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<sst xmlns="http://schemas.openxmlformats.org/spreadsheetml/2006/main" count="280351" uniqueCount="58757">
  <si>
    <t>Reference Number</t>
  </si>
  <si>
    <t>Procuring Entity</t>
  </si>
  <si>
    <t>Title</t>
  </si>
  <si>
    <t>Area of Delivery</t>
  </si>
  <si>
    <t>Solicitation Number</t>
  </si>
  <si>
    <t>Trade Agreement</t>
  </si>
  <si>
    <t>Procurement Mode</t>
  </si>
  <si>
    <t>Classification</t>
  </si>
  <si>
    <t>Category</t>
  </si>
  <si>
    <t>Approved Budget for the Contract</t>
  </si>
  <si>
    <t>Contract Duration</t>
  </si>
  <si>
    <t>Client Agency</t>
  </si>
  <si>
    <t>Contact Person</t>
  </si>
  <si>
    <t>Status</t>
  </si>
  <si>
    <t>Associated Components</t>
  </si>
  <si>
    <t>Bid Supplements</t>
  </si>
  <si>
    <t>Document Request List</t>
  </si>
  <si>
    <t>Date Published</t>
  </si>
  <si>
    <t>Last Updated / Time</t>
  </si>
  <si>
    <t>Closing Date / Time</t>
  </si>
  <si>
    <t>Description</t>
  </si>
  <si>
    <t>Other Information</t>
  </si>
  <si>
    <t>Created by</t>
  </si>
  <si>
    <t>Date Created</t>
  </si>
  <si>
    <t>ILOCOS SUR POLYTECHNIC STATE COLLEGE</t>
  </si>
  <si>
    <t>MUNICIPALITY OF SOFRONIO ESPAÑOLA, PALAWAN</t>
  </si>
  <si>
    <t>BARANGAY BAGUMBAYAN, TAGUIG CITY</t>
  </si>
  <si>
    <t>BARANGAY VICTORIA - ROXAS ORIENTAL MINDORO</t>
  </si>
  <si>
    <t>BARANGAY CAGUTSAN, CATBALOGAN CITY</t>
  </si>
  <si>
    <t>PROVINCE OF ABRA</t>
  </si>
  <si>
    <t>DEPARTMENT OF PUBLIC WORKS AND HIGHWAYS - MAIN</t>
  </si>
  <si>
    <t>PHILIPPINE COAST GUARD</t>
  </si>
  <si>
    <t>INTERCOUNTRY ADOPTION BOARD</t>
  </si>
  <si>
    <t>CITY OF BAIS, NEGROS ORIENTAL</t>
  </si>
  <si>
    <t>MUNICIPALITY OF CARAGA, DAVAO ORIENTAL</t>
  </si>
  <si>
    <t>BARANGAY ALBALATE, CATBALOGAN, SAMAR</t>
  </si>
  <si>
    <t>MUNICIPALITY OF TUBIGON, BOHOL</t>
  </si>
  <si>
    <t>PHILIPPINE HEALTH INSURANCE CORPORATION - REGION VI</t>
  </si>
  <si>
    <t>MUNICIPALITY OF ARITAO, NUEVA VIZCAYA</t>
  </si>
  <si>
    <t>MUNICIPALITY OF VALENCIA, NEGROS ORIENTAL</t>
  </si>
  <si>
    <t>MUNICIPALITY OF LAGONOY, CAMARINES SUR</t>
  </si>
  <si>
    <t>PHILIPPINE NAVY PROCUREMENT CENTER, AFP PROCUREMENT SERVICE</t>
  </si>
  <si>
    <t>MUNICIPALITY OF BAROBO, SURIGAO DEL SUR</t>
  </si>
  <si>
    <t>MUNICIPALITY OF GIPORLOS, EASTERN SAMAR</t>
  </si>
  <si>
    <t>CAGAYAN STATE UNIVERSITY - TUGUEGARAO CITY CAGAYAN</t>
  </si>
  <si>
    <t>MUNICIPALITY OF MADDELA, QUIRINO</t>
  </si>
  <si>
    <t>MUNICIPALITY OF MANGUDADATU - BULUAN MAGUINDANAO</t>
  </si>
  <si>
    <t>MUNICIPALITY OF BATO, CATANDUANES</t>
  </si>
  <si>
    <t>BARANGAY CAGBATANG, CATAINGAN, MASBATE</t>
  </si>
  <si>
    <t>MUNICIPALITY OF MANOLO FORTICH, BUKIDNON</t>
  </si>
  <si>
    <t>PROVINCE OF DAVAO OCCIDENTAL</t>
  </si>
  <si>
    <t>302ND CONTRACTING OFFICE, AFP PROCUREMENT SERVICE</t>
  </si>
  <si>
    <t>MUNICIPALITY OF PAGBILAO, QUEZON</t>
  </si>
  <si>
    <t>PROVINCE OF COMPOSTELA VALLEY</t>
  </si>
  <si>
    <t>MUNICIPALITY OF PANIQUI, TARLAC</t>
  </si>
  <si>
    <t>PNP ANTI-CYBERCRIME GROUP</t>
  </si>
  <si>
    <t>CAPIZ STATE UNIVERSITY - CENTRAL ADMINISTRATION</t>
  </si>
  <si>
    <t>PHILIPPINE MERCHANT MARINE ACADEMY</t>
  </si>
  <si>
    <t>BARANGAY MULAWIN, ORANI, BATAAN</t>
  </si>
  <si>
    <t>DEPARTMENT OF PUBLIC WORKS AND HIGHWAYS - ALBAY 3RD DEO</t>
  </si>
  <si>
    <t>BARANGAY LAGUNDI, CATBALOGAN CITY</t>
  </si>
  <si>
    <t>BARANGAY GAUNAN - MLANG COTABATO</t>
  </si>
  <si>
    <t>ROMBLON STATE UNIVERSITY</t>
  </si>
  <si>
    <t>CITY OF MANDAUE, CEBU</t>
  </si>
  <si>
    <t>BARANGAY VALENCIA, QUEZON CITY</t>
  </si>
  <si>
    <t>DEPARTMENT OF EDUCATION - DIVISION OF NAGA CITY</t>
  </si>
  <si>
    <t>DEPARTMENT OF EDUCATION - BAUNGON BUKIDNON</t>
  </si>
  <si>
    <t>MUNICIPALITY OF KALILANGAN, BUKIDNON</t>
  </si>
  <si>
    <t>MUNICIPALITY OF SANTO DOMINGO, ILOCOS SUR</t>
  </si>
  <si>
    <t>BARANGAY SAN LUIS, TARLAC, TARLAC</t>
  </si>
  <si>
    <t>MARGOSATUBIG REGIONAL HOSPITAL</t>
  </si>
  <si>
    <t>DEPARTMENT OF TRADE AND INDUSTRY - DAVAO ORIENTAL</t>
  </si>
  <si>
    <t>MUNICIPALITY OF CATAINGAN, MASBATE</t>
  </si>
  <si>
    <t>ST. ANTHONY MOTHER AND CHILD HOSPITAL</t>
  </si>
  <si>
    <t>DEPARTMENT OF AGRICULTURE - REGION I</t>
  </si>
  <si>
    <t>BARANGAY TEJEROS CONVENTION ROSARIO CAVITE</t>
  </si>
  <si>
    <t>MUNICIPALITY OF ALCANTARA, ROMBLON</t>
  </si>
  <si>
    <t>NATIONAL IRRIGATION ADMINISTRATION REGION 7</t>
  </si>
  <si>
    <t>DEPARTMENT OF AGRICULTURE - REGION IV-B (MIMAROPA)</t>
  </si>
  <si>
    <t>MUNICIPALITY OF PILAR, CAPIZ</t>
  </si>
  <si>
    <t>GUIMBA WATER DISTRICT</t>
  </si>
  <si>
    <t>COURT OF TAX APPEALS</t>
  </si>
  <si>
    <t>BARANGAY SABANG, LIPA CITY</t>
  </si>
  <si>
    <t>PANGASINAN NATIONAL HIGH SCHOOL</t>
  </si>
  <si>
    <t>BISWANGAN ELEMENTARY SCHOOL</t>
  </si>
  <si>
    <t>BARANGAY 598 ZONE 59 DISTRICT VI MANILA</t>
  </si>
  <si>
    <t>ALTAVAS NATIONAL SCHOOL</t>
  </si>
  <si>
    <t>ROMBLON NATIONAL INSTITUTE OF TECHNOLOGY</t>
  </si>
  <si>
    <t>MUNICIPALITY OF LUBUAGAN, KALINGA</t>
  </si>
  <si>
    <t>DANIEL C. MANTOS ELEMENTARY SCHOOL</t>
  </si>
  <si>
    <t>PUERTO PRINCESA CITY WATER DISTRICT</t>
  </si>
  <si>
    <t>CIVIL SERVICE COMMISSION - ARMM</t>
  </si>
  <si>
    <t>DEPARTMENT OF AGRARIAN REFORM - NUEVA VIZCAYA PROV'L OFFICE</t>
  </si>
  <si>
    <t>BAGUIO CITY SCHOOL OF ARTS AND TRADES</t>
  </si>
  <si>
    <t>MUNICIPALITY OF CLAVER, SURIGAO DEL NORTE</t>
  </si>
  <si>
    <t>MUNICIPALITY OF GALIMUYOD, ILOCOS SUR</t>
  </si>
  <si>
    <t>METRO KIDAPAWAN WATER DISTRICT</t>
  </si>
  <si>
    <t>BUREAU OF PLANT INDUSTRY - LBNCRDC</t>
  </si>
  <si>
    <t>DEPARTMENT OF PUBLIC WORKS AND HIGHWAYS - REGION X</t>
  </si>
  <si>
    <t>MUNICIPALITY OF JAEN, NUEVA ECIJA</t>
  </si>
  <si>
    <t>BARANGAY BALETE, AROROY, MASBATE</t>
  </si>
  <si>
    <t>CITY OF PASSI, ILOILO</t>
  </si>
  <si>
    <t>MUNICIPALITY OF JOSE ABAD SANTOS, DAVAO DEL SUR</t>
  </si>
  <si>
    <t>LAND BANK OF THE PHILIPPINES - REGION V</t>
  </si>
  <si>
    <t>MUNICIPALITY OF MALAPATAN, SARANGANI</t>
  </si>
  <si>
    <t>DEPARTMENT OF HEALTH - CHD, ZAMBOANGA PENINSULA</t>
  </si>
  <si>
    <t>BUREAU OF THE TREASURY</t>
  </si>
  <si>
    <t>BATANGAS MEDICAL CENTER</t>
  </si>
  <si>
    <t>BARANGAY CALINAN, DAVAO CITY</t>
  </si>
  <si>
    <t>BARANGAY SAN ANDRES, CATBALOGAN CITY</t>
  </si>
  <si>
    <t>MUNICIPALITY OF POLILLO, QUEZON</t>
  </si>
  <si>
    <t>MUNICIPALITY OF DUMANJUG, CEBU</t>
  </si>
  <si>
    <t>MUNICIPALITY OF LUCBAN, QUEZON</t>
  </si>
  <si>
    <t>BANGKO SENTRAL NG PILIPINAS - TACLOBAN BRANCH</t>
  </si>
  <si>
    <t>DEPARTMENT OF EDUCATION - SCHOOLS DIVISION OF SORSOGON PROVI</t>
  </si>
  <si>
    <t>BARANGAY RIBSUAN, NAGUILIAN, LA UNION</t>
  </si>
  <si>
    <t>ENVIRONMENTAL MANAGEMENT BUREAU-REGION XII</t>
  </si>
  <si>
    <t xml:space="preserve">DEPARTMENT OF PUBLIC WORKS AND HIGHWAYS - CAMARINES SUR 1ST </t>
  </si>
  <si>
    <t>MUNICIPALITY OF DON MARCELINO - DAVAO OCCIDENTAL</t>
  </si>
  <si>
    <t>PILI WATER DISTRICT</t>
  </si>
  <si>
    <t>MUNICIPALITY OF ALCALA, CAGAYAN</t>
  </si>
  <si>
    <t>MUNICIPALITY OF LIMAY, BATAAN</t>
  </si>
  <si>
    <t>FLORIDABLANCA WATER DISTRICT</t>
  </si>
  <si>
    <t>PHILIPPINE STATISTICS AUTHORITY - REGION XI</t>
  </si>
  <si>
    <t>MUNICIPALITY OF PASIL, KALINGA</t>
  </si>
  <si>
    <t>WEST VISAYAS STATE UNIVERSITY</t>
  </si>
  <si>
    <t>EASTERN SAMAR STATE UNIVERSITY - BORONGAN CITY</t>
  </si>
  <si>
    <t>PROVINCE OF CAVITE</t>
  </si>
  <si>
    <t>BARANGAY SALIPYASIN, KABASALAN, ZAMBOANGA SIBUGAY</t>
  </si>
  <si>
    <t>BARANGAY MINUYAN IV, SAN JOSE DEL MONTE CITY</t>
  </si>
  <si>
    <t>DEPARTMENT OF AGRICULTURE - REGION IV-A</t>
  </si>
  <si>
    <t>PROVINCIAL GOVERNMENT OF CAMARINES SUR</t>
  </si>
  <si>
    <t>KAMANDUGAN ELEMENTARY SCHOOL</t>
  </si>
  <si>
    <t>SILANG WATER DISTRICT</t>
  </si>
  <si>
    <t>DEVELOPMENT BANK OF THE PHILIPPINES - BBG - NORTHERN MINDANA</t>
  </si>
  <si>
    <t>PHILIPPINE HEALTH INSURANCE CORPORATION - REGION XI</t>
  </si>
  <si>
    <t>DEPARTMENT OF PUBLIC WORKS AND HIGHWAYS - NEG. OCC. 3RD DEO</t>
  </si>
  <si>
    <t>ANTONIO PICHON JR. ELEMENTARY SCHOOL</t>
  </si>
  <si>
    <t>DEPARTMENT OF AGRICULTURE - REGION VI</t>
  </si>
  <si>
    <t>BARANGAY VINISITAHAN, SAN ANTONIO, NORTHERN SAMAR</t>
  </si>
  <si>
    <t>NORTHERN MINDANAO SCHOOL OF FISHERIES</t>
  </si>
  <si>
    <t>PHILIPPINE RICE RESEARCH INSTITUTE</t>
  </si>
  <si>
    <t>PROVINCE OF AURORA</t>
  </si>
  <si>
    <t>SUPREME COURT OF THE PHILIPPINES</t>
  </si>
  <si>
    <t>MUNICIPALITY OF BUGALLON - PANGASINAN</t>
  </si>
  <si>
    <t>PROVINCE OF BENGUET</t>
  </si>
  <si>
    <t>MUNICIPALITY OF TALAKAG, BUKIDNON</t>
  </si>
  <si>
    <t>MUNICIPALITY OF ANTEQUERA, BOHOL</t>
  </si>
  <si>
    <t>MONCADA WATER DISTRICT</t>
  </si>
  <si>
    <t>BARANGAY POBLACION, ALCALA, PANGASINAN</t>
  </si>
  <si>
    <t>BARANGAY SAMBAL IBABA, LEMERY, BATANGAS</t>
  </si>
  <si>
    <t>DEPARTMENT OF TRADE AND INDUSTRY - REGION II, CAGAYAN VALLEY</t>
  </si>
  <si>
    <t>MUNICIPALITY OF CORDOVA, CEBU</t>
  </si>
  <si>
    <t>BARANGAY LANTANG, VALENCIA, BOHOL</t>
  </si>
  <si>
    <t>MUNICIPALITY OF GUBAT, SORSOGON</t>
  </si>
  <si>
    <t>BARANGAY SANGAHON MALITBOG SOUTHERN LEYTE</t>
  </si>
  <si>
    <t>MUNICIPALITY OF IGBARAS, ILOILO</t>
  </si>
  <si>
    <t>NORTHERN MINDANAO MEDICAL CENTER</t>
  </si>
  <si>
    <t>MUNICIPALITY OF TRENTO, AGUSAN DEL SUR</t>
  </si>
  <si>
    <t>DEPARTMENT OF SOCIAL WELFARE AND DEVELOPMENT - REGION I</t>
  </si>
  <si>
    <t>SANTA CRUZ NORTH CENTRAL SCHOOL (MARINDUQUE)</t>
  </si>
  <si>
    <t>PALOMPON INSTITUTE OF TECHNOLOGY</t>
  </si>
  <si>
    <t>BARANGAY GUADALUPE - CARMEN, DAVAO DEL NORTE</t>
  </si>
  <si>
    <t>DEPARTMENT OF EDUCATION - BISLIG CITY DIVISION</t>
  </si>
  <si>
    <t>MUNICIPALITY OF TUBOD, LANAO DEL NORTE</t>
  </si>
  <si>
    <t>BATANGAS STATE UNIVERSITY</t>
  </si>
  <si>
    <t>MUNICIPALITY OF CALAYAN, CAGAYAN</t>
  </si>
  <si>
    <t>DEPARTMENT OF PUBLIC WORKS AND HIGHWAYS - TACLOBAN CITY SDEO</t>
  </si>
  <si>
    <t>BARANGAY FATIMA - KALAWIT ZAMBOANGA DEL NORTE</t>
  </si>
  <si>
    <t>BARANGAY PANGASCASAN, SUAL, PANGASINAN</t>
  </si>
  <si>
    <t>BARANGAY MARIA, LAUA-AN, ANTIQUE</t>
  </si>
  <si>
    <t>BARANGAY STA. CRUZ, PASIG CITY</t>
  </si>
  <si>
    <t>BARANGAY CABARITAN SUR, NAGUILIAN, LA UNION</t>
  </si>
  <si>
    <t>DEPARTMENT OF ENVIRONMENT AND NATURAL RESOURCES - REGION XII</t>
  </si>
  <si>
    <t>CITY OF TANJAY, NEGROS ORIENTAL</t>
  </si>
  <si>
    <t>MUNICIPALITY OF TUMAUINI, ISABELA</t>
  </si>
  <si>
    <t>MUNICIPALITY OF GATTARAN, CAGAYAN</t>
  </si>
  <si>
    <t>BARANGAY BULIASNIN, BOAC, MARINDUQUE</t>
  </si>
  <si>
    <t>NATIONAL IRRIGATION ADMINISTRATION - NIA MOMARO IMO</t>
  </si>
  <si>
    <t>PHILIPPINE CARABAO CENTER - REGION II</t>
  </si>
  <si>
    <t>DEPARTMENT OF EDUCATION - DIVISION OF CATANDUANES</t>
  </si>
  <si>
    <t>ALICIA WATER DISTRICT</t>
  </si>
  <si>
    <t>PROVINCE OF DAVAO ORIENTAL</t>
  </si>
  <si>
    <t>LABANGAN CENTRAL ELEMENTARY SCHOOL</t>
  </si>
  <si>
    <t>MUNICIPALITY OF SIPOCOT, CAMARINES SUR</t>
  </si>
  <si>
    <t>JUSTICE ELIEZER R. DELOS SANTOS NATIONAL HIGH SCHOOL - VALEN</t>
  </si>
  <si>
    <t>SAN ANTONIO ELEMENTARY SCHOOL</t>
  </si>
  <si>
    <t>MUNICIPALITY OF COMPOSTELA, COMPOSTELA VALLEY</t>
  </si>
  <si>
    <t>NATIONAL IRRIGATION ADMINISTRATION - IGIMO</t>
  </si>
  <si>
    <t>DEPARTMENT OF SOCIAL WELFARE AND DEVELOPMENT - CARAGA</t>
  </si>
  <si>
    <t>PROVINCE OF IFUGAO</t>
  </si>
  <si>
    <t>BARANGAY SAPA 2 - ROSARIO CAVITE</t>
  </si>
  <si>
    <t>DEPARTMENT OF ENVIRONMENT AND NATURAL RES. - PENRO Z. SIBUGA</t>
  </si>
  <si>
    <t>DEPARTMENT OF PUBLIC WORKS AND HIGHWAYS - AGUSAN DEL SUR 2ND</t>
  </si>
  <si>
    <t>CAPIZ PROVINCIAL GOVERNMENT</t>
  </si>
  <si>
    <t>DEPARTMENT OF EDUCATION - DIVISION OF BILIRAN</t>
  </si>
  <si>
    <t>MUNICIPALITY OF SAN MATEO - ISABELA</t>
  </si>
  <si>
    <t>VALENZUELA CITY SCHOOL OF MATHEMATICS AND SCIENCE</t>
  </si>
  <si>
    <t>BUREAU OF COMMUNICATIONS SERVICES</t>
  </si>
  <si>
    <t>BANGKO SENTRAL NG PILIPINAS (SECURITY PLANT COMPLEX) - QUEZO</t>
  </si>
  <si>
    <t>BARANGAY BENIT MALITBOG SOUTHERN LEYTE</t>
  </si>
  <si>
    <t>NATIONAL KIDNEY AND TRANSPLANT INSTITUTE</t>
  </si>
  <si>
    <t>PROVINCE OF SOUTH COTABATO</t>
  </si>
  <si>
    <t>TALAVERA GENERAL HOSPITAL</t>
  </si>
  <si>
    <t>MUNICIPALITY OF GUMACA, QUEZON</t>
  </si>
  <si>
    <t>BARANGAY PANSOL - QUEZON CITY</t>
  </si>
  <si>
    <t>BARANGAY PINYAHAN - QUEZON CITY</t>
  </si>
  <si>
    <t>BARANGAY NUEVA FUERZA, CARMEN, BOHOL</t>
  </si>
  <si>
    <t>CITY OF MANILA</t>
  </si>
  <si>
    <t>UPPER BICUTAN ELEMENTARY SCHOOL</t>
  </si>
  <si>
    <t>BARANGAY 900, ZONE 100, DISTRICT VI, MANILA</t>
  </si>
  <si>
    <t>MUNICIPALITY OF SIBUNAG, GUIMARAS</t>
  </si>
  <si>
    <t>MUNICIPALITY OF GUIMBA, NUEVA ECIJA</t>
  </si>
  <si>
    <t>BARANGAY BONGOYAN, BORBON, CEBU</t>
  </si>
  <si>
    <t>PHILIPPINE STATISTICS AUTHORITY</t>
  </si>
  <si>
    <t>ORION WATER DISTRICT</t>
  </si>
  <si>
    <t>DEPARTMENT OF PUBLIC WORKS AND HIGHWAYS - NEGROS ORIENTAL 3R</t>
  </si>
  <si>
    <t>MUNICIPALITY OF STA.CRUZ, DAVAO DEL SUR</t>
  </si>
  <si>
    <t>DEPARTMENT OF ENVIRONMENT AND NATURAL RES. - PENRO AGUSAN D.</t>
  </si>
  <si>
    <t>BARANGAY MALAYA, LABO, CAMARINES NORTE</t>
  </si>
  <si>
    <t>SOCIAL SECURITY SYSTEM - SAN PABLO BRANCH OFFICE</t>
  </si>
  <si>
    <t>CITY OF PASAY</t>
  </si>
  <si>
    <t>MUNICIPALITY OF VILLANUEVA, MISAMIS ORIENTAL</t>
  </si>
  <si>
    <t>BARANGAY 833, ZONE 91, DISTRICT VI, MANILA</t>
  </si>
  <si>
    <t>BARANGAY 36 ARANIW, LAOAG CITY, ILOCOS NORTE</t>
  </si>
  <si>
    <t>DAVAO PRISON AND PENAL FARM - BRAULIO E. DUJALI</t>
  </si>
  <si>
    <t>CITY OF TUGUEGARAO, CAGAYAN</t>
  </si>
  <si>
    <t>DEPARTMENT OF EDUCATION - DIVISION OF MAASIN CITY</t>
  </si>
  <si>
    <t>DEPARTMENT OF PUBLIC WORKS AND HIGHWAYS - QUEZON CITY 2ND ED</t>
  </si>
  <si>
    <t>DEPARTMENT OF PUBLIC WORKS AND HIGHWAYS - CATANDUANES ED</t>
  </si>
  <si>
    <t>BARANGAY 41, BALACAD, LAOAG CITY, ILOCOS NORTE</t>
  </si>
  <si>
    <t>DEPARTMENT OF EDUCATION - DIVISION OF NEGROS ORIENTAL</t>
  </si>
  <si>
    <t>PHILIPPINE SCIENCE HIGH SCHOOL - CAR CAMPUS</t>
  </si>
  <si>
    <t>BARANGAY SAN LORENZO, STA. ELENA, CAMARINES NORTE</t>
  </si>
  <si>
    <t>BARANGAY LACTUDAN, LAUA-AN, ANTIQUE</t>
  </si>
  <si>
    <t>BARANGAY 25 CAPRICORN - CARIDAD CAVITE CITY</t>
  </si>
  <si>
    <t>DEPARTMENT OF AGRICULTURE - REGION II</t>
  </si>
  <si>
    <t>REGION I MEDICAL CENTER</t>
  </si>
  <si>
    <t>MUNICIPALITY OF SAN QUINTIN, PANGASINAN</t>
  </si>
  <si>
    <t>CITY OF TABACO, ALBAY</t>
  </si>
  <si>
    <t>TAPIAN ELEMENTARY SCHOOL</t>
  </si>
  <si>
    <t>STA. CRUZ NATIONAL HIGH SCHOOL - OCCIENTAL MINDORO</t>
  </si>
  <si>
    <t>AKLAN STATE UNIVERSITY - BANGA CAMPUS</t>
  </si>
  <si>
    <t>DR. PAULINO J. GARCIA MEMORIAL RESEARCH AND MEDICAL CENTER</t>
  </si>
  <si>
    <t>MUNICIPALITY OF TAYTAY, PALAWAN</t>
  </si>
  <si>
    <t>MUNICIPALITY OF SAN LORENZO, GUIMARAS</t>
  </si>
  <si>
    <t>PROVINCE OF ZAMBALES</t>
  </si>
  <si>
    <t>BARANGAY BISLIG - SAN ANDRES CATANDUANES</t>
  </si>
  <si>
    <t>MUNICIPALITY OF BACARRA, ILOCOS NORTE</t>
  </si>
  <si>
    <t>304TH CONTRACTING OFFICE, AFP PROCUREMENT SERVICE</t>
  </si>
  <si>
    <t>DEVELOPMENT BANK OF THE PHILIPPINES - RMC-SOUTHERN MINDANAO</t>
  </si>
  <si>
    <t>PHILIPPINE NATIONAL POLICE - HEADQUARTERS SUPPORT SERVICE</t>
  </si>
  <si>
    <t>BARANGAY SAN BENITO GOA CAMARINES SUR</t>
  </si>
  <si>
    <t>BARANGAY HUYON UYON, SAN FRANCISCO, QUEZON</t>
  </si>
  <si>
    <t>BARANGAY CABUG CABUG - PRESIDENT ROXAS CAPIZ</t>
  </si>
  <si>
    <t>DUMALAG VOCATIONAL TECHNICAL SCHOOL</t>
  </si>
  <si>
    <t>CITY OF MUNTINLUPA</t>
  </si>
  <si>
    <t>CITY OF SAN CARLOS, PANGASINAN</t>
  </si>
  <si>
    <t>MUNICIPALITY OF STA. MAGDALENA, SORSOGON</t>
  </si>
  <si>
    <t>MUNICIPALITY OF OBANDO, BULACAN</t>
  </si>
  <si>
    <t>MARIANO MARCOS STATE UNIVERSITY</t>
  </si>
  <si>
    <t>CITY OF SURIGAO, SURIGAO DEL NORTE</t>
  </si>
  <si>
    <t>METRO SIQUIJOR WATER DISTRICT</t>
  </si>
  <si>
    <t>MUNICIPALITY OF JASAAN , MISAMIS ORIENTAL</t>
  </si>
  <si>
    <t>MUNICIPALITY OF LAOAC, PANGASINAN</t>
  </si>
  <si>
    <t>CABUYAO WATER DISTRICT</t>
  </si>
  <si>
    <t>CITY OF KABANKALAN, NEGROS OCCIDENTAL</t>
  </si>
  <si>
    <t>BARANGAY GAMBUDES - ARAKAN COTABATO</t>
  </si>
  <si>
    <t>CITY OF BAYBAY, LEYTE</t>
  </si>
  <si>
    <t>BARANGAY TIMBA MALITBOG SOUTHERN LEYTE</t>
  </si>
  <si>
    <t>CITY OF MASBATE, MASBATE</t>
  </si>
  <si>
    <t>DEPARTMENT OF PUBLIC WORKS AND HIGHWAYS - SOUTH COTABATO 1ST</t>
  </si>
  <si>
    <t>MUNICIPALITY OF STA. LUCIA , ILOCOS SUR</t>
  </si>
  <si>
    <t>LANDBANK OF THE PHILIPPINES - REGION IV-A</t>
  </si>
  <si>
    <t>METRO TAYUG WATER DISTRICT</t>
  </si>
  <si>
    <t>CITY OF BALANGA NATIONAL HIGH SCHOOL</t>
  </si>
  <si>
    <t>CANUMAY EAST NATIONAL HIGH SCHOOL</t>
  </si>
  <si>
    <t>LUSOK ELEMENTARY SCHOOL</t>
  </si>
  <si>
    <t>BARANGAY BAGUMBAYAN PEQUENO</t>
  </si>
  <si>
    <t>BARANGAY BAGONGBONG, DUEÑAS, ILOILO</t>
  </si>
  <si>
    <t>BARANGAY PANINGAYAN, LAUA-AN, ANTIQUE</t>
  </si>
  <si>
    <t>CAMARINES NORTE STATE COLLEGE</t>
  </si>
  <si>
    <t>BARANGAY TIGBAWAN II MALITBOG SOUTHERN LEYTE</t>
  </si>
  <si>
    <t>DEPARTMENT OF TRADE AND INDUSTRY - RIZAL PROVINCIAL OFFICE</t>
  </si>
  <si>
    <t>BARANGAY BAAN KM.3, BUTUAN CITY</t>
  </si>
  <si>
    <t>MUNICIPALITY OF CALUYA, ANTIQUE</t>
  </si>
  <si>
    <t>SILAY CITY WATER DISTRICT</t>
  </si>
  <si>
    <t>MUNICIPALITY OF CUARTERO, CAPIZ</t>
  </si>
  <si>
    <t>LAND BANK OF THE PHILIPPINES - SAN FERNANDO BRANCH</t>
  </si>
  <si>
    <t>MUNICIPALITY OF LIBUNGAN, COTABATO</t>
  </si>
  <si>
    <t>MUNICIPALITY OF BUENAVISTA, GUIMARAS</t>
  </si>
  <si>
    <t>CITY  OF CAUAYAN, ISABELA</t>
  </si>
  <si>
    <t>METROPOLITAN NAGA WATER DISTRICT</t>
  </si>
  <si>
    <t>DEPARTMENT OF TRADE AND INDUSTRY - SORSOGON</t>
  </si>
  <si>
    <t>BARANGAY TALOG, TAYTAY, PALAWAN</t>
  </si>
  <si>
    <t>BARANGAY CASANTAMARIAAN, SAN QUINTIN, PANGASINAN</t>
  </si>
  <si>
    <t>DEPARTMENT OF AGRICULTURE - REGION III</t>
  </si>
  <si>
    <t>MUNICIPALITY OF CALASIAO, PANGASINAN</t>
  </si>
  <si>
    <t>CITY OF CABADBARAN, AGUSAN DEL NORTE</t>
  </si>
  <si>
    <t>CEBU PORT AUTHORITY</t>
  </si>
  <si>
    <t>MUNICIPALITY OF LOPEZ, QUEZON</t>
  </si>
  <si>
    <t>BARANGAY BANI MASINLOC ZAMBALES</t>
  </si>
  <si>
    <t>MUNICIPALITY OF SALCEDO, EASTERN SAMAR</t>
  </si>
  <si>
    <t>MUNICIPALITY OF BALER, AURORA</t>
  </si>
  <si>
    <t>ROXAS CITY GOVERNMENT</t>
  </si>
  <si>
    <t>HOME DEVELOPMENT MUTUAL FUND - CALAMBA BRANCH</t>
  </si>
  <si>
    <t>METRO MANILA DEVELOPMENT AUTHORITY</t>
  </si>
  <si>
    <t>MUNICIPALITY OF MERIDA, LEYTE</t>
  </si>
  <si>
    <t>BARANGAY SAUYO - QUEZON CITY</t>
  </si>
  <si>
    <t>AGRICULTURAL TRAINING INSTITUTE -REGIONAL TRAINING CENTER IX</t>
  </si>
  <si>
    <t>BARANGAY TAGGAT SUR, CLAVERIA, CAGAYAN</t>
  </si>
  <si>
    <t>PROVINCE OF MAGUINDANAO</t>
  </si>
  <si>
    <t>MUNICIPALITY OF MACABEBE, PAMPANGA</t>
  </si>
  <si>
    <t>MUNICIPALITY OF CANTILAN, SURIGAO DEL SUR</t>
  </si>
  <si>
    <t>BUTONG ELEMENTARY SCHOOL</t>
  </si>
  <si>
    <t>DEPARTMENT OF ENVIRONMENT AND NATURAL RESOURCES - REGION VII</t>
  </si>
  <si>
    <t>PHILIPPINE COAST GUARD (HUMAN RESOURCE MANAGEMENT SERVICE) -</t>
  </si>
  <si>
    <t>SUMALIG ELEMENTARY SCHOOL</t>
  </si>
  <si>
    <t>405TH CONTRACTING OFFICE, AFP PROCUREMENT SERVICE</t>
  </si>
  <si>
    <t>COLACLING ELEMENTARY SCHOOL</t>
  </si>
  <si>
    <t>PHILIPPINE NATIONAL POLICE - REGION III</t>
  </si>
  <si>
    <t>BANTAUYAN PRIMARY SCHOOL - BOAC NORTH</t>
  </si>
  <si>
    <t>GUAGUA ELEMENTARY SCHOOL - GUAGUA PAMPANGA</t>
  </si>
  <si>
    <t>BARANGAY WILSON, SAN JOSE, DINAGAT ISLAND</t>
  </si>
  <si>
    <t>DEPARTMENT OF HEALTH - TREATMENT AND REHABILITATION CENTER -</t>
  </si>
  <si>
    <t>BARANGAY KUMINTANG IBABA, BATANGAS CITY, BATANGAS</t>
  </si>
  <si>
    <t>MUNICIPALITY OF PIAT, CAGAYAN</t>
  </si>
  <si>
    <t>DEPARTMENT OF EDUCATION - DIVISION OF PAMPANGA</t>
  </si>
  <si>
    <t>BINUNGA ELEMENTARY SCHOOL - BOAC SOUTH</t>
  </si>
  <si>
    <t>RESEARCH INSTITUTE FOR TROPICAL MEDICINE, DOH</t>
  </si>
  <si>
    <t>BARANGAY PINAGBUHATAN, PASIG CITY</t>
  </si>
  <si>
    <t>COMMISSION ON HIGHER EDUCATION - MAIN</t>
  </si>
  <si>
    <t>MUNICIPALITY OF MINALIN, PAMPANGA</t>
  </si>
  <si>
    <t>CATUBUGAN ELEMENTARY SCHOOL</t>
  </si>
  <si>
    <t>COURT OF APPEALS - CAGAYAN DE ORO CITY</t>
  </si>
  <si>
    <t>DOMINGO LACSON NATIONAL HIGH SCHOOL</t>
  </si>
  <si>
    <t>PALO ALTO ELEMENTARY SCHOOL</t>
  </si>
  <si>
    <t>BARANGAY BANBAN, LAUA-AN, ANTIQUE</t>
  </si>
  <si>
    <t>CITY OF SORSOGON, SORSOGON</t>
  </si>
  <si>
    <t>BARANGAY WAKAT, NAGCARLAN, LAGUNA</t>
  </si>
  <si>
    <t>CITY OF ANTIPOLO, RIZAL</t>
  </si>
  <si>
    <t>MUNICIPALITY OF CONSOLACION, CEBU</t>
  </si>
  <si>
    <t>BARANGAY LIYA-LIYA, LAUA-AN, ANTIQUE</t>
  </si>
  <si>
    <t>BIGNAY NATIONAL HIGH SCHOOL</t>
  </si>
  <si>
    <t>CITY OF KORONADAL, SOUTH COTABATO</t>
  </si>
  <si>
    <t>BARANGAY SAN RAMON, LAUA-AN, ANTIQUE</t>
  </si>
  <si>
    <t>BARANGAY BONGBONGAN, LAUA-AN, ANTIQUE</t>
  </si>
  <si>
    <t>AMPARO ELEMENTARY SCHOOL</t>
  </si>
  <si>
    <t>MUNICIPALITY OF NAUJAN, ORIENTAL MINDORO</t>
  </si>
  <si>
    <t>AURORA PACIFIC ECONOMIC ZONE AND FREEPORT AUTHORITY</t>
  </si>
  <si>
    <t>PROFESSIONAL REGULATION COMMISSION - REGION IX</t>
  </si>
  <si>
    <t>DEPARTMENT OF AGRARIAN REFORM - SIQUIJOR</t>
  </si>
  <si>
    <t>HOME DEVELOPMENT MUTUAL FUND - CORPORATE HEADQUARTERS</t>
  </si>
  <si>
    <t>BARANGAY CAMANGAHAN, GUIMBAL, ILOILO</t>
  </si>
  <si>
    <t>PROVINCE OF TARLAC</t>
  </si>
  <si>
    <t>BARANGAY JACQUEZ - SAN JOSE, DINAGAT ISLAND</t>
  </si>
  <si>
    <t>MUNICIPALITY OF BAUAN, BATANGAS</t>
  </si>
  <si>
    <t>DEPARTMENT OF SCIENCE AND TECHNOLOGY - REGION XII</t>
  </si>
  <si>
    <t>MUNICIPALITY OF PANGLAO, BOHOL</t>
  </si>
  <si>
    <t>KALAGANGAN CENTRAL ELEMENTARY SCHOOL SAN FERNANDO, BUKIDNON</t>
  </si>
  <si>
    <t>DEPARTMENT OF AGRICULTURE - REGION X</t>
  </si>
  <si>
    <t>DEPARTMENT OF PUBLIC WORKS AND HIGHWAYS - LAGUNA 1ST ED</t>
  </si>
  <si>
    <t>GOVERNMENT SERVICE INSURANCE SYSTEM</t>
  </si>
  <si>
    <t>DEPARTMENT OF PUBLIC WORKS AND HIGHWAYS - SOUTH COTABATO  1S</t>
  </si>
  <si>
    <t>CITY  OF DANAO, CEBU</t>
  </si>
  <si>
    <t>BARANGAY CABAYU, BALLESTEROS, CAGAYAN</t>
  </si>
  <si>
    <t>MUNICIPALITY OF TINEG, ABRA</t>
  </si>
  <si>
    <t>BARANGAY BANGON, AROROY, MASBATE</t>
  </si>
  <si>
    <t>MUNICIPALITY OF CALATAGAN, BATANGAS</t>
  </si>
  <si>
    <t>DEPARTMENT OF AGRARIAN REFORM - SORSOGON PROVINCIAL OFFICE</t>
  </si>
  <si>
    <t>MUNICIPALITY OF ALAMADA, COTABATO</t>
  </si>
  <si>
    <t>MUNICIPALITY OF BAGULIN, LA UNION</t>
  </si>
  <si>
    <t>DON ARTURO ALBA SR. ELEMENTARY SCHOOL - MURCIA NEGROS OCCIDE</t>
  </si>
  <si>
    <t>SANGGUNIANG KABATAAN NG BARANGAY BISOCOL - ALAMINOS CITY PAN</t>
  </si>
  <si>
    <t>MUNICIPALITY OF STA. RITA, WESTERN SAMAR</t>
  </si>
  <si>
    <t>MUNICIPALITY OF DINAPIGUE, ISABELA</t>
  </si>
  <si>
    <t>BARANGAY MANSABAY BAJO, LOPEZ JAENA, MISAMIS OCCIDENTAL</t>
  </si>
  <si>
    <t>CITY  OF CABANATUAN, NUEVA ECIJA</t>
  </si>
  <si>
    <t>DEPARTMENT OF TRADE AND INDUSTRY - NORTHERN SAMAR</t>
  </si>
  <si>
    <t xml:space="preserve">DEPARTMENT OF PUBLIC WORKS AND HIGHWAYS - MOUNTAIN PROVINCE </t>
  </si>
  <si>
    <t>PUNTURIN I ELEMENTARY SCHOOL</t>
  </si>
  <si>
    <t>BARANGAY BARONGAPAITAN STA. MARIA PANGASINAN</t>
  </si>
  <si>
    <t>CITY OF DAPITAN</t>
  </si>
  <si>
    <t>BARANGAY TULAY NA LUPA, LABO, CAMARINES NORTE</t>
  </si>
  <si>
    <t>LAWANG BATO ELEMENTARY SCHOOL</t>
  </si>
  <si>
    <t>DISIPLINA VILLAGE BIGNAY ELEMENTARY SCHOOL - VALENZUELA CITY</t>
  </si>
  <si>
    <t>MUNICIPALITY OF SAN JOSE DE BUAN, SAMAR</t>
  </si>
  <si>
    <t>BARANGAY 583 ZONE 57 DISTRICT IV, MANILA</t>
  </si>
  <si>
    <t>PALTOK ELEMENTARY SCHOOL- VALENZUELA CITY</t>
  </si>
  <si>
    <t>BARANGAY NEW CARMEN, TACURONG CITY, SULTAN KUDARAT</t>
  </si>
  <si>
    <t>BANGKO SENTRAL NG PILIPINAS</t>
  </si>
  <si>
    <t>QUIRINO STATE UNIVERSITY</t>
  </si>
  <si>
    <t>MUNICIPALITY OF KALAWIT, ZAMBOANGA DEL NORTE</t>
  </si>
  <si>
    <t>BARANGAY SABANG, DEL GALLEGO, CAMARINES SUR</t>
  </si>
  <si>
    <t>SANTIAGO A. DE GUZMAN ELEMENTARY SCHOOL</t>
  </si>
  <si>
    <t>BARANGAY 561 ZONE 55, MANILA</t>
  </si>
  <si>
    <t>J H CERILLES STATE COLLEGE</t>
  </si>
  <si>
    <t>SIETE CENTRAL ELEMENTARY SCHOOL</t>
  </si>
  <si>
    <t>MUNICIPALITY OF SABTANG, BATANES</t>
  </si>
  <si>
    <t>ENVIRONMENTAL MANAGEMENT BUREAU - CAR, DENR</t>
  </si>
  <si>
    <t>LOCAL GOVERNMENT UNIT OF OTON, ILOILO</t>
  </si>
  <si>
    <t>MUNICIPALITY OF BASUD, CAMARINES NORTE</t>
  </si>
  <si>
    <t>DEPARTMENT OF EDUCATION - DIVISION OF TALISAY CITY</t>
  </si>
  <si>
    <t>BARANGAY WAWA ILAYA, LEMERY, BATANGAS</t>
  </si>
  <si>
    <t>CANUMAY EAST ELEMENTARY SCHOOL</t>
  </si>
  <si>
    <t>INDUSTRIAL TECHNOLOGY DEVELOPMENT INSTITIUTE</t>
  </si>
  <si>
    <t>APYAO ELEMENTARY SCHOOL</t>
  </si>
  <si>
    <t>GOVERNOR CELESTINO GALLARES MEMORIAL HOSPITAL</t>
  </si>
  <si>
    <t>BARANGAY CARUSIPAN, PASUQUIN, ILOCOS NORTE</t>
  </si>
  <si>
    <t>CITY OF ILIGAN, LANAO DEL NORTE</t>
  </si>
  <si>
    <t>BARANGAY LAGUILE, TAAL, BATANGAS</t>
  </si>
  <si>
    <t>DEPARTMENT OF ENVIRONMENT AND NATURAL RES. - PENRO, D. ISLAN</t>
  </si>
  <si>
    <t>MUNICIPALITY OF BATUAN, MASBATE</t>
  </si>
  <si>
    <t>LUIS HORA MEMORIAL REGIONAL HOSPITAL</t>
  </si>
  <si>
    <t>BARANGAY 10 ESTANCIA, PASUQUIN, ILOCOS NORTE</t>
  </si>
  <si>
    <t>PROVINCE OF DAVAO DEL NORTE</t>
  </si>
  <si>
    <t>DAGA ELEMENTARY SCHOOL</t>
  </si>
  <si>
    <t>DEPARTMENT OF AGRICULTURE MIMAROPA</t>
  </si>
  <si>
    <t>BARANGAY 20 TABUNGAO PASUQUIN ILOCOS NORTE</t>
  </si>
  <si>
    <t>BARANGAY ANTIPOLO DEL SUR, LIPA CITY</t>
  </si>
  <si>
    <t>BARANGAY 12 PUYUPUYAN, PASUQUIN, ILOCOS NORTE</t>
  </si>
  <si>
    <t>BARANGAY BOROCBOROC, BELISON, ANTIQUE</t>
  </si>
  <si>
    <t>UNIVERSITY OF THE PHILIPPINES - LOS BAÑOS</t>
  </si>
  <si>
    <t>ASSOCIATION OF BARANGAY CAPTAINS - MINALABAC, CAMARINES SUR</t>
  </si>
  <si>
    <t>BARANGAY #8 SULONGAN PASUQUIN ILOCOS NORTE</t>
  </si>
  <si>
    <t>CAVITE STATE UNIVERSITY</t>
  </si>
  <si>
    <t>MUNICIPALITY OF VALENCIA, BOHOL</t>
  </si>
  <si>
    <t>MUNICIPALITY OF GOA, CAMARINES SUR</t>
  </si>
  <si>
    <t>BUREAU OF JAIL MANAGEMENT AND PENOLOGY - REGION VII</t>
  </si>
  <si>
    <t>MUNICIPALITY OF MALITA, DAVAO OCCIDENTAL</t>
  </si>
  <si>
    <t>MANUEL L. QUEZON ELEMENTARY SCHOOL</t>
  </si>
  <si>
    <t>BARANGAY PINYA, LABO, CAMARINES NORTE</t>
  </si>
  <si>
    <t>MUNICIPALITY OF STA. MARIA, ROMBLON</t>
  </si>
  <si>
    <t>BARANGAY PINAGSAMA - TAGUIG CITY</t>
  </si>
  <si>
    <t>BARANGAY BANANAO - PARACELIS, MT. PROVINCE</t>
  </si>
  <si>
    <t>BARANGAY AYUSAN NORTE - VIGAN CITY, ILOCOS SUR</t>
  </si>
  <si>
    <t>PHILIPPINE SCIENCE HIGH SCHOOL - SOCCSKSARGEN REGION CAMPUS</t>
  </si>
  <si>
    <t>LAS PIÑAS NORTH NATIONAL HIGH SCHOOL</t>
  </si>
  <si>
    <t>BUREAU OF FIRE PROTECTION - REGION VIII</t>
  </si>
  <si>
    <t>PHILIPPINE AMUSEMENT AND GAMING CORPORATION</t>
  </si>
  <si>
    <t>BARANGAY 15 PANGIL, PASUQUIN, ILOCOS NORTE</t>
  </si>
  <si>
    <t>BARANGAY SAN ROQUE, CALABANGA, CAMARINES SUR</t>
  </si>
  <si>
    <t>PHILIPPINE FIBER INDUSTRY DEVELOPMENT AUTHORITY</t>
  </si>
  <si>
    <t>MUNICIPALITY OF TAGO, SURIGAO DEL SUR</t>
  </si>
  <si>
    <t>AGRICULTURAL TRAINING INSTITUTE- REGIONAL TRAINING CENTER 6</t>
  </si>
  <si>
    <t>BARANGAY SAN ROQUE, SAN ISIDRO, DAVAO ORIENTAL</t>
  </si>
  <si>
    <t>CNHS-ANDRES BONIFACIO EXTENSION HIGH SCHOOL - CADIZ CITY NEG</t>
  </si>
  <si>
    <t>MUNICIPALITY OF TALISAY , BATANGAS</t>
  </si>
  <si>
    <t>CITY OF CEBU, CEBU</t>
  </si>
  <si>
    <t>BARANGAY MAGALLANES, LOPEZ, QUEZON</t>
  </si>
  <si>
    <t>PROVINCE OF NORTHERN SAMAR</t>
  </si>
  <si>
    <t>MUNICIPALITY OF SIBUCO, ZAMBOANGA DEL NORTE</t>
  </si>
  <si>
    <t>BARANGAY BONOT STA ROSA, CALABANGA, CAMARINES SUR</t>
  </si>
  <si>
    <t>BARANGAY BARAS-BARAS, TARLAC CITY, TARLAC</t>
  </si>
  <si>
    <t>DEPARTMENT OF PUBLIC WORKS AND HIGHWAYS - ILOCOS NORTE 1ST D</t>
  </si>
  <si>
    <t>FOREIGN SERVICE INSTITUTE</t>
  </si>
  <si>
    <t>BARANGAY MANIKLING, SAN ISIDRO, DAVAO ORIENTAL</t>
  </si>
  <si>
    <t>BARANGAY SAN ANTONIO, LOPEZ, QUEZON</t>
  </si>
  <si>
    <t>COOPERATIVE DEVELOPMENT AUTHORITY - MAIN</t>
  </si>
  <si>
    <t>MUNICIPALITY OF GEN. LUNA, QUEZON</t>
  </si>
  <si>
    <t>TRES ANDANAS ELEMENTARY SCHOOL</t>
  </si>
  <si>
    <t>CITY OF CATBALOGAN, SAMAR</t>
  </si>
  <si>
    <t>BARANGAY MINIEN EAST, STA. BARBARA, PANGASINAN</t>
  </si>
  <si>
    <t>MUNICIPALITY OF CAVINTI, LAGUNA</t>
  </si>
  <si>
    <t>CARMEN ELEMENTARY SCHOOL</t>
  </si>
  <si>
    <t>BARANGAY BANJO WEST, TANAUAN CITY, BATANGAS</t>
  </si>
  <si>
    <t>DEPARTMENT OF AGRARIAN REFORM - REGION III PAMPANGA</t>
  </si>
  <si>
    <t>EMPLOYEES' COMPENSATION COMMISSION</t>
  </si>
  <si>
    <t>BARANGAY 769 ZONE-83 DISTRICT V, MANILA</t>
  </si>
  <si>
    <t>BARANGAY 501 ZONE 49 DISTRICT IV, SAMPALOC, MANILA</t>
  </si>
  <si>
    <t>CIVIL AVIATION AUTHORITY OF THE PHILIPPINES - DAVAO INTERNAT</t>
  </si>
  <si>
    <t>BARANGAY 503 ZONE 50 DISTRICT IV MANILA</t>
  </si>
  <si>
    <t>CAMP VICENTE LIM INTEGRATED SCHOOL</t>
  </si>
  <si>
    <t>BARANGAY 569 ZONE 56 DISTRICT IV</t>
  </si>
  <si>
    <t>ISABELA CITY WATER DISTRICT</t>
  </si>
  <si>
    <t>BARANGAY BONBON, CALAPE, BOHOL</t>
  </si>
  <si>
    <t>PROVINCE OF COTABATO</t>
  </si>
  <si>
    <t>MUNICIPALITY OF PROSPERIDAD, AGUSAN DEL SUR</t>
  </si>
  <si>
    <t>MANUEL J. ESCALANTE ELEMENTARY SCHOOL</t>
  </si>
  <si>
    <t>VICENTE PATRICIO MEMORIAL ELEMENTARY SCHOOL</t>
  </si>
  <si>
    <t>BARANGAY 549 ZONE 54 DISTRICT IV, MANILA</t>
  </si>
  <si>
    <t>BARANGAY DAGUPAN LALLO CAGAYAN</t>
  </si>
  <si>
    <t>CITY OF PALAYAN, NUEVA ECIJA</t>
  </si>
  <si>
    <t>MUNICIPALITY OF BARLIG MOUNTAIN PROVINCE</t>
  </si>
  <si>
    <t>MUNICIPALITY OF IBA, ZAMBALES</t>
  </si>
  <si>
    <t xml:space="preserve">DEPED- VALENZUELA,APOLONIA F. RAFAEL ELEMENTARY SCHOOL </t>
  </si>
  <si>
    <t>BARANGAY SAN JOSE LALLO CAGAYAN</t>
  </si>
  <si>
    <t>MUNICIPALITY OF BINMALEY, PANGASINAN</t>
  </si>
  <si>
    <t>DEPARTMENT OF PUBLIC WORKS AND HIGHWAYS - BUKIDNON 3RD DEO</t>
  </si>
  <si>
    <t>MUNICIPALITY OF HINATUAN , SURIGAO DEL SUR</t>
  </si>
  <si>
    <t>PROVINCE OF QUEZON</t>
  </si>
  <si>
    <t>BARANGAY HENOGAWE, GAMAY, NORTHERN SAMAR</t>
  </si>
  <si>
    <t>BUREAU OF FISHERIES AND AQUATIC RESOURCES - REGION VIII</t>
  </si>
  <si>
    <t>HUSAYAN ELEMENTARY SCHOOL - KADINGILAN BUKIDNON</t>
  </si>
  <si>
    <t>DEPARTMENT OF AGRICULTURE - REGION XI</t>
  </si>
  <si>
    <t>BLGU BARANGAY GALINGON</t>
  </si>
  <si>
    <t>MINDANAO STATE UNIVERSITY - SULU</t>
  </si>
  <si>
    <t>MUNICIPALITY OF DAANBANTAYAN, CEBU</t>
  </si>
  <si>
    <t>DEPARTMENT OF PUBLIC WORKS AND HIGHWAYS - MASBATE 3RD DEO</t>
  </si>
  <si>
    <t>NANGKA ELEMENTARY SCHOOL - TORRIJOS</t>
  </si>
  <si>
    <t>BARANGAY PROGRESO WESTE, ODIONGAN, ROMBLON</t>
  </si>
  <si>
    <t>LANDBANK OF THE PHILIPPINES - HEAD OFFICE</t>
  </si>
  <si>
    <t>MUNICIPALITY OF PINAMUNGAJAN, CEBU</t>
  </si>
  <si>
    <t>SAN LAZARO HOSPITAL</t>
  </si>
  <si>
    <t>BUREAU OF FIRE PROTECTION - ARMM</t>
  </si>
  <si>
    <t>BARANGAY PEÑAFRANCIA, DEL GALLEGO, CAMARINES SUR</t>
  </si>
  <si>
    <t>BARANGAY MASIPAG, PUERTO PRINCESA CITY, PALAWAN</t>
  </si>
  <si>
    <t>MALINTA ELEMENTARY SCHOOL</t>
  </si>
  <si>
    <t>LOCAL GOVERNMENT UNIT OF DAET</t>
  </si>
  <si>
    <t>DEPARTMENT OF PUBLIC WORKS AND HIGHWAYS - METRO MANILA 1ST E</t>
  </si>
  <si>
    <t>NATIONAL STATISTICS OFFICE - REGION X</t>
  </si>
  <si>
    <t>NATIONAL POWER CORPORATION</t>
  </si>
  <si>
    <t>BARANGAY SAN PEDRO -  TALIBON BOHOL</t>
  </si>
  <si>
    <t>MUNICIPALITY OF ROSARIO, AGUSAN DEL SUR</t>
  </si>
  <si>
    <t>BARANGAY CALUMPANG, GENERAL SANTOS CITY, SOUTH COTABATO</t>
  </si>
  <si>
    <t>ANGGA-AN ELEMENTARY SCHOOL</t>
  </si>
  <si>
    <t>TECHNICAL EDUCATION &amp; SKILLS DEVELOPMENT AUTHORITY - BAYOMBO</t>
  </si>
  <si>
    <t>DEPARTMENT OF EDUCATION - BOGO CITY, CEBU</t>
  </si>
  <si>
    <t>BARANGAY NAGSUPOTAN, SAN JUAN, ILOCOS SUR</t>
  </si>
  <si>
    <t>BUREAU OF FISHERIES AND AQUATIC RESOURCES - REGION XII</t>
  </si>
  <si>
    <t>BARANGAY MONTELAGO</t>
  </si>
  <si>
    <t>ENVIRONMENTAL MANAGEMENT BUREAU - DENR</t>
  </si>
  <si>
    <t>BARANGAY LIWAYWAY, ODIONGAN, ROMBLON</t>
  </si>
  <si>
    <t>PHILIPPINE STATISTICS AUTHORITY - KALINGA</t>
  </si>
  <si>
    <t>SOUTHVILLE VI ELEMENTARY SCHOOL</t>
  </si>
  <si>
    <t>BARANGAY CAGAY, LEON, ILOILO</t>
  </si>
  <si>
    <t>DEPED NUEVA ECIJA- CABIAO CENTRAL SCHOOL</t>
  </si>
  <si>
    <t>MAPULANG LUPA NATIONAL HIGH SCHOOL</t>
  </si>
  <si>
    <t>CABACUNGAN ELELMENTARY SCHOOL ,LA CASTELLANA-1,DIVISION OF N</t>
  </si>
  <si>
    <t>MUNICIPALITY OF MANUKAN, ZAMBOANGA DEL NORTE</t>
  </si>
  <si>
    <t>MUNICIPALITY OF ASTURIAS, CEBU</t>
  </si>
  <si>
    <t>DEPARTMENT OF EDUCATION - DIVISION OF CAGAYAN</t>
  </si>
  <si>
    <t>MUNICIPALITY OF BIRI, NORTHERN SAMAR</t>
  </si>
  <si>
    <t>LIBORAN ELEMENTARY SCHOOL</t>
  </si>
  <si>
    <t>MUNICIPALITY OF SAN ROQUE - NORTHERN SAMAR</t>
  </si>
  <si>
    <t>BARANGAY ZONE 1 POBLACION, ATIMONAN, QUEZON</t>
  </si>
  <si>
    <t>MUNICIPALITY OF PAMPLONA, CAGAYAN</t>
  </si>
  <si>
    <t>DEPARTMENT OF ENVIRONMENT AND NATURAL RESOURCES-10</t>
  </si>
  <si>
    <t>DEPARTMENT OF PUBLIC WORKS AND HIGHWAYS - PALAWAN 2ND DEO</t>
  </si>
  <si>
    <t>NATIONAL IRRIGATION ADMINISTRATION - CBIMO</t>
  </si>
  <si>
    <t>MUNICIPALITY OF PAOAY, ILOCOS NORTE</t>
  </si>
  <si>
    <t>PROVINCE OF DAVAO DEL SUR</t>
  </si>
  <si>
    <t>BARANGAY SALAVANTE, URBIZTONDO, PANGASINAN</t>
  </si>
  <si>
    <t>MUNICIPALITY OF STO. TOMAS, DAVAO DEL NORTE</t>
  </si>
  <si>
    <t>DEPARTMENT OF EDUCATION - SCHOOLS DIVISION OF BACOOR CITY</t>
  </si>
  <si>
    <t>NATIONAL DAIRY AUTHORITY - REGION X</t>
  </si>
  <si>
    <t>BARANGAY IGPIT, OPOL, MISAMIS ORIENTAL</t>
  </si>
  <si>
    <t>DON LUIS HIDALGO MEMORIAL SCHOOL</t>
  </si>
  <si>
    <t>CITY OF BISLIG, SURIGAO DEL SUR</t>
  </si>
  <si>
    <t>BARANGAY MANGHINAO PROPER, BAUAN, BATANGAS</t>
  </si>
  <si>
    <t>MUNICIPALITY OF LA TRINIDAD, BENGUET</t>
  </si>
  <si>
    <t>HOME DEVELOPMENT MUTUAL FUND - MAKATI BRANCH</t>
  </si>
  <si>
    <t>DEPARTMENT OF ENVIRONMENT AND NATURAL RES. - PENRO KALINGA</t>
  </si>
  <si>
    <t>MUNICIPALITY OF LA LIBERTAD, NEGROS ORIENTAL</t>
  </si>
  <si>
    <t>BARANGAY RIZAL - SAN ANDRES, CATANDUANES</t>
  </si>
  <si>
    <t>BARANGAY SAN ISIDRO, BAAO, CAMARINES SUR</t>
  </si>
  <si>
    <t>NATIONAL HOME MORTGAGE FINANCE CORPORATION</t>
  </si>
  <si>
    <t>DEPARTMENT OF SOCIAL WELFARE AND DEVELOPMENT - REGION VI</t>
  </si>
  <si>
    <t>DEPARTMENT OF PUBLIC WORKS AND HIGHWAYS - APAYAO 1ST DEO</t>
  </si>
  <si>
    <t>MUNICIPALITY OF MOBO, MASBATE</t>
  </si>
  <si>
    <t>MUNICIPALITY OF MAGDIWANG, ROMBLON</t>
  </si>
  <si>
    <t>CANUMAY WEST ELEMENTARY SCHOOL</t>
  </si>
  <si>
    <t>DEPARTMENT OF PUBLIC WORKS AND HIGHWAYS - ISABELA CITY DEO</t>
  </si>
  <si>
    <t>MAGSIKAP NATIONAL HIGH SCHOOL</t>
  </si>
  <si>
    <t>MUNICIPALITY OF STO. NIÑO, SAMAR</t>
  </si>
  <si>
    <t>BARANGAY BON-OT - SAN ANDRES, CATANDUANES</t>
  </si>
  <si>
    <t>BARANGAY WAGDAS, SAN ANDRES, CATANDUANES</t>
  </si>
  <si>
    <t>ANTONIO J. VILLEGAS VOCATIONAL HIGH SCHOOL</t>
  </si>
  <si>
    <t>TARLAC COLLEGE OF AGRICULTURE</t>
  </si>
  <si>
    <t>BARANGAY BULWANG MABIANY NEGROS ORIENTAL</t>
  </si>
  <si>
    <t xml:space="preserve">PHILIPPINE SCIENCE HIGH SCHOOL - ZAMBOANGA PENINSULA REGION </t>
  </si>
  <si>
    <t>LYDIA AGUILAR NATIONAL HIGH SCHOOL  - LAS PIÑAS CITY</t>
  </si>
  <si>
    <t>AGRICULTURAL TRAINING INSTITUTE-REGIONAL TRAINING CENTER X</t>
  </si>
  <si>
    <t>BARANGAY TONGONAN, KANANGA, LEYTE</t>
  </si>
  <si>
    <t>MUNICIPALITY OF MATAG-OB, LEYTE</t>
  </si>
  <si>
    <t>PHILIPPINE STATISTICS AUTHORITY - REGION VII</t>
  </si>
  <si>
    <t>DEPARTMENT OF PUBLIC WORKS AND HIGHWAYS - MINDORO OCCIDENTAL</t>
  </si>
  <si>
    <t>MUNICIPALITY OF BULAKAN BULACAN</t>
  </si>
  <si>
    <t>HOME DEVELOPMENT MUTUAL FUND - REGION I</t>
  </si>
  <si>
    <t>DEPARTMENT OF PUBLIC WORKS AND HIGHWAYS - REGION V</t>
  </si>
  <si>
    <t>BIODIVERSITY MANAGEMENT BUREAU</t>
  </si>
  <si>
    <t>MUNICIPALITY OF CABATUAN, ISABELA</t>
  </si>
  <si>
    <t>CITY OF BAGO, NEGROS OCCIDENTAL</t>
  </si>
  <si>
    <t>NATIONAL FOOD AUTHORITY  - REGION XII</t>
  </si>
  <si>
    <t>BARANGAY SAN MIGUEL, TOMAS OPPUS, SO. LEYTE</t>
  </si>
  <si>
    <t>MUNICIPALITY OF AKBAR  - BASILAN</t>
  </si>
  <si>
    <t>PINAPUGASAN ELEMENTARY SCHOOL</t>
  </si>
  <si>
    <t>MINDANAO STATE UNIVERSITY - NAAWAN</t>
  </si>
  <si>
    <t>MUNICIPALITY OF BAYABAS, SURIGAO DEL SUR</t>
  </si>
  <si>
    <t>BARANGAY ANTONINO, LABASON, ZAMBOANGA DEL NORTE</t>
  </si>
  <si>
    <t>DEPARTMENT OF EDUCATION - DIVISION OF CAVITE</t>
  </si>
  <si>
    <t>PLARIDEL WATER DISTRICT</t>
  </si>
  <si>
    <t>CITY OF GENERAL SANTOS , SOUTH COTABATO</t>
  </si>
  <si>
    <t>SK OF BARANGAY  BARANGAY CEMBO - MAKATI CITY</t>
  </si>
  <si>
    <t>BARANGAY YOOK, BUENAVISTA, MARINDUQUE</t>
  </si>
  <si>
    <t>CITY  OF CADIZ, NEGROS OCCIDENTAL</t>
  </si>
  <si>
    <t>DEPARTMENT OF PUBLIC WORKS AND HIGHWAYS - LEYTE 4TH DEO</t>
  </si>
  <si>
    <t>MAYSAN NATIONAL HIGH SCHOOL</t>
  </si>
  <si>
    <t>MUNICIPALITY OF GARCIA-HERNANDEZ, BOHOL</t>
  </si>
  <si>
    <t>ISABELA REHABILITATION CENTER</t>
  </si>
  <si>
    <t>MUNICIPALITY OF ORION, BATAAN</t>
  </si>
  <si>
    <t>CITY OF GUIHULNGAN, NEGROS ORIENTAL</t>
  </si>
  <si>
    <t>DEPARTMENT OF PUBLIC WORKS AND HIGHWAYS - BATANGAS IV DEO</t>
  </si>
  <si>
    <t>PROVINCE OF ALBAY</t>
  </si>
  <si>
    <t>BUREAU OF CUSTOMS</t>
  </si>
  <si>
    <t>SAN ILDEFONSO NATIONAL HIGH SCHOOL</t>
  </si>
  <si>
    <t>MUNICIPALITY OF POZORRUBIO, PANGASINAN</t>
  </si>
  <si>
    <t>CITY OF ORMOC, LEYTE</t>
  </si>
  <si>
    <t>DEPARTMENT OF AGRARIAN REFORM - PANGASINAN PROVINCIAL OFFICE</t>
  </si>
  <si>
    <t>CITY OF BOGO, CEBU</t>
  </si>
  <si>
    <t>JOSE RIZAL MEMORIAL STATE UNIVERSITY - MAIN CAMPUS</t>
  </si>
  <si>
    <t>BUREAU OF SOILS AND WATER MANAGEMENT</t>
  </si>
  <si>
    <t>MUNICIPALITY OF CANDIJAY, BOHOL</t>
  </si>
  <si>
    <t>CIVIL AVIATION AUTHORITY OF THE PHILIPPINES - CALBAYOG AIRPO</t>
  </si>
  <si>
    <t>DEPARTMENT OF FINANCE - MAIN</t>
  </si>
  <si>
    <t>ARTECHE NATIONAL AGRICULTURAL SCHOOL</t>
  </si>
  <si>
    <t>PHILIPPINE INFORMATION AGENCY - CARAGA REGIONAL OFFICE</t>
  </si>
  <si>
    <t>LBP RESOURCES AND DEVELOPMENT CORPORATION</t>
  </si>
  <si>
    <t>BARANGAY NATO</t>
  </si>
  <si>
    <t>NATIONAL IRRIGATION ADMINISTRATION - COTABATO IMO</t>
  </si>
  <si>
    <t>CAGAYAN VALLEY MEDICAL CENTER</t>
  </si>
  <si>
    <t>DR. JOSE RIZAL MEMORIAL HOSPITAL</t>
  </si>
  <si>
    <t>DON EMILIO DEL VALLE MEMORIAL HOSPITAL</t>
  </si>
  <si>
    <t>DEPARTMENT OF PUBLIC WORKS AND HIGHWAYS - PANGASINAN 3RD DEO</t>
  </si>
  <si>
    <t>DEPARTMENT OF PUBLIC WORKS AND HIGHWAYS - NORTH COTABATO 2ND</t>
  </si>
  <si>
    <t>KALINGA STATE UNIVERSITY</t>
  </si>
  <si>
    <t>PHILIPPINE STATISTICS AUTHORITY - REGION VIII</t>
  </si>
  <si>
    <t>MUNICIPALITY OF HINUNANGAN, SOUTHERN LEYTE</t>
  </si>
  <si>
    <t>DEPARTMENT OF TOURISM - INTRAMUROS ADMINISTRATION</t>
  </si>
  <si>
    <t>DEPARTMENT OF ENVIRONMENT AND NATURAL RESOURCES - MAIN</t>
  </si>
  <si>
    <t xml:space="preserve">TECHNICAL EDUCATION &amp; SKILLS DEVELOPMENT AUTHORITY - REGION </t>
  </si>
  <si>
    <t>LAND TRANSPORTATION OFFICE - REGION IX</t>
  </si>
  <si>
    <t>BARANGAY LOPEZ JAENA NORTE, LA PAZ, ILOILO CITY</t>
  </si>
  <si>
    <t>EARLY CHILDHOOD CARE AND DEVELOPMENT COUNCIL</t>
  </si>
  <si>
    <t>BUREAU OF FIRE PROTECTION - REGION VII</t>
  </si>
  <si>
    <t>MUNICIPALITY OF TUAO, CAGAYAN</t>
  </si>
  <si>
    <t>CITY OF SILAY, NEGROS OCCIDENTAL</t>
  </si>
  <si>
    <t>CARAGA STATE UNIVERSITY - CABADBARAN CAMPUS</t>
  </si>
  <si>
    <t>MUNICIPALITY OF BANTON, ROMBLON</t>
  </si>
  <si>
    <t>DEPARTMENT OF THE INTERIOR AND LOCAL GOVERNMENT - CARAGA</t>
  </si>
  <si>
    <t>DEPARTMENT OF TRADE AND INDUSTRY - REGION IV-B(MIMAROPA)</t>
  </si>
  <si>
    <t>DEPARTMENT OF SCIENCE AND TECHNOLOGY - REGION XI</t>
  </si>
  <si>
    <t>BARANGAY MAYONDON - LOS BAÑOS, LAGUNA</t>
  </si>
  <si>
    <t>BARANGAY 395, MANILA CITY</t>
  </si>
  <si>
    <t>VEINTE REALES NATIONAL HIGH SCHOOL</t>
  </si>
  <si>
    <t>DEPARTMENT OF PUBLIC WORKS AND HIGHWAYS - BULACAN 2ND DEO</t>
  </si>
  <si>
    <t>CIVIL SERVICE COMMISSION - REGION V</t>
  </si>
  <si>
    <t>LAND TRANSPORTATION OFFICE - R08</t>
  </si>
  <si>
    <t>DEPARTMENT OF PUBLIC WORKS AND HIGHWAYS - NCR</t>
  </si>
  <si>
    <t>LOWER SINASAAN ELEMENTARY SCHOOL - LOWER SINASAAN,PORTULIN</t>
  </si>
  <si>
    <t>MUNICIPALITY OF NABUA, CAMARINES SUR</t>
  </si>
  <si>
    <t>DEPARTMENT OF  EDUCATION - DIVISION OF CAUAYAN CITY</t>
  </si>
  <si>
    <t>MUNICIPALITY OF PILAR, SURIGAO DEL NORTE</t>
  </si>
  <si>
    <t>MALBOG ELEMENTARY SCHOOL</t>
  </si>
  <si>
    <t>DEPARTMENT OF HEALTH - CAR OFFICE</t>
  </si>
  <si>
    <t>BARANGAY STA. LUCIA - PASIG CITY</t>
  </si>
  <si>
    <t>CAWIT ELEMENTARY TEACHERS</t>
  </si>
  <si>
    <t>DISIPLINA VILLAGE BIGNAY NATIONAL HIGH SCHOOL - VALENZUELA C</t>
  </si>
  <si>
    <t>BUREAU OF FISHERIES AND AQUATIC RESOURCES</t>
  </si>
  <si>
    <t>DEPARTMENT OF ENVIRONMENT AND NATURAL RES. - PENRO CAVITE</t>
  </si>
  <si>
    <t>BARANGAY STA. CRUZ - ROSARIO, BATANGAS</t>
  </si>
  <si>
    <t>BARANGAY 563 ZONE 55 DISTRICT IV MANILA</t>
  </si>
  <si>
    <t>BARANGAY DOMINGA, DAVAO CITY</t>
  </si>
  <si>
    <t>DEPARTMENT OF SOCIAL WELFARE AND DEVELOPMENT - REGION IV-B</t>
  </si>
  <si>
    <t>GRACIANO LOPEZ JAENA ELEMENTARY SCHOOL - NEGROS OCCIDENTAL</t>
  </si>
  <si>
    <t>CENTRAL MINDANAO UNIVERSITY</t>
  </si>
  <si>
    <t>METRO LIPA WATER DISTRICT</t>
  </si>
  <si>
    <t>UNIVERSITY OF THE PHILIPPINES - SYSTEM</t>
  </si>
  <si>
    <t>TESDA WOMEN'S CENTER</t>
  </si>
  <si>
    <t>COAST GUARD EDUCATION TRAINING AND DOCTRINE COMMAND -PCG</t>
  </si>
  <si>
    <t>PROVINCE OF LA UNION</t>
  </si>
  <si>
    <t>112TH CONTRACTING OFFICE, AFPPS</t>
  </si>
  <si>
    <t>DEPARTMENT OF ENVIRONMENT AND NATURAL RES. - LAGANGILANG</t>
  </si>
  <si>
    <t>TIKALAAN NATIONAL HIGH SCHOOL, TIKALAAN, TALAKAG, BUKIDNON</t>
  </si>
  <si>
    <t>MUNICIPALITY OF CABATUAN, ILOILO</t>
  </si>
  <si>
    <t>BARANGAY MALAYANTOC, STO. DOMINGO, NUEVA ECIJA</t>
  </si>
  <si>
    <t>DEPARTMENT OF LABOR AND EMPLOYMENT - ADMINISTRATIVE SERVICES</t>
  </si>
  <si>
    <t>PHIL. ATMOSPHERIC GEOPHYSICAL &amp; ASTRONOMICAL SERVICES ADM.</t>
  </si>
  <si>
    <t>DEPARTMENT OF PUBLIC WORKS AND HIGHWAYS - BUKIDNON 2ND DEO</t>
  </si>
  <si>
    <t>CITY OF DUMAGUETE, NEGROS ORIENTAL</t>
  </si>
  <si>
    <t xml:space="preserve">DEPARTMENT OF PUBLIC WORKS AND HIGHWAYS - CAMARINES SUR 4TH </t>
  </si>
  <si>
    <t>PHILIPPINE STATISTICS AUTHORITY - REGION XIII</t>
  </si>
  <si>
    <t>CITY OF SAN JOSE, NUEVA ECIJA</t>
  </si>
  <si>
    <t>MUNICIPALITY OF LIAN, BATANGAS</t>
  </si>
  <si>
    <t>NATIONAL POWER CORPORATION - MINDANAO GENERATION</t>
  </si>
  <si>
    <t>DEPARTMENT OF PUBLIC WORKS AND HIGHWAYS - SORSOGON 1ST DEO</t>
  </si>
  <si>
    <t>NATIONAL NUTRITION COUNCIL</t>
  </si>
  <si>
    <t>DEPARTMENT OF PUBLIC WORKS AND HIGHWAYS - QUEZON 4TH ED</t>
  </si>
  <si>
    <t>BARANGAY CALANGGAMAN, UBAY, BOHOL</t>
  </si>
  <si>
    <t>MUNICIPALITY OF LAUA-AN, ANTIQUE</t>
  </si>
  <si>
    <t>DEPARTMENT OF TRADE AND INDUSTRY - REGION III  NUEVA ECIJA</t>
  </si>
  <si>
    <t>MUNICIPALITY OF BURGOS, ILOCOS NORTE</t>
  </si>
  <si>
    <t>BARANGAY 19 SANTA, MARCELA, LAOAG CITY, ILOCOS NORTE</t>
  </si>
  <si>
    <t>MUNICIPALITY OF SAGBAYAN, BOHOL</t>
  </si>
  <si>
    <t>CITY OF SANTIAGO, ISABELA</t>
  </si>
  <si>
    <t>LUNG CENTER OF THE PHILIPPINES</t>
  </si>
  <si>
    <t>CITY OF MALAYBALAY, BUKIDNON</t>
  </si>
  <si>
    <t>CITY OF GINGOOG, MISAMIS ORIENTAL</t>
  </si>
  <si>
    <t>MUNICIPALITY OF DINALUPIHAN, BATAAN</t>
  </si>
  <si>
    <t>BARANGAY MAGNESIA DEL NORTE - VIRAC, CATANDUANES</t>
  </si>
  <si>
    <t>PAG-IBIG FUND - DAVAO HUB (TECHNICAL AND ADMIN SUPPORT)</t>
  </si>
  <si>
    <t>PROVINCE OF NEGROS ORIENTAL</t>
  </si>
  <si>
    <t>BUREAU OF INTERNAL REVENUE - REVENUE REGION NO. 2</t>
  </si>
  <si>
    <t>DEPARTMENT OF PUBLIC WORKS AND HIGHWAYS - CEBU CITY DEO</t>
  </si>
  <si>
    <t>MUNICIPALITY OF BATAD, ILOILO</t>
  </si>
  <si>
    <t>MUNICIPALITY OF CORON, PALAWAN</t>
  </si>
  <si>
    <t>MUNICIPALITY OF PANTUKAN, COMPOSTELA VALLEY</t>
  </si>
  <si>
    <t>MUNICIPALITY OF DUMALAG, CAPIZ</t>
  </si>
  <si>
    <t>BUREAU OF AGRICULTURAL RESEARCH</t>
  </si>
  <si>
    <t>MUNICIPALITY OF SAN JUAN, SIQUIJOR</t>
  </si>
  <si>
    <t>VALENZUELA MEDICAL CENTER</t>
  </si>
  <si>
    <t>MUNICIPALITY OF CATARMAN, CAMIGUIN</t>
  </si>
  <si>
    <t>NATIONAL IRRIGATION ADMINISTRATION - MALITUBOG-MARIDAGAO IRR</t>
  </si>
  <si>
    <t>MUNICIPALITY OF NEW CORELLA, DAVAO DEL NORTE</t>
  </si>
  <si>
    <t>ASUNCION WATER DISTRICT</t>
  </si>
  <si>
    <t>LAND BANK OF THE PHILIPPINES - REGION X</t>
  </si>
  <si>
    <t>BUREAU OF INTERNAL REVENUE - REVENUE REGION NO. 16</t>
  </si>
  <si>
    <t>MUNICIPALITY OF BURGOS, PANGASINAN</t>
  </si>
  <si>
    <t>ISABELA STATE UNIVERSITY - ECHAGUE</t>
  </si>
  <si>
    <t>DEPARTMENT OF SOCIAL WELFARE AND DEVELOPMENT - REGION XII</t>
  </si>
  <si>
    <t>MUNICIPALITY OF LA CASTELLANA, NEGROS OCCIDENTAL</t>
  </si>
  <si>
    <t>PROVINCE OF KALINGA</t>
  </si>
  <si>
    <t>DIPOLOG CITY WATER DISTRICT</t>
  </si>
  <si>
    <t>MUNICIPALITY OF HILONGOS, LEYTE</t>
  </si>
  <si>
    <t>DEPARTMENT OF PUBLIC WORKS AND HIGHWAYS - CAR</t>
  </si>
  <si>
    <t>DEPARTMENT OF LABOR AND EMPLOYMENT - REGION II</t>
  </si>
  <si>
    <t>BAGUIO GENERAL HOSPITAL AND MEDICAL CENTER</t>
  </si>
  <si>
    <t>DATING BAYAN ELEMENTARY SCHOOL</t>
  </si>
  <si>
    <t>MUNICIPALITY OF RIZAL, KALINGA</t>
  </si>
  <si>
    <t>MUNICIPALITY OF LA PAZ, AGUSAN DEL SUR</t>
  </si>
  <si>
    <t>BUREAU OF PLANT INDUSTRY - NCR</t>
  </si>
  <si>
    <t>BATANES GENERAL HOSPITAL</t>
  </si>
  <si>
    <t>MUNICIPALITY OF ILAGAN, ISABELA</t>
  </si>
  <si>
    <t>ANTIQUE NATIONAL SCHOOL</t>
  </si>
  <si>
    <t>DEPARTMENT OF EDUCATION - DIVISION OF AURORA</t>
  </si>
  <si>
    <t>MUNICIPALITY OF LAAK, COMPOSTELA VALLEY</t>
  </si>
  <si>
    <t>CITY OF SAN PABLO, LAGUNA</t>
  </si>
  <si>
    <t>MUNICIPALITY OF BULAN, SORSOGON</t>
  </si>
  <si>
    <t>MUNICIPALITY OF NORZAGARAY, BULACAN</t>
  </si>
  <si>
    <t>104TH CONTRACTING OFFICE, AFP PROCUREMENT SERVICE</t>
  </si>
  <si>
    <t>MUNICIPALITY OF ROMBLON, ROMBLON</t>
  </si>
  <si>
    <t>PROVINCE OF SURIGAO DEL SUR</t>
  </si>
  <si>
    <t>CITY OF SAN PEDRO, LAGUNA</t>
  </si>
  <si>
    <t>DAVAO CITY WATER DISTRICT</t>
  </si>
  <si>
    <t>DEPARTMENT OF PUBLIC WORKS AND HIGHWAYS - IFUGAO</t>
  </si>
  <si>
    <t>MUNICIPALITY OF SAN MARIANO, ISABELA</t>
  </si>
  <si>
    <t>CITY OF TAGBILARAN, BOHOL</t>
  </si>
  <si>
    <t>PHILIPPINE CENTER FOR POSTHARVEST DEV'T AND MECHANIZATION</t>
  </si>
  <si>
    <t>MUNICIPALITY OF BUGUEY, CAGAYAN</t>
  </si>
  <si>
    <t>MUNICIPALITY OF DUMINGAG, ZAMBOANGA DEL SUR</t>
  </si>
  <si>
    <t>NORTHERN ILOILO POLYTECHNIC STATE COLLEGE</t>
  </si>
  <si>
    <t>PROVINCE OF SIQUIJOR</t>
  </si>
  <si>
    <t>JOSE R. REYES MEMORIAL MEDICAL CENTER</t>
  </si>
  <si>
    <t>CITY OF SAN FERNANDO, LA UNION</t>
  </si>
  <si>
    <t>MUNICIPALITY OF ALORAN, MISAMIS OCCIDENTAL</t>
  </si>
  <si>
    <t>DEPARTMENT OF ENVIRONMENT AND NATURAL RES. - PENRO MISAMIS O</t>
  </si>
  <si>
    <t>MUNICIPALITY OF CANAMAN, CAMARINES SUR</t>
  </si>
  <si>
    <t>PROVINCE OF PAMPANGA</t>
  </si>
  <si>
    <t>DEPARTMENT OF AGRARIAN REFORM - ARCDP</t>
  </si>
  <si>
    <t>CITY OF CALAPAN, ORIENTAL MINDORO</t>
  </si>
  <si>
    <t>BARANGAY BEL-AIR, MAKATI CITY</t>
  </si>
  <si>
    <t>LITTLE BAGUIO ELEMENTARY SCHOOL - SAN FERNANDO BUKIDNON</t>
  </si>
  <si>
    <t>DEPARTMENT OF ENVIRONMENT AND NATURAL RESOURCES - REGION II</t>
  </si>
  <si>
    <t>CLIMATE CHANGE COMMISSION</t>
  </si>
  <si>
    <t>MUNICIPALITY OF SURALLAH, SOUTH COTABATO</t>
  </si>
  <si>
    <t>CITY OF BUTUAN, AGUSAN DEL NORTE</t>
  </si>
  <si>
    <t>BARANGAY TAYTAY, NAGCARLAN, LAGUNA</t>
  </si>
  <si>
    <t>PROVINCE OF DINAGAT ISLANDS</t>
  </si>
  <si>
    <t>BUREAU OF FISHERIES AND AQUATIC RESOURCES - REGION III</t>
  </si>
  <si>
    <t>DICT, FIELD OPERATIONS OFFICE, LUZON CLUSTER 1</t>
  </si>
  <si>
    <t>BARANGAY SAN PEDRO, SAN LUIS, AGUSAN DEL SUR</t>
  </si>
  <si>
    <t>103RD CONTRACTING OFFICE, AFP PROCUREMENT SERVICE</t>
  </si>
  <si>
    <t>NATIONAL STATISTICS OFFICE - REGION V</t>
  </si>
  <si>
    <t>MUNICIPALITY OF GUINAYANGAN, QUEZON</t>
  </si>
  <si>
    <t>MALANDAY NATIONAL HIGH SCHOOL - VALENZUELA CITY METRO MANILA</t>
  </si>
  <si>
    <t>DEPARTMENT OF FOREIGN AFFAIRS - MAIN</t>
  </si>
  <si>
    <t>ZAMBOANGA CITY STATE POLYTECHNIC COLLEGE</t>
  </si>
  <si>
    <t>CITY OF MATI, PROVINCE OF DAVAO ORIENTAL</t>
  </si>
  <si>
    <t>BICOL REGION GENERAL HOSPITAL AND GERIATRIC MEDICAL CENTER(F</t>
  </si>
  <si>
    <t>MUNICIPALITY OF TIGBAO, ZAMBOANGA DEL SUR</t>
  </si>
  <si>
    <t>DEPARTMENT OF EDUCATION - DIVISION OF ALBAY</t>
  </si>
  <si>
    <t>MUNICIPALITY OF CAGWAIT, SURIGAO DEL SUR</t>
  </si>
  <si>
    <t>NATIONAL MAPPING AND RESOURCE INFORMATION AUTHORITY (NAMRIA)</t>
  </si>
  <si>
    <t>MUNICIPALITY OF PADRE GARCIA, BATANGAS</t>
  </si>
  <si>
    <t>CITY  OF HIMAMAYLAN, NEGROS OCCIDENTAL</t>
  </si>
  <si>
    <t>BUREAU OF QUARANTINE</t>
  </si>
  <si>
    <t>BARANGAY SAN FRANCISCO EAST - ANAO TARLAC</t>
  </si>
  <si>
    <t>VILLA CONCEPCION NATIONAL HIGH SCHOOL - CAUAYAN CITY ISABELA</t>
  </si>
  <si>
    <t>BARANGAY SAMPIRO - SAN JUAN BATANGAS</t>
  </si>
  <si>
    <t>MUNICIPALITY OF SAN ESTEBAN, ILOCOS SUR</t>
  </si>
  <si>
    <t>MUNICIPALITY OF CALAPE, BOHOL</t>
  </si>
  <si>
    <t>DEPARTMENT OF EDUCATION - DIVISION OF CAGAYAN DE ORO</t>
  </si>
  <si>
    <t>TOURISM PROMOTIONS BOARD</t>
  </si>
  <si>
    <t>MUNICIPALITY OF DIMATALING, ZAMBOANGA DEL SUR</t>
  </si>
  <si>
    <t>MUNICIPALITY OF ISULAN, SULTAN KUDARAT</t>
  </si>
  <si>
    <t>CITY OF SIPALAY, NEGROS OCCIDENTAL</t>
  </si>
  <si>
    <t>SOUTHERN ISABELA MEDICAL CENTER</t>
  </si>
  <si>
    <t>DEPARTMENT OF AGRICULTURE - REGION VIII</t>
  </si>
  <si>
    <t>DEPARTMENT OF PUBLIC WORKS AND HIGHWAYS - QUEZON 2ND ED</t>
  </si>
  <si>
    <t>MUNICIPALITY OF BAGABAG, NUEVA VIZCAYA</t>
  </si>
  <si>
    <t>LA TRINIDAD WATER DISTRICT - LA TRINIDAD BENGUET</t>
  </si>
  <si>
    <t>MUNICIPALITY OF ALANGALANG, LEYTE</t>
  </si>
  <si>
    <t>ENVIRONMENTAL MANAGEMENT BUREAU - NCR, DENR</t>
  </si>
  <si>
    <t>MUNICIPALITY OF SAN GUILLERMO, ISABELA</t>
  </si>
  <si>
    <t>MUNICIPALITY OF ANAHAWAN, SOUTHERN LEYTE</t>
  </si>
  <si>
    <t>OFFICE OF THE VICE-PRESIDENT OF THE PHILIPPINES</t>
  </si>
  <si>
    <t>MUNICIPALITY OF QUEZON, NUEVA VIZCAYA</t>
  </si>
  <si>
    <t>MUNICIPALITY OF STO. NIÑO, CAGAYAN</t>
  </si>
  <si>
    <t>SCHISTOSOMIASIS CONTROL AND RESEARCH HOSPITAL</t>
  </si>
  <si>
    <t>MUNICIPALITY OF BONTOC, SOUTHERN LEYTE</t>
  </si>
  <si>
    <t>CITY OF DAVAO, DAVAO DEL SUR</t>
  </si>
  <si>
    <t>MUNICIPALITY OF STA. TERESITA, BATANGAS</t>
  </si>
  <si>
    <t>CARCAR WATER DISTRICT</t>
  </si>
  <si>
    <t>MUNICIPALITY OF CAN-AVID, EASTERN SAMAR</t>
  </si>
  <si>
    <t>MUNICIPALITY OF BULA, CAMARINES SUR</t>
  </si>
  <si>
    <t>TINAYTAYAN ELEMENTARY SCHOOL</t>
  </si>
  <si>
    <t>MUNICIPALITY OF SISON, PANGASINAN</t>
  </si>
  <si>
    <t>ZAMBOANGA DEL NORTE NATIONAL HIGH SCHOOL</t>
  </si>
  <si>
    <t>MUNICIPALITY OF SAN FABIAN, PANGASINAN</t>
  </si>
  <si>
    <t>TUKURAN TECHNICAL-VOCATIONAL HIGH SCHOOL</t>
  </si>
  <si>
    <t>ISLAND GARDEN CITY OF SAMAL, DAVAO DEL NORTE</t>
  </si>
  <si>
    <t>BARANGAY TATALON, QUEZON CITY</t>
  </si>
  <si>
    <t>DEPARTMENT OF AGRARIAN REFORM - MAIN</t>
  </si>
  <si>
    <t>MUNICIPALITY OF CALAUAG, QUEZON</t>
  </si>
  <si>
    <t>PHILIPPINE POSTAL CORPORATION - REGION I</t>
  </si>
  <si>
    <t>305TH CONTRACTING OFFICE, AFP PROCUREMENT SERVICE</t>
  </si>
  <si>
    <t>PHILIPPINE COMPETITION COMMISSION</t>
  </si>
  <si>
    <t>PHIVIDEC INDUSTRIAL AUTHORITY, DND</t>
  </si>
  <si>
    <t>MUNICIPALITY OF LAMBUNAO, ILOILO</t>
  </si>
  <si>
    <t>BARANGAY STO. NINO, TALAINGOD, DAVAO DEL NORTE</t>
  </si>
  <si>
    <t>CENTER FOR HEALTH DEVELOPMENT - REGION I</t>
  </si>
  <si>
    <t>METRO BANGUED WATER DISTRICT</t>
  </si>
  <si>
    <t>CAGAYAN STATE UNIVERSITY - GONZAGA</t>
  </si>
  <si>
    <t>PHILIPPINE HIGH SCHOOL  FOR THE ARTS, NATIONAL ARTS CENTER</t>
  </si>
  <si>
    <t>DOLOGON NATIONAL HIGH SCHOOL</t>
  </si>
  <si>
    <t>BARANGAY ROXAS VILLAGE, CITY PROPER, ILOILO CITY</t>
  </si>
  <si>
    <t xml:space="preserve">MANGANI ELEMENTARY SCHOOL - DAVAO CITY DAVAO DEL SUR REGION </t>
  </si>
  <si>
    <t>BARANGAY QUIPOT - SAN JUAN, BATANGAS</t>
  </si>
  <si>
    <t>NEGROS ORIENTAL STATE UNIVERSITY - GUIHULNGAN</t>
  </si>
  <si>
    <t>BARANGAY TANZA ESPERANZA, ILOILO CITY</t>
  </si>
  <si>
    <t>SK OF BARANGAY MUZON II - ROSARIO CAVITE</t>
  </si>
  <si>
    <t>CITY OF EL SALVADOR, MISAMIS ORIENTAL</t>
  </si>
  <si>
    <t>MUNICIPALITY OF LOBOC, BOHOL</t>
  </si>
  <si>
    <t>MUNICIPALITY OF SEVILLA, BOHOL</t>
  </si>
  <si>
    <t>NATIONAL IRRIGATION ADMINISTRATION - QIMO</t>
  </si>
  <si>
    <t>MUNICIPALITY OF VINTAR, ILOCOS NORTE</t>
  </si>
  <si>
    <t>MUNICIPALITY OF DAUIS, BOHOL</t>
  </si>
  <si>
    <t>BARANGAY 88, TACLOBAN CITY, LEYTE</t>
  </si>
  <si>
    <t>DOMINADOR "OKING" JISON MEMORIAL ELEMENTARY SCHOOL</t>
  </si>
  <si>
    <t>GAMES AND AMUSEMENTS BOARD</t>
  </si>
  <si>
    <t>CENTRAL BOARD OF ASSESSMENT APPEALS</t>
  </si>
  <si>
    <t>PHILIPPINE STATISTICS AUTHORITY - REGION IV-B</t>
  </si>
  <si>
    <t>BATAAN PENINSULA STATE UNIVERSITY</t>
  </si>
  <si>
    <t>BARANGAY SIMON LEDESMA JARO, ILOILO CITY</t>
  </si>
  <si>
    <t>MUNICIPALITY OF SAN REMIGIO, CEBU</t>
  </si>
  <si>
    <t>DEPARTMENT OF JUSTICE - MAIN</t>
  </si>
  <si>
    <t>CITY OF MALABON</t>
  </si>
  <si>
    <t>CAMARINES SUR POLYTECHNIC COLLEGES - NABUA CAMPUS</t>
  </si>
  <si>
    <t>MUNICIPALITY OF NUNUNGAN, LANAO DEL NORTE</t>
  </si>
  <si>
    <t>MINISTRY OF THE INTERIOR AND LOCAL GOVERNMENT - BARMM</t>
  </si>
  <si>
    <t>PROVINCE OF OCCIDENTAL MINDORO</t>
  </si>
  <si>
    <t>MUNICIPALITY OF ALILEM, ILOCOS SUR</t>
  </si>
  <si>
    <t>DEPARTMENT OF TOURISM - REGION VIII</t>
  </si>
  <si>
    <t>BARANGAY MV HECHANOVA, ILOILO CITY</t>
  </si>
  <si>
    <t>DEPARTMENT OF ENVIRONMENT AND NATURAL RESOURCES - REGION I</t>
  </si>
  <si>
    <t>MUNICIPALITY OF BACOLOR, PAMPANGA</t>
  </si>
  <si>
    <t>MUNICIPALITY OF MARIBOJOC, BOHOL</t>
  </si>
  <si>
    <t>BARANGAY BANENGBENG, SABLAN, BENGUET</t>
  </si>
  <si>
    <t>MUNICIPALITY OF BALASAN, ILOILO</t>
  </si>
  <si>
    <t>BARANGAY CALAMPITAO - IGBARAS, ILOILO</t>
  </si>
  <si>
    <t>BUREAU OF FISHERIES AND AQUATIC RESOURCES REGION 1</t>
  </si>
  <si>
    <t>MUNICIPALITY OF CARMEN, CEBU</t>
  </si>
  <si>
    <t>MAKATI HIGH SCHOOL</t>
  </si>
  <si>
    <t>BARANGAY MAKALANGOT - ARAKAN COTABATO</t>
  </si>
  <si>
    <t>MUNICIPALITY OF CABARROGUIS, QUIRINO</t>
  </si>
  <si>
    <t>BARANGAY STA. MARIA, FLORA, APAYAO</t>
  </si>
  <si>
    <t>MUNICIPALITY OF STO. TOMAS, BATANGAS</t>
  </si>
  <si>
    <t>TECHNICAL EDUCATION &amp; SKILLS DEVELOPMENT AUTHORITY - NCR</t>
  </si>
  <si>
    <t>MUNICIPALITY OF PINAMALAYAN, ORIENTAL MINDORO</t>
  </si>
  <si>
    <t>108TH CONTRACTING OFFICE, AFP PROCUREMENT SERVICE</t>
  </si>
  <si>
    <t>PAG-ASA CENTRAL SCHOOL</t>
  </si>
  <si>
    <t>406TH CONTRACTING OFFICE, AFP PROCUREMENT SERVICE</t>
  </si>
  <si>
    <t>ISABELA STATE UNIVERSITY - CAUAYAN CAMPUS</t>
  </si>
  <si>
    <t>BOCAUE WATER DISTRICT</t>
  </si>
  <si>
    <t>DEPARTMENT OF ENVIRONMENT AND NATURAL RES. - REGION VIII</t>
  </si>
  <si>
    <t>CITY OF NAGA, CAMARINES SUR</t>
  </si>
  <si>
    <t>MUNICIPALITY OF AYUNGON, NEGROS ORIENTAL</t>
  </si>
  <si>
    <t>MUNICIPALITY OF RIZAL, ZAMBOANGA DEL NORTE</t>
  </si>
  <si>
    <t>BARANGAY SAN ROQUE - BUENAVISTA, GUIMARAS</t>
  </si>
  <si>
    <t>MUNICIPALITY OF LOON, BOHOL</t>
  </si>
  <si>
    <t>DEPARTMENT OF ENVIRONMENT AND NATURAL RESOURCES - REGION IX</t>
  </si>
  <si>
    <t>MUNICIPALITY OF CARMEN, AGUSAN DEL NORTE</t>
  </si>
  <si>
    <t>MUNICIPALITY OF SAN FRANCISCO, AGUSAN DEL SUR</t>
  </si>
  <si>
    <t>MUNICIPALITY OF MAGALLANES, SORSOGON</t>
  </si>
  <si>
    <t>LINGI-ON ELEMENTARY SCHOOL</t>
  </si>
  <si>
    <t>EDUCATION &amp; TRAINING SCHOOL I BACOLOD NEGROS OCCIDENTAL</t>
  </si>
  <si>
    <t>PNOC - ALTERNATIVE FUELS CORPORATION</t>
  </si>
  <si>
    <t>MUNICIPALITY OF LIMASAWA, SOUTHERN LEYTE</t>
  </si>
  <si>
    <t>MUNICIPALITY OF MABINI, PANGASINAN</t>
  </si>
  <si>
    <t>CAUAYAN CITY WATER DISTRICT</t>
  </si>
  <si>
    <t>MUNICIPALITY OF ODIONGAN, ROMBLON</t>
  </si>
  <si>
    <t>MUNICIPALITY OF DUMARAN, PALAWAN</t>
  </si>
  <si>
    <t>MUNICIPALITY OF DINAS, ZAMBOANGA DEL SUR</t>
  </si>
  <si>
    <t>DEPARTMENT OF AGRICULTURE - CARAGA</t>
  </si>
  <si>
    <t>BACOLOD CITY WATER DISTRICT</t>
  </si>
  <si>
    <t>MUNICIPALITY OF AGNO, PANGASINAN</t>
  </si>
  <si>
    <t>MUNICIPALITY OF BALAYAN, BATANGAS</t>
  </si>
  <si>
    <t>BARANGAY 562 ZONE 55, MANILA</t>
  </si>
  <si>
    <t>CIVIL AVIATION AUTHORITY OF THE PHILIPPINES</t>
  </si>
  <si>
    <t>NATIONAL FOOD AUTHORITY - MAMBURAO BRANCH</t>
  </si>
  <si>
    <t>PROVINCE OF CAGAYAN</t>
  </si>
  <si>
    <t>MUNICIPALITY OF LOOC, OCCIDENTAL MINDORO</t>
  </si>
  <si>
    <t>BATAAN GENERAL HOSPITAL AND MEDICAL CENTER</t>
  </si>
  <si>
    <t>MUNICIPALITY OF KAPALONG, DAVAO DEL NORTE</t>
  </si>
  <si>
    <t>MUNICIPALITY  OF MALASIQUI, PANGASINAN</t>
  </si>
  <si>
    <t>PROVINCE OF SARANGANI</t>
  </si>
  <si>
    <t>BUREAU OF BROADCAST SERVICES</t>
  </si>
  <si>
    <t>DEPARTMENT OF SOCIAL WELFARE AND DEVELOPMENT - MAIN</t>
  </si>
  <si>
    <t xml:space="preserve">DEPARTMENT OF PUBLIC WORKS AND HIGHWAYS - CAMARINES SUR 2ND </t>
  </si>
  <si>
    <t>DEPARTMENT OF PUBLIC WORKS AND HIGHWAYS - REGION IX</t>
  </si>
  <si>
    <t>BARANGAY SAN ANTONIO, MAKATI CITY</t>
  </si>
  <si>
    <t>MUNICIPALITY OF BUENAVISTA, BOHOL</t>
  </si>
  <si>
    <t>BARANGAY POTOL, INFANTA, PANGASINAN</t>
  </si>
  <si>
    <t>BARANGAY STA. ANASTACIA, STO. TOMAS, BATANGAS</t>
  </si>
  <si>
    <t>DEPARTMENT OF PUBLIC WORKS AND HIGHWAYS - PAMPANGA 3RD DEO</t>
  </si>
  <si>
    <t>DEPARTMENT OF PUBLIC WORKS AND HIGHWAYS - ZAMBOANGA DEL NORT</t>
  </si>
  <si>
    <t>TABAO ELEMENTARY SCHOOL</t>
  </si>
  <si>
    <t>LIGA NG MGA BARANGAY, BANSALAN, DAVAO DEL SUR</t>
  </si>
  <si>
    <t>MUNICIPALITY OF SAN LUIS, PAMPANGA</t>
  </si>
  <si>
    <t>MINES AND GEO-SCIENCES BUREAU - REGION IV</t>
  </si>
  <si>
    <t>DEPARTMENT OF HEALTH - SAN FERNANDO CITY PAMPANGA</t>
  </si>
  <si>
    <t>MUNICIPALITY OF MANKAYAN, BENGUET</t>
  </si>
  <si>
    <t>MUNICIPALITY OF MEXICO, PAMPANGA</t>
  </si>
  <si>
    <t>MUNICIPALITY OF GINGOOG CITY, MISAMIS ORIENTAL</t>
  </si>
  <si>
    <t>MUNICIPALITY OF CAMALIGAN, CAMARINES SUR</t>
  </si>
  <si>
    <t>BICOL UNIVERSITY</t>
  </si>
  <si>
    <t>MUNICIPALITY OF PILI, CAMARINES SUR</t>
  </si>
  <si>
    <t>PROVINCE OF QUIRINO</t>
  </si>
  <si>
    <t>MUNICIPALITY OF HINIGARAN, NEGROS OCCIDENTAL</t>
  </si>
  <si>
    <t>ISABELA STATE UNIVERSITY - ILAGAN CAMPUS</t>
  </si>
  <si>
    <t>MUNICIPALITY OF ANDA, PANGASINAN</t>
  </si>
  <si>
    <t>DEPARTMENT OF AGRICULTURE - MAIN</t>
  </si>
  <si>
    <t>CIVIL AVIATION AUTHORITY OF THE PHILIPPINES - AREA 4</t>
  </si>
  <si>
    <t>MUNICIPALITY OF JOSE PANGANIBAN, CAMARINES NORTE</t>
  </si>
  <si>
    <t>CARMONA WATER DISTRICT</t>
  </si>
  <si>
    <t>MUNICIPALITY OF CONCEPCION, ROMBLON</t>
  </si>
  <si>
    <t>MUNICIPALITY OF TAGOLOAN, MISAMIS ORIENTAL</t>
  </si>
  <si>
    <t>PHILIPPINE DEPOSIT INSURANCE CORPORATION</t>
  </si>
  <si>
    <t>PHILIPPINE PORTS AUTHORITY - REGION VI</t>
  </si>
  <si>
    <t>NATIONAL IRRIGATION ADMINISTRATION - REGION XI</t>
  </si>
  <si>
    <t>BARANGAY URDANETA, MAKATI CITY</t>
  </si>
  <si>
    <t>UNIVERSITY OF THE PHILIPPINES - VISAYAS</t>
  </si>
  <si>
    <t>ISABELA STATE UNIVERSITY - CABAGAN CAMPUS</t>
  </si>
  <si>
    <t>CIVIL AVIATION AUTHORITY OF THE PHILIPPINES - DUMAGUETE</t>
  </si>
  <si>
    <t>NATIONAL IRRIGATION ADMINISTRATION - ZAMBOANGA SIBUGAY</t>
  </si>
  <si>
    <t>DEPARTMENT OF ENVIRONMENT AND NATURAL RES. - PENRO S. KUDARA</t>
  </si>
  <si>
    <t>LEGAZPI CITY WATER DISTRICT</t>
  </si>
  <si>
    <t>RIZAL MEDICAL CENTER</t>
  </si>
  <si>
    <t>VICTORIAS CITY WATER DISTRICT</t>
  </si>
  <si>
    <t>BARANGAY DANAO - JANIUAY ILOILO</t>
  </si>
  <si>
    <t>GENERAL TIBURCIO DE LEON NATIONAL HIGH SCHOOL</t>
  </si>
  <si>
    <t>PAMANTASAN NG LUNGSOD NG MAYNILA</t>
  </si>
  <si>
    <t>SORSOGON STATE COLLEGE - SORSOGON CITY</t>
  </si>
  <si>
    <t>DEPARTMENT OF ENVIRONMENT AND NATURAL RESOURCES - R II PENRO</t>
  </si>
  <si>
    <t>UNIVERSITY OF THE PHILIPPINES - MANILA</t>
  </si>
  <si>
    <t>ANGELA GONZAGA NATIONAL HIGH SCHOOL - BACOLOD CITY NEGROS OC</t>
  </si>
  <si>
    <t>MUNICIPALITY OF MALVAR, BATANGAS</t>
  </si>
  <si>
    <t>NATIONAL TRANSMISSION CORPORATION(TRANSCO)</t>
  </si>
  <si>
    <t>PAGADIAN WATER DISTRICT</t>
  </si>
  <si>
    <t>MUNICIPALITY OF ASINGAN, PANGASINAN</t>
  </si>
  <si>
    <t>MUNICIPALITY OF AGLIPAY, QUIRINO</t>
  </si>
  <si>
    <t>MUNICIPALITY OF TERESA, RIZAL</t>
  </si>
  <si>
    <t>PROVINCIAL GOVERNMENT OF SURIGAO DEL NORTE</t>
  </si>
  <si>
    <t>DEPARTMENT OF EDUCATION - DIVISION OF SULTAN KUDARAT</t>
  </si>
  <si>
    <t>CITY OF BAGUIO, BENGUET</t>
  </si>
  <si>
    <t>COMMISSION ON ELECTIONS</t>
  </si>
  <si>
    <t>NATIONAL IRRIGATION ADMINISTRATION - REGION V</t>
  </si>
  <si>
    <t>MUNICIPALITY OF SABLAYAN, OCCIDENTAL MINDORO</t>
  </si>
  <si>
    <t>MUNICIPALITY OF CATIGBIAN, BOHOL</t>
  </si>
  <si>
    <t>BARANGAY SAMBAL ILAYA, LEMERY, BATANGAS</t>
  </si>
  <si>
    <t>MUNICIPALITY OF MAYANTOC, TARLAC</t>
  </si>
  <si>
    <t>105TH CONTRACTING OFFICE, AFP PROCUREMENT SERVICE</t>
  </si>
  <si>
    <t>MUNICIPALITY OF SANTOL, LA UNION</t>
  </si>
  <si>
    <t>DEPARTMENT OF EDUCATION - DIVISION OF SAN PABLO CITY</t>
  </si>
  <si>
    <t>BARANGAY CONCEPCION, SAN PABLO CITY</t>
  </si>
  <si>
    <t>UNIVERSITY OF SCIENCE AND TECHNOLOGY OF SOUTHERN PHILIPPINES</t>
  </si>
  <si>
    <t>BARANGAY COTTA, LUCENA CITY</t>
  </si>
  <si>
    <t>PRESIDENTIAL COMMUNICATIONS OPERATIONS OFFICE</t>
  </si>
  <si>
    <t>MUNICIPALITY OF SAN CLEMENTE, TARLAC</t>
  </si>
  <si>
    <t>DEPARTMENT OF AGRARIAN REFORM - LAMUT IFUGAO</t>
  </si>
  <si>
    <t>DAPITAN CITY WATER DISTRICT</t>
  </si>
  <si>
    <t>MUNICIPALITY OF TAMBULIG, ZAMBOANGA DEL SUR</t>
  </si>
  <si>
    <t>NATIONAL BOOK DEVELOPMENT BOARD</t>
  </si>
  <si>
    <t>MUNICIPALITY OF SAN MIGUEL, SURIGAO DEL SUR</t>
  </si>
  <si>
    <t>BARANGAY PANIQUIAN, NAUJAN, ORIENTAL MINDORO</t>
  </si>
  <si>
    <t>MUNICIPALITY OF DARAGA, ALBAY</t>
  </si>
  <si>
    <t>DEPARTMENT OF SOCIAL WELFARE AND DEVELOPMENT - NCR</t>
  </si>
  <si>
    <t>AGRICULTURAL TRAINING INSTITUTE - REGIONAL TRAINING CENTER-R</t>
  </si>
  <si>
    <t>MUNICIPALITY OF LEMERY, BATANGAS</t>
  </si>
  <si>
    <t>DEPARTMENT OF PUBLIC WORKS AND HIGHWAYS - BENGUET 2ND DEO</t>
  </si>
  <si>
    <t>PROVINCE OF ILOILO</t>
  </si>
  <si>
    <t>DUTY FREE PHILIPPINES CORPORATION</t>
  </si>
  <si>
    <t>MUNICIPALITY OF STA. CRUZ, MARINDUQUE</t>
  </si>
  <si>
    <t>MUNICIPALITY OF CONCEPCION, TARLAC</t>
  </si>
  <si>
    <t>CARAGA REGIONAL HOSPITAL</t>
  </si>
  <si>
    <t>WAWANGPULO ELEMENTARY SCHOOL</t>
  </si>
  <si>
    <t>BUREAU OF FISHERIES AND AQUATIC RESOURCES - RV</t>
  </si>
  <si>
    <t>BUREAU OF CUSTOMS - GENERAL SANTOS CITY</t>
  </si>
  <si>
    <t>PHILIPPINE ARMY PROCUREMENT CENTER, AFP PROCUREMENT SERVICE</t>
  </si>
  <si>
    <t>MUNICIPALITY OF TAMPILISAN, ZAMBOANGA DEL NORTE</t>
  </si>
  <si>
    <t>PRENZA NATIONAL HIGH SCHOOL</t>
  </si>
  <si>
    <t>DEPARTMENT OF PUBLIC WORKS AND HIGHWAYS - ISABELA 4TH DEO</t>
  </si>
  <si>
    <t>DEPARTMENT OF ENVIRONMENT AND NATURAL RES. - PENRO, DAGUPAN</t>
  </si>
  <si>
    <t>BARANGAY GENABLAN ORIENTAL - MATNOG SORSOGON</t>
  </si>
  <si>
    <t>PROVINCE OF MARINDUQUE</t>
  </si>
  <si>
    <t>LAND TRANSPORTATION OFFICE - MAIN</t>
  </si>
  <si>
    <t>PASOLO ELEMENTARY SCHOOL</t>
  </si>
  <si>
    <t>PROVINCE OF ZAMBOANGA DEL SUR</t>
  </si>
  <si>
    <t>MUNICIPALITY OF VALLEHERMOSO, NEGROS</t>
  </si>
  <si>
    <t>PHILIPPINE STATISTICS AUTHORITY - ZAMBOANGA CITY</t>
  </si>
  <si>
    <t>MUNICIPALITY OF DAGOHOY, BOHOL</t>
  </si>
  <si>
    <t>DEPARTMENT OF EDUCATION - DIVISION OF ORIENTAL MINDORO</t>
  </si>
  <si>
    <t>MUNICIPALITY OF CORTES, SURIGAO DEL SUR</t>
  </si>
  <si>
    <t>MUNICIPALITY OF MEDINA, MISAMIS ORIENTAL</t>
  </si>
  <si>
    <t>DEPARTMENT OF PUBLIC WORKS AND HIGHWAYS - BUKIDNON 1ST DEO</t>
  </si>
  <si>
    <t>UNIVERSITY OF THE PHILIPPINES - OPEN UNIVERSITY</t>
  </si>
  <si>
    <t>NATIONAL IRRIGATION ADMINISTRATION - REGION IX</t>
  </si>
  <si>
    <t>MUNICIPALITY OF RIZAL, OCCIDENTAL MINDORO</t>
  </si>
  <si>
    <t>PHILIPPINE STATISTICS AUTHORITY - REGION VI</t>
  </si>
  <si>
    <t>MUNICIPALITY OF SANTA BARBARA, PANGASINAN</t>
  </si>
  <si>
    <t>BARANGAY ZONE II POBLACION, ATIMONAN, QUEZON</t>
  </si>
  <si>
    <t>BARANGAY 219 ZONE 20 DISTRICT 2 MANILA</t>
  </si>
  <si>
    <t>DEPARTMENT OF PUBLIC WORKS AND HIGHWAYS - SIQUIJOR DEO</t>
  </si>
  <si>
    <t>DEPARTMENT OF EDUCATION - DIVISION OF AGUSAN DEL SUR</t>
  </si>
  <si>
    <t>TUBOD-BAROY WATER DISTRICT</t>
  </si>
  <si>
    <t>MUNICIPALITY OF PAMBUJAN, NORTHERN SAMAR</t>
  </si>
  <si>
    <t>BARANGAY KINABAG-AN, CALAPE, BOHOL</t>
  </si>
  <si>
    <t>PHILIPPINE STATISTICS AUTHORITY - IFUGAO</t>
  </si>
  <si>
    <t>MUNICIPALITY OF MABINI, COMPOSTELA VALLEY</t>
  </si>
  <si>
    <t>BARANGAY BAMBANG, PASIG</t>
  </si>
  <si>
    <t>MUNICIPALITY OF BAUNGON, BUKIDNON</t>
  </si>
  <si>
    <t>UMINGAN WATER DISTRICT</t>
  </si>
  <si>
    <t>MUNICIPALITY OF STO. DOMINGO, ALBAY</t>
  </si>
  <si>
    <t>PHILIPPINE COMMISSION ON WOMEN</t>
  </si>
  <si>
    <t>PHILIPPINE HEALTH INSURANCE CORPORATION</t>
  </si>
  <si>
    <t>BARANGAY STO. NINO, NAUJAN, ORIENTAL MINDORO</t>
  </si>
  <si>
    <t>LA FILIPINA NATIONAL HIGH SCHOOL</t>
  </si>
  <si>
    <t>MUNICIPALITY OF BENITO SOLIVEN, ISABELA</t>
  </si>
  <si>
    <t>BUREAU OF JAIL MANAGEMENT AND PENOLOGY - NHQ</t>
  </si>
  <si>
    <t>DEPARTMENT OF TRADE AND INDUSTRY - REGION III  BULACAN</t>
  </si>
  <si>
    <t>MUNICIPALITY OF CATEEL, DAVAO ORIENTAL</t>
  </si>
  <si>
    <t>MUNICIPALITY OF MAYOYAO, IFUGAO</t>
  </si>
  <si>
    <t>MUNICIPALITY OF BANGUI, ILOCOS NORTE</t>
  </si>
  <si>
    <t>CITY OF VIGAN, ILOCOS SUR</t>
  </si>
  <si>
    <t>MUNICIPALITY OF LUBAO, PAMPANGA</t>
  </si>
  <si>
    <t>DEPARTMENT OF THE INTERIOR AND LOCAL GOVERNMENT - EASTERN SA</t>
  </si>
  <si>
    <t>WESTERN VISAYAS MEDICAL CENTER</t>
  </si>
  <si>
    <t>VETERANS REGIONAL HOSPITAL</t>
  </si>
  <si>
    <t>BARANGAY TINANDOG, ATIMONAN,QUEZON</t>
  </si>
  <si>
    <t>BUKIDNON STATE UNIVERSITY</t>
  </si>
  <si>
    <t>BARANGAY SAN ANTONIO, TOMAS OPPUS, SOUTHERN LEYTE</t>
  </si>
  <si>
    <t>PRODUCT DEVELOPMENT AND DESIGN CENTER OF THE PHILIPPINES</t>
  </si>
  <si>
    <t>BARANGAY BAGSA, OAS, ALBAY</t>
  </si>
  <si>
    <t>PHILIPPINE PORTS AUTHORITY - PMO GENERAL SANTOS</t>
  </si>
  <si>
    <t>NATIONAL FOOD AUTHORITY - SAN JOSE, OCCIDENTAL MINDORO</t>
  </si>
  <si>
    <t>MUNICIPALITY OF GITAGUM , MISAMIS ORIENTAL</t>
  </si>
  <si>
    <t>BARANGAY SAN DIEGO, SAN PABLO CITY</t>
  </si>
  <si>
    <t>DEPARTMENT OF PUBLIC WORKS AND HIGHWAYS - ILOILO 1ST DEO</t>
  </si>
  <si>
    <t>MUNICIPALITY OF BARILI, CEBU</t>
  </si>
  <si>
    <t>MUNICIPALITY OF BIEN UNIDO, BOHOL</t>
  </si>
  <si>
    <t>CLARIN NATIONAL HIGH SCHOOL</t>
  </si>
  <si>
    <t>MUNICIPALITY OF MASLOG, EASTERN SAMAR</t>
  </si>
  <si>
    <t>DEPARTMENT OF SOCIAL WELFARE AND DEVELOPMENT - REGION IV-A</t>
  </si>
  <si>
    <t>MARIKINA POLYTECHNIC COLLEGE</t>
  </si>
  <si>
    <t>CSG - PNP (CIVIL SECURITY GROUP-PHILIPPINE NATIONAL POLICE)</t>
  </si>
  <si>
    <t>WESTERN PHILIPPINES UNIVERSITY</t>
  </si>
  <si>
    <t>DEPARTMENT OF PUBLIC WORKS AND HIGHWAYS - DINAGAT ISLANDS DI</t>
  </si>
  <si>
    <t>TARLAC STATE UNIVERSITY</t>
  </si>
  <si>
    <t>NATIONAL IRRIGATION ADMINISTRATION - REGION I</t>
  </si>
  <si>
    <t>MUNICIPALITY OF SOCORRO, ORIENTAL MINDORO</t>
  </si>
  <si>
    <t>BUREAU OF FIRE PROTECTION - REGION V</t>
  </si>
  <si>
    <t>MUNICIPALITY OF ALEGRIA, SURIGAO DEL NORTE</t>
  </si>
  <si>
    <t>MUNICIPALITY OF IVISAN, CAPIZ</t>
  </si>
  <si>
    <t>DEPARTMENT OF EDUCATION - DIVISION OF DAPITAN CITY</t>
  </si>
  <si>
    <t>BITIK ELEMENTARY SCHOOL</t>
  </si>
  <si>
    <t>ENVIRONMENTAL MANAGEMENT BUREAU - CARAGA</t>
  </si>
  <si>
    <t>MUNICIPALITY OF BANTAYAN, CEBU</t>
  </si>
  <si>
    <t>DONA ATA ELEMENTARY SCHOOL</t>
  </si>
  <si>
    <t>DEPARTMENT OF TOURISM - REGION I</t>
  </si>
  <si>
    <t>BUREAU OF FISHERIES AND AQUATIC RESOURCES - REGION XI</t>
  </si>
  <si>
    <t>PAG-IBIG FUND (TAS-NCR WEST) - MANILA METRO MANILA</t>
  </si>
  <si>
    <t>MUNICIPALITY OF ATIMONAN, QUEZON</t>
  </si>
  <si>
    <t>DEPARTMENT OF PUBLIC WORKS AND HIGHWAYS - QUIRINO DEO</t>
  </si>
  <si>
    <t>BARANGAY MALIMPIN, DASOL, PANGASINAN</t>
  </si>
  <si>
    <t>BULACAN STATE UNIVERSITY</t>
  </si>
  <si>
    <t>INDANG WATER DISTRICT</t>
  </si>
  <si>
    <t>LINGUNAN NATIONAL HIGH SCHOOL - VALENZUELA CITY METRO MANILA</t>
  </si>
  <si>
    <t>BARANGAY SAN TEODORO, MABINI, BATANGAS</t>
  </si>
  <si>
    <t>UNIVERSITY OF THE PHILIPPINES - MANILA PGH</t>
  </si>
  <si>
    <t>PHILIPPINE STATISTICS AUTHORITY - LA UNION PROVINCIAL OFFICE</t>
  </si>
  <si>
    <t>CITY  OF LA CARLOTA, NEGROS OCCIDENTAL</t>
  </si>
  <si>
    <t>BARANGAY GUINHAWA - TAYSAN, BATANGAS</t>
  </si>
  <si>
    <t>PASO DE BLAS NATIONAL HIGH SCHOOL - VALENZUELA CITY METRO MA</t>
  </si>
  <si>
    <t>SECURITIES AND EXCHANGE COMMISSION</t>
  </si>
  <si>
    <t>DEPARTMENT OF PUBLIC WORKS AND HIGHWAYS - PANGASINAN 2ND</t>
  </si>
  <si>
    <t>BARANGAY STO. NINO, TAYSAN, BATANGAS</t>
  </si>
  <si>
    <t>BARANGAY SAN FRANCISCO, NAGCARLAN, LAGUNA</t>
  </si>
  <si>
    <t>MINISTRY OF PUBLIC WORKS-BARMM</t>
  </si>
  <si>
    <t>BARANGAY AGBOY NORTE, LEON, ILOILO</t>
  </si>
  <si>
    <t>114TH CONTRACTING OFFICE FOR INFRASTRUCTURE, AFPPS</t>
  </si>
  <si>
    <t>TECHNOLOGICAL UNIVERSITY OF THE PHILIPPINES - MANILA CAMPUS</t>
  </si>
  <si>
    <t>MUNICIPALITY OF CAOAYAN, ILOCOS SUR</t>
  </si>
  <si>
    <t>MUNICIPALITY OF CAIBIRAN, BILIRAN</t>
  </si>
  <si>
    <t>DEPARTMENT OF EDUCATION - DIVISION OF SURIGAO DEL NORTE</t>
  </si>
  <si>
    <t>CITY OF TALISAY, NEGROS OCCIDENTAL</t>
  </si>
  <si>
    <t>DEPARTMENT OF TRADE &amp; INDUSTRY - KALINGA</t>
  </si>
  <si>
    <t>BASAK ELEMENTARY SCHOOL</t>
  </si>
  <si>
    <t>PHILIPPINE GUARANTEE CORPORATION</t>
  </si>
  <si>
    <t>UNIVERSITY OF THE PHILIPPINES - BAGUIO</t>
  </si>
  <si>
    <t>MUNICIPALITY OF SANTA MARIA, LAGUNA</t>
  </si>
  <si>
    <t>BARANGAY SAPA III ROSARIO CAVITE</t>
  </si>
  <si>
    <t>MUNICIPALITY OF MAGALANG, PAMPANGA</t>
  </si>
  <si>
    <t>DALANDANAN HIGH SCHOOL,  - DIVISION OF VALENZUELA</t>
  </si>
  <si>
    <t>CITY OF MEYCAUAYAN, BULACAN</t>
  </si>
  <si>
    <t>BARANGAY 15 ILAWOD EAST- LEGAZPI CITY ALBAY</t>
  </si>
  <si>
    <t>BARANGAY SAN JOSE, STO. TOMAS, BATANGAS</t>
  </si>
  <si>
    <t>DEPARTMENT OF PUBLIC WORKS AND HIGHWAYS - COTABATO SUB-DEO</t>
  </si>
  <si>
    <t>LITTLE BAGUIO NATIONAL HIGH SCHOOL</t>
  </si>
  <si>
    <t>SANTA ROSA ELEMENTARY SCHOOL CENTRAL 1</t>
  </si>
  <si>
    <t>BARANGAY COMBADO - MAASIN CITY SOUTHERN LEYTE</t>
  </si>
  <si>
    <t>GOVERNMENT SERVICE INSURANCE SYSTEM - TACLOBAN BRANCH OFFICE</t>
  </si>
  <si>
    <t>BARANGAY MATAMIS, ROSARIO, BATANGAS</t>
  </si>
  <si>
    <t>KAPITAN EDDIE T. REYES INTEGRATED SCHOOL</t>
  </si>
  <si>
    <t>PROFESSIONAL REGULATION COMMISSION</t>
  </si>
  <si>
    <t>PROVINCE OF LEYTE</t>
  </si>
  <si>
    <t>PANGASINAN STATE UNIVERSITY - MAIN</t>
  </si>
  <si>
    <t>SAN MIGUEL CENTRAL ELEMENTARY SCHOOL</t>
  </si>
  <si>
    <t>DEPARTMENT OF PUBLIC WORKS AND HIGHWAYS - QUEZON 1ST ED</t>
  </si>
  <si>
    <t>TALISAY SOUTH ELEMENTARY SCHOOL</t>
  </si>
  <si>
    <t>COAST GUARD DISTRICT CENTRAL VISAYAS</t>
  </si>
  <si>
    <t>DANIEL M. PEREZ CENTRAL ELEMENTARY SCHOOL</t>
  </si>
  <si>
    <t>BARANGAY MIMBUNGA - GINGOOG CITY MISAMIS ORIENTA</t>
  </si>
  <si>
    <t>DEPARTMENT OF HEALTH - CARAGA</t>
  </si>
  <si>
    <t>MUNICIPALITY OF SAN NICOLAS, PANGASINAN</t>
  </si>
  <si>
    <t>DEPARTMENT OF SCIENCE AND TECHNOLOGY - REGION IX</t>
  </si>
  <si>
    <t>MUNICIPALITY OF GASAN, MARINDUQUE</t>
  </si>
  <si>
    <t>BARANGAY DARAHUWAY DACO, CATBALOGAN CITY, SAMAR</t>
  </si>
  <si>
    <t>BARANGAY MUZON II ROSARIO CAVITE</t>
  </si>
  <si>
    <t>BARANGAY LIBAS, CATBALOGAN, SAMAR</t>
  </si>
  <si>
    <t>CITY OF PASIG</t>
  </si>
  <si>
    <t>CAWAYAN ELEMENTARY SCHOOL - DAVAO CITY</t>
  </si>
  <si>
    <t>TAGUM WATER DISTRICT</t>
  </si>
  <si>
    <t>ZAMBOANGA CITY WATER DISTRICT - ZAMBOANGA CITY ZAMBOANGA DEL</t>
  </si>
  <si>
    <t>BARANGAY 10 POBLACION, CATBALOGAN CITY, SAMAR</t>
  </si>
  <si>
    <t>MUNICIPALITY OF SAN FERNANDO, CAMARINES SUR</t>
  </si>
  <si>
    <t>SAN CARLOS CITY WATER DISTRICT</t>
  </si>
  <si>
    <t>TESDA - CABUCGAYAN NATIONAL SCHOOL OF ARTS AND TRADES</t>
  </si>
  <si>
    <t>BARANGAY III, BUENAVISTA, MARINDUQUE</t>
  </si>
  <si>
    <t>BARANGAY LABANGAL, GENERAL SANTOS CITY</t>
  </si>
  <si>
    <t>NATIONAL FOOD AUTHORITY - REGION II</t>
  </si>
  <si>
    <t>MUNICIPALITY OF M'LANG, COTABATO</t>
  </si>
  <si>
    <t>MUNICIPALITY OF LAS NIEVES , AGUSAN DEL NORTE</t>
  </si>
  <si>
    <t>CITY OF PANABO, DAVAO DEL NORTE</t>
  </si>
  <si>
    <t>MUNICIPALITY OF SANTA MARIA, BULACAN</t>
  </si>
  <si>
    <t>GENERAL TRIAS CITY CAVITE</t>
  </si>
  <si>
    <t>DPWH - ANTIQUE DISTRICT ENGINEERING OFFICE</t>
  </si>
  <si>
    <t>BARANGAY PATIACAN, QUIRINO, ILOCOS SUR</t>
  </si>
  <si>
    <t>TECHNICAL EDUCATION &amp; SKILLS DEVELOPMENT AUTHORITY - VIGAN C</t>
  </si>
  <si>
    <t>PHILIPPINE STATISTICS AUTHORITY - LAGUNA</t>
  </si>
  <si>
    <t>DEPARTMENT OF PUBLIC WORKS AND HIGHWAYS - REGION XI</t>
  </si>
  <si>
    <t>PROVINCIAL GOVERNMENT OF CAMARINES NORTE</t>
  </si>
  <si>
    <t>BARANGAY IGANG, POTOTAN, ILOILO</t>
  </si>
  <si>
    <t>PROVINCE OF NEGROS OCCIDENTAL</t>
  </si>
  <si>
    <t>BARANGAY PANTALAN LUMA, ORANI, BATAAN</t>
  </si>
  <si>
    <t>BARANGAY MADDARULUG NORTE ENRILE CAGAYAN</t>
  </si>
  <si>
    <t>DEPARTMENT OF PUBLIC WORKS AND HIGHWAYS - CAGAYAN 2ND DEO</t>
  </si>
  <si>
    <t>DEPARTMENT OF EDUCATION - DIVISION OF ILOCOS NORTE</t>
  </si>
  <si>
    <t>PROVINCE OF SORSOGON</t>
  </si>
  <si>
    <t>NATIONAL IRRIGATION ADMINISTRATION - REGION X</t>
  </si>
  <si>
    <t>NATIONAL IRRIGATION ADMINISTRATION - AGUSAN DEL NORTE IMO</t>
  </si>
  <si>
    <t>CITY OF CALAMBA, LAGUNA</t>
  </si>
  <si>
    <t>DEPARTMENT OF SOCIAL WELFARE AND DEVELOPMENT - REGION IX</t>
  </si>
  <si>
    <t>BARANGAY LIMBA, LA PAZ, LEYTE</t>
  </si>
  <si>
    <t>POLOCATE ELEMENTARY SCHOOL - BANGA, AKLAN</t>
  </si>
  <si>
    <t>MUNICIPALITY OF SOLANA, CAGAYAN</t>
  </si>
  <si>
    <t>SITERO FRANCISCO MEMORIAL NATIONAL HIGH SCHOOL</t>
  </si>
  <si>
    <t>BARANGAY MALARUHATAN, LIAN, BATANGAS</t>
  </si>
  <si>
    <t>ALAMINOS CITY WATER DISTRICT</t>
  </si>
  <si>
    <t>IPONAN ELEMENTARY SCHOOL</t>
  </si>
  <si>
    <t>MUNICIPALITY OF TABINA, ZAMBOANGA DEL SUR</t>
  </si>
  <si>
    <t>OFFICE OF THE PRESIDENT</t>
  </si>
  <si>
    <t>MUNICIPALITY OF BALBALAN, KALINGA</t>
  </si>
  <si>
    <t>NATIONAL CENTER FOR MENTAL HEALTH</t>
  </si>
  <si>
    <t>BUREAU OF FISHERIES AND AQUATIC RESOURCES - REGION II</t>
  </si>
  <si>
    <t>CITY OF LAS PIÑAS</t>
  </si>
  <si>
    <t>MUNICIPALITY OF PIO DURAN, ALBAY</t>
  </si>
  <si>
    <t>DEPARTMENT OF PUBLIC WORKS AND HIGHWAYS - BATAAN 1ST DEO</t>
  </si>
  <si>
    <t>MUNICIPALITY OF TALUSAN, ZAMBOANGA SIBUGAY</t>
  </si>
  <si>
    <t>DEPARTMENT OF ENVIRONMENT AND NATURAL RESOURCES - NCR</t>
  </si>
  <si>
    <t>BARANGAY SAN LUIS - GINGOOG CITY MISAMIS ORIENTAL</t>
  </si>
  <si>
    <t>BARANGAY 566 ZONE 55  DISTRICT IV, MANILA</t>
  </si>
  <si>
    <t>BUREAU OF JAIL MANAGEMENT AND PENOLOGY-CALABARZON</t>
  </si>
  <si>
    <t>DEPARTMENT OF TRADE AND INDUSTRY - MAIN</t>
  </si>
  <si>
    <t>DEPARTMENT OF EDUCATION - DIVISION OF MATI CITY</t>
  </si>
  <si>
    <t>MUNICIPALITY OF BRAULIO DUJALI, DAVAO DEL NORTE</t>
  </si>
  <si>
    <t>SOCIAL SECURITY SYSTEM - CORDILLERA ADMINISTRATIVE REGION</t>
  </si>
  <si>
    <t>MUNICIPALITY OF SUBIC, ZAMBALES</t>
  </si>
  <si>
    <t>JOSE B. LINGAD MEMORIAL GENERAL HOSPITAL</t>
  </si>
  <si>
    <t>MUNICIPALITY OF JOVELLAR, ALBAY</t>
  </si>
  <si>
    <t>MUNICIPALITY OF SOCORRO , SURIGAO DEL NORTE</t>
  </si>
  <si>
    <t>BARANGAY 3 POBLACION SALCEDO EASTERN SAMAR</t>
  </si>
  <si>
    <t>CAMIGUIN POLYTECHNIC STATE COLLEGE</t>
  </si>
  <si>
    <t>CITY OF TAGUIG</t>
  </si>
  <si>
    <t>BARANGAY SAN CARLOS, LIPA CITY</t>
  </si>
  <si>
    <t>CIELITO ZAMORA HIGH SCHOOL</t>
  </si>
  <si>
    <t>BANQUEROHAN NATIONAL HIGH SCHOOL - CADIZ CITY NEGROS OCCIDEN</t>
  </si>
  <si>
    <t>BAGBAGUIN NATIONAL HIGH SCHOOL</t>
  </si>
  <si>
    <t>COMMISSION ON POPULATION AND DEVELOPMENT</t>
  </si>
  <si>
    <t>TIGWI ELEMENTARY SCHOOL - TORRIJOS</t>
  </si>
  <si>
    <t>LAGUNA STATE POLYTECHNIC UNIVERSITY - SAN PABLO CITY CAMPUS</t>
  </si>
  <si>
    <t>BARANGAY BACAO -  TAYSAN BATANGAS</t>
  </si>
  <si>
    <t>BARANGAY BANTAY, PARACELIS, MT. PROVINCE</t>
  </si>
  <si>
    <t>BARANGAY TIGATTO, DAVAO CITY</t>
  </si>
  <si>
    <t>MUNICIPALITY OF LAKE WOOD, ZAMBOANGA DEL SUR</t>
  </si>
  <si>
    <t>BARANGAY DICARMA,CABANATUAN CITY NUEVA ECIJA</t>
  </si>
  <si>
    <t>BALIWAG WATER DISTRICT</t>
  </si>
  <si>
    <t>DEPARTMENT OF PUBLIC WORKS AND HIGHWAYS - CAVITE II DISTRICT</t>
  </si>
  <si>
    <t>BAGUIO WATER DISTRICT - BAGUIO CITY</t>
  </si>
  <si>
    <t>AGRICULTURAL TRAINING INSTITUTE - REGION IV-B</t>
  </si>
  <si>
    <t>BARANGAY BINUBUSAN, LIAN, BATANGAS</t>
  </si>
  <si>
    <t>BARANGAY SUMACAB SUR, CABANATUAN CITY</t>
  </si>
  <si>
    <t>BARANGAY WAWA - CALAPAN CITY ORIENTAL MINDORO</t>
  </si>
  <si>
    <t>MINES AND GEOSCIENCES BUREAU - CARAGA</t>
  </si>
  <si>
    <t>COTABATO REGIONAL AND MEDICAL CENTER</t>
  </si>
  <si>
    <t>CULTURAL CENTER OF THE PHILIPPINES - PASAY CITY METRO MANILA</t>
  </si>
  <si>
    <t>DEPARTMENT OF EDUCATION - DIVISION OF PASAY CITY</t>
  </si>
  <si>
    <t>DEPARTMENT OF PUBLIC WORKS AND HIGHWAYS - SURIGAO DEL SUR 1S</t>
  </si>
  <si>
    <t>NATIONAL IRRIGATION ADMINISTRATION - CAMARINES SUR IMO</t>
  </si>
  <si>
    <t>ADTUYON ELEMENTARY SCHOOL</t>
  </si>
  <si>
    <t>BARANGAY STA. FE, MATALOM, LEYTE</t>
  </si>
  <si>
    <t>BICOL MEDICAL CENTER</t>
  </si>
  <si>
    <t>BARANGAY MAHONGKOG - MAGPET COTABATO</t>
  </si>
  <si>
    <t>MUNICIPALITY OF NAGTIPUNAN, QUIRINO</t>
  </si>
  <si>
    <t>BARANGAY 39-D, DAVAO, DAVAO DEL SUR</t>
  </si>
  <si>
    <t>BARANGAY CAMBUILAO - BAIS CITY NEGROS ORIENTAL</t>
  </si>
  <si>
    <t>DEPARTMENT OF EDUCATION - DIVISION OF DANAO CITY</t>
  </si>
  <si>
    <t>DEPARTMENT OF EDUCATION - DIVISION OF BENGUET</t>
  </si>
  <si>
    <t>BARANGAY ACCUSILIAN - TUAO CAGAYAN</t>
  </si>
  <si>
    <t>DEPARTMENT OF PUBLIC WORKS AND HIGHWAYS - AURORA DEO</t>
  </si>
  <si>
    <t>NATIONAL IRRIGATION ADMINISTRATION - SOUTH COTABATO</t>
  </si>
  <si>
    <t>PHILIPPINE ORTHOPEDIC CENTER</t>
  </si>
  <si>
    <t>MUNICIPALITY OF BUUG - ZAMBOANGA SIBUGAY</t>
  </si>
  <si>
    <t>CITY OF LAOAG, ILOCOS NORTE</t>
  </si>
  <si>
    <t>DEPARTMENT OF PUBLIC WORKS AND HIGHWAYS - BOHOL 3RD DEO</t>
  </si>
  <si>
    <t>DEPARTMENT OF EDUCATION - ISABELA</t>
  </si>
  <si>
    <t>NATIONAL IRRIGATION ADMINISTRATION - REGION IV-A CALABARZON</t>
  </si>
  <si>
    <t>BARANGAY ALABUG - TUAO CAGAYAN</t>
  </si>
  <si>
    <t>COGON NATIONAL HIGH SCHOOL</t>
  </si>
  <si>
    <t>MUNICIPALITY OF KALAMANSIG, SULTAN KUDARAT</t>
  </si>
  <si>
    <t>AURORA STATE COLLEGE OF TECHNOLOGY</t>
  </si>
  <si>
    <t>DEPARTMENT OF PUBLIC WORKS AND HIGHWAYS - IFUGAO 2ND DEO</t>
  </si>
  <si>
    <t>SURIGAO DEL SUR STATE UNIVERSITY</t>
  </si>
  <si>
    <t>MUNICIPALITY OF BALANGIGA, EASTERN SAMAR</t>
  </si>
  <si>
    <t>MUNICIPALITY OF ROXAS, ORIENTAL MINDORO</t>
  </si>
  <si>
    <t>BARANGAY ALABIAO, TUAO, CAGAYAN</t>
  </si>
  <si>
    <t>DON HONORIO VENTURA TECHNOLOGICAL STATE UNIVERSITY</t>
  </si>
  <si>
    <t>DEPARTMENT OF ENVIRONMENT AND NATURAL RES. - PENRO N. OCCIDE</t>
  </si>
  <si>
    <t>PHILIPPINE TRADE TRAINING CENTER</t>
  </si>
  <si>
    <t>BARANGAY MUNGO, TUAO, CAGAYAN</t>
  </si>
  <si>
    <t>VETERANS MEMORIAL MEDICAL CENTER, DND</t>
  </si>
  <si>
    <t>MUNICIPALITY OF BUENAVISTA, MARINDUQUE</t>
  </si>
  <si>
    <t>MAYSAN ELEMENTARY SCHOOL</t>
  </si>
  <si>
    <t>DEVELOPMENT BANK OF THE PHILIPPINES - HEAD OFFICE</t>
  </si>
  <si>
    <t>CITY GOVERNMENT OF BACOOR</t>
  </si>
  <si>
    <t>TIGLAWIGAN ELEMENTARY SCHOOL</t>
  </si>
  <si>
    <t>BARANGAY OSUKAN, LABASON, ZAMBOANGA DEL NORTE</t>
  </si>
  <si>
    <t>MUNICIPALITY OF ALLACAPAN, CAGAYAN</t>
  </si>
  <si>
    <t>SURIGAO STATE COLLEGE OF TECHNOLOGY</t>
  </si>
  <si>
    <t>MUNICIPALITY OF SUAL -  PANGASINAN</t>
  </si>
  <si>
    <t>BARANGAY SAN ANTONIO 1, SAN PABLO CITY</t>
  </si>
  <si>
    <t>SURALLAH WATER DISTRICT</t>
  </si>
  <si>
    <t>MUNICIPALITY OF DIVILACAN, ISABELA</t>
  </si>
  <si>
    <t>MUNICIPALITY OF LAVEZARES, NORTHERN SAMAR</t>
  </si>
  <si>
    <t>DEPARTMENT OF AGRARIAN REFORM - ANTIQUE PROVINCIAL OFFICE</t>
  </si>
  <si>
    <t>PHILIPPINE MINING DEVELOPMENT CORPORATION</t>
  </si>
  <si>
    <t>DEPARTMENT OF ENVIRONMENT AND NATURAL RESOURCES - N.ECIJA</t>
  </si>
  <si>
    <t>BARANGAY SAN ISIDRO, JIMENEZ, MISAMIS OCCIDENTAL</t>
  </si>
  <si>
    <t>BARANGAY 48 BAGONG ABRE LEGAZPI CITY ALBAY</t>
  </si>
  <si>
    <t>BARANGAY MUNTINDILAW, ANTIPOLO CITY</t>
  </si>
  <si>
    <t>MUNICIPALITY OF TALISAYAN, MISAMIS ORIENTAL</t>
  </si>
  <si>
    <t>MUNICIPALITY OF SAPANG DALAGA, MISAMIS OCCIDENTAL</t>
  </si>
  <si>
    <t>DEPARTMENT OF PUBLIC WORKS AND HIGHWAYS - BULACAN 1ST DEO</t>
  </si>
  <si>
    <t>PHILIPPINE SCIENCE HIGH SCHOOL - REGION V</t>
  </si>
  <si>
    <t>PHILIPPINE CHARITY SWEEPSTAKES OFFICE - MANDALUYONG CITY</t>
  </si>
  <si>
    <t>ANDRES BONIFACIO ELEMENTARY SCHOOL</t>
  </si>
  <si>
    <t>MUNICIPALITY OF LARENA, SIQUIJOR</t>
  </si>
  <si>
    <t>BARANGAY SAN ISIDRO, CONCEPCION, TARLAC</t>
  </si>
  <si>
    <t>CITY OF OROQUIETA, MISAMIS OCCIDENTAL</t>
  </si>
  <si>
    <t>BARANGAY 54M PECHAY - CAVITE CITY CAVITE</t>
  </si>
  <si>
    <t>METRO COTABATO WATER DISTRICT</t>
  </si>
  <si>
    <t>PN BAC SECRETARIAT, AFP PROCUREMENT SERVICE</t>
  </si>
  <si>
    <t>MUNICIPALITY OF ALOGUINSAN, CEBU</t>
  </si>
  <si>
    <t>MUNICIPALITY OF CARRASCAL, SURIGAO DEL SUR</t>
  </si>
  <si>
    <t>BARANGAY TAVORA PROPER, PUGO, LA UNION</t>
  </si>
  <si>
    <t>BARANGAY CABANTIAN, DAVAO CITY</t>
  </si>
  <si>
    <t>DEPARTMENT OF EDUCATION - DIVISION OF PANGASINAN I</t>
  </si>
  <si>
    <t>DEPARTMENT OF PUBLIC WORKS AND HIGHWAYS - MASBATE 2ND DEO</t>
  </si>
  <si>
    <t>MUNICIPALITY OF PITOGO, QUEZON</t>
  </si>
  <si>
    <t>DON MARIANO MARCOS MEMORIAL STATE UNIVERSITY - SLUC</t>
  </si>
  <si>
    <t>MUNICIPALITY OF EL NIDO, PALAWAN</t>
  </si>
  <si>
    <t>MUNICIPALITY OF PALO - LEYTE LEYTE</t>
  </si>
  <si>
    <t>MUNICIPALITY OF LIBMANAN, CAMARINES SUR</t>
  </si>
  <si>
    <t>METRO ROXAS WATER DISTRICT</t>
  </si>
  <si>
    <t>GHQ PROCUREMENT CENTER, AFP PROCUREMENT SERVICE</t>
  </si>
  <si>
    <t>MUNICIPALITY OF BANAYBANAY, DAVAO ORIENTAL</t>
  </si>
  <si>
    <t>BARANGAY TAMIS-AC -2, CONCEPCION, ILOILO</t>
  </si>
  <si>
    <t>MUNICIPALITY OF TABUELAN, CEBU</t>
  </si>
  <si>
    <t>MABINI NATIONAL HIGH SCHOOL - NEGROS OCCIDENTAL</t>
  </si>
  <si>
    <t>MUNICIPALITY OF CURRIMAO, ILOCOS NORTE</t>
  </si>
  <si>
    <t>MUNICIPALITY OF POLANCO, ZAMBOANGA DEL NORTE</t>
  </si>
  <si>
    <t>PROVINCE OF BATAAN</t>
  </si>
  <si>
    <t>DEPARTMENT OF AGRICULTURE - REGION V</t>
  </si>
  <si>
    <t>MUNICIPALITY OF DON SALVADOR BENEDICTO, NEGROS OCCIDENTAL</t>
  </si>
  <si>
    <t>CITY OF BORONGAN, EASTERN SAMAR</t>
  </si>
  <si>
    <t>BARANGAY AMBARACAO SUR, NAGUILIAN, LA UNION</t>
  </si>
  <si>
    <t>DEPARTMENT OF PUBLIC WORKS AND HIGHWAYS - ILOCOS SUR 1ST DEO</t>
  </si>
  <si>
    <t>BARANGAY MARAGOOC, GLORIA, ORIENTAL MINDORO</t>
  </si>
  <si>
    <t>MUNICIPALITY OF VIRAC , CATANDUANES</t>
  </si>
  <si>
    <t>MUNICIPALITY OF JORDAN, GUIMARAS</t>
  </si>
  <si>
    <t>MUNICIPALITY OF TAGUDIN, ILOCOS SUR</t>
  </si>
  <si>
    <t>BARANGAY CAWIT, PILAR, CEBU</t>
  </si>
  <si>
    <t>BACOLOD CITY NATIONAL HIGH SCHOOL</t>
  </si>
  <si>
    <t>MUNICIPALITY OF CALINTAAN, OCCIDENTAL MINDORO</t>
  </si>
  <si>
    <t>MUNICIPALITY OF SIAYAN, ZAMBOANGA DEL NORTE</t>
  </si>
  <si>
    <t>BICOL REGIONAL TRAINING AND TEACHING HOSPITAL</t>
  </si>
  <si>
    <t>OVERSEAS WORKERS WELFARE ADMINISTRATION - ARMM</t>
  </si>
  <si>
    <t>NATIONAL FISHERIES RESEARCH &amp; DEVELOPMENT INSTITUTE</t>
  </si>
  <si>
    <t>NATIONAL IRRIGATION ADMINISTRATION - KALINGA IRRIGATION MANA</t>
  </si>
  <si>
    <t>HUMAN RIGHTS VIOLATIONS VICTIMS' MEMORIAL COMMISSION</t>
  </si>
  <si>
    <t>PROVINCE OF ZAMBOANGA DEL NORTE</t>
  </si>
  <si>
    <t>BARANGAY CENTRO 7, CLAVERIA, CAGAYAN</t>
  </si>
  <si>
    <t>MUNICIPALITY OF KALIBO, AKLAN</t>
  </si>
  <si>
    <t>BARANGAY 12 MILAGROSA, CARMONA, CAVITE</t>
  </si>
  <si>
    <t>BARANGAY I - BAIS CITY</t>
  </si>
  <si>
    <t>DEPARTMENT OF EDUCATION - DIVISION OF BULACAN</t>
  </si>
  <si>
    <t>AGRICULTURAL TRAINING INSTITUTE-CORDILLERA ADMINISTRATIVE RE</t>
  </si>
  <si>
    <t>MUNICIPALITY OF GINATILAN, CEBU</t>
  </si>
  <si>
    <t>MUNICIPALITY OF ALFONSO LISTA, IFUGAO</t>
  </si>
  <si>
    <t>SAN PASCUAL NATIONAL HIGH SCHOOL - SAN PASCUAL BATANGAS</t>
  </si>
  <si>
    <t>MUNICIPALITY OF LLANERA, NUEVA ECIJA</t>
  </si>
  <si>
    <t>EAST AVENUE MEDICAL CENTER</t>
  </si>
  <si>
    <t>MUNICIPALITY OF SANCHEZ MIRA, CAGAYAN</t>
  </si>
  <si>
    <t>DEPARTMENT OF PUBLIC WORKS AND HIGHWAYS - UPPER KALINGA DEO</t>
  </si>
  <si>
    <t>TIGUION ELEMENTARY SCHOOL</t>
  </si>
  <si>
    <t>MUNICIPALITY OF ROSELLER T. LIM, ZAMBOANGA SIBUGAY</t>
  </si>
  <si>
    <t>MUNICIPALITY OF KALAYAAN, LAGUNA</t>
  </si>
  <si>
    <t>CITY OF TALISAY, CEBU</t>
  </si>
  <si>
    <t>MISAMIS ORIENTAL GENERAL COMPREHENSIVE HIGH SCHOOL</t>
  </si>
  <si>
    <t>LAND BANK OF THE PHILIPPINES - CEBU</t>
  </si>
  <si>
    <t>DEPARTMENT OF PUBLIC WORKS AND HIGHWAYS - METRO MANILA 2ND D</t>
  </si>
  <si>
    <t>DEPARTMENT OF PUBLIC WORKS AND HIGHWAYS - REGION XIII (CARAG</t>
  </si>
  <si>
    <t>MUNICIPALITY OF STA. CRUZ, OCCIDENTAL MINDORO</t>
  </si>
  <si>
    <t>MUNICIPALITY OF UBAY, BOHOL</t>
  </si>
  <si>
    <t>NATIONAL POWER CORPORATION - MINGEN, PULANGI IV HEP</t>
  </si>
  <si>
    <t>MATALABA NATIONAL HIGH SCHOOL</t>
  </si>
  <si>
    <t>STA JOAQUINA BARANGAY LAOAG CITY ILOCOS NORTE</t>
  </si>
  <si>
    <t>408TH CONTRACTING OFFICE, AFP PROCUREMENT SERVICE</t>
  </si>
  <si>
    <t>TECHNICAL EDUCATION &amp; SKILLS DEVELOPMENT AUTHORITY - MANILA</t>
  </si>
  <si>
    <t>FAR NORTH LUZON GENERAL HOSPITAL &amp; TRAINING CENTER - LUNA AP</t>
  </si>
  <si>
    <t>MUNICIPALITY OF PALAUIG, ZAMBALES</t>
  </si>
  <si>
    <t>BARANGAY SALAWAGAN QUEZON BUKIDNON</t>
  </si>
  <si>
    <t>BARANGAY GUADALUPE NUEVO, MAKATI CITY</t>
  </si>
  <si>
    <t xml:space="preserve">DEPARTMENT OF PUBLIC WORKS AND HIGHWAYS - CAMARINES SUR 3RD </t>
  </si>
  <si>
    <t>MINDANAO STATE UNIVERSITY - TAWI-TAWI</t>
  </si>
  <si>
    <t>BARANGAY YAPAD - PASTRANA LEYTE</t>
  </si>
  <si>
    <t>MUNICIPALITY OF RAMON, ISABELA</t>
  </si>
  <si>
    <t>BASILAN GENERAL HOSPITAL</t>
  </si>
  <si>
    <t>DEPARTMENT OF HEALTH - MAIN</t>
  </si>
  <si>
    <t>DEPARTMENT OF NATIONAL DEFENSE - GOVERNMENT ARSENAL, BATAAN</t>
  </si>
  <si>
    <t>BARANGAY SAN PEDRO, STO. TOMAS, BATANGAS</t>
  </si>
  <si>
    <t>BARANGAY WAWA, LINGAYEN, PANGASINAN</t>
  </si>
  <si>
    <t>MUNICIPALITY OF ALCANTARA, CEBU</t>
  </si>
  <si>
    <t>ENVIRONMENTAL MANAGEMENT BUREAU - REGION IX</t>
  </si>
  <si>
    <t>COMMISSION ON AUDIT - CAR</t>
  </si>
  <si>
    <t>BARANGAY SAN PABLO, CATBALOGAN, SAMAR</t>
  </si>
  <si>
    <t>BARANGAY 1 - PIO DURAN, ALBAY</t>
  </si>
  <si>
    <t>BARANGAY BINODEGAHAN, PIO DURAN, ALBAY</t>
  </si>
  <si>
    <t>MUNICIPALITY OF MIAG-AO, ILOILO</t>
  </si>
  <si>
    <t>MINES AND GEOSCIENCES BUREAU - REGION I</t>
  </si>
  <si>
    <t>MUNICIPALITY OF LORETO - DINAGAT ISLANDS</t>
  </si>
  <si>
    <t>BUTING SENIOR HIGH SCHOOL</t>
  </si>
  <si>
    <t>MUNICIPALITY OF GONZAGA, CAGAYAN</t>
  </si>
  <si>
    <t>BARANGAY RIZAL - MAASIN CITY SOUTHERN LEYTE</t>
  </si>
  <si>
    <t>MUNICIPALITY OF SINDANGAN, ZAMBOANGA DEL NORTE</t>
  </si>
  <si>
    <t>CITY OF MARAWI</t>
  </si>
  <si>
    <t>BARANGAY BONGABONG, TUDELA, MISAMIS OCCIDENTAL</t>
  </si>
  <si>
    <t>BARANGAY BULI - PINAMALAYAN, ORIENTAL MINDORO</t>
  </si>
  <si>
    <t>MUNICIPALITY OF PANGIL, LAGUNA</t>
  </si>
  <si>
    <t>BARANGAY HAGBUAYA CATIGBIAN BOHOL</t>
  </si>
  <si>
    <t>MUNICIPALITY OF DEL CARMEN, SURIGAO DEL NORTE</t>
  </si>
  <si>
    <t>METALS INDUSTRY RESEARCH &amp; DEVELOPMENT CENTER</t>
  </si>
  <si>
    <t>NATIONAL POWER CORPORATION - SPUG LUZON</t>
  </si>
  <si>
    <t>MUNICIPALITY OF GLAN, SARANGANI PROVINCE</t>
  </si>
  <si>
    <t>CITY OF LIGAO, ALBAY</t>
  </si>
  <si>
    <t>DEPARTMENT OF PUBLIC WORKS AND HIGHWAYS - ROMBLON DEO</t>
  </si>
  <si>
    <t>QUIRINO MEMORIAL MEDICAL CENTER</t>
  </si>
  <si>
    <t>BARANGAY STA. TERESITA, MANSALAY, ORIENTAL MINDORO</t>
  </si>
  <si>
    <t>PICANAN NATIONAL HIGH SCHOOL</t>
  </si>
  <si>
    <t>BARANGAY CAMBAILAN - CATIGBIAN BOHOL</t>
  </si>
  <si>
    <t>ALEJANDRA L. NAVARRO CENTRAL ELEMENTARY SCHOOL</t>
  </si>
  <si>
    <t>ENVIRONMENTAL MANAGEMENT BUREAU - REGION XI</t>
  </si>
  <si>
    <t>MUNICIPALITY OF BANSUD, ORIENTAL MINDORO</t>
  </si>
  <si>
    <t>MUNICIPALITY OF SAN PABLO, ZAMBOANGA DEL SUR</t>
  </si>
  <si>
    <t>BARANGAY SAN ROQUE, BURI CATBALOGAN CITY</t>
  </si>
  <si>
    <t>CITY OF BAYAWAN, NEGROS ORIENTAL</t>
  </si>
  <si>
    <t>BARANGAY TINGLAN MUTIA ZAMBOANGA DEL NORTE</t>
  </si>
  <si>
    <t>MUNICIPALITY OF BROOKE'S POINT, PALAWAN</t>
  </si>
  <si>
    <t>MUNICIPALITY OF TIWI, ALBAY</t>
  </si>
  <si>
    <t>MUNICIPALITY OF LINGAYEN, PANGASINAN</t>
  </si>
  <si>
    <t>DEPARTMENT OF AGRARIAN REFORM - CAMARINES SUR A</t>
  </si>
  <si>
    <t>METRO VIGAN WATER DISTRICT</t>
  </si>
  <si>
    <t>CAGAYAN DE ORO CITY WATER DISTRICT</t>
  </si>
  <si>
    <t xml:space="preserve">DEPARTMENT OF PUBLIC WORKS AND HIGHWAYS - COMPOSTELA VALLEY </t>
  </si>
  <si>
    <t>BANGBANG ELEMENTARY SCHOOL</t>
  </si>
  <si>
    <t>PROVINCE OF ILOCOS SUR</t>
  </si>
  <si>
    <t>MUNICIPALITY OF NAGA, ZAMBOANGA SIBUGAY</t>
  </si>
  <si>
    <t>PHILIPPINE NATIONAL OIL COMPANY - MAIN OFFICE</t>
  </si>
  <si>
    <t>MUNICIPALITY OF AROROY, MASBATE</t>
  </si>
  <si>
    <t>MUNICIPALITY OF IPIL, ZAMBOANGA SIBUGAY</t>
  </si>
  <si>
    <t>PROVINCE OF BUKIDNON</t>
  </si>
  <si>
    <t>BARANGAY CATO, INFANTA, PANGASINAN</t>
  </si>
  <si>
    <t>BARANGAY GAAS - BAYBAY CITY LEYTE</t>
  </si>
  <si>
    <t>MUNICIPALITY OF DARAM, SAMAR</t>
  </si>
  <si>
    <t>BARANGAY CABULISAN INOPACAN LEYTE</t>
  </si>
  <si>
    <t>DEPARTMENT OF TRADE &amp; INDUSTRY - REGION IX</t>
  </si>
  <si>
    <t>PHILIPPINE POSTAL CORPORATION</t>
  </si>
  <si>
    <t>AGRICULTURAL TRAINING INSTITUTE - LIPA CITY</t>
  </si>
  <si>
    <t>PHILIPPINE HEALTH INSURANCE CORPORATION - REGION III</t>
  </si>
  <si>
    <t>BARANGAY DOMOLOG - BINDOY (PAYABON) NEGROS ORIENTAL</t>
  </si>
  <si>
    <t>MUNICIPALITY OF MARIPIPI, BILIRAN</t>
  </si>
  <si>
    <t>BARANGAY BUDA  - DAVAO CITY</t>
  </si>
  <si>
    <t>BARANGAY WAWA I ROSARIO CAVITE</t>
  </si>
  <si>
    <t>DEPARTMENT OF PUBLIC WORKS AND HIGHWAYS - BOHOL 2ND DEO</t>
  </si>
  <si>
    <t>MUNICIPALITY OF MONKAYO, COMPOSTELA VALLEY</t>
  </si>
  <si>
    <t>COUNCIL FOR THE WELFARE OF CHILDREN, DSWD</t>
  </si>
  <si>
    <t>BARANGAY BUKAL - BUENAVISTA, QUEZON</t>
  </si>
  <si>
    <t>DEPARTMENT OF PUBLIC WORKS AND HIGHWAYS - NUEVA ECIJA 2ND DE</t>
  </si>
  <si>
    <t>MUNICIPALITY OF FLORA, APAYAO</t>
  </si>
  <si>
    <t>MUNICIPALITY OF NAIC, CAVITE</t>
  </si>
  <si>
    <t>MUNICIPALITY OF KAUSWAGAN, LANAO DEL NORTE</t>
  </si>
  <si>
    <t>MUNICIPALITY OF BULUSAN, SORSOGON</t>
  </si>
  <si>
    <t>BARANGAY SAN JUAN DE MATA, TARLAC CITY</t>
  </si>
  <si>
    <t>MUNICIPALITY OF CARDONA, RIZAL</t>
  </si>
  <si>
    <t>DEPARTMENT OF EDUCATION - DIVISION OF BAYAWAN CITY</t>
  </si>
  <si>
    <t>MUNICIPALITY OF CASIGURAN, SORSOGON</t>
  </si>
  <si>
    <t>BARANGAY 90 ZONE 7  DISTRICT 1</t>
  </si>
  <si>
    <t>BARANGAY 24, CAGAYAN DE ORO CITY</t>
  </si>
  <si>
    <t>MUNICIPALITY OF NABUNTURAN, COMPOSTELA VALLEY</t>
  </si>
  <si>
    <t>DEPARTMENT OF LABOR AND EMPLOYMENT - REGION X</t>
  </si>
  <si>
    <t>BARANGAY SAN MIGUEL, BATANGAS CITY</t>
  </si>
  <si>
    <t>DEPARTMENT OF THE INTERIOR AND LOCAL GOVERNMENT - MAIN</t>
  </si>
  <si>
    <t>DEPARTMENT OF INFORMATION AND COMMUNICATIONS TECHNOLOGY-CDO</t>
  </si>
  <si>
    <t>DR. E. B. ESPINOSA, SR. MEMORIAL STATE COL OF AGRIC AND TECH</t>
  </si>
  <si>
    <t>BARANGAY MINA EAST, MINA, ILOILO</t>
  </si>
  <si>
    <t>RIZAL TECHNOLOGICAL UNIVERSITY</t>
  </si>
  <si>
    <t>BUREAU OF FISHERIES AND AQUATIC RESOURCES - REGION X</t>
  </si>
  <si>
    <t>BARANGAY BAYAMBANG, INFANTA, PANGASINAN</t>
  </si>
  <si>
    <t>CITY OF SAN JOSE DEL MONTE, BULACAN</t>
  </si>
  <si>
    <t>MUNICIPALITY OF DUPAX DEL SUR, NUEVA VIZCAYA</t>
  </si>
  <si>
    <t>SAMAR STATE UNIVERSITY</t>
  </si>
  <si>
    <t>MUNICIPALITY OF HINDANG, LEYTE</t>
  </si>
  <si>
    <t>DEPARTMENT OF PUBLIC WORKS AND HIGHWAYS - CEBU 4TH DEO</t>
  </si>
  <si>
    <t>MUNICIPALITY OF BONTOC, MOUNTAIN PROVINCE</t>
  </si>
  <si>
    <t>NATIONAL COMMISSION ON INDIGENOUS PEOPLES - REGION V</t>
  </si>
  <si>
    <t>PROVINCE OF AGUSAN DEL SUR</t>
  </si>
  <si>
    <t>CORAZON LOCSIN MONTELIBANO MEMORIAL REGIONAL HOSPITAL-DOH R6</t>
  </si>
  <si>
    <t>BARANGAY KANLURAN ROSARIO CAVITE</t>
  </si>
  <si>
    <t>TANJAY WATER DISTRICT</t>
  </si>
  <si>
    <t>MUNICIPALITY OF GEN. M. ALVAREZ, CAVITE</t>
  </si>
  <si>
    <t>QUEZON, BUKIDNON WATER DISTRICT</t>
  </si>
  <si>
    <t>SAGARAN ELEMENTARY SCHOOL</t>
  </si>
  <si>
    <t>MUNICIPALITY OF LAGONGLONG, MISAMIS ORIENTAL</t>
  </si>
  <si>
    <t>BARANGAY GOVERNMENT OF ANAHAW LABO CAMARINES NORTE</t>
  </si>
  <si>
    <t>MUNICIPALITY OF BALABAC, PALAWAN</t>
  </si>
  <si>
    <t>PHILIPPINE STATE COLLEGE OF AERONAUTICS</t>
  </si>
  <si>
    <t>BARANGAY NIPA, CONCEPCION, ILOILO</t>
  </si>
  <si>
    <t>DEPARTMENT OF PUBLIC WORKS AND HIGHWAYS - BATANGAS 2ND ED</t>
  </si>
  <si>
    <t>MUNICIPALITY OF SANTA CRUZ, LAGUNA</t>
  </si>
  <si>
    <t>PHILIPPINE STATISTICS AUTHORITY - CAVITE</t>
  </si>
  <si>
    <t>DEPARTMENT OF AGRARIAN REFORM PROVINCIAL OFFICE, COTABATO</t>
  </si>
  <si>
    <t>PORAS ELEMENTARY SCHOOL</t>
  </si>
  <si>
    <t>MUNICIPALITY OF MAITUM, SARANGANI</t>
  </si>
  <si>
    <t>DEPARTMENT OF ENVIRONMENT AND NATURAL RES. - PENRO, AKLAN</t>
  </si>
  <si>
    <t>BARANGAY SAN NICOLAS POBLACION, CONCEPCION, TARLAC</t>
  </si>
  <si>
    <t>BARANGAY PARAISO, TARLAC, TARLAC</t>
  </si>
  <si>
    <t>MENDEZ WATER DISTRICT</t>
  </si>
  <si>
    <t>MUNICIPALITY OF PILA, LAGUNA</t>
  </si>
  <si>
    <t>METROPOLITAN CEBU WATER DISTRICT</t>
  </si>
  <si>
    <t>NATIONAL POLICE COMMISSION</t>
  </si>
  <si>
    <t>CIVIL AVIATION AUTHORITY OF THE PHILIPPINES - REGION V</t>
  </si>
  <si>
    <t>MUNICIPALITY OF PORAC, PAMPANGA</t>
  </si>
  <si>
    <t>BANGKO SENTRAL NG PILIPINAS - CEBU REGIONAL OFFICE</t>
  </si>
  <si>
    <t>MUNICIPALITY OF VICTORIA, ORIENTAL MINDORO</t>
  </si>
  <si>
    <t>MUNICIPALITY OF PIÑAN, ZAMBOANGA DEL NORTE</t>
  </si>
  <si>
    <t>NATIONAL IRRIGATION ADMINISTRATION</t>
  </si>
  <si>
    <t>DEPARTMENT OF PUBLIC WORKS AND HIGHWAYS - PAMPANGA 1ST DEO</t>
  </si>
  <si>
    <t>MUNICIPALITY OF SAN FRANCISCO, SURIGAO DEL NORTE</t>
  </si>
  <si>
    <t>BARANGAY CABADIANGAN, KADINGILAN, BUKIDNON</t>
  </si>
  <si>
    <t>MUNICIPALITY OF LAUREL, BATANGAS</t>
  </si>
  <si>
    <t>BARANGAY IMELDA, HILONGOS, LEYTE</t>
  </si>
  <si>
    <t>MUNICIPALITY OF MAMBURAO, OCCIDENTAL MINDORO</t>
  </si>
  <si>
    <t>MUNICIPALITY OF VALDERRAMA, ANTIQUE</t>
  </si>
  <si>
    <t>MARINDUQUE STATE COLLEGE</t>
  </si>
  <si>
    <t>BARANGAY BALIWAGAN, BALAMBAN, CEBU</t>
  </si>
  <si>
    <t>MUNICIPALITY OF MADRIDEJOS, CEBU</t>
  </si>
  <si>
    <t>CAUAYAN CITY NATIONAL HIGH SCHOOL - CAUAYAN CITY ISABELA</t>
  </si>
  <si>
    <t>PHILIPPINE NATIONAL POLICE - INFORMATION TECHNOLOGY MANAGEME</t>
  </si>
  <si>
    <t>PROVINCE OF BOHOL</t>
  </si>
  <si>
    <t>DEPARTMENT OF PUBLIC WORKS AND HIGHWAYS - ZAMBOANGA CITY DEO</t>
  </si>
  <si>
    <t>MALOLOS WATER DISTRICT</t>
  </si>
  <si>
    <t>MUNICIPALITY OF ALFONSO CASTAÑEDA, NUEVA VIZCAYA</t>
  </si>
  <si>
    <t>COMMISSION ON FILIPINOS OVERSEAS</t>
  </si>
  <si>
    <t>COURT OF APPEALS</t>
  </si>
  <si>
    <t>PROCUREMENT SERVICE</t>
  </si>
  <si>
    <t>MUNICIPALITY OF CORCUERA, ROMBLON</t>
  </si>
  <si>
    <t>DEPARTMENT OF PUBLIC WORKS AND HIGHWAYS - CAVITE I DEO</t>
  </si>
  <si>
    <t>DEPARTMENT OF ENVIRONMENT AND NATURAL RES. - PENRO, ILOCOS S</t>
  </si>
  <si>
    <t>DEPARTMENT OF PUBLIC WORKS AND HIGHWAYS - REGION III</t>
  </si>
  <si>
    <t>LAGUNA STATE POLYTECHNIC UNIVERSITY - SINILOAN CAMPUS</t>
  </si>
  <si>
    <t>MUNICIPALITY OF PILAR, SORSOGON</t>
  </si>
  <si>
    <t>SANDIGANBAYAN</t>
  </si>
  <si>
    <t>DEPARTMENT OF PUBLIC WORKS AND HIGHWAYS - LA UNION 1ST ED</t>
  </si>
  <si>
    <t>BARANGAY 4 RAJAH SOLIMAN, BUTUAN CITY</t>
  </si>
  <si>
    <t>MUNICIPALITY OF OLUTANGA, ZAMBOANGA SIBUGAY</t>
  </si>
  <si>
    <t>MUNICIPALITY OF LAUR, NUEVA ECIJA</t>
  </si>
  <si>
    <t>MUNICIPALITY OF BURUANGA, AKLAN</t>
  </si>
  <si>
    <t>CIVIL AVIATION AUTHORITY OF THE PHILIPPINES - AREA CENTER XI</t>
  </si>
  <si>
    <t>BARANGAY POBLACION - PUERTO GALERA ORIENTAL MINDORO</t>
  </si>
  <si>
    <t>MUNICIPALITY OF BALETE, AKLAN</t>
  </si>
  <si>
    <t>DEPARTMENT OF ENVIRONMENT AND NATURAL RES. - CENRO-APARRI</t>
  </si>
  <si>
    <t>BARANGAY SAN JOAQUIN, CAPOOCAN, LEYTE</t>
  </si>
  <si>
    <t>BARANGAY LIGTONG IV ROSARIO CAVITE</t>
  </si>
  <si>
    <t>SK OF BARANGAY EAST REMBO - MAKATI CITY</t>
  </si>
  <si>
    <t>CITY OF LEGAZPI, ALBAY</t>
  </si>
  <si>
    <t>DEPARTMENT OF PUBLIC WORKS AND HIGHWAYS - LA UNION 2ND ED</t>
  </si>
  <si>
    <t>DOÑA HORTENCIA SALAS BENEDICTO NATIONAL HIGH SCHOOL-LA CARLO</t>
  </si>
  <si>
    <t>MASBATE-MOBO WATER DISTRICT</t>
  </si>
  <si>
    <t>BARANGAY LAPAZ, VILLASIS, PANGASINAN</t>
  </si>
  <si>
    <t>CIVIL AVIATION AUTHORITY OF THE PHILIPPINES - REGION II</t>
  </si>
  <si>
    <t>MUNICIPALITY OF DATU PAGLAS, MAGUINDANAO</t>
  </si>
  <si>
    <t>MUNICIPALITY OF HERNANI, EASTERN SAMAR</t>
  </si>
  <si>
    <t>DEPARTMENT OF PUBLIC WORKS AND HIGHWAYS - NORTH COTABATO 1ST</t>
  </si>
  <si>
    <t>BARANGAY DANASAN DANAO CITY CEBU</t>
  </si>
  <si>
    <t>MUNICIPALITY OF MACROHON, SOUTHERN LEYTE</t>
  </si>
  <si>
    <t>BARANGAY BARASAN, POTOTAN, ILOILO</t>
  </si>
  <si>
    <t>MUNICIPALITY OF AJUY, ILOILO</t>
  </si>
  <si>
    <t>MUNICIPALITY OF SAN MATEO, RIZAL</t>
  </si>
  <si>
    <t>UNIVERSITY OF SCIENCE &amp; TECH. OF SOUTHERN PHIL.-CLAVERIA</t>
  </si>
  <si>
    <t>MUNICIPALITY OF MAYORGA, LEYTE</t>
  </si>
  <si>
    <t>OCCIDENTAL MINDORO STATE COLLEGE</t>
  </si>
  <si>
    <t>NATIONAL IRRIGATION ADMINISTRATION - CAMARINES NORTE</t>
  </si>
  <si>
    <t>MUNICIPALITY OF PORO, CEBU</t>
  </si>
  <si>
    <t>BARANGAY I POBLACION, MALILIPOT, ALBAY</t>
  </si>
  <si>
    <t>CABUYAO CENTRAL SCHOOL</t>
  </si>
  <si>
    <t>MARIVELES MENTAL WELLNESS AND GENERAL HOSPITAL</t>
  </si>
  <si>
    <t>BAYAWAN WATER DISTRICT</t>
  </si>
  <si>
    <t>MUNICIPALITY OF BINANGONAN, RIZAL</t>
  </si>
  <si>
    <t>MUNICIPALITY OF ENRIQUE VILLANUEVA, SIQUIJOR</t>
  </si>
  <si>
    <t>GINGOOG CITY WATER DISTRICT</t>
  </si>
  <si>
    <t>MUNICIPALITY OF MAMBUSAO, CAPIZ</t>
  </si>
  <si>
    <t>CITY  OF CAVITE</t>
  </si>
  <si>
    <t>BARANGAY CAÑORONG, GINATILAN, CEBU</t>
  </si>
  <si>
    <t>MUNICIPALITY OF CABAGAN, ISABELA</t>
  </si>
  <si>
    <t>BARANGAY  BAYUYAN - PRESIDENT ROXAS, CAPIZ</t>
  </si>
  <si>
    <t>PALOMPON INSTITUTE OF TECHNOLOGY - TABANGO CAMPUS</t>
  </si>
  <si>
    <t>LINGUNAN ELEMENTARY SCHOOL</t>
  </si>
  <si>
    <t>BUREAU OF ANIMAL INDUSTRY, DA</t>
  </si>
  <si>
    <t>PROFESSIONAL REGULATION COMMISSION - REGION XI</t>
  </si>
  <si>
    <t>SALVADOR TRADE SCHOOL</t>
  </si>
  <si>
    <t>DEPARTMENT OF PUBLIC WORKS AND HIGHWAYS - MAGUINDANAO 2ND DE</t>
  </si>
  <si>
    <t>MUNICIPALITY OF NATIVIDAD -  PANGASINAN</t>
  </si>
  <si>
    <t>DEPARTMENT OF SOCIAL WELFARE AND DEVELOPMENT - REGION XI</t>
  </si>
  <si>
    <t>MUNICIPALITY OF MANAY, DAVAO ORIENTAL</t>
  </si>
  <si>
    <t>BARANGAY SAN JUAN -  CAINTA, RIZAL</t>
  </si>
  <si>
    <t>DEPARTMENT OF ENVIRONMENT AND NATURAL RES. - PENRO, MIS. OCC</t>
  </si>
  <si>
    <t>PROVINCE OF ISABELA</t>
  </si>
  <si>
    <t>CITY OF TANAUAN, BATANGAS</t>
  </si>
  <si>
    <t>NATIONAL HOUSING AUTHORITY - NCR NORTH SECTOR</t>
  </si>
  <si>
    <t>MARITIME INDUSTRY AUTHORITY (MARINA)</t>
  </si>
  <si>
    <t>DEPARTMENT OF PUBLIC WORKS AND HIGHWAYS - SULTAN KUDARAT 2ND</t>
  </si>
  <si>
    <t>PRESIDENTIAL MANAGEMENT STAFF</t>
  </si>
  <si>
    <t>NATIONAL FOOD AUTHORITY - REGION VI</t>
  </si>
  <si>
    <t>BARANGAY STA. MONICA, PUERTO PRINCESA CITY, PALAWAN</t>
  </si>
  <si>
    <t>PRESIDENTIAL BROADCAST STAFF ,RTVM</t>
  </si>
  <si>
    <t>MUNICIPALITY OF BONGABONG, ORIENTAL MINDORO</t>
  </si>
  <si>
    <t>BENGUET GENERAL HOSPITAL</t>
  </si>
  <si>
    <t>SOCIAL SECURITY SYSTEM - WESTERN MINDANAO DIVISION</t>
  </si>
  <si>
    <t>BARANGAY PUGAOAN - PINILI ILOCOS NORTE</t>
  </si>
  <si>
    <t>NORTHWESTERN MINDANAO STATE COLLEGE OF SCIENCE &amp; TECHNOLOGY</t>
  </si>
  <si>
    <t>BARANGAY BALIBAGO, LIAN, BATANGAS</t>
  </si>
  <si>
    <t>DEPARTMENT OF PUBLIC WORKS AND HIGHWAYS - ALBAY 2ND DEO</t>
  </si>
  <si>
    <t>TESDA - APARRI POLYTECHNIC INSTITUTE</t>
  </si>
  <si>
    <t>MUNICIPALITY OF SANTA FE, CEBU</t>
  </si>
  <si>
    <t>DEPARTMENT OF AGRARIAN REFORM - SARANGANI PROVINCE</t>
  </si>
  <si>
    <t>MUNICIPALITY OF LILA,  BOHOL</t>
  </si>
  <si>
    <t>BARANGAY MATACON, POLANGUI, ALBAY</t>
  </si>
  <si>
    <t>DEPARTMENT OF PUBLIC WORKS AND HIGHWAYS - BAGUIO CITY DEO</t>
  </si>
  <si>
    <t>PHILIPPINE CHILDREN'S MEDICAL CENTER</t>
  </si>
  <si>
    <t>PHILIPPINE NATIONAL POLICE - LOGISTICS SUPPORT SERVICE</t>
  </si>
  <si>
    <t>LAS PIÑAS GENERAL HOSPITAL AND SATELLITE TRAUMA CENTER</t>
  </si>
  <si>
    <t>MUNICIPALITY OF PAGSANJAN, LAGUNA</t>
  </si>
  <si>
    <t>BARANGAY ALTURA MATANDA, TANAUAN CITY, BATANGAS</t>
  </si>
  <si>
    <t>MUNICIPALITY OF DINGALAN, AURORA</t>
  </si>
  <si>
    <t>BARANGAY TIPOLO, DUENAS, ILOILO</t>
  </si>
  <si>
    <t>BARANGAY GUINDAPUNAN, PALO, LEYTE</t>
  </si>
  <si>
    <t>BARANGAY MARANGOG, HILONGOS, LEYTE</t>
  </si>
  <si>
    <t>DEPARTMENT OF PUBLIC WORKS AND HIGHWAYS - DAVAO OCCIDENTAL D</t>
  </si>
  <si>
    <t>MUNICIPALITY OF SULOP, DAVAO DEL SUR</t>
  </si>
  <si>
    <t>BANGKO SENTRAL NG PILIPINAS - ILOILO BRANCH</t>
  </si>
  <si>
    <t>LLANO ELEMENTARY SCHOOL</t>
  </si>
  <si>
    <t>BARANGAY 55 ESTANZA -  LEGAZPI CITY ALBAY</t>
  </si>
  <si>
    <t>BUREAU OF FISHERIES AND AQUATIC RESOURCES - REGION IV-A</t>
  </si>
  <si>
    <t>FOOD AND NUTRITION RESEARCH INSTITUTE</t>
  </si>
  <si>
    <t>OLD DAMULOG NATIONAL HIGH SCHOOL</t>
  </si>
  <si>
    <t>DEPARTMENT OF PUBLIC WORKS AND HIGHWAYS - BATANGAS 1ST DISTR</t>
  </si>
  <si>
    <t>BARANGAY SAN JUAN, BALLESTEROS, CAGAYAN</t>
  </si>
  <si>
    <t>NATIONAL FOOD AUTHORITY - REGION VII</t>
  </si>
  <si>
    <t>PUNTURIN ELEMENTARY SCHOOL</t>
  </si>
  <si>
    <t>BARANGAY PALAYAN, NAGCARLAN, LAGUNA</t>
  </si>
  <si>
    <t>MUNICIPALITY OF LOPE DE VEGA, NORTHERN SAMAR</t>
  </si>
  <si>
    <t>BARANGAY GABUYAN, KAPALONG, DAVAO DEL NORTE</t>
  </si>
  <si>
    <t>PRES. CORAZON C. AQUINO HIGH SCHOOL</t>
  </si>
  <si>
    <t>BARANGAY SAN FRANCISCO ISABEL LEYTE</t>
  </si>
  <si>
    <t>CITY OF IMUS -  CAVITE</t>
  </si>
  <si>
    <t>PROVINCE OF NUEVA ECIJA</t>
  </si>
  <si>
    <t>ENVIRONMENTAL MANAGEMENT BUREAU, DENR-REGION X</t>
  </si>
  <si>
    <t>MUNICIPALITY OF HINOBA-AN, NEGROS OCCIDENTAL</t>
  </si>
  <si>
    <t>NUEVA ECIJA UNIVERSITY OF SCIENCE AND TECHNOLOGY</t>
  </si>
  <si>
    <t>BARANGAY LABATAN -  PAYAO, ZAMBOANGA SIBUGAY</t>
  </si>
  <si>
    <t>DEPARTMENT OF EDUCATION - DIVISION OF CAMARINES NORTE</t>
  </si>
  <si>
    <t>NATIONAL COMMISSION ON MUSLIM FILIPINOS</t>
  </si>
  <si>
    <t>BARANGAY UNAT - IBAJAY AKLAN</t>
  </si>
  <si>
    <t>BARANGAY PARANUM LALLO CAGAYAN</t>
  </si>
  <si>
    <t>AGRICULTURAL TRAINING INSTITUTE - REGION I</t>
  </si>
  <si>
    <t>PROVINCE OF LANAO DEL SUR</t>
  </si>
  <si>
    <t>BARANGAY 573</t>
  </si>
  <si>
    <t>UNIVERSITY OF THE PHILIPPINES - DILIMAN</t>
  </si>
  <si>
    <t>BARANGAY STA MARIA LAL-LO CAGAYAN</t>
  </si>
  <si>
    <t>MUNICIPALITY OF MARGOSATUBIG, ZAMBOANGA DEL SUR</t>
  </si>
  <si>
    <t>PIO VALENZUELA ELEMENTARY SCHOOL</t>
  </si>
  <si>
    <t>BARANGAY DALAYA LALLO CAGAYAN</t>
  </si>
  <si>
    <t>MUNICIPALITY OF TANAY, RIZAL</t>
  </si>
  <si>
    <t>BARANGAY BANGAG LALLO CAGAYAN</t>
  </si>
  <si>
    <t>MUZON PABAHAY ELEMENTARY SCHOOL</t>
  </si>
  <si>
    <t>DEPARTMENT OF TOURISM</t>
  </si>
  <si>
    <t>PROVINCE OF GUIMARAS</t>
  </si>
  <si>
    <t>KIARA NATIONAL HIGH SCHOOL - DON CARLOS BUKIDNON</t>
  </si>
  <si>
    <t>MUNICIPALITY OF NABAS, AKLAN</t>
  </si>
  <si>
    <t>DEPARTMENT OF PUBLIC WORKS AND HIGHWAYS - REGION I</t>
  </si>
  <si>
    <t>CITY OF ANGELES, PAMPANGA</t>
  </si>
  <si>
    <t>DEPARTMENT OF PUBLIC WORKS AND HIGHWAYS - REGION II</t>
  </si>
  <si>
    <t>CITY OF ILOILO</t>
  </si>
  <si>
    <t>BARANGAY  - ROXAS ORIENTAL MINDORO</t>
  </si>
  <si>
    <t>MUNICIPALITY OF VILLASIS, PANGASINAN</t>
  </si>
  <si>
    <t>CITY OF DASMARIÑAS, CAVITE</t>
  </si>
  <si>
    <t>CASTILLEJOS WATER DISTRICT</t>
  </si>
  <si>
    <t>EASTERN VISAYAS REGIONAL MEDICAL CENTER - DOH</t>
  </si>
  <si>
    <t>PROVINCE OF ORIENTAL MINDORO</t>
  </si>
  <si>
    <t>STO.NIÑO ELEMENTARY SCHOOL - TALAKAG BUKIDNON</t>
  </si>
  <si>
    <t>BARANGAY SANTIAGO GINGOOG CITY</t>
  </si>
  <si>
    <t>MUNICIPALITY OF DINGRAS, ILOCOS NORTE</t>
  </si>
  <si>
    <t>BARANGAY TIBLE, SIPOCOT, CAMARINES SUR</t>
  </si>
  <si>
    <t>MUNICIPALITY OF STA. TERESITA, CAGAYAN</t>
  </si>
  <si>
    <t>DEPARTMENT OF PUBLIC WORKS AND HIGHWAYS - ISABELA 1ST DEO</t>
  </si>
  <si>
    <t>CITY OF SAGAY, NEGROS OCCIDENTAL</t>
  </si>
  <si>
    <t>MUNICIPALITY OF ESPERANZA, AGUSAN DEL SUR</t>
  </si>
  <si>
    <t>NATIONAL HISTORICAL COMMISSION OF THE PHILIPPINES</t>
  </si>
  <si>
    <t>MALINTA NATIONAL HIGH SCHOOL</t>
  </si>
  <si>
    <t>MUNICIPALITY OF SAN ANTONIO, QUEZON</t>
  </si>
  <si>
    <t>NATIONAL WAGES AND PRODUCTIVITY COMMISSION</t>
  </si>
  <si>
    <t>BARANGAY SABLIG - ANDA, PANGASINAN</t>
  </si>
  <si>
    <t>AGRICULTURAL TRAINING INSTITUTE - CAMARINES SUR</t>
  </si>
  <si>
    <t>DEPARTMENT OF AGRICULTURE - CARFU</t>
  </si>
  <si>
    <t>FERTILIZER AND PESTICIDE AUTHORITY - QUEZON CITY METRO MANIL</t>
  </si>
  <si>
    <t>PHILIPPINE CROP INSURANCE CORPORATION - REGION VIII</t>
  </si>
  <si>
    <t>PROVINCE OF LAGUNA</t>
  </si>
  <si>
    <t>BARANGAY LOWER CABANGCALAN LAZI SIQUIJOR</t>
  </si>
  <si>
    <t>CITY OF SAN CARLOS, NEGROS OCCIDENTAL</t>
  </si>
  <si>
    <t>BARANGAY CATAGGAMAN VIEJO - TUGUEGARAO CITY</t>
  </si>
  <si>
    <t>CITY OF DIPOLOG, ZAMBOANGA DEL NORTE</t>
  </si>
  <si>
    <t xml:space="preserve">DEPARTMENT OF PUBLIC WORKS AND HIGHWAYS - SURIGAO DEL NORTE </t>
  </si>
  <si>
    <t>MUNICIPALITY OF CAPOOCAN, LEYTE</t>
  </si>
  <si>
    <t>MUNICIPALITY OF CAPALONGA, CAMARINES NORTE</t>
  </si>
  <si>
    <t>MUNICIPALITY OF SAN JUAN, SOUTHERN LEYTE</t>
  </si>
  <si>
    <t>BARANGAY PALALIAN KALAWIT ZAMBOANGA DEL NORTE</t>
  </si>
  <si>
    <t>NATIONAL COMMISSION ON INDIGENOUS PEOPLES - CAR</t>
  </si>
  <si>
    <t>MUNICIPALITY OF ESTANCIA, ILOILO</t>
  </si>
  <si>
    <t>LIGA NG MGA BARANGAY, NATIVIDAD CHAPTER</t>
  </si>
  <si>
    <t>BARANGAY TALIGAMAN, BUTUAN CITY</t>
  </si>
  <si>
    <t>MUNICIPALITY OF DIMIAO, BOHOL</t>
  </si>
  <si>
    <t>MINISTRY OF AGRICULTURE, FISHERIES AND AGRARIAN REFORM - COT</t>
  </si>
  <si>
    <t>DEPARTMENT OF EDUCATION - REGION II</t>
  </si>
  <si>
    <t>BARANGAY BULSA - SAN JUAN BATANGAS</t>
  </si>
  <si>
    <t>NATIONAL HOUSING AUTHORITY - CARAGA</t>
  </si>
  <si>
    <t>DEPARTMENT OF PUBLIC WORKS AND HIGHWAYS - ISABELA 2ND DEO</t>
  </si>
  <si>
    <t xml:space="preserve">DASMARIÑAS WATER DISTRICT </t>
  </si>
  <si>
    <t>MOUNTAIN PROVINCE STATE POLYTECHNIC COLLEGE</t>
  </si>
  <si>
    <t>MUNICIPALITY OF CALINOG, ILOILO</t>
  </si>
  <si>
    <t>BAYABAS ELEMENTARY SCHOOL</t>
  </si>
  <si>
    <t>NORTHERN NEGROS STATE COLLEGE OF SCIENCE AND TECHNOLOGY</t>
  </si>
  <si>
    <t>CULION SANITARIUM AND GENERAL HOSPITAL</t>
  </si>
  <si>
    <t>MUNICIPALITY OF BOAC, MARINDUQUE</t>
  </si>
  <si>
    <t>MUNICIPALITY OF CARMEN, BOHOL</t>
  </si>
  <si>
    <t>MAJADA IN NATIONAL HIGH SCHOOL</t>
  </si>
  <si>
    <t>BANGKO SENTRAL NG PILIPINAS -  LEGAZPI CITY ALBAY</t>
  </si>
  <si>
    <t>LAND BANK OF THE PHILIPPINES - OAH IV-B</t>
  </si>
  <si>
    <t>MUNICIPALITY OF SAN ANDRES, QUEZON</t>
  </si>
  <si>
    <t>DEPARTMENT OF PUBLIC WORKS AND HIGHWAYS - QUEZON 3RD ED</t>
  </si>
  <si>
    <t>BARANGAY LANGCUAS - SAN FERNANDO CITY, LA UNION</t>
  </si>
  <si>
    <t>PUBLIC ELEMENTARY SCHOOL</t>
  </si>
  <si>
    <t>BARANGAY 458 ZONE 45 DISTRICT IV, MANILA</t>
  </si>
  <si>
    <t>SIBUYAO NATIONAL HIGH SCHOOL</t>
  </si>
  <si>
    <t>DEPARTMENT OF AGRICULTURE - REGION VII</t>
  </si>
  <si>
    <t>BARANGAY TIBUNGCO, DAVAO CITY</t>
  </si>
  <si>
    <t>BARANGAY STA. MARIA NORTE, BINALONAN, PANGASINAN</t>
  </si>
  <si>
    <t>BOI ELEMENTARY SCHOOL</t>
  </si>
  <si>
    <t>BARANGAY  STO. ROSARIO - SAN ISIDRO DAVAO ORIENTAL</t>
  </si>
  <si>
    <t>MUNICIPALITY OF MARAGUSAN COMPOSTELA VALLEY</t>
  </si>
  <si>
    <t>CANDELARIA WATER DISTRICT</t>
  </si>
  <si>
    <t>MUNICIPALITY OF DUERO, BOHOL</t>
  </si>
  <si>
    <t>PROVINCE OF NUEVA VIZCAYA - BAYOMBONG NUEVA VIZCAYA</t>
  </si>
  <si>
    <t>MUNICIPALITY OF MATALOM, LEYTE</t>
  </si>
  <si>
    <t>DEPARTMENT OF AGRARIAN REFORM - NEGROS OCCIDENTAL 2 (SOUTH)</t>
  </si>
  <si>
    <t>MUNICIPALITY OF LAOANG, NORTHERN SAMAR</t>
  </si>
  <si>
    <t>MUNICIPALITY OF ABUYOG, LEYTE</t>
  </si>
  <si>
    <t>MUNICIPALITY OF NAGUILIAN, ISABELA</t>
  </si>
  <si>
    <t>MUNICIPALITY OF MIDSALIP, ZAMBOANGA DEL SUR</t>
  </si>
  <si>
    <t>DEPARTMENT OF PUBLIC WORKS AND HIGHWAYS - LAS PINAS- MUNTINL</t>
  </si>
  <si>
    <t>MUNICIPALITY OF OSLOB, CEBU</t>
  </si>
  <si>
    <t>SAGUNIANG KABATAAN OF BARANGAY DULACAC</t>
  </si>
  <si>
    <t>DEPARTMENT OF PUBLIC WORKS AND HIGHWAYS - MISAMIS ORIENTAL 1</t>
  </si>
  <si>
    <t>BARANGAY BATONG MALAKE, LOS BAÑOS, LAGUNA</t>
  </si>
  <si>
    <t>PEDRO T. MENDIOLA SR. MEMORIAL NATIONAL HIGH SCHOOL</t>
  </si>
  <si>
    <t>MUNICIPALITY OF RIZAL, NUEVA ECIJA</t>
  </si>
  <si>
    <t>DEPARTMENT OF PUBLIC WORKS AND HIGHWAYS SARANGANI DISTRICT E</t>
  </si>
  <si>
    <t>CITY OF MARIKINA</t>
  </si>
  <si>
    <t>BARANGAY APOLLO, ORANI, BATAAN</t>
  </si>
  <si>
    <t>BARANGAY COGORIN ILAYA, LOPEZ, QUEZON</t>
  </si>
  <si>
    <t>BARANGAY IBABANG IYAM, LUCENA CITY</t>
  </si>
  <si>
    <t>CITY OF IRIGA</t>
  </si>
  <si>
    <t>BARANGAY SILANGAN UNO - ROSARIO CAVITE</t>
  </si>
  <si>
    <t>DAGA EXTENSION HIGH SCHOOL - CADIZ CITY NEGROS OCCIDENTAL</t>
  </si>
  <si>
    <t>BARANGAY MAHACOT KANLURAN, BATANGAS CITY</t>
  </si>
  <si>
    <t>PALACIO DEL GOBERNADOR CONDOMINIUM CORPORATION</t>
  </si>
  <si>
    <t>PARAÑAQUE NATIONAL HIGH SCHOOL - BACLARAN ANNEX</t>
  </si>
  <si>
    <t>BARANGAY SOROSORO IBABA, BATANGAS</t>
  </si>
  <si>
    <t>SINILOAN WATER DISTRICT</t>
  </si>
  <si>
    <t>BARANGAY MANANAO, RAPU-RAPU, ALBAY</t>
  </si>
  <si>
    <t>MUNICIPALITY OF BATUAN, BOHOL</t>
  </si>
  <si>
    <t>MUNICIPALITY OF MIDSAYAP, NORTH COTABATO</t>
  </si>
  <si>
    <t>DEPARTMENT OF PUBLIC WORKS AND HIGHWAYS - ABRA ED</t>
  </si>
  <si>
    <t>BARANGAY SANTIAGO, CONCEPCION, TARLAC</t>
  </si>
  <si>
    <t>PHILIPPINE PORTS AUTHORITY - PMO ZAMBOANGA DEL NORTE</t>
  </si>
  <si>
    <t>MUNICIPALITY OF IROSIN, SORSOGON</t>
  </si>
  <si>
    <t>MUNICIPALITY OF ILOG, NEGROS OCCIDENTAL</t>
  </si>
  <si>
    <t>MUNICIPALITY OF ROSALES, PANGASINAN</t>
  </si>
  <si>
    <t>DEPARTMENT OF PUBLIC WORKS AND HIGHWAYS - NEG. OCC. 2ND DEO</t>
  </si>
  <si>
    <t>BARANGAY ILAYANG POLO, PAGBILAO, QUEZON</t>
  </si>
  <si>
    <t>CONSTRUCTION INDUSTRY AUTHORITY OF THE PHILIPPINES</t>
  </si>
  <si>
    <t>WAO DISTRICT HOSPITAL</t>
  </si>
  <si>
    <t>BARANGAY GUINDAPUNAN, CATBALOGAN CITY, SAMAR</t>
  </si>
  <si>
    <t>BARANGAY LINGLINGAY</t>
  </si>
  <si>
    <t>CITY OF TANDAG, SURIGAO DEL SUR</t>
  </si>
  <si>
    <t>MUNICIPALITY OF RODRIGUEZ, RIZAL</t>
  </si>
  <si>
    <t>CITY OF COTABATO</t>
  </si>
  <si>
    <t>BARANGAY GUPA - DIPACULAO AURORA</t>
  </si>
  <si>
    <t>ODIONGAN WATER DISTRICT</t>
  </si>
  <si>
    <t>DEPARTMENT OF AGRICULTURE - REGION XII</t>
  </si>
  <si>
    <t>MUNICIPALITY OF MANSALAY, ORIENTAL MINDORO</t>
  </si>
  <si>
    <t>CITY OF ZAMBOANGA, ZAMBOANGA DEL SUR</t>
  </si>
  <si>
    <t>BARANGAY PATIMA, INFANTA, PANGASINAN</t>
  </si>
  <si>
    <t>MUNICIPALITY OF DOÑA REMEDIOS TRINIDAD, BULACAN</t>
  </si>
  <si>
    <t>BARANGAY PAGCOLBON, RAPU-RAPU, ALBAY</t>
  </si>
  <si>
    <t>DEPARTMENT OF EDUCATION - DIVISION OF OZAMIZ CITY</t>
  </si>
  <si>
    <t>CITY OF TACLOBAN, LEYTE</t>
  </si>
  <si>
    <t>BARANGAY CAPAOAY, SAN JACINTO, PANGASINAN</t>
  </si>
  <si>
    <t>BARANGAY LIGTONG III ROSARIO CAVITE</t>
  </si>
  <si>
    <t>DEPARTMENT OF AGRARIAN REFORM - REGION I</t>
  </si>
  <si>
    <t>DEPARTMENT OF TOURISM - REGION V</t>
  </si>
  <si>
    <t>BARANGAY TABANGAO DAO, BATANGAS CITY</t>
  </si>
  <si>
    <t>DEPARTMENT OF PUBLIC WORKS AND HIGHWAYS - MASBATE 1ST DEO</t>
  </si>
  <si>
    <t>MUNICIPALITY OF BAAO, CAMARINES SUR</t>
  </si>
  <si>
    <t>MUNICIPALITY OF KITAOTAO, BUKIDNON</t>
  </si>
  <si>
    <t>MUNICIPALITY OF SAN FERNANDO, ROMBLON</t>
  </si>
  <si>
    <t>MUNICIPALITY OF LUBA, ABRA</t>
  </si>
  <si>
    <t>MUNICIPALITY OF STA. MARIA, DAVAO OCCIDENTAL</t>
  </si>
  <si>
    <t>DEPARTMENT OF EDUCATION - SCHOOLS DIVISION OF TANDAG CITY</t>
  </si>
  <si>
    <t>CITY OF PARAÑAQUE</t>
  </si>
  <si>
    <t>MUNICIPALITY OF LACUB, ABRA</t>
  </si>
  <si>
    <t>MUNICIPALITY OF COLUMBIO, SULTAN KUDARAT</t>
  </si>
  <si>
    <t>JOSE RIZAL MEMORIAL STATE UNIVERSITY - KATIPUNAN CAMPUS</t>
  </si>
  <si>
    <t>DEPARTMENT OF PUBLIC WORKS AND HIGHWAYS - BATAAN 2ND DEO</t>
  </si>
  <si>
    <t>BARANGAY POBLACION - LIBUNGAN COTABATO</t>
  </si>
  <si>
    <t>CAGAYAN STATE UNIVERSITY - SANCHEZ MIRA</t>
  </si>
  <si>
    <t>PROVINCE OF SAMAR</t>
  </si>
  <si>
    <t>DEPARTMENT OF  EDUCATION - DIVISION OF OLONGAPO CITY</t>
  </si>
  <si>
    <t>BARANGAY DAHICAN, CARRASCAL, SURIGAO DEL SUR</t>
  </si>
  <si>
    <t>DEPARTMENT OF EDUCATION - DIVISION OF BUTUAN CITY</t>
  </si>
  <si>
    <t>MUNICIPALITY OF SIQUIJOR, SIQUIJOR</t>
  </si>
  <si>
    <t>BARANGAY QUINOBCOBAN, LOON, BOHOL</t>
  </si>
  <si>
    <t>BARANGAY SABANGAN - CALANASAN APAYAO</t>
  </si>
  <si>
    <t>DEPARTMENT OF PUBLIC WORKS AND HIGHWAYS - AKLAN DEO</t>
  </si>
  <si>
    <t>BARANGAY MOCPOC NORTE, LOON, BOHOL</t>
  </si>
  <si>
    <t>PHILIPPINE PORTS AUTHORITY - PMO SOUTH HARBOR</t>
  </si>
  <si>
    <t>BARANGAY LANGKONG - M'LANG COTABATO</t>
  </si>
  <si>
    <t>BARANGAY TAGNATE, HILONGOS, LEYTE</t>
  </si>
  <si>
    <t>BARANGAY CUPANG, ANTIPOLO CITY</t>
  </si>
  <si>
    <t>MUNICIPALITY OF PRESENTACION, CAMARINES SUR</t>
  </si>
  <si>
    <t>DEPARTMENT OF AGRARIAN REFORM - REGION XI</t>
  </si>
  <si>
    <t>MUNICIPALITY OF ALBURQUERQUE, BOHOL</t>
  </si>
  <si>
    <t>BARANGAY SAOAY, SAN FERNANDO CITY, LA UNION</t>
  </si>
  <si>
    <t>MUNICIPALITY OF MAPANAS, NORTHERN SAMAR</t>
  </si>
  <si>
    <t>CITY OF TARLAC, TARLAC</t>
  </si>
  <si>
    <t>BARANGAY MACAYUG, SAN JACINTO, PANGASINAN</t>
  </si>
  <si>
    <t>LANDBANK OF THE PHILIPPINES - REGION XI</t>
  </si>
  <si>
    <t>BARANGAY ONATE DE LEON, ILOILO CITY</t>
  </si>
  <si>
    <t>MUNICIPALITY OF SAN LUIS, AGUSAN DEL SUR</t>
  </si>
  <si>
    <t>MUNICIPALITY OF DILASAG, AURORA</t>
  </si>
  <si>
    <t>MUNICIPALITY OF PLARIDEL, MISAMIS OCCIDENTAL</t>
  </si>
  <si>
    <t>BUREAU OF FIRE PROTECTION - CARAGA REGION</t>
  </si>
  <si>
    <t>PHILIPPINE NATIONAL POLICE - SPECIAL ACTION FORCE</t>
  </si>
  <si>
    <t>BARANGAY MOTO SUR, LOON, BOHOL</t>
  </si>
  <si>
    <t>DEPARTMENT OF TOURISM - REGION VI</t>
  </si>
  <si>
    <t>BARANGAY PANTIHAN 3 MARAGONDON CAVITE</t>
  </si>
  <si>
    <t>BILBAO-UYBICO NATIONAL HIGH SCHOOL</t>
  </si>
  <si>
    <t>BARANGAY BOLO, SAN JACINTO, PANGASINAN</t>
  </si>
  <si>
    <t>CITY GOVERNMENT OF BALANGA, BATAAN</t>
  </si>
  <si>
    <t>PARAÑAQUE ELEMENTARY SCHOOL CENTRAL</t>
  </si>
  <si>
    <t>KABACAN WATER DISTRICT</t>
  </si>
  <si>
    <t>PHILIPPINE NATIONAL RAILWAYS</t>
  </si>
  <si>
    <t>CITY OF DAGUPAN  - PANGASINAN</t>
  </si>
  <si>
    <t>DEPARTMENT OF PUBLIC WORKS AND HIGHWAYS - REGION VII</t>
  </si>
  <si>
    <t>CADIZ WEST II ELEMENTARY SCHOOL</t>
  </si>
  <si>
    <t>CITY OF MAKATI</t>
  </si>
  <si>
    <t>UWISAN ELEMENTARY SCHOOL</t>
  </si>
  <si>
    <t>BARANGAY KALAWAAN, PASIG CITY</t>
  </si>
  <si>
    <t>MUNICIPALITY OF BULALACAO, ORIENTAL MINDORO</t>
  </si>
  <si>
    <t>BARANGAY CAMANGGAAN - SAN NICOLAS PANGASINAN</t>
  </si>
  <si>
    <t>MUNICIPALITY OF SIERRA BULLONES, BOHOL</t>
  </si>
  <si>
    <t>MUNICIPALITY OF KAPATAGAN, LANAO DEL NORTE</t>
  </si>
  <si>
    <t>BARANGAY POMPONAN - BAYBAY CITY LEYTE</t>
  </si>
  <si>
    <t>PHILIPPINE HEART CENTER</t>
  </si>
  <si>
    <t>SAN JUAN NATIONAL HIGH SCHOOL</t>
  </si>
  <si>
    <t>BARANGAY STO. CRISTO, SAN JOSE DEL MONTE, BULACAN</t>
  </si>
  <si>
    <t>DEPARTMENT OF SCIENCE AND TECHNOLOGY REGION 1</t>
  </si>
  <si>
    <t>MUNICIPALITY OF CAPAS, TARLAC</t>
  </si>
  <si>
    <t>SAN PABLO CITY WATER DISTRICT</t>
  </si>
  <si>
    <t>TESDA REGIONAL TRAINING CENTER - GUIGUINTO</t>
  </si>
  <si>
    <t>BARANGAY UGONG, PASIG CITY</t>
  </si>
  <si>
    <t>BANGKO SENTRAL NG PILIPINAS - ZAMBOANGA BRANCH</t>
  </si>
  <si>
    <t>BARANGAY AWAI, SAN JACINTO, PANGASINAN</t>
  </si>
  <si>
    <t>BARANGAY CULLIAT - LIGAO CITY</t>
  </si>
  <si>
    <t>MUNICIPALITY OF TALACOGON, AGUSAN DEL SUR</t>
  </si>
  <si>
    <t>CITY OF TABUK, KALINGA</t>
  </si>
  <si>
    <t>MUNICIPALITY OF MAUBAN, QUEZON</t>
  </si>
  <si>
    <t>CENTRAL BICOL STATE UNIVERSITY OF AGRICULTURE (CBSUA)</t>
  </si>
  <si>
    <t>BARANGAY BUSAC - LIGAO CITY</t>
  </si>
  <si>
    <t>VISAYAS STATE UNIVERSITY-ALANGALANG CAMPUS</t>
  </si>
  <si>
    <t>BARANGAY BAGUMBAYAN - QUEZON CITY</t>
  </si>
  <si>
    <t>VALENZUELA NATIONAL HIGH SCHOOL</t>
  </si>
  <si>
    <t>NATIONAL ECONOMIC AND DEVELOPMENT AUTHORITY - REGION XII</t>
  </si>
  <si>
    <t>BARANGAY 21 GINGOOG CITY MISAMIS ORIENTAL</t>
  </si>
  <si>
    <t>BARANGAY MAHARLIKA, STA. CRUZ, MARINDUQUE</t>
  </si>
  <si>
    <t>CITY OF LAMITAN, BASILAN</t>
  </si>
  <si>
    <t>DEPARTMENT OF PUBLIC WORKS AND HIGHWAYS - ALBAY 1ST DEO</t>
  </si>
  <si>
    <t>BARANGAY PA-ON  - ESTANCIA ILOILO</t>
  </si>
  <si>
    <t>BARANGAY MALIOGLIOG, CONCEPCION, ILOILO</t>
  </si>
  <si>
    <t>MAYPAJO HIGH SCHOOL</t>
  </si>
  <si>
    <t>TECHNICAL EDUCATION &amp; SKILLS DEVELOPMENT AUTHORITY - MARIVEL</t>
  </si>
  <si>
    <t>BARANGAY UPPER BICUTAN</t>
  </si>
  <si>
    <t>BARANGAY SAN JUAN - MALUNGON, SARANGANI PROVINCE</t>
  </si>
  <si>
    <t>MUNICIPALITY OF MAGALLANES, AGUSAN DEL NORTE</t>
  </si>
  <si>
    <t>MUNICIPALITY OF LA LIBERTAD ZAMBOANGA DEL NORTE</t>
  </si>
  <si>
    <t>MUNICIPALITY OF DANGCAGAN, BUKIDNON</t>
  </si>
  <si>
    <t>CABAHUG ELEMENTARY SCHOOL</t>
  </si>
  <si>
    <t>BARANGAY MABINI, DEL GALLEGO, CAMARINES SUR</t>
  </si>
  <si>
    <t>MUNICIPALITY OF LILIW, LAGUNA</t>
  </si>
  <si>
    <t>BUREAU OF FIRE PROTECTION - REGION II</t>
  </si>
  <si>
    <t>BARANGAY SAN VICENTE, SAN JACINTO, PANGASINAN</t>
  </si>
  <si>
    <t>DUYAY ELEMENTARY SCHOOL</t>
  </si>
  <si>
    <t>BARANGAY DAPDAP, TIGBAUAN, ILOILO</t>
  </si>
  <si>
    <t>MUNICIPALITY OF TUBO - ABRA</t>
  </si>
  <si>
    <t>MUNICIPALITY OF KUMALARANG, ZAMBOANGA DEL SUR</t>
  </si>
  <si>
    <t>BARANGAY TIRIS - GUBAT, SORSOGON CITY</t>
  </si>
  <si>
    <t>NORZAGARAY WATER DISTRICT</t>
  </si>
  <si>
    <t>BARANGAY MAYAO KANLURAN, LUCENA CITY</t>
  </si>
  <si>
    <t>BARANGAY 894, ZONE 99, DISTRICT VI, MANILA</t>
  </si>
  <si>
    <t>BARANGAY OLD LABANGAN - LABANGAN ZAMBOANGA DEL SUR</t>
  </si>
  <si>
    <t>PHILIPPINE NATIONAL POLICE - MARITIME GROUP</t>
  </si>
  <si>
    <t>NIA-JALAUR RIVER MULTI-PURPOSE PROJECT STAGE II</t>
  </si>
  <si>
    <t>MUNICIPALITY OF BARAS, RIZAL</t>
  </si>
  <si>
    <t>DEPARTMENT OF PUBLIC WORKS AND HIGHWAYS - LEYTE 5TH ED</t>
  </si>
  <si>
    <t>MUNICIPALITY OF GUINDULMAN, BOHOL</t>
  </si>
  <si>
    <t>MUNICIPALITY OF BAUANG, LA UNION</t>
  </si>
  <si>
    <t>BARANGAY TOGBONGAN, BANTON, ROMBLON</t>
  </si>
  <si>
    <t>MUNICIPALITY OF RAGAY, CAMARINES SUR</t>
  </si>
  <si>
    <t>NATIONAL IRRIGATION ADMINISTRATION - REGION 12</t>
  </si>
  <si>
    <t>BARANGAY AMBULONG, MAGDIWANG, ROMBLON</t>
  </si>
  <si>
    <t>DEPARTMENT OF PUBLIC WORKS AND HIGHWAYS - AGUSAN DEL NORTE D</t>
  </si>
  <si>
    <t>MUNICIPALITY OF DAO, CAPIZ</t>
  </si>
  <si>
    <t>BARANGAY CUARTERO, JARO, ILOILO CITY</t>
  </si>
  <si>
    <t>LEYTE NORMAL UNIVERSITY</t>
  </si>
  <si>
    <t>BARANGAY BALOGO, OAS, ALBAY</t>
  </si>
  <si>
    <t>BARANGAY BANGA CAVES, RAGAY, CAMARINES SUR</t>
  </si>
  <si>
    <t>BARANGAY MANGILAG NORTE,CANDELARIA,QUEZON</t>
  </si>
  <si>
    <t>BARANGAY SALCEDO - LUNA, LA UNION</t>
  </si>
  <si>
    <t>MUNICIPALITY OF NEW BATAAN, COMPOSTELA VALLEY</t>
  </si>
  <si>
    <t>NORTHWEST SAMAR STATE UNIVERSITY</t>
  </si>
  <si>
    <t>BARANGAY MANGGAHAN, PASIG CITY</t>
  </si>
  <si>
    <t>BARANGAY DELOS SANTOS INOPACAN LEYTE</t>
  </si>
  <si>
    <t>MUNICIPALITY OF CORDON, ISABELA</t>
  </si>
  <si>
    <t>BARANGAY PAMBUAN -  GAPAN CITY</t>
  </si>
  <si>
    <t>BARANGAY ILOCANOS NORTE, SAN FERNANDO CITY</t>
  </si>
  <si>
    <t>DEPARTMENT OF PUBLIC WORKS AND HIGHWAYS - BATANES DEO</t>
  </si>
  <si>
    <t>BARANGAY  DANCALAN CENTRAL - GUINAYANGAN QUEZON</t>
  </si>
  <si>
    <t>CLARK DEVELOPMENT CORPORATION</t>
  </si>
  <si>
    <t>TECHNICAL EDUCATION &amp; SKILLS DEVELOPMENT AUTHORITY - CAMARIN</t>
  </si>
  <si>
    <t>MUNICIPALITY OF SAN ANTONIO, ZAMBALES</t>
  </si>
  <si>
    <t>BARANGAY LIBJO, POLILLO, QUEZON</t>
  </si>
  <si>
    <t>MUNICIPALITY OF AMLAN, NEGROS ORIENTAL</t>
  </si>
  <si>
    <t>MUNICIPALITY OF PIKIT, NORTH COTABATO</t>
  </si>
  <si>
    <t>BARANGAY SAN ISIDRO, VALENCIA CITY, BUKIDNON</t>
  </si>
  <si>
    <t>BARANGAY  BOGTONG, OAS, ALBAY</t>
  </si>
  <si>
    <t>CITY OF GAPAN, NUEVA ECIJA</t>
  </si>
  <si>
    <t>PHILIPPINE COUNCIL FOR HEALTH RESEARCH AND DEVELOPMENT</t>
  </si>
  <si>
    <t>MUNICIPALITY OF BANGUED, ABRA</t>
  </si>
  <si>
    <t>MUNICIPALITY OF ROSARIO, BATANGAS</t>
  </si>
  <si>
    <t>MUNICIPALITY OF STA. CRUZ, ILOCOS SUR</t>
  </si>
  <si>
    <t>WEST VISAYAS STATE UNIVERSITY – COLLEGE OF AGRICULTURE AND F</t>
  </si>
  <si>
    <t>BARANGAY TINOPAN - RAPU-RAPU ALBAY</t>
  </si>
  <si>
    <t>MUNICIPALITY OF BAGGAO, CAGAYAN</t>
  </si>
  <si>
    <t>BARANGAY CALUNASAN - LARENA SIQUIJOR</t>
  </si>
  <si>
    <t>MUNICIPALITY OF SAN MIGUEL, CATANDUANES</t>
  </si>
  <si>
    <t>MUNICIPALITY OF URBIZTONDO, PANGASINAN</t>
  </si>
  <si>
    <t>MUNICIPALITY OF LEZO, AKLAN</t>
  </si>
  <si>
    <t>METROPOLITAN TUGUEGARAO WATER DISTRICT</t>
  </si>
  <si>
    <t>BARANGAY TARUGAN, LA PAZ, LEYTE</t>
  </si>
  <si>
    <t>NATIONAL ECONOMIC AND DEVELOPMENT AUTHORITY - REGION I</t>
  </si>
  <si>
    <t>MUNICIPALITY OF DIPLAHAN, ZAMBOANGA SIBUGAY</t>
  </si>
  <si>
    <t>NEW IMBATUG ELEMENTARY SCHOOL - IMPASUG-ONG BUKIDNON</t>
  </si>
  <si>
    <t>BUREAU OF INTERNAL REVENUE</t>
  </si>
  <si>
    <t>GUINHALARAN INTEGRATED SCHOOL ELEMENTARY - SILAY CITY</t>
  </si>
  <si>
    <t>DEPARTMENT OF EDUCATION - DIVISION OF COTABATO</t>
  </si>
  <si>
    <t>CITY OF CAGAYAN DE ORO, MISAMIS ORIENTAL</t>
  </si>
  <si>
    <t>BARANGAY STO. TOMAS, SAN JACINTO, PANGASINAN</t>
  </si>
  <si>
    <t>BARANGAY ARIDOWEN STA. TERESITA CAGAYAN</t>
  </si>
  <si>
    <t>MUNICIPALITY OF SAN NARCISO, ZAMBALES</t>
  </si>
  <si>
    <t>DEPARTMENT OF AGRARIAN REFORM - ZAMBOANGA SIBUGAY</t>
  </si>
  <si>
    <t>STA. ELENA HIGH SCHOOL</t>
  </si>
  <si>
    <t>DEPARTMENT OF EDUCATION - DIVISION OF TAYABAS CITY</t>
  </si>
  <si>
    <t>DEPARTMENT OF HEALTH REGIONAL OFFICE II</t>
  </si>
  <si>
    <t>DEPARTMENT OF ENVIRONMENT AND NATURAL RES. - PENRO, BOHOL</t>
  </si>
  <si>
    <t>PHILIPPINE CROP INSURANCE CORPORATION</t>
  </si>
  <si>
    <t>BARANGAY CENTRO NORTE, ALCALA, CAGAYAN</t>
  </si>
  <si>
    <t>MUNICIPALITY OF ROSARIO, NORTHERN SAMAR</t>
  </si>
  <si>
    <t>BARANGAY AGSAO, MAGDIWANG, ROBLOM</t>
  </si>
  <si>
    <t>MUNICIPALITY OF STA. CATALINA, NEGROS ORIENTAL</t>
  </si>
  <si>
    <t>PAG-IBIG FUND NAGA BUSINESS CENTER</t>
  </si>
  <si>
    <t>BARANGAY DULANGAN, MAGDIWANG, ROMBLON</t>
  </si>
  <si>
    <t>BARANGAY TELABANCA, CONCEPCION, TARLAC</t>
  </si>
  <si>
    <t>PHILIPPINE STATISTICS AUTHORITY RSSO-III</t>
  </si>
  <si>
    <t>DEPARTMENT OF EDUCATION - DIVISION OF PASSI CITY</t>
  </si>
  <si>
    <t>ILIGAN CITY CENTRAL SCHOOL</t>
  </si>
  <si>
    <t>DARAGA NATIONAL HIGH SCHOOL</t>
  </si>
  <si>
    <t>MUNICIPALITY OF SARIAYA, QUEZON</t>
  </si>
  <si>
    <t>MUNICIPALITY OF ANGADANAN, ISABELA</t>
  </si>
  <si>
    <t>PHILIPPINE OVERSEAS EMPLOYMENT ADMINISTRATION</t>
  </si>
  <si>
    <t>MUNICIPALITY OF STA. ANA, CAGAYAN</t>
  </si>
  <si>
    <t>BARANGAY NABULO - CATUBIG NORTHERN SAMAR</t>
  </si>
  <si>
    <t>PHILIPPINE PORTS AUTHORITY - HEAD OFFICE</t>
  </si>
  <si>
    <t>MUNICIPALITY OF CANDELARIA, QUEZON</t>
  </si>
  <si>
    <t>MUNICIPALITY OF CLAVERIA, MISAMIS ORIENTAL</t>
  </si>
  <si>
    <t>BARANGAY SOUTH CEMBO, MAKATI CITY</t>
  </si>
  <si>
    <t>DEPARTMENT OF TRADE AND INDUSTRY - ROMBLON PROVINCIAL OFFICE</t>
  </si>
  <si>
    <t>DEPARTMENT OF LABOR AND EMPLOYMENT - REGION VII</t>
  </si>
  <si>
    <t>BARANGAY BARCENAGA, NAUJAN, ORIENTAL MINDORO</t>
  </si>
  <si>
    <t>BARANGAY PAHINGA NORTE,CANDELARIA, QUEZON</t>
  </si>
  <si>
    <t>BARANGAY IMELDA - SAN JUAN BATANGAS</t>
  </si>
  <si>
    <t>BARANGAY LIGA IBAAN BATANGAS</t>
  </si>
  <si>
    <t>BUREAU OF INTERNAL REVENUE - REVENUE REGION NO. 14</t>
  </si>
  <si>
    <t>PROVINCE OF LANAO DEL NORTE</t>
  </si>
  <si>
    <t>DEPARTMENT OF PUBLIC WORKS AND HIGHWAYS - REGION IV-B</t>
  </si>
  <si>
    <t>DEPARTMENT OF PUBLIC WORKS AND HIGHWAYS - LEYTE 2ND DEO</t>
  </si>
  <si>
    <t>MUNICIPALITY OF MINA, ILOILO</t>
  </si>
  <si>
    <t>MUNICIPALITY OF MONDRAGON, NORTHERN SAMAR</t>
  </si>
  <si>
    <t>101ST CONTRACTING OFFICE, AFP PROCUREMENT SERVICE</t>
  </si>
  <si>
    <t>DEPARTMENT OF PUBLIC WORKS AND HIGHWAYS - PANGASINAN IV DEO</t>
  </si>
  <si>
    <t>MUNICIPALITY OF DINGLE, ILOILO</t>
  </si>
  <si>
    <t>BARANGAY ILULUAN, CAMALIG, ALBAY</t>
  </si>
  <si>
    <t>MUNICIPALITY OF BALAOAN, LA UNION</t>
  </si>
  <si>
    <t>BARANGAY STO. NIÑO, BAYUGAN, AGUSAN DEL SUR</t>
  </si>
  <si>
    <t>BARANGAY DUNGAN, CONCEPCION, TARLAC</t>
  </si>
  <si>
    <t>MUNICIPALITY OF OPOL, MISAMIS ORIENTAL</t>
  </si>
  <si>
    <t>GUIUAN WATER DISTRICT</t>
  </si>
  <si>
    <t>BENGUET STATE UNIVERSITY</t>
  </si>
  <si>
    <t>CENTRAL BICOL STATE UNIVERSITY OF AGRICULTURE-SIPOCOT CAMPUS</t>
  </si>
  <si>
    <t>MUNICIPALITY OF BAROY, LANAO DEL NORTE</t>
  </si>
  <si>
    <t>MUNICIPALITY OF BELISON, ANTIQUE</t>
  </si>
  <si>
    <t>MUNICIPALITY OF TABANGO, LEYTE</t>
  </si>
  <si>
    <t>CITY OF CANDON, ILOCOS SUR</t>
  </si>
  <si>
    <t>MUNICIPALITY OF PUGO, LA UNION</t>
  </si>
  <si>
    <t>DEPARTMENT OF PUBLIC WORKS AND HIGHWAYS - MINDORO ORIENTAL D</t>
  </si>
  <si>
    <t>BARANGAY BANTONAN, CAMALIG, ALBAY</t>
  </si>
  <si>
    <t>DEPARTMENT OF PUBLIC WORKS AND HIGHWAYS - SURIGAO DEL SUR 2N</t>
  </si>
  <si>
    <t>DEPARTMENT OF PUBLIC WORKS AND HIGHWAYS - ILOCOS SUR 2ND DEO</t>
  </si>
  <si>
    <t>DEPARTMENT OF PUBLIC WORKS AND HIGHWAYS - SOUTHERN MINDORO D</t>
  </si>
  <si>
    <t>BARANGAY BAYANAN II, CALAPAN, ORIENTAL MINDORO</t>
  </si>
  <si>
    <t>BARANGAY POBLACION 05, TUBURAN, CEBU</t>
  </si>
  <si>
    <t>BARANGAY LUMBAAN-BICBICA,PINILI, ILOCOS NORTE</t>
  </si>
  <si>
    <t>OFFICE OF CIVIL DEFENSE</t>
  </si>
  <si>
    <t>MUNICIPALITY OF SAN FRANCISCO, CEBU</t>
  </si>
  <si>
    <t>MUNICIPALITY OF ECHAGUE, ISABELA</t>
  </si>
  <si>
    <t>NATIONAL MEAT INSPECTION  SERVICE</t>
  </si>
  <si>
    <t>BARANGAY ORTIZ, NAGUILIAN, LA UNION</t>
  </si>
  <si>
    <t>BARANGAY MITI, CAMALIG, ALBAY</t>
  </si>
  <si>
    <t>GUAGUA WATER DISTRICT</t>
  </si>
  <si>
    <t>MUNICIPALITY OF LUMBAN, LAGUNA</t>
  </si>
  <si>
    <t>BARANGAY COMPANIA CENTRAL, MOLO, ILOILO CITY</t>
  </si>
  <si>
    <t>MACTAN-CEBU INTERNATIONAL AIRPORT AUTHORITY</t>
  </si>
  <si>
    <t>MUNICIPALITY OF LUNA, APAYAO</t>
  </si>
  <si>
    <t>COMMISSION ON AUDIT - REGION IX</t>
  </si>
  <si>
    <t>INTELLECTUAL PROPERTY OF THE PHILIPPINES - TAGUIG CITY</t>
  </si>
  <si>
    <t>BARANGAY CALOOCAN - KORONADAL CITY SOUTH COTABATO</t>
  </si>
  <si>
    <t>MUNICIPALITY OF SAN PASCUAL, BATANGAS</t>
  </si>
  <si>
    <t>MANAONG ELEMENTARY SCHOOL - DAVAO CITY</t>
  </si>
  <si>
    <t>DEPARTMENT OF PUBLIC WORKS AND HIGHWAYS - REGION XII</t>
  </si>
  <si>
    <t>PHILIPPINE NATIONAL POLICE - HEALTH SERVICE</t>
  </si>
  <si>
    <t>MUNICIPALITY OF REAL, QUEZON</t>
  </si>
  <si>
    <t>BARANGAY EASTERN, HILONGOS, LEYTE</t>
  </si>
  <si>
    <t>DEPARTMENT OF PUBLIC WORKS AND HIGHWAYS - ILOCOS NORTE 2ND D</t>
  </si>
  <si>
    <t>PROVINCE OF CAMIGUIN</t>
  </si>
  <si>
    <t>TECHNICAL EDUCATION &amp; SKILLS DEVELOPMENT AUTHORITY - PANGASI</t>
  </si>
  <si>
    <t>MUNICIPALITY OF LUISIANA, LAGUNA</t>
  </si>
  <si>
    <t>MUNICIPALITY OF BOLINAO, PANGASINAN</t>
  </si>
  <si>
    <t>NIA-CHICO RIVER PUMP IRRIGATION PROJECT, TUAO, CAGAYAN</t>
  </si>
  <si>
    <t>DEPARTMENT OF PUBLIC WORKS AND HIGHWAYS - ILOILO 4TH DEO</t>
  </si>
  <si>
    <t>BARANGAY CAVITE EAST, PALO, LEYTE</t>
  </si>
  <si>
    <t>DEPARTMENT OF PUBLIC WORKS AND HIGHWAYS - BUTUAN CITY DEO</t>
  </si>
  <si>
    <t>BARANGAY NORTH CENTRO SIPOCOT CAMARINES SUR</t>
  </si>
  <si>
    <t>BARANGAY SANTA CRUZ, LORETO, DINAGAT ISLANDS</t>
  </si>
  <si>
    <t>BOHOL ISLAND STATE UNIVERSITY - BILAR</t>
  </si>
  <si>
    <t>DEPARTMENT OF NATIONAL DEFENSE - PROCUREMENT UNIT</t>
  </si>
  <si>
    <t>MUNICIPALITY OF TANAUAN, LEYTE</t>
  </si>
  <si>
    <t>DEPARTMENT OF EDUCATION - DIVISION OF SURIGAO DEL SUR</t>
  </si>
  <si>
    <t>BARANGAY NOLI, BAYUGAN CITY</t>
  </si>
  <si>
    <t>NEGROS ORIENTAL STATE UNIVERSITY</t>
  </si>
  <si>
    <t>PHILIPPINE FISHERIES DEVELOPMENT AUTHORITY - MAIN</t>
  </si>
  <si>
    <t>TECHNICAL EDUCATION &amp; SKILLS DEVELOPMENT AUTHORITY-  ISABELA</t>
  </si>
  <si>
    <t>TESDA REGIONAL TRAINING CENTER - CALABARZON</t>
  </si>
  <si>
    <t>MUNICIPALITY OF DON CARLOS, BUKIDNON</t>
  </si>
  <si>
    <t>DEPED-ROVI-DIVISION OF AKLAN</t>
  </si>
  <si>
    <t>DEPARTMENT OF PUBLIC WORKS AND HIGHWAYS - LANAO DEL NORTE 2N</t>
  </si>
  <si>
    <t>DEPARTMENT OF EDUCATION - DIVISION OF EASTERN SAMAR</t>
  </si>
  <si>
    <t>BARANGAY ADLAY, CARRASCAL, SURIGAO DEL SUR</t>
  </si>
  <si>
    <t>MARINDUQUE NATIONAL HIGH SCHOOL</t>
  </si>
  <si>
    <t>DEPARTMENT OF PUBLIC WORKS AND HIGHWAYS - ILOILO 2ND DISTRIC</t>
  </si>
  <si>
    <t>BARANGAY MANICAHAN, ZAMBOANGA CITY, ZAMBOANGA DEL SUR</t>
  </si>
  <si>
    <t>BAHI ELEMENTARY SCHOOL</t>
  </si>
  <si>
    <t>BARANGAY BOLBOK, BATANGAS CITY, BATANGAS</t>
  </si>
  <si>
    <t>PANGI ELEMENTARY SCHOOL</t>
  </si>
  <si>
    <t>MUNICIPALITY OF STA. CATALINA, ILOCOS SUR</t>
  </si>
  <si>
    <t>KAPT. JOSE CARDONES MEMORIAL ELEMENTARY SCHOOL</t>
  </si>
  <si>
    <t>BARANGAY TUMANDING - ARAKAN COTABATO</t>
  </si>
  <si>
    <t>LIPATA ELEMENTARY SCHOOL</t>
  </si>
  <si>
    <t>M.V. GAMBOA ELEMENTARY SCHOOL- CADIZ CITY</t>
  </si>
  <si>
    <t>POWER SECTOR ASSETS AND LIABILITIES MANAGEMENT CORPORATION-Q</t>
  </si>
  <si>
    <t>MUNICIPALITY OF NAVAL, BILIRAN</t>
  </si>
  <si>
    <t>DEPARTMENT OF PUBLIC WORKS AND HIGHWAYS - REGION IV-A</t>
  </si>
  <si>
    <t>DEPARTMENT OF TRADE AND INDUSTRY - REGION VII</t>
  </si>
  <si>
    <t>MUNICIPALITY OF PINUKPUK, KALINGA</t>
  </si>
  <si>
    <t>BARANGAY 848, ZONE 92, DISTRICT 6, MANILA</t>
  </si>
  <si>
    <t>NALA ELEMENTARY SCHOOL</t>
  </si>
  <si>
    <t>BARANGAY KULAMAN VALLEY ARAKAN COTABATO</t>
  </si>
  <si>
    <t>OFFICE OF THE OMBUDSMAN - MAIN OFFICE</t>
  </si>
  <si>
    <t>MUNICIPALITY OF GANDARA, SAMAR</t>
  </si>
  <si>
    <t>DEPARTMENT OF PUBLIC WORKS AND HIGHWAYS - SOUTH METRO MANILA</t>
  </si>
  <si>
    <t>PHILIPPINE RICE RESEARCH INSTITUTE - LOS BAÑOS BRANCH</t>
  </si>
  <si>
    <t>DEPARTMENT OF PUBLIC WORKS AND HIGHWAYS - DAVAO CITY II DEO</t>
  </si>
  <si>
    <t>BARANGAY CENTRAL SIGNAL VILLAGE -TAGUIG CITY</t>
  </si>
  <si>
    <t>ASSOCIATION OF BARANGAYS-IGUIG,CAGAYAN</t>
  </si>
  <si>
    <t>BARANGAY RIZAL, MAKATI CITY</t>
  </si>
  <si>
    <t>CITY OF PUERTO PRINCESA, PALAWAN</t>
  </si>
  <si>
    <t>BARANGAY STO. NIÑO - SORSOGON CITY SORSOGON</t>
  </si>
  <si>
    <t>MUNICIPALITY OF TANZA, CAVITE</t>
  </si>
  <si>
    <t>MUNICIPALITY OF SAN ENRIQUE, ILOILO</t>
  </si>
  <si>
    <t>MUNICIPALITY OF SAN VICENTE, CAMARINES NORTE</t>
  </si>
  <si>
    <t>DEPARTMENT OF EDUCATION - SCHOOLS DIVISION OF CALAPAN CITY</t>
  </si>
  <si>
    <t>PHILIPPINE NORMAL UNIVERSITY, NEGROS OCCIDENTAL BRANCH</t>
  </si>
  <si>
    <t>PROVINCE OF PALAWAN</t>
  </si>
  <si>
    <t>BARANGAY SAN DIEGO - LEMERY,ILOILO</t>
  </si>
  <si>
    <t>MUNICIPALITY OF DALAGUETE, CEBU</t>
  </si>
  <si>
    <t>BARANGAY LINAO -MATALAM COTABATO REGION XII</t>
  </si>
  <si>
    <t>PROVINCE OF BATANES</t>
  </si>
  <si>
    <t>DEPARTMENT OF PUBLIC WORKS AND HIGHWAYS - BENGUET I DEO</t>
  </si>
  <si>
    <t>BARANGAY  POBLACION - GODOD ZAMBOANGA DEL NORTE</t>
  </si>
  <si>
    <t>BARANGAY LA TORRE NORTH, BAYOMBONG, NUEVA VIZCAYA</t>
  </si>
  <si>
    <t>MUNICIPALITY OF CAMILING, TARLAC</t>
  </si>
  <si>
    <t>PHILIPPINE VETERANS AFFAIRS OFFICE, DND</t>
  </si>
  <si>
    <t>MUNICIPALITY OF SAN FELIPE, ZAMBALES</t>
  </si>
  <si>
    <t>DEPARTMENT OF PUBLIC WORKS AND HIGHWAYS - NUEVA ECIJA 1ST DE</t>
  </si>
  <si>
    <t>MUNICIPALITY OF TUNGAWAN, ZAMBOANGA SIBUGAY</t>
  </si>
  <si>
    <t>KALAWAAN ELEMENTARY SCHOOL</t>
  </si>
  <si>
    <t>MUNICIPALITY OF BOTOLAN, ZAMBALES</t>
  </si>
  <si>
    <t>METRO MIDSAYAP WATER DISTRICT</t>
  </si>
  <si>
    <t>MUNICIPALITY OF PLACER, MASBATE</t>
  </si>
  <si>
    <t>SK OF BARANGAY SOUTHSIDE - MAKATI CITY</t>
  </si>
  <si>
    <t>MUNICIPALITY OF PRESIDENT CARLOS P. GARCIA, BOHOL</t>
  </si>
  <si>
    <t>CITY OF ALAMINOS, PANGASINAN</t>
  </si>
  <si>
    <t>BARANGAY PAMUKID, SAN FERNANDO, CAMARINES SUR</t>
  </si>
  <si>
    <t>MUNICIPALITY OF BACONG, NEGROS ORIENTAL</t>
  </si>
  <si>
    <t>BARANGAY SAN JOSE KALAWIT ZAMBOANGA DEL NORTE</t>
  </si>
  <si>
    <t>BARANGAY BAGUMBUHAY, QUEZON CITY</t>
  </si>
  <si>
    <t>BARANGAY SANTA LUCIA, ABUYOG, LEYTE</t>
  </si>
  <si>
    <t>DEPARTMENT OF PUBLIC WORKS AND HIGHWAYS - PALAWAN 1ST DEO</t>
  </si>
  <si>
    <t>SALAPAWAN ELEMENTARY SCHOOL</t>
  </si>
  <si>
    <t>MUNICIPALITY OF OMAR, SULU</t>
  </si>
  <si>
    <t>MUNICIPALITY OF LANTAPAN, BUKIDNON</t>
  </si>
  <si>
    <t>BARANGAY SAN FELIPE, NAGA CITY, CAMARINES SUR</t>
  </si>
  <si>
    <t>BARANGAY BAHIT PANITA CAPIZ</t>
  </si>
  <si>
    <t>CITY OF KIDAPAWAN, NORTH COTABATO</t>
  </si>
  <si>
    <t>BARANGAY CATALUNAN PEQUEÑO, DAVAO CITY</t>
  </si>
  <si>
    <t>NATIONAL IRRIGATION ADMINISTRATION - REGIONAL OFFICE NO. 2</t>
  </si>
  <si>
    <t>BARANGAY IBABANG DUPAY, LUCENA CITY</t>
  </si>
  <si>
    <t>MUNICIPALITY OF PANGANTUCAN, BUKIDNON</t>
  </si>
  <si>
    <t>BARANGAY PUNONG, TOMAS OPPUS, SOUTHERN LEYTE</t>
  </si>
  <si>
    <t>DEPARTMENT OF ENVIRONMENT AND NATURAL RESOURCES - RIV-A</t>
  </si>
  <si>
    <t>MUNICIPAL GOVERNMENT OF SABLAN, BENGUET</t>
  </si>
  <si>
    <t>MUNICIPALITY OF SAN SEBASTIAN, SAMAR</t>
  </si>
  <si>
    <t>CITY OF BATAC, ILOCOS NORTE</t>
  </si>
  <si>
    <t>BARANGAY LEPOTE, SAN JOSE, BATANGAS</t>
  </si>
  <si>
    <t>BARANGAY SAN LUCAS, LIPA CITY, BATANGAS</t>
  </si>
  <si>
    <t>MUNICIPALITY OF GIGAQUIT, SURIGAO DEL NORTE</t>
  </si>
  <si>
    <t>BARANGAY MAMAT-ING SUR, NAGUILIAN, LA UNION</t>
  </si>
  <si>
    <t>BARANGAY BIGAIN 1.0, SAN JOSE, BATANGAS</t>
  </si>
  <si>
    <t>PHILIPPINE HEALTH INSURANCE CORPORATION - REGION V</t>
  </si>
  <si>
    <t>MUNICIPALITY OF ROXAS, PALAWAN</t>
  </si>
  <si>
    <t>BARANGAY TUMAY, MINA, ILOILO</t>
  </si>
  <si>
    <t>PROVINCE OF EASTERN SAMAR</t>
  </si>
  <si>
    <t>BARANGAY SAN ANDRES II, BACARRA, ILOCOS NORTE</t>
  </si>
  <si>
    <t>MUNICIPALITY OF MAPANDAN, PANGASINAN</t>
  </si>
  <si>
    <t>BARANGAY AGUILA, SAN JOSE, BATANGAS</t>
  </si>
  <si>
    <t>MUNICIPALITY OF MOISES PADILLA, NEGROS OCCIDENTAL</t>
  </si>
  <si>
    <t>MUNICIPALITY OF INITAO, MISAMIS ORIENTAL</t>
  </si>
  <si>
    <t>BARANGAY MALALINTA - TUAO CAGAYAN</t>
  </si>
  <si>
    <t>MUNICIPALITY OF TANUDAN, KALINGA</t>
  </si>
  <si>
    <t>BARANGAY DOS - KATIPUNAN ZAMBOANGA DEL NORTE</t>
  </si>
  <si>
    <t>TARLAC AGRICULTURAL UNIVERSITY</t>
  </si>
  <si>
    <t>MUNICIPALITY OF PAYAO, ZAMBOANGA SIBUGAY</t>
  </si>
  <si>
    <t>MUNICIPALITY OF BASCO, BATANES</t>
  </si>
  <si>
    <t>MUNICIPALITY OF ARAKAN, COTABATO</t>
  </si>
  <si>
    <t>MUNICIPALITY OF MAMBAJAO, CAMIGUIN</t>
  </si>
  <si>
    <t>AURORA REGIONAL PILOT SCHOOL - REGULAR</t>
  </si>
  <si>
    <t>BARANGAY PAMPANGO LIBACAO AKLAN</t>
  </si>
  <si>
    <t>MUNICIPALITY OF PANAY, CAPIZ</t>
  </si>
  <si>
    <t>BARANGAY V, LUCENA CITY</t>
  </si>
  <si>
    <t>BUTUAN CITY WATER DISTRICT</t>
  </si>
  <si>
    <t>MUNICIPALITY OF PALOMPON, LEYTE</t>
  </si>
  <si>
    <t>NATIONAL FOOD AUTHORITY - REGION IV</t>
  </si>
  <si>
    <t>BARANGAY COYUGAN NORTE - LEON ILOILO</t>
  </si>
  <si>
    <t>MUNICIPALITY OF SAN QUINTIN, ABRA</t>
  </si>
  <si>
    <t>MUNICIPALITY OF PRESIDENT ROXAS, CAPIZ</t>
  </si>
  <si>
    <t>MUNICIPALITY OF MAYDOLONG, EASTERN SAMAR</t>
  </si>
  <si>
    <t>MUNICIPALITY OF BURGOS, ISABELA</t>
  </si>
  <si>
    <t>MUNICIPALITY OF ORANI, BATAAN</t>
  </si>
  <si>
    <t>MUNICIPALITY OF CATARMAN, NORTHERN SAMAR</t>
  </si>
  <si>
    <t>LAGUNA LAKE DEVELOPMENT AUTHORITY, DENR</t>
  </si>
  <si>
    <t>BARANGAY MINANE, CONCEPCION, TARLAC</t>
  </si>
  <si>
    <t>MUNICIPALITY OF SINILOAN. LAGUNA</t>
  </si>
  <si>
    <t>TAMALAGON INTEGRATED SCHOOL</t>
  </si>
  <si>
    <t>DEPARTMENT OF EDUCATION - DIVISION OF SOUTH COTABATO</t>
  </si>
  <si>
    <t>MUNICIPALITY OF PADADA, DAVAO DEL SUR</t>
  </si>
  <si>
    <t>KALASUNGAY CENTRAL SCHOOL - MALAYBALAY CITY BUKIDNON</t>
  </si>
  <si>
    <t>DA - PHILIPPINE RURAL DEVELOPMENT PROJECT</t>
  </si>
  <si>
    <t>MUNICIPALITY OF PARACALE, CAMARINES NORTE</t>
  </si>
  <si>
    <t>MUNICIPALITY OF ROXAS, ISABELA</t>
  </si>
  <si>
    <t>MUNICIPALITY OF WAO, LANAO DEL SUR</t>
  </si>
  <si>
    <t>DON MARIANO MARCOS MEMORIAL STATE UNIVERSITY - MID LA UNION</t>
  </si>
  <si>
    <t>BARANGAY ARAS-ASAN - CAGWAIT SURIGAO DEL SUR</t>
  </si>
  <si>
    <t>MUNICIPALITY OF DAGAMI, LEYTE</t>
  </si>
  <si>
    <t>BARANGAY FUNDADO, CAMARINES NORTE</t>
  </si>
  <si>
    <t>BARANGAY ILAOR SUR, OAS, ALBAY</t>
  </si>
  <si>
    <t>BARANGAY LAYON - LIGAO, ALBAY</t>
  </si>
  <si>
    <t>BARANGAY SANDAYONG NORTE DANAO CITY CEBU</t>
  </si>
  <si>
    <t>MUNICIPALITY OF DOLORES, QUEZON</t>
  </si>
  <si>
    <t>MAKATO INTEGTRATED SCHOOL</t>
  </si>
  <si>
    <t>BARANGAY FLORDELIZ, MACROHON, SOUTHERN LEYTE</t>
  </si>
  <si>
    <t>BARANGAY SAN JOSE, SAN JUAN, SOUTHERN LEYTE</t>
  </si>
  <si>
    <t>MUNICIPALITY OF BAYOG, ZAMBOANGA DEL SUR</t>
  </si>
  <si>
    <t>BARANGAY BARAOAS NORTE, NAGUILIAN, LA UNION</t>
  </si>
  <si>
    <t>DEPARTMENT OF AGRARIAN REFORM - ALBAY PROVINCIAL OFFICE</t>
  </si>
  <si>
    <t xml:space="preserve">DEPARTMENT OF PUBLIC WORKS AND HIGHWAYS - ZAMBOANGA SIBUGAY </t>
  </si>
  <si>
    <t>MUNICIPALITY OF BALUNGAO, PANGASINAN</t>
  </si>
  <si>
    <t>BARANGAY NAGPALANGAN, BINMALEY, PANGASINAN</t>
  </si>
  <si>
    <t>CABAGAN WATER DISTRICT</t>
  </si>
  <si>
    <t>MUNICIPALITY OF SUMILAO, BUKIDNON</t>
  </si>
  <si>
    <t>BARANGAY DAGUPAN, LUNA, APAYAO</t>
  </si>
  <si>
    <t>DEPARTMENT OF ENVIRONMENT AND NATURAL RES. - PENRO XII-4</t>
  </si>
  <si>
    <t>SUMILAO ELEMENTARY SCHOOL</t>
  </si>
  <si>
    <t>BIDS AND AWARDS COMMITTEE - MUNICIPALITY OF CALATRAVA</t>
  </si>
  <si>
    <t>NATIONAL FOOD AUTHORITY - MARINDUQUE PROVINCIAL OFFICE</t>
  </si>
  <si>
    <t>BARANGAY SAN JOSE, PILAR, SORSOGON</t>
  </si>
  <si>
    <t>PHILIPPINE POSTAL CORPORATION - REGION X</t>
  </si>
  <si>
    <t>MUNICIPALITY OF HINGYON, IFUGAO</t>
  </si>
  <si>
    <t>BALUCUC NATIONAL HIGH SCHOOL</t>
  </si>
  <si>
    <t>BARANGAY SAN RAFAEL VILLAGE, NAVOTAS</t>
  </si>
  <si>
    <t>MUNICIPALITY OF DUMALINAO, ZAMBOANGA DEL SUR</t>
  </si>
  <si>
    <t>MUNICIPALITY OF MANITO, ALBAY</t>
  </si>
  <si>
    <t>BARANGAY ANINGALAN - SAN REMIGIO ANTIQUE</t>
  </si>
  <si>
    <t>MUNICIPALITY OF BAY, LAGUNA</t>
  </si>
  <si>
    <t>NATIONAL POLICE COMMISSION - REGION VII</t>
  </si>
  <si>
    <t>MUNICIPALITY OF LASAM, CAGAYAN</t>
  </si>
  <si>
    <t>NATIONAL IRRIGATION ADMINISTRATION -CAUAYAN CITY ISABELA</t>
  </si>
  <si>
    <t>AGUSAN DEL SUR SCHOOL OF ARTS AND TRADES - CARAGA</t>
  </si>
  <si>
    <t>NATIONAL IRRIGATION ADMINISTRATION - LRIMO</t>
  </si>
  <si>
    <t>BARANGAY PASONG TAMO, QUEZON CITY</t>
  </si>
  <si>
    <t>BARANGAY POBLACION - TAMPAKAN SOUTH COTABATO</t>
  </si>
  <si>
    <t>MUNICIPALITY OF MARCOS, ILOCOS NORTE</t>
  </si>
  <si>
    <t>CITY OF MALOLOS, BULACAN</t>
  </si>
  <si>
    <t>MUNICIPALITY OF CUYO, PALAWAN</t>
  </si>
  <si>
    <t>MUNICIPALITY OF SALCEDO, ILOCOS SUR</t>
  </si>
  <si>
    <t>BARANGAY SAN ROQUE, CATANAUAN, QUEZON</t>
  </si>
  <si>
    <t>BARANGAY DAGUPAN, ALLACAPAN, CAGAYAN</t>
  </si>
  <si>
    <t>BARANGAY BANGCURO NAGCARLAN, LAGUNA</t>
  </si>
  <si>
    <t>DAAT ELEMENTARY SCHOOL</t>
  </si>
  <si>
    <t>BARANGAY MAULAWIN - PAGSANJAN LAGUNA</t>
  </si>
  <si>
    <t>DEPARTMENT OF EDUCATION - DIVISION OF CITY SCHOOLS, VALENZUE</t>
  </si>
  <si>
    <t>SILANGAN ELEMENTARY SCHOOL</t>
  </si>
  <si>
    <t>MUNICIPALITY OF SIBAGAT, AGUSAN DEL SUR</t>
  </si>
  <si>
    <t>BARANGAY TAMIA, COMPOSTELA, COMPOSTELA VALLEY</t>
  </si>
  <si>
    <t>BARANGAY POBLACION, TRENTO, AGUSAN DEL SUR</t>
  </si>
  <si>
    <t>MUNICIPALITY OF LUPON, DAVAO ORIENTAL</t>
  </si>
  <si>
    <t>CIVIL AVIATION AUTHORITY OF THE PHILIPPINES - ILOILO AIRPORT</t>
  </si>
  <si>
    <t>ORANI NORTH ELEMENTARY SCHOOL</t>
  </si>
  <si>
    <t>MUNICIPALITY OF DEL GALLEGO, CAMARINES SUR</t>
  </si>
  <si>
    <t>BARANGAY POBLACION AJUY ILOILO</t>
  </si>
  <si>
    <t>DEPARTMENT OF PUBLIC WORKS AND HIGHWAYS - NORTH MANILA DEO</t>
  </si>
  <si>
    <t>BARANGAY BANGKEROHAN, IPIL, ZAMBOANGA SIBUGAY</t>
  </si>
  <si>
    <t>EASTERN VISAYAS STATE UNIVERSITY-ORMOC CITY CAMPUS</t>
  </si>
  <si>
    <t xml:space="preserve">DEPARTMENT OF PUBLIC WORKS AND HIGHWAYS - CAMARINES SUR 5TH </t>
  </si>
  <si>
    <t>DEPARTMENT OF PUBLIC WORKS AND HIGHWAYS - PAMPANGA 2ND DEO</t>
  </si>
  <si>
    <t>UNIVERSITY OF SOUTHERN MINDANAO</t>
  </si>
  <si>
    <t>BUTUAN CITY SCHOOL OF ARTS AND TRADES</t>
  </si>
  <si>
    <t>PHILIPPINE SCIENCE HIGH SCHOOL - MIMAROPA REGION CAMPUS</t>
  </si>
  <si>
    <t>MUNICIPALITY OF SAINT BERNARD, SOUTHERN LEYTE</t>
  </si>
  <si>
    <t>DEPARTMENT OF AGRARIAN REFORM - TARLAC CITY</t>
  </si>
  <si>
    <t>DEPARTMENT OF PUBLIC WORKS AND HIGHWAYS - MALABON-NAVOTAS SD</t>
  </si>
  <si>
    <t>MUNICIPALITY OF SAN MANUEL, PANGASINAN</t>
  </si>
  <si>
    <t>RAMON MAGSAYSAY CENTRAL - ELEMENTARY SCHOOL</t>
  </si>
  <si>
    <t>MUNICIPALITY OF MAINIT, SURIGAO DEL NORTE</t>
  </si>
  <si>
    <t>BARANGAY BITA, CULASI, ANTIQUE</t>
  </si>
  <si>
    <t>LIGA NG BARANGAY DIPLAHAN</t>
  </si>
  <si>
    <t>DON JOSE S. MONFORT MEDICAL CENTER EXTENSION HOSPITAL</t>
  </si>
  <si>
    <t>TECHNICAL EDUCATION &amp; SKILLS DEVELOPMENT AUTHORITY - NCR PAM</t>
  </si>
  <si>
    <t>MUNICIPALITY OF KAYAPA, NUEVA VIZCAYA</t>
  </si>
  <si>
    <t>DEPARTMENT OF PUBLIC WORKS AND HIGHWAYS - BILIRAN ED</t>
  </si>
  <si>
    <t>DEPARTMENT OF EDUCATION - DIVISION OF PANGASINAN II</t>
  </si>
  <si>
    <t>BISLIG CITY WATER DISTRICT</t>
  </si>
  <si>
    <t>BARANGAY GUESSET, NAGUILIAN, LA UNION</t>
  </si>
  <si>
    <t>MUNICIPALITY OF LAZI, SIQUIJOR</t>
  </si>
  <si>
    <t>BARANGAY NAGSIDORISAN, NAGUILIAN, LA UNION</t>
  </si>
  <si>
    <t>ABKASA ELEMENTARY SCHOOL</t>
  </si>
  <si>
    <t>MUNICIPALITY OF MAGPET - NORTH COTABATO</t>
  </si>
  <si>
    <t>BARANGAY PAPANDUNGIN - GLORIA ORIENTAL MINDORO</t>
  </si>
  <si>
    <t>MUNICIPALITY OF TOLOSA, LEYTE</t>
  </si>
  <si>
    <t>MUNICIPALITY OF TAYASAN, NEGROS ORIENTAL</t>
  </si>
  <si>
    <t>WEST VISAYAS STATE UNIVERSITY  - LAMBUNAO  CAMPUS</t>
  </si>
  <si>
    <t>MUNICIPALITY OF SAN ISIDRO, LEYTE</t>
  </si>
  <si>
    <t>BARANGAY PAA, HILONGOS, LEYTE</t>
  </si>
  <si>
    <t>MUNICIPALITY OF SANTA FE, NUEVA VIZCAYA</t>
  </si>
  <si>
    <t>BARANGAY SAN MIGUEL, TAGUM CITY, DAVAO DEL NORTE</t>
  </si>
  <si>
    <t>DEPARTMENT OF ENVIRONMENT AND NATURAL RES. - PENRO, KIDAPAWA</t>
  </si>
  <si>
    <t>BARANGAY CAGLAWAAN - JARO LEYTE</t>
  </si>
  <si>
    <t>BARANGAY STA. CRUZ V, SAN JOSE DEL MONTE CITY</t>
  </si>
  <si>
    <t>NATIONAL DEVELOPMENT COMPANY</t>
  </si>
  <si>
    <t>NATIONAL IRRIGATION ADMINISTRATION - SARIS</t>
  </si>
  <si>
    <t>BARANGAYCOGON - LEZO AKLAN</t>
  </si>
  <si>
    <t>BARANGAY STA. MARIA, GLORIA, ORIENTAL MINDORO</t>
  </si>
  <si>
    <t>EDUARDO BARRETTO SR. NATIONAL HIGH SCHOOL</t>
  </si>
  <si>
    <t>BARANGAY CAPULUAN TULON - GUINAYANGAN, QUEZON</t>
  </si>
  <si>
    <t>MUNICIPALITY OF BALIGUIAN, ZAMBOANGA DEL NORTE</t>
  </si>
  <si>
    <t>MUNICIPALITY OF BOKOD, BENGUET</t>
  </si>
  <si>
    <t>NATIONAL IRRIGATION ADMINISTRATION - UPRIIS, DIVISION 2</t>
  </si>
  <si>
    <t>MUNICIPALITY OF BACO, ORIENTAL MINDORO</t>
  </si>
  <si>
    <t>BUREAU OF CUSTOMS - ZAMBOANGA CITY</t>
  </si>
  <si>
    <t>BARANGAY MARINIG, CABUYAO, LAGUNA</t>
  </si>
  <si>
    <t>MUNICIPALITY OF LOAY, BOHOL</t>
  </si>
  <si>
    <t>DEPARTMENT OF PUBLIC WORKS AND HIGHWAYS - REGION VI</t>
  </si>
  <si>
    <t>FORT BONIFACIO HIGH SCHOOL</t>
  </si>
  <si>
    <t>PHILIPPINE HEALTH INSURANCE CORPORATION - REGION IX</t>
  </si>
  <si>
    <t>CIVIL SERVICE COMMISSION  - CENTRAL OFFICE</t>
  </si>
  <si>
    <t>DEPARTMENT OF PUBLIC WORKS AND HIGHWAYS - CAVITE 3RD DISTRIC</t>
  </si>
  <si>
    <t>BARANGAY CAMPISONG, GINATILAN, CEBU</t>
  </si>
  <si>
    <t>SAN JOSE DEL MONTE NATIONAL TRADE SCHOOL</t>
  </si>
  <si>
    <t>MUNICIPALITY OF TALAINGOD, DAVAO DEL NORTE</t>
  </si>
  <si>
    <t>BARANGAY AMAMAROS, POTOTAN, ILOILO</t>
  </si>
  <si>
    <t>BARANGAY LAMAK, HILONGOS, LEYTE</t>
  </si>
  <si>
    <t>CITY OF CALOOCAN</t>
  </si>
  <si>
    <t>MUNICIPALITY OF MURCIA, NEGROS OCCIDENTAL</t>
  </si>
  <si>
    <t>DIGOS WATER DISTRICT</t>
  </si>
  <si>
    <t>MUNICIPALITY  OF SAN JOSE, NEGROS ORIENTAL</t>
  </si>
  <si>
    <t>BARANGAY KULAPI, LUCBAN, QUEZON</t>
  </si>
  <si>
    <t>DEPARTMENT OF SOCIAL WELFARE AND DEVELOPMENT - REGION III</t>
  </si>
  <si>
    <t>PHILIPPINE FISHERIES DEVELOPMENT AUTHORITY- REGION IX</t>
  </si>
  <si>
    <t>BARANGAY MALINAO, PASIG CITY</t>
  </si>
  <si>
    <t>BARANGAY STA. ROSA, BINMALEY, PANGASINAN</t>
  </si>
  <si>
    <t>BUREAU OF CUSTOMS - DAVAO CITY</t>
  </si>
  <si>
    <t>MUNICIPALITY OF SIBONGA, CEBU</t>
  </si>
  <si>
    <t>NATIONAL IRRIGATION ADMINISTRATION - NEGROS ISLAND REGION</t>
  </si>
  <si>
    <t>MINDANAO STATE UNIVERSITY - ILIGAN INSTITUTE OF TECHNOLOGY</t>
  </si>
  <si>
    <t>MUNICIPALITY OF SAN AGUSTIN, ISABELA</t>
  </si>
  <si>
    <t>CITY OF SAN FERNANDO, PAMPANGA</t>
  </si>
  <si>
    <t>DEPARTMENT OF EDUCATION - DIVISION OF SILAY CITY</t>
  </si>
  <si>
    <t>MUNICIPALITY OF TUBUNGAN, ILOILO</t>
  </si>
  <si>
    <t>LANDBANK OF THE PHILIPPINES - REGION VI</t>
  </si>
  <si>
    <t>MUNICIPALITY OF TAGBINA, SURIGAO DEL SUR</t>
  </si>
  <si>
    <t>BARANGAY MAIIT, NAGCARLAN, LAGUNA</t>
  </si>
  <si>
    <t>METROPOLITAN WATERWORKS AND SEWERAGE SYSTEM</t>
  </si>
  <si>
    <t>MUNICIPALITY OF LAMBAYONG, SULTAN KUDARAT</t>
  </si>
  <si>
    <t>MUNICIPALITY OF GERONA, TARLAC</t>
  </si>
  <si>
    <t>BARANGAY BONGOL, JANIUAY, ILOILO</t>
  </si>
  <si>
    <t>APO PRODUCTION UNIT, INC.</t>
  </si>
  <si>
    <t>TOURISM INFRASTRUCTURE AND ENTERPRISE ZONE AUTHORITY</t>
  </si>
  <si>
    <t>MUNICIPALITY OF CALABANGA, CAMARINES SUR</t>
  </si>
  <si>
    <t>PHILIPPINE SCIENCE HIGH SCHOOL - CENTRAL LUZON CAMPUS</t>
  </si>
  <si>
    <t>MUNICIPALITY OF CAMALIG, ALBAY</t>
  </si>
  <si>
    <t>BARANGAY KINUBAN, MACO, COMPOSTELA VALLEY</t>
  </si>
  <si>
    <t>PUNONG ELEMENTARY SCHOOL</t>
  </si>
  <si>
    <t>BARANGAY CABLALAN, GLAN, SARANGANI</t>
  </si>
  <si>
    <t>DAVAO DEL NORTE STATE COLLEGE</t>
  </si>
  <si>
    <t>MUNICIPALITY OF NAGCARLAN, LAGUNA</t>
  </si>
  <si>
    <t>BARANGAY SUFATUBO, GLAN, SARANGANI</t>
  </si>
  <si>
    <t>BARANGAY ORAS, TABACO CITY</t>
  </si>
  <si>
    <t>BARANGAY POBLACION,KABACAN,COTABATO</t>
  </si>
  <si>
    <t>BARANGAY MONTE DUJALI, SAN ISIDRO DAVAO DEL NORTE</t>
  </si>
  <si>
    <t>BARANGAY PAKIAD, OTON, ILOILO</t>
  </si>
  <si>
    <t>EULOGIO "AMANG" RODRIGUEZ INSTITUTE OF SCIENCE AND TECH.</t>
  </si>
  <si>
    <t>SEWAHON ELEMENTARY SCHOOL</t>
  </si>
  <si>
    <t>MUNICIPALITY OF BAGAC, BATAAN</t>
  </si>
  <si>
    <t>MUNICIPALITY OF ALAMINOS, LAGUNA</t>
  </si>
  <si>
    <t>MUNICIPALITY OF PANDAN, ANTIQUE</t>
  </si>
  <si>
    <t>VNHS - SEWAHON EXTENSION HIGH SCHOOL - CADIZ CITY NEGROS OCC</t>
  </si>
  <si>
    <t>BUREAU OF FIRE PROTECTION - REGION VI</t>
  </si>
  <si>
    <t>BARANGAY 40 BALATONG, LAOAG CITY</t>
  </si>
  <si>
    <t>BARANGAY BALLUYAN FLORA APAYAO</t>
  </si>
  <si>
    <t>BARANGAY SAN ANTONIO, LABO, CAMARINES NORTE</t>
  </si>
  <si>
    <t>VILLASIS WATER DISTRICT</t>
  </si>
  <si>
    <t>BARANGAY KAPANIKIAN STA. ANA CAGAYAN</t>
  </si>
  <si>
    <t>CITY OF SAN JUAN</t>
  </si>
  <si>
    <t>CAMP EVANGELISTA ELEM SCHOOL - CAGAYAN DE ORO CITY</t>
  </si>
  <si>
    <t>BARANGAY LISUB-A, ANINI-Y, ANTIQUE</t>
  </si>
  <si>
    <t>MUNICIPALITY OF SAN MIGUEL, ZAMBOANGA DEL SUR</t>
  </si>
  <si>
    <t>BARANGAY DELUSOM, MAHAYAG, ZAMBOANGA DEL SUR</t>
  </si>
  <si>
    <t>BARANGAY PLARIDEL, STA. ELENA, CAMARINES NORTE</t>
  </si>
  <si>
    <t>MUNICIPALITY OF PARACELIS, MOUNTAIN PROVINCE</t>
  </si>
  <si>
    <t>MUNICIPALITY OF GUIPOS, ZAMBOANGA DEL SUR</t>
  </si>
  <si>
    <t>MANILA INTERNATIONAL AIRPORT AUTHORITY</t>
  </si>
  <si>
    <t>PROVINCE OF RIZAL</t>
  </si>
  <si>
    <t>KIMAGTING ELEMENTARY SCHOOL NINOY AQUINO KALILANGAN,BUKIDNON</t>
  </si>
  <si>
    <t>JERUSALEM NATIONAL HIGH SCHOOL - CADIZ CITY NEGROS OCCIDENTA</t>
  </si>
  <si>
    <t>BARANGAY BULUANG, BAAO, CAMARINES SUR</t>
  </si>
  <si>
    <t>BOHOL ISLAND STATE UNIVERSITY - CANDIJAY CAMPUS</t>
  </si>
  <si>
    <t>NATIONAL IRRIGATION ADMINISTRATION - ILOCOS NORTE IRRIGATION</t>
  </si>
  <si>
    <t>DEPARTMENT OF PUBLIC WORKS AND HIGHWAYS - NORTHERN SAMAR 1ST</t>
  </si>
  <si>
    <t>NATIONAL CONCILIATION AND MEDIATION BOARD</t>
  </si>
  <si>
    <t>BARANGAY STA CRUZ - ROSARIO AGUSAN DEL SUR</t>
  </si>
  <si>
    <t>SOCIAL SECURITY SYSTEM - LUZON CENTRAL 2</t>
  </si>
  <si>
    <t>DEPARTMENT OF PUBLIC WORKS AND HIGHWAYS - NEG. OCC. 4TH DEO</t>
  </si>
  <si>
    <t>GULOD ELEMENTARY SCHOOL</t>
  </si>
  <si>
    <t>BARANGAY BUENAVISTA, RAPU-RAPU, ALBAY</t>
  </si>
  <si>
    <t>BARANGAY MALOBAGO, RAPU-RAPU, ALBAY</t>
  </si>
  <si>
    <t>BARANGAY LICTIN - SAN ANDRES, CATANDUANES</t>
  </si>
  <si>
    <t>MUNICIPALITY OF ABULUG, CAGAYAN</t>
  </si>
  <si>
    <t>BARANGAY CANUBAY, OROQUIETA CITY</t>
  </si>
  <si>
    <t>MUNICIPALITY OF TINGLOY, BATANGAS</t>
  </si>
  <si>
    <t>BARANGAY 76, ZONE 10, PASAY CITY</t>
  </si>
  <si>
    <t>BARANGAY PANGGALAAN - CALAPAN, ORIENTAL MINDORO</t>
  </si>
  <si>
    <t>PHILIPPINE PORTS AUTHORITY - PMO MINDORO</t>
  </si>
  <si>
    <t>MUNICIPALITY OF MILAGROS, MASBATE</t>
  </si>
  <si>
    <t>BARANGAY BUENAVISTA CULASI ANTIQUE</t>
  </si>
  <si>
    <t>BARANGAY MALIGAYA - ROSARIO AGUSAN DEL SUR</t>
  </si>
  <si>
    <t>MUNICIPALITY OF BUNAWAN, AGUSAN DEL SUR</t>
  </si>
  <si>
    <t>BARANGAY BUYO - POLANGUI, ALBAY</t>
  </si>
  <si>
    <t>BUREAU OF JAIL MANAGEMENT AND PENOLOGY-NCR</t>
  </si>
  <si>
    <t>MUNICIPALITY OF MAHAPLAG - LEYTE</t>
  </si>
  <si>
    <t>BARANGAY MEGKAWAYAN, CALINAN DISTRICT, DAVAO CITY</t>
  </si>
  <si>
    <t>DEPARTMENT OF PUBLIC WORKS AND HIGHWAYS - BATANGAS 3RD ED</t>
  </si>
  <si>
    <t>BARANGAY LIM-AO, KANANGA, LEYTE</t>
  </si>
  <si>
    <t>MUNICIPALITY OF GIGMOTO, CATANDUANES</t>
  </si>
  <si>
    <t>BARANGAY CODON - SAN ANDRES CATANDUANES</t>
  </si>
  <si>
    <t>BARANGAY SUGCAD, POLANGUI, ALBAY</t>
  </si>
  <si>
    <t>BARANGAY MAYABAY DARAM SAMAR</t>
  </si>
  <si>
    <t>MUNICIPALITY OF UNISAN, QUEZON</t>
  </si>
  <si>
    <t>ANTI-MONEY LAUNDERING COUNCIL</t>
  </si>
  <si>
    <t>BARANGAY MACAAS,	TUBIGON, BOHOL</t>
  </si>
  <si>
    <t>SAN RAFAEL ELEMENTARY SCHOOL - CADIZ CITY</t>
  </si>
  <si>
    <t>BARANGAY ABBANGKERUAN, PAMPLONA, CAGAYAN</t>
  </si>
  <si>
    <t>MUNICIPALITY OF MOTIONG, SAMAR</t>
  </si>
  <si>
    <t>BARANGAY BAGONG POOK, LIPA CITY</t>
  </si>
  <si>
    <t>MUNICIPALITY OF LAWAAN, EASTERN SAMAR</t>
  </si>
  <si>
    <t>ALUYAN ELEMENTARY SCHOOL</t>
  </si>
  <si>
    <t>PROVINCE OF SOUTHERN LEYTE</t>
  </si>
  <si>
    <t>BARANGAY GUINOBATAN, CALAPAN, ORIENTAL MINDORO</t>
  </si>
  <si>
    <t>MUNICIPALITY OF KIANGAN, IFUGAO</t>
  </si>
  <si>
    <t>MUNICIPALITY OF AURORA, ZAMBOANGA DEL SUR</t>
  </si>
  <si>
    <t>CAA ELEMENTARY SCHOOL</t>
  </si>
  <si>
    <t>DEPARTMENT OF PUBLIC WORKS AND HIGHWAYS - MT. PROVINCE I DEO</t>
  </si>
  <si>
    <t>BARANGAY KALIPAY, GINGOOG CITY</t>
  </si>
  <si>
    <t>MUNICIPALITY OF AGUTAYA, PALAWAN</t>
  </si>
  <si>
    <t>BARANGAY DINAWEHAN, GINGOOG CITY, MISAMIS ORIENTAL</t>
  </si>
  <si>
    <t>BARANGAY HILAWAN - SAN ANDRES CATANDUANES</t>
  </si>
  <si>
    <t>BARANGAY BAGALANGIT, MABINI, BATANGAS</t>
  </si>
  <si>
    <t>PHILIPPINE ARMY (PA)</t>
  </si>
  <si>
    <t>BARANGAY NAGACADAN - KIANGAN IFUGAO</t>
  </si>
  <si>
    <t>MUNICIPALITY OF GENERAL NAKAR, QUEZON</t>
  </si>
  <si>
    <t>BARANGAY STA.CRUZ, MAKATI CITY</t>
  </si>
  <si>
    <t>CABIAO WATER DISTRICT</t>
  </si>
  <si>
    <t>BARANGAY MABINI, BURDEOS, QUEZON</t>
  </si>
  <si>
    <t>BARANGAY CALABANIT, GLAN, SARANGANI</t>
  </si>
  <si>
    <t>BARANGAY AMIROY, MINA, ILOILO</t>
  </si>
  <si>
    <t>MUNICIPALITY OF STA. MONICA, SURIGAO DEL NORTE</t>
  </si>
  <si>
    <t>DEPARTMENT OF BUDGET AND MANAGEMENT</t>
  </si>
  <si>
    <t>DEPARTMENT OF PUBLIC WORKS AND HIGHWAYS - CAPIZ 2ND ED</t>
  </si>
  <si>
    <t>BARANGAY IHAN, KIBLAWAN, DAVAO DEL SUR</t>
  </si>
  <si>
    <t>MUNICIPALITY OF SAN NARCISO, QUEZON</t>
  </si>
  <si>
    <t>BARANGAY IPONAN, CAGAYAN DE ORO CITY</t>
  </si>
  <si>
    <t>PAMPANGA STATE AGRICULTURAL UNIVERSITY</t>
  </si>
  <si>
    <t>MUNICIPALITY OF NAGUILIAN, LA UNION</t>
  </si>
  <si>
    <t>BARANGAY POBLACION, TACURONG, SULTAN KUDARAT</t>
  </si>
  <si>
    <t>MUNICIPALITY OF PATEROS</t>
  </si>
  <si>
    <t>CITY OF TRECE MARTIRES</t>
  </si>
  <si>
    <t>CITY OF PAGADIAN, ZAMBOANGA DEL SUR</t>
  </si>
  <si>
    <t>DEPARTMENT OF ENVIRONMENT AND NATURAL RES. - PENRO, MT. PROV</t>
  </si>
  <si>
    <t>BARANGAY 645, ZONE 67, DISTRICT VI, MANILA</t>
  </si>
  <si>
    <t>BARANGAY CAIGANGAN VERUELA AGUSAN DEL SUR</t>
  </si>
  <si>
    <t>BARANGAY STA. EMELIA VERUELA AGUSAN DEL SUR</t>
  </si>
  <si>
    <t>BARANGAY BARROC, TIGBAUAN, ILOILO</t>
  </si>
  <si>
    <t>BARANGAY LIBOD - PANDAN, CATANDUANES</t>
  </si>
  <si>
    <t>BARANGAY MALINAO, NAUJAN, ORIENTAL MINDORO</t>
  </si>
  <si>
    <t>MUNICIPALITY OF RONDA, CEBU</t>
  </si>
  <si>
    <t>BARANGAY ZONE 7, LIBON, ALBAY</t>
  </si>
  <si>
    <t>BARANGAY NAMOCON - TIGBAUAN ILOILO</t>
  </si>
  <si>
    <t>BARANGAY SACSAC - MANJUYOD NEGROS ORIENTAL</t>
  </si>
  <si>
    <t>MUNICIPALITY OF ALBUERA, LEYTE</t>
  </si>
  <si>
    <t>BARANGAY PAMUL-OGAN - CABATUAN ILOILO</t>
  </si>
  <si>
    <t>DEPARTMENT OF PUBLIC WORKS AND HIGHWAYS - RIZAL 1ST ED</t>
  </si>
  <si>
    <t>HIMAMAYLAN NATIONAL HIGH SCHOOL(JUNIOR HIGH SCHOOL)-HIMAMAYL</t>
  </si>
  <si>
    <t>BARANGAY SABANG, LEGAZPI CITY</t>
  </si>
  <si>
    <t>MUNICIPALITY OF BARAS, CATANDUANES</t>
  </si>
  <si>
    <t>BARANGAY PAWA, BOAC, MARINDUQUE</t>
  </si>
  <si>
    <t>BARANGAY 12 SAN ISIDRO, LAOAG, ILOCOS NORTE</t>
  </si>
  <si>
    <t>MUNICIPALITY OF MATANAO, DAVAO DEL SUR</t>
  </si>
  <si>
    <t>BARANGAY STA. FILOMENA, DIPOLOG CITY, ZAMBOANGA DEL NORTE</t>
  </si>
  <si>
    <t>DEPARTMENT OF PUBLIC WORKS AND HIGHWAYS - METRO MANILA 3RD E</t>
  </si>
  <si>
    <t>BARANGAY BAGONG BAYAN/I-C, SAN PABLO CITY</t>
  </si>
  <si>
    <t>BARANGAY NAVOTAS SOUTH LAOAG CITY ILOCOS NORTE</t>
  </si>
  <si>
    <t>MUNICIPALITY OF ALEOSAN, COTABATO</t>
  </si>
  <si>
    <t>MUNICIPALITY OF ITBAYAT, BATANES</t>
  </si>
  <si>
    <t>BARANGAY ISABANG, LUCENA CITY</t>
  </si>
  <si>
    <t>CITY OF DIGOS, DAVAO DEL SUR</t>
  </si>
  <si>
    <t>MUNICIPALITY OF CABIAO, NUEVA ECIJA</t>
  </si>
  <si>
    <t>CITY  OF CANLAON, NEGROS ORIENTAL</t>
  </si>
  <si>
    <t>MUNICIPALITY OF TINOC, IFUGAO</t>
  </si>
  <si>
    <t>DEPARTMENT OF PUBLIC WORKS AND HIGHWAYS - NEG. OCC. 1ST DEO</t>
  </si>
  <si>
    <t>MUNICIPALITY OF MONCADA, TARLAC</t>
  </si>
  <si>
    <t>BARANGAY 5 (SAGMIN) -  LEGAZPI CITY ALBAY REGION V</t>
  </si>
  <si>
    <t>EASTERN PANGASINAN AGRICULTURAL COLLEGE</t>
  </si>
  <si>
    <t>CITY OF TAGUM, DAVAO DEL NORTE</t>
  </si>
  <si>
    <t>MUNICIPALITY OF JIABONG, SAMAR</t>
  </si>
  <si>
    <t>BARANAGY 44 - PAWA LEGAZPI CITY ALBAY</t>
  </si>
  <si>
    <t>MUNICIPALITY OF MOLAVE, ZAMBOANGA DEL SUR</t>
  </si>
  <si>
    <t>MUNICIPALITY OF MAIGO, LANAO DEL NORTE</t>
  </si>
  <si>
    <t>MUNICIPALITY OF PONTEVEDRA, NEGROS OCCIDENTAL</t>
  </si>
  <si>
    <t>DEPARTMENT OF PUBLIC WORKS AND HIGHWAYS - AGUSAN DEL SUR 1ST</t>
  </si>
  <si>
    <t>MUNICIPALITY OF BANAUE, IFUGAO</t>
  </si>
  <si>
    <t>BARANGAY 5, PASUQUIN, ILOCOS NORTE</t>
  </si>
  <si>
    <t>BUREAU OF PLANT INDUSTRY - LA GRANJA NCRDC</t>
  </si>
  <si>
    <t>MUNICIPALITY OF TITAY, ZAMBOANGA SIBUGAY</t>
  </si>
  <si>
    <t>BUREAU OF CORRECTIONS - REGION IX</t>
  </si>
  <si>
    <t>BARANGAY POBLACION, KIBLAWAN, DAVAO DEL SUR</t>
  </si>
  <si>
    <t>CATANDUANES STATE COLLEGES</t>
  </si>
  <si>
    <t>KASIGLAHAN VILLAGE ELEMENTARY SCHOOL</t>
  </si>
  <si>
    <t>BARANGAY GUADALUPE VIEJO, MAKATI CITY</t>
  </si>
  <si>
    <t>BARANGAY LOGUCAN - MARIA SIQUIJOR</t>
  </si>
  <si>
    <t>MUNICIPALITY OF MABUHAY, ZAMBOANGA SIBUGAY</t>
  </si>
  <si>
    <t>MUNICIPALITY OF NEW LUCENA, ILOILO</t>
  </si>
  <si>
    <t>BARANGAY SALVACION, TRENTO, AGUSAN DEL SUR</t>
  </si>
  <si>
    <t>MUNICIPALITY OF MAAYON, CAPIZ</t>
  </si>
  <si>
    <t>MUNICIPALITY OF BARCELONA, SORSOGON</t>
  </si>
  <si>
    <t>CAGAYAN DE ORO (BUGO) SCHOOL OF ARTS AND TRADES</t>
  </si>
  <si>
    <t>MUNICIPALITY OF STA. ROSA, NUEVA ECIJA</t>
  </si>
  <si>
    <t>BARANGAY AYALA ALABANG, MUNTINLUPA CITY</t>
  </si>
  <si>
    <t>BARANGAY 849 ZONE 93 DISTRICT 6, MANILA</t>
  </si>
  <si>
    <t>COTABATO FOUNDATION COLLEGE OF SCIENCE &amp; TECHNOLOGY</t>
  </si>
  <si>
    <t>BARANGAY BUCAC, BAYUGAN, AGUSAN DEL SUR</t>
  </si>
  <si>
    <t>BARANGAY BAGUMBAYAN, STA. CRUZ, LAGUNA</t>
  </si>
  <si>
    <t>BARANGAY TUBOD LAKEWOOD ZAMBOANGA DEL SUR</t>
  </si>
  <si>
    <t>DEPARTMENT OF ENVIRONMENT AND NATURAL RES. - PENRO, PALAWAN</t>
  </si>
  <si>
    <t>MUNICIPALITY OF PILAR, BATAAN</t>
  </si>
  <si>
    <t>BARANGAY CUTA, BATANGAS CITY</t>
  </si>
  <si>
    <t>MUNICIPALITY OF BADOC, ILOCOS NORTE</t>
  </si>
  <si>
    <t>MUNICIPALITY OF HAMTIC, ANTIQUE</t>
  </si>
  <si>
    <t>BAYBAY CITY WATER DISTRICT</t>
  </si>
  <si>
    <t>BARANGAY SICAYAB, DIPOLOG, ZAMBOANGA DEL NORTE</t>
  </si>
  <si>
    <t>VALENCIA NATIONAL HIGH SCHOOL</t>
  </si>
  <si>
    <t>MUNICIPALITY OF STA. CRUZ, ZAMBALES</t>
  </si>
  <si>
    <t>BARANGAY POBLACION, BURDEOS, QUEZON</t>
  </si>
  <si>
    <t>BARANGAY DEL PILAR, SAN FERNANDO, PAMPANGA</t>
  </si>
  <si>
    <t>BARANGAY CONCEPCION, HILONGOS, LEYTE</t>
  </si>
  <si>
    <t>BARANGAY PUALAS, TUBOD, LANAO DEL NORTE</t>
  </si>
  <si>
    <t>BARANGAY GARITAN, TAGUDIN, ILOCOS SUR</t>
  </si>
  <si>
    <t>BARANGAY TAGSING, LEON, ILOILO</t>
  </si>
  <si>
    <t>BARANGAY PIO DEL PILAR, MAKATI CITY</t>
  </si>
  <si>
    <t>MUNICIPALITY OF TINGLAYAN, KALINGA</t>
  </si>
  <si>
    <t>BARANGAY ALAMINOS - MADALAG AKLAN</t>
  </si>
  <si>
    <t>DEPARTMENT OF EDUCATION - DIVISION OF TAGUIG AND PATEROS</t>
  </si>
  <si>
    <t>BARANGAY STO. ANGEL - SAN PABLO CITY</t>
  </si>
  <si>
    <t>MUNICIPALITY OF MATNOG , SORSOGON</t>
  </si>
  <si>
    <t>MUNICIPALITY OF BOCAUE, BULACAN</t>
  </si>
  <si>
    <t>MUNICIPALITY OF TUBAJON, DINAGAT ISLANDS</t>
  </si>
  <si>
    <t>BARANGAY SAN ANTONIO, SAN PASCUAL, BATANGAS</t>
  </si>
  <si>
    <t>BARANGAY TALACU-AN, LEON, ILOILO</t>
  </si>
  <si>
    <t>MUNICIPALITY OF SAN RAFAEL, BULACAN</t>
  </si>
  <si>
    <t>BARANGAY CEMBO, MAKATI CITY</t>
  </si>
  <si>
    <t>CADIZ VIEJO ELEMENTARY SCHOOL</t>
  </si>
  <si>
    <t>BARANGAY CUMBA, BATANGAS CITY</t>
  </si>
  <si>
    <t>NATIONAL ECONOMIC AND DEVELOPMENT AUTHORITY - MAIN</t>
  </si>
  <si>
    <t>BARANGAY POBLACION - JETAFE BOHOL</t>
  </si>
  <si>
    <t>BARANGAY BUCAL CALATAGAN BATANGAS</t>
  </si>
  <si>
    <t>MUNICIPALITY OF BAGUMBAYAN, SULTAN KUDARAT</t>
  </si>
  <si>
    <t>BARANGAY  AMERANG - MAASIN ILOILO</t>
  </si>
  <si>
    <t>BARANGAY TABOK, MANDAUE CITY</t>
  </si>
  <si>
    <t>BARANGAY CATALUNAN GRANDE, DAVAO CITY</t>
  </si>
  <si>
    <t>BARANGAY BONUAN GUESET, DAGUPAN CITY</t>
  </si>
  <si>
    <t>SOCIAL SECURITY SYSTEM</t>
  </si>
  <si>
    <t>MUNICIPALITY OF LABANGAN, ZAMBOANGA DEL SUR</t>
  </si>
  <si>
    <t>MARAGONDON WATER DISTRICT</t>
  </si>
  <si>
    <t>NATIONAL IRRIGATION ADMINISTRATION - LARISIP</t>
  </si>
  <si>
    <t>MUNICIPALITY OF BAROTAC VIEJO, ILOILO</t>
  </si>
  <si>
    <t>MUNICIPALITY OF MAASIM, SARANGANI</t>
  </si>
  <si>
    <t>DEPARTMENT OF PUBLIC WORKS AND HIGHWAYS - EASTERN SAMAR DEO</t>
  </si>
  <si>
    <t>NATIONAL POWER CORPORATION - SPUG VISAYAS</t>
  </si>
  <si>
    <t>AMAI PAKPAK MEDICAL CENTER</t>
  </si>
  <si>
    <t>BARANGAY DALIG, ANTIPOLO CITY</t>
  </si>
  <si>
    <t>MUNICIPALITY OF QUEZON , BUKIDNON</t>
  </si>
  <si>
    <t>BARANGAY POBLACION I, CALATAGAN, BATANGAS</t>
  </si>
  <si>
    <t>MUNICIPALITY OF CATANAUAN, QUEZON</t>
  </si>
  <si>
    <t>MUNICIPALITY OF BATARAZA</t>
  </si>
  <si>
    <t>PNOC RENEWABLES CORPORATION</t>
  </si>
  <si>
    <t>MUNICIPALITY OF ALCALA, PANGASINAN</t>
  </si>
  <si>
    <t>SAN MANUEL WATER DISTRICT</t>
  </si>
  <si>
    <t>BARANGAY CATULAYAN - SAN JUAN SIQUIJOR</t>
  </si>
  <si>
    <t>BARANGAY STA ROSA - DANAO CITY CEBU</t>
  </si>
  <si>
    <t>MUNICIPALITY OF STA. MARCELA, APAYAO</t>
  </si>
  <si>
    <t>BARANGAY 14 BANCAL, CARMONA, CAVITE</t>
  </si>
  <si>
    <t>MUNICIPALITY OF MAGALLANES, CAVITE</t>
  </si>
  <si>
    <t>BARANGAY MALIM - TABINA ZAMBOANGA DEL SUR</t>
  </si>
  <si>
    <t>BARANGAY BAGTIC - CATIGBIAN BOHOL</t>
  </si>
  <si>
    <t>CALULUT ELEMENTARY SCHOOL</t>
  </si>
  <si>
    <t>BARANGAY POBLACION ZONE II - ESTANCIA ILOILO</t>
  </si>
  <si>
    <t>DEPARTMENT OF PUBLIC WORKS AND HIGHWAYS - SOUTHERN LEYTE DEO</t>
  </si>
  <si>
    <t>DA - PHILIPPINE RURAL DEVELOPMENT PROJECT - PSO LUZON A</t>
  </si>
  <si>
    <t>ILOCOS NORTE AGRICULTURAL COLLEGE SENIOR HIGH SCHOOL</t>
  </si>
  <si>
    <t>BARANGAY SAGRADA, RAPU-RAPU, ALBAY</t>
  </si>
  <si>
    <t>BARANGAY DAP-DAP, RAPU-RAPU, ALBAY</t>
  </si>
  <si>
    <t>SOUTHVILLE 1 ELEMENTARY SCHOOL</t>
  </si>
  <si>
    <t>MINISTRY OF HUMAN SETTLEMENTS AND DEVELOPMENT - COTABATO CIT</t>
  </si>
  <si>
    <t>BARANGAY JANAO JANAO - SAN JUAN BATANGAS</t>
  </si>
  <si>
    <t>MUNICIPALITY OF DUMANGAS, ILOILO</t>
  </si>
  <si>
    <t>NATIONAL IRRIGATION ADMINISTRATION - COMPOSTELA VALLEY</t>
  </si>
  <si>
    <t>BARANGAY MERCEDES - MADALAG AKLAN</t>
  </si>
  <si>
    <t>BARANGAY BUYOG - JETAFE BOHOL</t>
  </si>
  <si>
    <t>BARANGAY POBLACION, RAPU-RAPU, ALBAY</t>
  </si>
  <si>
    <t>MUNICIPALITY OF MASINLOC, ZAMBALES</t>
  </si>
  <si>
    <t>MUNICIPALITY OF MERCEDES, EASTERN SAMAR</t>
  </si>
  <si>
    <t>BARANGAY HIGOSO-AN, TOMAS OPPUS, SOUTHERN LEYTE</t>
  </si>
  <si>
    <t>DEPARTMENT OF EDUCATION - DIVISION OF QUIRINO</t>
  </si>
  <si>
    <t>BARANGAY PULARAQUEN, TAYTAY, PALAWAN</t>
  </si>
  <si>
    <t>BARANGAY TINOCAWAN, RAPU-RAPU, ALBAY</t>
  </si>
  <si>
    <t>TIAONG WATER DISTRICT</t>
  </si>
  <si>
    <t>BARANGAY 742, ZONE 80, DISTRICT V, MANILA</t>
  </si>
  <si>
    <t>BARANGAY PANIPIASON - MADALAG AKLAN</t>
  </si>
  <si>
    <t>BUREAU OF CUSTOMS - PORT OF LIMAY</t>
  </si>
  <si>
    <t>MUNICIPALITY OF TUDELA, CEBU</t>
  </si>
  <si>
    <t>OROQUIETA CITY WATER DISTRICT</t>
  </si>
  <si>
    <t>MUNICIPALITY OF TUY, BATANGAS</t>
  </si>
  <si>
    <t>BARANGAY BATAN, RAPU-RAPU, ALBAY</t>
  </si>
  <si>
    <t>MUNICIPALITY OF MALINAO, ALBAY</t>
  </si>
  <si>
    <t>MUNICIPALITY OF MARIHATAG, SURIGAO DEL SUR</t>
  </si>
  <si>
    <t>BARANGAY MAPORONG, OAS, ALBAY</t>
  </si>
  <si>
    <t>PHILIPPINE PHARMA PROCUREMENT, INC.</t>
  </si>
  <si>
    <t>BARANGAY IRISAN, BAGUIO CITY</t>
  </si>
  <si>
    <t>BARANGAY NG CALPI - MATNOG SORSOGON</t>
  </si>
  <si>
    <t>DEPARTMENT OF PUBLIC WORKS AND HIGHWAYS - LANAO DEL NORTE 1S</t>
  </si>
  <si>
    <t>BARANGAY MASAGA, RAPU-RAPU, ALBAY</t>
  </si>
  <si>
    <t>BARANGAY  DIOLEN - MUTIA ZAMBOANGA DEL NORTE</t>
  </si>
  <si>
    <t>BARANGAY STA. MONICA, CONCEPCION, TARLAC</t>
  </si>
  <si>
    <t>BARANGAY MAASIN, IPIL, ZAMBOANGA SIBUGAY</t>
  </si>
  <si>
    <t>DAGUNDALHON ELEMENTARY SCHOOL - TALAKAG, BUKIDNON</t>
  </si>
  <si>
    <t>DEPARTMENT OF SOCIAL WELFARE AND DEVELOPMENT - TACLOBAN</t>
  </si>
  <si>
    <t>BARANGAY PANIKI, BAGABAG, NUEVA VIZCAYA</t>
  </si>
  <si>
    <t>DEPARTMENT OF PUBLIC WORKS AND HIGHWAYS - DAVAO DEL NORTE DE</t>
  </si>
  <si>
    <t>ILOILO FISH PORT COMPLEX</t>
  </si>
  <si>
    <t>PHILIPPINE INTERNATIONAL TRADING CORPORATION</t>
  </si>
  <si>
    <t>BARANGAY VILLAHERMOSA, RAPU-RAPU, ALBAY</t>
  </si>
  <si>
    <t>BUREAU OF FISHERIES AND AQUATIC RESOURCES CARAGA</t>
  </si>
  <si>
    <t>MUNICIPALITY OF  MAWAB, COMPOSTELA VALLEY</t>
  </si>
  <si>
    <t>BARANGAY ANISLAGAN, NABUNTURAN, COMPOSTELA VALLEY</t>
  </si>
  <si>
    <t>BARANGAY GUADALUPE, RAPU-RAPU, ALBAY</t>
  </si>
  <si>
    <t>NATIONAL CHILDREN'S HOSPITAL</t>
  </si>
  <si>
    <t>MUNICIPAL GOVERNMENT OF DELFIN ALBANO, ISABELA</t>
  </si>
  <si>
    <t>DEPARTMENT OF PUBLIC WORKS AND HIGHWAYS - REGION VIII</t>
  </si>
  <si>
    <t>DEPARTMENT OF PUBLIC WORKS AND HIGHWAYS - MISAMIS ORIENTAL 2</t>
  </si>
  <si>
    <t>MUNICIPALITY OF PUERTO GALERA, ORIENTAL MINDORO</t>
  </si>
  <si>
    <t>MUNICIPALITY OF TAGANA-AN, SURIGAO DEL NORTE</t>
  </si>
  <si>
    <t>MUNICIPALITY OF ANGAT, BULACAN</t>
  </si>
  <si>
    <t>BARANGAY 671 ZONE 73 DISTRICT V MANILA</t>
  </si>
  <si>
    <t>BARANGAY VIRGO - CAVITE CITY</t>
  </si>
  <si>
    <t>MUNICIPALITY OF AGOO, LA UNION</t>
  </si>
  <si>
    <t>BARANGAY DITA, CUENCA, BATANGAS</t>
  </si>
  <si>
    <t>INFANTA (QUEZON) WATER DISTRICT</t>
  </si>
  <si>
    <t>BARANGAY LIBJO - BATANGAS CITY</t>
  </si>
  <si>
    <t>BARANGAY HAMORWON, RAPU-RAPU, ALBAY</t>
  </si>
  <si>
    <t>BARANGAY LIBTONG, BANTON, ROMBLON</t>
  </si>
  <si>
    <t>BARANGAY SAN GABRIEL - MACABEBE, PAMPANGA</t>
  </si>
  <si>
    <t>MUNICIPALITY OF BUENAVISTA, QUEZON</t>
  </si>
  <si>
    <t>MUNICIPALITY OF KAPANGAN, BENGUET</t>
  </si>
  <si>
    <t>PROVINCE OF APAYAO</t>
  </si>
  <si>
    <t>TECHNICAL EDUCATION &amp; SKILLS DEVELOPMENT AUTHORITY - CAR</t>
  </si>
  <si>
    <t>BARANGAY SAN ANTONIO DARAM SAMAR</t>
  </si>
  <si>
    <t>ADELA SERRA TY MEMORIAL MEDICAL CENTER</t>
  </si>
  <si>
    <t>MUNICIPALITY OF CALAMBA, MISAMIS OCCIDENTAL</t>
  </si>
  <si>
    <t>BARANGAY LIGUAN, RAPU-RAPU, ALBAY</t>
  </si>
  <si>
    <t>BARANGAY GABA, RAPU-RAPU, ALBAY</t>
  </si>
  <si>
    <t>BARANGAY AFUSING BATU, ALCALA, CAGAYAN</t>
  </si>
  <si>
    <t>BARANGAY LINAO, RAPU-RAPU, ALBAY</t>
  </si>
  <si>
    <t>MUNICIPALITY OF JANIUAY, ILOILO</t>
  </si>
  <si>
    <t>YEE ON ELEMENTARY SCHOOL</t>
  </si>
  <si>
    <t>PROVINCE OF MISAMIS OCCIDENTAL</t>
  </si>
  <si>
    <t>PHILIPPINE NUCLEAR RESEARCH INSTITUTE</t>
  </si>
  <si>
    <t>VICENTE SOTTO MEMORIAL MEDICAL CENTER - REGION VII</t>
  </si>
  <si>
    <t>BARANGAY BINOSAWAN, RAPU-RAPU, ALBAY</t>
  </si>
  <si>
    <t>MUNICIPALITY OF PRESIDENT ROXAS, COTABATO</t>
  </si>
  <si>
    <t>BARANGAY MANILA, RAPU-RAPU, ALBAY</t>
  </si>
  <si>
    <t>SCIENCE CITY OF MUÑOZ, NUEVA ECIJA</t>
  </si>
  <si>
    <t>TUMAUINI WATER DISTRICT</t>
  </si>
  <si>
    <t>BARANGAY VILLAROS, BAGABAG, NUEVA VIZCAYA</t>
  </si>
  <si>
    <t>DEPARTMENT OF PUBLIC WORKS AND HIGHWAYS - DAVAO CITY DEO</t>
  </si>
  <si>
    <t>BARANGAY BOGTONG, RAPU-RAPU, ALBAY</t>
  </si>
  <si>
    <t>CENTRAL PHILIPPINES STATE UNIVERSITY</t>
  </si>
  <si>
    <t>CAA ELEMENATARY SCHOOL - ANNEX</t>
  </si>
  <si>
    <t>POLYTECHNIC UNIVERSITY OF THE PHILIPPINES</t>
  </si>
  <si>
    <t>ILOILO STATE COLLEGE OF FISHERIES</t>
  </si>
  <si>
    <t>MUNICIPALITY OF ALITAGTAG, BATANGAS</t>
  </si>
  <si>
    <t>VILLACIN ELEMENTARY SCHOOL</t>
  </si>
  <si>
    <t>BARANGAY MANSABAY ALTO, LOPEZ JAENA, MISAMIS OCCIDENTAL</t>
  </si>
  <si>
    <t>LANGKAAN ELEMENTARY SCHOOL</t>
  </si>
  <si>
    <t>CALUMPIT WATER DISTRICT</t>
  </si>
  <si>
    <t>BARANGAY STA. CATALINA NORTE, CANDELARIA, QUEZON</t>
  </si>
  <si>
    <t>DEPARTMENT OF ENVIRONMENT AND NATURAL RESOURCES PENRO</t>
  </si>
  <si>
    <t>MUNICIPALITY OF MAGSAYSAY, LANAO DEL NORTE</t>
  </si>
  <si>
    <t>MUNICIPALITY OF MANTICAO, MISAMIS ORIENTAL</t>
  </si>
  <si>
    <t>PINAGBUHATAN HIGH SCHOOL</t>
  </si>
  <si>
    <t>BARANGAY SAN ANTONIO MAGCOPA, CATANAUAN, QUEZON</t>
  </si>
  <si>
    <t>PHILIPPINE SCIENCE HIGH SCHOOL - CALABARZON REGION CAMPUS</t>
  </si>
  <si>
    <t>MUNICIPALITY OF LOOC, ROMBLON</t>
  </si>
  <si>
    <t>MUNICIPALITY OF ANILAO - ILOILO</t>
  </si>
  <si>
    <t>CITY OF LIPA, BATANGAS</t>
  </si>
  <si>
    <t>NATIONAL FOOD AUTHORITY - REGION IX</t>
  </si>
  <si>
    <t>BARANGAY KATIPUNAN - ARAKAN COTOBATO</t>
  </si>
  <si>
    <t>CITY OF NAGA, CEBU</t>
  </si>
  <si>
    <t>BARANGAY GUMAOC WEST, SAN JOSE DEL MONTE, BULACAN</t>
  </si>
  <si>
    <t>BARANGAY ANTICALA, BUTUAN CITY</t>
  </si>
  <si>
    <t>BARANGAY 46 SAN JOAQUIN - LEGAZPI CITY</t>
  </si>
  <si>
    <t>MUNICIPALITY OF TULUNAN, NORTH COTABATO</t>
  </si>
  <si>
    <t>BARANGAY LOS ANGELES, BUTUAN CITY</t>
  </si>
  <si>
    <t>MUNICIPALITY OF PIAGAPO, LANAO DEL SUR</t>
  </si>
  <si>
    <t>BARANGAY CABAROAN BANTAY ILOCOS SUR</t>
  </si>
  <si>
    <t>ZAMBOANGA STATE COLLEGE OF MARINE SCIENCES AND TECHNOLOGY</t>
  </si>
  <si>
    <t>BARANGAY STA. TERESITA, BAYUGAN, AGUSAN DEL SUR</t>
  </si>
  <si>
    <t>CENTER FOR HEALTH DEVELOPMENT - REGION VI</t>
  </si>
  <si>
    <t>MALAYBALAY CITY WATER DISTRICT</t>
  </si>
  <si>
    <t>DEPARTMENT OF SCIENCE AND TECHNOLOGY - REGION - VIII</t>
  </si>
  <si>
    <t>GENERAL SANTOS CITY WATER DISTRICT</t>
  </si>
  <si>
    <t>LACSON ELEMENTARY SCHOOL</t>
  </si>
  <si>
    <t>BARANGAY POBLACION, BAYUGAN, AGUSAN DEL SUR</t>
  </si>
  <si>
    <t>MUNICIPALITY OF DUEÑAS, ILOILO</t>
  </si>
  <si>
    <t>BARANGAY DUMANTAY, BATANGAS CITY</t>
  </si>
  <si>
    <t>PROVINCE OF CEBU</t>
  </si>
  <si>
    <t>BARANGAY SAN JOSE SICO, BATANGAS CITY, BATANGAS</t>
  </si>
  <si>
    <t>DEPARTMENT OF SOCIAL WELFARE AND DEVELOPMENT - REGION X</t>
  </si>
  <si>
    <t>TALIBON WATER DISTRICT</t>
  </si>
  <si>
    <t>SAN MIGUEL ELEMENTARY SCHOOL</t>
  </si>
  <si>
    <t>KIDALOG ELEMENTARY SCHOOL</t>
  </si>
  <si>
    <t>BARANGAY POBLACION, MAHAYAG, ZAMBOANGA DEL SUR</t>
  </si>
  <si>
    <t>MUNICIPALITY OF TALUGTUG, NUEVA ECIJA</t>
  </si>
  <si>
    <t>BARANGAY LIBERATO ANTIQUE</t>
  </si>
  <si>
    <t>BARANGAY DEL NORTE -  PANDAN, CATANDUANES</t>
  </si>
  <si>
    <t>BARANGAY BACJAO - BUENAVISTA, GUIMARAS</t>
  </si>
  <si>
    <t>BARANGAY SAN MIGUEL ARAKAN COTABATO</t>
  </si>
  <si>
    <t>EASTERN VISAYAS STATE UNIVERSITY</t>
  </si>
  <si>
    <t>BARANGAY CAPACUAN, PARACALE, CAMARINES NORTE</t>
  </si>
  <si>
    <t>PROVINCE OF AKLAN</t>
  </si>
  <si>
    <t>MUNICIPALITY OF ASIPULO, IFUGAO</t>
  </si>
  <si>
    <t>DEPARTMENT OF AGRICULTURE - REGION IX</t>
  </si>
  <si>
    <t>BARANGAY LAWAGAN, LABASON, ZAMBOANGA DEL NORTE</t>
  </si>
  <si>
    <t>MUNICIPAL GOVERNMENT OF ATOK, BENGUET</t>
  </si>
  <si>
    <t>BUREAU OF INTERNAL REVENUE - REVENUE REGION NO. 5</t>
  </si>
  <si>
    <t>MUNICIPALITY OF PAOMBONG, BULACAN</t>
  </si>
  <si>
    <t>MUNICIPALITY OF BANGA, AKLAN</t>
  </si>
  <si>
    <t>SAN GUILLERMO WATER DISTRICT</t>
  </si>
  <si>
    <t>AYUGAN ELEMENTARY SCHOOL - OCAMPO CAMARINES SUR</t>
  </si>
  <si>
    <t>DEPARTMENT OF EDUCATION - REGION XI</t>
  </si>
  <si>
    <t>BARANGAY POLOPINA, CONCEPCION, ILOILO</t>
  </si>
  <si>
    <t>BARANGAY MACABAYAO, JIMENEZ, MISAMIS OCCIDENTAL</t>
  </si>
  <si>
    <t>TAWANTAWAN ELEMENTARY SCHOOL</t>
  </si>
  <si>
    <t>BARANGAY RAILWAY, LAPAZ, ILOILO CITY</t>
  </si>
  <si>
    <t>TIGLAWIGAN NATIONAL HIGH SCHOOL SENIOR HIGH SCHOOL</t>
  </si>
  <si>
    <t>MUNICIPALITY OF MAGSAYSAY, DAVAO DEL SUR</t>
  </si>
  <si>
    <t>BANGKO SENTRAL NG PILIPINAS - CAGAYAN DE ORO CITY</t>
  </si>
  <si>
    <t>BARANGAY ZONE I, STA. CRUZ, DAVAO DEL SUR</t>
  </si>
  <si>
    <t>BARANGAY PATAG, MANTICAO, MISAMIS ORIENTAL</t>
  </si>
  <si>
    <t>BARANGAY LAMPUTONG - CULASI ANTIQUE</t>
  </si>
  <si>
    <t>PARTIDO DEVELOPMENT ADMINISTRATION</t>
  </si>
  <si>
    <t>BARANGAY POBLACION A -  ROSARIO, BATANGAS</t>
  </si>
  <si>
    <t>PHILIPPINE INFORMATION AGENCY - REGION VII</t>
  </si>
  <si>
    <t>MUNICIPALITY OF SAN RICARDO - SOUTHERN LEYTE</t>
  </si>
  <si>
    <t>BARANGAY PARANG, CALAPAN, ORIENTAL MINDORO</t>
  </si>
  <si>
    <t>BARANGAY BACAY II-VERUELA AGUSAN DEL SUR</t>
  </si>
  <si>
    <t>BARANGAY CABCABON, BUTUAN CITY</t>
  </si>
  <si>
    <t>BARANGAY SAWAGAN, VERUELA, AGUSAN DEL SUR</t>
  </si>
  <si>
    <t>BARANGAY LA FORTUNA VERUELA AGUSAN DEL SUR</t>
  </si>
  <si>
    <t>BARANGAY DON MATEO VERUELA AGUSAN DEL SUR</t>
  </si>
  <si>
    <t>BARANGAY NAPANGAN, DON VICTORIANO CHIONGBIAN</t>
  </si>
  <si>
    <t>BARANGAY 699, ZONE 76 DISTRICT V, MANILA</t>
  </si>
  <si>
    <t>MUNICIPALITY OF PLACER, SURIGAO DEL NORTE</t>
  </si>
  <si>
    <t>BARANGAY TUBILI, PALUAN, OCCIDENTAL MINDORO</t>
  </si>
  <si>
    <t>MUNICIPALITY OF SAN ILDEFONSO, ILOCOS SUR</t>
  </si>
  <si>
    <t>BARANGAY LIRA, SAN JUAN, ILOCOS SUR</t>
  </si>
  <si>
    <t>PHIL. INSTITUTE OF TRADITIONAL &amp; ALTERNATIVE HEALTH CARE</t>
  </si>
  <si>
    <t>BARANGAY DAGATAN, LIPA CITY, BATANGAS</t>
  </si>
  <si>
    <t>BARANGAY SABANGAN - SAN JUAN, ILOCOS SUR</t>
  </si>
  <si>
    <t>BARANGAY STA. CRUZ, SAN FERNANDO, CAMARINES SUR</t>
  </si>
  <si>
    <t>BARANGAY SISIMON VERUELA AGUSAN DEL SUR</t>
  </si>
  <si>
    <t>BARANGAY NABAG-O, VALENCIA CITY</t>
  </si>
  <si>
    <t>PIG-AWAKAN ELEMENTARY SCHOOL</t>
  </si>
  <si>
    <t>MUNICIPALITY OF DONSOL, SORSOGON</t>
  </si>
  <si>
    <t>BARANGAY PUSPUS - SAN FERNANDO CITY, LA UNION</t>
  </si>
  <si>
    <t>BARANGAY II - SAN FERNANDO CITY, LA UNION</t>
  </si>
  <si>
    <t>BARANGAY 617 ZONE 61</t>
  </si>
  <si>
    <t>BARANGAY PAGDARAOAN, SAN FERNANDO CITY, LA UNION</t>
  </si>
  <si>
    <t>BARANGAY BINGAY, BORBON, CEBU</t>
  </si>
  <si>
    <t>DEPARTMENT OF PUBLIC WORKS AND HIGHWAYS - SAMAR 2ND DEO</t>
  </si>
  <si>
    <t>MUNICIPALITY OF CLAVERIA, MASBATE</t>
  </si>
  <si>
    <t>LUIS UY CHIAT ELEMENTARY SCHOOL</t>
  </si>
  <si>
    <t>BARANGAY MATINA 74-A - MATINA, DAVAO CITY</t>
  </si>
  <si>
    <t>BARANGAY BUCAYAO, CALAPAN, ORIENTAL MINDORO</t>
  </si>
  <si>
    <t>CITY OF TACURONG, SULTAN KUDARAT</t>
  </si>
  <si>
    <t>BARANGAY LUMANGBAYAN</t>
  </si>
  <si>
    <t>SK OF  BARANGAY MAGALLANES - MAKATI CITY</t>
  </si>
  <si>
    <t>BARANGAY AWAO STA. JOSEFA AGUSAN DEL SUR</t>
  </si>
  <si>
    <t>MUNICIPALITY OF CONNER, APAYAO</t>
  </si>
  <si>
    <t>MUNICIPALITY OF ABRA DE ILOG, OCCIDENTAL MINDORO</t>
  </si>
  <si>
    <t>SANGGUNIANG KABATAAN NG BRGY. F. DE CASTRO</t>
  </si>
  <si>
    <t>MUNICIPALITY OF AGUILAR, PANGASINAN</t>
  </si>
  <si>
    <t>MUNICIPALITY OF ALABEL, SARANGANI PROVINCE</t>
  </si>
  <si>
    <t>CEBU TECHNOLOGICAL UNIVERSITY</t>
  </si>
  <si>
    <t>BARANGAY GUN-OB - LAPU-LAPU CITY</t>
  </si>
  <si>
    <t>BARANGAY COLOCONTO - SAN JUAN BATANGAS</t>
  </si>
  <si>
    <t>MUNICIPALITY OF VILLAREAL, SAMAR</t>
  </si>
  <si>
    <t>PHILIPPINE NATIONAL POLICE - REGION XI</t>
  </si>
  <si>
    <t>SUGAR REGULATORY ADMINISTRATION - VISAYAS</t>
  </si>
  <si>
    <t>MUNICIPALITY OF BUGASONG, ANTIQUE</t>
  </si>
  <si>
    <t>MUNICIPALITY OF LABASON, ZAMBOANGA DEL NORTE</t>
  </si>
  <si>
    <t>MUNICIPALITY OF BUGUIAS, BENGUET</t>
  </si>
  <si>
    <t>MUNICIPALITY OF JULITA, LEYTE</t>
  </si>
  <si>
    <t>BARANGAY BASUG - SANTA ILOCOS SUR</t>
  </si>
  <si>
    <t>MUNICIPALITY OF SILAGO, SOUTHERN LEYTE</t>
  </si>
  <si>
    <t>BARANGAY CALUNGBOYAN, SANTA, ILOCOS SUR</t>
  </si>
  <si>
    <t>MUNICIPALITY OF TALIBON, BOHOL</t>
  </si>
  <si>
    <t>MUNICIPALITY OF TAYUG, PANGASINAN</t>
  </si>
  <si>
    <t>MUNICIPALITY OF CANDONI, NEGROS OCCIDENTAL</t>
  </si>
  <si>
    <t>BARANGAY SOONG - DARAM SAMAR</t>
  </si>
  <si>
    <t>BARANGAY BUGTONG KAWAYAN - BARILI CEBU</t>
  </si>
  <si>
    <t>BARANGAY  PONDANG - DARAM SAMAR</t>
  </si>
  <si>
    <t>NATIONAL POWER CORPORATION - SPUG PALAWAN</t>
  </si>
  <si>
    <t>BARANGAY PALOLA, LUCBAN, QUEZON</t>
  </si>
  <si>
    <t>MINDANAO STATE UNIVERSITY - MARAWI CITY</t>
  </si>
  <si>
    <t>SULTAN KUDARAT WATER DISTRICT</t>
  </si>
  <si>
    <t>LIGAO CITY WATER DISTRICT</t>
  </si>
  <si>
    <t>MUNICIPALITY OF HAGONOY, DAVAO DEL SUR</t>
  </si>
  <si>
    <t>MUNICIPALITY OF TUKURAN, ZAMBOANGA DEL SUR</t>
  </si>
  <si>
    <t>CADIZ EAST ELEMENTARY SCHOOL II</t>
  </si>
  <si>
    <t>MUNICIPALITY OF CARAMORAN, CATANDUANES</t>
  </si>
  <si>
    <t>BARANGAY TABON-TABON, SIBAGAT, AGUSAN DEL SUR</t>
  </si>
  <si>
    <t>TORRIJOS POBLACION SCHOOL OF ARTS AND TRADES - TESDA</t>
  </si>
  <si>
    <t>MUNICIPALITY OF STA. JOSEFA, AGUSAN DEL SUR</t>
  </si>
  <si>
    <t>BARANGAY LIBERTAD-STA. ISABEL,  JARO, ILOILO CITY</t>
  </si>
  <si>
    <t>BARANGAY CLAUDIO, CASTILLA, EL-98 -JARO ILOILO</t>
  </si>
  <si>
    <t>MUNICIPALITY OF COMPOSTELA, CEBU</t>
  </si>
  <si>
    <t>WESTERN MINDANAO STATE UNIVERSITY</t>
  </si>
  <si>
    <t>MUNICIPALITY OF GUINSILIBAN, CAMIGUIN</t>
  </si>
  <si>
    <t>CADIZ VIEJO NATIONAL HIGH SCHOOL</t>
  </si>
  <si>
    <t>BARANGAY BATI-AWAN, TAFT EASTERN SAMAR</t>
  </si>
  <si>
    <t>DEPARTMENT OF PUBLIC WORKS AND HIGHWAYS - ISABELA 3RD DEO</t>
  </si>
  <si>
    <t>OSPITAL NG PALAWAN</t>
  </si>
  <si>
    <t>BUREAU OF INTERNAL REVENUE, REVENUE REGION NO. 7B EAST NCR</t>
  </si>
  <si>
    <t>BAGONG TANYAG ELEMENTARY SCHOOL</t>
  </si>
  <si>
    <t>MUNICIPALITY OF MUTIA, ZAMBOANGA DEL NORTE</t>
  </si>
  <si>
    <t>DEPARTMENT OF PUBLIC WORKS AND HIGHWAYS - RIZAL II DEO</t>
  </si>
  <si>
    <t>PHILIPPINE STATISTICS AUTHORITY - REGION II</t>
  </si>
  <si>
    <t>PROVINCE OF PANGASINAN</t>
  </si>
  <si>
    <t>BARANGAY AMBAGO, BUTUAN CITY</t>
  </si>
  <si>
    <t>MUNICIPALITY OF BAMBANG, NUEVA VIZCAYA</t>
  </si>
  <si>
    <t>CITY OF TANGUB</t>
  </si>
  <si>
    <t>BARANGAY  BAGTIC - SILAY CITY</t>
  </si>
  <si>
    <t>LOBO WATER DISTRICT</t>
  </si>
  <si>
    <t>CEBU NORMAL UNIVERSITY</t>
  </si>
  <si>
    <t>BARANGAY REMEDIOS - DANAO BOHOL</t>
  </si>
  <si>
    <t>BARANGAY DISTRICT III - PASTRANA, LEYTE</t>
  </si>
  <si>
    <t>BARANGAY LANAUAN - PASTRANA LEYTE</t>
  </si>
  <si>
    <t>MUNICIPALITY OF DAMULOG, BUKIDNON</t>
  </si>
  <si>
    <t>BARANGAY PINAGKAISAHAN, MAKATI CITY</t>
  </si>
  <si>
    <t>WESTERN VISAYAS SANITARIUM - DOH</t>
  </si>
  <si>
    <t>BARANGAY 594, ZONE 59, DISTRICT VI, MANILA</t>
  </si>
  <si>
    <t>NATIONAL IRRIGATION ADMINISTRATION - REGION IV-B</t>
  </si>
  <si>
    <t>BARANGAY TALAYONG BADIAN CEBU</t>
  </si>
  <si>
    <t>BARANGAY OTSO - MAMBURAO OCCIDENTAL MINDORO</t>
  </si>
  <si>
    <t>MUNICIPALITY OF PILAR, ABRA</t>
  </si>
  <si>
    <t>MUNICIPALITY OF BORBON, CEBU</t>
  </si>
  <si>
    <t>MUNICIPALITY OF ITOGON, BENGUET</t>
  </si>
  <si>
    <t>MUNICIPALITY OF BALINGASAG, MISAMIS ORIENTAL</t>
  </si>
  <si>
    <t>BALINGASAG WATER DISTRICT</t>
  </si>
  <si>
    <t>BOHOL ISLAND STATE UNIVERSITY - MAIN CAMPUS</t>
  </si>
  <si>
    <t>BARANGAY AGBATUAN, ANILAO,ILOILO</t>
  </si>
  <si>
    <t>NATIONAL STATISTICS OFFICE - MISAMIS ORIENTAL BRANCH</t>
  </si>
  <si>
    <t>BARANGAY POBLACION - SAN JOAQUIN, ILOILO</t>
  </si>
  <si>
    <t>BARANGAY ALANGILAN, BATANGAS CITY, BATANGAS</t>
  </si>
  <si>
    <t>DUNGGOAN ELEMENTARY SCHOOL - DANAO CITY CEBU</t>
  </si>
  <si>
    <t>BARANGAY MAGSAYSAY - PATNONGON ANTIQUE</t>
  </si>
  <si>
    <t>BARANGAY CROSSING - SAN ISIDRO LEYTE</t>
  </si>
  <si>
    <t>BARANGAY 39 - JASMIN CAVITE CITY CAVITE</t>
  </si>
  <si>
    <t>WEST VISAYAS STATE UNIVERSITY - CALINOG BRANCH</t>
  </si>
  <si>
    <t>DEPARTMENT OF PUBLIC WORKS AND HIGHWAYS - LEYTE 3RD DEO</t>
  </si>
  <si>
    <t>SAMPAGUITA HIGH SCHOOL (JUNIOR)</t>
  </si>
  <si>
    <t>BARANGAY UPPER BAGONG TUDELA, JOSEFINA, ZAMBOANGA DEL SUR</t>
  </si>
  <si>
    <t>MUNICIPALITY OF PIGCAWAYAN, COTABATO</t>
  </si>
  <si>
    <t>MUNICIPALITY OF BALIWAG, BULACAN</t>
  </si>
  <si>
    <t>ENERGY REGULATORY COMMISSION</t>
  </si>
  <si>
    <t>MUNICIPALITY OF SAN JUAN, BATANGAS</t>
  </si>
  <si>
    <t>WEST VISAYAS STATE UNIVERSITY MEDICAL CENTER - REGION VI</t>
  </si>
  <si>
    <t>MUNICIPALITY OF TIAONG, QUEZON</t>
  </si>
  <si>
    <t>MUNICIPALITY OF BUENAVISTA, AGUSAN DEL NORTE</t>
  </si>
  <si>
    <t>MUNICIPALITY OF SANTA FE, ROMBLON</t>
  </si>
  <si>
    <t>BANGKO SENTRAL NG PILIPINAS - BUTUAN BRANCH</t>
  </si>
  <si>
    <t>PROVINCE OF ANTIQUE</t>
  </si>
  <si>
    <t>METRO ILOILO WATER DISTRICT</t>
  </si>
  <si>
    <t>BARANGAY 3-A POBLACION - DAVAO CITY, DAVAO DEL SUR</t>
  </si>
  <si>
    <t>MUNICIPALITY OF LAGAWE, IFUGAO</t>
  </si>
  <si>
    <t>CALAMBA WATER DISTRICT</t>
  </si>
  <si>
    <t>MUNICIPALITY OF LEON, ILOILO</t>
  </si>
  <si>
    <t>DR. VICENTE F. GUSTILO MEMORIAL NATIONAL HIGH SCHOOL</t>
  </si>
  <si>
    <t>MUNICIPALITY OF SAN JOSE DE BUENAVISTA, ANTIQUE</t>
  </si>
  <si>
    <t>DEPARTMENT OF EDUCATION - DIVISION OF CAMARINES SUR</t>
  </si>
  <si>
    <t>BARANGAY STO. NIÑO 1ST, SAN JOSE CITY, NUEVA ECIJA</t>
  </si>
  <si>
    <t>MUNICIPALITY OF IMPASUGONG, BUKIDNON</t>
  </si>
  <si>
    <t>MUNICIPALITY OF BATAN, AKLAN</t>
  </si>
  <si>
    <t>BARANGAY MALUBIBIT NORTE FLORA APAYAO</t>
  </si>
  <si>
    <t>MUNICIPALITY OF ZAMBOANGUITA, NEGROS ORIENTAL</t>
  </si>
  <si>
    <t>JOSE RIZAL MEMORIAL STATE UNIVERSITY - SIOCON CAMPUS</t>
  </si>
  <si>
    <t>MUNICIPALITY OF LOS BAÑOS, LAGUNA</t>
  </si>
  <si>
    <t>MUNICIPALITY OF LANUZA, SURIGAO DEL SUR</t>
  </si>
  <si>
    <t>MUNICIPALITY OF ADAMS, ILOCOS NORTE</t>
  </si>
  <si>
    <t>BARANGAY ATOTES - BINDOY NEGROS ORIENTAL</t>
  </si>
  <si>
    <t>UNIVERSITY OF SOUTHEASTERN PHIL.  - TAGUM MABINI CAMPUS</t>
  </si>
  <si>
    <t>BARANGAY MAYAO PARADA, LUCENA CITY</t>
  </si>
  <si>
    <t>MINES AND GEO-SCIENCES BUREAU</t>
  </si>
  <si>
    <t>DEPARTMENT OF PUBLIC WORKS AND HIGHWAYS - CEBU 1ST DEO</t>
  </si>
  <si>
    <t>FOOD AND DRUG ADMINISTRATION</t>
  </si>
  <si>
    <t>BARANGAY SANTIAGO SANCHEZ MIRA CAGAYAN</t>
  </si>
  <si>
    <t>NATIONAL HOUSING AUTHORITY</t>
  </si>
  <si>
    <t>MUNICIPALITY OF KALAYAAN, PALAWAN</t>
  </si>
  <si>
    <t>VILLACIN NATIONAL HIGH SCHOOL (JUNIOR HIGH)</t>
  </si>
  <si>
    <t>MUNICIPALITY OF MANAOAG, PANGASINAN</t>
  </si>
  <si>
    <t>MUNICIPALITY OF TUPI, SOUTH COTABATO</t>
  </si>
  <si>
    <t>MUNICIPALITY OF PANUKULAN, QUEZON</t>
  </si>
  <si>
    <t>MINDANAO STATE UNIVERSITY - GENERAL SANTOS CITY CAMPUS</t>
  </si>
  <si>
    <t>MUNICIPALITY OF LIBJO, DINAGAT ISLANDS</t>
  </si>
  <si>
    <t>DEPARTMENT OF PUBLIC WORKS AND HIGHWAYS - CEBU 3RD DEO</t>
  </si>
  <si>
    <t>BARANGAY POBLACION - STO. NIÑO SOUTH COTABATO</t>
  </si>
  <si>
    <t>WANGAN ELEMENTARY SCHOOL</t>
  </si>
  <si>
    <t>BARANGAY SAN ISIDRO - GALAS, QUEZON CITY</t>
  </si>
  <si>
    <t>RAMON M. DURANO SR. MEMORIAL NATIONAL HIGH SCHOOL - DANAO CI</t>
  </si>
  <si>
    <t>DEPARTMENT OF PUBLIC WORKS AND HIGHWAYS - CAMARINES NORTE ED</t>
  </si>
  <si>
    <t>BARANGAY MAYAPYAP SUR, CABANATUAN CITY ,NUEVA ECIJA</t>
  </si>
  <si>
    <t>AGRICULTURAL TRAINING INSTITUTE - REGION III</t>
  </si>
  <si>
    <t>MUNICIPALITY OF AGDANGAN, QUEZON</t>
  </si>
  <si>
    <t>CITY OF LAPU-LAPU</t>
  </si>
  <si>
    <t>MUNICIPALITY OF ARINGAY, LA UNION</t>
  </si>
  <si>
    <t>ALIMATOC ELEMENTARY SCHOOL</t>
  </si>
  <si>
    <t>AKLAN STATE UNIVERSITY - KALIBO CAMPUS</t>
  </si>
  <si>
    <t>DEPARTMENT OF EDUCATION - DIVISION OF BUKIDNON</t>
  </si>
  <si>
    <t>MUNICIPALITY OF AMADEO, CAVITE</t>
  </si>
  <si>
    <t>BARANGAY POBLACION NORTE - SIGMA CAPIZ</t>
  </si>
  <si>
    <t>MUNICIPALITY OF SAN NICOLAS, BATANGAS</t>
  </si>
  <si>
    <t>MUNICIPALITY OF SAN JOSE, BATANGAS</t>
  </si>
  <si>
    <t>CITY OF VICTORIAS, NEGROS OCCIDENTAL</t>
  </si>
  <si>
    <t>BARANGAY PALMA GIL, TALAINGOD, DAVAO DEL NORTE</t>
  </si>
  <si>
    <t>SOUTHERN LUZON STATE UNIVERSITY</t>
  </si>
  <si>
    <t>PHILIPPINE NATIONAL POLICE - INTELLIGENCE GROUP</t>
  </si>
  <si>
    <t>BARANGAY DEMAPACO - LIBUNGAN COTABATO</t>
  </si>
  <si>
    <t>MUNICIPALITY OF ISABELA, NEGROS OCCIDENTAL</t>
  </si>
  <si>
    <t>GHQ BAC1 SECRETARIAT, AFP PROCUREMENT SERVICE</t>
  </si>
  <si>
    <t>BARANGAY COGON - KAPUTIAN</t>
  </si>
  <si>
    <t>CITY OF TOLEDO, CEBU</t>
  </si>
  <si>
    <t>MUNICIPALITY OF MADRID ,  SURIGAO DEL SUR</t>
  </si>
  <si>
    <t>MUNICIPALITY OF SAN ILDEFONSO, BULACAN</t>
  </si>
  <si>
    <t>ANGELES CITY WATER DISTRICT</t>
  </si>
  <si>
    <t>DAVAO REGIONAL MEDICAL CENTER</t>
  </si>
  <si>
    <t>BARANGAY BIBINCAHAN, SORSOGON CITY</t>
  </si>
  <si>
    <t>MUNICIPALITY OF ALUBIJID, MISAMIS ORIENTAL</t>
  </si>
  <si>
    <t>BARANGAY PISAAN - SAN FRANCISCO AGUSAN DEL SUR</t>
  </si>
  <si>
    <t>MUNICIPALITY OF QUEZON, QUEZON</t>
  </si>
  <si>
    <t>BARANGAY 1 MAON, BUTUAN CITY</t>
  </si>
  <si>
    <t>BARANGAY CHITONGCO, MONDRAGON, NORTHERN SAMAR</t>
  </si>
  <si>
    <t>BARANGAY UGAC SUR - UGAC SUR TUGUEGARAO CITY</t>
  </si>
  <si>
    <t>DEPARTMENT OF PUBLIC WORKS AND HIGHWAYS - LOWER KALINGA DEO</t>
  </si>
  <si>
    <t>MUNICIPALITY OF JONES, ISABELA</t>
  </si>
  <si>
    <t>BARANGAY APALIT, FLORIDABLANCA, PAMPANGA</t>
  </si>
  <si>
    <t>BARANGAY MOMBON - ZUMARRAGA SAMAR</t>
  </si>
  <si>
    <t>MUNICIPALITY OF QUINAPONDAN, EASTERN SAMAR</t>
  </si>
  <si>
    <t>TANGALAN NATIONAL HIGH SCHOOL</t>
  </si>
  <si>
    <t>MUNICIPALITY OF SAN MIGUEL, BOHOL</t>
  </si>
  <si>
    <t>MUNICIPALITY OF KIBUNGAN, BENGUET</t>
  </si>
  <si>
    <t>MUNICIPALITY OF PATNOÑGON, ANTIQUE</t>
  </si>
  <si>
    <t>MUNICIPALITY OF MACALELON, QUEZON</t>
  </si>
  <si>
    <t>CADIZ WEST I ELEMENTARY SCHOOL</t>
  </si>
  <si>
    <t>ILOILO SCIENCE AND TECHNOLOGY UNIVERSITY BN CAMPUS</t>
  </si>
  <si>
    <t>BARANGAY CAGLAYAG, CARRASCAL, SURIGAO DEL SUR</t>
  </si>
  <si>
    <t>DEPARTMENT OF PUBLIC WORKS AND HIGHWAYS - CAMIGUIN DEO</t>
  </si>
  <si>
    <t>BARANGAY CANAMUCAN, COMPOSTELA, CEBU</t>
  </si>
  <si>
    <t>MUNICIPALITY OF ANINI-Y, ANTIQUE</t>
  </si>
  <si>
    <t>MUNICIPALITY OF SAN TEODORO, ORIENTAL MINDORO</t>
  </si>
  <si>
    <t>MUNICIPALITY OF VINCENZO SAGUN, ZAMBOANGA DEL SUR</t>
  </si>
  <si>
    <t>CARLOS HILADO MEMORIAL STATE COLLEGE</t>
  </si>
  <si>
    <t>BOHOL ISLAND STATE UNIVERSITY - CALAPE</t>
  </si>
  <si>
    <t>MUNICIPALITY OF SAN FRANCISCO, QUEZON</t>
  </si>
  <si>
    <t>METRO KALIBO WATER DISTRICT</t>
  </si>
  <si>
    <t>MUNICIPALITY OF BURGOS, ILOCOS SUR</t>
  </si>
  <si>
    <t>BUSCO ELEMENTARY SCHOOL</t>
  </si>
  <si>
    <t>BARANGAY MAPULO - TAYSAN, BATANGAS</t>
  </si>
  <si>
    <t>DEPARTMENT OF HEALTH - REGION X</t>
  </si>
  <si>
    <t>BARANGAY STO.ROSARIO,ANILAO,ILOILO</t>
  </si>
  <si>
    <t>MUNICIPALITY OF JAGNA, BOHOL</t>
  </si>
  <si>
    <t>DEPARTMENT OF PUBLIC WORKS AND HIGHWAYS - SAMAR 1ST DEO</t>
  </si>
  <si>
    <t>MUNICIPALITY OF VILLABA, LEYTE</t>
  </si>
  <si>
    <t>PROGRESO ELEMENTARY SCHOOL</t>
  </si>
  <si>
    <t>MUNICIPALITY OF INFANTA, QUEZON</t>
  </si>
  <si>
    <t>BARANGAY NATO, ANINI-Y, ANTIQUE</t>
  </si>
  <si>
    <t>BARANGAY APITONG - NAUJAN, ORIENTAL MINDORO</t>
  </si>
  <si>
    <t>MUNICIPALITY OF SOGOD, CEBU</t>
  </si>
  <si>
    <t>BARANGAY SAN CARLOS,ANILAO,ILOILO</t>
  </si>
  <si>
    <t>PILI NATIONAL HIGH SCHOOL</t>
  </si>
  <si>
    <t>BARANGAY TAGUSTUSAN, BALILIHAN, BOHOL</t>
  </si>
  <si>
    <t>BARANGAY CAHAGUIKICAN, POTOTAN, ILOILO</t>
  </si>
  <si>
    <t>DEPARTMENT OF PUBLIC WORKS AND HIGHWAYS - TARLAC 1ST DEO</t>
  </si>
  <si>
    <t>BARANGAY GUIBUANGAN - POTOTAN, ILOILO</t>
  </si>
  <si>
    <t>UNIVERSITY OF THE PHILIPPINES - MINDANAO</t>
  </si>
  <si>
    <t>DEPARTMENT OF PUBLIC WORKS AND HIGHWAYS - CAGAYAN DE ORO CIT</t>
  </si>
  <si>
    <t>DEPARTMENT OF PUBLIC WORKS AND HIGHWAYS - DAVAO ORIENTAL 1ST</t>
  </si>
  <si>
    <t>BARANGAY CASALSAGAN, POTOTAN, ILOILO</t>
  </si>
  <si>
    <t>MUNICIPALITY OF SAN VICENTE, PALAWAN</t>
  </si>
  <si>
    <t>BARANGAY MURITULA, SAN LUIS, AGUSAN DEL SUR</t>
  </si>
  <si>
    <t>MUNICIPALITY OF ANTIPAS, COTABATO</t>
  </si>
  <si>
    <t>MUNICIPALITY OF SANTA IGNACIA, TARLAC</t>
  </si>
  <si>
    <t>BARANGAY ABELLA NAGA CITY CAMARINES SUR</t>
  </si>
  <si>
    <t>BARANGAY ANTONGALON, BUTUAN CITY</t>
  </si>
  <si>
    <t>MUNICIPALITY OF TUBA, BENGUET</t>
  </si>
  <si>
    <t>DEPARTMENT OF AGRARIAN REFORM - NEGROS ORIENTAL PROV'L OFF.</t>
  </si>
  <si>
    <t>DEPARTMENT OF PUBLIC WORKS AND HIGHWAYS - NEGROS ORIENTAL 1S</t>
  </si>
  <si>
    <t>MUNICIPALITY OF MALABUYOC, CEBU</t>
  </si>
  <si>
    <t>POLOMOLOK WATER DISTRICT</t>
  </si>
  <si>
    <t>MUNICIPALITY OF SINAIT, ILOCOS SUR</t>
  </si>
  <si>
    <t>DEPARTMENT OF AGRARIAN REFORM - NORTHERN SAMAR</t>
  </si>
  <si>
    <t>BARANGAY BALUCANAD, CAPOOCAN, LEYTE</t>
  </si>
  <si>
    <t>MUNICIPALITY OF TRINIDAD, BOHOL</t>
  </si>
  <si>
    <t>BARANGAY A. BONIFACIO SUR, LLANERA, NUEVA ECIJA</t>
  </si>
  <si>
    <t>MUNICIPALITY OF MARAMAG, BUKIDNON</t>
  </si>
  <si>
    <t>MUNICIPALITY OF LIDLIDDA, ILOCOS SUR</t>
  </si>
  <si>
    <t>BARANGAY  PANAMOREN - LAAK COMPOSTELA VALLEY</t>
  </si>
  <si>
    <t>CITY OF OLONGAPO, ZAMBALES</t>
  </si>
  <si>
    <t>DEPARTMENT OF ENERGY - MAIN</t>
  </si>
  <si>
    <t>CITY OF CABUYAO, LAGUNA</t>
  </si>
  <si>
    <t>BUREAU OF FIRE PROTECTION - REGION IV-A (CALABARZON)</t>
  </si>
  <si>
    <t>BARANGAY NEW LOWER BICUTAN, TAGUIG CITY</t>
  </si>
  <si>
    <t>BARANGAY BATUG, MACARTHUR, LEYTE</t>
  </si>
  <si>
    <t>MUNICIPALITY OF DAGUIOMAN, ABRA</t>
  </si>
  <si>
    <t>MUNICIPALITY OF BANSALAN, DAVAO DEL SUR</t>
  </si>
  <si>
    <t>BASES CONVERSION AND DEVELOPMENT AUTHORITY - MAIN</t>
  </si>
  <si>
    <t>BARANGAY KATIPUNAN, KAPALONG, DAVAO DEL NORTE</t>
  </si>
  <si>
    <t>MUNICIPALITY OF MALANGAS, ZAMBOANGA SIBUGAY</t>
  </si>
  <si>
    <t>BARANGAY TAYAMAAN - MAMBURAO, OCCIDENTAL MINDORO</t>
  </si>
  <si>
    <t>DEPARTMENT OF AGRARIAN REFORM - EASTERN SAMAR</t>
  </si>
  <si>
    <t>PHILIPPINE NATIONAL POLICE - CRIME LABORATORY</t>
  </si>
  <si>
    <t>NATIVIDAD HIGH SCHOOL</t>
  </si>
  <si>
    <t>MUNICIPALITY OF FLORIDABLANCA, PAMPANGA</t>
  </si>
  <si>
    <t>BARANGAY AMAMBUCALE - MARABUT SAMAR</t>
  </si>
  <si>
    <t>MUNICIPALITY OF SILVINO LOBOS, NORTHERN SAMAR</t>
  </si>
  <si>
    <t>BARANGAY MANGA - TAGBILARAN CITY</t>
  </si>
  <si>
    <t>PHILIPPINE CARABAO CENTER - REGION III</t>
  </si>
  <si>
    <t>BARANGAY POBLACION - BANATE ILOILO</t>
  </si>
  <si>
    <t>BARANGAY SUMALILI - ARAKAN COTABATO</t>
  </si>
  <si>
    <t>MUNICIPALITY OF GUIGUINTO, BULACAN</t>
  </si>
  <si>
    <t>NATIONAL COMMISSION FOR CULTURE AND THE ARTS</t>
  </si>
  <si>
    <t>SUBIC BAY METROPOLITAN AUTHORITY</t>
  </si>
  <si>
    <t>BARANGAY HOLY REDEEMER, BUTUAN CITY</t>
  </si>
  <si>
    <t>CITY OF MAASIN, SOUTHERN LEYTE</t>
  </si>
  <si>
    <t>BARANGAY MINSAPINIT GINGOOG CITY MISAMIS ORIENTAL</t>
  </si>
  <si>
    <t>MUNICIPALITY OF PANDAN , CATANDUANES</t>
  </si>
  <si>
    <t>BARANGAY GUIOM, CAWAYAN, MASBATE</t>
  </si>
  <si>
    <t>MUNICIPALITY OF SAN AGUSTIN , SURIGAO DEL SUR</t>
  </si>
  <si>
    <t>MUNICIPALITY OF REMEDIOS T. ROMUALDEZ, AGUSAN DEL NORTE</t>
  </si>
  <si>
    <t>BARANGAY GILOTONGAN, CAWAYAN, MASBATE</t>
  </si>
  <si>
    <t>MUNICIPALITY OF HINUNDAYAN, SOUTHERN LEYTE</t>
  </si>
  <si>
    <t>NATIONAL COMMISSION ON INDIGENOUS PEOPLES - REGION XII</t>
  </si>
  <si>
    <t>MUNICIPALITY OF KIAMBA, SARANGANI</t>
  </si>
  <si>
    <t>MUNICIPALITY OF ZUMARRAGA, SAMAR</t>
  </si>
  <si>
    <t>BARANGAY CABUNGAHAN - CAWAYAN, MASBATE</t>
  </si>
  <si>
    <t>JOHN HAY MANAGEMENT CORPORATION</t>
  </si>
  <si>
    <t>MUNICIPALITY OF BOLJOON, CEBU</t>
  </si>
  <si>
    <t>MUNICIPALITY OF KITCHARAO , AGUSAN DEL NORTE</t>
  </si>
  <si>
    <t>MUNICIPALITY OF JOMALIG, QUEZON</t>
  </si>
  <si>
    <t>DOH-REGIONAL OFFICE IV-A</t>
  </si>
  <si>
    <t>MUNICIPALITY OF CORTES, BOHOL</t>
  </si>
  <si>
    <t>BARANGAY NARO, CAWAYAN, MASBATE</t>
  </si>
  <si>
    <t>BARANGAY RAWIS, VIRAC, CATANDUANES</t>
  </si>
  <si>
    <t>BARANGAY TABERNA, CAWAYAN, MASBATE</t>
  </si>
  <si>
    <t>BARANGAY LIBERTAD - CAWAYAN, MASBATE</t>
  </si>
  <si>
    <t>BARANGAY CALAPAYAN, CAWAYAN, MASBATE</t>
  </si>
  <si>
    <t>BARANGAY CADINGLIAN, OTON, ILOILO</t>
  </si>
  <si>
    <t>MUNICIPALITY OF NASUGBU, BATANGAS</t>
  </si>
  <si>
    <t>BARANGAY MACTAN, CAWAYAN, MASBATE</t>
  </si>
  <si>
    <t>MUNICIPALITY OF PINTUYAN, SOUTHERN LEYTE</t>
  </si>
  <si>
    <t>BARANGAY MAGACAN SANCHEZ MIRA CAGAYAN</t>
  </si>
  <si>
    <t>BARANGAY 29, PEMBO, MAKATI CITY</t>
  </si>
  <si>
    <t>BARANGAY MINTAL, DAVAO CITY</t>
  </si>
  <si>
    <t>MUNICIPALITY OF LABRADOR, PANGASINAN</t>
  </si>
  <si>
    <t>BARANGAY SAN JOSE, CAWAYAN, MASBATE</t>
  </si>
  <si>
    <t>BARANGAY BANGKAL, COUNCIL</t>
  </si>
  <si>
    <t>MUNICIPALITY OF PASTRANA, LEYTE</t>
  </si>
  <si>
    <t>UNIVERSITY OF NORTHERN PHILIPPINES</t>
  </si>
  <si>
    <t>BARANGAY CONCEPCION PEQUEÑA, NAGA CITY</t>
  </si>
  <si>
    <t>MUNICIPALITY OF POLOMOLOK, SOUTH COTABATO</t>
  </si>
  <si>
    <t>OFFICE OF THE SOLICITOR GENERAL</t>
  </si>
  <si>
    <t>MUNICIPALITY OF LIBONA, BUKIDNON</t>
  </si>
  <si>
    <t>BARANGAY TOMADO - ALEOSAN COTABATO</t>
  </si>
  <si>
    <t>DEPARTMENT OF PUBLIC WORKS AND HIGHWAYS - PANGASINAN 1ST DEO</t>
  </si>
  <si>
    <t>MUNICIPALITY OF DON VICTORIANO CHIONGBIAN, MIS. OCCIDENTAL</t>
  </si>
  <si>
    <t>BARANGAY NAMABBALAN NORTE - TUGUEGARAO CITY CAGAYAN</t>
  </si>
  <si>
    <t>DEPARTMENT OF PUBLIC WORKS AND HIGHWAYS - CAGAYAN 3RD DEO</t>
  </si>
  <si>
    <t>MUNICIPALITY OF SIBUTAD, ZAMBOANGA DEL NORTE</t>
  </si>
  <si>
    <t>BARANGAY SAN VICENTE, PANABO CITY, DAVAO DEL NORTE</t>
  </si>
  <si>
    <t>BARANGAY MALBUG, CAWAYAN, MASBATE</t>
  </si>
  <si>
    <t>SK OF BARANGAY  POBLACION - MAKATI CITY</t>
  </si>
  <si>
    <t>NATIONAL IRRIGATION ADMINISTRATION - MAGUINDANAO</t>
  </si>
  <si>
    <t>BARANGAY NEW VISAYAS, PANABO CITY, DAVAO DEL NORTE</t>
  </si>
  <si>
    <t>DEPARTMENT OF ENVIRONMENT AND NATURAL RES. - PENRO TARLAC</t>
  </si>
  <si>
    <t>PROVINCE OF AGUSAN DEL NORTE</t>
  </si>
  <si>
    <t>MUNICIPALITY  OF BANATE, ILOILO</t>
  </si>
  <si>
    <t>MUNICIPALITY OF LOPEZ JAENA , MISAMIS OCCIDENTAL</t>
  </si>
  <si>
    <t>DEPARTMENT OF PUBLIC  WORKS AND HIGHWAYS - APAYAO 2ND DEO</t>
  </si>
  <si>
    <t>MUNICIPALITY OF SAN LORENZO RUIZ, CAMARINES NORTE</t>
  </si>
  <si>
    <t>MUNICIPALITY OF SEN. NINOY AQUINO, SULTAN KUDARAT</t>
  </si>
  <si>
    <t>MUNICIPALITY OF MAJAYJAY, LAGUNA</t>
  </si>
  <si>
    <t>MUNICIPALITY OF LEGANES, ILOILO</t>
  </si>
  <si>
    <t>MUNICIPALITY OF PINILI, ILOCOS NORTE</t>
  </si>
  <si>
    <t>MUNICIPALITY OF LA PAZ, ABRA</t>
  </si>
  <si>
    <t>PHILIPPINE HEALTH INSURANCE CORPORATION - REGION - IV A</t>
  </si>
  <si>
    <t>MUNICIPALITY OF BILIRAN, BILIRAN</t>
  </si>
  <si>
    <t>MUNICIPALITY OF CARCAR, CEBU</t>
  </si>
  <si>
    <t>MUNICIPALITY OF LILOAN, SOUTHERN LEYTE</t>
  </si>
  <si>
    <t>MUNICIPALITY  OF KABAYAN, BENGUET</t>
  </si>
  <si>
    <t>DEPARTMENT OF SCIENCE AND TECHNOLOGY - REGION II</t>
  </si>
  <si>
    <t>PHILIPPINE ECONOMIC ZONE AUTHORITY</t>
  </si>
  <si>
    <t>NATIONAL FOOD AUTHORITY - REGION XI</t>
  </si>
  <si>
    <t>VISAYAS STATE UNIVERSITY - MAIN CAMPUS</t>
  </si>
  <si>
    <t>MUNICIPALITY OF RIZAL, CAGAYAN</t>
  </si>
  <si>
    <t>CITY OF VALENZUELA</t>
  </si>
  <si>
    <t>MINES AND GEOSCIENCES BUREAU - MIMAROPA REGION</t>
  </si>
  <si>
    <t>DEPARTMENT OF EDUCATION - DIVISION OF KIDAPAWAN CITY</t>
  </si>
  <si>
    <t>MAGALLANES ELEMENTARY SCHOOL</t>
  </si>
  <si>
    <t>BARANGAY TANZA 2 - NAVOTAS CITY</t>
  </si>
  <si>
    <t>BARANGAY ILVITA, SABLAYAN, OCCIDENTAL MINDORO</t>
  </si>
  <si>
    <t>DEPARTMENT OF PUBLIC WORKS AND HIGHWAYS - BACOLOD CITY DEO</t>
  </si>
  <si>
    <t>DEPARTMENT OF EDUCATION - DIVISION OF PAGADIAN CITY</t>
  </si>
  <si>
    <t>MUNICIPALITY OF SAN MANUEL, TARLAC</t>
  </si>
  <si>
    <t>BARANGAY ZONE IV POBLACION, ATIMONAN, QUEZON</t>
  </si>
  <si>
    <t>DEPARTMENT OF TRANSPORTATION (DOTR) MAIN</t>
  </si>
  <si>
    <t>MUNICIPALITY OF SAN JOSE, OCCIDENTAL MINDORO</t>
  </si>
  <si>
    <t>NATIONAL IRRIGATION ADMINISTRATION - SKIMO</t>
  </si>
  <si>
    <t>BARANGAY 5 - MAMBURAO OCCIDENTAL MINDORO</t>
  </si>
  <si>
    <t>GENERAL HEADQUARTERS BAC 3, AFP PROCUREMENT SERVICE</t>
  </si>
  <si>
    <t>GMA WATER DISTRICT</t>
  </si>
  <si>
    <t>BARANGAY SAN DIONISIO 1, MADDELA, QUIRINO</t>
  </si>
  <si>
    <t>BARANGAY LUSOD, MADDELA, QUIRINO</t>
  </si>
  <si>
    <t>BARANGAY POBLACION SOUTH EAST ZONE - LEMERY, ILOILO</t>
  </si>
  <si>
    <t>BARANGAY CITY HEIGHTS, GENERAL SANTOS CITY, SOUTH COTABATO</t>
  </si>
  <si>
    <t>AUTHORITY OF THE FREEPORT AREA OF BATAAN</t>
  </si>
  <si>
    <t>TESDA REGIONAL TRAINING CENTER - DAVAO</t>
  </si>
  <si>
    <t>MUNICIPALITY OF MABINI, BATANGAS</t>
  </si>
  <si>
    <t>MUNICIPALITY OF BASAY, NEGROS ORIENTAL</t>
  </si>
  <si>
    <t>BARANGAY SAPANG, STA. BARBARA, PANGASINAN</t>
  </si>
  <si>
    <t>STA. MARIA WATER DISTRICT</t>
  </si>
  <si>
    <t>MUNICIPALITY OF PAGUDPUD, ILOCOS NORTE</t>
  </si>
  <si>
    <t>BARANGAY CABONG - BUENAVISTA QUEZON</t>
  </si>
  <si>
    <t>MUNICIPALITY OF TAMPAKAN, SOUTH COTABATO</t>
  </si>
  <si>
    <t xml:space="preserve">DEPARTMENT OF PUBLIC WORKS AND HIGHWAYS - NUEVA VIZCAYA 1ST </t>
  </si>
  <si>
    <t>BANI WATER DISTRICT</t>
  </si>
  <si>
    <t>MUNICIPALITY OF IGUIG, CAGAYAN</t>
  </si>
  <si>
    <t>ILOCOS TRAINING AND REGIONAL MEDICAL CENTER</t>
  </si>
  <si>
    <t>NATIONAL PRINTING OFFICE</t>
  </si>
  <si>
    <t>BARANGAY BABAG, CEBU CITY, CEBU</t>
  </si>
  <si>
    <t>MABINI WATER DISTRICT</t>
  </si>
  <si>
    <t>MUNICIPALITY OF BAROTAC NUEVO, ILOILO</t>
  </si>
  <si>
    <t>MUNICIPALITY OF MAHAYAG, ZAMBOANGA DEL SUR</t>
  </si>
  <si>
    <t>MUNICIPALITY OF SAGUDAY, QUIRINO</t>
  </si>
  <si>
    <t>MUNICIPALITY OF MAGSAYSAY, MISAMIS ORIENTAL</t>
  </si>
  <si>
    <t>MAYOR HILARION A. RAMIRO SR. REGIONAL TRNG &amp; TEACHING HOSP.</t>
  </si>
  <si>
    <t>MUNICIPALITY OF TUBAO, LA UNION</t>
  </si>
  <si>
    <t>BARANGAY LAYONG MABILOG - MARAGONDON CAVITE</t>
  </si>
  <si>
    <t>MUNICIPALITY OF TAYSAN, BATANGAS</t>
  </si>
  <si>
    <t>MUNICIPALITY OF DUPAX DEL NORTE, NUEVA VIZCAYA</t>
  </si>
  <si>
    <t>MUNICIPALITY OF KOLAMBUGAN, LANAO DEL NORTE</t>
  </si>
  <si>
    <t>DEPARTMENT OF EDUCATION - REGION VI</t>
  </si>
  <si>
    <t>LEONA DURANO ZAMORA ELEMENTARY SCHOOL - DANAO CITY CEBU</t>
  </si>
  <si>
    <t>BARANGAY VILLAPOGADO, CATAINGAN, MASBATE</t>
  </si>
  <si>
    <t>BARANGAY POBLACION - SOMINOT ZAMBOANGA DEL SUR</t>
  </si>
  <si>
    <t>BARANGAY FREEDOM - CABANGLASAN, BUKIDNON</t>
  </si>
  <si>
    <t>BARANGAY POBLACION, TOLOSA, LEYTE</t>
  </si>
  <si>
    <t>MUNICIPALITY  OF CALAUAN, LAGUNA</t>
  </si>
  <si>
    <t>DEPARTMENT OF HEALTH - NCR REGIONAL OFFICE(DOH-NCRO)</t>
  </si>
  <si>
    <t>BARANGAY BUNGA, MAMBUSAO, CAPIZ</t>
  </si>
  <si>
    <t>MUNICIPALITY OF MAGSINGAL, ILOCOS SUR</t>
  </si>
  <si>
    <t>MUNICIPALITY OF BADIAN, CEBU</t>
  </si>
  <si>
    <t>ENVIRONMENTAL MANAGEMENT BUREAU - REGION II</t>
  </si>
  <si>
    <t>DEPARTMENT OF AGRARIAN REFORM - SULTAN KUDARAT</t>
  </si>
  <si>
    <t>BARANGAY BUNGA - LANUZA SURIGAO DEL SUR</t>
  </si>
  <si>
    <t>MABINI NATIONAL HIGH SCHOOL - JUNIOR HIGH SCHOOL</t>
  </si>
  <si>
    <t>PHILIPPINE RURAL DEVELOPMENT PROJECT-MINDANAO CLUSTER</t>
  </si>
  <si>
    <t>BARANGAY LIGTONG II  - ROSARIO CAVITE</t>
  </si>
  <si>
    <t>BARANGAY GRACEVILLE, SAN JOSE DEL MONTE, BULACAN</t>
  </si>
  <si>
    <t>CITY GOVERNMENT OF NAVOTAS</t>
  </si>
  <si>
    <t>BARANGAY PINEDA, PASIG CITY</t>
  </si>
  <si>
    <t>BARANGAY BUENAVISTA DARAM SAMAR</t>
  </si>
  <si>
    <t>AGUSAN DEL SUR STATE COLLEGE OF AGRICULTURE AND TECHNOLOGY</t>
  </si>
  <si>
    <t>MUNICIPALITY OF BAYOMBONG - NUEVA VISCAYA</t>
  </si>
  <si>
    <t>NEW ORMOC CITY NATIONAL HIGH SCHOOL</t>
  </si>
  <si>
    <t>MUNICIPALITY OF LIBERTAD, ANTIQUE</t>
  </si>
  <si>
    <t>BARANGAY BUHANGIN BUTUAN CITY AGUSAN DEL NORTE</t>
  </si>
  <si>
    <t>NATIONAL FOOD AUTHORITY - REGION VIII</t>
  </si>
  <si>
    <t>KORONADAL WATER DISTRICT</t>
  </si>
  <si>
    <t>SCHOOLS DIVISION OFFICE OF IFUGAO</t>
  </si>
  <si>
    <t>DEPARTMENT OF SOCIAL WELFARE AND DEVELOPMENT - CAR</t>
  </si>
  <si>
    <t>ASSOCIATION OF BARANGAY COUNCIL CEBU CITY</t>
  </si>
  <si>
    <t>BARANGAY ABONG - CARLES,ILOILO</t>
  </si>
  <si>
    <t>BRGY.SAN JUAN ACCFA,CABANATUAN CITY,NUEVA ECIJA</t>
  </si>
  <si>
    <t>DEPARTMENT OF PUBLIC WORKS AND HIGHWAYS - MARINDUQUE DEO</t>
  </si>
  <si>
    <t>MUNICIPALITY OF PIDIGAN, ABRA</t>
  </si>
  <si>
    <t>MUNICIPALITY OF SIBALOM, ANTIQUE</t>
  </si>
  <si>
    <t>BUREAU OF FIRE PROTECTION - REGION X</t>
  </si>
  <si>
    <t>MUNICIPALITY OF SULAT, EASTERN SAMAR</t>
  </si>
  <si>
    <t>MUNICIPALITY OF VICTORIA, TARLAC</t>
  </si>
  <si>
    <t>EASTERN VISAYAS STATE UNIVERSITY-TANAUAN CAMPUS</t>
  </si>
  <si>
    <t>MUNICIPALITY OF SAMPALOC, QUEZON</t>
  </si>
  <si>
    <t>MUNICIPALITY OF LINAMON, LANAO DEL NORTE</t>
  </si>
  <si>
    <t>BARANGAY  LUHONG - ANTIPAS, COTABATO</t>
  </si>
  <si>
    <t>CITY GOVERNMENT OF DASMARIÑAS CAVITE</t>
  </si>
  <si>
    <t>BARANGAY GAHIT, CATAINGAN, MASBATE</t>
  </si>
  <si>
    <t>MUNICIPALITY OF KIBAWE , BUKIDNON</t>
  </si>
  <si>
    <t>TONDO MEDICAL CENTER</t>
  </si>
  <si>
    <t>BARANGAY BALANGOBONG -  ALAMINOS, PANGASINAN</t>
  </si>
  <si>
    <t>PROVINCE OF ZAMBOANGA SIBUGAY</t>
  </si>
  <si>
    <t>BARANGAY SAN JOSE - ALAMINOS, PANGASINAN</t>
  </si>
  <si>
    <t>MUNICIPALITY OF MADALAG, AKLAN</t>
  </si>
  <si>
    <t>BARANGAY BON-OT, CARRASCAL, SURIGAO DEL SUR</t>
  </si>
  <si>
    <t>BARANGAY POBLACION, PINAMUNGAJAN, CEBU</t>
  </si>
  <si>
    <t>MUNICIPALITY OF MABALACAT, PAMPANGA</t>
  </si>
  <si>
    <t>MUNICIPALITY OF  DATU ABDULLAH SANGKI- MAGUINDANAO</t>
  </si>
  <si>
    <t>MUNICIPALITY OF KANANGA, LEYTE</t>
  </si>
  <si>
    <t>TANZA WATER DISTRICT</t>
  </si>
  <si>
    <t>MUNICIPALITY OF BALETE, BATANGAS</t>
  </si>
  <si>
    <t>MUNICIPALITY OF NARRA, PALAWAN</t>
  </si>
  <si>
    <t>MUNICIPALITY OF MAGSAYSAY, OCCIDENTAL MINDORO</t>
  </si>
  <si>
    <t>NATIONAL IRRIGATION ADMINISTRATION - LAMISCA IMO</t>
  </si>
  <si>
    <t>BARANGAY MAGALLANES, MAKATI CITY</t>
  </si>
  <si>
    <t>BARANGAY WEST BALABAG, VALENCIA, NEGROS ORIENTAL</t>
  </si>
  <si>
    <t>BARANGAY NAGSUROT, BURGOS, ILOCOS NORTE</t>
  </si>
  <si>
    <t>BARANGAY SALVACION, PANABO CITY</t>
  </si>
  <si>
    <t>JUSTICE EMILIO ANGELES GANCAYCO MEMORIAL HIGH SCHOOL</t>
  </si>
  <si>
    <t>BARANGAY DORULOMAN ARAKAN COTABATO</t>
  </si>
  <si>
    <t>MUNICIPALITY OF MARILAO, BULACAN</t>
  </si>
  <si>
    <t>BARANGAY CENTRO (SAN JUAN), AGDAO, DAVAO CITY</t>
  </si>
  <si>
    <t>DEPARTMENT OF EDUCATION - REGION VIII</t>
  </si>
  <si>
    <t>MUNICIPAL GOVERNMENT OF PALIMBANG</t>
  </si>
  <si>
    <t>MUNICIPALITY OF MALLIG, ISABELA</t>
  </si>
  <si>
    <t xml:space="preserve">BUREAU OF FISHERIES AND AQUATIC RESOURCES - REGION IV-B </t>
  </si>
  <si>
    <t>DEPARTMENT OF HEALTH - CENTER FOR HEALTH DEVELOPMENT BICOL</t>
  </si>
  <si>
    <t>BARANGAY BATO - GAMAY NORTHERN SAMAR</t>
  </si>
  <si>
    <t>MUNICIPALITY OF SAN BENITO, SURIGAO DEL NORTE</t>
  </si>
  <si>
    <t>BARANGAY MILIGAN, MOLAVE, ZAMBOANGA DEL SUR</t>
  </si>
  <si>
    <t>DEPARTMENT OF AGRARIAN REFORM - CAVITE PROVINCIAL OFFICE</t>
  </si>
  <si>
    <t>BARANGAY YANGTA DARAM SAMAR</t>
  </si>
  <si>
    <t>PROVINCE OF BATANGAS</t>
  </si>
  <si>
    <t>DEPARTMENT OF ENVIRONMENT AND NATURAL RES. - PENRO, ILOILO</t>
  </si>
  <si>
    <t>MUNICIPALITY OF ARGAO, CEBU</t>
  </si>
  <si>
    <t>MUNICIPALITY OF SAN JUAN, ILOCOS SUR</t>
  </si>
  <si>
    <t>MUNICIPALITY OF PURA, TARLAC</t>
  </si>
  <si>
    <t>ENVIRONMENTAL MANAGEMENT BUREAU - REGION III</t>
  </si>
  <si>
    <t>BARANGAY CABID-AN, SORSOGON CITY</t>
  </si>
  <si>
    <t>MUNICIPALITY OF MOGPOG, MARINDUQUE</t>
  </si>
  <si>
    <t>ENVIRONMENTAL MANAGEMENT BUREAU REGION VI</t>
  </si>
  <si>
    <t>DEPARTMENT OF PUBLIC WORKS AND HIGHWAYS - QUEZON CITY 1ST ED</t>
  </si>
  <si>
    <t>MUNICIPALITY OF MERCEDES, CAMARINES NORTE</t>
  </si>
  <si>
    <t>TECHNOLOGICAL UNIVERSITY OF THE PHILIPPINES VISAYAS</t>
  </si>
  <si>
    <t>PEDRO PITOGO ELEMENTARY SCHOOL</t>
  </si>
  <si>
    <t>CENTER FOR HEALTH DEVELOPMENT - REGION IV-B (MIMAROPA)</t>
  </si>
  <si>
    <t>BARANGAY TUBIGAGMANOK, ASTURIAS, CEBU</t>
  </si>
  <si>
    <t>MUNICIPALITY OF LAPUYAN, ZAMBOANGA DEL SUR</t>
  </si>
  <si>
    <t>NATIONAL FOOD AUTHORITY - NCR</t>
  </si>
  <si>
    <t>MUNICIPALITY OF DAUIN, NEGROS ORIENTAL</t>
  </si>
  <si>
    <t>MUNICIPALITY LINAPACAN, PALAWAN</t>
  </si>
  <si>
    <t>MUNICIPALITY OF ENRILE, CAGAYAN</t>
  </si>
  <si>
    <t>ENVIRONMENTAL MANAGEMENT BUREAU - REGION VIII</t>
  </si>
  <si>
    <t>PHILIPPINE AIR FORCE</t>
  </si>
  <si>
    <t>MUNICIPALITY OF MALINAO, AKLAN</t>
  </si>
  <si>
    <t>MUNICIPALITY OF LEYTE, LEYTE</t>
  </si>
  <si>
    <t>MUNICIPALITY OF DATU BLAH T. SINSUAT - UPI MAGUINDANAO</t>
  </si>
  <si>
    <t>DEPARTMENT OF PUBLIC WORKS AND HIGHWAYS - PALAWAN 3RD DEO</t>
  </si>
  <si>
    <t>BARANGAY STA. ISABEL, STA. JOSEFA, AGUSAN DEL SUR</t>
  </si>
  <si>
    <t>BARANGAY CATUGAY, BAGGAO, CAGAYAN</t>
  </si>
  <si>
    <t>MUNICIPALITY OF RIZAL,PALAWAN</t>
  </si>
  <si>
    <t>BARANGAY TOYUNGAN - CALINOG ILOILO</t>
  </si>
  <si>
    <t>BARANGAY DALIN, BAGGAO, CAGAYAN</t>
  </si>
  <si>
    <t>MUNICIPALITY OF GLORIA, ORIENTAL MINDORO</t>
  </si>
  <si>
    <t>MUNICIPALITY OF KASIBU, NUEVA VIZCAYA</t>
  </si>
  <si>
    <t>DAGUPAN CITY WATER DISTRICT</t>
  </si>
  <si>
    <t>MUNICIPALITY OF BALANGKAYAN, EASTERN SAMAR</t>
  </si>
  <si>
    <t>LAND TRANSPORTATION AND FRANCHISING REGULATORY BOARD - MAIN</t>
  </si>
  <si>
    <t>BARANGAY LANDUSAN - CAPUL NORTHERN SAMAR</t>
  </si>
  <si>
    <t>BARANGAY BUENAVISTA, PURA, TARLAC</t>
  </si>
  <si>
    <t>MUNICIPALITY OF LABO, CAMARINES NORTE</t>
  </si>
  <si>
    <t>MUNICIPALITY OF CORELLA, BOHOL</t>
  </si>
  <si>
    <t>BARANGAY KAHAPONAN, VALENCIA CITY</t>
  </si>
  <si>
    <t>BARANGAY LISAP, BONGABONG, ORIENTAL MINDORO</t>
  </si>
  <si>
    <t>DEPARTMENT OF PUBLIC WORKS AND HIGHWAYS - CEBU 2ND DEO</t>
  </si>
  <si>
    <t>DEPARTMENT OF PUBLIC WORKS AND HIGHWAYS - LAGUNA III DISTRIC</t>
  </si>
  <si>
    <t>FRANCES NATIONAL HIGH SCHOOL - CALUMPIT BULACAN</t>
  </si>
  <si>
    <t>MUNICIPALITY OF LINGIG, SURIGAO DEL SUR</t>
  </si>
  <si>
    <t>UNIVERSITY OF RIZAL SYSTEM</t>
  </si>
  <si>
    <t>MUNICIPALITY OF PANGANIBAN, CATANDUANES</t>
  </si>
  <si>
    <t>ESCOLASTICA ELEMENTARY SCHOOL</t>
  </si>
  <si>
    <t>MUNICIPALITY OF SIBULAN, NEGROS ORIENTAL</t>
  </si>
  <si>
    <t>BARANGAY CATULIN -  BUENAVISTA QUEZON</t>
  </si>
  <si>
    <t>BARANGAY RIZAL, PALOMPON, LEYTE</t>
  </si>
  <si>
    <t>BARANGAY CENTRAL 3, PALOMPON, LEYTE</t>
  </si>
  <si>
    <t>BARANGAY MALOLOY-ON, MOLAVE, ZAMBOANGA DEL SUR</t>
  </si>
  <si>
    <t>CENTER FOR HEALTH DEVELOPMENT - REGION III</t>
  </si>
  <si>
    <t>MUNICIPALITY OF QUIRINO, ISABELA</t>
  </si>
  <si>
    <t>MUNICIPALITY OF AGONCILLO, BATANGAS</t>
  </si>
  <si>
    <t>DEPARTMENT OF PUBLIC WORKS AND HIGHWAYS - LAGUNA II DEO</t>
  </si>
  <si>
    <t>BARANGAY LOWER BICUTAN, TAGUIG CITY</t>
  </si>
  <si>
    <t>BARANGAY SANDOVAL, TAYTAY, PALAWAN</t>
  </si>
  <si>
    <t>BARANGAY MASAPANG, VICTORIA, LAGUNA</t>
  </si>
  <si>
    <t>BUREAU OF INTERNAL REVENUE - REVENUE REGION NO. 9B-LAQUEMAR</t>
  </si>
  <si>
    <t>BARANGAY MACABUG, AROROY, MASBATE</t>
  </si>
  <si>
    <t>DEPARTMENT OF PUBLIC WORKS AND HIGHWAYS - MISAMIS OCCIDENTAL</t>
  </si>
  <si>
    <t>MUNICIPALITY OF LUNA, ISABELA</t>
  </si>
  <si>
    <t>MUNICIPALITY OF ALIMODIAN, ILOILO</t>
  </si>
  <si>
    <t>MUNICIPALITY OF LALA,  LANAO DEL NORTE</t>
  </si>
  <si>
    <t>PHILIPPINE AMUSEMENT AND GAMING CORPORATION-BACOLOD</t>
  </si>
  <si>
    <t>MATI WATER DISTRICT</t>
  </si>
  <si>
    <t>NATIONAL IRRIGATION ADMINISTRATION - AKLAN</t>
  </si>
  <si>
    <t>MUNICIPALITY OF  PANAON, MISAMIS OCCIDENTAL</t>
  </si>
  <si>
    <t>PHILIPPINE PORTS AUTHORITY - PMO ILIGAN</t>
  </si>
  <si>
    <t>MUNICIPALITY OF LEMERY, ILOILO</t>
  </si>
  <si>
    <t>POLANCO WATER DISTRICT</t>
  </si>
  <si>
    <t>MUNICIPALITY OF SALLAPADAN, ABRA</t>
  </si>
  <si>
    <t>CALABANGA WATER DISTRICT</t>
  </si>
  <si>
    <t>MUNICIPALITY OF TUBLAY, BENGUET</t>
  </si>
  <si>
    <t>MUNICIPALITY OF SOLSONA, ILOCOS NORTE</t>
  </si>
  <si>
    <t>NATIONAL IRRIGATION ADMINISTRATION - LEYTE IMO</t>
  </si>
  <si>
    <t>DEPARTMENT OF EDUCATION - DIVISION OF GUIMARAS</t>
  </si>
  <si>
    <t>DEPARTMENT OF SOCIAL WELFARE AND DEVELOPMENT - REGION II</t>
  </si>
  <si>
    <t>PHILIPPINE PORTS AUTHORITY - PMO WESTERN LEYTE/BILIRAN</t>
  </si>
  <si>
    <t>PHILIPPINE NATIONAL POLICE - REGION VII</t>
  </si>
  <si>
    <t>MUNICIPALITY OF NUEVA ERA, ILOCOS NORTE</t>
  </si>
  <si>
    <t>BARANGAY CAWAYAN (EXTENSION) - MASBATE CITY</t>
  </si>
  <si>
    <t>BARANGAY BABUYAN, PUERTO PRINCESA CITY, PALAWAN</t>
  </si>
  <si>
    <t>MUNICIPALITY OF LORETO, AGUSAN DEL SUR</t>
  </si>
  <si>
    <t>COTABATO SANITARIUM</t>
  </si>
  <si>
    <t>MUNICIPALITY OF KABACAN, COTABATO</t>
  </si>
  <si>
    <t>DANGEROUS DRUGS BOARD</t>
  </si>
  <si>
    <t>MUNICIPALITY OF SIGAY, ILOCOS SUR</t>
  </si>
  <si>
    <t>BUREAU OF FIRE PROTECTION - REGION XII</t>
  </si>
  <si>
    <t>BARANGAY MANAUL, MANSALAY, ORIENTAL MINDORO</t>
  </si>
  <si>
    <t>DEPARTMENT OF EDUCATION - DIVISION OF ANTIQUE</t>
  </si>
  <si>
    <t>BARANGAY SILAWE, POLANCO, ZAMBOANGA DEL NORTE</t>
  </si>
  <si>
    <t>PHILIPPINE AMUSEMENT AND GAMING CORPORATION - ILOCOS NORTE</t>
  </si>
  <si>
    <t>MUNICIPALITY OF GAMU, ISABELA</t>
  </si>
  <si>
    <t>DEPARTMENT OF PUBLIC WORKS AND HIGHWAYS - MIS. OCC. SUB-DEO</t>
  </si>
  <si>
    <t>MUNICIPALITY OF LILOY, ZAMBOANGA DEL NORTE</t>
  </si>
  <si>
    <t>BARANGAY NEW LAWAAN - M'LANG COTABATO</t>
  </si>
  <si>
    <t>PNOC EXPLORATION CORPORATION - TAGUIG CITY</t>
  </si>
  <si>
    <t>MUNICIPALITY OF CAGDIANAO, DINAGAT ISLAND</t>
  </si>
  <si>
    <t>BARANGAY OWAK, ASTURIAS, CEBU</t>
  </si>
  <si>
    <t>MUNICIPALITY OF SANTA, ILOCOS SUR</t>
  </si>
  <si>
    <t>MUNICIPALITY OF PEREZ, QUEZON</t>
  </si>
  <si>
    <t>BARANGAY TUBAC MUTIA ZAMBOANGA DEL NORTE</t>
  </si>
  <si>
    <t>MUNICIPALITY OF MALALAG, DAVAO DEL SUR</t>
  </si>
  <si>
    <t>BARANGAY CENTRO 11 - TUGUEGARAO CITY</t>
  </si>
  <si>
    <t>BARANGAY TAGBONGABONG - R.T. ROMUALDEZ, AGUSAN DEL NORTE</t>
  </si>
  <si>
    <t>BARANGAY PITOGO, CATAINGAN, MASBATE</t>
  </si>
  <si>
    <t>MUNICIPALITY OF QUEZON, ISABELA</t>
  </si>
  <si>
    <t>BARANGAY PINPIN, TUBOD, LANAO DEL NORTE</t>
  </si>
  <si>
    <t>MUNICIPALITY OF MARIA AURORA, AURORA</t>
  </si>
  <si>
    <t>MUNICIPALITY OF PONTEVEDRA, CAPIZ</t>
  </si>
  <si>
    <t>BARANGAY TUGAS - LEMERY,ILOILO</t>
  </si>
  <si>
    <t>MUNICIPALITY OF CALUBIAN, LEYTE</t>
  </si>
  <si>
    <t>DEPARTMENT OF PUBLIC WORKS AND HIGHWAYS - CAGAYAN 1ST DEO</t>
  </si>
  <si>
    <t>PROVINCE OF MOUNTAIN PROVINCE</t>
  </si>
  <si>
    <t>BARANGAY 19-B, DAVAO CITY</t>
  </si>
  <si>
    <t>NAVAL INSTITUTE OF TECHNOLOGY</t>
  </si>
  <si>
    <t>INSTITUTE FOR LABOR STUDIES - MANILA METRO MANILA</t>
  </si>
  <si>
    <t>BARANGAY SUNGGIAM - ILOCOS SUR</t>
  </si>
  <si>
    <t>BARANGAY RIZAL - JIMENEZ MISAMIS OCCIDENTAL</t>
  </si>
  <si>
    <t>BARANGAY IV-C, SAN PABLO CITY</t>
  </si>
  <si>
    <t>ENVIRONMENTAL MANAGEMENT BUREAU - REGION VII</t>
  </si>
  <si>
    <t>BARANGAY PARI-AN - ENRIQUE VILLANUEVA SIQUIJOR</t>
  </si>
  <si>
    <t>MUNICIPALITY OF CARMEN COTABATO</t>
  </si>
  <si>
    <t>BARANGAY SAN ISIDRO, SORSOGON CITY</t>
  </si>
  <si>
    <t>BARANGAY BALISONG, ARGAO, CEBU</t>
  </si>
  <si>
    <t>COMMISSION ON APPOINTMENTS</t>
  </si>
  <si>
    <t>BARANGAY BALZAIN WEST - TUGUEGARAO CITY, CAGAYAN</t>
  </si>
  <si>
    <t>MUNICIPALITY OF JAVIER, LEYTE</t>
  </si>
  <si>
    <t>DR. JOSE FABELLA MEMORIAL HOSPITAL</t>
  </si>
  <si>
    <t>106TH CONTRACTING OFFICE, AFP PROCUREMENT SERVICE</t>
  </si>
  <si>
    <t xml:space="preserve">DEPARTMENT OF PUBLIC WORKS AND HIGHWAYS - ZAMBOANGA DEL SUR </t>
  </si>
  <si>
    <t>MUNICIPALITY OF PAGSANGHAN, SAMAR</t>
  </si>
  <si>
    <t>MUNICIPALITY OF VIGA, CATANDUANES</t>
  </si>
  <si>
    <t>MUNICIPALITY OF MANAPLA, NEGROS OCCIDENTAL</t>
  </si>
  <si>
    <t>MUNICIPALITY OF GAMAY, NORTHERN SAMAR</t>
  </si>
  <si>
    <t>BARANGAY BANGON - PINABACDAO SAMAR</t>
  </si>
  <si>
    <t>NATIONAL TOBACCO ADMINISTRATION</t>
  </si>
  <si>
    <t>BARANGAY PALIPARAN III - DASMARIÑAS CITY CAVITE</t>
  </si>
  <si>
    <t>MUNICIPALITY OF KINOGUITAN , MISAMIS ORIENTAL</t>
  </si>
  <si>
    <t>MUNICIPALITY OF DIFFUN, QUIRINO</t>
  </si>
  <si>
    <t>BARANGAY SINONOC, SINACABAN, MISAMIS OCCIDENTAL</t>
  </si>
  <si>
    <t>MUNICIPALITY OF STA. MARIA, PANGASINAN</t>
  </si>
  <si>
    <t>MUNICIPALITY OF CABANGLASAN, BUKIDNON</t>
  </si>
  <si>
    <t>MUNICIPALITY OF USON, MASBATE</t>
  </si>
  <si>
    <t>MUNICIPALITY OF SAMBOAN, CEBU</t>
  </si>
  <si>
    <t>MUNICIPALITY OF INOPACAN, LEYTE</t>
  </si>
  <si>
    <t>PHILIPPINE NORMAL UNIVERSITY</t>
  </si>
  <si>
    <t>BARANGAY NBBS DAGAT-DAGATAN NAVOTAS CITY METRO MANILA</t>
  </si>
  <si>
    <t xml:space="preserve">CADIZ EAST ELEMENTARY SCHOOL </t>
  </si>
  <si>
    <t>MUNICIPALITY OF BINALBAGAN, NEGROS OCCIDENTAL</t>
  </si>
  <si>
    <t>BARANGAY STO. NINO - QUINAPONDAN EASTERN SAMAR</t>
  </si>
  <si>
    <t>BALAYAN WATER DISTRICT</t>
  </si>
  <si>
    <t>BARANGAY PAPPAT - ANGADANAN ISABELA</t>
  </si>
  <si>
    <t>BARANGAY TUBOD SAN JUAN SIQUIJOR</t>
  </si>
  <si>
    <t>SAGAY WATER DISTRICT</t>
  </si>
  <si>
    <t>NATIONAL FOOD AUTHORITY - REGION I</t>
  </si>
  <si>
    <t>DEPARTMENT OF PUBLIC WORKS AND HIGHWAYS - SULTAN KUDARAT 1ST</t>
  </si>
  <si>
    <t>NATIONAL DAIRY AUTHORITY</t>
  </si>
  <si>
    <t>FOREST MANAGEMENT BUREAU ,DENR</t>
  </si>
  <si>
    <t>MINISTRY OF SOCIAL SERVICES, BARMM</t>
  </si>
  <si>
    <t>CITY OF TAGAYTAY, CAVITE</t>
  </si>
  <si>
    <t>MUNICIPALITY OF ALLEN, NORTHERN SAMAR</t>
  </si>
  <si>
    <t>NATIONAL BUREAU OF INVESTIGATION</t>
  </si>
  <si>
    <t>MUNICIPALITY OF VERUELA, AGUSAN DEL SUR</t>
  </si>
  <si>
    <t>MUNICIPALITY OF BALENO, MASBATE</t>
  </si>
  <si>
    <t>UNIVERSITY OF ANTIQUE</t>
  </si>
  <si>
    <t>UNIVERSITY OF ANTIQUE - TARIO-LIM MEMORIAL CAMPUS</t>
  </si>
  <si>
    <t>SULTAN KUDARAT STATE UNIVERSITY</t>
  </si>
  <si>
    <t>BARANGAY AMAGBAGAN, POZORRUBIO, PANGASINAN</t>
  </si>
  <si>
    <t>MUNICIPALITY OF DAPA, SURIGAO DEL NORTE</t>
  </si>
  <si>
    <t>MUNICIPALITY OF CALANASAN, APAYAO</t>
  </si>
  <si>
    <t>MUNICIPALITY OF NAGBUKEL, ILOCOS SUR</t>
  </si>
  <si>
    <t>BARANGAY GASANG, MABINI, BATANGAS</t>
  </si>
  <si>
    <t>BUREAU OF FIRE PROTECTION - NATIONAL HEADQUARTERS</t>
  </si>
  <si>
    <t>MUNICIPALITY OF PAVIA, ILOILO</t>
  </si>
  <si>
    <t>BARANGAY BULACAN, MABINI, BATANGAS</t>
  </si>
  <si>
    <t>MARAMAG WATER DISTRICT</t>
  </si>
  <si>
    <t>PROVINCE OF ROMBLON</t>
  </si>
  <si>
    <t>DEPARTMENT OF TRADE AND INDUSTRY - CAR</t>
  </si>
  <si>
    <t>MUNICIPALITY OF CAJIDIOCAN, ROMBLON</t>
  </si>
  <si>
    <t>MUNICIPALITY OF BALO-I, LANAO DEL NORTE</t>
  </si>
  <si>
    <t>MUNICIPALITY OF QUEZON, PALAWAN</t>
  </si>
  <si>
    <t>MUNICIPALITY OF BANAYOYO, ILOCOS SUR</t>
  </si>
  <si>
    <t>BARANGAY LOWER DIMOROK - MOLAVE ZAMBOANGA DEL SU</t>
  </si>
  <si>
    <t>PHILIPPINE HEALTH INSURANCE CORPORATION - REGION VIII</t>
  </si>
  <si>
    <t>BARANGAY CONAYNAY, SANTA BARBARA, ILOILO</t>
  </si>
  <si>
    <t>DEPARTMENT OF SCIENCE AND TECHNOLOGY - REGION V</t>
  </si>
  <si>
    <t>DEPARTMENT OF PUBLIC WORKS AND HIGHWAYS - CEBU 6TH DEO</t>
  </si>
  <si>
    <t>MUNICIPALITY OF ARACELI, PALAWAN</t>
  </si>
  <si>
    <t>LIGA NG MGA BARANGAY, MAGSINGAL, ILOCOS SUR CHAPTER</t>
  </si>
  <si>
    <t>DEPARTMENT OF ENVIRONMENT AND NATURAL RESOURCES - COMPOSTELA</t>
  </si>
  <si>
    <t>BARANGAY WACK-WACK GREENHILLS EAST,</t>
  </si>
  <si>
    <t>DEPARTMENT OF AGRARIAN REFORM - MISAMIS ORIENTAL</t>
  </si>
  <si>
    <t>PHILIPPINE SCIENCE HIGH SCHOOL - REGION XI</t>
  </si>
  <si>
    <t>BARANGAY DALAOIG, ALCALA, CAGAYAN</t>
  </si>
  <si>
    <t>BOHOL ISLAND STATE UNIVERSITY - CLARIN CAMPUS</t>
  </si>
  <si>
    <t>BARANGAY TALOTO-AN, CONCEPCION, ILOILO</t>
  </si>
  <si>
    <t>MUNICIPALITY OF SIRAWAI, ZAMBOANGA DEL NORTE</t>
  </si>
  <si>
    <t>DEPARTMENT OF EDUCATION - DIVISION OF CALAMBA CITY</t>
  </si>
  <si>
    <t>PILI INTEGRATED SCHOOL - DANAO CITY CEBU</t>
  </si>
  <si>
    <t>SOUTHERN LEYTE STATE UNIVERSITY - TOMAS OPPUS</t>
  </si>
  <si>
    <t>UNIVERSITY OF THE PHILIPPINES - CEBU</t>
  </si>
  <si>
    <t>PHILIPPINE AMUSEMENT AND GAMING CORPORATION-ANGELES</t>
  </si>
  <si>
    <t>CABIAO NATIONAL HIGH SCHOOL - CABIAO NUEVA ECIJA</t>
  </si>
  <si>
    <t>CITY OF SANTA ROSA, LAGUNA</t>
  </si>
  <si>
    <t>PHILIPPINE AMUSEMENT AND GAMING CORPORATION-DAVAO</t>
  </si>
  <si>
    <t>DEPARTMENT OF EDUCATION - DIVISION OF LANAO DEL NORTE</t>
  </si>
  <si>
    <t>NATIONAL HOUSING AUTHORITY REGION 4 - QUEZON CITY METRO MANI</t>
  </si>
  <si>
    <t>TALISAY DISTRICT HOSPITAL</t>
  </si>
  <si>
    <t>BARANGAY CATO-OGAN TOBIAS FORNIER ANTIQUE</t>
  </si>
  <si>
    <t>SAN FRANCISCO WATER DISTRICT</t>
  </si>
  <si>
    <t>BARANGAY SAN JUAN, AGOO, LA UNION</t>
  </si>
  <si>
    <t>PROVINCE OF BASILAN</t>
  </si>
  <si>
    <t>CREDIT INFORMATION CORPORATION</t>
  </si>
  <si>
    <t>MUNICIPALITY OF SAN VICENTE, ILOCOS SUR</t>
  </si>
  <si>
    <t>ABRA STATE INSTITUTE OF SCIENCES AND TECHNOLOGY - BANGUED</t>
  </si>
  <si>
    <t>BARANGAY KATIPUNAN, SINACABAN, MISAMIS OCCIDENTAL</t>
  </si>
  <si>
    <t>DEPARTMENT OF SCIENCE AND TECHNOLOGY - CAR</t>
  </si>
  <si>
    <t>PHILIPPINE INSTITUTE OF VOLCANOLOGY AND SEISMOLOGY</t>
  </si>
  <si>
    <t>MUNICIPALITY OF TIGAON, CAMARINES SUR</t>
  </si>
  <si>
    <t>MUNICIPALITY OF TABOGON, CEBU</t>
  </si>
  <si>
    <t>BARANGAY IGBON, CONCEPCION, ILOILO</t>
  </si>
  <si>
    <t>COMPOSTELA WATER DISTRICT</t>
  </si>
  <si>
    <t>MUNICIPALITY OF MAASIN, ILOILO</t>
  </si>
  <si>
    <t>MUNICIPALITY OF GUIMBAL, ILOILO</t>
  </si>
  <si>
    <t>PARTIDO STATE UNIVERSITY - GOA CAMPUS</t>
  </si>
  <si>
    <t>BARANGAY DAS, TOLEDO CITY</t>
  </si>
  <si>
    <t>MUNICIPALITY OF STA. FE, LEYTE</t>
  </si>
  <si>
    <t>MUNICIPALITY OF ISABEL, LEYTE</t>
  </si>
  <si>
    <t>BARANGAY TUNGONAN</t>
  </si>
  <si>
    <t>CITY OF GENERAL TRIAS, CAVITE</t>
  </si>
  <si>
    <t>CIVIL SERVICE COMMISSION - REGION IV</t>
  </si>
  <si>
    <t>ESTABLISHMENT OF AGRICULTURE INNOVATION CENTER FOR AGRI-FISHERY-LIVESTOCK AT ILOCOS SUR POLYTECHNIC STATE COLLEGE</t>
  </si>
  <si>
    <t>SUPPLY AND DELIVERY OF OFFICE SUPPLIES</t>
  </si>
  <si>
    <t>Procurement of Office Supplies</t>
  </si>
  <si>
    <t>Construction of Multi Purpose Hall</t>
  </si>
  <si>
    <t>Invitation to Bid</t>
  </si>
  <si>
    <t>UPGRADING OF SAN JUAN - TINEG ROAD</t>
  </si>
  <si>
    <t>20CSZ017-Consulting Services for the Design Review/Construction Supervision of the Ambal-Simuay River and Rio Grande De Mindanao River Flood Control Projects Package 1 and Package 2</t>
  </si>
  <si>
    <t>ESTABLISHMENT OF TISSUE CULTURE LABORATORY</t>
  </si>
  <si>
    <t>PROCUREMENT OF OFFICE SUPPLY AND OTHER SUPPLIES FOR 2ND QUARTER FOR HCGLSC AND ITS SUB UNITS</t>
  </si>
  <si>
    <t>UPGRADING OF PASOIC – LICUAN-BAAY ROAD</t>
  </si>
  <si>
    <t>INVITATION TO BID FOR 24-HOUR SECURITY SERVICE FOR INTER-COUNTRY ADOPTION BOARD</t>
  </si>
  <si>
    <t>4	units	Powered Speaker (portable), etc. PR # 469-20</t>
  </si>
  <si>
    <t>CONSTRUCTION OF RADIO TOWER</t>
  </si>
  <si>
    <t>INVITATION FOR NEGOTIATED PROCUREMENT CONSTRUCTION OF MULTI-PURPOSE DAY HALL  CENTER AT SITIO TAGBANAHAW,PM SOBRECAREY, CARAGA,DAVAO ORIENTAL</t>
  </si>
  <si>
    <t>Supply and Delivery of Digital Photocopier Machines for Tubigon West District Schools</t>
  </si>
  <si>
    <t>ONE (1) LOT PROCUREMENT OF FUEL, LUBES AND OTHER PRODUCTS/SERVICES FOR CY 2020 OF PRO VI</t>
  </si>
  <si>
    <t>1	unit	6-Wheeler Brand New DUMPTRUCK, PR # 185-20</t>
  </si>
  <si>
    <t>Solar Powered / Street Lights Installation in all Accident Prone Areas at Municipalwide, Aritao, Nueva Vizcaya</t>
  </si>
  <si>
    <t>Purchase of Goods/Materials for Improvement and Rehabilitation of Material Recovery Facility (Re-Bid)</t>
  </si>
  <si>
    <t>020-GOODS-054 / GENERAL MERCHANDISE</t>
  </si>
  <si>
    <t>Supply and Delivery of Communication Equipment Parts and Accessories (NCEBde)</t>
  </si>
  <si>
    <t>SUPPLY &amp; DELIVERY OF MEDICAL SUPPLIES (MDRRMO)</t>
  </si>
  <si>
    <t>14000	ltrs.	Diesel, etc. PR # 519-20</t>
  </si>
  <si>
    <t>Improvement of Bongbong Multi-purpose Hall (Re-Bid)</t>
  </si>
  <si>
    <t>Concreting of Road at New Public Cemetery</t>
  </si>
  <si>
    <t>Supply and Delivery of Customized Polo Shirt</t>
  </si>
  <si>
    <t>Supply and Delivery of Other Supplies and Materials (NCEBde)</t>
  </si>
  <si>
    <t>Supply and Delivery of Grocery Items (NCEBde)</t>
  </si>
  <si>
    <t>FOR UNIVERSITY PRESIDENT'S OFFICE at CARIG CAMPUS</t>
  </si>
  <si>
    <t>Supply and Delivery of Water Crafts Parts and Materials (NCEBde)</t>
  </si>
  <si>
    <t>Supply and Delivery of Technical and Scientific Equipment (NCEBde)</t>
  </si>
  <si>
    <t>Supply and Delivery of Grocery Items (NISF)</t>
  </si>
  <si>
    <t>Supply and Delivery of Motor Vehicles Parts and Accessories (PMC)</t>
  </si>
  <si>
    <t>Supply &amp; Delivery of Medical Supplies</t>
  </si>
  <si>
    <t>Construction of six (6) – Rooms Office Building</t>
  </si>
  <si>
    <t>FURNISHING OF LABOR and MATERIALS for the REHABILITATION/IMPROVEMENT OF WATER SYSTEM</t>
  </si>
  <si>
    <t>20,000	pcs.	CHB 4", etc. PR # 291-20</t>
  </si>
  <si>
    <t>Supply and Delivery of Construction &amp; Heavy Equipment Parts and Accessories (NCEBDE)</t>
  </si>
  <si>
    <t>Supply and Delivery of Other Supplies and Materials (NISF)</t>
  </si>
  <si>
    <t>ADDITONAL CONCRETING OF BRGY. SPORT PLAZA (S.K FUND)</t>
  </si>
  <si>
    <t>Supply and Delivery of Medical, Dental and Laboratory Supplies (NCEBde)</t>
  </si>
  <si>
    <t>Supply and Delivery of Other Machinery and Equipment Parts and Accessories (NCEBde)</t>
  </si>
  <si>
    <t>IMPROVEMENT OF SAN MIGUEL PUBLIC MARKET</t>
  </si>
  <si>
    <t>HMO-ICT EQUIPMENT</t>
  </si>
  <si>
    <t>SMH-FOOD STUFF</t>
  </si>
  <si>
    <t>NBC-0620-170</t>
  </si>
  <si>
    <t>Supply and Delivery of Other Supplies and Materials (PMC)</t>
  </si>
  <si>
    <t>PGO-EXEC-RICE</t>
  </si>
  <si>
    <t>PURCHASE OF LUBRICANTS FOR THE MAINTENANCE OF VARIOUS HEAVY EQUIPMENT FOR ROAD REHABILITATION OF 22 BARANGAYS</t>
  </si>
  <si>
    <t>Supply and Delivery of Training Supplies (PMC)</t>
  </si>
  <si>
    <t>Supply and delivery of Construction Supplies &amp; Materials (OMPDC)</t>
  </si>
  <si>
    <t>PGO-CELLCARDS</t>
  </si>
  <si>
    <t>CONSOLIDATED-OFFICE SUPPLIES</t>
  </si>
  <si>
    <t>14000	ltrs.	Diesel, etc. PR # 536-20</t>
  </si>
  <si>
    <t>Procurement of gemelina and coco lumber or equivalent-20-C0701/B-20-0202</t>
  </si>
  <si>
    <t>Concreting of Local Access Road (Phase 2), Purok 5 &amp; 6, Brgy. Mabilang, Paniqui, Tarlac</t>
  </si>
  <si>
    <t>Procurement of 2 sets Track link # 180-20-35-8-6-53 (for EIK)-B-20-0205</t>
  </si>
  <si>
    <t>Procurement of (Reinforced Concrete Pipe Culvert) 700 pcs. RCPC, 1220mm dia &amp; 700 pcs. RCPC 910mm dia-B-20-0204</t>
  </si>
  <si>
    <t>SUPPLY &amp; DELIVERY OF GENERAL MERCHANDISE</t>
  </si>
  <si>
    <t>Procurement of the following service vehicles-B-20-0203</t>
  </si>
  <si>
    <t>Procurement of construction supplies-20-C0700/B-20-0201</t>
  </si>
  <si>
    <t>Supply &amp; Delivery of Construction/Electrical Materials</t>
  </si>
  <si>
    <t>Procurement of 1 unit brass, Davao de Oro Logo and 150 pcs. pin logo-20-C0705/B-20-0200</t>
  </si>
  <si>
    <t>Procurement of 1 unit deck cover-20-4699/B-20-0199</t>
  </si>
  <si>
    <t>Procurement of Fertilizers-20-4450/B-20-0193-Rebid</t>
  </si>
  <si>
    <t>Concreting of Local Access Road (Phase 2), Purok 2, Brgy. Brillante, Paniqui, Tarlac</t>
  </si>
  <si>
    <t>3ACGM2020A-04 Other Supplies &amp; Materials Expenses</t>
  </si>
  <si>
    <t>3ACGM2020A-03 Food Supplies</t>
  </si>
  <si>
    <t>Aquaculture Lab Kit - CapSU Central</t>
  </si>
  <si>
    <t>INVITATION TO BID REPAIR OF SUPPLY BUILDI</t>
  </si>
  <si>
    <t>CONSTRUCTION OF BARANGAY MRF - PHASE 3</t>
  </si>
  <si>
    <t>20CSFO02 - Sub-Soil Analysis and Exploration for Various Proposed Bridge Projects within Albay 3rd LD</t>
  </si>
  <si>
    <t>CONSTRUCTION OF ONE UNIT SINGLE BARREL BOX CULVERT</t>
  </si>
  <si>
    <t>Procurement of Laboratory Supplies for Instructional &amp; Laboratory use of CAFF (Repost) (ABC: PhP241,700.00, QTY: 2585.5)</t>
  </si>
  <si>
    <t>Proposed Perimeter Fence at Mandaue City Jail (revised) Basak, Mandaue City (23-2020)</t>
  </si>
  <si>
    <t>Purchase of Office Supplies and Materials</t>
  </si>
  <si>
    <t>Purchase of Hygiene Kits</t>
  </si>
  <si>
    <t>PURCHASE OF 1 UNIT AMBULANCE</t>
  </si>
  <si>
    <t>Purchase of Food-Aid to Youth Affected by COVID-19</t>
  </si>
  <si>
    <t>Procurement of Office Supplies for the Division Office use.</t>
  </si>
  <si>
    <t>Procurement of School and Office Supply</t>
  </si>
  <si>
    <t>Proposed Const. of Perimeter Fence, Tabok Elem. School II, Tabok, Mandaue City (22-2020)</t>
  </si>
  <si>
    <t>Purchase of PPE, Isolation Building Equipment and Supplies, Testing Kits and Medicines (Lot   II Only)</t>
  </si>
  <si>
    <t>PROJECT: PURCHASE OF LABORATORY SUPPLIES</t>
  </si>
  <si>
    <t>PROCUREMENT OF CONSTRUCTION SUPPLIES AND MATERIALS FOR THE CONCRETING OF BARANGAY ROAD (240 SQ.M.) @ BLOCK 5B</t>
  </si>
  <si>
    <t>PROCUREMENT OF DENTAL EQUIPMENT</t>
  </si>
  <si>
    <t>For Negosyo Center Baganga, Davao Oriental</t>
  </si>
  <si>
    <t>1.CONSTRUCTTION OF DEEPWELL/PUMP (BRGY. MATUBINAO) 2.CONSTRUCTTION OF DEEPWELL/PUMP (BRGY. CAGBATANG) 3.CONSTRUCTTION OF DEEPWELL/PUMP (BRGY. OSMENA) 4.CONSTRUCTTION OF DEEPWELL/PUMP (BRGY. CURVADA) 5</t>
  </si>
  <si>
    <t>procurement of  1,500 pcs  N95</t>
  </si>
  <si>
    <t>Job Order: Labor and Materials for the printing of 2,000 copies Damag-Agri 3rd &amp; 4th Quarter Issue 2020</t>
  </si>
  <si>
    <t>CONSTRUCTION OF PATHWAYS AT SITIO BUROL BRGY. TEJEROS CONVENTION , ROSARIO, CAVITE</t>
  </si>
  <si>
    <t>PROCUREMENT OF CONSTRUCTION SUPPLIES AND MATERIALS FOR THE CONCRETING OF BARANGAY ROAD (640 SQ.M.) @ BLOCK 5A</t>
  </si>
  <si>
    <t>For Negosyo Center Operations of DTI-Davao Oriental.</t>
  </si>
  <si>
    <t>IMPROVEMENT OF PARKS AND PLAZA (PROCUREMENT OF PLAYGROUND EQUIPMENTS)</t>
  </si>
  <si>
    <t>Furnishing of construction materials for Anopog Sagay CIS</t>
  </si>
  <si>
    <t>Painting of Multi Purpose Hall Brgy. Tejeros Convention ,Rosario,Cavite</t>
  </si>
  <si>
    <t>SUPPLY AND DELIVERY OF LOT 1: 2,000 PIECES LONG SLEEVE WITH HOOD</t>
  </si>
  <si>
    <t>Rehabilitation of RHU Building - RHU-Pilar, Capiz</t>
  </si>
  <si>
    <t>Request for Quotation for Fabrication, Supply and Delivery  of Five Hundred (500) pcs Meter Cage</t>
  </si>
  <si>
    <t>07-2020 RFQ-Packed Lunch for the Retirement Ceremony of CTA Associate Justice</t>
  </si>
  <si>
    <t>improvement of drainage system - sauz subd.</t>
  </si>
  <si>
    <t>improvement of drainage - mulawin st.</t>
  </si>
  <si>
    <t>RISO Machine</t>
  </si>
  <si>
    <t>SUPPLIES AND DELIVERY OF REPAIR AND MAINTENANCE AND OFFICE SUPPLIES, OTHER SUPPLIES</t>
  </si>
  <si>
    <t>Materials for Drugs and Medicine, Two-way Radio, Megaphone, Public Address System</t>
  </si>
  <si>
    <t>PROCUREMENT OF OFFICE MATERIALS &amp; SUPPLIES</t>
  </si>
  <si>
    <t>Office Equipment, Supplies and Consumables</t>
  </si>
  <si>
    <t>PACKAGE 2020-07: CONSTRUCTION OF ABBONG TO LIGLIG PATHWAY, TANGLAG</t>
  </si>
  <si>
    <t>PACKAGE 2020-28: CONSTRUCTION OF MINI WAREHOUSE AT MANANGOL, MABILONG</t>
  </si>
  <si>
    <t>TES-MOOE-2020-0001</t>
  </si>
  <si>
    <t>PACKAGE 2020-41: RETAINING WALL AT SUKIAP ELEMENTARY SCHOOL (FRONT)</t>
  </si>
  <si>
    <t>Supply and Delivery of Exterior Tire</t>
  </si>
  <si>
    <t>REPRODUCTION of DLP MANUAL for OFFICE USE (HRD)</t>
  </si>
  <si>
    <t>Invitation to Bid for the Supply and Delivery of Agricultural Machinery and Equipment</t>
  </si>
  <si>
    <t>Provision of labor, materials, equipment rentals and other incidentals needed for the Reconstruction of Organic Goat House at  DA-INREC, Dingras, Ilocos Norte</t>
  </si>
  <si>
    <t>PACKAGE 2020-36: PROVISION OF ADDITIONAL BARANGAY MRFs TO DANGOY, POBLACION, MABILONG, AND LOWER UMA</t>
  </si>
  <si>
    <t>Purchase of School Supplies and Materials</t>
  </si>
  <si>
    <t>PACKAGE 2020-09: CONTINUATION OF THE CONSTRUCTION OF FOOTPATH/FOOTSTEPS FROM MALUSONG TO DUGNAC, ANTONIO CANAO</t>
  </si>
  <si>
    <t>PACKAGE 2020-05:CONSTRUCTION OF FOOTPATH/FOOTSTEPS/FOOTBRIDGE AT BARANGAY MABILONG</t>
  </si>
  <si>
    <t>INFORMATION &amp; COMMUNICATION TECHNOLOGY EQUIPMENT (LAPTOP)</t>
  </si>
  <si>
    <t>PROCUREMENT OF CERTIFIED PALAY SEEDS</t>
  </si>
  <si>
    <t>Purchase and Delivery of Food Supplements for the Supplementary Feeding Program</t>
  </si>
  <si>
    <t>JO NO. 0620-0039</t>
  </si>
  <si>
    <t>Supply of Vehicle Parts</t>
  </si>
  <si>
    <t>SUPPLY AND DELIVERY OF FURNITURE FOR MAYOR'S OFFICE</t>
  </si>
  <si>
    <t>P.R. No. X7-20-05-206 - Supply and Delivery for the use in the Planning and Design Division, Repair and Maintenance of SKF-848</t>
  </si>
  <si>
    <t>PACKAGE 2020-44:SLOPE PROTECTION AT TIWOD, ANTONIO CANAO (from Osled to Gaan Section)</t>
  </si>
  <si>
    <t>PROCUREMENT OF EPOXY PAINT</t>
  </si>
  <si>
    <t>CONCRETING OF ROAD AT BARANGAY CALABASA, JAEN, NUEVA ECIJA</t>
  </si>
  <si>
    <t>Improvement of Health Center</t>
  </si>
  <si>
    <t>One (1) Job Contract for the Improvement of Multi-purpose Hall and its Facilities, Brgy. Quinagaringan Peq., Passi City, Iloilo/Brgy. Quinagaringan Peq.</t>
  </si>
  <si>
    <t>INVITATION TO BID REPAIR OF SUPPLY BUILDING</t>
  </si>
  <si>
    <t>SUPPLY AND DELIVERY OF DRUGS AND MEDICINES</t>
  </si>
  <si>
    <t>Purchase of various office supplies</t>
  </si>
  <si>
    <t>Procurement of Catering Services for Dugtong Buhay Para Kay Nanay of MHO</t>
  </si>
  <si>
    <t>CONTRACT ID: 20-07-091 - PROCUREMENT OF PCR TEST KIT FOR COVID 19</t>
  </si>
  <si>
    <t>PROCUREMENT OF PROJECT ENGINEER/ARCHITECT FOR THE RENOVATION OF THE 2ND FLOOR, BUREAU OF THE TREASURY, PALACIO DEL GOBERNADOR, INTRAMUROS, MANILA</t>
  </si>
  <si>
    <t>RFQ CONICAL TUBES WITH SCREW CAP 50ML</t>
  </si>
  <si>
    <t>Purchase Barangay Multicab Vehicle</t>
  </si>
  <si>
    <t>invitation to bid</t>
  </si>
  <si>
    <t>IMPROVEMENT OF PUBLIC MARKET-BRGY. POBLACION, POLILLO, QUEZON</t>
  </si>
  <si>
    <t>Office Supplies for SB Office</t>
  </si>
  <si>
    <t>SUPPLY AND DELIVERY OF MODULAR TENT FOR THE OPERATION OF TASK FORCE COVID -19</t>
  </si>
  <si>
    <t>WATER TANK</t>
  </si>
  <si>
    <t>1 UNIT Shrink Wrapping Machine</t>
  </si>
  <si>
    <t>PROVISION OF CATERING SERVICES ON THE CONDUCT OF QUALITY ASSURANCE OF LEARNING MATERIALS/MODULES FOR SCIENCE GRADE 8 QUARTER 2 TO 4 FOR SHS-STEM RESEARCH SUBJECTS</t>
  </si>
  <si>
    <t>PURCHASE OF PRINTER</t>
  </si>
  <si>
    <t>RFQ Laboratory Supplies for Ambient Air</t>
  </si>
  <si>
    <t>20CSFD01 - CONSULTANCY SERVICES FOR THE GEOTECHNICAL AND GEOLOGICAL SURVEYS/INVESTIGATIONS FY 2021 FOR BRIDGES AND FLOOD CONTROL PROJECTS, CAMARINES SUR 1ST LEGISLATIVE DISTRICT, CAMARINES SUR 1ST DIS</t>
  </si>
  <si>
    <t>Drugs and Medicines</t>
  </si>
  <si>
    <t>Assorted Fittings</t>
  </si>
  <si>
    <t>For use in the Office of the Municipal Registrar</t>
  </si>
  <si>
    <t>Procurement of Cabinets &amp; Office Table &amp; Chairs for Mayor's Conference Office Use</t>
  </si>
  <si>
    <t>REHABILITATION OF FENCE (WEST SIDE AT LAMAO ELEMENTARY SCHOOL</t>
  </si>
  <si>
    <t>Supply and Delivery of Fabrication Materials for portable hand-washing Station for Covid19 pandemic prevention</t>
  </si>
  <si>
    <t>REPAIR &amp; MAINTENANCE-GOVERNMENT BUILDINGS &amp; OTHER STRUCTURES (MDRRM OFFICE)-BRGY. POBLACION, POLILLO, QUEZON</t>
  </si>
  <si>
    <t>Vest for the 2020 CPH</t>
  </si>
  <si>
    <t>Hire of Tow truck for the transportation of the unserviceable PNP-Pasil MPS Patrol Car from Pasil, Kalinga to Tuguegarao</t>
  </si>
  <si>
    <t>Construction Materials</t>
  </si>
  <si>
    <t>General Services of a Research Assistant for the research,"Development of Outcomes-base Instructional Materials for the New General Education Course." - URDC</t>
  </si>
  <si>
    <t>Procurement of Equipment for Laboratory and Instructional Purposes for ESSU Guiuan Campus PR# 20-06-099</t>
  </si>
  <si>
    <t>SUPPLY AND DELIVERY OF LAPTOP COMPUTER FOR USE IN SANGGUNIANG PANLALAWIGAN</t>
  </si>
  <si>
    <t>CONCRETING OF BARANGAY ROAD (PUROK C-BRGY. SALIPYASIN)</t>
  </si>
  <si>
    <t>CONSTRUCTION OF OPEN CANAL</t>
  </si>
  <si>
    <t>SUPPLY AND DELIVERY OF 20 PIECES OFFICE CHAIR FOR OFFICIAL USE OF AMAD</t>
  </si>
  <si>
    <t>Supply and Delivery of supplies for use of Research Division for project implementation under Rice Banner Program</t>
  </si>
  <si>
    <t>Supply and Delivery of Curtain and Accessories</t>
  </si>
  <si>
    <t>CONSTRUCTION OF PATHWALK</t>
  </si>
  <si>
    <t>Supply and Delivery of various supplies to be used for the implementation of different projects or Research Division under Various R&amp;D</t>
  </si>
  <si>
    <t>PACKAGE 2020-42: CONSTRUCTION OF RIPRAP AT SITIO CAVITE, POBLACION</t>
  </si>
  <si>
    <t>REQUEST FOR QUOTATION</t>
  </si>
  <si>
    <t>PR 20-012, Inventory Materials</t>
  </si>
  <si>
    <t>SUPPLY AND INSTALLATION OF ROLL UP BLINDS INSIDE CASING AT LIMAY MUNICIPAL HALL</t>
  </si>
  <si>
    <t>Supply and Delivery of Gold Necklace</t>
  </si>
  <si>
    <t>ACRYLIC SAFETY BARRIER SUPPLY &amp; INSTALLATION</t>
  </si>
  <si>
    <t>Cap for the 2020 CPH</t>
  </si>
  <si>
    <t>PROCUREMENT OF EXPANDABLE STUN GUN BATON FOR LIMAY SECURITY UNIT</t>
  </si>
  <si>
    <t>Procurement of S2320 Toner</t>
  </si>
  <si>
    <t>Enumerator's Bag for the 2020 CPH</t>
  </si>
  <si>
    <t>20GGM0013 - Procurement of Fuel for use in the Repair and Maintenance of National Roads and Bridges, Pre-detailed Engineering and Implementation/Inspection of Infra Projects of DPWH, Negros Occidental</t>
  </si>
  <si>
    <t>Cash Advance | APJES | APRIL, MAY, JUNE</t>
  </si>
  <si>
    <t>Procurement of supply and delivery of drugs and biologics &amp; feeds</t>
  </si>
  <si>
    <t>Vehicle Repair and maintenance</t>
  </si>
  <si>
    <t>Procurement of Goods- Purchase of Motorcycle</t>
  </si>
  <si>
    <t>20GGM0014 - Procurement of airconditioning units and industrial fans for use in various offices/sections/covered court, DPWH, Negros Occidental 3rd District Engineering Office, Kabankalan City.</t>
  </si>
  <si>
    <t>Materials needed for const. of Comfort Room</t>
  </si>
  <si>
    <t>Delivery of Office Equipment ( IT Supplies) for the implementation of RCEF seed Program.</t>
  </si>
  <si>
    <t>Motorcycle</t>
  </si>
  <si>
    <t>T-Shirt of the 2020 CPH</t>
  </si>
  <si>
    <t>SUPPLY AND DELIVERY OF LOT 1: PRINTING SUPPLIES FOR USE OF RICE OPERATIONS</t>
  </si>
  <si>
    <t>REHABILITATION OF MULTIPURPOSE HALL</t>
  </si>
  <si>
    <t>Request for Quotation (Kilometer check up)(MITSUBISHI L-300 with Plate#SRH840)</t>
  </si>
  <si>
    <t>Various Projects of Barangay Poblacion, Bugallon, Pangasinan</t>
  </si>
  <si>
    <t>Supply and Delivery of ICT Supplies for use of Rice R&amp;D Productivity Enhancement Project for 2020 implementation</t>
  </si>
  <si>
    <t>FABRICATION AND INSTALLATION OF STREETLIGHTS</t>
  </si>
  <si>
    <t>2,769 boxes powdered milk</t>
  </si>
  <si>
    <t>PROCUREMENT OF TIRES (FOR SJB-966 DUMPTRUCK)</t>
  </si>
  <si>
    <t>Purchase of Various Supplies for different Offices for the 3rd Quarter C.Y. 2020</t>
  </si>
  <si>
    <t>CONTRACT ID: 20-07-092 - PROCUREMENT OF DISPOSABLE SURGICAL MASK</t>
  </si>
  <si>
    <t>Supply and Delivery of Magnetic Shield</t>
  </si>
  <si>
    <t>SUPPLY AND DELIVERY OF LOT 2: 3,000 PIECES FACE MASK</t>
  </si>
  <si>
    <t>CONSTRUCTION OF DRAINAGE SYSTEM</t>
  </si>
  <si>
    <t>Improvement/Rehabilitation of Multi Purpose Hall</t>
  </si>
  <si>
    <t>P.R. No. X7-20-05-201 - Supply and Delivery for the use in Repair and Maintenance of Nissan Frontier with Plate no. SGS 667, Planning and Design Division</t>
  </si>
  <si>
    <t>P.R. No. X1-20-06-236 - Supply and Delivery for the use at the Public Affairs and Information Office</t>
  </si>
  <si>
    <t>Purchase of Electrical Supplies</t>
  </si>
  <si>
    <t>Procurement of Office Equipments for the Bids and Awards Committee Office Use</t>
  </si>
  <si>
    <t>P.R. No. X7-20-05-202 - Supply and Delivery for the use in Repair and Maintenance of Toyota Revo Plate No. SHJ-113, Planning and Design Division</t>
  </si>
  <si>
    <t>Invitation to Bid for the Supply and Delivery of Farm Inputs</t>
  </si>
  <si>
    <t>Supply and Delivery of IT Equipment for DTI R02 Officials use</t>
  </si>
  <si>
    <t>Purchase of Toner Cartridge</t>
  </si>
  <si>
    <t>P.R. No. X7-20-04-195 - Supply and Delivery for the use in the Administrative Support Staff Unit, Planning and Design Division</t>
  </si>
  <si>
    <t>Completion of Mini-Covered Court of Lantang ES</t>
  </si>
  <si>
    <t>IMPROVEMENT OF ESCUREL-SABATER HOUSE</t>
  </si>
  <si>
    <t>Supply and Delivery of DCC/DCW Office Supplies</t>
  </si>
  <si>
    <t>PURCHASE OF POTS, PLANTS AND COMPOST SOIL FOR THE BEAUTIFICATION OF IGBARAS PUBLIC PLAZA</t>
  </si>
  <si>
    <t>Procurement of Janitorial Supplies for Office Use of Colleges &amp; Campuses (Repost) (ABC: PhP147,446.00, QTY: 842)</t>
  </si>
  <si>
    <t>Supply and Delivery of Laboratory Reagents</t>
  </si>
  <si>
    <t>CONSTRUCTION AND INSTALLATION OF STREETLIGHTS</t>
  </si>
  <si>
    <t>SUPPLY AND DELIVERY OF MEDICAL AND LABORATORY SUPPLIES FOR USE IN GEAMH</t>
  </si>
  <si>
    <t>Advocacy Materials to be used during Family Development Sessions (FDS)</t>
  </si>
  <si>
    <t>RFQ for school supplies</t>
  </si>
  <si>
    <t>1. Materials &amp; Equipment Rental for the Improvement of Agriculture Office, Brgy. Sablogon, Passi City, Iloilo, (P 83,910.39) 2 Materials and Equipment Rental for the Construction of Kiosk at Bus Termi</t>
  </si>
  <si>
    <t>PROCUREMENT OF OFFICE EQUIPMENT AND SUPPLY</t>
  </si>
  <si>
    <t>Request for Quotation (Check/Repair noisy and weak front suspension)(TOYOTA COMMUTER Plate#SJA797)</t>
  </si>
  <si>
    <t>RFQ TARPAULIN CANVASS 50M X 6FT</t>
  </si>
  <si>
    <t>CONSTRUCTION OF MULTI-PURPOSE BUILDING/SENIOR CITIZEN BUILDING AT BARANGAY HILERA, JAEN, NUEVA ECIJA</t>
  </si>
  <si>
    <t>REHABILITATION /IMPROVEMENT OF MULTI-PURPOSE BLDG.</t>
  </si>
  <si>
    <t>Supply and Delivery of Kenwood Battery and Belt Clip</t>
  </si>
  <si>
    <t>Reproduced and binding of ALS Modules for Learners</t>
  </si>
  <si>
    <t>For NEGOSYO CENTER GOV. GENEROSO AND NC TARRAGONA.</t>
  </si>
  <si>
    <t>CONCRETING OF LOCAL ACCESS ROAD   Legaspino-Highway Patrol, Poblacion, Tubod, Lanao del Norte</t>
  </si>
  <si>
    <t>Supply and Delivery of Submersible Pump and Motor Assembly</t>
  </si>
  <si>
    <t>SUPPLY AND DELIVERY OF 6 UNITS REFRIGERATOR</t>
  </si>
  <si>
    <t>SUPPLY AND DELIVERY OF DIESEL</t>
  </si>
  <si>
    <t>REBLOCKING OF BARANGAY ROAD AT BARANGAY DAMPULAN, JAEN, NUEVA ECIJA</t>
  </si>
  <si>
    <t>Construction Projects</t>
  </si>
  <si>
    <t>Procurement of Technical &amp; Scientific Equipment for Instructional &amp; Laboratory use of CAFF (Repost) (ABC: PhP76,000.00, QTY: 266)</t>
  </si>
  <si>
    <t>Procurement of labor and materials to be use in the installation of new water supply at the University Wellness Center</t>
  </si>
  <si>
    <t>Procurement of Supplies for General Laboratory Services of MHO</t>
  </si>
  <si>
    <t>3ACGM2020A-01 Training Supplies Expenses</t>
  </si>
  <si>
    <t>Supply and Delivery of Reagents for Use of Calayan Infirmary Laboratory in the Municipality of Calayan, Province of  Cagayan.</t>
  </si>
  <si>
    <t>Supply and Delivery of Vaccines for use of Frontline Workers,  LGU Employees and Other Identified Constituent in the Municipality of Calayan, Province of  Cagayan</t>
  </si>
  <si>
    <t>Supply/Procurement of Traffic Equipment and Accessories</t>
  </si>
  <si>
    <t>FURNISHING/DELIVERY OF PLASTIC DENSIFIER MACHINE</t>
  </si>
  <si>
    <t>SUPPLY AND DELIVERY OF CONSOLIDATED OFFICE SUPPLIES FOR USE IN SANGGUNIANG PANLALAWIGAN AND PROVINCIAL LIBRARY</t>
  </si>
  <si>
    <t>SUPPLY AND DELIVERY OF 1300 LITTERS OF DIESEL/FUEL</t>
  </si>
  <si>
    <t>PROCUREMENT OF CONSTRUCTION MATERIALS &amp; SUPPLIES  (ABC: PhP1,493,645.00, QTY: 7052)</t>
  </si>
  <si>
    <t>PROCUREMENT OF GOVERNMENT VEHICLE</t>
  </si>
  <si>
    <t>Request for Quotation (Check/repair or replace burned-out fuse box,etc.)(HONDA CRV Plate#SGS308)</t>
  </si>
  <si>
    <t>Rehabilitation of Multi-purpose Hall</t>
  </si>
  <si>
    <t>CONCRETING OF BARANGAY ROAD AT PUROK 2, BARANGAY SAN JOSE, JAEN, NUEVA ECIJA</t>
  </si>
  <si>
    <t>Procurement of CERTIFIED PALAY SEEDS</t>
  </si>
  <si>
    <t>CONSTRUCTION OF COLUMBARIUM NICHES Public Cemetery, Tubod, Lanao del Norte</t>
  </si>
  <si>
    <t>3ACGM2020A-02 Office Supplies Expenses</t>
  </si>
  <si>
    <t>CONSTRUCTION OF MULTI-PURPOSE BUILDING AT BARANGAY IMELDA, JAEN, NUEVA ECIJA</t>
  </si>
  <si>
    <t>PURCHASE OF BDRRM SUPPLIES &amp; EQUIPMENT</t>
  </si>
  <si>
    <t>PURCHASE OF DENGUE CHEMICALS</t>
  </si>
  <si>
    <t>Supply and Delivery of 3 Ply Face Mask</t>
  </si>
  <si>
    <t>Job Order: Labor and Materials for the repair and maintenance of air conditioning units located at DA ILIARC</t>
  </si>
  <si>
    <t>Supply and Delivery  of Office Furniture</t>
  </si>
  <si>
    <t>Supply and Delivery of Office Supplies and Consumables for Accounting Office</t>
  </si>
  <si>
    <t>PURCHASE OF UMBRELLA/ RAIN BOOTS</t>
  </si>
  <si>
    <t>Supply/Procurement of Construction Materials and Supplies</t>
  </si>
  <si>
    <t>Completion of Camasi Day Care Center- Phase II</t>
  </si>
  <si>
    <t>Vehicles Parts for the Maintenance of Municipal Grader#3</t>
  </si>
  <si>
    <t>CONSTRUCTION OF CONCRETE RAMP FOR RESCUE BOAT AT BARANGAY WAWA SHORLINE WITH PULLING TOWER</t>
  </si>
  <si>
    <t>Supply and Delivery of Materials for the Improvement of Day Care Center</t>
  </si>
  <si>
    <t>EXCAVATOR RENTAL MARINDUQUE MANSABANG</t>
  </si>
  <si>
    <t>SUPPLY AND DELIVERY OF SUPPLIES &amp; MATERIALS FOR BUFFER STOCKING FOR BANANA TISSUE CULTURE LABORATORY &amp; NURSERY</t>
  </si>
  <si>
    <t>CONCRETING OF BARANGAY ROAD AT IRAN, BARANGAY SAN JOSE, JAEN, NUEVA ECIJA</t>
  </si>
  <si>
    <t>Supply and delivery of Grower feed and Lactating feeds for animal feeds supplement at CSU compound, Piat, Cagayan</t>
  </si>
  <si>
    <t>1,864 sets rubber mats &amp; 932 sets wooden toolkits</t>
  </si>
  <si>
    <t>Supply and delivery of various vegetables seeds to be distributed to Typhoon Ineng affected farmers in the region</t>
  </si>
  <si>
    <t>Supply and Delivery of COVID-19 Kits for Calayan Infirmary Laboratory in the Municipality of Calayan, Province of  Cagayan</t>
  </si>
  <si>
    <t>Office supplies- HP79A toner-original</t>
  </si>
  <si>
    <t>Supply and Delivery of 100 pcs. Water Meter</t>
  </si>
  <si>
    <t>Supply/Procurement of Signages and Accessories</t>
  </si>
  <si>
    <t>LOT Procurement of VEHICLE PARTS for the Use of Mitsubishi Estrada of the Provincial Governor’s Office</t>
  </si>
  <si>
    <t>Construction Materials and Supplies</t>
  </si>
  <si>
    <t>Improvement of Water System - MO</t>
  </si>
  <si>
    <t>Supply and Delivery of Welding Tools, Carpentry/Masonry Tools, Electrical Tools, Motorpool Tools and Waterwork/Drilling Tools for Engineering use</t>
  </si>
  <si>
    <t>LEARNING PACKETS FOR JUNIOR HIGHSCHOOL S.Y.2020 -2021</t>
  </si>
  <si>
    <t>Supply and delivery of 1 set Desktop Computer with complete set of Monitor, CPU, Mouse, Keyboard and 1 TB External Hardrive</t>
  </si>
  <si>
    <t>Job Order: Labor and Materials for the relocation of outdoor units, installation of brackets, vacuum service and refrigerant charging of air conditioning units</t>
  </si>
  <si>
    <t>Rehabilitation and Repair of Barangay Road - MO</t>
  </si>
  <si>
    <t>PURCHASE OF TANODS PARAPHERNALIA</t>
  </si>
  <si>
    <t>LOT Procurement of MATERIALS for Use in the Construction of Staff House at Tourism Complex, Brgy. Don Martin Marundan, City of Mati, Davao Oriental</t>
  </si>
  <si>
    <t>MOOE Office Supplies and Equipment for the 1st Quarter MOOE of San Antonio Elementary School</t>
  </si>
  <si>
    <t>Purchase of One (1) unit Computer Server with Complete Accessories - MASSO</t>
  </si>
  <si>
    <t>PURCHASE OF KIDDIE MONOBLOCK CHAIRS/ TABLES</t>
  </si>
  <si>
    <t>PURCHASE ORDER 2020-06-0109</t>
  </si>
  <si>
    <t>Procurement of Basic Emergency Supplies</t>
  </si>
  <si>
    <t>FOR FIELD OFFICE DISINFECTION USE</t>
  </si>
  <si>
    <t>RFQ no. 90-2020-G (1 canvass)</t>
  </si>
  <si>
    <t>FLU VACCINE</t>
  </si>
  <si>
    <t>PROCUREMENT OF GEN MDSE</t>
  </si>
  <si>
    <t>Supply and Delivery of Construction Materials for Room Extension at Bureau of Jail Management and Penology (BJMP)</t>
  </si>
  <si>
    <t>SUPPLY AND DELIVERY OF OFFICE SUPPLIES AND CONSUMABLE FOR OFFICIAL USE OF BAC SECRETARIAT</t>
  </si>
  <si>
    <t>One Job Supplying Labor and Materials for Poultry Duck Facility - PCARRD-ITIK-PINAS-PROJ2</t>
  </si>
  <si>
    <t>RFQ no. 91-2020-G (1 canvass) Food Stuff</t>
  </si>
  <si>
    <t>CONCRETING OF ACCESS ROADS AT BARANGAY DAMPULAN, JAEN, NUEVA ECIJA</t>
  </si>
  <si>
    <t>Procurement of Construction Supplies (PR No. 2007896)</t>
  </si>
  <si>
    <t>Supply and Delivery for LPG 50kgs.</t>
  </si>
  <si>
    <t>Procurement of Labor Services (PR No. 2007897)</t>
  </si>
  <si>
    <t>PR NO. 020-06-058 - For Preventive Maintenance of 25 units of Service Vehicle, 1 unit Stake Truck &amp; 2 Units of Heavy Equipment of DPWH 2ND DEO</t>
  </si>
  <si>
    <t>Public Bidding of 2 Lots for the Supply &amp; Delivery of Laboratory Supplies for Sen. Gerardo M. Roxas Memorial District Hospital, under ITB No. 2020-008H</t>
  </si>
  <si>
    <t>Procurement of Customized Medal for Integrated School</t>
  </si>
  <si>
    <t>FOOD PROVISION FOR THE ORIENTATION ON SCHOOL-BASED MENTAL HEALTH &amp; PSYCHO-SOCIAL SUPPORT SERVICE PROVIDERS</t>
  </si>
  <si>
    <t>Construction of Steel Bleacher at Daramuangan Norte E/S Evacuation Center</t>
  </si>
  <si>
    <t>LOT Procurement of MATERIALS for Use in the Relocation of Secondary Line Extension at Tourism Complex, Menzi, Brgy. DMM, City of Mati, Davao Oriental</t>
  </si>
  <si>
    <t>Supply and Delivery of Facemask</t>
  </si>
  <si>
    <t>Printing and sorting of Distance Learning Materials (learning Packets)</t>
  </si>
  <si>
    <t>Procurement of Paper and Materials</t>
  </si>
  <si>
    <t>PR 20-013</t>
  </si>
  <si>
    <t>Supply of Labor and Parts for Jungheinrich Lift Trucks ERC 214, as per BSP Terms of Reference and Terms and Conditions</t>
  </si>
  <si>
    <t>Supply and Delivery of Tanod Supplies and Materials</t>
  </si>
  <si>
    <t>RFQ 20-095 Supply and Delivery of Mathotrexate and Reagents Supplies</t>
  </si>
  <si>
    <t>PROCUREMENT OF CONSTRUCTION MATERIALS (ABC: PhP594,794.00, QTY: 5093.5)</t>
  </si>
  <si>
    <t>ITB 20-0066 - Supply and Delivery of Various Veterinary Supplies.</t>
  </si>
  <si>
    <t>Procurement of Office Supplies (IT Supplies) for the Division Office use.</t>
  </si>
  <si>
    <t>Supply and Installation of Fixed Glass Partition, Doors and Cough/Sneeze Protection Glass</t>
  </si>
  <si>
    <t>Purchase of Equipment &amp; Supplies for Implementation of Biosecurity measures for African Swine Fever (ASF) of Municipal Agriculture Office Gumaca, Quezon</t>
  </si>
  <si>
    <t>office furniture</t>
  </si>
  <si>
    <t>ESTABLISHMENT OF LGU-MANAGED FM RADIO STATION Tubod, Lanao del Norte</t>
  </si>
  <si>
    <t>transportation</t>
  </si>
  <si>
    <t>Maintenance of  footbridge @ Sitio Balitbiton, Barangay Nueva Fuerza, Carmen,Bohol</t>
  </si>
  <si>
    <t>CAN - Various Office Supplies - DEPW, DPS PR Nos. 652, 628</t>
  </si>
  <si>
    <t>Rehabilitation of   Washing Facilities</t>
  </si>
  <si>
    <t>MOOE 2020</t>
  </si>
  <si>
    <t>PAGRO-AGRICULTURAL SUPPLIES</t>
  </si>
  <si>
    <t>For Impv't of Drainage System in the Municipal Site</t>
  </si>
  <si>
    <t>PURCHASE OF I.T. EQUIPMENT FOR COA</t>
  </si>
  <si>
    <t>ROAD CONCRETING AT BONGOYAN PROPER</t>
  </si>
  <si>
    <t>Repost: Telephone, LAN Card, PPT Wireless Controller with Laser Pointer and DVD Reader</t>
  </si>
  <si>
    <t>CONSTRUCTION OF MULTI-PURPOSE BUILDING/BARANGAY HALL AT BARANGAY PAKUL, JAEN, NUEVA ECIJA</t>
  </si>
  <si>
    <t>2 unit 5 hpmotor and pump w/ capacity of 237 and 158 gpm</t>
  </si>
  <si>
    <t>PR No. 2020-07-0058 -Supply and delivery of 5 tubes Toner 221 Black (INEO 287) and Seventeen (17) other items for use in the Planning &amp; Design, Finance, Quality Assurance, Construction, Administrative</t>
  </si>
  <si>
    <t>PROCUREMENT OF 1 LOT SUPPLY AND INSTALLATION OF VHF REPEATER SYSTEM FOR UNIFIED COMMUNICATION SYSTEM ADDITIONAL EQUIPMENT - 1ST POSTING</t>
  </si>
  <si>
    <t>Procurement of IT equipment, parts and accessories for official use in PENRO &amp; CENROs of Agusan del Sur for the second quarter of CY2020</t>
  </si>
  <si>
    <t>Concreting of Acess Road Malaya Integrated School</t>
  </si>
  <si>
    <t>MEDICINES</t>
  </si>
  <si>
    <t>Supply and installation of one (1) lot sunscreen roller shades for the new office of SSS Rosario Branch (formerly EPZA Rosario)</t>
  </si>
  <si>
    <t>Supply and Delivery of O2 Sensor, BP Cuff Cloth and Halogen Optic Lamp</t>
  </si>
  <si>
    <t>PR No. 2020-07-0057 -Supply and delivery of 100 liters Oil 40 and five (5) other items for use in Maintenance, Construction, Planning &amp; Design, and Quality Assurance Sections service vehicles and equi</t>
  </si>
  <si>
    <t>Purchase of Food Stuff for Meals of 300 Frontliners for 15days due to COVID 2019 Gumaca, Quezon</t>
  </si>
  <si>
    <t>REBLOCKING OF ROAD AT BARANGAY SAN VICENTE, JAEN, NUEVA ECIJA</t>
  </si>
  <si>
    <t>LAUNDRY SERVICES for the period August 1, 2020 to December 31, 2020 (PCGH)</t>
  </si>
  <si>
    <t>Purchase of Construction Materials</t>
  </si>
  <si>
    <t>20% BDF &amp; RRMF 2020</t>
  </si>
  <si>
    <t>Procurement of Suit and Uniforms</t>
  </si>
  <si>
    <t>const. of streetlights</t>
  </si>
  <si>
    <t>RFQ FOR SUPPLY AND DELIVERY OF INKS FOR L3110 PRINTERS</t>
  </si>
  <si>
    <t>Supply and Installation of Water Supply System</t>
  </si>
  <si>
    <t>Proposed Repair and Maintenance of SEWAGE TREATMENT PLANT (STP) - (PCGH Aug to Dec 2020)</t>
  </si>
  <si>
    <t>Procurement of 1 Unit Desktop for Budget Office Used</t>
  </si>
  <si>
    <t>Purchase of Advance Cooling Water Treatment Concentrate and Ultra Cut Semi - Synthetic cutting Fluid to be used for the Maintenance of Heavy Equipment, Service Vehicles and Power House at the QCSDEO,</t>
  </si>
  <si>
    <t>SOLENOID DIAPHRAGM METERING PUMP</t>
  </si>
  <si>
    <t>20FH0097 - REPAIR/MAINTENANCE OF NATIONAL ROAD ALONG CCR PANDAN-CARAMORAN ROAD SECTION (K0111+600 - K0112+700) AT INTERMITTENT SECTION</t>
  </si>
  <si>
    <t>construction of Slope Protection</t>
  </si>
  <si>
    <t>Supply and Delivery of ECI Signal Reagent and ECI Universal Wash Reagent</t>
  </si>
  <si>
    <t>08-2020 RFQ-Wrist Watch and Gold Ring</t>
  </si>
  <si>
    <t>Training Materials/Supplies for DIVISION TRAINING OF TRAINERS ON LEARNING &amp; DEVELOPMENT (L&amp;D) SYSTEM</t>
  </si>
  <si>
    <t>Supply and Delivery of Housekeeping Supplies and Materials</t>
  </si>
  <si>
    <t>Supply and installation of one (1) lot branch signages for the new office of SSS Rosario Branch (formerly EPZA Rosario)</t>
  </si>
  <si>
    <t>MASS FEEDING</t>
  </si>
  <si>
    <t>cctv and public address</t>
  </si>
  <si>
    <t>Construction of Concrete Pathway Purok-1 Barangay Malaya Labo Camarines Norte</t>
  </si>
  <si>
    <t>CONSTRUCTION OF MULTI-PURPOSE BUILDING AT BARANGAY PAMACPACAN, JAEN, NUEVA ECIJA</t>
  </si>
  <si>
    <t>Procurement of Furniture and Fixtures for official use in DENR PENRO Agusan del Sur for the second quarter CY2020</t>
  </si>
  <si>
    <t>Procurement and Delivery of Software</t>
  </si>
  <si>
    <t>RFQ FOR THE PROCUREMENT OF SUBMERSIBLE MOTOR WATER PLUMBING</t>
  </si>
  <si>
    <t>Supply and Delivery of Basket Strechers and  Pediatric Strecher</t>
  </si>
  <si>
    <t>LIVELIJHOOD</t>
  </si>
  <si>
    <t>Supply and delivery of COOKING GAS (august to dec 2020 - PCGH)</t>
  </si>
  <si>
    <t>CONCRETING OF PATHWAY AT PUROK-6 BARANGAY SAN LORENZO STA ELENA CAMARINES NORTE</t>
  </si>
  <si>
    <t>Rehabilitation of Water Supply System Incorporating CC &amp; CV</t>
  </si>
  <si>
    <t>SUPPLY AND DELIVERY OF MEDICAL SUPPLIES AND EQUIPMENT FOR ISOLATION</t>
  </si>
  <si>
    <t>Supply and delivery of sixty eight (68) cavans and twenty (20) kilos of rice</t>
  </si>
  <si>
    <t>Supply and Delivery of Fuel,Oil and Lubricants for the implementation of programs and projects of DA-BES</t>
  </si>
  <si>
    <t>Acquisition of Rice Hammer Mill</t>
  </si>
  <si>
    <t>Procurement of Laboratory Supplies</t>
  </si>
  <si>
    <t>P.R. No. X7-20-07-281 - Supply and Delivery for the use in the Conduct of Training on Structural Analysis and Design of Bridge Structures on July 14-17 &amp; 21-22, 2020, Planning and Design Division, 3rd</t>
  </si>
  <si>
    <t>1 unit  aircon split type 1.5 hp 2 units aircon, window type 1 hp</t>
  </si>
  <si>
    <t>REPAIR AND MAINTENANCE OF MOTOR VEHICLE</t>
  </si>
  <si>
    <t>Installation Solar Panels</t>
  </si>
  <si>
    <t>Supply &amp; Delivery of Two Units Brand New Motorized Fiber Glass Boats</t>
  </si>
  <si>
    <t>1 unit rescue Vehicle</t>
  </si>
  <si>
    <t>PROCUREMENT OF ONE (1) UNIT SPEEDBOAT</t>
  </si>
  <si>
    <t>Repair and maintenance-window grills</t>
  </si>
  <si>
    <t>Medicines</t>
  </si>
  <si>
    <t>SUPPLY AND DELIVERY OF 13,000 LITERS BACTERICIDE-FUNGICIDE IN MINDORO AND PALAWAN</t>
  </si>
  <si>
    <t>CONSTRUCTION OF BARANGAY DRAINAGE, MANGUNAY - BARANGAY SAPANG, JAEN, NUEVA ECIJA</t>
  </si>
  <si>
    <t>Procurement of Construction Supplies and Materials for the Repair of  President's Office Comfort Rooms</t>
  </si>
  <si>
    <t>RFQ No.: 2020 – 112 - Ifosfamide and Ondancentron</t>
  </si>
  <si>
    <t>General Merchandise</t>
  </si>
  <si>
    <t>Procurement of ID Maker for ASU-TEC Use</t>
  </si>
  <si>
    <t>Supply and Delivery of Three (3) sets of Lineman’s Gloves, as per BSP Supplied Evaluation Matrix, Technical Specifications and Terms and Conditions</t>
  </si>
  <si>
    <t>20FH0098 - REPAIR/MAINTENANCE OF SLOPE PROTECTION ALONG CCR VIRAC-BATO-SAN MIGUEL-VIGA ROAD SECTION (K0020+300 - K0020+400) AT INTERMITTENT SECTION</t>
  </si>
  <si>
    <t>Improvement of Municipal Public Market</t>
  </si>
  <si>
    <t>Construction of Multi-Purpose Hall, Binabalian and Malimanga, Candelaria</t>
  </si>
  <si>
    <t>CONCRETING OF MULTI-PURPOSE PAVEMENT ALONG PUROK 1</t>
  </si>
  <si>
    <t>REBLOCKING OF BARANGAY ROAD AT BARANGAY STO TOMAS NORTH, JAEN, NUEVA ECIJA</t>
  </si>
  <si>
    <t>For the Clearing of Barangay Road at Barangay Gueset, Bugallon, Pangasinan</t>
  </si>
  <si>
    <t>Purchase of Supplies</t>
  </si>
  <si>
    <t>Training Supplies</t>
  </si>
  <si>
    <t>20FH0099 - REPAIR/MAINTENANCE OF SLOPE PROTECTION K0173+110, MAYNGAWAY, SAN ANDRES, CATANDUANES</t>
  </si>
  <si>
    <t>Supply and Delivery of CCTV Camera</t>
  </si>
  <si>
    <t>CONCRETING OF BARANGAY ROAD AT CAMPUGO, BARANGAY STO TOMAS SOUTH, JAEN, NUEVA ECIJA</t>
  </si>
  <si>
    <t>10605020-284-2020</t>
  </si>
  <si>
    <t>CONSTRUCTION OF SOLAR STREETLIGHTS</t>
  </si>
  <si>
    <t>ITB 20-0054-A - Supply and Delivery of 1 unit Shredder Machine.</t>
  </si>
  <si>
    <t>RFQ No.: 2020 – 111 - 10 TR Compressor</t>
  </si>
  <si>
    <t>Concrete Fencing of Daycare</t>
  </si>
  <si>
    <t>ITB 20-0067 - Supply and Delivery of Various Laboratory &amp; Medical Supplies.</t>
  </si>
  <si>
    <t>CONSTRUCTION OF EXTENSION OF ROOFING FRONT BARANGAY COVERED COURT</t>
  </si>
  <si>
    <t>R&amp;M of Motor Vehicles</t>
  </si>
  <si>
    <t>REFURBISHMENT OF THE NEW LIBRARY</t>
  </si>
  <si>
    <t>SUPPLY &amp; DELIVERY OF VARIOUS CONSUMABLE SUPPLIES TO BE USED AT OSPITAL NG MUNTINLUPA</t>
  </si>
  <si>
    <t>SUPPLY/DELIVERY OF 1 UNIT UTILITY VEHICLE</t>
  </si>
  <si>
    <t>SUPPLY AND DELIVERY OF 2 TRI-CAB</t>
  </si>
  <si>
    <t>PURCHASE OF TWO (2) UNITS AMBULANCE FOR USE OF DSWD, RHU AND OBS.</t>
  </si>
  <si>
    <t>CONCRETING OF ROAD AT BARANGAY LAMBAKIN, JAEN,  NUEVA ECIJA</t>
  </si>
  <si>
    <t>For Repair/Improvement of Various Local Roads</t>
  </si>
  <si>
    <t>Provision of Communication System at the FEM Hall Building</t>
  </si>
  <si>
    <t>Renovation/Expansion of Municipal Motorpool</t>
  </si>
  <si>
    <t>Surigao City Luneta Park Revitalization Plan Luneta Park, Surigao City</t>
  </si>
  <si>
    <t>5020399000-285-2020</t>
  </si>
  <si>
    <t>Procurement of electrical materials for MSWD pumping stations</t>
  </si>
  <si>
    <t>Repair and Maintenance of Multi Purpose Hall</t>
  </si>
  <si>
    <t>10607010-287-2020</t>
  </si>
  <si>
    <t>RFQ No. 20-077 Supply and Delivery of Electrode Cable Wires and Sturdy Plastic Utensils for Physical Medicine and Rehab (Line Item)</t>
  </si>
  <si>
    <t>Purchase &amp; Delivery of Const. Materials &amp; Supplies for the  project Rehab. Of Day Care &amp; Health Center (Roofing &amp; Truss Replacement),  Brgy. Baybay, Surigao City</t>
  </si>
  <si>
    <t>SUPPLY AND DELIVERY OF MINI DUMP TRUCK</t>
  </si>
  <si>
    <t>Communication Equipment (Portable Radios)</t>
  </si>
  <si>
    <t>Procurement of Materials for the Construction of Perimeter Fence at MMSU Lot at Quiling Sur and Tabug</t>
  </si>
  <si>
    <t>SUPPLY &amp; DELIVERY OF ONE (1) UNIT OF SERVICE VEHICLE TO BE USED BY TRAINING DIVISION OF DRRM OFFICE</t>
  </si>
  <si>
    <t>SUPPLY, DELIVERY &amp; INSTALLATION OF AIRCONDITIONERS TO BE USED AT OSPITAL NG MUNTINLUPA</t>
  </si>
  <si>
    <t>SUPPLY &amp; DELIVERY OF ONE (1) UNIT OF SERVICE VEHICLE TO BE USED BY MUNTINLUPA CITY TECHNICAL INSTITUTE</t>
  </si>
  <si>
    <t>Procurement of Farm Inputs for Rice Techno-Demo in Various Barangays</t>
  </si>
  <si>
    <t>purchase Chemicals for water treatment</t>
  </si>
  <si>
    <t>5021304001-286-2020</t>
  </si>
  <si>
    <t>5020301000-288-2020</t>
  </si>
  <si>
    <t>Purchase &amp; Delivery of Const. Materials &amp; Supplies for the  project Improvement of Brgy. Street ,  Brgy. Zaragosa, Surigao City</t>
  </si>
  <si>
    <t>Purchase of Hand Tools</t>
  </si>
  <si>
    <t>Procurement of Electrical Materials for Generator set at RHU &amp; Birthing Home</t>
  </si>
  <si>
    <t>PURCHASE OF TEPLON TAPE AND OTHER FITTINGS</t>
  </si>
  <si>
    <t>10605020-293-2020</t>
  </si>
  <si>
    <t>Purchase of One (1) unit Laptop for General Services Office use</t>
  </si>
  <si>
    <t>Procurement of Electrical Materials @ Quarantine Facility</t>
  </si>
  <si>
    <t>10605020-290-2020</t>
  </si>
  <si>
    <t>OFFICE SUPPLIES PANTAWID PAMILYANG PILIPINO PROGRAM FOR RPMO AND MOO'S AND POO'S</t>
  </si>
  <si>
    <t>Supply of tools, equipment, jigs and raw materials</t>
  </si>
  <si>
    <t>Purchase of Tires for IOA-032</t>
  </si>
  <si>
    <t>Supply and Delivery of office equipment for the 2019 and 2020 established Negosyo Centers in the Region</t>
  </si>
  <si>
    <t>Concrete Topping &amp; Painting Works (Basketball Court), Sitio Cienda, Brgy. Gabas, Baybay City, Leyte</t>
  </si>
  <si>
    <t>3rd: Two-way radio</t>
  </si>
  <si>
    <t>Purchase of Infrared Thermometer</t>
  </si>
  <si>
    <t>ITB 20-0068 - Supply and Delivery of 52 units Television, LED, Smart TV.</t>
  </si>
  <si>
    <t>5020399000-294-2020</t>
  </si>
  <si>
    <t>5020399000-291-2020</t>
  </si>
  <si>
    <t>Supply and Delivery of Materials for Barangay Road Concreting</t>
  </si>
  <si>
    <t>5029905003-292-2020</t>
  </si>
  <si>
    <t>Printing Services for the publication of Philipiines in Figures (PIF)</t>
  </si>
  <si>
    <t>2020MC-SVP061 Supply &amp; Delivery of UV Care Purifier with Humidifier for LGU - Masbate City</t>
  </si>
  <si>
    <t>3rd: Books for the PSA Library</t>
  </si>
  <si>
    <t>Supply and Delivery of One(10 Unit of Ozone Generator with Oxygen Feeding and Diffuser</t>
  </si>
  <si>
    <t>RFQ No. 20-094 Supply and Delivery of Various Medical Equipment (Line Item)</t>
  </si>
  <si>
    <t>G-2020-0065 Supply/Delivery of Surveying Supplies for use in the conduct of survey, validation, reconnaisance surveys of various DPWH-SC2nd DEO proposed projects, Planning and Design Section, Koronada</t>
  </si>
  <si>
    <t>5021304001-296-2020</t>
  </si>
  <si>
    <t>5021304001-289-2020</t>
  </si>
  <si>
    <t>5021305003-295-2020</t>
  </si>
  <si>
    <t>Construction of Fiber Glass Work Area, Sitio Brande, Brgy Candadam, Baybay City, Leyte</t>
  </si>
  <si>
    <t>Supply &amp; Delivery of Fishing Supplies &amp; Materials  for the Extension and Repair of Lambaklad Project</t>
  </si>
  <si>
    <t>Supply and Delivery of Construction Materials</t>
  </si>
  <si>
    <t>5020301000-318-2020</t>
  </si>
  <si>
    <t>Purchase of 209 bags cement for construction of niches for indigent family use</t>
  </si>
  <si>
    <t>5020399000-297-2020</t>
  </si>
  <si>
    <t>Supply and Delivery of Materials for Additional Street Lighting</t>
  </si>
  <si>
    <t>5020201000-317-2020</t>
  </si>
  <si>
    <t>2020MC-SVP062 Publication of Approved Ordinances of Sangguniang Panlungsod, LGU - Masbate City</t>
  </si>
  <si>
    <t>ITB 20-0069 - Supply and Delivery of Various Hospital Equipment.</t>
  </si>
  <si>
    <t>G-2020-0066 Supply/Delivery of Spare Parts for use in the replacement of worn-out tires and batteries for Payloader FL-01 assigned in the Maintenance Section, DPWH-SC2nd DEO, Koronadal City, South Cot</t>
  </si>
  <si>
    <t>INSTALLATION OF PLASTIC PROTECTIVE SHEET FOR LANDBANK FRONTLINERS OF RIZAL AREA BRANCHES (ANTIPOLO BRANCH , BINANGONAN BRANCH , CAINTA BRANCH , TAYTAY BRANCH , TANAY BRANCH AND RIZAL LENSDING CENTER )</t>
  </si>
  <si>
    <t>G-2020-0064 Supply/Delivery of Surveying Supplies for use in the conduct of field survey, linear and mapping survey and other Road-Right-of-Way related surveys, Planning and Design Section, DPWH-SC2nd</t>
  </si>
  <si>
    <t>5020301000-298-2020</t>
  </si>
  <si>
    <t>Rehabilitation of Pipelines</t>
  </si>
  <si>
    <t>5020301000-300-2020</t>
  </si>
  <si>
    <t>Purchase of Knapsack Sprayer</t>
  </si>
  <si>
    <t>5020399000-320-2020</t>
  </si>
  <si>
    <t>SUPPLY AND DELIVERY OF 2 UNITS POWER TILLER/CULTIVATOR</t>
  </si>
  <si>
    <t>5020301000-299-2020</t>
  </si>
  <si>
    <t>5020399000-321-2020</t>
  </si>
  <si>
    <t>Supply and Delivery for Electrical Supplies</t>
  </si>
  <si>
    <t>5020301000-302-2020</t>
  </si>
  <si>
    <t>ITB 20-0070 - Supply and Delivery of Various Hospital Equipment.</t>
  </si>
  <si>
    <t>Repair Improvement of Laundry Area, BMDDC, Baybay City, Leyte</t>
  </si>
  <si>
    <t>RENOVATION OF COMPUTER LABORATORY (ROOM RE-PAINTING, FABRICATION OF NEW COMPUTER TABLES, RE-WIRING &amp; CABLING OF COMPUTER OUTLETS &amp; DOORS &amp; WINDOWS REPAIR)</t>
  </si>
  <si>
    <t>Purchase of 100 Box Lancets, 200's</t>
  </si>
  <si>
    <t>REPAIR &amp; MAINTENANCE-GOVERNMENT BUILDING &amp; OTHER STRUCTURES (PASSENGER TERMINAL)</t>
  </si>
  <si>
    <t>5020301000-319-2020</t>
  </si>
  <si>
    <t>5029902000-323-2020</t>
  </si>
  <si>
    <t>5020399000-303-2020</t>
  </si>
  <si>
    <t>Printing and Sorting of Distance Learning Materials (Learning Packets) for Grade 7 - 10</t>
  </si>
  <si>
    <t>Supply and Delivery for Construction Materials/Supplies</t>
  </si>
  <si>
    <t>5020301000-301-2020</t>
  </si>
  <si>
    <t>Purchase of Hardware Supplies and Materials</t>
  </si>
  <si>
    <t>PROCUREMENT AND INSTALLATION OF WORKSTATION'S NETWORKING AND INTERNET CONNECTION OF NEW ICT ROOM AND SHS OFFICES (COVID-19 NON NEGOTIABLE NEEDS)</t>
  </si>
  <si>
    <t>5020201000-326-2020</t>
  </si>
  <si>
    <t>5020201000-327-2020</t>
  </si>
  <si>
    <t>5020301000-307-2020</t>
  </si>
  <si>
    <t>CONCRETING OF PATHWAY</t>
  </si>
  <si>
    <t>IMPROVEMENT OF EVACUATION CENTER, BRGY. BAGONGBONG, DUENAS, ILOILO</t>
  </si>
  <si>
    <t>Construction of Slope Protection</t>
  </si>
  <si>
    <t>Purchase of Office Supplies</t>
  </si>
  <si>
    <t>5020399000-305-2020</t>
  </si>
  <si>
    <t>Supply and Delivery of Common Office Supplies, Equipment and Janitorial Supplies</t>
  </si>
  <si>
    <t>5020399000-325-2020</t>
  </si>
  <si>
    <t>Supply and Delivery of 1 Unit Cellphone</t>
  </si>
  <si>
    <t>INSTALLATION OF PLASTIC PROTECTIVE SHEET FOR LANDBANK FRONTLINERS OF CAVITE AREA BRANCHES ( CAVITE CITY BRANCH , DASMARINAS BRANCH , GMA (CAVITE) BRANCH  , IMUS BRANCH , ROSARIO (CEZ) BRANCH , TAGAYTA</t>
  </si>
  <si>
    <t>5020301000-308-2020</t>
  </si>
  <si>
    <t>Supply and Delivery of Starter Kit Packages for Sari-Sari Store through the Implementation of Negosyo Center Serbisyo sa Barangay (NSB) in Jalajala and Baras, Rizal</t>
  </si>
  <si>
    <t>Supply and Delivery of BHW Supplies</t>
  </si>
  <si>
    <t>5020399000-331-2020</t>
  </si>
  <si>
    <t>Purok 3A Barangay Road Baan Km3 Butuan City</t>
  </si>
  <si>
    <t>Modification of ATM and Provision of Additional CDM</t>
  </si>
  <si>
    <t>PAYMENT FOR CATERING SERVICES FOR VIPS, HEADS, FASTCAT PERSONNEL AND STAFFS, PUNONG BARANGAYS AND OFFICIALS FOR MAIDEN VOYAGE OF FASTCAT</t>
  </si>
  <si>
    <t>5020305000-304-2020</t>
  </si>
  <si>
    <t>5020305000-310-2020</t>
  </si>
  <si>
    <t>Supply and Delivery of Materials for the Fabrication of Spool, Bend Connections and Exposed Steel Pipe for Silay City Water District</t>
  </si>
  <si>
    <t>5020399000-329-2020</t>
  </si>
  <si>
    <t>5020305000-306-2020</t>
  </si>
  <si>
    <t>5020399000-311-2020</t>
  </si>
  <si>
    <t>5029905003-324-2020</t>
  </si>
  <si>
    <t>5020301000-328-2020</t>
  </si>
  <si>
    <t>Widening/Concreting of Nagba ECO SWM Park Access Road</t>
  </si>
  <si>
    <t>Construction of Ramp and Rails</t>
  </si>
  <si>
    <t>5020399000-316-2020</t>
  </si>
  <si>
    <t>Supply and Delivery of 3 units cellphones</t>
  </si>
  <si>
    <t>5020399000-335-2020</t>
  </si>
  <si>
    <t>Procurement of Office Equipment for the use of DM Leo L. Santos</t>
  </si>
  <si>
    <t>5020305000-315-2020</t>
  </si>
  <si>
    <t>5020305000-334-2020</t>
  </si>
  <si>
    <t>Procurement of Plastic Chair (Mono Block)</t>
  </si>
  <si>
    <t>Purok 14 Barangay Road Baan Km3 Butuan City</t>
  </si>
  <si>
    <t>Purchase of Materials for the Comprehensive Improvement of Buenavista Road Network - Const. of Mclain (Sto.Niño) - Supang Access Road - M.E.O.</t>
  </si>
  <si>
    <t>Supply and Delivery of Construction Materials for the Fabrication of Two (2) units Portable MRF at Barangay Minante 2, Cauayan City</t>
  </si>
  <si>
    <t>5020399000-314-2020</t>
  </si>
  <si>
    <t>Supply and Delivery of IT Parts and Accessories(PR#20-06-0264)</t>
  </si>
  <si>
    <t>Supply and delivery of office furniture for the 2019 and 2020 established Negosyo Center in Region 02</t>
  </si>
  <si>
    <t>5020399000-322-2020</t>
  </si>
  <si>
    <t>PRODUCT DEVELOPMENT FOR W &amp; H CLIENTS IN SORSOGON CITY</t>
  </si>
  <si>
    <t>5020301000-313-2020</t>
  </si>
  <si>
    <t>CONSTRUCTION OF FENCE (PHASE-1)</t>
  </si>
  <si>
    <t>REPAIR / IMPROVEMENT OF MULTI-PURPOSE HALL( ROOFING EXT.)</t>
  </si>
  <si>
    <t>Purok 22 Barangay Road Baan Km3 Butuan City</t>
  </si>
  <si>
    <t>Supply and Delivery of 6 units Geotagging Device for use in monitoring of DA programs and projects for use of Regional AFC Members with an ABC of P100,728.00 &amp; PR#DA3-2020-06-24-314</t>
  </si>
  <si>
    <t>5020301000-312-2020</t>
  </si>
  <si>
    <t>5020399000-333-2020</t>
  </si>
  <si>
    <t>Purchase of Vitamins use for Supplemental Feeding on Nutrition Month at Calasiao, Pangasinan</t>
  </si>
  <si>
    <t>FABRICATION OF DOORS AND WINDOWS GRILL</t>
  </si>
  <si>
    <t>5020305000-336-2020</t>
  </si>
  <si>
    <t>5020301000-332-2020</t>
  </si>
  <si>
    <t>RFQ SUPPLY OF MATERIALS AND LABOR FOR THE IMPROVEMENT AND REPAIR OF WAREHOUSE ROOFING AND GUTTER</t>
  </si>
  <si>
    <t>PR #6983 RM-MV939</t>
  </si>
  <si>
    <t>5020301000-366-2020</t>
  </si>
  <si>
    <t>Supply &amp; Delivery of OTHER PPE-Office of the Municipal Treasurer</t>
  </si>
  <si>
    <t>Purchase of Materials for the Comprehensive Improvement of Buenavista Road Network (Const. of Access Road) at Sitio Wawan, Brgy. San Isidro - M.E.O.</t>
  </si>
  <si>
    <t>5020305000-339-2020</t>
  </si>
  <si>
    <t>Improvement of Flood Canal and Drainage Ditch</t>
  </si>
  <si>
    <t>PR #6984 RM/MVABN6892</t>
  </si>
  <si>
    <t>INSTALLATION / REPLACEMENT OF STREET LIGHTS ALONG NATIONAL HIGHWAY</t>
  </si>
  <si>
    <t>5020201000-341-2020</t>
  </si>
  <si>
    <t>RFQ-Materials for the Construction of Guardhouse</t>
  </si>
  <si>
    <t>5020399000-363-2020</t>
  </si>
  <si>
    <t>Purok 25-27 Barangay Road Baan Km3 Butuan City</t>
  </si>
  <si>
    <t>SUPPLY AND INSTALLATION OF PARTITION ON PRINCIPAL'S OFFICE AT DUALE ELEMENTARY SCHOOL</t>
  </si>
  <si>
    <t>5020399000-340-2020</t>
  </si>
  <si>
    <t>Purok 6 Barangay Road Baan Km3 Butuan City</t>
  </si>
  <si>
    <t>PROCUREMENT OF MEALS AND SNACKS</t>
  </si>
  <si>
    <t>Supply and Delivery of Office Supplies and Computer Printer Inks &amp; Cartridges</t>
  </si>
  <si>
    <t>5020201000-364-2020</t>
  </si>
  <si>
    <t>Procurement of Drugs &amp; Medicines</t>
  </si>
  <si>
    <t>5020301000-368-2020</t>
  </si>
  <si>
    <t>5020399000-338-2020</t>
  </si>
  <si>
    <t>5020301000-346-2020</t>
  </si>
  <si>
    <t>5020399000-365-2020</t>
  </si>
  <si>
    <t>Sealed Quotation - One (1) Lot Supply and Delivery of Various Computer Equipment</t>
  </si>
  <si>
    <t>5020301000-345-2020</t>
  </si>
  <si>
    <t>Additional Community Development Specialist (CDS) for the Metro Manila Flood Management Project (MMFMP) - Phase 1, Component 4</t>
  </si>
  <si>
    <t>5020399000-309-2020</t>
  </si>
  <si>
    <t>5020399000-367-2020</t>
  </si>
  <si>
    <t>5021305003-264-2020</t>
  </si>
  <si>
    <t>Supply and Delivery of Various Goods and Services</t>
  </si>
  <si>
    <t>5020301000-342-2020</t>
  </si>
  <si>
    <t>5020301000-226-2020</t>
  </si>
  <si>
    <t>Supply &amp; Delivery of I.T. Equipment- Office of the Municipal Treasurer</t>
  </si>
  <si>
    <t>5020305000-344-2020</t>
  </si>
  <si>
    <t>Supply and Delivery of Materials for Fabrication of Pipe Supports in connection with the Waterline Extension Project in Imbang Bridge Crossing Pipeline, Brgy. E. Lopez for Silay City Water District</t>
  </si>
  <si>
    <t>Procurement of Equipment for Research – Hybrid Trimaran Project</t>
  </si>
  <si>
    <t>5029902000-343-2020</t>
  </si>
  <si>
    <t>5020399000-372-2020</t>
  </si>
  <si>
    <t>5020305000-355-2020</t>
  </si>
  <si>
    <t>CONSTRUCTION OF MULTI-PURPOSE PAVEMENT</t>
  </si>
  <si>
    <t>5020399000-190-2020</t>
  </si>
  <si>
    <t>5029905003-353-2020</t>
  </si>
  <si>
    <t>construction supply and materials</t>
  </si>
  <si>
    <t>Catering services for the conduct of  Farmer Poultry School on Halal Free Range Chicken Production (3 batches)</t>
  </si>
  <si>
    <t>5020399000-371-2020</t>
  </si>
  <si>
    <t>Supply and Delivery of livelihood kits for th MSMEs under LSB-NSB</t>
  </si>
  <si>
    <t>5020399000-352-2020</t>
  </si>
  <si>
    <t>office equipment</t>
  </si>
  <si>
    <t>CONCRETING OF PUERTO BELLO CORE LOCAL ROADS</t>
  </si>
  <si>
    <t>5020301000-350-2020</t>
  </si>
  <si>
    <t>5020399000-354-2020</t>
  </si>
  <si>
    <t>Procurement of Technical and Scientific Equipment of ASU-CFMS and ASU-CHARRM (Rebid)</t>
  </si>
  <si>
    <t>5020305000-348-2020</t>
  </si>
  <si>
    <t>Procurement of IT Equipment for ASU-Main Campus</t>
  </si>
  <si>
    <t>5020305000-347-2020</t>
  </si>
  <si>
    <t>SVP 20-0238-A - Purchase of units Tablet.</t>
  </si>
  <si>
    <t>5020301000-337-2020</t>
  </si>
  <si>
    <t>5020305000-369-2020</t>
  </si>
  <si>
    <t>5020305000-351-2020</t>
  </si>
  <si>
    <t>Sealed Quotation - One (1) Lot Supply of Mobile Phone and Prepaid Cards</t>
  </si>
  <si>
    <t>EXPANSION/REHABILITATION OF MERIDA FISH PORT PHASE II</t>
  </si>
  <si>
    <t>5020399000-357-2020</t>
  </si>
  <si>
    <t>5021304001-132-2020</t>
  </si>
  <si>
    <t>5020305000-361-2020</t>
  </si>
  <si>
    <t>5020399000-360-2020</t>
  </si>
  <si>
    <t>Materials for the Installation of Additional Water Lines @ Purok Sta. Maria, Brgy. Taggat Sur</t>
  </si>
  <si>
    <t>5020301000-359-2020</t>
  </si>
  <si>
    <t>IMPROVEMENT/REHABILITATION OF DAY CARE CENTER AT BRGY. SAN JOSE, MERIDA</t>
  </si>
  <si>
    <t>5020305000-362-2020</t>
  </si>
  <si>
    <t>REHABILITATION OF MAHAYAG CORE LOCAL ROADS</t>
  </si>
  <si>
    <t>Supply and delivery of Various Products for the LSP-NSB Project</t>
  </si>
  <si>
    <t>Procurement of Liquefy Petroleum Gas (LPG )</t>
  </si>
  <si>
    <t>IMPROVEMENT/REHABILITATION OF DAY CARE CENTER AT BRGY. CABALIWAN, MERIDA</t>
  </si>
  <si>
    <t>5020301000-356-2020</t>
  </si>
  <si>
    <t>SUPPLY &amp; DELIVERY OF OFFICE SUPPLIES - PPDO</t>
  </si>
  <si>
    <t>SUPPLY &amp; DELIVERY OF MEALS &amp; SNACKS OF 200 FARMERS/FISHERFOLKS FOR THE PROGRAM MANAGEMENT OF SAAD - PPDO</t>
  </si>
  <si>
    <t>SUPPLY &amp; DELIVERY OF MOBILIZATION/TRANSPORTATION OF 200 FARMERS/FISHERFOLKS FOR THE PROGRAM MANAGEMENT OF SAAD - PPDO</t>
  </si>
  <si>
    <t>One (1) Unit Brand New Mini Dump Truck</t>
  </si>
  <si>
    <t>ITB No. 20-059: Supply and Delivery of Various Dietary Perishables (Line Bidding) (FRAMEWORK AGREEMENT)</t>
  </si>
  <si>
    <t>5021305003-358-2020</t>
  </si>
  <si>
    <t>Supply &amp; Delivery of One Unit Multifunctional Copier Machine for Cantilan Pilot School</t>
  </si>
  <si>
    <t>CONSTRUCTION OF FARMER'S MULTI-PURPOSE SHED CUM INFO CENTER AND BODEGA (PHASE III)</t>
  </si>
  <si>
    <t>RFQ for MOOE for the Month of June 2020</t>
  </si>
  <si>
    <t>5021305002-263-2020</t>
  </si>
  <si>
    <t>5021305002-260-2020</t>
  </si>
  <si>
    <t>Supply &amp; Delivery of Materials for Rehabilitation of San Pedro Road and Bridge</t>
  </si>
  <si>
    <t>Supply &amp; Delivery of One Unit Multifunctional Copier Machine for Parang Elementary School</t>
  </si>
  <si>
    <t>PROCUREMENT AND DELIVERY OF ICT EQUIPMENT</t>
  </si>
  <si>
    <t>Supply &amp; Delivery of Equipment and Facilities for New Slaughter House</t>
  </si>
  <si>
    <t>Procurement of Table Wares</t>
  </si>
  <si>
    <t>UPPER TIPARAK ES MOOE (MAY &amp; JUNE 2020)</t>
  </si>
  <si>
    <t>SUPPLY &amp; DELIVERY OF MEALS &amp; ACCOMMODATION FOR THE CONDUCT CULTURAL MAPPING ON ASSETS AND ARTS ON NOVEMBER 9 - DECEMBER 31, 2020 (4 CLUSTERS) - TOURISM OFFICE</t>
  </si>
  <si>
    <t>SUPPLY &amp; DELIVERY OF MEALS, SNACKS &amp; ACCOMMODATION FOR THE ORGANIZATION/RECONSTITUTE CULTURE AND THE ARTS COUNCIL ON AUGUST 25-26, 2020 - TOURISM OFFICE</t>
  </si>
  <si>
    <t>Power Generation and distributionMachinery</t>
  </si>
  <si>
    <t>School Educational Materials and Supplies</t>
  </si>
  <si>
    <t>SUPPLY AND DELIVERY OF 5.56MM, BALL, M193, AMMUNITION FOR THE MONTH OF JUNE, 2020</t>
  </si>
  <si>
    <t>SUPPLY &amp; DELIVERY OF SUPPLIES AND MATERIALS FOR THE CONDUCT CULTURAL MAPPING ON ASSETS AND ARTS ON NOVEMBER 9 - DECEMBER 31, 2020 (4 CLUSTERS) - TOURISM OFFICE</t>
  </si>
  <si>
    <t>Purchase of Construction Supplies</t>
  </si>
  <si>
    <t>Office Equipment Supplies and Consumables</t>
  </si>
  <si>
    <t>GUAGUA ELEMENTARY SCHOOL FLU VACCINE</t>
  </si>
  <si>
    <t>Invitation to Bid Purchase of Equipment for Daycare Center Used</t>
  </si>
  <si>
    <t>SUPPLY AND DELIVERY OF RAPID ANTIBODY TEST KIT</t>
  </si>
  <si>
    <t>Purchase of various Medical Supplies</t>
  </si>
  <si>
    <t>Purchase of various Equipment</t>
  </si>
  <si>
    <t>Purchase of School Supplies</t>
  </si>
  <si>
    <t>CONCRETING OF ROAD WITH BOX CULVERT @ P.I.A.T. Center/Central Terminal, Piat, Cagayan</t>
  </si>
  <si>
    <t>PROCUREMENT OF SUPPLIES / MATERIALS re : 2nd quarter Supplies for Division Office 2020 (COVID-19) re :  Review on the 3rd Quarter Reports, use of Budget Monitoring System, Unified Reporting System Enc</t>
  </si>
  <si>
    <t>SUPPLY &amp; DELIVERY OF TRANSPORTATION FOR THE CONDUCT CULTURAL MAPPING ON ASSETS AND ARTS ON NOVEMBER 9 - DECEMBER 31, 2020 (4 CLUSTERS) - TOURISM OFFICE</t>
  </si>
  <si>
    <t>Supply and Delivery of Micropipettor, Single channel(PR#20-06-0829)</t>
  </si>
  <si>
    <t>INVITATION TO APPLY FOR ELIGIBILITY AND TO BID</t>
  </si>
  <si>
    <t>RFQ2020-07-013 GAA Procurement of service provider for the Internet Conneciton Service- Secondary for the UniFAST Office use for five (5) months</t>
  </si>
  <si>
    <t>Public Bidding of 3 Lots for the Supply and Delivery of Diesel and Motor Oil for Roxas City PNP, City Assessor’s Office and Roxas City Disaster Risk Reduction and Management Office under ITB No. 2020-</t>
  </si>
  <si>
    <t>FOR HEALTH AND EMERGENCY FRONTLINERS THAT PROVIDE PUBLIC HEALTH SERVICES, VOLUNTEERS WHO RESPONDED AND PARTICIPATED AT CHECKPOINTS AND LGU PERSONNELS DIRECTLY INVOLVED IN THE IMPLEMENTATION OF COVID -</t>
  </si>
  <si>
    <t>REPAIR AND MAINTENANCE - INFRASTRUCTURE ASSETS (ROAD NETWORK @ SAN ISIDRO),MINALIN, PAMPANGA</t>
  </si>
  <si>
    <t>Supply, Delivery. Installation and Furnishing of Six (6) units 20-Footer Container Van</t>
  </si>
  <si>
    <t>RFQ2020-07-012 GAA Procurement of service provider for the Internet Conneciton Service- Primary for the UniFAST Office use for five (5) months</t>
  </si>
  <si>
    <t>Procurement of Supplies for  Riso Machine for Printing of Offline Modular Alternative Learning Modules</t>
  </si>
  <si>
    <t>Purchase of various supplies and reusable/washable facemask for the use of Brgy. Pinagbuhatan, Pasig City</t>
  </si>
  <si>
    <t>General Merchandise-Second Quarter</t>
  </si>
  <si>
    <t>CONSTRUCTION OF CHB LINE CANAL AT CAMPUPOT STREET, BRGY. STO. DOMINGO, MINALIN, PAMPANGA</t>
  </si>
  <si>
    <t>Purchase of Tanod Uniform &amp; Supplies</t>
  </si>
  <si>
    <t>PROCUREMENT OF 10  -3 MONTHS OLD GILT FOR THE TANGING YAMAN LIVESTOCK PROGRAM  OF THE CITY VET OFFICE</t>
  </si>
  <si>
    <t>Purchase of assorted frozen food packs to be distributed to the residents for Brgy. Pinagbuhatan, Pasig City</t>
  </si>
  <si>
    <t>Supply and Delivering of Medicine</t>
  </si>
  <si>
    <t>Purchase of Vehicle Parts &amp; Accessories</t>
  </si>
  <si>
    <t>Repair of Infant Incubator</t>
  </si>
  <si>
    <t>Procurement of Supplies for Production of Offline Modular Alternative Learning Modules</t>
  </si>
  <si>
    <t>Procurement of Medical Supplies</t>
  </si>
  <si>
    <t>Purchase of Commercial Rice</t>
  </si>
  <si>
    <t>RFQ-office supplies-MTPB-SAH</t>
  </si>
  <si>
    <t>PROCUREMENT  OF VARIOUS VEG. SEEDS FOR TUPAD POST COVID INTERVENTION PROGRAM</t>
  </si>
  <si>
    <t>Purchase of Nebulizer</t>
  </si>
  <si>
    <t>Sealed Quotation - One (1) Lot Supply, Delivery and Installation of Various Furniture</t>
  </si>
  <si>
    <t>Procurement of Newborn Screening Test Kits</t>
  </si>
  <si>
    <t>Purchase of Cooking Gas</t>
  </si>
  <si>
    <t>Printing of Learning Packets for JHS Students in Bignay NHS for S. Y. 2020-2021 (First Month)</t>
  </si>
  <si>
    <t>Public Bidding for the Supply and Delivery of Diesel for Solid Waste Management Unit under ITB No. 2020-013-A</t>
  </si>
  <si>
    <t>REPAIR &amp; MAINTENANCE OF TOILET PARTITON (4TH FLOOR) @ CITY HALL BLDG.</t>
  </si>
  <si>
    <t>SUPPLY AND DELIVERY OF I.T. EQUIPMENT FOR THE CITY HEALTH OFFICE</t>
  </si>
  <si>
    <t>PROCUREMENT  OF CAMERA BODY WITH LENS AND MEMORY CARD</t>
  </si>
  <si>
    <t>MATERIALS FOR THE REPAIR OF LINED CANAL @ LOWER PAREDES ST., BRGY. ZONE I, CITY OF KORONADAL</t>
  </si>
  <si>
    <t>FABIAN ES MOOE (MAR &amp; APR 2020)</t>
  </si>
  <si>
    <t>Purchase of Search Light</t>
  </si>
  <si>
    <t>SUPPLY AND DELIVERY OF VARIOUS OFFICE EQUIPMENT FOR B.A.C OFFICE</t>
  </si>
  <si>
    <t>Dengue Prevention &amp; Control</t>
  </si>
  <si>
    <t>CONSTRUCTION OF CORE LOCAL ROAD LEADING TO SITIO SAMBAG, BRGY. PUERTO BELLO, MERIDA, LEYTE</t>
  </si>
  <si>
    <t>2ND QUARTER FOOD SUPPLY ASSISTANCE TO BPATS &amp; OTHER PEACEKEEPING FORCES OF THE CITY</t>
  </si>
  <si>
    <t>SUPPLY, INSTALLATION AND ACTIVATION OF CCTV LINE FOR THE TMECS</t>
  </si>
  <si>
    <t>INSTALLATION OF TWO HAND WASHING AREA (5 FAUCET EACH ) WITH ROOF AND DISINFECTANT AREA</t>
  </si>
  <si>
    <t>Purchase of Folding Bed</t>
  </si>
  <si>
    <t>Supply and Delivery of One (1) Unit Ambulance to be used in the Municipal Health Office, Naujan, Oriental Mindoro</t>
  </si>
  <si>
    <t>Purchase of Shovel</t>
  </si>
  <si>
    <t>Hauling and Delivery with Manpower (Truck Loader Rental)</t>
  </si>
  <si>
    <t>MATERIALS FOR THE CONSTRUCTION OF WAITING SHED @ PRK. PAGLAUM, BRGY. PARAISO, CITY OF KORONADAL</t>
  </si>
  <si>
    <t>MATERIALS FOR THE CONSTRUCTION OF CHILDREN’S PLAYGROUND @ ROTONDA PLAZA, BRGY. ROTONDA, CITY OF KORONADAL</t>
  </si>
  <si>
    <t>Laptop for COA</t>
  </si>
  <si>
    <t>Purchase of VHF Handheld Radio</t>
  </si>
  <si>
    <t>Purchase of Rescue Ladder</t>
  </si>
  <si>
    <t>Procurement of Security Services in PRC RO IX (Regional Office in Pagadian and Satellite  Office in Zamboanga City</t>
  </si>
  <si>
    <t>Procurement of Irrigation Water Pump</t>
  </si>
  <si>
    <t>Pag-IBIG Fund CHQ (SUBSCRIPTION OF DATA ANALYSIS SOFTWARE FOR A PERIOD OF TWO (2) YEARS)</t>
  </si>
  <si>
    <t>REHABILITATION OF ROAD</t>
  </si>
  <si>
    <t>CONSTRUCTION OF MULTI- PURPOSE BUILDING</t>
  </si>
  <si>
    <t>AGRICULTURAL MATERIALS &amp; TOOLS TO BE USED FOR THE LAND CARE PROJECT @ SITIO HIGH POINT, BRGY. SAN JOSE, CITY OF KORONADAL</t>
  </si>
  <si>
    <t>Construction of Two Cell Box Culvert with Concrete Approach at Brgy. Pugo Cecilio, Sta. Ignacia, Tarlac - B-CW-2020-033</t>
  </si>
  <si>
    <t>Construction of Model Housing with Livelihood Component at Sitio Baag, Iba, San Jose, Tarlac - B-CW-2020-032</t>
  </si>
  <si>
    <t>Procurement of Medical Supplies for use at the Pharmacy Section of the IPHO-TPH - B-G-2020-098</t>
  </si>
  <si>
    <t>Procurement of Various Rabies Vaccine for the Rabies Prevention and Control Program of the Provincial Government of Tarlac - B-G-2020-101</t>
  </si>
  <si>
    <t>INVITATION TO BID FOR SLOPE PROTECTION</t>
  </si>
  <si>
    <t>SUPPLIES AND DELIVERY OF REPAIR AND MAINTENANCE AND SEMI-EXPENDABLE MEDICAL EQUIPMENT, OTHER SUPPLIES</t>
  </si>
  <si>
    <t>Procurement of One (1) unit Reconditioned Forklift Equipment for use in the Training and Assessment of Forklift NC II at Tarlac Center for Learning and Skills Success - B-G-2020-100</t>
  </si>
  <si>
    <t>Procurement of Fifteen (15) units Tablet Computer, Wi-Fi + Cellular for use at the office of the Sangguniang Panlalawigan - B-G-2020-099</t>
  </si>
  <si>
    <t>SUPPLY &amp; DELIVERY OF 10 UNITS PHOTOCOPYING MACHINES</t>
  </si>
  <si>
    <t xml:space="preserve">Public Bidding of 3 Lots for the Supply and Delivery of Office Supplies, Computer Inks &amp; Cartridges and Janitorial Supplies for the use of Various Offices in the Roxas City Government (2nd Qtr) under </t>
  </si>
  <si>
    <t>Pag-IBIG Fund CHQ (TWO (2) YEARS SUBSCRIPTION OF SECURE SOCKET LAYER (SSL) FOR PAG-IBIG FUND WEBSITE)</t>
  </si>
  <si>
    <t>Purchase of office equipment (computer, battery charger, printer and vault) to be used in the Assessor's Office, Bauan, Batangas</t>
  </si>
  <si>
    <t>Supply and Delivery of ICT Equipment Under 2020 MITHI Program</t>
  </si>
  <si>
    <t>UPGRADING OF ELECTRICAL DISTRIBUTION SYSTEM OF MRH PHASE II</t>
  </si>
  <si>
    <t>Office Supplies and Equipment/Furniture and Fixtures  for the 2nd Quarter MOOE of San Antonio Elementary School</t>
  </si>
  <si>
    <t>CONSTRUCTION/INSTALLATION OF STREET LIGHTS</t>
  </si>
  <si>
    <t>PROCUREMENT OF IT EQUIPMENT AT PANGLAO, BOHOL</t>
  </si>
  <si>
    <t>20CSFO03 - Sub-Soil Analysis and Exploration for Various Proposed Building Projects within Albay 3rd LD</t>
  </si>
  <si>
    <t>purchase and delivery of materials of Kalagangan Central Elementary School</t>
  </si>
  <si>
    <t>Purchase of various alcohol for the use of Brgy. Pinagbuhatan, Pasig City</t>
  </si>
  <si>
    <t>Supply and Delivery of 12,479 Bags Inorganic Fertilizers (46 – 0 – 0), Bid Lot 1</t>
  </si>
  <si>
    <t>Purchase of electrical supplies (OMNI LSL) to be installed and placed at various barangay street lights of LGU Bauan, Batangas</t>
  </si>
  <si>
    <t>Purchase of traffic safety devices on guardrails to be used along Rizal Bdry.- Famy-Quezon Bdry. Road at DPWH- Laguna I District Engineering Office, Sta. Cruz, Laguna</t>
  </si>
  <si>
    <t>Provision of Security Services at DPWH-Laguna I District Engineering Office, M. L. Quezon Avenue, Brgy. Calios, Sta. Cruz, Laguna</t>
  </si>
  <si>
    <t>Construction of Multi Purpose Building, Brgy. Zone 8, Luisiana, Laguna</t>
  </si>
  <si>
    <t>Purchase of Curing Compound Bitumen High Grade to be used in the Repair and maintenance of paved roads along various national roads within DPWH-Laguna I District  Engineering Office, Sta. Cruz, Laguna</t>
  </si>
  <si>
    <t>PROCUREMENT OF AIRCONDITIONING UNITS INCLUDING INSTALLATION AT PANGLAO, BOHOL</t>
  </si>
  <si>
    <t>PROCUREMENT OF FURNITURE AND FIXTURES AT PANGLAO, BOHOL</t>
  </si>
  <si>
    <t>Road widening on Specific Location along Pagsanjan-Lucban, K0107 + 200 – K0107 + 500, K0110 + 060 – K00111 + 000, K0113 + 615 – K0114 + 510 Sta. Cruz, Laguna, Luisiana, Laguna</t>
  </si>
  <si>
    <t>PROCUREMENT OF DIVING EQUIPMENT FOR CRM COUNCIL AT PANGLAO, BOHOL</t>
  </si>
  <si>
    <t>Supply/delivery of Tires for Mitsubishi Adventure</t>
  </si>
  <si>
    <t>Improvement of Production Center, Phase II (Labor Only)</t>
  </si>
  <si>
    <t>Supply/delivery of materials for the Improvement of Production Center (Phase II)</t>
  </si>
  <si>
    <t>Construction of Green Rest Room (Municipal Public Market)</t>
  </si>
  <si>
    <t>Supply and Delivery of 3,721 Bags Inorganic Fertilizers (14 – 14 – 14), Bid Lot 2</t>
  </si>
  <si>
    <t>IMPROVEMENT OF THE OFFICE OF THE BARANGAY AFFAIRS AT PANGLAO, BOHOL</t>
  </si>
  <si>
    <t>CONSTRUCTION OF EMERGENCY ACCESS DOOR &amp; STEEL STAIRS FOR THE OFFICE OF THE SB SECRETARY AT PANGLAO, BOHOL</t>
  </si>
  <si>
    <t>Lens, Camera, 16-55mm</t>
  </si>
  <si>
    <t>PROCUREMENT OF 2 UNITS MOTORCYCLE PATROLL AND 2 UNITS UNCUSTOMIZED MOTORCYCLE (ALL BRAND NEW)</t>
  </si>
  <si>
    <t>PROCUREMENT OF FIRE FIGHTING &amp; RESCUE AND SAFETY EQUIPMENT</t>
  </si>
  <si>
    <t>Contract ID: 20MB0154 : WORK CATEGORY 18 - TRAFFIC SERVICES MAINTENANCE: ACT 71X-SPECIAL MAINTENANCE-FABRICATION OF KM POST ALONG NATIONAL HIGHWAY, SOUTH COTABATO 1ST ENGINEERING DISTRICT</t>
  </si>
  <si>
    <t>Supply and Delivery of Supplies to be used for the Permanent Service Entrance Installation at DA-RARES Tanay, Rizal.</t>
  </si>
  <si>
    <t>Contract ID: 20MB0152 : REPAIR/MAINTENANCE OF DPWH BUILDING MAIN BUILDING, BRGY. LAGAO, GENERAL SANTOS CITY</t>
  </si>
  <si>
    <t>Request for Quotation - Supply and Delivery of Plumbing Materials use for Cabaasan Source to Coacohon, to STEC School Pipelines (City Admin./Waterworks Division)</t>
  </si>
  <si>
    <t>“Procurement of Various Materials for the Installation of Fourteen (14) Units Jetmatic Pumps”</t>
  </si>
  <si>
    <t>Concreting of Madegnac Bulig Phase II - Madegnac Section</t>
  </si>
  <si>
    <t>Supply/delivery of Tires for Self Loader</t>
  </si>
  <si>
    <t>Procurement of Three Hundred Fifty (350) sacks Feeds</t>
  </si>
  <si>
    <t>Printing of Learning Packets for SHS students of Bignay NHS for S.Y. 2020-2021(First Month)</t>
  </si>
  <si>
    <t>REHABILITATION OF RHU BUILDING</t>
  </si>
  <si>
    <t>REHABILITATION OF MUNICIPAL HALL</t>
  </si>
  <si>
    <t>Subdivision Survey of Survey Module No. LOT-04-SOR-20 &amp; LOT-05-SOR-20 (2nd Posting)</t>
  </si>
  <si>
    <t>20-06-492 Repair and Maintenance of DH6 II Bulldozer</t>
  </si>
  <si>
    <t>REHAB/IMPROVEMENT OF LEVEL II POTABLE WATER SYSTEM, BAGULIN, LA UNION</t>
  </si>
  <si>
    <t>MEDICAL SUPPLIES</t>
  </si>
  <si>
    <t>Purchase of 1 unit Basketball ring and 1 piece net</t>
  </si>
  <si>
    <t>PUBLICATION OF ORDINANCE</t>
  </si>
  <si>
    <t>CONTINUATION OF CONCRETING OF BRGY. PATHWAY</t>
  </si>
  <si>
    <t>Physical Improvement-Second Quarter</t>
  </si>
  <si>
    <t>KES-MOOE-2020-0001</t>
  </si>
  <si>
    <t>Purchase of One (1) unit Brand New Ambulance Vehicle with Complete Equipment and Accessories at Dinapigue, Isabela</t>
  </si>
  <si>
    <t>SUPPLY &amp; DELIVERY OF VARIOUS SPORTS MATERIALS</t>
  </si>
  <si>
    <t>CONSTRUCTION SUPPLIES</t>
  </si>
  <si>
    <t>REHABILITATION OF ISOLATION COMFORT ROOM AT BARANGAY HALL COMPOUND, LATAR, ARITAO, NUEVA VIZCAYA</t>
  </si>
  <si>
    <t>improvement of multi purpose building</t>
  </si>
  <si>
    <t>Supply and Delivery of One Thousand Five Hundred (1,500) heads RTL chicken</t>
  </si>
  <si>
    <t>SUPPLY AND DELIVERY OF TIRES</t>
  </si>
  <si>
    <t>Office supplies</t>
  </si>
  <si>
    <t>WASHABLE FACE MASKS FOR THE IMPLEMENTATION OF LSP - NSB IN NORTHERN SAMAR</t>
  </si>
  <si>
    <t>Supply/delivery of Tires for Sinotruck</t>
  </si>
  <si>
    <t>NG2020-07-003 Supply &amp; delivery of Electrical Tools</t>
  </si>
  <si>
    <t>Supply of Electrical Materials for the Construction of Additional Streetlights</t>
  </si>
  <si>
    <t>20GPM008 PURCHASE OF SURVEY EQUIPMENT FOR USE AT THE PLANNING AND DESIGN SECTION</t>
  </si>
  <si>
    <t>PRINTING OF LEARNING PACKETS/MODULES FOR KINDER TO GRADE SIX</t>
  </si>
  <si>
    <t>Invitation to bid for Construction for the Improvement of Multi-purpose hall at Brgy. D, Tayug Pangasinan in the amount of One Hundred Thousand pesos (Php 100,000.00)</t>
  </si>
  <si>
    <t>Procurement of Ammunition PR # 2020-06-24-215</t>
  </si>
  <si>
    <t>MATERIALS FOR THE CONSTRUCTION OF PUBLIC UTILITY TERMINAL (2ND BIDDING)</t>
  </si>
  <si>
    <t>Supply/delivery of Tires for Firetruck</t>
  </si>
  <si>
    <t>MATERIALS FOR THE IMPROVEMENT OF EVACUATION CENTER (2ND BIDDING)</t>
  </si>
  <si>
    <t>Printing of Learning Packets/Modules for Kinder to Grade 6</t>
  </si>
  <si>
    <t>PRINTING OF LEARNING PACKETS/ MODULES K-Grade 6</t>
  </si>
  <si>
    <t>20GPM007 PURCHASE OF I.T. EQUIPMENT FOR USE AT THE PLANNING AND DESIGN SECTION</t>
  </si>
  <si>
    <t>PURCHASE OF 1-UNIT FIRE TRUCK</t>
  </si>
  <si>
    <t>MATERIALS FOR THE RIPRAPPING OF CREEK BETWEEN LOT NO. 3511 AND 3514, TS 203 (2ND BIDDING)</t>
  </si>
  <si>
    <t>SUPPLY AND DELIVERY OF PRINTED MATERIALS</t>
  </si>
  <si>
    <t>PURCHASE OF 1-UNIT HEAVY EQUIPMENT (ROAD ROLLER – 3TONNER)</t>
  </si>
  <si>
    <t>SK FUND 2020 I.T EQUIPMENT SOUND SYSTEM SUPPLIES DEVICE AND GENERAL MERCHANDISE</t>
  </si>
  <si>
    <t>Request for Quotation for Module/Learning Pocket</t>
  </si>
  <si>
    <t>CONSTRUCTION OF BRGY. PATHWAY</t>
  </si>
  <si>
    <t>Opening of Barangay Roads, Purok Salukag, Brgy. New Carmen, Tacurong City (Re-Bidding)</t>
  </si>
  <si>
    <t>50,000 COPIES OF EFLC PRIMER</t>
  </si>
  <si>
    <t>Supply &amp; Delivery of medical &amp; dental supplies &amp; materials 05D Med, Den &amp; Res G08-2020</t>
  </si>
  <si>
    <t>Rehabilitation of Multi-Purpose Building (VAWC, BCPC), Brgy. Site, Brgy. New Carmen, Tacurong City (Re-Bidding)</t>
  </si>
  <si>
    <t>RFQ2020-07-014 GAA Procurement of service provider for the Human Resource Assessment Tool to be used for recruitment, placement, promoripnand other HR Related System</t>
  </si>
  <si>
    <t>Invitation to bid for Supply and Delivery and installation of STREETLIGHTS LIGHTS at Barangay D Tayug, Pangasinan in the amount of One Hundred Thousand pesos (Php 100,000.00)</t>
  </si>
  <si>
    <t>CONSTRUCTION OF PUBLIC MARKET - FOOD COURT</t>
  </si>
  <si>
    <t>Construction of Drainage Canal, Purok Pagkakaisa going to Children’s Grace of Mary Elementary &amp; High School, Brgy. New Carmen, Tacurong City (Re-Bidding)</t>
  </si>
  <si>
    <t>IMPROVEMENT OF MULTI-PURPOSE PAVEMENT BESIDE BARANGAY HALL</t>
  </si>
  <si>
    <t>SADGES-2020-07-0001</t>
  </si>
  <si>
    <t>Supply &amp; Delivery of hardware supplies &amp; materials 05D AugGASS G10-2020</t>
  </si>
  <si>
    <t>SK FUND 2020 OTHER PROPERTY PLAN AND EQUIPMENT FURNITURE &amp; FIXTURE SUPPLIES DEVICE AND GENERAL MERCHANDISE</t>
  </si>
  <si>
    <t>SUPPLIES FOR THE IMPLEMENTATION OF LSP - NSB IN NORTHERN SAMAR</t>
  </si>
  <si>
    <t>Procurement of COVID19-Rapid Test Kits</t>
  </si>
  <si>
    <t>DIPLOMA AND RIBBON</t>
  </si>
  <si>
    <t>Supply and delivery of various office equipment to be used primarily in mapping of corn production areas with PR #287-06-22-2020 and ABC of Php500,000.00</t>
  </si>
  <si>
    <t>Purchase and Delivery of Fuels of the MAgri Office</t>
  </si>
  <si>
    <t>Calibration and Maintenance of Various Laboratory Equipment</t>
  </si>
  <si>
    <t>Purchase and Delivery of Smart Cards for the BAC office</t>
  </si>
  <si>
    <t>CONSTRUCTION OF BOX CULVERT AT BARANGAY TAGBAC SUR, OTON, ILOILO</t>
  </si>
  <si>
    <t>SUPPLY AND DELIVERY OF FISHING PARAPHERNALIA</t>
  </si>
  <si>
    <t>Repair of Parameter Fence back portion Phase 1</t>
  </si>
  <si>
    <t>Calibration and Preventive Maintenance of Biosafety Cabinet Model ESCO AC2-4S8-NS</t>
  </si>
  <si>
    <t>CONSTRUCTION OF DRAINAGE CANAL (BRGY. AUDITORIUM, PAGSANGAHAN)</t>
  </si>
  <si>
    <t>SUPPLY AND DELIVERY OF FEEDING SUPPLIES</t>
  </si>
  <si>
    <t>SUPPLY OF LABOR AND MATERIALS  FOR THE REHABILITATION OF DRAINAGE CANAL</t>
  </si>
  <si>
    <t>Printing of Learning Packets/Modules for K-Grade 6</t>
  </si>
  <si>
    <t>PROCUREMENT OF SUPPLY AND DELIVERY OF 1 UNIT CORN SHELLER</t>
  </si>
  <si>
    <t>ITDI-200465 - SUPPLY OF LABOR AND MATERIALS FOR THE REPAIR/RENOVATION OF BRICK-MAKING FACILITY AT BRGY. BANDOJA, TIBIAO, ANTIQUE</t>
  </si>
  <si>
    <t>MOOE</t>
  </si>
  <si>
    <t>Supply &amp; Delivery of portable sound system 01D CO G12-2020</t>
  </si>
  <si>
    <t>PROCUREMENT OF SUPPLY AND DELIVERY OF 2 UNITS COMPACT TYPE CORN MILL</t>
  </si>
  <si>
    <t>ITDI-200463 - SUPPLY AND DELIVERY OF VARIOUS LABORATORY SUPPLIES</t>
  </si>
  <si>
    <t>Procurement of Consulting Services - Preparation of EIS and Facilitation of ECC Application</t>
  </si>
  <si>
    <t>Purchase and Delivery of Weighing Scale and Plastic bags of the MDRRMO</t>
  </si>
  <si>
    <t>ITDI-200462 - SUPPLY AND DELIVERY OF ANTI-STATIC CLEAN ROOM LABORATORY GOWN</t>
  </si>
  <si>
    <t>CONTRUCTION OF PERIMETER FENCE</t>
  </si>
  <si>
    <t>Purchase of Disaster Equipment &amp; Paraphernalia</t>
  </si>
  <si>
    <t>Purchase of Motorcycle</t>
  </si>
  <si>
    <t>CONSTRUCTION OF ACCESS ROAD</t>
  </si>
  <si>
    <t>PURCHASE OF PATROL VEHICLE</t>
  </si>
  <si>
    <t>Purchase of Materials in the Reproduction of Modules</t>
  </si>
  <si>
    <t>BAMBOO SEEDLINGS</t>
  </si>
  <si>
    <t>20-011 - CONCRETING OF COSTA RICA LOCAL ACCESS ROAD</t>
  </si>
  <si>
    <t>Procurement of Office Supplies &amp; Consumables</t>
  </si>
  <si>
    <t>Repair and Maintenance of Barangay Vehicles</t>
  </si>
  <si>
    <t>Request for Quotation for Curtain Rod and Curtain Rod Holder</t>
  </si>
  <si>
    <t>C20203731 Office Supplies for PEO-SMAD.</t>
  </si>
  <si>
    <t>Procurement of various school supplies</t>
  </si>
  <si>
    <t>Supply and delivery of 25 pax (3 Meals and 2 snacks/pax/day for four (4) days) in Barcenaga, Naujan, Oriental Mindoro</t>
  </si>
  <si>
    <t>Conduct of DROM/P Training for Area Coordinating Teams under Kalahi-CIDSS NCDDP [Taganaan SDN]</t>
  </si>
  <si>
    <t>Conduct of DROM/P Training for Area Coordinating Teams under Kalahi-CIDSS NCDDP [Malimono SDN]</t>
  </si>
  <si>
    <t>Conduct of DROM/P Training for Area Coordinating Teams under Kalahi-CIDSS NCDDP [Placer SDN]</t>
  </si>
  <si>
    <t>C20203729 IT Equpment for the use of Municipal Assessor &amp; PASSO DDN.</t>
  </si>
  <si>
    <t>Procurement of Medical? Dental Supplies</t>
  </si>
  <si>
    <t>CONSTRUCTION OF DRAINAGE SYSTEM PUROK 1</t>
  </si>
  <si>
    <t>Conduct of DROM/P Training for Area Coordinating Teams under Kalahi-CIDSS NCDDP [Madrid SDS]</t>
  </si>
  <si>
    <t>Purchase of Construction Materials for the Construction of Signage's  (4 units)</t>
  </si>
  <si>
    <t>Supply &amp; Delivery of ICT supplies and materials  01D GASS &amp; HES G14-2020</t>
  </si>
  <si>
    <t>Conduct of DROM/P Training for Municipal Coordinating Teams under Kalahi-CIDSS NCDDP [San Jose PDI]</t>
  </si>
  <si>
    <t>Conduct of DROM/P Training for Municipal Coordinating Teams under Kalahi-CIDSS NCDDP [Basilisa PDI]</t>
  </si>
  <si>
    <t>Procurement of Laboratory Supplies (Blood)</t>
  </si>
  <si>
    <t>Request for Quotation for Mask with Nose Bar, Ear Lope, 3 ply, 50's</t>
  </si>
  <si>
    <t>Conduct of DROM/P Training for Municipal Coordinating Teams under Kalahi-CIDSS NCDDP [Malimono SDN]</t>
  </si>
  <si>
    <t>Conduct of DROM/P Training for Municipal Coordinating Teams under Kalahi-CIDSS NCDDP [Taganaan SDN]</t>
  </si>
  <si>
    <t>RIP RAP AT LEGASPI AND DELIMA STREET</t>
  </si>
  <si>
    <t>Procurement of Materials for Making IMs for Teachers</t>
  </si>
  <si>
    <t>Conduct of DROM/P Training for Area Coordinating Teams under Kalahi-CIDSS NCDDP [San Francisco SDN]</t>
  </si>
  <si>
    <t>UPLB-I-018-07-20 SUPPLY, DELIVERY AND INSTALLATION OF AIRCONDITIONING UNITS FOR INSTITUTE OF CHEMISTRY</t>
  </si>
  <si>
    <t>CONSTRUCTION OF CONCRETE PATHWALK OF BRGY. MALITBOG AT ZONE 3 SITIO SINAMPAGA</t>
  </si>
  <si>
    <t>Purchase of Procurement of Preparedness and Other Euipage</t>
  </si>
  <si>
    <t>Procurement of Various School Forms</t>
  </si>
  <si>
    <t>Conduct of DROM/P Training for Area Coordinating Teams under Kalahi-CIDSS NCDDP [Dinagat PDI]</t>
  </si>
  <si>
    <t>Labor for Construction of Hazardous Facility and Storage Room at CvSU Indang Campus</t>
  </si>
  <si>
    <t>C20203720 Airconditioning System for  DDNH-KZ new building use</t>
  </si>
  <si>
    <t>Purchase of Photocopier for DepEd Valencia District</t>
  </si>
  <si>
    <t>PROCUREMENT OF SUPPLIES AND MATERIALS FOR THE CONSTRUCTION OF DRAINAGE SYSTEM AT BGY. CAGAYCAY, GOA, CAMARINES SUR</t>
  </si>
  <si>
    <t>Conduct of DROM/P Training for Area Coordinating Teams under Kalahi-CIDSS NCDDP [Barobo SDS]</t>
  </si>
  <si>
    <t>TARPAULIN PRINTING</t>
  </si>
  <si>
    <t>REHABILITATION AND MAINTENANCE OF BARANGAY SOLAR POWER STREETLIGHTS OF ANTIPOLO</t>
  </si>
  <si>
    <t>PROCUREMENT OF DRUGS AND MEDICINES FOR THE MONTH OF AUGUST CY 2020</t>
  </si>
  <si>
    <t>IMPROVEMENT OF BARANGAY HALL OF ANTIPOLO</t>
  </si>
  <si>
    <t>PurPurchase of Construction Materials for the Rehabilitation of Canal Lining</t>
  </si>
  <si>
    <t>Conduct of DROM/P Training for Area Coordinating Teams under Kalahi-CIDSS NCDDP [Basilisa PDI]</t>
  </si>
  <si>
    <t>Conduct of DROM/P Training for Area Coordinating Teams under Kalahi-CIDSS NCDDP [San Jose PDI]</t>
  </si>
  <si>
    <t>Purchase of Construction Materials for the Rehab/Concreting of Barangay Road Shoulder</t>
  </si>
  <si>
    <t>C20203727 BLOOD PRESSURE MEASURING DEVICE for PROVINCIAL HEALTH OFFICE</t>
  </si>
  <si>
    <t>C20203705 Spare Parts for 63-F16-10P JCB JS-200 Floating Excavator with P.N. 0108-0061-0001</t>
  </si>
  <si>
    <t>Supply &amp; Delivery of Post Harvest Facilities</t>
  </si>
  <si>
    <t>Supply and Delivery of Materials for Fabrication of 10 Movable Bee Houses for CvSU Bee Program</t>
  </si>
  <si>
    <t>OFFICE SUPPLIES FOR THE THIRD QUARTER OF 2020</t>
  </si>
  <si>
    <t>maintenance of street lights p1 - p6</t>
  </si>
  <si>
    <t>Supply and Delivery of Animal Feeds for EBA – Animal Production Unit</t>
  </si>
  <si>
    <t>Supply and Delivery of Materials for Improvement of Pathwalk and Installation of Purifying Tank at the back of Communal Comfort Room at CED</t>
  </si>
  <si>
    <t>Supply and Delivery of Water Tools</t>
  </si>
  <si>
    <t>Supply and Delivery of Non-Accountable Forms for CvSU Silang Campus</t>
  </si>
  <si>
    <t>Procurement of Supplies for the Repair and Maintenance of Barangay Hall Office</t>
  </si>
  <si>
    <t>CONSTRUCTION OF MULTIPURPOSE HALL</t>
  </si>
  <si>
    <t>CONSTRUCTION OF DRAINAGE CANAL AT BARANGAY MINDORO, VIGAN CITY</t>
  </si>
  <si>
    <t>INVITATION TO BID FOR THE PROCUREMENT OF 60 LAPTOP COMPUTERS - RE-BIDDING</t>
  </si>
  <si>
    <t>2020-03 REPRODUCTION OF INSTRUCTIONAL MATERIALS</t>
  </si>
  <si>
    <t>Supply and Delivery of ICT Equipment for Supply Office</t>
  </si>
  <si>
    <t>COVID-19 Personal Protective Equipment (PPE)</t>
  </si>
  <si>
    <t>Procurement of MPLS IPVPN  Wide Area Network Connectivity for PAGCOR Branches and Satellites for a period of  Two (2) Years under ITB No. PB20-02-029CORa-07</t>
  </si>
  <si>
    <t>Purchase of Materials for the Installation of Streetlight</t>
  </si>
  <si>
    <t>Procurement of mats. for Improvement of MP Bldg &amp; Daycare Center</t>
  </si>
  <si>
    <t>PROCUREMENT OF SUPPLIES AND MATERIALS FOR THE CONCRETING OF BARANGAY ROAD AT SITIO CABINITAN, BGY. SAN PEDRO, GOA, CAMARINES SUR</t>
  </si>
  <si>
    <t>supply &amp; delivery of printer &amp; ink to be used at the Office of the Assistant Secretary Designate for Operation PR#2020-07-02-379 w/ ABC of P135,600.00</t>
  </si>
  <si>
    <t>Supply and Delivery of 4 Units Brand New Multi-touch Digital Signage</t>
  </si>
  <si>
    <t>PURCHASE OF 1 UNIT LAPTOP</t>
  </si>
  <si>
    <t>PROCUREMENT OF SUPPLIES AND MATERIALS FOR THE CONCRETING OF BARANGAY ROAD AT SITIO LIP-AK, BGY. CATAGBACAN, GOA, CAMARINES SUR</t>
  </si>
  <si>
    <t>Supply and Delivery of Veterinary Supplies and Laboratory Apparatus</t>
  </si>
  <si>
    <t>PROC OF CIVIL WORKS OF REHAB OF MULTI PURPOSE CONCRETE PAVEMENT</t>
  </si>
  <si>
    <t>PROCUREMENT OF CONSTRUCTION SUPPLIES AND MATERIALS FOR THE CONCRETING OF BARANGAY ROAD (47 LN.M.) @ BLOCK 4</t>
  </si>
  <si>
    <t>student id JHS</t>
  </si>
  <si>
    <t>PURCHASE OF TABLES &amp; CHAIRS (PLASTIC)</t>
  </si>
  <si>
    <t>CONSTRUCTION OF DEEPWELL PUMP WATER SYSTEM AT BARANGAY TUMAWAY, TALISAY, BATANGAS</t>
  </si>
  <si>
    <t>CONCRETING OF BARANGAY ROAD BARANGAY AYUSAN NORTE, VIGAN CITY</t>
  </si>
  <si>
    <t>Procurement of 73,600 Tons Solid Waste (Solid Waste Disposal Services).</t>
  </si>
  <si>
    <t>maintenance of water system</t>
  </si>
  <si>
    <t>Construction of Multi-Purpose Pavement</t>
  </si>
  <si>
    <t>Fabrication of Steel Gate at Provincial Sports Center in Brgy. Cawayan, Catarman, Northern Samar</t>
  </si>
  <si>
    <t>Materials for intramurals</t>
  </si>
  <si>
    <t>PROCUREMENT OF LGU BAND EQUIPMENTS</t>
  </si>
  <si>
    <t>PURCHASE OF COMMERCIAL RICE</t>
  </si>
  <si>
    <t>Procurement of mats. for Improvement of Brgy Facilities</t>
  </si>
  <si>
    <t>PROCUREMENT OF SUPPLIES AND MATERIALS FOR THE CONSTRUCTION OF DRAINAGE SYSTEM AT PANDAY, GOA, CAMARINES SUR.</t>
  </si>
  <si>
    <t>PROCUREMENT OF CONSTRUCTION SUPPLIES AND MATERIALS FOR THE CONCRETING OF BARANGAY ROAD (230 SQ.M.) @ PUROK PINAGPALA</t>
  </si>
  <si>
    <t>20GAA0085: Procurement of Turbo Diesel for use of UPMO-FCMC Service Vehicles, DPWH-INFDEO, Laoag City</t>
  </si>
  <si>
    <t>PROC OF CIVIL WORKS OF ROAD CONCRETING</t>
  </si>
  <si>
    <t>Procurement of Email Subscription for Six (6) Months</t>
  </si>
  <si>
    <t>PROCUREMENT OF CONSTRUCTION SUPPLIES AND MATERIALS FOR THE CONCRETING OF BARANGAY ROAD (230 SQ.M.)@ PUROK MALIGAYA</t>
  </si>
  <si>
    <t>PROC OF CIVIL WORKS FOR ROAD OPENING</t>
  </si>
  <si>
    <t>20GAA0080: Procurement of Tires 17.5 x 25 16 Ply (Tubeless) &amp; Spare Parts for use in the Corrective Maintenance (Replacement of Worn-Out Tires &amp; Spare Parts) of Equipment, Loader, Front End Foton, Mod</t>
  </si>
  <si>
    <t>Water Supply System</t>
  </si>
  <si>
    <t>CONSTRUCTION OF TWENTY (20) UNITS HAND WASHING FACILITY AT VARIOUS SCHOOLS IN TALISAY, BATANGAS</t>
  </si>
  <si>
    <t>20GAA0079: Procurement of Raincoats, Rain Boots &amp; Hand Gloves for use of Maintenance Crew/Personnel, DPWH-INFDEO, Laoag City</t>
  </si>
  <si>
    <t>CONSTRUCTION/INSTALLATION OFSUBMERSIBLE PUMP &amp; WATER TANK AT BARANGAY TRANCA, TALISAY, BATANGAS</t>
  </si>
  <si>
    <t>20GAA0078: Procurement of Geo bag and Tonner bag for the Repair &amp; Maintenance of National Roads and Bridges along Ilocos Norte First District</t>
  </si>
  <si>
    <t>Repair/Improvement of Emergency Room at G.B. Tan Memorial Hospital Laoang, Northern Samar</t>
  </si>
  <si>
    <t>CONSTRUCTION OF REINFORCED CONCRETE PIPE (RCP) DRAINAGE LINE AT SITIO LATAG, TUMAWAY, TALISAY, BATANGAS</t>
  </si>
  <si>
    <t>Installation of CR SHS</t>
  </si>
  <si>
    <t>SUPPLY AND DELIVERY OF FOURTEEN (14) UNITS OF RISO MACHINE</t>
  </si>
  <si>
    <t>RAPID TESTING FOR NOVEL CORONA VIRUS</t>
  </si>
  <si>
    <t>RIP-RAPPING/SLOPE PROTECTION OF SAN VICENTE ELEMENTARY SCHOOL</t>
  </si>
  <si>
    <t>PROCUREMENT OF ADDITIONAL OFFICE SUPPLIES FOR REPRODUCTION OF MODULES FOR LEARNERS</t>
  </si>
  <si>
    <t>20GAA0086: Procurement of Inks for use at UPMO-FCMC, DPWH-INFDEO, Laoag City</t>
  </si>
  <si>
    <t>Infra 2020-030 CREATION OF MENTAL HEALTH AND PSYCHOSOCIAL FIRST AND CENER FOR MENTALLY ILL PATIENT AND CLIMATE CHANGE/DISASTER INCLUDED TRAUMA AND ESTABLISHMENT OF COMMUNITY THERAPEUTIC CENTER FOR DRU</t>
  </si>
  <si>
    <t>UPLB-I-021-07-20 SUPPLY AND DELIVERY OF CONSTRUCTION MATERIALS AND ELECTRICAL SUPPLIES FOR UPO</t>
  </si>
  <si>
    <t>Installation of 16 HD CCTVCameras including Monitor and Coaxial Cables Complete package</t>
  </si>
  <si>
    <t>Goods 2020-03 - Supply and Delivery of BUDDED Calamansi Seedlings</t>
  </si>
  <si>
    <t>student ID SHS</t>
  </si>
  <si>
    <t>SUPPLY AND DELIVERY OF TEN (10) HEADS CROSS BREED DAIRY BUFFALO</t>
  </si>
  <si>
    <t>Purchase of various office supplies at Brgy. Ambulong, Tanauan City, Batangas</t>
  </si>
  <si>
    <t>Purchase of other supplies ( Brgy. Tanod ) at Barangay Ambulong, Tanauan City, Batangas</t>
  </si>
  <si>
    <t>RFQ re: conduct of DAR-III Pre-National Assessment and Monthly EXECOM Meeting on July 9-10, 2020</t>
  </si>
  <si>
    <t>EQUIPMENT RENTAL FOR 10 DAYS</t>
  </si>
  <si>
    <t>Supply, Delivery and Installation of CCTV Cameras in Various Areas of ECC Building</t>
  </si>
  <si>
    <t>Purchase of office equipment at Barangay Ambulong, Tanauan City, Batangas</t>
  </si>
  <si>
    <t>Repair/Improvement of SP Offices at New Capitol Building Brgy. Dalakit Catarman, Northern Samar</t>
  </si>
  <si>
    <t>Additional School and Office Supplies JHS</t>
  </si>
  <si>
    <t>RIP-RAPPING OF CREEK AT QUILING-AYA BRIDGE</t>
  </si>
  <si>
    <t>School Forms SHS</t>
  </si>
  <si>
    <t>PROCUREMENT OF REHABILITATION OF THE EXISTING CROP AND SOIL SCIENCE LABORATORY BUILDING AND UPGRADING OF THE WATER SYSTEM AND ELECTRICAL INSTALLATION OF CAPSU RDE-CSRDC (LOCATED AT CAPSU BURIAS CAMPUS</t>
  </si>
  <si>
    <t>CONTRACT OF SERVICE WITH LABOR AND MATERIALS FOR THE REPAIR OF ROOFING AT FISH SECTION AREA</t>
  </si>
  <si>
    <t>20GAA0088: Procurement of Janitorial Supplies for use at UPMO-FCMC, DPWH-INFDEO, Laoag City</t>
  </si>
  <si>
    <t>Ceiling Fan - CapSU Burias - STF</t>
  </si>
  <si>
    <t>Barangay 769 BDF "INSTALLATION OF STREETLIGHTS" 2019</t>
  </si>
  <si>
    <t>MOOE  &amp; BDF 2020 - Electrical Supplies, Rehabilitation of Streetlights, supplies, devices &amp; gen. mdse.</t>
  </si>
  <si>
    <t>Bread Slicer, Etc - CapSU Roxas STF</t>
  </si>
  <si>
    <t>Airflow meter, Etc - CapSU Burias</t>
  </si>
  <si>
    <t>PROCUREMENT OF VARIOUS OILS FOR OSHKOSH STRIKER FIRETRUCKS AT ARFF DAVAO INTERNATIONAL AIRPORT</t>
  </si>
  <si>
    <t>Infra 2020-029 SEPARATED DETENTION CENTER FOR JUVENILE DELINQUENT, Barangay 3 Poblacion Catbalogan City</t>
  </si>
  <si>
    <t>MOOE, CO &amp; BDF 2020 - Office Supplies, Kiddie Chairs &amp; Tables, Rehabilitation of Streetlights, supplies, devices &amp; gen. mdse.</t>
  </si>
  <si>
    <t>Purchase of supplies &amp; materials ( Day Care Center ) at Barangay Ambulong, Tanauan City, Batangas</t>
  </si>
  <si>
    <t>PROCUREMENT OF HERBICIDE (ROUND UP)</t>
  </si>
  <si>
    <t>SUPPLLY, DELIVERY AND INSTALLATION OF PAYROLL PRINTER</t>
  </si>
  <si>
    <t>SUPPLY AND DELIVERY OF VARIOUS SUPPLIES FOR MOVING UP CEREMONY</t>
  </si>
  <si>
    <t>YDP 2020 - Powdered Xerox Machine, supplies, devices &amp; gen. mdse.</t>
  </si>
  <si>
    <t>Training Table (Folding Table) etc. - CapSU RDE(IPMO) TF</t>
  </si>
  <si>
    <t>SUPPLY AND DELIVER OF ASSORTED SIZES OF HDPE PIPES</t>
  </si>
  <si>
    <t>Bondpaper, Subs. 20(A4) - CapSU Pilar GAA</t>
  </si>
  <si>
    <t>CONSTRUCTION OF 4 UNITS JETMATIC PUMP &amp; REPAIR OF 1 UNIT (SHALOW WELL)</t>
  </si>
  <si>
    <t>PB-20-314, Supply &amp; Delivery of Medical Equipment for Aleosan District Hospital, Aleosan, Cotabato</t>
  </si>
  <si>
    <t>Supply and Delivery of Boar</t>
  </si>
  <si>
    <t>PROCUREMENT OF MOBILE PHONE</t>
  </si>
  <si>
    <t>Procurement of supplies for Modular learning materials</t>
  </si>
  <si>
    <t>PB-20-334, Supply &amp; Delivery of Office Equipment for Provincial Engineer’s Office, Amas, Kidapawan City</t>
  </si>
  <si>
    <t>PROCUREMENT OF OFFICE EQUIPMENT OF CAPSU DAYAO SATELLITE COLLEGE</t>
  </si>
  <si>
    <t>PROCUREMENT OF MOTORCYLE</t>
  </si>
  <si>
    <t>SUPPLY AND DELIVERY OF VARIOUS INK CARTRIDGES FOR OFFICE STOCKS</t>
  </si>
  <si>
    <t>PROCUREMENT OF HARDWARE SUPPLIES AND MATERIALS</t>
  </si>
  <si>
    <t>VEHICLE REPAIR AND MAINTENANCE</t>
  </si>
  <si>
    <t>RFQ2020-07-015 GAA Procurement of various supplies for the UNIFAST Office use</t>
  </si>
  <si>
    <t>Camera DSLR - CapSU Pontevedra TF</t>
  </si>
  <si>
    <t>Chicken booster Crumble, Etc- CapSU Burias TF</t>
  </si>
  <si>
    <t>Desktop Computer - CapSU Burias STF</t>
  </si>
  <si>
    <t>SUPPLY AND DELIVERY OF VARIOUS HARDWARE SUPPLIES</t>
  </si>
  <si>
    <t>EMERGENCY SUPPLIES FOR COVID PREPAREDNESS</t>
  </si>
  <si>
    <t>MOOE, BDF &amp; RRMF 2020 - Office Supplies, CCTV Camera, Public Address System, supplies, devices &amp; gen. mdse.</t>
  </si>
  <si>
    <t>Procurement of Zoom Pro Subscription for Six (6) Months</t>
  </si>
  <si>
    <t>PROCUREMENT OF APPLIANCES OF CAPSU SIGMA SATELLITE COLLEGE</t>
  </si>
  <si>
    <t>SUPPLY AND DELIVERY OF VARIOUS C.I GATE VALVES AND C.I FITTINGS</t>
  </si>
  <si>
    <t>Flooring of playing ground 0f basketball court &amp; plastering of columns</t>
  </si>
  <si>
    <t>PROCUREMENT OF IT HARDWARE AND SUPPLIES</t>
  </si>
  <si>
    <t>Epson L360 ink (black) - CapSU Roxas GAA</t>
  </si>
  <si>
    <t>PURCHASE OF SIX (6) SETS TIRES WITH FLAP AND TUBE</t>
  </si>
  <si>
    <t>TIRES</t>
  </si>
  <si>
    <t>Bondpaper, Subs. 16 long, etc - CapSU Burias GAA</t>
  </si>
  <si>
    <t>SUPPLY AND DELIVERY OF MEDICINES AND MEDICAL SUPPLIES FOR HEALTH SERVICES USE OF LGU IBA, ZAMBALES</t>
  </si>
  <si>
    <t>AFRES - Learning Packets (Module)</t>
  </si>
  <si>
    <t>IMPROVEMENT OF MULTI-PURPOSE BUILDING(STAGE)</t>
  </si>
  <si>
    <t>PB-20-347, Supply &amp; Delivery of Medical Equipment for Cotabato Provincial Hospital, Amas, Kidapawan City</t>
  </si>
  <si>
    <t>UPDATING OF COMMUNITY BASED MONITORING SYSTEM (CBMS) (HOUSEHOLD-LEVEL DATA MANAGEMENT SYSTEM DATA GATHERING SERVICES PHASE I )</t>
  </si>
  <si>
    <t>PURCHASE OF IT EQUIPMENT</t>
  </si>
  <si>
    <t>PB-20-336, Procurement of Catering Services for various activities and meetings of the Office of the Vice Governor and Sangguniang Panlalawigan, Amas, Kidapawan City</t>
  </si>
  <si>
    <t>PURCHASE OF MATERIALS FOR THE INSTALLATION OF CEILING FAN</t>
  </si>
  <si>
    <t>PURCHASE OF VARIOUS OFFICE SUPPLIES</t>
  </si>
  <si>
    <t>SUPPLY AND DELIVERY OF ASSORTED SIZES OF G.I. FITTINGS</t>
  </si>
  <si>
    <t>PB-20-346, Supply &amp; Delivery of Medical Supplies for Pres. Roxas Provincial Community Hospital, Pres. Roxas, Cotabato</t>
  </si>
  <si>
    <t>PB-20-337, Supply &amp; Delivery of Construction Supplies for Provincial Engineer’s Office, Amas, Kidapawan City</t>
  </si>
  <si>
    <t>2020-07-0130- PROCUREMENT OF HARDWARE CONSTRUCTIOIN SUPPLIES FOR FURNISHING OF MATERIALS FOR  THE    REPAINTING     OFSTEEL</t>
  </si>
  <si>
    <t>SUPPLY AND DELIVERY OF VARIOUS C.I. FITTINGS</t>
  </si>
  <si>
    <t>Purchase of Duplicating Machines for Reproduction of Modules</t>
  </si>
  <si>
    <t>PURCHASE OF JANITORIAL SUPPLIES</t>
  </si>
  <si>
    <t>Electric Fan, Etc - CapSu Roxas STF</t>
  </si>
  <si>
    <t>3265-20 Procurement of Medical Equipment</t>
  </si>
  <si>
    <t>2816-20 Procurement of Drugs and Medicines</t>
  </si>
  <si>
    <t>2247-20 Purchase of Food for the Cocounut Farmers Empowerment Programs (Training on Cocounut-Based Enterprise)</t>
  </si>
  <si>
    <t>Construction of Concrete Pavement @ Albescia St., Brgy. Henogawe, Gamay, Northern Samar</t>
  </si>
  <si>
    <t>PB-20-345, Supply &amp; Delivery of IV Fluids for Pres. Roxas Provincial Community Hospital, Pres. Roxas, Cotabato</t>
  </si>
  <si>
    <t>UPLB-I-019-07-20 SUPPLY AND DELIVERY OF CONSTRUCTION MATERIALS AND ELECTRICAL SUPPLIES FOR IC, UHS AND SESAM</t>
  </si>
  <si>
    <t>20-05-0545 Supply and Delivery of Materials for Intensive Tilapia Farming in Pond and Tank for the Fisherfolk beneficiaries in the Province of Leyte under SAAD Program 2020.</t>
  </si>
  <si>
    <t>HUSAYAN ELEMENTARY SCHOOL</t>
  </si>
  <si>
    <t>For Environmental Sanitation</t>
  </si>
  <si>
    <t>2020-163-I PROCUREMENT AND DELIVERY OF 963 BAGS PRIVATE HYBRID RICE SEEDS FOR RICE PROGRAM CY 2020</t>
  </si>
  <si>
    <t>Meals for Team Supervision</t>
  </si>
  <si>
    <t>3299-20 Treatment/Disposal of Hazardous Waste</t>
  </si>
  <si>
    <t>rehabilitation of Barangay Water system (extension of mainline)</t>
  </si>
  <si>
    <t>PURCHASE OF BOOKS</t>
  </si>
  <si>
    <t>Purchase of One (1) Year Subscription of Internet Services with minimum of 20mbps dedicated bandwidth UNLIMITED.</t>
  </si>
  <si>
    <t>2476-20 Procurement of Foods for Enhancement of Organic Agriculture (Orientation and Technical Briefing)</t>
  </si>
  <si>
    <t>Additional school and office supplies for SHS</t>
  </si>
  <si>
    <t>Invitation to Bid for the Supply and Delivery of Materials for the Street Lighting at RORO Port, Tagasa, Maya, Daanbantayan, Cebu</t>
  </si>
  <si>
    <t>2542-20 Procurement of Foods for Rice Farmers Productivity Enhancement (Basic Seeds Inspector Training)</t>
  </si>
  <si>
    <t>20CSFJ01 - For the Conduct of Sub-Soil Investigation Activities for Widening at 30m. Depth (Total 18-holes)</t>
  </si>
  <si>
    <t>20-05-0550 Supply and Delivery of Materials for Aquaponics with Intensive Tilapia Culture System in all the Provincial Fishery Offices and Centers of BFAR 8 as Livelihood Support Project under the “Ah</t>
  </si>
  <si>
    <t>Supply and Delivery of office supplies and consumables</t>
  </si>
  <si>
    <t>2268-20 Procurement of Training Supplies</t>
  </si>
  <si>
    <t>ROAD OPENING</t>
  </si>
  <si>
    <t>RFQ-GS-20200630-06 - 1 Lot Supply, Delivery and Installation of Systems Furniture at LANDBANK Tayug Branch</t>
  </si>
  <si>
    <t>CONSTRUCTION OF ARTESIAN WELLS</t>
  </si>
  <si>
    <t>REPLACEMENT OF DAMAGE ROOFINGS OF THE PINAMUNGAJAN PUBLIC MARKET</t>
  </si>
  <si>
    <t>CONSTRUCTION OF MUNICIPAL SLAUGHTERHOUSE</t>
  </si>
  <si>
    <t>2. AUTOCLAVE STERILIZING UNIT</t>
  </si>
  <si>
    <t>8. AUTOMATIC COMPONENT SEPARATOR</t>
  </si>
  <si>
    <t>RFQ-Procurement of 3rd Quarter 2020 Fuel Supplies</t>
  </si>
  <si>
    <t>RFQ-Procurement of 3rd Quarter 2020 Office Supplies</t>
  </si>
  <si>
    <t>CONCRETING OF BARANGAY ROAD AT SITIO CENTRO</t>
  </si>
  <si>
    <t>4. EXAMINING TABLE WITH STIRRUP</t>
  </si>
  <si>
    <t>7. PLASMA THAWER</t>
  </si>
  <si>
    <t>9. BLOOD MIXER</t>
  </si>
  <si>
    <t>Rehabilitation of MPH</t>
  </si>
  <si>
    <t>21. ICE MAKING MACHINE</t>
  </si>
  <si>
    <t>19. LAMINAR FLOW HOOD</t>
  </si>
  <si>
    <t>6. PLATELET AGITATOR</t>
  </si>
  <si>
    <t>18. DISTILLING, DEIONIZING APPARATUS</t>
  </si>
  <si>
    <t>17. BIOLOGICAL SAFETY CABINET CLASS II</t>
  </si>
  <si>
    <t>Printing of Learning Packets/Modules for Kinder-Grade 6, SPED and VALSPED</t>
  </si>
  <si>
    <t>10. BLOOD COMPONENT WEIGHING SCALE</t>
  </si>
  <si>
    <t>1. LIGHT CURE MACHINE</t>
  </si>
  <si>
    <t>20. PH METER</t>
  </si>
  <si>
    <t>Construction of MPP Hall Phase 3  Ceiling &amp; Electrical Lines at Purok 3 Barangay Calasgasan, Daet, Camarines Norte</t>
  </si>
  <si>
    <t>16. AUTOCLAVE</t>
  </si>
  <si>
    <t>25. PHARMACEUTICAL REFRIGERATOR (2 DOOR)</t>
  </si>
  <si>
    <t>14. LOOP INCINERATOR</t>
  </si>
  <si>
    <t>23. BLOOD BANK REFRIGERATOR</t>
  </si>
  <si>
    <t>11. PLASMA FREEZER</t>
  </si>
  <si>
    <t>22. LABORATORY FREEZER DRYER/LYOPHILIZER</t>
  </si>
  <si>
    <t>insatallation of waste management facility</t>
  </si>
  <si>
    <t>15. DIGITAL DRY BLOCK HEATER WITH ADAPTOR FOR 1.5 ML MICROTUBES AND 20 ML TUBES</t>
  </si>
  <si>
    <t>24. PHARMACEUTICAL REFRIGERATOR (12 CU. FT)</t>
  </si>
  <si>
    <t>20CSOB0045	Sub-Surface Soil Exploration for The Construction of Underground Parking, Brgy. Sta. Elena, Marikina City (Phase 1 and 2)</t>
  </si>
  <si>
    <t>Procurement of Projector for 2020 CPH Training</t>
  </si>
  <si>
    <t>HO-TSD20-001 - Supply of Two (2) Year Security Services for National Power Corporation’s Head Office, Diliman, Quezon City, Port Area, Records &amp; Training Center, Minuyan San Jose Del Monte City</t>
  </si>
  <si>
    <t>20CSOB0043	Sub-Surface Soil Exploration for the: A.) Construction of Three (3) Storey Multi-Purpose Building Including Site Development, Brgy. Barangka; B.) Construction of Two (2) Storey Multi-Purpos</t>
  </si>
  <si>
    <t>20CSOB0042	Sub-Surface Soil Exploration for the: A.) Improvement of Road Network Including Drainage Laterals, Brgy. Sto Niño; B.) Improvement of Sapang Baho Creek; And C.) Rehabilitation/Improvement o</t>
  </si>
  <si>
    <t>20CSOB0040	Sub-Surface Soil Exploration for the: A.) Improvement of Nangka River, Second District; B.) Improvement of Nangka River along Nangka River, Rolling Hills; C.) Improvement of Parang Creek, B</t>
  </si>
  <si>
    <t>20CSOB0041	Sub-Surface Soil Exploration for the: A.) Rehabilitation of Road Network Along Ordoñez Avenue Including Laterals; B.) Rehabilitation of Road Network Along Katipunan Street Including Lateral</t>
  </si>
  <si>
    <t>20CSOB0044	Sub-Surface Soil Exploration for The Construction of Treatment Hub, Brgy. Sto. Niño (Phase 1 and 2), Marikina City</t>
  </si>
  <si>
    <t>ITDI-PB-200006 - PROCUREMENT OF JANITORIAL SERVICES</t>
  </si>
  <si>
    <t>12. CENTRIFUGES</t>
  </si>
  <si>
    <t>Opening of Barangay Road at Sikatuna, Talibon, Bohol</t>
  </si>
  <si>
    <t>Completion of Multi-Purpose Building located at Cabantao, Rosario, Agusan del Sur</t>
  </si>
  <si>
    <t>ROAD CONCRETING WITH DRAINAGE OF PUROK ACHARON, CALUMPANG, GSC</t>
  </si>
  <si>
    <t>29. PIPETTORS</t>
  </si>
  <si>
    <t>13. MICROSCOPE</t>
  </si>
  <si>
    <t>REQUEST OF PRICE QUOTATION FOR 2ND QUARTER MOOE OF ANGGA-AN INTEGRATED SCHOOL (ELEMENTARY)</t>
  </si>
  <si>
    <t>Repair of Doors SHS</t>
  </si>
  <si>
    <t>Supply and Delivery of Materials for the Fabrication of Office Front Office &amp; Waste Bins</t>
  </si>
  <si>
    <t>CONSTRUCTION MATERIALS FOR THE IMPROVEMENT OF BRGY. HALL AT NOCNOCAN, TALIBON, BOHOL</t>
  </si>
  <si>
    <t>20-06-509 Purchase of Hardware Materials for the Repair and Repainting of 2 Classrooms at Alamada North District, Dado, Alamada, Cotabato</t>
  </si>
  <si>
    <t>Procurement of Hauling and Trucking of Passenger Van from DepEd-Central Office Complex,Meralco AVe., Pasig City Manila to Cebu Port</t>
  </si>
  <si>
    <t>20-06-493 Repair and Maintenance of D6R Bulldozer</t>
  </si>
  <si>
    <t>20-06-460 Purchase of Base External 35W Radio (Wireless) for Survey</t>
  </si>
  <si>
    <t>REHABILITATION OF MULTI-PURPOSE HALL</t>
  </si>
  <si>
    <t>RENOVATION OF DAY CARE CENTER 1 &amp; 2 at NOCNOCAN, TALIBON, BOHOL</t>
  </si>
  <si>
    <t>Office Supplies-Second Quarter</t>
  </si>
  <si>
    <t>3. OPERATING ROOM TABLE HYDRAULIC</t>
  </si>
  <si>
    <t>20CSOB0039	Sub-Surface Soil Exploration for the: A.) Construction/Rehabilitation of Pamantasan Lungsod Ng Marikina Multi-Purpose Building, Brgy. Concepcion Uno; B.) Construction/Rehabilitation of Para</t>
  </si>
  <si>
    <t>Supply &amp; Delivery of Training Materials</t>
  </si>
  <si>
    <t>SUPPLY AND DELIVERY OF MATERIALS TO BE USED FOR CONSTRUCTION OF PERIMETER FENCE(DAY CARE CENTER),SITIO PROPER, MONTELAGO</t>
  </si>
  <si>
    <t>20-02-090 Cluster D-Year 2020 Concreting of FMR @ Barangay Kitacubong, Alamada, Cotabato-Three (3) Locations</t>
  </si>
  <si>
    <t>ITB No. 20-054  DESIGN AND BUILD OF THE PROPOSED REPLACEMENT OF THE EXISTING 34.5KV UNDERGROUND TRANSMISSION LINES INCLUSIVE OF LABOR, TOOLS, EQUIPMENT, MATERIALS, CONSUMABLES, SUPERVISION AND TECHNIC</t>
  </si>
  <si>
    <t>SUPPLY AND DELIVERY OF LABORATORY CONSUMABLES UNDER EMB-ERLSD-ENVIRONMENTAL LABORATORY SERVICES SECTION (ELSS) ORGANICS LABORATORY UNIT</t>
  </si>
  <si>
    <t>Supply &amp; Delivery of Tilapia Fingerlings</t>
  </si>
  <si>
    <t>PREVENTIVE MAINTENANCE AND CALIBRATION SERVICE OF MERCURY ANALYZER - 4300 UNDER EMB-ERLSD-ECMU</t>
  </si>
  <si>
    <t>INSTALLATION OF OUTDOOR TILES</t>
  </si>
  <si>
    <t>EQUIPMENT RENTAL FOR 15 DAYS</t>
  </si>
  <si>
    <t>2020 CPH Third Level Training of Census Field Personnel.</t>
  </si>
  <si>
    <t>REQUEST OF PRICE QUOTATION OF MACAPARI CENTRAL SCHOOL 2ND QUARTER MOOE</t>
  </si>
  <si>
    <t>SUPPLY AND DELIVERY OF LABORATORY CONSUMABLES UNDER EMB-ERLSD-ENVIRONMENTAL LABORATORY SERVICES SECTION (ELSS) INORGANICS LABORATORY UNIT</t>
  </si>
  <si>
    <t>20-06-486 Purchase of School Supplies for Alamada North District Office</t>
  </si>
  <si>
    <t>SUPPLY AND DELIVERY OF MATERIALS TO BE USED FOR  INSTALLATION OF STREET LIGHTS, DIFF. SITIOS BARANGAY MONTELAGO</t>
  </si>
  <si>
    <t>Furniture</t>
  </si>
  <si>
    <t>2020 CPH Fourth Level Training of Census Field Personnel(Rizal).</t>
  </si>
  <si>
    <t>Procurement of Office Supplies and Equipment</t>
  </si>
  <si>
    <t>ONE (1) LOT OFFICE SUPPLIES AND DEVICES</t>
  </si>
  <si>
    <t>PRINTING OF LEARNING MODULES OF GRADE 7 TO GRADE 10</t>
  </si>
  <si>
    <t>Procurement of Construction Materials</t>
  </si>
  <si>
    <t>2020 CPH Fourth Level Training of Field Personnel(Pinukpuk).</t>
  </si>
  <si>
    <t>PREVENTIVE MAINTENANCE SERVICE OF ONE (1) UNIT WATER PURIFICATION SYSTEM (LABOSTAR TWF UV7) SN: 1399200-10 WITH SUPPLY AND DELIVERY AND INSTALLATION AND REPLACEMENT OF PARTS UNDER EMB-ERLSD-ECMU</t>
  </si>
  <si>
    <t>2020 CPH Fourth Level Training of Field Personnel (Tabuk City).</t>
  </si>
  <si>
    <t>PROPOSED CCTV INSTALLATION</t>
  </si>
  <si>
    <t>PREVENTIVE MAINTENANCE AND CALIBRATION OF WATER PURIFICATION SYSTEM UNDER EMB-ERLSD-ECMU</t>
  </si>
  <si>
    <t>procurement of medical supplies</t>
  </si>
  <si>
    <t>procurement of IT &amp; accessories</t>
  </si>
  <si>
    <t>Purchase of Materials for Concreting of Barangay Road(leading to Sanitary Landfill) at Brgy. San Isidro, Asturias, Cebu</t>
  </si>
  <si>
    <t>SUPPLY AND DELIVERY OF CHEMICALS UNDER EMB-ERLSD-ENVIRONMENTAL LABORATORY SERVICES SECTION (ELSS) ORGANICS LABORATORY UNIT</t>
  </si>
  <si>
    <t>Purchase of Materials for Concreting of Barangay Road at Brgy. Agbanga, Asturias, Cebu</t>
  </si>
  <si>
    <t>procurement of materials</t>
  </si>
  <si>
    <t>procurement of spare parts</t>
  </si>
  <si>
    <t>Purchase and Installation of Street Lighting(Materials only)</t>
  </si>
  <si>
    <t>Supply and Delivery of Medical Supplies for Bayanihan to Heal as One Act Related Activities</t>
  </si>
  <si>
    <t>Construction of Municipal Multi-Purpose Hall Phase 1 under the "Design and Build" scheme at Barangay Poblacion, Biri, Northern Samar</t>
  </si>
  <si>
    <t>Purchase of Materials for Concreting of Municipal Streets(Beside the new Market) at Pob., Asturias, Cebu</t>
  </si>
  <si>
    <t>HO-PIB20-006 - Repair of Dike / Seawall and Repair / Restoration of CHB Perimeter Fence of NPC Property at BO. Obrero, Iloilo City</t>
  </si>
  <si>
    <t>SUPPLY OF LABOR, TOOLS AND MATERIALS FOR THE FABRICATION OF V-NOTCH WEIR</t>
  </si>
  <si>
    <t>Procurement of School and office supply and Sevices (watchman)</t>
  </si>
  <si>
    <t>Procurement of Wooden Plaque</t>
  </si>
  <si>
    <t>SUPPLY &amp; DELIVERY OF CONSTRUCTION SUPPLIES &amp; MATERIALS</t>
  </si>
  <si>
    <t>CONSTRUCTION OF COMMUNAL COMFORT ROOM</t>
  </si>
  <si>
    <t>ONE (1) LOT JANITORIAL AND SANITATION SUPPLIES</t>
  </si>
  <si>
    <t>UPGRADING OF SHIMADZU GC-ECD, (SN. C11804700447) UNDER EMB-ERLSD-ELSS-ECMU</t>
  </si>
  <si>
    <t>Janitorial Supplies-Second Quarter</t>
  </si>
  <si>
    <t>Supply and Delivery of Twenty Five (25) pax Catering Services per PR# 2020-06-0323</t>
  </si>
  <si>
    <t>20GEF012 Cluster VI – 1. Supply and Delivery of Spare Parts for use in the Repair/Maintenance of Service Vehicles and Heavy Equipments assigned to DPWH – Palawan 2nd District Engineering Office 2. Sup</t>
  </si>
  <si>
    <t>Office Supplies and Consumables</t>
  </si>
  <si>
    <t xml:space="preserve">20CSOB0038	Sub-Surface Soil Exploration for the: A.) Construction of Multi-Purpose Building at Concepcion Elementary School, Brgy. Concepcion Uno; B.) Construction of Multi-Purpose Building at Parang </t>
  </si>
  <si>
    <t>Supply and Delivery of Oils &amp; Grease at NIA CBIMO Maddarulug, Solana, Cagayan</t>
  </si>
  <si>
    <t>REQUEST OF PRICE QUOTATION OF MACAPARI CENTRAL SCHOOL 1ST QUARTER MOOE</t>
  </si>
  <si>
    <t>Purchase of disaster risk reduction equipments for the use of the Municipality during calamities</t>
  </si>
  <si>
    <t>Supply &amp; Delivery of Electrical Supplies at NIA IAAPIS Amulung, Cagayan</t>
  </si>
  <si>
    <t>REQUEST OF PRICE QUOTATION FOR  2ND QUARTER MOOE OF ANGGA-AN INTEGRATED SCHOOL (JUNIOR HIGH SCHOOL)</t>
  </si>
  <si>
    <t>Supply / Delivery of Catering Services</t>
  </si>
  <si>
    <t>PROCUREMENT OF AGRICULTURAL CHEMICALS AND EQUIPMENT</t>
  </si>
  <si>
    <t>Purchase of Petroleum, Oil and Lubricants for the Operations of MEO Projects</t>
  </si>
  <si>
    <t>20GEF011 Supply and Delivery of IT equipment, Parts Tools and Software for Installation and Configuration of Communication Networking Equipment including System Integration of DPWH Palawan 2nd DEO Nar</t>
  </si>
  <si>
    <t>Environmental Health/Safety Equipment</t>
  </si>
  <si>
    <t>Supply and delivery of 270 sacks Lactating Feed Concentrates</t>
  </si>
  <si>
    <t>Materials and Labor for the Rehabilitation of Multi-Purpose Hall at Malingin, Igpit, Opol Misamis Oreintal</t>
  </si>
  <si>
    <t>RFQ-SUPPLY AND DELIVERY OF OFFICE/SCHOOL SUPPLIES</t>
  </si>
  <si>
    <t>INVITATION TO BID FOR COMPLETION OF BOSS CENTER</t>
  </si>
  <si>
    <t>SUPPLY OF 2 UNITS 3HP FLOOR MOUNTED ACU: NON-INVERTER AT BRGY. THE BRGY HALL OF MANGHINAO PROPER, BAUAN, BATANGAS</t>
  </si>
  <si>
    <t>PROCUREMENT OF OFFICE EQUIPMENT</t>
  </si>
  <si>
    <t>5. SURGICAL INSTRUMENT</t>
  </si>
  <si>
    <t>Office Equipment</t>
  </si>
  <si>
    <t>Pag-IBIG Fund TAS NCR South (SUPPLY AND DELIVERY OF VARIOUS PAINTING MATERIALS FOR THE RESTORATION OF JUSTINE BUILDING)</t>
  </si>
  <si>
    <t>Siphoning of the different septic tanks of the Municipality</t>
  </si>
  <si>
    <t>RFQ-SUPPLY AND DELIVERY OF SCHOOL FORMS</t>
  </si>
  <si>
    <t>Procurement of meals, snacks and accommodation</t>
  </si>
  <si>
    <t>PURCHASE OF FUEL FOR MUNICIPAL VEHICLE USE</t>
  </si>
  <si>
    <t>Purchase of Spare Parts for Machinery and Equipment of MEO</t>
  </si>
  <si>
    <t>Purchase of Physical Restoration - Assistive Device for PWD easy Mobility</t>
  </si>
  <si>
    <t>INVITATION TO BID FOR THE SUPPLY AND DELIVERY OF FUEL AND LUBRICANTS FOR GARBAGE COLLECTION</t>
  </si>
  <si>
    <t>PROCUREMENT OF MATERIALS FOR THE COMPLETION OF 2nd FLOOR MULTI PURPOSE BUILDING</t>
  </si>
  <si>
    <t>PURCHASE OF 1 UNIT BRAND NEW 4x2 SIX WHEELERS GARBAGE COLLECTION TRUCK COMPACTOR TYPE, LEFT HAND DRIVE (COMPLETELY BUILT UNIT)</t>
  </si>
  <si>
    <t>Purchase of diving paraphernalia for the use of the responders of the Municipality during emergencies</t>
  </si>
  <si>
    <t>Office Supplies</t>
  </si>
  <si>
    <t>Purchase of Spare Parts for Repair and Maintenance of Transportation Equipment for MDRRMO use</t>
  </si>
  <si>
    <t>Purchase of Medicines for Treatment of Patients use</t>
  </si>
  <si>
    <t>1 LOT INSTALLATION OF GLASS PARTITION</t>
  </si>
  <si>
    <t>Purchase of Aircondition Units for MO use</t>
  </si>
  <si>
    <t>RFQ No.: 	2020-06-0541 Board and Lodging for the conduct of Orientation to Local Verification Committee (LVC) member on September 4-10, 2020 in Iloilo City</t>
  </si>
  <si>
    <t>PROCUREMENT OF MATERILAS FOR INSTALLATION OF WATER PIPELINE</t>
  </si>
  <si>
    <t>ITDI-200440_REBID - SUPPLY AND DELIVERY OF ACETATE/PCV FILM</t>
  </si>
  <si>
    <t>ITDI-200439_REBID - SUPPLY AND DELIVERY OF PEEK FILAMENT</t>
  </si>
  <si>
    <t>PROCUREMENT OF SUPPLIES AND MATERIALS FOR THE CONSTRUCTION OF DRAINAGE SYSTEM   AT BGY. MAYMATAN, GOA, CAMARINES SUR</t>
  </si>
  <si>
    <t>C20203660 Automotive Supplies for Shop use</t>
  </si>
  <si>
    <t>C20203659 FUEL FOR 3RD QUARTER (SHE 880) SPO Catalan</t>
  </si>
  <si>
    <t>Repair and Maintenance of Road Safety Facilities</t>
  </si>
  <si>
    <t>C20203646 LPG for  PEEDO-LPRRC cooking gas expense for the 4th quarter</t>
  </si>
  <si>
    <t>INSTALLATION OF TEN (10) UNITS SOLAR STREET LIGHTS @ PUROK ACASIA UMABAY INTERIOR, MOBO, MASBATE</t>
  </si>
  <si>
    <t>C20203642 Fuel Supply for Repair/ Improvement of Municipal Tribal Hall, New Corella, DDN (POL)</t>
  </si>
  <si>
    <t>C20203636 Catering Services for  various PEO Activities for the 3rd Quarter of CY 2020</t>
  </si>
  <si>
    <t>SUPPLEMENTAL FEEDING</t>
  </si>
  <si>
    <t>Printing and Sorting of Modules</t>
  </si>
  <si>
    <t>C20203633 Spare Parts for PROVINCIAL HEALTH OFFICE</t>
  </si>
  <si>
    <t>RFQ-SUPPLY AND DELIVERY OF SDRRM EQUIPMENT</t>
  </si>
  <si>
    <t>C20203632 Office Supplies for IPMR OFFICE SANGGUNIANG PANLALAWIGAN</t>
  </si>
  <si>
    <t>PROCUREMENT OF SUPPLIES AND MATERIALS FOR THE CONSTRUCTION OF EVACUATION CENTER P1 AT TAMBAN, GOA, CAMARINES SUR.</t>
  </si>
  <si>
    <t>C20203635 Gasoline for PICKMO use</t>
  </si>
  <si>
    <t>Purchase of Office Supplies for MBO use</t>
  </si>
  <si>
    <t>Contract ID: 20JH0016 Rehabilitation/Upgrading of Damaged Paved Roads (Reblocking) along Basilan Circumferential Road (Lamitan-TipoTipo-Tumahubong Road Section) Sta. 36+600 – Sta. 37+200</t>
  </si>
  <si>
    <t>CONSTRUCTION/ INSTALLATION OF COVERED LINE CANAL WITH CONCRETE BENCH ALONG SALVACION ST. @ POB. 1, MOBO, MASBATE</t>
  </si>
  <si>
    <t>ITDI-200383_REBID - SUPPLY OF LABOR AND MATERIALS FOR THE CALIBRATION OF AIR PARTICLE COUNTER</t>
  </si>
  <si>
    <t>PURCHASE OF MEDICINE SUPPLY</t>
  </si>
  <si>
    <t>PROCUREMENT OF SUPPLIES AND MATERIALS FOR THE CONCRETING OF ROAD SHOULDER AT ZONE 3, 4 &amp; 5 BGY. HALAWIG-GOGON, GOA, CAMARINES SUR</t>
  </si>
  <si>
    <t>ITDI-200435_REBID - SUPPLY AND DELIVERY OF UNINTERRUPTIBLE POWER SUPPLY (UPS)</t>
  </si>
  <si>
    <t>C20203671 RELOADING MACHINE (RL550B) for PGSO CSS use</t>
  </si>
  <si>
    <t>RFQ No.: 	2020-06-0537 Board and Lodging for the conduct of Orientation to Local Verification Committee (LVC) members on September 11-12, 2020 in the Province of Antique</t>
  </si>
  <si>
    <t>PURCHASE OF MEDICINE &amp; HYGIENE SUPPLIES</t>
  </si>
  <si>
    <t>purchase of school supplies</t>
  </si>
  <si>
    <t>Contract ID: 20JH0063 Contract Name: Concreting of Brgy. Calvario FMR, Isabela City, Basilan Province</t>
  </si>
  <si>
    <t>ITDI-200418_REBID - SUPPLY OF LABOR AND MATERIALS FOR THE REPAIR OF LAPTOP</t>
  </si>
  <si>
    <t>RFQ No.: 	2020-06-0540 Board and Lodging for the Conduct of Orientation to Local Verification Committee (LVC) members on September 11-12,2020 in the Province of Capiz.</t>
  </si>
  <si>
    <t>ITDI-200395_REBID - SUPPLY AND DELIVERY OF iCAP Q/QNOVA CALIBRATION SOLUTION</t>
  </si>
  <si>
    <t>C20203707 FUEL, OIL AND LUBRICANTS EXPENSES OF DDNH-CARMEN ZONE USE (APRIL TO SEPT 2020)</t>
  </si>
  <si>
    <t>ITDI-200432_REBID - SUPPLY AND DELIVERY OF TRACE METALS IN WATER CRM AND MINERALS IN WATER CRM</t>
  </si>
  <si>
    <t>ITDI-200402_REBID - SUPPLY AND DELIVERY OF ANIMAL FEEDS</t>
  </si>
  <si>
    <t>SVP-20-0487, Supply  and Delivery of Computer Laptop for the use of  Public Attorney's Office, Kabacan District Office (PAO-Kab)</t>
  </si>
  <si>
    <t>purchase of SEMI-EXPENDABLE EQUIPMENT</t>
  </si>
  <si>
    <t>Invitation to Bid for the Repair of Brgy. Warf, So. Samanlon, Brgy. Pinanangnan, Sto. Niño, Samar</t>
  </si>
  <si>
    <t>SVP-20-0481, Supply  and Delivery of Various Supplies for the use of  the Office of the Provincial Veterinarian (OPVET)</t>
  </si>
  <si>
    <t>ITDI-200428_REBID - SUPPLY AND DELIVERY OF HIGH CURRENT SHUNT AND DC SHUNT</t>
  </si>
  <si>
    <t>RFQ No.: 	2020-06-0545 Board and Lodging for the Conduct of Orientation to Local Verification Committee (LVC) members on September 11-12,2020 in Province of Aklan</t>
  </si>
  <si>
    <t>Repair/Maintenance of: 1. DPWH Building Guesthouse Building Apayao I District Engineering Office Caglayan, Conner, Apayao 2. DILG Building PNP-Conner Municipal Police Station Building Caglayan, Conner</t>
  </si>
  <si>
    <t>ITDI-200394_REBID - SUPPLY AND DELIVERY OF MONODISPERSED SILVER AND GOLD NANOPARTICLES</t>
  </si>
  <si>
    <t>ITDI-200397_REBID - SUPPLY AND DELIVERY OF VARIOUS HARDWARE SUPPLIES</t>
  </si>
  <si>
    <t>ITDI-200437_REBID - SUPPLY AND DELIVERY OF VARIOUS LABORATORY SUPPLIES</t>
  </si>
  <si>
    <t>SVP-20-0480, Supply  and Delivery of Laboratory Supplies for the use of  Alamada Provincial Community Hospital (APCH)</t>
  </si>
  <si>
    <t>SVP-20-0479, Supply  and Delivery of Various Supplies for the use of  Quarantine Services Program of the Provincial Veterinarian (OPVET)</t>
  </si>
  <si>
    <t>SVP-20-0476, Supply  and Delivery of Medical Supplies for the use of Fr. Tulio Favali Municipal Hospital (FTFMH)</t>
  </si>
  <si>
    <t>SVP-20-0474, Supply  and Delivery of Emegency Cart for the use of Fr. Tulio Favali Municipal Hospital (FTFMH)</t>
  </si>
  <si>
    <t>Contract ID: 20JH0017 Rehabilitation/Upgrading of Damaged Paved Roads (Reblocking) along Basilan Circumferential Road (Lamitan-TipoTipo-Tumahubong Road Section) Sta. 51+600 – Sta. 52+355</t>
  </si>
  <si>
    <t>ITDI-200426_REBID - SUPPLY OF LABOR AND MATERIALS FOR THE REPAIR AND CALIBRATION OF DENVER ANALYTICAL BALANCE</t>
  </si>
  <si>
    <t>ITDI-200404_REBID - SUPPLY AND DELIVERY OF DISH PAN</t>
  </si>
  <si>
    <t>SVP-20-0478, Supply  and Delivery of Cabinet for the use of  Provincial Assessor's Office (PASSO)</t>
  </si>
  <si>
    <t>SVP-20-0477, Supply  and Delivery of Various Supplies for the use of  the Office of the Provincial Auditor- Commission on Audit (COA)</t>
  </si>
  <si>
    <t>ITDI-200445_REBID - SUPPLY, DELIVERY, AND INSTALLATION OF 2 COMPRESSOR UNITS ON ACCU 3</t>
  </si>
  <si>
    <t>Procurement of Office Supplies for MOOE</t>
  </si>
  <si>
    <t>ITDI-200454_REBID - SUPPLY OF LABOR AND MATERIALS FOR THE REPAIR OF ENVIRONMENTAL CHAMBER</t>
  </si>
  <si>
    <t>2020-06-0123 - PROCUREMENT OF PRINTING SERVICES FOR USE IN THE FINANCE SECTION (eBUDGET AND eNGAS</t>
  </si>
  <si>
    <t>ITDI-200458_REBID - SUPPLY OF LABOR AND MATERIALS FOR THE CALIBRATION OF 2 PIECES SILICON DENSITY STANDARDS</t>
  </si>
  <si>
    <t>PROCUREMENT OF SUPPLIES AND MATERIALS FOR THE CONSTRUCTION OF DRAINAGE SYSTEM AT SAN JUAN EVANGELISTA, GOA, CAMARINES SUR</t>
  </si>
  <si>
    <t>PROCUREMENT OF MATERIALS FOR REPAIR/MAINTENANCE OF STREET LIGHTS</t>
  </si>
  <si>
    <t>2020-06-0120 - PROCUREMENT OF GENERAL MERCHANDISE FOR USE IN THE DPWH BUKIDNON 3RD DEO FRONTLINE PERSONNEL2 AND SECURITY GUARDS (2D QUARTER, CY 2020)</t>
  </si>
  <si>
    <t>ITDI-200461 - SUPPLY AND DELIVERY OF WALL AUTOMATIC HAND DRYER</t>
  </si>
  <si>
    <t>CONSTRUCTION OF PERIMETER FENCE, DREDGING AT PUMP STATION, CONSTRUCTION OF CONCRETE CANAL LINING AT MC (STA. 1+934-2+028.50), ROAD METALLING AT LAT. A (STA. 0+000-0+509 for NASSIPING PUMP IRRIGATION P</t>
  </si>
  <si>
    <t>PROCUREMENT OF MATERIALS FOR CONCRETING/REBLOCKING OF BARANGAY ROAD</t>
  </si>
  <si>
    <t>RFQ No.: 	2020-07-0551 Provisions of Protective  Measures Against COVID-19 for the DSWD FO VI Personnel</t>
  </si>
  <si>
    <t>COVID SUPPLIES AND MATERIALS FOR SCHOOL CONSUMPTION</t>
  </si>
  <si>
    <t>2020-RFQ-031 GOODS "PURCHASE OF MULTI FUNCTION PRINTER AND DESKTOP COMPUTER"</t>
  </si>
  <si>
    <t>PROCUREMENT OF SUPPLIES AND MATERIALS FOR THE CONCRETING OF ROAD SHOULDER AT ZONE 3 &amp; 4, NAPAWON, GOA, CAMARINES SUR.</t>
  </si>
  <si>
    <t>Contract ID: 20MB0110 :  Construction of Multi-Purpose Building at Barangay Lagao, General Santos City</t>
  </si>
  <si>
    <t>GEOTECHNICAL SURVEY FOR THE CONSTRUCTION OF PALAYAN CITY HOSPITAL</t>
  </si>
  <si>
    <t>Water Works System</t>
  </si>
  <si>
    <t>Contract ID: 20MB0155 : CATEGORY 10: PAVEMENT MAINTENANCE: ACTIVITY 41X - EMERGENCY PROJECT-REPLACEMENT OF DAMAGED CONCRETE PAVEMENT ALONG MARBEL-MAKAR ROAD, POLOMOLOK, SOUTH COTABATO, K1671+200 - K16</t>
  </si>
  <si>
    <t>Supply and Delivery of Furniture for FAD</t>
  </si>
  <si>
    <t>Supply and Delivery of Furniture for SSD</t>
  </si>
  <si>
    <t>Invitation to Bid for the Supply and Delivery of 124 Pieces Heat and Water-Resistant Canvas for the Twenty Barangays and Municipal Local Government Unit for Shelter Relief Operation</t>
  </si>
  <si>
    <t>Invitation to Bid for the Supply and Delivery of Materials for the Construction of Tombs at Municipal Cemetery, Bitoon, Daanbantayan, Cebu</t>
  </si>
  <si>
    <t>RFQ No.: 	2020-06-0532 Board and Lodging for the conduct of Training on Sectoral Laws, programs and Services with the LSWDOs on August 10-14, 2020</t>
  </si>
  <si>
    <t>PURCHASE OF JANITORIAL , MEDICAL AND OTHER SCHOOL SUPPLIES</t>
  </si>
  <si>
    <t>Purchase of Materials for the Installation of Sanitary Sink of PSHS-ZRC</t>
  </si>
  <si>
    <t>Contract ID: 20MB0124:  Construction of Elementary Classrooms 3STY 15CL H.N. Cahilsot Central Elementary School II, General Santos City</t>
  </si>
  <si>
    <t>Contract ID: 20MB0122 :  Construction of Multi-Purpose Building (Stage Auditorium), Camp Fermin G. Lira, Brgy. Dadiangas West, General Santos City</t>
  </si>
  <si>
    <t>Request for Quotation for the Provision of Advertising Agency Services to be used for the "Getting a Grip of the Rice Tarrification Law or RA 11203: A Radio Broadcast" Batch 2 at Iligan City on July 2</t>
  </si>
  <si>
    <t>CONSTRUCTION AND IMPROVEMENT OF BARANGAY WATER SYSTEM</t>
  </si>
  <si>
    <t>Request for Quotation for the Provision of Advertising Agency Services to be used during the " Getting a Grip of the Rice Tarrification Law or RA 11203: A Radio Broadcast" (Batch 4) at Ozamis, Misamis</t>
  </si>
  <si>
    <t xml:space="preserve">Request for Quotation for the Provision of Advertising Agency Services to be used during the " Getting a Grip of the Rice Tarrification Law or RA 11203: A Radio Broadcast" (Batch 3) at Cagayan de Oro </t>
  </si>
  <si>
    <t>1 Unit Plant Nursery Shed Candelaria Elementary School</t>
  </si>
  <si>
    <t>1 Unit Plant Nursery Shed San Vicente Elementary School</t>
  </si>
  <si>
    <t>RFQ No.: 	2020-06-0530 Board and Lodging for the conduct of Training on Social Welfare and Development Programs and Services management with LSWDOs on August 24-28, 2020 in Iloilo City</t>
  </si>
  <si>
    <t>1 Unit Plant Nursery Shed Brgy. Bulak, Matag-ob, Leyte</t>
  </si>
  <si>
    <t>1 Unit Plant Nursery Shed Brgy. Masaba Matag-ob, Leyte</t>
  </si>
  <si>
    <t>RFQ No.: 	2020-06-0535 Vehicle Rental for DRMD Staff Implementing and Monitoring Disaster Vulnerability Assessment Profiling Project at San Rafael, Iloilo</t>
  </si>
  <si>
    <t>1 Unit Plant Nursery Shed Brgy. Sto. Rosario Matag-ob, Leyte</t>
  </si>
  <si>
    <t>1 Unit Plant Nursery Shed Brgy. Malazarte, Matag-ob, Leyte</t>
  </si>
  <si>
    <t>Supply and Delivery of Labor and Materials for the Installation of Mooring Buoys at Logon, Daanbantayan, Cebu</t>
  </si>
  <si>
    <t>REPOSTING-Van Rental for LFS/APIS July 2020 Round Enumeration and Supervision of Cebu Provincial Statistical Office.</t>
  </si>
  <si>
    <t>1 Unit Plant Nursery Shed Brgy. San Dionesio, Matag-ob, Leyte</t>
  </si>
  <si>
    <t xml:space="preserve">Request for Quotation for the Provision of Advertising Agency Services for the Rise with Rice: A Radio Program on Inbred Rice Seeds Production and Farm Mechanization at Malaybalay City, Bukidnon from </t>
  </si>
  <si>
    <t>20GEB0005-R2: Procurement/Supply/Delivery of Spare Parts for use in the Repair/Replacement of worn-out parts of various Service Vehicles in DPWH – Mindoro Occidental DEO (Construction Section)</t>
  </si>
  <si>
    <t>1 Unit Plant Nursery Shed Brgy. Cambadbad, Matag-ob, Leyte</t>
  </si>
  <si>
    <t>1 Unit Plant Nursery Shed Mansaha-on Elementary School</t>
  </si>
  <si>
    <t>Concreting of Farm To Market Road</t>
  </si>
  <si>
    <t>1 Unit Plant Nursery Shed Brgy. San Marcelino, Matag-ob, Leyte</t>
  </si>
  <si>
    <t>CAMERA, STANDARD DSLR &amp; LASER RANGE METER</t>
  </si>
  <si>
    <t>20GEB0041-R2: Procurement/Supply/Delivery of Office Equipment Supplies and Consumables for use in DPWH – Mindoro Occidental DEO  (Office of the DE/ Procurement Unit)</t>
  </si>
  <si>
    <t>1 Unit Plant Nursery Shed Brgy. San Sebastian, Matag-ob, Leyte</t>
  </si>
  <si>
    <t>20-06-115 dated 06-08-2020</t>
  </si>
  <si>
    <t>1 Unit Plant Nursery Shed Naulayan Elementary School</t>
  </si>
  <si>
    <t>PRINTING OF 2,000 PCS. MARINE BIODIVERSITY ACTIVITY BOOK FOR KIDS</t>
  </si>
  <si>
    <t>Procurement of Two Hundred Twenty (220) units Desktop Computer</t>
  </si>
  <si>
    <t>Bantayan Park Redevelopment and Improvement, Phase 2, Bantayan Park, Brgy Poblcion, Bago City</t>
  </si>
  <si>
    <t>PESTICIDES REQUIREMENTS FOR NFA REGION XII FOR CY 2020</t>
  </si>
  <si>
    <t>PURCHASE OF ELECTRICAL SUPPLIES</t>
  </si>
  <si>
    <t>20GEB0047-A-R2: Procurement/Supply/Delivery of Desktop Computer, Laptop Computer and IT Peripherals for use of DPWH – Mindoro Occidental DEO (Construction Section)</t>
  </si>
  <si>
    <t>Request for Quotation for the Provision of Advertising Agency Services  for the School on the Air on Upland Rice Production and Management at Bacolod, Lanao del Norte from August-October 2020</t>
  </si>
  <si>
    <t>Construction of Concrete Port at Linungan Island</t>
  </si>
  <si>
    <t>Request for Quotation for the Provision of Advertising Agency Services for the "Getting a Grip of the Rice Tarrification Law or RA 11203: A Radio Broadcast" at Maramag, Bukidnon on July 2020</t>
  </si>
  <si>
    <t>PROPOSED CONSTRUCTION OF MSU-SULU MAIN GATE</t>
  </si>
  <si>
    <t>1 Unit Plant Nursery Shed Brgy. Cansoso, Matag-ob, Leyte</t>
  </si>
  <si>
    <t>Procurement of Semi-expendable office equipment</t>
  </si>
  <si>
    <t>Supply and Delivery of Various Laboratory Equipment for Enhancement of MSU at Naawan Water Quality and Fish Health Laboratory Use</t>
  </si>
  <si>
    <t>Supply and Delivery of Office Supplies</t>
  </si>
  <si>
    <t>Construction of CHB Fence @ Daycare Center Antonino, Labason Zamboanga del Norte</t>
  </si>
  <si>
    <t>RFQ No.: 	2020-06-0528 Board and Lodging for the conduct of Training on Social Work Case Management with LSWDO on August 17-21, 2020 in Iloilo City</t>
  </si>
  <si>
    <t>Contract ID: 20MB0125:  Construction of Elementary and Secondary School Building, 2 STY 4 CL at Dole Cannery CES, Polomolok, South Cotabato</t>
  </si>
  <si>
    <t>kotobee 2020</t>
  </si>
  <si>
    <t>Part of Office Supplies and Materials - 1st Quarter	(Desktop Computer)</t>
  </si>
  <si>
    <t>S20-06-053 PURCHASE OF TONERS AND DRUM KIT</t>
  </si>
  <si>
    <t>SK CEMBO OFFICE EQUIPMENT</t>
  </si>
  <si>
    <t>20GEB0064-R2: Procurement/Supply/Delivery of Office Equipment Supplies and Consumables for use in DPWH – Mindoro Occidental DEO  (Administrative Section – Property Unit)</t>
  </si>
  <si>
    <t>Construction of Water Reservoir (Sitio Gala-Gala)</t>
  </si>
  <si>
    <t>Purchase of spareparts</t>
  </si>
  <si>
    <t>Repainting of school ground SHS</t>
  </si>
  <si>
    <t>SK CEMBO OFFICE SUPPLIES</t>
  </si>
  <si>
    <t>RFQ-PR NO. 2020-06-073-PROCUREMENT OF VARIOUS SUPPLIES FOR USE IN THE REPAIR OF NATIONAL ROADS WITHIN THE DISTRICT</t>
  </si>
  <si>
    <t>Purchase of tire</t>
  </si>
  <si>
    <t>PRINTING OF MODULES FROM GRADE 7 TO GRADE 10</t>
  </si>
  <si>
    <t>Repair and maintenance of emergency vehicle -nissan</t>
  </si>
  <si>
    <t>2020-07-0127 Supply and Delivery of Materials for the Maintenance of Water Refilling Station of DOH-DATRC R02, City of Ilagan, Isabela</t>
  </si>
  <si>
    <t>Labor and Materials for the Construction of Open Canal at Purok II Rafael Llamzon, Brgy Bilolo, Orion, Bataan</t>
  </si>
  <si>
    <t>Materials for bantay dagat task force</t>
  </si>
  <si>
    <t>RFQ PR No. 2020-05-036 (Re-Advertised) Supply and Delivery of Office Supplies</t>
  </si>
  <si>
    <t>Purchase of Split type Aircon with Inverter 1HP for use at Governor's Office PR No. (100(01)20-06-1190)</t>
  </si>
  <si>
    <t>SUPPLY AND DELIVERY OF COMPUTER PRINTER CARTRIDGE</t>
  </si>
  <si>
    <t>TVL TOOLS AND SUPPLIES</t>
  </si>
  <si>
    <t>Purchase of equipment for Disaster preparedness</t>
  </si>
  <si>
    <t>Labor and Materials for Rehabilitation of Perimeter Fence of Basketball Court at Brgy Daan Bago, Orion, Bataan</t>
  </si>
  <si>
    <t>Desktop Computers &amp; Printer for Municipal Assessor's Office, Pozorrubio, Pangasinan</t>
  </si>
  <si>
    <t>Supply &amp; Delivery of Various Information Technology Peripherals for the use of Different Offices, City Planning &amp; Development Office, Ormoc City</t>
  </si>
  <si>
    <t>Livelihood Assistance for Women ARBs under Component 3 of PASSOVER: ARold Move for Deliverance of ARBs from COVID 19 Pandemic</t>
  </si>
  <si>
    <t>Assistive Devices &amp; Computer Table for STAC, Pozorrubio, Pangasinan</t>
  </si>
  <si>
    <t>2020-07-0132 Supply and Delivery of Various Carpentry Materials for COVID-19 Infection and Prevention Control measure of DOH-DATRC R02, City ofIlagan, Isabela</t>
  </si>
  <si>
    <t>Supply and Delivery of Toner Cartridge</t>
  </si>
  <si>
    <t>Floor Elevation @ E-Lib Room</t>
  </si>
  <si>
    <t>Agricultural  Supplies</t>
  </si>
  <si>
    <t>Supply and Delivery of Sodium Hypochlorite (Liquid Chlorine)</t>
  </si>
  <si>
    <t>REPAIR &amp; MAINTENANCE OF PASSENGER TERMINAL BUILDING AT CATARMAN AIRPORT</t>
  </si>
  <si>
    <t>Purchase of blinker for motorcycle</t>
  </si>
  <si>
    <t>Procurement of Printers and Scanners for Department of Finance</t>
  </si>
  <si>
    <t>Pressure Tank &amp; Accessories for Barangay Don Benito, Pozorrubio, Pangasinan</t>
  </si>
  <si>
    <t>Supply &amp; Delivery of Electrical Supplies.</t>
  </si>
  <si>
    <t>Procurement of Services for Annual Physical Examination of Department of Finance Employees for CY 2020</t>
  </si>
  <si>
    <t>ITDI-200466 - SUPPLY AND DELIVERY OF CANON CL-811 COLOR INK CARTRIDGE AND CANON PG-810 BLACK INK CARTRIDGE</t>
  </si>
  <si>
    <t>Repair/Rehabilitation (412-Emergency Projects) of Malabanig Bridge along Apayao - Ilocos Norte Road</t>
  </si>
  <si>
    <t>Procurement of Six Units Laptops</t>
  </si>
  <si>
    <t>Purchase of other supplies</t>
  </si>
  <si>
    <t>Labor and Materials for Rehabilitation and Installation of Steel Grating of Canal at San Rafael St., Brgy. Camachile, Orion, Bataan</t>
  </si>
  <si>
    <t>Repair/Rehabilitation of Roof (Tuguegarao West High School, Tuguegarao City)</t>
  </si>
  <si>
    <t>C20203713 Fuel supply for PSWDO VEHICLE SHE-417, SF-7403 &amp; OTHER GOV'T VEHICLES FOR THE PERIOD OF JULY-SEPT 2020</t>
  </si>
  <si>
    <t>LBP Bolinao Branch Renovation (New Unit) - (Supply of Construction Materials)</t>
  </si>
  <si>
    <t>PR NO. 1614 FERTILIZERS AND INSECTICIDES</t>
  </si>
  <si>
    <t>PURCHASE AND DELIVERY OF ONE UNIT CARGO TYPE TRICYCLE</t>
  </si>
  <si>
    <t>Supply &amp; Delivery of Influenza Vaccine &amp; Polysaccharide Pneumococcal Vaccine for Provision of Vaccine for Senior Newly 60 years old, City Health Office, Ormoc City</t>
  </si>
  <si>
    <t>Lease of Equipment for Kidama SIP (RFQ20-18)</t>
  </si>
  <si>
    <t>2020-07-0129 Supply and Installation of PABX Telephone System of DOH-DATRC R02, City of Ilagan, Isabela</t>
  </si>
  <si>
    <t>CARDIAC MONITOR (FOR NEONATE)</t>
  </si>
  <si>
    <t>PROCUREMENT OF MEDICAL/SURGICAL INSTRUMENTS UNDER NEGOTIATED (TWO FAILED BIDDINGS), DR. JOSE RIZAL MEMORIAL HOSPITAL</t>
  </si>
  <si>
    <t>J.O. Supply of Labor &amp; Materials for the Repair of Service Vehicle w/ Engine # 1604138577 Pick-Up</t>
  </si>
  <si>
    <t>RFQ 2020-07-024 Procurement of Trip Meter v202 for use in the Conduct of Annual Visual Road Condition Survery (ROCOND)</t>
  </si>
  <si>
    <t>Lease of Equipment for Batunewla SIP (RFQ20-17)</t>
  </si>
  <si>
    <t>Purchase of Medical, Dental and Laboratory Supplies</t>
  </si>
  <si>
    <t>Lease of Equipment for Badak SIP (RFQ20-16)</t>
  </si>
  <si>
    <t>20GMD0035 Purchase of Various Materials for use of DPWH Personnel for GAD and Women’s Month</t>
  </si>
  <si>
    <t>ITDI-200385_REBID - SUPPLY AND DELIVERY OF VARIOUS LABORATORY SUPPLIES</t>
  </si>
  <si>
    <t>Purchase of Construction Materials and Supplies</t>
  </si>
  <si>
    <t>RFQ No.: 	2020-06-0544 Board and Lodging for Training on Effective and Efficient conduct of On Demand Application and Validation for Enumerators on September 24-27,2020 in the Province of Capiz</t>
  </si>
  <si>
    <t>Purchase and Delivery of Books for College of Law</t>
  </si>
  <si>
    <t>Lease of Venue, Accommodation &amp; CAtering Services for 3rd level training for 2020 Census of Population &amp; Housing on Aug. 3-8, 2020</t>
  </si>
  <si>
    <t>Supply and Delivery of Garbage Bag for 2nd Quarter RF</t>
  </si>
  <si>
    <t>Consulting Services for 6 months (Financial Management Officer for General Services Division)</t>
  </si>
  <si>
    <t>Supply and delivery of LED TV, flat, UHD, 220V, with USB, HDMI, 65 inches</t>
  </si>
  <si>
    <t>office supplies</t>
  </si>
  <si>
    <t>Purchase of Sweat Shirts for Garbage Collectors &amp; Street Sweepers, this city.</t>
  </si>
  <si>
    <t>Installation of Solar Panel for Street lighting</t>
  </si>
  <si>
    <t>For used for Training on Driving NC II, LTPC, Brgy. Luna, Surigao City</t>
  </si>
  <si>
    <t>Hiring of ECCD Council Consultant</t>
  </si>
  <si>
    <t>Supply/Delivery of Office Supplies</t>
  </si>
  <si>
    <t>Lease of Equipment for Maridagao RIS (RFQ20-20)</t>
  </si>
  <si>
    <t>Procurement for the Printing of Yearly Issue of the Official Publication of BFP7 “St. Florian Magazine” CY 2020</t>
  </si>
  <si>
    <t>Concreting of Bagumbayan (Cor. Nat'l Road) to Lallayug Purok 1 Road</t>
  </si>
  <si>
    <t>Supply and delivery of various Office supplies as per PR#2020-03-0992 Etc.</t>
  </si>
  <si>
    <t>PURCHASE OF ELECTRIACL MATERIALS AND SUPPLIES FOR USE IN FABRICATION AND INSTALLATION OF CITY STREET LIGHTS FOR 2ND QUARTER CY2020, SILAY CITY.</t>
  </si>
  <si>
    <t>Supply / Delivery of 25 units Height/Length Board</t>
  </si>
  <si>
    <t>PROCUREMENT ON SUPPLY AND DELIVERY OF ICT Equipment for VIRTUAL LEARNING EQUIPMENT ONLINE CLASS</t>
  </si>
  <si>
    <t>ITDI-200442_REBID - SUPPLY AND DELIVERY OF VARIOUS LABORATORY SUPPLIES</t>
  </si>
  <si>
    <t>Const. Supplies &amp; Materials for the Rehab of Agricultural Center</t>
  </si>
  <si>
    <t>Supply and delivery of High Speed Scanner</t>
  </si>
  <si>
    <t>ITDI-200452_REBID - PRESERVATIVE CHALLENGE TEST PACKAGE FOR 3 SAMPLES</t>
  </si>
  <si>
    <t>SUPPLIES FOR THE SUPPORT OF OPERATION IN CMGP 2020 RELATED PROJECT</t>
  </si>
  <si>
    <t>Supply and delivery of 44 sacks Caf Starter Feed Concentrates</t>
  </si>
  <si>
    <t>Purchase of Meals and Snacks for MSWDO use</t>
  </si>
  <si>
    <t>Purchase of Paper Shredder for MENRO use</t>
  </si>
  <si>
    <t>SUPPLY OF LABOR AND MATERIALS FOR THE LAYOUT, PRINTING AND DELIVERY OF VARIOUS STICKER LABEL AND BOX PACKAGING</t>
  </si>
  <si>
    <t>Procurement of Repair of Mass Comparator Display</t>
  </si>
  <si>
    <t>Purchase of Petroleum, Oil and Lubricants for MSWDO and MO Operation use</t>
  </si>
  <si>
    <t>Repair and Maintenance of Equipment for MBO use</t>
  </si>
  <si>
    <t>Invitation to Negotiated Procurement: SUPPLY&amp;DELIVERY OF 2 MOTORCYCLE PATROLS</t>
  </si>
  <si>
    <t>: Repair/Rehabilitation of road projects in Apayao damaged by Typhoon "Falcon"</t>
  </si>
  <si>
    <t>RFQ-SUPPLY AND DELIVERY OF CONSTRUCTION SUPPLIES</t>
  </si>
  <si>
    <t>2020 CPH Fourth Level Training of Census Field Personnel (Tinglayan).</t>
  </si>
  <si>
    <t>Barangay 395 SK project 2020</t>
  </si>
  <si>
    <t>2020 CPH Fourth Level Training of Census Field Personnel (Pasil).</t>
  </si>
  <si>
    <t>2020 CPH Fourth Level Training of Census Field Personnel (Balbalan).</t>
  </si>
  <si>
    <t>28. FREEZER, DEEP (-80C)</t>
  </si>
  <si>
    <t>27. FREEZER, DEEP (-40C)</t>
  </si>
  <si>
    <t>PREVENTIVE MAINTENANCE SERVICE OF AGILENT CGMSMS AGILENT 7890B GC/ 7010 TQ (S/N:US1531V101) WITH SUPPLY, DELIVERY AND INSTALLATION OF PARTS UNDER EMB-ERLSD-ECMU</t>
  </si>
  <si>
    <t>20CSOB0037	Sub-Surface Soil Exploration for the: A.) Construction of (6) Storey Academic Building 3 at Marikina Polytechnic College; and B.) Construction of Marikina Polytechnic College Gym Both in Ma</t>
  </si>
  <si>
    <t>RFQ No.: 	2020-06-0543 Conduct Orientation to Local Verification Committee (LVC) members Batch 1 &amp; 2 on September 1-3, 2020 in Negros Occidental</t>
  </si>
  <si>
    <t>26. PHARMACEUTICAL REFRIGERATOR WITH FREEZER</t>
  </si>
  <si>
    <t>Purchase of Cell Cards for SBO use</t>
  </si>
  <si>
    <t>S3-CTW20-011 - Supply, Delivery, Installation and Test of 2 x 60m3 FOST's for Mapun DPP Including Construction of Associated Facilities</t>
  </si>
  <si>
    <t>2020 CPH Fourth Level Training of Census Field Personnel (Tanudan).</t>
  </si>
  <si>
    <t>ITDI-200388_REBID - SUPPLY AND DELIVERY OF VARIOUS BOOKS</t>
  </si>
  <si>
    <t>Consulting Services for 6 months (Technical Support Specialist of General Services Division)</t>
  </si>
  <si>
    <t>Printing of LEARNING PACKETS</t>
  </si>
  <si>
    <t>Construction of 1 Storey – 4 Classroom School Building Cabayunan Elementary School, Doña Remedios Trinidad, Bulacan</t>
  </si>
  <si>
    <t>Procurement of Steel Mobile Pedestal Cabinet</t>
  </si>
  <si>
    <t>Procurement of ACU for CSC RO V</t>
  </si>
  <si>
    <t>To Enter into a Lease Agreement (Finance Lease) of Airconditioning Units for use at the New LTO-RO8 Building</t>
  </si>
  <si>
    <t>Procurement of Oil Filter and 17 Others for the Use of EMD (P.R. 2020-06-0029)</t>
  </si>
  <si>
    <t>Supply and Delivery of one (1) lot various Bolt On Breaker</t>
  </si>
  <si>
    <t>MOOE 1ST-2ND QUARTER</t>
  </si>
  <si>
    <t>RFQ-GS-20200626-03 - Supply and Delivery of 12 Rolls each of Ink Ribbon Rolls and Retransfer Film for Proximity/RFID Card</t>
  </si>
  <si>
    <t>SK CEMBO FURNITURE AND FIXTURES</t>
  </si>
  <si>
    <t>Use for LGU Meeting and Seminar. Local Government Unit-Nabua, Camarines Sur</t>
  </si>
  <si>
    <t>(CW-001 S. 2020) REPAIR/REHABILITATION OF SCHOOL BUILDINGS : 10CL</t>
  </si>
  <si>
    <t>REPAIR &amp; REHAB</t>
  </si>
  <si>
    <t>Office and School Supply</t>
  </si>
  <si>
    <t>Negotiated Procurement of Optical Assistive Devices with Free Laboratory Fitting</t>
  </si>
  <si>
    <t>Kitchen Hanging &amp; Sinks Cabinet  and Kitchen Range Hood</t>
  </si>
  <si>
    <t>MEDICINE</t>
  </si>
  <si>
    <t>RFQ-JUNE 2020-10</t>
  </si>
  <si>
    <t>Printing of Learning Packets for DISIPLINA VILLAGE BIGNAY NATIONAL HIGH SCHOOL  Sy2020-2021</t>
  </si>
  <si>
    <t>Supply and delivery of various Office supplies as per PR# 2020-02-0378 Etc.</t>
  </si>
  <si>
    <t>RFQ-APRIL 2020-06</t>
  </si>
  <si>
    <t>2020-21  Supply, Fabrication and Delivery of Fish Aggregating Devices/Payaos and Materials Relevant for the Implementation of the Tuna Conservation and Management Zone (TCMZ) Project in Various BFAR R</t>
  </si>
  <si>
    <t>PQ# 052-2020 Various Office Supplies</t>
  </si>
  <si>
    <t>Procurement of 1 unit Unmanned Aerial Vehicle (Drone) for the use of Surveillance Intelligence and Investigation Unit</t>
  </si>
  <si>
    <t>RFQ-JULY 2020-12</t>
  </si>
  <si>
    <t>Supply of materials &amp; rental of concrete mixer for the Concreting of Barangay road</t>
  </si>
  <si>
    <t>RFQ-APRIL 2020-07</t>
  </si>
  <si>
    <t>BDF 2020 - CCTV Camera &amp; Rehabilitation of Streetlights, supplies, devices &amp; gen. mdse.</t>
  </si>
  <si>
    <t>Purchase of Handheld Radio</t>
  </si>
  <si>
    <t>2020-06-0671 Purchase and Delivery of Flexi Box for Listahanan 3 Supplies</t>
  </si>
  <si>
    <t>RFQ-JUNE  2020-10</t>
  </si>
  <si>
    <t>Purchase of materials for printing of worksheets and modules</t>
  </si>
  <si>
    <t>RFQ for Medals</t>
  </si>
  <si>
    <t>SUPPLY AND DELIVERY OF LABORATORY CONSUMABLES UNDER EMB-ERLSD-ENVIRONMENTAL LABORATORY SERVICES SECTION (ELSS) AIR LABORATORY UNIT</t>
  </si>
  <si>
    <t>For Installation and repair of Flushing Points - PR # 2020-12097</t>
  </si>
  <si>
    <t>Renovation of Mayor's Office 2nd level, Municipal Building, San Roque N. Samar, Project ID:2020-8751-01012</t>
  </si>
  <si>
    <t>AMP SVP-S 20-07-0377: Supply and Delivery of Packed Meals, Good for 26 Pax, 23 days (Mon-Fri)</t>
  </si>
  <si>
    <t>Canteen Exhaust Fan Repair</t>
  </si>
  <si>
    <t>Procurement of Students Personalized Supplies for the use of HCGETDC Career Courses, RTC's and other Activities</t>
  </si>
  <si>
    <t>Supply and Delivery of ICT Equipment and Supplies</t>
  </si>
  <si>
    <t>Clothing/Uniform Allowance</t>
  </si>
  <si>
    <t>Procurement and Delivery of Field Supplies for CENRO Bangued and CENRO Lagangilang Delineation, NGP and Admin</t>
  </si>
  <si>
    <t>Procurement and Delivery of Educational Supplies, Materials for Minor Repairs</t>
  </si>
  <si>
    <t>Materials for the Concreting of Farm to Market Road</t>
  </si>
  <si>
    <t>Construction of Drainage Canal</t>
  </si>
  <si>
    <t>Procurement of Firewall Wireless Appliance (Hardware) with Security Bundle Subscription for Three (3) Years</t>
  </si>
  <si>
    <t>Installation of Solar Street Lights at Sagaba SDNE</t>
  </si>
  <si>
    <t>Request for Quotation (CAD-2020-07-0308 Jacket)</t>
  </si>
  <si>
    <t>Purchase of materials for the Gulayan Sa Paaralan</t>
  </si>
  <si>
    <t>20KB0180   Construction of Two Units One Storey-Two (2) Classroom School Building at Busco ES    :	Quezon, Bukidnon</t>
  </si>
  <si>
    <t>RFQ-July 2020-11</t>
  </si>
  <si>
    <t>Repair and Maintenance Construction &amp;  Heavy Equipment (364,485.61)</t>
  </si>
  <si>
    <t>Job Order: 1 unit floor mounted aircon for City Council (Conference Room) use./City Council Office</t>
  </si>
  <si>
    <t>Concreting of Pathways at Sagaba SDNE</t>
  </si>
  <si>
    <t>20KB0179   Construction of One Unit One Storey-Three (3) Classroom School Building at Dilapa IS (Junior High School)    :	Quezon, Bukidnon</t>
  </si>
  <si>
    <t>20GFG0020 - Procurement and Installation of Furniture (Kitchen and Dining) at the Office of the District Engineer</t>
  </si>
  <si>
    <t xml:space="preserve">450 bots oil-based mosquito repellant lotion with Citronella and other items for dengue prevention and control program (target clients: Public Elementary School children and Day Care Pupils, indigent </t>
  </si>
  <si>
    <t>In Lot: Various Tarpaulins for 2020 Census of Population and Housing (CPH)</t>
  </si>
  <si>
    <t>Printing Services of Various Sticker, SAN JOSE CITY NUEVA ECIJA</t>
  </si>
  <si>
    <t>Rescue Ambulance  Vehicle</t>
  </si>
  <si>
    <t>PR NO. 1655 CATERING SERVICES</t>
  </si>
  <si>
    <t>20GFG0021 - Procurement of Customized Folder</t>
  </si>
  <si>
    <t>CIRCUIT BREAKER</t>
  </si>
  <si>
    <t>SCANNER / PRINTER</t>
  </si>
  <si>
    <t>20GFK0005-Supply &amp; Delivery of Toner, Developer &amp; Drum kit For use in the printing of various documents and maintenance of copier machine, DPWH Sor. 1st DEO</t>
  </si>
  <si>
    <t>Supply and delivery of Mid-upper Arm Circumference (MUAC) Tapes for Adults</t>
  </si>
  <si>
    <t>20 – 0019 – S - Repair/Maintenance of Road along Jct. MSR, Old Zigzag Road, K0153+(-)632 - K0158+389 (Intermittent Section) and Talaba-Summit-Panaon Road, K0179+(-)350 - K0187+759</t>
  </si>
  <si>
    <t>3,420 ltrs Diesel for site clearing/grubbing at Eco-park and solid waste processing facility at Barangay Candau-ay/City Engineer's Office</t>
  </si>
  <si>
    <t>Rehabilitation of Multi Purpose Hall</t>
  </si>
  <si>
    <t>SUPPLY AND DELIVERY OF CHEMICALS UNDER EMB-ERLSD-ENVIRONMENTAL LABORATORY SERVICES SECTION (ELSS) INORGANICS LABORATORY UNIT</t>
  </si>
  <si>
    <t>Purchase of Office Equipment-Engineering Office</t>
  </si>
  <si>
    <t>LIVELIHOOD (SARI-SARI STORE) STARTER KITS FOR NEGOSYO SERBISYO SA BARANGAY BENEFICIARIES</t>
  </si>
  <si>
    <t>Purchase of Materials and Supplies for the Municipal Nursery</t>
  </si>
  <si>
    <t>20 – 0021 – S - Repair/Maintenance of Roads along Daang Maharlika, Gumaca-Lopez-Calauag Road, K0187+000 - K0246+724 (Intermittent Section) (3rd Quarter)</t>
  </si>
  <si>
    <t>20 – 0020 – S - Repair/Maintenance of Road along Quirino Highway, K0251+ (-)511 - K0281+185 (Intermittent Section) (3rd Quarter)</t>
  </si>
  <si>
    <t>PURCHASE OF 2 UNITS LAPTOP</t>
  </si>
  <si>
    <t>MG-RDW20-020..SUPPLY/INSTALL OF WATER LEVEL MONITORING SYSTEM/STATIONS AT AGUS-PULANGI HEPs</t>
  </si>
  <si>
    <t>PURCHASE OF OFFICE SUPPLIES FOR KALAHI OFFICE</t>
  </si>
  <si>
    <t>SUPPLY AND DELIVERY OF FUNERAL WREATH FOR TRIBUTE TO THE DECEASED CONSTITUENT OF SANTIAGO CITY</t>
  </si>
  <si>
    <t>T-SHIRT FOR QUOTATION</t>
  </si>
  <si>
    <t>RFQ No. 20-088: SUPPLY AND DELIVERY OF VARIOUS OR SUPPLIES (LINE ITEM)</t>
  </si>
  <si>
    <t>SUPPLY AND DELIVERY OF VEHICLE PARTS AND ACCESSORIES AS ASSISTANCE TO PNP FOR THE REPAIR OF PATROL CAR</t>
  </si>
  <si>
    <t>20 – 0027 – S - Procurement of Printer Supplies for use in this District, DPWH, Quezon IV District Engineering Office, Gumaca, Quezon (3rd Quarter)</t>
  </si>
  <si>
    <t>20 – 0022– S - Repair/Rehabilitation/Improvement of Road along MSR, Jct. Lopez-Hondagua Port Road, K0221+(-)678-K0227+000 (Intermittent Section) and Gumaca-Pitogo-Mulanay-San Narciso Road, K0198+(-)15</t>
  </si>
  <si>
    <t>For CEEDMO Collection Division use.</t>
  </si>
  <si>
    <t>Purchase of Office Equipment For Office use Under P.R. No. 80-20-06-083</t>
  </si>
  <si>
    <t>PURCHASE OF WASHABLE CLOTH FACE MASKS</t>
  </si>
  <si>
    <t>CONSTRUCTION OF STREET LIGHTS</t>
  </si>
  <si>
    <t>20 – 0028 – S - Procurement of Office Supplies for use in this District, DPWH, Quezon IV District Engineering Office, Gumaca, Quezon (3rd Quarter)</t>
  </si>
  <si>
    <t>2020-RFQ-023 INFRA "FABRICATION OF FIFTY (50) UNITS STEEL FRAME FOR NETHOUSES"</t>
  </si>
  <si>
    <t>RFQ No. 20-087: Supply and Delivery of Labor, Tools, Materials, Consumables, Equipment, Technical Expertise and Supervision for the Preventive Maintenance Service "B" of Eight (8) Units "CUMMINS" Gene</t>
  </si>
  <si>
    <t>Procurement of Laptop Computer, SAN JOSE CITY NUEVA ECIJA</t>
  </si>
  <si>
    <t>Request for Quotation - Computer supplies for the 3rd Qtr of Y2020 - HBC &amp; OVP</t>
  </si>
  <si>
    <t>20 – 0026 – S - Procurement of Printer Supplies for use in this District, DPWH, Quezon IV District Engineering Office, Gumaca, Quezon (3rd Quarter)</t>
  </si>
  <si>
    <t>20 – 0025 – S - Repair/Maintenance of Roads along MSR Jct. Lopez-Buenavista Road, K0218+(-)802 - K0236+988 (Intermittent Section) (3rd Quarter)</t>
  </si>
  <si>
    <t>Concreting of Bindoy - Poblacion Provincial Road, Bindoy, Negros Oriental(S-30-2020)</t>
  </si>
  <si>
    <t>Procurement of Junior Executive Table and Junior Executive Chair</t>
  </si>
  <si>
    <t>20HH0134-Construction / Rehabilitation of Water Supply / Septage and Sewerage / Rain Water Collectors - Rain Water Collectors in Public Facilities–Region VII: 1.Cogon Ramos Public Market, 2.Inayawan P</t>
  </si>
  <si>
    <t>Purchase of Toilet Bowl</t>
  </si>
  <si>
    <t>Supply and Delivery of One (1) Lot Biologics and Veterinary Supplies</t>
  </si>
  <si>
    <t>ICT  PROGRAMMING</t>
  </si>
  <si>
    <t>SUPPLY AND DELIVERY OF RUBBER DUMPER FOR VARIOUS GOVERNMENT VEHICLES</t>
  </si>
  <si>
    <t>Construction of Municipal Agriculture Warehouse and Garage of Vehicle, Four Wheel Tractors and other Farm Machineries and Equipments</t>
  </si>
  <si>
    <t>5 Units HDMI to VGA Converter, 3 Units Portable Wifi Router &amp; 12 Units Wireless Speaker</t>
  </si>
  <si>
    <t>Request for Quotation on Nutrition Month Celebration</t>
  </si>
  <si>
    <t>Procurement of Various Office Supplies</t>
  </si>
  <si>
    <t>PURCHASE OF TRANSPORT VEHICLE (BRAND NEW)</t>
  </si>
  <si>
    <t>Construction Materials &amp; Supplies</t>
  </si>
  <si>
    <t>Procurement of Office and Executive Chair, SAN JOSE CITY NUEVA ECIJA</t>
  </si>
  <si>
    <t>Installation of Solar Powers and Repair of Pipelines of AGRACA Water Supply System</t>
  </si>
  <si>
    <t>Fuels &amp; Lubricant for All Heavy Equipment in Engineering Office</t>
  </si>
  <si>
    <t>Procurement of 146 Water Meter</t>
  </si>
  <si>
    <t>B20200231 - DIESEL AND GASOLINE FOR PEO USE</t>
  </si>
  <si>
    <t>LBRDC Most Commonly Used Materials (Supply of Construction Materials)</t>
  </si>
  <si>
    <t>Supply, Delivery and Intallation of Plastic  Protective Sheets on 25mm Aluminum Square Tube Framing for the Frontliners at the following Landbank Branches/Units:</t>
  </si>
  <si>
    <t>CATERING SERVICES</t>
  </si>
  <si>
    <t>SUPPLY, DELIVERY AND COMMISSIONING OF ABR MACHINE</t>
  </si>
  <si>
    <t>Anti-Rabies Vaccine &amp; Biologics for Animal Health Care and disease Prevention Control</t>
  </si>
  <si>
    <t>Submersible Pump 5HP for CBAO Rice Production</t>
  </si>
  <si>
    <t>FOR THE USE OF SOCIAL PENSION UNIT FOR THE IMPLEMENTATION OF ITS PROGRAM</t>
  </si>
  <si>
    <t>Procurement of Various Appliances, SAN JOSE CITY NUEVA ECIJA</t>
  </si>
  <si>
    <t>WIDENING OF MUNICIPAL STREETS  AT PUROK RIVERSIDE, BRGY. ROBLES</t>
  </si>
  <si>
    <t>CONSTRUCTION OF CIS, SUKIAP, TANGLAG</t>
  </si>
  <si>
    <t>Procurement for catering services</t>
  </si>
  <si>
    <t>B20200235 - MOBILE PHONES FOR 13 BOARD MEMBERS OF DDN</t>
  </si>
  <si>
    <t>Supply and Delivery of J o b O r d e r: Pull-out/Installation and calibration of Perkins Diesel Injection Pump &amp; Nozzle Tip ( F-073-0438-20 )</t>
  </si>
  <si>
    <t>PURCHASE OF MATERIALS FOR THE REPAIR OF SBM HUB IN CONCEPCION CENTRAL SCHOOL</t>
  </si>
  <si>
    <t>Contract ID No. 20GP00069 - Clustered Purchase Request for the Procurement of Various Office Supplies and Devices (1) for use of Planning and Design Division for the 3rd Quarter; and (2) for use of Hi</t>
  </si>
  <si>
    <t>supply and delivery of LAPTOP FOR THE CONFERENCE ROOM DURING VIRTUAL MEETINGS AND PRESENTATIONS</t>
  </si>
  <si>
    <t>Procurement of Student  bags- Upholstery for the use of HCGETDC Career Courses, RTC's and other Activities</t>
  </si>
  <si>
    <t>PQ# 036-2020 Tires and Batteries with trade in</t>
  </si>
  <si>
    <t>Purchase of Brand New Dump truck</t>
  </si>
  <si>
    <t>Supply and Delivery of Mask, Oxygen, ADULT, non toxic PVC, medical grade transparent.</t>
  </si>
  <si>
    <t>Dating Bayan ES RFQ April 2020</t>
  </si>
  <si>
    <t>Procurement of Photocopier</t>
  </si>
  <si>
    <t>purchase of Office Supplies LGU-Dumalag</t>
  </si>
  <si>
    <t>Procurement of Meals and Snacks</t>
  </si>
  <si>
    <t>ESTABLISHMENT OF PATHWAY</t>
  </si>
  <si>
    <t>Procurement of Anti-Rabies Vaccine</t>
  </si>
  <si>
    <t>Construction of Retaining Wall with Road Concreting @ San Felipe</t>
  </si>
  <si>
    <t>Purchase of 5 units barangay rescue related vehicle and equipments (4x4 multicab with amenities)</t>
  </si>
  <si>
    <t>PROCUREMENT OF OFFICE SUPPLIES</t>
  </si>
  <si>
    <t>Supply and Delivery of Mimeographing Paper (Groundwood) for Reproduction of Modules.</t>
  </si>
  <si>
    <t>Supply and Delivery of Various Dietary Supplies and Materials for the month of September 2020</t>
  </si>
  <si>
    <t>Concrete Paving of Local Access Road</t>
  </si>
  <si>
    <t>Supply of Labor, materials and installation for the repair of DAIKIN VRN III Airconditioners</t>
  </si>
  <si>
    <t>Procurement of 1 lot Various Semi-Expendable Office Supplies</t>
  </si>
  <si>
    <t>Prize for Philippine-Spanish On-Screen Talent Quest</t>
  </si>
  <si>
    <t>Purchase of Office Equipment for PESO</t>
  </si>
  <si>
    <t>Procurement of Assisted Devices for Indigent PWD Beneficiaries - MSWDO, Laak, Davao De Oro</t>
  </si>
  <si>
    <t>Purchase of office supplies to be used in DLSP, Brgy. San Jose, San Pablo City.</t>
  </si>
  <si>
    <t>PROPOSED WATER TANK FOR MUNICIPAL DISASTER RISK REDUCTION MANAGEMENT OFFICE (MDRRMO)FOR WATER SUPPLY OF  TEMPORARY FACILITY TO ACCOMMODATE COVID-19 PATIENT</t>
  </si>
  <si>
    <t>Procurement of Food Stuff to Support Barangay Sustainable Peace Action Team - Sitio Kinabuhian, Laak, Davao De Oro</t>
  </si>
  <si>
    <t>PROCUREMENT OF JANITORIAL/OFFICE SUPPLIES AND ELECTRICAL MATERIALS FOR RURAL HEALTH UNIT</t>
  </si>
  <si>
    <t>Procurement of Fuel and Oil</t>
  </si>
  <si>
    <t>Supply and Delivery of Various Materials</t>
  </si>
  <si>
    <t>Procurement of Construction Supplies</t>
  </si>
  <si>
    <t>Concreting of by-pass road at Brgy. Sta. Cruz to Consolacion, Dumalag, Capiz</t>
  </si>
  <si>
    <t>20HH0135-Local Program: Local Infrastructure Program – Buildings and other Structure – Multi Purpose / Facilities – Construction and / or Repair / Rehabilitation of Multi – Purpose Building, Brgy. Lab</t>
  </si>
  <si>
    <t>General Merchandise PF-0620-666</t>
  </si>
  <si>
    <t>New Construction of Level - II Potable Water System at Sitio Luway, Brgy, Cajimos, Romblon, Romblon - MEO</t>
  </si>
  <si>
    <t>RFQ No. 20-089 : Supply and Delivery Various Office Supplies (Line Item)</t>
  </si>
  <si>
    <t>COMBI BLINDS</t>
  </si>
  <si>
    <t>Construction of Multi Purpose Building(Stockroom)</t>
  </si>
  <si>
    <t>Procurement of Communication Parts</t>
  </si>
  <si>
    <t>Procurement of Hospital/Medical Equipment for Madrid District Hospital Laboratory.</t>
  </si>
  <si>
    <t>B20200237 - EQUIPMENT RENTAL FOR THE PROPOSED ROAD OPENING NASILABAN-PONGPONG RAOD, SECTION, TALAINGOD</t>
  </si>
  <si>
    <t>PURCHASE REQUEST 2020-06-0103</t>
  </si>
  <si>
    <t>SUPPLY AND DELIVERY OF GLASSWARE UNDER EMB-ERLSD-ENVIRONMENTAL LABORATORY SERVICES SECTION (ELSS) INORGANICS LABORATORY UNIT</t>
  </si>
  <si>
    <t>Construction of Covered Court</t>
  </si>
  <si>
    <t>SUPPLY AND DELIVERY OF CONSTRUCTION MATERIALS FOR REPAIR AND MAINTENANCE OF SCHOOL BUILDINGS</t>
  </si>
  <si>
    <t>Procurement of Rice</t>
  </si>
  <si>
    <t>RFQ No. 20-93: Periodic Preventive Maintenance of Edan Holter System and Four (4) Recorders</t>
  </si>
  <si>
    <t>Supply and Delivery of Consumables for Newborn Hearing Screener for Official Use of JLAEH</t>
  </si>
  <si>
    <t>Supply of 20 units Printer Monochrome</t>
  </si>
  <si>
    <t>Purchase of spare parts &amp; labor for CDRRMO service vehicles.</t>
  </si>
  <si>
    <t>PR2020-02-003 - Purchase and delivery of IT Equipments</t>
  </si>
  <si>
    <t>Procurement of Office Supplies for Provincial Governors Office (2nd Quarter)</t>
  </si>
  <si>
    <t>Installation of Solar Street Lights</t>
  </si>
  <si>
    <t>RFQ No. 2007-338 Proc. of Goods (Fire Woods)</t>
  </si>
  <si>
    <t>Purchase of 1 unit of Computer, 1 unit of Printer and 1 unit of computer table  to be used in Rabies Control Program. (C.H.O.-ABTC)</t>
  </si>
  <si>
    <t>LBRDC Most Commonly Used Materials (Supply of Construction Materials)-Tiles</t>
  </si>
  <si>
    <t>ITB - Supply, Delivery and Testing of Walking Type Agricultural Tractors (PHilMech RCEF 20-06-02)</t>
  </si>
  <si>
    <t>Purchase of Three (3) Floor Mounted Air Conditioning Units</t>
  </si>
  <si>
    <t>B20200248 - LABOARATORY SUPPLIES FOR PEEDO-BLOOD CENTER</t>
  </si>
  <si>
    <t>Supply and Delivery of Materials for the Construction of Residual Containment Area (RCA) for Cluster-4</t>
  </si>
  <si>
    <t>Procurement of Yearbook 2018-2019 - NIPSC Lemery Campus</t>
  </si>
  <si>
    <t>Construction of Pathways/Walkways (Gandang Ilagan Program)</t>
  </si>
  <si>
    <t>Procurement of various supplies and gears for the technical assistance and monitoring of Animal Dispersal Program</t>
  </si>
  <si>
    <t>RFQ No. 2007-333 Proc. of Goods (Shredder Machine)</t>
  </si>
  <si>
    <t>Purchase of 1 unit of Computer and 1 unit of Printer to be used in Surveillance Program. (C.H.O.)</t>
  </si>
  <si>
    <t>B20200234 - BATTERIES FOR VARIOUS PROVINCIAL EQUIPMENT OF PEO</t>
  </si>
  <si>
    <t>Rehabilitation and Improvement of Tayasan - Tambulan Provincial Road, Tayasan, Negros Oriental(S-31-2020)</t>
  </si>
  <si>
    <t>Supply of one (1) Brake Shoe Front and one (1) Brake Shoe Rear (genuine)</t>
  </si>
  <si>
    <t>Supply and Delivery of 2,000 liters Premium Gasoline</t>
  </si>
  <si>
    <t>Supply and Delivery of Various Painting Materials ( F-070-0435-20 )</t>
  </si>
  <si>
    <t>Laboratory Outsourcing 53.1-Two Failed Biddings</t>
  </si>
  <si>
    <t>Concreting of Brgy. Road, at So. Ata-Ata Brgy Yupisan Pamplona Neg.Or.(S-34-2020)</t>
  </si>
  <si>
    <t>two way portable radio</t>
  </si>
  <si>
    <t>Purchase of Office Supplies delivered to Engineering Office</t>
  </si>
  <si>
    <t>SUPPLY AND DELIVERY OF OFFICE EQUIPMENT FOR HRMO USE</t>
  </si>
  <si>
    <t>PROCUREMENT OF SNACKS FOR PARTICIPANTS OF ROADMAP TOWARDS DENGUE FREE BARANGAY</t>
  </si>
  <si>
    <t>CATERING SERVICES: 1ST SEMESTER REPORTING AND ASSESMENT, PLANNING/LEVELLING OFF WITH PEOPLES ORGANIZATION UNDER INTEGRATED NATURAL RESOURCES AND ENVIRONMENTAL MANAGEMENT PROJECT-MISAMIS ORIENTAL CY 20</t>
  </si>
  <si>
    <t>LBRDC Most Commonly Used Materials (Supply of Construction Materials) Powder Coated</t>
  </si>
  <si>
    <t>Materials for the Improvement of Multi_purpose Hall</t>
  </si>
  <si>
    <t>Purchase of Equipment and Furniture/Fixture for the Municipal Health Office</t>
  </si>
  <si>
    <t>Procurement of Motorcycle, SAN JOSE CITY NUEVA ECIJA</t>
  </si>
  <si>
    <t>Purchase of Weighing Scale</t>
  </si>
  <si>
    <t>20KB0181   Construction of One Unit One Storey-Two (2) Classroom School Building at Miluya ES    :	Quezon, Bukidnon</t>
  </si>
  <si>
    <t>PR# 20-1705-RPDH-, DBFDH- FOR HOSPITAL USE</t>
  </si>
  <si>
    <t>SUPPLY AND DELIVERY OF LOW TEMPERATURE INCUBATOR UNDER EMB-ERLSD-ENVIRONMENTAL LABORATORY SERVICES SECTION (ELSS)</t>
  </si>
  <si>
    <t>20 – 0023 – S - Repair/Rehabilitation/Improvement of Road along Daang Maharlika, Pagbilao-Atimonan-Plaridel Road, K0135+(-)732 - K0187+000 (Intermittent Section) (3rd Quarter)</t>
  </si>
  <si>
    <t>INVITATION TO BID FOR THE PROVISION OF LABOR SERVICE AND MATERIALS FOR THE INSTALLATION OF TWENTY UNITS OF TRASH TRAPS ALONG IMUS, YLANG-YLANG, CAÑAS-MAALIMANGO AND ZAPOTE RIVER SYSTEM</t>
  </si>
  <si>
    <t>PR NO. 1613 SEEDLINGS</t>
  </si>
  <si>
    <t>20 – 0024 – S - Repair/Maintenance of Roads along MSR Jct. Lopez-Catanauan Road, K0217+(-)890 - K0236+128 (Intermittent Section) (3rd Quarter)</t>
  </si>
  <si>
    <t>Supply of five (5) units Water Tank, Plastic</t>
  </si>
  <si>
    <t>Procurement of Various Computer Inks</t>
  </si>
  <si>
    <t>ITB NO. 20-058: RE-BIDDING FOR THE SUPPLY AND DELIVERY OF VARIOUS OR SUPPLIES (6 ITEMS-LINE BIDDING)</t>
  </si>
  <si>
    <t>Construction of Line Canal</t>
  </si>
  <si>
    <t>Purchase and delivery of food for animals for Calapan City Zoo</t>
  </si>
  <si>
    <t>Construction of 2 Storey 8 Classroom Apugan Elementary School, Norzagaray, Bulacan</t>
  </si>
  <si>
    <t>Repair and Maintenance of Service Vehicle (SJB-426) SB</t>
  </si>
  <si>
    <t>BLINDS</t>
  </si>
  <si>
    <t>Supply of two (2) seats Software, Network Inventory</t>
  </si>
  <si>
    <t>Construction of 2 Storey - 10 Classroom Matias A. Fernando MS (Angat C/S), Angat, Bulacan</t>
  </si>
  <si>
    <t>Supply and Delivery of Materials for the Construction of Residual Containment Area (RCA) for Cluster-5</t>
  </si>
  <si>
    <t>Janitorial Supply</t>
  </si>
  <si>
    <t>Purchase of Air Lifting Bag for Disaster Preparedness Program</t>
  </si>
  <si>
    <t>PURCHASE REQUEST 2020-06-0108</t>
  </si>
  <si>
    <t>Supply and Delivery of Various Office Supplies</t>
  </si>
  <si>
    <t>Supply and Delivery of one (1) lot various Electrical supplies</t>
  </si>
  <si>
    <t>For Installation at areas with too much air pressure - PR # 2020-12182</t>
  </si>
  <si>
    <t>Procurement of Food Stuff to Support Barangay Sustainable Peace Action Team - Sitio Buhi, Laak, Davao De Oro</t>
  </si>
  <si>
    <t>Procurement for school maintenance</t>
  </si>
  <si>
    <t>Purchase for 10 units Laptop for official use of DENR RO2</t>
  </si>
  <si>
    <t>INFUSION PUMP</t>
  </si>
  <si>
    <t>PROCUREMENT OF VARIOUS OFFICE SUPPLIES FOR THE USE OF CCC-CCO</t>
  </si>
  <si>
    <t>Construction of 2 Storey 8 Classroom A.S. De Guzman ES (Taboc ES), Angat, Bulacan</t>
  </si>
  <si>
    <t>Construction of 2 Storey 10 Classroom Norzagaray Elementary School, Norzagaray, Bulacan</t>
  </si>
  <si>
    <t>FURNISHING OF LABOR, TOOLS AND MATERIALS FOR THE MAINTENANCE / IMPROVEMENT OF HAZARDOUS WASTE AREA OF AGUS 6/7 HEPC</t>
  </si>
  <si>
    <t>Procurement of 1 unit DSLR Camera</t>
  </si>
  <si>
    <t>Procurement of 275 Liter Organic Fertilizer (Free Grow),etc. under P.R No. 2544-2020 -Office of the City Agriculturist.</t>
  </si>
  <si>
    <t>Materials for the installation of screen windows at various schools</t>
  </si>
  <si>
    <t>IMPROVEMENT OF CALANGAHAN WATER PUMPING SYSTEM</t>
  </si>
  <si>
    <t>Materials for the improvement of PWD lift</t>
  </si>
  <si>
    <t>Supply and Installation of Three (3) units Fire Hydrant at the DENR Compound (Central Office)</t>
  </si>
  <si>
    <t>Supply and Delivery of 1 unit Laptop</t>
  </si>
  <si>
    <t>Supply and Delivery of Medical Supplies</t>
  </si>
  <si>
    <t>Supply and Delivery of various stocks for Brackishwater Techno-demo Projects</t>
  </si>
  <si>
    <t>Construction of 4 Storey 8 Classroom FVR Phase 3 Elementary School, Norzagaray, Bulacan</t>
  </si>
  <si>
    <t>Supply and Delivery of Various Dietary Supplies and Materials for September 2020</t>
  </si>
  <si>
    <t>EXHAUST FAN FOR QUOTATION</t>
  </si>
  <si>
    <t>PROCUREMENT OF VARIOUS FURNITURES AND FIXTURES FOR AFD-REBID</t>
  </si>
  <si>
    <t>Procurement of Educational Materials and Supplies</t>
  </si>
  <si>
    <t>PROVISION OF LABOR AND MATERIALS FOR THE REPAIR OF THE PROPOSED SPACE FOR POP AT VIGAN CITY, ILOCOS SUR</t>
  </si>
  <si>
    <t>Purchase of Office Equipment Use for Office Documents. Under P.R. No. 80-19-09-070</t>
  </si>
  <si>
    <t>REHAB. / IMPROVEMENT OF BRGY. MULTI-PURPOSE BLDG.</t>
  </si>
  <si>
    <t>Materials for the construction of roof extension of City Health Office</t>
  </si>
  <si>
    <t>SUPPLY AND DELIVERY OF CONSTRUCTION SUPPLIES TO BE USE OF CPSH</t>
  </si>
  <si>
    <t>Landscape Maintenance of Bel-Air Park 2, Park 3 and Jaime Velasquez Park for CY 2020</t>
  </si>
  <si>
    <t>Procurement of IEC Materials for 2020 CPH for PSA Albay</t>
  </si>
  <si>
    <t>Supply of Heavy Duty  Weighing  Scale - RFQ 060-2020 GQ</t>
  </si>
  <si>
    <t>Installation of Warning Signs</t>
  </si>
  <si>
    <t>Supply and Delivery of Materials for the Construction of Residual Containment Area (RCA) for Cluster-6</t>
  </si>
  <si>
    <t>PROVISION OF LABOR AND MATERIALS FOR THE REPAIR OF THE PROPOSED INTERNET TECH4ED CENTER, TUGUEGARAO CITY, CAGAYAN</t>
  </si>
  <si>
    <t>SLOTTED ANGLE BARS</t>
  </si>
  <si>
    <t>Printing of Learning Packets for Malanday National High School SY 2020-2021</t>
  </si>
  <si>
    <t>Procurement of Office Supplies for Provincial Social Welfare and Development Office.</t>
  </si>
  <si>
    <t>Procurement of DCP-T310 Refill Tank System, Ultra High Yield Ink and HP Officejet Pro 7740 Ink</t>
  </si>
  <si>
    <t>Lease of Desktop Computers for the Official Use of the Office of the Secretary (OSEC)</t>
  </si>
  <si>
    <t>Materials for the repair and maintenance of streetlights of various barangays</t>
  </si>
  <si>
    <t>Purchase of Public Paging System for Sagaba SDNE</t>
  </si>
  <si>
    <t>Rehabilitation of Lao-angan Footbridge, San Roque N. Samar</t>
  </si>
  <si>
    <t>PROVISION OF LABOR AND MATERIALS FOR THE REHABILITATION OF PROPOSED SPACE FOR POP ROOM AND TECH4ED CENTER AT TABUK, KALINGA</t>
  </si>
  <si>
    <t>Q-100-20 PROCUREMENT OF CUSTOMIZED POLO SHIRT</t>
  </si>
  <si>
    <t>Construction of Multi-Purpose Commercial Building</t>
  </si>
  <si>
    <t>Supply and Delivery of Fuel, Oil and Lubricants</t>
  </si>
  <si>
    <t>Fuel (Road Rehab. Located at Sitio Banahaw Brgy. Sainz, City of Mati)</t>
  </si>
  <si>
    <t>Supply and Delivery of ICT Supplies</t>
  </si>
  <si>
    <t>Procurement of Dental Equipment</t>
  </si>
  <si>
    <t>1 unit laptop</t>
  </si>
  <si>
    <t>Construction of Comfort Room in Mayon Type Building and Rehabilitation of School Landscape of Bayandong Elementary School</t>
  </si>
  <si>
    <t>Publication of newly approved ordinances of the City of Calapan</t>
  </si>
  <si>
    <t>Supply and delivery of 1785 liters diesel fuel for ambulance</t>
  </si>
  <si>
    <t>Supply and Delivery of IT Equipment</t>
  </si>
  <si>
    <t>supply and delivery of one unit desktop and one unit printer</t>
  </si>
  <si>
    <t>Procurement of Laboratory Supplies and materials</t>
  </si>
  <si>
    <t>Magazine Subscription for MGB Director's Office</t>
  </si>
  <si>
    <t>Purchae of Mobile Rigid Mast Lighting System for Disaster Preparedness Program</t>
  </si>
  <si>
    <t>Construction of 2 Storey 4 Classroom Maligaya Elementary School, San Miguel, Bulacan</t>
  </si>
  <si>
    <t>Supply and Delivery of Various Laboratory Supplies under RCEF Good 20-06-01</t>
  </si>
  <si>
    <t>Purchase of Furniture and Fixture for Transient Homes at Livestock Auction Market</t>
  </si>
  <si>
    <t>Q-099-20 PROCUREMENT OF MEALS</t>
  </si>
  <si>
    <t>Materials for the repair and maintenance of City Govt buildings and facilities</t>
  </si>
  <si>
    <t>ITB NO. 20-050: RE-BIDDING FOR ONE (1) LOT SUPPLY AND DELIVERY OF VARIOUS ANESTHESIA BREATHING CIRCUIT</t>
  </si>
  <si>
    <t>Construction of 2 Storey 6 Classroom Camachin Elementary School, Doña Remedios Trinidad, Bulacan</t>
  </si>
  <si>
    <t>Supply &amp; Delivery of Materials for Virtual Online Graduation 05D(GRAD) G03-2020</t>
  </si>
  <si>
    <t>OFFICE TABLE</t>
  </si>
  <si>
    <t>Fuel (Road Rehab. Located at Brgy. San Isidro, Boundary-Proper, Brgy Sanghay)</t>
  </si>
  <si>
    <t>PR NO. 1611 INSECTICIDE , FUNGICIDES &amp; FERTILIZERS</t>
  </si>
  <si>
    <t>FOR THE USE OF CIS STAFF</t>
  </si>
  <si>
    <t>Supply and Delivery of Materials for the Construction of Residual Containment Area (RCA) for Cluster-7</t>
  </si>
  <si>
    <t>Supply &amp; Delivery of Various Hardware &amp; Construction Materials &amp; Supplies use for maintenance of various buildings &amp; other structures, Himamaylan City</t>
  </si>
  <si>
    <t>Fuel (Delicia, Ambulance, D4D, Generator Set Dental Bus)</t>
  </si>
  <si>
    <t>Purchase and delivery of 10 units bicycle to be used for Employees Fitness Program</t>
  </si>
  <si>
    <t>Purchase of Laboratory Supplies</t>
  </si>
  <si>
    <t>PURCHASE REQUEST 2020-06-0102</t>
  </si>
  <si>
    <t>Purchase of Motor Vehicle with Kulong-Kulong for Garbage Collecting Scheme</t>
  </si>
  <si>
    <t>Spare Parts (265/65R17 Tires – D’Max Pick-Up Plate No. 1101-225564)</t>
  </si>
  <si>
    <t>Construction of 4 Storey 8 Classroom Tabing Ilog Elementary School, Marilao, Bulacan</t>
  </si>
  <si>
    <t>Office Suppiles</t>
  </si>
  <si>
    <t>Construction of 2 Storey 6 Classroom Paco Elementary School, San Rafael, Bulacan</t>
  </si>
  <si>
    <t>Materials to be given to various barangays</t>
  </si>
  <si>
    <t>Materials (Maintenance of Light)</t>
  </si>
  <si>
    <t>Installation of Solar Streetlights</t>
  </si>
  <si>
    <t>IMPROVEMENT OF BARANGAY CAPPA-CAPPA FARM TO MARKET ROAD</t>
  </si>
  <si>
    <t>Procurement of Vehicle Repair and Maintenance under P.R.Nos. 1903-2020 and 1940-2020-Office of the City Engineer-1Lot</t>
  </si>
  <si>
    <t>CONSTRUCTION OF MULTIPURPOSE PAVEMENT (MARTNSF) MATERIALS ONLY- CALUNASAN, CALAPE,  BOHOL</t>
  </si>
  <si>
    <t>Procurement of Document Scanner for Records Section and Supply Office use</t>
  </si>
  <si>
    <t>Construction of 4 Storey 8 Classroom Carlos F. Gonzales HS (Maguinao Cruz na Daan NHS), San Rafael, Bulacan</t>
  </si>
  <si>
    <t>TPB-PR.2020.07.199 PROCUREMENT OF FLU VACCINE FOR TPB EMPLOYEES</t>
  </si>
  <si>
    <t>PROCUREMENT OF LAPTOP</t>
  </si>
  <si>
    <t>Supply &amp; Delivery of SMICH Supplies &amp; Equipment</t>
  </si>
  <si>
    <t>Purchase of Twenty (20) Units Brand New Single Motorcycle</t>
  </si>
  <si>
    <t>Construction of 4 Storey 12 Classroom Paradise Farms Community School, San Jose del Monte City, Bulacan</t>
  </si>
  <si>
    <t>Supply and Delivery of various Office Supplies for City Gov't at NGC, Sipalay City, Negros Occidental</t>
  </si>
  <si>
    <t>Procurement of Office Supplies for Provincial Engineers Office (2nd Quarter)</t>
  </si>
  <si>
    <t>Purchase of Drinking Fountain</t>
  </si>
  <si>
    <t>SUPPLY AND DELIVERY OF JANITORIAL SUPPLIES P.R. 0581 SERIES OF 2020</t>
  </si>
  <si>
    <t>Supply and Delivery of Vehicle Parts and Accessories</t>
  </si>
  <si>
    <t>20DJ0096-LOCAL PROGRAM, Construction/Repair/Rehabilitation/Improvement of Various Infrastructure including Local Projects, Construction of Sariaya Sports Complex, Brgy. Poblacion 6, Sariaya, Quezon</t>
  </si>
  <si>
    <t>SUPPLY AND DELIVERY OF CONSTRUCTION MATERIALS FOR THE CONSTRUCTION OF DRAINAGE CANAL ALONG SAN GERONIMO ST.,  (Bonifacio St.-Malvar St.), BAGABAG, NUEVA VIZCAYA</t>
  </si>
  <si>
    <t>Token for Committees, Coaches for Philippine-Spanish On-Screen Talent Quest</t>
  </si>
  <si>
    <t>20GMD0038  Purchase of Various Supplies for use of DPWH Personnel as Required on Health Protocol during State Calamity due to Corona Virus Disease 2019</t>
  </si>
  <si>
    <t>Purchase of spare parts for the repair and maintenance of the different service vehicles and heavy equipment of the Municipality</t>
  </si>
  <si>
    <t>I LOT SUPPLY AND DELIVERY OF VARIOUS MATERIALS</t>
  </si>
  <si>
    <t>Rental of Digital Photocopying Machine for CY 2020</t>
  </si>
  <si>
    <t>Package 1 - Consulting Services for the Geological and Geotechnical Surveys /Investigations for the FY 2021 Proposed Various Projects of Sub-Soil Exploration for Flood Control Projects a)	Angat River,</t>
  </si>
  <si>
    <t>PURCHASE SUBLIMATED RESCUE P-SHIRT,MDRRMC PROTECTIVE JACKET,RESCUE PANTS</t>
  </si>
  <si>
    <t>REQUEST FOR QUOTATION (RFQ)  PROCUREMENT FOR BOND PAPERS RFQ No.057 -2020</t>
  </si>
  <si>
    <t>Completion of Multi-Purpose Building at Brgy. Progreso, San Guillermo, Isabela</t>
  </si>
  <si>
    <t>CONSTRUCTION OF GREENHOUSE (PACKAGE 1) AND CONSTRUCTION OF RAIN SHELTER( PACKAGE II)</t>
  </si>
  <si>
    <t>Supply and Delivery of Various Laboratory Supplies RCEF Goods 20-06-02</t>
  </si>
  <si>
    <t>Procurement of Information Technology under P.R.Nos. 2122-2020(Office of the City Engineer) and 3088-2019( CMO-Provision for Information and Communication Technology Equipment)-1Lot</t>
  </si>
  <si>
    <t>Vehicle Rental</t>
  </si>
  <si>
    <t>20DJ0097-LOCAL PROGRAM, LOCAL INFRASTRUCTURE PROGRAM, Construction/ Rehabilitation of Multi-Purpose Building, Brgy. Ilayang Iyam, Lucena City, Quezon</t>
  </si>
  <si>
    <t>20DJ0098-LOCAL PROGRAM, LOCAL INFRASTRUCTURE PROGRAM, Construction/ Rehabilitation of Multi-Purpose Building, Brgy. Gulang-Gulang, Lucena City, Quezon</t>
  </si>
  <si>
    <t>SUPPLY AND DELIVERY OF CONSTRUCTION MATERIALS FOR REPAIR AND MAINTENANCE OF SCHOOL BUILDINGS(ROOFING)</t>
  </si>
  <si>
    <t>Procurement of Office Equipments</t>
  </si>
  <si>
    <t>Supply and Delivery of Tilapia Stocks for FW and BW techno-demo Projects</t>
  </si>
  <si>
    <t>Procurement of Drugs and Medicines for Lianga District Hospital Ward.</t>
  </si>
  <si>
    <t>Procurement of Mega Ultrasonic Tip</t>
  </si>
  <si>
    <t>Supply &amp; Delivery of Hardware Supplies for Dairy Production 01D(AUX) G05-2020</t>
  </si>
  <si>
    <t>PROCUREMENT OF TWO (2) UNITS RESCUE VEHICLE</t>
  </si>
  <si>
    <t>Supply and Delivery of Medical Supplies PR/RFQ# 2020-06-115</t>
  </si>
  <si>
    <t>Improvement of Jct. National Highway to ANHS road</t>
  </si>
  <si>
    <t>Purchase of Chlorine Granules for the Maintenance of Municipal Waterworks System</t>
  </si>
  <si>
    <t>RFQ-DVO. PR NO. 2006051 CAT. 44 OFFICE SUPPLIES AND MATERIALS</t>
  </si>
  <si>
    <t>PACKAGE PROJECT: Installation/Rehabilitation of Streetlights at Brgy. Bihis and Concreting of Callejon at Brgy. Saimsim, Sta. Teresita, Batangas</t>
  </si>
  <si>
    <t>90 rolls P.E TUBE 13MM (1/2 SDR 9) HDPE PIPE 1/2" dia. SDR-9 WITH MARKING EVERY METER, COLOR BLUE, ISO 9001 AND 14001 CERTIFICATION AS MANUFACTURER) (90 ROLLS)</t>
  </si>
  <si>
    <t>Catering Service During Assessment and Validation of Proposed Sanitary Landfill SIte by EMB &amp; MGB Personel</t>
  </si>
  <si>
    <t>Procurement of Spare Parts for the Dump Truck SFV 544</t>
  </si>
  <si>
    <t>Supply and Delivery of General Merchandise PR/RFQ# 2020-06-116</t>
  </si>
  <si>
    <t>SUPPY AND DELIVERY OF VARIOUS MEDICINES FOR BOTIKA NG BAYAN</t>
  </si>
  <si>
    <t>SUPPLY AND DELIVERY OF OFFICE EQUIPMENT P.R. 0577 SERIES OF 2020</t>
  </si>
  <si>
    <t>Consulting Services for the Geological and Geotechnical   Surveys /  Investigations for the FY 2021 Proposed Various Projects of Sub-Soil Exploration for Flood Control Projects, Obando, Bulacan</t>
  </si>
  <si>
    <t>Labor and Materials for the replacement of Worn out parts of Dodge Dakota P/N SGV-905,  Sipalay City, Negros Occidental</t>
  </si>
  <si>
    <t>Hardware Materials and Supplies</t>
  </si>
  <si>
    <t>20DJ0099-LOCAL PROGRAM, Construction/Repair/Rehabilitation/Improvement of Various Infrastructure including Local Projects, Rehabilitation of Multi-Purpose Building in Barangay Silanganan, Dolores, Que</t>
  </si>
  <si>
    <t>Purchase of office supplies - Sangguniang Bayan Office, San Fabian, Pangasinan</t>
  </si>
  <si>
    <t>RFQ-SeniorHS JULY2020 Supplies</t>
  </si>
  <si>
    <t>Supply and Delivery of Two (2) cartridge SET HP LASERJET 650A Toner Cartridge</t>
  </si>
  <si>
    <t>Procurement of Medical Supplies for Lianga District Hospital Nursing Service and Dental.</t>
  </si>
  <si>
    <t>pr for cash vault door &amp; fire resisting safe (vault). under PR# 2020-06-2674.</t>
  </si>
  <si>
    <t>Supply and Delivery of Three(3) units Grass Cutter for Sipalay City Nursery used, Sipalay City, Negros Occidental</t>
  </si>
  <si>
    <t>Purchase of Office Supplies, Consumable Items and Devices</t>
  </si>
  <si>
    <t>Purchase Materials for Maintenance of Engkantadya MRF and Eco-organic Form and Landscape</t>
  </si>
  <si>
    <t>REQUEST FOR QUOTATION - SUPPLY AND DELIVERY OF VARIOUS Office Supplies and Consumables</t>
  </si>
  <si>
    <t xml:space="preserve">Consulting Services for the Geological and Geotechnical Surveys / Investigations for the FY 2021 Proposed Various Projects of Sub-Soil Exploration for Flood Control Projects, San Jose del Monte City, </t>
  </si>
  <si>
    <t>Supply, Delivery and Installation of VIDEO SYSTEM (LED WALL) RCEF GOODS 20-06-03</t>
  </si>
  <si>
    <t>IMPROVEMENT/REHABILITATION OF BARANGAY POBLACION FARM TO MARKET ROAD</t>
  </si>
  <si>
    <t>Supply and Delivery for the City Disaster Risk Reduction and Management Office (CDRRMO) under P.R.No. 0999-2020-Subject to Ordering Agreement Arrangement-2nd Bidding</t>
  </si>
  <si>
    <t>Supply and Delivery of Foods (Meal Allowance) for Calauag Municipal Hospital Operation for the month of July 2020</t>
  </si>
  <si>
    <t>PURCHASE EVACUATION MODULAR TENT</t>
  </si>
  <si>
    <t>Procurement of Six pieces tires, Flap and Interior</t>
  </si>
  <si>
    <t>To support the repair and maintenance of Other Machinery and Equipment</t>
  </si>
  <si>
    <t>Procurement of Stata Licenses</t>
  </si>
  <si>
    <t>PROCUREMENT OF TASK FORCE UNIFORM VEST WITH SLING AND CAP</t>
  </si>
  <si>
    <t>INSTALLATION OF VINYL FLOOR TILES @ the PORT MANAGEMENT OFFICE GSD J-20-272</t>
  </si>
  <si>
    <t>Supply and Delivery of Office Supplies of Coun. Carlon Ambayec for the 3rd Qtr. of 2020</t>
  </si>
  <si>
    <t>Consulting Services for the Geological and Geotechnical   Surveys / Investigations for the FY 2021 Proposed Various Projects of Sub- Soil Exploration for Flood Control Projects, Marilao River, 4th LD</t>
  </si>
  <si>
    <t>SUPPLY AND DELIVERY OF METERING PUMP</t>
  </si>
  <si>
    <t>Package 3 a) Consulting Services for the Geological and Geotechnical   Surveys / Investigations for the Proposed Various Projects of Sub-Soil Exploration for Bridge Projects b) Consulting Services for</t>
  </si>
  <si>
    <t>20DJ0100-LOCAL PROGRAM, Local Infrastructure Program, Construction of Multi-Purpose Building (Municipal Hall) at Dolores, Quezon</t>
  </si>
  <si>
    <t>PROCUREMENT OF TOILET BOWLS</t>
  </si>
  <si>
    <t>Package 2 - Consulting Services for the Geological and Geotechnical Surveys /Investigations for the FY 2021 Proposed Various Projects of Sub- Soil Exploration for Flood Control Projects a)	Meycauayan</t>
  </si>
  <si>
    <t>Food Supplies Expenses under Seaborne Program 3rd Quarter under PR# 2020-06-2583.</t>
  </si>
  <si>
    <t>20DJ0101-LOCAL PROGRAM, Construction/Rehabilitation/Improvement of Various Infrastructure including Local Projects, Construction of Multi-Purpose Building in Barangay Mamala 2, Sariaya, Quezon, Barang</t>
  </si>
  <si>
    <t>Purchase of Fuel &amp; Oil for the Concreting of Municipal Streets (DELMES Access Roa &amp; New Govt Center), Pob. Ilawod, Lamnunao, Iloilo</t>
  </si>
  <si>
    <t>IMPROVEMENT/UPGRADING OF BARANGAY SAN NICOLAS FARM TO MARKET ROAD</t>
  </si>
  <si>
    <t>Supply and Delivery of General Merchandise PR/RFQ# 2020-06-118</t>
  </si>
  <si>
    <t>CONSTRUCTION OF MULTI PURPOSE PAVEMENT</t>
  </si>
  <si>
    <t>Supply and Delivery of Distal Femoral Locking Plate System Appropriate for femur of the patient (from 8 to 12 holes)</t>
  </si>
  <si>
    <t>Consulting Services for the Geological and Geotechnical   Surveys / Investigations for the FY 2021 Proposed Various Projects of Sub-Soil Exploration for Flood Control Projects, Maasim River, 3rd  LD</t>
  </si>
  <si>
    <t>Installation of Additional Power outlet for ICT and conference room new equipment</t>
  </si>
  <si>
    <t>Procurement of 1/2" Water Meter with 2 Tailpieces</t>
  </si>
  <si>
    <t>Procurement of Nipa Seedlings for NIPA Project.</t>
  </si>
  <si>
    <t>Purchase of Laptop and Office Chairs for the Office of the Building Official</t>
  </si>
  <si>
    <t>Request for Price Quotation for I.T. Equipment and Supplies for the Year 2020</t>
  </si>
  <si>
    <t>Catering Services for the Provincial Training of Various AgStat Activities for the 2nd Semester of FY 2020 of Cebu Provincial Statistical Office.</t>
  </si>
  <si>
    <t>Procurement and Delivery Common and Other School Supplies for the Month of January and June 2020</t>
  </si>
  <si>
    <t>Package 4 a) Consulting Services for the Geological and Geotechnical Surveys / Investigations for the Proposed Various Projects of Sub-Soil Exploration for Bridge Projects b) Consulting Services for t</t>
  </si>
  <si>
    <t>To support the procurement of Twelve (12) ea Bush with PN: 1/N-41-615/APE41615 for use in the Unscheduled Maintenance of N-22 Aircraft with Tail Nr C-68.</t>
  </si>
  <si>
    <t>installation of cctv</t>
  </si>
  <si>
    <t>PURCHASE OF DRUGS AND MEDICINE</t>
  </si>
  <si>
    <t>Conduct of Topographic &amp; Parcellary Survey of the Proposed ByPasses / Diversion Roads, Bulacan</t>
  </si>
  <si>
    <t>Supply and Delivery of  various Supplies for theCoastal Resource Management Program use, Sipalay City, Negros Occidental</t>
  </si>
  <si>
    <t>request for quatation Mangani Labo Cluster School</t>
  </si>
  <si>
    <t>Purchase of toner for the maintenance of the photocopying machine of the Sangguniang Bayan Office</t>
  </si>
  <si>
    <t>Purchase of materials for the fabrication of vault  at the Springfields Memorial Park</t>
  </si>
  <si>
    <t>Purchase of Food Stuff</t>
  </si>
  <si>
    <t>CONCRETING OF BARANGAY ROADS (Brgy. Quipot)</t>
  </si>
  <si>
    <t>SUPPLY AND DELIVERY OF VARIOUS LABORATORY SUPPLIES</t>
  </si>
  <si>
    <t>Materials for Rehabilitation of Old Municipal Building Roofing - MEO</t>
  </si>
  <si>
    <t>For NORSU Guihhulngan BAC Sec Office Use.</t>
  </si>
  <si>
    <t>REQUEST FOR QUOTATION (RFQ)  PROCUREMENT FOR BOND PAPERS RFQ No.058 -2020</t>
  </si>
  <si>
    <t>REHABILITATION OF FIRE HYDRANT</t>
  </si>
  <si>
    <t>CONSTRUCTION OF MULTIPURPOSE PAVEMENT (MARTNSF) EQUIPMENT ONLY- CALUNASAN, CALAPE,  BOHOL</t>
  </si>
  <si>
    <t>Supply and Delivery of Electrical Supplies for the Repair and Maintenance of New Municipal Building</t>
  </si>
  <si>
    <t>Supply / Delivery of Vehicle Parts &amp; Accessories</t>
  </si>
  <si>
    <t>Purchase of spareparts of aircon</t>
  </si>
  <si>
    <t>for Emergency and Rescue Operation of MDRRM Office. LGU Nabua, Camarines Sur</t>
  </si>
  <si>
    <t>Purchase of Flu Vaccine</t>
  </si>
  <si>
    <t>Purchase of Laboratory Supplies for MHO Office</t>
  </si>
  <si>
    <t>Procurement of Computer Desktops and Printers for City Assessors Office</t>
  </si>
  <si>
    <t>Purchase of Rice for MPOC.</t>
  </si>
  <si>
    <t>PURCHASE OF MEDICINES FOR EMERGENCY USE AT RHU, LOBOC, BOHOL</t>
  </si>
  <si>
    <t>Purchase and Installation of Airconditioning Units</t>
  </si>
  <si>
    <t>Purchase of medical supplies for the use of the Municipality in response to COVID 19 Pandemic</t>
  </si>
  <si>
    <t>GOODS-OE-24-2020</t>
  </si>
  <si>
    <t>Provision of Snacks and Lunch for the conduct of LSBs, NGOs &amp; other meetings of the LGU for July to September 2020</t>
  </si>
  <si>
    <t>CONSTRUCTION OF GOAT HOUSE (PACKAGE III) AND CONSTRUCTION OF GOAT HOUSE ( PACKAGE IV)</t>
  </si>
  <si>
    <t>Supply and Delivery of Medical Supplies PR/RFQ# 2020-06-119</t>
  </si>
  <si>
    <t>Supply and Delivery of Labor and Materials for the Construction of Multi- Purpose Building, at Poblacion, Dauis, Bohol.</t>
  </si>
  <si>
    <t>Invitation to bid</t>
  </si>
  <si>
    <t>Package 4 a) Consulting Services for the Geological and Geotechnical Surveys / Investigations for the FY 2021 Proposed Various Projects of Sub-Soil Exploration for Roads (3rd, 4th &amp; Lone District of B</t>
  </si>
  <si>
    <t>School and Office Supplies of Dominador "Oking" Jison Memorial Elementary School`</t>
  </si>
  <si>
    <t>One (1) Unit of Heavy-Duty Copier Machine with Rental Period of One (1) year</t>
  </si>
  <si>
    <t>Purchase of Medical Supplies</t>
  </si>
  <si>
    <t>Procurement of Medical Supplies for Marihatag District Hospital ER and Ward.</t>
  </si>
  <si>
    <t>Proposed Construction of Additional Rehabilitation and Improvement of Sinking Road/Slope Protection at Estrella, San Guillermo, Isabela</t>
  </si>
  <si>
    <t>CONSTRUCTION OF POTABLE WATER SYSTEM LEVEL I</t>
  </si>
  <si>
    <t>Procurement of Consultancy Services For ISO9001:2015 Training and Technical Guidance</t>
  </si>
  <si>
    <t>SUPPLY AND DELIVERY OF CONSTRUCTION MATERIALS FOR REPAIR AND MAINTENANCE OF SCHOOL BUILDINGS (CLASSROOM WINDOW)</t>
  </si>
  <si>
    <t>Supply and Delivery of PVC</t>
  </si>
  <si>
    <t>2020 CPH Information Drive – CPH Tarpaulin</t>
  </si>
  <si>
    <t>Procurement of 3,000 Piece Seedling Tray for Rice Transplanter, etc. under P.R No. 2548-2020 - Office of the City Agriculturist</t>
  </si>
  <si>
    <t>BPSU:MC-CEA-OFFICE EQUIPMENT</t>
  </si>
  <si>
    <t>RENOVATION OF MULTI PURPOSE HALL</t>
  </si>
  <si>
    <t>Registrar's use only</t>
  </si>
  <si>
    <t>REPAIR/REHABILITATION OF 2-CL BAGONG LIPUNAN SCHOOL BLDG. (MATERIALS ONLY)- KINABAG-AN ELEM. SCHOOL, PANGANGAN, CALAPE, BOHOL</t>
  </si>
  <si>
    <t>Completion/Upgrading and Expansion of Existing Building (TB Dots Building) at RHU San Guillermo, Isabela</t>
  </si>
  <si>
    <t>Supply and Delivery of various Supplies for the Installation of Marker Buoys in marine Protected Areas, Sipalay City, Negros Occidental</t>
  </si>
  <si>
    <t>Supply of Medicine RHU San Remigio, Cebu</t>
  </si>
  <si>
    <t>Supply and Delivery of One (1) Lot Corn Seeds with Fertilizer, Insecticide and Fungicide</t>
  </si>
  <si>
    <t>CONSTRUCTION OF MULTIPURPOSE PAVEMENT (MARTNSF) LABOR  ONLY- CALUNASAN, CALAPE,  BOHOL</t>
  </si>
  <si>
    <t>Purchase of brand new fire extinguisher and refill to be use by the Municipality</t>
  </si>
  <si>
    <t>Purchase of Anti-Epidemic Monitoring Work Station</t>
  </si>
  <si>
    <t>REQUEST FOR QUOTATION - Purchase of Office Supplies and Materials for the 1st and 2nd QTRs of 2020 - ARMM Region XIV</t>
  </si>
  <si>
    <t>Lease of Office Space for GAB BACOLOD Field Office  for August to December 31, 2020</t>
  </si>
  <si>
    <t>SUPPORT TO EDUCATIONAL DEVELOPMENT PROGRAM (SUPPORT TO GRADUATION CEREMONIES OF PUBLIC ELEMENTARY AND SECONDARY SCHOOLS) - OTHER SUPPLIES - MAYOR'S OFFICE</t>
  </si>
  <si>
    <t>Procurement of Equipment for Learning Management System Deployment</t>
  </si>
  <si>
    <t>Purchase of Medicines</t>
  </si>
  <si>
    <t>Procurement of LED Monitor: For use during Video Conference activities (to be installed in MSD, RLED, LHSD Conference Rooms)</t>
  </si>
  <si>
    <t>Consulting Services for the Geological and Geotechnical   Surveys / Investigations for the FY 2021 Proposed Various Projects of Sub-Soil Exploration for Flood Control Projects, Bulo River, 3rd  LD</t>
  </si>
  <si>
    <t>Construction of Multi-Purpose Building @ Barangay Masibay, Nunungan, Lanao del Norte</t>
  </si>
  <si>
    <t>Purchase of Aircon</t>
  </si>
  <si>
    <t>20DJ0102-LOCAL PROGRAM, Local Infrastructure Program, Construction of Multi-Purpose Building, (Dialysis Center) Brgy. Masin Norte, Candelaria, Quezon</t>
  </si>
  <si>
    <t>Purchase of Office equipment</t>
  </si>
  <si>
    <t>For Airing of Radio-Based Instruction. CID-Instructional Supervision</t>
  </si>
  <si>
    <t>Procurement of Office Equipment Supplies &amp; Consumables</t>
  </si>
  <si>
    <t>CONCRETING OF BARANGAY STREET, Brgy. Mabuhay, Can-avid Eastern Samar</t>
  </si>
  <si>
    <t>CONCRETING OF BARANGAY STREET, Brgy. Guibuangan, Can-avid Eastern Samar</t>
  </si>
  <si>
    <t>RFQ for the Procurement of Office Laptops and other devices used for the Upgrading of Office Desktops</t>
  </si>
  <si>
    <t>Procurement of Drugs and Medicines</t>
  </si>
  <si>
    <t>2020-164-I PROCUREMENT AND DELIVERY OF ASSORTED LOWLAND AND UPLAND VEGETABLE SEEDS  UNDER HVCDP CY 2020</t>
  </si>
  <si>
    <t>Supply and Delivery of Office Equipment and Supplies for Different Offices of the PGOM</t>
  </si>
  <si>
    <t>Supply and Delivery of Meals and Snacks during Tourism Meeting Resort Owners &amp; Food Establishment Meeting, DOH Visitors &amp; PNO Visitors,, Sipalay City, Negros Occidental</t>
  </si>
  <si>
    <t>Purchase of spare parts for the repair of one (1) unit Ambulance</t>
  </si>
  <si>
    <t>Tourism Industry Skills Program: Webinar Management Service Provider for the Production of the DOT8 Online Webinar and Fora on Infinite Escapes Reboot: Reinforcing Competencies of EV Tourism Players “</t>
  </si>
  <si>
    <t>For DA-BAR 06-15E</t>
  </si>
  <si>
    <t>IMPROVEMENT OF STAGE (GYM)</t>
  </si>
  <si>
    <t>Repair and Maintenance of Service Vehicle - NGP</t>
  </si>
  <si>
    <t>CONSTRUCTION OF SAN ANTONIO CHB LINED CANAL W/ CONCRETE COVER</t>
  </si>
  <si>
    <t>Materials (Rehab. and Maintenance of BLDG. (Market)</t>
  </si>
  <si>
    <t>Advertising Expense</t>
  </si>
  <si>
    <t>Supply and Delivery of Materials for Gill Net Set</t>
  </si>
  <si>
    <t>Procurement of UV Light and Pharmaceutical Refrigerator (Medicine &amp; Vaccine)</t>
  </si>
  <si>
    <t>SENIOR HIGH SCHOOL- Procurement and Delivery Common and Other School Supplies for the Month of JANUARY and JUNE 2020</t>
  </si>
  <si>
    <t>Purchase of Cellcards for Different Offices, SB Sec and Members</t>
  </si>
  <si>
    <t>Supply and Delivery of Grocery Items</t>
  </si>
  <si>
    <t>Installation of Welcome Arc and Signage at Albay Livestock, Parapoto, Malinao Albay PR No. (100(01)20-06-1199)</t>
  </si>
  <si>
    <t>Siphoning Services of Septic Tank at JBDMDH (Emergency Room) PR No. (100(01)20-05-1159)</t>
  </si>
  <si>
    <t>IMPROVEMENT ALONG CENTRAL TO EBBES ELEMENTARY SCHOOL LOCAL ACCESS ROAD</t>
  </si>
  <si>
    <t>Procurement of materials for the Improvement and Maintenance of Residual Containment Area at the LGU-SWM Eco Park, Barangay Maya, Balasan, Iloilo</t>
  </si>
  <si>
    <t>To support the procurement of one (1) ea Radio Control Panel with PN: PA41C for use in the Unscheduled Maintenance of F-27 Aircraft with Tail Nr 10620.</t>
  </si>
  <si>
    <t>SUPPLY AND DELIVERY OF OFFICE EQUIPMENT P.R. 0574 SERIES OF 2020</t>
  </si>
  <si>
    <t>Fertilizer (Provision of Alternative Livelihood Assistance to Victims of Disaster)</t>
  </si>
  <si>
    <t>Improvement of Water System</t>
  </si>
  <si>
    <t>Supply and delivery of one (1) lot Various DRUGS AND MEDICINES (2nd Qtr - Health Enhancement Program)</t>
  </si>
  <si>
    <t>Procurement of 2,500 Piece Empty Box, with Print ("Family Food Packs and Butuan on Branding") under P.R No. 2594-2020- 5% City Disaster Risk Reduction and Management Fund</t>
  </si>
  <si>
    <t>SUPPLY AND DELIVERY OF HOSPTIAL SUPPLIES FOR COVID-19</t>
  </si>
  <si>
    <t>Supply and Delivery of auto supply for the repair and maintenance of BFAR RFO 1 RP Vehicle</t>
  </si>
  <si>
    <t>PURCHASE OF ONE (1) UNIT MULTI-PURPOSE VEHICLE (MVP) BRANDNEW TO BE USE FOR MSWD OFFICE</t>
  </si>
  <si>
    <t>Supply and Delivery of Communication Equipment</t>
  </si>
  <si>
    <t>ITB - Supply, Delivery and Testing of Mobile Rice Mills (PHilMech RCEF 20-06-08</t>
  </si>
  <si>
    <t>Furniture (Modular Office Partition for Mapeh Faculty Room (cubicle)</t>
  </si>
  <si>
    <t>Supply and delivery of one (1) lot Various DRUGS AND MEDICINES  (2nd Qtr - City Health)</t>
  </si>
  <si>
    <t>Procurement of 1 unit Motorcycle under P.R.No. 4836-2019-CMO-Aquisition of Motor Vehicle</t>
  </si>
  <si>
    <t>Materials (Construction of Slope Protection at City of Mati, Eternal Garden, Davao Oriental)</t>
  </si>
  <si>
    <t>PROCUREMENT OF HAULING OF HAZARDOUS (PATHOLOGICAL/INFECTIOUS) WASTE M501</t>
  </si>
  <si>
    <t>Seeds (Provision of Alternative Livelihood Assistance to Victims of Disaster)</t>
  </si>
  <si>
    <t>Supply and Delivery of Farm Inputs and Materials for Gulayan Sa Barangay- BalikSiglasaPagsasaka at Pangingisda Program</t>
  </si>
  <si>
    <t>Construction of 1-Unit Health Center with Amenities</t>
  </si>
  <si>
    <t>CONSTRUCTION OF CONCRETE ROAD CANAL AT PUROK 2, GOMEZ, CABARROGUIS</t>
  </si>
  <si>
    <t>Supply and Delivery of Seaweed Planting Materials for Seaweeds Culture</t>
  </si>
  <si>
    <t>IMPROVEMENT OF STA. MARIA MULTI-PURPOSE HALL</t>
  </si>
  <si>
    <t>Materials (Repair of Water Storage Tank Stand Clergy, Brgy. Central, City of Mati)</t>
  </si>
  <si>
    <t>PR#20-07-0320 Office Equipment Supplies (CHO)</t>
  </si>
  <si>
    <t>For TESDA MuntiParLasTaPat District natural-urban vegetables gardening training Use.</t>
  </si>
  <si>
    <t>Procurement of Office Supplies for 3rd Qtr. 2020</t>
  </si>
  <si>
    <t>Request for Quotation for R &amp; M Buildings</t>
  </si>
  <si>
    <t>PCS-Additional School Supplies-2020-07-009</t>
  </si>
  <si>
    <t>FOOD SUPPLIES for the period August 1, 2020 to December 31, 2020 (PCGH)</t>
  </si>
  <si>
    <t>VLMC-MS-20-0307-10159</t>
  </si>
  <si>
    <t>Concreting of Two(2) Commercial Stalls</t>
  </si>
  <si>
    <t>Purchase of Vehicle Parts and Accessories for use in Vehicle Maintenance of Service Vehicle assigned at PEO PR No. (100(01)20-06-1250)</t>
  </si>
  <si>
    <t>REQUEST FOR PROPOSAL</t>
  </si>
  <si>
    <t>Proposed Rehabilitation, Renovation &amp; Restoration of School Building and OTHER FACILITIES at JUAN SUMULONG ELEMENTARY SCHOOL (JSES)</t>
  </si>
  <si>
    <t>REPAIR OF HANGING FOOT BRIDGE AT VILLAROSE, CABARROGUIS</t>
  </si>
  <si>
    <t>2020-02-0093 SUPPLY AND DELIVERY OFFICE SUPPLIES</t>
  </si>
  <si>
    <t>To record lessons for radio-based instruction.</t>
  </si>
  <si>
    <t>Supply and Delivery of Seaweeds Seedlings for Seaweeds Culture- Balik Sigla Sa Pag Sasaka at Pangingisda</t>
  </si>
  <si>
    <t>Supply and delivery of one (1) lot Various DRUGS AND MEDICINES (3rd Qtr - Kandili ng Kalusugan)</t>
  </si>
  <si>
    <t>Materials (Burial Assistance)</t>
  </si>
  <si>
    <t>Garbage Bin</t>
  </si>
  <si>
    <t>Procurement of IT Equipment for 2nd Qtr. 2020</t>
  </si>
  <si>
    <t>Purchase of Laboratory Supplies for use at Provincial Engineer's Office PR No. (100(01)20-05-1148)</t>
  </si>
  <si>
    <t>Purchase of Office Supplies and Equipments</t>
  </si>
  <si>
    <t>CONSTRUCTION OF WAITING SHED AT MANGA, BOTOT</t>
  </si>
  <si>
    <t>For Office Supplies</t>
  </si>
  <si>
    <t>Purchase of Digital Duplicator for use at Provincial Engineer's Office PR No. (100(01)20-05-1059)</t>
  </si>
  <si>
    <t>SUPPLY AND DELIVERY OF CONSTRUCTION MATERIALS FOR REPAIR AND MAINTENANCE OF SCHOOL BUILDINGS (ELECTRICAL WIRINGS)</t>
  </si>
  <si>
    <t>PROCUREMENT OF ONE (1) UNIT MOTORCYCLE USE FOR MOVE CAPABILITY OF THE PHILIPPINE NATIONAL POLICE AT MUNICIPALITY OF AYUNGON, NEGROS ORIENTAL</t>
  </si>
  <si>
    <t>Procurement of 50 Unit Knapsack Sprayer, etc. under P.R No. 2546-2020 -Office of the City Agriculturist</t>
  </si>
  <si>
    <t>Construction Project (MEO)</t>
  </si>
  <si>
    <t>Repair of DOH CHD I Conference Rom Entrance Swing Door: For the use of DOH CHD I Conference Room</t>
  </si>
  <si>
    <t>Improvement of the Health Center</t>
  </si>
  <si>
    <t>Purchase of IT Equipment for Map Computerization</t>
  </si>
  <si>
    <t>PR#20-07-0318 Office Aupplies for barangay base SPES(PESO)</t>
  </si>
  <si>
    <t>Medical Supplies</t>
  </si>
  <si>
    <t>SUPPLY AND DELIVERY OF VARIOUS LABORATORY SUPPLIES FOR WHITE POTATO SEED PRODUCTION</t>
  </si>
  <si>
    <t>CONSTRUCTION OF MATERIAL RECOVERY FACILITIES AT CABARROGUIS</t>
  </si>
  <si>
    <t>16 cu.m Sand std. specs and other items for construction of Barangay Multi-Purpose Hall (Phase I) at Barangay Piapi.</t>
  </si>
  <si>
    <t>CRFMS FACE MASK</t>
  </si>
  <si>
    <t>Supply and Delivery of Laptop Computer, Printer &amp; Enternal Drive for City Vice Mayor's Office use, Sipalay City, Negros Occidental</t>
  </si>
  <si>
    <t>Procurement of Hazmat Personal Protective Equipment Suit</t>
  </si>
  <si>
    <t>CONSTRUCTION OF COMPOSTING BUILDING AT SANITARY LANDFILL, GUNDAWAY, CABARROGUIS</t>
  </si>
  <si>
    <t>SUPPLY AND DELIVERY OF BASIC FOOD COMMODITIES FOR COVID-19 OPERATIONS, LGU SFADS</t>
  </si>
  <si>
    <t>Supply and Delivery of Tilapia Fry (BalikSiglasaPagsasaka at Pangingisda)</t>
  </si>
  <si>
    <t>Purchase of office equipment</t>
  </si>
  <si>
    <t>Request for Quotation for Other Supplies and Materials</t>
  </si>
  <si>
    <t>REQUEST FOR PRICE QUOTATION</t>
  </si>
  <si>
    <t>C20203433 Catering Services for Bahay Pag-asa Davao del Norte 6th Founding Anniversary on Sept. 2020</t>
  </si>
  <si>
    <t>Procurement of IEC and Training Materials: To be distributed as part of Mental Health and Psychosocial Support (MHPSS) Kits</t>
  </si>
  <si>
    <t>Supply and Delivery of Calcar replacing total hip prosthesis Set</t>
  </si>
  <si>
    <t>Request for Quotation for Semi-Expandable ICT Equipment</t>
  </si>
  <si>
    <t>For Office Use-CAS</t>
  </si>
  <si>
    <t>172 bags Portland Cement 40 kgs/bag and other items for construction of Barangay Multi-Purpose Hall (Phase I) at Barangay Piapi.</t>
  </si>
  <si>
    <t>Provision of Supplies and Materials for Teacher Made Instructional Materials during School Based INSET</t>
  </si>
  <si>
    <t>Supply and Delivery of 8 Sets Hi-End Laptops</t>
  </si>
  <si>
    <t>PURCHASE OF MACHINERIES AND EQUIPMENTS TO BE USE FOR MANGO AND OTHER PROCESSING FACILITY AT DA OFFICE</t>
  </si>
  <si>
    <t>Supply and Delivery of Medical Oxygen for City Health Office use, Sipalay City, Negros Occidental</t>
  </si>
  <si>
    <t>For Office Use-Extension</t>
  </si>
  <si>
    <t>Procurement of IT Equipment and Supplies</t>
  </si>
  <si>
    <t>Supply and Delivery of Solar Powered Explosion Proof Lighting Fixtures</t>
  </si>
  <si>
    <t>REPAIR / IMPROVEMENT OF LIMASAWA MUNICIPAL GYM</t>
  </si>
  <si>
    <t>PROCUREMENT ON SUPPLY AND DELIVERY OF LMS BRANDING APPLICATION</t>
  </si>
  <si>
    <t>SUPPLY AND DELIVERY OF 137 BAGS FEED CONCENTRATE</t>
  </si>
  <si>
    <t>Purchase of Various Materials for the Rehabilitation of Water System at Barangay Cabanaetan and Nibaliw, Mabini, Pangasinan</t>
  </si>
  <si>
    <t>IT Supplies for 3rd Quarter</t>
  </si>
  <si>
    <t>Procurement of Construction Materials and Supplies</t>
  </si>
  <si>
    <t>Procurement of materials for the Proposed Installation of 75 units LED Type Streetlights along National and Municipal Roads in the Municipality of Balasan</t>
  </si>
  <si>
    <t>To support the procurement of Twenty Eight (28) ea Packing NLG with PN: MS28775-266 and 10 other L/I for use in the Unscheduled Maintenance of NC-212i Aircraft with Tail Nr 2120.</t>
  </si>
  <si>
    <t>RFQ 121-06-2020 REPAIR OF MUNICIPAL BLDG. - TABING DAGAT, ODIONGAN, ROMBLON</t>
  </si>
  <si>
    <t>Supply and Delivery of Goods for PWD Celebration</t>
  </si>
  <si>
    <t>SUPPLY AND DELIVERY OF CONSTRUCTION MATERIALS FOR THE CONSTRUCTION OF COMFORT ROOMS, FARMER’S TRAINING CENTER,  SAN PEDRO BAGABAG, NUEVA VIZCAYA</t>
  </si>
  <si>
    <t>Purchase of Diploma Jacket</t>
  </si>
  <si>
    <t>Supply and Delivery of Feeds for Tilapia (Balik Sigla sa Pagsasaka at Pangingisda)</t>
  </si>
  <si>
    <t>Supply and Delivery of various Spare Parts for the replacement of Worn out Parts of 3units Honda XR125 Motorcycle of SP Office, Sipalay City, Negros Occidental</t>
  </si>
  <si>
    <t>PURCHASE OF SCHOOL SUPPLIES</t>
  </si>
  <si>
    <t>20DL0230 - 	ORGANIZATIONAL OUTCOME 1 : ENSURE SAFE AND RELIABLE NATIONAL ROAD SYSTEM NETWORK DEVELOPMENT PROGRAM, CONSTRUCTION OF BY-PASS AND DIVERSION ROADS, GUMACA BY-PASS ROAD, (PHASE III), QUEZON</t>
  </si>
  <si>
    <t>Procurement of Janitorial Supplies</t>
  </si>
  <si>
    <t>SUPPLY AND DELIVERY OF 7 UNITS EGG INCUBATOR</t>
  </si>
  <si>
    <t>PROCUREMENT ON SUPPLY AND DELIVERY OF ELECTRICAL SUPPLIES AND EQUIPMENT</t>
  </si>
  <si>
    <t>PROCUREMENT ON SUPPLY AND DELIVERY OF OFFICE EQUIPMENT FOR VISUAL LEARNING FACILITY STUDIO</t>
  </si>
  <si>
    <t>PROCUREMENT FOR THE SERVICES OF A NATIONAL CONSULTANT TO DEVELOP THE OPERATION MANUAL OF THE INTEGRATED APPROACH IN MANAGEMENT OF MAJOR BIODIVERSITY CORRIDORS IN THE PHILIPPINES PROJECT</t>
  </si>
  <si>
    <t>20DL0231 - CONVERGENCE AND SPECIAL SUPPORT PROGRAM, CONSTRUCTION / IMPROVEMENT OF ACCESS ROADS LEADING TO DECLARED TOURISM DESTINATIONS, PINAGSAKAYAN-KINAMALIGAN-ATULAYAN-LAGAY-KUNALUM-VILLA MAGSINO-S</t>
  </si>
  <si>
    <t>Pre-Printed Water Bill Forms JR033</t>
  </si>
  <si>
    <t>Supply and delivery of IT Equipment (LDRRMO)</t>
  </si>
  <si>
    <t>Supply and Delivery ofFarm Inputs for Multiple Cropping Model Farm - Balik Sigla sa Pagsasaka at Pangingisda Program</t>
  </si>
  <si>
    <t>Procurement of IT Equipment for the project "Sustaining Mariano Marcos State University (MMSU) IP-TBM Office and Enhancing IP-TBM Offices among member agencies of ILAARDEC"</t>
  </si>
  <si>
    <t>C20203437 Catering Services for Regular Session, Special Session, Executive Session &amp; Committee Meeting</t>
  </si>
  <si>
    <t>CO 2020 - Motorcycle with sidecar, supplies, devices &amp; gen. mdse.</t>
  </si>
  <si>
    <t>C20203474 Medical Supplies for PDRRMD for Emergency Medical Response</t>
  </si>
  <si>
    <t>RFQ 120-06-2020 COMPLETION/CONST. OF STREET LIGHTS - LIBERTAD, ODIONGAN, ROMBLON</t>
  </si>
  <si>
    <t>Procurement of materials needed for the Rehabilitation of Lawis Potable Water Supply located at Barangay Lawis, Balasan, Iloilo</t>
  </si>
  <si>
    <t>Uniform for the Emergency Response Operation</t>
  </si>
  <si>
    <t>REQUEST FOR QUOTATION FOR THE Supply and Delivery of One (1) Lot Printer Inks and I.T. Supplies</t>
  </si>
  <si>
    <t>To support the procurement of services for the Overhaul of One (1) ea Starter Generator with PN: 8260-150 SN: 1423 for use in the Unscheduled Maintenance of C-295 Aircraft Nr 142</t>
  </si>
  <si>
    <t>FOR OFFICE USE SINCE WE ARE STARTING TO BUILD OUR OWN OFFICE.</t>
  </si>
  <si>
    <t>SUPPLY AND DELIVERY OF CONSTRUCTION MATERIALS FOR FABRICATION OF WASHING AREA AND DECONTAMINATION BOOTH</t>
  </si>
  <si>
    <t>C20203438 Catering Services for DavNor Kaagapay Kawsa sa Agrikultura ug Panginabuhi sa Brgy Learning Session for BEW (Phase 2)</t>
  </si>
  <si>
    <t>GENERAL MERCHANDISE</t>
  </si>
  <si>
    <t>SMALL VALUE PROCUREMENT SUPPLY AND DELIVERY OF MATERIALS AND LABOR FOR THE REHABILITATION/REPAIR OF MITSUBISHI ADVENTURE WITH PLATE NO. SHL 391 AT NFA MAMBURAO PROVICIAL OFFICE, BALANSAY, MAMBURAO, OC</t>
  </si>
  <si>
    <t>Supply ,Delivery and Installation of Venetian Blinds -combi wood at  the Kammaranan Building</t>
  </si>
  <si>
    <t>Supply and Delivery of 1 Brand New Ambulance</t>
  </si>
  <si>
    <t>2020 14TH PUBLIC BIDDING: DRUGS AND MEDICINES  FOR 2020 2ND SEMESTER CONSUMPTION</t>
  </si>
  <si>
    <t>Supply and Delivery of Other Supplies (MSWDO/Nutrition)</t>
  </si>
  <si>
    <t>SUPPLY AND DELIVERY OF 10 UNITS VACUUM PACK SEALER</t>
  </si>
  <si>
    <t>C20203435 Room Accommodation for VGO Staff/personnelon seminar workshop on Gender &amp; Devt</t>
  </si>
  <si>
    <t>Supply and Delivery of  various Materials for the repair &amp; maintenace of various Sipalay City Office buildings &amp; fabrication of Canopy, Sipalay City, Negros Occidental</t>
  </si>
  <si>
    <t>Provision of Services for the Conduct of the Project Rapid Marketing Appraisal for Yellow and White Corn for Biliran &amp; Leyte Provinces</t>
  </si>
  <si>
    <t>ICTO OFFICE SUPPLIES &amp; EQUIPMENT</t>
  </si>
  <si>
    <t>Supply and delivery of IT Equipment (PNP)</t>
  </si>
  <si>
    <t>For clinic use-Office Equipment</t>
  </si>
  <si>
    <t>PURCHASE OF WATER CONNECTION MATERIALS</t>
  </si>
  <si>
    <t>SUPPLY AND DELIVERY OF CONSTRUCTION MATERIALS FOR THE CONSTRUCTION OF MULTI-PURPOSE HALL (Phase I)  MV DUQUE ELEMENTARY SCHOOL, BAGABAG,NUEVA VIZCAYA</t>
  </si>
  <si>
    <t>Supply and Delivery of Triwheel Motor 175cc with Canopy with Windshield, Sipalay City, Negros Occidental</t>
  </si>
  <si>
    <t>Procurement of materials needed for the Installation of Pressure Tank with Tasok at Barangay Mamhut Norte, Balasan, Iloilo</t>
  </si>
  <si>
    <t>CONCRETING OF ROADS AT CABARROGUIS</t>
  </si>
  <si>
    <t>PURCHASE AND DELIVERY OF 30 UNITS OF OXYGEN TANK FOR GMCH</t>
  </si>
  <si>
    <t>B20200250 - ROAD IMPROVEMENT OF JCT. HIGHWAY GABUYAN-SEMONG-DAGOHOY PROVINCIAL RAOD, KAPALONG, DDN</t>
  </si>
  <si>
    <t>Filling of Agno Public Market</t>
  </si>
  <si>
    <t>1 Lot Transmitter Tower parts</t>
  </si>
  <si>
    <t>To support for the procurement of 40 ea Bipod Shim with PN: 205-060-137-3 and 7 other L/l for use of UH-1H Acft Nrs 509,853, 0225 and 510 assigned at 205THW.</t>
  </si>
  <si>
    <t>Supply Labor services for the preparation of Detailed Engineering Design for the rehabilitation of Six(6) Infrastructure at SMES-Salcedo Crops &amp; Livestock Station</t>
  </si>
  <si>
    <t>CO2 INCUBATOR</t>
  </si>
  <si>
    <t>VLMC-MS-20-0307-10160</t>
  </si>
  <si>
    <t>Purchase of Office Equipment</t>
  </si>
  <si>
    <t>For clinic use-Medical Supplies</t>
  </si>
  <si>
    <t>Supply and Delivery of Labor and Materials for the Construction of Multi- Purpose Building, at Biking, Dauis, Bohol.</t>
  </si>
  <si>
    <t>SUPPLY AND DELIVERY OF MULTIPURPOSE VEHICLE (BRAND NEW) FOR OPERATION USE OF CDRRMO</t>
  </si>
  <si>
    <t>REQUEST FOR QUOTATION FOR THE Supply and Delivery of Twelve (12) pcs. Handheld Metal Detector</t>
  </si>
  <si>
    <t>RFQ NO. 20-0616 SHOPPING B - SUPPLY AND DELIVERY OF CONSUMABLES FOR CANON FOR THE USE OF 4PS</t>
  </si>
  <si>
    <t>20FE0144 – CONSTRUCTION OF CLASSROOMS, BAGADION HIGH SCHOOL (MAMBULO NUEVO HS ANNEX), LIBMANAN, CAMARINES SUR</t>
  </si>
  <si>
    <t>SUPPLY AND DELIVERY OF VEHICLE PARTS AND ACCESSORIES FOR BACKHOE LOADER 01 AND GRADER 01</t>
  </si>
  <si>
    <t>20J00208 - Concreting of Brgy. Paguengan to Brgy. Bohebakung Road Section FMR, Brgy. Paguengan and Brgy. Bohebakung, Akbar, Basilan</t>
  </si>
  <si>
    <t>PURCHASE AND DELIVERY OF ONE LOT JOB ORDER FOR REPAIR OF VEHICLE FOR PGSO</t>
  </si>
  <si>
    <t>C20203475 Spare Parts for repair &amp; maint for Nissan Patrol w/ temp no. 1312-00000406775</t>
  </si>
  <si>
    <t>Isang Pamilya, Isang Programa</t>
  </si>
  <si>
    <t>Office equipment for Buenavista District office (Risograph machine)</t>
  </si>
  <si>
    <t>LABOR AND MATERIALS FOR SAFETY SIGNAGES</t>
  </si>
  <si>
    <t>B20200251 - ROAD IMPROVEMENT OF FEEDER ROAD 3-SAN JOSE PROVINCIAL ROAD AT STO. TOMAS, DDN</t>
  </si>
  <si>
    <t>PURCHASE OF ICT EQUIPMENT FOR BRGY. POTOL, INFANTA, PANGASINAN</t>
  </si>
  <si>
    <t>SUPPLY AND DELIVERY OF CONSTRUCTION MATERIALS FOR THE PROVISION OF SUNSHADE VISOR, PUBLIC MARKET, BAGABAG, NUEVA VIZCAYA</t>
  </si>
  <si>
    <t>PURCHASE OF MISTING SOLUTION</t>
  </si>
  <si>
    <t>Local Program; Local Infrastructure Program; Local Roads and Bridges; Local Roads: Construction of Cutcut Flyover, Cutcut, Angeles City</t>
  </si>
  <si>
    <t>20JB0077 - Road Concreting from Ilihan to Labakid, Labakid, Jose Dalman, Zamboanga  Del Norte.</t>
  </si>
  <si>
    <t>SUPPLY AND DELIVERY OF VEHICLE PARTS AND ACCESSORIES FOR COASTER BUS</t>
  </si>
  <si>
    <t>Opening of Road  from  Barangay Saying to Barangay Pinalubngan Tayasan(S-46-2020)</t>
  </si>
  <si>
    <t>20J00210 - Concreting of Brgy. Sanga-Sanga FMR, Brgy. Sanga-Sanga, Bongao, Tawi-Tawi</t>
  </si>
  <si>
    <t>Procurement of materials for the Installation of Roll-up Doors in the New Public Market Building along Bonifacio Street, Poblacion Norte, Balasan, Iloilo</t>
  </si>
  <si>
    <t>MOOE 3RD QUARTER 2020 LOT 1 OFFICE SUPPLIES</t>
  </si>
  <si>
    <t>C20203484 Fuel for Provincial Prosecutor's Office vehicle consumption July-Dec 2020</t>
  </si>
  <si>
    <t>Repair and Maintenance of Barangay Farm to Market Road</t>
  </si>
  <si>
    <t>Repair/Maintenance of the University Security Management Office.</t>
  </si>
  <si>
    <t>REPAIR/REHABILITATION OF 2-CL BAGONG LIPUNAN SCHOOL BLDG. (EQUIPMENT  ONLY)- KINABAG-AN ELEM. SCHOOL, PANGANGAN, CALAPE, BOHOL</t>
  </si>
  <si>
    <t>SUPPLY AND DELIVERY OF POULTRY SUPPLY AND MATERIALS</t>
  </si>
  <si>
    <t>Supply/Delivery of 2 units Desktop Computer, 1 Unit Laptop &amp; Printers</t>
  </si>
  <si>
    <t>Procurement of Nebulizer</t>
  </si>
  <si>
    <t>C20203485 Office Supplies for PDRRMD 3rd qtr</t>
  </si>
  <si>
    <t>20FE0146 – CONSTRUCTION OF CLASSROOMS, BAGONG SILANG ES, PASACAO, CAMARINES SUR</t>
  </si>
  <si>
    <t>OIL</t>
  </si>
  <si>
    <t>Reposting for the Supply and Delivery of CellPhones (PR-MGBIVACALABARZON-20-93)</t>
  </si>
  <si>
    <t>0438 Office Equipment</t>
  </si>
  <si>
    <t>RFQ for Large Animal Digital Weighing Scale</t>
  </si>
  <si>
    <t>OFFICE EQUIPMENT FOR SPMO</t>
  </si>
  <si>
    <t>For Office use-CCJE</t>
  </si>
  <si>
    <t>20FE0145 – CONSTRUCTION OF CLASSROOMS, UMALO ES, LIBMANAN, CAMARINES SUR</t>
  </si>
  <si>
    <t>Spareparts</t>
  </si>
  <si>
    <t>PURCHASE AND DELIVERY OF 6 PIECES OF TIRE FOR PJO</t>
  </si>
  <si>
    <t>Procurement of Fuel for SPM Henrich M. Pimentel Service Vehicle.</t>
  </si>
  <si>
    <t>SUPPLY AND DELIVERY OF VEHICLE PARTS AND ACCESSORIES FOR SIPHONING VACUUM TRUCK</t>
  </si>
  <si>
    <t>0441 Tokens</t>
  </si>
  <si>
    <t>TERMINAL LUG</t>
  </si>
  <si>
    <t>CONSTRUCTION MATERIALS AND SUPPLIES FOR THE REHAB/CONSTRUCTION OF UPPER SAPID DRAINAGE CANAL ALONG ALLENS RES.</t>
  </si>
  <si>
    <t>Sports equipment &amp; materials for instruction purposes.</t>
  </si>
  <si>
    <t>20JB0078 - Road Concreting from Sinaman to San Jose, San Jose, Dipolog, Zamboanga  Del Norte.</t>
  </si>
  <si>
    <t>PROCUREMENT OF ONE 1 UNIT LAPTOP FOR THE OFFICE OF THE MUNICIPAL ASSESSOR</t>
  </si>
  <si>
    <t>"Revised" Road Conc. At Salubsob, Kipuntos Salubsob,  Barangay Kipuntos, Gingoog City under Contract Ref. no. 2020-INFRA-045</t>
  </si>
  <si>
    <t>PURCHASE AND DELIVERY OF PACKED MEALS AND SNACKS FOR CCO</t>
  </si>
  <si>
    <t>MOOE 3RD QUARTER 2020 LOT 3 OFFICE SUPPLIES</t>
  </si>
  <si>
    <t>USB FOR TEACHERS</t>
  </si>
  <si>
    <t>UPPLY AND DELIVERY OF CONSTRUCTION MATERIALS FOR THE RESTORATION OF ROADLIGHTS ALONG NATIONAL ROAD,  QUIRINO &amp; TUAO NORTH, BAGABAG, NUEVA VIZCAYA</t>
  </si>
  <si>
    <t>0437 Vehicle Parts</t>
  </si>
  <si>
    <t>Supply and Delivery of various Supplies for COVID-19 use, Sipalay City, Negros Occidental</t>
  </si>
  <si>
    <t>Procurement of Acrylic Room Label for Offices at FEM Hall</t>
  </si>
  <si>
    <t>PURCHASE OF OFFICE EQUIPTMENT</t>
  </si>
  <si>
    <t>Supply and Delivery of Storage Racks and Classroom Chairs for BU IPESR</t>
  </si>
  <si>
    <t>PROCUREMENT OF MATERIALS FOR THE REPAIR AND MAINTENANCE OF FARM TRACTOR</t>
  </si>
  <si>
    <t>C20203480 Medical Supplies for DDN IGACOS Zone</t>
  </si>
  <si>
    <t>B20200252 - ESTABLISHMENT OF MULTIPLIER FARM PROJECT, TALAINGOD, DDN</t>
  </si>
  <si>
    <t>SUPPLY AND DELIVERY OF CONSTRUCTION MATERIALS FOR CONSTRUCTION OF FOOTBRIDGE AT ZONE 7, SAN AGUSTIN, PILI, CAM. SUR</t>
  </si>
  <si>
    <t>MOOE 3RD QUARTER 2020 LOT 2 OFFICE SUPPLIES</t>
  </si>
  <si>
    <t>For Accounting Office use</t>
  </si>
  <si>
    <t>To support for the procurement of 10 pcs Switching Regulator IC with PN: 8564Q and 4 other L/I for the repair of 3 units Fuel Quantity Indicator and 2 EGT Indicator for use of UH-1H/D Acft Nrs 853, 00</t>
  </si>
  <si>
    <t>Procurement of Diesel Fuel for TSP-SPM Atty. Conrad C. Cejoco Service vehicle.</t>
  </si>
  <si>
    <t>Procurement of Goods and Services for the Strategic Communicationstions of the Provincial Government of Quirino</t>
  </si>
  <si>
    <t>20FE0147 – CONSTRUCTION OF CLASSROOMS, ANTIPOLO HEIGHTS INTEGRATED SCHOOL, PASACAO, CAMARINES SUR</t>
  </si>
  <si>
    <t>Supply and Delivery of Office Equipment Parts and Accessories</t>
  </si>
  <si>
    <t>MOOE 3RD QUARTER 2020 LOT 4 OFFICE SUPPLIES</t>
  </si>
  <si>
    <t>PURCHASE ORDER 2019-11-0445 (SECOND POSTING)</t>
  </si>
  <si>
    <t>0442 Office Equipment</t>
  </si>
  <si>
    <t>REPAIR/REHABILITATION OF 2-CL BAGONG LIPUNAN SCHOOL BLDG. (LABOR  ONLY)- KINABAG-AN ELEM. SCHOOL, PANGANGAN, CALAPE, BOHOL</t>
  </si>
  <si>
    <t>LBP TUBOD BRANCH RENOVATION  (Supply of Construction Materials)</t>
  </si>
  <si>
    <t>Repair and Maintenance of Drainage System at Brgy. III, IV and I-Poblacion, Hinigaran, Negros Occidental.</t>
  </si>
  <si>
    <t>CONSTRUCTION OF BUTTRESS SUPPORT AT RETAINING WALL (REAR PORTION) OF CAHS BUILDING</t>
  </si>
  <si>
    <t>Procurement of materials for the Development of D. Ortiz Street Drainage System, Municipality of Balasan</t>
  </si>
  <si>
    <t>Procurement of IT Equipment for the project "Multiplication of Garlic Clean Planting Materials through Tissue-Culture and Bulbil Approaches"</t>
  </si>
  <si>
    <t>20FE0148 – CONSTRUCTION OF CLASSROOMS, TILNAC ES, PASACAO, CAMARINES SUR</t>
  </si>
  <si>
    <t>RFQ for Catering Services during the Virtual Training-Workshop on Revenue Resource Mapping and Action Planning</t>
  </si>
  <si>
    <t>REQUEST FOR QUOTATION (RFQ)  PROCUREMENT FOR  GLASS MICRO FIBER FILTER MEDIA RFQ No.065 -2020</t>
  </si>
  <si>
    <t>PROCUREMENT OF ONE UNIT OF AIRCON (CABINET TYPE)</t>
  </si>
  <si>
    <t>NP 105-20: Mid-Year Assessment of the Department of Agriculture Programs and Projects on July 10, 13 and 17, 2020 in Quezon City</t>
  </si>
  <si>
    <t>Supply and Delivery of Materials, Labor and Rental of Equipment for Siphoning of All Septic Tanks (Phase 1 and 2) at Busuanga Airport</t>
  </si>
  <si>
    <t>RFQ - PURCHASE OF MEDICAL SUPPLIES (LGU-JPCN)</t>
  </si>
  <si>
    <t>C20203504 Spare Parts for Provincial Administrative Division SHE 217 Isuzu D-Max</t>
  </si>
  <si>
    <t>RFQ-GS-20200629-04 - One (1) Lot Supply, Delivery and Installation of Signages and Acrylic Frame Panels for LANDBANK Naga (Gen. Luna) Branch's Various Offsite ATMs</t>
  </si>
  <si>
    <t>Request for Quotation for the Supply and Delivery of One (1) Unit of Motorcycle</t>
  </si>
  <si>
    <t>20FE0149 – CONSTRUCTION OF CLASSROOMS, SALVACION ES, PASACAO, CAMARINES SUR</t>
  </si>
  <si>
    <t>PURCHASEA AND DELIVERY OF JOB ORDER FOR DRILLING SERVICES FOR PEO</t>
  </si>
  <si>
    <t>Procurement of Goods and Services for the Development of Content and Digital Media of the Provincial Government of Quirino</t>
  </si>
  <si>
    <t>request for quatation of TAMBONGON and DR. SP DAKUDAO cluster SCHOOL</t>
  </si>
  <si>
    <t>C20203511 Fuel for DRRMD (4th qtr)</t>
  </si>
  <si>
    <t>CONSTRUCTION OF PALASA-AN EVACUATION CENTER (PHASE II), PALASA-AN, MANKAYAN, BENGUET</t>
  </si>
  <si>
    <t>C20203493 Photocopier for VGO use</t>
  </si>
  <si>
    <t>SUPPLY AND DELIVERY OF CONSTRUCTION MATERIALS FOR CONSTRUCTION OF ACCESS ROAD AT ZONE 1, SAGRADA, PILI, CAM. SUR</t>
  </si>
  <si>
    <t>PLASTIC ENVELOPE</t>
  </si>
  <si>
    <t>Procurement of Food Supplies (3 MEALS/DAY)</t>
  </si>
  <si>
    <t>Procurement of Goods for Laboratory Supplies</t>
  </si>
  <si>
    <t>IRS and Laboratory (Part of investment areas for COVID-19 response)</t>
  </si>
  <si>
    <t>RFQ - Procurement of Background Investigation Services</t>
  </si>
  <si>
    <t>SUPPLY AND DELIVERY OF TRIWHEELER FOR CITY COOPERATIVE OFFICE USE</t>
  </si>
  <si>
    <t>RFQ 20-009-A Supply and delivery of various cellcards from January to December 2020</t>
  </si>
  <si>
    <t>Supply and Delivery of Office Supplies with PR No. OS-2020-04-070</t>
  </si>
  <si>
    <t>SUPPLY AND DELIVERY OF CONSTRUCTION MATERIALS FOR UPGRADING OF SITE FOR SLAUGHTERHOUSE/MOTORPOOL AT SAN ISIDRO, PILI, CAM. SUR</t>
  </si>
  <si>
    <t>PURCHASE AND DELIVERY OF VEHICLE PARTS FOR PJO</t>
  </si>
  <si>
    <t>Supply and Delivery of Materials and Labor for the Preventive Maintenance of Generator Set at Busuanga Airport</t>
  </si>
  <si>
    <t>Supply and Delivery of Office Equipment</t>
  </si>
  <si>
    <t>SUPPLY, DELIVERY AND INSTALLATION OF FLOOR MOUNTED AIR-CONDITIONING UNIT (RE-BID)</t>
  </si>
  <si>
    <t>Supply &amp; Delivery of Various Janitorial Supplies for GSO used &amp; Item #12 for Disinfectant in the New City Hall Building, City General Services Office, Ormoc City</t>
  </si>
  <si>
    <t>C20203522 IT Equipment for PICKMO use</t>
  </si>
  <si>
    <t>For campus-wide use</t>
  </si>
  <si>
    <t>Supply &amp; Delivery of Various Agricultural Equipment's for Office use of the City Agriculture for Various Field Activities of the Corn Production Program, City Agriculture Office, Ormoc City</t>
  </si>
  <si>
    <t>SUPPLY AND DELIVERY OF FUEL USE FOR DELIVERY OF MODULES TO DIFFERENT BARANGAYS</t>
  </si>
  <si>
    <t>PURCHASE REQUEST 2019-12-0516 (SECOND POSTING)</t>
  </si>
  <si>
    <t>Purchase of Agricultural For Tessue Culture Laboratory Project Under P.R. No. 50-20-04-044</t>
  </si>
  <si>
    <t>SUPPLY AND DELIVERY OF VARIOUS INK FOR CDRRM OFFICE USE</t>
  </si>
  <si>
    <t>C20203486 Projector for VGO &amp; OSS use</t>
  </si>
  <si>
    <t>To support for the procurement of 38 pails Cleaning Solvent with PN: ZOK27 for use during 150 Inspection of UH-1 Acft Nrs 305, 370 and 8189 assigned at 205THW.</t>
  </si>
  <si>
    <t>Purchase of Laboratory Supplies of Lina Marase ( RFQ 2020-201)</t>
  </si>
  <si>
    <t>Procurement of Panel Door (Finished) for Different Colleges of the University</t>
  </si>
  <si>
    <t>Repair of 9 units Observation Dugwell (3 at Cauayan City, 3 at Ilagan City and 3 at ISU-Cabagan) of CHED-ESP Project</t>
  </si>
  <si>
    <t>REQUEST FOR QUOTATION -Supply and Delivery of Various Medical &amp; Dental Supplies</t>
  </si>
  <si>
    <t>Supply &amp; Delivery of Plastic Chair (with arm rest) &amp; Steel Cabinet for the Classroom of Driving NC II &amp; Multipurpose Hall of Manpower, Ormoc TESDC Management Office, Ormoc City</t>
  </si>
  <si>
    <t>C20203512 Fuel for DRRMD (3rd qtr)</t>
  </si>
  <si>
    <t>SUPPLY AND DELIVERY OF DISINFECTANT SOLUTION AT DUMAGUETE AIRPORT</t>
  </si>
  <si>
    <t>Purchase of Electronic Biometrics</t>
  </si>
  <si>
    <t>20JB0079 - Concreting of Brgy. Sigamok to Brgy. Lumaping FMR, Brgy. Sigamok and Brgy. Lumaping, Jose Dalman, Zamboanga Del Norte.</t>
  </si>
  <si>
    <t>RFQ-GS-20200701-01 - 600 Bxs. Calling Card</t>
  </si>
  <si>
    <t>SUPPLY AND DELIVERY OF VARIOUS EQUIPMENT FOR PUBLIC MARKET ELECTRICAL USE</t>
  </si>
  <si>
    <t>Supply and Delivery of Oils and Lubricants for Motorpool use, Sipalay City, Negros Occidental</t>
  </si>
  <si>
    <t>PURCHASE OF 7 UNITS HYDRAULIC STRETCHER AND 5 UNITS VIDEO LARYNGOSCOPE FOR USE OF DISTRICT HOSPITALS</t>
  </si>
  <si>
    <t>Supply &amp; Delivery of Common Office Equipment-Office Chairs</t>
  </si>
  <si>
    <t>Meals &amp; Snacks for Various Meetings for the Year 2020, City Budget Office, Ormoc City</t>
  </si>
  <si>
    <t>Purchase of Agricultural For Food Sustainability program for every household.	 Under P.R. No. 50-20-05-043</t>
  </si>
  <si>
    <t>VLMC-MS-20-0307-10161</t>
  </si>
  <si>
    <t>Supply, Installation of Architectural Wall Finishes</t>
  </si>
  <si>
    <t>C20203524 IT Equipment for Internal Control Quality Standard Mgt Program</t>
  </si>
  <si>
    <t>FOR CARE OFFICE AND COUNSELING SUPPLY</t>
  </si>
  <si>
    <t>LCWD-2020-038 Quanti-tray and Chromogenic Substrate Reagent</t>
  </si>
  <si>
    <t>Procurement of Goods</t>
  </si>
  <si>
    <t>PURCHASE AND DELIVERY OF VEHICLE PARTS FOR PGSO</t>
  </si>
  <si>
    <t>Supply and Delivery of Continous form</t>
  </si>
  <si>
    <t>Dating Bayan ES RFQ May 2020</t>
  </si>
  <si>
    <t>MOSQUITO CONTROL PROGRAM (RE-BID)</t>
  </si>
  <si>
    <t>PROCUREMENT OF IT EQUIPMENT FOR THE MAYORS OFFICE AND BAC OFFICE USE</t>
  </si>
  <si>
    <t>Installation of Lamp Post</t>
  </si>
  <si>
    <t>PURCHASE OF VARIOUS MEDICAL, DENTAL, LABORATORY &amp; X-RAY EQUIPMENT FOR USE OF PROVINCIAL HEALTH OFFICE AND DENNIS MOLINTAS DISTRICT HOSPITALS CY 2020</t>
  </si>
  <si>
    <t>RFQ for Office Supplies and Devices used for the Virtual Training-Workshop on Revenue Resource Mapping and Action Planning</t>
  </si>
  <si>
    <t>C20203525 IT Supplies for DDNH-KZ use</t>
  </si>
  <si>
    <t>Supply and Delivery of of 50 packs Hybrid Corn Seeds</t>
  </si>
  <si>
    <t>Supply and Delivery of Pipeline Extension Materials Lot 1 (HDPE)</t>
  </si>
  <si>
    <t>REQUEST FOR QUOTATION (RFQ)  PROCUREMENT FOR  GAD NON PAS 2020 RFQ No.066 -2020</t>
  </si>
  <si>
    <t>BOND PAPER FOR TEACHERS</t>
  </si>
  <si>
    <t>20JB0080 - Concreting of Brgy. Guibo FMR, Siayan, Zamboanga Del Norte.</t>
  </si>
  <si>
    <t>CAKE BE WITH YOU (RE-BID)</t>
  </si>
  <si>
    <t>Supply &amp; Delivery of Common Office Equipment-Filling Steel Cabinet</t>
  </si>
  <si>
    <t>PURCHASE OF MATERIALS FOR THE CONSTRUCTION OF WATER SYSTEM</t>
  </si>
  <si>
    <t>PURCHASE OF VARIOUS MEDICAL, DENTAL, LABORATORY &amp; X-RAY EQUIPMENT FOR USE OF PROVINCIAL HEALTH OFFICE AND DISTRICT HOSPITALS  CY 2020- RE-BID</t>
  </si>
  <si>
    <t>Supply and Delivery of Office Furniture with PR Nos. FF-2020-05-098D/FF-2020-06-105B/OE-2020-06-102A</t>
  </si>
  <si>
    <t>Supply and Delivery of Monitor ECG Analyzer</t>
  </si>
  <si>
    <t>For NORSU Guihulngan Campus Anti-COVID measures.</t>
  </si>
  <si>
    <t>Printing of DepEd Learning Modules for JHS</t>
  </si>
  <si>
    <t>C20203528 Fuel supply for rehab of Sta Fe-Mambing Road &amp; Slope Protection, New Corella, DDN</t>
  </si>
  <si>
    <t>Supply and Delivery of Spare Parts for the use in PGO/Equipment Pool Division</t>
  </si>
  <si>
    <t>To support for the procurement of 200 ea Packing with PN: MS28775-131 and 7 other L/l for use during Scheduled Maintenance of UH-1H Acft Nrs 853 &amp; 513 assigned at 205THW.</t>
  </si>
  <si>
    <t>Supply &amp; Delivery of Various Information Technology Peripherals for Provision of ICT Equipment to Support DRRM Operations, City Disaster &amp; Risk Reduction Management Office, Ormoc City</t>
  </si>
  <si>
    <t>Procurement of Appliances for PCC at MMSU</t>
  </si>
  <si>
    <t>Supply, Installation, Commissioning and Testing of a 250 Mbps Fiber Optic Dedicated Internet Access Service</t>
  </si>
  <si>
    <t>20JB0081 - Concreting of Sitio Dagom FMR, Brgy. Nato, Sindangan, Zamboanga Del Norte.</t>
  </si>
  <si>
    <t>C20203531 Diesel for Rahab of Jct. Sawata- Bdry. Binasbas (POL)</t>
  </si>
  <si>
    <t>REQUEST FOR QUOTATION (RFQ)  PROCUREMENT FOR SENIOR CITIZEN, PWD YOUTH 2020 NON PS RFQ No.067 -2020</t>
  </si>
  <si>
    <t>Supply and Delivery of Office Equipment with PR NO. FF-2020-05-098B</t>
  </si>
  <si>
    <t>CATERING OF FOODS FOR OF SUPPLIES FOR THE INCOMING COLLEGE AND LABORATORY HIGH SCHOOL ADMISSION TEST</t>
  </si>
  <si>
    <t>OFFICE SUPPLIES</t>
  </si>
  <si>
    <t>Hiring of One (1) Security Guard   for  DENR PENRO Cagayan</t>
  </si>
  <si>
    <t>BARANGAY URDANETA TRANSPORT VEHICLE</t>
  </si>
  <si>
    <t>Repair of Female &amp; Male Comfort Room at Pahayahay sa  Pantalan</t>
  </si>
  <si>
    <t>Supply &amp; Delivery of Various Consumables : HP &amp; Lexmark (for UPM - Cash Offi)</t>
  </si>
  <si>
    <t>20JB0082 - Concreting of Brgy. Diongan to Guibo FMR, Brgy. Diongan, Siayan, Zamboanga Del  Norte.</t>
  </si>
  <si>
    <t>Printing of Tarpaulin for School Monthly Activities</t>
  </si>
  <si>
    <t>PURCHASE OF MATERIALS FOR VERMI- COMPOSTING AREA AT MRF SITE POBLACION MALVAR BATANGAS</t>
  </si>
  <si>
    <t>Supply &amp; Delivery of Common Office Equipment-Laptop and Smart Phone</t>
  </si>
  <si>
    <t>Procurement of services for the Rental of Equipment in connection for the Improvement and Maintenance of Residual Containment Area at the LGU SWM Eco-Park located at Brgy. Maya, Balasan, Iloilo</t>
  </si>
  <si>
    <t>REQUEST FOR QUOTATION (RFQ) PROCUREMENT FOR DFU FILTER TELEDYNE T640 ANALYZER RFQ No.069-2020</t>
  </si>
  <si>
    <t>Supply and Delivery of Office Equipment with PR Nos. OE-2020-05-098C/IT-2020-02-041A</t>
  </si>
  <si>
    <t>SUPPLY AND DELIVERY OF VARIOUS ELECTRICAL AND INDUSTRIAL SUPPLIES</t>
  </si>
  <si>
    <t>SUPPLY AND DELIVERY OF TIRE FOR VARIOUS GOVERNMENT VEHICLES</t>
  </si>
  <si>
    <t>RFQ: Tire &amp; Inner Tube</t>
  </si>
  <si>
    <t>For NORSU Guihulngan Campus (Investment areas for COVID-19 response)</t>
  </si>
  <si>
    <t>C20203532 Diesel &amp; Gasoline for rehab of Monte Dujali-Gupitan Road, Kap[along, DDN</t>
  </si>
  <si>
    <t>Supply and Delivery of Pipeline Extension Materials Lot 3 (Construction Materials)</t>
  </si>
  <si>
    <t>Printing of DepEd Learning Modules for SHS</t>
  </si>
  <si>
    <t>The procurement of the following item no. 1 is intended for the military drills and defensive tactics training of the students of the College of Criminal Justice Education.</t>
  </si>
  <si>
    <t>Supply &amp; Delivery of Various Information Technology Peripherals for Official use (City Admin Office &amp; Market Office), Ormoc Public Market, Ormoc City</t>
  </si>
  <si>
    <t>Purchase of office equipment for use at Asingan Medicare Community Hospital.</t>
  </si>
  <si>
    <t>Fabrication of Console Table For the use of DOH CHD I Conference Room</t>
  </si>
  <si>
    <t>VLMC-M-20-0307-010157</t>
  </si>
  <si>
    <t>Procurement of Vehicle Parts for SHX 555 Mitsubishi Rosa</t>
  </si>
  <si>
    <t>CONSTRUCTION OF CANAL AND INSTALLATION OF RCP CULVERT WITH BACKFILLING (CANALIZATION)</t>
  </si>
  <si>
    <t>REHABILITATION AND IMPROVEMENT OF SITIO PINAGAYAN SLOPE PROTECTION ALONG SANTIL RESIDENCE</t>
  </si>
  <si>
    <t>Purchase and Delivery of Office Supplies for Sangguniang Bayan Office Use</t>
  </si>
  <si>
    <t>PURCHASE AND DELIVERY OF VARIOUS MEDICAL SUPPLIES AND LABORATORY INSTRUMENT FOR MALUNGONG MH</t>
  </si>
  <si>
    <t>LCWD-2020-025 Various Fittings - Regular Stocks (Re-Bid)</t>
  </si>
  <si>
    <t>Supply &amp; Delivery of 7 sets of Mini Plastic Playground Indoor/Outdoor (slide, swing, basketball goal) for Dyacare Centers of Child Development Center usage for Children Play Therapy, City Social Welfa</t>
  </si>
  <si>
    <t>SPINNER MOP</t>
  </si>
  <si>
    <t>REQUEST FOR QUOTATION FOR THE Supply and Delivery of Thirty Three (33) Units Single Foam Mattresses</t>
  </si>
  <si>
    <t>CATERING SERVICES FOR STATE OF THE PROVINCE ADDRESS (SOPA 2020)</t>
  </si>
  <si>
    <t>Supply &amp; Delivery of Various Janitorial Supplies for SDCCY Residents use, City Social Welfare &amp; Development Office, Ormoc City</t>
  </si>
  <si>
    <t>KALUSUGAN AY KAYAMANAN - FLU VACCINATION</t>
  </si>
  <si>
    <t>RFQ for Office Supplies and Devices used for the conducted Katarungang Pambarangay Enhancement Skills Training-Workshop</t>
  </si>
  <si>
    <t>Supply Service Vehicles for Use by the ALPAS-Rice Resiliency Project TeamsAPCOs</t>
  </si>
  <si>
    <t>REQUEST FOR QUOTATION (RFQ)  PROCUREMENT FOR CLEANING/CHECK-UP/REPAIR AND PREVENTIVE MAINTENANCE OF AIR-CONDITIONG UNITS OF 14 CAMS STATIONS RFQ No.070-2020</t>
  </si>
  <si>
    <t>REPOSTING-PROCUREMENT OF OFFICE TABLES AND CHAIRS</t>
  </si>
  <si>
    <t>SVP 1069-2020 Roses</t>
  </si>
  <si>
    <t>SVP (2) 1058-2020 Automatic External Defibrillator</t>
  </si>
  <si>
    <t>PRINTING OF SOUVENIR MAGAZINE (DIGITAL PRINTING) AND TARPAULIN</t>
  </si>
  <si>
    <t>C20203540 Diesel &amp; gasoline for maint of various Prov'l roads &amp; bridges Dist. I (POL) Kapalong/Talaingod Area</t>
  </si>
  <si>
    <t>For use in City Integrated Land Transport Terminal, S.C.</t>
  </si>
  <si>
    <t>REQUEST FOR QUOTATION for One (1) Unit Multicab</t>
  </si>
  <si>
    <t>Supply and Delivery of Construction Materials for the Documents Storage Area at Comelec Lot, CBP-I, Island A, Pasay City (MOA Complex)  BAC Reference No. 05-2020CM</t>
  </si>
  <si>
    <t>Supply and Delivery of Fuel for the use in Provincial Engineers Office</t>
  </si>
  <si>
    <t>PURCHASE OF AMMUNITION</t>
  </si>
  <si>
    <t>Meals &amp; Snacks for Meeting for the Creation of TWG for Awarding &amp; Recognition of Anti-Drug Program 2020 on March 30, 2020, for Creation of Ormoc Respondents for MDPSS Cluster During Crisis, Emergencie</t>
  </si>
  <si>
    <t>Supply/Delivery of Office Equipment  for  the use in the  RIM Pantry  of  NIA RO V, Naga City</t>
  </si>
  <si>
    <t>PURCHASE AND DELIVERY OF VARIOUS MEDICAL SUPPLIES AND LABORATORY INSTRUMENT FOR GMCH</t>
  </si>
  <si>
    <t>Procurement of window type Aircondition unit - PESO</t>
  </si>
  <si>
    <t>REQUEST FOR QUOTATION FOR THE Supply and Delivery of One (1) Lot Safety Equipment and Protective Products</t>
  </si>
  <si>
    <t>SUPPLEMENTARY FEEDING FOR CHILDREN UNDER 4 YEARS OLD IN COMMUNITY SETTING FOR 30 DAYS</t>
  </si>
  <si>
    <t>Construction of MRF</t>
  </si>
  <si>
    <t>2020 Census of Population and Housing (CPH) Tarpaulin Printing of Information Education Campaign Materials in Every Barangay of Occidental Mindoro</t>
  </si>
  <si>
    <t>C20203534 Electrical Supplies for repair &amp; maint of hospital bldg of DDNH Carmen Zone</t>
  </si>
  <si>
    <t>Dating Bayan ES RFQ June 2020</t>
  </si>
  <si>
    <t>CONSTRUCTION OF MULTI-PURPOSE PAVEMENT AND VARIOUS PROJECTS @ DIFFERENT BARANGAYS</t>
  </si>
  <si>
    <t>Procurement of Electrical Supplies for the Service Drop of the CBEA New Building (3 phase)</t>
  </si>
  <si>
    <t>Supply and Delivery of ICT parts and accessories of 86IB (P55,030.00)</t>
  </si>
  <si>
    <t>Construction of Pisnadan Farmer's Multi-Purpose Building, Phase II</t>
  </si>
  <si>
    <t>SVP 1061-2020 RM-Battery</t>
  </si>
  <si>
    <t>Procurement of Office Supplies PR No. 119</t>
  </si>
  <si>
    <t>PROPOSED INSTALLATION OF LAMP POST WITH CONCRETE PEDESTAL AND SOLAR LAMP AT BRGY. CONCEPCION, SAN PABLO CITY</t>
  </si>
  <si>
    <t>C20203541 Diesel &amp; gasoline for maint of various Prov'l roads &amp; bridges Dist. I (POL) New Corella  Area</t>
  </si>
  <si>
    <t>Hiring of Four (4) Security Guards to safeguard and protect the PENRO Cagayan Sub Office  and 3 CENR Offices</t>
  </si>
  <si>
    <t>RFQ-NP-SVP-276-2020-Procurement for  Construction of Perimeter Fence.</t>
  </si>
  <si>
    <t>2020 RFQ 025 "PURCHASE OF LABORATORY EQUIPMENT IN THE SP INDEXING LABORATORY"</t>
  </si>
  <si>
    <t>PURCHASE AND DELIVERY OF VARIOUS FURNITURE FOR GMCH</t>
  </si>
  <si>
    <t>Purchase of Uniform with Mask</t>
  </si>
  <si>
    <t>PR NO. 1659 ROUND BAR</t>
  </si>
  <si>
    <t>CDD ANTIBACTERIAL SUPPLIES</t>
  </si>
  <si>
    <t>PURCHASE AND DELIVERY OF VARIOUS JANITORIAL SUPPLIES FOR GMCH</t>
  </si>
  <si>
    <t>IMPROVEMENT OF STA. MARIA DAY CARE CENTER</t>
  </si>
  <si>
    <t>RFQ for Catering Services during the Katarungang Pambarangay Enhancement Skills Training-Workshop</t>
  </si>
  <si>
    <t>RFQ 2020-07-0100 (PCOO LETTERHEAD AND MAILING ENVELOPE)</t>
  </si>
  <si>
    <t>Purchase of 1 unit Portable Multi Purpose Shredder &amp; 1 unit Multi Purpose Mixer</t>
  </si>
  <si>
    <t>C20203548 Job Order: supply &amp; install of pre-fabricated materials for const. of 1 classroom (additional), Moling ES, Gupitan, Kapalong, DDN</t>
  </si>
  <si>
    <t>SUPPLY AND DELIVERY OF CONSTRUCTION MATERIALS FOR REPAIR/IMPROVEMENT OF OLD SLAUGHTER HOUSE (STORAGE ROOM 2) AT SAN ISIDRO, PILI, CAM. SUR</t>
  </si>
  <si>
    <t>PURCHASE AND DELIVERY OF VARIOUS INKS FOR MAASIM MUNICIPAL HOSPITAL</t>
  </si>
  <si>
    <t>C20203542 Diesel &amp; gasoline for maint of various Prov'l roads &amp; bridges Dist. I (POL) San Isidro  Area</t>
  </si>
  <si>
    <t>Procurement of Subdivision Survey</t>
  </si>
  <si>
    <t>Supply and Delivery of 8pcs 2SM Batteries and 6pcs 3SM Batteries</t>
  </si>
  <si>
    <t>Supply and Delivery of Brass Water Meter and Various Fittings</t>
  </si>
  <si>
    <t>RFQ for Catering Services during the Online Trainors' Training on Solid Waste Management</t>
  </si>
  <si>
    <t>PROVISION OF MATERIALS FOR BUILDING OF PERIMETER FENCE FOR SENIOR CITIZEN BUILDING</t>
  </si>
  <si>
    <t>Request for Quotation for the Supply and Delivery of DPD Reagent for Chlorine Dioxide</t>
  </si>
  <si>
    <t>Editorial Services for the Special Online Edition of Book Watch</t>
  </si>
  <si>
    <t>Supply and Delivery of Meals</t>
  </si>
  <si>
    <t>Purchase of Installation of Solar Street Lights at Different Sitio's</t>
  </si>
  <si>
    <t>Procurement of Materials for the Provision of Working/Laboratory Furniture</t>
  </si>
  <si>
    <t>REQUEST FOR QUOTATION - Purchase of Two (2) Units Television &amp; Two (2) Units Refrigerator (3RD Posting)</t>
  </si>
  <si>
    <t>Procurement of Patrolling Equipment in Support to Marine Protection Area Management - MENRO</t>
  </si>
  <si>
    <t>Supply &amp; Delivery of Medicines</t>
  </si>
  <si>
    <t>SVP 1068-2020 Printing Services</t>
  </si>
  <si>
    <t>C20203543 Diesel &amp; gasoline for maint of various Prov'l roads &amp; bridges Dist. I (POL)  Asuncion Area</t>
  </si>
  <si>
    <t>20HH0147-Concreting of Brgy. Pulang Bato FMR, Brgy. Pulang Bato, Cebu City, Cebu</t>
  </si>
  <si>
    <t>CATERING SERVICES | MEETING WITH THE CENTER HEADS ON THE STATUS OF ADMIN. &amp; PROGRAM IMPLEMENTATION THE C/RCFs" (BAC RFQ 20-468 , ORCC)</t>
  </si>
  <si>
    <t>RFQ 756-759 Various Drugs and Medicines</t>
  </si>
  <si>
    <t>MAINTENANCE OF DEEPWELL</t>
  </si>
  <si>
    <t>RFQ-NP-SVP-273-2020-Procurement for Supplies and Materials for Improvement of the IPDFU Office at Ground Floor ICT Building.</t>
  </si>
  <si>
    <t>RCEF Information Caravans (Negros Oriental)</t>
  </si>
  <si>
    <t>C20203549 Job Order: supply &amp; install of pre-fabricated materials for const. of 1 classroom Luno-Luno ES, Gupitan, Kapalong, DDN</t>
  </si>
  <si>
    <t>Supply and Delivery of One (1) Lot Raincoat for Solid Waste Management Personnel.</t>
  </si>
  <si>
    <t>Repair and Maintenance of Motor Vehicle w/ the Plate No. SKT 727 NAVARRA &amp; HILUX A91589</t>
  </si>
  <si>
    <t>General repair of photocopier and tarpaulin printer</t>
  </si>
  <si>
    <t>20PF0069: CY 2020 Basic Educational Facilities Fund (BEFF): Construction of Mocgao Elementary School (2ST4CL)</t>
  </si>
  <si>
    <t>Provision and  Distribution of Quality Vegetable Seeds and Other Supplies for  OMA and IPAO</t>
  </si>
  <si>
    <t>C20203550 Job Order: supply &amp; install of pre-fabricated materials for const. of 1 classroom Mankay ES, Gupitan, Kapalong, DDN</t>
  </si>
  <si>
    <t>Procurement of Tower Server for Document Tracking System Use</t>
  </si>
  <si>
    <t>PBO-20-0463-NP (SV) - OFFICE SUPPLIES</t>
  </si>
  <si>
    <t>Purchase and Delivery of Safety Equipment for the Security Local Chief Executive</t>
  </si>
  <si>
    <t>CONSTRUCTON MATERIALS AND SUPPLIES FOR THE CONSTRUCTION OF SAYAPOT DRAINAGE CANAL</t>
  </si>
  <si>
    <t>AMP SVP-S 20-07-0380: Printing and Binding of Book Entitled: A Richness of Embarrassments and Other Easy Essays</t>
  </si>
  <si>
    <t>Information Technology Parts &amp; Accessories &amp; Peripherals</t>
  </si>
  <si>
    <t>Anti-Rabies Vaccine for Animal Bite Treatment Program of RHU I</t>
  </si>
  <si>
    <t>Purchase and delivery of Communication and ICT Equipment to be used in the MDRRMO,  Concepcion, Tarlac</t>
  </si>
  <si>
    <t>Purchase of 1 unit Truck Dropside.</t>
  </si>
  <si>
    <t>Purchase &amp; delivery of Medicines</t>
  </si>
  <si>
    <t>PR NO. 1676 FERTILIZERS</t>
  </si>
  <si>
    <t>PROCUREMENT OF CARDIAC MONITOR WITH CAPNOGRAPH &amp; IBP</t>
  </si>
  <si>
    <t>VLMC-MS-20-0307-10162</t>
  </si>
  <si>
    <t>20HH0146-Concreting of Sitio Mapa Brgy. Tagbao FMR, Brgy. Tagbao, Cebu City, Cebu</t>
  </si>
  <si>
    <t>RFQ-NP-SVP-1re222b-2020-Procurement of Clay Dough Mixer for Design, Fabrication and Testing of Steam Dryer, Dough Mixer and Moulder for Paper Clay Making.</t>
  </si>
  <si>
    <t>C20203553 Job Order: supply &amp; install of pre-fabricated materials for const. of 1 classroom, Lomondong  ES, Dagohoy, Talaingod  DDN</t>
  </si>
  <si>
    <t>SUPPLY AND DELIVERY OF ULTRA SHORT THROW SMART LASER 4K UHD PROJECTOR UNDER EMB-PAB RFQ NO. EMB-PAB-SHOPPING-G-088-7-03-2020  PR NO. 2020-0564</t>
  </si>
  <si>
    <t>Supply and Delivery of Office Supplies intended for FishCORAL Office</t>
  </si>
  <si>
    <t>C20203552 Job Order: supply &amp; install of pre-fabricated materials for const. of 1 classroom Malapanit  ES, Sto. Niño, Talaingod  DDN</t>
  </si>
  <si>
    <t>C20203551 Job Order: supply &amp; install of pre-fabricated materials for const. of 1 classroom Aninipot  ES, Gupitan, Kapalong, DDN</t>
  </si>
  <si>
    <t>printing supplies</t>
  </si>
  <si>
    <t>S/D of 2 pcs	Engine Support &amp; 29 others</t>
  </si>
  <si>
    <t>Construction of Concrete Fence of ECCD</t>
  </si>
  <si>
    <t>medals for students award for school year 2019-2020</t>
  </si>
  <si>
    <t>Procurement of Supplies for Cash Management/COA</t>
  </si>
  <si>
    <t>Supply and Delivery of One (1) lot Various Medical Supplies and Peripherals per PR# 2020-07-0335</t>
  </si>
  <si>
    <t>Furnishing/Deliveries of Safety Gear and Equipment</t>
  </si>
  <si>
    <t>RFQ-NP-SVP-1re222c-2020-Procurement of Clay Molder for Design, Fabrication and Testing of Steam Dryer, Dough Mixer and Moulder for Paper Clay Making.</t>
  </si>
  <si>
    <t>LBP BOLINAO BRANCH RENOVATION (NEW UNIT) SUPPLY OF ELECTRICAL MATERIALS</t>
  </si>
  <si>
    <t>C20203556 Job Order: supply &amp; install of pre-fabricated materials for const. of 1 classroom, Kamunuan ES, Gupitan, Kapalong,  DDN</t>
  </si>
  <si>
    <t>PR NO. 1658 FERTILIZER</t>
  </si>
  <si>
    <t>C20203555 Job Order: supply &amp; install of pre-fabricated materials for const. of 1 classroom(Additional), Tawinian ES, Gupitan, Kapalong,  DDN</t>
  </si>
  <si>
    <t>RFQ for Office Supplies and Devices used for the Online Trainors' Training on Solid Waste Management</t>
  </si>
  <si>
    <t>RFQ-NP-SVP-1re222a-2020- Procurement of Steam Dryer for Design, Fabrication and Testing of Steam Dryer, Dough Mixer and Moulder for Paper Clay Making.</t>
  </si>
  <si>
    <t>IMPROVEMENT OF WATER SYSTEM</t>
  </si>
  <si>
    <t>Purchase of aggregate base coarse for the repair and maintenance of a portion of brgy road at Brgy. Mataas na Bayan, Sinisian East, Dayapan, Ayao-Iyao and San Isidro Ibaba</t>
  </si>
  <si>
    <t>supplying various medical supplies for use of the P/MDRRMOs Local Task Group and IMTs in monitoring COVID19 situations provincewide, PDRRMO, Boac, Marinduque</t>
  </si>
  <si>
    <t>Procurement of various Mobile Load</t>
  </si>
  <si>
    <t>S1-BIM20-001 - Supply and Delivery of Spare Parts for P88E1 (80KW), P65E3 (60KW) &amp; P165-5 (105KW) FG Wilson Generating Units at Burias Mini Grid Plants</t>
  </si>
  <si>
    <t>S/D of 10 tins	Paint latex (flat) white &amp; 30 others</t>
  </si>
  <si>
    <t>Request for Quotation for Learning Packets</t>
  </si>
  <si>
    <t>Purchase of IT Equipment for SP-BM Banlasan Office use</t>
  </si>
  <si>
    <t>PURCHASE AND DELIVERY OF APPLIANCES FOR GMCH</t>
  </si>
  <si>
    <t>Re-Posting for the Procurement of Catering Services  for the 3rd Level Training Enumeration for the 2020 CPH</t>
  </si>
  <si>
    <t>Signage</t>
  </si>
  <si>
    <t>Improvement of Balay Pangandoy</t>
  </si>
  <si>
    <t>RCEF Information Caravans (Bohol)</t>
  </si>
  <si>
    <t>PURCHASE OF PREPAREDNESS MATERIALS/SUPPLIES FOR CALAMITY OF SAN MIGUEL, DAGOHOY, BOHOL</t>
  </si>
  <si>
    <t>PROCUREMENT AND DELIVERY OF OFFICE SUPPLIES FOR THIRD QUARTER.</t>
  </si>
  <si>
    <t>Catering Service of OG3 PA (Attached is the terms and conditions)</t>
  </si>
  <si>
    <t>SUPPLY AND DELIVERY OF FLOOR MOUNTED AIRCON FOR ACCOUNTING OFFICE USE</t>
  </si>
  <si>
    <t>Rehabilitation of Barangay Farm to Market Roads Osawan-Tigao to Burgos, Cortes Surigao del Sur</t>
  </si>
  <si>
    <t>supplying diesel for use of Provincial Governor's Office, PMRB quarrying operation, PGO-PMRB, Boac, Marinduque</t>
  </si>
  <si>
    <t>Purchase of 15 Units 3 in 1 Printer</t>
  </si>
  <si>
    <t>C20203559 Data Server and UPS for ETRACS Server</t>
  </si>
  <si>
    <t>Supply and Delivery of One (1) Lot Oil and Spare parts for operation and maintenance of Rescue Speedboat.</t>
  </si>
  <si>
    <t>RFQ No.: 2020 - 113 - Emergency Foodstuff for Hospital Patient - July 2020 Feeding Plan</t>
  </si>
  <si>
    <t>C20203568 Medical Supplies for DDNH IGACOS Zone</t>
  </si>
  <si>
    <t>COMPLETION OF RHU MULTI-PURPOSE BUILDING</t>
  </si>
  <si>
    <t>SUPPLY AND DELIVERY OF AGRICULTURAL SUPPLIES FOR MUSHROOM PRODUCTION</t>
  </si>
  <si>
    <t>Construction for Housing, Medina Resettlement Project at Tambagan, Medina, Misamis Oriental</t>
  </si>
  <si>
    <t>20KA0094(Readvertisement) Construction of Two (2) Storey Four (4) Classroom School Building (Senior High School with Computer Room  - Option 3 Plan) Impasug-ong National High School - Kapitan Bayong A</t>
  </si>
  <si>
    <t>Fuel</t>
  </si>
  <si>
    <t>Purchase of common use supplies</t>
  </si>
  <si>
    <t>Supply &amp; Delivery of Office Equipment for the use of NIA-Regional Office IX (2nd call), NIA-Regional Office, Labangan, Zambo. Sur</t>
  </si>
  <si>
    <t>Equipment Rental for the Rehabilitation of SAN PEDELA Irrigation</t>
  </si>
  <si>
    <t>PR NO.1575 CONSTRUCTION MATERIALS</t>
  </si>
  <si>
    <t>C20203554 Job Order: supply &amp; install of pre-fabricated materials for const. of 1 classroom, Mangga ES, Magwawa, Sto Tomas  DDN</t>
  </si>
  <si>
    <t>20KA0093(Readvertisement) Construction of Two (2) Storey Four (4) Classroom School Building, Iba Integrated School, Cabanglasan, Bukidnon (School ID: 500890) Brgy. Iba, Cabanglasan, Bukidnon 2nd LD</t>
  </si>
  <si>
    <t>C20203567 Medical Supplies for DDNH IGACOS Zone</t>
  </si>
  <si>
    <t>Procurement of Catering Service for the conduct of 2020 Census of Population and Housing (CPH) 4th Level Training at Boracay-Malay, of Aklan PSO</t>
  </si>
  <si>
    <t>Procurement of Various Office Furniture, SAN JOSE CITY NUEVA ECIJA</t>
  </si>
  <si>
    <t>Materials for the Construction of Hand Washing Area at Tebag Elementary School</t>
  </si>
  <si>
    <t>Replacement and Maintenance of Streetlights</t>
  </si>
  <si>
    <t>C20203558 Construction Supplies for const. of 1 classroom bldg at Suawon E/S, Suawon, New Corella</t>
  </si>
  <si>
    <t>Purchase of Other Accessories and Supply and Repair of L300 Vehicle Services</t>
  </si>
  <si>
    <t>Purchase of Baby Cereals and Other Complementary Food for Supplemental Feeding</t>
  </si>
  <si>
    <t>Procurement of Office and IT Equipment for Sablayan Social Media Operation</t>
  </si>
  <si>
    <t>Waterworks Materials</t>
  </si>
  <si>
    <t>Procurement of CCTV Cameras</t>
  </si>
  <si>
    <t>5% BDRRM Fund 2020</t>
  </si>
  <si>
    <t>RFQ No.:2020-023-JULY (PR No.: 2020-07-023)-Procurement of Surveying Instruments</t>
  </si>
  <si>
    <t>VLMC-MS-20-0307-10163</t>
  </si>
  <si>
    <t>Purchase of Hardware Materials for Pathway Concreting and Landscaping and repair of House and construction of handwashing facilities of Bayugan II  ES</t>
  </si>
  <si>
    <t>C20203573 Spare Parts for Prov'l Eqpt No. 63-Z2-9P CAT Vabrator Compactor P.N. 0108-0009</t>
  </si>
  <si>
    <t>LBP DAGUPAN BRANCH RENOVATION (NEW UNIT)</t>
  </si>
  <si>
    <t>Supply &amp; Delivery of 5 HP Single Phase Motor</t>
  </si>
  <si>
    <t>Procurement of 200 Liters and 1000 Liters Diesel</t>
  </si>
  <si>
    <t>Materials for the Construction of Hand Washing Area at Banaoang Central School</t>
  </si>
  <si>
    <t>SUPPLY &amp; INSTALLATION OF CCTV</t>
  </si>
  <si>
    <t>PROCUREMENT AND DELIVERY OF JANITORIAL SUPPLIES FOR THIRD QUARTER.</t>
  </si>
  <si>
    <t>Procurement of Office Equipment for CASAT-IA and AACUP Preparation</t>
  </si>
  <si>
    <t>20KA0092(Readvertisement) Construction of One (1) Storey Three (3) Classroom School Building, Mt. Nebo Elementary School, Valencia City, Bukidnon (School ID: 500705) Brgy. Mt. Nebo, Valencia City, Buk</t>
  </si>
  <si>
    <t>Supply and Delivery of Various Sizes of CI Tee Reducer</t>
  </si>
  <si>
    <t>0.9% Sodium Chloride, 1L</t>
  </si>
  <si>
    <t>Office Supplies and Materials</t>
  </si>
  <si>
    <t>SUPPLY AND DELIVERY OF STICKER FOR INFORMATION DISSEMINATION TO COMBAT COVID 19</t>
  </si>
  <si>
    <t>DATA FOLDER,Made of chipboard,Taglia Lock</t>
  </si>
  <si>
    <t>20KA0096(Readvertisement) Construction of One (1) Storey Two (2) Classroom (Science Room) School Building, Malaybalay City National High School, Malaybalay City, Bukidnon (School ID: 314916) Brgy. San</t>
  </si>
  <si>
    <t>Supply and Delivery of three (3) units of Computer set used in the office of the Municipal Assessor, this Municipality</t>
  </si>
  <si>
    <t>Food packs</t>
  </si>
  <si>
    <t>S1-PAD20-005 - Supply and Delivery of Electrical &amp; Mechanical Spare Parts for 160KW FG Wilson Diesel Engine Generating Set, Model: P300H-1 &amp; 163KW/260KW Model 2006 TG1/TAG and Fast Moving Parts for 10</t>
  </si>
  <si>
    <t>SUPPLY AND DELIVERY OF OFFICE EQUIPMENT FOR CITY AGRICULTURE OFFICE USE</t>
  </si>
  <si>
    <t>SUPPLY AND DELIVERY OF GENERAL MERCHANDISE FOR VARIOUS PURCHASE REQUESTS OF THE CITY UNDER SMALL VALUE PROCUREMENT</t>
  </si>
  <si>
    <t>Cefuroxime 500mg (as Axetil) tablet, Oral</t>
  </si>
  <si>
    <t>Lease of venue, accommodation &amp; Food for 2020 CPH 3rd Level Training</t>
  </si>
  <si>
    <t>Procurement of Tables and Wooden Partition with Acrylic Glass, SAN JOSE CITY NUEVA ECIJA</t>
  </si>
  <si>
    <t>Construction of Solar Dryer @ Barangay Bal-ason, Gingoog City. Mis. Or.</t>
  </si>
  <si>
    <t>Myportal hosting subscription from 1 July to 30 December 2020</t>
  </si>
  <si>
    <t>Purchase and delivery of Materials for the repair and maintenance of Public Market Office and Toilet, Concepcion, Tarlac</t>
  </si>
  <si>
    <t>Pump, Motor and Accessories</t>
  </si>
  <si>
    <t>RFQ 07-01-2020 Item B</t>
  </si>
  <si>
    <t>PROCUREMENT AND DELIVERY OF MATERIALS FOR THE IMPROVEMENT OF COVERED PATHWALK AND REPAIR OF CONCRETE PATHWALK AT BAYUIN NHS.</t>
  </si>
  <si>
    <t>Procurement of Goose neck with bulb(327 units)</t>
  </si>
  <si>
    <t>Vehicle repair</t>
  </si>
  <si>
    <t>Supply and Delivery of Ethernet Adapter and Fiber Optic Cable for Backup and Recovery</t>
  </si>
  <si>
    <t>C20203577 Medical Supplies for LPRRC residents and staff</t>
  </si>
  <si>
    <t>C20203578 Spare Prts for Equipment Pool use</t>
  </si>
  <si>
    <t>CONSTRUCTION MATERIALS AND SUPPLIES FOR THE IMPROVEMENT OF MANKAYAN LANDMARK(ABATAN)</t>
  </si>
  <si>
    <t>SUPPLY AND INSTALLATION OF WATER PUMP FOR USE OF NEW ER BLDG. OF GEAMH</t>
  </si>
  <si>
    <t>RFQ 07-01-2020 Item A</t>
  </si>
  <si>
    <t>Electrical Supplies</t>
  </si>
  <si>
    <t>Procurement of Air Purifier</t>
  </si>
  <si>
    <t>Dating Bayan ES RFQ July 2020</t>
  </si>
  <si>
    <t>S/D of 20 Tbes	Prophylaxis Paste &amp; 44 others</t>
  </si>
  <si>
    <t>SUPPLY AND DELIVERY OF SMART TELEVISION FOR CITY HALL LOBBY USE</t>
  </si>
  <si>
    <t>Purchase of Anti dengue chemicals - MDRRMO, San Fabian, Pangasinan</t>
  </si>
  <si>
    <t>Purchase of Installation of Water System Development Program (Level 2) at Sitio Anahaw &amp; Sitio Centro</t>
  </si>
  <si>
    <t>Purchase of polo SHIRT</t>
  </si>
  <si>
    <t>Procurement of 4 Cylinder Diesel Engine Assembly with Transmission</t>
  </si>
  <si>
    <t>Subscription of Videoconferencing Application Solution</t>
  </si>
  <si>
    <t>S/D of 90 bags	Cement &amp; 58 others</t>
  </si>
  <si>
    <t>C20203576 Office Supplies for LPRRC Staff &amp; Residents</t>
  </si>
  <si>
    <t>S/D of 10 box	Continous Form 2ply 280mmx241mm carbonless Specifications 101 &amp; 15 others</t>
  </si>
  <si>
    <t>C20203583 Spare Parts for SHE 446 Nissan Navarra EL Engine Model YD25 with property no. 0130-0135</t>
  </si>
  <si>
    <t>Supply &amp; Delivery of Pumping Test Equipment, Materials, Tools &amp; Accessories for  Drilling Rig (3rd call), NIA-Regional Office, Labangan, Zambo. Sur</t>
  </si>
  <si>
    <t>Supply and Delivery of Brand New Submersible Motor #8"dia</t>
  </si>
  <si>
    <t>Livelihood Seeding Program - Negosyo Serbisyo sa Barangay (Livelihood Package)</t>
  </si>
  <si>
    <t>Purchase of One(1) unit Printer and Two (2) Units Computer Desktop</t>
  </si>
  <si>
    <t>Construction of Daycare Center</t>
  </si>
  <si>
    <t>RFQ NO. 20-0618 SHOPPING B- SUPPLY AND DELIVERY OF 1ST QUARTER OFFICE SUPPLIES OF 4PS NPMO AND PSAMD STOCKPILE</t>
  </si>
  <si>
    <t>Purchase of Desktop Computer to be used for Various Offices,Silay City.</t>
  </si>
  <si>
    <t>N20-07-081 REPAIR AND INSTALLATION OF FRONT GLASS</t>
  </si>
  <si>
    <t>Purchase of Boxing &amp; MMA equipment and other Sports equipment</t>
  </si>
  <si>
    <t>PURCHASE AND DELIVERY OF MEDICINES</t>
  </si>
  <si>
    <t>DELIVERY OF VARIOUS SUPPLIES FOR USE OF CCMH</t>
  </si>
  <si>
    <t>2020 RFQ 028 GOODS "PURCHASE OF TONER FOR DEVELOP INEO +258"</t>
  </si>
  <si>
    <t>Supply and Delivery of Facemask - ITB 045-2020 GQ</t>
  </si>
  <si>
    <t>PROCUREMENT OF ONE (1) UNIT AIR CONDITIONING SYSTEM FOR USE AT KABATAAN LEARNING CENTER</t>
  </si>
  <si>
    <t>S/D of 1 ea	60amp Circuit Breaker &amp; 85 others</t>
  </si>
  <si>
    <t>Purchase of various equipment for High Angle Search and Rescue Operation</t>
  </si>
  <si>
    <t>C20203584 FUEL AND OIL &amp; LUBRICANTS FOR THE MONTH OF JULY , AUGUST, SEPTEMBER 2020</t>
  </si>
  <si>
    <t>REQUEST FOR QUOTATION (RFQ)  PROCUREMENT FOR PUMP PROTECTION FILTER 425152065 PUMP RFQ No.068-2020</t>
  </si>
  <si>
    <t>Supply Delivery and Intallation of Plastic  Protective Sheets on 25mm Aluminum Square Tube Framing for Kapatagan Branch and Tubod Branch</t>
  </si>
  <si>
    <t>SUPPLY AND INSTALLATION OF 28 UNITS CCTV FOR 12 LOCATIONS AT LUBAO</t>
  </si>
  <si>
    <t>S/D of 24 pcs	2 x 4 x 1.50mm Tubular Bar &amp; 68 others</t>
  </si>
  <si>
    <t>Purchase of Groundwood Memographing Paper</t>
  </si>
  <si>
    <t>Procurement of  Speaker and Camera for video conferencing: For use of DOH CHD-I Conference Room</t>
  </si>
  <si>
    <t>S/D of 30 bottle	Bread spread 700 ml Specifications 101 &amp; 22 others</t>
  </si>
  <si>
    <t>Const. Supplies &amp; Materials for the Impvt./Rehab of Banton Port Terminal Bldg.</t>
  </si>
  <si>
    <t>NTF MC No. 2,s. 2020: Operational Guidelines on the Application of the Zoning Containment Strategy in the Localization of the National Action Plan Against COVID-19 Response</t>
  </si>
  <si>
    <t>NP2020-06-379 Appraisal Services CGSSo</t>
  </si>
  <si>
    <t>Construction of Amoclang Water System</t>
  </si>
  <si>
    <t>Request for Quotation for Toner for Kyocera Taskalfa 0029</t>
  </si>
  <si>
    <t>Installation of Basketball Board</t>
  </si>
  <si>
    <t>Rental of Backhoe and Payloader Truck (1 unit each)</t>
  </si>
  <si>
    <t>Purchase of Medicine</t>
  </si>
  <si>
    <t>Supply and Delivery of Consolidated ICT Equipment, IT Supplies and Photocopier (Sub-lot) for 2nd Quarter of Bukidnon State University</t>
  </si>
  <si>
    <t>Carbamazepine, 200mg</t>
  </si>
  <si>
    <t>PURCHASE OF MATERIALS FOR INSTALLATION WATER PIPE LINES</t>
  </si>
  <si>
    <t>COSNT. OF EVACUATION CENTER</t>
  </si>
  <si>
    <t>Raw Materials Development Project (Hiring of Abaca Manufacturing Company for SMART Materials - Pre-cast Concrete)</t>
  </si>
  <si>
    <t>Procurement of Office Supplies for the use of NHTS Listahanan CY2020</t>
  </si>
  <si>
    <t>Fuel for Covid 19 Response</t>
  </si>
  <si>
    <t>Installation of Street Lights</t>
  </si>
  <si>
    <t>Request for Quotation for 3 unit Laptop Computer 0380</t>
  </si>
  <si>
    <t>Supply, Delivery and Installation of 1 lot LED Wall and Theater Accessories for the Mini-Theater of Bukidnon State University</t>
  </si>
  <si>
    <t>Purchase of disinfectant for 44 TODA of Vigan and TUPAD Beneficiaries</t>
  </si>
  <si>
    <t>SUPPLY AND DELIVERY OF CHEMICALS AND Filtering  The Request for Quatation Must be Email at the bpibac@yahoo.com</t>
  </si>
  <si>
    <t>PROCUREMENT OF SUPPLY AND DELIVERY OF TWO (2) UNITS WINDOW-TYPE AIR-CONDITIONER WITH INVERTER (SHOPPING)</t>
  </si>
  <si>
    <t>Influenza Polyvalent Vaccine 0.5ml suspension in pre-filled syringe or ampule (Adult)</t>
  </si>
  <si>
    <t>Purchase of Vegetable Seeds, Uplang Kangkong, Okra</t>
  </si>
  <si>
    <t>Purchase of materials for rehabilitation of public address system at Barangay San Siego</t>
  </si>
  <si>
    <t>20GF0104 - Concreting of Brgy. Buyu-an FMR, Brgy. Buyu-an, Tigbauan, Iloilo</t>
  </si>
  <si>
    <t>SUPPLY AND DELIVERY OF TWO (2) UNITS MOTOR VEHICLE (PATROL CAR), PNP, SFADS</t>
  </si>
  <si>
    <t>C20203589 ICOM for BM Remitar Kabalikat Civicom</t>
  </si>
  <si>
    <t>Improvement of South Poblacion -Sampiniton Road Jimalalud Negros Oriental(S-44-2020)</t>
  </si>
  <si>
    <t>REQUEST FOR QUOTATION (RFQ)  PROCUREMENT FOR FACE MASK,FACE SHIELD,NITRILE GLOVES RFQ No.073-2020</t>
  </si>
  <si>
    <t>20GF0103 - Concreting of Sitio Hatol to Sitio Katiklan, Brgy. Nanga FMR, Brgy. Nanga, Guimbal, Iloilo</t>
  </si>
  <si>
    <t>PROCUREMENT OF SUPPLY AND DELIVERY OF ONE(1) UNIT 7.2KVA GENERATOR SET (SHOPPING)</t>
  </si>
  <si>
    <t>C20203588 Electronic Supplies for DDNH KZ</t>
  </si>
  <si>
    <t>REQUEST FOR QUOTATION (RFQ)  PROCUREMENT FOR TYVEK SUIT I LEVEL B OR C Type) RFQ No.072-2020</t>
  </si>
  <si>
    <t>20GF0102 - Completion of 3Sty 9CL, Igbaras NHS, Igbaras, Iloilo</t>
  </si>
  <si>
    <t>Food Expenses</t>
  </si>
  <si>
    <t>Additional Appropriation  for the Improvement of  WWS,in(GAD) Barangay Banga, Tayasan,Negros Oriental(N-39-2020)</t>
  </si>
  <si>
    <t>Supply and Delivery of Construction Materials re: Construction of Makeshift Classroom of Maomawan Integrated School</t>
  </si>
  <si>
    <t>Procurement and Delivery of 1 Unit Risograph</t>
  </si>
  <si>
    <t>Concreting of Timber Bridge #5 (Phase II) @ Poblacion 02, Maslog, Eastern Samar</t>
  </si>
  <si>
    <t>Office supplies-Paper &amp; Envelope with DSWD Logo-RO</t>
  </si>
  <si>
    <t>For Board Room Use.</t>
  </si>
  <si>
    <t>C20203587 Drugs &amp; Medicines for three DDN Hospitals Kapalong, Carmen &amp; IGACOS Zone</t>
  </si>
  <si>
    <t>Support for 2nd Quarter 20120 CSG Maintenance and Other Operating Expenses</t>
  </si>
  <si>
    <t>Procurement of 7-days Catering Services for Virtual Annual Meeting of GCRF Project</t>
  </si>
  <si>
    <t>20GNE0029-Supplies/Deliveries of various tools and equipment to be used to conduct preventive/corrective Maintenance of all DPWH vehicles and heavy equipment of DPWH-Dinagat Islands DEO for C.Y. 2020.</t>
  </si>
  <si>
    <t>One (1) Lot - Coaching Program, as per BSP Terms of Reference</t>
  </si>
  <si>
    <t>S1-OCS20-021 - Supply and Delivery of Bolt, Double Arming, Galvanized Steel, 5/8 Dia x 22 &amp; 30 others intended for Occidental Mindoro Substation &amp; 69KV Transmission Lines</t>
  </si>
  <si>
    <t>Local Access Road Upgrading at Brgy. Catagudingan to Brgy. Doclong 2nd</t>
  </si>
  <si>
    <t>Deep well equipment &amp; materials</t>
  </si>
  <si>
    <t>C20203585 Automotive Supplies for Shop use</t>
  </si>
  <si>
    <t>One (1) Lot - Mentoring Program, as per BSP Terms of Reference</t>
  </si>
  <si>
    <t>Complete Supply &amp; Delivery of Office Equipment</t>
  </si>
  <si>
    <t>Procurement of CCTV Cameras and Installation</t>
  </si>
  <si>
    <t>Supply &amp; Delivery of Electrical Materials &amp; Supplies for the Repair and Maintenance of  Street Lights,Parks and Monument</t>
  </si>
  <si>
    <t>REQUEST FOR QUOTATION (RFQ)  PROCUREMENT FOR ALCOHOL,CLOROX, VITAMIN C FOR SAMPLING TEAM RFQ No.074-2020</t>
  </si>
  <si>
    <t>Van Rental-Travel to Manila/Pampanga to Legazpi/Sorsogon V.V.</t>
  </si>
  <si>
    <t>Concreting of Road at Barangay Poblacion, Alegria, Surigao del Norte</t>
  </si>
  <si>
    <t>2020-06-0222 SUPPLY AND DELIVERY OF LABOR AND PARTS FOR THE REPAIR AND MAINTENANCE OF VEHICLE</t>
  </si>
  <si>
    <t>Purchase of RPTAR</t>
  </si>
  <si>
    <t>For Office Supplies, Board Room Equipment and BOT Meetings.</t>
  </si>
  <si>
    <t>PROCUREMENT OF FORWARDER SERVICES FOR DOOR TO DOOR DELIVERY OF TOYOTA HI ACE VAN</t>
  </si>
  <si>
    <t>2020 14TH PUBLIC BIDDING: CENTRAL OXYGEN SUPPLIES FOR 2020 2ND SEMESTER CONSUMPTION</t>
  </si>
  <si>
    <t>Printing,Reproduction, Sorting and Arranging of Modules (From Kinder to Grade 6)</t>
  </si>
  <si>
    <t>S1-OMS20-031 - Supply and Delivery of Transformer Differential Relay and Multi Meter Module Power &amp; Energy Meter intended for Calapan Substation</t>
  </si>
  <si>
    <t>Procurement of Petroleum, Oil and Lubricant</t>
  </si>
  <si>
    <t>2020-03-0090-Supply &amp; Delivery of Limestones and Fuels for Road Opening at Brgy. Tamiao, Bantayan, Cebu</t>
  </si>
  <si>
    <t>Printing, Reproduction, Sorting and Arranging of Modules (Kinder to Grade 6)</t>
  </si>
  <si>
    <t>1	lot	Supply, Delivery and Intallation of Plastic  Protective Sheets on 25mm Aluminum Square Tube Framing for Landbank Iligan City Branch, Maigo Branch and Lanao LC</t>
  </si>
  <si>
    <t>Production of a packaged and thematic high quality Department of Tourism Regional Office 1 (DOT RO1) tourism promotional and marketing audio visual videos</t>
  </si>
  <si>
    <t>SUPPLY AND DELIVERY OF MILKFISH FINGERLINGS (GARUNGAN) FOR THE MARINE FISH CAGES IN REGION XI CY 2020</t>
  </si>
  <si>
    <t>VLMC-MS-20-0307-10164</t>
  </si>
  <si>
    <t>20GNE0028-Supplies/Deliveries of various hardware materials for repainting of Concrete and Steel Bridges along Dinagat – Loreto road for C.Y. 2020</t>
  </si>
  <si>
    <t>2020-05-0190 SUPPLY AND DELIVERY OF OFFICE SUPPLIES</t>
  </si>
  <si>
    <t>Office Use.</t>
  </si>
  <si>
    <t>Purchase of Office Tables and Chairs</t>
  </si>
  <si>
    <t>Printing and delivery of Wall Calendar</t>
  </si>
  <si>
    <t>Supply and Delivery of TENT</t>
  </si>
  <si>
    <t>Chlorinator</t>
  </si>
  <si>
    <t>PROCUREMENT FOR THE INSTALLATION OF PARTS AND ACCESSORIES FOR (HILUX-P6 G677)</t>
  </si>
  <si>
    <t>2020-07-0202-Supply &amp; Delivery of Wheelchair</t>
  </si>
  <si>
    <t>20GNE0027-Supplies/Deliveries of various Sanitary and Janitorial materials to be utilized in DPWH Building/Compound for 2nd Quarter of C.Y. 2020</t>
  </si>
  <si>
    <t>Procurement of Office Supplies for PSA Albay</t>
  </si>
  <si>
    <t>Supply and delivery of  BIOMETRIC MACHINES  re:  For Various Offices use   c/o  HRMO.</t>
  </si>
  <si>
    <t>Repair of Fire Exit &amp; Ramp - RHWG</t>
  </si>
  <si>
    <t>Establishment of Cacao Clonal Garden w/ Plant Nursery Component</t>
  </si>
  <si>
    <t>20CSBK01 - Consulting Services for the conduct of a) Parcellary Survey, b) Structural/Utility/Facilities Survey), c) Monumenting, and d)Research along Cordon - Aurora Bdry Road (Isabela Bndry - Jct. D</t>
  </si>
  <si>
    <t>MALACAPAS 03-2020 - installation of LED solar powered streetlights</t>
  </si>
  <si>
    <t>Internet Service for Satellite Campuses of BulSU</t>
  </si>
  <si>
    <t>Construction of Municipal Livelihood Center Phase V</t>
  </si>
  <si>
    <t>Medicine &amp; Dental supplies 2nd sem 2020-NTSB</t>
  </si>
  <si>
    <t>30 HP Submersible Pump and Motor</t>
  </si>
  <si>
    <t>Procurement of 120 Pax Meal(2) and Snack(2) under P.R No. 1144-2020- City Human Resource Management Office</t>
  </si>
  <si>
    <t>Printing of learning packets</t>
  </si>
  <si>
    <t>Procurement of General Merchandise under P.R Nos. 2375-2020 and 2379-2020- City Social Development Office-1Lot</t>
  </si>
  <si>
    <t>Procurement and Delivery of Base Radio (Compatible with XiR P6600i series hand held Radio)</t>
  </si>
  <si>
    <t>RUBBER BOOTS</t>
  </si>
  <si>
    <t>installation of street lights</t>
  </si>
  <si>
    <t>Replenishment of Common Supplies for 2nd Quarter of 2020.</t>
  </si>
  <si>
    <t>SVP PUR20-06-0515 Procurement of Tires, etc. for OETS, PGH</t>
  </si>
  <si>
    <t>Provision of 2020 CPH Advocacy Materials</t>
  </si>
  <si>
    <t>PROPOSED REHABILITATION OF AGORA MARKET, WET SECTION, BARANGAY II, LA CARLOTA CITY</t>
  </si>
  <si>
    <t>Upgrading of Racai Street @ Poblacion 02, Maslog, Eastern Samar</t>
  </si>
  <si>
    <t>Supply and delivery of  GOODS/SUPPLIES  re: For Municipal Recovery Facility Operations Use  c/o MENRO.</t>
  </si>
  <si>
    <t>PROCUREMENT OF IT SUPPLIES  FOR THE USE OF NSAP CY 2020</t>
  </si>
  <si>
    <t>RENOVATION OF HEALTH CENTER AT SITIO CENTRO BARANGAY GUINHAWA TAYSAN BATANGAS</t>
  </si>
  <si>
    <t>S PUR20-06- 0512 PUR20-06- 0506 Procurement of Toner Cartridges, etc. for CCU-MAT &amp; Dept. of Pharmacy, PGH</t>
  </si>
  <si>
    <t>Procurement of 50 Piece Pot, Cooking, etc. under P.R No. 2376-2020- City Social Development Office</t>
  </si>
  <si>
    <t>Printing of Learning Packets</t>
  </si>
  <si>
    <t>Supply and Delivery of One (1) unit Electronic Typewriter</t>
  </si>
  <si>
    <t>Construction Materials for Repair &amp; Maintenance of Admin Building</t>
  </si>
  <si>
    <t>20AH0219  Repair/Maintenance of Lateral Drainage along Judge Jose De Venecia Sr. Avenue, K0208+653-K0208+757 and K0208+859-K0208+901</t>
  </si>
  <si>
    <t>REPAIR AND MAINTENANCE OF BARANGAY ROAD AT SITIO LOOBAN BARANGAY STO.NIÑO TAYSAN BATANGAS</t>
  </si>
  <si>
    <t>1 Unit Plant Nursery Shed Sta. Rosa Elementary School</t>
  </si>
  <si>
    <t>Construction of  Two (2) Units  Two (2) Storey Four (4)  Classroom School Building  Ernesting Gonzales Elementary School at Sto. Tomas, Pangasinan</t>
  </si>
  <si>
    <t>20AH0218  Repair/Maintenance of Asphalt Pavement (Thin Overlay) along Pangasinan-Zambales Road, K0367+000-K0367+413</t>
  </si>
  <si>
    <t>Procurement of Water Meter with Complete Accessories</t>
  </si>
  <si>
    <t>Supply and delivery of  Hardware Materials for Construction of Terminal Complex for Intra-Municipal PUV @ Zone 1 Poblacion, Atimonan, Quezon</t>
  </si>
  <si>
    <t>Supply and Delivery of Gemstone Processing Machines</t>
  </si>
  <si>
    <t>Supply and delivery of Construction materials</t>
  </si>
  <si>
    <t>20GAH0008: Supply and Delivery of Pavement Marking Thermoplastic for use along Pangasinan-Zambales Road amd Pangasinan-Tarlac Road</t>
  </si>
  <si>
    <t>Supply and Delivery of the following PPEs</t>
  </si>
  <si>
    <t>20GAH0005: Supply and Delivery of Pavement Road Marking Applicator and other various equipment for use in the repair/maintenance of national roads</t>
  </si>
  <si>
    <t>consrtruction of  concrete water tank @ Sitio Aguada San Teodoro, Mabini, Batangas</t>
  </si>
  <si>
    <t>Supply and delivery of Office Supplies and consumables</t>
  </si>
  <si>
    <t>concreting of pathway @ Sitio Panay San Teodoro, Mabini, Batangas</t>
  </si>
  <si>
    <t>Procurement of PhilHealth Konsulta Audio Visual Presentation (AVP) for Providers</t>
  </si>
  <si>
    <t>Printing and Binding of the Implementing Rules and Regulations (IRR) of R.A. 11223 -Universal Health Care Act of 2019 (UHC)</t>
  </si>
  <si>
    <t>Procurement of Mini- Sound (Public Address)</t>
  </si>
  <si>
    <t>Supply and Delivery of One (1) unit Vault</t>
  </si>
  <si>
    <t>20GAH0007: Supply and Delivery of 400MT Asphalt Premix for use in Premix Patching Bituminous Pavements along National Roads in the 2nd and 4th Congressional Districts of Pangasinan</t>
  </si>
  <si>
    <t>Laptop</t>
  </si>
  <si>
    <t>20GAH0006: Supply and Delivery of Fuel for use in the maintenance of various vehicle/equipment for the 4th Quarter at DPWH Pangasinan 2nd DEO, Lingayen, Pangasinan</t>
  </si>
  <si>
    <t>Proc of Semi Exp ICT Equipment</t>
  </si>
  <si>
    <t>Procurement of Battery and 16 Others for the Use of EMD (RFQ 2020-06-0030)</t>
  </si>
  <si>
    <t>Negotiated Procurement of Passenger Van 2020</t>
  </si>
  <si>
    <t>Supply and delivery of  MEDICAL, DENTAL and LABORATORY SUPPLIES  re: For Medical, Dental &amp; Laboratory use  c/o  Rural Health Unit.</t>
  </si>
  <si>
    <t>Supply and delivery of  Hardware Materials for Construction of Barangay Multi-Purpose Building @ Barangay Caridad Ibaba, Atimonan, Quezon</t>
  </si>
  <si>
    <t>Procurement of Overhauling Gasket and 18 Others for the Use of EMD (RFQ. 2020-06-0031)</t>
  </si>
  <si>
    <t>Construction of Flyovers/Interchanges/ Underpasses/Long Span Bridges: C-5 - Quirino Flyover, Las Piňas City (Contract ID No. 20O00004)</t>
  </si>
  <si>
    <t>Construction/Improvement of FMR at Don Alejandro Quirolgico</t>
  </si>
  <si>
    <t>Proc of Veh Parts &amp; Acc, SSBn</t>
  </si>
  <si>
    <t>Acquisition of Modular Tent</t>
  </si>
  <si>
    <t>Purchase of Division Advocacy T-Shirts</t>
  </si>
  <si>
    <t>Supply and Delivery of Two (2) units Scanner</t>
  </si>
  <si>
    <t>20AH0222  Repair/Maintenance of Lateral Drainage along Pangasinan-Zambales Road, K0370+630-K0370+728; K0373+460-K0373+490</t>
  </si>
  <si>
    <t>C20203612 Fuel &amp; Lubricant supply for PTO Use</t>
  </si>
  <si>
    <t>20CSOB0029	Sub-Surface Soil Exploration for the: A.) Construction of Three (3) Storey Multi-Purpose Building Including Site Development, Brgy. Tañong; B.) Construction of Multi-Purpose Building Includ</t>
  </si>
  <si>
    <t>C20203614 Spare Parts for Provincial Service Vehicle SDC 664 Tamaraw FX 4K Engine, P.N. 0130-0081</t>
  </si>
  <si>
    <t>C20203613 Spare Parts for REPAIR OF NISSAN NAVARA VEHICLE ISSUED TO VICE GOVERNOR'S OFFICE W/ PLATE NO. SHE 516</t>
  </si>
  <si>
    <t>C20203611 Nitrogen, oxygen &amp; acetylene for shop use</t>
  </si>
  <si>
    <t>Purchase of ICT Laptop and other Peripherals</t>
  </si>
  <si>
    <t>Procurement and Delivery of Other Supplies for CENRO Lagangilang PASA</t>
  </si>
  <si>
    <t>C20203592 Disinfectant for  ASF quarantine station w/ in DDN</t>
  </si>
  <si>
    <t>Labor and material for De-Silting and Clearing of  MaTab-ang River (dako) Zone 15 with a length of 6.0 kms.</t>
  </si>
  <si>
    <t>Service Provider/ Consultant for the conduct of Assessment, Consultation &amp; Triage (ACT) Session for the OTOP Next Generation Program (Food Sector)</t>
  </si>
  <si>
    <t>Request for Price Quotation</t>
  </si>
  <si>
    <t>C20203590 Spare Parts for KIA  73 assigned at PEO 1st Eng Dist.</t>
  </si>
  <si>
    <t>Purchase of 6 unit Cellphone at Brgy. Luyos, Tanauan City, Batangas</t>
  </si>
  <si>
    <t>Procurement of ICT Equipment to support the Launching of PA Youtube Channel</t>
  </si>
  <si>
    <t>RFQ-ISO Consultant</t>
  </si>
  <si>
    <t>SHUTTLE SERVICE for UP Baguio Employees</t>
  </si>
  <si>
    <t>MUNICIPAL TAX MAP DIGITIZATION</t>
  </si>
  <si>
    <t>Procurement of Office Supplies - 1st and 2nd Quarter</t>
  </si>
  <si>
    <t>20CSBK02 -  Soil Testing Exploration for various proposed bridges for CY 2021 along Cordon – Aurora Bdry Road (Isabela Bndry – Jct. Dumabato – Aurora Bndry): 1. Lukban Bridge (B04905LZ), 2. Disinaba B</t>
  </si>
  <si>
    <t>20CSOB0028	Sub-Surface Soil Exploration for the: A.) Construction of Three (3) Storey Multi-Purpose Building, Brgy. Sto Niño; B.) Construction of Jewel Miles HOA Multi-Purpose Building, Brgy. Malanday</t>
  </si>
  <si>
    <t>ACETATE</t>
  </si>
  <si>
    <t>Rehabilitation of brgy. road Sitio Guitisan</t>
  </si>
  <si>
    <t>Purchase of Flu-Vaaccine</t>
  </si>
  <si>
    <t>20AH0220  Repair/Maintenance of Asphalt Pavement (Bridge Approach) along National Roads within the district</t>
  </si>
  <si>
    <t>Supply and Delivery of Various Ink for 2nd Quarter GF</t>
  </si>
  <si>
    <t>Desilting of Sapang Balen Creek at Sto. Rosario to Sta. Maria Section, Magalang, Pampanga</t>
  </si>
  <si>
    <t>C20203624 Spare Parts for various Provincial Equipment</t>
  </si>
  <si>
    <t>2020-05-0189 SUPPLY AND DELIVERY OF OFFICE SUPPLIES</t>
  </si>
  <si>
    <t>Supply and Delivery of Various Ink for 2nd Quarter rF</t>
  </si>
  <si>
    <t>20AH0221  Premix Levelling of Paved Surface along National Roads within the jurisdiction of Pangasinan 2nd DEO</t>
  </si>
  <si>
    <t>C20203622 Diesel &amp; Gasoline for Rehab. of Slope Protection along Suaon-Libuton Road Section (Revised) (POL)</t>
  </si>
  <si>
    <t>Labor and materials for the De-silting and clearing of Imbang River at Brgy. Dos Hermanas with a length of 5.5 kms, Talisay City</t>
  </si>
  <si>
    <t>C20203625 Diesel &amp; Gasoline for Proposed Road Opening of Tawinian-Tapayanon (Rev. II) (POL)</t>
  </si>
  <si>
    <t>Printing &amp; Binding of Learning Packets</t>
  </si>
  <si>
    <t>Desilting of Quitangil River at San Nicolas I to San Agustin Section, Magalang, Pampanga</t>
  </si>
  <si>
    <t>Furnishing of labor, materials and equipment for the Improvement of Materials Recovery Facility (MRF) at Pajo, City of Meycauayan, Bulacan</t>
  </si>
  <si>
    <t>PURCHASE OF COMMUNICATION EQUIPMENT</t>
  </si>
  <si>
    <t>Service Provider/ Consultant for the conduct of Assessment, Consultation &amp; Triage (ACT) Session for the OTOP Next Generation Program (Non-Food Sector)</t>
  </si>
  <si>
    <t>IMPROVEMENT/ROAD ENHANCEMENT INFRONT OF ESTEVEZ HOSPITAL ON-WARDS</t>
  </si>
  <si>
    <t>PROCUREMENT OF AUDIO AND VISUAL EQUIPMENT</t>
  </si>
  <si>
    <t>Revised POW  of Construction of Material Recovery Facility</t>
  </si>
  <si>
    <t>Purchase of Ambulance with Complete Accessories</t>
  </si>
  <si>
    <t xml:space="preserve">20CSOB0032	Sub-Surface Soil Exploration for the: A.) Construction of Box Culvert at Brgy. Tumana; B.) Improvement of Champaca Creek; C.) Improvement of Concepcion Uno Creek, Brgy. Concepcion Uno; D.) </t>
  </si>
  <si>
    <t>Purchase of Eigth Hundred Thirty THree (833) pcs.  booklet  for  Senior Citizens</t>
  </si>
  <si>
    <t>PURCHASE OF FOOD SUPPLIES</t>
  </si>
  <si>
    <t>PROCUREMENT OF KITCHEN  EQUIPMENT</t>
  </si>
  <si>
    <t>Construction of Multi-Purpose Hall Covered Walk</t>
  </si>
  <si>
    <t>Construction of Rainwater Collectors in Public Facilities - FY 2020</t>
  </si>
  <si>
    <t>C20203630 IT Equipment for PHO-DOCUMENTATION AND HEALTH PROMOTION ADVOCACY</t>
  </si>
  <si>
    <t>C20203629 Agricultural Supplies for PRODUCTION OF TISSUE CULTURE SEEDLINGS</t>
  </si>
  <si>
    <t>PROCUREMENT OF SUPPLIES AND MATERIALS FOR THE CONSTRUCTION OF MULTI-PURPOSE BUILDING PHASE I  AT BGY. ABUCAYAN, GOA, CAMARINES SUR</t>
  </si>
  <si>
    <t>Concreting of Farm to Mill Road, Brgy. Calunasan to Brgy. Ugpay to Brgy. Magallon, M’lang, North Cotabato</t>
  </si>
  <si>
    <t>C20203627 Drugs &amp; MEDS FOR THE USE OF THE THREE DDN HOSPITALS KAPALONG, IGACOS AND CARMEN ZONE</t>
  </si>
  <si>
    <t>PROCUREMENT OF FOOD LABORATORY EQUIPMENT</t>
  </si>
  <si>
    <t>Hardware Construction Supplies</t>
  </si>
  <si>
    <t>Supply &amp; Delivery of airsoft guns 01D CO G06-2020</t>
  </si>
  <si>
    <t>Office Supply and Consumables</t>
  </si>
  <si>
    <t>Labor and Materials for the De-silting and Clearing of Bubog Creek at Brgy. Bubog, Otella Creek at Brgy. Efigenio Lizares and Burgos Creek at Zone 3,5,4,4A, 12 with a Length of 4.040 kms.</t>
  </si>
  <si>
    <t>C20203616 Fuel for Rep &amp; Maint of Various Prov'l Roads and Bridges - Municipality of Sto.tomas (3rd Quarter)</t>
  </si>
  <si>
    <t>C20203615 Fuel for Rep &amp; Maint. of various Prov'l Roads and Bridges- Municipality of Dujali (3rd Quarter)</t>
  </si>
  <si>
    <t>PROCUREMENT OF OFFICE EQUIPMENT, PROJECT MMK, PROJECT G-NEWS.COM, BALIK SIGLA SA MAPEH (MUSIC, PE, HEALTH) AND PROCUREMENT FOR BRIGADA PLUS AND ADOPT-A-SCHOOL PROGRAM</t>
  </si>
  <si>
    <t>20CSOB0031	Sub-Surface Soil Exploration for the: A.) Construction of Box Culvert Along Angel Santos And Doña Petra, Brgy. Tumana; B.) Construction of Box Culvert Along Concepcion Uno, Brgy. Concepcion</t>
  </si>
  <si>
    <t>Supply &amp; Delivery of Variable Frequency Device Panel Board for the Repair &amp; Maintenance of Socorro Waterworks System (SWS -Source 1)</t>
  </si>
  <si>
    <t>ROOFING OF MULTI-PURPOSE HALL</t>
  </si>
  <si>
    <t>Installation &amp; Commissioning of CCTV at Poblacion Area, Mag., Pamp.</t>
  </si>
  <si>
    <t>Construction of Two Storey Bahay Pagbabago (Rehabilitation Center) at PNP Compound, at San Nicolas II</t>
  </si>
  <si>
    <t>PROCUREMENT OF LABORATORY TABLE</t>
  </si>
  <si>
    <t>Purchase of various medicines at Barangay Pob. IV, Tanauan City, Batangas</t>
  </si>
  <si>
    <t>PROCUREMENT OF OFFICE  FURNITURE/FIXTURES</t>
  </si>
  <si>
    <t>Repair of Municipal Hall, Maslog, Eastern Samar</t>
  </si>
  <si>
    <t>Procurement of SPED Instructional Materials and Assessment Tools for the use of SPED Learners at Saluysoy Integrated School, City of Meycauayan, Bulacan</t>
  </si>
  <si>
    <t>Procurement of Battery and 13 Others for the Use of EMD (RFQ 2020-06-0036)</t>
  </si>
  <si>
    <t>Repair of 3-tonner, floor mounted aircondition unit</t>
  </si>
  <si>
    <t>Procurement of Oil Filter and 9 Others for the Use of EMD (RFQ 2020-06-0035)</t>
  </si>
  <si>
    <t>Maintenance of treadmills and stationary bikes</t>
  </si>
  <si>
    <t>Repainting of school ground and the other facility</t>
  </si>
  <si>
    <t>Procurement of Oil Filter and 23 Others for the Use of EMD (RFQ 2020-06-0033)</t>
  </si>
  <si>
    <t>Purchase of 1 unit Ambulance</t>
  </si>
  <si>
    <t>SUPPLY AND DELIVERY OF VARIOUS SUPPLIES</t>
  </si>
  <si>
    <t>Maintenance of printers and scanners</t>
  </si>
  <si>
    <t>Procurement of Spark Plugs and 26 others for the Use of EMD (RFQ 2020-06-0032)</t>
  </si>
  <si>
    <t>Purchase of Various Office Supplies for the use of the SP Office, City of Talisay</t>
  </si>
  <si>
    <t>PROCUREMENT OF OUTDOOR/INDOOR LED WALL</t>
  </si>
  <si>
    <t>RFQ2020-07-010 GAA Procurement of sixteen (16) units of printers for UNIFAST Office use</t>
  </si>
  <si>
    <t>Purchase of Various Office Supplies for the use of the Bids and Awards Committee (BAC) Office,City of Talisay</t>
  </si>
  <si>
    <t>Medicines - 2nd Quarter  2020 - HE</t>
  </si>
  <si>
    <t>Concreting of Tagbino - Guba- Farm-to-Market Road Vallehermoso Negros Oriental(s-41-2020)</t>
  </si>
  <si>
    <t>SH 038-20: NON-PS: ICT EQUIPMENT</t>
  </si>
  <si>
    <t>20GF0106 - Construction of Miagao National High School 2STY6CL with Ground Improvements</t>
  </si>
  <si>
    <t>Supply and Delivery of Polyvinyl Chloride 4472 and 9070</t>
  </si>
  <si>
    <t>20CSOB0030	Sub-Surface Soil Exploration for the: A.) Construction of Three (3) Storey Multi-Purpose Building with Covered Court, Brgy. San Roque; B.) Construction of Two (2) Storey Covered Court, Brgy</t>
  </si>
  <si>
    <t>ITDI-PB-200003 - Supply, Delivery, Installation and Commissioning of One (1) Unit Encapsulator</t>
  </si>
  <si>
    <t>RENOVATION OF CYBERLAB WITH COMFORT ROOM</t>
  </si>
  <si>
    <t>Procurement of Oil Filter and 23 Others for the Use of EMD (RFQ 2020-06-0034)</t>
  </si>
  <si>
    <t>Procurement and Installation of Two (2) Optimal Mark Readers</t>
  </si>
  <si>
    <t>Supply and delivery of Maintenance Parts for Backhoe /Loader, JCB #3 &amp; 6 heavy equipment for use in Prov'l. Engineering Projects. ABC PHP766,700.00</t>
  </si>
  <si>
    <t>ITDI-PB-200004 - Supply, Delivery, Installation and Commissioning of One (1) Set Hydraulic Vertical Random Vibration Test System</t>
  </si>
  <si>
    <t>RFQ No.: 	2020-06-0549 Catering and Accommodation for the conduct of Training of Implementers on 2020 SLP and LAG Implementation on July 9-11 and July 16-18, 2020 within Iloilo City</t>
  </si>
  <si>
    <t>2020-GOODS-039_Purchase and Delivery of Vertical LCD Electronic Sign Board</t>
  </si>
  <si>
    <t>Supply and delivery of 1 unit LED TV 55" and 1 unit Chest Freezer for use in the Sangguniang Panlalawigan-OVG Office. ABC PHP53,000.00</t>
  </si>
  <si>
    <t>PROCUREMENT AND DELIVERY OF EDUCATIONAL SUPPLIES AND MATERIALS</t>
  </si>
  <si>
    <t>2020-05-0179 SUPPLY AND DELIVERY OF OFFICE SUPPLIES</t>
  </si>
  <si>
    <t>2020-GOODS-038_Purchase and Delivery of Essential Supplies for COVID19 Mitigation</t>
  </si>
  <si>
    <t>FOR THE CONSULTANCY SERVICES FOR THE CONDUCT OF HIGHWAY DETAILED ENGINEERING DESIGN AND TOPOGRAPHIC SURVEY FOR THE CONSTRUCTION OF BYPASS AND DIVERSION ROAD, PAGBILAO – TAYABAS – LUCBAN DIVERSION ROAD</t>
  </si>
  <si>
    <t>Supply &amp; Delivery of Various Sporting Goods for Donations to Various Barangays, Himamaylan City</t>
  </si>
  <si>
    <t>Supply &amp; Delivery of Various Furniture’s for Donations to Various Schools &amp; Barangays, Himamaylan City</t>
  </si>
  <si>
    <t>Supply &amp; Delivery of Various Furniture’s use for Mayor's Office, Himamaylan City</t>
  </si>
  <si>
    <t>FOR THE CONSULTANCY SERVICES FOR THE CONDUCT OF PARCELLARY SURVEY PLAN FOR THE CONSTRUCTION OF BYPASS AND DIVERSION ROAD, PAGBILAO – TAYABAS – LUCBAN DIVERSION ROAD, QUEZON PROVINCE</t>
  </si>
  <si>
    <t>Automated Door System at Hostel and Flores Hall Building</t>
  </si>
  <si>
    <t>medical supplies</t>
  </si>
  <si>
    <t>medical and dental equipment</t>
  </si>
  <si>
    <t>RFQ No.: 	2020-06-0547 Training on Effective and Efficients conduct of On Demand Applicatiion and Validation for Enumerators on September 24-27,2020 in the Province of Antique</t>
  </si>
  <si>
    <t>SCHOOL SUPPLIES</t>
  </si>
  <si>
    <t>TWO (2) DAYS CATERING SERVICE FOR CGDCV DEPARTURE CONFERENCE AND COMMANDER'S TIME</t>
  </si>
  <si>
    <t>20CSOB0035	Sub-Surface Soil Exploration for the: A.) Rehabilitation/Improvement of Existing Slope Protection Along Nangka River, Brgy. Fortune; B.) Rehabilitation/Improvement of Slope Protection Along</t>
  </si>
  <si>
    <t>RFQ No.: 	2020-06-0546 Training on Effective and Efficients condict of On Demand Application and Validation for Enumerators on September 20-23,2020 in Iloilo City</t>
  </si>
  <si>
    <t>Procurement of Learning Module Kits for the Covid-19 Pandemic (Grades 1 to 12 public school learners in the City of Meycauayan, Bulacan)</t>
  </si>
  <si>
    <t>20CSOB0034	Sub-Surface Soil Exploration for the: A.) River Improvement along Marikina River, Brgy. Jesus Dela Peña (Package 5 To 8) And B.) Improvement of J.P. Rizal Street, Second District Both in Ma</t>
  </si>
  <si>
    <t>ITDI-PB-200005 - Supply, Delivery, Installation and Commissioning of Various Information Technology Equipment</t>
  </si>
  <si>
    <t>MOOE REQUEST</t>
  </si>
  <si>
    <t>20CSOB0036	Sub-Surface Soil Exploration for the Construction of Multi-Purpose Building with Site Development at Brgy. Bambang, Taguig City</t>
  </si>
  <si>
    <t>Procurement of Construction Materials for Additional Electrical Installation of Street Lights, Barangay Mimbunga, Gingoog City.</t>
  </si>
  <si>
    <t>2020-GOODS-037_Conversion of the Two Rooms on the Left Wing at Convention Hall to Cultural Center in PSU Main-Lingayen Campus</t>
  </si>
  <si>
    <t>Procurement of Medical Supplies Lot 1</t>
  </si>
  <si>
    <t>Procurement of Tuberculosis Personal Protective Equipment</t>
  </si>
  <si>
    <t>office supplies and equipment</t>
  </si>
  <si>
    <t>Procurement of Garbage Bins</t>
  </si>
  <si>
    <t>Procurement of Personal Protective Equipment</t>
  </si>
  <si>
    <t>SUPPLY AND DELIVERY OF UAV DRONE FOR DIGITALIZATION OF AGRICULTURE VALUE CHAIN IN CACAO AND COFFEE PRODUCTIVITY IN ZAMBOANGA DEL SUR”</t>
  </si>
  <si>
    <t>Purchase of Food Commodities  for Supplementary Feeding</t>
  </si>
  <si>
    <t>Procurement of various Office Supplies for the use of different offices in Meycauayan City Hall</t>
  </si>
  <si>
    <t>Procurement of Materials for the repair and maintenance of various government facilities</t>
  </si>
  <si>
    <t>US Bond paper (long 8.5x14) PR-0452-032520</t>
  </si>
  <si>
    <t>Construction of Canal Lining and Pathway at Dreamland,Evangelista St.Brgy. Muzon II,Rosario, Cavite</t>
  </si>
  <si>
    <t>Ballpen  black (ordinary) etc. PR-2020-1081-0015</t>
  </si>
  <si>
    <t>Supply &amp; Delivery of Thirty (30) sets Solar Kit for Donations to Various Schools, Himamaylan City</t>
  </si>
  <si>
    <t>Supply &amp; Delivery of Various Air-condition for Donations to Various Schools &amp; Barangays, Himamaylan City</t>
  </si>
  <si>
    <t>20CSOB0033	Sub-Surface Soil Exploration for the: A.) Improvement of Balanti Creek, Brgy. Concepcion Dos; B.) Improvement of Balanti Creek along Katipunan Extension; C.) Improvement of Balanti Creek In</t>
  </si>
  <si>
    <t>Procurement of stair railings, wooden steps, tables, chairs and electrical fixtures for LGU Multi-Purpose Hall</t>
  </si>
  <si>
    <t>Procurement of Medical Supplies Lot 2</t>
  </si>
  <si>
    <t>Supply and Delivery of General Merchandise</t>
  </si>
  <si>
    <t>INVITATION TO BID</t>
  </si>
  <si>
    <t>Supply &amp; Delivery of Various Appliance for Donations to Various Schools &amp; Barangays, Himamaylan City</t>
  </si>
  <si>
    <t>MOOE for Cawayan E/S, Pangyan E/S Lorenzo E/S (Clustered Schools)</t>
  </si>
  <si>
    <t>74633_Supply &amp; Delivery of Hand Held Radio</t>
  </si>
  <si>
    <t>P.R. # 20-0051 - Supply &amp; delivery of Asphalt Cement and Emulsified Asphalt for Engineering and Construction Department.</t>
  </si>
  <si>
    <t>Bond paper 216x330 mm/500 sheets/70g/m2 etc. PR-2020-1021-0042</t>
  </si>
  <si>
    <t>P.R. # 20-0089 - Supply &amp; delivery of Poly ALuminum Chloride (PAC) Powder for use in water treatment.</t>
  </si>
  <si>
    <t>Procurement of 6 unit of Epson Printer L3150</t>
  </si>
  <si>
    <t>Package 2 Construction of Various Infrastructure Projects</t>
  </si>
  <si>
    <t>Mandaue Pin PR-2020-9999-0858</t>
  </si>
  <si>
    <t>Procurement of General Equipment Package Lot 3</t>
  </si>
  <si>
    <t>Purchase of Storage boxes</t>
  </si>
  <si>
    <t>Procurement of General Equipment Package Lot 2</t>
  </si>
  <si>
    <t>For Flexible Learning use.</t>
  </si>
  <si>
    <t>Solar Light Panel</t>
  </si>
  <si>
    <t>Procurement of General Equipment Package Lot 1</t>
  </si>
  <si>
    <t>Procurement of Qualitative Fit Test Kit for N95</t>
  </si>
  <si>
    <t>Procurement of Disinfection Equipment Package</t>
  </si>
  <si>
    <t>Purchasing of Common Use Office Supplies for 2nd Quarter</t>
  </si>
  <si>
    <t>General Repair and Maintenance Services</t>
  </si>
  <si>
    <t>Supply and Delivery of Printing Supplies</t>
  </si>
  <si>
    <t>Completion of Manpower Development Center at Purok Doña Soledad Phase 1-East, Brgy. Labangal</t>
  </si>
  <si>
    <t>Procurement of Fetal Doppler</t>
  </si>
  <si>
    <t>Supply and Delivery of General Merchandise (Shoes)</t>
  </si>
  <si>
    <t>AGR-20-0594-B-Rebid Purchase of Construction Supplies and Materials</t>
  </si>
  <si>
    <t>Package 1 Construction of Various Infrastructure Projects</t>
  </si>
  <si>
    <t>Procurement of General Equipment Package Lot 4</t>
  </si>
  <si>
    <t>Supply and delivery of seeds, fertilizers and top soil to be used for the projects of Research Division with PR#2020-06-25-326 and ABC of P124,970.00</t>
  </si>
  <si>
    <t>Completion of Manpower Development Center at Purok Bulaong Phase 2, Brgy. Labangal</t>
  </si>
  <si>
    <t>Purchase of 249PCS CUSTOMIZED POLO SHIRTS W/ EMBROIDERED BRGY. LOGO</t>
  </si>
  <si>
    <t>Purchase of 1 Unit 3TR FLOOR MOUNTED AIRCON</t>
  </si>
  <si>
    <t>Procurement of Medical Instrument Package</t>
  </si>
  <si>
    <t>RFQ for Diesel</t>
  </si>
  <si>
    <t>P.R. # 20-0062 - Supply &amp; delivery of Hardware Materials for Subdivision Interconnection Works for Fatima Homes Subdivision, San Roque.</t>
  </si>
  <si>
    <t>Procurement of General Equipment Package Lot 6</t>
  </si>
  <si>
    <t>ADH-20-0303-B PURCHASE OF OFFICE SUPPLIES</t>
  </si>
  <si>
    <t>ADH-20-0299-B(REBID) PURCHASE OF LABORATORY SUPPLIES</t>
  </si>
  <si>
    <t>Procurement of Civil works for the Construction of Boundary Fence Municipal Agriculture Nursery Site, Poblacion A, Mlang, Cotabato.</t>
  </si>
  <si>
    <t>ADH-20-0210-B PURCHASE OF MEDICAL SUPPLIES</t>
  </si>
  <si>
    <t>Supply and delivery animal supplies/supplements to be used for the implementation of the Organic Agriculture Program with PR#2020-06-18-222 and ABC of P83,000.00</t>
  </si>
  <si>
    <t>Type A uniform (customized fit to individual) etc. PR-2020-1011-0218</t>
  </si>
  <si>
    <t>ADH-20-0209-B PURCHASE OF MEDICAL SUPPLIES</t>
  </si>
  <si>
    <t>Procurement of General Equipment Package Lot 5</t>
  </si>
  <si>
    <t>Procurement of Laboratory Equipment Lot 1</t>
  </si>
  <si>
    <t>Procurement of Hepa Filter</t>
  </si>
  <si>
    <t>Purchase of Response Vehicle</t>
  </si>
  <si>
    <t>Purchase of Patient Transport Vehicle</t>
  </si>
  <si>
    <t>purchase of dash cam</t>
  </si>
  <si>
    <t>Supply and delivery of animal feeds to be used for the projects of Research Division under Regular R&amp;D with PR#2020-06-25-327 and ABC of P143,910.00</t>
  </si>
  <si>
    <t>SUPPLY AND DELIVERY OF OUTBOARD MACHINE</t>
  </si>
  <si>
    <t>Procurement of Laboratory Equipment Lot 2</t>
  </si>
  <si>
    <t>Request for Quotation for IV Extension Tubings and Perfusor Tubings 20-06-0384</t>
  </si>
  <si>
    <t>Procurement of Special Equipment Package Lot 1</t>
  </si>
  <si>
    <t>Procurement of Special Equipment Package Lot 4</t>
  </si>
  <si>
    <t>Procurement of Special Equipment Package Lot 3</t>
  </si>
  <si>
    <t>Procurement of Newborn Hearing Screening Test Kit</t>
  </si>
  <si>
    <t>Sweatshirt etc. PR-2020-6542-0013</t>
  </si>
  <si>
    <t>Procurement of Special Equipment Package Lot 2</t>
  </si>
  <si>
    <t>Improvement/Rehabilitation of Local Road at Catmon, Santa Maria, Bulacan</t>
  </si>
  <si>
    <t>INFR-20-019– CONSTRUCTION OF BRIDGE (LENGTH 55.00 m) PHASE II, CONNECTING BARANGAY SANTIAGO TO BARANGAY BUENAVISTA I, CITY OF GEN. TRIAS, CAVITE</t>
  </si>
  <si>
    <t>ADH-20-0208-B PURCHASE OF DRUGS AND MEDICINES</t>
  </si>
  <si>
    <t>Improvement/Rehabilitation of Local Road at Silangan, Santa Maria, Bulacan</t>
  </si>
  <si>
    <t>Improvement/Rehabilitation of Local Road at San Vicente, Santa Maria, Bulacan</t>
  </si>
  <si>
    <t>Supply and delivery of AGRICULTURAL MACHINERIES</t>
  </si>
  <si>
    <t>Request for Quotation for 20 pieces Patient Satisfaction Survey Boxes 0385</t>
  </si>
  <si>
    <t>SUPPLY OF RICE</t>
  </si>
  <si>
    <t>Widening of road at Barangay Sinala, Bauan, Batangas</t>
  </si>
  <si>
    <t>Supply and delivery of OFFICE FURNITURES</t>
  </si>
  <si>
    <t>Concreting of road at Barangay Alagao, Bauan, Batangas</t>
  </si>
  <si>
    <t>020-GOODS-032 / CONSTRUCTION PROJECTS</t>
  </si>
  <si>
    <t>20GB0132 - Construction of 3 Storey Nine (9) Classroom School Building  at  Igburi National High School, Patnongon, Antique</t>
  </si>
  <si>
    <t>020-GOODS-053 / GENERAL MERCHANDISE</t>
  </si>
  <si>
    <t>Rehabilitation &amp; improvement of Barangay Waterworks System at Barangay San Pablo, Bauan, Batangas</t>
  </si>
  <si>
    <t>20GB0130 - Construction of 2 Units 1 Storey Two (2) Classroom School Building  at  Lawigan ES, Tobias Fornier (DAO), Antique</t>
  </si>
  <si>
    <t>020-GOODS-030 / CONSTRUCTION PROJECTS</t>
  </si>
  <si>
    <t>NBC-0220-083</t>
  </si>
  <si>
    <t>20GB0127 - Construction of 1 Storey Two (2) Classroom School Building at  Cabunga-an ES, San Remigio, Antique</t>
  </si>
  <si>
    <t>Bond paper short etc. PR-2020-9999-1583</t>
  </si>
  <si>
    <t>20GB0126 - Construction of 1 Storey Two (2) Classroom School Building at  Maybunga PS, Laua-an, Antique</t>
  </si>
  <si>
    <t>2020-020 Provision of meals, snacks, and accommodation for the conduct of Training on proper Handling of Food and Food Safety Awareness and Introduction to Hazard Analysis and Critical Control Points</t>
  </si>
  <si>
    <t>PURCHASE OF MAINTENANCE MEDICINE TO BE USED AT THE MUNICIPAL HEALTH OFFICE</t>
  </si>
  <si>
    <t>PROCUREMENT OF GOODS FOR THE CONSTRUCTION OF CANAL ALONG PRECILLO BAWINGAN TO MOISES DOMEPNAS AT PATIACAN, QUIRINO, ILOCOS SUR</t>
  </si>
  <si>
    <t>2020-019 Provision of meals, snacks, and accommodation for the conduct of Taxation and Records Management Training for Small and Medium Enterprises under IREAP subprojects</t>
  </si>
  <si>
    <t>20GB0131 - Construction of 4 Storey Twenty (20) Classroom School Building  at  Belison NHS, Belison, Antique</t>
  </si>
  <si>
    <t>20GB0125 - Construction of 1 Storey Three (3) Classroom School Building at  Capnayan PS, Laua-an, Antique</t>
  </si>
  <si>
    <t>20GB0124 - Construction of 1 Storey Two (2) Classroom School Building at  Alberto Siasat ES (Casalngan ES), Hamtic, Antique</t>
  </si>
  <si>
    <t>2020-018 Provision of meals, snacks, and accommodation for the conduct of RPCO 1-PPMIU-PG Coordination Meeting re. Discuss Updates on the Implementation of PRDP in Region 1</t>
  </si>
  <si>
    <t>Construction of Flag Pole and Tables in Provincial Training Center - Candon City</t>
  </si>
  <si>
    <t>SUPPLY AND DELIVERY OF SCHOOL SUPPLIES</t>
  </si>
  <si>
    <t>Meals and Snacks for the Fourth Level Training on 2020 Census of Population and Housing at the Municipality of Victoria</t>
  </si>
  <si>
    <t>20L00057 : Construction of Police Station 12 Building, Marilog, Davao City</t>
  </si>
  <si>
    <t>Meals and Snacks for the Fourth Level Training on 2020 Census of Population and Housing at the Municipalities of Siniloan and Famy</t>
  </si>
  <si>
    <t>"Procurement of Software and equipment to be use as additional resources for laboratory and research activities in various courses of the Straight Bachelors-Master(SBM) and Straight Master- Doctorate</t>
  </si>
  <si>
    <t>20GB0128 - Construction of 2 Units 1 Storey Two (2) Classroom School Building  at  Apong Elementary School, Sibalom, Antique</t>
  </si>
  <si>
    <t>Supply and Delivery of Laboratory Supplies for Development of Seaweed-based Bioplastic</t>
  </si>
  <si>
    <t>Supply / Delivery of Tubeless Tires 27 x 8.5 R14 AT and Tire with Flap &amp; Tube 700-15</t>
  </si>
  <si>
    <t>Rehabilitation of Solar Streetlights, Cory Aquino Boulevard, Camarines Norte</t>
  </si>
  <si>
    <t>Concreting of Brgy. Road</t>
  </si>
  <si>
    <t>Construction of Lavatories in Provincial Training Center - Candon City</t>
  </si>
  <si>
    <t>Tires for CDH-2020-0091</t>
  </si>
  <si>
    <t>Supply and Delivery of Various Medicines at Municipal Health Office, Santa Maria, Bulacan</t>
  </si>
  <si>
    <t>Improvement of Multi-Purpose Covered Court at Sta. Cruz, Santa Maria, Bulacan</t>
  </si>
  <si>
    <t>Supply and Delivery of Global Navigation Satellite System (GNSS) Equipment for Use of Various District Engineering Offices (CY 2020)</t>
  </si>
  <si>
    <t>PR No. 20061132 – Supply and Delivery of Police, Military&amp; Security Equipment for CNPJ Security Supplies Use</t>
  </si>
  <si>
    <t>20GB0129 - Construction of 1 Storey Two (2) Classroom School Building at Tigbaboy PS, Tibiao, Antique</t>
  </si>
  <si>
    <t>Meals and Snacks for the Fourth Level Training on 2020 Census of Population and Housing at the Municipality of Calauan</t>
  </si>
  <si>
    <t>CONSTRUCTION OF TWO STOREY TANOD OUTPOST (PHASE 1)</t>
  </si>
  <si>
    <t>Package 3 Construction of Various Infrastructure Projects</t>
  </si>
  <si>
    <t>20BC0160 re-adv.- Construction of 1 Storey 3 Classroom with CR (Building 1), Abulug Central Elementary School, Abulug, Cagayan</t>
  </si>
  <si>
    <t>20L00142 : Construction of Concrete Bridge – Talomo Bridge 4, Davao City</t>
  </si>
  <si>
    <t>Construction of Drainage Canal at Buenavista, Santa Maria, Bulacan</t>
  </si>
  <si>
    <t>Construction of Drainage Canal at Poblacion, Santa Maria, Bulacan</t>
  </si>
  <si>
    <t>THE WEBINAR SERIES: WHOLE BRAIN LITERACY SELF-MASTERY CAPABILITY BUILDING PROGRAM</t>
  </si>
  <si>
    <t>PROCUREMENT OF CONFERENCE SYSTEM AND ICT EQUIPMENT</t>
  </si>
  <si>
    <t>Request for Quotation of Construction Supplies</t>
  </si>
  <si>
    <t>Construction of Main Canals, LMC, RMC, Lateral A, Lateral B &amp; Appurtenant Structures and Access of Niogpolo and Kianodan CIS (Cluster 3)</t>
  </si>
  <si>
    <t>Construction of Viga Fire Station, Catanduanes</t>
  </si>
  <si>
    <t>Procurement of materials for the Installation of Combat wire at perimeter Fence and electrical supplies for the Lightnings and electricity of offices and tower at tarlac Provinvial Jail</t>
  </si>
  <si>
    <t>Construction of  Irrigation Facilities/Sta. Paz</t>
  </si>
  <si>
    <t>G-2020-390 Supply and Delivery of Emergency Rescue Truck with Rubber Boat, Local Disaster Risk Reduction Management Division</t>
  </si>
  <si>
    <t>Construction of Diversion Dams, Main Canals, Lateral A, Lateral B, Lateral B-1 &amp; Appurtenant Structures &amp; Access Roads of Mapantao, Mapantao-Lubo, Bararay &amp; Tungcopan CIS (Cluster1)</t>
  </si>
  <si>
    <t>Purchase of Two (2) Units Garbage Truck for LGU - Santa Maria, Bulacan</t>
  </si>
  <si>
    <t>G-2020-408 Supply and Delivery of Furniture &amp; Fixtures, City Schools Division</t>
  </si>
  <si>
    <t>BangUN : 9,400	Set	Eating Utensils To be used for Bangun feeding in provinces of Sulu, Basilan, and Tawi-Tawi for 2020</t>
  </si>
  <si>
    <t>Construction of Main Canals, LMC, RMC, Lateral A, Lateral B, Lateral C, Lateral D &amp; Appurtenant Structures of Pangadapun, Gamot, Karigongan and Kilugay CIS (Cluster 2)</t>
  </si>
  <si>
    <t>ROAD CONCRETING OF 2.0m x 0.2m x 72m ROAD</t>
  </si>
  <si>
    <t>ITB No. 2020-07-25 Supply and Delivery of Various Agricultural Supplies</t>
  </si>
  <si>
    <t>Rehabilitation of Municipal Gymnasium</t>
  </si>
  <si>
    <t>Contract ID No. 19K00461 - Construction of Brgy. Bubong Camalig FMR, Brgy. Bubing Camalig, Marantao, Lanao del Sur (RE-ITB)</t>
  </si>
  <si>
    <t>Improvement of Multi-Purpose Covered Court at Guyong, Santa Maria, Bulacan</t>
  </si>
  <si>
    <t>BangUN : 188	SET	COOKING UTENSILS FOR BANGUN FEEDING IN 3 PROVINCES OF ARMM (BASILAN, SULU AND TAWI-TAWI)</t>
  </si>
  <si>
    <t>Learners Packet for Junior High School Students (Learning Modules) of SFMNHS for SY 2020-2021</t>
  </si>
  <si>
    <t>SVP PUR20-06-0523 Procurement of Disposable non-woven isolation gown, etc., DOPS</t>
  </si>
  <si>
    <t>Purchase of Flood Light</t>
  </si>
  <si>
    <t>G-2020-413 Supply and Installation of Modular Partition, City Human Resource And Management Office</t>
  </si>
  <si>
    <t>PROCUREMENT OF IT EQUIPMENT FOR IMPROVEMENT OF NETWORK SECURITY, CONNECTIVITY, AND LAN OF VARIOUS UTLITY SYSTEM AND SPARE EQUIPMENT FOR WIRELESS CONNECTIONS OF ACWD MAIN AND POGO OFFICES</t>
  </si>
  <si>
    <t>S1-OMS20-030 - Supply, Delivery and Test of Handheld On-Line Partial Discharge Tester and Power Quality Analyzer &amp; Energy Meter</t>
  </si>
  <si>
    <t>20BC0214 - Construction of Multi-Purpose Building at Barangay Simayung, Abulug, Cagayan</t>
  </si>
  <si>
    <t>20BC0213 - Construction of Multi-Purpose Building at Barangay Simayung, Abulug, Cagayan</t>
  </si>
  <si>
    <t>School Office Supplies &amp; COVID-19 Response Items</t>
  </si>
  <si>
    <t>SDH-20-0771-B MEDICAL EQUIPMENT</t>
  </si>
  <si>
    <t>SDH-20-0770-B MEDICAL EQUIPMENT</t>
  </si>
  <si>
    <t>SDH-20-0769-B MEDICAL EQUIPMENT</t>
  </si>
  <si>
    <t>20BC0184 re-adv. - Construction of 2 Storey 2 Classroom 2 Laboratory, Abulug National Rural Vocational High School, Abulug, Cagayan</t>
  </si>
  <si>
    <t>G-2020-389 Supply and Delivery of I.T. Equipment, City Schools Division</t>
  </si>
  <si>
    <t>20BC0167 re-adv.- Construction of 1 Storey 3 Classroom with CR, Canayun Elementary School, Canayun, Abulug, Cagayan</t>
  </si>
  <si>
    <t>PROCUREMENT OF ICT EQUIPMENT SUPPLIES</t>
  </si>
  <si>
    <t>PURCHASE OF SUPPLIES FOR THE REPAIR AND MAINTENANCE OF WATER SYSTEM</t>
  </si>
  <si>
    <t>S2-B2020-005 - Supply, Delivery and Installation of Auxiliary Equipment for Power Barge 120</t>
  </si>
  <si>
    <t>Supply of Labor, Materials and Equipment for the Laying including Tapping of New Two (2) Units Water Line of the Hospital to the Provincial Water Works Main Line with Two (2) Inches in Diameter Pipe a</t>
  </si>
  <si>
    <t>Construction of Drainage Canal at San Vicente, Santa Maria, Bulacan</t>
  </si>
  <si>
    <t>Construction of Drainage Canal at Bulac, Santa Maria, Bulacan</t>
  </si>
  <si>
    <t>Meals and Snacks for the Fourth Level Training on 2020 Census of Population and Housing at the Municipalities of Luisiana and Cavinti</t>
  </si>
  <si>
    <t>Construction of Guinobatan Fire Station, Albay</t>
  </si>
  <si>
    <t>Meals and Snacks for the Fourth Level Training on 2020 Census of Population and Housing at the Municipalities of Magdalena and Majayjay</t>
  </si>
  <si>
    <t>Improvement/Rehabilitation of Local Road at Main Road, Mag-asawang Sapa, Santa Maria, Bulacan</t>
  </si>
  <si>
    <t>Construction of Drainage Canal at Mag-asawang Sapa, Santa Maria, Bulacan</t>
  </si>
  <si>
    <t>Meals and Snacks for the Fourth Level Training on 2020 Census of Population and Housing at the Municipalities of Pakil and Pangil</t>
  </si>
  <si>
    <t>20GB0134 - Construction of 4 Units 1 Storey Three (3) Classroom School Building  at  Kawit Integrated School, Culasi, Antique</t>
  </si>
  <si>
    <t>Supply / Delivery of 24 pcs. Cellcards 300</t>
  </si>
  <si>
    <t>1 J.O. Supply of Labor and Materials for Repair of Motor Vehicle with Plate No. XR150/1101-209346</t>
  </si>
  <si>
    <t>20GB0133 - Construction of 2 Units Unique Workshop (9x22.5m) School Building  at  Gen. Leandro Fullon NS, Hamtic, Antique</t>
  </si>
  <si>
    <t>Meals and Snacks for the Fourth Level Training on 2020 Census of Population and Housing at the Municipality of Alaminos</t>
  </si>
  <si>
    <t>Procurement of School and Office Supples</t>
  </si>
  <si>
    <t>Improvement/Rehabilitation of Local Road at J. Barcial St., Mag-asawang Sapa, Santa Maria, Bulacan</t>
  </si>
  <si>
    <t>RFQ / PR 20-06-0296 / PROCUREMENT OF CONSTRUCTION MATERIALS FOR PROPOSED SERVER AND RECORDS ROOM</t>
  </si>
  <si>
    <t>REHABILITATION OF POBLACION WATER WORKS SYSTEM, POBLACION,BALBALAN,KALINGA</t>
  </si>
  <si>
    <t>PRB-Supply and Delivery of Office Supplies and Forms CY 2020</t>
  </si>
  <si>
    <t>PRB-Supply and Delivery of Office Tables &amp; Chairs (Pavilion 2) CY 2019</t>
  </si>
  <si>
    <t>Supply and Delivery of 95 packs Plastic bags 20x30x.002 and 200 boxes Rubber band small for use in the fingerling dispersal distribution regionwide</t>
  </si>
  <si>
    <t>Various Infrastructure Projects in Las Piñas City</t>
  </si>
  <si>
    <t>Consultancy Services</t>
  </si>
  <si>
    <t>Procurement of Ultrasound Machine 4D</t>
  </si>
  <si>
    <t>Floor mounted airconditioner etc. PR-2020-9999-1401</t>
  </si>
  <si>
    <t>Subsurface Exploration/Geotechnical Survey of Proposed FY @2021 Bridges Projects, Bataan 1st District</t>
  </si>
  <si>
    <t>ADH-20-0304-B PURCHASE OF HOUSEKEEPING SUPPLIES</t>
  </si>
  <si>
    <t>Procurement of Radiologic Package</t>
  </si>
  <si>
    <t>SUPPLY AND DELIVERY OF CONSTRUCTION MATERIALS</t>
  </si>
  <si>
    <t>2hp aircon wall mounted split type with installation PR-2020-9999-1635</t>
  </si>
  <si>
    <t>2020-017 Provision of meals, snacks, and accommodation for the conduct of Product Development Training on Processing, Packaging and Labelling of Proponent Groups of I-REAP subprojects</t>
  </si>
  <si>
    <t>Reflectorized paint white PR-2020-1011-0238</t>
  </si>
  <si>
    <t>RAPAIR AND MAINTENANCE OF LGU GARBAGE TRUCK</t>
  </si>
  <si>
    <t>Disinfection Service (2020-445)</t>
  </si>
  <si>
    <t>SUPPLY AND DELIVERY OF INTEGRATED EARLY WARNING SYSTEM PHASE 1</t>
  </si>
  <si>
    <t>Supply and Delivery of Calibration of Laboratory Equipments</t>
  </si>
  <si>
    <t>RFQ No.: 	2020-06-0538 Training on Effective and Efficients conduct of On Demand Application and Validation for Enumerators on September 16-19, 2020 in the Province of Negros Occidental</t>
  </si>
  <si>
    <t>Procurement of Procurement of Rescue Utility Vehicle-Bongo and XRM Motor Vehicle, Barangay San Luis, Gingoog City</t>
  </si>
  <si>
    <t>CONSTRUCTION OF DAIRY FARM FACILITY</t>
  </si>
  <si>
    <t>BDF 2020 - Medical Equipment, CCTV Camera &amp; Rehabilitation of Streetlights, supplies, devices &amp; gen. mdse.</t>
  </si>
  <si>
    <t>Emergency Equipment for Operation Center	(2020-444)</t>
  </si>
  <si>
    <t>3rd Negotiated Procurement-Repair of Trane Chiller</t>
  </si>
  <si>
    <t>INVITATION TO BID FOR REHABILITATION SUPPLIES  02-2020-05R</t>
  </si>
  <si>
    <t>Procurement of Amphibious Excavator for the use in the City of Meycauayan, Bulacan</t>
  </si>
  <si>
    <t>Transportation services (Vehicle rental-Truck) for July 2020</t>
  </si>
  <si>
    <t>RFQ2020-07-011 GAA Procurement of service provider for the sanitation and disinfection services in the HEDC Building twice a month for six (6) months from July to December 2020</t>
  </si>
  <si>
    <t>Procurement of O2 Equipment Lot</t>
  </si>
  <si>
    <t>Supply, installation, and configuration of Video Conference Equipment for DTI’s audio/video conference rooms</t>
  </si>
  <si>
    <t>Procurement of Industrial Arts Tools and Equipment for the use of Elementary, Secondary and Senior High School students in the City of Meycauayan, Bulacan</t>
  </si>
  <si>
    <t>S/D of 12 bottle	Alcohol 500ml	 &amp; 18 others</t>
  </si>
  <si>
    <t>1 LOT INSTALLATION OF GLASS PARTION</t>
  </si>
  <si>
    <t>Raw Materials Development Project (Hiring of Consultant for the Market Study &amp; Product Development of Abaca Waste Pre-cast Concrete)</t>
  </si>
  <si>
    <t>Provision of Materials for the Procurement of Essential Supplies and Personal Protective Equipments (PPE) to combat the spread of COVID-19 in the Division (Negotiated Procurement).</t>
  </si>
  <si>
    <t>Supply &amp; delivery of Vehicle-Motorcycle</t>
  </si>
  <si>
    <t>For Learners w/ Special Educational Needs Lot A</t>
  </si>
  <si>
    <t>Construction of Pasacao Fire Station, Camarines Sur</t>
  </si>
  <si>
    <t>Supply, Delivery and Installation of 1 lot Internet Subscription of Bukidnon State University</t>
  </si>
  <si>
    <t>STRATEGIC PLANNING SEMINAR</t>
  </si>
  <si>
    <t>Delivery and supply of Electrical Lighting and Convenience Outlet</t>
  </si>
  <si>
    <t>Raw Materials Development Project (Bioplastic)</t>
  </si>
  <si>
    <t>Construction of Stage</t>
  </si>
  <si>
    <t>PROCUREMENT OF MEDICAL SUPPLIES &amp; PARAPHERNALIA</t>
  </si>
  <si>
    <t>Small Value Procurement - recertification and annual surveillance for ISO 9001:2015</t>
  </si>
  <si>
    <t>purchase and installation of roll up blinds</t>
  </si>
  <si>
    <t>Rehabilitation of Multi-Purpose Hall at Bgy. Villa Paz, Jovellar, Albay</t>
  </si>
  <si>
    <t>Rehabilitation of Multi-Purpose Hall at Bgy. Maogog, Jovellar, Albay</t>
  </si>
  <si>
    <t>procurement and installation of closed circuit television (cctv)</t>
  </si>
  <si>
    <t>Construction of Health Center (Phase 5) at Bgy. Florista, Jovellar, Albay</t>
  </si>
  <si>
    <t>Rehabilitation of Multi-Purpose Hall at Bgy. Estrella, Jovellar, Albay</t>
  </si>
  <si>
    <t>Rehabilitation of Multi-Purpose Hall at Bgy. San Vicente, Jovellar, Albay</t>
  </si>
  <si>
    <t>Project: Procurement of Hardware Materials used for Construction of Slaughterhouse @ Brgy. Honrado Socorro, SDN</t>
  </si>
  <si>
    <t>Construction of Pathway Phase II at Sitio Monreal East, Bgy. Del  Rosario, Jovellar, Albay</t>
  </si>
  <si>
    <t>ITB-CONSTRUCTION OF BARANGAY STREET LIGHTS</t>
  </si>
  <si>
    <t>RFQ-2020-182 Supply and Delivery for meals &amp; snacks for enrollment use.</t>
  </si>
  <si>
    <t>Rehabilitation of Multi-Purpose Hall at Bgy. Florista, Jovellar, Albay</t>
  </si>
  <si>
    <t>Rehabilitation of Health Center at Bgy. Calzada, Jovellar, Albay</t>
  </si>
  <si>
    <t>Construction of Pathway Phase II at Sitio Monreal West, Bgy. Del Rosario, Jovellar, Albay</t>
  </si>
  <si>
    <t>PRB-Supply and Delivery of Psychological Testing Forms &amp; Booklets (Lot) CY 2019</t>
  </si>
  <si>
    <t>Construction of Pathway at Bgy. Quitinday, Jovellar, Albay</t>
  </si>
  <si>
    <t>Supply and Delivery of Orthopedic Implants</t>
  </si>
  <si>
    <t>REHABILITATION OF LINED CANAL AT PUROK 1, BARANGAY SAN CARLOS, LIPA CITY, BATANGAS</t>
  </si>
  <si>
    <t>POWDERED MILK AND PACKAGING MATERIALS</t>
  </si>
  <si>
    <t>Provision of Group Handwashing Facility with Flat Roofing , counter and tile finish at bldg.2</t>
  </si>
  <si>
    <t>Procurement of Printers for Modules</t>
  </si>
  <si>
    <t>Construction of Pathway leading to Multi-Purpose Hall at Bgy. Bagacay, Jovellar, Albay</t>
  </si>
  <si>
    <t>Printing and Sorting of Learning Packets</t>
  </si>
  <si>
    <t>Repair of Handwashing and Drinking Facility at Bldg. 1</t>
  </si>
  <si>
    <t>Construction of Pathway at Purok 5, Bgy. Bagacay, Jovellar, Albay</t>
  </si>
  <si>
    <t>SHS Provision of Printer For Modules</t>
  </si>
  <si>
    <t>SHS Provision of Office Supplies</t>
  </si>
  <si>
    <t>Construction of Pathway at Bgy. Salvacion, Jovellar, Albay</t>
  </si>
  <si>
    <t>Construction of Footbridge at Purok 6, Bgy. Bautista, Jovellar, Albay</t>
  </si>
  <si>
    <t>Estimation of the Effect of the COVID-19 Pandemic on Preventable Maternal Deaths and Unplanned Pregnancy thru a Research Institution Duration July to September 2020 (See attached Term of Reference TOR</t>
  </si>
  <si>
    <t>Construction of Footbridge at Purok 4, Bgy. Bautista, Jovellar, Albay</t>
  </si>
  <si>
    <t>Construction of Pathway at Bgy. Bautista, Jovellar, Albay</t>
  </si>
  <si>
    <t>Technical Consultant for the Documentation and Development of the Manual of Operation for the Registry of Barangay Inhabitants and Migrants (RBIM)</t>
  </si>
  <si>
    <t>Rehabilitation of Day Care Center at Bgy. Mamlad, Jovellar, Albay</t>
  </si>
  <si>
    <t>Construction of Pathway at Bgy. Mamlad, Jovellar, Albay</t>
  </si>
  <si>
    <t>Construction of Pathway leading to San Vicente Elementary School, Bgy. San Vicente, Jovellar, Albay</t>
  </si>
  <si>
    <t>Construction of Pathway and Footbridge leading to Sinagaran Elementary School, Bgy. Sinagaran, Jovellar, Albay</t>
  </si>
  <si>
    <t>Purchase of medical supplies for use in the disinfection and protection amidst COVID pandemic to be utilized at DPWH Quezon II DEO, Lucena City</t>
  </si>
  <si>
    <t>Procurement of Tarpaulin used for Construction of Brgy. Road @ P-1 Brgy. Dona Helene, Socorro, SDN</t>
  </si>
  <si>
    <t>SUPPLY AND DELIVERY OF ELECTRICAL SUPPLIES</t>
  </si>
  <si>
    <t>Procurement of Hardware Materials used for Construction of Brgy. Road @ P-1 Brgy. Dona Helene, Socorro, SDN</t>
  </si>
  <si>
    <t>Procurement of Lumber &amp; Aggregates used for Construction of Brgy. Road @ P-1 Brgy. Dona Helene, Socorro, SDN</t>
  </si>
  <si>
    <t>Procurement of Hardware Materials used for Construction of P-1 Brgy. Street @ Brgy. Del Pilar, Socorro, SDN</t>
  </si>
  <si>
    <t>2020-06-0129 - PROCUREMENT OF VEHICLES FOR UE IN THE FIELD OPERATION OF MAINTENANCE SECTION WITHIN THE JURISDICTION OF DPWH BUKIDNON 3RD DISTRICT ENGINEERING OFFICE, DICKLUM, MANOLO FORTICH, BUKIDNON</t>
  </si>
  <si>
    <t>Procurement of Lumber &amp; Aggregates used for Construction of P-1 Brgy. Street @ Brgy. Del Pilar, Socorro, SDN</t>
  </si>
  <si>
    <t>CONCRETING OF BARANGAY ROADS AT SITIO DUHAT BACAO, TAYSAN BATANGAS</t>
  </si>
  <si>
    <t>CLUSTER 2-2020-002(CONSTRUCTION OF MULTIPURPOSE BUILDING (PHASE 2), IMPROVEMENT OF MADDAKIT FMR &amp; IMPROVEMENT OF LABAY-ASILAP FMR</t>
  </si>
  <si>
    <t>Procurement of Tarpaulin used for Construction of P-1 Brgy. Street @ Brgy. Del Pilar, Socorro, SDN</t>
  </si>
  <si>
    <t>Procurement of Billboard used for Construction of Slaughterhouse @ Brgy. Honrado Socorro, SDN</t>
  </si>
  <si>
    <t>JANITORIAL SUPPLIES</t>
  </si>
  <si>
    <t>CONCRETING OF ROAD AT SITIO LOURDES</t>
  </si>
  <si>
    <t>RFQ FOR OFFICE EQUIPMENT FOR AGRI-OFFICE</t>
  </si>
  <si>
    <t>Road Concreting</t>
  </si>
  <si>
    <t>PURCHASE OF 1 UNIT DESKTOP COMPUTER</t>
  </si>
  <si>
    <t>20DG0050: 2.	Repair and Maintenance of Drainage System along Tagaytay-Taal Lake Road, K0057+795 – K0057+724 and K0057+657 – K0057+552 (Phase II); Project I.D No. 20DG0050</t>
  </si>
  <si>
    <t>1 lot Hauling of nine (9) units 100KVA Wagner Distribution Transformers</t>
  </si>
  <si>
    <t>Provision of Catering Services for the conduct of Seminar on Organic Vegetable Production (7 Batches)</t>
  </si>
  <si>
    <t>20DG0049: Repair/Maintenance of Bureau of Fire Protection Building at Mendez, Cavite; Project I.D No. 20DG0049</t>
  </si>
  <si>
    <t>Concreting of Walkway</t>
  </si>
  <si>
    <t>Concreting of road</t>
  </si>
  <si>
    <t>Installation of Streetlights</t>
  </si>
  <si>
    <t>Purchase of GRATOUR TM MPV</t>
  </si>
  <si>
    <t>2020-07-156</t>
  </si>
  <si>
    <t>SUPPLY &amp; DELIVERY OF HOSPITAL/MEDICAL EQUIPMENT</t>
  </si>
  <si>
    <t>Procurement of Office Supplies for Provincial Governors Office.</t>
  </si>
  <si>
    <t>Provision of Catering Services for the conduct of Extension Initiatives focused in marginalized groups/special concern(Training on OA for OA Organization) Mushroom Production</t>
  </si>
  <si>
    <t>Purchase of 90 cans Lysol Disinfectant</t>
  </si>
  <si>
    <t>Repair and Rehabilitation of SDO Pathwalk (Left Wing)</t>
  </si>
  <si>
    <t>Repainting of SDO Conference Room</t>
  </si>
  <si>
    <t>For City Accountant Use.</t>
  </si>
  <si>
    <t>Supply of Labor and Materials in the Procurement of 150 pieces PPE Long Sleeve w/ Hood</t>
  </si>
  <si>
    <t>Procurement of 396 sets of Wooden Classroom Chairs with Tablet for CEAFA Main I and II for use of Freshmen Engineering for AY 2019-2020</t>
  </si>
  <si>
    <t>SUPPLY AND DELIVERY OF  COMPUTER DESKTOP FOR DSWD OFFICE</t>
  </si>
  <si>
    <t>PR NO. 2020-06-157 REPAIR/MAINTENANCE OF DEFECTIVE SPARE PARTS OF MITSUBISHI ADVENTURE SFJ-376</t>
  </si>
  <si>
    <t>SUPPLY/DELIVERY OF CONSTRUCTION MATERIALS FOR REPAIR/REHABILITATION OF CHECKGATE # 2 &amp; CANALIZATION WORKS OF YABO FRANCIA CIS, Milaor, Camarines Sur (REBID 2)</t>
  </si>
  <si>
    <t>FRT-20-0275-B - LABORATORY SUPPLIES</t>
  </si>
  <si>
    <t>2020 18th Public Bidding: Procurement of Laboratory Supplies &amp; Respiratory Therapy Supplies for 2nd Semester Consumption</t>
  </si>
  <si>
    <t>20GSDG0018: 1.	Furnishing Labor for the Repair and Maintenance of Damaged In-Ground Survey Site at Tanza-Trece Matires City-Indang Road (SV41069LZ_AC km. 52+000)</t>
  </si>
  <si>
    <t>procurement of spape parts</t>
  </si>
  <si>
    <t>Waste Water Analysis as per PR # 2020-06-1417</t>
  </si>
  <si>
    <t>SUPPLY &amp; DELIVERY OF HARDWARE SUPPLIES &amp; EQUIPMENT</t>
  </si>
  <si>
    <t>Educational and Office Supply</t>
  </si>
  <si>
    <t>SUPPLY &amp; DELIVERY OF 200 PCS. WASHABLE FACEMASK PER MUNICIPALITIES FOR PRODUCTION OF IEC MATERIALS ON STI-HIV (SEXUALLY TRANSMITTED INFECTION-HUMAN IMMUNODEFICIENCY VIRUS) -PGO</t>
  </si>
  <si>
    <t>RFPQ - CONCRETING OF HITOOG BRGY. ROAD (hitoog)</t>
  </si>
  <si>
    <t>Office Equipment Supplies and consumables</t>
  </si>
  <si>
    <t>200 pcs RSB, 10mm x 6m etc...</t>
  </si>
  <si>
    <t>Nephrostomy catheter for percutaneous</t>
  </si>
  <si>
    <t>SUPPLY AND DELIVERY OF CONSTRUCTION MATERIALS FOR THE CONSTRUCTION AND REPAIR OF IA TRAINING CENTER AND STORAGE AT PULA BANSUD RIS</t>
  </si>
  <si>
    <t>Road Concreting at Barangay Mahongkog,Magpet,Cotabato</t>
  </si>
  <si>
    <t>Supply and Delivery of Furnitures and Fixtures to be used in the Operation of Minisipyo at Distrct 7, Naujan, Oriental Mindoro</t>
  </si>
  <si>
    <t>Supply and Delivery of 15 Pieces of New SEC Flag</t>
  </si>
  <si>
    <t>Security Surveilance System</t>
  </si>
  <si>
    <t>A.) Construction of Road w/ Drainage at Purok 5, Brgy. 39-D    B.) Construction of Pathways w/ Drainage at Purok 5, Brgy. 39-D</t>
  </si>
  <si>
    <t>Supply and Delivery of Monoblock Chairs for BM Reyes</t>
  </si>
  <si>
    <t>6 length Angle Bar 2”x2”x20’x1/4” thick, etc. - 003</t>
  </si>
  <si>
    <t>Logistics Services (Hauling and Trucking) Door to Port</t>
  </si>
  <si>
    <t>For Youth Home Admissions/residents (Transfered at White House).</t>
  </si>
  <si>
    <t>Cell cards and Supplies for Conduct of Pilot Testing of Blended/Distance Learning Delivery</t>
  </si>
  <si>
    <t>Installation of Waiting Shed (2 Units)</t>
  </si>
  <si>
    <t>Supply and Delivery of Grocery Item for Provincial Governor's Office</t>
  </si>
  <si>
    <t>GOGGLES, GOWN ETC. FOR CSR</t>
  </si>
  <si>
    <t>ITB - CONSTRUCTION OF MULTI-PURPOSE BLDG. PHASE IX (Continuation of Item IV of Whole POW) -tigbao</t>
  </si>
  <si>
    <t>20CN0155 - Construction of Multi-Purpose Building, Brgy. Dibaraybay, Dinalungan, Aurora</t>
  </si>
  <si>
    <t>20CN0156 - Retrofitting/Strengthening of Permanent Bridge – Aguang Br. (B03015LZ) along Baler – Casiguran Rd (Baler – Dinadiawan)</t>
  </si>
  <si>
    <t>Purchase of Mini-Floor Mounted Aorcondition for the Office of the Municipal Mayor</t>
  </si>
  <si>
    <t>SUPPLY &amp; DELIVERY OF MEDICAL SUPPLIES</t>
  </si>
  <si>
    <t>Acquisition of Laptop (for Engineering Design)</t>
  </si>
  <si>
    <t>Supply / Delivery of 1 unit Motorcycle (Sports Type)</t>
  </si>
  <si>
    <t>50 J.O. Supply of Labor and Materials for book binding (hardbound) of Provincial Development &amp; Physical Framework Plan (PFPFP)</t>
  </si>
  <si>
    <t>Supply and Delivery of Emergency Medical Kit for BM Reyes</t>
  </si>
  <si>
    <t>Supply / Delivery of 3,813.90 liters Diesel &amp; 215 liters Gasoline Premium</t>
  </si>
  <si>
    <t>REQUEST FOR QUOTATION FOR USE OF SCIMO PROJECTS (KORONADAL PROPER, MAGPOL CIS, SILWAY 7 CIS, GLAMANG CIS, LUAYAN CIS, BOLO AND LAMBUSONG CIS</t>
  </si>
  <si>
    <t>RFQ (Disposable Grounding Pad)</t>
  </si>
  <si>
    <t>DOUBLE LUMEN TUBE FOR CSR</t>
  </si>
  <si>
    <t>Procurement of Construction Materials for the Construction of Multi-Purpose Building Toilet (4 unit Rooms)</t>
  </si>
  <si>
    <t>Procurement of High Volume  Low Speed Fan</t>
  </si>
  <si>
    <t>Supply &amp; delivery of Office Supplies for use at the CMO-Department of Public Safety for 1st, 2nd &amp; 3rd quarter, Laoag City</t>
  </si>
  <si>
    <t>PR 20-05-0070 Supply and Delivery of Common Construction Materials Supplies, Maintenance Section, DPWH-Bohol III DEO</t>
  </si>
  <si>
    <t>SUPPLIES AND MATERIALS FOR COVID 19 OF SDO ISABELA FOR JULY 2020 TO DECEMBER 2020</t>
  </si>
  <si>
    <t>Invitation to Bid for Contract No. 4AQ-LPA-20-019C</t>
  </si>
  <si>
    <t>Acquisition of Tubeless Tire</t>
  </si>
  <si>
    <t>IT Parts and Accessories</t>
  </si>
  <si>
    <t>Supply / Delivery of the Fisihing Gear Nylon, C.W. Nail, Bolo (Sundang) and Safety Hand Gloves</t>
  </si>
  <si>
    <t>Procurement of Materials for Installation of the  Streetlights (16 Units)</t>
  </si>
  <si>
    <t>SUPPLY AND DELIVERY OF LAPTOP COMPUTERS</t>
  </si>
  <si>
    <t>SCHOOL AND OFFICE SUPPLIES, FOODS SUPPLIES AND CONSTRUCTION MATERIALS</t>
  </si>
  <si>
    <t>Lead Gown with Thyroid 0.25mmPb</t>
  </si>
  <si>
    <t>DRUGS AND MEDICINES(RHU)</t>
  </si>
  <si>
    <t>SUPPLY AND DELIVERY OF WOODEN ARMCHAIRS</t>
  </si>
  <si>
    <t>20GPJ0001:PR No. 2020-02-001 Procurement of Security Services for Day and Night Shift of DPWH-Ifugao Second District Engineering Office Main Office,Potia Sub-Office &amp; Banaue Satellite Office/Resthouse</t>
  </si>
  <si>
    <t>Supply and Delivery of 540 Liters Hand Cleaner</t>
  </si>
  <si>
    <t>Supply and Delivery of Meals and Snacks, Office and ICT supplies for the Conduct of Webinar Writeshop of SDSSU Tandag Campus</t>
  </si>
  <si>
    <t>SUPPLY &amp; DELIVERY OF COMPUTER SET &amp; ACCESSORIES</t>
  </si>
  <si>
    <t>SUPPLY AND DELIVERY OF MEDICAL/SURGICAL SUPPLIES</t>
  </si>
  <si>
    <t>SUPPLY AND DELIVERY OF SUPPLIES FOR ICTC</t>
  </si>
  <si>
    <t>Supply, Delivery and Installation of Nine (9) Airconditioning Units</t>
  </si>
  <si>
    <t>CONSTRUCTION/IMPROVEMENT OF GRAND TERMINAL</t>
  </si>
  <si>
    <t>Malaybalay Integrated Survey System (MISS)-Poverty Profiling 2020 Enumerator's Training (46 Barangays).</t>
  </si>
  <si>
    <t>OTHER STRUCTURES(EXTENSION OF TEACHER OFFICE</t>
  </si>
  <si>
    <t>ICT Materials for use of Pantawid Pamilya</t>
  </si>
  <si>
    <t>Procurement of Petroleum, Oil and Lubricants for Collection and Hauling of Solid Waste  - MENRO</t>
  </si>
  <si>
    <t>Procurement of Materials for Installation of the Streetlights (14  units)</t>
  </si>
  <si>
    <t>USE FOR MAYOR'S  OFFICE</t>
  </si>
  <si>
    <t>Supply, Delivery and Installatin of Aircondition Unit for the Data Center at the MIS and ROTC Office.</t>
  </si>
  <si>
    <t>Request for Quotation (Refurbishment of Leased Property at Sta. Maria Bulacan)</t>
  </si>
  <si>
    <t>Supply / Delivery of Fusing Frame: Hot Roller, Stripper Pawls, Stripper Pawls Spring, Drum, Developer, Cleaning Blade and Slider Assy</t>
  </si>
  <si>
    <t>REPAIR AND MAINTENANCE OF VEHICLE (MMO)</t>
  </si>
  <si>
    <t>Procurement of Unmanned Aerial Vehicle (Drone) for Official Use of Mount Kanlaon Natural Park Personnel</t>
  </si>
  <si>
    <t>Procurement of Aircondition One (1) unit 1.5 HP Split Type and Two (2) units 3TR Mounted</t>
  </si>
  <si>
    <t>1  lot    SUPPLY AND INSTALLATION OF COMBI BLINDS</t>
  </si>
  <si>
    <t>Supply and Delivery of Various Laboratory Supplies (PR#20-06-0825)</t>
  </si>
  <si>
    <t>PURCHASE OF HARDWARE MATERIALS</t>
  </si>
  <si>
    <t>FOR  OFFICE SUPPLIES</t>
  </si>
  <si>
    <t>1 J.O. Supply of Materials and Labor for the Repair of Toyota Pick-Up (SDD-209)</t>
  </si>
  <si>
    <t>Supply and Delivery of ICT Equipment to be used in preparation of various reports and participation in official meetings organized via online platform.</t>
  </si>
  <si>
    <t>4 Set Computer</t>
  </si>
  <si>
    <t>INFORMATION TECHNOLOGY PARTS &amp; ACCESORIES</t>
  </si>
  <si>
    <t>Installation of Street Lights (20 UNITS)</t>
  </si>
  <si>
    <t>DES -SANDWICH BAG &amp; 1 OTHER (3RD POSTING)</t>
  </si>
  <si>
    <t>Improvement of Road at Puro</t>
  </si>
  <si>
    <t>Supply and Delivery of Materials for Improvement of Waterworks System (Brgy. Bagtingon)</t>
  </si>
  <si>
    <t>procurement of electrical supplies</t>
  </si>
  <si>
    <t>PRINTING OF LEARNING KITS OF KINDER, GRADE 1 TO 6</t>
  </si>
  <si>
    <t>PROC-2000103-INK EPSON</t>
  </si>
  <si>
    <t>One (1) Lot Calibration of Various Medical Equipment, as per BSP Specifications and Terms of Reference</t>
  </si>
  <si>
    <t>Purchase of Purified Drinking Water for Vice Mayor's Office, SP &amp; Library Office - SPO</t>
  </si>
  <si>
    <t>Radio Communication</t>
  </si>
  <si>
    <t>Supply and Delivery of Steel Cabinet for use of CPLRC/ Library</t>
  </si>
  <si>
    <t>NEGOTIATED PROCUREMENT FOR PRINTING OF DEPED FORMS AND TARPAULIN</t>
  </si>
  <si>
    <t>PATHO -DISTILLED WATER REFILL (1ST POSTING)</t>
  </si>
  <si>
    <t>Request for Quotation (Refurbishment of Portion of Ground Floor at Boac, Marinduque)</t>
  </si>
  <si>
    <t>127 bags Portland Cement 40 kgs and other items for rehabilitation/Improvement of Office and Women Center and other facilities of CSWDO (Phase I) at Barangay Poblacion 1.</t>
  </si>
  <si>
    <t>1. Other Supplies/PCC 2. Office Supplies &amp; Other Supplies/Assessor's Office 3. Office Supplies &amp; Other Supplies/Agriculture's Office</t>
  </si>
  <si>
    <t>Supply and Delivery of Three (3) units Smart Television for Official Use of Mount Kanlaon Natural Park (MKNP) Personnel</t>
  </si>
  <si>
    <t>353 box Ascorbic 500mg tablet 100’s and other items for CHO Pharmacy Use.</t>
  </si>
  <si>
    <t>Purchase of One (1) Unit 125 Dual Sport Motorcycle for Barangay Osukan:</t>
  </si>
  <si>
    <t>Purchase of 1 unit assembled desktop unit,1 unit brand new desktop</t>
  </si>
  <si>
    <t>Quotation No.20-07-0401 - Procurement of Medical supplies &amp; PPE</t>
  </si>
  <si>
    <t>Purchase of Various Materials for the Repair and Maintenance of Service Vehicle Assigned in the Provincial Veterinary  Office</t>
  </si>
  <si>
    <t>2 Set Camera</t>
  </si>
  <si>
    <t>Supply and Delivery of Supplies for Registrar's Office - Mainit Campus</t>
  </si>
  <si>
    <t>Supply / Delivery of 1 pc. Battery 12volts 13 plates (3SM)</t>
  </si>
  <si>
    <t>Supply and Delivery of Materials to be given as Assistance for the Installation of Streetlights at  Barangay Arangin, Naujan, Oriental Mindoro under CBMS Program</t>
  </si>
  <si>
    <t>Supply/Delivery of Drugs and Medicines</t>
  </si>
  <si>
    <t>UPLB-RQ-7-137-20-RES SUPPLY AND DELIVERY OF FOOD STUFF FOR BIOTECH</t>
  </si>
  <si>
    <t>Materials for the Concreting of Farm to Market Road, Brgy. Tupol Oeste, Cabatuan, Iloilo</t>
  </si>
  <si>
    <t>SUPPLY AND DELIVERY OF VARIOUS CALIBRATION STANDARDS UNDER EMB-ERLSD-ENVIRONMENTAL LABORATORY SERVICES SECTION (ELSS) ORGANICS AND ORGANICS LABORATORY UNIT</t>
  </si>
  <si>
    <t>Supply and Delivery of Ambulance (FB BODY WITH DUAL AIRCON) at Brgy. San Antonio I, San Pablo City.</t>
  </si>
  <si>
    <t>Supply/Delivery of Janitorial Supplies</t>
  </si>
  <si>
    <t>PROCUREMENT OF INFORMATION MANAGEMENT SYSTEM</t>
  </si>
  <si>
    <t>PROCUREMENT OF CONSTRUCTION OF ONE (1) PRODUCTION WELL WITH 150M DEPTH X 200mmØ CASING</t>
  </si>
  <si>
    <t>1 Unit Photocopier</t>
  </si>
  <si>
    <t>Catering Service</t>
  </si>
  <si>
    <t>Materials for the Concreting of Farm to Market Road, Brgy. Janipaan Central, Cabatuan, Iloilo</t>
  </si>
  <si>
    <t>Catering Services</t>
  </si>
  <si>
    <t>EBMS -PM &amp; CALIBRATION OF ANESTHESIA MACHINE W/ VAPORIZER (2ND POSTING)</t>
  </si>
  <si>
    <t>Replacement and Repair of Compressor</t>
  </si>
  <si>
    <t>Procurement of Water Treatment Supplies</t>
  </si>
  <si>
    <t>PROCUREMENT OF CAN GOODS FOR EMERGENCY &amp; STOCKPILE</t>
  </si>
  <si>
    <t>Supply and Delivery of Medicine to MHO  Lavezares, N. Samar</t>
  </si>
  <si>
    <t>Techno Kit on Rice Production for Patria IA at Patria, Pandan, Antique</t>
  </si>
  <si>
    <t>SUPPLY AND INSTALLATION OF FORTY EIGHT (48) PCS FINE BUBBLE AERATION DIFFUSER</t>
  </si>
  <si>
    <t>TIRE SET FOR TOYOTA HILUX AND FORD RANGER</t>
  </si>
  <si>
    <t>Catering Services for the conduct of Training Workshop on Enhancement of Manual of Operation and Strategic Plan for Pantabangan-Carranglan Watershed Forest Reserve(PCWFR) on July 15-17, 2020</t>
  </si>
  <si>
    <t>Procurement of Laboratory Supplies for Marihatag District Hospital Laboratory.</t>
  </si>
  <si>
    <t>PURCHASE OF LIGHTING MATERIALS</t>
  </si>
  <si>
    <t>Materials for the installation of protective plastic with wooden frame.</t>
  </si>
  <si>
    <t>Procurement of materials and rental of equipment for Construction of Covered Court</t>
  </si>
  <si>
    <t>Quotation No. 20-06-0390-OFFICE SUPPLIES FOR THE USE OF ACCOUNTING SECTION</t>
  </si>
  <si>
    <t>OFFICE SUPPLIES AND CONSUMABLES</t>
  </si>
  <si>
    <t>LABOR FOR THE COVERING CANAL IN FRONT OF BARANGAY CHAPEL, CONCRETING OF ACCESS ROAD AT P-1, CONCRETING OF CATWALK W/ RIPRAP AT 4</t>
  </si>
  <si>
    <t>PURCHASE OF MEDICINES</t>
  </si>
  <si>
    <t>INVITATION TO BID FOR PURCHASE OF RESCUE VEHICLE</t>
  </si>
  <si>
    <t>Procurement of Office Equipment for Mayor's Office, Sapang Dalaga, Misamis Occidental</t>
  </si>
  <si>
    <t>PROCUREMENT OF DPWH SECURITY SERVICES REQUIREMENT OF SIX (6) SECURITY PERSONNEL FOR DEPLOYMENT TO DPWH – BULACAN 1ST DISTRICT ENGINEERING OFFICE TIKAY, CITY OF MALOLOS, BULACAN</t>
  </si>
  <si>
    <t>PURCHASE OF ELECTRICAL MATERIALS</t>
  </si>
  <si>
    <t>Materials for the Concreting of Farm to Market Road, Brgy. Cadoldolan, Cabatuan, Iloilo</t>
  </si>
  <si>
    <t>Quotation No.20-07-0400- Food and Catering Service</t>
  </si>
  <si>
    <t>Procurement of MEDALS</t>
  </si>
  <si>
    <t>Materials for the installation of CHRMD partition wall, executive building, new city hall, Guinobatan, Calapan City</t>
  </si>
  <si>
    <t>Purchase of various ink for Canon IPF 60</t>
  </si>
  <si>
    <t>Video Conferencing Devices, Interactive Touch Screen Display etc.</t>
  </si>
  <si>
    <t>Materials for the construction of CHUSD warehouse</t>
  </si>
  <si>
    <t>Procurement of supplies to be used in modular learning #1.doc</t>
  </si>
  <si>
    <t>Cost of acquisition of PPEs to be used by medical workers</t>
  </si>
  <si>
    <t>NEGOTIATED PROCUREMENT FOR HYGIENE KIT</t>
  </si>
  <si>
    <t>SUPPLY AND DELIVERY OF FURNITURE AND FIXTURES EQUIPMENT</t>
  </si>
  <si>
    <t>Procurement of Load Cards</t>
  </si>
  <si>
    <t>NEGOTIATED PROCUREMENT FOR REFILL OF FIRE EXTINGUISHER</t>
  </si>
  <si>
    <t>MATERIALS FOR THE CONCRETING OF ROAD PHASE 1 &amp; 2</t>
  </si>
  <si>
    <t>Supply &amp; Delivery of 1 unit Transmission JAck (1.5 ton) &amp; other item, OCPS - for Motorpool use.</t>
  </si>
  <si>
    <t>Concreting of Local Access Road, Bonboneg 2nd, Brgy. Sinigpit, Paniqui, Tarlac</t>
  </si>
  <si>
    <t>Supply &amp; Delivery of Various HP Toner Cartridges (for the UPM-OC)</t>
  </si>
  <si>
    <t>PROCUREMENT AND INSTALLATION OF SUBMERSIBLE PUMP AND MOTOR AT QUIBUAR I PRODUCTION PLANT</t>
  </si>
  <si>
    <t>INSTALLATION OF 16 UNITS SOLAR STREET LIGHT AT BARANGAY 54-M, SAN ROQUE, CAVITE CITY</t>
  </si>
  <si>
    <t>Supply, Delivery, Installation and Commissioning of 1 set of Chlorine Gas Leak Detector and Neutralizing System for Macaguiling 1 Pumping Station</t>
  </si>
  <si>
    <t>Contruction of Caluya shoreline/seawall protection pahse I at Brgy. Caluya, Sapang Dalaga, Mis. Occ.</t>
  </si>
  <si>
    <t>Construction of Two (2) Storey Multi-Purpose Building, Brgy. Cabayaoasan, Paniqui, Tarlac</t>
  </si>
  <si>
    <t>Supply and Delivery of Labor and Materials for the Construction of MPAC MK-III Berthing Facility</t>
  </si>
  <si>
    <t>RFQ-2020-180 Procurement of Supply &amp; Delivery of Automotive Equipment for TESDA Use</t>
  </si>
  <si>
    <t>20GGB0013 - Procurement of IT Consumables for use in the Planning and Design  Section, DPWH, San Jose, Antique</t>
  </si>
  <si>
    <t>Supply/Delivery of Medical Supplies</t>
  </si>
  <si>
    <t>Purchase and delivery of washable face mask to be distributed to city residents</t>
  </si>
  <si>
    <t>PURCHASE AND DELIVERY OF 1 UNIT 6- WHEELER GARBAGE COMPACT TRUCK</t>
  </si>
  <si>
    <t>Materials for the rehabilitation of SP Session Hall</t>
  </si>
  <si>
    <t>Maintenance of Mun. Fish Port and Calabogo Landing Center - FISHPORT</t>
  </si>
  <si>
    <t>CONSTRUCTION OF ADVENTURE PARK PHASE V</t>
  </si>
  <si>
    <t>PAINTING WORKS OF FARMERS MULTI-PURPOSE HALL</t>
  </si>
  <si>
    <t>ROAD CONCRETING AT CIUDAD DE ESPERANZA PHASE 3</t>
  </si>
  <si>
    <t>GRINDING MACHINE - MSWMO</t>
  </si>
  <si>
    <t>Procurement of Essential Items for the Webinar on Health and Wellness Protocols in response to COVID-19 Pandemic</t>
  </si>
  <si>
    <t>SUPPLY AND DELIVERY OF EXECUTIVE CHAIR</t>
  </si>
  <si>
    <t>DPWH-MS-2020-05-020 -Act. 65x- Bridge Repainting along Maingaran Bridge 1, Maingaran Bridge 2, Usab Bridge, Asid Bridge, Tugbo Bridge, Cancahorao Bridge, Lipata Bridge, Sagawsawan Bridge, Mabato-bato</t>
  </si>
  <si>
    <t>RFQ-2020-179 Procurement of Supply &amp; Delivery of Automotive Equipment for TESDA use.</t>
  </si>
  <si>
    <t>Quotation No.20-07-0399	- Food and Catering Service July 13, 2020 , Zamboanga del norte</t>
  </si>
  <si>
    <t>1 set 3D Ground Scanner Pro</t>
  </si>
  <si>
    <t>Supply &amp; Delivery of Agricultural Supplies for the use in Municipal Nursery</t>
  </si>
  <si>
    <t>CONCRETING OF BARANGAY STREET, Brgy. Malogo, Can-avid Eastern Samar</t>
  </si>
  <si>
    <t>SUPPLY AND DELIVERY OF SAMPLE GRINDER MILL</t>
  </si>
  <si>
    <t>ECG CABLE, ECG CHEST ELECTRODE BULB ETC. FOR ER</t>
  </si>
  <si>
    <t>UPGRADING/IMPROVEMENT OF ROAD, CALBAYAN, CALBAYAN</t>
  </si>
  <si>
    <t>RQF-2020-176 Supply &amp; Delivery of  Vehicle accessories for TESDA use.</t>
  </si>
  <si>
    <t>PURCHASE OF OTHER SUPPLIES</t>
  </si>
  <si>
    <t>NEGOTIATED PROCUREMENT FOR MATERIALS FOR REPAIR AND INSTALLATION OF WATER STORAGE</t>
  </si>
  <si>
    <t>PROCUREMENT AND DELIVERY OF DRUGS AND MEDICINES</t>
  </si>
  <si>
    <t>Supply/Delivery of Electric Sub-meter for Atrium Area at the Palo Public Market, Palo, Leyte.</t>
  </si>
  <si>
    <t>Procurement of Catering Services</t>
  </si>
  <si>
    <t>PR#20-07-0316 Megaphone for information dissemination of PNP City of Sto. Tomas, Batangas</t>
  </si>
  <si>
    <t>SUPPLY AND DELIVERY OF ONE (1) UNIT 4" MECHANICAL FLOW METER FLANGE TYPE</t>
  </si>
  <si>
    <t>Rpr &amp; Maint Motor Vehicles (52,520.00) OESPA</t>
  </si>
  <si>
    <t>Supply and delivery of 600 tanks of Medical Oxygen, standard refill for use in Western Leyte Provincial Hospital. ABC PHP456,000.00</t>
  </si>
  <si>
    <t>KASALAN NG BAYAN 2020</t>
  </si>
  <si>
    <t>RFQ-2020-171 Supply &amp; Delivery of  Printer / copier for TESDA use</t>
  </si>
  <si>
    <t>Retaining Wall for Multi-Purpose Embankment (Materials)</t>
  </si>
  <si>
    <t>Construction of Barangay Hand Washing Counter for Covid-19</t>
  </si>
  <si>
    <t>Purchase of Medical Supplies to be used for Rural Health Unit – RHU of the Municipality of Tabuelan, Cebu</t>
  </si>
  <si>
    <t>ITB FOR PROCUREMENT OF UNINTERRUPTED POWER SUPPLY</t>
  </si>
  <si>
    <t>Dredging of Puguludan River</t>
  </si>
  <si>
    <t>Information Dessemination for National Heritage Month, Surigao City</t>
  </si>
  <si>
    <t>SUPPLY AND DELIVERY OF CHEMICALS FOR ORGANICS ANALYSES UNDER EMB-ERLSD-ENVIRONMENTAL LABORATORY SERVICES SECTION</t>
  </si>
  <si>
    <t>Procurement of Lumber &amp; Aggregates used for Construction of Brgy. Road (phase II) @ Brgy. Pamosaingan, Socorro, SDN</t>
  </si>
  <si>
    <t>PR#20-07-0317 Water Meter for maintenance services of City Waterworks Office</t>
  </si>
  <si>
    <t>Supply and Delivery of Supplies and Materials to be used for the Improvement of Water Line and Sewer Line.</t>
  </si>
  <si>
    <t>Purchase of Office Supplies to be used for different offices of LGU of the Municipality of Tabuelan, Cebu</t>
  </si>
  <si>
    <t>RFQ-2020-172 Supply &amp; Delivery of Vehicle equipment for TESDA use.</t>
  </si>
  <si>
    <t>Purchase of Various Items for the Safety of Personnel @ Solid Waste Management, San Antonio</t>
  </si>
  <si>
    <t>Purchase of Sports Utility Vehicle for official use of Office of the Sangguniang Panlalawigan BM Godofredo Galicia, Jr.</t>
  </si>
  <si>
    <t>GENERAL BODY REPAIR AND GENERAL BODY REPAINTING WITH UNDER CHASSIS PAINTING OF RIMS OF MOTOR VEHICLE</t>
  </si>
  <si>
    <t>DPWH-PDS-2020-021 -Purchase of Diesel for Service Vehicles assigned in the Planning &amp; Design Section</t>
  </si>
  <si>
    <t>Quotation No.20-07-0398 - Food and Catering Service July 13, 2020 , Zamboanga Sibugay</t>
  </si>
  <si>
    <t>PR#20-07-0315 Purified Drinking Water for July to September (CGSO)</t>
  </si>
  <si>
    <t>Acquisition of Smart TV for EGH use</t>
  </si>
  <si>
    <t>Materials for the rehab of slope protection. Tawagan</t>
  </si>
  <si>
    <t>Procurement of various Supplies for Cemetery Operations - BPCCO</t>
  </si>
  <si>
    <t>INSTALLATION OF SOLAR STREET LIGHTS</t>
  </si>
  <si>
    <t>Materials for Improvement of Ginablan Bird Sanctuary and Mangroves - MEO</t>
  </si>
  <si>
    <t>Training Expense-Php70,000.00 OESPA</t>
  </si>
  <si>
    <t>PROCUREMENT OF VARIOUS MATERIALS FOR ALL	 LGU OWNED PHYSICAL FACILITIES 2020</t>
  </si>
  <si>
    <t>Supply / Delivery of Gypsum Board, Cross Tee and Main Runner</t>
  </si>
  <si>
    <t>PURCHASE OF OFFICE EQUIPMENT FOR THE USE OF MUNICIPAL SANGGUNIANG BAYAN OFFICE</t>
  </si>
  <si>
    <t>2020-05-0614 ALL-IN-ONE PRINTER (Print, Copy, Scan,Wireless)</t>
  </si>
  <si>
    <t>Purchase of Office Supplies/Equipment for use at the DepEd-Antequera District Office</t>
  </si>
  <si>
    <t>Construction of Livelihood &amp; Enterpreneur Center (Pasalubong Center)</t>
  </si>
  <si>
    <t>Supply and Delivery of Materials for Improvement of Waterworks System (Brgy. Lipata-Tungib)</t>
  </si>
  <si>
    <t>Procurement of Office Equipment</t>
  </si>
  <si>
    <t>ROAD CONCRETING AT COUNTRY HOMES AT THE BACK OF CNHS</t>
  </si>
  <si>
    <t>CLEARING OF BARANGAY ROAD</t>
  </si>
  <si>
    <t>20AC0057 - Construction of Seawall at Paratong, Sta. Catalina, Ilocos Sur</t>
  </si>
  <si>
    <t>SUPPLY AND DELIVERY OF HARDWARE MATERIALS FOR CONSTRUCTION OF BARANGAY HEALTH STATION BUILDING</t>
  </si>
  <si>
    <t>NEGOTIATED PROCUREMENT FOR MATERIALS FOR REPAIR AND INSTALLATION OF ELECTRICAL FACILITIES</t>
  </si>
  <si>
    <t>Supply and Delivery of Labor and Materials for the Construction of MPAC MK-III Slipway</t>
  </si>
  <si>
    <t>LABOR AND MATERIALS FOR THE INSTALLATION OF STRUCTURED NETWORK CABLING AT THE NEW OFFICE OF THE REGULATORY DIVISION</t>
  </si>
  <si>
    <t>REPAIR AND MAINTENANCE OF DRAINAGE CANAL AT BRGY. CORONG CORONG</t>
  </si>
  <si>
    <t>PURCHASE OF MEDICAL SUPPLIES TO BE USED FOR VACCINATION, EUTHANASIA, SPAY/ CASTRATION AND TREATMENT OF SICK ANIMALS - CVSO</t>
  </si>
  <si>
    <t>Procurement of 201 Sack Rice to Grant of Additional Benefits for DA Skeletal Workforce in the form of (1) sack of Rice (25kgs), as per the memorandum of Secretary dated 20 April 2020</t>
  </si>
  <si>
    <t>Telephone Mobile Expenses (OESPA-57,200.00)</t>
  </si>
  <si>
    <t>Procurement-Supply &amp; Delivery of Office Supplies</t>
  </si>
  <si>
    <t>Procurement of Data Folder</t>
  </si>
  <si>
    <t>20GGB0012-Procurement of Tires, Batteries, Lubricants and Spare Parts</t>
  </si>
  <si>
    <t>PROCUREMENT OF OFFICE &amp; JANITORIAL SUPPLIES FY 2020</t>
  </si>
  <si>
    <t>Purchase of Lever Arch Folder of LCR</t>
  </si>
  <si>
    <t>Supply/Delivery of 1 unit Desktop Computer with Printer</t>
  </si>
  <si>
    <t>EBMS -FLUORESCENT TUBE &amp; 14 OTHERS (5TH POSTING)</t>
  </si>
  <si>
    <t>Procurement of Laboratory Supplies for the Use of Rural Health Unit, Tagudin, Ilocos Sur</t>
  </si>
  <si>
    <t>RFQ-2020-170 Supply &amp; Delivery of medical supplies for COVID for TESDA use</t>
  </si>
  <si>
    <t>Purchase and delivery of IT equipment to be used by CHUSD</t>
  </si>
  <si>
    <t>PROCUREMENT OF EQUIPMENT (GRASS CUTTER)</t>
  </si>
  <si>
    <t>Supply and Delivery of Diesel Fuel for use of provincial roads (Northwestern Cagayan)</t>
  </si>
  <si>
    <t>PROCUREMENT OF SCHOOL  BAGS WITH SCHOOL KITS</t>
  </si>
  <si>
    <t>Supply and Delivery Cement for Repair &amp; Maintenance of Roads &amp; Bridges @ Bislig City</t>
  </si>
  <si>
    <t>Hiring of Assisting Professional on Enterprise Development for official use of FMP of DENR-PENRO Nueva Ecija</t>
  </si>
  <si>
    <t>Proposed Street Lighting</t>
  </si>
  <si>
    <t>Installation of St. Lighting System (Solar Panel) at Sitio Cacatiw, Barangay Laguit Padilla, Bugallon, Pangasinan</t>
  </si>
  <si>
    <t>50 kgs. Welding Electrodes 1100B 3.2MM 1/8" AWS E6011</t>
  </si>
  <si>
    <t>PR 20-05-0071 Supply and Delivery of Common Construction Materials Supplies, Maintenance Section, DPWH-Bohol III DEO</t>
  </si>
  <si>
    <t>Procurement of Educational Materials/Supplies</t>
  </si>
  <si>
    <t>Procurement of Conference Name Plate Holder Double Sided</t>
  </si>
  <si>
    <t>UPGRADING/IMPROVEMENT/REHABILITATION OF NGIBAT-TULGAO PROVINCIAL ROAD, TULGAO</t>
  </si>
  <si>
    <t>Procurement of Instructional Materials and Office Supplies</t>
  </si>
  <si>
    <t>SUPPLY AND DELIVERY OF ONE (1) UNIT 6" MECHANICAL FLOW METER FLANGE TYPE</t>
  </si>
  <si>
    <t>Purchase of Various Materials for the Operation of CHB Machine and Water Supply System @ Dumpsite, San Antonio</t>
  </si>
  <si>
    <t>Supply &amp; delivery of Janitorial Supplies for use at the CMO-Department of Public Safety for 1st, 2nd &amp; 3rd quarter, Laoag City</t>
  </si>
  <si>
    <t>Supply and Delivery of Labor and Materials for the Improvement of MPAC Crew Barracks and Office</t>
  </si>
  <si>
    <t>Meals and Snacks for the Fourth Level Training on 2020 Census of Population and Housing at City of Cabuyao</t>
  </si>
  <si>
    <t>CONSTRUCTION OF SHED FOR MOBILE DRIER EQUIPMENT</t>
  </si>
  <si>
    <t>CONSTRUCTION OF STORM DRAINAGE CANAL AT ABDULLA STREET AND RIZAL STREET</t>
  </si>
  <si>
    <t>1 Lot Provision of Labor, Materials and Equipment for the Installation of Solar Streetlights in Brgy. Sapsap, Pastrana, Leyte. ABC PHP707,652.49</t>
  </si>
  <si>
    <t>SUPPLY AND DELIVERY OF PHOTOCOPYING MACHINE</t>
  </si>
  <si>
    <t>Construction of Perimeter Fence for Mango Processing Plant and Tumauini Nursery</t>
  </si>
  <si>
    <t>NEGOTIATED PROCUREMENT FOR REPAIR AND MAINTENANCE OF OFFICE AND ICT EQUIPMENT/ ELECTRICAL MATERIALS</t>
  </si>
  <si>
    <t>Purchase of Laptop of Agriculture Office</t>
  </si>
  <si>
    <t>Purchase of Desktop and Laptop</t>
  </si>
  <si>
    <t>CONSTRUCTION OF RICE &amp; CORN MILL BUILDING</t>
  </si>
  <si>
    <t>Supply and Delivery of 29,000 pcs Plastic Bags for Currency Notes, as per BSP Technical Specifications and Terms and Conditions</t>
  </si>
  <si>
    <t>request for supply and delivery of general merchandise</t>
  </si>
  <si>
    <t>MEALS AND VENUE</t>
  </si>
  <si>
    <t>Third Party Laboratory Analysis</t>
  </si>
  <si>
    <t>CONSTRUCTION OF RIPRAP FRONT OF WESTERN KALINGA NHS, BUAYA</t>
  </si>
  <si>
    <t>Supply and Delivery of Office Equipment- Php52,000.00</t>
  </si>
  <si>
    <t>INVITATION TO BID FOR PROCUREMENT OF 8 LAPTOP UNITS, 1 HIGH-END VIDEO EDITING LAPTOP AND 20 DESKTOP UNITS</t>
  </si>
  <si>
    <t>Procurement of Various General Merchandise-07-031(P)PSWDO</t>
  </si>
  <si>
    <t>CONSTRUCTION OF DRAINAGE CANAL, P3, RAMIREZ ST.,  BULANAO NORTE</t>
  </si>
  <si>
    <t>Materials for the Construction of Artificial Reef</t>
  </si>
  <si>
    <t>Medical, Dental &amp; Laboratory Supplies for CDH-2020-0039, 0042, 0058, HOD-2020-0109, 0110, 0145, 0148, 0326-0329, 0356, 0404-0407, 0409, 0410, 0412, LZDH-2020-0042, NFBC-2020-0012, OPA-2020-0363, PHO-2</t>
  </si>
  <si>
    <t>EBMS -ELECTRONIC CONTROL BOARD &amp; 10 OTHERS (5TH POSTING)</t>
  </si>
  <si>
    <t>Purchase of New Born Screening Filter for Rural Health Unit – RHU of the Municipality of Tabuelan, Cebu</t>
  </si>
  <si>
    <t>3,000 ltrs Diesel Fuel for various vehicle and equipments assigned to the different offices/general services office</t>
  </si>
  <si>
    <t>FREIGHT CARGO</t>
  </si>
  <si>
    <t>INVITATION TO BID-VEHICLE</t>
  </si>
  <si>
    <t>SUPPLY AND DELIVERY OF ONE (1) UNIT 8" MECHANICAL FLOW METER FLANGE TYPE</t>
  </si>
  <si>
    <t>1 Lot Provision of Labor, Materials and Equipment for the Construction of Basketball Court's Perimeter Fence in Brgy. Bunacan, Calubian, Leyte. ABC PHP971,753.37</t>
  </si>
  <si>
    <t>Procurement of Hardware Materials used for Construction of Brgy. Road (phase II) @ Brgy. Pamosaingan, Socorro, SDN</t>
  </si>
  <si>
    <t>LAYING OF CONCRETE PAVERS AT MUNINICIPAL HALL COMPOUND &amp; CONSTRUCTION OF WINGWALL, HEADWALL AND APRON SLAB OF PIPE CULVERT AT BARANGAY MALLABO,  SAN MARIANO, ISABELA</t>
  </si>
  <si>
    <t>Purchase of Tactical Operations Response Vehicle</t>
  </si>
  <si>
    <t>CONSTRUCTION OF DEEPWELL WITH ELEVATED TANK, AGBANNAWAG NATIONAL HIGH SCHOOL, AGBANNAWAG</t>
  </si>
  <si>
    <t>CP 2020-33 REBIDDING FOR THE SUPPLY AND DELIVERY OF ONE UNIT SERVICE VEHICLE C/O DEPED</t>
  </si>
  <si>
    <t>Procurement of Various Construction Supplies and Materials-07-399(O)PEO</t>
  </si>
  <si>
    <t>COMMUNICATION EQUIPMENT</t>
  </si>
  <si>
    <t>240 bags Portland Cement, etc.-003</t>
  </si>
  <si>
    <t>BID BULLETIN 1 - Clerical Correction of Scope of Work and Resetting the Schedule of Procurement Activities for Construction of Multi-Purpose Open Gym</t>
  </si>
  <si>
    <t>PR 20-06-0073 Supply and Delivery of Common Maintenance Equipment's, Maintenance Section, DPWH-Bohol III DEO</t>
  </si>
  <si>
    <t>PR NO. 1597 Calibration of the equipment</t>
  </si>
  <si>
    <t>Procurement of 9 heads Cattle for Livestock Assistance of CALABARZON</t>
  </si>
  <si>
    <t>Supply and delivery of fertilizer, seeds and other farm materials in Conner, Apayao</t>
  </si>
  <si>
    <t>NEGOTIATED PROCUREMENT FOR MATERIALS FOR THE IMPROVEMENT OF CLASSROOM WINDOW GRILLS</t>
  </si>
  <si>
    <t>PROCUREMENT OF FUEL (JULY TO DECEMBER 2020)</t>
  </si>
  <si>
    <t>20AC0058 - Construction of Seawall at Paratong Sitio Mindanao, Sta. Catalina, Ilocos Sur</t>
  </si>
  <si>
    <t>Procurement of construction materials for Concreting of Municipal Road at Ngileb</t>
  </si>
  <si>
    <t>Procurement of Tarpaulin used for Construction of Brgy. Road (phase II) @ Brgy. Pamosaingan, Socorro, SDN</t>
  </si>
  <si>
    <t xml:space="preserve">Goods2020-06-008 -Purchase of Materials for Act. 63x- Resurfacing of Unpaved Shoulder for Rectification of Low Shoulder; Act. 41x- Emergency Projects- Bridge for the Replacement/Repair of Damage Deck </t>
  </si>
  <si>
    <t>Solar Electrification Project at Rizal and Poblacion, Jordan, Guimaras</t>
  </si>
  <si>
    <t>Purchase of Computer peripherals</t>
  </si>
  <si>
    <t>CP 2020-34 REBIDDING FOR THE SUPPLY, DELIVERY AND INSTALLATION OF WATER PUMPS C/O CADMO</t>
  </si>
  <si>
    <t>purchase of office supplies and device</t>
  </si>
  <si>
    <t>Improvement of Materials Recovery Facility</t>
  </si>
  <si>
    <t>PR NO. MG-ISD20-016, CONTINUOUS FORMS</t>
  </si>
  <si>
    <t>PR 20-06-0074 Supply and Delivery of Common Construction Materials Supplies, Maintenance Section, DPWH-Bohol III DEO</t>
  </si>
  <si>
    <t>NEGOTIATED PROCUREMENT FOR CONSTRUCTION OF HANDWASHING AND TOOTHBRUSHING FACILITIES</t>
  </si>
  <si>
    <t>GIGLI WIRE, KELLY PAD ETC. FOR CSR</t>
  </si>
  <si>
    <t>Office &amp; Housekeeping Supplies for CDH-2020-0032, 0043-0045, GOV-2020-0170, IADH-2020-0116-0120, 0124, ICTD-2020-0020, LZDH-2020-0052, NFBC-2020-015, OPA-2020-0336, 0374, 0378, PBO-2020-0019, PEMO-202</t>
  </si>
  <si>
    <t>BIDDING FOR SUPPLY &amp; DELIVERY OF LABORATORY SUPPLIES – IMMUNOLOGY/SEROLOGY REAGENT – IV</t>
  </si>
  <si>
    <t>CONTINUATION OF DRAINAGE CANAL PULIDO ST., CENTRO 2, SANCHEZ MIRA, CAGAYAN</t>
  </si>
  <si>
    <t>RFQ#2020-07-0032-Purchase of LPG Tanks with refill for use of Maintenance Section on the repainting of various centerlines and edgelines of National Roads and Bridges within DPWH-UKDEO</t>
  </si>
  <si>
    <t>PROCUREMENT OF VARIOUS VEHICLE SPARE PARTS (RE-BID)</t>
  </si>
  <si>
    <t>Catering services for the conduct of Training on Rice Mechanization in Bacoor, Cavite on July 13-16, 2020</t>
  </si>
  <si>
    <t>Fuel and Lubricants For the Rehabilitation of  Barangay Roads( Purok Bayanihan to Malipayon) 	 Balansag, R. T. Lim, Zamboanga Sibugay</t>
  </si>
  <si>
    <t>Procurement of Tarpaulin used for Repair/ Improvement of Tourism Hub / Waiting Area @ Brgy. Navarro, Socorro, SDN</t>
  </si>
  <si>
    <t>Color Document Scanner</t>
  </si>
  <si>
    <t>PURCHASE OF TEN (10) UNITS PHOTOCOPIER &amp; ONE (1) UNIT RISOGRAPH MACHINE</t>
  </si>
  <si>
    <t>Purchase of various construction supplies for different Barangays use</t>
  </si>
  <si>
    <t>2020-06-319 CANVASS FOR VEHICLE REPAIR AND MAINTENANCE</t>
  </si>
  <si>
    <t>Procurement of Pulse Oximeter for Covid-19 Quick Response</t>
  </si>
  <si>
    <t>PR NO. MG-MFI20-001, VARIOUS OFFICE SUPPLIES</t>
  </si>
  <si>
    <t>For Digital Modules for Junior &amp; Senior High School Students</t>
  </si>
  <si>
    <t>Supply and Delivery Hardware Materials for Repair &amp; Maintenance of Roads &amp; Bridges @ Bislig City</t>
  </si>
  <si>
    <t>GOODS-OE-23-2020</t>
  </si>
  <si>
    <t>PROCUREMENT AND DELIVERY OF MEDICAL AND LABORATORY SUPPLIES</t>
  </si>
  <si>
    <t>Office Renovation for Additional electrical works on Cebu North Lending Center</t>
  </si>
  <si>
    <t>Tobramycin Eye Drops Solution: 0.3% 5ml bottle</t>
  </si>
  <si>
    <t>Request for Quotation (Laptop Computers)</t>
  </si>
  <si>
    <t>Medical Supplies for the Bantay Eskwela Network Project</t>
  </si>
  <si>
    <t>Supply and delivery of 2 units Electric Stand Fan and 1 unit 55 Smart TV UHD for Admin. Building, Candahug, Palo, Leyte. ABC PHP34,900.00</t>
  </si>
  <si>
    <t>Purchase of Books for Department of Education, Kabankalan City for various Elementary Schools use</t>
  </si>
  <si>
    <t>Supply and Delivery of Labor and Materials for the Installation of Transformer and Power Transmission Line for MPAC Slipway</t>
  </si>
  <si>
    <t>Supply and Delivery of Equipment / Equipment Accessories and Services for Routine Maintenance for (Roads).</t>
  </si>
  <si>
    <t>ROAD CONCRETING AT HOLY TRINITY</t>
  </si>
  <si>
    <t>SUPPLY &amp; DELIVERY OF RICE &amp; CORN MILL</t>
  </si>
  <si>
    <t>2020-GOODS-04 RE-AD; SUPPLY OF DIESEL FUEL FOR USE IN THE SERVICE VEHICLES OF DPWH REGIONAL OFFICE XIII FOR 3RD QUARTER AND 4TH QUARTER OF CY 2020, J. ROSALES AVENUE, BUTUAN CITY</t>
  </si>
  <si>
    <t>Acquisition of Brand New Garbage Truck</t>
  </si>
  <si>
    <t>Concreting of Brgy. Road, at So. Naga, Brgy. Sta Agueda, Pamplona  Negros Oriental(S-33-2020)</t>
  </si>
  <si>
    <t>supply and delivery of antirabies vaccines to be used in the conduct of Gender and Development Program Activities of the RADDL with PR#211 dated 6/17/2020 with ABC 99,960</t>
  </si>
  <si>
    <t>CRCF-2020-07-0242 : 2 SERVICE -SITE ENGINEER FOR THE MONTH OF AUGUST TO DECEMBER 2020 (2 CENTERS: RSCC AND HOME FOR WOMEN)</t>
  </si>
  <si>
    <t>Supply and delivery of ducks to Namnama, Alfonso Lista, Ifugao</t>
  </si>
  <si>
    <t>BIDDING FOR SUPPLY &amp; DELIVERY OF NUTRITION &amp; DIETETIC SUPPLIES - COMMERCIAL FORMULA MILK - II</t>
  </si>
  <si>
    <t>SUPPLY AND DELIVERY OF OFFICE EQUIPMENTS</t>
  </si>
  <si>
    <t>Supply and Delivery of Aircon for Municipal Agriculture Office</t>
  </si>
  <si>
    <t>MG-PHP20-004 - PENETRATING OIL 16 OZ, 63 CANS (RE-BID)</t>
  </si>
  <si>
    <t>Lumpsum Services for Live Coverage, Surigao City</t>
  </si>
  <si>
    <t>Supply and Delivery of Labor and Materials for the Construction of MPAC Crew Barracks (Modular Type)</t>
  </si>
  <si>
    <t>NEGOTIATED PROCUREMENT FOR MATERIALS FOR REPAIR OF WATERLINES</t>
  </si>
  <si>
    <t>Purchase of various office supplies for SP Office use</t>
  </si>
  <si>
    <t>Purchase of Drugs and Medicines for the use of  PHO, Bataan</t>
  </si>
  <si>
    <t>SERVICES (MM0)</t>
  </si>
  <si>
    <t>2020-06-298 CANVASS FOR OFFICE SUPPLIES CONSUMABLES</t>
  </si>
  <si>
    <t>Delivery of Construction Supplies and Materials of Matalaba National High School for the month of April 2020</t>
  </si>
  <si>
    <t>Purchase of 1-unit Mini Van with Roof Rack</t>
  </si>
  <si>
    <t>Fuel, Oil &amp; Lub. Expense-Fire Station Service Vehicles</t>
  </si>
  <si>
    <t>PROCUREMENT AND DELIVERY OF ANTI-RABIES VACCINE</t>
  </si>
  <si>
    <t>CONSTRUCTION OF DRAINAGE CANAL, DANGOY</t>
  </si>
  <si>
    <t>PROCUREMENT OF FUEL, OIL AND LUBRICANT</t>
  </si>
  <si>
    <t>PR NO. MG-MFI20-004, OFFICIAL RECEIPT</t>
  </si>
  <si>
    <t>Procurement of electric bike</t>
  </si>
  <si>
    <t>Lumpsum Services for Airing Information Dissemination on City City's Development News Program "</t>
  </si>
  <si>
    <t>Supply and Delivery of Equipment for Repair &amp; Maintenance of Roads &amp; Bridges @ Bislig City</t>
  </si>
  <si>
    <t>Training Expenses (03-368)</t>
  </si>
  <si>
    <t>NEGOTIATED PROCUREMENT FOR PRINTER</t>
  </si>
  <si>
    <t>Purchase of Towel and Soap Dispensers</t>
  </si>
  <si>
    <t>Procurement of Lumber &amp; Aggregates used for Repair/ Improvement of Tourism Hub / Waiting Area @ Brgy. Navarro, Socorro, SDN</t>
  </si>
  <si>
    <t>RFQ / 20-06-1400 / PROCUREMENT OF AUTOMOBILE HEADLIGHT RFID TAG</t>
  </si>
  <si>
    <t>Diesel Fuel(SBO)</t>
  </si>
  <si>
    <t>HD Pro Webcam,Headphone,Wireless Speaker</t>
  </si>
  <si>
    <t>PROCUREMENT OF MEDICAL EQUIPMENT FOR SPECIAL CARE</t>
  </si>
  <si>
    <t>Request for Quotation for Various Medical Supplies for CATHLAB 0137</t>
  </si>
  <si>
    <t>Consultant on Political Affairs</t>
  </si>
  <si>
    <t>Water treatment Facility Dapdap</t>
  </si>
  <si>
    <t>Rehabilitation &amp; Improvement of Inawasan - Bahi - an Pal-ew - Sto. Niño Ali-is Provincial Road Tanjay City Negros Oriental (S-22-2020</t>
  </si>
  <si>
    <t>PROCUREMENT FOR MEDICAL SUPPLIES PR NO. 0565 S.2020</t>
  </si>
  <si>
    <t>Acquisition of Brand New Mini Dump Truck</t>
  </si>
  <si>
    <t>LOT 1-CONCRETE BLEACHER</t>
  </si>
  <si>
    <t>Barangay Facility Enhancement Project</t>
  </si>
  <si>
    <t>Fuel, Oil &amp; Lub. Expense - Mayor's</t>
  </si>
  <si>
    <t>20FF0102 - Work Category 10: Pavement Maintenance at Pili-Tigaon-Albay Road, Pili and Ocampo, Camarines Sur</t>
  </si>
  <si>
    <t>Procurement of Various Supplies in response to COVID 19#1.doc</t>
  </si>
  <si>
    <t>Supply and Delivery of Printers and Printing Materials for the Offline Learning in Response for COVID-19 Pandemic (by Lot)</t>
  </si>
  <si>
    <t>CATERING SERVICES ON JULY 13-17, 2020</t>
  </si>
  <si>
    <t>Supply and delivery of Airconditioning Units with installation for BDD and PRISM Project</t>
  </si>
  <si>
    <t>Purchase of HUmidifier Oil scents</t>
  </si>
  <si>
    <t>Procurement of Hardware Materials used for Repair/ Improvement of Tourism Hub / Waiting Area @ Brgy. Navarro, Socorro, SDN</t>
  </si>
  <si>
    <t>RFQ / 20-06-1401 / PROCUREMENT OF ID WITH BEEP FUNCTIONALITY</t>
  </si>
  <si>
    <t>Drugs &amp; Medicines (Fluids) for TJPH-2020-0113</t>
  </si>
  <si>
    <t>Installation of Public Address</t>
  </si>
  <si>
    <t>74759_Supply &amp; Delivery of Main Pump assembly with Main Pump Coupling</t>
  </si>
  <si>
    <t>PURCHASE and DELIVERY of various VACCINE, BIOLOGICS and VETERINARY EQUIPMENTS  LGU, Bagabag, Nueva Vizcaya</t>
  </si>
  <si>
    <t>Supply and delivery of various Injectable Medicines for Leyte Provincial Hospital, ABC PHP4,849,000.00</t>
  </si>
  <si>
    <t>BACKFILLING OF MUNICIPAL LOT AT BUGALLON PROPER, RAMON, ISABELA</t>
  </si>
  <si>
    <t>Supply and Delivery of Laptop Computer</t>
  </si>
  <si>
    <t>PROCUREMENT AND DELIVERY OF FURNITURE AND FIXTURE</t>
  </si>
  <si>
    <t>Request for Quotation for Various Airconditoners for PDCCU 0319</t>
  </si>
  <si>
    <t>SUPPLY OF AGRICULTURAL SEEDS FOR THE IMPLEMENTATION OF THE YOLANDA REHABILITATION AND RECONSTRUCTION PROGRAM (YRRP) OF THE MUNICIPALITY OF LIMASAWA, SOUTHERN LEYTE</t>
  </si>
  <si>
    <t>CRCF : DRAFTSMEN  FOR THE MONTH OF AUGUST TO DECEMBER 2020</t>
  </si>
  <si>
    <t>Procurement of Services</t>
  </si>
  <si>
    <t>PROCUREMENT OF TASK FORCE UNIFORM</t>
  </si>
  <si>
    <t>Rehabilitation and Improvement  of San Francisco - Hingles Provincial Road Sta. Catalina, Negros Oriental(S-29-2020)</t>
  </si>
  <si>
    <t>Procurement of Electrical System</t>
  </si>
  <si>
    <t>REPAIR AND MAINTENANCE OF PMWS (PURCHASE OF ALTERNATE/RESERVE PUMP)</t>
  </si>
  <si>
    <t>REPAIR AND MAINTENANCE OF VEHICLE (MDRRMO)</t>
  </si>
  <si>
    <t>Procurement of Desktop w/ Accessories</t>
  </si>
  <si>
    <t>Procurement of Fire Extinguisher-Refill</t>
  </si>
  <si>
    <t>Rehabilitation and Improvement of Tayasan - Tambulan Provincial Road, Tayasan, Negros Oriental(S-23-2020)</t>
  </si>
  <si>
    <t>Supply and delivery of 1,000 Pieces Wooden School Arm Chair with Book Tray, ABC PHP2,600,000.00</t>
  </si>
  <si>
    <t>Procurement of Loyalty Bracelets, Rings and Pins</t>
  </si>
  <si>
    <t>PURCHASE OF BRAND NEW BARANGAY VEHICLE AMBULANCE W/ COMPLETE ACCESSORIES</t>
  </si>
  <si>
    <t>Rehabilitation of Valencia National High School 2 Storey 4 Classroom Building at Brgy. Valencia, Ormoc City</t>
  </si>
  <si>
    <t>INVITATION TO BID FOR THE PURCHASE/INSTALLATION OF CCTV CAMERA AT BARANGAY WAWA</t>
  </si>
  <si>
    <t>Consultant on Legal Affairs</t>
  </si>
  <si>
    <t>Acquisition of Brand New Ambulance</t>
  </si>
  <si>
    <t>Procurement of Office and IT Equipment for VM and Accounting Office</t>
  </si>
  <si>
    <t>RFQ-PR NO. 2020-06-070 - PROCUREMENT OF SUPPLIES FOR USE IN THE REPAIR OF NATIONAL ROADS WITHIN THE DISTRICT</t>
  </si>
  <si>
    <t>Furnishing and Delivery of Office Supplies</t>
  </si>
  <si>
    <t>CRCF : ELECTRICAL  ENGINEER FOR THE MONTH OF AUGUST TO DECEMBER 2020</t>
  </si>
  <si>
    <t>Supply and Delivery of Vehicle Tires</t>
  </si>
  <si>
    <t>Repair &amp; Maintenance: Building &amp; Other Structures: Other Structures (Gable End Roof/Canopy) at Brgy. Curva Covered Court, Ormoc City</t>
  </si>
  <si>
    <t>RFQ20-07-49 ENGG SERVICES</t>
  </si>
  <si>
    <t>PROCUREMENT FOR MEDICAL EQUIPMENT PR NO. 0564 S.2020</t>
  </si>
  <si>
    <t>NEGOTIATED PROCUREMENT FOR MAINTENANCE OF COMFORT ROOMS</t>
  </si>
  <si>
    <t>Supply and delivery of Poultry Feeds to Various Farmer-Association in Leyte, ABC PHP5,064,000.00</t>
  </si>
  <si>
    <t>Purchase of Vehicle Tires and Batteries</t>
  </si>
  <si>
    <t>RE-BIDDING FOR SUPPLY &amp; DELIVERY OF LABORATORY SUPPLIES - BLOOD BANK REAGENT - I</t>
  </si>
  <si>
    <t>SCREEN -JULY</t>
  </si>
  <si>
    <t>Repair and Improvement of Gov. FGR Sports Complex</t>
  </si>
  <si>
    <t>Supply and delivery of various laboratory Supplies for Leyte Provincial Hospital, ABC PHP2,458,245.00</t>
  </si>
  <si>
    <t>Rehabilitation/Improvement of Barangay Roads</t>
  </si>
  <si>
    <t>Construction of Three (3) Temporary Learning Spaces at Donghol Integrated School, Ormoc City</t>
  </si>
  <si>
    <t>P.R. No. 2020-07-0039 - Procurement of Uniforms &amp; PPE for Maintenance Personnel (1st Semester CY-2020)</t>
  </si>
  <si>
    <t>Construction of Street Lights</t>
  </si>
  <si>
    <t>RFQ / 20-06-0320 / PROCUREMENT OF 1 LOT FORTIWEB-600D 24X7 STANDARD BUNDLE AND FORTIGATE-800D UTM BUNDLE</t>
  </si>
  <si>
    <t>for the use in the office of the Municipal Treasurer</t>
  </si>
  <si>
    <t>Supply and delivery of various Drugs and Medicines for Western Leyte Provincial Hospital, ABC PHP2,491,545.00</t>
  </si>
  <si>
    <t>PROCUREMENT AND DELIVERY OF HARDWARE MATERIAL</t>
  </si>
  <si>
    <t>Vehicle Hire</t>
  </si>
  <si>
    <t>RFQ-PR NO. 2020-06-062-PROCUREMENT OF MATERIALS FOR USE IN THE REPAINTING OF DPWH BUILDING, LEYTE IV DEO</t>
  </si>
  <si>
    <t>Fuel, Oil &amp; Lub. Expense - Vice Mayor's Office</t>
  </si>
  <si>
    <t>RFQ-PR NO. 2020-06-071 - PROCUREMENT OF COMMON OFFICE SUPPLIES FOR USE AT LEYTE 4TH DEO</t>
  </si>
  <si>
    <t>BARANGAY ANNUAL INVESTMENT PLAN WORKSHOP 2020</t>
  </si>
  <si>
    <t>Request for quotation for installation of comfort rooms, clinic and feeding room</t>
  </si>
  <si>
    <t>Installation of One Set (3) Three Channel CCTV</t>
  </si>
  <si>
    <t>PR NO. 1600 Air Conditioning Units</t>
  </si>
  <si>
    <t>Supply and Delivery of Spareparts</t>
  </si>
  <si>
    <t>2020-07-Rehabilitation of Barangay Health Center - Phase IV.</t>
  </si>
  <si>
    <t>Purchase of Construction Materials and Supplies with Labor on pakyaw or takay basis supplied by local laborers for the Fabrication of Steel Bleacher</t>
  </si>
  <si>
    <t>Supply and Delivery of Construction Materials for Repair of City Halls Basement Offices</t>
  </si>
  <si>
    <t>Medical Oxygen for CDH-2020-0047 &amp; HOD-2020-0108</t>
  </si>
  <si>
    <t>Supply and Delivery of Tires and Spare Parts for Repair &amp; Maintenance of Roads &amp; Bridges @ Bislig City</t>
  </si>
  <si>
    <t>CONSTRUCTION OF MPH KITCHEN-BARANGAY BUENAVISTA</t>
  </si>
  <si>
    <t>Construction and Painting of Tool Cabinets in Provincial Training Center - Candon City</t>
  </si>
  <si>
    <t>Construction of  Multi-Purpose Hall</t>
  </si>
  <si>
    <t>For Construction of Nursery E/S Stage Brgy. Bantayan, Kabankalan City</t>
  </si>
  <si>
    <t>Improvement of DOTS at Municipal Health Center</t>
  </si>
  <si>
    <t>LOT 3-REHABILITATION OF TENNIS COURT</t>
  </si>
  <si>
    <t>PR NO. 1578 Improvement of ground perimeter</t>
  </si>
  <si>
    <t>CONSTRUCTION OF SOLAR DRIER</t>
  </si>
  <si>
    <t>Rehabilitation of Sanitary Landfill</t>
  </si>
  <si>
    <t>JANITORIAL SUPPLIES AND OTHERS (COVID-19 RESPONSE ITEMS)</t>
  </si>
  <si>
    <t>TM LICENSE KEY DONGLE FOR COBOT</t>
  </si>
  <si>
    <t>Supply and delivery of 27 Units High Bay 300 Watts LED Flood Light ABC PHP1,344,600.00</t>
  </si>
  <si>
    <t>Supply of Labor and Materials for the Servicing of Turbocharger (Model VTR 304) at POWER BARGE 120</t>
  </si>
  <si>
    <t>ITB-SVP03-2020</t>
  </si>
  <si>
    <t>P.R. No. 2020-07-0041 - Purchase/Supply of Materials for the Preliminary Detailed Engineering Budget for CY-2021 Project</t>
  </si>
  <si>
    <t>CONSTRUCTION OFADDITIONAL FACILITY FORDOG CRIB W/ ROAD (Construction of Caretaker, Doctor, Storage and Euthanasia Room)</t>
  </si>
  <si>
    <t>SUPPLY AND DELIVERY OF LABORATORY CONSUMABLES UNDER EMB-ERLSD-ENVIRONMENTAL LABORATORY SERVICES SECTION (ELSS) INORGANICS AND ORGANICS LABORATORY UNIT</t>
  </si>
  <si>
    <t>Supply and Delivery of Corn Seeds.</t>
  </si>
  <si>
    <t>lot1 - office conference equipment &amp; accessories audio system; lot 2- IT equipment &amp; accessories for session hall visual system</t>
  </si>
  <si>
    <t>Labor and Materials for Construction of Multi-Purpose Building G.I.T Campus, Brgy. Calabanit, Glan, Sarangani Province.</t>
  </si>
  <si>
    <t>UPLB-RQ-7-083-20-GOODS SUPPLY AND DELIVERY OF INFORMATION TECHNOLOGY FOR CVM</t>
  </si>
  <si>
    <t>Supply and Delivery of Potable Water for POWER BARGE 120</t>
  </si>
  <si>
    <t>Supply and Delivery of Materials for Concreting of Barangay Road @ Brgy. Mudan, Glan, Sarangani Province.</t>
  </si>
  <si>
    <t>PROCUREMENT AND DELIVERY OF ANTI-PSYCHOTIC MEDICINES</t>
  </si>
  <si>
    <t>20AC0061 - Construction of Seawall, Sitio Mindanao, Barangay Paratong, Sta. Catalina, Ilocos Sur</t>
  </si>
  <si>
    <t>Supply of Services for the Conduct of Smoke Emission Test of TORRIJOS DPP</t>
  </si>
  <si>
    <t>P.R. No. 2020-07-0040 - Procurement of Materials for Activity 301: Sign Maintenance (3rd &amp; 4th Quarter CY2020)</t>
  </si>
  <si>
    <t>Procurement of Furniture and Fixtures</t>
  </si>
  <si>
    <t>Supply and Delivery of Office Supplies for the Annual Routine Maintenance Program (CY-2020-2nd Quarter).</t>
  </si>
  <si>
    <t>Supply and Delivery of 1 unit 15 Seater Service Vehicle.</t>
  </si>
  <si>
    <t>Supply and Delivery of 2 units Brand New 4-Wheeler Modernized Jeep (Bus Type).</t>
  </si>
  <si>
    <t>Use in the Information and Communication Technology Staff and D.E. Office (Sub-Office Azagra) in encoding documents</t>
  </si>
  <si>
    <t>HEAVY DUTY SUCTION MACHINE</t>
  </si>
  <si>
    <t>PURCHASE AND DELIVERY OF MATERIALS FOR THE CONSTRUCTION OF FOOTBRIDGE (PHASE I)</t>
  </si>
  <si>
    <t>Picanan NHS Various Materials</t>
  </si>
  <si>
    <t>Supply and Delivery of Electronic Control Module for CASIGURAN DPP</t>
  </si>
  <si>
    <t>ESTABLISHMENT OF READING CENTER</t>
  </si>
  <si>
    <t>Purchase of Tires for Municipal Garbage Dumptruck for Municipal Sanitation Office (SKD 923) &amp; Engineering Office (SKM 597) Gumaca, Quezon</t>
  </si>
  <si>
    <t>UPLB-RQ-7-084-20-GOODS SUPPLIES &amp; DELIVERY OF HOSPITAL / MEDICAL EQUIPMENT  FOR UHS</t>
  </si>
  <si>
    <t>RFQ#2020-07-0033-Purchase of Cartridge-HP Ink and Toner-MPC2503 for use of DPWH-UKDEO</t>
  </si>
  <si>
    <t>To transport one (1) unit of TOYOTA Hi- Ace Van from DepEd Central Office- Meralco Bldg., Pasig City to DepEd City of Naga, Cebu Division Office.</t>
  </si>
  <si>
    <t>requst for quotation of Paradise embac E/S</t>
  </si>
  <si>
    <t>Additional 700 load for communication purposes#1.doc</t>
  </si>
  <si>
    <t>SUPPLY, DELIVERY AND INSTALLATION OF TYPHOON-RESILIENT VERTICAL INDOOR FARMING SYSTEM AT ASCOT BAZAL CAMPUS</t>
  </si>
  <si>
    <t>Upgrading and Maintenance of Lighting facilities, EMBXI Bldg.</t>
  </si>
  <si>
    <t>CRCF: 2 SERVICES -SITE ENGINEER FOR THE MONTH OF AUGUST TO DECEMBER 2020 (HFE AND PCDP)</t>
  </si>
  <si>
    <t>PURCHASE OF IT EQUIPMENTS</t>
  </si>
  <si>
    <t>Purchase of 1 unit laptop and 1 unit printer for the office of the Municipal Assessor.</t>
  </si>
  <si>
    <t>Delivery of ICT, Other Machinery Equipment for I.T. Section (Php 1,214,000.00) Delivery of IC Equipment for CDRRMO (Php358,000.00) (ITB 20-077)</t>
  </si>
  <si>
    <t>PURCHASE OF CONSTRUCTION MATERIALS FOR THE REHABILITATION/ IMPROVEMENT OF BRGY OFFICE</t>
  </si>
  <si>
    <t>Supply And Delivery of Various Groceries to be used for National Disability Prevention and rehabilitation Week of Person with Disability, Brooke’s Point, Palawan</t>
  </si>
  <si>
    <t>Supply And Delivery of Fuel (lot #3) Labor (Lot #5) for Proposed Road Concreting from Old Highway Sta. 00+350 to Sta. 00+760m leading to Kilala Elem. School, Bgy. Malis, Brooke’s Point, Palawan</t>
  </si>
  <si>
    <t>SUPPLY AND DELIVERY OF PHOTOCOPYING MACHINE FOR THE OFFICE OF THE VICE MAYOR /SANGGUNIANG BAYAN, PINAMALAYAN ORIENTAL MINDORO</t>
  </si>
  <si>
    <t>Supply of Electrical Equipment and Parts for POWER BARGE 120</t>
  </si>
  <si>
    <t>20GFF0002 - Procurement of Fuel/LPG for use in Maintenance Equipment for CY-2020 (2nd &amp; 3rd Quarter) Camarines Sur 3rd District</t>
  </si>
  <si>
    <t>Procurement of Drugs and Medicine for Medical and Dental Services</t>
  </si>
  <si>
    <t>Procurement of Printer &amp; Supplies</t>
  </si>
  <si>
    <t>Supply and Delivery of Safety Shoes (Midcut,Leather, Steel Toe Heavy Duty) for CALAYAN DPP</t>
  </si>
  <si>
    <t>UPLB-RQ-7-082-20-GOODS SUPPLY AND DELIVERY OF INTERNET SERVICES FOR CEM</t>
  </si>
  <si>
    <t>RFQ-PR NO.2020-03-075 - PROCUREMENT OF SPARE PARTS FOR USE OF SERVICE VEHICLE AND HEAVY EQUIPMENT OF LEYTE IV DEO</t>
  </si>
  <si>
    <t>Supply and Delivery of Heavy Equipment Spare Parts to be used for Municipal Heavy Equipment, Brooke’s Point, Palawan</t>
  </si>
  <si>
    <t>Journals&amp;Magazine Subscription - CapSU Pontevedra</t>
  </si>
  <si>
    <t>INVITATION TO BID FOR THE PURCHASE OF ONE UNIT SIX-WHEELER MINI DUMP TRUCK FOR THE USE OF MATERIAL RECOVERY FACILITY AT MUNICIPALITY OF LINGAYEN AND PURCHASE OF ONE UNIT TEN-WHEELER DUMP TRUCK FOR THE</t>
  </si>
  <si>
    <t>REQUEST FOR SUBDIVISION SURVEY LOT 7-CSI-2020(NL)</t>
  </si>
  <si>
    <t>IMPROVEMENT OF DRAINAGE SYSTEM-P. LAYGO ST., BARANGAY SABANG, LIPA CITY</t>
  </si>
  <si>
    <t>Chess Clock, etc - CapSU Pilar</t>
  </si>
  <si>
    <t>Supply and Delivery of Plastic Fittings</t>
  </si>
  <si>
    <t>Supply and Delivery of Materials, Equipment and Tools of POWER BARGE 120</t>
  </si>
  <si>
    <t>Quotation No.20-07-0403	- PROCUREMENT OF HARDWARES AND CONSTRUCTION SUPPLIES</t>
  </si>
  <si>
    <t>( PR NO. 20-06-04-0081 SUPPLY AND DELIVERY OF 15 pcs Tires(205/65R15), 15 pcs Tires(7.00-16), 10 pcs Tires(8.25-16))</t>
  </si>
  <si>
    <t>PR 2020-04-056 Leasing of One (1) Unit Service Vehicle Chargeable to Preliminary and Detailed Engineering (PDE)/ Rocond Survey: *Surigao – Davao Coastal Road (S001376MN) 40.855 km Davao De Oro</t>
  </si>
  <si>
    <t>Supply and Delivery of Grass cutter for BM Hachuela Office</t>
  </si>
  <si>
    <t>Supply And Delivery of Fuel (lot #3) Labor (Lot #4) for Proposed Road Concreting from National Highway Sta. 00+400 to Sta. 00+990m leading to Tagpirara Elem. School, Bgy. Saraza, Brooke’s Point, Palaw</t>
  </si>
  <si>
    <t>Supply of Materials for  School Building Repair District of Consolacion, Consolacion, Cebu</t>
  </si>
  <si>
    <t>Purchase of Office Supplies and Consumables</t>
  </si>
  <si>
    <t>PR 2020-04-055 Leasing of One (1) Unit Service Vehicle Chargeable to Preliminary and Detailed Engineering (PDE)/ use for Survey Works *3 Projects under FY 2021 Convergence (DOT) 1.) Bongkiloton Road l</t>
  </si>
  <si>
    <t>Procurement of Various Food Stuff-07-373(A)PGO</t>
  </si>
  <si>
    <t>Creation of LGU Paniqui Website, Municipal Government of Paniqui, Tarlac</t>
  </si>
  <si>
    <t>Purchase &amp; Delivery of Janitorial &amp; Other Supplies for the Office of SPM Constante T. Oandasan</t>
  </si>
  <si>
    <t>Improvement of LGU-Owned Water System at Barangay Aguinaldo, Naga</t>
  </si>
  <si>
    <t>Supply of Automotive Diesel Fuel (EURO IV Compliant) for POWER BARGE 120</t>
  </si>
  <si>
    <t>Commonly-Used Supplies</t>
  </si>
  <si>
    <t>Repair of University Vehicle (SGC 628) - CapSU Pontevedra</t>
  </si>
  <si>
    <t>SUPPLY &amp; DELIVERY OF OFFICE EQUIPMENT</t>
  </si>
  <si>
    <t>Procurement of Various Construction Supplies and Materials-07-398(O)PEO</t>
  </si>
  <si>
    <t>SUPPLY AND DELIVERY OF  BOOKS AND OTHER REFERENCES FOR AMC_2nd Posting</t>
  </si>
  <si>
    <t>TELEVISION</t>
  </si>
  <si>
    <t>Supply and Delivery of O/M Materials, Tools and Equipment for BOAC DPP</t>
  </si>
  <si>
    <t>General Cleaning of Nine (9) Unit Computer Deskop-MBO</t>
  </si>
  <si>
    <t>Supply and Delivery of Fitting &amp; Valves (Lot #1) for the use of Water System Office, Brooke’s Point, Palawan</t>
  </si>
  <si>
    <t>Construction of 2Units Fire Hydrant.</t>
  </si>
  <si>
    <t>PR 2020-04-058 Leasing of One (1) Unit Service Vehicle Chargeable to Preliminary and Detailed Engineering (PDE)/ use for Parcellary Survey - *Projects under FY 2021 Regular Infra/ DND Projects FY 2021</t>
  </si>
  <si>
    <t>Supply and Delivery of Various Materials/Goods for CALAYAN DPP</t>
  </si>
  <si>
    <t>20AC0103 - Construction of Classrooms, Two (2) Storey, Six (6) Classroom (Standard) School Building, Cabugao North Central School, Cabugao, Ilocos Sur</t>
  </si>
  <si>
    <t>RENTAL OF GENERATOR,WELDING AND CUTTING MACHINE (rfq#2020-03-1,625)-(p.e.o.)</t>
  </si>
  <si>
    <t>CONSTRUCTION OF DRAINAGE CANAL WITH CONCRETE COVER @ SITIO SABANG-PUROK 4, BRGY. CATO, INFANTA, PANGASINAN</t>
  </si>
  <si>
    <t>CONSTRUCTION OF BRGY. HALL/MULTI-PURPOSE BUILDING (PHASE II)</t>
  </si>
  <si>
    <t>PROCUREMENT OF TV LED (42" &amp; 32") WITH TV PLUS BLAK BOX FOR LIMAY DIALYSIS CLINIC</t>
  </si>
  <si>
    <t>Various Customized Linens and Towels</t>
  </si>
  <si>
    <t>Procurement of materials for the Improvement of multi-purpose building</t>
  </si>
  <si>
    <t>Supply of Materials for the Rehabilitation of Multipurpose Building</t>
  </si>
  <si>
    <t>Procurement of Office Furniture and Equipment for NC Kalawit Launching</t>
  </si>
  <si>
    <t>Procurement of Tax Consultancy Services for six (6) months</t>
  </si>
  <si>
    <t>WOT REPAIR</t>
  </si>
  <si>
    <t>RFQ for the Supply and Delivery of Electric Ultra Low Volume Sprayer (Misting Machine)</t>
  </si>
  <si>
    <t>Fertilizers-MAO</t>
  </si>
  <si>
    <t>Supply/Delivery of NUC and Webcam for the Sangguniang Bayan Office of Palo, Leyte.</t>
  </si>
  <si>
    <t>RHU USE</t>
  </si>
  <si>
    <t>CONSTRUCTION OF DRAINAGE SYSTEM AT BRGY. BUDA, MARILOG DISTRICT</t>
  </si>
  <si>
    <t>RECONSTRUCTION OF CANAL W/ COVER @ NEWYORK COMPOUND., WAWA I, ROSARIO, CAVITE</t>
  </si>
  <si>
    <t>RFQ / 20-06-1402 / PROCUREMENT OF CANON THEREFORE - DOCUMENT SOLUTION ADDITIONAL USER AND CAPTURE CLIENT</t>
  </si>
  <si>
    <t>20HC0185- MODIFIED STANDARD DPWH-DEPED TWO (2) STOREY SIX (6) CLASSROOM SCHOOL BUILDING (REGULAR WORKSHOP) AT GUINOBATAN ELEMENTARY SCHOOL, TRINIDAD, BOHOL</t>
  </si>
  <si>
    <t>INVITATION TO BID FOR THE PROCUREMENT OF IT EQUIPMENT FOR VARIOUS OFFICES</t>
  </si>
  <si>
    <t>Improvement of Barangay Road, T-Hill Guihulngan  City, Negros Oriental(S-14-2020)</t>
  </si>
  <si>
    <t>Hiring of Consultancy Services for the Development of Revised Guidebook on Child Participation in the Philippines</t>
  </si>
  <si>
    <t>Supply and Delivery of Construction Materials for Improvement of Multi-Purpose Center</t>
  </si>
  <si>
    <t>RECONSTRUCTION OF CANAL W/ COVER @ SABALAS ST., WAWA I, ROSARIO, CAVITE</t>
  </si>
  <si>
    <t>EBMS -SLOAN FLUSH VALVE &amp; 5 OTHERS (5TH POSTING)</t>
  </si>
  <si>
    <t>20CF0134 Construction of 2STY8CL, Jaen West Elementary School, Jaen, Nueva Ecija</t>
  </si>
  <si>
    <t>Aircon Repair/Cleaning-Legislative</t>
  </si>
  <si>
    <t>CONSTRUCTION OF BIO-ORGANIC LABORATORY BUILDING AND CONSTRUCTION OF VERMI SHED</t>
  </si>
  <si>
    <t>IMPROVEMENT OF LOCAL ROADS PACKAGE 1-2020</t>
  </si>
  <si>
    <t>Animal Zoological Supplies-MAO</t>
  </si>
  <si>
    <t>Telephone Mobile Expenses (OSPS-50,400.00)</t>
  </si>
  <si>
    <t>Certified Rice Seeds-MAO</t>
  </si>
  <si>
    <t>20HC0186- MODIFIED STANDARD DPWH-DEPED TWO (2) STOREY FOUR (4) CLASSROOM SCHOOL BUILDING (REGULAR WORKSHOP) AT MAHAGBU ELEMENTARY SCHOOL, TRINIDAD, BOHOL</t>
  </si>
  <si>
    <t>CORN20-06-10-0171 Supply and Delivery of Agricultural Product (Corn Seeds).</t>
  </si>
  <si>
    <t>Procurement of Tires for Various Garbage Trucks of MENRO Office</t>
  </si>
  <si>
    <t>20FE0137 – CONSTRUCTION OF CLASSROOMS, STA. CRUZ ES, SAN FERNANDO, CAMARINES SUR</t>
  </si>
  <si>
    <t>SUPPLY AND DELIVERY OF TWO (2) UNITS DUPLICATOR WITH WHITE AND BLACK COPIER WITH INKS AND OPERATIONAL ACCESSORIES</t>
  </si>
  <si>
    <t>PROVISION OF WATER SUPPLY AT MUNICIPAL NURSERY (Construction Materials)</t>
  </si>
  <si>
    <t>PROCUREMENT OF CONSTRUCTION SUPPLIES AND MATERIALS FOR THE CONCRETING OF BARANGAY ROAD @ PUROK HAPPY VALLEY (340 SQ.M.)</t>
  </si>
  <si>
    <t>PURCHASE &amp; DELIVERY OF SUPPLIES AND MATERIALS OF VARIOUS OFFICE</t>
  </si>
  <si>
    <t>RSQ - SUPPLIES FOR DISINFECTION OF SCHOOL BUILDING AND FACILITIES</t>
  </si>
  <si>
    <t>Supply &amp; Delivery of Construction Materials for the Painting of Sidewalk Along Maharlika Highway (from Timbayog to Adovis)</t>
  </si>
  <si>
    <t>2020-06-0975 Rubber Tubing 1/4 x 1/8 x 50 ft, 100% rubber, hypoallergenic</t>
  </si>
  <si>
    <t>Supplies and Delivery of General Merchandise YDF (Sports Material and Anti-drug Abuse)</t>
  </si>
  <si>
    <t>Supply and delivery of meals and snacks serve to various office functionaries of Mayor's Office.</t>
  </si>
  <si>
    <t>Procurement of Vehicle Parts and Accessories</t>
  </si>
  <si>
    <t>Construction Materials for the Proposed Barangay Day Care Renovation</t>
  </si>
  <si>
    <t>One (1) Unit Computer with Complete Accessories</t>
  </si>
  <si>
    <t>Supply and Delivery of Office Supplies for Municipal Mayor (HR), Vice-Mayor, SB Legislative, Municipal Fire Station and Local Civil Registrar Office</t>
  </si>
  <si>
    <t>20FE0140 – CONSTRUCTION OF CLASSROOMS, CALAWAT ES, PAMPLONA, CAMARINES SUR</t>
  </si>
  <si>
    <t>SNACKS-MCO(GAD)</t>
  </si>
  <si>
    <t>INVITATION TO BID FOR THE PROCUREMENT OF CATERING SERVICES</t>
  </si>
  <si>
    <t>Concreting of Mustang Road</t>
  </si>
  <si>
    <t>DRUGS AND MEDICINE-MEED MARKET</t>
  </si>
  <si>
    <t>20FE0139 – CONSTRUCTION OF CLASSROOMS, BICAL ES, SAN FERNANDO, CAMARINES SUR</t>
  </si>
  <si>
    <t>Folding Bed</t>
  </si>
  <si>
    <t>CONDUCT OF DOLE AND DTI JOINT MONITORING (RISO)</t>
  </si>
  <si>
    <t>CONSTRUCTION OF 2 STOREY MULTI-PURPOSE BUILDING (PHASE I) BRGY. SILAE, MALAYBALAY CITY.</t>
  </si>
  <si>
    <t>1 UNIT LAPTOP COMPUTER FOR CVMO</t>
  </si>
  <si>
    <t>20FE0141 – CONSTRUCTION OF CLASSROOMS, SAN RAMON ES, PAMPLONA, CAMARINES SUR</t>
  </si>
  <si>
    <t>Purchase of Generator</t>
  </si>
  <si>
    <t>RFQ NO. 2020-171 "2-IN-1 NOTEBOOK/TABLET"</t>
  </si>
  <si>
    <t>Rehabilitation and Improvement of Dumaguete - Palinpinon Provincial Road, Valencia, Negros Oriental(S-26-2020)</t>
  </si>
  <si>
    <t>20AC0104 - Construction of Classrooms, Two (2) Storey, Four (4) Classroom (Modified Standard) School Building, Puro National High School, Caoayan, Ilocos Sur</t>
  </si>
  <si>
    <t>2020 18TH PUBLIC BIDDING:  LABORATORY AND RESPIRATORY THERAPY SUPPLIES FOR 2020 2ND SEMESTER CONSUMPTION</t>
  </si>
  <si>
    <t>SERVICES FOR REPAIR, REHABILITATION OF MARAMAG MESSAGE CENTER</t>
  </si>
  <si>
    <t>SUPPLIES AND MATERIALS FOR THE CONSTRUCTION OF 12 UNITS MOVABLE HAND WASHING FACILITY</t>
  </si>
  <si>
    <t>Supply and delivery of various spare parts for the repair of service vehicle ( SAA-5311)</t>
  </si>
  <si>
    <t>G-2020-0063 Supply/Delivery of Construction Accessories for use in the Repair/Maintenance of National Roads within South Cotabato 2nd District Engineering Office along Surallah-Lake Sebu-Maitum Road u</t>
  </si>
  <si>
    <t>CONSTRUCTION OF HEALTH CENTER</t>
  </si>
  <si>
    <t>Procurement of Camera (dslr)</t>
  </si>
  <si>
    <t>LABOR AND MATERIALS FOR THE CONSTRUCTION OF MULTI-SPECIES MARINE HATCHERY AT BRGY. KOREO, SULTAN NAGA DIMAPORO, LANAO DEL NORTE</t>
  </si>
  <si>
    <t>Purchase of Furniture and Fixtures</t>
  </si>
  <si>
    <t>PURCHASE OF ONE (1) UNIT MOTOR VEHICLE, BRGY. BAYAMBANG, INFANTA, PANGASINAN</t>
  </si>
  <si>
    <t>RFQ / 20-06-0316 / PROCUREMENT OF SUPPLIES FOR THE 3RD QUARTER OF 2020</t>
  </si>
  <si>
    <t>Purchase of Motor Supplies for maintenance of various R.P Vehicles</t>
  </si>
  <si>
    <t>Construction of Multi-Purpose Building Tambo, Ayungon, Negros Oriental(S-20-2020)</t>
  </si>
  <si>
    <t>FURNISHING AND DELIVERY OF ELECTRIC SEWING MACHINE FOR TEXTILE WASTE RECYCLING FOR MENRO</t>
  </si>
  <si>
    <t>Supply and delivery of various journals and reference materials (University Library 2020)</t>
  </si>
  <si>
    <t>Procurement  of medical supplies for the Advocacy on increasing the contraceptive prevalence rate</t>
  </si>
  <si>
    <t>REHAB/IMPROVEMENT OF BRIDGE AT KALINGKINGAN-MARZAN, SANCHEZ MIRA, CAGAYAN</t>
  </si>
  <si>
    <t>Repair and Maintenance - Infrastructure Assets (Provincial Roads &amp; Bridges), Province of Negros Oriental(S-28-2020)</t>
  </si>
  <si>
    <t>20HC0187- MODIFIED STANDARD DPWH-DEPED TWO (2) STOREY EIGHT (8) CLASSROOM SCHOOL BUILDING (REGULAR WORKSHOP) AT TRINIDAD CENTRAL ELEMENTARY SCHOOL, TRINIDAD, BOHOL</t>
  </si>
  <si>
    <t>20CF0137 Construction of 2STY4CL, Sta. Cruz, Gapan City, Nueva Ecija</t>
  </si>
  <si>
    <t>20NE0090 - Repair/Maintenance of Don Ruben Drainage along Dinagat-Loreto Road, Brgy. Don Ruben, San Jose, Province of Dinagat Islands</t>
  </si>
  <si>
    <t>PROCUREMENT OF CONSTRUCTION SUPPLIES AND MATERIALS FOR THE CONCRETING OF BARANGAY ROAD @ PUROK PARADAHAN (340 SQ.M.)</t>
  </si>
  <si>
    <t>Procurement of Aicondition</t>
  </si>
  <si>
    <t>Purchase of materials for concreting of Anahaw Access Road (Phase I) at Brgy. Anahaw, Hindang, Leyte</t>
  </si>
  <si>
    <t>100 LITERS ALBENDAZOLE</t>
  </si>
  <si>
    <t>Purchase of Plastic Chairs</t>
  </si>
  <si>
    <t>P.R. NO. 20-06-136</t>
  </si>
  <si>
    <t>STRAIGHT CONTRACT - PROVISION/INSTALLATION OF CUBICLES FOR CONSULTATION OF SUSPECTED COVID-19 PATIENTS</t>
  </si>
  <si>
    <t>20NE0092 - Reflectorized Thermoplastic Pavement Markings (Centerline and Edgeline) along Dinagat-Loreto Road (K0063+000-K0065+000, K0067+000-K0068+581.79)</t>
  </si>
  <si>
    <t>Supply and Delivery of Backhoe Travel Motor</t>
  </si>
  <si>
    <t>Supply &amp; Delivery of Rice</t>
  </si>
  <si>
    <t>Food Stuff</t>
  </si>
  <si>
    <t>RFQ / 20-06-1397 / PROCUREMENT OF ALL-IN-ONE TOUCHSCREEN MONITORS</t>
  </si>
  <si>
    <t>PREVENTIVE MAINTENANCE, VALIDATION, AND DECONTAMINATION OF ONE (1) BIOLOGICAL SAFETY CABINET (S/N: 2017-T10148) UNDER EMB-ERLSD-ELSS-ECMU</t>
  </si>
  <si>
    <t>Supply and Delivery of Various Sizes of PE Tubings</t>
  </si>
  <si>
    <t>Purchase of Hardware Supplies for demolition and restoration</t>
  </si>
  <si>
    <t>Procurement of Hospital/Medical Equipment</t>
  </si>
  <si>
    <t>Meals and Snacks for Tax Mapping &amp; Appraisal of Real Properties (Central Barangays of Bontoc) and Bontoc Differently Abled Persons Meeting</t>
  </si>
  <si>
    <t>CSR SUPPLIES (PR#20-06-70609)</t>
  </si>
  <si>
    <t>Procurement for the Repair and Maintenance Expense re: Upgrade and Replacement of NCs Laptops HDD</t>
  </si>
  <si>
    <t>RE-BIDDING FOR SUPPLY &amp; DELIVERY OF LABORATORY SUPPLIES - GENERAL SUPPLIES</t>
  </si>
  <si>
    <t>20NE0091 - Repair/Maintenance of Navarro Bridge II Revetment along Dinagat-Loreto Road, Brgy. Navarro, Tubajon, Dinagat Islands</t>
  </si>
  <si>
    <t>CONSTRUCTION OF WAITING AREA @ ATM BUILDING</t>
  </si>
  <si>
    <t>Live Animals for Broiler Demo Farm in Support to Broiler Industry in Ipil-MAO</t>
  </si>
  <si>
    <t>INVITATION TO BID FOR THE PROCUREMENT OF CONSTRUCTION MATERIALS FOR REPAIR OF PUBLIC MARKET</t>
  </si>
  <si>
    <t>Office Supplies for PGO- JOINT TASK FORCE ON SECURITY (S-217-2020)</t>
  </si>
  <si>
    <t>RFQ / 20-06-0299 / PROCUREMENT OF PALO ALTO 3020 RENEWAL</t>
  </si>
  <si>
    <t>FURNISHING AND DELIVERY OF TIRES FOR MUNICIPAL DUMPTRUCK MAINTENANCE</t>
  </si>
  <si>
    <t>20FE0142 – CONSTRUCTION OF CLASSROOMS, HUBO ES, PASACAO, CAMARINES SUR</t>
  </si>
  <si>
    <t>Fuels for PGO - Task Force on Security	(N-424-2020)</t>
  </si>
  <si>
    <t>PURCHASE OF FLU VACCINE</t>
  </si>
  <si>
    <t>Supply and delivery of various books and reference materials (University Library 2020)</t>
  </si>
  <si>
    <t>Purchase of Executive Table for Office use of HHRO</t>
  </si>
  <si>
    <t>Supply and Delivery of Brass SEC Seal</t>
  </si>
  <si>
    <t>20BC0158 re-adv. - Local Program-Continuation of the Access Road going to Mingay CIADP Road in the Sta. Praxedes, Cagayan</t>
  </si>
  <si>
    <t>Spareparts (Grader Tiangong PY160M)/Motorpool</t>
  </si>
  <si>
    <t>CSR SUPPLIES (PR#20-06-70616)</t>
  </si>
  <si>
    <t>DESIGN &amp; CONSTRUCTION OF TANJAY WATER DISTRICT SUPPLY SYSTEM</t>
  </si>
  <si>
    <t>PROCUREMENT OF TWO (2) UNITS LAPTOP, ONE (1) UNIT PRINTER L120 AND TWO (2) UNITS EXTERNAL HARD DRIVE FOR LIMAY MUNICIPAL POLICE STATION</t>
  </si>
  <si>
    <t>Supply and delivery of  Wreath.</t>
  </si>
  <si>
    <t>PROPOSED ROAD IMPROVEMENT SAN GABRIEL</t>
  </si>
  <si>
    <t>AIRCON SPECS to be used in GADRCC Office		 (N-428-2020)</t>
  </si>
  <si>
    <t>Air Condition Unit, Floor Mounted, 3 tons, Inverter Type</t>
  </si>
  <si>
    <t>CONSTRUCTION OF YOUTH HOME CARE/REFORMATORY CENTER AT KASUWAGAN, LANAO DEL NORTE</t>
  </si>
  <si>
    <t>Purchase of school and office supplies.</t>
  </si>
  <si>
    <t>PROCUREMENT OF OFFICE EQUIPMENT FOR INTEGRITY MONITORING AND ENFORCEMENT GROUP (IMEG)</t>
  </si>
  <si>
    <t>IMPROVEMENT OF EXISTING DRUG REHABILITATION CENTER AT KAUSWAGAN, LANAO DEL NORTE</t>
  </si>
  <si>
    <t>Alcohol, 68%-72% ethanol(ethyl) &amp; etc. for the use of Canlaon District Hospital (S-213-2020)</t>
  </si>
  <si>
    <t>BEEF (UNOD)</t>
  </si>
  <si>
    <t>Live Animals for Egg Production Livelihood-MAO</t>
  </si>
  <si>
    <t>to Furnish labor and materials for the Printing and Binding  (N-432-2020)</t>
  </si>
  <si>
    <t>PROPOSED PARKING AT MUNICIPAL COMPOUND</t>
  </si>
  <si>
    <t>( PR NO. 20-05-01A-0002 SUPPLY AND DELIVERY OF 50 kgs 1/4" Rubber Gasket, 22 pcs 100mmØ(4"Ø) Rubber Gasket O-Ring, 50 pcs 150mmØ(6"Ø) Rubber Gasket O-Ring, 10 pcs 200mmØ(8"Ø) Rubber Gasket O-Ring, 6 p</t>
  </si>
  <si>
    <t>Improvement of Steel Stage Plaza</t>
  </si>
  <si>
    <t>Construction of Drainage Canal Diamond Crest Subd., Brgy. San Manuel, City of San Jose Del Monte, Bulacan</t>
  </si>
  <si>
    <t>Supply and Delivery of High Speed Scanner for Website</t>
  </si>
  <si>
    <t>1st rfq extension - Various Office Supplies (6 items)</t>
  </si>
  <si>
    <t>Supply and Delivery of Business/Franchise Plates and Installation and Fabrication of NO SMOKING SIGNBOARD</t>
  </si>
  <si>
    <t>20GCH0004- MATERIALS FOR USE IN THE REPAIR/MAINTENANCE OF NATIONAL ROADS ALONG TAGBILARAN EAST ROAD (S0099BH)(TRINIDAD-ILIHAN UBAY SECTION) K0122+(-076)- K0153+569 (INTERMITTENT SECTION).</t>
  </si>
  <si>
    <t>RE-BIDDING FOR SUPPLY &amp; DELIVERY OF LABORATORY SUPPLIES - HEMATOLOGY REAGENTS – II</t>
  </si>
  <si>
    <t>CONSTRUCTION OF TOURISM CENTER AT BARANGAY POBLACION 1, BALABAC, PALAWAN</t>
  </si>
  <si>
    <t>Purchase of IT Equipment for Office use of Office of the City Mayor</t>
  </si>
  <si>
    <t>Supply &amp; delivery of Meals and Snacks during the conduct of Social Pension Payout.</t>
  </si>
  <si>
    <t>20CF0136 Construction of 2STY8CL, Sto. Tomas North ES</t>
  </si>
  <si>
    <t>Supplies and Materials for WinS / COVID-19 Response</t>
  </si>
  <si>
    <t>RUBBER BOOTS &amp; RAINCOAT FOR POSO</t>
  </si>
  <si>
    <t>RFQ / 20-06-0302 / PROCUREMENT OF MATERIALS FOR REPAINTING</t>
  </si>
  <si>
    <t>CAN CONSO CTO-819 CPO 827 PRINTING</t>
  </si>
  <si>
    <t>Repair and maintenance 0f L-300 SJT- 190 Service Vehicle of FAB Campus</t>
  </si>
  <si>
    <t>Global Navigation Satellite System</t>
  </si>
  <si>
    <t>RE-BIDDING FOR SUPPLY &amp; DELIVERY OF LABORATORY SUPPLIES - HISTOPATHOLOGY REAGENTS- I</t>
  </si>
  <si>
    <t>Other Supplies-Accounting Office</t>
  </si>
  <si>
    <t>Subdivision Survey of  Lot  1,714.29 Square mete</t>
  </si>
  <si>
    <t>15 pcs BP Apparatus &amp; etc. for Bais District Hospital		 (S-214-2020)</t>
  </si>
  <si>
    <t>2020-SG-020 Supply and Delivery of Concrete Manhole Covers along various national roads</t>
  </si>
  <si>
    <t>Purchase of Rice for Inmates Consumption of BJMP</t>
  </si>
  <si>
    <t>Insect Spray, 600 ml, Scented, water based	 &amp; etc. for 	PGO TASK FORCE SECURITY	 (N-426-2020)</t>
  </si>
  <si>
    <t>Medical Supplies to Frontliners (Workers &amp; Volunteers,Senior Citizen) as Precautionary to Prevent the Spread of Covid-19 Virus in this Municipality of Santa Cruz Laguna</t>
  </si>
  <si>
    <t>Purchasing of Medical Supplies Project: Katawan OK</t>
  </si>
  <si>
    <t>COMPLETION OF DAY CARE CENTER AT CENTRO BANCALAAN, BALABAC, PALAWAN</t>
  </si>
  <si>
    <t>Repair and Maintenance of Mitsubishi Adventure Vehicle- Replacement of Air Conditioning Unit</t>
  </si>
  <si>
    <t>SUPPLY AND DELIVERY OF FARM MACHINERIES AND EQUIPMENT(FMEs) FOR THE PROJECT BENEFICIARY ARBO OF NCOT UNDER CRFPSP</t>
  </si>
  <si>
    <t>Procurement of Vehicle Spare Parts and Accessories</t>
  </si>
  <si>
    <t>VEHICLE PARTS AND ACCESSORIES FOR REPAIR AND MAINTENANCE OF LIGHT VEHICLE</t>
  </si>
  <si>
    <t>Improvement of Road going to Brgy. Banog Jimalalud Negros Oriental(S-12-2020)</t>
  </si>
  <si>
    <t>Gasoline, Oil &amp; Lubricants-MSWDO-PDAO</t>
  </si>
  <si>
    <t>Procurement of Office Supplies for Official Use of PENRO Aklan for 3rd Quarter of CY 2020</t>
  </si>
  <si>
    <t>COMPLETION OF BARANGAY HEALTH STATION/BIRTHING HOME AT TIMBAYAN BANCALAAN, BALABAC, PALAWAN</t>
  </si>
  <si>
    <t>Repair &amp; Maint. of MAO Office Equipment-MAO</t>
  </si>
  <si>
    <t>PROVISION OF FOOD DURING THE CONDUCT OF IEC AND CWG ORGANIZATION RELATIVE TO THE ADSDPP ENHANCEMENT IN OCAMPO, CAMARINES SUR</t>
  </si>
  <si>
    <t>MATERIALS FOR THE CONCRETING OF BARANGAY ROAD</t>
  </si>
  <si>
    <t>Other Supplies-MSWDO Admin</t>
  </si>
  <si>
    <t>Trophies -Small &amp; etc. for use in the Office of the Governor/for Donation to Brgys, Schools,national Offices, Provincewide (N-438-2020)</t>
  </si>
  <si>
    <t>PROCUREMENT OF HARDWARE AND CONSTRUCTION SUPPLIES FOR THE REHABILITATION OF MULTI-PURPOSE HALL (OLD BARANGAY HALL)</t>
  </si>
  <si>
    <t>Supply and Delivery of fittings</t>
  </si>
  <si>
    <t>ITB - Supply, Delivery and Testing of Rice Reapers (PHilMech 20-06-06)</t>
  </si>
  <si>
    <t>2020-160-I Procurement of  LABORATORY  Supplies (RE-AGENT) RE: African Swine Fever  Disease Control and  Prevention in Region XI</t>
  </si>
  <si>
    <t>to purchase office equipment and accessories</t>
  </si>
  <si>
    <t>SUPPLY AND DELIVERY OF OFFICE FURNITURE AND TENT</t>
  </si>
  <si>
    <t>Procurement of TABLE, PLASTIC, RECTANGULAR</t>
  </si>
  <si>
    <t>Subscription of Internet Services (Dedicated/Leased Line) for NAPOLCOM Central Office</t>
  </si>
  <si>
    <t>PROCUREMENT FOR MEDICAL EQUIPMENT PR NO. 0568 S.2020</t>
  </si>
  <si>
    <t>Repair And Repainting Of Slope Protection At Both Ends Of Runway Of Naga Airport</t>
  </si>
  <si>
    <t>Improvement of Office Building (Motorpool)</t>
  </si>
  <si>
    <t>ITB - Supply, Delivery and Testing of Mechanical Rice Transplanters (PHilMech RCEF 20-06-05)</t>
  </si>
  <si>
    <t>50 CV (cases) - Jumbo tissue, 2-ply, 200m (12 roll/case), 90mm min. diameter</t>
  </si>
  <si>
    <t>CONSTRUCTION OF TAMBAYAN</t>
  </si>
  <si>
    <t>Toner Cartridge, HP CF 283A &amp; etc. for BIDS AND AWARDS COMMITTEE	 (S-219-2020)</t>
  </si>
  <si>
    <t>CONSTRUCTION OF DAY CARE CENTER II (COMPLETION) AT PUROK GASAJAS, COMON, ARITAO, NUEVA VIZCAYA</t>
  </si>
  <si>
    <t>Provision of materials for handwashing area for DepEd Elementary School</t>
  </si>
  <si>
    <t>Photocopy of Various Documents- Accounting Office</t>
  </si>
  <si>
    <t>PROCUREMENT OF VARIOUS WATER SERVICE MATERIALS USE IN CONSTRUCTION OF WATER SYSTEM @ DILAWA NATIONAL HIGH SCHOOL (PHASE II)</t>
  </si>
  <si>
    <t>SUPPLY, DELIVERY AND INSTALLATION OF MATERIALS FOR MODULAR WORKSTATION INCLUDING ELECTRICAL WORKS AND FURNITURE FOR THE RENOVATION OF THE FINANCIAL MANAGEMENT DEPARTMENT OFFICE</t>
  </si>
  <si>
    <t>SUPPLY AND DELIVERY OF CATTLE (HEIFER) 3RD POSTING</t>
  </si>
  <si>
    <t>20CF0138 Construction of 2STY4CL, Sto. Cristo ES, San Isidro, Nueva Ecija</t>
  </si>
  <si>
    <t>20FE0143 – CONSTRUCTION OF CLASSROOMS, PAMUKID NATIONAL HIGH SCHOOL, SAN FERNANDO, CAMARINES SUR</t>
  </si>
  <si>
    <t>20CSCG002 - Conduct of Parcellary Survey for the Proposed Bypass Roads on Various Municipalities of the 3rd and 4th Legislative Districts of Pampanga , Candaba, Mexico and San Luis, Pampanga</t>
  </si>
  <si>
    <t>Procurement of Civil Works for the Construction/Rehab of Barangay Water System</t>
  </si>
  <si>
    <t>Rehabilitation of Health Center</t>
  </si>
  <si>
    <t>PURCHASE OF MATERIALS FOR THE REPAIR OF MUNICIPAL VEHICLE</t>
  </si>
  <si>
    <t>PROCUREMENT OF MATERIALS FOR REHABILITATION OF MULTI-PURPOSE BUILDING</t>
  </si>
  <si>
    <t>COMPLETION OF BARANGAY HEALTH STATION/BIRTHING HOME AT BARANGAY MELVILLE, BALABAC, PALAWAN</t>
  </si>
  <si>
    <t>CHO;2020-5-1300; TF-MICROSCOPE (DENGUE)</t>
  </si>
  <si>
    <t>Photocopy of Various Documents- MPDC</t>
  </si>
  <si>
    <t>Procurement of Stone Tile Roofing used for Repair/ Improvement of Tourism Hub / Waiting Area @ Brgy. Navarro, Socorro, SDN</t>
  </si>
  <si>
    <t>Manhole Improvement for the Multi – Purpose Embankment (Materials)</t>
  </si>
  <si>
    <t>Concreting of FTMR , Barangay Atotes, Bindoy, Negros Oriental(S-06-2020)</t>
  </si>
  <si>
    <t>Supply and Delivery of Various Disaster Risk Reduction and Management and Rescue Equipment</t>
  </si>
  <si>
    <t>20CSCG001 - Conduct of Parcellary Survey for the Proposed Bypass Roads on Various Municipalities of the 3rd and 4th Legislative Districts of Pampanga, Apalit, Arayat, Candaba, Macabebe, Masantol, Mexi</t>
  </si>
  <si>
    <t>Trophies  - Small &amp; etc. for Provincial Governor's Office					 (N-437-2020)</t>
  </si>
  <si>
    <t>FRT-20-0732-B - MEDICAL EQUIPMENT</t>
  </si>
  <si>
    <t>INVITATION TO BID FOR THE PROCUREMENT OF LABOR &amp; MATERIALS FOR THE PROJECT OF RETROFITTING OF MDRRMC BUILDING (PHASE 1), POBLACION, MONKAYO, DAVAO DE ORO</t>
  </si>
  <si>
    <t>PROCUREMENT OF MATERIALS FOR THE REHABILITATION/EXTENSION OF MAIN HEALTH CENTER</t>
  </si>
  <si>
    <t>COMPLETION OF DAY CARE CENTER AT POBLACION 5, BALABAC, PALAWAN</t>
  </si>
  <si>
    <t>Supply and Delivery of Hardware Supplies and Materials for the Food Processing Center of MSC Gasan</t>
  </si>
  <si>
    <t>PURCHASE OF ELECTRICAL SUPPLIES - CANTUOD, BALAMBAN, CEBU</t>
  </si>
  <si>
    <t>pr for thermal and impact dot matrix printer under PR# 2020-06-2672</t>
  </si>
  <si>
    <t>Construction of Gazeebo</t>
  </si>
  <si>
    <t>20CF0139 Construction of 2STY4CL, Cabiao Central School, Cabiao, Nueva Ecija</t>
  </si>
  <si>
    <t>Procurement of Materials and Supplies for task Force COVID 19 Pandemic and Semi Expandable Medical Equipment</t>
  </si>
  <si>
    <t>Supply and delivery of Exterior Tire [SSU Vehicle (SINO Truck) 2020]</t>
  </si>
  <si>
    <t>Office Supplies for bindoy district hospital	 (S-186-2020)</t>
  </si>
  <si>
    <t>PORK (BONELESS, LESS FAT)</t>
  </si>
  <si>
    <t>Office Supplies-Accounting Office</t>
  </si>
  <si>
    <t>COMPLETION OF BARANGAY HEALTH STATION/BIRTHING HOME AT BARANGAY SALANG, BALABAC, PALAWAN</t>
  </si>
  <si>
    <t>Supply and Delivery of materials for repair of MPDO Roofing</t>
  </si>
  <si>
    <t>INVITATION TO BID FOR THE PROCUREMENT OF FOOD SUPPLIES FOR NUTRITION PROGRAM (2nd Sem.)</t>
  </si>
  <si>
    <t>DIGITAL VIDEO MIXER</t>
  </si>
  <si>
    <t>20CF0135 Construction of 2STY8CL, San Anton ES, San Leonardo, Nueva Ecija</t>
  </si>
  <si>
    <t>PROCUREMENT OF 2020 QUADRIVALENT INFLUENZA VACCINE (INACTIVATED TYPES A AND B, SUBVIRION) 2020 SOUTHERN HEMISPHERE STRAINS, in INDIVIDUAL SYRINGES</t>
  </si>
  <si>
    <t>20BC0179 re-adv. - Construction of 1 Storey 3 Classroom with CR, Piat Central School, Piat, Cagayan</t>
  </si>
  <si>
    <t>Supply and Delivery of Other Supplies and Materials (5020399000-07-20-01)</t>
  </si>
  <si>
    <t>Concreting of Bindoy - Poblacion Provincial Road, Bindoy, Negros Oriental(S-32-2020)</t>
  </si>
  <si>
    <t>20FE0138 – CONSTRUCTION OF CLASSROOMS, ALIANZA ES, SAN FERNANDO, CAMARINES SUR</t>
  </si>
  <si>
    <t>Other Supplies-HRMO</t>
  </si>
  <si>
    <t>VArious Supplies &amp; MAterials</t>
  </si>
  <si>
    <t xml:space="preserve">2020-0177-PR2020-0466 Procurement of Desktop, Laptop, Fire Extinguisher, Multi Function Printer, Dome Type Camera, Patch Panel, Floor Mounted Air Conditioning Unit, Computer Cubicles &amp; Chairs, Switch </t>
  </si>
  <si>
    <t>Planting Materials</t>
  </si>
  <si>
    <t>20JA0087 - CONCRETING OF BRGY. BALUNO FMR, BRGY. BALUNO, ZAMBOANGA CITY, ZAMBOANGA</t>
  </si>
  <si>
    <t>Janitorial and Industrial Supplies for Replenishment of Stocks</t>
  </si>
  <si>
    <t>ISO Consultancy</t>
  </si>
  <si>
    <t>S1-BAS20-010 - Supply and Delivery of Mechanical Security Spare Parts for Unit No.12- 600kW Cummins Diesel Engine Generating Set, Model: KTAG3-G1, Serial No. So66414, 12 Cylinder - V Type and Rated Po</t>
  </si>
  <si>
    <t>SUPPLY &amp; DELIVERY OF FURNITURE</t>
  </si>
  <si>
    <t>Fan Belt-Meedo-Slaughterhouse</t>
  </si>
  <si>
    <t>Other Supplies-MAO</t>
  </si>
  <si>
    <t>Purchase of various supplies and equipment for the Native Pig R&amp;D Program</t>
  </si>
  <si>
    <t>Supply/Delivery of Grocery Items for Peace and Order Activity (Provision of Support to Auxilliary Army Group)(PR# 20-07-0672)</t>
  </si>
  <si>
    <t>CONSTRUCTION OF BARANGAY INNER ROAD AT BARANGAY COMON, ARITAO, NUEVA VIZCAYA</t>
  </si>
  <si>
    <t>Purchase of Construction Materials and Supplies with Labor on pakyaw or takay basis supplied by local laborers for the Steet Light in Purok 1 Don Ricardo G. Macias, Sind., ZN.</t>
  </si>
  <si>
    <t>UVC Medical Trolley for OR</t>
  </si>
  <si>
    <t>PROCUREMENT FOR MEDICAL EQUIPMENT PR NO. 0569 S.2020</t>
  </si>
  <si>
    <t>ITB-GS-20200311-01 - One (1) Lot Supply, Delivery and Installation of Office Furniture at LANBBANK Buendia Branch</t>
  </si>
  <si>
    <t>20GCG0001 - Purchase of One (1) Unit Pick-up, One (1) unit Manlift Truck and One (1) unit Compressor with Jackhammer</t>
  </si>
  <si>
    <t>COMPLETION OF BARANGAY HEALTH STATION/BIRTHING HOME AT CATAGUPAN, BALABAC, PALAWAN</t>
  </si>
  <si>
    <t>Tarpaulin-MTO</t>
  </si>
  <si>
    <t>Supply and Delivery of various Computer Peripherals and accessories</t>
  </si>
  <si>
    <t>Supply and Delivery of Lidocaine 10%, 50 mL Spray ( as hydrochloride)</t>
  </si>
  <si>
    <t>Procurement of Various Construction Supplies and Materials-07-395(O)PEO</t>
  </si>
  <si>
    <t>COMPLETION OF DAY CARE CENTER AT PANAAN BARANGAY CATAGUPAN, BALABAC, PALAWAN</t>
  </si>
  <si>
    <t>Purchase of Medical/Dental Supplies</t>
  </si>
  <si>
    <t>Resealing Of Seismic Joints And Cracks On The Apron Of Naga Airport</t>
  </si>
  <si>
    <t>PROCUREMENT OF MATERIALS FOR THE REHABILITATION/IMPROVEMENT OF FMR AND SLOPE PROTECTION AT BRGY. IGMASANDIG, VALDERRAMA, ANTIQUE</t>
  </si>
  <si>
    <t>1 Set Office Divider, marine plywood</t>
  </si>
  <si>
    <t>Purchase of Hardware supplies for the Food processing center of MSC Gasan</t>
  </si>
  <si>
    <t>Supply and delivery of grass cutter</t>
  </si>
  <si>
    <t>purchase of I.T equipment for Office use</t>
  </si>
  <si>
    <t>2 Unit Laptop</t>
  </si>
  <si>
    <t>Procurement of Garments</t>
  </si>
  <si>
    <t>COMPLETION OF BARANGAY HEALTH STATION/BIRTHING HOME AT MARABON BARANGAY BANCALAAN, BALABAC, PALAWAN</t>
  </si>
  <si>
    <t>CHO;2020-4-1037;LFP-LAB.SUPPLIES (MCH)</t>
  </si>
  <si>
    <t>Supply and Delivery of Network Cables and Connectors</t>
  </si>
  <si>
    <t>PROCUREMENT OF SUPPLIES AND MATERIALS FOR REPAIR AND MAINTENANCE OF MUNICIPAL AMBULANCE SAA-2031</t>
  </si>
  <si>
    <t>Construction of WWS,Barangay Owacan, Jimalalud,Negros Oriental(N-09-2020)</t>
  </si>
  <si>
    <t>Rehabilitation of Bleacher</t>
  </si>
  <si>
    <t>20GDF0019 (By Admin) - Purchasing of Heavy Equipment for the use of the Maintenance Section under Cavite 1st District Engineering Office</t>
  </si>
  <si>
    <t>FRT-20-0733-B - MEDICAL EQUIPMENT</t>
  </si>
  <si>
    <t>Refresher Training Course on Inbred Rice Seed Production and Certification for Seed Growers</t>
  </si>
  <si>
    <t>Office Supplies-BFP</t>
  </si>
  <si>
    <t>RFQ - LOGISTIC SERVICE (HAULING AND TRUCKING/PASSENGER VAN SHIPMENT)</t>
  </si>
  <si>
    <t>Supply &amp; Installation of Wooden Doors &amp; Aluminum Glass Window used for Repair/ Improvement of Tourism Hub / Waiting Area @ Brgy. Navarro, Socorro, SDN</t>
  </si>
  <si>
    <t>Construction of Proposed RCPC Canal Lining at Purok 7. Poblacion Nabunturan</t>
  </si>
  <si>
    <t>Purchase of Agisoft Software</t>
  </si>
  <si>
    <t>ITB and Bid Docs for Procurement ID/Contract ID:    20C00051  Contract Name:      Construction of the DENR-Environmental Management Bureau Region 3 Building (Extension Offices @ Roof Deck), Diosdado M</t>
  </si>
  <si>
    <t>PURCHASE OF 2 UNITS HELIFAN HVLS WITH SINGLE PHASE MOTOR</t>
  </si>
  <si>
    <t>PROCUREMENT OF IT SUPPLIES</t>
  </si>
  <si>
    <t>SUPPLY AND DELIVERY OF 15 UNITS THERMOMETER/ALARM/TIMER UNDER EMB-ERLSD-ELSS-ORGANICS LABORATORY UNIT</t>
  </si>
  <si>
    <t>PROCUREMENT OF ELECTRICAL SUPPLIES FOR THE INSTALLATION OF STREET LIGHTING SYSTEM</t>
  </si>
  <si>
    <t>BODE Eurodispenser 1</t>
  </si>
  <si>
    <t>COMPLETION OF DAY CARE CENTER AT MATANGULE BARANGAY BANCALAAN, BALABAC, PALAWAN</t>
  </si>
  <si>
    <t>Microphone, Speaker, Camera &amp; Wifi Adapter</t>
  </si>
  <si>
    <t>IT Equipment-Accounting Office</t>
  </si>
  <si>
    <t>Package V: Const. of Multi-Purpose Hall, Brgy. Nagbunga; Const. of Drainage Canal, Brgy. San Nicolas and Const.of Lanipan Bridge, Sitio Kanaynayan, Brgy. San Pablo; all in Castillejos</t>
  </si>
  <si>
    <t>20GAE0009: Supply and Delivery of Laboratory Equipment/Apparatus and Replacement of Old Equipment/Apparatus for the Improvement of DPWH La Union First District Engineering Office Laboratory (Phase II)</t>
  </si>
  <si>
    <t>SUPPLY AND INSTALLATION OF AIRCON 2.5HP INVERTER SPLIT TYPE - 2ND POSTING</t>
  </si>
  <si>
    <t>CONSTRUCTION OF HOLDING AREA FOR CHILDREN (OCES)</t>
  </si>
  <si>
    <t>3 Set Desktop Computer</t>
  </si>
  <si>
    <t>20JA0088 - CONCRETING OF BRGY. DULIAN FMR, BRGY. DULIAN, ZAMBOANGA CITY, ZAMBOANGA</t>
  </si>
  <si>
    <t>Heavy Duty/ Ultra Rugged Cellphones 126</t>
  </si>
  <si>
    <t>Purchase of Laptop Computer Set with accessories for Accounting Office at Laur, Nueva Ecija</t>
  </si>
  <si>
    <t>ITB and Bid Docs for Procurement ID/Contract ID:    20C00050  Contract Name:      Rehabilitation of Pampanga River (including Pulo) at Arayat and Macabebe, Pampanga</t>
  </si>
  <si>
    <t>PROCUREMENT OF VARIOUS VEHICLE PARTS &amp; ACCESSORIES / OIL &amp; LUBRICANTS USE FOR MAINTENANCE AND REHABILITATION OF THE FOLLOWING; FOR ISUZU ELF PLATE #H1308, FOR AMBULANCE AECID, MAINTENANCE OF HEAVY EQU</t>
  </si>
  <si>
    <t>CONSTRUCTION OF MULTIPURPOSE BUILDING PHASE I</t>
  </si>
  <si>
    <t>PURCHASE OF PPE (Personal Protective Equipment), HYGIENE KIT, DISINFECTING SUPPLIES, MEDICAL SUPPLIES AND OTHER EQUIPMENT FOR COVID-19</t>
  </si>
  <si>
    <t>Supply &amp; Installation of Signage used for Repair/ Improvement of Tourism Hub / Waiting Area @ Brgy. Navarro, Socorro, SDN</t>
  </si>
  <si>
    <t>Installation of Fixed Glass with Swing Door</t>
  </si>
  <si>
    <t>PROCUREMENT OF MATERIALS FOR THE REHABILITATION/IMPROVEMENT OF FMR AT BRGY. ALON, VALDERRAMA, ANTIQUE</t>
  </si>
  <si>
    <t>SUPPLY &amp; DELIVERY OF TV WITH CABLE</t>
  </si>
  <si>
    <t>Supply and Delivery of Equipment for MSU-TCTO Multi-Species Hatchery</t>
  </si>
  <si>
    <t>GENSET WITH SYNCHRONIZING PANEL (300KVA), BUTUAN AIRPORT</t>
  </si>
  <si>
    <t>SUPPLY &amp; DELIVERY OF MATERIALS FOR THE CONSTRUCTION OF DRAINAGE CANAL @ PUROK 1, BRGY. BAYAMBANG, INFANTA, PANGASINAN</t>
  </si>
  <si>
    <t>SDH-20-0420-NP(SV) LABORATORY SUPPLIES</t>
  </si>
  <si>
    <t>Procurement of Transmission Assembly</t>
  </si>
  <si>
    <t>Electric Concrete Breaker 147</t>
  </si>
  <si>
    <t>Supply and Delivery of the following Rechargeable Batteries (4 items), as per BSP Technical Specifications and Terms and Conditions</t>
  </si>
  <si>
    <t>Rehabilitation of Child Development Center, Tomitom, Ipil, ZSP.</t>
  </si>
  <si>
    <t>CONSTRUCTION AND MAINTENANCE OF LOCAL ROAD</t>
  </si>
  <si>
    <t>RFQ-APRIL 2020-05</t>
  </si>
  <si>
    <t>Rehabilitation of Child Development Center, Timalang, Ipil, ZSP.</t>
  </si>
  <si>
    <t>Construction of Multi-Purpose Building (Phase II) @ Brgy. Proper, Brgy. Zone 4, Cadiz City</t>
  </si>
  <si>
    <t>IMPROVEMENT OF ARANAS MULTI-PURPOSE HALL (COVERED COURT)</t>
  </si>
  <si>
    <t>CONTRACT OF LABOR SERVICES FOR THE RENOVATION/CONSTRUCTION OF AGTA MUSEUM IN PALAUI ISLAND, SAN VICENTE, STA. ANA, CAGAYAN CHARGED UNDER THE PARA EL MAR PRIZE WFP FUND</t>
  </si>
  <si>
    <t>Rehabilitation of Road at Bgy. Sto. Nino, Jovellar, Albay</t>
  </si>
  <si>
    <t>SUPPLY AND DELIVERY OF CONSTRUCTION MATERIALS TO BE USED FOR THE REHABILITATION OF TIMBER WHARF AT BARANGAY MANGSEE, BALABAC, PALAWAN</t>
  </si>
  <si>
    <t>INSTALLATION OF PRIMARY LINES AND ACCESSORIES INCLUDING TRANSFORMER 1 UNIT (50KVA-2019), BISLIG AIRPORT</t>
  </si>
  <si>
    <t>PROCUREMENT OF LABORATORY EQUIPMENT - MHO</t>
  </si>
  <si>
    <t>PROCUREMENT OF MATERIALS FOR THE CONSTRUCTION OF PROTECTIVE DIKE AT BRGY. BULUANGAN 1, VALDERRAMA, ANTIQUE</t>
  </si>
  <si>
    <t>Supply and delivery of Office Supplies of RSTC batch 2 to be delivered at PhilRice Batac, City of Batac, Ilocos Norte, Region I</t>
  </si>
  <si>
    <t>Supply and Delivery of Construction Materials for Improvement of Multi-Purpose Hall</t>
  </si>
  <si>
    <t>PURCHASE OF MINI DUMPTRUCK</t>
  </si>
  <si>
    <t>20JA0090 - CONCRETING OF SITIO LINDUMAN TO SITIO KANSILAYAN, BRGY. TICTAPUL FMR, BRGY. TICTAPUL, ZAMBOANGA CITY</t>
  </si>
  <si>
    <t>Procurement of Sala Set with Center Table (for various Primary Schools in LSB-North District)</t>
  </si>
  <si>
    <t>PROCUREMENT OF MATERIALS FOR THE REHABILITATION/IMPROVEMENT OF ROAD AT BRGY. LUBLUB, VALDERRAMA, ANTIQUE</t>
  </si>
  <si>
    <t>SUPPLY AND DELIVERY OF FUEL, OIL AND LUBRICANTS TO BE USED BY SBO SEA CRAFT AT BALABAC, PALAWAN</t>
  </si>
  <si>
    <t>Rehabilitation of Road at Bgy. Mabini, Jovellar, Albay</t>
  </si>
  <si>
    <t>Procurement of 3 unit Computer Desktop,etc. under P.R.No. 2173-2020-5% City Disaster Risk Reduction and Management Fund(Continuing)-2nd Bidding</t>
  </si>
  <si>
    <t>SUPPLY AND DELIVERY OF ELEVEN (11) UNITS LAPTOP AND TWO (2) UNITS DESKTOP, SANGGUNIANG BAYAN, SFADS</t>
  </si>
  <si>
    <t>Linggo ng Kabataan</t>
  </si>
  <si>
    <t>20JA0089 - CONCRETING OF SITIO STA. FE FMR, BRGY. VITALI, ZAMBOANGA CITY, ZAMBOANGA</t>
  </si>
  <si>
    <t>Purchase of One (1) Unit Water Tanker (Brand New) at Laur, Nueva Ecija</t>
  </si>
  <si>
    <t>invitation to bid bid for the Proposed Construction of Multi-Purpose Building(Exposition Building), Airport Road, Legazpi City</t>
  </si>
  <si>
    <t>PROCUREMENT OF DIESOLINE FOR COVID OPERATIONS AND OTHER DRRM RELATED ACTIVITIES -2ND POSTING</t>
  </si>
  <si>
    <t>Concreting of Barangay Road From Bangga Pepito to So. Alimatoc Public Cemetery (Phase II), Brgy. C.S. Villacin, Cadiz City</t>
  </si>
  <si>
    <t>S1-BRS20-016 - Supply and Delivery of 300kW Cummins KTA19-G2 Spare Parts to San Pascual DPP</t>
  </si>
  <si>
    <t>P.R. NO. 20-06-139</t>
  </si>
  <si>
    <t>Rehabilitation of Child Development Center, Dona Josefa, Ipil, ZSP.</t>
  </si>
  <si>
    <t>20GAF0030SVP – REPAIR/MAINTENANCE OF VARIOUS NATIONAL ROADS WITHIN LA UNION SECOND ENGINEERING DISTRICT (SUPPLY/PURCHASE OF HOT ASPHALT 60/70), DPWH-LUSDEO, NATIVIDAD, NAGUILIAN, LA UNION</t>
  </si>
  <si>
    <t>Catering Services for the Conduct of Training for the Preparation of the Learning Modules for the College of Arts and Sciences</t>
  </si>
  <si>
    <t>Procurement of 2 unit 55" TV with bracket, installation and accessories</t>
  </si>
  <si>
    <t>PROCUREMENT OF MATERIALS/ SUPPLIES FOR MODULE REPRODUCTION</t>
  </si>
  <si>
    <t>Concreting of Multi-Purpose Pavement (Pavilion) at Bgy. Maogog, Jovellar, Albay</t>
  </si>
  <si>
    <t>Supply and Delivery of Valve for MMWD Water Sources</t>
  </si>
  <si>
    <t>Construction of Pathway at Sitio Nayle, Bgy. San Roque, Jovellar, Albay</t>
  </si>
  <si>
    <t>SK Council Management (Office enhancement program)</t>
  </si>
  <si>
    <t>Procurement of Gasoline (for 1st and 2nd Quarter Utilization)</t>
  </si>
  <si>
    <t>CONSTRUCTION OF SOLAR STREETLIGHTS(BRGY.POB.ZONE V. VILLASIS, PANGASINAN)</t>
  </si>
  <si>
    <t>WIDENING AND CONCRETING OF BULAOEN EAST-CASIONAN JUNCTION ROAD , BRGY. BULAOEN EAST, SISON, PANGASINAN</t>
  </si>
  <si>
    <t>PURCHASE OF MOBILE GARBAGE BIN FOR TUGUEGARAO AIRPORT</t>
  </si>
  <si>
    <t>SUPPLY AND DELIVERY OF FUEL, OIL AND LUBRICANTS TO BE USED BY THE MUNICIPAL ENGINEERING OFFICE AT BALABAC, PALAWAN</t>
  </si>
  <si>
    <t>20JA0091 - CONCRETING OF APASAN, BRGY. DULIAN FMR, BRGY. DULIAN, ZAMBOANGA CITY, ZAMBOANGA</t>
  </si>
  <si>
    <t>supply and delivery of office supplies to be used in encoding of RSBSA forms with PR # 325 dated 6-25-2020 with an ABC 60,400.00</t>
  </si>
  <si>
    <t>INVITATION TO BID FOR CONSTRUCTION OF VEGETABLE SECTION AREA AT PUBLIC MARKET</t>
  </si>
  <si>
    <t>Rehabilitation of Road at Bgy. Rizal</t>
  </si>
  <si>
    <t>Improvement of Limbo - Pinocawan Road Vallehermoso,  Negros Oriental(s-05-2020)</t>
  </si>
  <si>
    <t>Repair/Maintenance of Ditch line along Davao-Cotabato Road (Saguing Section), k1612+689 – k1612+923 (R/S)</t>
  </si>
  <si>
    <t>PURCHASE OF AIR-CONDITIONING UNITS FOR TUGUEGARAO AIRPORT</t>
  </si>
  <si>
    <t>Concreting of Barangay Road (Phase II) @ Tiglawigan Relocation Site, Brgy. Tiglawigan, Cadiz City</t>
  </si>
  <si>
    <t>Supply and Delivery of Compressor Motor</t>
  </si>
  <si>
    <t>Purchase of Office Equipment for Senior Citizen Center at Laur, Nueva Ecija</t>
  </si>
  <si>
    <t>Purchase of One (1) Unit Grader (Brand New) at Laur, Nueva Ecija</t>
  </si>
  <si>
    <t>SUPPLY AND DELIVERY OF FUEL, OIL AND LUBRICANTS TO BE USED BY MMO SEA CRAFT BALABAC, PALAWAN</t>
  </si>
  <si>
    <t>PROVISION OF FOOD DURING THE CONDUCT OF IEC AND OTHER ACTIVITIES RELATIVE TO THE ENHANCEMENT OF ADSDPP OF BUHI, CAMARINES SUR</t>
  </si>
  <si>
    <t>Installation of Fixed Glass with Swing Door and Counter Window (Registrar Office)</t>
  </si>
  <si>
    <t>concreting of road-limcoma village, sona</t>
  </si>
  <si>
    <t>CONCRETING OF PATHWAYS, BRGY. IGCABUGAO, IGBARAS, ILOILO</t>
  </si>
  <si>
    <t>INVITATION TO BID FOR THE PROCUREMENT OF CONSTRUCTION MATERIALS FOR THE REPAIR OF DAMAGE WATER CONNECTION</t>
  </si>
  <si>
    <t>Construction of 20 Barrel Box Culvert Brgy. Iyagan, Baao, Camarines Sur</t>
  </si>
  <si>
    <t>INVITATION TO BID FOR CONSTRUCTION OF TWO UNITS PUBLIC TOILET</t>
  </si>
  <si>
    <t>Supply and Delivery of Doorknob, Heavy Duty</t>
  </si>
  <si>
    <t>Rehabilitation of Child Development Center, Buluan, Ipil, ZSP.</t>
  </si>
  <si>
    <t>PURCHASE OF FUEL, OIL AND LUBRICANTS FOR THE CONSTRUCTION OF BRGY. INDALUYON-PINAOPAWAN-IGPIGUS ROAD SECTION (RE-BID)</t>
  </si>
  <si>
    <t>Purchase of Supplies for the opening of Sindangan Cultural &amp; Sports Center as 2nd Temporary Treatment and Monitoring Facility of the municipality</t>
  </si>
  <si>
    <t>Rehabilitation of Road at Bgy. Plaza, Jovellar, Albay</t>
  </si>
  <si>
    <t>Supplies and Personal Protective Equipment against Covid 19 to be used by PSA Laguna personnel</t>
  </si>
  <si>
    <t>20J00204 - Repair/Maintenance of DPWH Building Annex A &amp; B Phase II DPWH Compound, Veterans Avenue Extension, Tetuan, Zamboanga City</t>
  </si>
  <si>
    <t>Concreting of FTMR, Barangay Atotes  Bindoy , Negros Oriental (S-18-2020)</t>
  </si>
  <si>
    <t>20J00205 - Concreting of Brgy. Angilan FMR, Brgy. Angilan, Omar Sulu</t>
  </si>
  <si>
    <t>Supply and Delivery of Motor Vehicle</t>
  </si>
  <si>
    <t>INVITATION TO BID - PROCUREMENT OF CORPORATE BUDGET SYSTEM</t>
  </si>
  <si>
    <t>Purchase of Fire Extinguisher Refill</t>
  </si>
  <si>
    <t>INVITATION TO BID FOR THE PROCUREMENT OF FUEL FOR MOBILIZATION OF VARIOUS OFFICES</t>
  </si>
  <si>
    <t>Rehabilitation/Improvement of Flood Control Project at Bgy. Aurora, Jovellar, Albay</t>
  </si>
  <si>
    <t>Rehab. of Drainage Culvert</t>
  </si>
  <si>
    <t>Purchase of office equipment and fixtures of Ajuy PNP</t>
  </si>
  <si>
    <t>19 inch rack mount cable wire manager with removable cover, etc. - CapSU Roxas</t>
  </si>
  <si>
    <t>Random Drug Testing for the Employees of the Local Government of San Mateo, Rizal</t>
  </si>
  <si>
    <t>Pre-Engineering Survey for Improvement of Road Network and Drainage Phase 2 (Surveying)</t>
  </si>
  <si>
    <t>Purchase and Delivery of Rescue and Safety Equipments for the Municipal Disaster Risk Reduction and Management Office of LGU-Mayorga, Leyte</t>
  </si>
  <si>
    <t>Purchase of Spare Parts for use in the Repair of Nissan Pick Up with Temp. Plate # 122610</t>
  </si>
  <si>
    <t>Procurement of 1 Lot Const. Materials (Construction of Bleacher Mini Gym (15m) at Tubison ES)</t>
  </si>
  <si>
    <t>20GAF0031SVP – REPAIR/MAINTENANCE OF VARIOUS NATIONAL ROADS AND BRIDGES WITHIN LA UNION SECOND ENGINEERING DISTRICT (SUPPLY/PURCHASE OF THERMOPLASTIC PAVEMENT MARKINGS - YELLOW), DPWH-LUSDEO, NATIVIDA</t>
  </si>
  <si>
    <t>20CF0140 Construction of 2STY4CL, Tambo North E/S, San Leonardo, Nueva Ecija</t>
  </si>
  <si>
    <t>“SUPPLY AND DELIVERY OF PAYAO ACCESSORIES AND  7.5HP MARINE DIESEL ENGINE AND 5.5HP MARINE GASOLINE ENGINE FOR THE CONSTRUCTION OF FRP BOATS IN THE PROVINCE OF ANTIQUE.”</t>
  </si>
  <si>
    <t>PURCHASE OF FUEL, OIL &amp; LUBRICANTS FOR THE OPENING OF ROAD (BRGY. 6 -BRGY. 4 POBLACION), IGBARAS, ILOILO</t>
  </si>
  <si>
    <t>Procurement of Electrical Supplies and Materials for the Installation of UV Disinfecting E27 LED 60W UV Germicidal Lamp with Remote Control UVC (Ultraviolet Corn Bulb)- PPF OMSC Labangan</t>
  </si>
  <si>
    <t>INVITATION TO BID FOR DEVELOPMENT OF TOURISM SPOT</t>
  </si>
  <si>
    <t>Procurement of two (2) units Laptop</t>
  </si>
  <si>
    <t>Road Improvement (0.15mx6.0mx800m) at Sitio Atipo, Adela-Sta. Rita, Poro, Cebu</t>
  </si>
  <si>
    <t>Purchase of Water Heater</t>
  </si>
  <si>
    <t>Invitation to Bid for the Procurement of Labor and Materials for the Construction of Line Canal at Barangay 5- Poblacion, Malilipot, Albay</t>
  </si>
  <si>
    <t>Installation of Solar Street Lighting System at Bgy. San Isidro, Jovellar, Albay</t>
  </si>
  <si>
    <t>20J00207 - Concreting of Brgy. Lambayong FMR, Brgy. Lambayong, Indanan, Sulu</t>
  </si>
  <si>
    <t>School supplies and other supplies</t>
  </si>
  <si>
    <t>Barangay Road Rehabilitation (0.10mX5.0mX200m) at Sitio Bagakay Sta. Rita, Poro, Cebu</t>
  </si>
  <si>
    <t>Procurement of Petroleum (Diesel and Engine Oil)</t>
  </si>
  <si>
    <t>CONSULTANCY ON HOUSING CONCERNS</t>
  </si>
  <si>
    <t>2020-154-I Procurement of  ICT Supplies</t>
  </si>
  <si>
    <t>Preparation of ISO 9001:2015 Year 2020 Surveillance Audit on August 19, 2020</t>
  </si>
  <si>
    <t>Const./Opening of FTMR,Barangay  Salong, Bindoy, Negros Oriental(S-11-2020)</t>
  </si>
  <si>
    <t>Barangay Road Rehabilitation (0.10mX5.0mX200m) at Sitio Ilihan, Cansabusab, Poro, Cebu</t>
  </si>
  <si>
    <t>SUPPLY AND DELIVERY OF LABORATORY STANDARDS UNDER EMB-ERLSD-ENVIRONMENTAL LABORATORY SERVICES SECTION (ELSS) INORGANICS LABORATORY UNIT</t>
  </si>
  <si>
    <t>SUPPLIES AND MATERIALS FOR THE CONSTRUCTION OF ENTRANCE AND EXIT SIGNAGE IN ADMIN BUILDING</t>
  </si>
  <si>
    <t>PR2020-06-00077</t>
  </si>
  <si>
    <t>Supply and Delivery of Office Supplies (5020301000-07-20-01)</t>
  </si>
  <si>
    <t>FABRICATION / INSTALLATION OF PLAYGROUND EQUIPMENT, NCDC BUILDING, IGBARAS CENTRAL ELEM. SCHOOL</t>
  </si>
  <si>
    <t>Hauling Services of Garbage from different Mainland Barangays  to Sanitary Landfill, Morong, Rizal</t>
  </si>
  <si>
    <t>Procurement of Fire Extinguisher</t>
  </si>
  <si>
    <t>Repair/Maintenance of Bridge Approaches  along Paco-Roxas-Arakan Valley Road (Mateo Bridge), k1626+730 (Equipment Rental Only)</t>
  </si>
  <si>
    <t>Purchase of Lightning Arrester</t>
  </si>
  <si>
    <t>Rehabilitation and improvement of Jimalalud - Bangcal Provincial Road Jimalalud Negros Oriental(s-13-2020)</t>
  </si>
  <si>
    <t>Barangay Road Rehabilitation (0.10mX5.0mX200m) at Sitio Melendres, Esperanza, Poro, Cebu</t>
  </si>
  <si>
    <t>Procurement of Materials for the Rehabilitation/Improvement of Municipal Roads</t>
  </si>
  <si>
    <t>For the use in the equipping, and maintenance of Gitagum Ligtas Covid Center in line with the Mitigation, Infection Prevention and Control of COVID-19 in the Municipality of Gitagum</t>
  </si>
  <si>
    <t>Procurement of LPG Cooking Gas 50kgs/cylinder (for the month of August 2020)</t>
  </si>
  <si>
    <t>RFQ 109-06-2020 TIRE FOR BOOMTRUCK</t>
  </si>
  <si>
    <t>2020-155-I Labor and Materials for Printing and Production of Tarpaulin</t>
  </si>
  <si>
    <t>Construction/Installation of Jetmatic Pumps at Various Barangays of Mayorga, Leyte</t>
  </si>
  <si>
    <t>URBAN GARDEN MATERIALS</t>
  </si>
  <si>
    <t>20J00209 - Concreting of Brgy. Panglima Alari FMR, Brgy. Panglima Alari, Sitnagkai, Tawi-Tawi</t>
  </si>
  <si>
    <t>Supply and Delivery of Breeder Stocks: Goat and Native Chicken</t>
  </si>
  <si>
    <t>IMPROVEMENT OF MULTI-PURPOSE BUILDING (INSTALLATION OF DOORS&amp; WINDOWS) BRGY. MULANGAN, IGBARAS, ILOILO</t>
  </si>
  <si>
    <t>Supply, Delivery and Installation of Rolled Carpet and Blinds</t>
  </si>
  <si>
    <t>Installation of Solar Street Lighting System at Bgy. Quitinday, Jovellar, Albay</t>
  </si>
  <si>
    <t>CONSULTANCY SERVICES ON INFRASTRUCTURE AND PUBLIC WORKS</t>
  </si>
  <si>
    <t>SUPPLY AND DELIVERY OF 40KVA STANDBY GENERATOR FOR BARANGAY 26 PUMPING STATION OF GINGOOG CITY WATER DISTRICT</t>
  </si>
  <si>
    <t>Barangay Road Rehabilitation (0.10mX5.0mX200m) at Mahayahay San Jose, Poro, Cebu</t>
  </si>
  <si>
    <t>1 Lot	Customized flags ABC: 88,450.00php</t>
  </si>
  <si>
    <t>PROCUREMENT OF MEALS FOR THE FRONTLINERS (MDRMMO)</t>
  </si>
  <si>
    <t>Installation of Solar Street Lighting System at Bgy. Calzada, Jovellar, Albay</t>
  </si>
  <si>
    <t>Supply and Delivery of Various Vehicles for Resource Generation and Management Service (RGMS)</t>
  </si>
  <si>
    <t>PURCHASE OF VARIUS IT EQUIPMENT AND SUPPLIES FOR USE OF THE SANGGUNIANG PANGLUNSOD, CAVITE CITY</t>
  </si>
  <si>
    <t>Repair/Maintenance of Guardrail along Paco-Roxas-Arakan Valley Road (Greenhills Section-Doroluman Section) k1643+200-k1672+000 (selected portion) (Equipment Rental Only)</t>
  </si>
  <si>
    <t>Common Construction Materials</t>
  </si>
  <si>
    <t>PROCUREMENT OF FERTILIZERS AND FEEDS</t>
  </si>
  <si>
    <t>20GAF0032SVP – REPAIR/MAINTENANCE OF VARIOUS NATIONAL ROADS AND BRIDGES WITHIN LA UNION SECOND ENGINEERING DISTRICT (SUPPLY/PURCHASE OF MEASURING TOOLS), DPWH-LUSDEO, NATIVIDAD, NAGUILIAN, LA UNION</t>
  </si>
  <si>
    <t>Medical Supplies for RHU</t>
  </si>
  <si>
    <t>20J00206 - Concreting of Brgy. Bohe Biti FMR, Brgy. Bohe Biti, Tipo-Tipo, Basilan</t>
  </si>
  <si>
    <t>20J00212 - Concreting of Brgy. Tubig Puti (Sitio Kan Simba) to Brgy. Niyog-Niyog (Sittio Kan Pahaw) FMR, Brgy. Tubig Puti and Brgy. Niyog-Niyog, Luuk, Sulu</t>
  </si>
  <si>
    <t>Procurement of Petroleum (Diesel and Unleaded Gas)</t>
  </si>
  <si>
    <t>SUPPLY &amp; DELIVERY OF MOTORCYCLE WITH SIDECAR (KULONG-KULONG)</t>
  </si>
  <si>
    <t>INVITATION TO BID FOR REPAIR OF MUNICIPAL GYMNASIUM</t>
  </si>
  <si>
    <t>Supply and Delivery of Free Range Chickens</t>
  </si>
  <si>
    <t>SUPPLY AND DELIVERY OF HDPE PIPES AND G.I. FITTINGS FOR REHABILITATION MATERIALS STOCKING</t>
  </si>
  <si>
    <t>Procurement of Construction Materials and Supplies for the Improvement of Public Plaza (Bayuyan Proper) in Brgy. Bayuyan, President Roxas, Capiz</t>
  </si>
  <si>
    <t>RFQ for PFN short and PHLP</t>
  </si>
  <si>
    <t>RFQ 123-06-2020 FOR CHILDREN WITH CEREBRAL PALSY</t>
  </si>
  <si>
    <t>Improvement of Road, Brgy. Talongon, Bais City, Negros Oriental(S-17-2020)</t>
  </si>
  <si>
    <t>Purchase of Spareparts for DT Forward(1,2 and 3)</t>
  </si>
  <si>
    <t>20J00211 - Concreting of Brgy. Tongehat FMR, Brgy. Tongehat, Sibuto, Tawi-Tawi</t>
  </si>
  <si>
    <t>RE-BIDDING FOR SUPPLY &amp; DELIVERY OF NUTRITION &amp; DIETETIC SUPPLIES - COMMERCIAL FORMULA MILK</t>
  </si>
  <si>
    <t>Construction of Concrete Road at Mun. Cemetery Brgy. Sulib 	Concreting of Road L-90.00mts. W-3.00 mts. T-0.10mts</t>
  </si>
  <si>
    <t>Barangay Road Rehabilitation (0.10mX5.0mX200m) at Sitio Kambangon, Adela, Poro, Cebu</t>
  </si>
  <si>
    <t>RFQ for Hardware Supplies of IGP &amp; P</t>
  </si>
  <si>
    <t>RFQ / PR 20-02-0058 / PROCUREMENT OF OP ID CARDS WITH BIOMETRIC</t>
  </si>
  <si>
    <t>FRONT LOAD COMBO WASHER-DRYER FOR HOSTEL</t>
  </si>
  <si>
    <t>RFQ for DFLP, screw and Bone Cement</t>
  </si>
  <si>
    <t>Procurement of Various Housekeeping Supplies-07-374(A)PGO</t>
  </si>
  <si>
    <t>RFQ-PR NO. 2020-06-072-PROCUREMENT OF HANDHELD RADIO FOR USE OF DPWH-LEYTE IV DEO</t>
  </si>
  <si>
    <t>Labor, Automotive Spare Parts GB3665</t>
  </si>
  <si>
    <t>Supply And Delivery of Fuel (lot #3) Labor (Lot #5) for Proposed Road Concreting from National Highway Sta. 00+015 to Sta. 00+246m leading to Maasin National Highway, Bgy. Maasin, Brooke’s Point, Pala</t>
  </si>
  <si>
    <t>20CF0133 Construction/Rehabilitation of Water Supply/Septage and Sewerage/Rain Water Collectors</t>
  </si>
  <si>
    <t>Repair of Auditor's Office</t>
  </si>
  <si>
    <t>ONE (1) YEAR INTERNET SUBSCRIPTION - PRIMARY LEASED LINE INTERNET</t>
  </si>
  <si>
    <t>Procurement of Commercial Rice, 50kgs/bag</t>
  </si>
  <si>
    <t>PR 2020-04-057 Leasing of One (1) Unit Service Vehicle Chargeable to Preliminary and Detailed Engineering (PDE)/ Validation and Reconnaissance Survey of Project/ EIA Project *4 project under FY 2021 R</t>
  </si>
  <si>
    <t>PROCUREMENT OF ONE (1) UNIT A3 BLACK AND WHITE DIGITAL COPIER</t>
  </si>
  <si>
    <t>PRINTING OF MODULAR INSTRUCTION</t>
  </si>
  <si>
    <t>SUPPLY AND DELIVERY OF PROPOSED  ADDITIONAL DEVELOPMENT OF ONE(1)SPRING SOURCE  AND TRANSMISSION PIPELINE AT SAN ISIDRO SITIO CIVULEG,  BARANGAY LUNOTAN  , GINGOOG CITY ( NEW DISCOVERED SPRING SOURCE</t>
  </si>
  <si>
    <t>Rubberized Disinfection Mat (Carpet Ribbed Matting)</t>
  </si>
  <si>
    <t>PROCUREMENT OF CONSULTANCY SERVICES FOR THE PREPARATION OF  ENVIROMENTAL IMPACT STATEMENT (EIS) REPORT FOR THE  ENVIRONMENTAL COMPLIANCE CERTIFICATE (ECC) OF THE PROPOSED  PORT AREA RECLAMATION EXPANS</t>
  </si>
  <si>
    <t>Installation of Solar Street Lighting System at Bgy. Bagacay, Jovellar, Albay</t>
  </si>
  <si>
    <t>Installation of Solar Street Lighting System at Bgy. Cabraran, Jovellar, Albay</t>
  </si>
  <si>
    <t>Procurement of Printing Supplies</t>
  </si>
  <si>
    <t>Procurement of 1,000 Vial Rabies Vaccine(10 Dose/Vial),etc. under P.R.No. 1408-2020-Office of the City Veterinarian.</t>
  </si>
  <si>
    <t>RE-BIDDING OF MEDICAL SUPPLIES 2020</t>
  </si>
  <si>
    <t>Repair of Flood Control</t>
  </si>
  <si>
    <t>RFQ / PR 20-05-1394 / PROCUREMENT OF CONSTRUCTION MATERIALS FOR THE REPAINTING OF NEB POWER HOUSE EXTERIOR WALLS AND WATER TANK HOUSE EXTERIOR WALLS</t>
  </si>
  <si>
    <t>20J00213 Concreting of Brgy. Tubig Parang FMR, Brgy. Tubig Parang, Indanan, Sulu</t>
  </si>
  <si>
    <t>RFQ for Pedicle Screws and Crosslink</t>
  </si>
  <si>
    <t>RFQ for ACL Reconstruction</t>
  </si>
  <si>
    <t>Supplies and Materials for Ramp Railings Construction of New Admin Building and Tourism</t>
  </si>
  <si>
    <t>Supply and Delivery of Common Supplies at MPW- Maguindanao Second District Engineering Office</t>
  </si>
  <si>
    <t>20GAF0033SVP – SUPPLY/PURCHASE OF FUELS FOR  THE OPERATION OF VARIOUS EQUIPMENTS AND SERVICE VEHICLES, DPWH-LUSDEO, NATIVIDAD, NAGUILIAN, LA UNION</t>
  </si>
  <si>
    <t>Purchase of Various Office Equipment and Materials for Sangguniang Bayan and Vice Mayor’s Office.</t>
  </si>
  <si>
    <t>RFQ for THA Ceramic on Ceramic</t>
  </si>
  <si>
    <t>Installation of Solar Street Lighting System at Bgy. Villa Paz, Jovellar, Albay</t>
  </si>
  <si>
    <t>Supply and Delivery of Cement for Rehabilitation of San Antonio Road and Slope Protection at P3 San Antonio</t>
  </si>
  <si>
    <t>Procurement of Fertilizer, corn seeds and sprayer distribution to farmers</t>
  </si>
  <si>
    <t>brand new multi-purpose vehicle</t>
  </si>
  <si>
    <t>RFQ 122-06-2020 REHABILITATION OF BAYWALK</t>
  </si>
  <si>
    <t>Purchase of Mag Wheels for Vehicle Nissan Urvan</t>
  </si>
  <si>
    <t>Concreting of Hilltop Panantuleng Road</t>
  </si>
  <si>
    <t>RFQ and Notice of Procurement for PR No. 2020-06-0012 - Procurement of Disinfectant and Surgical Mask for use in the DPWH Regional Office No. III</t>
  </si>
  <si>
    <t>Purchase of 30 sacks Commercial Rice for Kabankalan City District Jail Inmates Food Subsistence Allowance for July 2020</t>
  </si>
  <si>
    <t>Concreting of Roads: Centro West(Roads and Canals)</t>
  </si>
  <si>
    <t>PR NO. 1606, 1607, 1608 &amp; 1609  PRINTING SERVICES</t>
  </si>
  <si>
    <t>RFQ / PR 20-06-0280 / PROCUREMENT OF CONSTRUCTION MATERIALS FOR THE PROPOSED GUARD POST AT GATE 6</t>
  </si>
  <si>
    <t>RFQ for IM Nail, Kwire and Cerclage wire</t>
  </si>
  <si>
    <t>Food Supplies (5020305000-07-20-01)</t>
  </si>
  <si>
    <t>INVITATION TO BID 0N FUEL</t>
  </si>
  <si>
    <t>Rehabilitation/Improvement of Multi-Purpose Hall (ABC Hall) at Bgy. Plaza, Jovellar, Albay</t>
  </si>
  <si>
    <t>Hard Hat, Etc - CapSU Tapaz</t>
  </si>
  <si>
    <t>ABSORBABLE HAEMOSTAT, ABSORBENT HEMOSTATIC SPONGE ETC. FOR CSR</t>
  </si>
  <si>
    <t>Proposed Rehabilitation/Improvement of BPSO Headquarters</t>
  </si>
  <si>
    <t>REFORESTATION PLAN WITHIN MISAMIS OCCIDENTAL</t>
  </si>
  <si>
    <t>REQUEST FOR QUOTATION (RFQ) FOR VARIOUS CONSTRUCTION PROJECT</t>
  </si>
  <si>
    <t>Supply and Delivery of Flu Vaccine for City Health Office in the Implementation of Health and Wellness program.</t>
  </si>
  <si>
    <t>RE-BIDDING FOR SUPPLY &amp; DELIVERY OF NUTRITION &amp; DIETETIC SUPPLIES - KITCHEN UTENSILS</t>
  </si>
  <si>
    <t>Construction of 63 cu.m. Food Court Drainage and Septic Tank</t>
  </si>
  <si>
    <t>FUEL CONSUMPTION OF AREA XII FOR JULY, AUGUST AND SEPTEMBER 2020</t>
  </si>
  <si>
    <t>2020-156-I Procurement of Various Boots</t>
  </si>
  <si>
    <t>Purchase of Furniture &amp; Fixture at Barangay Mabini, Tanauan City, Batangas</t>
  </si>
  <si>
    <t>LARYNGOSCOPE BLADES FOR ER</t>
  </si>
  <si>
    <t>RFQ 052-03-2020 PROCUREMENT AND INSTALLATION OF 25KVA TRANSFORMER FOR COA SUB-OFFICE</t>
  </si>
  <si>
    <t>Supply and Delivery of Various Dietary Supplies and Materials</t>
  </si>
  <si>
    <t>Med, Dental &amp; Lab Supplies  (5020308000-07-20-01)</t>
  </si>
  <si>
    <t>ACCOUNT ADMINISTRATION AND MANAGEMENT OF NHA NCR-NORTH SECTOR OFFICE’S VARIOUS PROJECTS UNDER SERVICE PROVIDER</t>
  </si>
  <si>
    <t>RE-BIDDING FOR SUPPLY &amp; DELIVERY OF ENGINEERING SUPPLIES – MASONRY &amp; CARPENTRY</t>
  </si>
  <si>
    <t>RFQ for PFN Long</t>
  </si>
  <si>
    <t>2 units brand new pick-up vehicle 4x4</t>
  </si>
  <si>
    <t>RFQ for Kwire and Variable Angle Lock Plate</t>
  </si>
  <si>
    <t>SUPPLY AND DELIVERY OF TONER CARTRIDGE (40 CARTS), HP285A (HP85A) BLACK</t>
  </si>
  <si>
    <t>20MH0109 - Repair/Maintenance of Drainage along Isulan Junction- Sen. Ninoy Aquino Road (K1829+897 - K1830+247)</t>
  </si>
  <si>
    <t>PROCUREMENT OF HEAVY DUTY CORRUGATED BOX WITH PMS PRINT</t>
  </si>
  <si>
    <t>RFQ / PR 20-06-0319 / PROCUREMENT FOR SECURITY APPLIANCES FOR 8888 SYSTEMS</t>
  </si>
  <si>
    <t>RFQ-GS-20200622-05 - 1 Lot Supply, Delivery and Installation of Office Furniture at LANDBANK Las Pinas Branch</t>
  </si>
  <si>
    <t>20JC0082 - Concreting of Brgy. New Dapitan to Brgy. Farmington FMR, Brgy. New Dapitan and Brgy. Farmington, Tampilisan, Zamboanga del Norte</t>
  </si>
  <si>
    <t>REPAIR OF BATCH-TYPE MECHANICAL DRYERS (5 UNITS) IN SIGMA AND DUMALAG, CAPIZ</t>
  </si>
  <si>
    <t>Procurement of 1 Lot Const. Materials (for Construction of Perimeter Fence at Astorga ES)</t>
  </si>
  <si>
    <t>Supply and Delivery of Fry Through and other materials use on establishment of intensive tilapia hatchery system for registered hatcheries under ALPAS Project CY 2020</t>
  </si>
  <si>
    <t>CONSTRUCTION OF ADDITIONAL MULTI-PURPOSE BLDG (PHASE 1</t>
  </si>
  <si>
    <t>2nd Invitation for the Supply and Delivery of Manual and Self-Propelled Forklift</t>
  </si>
  <si>
    <t>Purchase of Various Office Supplies and Materials for Sangguniang Bayan and Vice Mayor’s Office</t>
  </si>
  <si>
    <t>Procurement of Mini - Converters</t>
  </si>
  <si>
    <t>RE-BIDDING FOR ONE (1) LOT OPERATION AND PREVENTIVE MAINTENANCE OF OXYGEN GENERATING PLANT  WITH PROVISION FOR SUPPLY &amp; DELIVERY OF CONSUMABLES (MAINTENANCE PARTS)</t>
  </si>
  <si>
    <t>SUPPLY AND DELIVERY OF CONSOLIDATED OFFICE SUPPLIES 2nd QUARTER 2020</t>
  </si>
  <si>
    <t>Procurement of 1 Lot Const. Materials (for Construction of Perimeter Fence at Sibulan ES)</t>
  </si>
  <si>
    <t>RFQ for THA (Cementless)</t>
  </si>
  <si>
    <t>Procurement and Delivery of Various Goods (Rebid)</t>
  </si>
  <si>
    <t>20JC0083 - Concreting of Brgy. Lopoc to Brgy. Dansalan FMR, Brgy. Lopoc and Brgy. Dansalan, Labason, Zamboanga del Norte</t>
  </si>
  <si>
    <t>RE-BIDDING FOR SUPPLY &amp; DELIVERY OF ENGINEERING SUPPLIES – PAINTING</t>
  </si>
  <si>
    <t>2nd Invitation for the Supply and Delivery of 4 units Multiple Extracting Machine</t>
  </si>
  <si>
    <t>Supply &amp; Delivery of Meals and Snacks to be used for the State of the Municipality Address on July 9, 2020</t>
  </si>
  <si>
    <t>Purchase of Various Dental Supplies (2020-06-097)</t>
  </si>
  <si>
    <t>SUPPLY, DELIVERY &amp; INSTALLATION OF 20 UNITS CABINET- OPEN STEEL SHELVES FOR SSS ZAMBOANGA BRANCH</t>
  </si>
  <si>
    <t>RE-BIDDING FOR SUPPLY &amp; DELIVERY OF NUTRITION &amp; DIETETIC SUPPLIES - GROCERIES</t>
  </si>
  <si>
    <t>Purchase of construction materials for the Improvement of Multi Purpose Farmers/Hall</t>
  </si>
  <si>
    <t>RFQ for DTLP, 1/3 Tubular Plate, Fowler Regular Plate and 4.5 Cannulated Screw</t>
  </si>
  <si>
    <t>REPAIR OF BATCH-TYPE MECHANICAL DRYERS (5 UNITS) IN JARO AND DUMANGAS, ILOILO</t>
  </si>
  <si>
    <t>Request for Price Quotation - Supply, Delivery and Installation of Roller Shades</t>
  </si>
  <si>
    <t>Supply and delivery of various materials to be used for Enhance Aquaculture Project Implementation and distribution regionwide</t>
  </si>
  <si>
    <t>PROCUREMENT OF UNIFORM</t>
  </si>
  <si>
    <t>additional rice packs for affected of Covid19</t>
  </si>
  <si>
    <t>Paper Bond 11 x 17, 70gsm, Subs 20</t>
  </si>
  <si>
    <t>Supply/delivery and installation of Air-conditioning Units</t>
  </si>
  <si>
    <t>RFQ for DHLP</t>
  </si>
  <si>
    <t>SUPPLY AND INSTALLATION OF ONE (SET) VENTILATOR FOR LIMAY SPORTS COMPLEX</t>
  </si>
  <si>
    <t>Two (2) units of Laptop to be used in Main Health Center</t>
  </si>
  <si>
    <t>Purchase of  Office Supplies for Various Offices R.  T. Lim, Zamboanga Sibugay</t>
  </si>
  <si>
    <t>RFQ-GS-20200622-03 - 1 Lot Supply, Deivery, Installation of Signages, Acrylic Frame Panel, Acrylic Enclosure &amp; Sunshades including Dismantling &amp; Hauling-out of existing units when necessary at 6 LANDB</t>
  </si>
  <si>
    <t>HAULING AND TIPPING FEES OF RESIDUAL WASTE FOR PERIOD COVERING FEB. 6-12, 2020</t>
  </si>
  <si>
    <t>RFQ / 20-06-1399 / PROCUREMENT OF 1 UNIT FLATBED DOCUMENT SCANNER AND 4 OTHER LINE ITEMS</t>
  </si>
  <si>
    <t>Repair/Maintenance of DepEd Building, RO-V Regional Education Learning Center (RELC) Building</t>
  </si>
  <si>
    <t>SUPPLY AND DELIVERY OF LABORATORY ITEMS UNDER EMB-ERLSD-ESRS</t>
  </si>
  <si>
    <t>Supply &amp; delivery of 1 unit Airconditioning Unit (Split Type) 2.5 HP with installation for use at the Laoag City Public Market &amp; Commercial Complex</t>
  </si>
  <si>
    <t>Repair/Maintenance of Water System of Barangays of Jovellar, Albay</t>
  </si>
  <si>
    <t>Repair/Maintenance of CHED Building, Main Building Anahaw Village, Legazpi City, Albay</t>
  </si>
  <si>
    <t>for different offices use ( Registrar, VIS, Assessment, Admin and VSA)</t>
  </si>
  <si>
    <t>ONE (1) LOT LABOR, MATERIALS AND PARTS FOR THE REPAIR OF BRANCH SERVICE VEHICLE (NOL627) OF LBP TAGAYTAY BRANCH (SUCH AS PREVENTIVE MAINTENANCE /GENERAL OVERHAUL AND CHANGE TRANSMISSION GEAR )</t>
  </si>
  <si>
    <t>BARANGAY ROAD CONCRETING, Marigomen St., Talisay, Santa Fe, Cebu - Barangay</t>
  </si>
  <si>
    <t>Procurement of Diesel (Use for Government Vehicle)</t>
  </si>
  <si>
    <t>Supply &amp; delivery of materials for the Improvement of Brgy. Hall at Barangay Boot, Tanauan City, Batangas</t>
  </si>
  <si>
    <t>PROCUREMENT OF VEHICLE TIRES, BATTERY AND VARIOUS PARTS</t>
  </si>
  <si>
    <t>Procurement of Smart LED TV (for Almendras ES, Langan ES, Tudaya ES, Coronon ES)</t>
  </si>
  <si>
    <t>REQUEST FOR QUOTATION FOR THE  RENTAL OF ACCOMMODATION FOR FRONTLINERS</t>
  </si>
  <si>
    <t>Supply and Delivery of Various Food Supplies for the Month of September 2020</t>
  </si>
  <si>
    <t>Supply &amp; delivery of materials for the Cementing of Pathway at Brgy. Gonzales, Tanauan City, Batangas</t>
  </si>
  <si>
    <t>IMPROVEMENT OF RADC CEMETERY - Matacon, Polangui, Albay</t>
  </si>
  <si>
    <t>REPAIR AND MAINTENANCE OF VEHICLE, LABOR AND MATERIALS FOR STAREX VAN (101708)</t>
  </si>
  <si>
    <t>Support for Third Quarter MOOE</t>
  </si>
  <si>
    <t>Purchase of Medical Equipment for Barangay Cabraran, Jovellar, Albay</t>
  </si>
  <si>
    <t>Supply and Delivery of Handheld Radios</t>
  </si>
  <si>
    <t>Construction/ Repair/ Rehabilitation/ Improvement of Various Infrastructure Including Local Projects - Rehabilitation of Multi-Purpose Building (Day Care Center for Health, Nutrition and Sanitation Of</t>
  </si>
  <si>
    <t>RFQ for Polo Shirt &amp; Office Curtains</t>
  </si>
  <si>
    <t>BARANGAY ROAD CONCRETING, Sitio Pantalan, Talisay, Santa Fe, Cebu - Barangay</t>
  </si>
  <si>
    <t>PROCUREMENT OF VARIOUS SUPPLIES FOR DARPO SP</t>
  </si>
  <si>
    <t>RFQ-GS-20200625-02 - 1 Lot Supply and Delivery of Every Day Carry (EDC) Basic First Aid &amp; Emergency Sling/Kit Bag with Emergency Supplies</t>
  </si>
  <si>
    <t>RFQ for Turtle Engine, etc</t>
  </si>
  <si>
    <t>One (1) Lot Supply of Labor and Materials for the Construction of PCMC's New Building (Phase 2)</t>
  </si>
  <si>
    <t>Construction/ Repair/ Rehabilitation/ Improvement of Various Infrastructure Including Local Projects - Rehabilitation of Multi-Purpose Building (Senior Citizens' Center), Baguio City</t>
  </si>
  <si>
    <t>2LSSM2020A-284 Office Supplies</t>
  </si>
  <si>
    <t>RFQ for Pocket Wifi</t>
  </si>
  <si>
    <t>Purchase of Medical Equipment for Barangay Magsaysay, Jovellar, Albay</t>
  </si>
  <si>
    <t>Propose Conversion of CHD Office into Covid-19 Testing Laboratory</t>
  </si>
  <si>
    <t>Supply &amp; Delivery of Meals and Snacks to be used for Launching of Balik Probinsya, Bagong Pag -asa Program on July 8, 2020</t>
  </si>
  <si>
    <t>2LSSM2020A-283 Office Supplies</t>
  </si>
  <si>
    <t>Procurement of Gasoline and Diesel</t>
  </si>
  <si>
    <t>G-2020-391 Repair &amp; Maintenance of Cistern/Pump Room &amp; Control Panel of Fire Hydrant, City Engineering and Infrastructure Development Department</t>
  </si>
  <si>
    <t>2LSSM2020A-290 Other Supplies and Materials</t>
  </si>
  <si>
    <t>BARANGAY ROAD REPAIR FROM SITIO NATAS-AN TO BARRIO PROPER, HILANTAGAAN, SANTA FE, CEBU - BARANGAY</t>
  </si>
  <si>
    <t>Purchase of Medical Equipment for Barangay Plaza, Jovellar, Albay</t>
  </si>
  <si>
    <t>Construction of Materials for the Recovery Facility @ Barangay Darasa, Tanauan City, Batangas</t>
  </si>
  <si>
    <t>2LSSM2020A-289 Other Supplies and Materials</t>
  </si>
  <si>
    <t>ROAD CONCRETING, Purok Kalmbuan, Poblacion, Santa Fe, Cebu - Municipal</t>
  </si>
  <si>
    <t>2LSSM2020A-288 Other Supplies and Materials</t>
  </si>
  <si>
    <t>Purchase of Military, Police and Security Equipment for the use of Laboratory Activities of BS Criminology Program of the Zamboanga Del Sur Provincial Government College, Aurora, ZDS</t>
  </si>
  <si>
    <t>Supply and Delivery of Spare parts &amp; Labor services for repair/maintenance of Vehicle with plate no. SGG 938, This Municipality</t>
  </si>
  <si>
    <t>PROCUREMENT OF FERTILIZER FOR CACAO PRODUCTION INTENSIFICATION PROJECT</t>
  </si>
  <si>
    <t>Procurement of Rescue Equipment for DRRM Operations</t>
  </si>
  <si>
    <t>Purchase of Medical Equipment for Barangay Aurora, Jovellar, Albay</t>
  </si>
  <si>
    <t>SUPPLY AND INSTALLATION OF 2.0 HP SUBMERSIBLE PUMP, SUCTION PIPE AND WIRINGS, BRGY. TIPOLO, DUENAS, ILOILO</t>
  </si>
  <si>
    <t>Construction/ Repair/ Rehabilitation/ Improvement of Various Infrastructure Including Local Projects - Rehabilitation of Road at Barangay Irisan and Pinsao Proper, Baguio City</t>
  </si>
  <si>
    <t>Supply and Delivery of Office Furniture and Fixtures</t>
  </si>
  <si>
    <t>Purchase of Medical Equipment for Barangay Calzada, Jovellar, Albay</t>
  </si>
  <si>
    <t>2LSSM2020A-287 Other Supplies and Materials</t>
  </si>
  <si>
    <t>urchase of Diesel Fuel and Special Gasoline for the End Local Communist Armed Conflict (ELCAC) Program of the Provincial Government of Zamboanga del Sur</t>
  </si>
  <si>
    <t>Construction of Barangay Nursery, Brgy. Okoy, Santa Fe, Cebu - Barangay</t>
  </si>
  <si>
    <t>2LSSM2020A-285 Other Supplies and Materials</t>
  </si>
  <si>
    <t>RFQ-GS-20200623-04 - Subscription and Installation of IP VSAT C-Band Link at Two (2) LANDBANK Offices</t>
  </si>
  <si>
    <t>Procurement of Plastic Monobloc Chairs (for Jose Rizal ES, Coronon ES, Almendras ES)</t>
  </si>
  <si>
    <t>2LSSM2020B-297 Food Supplies</t>
  </si>
  <si>
    <t>I-2020-012 Construction of 4-Sty 20 Cl. School Building, Lecheria NHS (Right Side), Barangay Lecheria</t>
  </si>
  <si>
    <t>Renovation of 2-Storey 4-Rooms President’s Cottage</t>
  </si>
  <si>
    <t>2LSSM2020B-296 Other Supplies and Materials</t>
  </si>
  <si>
    <t>Construction/ Installation of 9 Units of Solar Double Arms LED Street Lights  (100 Led)</t>
  </si>
  <si>
    <t>20NE0093 - Repair/Maintenance of DPWH Building Motorpool Dinagat Islands District Engineering Office San Jose, Dinagat Islands</t>
  </si>
  <si>
    <t>Rehabilitation of Seven (7) Purok Reading Center, Brgy. Okoy, Santa Fe, Cebu - Barangay</t>
  </si>
  <si>
    <t>WATER SYSTEM</t>
  </si>
  <si>
    <t>Regular Maintenance Services for Air-conditioning Units (ACUs) for one (1) year</t>
  </si>
  <si>
    <t>Supply and Delivery of Laboratory Equipment</t>
  </si>
  <si>
    <t>Construction of the Perimeter Fence Extension of the Science High School</t>
  </si>
  <si>
    <t>CID No. 20LE0066 CONSTRUCTION OF MODIFIED STANDARD DPWH – DEPED TWO (2) STOREY, FOUR (4) CLASSROOM SCHOOL BUILDING AT CUMASI ELEMENTARY SCHOOL, SANTA MARIA, DAVAO OCCIDENTAL</t>
  </si>
  <si>
    <t>CID No. 20LE0068 CONSTRUCTION OF MODIFIED STANDARD DPWH – DEPED ONE (1) STOREY, TWO (2) CLASSROOM SCHOOL BUILDING AT JOSE ABAD SANTOS NHS (MANGILI EXTENSION), JOSE ABAD SANTOS (TRINIDAD), DAVAO OCCIDE</t>
  </si>
  <si>
    <t>Supply and delivery of aircon</t>
  </si>
  <si>
    <t>2LSSM2020B-295 Office Supplies</t>
  </si>
  <si>
    <t>PREVENTIVE MAINTENANCE AND CALIBRATION SERVICES OF ONE (1) UNIT NIC MERCURY ANALYZER MA-3000 (S/N:13740229) WITH SUPPLY AND DELIVERY OF SPAREPARTS UNDER EMB-ERLSD-ELSS–ECMU</t>
  </si>
  <si>
    <t>PR No. 1000033132 dated 15 June 2020</t>
  </si>
  <si>
    <t>RFQ-GS-20200626-02 - 1 Lot Printing and Delivery of 40,000 Sets Welcome Letters and Envelopes for OFBank Visa Debit &amp; Paywave Debit Cards</t>
  </si>
  <si>
    <t>Rehabilitation/Improvement of Level II Waterworks Systems</t>
  </si>
  <si>
    <t>Installation of Hand Washing Area FY 2020</t>
  </si>
  <si>
    <t>Rental of One (1) unit Service Vehicle for Pag-IBIG Fund San Pablo City Branch</t>
  </si>
  <si>
    <t>G-2020-393 Supply and Delivery of Rice, Office of the City Mayor</t>
  </si>
  <si>
    <t>Supply and delivery of materials for the construction of Luparan PWS</t>
  </si>
  <si>
    <t>PROPOSED CONCRETING OF PATHWAYS/CATWALK AT SITIO PALANAS, SITIO SUBOK,  SITIO CENTRO</t>
  </si>
  <si>
    <t>PB2020-07-006 GAA Procurement of Service Provider for Shuttle Services for CHED Employees for Three (3) Months</t>
  </si>
  <si>
    <t>Procurement of 234,000 pieces Bangus Fingerlings, 3-4 inches</t>
  </si>
  <si>
    <t>Invitation to Bid for the Procurement of Assorted Laboratory Supplies-REFERENCE # 2020-06-06</t>
  </si>
  <si>
    <t>PR No. 1000033226 dated 23 June 2020</t>
  </si>
  <si>
    <t>I-2020-016 Construction of Senior Citizen Building, Villa Palao, Barangay Banlic</t>
  </si>
  <si>
    <t>Invitation to Bid for the Procurement of Assorted Technical and Scientific Equipment-REFERENCE # 2020-06-05</t>
  </si>
  <si>
    <t>PROCUREMENT  OF ONE  (1) UNIT  BRAND NEW NON- REFRIGERATED CLOSE MEAT DELIVERY VAN   (2ND CALL)</t>
  </si>
  <si>
    <t>MG-PLM20-137 - POWER TOOL KIT COMPLETE POWER/ELECTRICAL KIT</t>
  </si>
  <si>
    <t>MG-PHP20-024 - INSULATING VARNISH, RED</t>
  </si>
  <si>
    <t>I-2020-017 Concreting of Road, Kapayapaan Road, Barangay Canlubang</t>
  </si>
  <si>
    <t>Public Bidding for the Procurement of Security Service for various facilities of the Roxas City Government under ITB No. 2020-016</t>
  </si>
  <si>
    <t>2LSSM2020A-286 Other Supplies and Materials</t>
  </si>
  <si>
    <t>Purchase of Office Supplies and Other Materials</t>
  </si>
  <si>
    <t>MG-PLM20-136 - GENERAL SERVICES OF 13 FIRE EXTINGUISHERS AND OTHER ACTIVITIES</t>
  </si>
  <si>
    <t>20CSDB01 Conduct of Feasibility Study/Pre-Feasibility Study/Preliminary and Detailed Engineering Activities</t>
  </si>
  <si>
    <t>CONSTRUCTION OF CITY TOURISM OFFICE</t>
  </si>
  <si>
    <t>“Procurement of Various Materials for the Improvement of Multi-Purpose Building”</t>
  </si>
  <si>
    <t>MG-PLM20-135 - GRAVELLING OF POWER CHANNEL ACCESS ROAD RIGHT SIDE PORTION FACING UPSTREAM WITH A TOTAL VOLUME OF 310 CU. M.</t>
  </si>
  <si>
    <t>MG-PAT20-037 - ENVELOPE, EXPANDED, LONG WITH TIE, COLORED GARTERIZED &amp; 16 OTHER ITEMS</t>
  </si>
  <si>
    <t>Public Bidding of 2 Lots for the Supply and Delivery of Detachable Tablet Laptops, Shredder and Printer for City Administrator’s Office and City Mayor’s Office under ITB No. 2020-017</t>
  </si>
  <si>
    <t>NOTICE OF INVITATION TO BID FOR THE PROCUREMENT OF 2020 CAPITAL OUTLAY PROJECTS FOR NFA REGION VII (REPAIR OF FLOORING OF GID WAREHOUSE  IN NFA TAGBILARAN, BOHOL)</t>
  </si>
  <si>
    <t>HO-PAW20-008 - DEVELOPER PART #DV 116 (FOR MINOLTA BIZHUB 215) &amp; 7 OTHER ITEMS</t>
  </si>
  <si>
    <t>PRINTING OF LEARNING PACKETS OR MODULES FOR INSTRUCTION</t>
  </si>
  <si>
    <t>Supply and Delivery of Construction Materials for Multi-Purpose Hall</t>
  </si>
  <si>
    <t>MG-PHP20-018 - CLIPBOARD #120 &amp; 9 OTHER ITEMS</t>
  </si>
  <si>
    <t>Procurement of Flu Vaccine Quadrivalent &amp; Prefilled Syringe</t>
  </si>
  <si>
    <t>MG-PLM20-101 - FABRICATION AND INSTALLATION OF THE CONCRETE PERMANENT MONUMENT AT THE BOUNDARY OF PULANGI IV HEP PERIPHERY</t>
  </si>
  <si>
    <t>Procurement of Shredder for Biodegrable Materials with Chipper Machine</t>
  </si>
  <si>
    <t>PCCAHS BOTANICAL GARDEN</t>
  </si>
  <si>
    <t>Pipe Laying at Calumpang Cerca, Indang, Cavite</t>
  </si>
  <si>
    <t>MG-PAT20-032 - PIN, TAPERED 10 X 70 WITH INTERNAL THREAD</t>
  </si>
  <si>
    <t>2LSSM2020A-294 Food Supplies</t>
  </si>
  <si>
    <t>G-2020-392 Supply and Delivery of Cleaning Materials, Rainboots &amp; Raincoats, City Environment and Natural Resources Department</t>
  </si>
  <si>
    <t>Construction of Pathways Sitio Bandera</t>
  </si>
  <si>
    <t>Procurement of 1 lot supply  of labor and materials for the repair/improvement of PANDACAN Post Office. Mega Manila</t>
  </si>
  <si>
    <t>Purchase of 77 units customized E-Trike units for the Legacy Projects of the City of Imus of Imus</t>
  </si>
  <si>
    <t>Various Production Equipment and Accessories</t>
  </si>
  <si>
    <t>CONSTRUCTION OF MULTI-PURPOSE FACILITIES</t>
  </si>
  <si>
    <t>Learners Packet (Learning Modules) for SHS Students of SFMNHS for SY 2020-2021</t>
  </si>
  <si>
    <t>2LSSM2020A-293 Food Supplies</t>
  </si>
  <si>
    <t>SUPPLY AND DELIVERY OF SEVEN (7) UNITS DIGITAL PRINTING/DUPLICATING  MACHINE FOR VARIOUS COLLEGES (FOR  INSTRUCTIONAL DELIVERY VIA FLEXIBLE  LEARNING MODALITIES)</t>
  </si>
  <si>
    <t>Design and Build for the Preparation of Detailed Engineering Design and Construction of the Proposed Central Materials Recovery Facility of Marawi City at Brgy. Malimono, Marawi City</t>
  </si>
  <si>
    <t>Cost of school supplies to be distributed by the Local Council for the Protection of Children for the upcoming Grade 1 students in selected public elementary schools For year 2020</t>
  </si>
  <si>
    <t>THERMAL PAPER</t>
  </si>
  <si>
    <t>SUPPLY AND DELIVERY OF ONE (1) SET  PRINTING PRESS SET-UP</t>
  </si>
  <si>
    <t>2LSSM2020A-292 Food Supplies</t>
  </si>
  <si>
    <t>CID No. 20LE0124 REPAIR / MAINTENANCE OF DA BUILDING DA OFFICE BUILDING, POBLACION, STA. MARIA, DAVAO OCCIDENTAL</t>
  </si>
  <si>
    <t>Supply and Delivery of One (1) unit Printer Coding Machine, as per BSP Technical Specifications and Terms and Conditions</t>
  </si>
  <si>
    <t>Cost of Various Medical Equipment, Supplies and Consumables to be used in Ospital ng Imus Dialysis Center</t>
  </si>
  <si>
    <t>SUPPLY AND DELIVERY OF NUTRITIONAL SUPPLEMENTS</t>
  </si>
  <si>
    <t>Procurement of 1 lot Labor and materials for the repair/improvement of ERMITA Post Office, Mega Manila</t>
  </si>
  <si>
    <t>20CSDB02 Conduct of Feasibility Study/Pre-Feasibility Study/Preliminary and Detailed Engineering Activities</t>
  </si>
  <si>
    <t>2LSSM2020A-291 Other Supplies and Materials</t>
  </si>
  <si>
    <t>CID No. 20LE0125 REPAIR / MAINTENANCE OF DILG BUILDING PNP BUILDING 1, POBLACION, STA. MARIA, DAVAO OCCIDENTAL</t>
  </si>
  <si>
    <t>Supply and Delivery of Garbage Compactor Truck</t>
  </si>
  <si>
    <t>ICT Equipment</t>
  </si>
  <si>
    <t>REPAIR AND MAINTENANCE-BDRRMC VEHICLE</t>
  </si>
  <si>
    <t>Public Bidding for the Supply and Delivery of Visitor Chair and Computer Table for Human Resource Management Office (HRMO) under ITB No. 2020-018</t>
  </si>
  <si>
    <t>Procurement of 1 lot supply  of labor and materials for the repair/improvement of SAMPALOC Post Office. Mega Manila</t>
  </si>
  <si>
    <t>Purchase of one (1) Unit Multi-Cab for Solid Waste Collection, Poblacion, Santa Fe, Cebu - Municipal</t>
  </si>
  <si>
    <t>SUPPLY AND DELIVERY OF LABORATORY CHEMICALS UNDER EMB-ERLSD-ENVIRONMENTAL LABORATORY SERVICES SECTION (ELSS) ORGANICS LABORATORY UNIT</t>
  </si>
  <si>
    <t>“Procurement of Various Materials for the Construction of One (1) Unit Palay Shed”</t>
  </si>
  <si>
    <t>Procurement of 1 lot supply of labor &amp; materials for the repair/improvement of STA. MESA Post Office, Mega Manila</t>
  </si>
  <si>
    <t>Procurement of Supplies and Materials for COVID 19 Preparedness and Response</t>
  </si>
  <si>
    <t>Printing Services: Brown Environment Report</t>
  </si>
  <si>
    <t>Procurement of Alcohol for COVID 19 Preparedness and Response</t>
  </si>
  <si>
    <t>Procurement of 1 lot supply of labor and materials for the repair/improvement of SAN ANDRES Post Office, Mega Manila</t>
  </si>
  <si>
    <t>Supply and Delivery of Various ICT Equipment for 2020 MITHI Program (DOST IX-20-003B)</t>
  </si>
  <si>
    <t>VARIOUS OFFICE SUPPLIES</t>
  </si>
  <si>
    <t>Re-connection of water system from entrance gate to the school buildings SY 2020-2021</t>
  </si>
  <si>
    <t>PROCUREMENT OF DRUGS AND MEDICINES FOR USE AT KALINGA PROVINCIAL HOSPITAL, 20-05-804</t>
  </si>
  <si>
    <t>Procurement of Equipment for Slaughterhouse Operation</t>
  </si>
  <si>
    <t>MG-PLM20-118 - REMOVAL OF ACCUMULATED SEDIMENTS OF CANAL AT DAM AREA WITH A TOTAL DISTANCE OF 180 METERS AND COMPLETE CLEARING, CUTTING AND UPROOTING OF SHRUBS AROUND EMERGENCY SPILLWAY AREA WITH AN E</t>
  </si>
  <si>
    <t>Construction of Diversion Dam, LMC (Sta. 0+000 – 1+200), RMC (Sta. 0+000 – 0+770), Lat. A (Sta. 0+000 – 0+240) &amp; Appurtenant Structures, and Access Roads of Dulay CIS</t>
  </si>
  <si>
    <t>REQUEST FOR QUOTATION (RFQ)  PROCUREMENT FOR DISPOSABLE FILTER UNIT FOR MALABON ANALYZER RFQ No.055 -2020</t>
  </si>
  <si>
    <t>REQUEST FOR QUOTATION (RFQ)  PROCUREMENT FOR INKS (CPD) RFQ No.053 -2020</t>
  </si>
  <si>
    <t>Procurement of 1 unit 6-wheeler Dumptruck</t>
  </si>
  <si>
    <t>CONSTRUCTION OF WATER SUPPLY SYSTEM</t>
  </si>
  <si>
    <t>REQUEST FOR QUOTATION (RFQ)  PROCUREMENT FOR PRINTER, MICRO SD,POWER BANK RFQ No.054 -2020</t>
  </si>
  <si>
    <t>CONCRETING OF BARANGAY ROAD</t>
  </si>
  <si>
    <t>OFFICE SUPPLIES- NCMF LETTERHEAD</t>
  </si>
  <si>
    <t>REQUEST FOR QUOTATION (RFQ)  PROCUREMENT FOR INKS (ORD) RFQ No.052 -2020</t>
  </si>
  <si>
    <t>Starter kit for School on the air on rice based farming</t>
  </si>
  <si>
    <t>AMP SVP-S 20-07-0094B: Supply, Delivery and Installation of Furniture and Fixture for Renovation of Room 2A and 3A (PAEP OFFICE) of Fonacier Hall</t>
  </si>
  <si>
    <t>Reproduction of IEC Materials</t>
  </si>
  <si>
    <t>20M0103</t>
  </si>
  <si>
    <t>MOOE, BDF &amp; RRMF 2020 - Office Supplies, Refill of Fire Ext., CCTV Camera, supplies, devices &amp; gen. mdse.</t>
  </si>
  <si>
    <t>SUPPLY AND DELIVERY OF 5 UNITS CORN HUSKER-SHELLER TO MINIMIZE POST-HARVEST LOSSES AND INCREASE POST HARVEST EFFICIENCY UNDER CORN PROGRAM FOR CY 2020</t>
  </si>
  <si>
    <t>Rehabilitation &amp; Improvement of Level II Water System</t>
  </si>
  <si>
    <t>Improvement of Roadway</t>
  </si>
  <si>
    <t>AMP SVP-D NO: 20-07-0299B: Benchtop Vortex Mixer and Accessories</t>
  </si>
  <si>
    <t>REQUEST FOR QUOTATION (RFQ)  PROCUREMENT FOR PUMP REBUILT KIT RFQ No.060 -2020</t>
  </si>
  <si>
    <t>Procurement of Pick-up Vehicles</t>
  </si>
  <si>
    <t>SUPPLIES AND DELIVERY OF REPAIR AND MAINTENANCE AND OFFICE SUPPLIES, SEMI-EXPENDABLE ICT EQUIPMENT</t>
  </si>
  <si>
    <t>Procurement of hardware materials for the Construction of Temporary Motorpool</t>
  </si>
  <si>
    <t>construction of footbridge</t>
  </si>
  <si>
    <t>Purchase of Health &amp; Sanitation Materials/Supplies &amp; Equipment</t>
  </si>
  <si>
    <t>improvement of day care center</t>
  </si>
  <si>
    <t>Upgrading of Local Access Road in Poblacion (Concreting of Atilano St. to Paragas St. to Lopez Jaena St.) - Construction of line canal with concrete cover</t>
  </si>
  <si>
    <t>Procurement of One (1) unit Multi-Purpose Vehicle</t>
  </si>
  <si>
    <t>REQUEST FOR QUOTATION (RFQ)  PROCUREMENT FOR 5 FILTER MASS CAL. VERIFICATION KIT RFQ No.056 -2020</t>
  </si>
  <si>
    <t>Procurement of Hardware Materials for the Proposed Artificial Insemination Center</t>
  </si>
  <si>
    <t>OFFICE SUPPLIES-PRINTER TONER</t>
  </si>
  <si>
    <t>Request for Quotation for Module / Learning Packet</t>
  </si>
  <si>
    <t>REQUEST FOR QUOTATION (RFQ)  PROCUREMENT FOR XENON LAMP TYPE B,150 w for DOAS RFQ No.047 -2020</t>
  </si>
  <si>
    <t>REQUEST FOR QUOTATION (RFQ)  PROCUREMENT FOR INKS (FAD) RFQ No.051 -2020</t>
  </si>
  <si>
    <t>INSTALLATION OF STREETLIGHTS</t>
  </si>
  <si>
    <t>Supply and Delivery of Customized Movable Waste Collection Facility with Plastic Bins/Containers</t>
  </si>
  <si>
    <t>Proposed Various Drainage Maintenance (De-clogging and Clearing) Located at Barangay Plaza Aldea,Tabing-Ilog,Mag-Ampon,Kat-Bayani,Kay-buto and Tandang-Kutyo, Tanay,Rizal</t>
  </si>
  <si>
    <t>IMPROVEMENT OF MULTI-PURPOSE BUILDING</t>
  </si>
  <si>
    <t>SUPPLY AND DELIVERY OF IT EQUIPMENT &amp; SUPPLIES FOR FACULTY AND STUDENTS OF VARIOUS COLLEGES (FOR INSTRUCTIONAL DELIVERY VIA FLEXIBLE LEARNING MODALITIES)</t>
  </si>
  <si>
    <t>Supply and Delivery of Petroleum for FY 2020</t>
  </si>
  <si>
    <t xml:space="preserve">Supply and Delivery of Lot 1- Airvent Type Greenhouse with Anteroom and Supply, Delivery and Installation of Pre-Fabricated Rain Shelter, Lot 2- Split Type Aircon, Lot 3-Steel Upright 4 Doors Chiller </t>
  </si>
  <si>
    <t>procurement of 45 pieces Pushcarts (including plastic tray)</t>
  </si>
  <si>
    <t>Concreting of road - Mun. compound</t>
  </si>
  <si>
    <t>Covered Pathway for Senior High School at NOCNHS, Ormoc City</t>
  </si>
  <si>
    <t>Construction of Pathways Sitio Palawan</t>
  </si>
  <si>
    <t>MATERIALS FOR REPAIR AND ENHANCEMENT OF HAND WASHING FACILITIES (TILES)</t>
  </si>
  <si>
    <t>Procurement of 1 lot supply of labor and materials for the repair/improvement of Tondo Post Office, Mega Manila</t>
  </si>
  <si>
    <t>Supply and delivery of 266 Pieces 6-inch dia. High Density Polyethylene Pipe &amp; Tubing (HDPE), ABC PHP2,420,600.00</t>
  </si>
  <si>
    <t>Request for Quotation for LABOR AND MATERIALS FOR FABRICATION AND INSTALLATION OF GATES PANAFLEX SIGNAGES 0392</t>
  </si>
  <si>
    <t>RE-BIDDING FOR SUPPLY &amp; DELIVERY OF LABORATORY SUPPLIES - BACTERIOLOGY REAGENTS - I</t>
  </si>
  <si>
    <t>CONSTRUCTION OF SLOPE PROTECTION ALONG PROVINCIAL ROAD, PANTIKIAN</t>
  </si>
  <si>
    <t>CRCF: 1 SERVICE -ARCHITECT FOR THE MONTH OF AUGUST TO DECEMBER 2020</t>
  </si>
  <si>
    <t>2020-06-285 CANVASS FOR HOSPITAL/MEDICAL EQUIPMENT</t>
  </si>
  <si>
    <t>Purchase of Agricultural Production and Post-harvest Machinery and Equipment</t>
  </si>
  <si>
    <t>Procurement of Consulting Services of a Media Planning and Placement Agency for the Philippine Tourism Branding for Opportunity and Emerging Markets</t>
  </si>
  <si>
    <t>Supply and Delivery of Medical Equipment</t>
  </si>
  <si>
    <t>First quarter Procurement 2020</t>
  </si>
  <si>
    <t>PROCUREMENT OF MEDICAL SUPPLIES</t>
  </si>
  <si>
    <t>20CSA007 (Rebid): GEOTECHNICAL AND GEOLOGICAL SURVEY (SOIL BORING EXPLORATION) OF VARIOUS BUILDINGS IN LA UNION</t>
  </si>
  <si>
    <t>LOT 2-CONSTRUCTION OF WOODEN BLEACHER (COVERED COURT) PHASE 4</t>
  </si>
  <si>
    <t>Procurement of Fluids</t>
  </si>
  <si>
    <t>RSS NO. 41-43</t>
  </si>
  <si>
    <t>Procurement of air coolers</t>
  </si>
  <si>
    <t>PROCUREMENT OF GOODS- Vitamin C plus</t>
  </si>
  <si>
    <t>20AC0060 - Construction of Seawall at Paratong-Subec, Sta. Catalina, Ilocos Sur</t>
  </si>
  <si>
    <t>20CSB004: Consulting Services for the Geotechnical Investigation for Proposed Flood Control Projects, Provinces of Isabela and Nueva Vizcaya</t>
  </si>
  <si>
    <t>20CSB003: Consulting Services for the Feasibility Study of Proposed Baybayog Bypass Road at Alcala in the Province of Cagayan</t>
  </si>
  <si>
    <t>Supply and Delivery of   Medical and Laboratory Supplies (PR No. 20-06-0228)</t>
  </si>
  <si>
    <t>Construction/Rehabilitation of Existing Drainage System at Brgy. Tabucan, Mandurriao, Iloilo City (Bid No. 20-133)</t>
  </si>
  <si>
    <t>Construction/Rehabilitation of Existing Drainage System at Brgy. Taft North, Mandurriao, Iloilo City (Bid No. 20-126)</t>
  </si>
  <si>
    <t>Rehabilitation of All Gabaldon Building at Hibao-an Elementary School, Mandurriao, Iloilo City (Bid No. 20-107)</t>
  </si>
  <si>
    <t>Procurement of Supplies</t>
  </si>
  <si>
    <t>Supply and Delivery of Field Supplies (PR No. 20-05-0218)</t>
  </si>
  <si>
    <t>20CSB005: Consulting Services for the Geotechnical Investigation for Proposed Flood Control Projects, Provinces of Cagayan</t>
  </si>
  <si>
    <t>Supply and Delivery of Steel Cabinet (PR No. 20-05-0212)</t>
  </si>
  <si>
    <t>Supply and Delivery of Toothbrush (PR No. 20-05-0209)</t>
  </si>
  <si>
    <t>Supply and Delivery of Office Supplies (PR No. 20-06-0232)</t>
  </si>
  <si>
    <t>Materials for the Proposed Multi Purpose Hall</t>
  </si>
  <si>
    <t>Supply and Delivery of Various Equipments (PR No. 20-04-0164)</t>
  </si>
  <si>
    <t>Supply and Delivery of various construction materials for the construction of Health Center Extension, Brgy Puelay, Villasis, Pangasinan</t>
  </si>
  <si>
    <t>Preventive Maintenance Services for Various Hospital Equipment for 2020</t>
  </si>
  <si>
    <t>GENERAL PEST CONTROL AND TERMITE CONTROL SERVICES FOR SELECTED PUBLIC SCHOOLS (CLUSTER 8 TO CLUSTER 10) IN THE CITY OF DASMARIÑAS, CAVITE</t>
  </si>
  <si>
    <t>PROCUREMENT OF ALL-IN-ONE DESKTOP COMPUTER WITH PRINTER</t>
  </si>
  <si>
    <t>SUPPLY AND DELIVERY OF FLOW METERS FOR REPLACEMENT OF MALFUNCTIONING UNITS IN SHALLOW 1, SAN AGUSTIN AND SHALLOW WELL 2  AND 3, SAN PABLO.</t>
  </si>
  <si>
    <t>CONSTRUCTION OF SAN ROQUE RIVER CONTROL</t>
  </si>
  <si>
    <t>REHABILITATION OF MADALAG RIVER CONTROL</t>
  </si>
  <si>
    <t>Provision of Materials &amp; Labor for Drilling Works of Potable Water Supply (PWS) at Libertad National High School, Barangay Libertad, Surallah</t>
  </si>
  <si>
    <t>ITB No. 20 - 26: Procurement of Medical Surgical Supplies</t>
  </si>
  <si>
    <t>Procurement of Vehicle-06-388(O)PEO</t>
  </si>
  <si>
    <t>Procurement of Various IT Equipment-06-389(O)PEO</t>
  </si>
  <si>
    <t>Procurement of Various Housekeeping Supplies-06-024(V)PDH</t>
  </si>
  <si>
    <t>Procurement of Various Spare Parts-06-385(O)PEO</t>
  </si>
  <si>
    <t xml:space="preserve">Construction Materials and Supplies for use in the Construction of Water System at Brgy. Burbuli, Baco, Oriental Mindoro/ Brgy. Poblacion Baco, Oriental Mindoro/ Brgy. Panggalaan, Calapan City/ Brgy. </t>
  </si>
  <si>
    <t>Procurement of Various Spare Parts-06-386(O)PEO</t>
  </si>
  <si>
    <t>Procurement of Various Construction Supplies and Materials-06-387(O)PEO</t>
  </si>
  <si>
    <t>Procurement of Various Construction Supplies and Materials-06-374(O)PEO</t>
  </si>
  <si>
    <t>Procurement of Various Construction Supplies and Materials-04-218(O)PEO</t>
  </si>
  <si>
    <t>Procurement of Various Aggregates Supplies-03-153(O)PEO</t>
  </si>
  <si>
    <t>Vehicle Parts and Accessories for use of Various Provincial Equipment</t>
  </si>
  <si>
    <t>Procurement of Various Aggregates Supplies-05-291(O)PEO</t>
  </si>
  <si>
    <t>Construction/Rehabilitation of Existing Drainage System at Brgy. Kahirupan, City Proper, Iloilo City (Bid No. 20-134)</t>
  </si>
  <si>
    <t>Cleaner,toilet bowl</t>
  </si>
  <si>
    <t>Supply &amp; Delivery of Hardware and Construction Supplies (GOODS2020-09)</t>
  </si>
  <si>
    <t>Procurement of 1 unit Vehicle</t>
  </si>
  <si>
    <t>Improvement of Multi-Purpose Facility ( Perimeter Fence)</t>
  </si>
  <si>
    <t>Purchase of 28 pcs. wheelchair for use of Persons with Disabilities (PWDs) of the Municipality of Dingras, Ilocos Norte.</t>
  </si>
  <si>
    <t>Improvement of Multi-Purpose Hall (Extension Building)</t>
  </si>
  <si>
    <t>CONSTRUCTION OF COVERED CANAL AT JUAN REYES STREET AND JASMIN STREET, BALUYOT SUBDIVISION</t>
  </si>
  <si>
    <t>Supply and Delivery of various construction materials for the construction of Barraca Multi-Purpose Hall Phase IV, Brgy. Barraca, Villasis, Pangasinan</t>
  </si>
  <si>
    <t>Tires for TJPH-2020-0023</t>
  </si>
  <si>
    <t>PROCUREMENT OF SESSION TABLE, CHAIRS AND SOFA BED</t>
  </si>
  <si>
    <t>SUPPLY AND DELIVERY OF SURVEYING INSTRUMENTS &amp; ACCESSORIES</t>
  </si>
  <si>
    <t>Supply and Delivery of Water Meter 1/2" - 2nd Quarter</t>
  </si>
  <si>
    <t>20BE0091 - REPAIR/MAINTENANCE OF FUEL STATION BUILDING AT DPWH-ISABELA FIRST DISTRICT ENGINEERING OFFICE, OSMEÑA, CITY OF ILAGAN, ISABELA</t>
  </si>
  <si>
    <t>Supply and Delivery of G.I Fittings - 2nd Quarter 2020</t>
  </si>
  <si>
    <t>AMP SVP-S NO: 20-06-0159D Supply, Delivery and Installation of Furniture for Various PGC Offices</t>
  </si>
  <si>
    <t>Supply and Delivery of Polyethylene Tubing - 2nd Quarter 2020</t>
  </si>
  <si>
    <t>Procurement of 13,518 Liters of Fuel (Diesel)</t>
  </si>
  <si>
    <t>6-UNITS FLANGE IMMERSION HEATER FOR EEMO-REBID</t>
  </si>
  <si>
    <t>Supply and Delivery of Flow Meter - 2nd Quarter 2020</t>
  </si>
  <si>
    <t>IMPROVEMENT OF SB BUILDING PHASE II</t>
  </si>
  <si>
    <t>Maintenance Work at the Museo ni Jose Rizal-Calamba in Calamba, Laguna</t>
  </si>
  <si>
    <t>Maintenance Work at the Museo ni Emilio Aguinaldo in Kawit, Cavite</t>
  </si>
  <si>
    <t>HIRE OF VAN</t>
  </si>
  <si>
    <t>Printing of Learner Packets for Grade 7-10</t>
  </si>
  <si>
    <t>Supply and Delivery of C.I Fittings - 2nd Quarter 2020</t>
  </si>
  <si>
    <t>Purchase of Ambulance</t>
  </si>
  <si>
    <t>2020 Learning Session Corporate Notepad</t>
  </si>
  <si>
    <t>CONSTRUCTION OF CONCRETE PIPES CULVERT</t>
  </si>
  <si>
    <t>20CSA008: Consultancy Services for the Conduct of Feasibility Study of Proposed Construction of By-Passes/Diversion Roads, Bani-Bolinao Bypass Road (Region I)</t>
  </si>
  <si>
    <t>Procurement of one unit desktop</t>
  </si>
  <si>
    <t>Purchase and Delivery of Construction Materials for the Construction of Water System in Camambugan Elementary School, Brgy. Camambugan, Dingle, Iloilo</t>
  </si>
  <si>
    <t>Procurement of Tourism Destination Marketing Company for Vietnam</t>
  </si>
  <si>
    <t>Supply and Delivery of various laboratory equipments</t>
  </si>
  <si>
    <t>Supply and Delivery of Brass Fittings - 2nd Quarter 2020</t>
  </si>
  <si>
    <t>Drugs &amp; Medicines for CDH-2020-0036, 0060, 0067, HOD-2020-0160, 0165, IPRH-2020-0314, LZDH-2020-0062, 0065, PHO-2020-0396-0398, TJPH-2020-0106, 0107, 0111, 0114</t>
  </si>
  <si>
    <t>Repair of One (1) unit Fumehood - Repost</t>
  </si>
  <si>
    <t>Supply and Delivery of Construction Materials for Routine Maintenance (Construction Materials / Hand Tools ) (Roads) (CY-2020-2nd Quarter).</t>
  </si>
  <si>
    <t>Supply and Delivery of Labor and Materials for the Improvement of Storage and Maintenance Facility</t>
  </si>
  <si>
    <t>Purchase of Medical, Dental and Laboratory Supplies for the use of  PHO, Bataan</t>
  </si>
  <si>
    <t>SUPPLY AND DELIVERY OF FURNITURES AND FIXTURES</t>
  </si>
  <si>
    <t>CRRCF : 2 SERVICE -SITE ENGINEER FOR THE MONTH OF AUGUST TO DECEMBER 2020 (AVRC III AND DSWD FO IX)</t>
  </si>
  <si>
    <t>NOTICE FOR NEGOTIATED PROCUREMENT</t>
  </si>
  <si>
    <t>SECURITY SERVICES FOR 2020-2021</t>
  </si>
  <si>
    <t>Procurement of Various Construction Supplies and Materials-06-394(O)PEO</t>
  </si>
  <si>
    <t>Supply and Delivery of Reflectorized Thermoplastic Pavement Markings for the use of MMIIDEO along Various National Roads (CY-2020-2nd Quarter).</t>
  </si>
  <si>
    <t>CONCRETING OF BARANGAY ROAD  AT BRGY. SAG-ANG</t>
  </si>
  <si>
    <t>SUPPLIES/MATERIALS FOR THE MAINTENANCE OF VARIOUS RP VEHICLES (VOLVO DUMP TRUCKS)</t>
  </si>
  <si>
    <t>REQUEST FOR QUOTATION-FURNITURE</t>
  </si>
  <si>
    <t>Procurement of Various Spare Parts-06-371(A)PGO</t>
  </si>
  <si>
    <t>Request for Quotation of Garbage Can</t>
  </si>
  <si>
    <t>Brand New Pick-Up for Laguna Traffic Management Office (LTMO) Operations Division</t>
  </si>
  <si>
    <t>Procurement of Various Spare Parts-06-370(A)PGO</t>
  </si>
  <si>
    <t>Procurement of Office Supplies and T-Shirts (for Office use)</t>
  </si>
  <si>
    <t>Procurement of Various Spare Parts-06-369(A)PGO</t>
  </si>
  <si>
    <t>Air Conditioning Units for Legislative Building (New Sangguniang Panlalawigan Building)</t>
  </si>
  <si>
    <t>Procurement of Electrical Supplies-06-391(O)PEO</t>
  </si>
  <si>
    <t>Procurement of Board and Lodging with Catering Services (for PWDs 42nd NDPR Week Celebration  on July 13-17, 2020)</t>
  </si>
  <si>
    <t>Supply and Materials for the Conduct of Recruitment for Officers and EP Pre-Entry Trainees</t>
  </si>
  <si>
    <t>Purchase of Rack/Shelves</t>
  </si>
  <si>
    <t>Rehabilitation/ Improvement of Muti-purpose center</t>
  </si>
  <si>
    <t>PR 1-20-06-0760, FOR USE IN THE OFFICE OF THE CITY TREASURER, THIS CITY.</t>
  </si>
  <si>
    <t>PR 31-20-06-0728, FO THE USE OF PUBLIC SCHOOLS STUDENTS, TEACHERS OF DEPED DIVISION OF SAN CARLOS CITY, NEG. OCC.</t>
  </si>
  <si>
    <t>Tires for PEO-2020-0130</t>
  </si>
  <si>
    <t>Supply and Delivery of various construction materials for the concreting of Farm to Market Road w/ const. of CHB Lined Canal &amp; Installation of 24” RC Pipes for cross drainage system, Tondo Loop Rd, Br</t>
  </si>
  <si>
    <t>Pick-Up Rescue Vehicle for Emergency Response Operations of Provincial Disaster Risk Reduction Management Office (PDRRMO)</t>
  </si>
  <si>
    <t>Procurement of Early Warning Communication Equipment (for MDRRMC)</t>
  </si>
  <si>
    <t>Construction of Senior Citizen PWD Office, Cataggaman Viejo, Tuguegarao City</t>
  </si>
  <si>
    <t>Cross bearing etc. (06-0634) Operation of Public Motorpool</t>
  </si>
  <si>
    <t>20-06-0086 - PROCUREMENT OF VARIOUS IT SUPPLIES FOR USE IN THE CONSTRUCTION SECTION - DPWH-SURGAO DEL NORTE 2ND DISTRICT ENGINEERING OFFICE, SURIGAO CITY</t>
  </si>
  <si>
    <t>SUPPLY &amp; DELIVERY OF GARBAGE COMPACTOR &amp; DROP SIDE TRUCK (BRAND NEW)</t>
  </si>
  <si>
    <t>Exhaust Fan</t>
  </si>
  <si>
    <t>ITB20-6(goods)</t>
  </si>
  <si>
    <t>ROAD CONCRETING FROM NATIONAL HIGHWAY TO PANGASE PROCESSING CENTER</t>
  </si>
  <si>
    <t>Titling of Municipal Lots (Surveying Services)</t>
  </si>
  <si>
    <t>Procurement of Construction Supplies &amp; Materials ( Repair/Maintenace of Barangay Road)</t>
  </si>
  <si>
    <t>Construction of IPEd Center in Betwagan, Sadanga, Mountain Province</t>
  </si>
  <si>
    <t>PURCHASE OF BEDDING FOR ISOLATION AREA OF PUI/PUM</t>
  </si>
  <si>
    <t>Procurement of Supplies and materials of Anislag Elementary School</t>
  </si>
  <si>
    <t>Construction of Female Toilet and Lavatory at the Barangay Hall</t>
  </si>
  <si>
    <t>PBD 20-067A CELL CULTURE CONSUMABLE PLASTICWARES</t>
  </si>
  <si>
    <t>SUPPLY AND DELIVERY OF BARANGAY RESCUE VEHICLE</t>
  </si>
  <si>
    <t>LAPTOP AND PRINTER</t>
  </si>
  <si>
    <t>PROCUREMENT OF CONST. MATERIALS AND SUPPLIES FOR IMPROV. OF MULTI-PURPOSE HALL SAN JOSE</t>
  </si>
  <si>
    <t>Supply and Delivery of Equipments for SSCT Laboratory for Instructional Use</t>
  </si>
  <si>
    <t>IB NO. 06-2020 - TREATMENT, STORAGE AND DISPOSAL OF HAZARDOUS WASTES</t>
  </si>
  <si>
    <t>Drilling and Installation of New Deep Well Water System located at MSU Fresh Water Hatchery Maguindanao</t>
  </si>
  <si>
    <t>RFQ - Cabinet</t>
  </si>
  <si>
    <t>Procurement of Catering Services-06-372(A)PGO</t>
  </si>
  <si>
    <t>RFQ-ADMIN. FACILITIES FOR NFA NORTH COTABATO P.O.</t>
  </si>
  <si>
    <t>SUPPLY &amp; DELIVERY OF FURNITURES AND FIXTURES (OFFICE TABLES &amp; CHAIRS)</t>
  </si>
  <si>
    <t>Supply and Delivery of Construction Material for the Construction of makeshift building at Tabayon National High School</t>
  </si>
  <si>
    <t>PROCUREMENT ON SUPPLY AND DELIVERY OF VARIOUS OFFICE SUPPLIES (1st and 2nd Quarter)</t>
  </si>
  <si>
    <t>ADH-20-0302-B PURCHASE OF MEDICAL SUPPLIES</t>
  </si>
  <si>
    <t>Concreting of Barangay Road</t>
  </si>
  <si>
    <t>Concreting of Farm to Market Road at Brgy. Pong-oy</t>
  </si>
  <si>
    <t>AMP SVP-D NO: 20-03-0304A Supply and Installation of Carpet at the Aldaba Hall</t>
  </si>
  <si>
    <t>Catering Services for PHO-2020-0211</t>
  </si>
  <si>
    <t>Medical Supplies for VET-2020-0329</t>
  </si>
  <si>
    <t>Land Development of NHA - Butuan City New Villages 3B, Brgy. Baan Km. 3, Butuan City</t>
  </si>
  <si>
    <t>SUPPLY &amp; DELIVERY OF DISASTER RESPONSE AND RESCUE EQUIPMENT</t>
  </si>
  <si>
    <t>20CSBF0003: Soil Testing/Exploration for the Construction of Bridges at 1. San Manuel, Isabela 2. Quezon, Isabela 3. Quezon, Isabela 4. Mallig, Isabela</t>
  </si>
  <si>
    <t>20-05-0082 - PROCUREMENT OF TIRE FOR USE IN THE CORRECTIVE MAINTENANCE OF MITSUBISHI STRADA ABC-1352 IN CONNECTION WITH THE CONSTRUCTION SECTION</t>
  </si>
  <si>
    <t>PGO-RICE</t>
  </si>
  <si>
    <t>Supply and Delivery of Air Conditioning Unit</t>
  </si>
  <si>
    <t>BID - Various Hospital Equipment - ONMMC PR No. 24</t>
  </si>
  <si>
    <t>CONCRETING OF SUGPANG STREET</t>
  </si>
  <si>
    <t>Supply and Delivery of CCTV Camera &amp; others including installation</t>
  </si>
  <si>
    <t>Supply and Delivery of UPS 650VA</t>
  </si>
  <si>
    <t>Meals, snacks and accommodation for AMAS-AMAD Year-end assessment (PR 191)</t>
  </si>
  <si>
    <t>BID - five (5) units ECG Machine and two (2) units Infant Incubator - ONT PR No. 27</t>
  </si>
  <si>
    <t>PR 1-20-05-0602, FOR USE OF SANGGUNIANG PANLUNGSOD OFFICE THIS CITY.</t>
  </si>
  <si>
    <t>AMP SVP-D NO: 20-06-0371 Science Books</t>
  </si>
  <si>
    <t>AMP SVP-D NO: 20-03-0295 Supply of work and Parts for the Repair of Midea VRF Units at the NIP Auditorium</t>
  </si>
  <si>
    <t>PROCUREMENT OF SPAREPARTS FOR REPAIR AND MAINTENANCE OF PAYLOADER</t>
  </si>
  <si>
    <t>20CSBF0002: Soil Testing/Exploration for the Construction of School Building, Roxas, Isabela</t>
  </si>
  <si>
    <t>Supply and Delivery of Other Machinery and Equipment</t>
  </si>
  <si>
    <t>SUPPLY &amp; DELIVERY OF IBC TANK FOR WATER SUPPLY IMPROVEMENT</t>
  </si>
  <si>
    <t>Supply and Delivery of Low Flux Treatment and others</t>
  </si>
  <si>
    <t>Supply and Delivery of Alcohol</t>
  </si>
  <si>
    <t>IMPROVEMENT OF NURSING RESEARCH OFFICE</t>
  </si>
  <si>
    <t>20FK0057-Construction/Rehabilitation of  Water Supply/Septage and Sewerage/Rain Water Collectors-Rain Water Collectors in Public Facilities First District of Sorsogon</t>
  </si>
  <si>
    <t>SUPPLY &amp; DELIVERY OF ICT EQUIPMENT FOR VARIOUS OFFICES</t>
  </si>
  <si>
    <t>Supply and Delivery of Furniture &amp; Fixtures</t>
  </si>
  <si>
    <t>Procurement of Tilapia Fingerlings, Size #17</t>
  </si>
  <si>
    <t>LOT Procurement of SPAREPARTS for the Use Mitsubishi Estrada of PCSU</t>
  </si>
  <si>
    <t>ITB 2020-06-98 Supply and Installation of one (1) unit CT Scan 128 Slices for GABMMC</t>
  </si>
  <si>
    <t>Furniture for GOV-2020-0316</t>
  </si>
  <si>
    <t>LOT Procurement of OFFICE EQUIPMENT for the Use of Brgy. Buso, City of Mati, Davao Oriental</t>
  </si>
  <si>
    <t>Construction Materials for VGAT-2020-0180</t>
  </si>
  <si>
    <t>Repair and Maintenance of Vehicle</t>
  </si>
  <si>
    <t>CONCRETING OF MUNICIPAL ST. (MACAPAGAL ST., POB. RIZAL ILAWOD, CALINOG)</t>
  </si>
  <si>
    <t>Supply and Delivery of One (1) Unit Brand New 4x2 Pick Up (Japanese/European/American Standard)</t>
  </si>
  <si>
    <t>RFQ-ADMIN. FACILITIES FOR NFA REGIONAL OFFICE XII</t>
  </si>
  <si>
    <t>BATTERIES FOR VARIOUS RP HEAVY EQUIPMENT</t>
  </si>
  <si>
    <t>PURCHASE OF MEDICINE</t>
  </si>
  <si>
    <t>BID - one (1) unit Ophthalmic Operating Microscope and two (2) units ECG Machine - ONMMC PR No. 37</t>
  </si>
  <si>
    <t>Realignment of MOOE</t>
  </si>
  <si>
    <t>PROCUREMENT OF VARIOUS OFFICE SUPPLIES FOR 2020 SECOND QUARTER (ADMIN/DEPT)</t>
  </si>
  <si>
    <t>RFQ-ADMIN. FACILITIES FOR NFA SULTAN KUDARAT AND SOUTH COTABATO P.O.</t>
  </si>
  <si>
    <t>PROCUREMENT OF FERTILIZER FOR LUBAO FARMERS</t>
  </si>
  <si>
    <t>20-05-0084 - PROCUREMENT OF TRANSFER BELT AND DRUM CARTRIDGE ASSEMBLY FOR USE IN THE CONSTRUCTION SECTION/DPWH-SDN 2ND DISTRICT ENGINEERING OFFICE, SURIGAO CITY</t>
  </si>
  <si>
    <t>RFQ: Motorcycle (PR #20-06-568)</t>
  </si>
  <si>
    <t>SUPPLY &amp; DELIVERY OF FEMALE CARABAO</t>
  </si>
  <si>
    <t>PROVISION OF LABOR, MATERIALS, EQUIPMENT RENTALS AND OTHER INCIDENTALS NEEDED FOR THE REHABILITATION AND ENHANCEMENT OF MULTIPURPOSE BUILDING AT DA-PREC, SUAL, PANGASINAN</t>
  </si>
  <si>
    <t>Various Supplies of LGU-Boac</t>
  </si>
  <si>
    <t>Printing Services for VET-2020-0328</t>
  </si>
  <si>
    <t>20-06-0088 - PROCUREMENT OF DIESEL FUEL FOR USE IN THE OPERATION OF VARIOUS EQUIPMENT, UTILIZED IN CONNECTION WITH THE MAINTENANCE SECTION OF NATIONAL ROADS AND BRIDGES</t>
  </si>
  <si>
    <t>Purchase of Anapog Binder (Excluding Hauling Cost) for the Regravelling of Roads @ LGU-Carmen, Bohol</t>
  </si>
  <si>
    <t>LOT Procurement of MATERIALS for Use in the Rehabilitation of Multi-Purpose Hall at Brgy. Dahican, City of Mati, Davao Oriental</t>
  </si>
  <si>
    <t>LOT Procurement of MATERIALS for Use in the Repair and Maintenance of PEO Building (Phase 1), at Capitol Compound, Brgy. Central, City of Mati, Davao Oriental</t>
  </si>
  <si>
    <t>ITB 2020-06-102 Supply and Installation of One (1) unit Digital Radiography Machine for SAH</t>
  </si>
  <si>
    <t>Supply and Delivery of Desktop Computers</t>
  </si>
  <si>
    <t>Majada In IS RFQ for July - Supplies</t>
  </si>
  <si>
    <t>Purchase of one unit laptop with printer at SB SEcretariat Office</t>
  </si>
  <si>
    <t>CONCRETING OF FARM TO MARKET ROAD AT BRGY. CABAGIAO</t>
  </si>
  <si>
    <t>Supply and Delivery of Medicines</t>
  </si>
  <si>
    <t>ITB 2020-06-99 Supply and Installation of one (1) unit Ultrasound Machine (General Use) for GABMMC</t>
  </si>
  <si>
    <t>LOT Procurement of MEDICAL FLUIDS for the Use of DOPH LUPON</t>
  </si>
  <si>
    <t>PR# 20-1449- To supply labor, materials and necessary equipment for the Construction of Two (2) Storey Ward Building, Jose Songco Lapid District Hospital, Porac, Pampanga</t>
  </si>
  <si>
    <t>Procurement of One (1) Unit 4x4 DOUBLE CAB UTILITY VEHICLE in Support to Pagkain at Kita SAVE Program</t>
  </si>
  <si>
    <t>One (1) Lot Janitorial Services</t>
  </si>
  <si>
    <t>Supply and Delivery of Laboratory Supplies</t>
  </si>
  <si>
    <t>One (1) lot Appraisal by Third Party Service Provider for Landbank Sta. Rosa Branch Proposed Relocation Site</t>
  </si>
  <si>
    <t>LOT Procurement of SPAREPARTS for Use in Mitsubishi L300 Ambulance of DOPH LUPON</t>
  </si>
  <si>
    <t>PROVISION OF LABOR, MATERIALS, EQUIPMENT RENTALS AND OTHER INCIDENTALS NEEDED FOR THE REHABILITATION AND ENHANCEMENT OF ADMINISTRATIVE BUILDING AT DA-PREC, SUAL, PANGASINAN</t>
  </si>
  <si>
    <t>Purchase of Construction Materials for Water system at the Sanitary Landfill, Municipality of San Andres, Quezon</t>
  </si>
  <si>
    <t>Re-bidding Supply and Delivery of Tablet Pro for IQAO</t>
  </si>
  <si>
    <t>Construction of Two(2)-Storey Four(4)-Classroom School Building at Binagbag ES Agdangan, Quezon</t>
  </si>
  <si>
    <t>rehabilitation of evacuatio center cum brgy quarantine facility (second floor)</t>
  </si>
  <si>
    <t>PROVISION OF LABOR, MATERIALS, EQUIPMENT RENTALS AND OTHER INCIDENTALS NEEDED FOR THE RECONSTRUCTION OF PERIMETER FENCE WITH GATE AT DA-INREC, DINGRAS, ILOCOS NORTE</t>
  </si>
  <si>
    <t>ITB - Supply, Delivery and Testing of Four-Wheel Tractors</t>
  </si>
  <si>
    <t>Construction of Roofing Multi-Purpose Hall Alley, Barangay Langcuas</t>
  </si>
  <si>
    <t>ITB - Supply, Delivery and Testing of Rice Combine Harvesters</t>
  </si>
  <si>
    <t>Construction of Two(2)-Storey Four(4)-Classroom School Building at Malibago ES Mulanay, Quezon</t>
  </si>
  <si>
    <t>4PS : 30	PCS.	FRAME CERTIFICATE UP TO 1	PCS.	DIGITAL AUDIO RECORDER	 OFFICE EQUIPMENT AND  MATERIALS FOR PANTAWID PILIPINO PROGRAM AND OTHER  DSWD-RELATED PROGRAM AND SERVICES.</t>
  </si>
  <si>
    <t>4PS SWADT LILOY : 1 LOT OFFICE SUPPLIES FOR THE 3rd AND 4th QUARTER OFFICE  SUPPLIES OF LILOY CLUSTER (POO STTAFF AND MOO STAFF) OF CLUSTER 1C &amp; 1D OF LILOY ZDN FOR CY 2020</t>
  </si>
  <si>
    <t>Procurement of medical supplies and equipment</t>
  </si>
  <si>
    <t>SOCTECH : 32	SACKS	RICE  (COMMERCIAL) FORTIFIED IRON---MACARONI PASTA  FOR SUPPLEMENTAL FEEDING OF THE SAMA BADJAU CHILDREN IN BRGY. MAMPANG ZAMBOANGA CITY</t>
  </si>
  <si>
    <t>SOCPEN: 1 LOT OFFICE SUPPLIES FOR THE USE OF SOCIAL PENSION STAFF.</t>
  </si>
  <si>
    <t>Barangay Supplies &amp; Equipment</t>
  </si>
  <si>
    <t>RFQ DRUGS AND MEDICINES</t>
  </si>
  <si>
    <t>purchase of laptop</t>
  </si>
  <si>
    <t>AMP SVP-D NO: 20-06-0372 Various Books</t>
  </si>
  <si>
    <t>4PS: PRINTING SUPPLIES FOR THEE ADVOCACY MATERIALS FOR PANTAWID PILIPINO PROGRAM AND OTHER  DSWD-RELATED PROGRAM AND SERVICES.</t>
  </si>
  <si>
    <t>RFQ OFFICE SUPPLIES 7-2</t>
  </si>
  <si>
    <t>RFQ GENERAL MERCHANDISE 6-4</t>
  </si>
  <si>
    <t>concreting of farm to market road</t>
  </si>
  <si>
    <t>improvement of farm to market road</t>
  </si>
  <si>
    <t>improvement of water system</t>
  </si>
  <si>
    <t>RFQ GENERAL MERCHANDISE 6</t>
  </si>
  <si>
    <t>purchase of projector</t>
  </si>
  <si>
    <t>GROCERY ITEMS</t>
  </si>
  <si>
    <t>FOD-R-20-2813: Procurement of HYBRID RICE SEEDS (*1,357 bags @ 15 kgs/bag of NSIC Rc 132H (Mestiso 6) and NSIC Rc 540H (Mestiso 97) and *769 bags @ 15 kgs/bag of NSIC Rc 548H (Mestiso 101)</t>
  </si>
  <si>
    <t>ROAD CONCRETING AT BLOCK 42, PUROK 3-B, KABAYAN RELOCATION, BRGY. TIBUNGCO,BUNAWAN DIST5., DAVAO CITY</t>
  </si>
  <si>
    <t>ITB NO. GOP-20-DSWD-2020-06-04 Procurement of Various Welfare Goods as Raw Materials for Family Food Packs Production of DRMD for CY2020</t>
  </si>
  <si>
    <t>ROAD CONCRETING ( CONTINUATION ) AT PUROK 5-B, MARIETTA SUBD., BRGY. TIBUNGCO, BUNAWAN DIST., DAVAO CITY</t>
  </si>
  <si>
    <t>LABORATORY SUPPLIES AND EQUIPMENTS</t>
  </si>
  <si>
    <t>MUSICAL INSTRUMENTS</t>
  </si>
  <si>
    <t>RFQ GENERAL MERCHANDISE 6-3</t>
  </si>
  <si>
    <t>RFQ HARDWARE AND CONSTRUCTION SUPPLIES	7</t>
  </si>
  <si>
    <t>Purchase of Office furnitures</t>
  </si>
  <si>
    <t>ROAD CONCRETING AT BLOCK 39, PUROK 3-B, KABAYAN RELOCATION, BRGY. TIBUNGCO, BUNAWAN DIST., DAVAO CITY</t>
  </si>
  <si>
    <t>Supply and Delivery of Drugs and Medicines</t>
  </si>
  <si>
    <t>Procurement of Janitorial and Medical Supplies</t>
  </si>
  <si>
    <t>Supply of Uniterruptible Power Supply_PR 9805</t>
  </si>
  <si>
    <t>Procurement of construction supplies for the month of May</t>
  </si>
  <si>
    <t>Procurement of mats. for Road Shouldering</t>
  </si>
  <si>
    <t>PROCUREMENT OF  VCM FOR ROAD IMPROVEMENT</t>
  </si>
  <si>
    <t>Bid No. 20-0285 - PROCUREMENT OF JANITORIAL SUPPLIES - MO/DXLM SECTIO</t>
  </si>
  <si>
    <t>Supply &amp; Delivery  of Food Stuff</t>
  </si>
  <si>
    <t>Bid No. 20-0287 - PROCUREMENT OF OFFICE SUPPLIES - MPDO (MUNICIPAL PLANNING AND DEVELOPMENT OFFICE)</t>
  </si>
  <si>
    <t>DISINFECTANT SPRAY - MOLEC LAB</t>
  </si>
  <si>
    <t>For use in operation of Motorpool Shop assigned at City Engineer's Office.</t>
  </si>
  <si>
    <t>Office Supplies and Devices - Purchase of Office Supplies - Duero, Bohol</t>
  </si>
  <si>
    <t>(KMH) 2nd REQUEST FOR QUOTATION (RFQ)  For the Procurement of One (1) unit Pharmacy Biomedical Ref</t>
  </si>
  <si>
    <t>ITB -Procurement of Meals and Snacks (Rebid)</t>
  </si>
  <si>
    <t>Procurement of Alcohol 70% for frontliners &amp; Various offices</t>
  </si>
  <si>
    <t>Procurement of office supplies and consumables for the month of April-July</t>
  </si>
  <si>
    <t>DSWD Center and Residential Care Facilities Grocery for CY 2020 (Re-Advertisement)</t>
  </si>
  <si>
    <t>INSTALLATION OF STREETLIGHTS, City Hall Complex, Calapan City</t>
  </si>
  <si>
    <t>CONSTRUCTION OF BLEACHER, Multi-Purpose Building, Silonay, Calapan City</t>
  </si>
  <si>
    <t>SUPPLY &amp; DELIVERY OF FURNITURE &amp; FIXTURE</t>
  </si>
  <si>
    <t>STEEL CABINET</t>
  </si>
  <si>
    <t>Air Conditioners</t>
  </si>
  <si>
    <t>PROCUREMENT OF ONE (1) LOT OFFICE SUPPLIES &amp; EQUIPMENT</t>
  </si>
  <si>
    <t>PURCHASE OF 5 UNITS FIX SLIDING WINDOWS and 2 UNIT FIX WINDOWS WITH ALUMINUM FRAME  USE IN THE LEGISLATIVE BUILDING DAMAGED BY TYPHOON TISOY</t>
  </si>
  <si>
    <t>LGU-AL-32-2020 CONSTRUCTION OF CONCRETE BRIDGE PHASE-II BRGY. HAMPIPILA ABUYOG, LEYTE</t>
  </si>
  <si>
    <t>Bid No. 20-0284 - PROCUREMENT OF FURNITURE &amp; FIXTURES - MO/RADIO ROOM SECTION</t>
  </si>
  <si>
    <t>Completion of Tago Multi-purpose Hall (Phase II)</t>
  </si>
  <si>
    <t>Bid No. 20-0286 - PROCUREMENT OF OFFICE SUPPLIES - MPDO/BDP REVISION AND PACKAGING OF BARANGAY DEVELOPMENT PLAN</t>
  </si>
  <si>
    <t>CONCRETING OF BARANGAY ROAD AT KALABAYLABAY, EL SALVADOR CITY - 2019</t>
  </si>
  <si>
    <t>CONCRETING OF BARANGAY ROAD AT HINIGDAAN, EL SALVADOR CITY - 2019</t>
  </si>
  <si>
    <t>Repair of Perimeter Fence of Cemetery at Tomolin</t>
  </si>
  <si>
    <t>CONSTRUCTION OF RAMP AT THE FRONTAGE OF SCHOOL CLINIC</t>
  </si>
  <si>
    <t>RFQ DRYBATH</t>
  </si>
  <si>
    <t>PURCHASE OF ONE (1) UNIT BRAND NEW HYDRAULIC EXCAVATOR</t>
  </si>
  <si>
    <t>Delivery of Brand New Vehicle needed City Administrator's Office (ITB 20-076)</t>
  </si>
  <si>
    <t>Office Supplies and Office consumables</t>
  </si>
  <si>
    <t>Bid No. 20-0288 - PROCUREMENT OF OFFICE SUPPLIES - MO/SPORTS OPERATIONS</t>
  </si>
  <si>
    <t>20OIO128:Construction/Rehabilitation of Water Supply /Septage and Sewerage/Rainwater Collectors System-Rain Water Collectors in Public Facilities at Las Pinas and Muntinlupa City</t>
  </si>
  <si>
    <t>PROCUREMENT OF PHOTOCOPIER MACHINE</t>
  </si>
  <si>
    <t>Office Equipment- Purchase of Office Equipment (DepEd School) - Duero, Bohol</t>
  </si>
  <si>
    <t>SUPPLY AND DELIVERY OF CONSTRUCTION MATERIALS FOR THE  REHABILITATION OF CARROMATA WATER SYSTEM,  CARROMATA, SAN MIGUEL, SURIGAO DEL SUR</t>
  </si>
  <si>
    <t>Purchase of (1) One unit Laptop with complete accessories</t>
  </si>
  <si>
    <t>PR # 2020-06-118 - Supply and Delivery of Tires to be used for the Repair/Maintenance of Man Diesel Dumptruck with DPWH No. H3-6480</t>
  </si>
  <si>
    <t>REHABILITATION OF BASKETBALL COURT</t>
  </si>
  <si>
    <t>CONSTRUCTION / REHABILITATION OF CATEGORY 2 SANITARY LANDFILL CELL, Batino, Calapan City</t>
  </si>
  <si>
    <t>SUPPLY OF PLUMBING SUPPLIES &amp; MATERIALS</t>
  </si>
  <si>
    <t>Supply and Delivery of Container Van 40 STD 2nd hand ( 12m x 2.44m x 2. 59m)</t>
  </si>
  <si>
    <t>for the use of anti rabies program</t>
  </si>
  <si>
    <t>(PAO) REQUEST FOR QUOTATION (RFQ)  For the Procurement of Filing Cabinet, Office Table, etc. For the Provincial Agricultural Office--61,000.00</t>
  </si>
  <si>
    <t>supply &amp; del. of lap top comp.</t>
  </si>
  <si>
    <t>RFQ VORTEX</t>
  </si>
  <si>
    <t>PURCHASE OF VARIOUS PRINTING FORMS</t>
  </si>
  <si>
    <t>Supply and Delivery of Cellphone</t>
  </si>
  <si>
    <t>Procurement of Dual Capability Drone w/ Smart Controller &amp; Fly More Kit for Aerial Survey, Assessment, Search &amp; Locate capability for low-light conditions &amp; remote access areas.</t>
  </si>
  <si>
    <t>20ME0143 - Repair/Maintenance of Sarangani – Davao del  Sur Coastal Road (Concrete Barrier), K1730+187-K1730+234; Glan, Sarangani Province</t>
  </si>
  <si>
    <t>20OI0130:Completion of Drainage System including other improvement, Alabang Elementary School, Barangay Alabang, Muntinlupa City</t>
  </si>
  <si>
    <t>Supply and Delivery of various CONSTRUCTION MATERIALS AND SUPPLIES for the Proposed Road Repair &amp; Sidewalk Improvement at Various Streets within Marikina City</t>
  </si>
  <si>
    <t>20OI0129: Rehabilitation of Road including Drainage, Brgy. Manuyo 1, Las Pinas City</t>
  </si>
  <si>
    <t>Supply of Nitrile Gloves_PR 10124</t>
  </si>
  <si>
    <t>CONSTRUCTION OF STREETLIGHTS</t>
  </si>
  <si>
    <t>Purchase of Chlorine &amp; Powdered Soap for Disinfectant of Tabunok Public Market</t>
  </si>
  <si>
    <t>Provision of Supplies for COVID-19</t>
  </si>
  <si>
    <t>Concreting of Road, St. Agnes, Purok Masagana, Barangay Ibabang Iyam, Lucena City</t>
  </si>
  <si>
    <t>RFQ PRINTER 3-IN-1, COLORED</t>
  </si>
  <si>
    <t>Bid No. 20-0290 - PROCUREMENT OF OFFICE SUPPLIES - MPDO OPERATIONS (CONDUCT OF FPIC TO ALL PROJECTS WITHIN CADT AREA)</t>
  </si>
  <si>
    <t>PROCUREMENT OF  VCM SUPPLIES FOR SPRING DEVELOPMENT (PHASE 1)</t>
  </si>
  <si>
    <t>20ME0145 - Repair/Maintenance of Road Safety Facilities  along Sarangani District Engineering Office, Sarangani Province</t>
  </si>
  <si>
    <t>Supply and Delivery of Construction Materials - ITB 038B-2020 GQ</t>
  </si>
  <si>
    <t>SUPPLY OF HARDWARE SUPPLIES &amp; MATERIALS</t>
  </si>
  <si>
    <t>Labor and Materials for the Construction of Drainage Canal (Riprap Lining) Phase IV and Filter at Perpetual Help, Iriga City</t>
  </si>
  <si>
    <t>Medical Health Service at Barangay Silangan I, Rosario, Cavite</t>
  </si>
  <si>
    <t>Supplies for Module Printing</t>
  </si>
  <si>
    <t>20ME0144 – Cluster 4 - 1. Repair/Maintenance of Pavement (Resealing)  along Sarangani-Sultan Kudarat Coastal Road, K1731+300-K1732+000 (w/ exceptions) 2. Repair/Maintenance of Pavement (Resealing)  al</t>
  </si>
  <si>
    <t>for the use of the office of the municipal agriculturist/livestock immunization rabies control and animal health management/develop climate resilient livestock production system and technologies liv</t>
  </si>
  <si>
    <t>Procurement of Bulldozer and /or Loader , Purchase of Dump Truck</t>
  </si>
  <si>
    <t>Purchase of Various Medicines</t>
  </si>
  <si>
    <t>Replacement of 18 units Capacitor Bank</t>
  </si>
  <si>
    <t>Bid No. 20-0289 - PROCUREMENT OF OFFICE SUPPLIES - MPDO/MDC REPRODUCTION OF AIP, PROJECT PROPOSAL AND PROJECT PROFILE</t>
  </si>
  <si>
    <t>RAPID TEST KIT</t>
  </si>
  <si>
    <t>Supply and Delivery of Materials to be used in the Multi- Purpose Hall (Chapel) and Planning &amp; Design Section</t>
  </si>
  <si>
    <t>Purchase of Five (5) Units Motor Vehicle</t>
  </si>
  <si>
    <t>ECO-BAG FOR LEARNING MATERIALS</t>
  </si>
  <si>
    <t>SUPPLY AND DELIVERY OF ONE (1) UNIT RECONDITIONED RESCUE VEHICLE/AMBULANCE WITH RESCUE AND PROTECTIVE EQUIPMENT</t>
  </si>
  <si>
    <t>PR # 2020-05-067 - Supply and Delivery of Consumable Supplies to be used for Kyocera Printers at BAC, Supply, Cash Unit, Construction, PDS and Maintenance Section</t>
  </si>
  <si>
    <t>20OI0131:Construction  of Multi-Purpose Building, Brgy. Putatan, Muntinlupa City</t>
  </si>
  <si>
    <t>Supply and Delivery of Agricultural Supplies &amp; Equipment - ITB 044-2020 GQ</t>
  </si>
  <si>
    <t>Office Devices</t>
  </si>
  <si>
    <t>SUPPLY AND DELIVERY OF ASSORTED SERVICE CONNECTION MATERIALS</t>
  </si>
  <si>
    <t>20% EDF CY 2020 Projects</t>
  </si>
  <si>
    <t>PR # 2020-06-121 - Supply and Delivery of Materials to be used for the Fabrication of ROW Monument along BCIR (Sugbongcogon-Lagonglong Section)</t>
  </si>
  <si>
    <t>CONSTRUCTION OF PERIMETER FENCE IN PNP BUILDING</t>
  </si>
  <si>
    <t>Supply and Delivery of IT Equipment’s for Engineering Office</t>
  </si>
  <si>
    <t>2020-06-0134 - SUPPLY AND DELIVERY OF VARIOUS OFFICE SUPPLIES FOR THE 2ND QUARTER OF THE YEAR 2020 FOR USE AT QAS OFFICE</t>
  </si>
  <si>
    <t>Handwashing Facility</t>
  </si>
  <si>
    <t>Supply and delivery of thermoplastic materials for the pavement markings along Plaridel By-pass Road, Plaridel Section, Plaridel Bulacan</t>
  </si>
  <si>
    <t>PURCHASE OF 100 SETS LED STREET LIGHTS WITH INSTALLATION 30W STREETLIGHTS ARM 8FT W/ BOLT &amp; NUT STRAP MACHINE BOLT W/ INSULATOR PHOTOCEL EXTREME</t>
  </si>
  <si>
    <t>Supply and Delivery of 1 Lot Various Office Equipment (Chairs/cabinet) of PMO ZDN</t>
  </si>
  <si>
    <t>RFQ CENTRIFUGE (96 PLATE PLACER)</t>
  </si>
  <si>
    <t>Supply and Delivery of Agricultural Supplies and Equipment - ITB 043-2020 GQ</t>
  </si>
  <si>
    <t>RENTAL OF TRUCKS (HAULING FROM NFA-SORSOGON TO IROSIN RICE MILLERS)</t>
  </si>
  <si>
    <t>Re-bid, Purchase of Multi-Purpose Vehicle for the use of Ilog Rural Health Unit. Ilog, Negros Occidental</t>
  </si>
  <si>
    <t>CONSTRUCTION OF TWO CLASSROOM GABALDON, Sta. Cruz, Calapan City</t>
  </si>
  <si>
    <t>CONSTRUCTION OF REINFORCED CONCRETE DECK GRIDER BRIDGE, PHASE II</t>
  </si>
  <si>
    <t>Supply &amp; Delivery of Construction Materials for the Construction of Coline CIS</t>
  </si>
  <si>
    <t>PURCHASE  OF MOTOR VEHICLE</t>
  </si>
  <si>
    <t>Supply &amp; Delivery of Materials for Installation &amp; Upgrade of Street Lights (GOODS2020-10)</t>
  </si>
  <si>
    <t>HEMATOLOGY ANALYZER</t>
  </si>
  <si>
    <t>IT equipment Desk Top</t>
  </si>
  <si>
    <t>ROAD REHABILITATION FROM NATIONAL HIGHWAY TO ECOLOGICAL SOLID WASTE MANAGEMENT</t>
  </si>
  <si>
    <t>Students Hygiene Kit</t>
  </si>
  <si>
    <t>CONSTRUCTION AND REHABILITATION OF CLIMATE RESILIENT ROADS AND BRIDGES</t>
  </si>
  <si>
    <t>RFQ MINIFUGE</t>
  </si>
  <si>
    <t>Bid No. 20-0291 - PROCUREMENT OF OFFICE SUPPLIES - MPDO/MPRC OPERATIONS</t>
  </si>
  <si>
    <t>Procurement of Window TYpe Airconditioner w/ Installation</t>
  </si>
  <si>
    <t>20GL0092 - CONCRETING OF BRGY. MAHALANG FMR, BRGY. MAHALANG, HIMAMAYLAN CITY, NEGROS OCCIDENTAL</t>
  </si>
  <si>
    <t>PR# 20-1448- To supply labor, materials and necessary equipment for the Construction of Two (2) Storey- Four (4) Classroom School Building with Comfort Rooms at Sucad National High School, Sucad, Apal</t>
  </si>
  <si>
    <t>20GL0093 - CONCRETING OF SITIO FERIA, BRGY. ODIONG FMR, BRGY. ODIONG, MOISES PADILLA, NEGROS OCCIDENTAL</t>
  </si>
  <si>
    <t>STAINLESS FOOT PEDAL HAND WASH</t>
  </si>
  <si>
    <t>PR# 20-1432- To supply labor, materials and necessary equipment for the Construction of Two (2) Storey- Four (4) Classroom School Building with Comfort Rooms at San Vicente Elementary School, San Vice</t>
  </si>
  <si>
    <t>Supply &amp; Delivery of Construction Materials for the Construction of Dagami SWIP</t>
  </si>
  <si>
    <t>Supply &amp; delivery of various laboratory supplies in Barcenaga, Naujan, Oriental Mindoro</t>
  </si>
  <si>
    <t>Supply and Delivery of BDRRM Supplies</t>
  </si>
  <si>
    <t>Procurement of Vendor to conduct psychological appraisal services</t>
  </si>
  <si>
    <t>Procurement of Radiology Supply and Equipment</t>
  </si>
  <si>
    <t>Materials for Rehabilitation of Health Center</t>
  </si>
  <si>
    <t>Supply and Delivery of Traffic Barriers and Traffic Cone of PMO ZDN</t>
  </si>
  <si>
    <t>Various IT Equipment for Engineering Office</t>
  </si>
  <si>
    <t>Supply &amp; Delivery of Various Equipment and Medicines @ Philpost, GSO, OMM, DAR, MEDO, MHO, Library &amp; SB, Rodriguez, Rizal</t>
  </si>
  <si>
    <t>Anti-Polio Campaign / Sabayang Patak Kontra Polio</t>
  </si>
  <si>
    <t>Construction Materials (Improvement of Multi-Purpose Bldg)</t>
  </si>
  <si>
    <t>Purchase of Water meter Brand Class B (ISO 4064)and fittings</t>
  </si>
  <si>
    <t>Supply and delivery of various Construction Materials to be used for the markings along Baliuag-Candaba Road &amp; Baliuag-Bustos Road,&amp; Bustos Bulacan</t>
  </si>
  <si>
    <t>Provision of Food (meals &amp; snacks) ABC:151,200.00</t>
  </si>
  <si>
    <t>Purchase and Deliver of Materials for Personal Protective Gear</t>
  </si>
  <si>
    <t>26,400 liters Diesel Fuel</t>
  </si>
  <si>
    <t>SUPPLY AND DELIVERY OF MATERIALS FOR THE CONSTRUCTION OF LINE CANAL IN MAPA STREET @ SITIO PANDAYAN, BRGY. PATIMA, INFANTA, PANGASINAN</t>
  </si>
  <si>
    <t>IT Parts and accessories</t>
  </si>
  <si>
    <t>Desktop Computer</t>
  </si>
  <si>
    <t>PR# 20-1429- To supply labor, materials and necessary equipment for the Construction of Two (2) Storey- Four (4) Classroom School Building with Comfort Rooms at Balantacan Elementary School, Balantaca</t>
  </si>
  <si>
    <t>REPAIR AND MAINTENANCE OF OFFICE BUILDING</t>
  </si>
  <si>
    <t>Purchase of Drugs and Medicines</t>
  </si>
  <si>
    <t>1 unit Corn Planter Implement, etc.</t>
  </si>
  <si>
    <t>CONSTRUCTION OF MULTI-PURPOSE DRYING PAVEMENT</t>
  </si>
  <si>
    <t>Request for Quotation (RDTD-2020-02-0128 Office supplies)</t>
  </si>
  <si>
    <t>SUPPLY, DELIVERY AND INSTALLATION OF TONERS WITH FREE USE OF MULTIFUNCTION PRINTERS FOR THE USE OF VARIOUS OFFICES IN BFAR CENTRAL OFFICE  FOR ONE (1) YEAR</t>
  </si>
  <si>
    <t>Office improvement</t>
  </si>
  <si>
    <t>4,000 ltrs Diesel Fuel for bulldozer used/CMO-ENRO</t>
  </si>
  <si>
    <t>Supply &amp; Delivery of Construction Materials for the Construction of Cabunga-an Caboloan CIP</t>
  </si>
  <si>
    <t>Printing Services</t>
  </si>
  <si>
    <t>Construction and Installation of Street lighting  System</t>
  </si>
  <si>
    <t>Purchase of Quadrivalent flu vaccine for the Ilog employees FLU Vaccination. Ilog, Neg. Occ.</t>
  </si>
  <si>
    <t>Medical Health Service at Barangay Ligtong III, Rosario, Cavite</t>
  </si>
  <si>
    <t>Procurement of DARRO I 2nd quarter Office Supplies, IT Equipments, Furnitures &amp; other consumables not available @ PS DBM</t>
  </si>
  <si>
    <t>2 units Motorcycle 125cc</t>
  </si>
  <si>
    <t>PROCUREMENT OF Exciting Bicol Video Production Services Package for DOT V AVP/TVC</t>
  </si>
  <si>
    <t>2020-107 VARIOUS FERTILIZERS</t>
  </si>
  <si>
    <t>20CSFK03-Consulting Services for the Sub-Soil Exploration  for FY-2021 Bridges &amp; Building Projects,  First District of Sorsogon</t>
  </si>
  <si>
    <t>Purchase of various Medicine</t>
  </si>
  <si>
    <t>PR# 20-1456- To supply labor, materials and necessary equipment for the Concreting of Barangay Road at Sta. Lucia Anac, Masantol, Pampanga</t>
  </si>
  <si>
    <t>20FM0052 Construction of  One(1) Storey – Four(4) Classrooms  School Building at Cogon Elementary School, Cogon, Mac-Arthur, Monreal, Masbate</t>
  </si>
  <si>
    <t>Supply &amp; Delivery of 150 length uPVC Pipe 6" x 6m</t>
  </si>
  <si>
    <t>Printing of LGU Employees Identification Cards</t>
  </si>
  <si>
    <t>Electrical System and Components</t>
  </si>
  <si>
    <t>1 unit NETWORK SWITCH-64 PORTS, etc.</t>
  </si>
  <si>
    <t>IT’s (COA)</t>
  </si>
  <si>
    <t>Provision of Food (meals &amp; snacks) for 3 batches ABC:52,500.00</t>
  </si>
  <si>
    <t>Supply and Delivery of  LCD Projector - SBO</t>
  </si>
  <si>
    <t>Provision of airtime</t>
  </si>
  <si>
    <t>ITB-2020-019 - Supply and delivery of laboratory machine and supplies</t>
  </si>
  <si>
    <t>Construction of Pathway</t>
  </si>
  <si>
    <t>SUPPLY AND DELIVERY OF GROCERY KIT FOR DAILY WAGE EARNER OF WOMEN-GAD</t>
  </si>
  <si>
    <t>One Job Supply of Materials and  Labor for Construction of a Rainwater Catchment Facility) at Existing Green Restrooms in Brgy. Navalas, Buenavista and Nueva Valencia</t>
  </si>
  <si>
    <t>MAINTENANCE AND IMPROVEMENT OF STREET LIGHT</t>
  </si>
  <si>
    <t>PROCUREMENT OF 1 UNIT JUMPER TYPE MOTOR CYCLE FOR MUNICIPAL DISASTER RISK REDUCTION AND MANAGEMENT OFFICE</t>
  </si>
  <si>
    <t>Provision of Food &amp; Accommodation for 2 days ABC:132,000.00</t>
  </si>
  <si>
    <t>PR# 20-1551- To supply labor, materials and necessary equipment for the Construction/Installation of Elevator at Municipal Building of Lubao, Sta. Catalina, Lubao, Pampanga</t>
  </si>
  <si>
    <t>1 unit JOB ORDER, Labor and Materials Repair of one (1) unit  Mitsubishi with plate no. SJF-313</t>
  </si>
  <si>
    <t>Bid No. 20-0293 - PROCUREMENT OF OFFICE SUPPLIES - MPDO/MINSAAD PROGRAM</t>
  </si>
  <si>
    <t>Split Type Basic Inverter 2.0Hp</t>
  </si>
  <si>
    <t>RFQ - Supplies and Materials</t>
  </si>
  <si>
    <t>20GL0094 - CONCRETING OF BRGY. SANTOL FMR, BRGY. SANTOL, BINALBAGAN,  NEGROS OCCIDENTAL</t>
  </si>
  <si>
    <t>20AC0053 - Construction of Tamurong Seawall, Brgy. Tamurong, Sta. Catalina, Ilocos Sur</t>
  </si>
  <si>
    <t>Supply &amp; Delivery of Forage Chopper ABC:200,000.00</t>
  </si>
  <si>
    <t>PR# 20-0137- To supply labor, materials and necessary tools and equipment for the Construction of Irrigation Canal (Extension) at Sta. Rita, Lubao, Pampanga. (Re-bidding)</t>
  </si>
  <si>
    <t>Supply &amp; Delivery of Training Supplies ABC:95,934.00</t>
  </si>
  <si>
    <t>CONSTRUCTION OF SIX (6) UNITS RESIDENTIAL BUILDING</t>
  </si>
  <si>
    <t>1 unit Job Order: Labor and Materials  Aircondition 3 tonner, Koppel, serial No.GC248197, PN: 16850, etc.</t>
  </si>
  <si>
    <t>ITB-2020-018 - Supply and delivery of Laboratory Equipment</t>
  </si>
  <si>
    <t>GOODS-OE-22-2020</t>
  </si>
  <si>
    <t>Reproduction of ALS Learning Materials</t>
  </si>
  <si>
    <t>Provision of Food (meals &amp; snacks) for 10 sites ABC:105,000.00</t>
  </si>
  <si>
    <t>SUPPLY AND DELIVERY OF DIGNITY KIT FOR DAILY WAGE EARNER OF WOMEN-GAD</t>
  </si>
  <si>
    <t>3,930  liters Diesel, etc.</t>
  </si>
  <si>
    <t>PR# 20-0135- To supply labor, materials and necessary equipment for the Upgrading/Concreting of Barangay Road, Sta. Rita, Lubao, Pampanga. (Re-bidding).</t>
  </si>
  <si>
    <t>CONSTRUCTION OF MULTI-PURPOSE COVERED COURT/EVACUATION CENTER AT BRGY. PALDIT, SISON, PANGASINAN</t>
  </si>
  <si>
    <t>Land Development of NHA-Butuan City New Villages 4B, Brgy. Taguibo, Butuan City</t>
  </si>
  <si>
    <t>1 unit resque Vehicle</t>
  </si>
  <si>
    <t>Procurement of Garden Tools for the City Environment and Natural Resources Office (CENRO)</t>
  </si>
  <si>
    <t>Improvement of Pallua Elementary Gymnasium (Pallua Elementary School, Pallua Sur, Tuguegarao City)</t>
  </si>
  <si>
    <t>SUPPLY AND DELIVERY OF MATERIALS FOR THE CONSTRUCTION OF LINE CANAL IN MANUEL STREET @ SITIO PANDAYAN, BRGY. PATIMA, INFANTA, PANGASINAN</t>
  </si>
  <si>
    <t>Procurement of 4 loader tire</t>
  </si>
  <si>
    <t>construction of Drainage Canal along T. Pasion</t>
  </si>
  <si>
    <t>Provision of Solar Panel for damaged units at barangay Poblacion (1)</t>
  </si>
  <si>
    <t>Furnishing labor, materials and equipment rental for the Rehab./Improvement of  Waterworks System, Brgy. Bagong Silang, Sta. Cruz, Marinduque (REBIDDING)</t>
  </si>
  <si>
    <t>To produce advocacy of RA. 10868 " Centenarian Act of 2016 " through foldable fans, tshirts, polo shirts and AVP as a means for information dissemination to increase awareness of partners / stakeholde</t>
  </si>
  <si>
    <t>ID ID Lace with Print and ID Jacket</t>
  </si>
  <si>
    <t>10 pieces Ballast, Electronic, single - 40watts, 240volts, etc.</t>
  </si>
  <si>
    <t>GOODS-OE-21-2020</t>
  </si>
  <si>
    <t>Purchase of Information Technology Parts and Accessories &amp; Perip</t>
  </si>
  <si>
    <t>20GCB0005: Repair of Sideslope Protection &amp; Drainage Canal along EPZA By Pass Road (SO1349LZ) Right Side, Mariveles, Bataan, KO159+(-022) - KO159+000 w/ exception</t>
  </si>
  <si>
    <t>Supply &amp; Delivery of Transformer	 ABC:90,000.00</t>
  </si>
  <si>
    <t>Provide Labor &amp; Materials for RP Vehicle Repair (Plate # SAA-5044) ABC:156,460.00</t>
  </si>
  <si>
    <t>Installation of Street Lights (National Road, Libag-Gosi Norte, Tuguegarao City)</t>
  </si>
  <si>
    <t>SUPPLY AND DELIVERY OF MATERIALS FOR THE REPAIR OF THE COLLEGE OF INDUSTRIAL TECHNOLOGY BUILDING</t>
  </si>
  <si>
    <t>One (1) Lot - Supply/Engagement of Services to Conduct Workshops on Capacity Building towards Development of BSP Digital Transformation Roadmap, as per BSP Terms of Reference</t>
  </si>
  <si>
    <t>Furnishing labor, materials and equipment for the Improvement of Brgy. Waterworks System at Brgy. Pili, Boac, Marinduque (REBIDDING)</t>
  </si>
  <si>
    <t>4 units COMPUTER WITH COMPLETE ACCESSORIES</t>
  </si>
  <si>
    <t>1 unit HIGH-END Multi-Functional Copier for A3 Format</t>
  </si>
  <si>
    <t>Purchase of DRRM Response and Mitigation Supplies for COVID 19</t>
  </si>
  <si>
    <t>CONSTRUCTION OF NEW COVERED COURT</t>
  </si>
  <si>
    <t>Purchase of Office Supplies for Sanggunian Bayan Members at Calasiao, Pangasinan</t>
  </si>
  <si>
    <t>SUPPLY &amp; DELIVERY OF FUEL  FOR RESCUE OPERATION</t>
  </si>
  <si>
    <t>Supply and Delivery of Steel Rack, 5-Tier Steel Rack Shelving of PMO ZDN</t>
  </si>
  <si>
    <t>Supply &amp; Delivery of Medical Equipment, Medicine &amp; Medical Supplies @ MHO, Rodriguez, Rizal</t>
  </si>
  <si>
    <t>Concreting of Parking Area at DepEd Office Division of Butuan City</t>
  </si>
  <si>
    <t>1 unit Job-Order: Labor and Materials-Open Type Garbage Truck, Hino (SKZ-523), etc.</t>
  </si>
  <si>
    <t>2020-234 VARIOUS FERTILIZERS</t>
  </si>
  <si>
    <t>Provision of Food  for 4 batches ABC:63,000.00</t>
  </si>
  <si>
    <t>Bid No. 20-0292 - PROCUREMENT OF OFFICE SUPPLIES - MPDO/MPWDC OPERATIONS</t>
  </si>
  <si>
    <t>7 pieces Ball Valve, stainless - 1/2 inch, etc.</t>
  </si>
  <si>
    <t>Acquisition For Maintenance</t>
  </si>
  <si>
    <t>Supply &amp; Delivery of Construction Materials for the Construction of Igang CIS</t>
  </si>
  <si>
    <t>Rehabilitation of Municipal Road in Brgy. Guisijan with Climate Resilient Design</t>
  </si>
  <si>
    <t>1 unit Job Order: Labor and Materials-Caterpillar, Bulldozer (D7R) Check up and repair under Chassis and Engine, Engine Tune up, Overhauling of Radiator</t>
  </si>
  <si>
    <t>1 roll Acetate, transparent - gauge # 8, etc.</t>
  </si>
  <si>
    <t>Materials for the Improvement of Columbio Infirmary (Augmentation) (2)</t>
  </si>
  <si>
    <t>Improvement of Multipurpose Building</t>
  </si>
  <si>
    <t>Proposed Repair and Improvement of SAMAPA Child Development / Day Care Center Located at Brgy. Moonwalk, Paranaque City</t>
  </si>
  <si>
    <t>Acquisition For Official Use</t>
  </si>
  <si>
    <t>Projector</t>
  </si>
  <si>
    <t>purchase of hardware materials for rehab of Multipurpose  hall phase 1</t>
  </si>
  <si>
    <t>20GA0230-Standard One (1) Storey Two (2) Classroom School Building Tomas SM Bautista Elementary School, New Washington, Aklan</t>
  </si>
  <si>
    <t xml:space="preserve">PR# 20-1430- To supply labor, materials and necessary equipment for the Construction of Two (2) Storey – Six(6) Classroom School Building with Comfort Rooms at Sta. Cruz Elementary School, Sta. Cruz, </t>
  </si>
  <si>
    <t>DELIVERY OF HARDWARE SUPPLIES &amp; MATERIALS</t>
  </si>
  <si>
    <t>Supply &amp; Delivery of Various Supplies ABC:169,500.00</t>
  </si>
  <si>
    <t>Supply and Delivery of Equipments for SSCT Laboratory for Instructional use</t>
  </si>
  <si>
    <t>Furnishing labor, materials and equipment rental for the Rehabilitation/Improvement of  Brgy. Waterworks System at Balanacan, Mogpog, Marinduque (REBIDDING)</t>
  </si>
  <si>
    <t>Land Development (Larion Bajo, Tuguegarao City)</t>
  </si>
  <si>
    <t>20OI0120:Construction of  Drainage System, Barangay Tunasan, Muntinlupa City</t>
  </si>
  <si>
    <t>SUPPLY AND DELIVERY OF VARIOUS MATERIALS FOR PROPOSED MATERIALS RECOVERY FACILITY</t>
  </si>
  <si>
    <t>Purchase of 1 unit Thermal Scanner and 2 boxes of disposable  face mask</t>
  </si>
  <si>
    <t>PATHWAY PHASE II</t>
  </si>
  <si>
    <t>NBC-0220-118</t>
  </si>
  <si>
    <t>PURCHASE OF OFFICE SUPPLIES FOR 1ST AND 2ND QUARTER 2020</t>
  </si>
  <si>
    <t>Procurement of SK Office Supplies</t>
  </si>
  <si>
    <t>RFQ GENERAL MERCHANDISE 6-2</t>
  </si>
  <si>
    <t>SERVICES ON TAX MAPPING WITH CADASTRAL MAP OVERLAY WITH DRONE MAP OVERLAY</t>
  </si>
  <si>
    <t>Acquisition For Repair &amp; Maintenance</t>
  </si>
  <si>
    <t>For BAC office use.</t>
  </si>
  <si>
    <t>For use in operation of KIA SEB-541, STAKE TRUCK SHH-839 DT-12 &amp; DT-08 &amp; DT-11 assigned at City Engineer's Office.</t>
  </si>
  <si>
    <t>Cluster A. Concreting of Road, Purok Damayan 2, Brgy. Iba.Iyam, B. Concreting of Road, Purok Masagana Brgy. Ibabang Iyam, Lucena City</t>
  </si>
  <si>
    <t>2 units Battery, 12 volts (for XRM 125), etc.</t>
  </si>
  <si>
    <t>PURCHASE OF BUSINESS PLATE &amp; VINYL STICKER FOR BPLO</t>
  </si>
  <si>
    <t>Supply &amp; Delivery of Laboratory Supplies ABC:121,625.00</t>
  </si>
  <si>
    <t>Furnishing labor, materials and equipment rental for the Construction of Waterworks System Phase 1, Brgy. Mongpong, Sta. Cruz, Marinduque (REBIDDING).</t>
  </si>
  <si>
    <t>REQUEST FOR QUOTATION (RFQ)  PROCUREMENT FOR SUPPLY OF LABOR AND MATERIALS FOR  FABRICATION OF CLIENT/VISITORS SHED/TENT RFQ No.048 -2020</t>
  </si>
  <si>
    <t>Delivery of materials for Construction of San Vicente Water Supply System.</t>
  </si>
  <si>
    <t>Supply &amp; Delivery of  Laboratory  Supplies (for molecular test (polymerase chain reaction for African Swine fever) ABC:73,100.00</t>
  </si>
  <si>
    <t>Procurement of Subdivision Survey Project for Davao del Norte.</t>
  </si>
  <si>
    <t>Farm to Market Road - Sitio Tubigdaku, Basacdacu, Alburquerque, Bohol</t>
  </si>
  <si>
    <t>Rehabilitation of Barangay Hall, Barangay Saoay</t>
  </si>
  <si>
    <t>30 bottles Fenthion, 100 ml., etc.</t>
  </si>
  <si>
    <t>Supply &amp; Delivery of Animals ABC:120,000.00</t>
  </si>
  <si>
    <t>5 units Battery, 12 volts, 13 plates - N70 (Maintenance Free), etc.</t>
  </si>
  <si>
    <t>Concreting of Farm-to-Market Road at Brgy. Leon with Climate Resilient Design</t>
  </si>
  <si>
    <t>Purchase of ICT Equipment for Provincial Staff of Supplementary Feeding Program</t>
  </si>
  <si>
    <t>20GFK0004-Supply &amp; Delivery of 34,000 ltrs. Diesel Fuel, 15,000 ltrs. Unleaded Gasoline, Oil and Lubricants DPWH Sorsogon 1st DEO</t>
  </si>
  <si>
    <t>PR NO. 2020-07-014 PROCUREMENT OF 120 DAYS SUPPLEMENTAL FEEDING PROGRAM ( RICE, VIAND, FISH, CHICKEN, VEGETABLES &amp; OTHER GROCERY ITEMS), MNAO, MAPANAS, N. SAMAR</t>
  </si>
  <si>
    <t>CONSTRUCTION OF MULTI-PURPOSE BUILDING, Mahal na Pangalan, Calapan City</t>
  </si>
  <si>
    <t>Supply and Delivery of Airconditoners for Tarlac City BPLD use</t>
  </si>
  <si>
    <t>20GCB0006: Concreting of Shoulder &amp; Slope Protection (1st &amp; 2nd APP) of various National Bridges along Gov. J.J. Linao Road (SO4822LZ), Bagac, Bataan, KO148+807 - KO155+095 w/ exception</t>
  </si>
  <si>
    <t>Procurement of service for the disposal of hazardous waste at BatstateU Main Campus I</t>
  </si>
  <si>
    <t>Furnishing labor, materials and equipment for the Construction of Gender Sensitive Toilet Facilities at Mogpog Central School at Mogpog, Marinduque (REBIDDING)</t>
  </si>
  <si>
    <t>Fuel, Oil &amp; Lub. Expense- CVO</t>
  </si>
  <si>
    <t>Majada In IS RFQ for July - Construction Supplies</t>
  </si>
  <si>
    <t>Supply &amp; Delivery of Common Office Supplies ABC:112,000.00</t>
  </si>
  <si>
    <t>PR# 20-0589- To supply labor, materials and necessary tools and equipment for the Construction of Administrative and School Building Including Fabrication and Installation of Elevated Water Tank (Phas</t>
  </si>
  <si>
    <t>Supply and Delivery of Medical Oxygen</t>
  </si>
  <si>
    <t>Construction of 50units Street lighting System</t>
  </si>
  <si>
    <t>VEHICLE PARTS FOR STRADA L200</t>
  </si>
  <si>
    <t>PROCUREMENT OF RENEWAL OF (1) YEAR CONTRACT FOR AIR-CONDITIONING UNIT MAINTENANCE AND REPAIR SERVICES</t>
  </si>
  <si>
    <t>Purchase of CCTV Camera</t>
  </si>
  <si>
    <t>Supply and Delivery of 5 Units Laptop</t>
  </si>
  <si>
    <t>One (1) Lot Stack Emission Testing</t>
  </si>
  <si>
    <t>RFQ LAMINAR HOOD</t>
  </si>
  <si>
    <t>RFQ MICROCENTRIFUGE</t>
  </si>
  <si>
    <t>Proposed Repair and Improvement of SMGI (Gulayan) Child Development / Day Care Center Located at Brgy. Moonwalk, Paranaque City</t>
  </si>
  <si>
    <t>30 Pcs. Car Batteries</t>
  </si>
  <si>
    <t>RFQ for the Procurement of Construction Materials</t>
  </si>
  <si>
    <t>Provision of Fuel Consumption &amp; Lubricants ABC:52,950.00</t>
  </si>
  <si>
    <t>River Slope Protection</t>
  </si>
  <si>
    <t>Supply and Delivery of Two unit Computer Laptop - POPDEV OFFICE</t>
  </si>
  <si>
    <t>Proposed Repair &amp; Improvement of Manggahan Child Development / Day Care Center Located at Brgy. Moonwalk, Paranaque City</t>
  </si>
  <si>
    <t>CONCRETING OF LAO PROPER-LOOC PROPER ROAD</t>
  </si>
  <si>
    <t>20NF0077-CLUSTER: A. INSTALLATION/APPLICATION OF ROAD SIGN AND ROAD SAFETY DEVICES ALONG ALL NATIONAL ROAD, SIARGAO ISLAND, SURIGAO DEL NORTE B. REPAIR/MAINTENANCE OF MAASIN BRIDGE AT JCT. OSMEÑA-PILA</t>
  </si>
  <si>
    <t>Tire</t>
  </si>
  <si>
    <t>Construction of Loreto Fire Station Building, Loreto, Dinagat Islands</t>
  </si>
  <si>
    <t>Procurement of Materials for water system at Slaughterhouse</t>
  </si>
  <si>
    <t>Invitation to Bid for the Purchase of Gas Refill (Liquefied Petroleum Gas) for the month of August 2020-December 2020 at Slaughterhouse, Barangay Domalandan West, Lingayen, Pangasinan</t>
  </si>
  <si>
    <t>Procurement of Water System Materials</t>
  </si>
  <si>
    <t>SMALL VALUE PROCUREMENT FOR OFFICE SUPPLIES EXPENSES</t>
  </si>
  <si>
    <t>Labor and materials for the repair and installation of vineyard tunnel</t>
  </si>
  <si>
    <t>Provision of Food &amp; Accommodation for 2 days ABC:102,500.00</t>
  </si>
  <si>
    <t>Improvement of Multipurpose Hall</t>
  </si>
  <si>
    <t>Acquisition For Materials Caipilan</t>
  </si>
  <si>
    <t>Procurement of Subdivision Survey Project for Davao City.</t>
  </si>
  <si>
    <t>Negotiated Procurement 2 Failed Biddings for 3 Infrastructure Projetcs (N2FB-90-2019(2020)(A)</t>
  </si>
  <si>
    <t>Personal Protective Equipment for DOT VI Personnel</t>
  </si>
  <si>
    <t>Proposed Additional Work at Two (2) Storey Day Care Center at Salvador Estate, Brgy. San Isidro, Paranaque City</t>
  </si>
  <si>
    <t>Supply &amp; Delivery of Other Supplies ABC:58,000.00</t>
  </si>
  <si>
    <t>REPAIR ND MAINTENANCE OF BARANGAY PATROL</t>
  </si>
  <si>
    <t>SMALL VALUE PROCUREMENT FOR FOOD SUPPLIES EXPENSES</t>
  </si>
  <si>
    <t>Purchase of Office Equipment for various schools and offices (Fund 164)</t>
  </si>
  <si>
    <t>Provision of 20 sets of tables with chair</t>
  </si>
  <si>
    <t>Negotiated Procurement 2 Failed Biddings for 5 Infrastructure Projects (N2FB-47-2020(A)</t>
  </si>
  <si>
    <t>Supply and Delivery of Air Condition unit and Furniture and Fixtures for Tarlac City Information Office use</t>
  </si>
  <si>
    <t>RFQ PCR HOOD (TABLE TOP)</t>
  </si>
  <si>
    <t>Provision of Food (meals &amp; snacks) ABC:50,000.00</t>
  </si>
  <si>
    <t>SUPPLY AND DELIVERY OF DRUGS AND MEDICINES FOR USE AT THE MUNICIPAL HEALTH OFFICE, LGU, SANCHEZ MIRA, CAGAYAN</t>
  </si>
  <si>
    <t>Supply and delivery Gate Motor and Controller</t>
  </si>
  <si>
    <t>20NF0078:INSTALLATION OF ROAD SAFETY DEVICES AND ROAD SIGNAGES ALONG DAPA-UNION-GENERAL LUNA ROAD (S00366SG)_(Re-Ad)</t>
  </si>
  <si>
    <t>Acquisition For Materials Banban</t>
  </si>
  <si>
    <t>1,260 ltrs Diesel for construction of materials recovery facility (MRF) at Barangay Candau-ay/City Engineer's Office</t>
  </si>
  <si>
    <t>Various Office Supplies for use in the Office of the Governor, Province of Negros Oriental (B-95-2020)</t>
  </si>
  <si>
    <t>Procurement of equipments for CTE and CIT Department of Batangas State U Rosario Campus</t>
  </si>
  <si>
    <t>Supply and Delivery of 21 Units 2.5HP Non-Inverter iCool Green with Remote and other various appliances.REBID</t>
  </si>
  <si>
    <t>RFQ No. 20-06-068 Purchase of Face Recognition with fever detection, UPS and Automatic Alcohol Dispenser</t>
  </si>
  <si>
    <t>Construction of Chapel Cemetery</t>
  </si>
  <si>
    <t>One (1) Lot Supply and installation of Motorized Roll Up door</t>
  </si>
  <si>
    <t>Supply and delivery of sala set, dining set, devan,  refrigerator and laptop to be used by T. Camacho Sr.  Elementary School as part of their PTA SY 2019-2020</t>
  </si>
  <si>
    <t>Supply and Delivery of Two unit Computer Desktop - MCRO</t>
  </si>
  <si>
    <t>THERMOMETER, NON CONTACT, NON MERCURIAL FOREHEAD (2nd Posting)</t>
  </si>
  <si>
    <t>SMALL VALUE PROCUREMENT FOR OTHER SUPPLIES &amp; MATERIALS EXPENSES</t>
  </si>
  <si>
    <t>Printed Canvas Bag (Katsa type) for the Distribution of Learning Pockets of Paranaque Elementary School Central</t>
  </si>
  <si>
    <t>Provision of Van Rentals ABC:55,000.00</t>
  </si>
  <si>
    <t>SMALL VALUE PROCUREMENT FOR MED, DENTAL &amp; LAB SUPPLIES EXPENSES</t>
  </si>
  <si>
    <t>Provide labor &amp; materials for parts replacement of Nissan Frontier- SGA 519 ABC:63,598.00</t>
  </si>
  <si>
    <t>Re-certification Audit for ISO 9001:2015</t>
  </si>
  <si>
    <t>To hire contractor to provide materials, labor, and equipment for the “Construction of Solar Powered Dormitory Type Building at Mabinay Spring Resort, Mabinay, Negros Oriental”  (B-97-2020)</t>
  </si>
  <si>
    <t>PROCUREMENT OF EIGHTY (80) PIECES OFFICE CHAIR WITH ARMREST FOR THE CORPORATE PLANNING DIVISION</t>
  </si>
  <si>
    <t>To hire contractor to provide materials, labor, and equipment for the “Additional Appropriation for the Construction of Multi-Purpose Evacuation Center, Barangay Olandao, Basay, Negros Oriental” (B-96</t>
  </si>
  <si>
    <t>20GA0231-Standard One (1) Storey Four (4) Classroom School Building Tambak Elementary School, New Washington, Aklan</t>
  </si>
  <si>
    <t>PROCUREMENT OF VARIOUS ICT EQUIPMENT</t>
  </si>
  <si>
    <t>Bidding for 2 Infrastructure Projects (B-98-2020)</t>
  </si>
  <si>
    <t>For use of different vehicles for the month of August 2020 and suceeding months, Bago City</t>
  </si>
  <si>
    <t>20CSH023 - Consulting Services for the Conduct of Appraisal of Lots for the Project Construction of  Asturias-Danao Road, Station 0+000 - Station 6+435, Cebu Province</t>
  </si>
  <si>
    <t>TIME STAMP MACHINE (2nd Posting)</t>
  </si>
  <si>
    <t>PROCUREMENT OF MEALS AND SNACKS FOR VARIOUS HEARING  AND PUBLIC HEARING</t>
  </si>
  <si>
    <t>MATERIALS FOR REPRODUCTION OF MODULE</t>
  </si>
  <si>
    <t>SUPPLY AND DELIVERY OF ANTI-DENGUE KITS FOR SCHOOL CHILDREN (ANTI- MOSQUITO REPELLANT LOTION - CLEAR POUCH)</t>
  </si>
  <si>
    <t>Purchase of Fertlizers for RSP Use</t>
  </si>
  <si>
    <t>School Supplies Consumables</t>
  </si>
  <si>
    <t>Provide labor &amp; materials for parts replacement of Toyota, Hi-Lux SGX 411 ABC:58,006.00</t>
  </si>
  <si>
    <t>LAbor &amp; MAterials for Repair of Various Equipments</t>
  </si>
  <si>
    <t>Procurement of Construction Materials for Construction of Rehabilitation/Repair of Municipal Building.</t>
  </si>
  <si>
    <t>PROCUREMENT OF VARIOUS OTHER SUPPLIES</t>
  </si>
  <si>
    <t>Supply and Delivery of Medical Supplies.</t>
  </si>
  <si>
    <t>WATERWORKS DEVELOPMENT ( Rotary Well Drilling Procedure)</t>
  </si>
  <si>
    <t>Construction of Two (2) Storey Multi-Purpose Building, Brgy. Patalan, Paniqui, Tarlac</t>
  </si>
  <si>
    <t>SUPPLY AND DELIVERY OF LAPTOP COMPUTER - MMO-MNC</t>
  </si>
  <si>
    <t>Security Force Uniforms</t>
  </si>
  <si>
    <t>WINDOW EXHAUST FAN 12 INCHES (STANDARD)</t>
  </si>
  <si>
    <t>Construction of Multi-Purpose Hall, Barangay Sta. Isabel, Naujan, Oriental Mindoro</t>
  </si>
  <si>
    <t>Supply and Installation of Surveillance Cameras</t>
  </si>
  <si>
    <t>For use at Bago City Hospital, Bago City (Laboratory Supplies)</t>
  </si>
  <si>
    <t>PROCUREMENT OF VARIOUS TARPAULINS FOR CMO USE</t>
  </si>
  <si>
    <t>PURCHASE OF STAINLESS MILK PAILS</t>
  </si>
  <si>
    <t>CID NO. 20IF0141 - Construction of Health Isolation Facilities for COVID - 19 Patients and Health Care Professionals, Brgy. Dolores, Ormoc City</t>
  </si>
  <si>
    <t>Supply and Delivery of Seedlings (Cacao &amp; Banana Com) - MAO</t>
  </si>
  <si>
    <t>For use of different vehicles for the month of August - September 2020 and suceeding months(s), Bago City</t>
  </si>
  <si>
    <t>Hiring of Consultancy to Conduct the Mid-Term (MTR) of the 3rd National Plan of Action for Children (NPAC) and Philippine Plan of Action to End Violence Against Children (PPAEVAC)</t>
  </si>
  <si>
    <t>Supply and Delivery of 1 Lot 5 Units Floor Standing Type 3.0 tons Inverter Air Conditioner and 10 units window type aircon.REBID</t>
  </si>
  <si>
    <t>SUPPLY AND DELIVERY OF CUSTOMIZED WASHABLE/REUSABLE CLOTH FACE MASKS WITH POUCH FOR ALL CITY EMPLOYEES</t>
  </si>
  <si>
    <t>SUPPLY AND DELIVERY OF FOOD SUPPLIES FOR FOOD ASSISTANCE, NUTRI-BATA PROJECT, MAKATI YOUTH HOME AND SOCIAL DEVELOPMENT CENTER</t>
  </si>
  <si>
    <t>PURCHASE OF ONE (1) UNIT AED (AUTOMATED EXTERNAL DEFIBRILLATOR PLUS) FOR MDRRM EMERGENCY RESPONSE OPERATION</t>
  </si>
  <si>
    <t>Procurement of Reagent Refrigerator with AVR</t>
  </si>
  <si>
    <t>Completion of Day Care Center - San Jose</t>
  </si>
  <si>
    <t>Bidding for 5 Infrastructure Projects (B-99-2020)</t>
  </si>
  <si>
    <t>Procurement of Fuel and Oil for the of July 11 to August 10, 2020</t>
  </si>
  <si>
    <t>Request for Quotation (WD-2020-02-0164 Supply, Delivery &amp; Installation of Laminated Walls with Hard wood doors)</t>
  </si>
  <si>
    <t>Realignment of MOOE- Printers</t>
  </si>
  <si>
    <t>SUPPLY, DELIVERY AND INSTALLATION OF FURNITURE AND FIXTURES FOR THE OFFICE OF THE MAYOR</t>
  </si>
  <si>
    <t>REHABILITATION WATER SYSTEM</t>
  </si>
  <si>
    <t>Construction of Two (2) Storey Multi-Purpose Building, Brgy. San Juan De Milla, Paniqui, Tarlac</t>
  </si>
  <si>
    <t>Procurement of Office Equipment for the used of Mayor's Office</t>
  </si>
  <si>
    <t>MONOBLOCK SQUARE TABLE: WIDTH 36 INCH; LENGTH 36 INCH  &amp; MONOBLOCK ARMCHAIR (2nd Posting)</t>
  </si>
  <si>
    <t>PROCUREMENT OF CONST. MATERIALS AND SUPPLIES FOR IMPROVEMENT OF MULTI-PURPOSE HALL-MABUHAY</t>
  </si>
  <si>
    <t>2000 pcs Pillow Case 22.5 x 31</t>
  </si>
  <si>
    <t>20GDB0025 Supply of Materials for the Repair &amp; Maintenance of Damaged Slope Protection along Diokno Highway, K0088+037-K0088+057, Dayapan Section, Lemery, Batangas</t>
  </si>
  <si>
    <t>PROCUREMENT OF VARIOUS TARPAULINS FOR POSO USE</t>
  </si>
  <si>
    <t>Health Check-Up for San Juan National High School Personnel SY20-21</t>
  </si>
  <si>
    <t>SUPPLY AND DELIVERY OF BIODEGRADABLE BAGS FOR DES FIELD PERSONNEL</t>
  </si>
  <si>
    <t>Supply &amp; Delivery of Office Supplies for Project Development of Grade 4 to 12 Worksheet for Learners</t>
  </si>
  <si>
    <t>Materials for provision of handwashing facilities &amp; equipments</t>
  </si>
  <si>
    <t>IMPROVEMENT OF PATHWALK/WAITING SHED</t>
  </si>
  <si>
    <t>Waterproofing works and leak repairs at PSTC-LU Building</t>
  </si>
  <si>
    <t>Supply and Delivery of Various Office, Janitorial and Disinfectant Supplies and Materials for Vice- Mayor’s Office, Sangguniang Bayan Office and SB Secretary’s Office</t>
  </si>
  <si>
    <t>TERMITE ERADICATION AND PREVENTIVE PROGRAM FOR MAKATI CITY HALL OLD BUILDING, MAKATI POST OFFICE AND VARIOUS DAY CARE CENTERS AT DISTRICT I AND II, MAKATI CITY</t>
  </si>
  <si>
    <t>Supply &amp; Delivery of Assorted Sizes CI Tee and Other Fittings (w/ requirements)</t>
  </si>
  <si>
    <t>Additional Aircon for Admin Office</t>
  </si>
  <si>
    <t>Repair of Mitsubishi ABB 6306 Mini Dump Truck</t>
  </si>
  <si>
    <t>Supply and Delivery of Electrical Materials for the Extension of Secondary Lines @ POSO Motorize Tricycle Inspection Office @ Brgy. San Nicolas, Tarlac City</t>
  </si>
  <si>
    <t>Request for Quotation</t>
  </si>
  <si>
    <t>Supply and Delivery of Equipments for SSCT Laboratory Instructional use</t>
  </si>
  <si>
    <t>Realignment of MOOE- Supplies for Reroduction of Learning Modules</t>
  </si>
  <si>
    <t>Supply and Delivery of Communication Equipment’s (Cellphone) -MMO-ABC</t>
  </si>
  <si>
    <t>PROCUREMENT OF SHUTTLE BUS</t>
  </si>
  <si>
    <t>Construction of Streetlights</t>
  </si>
  <si>
    <t>FURNISHING OF MATERIALS FOR THE RE-PAINTING OF BARANGAY HALL</t>
  </si>
  <si>
    <t>SUPPLY AND DELIVERY OF GOODS FOR THE NUTRITION MONTH FEEDING PROGRAM</t>
  </si>
  <si>
    <t>Repair of Roofing at the PNP Building, MTC-PWD’s Building and Covered Road for Tabo in Barangay Guindapunan and Cavite East, Palo, Leyte  JR No. 20-06-115</t>
  </si>
  <si>
    <t>Realignment of MOOE- Materials for Repair of Handwashing Facility</t>
  </si>
  <si>
    <t>Procurement of Medical Supplies and Medicines of City Veterinary Office</t>
  </si>
  <si>
    <t>Supply &amp; Delivery of One (1) Unit Motor Vehicle with Boom Crane</t>
  </si>
  <si>
    <t>Improvement of Multi-Purpose Hall, Barangay Abo-abo, Mauban, Quezon</t>
  </si>
  <si>
    <t>2020 16th Public Bidding for Procurement  of IT Supplies and Equipment</t>
  </si>
  <si>
    <t>CONCRETING OF BRGY. ROAD</t>
  </si>
  <si>
    <t>SUPPLY AND DELIVERY OF ELECTRICAL AND PAINTING MATERIALS FOR THE PREVENTIVE MAINTENANCE OF ALL MAKATI CITY GOVERNMENT EXISTING STREET LIGHTS WITHIN DISTRICT I AND II, MAKATI CITY THROUGH AN ORDERING A</t>
  </si>
  <si>
    <t>Provision of Other Supplies and Materials</t>
  </si>
  <si>
    <t>FURNISHING OF CONSTRUCTION MATERIALS OF BARANGAY BUSAC, LIGAO CITY</t>
  </si>
  <si>
    <t>Construction of Water System and Fabrication of Hand Wash</t>
  </si>
  <si>
    <t>BDRRM - Repair and maintenance rescue vehicles</t>
  </si>
  <si>
    <t>SUPPLY AND DELIVERY OF POLY ALUMINUM CHLORIDE</t>
  </si>
  <si>
    <t>Supply &amp; Delivery of Riso Machine Digital Duplicator</t>
  </si>
  <si>
    <t>RFQ/ Printing of Modules</t>
  </si>
  <si>
    <t>Procurement of LED Television for City Mayor's Office</t>
  </si>
  <si>
    <t>INVITATION TO BID FOR NEGOTIATED PROCUREMENT SUPPLY AND DELIVERY OF ONE (1)  UNIT MOTOR VEHICLE (PASSENGER  VAN)</t>
  </si>
  <si>
    <t>SUPPLIES FOR THE USED OF FMD STAFF FOR 3RD QUARTER</t>
  </si>
  <si>
    <t>20CB-GSC-382 PURCHASE OF GENERAL MERCHANDISE</t>
  </si>
  <si>
    <t>Procurement of Furniture for MBCC</t>
  </si>
  <si>
    <t>WIDENING OF ROAD</t>
  </si>
  <si>
    <t>Procurement of Kitchenwares PR # 2020-06-19-206</t>
  </si>
  <si>
    <t>Procurement of IT Equipment (MacBook Pro 13-inch) for SPO</t>
  </si>
  <si>
    <t>Procurement of 1 Unit Motorcycle for OCAS</t>
  </si>
  <si>
    <t>Procurement of IT and Office Equipment for City Assessor's Office</t>
  </si>
  <si>
    <t>Procurement of Office Equipment for CSWDO</t>
  </si>
  <si>
    <t>FAB./INSTALLATION OF ST. LIGHTS (18UNITS)</t>
  </si>
  <si>
    <t>Procurement of IT Equipment for CSWDO</t>
  </si>
  <si>
    <t>CONSTRUCTION OF DRAINAGE CANAL  along BAGAIPO ST.</t>
  </si>
  <si>
    <t>20CB-GSC-384 PURCHASE OF DRUGS &amp; MEDICINES FOR POP</t>
  </si>
  <si>
    <t>PURCHASE OF XEROX MACHINE W/ STAND</t>
  </si>
  <si>
    <t>Procurement of IT Equipment for CIO</t>
  </si>
  <si>
    <t>Procurement of Rimo Blend and Curls for Supplemental Feed of CHO</t>
  </si>
  <si>
    <t>Procurement of Office Furniture and Fixture for CSWDO</t>
  </si>
  <si>
    <t>Procurement of Catering Services for the conduct of 2020 Census of Population  and Housing (CPH) 4th Level Training in Cuartero, Capiz of Capiz PSO</t>
  </si>
  <si>
    <t>PURCHASE AND INSTALLATION OF SOLAR PANEL FOR STREET LIGHT</t>
  </si>
  <si>
    <t>PURCHASE OF AIR-CONDITION W/ INVERTER</t>
  </si>
  <si>
    <t>Procurement of Catering Services for the conduct of 2020 Census of Population  and Housing (CPH) 4th Level Training in Dao, Capiz of PSA Capiz PSO</t>
  </si>
  <si>
    <t>Procurement of Materials for the Construction of Drainage Barangay Matatag Phase-1</t>
  </si>
  <si>
    <t>Procurement of Signage to be Installed in Bulanao and Dagupan - POSO</t>
  </si>
  <si>
    <t>Procurement of 1 Unit Motorcycle for CIO</t>
  </si>
  <si>
    <t>SUPPLY AND DELIVERY OF OFFICE EQUIPMENT AND SUPPLIES FOR VARIOUS DEPARTMENTS/OFFICES OF THE CITY GOVERNMENT OF MAKATI</t>
  </si>
  <si>
    <t>RFQ BIOLOGICAL SAFETY CABINET CLASS II</t>
  </si>
  <si>
    <t>Contract ID No. 20FA0061: CLUSTER 34 - CONSTRUCTION OF 2-STOREY SCHOOL BUILDINGS UNDER DEPED CY 2020 BEFF IN THE FIRST DISTRICT OF ALBAY</t>
  </si>
  <si>
    <t>PURCHASED OF OFFICE SUPPLIES</t>
  </si>
  <si>
    <t>Procurement of Insecticides of CENRO</t>
  </si>
  <si>
    <t>DOCPPO-PGO-RICE</t>
  </si>
  <si>
    <t>Procurement of Motorcycle for Official Use of PENRO Negros Occidental</t>
  </si>
  <si>
    <t>Bid No. 20-0297 -  PROCUREMENT OF JANITORIAL SUPPLIES - GSO OPERATIONS</t>
  </si>
  <si>
    <t>Procurement of 1 Unit Motorcycle for RHU 2</t>
  </si>
  <si>
    <t>Procurement of Office Supplies for CSWDO</t>
  </si>
  <si>
    <t>Purchase HandHeld Radio</t>
  </si>
  <si>
    <t>Procurement of Materials for the Construction of Madrasa Sitio Lipag, Cabobo, Lamitan City</t>
  </si>
  <si>
    <t>Bid No. 20-0298 -  PROCUREMENT OF OFFICE SUPPLIES - MEEDO/CEMETERY OPERATIONS</t>
  </si>
  <si>
    <t>20GA0232-Standard One (1) Storey Two (2) Classroom School Building Agbago Elementary School, Ibajay, Aklan</t>
  </si>
  <si>
    <t>Procurement of Catering Services for the conduct of 2020 Census of Population  and Housing (CPH) 4th Level Training in Dumarao, Capiz of PSA Capiz PSO</t>
  </si>
  <si>
    <t>Cementing of the Floor Area near the Entrance/Exit Gate and Repair of Gate</t>
  </si>
  <si>
    <t>PR2020-EIM-01</t>
  </si>
  <si>
    <t>Bid No. 20-0296 - PROCUREMENT OF OFFICE SUPPLIES - MO/MCMC OPERATIONS</t>
  </si>
  <si>
    <t>Procurement of Camera for ICT</t>
  </si>
  <si>
    <t>PROCUREMENT OF EQUIPMENT'S, REAGENTS, AND KITS FOR COVID-19 TESTING</t>
  </si>
  <si>
    <t>PGO-DIESEL</t>
  </si>
  <si>
    <t>OUTSOURCING OF IMAGING SERVICES FOR VULNERABLE GROUPS THROUGH AN ORDERING AGREEMENT</t>
  </si>
  <si>
    <t>20GA0233-Standard One (1) Storey Two (2) Classroom School Building Mantiguib Elementary School, Makato, Aklan</t>
  </si>
  <si>
    <t>Purchase of Medicines and Medical supplies to be used by Women about to give birth in Ajuy Birthing Center</t>
  </si>
  <si>
    <t>Procurement of Catering Services for the conduct of 2020 Census of Population  and Housing (CPH) 4th Level Training in Dumalag, Capiz of PSA Capiz PSO</t>
  </si>
  <si>
    <t>Bid No. 20-0295 -  PROCUREMENT OF OFFICE SUPPLIES - MO/TOURISM OPERATIONS</t>
  </si>
  <si>
    <t>Procurement of Catering Services for the conduct of 2020 Census of Population  and Housing (CPH) 4th Level Training in Jamindan, Capiz of PSA Capiz PSO</t>
  </si>
  <si>
    <t>Proposed additional Riprapping of Sampalok Lake Coast and Improvement of Sampalok Lake Coastal Habitat at San Pablo City.</t>
  </si>
  <si>
    <t>Procurement of Feeds of OCAS</t>
  </si>
  <si>
    <t>Bid No. 20-0301 - PROCUREMENT OF OFFICE EQUIPMENT - MEO OPERATIONS</t>
  </si>
  <si>
    <t>Bid No. 20-0302 - PROCUREMENT OF OFFICE EQUIPMENT - MOTORPOOL &amp; MEO OPERATIONS</t>
  </si>
  <si>
    <t>Paraphernalia for Brgy Police Force, Traffic Officers, BSF Volunteers</t>
  </si>
  <si>
    <t>FURNISHED LABOR AND MATERIALS FOR THE CONSTRUCTION OF WATER SYSTEM LEVEL 2</t>
  </si>
  <si>
    <t>Bid No. 20-0300 -  PROCUREMENT OF OFFICE SUPPLIES - MEEDO OPERATIONS</t>
  </si>
  <si>
    <t>Procurement of 1 Unit Motorcycle for SP Office</t>
  </si>
  <si>
    <t>Purchase of various spareparts and repair of Municipal Pick-up Toyota Hi-Lux (Old)</t>
  </si>
  <si>
    <t>RFQ PCR RACK FOR 96 TUBES AND MICROTUBE RACK</t>
  </si>
  <si>
    <t>CIVIL WORKS FOR CONCRETING OF V.C. ACAAC STREET</t>
  </si>
  <si>
    <t>Procurement of Catering Services for the conduct of 2020 Census of Population  and Housing (CPH) 4th Level Training in Ivisan, Capiz of PSA Capiz PSO</t>
  </si>
  <si>
    <t>Procurement of IT Equipment and Software for City Mayor's Office</t>
  </si>
  <si>
    <t>Procurement of IT Equipment and Software for CENRO</t>
  </si>
  <si>
    <t>MUSHROOM HOUSE @ POBLACION, LA LIBERTAD, ZN.</t>
  </si>
  <si>
    <t>Procurement of Unmanned Aerial Vehicle (Drone) for Official Use of PENRO Negros Occidental</t>
  </si>
  <si>
    <t>20CB-GSC-383 PURCHASE OF FOOD SUPPLIES</t>
  </si>
  <si>
    <t>SOLID WASTE MGT. PROGRAM -  SUPPLIES &amp; materials 2nd qtr</t>
  </si>
  <si>
    <t>Bid No. 20-0294 - PROCUREMENT OF OFFICE SUPPLIES - MDRRMO (FOR DISTRIBUTION OF FAMILY PREPAREDNESS GUIDE)</t>
  </si>
  <si>
    <t>BDRRM - Supplies &amp; Materials</t>
  </si>
  <si>
    <t>Bid No. 20-0299 -  PROCUREMENT OF JANITORIAL SUPPLIES - MEEDO/CEMETERY OPERATIONS</t>
  </si>
  <si>
    <t>PURCHASE OF ID SUPPLIES</t>
  </si>
  <si>
    <t>Procurement of Laptop for RHU 2</t>
  </si>
  <si>
    <t>Procurement of Protective Gear of CENRO</t>
  </si>
  <si>
    <t>SOCIAL FUND - 1ST QTR</t>
  </si>
  <si>
    <t>Procurement of Catering Services for the conduct of 2020 Census of Population  and Housing (CPH) 4th Level Training in Maayon, Capiz of PSA Capiz PSO</t>
  </si>
  <si>
    <t>Improvement of HE/TLE Room</t>
  </si>
  <si>
    <t>SUPPLY AND DELIVERY OF VARIOUS CONSTRUCTION MATERIALS FOR REPAIR AND REHAB OF BARANGAY HALL, STO. NIÑ0, MAGALLANES, AGUSAN DEL NORTE</t>
  </si>
  <si>
    <t>OFFICE SUPPLIES &amp; MATERIALS 2ND QTR</t>
  </si>
  <si>
    <t>Procurement of Refill of LPG Tank PR # 2020-06-19-206</t>
  </si>
  <si>
    <t>Bid No. 20-0303 - PROCUREMENT OF OFFICE EQUIPMENT - MEO OPERATIONS</t>
  </si>
  <si>
    <t>Procurement of Roll up PR # 2020-06-19-206</t>
  </si>
  <si>
    <t>Procurement of Materials for the Construction of Madrasa Sitio Magsagad, Barangay Baas, Lamitan City</t>
  </si>
  <si>
    <t>School and Office Supplies 2020</t>
  </si>
  <si>
    <t>Bid No. 20-0305 - PROCUREMENT OF OFFICE EQUIPMENT - MO/RADIO ROOM SECTIONS</t>
  </si>
  <si>
    <t>Procurement of Books of CSWD</t>
  </si>
  <si>
    <t>CEMENTING OF PATHWAY AT PUROK I</t>
  </si>
  <si>
    <t>Procurement of Catering Services for the conduct of 2020 Census of Population  and Housing (CPH) 4th Level Training in Mambusao, Capiz of PSA Capiz PSO</t>
  </si>
  <si>
    <t>Supply and Delivery of Vaccines for Anti-Rabies Vaccination</t>
  </si>
  <si>
    <t>Invitation to Bid (Construction of Kayapa Fire Station)</t>
  </si>
  <si>
    <t>PGO-FOOD STUFF</t>
  </si>
  <si>
    <t>Procurement of 90 Kilogram Rice, etc. under P.R.No. 1531-2020-City Social Welfare Development Office</t>
  </si>
  <si>
    <t>Concreting of Road</t>
  </si>
  <si>
    <t>Invitation to Bid (Construction of Alfonso Castaneda Fire Station)</t>
  </si>
  <si>
    <t>RFQ AIR COOLER</t>
  </si>
  <si>
    <t>Bid No. 20-0307 -  PROCUREMENT OF OFFICE EQUIPMENT - MENRO OPERATIONS</t>
  </si>
  <si>
    <t>RFQ FOR OFFICE SUPPLIES</t>
  </si>
  <si>
    <t>PROCUREMENT OF MATERIALS FOR THE IMPROVEMENT OF MULTI-PURPOSE HALL</t>
  </si>
  <si>
    <t>Improvement of health center/Extention of RHU</t>
  </si>
  <si>
    <t>Procurement of Isopropyl Alcohol</t>
  </si>
  <si>
    <t>Bid No. 20-0308 - PROCUREMENT OF OFFICE EQUIPMENT - PESO/CTEC OPERATIONS</t>
  </si>
  <si>
    <t>Procurement of Catering Services for the conduct of 2020 Census of Population  and Housing (CPH) 4th Level Training in Panay, Capiz of PSA Capiz PSO</t>
  </si>
  <si>
    <t>Bid No. 20-0306 - PROCUREMENT OF OFFICE EQUIPMENT - MENRO</t>
  </si>
  <si>
    <t>Installation of Water System</t>
  </si>
  <si>
    <t>PROCUREMENT OF COMPUTER SUPPLIES FOR VARIOUS LGU OFFICES-1ST HALF 2020</t>
  </si>
  <si>
    <t>Procurement of Monitor for Drone Remote Controller for Official use of PENRO Negros Occidental</t>
  </si>
  <si>
    <t>REHABILITATION OF STREET LIGHTS</t>
  </si>
  <si>
    <t>PROCUREMENT OF OFFICE AND JANITORIAL SUPPLIES FOR VARIOUS LGU OFFICES-1ST HALF 2020</t>
  </si>
  <si>
    <t>Procurement of Catering Services for the conduct of 2020 Census of Population  and Housing (CPH) 4th Level Training in Panitan, Capiz of PSA Capiz PSO</t>
  </si>
  <si>
    <t>Request for Quotation for the supply and delivery of 2 sets of read and bill device</t>
  </si>
  <si>
    <t>Procurement of Audio Visual and IT Equipment for ICT</t>
  </si>
  <si>
    <t>Procurement of Materials for the Improvement of eCenter at Brgy. Joroan</t>
  </si>
  <si>
    <t>20CB-GSC-385 PURCHASE OF IT EQUIPMENT</t>
  </si>
  <si>
    <t>purchase of office supplies</t>
  </si>
  <si>
    <t>Bid No. 20-0304 -  PROCUREMENT OF JANITORIAL SUPPLIES - MPDO OPERATIONS</t>
  </si>
  <si>
    <t>Supply and delivery of 240 cu. m. earthfill</t>
  </si>
  <si>
    <t>INVITATION TO BID FOR THE INSTALLATION/CONSTRUCTION OF SLOPE PROTECTION AT PALARIS, BARANGAY POBLACION, LINGAYEN, PANGASINAN</t>
  </si>
  <si>
    <t>RFQ TUBERCULIN, PURIFIED PROTEIN DERIVATIVE AND IPRATROPIUM + SALBUTAMOL MDI</t>
  </si>
  <si>
    <t>20CB-GSC-387 PURCHASE OF FURNITURE &amp; FIXTURES (TRUST FUND)</t>
  </si>
  <si>
    <t>C.O., BDF &amp; RRMF 2020</t>
  </si>
  <si>
    <t>Procurement of Materials for Improvement of PhilCeramics Building at Brgy. Putsan</t>
  </si>
  <si>
    <t>Bid No. 20-0311 - PROCUREMENT OF OFFICE SUPPLIES - MEO OPERATIONS</t>
  </si>
  <si>
    <t>Purchase of Material Recovery Facility (MRF) Equipment - San Fabian, Pangasinan</t>
  </si>
  <si>
    <t>20CB-GSC-386 PURCHASE OF DIESEL AND GASOLINE</t>
  </si>
  <si>
    <t>Bid No. 20-0310 -  PROCUREMENT OF OFFICE EQUIPMENT - MO/MTC OPERATIONS</t>
  </si>
  <si>
    <t>CONSTRUCTION OF TWO BARREL BOX CULVERT/WITH 2 SPAN PAVEMENT AT BARANGAY MARZAN, SANCHEZ MIRA, CAGAYAN</t>
  </si>
  <si>
    <t>CONSTRUCTION OF RESERVOIR @ BRGY. LOWER SANG AN, LABANGAN ZDS</t>
  </si>
  <si>
    <t>Training Expenses</t>
  </si>
  <si>
    <t>Construction Materials and Supplies JRMPII-053-2020</t>
  </si>
  <si>
    <t>Procurement of Geotagging Equipment for Official Use of PENRO Negros Occidental</t>
  </si>
  <si>
    <t>20GA0234-Standard One (1) Storey Two (2) Classroom School Building Nabas Elementary School, Nabas, Aklan</t>
  </si>
  <si>
    <t>Procurement of Catering Services for the conduct of 2020 Census of Population  and Housing (CPH) 4th Level Training in Pilar, Capiz of PSA Capiz PSO</t>
  </si>
  <si>
    <t>Request for Quotation (FRAME FOR THE ENLARGE PHOTO,etc.)</t>
  </si>
  <si>
    <t>PURCHASE AND DELIVERY OF ONE (1) UNIT OF MOTOR VEHICLE (ASIAN UTILITY VEHICLE) TO BE USED BY MAYORS OFFICE</t>
  </si>
  <si>
    <t>Procurement of Catering Services for the conduct of 2020 Census of Population  and Housing (CPH) 4th Level Training in Pontevedra, Capiz of PSA Capiz PSO</t>
  </si>
  <si>
    <t>PGO-TOURISM-TECHNICAL &amp; SCIENTIFIC EQUIPMENT</t>
  </si>
  <si>
    <t>RFQ-20-017 - Procurement/Purchase of Various Office Supplies for use in the DPWH, Leyte 5th District Engineering Office, Baybay City, Leyte</t>
  </si>
  <si>
    <t>1.	Supply and delivery of fuel for  LGU owned vehicles and equipment for the 3rd  Quarter of  2020.</t>
  </si>
  <si>
    <t>Bid No. 20-0312 - PROCUREMENT OF OFFICE SUPPLIES - MO/ADMIN SECTION</t>
  </si>
  <si>
    <t>Procurement of materials for the Improvement of Slope Protection at Casilagan Integrated National High School</t>
  </si>
  <si>
    <t>Procurement of Ambulance</t>
  </si>
  <si>
    <t>Repair and Maintenance-Watercrafts</t>
  </si>
  <si>
    <t>20CSKK0005 - Conduct of Soil Testing/Exploration for Multi-Storey School Buildings and Preliminary Detailed Engineering (PDE) CY 2020 Basic Educational Facilities Fund (New Construction of Classrooms)</t>
  </si>
  <si>
    <t>Procurement of Vitamin C- Sodium Ascorbate</t>
  </si>
  <si>
    <t>CellCard and Supply for Training workshop of MAPEH teachers on Development of ADM in Mapeh Quarter 2, Grades 1-12, Online-Offline Batch 2</t>
  </si>
  <si>
    <t>Furniture Parts and Accessories</t>
  </si>
  <si>
    <t>Bid No. 20-0313 -  PROCUREMENT OF OFFICE SUPPLIES - BFP (BUREAU OF FIRE) DEPARTMENT</t>
  </si>
  <si>
    <t>Bid No. 20-0309 - PROCUREMENT OF OFFICE SUPPLIES - MPDO/SMPS OPERATIONS</t>
  </si>
  <si>
    <t>Purchase of 1 set desktop computer,1 unit netbook, 1 unit printer</t>
  </si>
  <si>
    <t>COUNTERPART FOR THE REHABILITATION AND MAINTENANCE OF BARANGAY ROAD @ BRGY. LOWER SANG AN, LABANGAN ZDS</t>
  </si>
  <si>
    <t>Procurement of Catering Services for the conduct of 2020 Census of Population  and Housing (CPH) 4th Level Training in Pres. Roxas, Capiz of PSA Capiz PSO</t>
  </si>
  <si>
    <t>RFQ-20-018 - Procurement/Purchase of Various Office Supplies for use in the office, DPWH, Leyte 5th District Engineering Office, Baybay City, Leyte</t>
  </si>
  <si>
    <t>Const. Supplies &amp; Materials for the Continuation of Rehab of Brgy. Road to Rangkayan</t>
  </si>
  <si>
    <t>Water System at brgy. Samay</t>
  </si>
  <si>
    <t>CONSTRUCTION OF EVACUATION CENTER @ NEW BATAAN, LA LIBERTAD, ZN.</t>
  </si>
  <si>
    <t>FRQ No.:2020-022-JULY (PR No.:2020-06-022) - Construction Materials and Supplies</t>
  </si>
  <si>
    <t>PURCHASE OF FUEL, OIL AND LUBRICANTS</t>
  </si>
  <si>
    <t>20CB-GSC-388 PURCHASE OF SPARE PARTS FOR VOLVO EQUIPMENTS (RE-BID)</t>
  </si>
  <si>
    <t>Bid No. 20-0316 - PROCUREMENT OF CONSTRUCTION MATERIALS - MEO (COMPLETION OF DAY CENTER - MUNICIPAL COMPOUND, MARAGUSAN DAVAO DE ORO)</t>
  </si>
  <si>
    <t>Bid No. 20-0315 - PROCUREMENT OF INDUSTRIAL EQUIPMENT - MEO &amp; MOTORPOOL OPERATIONS</t>
  </si>
  <si>
    <t>Repair of Rescue Vehicle</t>
  </si>
  <si>
    <t>20CB-GSC-389 PURCHASE OF FUSE BOX FOR CEO (RE-BID)</t>
  </si>
  <si>
    <t>Request for Quotation for use of NOPOL CIS CY2020</t>
  </si>
  <si>
    <t>Purchase of P.E. Water Tank</t>
  </si>
  <si>
    <t>RFQ-20-019 - Procurement of Genuine Parts, Supplies and Materials for use in the Preventive Maintenance of 2 unit Mitsubishi Strada GL 2.5D, 4WD, MY-2017 with DPWH # H1-6287 and H1-6862 assigned at Pl</t>
  </si>
  <si>
    <t>RFQ-20-020 - Procurement of Genuine Parts, Supplies and Materials for use in the Preventive Maintenance of Mitsubishi Strada GL 2.5D, 2WD MT-2017MY with DPWH # H1-6286 assigned at Construction Section</t>
  </si>
  <si>
    <t>Bid No. 20-0317 - PROCUREMENT OF AGRICULTURAL PRODUCTS (SEEDLINGS) - MENRO/ REFORESTATION PROGRAM</t>
  </si>
  <si>
    <t>Supply, Delivery and Installation of Split Type Air Conditioner</t>
  </si>
  <si>
    <t>CONSTRUCTION OF SITIO LUMAMBAO PATHWAY -PHASEVI</t>
  </si>
  <si>
    <t>20NA0063 (Re-ad) Repair/Maintenance of Cabadbaran Revetment, Brgy. 3 Poblacion (Downstream L/S), Cabadbaran City, Agusan del Norte (Sta. 0+000 - Sta. 0+041; Sta. 0+102 - Sta. 0+122)</t>
  </si>
  <si>
    <t>Procurement of Catering Services for the conduct of 2020 Census of Population  and Housing (CPH) 4th Level Training in Roxas City, Capiz of PSA Capiz PSO</t>
  </si>
  <si>
    <t>Purchase of One (1) unit Backhoe Excavator with Hydraulic Quick Coupler</t>
  </si>
  <si>
    <t>PURCHASE OF GARBAGE TRUCK @ BRGY. LOWER SANG AN, LABANGAN, ZDS</t>
  </si>
  <si>
    <t>Procurement of IT Equipment</t>
  </si>
  <si>
    <t>Procurement of Vegetables Seeds</t>
  </si>
  <si>
    <t>PCDP : 50 box DISPOSABLE MASK UP TO 1  box ASCORBIC ACID TABLETS PROTECTIVE EQUIPMENT AND MEDICAL SUPPLIES TO BE USE FOR THE UPCOMING ARRIVAL OF DEPORTEES</t>
  </si>
  <si>
    <t>Bid No. 20-0339 - PROCUREMENT OF CONSTRUCTION MATERIALS - MEEDO (REPAIR AND MAINTENANCE FOR PUBLIC MARKET SITE 3RD QUARTER)</t>
  </si>
  <si>
    <t>Bid No. 20-0314 -  PROCUREMENT OF OFFICE SUPPLIES - MDRRMO OPERATIONS</t>
  </si>
  <si>
    <t>PURCHASE &amp; INSTALLATION OF CCTV CAMERA</t>
  </si>
  <si>
    <t>Supply and Delivery of Food Supplies</t>
  </si>
  <si>
    <t>RFQ-20-021 - Procurement of Various Equipment and Materials, for the Conduct Roadside Unit Operation of NRTSP CY 2020 within the Fifth District of Leyte</t>
  </si>
  <si>
    <t>Supply &amp; Delivery of Airconditioning Unit</t>
  </si>
  <si>
    <t>1 UNIT DENTAL CHAIR</t>
  </si>
  <si>
    <t>Supply and Delivery of Materials for the Native Chicken Production of SDSSU San Miguel Campus</t>
  </si>
  <si>
    <t>ESTABLISHMENT OF BARANGAY CENTRAL COMPOST PIT @ BRGY. LOWER SANG AN, LABANGAN ZDS</t>
  </si>
  <si>
    <t>Procurement of construction materials for Concreting of Road @ Purok 5 Delos Reyes Portion, San Marcos</t>
  </si>
  <si>
    <t>Office Supplies Expenses</t>
  </si>
  <si>
    <t>Purchase and Installation of CCTV Camera</t>
  </si>
  <si>
    <t>Slope protection (riprapping of Evacuation Center) Phase III</t>
  </si>
  <si>
    <t>Bid No. 20-0341 - PROCUREMENT OF 1 UNIT WATER DISPENSER - MEEDO/SLAUGHTER HOUSE 3RD QUARTER</t>
  </si>
  <si>
    <t>Supply and Delivery of Digital Type Clamp Meter</t>
  </si>
  <si>
    <t>Procurement of Materials for the Integrated Community Food Production (ICFP) Project</t>
  </si>
  <si>
    <t>Supply and Delivery of Office Supplies for Municipal Mayor, MSWD, DILG and Municipal Assessor's Office</t>
  </si>
  <si>
    <t>Procurement of Catering Services for the conduct of 2020 Census of Population  and Housing (CPH) 4th Level Training in Sapian, Capiz of PSA Capiz PSO</t>
  </si>
  <si>
    <t>1 LOT PAINTING MATERIALS</t>
  </si>
  <si>
    <t>Bid No. 20-0340 - PROCUREMENT OF CONSTRUCTION MATERIALS - MEEDO (REPAIR &amp; MAINTENANCE OF MARKET BUILING 3RD QUARTER)</t>
  </si>
  <si>
    <t>IMPROVEMENT OF MULTI PURPOSE BUILDING</t>
  </si>
  <si>
    <t>RFQ/ Printing of Modules Senior High School</t>
  </si>
  <si>
    <t>REHABILITATION OF MULTI-PURPOSE HALL AT SALCEDO, LUNA, LA UNION</t>
  </si>
  <si>
    <t>MATERIAL FOR STREET LIGHT FACILITIES BRGY. CABINUANGAN, NEW BATAAN</t>
  </si>
  <si>
    <t>For Building Maintenance.CMO-Non-Office</t>
  </si>
  <si>
    <t>Supply and Delivery of Electrical Supplies for SPFIDO (ESAO/PR 20-06-130)</t>
  </si>
  <si>
    <t>Supply and Delivery of Laptop Computer for SPFIDO (ESAO/PR 20-06-132)</t>
  </si>
  <si>
    <t>PURCHASE OF LABORATORY EQUIPMENT FOR THE SCHOOL OF ENGINEERING</t>
  </si>
  <si>
    <t>Supply and Delivery of Equipment for SSCT Laboratory Instructional use</t>
  </si>
  <si>
    <t>MEDICAL SUPPLIES FOR CVAC SA BARANGAY PROGRAM</t>
  </si>
  <si>
    <t>VARIOUS AIRCON FOR USE OF BRGY. MANGGAHAN</t>
  </si>
  <si>
    <t>Procurement of Steel Cabinet</t>
  </si>
  <si>
    <t>P.R NO. 100-2020-05-0322 REPAIR OF TOYOTA HILUX SJC 535</t>
  </si>
  <si>
    <t>Supply of Materials for the Construction of Multipurpose Building Phase 2</t>
  </si>
  <si>
    <t>Procurement of construction materials for Concreting of Road @ Villa Carmen-Pinion Road, San Juan</t>
  </si>
  <si>
    <t>Supply &amp; Delivery of Consolidated Office Furniture &amp; Fixture 2nd Quarter</t>
  </si>
  <si>
    <t>DESKTOP COMPUTER FOR NEWS PRINTING AND OTHER PURPOSES</t>
  </si>
  <si>
    <t>Supply and delivery of 1 set Conference Table, 12 seaters with 12 pcs. high back chairs for use at Day Center for the Senior Citizen's Program. ABC PHP92,000.00</t>
  </si>
  <si>
    <t>LGU-COR. 2020-34</t>
  </si>
  <si>
    <t>TANOD SUPPLIES</t>
  </si>
  <si>
    <t>Procurement of Catering Services for the conduct of 2020 Census of Population  and Housing (CPH) 4th Level Training in Sigma, Capiz of PSA Capiz PSO</t>
  </si>
  <si>
    <t>Construction of Mangansag Road Leading to Mangansag Port</t>
  </si>
  <si>
    <t>PROCUREMENT OF PHOTOCOPYING MACHINE</t>
  </si>
  <si>
    <t>P.R NO. 100-2020-06-0032 PURCHASE OF OFFICE EQUIPMENT USE FOR BFP ABUYOG STATION</t>
  </si>
  <si>
    <t>purchase of construction materials</t>
  </si>
  <si>
    <t>Rehabilitation of Covered Court</t>
  </si>
  <si>
    <t>20GA0235-Standard One (1) Storey Two (2) Classroom School Building Jawili Integrated School, Tangalan, Aklan</t>
  </si>
  <si>
    <t>12 sacks Rice and other items for malnourished Pre-schooler children and pregnant women from 25 Barangay of the City Of Dumaguete for CY 2020.</t>
  </si>
  <si>
    <t>20BA0054: CONSTRUCTION OF MULTI-PURPOSE BUILDING (COVERED COURT), BRGY. SAN ANTONIO, BASCO, BATANES</t>
  </si>
  <si>
    <t>Supply and Delivery of CARIS Project Chart Composer Software</t>
  </si>
  <si>
    <t>20CSJD01(ReAdvertisement) -  Consultancy Services for the Geotechnical and Geological Survey/Investigation for the Proposed Construction/Extension of Three (3) Flood Control Structures (CLUSTER BATCH</t>
  </si>
  <si>
    <t>Improvement of Multi-Purpose Building (Fab. 7 Installation of Grills)</t>
  </si>
  <si>
    <t>SUPPLY AND DELIVERY OF ONE (1) UNIT WATER PUMP AND MOTOR ASSEMBLY/SUPPLY AND DELIVERY OF THREE (3) UNITS FOUNTAIN WATER PUMP</t>
  </si>
  <si>
    <t>Asphalt Overlay at C.P. Romulo Street</t>
  </si>
  <si>
    <t>Supply and Delivery of uPVC Flexible Conduit Pipe and Electrical Wire</t>
  </si>
  <si>
    <t>Bid No. 20-0342 -  PROCUREMENT OF OFFICE EQUIPMENT - MACCO OPERATIONS</t>
  </si>
  <si>
    <t>Food Supplies Expenses</t>
  </si>
  <si>
    <t>Procurement of hardware materials for Slaughterhouse</t>
  </si>
  <si>
    <t>Bid No. 20-0344 - PROCUREMENT OF CONSTRUCTION MATERIALS - MEO (CONSTRUCTION OF MP HALL - MUNICIPAL COMPOUND, MARAGUSAN, DAVAO DE ORO PROVINCE)</t>
  </si>
  <si>
    <t>Purchase of Complete Fertilizer for Rice Production of Municipal Agriculture Office Gumaca, Quezon</t>
  </si>
  <si>
    <t>Purchase of Medical and Dental Supplies</t>
  </si>
  <si>
    <t>OVERHEAD DOOR-CLOSER	GSD M-20-110</t>
  </si>
  <si>
    <t>VARIOUS SETS OF COMPUTER W/ PRINTER</t>
  </si>
  <si>
    <t>Supply and Delivery of Equipment, Furniture and Other Supplies for Guidance Office Use of SDSSU San Miguel Campus</t>
  </si>
  <si>
    <t>20NA0065 (Re-ad) Repair/Maintenance of Baleguian Flood Control (Tamping Creek), Brgy. Baleguian, Jabonga, Agusan del Norte (Sta. 0+050 - Sta. 0+132)</t>
  </si>
  <si>
    <t>FOR EXAMPLE- PRINTER</t>
  </si>
  <si>
    <t>DOCPPO-PGO-DIESOLINE</t>
  </si>
  <si>
    <t>20CSJD02(Readvertisement) - Consultancy Services for the Geotechnical and Geological Survey/Investigation for the Proposed Construction of Four (4) Bridges (CLUSTER BATCH 1)</t>
  </si>
  <si>
    <t>LGU-COR. 2020-070</t>
  </si>
  <si>
    <t>20AA0352 - CONSTRUCTION OF MULTI-PURPOSE BUILDING, PARANG ELEMENTARY SCHOOL, BACARRA, ILOCOS NORTE</t>
  </si>
  <si>
    <t>Medical, Dental and Laboratory Supplies Expenses</t>
  </si>
  <si>
    <t>COST OF SUPPLY, DELIVERY AND INSTALLATION OF SOLAR STREET LIGHT AT SOUTHVILLE 9, BARANGAY PINUGAY, BARAS, RIZAL</t>
  </si>
  <si>
    <t>Construction of Drainage Canal along M.S. Evangelista St. (Phase II)</t>
  </si>
  <si>
    <t>Supply and Delivery of Hot Dip Galvanized Bolt with Nut</t>
  </si>
  <si>
    <t>PURCHASE OF PIPE AND PIPE LAYING - PHASE III</t>
  </si>
  <si>
    <t>PURCHASE OF VARIOUS PRINTER &amp; PRINTER SCANNER</t>
  </si>
  <si>
    <t>RENOVATION OF ADMINISTRATIVE BUILDING</t>
  </si>
  <si>
    <t>Construction of Pathway-so Pulo</t>
  </si>
  <si>
    <t>SUPPLY AND DELIVERY OF EQUIPMENT, PAINTS AND OTHER MATERIALS FOR TRAFFIC SIGNAGE AND ROAD PEDXING (2ND POSTING)</t>
  </si>
  <si>
    <t>Materials for the Construction of Cloning Bin and Shed at Brgy. Sucob</t>
  </si>
  <si>
    <t>Office Supplies - MAO</t>
  </si>
  <si>
    <t>Supply and Delivery of GI and 3/4 Crushed Gravel</t>
  </si>
  <si>
    <t>PURCHASE OF MATERIALS FOR THE REPLACEMENT OF DUAL GEAR AND COUPLING OF FARM TRACTOR #1 OFFICE OF THE MUNICIPAL AGRICULTURIST</t>
  </si>
  <si>
    <t>PIKCOT-002020-018 (SUPPLY AND DELIVERY OF FERTILIZERS)</t>
  </si>
  <si>
    <t>Bid No. 20-0346 -  PROCUREMENT OF OFFICE SUPPLIES - DILG/ABC SECTION</t>
  </si>
  <si>
    <t>CONSTRUCTION MATERIALS FOR IMPROVEMENT OF VARIOUS STRUCTURES</t>
  </si>
  <si>
    <t>Various Laboratory Supplies_PR 11140</t>
  </si>
  <si>
    <t>COMPLETION OF KALASAG CENTER</t>
  </si>
  <si>
    <t>PURCHASE OF ICT EQUIPMENT AND SUPPLIES (FUND 164)</t>
  </si>
  <si>
    <t>RFQ-20-022 - Procurement of Various Materials, for use in the AUTOMATED TRAFFIC DATA COLLECTION PROGRAM CY 2020 within the Fifth District of Leyte</t>
  </si>
  <si>
    <t>Provision of One (1) Unit Automatic Weather Station</t>
  </si>
  <si>
    <t>Procurement of 150 Pax Meal(1) and Snack(2) without Venue under P.R No. 2530-2020 -City Planning and Development Office</t>
  </si>
  <si>
    <t>Bid No. 20-0343 - PROCUREMENT OF CONSTRUCTION MATERIALS - MEO (CONSTRUCTION OF MP HALL - MUNICIPAL COMPOUND , MARAGUSAN, DAVAO DE ORO PROVINCE)</t>
  </si>
  <si>
    <t>Procurement of Aircon Compressor</t>
  </si>
  <si>
    <t>Information Technology Parts and Accessories &amp; Perip</t>
  </si>
  <si>
    <t>Bid No. 20-0345 -  PROCUREMENT OF OFFICE SUPPLIES - DILG/SK SECTION</t>
  </si>
  <si>
    <t>Supply of 76 pieces D.I. Gate Valve, Flange Type, 50mm. (2")</t>
  </si>
  <si>
    <t>Rpr &amp; Maint Transportation Equip-Motor Vehicles (70,575.00) OSPS</t>
  </si>
  <si>
    <t>Supply &amp; Installation 3 units 37.5 KVA Dist. Transformer INC. Pole Line Materials</t>
  </si>
  <si>
    <t>Furnishing Office Furniture for Various Offices (BPLO,MO &amp; MBO) in this Municipality of Santa Cruz Laguna</t>
  </si>
  <si>
    <t>Online Subscriptions and Licensed Software</t>
  </si>
  <si>
    <t>Office Equipment - MAO</t>
  </si>
  <si>
    <t>PURCHASE OF PERSONAL PROTECTIVE EQUIPMENT (PPE)</t>
  </si>
  <si>
    <t>Procurement of Catering Services for the conduct of 2020 Census of Population  and Housing (CPH) 4th Level Training in Tapaz, Capiz of PSA Capiz PSO</t>
  </si>
  <si>
    <t>20NA0075 Rehabilitation/ Reconstruction of Roads with Slips, Slope Collapse, and Landslide - Primary Roads, BCIR, K1265+373.3 - K1265+471.30 (R/S), K1265+507.70 - K1265+675.30 (L/S), K1265+725.30 - K1</t>
  </si>
  <si>
    <t>Semi Expendable Machinery &amp; Equip-Sports Equip-PKOC-PhP93,000.00)</t>
  </si>
  <si>
    <t>1 unit Laptop computer-CPU-i3 and other items for the use of City Planning Office.</t>
  </si>
  <si>
    <t>CELLCARDS:ALLOCATION FOR SLP REGULAR STAFF FOR 2ND QUARTER CY 2020</t>
  </si>
  <si>
    <t>INVITATION TO BID FOR THE PURCHASE OF CONSTRUCTION MATERIALS FOR COMPLETION HEALTH CENTER OF BRGY. JUBANG, TAGO,  SURIGAO DEL SUR</t>
  </si>
  <si>
    <t>Rehabilitation/Improvement of FMR</t>
  </si>
  <si>
    <t>LAbor &amp; MAterials for REpair of VArious Equipments</t>
  </si>
  <si>
    <t>Procurement of Office Supplies  PR # 2020-06-24-212</t>
  </si>
  <si>
    <t>Supply &amp; delivery of construction  materials  for the repair &amp; maintenance  of various infrastructure project, various brgys., Rosario, Batangas.</t>
  </si>
  <si>
    <t>Supply and Delivery of Type 1 Portland Cement and Screened Sand</t>
  </si>
  <si>
    <t>INVITATION TO BID FOR THE PURCHASE OF CONSTRUCTION MATERIALS &amp; SUPPLIES FOR THE COMPLETION OF BRGY EVACUATION  CENTER.  VICTORIA, TAGO, SURIGAO DEL SUR</t>
  </si>
  <si>
    <t>Materials for the Construction of Day Care Center at Brgy. Poblacion</t>
  </si>
  <si>
    <t>Supply of ten (10) units Handheld Radio</t>
  </si>
  <si>
    <t>Supply of 22 pieces D.I. Gate Valve, Flange Type, 75mm. (3")</t>
  </si>
  <si>
    <t>Purchase of Xerox Machine &amp; Toner</t>
  </si>
  <si>
    <t>Construction Supplies</t>
  </si>
  <si>
    <t>SUPPLY AND DELIVERY OF GOODS FOR THE PROCUREMENT OF MATERIALS FOR CONSTRUCTION OF SCHOOL FOOTBRIDGE (PHASE II)</t>
  </si>
  <si>
    <t>Construction/Rehabilitation of Breakwater</t>
  </si>
  <si>
    <t>INVITATION TO BID FOR THE PURCHASE OF CONSTRUCTION MATERIALS &amp; SUPPLIES FOR REHABILITATION OF BRGY. HALL OF BRGY.  UNABAN, TAGO, SURIGAO DEL SUR</t>
  </si>
  <si>
    <t>PROPOSED REPAIR AND MAINTENANCE OF VARIOUS SCHOOL FACILITIES AT CITY OF MALABON UNIVERSITY, LOCATED AT PAMPANO ST., KAUNLARAN VILLAGE, BRGY. LONGOS, CITY OF MALABON</t>
  </si>
  <si>
    <t>Rebidding: Job Order: (Lumpsum) for completion of the 2nd Floor 2 classroom building at Taclobo National High School at Barangay Batinguel.</t>
  </si>
  <si>
    <t>Procurement of Medical Supplies  PR # 2020-06-25-217</t>
  </si>
  <si>
    <t>Repair and Maintenance-Watercrafts (Jan-Mar)</t>
  </si>
  <si>
    <t>Supply of one (1) unit Generator Set</t>
  </si>
  <si>
    <t>FOG NSPRDC 2020-06-028 - Supply of labor and materials for the repair of Isuzu Pick-up w/ plate number SFD 362 assigned at NSPRDC, Brgy. Lagalag, Tiaong, Quezon</t>
  </si>
  <si>
    <t>PROCUREMENT OF MATERIALS FOR THE IMPROVEMENT OF BENCH PAVEMENT OF MULTI-PURPOSE BUILDING</t>
  </si>
  <si>
    <t>COST OF 810 FOOD PACKS FOR 90 DAYS PROGRAM IMPLEMENTATION FOR DIETARY SUPPLEMENTATION   FOR PREGNANT WOMEN IN ECCD F1k PROGRAM ------Php 7,290,000.00</t>
  </si>
  <si>
    <t>IT EQUIPMENT FOR YOUTH</t>
  </si>
  <si>
    <t>Lot1-Construction of 1 span concrete bridge (7-LN.M) at Sitio Lappao, San Antonio, Baggao, Cagayan</t>
  </si>
  <si>
    <t>Procurement of Construction Materials (Improvement of Multi-purpose Hall Brgy. Office)</t>
  </si>
  <si>
    <t>PRINTING SERVICES, SUPPLY AND DELIVERY OF PLASTIC ENVELOPES AND PHOTOCOPIER MACHINE FOR THE PROJECT "HOME-BASED LEARNING THROUGH MODULAR DISTANCE EDUCATION"</t>
  </si>
  <si>
    <t>Request for Quotation for use of SARGEN-RSO-Engineering Unit</t>
  </si>
  <si>
    <t>Supply &amp; delivery of construction materials for the Construction of 3-units Spillway, Brgy. San Isidro, Rosario, Batangas</t>
  </si>
  <si>
    <t>Native Bees (Stingless Bees)</t>
  </si>
  <si>
    <t>Bid No. 20-0348 - PROCUREMENT OF OFFICE SUPPLIES - MENRO/ENVIRONMENTAL AWARENESS CAMPAIGN PROGRAM</t>
  </si>
  <si>
    <t>PIKCOT-002020-019 (SUPPLY AND DELIVERY OF KNAPSACK SPRAYERS)</t>
  </si>
  <si>
    <t>Construction of Evacuation Center Phase 3</t>
  </si>
  <si>
    <t>Bid No. 20-0347 - PROCUREMENT OF OFFICE SUPPLIES - MENRO/REFORESTATION PROGRAM</t>
  </si>
  <si>
    <t>Repair and Maintenance-Watercrafts (Apr-June)</t>
  </si>
  <si>
    <t>COST OF SUPPLY, DELIVERY AND INSTALLATION OF CCTV CAMERA AT SOUTHVILLE 9, BARANGAY PINUGAY, BARAS, RIZAL</t>
  </si>
  <si>
    <t>Supply and Delivery of Hardware Materials for the Re-Piping of Water System of SDSSU San Miguel Campus</t>
  </si>
  <si>
    <t>Concreting of Sitio Bega, Pisuac-Galarin Roadline @ Brgy. Pisuac, Galarin, Urbiztondo, Pangasinan</t>
  </si>
  <si>
    <t>Procurement of Closed Circuit Television (CCTV)</t>
  </si>
  <si>
    <t>Rehabilitation/Improvement of FRM</t>
  </si>
  <si>
    <t>Supply of 45 pieces Corporation Stop, F700 50mm (2"), Brass Compression Type</t>
  </si>
  <si>
    <t>LBP ROXAS BLVD BRANCH RENOVATION (CONCRETE CORING)</t>
  </si>
  <si>
    <t>Elevator at Clark Museum (Civil Works)</t>
  </si>
  <si>
    <t>Bid No. 20-0349 - PROCUREMENT OF OFFICE SUPPLIES - MENRO/ADOPT A CREEK PROGRAM</t>
  </si>
  <si>
    <t>VLD-LSD 2020-06-085 - Supply and delivery of Pirani Gauge for use to measure vacuum pressure during freeze drying operation of vaccine production at VVBPL</t>
  </si>
  <si>
    <t>Purchase of Plumbing / Electrical Supplies and Materials for the Water / Electrical Supply of Bucit</t>
  </si>
  <si>
    <t>Purchase of Materials for the Road Concreting of Farm to Market Road, Brgy. Alugmawa, Lambunao, Iloilo</t>
  </si>
  <si>
    <t>Request for Quoation - Chargeable against Information Technology Equipment-Capital Outlay of 2020 Budget</t>
  </si>
  <si>
    <t>Installation of Solar Powered Street Lights (Purok 1-3)</t>
  </si>
  <si>
    <t>20GNA0002 PROCUREMENT OF SURVEYING INSTRUMENT (UNMANNED AERIAL VEHICLE/SYSTEM (UAV/UAS/RPA))</t>
  </si>
  <si>
    <t>20CG0200 - Repair/ Maintenance of Bank Protection along San Isidro Creek City of San Fernando, Pampanga</t>
  </si>
  <si>
    <t>Installation of Solar Streetlights at Brgy. Palaris, Asingan, Pangasinan.</t>
  </si>
  <si>
    <t>WOMEN'S MONTH CELEBRATION</t>
  </si>
  <si>
    <t>Concreting of Delos Santos Road at Brgy. Malibong, Urbiztondo, Pangasinan</t>
  </si>
  <si>
    <t>Bid No. 20-0351 - PROCUREMENT OF OFFICE SUPPLIES - MENRO/DEVELOPMENT AND OPERATIONS OF ESWM-PARK</t>
  </si>
  <si>
    <t>PR. 20-06-232 (2020-07-224) PROCUREMENT OF HYPOCHLORINATOR DOSING PUMP WITH SELF DEAERATOR</t>
  </si>
  <si>
    <t>CONST. OF FENCING (7SPAN OF 3MTRS)</t>
  </si>
  <si>
    <t>ROAD CONCRETING OF 2.5m x 0.2m x 92m ROAD</t>
  </si>
  <si>
    <t>Sari-Sari Store</t>
  </si>
  <si>
    <t>Bid No. 20-0350 - PROCUREMENT OF OFFICE SUPPLIES - MENRO (SOLID WASTE MANAGEMENT BOARD OPERATION)</t>
  </si>
  <si>
    <t>20AC0055 - Construction of Road From Brgy. Cuta - Brgy. Tamag, Vigan City, Ilocos Sur</t>
  </si>
  <si>
    <t>Health and Wellness Lunch Kit and Sports Paraphernalia for NEDA RO1 Staff</t>
  </si>
  <si>
    <t>invitation to bid for the Construction of perimeter fence at Barangay Poblacion West, Sta. Maria, Pangasinan</t>
  </si>
  <si>
    <t>Delivery of Hygiene Materials and Equipment</t>
  </si>
  <si>
    <t>Live Animals (Native Goat)</t>
  </si>
  <si>
    <t>20AC0054 - Concreting of Roads, Brgy. Poblacion East, San Ildefonso, Ilocos Sur</t>
  </si>
  <si>
    <t>Rehabilitation of Multi-Purpose Hall</t>
  </si>
  <si>
    <t>Bid No. 20-0352 - PROCUREMENT OF OFFICE SUPPLIES - MEO/LANDSCAPING COMMITTEE</t>
  </si>
  <si>
    <t>SUPPLY AND DELIVERY OF LOT 1- OFFICE SUPPLIES AND LOT 2- OTHER SUPPLIES AND MATERIALS FOR USE IN THE IMPLEMENTATION OF CORN PROGRAM</t>
  </si>
  <si>
    <t>Concreting of Access Road to Pilar Barangay Hall</t>
  </si>
  <si>
    <t>Repair &amp; Maintenance Other Structures (PKOC-86,400.00)</t>
  </si>
  <si>
    <t>HOME-BASED LEARNING THROUGH MODULAR DISTANCE EDUCATION.</t>
  </si>
  <si>
    <t>20CG0201 - Construction/ Repair/ Rehabilitation/ Improvement of Various Infrastructure including Local Projects: Local Roads and Bridges – Local Roads – Construction of Road, Sto. Tomas, Pampanga</t>
  </si>
  <si>
    <t>Construction of Concrete Covered Canal</t>
  </si>
  <si>
    <t>CONSTRUCTION OF BALBALAN BRGY. HALL PROTECTION WALL, BALBALAN PROPER</t>
  </si>
  <si>
    <t>Kalabugao CES RFQ- Construction Supplies</t>
  </si>
  <si>
    <t>5 bot Xylazine 100mg/ml 10% Injection and other items for use as maintenance supplies for operation of the City Pound building in Barangay Camanjac, Dumaguete City.</t>
  </si>
  <si>
    <t>101-20-06-RFQ0730 - MTO SUPPLIES FOR 1ST QUARTER 2020</t>
  </si>
  <si>
    <t>Supply, Delivery and Installation of Brand New Closed-Circuit Television (CCTV) System at the NAPOLCOM-NCR Regional Office, Makati City</t>
  </si>
  <si>
    <t>PR No. 2020-05-091 (Office supplies for July to August)</t>
  </si>
  <si>
    <t>20CG0205 - Construction/ Repair/ Rehabilitation/ Improvement  of Various Infrastructure including Local Projects – Local Roads and Bridges – Local Roads – Construction of Road, Candaba, Pampanga</t>
  </si>
  <si>
    <t>20CG0202 - Local Program: Construction/ Repair/ Rehabilitation/ Improvement of Various Infrastructure including Local Projects – Local Roads and Bridges – Local Roads – Construction of Road, Apalit, P</t>
  </si>
  <si>
    <t>20CG0204 - Local Infrastructure Program: Buildings and Other Structures – Multipurpose/ Facilities – Construction of Multi-Purpose Building, San Antonio, Mexico, Pampanga</t>
  </si>
  <si>
    <t>Rebid on Cluster 3: CY 2019 Dental Health Facility Program Repair of Classrooms/Conversion of Classroom to Dental Clinics for Banisilan CES and Malinao CES, Banisilan, Cotabato</t>
  </si>
  <si>
    <t>Completion of City Hospital - Tablon (Phase II); SN 133 - 2020</t>
  </si>
  <si>
    <t>Supply of 500 pcs Corrugated Package Boxes _PR 11098</t>
  </si>
  <si>
    <t>SUBM#2020 -07-02 - To purchase  Office Supplies and Equipment for use in the Procurement Unit, DPWH, Negros Occidental 2nd District Engineering Office, Binalbagan Negros Occidental</t>
  </si>
  <si>
    <t>SVP PUR19-10-1204 SUPPLY,DELIVERY,TESTING AND COMMISSIONING OF VARIOUS ORTHOPEDIC EQUIPMENT FOR THE PGH</t>
  </si>
  <si>
    <t>Construction of Streetlights System</t>
  </si>
  <si>
    <t>CONTINUATION OF MULTIPURPOSE BUILDING</t>
  </si>
  <si>
    <t>Request for Quotation - For official use of the LO - OH Office under MOOE</t>
  </si>
  <si>
    <t>Quotation No. 20-07-0397-CATERING SERVICES for the Orientation of Regional Monitoring/Vaccinators/Data Management Team at Zamboanga City</t>
  </si>
  <si>
    <t>Kalabugao Central ES- RFQ- Office Supplies</t>
  </si>
  <si>
    <t>Live Animals (Native Chicken)</t>
  </si>
  <si>
    <t>Purchase and Delivery of Cellcards of SB for the month of July</t>
  </si>
  <si>
    <t>Construction of Box Culvert along Mayor's Boulevard, Asingan, Pangasinan.</t>
  </si>
  <si>
    <t>INVITATION TO BID FOR THE  COMPLETION OF EVACUATION CENTER AT BARANGAY TUMBAR, LINGAYEN, PANGASINAN</t>
  </si>
  <si>
    <t>Feed Ingredients (Cowpea)</t>
  </si>
  <si>
    <t>Supply and Delivery of Furniture and Fixture for Local Civil Registrar Office, Office Equipment for Municipal Assessor's Office, Tires for MDRRM Office and Sound Proofing for Radyo Kamalindig</t>
  </si>
  <si>
    <t>20GGM0012 - Procurement of Office Supplies and Consumables for use in various offices, DPWH, Negros Occidental 3rd District Engineering Office, Kabankalan City.</t>
  </si>
  <si>
    <t>REPAIR AND RE-PAINTING OF DUALE ELEMENTARY SCHOOL</t>
  </si>
  <si>
    <t>CAR DASH CAMERA GSD J-20-301</t>
  </si>
  <si>
    <t>Purchase of One (1) Unit Transformer to be used at the Malayo Water System, Urbiztondo, Pangasinan</t>
  </si>
  <si>
    <t>Procurement of Construction Materials for the construction of DARMO Imelda Improvement (19.99 SQM.)</t>
  </si>
  <si>
    <t>CONCRETING OF PATHWALK</t>
  </si>
  <si>
    <t>PIKCOT-002020-020 (SUPPLY AND DELIVERY OF PESTICIDE)</t>
  </si>
  <si>
    <t>REHABILITATION OF JHS MT. BUILDING STUDENT'S WASH AREA (ROOFING)</t>
  </si>
  <si>
    <t>Purchase of Laboratory Equipment for use of BSFT</t>
  </si>
  <si>
    <t>Supply and Delivery of Filling Materials for the Parking Lot of Mini Auditorium of SDSSU Lianga Campus</t>
  </si>
  <si>
    <t>Supply and Delivery of Printer Inks for the Official Use of SDO Tayabas City</t>
  </si>
  <si>
    <t>RFQ-PNR-2020-002 CATEGORY I – DRUGS AND MEDICINES</t>
  </si>
  <si>
    <t>Repair &amp; Maintenance Other Structures (PKOC-76,292.00)</t>
  </si>
  <si>
    <t>20CG0206 - Construction/ Repair/ Rehabilitation/ Improvement  of Various Infrastructure including Local Projects: Local Roads and Bridges – Local Roads – Construction of Road, San Simon, Pampanga</t>
  </si>
  <si>
    <t>Production and Printing Services</t>
  </si>
  <si>
    <t>50 bags Cement and other items for materials use in the repair and maintenance of the Marine Sanctuaries from coastal Barangays.</t>
  </si>
  <si>
    <t>Feed Ingredients (OPV Corn)</t>
  </si>
  <si>
    <t>Rehab of Day Care Center</t>
  </si>
  <si>
    <t>LRDD 2020-06-098 - Supply and delivery of Personal Protective Equipment (PPE) for distribution to staff, resource persons and livestock raisers during the distribution and installation of biogas diges</t>
  </si>
  <si>
    <t>Construction of Residual Containment</t>
  </si>
  <si>
    <t>Construction of Farm to Market Road at Zone 2, Brgy. San Vicente East, Asingan, Pangasinan.</t>
  </si>
  <si>
    <t>INVITATION TO BID FOR SECURITY SERVICES</t>
  </si>
  <si>
    <t>OFFICE EQUIPMENT (PWD)</t>
  </si>
  <si>
    <t>Concreting of Pathway at Brgy. Jamoog, Rosario, Northern Samar</t>
  </si>
  <si>
    <t>Purchase of Various Medicines and Medical Supplies for Philhealth Beneficiaries of Calasiao, Pangasinan</t>
  </si>
  <si>
    <t>DRUGS AND MEDICINES</t>
  </si>
  <si>
    <t>PR #1635 TO PROVIDE MATERIALS FOR THE IMPROVEMENT OF ADC (DA-SCRC)</t>
  </si>
  <si>
    <t>Procurement of Medical Equipment</t>
  </si>
  <si>
    <t>Spare PArts</t>
  </si>
  <si>
    <t>CONSTRUCTION OF MULTI PURPOSE BUILDING</t>
  </si>
  <si>
    <t>SUPPLY AND DELIVERY OF  EVACUATION MODULAR TENT</t>
  </si>
  <si>
    <t>CONTINUATION OF MULTI PURPOSE CENTER</t>
  </si>
  <si>
    <t>20-06-203 - Various IT Equipments</t>
  </si>
  <si>
    <t>For Maintenance/Sanitation use (1st-2nd quarter).CEEDMO</t>
  </si>
  <si>
    <t>Procurement of Construction Materials for the repair and improvement of DARMO Alicia ZSP</t>
  </si>
  <si>
    <t>COMPLETION OF BARANGAY HALL - PHASE V</t>
  </si>
  <si>
    <t>Procurement of Supplies for Brigada Eskwela 2020</t>
  </si>
  <si>
    <t>20CG0203 - Construction/ Repair/ Rehabilitation/ Improvement  of Various Infrastructure including Local Projects – Flood Control and Drainage – Flood Control Structures/ Facilities – Construction of R</t>
  </si>
  <si>
    <t>RFQ CLEAR-LOCK MICROTUBES</t>
  </si>
  <si>
    <t>401-20-06-RFQ0729 - USE IN DISASTER RISK REDUCTION PROJECT AND ACTIVITIES</t>
  </si>
  <si>
    <t>Construction /Extension of Multi-Purpose Covered Court</t>
  </si>
  <si>
    <t>Supply of 131 pieces Corporation Stop, F-700, 25mm. Brass Compression Type</t>
  </si>
  <si>
    <t>REQUEST FOR QUOTATION (RFQ)  PROCUREMENT FOR DIGITAL/ELECTRONIC SIGNATURE PAD (WITH SYSTEM) RFQ No.050 -2020</t>
  </si>
  <si>
    <t>REQUEST FOR QUOTATION FOR NEGOTIATED PROCUREMENT  FOR THE PROCUREMENT AND DELIVERY OF TUMBLER FOR  2020 CENSUS OF POPULATION AND HOUSING (CPH)</t>
  </si>
  <si>
    <t>Procurement of Office Equipment  PR # 2020-06-25-218</t>
  </si>
  <si>
    <t>NP 099-20: Printing and Production of the National Convergence Initiative for Sustainable Rural Development (NCI-SRD) Envelope and Folder to be used for the upcoming NCI-SRD activities.  Delivery date</t>
  </si>
  <si>
    <t>Procurement of Goods for  Office Equipment</t>
  </si>
  <si>
    <t>Concreting of Garcia Road at Brgy. Bituag, Urbiztondo, Pangasinan</t>
  </si>
  <si>
    <t>20CB-GSC-390 PURCHASE OF ENGINE OIL FOR CITY VET</t>
  </si>
  <si>
    <t>Improvement of Pathways along NRRES, L. Millan and P. Ramos St., Brgy. Poblacion West, Asingan, Pangasinan.</t>
  </si>
  <si>
    <t>Supply and Delivery of Office Fixtures use at the Dauis Central Elenmentary School at Dauis, Bohol.</t>
  </si>
  <si>
    <t>Medical Kit</t>
  </si>
  <si>
    <t>Construction of Drainage System at A Banzon Street, Barangay Central, City of Balanga, Bataan</t>
  </si>
  <si>
    <t>SK Office Renovation</t>
  </si>
  <si>
    <t>Repair &amp; Maintenance of Buildings (PKOC-PhP66,460.00)</t>
  </si>
  <si>
    <t>Supply Labor and Materials for the Fabrication and Installation of Canopy for COMELEC Receiving Area</t>
  </si>
  <si>
    <t>RFQ PIPETTE AND PIPETTE STAND</t>
  </si>
  <si>
    <t>Purchase of 12 units printer, 9 units Laptop, 2 units printer, 3 pcs. external drive</t>
  </si>
  <si>
    <t>Procurement of All In One Printer</t>
  </si>
  <si>
    <t>PROPOSED TINSMITHRY WORK FOR MATERIAL RECOVERY FACILITY AT HIMAYA, EL SALVADOR CITY</t>
  </si>
  <si>
    <t>Procurement of Goods Catering Services</t>
  </si>
  <si>
    <t>Construction of New Hand Washing Facility</t>
  </si>
  <si>
    <t>RIP RAPPING OF CREEK BANK</t>
  </si>
  <si>
    <t>RFQ-NP-SVP-265-2020- Procurement for  Preventive Maintenance for Elevators.</t>
  </si>
  <si>
    <t>Proposed Construction of Stone Masonry</t>
  </si>
  <si>
    <t>CONTINUATION FOR THE CONSTRUCTION OF LOWER POBLACION ACCESS ROAD (PHASE III)</t>
  </si>
  <si>
    <t>20CG0208 - Local Infrastructure Program: Local Roads and Bridges – Local Roads – Construction of Road, Candaba, Pampanga</t>
  </si>
  <si>
    <t>PRAS NO. 2020-06-045 CATERING SERVICES</t>
  </si>
  <si>
    <t>Delivery of Roll-up Blinds Double H02-004 and Vertical Blinds</t>
  </si>
  <si>
    <t>Procurement of Goods for Fuel</t>
  </si>
  <si>
    <t>Procurement of Goods for Fuel Supply</t>
  </si>
  <si>
    <t>Supply and Delivery of Materials for the Fabrication of Collapsible Tent for Brgy. Guisguis Talon, Sto. Cristo, Sampaloc 2, Janagdong 1, Janagdong 2, Lutucan Malabag, Bucal, Morong, Canda and Guisguis</t>
  </si>
  <si>
    <t>SUPPLY AND DELIVERY OF TOILET BOWL</t>
  </si>
  <si>
    <t>Subscription of Unified Threat Management (UTM) Solution for CY 2020 (ITB 02-2020)</t>
  </si>
  <si>
    <t>Improvement of Multi-Purpose Hall at Palawig</t>
  </si>
  <si>
    <t>20CG0207 - Network Development Program: Off – Carriageway Improvement – Tertiary Roads – Baliwag – Candaba – Sta. Ana Rd – K0071+030 – K0071+894, K0072+501 – K0073+144, Candaba, Pampanga</t>
  </si>
  <si>
    <t>CONSTRUCTION OF BALETE WATER WORKS SYSTEM (PHASE I), BALANTOY,</t>
  </si>
  <si>
    <t>Street Cementing (Phase II)</t>
  </si>
  <si>
    <t>Supply and Delivery of Lights for PPA Head Office Hallways and Common Areas</t>
  </si>
  <si>
    <t>Construction of Spillway at Brgy. Manggalang Tulo-tulo, Sariaya, Quezon</t>
  </si>
  <si>
    <t>2 rolls Electrical Wire #14 THHN (Black) and other items for rehabilitation/Improvement of Office and Women Center and other facilities of CSWDO (Phase I) at Barangay Poblacion 1.</t>
  </si>
  <si>
    <t>SUPPLY AND DELIVERY OF 1 UNIT SPLIT TYPE AIRCON, GENERAL SERVICES OFFICE, LGU CANDELARIA, QUEZON</t>
  </si>
  <si>
    <t>CONSTRUCTION OF DRAINAGE STRUCTURE Along Salazar St. – Athletic Road (Near EVSU Main Campus), Tacloban City</t>
  </si>
  <si>
    <t>Purchase of Mapping-Grade Handheld Geohazard Processing Equipment with ArcPad</t>
  </si>
  <si>
    <t>RFQ-PNR-2020-002 CATEGORY II – MEDICAL EQUIPMENT</t>
  </si>
  <si>
    <t>RFQ-NP-SVP-266-2020-Procurement of  Supplies and Materials for Electrical &amp; Mechanical Repair and Maintenance.</t>
  </si>
  <si>
    <t>Procurement of materials  for  flooring of  multi-purpose  building at barangay Madaguing</t>
  </si>
  <si>
    <t>Office Supplies &amp; Other Materials Expenses</t>
  </si>
  <si>
    <t>Job Order: (Lumpsum) for rehabilitation/Improvement of Office and Women Center and other facilities of CSWDO (Phase I) at Barangay Poblacion 1.</t>
  </si>
  <si>
    <t>Medicines for GWBVMH, Guihulngan City, Negros Oriental		(S-220-2020)</t>
  </si>
  <si>
    <t>CONSTRUCTION OF PUROK 4B ILANG-ILANG ST., PHASE III CABINUANGAN, NEW BATAAN, DAVAO DE ORO</t>
  </si>
  <si>
    <t>Construction of Spillway at Brgy. Mamala 2, Sariaya, Quezon</t>
  </si>
  <si>
    <t>Supply and Delivery of 7 Sets of Sari-Sari Store/Groceries Kit for the Implementation of Pangkabuhayan sa Pag Bangon at Ginhawa (PBG) Project</t>
  </si>
  <si>
    <t>Procurement of Office Supplies 2020 - DOLE Bohol Field Office</t>
  </si>
  <si>
    <t>purchased of food packs distribution</t>
  </si>
  <si>
    <t>SUPPLY AND DELIVERY OF CONSTRUCTION MATERIALS FOR THE IMPROVEMENT OF EVACUATION CENTER (KITCHEN &amp; MESS HALL)</t>
  </si>
  <si>
    <t>Procurement of Goods Information &amp; Communication Technology Equipment</t>
  </si>
  <si>
    <t>CONSTRUCTION OF LINE CANAL</t>
  </si>
  <si>
    <t>Procurement of Alcohol &amp; Facemask</t>
  </si>
  <si>
    <t>Construction of Solar Drinking Station in Various Barangays, Asingan, Pangasinan.</t>
  </si>
  <si>
    <t>Concreting of Pilar-Sitio Talisay Road</t>
  </si>
  <si>
    <t>Concreting of Alley Roads</t>
  </si>
  <si>
    <t>20CG0209 - Local Infrastructure Program: Buildings and other Structures – Multipurpose/ Facilities – Extension/ Improvement of the Fish Port, Brgy. Bebe Anac, Masantol, Pampanga</t>
  </si>
  <si>
    <t>CONCRETING OF PAVEMENT</t>
  </si>
  <si>
    <t>Continuation  Development Center</t>
  </si>
  <si>
    <t>Other Supplies &amp; Materials Expenses (OSPS-70,630.00)</t>
  </si>
  <si>
    <t>RFQ CRYOTUBE (500 PIECES/BAG)</t>
  </si>
  <si>
    <t>Supply, Delivery and Installation of CCTV Based Video Surviellance System at Municipal Annex Building at Poblacion, dauis, Bohol.</t>
  </si>
  <si>
    <t>Supply of Purified Drinking water (5 Liters)_PR 11237</t>
  </si>
  <si>
    <t>Repair and Maintenance of Power Spray @ Barangay Talaibon, Ibaan, Batangas</t>
  </si>
  <si>
    <t>13 cu.m Sand std. specs and other items for rehabilitation/Improvement of Office and Women Center and other facilities of CSWDO (Phase I) at Barangay Poblacion 1.</t>
  </si>
  <si>
    <t>Construction of Multi-Purpose Building with Storage Room and Public Comfort Room at Barangay Tumbaga 1, Sariaya, Quezon</t>
  </si>
  <si>
    <t>Renovation/Improvement of Existing Material Recovery Facility (MRF) at Brgy. Bantog, Asingan, Pangasinan.</t>
  </si>
  <si>
    <t>Supply of Chromatography Paper_PR 11247</t>
  </si>
  <si>
    <t>Procurement of Computer Set</t>
  </si>
  <si>
    <t>Repair of Electric Safety Breaker in New Admin. Building. (Fund 101)</t>
  </si>
  <si>
    <t>Continuation of Water System</t>
  </si>
  <si>
    <t>Rpr &amp; Maint Motor Vehicles (91,910.00) OSSM</t>
  </si>
  <si>
    <t>Supply and Delivery of Common-Use Office Supplies for Covid 19 Safety Measures</t>
  </si>
  <si>
    <t>Concreting of Barangay Road at Brgy. Canda, Sariaya, Quezon</t>
  </si>
  <si>
    <t>RFQ-NP-SVP-267-2020-Procurement of  Supplies and Materials for Generators.</t>
  </si>
  <si>
    <t>PR NO. 1545 MAINTENANCE OF VEHICLE</t>
  </si>
  <si>
    <t>Fabrication of Cabinets and Shelves at Municipal Health Office</t>
  </si>
  <si>
    <t>SUPPLY, DELIVERY ON SITE, COMMISSIONING AND TESTING OF 20 UNITS FLOATING TILLER MUDBOAT WITH ENGINE AND COMPLETE SET OF ACCESSORIES FOR FARM MECHANIZATION PROGRAM.</t>
  </si>
  <si>
    <t>purchase of second hand ten wheeler truck</t>
  </si>
  <si>
    <t>Supply and Delivery of Office Supplies for the Official Use of SDO Tayabas City</t>
  </si>
  <si>
    <t>REI_20CSE012: Consulting Services for the Conduct of Environmental Impact Assessment (EIA), Preparation of Environmental Impact Assessment Statement (EIS) and Application of Environmental Compliance C</t>
  </si>
  <si>
    <t>Improvement of Multi-Purpose Hall at Marede</t>
  </si>
  <si>
    <t>AMENITIES FOR COVID 19 FACILITY</t>
  </si>
  <si>
    <t>20ID0076 - Supply/Delivery with Installation of Internally Illuminated (Solar) Pavement Levelled Marker/Stud,Flush Type,Type GI05                Bi-Directional, along Palo-Carigara-Ormoc Road,K0942+(-</t>
  </si>
  <si>
    <t>Purchase of 1 unit laptop, 1 printer and 1 monitor</t>
  </si>
  <si>
    <t>Procurement of Services – Publication of Plans and Programs of Mayor Lani Mercado Revilla and the City Government of Bacoor (Batch 2) - CIO</t>
  </si>
  <si>
    <t>Purchase and Delivery Construction of Proposed Handwashing Area Municipal Ground</t>
  </si>
  <si>
    <t>Concreting of Farm to Market Road, Brgy. Janipa-an East, Mina, Iloilo.</t>
  </si>
  <si>
    <t>Purchase of One (1) Unit non-inverter  floor mounted Aircon</t>
  </si>
  <si>
    <t>MATERIALS AND LABOR FOR INSTALLATION OF WATER PUMP AND HANDWASH AT HALL JUSTICE, MONDRAGON, N. SAMAR</t>
  </si>
  <si>
    <t>PURCHASE OF AUTOMATIC VERTICAL FORM FILL SEAL MACHINE</t>
  </si>
  <si>
    <t>To Support the Logistical Requirements of 554EBDE,55EBDE,PA</t>
  </si>
  <si>
    <t>RFQ-PNR-2020-002 CAT III–MED/LAB SUPPLIES &amp; REAGENTS</t>
  </si>
  <si>
    <t>ITB No. 2020-07-24 SUPPLY AND DELIVERY OF  VARIOUS LIVESTOCK</t>
  </si>
  <si>
    <t xml:space="preserve">20CG0210 - Construction/ Repair/ Rehabilitation/ Improvement of Various Infrastructure including Local Projects: Local Roads – Concreting of Road, San Nicolas (Olivas/Sta. Monica) to McArthur Hi-Way, </t>
  </si>
  <si>
    <t>Repair and Maintenance for Garbage Truck SGM 419</t>
  </si>
  <si>
    <t>Semi Expendable Machinery &amp; Equip-Books-OSSSM-65,750.00</t>
  </si>
  <si>
    <t>Concreting of Barangay Road at Brgy. Lutucan 1, Sariaya, Quezon</t>
  </si>
  <si>
    <t>RFQ-20-07-024</t>
  </si>
  <si>
    <t>20CG0214 - Construction/ Repair/ Rehabilitation/ Improvement of Various Infrastructure including Local Projects: Local Roads – Construction/ Improvement of Mapalad- Candating Road, Arayat, Pampanga</t>
  </si>
  <si>
    <t>Fuel for City Vice Mayor's Office, Surigao City</t>
  </si>
  <si>
    <t>PROCUREMENT OF VARIOUS OFFICE SUPPLIES</t>
  </si>
  <si>
    <t>CONSTRUCTION OF TAMBUNAC MP BUILDING (COVERED GYM) PHASE IV</t>
  </si>
  <si>
    <t>improvement of sampaguita public market (comfort room)</t>
  </si>
  <si>
    <t>20FE0132 – CONSTRUCTION OF CLASSROOMS, CAIMA ES, LIBMANAN, CAMARINES SUR</t>
  </si>
  <si>
    <t>To Furnish Labor and Materials for Repair and Waterproofing of Roofs at Aqua Center Gym (N-425-2020)</t>
  </si>
  <si>
    <t>Improvement of Stage</t>
  </si>
  <si>
    <t>PROCUREMENT OF ANIMAL / ZOOLOGICAL SUPPLIES</t>
  </si>
  <si>
    <t>PR# 20-0716 - Furniture and Fixtures</t>
  </si>
  <si>
    <t>PURCHASE OF THE MATERIALS FOR THE CONSTRUCTION OF WATER SYSTEM PUROK 1</t>
  </si>
  <si>
    <t>20CG0213 - Construction/ Repair/ Rehabilitation/ Improvement of Various Infrastructure including Local Projects: Local Roads – Construction of Quezon Road – Jose Abad Santos Avenue Bypass Road, Mexico</t>
  </si>
  <si>
    <t>SUPPLY &amp; DELIVERY OF FOOD STUFF</t>
  </si>
  <si>
    <t>20ID0077 - Supply and Installation of Thermoplastic Pavement Markings along Bagahupi-Babatngon-Sta. Cruz-Barugo-Carigara Rd.K0935+(-076)-K0938+700</t>
  </si>
  <si>
    <t>Procurement of Long Bondpaper</t>
  </si>
  <si>
    <t>Purchase of Medicines for RHU Tampilisan, ZN</t>
  </si>
  <si>
    <t>20CG0211 - Construction/ Repair/ Rehabilitation/ Improvement of Various Infrastructure including Local Projects: Local Roads – Construction of Road, Minalin, Pampanga</t>
  </si>
  <si>
    <t>MATERIALS FOR THE PROPOSED ROOFING OF  STAGE</t>
  </si>
  <si>
    <t>Supply and Delivery of Various CCTV Supplies</t>
  </si>
  <si>
    <t>PROCUREMENT OF OFFICE SUPPLIES AND EQUIPMENT</t>
  </si>
  <si>
    <t>REHAB/IMPROV. OF DRAINAGE CANAL</t>
  </si>
  <si>
    <t>PURCHASE OF CERTIFIED RICE SEEDS FOR LGU, MONDRAGON, NORTHERN SAMAR</t>
  </si>
  <si>
    <t>RFQ / PR 20-06-0307 / PROCUREMENT OF BACKPACK MISTBLOWERS</t>
  </si>
  <si>
    <t>Purchase of One (1) Unit split type Aircon</t>
  </si>
  <si>
    <t>Supply and Delivery of Office Supplies for 2nd Quarter 2020</t>
  </si>
  <si>
    <t>20CG0212 - Construction/ Repair/ Rehabilitation/ Improvement of Various Infrastructure including Local Projects – Local Roads and Bridges – Local Roads – Construction of Road, Macabebe, Pampanga</t>
  </si>
  <si>
    <t>Request for Quotation for use of NIA-SARGEN-RSO</t>
  </si>
  <si>
    <t>1,097 pcs Drug Testing Kits for use in the Office Of the Governor/Augmentation to Support Aftercare reintegration (CSAR) Program for Drug Surrenderers	 (N-436-2020)</t>
  </si>
  <si>
    <t>20CG0215 - Asset Preservation: Preventive Maintenance – Primary Roads – Manila North Rd – K0052+(-585) – K0052+340, K0056+000 – K0057+571, Apalit, Pampanga</t>
  </si>
  <si>
    <t>Procurement of Water Tanks,Motor Pump,Fittings,Accessories and Appurtenances and Plumbing Materials.</t>
  </si>
  <si>
    <t>Procurement of hardware materials</t>
  </si>
  <si>
    <t>20FE0133 – CONSTRUCTION OF CLASSROOMS, VILLA SOCORRO ES, LIBMANAN, CAMARINES SUR</t>
  </si>
  <si>
    <t>Training Expense-Php72,600.00 OTSG</t>
  </si>
  <si>
    <t>Delivery of Other Supplies for Sports Development &amp; Other Amusement Program Grassroots Sports Clinic for 1st Quarter.(SVP 20-0563)</t>
  </si>
  <si>
    <t>20CG0216 - Local Program: Local Roads – Construction of Aquino By-Way Extension Bay, Brgy. Anao, Mexico, Pampanga</t>
  </si>
  <si>
    <t>PROCUREMENT OF ONE HUNDRED SIXTY (160) BAGS OF RICE (25 KILOS)</t>
  </si>
  <si>
    <t>20GFO0022 - Purchase of Survey Equipment for Use in the Conduct of Feasibility Study/Pre-Feasibility Study and Preliminary Detailed Engineering Activities for Projects in Region V</t>
  </si>
  <si>
    <t>SUPPLY AND DELIVERY OF PAINTING MATERIALS FOR THE PERIMETER FENCE AT THE COMMUNITY HOSPI</t>
  </si>
  <si>
    <t>Procurement of IT Equipment for the BSU-International Relation Office (IRO)</t>
  </si>
  <si>
    <t>Office Supplies for CSO and Livelihood Office</t>
  </si>
  <si>
    <t>Procurement of Services – Printing and Publication of Newsletter Releases of the City Government of Bacoor Various Programs and Activities or 3rd Quarter - CIO</t>
  </si>
  <si>
    <t>Supply and Delivery of Janitorial Supplies for the Official Use of SDO Tayabas City</t>
  </si>
  <si>
    <t>PROCUREMENT OF MATERIALS FOR THE REHABILITATION OF FLOORING OF MULTI PURPOSE BUILDING</t>
  </si>
  <si>
    <t>MDRRMO Battery Pack</t>
  </si>
  <si>
    <t>Supply and Delivery of I.T. Equipment and Peripherals</t>
  </si>
  <si>
    <t>SUPPLY, DELIVERY WITH INSTALLATION FLOOR MOUNTED AIRCON (5 TONNER)</t>
  </si>
  <si>
    <t>rehabilitation of farm to market road-dassun</t>
  </si>
  <si>
    <t>REPAIR/ MAINTENANCE OF SERVICE VEHICLES, LGU-Buruanga, Aklan</t>
  </si>
  <si>
    <t>Concreting of Barangay Road at Barangay Gibanga, Sariaya, Quezon</t>
  </si>
  <si>
    <t>Procurement of Electrical Supplies</t>
  </si>
  <si>
    <t>Construction of Barangay Marker</t>
  </si>
  <si>
    <t>Rental of Storage Facility for the period of August to December 2020 of the City Government of Tarlac</t>
  </si>
  <si>
    <t>RFQ-NP-SVP-263-2020- Procurement of  ICT Equipment for Senior High School.</t>
  </si>
  <si>
    <t>Purchase &amp; Delivery of Office &amp; Janitorial Supplies for the General Services Office</t>
  </si>
  <si>
    <t>PB-PROCUREMENT OF HOSPITAL BEDS  TB No. 2020-18</t>
  </si>
  <si>
    <t>Municipal Dump-truck Maintenance Purposes</t>
  </si>
  <si>
    <t>REHABILITATION OF GAWAAN SUSPENSION FOOTBRIDGE, SALTAN</t>
  </si>
  <si>
    <t>Supply and Delivery of Basic LED Television for the replacement of CCTV Monitors</t>
  </si>
  <si>
    <t>PROCUREMENT OF ASSORTED ITEMS FOR MEALS AND SNACKS</t>
  </si>
  <si>
    <t>REQUEST FOR QUOTATION FOR NEGOTIATED PROCUREMENT  FOR THE PROCUREMENT AND DELIVERY OF RAINCOAT FOR  2020 CENSUS OF POPULATION AND HOUSING (CPH)</t>
  </si>
  <si>
    <t>TONER CARTRIDGE</t>
  </si>
  <si>
    <t>Motor Vehicle Enhancement</t>
  </si>
  <si>
    <t>PROCUREMENT OF OFFICE EQUIPMENT FOR THE LOCAL GOVERNMENT UNIT COMPUTERIZATION PROGRAM</t>
  </si>
  <si>
    <t>Request for Quotation (AD-2020-07-0309 Water dispenser)</t>
  </si>
  <si>
    <t>PROCUREMENT OF VEHICLE ACCESSORIES - GSO</t>
  </si>
  <si>
    <t>Procurement of Battery, Dry Cell, AAA</t>
  </si>
  <si>
    <t>REPAIR/REHAB. OF POTABLE WATER SYSTEM &amp; FACILITIES (VARIOUS SCHOOLS)</t>
  </si>
  <si>
    <t>PROCUREMENT OF VARIOUS COMMUNICATION EQUIPMENTS</t>
  </si>
  <si>
    <t>Procurement of Various Office Equipment</t>
  </si>
  <si>
    <t>procurement of pipe</t>
  </si>
  <si>
    <t>20FE0135 – CONSTRUCTION OF CLASSROOMS, GÑARAN ES, SAN FERNANDO, CAMARINES SUR</t>
  </si>
  <si>
    <t>Local Access Road Upgrading</t>
  </si>
  <si>
    <t>Purchase of Firewood for Use at Slaughterhouse</t>
  </si>
  <si>
    <t>Construction of Leachate Pond, Municipal Landfill, Maoasoas Norte, Pugo, La Union</t>
  </si>
  <si>
    <t>Meals and Snacks for Various Activities and Meetings of Legislative Office</t>
  </si>
  <si>
    <t>Construction of Lined Canal, Purok Bagong Sikat, Brgy. General Paulino Santos (GPS), City of Koronadal</t>
  </si>
  <si>
    <t>Rehabilitation of Farm to Market Road, Saytan, Pugo, La Union</t>
  </si>
  <si>
    <t>Purchase &amp; Delivery of Disinfectant (Active Ingredient: Benzalkonium Chloride) for the Provincial Health Office</t>
  </si>
  <si>
    <t>Purchase &amp; Delivery of Office Supplies &amp; Consumables for the Provincial Veterinary Office</t>
  </si>
  <si>
    <t>PROCUREMENT OF VARIOUS FURNITURE &amp; FIXTURES TO BE USED AT CITY TREASURY OFFICE</t>
  </si>
  <si>
    <t>IMPROVEMENT/ REHAB. OF MANPOWER DEVELOPMENT CENTER/MPB_LOOC PROPER</t>
  </si>
  <si>
    <t>supply and delivery of rescue equipment's</t>
  </si>
  <si>
    <t>CONSTRUCTION OF ALEGRIA MP BUILDING (COVERED GYM) PHASE III</t>
  </si>
  <si>
    <t>WIFI Duplex All-in-One Ink Tank Computer Printer with ADF.		for use in the Office Of the provincial Treasurer	 (N-389-2020)</t>
  </si>
  <si>
    <t>REPLACEMENT OF KACHILAN SLAB-FOOT-BRIDGE (POSA), POBLACION, KACHILAN</t>
  </si>
  <si>
    <t>Construction of Evacuation Center in Barangay Guinobatan, Calapan City</t>
  </si>
  <si>
    <t>2020-06-1053 BARCODE LABEL AND RIBBON; COMPATIBLE WITH EXISTING BARCODE PRINTER, PER SET</t>
  </si>
  <si>
    <t>Construction of Pathwalk at Purok 2</t>
  </si>
  <si>
    <t>Consulting Services for Gifts, Decors and Handicrafts Industries in Region 7</t>
  </si>
  <si>
    <t>20FE0134 – CONSTRUCTION OF CLASSROOMS, PINAMASAGAN NATIONAL HIGH SCHOOL,  SAN FERNANDO, CAMARINES SUR</t>
  </si>
  <si>
    <t>1 lot Provincial  of NIP Polo shirt, T-shirt with print Including labor And Materials (N-435-2020)</t>
  </si>
  <si>
    <t>20NI0082 - Repair/Maintenance of Flood Control Structure at Mangagoy River (Mangagoy River Dike), Mangagoy, Bislig City, Surigao del Sur (K0+000+K0+0156)</t>
  </si>
  <si>
    <t>20FE0136 – CONSTRUCTION OF CLASSROOMS, CALASCAGAS PS, SAN FERNANDO, CAMARINES SUR</t>
  </si>
  <si>
    <t>Providing of Meals for PUM's in Negros Oriental High School.(NP 20-0755).</t>
  </si>
  <si>
    <t>20GAD0006 : Supply and delivery of materials for the Repair and Maintenance along Jct. Santiago-Banayoyo-Lidlidda-San Emilio-Quirino Road</t>
  </si>
  <si>
    <t>CONSTRUCTION OF MULTI-PURPOSE HALL (PHASE I), TALALANG,</t>
  </si>
  <si>
    <t>Procurement of Motor Vehicle Battery for maintenance of BFAR 1 RP Vehicle</t>
  </si>
  <si>
    <t>Laboratory Supplies and Equipment</t>
  </si>
  <si>
    <t>Assorted Materials for the Improvement of Langlangca 1st MP Hall</t>
  </si>
  <si>
    <t>Request for Quotation (PRSD-2020-06-0306 Tires)</t>
  </si>
  <si>
    <t>20EI0183 - Repair/Maintenance of DPWH Building Main Building – Various Offices (Construction, Maintenance, Procurement, Office of the District Engineer, Finance &amp; Accounting), Southern Mindoro, Distri</t>
  </si>
  <si>
    <t>Repair &amp; Maintenance ICT Equipment (PGMC-P100,000.00)</t>
  </si>
  <si>
    <t>Rehabilitation of Streetlights</t>
  </si>
  <si>
    <t>Povidone Iodine Oral, 120ml &amp; etc. for the use of the PHO - Technical Division	NOPH (S-211-2020)</t>
  </si>
  <si>
    <t>Purchase of Beddings - PTA, San Fabian, Pangasinan</t>
  </si>
  <si>
    <t>Bantay Lansangan</t>
  </si>
  <si>
    <t>Procurement Materials for the Fabrication &amp; Installation of Roof Canopy for Cultural Center</t>
  </si>
  <si>
    <t>Consulting Services for Furniture Industries in Region 3</t>
  </si>
  <si>
    <t>Purchase of Solar Lights</t>
  </si>
  <si>
    <t>Supply, Delivery, and Installation of ICT Software to Support the Command, Control, and Communications Information System (C3IS)</t>
  </si>
  <si>
    <t>PROCUREMENT OF DRUGS AND MEDICINES FOR CHO USE</t>
  </si>
  <si>
    <t>REQUEST FOR QUOTATION TO PURCHASE A OFFICE SUPPLIES USED FOR TEACH, REACH AND FLY PROGRAM.</t>
  </si>
  <si>
    <t>PROCUREMENT OF  BABY  KITS (MATERNAL HEALTH AND CHILD CARE)</t>
  </si>
  <si>
    <t>Supply and Delivery of Infrared Thermometer</t>
  </si>
  <si>
    <t>ESTABLISHMENT OF CHILDREN'S MINI-PARK</t>
  </si>
  <si>
    <t>REHABILITATION OF PASINGAN WATER WORK SYSTEM</t>
  </si>
  <si>
    <t>IMPROVEMENT OF CONCRETE PAVEMENT AT AMBUGAO ROAD</t>
  </si>
  <si>
    <t>Purchase of spare parts for the repair and maintenance of Ambulance BC1403</t>
  </si>
  <si>
    <t>RFQ-20-07-025</t>
  </si>
  <si>
    <t>Consulting Services for Metals and Engineering Industries in NCR</t>
  </si>
  <si>
    <t>20NI0083 - Repair/Maintenance of Flood Control Stucture (Lingig River Dike) at Sabang, Lingig, Surigao del Sur (K0+000-K0+300)</t>
  </si>
  <si>
    <t>Detailed Engineering Design for the Construction of Multi-Purpose Building at Brgy. Old Zaniga, Mandaluyong City</t>
  </si>
  <si>
    <t>Completion of Provincial Road Gap @ Upper Ladol, Brgy. Assumption, City of Koronadal</t>
  </si>
  <si>
    <t>PROCUREMENT OF SUBMERSIBLE PUMP FOR CDRRMC DISASTER RESPONSE AND RESCUE EQUIPMENT</t>
  </si>
  <si>
    <t>PROCUREMENT OF LABOR AND MATERIALS FOR INSTALLATION OF CARPET AT ACWD SERVER ROOM/COA ROOM</t>
  </si>
  <si>
    <t>Repair/Improvement of Covered Court</t>
  </si>
  <si>
    <t>IMPROVEMENT OF FMR NEAR SIMEON AREA</t>
  </si>
  <si>
    <t>Provision of services for the appraisal/valuation of Guagua Water District properties</t>
  </si>
  <si>
    <t>Request for Quotation (ODA-OS-2020-07-0310 Battery)</t>
  </si>
  <si>
    <t>Supply and Delivery for Computer Supplies</t>
  </si>
  <si>
    <t>Expansion of Evacuation Center</t>
  </si>
  <si>
    <t>Purchase &amp; Delivery of Veterinary Products &amp; Supplies for different Farmers/Livestock &amp; Poultry Raisers of the Province</t>
  </si>
  <si>
    <t>CONSTRUCTION OF LUMBAN EMERGENCY OPERATION CENTER</t>
  </si>
  <si>
    <t>Detailed Engineering Design for the Construction of Multi-Purpose Building Eastern Police District, Brgy. Corazon De Jesus, San Juan City</t>
  </si>
  <si>
    <t>Procurement Materials for the Installation of 10 unit Solar Lamp Post</t>
  </si>
  <si>
    <t>Supply and Delivery of Diesel</t>
  </si>
  <si>
    <t>CONSTRUCTION OF TANOD OUTPOST AT BRGY. HINABANGAN, MONDRAGON, N. SAMAR</t>
  </si>
  <si>
    <t>20NI0081 - Repair/Maintenance of Tabon Flood Control Structures, Tabon, Bislig City, Surigao del Sur (K0+000-K0+320)</t>
  </si>
  <si>
    <t>Suppy &amp; Delivery of Purchase Booklet</t>
  </si>
  <si>
    <t>Supply and Delivery for Hardware Supplies</t>
  </si>
  <si>
    <t>Meals, Snacks and Accommodation for PLGU/MLGU Assessment on July (PR 422)</t>
  </si>
  <si>
    <t>Procurement of Catering Services for the conduct of 2020 Census of Population  and Housing (CPH) 4th Level Training in Altavas, Aklan of PSA Aklan PSO</t>
  </si>
  <si>
    <t>Construction of Public Alley</t>
  </si>
  <si>
    <t>Procurement of I.T. Equipment for the Scholars of the City Government of Tarlac under the Distance Learning Program. B2020-083-A</t>
  </si>
  <si>
    <t>Supply and Delivery of 16,000 grams Tertiary Butyl Peroxy Benzoate, as per BSP Technical Specifications and Terms and Conditions</t>
  </si>
  <si>
    <t>PROCUREMENT OF OFFICE SUPPLIES FOR THE SANGUNIANG BAYAN OFFICE</t>
  </si>
  <si>
    <t>Supply and Delivery of Sampling Paraphernalia for the 2020 Surveillance Program for Import Meat</t>
  </si>
  <si>
    <t>PURCHASE AND DELIVERY OF IT EQUIPMENT AND ACCESSORIES</t>
  </si>
  <si>
    <t>Supply and Delivery of Laboratory Supplies for Veterinary Drug Residue Monitoring</t>
  </si>
  <si>
    <t>20 pcs PPE Cover-All Level 1</t>
  </si>
  <si>
    <t>Filing Cabinet for baranagy Hall @ pangao, Ibaan, Batangas</t>
  </si>
  <si>
    <t>Supply and Delivery for IT Equipment</t>
  </si>
  <si>
    <t>2020-05-0913  Multi-Channel Pipettes 12 Channel</t>
  </si>
  <si>
    <t xml:space="preserve">20NI0084 - Package 22 - Construction of Multi-Purpose Building Brgy. Campbagang, Barobo, Surigao del Sur - Construction of Multipurpose Building Bingcongan, Brgy. Bigaan, Hinatuan, Surigao del Sur  - </t>
  </si>
  <si>
    <t>Supply and Delivery of Office Supplies 2020</t>
  </si>
  <si>
    <t>Procurement of Catering Services for the conduct of 2020 Census of Population  and Housing (CPH) 4th Level Training in Balete, Aklan of PSA Aklan PSO</t>
  </si>
  <si>
    <t>DISPOSABLE GOWN AND DRAPES LAPAROTOMY PACK</t>
  </si>
  <si>
    <t>Purchase of materials for the repair of Temporary Shed (Municipal Bldg. Roof Deck) @ San Jose, Baggao, Cagayan</t>
  </si>
  <si>
    <t>Procurement of 13 units UPS 900 watts / 1500 VA (Pro BX1500M)</t>
  </si>
  <si>
    <t>CONTINUATION OF TANAP – CANAO FOOTPATH (PHASE II), MABACA</t>
  </si>
  <si>
    <t>Purchase of Beds-PTA, San Fabian, Pangasinan</t>
  </si>
  <si>
    <t>Purchase of Cellcards</t>
  </si>
  <si>
    <t>CONSTRUCTION OF BOX CULVERT</t>
  </si>
  <si>
    <t>30 gallons Alcohol</t>
  </si>
  <si>
    <t>Supply and Delivery of 11 units Manual Pallet Lifter (PR Reference number 2020-07-0393)</t>
  </si>
  <si>
    <t>Procurement for the Supply and Delivery of Construction Materials for the Various Projects of the City Government of Koronadal – SET B - REBID</t>
  </si>
  <si>
    <t>Vehicle Parts and accessories</t>
  </si>
  <si>
    <t>ELECTRICAL SUPPLIES (PR#20-04-70398)</t>
  </si>
  <si>
    <t>Procurement of Catering Services for the conduct of 2020 Census of Population  and Housing (CPH) 4th Level Training in Batan, Aklan of PSA Aklan PSO</t>
  </si>
  <si>
    <t>Upgrade of Dell Inspiron 15 (5000 series) Laptop assigned to COA ROIX RTU Personnel</t>
  </si>
  <si>
    <t>PROCUREMENT OF FLYERS/ BROCHURES FOR INFORMATION DISSEMINATION CAMPAIGN OF THE GOVERNMENT OF BACOOR AND/OR MAYOR LANI MERCADO REVILLA - CIO</t>
  </si>
  <si>
    <t>Augmentation Bantay Bayan Outpost</t>
  </si>
  <si>
    <t>RFQ / PR 20-06-0279 / PROCUREMENT OF SUPPLY AND INSTALLATION OF BLOCK-OUT COMBI BLINDS WINDOW COVERINGS</t>
  </si>
  <si>
    <t>PROCUREMENT OF TARPAULINS FOR BARANGAY INFORMATION DISSEMINATION CAMPAIGN - CIO</t>
  </si>
  <si>
    <t>Office Supplies for Enkantadya Office</t>
  </si>
  <si>
    <t>Supply of labor and material for the Improvement of Third Floor (RCPC) of Livestock Building</t>
  </si>
  <si>
    <t>PRINTING OF INFORMATION MATERIALS - BROCHURES</t>
  </si>
  <si>
    <t>CONSTRUCTION OF COVERED WALKWAY AT TRANSPORT TERMINAL</t>
  </si>
  <si>
    <t>ITB 20-002-A - Supply and Delivery of 84 Loads of Sand &amp; Gravel Dirty Mix (14cu.m. per load) with prohibition of Scraping.</t>
  </si>
  <si>
    <t>Data Folder</t>
  </si>
  <si>
    <t>Procurement of Catering Services for the conduct of 2020 Census of Population  and Housing (CPH) 4th Level Training in Ibajay, Aklan of PSA Aklan PSO</t>
  </si>
  <si>
    <t>Improvement/Rehabilitation of Evacuation Center</t>
  </si>
  <si>
    <t>Supply &amp; Delivery of Construction Materials for the Construction of San Pascual Barangay Hall</t>
  </si>
  <si>
    <t>CONSTRUCTION/REHABILITATION OF LOCAL ROADS @ BARANGAY SAMBAT, SAN PASCUAL, BATANGAS</t>
  </si>
  <si>
    <t>PLUMBING SUPPLIES (PR#20-04-70393)</t>
  </si>
  <si>
    <t>CONSTRUCTION OF CONFERENCE ROOM MUNICIPAL HALL BUILDING</t>
  </si>
  <si>
    <t>BP Apparatus for barangay Health Center @ Pangao, Ibaan, Batangas</t>
  </si>
  <si>
    <t>PURCHASE OF FILING CABINET FOR INDEX CARDS OF THE CITY ASSESSOR'S OFFICE</t>
  </si>
  <si>
    <t>MAINTENANCE/RE-GRAVELLING OF ROADS AT TONDOL (CANIOGAN) ROAD</t>
  </si>
  <si>
    <t>Supply and Delivery of Various Filters for 400 KVA Generator Set</t>
  </si>
  <si>
    <t>Procurement for the Supply &amp; Delivery of Two (2) Units Brand New Four (4) Wheeled Vehicles for City Accounting Office &amp; City Planning &amp; Development Office, City of Koronadal – Negotiated</t>
  </si>
  <si>
    <t>RFQ: Medical Supplies (PR #20-06-570)</t>
  </si>
  <si>
    <t>CONSTRUCTION OF FLOOD CONTROL SYSTEM @ PUROK 4 BAYANAN, SAN PASCUAL, BATANGAS</t>
  </si>
  <si>
    <t>PURCHASE AND DELIVERY OF FOUR (4) UNITS OF RISOGRAPH MACHINES FOR BARAS ELEMENTARY SCHOOL ------Php 1,120,000.00</t>
  </si>
  <si>
    <t>Supply and Delivery of Traffic Citation Tickets for Tarlac City CTTMG/POSO use</t>
  </si>
  <si>
    <t>Meals, Snacks and Accommodation for PLGU/MLGU Assessment on December (PR 422)</t>
  </si>
  <si>
    <t>Procurement of Catering Services for the conduct of 2020 Census of Population  and Housing (CPH) 4th Level Training in Kalibo, Aklan of PSA Aklan PSO</t>
  </si>
  <si>
    <t>Procurement of Catering Services for the conduct of 2020 Census of Population  and Housing (CPH) 4th Level Training in Libacao, Aklan of PSA Aklan PSO</t>
  </si>
  <si>
    <t>Joaquin Elementary School MOOE</t>
  </si>
  <si>
    <t>Office Supplies for Vice Mayor’s Office</t>
  </si>
  <si>
    <t>20CSM004-Feasibility Study of Maligang-Tudok-T'boli Road, T'boli South Cotabato and Kiamba, Sarangani</t>
  </si>
  <si>
    <t>20CSM005 - Sub-Surface Exploration of the proposed five (5) bridges:  a) Banga-Tupi-Malungo Road (Tupi-Malungon Section) Package A b) Jct. NHW (Marbel-Makar Road) Kipalbig-Maltana-Poblacion Tampakan R</t>
  </si>
  <si>
    <t>PURCHASE OF REPLACEMENT PARTS OF VARIOUS VEHICLES - OVM</t>
  </si>
  <si>
    <t>SVP 20-0094-A - Purchase of 6 pcs BROOM , Soft &amp; etc.</t>
  </si>
  <si>
    <t>Purchase and Delivery of Office Equipment</t>
  </si>
  <si>
    <t>SVP 20-0295 - Purchase of 1 unit GRAIN MOISTURE METER , Portable &amp; etc.</t>
  </si>
  <si>
    <t>Procurement of Catering Services for the conduct of 2020 Census of Population  and Housing (CPH) 4th Level Training in Makato, Aklan of PSA Aklan PSO</t>
  </si>
  <si>
    <t>20CSM006-Sub-Surface Exploration of the proposed seven (7) bridges:  a) Tacurong East By-Pass Road from Brgy. San Antonio – D’Ledema-San Pablo connecting to Brgy. Kalandagan b) Kidapawan City Circumfe</t>
  </si>
  <si>
    <t>SH 037-20: ICT EQUIPMENT: PORTABLE EXTERNAL SSD</t>
  </si>
  <si>
    <t>Construction/ Repair/ Rehabilitation/ Improvement of Various Infrastructure Including Local Projects – Rehabilitation of Balenben Road at Purok 9A, Balenben, Baguio City</t>
  </si>
  <si>
    <t>Purchase of Construction Materials used for Fabrication of Wooden Mosquito Frames of LGU-San Andres, Quezon.</t>
  </si>
  <si>
    <t>NP 100-20: ICT EQUIPMENT</t>
  </si>
  <si>
    <t>CONSTRUCTION OF SPILLWAY AT PUROK LAGYO, BRGY. LUBAYAT, REAL, QUEZON</t>
  </si>
  <si>
    <t>PURCHASE OF VITAMINS FOR COVID-19</t>
  </si>
  <si>
    <t>Supply and delivery of office equipment for SAAD (PR 1343)</t>
  </si>
  <si>
    <t>SVP 20-0294 - Purchase of 2 units HEPA FILTER.</t>
  </si>
  <si>
    <t>20AB0131 : CONSTRUCTION OF TWO (2) STOREY-SIX (6) CLASSROOM SCHOOL BUILDING, (100120) DINGRAS CENTRAL ES, DINGRAS, ILOCOS NORTE</t>
  </si>
  <si>
    <t>RFQ - Uninterrupted Power Supply</t>
  </si>
  <si>
    <t>NP 101-20: Supply and Delivery of Anniversary Polo Shirts Provision for the Secretary</t>
  </si>
  <si>
    <t>SVP 20-0299 - 1 lot LABOR AND MATERIALS , General Overhauling - Engine and Suspension of Canter, Hauling Truck, plate no.123002.</t>
  </si>
  <si>
    <t>Procurement of Medical, Dental &amp; Laboratory Supplies</t>
  </si>
  <si>
    <t>Procurement of various office equipment</t>
  </si>
  <si>
    <t>SVP 20-0298 - Purchase of 20 pcs DOORMAT , Cloth, Cotton &amp; etc.</t>
  </si>
  <si>
    <t>Training Expense-Php99,837.50 PDO</t>
  </si>
  <si>
    <t>Supply and Delivery of Materials for the Provision of Potable Water System</t>
  </si>
  <si>
    <t>INVITATION FOR QUOTATION OF PR 2020-129</t>
  </si>
  <si>
    <t>20GGF0020 – Procurement of Construction Materials for use in Repair/Maintenance of National roads within the jurisdiction of Iloilo 1st DEO, Fort San Pedro, Iloilo City.</t>
  </si>
  <si>
    <t>INVITATION FOR QUOTATION OF PR 2020-163</t>
  </si>
  <si>
    <t>Procurement of Catering Services for the conduct of 2020 Census of Population  and Housing (CPH) 4th Level Training in Malay, Aklan of PSA Aklan PSO</t>
  </si>
  <si>
    <t>Construction of Slope Protection/Retaining Wall</t>
  </si>
  <si>
    <t>20AB0130 : CONSTRUCTION OF TWO (2) STOREY-SIX (6) CLASSROOM SCHOOL BUILDING, (100037) PALTIT ELEMENTARY SCHOOL BADOC, ILOCOS NORTE</t>
  </si>
  <si>
    <t>Procurement for the Supply and Delivery of 11,100 Sets Educational School Supplies for Public School Grades 1-3 Students of the City-REBID.</t>
  </si>
  <si>
    <t>Procurement of Supplies (Construction/Plumbing and Electrical Materials)  for the Improvement of Camiguin General Hospital Facilities and Health Care Services</t>
  </si>
  <si>
    <t>SVP 20-0296 - Purchase of 2 units AIRCONDITIONER , 1.5 HP &amp; etc.</t>
  </si>
  <si>
    <t>ADDITIONAL SUPPLIES AND MATERIALS FOR THE NO TOUCH SOAP DISPENCER (COVID 19 PANDEMIC)</t>
  </si>
  <si>
    <t>Procurement for the Supply and Delivery of 11,653 Sets Educational School Supplies for Public School Grades 4-6 Students of the City-REBID</t>
  </si>
  <si>
    <t>Construction of Class “AA” Slaughter House with Holding Pen at Barangay San Pedro, Luisiana, Laguna</t>
  </si>
  <si>
    <t>Purchase of materials for the repair and maintenance of OLD RHU Building @ San Jose, Baggao, Cagayan</t>
  </si>
  <si>
    <t>SVP 20-0297 - Purchase of 5 units PHOTOCOPIER.</t>
  </si>
  <si>
    <t>SVP 20-0150-A - Purchase of 330 meters TEXTILE , Chinese Cotton, White &amp; etc.</t>
  </si>
  <si>
    <t>Procurement of Catering Services for the conduct of 2020 Census of Population  and Housing (CPH) 4th Level Training in Madalag, Aklan of PSA Aklan PSO</t>
  </si>
  <si>
    <t>PURCHASE OF RICE FOR COVID-19</t>
  </si>
  <si>
    <t>PURCHASE OF REPLACEMENT PARTS OF VARIOUS VEHICLES - SPO</t>
  </si>
  <si>
    <t>Rehabilitation of Picocobuan Wharf</t>
  </si>
  <si>
    <t>Procurement of various office supplies</t>
  </si>
  <si>
    <t>Purchase of Printed Forms use for at Accounting Office, Calasiao, Pangasinan</t>
  </si>
  <si>
    <t>BANANA (PR#20-06-70560)</t>
  </si>
  <si>
    <t>FLOOD CONTROL PROJECT AT POBLACION 61 &amp; POBLACION 1, REAL, QUEZON</t>
  </si>
  <si>
    <t>HOUSEKEEPINJG SUPPLIES AND MATERIALS FOR SANITATION PURPOSES</t>
  </si>
  <si>
    <t>Pag-IBIG Fund-CHQ (SUPPLY AND DELIVERY OF VARIOUS OFFICE EQUIPMENT)</t>
  </si>
  <si>
    <t>PROCUREMENT OF MEDICINES AND MEDICAL SUPPLIES FOR PATIENTS AND RHU USE</t>
  </si>
  <si>
    <t>Completion of Motorpool- Bulanao Campus</t>
  </si>
  <si>
    <t>20AB0133 : CONSTRUCTION OF TWO (2) STOREY-SIX (6) CLASSROOM SCHOOL BUILDING, (100252) BARABAR ES, SAN NICOLAS, ILOCOS NORTE</t>
  </si>
  <si>
    <t>Request for Quotation for the Repair and Maintenance of Mitsubishi Pajero (SDC-360)</t>
  </si>
  <si>
    <t>Procurement of Catering Services for the conduct of 2020 Census of Population  and Housing (CPH) 4th Level Training in Nabas, Aklan of PSA Aklan PSO</t>
  </si>
  <si>
    <t>Procurement of Geological tools with complete accessories</t>
  </si>
  <si>
    <t>Procurement of Catering Services for the conduct of 2020 Census of Population  and Housing (CPH) 4th Level Training in Buruanga, Aklan of PSA Aklan PSO</t>
  </si>
  <si>
    <t>20AB0132 : CONSTRUCTION OF TWO (2) STOREY-SIX (6) CLASSROOM SCHOOL BUILDING, (100158) TABUCBUC ELEMENTARY SCHOOL MARCOS, ILOCOS NORTE</t>
  </si>
  <si>
    <t>Construction/ Repair/ Rehabilitation/ Improvement of Various Infrastructure Including Local Projects – Construction of Concrete Road along Pedro Fuentes St., Dominican Mirador, Baguio City</t>
  </si>
  <si>
    <t>Representation Expenses (PDO-PhP461,590.00)</t>
  </si>
  <si>
    <t>SVP 20-0303 - Purchase of 5 boxes 3ML UTM MEDIUM IN 16X100MM TUBE &amp; etc.</t>
  </si>
  <si>
    <t>DELIVERY OF MIXED GRAVEL FOR STOCK PILLING FOR MAINTENANCE OF ROADS</t>
  </si>
  <si>
    <t>SVP 20-0302 - Purchase of 150 btls FORMULA MILK &amp; etc.</t>
  </si>
  <si>
    <t>INVITATION FOR QUOTATION OF PR 2020-190</t>
  </si>
  <si>
    <t>20GM0008 - PROCUREMENT OF DRYDOCKING AND REPAIR OF DPWH K3-22 (WASTEMASTER 4) STATIONED AT MOTHER BRGY. KALANGANAN I, COTABATO CITY</t>
  </si>
  <si>
    <t>Construction/ Repair/ Rehabilitation/ Improvement of Various Infrastructure Including Local Projects – Widening of Roads Including Drainages and Canals along Purok 2 and 3, Crystal Cave, Baguio City</t>
  </si>
  <si>
    <t>Procurement of Catering Services for the conduct of 2020 Census of Population  and Housing (CPH) 4th Level Training in Malinao, Aklan of PSA Aklan PSO</t>
  </si>
  <si>
    <t>20GI0100 - Construction of 1 Unit 1STY5CL School Building Don Benjamin Jalandoni Sr. MNHS, Zarraga, Iloilo</t>
  </si>
  <si>
    <t>20AC0056 - Construction of Revetment Wall, Barangay Quibit-quibit, Sinait, Ilocos Sur</t>
  </si>
  <si>
    <t>PREVENTIVE MAINTENANCE SERVICES OF TRANSCO MINDANAO MITSUBISHI STRADA (NS-3511)</t>
  </si>
  <si>
    <t>Fabrication of Concrete Canal Cover  at Brgy. Cavite East,Palo, Leyte</t>
  </si>
  <si>
    <t>RFQ - 4pcs. Tire, 10.00-R20 (w/inner tube &amp; flap) for use for GFH-682/H1-6395 Isuzu Dump Truck (Maintenance Section)</t>
  </si>
  <si>
    <t>CONSTRUCTION OF DRAINAGE CANAL @ CENTRAL BUYAGAN</t>
  </si>
  <si>
    <t>Procurement of Catering Services for the conduct of 2020 Census of Population  and Housing (CPH) 4th Level Training in New Washington, Aklan of PSA Aklan PSO</t>
  </si>
  <si>
    <t>HEAD CAPS DISPOSABLE GREEN GOOD FIT GARTERIZED 100’S (BOUFFANT CAPS 24”)</t>
  </si>
  <si>
    <t>Procurement for the Supply and Delivery of One (1) Unit Four Wheeled Vehicle (Pick-Up) for CSU Operations, City of Koronadal - REBID</t>
  </si>
  <si>
    <t>SUPPLY &amp; DELIVERY OF THREE (3) UNITS OF MOTORCYCLE FOR OPERATIONS OF TRAFFIC MANAGEMENT TEAM</t>
  </si>
  <si>
    <t>20GM0009 - SUPPLY AND DELIVERY OF DREDGE EQUIPMENT AND EQUIPMENT SUPPORT FOR USE OF EQUIPMENT MANAGEMENT DIVISION, DPWH REGION XII, KORONADAL CITY</t>
  </si>
  <si>
    <t>Fuel for VMO</t>
  </si>
  <si>
    <t>Supply and Delivery of Spare parts for the repair/maintenance of Municipal Service Vehicle Bongo, this Municipality of Mabini, Davao De Oro</t>
  </si>
  <si>
    <t>DECLOGGING</t>
  </si>
  <si>
    <t>Procurement of Catering Services for the conduct of 2020 Census of Population  and Housing (CPH) 4th Level Training in Tangalan, Aklan of PSA Aklan PSO</t>
  </si>
  <si>
    <t>SVP 20-0306 - Purchase of 10 pcs CHARGEABLE LITHIUM ION BATTERIES</t>
  </si>
  <si>
    <t>Municipal Crisis Intervention Center Completion</t>
  </si>
  <si>
    <t>SUPPLY &amp; DELIVERY OF TWO (2) UNITS OF SMART TELEVISION FOR MEETINGS, CONFERENCES AND PRESENTATIONS</t>
  </si>
  <si>
    <t>Pag-IBIG Fund-CHQ (SUPPLY AND DELIVERY OF VARIOUS PREPAID CARDS)</t>
  </si>
  <si>
    <t>Procurement of Catering Services for the conduct of 2020 Census of Population  and Housing (CPH) 4th Level Training in Numancia, Aklan of PSA Aklan PSO</t>
  </si>
  <si>
    <t>REFURBISH MATERIALS USED IN COVID GROUND FOR PEARLIES DEMOLITION</t>
  </si>
  <si>
    <t>Supply and delivery of Vehicle Parts &amp; Accessories (Tires and Automotive Battery) for use in Western Leyte Provincial Hospital. ABC PHP58,200.00</t>
  </si>
  <si>
    <t>UPLB-RES-032-07-20  SUPPLY AND DELIVERY OF BRANDED AND BRAND NEW VEHICLES FOR CEAT-AMTEC</t>
  </si>
  <si>
    <t>SVP 20-0301 - Purchase of 4 sets TIRE , Tubeless, 185 R14, Branded &amp; etc.</t>
  </si>
  <si>
    <t>CONSTRUCTION OF CONCRETE PAVEMENT AT PUROK 1 LAUBAN</t>
  </si>
  <si>
    <t>ITB_Construction of Campus Perimeter Fence (Phase 1)</t>
  </si>
  <si>
    <t>Supply and delivery of Construction and Hardware Supplies for use in Western Leyte Provincial Hospital. ABC PHP51,250.00</t>
  </si>
  <si>
    <t>ITB 07-01-2020 Item B</t>
  </si>
  <si>
    <t>Procurement of supply and delivery of Molasses and vermicast</t>
  </si>
  <si>
    <t>PROCUREMENT OF TEN (10) SETS WORKSTATION TABLE WITH ACRYLLIC PARTITION AND EIGHTY (80) PIECES MOBILE PEDESTAL FOR THE CORPORATE PLANNING DIVISION</t>
  </si>
  <si>
    <t>Supply and Delivery of DND-Wide Petroleum, Oil and Lubricant (POL) Requirements for CY 2020 (DND/AFP-POL-Lot1-2020-001)</t>
  </si>
  <si>
    <t>Tires for SP-2020-0016</t>
  </si>
  <si>
    <t>ITB 07-01-2020 Item A</t>
  </si>
  <si>
    <t>Office Supplies 2LSSM2020A-302</t>
  </si>
  <si>
    <t>20GF0105 - Repair/Maintenance of National Roads and Bridges (Emergency Project (Roads) – ACT 41X)</t>
  </si>
  <si>
    <t>ITB - Supply, Delivery and Testing of  Rice Precision Seeders (PHilMech 20-06-04)</t>
  </si>
  <si>
    <t>CONSTRUCTION OF BASKETBALL COURT IN SITIO LAGBANGON BRGY. ANISLAG (with Fabrication &amp; Installation of 1 pair goals, boards &amp; rings)</t>
  </si>
  <si>
    <t>ITB - Supply, Delivery and Testing of Float Assisted Walking -Type Agricultural Tractors (PHilMech 20-06-03)</t>
  </si>
  <si>
    <t>Supply and Delivery of Air Purifiers use to manage public health Pandemic for CFO Manila Office</t>
  </si>
  <si>
    <t>CONSTRUCTION OF BASKETBALL COURT  (with Fabrication &amp; Installation of 1 pair goals, boards &amp; rings), Sitio Rattan, Brgy. Sacsac</t>
  </si>
  <si>
    <t>ACQUISITION/FABRICATION OF FORTY (40) UNITS 3.60M X 3.60M TENTS FOR MARKET DAY</t>
  </si>
  <si>
    <t>Office Supplies &amp; Consumable for PBO-2020-0019, VDH-0155 &amp; 0158</t>
  </si>
  <si>
    <t>Ocular (Site) Inspection and Appraisal of Various BSP Properties, as per BSP Terms of References</t>
  </si>
  <si>
    <t>20GM0010 - PROCUREMENT OF SHOP TOOLS AND EQUIPMENT FOR THE USE OF EQUIPMENT MANAGEMENT DIVISION AND ITS AREA EQUIPMENT SHOP, DPWH REGION XII, KORONADAL CITY</t>
  </si>
  <si>
    <t>CONSTRUCTION OF DRAINAGE CANAL</t>
  </si>
  <si>
    <t>RFQ-20-07-014</t>
  </si>
  <si>
    <t>PROCUREMENT OF OFFICE SUPPLIES FOR DEVELOPMENT AND VALIDATION OF LEARNING RESOURCE MATERIALS</t>
  </si>
  <si>
    <t>UPLB-RES-028-07-20  SUPPLY AND DELIVERY OF BRANDED AND BRAND NEW ENGINEERING AND LABORATORY TESTING EQUIPMENT FOR CEAT-AMTEC</t>
  </si>
  <si>
    <t>PROCUREMENT OF LAYOUTING AND PRINTING OF INFORMATION PANEL BOARDS - CIO</t>
  </si>
  <si>
    <t>Procurement of Catering Services for the conduct of 2020 Census of Population  and Housing (CPH) 4th Level Training in Banga, Aklan of PSA Aklan PSO</t>
  </si>
  <si>
    <t>PURCHASE OF THE MATERIALS FOR THE REHABILITATION OF DAY CARE CENTER P-13</t>
  </si>
  <si>
    <t>Office Supplies Expense-PGMC-P105,150.00</t>
  </si>
  <si>
    <t>INSTALLATION OF CULVERTS &amp; RATIONALIZATION OF DRAINAGE CANAL IN BARANGAY GUIMBAWIAN</t>
  </si>
  <si>
    <t>Supply, Delivery and Installation of Outdoor LED Monitor for CFO</t>
  </si>
  <si>
    <t>Layer Feeds(crumble) AND booster feeds(mash/crumble)</t>
  </si>
  <si>
    <t>Supply and Delivery of Hybrid Corn Seeds</t>
  </si>
  <si>
    <t>Renewal of Architectural Eng. &amp; Const.</t>
  </si>
  <si>
    <t>Storage Box</t>
  </si>
  <si>
    <t>Supply and Delivery various Video Streaming Equipment use by CFO</t>
  </si>
  <si>
    <t>Extension of Kitchen and Laundry Area at 3-Bedroom Single-Detached (Formerly Espiritu's Unit) at PhilRice Central Experiment Station (PR#2020-06-1296)</t>
  </si>
  <si>
    <t>AMP SVP-D NO: 20-07-0378 Copy Paper</t>
  </si>
  <si>
    <t>Rental of truck to haul white sand to be used as filler to the newly built Porac PNP Station located at Brgy Jalung Porac Pampanga</t>
  </si>
  <si>
    <t>PROCUREMENT OF MILITARY, POLICE, &amp; TRAFFIC SUPPLIES FOR PUBLIC ORDER AND SAFETY OFFICE (POSO) PERSONNEL USE</t>
  </si>
  <si>
    <t>PR NO. 1544 VEHICLE MAINTENANCE</t>
  </si>
  <si>
    <t>Office Equipment Enhancement Program</t>
  </si>
  <si>
    <t>RFQ-GS-20200127-04(2) - Supply and Delivery of Various Consumables</t>
  </si>
  <si>
    <t>Consulting Services for Food Processing Industries in Region 1</t>
  </si>
  <si>
    <t>Furniture for VGOV-2020-0035</t>
  </si>
  <si>
    <t>IT Equipment for VGOV-2020-0036</t>
  </si>
  <si>
    <t>For the use of Solar Light Training re: toolkit</t>
  </si>
  <si>
    <t>Other Supplies and Materials 2LSSM2020A-307</t>
  </si>
  <si>
    <t>Supply and Delivery of Various Medical Supplies/Supplies and Materials  for protection of  COVID 19– “The Bayanihan to Heal as One Act”</t>
  </si>
  <si>
    <t>Spare Part for OPA-2020-0166,0281, 0282, 0167</t>
  </si>
  <si>
    <t>Other Supplies and Materials 2LSSM2020A-306</t>
  </si>
  <si>
    <t>Food Supplies 2LSSM2020A-305</t>
  </si>
  <si>
    <t>RFQ-GS-20200615-01 - 1 Lot Supply, Delivery, Installation, Testing &amp; Commissioning of Airconditioning Units at LANDBANK Calamba City Hall Branch</t>
  </si>
  <si>
    <t>Acquisition of Additional CCTV</t>
  </si>
  <si>
    <t>Purchase of Office Equipment for Various Offices</t>
  </si>
  <si>
    <t>Food Supplies 2LSSM2020A-304</t>
  </si>
  <si>
    <t>Procurement of Electrical Supplies PR # 2020-06-25-219</t>
  </si>
  <si>
    <t>PRINTING OF LEARNERS MODULE FOR SENIOR HIGH SCHOOL</t>
  </si>
  <si>
    <t>Other Supplies and Materials 2LSSM2020A-308</t>
  </si>
  <si>
    <t>Supply and Delivery of Materials for Installation of Solar Panel at Operation Center and Repair and Installation of VHF Repeater Tower</t>
  </si>
  <si>
    <t>Improvement of Drainage System at Barangay Sibacan, City of Balanga, Bataan</t>
  </si>
  <si>
    <t>Office Equipment for VET-2020-0333</t>
  </si>
  <si>
    <t>Supply and Delivery of DND-Wide POL Requirements for CY 2020 (DND/AFP-POL-Lot 2-2020-001)</t>
  </si>
  <si>
    <t>SUPPLY AND DELIVERY OF ELECTRICAL SUPPLIES FOR THE MAINTENANCE OF TANAUAN PUBLIC PLAZA, PUBLIC MARKET, SLAUGHTER HOUSE AND MUNICIPAL BUILDINGS</t>
  </si>
  <si>
    <t>Fabrication and Installation of Equipment for Luisiana Class "AA" Slaughter House</t>
  </si>
  <si>
    <t>IT Equipment for PEMO-2020-2031</t>
  </si>
  <si>
    <t>Improvement of Drainage Canal with Steel Gratings at Barangay Cupang West, City of Balanga, Bataan</t>
  </si>
  <si>
    <t>RFQ-GS-20200206-06(2) - Supply and Delivery of Correction Tape and Tracing Paper</t>
  </si>
  <si>
    <t>Electrical System for PEMO-2020-2104</t>
  </si>
  <si>
    <t>Installation of Streetlights at Barangay Cupang West, City of Balanga, Bataan</t>
  </si>
  <si>
    <t>Procurement of Catering Services for the Conduct of Training of Trainers on Psychological First Aid  (PFA)</t>
  </si>
  <si>
    <t>Plastic Products for PEMO-2020-2107</t>
  </si>
  <si>
    <t>Improvement of Drainage System at Barangay Bagumbayan, City of Balanga, Bataan</t>
  </si>
  <si>
    <t>Information Technology Equipment for VET-2020-0334</t>
  </si>
  <si>
    <t>Improvement of Draiange System at P. Roman Street, Barangay Poblacion, City of Balanga, Bataan</t>
  </si>
  <si>
    <t>FLOOD CONTROL PROJECT FOR BRGY. STO.NINO, ALANGALANG, LEYTE</t>
  </si>
  <si>
    <t>Supply and Delivery of Food and Beverages for Casino Customers, Players and Guests for Three (3) Years for Ronquillo Satellite under ITB No. PB20-06-035COR</t>
  </si>
  <si>
    <t>Photographic Equipment for NOTD-2020-0157</t>
  </si>
  <si>
    <t>Procurement of Catering Services for the Conduct of Bank Accounts on Non-Implementing Unit (Non-IU) Schools Relative to the Implementation of the DepED Order No. 29, 2019</t>
  </si>
  <si>
    <t>Procurement of supply and delivery of POCKET WIFI</t>
  </si>
  <si>
    <t>Maintenance of Municipal Equipement at Motorpool</t>
  </si>
  <si>
    <t>RFQ-GS-20200610-01 - 1 Lot Supply and Delivery of Steel Cabinets at Various LANDBANK Branches</t>
  </si>
  <si>
    <t>ITB 07-01-2020 Item C</t>
  </si>
  <si>
    <t>20KF0122 - Repair/Maintenance of DOTR Building LTO Building 1st East</t>
  </si>
  <si>
    <t>Construction of Temporary Learning Space Including Realignment to other Schools affected by Typhoon Ursula</t>
  </si>
  <si>
    <t>RENOVATION OF BARANGAY HALL</t>
  </si>
  <si>
    <t>PR 20-07-014 Clutch Disk Isuzu Hi Lander</t>
  </si>
  <si>
    <t>Office Supplies 2LSSM2020A-311</t>
  </si>
  <si>
    <t>Office Supplies 2LSSM2020A-310</t>
  </si>
  <si>
    <t>Supply and  Delivery of Steel Cabinet, Office Supplies &amp; Disposable Mask</t>
  </si>
  <si>
    <t>REPAIR OF ROOFING FOR MUNICIPAL POLICE STATION AT MONDRAGON, NORTHERN SAMAR</t>
  </si>
  <si>
    <t>Spare Parts with Installation for OPA-2020-0083</t>
  </si>
  <si>
    <t>Fertilizer for ORG-2020-0015</t>
  </si>
  <si>
    <t>Supply and Delivery of DND-Wide POL Requirements for CY 2020 (DND/AFP-POL-Lot 3-2020-001)</t>
  </si>
  <si>
    <t>Construction of Covered Pathwalk at Cupang Elementary School at Barangay Cupang, City of Balanga, Bataan</t>
  </si>
  <si>
    <t>20FJ0035 - Construction of One(1) Unit One(1) Storey Four(4) Classroom School Building at  Calumpang ES, Placer, Masbate</t>
  </si>
  <si>
    <t>Supply and Delivery of 14 cu. ft., No-Frost Upright Freezer</t>
  </si>
  <si>
    <t>20GG0047-G - Procurement of Toner for use in the office of DPWH Iloilo 2nd DEO, Balabag, Dumangas, Iloilo</t>
  </si>
  <si>
    <t>20FJ0036 - Construction of One(1) Unit One(1) Storey Four(4) Classroom School Building at  Pedro A. Basas ES, Palanas, Masbate</t>
  </si>
  <si>
    <t>Provision of meals for the conduct of 2 webinars</t>
  </si>
  <si>
    <t>Other Supplies and Materials 2LSSM2020A-309</t>
  </si>
  <si>
    <t>Construction of Cross Drain Box Type at Poblacion, Manicahan</t>
  </si>
  <si>
    <t>SUPPLY AND DELIVERY OF PVC FLOOR MAT (HEAVY DUTY)</t>
  </si>
  <si>
    <t>Military, Police &amp; Traffic Supplies 2LSSM2020A-317</t>
  </si>
  <si>
    <t>Other Supplies and Materials 2LSSM2020A-316</t>
  </si>
  <si>
    <t>Negotiated Procurement (Two Failed Biddings) for the Supply and Delivery of COA Service Vehicle</t>
  </si>
  <si>
    <t>Other Supplies and Materials 2LSSM2020A-315</t>
  </si>
  <si>
    <t>Rehabilitation of School Building, M. Delos Reyes Elementary School at Barangay Pto. Rivas Itaas, City of Balanga, Bataan</t>
  </si>
  <si>
    <t>Other Supplies and Materials 2LSSM2020A-314</t>
  </si>
  <si>
    <t>P.R NO. 100-2020-06-0342 PURCHASE OF TOILET BOWLS TO DISTRIBUTE TO INDIGENT ABUYOGNONS</t>
  </si>
  <si>
    <t>20FJ0034 - Construction of One(1) Unit One(1) Storey Four(4) Classroom School Building at  Villa Elementary School, Esperanza, Masbate</t>
  </si>
  <si>
    <t>Other Supplies and Materials 2LSSM2020A-313</t>
  </si>
  <si>
    <t>20KF0123 - Repair/Rehabilitation of DENR Building Main Building at Brgy. Tubod, Iligan City</t>
  </si>
  <si>
    <t>FIRE FIGHTING &amp; RESCUE AND SAFETY SUPPLIES</t>
  </si>
  <si>
    <t>Purchase of Various Drugs and Medicines</t>
  </si>
  <si>
    <t>Livestock for VET-2020-0122</t>
  </si>
  <si>
    <t>Office Supplies 2LSSM2020A-303</t>
  </si>
  <si>
    <t>Hospital Equipment for DSBH-2020-0149</t>
  </si>
  <si>
    <t>Construction of Revetment Slope Protection at Maite River along cloverville subd., at Barangay Upper Tuyo, City of Balanga, Bataan</t>
  </si>
  <si>
    <t>20KF0124 - Repair/Maintenance of DOJ Building-Hall of Justice, Tubod, Iligan City</t>
  </si>
  <si>
    <t>Contract ID No.: 20OB0301 Contract Name: Rehabilitation of Multi-Purpose Building at Pedro P. Cruz Elementary School, Mandaluyong City</t>
  </si>
  <si>
    <t>Supply and  Delivery of Office Supplies</t>
  </si>
  <si>
    <t>2020 LIAS KANLURAN INFRA CLUSTER 1</t>
  </si>
  <si>
    <t>Purchase of Cell Phone</t>
  </si>
  <si>
    <t>P.R NO. 100-2020-06-0344 REPAIR OF GARBAGE COMPACTOR</t>
  </si>
  <si>
    <t>Contract ID No.: 20OB0283 Contract Name: Rehabilitation of Multi-Purpose Building (Covered Court) at Block 38, Brgy. Addition Hills, Mandaluyong City</t>
  </si>
  <si>
    <t>2020 LIAS SILANGAN INFRA CLUSTER 1</t>
  </si>
  <si>
    <t>Office Supplies 2LSSM2020A-312</t>
  </si>
  <si>
    <t>Contract ID No.: 20OB0274 Contract Name: Construction of Multi-Purpose Building, Brgy. Barangka Drive, Mandaluyong City</t>
  </si>
  <si>
    <t>Construction and Repair</t>
  </si>
  <si>
    <t>Contract ID No.: 20OB0245 Contract Name: Construction of Mandaluyong City College (Administrative Building), Mandaluyong City</t>
  </si>
  <si>
    <t>P.R NO. 100-2020-06-0332 INFORMATION TECHNOLOGY AND ACCESSORIES USE FOR RHU 1</t>
  </si>
  <si>
    <t>Supply and Delivery of Various Government Forms</t>
  </si>
  <si>
    <t>SUPPLY AND DELIVERY OF VARIOUS OFFICE EQUIPMENT OF THE LGU LAOANG</t>
  </si>
  <si>
    <t>Provision of Redundancy Direct Internet Connection Service Connection to BJMP National Headquarters</t>
  </si>
  <si>
    <t>Contract ID No.: 20OB0277 Contract Name: Construction of Multi-Purpose Building, Brgy. Plainview, including Site Development, Mandaluyong City</t>
  </si>
  <si>
    <t>RFQ-GS-20200622-02 - 1 Lot Supply, Delivery and Installation of Sunscreen/Roller Blinds at Four (4) LANDBANK Branches</t>
  </si>
  <si>
    <t>Contract ID No.: 20OB0284 Contract Name: Rehabilitation of Multi-Purpose Building (Covered Court) at Block 39, Brgy. Addition Hills, Mandaluyong City</t>
  </si>
  <si>
    <t>System Upgrade for Property Plant, &amp; Equipment (PPE) Inventory of CGSO</t>
  </si>
  <si>
    <t>MAINTENANCE/REGRAVELLING OF LOCAL ROADS (PUROK MAALIGWAS, KARIRIKTAN, LIWA-LIWA)</t>
  </si>
  <si>
    <t>Improvement of Government Offices Building (2nd floor)</t>
  </si>
  <si>
    <t>Construction and Repair Materials</t>
  </si>
  <si>
    <t>Single Phase Primary Line Construction, Transformer and Metering Installation for Streetlights</t>
  </si>
  <si>
    <t>REPAIR/REHABILITION OF HANDWASHING FACILITY</t>
  </si>
  <si>
    <t>Water System Development for Centro A&amp;B</t>
  </si>
  <si>
    <t>Supply and Delivery of Office supplies and consumables</t>
  </si>
  <si>
    <t>Procurement for Repainting of School Building</t>
  </si>
  <si>
    <t>Procurement of Supply and Delivery of  Diesel Oil for Malaya Thermal Power Plant  for CY 2020</t>
  </si>
  <si>
    <t>Supply and Delivery of Rescue Equipment and Paraphernalias</t>
  </si>
  <si>
    <t>GEOTECHNICAL INVESTIGATION AND TOPOGRAPHICAL SURVEY IN NFA LOT BAGUER, LIBUNGAN, NORTH COTABATO</t>
  </si>
  <si>
    <t>20GG0046-G - Procurement of 160 Drums Asphalt Cement Pen. Grade 60/70 (200 Liters/Drum) for Use in the Repair/Maintenance of Paved Road along Various National Roads of DPWH Iloilo 2nd DEO, Balabag, Du</t>
  </si>
  <si>
    <t>SUPPLY AND DELIVERY OF MATERIALS FOR THE BACKFILLING OF NAVAL WET MARKET BACK-UP AREA</t>
  </si>
  <si>
    <t>Information Technology Equipment for NOTD-2020-0156</t>
  </si>
  <si>
    <t>2020 MUNICIPAL INFRA CLUSTER 3</t>
  </si>
  <si>
    <t>FIANAT FOOTPATH WITH FOOTBRIDGE</t>
  </si>
  <si>
    <t>20GD00004:PURCHASE OF DREDGING EQUIPMENTS IN REGIONAL OFFICE NO. IV-A, EDSA, QUEZON CITY</t>
  </si>
  <si>
    <t>Procurement for Repair and Improved School Fencing</t>
  </si>
  <si>
    <t>Cluster XLV</t>
  </si>
  <si>
    <t>Service Maintenance for FM-200 and FDAS, as per BSP Terms of Reference</t>
  </si>
  <si>
    <t>Procurement of Maintenance and Housekeeping Supplies (Electrical)</t>
  </si>
  <si>
    <t>Cluster XLIX</t>
  </si>
  <si>
    <t>Procurement of Supply and Delivery of   Industrial Fuel Oil for Malaya Thermal Power Plant  for CY 2020</t>
  </si>
  <si>
    <t>DIgital Event Production, PR, Marketing and Branding Service for DTI-7 Online Programs-(48 sessions of Digital Conferences, Trainings and Workshops).</t>
  </si>
  <si>
    <t>Cluster XLIV</t>
  </si>
  <si>
    <t>CONSTRUCTION OF EVACUATION CENTER, JUNCTION, PINUKPUK</t>
  </si>
  <si>
    <t>SUPPLY AND DELIVERY OF 1 UNIT HAULING TRUCK FOR OFFICIAL USE IN THE MONITORING &amp; EVALUATION OF PROGRAM ACTIVITIES UNDER REGULATORY DIVISION FOR CY 2020</t>
  </si>
  <si>
    <t>Cluster XLVII</t>
  </si>
  <si>
    <t>Procurement of Food Stuff ( Rice)</t>
  </si>
  <si>
    <t>Supply and Delivery of IT supply</t>
  </si>
  <si>
    <t>NALA ELEMENTARY SCHOOL OFFICE SUPPLIES</t>
  </si>
  <si>
    <t>Rehabilitation of Multi-purpose Bldg. ( Barangay Hall)</t>
  </si>
  <si>
    <t>One (1) lot – Workshop on International Standard on Assurance Engagements (ISAE 3000), as per BSP Terms of Reference</t>
  </si>
  <si>
    <t>PROCUREMENT OF SEVENTY-TWO (72) PIECES BOLT AND LOCKWASHER (1” X 6”) AND SEVENTY-TWO (72) PIECES BOLT AND LOCKWASHER (1 1/2” X 4”) FOR A-19 TYPE TRACTION MOTOR &amp; A-15 TYPE TRACTION MOTOR</t>
  </si>
  <si>
    <t>PB 2020-07: Public Bidding for the Annual Subscription and Preventive Maintenance of Security Firewall Infrastructure for the Office of the Ombudsman</t>
  </si>
  <si>
    <t>Cluster XLVI</t>
  </si>
  <si>
    <t>UPLB-I-022-07-20 SUPPLY, DELIVERY, INSTALLATION, TESTING AND COMMISSIONING OF BRANDED AND BRAND NEW STANDBY GENERATOR SET FOR CAFS-PHTRC</t>
  </si>
  <si>
    <t>20OH0087 Re-ads-Convergence  and  Special  Support Program - Construction/ Improvement  of  Various Infrastructure in support of National Security - Construction of Typhoon Shelter Hangar for Rotary A</t>
  </si>
  <si>
    <t>Field Fertilizer&amp; chemicals for the 1st half of 2020</t>
  </si>
  <si>
    <t>Contract ID No.: 20OB0347 Contract Name: Construction of SPED Facilities, Brgy. Calzada, Tipas, Taguig City</t>
  </si>
  <si>
    <t>CONSTRUCTION OF FLOOD CONTROL, RIVERSIDE, JUNCTION, PINUKPUK</t>
  </si>
  <si>
    <t>Cluster XLVIII</t>
  </si>
  <si>
    <t>Construction/Repair of Lined Canal at Purok 3, Barangay San Carlos, Lipa City, Batangas</t>
  </si>
  <si>
    <t>PROCUREMENT OF VARIOUS PERSONAL PROTECTIVE EQUIPMENTS FOR HONDAGUA ENGINEERING PERSONNEL</t>
  </si>
  <si>
    <t>Procurement of Surgical with Orthopedic Implants and others</t>
  </si>
  <si>
    <t>Construction of 2 Storey 4 Classrooms School Building at Salaysay Elementary School, Davao City</t>
  </si>
  <si>
    <t>PB-202001-2 One (1) Lot - Procurement for the Maintenance of Motor Vehicles (2nd Posting)</t>
  </si>
  <si>
    <t>Construction of 1 Storey 2 Classroom School Building at Lamanan ES, Davao City</t>
  </si>
  <si>
    <t>Construction of 2 Storey 4 Classrooms School Building at Lacson ES, Davao City</t>
  </si>
  <si>
    <t>Contract ID No.: 20OB0334 Contract Name: Construction of Multi-Purpose Building and Site Development, Brgy. Lower Bicutan, Taguig City</t>
  </si>
  <si>
    <t>Procurement of MedicalSupplies</t>
  </si>
  <si>
    <t>Construction of 2 Storey 4 Classrooms School Building at Dalagdag ES, Davao City</t>
  </si>
  <si>
    <t>Polo shirt with embroidered for TOT on Production of Hogh-Quality Inbred Rice and Seeds, and Farm Mechanization</t>
  </si>
  <si>
    <t>Supply and delivery of various office supplies for use in official activities in the Records Unit for CY 2020 with PR #234-03-16-2020 and ABC of Php 193,951.00</t>
  </si>
  <si>
    <t>Consultancy Service for Research Institution/Individual Consultant to conduct Further Analysis of 2018 National Migration Survey on the Intra and Inter Regional Trends and Patterns of Migration</t>
  </si>
  <si>
    <t>Construction of 1 Storey 2 Classroom School Building at Darila ES, Davao City</t>
  </si>
  <si>
    <t>Construction of 1 Storey 2 Classroom School Building at Tagurano ES, Davao City</t>
  </si>
  <si>
    <t>Supply and Delivery of Digital Duplicator Machine</t>
  </si>
  <si>
    <t>Construction of 1 Storey 2 Classroom School Building at Tibuloy ES, Davao City</t>
  </si>
  <si>
    <t>FURNITURES AND OTHER ACCESSORIES FOR BIRTHING FACILITY</t>
  </si>
  <si>
    <t>CONSTRUCTION OF CONCRETE PATHWAY AT ZONE 5 BRGY. BALIUAG VIEJO</t>
  </si>
  <si>
    <t>Rehabilitation of Evacuation Center</t>
  </si>
  <si>
    <t>SUPPLY &amp; DELIVERY OF MOTORCYCLES</t>
  </si>
  <si>
    <t>Purchase of 2 units laptop for use in the Mapping and Formulation of Comprehensive Development Plan, Forest Land Use Plan and CLUP of the Municipality of Dingras, Ilocos Norte</t>
  </si>
  <si>
    <t>Supply and Delivery of Office Equipment.</t>
  </si>
  <si>
    <t>General Administrative Program - Capital Outlay</t>
  </si>
  <si>
    <t>INVITATION TO BID FOR PROCUREMENT OF OFFICE SUPPLIES AND CONSUMABLES</t>
  </si>
  <si>
    <t>Peace And Order Personality Development Program</t>
  </si>
  <si>
    <t>20CSFI02- Consulting Services for the Sub-Soil Investigation for the Rehabilitation/Reconstruction of National Roads with Slips, Slope Collapse and Landslide along Jct Milagros-Baleno-Lagta Rd, K0038+</t>
  </si>
  <si>
    <t>AMP SVP-S NO: 20-07-0379 Video Conferencing and Livestreaming Equipment Upgrade</t>
  </si>
  <si>
    <t>HFE: 10	UNIT	EVAPORATIVE AIR COOLER HEAVY DUTY  FOR THE HOME FOR THE ELDERLY OPERATION , 2nd SEM OF 2020</t>
  </si>
  <si>
    <t>Concreting of Irawan Agricultural Center Road Network</t>
  </si>
  <si>
    <t>Construction of Satellite City Hall At Luzviminda Rural Service Center (RSC)</t>
  </si>
  <si>
    <t>Construction of Sidewalk at Purok 4, Barangay San Carlos, Lipa City, Batangas</t>
  </si>
  <si>
    <t>Procurement of Motor Vehicles</t>
  </si>
  <si>
    <t>Construction of 2 Storey 4 Classrooms School Building at Angalan NHS, Davao City</t>
  </si>
  <si>
    <t>Construction of 2 Storey 4 Classrooms School Building at Baracayo Integrated School, Davao City</t>
  </si>
  <si>
    <t>Construction of 2 Storey 4 Classrooms School Building at Wangan National High School, Davao City</t>
  </si>
  <si>
    <t>20CSFI01- Consulting Services for the Sub-Soil Investigation for the Proposed Construction of New Permanent Bridges and Widening of Permanent Bridges under regular Infrastructure Bridge Program</t>
  </si>
  <si>
    <t>IMPROVEMENT/REBLOCKING/ OF LOCAL ROAD</t>
  </si>
  <si>
    <t>Personal Protective Equipment for Traininig of Trainers on Production of High-Quality Inbred Rice and Seeds, and Farm Mechanization</t>
  </si>
  <si>
    <t>Public Market at Irawan Agricultural Center</t>
  </si>
  <si>
    <t>PROCUREMENT OF VARIOUS V-BELT FOR A-19 TYPE TRACTION MOTOR &amp; A-15 TYPE TRACTION MOTOR</t>
  </si>
  <si>
    <t>SIREN</t>
  </si>
  <si>
    <t>Concreting of Malicay Road and Market Area</t>
  </si>
  <si>
    <t>Construction of Satellite City Hall At San Rafael Rural Service Center (RSC)</t>
  </si>
  <si>
    <t>SUPPLY AND DELIVERY OF UNIFORM FOR MUNICIPAL EMPLOYEES</t>
  </si>
  <si>
    <t>Construction of 2 Storey 4 Classrooms School Building at Malagos ES SPED Center, Davao City</t>
  </si>
  <si>
    <t>Consultancy Service for Research Institution/Individual Consultant to conduct the Further Analysis of the 2018 National Migration Survey on the Trends and Patterns of Migration</t>
  </si>
  <si>
    <t>INVITATION TO BID FOR PROCUREMENT OF ICT EQUIPMENT (SUPPLY AND DELIVERY)</t>
  </si>
  <si>
    <t>19CSZ016- Capacity Development of DPWH Staff in Tunnel Operation and Maintenance and Preparation of Tender Documents for Procurement of Services for the Operation and Maintenance of the Davao City Byp</t>
  </si>
  <si>
    <t>Purchase of 3 sets Brand New Desktop Computer w/ complete accessories and 2 sets printer, WIFI Integrated Ink Tank of the Mayor's Office, San Enrique, Iloilo.</t>
  </si>
  <si>
    <t>CONSTRUCTION OF ABOWOK BANK PROTECTION, JUNCTION, PINUKPUK</t>
  </si>
  <si>
    <t>Construction of New Tampilisan Public Market Building</t>
  </si>
  <si>
    <t>Construction of 2 Storey 4 Classrooms School Building at Tawantawan ES, Davao City</t>
  </si>
  <si>
    <t>SUPPLY AND DELIVERY OF MEDICINES FOR RHU</t>
  </si>
  <si>
    <t>AGR-20-0128-B Purchase of Office Equipment</t>
  </si>
  <si>
    <t>Construction of Two (2) Storey-Eight (8) Classroom School Building, Layac Elementary School,Dinalupihan, Bataan</t>
  </si>
  <si>
    <t>Construction of Two (2) Storey-Four (4) Classroom School Building, Bayan-Bayanan Elementary School, Dinalupihan, Bataan</t>
  </si>
  <si>
    <t>Construction/Repair/Rehabilitation/Improvement of Various Infrastructure including Local Projects- Buildings and Other Structures- Multi-Purpose/Facilities-Construction of Multi-Purpose Building, Brgy</t>
  </si>
  <si>
    <t>Procurement of Materials for the Repair of Municipal Building</t>
  </si>
  <si>
    <t>Construction of One Unit Poultry House (Farm Demo)</t>
  </si>
  <si>
    <t>Construction of Multi - Purpose Building (PNP Building Extension)</t>
  </si>
  <si>
    <t>Construction of Drainange Canal</t>
  </si>
  <si>
    <t>INVITATION TO BID FOR CONSTRUCTION OF TOURISM MULTIPURPOSE ENVIRONMENTAL PROTECTION &amp; SANITARY FACILITY AT KAPUKA FALLS</t>
  </si>
  <si>
    <t>INVITATION TO BID FOR CONSTRUCTION OF COMMUNITY LEARNING CENTER AT SAN JOSE, CARAGA, DAVAO ORIENTAL</t>
  </si>
  <si>
    <t>IMPROVEMENT OF VARIOUS OFFICES</t>
  </si>
  <si>
    <t>PHO-20-0749-B INSTANT MORINGA, RICE AND MONGO FOOD BLEND</t>
  </si>
  <si>
    <t>INVITATION TO BID FOR REHABILITATION OF DAY CARE CENTER AT SAN JOSE, CARAGA, DAVAO ORIENTAL</t>
  </si>
  <si>
    <t>Construction of National Child Development Center</t>
  </si>
  <si>
    <t>Procurement of Disinfection Spray and Disinfectant Solution</t>
  </si>
  <si>
    <t>CTL Classroom Rewiring</t>
  </si>
  <si>
    <t>Supply and Delivery of Diesoline</t>
  </si>
  <si>
    <t>Concreting of Purok 6B Road (Lublub) (INFRA2020-08)</t>
  </si>
  <si>
    <t>Invitation to Bid Construction of Gate Shed</t>
  </si>
  <si>
    <t>Procurement of Medical, Dental and Laboratory Supplies</t>
  </si>
  <si>
    <t>Purchase of computer sets and printers for various offices</t>
  </si>
  <si>
    <t>Enhancement of Packaging House</t>
  </si>
  <si>
    <t>Construction of Fire Station Phase - 3</t>
  </si>
  <si>
    <t>DRRM Communication Tower Project</t>
  </si>
  <si>
    <t>Installation of 40 streetlight (Bolocaue to Angas)</t>
  </si>
  <si>
    <t>Expansion &amp; Improvement of Dalaguete Farmers &amp; Fishermen's Training Center &amp; MANRO Bldg. (Phase II)</t>
  </si>
  <si>
    <t>Supply and Delivery of Diesel Fuel for the Graveling of 2 Kilometers Barangay Roads</t>
  </si>
  <si>
    <t>Purchase of collapsible tents</t>
  </si>
  <si>
    <t>Purchase of Materials for Construction of Two Signages in Entrance from Barangay Kinatarkan &amp; Entrance from Brgy. Langub, Purok Pagsinabtanay, Hagdan, Santa Fe, Cebu - Barangay</t>
  </si>
  <si>
    <t>S &amp; D of Materials - Rehabilitation of Basco Cottage at Batanes Resort (PGO-Tourism)</t>
  </si>
  <si>
    <t>Supply and Delivery of Various Supplies including Installation of Cubicle Set for the use of Planning and Design Section, BFDEO</t>
  </si>
  <si>
    <t>Supply and Delivery of Dog Food and Supplies</t>
  </si>
  <si>
    <t>INFR-20-015– CONSTRUCTION OF SIXTY-FIVE (65) UNITS HOUSING AT BARANGAY SANTIAGO, CITY OF GEN. TRIAS, CAVITE</t>
  </si>
  <si>
    <t>INVITATION TO BID FOR THE  SUPPLY AND DELIVERY OF VARIOUS PLUMBING MATERIALS (for the Installation of Distribution Pipelines)</t>
  </si>
  <si>
    <t>INVITATION TO BID FOR THE   SUPPLY AND DELIVERY OF VARIOUS PLUMBING MATERIALS (Rehab of CARAGA WATERWORKS SYTEM)</t>
  </si>
  <si>
    <t>INVITATION TO BID FOR CONSTRUCTION OF MULTI-PURPOSE DRYING PAVEMENT AT RELOCATION SITE,PAPAG</t>
  </si>
  <si>
    <t>INVITATION TO BID FOR CONSTRUCTION OF DRINKING AND HAND WASHING FACILITY AT PANTUYAN NATIONAL HIGH SCHOOL</t>
  </si>
  <si>
    <t>INVITATION TO BID FOR CONSTRUCTION OF LIVESTOCK BREEDING DEMO FARM FOR PIGGERY PRODUCTION</t>
  </si>
  <si>
    <t>Spare Parts for CDH-2020-0093</t>
  </si>
  <si>
    <t>Plumbing Repairs of the CTL Classroom</t>
  </si>
  <si>
    <t>PROCUREMENT OF MATERIALS FOR WATER SYSTEM MAINTENANCE, MALAPATAN, SARANGANI PROVINCE</t>
  </si>
  <si>
    <t>CONCRETING OF ROAD AT PUROK PROPER, BARANGAY KINAM, MALAPATAN, SARANGANI PROVINCE</t>
  </si>
  <si>
    <t>Proposed Covered Court Portable Fence</t>
  </si>
  <si>
    <t>CONSTRUCTION OF FOOTBRIDGE AT BARANGAY KIHAN, MALAPATAN, SARANGANI PROVINCE</t>
  </si>
  <si>
    <t>Proposed Street Light Extension</t>
  </si>
  <si>
    <t>Supply and Delivery of Diesel and Gasoline</t>
  </si>
  <si>
    <t>Supply and Delivery of Isolation Transformer</t>
  </si>
  <si>
    <t>CONSTRUCTION OF 45 L.M CHB LINE CANAL ALONG ESQUEDA STREET (sta.0+000-0+045) PUROK 4, PHASE 1 …</t>
  </si>
  <si>
    <t>Construction of Four (4)  Storey-Sixteen (16) Classroom School Building, Nagbalayong National High School, Morong, Bataan</t>
  </si>
  <si>
    <t>Supply and delivery of laboratory Supplies</t>
  </si>
  <si>
    <t>SERVICE RESCUE VEHICLE OF BRGY. MANAPAO</t>
  </si>
  <si>
    <t>INVITATION TO BID FOR COMPLETION OF SAN ANTONIO MULTI-PURPOSE DAY HALL</t>
  </si>
  <si>
    <t>Procurement of Motor Vehicle</t>
  </si>
  <si>
    <t>Purchase of 4x4 Multi-cab (van type mini ambulance)</t>
  </si>
  <si>
    <t>SUPPLY &amp; DELIVERY OF ONE HEAVY DUTY PAPER SHREDDER MACHINE</t>
  </si>
  <si>
    <t>Concreting of Purok 3 Road (Lublub) (INFRA2020-07)</t>
  </si>
  <si>
    <t>FURNISHING AND DELIVERING LABOR AND MATERIALS FOR THE CONTINUATION OF MULTI PURPOSE HALL (FINISHING WORKS), BRGY. MANAQUEM, CAMILING, TARLAC</t>
  </si>
  <si>
    <t>FURNISHING AND DELIVERING LABOR AND MATERIALS FOR THE CONCRETING OF FARM-TO-MARKET  ROAD,  BRGY. CAYAOAN, CAMILING, TARLAC</t>
  </si>
  <si>
    <t>Repair/Renovation and Extension of PVAO Field Service Extension Office Building located at NOLCOM, Camp. Gen. Servillano Aquino, Brgy. San Miguel, Tarlac City</t>
  </si>
  <si>
    <t>SUPPLY AND DELIVERY OF HEALTH AND SAFETY PROTECTION</t>
  </si>
  <si>
    <t>FURNISHING AND DELIVERING LABOR AND MATERIALS FOR THE CONCRETING OF FARM-TO-MARKET  ROAD,  BRGY. BOBON 2ND, CAMILING, TARLAC</t>
  </si>
  <si>
    <t>Concreting of Various Streets (Phase IV) ITB NO: SFZ-INFRA 2020-005</t>
  </si>
  <si>
    <t>20GCE0009: Procurement of Security Services for use of DPWH, Nueva Ecija 1st District Engineering Office</t>
  </si>
  <si>
    <t>FURNISHING AND DELIVERING LABOR AND MATERIALS FOR THE CONCRETING OF FARM-TO-MARKET  ROAD,  BRGY. LIBUEG, CAMILING, TARLAC</t>
  </si>
  <si>
    <t>FURNISHING AND DELIVERING LABOR AND MATERIALS FOR THE CONCRETING OF FARM-TO-MARKET  ROAD,  BRGY. BOBON CAAROSIPAN, CAMILING, TARLAC</t>
  </si>
  <si>
    <t>FURNISHING AND DELIVERING LABOR AND MATERIALS FOR THE CONSTRUCTION OF STE 2 CLASSROOM, BILAD HS, CAMILING, TARLAC</t>
  </si>
  <si>
    <t>Supply and Delivery of Stainless  Chair, Monoblock Chair and Computer Table</t>
  </si>
  <si>
    <t>Supply and Delivery of Tire</t>
  </si>
  <si>
    <t>FURNISHING AND DELIVERING LABOR AND MATERIALS FOR THE CONCRETING OF BARANGAY ROAD, BRGY. CACAMILINGAN SUR, CAMILING, TARLAC</t>
  </si>
  <si>
    <t>Procurement of Construction of Concreting of Barangay Road @ Palanas Sitio D.K. Brgy. Libertad</t>
  </si>
  <si>
    <t>School ID of Teachers for SY 2020-2021</t>
  </si>
  <si>
    <t>FURNISHING AND DELIVERING LABOR AND MATERIALS FOR THE CONCRETING OF BARANGAY ROAD, BRGY. SURGUI 3RD, CAMILING, TARLAC</t>
  </si>
  <si>
    <t>Supply and Delivery of Drugs and Medicines.</t>
  </si>
  <si>
    <t>FURNISHING AND DELIVERING LABOR AND MATERIALS FOR THE CONCRETING OF BARANGAY ROAD, BRGY. SURGUI 2ND, CAMILING, TARLAC</t>
  </si>
  <si>
    <t>Purchase of Laboratory Supplies for Dr. Florentino C. Doble Memorial Hospital (formerly Kainomayan Primary Hospital) for laboratory testing of CBC, Blood Chemistry, and Serum Electrolytes, Botolan,Zam</t>
  </si>
  <si>
    <t>SUPPLY AND DELIVERY OF VARIOUS CI SADDLE CLAMP FOR POTABLE WATER</t>
  </si>
  <si>
    <t>FURNISHING AND DELIVERING LABOR AND MATERIALS FOR THE CONCRETING OF BARANGAY ROAD, BRGY. STA. MARIA, CAMILING, TARLAC</t>
  </si>
  <si>
    <t>FURNISHING AND DELIVERING LABOR AND MATERIALS FOR THE CONCRETING OF FARM-TO-MARKET  ROAD,  BRGY. PINDANGAN 1ST, CAMILING, TARLAC</t>
  </si>
  <si>
    <t>FURNISHING AND DELIVERING LABOR AND MATERIALS FOR THE CONCRETING OF BARANGAY ROAD, BRGY. PALIMBO CAAROSIPAN, CAMILING, TARLAC</t>
  </si>
  <si>
    <t>Supply and Delivery of COVID-19 Test KIt</t>
  </si>
  <si>
    <t>20GMD0034 Purchase of Fuel and Lubricants for use in Planning and Design Section (3rd Quarter of 2020)</t>
  </si>
  <si>
    <t>FURNISHING AND DELIVERING LABOR AND MATERIALS FOR THE CONCRETING OF BARANGAY ROAD, BRGY. TAMBUGAN, CAMILING, TARLAC</t>
  </si>
  <si>
    <t>PROCUREMENT OF RESCUE VEHICLE</t>
  </si>
  <si>
    <t>YOUTH ENHANCEMENT AND DEVELOPMENT PROGRAM</t>
  </si>
  <si>
    <t>FURNISHING AND DELIVERING LABOR AND MATERIALS FOR THE CONCRETING OF BARANGAY ROAD, BRGY. PALIMBO PROPER, CAMILING, TARLAC</t>
  </si>
  <si>
    <t>Procurement of FUEL Supply for COVID-19 Activities</t>
  </si>
  <si>
    <t>SUPPLY AND DELIVERY OF 1,718 LENGTHS OF  uPVC PIPE CLASS 100 WITH SIZES RANGING FROM ,2" ID TO 4" ID</t>
  </si>
  <si>
    <t>Supply, Delivery and Installation of Pump and Engine for DTRIS CY 2020, Daet, Camarines Norte</t>
  </si>
  <si>
    <t>Supply and Delivery of 1 unit Generator Set</t>
  </si>
  <si>
    <t>20GMD0032  Purchase of Materials use for Fabrication of Kilometer Post, Right of Way Marker and Drainage Marker</t>
  </si>
  <si>
    <t>2ND INVITATION TO BID FOR THE PROCUREMENT OF VARIOUS IT EQUIPMENT AND ACCESSORIES FOR BUSINESS ONE-STOP SHOP CENTER (BOSS CENTER),  CITY OF ALAMINOS, PANGASINAN</t>
  </si>
  <si>
    <t>20GMD0033 Purchase of Materials use for Manual Repair of Deck Slab at Datu Sahid Piang Bridge, Olandang, Midsayap, Cotabato</t>
  </si>
  <si>
    <t>20GMD0031 Purchase of Materials use for Act. #122 Crack and Joint Sealing of Concrete Pavement Along Various Road Section</t>
  </si>
  <si>
    <t>20GMD0030  Purchase of Fuel and Lubricants for use in Construction Section (3rd Quarter of 2020)</t>
  </si>
  <si>
    <t>Procurement of ICT Equipment</t>
  </si>
  <si>
    <t>Purchase of Construction Materials for the Expansion of Streetlights</t>
  </si>
  <si>
    <t>SUPPLY, DELIVERY AND INSTALLATION OF SOLAR POWERED IRRIGATION SYSTEM IN THE TWO (2) SITES OF PROVINCIAL PLANT NURSERY</t>
  </si>
  <si>
    <t>SURVEYING SERVICES FOR THE PROPOSED DEVELOPMENT OF BACONG INTERNATIONAL AIRPORT</t>
  </si>
  <si>
    <t>FURNISHING AND DELIVERING LABOR AND MATERIALS FOR THE CONCRETING OF BARANGAY ROAD, BRGY. SURGUI 1ST, CAMILING, TARLAC</t>
  </si>
  <si>
    <t>SUPPLY AND DELIVERY OF MATERIALS FOR THE INSTALLATION OF SOLAR LIGHTING FACILITIES</t>
  </si>
  <si>
    <t>FURNISHING AND DELIVERING LABOR AND MATERIALS FOR THE CONCRETING OF FARM-TO-MARKET  ROAD,  BRGY. MANUPEG, CAMILING, TARLAC</t>
  </si>
  <si>
    <t>Kabuhayan Mo, Alalayan Ko</t>
  </si>
  <si>
    <t>FURNISHING AND DELIVERING LABOR AND MATERIALS FOR THE CONSTRUCTION OF MULTI PURPOSE HALL (PHASE II), BRGY. SINULATAN 1ST, CAMILING, TARLAC</t>
  </si>
  <si>
    <t>CONSULTANCY SERVICES FOR THE APPRAISAL OF LAND AND IMPROVEMENT OF THE PROPOSED DEVELOPMENT OF BACONG INTERNATIONAL AIRPORT</t>
  </si>
  <si>
    <t>Provision of IT equipment and software</t>
  </si>
  <si>
    <t>Procurement of Improvement of TCES District Office</t>
  </si>
  <si>
    <t>Rehab of sledge trail</t>
  </si>
  <si>
    <t>PURCHASE OF FURNITURE AND FIXTURES</t>
  </si>
  <si>
    <t>Contract ID No. 20FA0060: CLUSTER 33 - CONCRETING OF FARM TO MARKET ROADS IN THE FIRST DISTRICT OF ALBAY</t>
  </si>
  <si>
    <t>One Lot–Multi-year Hardware Maintenance, Software Subscription and Technical Support Services for the BSP Web Application Firewall-Secondary Site, as per BSP Terms of Reference and SLA</t>
  </si>
  <si>
    <t>Purchase of Vehicle</t>
  </si>
  <si>
    <t>BLGU-STALUCIA-AL-01-2020 CONCRETING OF BARANGAY ROAD PHASE II</t>
  </si>
  <si>
    <t>20GEE0039-Supply and Delivery of Tires for Stake Truck H2-367 use at Coron Sub Office, Coron, Palawan</t>
  </si>
  <si>
    <t>20GEE0038-Supply and Delivery of Emulsified Asphalt (SS-1) for the Rapair/Maintenance of Coron- Busuanga Road and F.B. Reyes Road, Coron - Busuanga Road and F.B. Reyes Road</t>
  </si>
  <si>
    <t>20GEE0037-Supply and Delivery of Asphalt Sealant for the Repair/Maintenance of Coron- Busuanga Road and F.B. Reyes Road, Coron - Busuanga Road and F.B. Reyes Road</t>
  </si>
  <si>
    <t>20GEE0040-Supply and Delivery of Emulsified Asphalt (SS-1) and Asphalt Sealant for the Repair/Maintenance of Bato-Paglaum Road Section and Jct Taytay-Taytay Pob Road Section S00048PW, S00052PW, Bato-P</t>
  </si>
  <si>
    <t>Request for Quotation of Apalili and Datu Manlangan ES</t>
  </si>
  <si>
    <t>Renovation of Omar Municipal Hall</t>
  </si>
  <si>
    <t>20GEE0034-Supply and Delivery of Materials for use in Survey Activities, Roxas, Palawan</t>
  </si>
  <si>
    <t>PROCUREMENT OF SOUND SYSTEM, OFFICE FURNITURES &amp; EQUIPMENT (2ND BID)</t>
  </si>
  <si>
    <t>20GEE0036-Supply and Delivery of Various Maintenance Tools for use along Puerto Princesa North Road (PPNR) and Coron-Busuanga National Road (CBNR), Roxas and Coron, Palawan</t>
  </si>
  <si>
    <t>Kwarto Kalinga</t>
  </si>
  <si>
    <t>20GEE0035-Supply and Delivery of Lubricants and Parts for Various Service Vehicle for use of Planning &amp; Design Section, Roxas, Palawan</t>
  </si>
  <si>
    <t>Proposed Road Concreting</t>
  </si>
  <si>
    <t>REHABILITATION/ REPAIR OF STREETLIGHTS</t>
  </si>
  <si>
    <t>Supply and Delivery of Office Supplies for different offices in this Municipality</t>
  </si>
  <si>
    <t>Airconditioning System for DSBH-2020-0133</t>
  </si>
  <si>
    <t>Tires for PEO-2020-0107</t>
  </si>
  <si>
    <t>Purchase of Construction Materials for the Expansion and roof repair of Multi-Purpose Hall</t>
  </si>
  <si>
    <t>Proposed Repair and Improvement of IP Multi-Purpose Building(Rehabilitation of Existing Building(Earthquake Damaged)Additional Improvement Glass Works(Cubicle) and Filing Cabinets) at City Plaza, Brgy</t>
  </si>
  <si>
    <t>MATERIALS FOR THE THREE-ROOM ISOLATION FACILITY</t>
  </si>
  <si>
    <t>Supply and Delivery of Medical  Supplies</t>
  </si>
  <si>
    <t>Procurement of One (1) unit 10 Wheelers dumptruck</t>
  </si>
  <si>
    <t>Construction of CHB Canal Lining at Casilagan-Balacong CIS</t>
  </si>
  <si>
    <t>Accreditation Documents Cabinet</t>
  </si>
  <si>
    <t>Supply and Delivery of Housekeeping Supplies/Janitorial Supplies</t>
  </si>
  <si>
    <t>INVITATION TO BID FOR CONSTRUCTION/REHABILITATION OF DAY CARE CENTER POBLACION,CARAGA, DAVAO ORIENTAL</t>
  </si>
  <si>
    <t>Concreting of Sitio Grego to Sitio Pinagpatayan Barangay Calaylayan FMR, Barangay Calaylayan, Abucay, Bataan</t>
  </si>
  <si>
    <t>Concreting of Road, Purok Baybayin, Barangay Ibabang Dupay, Lucena City</t>
  </si>
  <si>
    <t>INVITATION TO BID FOR CONSTRUCTION OF DAY CARE CENTER/MULTI-PURPOSE DAY HALL AT DANGILAS,PM SOBRECAREY, CARAGA, DAVAO ORIENTAL</t>
  </si>
  <si>
    <t>Purchase of Commodities for CAA 1 and CAA 2 (MPOC)</t>
  </si>
  <si>
    <t>Procurement of Supplies and Materials for the Rehabilitation of Water System</t>
  </si>
  <si>
    <t>Supply &amp; Installation of Deep Well Drilling for the Establishment of Solar Pump (P. Agri.)</t>
  </si>
  <si>
    <t>PR NO. 20-06-235 (i.1, 3-11) (2020-06-219) PROCUREMENT OF OFFICE SUPPLIES</t>
  </si>
  <si>
    <t>Continuation of river bank protection</t>
  </si>
  <si>
    <t>INVITATION TO BID FOR THE SALE OF UNSERVICEABLE PROPERTY OF DENR RIV-A (CALABARZON) "As is Where is" BASIS</t>
  </si>
  <si>
    <t>CONSTRUCTION OF MULTI-PURPOSE HALL-PHASE V AT BARANGAY SAMBUNGAN</t>
  </si>
  <si>
    <t>Opening of Pappa-Bayayeng-Saddul Access Road</t>
  </si>
  <si>
    <t>CONSTRUCTION OF MULTI-PURPOSE HALL (PHASE IV) AT BARANGAY BUCAL</t>
  </si>
  <si>
    <t>PURCHASE OF ONE (1) UNIT BRAND NEW CRAWLER EXCAVATOR WITH BREAKER LINE AND BUCKET CAPACITY OF 0.50 CU.M.</t>
  </si>
  <si>
    <t>PURCHASE OF PHOTOCOPIER TONER AND DRUM FOR VARIOUS OFFICES</t>
  </si>
  <si>
    <t>Repair / Maintenance of Motor Vehicle</t>
  </si>
  <si>
    <t>PURCHASE OF VARIOUS MATERIALS FOR THE CONVERSION OF TRANSIT MIXER TO FLATBED</t>
  </si>
  <si>
    <t>CONSTRUCTION OF PATHWAYS PUROK 1,3 &amp; 5</t>
  </si>
  <si>
    <t>Water System Development - Purok 6 San Vicente, Aundanao under PR# 2020-03-1944.</t>
  </si>
  <si>
    <t>PROCUREMENT OF GOODS AND SERVICES FOR REPAIRMENT OF RP VEHICLE ISUZU ALTERA SHE-440, MALAPATAN, SARANGANI PROVINCE</t>
  </si>
  <si>
    <t>Construction of FMR-Brgy. Villafranca Gigaquit, Surigao del Norte ,Bgys. San Isidro &amp; Villafranca, Gigaquit, Surigao del Norte</t>
  </si>
  <si>
    <t>PURCHASE AND INSTALLATION OF SOLAR POWERED STREETLIGHT SYSTEM</t>
  </si>
  <si>
    <t>PURCHASE AND DELIVERY OF HARDWARE MATERIALS FOR THE PROPOSED REHABILITATION OF WATER SYSTEM PIPELINES, Brgy.  Guibuangan, Can-avid Eastern Samar</t>
  </si>
  <si>
    <t>Completion of Lower Sabangan Footbridge</t>
  </si>
  <si>
    <t>PROCUREMENT OF SOUND SYSTEM</t>
  </si>
  <si>
    <t>SUPPLY AND DELIVERY OF FUEL AND LUBRICANTS FOR VICE MAYOR’S OFFICE</t>
  </si>
  <si>
    <t>REHABILITATION &amp; IMPROVEMENT OF BRGY HALL</t>
  </si>
  <si>
    <t>brand new vehicle, 4 x 2 SUV</t>
  </si>
  <si>
    <t>CONSTRUCTION OF BDRRM OFFICE PHASE I</t>
  </si>
  <si>
    <t>ITB No. (INF) 2020-06-093 OPENING OF ROAD, BRGY. CAN-ILAY – BRGY. SALVACION, Can-avid, Eastern Samar</t>
  </si>
  <si>
    <t>COLD STORAGE FACILITY AT PENAPLATA, SAMAL DISTRICT, IGACOS under PR# 2020-05-2430.</t>
  </si>
  <si>
    <t>PROCUREMENT OF IT EQUIPMENT (COMPUTER SET), DR. JOSE RIZAL MEMORIAL HOSPITAL</t>
  </si>
  <si>
    <t>CONSTRUCTION OF UNDERGROUND WATER COLLECTOR (SUMP) under PR# 2020-05-2377</t>
  </si>
  <si>
    <t>RE BIDDING - MATERIALS AND APPARATUS NEEDED IN THE CMS CENTRALIZE MONITORING SYSTEM</t>
  </si>
  <si>
    <t>PURCHASE OF CONSTRUCTION MATERIALS FOR THE REHABILITATION OF ROAD SHOULDER AND REHABILITATION OF MPH NEW AND OLD</t>
  </si>
  <si>
    <t>Improvement of Road Leading to the Municipal MRF</t>
  </si>
  <si>
    <t>REHABILITATION OF CITY ROADS (CONCRETING), FERRYBOAT ENTRANCE KINAWITNON BABAK DIST. under PR# 2020-05-2404.</t>
  </si>
  <si>
    <t>PURCHASE OF ONE (1) UNIT BRAND NEW 4X4 MINI DUMPTRUCK WITH 5-6 CU.M. CAPACITY</t>
  </si>
  <si>
    <t>Repalcement of Boulevard Lights along Pandan Ave. Mapandan, Pangasinan</t>
  </si>
  <si>
    <t>PHO-NC-2020-129 REQUEST FOR QUOTATION FOR THE PROCUREMENT OF VARIOUS IT SOFTWARE, EQUIPMENT, AND MATERIALS</t>
  </si>
  <si>
    <t>ITB FOR THE REPAIR &amp; MAINTENANCE OF WATER SUPPLY SYSTEM</t>
  </si>
  <si>
    <t>SUPPLY AND DELIVERY OF CONSTRUCTION MATERIALS FOR THE CONSTRUCTION OF MULTI-PURPOSE PAVEMENT</t>
  </si>
  <si>
    <t>SLOPE PROTECTION</t>
  </si>
  <si>
    <t>Concreting of Tubigan-Bobutan Farm-to-Market Road</t>
  </si>
  <si>
    <t>ITB NO. (GDS)  2020-06-016 PROCUREMENT OF BROADCAST SERVICE, Province of Eastern Samar</t>
  </si>
  <si>
    <t>Procurement of Materials for the Construction of Comfort Room</t>
  </si>
  <si>
    <t>CONSTRUCTION OF MUNICIPAL QUARANTINE AND ISOLATION FACILITY</t>
  </si>
  <si>
    <t>Procurement and Deliveries of Construction Materials for use in 71x-Traffic Safety Management,Purchase and Installation of Road Safety Devices along DM-Leg.Sto-Dpomingo-Tabaco-Cam.Sur Bdry.,KO572+000-</t>
  </si>
  <si>
    <t>01 unit Motor Vehicle</t>
  </si>
  <si>
    <t>MAINT 2020-06-0019 - Purchase of Materials for the Special Maintenance (Guardrail Maintenance) along Buenavista-Cawayan &amp; Masbate-Cataingan-Placer Road</t>
  </si>
  <si>
    <t>Clinical Laboratory use</t>
  </si>
  <si>
    <t>INSTALLATION OF WATER SYSTEM, ESTABLISHMENT OF WASH AREA, REPAIR OF ELECTRICAL LINES AT MULTI-PURPOSE HALL</t>
  </si>
  <si>
    <t>Pre- Fabricated Movable Basketball Board</t>
  </si>
  <si>
    <t>Construction of Multi-Purpose Hall at So. Catama, Bgy. Ilian, Dumaran, Palawan</t>
  </si>
  <si>
    <t>Construction of Laying House</t>
  </si>
  <si>
    <t>PURCHASE OF MESH NETS TO BE USED IN THE CONSTRUCTION OF NETHOUSES FOR THE DA-ACEF PROJECT</t>
  </si>
  <si>
    <t>PURCHASE OF MOUNTAIN AND SEARCH &amp; RESCUE EQUIPMENT &amp; UNIFORM (LDRRMO)</t>
  </si>
  <si>
    <t>Supply &amp; Delivery of Printing Supplies @ NIA CBIMO Maddarulug, Solana, Cagayan</t>
  </si>
  <si>
    <t>INVITATION FOR NEGOTIATED PROCUREMENT OF STREETLIGHTS AND ACCESSORIES FOR THE MAINTENANCE OF STREET LIGHTING SYSTEM After Two Failed Bidding</t>
  </si>
  <si>
    <t>ITB No. 20-052   ONE (1) LOT SUPPLY AND DELIVERY OF LABOR, TOOLS, MATERIALS, CONSUMABLES, SUPERVISION AND TECHNICAL EXPERTISE FOR THE INSTALLATION, TESTING AND COMMISSIONING OF ONE (1) UNIT TRIPLEX OI</t>
  </si>
  <si>
    <t>PURCHASE OF EVACUATION SHELTER SUPPLIES (LDRRMO)</t>
  </si>
  <si>
    <t>IT Equipment-Vice Mayor's Office</t>
  </si>
  <si>
    <t>CONCRETING OF MUNICIPAL STREET  ( MIGUEL TUBLE ST-  T. NOMBREDA ST.)</t>
  </si>
  <si>
    <t>Food Commodities for the Affected Populace of COVID-19</t>
  </si>
  <si>
    <t>Supply and Delivery of Fuels at NIA ZRIS, Lasam &amp; Gattaran, Cagayan</t>
  </si>
  <si>
    <t>PEO-NC-2020-0341 REQUEST FOR QUOTATION FOR THE PROCUREMENT OF AGGREGATE SUBBASE COURSE (ANAPOG)</t>
  </si>
  <si>
    <t>Purchase of Construction Materials (Library)</t>
  </si>
  <si>
    <t>01 unit Portable Water Quality Instrument, 02 units Underwater Camera with Casing, etc.</t>
  </si>
  <si>
    <t>Rehabilitation of Water Supply Project at Bgy. Magsaysay, Dumaran, Palwan</t>
  </si>
  <si>
    <t>Improvement of Mambajao Evacuation Center</t>
  </si>
  <si>
    <t>Supply and Delivery of Construction Materials for Repair and Maintenance of Different Offices of the PGOM</t>
  </si>
  <si>
    <t>INVITATION FOR NEGOTIATED PROCUREMENT OF OFFICE SUPPLIES (BATCH 2) After Two Failed Bidding</t>
  </si>
  <si>
    <t>Repair materials for School Canopy</t>
  </si>
  <si>
    <t>MAINT 2020-06-0020 - Purchase of Materials for the Special Maintenance (Centerline &amp; Lane Line Repainting) along Masbate-Cataingan-Placer Road &amp; Buenavista-Cawayan Road</t>
  </si>
  <si>
    <t>IT Equipment-SB Legislative</t>
  </si>
  <si>
    <t>OPA-RASS-NC-2020-0344 REQUEST FOR QUOTATION FOR THE PROCUREMENT OF PVC PIPES, PVC PIPE CLEAN OUT SET, PVC ELBOW, AND PVC PIPE SOLVENT</t>
  </si>
  <si>
    <t>Construction of Sanitary Toilet &amp; Hygiene Facility</t>
  </si>
  <si>
    <t>PROCUREMENT OF DRUGS AND MEDICINES (COMBINED GLUCOSE-AMINO ACID SOLUTION)- REBID, DR. JOSE RIZAL MEMORIAL HOSPITAL</t>
  </si>
  <si>
    <t>Purchase of Anti- Rabies vaccine for RHU I use, Botolan, Zambales</t>
  </si>
  <si>
    <t>40 units Battery, 12 volts, 11 plates – N70 (MF), 49 sets Tire w/ Inner Tube &amp; Flap – 7.50 x 16 x 14 Ply – Traction Lug, etc.</t>
  </si>
  <si>
    <t>Purchase of goods for Improvement of Tupsan Public Cemetery</t>
  </si>
  <si>
    <t>MAINT 2020-06-0018 - Purchase of Materials for Premix Patching  Bituminous Pavements along Masbate-Cataingan-Placer Road</t>
  </si>
  <si>
    <t>PROCUREMENT FOR JANITORIAL SUPPLIES PR NO. 0549 S.2020</t>
  </si>
  <si>
    <t>Procurement of Materials for Installation of the Solar Streetlights</t>
  </si>
  <si>
    <t>Laboratory Instrument (Isoprophyl Alcohol)</t>
  </si>
  <si>
    <t>Supply and Delivery of Vehicle Spare Parts at NIA CBIMO Maddarulug, Solana, Cagayan</t>
  </si>
  <si>
    <t>Construction of Concrete Bridge</t>
  </si>
  <si>
    <t>PEO-NC-2020-0343 REQUEST FOR QUOTATION FOR THE PROCUREMENT OF AGGREGATE SUBBASE COURSE (ANAPOG)</t>
  </si>
  <si>
    <t>CONCRETING OF BAGO CHIQUITO FARM TO MARKET ROAD</t>
  </si>
  <si>
    <t>ITB No. GOP/20-DSWD-043 - Supply, Delivery and Installation of Local Network Infrastructure for DSWD Field Offices</t>
  </si>
  <si>
    <t>IB No. 2006-327 Proc. of Goods (Medicines)</t>
  </si>
  <si>
    <t>Construction of Manpower Development Center at Bgy. Itangil, Dumaran, Palawan</t>
  </si>
  <si>
    <t>Purchase of Safety precaution materials against Covid-19</t>
  </si>
  <si>
    <t>Swine Feeds (Livestock &amp; Poultry Production)</t>
  </si>
  <si>
    <t>CONCRETING OF LANIPGA FARM TO MARKET ROAD PANAY CAPIZ</t>
  </si>
  <si>
    <t>20CB-GSC-377- PURCHASE OF TARPAULIN FOR BPLD</t>
  </si>
  <si>
    <t>Procurement of 200 bags Cement</t>
  </si>
  <si>
    <t>Materials (Fabrication of Waste Collection Point for the Implementation of “No Segregation, No Collection Policy” (Model II)</t>
  </si>
  <si>
    <t>Airconditioning and Airconditioning System JRMPII-122-2020</t>
  </si>
  <si>
    <t>Supply and Delivery of Medical, Dental, X-ray and Laboratory Supplies of San Pablo City General Hospital 2nd Quarter.</t>
  </si>
  <si>
    <t>Procurement of Construction Supplies for Drainage  Repair at Division Office.</t>
  </si>
  <si>
    <t>Procurement of Agricultural supplies use for urban gardening</t>
  </si>
  <si>
    <t>OPV-2020-0176 PR2020-0458 INVITATION TO BID FOR THE PROCUREMENT OF VARIOUS OFFICE EQUIPMENT, FURNITURE AND FIXTURES</t>
  </si>
  <si>
    <t>SECTIONAL REPAIR OF PAVEMENT AT NFA COMPOUND IN BARANGAY SAN IGNACIO, SAN PABLO CITY, LAGUNA</t>
  </si>
  <si>
    <t>CONSTRUCTION OF BUS TERMINAL PHASE I</t>
  </si>
  <si>
    <t>Supply and delivery of IT Equipment and paraphernalia for use in the college of education.</t>
  </si>
  <si>
    <t>Construction of Multi-Purpose Hall at Bgy. Catep, Dumaran, Palawan</t>
  </si>
  <si>
    <t>Purchase of Palit Bigas Program</t>
  </si>
  <si>
    <t>IMPROVEMENT OF MULTI-PURPOSE HALL</t>
  </si>
  <si>
    <t>Procurement of LED fluorescent bulbs  for the replacement of busted lamps at Division Office.</t>
  </si>
  <si>
    <t>PURCHASE OF SCHOOL SUPPLIES (MSWDO/LCPC)</t>
  </si>
  <si>
    <t>AB-2020-0019:Supply and Delivery of  Diesel Fuel, Premium and Unleaded Gasoline for various Maintenance activities within Ilocos Norte 2nd District</t>
  </si>
  <si>
    <t>Concreting of Nangkaon-Talagusok Farm-to-Market Road</t>
  </si>
  <si>
    <t>Proposed concreting of road at Brgy. Santiago I, San Pablo City.</t>
  </si>
  <si>
    <t>Laptop for Office of the President for Academic Affairs</t>
  </si>
  <si>
    <t>REPAIR AND RE-PAINTING OF KINARAGAN ELEMENTARY SCHOOL</t>
  </si>
  <si>
    <t>CONSTRUCTION/REHABILITATION OF MULTI PURPOSE HALL AT POBLACION, SAN QUINTIN, ABRA</t>
  </si>
  <si>
    <t>Procurement of Construction Materials and Supplies for the Improvement of Barangay Street Lights in Brgy. Badiangon, President Roxas, Capiz</t>
  </si>
  <si>
    <t>ITB No. 20-053   SUPPLY AND DELIVERY OF LABOR, TOOLS, MATERIALS, CONSUMABLES, SUPERVISION AND TECHNICAL EXPERTISE FOR THE INSTALLATION OF BUILT-IN SOUND SYSTEM WITH ACCESSORIES FOR ATRIUM LOBBY MAIN B</t>
  </si>
  <si>
    <t>Procurement of Infrastructure Projects for Implementation of Various Municipal Development Projects III</t>
  </si>
  <si>
    <t>INVITATION TO APPLY FOR ELIGIBILITY AND TO BID FOR THE EQUIPMENT, TOOLS AND RAW MATERIALS FOR DOLE INTEGRATED LIVELIHOOD PROGRAM – STARTER KIT PROJECT.</t>
  </si>
  <si>
    <t>Rehabilitation of Child Development Center, Lumbia, Ipil, ZSP.</t>
  </si>
  <si>
    <t>27,780 liters Diesel and 4,980 liters Gasoline</t>
  </si>
  <si>
    <t>PURCHASE OF ONE (1) UNIT SLIDING GLASS DOOR FILING CABINET WITH COMPUTER TABLE FOR SB OFFICE</t>
  </si>
  <si>
    <t>Supply &amp; Delivery of Office Equipment Supplies and Consumables</t>
  </si>
  <si>
    <t>Outsourcing of physico chemical, heavy metal and microbiological analyses for industrial waste</t>
  </si>
  <si>
    <t>PURCHASE OF MATERIALS FOR THE  BARANGAY STAGE</t>
  </si>
  <si>
    <t>Furnishing and Delivery of 9 Units Laptop for Principals of Siniloan District</t>
  </si>
  <si>
    <t>833 vials Anti-Rabies Vaccine, Purified Chick Embryo Cell, etc.</t>
  </si>
  <si>
    <t>PROVISION OF SUPPORT INSTRUCTIONAL &amp; LEARNERS MATERIALS FOR TAMALAGON INTEGRATED SCHOOL (ELEMENTARY)</t>
  </si>
  <si>
    <t>Supply and delivery of Blaan Dictionary</t>
  </si>
  <si>
    <t>Purchase of Second Hand Vehicle for use as Barangay Ambulance of Upper Malinao, Padada, Davao del Sur</t>
  </si>
  <si>
    <t>Supply of School and office supplies</t>
  </si>
  <si>
    <t>PROPOSED PROVISION OF TEMPORARY PARTITION FOR VARIOUS ISOLATION AREA AT VARIOUS BARANGAYS</t>
  </si>
  <si>
    <t>Supply and Deliver of Various Ink Cartridges and Toner for PRDP CY 2020 (PRAS No. 2020-041 &amp; SH-017-2020)</t>
  </si>
  <si>
    <t>Office Supplies (Ballpen with Flashdrive)</t>
  </si>
  <si>
    <t>Procurement of Vegetable Seeds for distribution</t>
  </si>
  <si>
    <t>Supply and Delivery of Five Thousand (5,000) Heads Mallard Ducks Ready-to-Lay for the Municipality of Roxas, Isabela</t>
  </si>
  <si>
    <t>Supply and Delivery of Diesel at NIA IAAPIS Baculud Amulung Cagayan</t>
  </si>
  <si>
    <t>SUPPLY &amp; DELIVERY OF MATERIALS FOR THE CONSTRUCTION OF BAGSAKAN CENTER @ BRGY. WEST KILIKILI, WAO, LANAO DEL SUR</t>
  </si>
  <si>
    <t>OFFICE EQUIPMENT (AIRCONDITIONING)</t>
  </si>
  <si>
    <t>Completion of Four (4) Units Barangay Health Station (Apaya, Apang, Kiat, Daddaay)</t>
  </si>
  <si>
    <t>Supply and Delivery of Various Construction Materials for the Extension of Barangay Road Concreting of 132.50 Linear x 5 meter width and 15 cm. thickness, Barangay Aras-asan, Cagwait, Surigao del Sur</t>
  </si>
  <si>
    <t>05 boxes COMPUTER CONTINUOUS FORMS, 2 ply, 11" x 14-7/8", 1000 sets/box, etc.</t>
  </si>
  <si>
    <t>Purchase of Four (4) units Airconditioning Units for Various Offices</t>
  </si>
  <si>
    <t>REPAIR AND REPLACEMENT OF MOTHERBOARD OF 1 UNIT CPU</t>
  </si>
  <si>
    <t>SUPPLY AND DELIVERY OF CONSTRUCTION MATERIALS (READY MIXED)</t>
  </si>
  <si>
    <t>MUNICIPAL AND BARANGAY ROAD MAINTENANCE</t>
  </si>
  <si>
    <t>Installation of Street Lighting Facilities</t>
  </si>
  <si>
    <t>PGBH-C-NC-2020-095 PR2020-111 REQUEST FOR QUOTATION FOR THE PROCUREMENT OF MEALS DURING BID OPENING FOR BAC MEMBERS AND BAC SECRETARIAT STAFF</t>
  </si>
  <si>
    <t>OFFICE EQUIPMENT (PHOTOCOPIER)</t>
  </si>
  <si>
    <t>Purchase of Fruits Seedlings</t>
  </si>
  <si>
    <t>Rehabilitation of Child Development Center,Maasin,Ipil, ZSP.</t>
  </si>
  <si>
    <t>OFFICE EQUIPMENT (PORTABLE SPEAKER, DSLR CAMERA, EXECUTIVE CHAIR AND FLOOR MOUNTED TYPE AIRCON 3T)</t>
  </si>
  <si>
    <t>TRAINING EXPENSE  (OESPA-Php50,000.00)</t>
  </si>
  <si>
    <t>MEALS AND SNACKS</t>
  </si>
  <si>
    <t>FURNISHING OF CONSTRUCTION MATERIALS OF BRGY LAYON, LIGAO CITY</t>
  </si>
  <si>
    <t>MULTICAB FOR BRGY.SANDAYONG NORTE,DANAO CITY</t>
  </si>
  <si>
    <t>LSI MEALS (EMERGENCY FOR COVID-19)</t>
  </si>
  <si>
    <t>Catering Services for Meals and Snacks during conduct of Budget Forum and Workshop and Technical Budget Hearing</t>
  </si>
  <si>
    <t>Construction of Canal Lining @ Bangan, Bagumbayan</t>
  </si>
  <si>
    <t>Construction of Cambaguio SIP</t>
  </si>
  <si>
    <t>Construction of Drainage Canal (GAD) All Puroks, Agbannawag</t>
  </si>
  <si>
    <t>Construction of Mini of Park w/ Rehabilitation of Street Light</t>
  </si>
  <si>
    <t>Concreting of Road (GAD) Bangad, Agbannawag</t>
  </si>
  <si>
    <t>Purchase of Office Supplies and Devices</t>
  </si>
  <si>
    <t>Information Technology JRMPII-089-2020</t>
  </si>
  <si>
    <t>20CSPA001 (Re-advertisement) : DETAILED ENGINEERING DESIGN OF ABRA COLISEUM AND  CONVENTION CENTER, La Paz, Abra</t>
  </si>
  <si>
    <t>Procurement of Office Supplies and Consumables</t>
  </si>
  <si>
    <t>Prepaid Cards (Communication Supplies)</t>
  </si>
  <si>
    <t>Rehabilitation of Child Development Center, Logan, Ipil, ZSP.</t>
  </si>
  <si>
    <t>04 units Ambulance with Complete Accessories</t>
  </si>
  <si>
    <t>Completion of Four (4) Units Barangay Health Station (Kiat, Marmarsang, Guilong, Dagdag)</t>
  </si>
  <si>
    <t>20CSAB01 - Package 1: CONDUCT OF SOIL TESTING/EXPLORATION FOR THE PROPOSED BRIDGE WIDENING, BADOC BR. (B00564LZ), QUIAOIT BR. (B00571LZ),  ALONG MANILA NORTH ROAD, CABARUAN BR. (B02770LZ), QUIOM BR. (</t>
  </si>
  <si>
    <t>Land Development - New Puntaville</t>
  </si>
  <si>
    <t>01 unit Whiteprint Laser Printer</t>
  </si>
  <si>
    <t>399.93 SQ.M ROLL BLINDS CURTAIN</t>
  </si>
  <si>
    <t>Construction of Canal Lining @ Purok 1, Cabaritan</t>
  </si>
  <si>
    <t>Construction of concrete perimeter fence (Phase 2)</t>
  </si>
  <si>
    <t>Rehabilitation of Health Center/Flordeliz, Macrohon, Southern Leyte</t>
  </si>
  <si>
    <t>PURCHASE OF MOTORCYCLES FOR BARANGAYS (1ST BID)</t>
  </si>
  <si>
    <t>Construction of Deep Well w. Submersible Pump at Block 2 (GAD) Purok 7, Bulanao</t>
  </si>
  <si>
    <t>Construction of Canal Cover (GAD) Purok 4, Bulanao</t>
  </si>
  <si>
    <t>Procurement of Motorcycle with side car</t>
  </si>
  <si>
    <t>“SUPPLY AND DELIVERY OF VEHICLE PARTS AND VEHICLE OIL”</t>
  </si>
  <si>
    <t>IMPROVEMENT OF BARANGAY MULTI-PURPOSE HALL</t>
  </si>
  <si>
    <t>To Conduct Verification/Subdivision survey and provide complete docucments as provided in the Survey Return for submittal at LMS-DENR</t>
  </si>
  <si>
    <t>Laboratory Analysis</t>
  </si>
  <si>
    <t>Information Technology JRMPII-291-19</t>
  </si>
  <si>
    <t>20CSAB02 - Package 2: CONDUCT OF SOIL TESTING/EXPLORATION FOR THE PROPOSED FLOOD CONTROL PROJECTS, DINGRAS, PAOAY, BADOC, BANNA, CITY OF BATAC, SOLSONA, MARCOS &amp; NUEVA ERA, ILOCOS NORTE</t>
  </si>
  <si>
    <t>20DL0225 - CONVERGENCE AND SPECIAL SUPPORT PROGRAM, CONSTRUCTION/ IMPROVEMENT OF VARIOUS INFRASTRUCTURE IN SUPPORT OF NATIONAL SECURITY 1. ACCESS ROAD LEADING TO 85TH INFANTRY BATTALION MABUNGA-CASASA</t>
  </si>
  <si>
    <t>20JF0109 - Construction of 1 Unit - Two (2) Storey Eight (8) Classroom Yolanda Type School Building at Pangi Elementary School, Pangi, Ipil, Zamboanga Sibugay</t>
  </si>
  <si>
    <t>FURNISHING LABOR AND MATERIALS FOR THE IMPROVEMENT OF PUBLIC MARKET OFFICE BAC OFFICE AND MAYORS OFFICE</t>
  </si>
  <si>
    <t>Construction of Canal Cover (GAD) Northern Balacang &amp; Waterlily St, Casigayan</t>
  </si>
  <si>
    <t>Diagnostic and Laboratory Services JRMPII-284-19</t>
  </si>
  <si>
    <t>DRILLING OF DEEPWELL AT BARANGAY SAN ANDRES, BALUNGAO, PANGASINAN</t>
  </si>
  <si>
    <t>2020 17TH PUBLIC BIDDING for PROCUREMENT OF MEDICAL IMAGING SUPPLIES FOR 2020 2ND SEMESTER CONSUMPTION</t>
  </si>
  <si>
    <t>20CSAB03 - Package 3: CONDUCT OF SOIL TESTING/EXPLORATION FOR THE PROPOSED SLOPE PROTECTION, ILOCOS NORTE-ABRA RD - K0527+330 - K0527+ 358,  K0532+275 - K0532+290, K0533+175 - K0533+191, K0533+324 - K</t>
  </si>
  <si>
    <t>Supply &amp; Delivery of Office Supplies @ Budget, MSD, MHO, MPO, Rodriguez, Rizal</t>
  </si>
  <si>
    <t>Improvement of Barangay Road @ Purok 5, Calanan</t>
  </si>
  <si>
    <t>HARDWARE MATERIALS</t>
  </si>
  <si>
    <t>PURCHASE OF ONE (1) UNIT MOTORCYLE</t>
  </si>
  <si>
    <t>SUPPY AND DELIVERY OF CONSTRUCTION MATERIALS - MMO</t>
  </si>
  <si>
    <t>Procurement of 1 Pakyaw Remote Sensing Services for Groundwater Availability Exploration(GEO-Resistivity Survey) under 0700-2020-OCA-Support to Quality Corn Development(Trust Fund).</t>
  </si>
  <si>
    <t>Delivery, commissioning and Installation of Office Equipment</t>
  </si>
  <si>
    <t>20DL0226 - CONVERGENCE AND SPECIAL SUPPORT PROGRAM, CONSTRUCTION/ IMPROVEMENT OF ACCESS ROADS LEADING TO DECLARED TOURISM DESTINATIONS 4. ACCESS ROAD LEADING TO LAMESANG BATO, CALAUAG, QUEZON</t>
  </si>
  <si>
    <t>Improvement of Road going to Burayukan Elem School (GAD) Balong</t>
  </si>
  <si>
    <t>Improvement of Road @ Various Puroks, Cabaritan</t>
  </si>
  <si>
    <t>Supply and delivery of it equipment for use in the self-directed learning module system of the campus.</t>
  </si>
  <si>
    <t>Improvement of Road @ Gawidan, Bagumbayan</t>
  </si>
  <si>
    <t>SVP PUR20-04-0318 Procurement of Cable Remote Control for OR Table (Trumpf),  ORMAT</t>
  </si>
  <si>
    <t>SVP PUR20-06-0475 Procurement of SPO2 Extension Cable for M3A Patient monitor Neonate, NICU</t>
  </si>
  <si>
    <t>Supply &amp; Delivery of Various Equipment &amp; Supplies @ MDRRMO</t>
  </si>
  <si>
    <t>PROCUREMENT OF CONSTRUCTION MATERIAL FOR THE COMPLETION OF MULTI-PURPOSE HALL- BARANGAY SAN VICENTE</t>
  </si>
  <si>
    <t>Improvement of Road @ Makilo, Calaccad</t>
  </si>
  <si>
    <t>19 PCS. CUSTOMIZED PLAQUE 8"</t>
  </si>
  <si>
    <t>Supply &amp; Delivery of Construction Materials Package I for Various Projects</t>
  </si>
  <si>
    <t>INSTALLATION OF 4 PCS. ROLL BLINDS CURTAIN</t>
  </si>
  <si>
    <t>Construction of Covered Walk (GAD) STCS, Bulanao</t>
  </si>
  <si>
    <t>SVP PUR20-06-0488 Supply &amp; delivery of  Television 32" LED TV for DPPS</t>
  </si>
  <si>
    <t>FINISHING OF BARANGAY MULTI-PURPOSE BUILDING AT BARANGAY ABGAYAN SUR, BALUNGAO, PANGASINAN</t>
  </si>
  <si>
    <t>Rehabilitation of Various Deep Well  (GAD) Purok 4, Tuga</t>
  </si>
  <si>
    <t>100 PCS. T-SHIRT WITH PRINT</t>
  </si>
  <si>
    <t>APPLIANCES</t>
  </si>
  <si>
    <t>Construction of Canal Lining &amp; Protection Wall @ Purok 2, Lanna</t>
  </si>
  <si>
    <t>Agricultural Supplies</t>
  </si>
  <si>
    <t>Office Supplies for DILG Office</t>
  </si>
  <si>
    <t>Improvement of Road (GAD) Lower Sumadel, Ipil</t>
  </si>
  <si>
    <t>UPGRADING OF FM STATION TO 1000 WATTS (LDRRMO)</t>
  </si>
  <si>
    <t>20MG0149-Construction of 4sty-16cl (2SL, 2ICT, &amp; 4RW) Lab Workshop, Koronadal NCHS, Koronadal City</t>
  </si>
  <si>
    <t>Hardware Supplies</t>
  </si>
  <si>
    <t>20MG0150-Concreting of Brgy. Lamlahak to Brgy. Lamdalag FMR, Brgy. Lamlahak and Brgy. Lamdalag, Lake Sebu, South Cotabato</t>
  </si>
  <si>
    <t>Construction of Water Tank w/ Motor (GAD) Daram, Cudal</t>
  </si>
  <si>
    <t>Construction of One Classroom in Brgy. Tabao-Ambil</t>
  </si>
  <si>
    <t>SUPPLIES/MATERIALS</t>
  </si>
  <si>
    <t>RPQ - 2020-06-001</t>
  </si>
  <si>
    <t>PURCHASE OF OFFICE SUPPLIES FOR RHU OPD AND LYING-IN</t>
  </si>
  <si>
    <t>Purchase of Animal Feeds</t>
  </si>
  <si>
    <t>Purchase of Brand New Utility Vehicle</t>
  </si>
  <si>
    <t>ITB-2020-06-052 2nd Public Bidding: Construction of Covered Path Walk, Kitchen and Laundry Area for AVRC III</t>
  </si>
  <si>
    <t>REPAIR OF GID WAREHOUSE DAMAGED BY TYPHOON TISOY IN BRGY. LAYLAY, BOAC, MARINDUQUE</t>
  </si>
  <si>
    <t>CONSTRUCTION OF MULTI-PURPOSE BLDG. PHASE 2</t>
  </si>
  <si>
    <t>Rehabilitation of Child Development Center, Domondan, Ipil, ZSP.</t>
  </si>
  <si>
    <t>Infrastructure Project (Phase II) for Oriental Mindoro Rehabilitation and Recovery Center, Brgy. Ilaya, Calapan City, Oriental Mindoro</t>
  </si>
  <si>
    <t>ITB No. 014-2020-Second Posting-Supply and Delivery of NPL-322+ Prismless Total Station for the Municipal Assessment Office of LGU-Hingyon, Ifugao.</t>
  </si>
  <si>
    <t>Purchase of Medical Supplies for the use of Ospital ng Lungsod ng San Jose Del Monte</t>
  </si>
  <si>
    <t>REPAIR &amp; IMPROVEMENT OF SCHOOL CLINIC</t>
  </si>
  <si>
    <t>SUPPLY AND DELIVERY OF CONSTRUCTION SUPPLIES (rfq#2020-06-2,610)-(p.e.o.)</t>
  </si>
  <si>
    <t>Rehabilitation of Canal @ Putic St, Dilag</t>
  </si>
  <si>
    <t>Purchase of Supplies and Materials for Flood Control Program Declogging and Navotas Ko Love Ko (Clean-up Drive)</t>
  </si>
  <si>
    <t>LABOR SERVICES FOR THE COMPLETION OF bRGY. BIBILIK MULTI-PURPOSE BUILDING</t>
  </si>
  <si>
    <t>Procurement of Air Conditioner for LGU Manito</t>
  </si>
  <si>
    <t>Floor Tapping of Multi-Purpose Hall (Perimeter) at Barangay Angarian, Bugallon, Pangasinan</t>
  </si>
  <si>
    <t>Construction Materials (Rehabilitation of Multi-Purpose Hall)</t>
  </si>
  <si>
    <t>PROCUREMENT ON SUPPLY AND DELIVERY OF CONSTRUCTION MATERIALS AND SUPPLIES</t>
  </si>
  <si>
    <t>PROCUREMENT ON SUPPLY AND DELIVERY OF VARIOUS OFFICE SUPPLIES (CONSUMABLES)</t>
  </si>
  <si>
    <t>PURCHASE OF DESKTOP COMPUTER, FULL ACCESSORIES WITH 3 AND 1 PRINTER AND UPS.</t>
  </si>
  <si>
    <t>Procurement of Various Goods for Supplementary Feeding of 15 Barangays in  Bay, Laguna</t>
  </si>
  <si>
    <t>INK CARTIDGES</t>
  </si>
  <si>
    <t>PRINTING SERVICES (T-SHIRT AND TARPAULINS)</t>
  </si>
  <si>
    <t>Procurement of Various Supplies</t>
  </si>
  <si>
    <t>Delivery of labor and materials for the Construction/Rehabilitation of Open Canal at Barangay Sta. Cruz, Bay, Laguna for their implementation of 20% Economic Development Fund  (C.Y. 2020)</t>
  </si>
  <si>
    <t>PROCUREMENT OF I.T. EQUIPMENT (ITB No. 2020-161)-(provl government of bukidnon offices)</t>
  </si>
  <si>
    <t>INFORMATION TECHNOLOGY</t>
  </si>
  <si>
    <t>20MG0151-Concreting of Brgy. Sinolon FMR, Brgy. Sinolon, T’boli, South Cotabato</t>
  </si>
  <si>
    <t>CONSTRUCTION OF SEAWEEDS NURSERY (MAO)</t>
  </si>
  <si>
    <t>SUPPLY, DELIVERY AND INSTALLATION OF CSUCC ELECTRONICS SWINGS GATE SYSTEM</t>
  </si>
  <si>
    <t>Improvement of Road, Balani-Bantay-Magnao Road</t>
  </si>
  <si>
    <t>Installation of Jetmatic Hsnd Pumps</t>
  </si>
  <si>
    <t>RFQ No. 20-081 Supply and Delivery of Eight (8) Kits Aspergillus Galactomannan Ag</t>
  </si>
  <si>
    <t>For the use of Aeropioneer  ( PhilSCA FAB Campus, Lipa City, Batangas)</t>
  </si>
  <si>
    <t>20DL0227 - CONVERGENCE AND SPECIAL SUPPORT PROGRAM, CONSTRUCTION/ IMPROVEMENT OF ACCESS ROADS LEADING TO TRADES, INDUSTRIES AND ECONOMIC ZONES 5. ACCESS ROADS IN SUPPORT OF HANDICRAFTS, FOODS, COCONUT</t>
  </si>
  <si>
    <t>OE-56-06-25-2020: Supply and Delivery of Office Equipment for ISO Audit works and activities</t>
  </si>
  <si>
    <t>CONSTRUCTION EQUIPMENT RENTAL FOR ROAD CONSTRUCTION</t>
  </si>
  <si>
    <t>request for quotation</t>
  </si>
  <si>
    <t>REHABILITATION OF BARANGAY ROADS OF 14 BARANGAYS [2ND BID]</t>
  </si>
  <si>
    <t>Supply and Delivery of Surveying Instruments at NIA CBIMO HEad Office Maddarulug, Solana, Cagayan</t>
  </si>
  <si>
    <t>Purchase for Signage</t>
  </si>
  <si>
    <t>GOODS-PRNO.-2020-06-285</t>
  </si>
  <si>
    <t>CONSTRUCTION AND REHABILITATION OF MARINE PROTECTED AREA AT PAYAO, ZAMBOANGA SIBUGAY</t>
  </si>
  <si>
    <t>Acquisition Of Station</t>
  </si>
  <si>
    <t>300 PCS. BROCHURE</t>
  </si>
  <si>
    <t>Purchase of Indigenous Microorganism Making</t>
  </si>
  <si>
    <t>Construction of Calasgaan SIP</t>
  </si>
  <si>
    <t>ICT EQUIPMENT</t>
  </si>
  <si>
    <t>Construction of Deep Well w/ Submersible Pump (GAD) National H/S, Tuga</t>
  </si>
  <si>
    <t>PURCHASE OF AIR CONDITION FOR VARIOUS OFFICES</t>
  </si>
  <si>
    <t>Rice (Burial Assistance)</t>
  </si>
  <si>
    <t>#2020-06-030 - Purchase of Diesel Fuel for Quality Assurance Section</t>
  </si>
  <si>
    <t>Supply and Delivery of Various Building Materials, (11 Items) as per BSP Technical Specifications and Terms and Conditions:</t>
  </si>
  <si>
    <t>Rehabilitation of Child Development Center, Bacalan, Ipil, ZSP.</t>
  </si>
  <si>
    <t>Purchase of Powdered Milk for Adults &amp; Kids</t>
  </si>
  <si>
    <t>SUPPLY AND DELIVERY OF MATERIALS FOR CONSTRUCTION OF GAD/BCPC OFFICE</t>
  </si>
  <si>
    <t>To Support the Logistical Requirements of 4MECH,MID,PA</t>
  </si>
  <si>
    <t>Delivery of labor and materials for the  Construction/Rehabilitation of Pathway at Barangay Sto. Domingo, Bay, Laguna for their implementation of 20% Economic Development Fund (C.Y. 2020)</t>
  </si>
  <si>
    <t>CATERING SERVICES FOR LIGTAS COVID CENTER</t>
  </si>
  <si>
    <t>20GCF0002 Procurement of Materials for use in Repair/Maintenance of National Roads and Bridges within Third and Forth District of Nueva Ecija. (2nd Quarter)</t>
  </si>
  <si>
    <t>Procurement of Furniture and Fixtures for the use of Different Offices</t>
  </si>
  <si>
    <t>Purchase of 1,803 units of ICT Equipment (Laptop) for the Teachers in DepEd Malolos Division</t>
  </si>
  <si>
    <t>Straight Contract for the Construction and Rehabilitation of Bancal Slope Protection, Purok Rosal</t>
  </si>
  <si>
    <t>Office Supplies for Tourism Office</t>
  </si>
  <si>
    <t>CONSTRUCTION OF WELCOME ARCH</t>
  </si>
  <si>
    <t>Concreting of Brgy Road</t>
  </si>
  <si>
    <t>ITB-2020-06-051 2nd Public Bidding: Construction of Water Tower in PCDP, HFW, RSCC, and Upgrade of Water System in HE</t>
  </si>
  <si>
    <t>Construction of Comfort Room</t>
  </si>
  <si>
    <t>REPAIR &amp; MAINTENANCE BUILDING (AFPREO-322,814.12)</t>
  </si>
  <si>
    <t>Purchase off Base Coarse for barangay @ Dayapan, Ibaan, Batangas</t>
  </si>
  <si>
    <t>PHO-SC-2020-003 PR2020-168 REQUEST FOR QUOTATION FOR THE PROCUREMENT OF IV FLUIDS AND STERILE WATER</t>
  </si>
  <si>
    <t>20DL0229 - ORGANIZATIONAL OUTCOME 2 : PROTECT LIVES AND PROPERTIES AGAINST MAJOR FLOODS, FLOOD MANAGEMENT PROGRAM, CONSTRUCTION/ MAINTENANCE OF FLOOD MITIGATION STRUCTURES AND DRAINAGE SYSTEMS 13. REH</t>
  </si>
  <si>
    <t>PURCHASE OF VARIOUS FORM FOR INVENTORY PURPOSES OF GSO</t>
  </si>
  <si>
    <t>supply and delivery of aircon</t>
  </si>
  <si>
    <t>Request for Quotation for the implementation of School Improvement Plan</t>
  </si>
  <si>
    <t>20DL0228 - ORGANIZATIONAL OUTCOME 2 : PROTECT LIVES AND PROPERTIES AGAINST MAJOR FLOODS, FLOOD MANAGEMENT PROGRAM, CONSTRUCTION/ MAINTENANCE OF FLOOD MITIGATION STRUCTURES AND DRAINAGE SYSTEMS 6. CONS</t>
  </si>
  <si>
    <t>Procurement of Fuels and Lubricants for Use in the College Vehicle and Other Machinery of the College</t>
  </si>
  <si>
    <t>Procurement of Supply &amp; Delivery of Banana Plantlet (rebid)</t>
  </si>
  <si>
    <t>Delivery of labor and materials for the Construction of open canal (Drainage System) of Brgy. Puypuy, Bay, Laguna for their implementation of 20% Economic  Development Fund (C.Y. 2020)</t>
  </si>
  <si>
    <t>Supply, Delivery of Network Devices and Installation Service</t>
  </si>
  <si>
    <t>4PS: 7	MONTH	OFFICE RENTAL COMMERCIAL OFFICE SPACE</t>
  </si>
  <si>
    <t>REPAIR/REHABILITATION OF HANDWASHING FACILITY</t>
  </si>
  <si>
    <t>Rehabilitation of Solar Lights</t>
  </si>
  <si>
    <t>PROCUREMENT OF DRONES &amp; OTHER EQUIPMENT</t>
  </si>
  <si>
    <t>PROCUREMENT OF ICT EQUIPMENT for use in the Preparation of LUDIP</t>
  </si>
  <si>
    <t>Materials for the Construction of Drainage Canal</t>
  </si>
  <si>
    <t>PHO-SC-2020-004 PR2020-175 REQUEST FOR QUOTATION FOR THE PROCUREMENT OF IV FLUIDS</t>
  </si>
  <si>
    <t>REPAIR &amp; MAINTENANCE BUILDING (AFPREO-155,009.35)</t>
  </si>
  <si>
    <t>Furnishing of Construction Materials for the Const. of Lined Canal &amp; Canal Structures of Hibale SRIP</t>
  </si>
  <si>
    <t>Installation Radio Tower and Antenna and Relocation of Radio Station,Sibagat,Agusan del Sur</t>
  </si>
  <si>
    <t>Procurement of various office supplies w/ PR # 814</t>
  </si>
  <si>
    <t>LGU-AL-31-2020 CONSTRUCTION/OPENING OF BARANGAY ROAD WITH RIPRAP BRGY. CADAC-AN ABUYOG, LEYTE</t>
  </si>
  <si>
    <t>Delivery of labor and materials for the Construction of open canal (Drainage System) of Brgy. Masaya, Bay, Laguna for their implementation of 20% Economic  Development Fund (C.Y. 2020)</t>
  </si>
  <si>
    <t>PURCHASE OF CENTRIFUGAL PUMP 2HP</t>
  </si>
  <si>
    <t>PHO-NC-2020-127 PR2020-174 REQUEST FOR QUOTATION FOR THE PROCUREMENT OF CERTIFICATE FOR GALLONERS (11"x14" FRAMES INCLUSIVE OF THE CERTIFICATE)</t>
  </si>
  <si>
    <t>Computer Supplies and Equipment for PWD Printing Services Project</t>
  </si>
  <si>
    <t>GLASS SUPPLY</t>
  </si>
  <si>
    <t>Purchase of Agricultural Chemicals</t>
  </si>
  <si>
    <t>ANNUAL SUBSCRIPTION PROGRAM 2020 - 1ST Quarter -Malabon City Library</t>
  </si>
  <si>
    <t>Construction of 665 x 0.20m thk. Community Access Road</t>
  </si>
  <si>
    <t>PHO-SC-2020-005 PR2020-177 REQUEST FOR QUOTATION FOR THE PROCUREMENT OF DRUGS AND MEDICINES</t>
  </si>
  <si>
    <t>SUPPLY AND DELIVERY OF PREPAID CARD PLAN 500 AND POCKET WIFI TO ATS FACILITIES OF CAAP AREA 6 FOR 12 MONTHS</t>
  </si>
  <si>
    <t>Procurement of Fuels for SB Legislative Office of LGU-Naga</t>
  </si>
  <si>
    <t>Purchase of materials for the prevention of COVID-19</t>
  </si>
  <si>
    <t>Construction of Children's Playground and Installation of Amenities</t>
  </si>
  <si>
    <t>MPS Service and Repair of PDRRMC Loader  JCB 455 ZX</t>
  </si>
  <si>
    <t>Rehabilitation/Improvement of Road at Guiwan</t>
  </si>
  <si>
    <t>Food, Venue and Accommodation for the 3rd Level Training on 2020 CPH in Tagum City</t>
  </si>
  <si>
    <t>Purchase &amp; Delivery of Furniture, Fixtures &amp; Appliances for the Provincial Veterinary Office, 3 Quarantine Checkpoints, Breeding Station &amp; Dairy Production Center</t>
  </si>
  <si>
    <t>Computer Desktop for Budget  Office</t>
  </si>
  <si>
    <t>DOCUMENTATION AND REGISTRATION OF MUNICIPAL CEMETERY INCLUDING SITE DEVELOPMENT PLAN</t>
  </si>
  <si>
    <t>PUROK 5A MULTIPURPOSE CENTER</t>
  </si>
  <si>
    <t>COMPLETION OF CIVIC CENTER</t>
  </si>
  <si>
    <t>Catering Services for the 4th Level Training on 2020 Census of Population and Housing (2020 CPH) - Mun. of New Corella</t>
  </si>
  <si>
    <t>Rehabilitation/Improvement of Curuan Gymnasium at Curuan (Additional)</t>
  </si>
  <si>
    <t>PURCHASE OF SUPPLIES AND MATERIALS TO BE USED DURING RESPONSE OPERATIONS OF CDRRMO</t>
  </si>
  <si>
    <t>Construction (Completion) of Multi-purpose Building</t>
  </si>
  <si>
    <t>Construction of Two (2) Storey Six (6) Classroom School Building at Sapa Dulian Elementary School, Calabasa</t>
  </si>
  <si>
    <t>GENSERV : 12 PCS.- 12 VOLTS BATTERY 11 PLATE ADVANCE -GOOD QUALITY MAINTENANCE FREE</t>
  </si>
  <si>
    <t>Catering Services for the 4th Level Training on 2020 Census of Population and Housing (2020 CPH) - Mun. of Asuncion</t>
  </si>
  <si>
    <t>Contract I.D. No. 20OE0207 - Installation of Road Safety Devices on MC Arthur Bridge &amp; Plaza Lacson, Manila City</t>
  </si>
  <si>
    <t>PHO-NC-2020-128 PR2020-176 REQUEST FOR QUOTATION FOR THE PROCUREMENT OF ANTI-RABIES SERUM AND PURIFIED RABIES VACCINE</t>
  </si>
  <si>
    <t>Purchase of Materials for Construction of Stairway in Hagdan Coast Way, Purok Malipayon, Brgy. Hagdan, Santa Fe, Cebu - Barangayu</t>
  </si>
  <si>
    <t>Construction/Rehabilitation/Improvement of Multi-Purpose Pavement at Kasanyangan (Revised)</t>
  </si>
  <si>
    <t>Repair of Line canal   2nd Posting</t>
  </si>
  <si>
    <t>SUPPLY AND DELIVERY OF MATERIALS FOR REPAIR AND INSTALLATION OF WATER SUPPLY.</t>
  </si>
  <si>
    <t>RFQ No. 20-090 One (1) Lot Supply and Delivery of Various Phenotyping Reagents (Tube Method)</t>
  </si>
  <si>
    <t>BEMO-NC-2020-0342 REQUEST FOR QUOTATION FOR THE PROCUREMENT OF LABOR, MATERIALS, AND EQUIPMENT FOR THE CONSTRUCTION OF NURSERY AND VERMI SHED HOUSES AT BIO-DIVERSITY COMPLEX, ROXAS, BILAR, BOHOL</t>
  </si>
  <si>
    <t>CONSTRUCTION OF FLOATING DRYER (MAO)</t>
  </si>
  <si>
    <t>Purchase of Generator Set to for the use of Municipal Slaughterhouse, Brgy. Pandan, Lambunao, Iloilo</t>
  </si>
  <si>
    <t>Covering of Gymnasium Gable End</t>
  </si>
  <si>
    <t>Procurement of Fuels for Vice Mayor's Office of LGU-Naga</t>
  </si>
  <si>
    <t>CONSTRUCTION OF FLOOD CONTROL at Lucbuban, Salcedo, Ilocos Sur</t>
  </si>
  <si>
    <t>REQUEST FOR QUOTATION Ordinary Plywood for Class Repair and Refurbish</t>
  </si>
  <si>
    <t>PURCHASE OF HEAVY DUTY PAYLOADER EQUIPMENT TO BE USED DURING RESPONSE, CLEARING &amp; DISASTER OPERATIONS OF CDRRMO</t>
  </si>
  <si>
    <t>Construction of Day Care Center at Tigtabon (Revised 2)</t>
  </si>
  <si>
    <t>PROCUREMENT OF IT EQUIPMENT ENGINEERING PULARIS</t>
  </si>
  <si>
    <t>Construction of Waiting Shed with Steel Bench / Improvement of Building (Cluster)</t>
  </si>
  <si>
    <t>PURCHASE OF 15 TELEVISION SETS AS PART OF THE E-LEARNING PROGRAM OF THE DISTRICT FOR THE 15 GRADE 1 CLASSES</t>
  </si>
  <si>
    <t>20CSFN0001 Conduct of Topographic Survey and Hydrographic Survey along Waras and Barit River, Buhi, Iriga City, Nabua, Baao, Camarines Sur</t>
  </si>
  <si>
    <t>PROCUREMENT OF TEN (10) UNITS MOBILE PHONES FOR OFFICE USE</t>
  </si>
  <si>
    <t>Construction/Maintenance of Flood Mitigation Structures and  Drainage Systems – Construction of Slope Protection along  Porac River (Upstream), Valdez, Floridablanca, Pampanga</t>
  </si>
  <si>
    <t>Catering Services for the 4th Level Training on 2020 Census of Population and Housing (2020 CPH) - Mun. of San Isidro.</t>
  </si>
  <si>
    <t>GATE</t>
  </si>
  <si>
    <t>COMPLETION OF SAN RAFAEL HIGH SCHOOL BUILDING (CONSTRUCTION OF COMFORT ROOM), BRGY. SAN RAFAEL III, CITY OF SAN JOSE DEL MONTE, BULACAN</t>
  </si>
  <si>
    <t>Supply and Delivery of Various Laboratory Equipment for Food Processing Nutrition and Dietetics Department</t>
  </si>
  <si>
    <t>PROCUREMENT OF MATERIALS AND EQUIPMENT FOR SCHOOL NETWORK MANAGEMENT</t>
  </si>
  <si>
    <t>Construction of Concrete Tire Path</t>
  </si>
  <si>
    <t>REQUEST FOR QUOTATION- Office Computer, Supplies and Accessories</t>
  </si>
  <si>
    <t>ITB-2020-06-046 Embankment in PCDP Compound</t>
  </si>
  <si>
    <t>PURCHASE OF VARIOUS EQUIPMENTS TO BE USED DURING RESPONSE OPERATIONS OF CDRRMO</t>
  </si>
  <si>
    <t>Installation of Streetlights (Additional) at IBT Divisoria (Revised) [Alternative Mode of Procurement]</t>
  </si>
  <si>
    <t>SUPPLY AND DELIVERY OF HIGH-GAIN LTE WIRELESS BROADBAND INTERNET ROUTER IN PREPARATION FOR ONLINE LEARNING MANAGEMENT SYSTEM</t>
  </si>
  <si>
    <t>Catering Services for the 4th Level Training on 2020 Census of Population and Housing (2020 CPH) - City of Panabo.</t>
  </si>
  <si>
    <t>CONSTRUCTION OF ESWM PROCESSING PLANT PHASE 2</t>
  </si>
  <si>
    <t>Supply and Delivery of Various Furniture and Fixtures for the College of Human Ecology and Food Sciences</t>
  </si>
  <si>
    <t>(2) PROCUREMENT OF CONSULTING SERVICES FOR SUBDIVISION SURVEY OF 247 HECTARES NEW LANDS</t>
  </si>
  <si>
    <t>Catering Services for the 4th Level Training on 2020 Census of Population and Housing (2020 CPH) - Mun. of Talaingod.</t>
  </si>
  <si>
    <t>MPS Service of PDRRMC Backhoe Long Arm XCMG</t>
  </si>
  <si>
    <t>01 pc. G. Driver (Driver Board), etc.</t>
  </si>
  <si>
    <t>RFQ: Computer Set and Printer (PR #20-05-520)</t>
  </si>
  <si>
    <t>20OA0074: Construction of Four (4) Storey, Eight (8) Classroom School Building, Malabon National High School, Malabon City</t>
  </si>
  <si>
    <t>Installation and Rehabilitation of Street Lights</t>
  </si>
  <si>
    <t>Procurement of 2 Sets of Desktop with complete Accessories</t>
  </si>
  <si>
    <t>PURCHASE OF ANTI-RABIES VACCINE FOR THE USE OF OSPITAL NG LUNGSOD NG SAN JOSE DEL MONTE</t>
  </si>
  <si>
    <t>MPS Service of PDRRMC Tractor Head Model A7 420 HP</t>
  </si>
  <si>
    <t>Construction of Open Stage and Comfort Room at Sinunuc Elementary School, Tumalutab (Revised) [Alternative Mode of Procurement]</t>
  </si>
  <si>
    <t>Inang may Gabay at Pagsasanay sa Sakuna ay Maaasahan</t>
  </si>
  <si>
    <t>Supply, Delivery and Installation of Various Furniture and Fixtures for Geographic Information System &amp; Indigenous Crops Laboratory</t>
  </si>
  <si>
    <t>CONCRETING OF FMR SAN VICENTE - AN ANONAS ROAD, BRGY. SAN VICENTE, SAN MANUEL, PANGASINAN</t>
  </si>
  <si>
    <t>PURCHASE OF HIV MOBILE CLINIC FOR THE USE OF HIV –AIDS PROGRAM OF CITY HEALTH OFFICE</t>
  </si>
  <si>
    <t>Procurement of Thermal Scanners for use of DepEd Health Personnel in response to Pandemic COVID-19</t>
  </si>
  <si>
    <t>Construction/Rehabilitation/Improvement of Fence at Zamboanga Central School, SPED Center, Zone I [Alternative Mode of Procurement]</t>
  </si>
  <si>
    <t>PURCHASE OF VARIOUS MEDICAL SUPPLIES AND MATERIALS TO BE USED DURING RESPONSE OPERATIONS OF CDRRMO</t>
  </si>
  <si>
    <t>SUPPLY AND DELIVERY OF PPE,HYGIENE KIT &amp; VITAMINS (MUSLIM Religious Leaders and CSO) -PPDO</t>
  </si>
  <si>
    <t>SUPPLY AND DELIVERY OF PPE,HYGIENE KIT &amp; VITAMINS (ADVOCACY ON SAFETY DRIVING)-PPDO</t>
  </si>
  <si>
    <t>Catering Services for the 4th Level Training on 2020 Census of Population and Housing (2020 CPH)- Mun. of Kapalong.</t>
  </si>
  <si>
    <t>Proposed Concrete Pavement of Access/ Farm to Market Road at Barangay Mananum Daan to Sitio Labas Pagsama, San Isidro, Medina, Misamis Oriewntal</t>
  </si>
  <si>
    <t>Supply and Delivery of Various Office Equipment for the College of Human Ecology and Food Science</t>
  </si>
  <si>
    <t>Invitation to Bid for Contract No. 4AQ-SIP-20-018</t>
  </si>
  <si>
    <t>PURCHASE OF I.V. FLUIDS FOR THE USE OF OSPITAL NG LUNGSOD NG SAN JOSE DEL MONTE</t>
  </si>
  <si>
    <t>PROCUREMENT OF  BUSINESS PLATES  AND TRICYCLE STICKERS</t>
  </si>
  <si>
    <t>Catering Services for the 4th Level Training on 2020 Census of Population and Housing (2020 CPH) - Mun. of Sto. Tomas.</t>
  </si>
  <si>
    <t>Invitation to Bid for Contract No. 4AQ-LPA-20-019B</t>
  </si>
  <si>
    <t>Various Office and School Supplies</t>
  </si>
  <si>
    <t>PURCHASE OF 3 IN 1 PRINTER FOR THE EBEIS ROOM OF CONCEPCION CENTRAL SCHOOL</t>
  </si>
  <si>
    <t>Construction of Solar Street Lights</t>
  </si>
  <si>
    <t>PURCHASE OF LABORATORY REAGENT FOR THE USE OF OSPITAL NG LUNGSOD NG SAN JOSE DEL MONTE</t>
  </si>
  <si>
    <t>Food Stuff (meals and snacks)</t>
  </si>
  <si>
    <t>SUPPLY AND DELIVERY OF FUEL (DIESEL AND GASOLINE) FOR PNP PATROL VEHICLES</t>
  </si>
  <si>
    <t>PROCUREMENT OF MEDICAL SUPPLIES AND DENTAL EQUIPMENT</t>
  </si>
  <si>
    <t>Catering Services for the 4th Level Training on 2020 Census of Population and Housing (2020 CPH) - Mun. of Carmen.</t>
  </si>
  <si>
    <t>Supply and Delivery of Rescue Equipments</t>
  </si>
  <si>
    <t>Construction of Fence at Taloptap Elementary School, Vitali [Alternative Mode of Procurement]</t>
  </si>
  <si>
    <t>RFQ: Janitorial Supplies (PR #20-06-563)</t>
  </si>
  <si>
    <t>Supply and Delivery of Various I.T. and Office Equipment for Geographic Information System and Indigenous Crops Laboratory</t>
  </si>
  <si>
    <t>Electrical Supplies for Rewiring of Mun.Line Electrical Facilities of LGU</t>
  </si>
  <si>
    <t>REHABILITATION OF STAGE AT SAN ROQUE ELEMENTARY SCHOOL BARANGAY SAN ROQUE</t>
  </si>
  <si>
    <t>CTG Tracing Paper (OB-Gyn)</t>
  </si>
  <si>
    <t>Procurement of Knapsack Sprayer for use of selected Schools in response to Pandemic COVID-19</t>
  </si>
  <si>
    <t>20OA0075: Construction of Four (4) Storey Eight (8) Classroom School Building, Santulan Elementary School, Malabon City</t>
  </si>
  <si>
    <t>PURCHASE OF VARIOUS MEDICINES FOR THE USE OF CITY HEALTH CENTERS</t>
  </si>
  <si>
    <t>20-06-217 Procurement of Various Drugs and Medicines</t>
  </si>
  <si>
    <t>COMPLETION OF MULAWIN HIGH SCHOOL BUILDING, (CONSTRUCTION OF COMFORT ROOM), BRGY. FRANCISCO HOMES- MULAWIN, CITY OF SAN JOSE DEL MONTE, BULACAN</t>
  </si>
  <si>
    <t>Catering Services for the 4th Level Training on 2020 Census of Population and Housing (2020 CPH) - Mun. of B.E. Dujali.</t>
  </si>
  <si>
    <t>PURCHASE OF VARIOUS MEDICINES</t>
  </si>
  <si>
    <t>RFQ</t>
  </si>
  <si>
    <t>Supply and Delivery of Various Laboratory Equipment for the College of Human Ecology and Food Sciences - Food Technology Department</t>
  </si>
  <si>
    <t>Supply of labor, chemicals, equipment incl. the technical supervision for the disinfection services of LLDA bldg.</t>
  </si>
  <si>
    <t>SUPPLY AND DELIVERY OF TIRES FOR LGU VEHICLES</t>
  </si>
  <si>
    <t>Supply and Delivery of CM for the improvement of Pangawan-Balangabang and Tidang Village-Amelong Road, Kayapa NV</t>
  </si>
  <si>
    <t>ROAD CONCRETING, Purok Aquarius, Talisay, Santa Fe, Cebu - Municipal</t>
  </si>
  <si>
    <t>SUPPLY AND DELIVERY OF CORN SEEDS (HYBRID) FOR CORN PRODUCTION PROGRAM</t>
  </si>
  <si>
    <t>Procurement of Computer and Printer w/ PR # 848</t>
  </si>
  <si>
    <t>PURCHASE OF ANTIBACTERIAL DRUGS AND MEDICINES FOR THE USE OF OSPITAL NG LUNGSOD NG SAN JOSE DEL MONTE</t>
  </si>
  <si>
    <t>PROPOSED TEMPORARY REROUTING OF PIPELINE BRIDGE CROSSING DUE TO DPWH BRIDGE WIDENING AT LUNAO BRIDGE, BARANGAY  LUNAO, GINGOOG CITY</t>
  </si>
  <si>
    <t>RFQ for PR 2020-06-0062 (Aircon and Water Dispenser)</t>
  </si>
  <si>
    <t>Launching of Kabataan Kontra Droga at Terorismo (KKDAT)</t>
  </si>
  <si>
    <t>SUPPLY AND DELIVERY OF PPE,HYGIENE KIT &amp; VITAMINS (Support of AFP) -PPDO</t>
  </si>
  <si>
    <t>Security Services for Bataan General Hospital, City of Balanga, Bataan for the period covered from August to December 2020</t>
  </si>
  <si>
    <t>Purchase of Disinfection sprayer for school buildings and facilities</t>
  </si>
  <si>
    <t>PROCUREMENT OF MAINTENANCE MATERIALS FOR THE SECOND QUARTER- 2020</t>
  </si>
  <si>
    <t>PURCHASE OF RAIN BOOTS AND RAIN COATS</t>
  </si>
  <si>
    <t>Contract ID: 20GOE0014 - Procurement of Construction Materials to be used for Various Routine Maintenance Activities within NMDEO Jurisdiction</t>
  </si>
  <si>
    <t>Site Development at Talisayan National High School, Talisayan</t>
  </si>
  <si>
    <t>SUPPLY AND DELIVERY OF IT EQUIPMENTS (COMPUTER, LAPTOP, PRINTER) FOR VARIOUS OFFICES</t>
  </si>
  <si>
    <t>Construction of Covered Court in Tabao-Ambil</t>
  </si>
  <si>
    <t>Laboratory Supplies</t>
  </si>
  <si>
    <t>CONSTRUCTION OF GUARDHOUSE IN SIMACOLONG</t>
  </si>
  <si>
    <t>Catering Services for the 4th Level Training on 2020 Census of Population and Housing (2020 CPH) - City of Tagum</t>
  </si>
  <si>
    <t>PURCHASE OF ONE UNIT FLAT TV</t>
  </si>
  <si>
    <t>PURCHASE OF EMERGENCY VEHICLE TO BE USED DURING RESPONSE OPERATIONS OF CDRRMO</t>
  </si>
  <si>
    <t>Catering Services for the 4th Level Training on 2020 Census of Population and Housing (2020 CPH) - Samal District, Is. Garden City of Samal.</t>
  </si>
  <si>
    <t>Catering Services for the 4th Level Training on 2020 Census of Population and Housing (2020 CPH) - Babak District, Is. Garden City of Samal.</t>
  </si>
  <si>
    <t>Concreting of Road at Sitio Hanapi Drive, Kasanyangan, (Revised) [Alternative Mode of Procurement]</t>
  </si>
  <si>
    <t>Supply and Delivery of Furnitures and Fixtures at the Pre-Fabricated Office and Warehouse</t>
  </si>
  <si>
    <t>ROAD CONCRETING, Sitio Pasil, Langub, Santa Fe, Cebu - Municipal</t>
  </si>
  <si>
    <t>PURCHASE OF ONE UNIT AIR CONDITIONED</t>
  </si>
  <si>
    <t>Construction of Covered Walk at Don Gregorio Evangelista Memorial School, Sta. Catalina [Alternative Mode of Procurement]</t>
  </si>
  <si>
    <t>Construction Materials for July 2020</t>
  </si>
  <si>
    <t>Improvement of Slope Protection at Sta. Maria</t>
  </si>
  <si>
    <t>ROAD CONCRETING, Sitio Sampaguita, Okoy, Santa Fe, Cebu - Municipal</t>
  </si>
  <si>
    <t>SUPPLY AND DELIVERY OF THREE (3) UNITS SINGLE MOTORCYCLE W/ ACCESSORIES FOR VARIOUS OFFICES</t>
  </si>
  <si>
    <t>Information Technology Equipment</t>
  </si>
  <si>
    <t>MAINT 2020-06-0021 - Purchase of Materials for the Supply and Delivery of fabricated Stainless Steel Signage of Masbate 3rd DEO</t>
  </si>
  <si>
    <t>REQUEST FOR QUOTATION - Sound System for Extension Services Activities</t>
  </si>
  <si>
    <t>Supply and Delivery of Fertilizer</t>
  </si>
  <si>
    <t>ITB NO. (GDS)  2019-06-015 PROCUREMENT OF COMPACT CT SCANNER, Province of Eastern Samar</t>
  </si>
  <si>
    <t>Sound System-SB-Legislative</t>
  </si>
  <si>
    <t>1 unit Vaccine Refrigerator</t>
  </si>
  <si>
    <t>Procurement of One Unit Brand New Pick-Up Type Vehicle</t>
  </si>
  <si>
    <t>SUPPLY AND DELIVERY OF HARDWARE MATERIALS FOR THE CONSTRUCTION OF BRGY. HEALTH STATION BUILDING</t>
  </si>
  <si>
    <t>PREVENTIVE MAINTENANCE AND CALIBRATION FOR THE FOLLOWING MEDICAL EQUIPMENT FOR THE YEAR 2020</t>
  </si>
  <si>
    <t>Construction of Barangay Road at Brgy. Doña Brigida, Tolosa, Leyte</t>
  </si>
  <si>
    <t>20GME0047 –	Lease of One (1) Unit Service Vehicle for Eleven (11)  days for inspection/supervision of infrastructure projects within Sarangani Engineering District for the period of July 16-31, 2020,</t>
  </si>
  <si>
    <t>Security Services for Provincial Government of Bataan for the period	covered from August to December 2020</t>
  </si>
  <si>
    <t>Office Equipment Supplies and Consumables (Ink Epson)</t>
  </si>
  <si>
    <t>PURCHASE OF VARIOUS NUTRI-MILK/ OATS PRODUCTS FOR THE FEEDING SUPPLEMENTATION PROGRAM OF THE CITY HEALTH OFFICE</t>
  </si>
  <si>
    <t>SUPPLY AND DELIVERY OF AIR CONDITIONING UNITS (FLOOR MOUNTED AND WINDOW-TYPE) FOR VARIOUS OFFICES</t>
  </si>
  <si>
    <t>Procurement of One (1) Lot Information and Communications Technology (ICT) Equipment for National Police Clearance System- PNPTR-DIDM-DP-20-06</t>
  </si>
  <si>
    <t>Refurbished Photocopying Machine 12 Units for Siniloan Elementary School</t>
  </si>
  <si>
    <t>PRDP-RPCOXI-SIC-013-2020 Hiring of Personnel Finance Analyst I</t>
  </si>
  <si>
    <t>ROAD CONCRETING, Sitio Kalambuan, Poblacion, Santa Fe, Cebu - Municipal</t>
  </si>
  <si>
    <t>GENERAL ADMINISTRATION AND SUPPORT: OFFICE SUPPLIES</t>
  </si>
  <si>
    <t>Catering Services for the 4th Level Training on 2020 Census of Population and Housing (2020 CPH )- Kaputian District, Is. Garden City of Samal.</t>
  </si>
  <si>
    <t>Improvement of Mambanuoy Road,Guincalaban at Brgy. Guincalaban, Tayasan, Neg. Or.</t>
  </si>
  <si>
    <t>SUPPLY AND DELIVERY OF MATERIALS FOR THE CONSTRUCTION OF COAST GUARD AUXILIARY OFFICE AT GREEN ISLAND</t>
  </si>
  <si>
    <t>REPAIR/IMPROVEMENT OF LNU SCHOOL CLASS ROOM @ BRGY. CROSSING, SAN ISIDRO, LEYTE</t>
  </si>
  <si>
    <t>Repair &amp; Maintenance - MAchinery &amp; Equipment (Agricultural &amp; Fishery)</t>
  </si>
  <si>
    <t>Procurement of Water Dispenser</t>
  </si>
  <si>
    <t>PROCUREMENT OF HEALTH AND SAFETY MATERIALS AND EQUIPMENT</t>
  </si>
  <si>
    <t>Base Radio and Antenna Tower</t>
  </si>
  <si>
    <t>Procurement of VAWC Table</t>
  </si>
  <si>
    <t>CONCRETING OF LOCAL ROAD PHASE 11 BARANGAY BALIUAG VIEJO</t>
  </si>
  <si>
    <t>Security Services for Capitol Compound for the period covered from August to December 2020, Bataan</t>
  </si>
  <si>
    <t>IB No. 2006-310 Proc. of Goods (Supply and Installation of Close Circuit Television Security)(Rebid)</t>
  </si>
  <si>
    <t>CONSTRUCTION OF MULTI-PURPOSE CENTER – PUROK 11-C, SAN MIGUEL, TAGUM CITY</t>
  </si>
  <si>
    <t>Procurement of Laptop &amp; Desktop (Set) Computers - 2nd post</t>
  </si>
  <si>
    <t>Construction of Drainage Canal, Cabittaogan, SCIS</t>
  </si>
  <si>
    <t>SUPPLY &amp; DELIVERY OF ICT EQUIPMENT FOR DepEd</t>
  </si>
  <si>
    <t>CONSTRUCTION OF TWO LAYER OPEN CANAL</t>
  </si>
  <si>
    <t>cluster L</t>
  </si>
  <si>
    <t>S &amp; D of Dump Truck (PDRRMO)</t>
  </si>
  <si>
    <t>SUPPLY &amp; DELIVERY OF DRUGS AND MEDICINES (MHO)</t>
  </si>
  <si>
    <t>SUPPLY AND DELIVERY OF 2 UNITS HAULING TRUCK TO BE USED IN EXTENSION SERVICES UNDER PLANNING DIVISION FOR CY 2020</t>
  </si>
  <si>
    <t>ASF 2020-06-039 - Supply and delivery of Pipettor/Pipette Controller for viral vaccine production laboratory use</t>
  </si>
  <si>
    <t>FOOD COMMODITIES</t>
  </si>
  <si>
    <t>Installation of Artesian Well</t>
  </si>
  <si>
    <t>Purchase &amp; Delivery of Office Supplies &amp; Consumables for the Office of SPM Constante T. Oandasan</t>
  </si>
  <si>
    <t>REI_20CSE011: Consulting Services for the Conduct of Environmental Impact Assessment (EIA), Preparation of Environmental Impact Assessment Statement (EIS) and Application of Environmental Compliance C</t>
  </si>
  <si>
    <t>PR No. 6.047 PR AGENCY FOR TOURISM PROMOTIONS BOARD</t>
  </si>
  <si>
    <t>PROCUREMENT OF THE SUPPLY OF LABOR AND MATERIALS FOR THE PREVENTIVE MAINTENANCE OF SIX (6) UNITS OF 20TR PACKAGED TYPED CENTRALIZED AIRCON AT THE GROUND, 6TH, 7TH, 8TH, 9TH AND 12TH FLOOR OF THE NDC B</t>
  </si>
  <si>
    <t>SUPPLY AND DELIVERY OF ONE (1) PACKAGE TRUCK WITH SOLID WASTE MACHINERIES (SOLID WASTE ON WHEELS) 6 WHEELER</t>
  </si>
  <si>
    <t>Supply and Delivery of Vehicle Parts and Accessories for Backhoe/Loader Case 580K F19-137</t>
  </si>
  <si>
    <t>RFQ CRYO-STORAGE RACK IN HINGED BOX</t>
  </si>
  <si>
    <t>PURCHASE AND DELIVERY OF 810 SETS OF BOOKLETS USED FOR PROGRAM IMPLEMENTATION FOR DIETARY SUPPLEMENTATION  FOR PREGNANT WOMEN IN ECCD F1k PROGRAM ------Php 1,215,000.00</t>
  </si>
  <si>
    <t>PROCUREMENT OF BRAND NEW MOTORCYCLE FOR MONITORING, INSPECTION, AND COLLECTION OF GARBAGE OF STREETSWEEPERS</t>
  </si>
  <si>
    <t>Other Supplies and Materials Expenses</t>
  </si>
  <si>
    <t>Construction of Pathway W/ Concrete Wall on Bothsides</t>
  </si>
  <si>
    <t>CONSTRUCTION OF CONCRETE PATHWAY AT ZONE 1 BRGY. BALIUAG VIEJO</t>
  </si>
  <si>
    <t>FLASH DRIVE</t>
  </si>
  <si>
    <t>RENOVATION AND REPAIR WORKS AT LIMAY ELEMENTARY SCHOOL</t>
  </si>
  <si>
    <t>Construction of Day Care Center (Phase 1)</t>
  </si>
  <si>
    <t>MAINTENANCE OF TANOD OUTPOST</t>
  </si>
  <si>
    <t>CONST. OF 1 UNIT - 4 SEATER COMFORT ROOM</t>
  </si>
  <si>
    <t>PURCHASE OF PHOTOCOPYING MACHINE FOR THE SCHOOL OF INDUSTRIAL TECHNOLOGY</t>
  </si>
  <si>
    <t>20GME0049 –	Lease of One (1) Unit Service Vehicle for Nine (09)  days for inspection/supervision of infrastructure projects within Sarangani Engineering District for the period of August 16-31, 2020,</t>
  </si>
  <si>
    <t>DILP PROJECT PRODUCTION OF MEAT &amp; EGGS OF NATIVE CHICKEN AND DUCK (LIVELIHOOD ENHANCEMENT FOR BARANGAY BOBOK-BISAL)</t>
  </si>
  <si>
    <t>Office Supplies for PESO (2nd Quarter 2020).</t>
  </si>
  <si>
    <t>Procurement of Vehicles Parts And Accessories</t>
  </si>
  <si>
    <t>Purchase of Office Supplies and Consumables to be used in LGU- Baco for 2nd Quarter of 2020</t>
  </si>
  <si>
    <t>ITB No. 20-057  ONE (1) LOT SUPPLY AND DELIVERY OF LABOR, TOOLS, EQUIPMENT, MATERIALS, CONSUMABLES, SUPERVISION AND TECHNICAL EXPERTISE FOR THE CLEAN ROOM VALIDATION AND REPLACEMENT OF HIGH EFFICIENCY</t>
  </si>
  <si>
    <t>Construction of Fence at Dita Elementary School, Dita [Alternative Mode of Procurement]</t>
  </si>
  <si>
    <t>REQUEST FOR QUOTATION FOR VARIOUS OFFICE SUPPLIES</t>
  </si>
  <si>
    <t>RE-PAINTING OF BANTAY BAYAN HEADQUARTERS AT BRGY. NIUGAN CITY OF CABUYAO,LAGUNA</t>
  </si>
  <si>
    <t>Supply,Delivery,Installation of 2 units Split Type Aircon</t>
  </si>
  <si>
    <t>Printing of DA RFU5 ANNUAL REPORT 2019 FOR DISTRIBUTION TO TARGET CLIENT</t>
  </si>
  <si>
    <t>CONSTRUCTION OF 2-STOREY SCHOOL BUILDING</t>
  </si>
  <si>
    <t>Fencing of Garbage Dump Site</t>
  </si>
  <si>
    <t>Construction of Slope Protection at Candido, Tetuan [Alternative Mode of Procurement</t>
  </si>
  <si>
    <t>Lot1-Purchase of 29,350 liters Diesel fuel for Service Vehicles &amp; equipment (2nd quarter of 2020) and Lot2-Purchase of 23,500 liters Diesel fuel for Heavy Equipment</t>
  </si>
  <si>
    <t>Contract ID: 20GOE0015 - Procurement of Tools and Materials to be used in Routine Maintenance Activities within NMDEO Jurisdiction</t>
  </si>
  <si>
    <t>ROAD CONCRETING, Sitio Barjes, Hilantagaan, Santa Fe, Cebu - Municipal</t>
  </si>
  <si>
    <t>20GG00020 - Procurement of Diesel Fuel for use of Various Service Vehicle and Equipment of DPWH Regional Office VI, Iloilo City</t>
  </si>
  <si>
    <t>CONSTRUCTION OF MULTI-PURPOSE CENTER – PUROK 3-B, SAN MIGUEL, TAGUM CITY</t>
  </si>
  <si>
    <t>Installation of Handwashing Facilities</t>
  </si>
  <si>
    <t>PANANDALIANG SAYA, SAKIT ANG DALA</t>
  </si>
  <si>
    <t>20GME0050 –	Lease of One (1) Unit Service Vehicle for Eleven (11)  days for inspection/supervision of infrastructure projects within Sarangani Engineering District for the period of September 1-15, 20</t>
  </si>
  <si>
    <t>RFQ - Office Equipment</t>
  </si>
  <si>
    <t>IT SUPPLIES AND DELIVERY</t>
  </si>
  <si>
    <t>Public Bidding re: Procurement of Laptops and Printers</t>
  </si>
  <si>
    <t>Contract ID: 20GOE0016 - Procurement of Traffic Paint Materials to be used in Routine Maintenance Activities within NMDEO Jurisdiction</t>
  </si>
  <si>
    <t>20DQ0129 - Local Program - Construction / Repair / Rehabilitation / Improvement of Various Infrastructure including Local Projects – Buildings and Other Structures – Multipurpose / Facilities - Constr</t>
  </si>
  <si>
    <t>SUPPLY &amp; DELIVERY OF TIRES</t>
  </si>
  <si>
    <t>IB NO. 07-2020- PROCUREMENT OF MEDICAL EQUIPMENT FOR NICU (CARE FOR SMALL BABIES)</t>
  </si>
  <si>
    <t>20GME0048 –	Lease of One (1) Unit Service Vehicle for Ten (10)  days for inspection/supervision of infrastructure  projects within Sarangani Engineering District for  the period of August 1-15, 2020,</t>
  </si>
  <si>
    <t>PROCUREMENT OF MATERIALS FOR WATER SYSTEM DEVELOPMENT (RE-BID)</t>
  </si>
  <si>
    <t>REPAIR AND MAINTENANCE OF CLASSROOM</t>
  </si>
  <si>
    <t>Supply and Delivery of Janitorial Supplies</t>
  </si>
  <si>
    <t>Construction of Cataraan Farm to Market Road at Brgy. Guincalaban, Tayasan, Neg. Or.</t>
  </si>
  <si>
    <t>REHABILITATION AND IMPROVEMENT OF WATER SUPPLY DISTRIBUTION SYSTEM, BRGY. PALDIT, SISON, PANGASINAN</t>
  </si>
  <si>
    <t>Senior Citizen's Office Enhancement Program</t>
  </si>
  <si>
    <t>Lot1-Purchase of medical &amp; laboratory supplies for the 1st &amp;  2nd  quarter</t>
  </si>
  <si>
    <t>20GME0053 –	Lease of One (1) Unit Service Vehicle for Eleven (11)  days for inspection/supervision of infrastructure projects within Sarangani Engineering District for the period of October 16-31, 202</t>
  </si>
  <si>
    <t>Invitation to Bid for Contract No. 4AQ-LPQ-20-020SP</t>
  </si>
  <si>
    <t>CONSTRUCTION OF NURSES QUARTER AND DOCTOR'S QUARTER</t>
  </si>
  <si>
    <t>20GME0054 –	Lease of One (1) Unit Service Vehicle for Nine (09)  days for inspection/supervision of infrastructure projects within Sarangani Engineering District for the period of November 1-15, 2020,</t>
  </si>
  <si>
    <t>20GG00021 - Procurement of 24-Channel Seismograph for use in the Planning and Design Division, DPWH Regional Office VI, Iloilo City</t>
  </si>
  <si>
    <t>TPB-PR 2020.06.193 SERVICES OF A TOUR OPERATOR (BAGUIO CITY AND BENGUET)</t>
  </si>
  <si>
    <t>20GME0051 –	Lease of One (1) Unit Service Vehicle for Eleven (11)  days for inspection/supervision of infrastructure projects within Sarangani Engineering District for the period of September 16-30, 2</t>
  </si>
  <si>
    <t>Construction of Star Women's Building @ Sto. Nino, Talaingod, DDN-</t>
  </si>
  <si>
    <t>ITB-2020-017 - Supply of Labor and Materials for the Rehabilitation of APDC Toilets and Septic Tank, Drainages System and Water Lines at APDS, Marulas Valenzuela City</t>
  </si>
  <si>
    <t>Construction of Fence at Taguiti Elementary School, Taguiti [Alternative Mode of Procurement]</t>
  </si>
  <si>
    <t>20OA0076: Construction of Four (4) Storey Eight (8) Classroom School Building San Roque Elementary School, Navotas City</t>
  </si>
  <si>
    <t>20GME0052 –	Lease of One (1) Unit Service Vehicle for Eleven (11)  days for inspection/supervision of infrastructure projects within Sarangani Engineering District for the period of October 1-15, 2020</t>
  </si>
  <si>
    <t>Rental of Service Vehicle for Bi-ethanol Project</t>
  </si>
  <si>
    <t>Public Bidding re: Procurement of Anti-Virus Software (AVS) Licenses Renewal for 1,500 Workstations  at the CSC Central and Regional Offices</t>
  </si>
  <si>
    <t>SUPPLY &amp; DELIVERY OF PHOTOCOPIER</t>
  </si>
  <si>
    <t>Hog Fattening</t>
  </si>
  <si>
    <t>NOTICE OF AWARD, PR 289-20</t>
  </si>
  <si>
    <t>PROCUREMENT FOR FOOD SUPPLY</t>
  </si>
  <si>
    <t>SUPPLY AND DELIVERY OF DRUGS AND MEDICINES FOR  CALOOCAN CITY MEDICAL CENTER</t>
  </si>
  <si>
    <t>CONSTRUCTION OF KITCHEN IN THE MUNICIPAL EVACUATION CENTER (SOCIAL CENTER) WITH NECESSARY FIXTURES</t>
  </si>
  <si>
    <t>Procurement of One (1) Lot Information and Communications Technology (ICT) Equipment for the PNP DIDM (PNPTR-DIDM-DP-20-05)</t>
  </si>
  <si>
    <t>Construction and Rehabilitation of Drainage Canal @ Piggery Area, Sto. Nino, Talaingod, DDN</t>
  </si>
  <si>
    <t>Construction of Fence at Cadalagan Elementary School, La Paz (Revised) [Alternative Mode of Procurement]</t>
  </si>
  <si>
    <t>Invitation to Bid for the Procurement of Various Water Meters, Class B and Materials for New Service Connections</t>
  </si>
  <si>
    <t>Food Assistance And other Relief Goods</t>
  </si>
  <si>
    <t xml:space="preserve">20GME0056 –	Lease of One (1) Unit Service Vehicle for Ten (10)  days for inspection/supervision of infrastructure projects within Sarangani Engineering District for the period of December 1-15, 2020, </t>
  </si>
  <si>
    <t>Office supplies and office consumables</t>
  </si>
  <si>
    <t>20GME0057 –	Lease of One (1) Unit Service Vehicle for Nine (09)  days for inspection/supervision of infrastructure projects within Sarangani Engineering District for the period of December 16-31, 2020</t>
  </si>
  <si>
    <t>Purchase of Window Type Aircon</t>
  </si>
  <si>
    <t>REPAIR AND MAINTENANCE OF WATER SUPPLY</t>
  </si>
  <si>
    <t>Oral Health/Dental supplies</t>
  </si>
  <si>
    <t>Construction of Fence at Dulian Bunguiao Elementary School, Dulian Bunguiao [Alternative Mode of Procurement]</t>
  </si>
  <si>
    <t>Supply and Delivery Purchase of Supplies &amp; Materials for CONCRETING OF FARM TO MARKET ROAD (SITIO BALUGUINAN)</t>
  </si>
  <si>
    <t>DRUGS AND MEDICINES EXPENSES (FIRST QUARTER)</t>
  </si>
  <si>
    <t>Construction Materials (Road Rehabilitation-From Sitio Kaylawan, Sto. Nino and Central Baugan, Palma Gil, Talaingod, DDN)</t>
  </si>
  <si>
    <t>Public Bidding re: Procurement of CSC Central Office Primary Internet Services Leased Line</t>
  </si>
  <si>
    <t>PURCHASE OF PROPERTY, PLANT &amp; EQUIPMENT (PPE), SEMI-EXPENDABLE EQUIPMENT (ICT EQUIPMENT) AND FURNITURE AND FIXTURES TO BE USED BY VARIOUS OFFICES/PROGRAMS OF DSWD FO III FOR THE 1ST SEMESTER OF 2020</t>
  </si>
  <si>
    <t>20GME0046 - Supply &amp; Delivery of Vehicle Parts for use of  Service Vehicle LAA 7982 assigned at 	Construction Section, Sarangani Province</t>
  </si>
  <si>
    <t>Contract ID: 20GOE0017 - Procurement of Materials to be used for the Repair / Replacement of Missing Catchbasins and Circular Manholes along National Roads within NMDEO Jurisdiction</t>
  </si>
  <si>
    <t>Procurement of Medical Supplies, DepEd (for Various School Clinic), Baybay City, Leyte</t>
  </si>
  <si>
    <t>PROCUREMENT OF VARIOUS MATERIALS FOR THE INSTALLATION OF NEW WATER SUPPLY FROM WATER SOFTENER TO I.M., HMOD AND FOR CONDENSER &amp; COOLING TOWER OF PFDA-ZFPC</t>
  </si>
  <si>
    <t>Provision Of Runway Markers And Markings At Bulan Airport – 2nd SVP</t>
  </si>
  <si>
    <t>20GME0059 - Supply &amp; Delivery of Consumables for use of  Construction Section, Sarangani District  Engineering Office Alabel, Sarangani Province</t>
  </si>
  <si>
    <t>Supply and delivery of Chicken for livelihood assistance (PR 1341)</t>
  </si>
  <si>
    <t>Purchase of 2 units Computer Desktop Branded w/ complete package. For City Civil Registrar’s Office Use.</t>
  </si>
  <si>
    <t>CONCRETING OF SABARICOS STREET</t>
  </si>
  <si>
    <t>GO-FIT SK</t>
  </si>
  <si>
    <t>Concreting of Barangay Road at Brgy. Sampaloc 2, Sariaya, Quezon</t>
  </si>
  <si>
    <t>PURCHASE OF UTENSILS AND VARIOUS ACCESSORIES UTILIZED FOR ISOLATION CENTER</t>
  </si>
  <si>
    <t>PURCHASE OF TOOLS, PPE, HANDHELD RADIOS AND OTHER COMMUNICATION EQUIPMENT</t>
  </si>
  <si>
    <t>1 unit Scanner, A5 to A3, 11 x 17, photocopy, print with Pedestral/Table and other items for use in the City Assesor's Office/City Assesors Office</t>
  </si>
  <si>
    <t>Contract ID: 20GOE0020 - Procurement of Lubricants, Welding Alloys, Mechanical Repair Sealants and Cleaners to be used in Maintenance Fabrication Works, Equipment Repair and Mechanical Maintenance Act</t>
  </si>
  <si>
    <t>REFURBISHING OF CONTAINERS FOR CUSTOMER CARE CENTER</t>
  </si>
  <si>
    <t>Supply and Delivering of Materials for the Improvement of Waterworks System</t>
  </si>
  <si>
    <t>Supply &amp; Delivery of Food Packs &amp; Hygiene Kits o fthe City Disaster Risk Reduction Office as Welfare Goods for Prepositioning in Ormoc City, CDRRMO, Ormoc City</t>
  </si>
  <si>
    <t>Purchase and delivery of Personal Protective Equipment - Face Shield to be distributed to frontliners</t>
  </si>
  <si>
    <t>Contract ID: 20GOE0019 - Uniform Requirement for Roadside Maintenance Workers of the District</t>
  </si>
  <si>
    <t>20FJ0029 - Construction of One(1) Unit One(1) Storey One(1) Classroom School Building at Bagumbayan ES, Cataingan, Masbate</t>
  </si>
  <si>
    <t>Improvement of Farm-to-Market Road at Busay (Revised) [Alternative Mode of Procurement]</t>
  </si>
  <si>
    <t>Bidding for the Supply &amp; Delivery of Spare Parts &amp; Lubricants for the Repair &amp; Maintenance of Municipal Vehicle &amp; Heavy Equipments</t>
  </si>
  <si>
    <t>Contract ID: 20GOE0022 - Procurement of Supply and Delivery of Materials for Road Safety – Fixation of Concrete Barriers at Del Pan Bridge and Fly-Over</t>
  </si>
  <si>
    <t>FABRICATION - FOOD LANDING COUNTER</t>
  </si>
  <si>
    <t>Supply and Delivery of aggregates for the Construction/Expansion of VF Gustilo CIP</t>
  </si>
  <si>
    <t>2 units All in one Computer...</t>
  </si>
  <si>
    <t>PURCHASE OF 10 UNITS CELLPHONE &amp; 10 UNITS LAPTOP</t>
  </si>
  <si>
    <t>Contract ID: 20GOE0021 - Procurement of Painting Materials to be used in Routine Maintenance Activities within NMDEO Jurisdiction</t>
  </si>
  <si>
    <t>Provision Of Runway Markers And Markings At Bacon Airport – 2nd SVP</t>
  </si>
  <si>
    <t>2020-06-0168  Supply and delivery of materials for the for use in the painting/repainting activities along Kapalong-Talaingod-Valencia and Jct. SH Aglayan-Zamboanguita road section</t>
  </si>
  <si>
    <t>Procurement of Office Equipment/Paraphernalia, DepEd )City Division Office), Baybay City,Leyte</t>
  </si>
  <si>
    <t>FOR FIELD OFFICE CLEANING SUPPLIES</t>
  </si>
  <si>
    <t>Labor and Materials for the Construction of Public Toilets at New Barrio, Calulut in the City of San Fernando, Pampanga</t>
  </si>
  <si>
    <t>Purchase &amp; Delivery of Various Medical Supplies for DCMMH (Re-bid)</t>
  </si>
  <si>
    <t>Opening of sitio Boundary to sitio Pasto Road, Balanac, Ligao City</t>
  </si>
  <si>
    <t>20FJ0030 - Construction of One(1) Unit One(1) Storey One(1) Classroom School Building at San Isidro Elementary School, Cataingan, Masbate</t>
  </si>
  <si>
    <t>REHABILITATION OF MUNICIPAL ROAD (RIZAL STREET)</t>
  </si>
  <si>
    <t>FOR REPAIR OF DEFECTIVE WATER PIPELINE LEAKAGE AT SUGBONGCOGON RESERVOIR	GSD J-20-308</t>
  </si>
  <si>
    <t>Supply of services in the Structural Design and Analysis...</t>
  </si>
  <si>
    <t>Supply and Delivery of Brand New 4 x 4 wheel Drive Automatic Transmission</t>
  </si>
  <si>
    <t>SUPPLYING VARIOUS ICT TOOLS AND EQUIPMENT</t>
  </si>
  <si>
    <t>SUPPLY AND DELIVERY OF TECATHERAPY MACHINE FOR  CALOOCAN CITY MEDICAL CENTER</t>
  </si>
  <si>
    <t>Construction of Line Canal @ Barangay. Poblacion 6, Sariaya, Quezon</t>
  </si>
  <si>
    <t>Supply &amp; Delivery of Printing Supplies for Budget Office</t>
  </si>
  <si>
    <t>Supply and deliver of office cartridges (PR 453)</t>
  </si>
  <si>
    <t>SUPPLY AND DELIVERY OF HIGH SPEED BLACK INKJET PRINTING MACHINES  FOR DIVISION OF CITY SCHOOLS</t>
  </si>
  <si>
    <t>Expenses to be used for the virtual workshop and sports clinic 2020</t>
  </si>
  <si>
    <t>Provision and Installation</t>
  </si>
  <si>
    <t>Procurement of Agricultural Supplies, LGU-CAO, Baybay City, Leyte</t>
  </si>
  <si>
    <t>Request for Quotation - COMPUTER SUPPLIES FOR THE SECOND QUARTER OF Y2020 - HBC &amp; OVP</t>
  </si>
  <si>
    <t>Rebidding of Construction of Multi-Purpose Building with Storage Room and Two Public Comfort Room at Brgy. Tumbaga 1, Sariaya, Quezon</t>
  </si>
  <si>
    <t>Improvement of Multi-Purpose Hall located at Barangay Jona, Tubungan, Iloilo</t>
  </si>
  <si>
    <t>SUPPLY OF LABOR AND MATERIALS FOR THE CONSTRUCTION OF ATM BOOTH (LGU AJUY)</t>
  </si>
  <si>
    <t>Completion of Slaughter House</t>
  </si>
  <si>
    <t>FOR TELEPHONE EXPENSES</t>
  </si>
  <si>
    <t>Procurement of Security Services (Contract No. RO-PG2020-001)</t>
  </si>
  <si>
    <t>Purchase &amp; Delivery of Various Medical Supplies  for PVET</t>
  </si>
  <si>
    <t>Procurement of One (1) unit Utility Van for Provincial Government of Surigao del Sur (PGSO).</t>
  </si>
  <si>
    <t>Purchase and delivery of brand new modern jeepney to be used by the City Government of Calapan</t>
  </si>
  <si>
    <t>REACH IN FREEZER</t>
  </si>
  <si>
    <t>20FJ0031 - Construction of One(1) Unit One(1) Storey One(1) Classroom School Building at Calabad ES, Dimasalang, Masbate</t>
  </si>
  <si>
    <t>PURCHASE OF ACCESSORIES FOR ISOLATION AREA</t>
  </si>
  <si>
    <t>Opening of sitio Abibling Road, Tiongson, Ligao City</t>
  </si>
  <si>
    <t>Supply &amp; Installation of Protective Structures of the City Agriculture Office for Distribution to Various Barangays in Ormoc City, City Agriculture's Office, Ormoc City</t>
  </si>
  <si>
    <t>Labor and Materials (Backhoe)</t>
  </si>
  <si>
    <t>PROCUREMENT OF FULLY-EQUIPPED RESCUE VEHICLE</t>
  </si>
  <si>
    <t>Improvement/Renovation of Municipal Hall, Gerona, Tarlac</t>
  </si>
  <si>
    <t>Expenses for MPA Assessment of FMO</t>
  </si>
  <si>
    <t>PURCHASE OF THE CONSTRUCTION MATERIALS FOR THE EXTENSION &amp; RENOVATION OF BARANGAY HALL OF BARANGAY BONGOL</t>
  </si>
  <si>
    <t>Supply and Delivery of Brand New 4 x 4 wheel Drive Automatic and Manual Transmission</t>
  </si>
  <si>
    <t>Lease of Various 6-Color Continuous Forms Press, Various Sheet Fed Press Machines and Finishing Equipment with Technical and Operational Support System (PB-05-20)</t>
  </si>
  <si>
    <t>Lease of Various Paper Printing Machine, In-Line Digital Numbering and Bar Coding and Finishing Equipment with Operational and Technical Support System (PB-06-20)</t>
  </si>
  <si>
    <t>RE-PAINTING OF MULTI-PURPOSE BUILDING AT BRGY. NIUGAN CITY OF CABUYAO, LAGUNA</t>
  </si>
  <si>
    <t>20GME0058 - Supply &amp; Delivery of Consumables for use of  Develop Ineo 226 at Maintenance Section, Sarangani District Engineering Office, Alabel, Sarangani Province</t>
  </si>
  <si>
    <t>FOR REPAIR AND MAINTENANCE AND MACHINERY EQUIPMENT</t>
  </si>
  <si>
    <t>Contract ID: 20GOE0018 - Procurement of Supplies and Materials for NMDEO Roadside Maintenance Activities</t>
  </si>
  <si>
    <t>SUPPLY, DELIVERY, INSTALLATION AND COMMISSIONING OF FIREWALL APPLIANCE FOR THE USE OF TIEZA (TWO (2) YEARS LICENSE SUBSCRIPTION)</t>
  </si>
  <si>
    <t>Labor and Materials for the Completion/Improvement of Carmen Municipal College</t>
  </si>
  <si>
    <t>Labor and Materials for the Construction of Public Toilets at Sindalan Sports Complex, Sindalan in the City of San Fernando, Pampanga</t>
  </si>
  <si>
    <t>Procurement of spare parts and accessories for Nissan Frontier</t>
  </si>
  <si>
    <t>2020-06-0165  Supply and delivery of Toner for use in the operation of Develop Ineo +226 printer with SN:A90H141000168 of Records management unit, Administrative section, DPWH-Malaybalay City</t>
  </si>
  <si>
    <t>PROCUREMENT  OF HARDWARE MATERIALS AND EQUIPMENT RENTAL FOR THE EXPANSION OF BAGSAKAN ROOFING (TEMPORARY STRUCTURE), PUBLIC MARKET, CALABANAGA, CAMARINES SUR</t>
  </si>
  <si>
    <t>Invitation to Bid for Take-Over of Contract for the Construction of Advanced Science and Technology Building (ASTB) Phase 1 of PSHS Central Luzon Campus Lily Hill, Clark Freeport Zone, Pampanga</t>
  </si>
  <si>
    <t>Procurement of drugs and medicines to be use at MHO for the 2nd quarter of 2020</t>
  </si>
  <si>
    <t>20GJC0216 – Equipment Rental: 12.5 days Cargo truck/Delivery Truck etc.</t>
  </si>
  <si>
    <t>Purchase and delivery of supplies and materials of Calapan Public Market</t>
  </si>
  <si>
    <t>Materials for the repair/rehab of streetlights at Biga</t>
  </si>
  <si>
    <t>Rebidding of Procurement of Two (2) Units of Water Tank Truck</t>
  </si>
  <si>
    <t>Supply, Delivery, Installation, Testing, And Commissioning  Of Airconditioning Units At CAAP Legazpi Airport</t>
  </si>
  <si>
    <t>Purchase &amp; Delivery of One (1) Unit Service Utility Vehicle for PGO-PSG</t>
  </si>
  <si>
    <t>Use for Bike Fun Ride 2020 in Celebration of 72nd Founding Anniversary</t>
  </si>
  <si>
    <t>RFQ: Supplies for Fabrication of Side Car (PR #20-06-569)</t>
  </si>
  <si>
    <t>Bidding for delivery of drugs and medicines to be distributed to different barangays</t>
  </si>
  <si>
    <t>Supply and delivery of various veterinary supplies for Livestock Program (PR 460)</t>
  </si>
  <si>
    <t>Supply / Delivery of Hospital Supplies</t>
  </si>
  <si>
    <t>Supply &amp; Delivery of Two (2) Units Brand New Service Vehicles of the City Mayor's Office, Ormoc City</t>
  </si>
  <si>
    <t>Procurement of Spare Parts for Construction and Heavy Equipment (2nd Qtr) - MOTORPOOL</t>
  </si>
  <si>
    <t>PROCUREMENT OF  VARIOUS HARDWARE MATERIALS FOR THE REPAIR OF ICE STORAGE ROOM OF PFDA-ZFPC</t>
  </si>
  <si>
    <t>Supply, Delivery and Installation of Railings @ Gate 2</t>
  </si>
  <si>
    <t>School Supplies</t>
  </si>
  <si>
    <t>Provision of Potable Water System</t>
  </si>
  <si>
    <t>Purchase and delivery of Evacuation Modular Tent for Isolation Areas</t>
  </si>
  <si>
    <t>2020-06-0159  Supply and Delivery of materials for the use in the improvement of earth canal along JCT SH-Aglayan-Alanib-Ticalaan Road (Sta. K1557+250, K1529+099, and K1559+180)</t>
  </si>
  <si>
    <t>Improvement/Construction of Old Public Market (Public Market Roof Extension), Gerona, Tarlac</t>
  </si>
  <si>
    <t>ORIENTATION AND TRAINING ON PEACEKEEPING AND THEIR ROLES - MEALS&amp;SNAKS</t>
  </si>
  <si>
    <t>Purchase of Office Equipments for LGU 1st &amp; 2nd Quarter</t>
  </si>
  <si>
    <t>20GJC0217 – Equipment Rental: 11.25 days Cargo Truck/Delivery Truck etc.</t>
  </si>
  <si>
    <t>materials for Construction of Solar Drier Purok San Roque Kinuban, Maco Davao de Oro</t>
  </si>
  <si>
    <t>Materials for nursery construction at Calapan City Sanitary Landfill</t>
  </si>
  <si>
    <t>20AB0122 : CONSTRUCTION OF TWO (2) STOREY - FOUR (4) CLASSROOM SCHOOL BUILDING, (305491) CITY OF BATAC NHS RAYURAY, BATAC CITY</t>
  </si>
  <si>
    <t>PURCHASE OF DIESEL/FUEL</t>
  </si>
  <si>
    <t>2020-06-0161  Supply and delivery of various spareparts for use in the replacement of worn-out parts of Toyota Hilux ACU-4072 W/ dpwh No. HI-7771. Assigned in the Construction section, DPWH-Malaybalay</t>
  </si>
  <si>
    <t>Supply and delivery of Materials for Concreting of Road (Improvement) in Pansacola St., Barangay Bagong Bayan, Mauban, Quezon</t>
  </si>
  <si>
    <t>PUNONG ES RFQ (APRIL 2020)</t>
  </si>
  <si>
    <t>Concreting of Municipal Streets</t>
  </si>
  <si>
    <t>Procurement of Garbage Compactor, LGU, Baybay City, Leyte</t>
  </si>
  <si>
    <t>Labor and Materials for the Continuation of Development/Rehabilitation of Public Market</t>
  </si>
  <si>
    <t>PROCUREMENT OF PREPAID LOAD CARDS</t>
  </si>
  <si>
    <t>PURCHASE AND DELIVERY OF HARDWARE MATERIALS FOR THE PROVISION OF SANITARY TOILETS WITH SEPTIC TANK, Can-avid Eastern Samar</t>
  </si>
  <si>
    <t>20AB0123 : CONSTRUCTION OF ONE (1) STOREY - FOUR (4) CLASSROOM SCHOOL BUILDING, (100241) DON MARIANO MEMORIAL SCHOOL, PINILI, ILOCOS NORTE</t>
  </si>
  <si>
    <t>20GME0045 - Supply &amp; Delivery of Janitorial Supplies for use of DPWH- Sarangani District Engineering Office, Sarangani Province</t>
  </si>
  <si>
    <t>Supply &amp; Delivery of Three (3) Units Brand New Service Vehicles of the City Engineer's Office, Ormoc City</t>
  </si>
  <si>
    <t>SUPPLY &amp; DELIVERY OF VARIOUS SPAREPARTS</t>
  </si>
  <si>
    <t>Procurement of Server for the Epidemiology Bureau (EB) Emergency Operation Center (EOC) System under IB No. 2020-227</t>
  </si>
  <si>
    <t>Printer/IT equipment</t>
  </si>
  <si>
    <t>PR NO. 1598 DOOR LOCK SYTEM</t>
  </si>
  <si>
    <t>RFQ 2019-11-0854-DORMITORY SUPPLIES</t>
  </si>
  <si>
    <t>20AB0124 : CONCRETING OF SITIO KAPPIA TO SITIO MURMURAY, BRGY. NAGBACALAN FMR, BRGY. NAGBACALAN, PAOAY, ILOCOS NORTE</t>
  </si>
  <si>
    <t>Photo Copier Machine for Local School Board use</t>
  </si>
  <si>
    <t>PROCUREMENT OF VARIOUS MATERIALS FOR THE INSTALLATION OF NEW SETS OF HERRING BONE COILS OF ICE MAKING NO.2 OF PFDA-ZFPC</t>
  </si>
  <si>
    <t>Construction of Multi-purpose Buildings/Feeding Centers</t>
  </si>
  <si>
    <t>Supply and delivery of Vehicle Parts &amp; Accessories for the Repair &amp; Maintenance of MU-X with Plate No. CP-9165</t>
  </si>
  <si>
    <t>Repair &amp; Maintenance of Other Structure (OESPA-PhP50,000.00)</t>
  </si>
  <si>
    <t>Construction of Bleacher</t>
  </si>
  <si>
    <t>Invitation to Bid for the Construction of Pathways at Quinastillojan, Tabaco City</t>
  </si>
  <si>
    <t>Construction of Additional One (1) Span of Multi-Purpose Open Space</t>
  </si>
  <si>
    <t>Supply and delivery of Vehicle Parts, Accessories &amp; Labor Cost for the Repair &amp; Maintenance (Change Oil) of Ford Ranger (MDRRMC Vehicle)</t>
  </si>
  <si>
    <t>Supply and delivery of Vehicle Parts &amp; Accessories for the Repair &amp; Maintenance of Garbage Truck with Plate No. SKU-652</t>
  </si>
  <si>
    <t>CONCRETING OF FARM TO MARKET ROAD, BRGY. LAOAG, SAN AGUSTIN, ISABELA</t>
  </si>
  <si>
    <t>Procurement of Marine/Fisheries Equipment, LGU-CMMRO, Baybay City, Leyte</t>
  </si>
  <si>
    <t>PROCUREMENT OF VARIOUS MATERIALS FOR THE REPAIR OF MOTOR DRIVEN ICE CRUSHER OF PFDA-ZFPC</t>
  </si>
  <si>
    <t>PUCHASE OF MULTI PURPOSE VEHICLE FOR THE USE OF BARANGAY PAKIAD OTON,ILOILO</t>
  </si>
  <si>
    <t>SUPPLY AND DELIVERY OF COMPUTER FOR THE CAFA</t>
  </si>
  <si>
    <t>20AB0125 : CONCRETING OF BRGY. POBLACION 1-PANGIL FMR, BRGY. 1 AND BRGY. PANGIL, CURRIMAO, ILOCOS NORTE</t>
  </si>
  <si>
    <t>Procurement of Various Supplies for COVID 19 Response</t>
  </si>
  <si>
    <t>ROAD CONCRETING, Purok Panagdait, Balidbid, Santa Fe, Cebu - Municipal</t>
  </si>
  <si>
    <t>Supply and delivery of Vehicle Parts, Accessories &amp; Labor Cost for the Repair &amp; Maintenance of MU-X with Plate No. CP-9165</t>
  </si>
  <si>
    <t>ICTMU : ICT DEVICES AND EQUIPMENT TO BE USE FOR VIDEO CONFERENCE</t>
  </si>
  <si>
    <t>Supply and Delivery of One Lot Heavy Equipment</t>
  </si>
  <si>
    <t>Concreting of Road at Juan Ambat Road, Barangay Parang, Bagac, Bataan</t>
  </si>
  <si>
    <t>2020-06-0146   Supply and delivery of 7 units Smartphone for use in the documentation of various construction projects, includes Geo-Tagging, for pcma (project and contract management application), bi</t>
  </si>
  <si>
    <t>2020-05-0087 - SUPPLY AND DELIVERY OF 400 SETS OF RAPID TEST KITS TO BE USED IN DETECTING EMPLOYEES POSSIBLY INFECTED WITH THE CORONA VIRUS DISEASE 2019 (COVID 19)</t>
  </si>
  <si>
    <t>SUPPLY AND DELIVERY OF RISOGRAPH PRINTING INKS AND  CONSUMABLES FOR DIVISION OF CITY SCHOOLS</t>
  </si>
  <si>
    <t>Construction of Safe Closure and Rehabilitation of Open Dumpsite (MO/ESWMP)</t>
  </si>
  <si>
    <t>RFQ: Construction Supplies (PR #20-05-535)</t>
  </si>
  <si>
    <t>20GJC0218 – Equipment Rental: 5.93 days One Bagger Mixer etc.</t>
  </si>
  <si>
    <t>PUNONG ES RFQ (MAY 2020)</t>
  </si>
  <si>
    <t>Lot1-Construction of Box Culvert at San Antonio connecting Brgy. Dalla-Revised No.01 at San Antonio, Baggao, Cagayan</t>
  </si>
  <si>
    <t>Deliberation of PCG Selection Boards for CY 2020</t>
  </si>
  <si>
    <t>RFQ: Office Supplies (PR #20-06-591)</t>
  </si>
  <si>
    <t>Procurement of Copying Machine w/ PR # 851</t>
  </si>
  <si>
    <t>PROVISION OF MEDICAL SUPPLIES &amp; PARAPHERNALIAS</t>
  </si>
  <si>
    <t>Supply and Delivery of Grafted Lanzones (Longkong Variety)</t>
  </si>
  <si>
    <t>20FJ0033 - Construction of One(1) Unit One(1) Storey One(1) Classroom School Building at  Chimenea ES, Cataingan, Masbate</t>
  </si>
  <si>
    <t>Electronic System Development and Maintenance Program under PR#2020-06-2565</t>
  </si>
  <si>
    <t>Supply and Delivery of Female Cattle</t>
  </si>
  <si>
    <t>20GME0055 –	Lease of One (1) Unit Service Vehicle for Ten (10)  days for inspection/supervision of infrastructure projects within Sarangani Engineering District for the period of November 16-30, 2020,</t>
  </si>
  <si>
    <t>PROCUREMENT AND DELIVERY OF  ONE (1) UNIT AMBULANCE</t>
  </si>
  <si>
    <t>Supply and Delivery of Various Filing Cabinet</t>
  </si>
  <si>
    <t>cellphone card</t>
  </si>
  <si>
    <t>20JI0067-Construction of One (1) Unit Two (2) Storey Six (6) Classroom School Building at Balangao ES, Diplahan, Zamboanga Sibugay</t>
  </si>
  <si>
    <t>PURCHASE OF BILOGICS IN SUPPORT TO FREE RANGE CHICKEN PRODUCTION</t>
  </si>
  <si>
    <t>ITB 06-02-2020 Item A</t>
  </si>
  <si>
    <t>Improvement of Multi-purpose Building</t>
  </si>
  <si>
    <t>Rehabilitation of Department of Health (DOH) Campus Wide Network under IB No. 2020-228</t>
  </si>
  <si>
    <t>Supply And Delivery Of Range Finder For SMO Of Legazpi Airport</t>
  </si>
  <si>
    <t>Procurement of CY 2020 Fuel, Oil and Lubricants Requirements for TFBL Project</t>
  </si>
  <si>
    <t>20FJ0032 - Construction of One(1) Unit One(1) Storey One(1) Classroom School Building at  N.B. Cabrera ES, Dimasalang, Masbate</t>
  </si>
  <si>
    <t>Rehabilitation of Old City Hall Building (Comfort Room)</t>
  </si>
  <si>
    <t>labor for the construction of solar dreyer prk san roque, maco davao de oro</t>
  </si>
  <si>
    <t>RFQ 2020-02-0164-BOOKS</t>
  </si>
  <si>
    <t>Procurement of Various Supplies for Learners</t>
  </si>
  <si>
    <t>Rehabilitation of Drainage Canal along Purok Sunrise, Saranay, Bonifacio St. Phase 1 of Poblacion, Kabacan,Cotabato</t>
  </si>
  <si>
    <t>(DDH) INVITATION TO BID FOR THE SUPPLY AND DELIVERY OF ONE (1) UNIT DEFIBRILLATOR WITH PADDLE</t>
  </si>
  <si>
    <t>ITB-GS-20200608-01 - Two (2) Years Subscription of Dark Fiber Facility</t>
  </si>
  <si>
    <t>Procurement of Office Supplies  Supplies &amp; Devices</t>
  </si>
  <si>
    <t>20AB0128 : CONCRETING OF SITIO BUGA TO SITIO BING-IT, BRGY. STA. RITA FMR, BRGY. STA. RITA, PAOAY, ILOCOS NORTE</t>
  </si>
  <si>
    <t>Construction of San Jose Fire Station Building</t>
  </si>
  <si>
    <t>Supply and Delivery of Water Hand Pump ITB No. 2020-163</t>
  </si>
  <si>
    <t>Procuremt of Various Appliances</t>
  </si>
  <si>
    <t>CONSTRUCTION OF SLOPE PROTECTION AND CONCRETE PAVEMENT</t>
  </si>
  <si>
    <t>Rehabilitation of Drainage Canal along Bonifacio St. Phase II, Poblacion, Kabacan, Cotabato</t>
  </si>
  <si>
    <t>REPAIR/REHABILITATION OF TIMBER BRIDGE @ PUROK STA. CRUZ,SAN PABLO 1 &amp; SAN PABLO 2 (PACKAGE 01-2020)</t>
  </si>
  <si>
    <t>Purchase of Emergency Response Vehicle</t>
  </si>
  <si>
    <t>DRILLING AND PIPELAYING PROJECT IN BARANGAY LIPAY</t>
  </si>
  <si>
    <t>Continuation of Walling of the Multi-Purpose Hall/Gym</t>
  </si>
  <si>
    <t>Procurement of Basic Advance Flight &amp; Training Course</t>
  </si>
  <si>
    <t>Telephone Mobile Expenses (PDO-88,100.00)</t>
  </si>
  <si>
    <t>20AB0127 : CONCRETING OF SITIO BUGA TO CURRIMAO ROAD FMR, BRGY. SIDEG, PAOAY, ILOCOS NORTE</t>
  </si>
  <si>
    <t>CONCRETING OF FARM TO MARKET ROAD, QUIMALABASA NORTE, SAN AGUSTIN, ISABELA</t>
  </si>
  <si>
    <t>20HM0090 (Re-IB)-MOOE – Maintenance, Repair and Rehabilitation of Infrastructure Facilities and Other Related Activities – Repair and Maintenance of Road Safety Facilities</t>
  </si>
  <si>
    <t>2020-06-150</t>
  </si>
  <si>
    <t>Improvement of Multi-Purpose Building, (Civic Center), Brgy. Maslug, Baybay City, Leyte</t>
  </si>
  <si>
    <t>20JI0111-Construction of One (1) Unit One (1) Storey Three (3) Classroom School Building at Kauswagan ES, Diplahan, Zamboanga Sibugay</t>
  </si>
  <si>
    <t>ITB 06-02-2020 Item B</t>
  </si>
  <si>
    <t>Rehabilitation of Flood Mitigation Structures along Pasig – Potrero  River Upstream of SCTEX Bridge (Phase 1), Sta. 0+000 –  Sta. 0+275.95, Porac, Pampanga</t>
  </si>
  <si>
    <t>20AB0126 : CONCRETING OF BUROK BARANIW, BRGY. PARATONG FMR, BRGY. PARATONG, PAOAY, ILOCOS NORTE</t>
  </si>
  <si>
    <t>PROVISION OF CATERING SERVICES AND ACCOMMODATION ON THE CONDUCT OF WORKSHOP ON THE QUALITY MANAGEMENT SYSTEM MANUAL</t>
  </si>
  <si>
    <t>Construction of Lambunao Fire Station Building</t>
  </si>
  <si>
    <t>STREET LIGHTING, NHA, Marikaban, Santa Fe, Cebu - Municipal</t>
  </si>
  <si>
    <t>LABOR AND MATERIALS FOR THE CONSTRUCTION OF PERIMETER FENCE @ VALLEHERMOSO HIGH SCHOOL, VALLEHERMOSO, CARMEN, BOHOL AND CONSTRUCTION OF COVERED COURT (PHASE I) @ GUADALUPE ELEMENTARY SCHOOL, GUADALUPE</t>
  </si>
  <si>
    <t>20HH0145-Repair / Rehabilitation of Roadslips, Slope Collapse and Landslide – Secondary Roads – Cebu – Balamban Transcentral Highway – K0019+700 - KM0019+730, Cebu City</t>
  </si>
  <si>
    <t>20AB0129 : CONCRETING OF SITIO USAT, BRGY. BOMITOG FMR, BRGY. BOMITOG, BANNA, ILOCOS NORTE</t>
  </si>
  <si>
    <t>REHABILITATION/IMPROVEMENT OF DISTRIBUTION PIPES</t>
  </si>
  <si>
    <t>Supply and delivery of Food for RHU Personnel during Covid-19 duty</t>
  </si>
  <si>
    <t>school and office supplies</t>
  </si>
  <si>
    <t>Table &amp; Chairs- ileac</t>
  </si>
  <si>
    <t>FRONT LOAD WASHING MACHINE</t>
  </si>
  <si>
    <t>Repair of Drainage at Ipil National High School, Brgy. Ipil, JICA-Lao Elementary School, Linao Elementary School, Brgy. Linao, Curva Elementary School, Brgy. Curva, San Juan Elemetary School, Brgy. Sa</t>
  </si>
  <si>
    <t>Notice of Procurement &amp; RFQ for 2020-06-0013 - Procurement of Automatic Temperature Induction and Disinfection AIO (All-in-One) Machine for use in the DPWH Regional Office No. III</t>
  </si>
  <si>
    <t>Purchase of Computer Laptop with Accessories</t>
  </si>
  <si>
    <t>Supply and Delivery of four (4) units stair chair for the use of CDRRMO for Emergency Response Operations before, during and after disaster</t>
  </si>
  <si>
    <t>Procurement of Printing Supplies (Toners &amp; Ink )</t>
  </si>
  <si>
    <t>Completion of Multi-Purpose Center 20% 2020</t>
  </si>
  <si>
    <t>PIPELAYING PROJECT IN BACAG WEST</t>
  </si>
  <si>
    <t>Supply of Senior Citizen and PWD Medicine Booklet</t>
  </si>
  <si>
    <t>One (1) Lot – Supply and Delivery of Various air-conditioning for Various Offices</t>
  </si>
  <si>
    <t>CONSTRUCTION OF MRF MULTI-PURPOSE BUILDING (COVERED COURT)</t>
  </si>
  <si>
    <t>One (1) - Supply of labor, tools, materials (Supply of Labor, Tools and Materials for (6) Months Operation and Basic Maintenance Servicing (OBMS) of the Electro-Mechanical System of BSP Cebu Regional</t>
  </si>
  <si>
    <t>Construction of Barotac Viejo Fire Station Building</t>
  </si>
  <si>
    <t>AMP SVP-D NO: 20-06-0323C Medals</t>
  </si>
  <si>
    <t>Proposed Earthfilling</t>
  </si>
  <si>
    <t>Improvement of Multi-Purpose Building @ Brgy Manibaug Pasig, Porac, Pampanga</t>
  </si>
  <si>
    <t>Notice of PRocurement and RFQ for 2020-06-0011 - Procurement of Tires for Service Vehicle, Toyota Hi-Ace, Conduction Sticker No. YW 5708, DPWH No. H1-5833</t>
  </si>
  <si>
    <t>Installation of Solar Street Light</t>
  </si>
  <si>
    <t>Gravelling of FMR and Concreting of FMR Purok 3</t>
  </si>
  <si>
    <t>Purchase of COVID-19 swabbing booth</t>
  </si>
  <si>
    <t>Supply and Delivery of Construction Materials - ITB 034B-2020 GQ</t>
  </si>
  <si>
    <t>PROCUREMENT OF SPAREPARTS FOR 6D17 FUSO FIGHTER DUMPTRUCK AND 6D15 MITSUBISHI DUMPTRUCK</t>
  </si>
  <si>
    <t>INTERCONNECTION WORKS AT POBLACION PS VI</t>
  </si>
  <si>
    <t>Ordering agreement for Printing of Various Tarpaulin/Streamers, Posters, Stickers, Flyers for Various Activities (August – December 2020)</t>
  </si>
  <si>
    <t>Gravelling of FMR, Concreting of FMR and Installation RCPC Purok 4</t>
  </si>
  <si>
    <t>LABOR AND MATERIALS FOR THE 2-UNIT FOOD CART AT CHOCOLATE HILLS COMPLEX, BUENOS AIRES, CARMEN, BOHOL</t>
  </si>
  <si>
    <t>Invitation to Bid for the Procurement of Materials for the Fencing of Barangay Health Center at San Isidro-Iraya, Malilipot, Albay</t>
  </si>
  <si>
    <t>One (1) lot Supply and Delivery of Five (5) Units of Steel Open Shelves for Landbank Boac Accounting Unit - Boac, Marinduque</t>
  </si>
  <si>
    <t>Supply of Labor and Materials for the Replacement of Two (2) Units Four (4) MVA 4160/440 Oil Type Transformer, Main Electrical Room NAIA Terminal 1</t>
  </si>
  <si>
    <t>DSWD4B-2020-12 Supply and Delivery of Micronutrient Powder for the Implementation of Supplementary Feeding Program during Community Quarantine (9th Cycle Continuation)</t>
  </si>
  <si>
    <t>PROCUREMENT OF UTILITY VEHICLE</t>
  </si>
  <si>
    <t>Proposed Pathwalk</t>
  </si>
  <si>
    <t>Supply and Delivery of Construction Materials - ITB 036B-2020 GQ</t>
  </si>
  <si>
    <t>Opening of Tubura-Calzada-Bonga FMR Phase II</t>
  </si>
  <si>
    <t>One (1) Lot – Supply and Delivery of one hundred five (105) units of  Bike  for San Juan City Employees</t>
  </si>
  <si>
    <t>Procurement of Security Surveillance System and Accessories - Package I</t>
  </si>
  <si>
    <t>Proposed Road Reblocking</t>
  </si>
  <si>
    <t>Rehabilitation/Extension of MIAA Buildings (MIAA Records Center, PMD Office, T3 Satellite Office) NAIA Complex, Pasay City</t>
  </si>
  <si>
    <t>Request for Quotation for the Purchase of Construction Materials for the Repair of Day Care Center at San Isidro-Iraya, Malilipot, Albay</t>
  </si>
  <si>
    <t>CONCRETING OF DABUBU PEQUEÑO-DABUBU GRANDE FTMR, DAB. GRANDE &amp; PEQUEÑO, SAN AGUSTIN, ISA.</t>
  </si>
  <si>
    <t>Purchase of ambulance</t>
  </si>
  <si>
    <t>One (1) Lot – Supply and Delivery of various supplies and materials for the SY 2019 – 2020 Commencement Exercises</t>
  </si>
  <si>
    <t>Supply and Delivery of Construction Materials - ITB 037B-2020 GQ</t>
  </si>
  <si>
    <t>Supply and Delivery of Construction Materials - ITB 035B-2020 GQ</t>
  </si>
  <si>
    <t>Purchase of grocery items</t>
  </si>
  <si>
    <t>PROVISION OF 10 MBPS INTERNET SERVICES WITH COMMITTED INFORMATION RATE TO MSU-TCTO</t>
  </si>
  <si>
    <t>SUPPLY AND DELIVERY OF TRAINING SUPPLIES AND MATERIALS FOR THE LSP-NSB ACTIVITIES IN THE PROVINCE OF BOHOL</t>
  </si>
  <si>
    <t>Supply and Delivery of Construction Materials - ITB 032B-2020 GQ</t>
  </si>
  <si>
    <t>SUPPLIES FOR WINS (WASH IN SCHOOL)PROGRAM FOR JHS</t>
  </si>
  <si>
    <t>Improvement of Barangay Health Center, Kinatarkan, Santa Fe, Cebu - Municipal</t>
  </si>
  <si>
    <t>PUNONG ES RFQ (JUNE 2020)</t>
  </si>
  <si>
    <t>One (1) lot – Supply and Delivery of supplies for street maintenance for City Engineering</t>
  </si>
  <si>
    <t>Construction of One Town One Product (OTOP) and Organic Trading Port (OTP)</t>
  </si>
  <si>
    <t>INSTALLATION OF ENERGIZATION OF STREET LIGHTING SYSTEM</t>
  </si>
  <si>
    <t>One (1) lot Labor and Materials for the Construction of COA Records Room at Landbank Lucena Branch</t>
  </si>
  <si>
    <t>Supply &amp; Delivery of Commercial Feeds for Bangus and Vannamei Production</t>
  </si>
  <si>
    <t>Fabrication of Improvised Pedal Operated Handwashing Bins for Faculty and Students Hand Sanitation- OMSC Collegewide</t>
  </si>
  <si>
    <t>REBIDDING OF SUPPLY AND DELIVERY OF VARIOUS LABORATORY SUPPLIES AND CONSUMABLES (32 items)</t>
  </si>
  <si>
    <t>STREET LIGHTING, Hagdan, Santa Fe, Cebu - Municipal</t>
  </si>
  <si>
    <t>SUPPLY AND DELIVERY OF TIRES  FOR  MONTERO OF VICE-MAYOR’S OFFICE</t>
  </si>
  <si>
    <t>Supply &amp; Delivery of Photocopier Machine for CTAS, RDE, QA, Registrar &amp; Admin.</t>
  </si>
  <si>
    <t>Supply and Delivery of Construction Materials - ITB 033B-2020 GQ</t>
  </si>
  <si>
    <t>One (1) lot Labor and Materials for the Proposed Transfer of Landbank UPLB Branch Sub-COU to Landbank Sta. Cruz (Laguna) Branch</t>
  </si>
  <si>
    <t>NMC &amp; PASUQUIN EXTENSION RIS, PACKAGE 3; REMAINING WORKS ; CLIMATE CHANGE ADAPTATION WORKS (CCAW) FUND; CY 2019</t>
  </si>
  <si>
    <t>One (1) Lot – Supply and Delivery of Laboratory Reagents for the use of SJMC</t>
  </si>
  <si>
    <t>REPAIR OF FLGC WAREHOUSE DAMAGED BY TYPHOON TISOY IN NAPO, STA. CRUZ, MARINDUQUE</t>
  </si>
  <si>
    <t>PUNONG ES RFQ (JULY 2020)</t>
  </si>
  <si>
    <t>Eco bag with print used for Womens Welfare Program</t>
  </si>
  <si>
    <t>Printing Services for the 2020 CPH</t>
  </si>
  <si>
    <t>KC : 24 can AIR FRESHENER UP TO 9 roll TWINE PLASTIC;OFFICE SUPPLIES AND CONSUMABLES FOR THE USE OF KC -PAMANA FOR RPMO STAFF</t>
  </si>
  <si>
    <t>REBIDDING OF SUPPLY AND DELIVERY OF VARIOUS LABORATORY CHEMICALS AND SUPPLIES (3 items)</t>
  </si>
  <si>
    <t>PROCUREMENT OF FUEL &amp; LUBRICANTS</t>
  </si>
  <si>
    <t>Purchase of Medicine Supplies</t>
  </si>
  <si>
    <t>Completion of Local Access Road at Government Center</t>
  </si>
  <si>
    <t>RFQ# 2020-05-025-Supply/Delivery of IT (Information Technology &amp; Printing Supplies/    Common Office Supplies) for use in the Planning &amp; Design Section, DPWH-NSFDEO, Catarman, N. Samar</t>
  </si>
  <si>
    <t>CONSTRUCTION OF NEW MUNICIPAL CEMETERY</t>
  </si>
  <si>
    <t>REPRODUCTION OF MODULES FOR SHS</t>
  </si>
  <si>
    <t>ONE (1) YEAR CONTRACT FOR JANITORIAL SERVICES FOR 2020</t>
  </si>
  <si>
    <t>Renovation of GEBA GYMNASIUM'S STAGE</t>
  </si>
  <si>
    <t>Purchase of Garbage Truck(Dump Truck)</t>
  </si>
  <si>
    <t>CONSTRUCTION OF TRIBAL CENTER</t>
  </si>
  <si>
    <t>Clipboard for the 2020 CPH</t>
  </si>
  <si>
    <t>Training Expense-Php153,025.00 PDO</t>
  </si>
  <si>
    <t>Supply &amp; Delivery of Office Equipment for CTAS &amp; CTE</t>
  </si>
  <si>
    <t>Office Supplies for the 2020 CPH</t>
  </si>
  <si>
    <t>QUARTERLY PREVENTIVE MAINTENANCE SERVICES OF CLOSED CIRCUIT TELEVISION (CCTV) FOR 3rd AND 4th QUARTERS AT VARIOUS SSS BRANCH OFFICES UNDER LUZON CENTRAL 2 DIVISION</t>
  </si>
  <si>
    <t>Rpr &amp; Maint Motor Vehicles (57,550.00) PDO</t>
  </si>
  <si>
    <t>Purchase of goods for Improvement of Agoho Public Cemetery</t>
  </si>
  <si>
    <t>Repair and Maintenance of D7G Bulldozer</t>
  </si>
  <si>
    <t>REQUEST FOR QUOTATION FOR THE Supply and Delivery of One (1) Lot Medical Supplies</t>
  </si>
  <si>
    <t>020-INFRA-001 / COMPLETION OF MULTI-PURPOSE BUILDING</t>
  </si>
  <si>
    <t>PROCUREMENT OF FUELS FOR USE IN THE DREDGING AT QUIAOIT RIVER AND OTHER MAJOR WATERWAYS</t>
  </si>
  <si>
    <t>Maintenance, Repair and Rehabilitation of Infrastructure Facilities and Other Related Activities - Public Buildings: Repair/ Maintenance of DOJ Building National Bureau Investigation Office Building N</t>
  </si>
  <si>
    <t>REQUEST FOR QUOTATION (RFQ) PROCUREMENT FOR LAPTOP FOR WORK FROM HOME PERSONNEL RFQ No.049 -2020</t>
  </si>
  <si>
    <t>20GN0093 - Concreting of Brgy. Dulao FMR, Brgy. Dulao, Bago City, Negros Occidental</t>
  </si>
  <si>
    <t>CATERING SERVICES FOR THE DISTRIBUTION OF FARMERS ASSISTANCE</t>
  </si>
  <si>
    <t>Procurement Provision of Internet Subscription Expenses</t>
  </si>
  <si>
    <t>20GN0092-Concreting of Brgy. General Malvar FMR, Brgy. General Malvar, Pontevedra, Negros Occidental</t>
  </si>
  <si>
    <t>Procurement of Fuel Supply for LCT Barge</t>
  </si>
  <si>
    <t>NOTICE OF INVITATION TO SUBMIT PRICE QUOTATION FOR THE 2020 REPAIR OF PERIMETER FENCE (PHASE I) OF NFA COMPOUND, LARENA, SIQUIJOR</t>
  </si>
  <si>
    <t>Supply and Delivery of 3,612 sets of Peerless Box for Pag-IBIG Fund</t>
  </si>
  <si>
    <t>REQUEST FOR QUOTATION FOR THE Supply and Delivery of 12,000 Liters of Diesel Fuel</t>
  </si>
  <si>
    <t>Supply and Delivery of Personal Care Products</t>
  </si>
  <si>
    <t>Purchase of Heavy Equipment (Mini Dump truck)</t>
  </si>
  <si>
    <t>Supply and Delivery of Medical /Medical Instrument</t>
  </si>
  <si>
    <t>CONCRETING OF ROAD OF 150M X 4M X. 15LM FARM TO MARKET ROAD</t>
  </si>
  <si>
    <t>Construction of Seawall Phase 1</t>
  </si>
  <si>
    <t>Purchase of One (1) Unit Vehicle Bongo for Disaster Preparedness</t>
  </si>
  <si>
    <t>CONSTRUCTION OF GOVERNMENT BUILDING/STRUCTURE - PROCURMENT OF MATERIALS</t>
  </si>
  <si>
    <t>ESTABLISHMENT OF ROAD RETAINING WALL (BRGY. PINILI)</t>
  </si>
  <si>
    <t>CONCRETING / REHABILITATION OF BARANGAY CANUBAY ROAD-Hayo Street</t>
  </si>
  <si>
    <t>CONSTRUCTION OF MULTI-PURPOSE DRYING PAVEMENT (BRGY. LUCBAN)</t>
  </si>
  <si>
    <t>PURCHASE OF ONE (1)   RESCUE VEHICLE (MULTICAB) WITH ESSENTIAL RESCUE EQUIPMENT</t>
  </si>
  <si>
    <t>PURCHASE OF ONE (1)    FIRETRUCK ( MULTICAB) WITH FIRE RESCUE EQUIPMENT</t>
  </si>
  <si>
    <t>RFQ GEn.mdse2020</t>
  </si>
  <si>
    <t>CONSTRUCTION OF MULTI-PURPOSE DRYING PAVEMENT (BRGY. STO.TOMAS)</t>
  </si>
  <si>
    <t>NOTICE OF INVITATION TO SUBMIT PRICE QUOTATION FOR THE SMALL VALUE PROCUREMENT OF 2020 CAPITAL OUTLAY RMT PROJECTS OF NFA COMPOUND, CIP COMPLEX, NRA, CEBU CITY</t>
  </si>
  <si>
    <t>REPAIR OF MULTI-PURPOSE BUILDING FLOORING (BRGY. CALOG NORTE)</t>
  </si>
  <si>
    <t>Proposed Construction of Concrete Pedestal, Supply and Installation of Lighting Facilities of F.B. Harrison St., Pasay City</t>
  </si>
  <si>
    <t>Procurement for the Provision of Calibration Services of Various Science Laboratory Equipment for SY 2020-2021 of PSHS-CLC</t>
  </si>
  <si>
    <t>PROCUREMENT OF MATERIALS FOR REHABILITATION OF WATER SYSTEM AND PLUMBING TOOLS</t>
  </si>
  <si>
    <t>PURCHASE OF ONE (1)   MULTIPURPOSE (MULTICAB)  VEHICLE</t>
  </si>
  <si>
    <t>Procurement of Paint Conduct Brigada Eskwela Plus</t>
  </si>
  <si>
    <t>ROAD CONCRETING (BRGY. SIMAYUNG)</t>
  </si>
  <si>
    <t>Supply and delivery of various materials for the repair and upgrade of ICT equipments for BFAR Region Office</t>
  </si>
  <si>
    <t>Supply and Delivery of Materials for Maintenance of Hull, Machinery and Electrical Repair Services' Watercraft: YD204, YD205, YU206, YU207 and YT271</t>
  </si>
  <si>
    <t>Contract ID: 20JH0036 Isabela City Public Market, Isabela City, Basilan</t>
  </si>
  <si>
    <t>Contract ID: 20JH0033 Const. of Multi-Purpose Building, Isabela City, Basilan</t>
  </si>
  <si>
    <t>Procurement of Various Inks and Toners</t>
  </si>
  <si>
    <t>Contract ID: 20JH0032 Const. of Multi-Purpose Building (Yakan Weavers Multi Purpose Hall), Brgy. Parangbasak, Lamitan City, Basilan</t>
  </si>
  <si>
    <t>Procurement of Rapid Covid Testing Kit</t>
  </si>
  <si>
    <t>For use at DPWH Quezon 1st District Engineering Office (Planning and Design Section) Lucban, Quezon</t>
  </si>
  <si>
    <t>Contract ID: 20JH0030 Const. of Public Market, Brgy. Marketsite, Isabela City, Basilan</t>
  </si>
  <si>
    <t>procurment of materials for rehabilitation of water system</t>
  </si>
  <si>
    <t>Purchase of Rescue Equipment</t>
  </si>
  <si>
    <t>Supply of Materials/Parts for the Drydocking and Other Related Repairs of BRP Heracleo Alano (PC376), BRP Anastacio Cacayorin (PC387) &amp; BRP Teotimo Figuracion(PC389) - LOT 1</t>
  </si>
  <si>
    <t>Procurement of ethyl alcohol disinfectant</t>
  </si>
  <si>
    <t>Invitation to Bid for PROCUREMENT OF OFFICE SUPPLIES AND EQUIPMENT (MPDO)</t>
  </si>
  <si>
    <t>Procurement of cytoral spray and other laboratory supplies</t>
  </si>
  <si>
    <t>PROCUREMENT OF TIRES &amp; SPAREPARTS</t>
  </si>
  <si>
    <t>RFQ hARDWARE2020</t>
  </si>
  <si>
    <t>PURCHASE OF 11 UNITS COMMUNICATION EQUIPMENT OF BRGY. SAGRADA FAMILIA</t>
  </si>
  <si>
    <t>Xerox Copier</t>
  </si>
  <si>
    <t>PROCUREMENT OF CONSTRUCTION SUPPLIES</t>
  </si>
  <si>
    <t>CONSTRCUTION OF TRIBAL CENTER</t>
  </si>
  <si>
    <t>For use at DPWH Quezon 1st District Engineering Office, Lucban, Quezon</t>
  </si>
  <si>
    <t>PROCUREMENT OF MUSICAL INSTRUMENT</t>
  </si>
  <si>
    <t>Purchase of Organic Fertilizer – Granules use to Support to Organic Agriculture Program</t>
  </si>
  <si>
    <t>INSTALLATION OF STREET LIGHTS</t>
  </si>
  <si>
    <t>PROCUREMENT OF MATERIALS FOR REHABILITATION OF CRISIS INTERVENTION CENTER BUILDING, MUNICIPAL SITE, BARANGAY POBLACION, MALAPATAN, SARANGANI PROVINCE</t>
  </si>
  <si>
    <t>RFQ office supplies2020</t>
  </si>
  <si>
    <t>Purchase of Organic Foliar Fertilizer use to Support to Organic Agriculture Program</t>
  </si>
  <si>
    <t>Procurement of COVID-19 Response Items (70% Ethyl Alcohol) for BJMP-NCR</t>
  </si>
  <si>
    <t>Purchase of Rice Planter use to Support Rice Production for the Municipality of Bunawan</t>
  </si>
  <si>
    <t>20CE0234: Construction of Multi-Purpose Building with Covered Court, Zaragoza, Nueva Ecija</t>
  </si>
  <si>
    <t>Procurement of Materials for the Road Reblocking at Brgy. Campin, Mahaplag, Leyte</t>
  </si>
  <si>
    <t>Procurement of Materials for the Construction of Multi - Purpose Building (Phase I) at Brgy. San Isidro, Mahaplag, Leyte</t>
  </si>
  <si>
    <t>Supply and Delivery of 100 rolls, Scouring Pad (Super Fine, White), as per BSP Technical Specifications</t>
  </si>
  <si>
    <t>20CE0236: Replacement of Permanent Weak Bridges Amawinan Br. (B01981LZ) along Daang Maharlika (LZ)</t>
  </si>
  <si>
    <t>PROCUREMENT OF SUPPLY AND INSTALLATION 50KVA SILENT TYPE  GENERATOR SET</t>
  </si>
  <si>
    <t>20CE0235: Widening of Permanent Bridges Manicla Br. (B01968LZ) along Daang Maharlika (LZ)</t>
  </si>
  <si>
    <t>PURCHASE OF SCHOOL SUPPLIES AND BAGS</t>
  </si>
  <si>
    <t>20CE0233: Construction of Multi-Purpose Building (Phase 1), Brgy. Saint John, Guimba, Nueva Ecija</t>
  </si>
  <si>
    <t>TRANSPORTATION, LABOR, HAULING OF 4,000 SACKS NFA RICE FROM RAWIS WAREHOUSE TO COVERED COURT POBLACION LAOANG</t>
  </si>
  <si>
    <t>Supply of Materials/Parts for the Drydocking and Other Related Repairs of BRP Heracleo Alano (PC376), BRP Anastacio Cacayorin (PC387) &amp; BRP Teotimo Figuracion(PC389) LOT 2</t>
  </si>
  <si>
    <t>20CSDD01 - Consultancy Service for the Conduct of Parcellary Survey of Malvar – Balete Rd (Length 8.80 Kms.)</t>
  </si>
  <si>
    <t>Procurement of COVID-19 Response Items (Surgical Face Masks and Surgical Gloves) for BJMP-NCR</t>
  </si>
  <si>
    <t>PROCUREMENT OF FURNITURE AND FIXTURES AND OTHER EQUIPMENT</t>
  </si>
  <si>
    <t>Procurement of Semi-Expandable Equipment to be used in Installing the Water System of the School</t>
  </si>
  <si>
    <t>Rehabilitation of Concrete Flood Control Structure and Construction of Perimeter Fence @ Salabat Building for BLRSHOA</t>
  </si>
  <si>
    <t>Procurement of Semi-Expandable Equipment</t>
  </si>
  <si>
    <t>Procurement Purchase of Communication Load</t>
  </si>
  <si>
    <t>Rehabilitation of Poblacion Water System</t>
  </si>
  <si>
    <t>PROCURMENT OF MATERIALS FOR REPAIR/MAINTENANCE OF STREET LIGHT</t>
  </si>
  <si>
    <t>PROCUREMENT OF ICT EQUIPMENT</t>
  </si>
  <si>
    <t>Supply and Delivery of DRRM Rescue Vehicles</t>
  </si>
  <si>
    <t>20CSDD02 - Consultancy Services for the Conduct of Geotechnical Investigation/Soil Exploration, (1) Sala – Looc Bridge (Along Taal Lake Circumferential Road Balete Section) (65.00 lm.), (2) Lipote Bri</t>
  </si>
  <si>
    <t>Installation of Brgy. Street Light</t>
  </si>
  <si>
    <t>SUPPLY AND DELIVERY OF DRUGS AND MEDICINES, MHO - UNISAN, QUEZON</t>
  </si>
  <si>
    <t>Counting Machine</t>
  </si>
  <si>
    <t>CONSTRUCTION OF BARANGAY TANOD OUTPOST</t>
  </si>
  <si>
    <t>Purchase of Various Office Supplies</t>
  </si>
  <si>
    <t>PROCUREMENT OF IT AND OTHER OFFICE EQUIPMENT</t>
  </si>
  <si>
    <t>Procurement of Supplies to be used in Modular Learning</t>
  </si>
  <si>
    <t>TPB SECURITY SERVICES FOR SIX (6) – MONTH CONTRACT PERIOD for 2020</t>
  </si>
  <si>
    <t>Contract No.: 20-007    PROCUREMENT OF INFRASTRUCTURE FOR THE CONSTRUCTION OF CONCRETE PATHWALK FROM BRGY. CANATU-AN TO BRGY. PAMAMAS-AN</t>
  </si>
  <si>
    <t>CONSTRUCTION OF DRAINAGE SYSTEM PUROK 7</t>
  </si>
  <si>
    <t>Furnish and Delivery of Item 104 Material for RTC Branch 27 and IBP - Cotabato Building</t>
  </si>
  <si>
    <t>Installation/Construction of Concrete Perimeter Post at Sitio Kasidlakan</t>
  </si>
  <si>
    <t>Construction of Multipurpose Shed - MEO</t>
  </si>
  <si>
    <t>RFQ for Emergency Purchase of Surgical Mask- LGU-Lawaan, Eastern Samar</t>
  </si>
  <si>
    <t>Construction of Comfort Rooms at Sitio School Site</t>
  </si>
  <si>
    <t>100-2019-10-1682 Supply and delivery of 1 unit sport utility vehicle (SUV)</t>
  </si>
  <si>
    <t>OFFICE SUPPLIES AND DEVICES</t>
  </si>
  <si>
    <t>PB-202003 – Supply and Delivery of Printers, Shredder and I.T Equipment’s</t>
  </si>
  <si>
    <t>Procurement of Office and Other Supplies</t>
  </si>
  <si>
    <t>RFQ GEn.mdse may2020</t>
  </si>
  <si>
    <t>100-2019-10-1615 Supply and delivery of 1 unit pick up vehicle</t>
  </si>
  <si>
    <t>100-2019-02-240 Supply and delivery of 1 unit multi-purpose vehicle (MPV), etc.</t>
  </si>
  <si>
    <t>CONCRETING OF MILITAR ROAD @ BRGY. MILITAR PALAYAN CITY</t>
  </si>
  <si>
    <t>Purchase/Acquisition of one (1) unit Photocopier/Printer Machine</t>
  </si>
  <si>
    <t>RFQ office suppliesmay2020</t>
  </si>
  <si>
    <t>Supply in response to COVID 19</t>
  </si>
  <si>
    <t>Purchase of ONE (1)  Airconditioning Unit</t>
  </si>
  <si>
    <t>FURNITURES AND FIXTURES</t>
  </si>
  <si>
    <t>Contract No.: 20-008   PROCUREMENT OF INFRASTRUCTURE FOR THE CONSTRUCTION OF CONCRETE PATHWALK FROM BRGY. MALOBAGO TO BRGY. BARAYONG</t>
  </si>
  <si>
    <t>AIRCONDITIONING UNIT</t>
  </si>
  <si>
    <t>Completion of 0.40 Km. PCCP Poblacion District 2 Circumferential Road, Pob. District 2, Silago, So. Leyte</t>
  </si>
  <si>
    <t>Concreting of 400m. Barangay Road, Barangay Hingatungan, Silago, Southern Leyte</t>
  </si>
  <si>
    <t>PROCUREMENT OF ONE (1) UNIT FIRETRUCK FOR BUREAU OF FIRE PROTECTION, MALAPATAN, SARANGANI PROVINCE</t>
  </si>
  <si>
    <t>BUB-RICE PROCESSING COMPLEX</t>
  </si>
  <si>
    <t>Rehabilitation of Armando B. Macasantos Sr. Hall at Preparatory High School</t>
  </si>
  <si>
    <t>PURCHASE OF EMERGENCY RESCUE VEHICLE</t>
  </si>
  <si>
    <t>Supply &amp; Delivery of Vehicle (REPOST)</t>
  </si>
  <si>
    <t>PURCHASE OF 1 UNIT ESWM MINI DUMP TRUCK VEHICLE FOR BLGU-DUIT</t>
  </si>
  <si>
    <t>Geo-Resistivity Survey/Scanning of Proposed well sites and to determine ground water level.</t>
  </si>
  <si>
    <t>ITB INSTALLATION OF FLOOR TILES</t>
  </si>
  <si>
    <t>Supply &amp; Delivery of Vehicle (10 Wheeler Dumptruck)</t>
  </si>
  <si>
    <t>20CSPH02 - Geotechnical Investigation for Slope Protection Projects along Various Road Sections and Construction of Bridge in Mountain Province for FY 2021</t>
  </si>
  <si>
    <t>20CSPH01 - Geotechnical Investigation for Slope Protection Projects along Various Road Sections in Mountain Province for FY 2020</t>
  </si>
  <si>
    <t>Construction of Cambite River Control, Barangay Cambite, Tomas Oppus, Southern Leyte</t>
  </si>
  <si>
    <t>PURCHASE OF ONE UNIT RESCUE VEHICLE  FOR MDRRM  USE</t>
  </si>
  <si>
    <t>2020-RFQ-029 "PURCHASE OF DIGITAL DRY BATH FOR ANIMAL HEALTH LABORATORY"</t>
  </si>
  <si>
    <t>Supply and Delivery of Construction Materials for CY 2020 Projects-Package 5</t>
  </si>
  <si>
    <t>Procurement of Construction Materials for the Repair and Improvement of Barangay Hall and Repair and Improvement of Barangay Stage, Barangay Kalipay, Gingoog City</t>
  </si>
  <si>
    <t>PROCUREMENT OF CONSTRUCTION MATERIALS FOR WOMENS CRISIS CENTER</t>
  </si>
  <si>
    <t>Procurement of Construction Materials for Water Works System, Barangay Dinawehan, Gingoog City</t>
  </si>
  <si>
    <t>Repair/Rehabilitation of Railings and Pathway from Sitio School Site to Barangay Proper</t>
  </si>
  <si>
    <t>Procurement of Various Supplies used for Repair and Renovation of Water System Facilities</t>
  </si>
  <si>
    <t>PROCUREMENT OF MATERIALS FOR CONSTRUCTION OF WATER SYSTEM</t>
  </si>
  <si>
    <t>WATERWORKS (ELECTRIFICATION )@ BRGY. BAGALANGIT, MABINI, BATANGAS</t>
  </si>
  <si>
    <t>PURCHASE OF GARBAGE TRUCK</t>
  </si>
  <si>
    <t>CONCRETING OF BARANGAY ROAD, VILLAFLOR, LOBOC, BOHOL</t>
  </si>
  <si>
    <t>CONDUCT OF SONAR SURVEY</t>
  </si>
  <si>
    <t>HFW-2020-04-0147 : MEDICAL SUPPLIES AND EQUIPMENT OF HOME FOR WOMEN.</t>
  </si>
  <si>
    <t>Philippine National Police as Irawan  Agricultural Center</t>
  </si>
  <si>
    <t>Contract No.: 20-009   PROCUREMENT OF INFRASTRUCTURE FOR THE CONCRETING OF PATHWAY FROM PUROK 8 BRGY. CALAPI TO MAYDAYA (SARAO)</t>
  </si>
  <si>
    <t>Completion of Food Terminal, Capitol Site, Maasin City, Southern Leyte</t>
  </si>
  <si>
    <t>Construction of Records, Medicines &amp; Supply Storage Room, PHSO, Dongon, Maasin City, Southern Leyte</t>
  </si>
  <si>
    <t>Completion of Multi-Purpose Livelihood &amp; Training Center/Covered Court, Brgy. Imelda, Silago, So. Leyte</t>
  </si>
  <si>
    <t>ORD PABAC 021-20  Procurement of 55,000 rds Ctg, 40x46mm, HE for 11ID, PA</t>
  </si>
  <si>
    <t>BRGY. MPB IMPROVEMENT</t>
  </si>
  <si>
    <t>Concreting of Road, Brgy. Poblacion, General Nakar, Quezon</t>
  </si>
  <si>
    <t>One Job Supply of materials and Labor for the Construction of Agri-Fishery Center</t>
  </si>
  <si>
    <t>ORD PABAC 020-20  Procurement of 1,150 rds Ctg, 76mm HE-T</t>
  </si>
  <si>
    <t>Relocation / Reinstallation of Street Lighting Phase I, Brgy. Anoling, General Nakar, Quezon</t>
  </si>
  <si>
    <t>INVITATION TO BID FOR MANPOWER SERVICE</t>
  </si>
  <si>
    <t>PR No. 20061189 – Supply and Delivery of One (1) unit Emergency Vehicle</t>
  </si>
  <si>
    <t>Procurement of Air condition with Installation, Camera with complete Accessories &amp; Computer Set - Lot 1 - Air Condition with Installation - TOURISM</t>
  </si>
  <si>
    <t>Construction of Multi-Purpose Building (Ballot Box Storage) Municipal Compound, Brgy. Anoling, General Nakar, Quezon</t>
  </si>
  <si>
    <t>Procurement of 1 lot  Meals &amp; Snack;PR No. 20-1449 dated February 11, 2020</t>
  </si>
  <si>
    <t>Procurement of Air condition with Installation, Camera with complete Accessories &amp; Computer Set - Lot 2 - Camera with complete Accesories - TOURISM</t>
  </si>
  <si>
    <t>Development of Multi-Purpose People’s Park and Plaza</t>
  </si>
  <si>
    <t>Supply and Delivery of Gold Bracelet Jewelry</t>
  </si>
  <si>
    <t>Procurement of Various Office Supplies, Aluminum Ladder &amp; Furnitures - Lot 1 - Various Office Supplies - PASSO</t>
  </si>
  <si>
    <t>Procurement of Various Office Supplies, Aluminum Ladder &amp; Furniture - Lot 3 - Furniture - PASSO</t>
  </si>
  <si>
    <t>Procurement of Various Office Supplies, Aluminum Ladder &amp; Furnitures - Lot 2 - Aluminum Ladder - PASSO</t>
  </si>
  <si>
    <t>ORD PABAC 023-20  Procurement of 12,100 rds RPG, 40mm, HE</t>
  </si>
  <si>
    <t>Procurement of Air condition with Installation, Camera with complete Accessories &amp; Computer Set - Lot 3 - IT Equipment (Coputer Set) - TOURISM</t>
  </si>
  <si>
    <t>Procurement of 1 lot Replacement of under chassis water tank flooring;PR No. 20-1450 dated March 5, 2020</t>
  </si>
  <si>
    <t>ORD PABAC 018-20 Lot 1 (Re-bid) Procurement of 21,347,558 rds Ctg, 5.56mm Ball M855</t>
  </si>
  <si>
    <t>20EB0126: Repair and Maintenance of Road Safety Facilities along National Roads (Intermittent Section), Mainland</t>
  </si>
  <si>
    <t>ORD PABAC 022-20  Procurement of 1,120 rds Ctg, 105mm, HE-ERBB</t>
  </si>
  <si>
    <t>Procurement of two (2) units of Motorcycle Vehicles</t>
  </si>
  <si>
    <t>SUPPLY &amp; DELIVERY OF THREE (3) PIECES OF 4” (100MM) AND ONE (1) PIECE OF 6” (150MM) FLOW METER TO BE USED IN THE PUMPING STATIONS OF CABIAO WATER DISTRICT</t>
  </si>
  <si>
    <t>WIDENING OF BARANGAY ROAD, POBLACION 2, BARANGAY MABINI, BURDEOS, QUEZON</t>
  </si>
  <si>
    <t>Supply and Delivery of One(1) Unit Vibratory Micro Mill with Complete Parts and Accessories for the MSU-TCTO Research Office</t>
  </si>
  <si>
    <t>Raincoat Heavy Duty etc. (06-0643) CENRO</t>
  </si>
  <si>
    <t>Supply &amp; Delivery 18 crtg Optimum Toner &amp; other item; PR No. 20-1452 dated June 1, 2020</t>
  </si>
  <si>
    <t>Portland Cement etc. (06-0649) CEO</t>
  </si>
  <si>
    <t>MATERIALS, EQUIPMENT EXPENSES &amp; FREIGHT AND HANDLING FOR CONSTRUCTION OF SOLAR DRIER @ Prk. Lasar, Calabanit, Glan, Sarangani Province</t>
  </si>
  <si>
    <t>PROCUREMENT OF FURNITURE AND FIXTURE</t>
  </si>
  <si>
    <t>CONSTRUCTION OF SPILLWAY  (SITIO KALAMPINAY, EL NIDO, PALAWAN)</t>
  </si>
  <si>
    <t>PEO-20-0618 B (REBID) - Procurement of Diesel Fuel for use in the truck team operation for the repair and maintenance of Provincial roads and bridges in the Province of Iloilo</t>
  </si>
  <si>
    <t>REHABILITATION / IMPROVEMENT OF MULTI-PURPOSE CENTER</t>
  </si>
  <si>
    <t>Construction Materials for the Construction of Sidewalk/Cross-Drainage along Hornachos Street</t>
  </si>
  <si>
    <t>CONSTRUCTION/REHABILITATION OF RCBC WITH SLOPE PROTECTION (NATIONAL HIGHWAY-TABUD ROAD, BGY. PANITIAN, QUEZON, PALAWAN)</t>
  </si>
  <si>
    <t>PURCHASE OF 1 UNIT HEAVY EQUIPMENT (CONVERTIBLE INTO GARBAGE TRUCK)</t>
  </si>
  <si>
    <t>Supply, Delivery, Installation, Configuration, Migration, and Testing of Additional Servers for BTMS Infrastructure</t>
  </si>
  <si>
    <t>20GP003CS-Consulting Services for the Conduct of Soil Subsurface Exploration for the Enhancement of Level 1.50 Bed Cap Hospital-PA Health Service, Camp Macario B. Peralta, Jamindan, Capiz; Enhancement</t>
  </si>
  <si>
    <t>Concreting of Purok 2 Road-Batu (Lublub) (INFRA2020-05)</t>
  </si>
  <si>
    <t>Boga for the Maintenance of Farm to Market Road</t>
  </si>
  <si>
    <t>PROPOSED DEVELOPMENT OF OPEN – AIR AUDITORIUM GROUNDS TONDALIGAN BLUE BEACH, BONUAN GUESET, DAGUPAN CITY</t>
  </si>
  <si>
    <t>Procurement of Mini Dump Truck</t>
  </si>
  <si>
    <t>PURCHASE OF SOLAR PANEL, ELECTRICAL SUPPLIES &amp; APPLIANCES / SOUND SYSTEM FOR KALIPI / MEDICAL SUPPLIES / TOYS AND SCHOOL SUPPLIES / SIGNAGE &amp; TARPAULIN, BARANGAY HALL OF MABINI, BURDEOS, QUEZON</t>
  </si>
  <si>
    <t>Procurement of Materials for the Demolition of Dilapidated Multi-Purpose Gymnasium @ Maslog, Eastern Samar</t>
  </si>
  <si>
    <t>Concreting of Purok 2 Road (Lublub) (INFRA2020-06)</t>
  </si>
  <si>
    <t>Procurement of Publication of SP Ordinance - OSP</t>
  </si>
  <si>
    <t>20GP002CS-Consulting Services for the Conduct of Soil Subsurface Exploration for the Construction of River Control along Panay River Basin at Brgy. Angub, Cuartero, Capiz; Poblacion Ilaya, Cuartero, C</t>
  </si>
  <si>
    <t>Construction of Multipurpose Building of Ihan, Kiblawan, Davao del sur</t>
  </si>
  <si>
    <t>20EB0127: Repair and Maintenance of Road Safety Facilities along National Roads (Intermittent Section), Lubang Island</t>
  </si>
  <si>
    <t>ADDITIONAL FUND FOR THE COMPLETION OF COVERED COURT @ BRGY. GUINHALINAN</t>
  </si>
  <si>
    <t>Invitation to Bid (Multicab Patrol Car Type)</t>
  </si>
  <si>
    <t>Procurement of Spare parts and Services - OVG</t>
  </si>
  <si>
    <t>Additional Network Components for BTMS Infrastructure</t>
  </si>
  <si>
    <t>SUPPLY AND DELIVERY OF AIRCON UNITS AND OTHER OFFICE EQUIPMENT TO BE USED FOR THE DARFO 3 SOCIO ECONOMIC PRODUCTION IN MARKETING- 2nd Posting</t>
  </si>
  <si>
    <t>PURCHASE OF RELIEF PACKS FOR THE RESIDENTS OF BARANGAY BARAOAS SUR TO BE DISTRIBUTED DURING THE PERIOD OF LOCKDOWN.</t>
  </si>
  <si>
    <t>AGR-20-0767-B Purchase of Weighing Scale</t>
  </si>
  <si>
    <t>PURCHASE OF ONE (1) BRAND NEW VEHICLE INTENDED FOR THE MUNICIPAL ENVIRONMENTAL NATURAL RESOURCES OFFICE (MENRO) TO BE USE FOR THE SOLID WASTE MANAGEMENT POGRAM OF THE MUNICIPALITY OF PATEROS</t>
  </si>
  <si>
    <t>CONSTRUCTION/REHABILITATION OF HOSPITAL BUILDINGS AND FACILITIES-QUEZON MEDICARE HOSPITAL, PHASE III   (MUNICIPALITY OF QUEZON, PALAWAN)</t>
  </si>
  <si>
    <t>CONSTRUCTION OF ONE (1) BARREL RCBC LEADING TO BORAC PORT  (BGY. BORAC, CORON, PALAWAN)</t>
  </si>
  <si>
    <t>SUPPLY AND DELIVERY OF RESCUE VEHICLE</t>
  </si>
  <si>
    <t>Diesel Fuel for the Maintenance of Farm to Market Road</t>
  </si>
  <si>
    <t>ADDITIONAL FUND FOR THE COMPLETION OF COVERED COURT @ BRGY. BINAY</t>
  </si>
  <si>
    <t>Construction Materials for the Construction of Sidewalk/Cross-Drainage along Hijosa Street</t>
  </si>
  <si>
    <t>Concreting of Junction Road - Lipuga Road (INFRA2020-03)</t>
  </si>
  <si>
    <t>CONSTRUCTION OF THREE (3) BARREL RCBC  (BGY. MINARA, ROXAS, PALAWAN)</t>
  </si>
  <si>
    <t>CONSTRUCTION OF CANAL LININGS AT BRGY. AGUADO, TMC</t>
  </si>
  <si>
    <t>CONSTRUCTION OF CANAL LININGS AT TRES CRUSES ROAD ( TRANSPORT MARKET-GOLD CREST VILLAS BRRGY. SAN AGU</t>
  </si>
  <si>
    <t>CONSTRUCTION OF HANGING BRIDGE (SAN JUAN, ABORLAN, PALAWAN)</t>
  </si>
  <si>
    <t>CONSTRUCTION OF COMFORT ROOM AT PSAU GATE 2 -2nd Posting</t>
  </si>
  <si>
    <t>Supply, delivery and Installation of Split Type Aircon for the use of the Liga ng mga Barangay Office and Hall, Kidapawan City.</t>
  </si>
  <si>
    <t>Concreting of Marikit East Circumferential Road (INFRA2020-04)</t>
  </si>
  <si>
    <t>Supply and delivery of Veterinary Supplies and animal feeds to be used for the Animal Health Services of the Office of the City Veterinarian, Kidapawan City.</t>
  </si>
  <si>
    <t>Procurement of Various Vehicle Spareparts - OSP</t>
  </si>
  <si>
    <t>Procurement of Premium Gasoline - PGO</t>
  </si>
  <si>
    <t>Procurement of Materials for the Repair of Farm Equipment Facilities @ Pob. 01 and 02, Maslog, Eastern Samar</t>
  </si>
  <si>
    <t>Procurement of One (1) Unit Rescue Vehicle - PDRRMO</t>
  </si>
  <si>
    <t>20GP001CS-Consulting Services for the Conduct of Soil Subsurface Exploration for the Construction of River Control along Panay River Basin at Brgy. Poblacion Ilaya, Dumalag, Capiz; Brgy. Poblacion Ila</t>
  </si>
  <si>
    <t>Procurement of Banana Cardava Plantlets - PAGSO</t>
  </si>
  <si>
    <t>Procurement of Various Office Supplies - PHSO</t>
  </si>
  <si>
    <t>SUPPLY AND DELIVERY OF  GIANT BAMBOO</t>
  </si>
  <si>
    <t>CONC./IMPVT.OF ROAD AT SUNRISE VILLAGE, TIGUMA     2SAIP20-8000-C1a4</t>
  </si>
  <si>
    <t>CONSTRUCTION OF DRAINAGE ALONG F.S. PAJARES AVE. (JCT.SANSON ST. - CABRERA ST.) WESTERN SIDE    DRRMF20-1000-2-b10</t>
  </si>
  <si>
    <t>Supply and delivery of office and janitorial supplies for the use of BAC Office and CHRMO, Kidapawan City.</t>
  </si>
  <si>
    <t>Procurement of Various Housekeeping Supplies and Office Supplies - PEO - MOTORPOOL</t>
  </si>
  <si>
    <t>Procurement of Various Office Supplies - SDH</t>
  </si>
  <si>
    <t>Procurement of Various Laboratory Supplies - SDH</t>
  </si>
  <si>
    <t>Procurement of Vehicle Spare parts - PGO</t>
  </si>
  <si>
    <t>Procurement of One (1) Unit Digital Photocopier - SDH</t>
  </si>
  <si>
    <t>Procurement of Various Office Supplies - PSWDO</t>
  </si>
  <si>
    <t>Procurement of Window Grills - SLPL</t>
  </si>
  <si>
    <t>Procurement of Various Office Supplies - PAGSO</t>
  </si>
  <si>
    <t>Procurement of Materials for the Upgrading of Meter Stand of Maslog Water District, Maslog, Eastern Samar</t>
  </si>
  <si>
    <t>PR No.2020-05-58– PURCHASE OF ICT EQUIPMENTS for official use of DENR-CAR, PENRO Mountain Province</t>
  </si>
  <si>
    <t>Retrofitting of Suspension Bridge I @ Maslog, Eastern Samar</t>
  </si>
  <si>
    <t>AB MOOE ,RRMF AND SK PROJECT 2020 PORJECT-PURCHASE OF CCTV CAMERA, SUPPLIES,DEVICES AND GENERAL MERCHANDISE</t>
  </si>
  <si>
    <t>PR 1-20-03-0487, FOR USE OF OFFICE OF THE BUILDING OFFICIAL, CITY ENGINEERING DEPARTMENT.</t>
  </si>
  <si>
    <t>ORD PABAC 018-20 Lot 2  Procurement of 1,036,900 rds Ctg, 5.56mm Ball M855</t>
  </si>
  <si>
    <t>Procurement of Various Vehicle Spare Parts - PGO</t>
  </si>
  <si>
    <t>Procurement of GOODS FOR THE Installation of RAIN WATER HARVESTER</t>
  </si>
  <si>
    <t>PR 9-20-06-0671, FOR THE USE OF SAN CARLOS CITY HOSPITAL, THIS CITY.</t>
  </si>
  <si>
    <t>PR 1-20-06-0680, FOR USE OF CITY ENGINEERING DEPARTMENT ASSIGNED AT CED, THIS CITY.</t>
  </si>
  <si>
    <t>REHAB.OF ROAD (INCL.BOX CULVERT) AT JCTN.NATL HWAY   MAHOGANY LEADING TO SCHOOL SITE, BUENAVISTA     DF19-8000- B1-b13</t>
  </si>
  <si>
    <t>PR 1-20-03-0482, FOR USE AT THE OFFICE OF THE CITY AGRICULTURIST, THIS CITY.</t>
  </si>
  <si>
    <t>Purchase of Heavy Equipment (Brand New) 1. Boom Truck (Hydraulic) at Dinapigue, Isabela</t>
  </si>
  <si>
    <t>PR 18-20-06-0646, CONSTRUCTION AND DEVELOPMENT OF LAND CIRCUMFERENTIAL ROAD (C-1 BOULEVARD) PORT AREA, BRGY VI, SAN CARLOS CITY (FILLING FOR EMBANKMENT).</t>
  </si>
  <si>
    <t>PR 1-20-06-0699, FOR USE OF WIDENING &amp; IMPROVEMENT ALONG LEFT SIDE OF CIRCUMFERENTIAL ROAD (C-2) (FROM JUNCTION ECO-TOURISM HIGHWAY TO BATICULAN CREEK) 2ND REVISION.</t>
  </si>
  <si>
    <t>PR 1-20-06-0683, FOR USE OF  REP. AND MAINT. OF CITY ROADS.</t>
  </si>
  <si>
    <t>CONSTRUCTION OF 	TRIBAL CENTER</t>
  </si>
  <si>
    <t>Purchase of Motorcycles (Brand New)1.Two (2) units of Motorcycles - ₱ 100,000.00 2.One (1) unit of Motorcycle - ₱ 74,200.00 at Dinapigue, Isabela</t>
  </si>
  <si>
    <t>PR 1-20-06-0649, FOR USE IN THE  ELECTRICAL SERVICES, (CED ) THIS CITY.</t>
  </si>
  <si>
    <t>Purchase of One (1) unit Motorcycle (Brand New) at Dinapigue, Isabela</t>
  </si>
  <si>
    <t>Purchase of One (1) unit 4x4 Pick- Up Vehicle (Brand New) at Dinapigue, Isabela</t>
  </si>
  <si>
    <t>PR 1-20-06-0732, FOR USE OF REPAIR &amp; MAINTENANCE FOR VARIOUS ROADS OF BRGY CODCOD.</t>
  </si>
  <si>
    <t>PR 9-20-06-0739, FOR THE USE OF SAN CARLOS CITY HOSPITAL, THIS CITY.</t>
  </si>
  <si>
    <t>2LSSM2020A-281 Printing and Publication</t>
  </si>
  <si>
    <t>PR 401-20-03-0453, FOR USE OF THE VARIOUS WATER INFRASTUCTURE PROJECTS OF THE CITY IN COMPLIANCE TO EXISTING ENVIRONMENTAL LAWS AND ADMINISTRATIVE ORDERS.</t>
  </si>
  <si>
    <t>PR 1-20-06-0681, FOR USE OF THE SAN CARLOS CITY POLICE STATION AND REGIONAL MOBILE FORCE BATTALION 6, ASSIGNED IN THIS CITY.</t>
  </si>
  <si>
    <t>PR 1-20-04-0532, FOR USE OF TRAFFIC ENFORCER’S UNIFORM SAN CARLOS CITY NEG. OCC.</t>
  </si>
  <si>
    <t>PR 9-20-06-0695, FOR THE USE OF SAN CARLOS CITY HOSPITAL, THIS CITY.</t>
  </si>
  <si>
    <t>Office Equipment's</t>
  </si>
  <si>
    <t>PR 9-20-06-0734, FOR USE OF THE SAN CARLOS CITY HOSPITAL, THIS CITY.</t>
  </si>
  <si>
    <t>PR 1-20-06-0659, FOR USE IN ANIMAL DISEASE CONTROL PROGRAM, CITY AGRICULTURE OFFICE, THIS CITY.</t>
  </si>
  <si>
    <t>PR 9-20-06-0740, FOR USE OF THE SAN CARLOS CITY HOSPITAL, THIS CITY.</t>
  </si>
  <si>
    <t>PR 1-20-03-0497, FOR THE USE OF GUESTS, FACILITATORS AND VISITORS OF THE PUBLIC EMPLOYMENT SERVICE OFFICE, THIS CITY.</t>
  </si>
  <si>
    <t>2LSSM2020A-282 Military, Police &amp; Traffic Supplies</t>
  </si>
  <si>
    <t>PR 9-20-06-0676, FOR USE OF THE SAN CARLOS CITY HOSPITAL, THIS CITY.</t>
  </si>
  <si>
    <t>2LSSM2020A-278 Other Supplies and Materials</t>
  </si>
  <si>
    <t>PR 9-20-04-0533, FOR THE USE OF SAN CARLOS CITY HOSPITAL, THIS CITY.</t>
  </si>
  <si>
    <t>2LSSM2020A-277 Other Supplies and Materials</t>
  </si>
  <si>
    <t>PR 4-20-06-0643, FOR USE OF THE CWD IN THE THREADING OF GI PIPES DURING THE TRANSFERRING OF STUBOUTS FOR THE INSTALLATION OF ENCLOSURES IN THE WHOLE CITY.</t>
  </si>
  <si>
    <t>Procurement of Office Supplies, LGU-Maslog, E. Samar</t>
  </si>
  <si>
    <t>PR 1-20-06-0733, FOR USE OF REPAIR &amp; MAINTENANCE FOR VARIOUS ROADS OF BRGY QUEZON.</t>
  </si>
  <si>
    <t>2LSSM2020A-279 Procurement of Equipment</t>
  </si>
  <si>
    <t>2LSSM2020A-276 Office Supplies</t>
  </si>
  <si>
    <t>PR 9-20-03-0415, FOR THE REPLACEMENT OF AIRCON UNIT FOR DELIVERY ROOM, LABOR ROOM, &amp; PHARMACY SECTION OF THE CITY HOSPITAL.</t>
  </si>
  <si>
    <t>20CE0231: Asset Preservation – Preventive Maintenance – Secondary Roads - Bongabon – Rizal – Aurora Rd K0153+819 – K0153+1000</t>
  </si>
  <si>
    <t>2LSSM2020A-280 Procurement of Furniture &amp; Fixtures</t>
  </si>
  <si>
    <t>FURNISHING OF LABOR AND MATERIALS FOR THE CONCRETING OF BARANGAY ROAD</t>
  </si>
  <si>
    <t>Supply and Delivery of Various Construction Materials (Manpower Center)</t>
  </si>
  <si>
    <t>Rehabilitation/Improvement of Multi-Purpose Building Phase II</t>
  </si>
  <si>
    <t>SUPPLY AND DELIVERY OF MATERIALS FOR THE EXTENSION OF MULTI PURPOSE HALL (SLAB), BRGY. TUBIGAN, UNISAN, QUEZON</t>
  </si>
  <si>
    <t>PURCHASED OF BRGY PATROL CAR ( MOTORCYCLE W/ SIDECAR)</t>
  </si>
  <si>
    <t>FURNISHING OF LABOR AND MATERIALS FOR THE CONSTRUCTION OF DRAINAGE CANAL</t>
  </si>
  <si>
    <t>IMPROVEMENT OF BARANGAY STREETLIGHT - 20% EDF 2019</t>
  </si>
  <si>
    <t>Supply and Delivery of Catering Services for the Updating of MDRRM Plan and Formulation of BDRRM Plans</t>
  </si>
  <si>
    <t>Supply &amp; Delivery of FURNITURE &amp; FIXTURES</t>
  </si>
  <si>
    <t>20CE0230: Network Development – Construction of By-Pass and Diversion Roads - San Roque – Bacayao Road, Guimba By-Pass, Package 2, Nueva Ecija</t>
  </si>
  <si>
    <t>Flood Control (Malico)</t>
  </si>
  <si>
    <t>Provision of meals and snacks</t>
  </si>
  <si>
    <t>FURNISHING OF LABOR AND MATERIALS FOR THE IMPROVEMENT OF MULTI-PURPOSE HALL</t>
  </si>
  <si>
    <t>10 pcs Auto Bulb 24 volts (double big) and other items for stop light and signal light of vaccum trucks 1-8 used.</t>
  </si>
  <si>
    <t>CONSTRUCTION OF RIP RAP - 20% EDF 2019</t>
  </si>
  <si>
    <t>20CE0232: Asset Preservation – Rehabilitation/Reconstruction/Upgrading of Damaged Paved Roads – Primary Roads - Sn Jose – Lupao Rd - K0172+192 – K0172+259</t>
  </si>
  <si>
    <t>MG-LGD20-002..FUEL, GASOLINE, DIESEL</t>
  </si>
  <si>
    <t>20DN0145 - CONSTRUCTION OF PEDESTRIAN OVERPASS, MAMBUGAN, ANTIPOLO CITY, RIZAL</t>
  </si>
  <si>
    <t>Materials for the Concreting of Farm to Market Road, Brgy. Anuang, Cabatuan, Iloilo</t>
  </si>
  <si>
    <t>Provision of food supplies</t>
  </si>
  <si>
    <t>Procurement of Various Electrical Supplies-06-380(O)PEO</t>
  </si>
  <si>
    <t>RFQ FOR CONSTRUCTION SUPPLIES</t>
  </si>
  <si>
    <t>Procurement of Various Electrical Supplies-06-377(O)PEO</t>
  </si>
  <si>
    <t>Procurement of Various Electrical Supplies-06-376(O)PEO</t>
  </si>
  <si>
    <t>Procurement of Various Aggregates Supplies-06-383(O)PEO</t>
  </si>
  <si>
    <t>5 Units Duplicating Machine, 5 Units Photocopier Machines for LGU-Cabatuan, Iloilo</t>
  </si>
  <si>
    <t>Concreting of Farm to Market Road with Slope Protection at Sitio San Julian-Caniogan, Brgy. Escoda, Marcos, Ilocos Norte</t>
  </si>
  <si>
    <t>OFFICE EQUIPMENT SUPPLIES &amp; CONSUMABLES</t>
  </si>
  <si>
    <t>INSTALLATION OF SOLAR STREETLIGHTS AT BIAC NA BATO ST., BRGY. SILANGAN I, ROSARIO, CAVITE</t>
  </si>
  <si>
    <t>Airconditioning Unit for the Use of Isolation Facility, LGU-Cabatuan, Iloilo</t>
  </si>
  <si>
    <t>BEAUTIFICATION OF BOULEVARD ROAD (PLANT BOX AND LANDSCAPING)</t>
  </si>
  <si>
    <t>Procurement of Various Spare Parts-06-375(O)PEO</t>
  </si>
  <si>
    <t>Procurement of Various Construction Supplies and Materials-06-378(O)PEO</t>
  </si>
  <si>
    <t>Provision/Improvement of Hand Wash Area - San Miguel, Puraran, Guinsaanan, Moning, Abihao (rebid)</t>
  </si>
  <si>
    <t>Installation of Isolation Booth for PUM &amp; PUI @ San Pedro National High School, San Pedro</t>
  </si>
  <si>
    <t>Materials for the Concreting of Footwalk, Brgy. Zone 10, Cabatuan, Iloilo</t>
  </si>
  <si>
    <t>Procurement of Various Construction Supplies and Materials-06-379(O)PEO</t>
  </si>
  <si>
    <t>PROCUREMENT ON THE DELIVERY OF MATERIALS FOR THE PROPOSED SOLAR STREET LIGHTING</t>
  </si>
  <si>
    <t>REHABILITATION OF DRAINAGE</t>
  </si>
  <si>
    <t>Supply and Delivery of Two (2) units Brand New PATROL VAN for MCDRRMO/OPSS, City Government of Marikina</t>
  </si>
  <si>
    <t>Supply and Delivery Water System Materials &amp; Fittings</t>
  </si>
  <si>
    <t>Supply and delivery of materials for the completion of barangay gym at Brgy. Donganpekong, Matanao, Davao del Sur</t>
  </si>
  <si>
    <t>Procurement of Various Construction Supplies and Materials-06-100(Q)ZNMC</t>
  </si>
  <si>
    <t>Procurement of Various Construction Supplies and Materials-06-382(O)PEO</t>
  </si>
  <si>
    <t>Fuels/fuel Additives and Lubricants and Anti Corrisive</t>
  </si>
  <si>
    <t>P.R. # 20-06-063 For the repair and maintenance of national roads and bridges within Caloocan City and Valenzuela City, C.Y. 2020 Routine Maintenance 3rd Quarter (July to September)</t>
  </si>
  <si>
    <t>REPAIR OF 36 UNITS CCTV CAMERAS AND INSTALLATION OF 7 UNITS CCTV CAMERAS</t>
  </si>
  <si>
    <t>20DN0146 - CONSTRUCTION/ REHABILITATION OF MULTI - PURPOSE BUILDING, BRGY. BAGONG NAYON, ANTIPOLO CITY, RIZAL</t>
  </si>
  <si>
    <t>Supply and Delivery of Two (2) units Brand New MOTORCYCLE for MCDRRMO/OPSS, City Government of Marikina</t>
  </si>
  <si>
    <t>SUPPLY AND DELIVERY OF PORTABLE MICROBIOLOGICAL TEST FOR WATER</t>
  </si>
  <si>
    <t>UPGRADING OF LEVEL III WATER SUPPLY SYSTEM (PHASE IV)</t>
  </si>
  <si>
    <t>SUPPLY OF LABOR AND MATERIALS FOR THE PREVENTIVE MAINTENANCE AND CALIBRATION VARIOUS LABORATORY EQUIPMENT</t>
  </si>
  <si>
    <t>PURCHASE OF MEAT VAN VEHICLE</t>
  </si>
  <si>
    <t xml:space="preserve">P.R. # 20-06-066 For the repair and maint. of National roads and bridges within Caloocan City &amp; Valenzuela City, C.Y. 2020 Routine Maintenance (For the month of July to September) for Work Categories </t>
  </si>
  <si>
    <t>Supply and Delivery of Two (2) units Brand New COMPACT PASSENGER VAN for MSO-BHHRD, City Government of Marikina</t>
  </si>
  <si>
    <t>PROCUREMENT OF MATERIALS FOR FABRICATION OF FIBERGLASS PUMP BOAT</t>
  </si>
  <si>
    <t>Construction of Deep well, Purok Narra</t>
  </si>
  <si>
    <t>For acquisition of 85 spineboards for the use of the public schools in the City School Division.</t>
  </si>
  <si>
    <t>10 rms Book paper short</t>
  </si>
  <si>
    <t>Site Development of Municipal Sta. Rita Housing Project (Phase III)</t>
  </si>
  <si>
    <t>Construction of Brgy. Multi-purpose Building, Brgy. Ninoy Aquino, Canlaon City</t>
  </si>
  <si>
    <t>MG-TSE20-018..METER MULTIFUNCTION</t>
  </si>
  <si>
    <t>Cocoy – Natpugan Road Improvement</t>
  </si>
  <si>
    <t>20GK0226 - Concreting of Brgy. General Luna to Brgy. Barrera FMR, Brgy. General Luna and Brgy. Barrera, Sagay City, Negros Occidental</t>
  </si>
  <si>
    <t>20GK0227 - Concreting of Brgy. Lagaan FMR, Brgy. Lagaan, Calatrava, Negros Occidental</t>
  </si>
  <si>
    <t>Purchase and delivery of One (1) Unit Motor Vehicle - Patrol Vehicle</t>
  </si>
  <si>
    <t>CONSTRUCTION REHABILITATION OF CONCRETE ROAD</t>
  </si>
  <si>
    <t>20DN0147 - REHABILITATION OF ROAD WITH DRAINAGE, BLUE BELLS ST., BRGY. MAYAMOT, ANTIPOLO CITY</t>
  </si>
  <si>
    <t>SUPPLY AND INSTALLATION OF CLOSED CIRCUIT TELEVISION (CCTV) SYSTEM CAMERA</t>
  </si>
  <si>
    <t>PRE-BID CONFERENCE 7/July/2020 - Procurement of Goods: Const'n Materials for the use of CMO-Const'n of Parks &amp; Plaza's in Brgy's &amp; Subd. (Arena Stage Rear) at City Gov't Center (PR#100-20-06-0214)</t>
  </si>
  <si>
    <t>P.R. # 20-06-068 For the repair and maintenance of National roads &amp; bridges within Caloocan City &amp; Valenzuela City, C.Y. 2020 Routine Maintenance 3rd Quarter (July to September)</t>
  </si>
  <si>
    <t>Construction of Gymnasium (Phase VI) at Bauang North Central School, Central East, Bauang</t>
  </si>
  <si>
    <t>P.R. # 20-06-067 For the repair and maintenance of National roads &amp; bridges within Caloocan City &amp; Valenzuela City, For Work Category No. 18-Repainting of Faded Pavement Markings for the Month of July</t>
  </si>
  <si>
    <t>MG-TSE20-022..SWITCH, ISOLATION, METERING PROTECTION SYSTEM</t>
  </si>
  <si>
    <t>Repair and Rehabilitation of Municipal Streets Roads</t>
  </si>
  <si>
    <t>CONSTRUCTION OF DEEPWELL, MADOPDOP, LACNOG</t>
  </si>
  <si>
    <t>20DN0149 - REHABILITATION OF ROAD WITH DRAINAGE, CAROLINA VILLAGE, STA. CRUZ, ANTIPOLO CITY, RIZAL</t>
  </si>
  <si>
    <t>Emergency Purchase to prevent spread of covid 19 (PRN2020-4-112)</t>
  </si>
  <si>
    <t>Supplies and Equipment for Coconut By-Products Processing</t>
  </si>
  <si>
    <t>REHABILITATION OF LINED CANAL AND DRAINAGE (PARTIAL)</t>
  </si>
  <si>
    <t>PROCUREMENT OF ONE (1) UNIT BRAND NEW VEHICLE (VAN) TO BE USED FOR MASS TRANSPORT OF  LGU-MOLAVE</t>
  </si>
  <si>
    <t>Supply and Delivery of water supply Fittings and Materials</t>
  </si>
  <si>
    <t xml:space="preserve">P.R. # 20-06-070 For the repair and maintenance of national roads and bridges within Caloocan City and Valenzuela City, For work Category No. 18-Repainting of Faded Pavement Markings for the Month of </t>
  </si>
  <si>
    <t>Construction of Temporary Facility (Toilet) for Frontliners Barangay San Jose, Malaybalay City.</t>
  </si>
  <si>
    <t>Supply and delivery of office and janitorial Supplies for the various Offices(SP Office, Mayor’s Office, TMU,CENRO) of the City Government of Kidapawan.</t>
  </si>
  <si>
    <t>P.R. # 20-06-069 For the repair and maintenance of National roads &amp; bridges within Caloocan City &amp; Valenzuela City, C.Y. 2020 Routine Maintenance for the Purchase of Asphaltic Materials (Cold Laid) fo</t>
  </si>
  <si>
    <t>Supply and Delivery of One (1) unit Brand New PICK-UP  for MCDRRMO, City Government of Marikina</t>
  </si>
  <si>
    <t>Construction of Multi Purpose Building Phase I</t>
  </si>
  <si>
    <t>Amdalagan – Binag-il Road Improvement</t>
  </si>
  <si>
    <t>Procurement of construction materials for Road Improvement ( Concrete)@ Purok 1,Inggo Agus Street, San Jose</t>
  </si>
  <si>
    <t>20DN0148 - REHABILITATION OF ROAD WITH DRAINAGE, ORCHID ST., BRGY. MAYAMOT, ANTIPOLO CITY</t>
  </si>
  <si>
    <t>MG-TSE20-021..PROTECTION RELAY, DIGITAL</t>
  </si>
  <si>
    <t>STO20-06-24-0325 Provision for Catering Services, good for  30 pax for the Conduct of CY 2020 Program Level  3rd Quarter Assessment.</t>
  </si>
  <si>
    <t>STO20-06-24-0324 Provision of Catering Services, good for  30 pax for the Conduct of CY 2020 Program Level  Fourth Quarter Assessment.</t>
  </si>
  <si>
    <t>PROCUREMENT OF MOTOR VEHICLE (PASSENGER VAN)-REBID, DR. JOSE RIZAL MEMORIAL HOSPITAL</t>
  </si>
  <si>
    <t>PROCUREMENT OF VARIOUS EQUIPMENT FOR C.E. LABORATORY</t>
  </si>
  <si>
    <t>20DN0150 - ASPHALT OVERLAY, PINAGMISAHAN ST., BRGY. DELA PAZ, ANTIPOLO CITY</t>
  </si>
  <si>
    <t>CONSTRUCTION OF BAMBOO GREEN HOUSE/NURSERY, MAPAWAY</t>
  </si>
  <si>
    <t>Rehabilitation/Improvement of Farm to Market Road</t>
  </si>
  <si>
    <t>Palintaang – Kulili Road Improvement</t>
  </si>
  <si>
    <t>Catering services including room accommodation during 2-day training on business enterprise management</t>
  </si>
  <si>
    <t>Purchase of Motorcycle for Brgy. Canroma, Pontevedra, Neg. Occ.</t>
  </si>
  <si>
    <t>Supply and Delivery of Vehicle Parts and Accessories for replacement of worn-out parts of Planning and Design Section Vehicles</t>
  </si>
  <si>
    <t>Street Lighting</t>
  </si>
  <si>
    <t>150 pcs. Polo shirt with print back to back printing</t>
  </si>
  <si>
    <t>Acquisition of Multi-Cultivator</t>
  </si>
  <si>
    <t>Purchase of CCTV</t>
  </si>
  <si>
    <t>Purchase of Construction materials and supplies for Community Isolation Unit for Covid-19</t>
  </si>
  <si>
    <t>PROCUREMENT OF VACUUM PACK SEALER</t>
  </si>
  <si>
    <t>Emergency Purchase to prevent spread of  covid19 (PRN2020-4-113) 2b</t>
  </si>
  <si>
    <t>P.R. # 20-06-079 Ink for Printer Wf-C5790 for use of MMIIIDEO</t>
  </si>
  <si>
    <t>MG-TSE20-032..REHAB/REPAIR OF VARIOUS DEFECTIVE LOW/MEDIUM/HIGH VOLTAGE EQUIPMENT</t>
  </si>
  <si>
    <t>Job Request_03_Wall Partition of Staff House</t>
  </si>
  <si>
    <t>P.R. # 20-06-080 Mylar Film for use of Planning &amp; Design Section</t>
  </si>
  <si>
    <t>20DN0151 - REHABILITATION OF ROAD WITH DRAINAGE, BRGY. MUNTINDILAW, ANTIPOLO CITY</t>
  </si>
  <si>
    <t>SUPPLY AND DELIVERY OF 1 UNIT DIGITAL DUPLICATOR MACHINE</t>
  </si>
  <si>
    <t>Tupaan – Bileng Road Construction</t>
  </si>
  <si>
    <t>Supply and Delivery of ICT Equipment/Devices (GADGET for Good Governance with Enhanced Technology)</t>
  </si>
  <si>
    <t>Procurement of Office Furnitures for LGU Manito</t>
  </si>
  <si>
    <t>Supply and Delivery of Office Equipment (10 units closed circuit television including labor, materials and installation) for NIA - Bukidnon IMO Compound</t>
  </si>
  <si>
    <t>Pakyaw labor for the opening/gravelling of  Farm  to Market Road  @ Brgy, Kipit, Titay, ZSP.</t>
  </si>
  <si>
    <t>Computer Monitor and Accessories</t>
  </si>
  <si>
    <t>Job Request_01_Tilling Works of Solar Room</t>
  </si>
  <si>
    <t>SUPPLY &amp; DELIVERY OF CONSTRUCTION SUPPLIES TO BE USE BY CPSH</t>
  </si>
  <si>
    <t>Purchase of Consolidated office supplies for the 1st Quarter CY 2020 to be used in this municipality</t>
  </si>
  <si>
    <t>Supply and delivery of various office supplies as per PR# 2020-02-0454 etc.</t>
  </si>
  <si>
    <t>Construction of Municipal Slaughterhouse (Phase-1)</t>
  </si>
  <si>
    <t>PRE-BID CONFERENCE 7/July/2020 - Procurement of Goods: Const'n Materials &amp; Supplies for the use of CMO - Rehabilitation of Multi-purpose Pavement at CDRRMO Complex, Canocotan, T.C. (PR#100-20-06-0167)</t>
  </si>
  <si>
    <t>Supply and Delivery of Four (4) units Brand New ALUMINUM VAN  for MCDRRMO/GSO, City Government of Marikina</t>
  </si>
  <si>
    <t>Supply and Delivery of Spare Parts (5 pcs Battery &amp; 30 Tires) for Bukidnon IMO Vehicle</t>
  </si>
  <si>
    <t>120 tube Epson L120 ink black</t>
  </si>
  <si>
    <t>PROCUREMENT OF CONSTRUCTION SUPPLIES AND MATERIALS FOR THE ESTABLISHMENT OF ONE (1) UNIT MATERIAL RECOVERY FACILITY (MRF) AND PROCUREMENT OF ONE (1) UNIT PLASTIC AND GLASS BOTTLE SHREDDER/PULVERIZER-G</t>
  </si>
  <si>
    <t>Procurement of IT Equipment, Peripherals &amp; Other Office Equipment</t>
  </si>
  <si>
    <t>“Supply and delivery of office supplies for the month of May 2020 for Kasiglahan Village Elementary School”</t>
  </si>
  <si>
    <t>SUPPLY AND DELIVERY OF OFFICE SUPPLIES (P.R. NO. 100-20-04-0169)</t>
  </si>
  <si>
    <t>GAD Information and Dissemination Campaign</t>
  </si>
  <si>
    <t>Procurement of Various Plumbing Materials</t>
  </si>
  <si>
    <t>Procurement of Toyota HILUX Spare Parts</t>
  </si>
  <si>
    <t>Supply and Delivery of Additional High Amperage Cables Intended for Twelve (12) Units Generator Sets with Automatic Transfer Switch (ATS) for PMO-Mindoro</t>
  </si>
  <si>
    <t>QRF-URDUJA20-06-23-0011 Supply labor and materials for the Repair of plant Nursery Shed (Net Shade).</t>
  </si>
  <si>
    <t>Supply and delivery of agricultural supplies as per PR # 2020-02-0537 etc.</t>
  </si>
  <si>
    <t>Purchase of spareparts for the maintenance of Heavy Equipment &amp; various materials for motorpool use</t>
  </si>
  <si>
    <t>Procurement of IT and Office Equipment for LGU Manito</t>
  </si>
  <si>
    <t>Supply &amp; Delivery of Office Supplies @ Accounting Office, Rodriguez, Rizal</t>
  </si>
  <si>
    <t>Consturction of Buntis Lounge</t>
  </si>
  <si>
    <t>Various Drugs And Medicines</t>
  </si>
  <si>
    <t>Purchase of Diesel fuel oil and Lubricants for the opening and Graveling of Barangay San Juan Road connecting to Barangay Tiniapan.</t>
  </si>
  <si>
    <t>Delivery of Materials</t>
  </si>
  <si>
    <t>Emergency Purchase to prevent spread of  covid19 (PRN2020-4-116) 5b</t>
  </si>
  <si>
    <t>Procurement of Consultancy Services for the conduct of Detailed Engineering Design of the Expansion of Passenger Terminal Bldg (PTB) at Davao International Airport (Re-Bid)</t>
  </si>
  <si>
    <t>Supply/ Delivery of Hardware &amp; Construction Materials for Construction of Solar Drying Pavement at Alimot Cogonon, Brgy. Salvacion, Trento, Agusan del Sur</t>
  </si>
  <si>
    <t>Purchase of Diesel fuel oil and Lubricants for the Vehicle detiled at Mayor's office.</t>
  </si>
  <si>
    <t>(PVSO)  INVITATION TO BID FOR THE SUPPLY AND DELIVERY OF ANIMAL FEEDS  AND VETERINARY SUPPLIES   FOR THE  PROVINCIAL VETERINARY SERVICES OFFICE (PVSO)</t>
  </si>
  <si>
    <t>Rehab./Improvement of Multi-Purpose Building</t>
  </si>
  <si>
    <t>Supply and Delivery of One (1) Lot Vegetable Seeds (Re-Bid).</t>
  </si>
  <si>
    <t>Supply and Delivery of Medicine (Lot 1)</t>
  </si>
  <si>
    <t>Expansion of Hernani Cultural Stage and Construction of Comfort Room</t>
  </si>
  <si>
    <t>MG-TSE20-024..TESTER, INSULATION AT 10 KV</t>
  </si>
  <si>
    <t>(PGSO) INVITATION TO BID FOR THE SUPPLY AND DELIVERY OF CONSTRUCTION MATERIALS  FOR THE  PROVINCIAL GENERAL SERVICES OFFICE (PGSO)</t>
  </si>
  <si>
    <t>Purchase of Sparparts for Heavy Equipment.</t>
  </si>
  <si>
    <t>Repair and Maintenance of Breastfeeding Room</t>
  </si>
  <si>
    <t>PROCUREMENT OF OTHER SUPPLIES AND MATERIALS</t>
  </si>
  <si>
    <t>Balukok Water System Construction</t>
  </si>
  <si>
    <t>emergency pruchase to prevent spread of covid 19 (PRN2020-4-115)</t>
  </si>
  <si>
    <t>Procurement of ID Card Printer</t>
  </si>
  <si>
    <t>Supply and Delivery of Motorcycle for Traffic Management of this Municipality</t>
  </si>
  <si>
    <t>PRE-BID CONFERENCE 7/July/2020 - Procurement of Goods: 120 Units of LAPTOP COMPUTER for the use of DEPED - For Various Schools (PR#200-20-06-0125)</t>
  </si>
  <si>
    <t>Supply/ Delivery of Hardware &amp; Construction Materials for Construction of Solar Dryer at Sitio San Marcos, Brgy. Salvacion, Trento, Agusan del Sur</t>
  </si>
  <si>
    <t>COLLECTION AND DISPOSAL OF COVID-19 INFECTIOUS WASTES OF THE ILOILO CITY (P.R. 100-20-04-0174)</t>
  </si>
  <si>
    <t>proposed purchase of (3) units computer desktop with accessories</t>
  </si>
  <si>
    <t>20DN0153 - CONSTRUCTION OF MULTI - PURPOSE BUILDING (BARANGAY HALL EXTENSION), BRGY. STA. CRUZ, ANTIPOLO CITY, RIZAL</t>
  </si>
  <si>
    <t>10 roll Cling Film, Fermosa etc...</t>
  </si>
  <si>
    <t>PURCHASE OF MATERIALS FOR THE REHABILITATION OF BARANGAY ROAD (MALINAO WEST)</t>
  </si>
  <si>
    <t>PROCUREMENT OF VARIOUS BOOKS</t>
  </si>
  <si>
    <t>BARANGAY 849 MOOE/CO 2020</t>
  </si>
  <si>
    <t>Improvement of Multi-Purpose Hall at Cagwang, G-Hernandez, Bohol</t>
  </si>
  <si>
    <t>Herbicide (Round Up)</t>
  </si>
  <si>
    <t>To Purchase Computer Package RHU Off</t>
  </si>
  <si>
    <t>Invitation to Bid for PROCUREMENT OF OFFICE SUPPLIES AND EQUIPMENT</t>
  </si>
  <si>
    <t>PURCHASE OF THE MATERIALS FOR THE IMPROVEMENT OF WATER SYSTEM FROM PUROK 2 TO 7</t>
  </si>
  <si>
    <t>20DN0152 - CONSTRUCTION AND/ OR REPAIR/ REHABILITATION OF MULTI - PURPOSE BUILDING, BRGY. SAN JUAN, CAINTA, RIZAL</t>
  </si>
  <si>
    <t>(PVSO)  2ND INVITATION TO BID FOR THE SUPPLY AND DELIVERY OF AGRICULTURAL MACHINERY AND SUPPLIES FOR THE  PROVINCIAL VETERINARY SERVICES OFFICE (PVSO)</t>
  </si>
  <si>
    <t>Package 01: A. Bawi – Lebeng Concrete Pathway Extension, B. Ambuyeng CIS Improvement, C. Gaday – Huyukto FMR Improvement</t>
  </si>
  <si>
    <t>Clustered Project (Concreting of Barangay Road) located at Sitio III, Barangay Bagumbayan, Santa Cruz, Laguna</t>
  </si>
  <si>
    <t>Construction of 120 Meters Open Canal Channel</t>
  </si>
  <si>
    <t>PURCHASE OF MATERIALS FOR THE REHABILITATION OF BARANGAY ROAD (BONKOKAN UBOS)</t>
  </si>
  <si>
    <t>20DN0156 - CONSTRUCTION OF MULTI - PURPOSE BUILDING, CIVIC CENTER, BRGY. INARAWAN, ANTIPOLO CITY, RIZAL</t>
  </si>
  <si>
    <t>Procurement of construction materials for Sitio Galibaca Road Concreting, Calupaan</t>
  </si>
  <si>
    <t>PURCHASE OF VEGETABLE PRODUCTION MATERIALS AND EQUIPMENT</t>
  </si>
  <si>
    <t>COMPLETION OF BARANGAY MULTI-PURPOSE BUILDING</t>
  </si>
  <si>
    <t>PURCHASE OF SOFTWARE AND VARIOUS EQUIPMENTS OF DENR-PENRO PALAWAN</t>
  </si>
  <si>
    <t>2 Unit Water Tank etc..</t>
  </si>
  <si>
    <t>QRF-URDUJA20-06-23-0010 Supply labor and materials for the Repair Scion Grove Perimeter Fence.</t>
  </si>
  <si>
    <t>20DN0155 - CONCRETING OF ROAD WITH DRAINAGE, COGEO PH. 1, BAGONG NAYON, ANTIPOLO CITY, RIZAL</t>
  </si>
  <si>
    <t>Rehabilitation of Municipal Building, Municipal Compound, Panilao, Pilar, Bataan</t>
  </si>
  <si>
    <t>PURCHASE OF OFFICE SUPPLIES</t>
  </si>
  <si>
    <t>PURCHASE OF MATERIALS FOR THE REHABILITATION OF BARANGAY ROAD (JAMBAWAN)</t>
  </si>
  <si>
    <t>20DN0154 - REHABILITATION OF ROAD BROOKSIDE AVE., BRGY. MUNTINDILAW, ANTIPOLO CITY</t>
  </si>
  <si>
    <t>PROCUREMENT OF DIESEL</t>
  </si>
  <si>
    <t>Sustaining the Implementation of Privatized Segregated Collection of Solid Wastes, Operation and Management of Materials Recovery Facility.</t>
  </si>
  <si>
    <t>PURCHASE OF MATERIALS FOR THE REHABILITATION OF BARANGAY ROAD (MACALINGAN)</t>
  </si>
  <si>
    <t>Procurement of Agricultural Products (Seeds)</t>
  </si>
  <si>
    <t>2 Unit Desktop Computer etc..</t>
  </si>
  <si>
    <t>Procurement of Office supplies</t>
  </si>
  <si>
    <t>20DN0158 - CONSTRUCTION/ REHABILITATION OF MULTI - PURPOSE BUILDING, BRGY. DOLORES, TAYTAY, RIZAL</t>
  </si>
  <si>
    <t>Hibale SRIP, Package 2 (Const. of Lined Canal and Canal Structure)</t>
  </si>
  <si>
    <t>SUPPLY AND DELIVERY OF ROLLER SHADE (P.R. NO. 100-20-02-0069)</t>
  </si>
  <si>
    <t>Supply and delivery of AIRCON</t>
  </si>
  <si>
    <t>Supply, Installation and Activation of IP CCTV (Lot 1)</t>
  </si>
  <si>
    <t>SUPPLY OF GASOLINE FOR GOVERNMENT VEHICLES FOR 3RD QTR CY 2020</t>
  </si>
  <si>
    <t>Supply and Delivery : Surveying instrument- insfrastructure multi-purpose design system- integrated RTK GNSS hardware and software with training</t>
  </si>
  <si>
    <t>Hibale SRIP, Package 1 (Const. of Lined Canal and Canal Structure)</t>
  </si>
  <si>
    <t>Procurement of construction materials for Concreting of Road at Sitio Bangar, Sta. Maria</t>
  </si>
  <si>
    <t>PROCUREMENT OF MEDICAL, DENTAL AND LABORATORY SUPPLIES</t>
  </si>
  <si>
    <t>Establishment of Fish and Cacao Processing Project in Zamboanga Del Norte</t>
  </si>
  <si>
    <t>PURCHASE OF VARIOUS MEDICAL AND DENTAL SUPPLIES FOR USE IN THE CHO AND PUERICULTURE CENTER FOR THE 2ND QUARTER</t>
  </si>
  <si>
    <t>Asphalt Overlay at Along Tarlac City Plazuela Perimeter, Brgy. Poblacion, Tarlac City. B2020-076-A</t>
  </si>
  <si>
    <t>HVCDP20-06-02-0562 Supply and Delivery of Vehicle Parts and Accessories.</t>
  </si>
  <si>
    <t>Emergency Purchaseto prevent spread covid19 (PRN2020-4-114)</t>
  </si>
  <si>
    <t>2LSSM2020A-243 Office Supplies</t>
  </si>
  <si>
    <t>GASS20-06-04-0035 Repost Supply and Delivery of Plastic Product.</t>
  </si>
  <si>
    <t>2LSSM2020A-244 Office Supplies</t>
  </si>
  <si>
    <t>CONSTRUCTION OF DEEPWELL BLISS DILAG</t>
  </si>
  <si>
    <t>RFQ20-6-47 Electrical System Phase 1</t>
  </si>
  <si>
    <t>PURCHASE OF MATERIALS FOR THE REHABILITATION OF BARANGAY ROAD (MALINAO EAST)</t>
  </si>
  <si>
    <t>Purchase of Bond Paper, Multi Purpose Copy, Legal Size for Reproduction of Learners Module 2020-2021</t>
  </si>
  <si>
    <t>INVITATION TO BID FOR THE PROJECT: CONCRETING OF BANGCOL-LOMBOY ROAD, BANGCOL, STA. CRUZ, ZAMBALES</t>
  </si>
  <si>
    <t>Supply &amp; Delivery of Office Supplies &amp; Equipment @ Accounting Office, Rodriguez, Rizal</t>
  </si>
  <si>
    <t>Improvement of Multi-Purpose Covered Court &amp; Evacuation Center</t>
  </si>
  <si>
    <t>PURCHASE OF ELECTRIC BULB, OFFICE TABLES AND CONSTRUCTION OF BOW-LARD (HARBOR POST), BRGY POBLACION, BURDEOS, QUEZON</t>
  </si>
  <si>
    <t>20DN0157 - IMPROVEMENT/ CONSTRUCTION OF FLOOD CONTROL STRUCTURES OF KAMIAS CREEK (COGEO GATE 1), ANTIPOLO CITY, RIZAL</t>
  </si>
  <si>
    <t>20DN0159 - CONSTRUCTION OF MULTI - PURPOSE BUILDING, BRGY. MUZON,TAYTAY, RIZAL</t>
  </si>
  <si>
    <t>Trainer's Kit for the 2020 CPH 2nd, 3rd &amp; 4th Training</t>
  </si>
  <si>
    <t>Rehab of Health Center</t>
  </si>
  <si>
    <t>Procurement of Various Tire Wheel - Lot 1 - Tire Wheel for PEO Equipment</t>
  </si>
  <si>
    <t>Purchase and Delivery of 11 Units of Laptop for the Sangguniang Bayan Office</t>
  </si>
  <si>
    <t>Supply and Delivery of One (1) unit MPV L300 FB Van Body Dual AC M/T  to be used at Barangay Del Pilar, City of San Fernando, Pampanga</t>
  </si>
  <si>
    <t>Construction/Rehabilitation of Drainage Canal at Brgy. Capehan, Brgy. Balete and Brgy. Buenavista, Tarlac City. B2020-078-A</t>
  </si>
  <si>
    <t>ROAD CONCRETING (PUROK 4)</t>
  </si>
  <si>
    <t>PR 1-20-06-0763, FOR USE OF BAC SECRETARIAT &amp; PROCUREMENT DIVISION OF CITY MAYOR'S OFFICE, THIS CITY.</t>
  </si>
  <si>
    <t>20J00197 - Construction of Multi-Purpose Building (Grandstand), Brgy. Lawm Maimbung, Maimbung, Sulu</t>
  </si>
  <si>
    <t>PURCHASE AND INSTALLATION OF WATER PIPE LINES FOR BARANGAY WATER SYSTEM Barangay Pualas, Tubod, Lanao del Norte</t>
  </si>
  <si>
    <t>20DN0161 - CONSTRUCTION OF PEDESTRIAN OVERPASS, SUN VALLEY (BARANGAY BAGONG NAYON TO DELA PAZ), ANTIPOLO CITY</t>
  </si>
  <si>
    <t>Procurement of Spare Parts</t>
  </si>
  <si>
    <t>MAINTENANCE OF MUNICIPAL BULLDOZER.</t>
  </si>
  <si>
    <t>CONSTRUCTION OF PATHWAY, POBLACION</t>
  </si>
  <si>
    <t>PURCHASE OF INFORMATION TECHNOLOGY EQUIPMENT AND PARAPHERNALIA FOR THE DIFFERENT OFFICES OF THE MUNICIPAL GOVERNMENT OF NAGUILIAN, LA UNION (NOT AVAILABLE AT PS-DBM).</t>
  </si>
  <si>
    <t>2LSSM2020A-245 Office Supplies</t>
  </si>
  <si>
    <t>Job Request_02_Wall Partition of TESDA RTC Canteen</t>
  </si>
  <si>
    <t>SUPPLY AND DELIVERY OF OFFICE SUPPLIES (P.R. NO. 100-20-06-0233)</t>
  </si>
  <si>
    <t>CONSTRUCTION OF FLOOD CONTROL SYSTEM @ SITIO AYALA, POBLACION SAN PASCUAL, BATANGAS</t>
  </si>
  <si>
    <t>Procurement of Various Tire Wheel - Lot 2 - Tire Wheel - Pintuyan District Hospital</t>
  </si>
  <si>
    <t>2LSSM2020A-246 Office Supplies</t>
  </si>
  <si>
    <t>PROCUREMENT OF DRUGS AND MEDICINES</t>
  </si>
  <si>
    <t>Procurement of materials</t>
  </si>
  <si>
    <t>GIS ist and 2nd quarter repair of office equipment.</t>
  </si>
  <si>
    <t>Delivery of Sea Urchin Juveniles</t>
  </si>
  <si>
    <t>Procurement of Materials for the Construction of Drainage Canal, Barangay Garitan, Tagudin, Ilocos Sur</t>
  </si>
  <si>
    <t>LIVELIHOOD PROJECT - CATTLE FATTENING</t>
  </si>
  <si>
    <t>Purchase of Diesel fuel oil and Lubricants for Graveling of Purok 4 to Purok 54 at Barangay Villakapa.</t>
  </si>
  <si>
    <t>Purchase of office equipments for Community Learning Center and various schools</t>
  </si>
  <si>
    <t>Supply and Delivery of Materials, Labor and Construction/Improvement of Multi-Purpose Building at Barangay Lajala, Coron, Palawan.</t>
  </si>
  <si>
    <t>UPGRADING/IMPROVEMENT/REHABILITATION OF KALINGA DISTRICT HOSPITAL</t>
  </si>
  <si>
    <t>INSTALLATION OF ST.LIGHTS IN STRATEGIC AREA OF VARIOUS BRGYS.( WESTPLAIN, bRGY. S.A,LLANA, &amp; LUCIANO</t>
  </si>
  <si>
    <t>Hauling of hazardous waste</t>
  </si>
  <si>
    <t>Maintenance of St Lights</t>
  </si>
  <si>
    <t>Purchase of Supplies and Equipments for Covid-19 Prevention</t>
  </si>
  <si>
    <t>20J00202 - Construction/Concreting of Kan Izquierdo-Junction Sucuban Road, Luuk, Sulu</t>
  </si>
  <si>
    <t>Construction of Ambato High School Stage</t>
  </si>
  <si>
    <t>Supply and Delivery of Construction Materials for Concreting of Brgy. Road</t>
  </si>
  <si>
    <t>For use in operation of Road Grader 05, DT 2, DT3, Toyota Hilux AAG 1146 DT 12,DT 14, 15 &amp; 16,Boom Truck, DT07, Isuzu Trooper Backhoe-02 assigned at City Engineer's Office.</t>
  </si>
  <si>
    <t>20J00201 - Construction of Multi-purpose Building, Brgy. Tandu Bato, Luuk, Sulu</t>
  </si>
  <si>
    <t>PURCHASE AND INSTALLATION OF 1 SET BASKETBALL BOARD Barangay Pualas, Tubod, Lanao del Norte</t>
  </si>
  <si>
    <t>RICE20-02-12-0414 Supply and Delivery of Office Equipment.</t>
  </si>
  <si>
    <t>SOIL TEST ANALYSIS (SOIL SUB-SURFACE INVESTIGATION) (P.R. NO. 100-20-06-0231)</t>
  </si>
  <si>
    <t>20J00200 - Construction of Bud Sibalo Multi-Purpose Center, Sitio Sibalo, Brgy. Punay, Panglima Estino, Sulu</t>
  </si>
  <si>
    <t>CONSTRUCTION OF MALINGAO BIRTHING FACILITY  Barangay Malingao, Tubod, Lanao del Norte</t>
  </si>
  <si>
    <t>CONCRETING OF FARM TO MARKET ROAD Purok 3 &amp; 4, Barangay Pualas, Tubod, Lanao del Norte</t>
  </si>
  <si>
    <t>PROPOSED MAINTENANCE OFFICE WITH ELEVATED WATER TANK AT LUCAP PARK, BRGY. LUCAP, CITY OF ALAMINOS, PANGASINAN</t>
  </si>
  <si>
    <t>20DN0169 - CONSTRUCTION OF FLOODGATE, CAINTA RIVER, SAN FRANCISCO MANGGAHAN FLOODWAY, PHASE 3, BRGY. SAN JUAN, CAINTA, RIZAL</t>
  </si>
  <si>
    <t xml:space="preserve">20J00203 - Repair Maintenance of DPWH RO-IX Bldg. Maintenance Division Pantry DPWH Compound Veterans Avenue Extension, Tetuan, Z.C. and Repair/Maintenance of DPWH Bldg. Covered Equipark Phase II DPWH </t>
  </si>
  <si>
    <t>Repair/Rehabilitation of Handwashing Facility</t>
  </si>
  <si>
    <t>Supply &amp; delivery of materials for the Improvement of Senior Citizen's Building at Brgy. Pob. 5, Tanauan City, Batangas</t>
  </si>
  <si>
    <t>Construction of Dananao Multi-purpose building</t>
  </si>
  <si>
    <t>PURCHASE OF 2,200 PCS. HOUSE PLATE NUMBERING AT BRGY. STO. ANGEL, SAN PABLO CITY</t>
  </si>
  <si>
    <t>PROCUREMENT OF OFFICE EQUIPMENTS FOR USE IN DEVELOPMENT TRAININGS AND SEMINARS</t>
  </si>
  <si>
    <t>NCB Publication No. 2020- 20 (First Publication)- Improvement of Ubao- Haitan Road</t>
  </si>
  <si>
    <t>IMRPOVEMENT OF SINGLANAN CONCRETE CANAL BRGY. SINANGLANAN, MALAYBALAY CITY.</t>
  </si>
  <si>
    <t>Purchase of Vehicle for the Use of Bocaue Police</t>
  </si>
  <si>
    <t>Procurement of Catering Service for the conduct of 2020 Census of Population and Housing (CPH) 4th Level Training at Anini-y for PSA Antique PSO.</t>
  </si>
  <si>
    <t>IMPROVEMENT OF SAN MARTIN, CONCRETE CANAL PUROK 3, BRGY. SAN MARTIN, MALAYBALAY CITY.</t>
  </si>
  <si>
    <t>NCB Publication No. 2020- 19 (First Publication)- Improvement of Sta. Maria- Quarentinas Road</t>
  </si>
  <si>
    <t>CONSTRUCTION OF MULTI-PURPOSE BUILDING - TUBAJON, DINAGAT ISLANDS</t>
  </si>
  <si>
    <t>20JI0109 - Concreting of Brgy. Basalem FMR, Barangay Basalem, Buug, Zamboanga Sibugay</t>
  </si>
  <si>
    <t>Supply and Delivery of CM for the construction of of Barangay Health Station @ Pinayag</t>
  </si>
  <si>
    <t>Procurement of Library Online Databases and References</t>
  </si>
  <si>
    <t>CONSTRUCTION OF COVERED CANAL - TRAMO SILANGAN AND MP CONTI RD.</t>
  </si>
  <si>
    <t>Procurement of Catering Service for the conduct of 2020 Census of Population and Housing (CPH) 4th Level Training at Caluya for PSA Antique PSO</t>
  </si>
  <si>
    <t>CONSTRUCTION OF 2 UNITS MULTI-PURPOSE DRYING PAVEMENT PUROK 1, BRGY. SINANGLANAN/ PUROK 7, BRGY. SAN MARTIN, MALAYBALAY CITY.</t>
  </si>
  <si>
    <t>Purchase of Service Vehicle for Government Use of the Municipality of Bocaue</t>
  </si>
  <si>
    <t>PROCUREMENT FOR THE PROPOSED DORMITORY AND FUNCTION HALL  AT THE ROOF DECK OF THE THREE STOREY BUILDING, PHASE I, DR. JOSE RIZAL MEMORIAL HOSPITAL</t>
  </si>
  <si>
    <t>IMPROVEMENT OF HEALTH CENTER</t>
  </si>
  <si>
    <t>NCB Publication No. 2020- 21 (First Publication)- Improvement of Ubao- Lubuan Road</t>
  </si>
  <si>
    <t>20DN0171 - CONSTRUCTION/ REHABILITATION OF MULTI - PURPOSE BUILDING (PRITIL MEDICAL CENTER INCLUDING SITE DEVELOPMENT), BRGY. LIBIS, BINANGONAN, RIZAL</t>
  </si>
  <si>
    <t>Concreting/Rehabilitation of Local Road at Brgy. Balibago I, Brgy. Salapungan and Brgy. Tariji, Tarlac City. B2020-079-A</t>
  </si>
  <si>
    <t>Procurement of Catering Service for the conduct of 2020 Census of Population and Housing (CPH) 4th Level Training at Belison for PSA Antique PSO</t>
  </si>
  <si>
    <t>Desilting</t>
  </si>
  <si>
    <t>Repair/Renovation of DAO</t>
  </si>
  <si>
    <t>CONSTRUCTION/REHABILITATION/IMPROVEMENT OF LOCAL GOVERNMENT-OWNED POTABLE WATER SUPPLY SYSTEM @ BARANGAY KAINGIN, SAN PASCUAL, BATANGAS</t>
  </si>
  <si>
    <t>Procurement of Catering Service for the conduct of 2020 Census of Population and Housing (CPH) 4th Level Training at Bugasong for PSA Antique PSO</t>
  </si>
  <si>
    <t>Barangay Day-Anti-Covid- 19 Kits</t>
  </si>
  <si>
    <t>CONSTRUCTION OF 2 UNITS MULTI- PURPOSE DRYING PAVEMENT PUROK 4 &amp; PUROK 8, BRGY. LINABO, MALAYBALAY CITY.</t>
  </si>
  <si>
    <t>FIRE EXTINGUISHER</t>
  </si>
  <si>
    <t>Procurement of Various Tire Wheel - Lot 3 - Tire Wheel - PAGSO</t>
  </si>
  <si>
    <t>CONSTRUCTION/REHABILITATION/IMPROVEMENT OF LOCAL GOVERNMENT-OWNED POTABLE WATER SUPPLY SYSTEM @ BARANGAY RESPLANDOR, SAN PASCUAL, BATANGAS</t>
  </si>
  <si>
    <t>20DN0168 - CONSTRUCTION OF FLOODGATE, CAINTA RIVER, SAN FRANCISCO, MANGGAHAN FLOODWAY, BRGY. SAN JUAN (PHASE 2), CAINTA, RIZAL</t>
  </si>
  <si>
    <t>Procurement of Catering Service for the conduct of 2020 Census of Population and Housing (CPH) 4th Level Training at Barbaza for PSA Antique PSO</t>
  </si>
  <si>
    <t>Concreting of Sitio Bato/Penac Road (Kakawayanan) Brgy. Baug, Urbiztondo, Pangasinan</t>
  </si>
  <si>
    <t>Supply / Delivery of 5,200 pcs Abaca Seedlings &amp; 10,000 pcs Durian Seedlings (Grafted)</t>
  </si>
  <si>
    <t>PURCHASE OF MUTLI-PURPOSE TRUCK(BRGY.UNZAD, VILLASIS, PANGASINAN)</t>
  </si>
  <si>
    <t>20J00198 - Rehabilitation of Jolo Mainland Water District, Brgy. Asturias, Jolo, Sulu</t>
  </si>
  <si>
    <t>CONSTRUCTION OF WATER WORKS P2 DUGPA</t>
  </si>
  <si>
    <t>20J00199 - Buildings and Other Structures - School Buildings - Construction of Three-Storey School Building, Tandu-Bato Elementary School, Brgy. Tandu-Bato, Luuk, Sulu</t>
  </si>
  <si>
    <t>Construction of Drainage Canal at Relocation Site,Purok 5 Brgy. 9, Malaybalay City.</t>
  </si>
  <si>
    <t>CONCRETING OF MAYOR ALEJO STREET, Brgy. 10 Poblacion, Can-avid Eastern Samar</t>
  </si>
  <si>
    <t>CONSTRUCTION OF WWS ISLA BADO DANGWA</t>
  </si>
  <si>
    <t>Concreting of Local Road (Phase III) at Brgy. Binauganan, Tarlac City. B2020-080-A</t>
  </si>
  <si>
    <t>IMPROVEMENT OF BARANGAY HALL</t>
  </si>
  <si>
    <t>Procurement of Catering Service for the conduct of 2020 Census of Population and Housing (CPH) 4th Level Training at Culasi for PSA Antique PSO</t>
  </si>
  <si>
    <t>Concreting/Rehabilitation of Local Road at Brgy. Alvindia and Balibago II, Tarlac City. B2020-081-A</t>
  </si>
  <si>
    <t>Road Maintenance of Public Cemetery</t>
  </si>
  <si>
    <t>CONSTRUCTION OF MULTI-PURPOSE DRYING PAVEMENT PUROK 2, BRGY. STO. NIÑO, MALAYBALAY CITY.</t>
  </si>
  <si>
    <t>2LSSM2020A-247 Office Supplies</t>
  </si>
  <si>
    <t>Procurement of Catering Service for the conduct of 2020 Census of Population and Housing (CPH) 4th Level Training at Libertad for PSA Antique PSO</t>
  </si>
  <si>
    <t>PROCUREMENT OF TIRES FOR THE REPAIR AND MAINTENANCE OF TRANSPORTATION EQUIPMENT</t>
  </si>
  <si>
    <t>BARANGAY WATER SYSTEM BRGY. MALIGAYA, MALAYBALAY CITY.</t>
  </si>
  <si>
    <t>Negotiated Procurement – Two (2) Failed Biddings for the Procurement of Consulting Services for the Review and Updating of the Study on the Fluctuation Factors (K) and Parametric Formula under the Rev</t>
  </si>
  <si>
    <t>SUPPLY AND DELIVERY OF JANITORIAL SUPPLIES (P.R. NO. 100-20-06-0214)</t>
  </si>
  <si>
    <t>Concreting/Rehabilitation of Local Road at Brgy. Balanti and Brgy. San Jose de Urquico, Tarlac City. B2020-082-A</t>
  </si>
  <si>
    <t>Supply and Delivery of Agricultural Supplies, Seeds, Seedlings and Fertilizers ITB No. 2020-160</t>
  </si>
  <si>
    <t>Procurement of Various Tire Wheel - Lot 4 - Tire Wheel - PHSO</t>
  </si>
  <si>
    <t>Purchase of Spareparts for the Municipal Government Vehicle</t>
  </si>
  <si>
    <t>Procurement of Catering Service for the conduct of 2020 Census of Population and Housing (CPH) 4th Level Training at Laua-an for PSA Antique PSO</t>
  </si>
  <si>
    <t>Concreting of Pathway Sun-ok (Pruok 6, Bogo)</t>
  </si>
  <si>
    <t>Purchased of laptop computer with printer</t>
  </si>
  <si>
    <t>2LSSM2020A-248 Office Supplies</t>
  </si>
  <si>
    <t>Procurement of CW-Improvement of SLF (Phase I), Construction of SLF Protection _@ Tidang Village</t>
  </si>
  <si>
    <t>Supply and Delivery of CM for the improvement of CIS Soriano and Lopez Residence @ Baan KNV</t>
  </si>
  <si>
    <t>PROCUREMENT OF VARIOUS CONSTRUCTION MATERIALS FOR THE IMPROVENT OF MULTI-PURPOSE HALL (SENIOR CITIZEN) AT MUNICIPAL SITE BSK</t>
  </si>
  <si>
    <t>Purchase of 1 Computer Set</t>
  </si>
  <si>
    <t>Purchase of 1 unit Office Vault (steel)</t>
  </si>
  <si>
    <t>REHABILITATION OF BARANGAY ROADS</t>
  </si>
  <si>
    <t>PROCUREMENT/ PURCHASE OF AMBULANCE</t>
  </si>
  <si>
    <t>SUPPLY OF ONE (1) UNIT OF TRANSPORT VAN W/ DUAL AIRCON, 2.3L TO 2.6L, EURO 4 DIESEL ENGINE</t>
  </si>
  <si>
    <t>Concreting/Rehabilitation of Tan-awan to Guimotan Road</t>
  </si>
  <si>
    <t>Construction of Elevated Pathway at Dasmariñas St.  Phase I</t>
  </si>
  <si>
    <t>Procurement of Catering Service for the conduct of 2020 Census of Population and Housing (CPH) 4th Level Training at Patnongon for PSA Antique PSO</t>
  </si>
  <si>
    <t>SUPPLY, DELIVERY &amp; INSTALLATION OF FIFTY-SEVEN (57) UNITS TELLERING ALARM SYSTEM FOR VARIOUS SSS BRANCH OFFICES</t>
  </si>
  <si>
    <t>PROPOSED CONSTRUCTION OF BASE WI-FI RADIO ANTENNA VIDEO TRANSCEIVER COMMUNICATION FOR CCTV TRAFFIC MONITORING SYSTEM AND INSTALLATION OF PERIMETER SECURITY CAMERA IN POSO OFFICE, POOLSIDE COMPOUND POB</t>
  </si>
  <si>
    <t>Procurement of Catering Service for the conduct of 2020 Census of Population and Housing (CPH) 4th Level Training at San Jose for PSA Antique PSO</t>
  </si>
  <si>
    <t>PURCHASE OF AIRCON SPLIT TYPE</t>
  </si>
  <si>
    <t>2LSSM2020A-249 Office Supplies</t>
  </si>
  <si>
    <t>PROCUREMENT OF VARIOUS CONSTRUCTION MATERIALS FOR THE IMPROVENT AND INSTALLATION OF LIGHTING FACILITIES (ELECTRACATION AND REWIRING OF MUNICIPAL PLAZA, GRANSTAND CHILDRENS PARK) AT MUNCIPAL SITE BSK</t>
  </si>
  <si>
    <t>Water Service Connection Materials and Fittings</t>
  </si>
  <si>
    <t>PROCUREMENT OF 1 UNIT SELF-LOADING PRIME MOVER (SURPLUS)</t>
  </si>
  <si>
    <t>2LSSM2020A-254 Office Supplies</t>
  </si>
  <si>
    <t>Procurement of Consulting Services</t>
  </si>
  <si>
    <t>Supply and Delivery of CM-for the improvement of Besong-Amelong Labeng Road</t>
  </si>
  <si>
    <t>Procurement of Catering Service for the conduct of 2020 Census of Population and Housing (CPH) 4th Level Training at Hamtic for PSA Antique PSO</t>
  </si>
  <si>
    <t>Procurement of 1 Package Improvement of City Accountants Office under P.R.Nos. 2561-2020-Office of the City Accountant</t>
  </si>
  <si>
    <t>Procurement of CW-Construction of Embankment Protection @ Balangabang KNV</t>
  </si>
  <si>
    <t>Construction of Trapezoidal Concrete Canal Lining (Sta. 9+998-Sta. 10+545) of LARIS Lateral E, Rectangular Concrete Canal Lining (Sta. 5+640-Sta. 6+141) of LARIS CD-1-6 and Drain Inlet (Sta. 27+590) o</t>
  </si>
  <si>
    <t>PROPOSED UPGRADING OF PCC PAVEMENT AND DRAINAGE SYSTEM AT BARANGAY HERRERO-PEREZ (INFRONT OF CHO AND RED CROSS), DAGUPAN CITY - PHASE I</t>
  </si>
  <si>
    <t>Supply of Civil Works for Construction of Lipata Brgy. Health Station</t>
  </si>
  <si>
    <t>2LSSM2020A-255 Office Supplies</t>
  </si>
  <si>
    <t>IT-Equipment - MTO</t>
  </si>
  <si>
    <t>Construction of  pavement Dasmariñas Phase II</t>
  </si>
  <si>
    <t>20CSIB08 : 2.	Subsurface Soil exploration works for proposed Rehabilitation/Construction of 2-Storey Quality Assrurance and Maintenance Building</t>
  </si>
  <si>
    <t>Procurement of Catering Service for the conduct of 2020 Census of Population and Housing (CPH) 4th Level Training at Sibalom for PSA Antique PSO</t>
  </si>
  <si>
    <t>PROPOSED UPGRADING OF PCC PAVEMENT AND DRAINAGE SYSTEM AT GALVAN ST., BARANGAY IV, DAGUPAN CITY</t>
  </si>
  <si>
    <t>2LSSM2020A-250 Office Supplies</t>
  </si>
  <si>
    <t>Communication Equipment - DepEd Maasim 2 District</t>
  </si>
  <si>
    <t>2LSSM2020A-256 Food Supplies</t>
  </si>
  <si>
    <t>SUPPLY AND DELIVERY OF TIRE (rfq#2020-05-2,333)-(pgo-benro)</t>
  </si>
  <si>
    <t>PROCUREMENT OF VARIOUS CONSTRUCTION MATERIALS FOR THE IMPROVENT OF CHILDRENS PARK, PLAZA &amp; MONUMENTS AT MUNICIPAL SITE BSK</t>
  </si>
  <si>
    <t>2LSSM2020A-252 Office Supplies</t>
  </si>
  <si>
    <t>1 unit Motor Vehicle for Disaster &amp; Emergency Response</t>
  </si>
  <si>
    <t>2LSSM2020A-253 Office Supplies</t>
  </si>
  <si>
    <t>TO SUPPLY AND DELIVERY OF VARIOUS FILTERS INTENDED FOR BATAG DPP</t>
  </si>
  <si>
    <t>UPGRADING/ IMPROVEMENT/ REHABILITATION OF TANUDAN MUNICIPAL HOSPITAL (TMH), BANAGAO</t>
  </si>
  <si>
    <t>Communication Equipment - DepEd Maasim 1 District</t>
  </si>
  <si>
    <t>SUPPLY AND DELIVERY OF I.T. SUPPLIES (rfq#2019-10-3,059)-(pgo-pdrrmd)</t>
  </si>
  <si>
    <t>Purchase of Ladder</t>
  </si>
  <si>
    <t>COMPLETION OF THE SEVEN (7) STOREY OB-GYNE AND PEDIATRIC WARD BUILDING (4TH-6TH FLOOR)</t>
  </si>
  <si>
    <t>Procurement of Cleaning and Beautification Materials</t>
  </si>
  <si>
    <t>SUPPLY OF EIGHT (8) UNITS OF TWO-WAY HANDHELD RADIO TRANSCEIVER</t>
  </si>
  <si>
    <t>PROCUREMENT OF VARIOUS CONSTRUCTION MATERIALS FOR THE IMPROVENT OF MULTI-PURPOSE HALL (IP OFFICE AT MUNICIPAL SITE BUILDING) BSK</t>
  </si>
  <si>
    <t>CONCRETING OF BARANGAY STREET, Brgy. Canteros, Can-avid Eastern Samar</t>
  </si>
  <si>
    <t>Procurement of Catering Service for the conduct of 2020 Census of Population and Housing (CPH) 4th Level Training at Sebaste for PSA Antique PSO</t>
  </si>
  <si>
    <t>Purchase of disaster equipment (cutter and spreader portable)</t>
  </si>
  <si>
    <t>Supply and delivery of 1 set Computer Desktop and 1 unit computer Printer, 3-in-1 for use in the Prov'l. Gov's Office. ABC PHP74,530.00</t>
  </si>
  <si>
    <t>STO20-05-26-0247 Supply and Delivery of Planting Materials.</t>
  </si>
  <si>
    <t>Fence</t>
  </si>
  <si>
    <t>Construction of 4-Classroom School Building (Municipal Counterpart)</t>
  </si>
  <si>
    <t>Purchase of Tires</t>
  </si>
  <si>
    <t>Procurement of Meals</t>
  </si>
  <si>
    <t>CONSTRUCTION OF CANAL AT BARANGAY POBLACION I</t>
  </si>
  <si>
    <t>2	unit	Computer set w/ printer, etc. PR # 09-20</t>
  </si>
  <si>
    <t>Procurement of Catering Service for the conduct of 2020 Census of Population and Housing (CPH) 4th Level Training at Tobias Fornier for PSA Antique PSO</t>
  </si>
  <si>
    <t>INSTALLATION OF SOLAR STREET LIGHTS, BARANGAY MACPAC, CATANAUAN, QUEZON</t>
  </si>
  <si>
    <t>Construction of Storage Facility</t>
  </si>
  <si>
    <t>SUPPLY AND DELIVERY OF VAN, 2.8L, DIESEL, 4 CYLINDER DOHC, M/T, WITH 3 YEARS LTO REGISTRATION</t>
  </si>
  <si>
    <t>SUPPLY &amp; DELIVERY OF FUEL, OIL &amp; LUBRICANTS</t>
  </si>
  <si>
    <t>MEALS AND SNACKS FOR THE YEAR ROUND WOMEN EMPOWERNMENT ORIENTATIONS AND FREE LEGAL ASSISTANCE</t>
  </si>
  <si>
    <t>2LSSM2020A-258 Food Supplies</t>
  </si>
  <si>
    <t>Supply of Materials, Labor and Installation of 30Mbps Dedicated Fiber Optic Leased Line 2020</t>
  </si>
  <si>
    <t>SUPPLY &amp; DELIVERY OF FUEL, OIL &amp; LUBRICANTS(MEO)</t>
  </si>
  <si>
    <t>PROCUREMENT OF VARIOUS CONSTRUCTION MATERIALS FOR THE CONSTRUCTION OF DRING PAVEMENT AT PRK.KANULOY BRGY. BAI SARIPINANG BSK</t>
  </si>
  <si>
    <t>Supply of Civil Works for the Renovation/Repair of San Miguel Brgy. Health Station</t>
  </si>
  <si>
    <t>Repair/Replacement of Dilapidated Roofings, Sidings and Support at Agro-Industrial Building, Barangay Bersamin, Alcala, Pangasinan</t>
  </si>
  <si>
    <t>Procurement of Vehicle-06-368(A)PGO</t>
  </si>
  <si>
    <t>Procurement of Snacks and Drinks</t>
  </si>
  <si>
    <t>3	units	 Printer, PR # 33-20</t>
  </si>
  <si>
    <t>Labor - For the installation of distribution mains at Brgy. San Juan, Provincial Road, San Manuel, Pangasinan</t>
  </si>
  <si>
    <t>Procurement of Catering Service for the conduct of 2020 Census of Population and Housing (CPH) 4th Level Training at Valderrama for PSA Antique PSO</t>
  </si>
  <si>
    <t>Delivery of various Medical, Dental &amp; Laboratory supplies and Veterinary Supplies (1st Semester 2020) (ITB 20-075)</t>
  </si>
  <si>
    <t>SUPPLY &amp; DELIVERY OF VEHICLE PARTS &amp; ACCESSORIES</t>
  </si>
  <si>
    <t>Construction of Covered Court/ Evacuation Center at Barangay San Vicente, Alcala, Pangasinan</t>
  </si>
  <si>
    <t>Rehabilitation of San Vicente (Poblacion) Port Restroom</t>
  </si>
  <si>
    <t>TO SUPPLY AND DELIVERY OF MINIATURE CIRCUIT BREAKER &amp; 7 OTHERS INTENDED FOR LIMASAWA DPP</t>
  </si>
  <si>
    <t>Expansion of Students Athletic Ground (Lot 2-Savings)</t>
  </si>
  <si>
    <t>Invitation to bid for Rehabilitation of Manpower &amp; Multi-Purpose Development Center</t>
  </si>
  <si>
    <t>20JI0110-Concreting of Brgy. Bulawan FMR, Barangay Bulawan, Payao, Zamboanga Sibugay</t>
  </si>
  <si>
    <t>2LSSM2020A-262 Other Supplies and Materials</t>
  </si>
  <si>
    <t>ROAD CONCRETING</t>
  </si>
  <si>
    <t>Emergency Purchase in resp to covid19 mayor's off 47A</t>
  </si>
  <si>
    <t>Procurement of Catering Service for the conduct of 2020 Census of Population and Housing (CPH) 4th Level Training at Buenavista for PSA Guimaras PSO</t>
  </si>
  <si>
    <t>Procurement of Fuel and Lubricants (For Consumption of Peace and Order Monitoring)</t>
  </si>
  <si>
    <t>SUPPLY AND DELIVERY OF FUEL &amp; OIL FOR THE DESILTING/DREDGING OF WATERWAYS (SAN JUAN &amp; CONSUELO)</t>
  </si>
  <si>
    <t>Procurement of Lechon</t>
  </si>
  <si>
    <t>2LSSM2020A-261 Food Supplies</t>
  </si>
  <si>
    <t>SUPPLY AND DELIVERY OF TONER, CARTRIDGE INTENDED FOR MINI GRID ALMAGRO</t>
  </si>
  <si>
    <t>Purchase of Two way radio</t>
  </si>
  <si>
    <t>2LSSM2020A-260 Food Supplies</t>
  </si>
  <si>
    <t>450	kilos	Hybrid Rice Seeds (Bigante plus), etc. PR 163-20</t>
  </si>
  <si>
    <t>INSTALLATION OF ELECTRIC LINES SERVICE DROP @ HIGHWAY FOOD COURT</t>
  </si>
  <si>
    <t>SUPPLY &amp; DELIVERY OF FUEL, OIL &amp; LUBRICANTS(SBO)</t>
  </si>
  <si>
    <t>Regular Bidding 7/July/2020 - Procurement of Goods: Const'n Materials &amp; Supplies for the use of CHLMO(Patubig Dev't Program-Const'n of Jetmatic Pump at Prk. Mangga, Mankilam, T.C.) (PR#100-20-06-0223)</t>
  </si>
  <si>
    <t>Improvement of Mechanical Dryer (Concrete Pavement) at Agro-Industrial Building, Barangay Bersamin, Alcala, Pangasinan</t>
  </si>
  <si>
    <t>PURCHASE OF MEDICINE SUPPLIES FOR RHU</t>
  </si>
  <si>
    <t>Procurement of Catering Service for the conduct of 2020 Census of Population and Housing (CPH) 4th Level Training at Nueva Valencia, Guimaras for PSA Guimaras PSO</t>
  </si>
  <si>
    <t>IMPROVEMENT OF DAY CARE CENTER</t>
  </si>
  <si>
    <t>TO SUPPLY LABOR, TOOLS AND MATERIALS HAULING OF FG WILSON CONTROL PANEL INTENDED FOR MINI GRID STO. NINO</t>
  </si>
  <si>
    <t>ELECTRIFICATION OF NEW CLASSROOM BUILDING  (INSTALLATION OF ELECTRICITY OF THE EIGHT CLASSROOM OF NEW SCHOOL BUILDING)</t>
  </si>
  <si>
    <t>Concrete Paving of Farm-to-Market Road at Barangay Atainan, Alcala, Pangasinan</t>
  </si>
  <si>
    <t>2LSSM2020A-263 Other Supplies and Materials</t>
  </si>
  <si>
    <t>Service Vehicle (AUV)</t>
  </si>
  <si>
    <t>CONCRETING OF BARANGAY STREET, Brgy. Camantang, Can-avid Eastern Samar</t>
  </si>
  <si>
    <t>FOR ENHANCEMENT OF CACAO PRODUCTION THRU PROVISION OF FERTILIZER SUBSIDY</t>
  </si>
  <si>
    <t>PR 6.035 ITB No. 2020-031 TOURIST PHILCARE KIT</t>
  </si>
  <si>
    <t>PRODUCTION OF DLPs FOR THE NEW NORMAL</t>
  </si>
  <si>
    <t>Procurement of Maintenance of Heavy Equipment (1 unit Kumatsu Grader)</t>
  </si>
  <si>
    <t>140	bags	Synthetic Complete fertilizer (14-14-14), etc. PR # 164-20</t>
  </si>
  <si>
    <t>20JA0085  - CONSTRUCTION OF RAINWATER COLLECTION SYSTEM (RCWS) AT TAMION ELEMENTARY SCHOOL, TICTAPUL ELEMENTARY SCHOOL, TICTAPUL NATIONAL HIGH SCHOOL, SINUNUC ELEMENTARY SCHOOL, NANGKA ELEMENTARY ...</t>
  </si>
  <si>
    <t>GASS20-06-29-0046 Supply and Delivery of Office Equipment</t>
  </si>
  <si>
    <t>Procurement of Catering Service for the conduct of 2020 Census of Population and Housing (CPH) 4th Level Training at Jordan for PSA Guimaras PSO</t>
  </si>
  <si>
    <t>SUPPLY AND DELIVERY OF RECONDITIONED MINI-DUMP TRUCK</t>
  </si>
  <si>
    <t>TO SUPPLY AND DELIVERY OF BELT, RADIATOR FAN &amp; 11 OTHERS INTENDED FOR STO. NINO DPP</t>
  </si>
  <si>
    <t>SUPPLY AND DELIVERY OF LAPTOPS FOR TEACHERS OF LIMAY'S VARIOUS SCHOOLS</t>
  </si>
  <si>
    <t>TO SUPPLY LABOR, TOOLS &amp;  MATERIALS FOR THE REWINDING OF MAIN GENERATOR STATOR INTENDED FOR STO. NINO DPP</t>
  </si>
  <si>
    <t>2020-06-01</t>
  </si>
  <si>
    <t>2LSSM2020A-257 Food Supplies</t>
  </si>
  <si>
    <t>Procurement of Catering Service for the conduct of 2020 Census of Population and Housing (CPH) 4th Level Training at Tibiao for PSA Antique PSO</t>
  </si>
  <si>
    <t>2	Units	Printer 3in1 with built-in CISS, etc. PR # 769-19</t>
  </si>
  <si>
    <t>Materials - For the installation of distribution mains at Bryg. San Juan, Provincial Road, San Manuel, Pang.</t>
  </si>
  <si>
    <t>70TH ARAW NG LABANGAN 2020</t>
  </si>
  <si>
    <t>ENGINE ASSEMBLY FOR DUMPTRUCK</t>
  </si>
  <si>
    <t>2LSSM2020A-251 Office Supplies</t>
  </si>
  <si>
    <t>Supply and Delivery of One Lot Office Supplies ITB No. 2020-152A</t>
  </si>
  <si>
    <t>Concrete Paving of Farm-to-Market Road at Barangay Kisikis, Alcala, Pangasinan</t>
  </si>
  <si>
    <t>INVITATION TO BID FOR THE PROCUREMENT OF FUEL, OIL AND LUBRICANT</t>
  </si>
  <si>
    <t>Repair/Rehabilitation of Ceiling (Planning Office, Budget Office, Accounting Office, MSWDO Office, 1st Floor Hallway &amp; Municipal Trial Circuit Office) at Municipal &amp; Legislative Building, Barangay Pob</t>
  </si>
  <si>
    <t>20CB-GSC-370 PURCHASE OF GRASS CUTTER AND MOWER (RE-BID)</t>
  </si>
  <si>
    <t>Communication Equipment - DepEd Maasim 3 District</t>
  </si>
  <si>
    <t>Regular Bidding 7/July/2020 - Procurement of Goods: Const'n Materials &amp; Supplies for the use of CHLMO (Patubig Dev't Program-Const'n of Jetmatic Pump at Prk. 6A, Apokon, T.C.) (PR#100-20-06-0224)</t>
  </si>
  <si>
    <t>20GIL0043(SUPPLY/DELIVERY OF IT EQUIPMENT,DPWH-SLDEO, MAASIN CITY, SOUTHERN LEYTE)</t>
  </si>
  <si>
    <t>Procurement of Catering Service for the conduct of 2020 Census of Population and Housing (CPH) 4th Level Training at Pandan for PSA Antique PSO</t>
  </si>
  <si>
    <t>RIPRAPPING AT BRGY. POBLACION 5, MAGALLANES, CAVITE</t>
  </si>
  <si>
    <t>Procurement of Fireworks Display</t>
  </si>
  <si>
    <t>Cloth for the Sewing Craft Cloth with a materials for the use of HFGW residents for their productivity skills development</t>
  </si>
  <si>
    <t>TO SUPPLY LABOR, TOOLS, MATERIALS, EQUIPMENT AND TECHNICAL SKILLS FOR REWINDING OF MAIN STATOR INTENDED FOR MARIPIPI DPP</t>
  </si>
  <si>
    <t>Supply and Delivery of Office Supplies to be used at RPCO3 I-SUPPORT Office</t>
  </si>
  <si>
    <t>FOR ENHANCEMENT OF CACAO PRODUCTION THRU PROVISION OF ACCREDITED VARIETY OF CACAO GRAFTED PLANTING MATERIAL</t>
  </si>
  <si>
    <t>Concrete Paving of Farm-to-Market Road at Barangay San Pedro Ili, Alcala, Pangasinan.</t>
  </si>
  <si>
    <t>SUPPLY &amp; DELIVERY OF OFFICE FIXTURES</t>
  </si>
  <si>
    <t>2LSSM2020A-259 Other Supplies and Materials</t>
  </si>
  <si>
    <t>Purchase and Delivery of Materials for the Construction of Additional Hand-washing Facility and Foot Baths</t>
  </si>
  <si>
    <t>SUPPLY &amp; DELIVERY OF ASSORTED GOODS</t>
  </si>
  <si>
    <t>Regular Bidding 7/July/2020 - Procurement of Goods: Const'n Materials for the use of DEPED (Const'n Perimeter Fence at Tagum City Nat'n High School, Mankilam, T.C.) (PR#200-20-06-0273)</t>
  </si>
  <si>
    <t>Sewing Craft Materials for the use of HFGW Residents for their Productivity Skills Development</t>
  </si>
  <si>
    <t>Construction of Footbridge - Purok 1</t>
  </si>
  <si>
    <t>2LSSM2020A-266 Other Supplies and Materials</t>
  </si>
  <si>
    <t>Supply and delivery of 4 pcs. Tubeless Tire (205/65 R 15) for service vehicle: Toyota Innova SLB-190 of PGO-DYMP. ABC PHP48,000.00</t>
  </si>
  <si>
    <t>Installation of Solar Powered Street Lights</t>
  </si>
  <si>
    <t>CONSTRUCTION OF BARANGAY HALL PHASE 1</t>
  </si>
  <si>
    <t>Supply and Delivery of General Merchandise for the Month of April SY 2019- 2020</t>
  </si>
  <si>
    <t>PURCHASE OF RICE FOR BASURA PALIT BIGAS PROGRAM</t>
  </si>
  <si>
    <t>INVITATION TO BID FOR THE PROCUREMENT OF Supplies for Communicable Disease, Medical and Laboratory Supplies of the Municipal Health Office and Supplies for the Home Care Services of the Mun. Social We</t>
  </si>
  <si>
    <t>INVITATION TO BID FOR THE PROCUREMENT OF MATERIALS FOR THE REHABILITATION OF ROAD BETWEEN BSC AND BFAR</t>
  </si>
  <si>
    <t>PRE-BID CONFERENCE 7/July/2020 - Procurement of Goods: Const'n Materials for the use of CMO (Enhancement of Multi-purpose Bldg. at Mabini St., Magugpo Poblacion, T.C.) (PR#100-20-06-0271)</t>
  </si>
  <si>
    <t>Supply and Delivery of Assorted Office Supplies</t>
  </si>
  <si>
    <t>2LSSM2020A-265 Other Supplies and Materials</t>
  </si>
  <si>
    <t>Purchase of Rescue Vehicle at Laur, Nueva Ecija</t>
  </si>
  <si>
    <t>Water Truck for Rescue of MDRRMO</t>
  </si>
  <si>
    <t>Purchase and Delivery of 150 Vials (Speeda)</t>
  </si>
  <si>
    <t>Procurement of Catering Service for the conduct of 2020 Census of Population and Housing (CPH) 4th Level Training at San Lorenzo for PSA Guimaras PSO</t>
  </si>
  <si>
    <t>SUPPLY AND DELIVERY OF PICK-UP, 4X4, 2.4L, DIESEL, 4 CYLINDER DOHC, M/T WITH 3 YEARS LTO REGISTRATION</t>
  </si>
  <si>
    <t>Supply and delivery of Appliances needed for the Pangkabuhayan Starter Kits Beneficiaries of the City Government of Kidapawan.</t>
  </si>
  <si>
    <t>SAAD20-06-18-0225 Supply and Delivery of ICT Supplies.</t>
  </si>
  <si>
    <t>Procurement of Catering Service for the conduct of 2020 Census of Population and Housing (CPH) 4th Level Training at Sibunag for PSA Guimaras PSO</t>
  </si>
  <si>
    <t>INVITATION TO BID FOR THE PROCUREMENT OF TOOLS AND EQUIPMENT OF THE MUNICIPAL WATERWORKS SYSTEM</t>
  </si>
  <si>
    <t>FURNISHING OF LABOR AND MATERIALS FOR THE CONSTRUCTION OF DRAINAGE AND SIDEWALK- SOUTHBOUND TERMINAL AT BRGY. TABUCAN, DUMANGAS, ILOILO</t>
  </si>
  <si>
    <t>Safe Vault for the use of Social Pension Unit for the implementation of its program</t>
  </si>
  <si>
    <t>Completion of Municipal Building South Wing (PHASE II)</t>
  </si>
  <si>
    <t>Procurement of Kitchen Supplies &amp; Equipment</t>
  </si>
  <si>
    <t>FURNISHING OF LABOR AND MATERIALS FOR THE CONSTRUCTION OF SLOPE PROTECTION AT BRGY. TABUCAN, DUMANGAS, ILOILO</t>
  </si>
  <si>
    <t>20AC0101 - Construction of Classrooms, Four (4) Storey, Twelve (12) Classroom (Modified Standard) School Building, San Vicente Integrated School, San Vicente, Ilocos Sur</t>
  </si>
  <si>
    <t>2LSSM2020A-264 Office Supplies</t>
  </si>
  <si>
    <t>One (1) unit Tying Machine</t>
  </si>
  <si>
    <t>PROCUREMENT OF ONE (1) UNIT LAPTOP FOR IMO DAVAO DE ORO OPERATION &amp; MAINTENANCE SECTION</t>
  </si>
  <si>
    <t>Supply and Delivery of 45 Toner Cartridges HP CE505A with free use of corresponding HP Laserjet Printer</t>
  </si>
  <si>
    <t>Supply and Delivery of Construction Materials for the Concreting of Brgy. Road</t>
  </si>
  <si>
    <t>2LSSM2020A-267 Other Supplies and Materials</t>
  </si>
  <si>
    <t>INVITATION TO BID FOR THE PROCUREMENT OF OFFICE SUPPLIES OF BASCO CENTRAL SCHOOL, TUKON BARRIO SCHOOL AND DIPTAN ELEMENTARY SCHOOL</t>
  </si>
  <si>
    <t>Concreting of Buyog Barangay Road</t>
  </si>
  <si>
    <t>PROCUREMENT OF FUEL</t>
  </si>
  <si>
    <t>Maintenance &amp; Improvement of Day Care Center</t>
  </si>
  <si>
    <t>Air Safety Valve etc. (06-0632) Operation of Public Motorpool</t>
  </si>
  <si>
    <t>2020-06-350  Procurement of Various Printed Materials</t>
  </si>
  <si>
    <t>Regular Bidding 7/July/2020 - Procurement of Goods: Const'n Materials for the use of DEPED (Const'n of School Stage at Pandapan Integrated School) (PR#200-20-06-0253)</t>
  </si>
  <si>
    <t>2LSSM2020A-268 Other Supplies and Materials</t>
  </si>
  <si>
    <t>PC 20-001 Labor for the Repair of Old SP Building for the Establishment of PWD Comfort Room, Old SP Building, Provincial Capitol Compound, Alunan Avenue, Koronadal City, South Cotabato</t>
  </si>
  <si>
    <t>Supply and Delivery of Purified Drinking Water 2020</t>
  </si>
  <si>
    <t>IMPROVEMENT OF DELOSO TYPE BLDG. AT STO ROSARIO INTEGRATED SCHOOL TO A TWO (2) STOREY BUILDING</t>
  </si>
  <si>
    <t>SUPPLY &amp; DELIVERY OF ELECTRICAL SUPPLIES</t>
  </si>
  <si>
    <t>Supply and Delivery of General Merchandise for the Month of May SY 2019-2020</t>
  </si>
  <si>
    <t>Piston Assy. etc. (06-0622) Operation of Public Motorpool</t>
  </si>
  <si>
    <t>20PJ0057: Local Infrastructure Program - Construction of Roads, Mongol Talboc, Mayoyao, Ifugao</t>
  </si>
  <si>
    <t>Procurement of Laboratory Equipment &amp; Farm Machineries</t>
  </si>
  <si>
    <t>20PJ0034: LOCAL INFRASTRUCTURE PROGRAM - IMPROVEMENT OF MULTI-PURPOSE BUILDING, POSNAAN, AGUINALDO, IFUGAO</t>
  </si>
  <si>
    <t>FURNISHING OF LABOR AND MATERIALS FOR THE IMPROVEMENT OF TASK FORCE PUERTO AT BRGY. SAPAO, DUMANGAS, ILOILO</t>
  </si>
  <si>
    <t>Supply &amp; Delivery 2 units Motorcycle; PR No. 20-0697 dated February 20, 2020</t>
  </si>
  <si>
    <t>PROCUREMENT OF TIRES, SPARE PARTS AND OIL FILTER FOR THE REPAIR AND MAINTENANCE OF TRANSPORTATION EQUIPMENT</t>
  </si>
  <si>
    <t>Proposed Construction/Establishment of Municipal Recovery Facility(MRF)</t>
  </si>
  <si>
    <t>PURCHASE OF MATERIALS FOR CONSTRUCTION COVERED COURT</t>
  </si>
  <si>
    <t>IMPROVEMENT OF MULTIPURPOSE HALL STA. ROSA</t>
  </si>
  <si>
    <t>INVITATION TO BID FOR THE PROCUREMENT OF MATERIALS FOR THE REPAIR OF MUNICIPAL BUILDING GROUND FLOOR-HALLWAY</t>
  </si>
  <si>
    <t>Procurement of One (1) Unit Service Vehicle - PSWDO</t>
  </si>
  <si>
    <t>Supply of parts and labor for the general overhauling of starboard CAT 3126 Marine Engine of DA-BFAR MCS 1104 Patrol Vessel</t>
  </si>
  <si>
    <t>PRE-BID CONFERENCE 7/July/2020 - Procurement of Goods: Const'n Materials for the use of CMO - (Const'n of Multi-purpose Pavement-Tagum City Aquaculture at Liboganon, T.C.) (PR#100-20-06-0252)</t>
  </si>
  <si>
    <t>20CB-GSC-371 LANDLINE SUBSCRIPTION W/ INTERNET (RE-BID)</t>
  </si>
  <si>
    <t>2020-06-02</t>
  </si>
  <si>
    <t>Supply and Delivery of Office Supply and Consumables for the Month of April SY 2019- 2020</t>
  </si>
  <si>
    <t>ITB No. 013-2020-First Posting-Construction of Various Infrastructure Projects in the Municipality of Hingyon, Ifugao.</t>
  </si>
  <si>
    <t>Supply and delivery of supplies and materials for National School Building Inventory SY 2019-2020</t>
  </si>
  <si>
    <t>20CB-GSC-373 PURCHASE OF SPARE PARTS FOR MOTOR VEHICLE (RE-BID)</t>
  </si>
  <si>
    <t>Motor Vehicle</t>
  </si>
  <si>
    <t>SUPPLY AND DELIVERY OF DIESEL AND GASOLINE (rfq#2020-05-2,446)-(pgo-pnp)</t>
  </si>
  <si>
    <t>Construction of Multi-Purpose Hall (PHASE 1)</t>
  </si>
  <si>
    <t>Rehabilitation of Water System</t>
  </si>
  <si>
    <t>Supply and Delivery of Various Food Items for People with disabilities</t>
  </si>
  <si>
    <t>Invitation to Bid for Drilling of  Exploratory Well for Tiaong Water District</t>
  </si>
  <si>
    <t>20CB-GSC-372 PRINTING SERVICES (RE-BID)</t>
  </si>
  <si>
    <t>Computer Desktop</t>
  </si>
  <si>
    <t>FURNISHING AND DELIVERY OF GROCERY ITEMS FOR FOOD ASSISTANCE TO ROFs AND LSI</t>
  </si>
  <si>
    <t>MOOE/BDF/RRMF 2020</t>
  </si>
  <si>
    <t>Rehabilitation of Multi-Purpose Building</t>
  </si>
  <si>
    <t>SUPPLY &amp; DELIVERY OF COMMUNICATION EQUIPMENT</t>
  </si>
  <si>
    <t>SUPPLY AND DELIVERY OF CONSTRUCTION MATERIALS for Imprvt. of MPP</t>
  </si>
  <si>
    <t>Provision of Security Services</t>
  </si>
  <si>
    <t>Diesel,Gasoline</t>
  </si>
  <si>
    <t>Procurement of ICT Equipment of Naval Operating Reporting System (NORS)</t>
  </si>
  <si>
    <t>20CB-GSC-379 PURCHASE OF IT EQUIPMENT</t>
  </si>
  <si>
    <t>2LSSM2020A-269 Other Supplies and Materials</t>
  </si>
  <si>
    <t>CONCRETING OF FARM TO MARKET ROAD/ACCESS ROAD AT DAIT (MATERIALS)</t>
  </si>
  <si>
    <t>RENOVATION OF THE CUSTOMER CARE CENTER (CCC)</t>
  </si>
  <si>
    <t>Tire Set,HD SAE 10W,etc....</t>
  </si>
  <si>
    <t>PROCUREMENT OF OTHER SUPPLIES</t>
  </si>
  <si>
    <t>Use for the augmentation of Secondary Transmission Line to Main Tank at Bong Borlasa source Kabangkalan, Villahermosa, Tudela, Cebu</t>
  </si>
  <si>
    <t>20CB-GSC-374 PURCHASE OF ENGINE OIL FOR CTO</t>
  </si>
  <si>
    <t>20CB-GSC-380 PURCHASE OF MEDICAL SUPPLIES FOR DRRM</t>
  </si>
  <si>
    <t>Glass wall partition/cubicle</t>
  </si>
  <si>
    <t>CONCRETING OF FARM TO MARKET ROAD/ACCESS ROAD AT DAIT (EQUIPMENT)</t>
  </si>
  <si>
    <t>2020-06-03</t>
  </si>
  <si>
    <t>CONSTRUCTION OF MULTI-PURPOSE HALL BRGY VICTORY JIABONG SAMAR</t>
  </si>
  <si>
    <t>CONSTRUCTION OF FLOOD CONTROL AND MITIGATION STRUCTURE (BURIASAN BRIDGE OF MALABANG-MASIBAY-MAITOMAIG PROVINCIAL ROAD)</t>
  </si>
  <si>
    <t>20PJ0058: Local Infrastructure Program - Construction of Roads, Palaad- Ayangan, Mayoyao, Ifugao</t>
  </si>
  <si>
    <t>INVITATION TO BID FOR THE SUPPLY AND DELIVERY OF 1 LOT PIPES AND FITTINGS; AND 1 LOT 500 PIECES OF  ½” MULTI-DIRECTIONAL, CLASS B, BRASS WATER METERS</t>
  </si>
  <si>
    <t>Construction of Hanging Bridge at Brgy. Mataywanak, Tuy</t>
  </si>
  <si>
    <t>Procurement of water connection and fittings to be used in the rehabilitation of water system at Malolos</t>
  </si>
  <si>
    <t>Supply and Delivery of One (1) unit Brand New TRACTOR WITH MOWER  for Mayor’s Office , City Government of Marikina</t>
  </si>
  <si>
    <t>Supply and delivery of maintenance parts of port and starboard CAT 3126 Marine Engine for DA-BFAR MCS 1104 Patrol Vessel</t>
  </si>
  <si>
    <t>Construction of Spillway and Concreting of Access Road at Brgy. Malibu</t>
  </si>
  <si>
    <t>Purchase of Fuel (Gasoline &amp; Diesel)</t>
  </si>
  <si>
    <t>SUPPLY AND DELIVERY OF OFFICE SUPPLIES (rfq#2020-06-2,626)-(pgo-bac secretariat)</t>
  </si>
  <si>
    <t>One (1) unit contract for the Construction/improvement of Mabini National High School Multi Purpose, Cuambog, Mabini, Davao De Oro</t>
  </si>
  <si>
    <t>SUPPLY AND DELIVERY OF POLISHED RICE</t>
  </si>
  <si>
    <t>Procurement of One (1) Unit Ambulance for the Use of Rural Health Unit, LGU-Tagudin, Ilocos Sur</t>
  </si>
  <si>
    <t>Procurement of IT Equipment (Printer)</t>
  </si>
  <si>
    <t>IMPROVEMENT OF WATERSYSTEM (CANTOMOGCAD)</t>
  </si>
  <si>
    <t>20CB-GSC-381 PURCHASE OF HOUSE NUMBER PLATES (RE-BID)</t>
  </si>
  <si>
    <t>CONSTRUCTION OF MULTI-PURPOSE CENTER – PUROK 12, SAN MIGUEL, TAGUM CITY</t>
  </si>
  <si>
    <t>Repair of Tuy Rural Health Unit</t>
  </si>
  <si>
    <t>Construction of 9 Units Led Streetlights</t>
  </si>
  <si>
    <t>Public Competitive Bidding for the Supply and Delivery of Various Mental Health Medicines of the Department of Health – Re-Bid</t>
  </si>
  <si>
    <t>Purchase of drugs and medicines for CDRRMD Personnel under PR#2020-06-2568</t>
  </si>
  <si>
    <t>GENERATOR SET</t>
  </si>
  <si>
    <t>Supply of maintenance parts of CAT 3412E Marine Engine &amp; CAT 3054NA Marine Genset of DA-BFAR MCS 3006 Patrol Vessel</t>
  </si>
  <si>
    <t>CONSTRUCTION OF CONCRETE PAVEMENT (BRGY. ROAD)</t>
  </si>
  <si>
    <t>To Hire Auto-Mechanic For Repair of the Municipal Government Vehicle</t>
  </si>
  <si>
    <t>REPAIR/REHABILITATION OF MULTI-PURPOSE HALL</t>
  </si>
  <si>
    <t>Reference No. 20GKG0033 (PR No. 20-06-033)- Procurement of 253 pails Cold Mix for use in the operation at the Maintenance Section in the Patching of Potholes along Iligan City-Marawi City National and</t>
  </si>
  <si>
    <t>PURCHASE OF FIRE EXTINGUISHERS AND PUMP</t>
  </si>
  <si>
    <t>Procurement of Office Supplies ( Continuous Form &amp; Ribbons)</t>
  </si>
  <si>
    <t>RFQ for Emergency Purchase for Isolation Area Construction Materials</t>
  </si>
  <si>
    <t>PURCHASE OF CONSTRUCTION MATERIALS FOR THE REHABILITATION/IMPROVEMENT OF BRGY ROAD</t>
  </si>
  <si>
    <t>Purchase of Materials for the Concreting of Road</t>
  </si>
  <si>
    <t>Improvement of Multi-Purpose Hall</t>
  </si>
  <si>
    <t>2LSSM2020A-270 Other Supplies and Materials</t>
  </si>
  <si>
    <t>MOTOR CYCLE BIKE-XRM 125 DUAL SPORT</t>
  </si>
  <si>
    <t>Purchase of Inks and Toners</t>
  </si>
  <si>
    <t>RFQ NO. 2020-06-0420 DSWD KC Year-End  Forum</t>
  </si>
  <si>
    <t>SUPPLY AND DELIVERY OF TIRE AND BATTERY FOR MOTORCYCLE (rfq#2020-06-2,570)-(pgo-livelihood)</t>
  </si>
  <si>
    <t>improvement of concrete pavement and construction of drainage canal brgy malobago</t>
  </si>
  <si>
    <t>Procurement of Furnitures &amp; Fixtures</t>
  </si>
  <si>
    <t>Purchase of computer set desktop for info. &amp; communication technology equipment under PR#2020-03-2047</t>
  </si>
  <si>
    <t>Supply and Delivery of Ordinary Earth Filling Materials</t>
  </si>
  <si>
    <t>2LSSM2020A-271 Other Supplies and Materials</t>
  </si>
  <si>
    <t>REHABILITATION/CONSTRUCTION OF DRAINAGE CANALS– PUROK 11-A, SAN MIGUEL, TAGUM CITY</t>
  </si>
  <si>
    <t>Procurement of ICT Equipment of Logistics Management System (LogMS) Enhancement Project</t>
  </si>
  <si>
    <t>2LSSM2020A-272 Other Supplies and Materials</t>
  </si>
  <si>
    <t>Supply and Delivery of One (1) Lot Tires with tube and flaps for Municipal Garbage Trucks</t>
  </si>
  <si>
    <t>TO SUPPLY LABOR, TOOLS AND MATERIALS FOR THE REPAIR/CALIBRATION OF FUEL INJECTION PUMP OF UNIT 2- 750 KW MITSUBISHI OF POWER BARGE 113</t>
  </si>
  <si>
    <t>PURCHASE &amp; DELIVERY OF OFFICE SUPPLIES &amp; CONSUMABLES</t>
  </si>
  <si>
    <t>Purchase of Office Tables</t>
  </si>
  <si>
    <t>20CG0178 - Construction/ Repair/ Rehabilitation/ Improvement  of Various Infrastructure including Local Projects – Buildings and Other Structures – Multipurpose/ Facilities – Rehabilitation of Mandasi</t>
  </si>
  <si>
    <t>PB-Procurement of Ortho Instruments &amp; Equipment (ITB No. 2020-17)</t>
  </si>
  <si>
    <t>CONSTRUCTION OF TWO (2) STOREY, FOUR (4) CLASSROOMS BUILDING AT PETRON SCHOOL</t>
  </si>
  <si>
    <t>20CG0179 - Local Infrastructure Program: Multipurpose/ Facilities – Construction of Multi-Purpose Building, Sta. Cruz, Macabebe, Pampanga</t>
  </si>
  <si>
    <t>SUPPLY AND DELIVERY OF CIRCUIT BREAKER FOR MAIN ENGINE OF POWER BARGE 113</t>
  </si>
  <si>
    <t>SUPPLY AND DELIVERY OF ELECTRICAL SPARE PARTS FOR 750 KW MITSUBISHI AND 600KW PERKINS INTENDED FOR POWER BARGE 113</t>
  </si>
  <si>
    <t>20FE0129 – CONSTRUCTION OF CLASSROOMS, ODOC ES, LIBMANAN, CAMARINES SUR</t>
  </si>
  <si>
    <t>invitation to bid for the supply and delivery of materials and labor for the improvement of Mt. Kelleb Road (FTMR)</t>
  </si>
  <si>
    <t>PROCUREMENT OF OFFICE SUPPLIES  (Non-PS)</t>
  </si>
  <si>
    <t>20LC0130 Construction of Concrete Road, Brgy. Apokon, Tagum City, Davao del Norte</t>
  </si>
  <si>
    <t>Supples &amp; Equipment for PWD Printing Services Project</t>
  </si>
  <si>
    <t>One (1) contract for the construction/Improvement of TAGCO Multi-Purpose Building, Tagnanan, Davao De Oro</t>
  </si>
  <si>
    <t>CONCRETING OF BARANGAY ROADS AT P3 BALILA (2ND BID)</t>
  </si>
  <si>
    <t>Supply and delivery of Animal Feeds (PR 363)</t>
  </si>
  <si>
    <t>Purchase of Laptop for Early Childhood care and development under PR#2020-03-1989</t>
  </si>
  <si>
    <t>PROCUREMENT OF CONSTRUCTION MATERIALS  (FOR CONSTRUCTION OF RCA, BASAK, DAGUNDALAHON, LANTUD, LIRONGAN, SAN RAFAEL, LIGURON)</t>
  </si>
  <si>
    <t>Furnishing of Labor and Materials of Cold Storage Doors</t>
  </si>
  <si>
    <t>PROVISION OF MEALS AT THE ISOLATION UNIT</t>
  </si>
  <si>
    <t>GPG-B1-2020-427-SUPPLY, DELIVERY, INSTALLATION, TESTING &amp; COMMISSIONING OF SOLID WASTE MGT EQPT CONSISTING OF FIVE (5) LOTS OF BRAND-NEW SET OF PLASTIC RECYCLING EQPT WITH BRAND NEW PLASTIC CHAIR MOLD</t>
  </si>
  <si>
    <t>Supply of maintenance parts of CAT 3412E Marine Engine, CAT 3054 NA &amp; CAT C4.4 Marine Genset of DA-BFAR MCS 3004 Patrol Vessel</t>
  </si>
  <si>
    <t>Purchase of Rice</t>
  </si>
  <si>
    <t>2LSSM2020A-273 Other Supplies and Materials</t>
  </si>
  <si>
    <t>SUPPLY AND DELIVERY OF VARIOUS GOODS INTENDED FOR BOHOL 1 MINI GRID</t>
  </si>
  <si>
    <t>SUPPLY AND DELIVERY OF CEILING FAN AT DUMAGUETE AIRPORT</t>
  </si>
  <si>
    <t>IMPROVMENT OF DIALYSIS ROOM, OBS, PALIWAS, OBANDO, BULACAN</t>
  </si>
  <si>
    <t>Repair &amp; Maintenance of Multi-Purpose Building</t>
  </si>
  <si>
    <t>SUPPLY &amp; DELIVERY OF FOOD SUBSIDY FOR INMATES OF MUNTINLUPA CITY</t>
  </si>
  <si>
    <t>SUPPLY AND DELIVERY OF  COMPUTER DESKTOP</t>
  </si>
  <si>
    <t>Glass work for the installation of glass partition for the repair of BFAR-13 Regional Office at Surigao City.</t>
  </si>
  <si>
    <t>Supply and delivery of maintenance parts of port and starboard CAT 3126 Marine Engine for DA-BFAR MCS 1103 Patrol Vessel</t>
  </si>
  <si>
    <t>UPGRADING/CONCRETING OF ROAD M. SANTIAGO ST. (J.P. RIZAL-RHU-MARKET SECTION)</t>
  </si>
  <si>
    <t>Procurement of ICT Equipment of PN Email Enhancement Project</t>
  </si>
  <si>
    <t>SUPPLY &amp; DELIVERY OF  VARIOUS MATERIALS FOR CONSOLIDATED PROJECT AT DIST. 1 &amp; 2, MUNTINLUPA CITY</t>
  </si>
  <si>
    <t>SUPPLY AND DELIVERY  FOR THE PURCHASE OF GINGER RHIZOMES LGU,SIBAGAT, AGUSAN DEL SUR</t>
  </si>
  <si>
    <t>REHABILITATION/CONSTRUCTION OF DRAINAGE CANALS ALONG LAURETA NATIONAL HIGH SCHOOL,  SAN MIGUEL TAGUM CITY</t>
  </si>
  <si>
    <t>Procurement of Maintenance Tools and Equipment</t>
  </si>
  <si>
    <t>2LSSM2020B-275 Office Supplies</t>
  </si>
  <si>
    <t>Construction Materials for Perimeter Fence at Minimum Security Compound Use</t>
  </si>
  <si>
    <t>SUPPLY AND DELIVERY OF OPERATION AND MAINTENANCE SUPPLIES INTENDED FOR DOONG DPP</t>
  </si>
  <si>
    <t>CONSTRUCTION/ IMPROVEMENT OF MULTI-PURPOSE BUILDING, POBLACION, MAWAB, DAVAO DE ORO- Purchase Request No.2020-06-106</t>
  </si>
  <si>
    <t>invitation to bid for the supply and delivery of materials and labor for the construction of drainage canal along provincial road at purok 3</t>
  </si>
  <si>
    <t>Procurement of Paper Materials &amp; Products</t>
  </si>
  <si>
    <t>For use in operation of DT 03, RG 01,DR 01,PL 03, Dt08,Hilux AAG 1146 PAYLOADER, DT 03, KIA 269, PL 01,DT 12 assigned at City Engineer's office.</t>
  </si>
  <si>
    <t>2LSSM2020B-274 Other Supplies and Materials</t>
  </si>
  <si>
    <t>CONSTRUCTION OF BARAY  INDOANAN SANG KATIGMAN NANG MANSAKA</t>
  </si>
  <si>
    <t>SUPPLY AND DELIVERY OF HARDWARE MATERIALS FOR THE CONSTRUCTION OF WATER SYSTEM OF SITIO DANDANON, BARANGAY KOLAMBUGAN,SIBAGAT,AGUSAN DEL SUR</t>
  </si>
  <si>
    <t>REHABILITATION OF MDRRMO OPERATION CENTER             ( GARRAGE)- Purchase Request No.2020-06-108</t>
  </si>
  <si>
    <t>20CG0183 - Local Infrastructure Program: Buildings and Other Structures – Multipurpose/ Facilities – Construction of Multi-Purpose Building, Mapaniqui, Candaba, Pampanga</t>
  </si>
  <si>
    <t>Electrical and Plumbing Supplies</t>
  </si>
  <si>
    <t>NCB Publication No. 2020- 23 (First Publication)- Construction of Additional Building for COVID-19 at Potia District Hospital</t>
  </si>
  <si>
    <t>20CG0180 - Construction/ Repair/ Rehabilitation/ Improvement  of Various Infrastructure including Local Projects – Buildings and Other Structures – Multipurpose/ Facilities – Construction of Multi-Pur</t>
  </si>
  <si>
    <t>Construction of River Dike</t>
  </si>
  <si>
    <t>REQUEST FOR QUOTATION FOR THE PROCUREMENT OF GOODS: SPLIT TYPE AIRCON, 2.5HP FOR BLOOD BANK AND HEMATOLOGY</t>
  </si>
  <si>
    <t>Construction of Two (2) Storey, Six (6) Classroom School Building, San Juan Elementary School at San Manuel, Pangasinan</t>
  </si>
  <si>
    <t>20FE0130 – CONSTRUCTION OF CLASSROOMS, SALVACION ES, LIBMANAN, CAMARINES SUR</t>
  </si>
  <si>
    <t>Supply and Delivery of One (1) Unit Brand New 225hp Outboard Motor</t>
  </si>
  <si>
    <t>20LC0148 Construction of Multi-Purpose Building (Fish Landing Facility) Brgy. Peñaplata. Samal District, Island Garden City of Samal, Davao del Norte</t>
  </si>
  <si>
    <t>PURCHASE OF TIRE FOR REPAIR AND MAINTENANCE OF  GRADER MG 331- Purchase Request No.2020-06-137</t>
  </si>
  <si>
    <t>REPAIR/RENOVATION OF DELFIN ALBANO MEMORIAL HOSPITAL</t>
  </si>
  <si>
    <t>20CG0186 - Local Infrastructure Program: Multipurpose/ Facilities – Construction of Public Safety Office Building, Sitio Tagulud, Brgy. Sampaloc, Apalit, Pampanga</t>
  </si>
  <si>
    <t>CID No. 20GI00006 - Procurement of Security Services Requirement of DPWH Regional Office VIII for CY 2020-2021</t>
  </si>
  <si>
    <t>20CG0181 - Local Infrastructure Program: Buildings and Other Structures – Multipurpose/ Facilities – Construction of Multi-Purpose Building, Pulung Bulu, San Fernando, Pampanga</t>
  </si>
  <si>
    <t>20KL0136 - Construction of Standard Two-Storey (4 Classrooms) School Building (9.5m x 23.00m)</t>
  </si>
  <si>
    <t>20CG0182 - Local Infrastructure Program: Multipurpose/ Facilities – Construction of Multi-Purpose Covered Area with Reinforced Concrete Slab, Sta. Lutgarda, Macabebe, Pampanga</t>
  </si>
  <si>
    <t>Upgrading of Brgy. Dulangan Road</t>
  </si>
  <si>
    <t>Supply of Labor and Materials in the Installation of Office Partitions with Accessories, CON lOUNGE, 4/f ETC Bldg.</t>
  </si>
  <si>
    <t>PURCHASE OF FOOT BATH AT BRGY. PEÑAPLATA, SAMAL DIST., IGACOS under PR#2020-03-1991</t>
  </si>
  <si>
    <t>LCWD-2020-052 20 KVA Generator Set</t>
  </si>
  <si>
    <t>20CG0185 - Construction/ Repair/ Rehabilitation/ Improvement  of Various Infrastructure Including Local Projects: Multipurpose/ Facilities – Rehabilitation of Multi-Purpose Building San Antonio, Araya</t>
  </si>
  <si>
    <t>REPAIR/RENOVATION OF RURAL HEALTH UNIT BUILDING</t>
  </si>
  <si>
    <t>PROCUREMENT OF MEDICAL EQUIPMENT FOR OPERATING ROOM</t>
  </si>
  <si>
    <t>Installation of Solar Power System</t>
  </si>
  <si>
    <t>SUPPLY &amp; INSTALLATION OF STREET LIGHTS IN VARIOUS PUROKS, BARANGAYS AND SITIOS (1ST BID)</t>
  </si>
  <si>
    <t>ITB FOR CONSTRUCTION MATERIALS TO BE USED FOR CONSTRUCTION OF 109 METERS IRRIGATION CANAL AT P-6, KABUNGA-AN BRGY. HIMAMA-UG, TSDN.</t>
  </si>
  <si>
    <t>PURCHASE OF BASED  DISASTER AND EMERGENCY MONITORING  SYSTEM (CCTV AND PUBLIC ADDRESS SYSTEM)- Purchase Request No.2020-06-127</t>
  </si>
  <si>
    <t>20FE0131 – CONSTRUCTION OF CLASSROOMS, BAGAMELON ES, LIBMANAN, CAMARINES SUR</t>
  </si>
  <si>
    <t>Supply and delivery of maintenance parts of port and starboard CAT 3126 Marine Engine for DA-BFAR MCS 1101 Patrol Vessel</t>
  </si>
  <si>
    <t>Supply and Delivery of Three Units Floor Mounted Airconditioner for Conference Room of Annex Building</t>
  </si>
  <si>
    <t>20CB-GSC-376 PURCHASE OF TARPAULIN AND TOKEN (RE-BID)</t>
  </si>
  <si>
    <t>GPG-B1-2020-426-SUPPLY, DELIVERY, INSTALLATION, TESTING &amp; COMMISSIONING OF EIGHT (8) LOTS SOLID WASTE MGT EQPT CONSISTING OF BRAND NEW BIODEGRADABLE WASTE SHREDDER &amp; BRAND NEW COMPOSTER FOR THE DEPT O</t>
  </si>
  <si>
    <t>SUPPLY AND DELIVERY FOR THE PROCUREMENT OF ONE (1) UNIT FARM TRACTOR WITH COMPLETE ACCESSORIES FOR THE LIVELIHOOD ASSISTANCE OF PEREZ ABACA FARMERS ASSOCIATION,SIBAGAT,AGUSAN DEL SUR</t>
  </si>
  <si>
    <t>Purchase of Camera for CMO-PUBLIC INFO under PR#2020-05-2302</t>
  </si>
  <si>
    <t>INSTALLATION OF 12-UNITS SOLAR STREET LIGHT AND 3-UNITS STREET LIGHT AT BARANGAY #20, CARIDAD, CAVITE CITY</t>
  </si>
  <si>
    <t>Construction of Farmer's Muti-Purpose Hall Located at Sta. Monica, Agoo, La Union</t>
  </si>
  <si>
    <t>SUPPLY AND DELIVERY OF BUNTIS FAIR KITS - TWO FAILED BIDDING</t>
  </si>
  <si>
    <t>CONSTRUCTION OF LINE CANAL (IBABA SECTOR)</t>
  </si>
  <si>
    <t>medical equipment</t>
  </si>
  <si>
    <t>CY 2020 QRF REPAIR &amp; REHABILITATION OF CL LOT 2 - Uson ES</t>
  </si>
  <si>
    <t>CY 2020 QRF REPAIR &amp; REHABILITATION OF CL LOT 1 - Canila ES</t>
  </si>
  <si>
    <t>Supply, Delivery, Installation, Testing and Commissioning of 40 HP Submersible Pump and Motor complete appurtenances, discharge and column pipes</t>
  </si>
  <si>
    <t>Procurement BY LOT of Various Filters, Oil and Lubricants for Use of 79 Units Light and Heavy Equipment</t>
  </si>
  <si>
    <t>Construction of Pathwalk - Purok 1</t>
  </si>
  <si>
    <t>20CG0188 - Local Infrastructure Program: MultiPurpose/ Facilities – Construction of Multi-Purpose Building (Covered Court) Brgy. Camuning, Mexico, Pampanga</t>
  </si>
  <si>
    <t>Purchase of laptop for CMO-ADMIN under PR#2020-06-2490</t>
  </si>
  <si>
    <t>20LC0157 Repair/Maintenance of DENR Building CENRO Office Building – New Corella, Brgy. Salvacion, Panabo City, (Brgy. Magdum, Tagum City), Davao del Norte</t>
  </si>
  <si>
    <t>CONSTRUCTION OF POTABLE DEEPWELL WATER SUPPLY   PHASE II – MARKET SITE, SAN ISIDRO</t>
  </si>
  <si>
    <t>Continuation of Rehab of St. Agustin Road</t>
  </si>
  <si>
    <t>20LC0156 Repair/Maintenance of DPWH Building DPWH-Talaingod Bunkhouse Sto. Niño, Talaingod Davao del Norte</t>
  </si>
  <si>
    <t>PURCHASE OF VEHICLE SUPPLIES AND MATERIALS</t>
  </si>
  <si>
    <t>20CB-GSC-378 PURCHASE OF AGRICULTURAL SUPPLIES</t>
  </si>
  <si>
    <t>20GID0021 - Supply and Delivery of Bituminous Asphalt Mix (Item 310) for use in the Maintenance of National Roads and Bridges within the District</t>
  </si>
  <si>
    <t>SUPPLY &amp; INSTALLATION OF STREET LIGHTS AT POBLACION, BALILA HIGHWAY ROAD AND P-3 &amp; P-5 BALILA (1ST BID)</t>
  </si>
  <si>
    <t>Supply and delivery of live animals for research on diversified corn based farming systems (PR 363)</t>
  </si>
  <si>
    <t>20CG0187 - Local Infrastructure Program: Multipurpose/ Facilities – Construction of Covered Court, Sitio Mindanao, Brgy. Esteban, Macabebe, Pampanga</t>
  </si>
  <si>
    <t>20KL0137 - Construction of Standard Two-Storey (4 Classrooms) School Building (9.5m x 23.00m)</t>
  </si>
  <si>
    <t>Supply and delivery of maintenance parts of port and starboard CAT 3126 Marine Engine for DA-BFAR MCS 1102 Patrol Vessel</t>
  </si>
  <si>
    <t>PR 1-20-06-0748, FOR USE OF THE CITY GOV'T OF SAN CARLOS CITY.</t>
  </si>
  <si>
    <t>Purchase of printer and laptop for CVET use under PR#2020-04-2119</t>
  </si>
  <si>
    <t>Supply of maintenance parts of CAT 3412E Marine Engine &amp; CAT 3054NA Marine Genset of DA-BFAR MCS 3001 Patrol Vessel</t>
  </si>
  <si>
    <t>20CB-GSC-375 PURCHASE OF PORTABLE SPEAKER</t>
  </si>
  <si>
    <t>Supply of Labor &amp; Materials in the Renovation of CSM Library, 3/F CSM Building</t>
  </si>
  <si>
    <t>VARIOUS PROJECTS AT SSS BRANCH OFFICES</t>
  </si>
  <si>
    <t>SUPPLY AND DELIVERY OF ONE (1) UNIT DB COMPRESSOR FOR RESPONSE OPERATIONS - 2ND BIDDING</t>
  </si>
  <si>
    <t>20KL0139 - Construction of Standard Two-Storey (4 Classrooms) School Building (9.5m x 23.00m)</t>
  </si>
  <si>
    <t>20KL0138 - Construction of Standard Two-Storey (4 Classrooms) School Building (9.5m x 23.00m)</t>
  </si>
  <si>
    <t>Purchase of construction materials and supplies for R/M Office bldg.(NBI Office @ Babak Dist.) UNDER PR#2020-03-1801</t>
  </si>
  <si>
    <t>SUPPLY, DELIVERY AND INSTALLATION OF CCTV CAMERAS ALONG BARANGAY ROAD OF SAN GABRIEL</t>
  </si>
  <si>
    <t xml:space="preserve">20LC0158 Repair/Maintenance of DPWH Building Various Buildings, Km. 48, Canocotan, Tagum City, Davao del Norte a.	MQC Building b.	MQC Laboratory c.	Tesda Training &amp; Assessment Center d.	Guard Quarter </t>
  </si>
  <si>
    <t>R/M Building and other structure under PR#2020-05-2378</t>
  </si>
  <si>
    <t>CY 2020 QRF REPAIR &amp; REHABILITATION OF CL LOT 3 - Acaban ES</t>
  </si>
  <si>
    <t>Bid No.20-003-B -Supply of Lumber for the Rehabilitation of Multiprpose Stage</t>
  </si>
  <si>
    <t>SUPPLY AND DELIVERY OF MATERIALS FOR THE REHABILITATION OF MULTI-PURPOSE HALL, BARANGAY 06 POBLACION, CATANAUAN, QUEZON</t>
  </si>
  <si>
    <t>Bid No.20-002-C-Procurement of Construction Materials for the Rehabilitation of  Multiprpose Pavement</t>
  </si>
  <si>
    <t>REPAIR OF THE ABC BUILDING</t>
  </si>
  <si>
    <t>ROAD CONCRETING AT MUNICIPAL MARKET EXTENSION, POBLACION, LANTAPAN (1ST BID)</t>
  </si>
  <si>
    <t>Supply &amp; Delivery of ID Card Printer &amp; Accessories, Office of the Municipal Mayor, Buenavista, Quezon</t>
  </si>
  <si>
    <t>Supply and delivery of facemask and gloves (PR 469)</t>
  </si>
  <si>
    <t>Supply of Labor &amp; Materials in the Renovation OVCAF Conference Room, 2/F Administration Building...</t>
  </si>
  <si>
    <t>Purchase of construction materials and supplies for improv't. of water system @ nature's park, Bandera, Kaputian under PR#2020-02-1448</t>
  </si>
  <si>
    <t>SUPPLY AND DELIVERY OF MATERIALS AND SUPPLIES FOR THE  INSTALLATION OF SPORTS FACILITIES</t>
  </si>
  <si>
    <t>Bid No. 20-002-A -Procurement of Diesel for the Rehabilitation of Multiprpose Pavement</t>
  </si>
  <si>
    <t>3 Construction Projects (B-92-2020)</t>
  </si>
  <si>
    <t>SUPPLY AND DELIVERY OF 68 UNITS TRIBIKE WITH ACCESSORIES - 2ND BIDDING</t>
  </si>
  <si>
    <t>20CG0192 - Local Infrastructure Program: Local Roads – Concreting of Local Road at Purok 7, San Jose, Mesulo, Arayat, Pampanga</t>
  </si>
  <si>
    <t>IMPROVEMENT ALONG PAKAWAN-GAWA FT W/ RAILINGS &amp; FOOTBRIDGE</t>
  </si>
  <si>
    <t>PROPOSED BARANGAY HALL EXTENSION OF BARANGAY MANGHANOY</t>
  </si>
  <si>
    <t xml:space="preserve">Opening/Construction/Improvement/Rehabilitation of Dagupan-Salvacion-San Mariano-San Jose-Lydia-Doña Loreta-Capannikkian Provincial Road (Dagupan-Salvacion Section) Limits : 002+275 to 003+800, Luna, </t>
  </si>
  <si>
    <t>Construction of Powerhouse with Transformer Pad</t>
  </si>
  <si>
    <t>PIKCOT-002020-0017 (REHABILITATION AND IMPROVEMENT OF PIKIT MAIN DRAINAGE CANAL)</t>
  </si>
  <si>
    <t>SUPPLY AND DELIVERY OF GARBAGE BINS FOR WASTE SEGREGATION / DISPOSAL PROGRAM - 2ND BIDDING</t>
  </si>
  <si>
    <t>CY 2020 QRF REPAIR &amp; REHABILITATION OF CL LOT 5 -Larrazabal ES</t>
  </si>
  <si>
    <t>Construction of Slope Protection at Central MP Hall Compound</t>
  </si>
  <si>
    <t>Meals, Snacks and Accommodation for CRVA-CRAC-CBA Kalinga (PR 474)</t>
  </si>
  <si>
    <t>Vehicle Rentals- PRIME Data Collection (PR 283)</t>
  </si>
  <si>
    <t>CY 2020 QRF REPAIR &amp; REHABILITATION OF CL LOT 6 -Calumpang ES</t>
  </si>
  <si>
    <t>Water Treatment Facility for Mangansag</t>
  </si>
  <si>
    <t>Supply of Materials/ Parts for the PMS and COBS of PHILFLEET Vessels (Auxiliary Machineries)</t>
  </si>
  <si>
    <t>Supply &amp; Delivery of Oven for Uraro Cookies Production, Office of the Municipal Mayor, Buenavista, Quezon</t>
  </si>
  <si>
    <t>Rehabilitation, Modification and Improvement of Villamor Campus Covered Court</t>
  </si>
  <si>
    <t>20LC0134 Concreting of Brgy. Nueva Fuerza Road Leading to FIA Park and Recreation, Tagum City, Davao del Norte</t>
  </si>
  <si>
    <t>Supply and Delivery of Common Used Items</t>
  </si>
  <si>
    <t>Rehabilitation of youth building @ Sitio Pasig Peñaplata, IGACOS UNDER PR#2020-03-1590</t>
  </si>
  <si>
    <t>20CSCE006 - CONSULTING SERVICES FOR THE CONDUCT OF SOIL/GEOTECHNICAL INVESTIGATION FOR THE PROPOSED CONSTRUCTION/REHABILITATION/REPLACEMENT OF VARIOUS BRIDGES PROJECTS</t>
  </si>
  <si>
    <t>CY 2020 QRF REPAIR &amp; REHABILITATION OF CL LOT 4 - Ungale I ES</t>
  </si>
  <si>
    <t>SUPPLY AND DELIVERY OF MATERIALS AND SUPPLIES FOR THE  ESTABLISHMENT OF SANKTWARYO PARK/MANGROVE WALKWAYS AND COTTAGE</t>
  </si>
  <si>
    <t>CONDUCT OF THE 2020 NATIONWIDE DETAILED SURVEY FOR SSS</t>
  </si>
  <si>
    <t>SUPPLY AND DELIVERY OF LABOR AND MATERIALS FOR THE PROJECT PARTIAL CONSTRUCTION OF SAN ANTONIO PALA MULTI PURPOSE HALL, BARANGAY SAN ANTONIO PALA, CATANAUAN, QUEZON</t>
  </si>
  <si>
    <t>20LC0133 Construction of Road, Brgy. Canocotan, Tagum City, Davao del Norte</t>
  </si>
  <si>
    <t>PIKCOT-002020-0016 (IMPROVEMENT OF BALUNGIS TO BALABAK FMR PHASE II)</t>
  </si>
  <si>
    <t>Construction of GSO Warehouse,San Isidro Sur, Luna, Apayao</t>
  </si>
  <si>
    <t>LOT Procurement of MEDICAL SUPPLIES for the Use of DOPMC</t>
  </si>
  <si>
    <t>Rehabilitation of Basketball Court</t>
  </si>
  <si>
    <t>Bid No. 20-003-A-Procurement of Construction Materials for the Rehabilitation of  Multipurpose Stage</t>
  </si>
  <si>
    <t>Purchase of materials for perimeter fence at Cagro, Maag Peñaplata, IGACOS under PR#2020-05-2405</t>
  </si>
  <si>
    <t xml:space="preserve">20CG0189 - Construction/ Repair/ Rehabilitation/ Improvement of Various Infrastructure including Local Projects: Local Roads and Bridges – Local Roads – Rehabilitation of Sto. Niño Barangay Road, San </t>
  </si>
  <si>
    <t>invitation to bid for the supply and delivery of materials and labor for the construction of drainage canal along provincial road in front of paniki high school</t>
  </si>
  <si>
    <t>Bid No. 20-002-B -Procurement of Diesel &amp; Gasoline for the Rehabilitation of Multiprpose Pavement</t>
  </si>
  <si>
    <t>Upgrading of Brgy. Balatero Road</t>
  </si>
  <si>
    <t>Procurement of Audio and Visual Equipment for Proincial Governors Office.</t>
  </si>
  <si>
    <t>20CG0184 - Construction/ Repair/ Rehabilitation/ Improvement  of Various Infrastructure Including Local Projects: Buildings and Other Structures – Multipurpose/ Facilities – Rehabilitation of Multi-Pu</t>
  </si>
  <si>
    <t>20LC0150 Repair and Maintenance of National Roads &amp; Bridges along Agusan-Davao Road (Daang Maharlika) K1452+480 – K1482+(-300), Tagum City Diversion Road Km. 1459+765 – K1460+153.5, Tagum Panabo Circu</t>
  </si>
  <si>
    <t>20CG0191 - Local Infrastructure Program: Local Roads – Concreting of Brgy. Road Tabuan, Arayat, Pampanga</t>
  </si>
  <si>
    <t>Meals, Snacks and Accommodation CRVA-CRAC-CBA Apayao (PR 474)</t>
  </si>
  <si>
    <t>Rehabilitation of Brgy. Road</t>
  </si>
  <si>
    <t>SUPPLY AND DELIVERY OF MATERIALS AND SUPPLIES FOR THE  IMPROVEMENT OF PUBLIC MARKET</t>
  </si>
  <si>
    <t>Procurement of Vehicle Car Accessories  RFQ No. 440</t>
  </si>
  <si>
    <t>PURCHASE OF FUEL ( DIESEL AND GASOLINE) FOR ALL GOVERNMENT VEHICLE USE- Purchase Request No.2020-06-110</t>
  </si>
  <si>
    <t>Purchase of BRAND NEW GARBAGE COMPACTOR TRUCK to collect solid waste and transport it to  a solid waste treatment facility,  for the safe and efficient collection of waste, in compliance, Silay City.</t>
  </si>
  <si>
    <t>Supply/Delivery &amp; Reproduction of Distance Learning Materials, DepEd Buenavista District I &amp; II, Buenavista, Quezon</t>
  </si>
  <si>
    <t>PURCHASE OF ONE (1) UNIT BRAND NEW 6 WHEELERS GARBAGE COMPACTOR</t>
  </si>
  <si>
    <t>CONSTRUCTION OF POTABLE WATER SYSTEM (PHASE 2) AT BASAC &amp; KIBANGAY (1ST BID)</t>
  </si>
  <si>
    <t>Supply of maintenance parts of CAT 3412E Marine Engine &amp; CAT 3054NA Marine Genset of DA-BFAR MCS 3005 Patrol Vessel</t>
  </si>
  <si>
    <t>Labor and Materials for the Construction of Toilet for Disable (Female Rest Room with PWD Railings) at Municipal Hall San Nicolas Poblacion, Concepcion, Tarlac</t>
  </si>
  <si>
    <t>Supply of Labor and Materials in the Renovation of CR and Pantry at Registrar's Office</t>
  </si>
  <si>
    <t>VEHICLE RENTAL IN SUPPORT TO THE IMPLEMENTATION OF KADIWA NI ANI AT KITA AND PRICE MONITORING ACTIVITIES</t>
  </si>
  <si>
    <t>350 pcs 9W Led Bulb...etc</t>
  </si>
  <si>
    <t>Labor and Materials for the General Improvement of Legislative Building, Concepcion, Tarlac</t>
  </si>
  <si>
    <t>Meals, Snacks and Accommodation CRVA-CRAC-CBA Mountain Province (PR 474)</t>
  </si>
  <si>
    <t xml:space="preserve">20CG0190 - Local Program: Construction/ Repair/ Rehabilitation/ Improvement of Various Infrastructure including Local Projects – Local Roads And Bridges – Rehabilitation of Candelaria Dilapidated Box </t>
  </si>
  <si>
    <t>20DE0118 (Re-advertised) Local Infrastructure Program – Construction of Multi-Purpose Building (Phase 2), Lobo Municipal Compound, Lobo, Batangas</t>
  </si>
  <si>
    <t>2020 Census of Population and Housing</t>
  </si>
  <si>
    <t>50 pcs DSB 12mm dia x 6m...etc</t>
  </si>
  <si>
    <t>SUPPLY AND DELIVERY OF MATERIALS AND SUPPLIES FOR THE  IMPROVEMENT OF OVERLAND TERMINAL (TRICYCLE PARKING AREA)</t>
  </si>
  <si>
    <t>Improvement of Multi Purpose Hall</t>
  </si>
  <si>
    <t>75 pcs Marine Plywood, 3/4'' thk x 4' x 8'</t>
  </si>
  <si>
    <t>Proposed Replacement of Roof and Gutter of Building – B</t>
  </si>
  <si>
    <t>Regravelling Barangay Road</t>
  </si>
  <si>
    <t>IB NO. 2020-06-45 Procurement of Flat Panel Detector (Wireless)</t>
  </si>
  <si>
    <t>Procurement of Workbooks for Day Care Children</t>
  </si>
  <si>
    <t>Supply &amp; Delivery of Construction Materials for the Construction of Material Recovery Facility, Brgy. Caraudan, Janiuay, Iloilo</t>
  </si>
  <si>
    <t>12 units Desktop Computer....etc</t>
  </si>
  <si>
    <t>Reproduction of Modules 2nd Posting</t>
  </si>
  <si>
    <t>PB-I-2020-05-618: "Procurement of Civil Works for the Construction of Slope Protection at Estante-Dampalan" (Php. 2,279,023.16)</t>
  </si>
  <si>
    <t>Procurement and Installation of NAVSENS and COMMELEX Equipment for LD602 and LC290 - LOT 2</t>
  </si>
  <si>
    <t>Upgrading of NART Building (CY 2020)</t>
  </si>
  <si>
    <t>SUPPLY AND DELIVERY OF OR TABLE (ELECTRO HYDRAULIC) (2 UNITS)</t>
  </si>
  <si>
    <t>LABOR AND MATERIALS FOR THE REPAIR OF 4-UNITS GOAT HOUSE AT MBS, ASID MASBATE</t>
  </si>
  <si>
    <t>50 Tubes Waterproofing roof sealant, 250g</t>
  </si>
  <si>
    <t>INVITATION TO BID FOR THE RENOVATION/IMPROVEMENT OF BARANGAY HALL (PHASE 1),  BARANGAY DULAPO, OROQUIETA CITY (SECOND NOTICE)</t>
  </si>
  <si>
    <t>IB NO. 2020-06-44 Procurement of Infant Radiant Warmer with Resuscitator</t>
  </si>
  <si>
    <t>R/M of office building (CPPO) @ District Hall, Babak, IGACOS under PR#2020-03-1591</t>
  </si>
  <si>
    <t>INVITATION TO BID FOR THE SUPPLY AND DELIVERY OF VARIOUS  INFORMATION AND COMMUNICATION TECHNOLOGY EQUIPMENT FOR THE OFFICE OF THE CITY MAYOR, OROQUIETA CITY</t>
  </si>
  <si>
    <t>PB-I-2020-05-616 "Procurement of Civil Works for the Construction of 2 Units PNP Garage for Patrol Cars Phase 1" (Php. 1,998,247.49)</t>
  </si>
  <si>
    <t>Construction of Break Water</t>
  </si>
  <si>
    <t>20EI0182 - Construction of Evacuation Center, Barangay San Juan,  Bongabong, Oriental Mindoro_063</t>
  </si>
  <si>
    <t>Repair of Mangcoybot Hanging Footbridge (Widening)</t>
  </si>
  <si>
    <t>Supply and Delivery of heavy equipment (3-units 6 wheeler dumptruck, 1 unit single drum vibratory roller and 1 unit motor grader, this municipality</t>
  </si>
  <si>
    <t>Meals, Snacks and Accommodation CRVA-CRAC-CBA Ifugao (PR 474)</t>
  </si>
  <si>
    <t>PR No. 6.038 TPB-PR.2020.06.195SERVICES OF VIRTUAL PLATFORM DEVELOPER FOR VIRTUAL PHITEX 2020</t>
  </si>
  <si>
    <t>Rehabilitation of Sea Wall</t>
  </si>
  <si>
    <t>SUPPLY OF LABOR AND MATERIALS FOR THE CONSTRUCTION OF ATM BOOTH ( LGU SAN DIONISIO )</t>
  </si>
  <si>
    <t>Supply and Delivery of Six (6) Units of Service Vehicle, this city</t>
  </si>
  <si>
    <t>CY 2020 QRF REPAIR &amp; REHABILITATION OF CL LOT 7 -Kawayan NHS</t>
  </si>
  <si>
    <t>DRILLING OF 3 (THREE) UNITS EXPLORATORY/PRODUCTION WELL FOR GAMU WATER DISTRICT</t>
  </si>
  <si>
    <t>IMPROVEMENT OF OLD EXISTING BARANGAY MULTI-PURPOSE HALL</t>
  </si>
  <si>
    <t>IB NO. 2020-06-46 INSTALLATION AND COMMISSIONING OF OPERATING TABLE</t>
  </si>
  <si>
    <t>Construction of water tank at drop in center-Licup UNDER PR#2020-02-1455</t>
  </si>
  <si>
    <t>20LB0182 - Construction of Drainage along Daang Maharlika (MN) - K1510 + 201, K1510 + 625</t>
  </si>
  <si>
    <t>Procurement and Installation of NAVSENS and COMMELEX Equipment for LD602 and LC290 - LOT 1</t>
  </si>
  <si>
    <t>ITB-B14-2020</t>
  </si>
  <si>
    <t>Transportation services (Vehicle rental-Van/SUV for RCEF) for Aug to Dec 2020</t>
  </si>
  <si>
    <t>20LB0188 -Rehabilitation/Reconstruction/Upgrading of Damaged Paved Roads (Asphalt to Concrete) along Davao-Bukidnon Rd - K1698+(-629) - K1701+200</t>
  </si>
  <si>
    <t>1 unit Clevenger Trap...etc</t>
  </si>
  <si>
    <t>Supply and Delivery of Laboratory Equipment for the College of Engineering</t>
  </si>
  <si>
    <t>Module Reproduction</t>
  </si>
  <si>
    <t>7 UNITS, DESK PEN - DOUBLE W/ MARBLE BASE</t>
  </si>
  <si>
    <t>HFW: 1 LOT GROCERY ITEMS/FOOD SUPPLIES FOR THE CONSUMPTION OF HOME FOR WOMEN FOR 2nd SEM. 2020</t>
  </si>
  <si>
    <t>1000 Caps Mefenamic Acid, 500mg...etc</t>
  </si>
  <si>
    <t>20LB0312 - Construction of Flood Mitigation Structure along Bago River, Bago Aplaya Section, Both Bank, Davao City</t>
  </si>
  <si>
    <t>Repair/Rehabilitation of Comfort Rooms At 3rd Floor, North And West Wing, Academic Bldg.</t>
  </si>
  <si>
    <t>20LB0280 - Concreting of Sitio Surayan, Brgy. Colosas FMR, Brgy. Colosas, Paquibato District, Davao City</t>
  </si>
  <si>
    <t>20LB0279 - Concreting to Sitio Nursery to Sitio Binaton to Sitio Mahayahay, Brgy. Malabog (Phase II) FMR, Brgy. Malabog, Paquibato District, Davao City</t>
  </si>
  <si>
    <t>IB NO. 2020-06-47 Procurement of High Definition  Endoscopy System</t>
  </si>
  <si>
    <t>One (1) Lot Supply, Delivery and Installation of CCTV Components for PCMC Main Building</t>
  </si>
  <si>
    <t>10 pcs Universal Diamon Cutting Disc, 4-1/2'' dia.</t>
  </si>
  <si>
    <t>20LB0256 - Reconstruction to Concrete Pavement along Roxas Avenue - Padre Gomez St. - Palma Gil St. - Camus St. - Legaspi St., Davao City</t>
  </si>
  <si>
    <t>Repair/Rehabilitation of Comfort Rooms At Ground Floor Charlie Del Rosario, A. Mabini Campus, Sta. Mesa, Manila</t>
  </si>
  <si>
    <t>ITB 20-0046-A - Supply and Delivery of 141 packs Coffee, 3 in 1 Coffee Mix, Original &amp; etc.</t>
  </si>
  <si>
    <t>PROCUREMENT AND DELIVERY OF ICT AND OFFICE EQUIPMENT</t>
  </si>
  <si>
    <t>PURCHASE OF LABORATORY AND RADIOLOGIC SUPPLIES FOR THE USE OF RURAL HEALTH UNIT AT ALITAGTAG, BATANGAS</t>
  </si>
  <si>
    <t>20DE0136 (Re-advertised) Construction/Repair/Rehabilitation/Improvement of Various Infrastructure including Local Projects – Construction of Multi-Purpose Building (Bauan Coliseum), Phase V, Bauan, Ba</t>
  </si>
  <si>
    <t>Supply and Delivery of Various Ammunitions</t>
  </si>
  <si>
    <t>1 bot Hexane, anyhydrous...etc</t>
  </si>
  <si>
    <t>20LB0252 - Construction of Revetment Along Davao River, Sta. 2+680, Sta. 2+687 to Sta. 2+782, Sta. 2+850, Davao City</t>
  </si>
  <si>
    <t>20LB0313 - Construction of Road, Juna Subdivision, Brgy. Matina Crossing, Davao City</t>
  </si>
  <si>
    <t>20DE0125 (Re-advertised) Local Infrastructure Program – Construction of the Lobo Municipal Hall Phase 1, Lobo, Batangas</t>
  </si>
  <si>
    <t>1 unit Copier Machine..</t>
  </si>
  <si>
    <t>Procurement of One (1) Lot Generator Set and Housing System</t>
  </si>
  <si>
    <t>Invitation To Bid for Reproduction of Test Papers 1st &amp; 2nd Quarter 2020 of VES</t>
  </si>
  <si>
    <t>Purchase of Gasoline</t>
  </si>
  <si>
    <t>Construction o f 3 Units Jetmatic pump</t>
  </si>
  <si>
    <t>Office Services 2020</t>
  </si>
  <si>
    <t>Procurement of Various Supplies/Medical supplies in Response to COVID19</t>
  </si>
  <si>
    <t>20LB0206 - Construction of Pedestrian Overpass along Davao City Diversion Road, Davao City</t>
  </si>
  <si>
    <t>barangay construction</t>
  </si>
  <si>
    <t>CONSTRUCTION OF MULTI-PURPOSE BUILDING</t>
  </si>
  <si>
    <t>Improvement of Municipal Cemetery (Road Concreting), Janiuay Municipal Cemetery, Janiuay, Iloilo</t>
  </si>
  <si>
    <t>INVITATION TO BID FOR THE SUPPLY AND DELIVERY OF VARIOUS CONSTRUCTION MATERIALS (For the Construction of Perimeter Fence, Control and Generator Set Room  at Metropolis Ground Reservoir)</t>
  </si>
  <si>
    <t>20CG0199 - Construction of Three Storey Academic Building at Extension Lot at Main Campus, DHVSU, Bacolor, Pampanga</t>
  </si>
  <si>
    <t>20EI0181 - Construction of Evacuation Center, Barangay Poblacion, Bulalacao, Oriental Mindoro_062</t>
  </si>
  <si>
    <t>20CG0197 - Local Infrastructure Program: Local Roads – Construction/Improvement/ Rehabilitation of Local Road in Brgy. Palinlang, Arayat, Pampanga</t>
  </si>
  <si>
    <t>Procurement of Security Services (5 Guards)</t>
  </si>
  <si>
    <t>20CG0196 - Construction/ Repair/ Rehabilitation/ Improvement of Various Infrastructure including Local Projects: Local Roads – Construction of Malino Road, Malino, San Fernando, Pampanga</t>
  </si>
  <si>
    <t>SUPPLY OF FILLING MATERIALS</t>
  </si>
  <si>
    <t>20CG0194 - Local Infrastructure Program: Local Roads and Bridges – Local Roads – Concreting of Brgy. Road, Pulong Palazan, Candaba, Pampanga</t>
  </si>
  <si>
    <t>20LB0311 - Construction of Seven-Storey Office Building with Roof Deck (Phase 2), DOLE Region XI, Davao City</t>
  </si>
  <si>
    <t>20DE0137 (Re-advertised) Local Infrastructure Program – Construction of Multi-Purpose Building (Phase 6, Bauan Sports Coliseum), Bauan, Batangas</t>
  </si>
  <si>
    <t>20CG0195 - Local Infrastructure Program: Local Roads – Concreting of Brgy. Road, San Vicente - Pangatlan, Mexico, Pampanga</t>
  </si>
  <si>
    <t>SUPPLY AND DELIVERY OF BRONCHOSCOPE WITH VIDEO INFORMATION SYSTEM</t>
  </si>
  <si>
    <t>20CG0198 - Construction/ Repair/ Rehabilitation/ Improvement of Various Infrastructure including Local Projects: Local Roads and Bridges – Local Roads – Rehabilitation of Barangay Dela Paz Road, San S</t>
  </si>
  <si>
    <t>20CG0193 - Local Infrastructure Program: Local Roads and Bridges – Local Roads – Construction and Upgrading of Road with Drainage, Brgy. Santa Maria, Minalin, Pampanga</t>
  </si>
  <si>
    <t>Procurement of Fleece blanket and other medical supplies</t>
  </si>
  <si>
    <t>SUPPLY AND DELIVERY OF NEONATAL AND PEDIATRIC VIDEO LARYNGOSCOPE</t>
  </si>
  <si>
    <t>Rip-rapping of Canal Located at San Jose Norte, Agoo, La Union</t>
  </si>
  <si>
    <t>PROCUREMENT OF VARIANCE  WORKS INCLUDES MATERIALS WITH LABOR FOR VISITOR'S CENTER OF BKPLS-LANAO DEL NORTE</t>
  </si>
  <si>
    <t>Invitation to Bid for Procurement office supplies for modular Learning</t>
  </si>
  <si>
    <t>SUPPLY AND DELIVERY OF OPERATING ROOMS LIGHTS DUO CEILING MOUNTED (2 UNITS)</t>
  </si>
  <si>
    <t>Improvement of Camaa Farm-to-Market Road</t>
  </si>
  <si>
    <t>Procurement of Signal Cable UD-40 and GSC2002 Sheet Key Assy</t>
  </si>
  <si>
    <t>Construction of concrete line canal with cover</t>
  </si>
  <si>
    <t>S1-BRS20-012 - Supply and Delivery of Spare Parts for 500kW Volvo Engine Model: TAD1641GE Camshaft and 2 Others to San Pascual DPP</t>
  </si>
  <si>
    <t>Rip-rapping of Canal Located at San Julian Central, Agoo, La Union</t>
  </si>
  <si>
    <t>Patag Improvement of Multipurpose Building</t>
  </si>
  <si>
    <t>PURCHASE OF ENVIRONMENTAL HEALTH/SAFETY EQUIPMENT</t>
  </si>
  <si>
    <t>INVITATION TO BID FOR CONSTRUCTION OF RIVER WALL</t>
  </si>
  <si>
    <t>Construction of Sanitary Landfills &amp; Materials Recovery Facilities, Calanasan, Apayao</t>
  </si>
  <si>
    <t>SUPPLY AND DELIVERY OF FETAL CENTRAL MONITORING SYSTEM / CTG MONITOR</t>
  </si>
  <si>
    <t>S4-BPD19-018 - Rehabilitation of BNPP Local Warehouse Roofing</t>
  </si>
  <si>
    <t>SUPPLY AND DELIVERY OF GYNECOLOGY LAPAROSCOPY TOWER WITH GYNE INSTRUMENTS, BIPOLAR, HYSTEROSCOPY TELEPACK SET WITH OPERATIVE HYSTEROSCOPIC INSTRUMENTS</t>
  </si>
  <si>
    <t>SUPPLY AND DELIVERY OF DIGITAL VIDEO COLPOSCOPE</t>
  </si>
  <si>
    <t>Improvement of Manpower develoment Center</t>
  </si>
  <si>
    <t>INVITATION TO BID FOR THE  PROCUREMENT OF SCIENCE LABORATORY FURNITURE AND FIXTURES IN THE ADVANCED SCIENCE AND TECHNOLOGY BUILDING OF  PSHS CALABARZON REGION CAMPUS/GOODS-2020-03</t>
  </si>
  <si>
    <t>SUPPLY AND DELIVERY OF VACUUM ASSISTED CLOSURE DEVICE</t>
  </si>
  <si>
    <t>Construction of Drainage Canal, Poblacion</t>
  </si>
  <si>
    <t>ITB 20-0061-A - 1 lot Job Order, Disassembly, Assembly &amp; Commissioning of EX 04 Crawler Excavator, Hitachi ZAXIS 200-3F.</t>
  </si>
  <si>
    <t>S1-CUL20-012 - Supply and Delivery of Mechanical Spare Parts for Dale Perkins 2006 TGI for Culion Diesel Power Plant</t>
  </si>
  <si>
    <t>Supply and Delivery of Various Materials for the Maintenance of Waterworks System</t>
  </si>
  <si>
    <t>Production Meter</t>
  </si>
  <si>
    <t>Improvement of Street Lights</t>
  </si>
  <si>
    <t>Completion  of  Multi-Purpose  Building and  Sports  Development Facility, Phase  3,  Mabini  Campus,  Sta.  Mesa,  Manila</t>
  </si>
  <si>
    <t>Construction of Demo Farm Training Center</t>
  </si>
  <si>
    <t>Procurement of Aircondition 3.0 Toner floor mounted with installation</t>
  </si>
  <si>
    <t>Procurement of Various Medical Supplies/Response Items for COVID-19</t>
  </si>
  <si>
    <t>Procurement of Semi-Expandable Equipment for modular Learning</t>
  </si>
  <si>
    <t>Solar Power for Public Market</t>
  </si>
  <si>
    <t>Procurement of Motor Vehicle (Passenger Van)</t>
  </si>
  <si>
    <t>ADDITIONAL SUPPLY, DELIVERY AND INSTALLATION OF CCTV CAMERAS ALONG BARANGAY ROAD OF SAN GABRIEL</t>
  </si>
  <si>
    <t>Construction/Improvement of Kilkiling-Tibunek FMR, Phase I</t>
  </si>
  <si>
    <t>VIDEO PRODUCTION OF DA-RFO 5 BANNER PROGRAM FOR INFORMATION ADVOCACY/CAMPAIGN</t>
  </si>
  <si>
    <t>Paniangan Road Concreting at purok 5</t>
  </si>
  <si>
    <t>SUPPLY AND DELIVERY OF DIGITAL X-RAY MOBILE MACHINE (2 UNITS)</t>
  </si>
  <si>
    <t>Improvement of Abatan-Daddaay Proper FMR</t>
  </si>
  <si>
    <t>(Re-advertised) Improvement of Grandstands</t>
  </si>
  <si>
    <t>Construction of Academic and Office Building Phase I,  PUP  Rizal  Campus,  S.H.  Loyola  Street,  Sampaloc,  Manila  (Using  a  Design  and Build  Scheme)</t>
  </si>
  <si>
    <t>Augmentation of Barangay Hall</t>
  </si>
  <si>
    <t>Supply and Delivery of Android Tablets For Use at Kolehiyo ng Lungsod ng Lipa</t>
  </si>
  <si>
    <t>Procurement of ceftazidime and other drugs and medicine</t>
  </si>
  <si>
    <t>SUPPLY AND DELIVERY OF OFFICE, JANITORIAL AND ELECTRICAL SUPPLIES AND DEVICES  FOR VARIOUS OFFICES OF THE CITY GOVERNMENT (@CALOOCAN CITY HALL, 8TH ST. COR. 8TH AVE. GRACE PARK, CALOOCAN CITY)</t>
  </si>
  <si>
    <t>Road Concreting of Access Road to Magsaysay National High School</t>
  </si>
  <si>
    <t>Widening and Improvement of Alilem-Batbato-Suyo Road</t>
  </si>
  <si>
    <t>Supply and Delivery of Laptops For Use at Kolehiyo ng Lungsod ng Lipa</t>
  </si>
  <si>
    <t>S1-SID20-016 - Supply and Delivery of Spare Parts for 500kW CXZ-MAN China Engine of Sibuyan Diesel Power Plant</t>
  </si>
  <si>
    <t>REPAIR/IMPROVEMENT OF HEAVILY DAMAGED FLGC III 10TCC WAREHOUSE AT SAN PABLO,DUMINGAG, ZAMBOANGA DEL SUR</t>
  </si>
  <si>
    <t>CONSTRUCTION OF 1 UNIT TRIBAL HALL</t>
  </si>
  <si>
    <t>Road Concreting at Purok 4, Pagawan</t>
  </si>
  <si>
    <t>Concreting of Cemetery Road (Purok 15)</t>
  </si>
  <si>
    <t>Supply of Labor, Materials and Equipment for the Improvement of Boardwalk Stall (2 unit – 4 stalls) at Brgy. East Pob., City of Naga, Cebu</t>
  </si>
  <si>
    <t>Supply and Delivery of Aluminum Glass Sliding Door and Window to be used for the Repair of Feeder Port Terminal</t>
  </si>
  <si>
    <t>20DE0140 (Re-advertised) Local Infrastructure Program – Construction of Multi-Purpose Covered Court with Slope Protection at Brgy. Sta. Ana, Mabini, Batangas</t>
  </si>
  <si>
    <t>INVITATION TO BID FOR THE  PURCHASE OF COMPUTERS AND COMPUTER PERIPHERALS/GOODS-2020-04</t>
  </si>
  <si>
    <t>Bid No. 20-002-D-Procurement of Lumber for the Rehabilitation of Multiprpose Pavement</t>
  </si>
  <si>
    <t>Vehicle Rentals (PR 474)</t>
  </si>
  <si>
    <t>S1-SID20-015 - Supply and Delivery of Spare Parts for 600kW Cummins Engine, Model: KTA38-G1 of Sibuyan Diesel Power Plant</t>
  </si>
  <si>
    <t>Construction of Small Ruminant Barn, Payanan, Luna, Apayao</t>
  </si>
  <si>
    <t>Construction of four storey twelve classroom – Mapulang Lupa Elementary School, Pandi, Bulacan</t>
  </si>
  <si>
    <t>Road concreting of access road to Farm Tourism Site</t>
  </si>
  <si>
    <t>Supply of Labor, Materials and Equipment for the Proposed Construction of Passenger Transport Terminal at Sitio Bayong, Brgy. Inayagan, City of Naga, Cebu</t>
  </si>
  <si>
    <t>Improvement of Batbato Water System</t>
  </si>
  <si>
    <t>Prcocurement of 12-Units Laptop Computer</t>
  </si>
  <si>
    <t>Road Concreting at Bagares Street</t>
  </si>
  <si>
    <t>SUPPLY AND DELIVERY OF OFFICE, JANITORIAL AND ELECTRICAL SUPPLIES AND DEVICES  FOR CALOOCAN CITY MEDICAL CENTER (@A.MABINI ST., CALOOCAN CITY)</t>
  </si>
  <si>
    <t>SUPPLY AND DELIVERY OF 3 CRANK MANUAL HOSPITAL BED (50 UNITS)</t>
  </si>
  <si>
    <t>SUPPLY AND DELIVERY OF SUCTION MACHINE (20 UNITS)</t>
  </si>
  <si>
    <t>CONCRETING OF ROAD</t>
  </si>
  <si>
    <t>Supply of Labor, Materials and Equipment for the Brgy. Road Concreting at Sitio Proper I, Brgy. Cantao-an, City of Naga, Cebu</t>
  </si>
  <si>
    <t>SUPPLY AND DELIVERY OF MOTORIZED FISHING BOAT</t>
  </si>
  <si>
    <t>Construction of two storey four classroom – Borol 2nd Elementary School, Balagtas, Bulacan</t>
  </si>
  <si>
    <t>Road Concreting at Purok 2, Patag</t>
  </si>
  <si>
    <t>SUPPLY AND DELIVERY OF ULTRASONIC HANDPROBE</t>
  </si>
  <si>
    <t>Provision of One (1) Year Subscription of Active Cloud-Based Learning Management System for Use at Kolehiyo ng Lungsod ng Lipa</t>
  </si>
  <si>
    <t>Construction of Waiting Shed at Barangay Anticala, Butuan City</t>
  </si>
  <si>
    <t>Procurement of Service Vehicle for Sangguniang Bayan Office</t>
  </si>
  <si>
    <t>1 unit Desktop Computer...etc</t>
  </si>
  <si>
    <t>INSTALLATION OF BOOKSHELVES FOR BUB FUNDED SCHOOL LIBRARY @ SAN NARCISO CENTRAL ELEMENTARY SCHOOL</t>
  </si>
  <si>
    <t>PROCUREMENT OF CONSTRUCTION MATERIALS FOR CONCRETING OF BANCAL ROAD</t>
  </si>
  <si>
    <t>Purchase of Duplicating Machine and Toners for the City Division Office of City of Naga, Cebu BAC Office, 2F, City Hall Bldg., City of Naga, Cebu</t>
  </si>
  <si>
    <t>PROVISION OF LABOR, MATERIALS, EQUIPMENT AND OTHER INCIDENTALS NEEDED FOR THE IMPROVEMENT OF BUBUOS CAPURICTAN DIVERSION DAM (DD) AT BRGY. BUBUOS, SOLSONA, ILOCOS NORTE</t>
  </si>
  <si>
    <t>Supply of Labor, Materials and Equipment for the Proposed Water System at Balirong Elementary and Secondary School, Balirong, City of Naga, Cebu</t>
  </si>
  <si>
    <t>SUPPLY AND DELIVERY OF MATERIALS FOR THE REHABILITATION OF PIPE LINE @ BRGY. BUENAVISTA AND POBLACION</t>
  </si>
  <si>
    <t>Supply of Labor, Materials and Equipment for the Proposed Slope Protection at Purok Atis, Sitio Tabtuy, Brgy.Tuyan, City of Naga, Cebu</t>
  </si>
  <si>
    <t>PROPOSED IMPROVEMENT  OF DAY CARE CENTER</t>
  </si>
  <si>
    <t>SUPPLY AND DELIVERY OF PATIENT MONITOR WITH CENTRAL STATION (20 UNITS WITH 2 CENTRAL STATION)</t>
  </si>
  <si>
    <t>Improvement/Rehab of Farmers Post Harvest Facility/Bodega</t>
  </si>
  <si>
    <t>Furnishing/Delivery of Safety-gear</t>
  </si>
  <si>
    <t>SUPPLY AND DELIVERY OF ITEM 201 FOR THE REHABILITATION OF PUROK 4 POBLACION-TAMBAK FMR, TULUNAN, COTABATO</t>
  </si>
  <si>
    <t>Furnishing/Delivery of tables and chairs</t>
  </si>
  <si>
    <t>SUPPLY AND DELIVERY OF DELIVERY BED</t>
  </si>
  <si>
    <t>Supply and Delivery of Two (2) units Hydraulic Hand Pallet Trucks, as per BSP Technical Specifications and Terms and Conditions</t>
  </si>
  <si>
    <t>Upgrading /Concreting of FMR Zone 8 Poblacion</t>
  </si>
  <si>
    <t>Purchase of ICT Equipment for the City Division Office of City of Naga, Cebu</t>
  </si>
  <si>
    <t>Construction /Concreting of FMR  Zone 6 Cogon</t>
  </si>
  <si>
    <t>Furnishing/Delivery of office furniture and equipment</t>
  </si>
  <si>
    <t>Improvement of Multi-Purpose Building (Bleacher)</t>
  </si>
  <si>
    <t>PROPOSED CONSTRUCTION OF BRGY.HALL SECOND FLOOR AT PUROK 2</t>
  </si>
  <si>
    <t>Supply of Labor, Materials and Equipment for the Proposed Brgy. Road Concreting and Improvement of Drainage System (Concrete Cover) at Purok II Lavender, Brgy. Colon, City of Naga, Cebu</t>
  </si>
  <si>
    <t>PROCUREMENT OF CONSTRUCTION MATERIALS FOR CONCRETING OF DORONGAN ROAD</t>
  </si>
  <si>
    <t>SUPPLY AND DELIVERY OF DEFIBRILATOR WITH CARDIAC MONITOR</t>
  </si>
  <si>
    <t>Furnishing/Delivery of office equipment</t>
  </si>
  <si>
    <t>Furnishing/Delivery of Water Tank materials and fittings</t>
  </si>
  <si>
    <t>Supply and Delivery of Risograph Machines</t>
  </si>
  <si>
    <t>PROPOSE CONCRETING OF BRGY. ROAD AT PUROK 2</t>
  </si>
  <si>
    <t>Construction /Concreting of FMR Zone 6 Poblacion</t>
  </si>
  <si>
    <t>2020-006 Supply &amp; Delivery of Const Materials for Brgy Mosque</t>
  </si>
  <si>
    <t>Purchase of Instructional Books and Materials for the City Division Office of City of Naga, Cebu</t>
  </si>
  <si>
    <t>Supply of Labor, Materials and Equipment for the Proposed Construction of Drainage System at Purok Manggahan I, Brgy. Tangke, City of Naga, Cebu</t>
  </si>
  <si>
    <t>Construction of Tobacco Display Shed</t>
  </si>
  <si>
    <t>Fabrication of Fabric Glass Partition at Accounting Office and Repair of Various Office in the Schools Division Office</t>
  </si>
  <si>
    <t>PROCUREMENT OF CONSTRUCTION MATERIALS FOR VILLA FRIA DRAINAGE SYSTEM</t>
  </si>
  <si>
    <t>Construction of Bus Terminal Building (Pasalubong Center) Phase 3</t>
  </si>
  <si>
    <t>INVITATION TO BID FOR CONSTRUCTION OF COVERED COURT’S STAGE – BRGY. GANASI</t>
  </si>
  <si>
    <t>INVITATION TO BID FOR CONSTRUCTION OF COVERED COURT - BRGY. KATIDTUAN</t>
  </si>
  <si>
    <t>B-038-2020 PROCUREMENT OF TRAINING EQUIPMENT FOR THE COMPLETED THREE (3) STOREY BUILDING OF THE ZSCMST REGIONAL MARITIME TRAINING CENTER FOR BASIC TRAINING (FORMERLY SOLAS)</t>
  </si>
  <si>
    <t>rehabilitation of school multi-purpose hall</t>
  </si>
  <si>
    <t>PURCHASE OF MATERIALS  FOR THE IMPROVEMENT OF SCHOOL MULTI-PURPOSE HALL</t>
  </si>
  <si>
    <t>SUPPLY AND DELIVERY OF CONSTRUCTION MATERIALS FOR THE INSTALLATION OF WATER SYSTEM AT TULUNAN CENTRAL ELEMENTARY SCHOOL, POBLACION, TULUNAN, COTABATO</t>
  </si>
  <si>
    <t>PURCHASE OF MATERIALS FOR THE CONSTRUCTION OF OSCA BUILDING - PHASE VI</t>
  </si>
  <si>
    <t>Supply and delivery of various Vehicle Parts &amp; Accessories for use in Prov'l. Governor's Office -DYMP. ABC PHP123,870.00</t>
  </si>
  <si>
    <t>Improvement of hand washing facility</t>
  </si>
  <si>
    <t>SUPPLY AND DELIVERY OF TRANSFER STRETCHER (22 UNITS)</t>
  </si>
  <si>
    <t>COMPLETION OF MULTI-PURPOSE HALL @ BRGY. PINAMARBUHAN, MOBO, MASBATE</t>
  </si>
  <si>
    <t>Construction of Public Market (Phase IV)</t>
  </si>
  <si>
    <t>HAULING OF MUNICIPAL SOLID WASTE AT MUNICIPALITY OF JAEN, NUEVA ECIJA</t>
  </si>
  <si>
    <t>Purchase of Drugs &amp; Medicines, Fluids &amp; Electrolytes</t>
  </si>
  <si>
    <t>INVITATION TO BID FOR CONSTRUCTION OF COVERED COURT – TUKA ELEMENTARY SCHOOL</t>
  </si>
  <si>
    <t>Procurement of Hygiene Kit and Collapsible Water Drinking Container        IB No. 2020-045</t>
  </si>
  <si>
    <t>Day Care Center Construction at Poblacion</t>
  </si>
  <si>
    <t>Supplies to be used in modular learning for Printer</t>
  </si>
  <si>
    <t>Purchase of contactless handwashing facility</t>
  </si>
  <si>
    <t>Purchase of IT Supplies, Peripherals and Equipment    IB NO.2020-042</t>
  </si>
  <si>
    <t>Photography and Videography Services 	IB NO.2020-041</t>
  </si>
  <si>
    <t>Rental of LED Wall and Audio System         IB NO.2020-040</t>
  </si>
  <si>
    <t>Repair/Rehabilitation of Building and Structure (Improvement of Physical Planning and Development Office, Bids and Awards Committee &amp; Procurement Management Office)</t>
  </si>
  <si>
    <t>Supply and Delivery of Various Water Meters</t>
  </si>
  <si>
    <t>CONCRETING OF NEWAGAC BARANGAY ROAD</t>
  </si>
  <si>
    <t>Concreting of Road at Bagumbayan St., Centro Sur, Gattaran, Cagayan</t>
  </si>
  <si>
    <t>CONC/IMPVT OF ROAD @ PACIGEA SITE LEADING TO BUENAOBRA RES., BUENAVISTA      DF20-8000-B1j</t>
  </si>
  <si>
    <t>Purchase of IT Software        IB NO.2020-046</t>
  </si>
  <si>
    <t>TV Plugging       IB NO.2020-044</t>
  </si>
  <si>
    <t>Radio Plugging            IB NO.2020-048</t>
  </si>
  <si>
    <t>Purchase of Fuel (Diesel) –  Municipal Health Office</t>
  </si>
  <si>
    <t>CONSTRUCTION OF REST  ROOMS AT PLAZA LUZ  GAD19-8000-B1 AND 1SAIP20-RF8000-B2</t>
  </si>
  <si>
    <t>Construction of Water System Level III &amp; Upgrading of Electrical Sevice Entrance at Sapang Elementary School, Brgy. Sapang, Binangonan, Rizal</t>
  </si>
  <si>
    <t>Installation of Brgy. Balayagmanok Street Lighting System</t>
  </si>
  <si>
    <t>Asphalt Overlaying/Concrete Reblocking (portion) of J.P. Burgos St., Sitio Sambungan, Brgy. Bagumbong, Jalajala, Rizal</t>
  </si>
  <si>
    <t>Procurement of ICT Equipment for DOST8 CY 2020 MITHI Program</t>
  </si>
  <si>
    <t>Construction of Fence, Riprap &amp; Concreting of School Ground at Taytay Senior High School, Brgy. Dolores, Taytay, Rizal</t>
  </si>
  <si>
    <t>Construction of 15x30m Ynares Multi-Purpose Covered Court at Taytay Senior High School, Brgy. Dolores, Taytay, Rizal</t>
  </si>
  <si>
    <t>Project 2020-16: Purchase of 225mm dia. uPVC Pipes Series 8, Fixed Seal</t>
  </si>
  <si>
    <t>Upgrading of Maria Clara St. (B. Pag-Asa - Rizal Avenue), Brgy. Sta. Ana &amp; Brgy. San Isidro, Taytay, Rizal</t>
  </si>
  <si>
    <t>Construction of Elevated Water Tank, Installation of Water Distribution Lines &amp; Construction of Artesian Well at Brgy. Bombong &amp; Brgy. Rayap, Binangonan, Rizal; a) Construction of 4,000 gallons Elevat</t>
  </si>
  <si>
    <t>Purchase of Fuel (Diesel) –  Office of the Municipal Vice Mayor</t>
  </si>
  <si>
    <t>Purchase of New Power Distribution Transformers for new DOH Building      IB NO.2020-052</t>
  </si>
  <si>
    <t>WANGAN ELEMENTARY SCHOOL MOOE REQUEST</t>
  </si>
  <si>
    <t>Purchase of Oil Proof Performance Sprayer        IB NO.2020-051</t>
  </si>
  <si>
    <t>Procurement of Emergency Newborn Kits         IB No. 2020-054</t>
  </si>
  <si>
    <t>Purchase of IT Consumables       IB NO.2020-053</t>
  </si>
  <si>
    <t>Concreting of Sagbang Road</t>
  </si>
  <si>
    <t>Freight and Handling Services        IB No. 2020-050</t>
  </si>
  <si>
    <t>Construction of 2-Storey Ynares Multi-Purpose Building at Palmera 1, Brgy. Dolores, Taytay, Rizal</t>
  </si>
  <si>
    <t>CONSTRUCTION OF CONCRETE PAVEMENT AROUND BARANGAY SITE</t>
  </si>
  <si>
    <t>Procurement of One (1) Unit Brand New Sports Utility Vehicle (SUV)</t>
  </si>
  <si>
    <t>Construction / Extension of Jalajala Municipal Building, Brgy. First District, Jalajala, Rizal</t>
  </si>
  <si>
    <t>Construction of Ynares Multi-Purpose Covered Court (Rafter Type) at Carissa Homes East-1, Brgy. Bagumbayan, Teresa, Rizal</t>
  </si>
  <si>
    <t>purchase of 1 unit brand new thermoplastic road marker</t>
  </si>
  <si>
    <t>SUPPLY AND DELIVERY OF ONE (1) UNIT FORWARD TRUCK, ONE (1) UNIT CLOSED VAN AND ONE (1) UNIT REEFER VAN FOR USE IN THE IMPLEMENTATION OF CAMARINES NORTE PINEAPPLE TRADING AND PROCESSING PROJECT</t>
  </si>
  <si>
    <t>8918-20-022)  SLOPE PROTECTION ALONG LOAKAN CREEK AT THE BACK OF THE LOAKAN BAPTIST CHURCH AND RESIDENTIAL HOUSES AND ROAD ALREADY AT RISK FOR THE WELFARE OF THE CHILDREN, PWDS, ELDERLIES, WOMEN, IPs,</t>
  </si>
  <si>
    <t>SUPPLY AND DELIVERY OF VARIOUS FOODSTUFF, SUBSISTENCE ALLOCATED FOR 1,749 CPDRC INMATES COVERING THE PERIOD JULY 1, 2020 TO DECEMBER 31, 2020</t>
  </si>
  <si>
    <t>SUPPLY &amp; DELIVERY OF GOODS/SERVICES-EQUIPMENT RENTAL (30 UNITS MOTORCYCLE)</t>
  </si>
  <si>
    <t>Repair/Repainting of Ynares School Bldg. at Virgilio B. Melendres Elem. School, Brgy. Takungan, Pililla, Rizal</t>
  </si>
  <si>
    <t>Asphalt overlaying of Various Roads at Bancom Life Homes, Brgy. Gulod Malaya, San Mateo, Rizal</t>
  </si>
  <si>
    <t>Asphalt Overlaying and Concrete Reblocking (portion) of Sitio Lipat-Lipat Road, Brgy. Hulo, Pililla, Rizal</t>
  </si>
  <si>
    <t>Asphalt Overlaying and Concrete Reblocking (portion) of Sitio Ligua Road, Brgy. Hulo, Pililla, Rizal</t>
  </si>
  <si>
    <t>Asphalt Overlaying and Concrete Reblocking (portion) of Sitio Bulacan 1 Road, Brgy. Bagumbayan, Pililla, Rizal</t>
  </si>
  <si>
    <t>Purchase of Fuel (Diesel) –  Office of the Municipal Mayor</t>
  </si>
  <si>
    <t>rebidding for purchase and delivery of supplies for Bahay Silungan use</t>
  </si>
  <si>
    <t>SUPPLY AND DELIVERY OF VARIOUS MATERIALS/FITTINGS TO BE USED FOR UPGRADING OF TRANSMISSION AND DISTRIBUTION LINE</t>
  </si>
  <si>
    <t>Rehabilitation of Post-Harvest Facility (PHF) at Brgy. Guinbanga-an, Laua-an, Antique</t>
  </si>
  <si>
    <t>MOOE JANUARY TO JUNE2020</t>
  </si>
  <si>
    <t>Construction of Stone Masonry Headwall (portion) of Wawa Boulevard, Brgy. Wawa, Pililla, Rizal</t>
  </si>
  <si>
    <t>3-Phase Primary Line Extension and Transformer Installation (3x50 KVA BN)</t>
  </si>
  <si>
    <t>INVITATION TO BID FOR CONSTRUCTION OF POTABLE WATER SYSTEM – TINUNGKASAN</t>
  </si>
  <si>
    <t>Asphalt Overlaying and Concrete Reblocking (portion) of P. Oleta St., Brgy. Wawa, Pililla, Rizal</t>
  </si>
  <si>
    <t>SHOPPING OF SCHOOL AND OFFICE SUPPLIES</t>
  </si>
  <si>
    <t>Improvement / Concreting (portion) of Road at Sitio Yapak, Brgy. Lagundi, Morong, Rizal</t>
  </si>
  <si>
    <t>Construction /Concreting of FMR Zone 7 Kilangit</t>
  </si>
  <si>
    <t>Procurement of Various Surgical Sutures for CY 2020</t>
  </si>
  <si>
    <t>Supplies to be used in modular learning for office supplies</t>
  </si>
  <si>
    <t>SUPPLY AND DELIVERY OF OFFICE AND IT EQUIPMENT AND FURNITURE  FOR  VARIOUS OFFICES OF THE CITY GOVERNMENT</t>
  </si>
  <si>
    <t>Electrification of Cattle Breeding Center</t>
  </si>
  <si>
    <t>Construction /Concreting of FMR Zone 7 Ulab</t>
  </si>
  <si>
    <t>SUPPLY AND DELIVERY OF CYSTOSCOPY SET</t>
  </si>
  <si>
    <t>PROCUREMENT OF CONSTRUCTION MATERIALS FOR CONCRETING OF INTERMITTENT ROAD (ABAGAT-VILLA SOL RD)</t>
  </si>
  <si>
    <t>IMPROVEMENT OF NV BENGUET JCT.-KAYAPA CENTRAL-KAYAPA PROPER ROAD Located at Kayapa, Nueva Vizcaya</t>
  </si>
  <si>
    <t>Purchase of Chairs</t>
  </si>
  <si>
    <t>IMPROVEMENT OF CVR BATU-STO. DOMINGO-MANAMTAM ROAD Located at Bambang, Nueva Vizcaya</t>
  </si>
  <si>
    <t>IMPROVEMENT OF STREETLIGHTS</t>
  </si>
  <si>
    <t>WIDENING OF BARANGAY ROAD, POBLACION 1, BARANGAY MABINI, BURDEOS, QUEZON</t>
  </si>
  <si>
    <t>purchase of brand new concrete mixer</t>
  </si>
  <si>
    <t>Purchase of Chair</t>
  </si>
  <si>
    <t>IMPROVEMENT OF GANAO-BIRUK ROAD Located at Dupax del Sur, Nueva Vizcaya</t>
  </si>
  <si>
    <t>Supply of Materials and Installation of Office Partitions</t>
  </si>
  <si>
    <t>CONSTRUCTION MATERIALS AND SUPPLIES</t>
  </si>
  <si>
    <t>PURCHASE OF MATERIALS FOR THE CONSTRUCTION OF WOMEN'S BUILDING PHASE IV</t>
  </si>
  <si>
    <t>PURCHASE OF MATERIALS FOR THE REHABILITATION OF SCHOOL MULTI-PURPOSE HALL</t>
  </si>
  <si>
    <t>Supply and Delivery of Materials for Construction/Rehabilitation of Drainage System</t>
  </si>
  <si>
    <t>Installation of More Enegery Efficient Barangay Street Light</t>
  </si>
  <si>
    <t>Supply &amp; Delivery of Jetmatic Pumps and Toilet Bowls</t>
  </si>
  <si>
    <t>Installation of Water Tank/Concrete Reservoir at NHA, San Antonio Barangay Maparat</t>
  </si>
  <si>
    <t>Procurement of Various Housekeeping Supplies-06-366(A)PGO</t>
  </si>
  <si>
    <t>Supply and Delivery of Various Construction Materials (Construction of Drainage System)</t>
  </si>
  <si>
    <t>Purchase Native Chicken and Feeds</t>
  </si>
  <si>
    <t>Laptop/Computer</t>
  </si>
  <si>
    <t>SUPPLY &amp; DELIVERY OF CONSTRUCTION MATERIALS FOR THE CONSTRUCTION OF SANITATION FACILITIES PROJECT Y ADMIN</t>
  </si>
  <si>
    <t>2nd ITB for the  CONSTRUCTION OF CUTAR FARMERS ASSOCIATION CIS Located at Aritao, Nueva Vizcaya</t>
  </si>
  <si>
    <t>IMPROVEMENT OF DRAINAGE SYSTEM AT DEH Located at DEH, Diadi, Nueva Vizcaya</t>
  </si>
  <si>
    <t>IMPROVEMENT OF OYAO-GANAO ROAD Located at Dupax del Norte and Dupax del Sur, Nueva Vizcaya</t>
  </si>
  <si>
    <t>IB-05-0400-20VPAA,2020-06-04-095TC SUPPLY &amp; DELIVERY OF COMPUTER EQUIPMENT (VPAA/TC)</t>
  </si>
  <si>
    <t>20AA0351 - REPAIR OF BALUDAVID BRIDGE ALONG ILOCOS NORTE-APAYAO ROAD (B02391LZ), SARRAT, ILOCOS NORTE</t>
  </si>
  <si>
    <t>Supply and Delivery of Various Construction Materials (Construction of Multi-Purpose Hall)</t>
  </si>
  <si>
    <t>Purchase of Bond Paper        IB NO.2020-049</t>
  </si>
  <si>
    <t>Purchase of Laptop and Printer for Barangay Used</t>
  </si>
  <si>
    <t>Procurement of Diesel  and Oil for the use of Government Vehicles and Equipments for the maintenance of Barangay roads, Province of Aklan /ITB no: 2020-369</t>
  </si>
  <si>
    <t>Purchase of Supplies &amp; Materials</t>
  </si>
  <si>
    <t>Construction and Improvement of Various Municipal Projects (Package 2020-05)</t>
  </si>
  <si>
    <t>CONSTRUCTION OF MULTI-PURPOSE HALL (BARANGAY SAN JOSE, TAYTAY, PALAWAN)</t>
  </si>
  <si>
    <t>ITB 06-001-20 Supply and Delivery of Various Laboratory Supplies (DA-RADDL IX)</t>
  </si>
  <si>
    <t>Purchase of Refrigerator</t>
  </si>
  <si>
    <t>Use in (Act. 71X – Special Maintenance) Rehab./Replacement of Existing Shattered Concrete Pavement along Tablas Circum. Road, k0003+500 – k0102+100 (int. section.</t>
  </si>
  <si>
    <t>Procurement of  1 Misting Machine for Control of Dengue and Other Vector Borne Disease</t>
  </si>
  <si>
    <t>Purchase of Disaster Response Vehicle (Delta Tricycle with Customized Fiber Glass Body) Gumaca, Quezon</t>
  </si>
  <si>
    <t>Purchase of Construction Materials for the Comfort Room Phase - I at Lawagan, Labason, ZN:</t>
  </si>
  <si>
    <t>SUPPLY AND DELIVERY OF 153 UNITS MINI DUMP TRUCK, ENGINE DISPLACEMENT: 2.7L, 4 X 2, 4 CYLINDER, 109HP, EURO 4 ENGINE, WITH 3 YEARS LTO REGISTRATION</t>
  </si>
  <si>
    <t>MDF CLUSTER 13-2020 PROJECTS AT CALIKING AND TOPDAC, ATOK, BENGUET</t>
  </si>
  <si>
    <t>Procurement of Supply and Delivery of Office  Supplies &amp; Equipment</t>
  </si>
  <si>
    <t>CONSTRUCTION OF MULTI-PURPOSE HALL (BARANGAY LIMINANGCONG, TAYTAY, PALAWAN)</t>
  </si>
  <si>
    <t>Repair of Three (3) Units Sinamics Variable Frequency Drive of Pump No. 5, 7, and 8  of Taguig Pumping Station</t>
  </si>
  <si>
    <t>Invitation to Bid - Procurement of Toners &amp; Photoconductor kits for CY 2020</t>
  </si>
  <si>
    <t>IMPROVEMENT &amp; BACKFILLING OF CFLC COMPOUND</t>
  </si>
  <si>
    <t>8918-20-222)  CONTINUATION OF SEWERLINE FROM THE TURNING POINT TO ACCOS RESIDENCE AT PUROK 4, HOLYGHOST EXTENSION C/O CEPMO</t>
  </si>
  <si>
    <t>IMPROVEMENT OF MAKATBENG-KIMBUTAN-BELANCE ROAD Located at Dupax del Sur, Nueva Vizcaya</t>
  </si>
  <si>
    <t>PR 2.033 ITB No. 2020-030 PRODUCTION, SUPPLY, AND DELIVERY OF TEN (10) THOUSAND PIECES CORPORATE TOTE BAG WITH SEVEN (7) DIFFERENT WEAVE CLOTH DESIGN</t>
  </si>
  <si>
    <t>2020-E001</t>
  </si>
  <si>
    <t>Supply &amp; Delivery of Starter Kits for DOLE Program Beneficiaries</t>
  </si>
  <si>
    <t>Printing of Quarantine Passes w/ Layout</t>
  </si>
  <si>
    <t>MDF CLUSTER 14-2020 PROJECTS AT CATTUBO, ATOK, BENGUET</t>
  </si>
  <si>
    <t>Purchase of Thirteen (13) Units Brand New Laptop</t>
  </si>
  <si>
    <t>MDRRMF CLUSTER 4-2020 PROJECTS AT CATTUBO, CALIKING AND PAOAY, ATOK, BENGUET</t>
  </si>
  <si>
    <t>DRILLING OF TWO (2) EXPLORATORY/PRODUCTION WELLS</t>
  </si>
  <si>
    <t>SUPPLY, INSTALLATION AND DELIVERY OF EQUIPMENT FOR THE NEWLY CONSTRUCTED PSAU INNOVATION CENTER- 2nd Posting</t>
  </si>
  <si>
    <t>FOR DENGUE PREVENTION USE</t>
  </si>
  <si>
    <t>UPGRADING OF BITUEN-LACUB ROAD</t>
  </si>
  <si>
    <t>Purchase of Pocket Wifi with Sim and Load</t>
  </si>
  <si>
    <t>supply  of Office Equipment Supplies and Consumables</t>
  </si>
  <si>
    <t>ITB NO. 003-06-2020 - PROCUREMENT OF THE FIBER OPTIC INTERNET ENTERPRISE CONNECTION TO UPGRADE DEPED REGION XI OFFICE INTERNET NETWORK</t>
  </si>
  <si>
    <t>Improvement of Multi-Purpose Pavement (Stage)</t>
  </si>
  <si>
    <t>Procurement of DRUGS AND MEDICINES</t>
  </si>
  <si>
    <t>Invitation to Bid for the Consultancy Services for the Training Needs Assessment, Design, Development and Pilot Implementation of Training Programs on MSMEs Resiliency for the Creative Industries Sect</t>
  </si>
  <si>
    <t>Procurement of materials for Construction of VAWC Office</t>
  </si>
  <si>
    <t>Procurement of Supply &amp; Delivery of Organic Fertilizer</t>
  </si>
  <si>
    <t>Supply and Delivery of various Construction Materials for the Construction/Expansion of Hilabangan IP</t>
  </si>
  <si>
    <t>Rosalia Aglay Ayag Elementary School-Printing supllies</t>
  </si>
  <si>
    <t>Rehabilitation / Construction of Drainage System</t>
  </si>
  <si>
    <t>UPGRADING OF AGUIBO-MALIBCONG ROAD</t>
  </si>
  <si>
    <t>Procurement of Supply &amp; Delivery of Printing of IEC Materials</t>
  </si>
  <si>
    <t>Purchase of One (1) Unit X-Ray Machine w/ CR System (Brand New) - MDRRMO</t>
  </si>
  <si>
    <t>Supply and Delivery of Additional Requirements for Innovative Document</t>
  </si>
  <si>
    <t>Improvement and Installation of the communication &amp; Internet System of the PMO-CRPIP</t>
  </si>
  <si>
    <t>ROAD CONCRETING AT PUROK 2 C/O KAGAWAD CALVO, BRGY. TIBUNGCO, BUNAWAN DIST., DAVAO CITY</t>
  </si>
  <si>
    <t>Invitation to Bid for the Consultancy Services for the Training Needs Assessment, Design, Development and Pilot Implementation of Training Programs on MSMEs Resiliency for the Lifestyle Sector: Clothi</t>
  </si>
  <si>
    <t>Procurement of Drugs and Medicines for use at the Pharmacy Section of the IPHO-TPH - B-G-2020-095</t>
  </si>
  <si>
    <t>4411-18-020)  CONSTRUCTION OF GENERATOR ROOM/HOUSE (PHASE II) AT HEALTH SERVICES OFFICE C/O CBAO (RE-BIDDING)</t>
  </si>
  <si>
    <t>ROAD CONCRETING WITH OPEN CANAL AT PUROK 12, BRGY. TIBUNGCO, BUNAWAN DIST., DAVAO CITY</t>
  </si>
  <si>
    <t>Acquisition of Air Conditioner</t>
  </si>
  <si>
    <t>Invitation to Bid for the Consultancy Services for the Training Needs Assessment, Design, Development and Pilot Implementation of Training Programs on MSMEs Resiliency for the Food Manufacturing Secto</t>
  </si>
  <si>
    <t>PROCUREMENT OF OFFICE SUPPLIES FOR LEARNING MODULES</t>
  </si>
  <si>
    <t>Construction of Various Projects - Package VIII</t>
  </si>
  <si>
    <t>nvitation to Bid for the Consultancy Services for the Training Needs Assessment, Design, Development and Pilot Implementation of Training Programs on MSMEs Resiliency for the Creative Industries Secto</t>
  </si>
  <si>
    <t>CONSTRUCTION OF DRAINAGE ALONG F.S. PAJARES AVE. (JCT. DABLO ST. - BOULEVARD) WESTERN SIDE   DRRMF20-1000-2-b15</t>
  </si>
  <si>
    <t>Procurement of Security Services.</t>
  </si>
  <si>
    <t>New Construction of Level II Potable Water Supply System (Clusters A &amp; B) Acacia, San Isidro to Poblacion, Magsaysay, Davao del Sur</t>
  </si>
  <si>
    <t>Installation of Complete CCTV Lines with Internet (2nd Publication) of Magsaysay, Davao del Sur</t>
  </si>
  <si>
    <t>IMPROVEMENT OF KAGAWASAN -ALEGRIA BARANGAY ROAD, ALEGRIA    DF18-8000- B4-b4</t>
  </si>
  <si>
    <t>Supplies &amp; Materials in Stock</t>
  </si>
  <si>
    <t>MINI DUMP TRUCK, 4 Cylinders inline, water cooling,CDRI,15” Tire, inclusive of GSIS Insurance and LTO Registration</t>
  </si>
  <si>
    <t>Construction of Solar Drier</t>
  </si>
  <si>
    <t>Concreting of Farm to Market Road from Poblacion to Sitio Akasya, San Miguel, Magsaysay, Davao del Sur</t>
  </si>
  <si>
    <t>Revenue Operation Modernization Project Tax Administration System (eRPTAS) at LGU-Gattaran</t>
  </si>
  <si>
    <t>SUPPLY AND DELIVERY OF MATERIALS FOR THE IMPROVEMENT OF WATER WORKS</t>
  </si>
  <si>
    <t>Construction of Covered Court Stage</t>
  </si>
  <si>
    <t>ROAD CONCRETING ( CONTINUATION ) AT PUR0K 8-A, SAN JOSE VILLAGE, BRGY. TIBUNGCO, BUNAWAN DIST., DAVAO CITY</t>
  </si>
  <si>
    <t>Construction of Multi-Purpose Building</t>
  </si>
  <si>
    <t>Procurement of Laboratory Supplies for use at the Laboratory Section of the IPHO-TPH - B-G-2020-096</t>
  </si>
  <si>
    <t>Construction of Double Barrel Box Culvert @ Barangay Glamang, Magsaysay, Davao del Sur</t>
  </si>
  <si>
    <t>PROCUREMENT FOR OFFICE SUPPLIES</t>
  </si>
  <si>
    <t>20GLH0014 (P.R. No. 2020-06-030 dated 06/10/2020) - For use in Maintenance Section in connection with repair/maintenance of National Roads, 3rd Congressional District, Davao City</t>
  </si>
  <si>
    <t>20GGF0019 – Procurement of Consumables/Spare parts of various printers for use in the Planning and Design section at DPWH, Iloilo 1st DEO, Fort San Pedro, Iloilo City.</t>
  </si>
  <si>
    <t>20GGF0018 – Procurement of various Office Supplies for use in the Planning and Design section at DPWH, Iloilo 1st DEO, Fort San Pedro, Iloilo City.</t>
  </si>
  <si>
    <t>Procurement of Malaria Test Kit (Antigen Assay) with Machine Tie-up under IB No. 2020-226</t>
  </si>
  <si>
    <t>ITB NO. GOP/20-DSWD-033-A: Provision of Multi-Year Contract for the Procurement of Fuel for DSWD Vehicles Using Fleet Card Distributor/ Credit Facility for CY 2020-2022</t>
  </si>
  <si>
    <t>Concreting of Road at Brgy. Bobon 2nd, Camiling, Tarlac - B-CW-2020-027</t>
  </si>
  <si>
    <t>Supply of Labor &amp; Materials for Establishment of Two Storey Cantilan Emergency Operation Center with Accessories</t>
  </si>
  <si>
    <t>Supply &amp; Delivery of Two Units Rescue Vehicle</t>
  </si>
  <si>
    <t>Supply and Delivery of 1,620 Pails Aluminum Sulfate</t>
  </si>
  <si>
    <t>Concreting of Road at Brgy. Cubcub, Capas, Tarlac - B-CW-2020-026</t>
  </si>
  <si>
    <t>Improvement / Construction of Multi Purpose Hall</t>
  </si>
  <si>
    <t>Site Development at Centro Organico - Phase III (Improvement of Centro Diwa) at San Vicente, Tarlac City - B-CW-2020-025</t>
  </si>
  <si>
    <t>Procurement of NVBSP Collaterals</t>
  </si>
  <si>
    <t>20GGF0017 – Procurement of Oxygen (content only) and Acetylene (content only) for use in the repair of various service vehicle and equipment of this district, Iloilo 1st District Engineering Office, F</t>
  </si>
  <si>
    <t>Supply of materials for the Construction of Public Comfort Room for Evacuation Center (Phase II)</t>
  </si>
  <si>
    <t>Supply of Labor And Materials For The Development Of Deployable And Collapsible Food Hub Including Fabrication Of Chassis Components, Food Hub Framing, Electrical and Automation Works-Rebidding</t>
  </si>
  <si>
    <t>Procurement for Internet Subscription</t>
  </si>
  <si>
    <t>Improvement of IT Park II and Dormitory (Installation of Tiles of Stairway) at IT Park II, Tibag, Tarlac City - B-CW-2020-031</t>
  </si>
  <si>
    <t>ICT Equpments</t>
  </si>
  <si>
    <t>Purchase of Sixteen (16) unit Android Tablet with Back-up Charger (Battery Pack) for CBMS Program/Data Gathering</t>
  </si>
  <si>
    <t>Supply &amp; Delivery of Bangus Fingerlings</t>
  </si>
  <si>
    <t>Concreting of Road at Brgy. Lilibangan, Concepcion, Tarlac - B-CW-2020-028</t>
  </si>
  <si>
    <t>Improvement of Multi Purpose Building at Parang, Calapan City</t>
  </si>
  <si>
    <t>One (1) Lot Preventive Maintenance of the Radio Communication System for BSP Head Office and Security Plant Complex, as per BSP Terms of Reference</t>
  </si>
  <si>
    <t>CONCRETING OF BARANGAY STREET, Brgy. Balagon, Can-avid Eastern Samar</t>
  </si>
  <si>
    <t>Procurement of INFRASTRUCTURE PROJECTS  CONSTRUCTION OF PATHWAY</t>
  </si>
  <si>
    <t>Improvement of IT Center at Tibag, Tarlac City - B-CW-2020-024</t>
  </si>
  <si>
    <t>IMPROVEMENT OF BUCAY-MANABO ROAD</t>
  </si>
  <si>
    <t>Gravelling of Roads at Purok 1, 2 and 6 Brgy. Cabcabon, Butuan City</t>
  </si>
  <si>
    <t>Procurement of 100 Watts LED Adjustable Lights</t>
  </si>
  <si>
    <t>CONCRETING OF BARANGAY STREET, Brgy. Cansangaya, Can-avid Eastern Samar</t>
  </si>
  <si>
    <t>Procurement of INFRASTRUCTURE PROJECTS  CONSTRUCTION OF CHILD DEVELOPMENT CENTER</t>
  </si>
  <si>
    <t>Improvement of Concepcion District Hospital at Brgy. Alfonso, Concepcion, Tarlac - B-CW-2020-030</t>
  </si>
  <si>
    <t>CONSTRUCTION OF MULTI-PURPOSE BUILDING Phase-II(Procurement of Construction Materials)</t>
  </si>
  <si>
    <t>PROCUREMENT OF DRINKING WATER</t>
  </si>
  <si>
    <t>Supply and Delivery of Various Brand New Tires</t>
  </si>
  <si>
    <t>PROCUREMENT FOR ID CORD</t>
  </si>
  <si>
    <t>Improvement, Extension/Expansion of the CWSPP1</t>
  </si>
  <si>
    <t>Procurement of Drugs and Medicines (Mayor's Office)</t>
  </si>
  <si>
    <t>Procurement of Firetruck with Complete Accessories</t>
  </si>
  <si>
    <t>20GLH0015 (P.R. No. 2020-06-031 dated 06/10/2020) - Repair/Rehabilitation/Improvement of Concrete Pavement along Calinan-Baguio-Cadalian Road (71X-Asphalt Overlay) (Materials Only)</t>
  </si>
  <si>
    <t>CONSTRUCTION OF MULTI-PURPOSE COVERED HALL AT MATALANGAO ELEMENTARY SCHOOL, CANDELARIA ELEMENTARY SCHOOL AND NEW CUYO ELEMENTARY SCHOOL</t>
  </si>
  <si>
    <t>SUPPLY AND DELIVERY OF MATERIALS FOR THE REHABILITATION OF SHARED FACILITY AT SITIO CALAETEN, BARANGAY MALCAMPO, ROXAS, PALAWAN</t>
  </si>
  <si>
    <t>MUNICIPAL LANDFILL DEVELOPMENT (SUPPLY AND INSTALLATION OF ELECTRICAL CONNECTION, HARDWARE &amp; ACCESSORIES FOR THE OPERATION OF MUNICIPAL LANDFILL)</t>
  </si>
  <si>
    <t>SUPPLY, DELIVERY AND INSTALLATION OF AIRCON UNITS AT THE GS BUILDING-2nd Posting</t>
  </si>
  <si>
    <t>Package IV: Const. of Multi-Purpose Hall with Comfort Rooms for Male, Female and PWDs and Solar Panel Roofing and Const. of Water System with Overhead Tank at Zambales Provincial Jail, Iba</t>
  </si>
  <si>
    <t>8918-20-010/8751-20-010) A.  IMPROVEMENT OF SIDEWALK FROM CEO TO CITY HALL, B.  IMPROVEMENT OF SIDEWALK GOING TO CITY HALL FROM CITY ENGINEERING OFFICE C/O CEO</t>
  </si>
  <si>
    <t>SUPPLY AND DELIVERY OF TIRES FOR VARIOUS VEHICLES</t>
  </si>
  <si>
    <t>Invitation to Bid for Rehabilitation of Multi-Purpose Hall/Tinangra</t>
  </si>
  <si>
    <t>Procurement of Four (4) units Brand New Motorcycle for use of the Provincial Government of Tarlac - B-G-2020-097</t>
  </si>
  <si>
    <t>PB 2020-02 (INFRA) Supply and Installation of Two (2) Units Brand New PCB Free, 3,000 KVA Stepdown Transformer and Two (2) Units High Voltage Switchgears Including XLPE Cables at the Indoor Power Subs</t>
  </si>
  <si>
    <t>PROCUREMENT OF ONE (1) UNIT PASSENGER VAN FOR THE OFFICIAL USE OF MUNICIPAL OFFICIALS AND EMPLOYEES, ATOK, BENGUET</t>
  </si>
  <si>
    <t>SUPPLY AND DELIVERY OF MATERIALS FOR THE INSTALLATION OF WATER TANKS AND LATRINES FOR EVACUATION CENTERS IN ROXAS, PALAWAN</t>
  </si>
  <si>
    <t>Procurement of Supply &amp; Delivery of NSIC Approved Hybrid Rice Seeds</t>
  </si>
  <si>
    <t>Construction of Multi-Purpose Building, Barangay Alupay, Sampaloc, Quezon</t>
  </si>
  <si>
    <t>Supply and Delivery of Tool Box for use in the Repair and Maintenance of Various Pumping Station</t>
  </si>
  <si>
    <t>Procurement of Diesoline, Gasoline and other Petroleum Products for the use of Aklan Provincial Police Office (APPO) Vehicles, Province of Aklan/ITB No: 2020-370</t>
  </si>
  <si>
    <t>IMPROVEMENT,REPAIR AND MAINTENANCE OF ECCD CENTERS, VARIOUS BARANGAYS SAN ILDEFONSO,ILOCOS SUR</t>
  </si>
  <si>
    <t>Supply of Fiberglass Reinforced Plastic Pontoon with Polycarbonate Canopy for the use of Escolta-Pasig River Ferry</t>
  </si>
  <si>
    <t>Purchase of Information and Communication Technology Equipment</t>
  </si>
  <si>
    <t>Purchase of Various Equipment</t>
  </si>
  <si>
    <t>Local Footbridge construction Phase 2 connecting Barangay Kauswagan and Barangay MacArthur, all in the municipality of Biri, Northern Samar</t>
  </si>
  <si>
    <t>20CSCE005  - CONSULTING SERVICES FOR THE CONDUCT OF a.) PARCELLARY SURVEY b.) DETAILED ENGINEERING SURVEY c.) STRUCTURAL/UTILITY/FACILITIES SURVEY d.) MONUMENTING e.) RESEARCH WORKS for the CONSTRUCTI</t>
  </si>
  <si>
    <t>Supply and Delivery of Various Soap Production Requirements of the Davao and Cagayan Valley Herbal Processing Plants</t>
  </si>
  <si>
    <t>Purchase of Supplies and Materials for Mass Greening</t>
  </si>
  <si>
    <t>PURCHASE OF HAND TRACTOR</t>
  </si>
  <si>
    <t>Purchase of Furniture and Fixture</t>
  </si>
  <si>
    <t>Purchase of Hand Tractor with Trailer</t>
  </si>
  <si>
    <t>Purchase of Supplies and Materials for Livelihood and Entrepreneurship Program</t>
  </si>
  <si>
    <t>ITB-PURCHASE OF CONSTRUCTION MATERIALS FOR THE IMPROVEMENT OF BRGY. HEALTH CENTER PHASE III Project</t>
  </si>
  <si>
    <t>Procurement of Test Paper</t>
  </si>
  <si>
    <t>CONSTRUCTION OF TUGDAN SEAWALL</t>
  </si>
  <si>
    <t>Procurement of INFRASTRUCTURE PROJECTS  Construction of One Unit - Two Classroom  School Building</t>
  </si>
  <si>
    <t>CONSTRUCTION OF MULTI-PURPOSE HALL (SO. MALINAO, BGY. LIBERTAD, TAYTAY, PALAWAN)</t>
  </si>
  <si>
    <t>SUPPLY AND DELIVERY OF MATERIALS FOR THE IMPROVEMENT OF PUBLIC CEMETERY (TOILET)</t>
  </si>
  <si>
    <t>SUPPLY AND DELIVERY OF 2 UNITS 3 TONNER FLOOR STANDING AIRCONDITIONER</t>
  </si>
  <si>
    <t>IMPROVEMENT OF DIFFUDAY-BONIFACIO ROAD Located at Quezon, Nueva Vizcaya</t>
  </si>
  <si>
    <t>Procurement of supply and delivery of Agricultural Supplies/Seeds</t>
  </si>
  <si>
    <t>CONSTRCUTION OF PERIMETER FENCE AND CONCRETING OF DRIVEWAY WITH DRAINAGE CANAL AT BUSIING ELEMENTARY SCHOOL SAN ILDEFONSO, ILOCOS SUR</t>
  </si>
  <si>
    <t>2,000 bags cement &amp; 50 drums asphalt, cold mix</t>
  </si>
  <si>
    <t>PB 2020-03 (INFRA) Supply and Installation of the Two (2) Assembly Brand New Modular/Scalable 200 KVA Uninterruptible Power Supply (UPS) each connected in N+1 Configuration including Cables/Feeders, P</t>
  </si>
  <si>
    <t>UPLB-I-020-07-20 SUPPLY, DELIVERY, INSTALLATION, TESTING AND COMMISSIONING OF FIVE (5) AIRCONDITIONING UNITS AND TWO (2) UNITS AIR CURTAIN FOR OICA</t>
  </si>
  <si>
    <t>Contract ID No. 19CSK00057 – Cluster - Consultancy Services for the Conduct of Feasibility Study for Region X Priority Road Infrastructure Projects-26 (REXPRIP-26), Total Length = 56.62 km:  a.) Quezo</t>
  </si>
  <si>
    <t>PURCHASE OF MATERIALS FOR THE CONSTRUCTION OF OSCA BUILDING PHASE VIII</t>
  </si>
  <si>
    <t>Procurement Delivery of Various</t>
  </si>
  <si>
    <t>Fabrication/Installation of Floating Dock (Pontoon)</t>
  </si>
  <si>
    <t>Purchase of Supplies and Materials for Sagip Batis</t>
  </si>
  <si>
    <t>Rehabilitation of Health Center Barangay Puspus</t>
  </si>
  <si>
    <t>Fabrication, Accession of Furniture and Fixtures</t>
  </si>
  <si>
    <t>Procurement and Delivery of One (1) Unit Brand New Motorcycle.</t>
  </si>
  <si>
    <t>Materials for Office Supplies, Refill of Fire Extinguisher and Generator</t>
  </si>
  <si>
    <t>CONSTRUCTION OF 3 ROOM TEMPORARY SCHOOL BLDG. at CRS Bagacay, Tacloban City</t>
  </si>
  <si>
    <t>One (1) unit Contract for the Improvement of Multi-Purpose Building at Barangay Anitapan, Mabini, Davao De Oro</t>
  </si>
  <si>
    <t>Procurement of Personal Protective Equipment for MDRRMO</t>
  </si>
  <si>
    <t>Rehabilitation of Multi-Purpose Hall Barangay Pagdaraoan</t>
  </si>
  <si>
    <t>TFB 19-304D Office Equipment and Furniture</t>
  </si>
  <si>
    <t>Procurement of Medicines &amp; Medical Supplies PR # 2020-06-15-193</t>
  </si>
  <si>
    <t>CONSTRUCTION OF PERIMETER FENCE &amp; BLENCHERS OF MULTI-PURPOSE PAVEMENT</t>
  </si>
  <si>
    <t>CONSTRUCTION OF MULTI-PURPOSE HALL (SO. NALBOT, BGY. POBLACION, TAYTAY, PALAWAN)</t>
  </si>
  <si>
    <t>20IK0098- Const. of Modified Design w/ Parapet of 4- Storey, Twenty (20)Cl. School Bldg., Catbalogan II Central Elem. School, Catbalogan City</t>
  </si>
  <si>
    <t>Invitation to Apply for Eligibility and to Bid for the Construction of Construction of One (1) Storey, 474 Square  Meters DRRM Building</t>
  </si>
  <si>
    <t>3118-20 Procurement of Medical, Dental and Laboratory Supplies</t>
  </si>
  <si>
    <t>Construction of Maapon River Flood Control, Sampaloc, Quezon</t>
  </si>
  <si>
    <t>3131-20 Procurement of Drugs and Medicines</t>
  </si>
  <si>
    <t>INSTALLATION OF SOLAR POWERED INTEGRATED LED STREET LIGHTING</t>
  </si>
  <si>
    <t>3119-20 Procurement of Medical, Dental and Laboratory Supplies</t>
  </si>
  <si>
    <t>ITB for PROCUREMENT OF SUPPLIES TO BE USED FOR MODULAR LEARNING 2020</t>
  </si>
  <si>
    <t>Procurement of Consulting Services for the Consumer Insights Survey of Target Markets</t>
  </si>
  <si>
    <t>CID No. 20OD0203 - Construction of Box Culvert at Brgy. Marulas, Valenzuela City</t>
  </si>
  <si>
    <t>20GG00019 - Procurement of Office Furniture for use in the Planning and Design Division, DPWH Regional Office VI, Iloilo City</t>
  </si>
  <si>
    <t>One (1) lot Supply, Delivery and Installation of Multi-Layered Ballistic Resistant Glass for five (5) units Ford F550 Escort Vans, as per BSP Terms of Reference</t>
  </si>
  <si>
    <t>Procurement of IT Equipment PR # 2020-06-17-203</t>
  </si>
  <si>
    <t>20KA0099 (Readvertisement) Construction of One (1) Storey Three (3) Classroom School Building, Dagat-Kidavao Integrated School, Valencia City, Bukidnon (School ID: 500703) Brgy. Dagat-Kidavao, Valenci</t>
  </si>
  <si>
    <t>20KA0098 (Readvertisement) Construction of One (1) Storey Three (3) Classroom School Building, Mabuhay Elementary School, Valencia City, Bukidnon (School ID: 126875) Brgy. Mabuhay, Valencia City, Buki</t>
  </si>
  <si>
    <t>20KA0097 (Readvertisement) Construction of one (1) Storey two (2) Classroom School Building,  Apo Macote National High School, Malaybalay City, Bukidnon (School ID: 325505) Brgy. Apo Macote, Malaybala</t>
  </si>
  <si>
    <t>CONCRETING OF BARANGAY STREET, Brgy. Rawis, Can-avid Eastern Samar</t>
  </si>
  <si>
    <t>Purchase of Ten (10) units Handheld Radio</t>
  </si>
  <si>
    <t>SUPPLY AND DELIVERY OF LABORATORY AND HOSPITAL EQUIPMENT</t>
  </si>
  <si>
    <t>PROCUREMENT OF ONE (1) UNIT SURPLUS DUMP TRUCK</t>
  </si>
  <si>
    <t>Procurement of Wheelchair &amp; Reading Glasses PR # 2020-06-23-209</t>
  </si>
  <si>
    <t>CID No. 20OD0200 - Improvement of Roads and Drainage along Nadurata Street, Caloocan City</t>
  </si>
  <si>
    <t>INSTALLATION AND UPGRADE OF NORSU ICT DATABASE CENTER INFRASTRUCTURE FOR NORSU MAIN CAMPUSES I &amp; II</t>
  </si>
  <si>
    <t>Construction of Fence</t>
  </si>
  <si>
    <t>3120-20 Procurement of Medical, Dental and Laboratory Supplies</t>
  </si>
  <si>
    <t>CONCRETING OF BARANGAY STREET, Brgy. Boco, Can-avid Eastern Samar</t>
  </si>
  <si>
    <t>PROCUREMENT OF ONE (1) UNIT SURPLUS ELF TRUCK (16 FT)</t>
  </si>
  <si>
    <t>Purchase of Office Furniture</t>
  </si>
  <si>
    <t>Other Supplies/Janitorial Supplies</t>
  </si>
  <si>
    <t>Construction of Lumangbayan Barangay Road</t>
  </si>
  <si>
    <t>2020-159-I PROCUREMENT AND SUBSCRIPTION OF INTERNET CONNECTIVITY FOR THE PERIOD OF JUNE TO DECEMBER 2020</t>
  </si>
  <si>
    <t>Procurement of Anti-flu vaccines for the youth of Barangay Magallanes for CY 2020</t>
  </si>
  <si>
    <t>Procurement of AGRICULTURAL PRODUCTS (SEEDLINGS)</t>
  </si>
  <si>
    <t>PB-20-341, Supply &amp; Delivery of Medical Supplies for Dr. Amado Diaz Provincial Foundation Hospital, Midsayap, Cotabato</t>
  </si>
  <si>
    <t>Office Supplies &amp; Other Supplies - Office of the City Mayor (Tourism Section)</t>
  </si>
  <si>
    <t>20BF0061: Construction of Legislative Building in Roxas, Isabela, Brgy. Rizal, Roxas, Isabela</t>
  </si>
  <si>
    <t>PB-20-211, Supply &amp; Delivery of Engineering Laboratory Equipment for Provincial Engineer’s Office, Amas, Kidapawan City</t>
  </si>
  <si>
    <t>Procurement of Laboratory Equipment for the Aviation Maintenance Department of the College of Industrial Technology NORSU Main Campus (Negotiated)</t>
  </si>
  <si>
    <t>Rehabilitation/Reconstruction/Upgrading of Damaged Paved National Roads, Famy-Real-Infanta-Dinahican Port Road, K0102+204-K0103+000</t>
  </si>
  <si>
    <t>REHBILITATION OF WATER SYSTEM</t>
  </si>
  <si>
    <t>Road Concreting, Bacalso Purok 8, Brgy. Catalunan Pequeño, Talomo District, Davao City</t>
  </si>
  <si>
    <t>Supply and Delivery of Materials for the Construction of Barangay Multi-Purpose Hall, Sta. Maria</t>
  </si>
  <si>
    <t>IMROVEMENT OF MANAG TO SIMUD FMR</t>
  </si>
  <si>
    <t>IMPROVEMENT OF MULTI-PURPOSE BUILDING (GYMNASIUM)</t>
  </si>
  <si>
    <t>INVITATION TO BID FOR SUPPLY AND DELIVERY FOR SK E-LEARNING CENTER EQUIPMENT'S</t>
  </si>
  <si>
    <t>Purchase of spray Chemical for Mosquito</t>
  </si>
  <si>
    <t>Expansion of Potable Water System Level II</t>
  </si>
  <si>
    <t>2nd PUBLIC BIDDING FOR LOT 1 OF THE PROCUREMENT OF  RANDOM ACCESS MEMORY AND VARIOUS DATA STORAGE DEVICES</t>
  </si>
  <si>
    <t>20DF0191 (By Contract) - Construction/Rehabilitation of Water Supply/Septage and Sewerage/Rain Water Collectors –  Rain Water Collectors in Public Facilities</t>
  </si>
  <si>
    <t>PB-20-047, Supply &amp; Delivery of Swine for distribution to qualified beneficiaries provincewide</t>
  </si>
  <si>
    <t>Supply &amp; Delivery of One (1) Unit Type II Wide Body Rescue Ambulance with complete accessories</t>
  </si>
  <si>
    <t>Publication of City Ordinances PR # 2020-06-22-208</t>
  </si>
  <si>
    <t>Catering Services  PR # 2020-06-18-205</t>
  </si>
  <si>
    <t>Procurement of IT Equipment PR # 2020-06-19-206</t>
  </si>
  <si>
    <t>Supply, Delivery and Configuration of Unified Threat Management Devices</t>
  </si>
  <si>
    <t>Supply, Deliver, Provision, Configuration of CTU Online Platform Subscription</t>
  </si>
  <si>
    <t>nyg2020-05</t>
  </si>
  <si>
    <t>Flood Control Program/Projects(Riprapping)</t>
  </si>
  <si>
    <t>Procurement of Office Supplies  PR # 2020-06-27-207</t>
  </si>
  <si>
    <t>CONSTRUCTION OF COVERED DRAINAGE CANAL (PHASE 2) AT BRGY BURABOD, VILLAREAL, SAMAR</t>
  </si>
  <si>
    <t>REHABILITATION OF MUTI-PURPOSE DRYING PAVEMENT AT PUROK 3 MANAG E/S</t>
  </si>
  <si>
    <t>One(1) unit contract: Labor &amp; Materials for the construction of  Public Stalls besides Public Terminal Four (4) units with Toilet, Mabini, Public Terminal Site, Cuambog, Mabini, Davao De Oro</t>
  </si>
  <si>
    <t>Procurement of M16 Rifle Magazine</t>
  </si>
  <si>
    <t>Civil Engineering Laboratory Equipment</t>
  </si>
  <si>
    <t>SUPPLY AND DELIVERY OF COMPUTER</t>
  </si>
  <si>
    <t>Supply and Delivery of 23 units 8.0 inch tablet w/Pen 2019 Edition</t>
  </si>
  <si>
    <t>nyg2020-04</t>
  </si>
  <si>
    <t>ITB - Fertilizers (COB)</t>
  </si>
  <si>
    <t>Purchase of CCTV.</t>
  </si>
  <si>
    <t>Procurement-Supply &amp; Delivery of Fuel</t>
  </si>
  <si>
    <t>SUPPLY AND DELIVERY OF 1 LOT COMMON OFFICE SUPPLIES</t>
  </si>
  <si>
    <t>PROCUREMENT OF MATERIALS FOR THE REPAIR/MAINTENANCE OF PARKS, PLAZAS &amp; MONUMENTS</t>
  </si>
  <si>
    <t>CIVIL WORKS FOR THE COMPLETION OF ROAD CONCRETING OF TORRALBA-BUYAN ST. LEADING TO CUENCA AVE.</t>
  </si>
  <si>
    <t>Electrical Engineering Science Laboratory Equipment</t>
  </si>
  <si>
    <t>CIVIL WORKS FOR THE ROAD CONCRETING OF P-3, BRGY. STO. ROSARIO</t>
  </si>
  <si>
    <t>Office Supplies (Various Offices)</t>
  </si>
  <si>
    <t>Contract ID No. 20NC0136 - Construction of Multi-Purpose Building, Brgy. San Marcos, Bunawan, Agusan del Sur</t>
  </si>
  <si>
    <t>HO-WMD20-006 - Supply and Delivery of Shower Electric Water Heater and Stainless Steel Water Tank for Camarin Lake Resort, Cavinti, Laguna</t>
  </si>
  <si>
    <t>Supply of Various Material for use in Repair and Rehabilitation of Infrastructure Facilities and other Related Activities – Repair and Maintenance of Road Safety Facilities within 1st District of Pamp</t>
  </si>
  <si>
    <t>Purchase of One (1) Unit Ambulance/Emergency Medical Transport</t>
  </si>
  <si>
    <t>Contract ID No. 20NC0135 - Construction of Multi-Purpose Building, Brgy. San Francisco, Bunawan, Agusan del Sur</t>
  </si>
  <si>
    <t>Purchase of IT Equipments for the Different Schools at Labason District ,Labason,ZN :</t>
  </si>
  <si>
    <t>Construction of Footbridge (Rebidding)</t>
  </si>
  <si>
    <t>Contract ID No. 20NC0134 - Construction of Local Road (Phase II), Brgy. Panagangan, La Paz, Agusan del Sur</t>
  </si>
  <si>
    <t>Purchase of one (1) unit Vehicle</t>
  </si>
  <si>
    <t>20CSJ003 - Consulting Services for the Sub-Surface Exploration Thru Calyx Drilling and Laboratory Works/Analysis for Replacement of Nine (9) Bridges for Sulu 1st BARMM</t>
  </si>
  <si>
    <t>1,000 sachet Fabric conditioner</t>
  </si>
  <si>
    <t>PURCHASE OF MINI-DUMPTRUCK</t>
  </si>
  <si>
    <t>Purchase of Office Equipments</t>
  </si>
  <si>
    <t>Labor and Materials for the Improvement/Embankment of Civic Center Parking at San Isidro, City of San Fernando, Pampanga</t>
  </si>
  <si>
    <t>100 pcs. Printed T-shirt</t>
  </si>
  <si>
    <t>PROCUREMENT OF MICRO-INFRA PROJECTS CLUSTER 07-2020 (MDF 2020) NAWAL &amp; TIKEY, BOKOD, BENGUET</t>
  </si>
  <si>
    <t>Labor and Materials for the Improvement of Road at Dolores, City of San Fernando, Pampanga</t>
  </si>
  <si>
    <t>263 pax meals and Snacks</t>
  </si>
  <si>
    <t>Procurement of Food Stuff for Welfare Goods Expense due to COVID-19</t>
  </si>
  <si>
    <t>IMPROVEMENT/ CONSTRUCTION OF DAKLAN POTABLE WATER SYSTEM , DAKLAN ,   BOKOD, BENGUET</t>
  </si>
  <si>
    <t>INSTALLATION OF STAINLESS STEEL RAILINGS</t>
  </si>
  <si>
    <t>PURCHASE OF MOTOR VEHICLE</t>
  </si>
  <si>
    <t>PURCHASE OF FURNITURE &amp; FIXTURES</t>
  </si>
  <si>
    <t>Procurement-Supply &amp; Delivery of School and Office Supplies</t>
  </si>
  <si>
    <t>PROCUREMENT OF FARM INPUTS FOR FILP PROGRAM</t>
  </si>
  <si>
    <t>PROCUREMENT OF MATERIALS FOR THE ROAD CONCRETING OF BRGY. OWAK</t>
  </si>
  <si>
    <t>20CSJ002 - Consulting Services for the Sub-Surface Exploration Thru Calyx Drilling and Laboratory Works/Analysis for Widening of Five Bridges for Sulu 2nd, BARMM</t>
  </si>
  <si>
    <t>CONSTRUCTION OF NALAY-AN PIS Located at Ambaguio, Nueva Vizcaya</t>
  </si>
  <si>
    <t>Construction Materials for the Concreting of Brgy. Road @ Purok 6, Bagacay, Talibon, Bohol</t>
  </si>
  <si>
    <t>INSTALLATION/REHABILITATION OF STREETLIGHTS – NATIONAL HIGHWAY</t>
  </si>
  <si>
    <t>RFQ No. 20-06-056 - Purchase of Office Supplies for the 1st and 2nd Quarter</t>
  </si>
  <si>
    <t>19CSJ013 - Sub-Surface Exploration Thru Calyx Drilling and Laboratory Works/Analysis for the Construction of Two (2) Bridges and One (1) Multi-Purpose Building for Region IX</t>
  </si>
  <si>
    <t>Procurement of Tractor Implement Harrow And Discplow for Agriculture Office</t>
  </si>
  <si>
    <t>INSTALLATION OF STREETLIGHTS ALONG DIVERSION ROAD</t>
  </si>
  <si>
    <t>CONSTRUCTION OF SLOPE POTECTION ON CRITCAL AREAS AT GAWAD KALINGA HOUSING SITE</t>
  </si>
  <si>
    <t>Labor and Materials for the Development of Eco-Park Phase I(Embankment) at Lara, City of San Fernando, Pampanga</t>
  </si>
  <si>
    <t>Construction of Multi-purpose Hall (Phase 2)</t>
  </si>
  <si>
    <t>Provision of Food &amp; venue for 60 persons in the Joint Local Finance Committee, Department Heads &amp; Leyte Economics Team Coordination Meeting on July 13, 20-20 @ Candahug, Palo, Leyte. ABC PHP65,000.00</t>
  </si>
  <si>
    <t>Labor and Materials for the Construction of Day Care Center in Maimpis, City of San Fernando, Pampanga</t>
  </si>
  <si>
    <t>Construction &amp; Repair of Brgy. Road</t>
  </si>
  <si>
    <t>30 reams Bond paper long</t>
  </si>
  <si>
    <t>Procurement-Supply &amp; Delivery of Printed T-Shirts &amp; Tarpaulin</t>
  </si>
  <si>
    <t>Purchase of Various Electrical Supplies to be Used for the Rehabilitation of Street Lights at Mabini Street</t>
  </si>
  <si>
    <t>Procurement-Supply &amp; Delivery of Hardware Materials</t>
  </si>
  <si>
    <t>Renovation of Provincial Treasurer’s Office,  Alibagu, City of Ilagan, Isabela</t>
  </si>
  <si>
    <t>Procurement of M193 Ammunition</t>
  </si>
  <si>
    <t>20FN0107 Construction of Two (2) Storey Four (4) Classroom School Building, San Miguel Elementary School, Bato, Camarines Sur</t>
  </si>
  <si>
    <t>SUPPLY AND DELIVERY OF VARIOUS ELECTRICAL SPARE PARTS FOR 163KW PERKINS INTENDED FOR CALUYA DPP</t>
  </si>
  <si>
    <t>S1-JPR20-008 SUPPLY AND DELIVERY OF GENERAL PLANT EQUIPMENT (GPE) FOR JP RIZAL DPP.</t>
  </si>
  <si>
    <t>Procurement of Subdivision Survey Project for Davao de Oro.</t>
  </si>
  <si>
    <t>7 rms Book paper long</t>
  </si>
  <si>
    <t>Purchase of Medical Supplies for use of GAD (Family Planning), City Health Office, Silay City.</t>
  </si>
  <si>
    <t>Construction Materials for the Rehabilitation of Brgy. Basketball Court @ Guindacpan, Talibon, Bohol</t>
  </si>
  <si>
    <t>SUPPLY AND DELIVERY OF VARIOUS MECHANICAL SPARE PARTS FOR 300 KW CUMMINS INTENDED FOR GIGANTES DPP</t>
  </si>
  <si>
    <t>Purchase of Pneumonia Vaccine for Barangay Constituents</t>
  </si>
  <si>
    <t>Purchase of Laptop to be used of the Secretariat during the Local School Board, Silay City (REBID).</t>
  </si>
  <si>
    <t>Purchase of Construction Materials and Supply for use of Ceiling Maintenance of Various Offices in the City Hall of Silay City in Preparation for Rainy Season.</t>
  </si>
  <si>
    <t>74136_One (1) unit Floor Mounted Motor Controller VFD Type 90kw w/ enclosure</t>
  </si>
  <si>
    <t>SUBM#2020 -07-01 - To purchase IT Equipment to be used in the Construction Section, DPWH, Negros Occidental 2nd District Engineering Office, Binalbagan Negros Occidental</t>
  </si>
  <si>
    <t>74374_Supply &amp; Delivery of 1 unit Computer set w/ high specs</t>
  </si>
  <si>
    <t>CONTINUATION OF FABRICATION OF CANAL GRILLS</t>
  </si>
  <si>
    <t>Construction/Repair/Rehabilitation of University Infirmary, MSU-Main Campus, Marawi City</t>
  </si>
  <si>
    <t>Procurement of Meals &amp; 2 Snacks For the Participants of Health Summit &amp; Buntis Congress 2020</t>
  </si>
  <si>
    <t>SUPPLY AND DELIVERY OF VARIOUS MECHANICAL SPARE PARTS FOR 38 KW PERKINS INTENDED FOR BOHOL 2 MINI GRID</t>
  </si>
  <si>
    <t>74532_Supply &amp; Delivery of Ring flange, 250mm diameter</t>
  </si>
  <si>
    <t>IB 2020-07-21(07) Medical Equipment</t>
  </si>
  <si>
    <t>Procurement-Supply &amp; Delivery of Office Supplies &amp; Equipment</t>
  </si>
  <si>
    <t>SUPPLY AND DELIVERY OF BRASS, GI, CI FITTINGS, HDPE PIPES &amp; TEFLON TAPE</t>
  </si>
  <si>
    <t>74691_68kgs. Liquid Chlorine</t>
  </si>
  <si>
    <t>20KG0094 : Concreting of Brgy. Matampay FMR, Brgy. Matampay, Matungao, Lanao del Norte, Sta.0+000-0+465; Sta. 0+665-Sta. 1+100</t>
  </si>
  <si>
    <t>Acquisition of Hook and Line (200 sets) for marginals fishermen of Pinamalayan</t>
  </si>
  <si>
    <t>SUPPLY AND DELIVERY OF AGRICULTURAL PRODUCTS FOR FISHERFOLK BENEFICIARIES UNDER SPECIAL AREAS FOR AGRICULTURAL DEVELOPMENT (SAAD) PROGRAMS CY 2020 IN LANAO DEL NORTE</t>
  </si>
  <si>
    <t>Procurement-Supply &amp; Delivery of Food Commodities</t>
  </si>
  <si>
    <t>SUPPLY AND DELIVERY OF VARIOUS MECHANICAL SPARE PARTS FOR 163 KW PERKINS INTENDED FOR CALUYA DPP</t>
  </si>
  <si>
    <t>Supply and Delivery of Common Used Office Supplies for the year 2020 to be used by CadminO - City Market Operation Division, CAVO, CGSO – MPD, CGSO – PMD, CGSO – PSMD, CGSO – RAMD, CGSO – RMAD, CGSO –</t>
  </si>
  <si>
    <t>Procurement of Furniture &amp; fixture for 2nd Qtr. 2020</t>
  </si>
  <si>
    <t>INVITATION TO BID FOR SANITATION PROGRAM OF LGU, SAN FRANCISCO, CEBU.</t>
  </si>
  <si>
    <t>Procurement of Cacao Processing Equipment</t>
  </si>
  <si>
    <t>PURCHASE OF MEDICAL SUPPLIES FOR INFIRMARY USE</t>
  </si>
  <si>
    <t>SUPPLY AND DELIVERY OF VARIOUS ELECTRICAL SPARES FOR 600 KW PERKINS INTENDED FOR POWER BARGE 113</t>
  </si>
  <si>
    <t>Drilling Project at Tress Marias Spring</t>
  </si>
  <si>
    <t>SUPPLY AND DELIVERY OF VARIOUS MECHANICAL SPARE PARTS FOR 163 KW PERKINS INTENDED FOR GIGANTES DPP</t>
  </si>
  <si>
    <t>DIETARY SUPPLEMENTATION FOR PREGNANT WOMEN</t>
  </si>
  <si>
    <t>S1-ADP20-013   SUPPLY AND DELIVERY OF AIRCONDITIONING UNIT, INVERTER TYPE.</t>
  </si>
  <si>
    <t>Procurement of Motorized Boat with Complete Set of Gillnet</t>
  </si>
  <si>
    <t>Construction of Mayor's Office Building</t>
  </si>
  <si>
    <t>Labor and Materials for the Construction of Steel Gates and CHB Fence at Mansgold Cemetery, Sta. Lucia, City of San Fernando, Pampanga</t>
  </si>
  <si>
    <t>Supply of one (1) unit Pipette Washer Ultrasonic</t>
  </si>
  <si>
    <t>Supply and Delivery of Various size of Ci Butterfly Valve and Various Pumps ( D-032-0284-20 )</t>
  </si>
  <si>
    <t>Negotiation for the Procurement of various Drugs and Medicines</t>
  </si>
  <si>
    <t>20DQ0119 - LOCAL PROGRAM – Local Infrastructure Program – Buildings and Other Structures – Multipurpose/Facilities – Construction of Multi-Purpose Building and other improvements at Springville Execut</t>
  </si>
  <si>
    <t>20HC0183- CONCRETING OF BRGY. MAGSAYSAY FMR, BRGY. MAGSAYSAY, TALIBON, BOHOL</t>
  </si>
  <si>
    <t>Supply of four (4) units Chlorine Residual Analyzer</t>
  </si>
  <si>
    <t>Supply of seven (7) pieces Headset with Noise Cancelling</t>
  </si>
  <si>
    <t>Materials for Livelihood Program for fisher folks (Fish Aggregating Device-Payao)</t>
  </si>
  <si>
    <t>20DQ0118 - MOOE – Maintenance, Repair and Rehabilitation of Infrastructure Facilities and Other Related Activities – Public Buildings – Repair/ Maintenance of DILG Building, PNPA Forensic Science Buil</t>
  </si>
  <si>
    <t>20HC0184- CONCRETING OF BRGY. CAMBANSAG FMR (LEADING TO BRGY. BAUNOS), BRGY. CAMBANSAG, SAN ISIDRO, BOHOL</t>
  </si>
  <si>
    <t>Supply of one (1) lot Anti-Virus Subscription</t>
  </si>
  <si>
    <t>PURCHASE OF MATERIALS FOR IMPROVEMENT OF LGU BEACH</t>
  </si>
  <si>
    <t>ITB for Additional Office Supplies for 2020</t>
  </si>
  <si>
    <t>20DQ0120 - LOCAL PROGRAM – Local Infrastructure Program – Local Roads and Bridges - Local Roads – Asphalt Overlay, Barangay Iba, Silang, Cavit</t>
  </si>
  <si>
    <t>Supply and delivery of Office supplies &amp; Device for use in the Tabango Community Hospital. ABC PHP90,326.00</t>
  </si>
  <si>
    <t>SUPPLY AND DELIVERY OF VARIOUS ELECTRICAL SPARE PARTS FOR 336 KW CUMMINS INTENDED FOR DOONG DPP</t>
  </si>
  <si>
    <t>Construction of Multi-Purpose Building -Maui, Caramoran, Catanduanes</t>
  </si>
  <si>
    <t>SUPPLY &amp; DELIVERY OF THE CONSTRUCTION SUPPLIES FOR THE RENOVATION OF OLD BRGY HALL TURN INTO WOMEN AND CHILDREN BUILDING PHASE II AT BARANGAY TABONTABON,SIBAGAT,AGUSAN DEL SUR</t>
  </si>
  <si>
    <t>PURCHASE OF MEDICAL SUPPLIES FOR RHU OPD AND LYING-IN</t>
  </si>
  <si>
    <t>PURCHASE OF 1 UNIT BARANGAY PATROL VEHICLE</t>
  </si>
  <si>
    <t>TRAINING AND ASSESSMENT SUPPLIES AND MATERIALS FOR HARD TRADE SECTOR</t>
  </si>
  <si>
    <t>SUPPLIES &amp; DELIVERY OF THE ONSTRUCTION MATERIALS &amp; SUPPLIES FOR THE CONSTRUCTION OF MANPOWER/YOUTH DEVELOPMENT CENTER,PHASE XIII AT BARANGAY TABONTABON,SIBAGAT,AGUSAN DEL SUR</t>
  </si>
  <si>
    <t>RFQ– Submersible motor</t>
  </si>
  <si>
    <t>SJADS INFRA 20-04: ESTABLISHMENT OF ECO-PARK (SCRAPING AND EMBANKMENT)</t>
  </si>
  <si>
    <t>20DQ0122 - LOCAL PROGRAM – Local Infrastructure Program – Buildings and Other Structures – Multipurpose/Facilities – Rehabilitation/ Improvement of Multi-Purpose Building, Brgy. Talaba V, Bacoor City,</t>
  </si>
  <si>
    <t>FABRICATION AND CONSTRUCTION OF SOLAR STREETLIGHTS</t>
  </si>
  <si>
    <t>PURCHASE OF WEIGHING SCALE FOR PREGNANT AND LACTATING WOMEN</t>
  </si>
  <si>
    <t>TRAINING AND ASSESSMENT SUPPLIES AND MATERIALS FOR TOURISM SECTOR</t>
  </si>
  <si>
    <t>Installation of Structured Cabling</t>
  </si>
  <si>
    <t>20DQ0123 - LOCAL PROGRAM – Local Infrastructure Program – Buildings and Other Structures – Multipurpose/Facilities – Construction of Multi-Purpose Building, Barangay Molino, Bacoor, Cavite</t>
  </si>
  <si>
    <t>Supply Labor and Materials for the Rehabilitation of 120 ft. Monopole Tower and Replacement of some parts</t>
  </si>
  <si>
    <t>20DQ0124 - LOCAL PROGRAM – Local Infrastructure Program – Buildings and Other Structures – Multipurpose / Facilities – Construction of Multi-Purpose Building, Brgy. Mambog I, Bacoor City, Cavite; Cons</t>
  </si>
  <si>
    <t>20DQ0121 - LOCAL PROGRAM – Local Infrastructure Program – Local Roads and Bridges – Local Roads – Widening of Congressional Avenue, GMA, Cavite</t>
  </si>
  <si>
    <t>CONSTRUCTION OF FIVE-STOREY CED LABORATORY BUILDING (Phase-II)  MSU-IIT  PROPERTY,  Hinaplanon, Iligan City</t>
  </si>
  <si>
    <t>SUPPLY AND DELIVERY OF VARIOUS MECHANICAL SPARE PARTS FOR 300 KW CUMMINS INTENDED FOR CALUYA DPP</t>
  </si>
  <si>
    <t>HO-EMA20-019 - Supply and Delivery of Digital Multimeter 10A ACDC 1000V ACDC</t>
  </si>
  <si>
    <t>SJADS INFRA 20-06: CONSTRUCTION OF LATRINE FOR DESIGNATED EVACUATION CENTER</t>
  </si>
  <si>
    <t>20DQ0127 - ORGANIZATIONAL OUTCOME 2: Protect Lives and Properties Against Major Floods - Flood Management Program - Construction/ Maintenance of Flood Mitigation Structures and Drainage Systems - Cons</t>
  </si>
  <si>
    <t>Contract for the Rehabilitation of Riverbank, P3A, Tagaytay, Barangay Bobongon, Santo Tomas, Davao del Norte</t>
  </si>
  <si>
    <t>20DQ0128 - LOCAL PROGRAM – Construction / Repair / Rehabilitation / Improvement of Various Infrastructure including Local Projects – Flood Control and Drainage – Flood Control Structures/Facilities –</t>
  </si>
  <si>
    <t>PURCHASE OF VARIOUS IT EQUIPMENT</t>
  </si>
  <si>
    <t>Supply and Delivery of Various Office Equipemtn and Materials for the Various Offices &amp; Colleges</t>
  </si>
  <si>
    <t>Purchase of Disasters Equipment(To better equipped the LDRRM Council and LGU Responders &amp; provide documentation equipment)</t>
  </si>
  <si>
    <t>REPRODUCTION OF LEARNING MODULES</t>
  </si>
  <si>
    <t>SUPPLY AND DELIVERY OF VARIOUS MECHANICAL SPARE PARTS FOR 106KW CUMMINS INTENDED FOR BOHOL 2 MINI GRID</t>
  </si>
  <si>
    <t>PURCHASE AND DELIVERY OF ONE UNIT CARGO TYPE TRICYCLE (For Garbage Collection and other Miscellaneous Utilization in the Barangay Activities)</t>
  </si>
  <si>
    <t>20DQ0126 - Major Floods – Flood Management Program – Construction/ Maintenance of Flood Mitigation Structures and Drainage Systems – Construction of Revetment from Baluctot River, East side, Cavite</t>
  </si>
  <si>
    <t>SUPPLY AND DELIVERY OF BRASS WATER METER</t>
  </si>
  <si>
    <t>Supply and Delivery of 1,800 pcs. Impression Cambric Blanket, as per BSP Technical Specifications</t>
  </si>
  <si>
    <t>Re-Bidding for the Supply, Installation and Commissioning of One (1) Unit Earthquake Recording Instrument (ERI)</t>
  </si>
  <si>
    <t>SUPPLY AND DELIVERY OF VARIOUS MECHANICAL SPARE PARTS FOR 20 KW PERKINS INTENDED FOR BOHOL 2 MINI GRID</t>
  </si>
  <si>
    <t>SUPPLY, DELIVERY, INSTALLATION, PROGRAMMING, TESTING AND COMMISSIONING OF EQUIPMENT AND APPURTENANCES FOR THE UPGRADING OF INLINE BOOSTER FOR LARION BAJO PUMPING STATION</t>
  </si>
  <si>
    <t>20BG0148-Local Program-Construction/Repair/Rehabilitation /Improvement of Various Infrastructure Including Local Projects-Local Roads and Bridges-Local Bridges-Construction of Over-Pass (Phase 3), Nag</t>
  </si>
  <si>
    <t>Procurement of Medical and Laboratory Supplies under IB-GOODS-2020-11</t>
  </si>
  <si>
    <t>S1-NPS20-019   SUPPLY AND DELIVERY OF SPARE PARTS FOR VEHICLES.</t>
  </si>
  <si>
    <t>Supply and Installation of Office Fit-Out Works for the Regional Leased Office of RR7B, East NCR at the West Podium, Mandaluyong City</t>
  </si>
  <si>
    <t>RFQ# 2021-02-RRHF</t>
  </si>
  <si>
    <t>REHABILITATION OF MUNICIPAL BUILDING ROOF</t>
  </si>
  <si>
    <t>FURNISHING AND DELIVERY OF 1 UNIT MULTI-SHREDDER/PULVERIZER MACHINE FOR LGU SWM</t>
  </si>
  <si>
    <t>20DC0214 - LOCAL PROGRAM, Local Infrastructure Program, Buildings and Other Structures, Multipurpose/Facilities, Construction of Multi-Purpose Building at Brgy. Poblacion, in front of Taal Lake, besid</t>
  </si>
  <si>
    <t>Chemicals, Fertilizers, Farm Tools &amp; Equipment and Seedlings/Corm (Oplan Ahon-Banana Production Project)</t>
  </si>
  <si>
    <t>S1-LIN20-004    SUPPLY AND DELIVERY OF MATERIALS/SUPPLIES INTENDED FOR OPERATION AND MAINTENANCE USE.</t>
  </si>
  <si>
    <t>20DC0212 - LOCAL PROGRAM, Local Infrastructure Program, Local Roads and Bridges, Local Roads, Construction of Road with Slope Protection, Brgy. Don Juan-Calumayin, Cuenca, Batangas</t>
  </si>
  <si>
    <t xml:space="preserve">20DC0211 - LOCAL PROGRAM, Construction/Repair/Rehabilitation/Improvement of Various Infrastructure including Local Projects, Buildings And Other Structures, Multipurpose/Facilities, Rehabilitation of </t>
  </si>
  <si>
    <t>Supply and Delivery of Various Furnitures &amp; Fixtures for the University</t>
  </si>
  <si>
    <t>20DB0139 Rehabilitation/Major Repair of Permanent Bridges along Palico-Balayan-Batangas Rd.,Lemery,Batangas–Calbangan Bridge B00053LZ–Palanas Bridge B01291LZ Along Lemery-Taal Diversion Rd.,Taal,Batan</t>
  </si>
  <si>
    <t>Purchase of IT Equipment [MDRRMO]</t>
  </si>
  <si>
    <t>20DC0213 - LOCAL PROGRAM, Local Infrastructure Program, Buildings and Other Structures, Multipurpose/Facilities, Construction/Completion/Rehab/Improvement of Multi Purpose Building (Municipal Building</t>
  </si>
  <si>
    <t>20DB0137 – Repair/Rehabilitation of Diokno Highway, K0087+000 – K0090+100 (Intermittent Section) Lemery, Batangas</t>
  </si>
  <si>
    <t>Concreting of Local Road at Brgy. San Vicente</t>
  </si>
  <si>
    <t>20DB0136 – Repair/Rehabilitation of Palico-Balayan-Batangas Road, K0120+100 – K0129+400 (Intermittent Section) Taal, and Lemery</t>
  </si>
  <si>
    <t>Supply and Delivery of Various Hardware Supplies and Materials for the Admin Office and Utility Services of the University</t>
  </si>
  <si>
    <t>Supply and Delivery of Various Printer Ink for Various Colleges and Offices of the University</t>
  </si>
  <si>
    <t>Structural Improvement of Public Buildings and Construction of Evacuation Center, National Capital Region: Batino Elementary School - DPWH DECS Building, Quezon City</t>
  </si>
  <si>
    <t>20-DO-0085: Repair/Rehabilitation of Flood Control Structure at Malaya, Pililla, Rizal</t>
  </si>
  <si>
    <t>Structural Improvement of Public Buildings and Construction of Evacuation Center, National Capital Region: National Defense College of the Philippines - Staff Room, Quezon City</t>
  </si>
  <si>
    <t>20DB0138 – Repair/Rehabilitation of Lemery-Taal Diversion Road, K0128+(-1045) – K0131+765 (Intermittent Section) Taal and Lemery, Batangas</t>
  </si>
  <si>
    <t>CID No. 20OD0202 - Construction of Flood Control Wall along Marulas Creeks (from McArthur Highway to Tullahan River), Brgy. Marulas, Valenzuela City</t>
  </si>
  <si>
    <t>SJADS GOODS 20-11: PROCUREMENT OF IT EQUIPMENT</t>
  </si>
  <si>
    <t>Maintenance, Repair and Rehabilitation of Infrastructure Facilities and Other Related Activities - Repair and Maintenance of Road Safety Facilities, Quezon City</t>
  </si>
  <si>
    <t>Repair / Maintenance of DOF Building Bureau of Internal Revenue Building, Brgy. Piñahan, Quezon City</t>
  </si>
  <si>
    <t>Repair / Maintenance of DITC Building Nat'l Telecommunication Main Building, Quezon City</t>
  </si>
  <si>
    <t>S1-SVD20-014   SUPPLY AND DELIVERY OF MATERIALS/SUPPLIES FOR OPERATION AND MAINTENANCE USE.</t>
  </si>
  <si>
    <t>20-DO-0084: Repair/Rehabilitation of Slope Protection along Nagsandig to Sampad, Brgy. Nagsandig &amp; Brgy. Sampad, Cardona, Rizal</t>
  </si>
  <si>
    <t>Supply and Delivery of Various Laboratory Equipment for the College of Forestry</t>
  </si>
  <si>
    <t>PBGOODS-2020-02: SUPPLY AND DELIVERY OF ADDITIONAL SUPPLIES AND MATERIALS FOR THE 2020 CENSUS OF POPULATION AND HOUSING (CPH)</t>
  </si>
  <si>
    <t>CID No. 20OD0201 - Improvement of Drainage and Rehabilitation of Roads along 6th Avenue, Caloocan City</t>
  </si>
  <si>
    <t>Repair / Maintenance of DPWH Building DPWH – BRS CARP Building Region IV-B Compound, EDSA, Quezon City</t>
  </si>
  <si>
    <t>Repair / Maintenance of DILG Building DILG Office Building Camp Karingal, Quezon City</t>
  </si>
  <si>
    <t>Supply and Delivery of Laptop, Stereo Headset and USB Hub for the WESMAARRDEC</t>
  </si>
  <si>
    <t>Upgrading of Poblacion-Cabalaoangan-Guiling Road, Rosales, Pangasinan</t>
  </si>
  <si>
    <t>Upgrading of Urdaneta – Asingan via Calepaan Road, Urdaneta &amp; Asingan, Pangasinan</t>
  </si>
  <si>
    <t>Supply and Delivery of LCD Projector, Laptop, Recorder and Tablet for the College of Forestry</t>
  </si>
  <si>
    <t>Construction of Capitol in the South at Bagumbayan, Roxas, Oriental Mindoro</t>
  </si>
  <si>
    <t>IMPROVEMENT OF PAPAYA-CABINUANGAN-RUNRUNO ROAD Located at Kasibu, Nueva Vizcaya</t>
  </si>
  <si>
    <t>Purchase of 1 Unit Motor Vehicle</t>
  </si>
  <si>
    <t>Repair / Maintenance of DOJ Building Parole &amp; Probation Administration Building, Brgy. Piñahan, Quezon City</t>
  </si>
  <si>
    <t>Repair / Maintenance of DPWH Building DPWH - BRS - Administrative Building Region IV -B Compound, EDSA, Quezon City</t>
  </si>
  <si>
    <t>IB 2020-07-009 POC Procurement of Oxygen Cylinder 1800 PSI and Installation of Oxygen Manifold with Oxygen Pipe-in 2020-09</t>
  </si>
  <si>
    <t>20CSDN01 - CONSULTANCY SERVICES FOR THE GEOTECHNICAL INVESTIGATION OF CY 2020 PROJECTS</t>
  </si>
  <si>
    <t>Procurement of Office and IT Equipment</t>
  </si>
  <si>
    <t>SUPPLY AND DELIVERY OF INFORMATION TECHNOLOGY (IT) AND OFFICE EQUIPMENT</t>
  </si>
  <si>
    <t>REQUEST FOR EXPRESSION OF INTEREST (REI) FOR THE CONSULTANCY SERVICES FOR THE CONDUCT SUBSURFACE SOIL EXPLORATION AND ENGINEERING SERVICES FOR THE CONSTRUCTION OF FLOOD CONTROL STRUCTURES ALONG AREA I</t>
  </si>
  <si>
    <t>Fabrication of Slaughtering Equipment</t>
  </si>
  <si>
    <t>REQUEST FOR EXPRESSION OF INTEREST (REI) FOR THE CONSULTANCY SERVICES FOR THE CONDUCT SUBSURFACE SOIL EXPLORATION AND ENGINEERING SERVICES FOR THE WIDENING OF PERMANENT BRIDGES ALONG – LUCENA – TAYABA</t>
  </si>
  <si>
    <t>REI_20CSE008: Consulting Services for the Conduct of Feasibility Study of the Proposed Coron-Culion Bridge, Palawan</t>
  </si>
  <si>
    <t>REQUEST FOR EXPRESSION OF INTEREST (REI) FOR THE CONSULTANCY SERVICES FOR THE CONDUCT SUBSURFACE SOIL EXPLORATION AND ENGINEERING SERVICES FOR THE REHABILITATION/RECONSTRUCTION OF ROADS WITH SLIPS, SL</t>
  </si>
  <si>
    <t>Supply and Delivery of Various Office Equipment, Furnitures and Fixtures for the RESEL</t>
  </si>
  <si>
    <t>Repair / Maintenance of DOJ Building Land Registration Authority Building, Quezon City</t>
  </si>
  <si>
    <t xml:space="preserve">20DC0215 - LOCAL PROGRAM, Const./Repair/Rehab./Improvement of Various Infrastructure including Local Projects, Buildings and Other Structures, Multipurpose/Facilities, Rehabilitation of Multi-Purpose </t>
  </si>
  <si>
    <t>Purchase of Multi purpose vehicle</t>
  </si>
  <si>
    <t>CONCRETING OF SILOY-MAMALAD ROAD</t>
  </si>
  <si>
    <t>20DC0216 - LOCAL PROGRAM, Local Infrastructure Program, Buildings and Other Structures, Multipurpose/Facilities, Construction and/or Repair/Rehabilitation of Multi-Purpose Building, Brgy. Poblacion, S</t>
  </si>
  <si>
    <t>SJADS GOODS 20-10: PROCUREMENT OF SPAREPARTS FOR HEAVY EQUIPMENT</t>
  </si>
  <si>
    <t>Drilling of One (1) Production Well in Brgy. Biga, Lobo, Batangas</t>
  </si>
  <si>
    <t>One Lot Rackmount Firewall Appliance with 3-Year License (Re-Bid) No. 20-01-047</t>
  </si>
  <si>
    <t>Improvement/Opening of Access Road San Carlos</t>
  </si>
  <si>
    <t>Construction of Material Recovery Facilities at Lingayen District Hospital</t>
  </si>
  <si>
    <t>Negotiated Procurement for Supply and Delivery 1,200 head Free Range Chicken- Male and 6,000 head Free Range Chicken- Female</t>
  </si>
  <si>
    <t>20-DO-0086: Construction/Rehabilitation of Water Supply/Septage and Sewerage/ Rain Water Collectors – Rain Water Collectors in Public Facilities – Construction of Rain Water Collectors at Rodriguez, R</t>
  </si>
  <si>
    <t>Supply and Delivery of Various IT Equipment for the University</t>
  </si>
  <si>
    <t>S1-TAY20-005    SUPPLY AND DELIVERY OF MATERIALS/SUPPLIES FOR OPERATION AND MAINTENANCE USE.</t>
  </si>
  <si>
    <t>G-2020-369 Supply and Delivery of Advance Life Support Ambulance, Local Disaster Risk Reduction Management Division</t>
  </si>
  <si>
    <t>IB 2020-07-010 PLPG Procurement of LPG 50 Kgs 2020-10</t>
  </si>
  <si>
    <t>G-2020-281 Supply and Delivery of Rice, Office of the City Mayor</t>
  </si>
  <si>
    <t>G-2020-280 Supply and Delivery of Rice &amp; Personalized Sacks, Office of the City Mayor</t>
  </si>
  <si>
    <t>G-2020-210 Supply and Delivery of Portable Pressure Washer, City Schools Division</t>
  </si>
  <si>
    <t>G-2020-197 Supply and Delivery of School Supplies, City Schools Division</t>
  </si>
  <si>
    <t>Construction of Three Classroom, Brgy. Poblacion, Sta. Elena, Camarines Norte</t>
  </si>
  <si>
    <t>PURCHASE AND INSTALLATION OF ONE (1) SET OF PUBLIC ADDRESS</t>
  </si>
  <si>
    <t>G-2020-387 Supply and Delivery of Generator, City Schools Division</t>
  </si>
  <si>
    <t>RENOVATION OF HEALTH CENTER</t>
  </si>
  <si>
    <t>CONCRETING OF MUNICIPAL STREETS (jct. Jose Rizal St. to Gregorio del Pilar St. to jct. Manlabao St.)</t>
  </si>
  <si>
    <t>20EI0180 -  Repair/Rehab. Of Scoured Shoulder with Slope Protection along CSR K0181+164 – K0181+210, Brgy. Nasucob, Bulalacao, Oriental Mindoro_060</t>
  </si>
  <si>
    <t>20EI0179 - Repair/Rehab. Of Scoured Shoulder with Slope Protection along CSR K0164+800 – K0164+860, Brgy. Manaul, Mansalay, Oriental Mindoro_059</t>
  </si>
  <si>
    <t>Fabrication and Setting/Deployment of Concrete Artificial reef</t>
  </si>
  <si>
    <t>G-2020-322 Supply and Delivery of Drugs and Medicines, City Health Services Department</t>
  </si>
  <si>
    <t>PROCUREMENT OF FERTILIZER</t>
  </si>
  <si>
    <t>S1-END20-012   SUPPLY AND DELIVERY OF MATERIALS AND SUPPLIES INTENDED FOR OPERATION AND MAINTENANCE.</t>
  </si>
  <si>
    <t>S1-END20-010   SUPPLY AND DELIVERY OF MATERIALS/SUPPLIES FOR OPERATION USE.</t>
  </si>
  <si>
    <t>SUPPLY AND DELIVERY OF VARIOUS ELECTRICAL SPARE PARTS FOR FOR 30 KW AND 36 KW PERKINS INTENDED FOR PANAY MINI GRID</t>
  </si>
  <si>
    <t>SJADS INFRA 20-05: COMPLETION OF MOTORPOOL</t>
  </si>
  <si>
    <t>G-2019-1080 Supply and Delivery of Pick-Up Patrol Vehicle, Public Order and Safety Office</t>
  </si>
  <si>
    <t>Supply and Delivery of Various Construction Materials and Agricultural Equipment</t>
  </si>
  <si>
    <t>OFFICE ENHANCEMENT PROGRAM</t>
  </si>
  <si>
    <t>Public Bidding for the Supply &amp; Delivery of Recombinant Human Erythropoietin for Roxas Memorial Provincial Hospital under ITB No. 2020-007H</t>
  </si>
  <si>
    <t>PROCUREMENT OF SLIPPERS (SANDAL TYPE) FOR AGE 6-12 YEARS</t>
  </si>
  <si>
    <t>Rebidding: 1 roll #14 THW Wire-Black and other items for improvement of Loc-oc Day Care Center (School Based) at Barangay Lo-oc.</t>
  </si>
  <si>
    <t>Supply and delivery of Diesel Fuel for various service vehicles and equipment use during covid-19 Mitigation activities.</t>
  </si>
  <si>
    <t>Supply and Delivery of 832 MT Asphalt Pre-Mix and 36 drums Emulsified Asphalt</t>
  </si>
  <si>
    <t>20HL0111 - Repair/ Maintenance of Flood Control &amp; Drainage Structures: Datag 1 River Control Upstream "A", Datag, Siaton, Negros Oriental</t>
  </si>
  <si>
    <t>20HL0110 - Repair and Maintenance of Road Safety Facilities - Installation of New Traffic Signs along Dumaguete South Road, Dumaguete City-Valencia-Bacong Road, Sta. Catalina-Pamplona-Tanjay City Road</t>
  </si>
  <si>
    <t>Completion of 10 Classroom Two-Storey School Building with Multi-Purpose Covered Court Phase 1, Amungan High School, Iba</t>
  </si>
  <si>
    <t>Supply / Delivery of 6,768 liters Diesel &amp; 500 liters Gasoline (Unleaded)</t>
  </si>
  <si>
    <t>Construction of Multi-Purpose Building, Brgy. Dogongan, Daet, Camarines Norte</t>
  </si>
  <si>
    <t>Supply and Delivery of One (1) Lot Various Materials for the Construction of Material Recovery Facility (MRF)</t>
  </si>
  <si>
    <t>Supply and Delivery of One (1) Lot Various Materials for the Construction of Vegetable Stall</t>
  </si>
  <si>
    <t>G-2020-370 Supply and Delivery of Wheelchair, Office of the City Mayor</t>
  </si>
  <si>
    <t>Procurement of Various Office Supplies,  Customized Logbooks &amp; Forms and ICT Consumables</t>
  </si>
  <si>
    <t>G-2020-361 Labor &amp; Materials for the Repair &amp; Maintenance of Water Supply, City Engineering and Infrastructure Development Department</t>
  </si>
  <si>
    <t>G-2020-283 Supply and Delivery of Medical Equipment, City Health Services Department</t>
  </si>
  <si>
    <t>G-2020-372 Supply and Delivery of Agricultural Inputs: Organic Swine Production, Gender and Development</t>
  </si>
  <si>
    <t>G-2020-371 Supply and Delivery of Blood Bank Refrigerator &amp; Plasma Freezer, City Health Services Department</t>
  </si>
  <si>
    <t>20DQ0125 - ORGANIZATIONAL OUTCOME 2: Protect Lives and Properties Against Major Floods – Flood Management Program – Construction/ Maintenance of Flood Mitigation Structures and Drainage Systems - Cons</t>
  </si>
  <si>
    <t>20BE0090 - REPAIR AND MAINTENANCE OF DELFIN ALBANO ROAD (ASPHALT OVERLAY 30MM THK.) KO417+(-200)-KO417+680, KO418+360-KO418+960, PILITAN TO PARAGU, TUMAUINI, ISABELA</t>
  </si>
  <si>
    <t>20CE0216: Construction of 2STY4CL, Cabaruan ES, Guimba, Nueva Ecija</t>
  </si>
  <si>
    <t>20CE0215: Construction of 2STY6CL, Concepcion ES, Santo Domingo, Nueva Ecija</t>
  </si>
  <si>
    <t>Construction of Provincial Youth Development Center at Lingayen, Pangasinan</t>
  </si>
  <si>
    <t>Supply and Delivery of One (1) Lot Various Materials for the for Installation of Brick Tiles of Wet Market Frontage Area</t>
  </si>
  <si>
    <t>Contract for the Concreting of Road Section at Purok 16, Bulahan, San Isidro, Barangay TIbal-og, Santo Tomas, Davao del Norte</t>
  </si>
  <si>
    <t>20CE0214: Construction of 2STY6CL, Don Emiliano Soriano ES, Aliaga, Nueva Ecija</t>
  </si>
  <si>
    <t>20CE0212: Construction of 2STY8CL, Minabuyok ES, Talavera, Nueva Ecija</t>
  </si>
  <si>
    <t>Procurement of Emergency First Aid Kits for Schools</t>
  </si>
  <si>
    <t>PROJ. 594 - YDP 2020</t>
  </si>
  <si>
    <t>20CE0210: Construction of 2STY6CL, Mamandil PS, Talavera, Nueva Ecija</t>
  </si>
  <si>
    <t>Purchase of office supplies</t>
  </si>
  <si>
    <t>SUPPLY AND DELIVERY OF CONSTRUCTION  MATERIALS FOR THE RENOVATION OF TRAINING CENTER (PHASE II)</t>
  </si>
  <si>
    <t>SUPPLY AND DELIVERY OF SPECTROPHOTOMETER AND ITS ACCESSORIES FOR MSU-TCTO RESEARCH OFFICE</t>
  </si>
  <si>
    <t>CONSTRUCTION OF PATHWAY PUROK 6</t>
  </si>
  <si>
    <t>Installation of solar street lights</t>
  </si>
  <si>
    <t>ROAD CONCRETING @ PALANCA VILLAGE</t>
  </si>
  <si>
    <t>Construction of Materials and Supplies</t>
  </si>
  <si>
    <t>20CE0228: Repair /Maintenance of DILG Building Bureau of Fire Protection – Rizal Fire Station, Rizal, Nueva Ecija</t>
  </si>
  <si>
    <t>20CE0213: Construction of 2STY6CL, Collado ES, Talavera, Nueva Ecija</t>
  </si>
  <si>
    <t>20CE0227: Repair /Maintenance of DILG Building Bureau of Fire Protection – Talavera Fire Station Building, Brgy. Sampaloc, Talavera, Nueva Ecija</t>
  </si>
  <si>
    <t>20CE0226: Repair/Maintenance of DPWH Building Covered Court, Nueva Ecija I District Engineering Office, La Torre, Talavera, Nueva Ecija</t>
  </si>
  <si>
    <t>20CE0224: Repair/Maintenance of Collapsed Slope Protection, Cadaclan Bridge 2, along Pantabangan - Canili - Basal - Baler Road, K0181+600, Brgy. Cadaclan, Pantabangan, Nueva Ecija</t>
  </si>
  <si>
    <t>Rehabilitation of Secondary Building</t>
  </si>
  <si>
    <t>20CE0223: Construction of 1STY2CL, Camanggahan ES, Carranglan, Nueva Ecija</t>
  </si>
  <si>
    <t>20CE0229: Repair /Maintenance of DILG Building, Lupao Fire Station Building, Lupao, Nueva Ecija</t>
  </si>
  <si>
    <t>20CE0222: Construction of 1STY2CL, Salvacion 2nd ES, Lupao, Nueva Ecija</t>
  </si>
  <si>
    <t>20GA0161-Construction of Multi-Purpose Building In Brgy. Habana, Nabas, Aklan</t>
  </si>
  <si>
    <t>20CE0211: Construction of 2STY6CL, Homestead I ES, Talavera, Nueva Ecija</t>
  </si>
  <si>
    <t>Procurement of Payment for Electrical Expenses</t>
  </si>
  <si>
    <t>INVITATION TO BID FOR THE PROCUREMENT OF LABOR &amp; MATERIALS FOR THE PROJECT OF REHABILITATION/IMPROVEMENT OF DRY MARKET @ BLOCK-1 BUILDING BLOCK 1, MARKET SITE, POBLACION, MONKAYO, DAVAO DE ORO</t>
  </si>
  <si>
    <t>Supply and Delivery of Survey Instrument for Use of Provincial Engineer’s Office</t>
  </si>
  <si>
    <t>Construction of Multi-Purpose Building/Evacuation Center at  Anonang NHS, Anonang, Kaputian District, IGACOS (Re-Bidding)  under PR No. 2019-11-4214</t>
  </si>
  <si>
    <t>Expansion and Rehabilitation of Level III Water System</t>
  </si>
  <si>
    <t>REQUEST FOR MEDICINES AND SUPPLIES TO IMPROVE THE DELIVERY OF BASIC SERVICES OF THE CONSTITUENTS OF THE MUNICIPALITY OF BORBON</t>
  </si>
  <si>
    <t>procurrement of diesel fuel</t>
  </si>
  <si>
    <t>Various Infrastructure Projects at Pasig City-PB-07-17-2020</t>
  </si>
  <si>
    <t>20GA0176-Re-Invitation-Rehabilitation of MPB (Makato Municipal Hall) Brgy. Poblacion, Makato, Aklan</t>
  </si>
  <si>
    <t>Supply and Delivery of Network Equipment and Supplies for Provincial Wide Networking Connectivity and Direct Corporate Internet of Provl. Govt.</t>
  </si>
  <si>
    <t>Supply and Delivery of One (1) lot of Various Materials for Construction of Dryer Building</t>
  </si>
  <si>
    <t>Construction of Gym at Mambago-B National High School,  Babak District, IGACOS (Re-Bidding) under PR No. 2020-03-1594</t>
  </si>
  <si>
    <t>Construction of Interment Vault at Pahulayan, San Miguel,  Samal District IGaCoS under PR No. 2020-05-2433.</t>
  </si>
  <si>
    <t>Construction of Drainage System/ Drainage System  Kinawitnon, Babak District under PR No. 2020-05-2409</t>
  </si>
  <si>
    <t>Concreting of Road from Circumferential Road San Miguel to Cemetery Pahulayan (Re-Bidding) under PR No. 2020-01-139</t>
  </si>
  <si>
    <t>Cont. Ref. No. 070-20: Construction of Concrete Covered Canal along Bua Cemetery (behind AMPMNHS to Livelihood) at Tuding, Itogon, Benguet</t>
  </si>
  <si>
    <t>Cont. Ref. No. 069-20: Construction of Retaining Wall along Labilab Road (near Fr. Solang) at Loacan, Itogon, Benguet</t>
  </si>
  <si>
    <t>Supply and Delivery of 837 MT Asphalt Pre-Mix and 36 drums Emulsified Asphalt</t>
  </si>
  <si>
    <t>Purchase of 1 Unit Projector HDMI and Refrigerator</t>
  </si>
  <si>
    <t>CONSTRUCTION OF MULTI-PURPOSE BUILDING PHASE II (EMILIANA)</t>
  </si>
  <si>
    <t>Construction of Wheelbath at Villarica Wharf,  Babak District IGaCoS under PR No. 2020-04-2236.</t>
  </si>
  <si>
    <t>INVITATION TO BID FOR THE PROCUREMENT OF LABOR &amp; MATERIALS FOR THE PROJECT OF CONSTRUCTION OF MULTI-PURPOSE HALL-BABAG, MONKAYO, DAVAO DE ORO</t>
  </si>
  <si>
    <t>Supply and Delivery of IT Equipment for use of Sangguniang Panlalawigan Office</t>
  </si>
  <si>
    <t>Cont. Ref. No. 071-20: Construction of Canal at Upper Ucab (below M. Tiangao Residence) at Ucab, Itogon, Benguet</t>
  </si>
  <si>
    <t>20CF0131 Repair/Maintenance of Asan Flood Control, Gabaldon, Nueva Ecija</t>
  </si>
  <si>
    <t>WIRE</t>
  </si>
  <si>
    <t>20CE0225: Repair/Maintenance of River Bank Protection along Rio Chico River, Brgy. Mapangpang, Lupao, Nueva Ecija</t>
  </si>
  <si>
    <t>procurrement of aircon</t>
  </si>
  <si>
    <t>Construction of Wheelbath at Caliclic, Babak Dist.,  IGACOS (Re-Bidding) under PR No. 2020-04-2281.</t>
  </si>
  <si>
    <t>Cont. Ref. No. 074-20: Installation of Guard Rails along Mangga to Luneta Elementary School Footpath at Tuding, Itogon, Benguet</t>
  </si>
  <si>
    <t>Road Concreting of FMR at Bagsak, Aumbay to Anonang  Road Section under PR No. 2020-05-2432.</t>
  </si>
  <si>
    <t>REHABILITATION OF MULTI-PURPOSE BUILDING</t>
  </si>
  <si>
    <t>INVITATION TO BID FOR THE PROCUREMENT OF LABOR &amp; MATERIALS FOR THE PROJECT OF CONSTRUCTION OF MULTI-PURPOSE HALL-UPPER ULIP, MONKAYO, DAVAO DE ORO</t>
  </si>
  <si>
    <t>Rehabilitation of PHRDC Building at Catagman,  Samal District IGaCoS under PR No. 2020-06-2501</t>
  </si>
  <si>
    <t>Cont. Ref. No. 073-20: Rehabilitation of Pathway at Upper Samoyao at Ampucao, Itogon, Benguet</t>
  </si>
  <si>
    <t>Purchase of Communication Load</t>
  </si>
  <si>
    <t>Procurement supply and Delivery of 1 unit 4 x 2 AT Pick Up</t>
  </si>
  <si>
    <t>SUPPLY AND DELIVERY OF HYBRID PALAY SEEDS</t>
  </si>
  <si>
    <t>SUPPLY AND DELIVERY OF COMMERCIAL FERTILIZERS</t>
  </si>
  <si>
    <t>Purchase of Gulayan Repair Tools</t>
  </si>
  <si>
    <t>Impv’t. of City Road (Re-Blocking) at Mambago-B,  Babak IGaCoS District under PR No. 2020-05-2435</t>
  </si>
  <si>
    <t>Purchase of 1 Unit Laptop for Assessor's Office</t>
  </si>
  <si>
    <t>Cont. Ref. No. 072-20: Construction of Canal from Provincial Road down to Balanza’s Residence at Bontoc Village at Virac, Itogon, Benguet</t>
  </si>
  <si>
    <t>20CF0132 Repair/Maintenance of Sta. Rosa Flood Control, Sta. Rosa, Nueva Ecija</t>
  </si>
  <si>
    <t>Purchase of Non PS Module Materials</t>
  </si>
  <si>
    <t>PROCUREMENT OF ONE (1) SET THERMOPLASTIC ROAD LANE</t>
  </si>
  <si>
    <t>UPGRADING AND REHABILITATION OF POWERLINES AT SITIO TALISAY, SAN REMEGIO, KAPUTIAN DISTRICT, IGACOS (Rebidding)</t>
  </si>
  <si>
    <t>SUPPLY AND DELIVERY OF VARIOUS CONSTRUCTION MATERIALS FOR CONSTRUCTION OF BITAOG FENCE</t>
  </si>
  <si>
    <t>PROPOSED REHABILITATION OF SWIMMING POOL, GUINTUBDAN PAVILLION, BARANGAY ARA-AL, LA CARLOTA CITY”</t>
  </si>
  <si>
    <t>Invitation to Bid for The Procurement of Labor &amp; Materials for The Project of Rehabilitation/ Improvement of Evacuation Center 1- Poblacion, Monkayo, Davao De Oro</t>
  </si>
  <si>
    <t>PROCUREMENT OF ONE (1) UNIT LIFTING PLATFORM FOR MAINTENANCE OF SPORTS COMPLEX AND OTHER SCHOOL FACILITIES</t>
  </si>
  <si>
    <t>Invitation to Rebid for REBIDDING  OF SUPPLY AND DELIVERY OF MATERIALS  FOR REPLACEMENT &amp; EXPANSION OF PIPELINES</t>
  </si>
  <si>
    <t>Rebidding:5 cu.m Sand std. and specs and other items for improvement of Barangay 8 Lupa Day Care Center at Barangay 8.</t>
  </si>
  <si>
    <t>Cont. Ref. No. 077-20:Rehabilitation and Improvement of Kawa Footpath at Gumatdang, Itogon, Benguet</t>
  </si>
  <si>
    <t>Cont. Ref. No. 076-20: Construction of Millsite Child Development Center at Virac, Itogon, Benguet</t>
  </si>
  <si>
    <t>Re-bidding: Supply and Delivery of IT Parts and Accessories (PR No. 2020-02-0120, 2020-02-0312, 2020-02-0203, 2020-02-0337, 2020-01-0034, 2020-01-0053, 2020-02-0225, 2020-02-0271, 2020-02-0308, 2020-0</t>
  </si>
  <si>
    <t>Development of Water Supply System and Facilities at Tambo Babak District under PR No. 2020-05-2406.</t>
  </si>
  <si>
    <t>CONSTRUCTION OF NICHES AT NEW PUBLIC CEMETERY, PHASE VII-B OF 2020, LA CARLOTA CITY</t>
  </si>
  <si>
    <t>Supply and delivery of materials for the construction of four (4) classrooms at sitio Sultana, Donganpekong, Matanao, Davao del Sur</t>
  </si>
  <si>
    <t>20GSK00013– Supply &amp; delivery of Desktop Computer &amp; Laser Projector for use in the Administrative Division</t>
  </si>
  <si>
    <t>PROPOSED CONSTRUCTION/REHABILITATION OF DRAINAGE SYSTEM PHASE II (SOUTH SIDE) ALONG OGATIS STREET, LA CARLOTA CITY</t>
  </si>
  <si>
    <t>DEVELOPMENT OF WATER SUPPLY SYSTEM AND FACILITIES AT BRGY. SAN MIGUEL, SAMAL (Rebidding) under PR# 2020-03-2030</t>
  </si>
  <si>
    <t>Const/Rehab.of Local Core Roads</t>
  </si>
  <si>
    <t>PURCHASE OF CONSTRUCTION MATERIALS FOR DEVELOPMENT OF WATER SUPPLY SYSTEM AND FACILITIES AT PUROK 10, SAN ISIDRO, BABAK DISTRICT, IGACOS (Rebidding)</t>
  </si>
  <si>
    <t>Supply and delivery of fuel for the use of LGU ambulance</t>
  </si>
  <si>
    <t>Repiar of Supervisor's Office San pablo Central School.</t>
  </si>
  <si>
    <t>COMPLETION OF MULTI PURPOSE HALL CUM EVACUATION CENTER</t>
  </si>
  <si>
    <t>PURCHASE OF FOOD AND NON-FOOD ITEMS FOR STOCKPILE OF FAMILY FOOD PACKS (FFP)</t>
  </si>
  <si>
    <t>REHAB. OF ISAIAS COLITA STREET</t>
  </si>
  <si>
    <t>(Rebidding) Upgrading and Rehabilitaion of Powerlines of Different Barangays in IGACOS</t>
  </si>
  <si>
    <t>PROCUREMENT OF OFFICE RENTAL</t>
  </si>
  <si>
    <t>Construction of Two (2) Storey Multi-Purpose Building (for BSP Eastern Pangasinan Council)</t>
  </si>
  <si>
    <t>REHABILITATION OF MULTI-PURPOSE CENTER</t>
  </si>
  <si>
    <t>SUPPLY AND DELIVERY OF MATERIALS FOR SPECIAL AREAS FOR AGRICULTURAL DEVELOPMENT (SAAD) PROGRAM/PROJECT IMPLEMENTATION IN THE PROVINCE OF MISAMIS OCCIDENTAL FOR CY 2020</t>
  </si>
  <si>
    <t>Purchase of two sets of collapsible tent and one unit ambulance Stretcher</t>
  </si>
  <si>
    <t>Complete Construction of DPWH Standard Two-Storey Four-Classroom School Building at Balitucan National High School, Magalang, Pampanga</t>
  </si>
  <si>
    <t>Complete Construction of DPWH Standard Two-Storey Four-Classroom School Building at Magalang Central School, Magalang, Pampanga</t>
  </si>
  <si>
    <t>Provision of Security Services From March 1- December 31, 2020</t>
  </si>
  <si>
    <t>AMP SVP-D NO: 20-06-0367 Sampling and Determination of Polychlorinated Biphenyls (PCB) Content of CMO Transformer Oil</t>
  </si>
  <si>
    <t>Supply and Delivery of One (1) unit Vehicle</t>
  </si>
  <si>
    <t>Construction of Municipal Terminal.</t>
  </si>
  <si>
    <t>Const. of Multipurpose Bldg. AMAVILL Subdivision at  Brgy. San Miguel, Samal District IGaCOS  under PR No. 2020-06-2450</t>
  </si>
  <si>
    <t>Construction of Commercial Stall.</t>
  </si>
  <si>
    <t>Proposed Upgrading of LPGH&amp;STC Sewer Treatment Plant (in accordance to DAO 2016-08)</t>
  </si>
  <si>
    <t>CONSTRUCTION OF CARRASCAL FISH LANDING</t>
  </si>
  <si>
    <t>ELECTRIFICATION  AT SITIO BUCAWE TORIL BABAK DISTRICT (Rebidding) under PR#2020-05-2343</t>
  </si>
  <si>
    <t>CONSTRUCTION OF CONCRETE CANAL  OVER</t>
  </si>
  <si>
    <t>Cont. Ref. No. 078-20: Construction of Water Tank at Upper Mangga Spring  at Tuding, Itogon, Benguet</t>
  </si>
  <si>
    <t>Improvement of Brgy. Multi-purpose Building, Brgy. Ninoy Aquino, Canlaon City (AIP 2018)</t>
  </si>
  <si>
    <t>Supply and delivery of customized sports uniform</t>
  </si>
  <si>
    <t>INSTALLATION AND REHABILITATION OF STREET LIGHTS AT BARANGAY 39, CARIDAD, CAVITE CITY</t>
  </si>
  <si>
    <t>Procurement of Books (2 lots)</t>
  </si>
  <si>
    <t>20GIE0014 - Purchase of Laboratory Apparatus at Quality Assurance Section DPWH, Leyte Third Engineering District Office, Villaba, Leyte</t>
  </si>
  <si>
    <t>Construction of Public Market Roadway Concreting.</t>
  </si>
  <si>
    <t>PURCHASE OF 1 UNIT BRAND NEW VEHICLE</t>
  </si>
  <si>
    <t>Procurement of Pre-fab Fiber Glass Board</t>
  </si>
  <si>
    <t>Supply and Delivery of Various Painting Materials ( F-063-0428-20 )</t>
  </si>
  <si>
    <t>Procurement of ICT Equipment and Office Supplies</t>
  </si>
  <si>
    <t>Procurement of Materials for the Rehabilitation of Water Source Pipeline from Intake Boxes to BPT to Reservoir Including Replacement of Ball Valve Defects</t>
  </si>
  <si>
    <t>Supply of Labor, Tools and Equipment for the Drilling of One (1) Unit Exploratory/Production Well at Arcon, Tumauini, Isabela</t>
  </si>
  <si>
    <t>Procurement of Food Packs for the use of Crisis Intervention Section of DSWD FO XI</t>
  </si>
  <si>
    <t>Repair/Rehabilitation of Students Comfort Room #1</t>
  </si>
  <si>
    <t>CONSTRUCTION OF CONCRETE PATHWAY</t>
  </si>
  <si>
    <t>Cont. Ref. No. 079-20: Rehabilitation of Canal from Upper to Lower Camanggaan Comfort Room at Virac, Itogon, Benguet</t>
  </si>
  <si>
    <t>Construction of Multi-Purpose Hall (Phase-1) at BJMP, Toril,  Babak District, IGACOS (Re-Bidding) under PR No. 2020-03-2092</t>
  </si>
  <si>
    <t>Complete Construction of DPWH Standard Four-Storey Twenty-Classroom School Building at EPZA Resettlement Elementary School, Angeles City, Pampanga</t>
  </si>
  <si>
    <t>DPWH Standard Four-Storey Twelve-Classroom School Building at Gueco Elementary School, Angeles City, Pampanga</t>
  </si>
  <si>
    <t>UPLB-RQ-6-079-20-GOODS SUPPLY AND DELIVERY OF LABORATORY SUPPLIES &amp; EQUIPMENT FOR IMSP</t>
  </si>
  <si>
    <t>Cont. Ref. No. 081-20: Rehabilitation along Baloy Road Household Waterworks at Tinongdan, Itogon, Benguet</t>
  </si>
  <si>
    <t>Expansion of Potable Water System at So. EEA, So. Carumbac and Mulawin Proper</t>
  </si>
  <si>
    <t>IMPROVEMENT OF BARANGAY ROAD</t>
  </si>
  <si>
    <t>Cont. Ref. No. 082-20: Improvement of Footpath from Cayoco to Tinongdan Proper at Tinongdan, Itogon, Benguet</t>
  </si>
  <si>
    <t>Cont. Ref. No. 064-20: Improvement of Saddle – Hartwell Feeder Road at Ampucao, Itogon, Benguet</t>
  </si>
  <si>
    <t>20GAD0007 : Purchase of 9 units desktop computers for use in Ilocos Sur 2nd DEO, Candon City, Ilocos Sur</t>
  </si>
  <si>
    <t>Autoclavable Pipettors</t>
  </si>
  <si>
    <t>Construction of Perimeter Fence with Drainage</t>
  </si>
  <si>
    <t>Procurement of Technical Scientific Laboratory Equipment for CAFF and CNPAHS at NORSU Pamplona and Main Campuses (Batch 1)</t>
  </si>
  <si>
    <t>Installation of Street LightingSystem (8Units)</t>
  </si>
  <si>
    <t>•	Package 2 – Supply and Delivery of Materials for the construction of drainage canal under Local Development Projects for the following barangays; Balogo, Capayuran, Poblacion 2 and Upper Baguer, all</t>
  </si>
  <si>
    <t>Supply and Delivery of One (1) Lot Various Printing Consumables under ITB No. FB20-02-004CORa-06</t>
  </si>
  <si>
    <t>Digital Water Bath</t>
  </si>
  <si>
    <t>PRINTING OF LOCALIZED BOOKS FOR BALIWAG NORTH AND SOUTH DISTRICT</t>
  </si>
  <si>
    <t>Complete Construction of DPWH Standard Four-Storey Twenty-Four-Classroom School Building at Lourdes Northwest Elementary School, Angeles City, Pampanga</t>
  </si>
  <si>
    <t>Purchase of Two Units Brand New Garbage Dumptruck under PR No. 2020-03-1612 (Re-bidding)</t>
  </si>
  <si>
    <t>Cont. Ref. No. 086-20: Rehabilitation of Canal below Gym down to Ambalanga River at Poblacion, Itogon, Benguet</t>
  </si>
  <si>
    <t>Cont. Ref. No. 080-20: Rehabilitation of Communal Irrigation System at Co-og at Tinongdan, Itogon, Benguet</t>
  </si>
  <si>
    <t>Cont. Ref. No. 085-20: Construction of Waterworks at Lumbag at Ampucao, Itogon, Benguet</t>
  </si>
  <si>
    <t>Construction Works (Perimeter Fence, Guard House, Power House and Storage Room(</t>
  </si>
  <si>
    <t>Repair/Rehabilitation of Students Comfort Room #2</t>
  </si>
  <si>
    <t>Supply/Delivery of 6 units Multicab Full Body Type</t>
  </si>
  <si>
    <t>Cont. Ref. No. 083-20: Construction of Protection Wall at the Basketball Court at Pasiday at Ampucao, Itogon, Benguet</t>
  </si>
  <si>
    <t>PURCHASE OF LIQUID DISINFECTANT AND DEODORIZER</t>
  </si>
  <si>
    <t>Cont. Ref. No. 087-20: Construction of Concrete Covered Canal along Ucab Provincial Road (below M. Tauli Residence towards Barangay Hall) at Ucab, Itogon, Benguet</t>
  </si>
  <si>
    <t>Procurement of Unified Threat Management (UTM) License Renewal and Support Maintenance (Main , VFO, MFO)</t>
  </si>
  <si>
    <t>19GSK00052– Supply &amp; Installation of mobile column lift, post lift and Filtration System for use in the upgrading of Base Overhaul Shop in this Office and the Area Shops within the Region</t>
  </si>
  <si>
    <t>20GSK00009 - Re-ITB – Supply and delivery of Office Supplies &amp; Consumables for use in the Office of the Regional Director, 1st quarter of 2020</t>
  </si>
  <si>
    <t>Construction and Expansion of Potable Water System Level II at Brgy. Lumangbayan,     Poblacion I and II, STCOM</t>
  </si>
  <si>
    <t>Establishment and Equipping of TTMF for COVID-19 Cases</t>
  </si>
  <si>
    <t>CONCRETING OF BARANGAY KANGHAAS-TALISAY-TABUNOK-TUGUIPA-SAN AGUSTIN FARM-TO-MARKET ROAD</t>
  </si>
  <si>
    <t>CONCRETING OF BRGY. ROAD,  &amp; CONSTRUCTION OF BOX CULVERT- BRGY. PALINGOWAK</t>
  </si>
  <si>
    <t>Laminar Flow Hood and Fume Hood</t>
  </si>
  <si>
    <t>CONCRETING OF BANGANAN-TUCANON-TABUENG ROAD Located at Aritao, Nueva Vizcaya</t>
  </si>
  <si>
    <t>Cont. Ref. No. 088-20: Improvement of Sayo Road at Dalupirip, Itogon, Benguet</t>
  </si>
  <si>
    <t>CONCRETING OF BRGY. ROAD,  &amp; CONSTRUCTION OF BOX CULVERT- BRGY. SUBUKIN</t>
  </si>
  <si>
    <t>Drainage at Zone 5 Bgy. Abella, Naga City</t>
  </si>
  <si>
    <t>CONCRETING OF BRGY. ROAD,  &amp; CONSTRUCTION OF BOX CULVERT- BRGY. SAPANGAN</t>
  </si>
  <si>
    <t>CONSTRUCTION OF COLINTINAFTMR Located at Imugan, Sta. Fe, Nueva Vizcaya</t>
  </si>
  <si>
    <t>Covered Court at Sabang High School, Bgy. Sabang, Naga City</t>
  </si>
  <si>
    <t>SUPPLY AND DELIVERY OF PASSENGER TYPE VAN (ITB No. 2020-130-B)-(pgo-pdrc)</t>
  </si>
  <si>
    <t>20GEI0019 - Furnishing and Delivery of Materials for use in the Concrete and Asphalt Pavement along CSR KM123+000-KM193+000 (Intermittent Section), Bongabong-Bulalacao, Oriental Mindoro_061</t>
  </si>
  <si>
    <t>Flat Rotary Shaker</t>
  </si>
  <si>
    <t>One Lot Repair/ Rehabilitation/ Improvement/ Renovation of Ultrasound Unit (with Provision Against Covid 19 and other Emerging Highly Infectious Diseases)</t>
  </si>
  <si>
    <t>PURCHASE OF BOOKS/READING MATERIALS/MODULE FOR DAYCARE CHILDREN- MSWDO</t>
  </si>
  <si>
    <t>Cont. Ref. No. 084-20: Rehabilitation of Karil Barangay Road at Dalupirip, Itogon, Benguet</t>
  </si>
  <si>
    <t>CONCRETING OF KINACAO-KURASAY-KINALABASA ROAD Located at Bagabag, Nueva Vizcaya</t>
  </si>
  <si>
    <t>Procurement of Various Construction Supplies and Materials-10-1317(O)PEO</t>
  </si>
  <si>
    <t>Supply of Labor, Tools and Equipment for the Drilling of One (1) Unit Exploratory/Production Well at Fermeldy, Tumauini, Isabela</t>
  </si>
  <si>
    <t>Acid Storage Cabinet</t>
  </si>
  <si>
    <t>FLOOD CONTROL PROJECT- BRGY. PALINGOWAK</t>
  </si>
  <si>
    <t>•	Package 1 – Supply and delivery of materials for the Improvement of Multi-Purpose Building under Local Development Projects for the following barangays; Anick, Banucagon, Buluan, Bulucaon, Cabpangi,</t>
  </si>
  <si>
    <t>CONCRETING OF UNAON-STA. LUCIA ROAD Located at Bagabag, Nueva Vizcaya</t>
  </si>
  <si>
    <t>PROCUREMENT OF PATIENT TRANSPORT VEHICLE (RE-BID) CDRRMO, MALAYBALAY CITY.</t>
  </si>
  <si>
    <t>IMPROVEMENT OF MUNICIPAL PLAZA (CONSTRUCTION OF COMFORT ROOM)</t>
  </si>
  <si>
    <t>CONSTRUCTION OF 2 STOREY GOVERNMENT OFFICE/BUILDING (UTILITY/KALIPI/4P's) PHASE  1</t>
  </si>
  <si>
    <t>SUPPLY AND DELIVERY OF BRAND NEW MINI DUMP TRUCK (ITB No. 2020-133-B)-(bpmc)</t>
  </si>
  <si>
    <t>CONSTRUCTION/IMPROVEMENT/REHABILITATION OF MUN. BUILDING &amp; FACILITIES (REHAB. OF ELEVATED STEEL TANK)</t>
  </si>
  <si>
    <t>Procurement of Various Aggregates Supplies-06-373(O)PEO</t>
  </si>
  <si>
    <t>CONCRETING OF BRGY. ROAD,  &amp; IMPROVEMENT OF OPEN CANAL- BRGY. PALAHANAN 1.0</t>
  </si>
  <si>
    <t>SUPPLY AND DELIVERY OF IT EQUIPMENT AND STEEL CABINET</t>
  </si>
  <si>
    <t>CONCRETING OF CALDAAN-MONGKOL-MAPAINA ROAD Located at Solano, Nueva Vizcaya</t>
  </si>
  <si>
    <t>•	Package 4 – Supply and Delivery of Materials for the Improvement of Water System under Local Development Projects for the following barangays; Maluao and Midpapan 2, all located at Pigcawayan, Cotab</t>
  </si>
  <si>
    <t>Procurement of Various Electrical Supplies-03-028(N)PEMO</t>
  </si>
  <si>
    <t>CONSTRUCTION/IMPROVEMENT OF PUROK 5 POBLACION FTMR Located at Diadi, Nueva Vizcaya</t>
  </si>
  <si>
    <t>LABOR AND MATERIALS FOR THE CONSTRUCTION OF FIBERGLASS REINFORCED PLASTIC (FRP) BOATS FOR SPECIAL AREAS FOR AGRICULTURAL DEVELOPMENT (SAAD) PROGRAM/PROJECT IMPLEMENTATION IN THE PROVINCE OF MISAMIS OC</t>
  </si>
  <si>
    <t>PROCUREMENT OF ACTIVITY BOOK FOR KINDERGARTEN OF BALIWAG NORTH  AND SOUTH DISTRICT</t>
  </si>
  <si>
    <t>Supply &amp; Delivery of Materials for the Assistance of BDRRMC in Establishing Barangay Disaster Operations Center (BDOC) - Barangay Tabugon</t>
  </si>
  <si>
    <t>One (1) Lot Diesel Fuel for Generators</t>
  </si>
  <si>
    <t>2nd Invitation to Bid for the  CONSTRUCTION/IMPROVEMENT OF SITIO CAINO FTMR Located at Banila, Dupax del Sur, Nueva Vizcaya</t>
  </si>
  <si>
    <t>Procurement of Various Spare Parts-06-365(A)PGO</t>
  </si>
  <si>
    <t>IMPROVEMENT OF CVR BAMBANG-SALINAS-SAN FABIAN-PINGKIAN ROAD Located at Kayapa, Nueva Vizcaya</t>
  </si>
  <si>
    <t>Procurement of Various Spare Parts-06-364(A)PGO</t>
  </si>
  <si>
    <t>IB. No. HS-2020-001</t>
  </si>
  <si>
    <t>Supply &amp; Delivery of Materials for the Assistance of BDRRMC in Establishing Barangay Disaster Operations Center (BDOC) - Barangay Guinbirayan</t>
  </si>
  <si>
    <t>Request for Quotation for Four (4) units Laptop Computers with Wireless Mouse</t>
  </si>
  <si>
    <t>Procurement of Various Spare Parts-06-363(A)PGO</t>
  </si>
  <si>
    <t>Janitorial Services</t>
  </si>
  <si>
    <t>ITB No. 2020-I-P5-01: Continuation/Construction/Concreting of Various Infra Projects</t>
  </si>
  <si>
    <t>Various Medicines for Rural Health Unit of Hinobaan</t>
  </si>
  <si>
    <t>pH Meter</t>
  </si>
  <si>
    <t>One (1) Lot Transport &amp; Hauling of Shredded Banknote</t>
  </si>
  <si>
    <t>COMPLETION OF SCHOOL BUILDING (Lusacan NHS, Brgy. Lusacan)</t>
  </si>
  <si>
    <t>Rebidding of Improvement of Nueva Fuerza Water System</t>
  </si>
  <si>
    <t>Supply and Delivery of Chlorine Dioxide (Liquid Solution) (Rebidding)</t>
  </si>
  <si>
    <t>Procurement of Various Food Stuff-06-002(AI)PNO</t>
  </si>
  <si>
    <t>Electric Sterilizer</t>
  </si>
  <si>
    <t>Supply and Delivery of Office Equipment for use of Different Offices of the PGOM</t>
  </si>
  <si>
    <t>CORN20-06-23-0191 Supply and Delivery of Plastic Pallets.</t>
  </si>
  <si>
    <t>Rebidding: 8 pack Water Proofing Compound and other items for improvement of Barangay 8 Lupa Day Care Center at Barangay 8.</t>
  </si>
  <si>
    <t>Purchase of Materials for the Construction of Watersystem (GAD)  for Barangays Linao,Jilabangan,Dalaupon,Saying,Pinalubngan,Tanlad and Lag-it,Tayasan Neg. Or.</t>
  </si>
  <si>
    <t>ITB No. 2020-I-P6-01: Concreting/Construction/Iprovement of Various Infra Projects</t>
  </si>
  <si>
    <t>LOCAL ACCESS ROAD REHABILITATION/IMPROVEMENT, Brgy. Bucari-Cagay-Ingay Road</t>
  </si>
  <si>
    <t>RIPRAPPING/SLOPE PROTECTION OF LAWAYE RIVER</t>
  </si>
  <si>
    <t>Supply and Delivery of ICT Supplies 3rd Quarter.</t>
  </si>
  <si>
    <t>Supply and Delivery of 1,800 Pcs of Transparent Hygiene Kit Pouch for Students</t>
  </si>
  <si>
    <t>ITB No. 2020-G-04-02: Purchase of Glass Crusher &amp; Plastic shredder/Granulator</t>
  </si>
  <si>
    <t>Development of Public Cemetery of Hinobaan</t>
  </si>
  <si>
    <t>Supply and Delivery of Various Medical, Laboratory, Dental and Radiology Equipment</t>
  </si>
  <si>
    <t>Supply and Delivery of Cleaning and Disinfecting Products for 3rd Quarter</t>
  </si>
  <si>
    <t>Concreting of Montay Road</t>
  </si>
  <si>
    <t>CONSTRUCTION OF RETAINING WALLS and DRAINAGE SYSTEM-Tangkeng Tihaya, Brgy. Ayusan II</t>
  </si>
  <si>
    <t>Materials for Maintenance of Municipal Street Lights, San Jose de Buenavista, Antique</t>
  </si>
  <si>
    <t>Improvement of ETRACS Database and Server of San Jose de Buenavista, Antique</t>
  </si>
  <si>
    <t>Concreting of Batiocan - Demapaco Road</t>
  </si>
  <si>
    <t>SUPPLY AND DELIVERY OF IT SUPPLIES &amp; EQUIPMENT AND OFFICE SUPPLIES FOR THE DIVISION OFFICE FOR 2ND QUARTER OF 2020 (LOT 1-2)</t>
  </si>
  <si>
    <t>LOCAL ACCESS ROAD REHABILITATION/IMPROVEMENT, Brgy. Ligtos-Gines-Tunguan Road</t>
  </si>
  <si>
    <t>REHABILITATION OF DRAINAGE ZONE 5</t>
  </si>
  <si>
    <t>Supply of Labor and Materials for the Restoration Works at Different Areas located in Calamba City (Rebidding)</t>
  </si>
  <si>
    <t>PROCUREMMENT OF 1 UNIT ANDROIND PHONE FOR MDRRM USE</t>
  </si>
  <si>
    <t>CONSTRUCTION OF RESIDUAL CONTAINMENT FACILITY – SANITARY LANDFILL, SAN JUAN, LA FORTUNA, IMPASUGONG, BUKIDNON</t>
  </si>
  <si>
    <t>SUPPLY AND DELIVERY OF WOODEN ARMCHAIRS FOR BALIWAG POLYTECHNIC COLLEGE</t>
  </si>
  <si>
    <t>INSTALLATION OF STREETLIGHTS BARANGAY AMBOLONG-PALAY (PHASE 2)</t>
  </si>
  <si>
    <t>UPLB-IF-014-07-20 rebid IMPROVEMENT OF ACCOUNTING OFFICE, A.G. SAMONTE HALL BUILDING, UPLB, COLLEGE, LAGUNA rebid.</t>
  </si>
  <si>
    <t>ESTABLISHMENT OF TRAFFIC WARNING SIGNS ALONG NATIONAL ROADS, PROVINCIAL ROADS &amp; MUNICIPAL ROADS @ BUENAVISTA AGUSAN DEL NORTE</t>
  </si>
  <si>
    <t>IMPROVEMENT OF BARANGAY ROADS</t>
  </si>
  <si>
    <t>INFRASTRUCTURE WORKS FOR THE ROAD CONCRETING OF BARANGAY ROAD AT BARANGAY NAJANDIG,ZAMBOANGUITA, NEGROS ORIENTAL</t>
  </si>
  <si>
    <t>Supply of Security Services for 2020-2021</t>
  </si>
  <si>
    <t>PROCUREMENT OF 2 UNITS OF WINDOW TYPE AIRCON WITH ACCESSORIES  AND CURTAIN</t>
  </si>
  <si>
    <t>Supply and Delivery of Licensed Statistical Package for the Research Office</t>
  </si>
  <si>
    <t>20FO0104 - Expansion of Municipal Hall, Guinobatan, Albay</t>
  </si>
  <si>
    <t>Completion of Peace and Security Multi-Purpose Building at PNP (Police Provincial Office, Camp Vicente L. Pimentel Jr., Telaje,  Tandag City,  Surigao del Sur  ).</t>
  </si>
  <si>
    <t>Chemical Reagents for RHU</t>
  </si>
  <si>
    <t>INSTALLATION OF STREET LIGHTS AT BARANGAY MANDONG</t>
  </si>
  <si>
    <t>Procurement of Fuel and Oil (2nd and 3rd quarter 2020)</t>
  </si>
  <si>
    <t>INFRA-REHABILITATION OF MUNICIPAL ROAD, BASIL-LEMON GRASS ST., DEMARSES SUBD., BATONG MALAKE, LOS BANOS, LAGUNA</t>
  </si>
  <si>
    <t>20ND0066 - REPAIR/MAINTENANCE OF DPWH BLDG. MULTI-PURPOSE HALL BUTUAN CITY DISTRICT ENGINEERING OFFICE</t>
  </si>
  <si>
    <t>Supply and Delivery of Laptop for Official Use of All Public Schools – DEPED San Pedro Laguna</t>
  </si>
  <si>
    <t>Road Construction with Drainage System (widening of Magsaysay Road from Heaven’s Gate Cemetery onwards east) located at Magsaysay Street</t>
  </si>
  <si>
    <t>PROCUREMENT OF SMART TV FOR SCHOOL INSTRUCTIONAL MATERIALS FOR TEACHING AND LEARNING</t>
  </si>
  <si>
    <t>PROCUREMENT OF ASSORTED MDRRM EQUIPMENTS</t>
  </si>
  <si>
    <t>CONSTRUCTION OF IRRIGATION FACILITIES-LOWER AKKI</t>
  </si>
  <si>
    <t>INFRASTRUCTURE WORKS FOR THE ROAD CONCRETING OF BARANGAY ROAD AT BARANGAY MAYABON, ZAMBOANGUITA, NEGROS ORIENTAL</t>
  </si>
  <si>
    <t>Construction of Access Road at Sitio Kalangitan, Brgy. Cutcut II, Capas, Tarlac 647184</t>
  </si>
  <si>
    <t>20GA0152-Re-Invitation-Construction of Multi-Purpose Building Brgy. Baybay, Tangalan, Aklan</t>
  </si>
  <si>
    <t>Construction for Extension of Fence for Multi-Purpose Pavement 1.</t>
  </si>
  <si>
    <t>INSTALLATION OF SOLAR LIGHTS</t>
  </si>
  <si>
    <t>INFRASTRUCTURE WORKS FOR THE ROAD CONCRETING OF BARANGAY ROAD AT BARANGAY LUTOBAN, ZAMBOANGUITA, NEGROS ORIENTAL</t>
  </si>
  <si>
    <t>Procurement of Various Electrical Supplies-03-024(N)PEMO</t>
  </si>
  <si>
    <t>UPLB-RQ-6-081-20-GOODS SUPPLY AND DELIVERY OF CHEMICALS &amp; CHEMICAL PRODUCTS FOR VTH</t>
  </si>
  <si>
    <t>Rebidding: Lot 1- Supply and Delivery of Laboratory Equipment for Food Technology Instruction (PR No. 2020-02-0292) Lot 2- Supply and Delivery of Tools and Materials for Food Technology Instruction (P</t>
  </si>
  <si>
    <t>Supply and Delivery of Force Load Cell/Strain Amplifier with Data Acquisition System, Laptop Control System for Tractor Drawbar Test</t>
  </si>
  <si>
    <t>Supply and Delivery of Digital Duplicator Machine and Consumables for Official Use of All Public Schools – DEPED San Pedro Laguna</t>
  </si>
  <si>
    <t>Construction of Farmer’s Dormitory Building and Construction of PVET Admin Building, Zitanga, Ballesteros, Cagayan</t>
  </si>
  <si>
    <t>Benchtop pH Meter</t>
  </si>
  <si>
    <t>Procurement of Fuel &amp; Lubricants</t>
  </si>
  <si>
    <t>Procurement of Cellcards</t>
  </si>
  <si>
    <t>CONSTRUCTION OF BOX CULVERT- Sitio Cotta, Brgy. Lalig</t>
  </si>
  <si>
    <t>Supply of Janitorial Services</t>
  </si>
  <si>
    <t>Supply &amp; Delivery of Materials for Upgrading of Seaweeds Processing Center</t>
  </si>
  <si>
    <t>Contract ID: 20JH0045 Construction of One (1) Unit Rain Water Collector @ Isabela Central Elementary Pilot School (ES)</t>
  </si>
  <si>
    <t>Contract ID: 20JH0044 Const. of One (1) Unit Rain Water Collector @ Basilan General Hospital</t>
  </si>
  <si>
    <t>One (1) Lot Lease and Rental of Property</t>
  </si>
  <si>
    <t>20MC-INFRA-029 Concreting of Malinta - Sinalongan - Cagay Road @ Brgy. Sinalongan, Masbate City</t>
  </si>
  <si>
    <t>Contract ID: 20JH0043 Construction of One (1) Unit Rain Water Collector @ Isabela City District  Engineering Office (ICDEO)</t>
  </si>
  <si>
    <t>20GHD0002 - Supply and delivery of Emulsified Asphalt Cationic-SS1 and Asphalt Cement Penetration Grade 85-100 for the Repair/Maintenance (Joints &amp; Cracks Sealing and Pothole Patching) along Cebu Nort</t>
  </si>
  <si>
    <t>INFRA-REHABILITATION OF MUNICIPAL ROAD, SITIO IBABA TO TULAY, BRGY. MAAHAS, LOS BANOS, LAGUNA</t>
  </si>
  <si>
    <t>20MC-GOODS-032 Procurement of Carabaos for LGU - Masbate City</t>
  </si>
  <si>
    <t>CONSTRUCTION OF BARANGAY LIPUGA CIS Located at Alfonso Castañeda, Nueva Vizcaya</t>
  </si>
  <si>
    <t>Construction of Material Recovery Facility (Cluster 1)</t>
  </si>
  <si>
    <t>Construction of Water Lines &amp; Reservoirs located at Barangay Cabatangan</t>
  </si>
  <si>
    <t>ITB No. 2020-004-PROVISION OF SECURITY SERVICES  FOR FDA-REGIONAL FIELD OFFICES AND CEBU TESTING  AND QUALITY ASSURANCE LABORATORY</t>
  </si>
  <si>
    <t>Toner Cart and Drum Cart for Brother Printers</t>
  </si>
  <si>
    <t>UPGRADING</t>
  </si>
  <si>
    <t>20FO0105 - Construction of Multi-Purpose Building (ALS Building), San Pedro Street, Brgy. Zone 3, Poblacion, Libon, Albay</t>
  </si>
  <si>
    <t>20MC-GOODS-031 Supply &amp; Delivery of Shirts &amp; PPE's for LGU - Masbate City</t>
  </si>
  <si>
    <t>Purchase of Street Lights/Bulb and Electrical Materials to be Installed at Brgy. Poblacion, San Andres, Quezon.</t>
  </si>
  <si>
    <t>PROCUREMENT OF ONE (1) UNIT RESCUE VEHICLE 2.2 L 4x4 Manual Transmission</t>
  </si>
  <si>
    <t>Concreting of Santiago- San Isidro, Claveria, Cagayan</t>
  </si>
  <si>
    <t>20GFN0009 Furnishing and delivery of Furnishing and Delivery of Spare Parts for use in the Repair and Preventive Maintenance of Service Vehicles and Equipment assigned at DPWH Camarines Sur 5th Distri</t>
  </si>
  <si>
    <t>CONSTRUCTION OF IRRIGATION FACILITIES-MALAGGAO</t>
  </si>
  <si>
    <t>Sanchez Mira District Hospital Perimeter Fence San Andres , Sanchez Mira, Cagayan</t>
  </si>
  <si>
    <t>Ref. No. 2020-016 Procurement of Additional Fully Developed Lots and Completed Housing Units Under NHA's Yolanda Permanent Housing Program - Tabontabon, Leyte (Re-Bid)</t>
  </si>
  <si>
    <t>SUPPLY AND DELIVERY OF TWO (2) UNITS PATIENT TEMPERATURE MANAGEMENT UNIT (REBID)</t>
  </si>
  <si>
    <t>Purchase of office equipments</t>
  </si>
  <si>
    <t>CONSTRUCTION OF EVACUATION CENTER PHASE II IN PAG-ASA ISLAND</t>
  </si>
  <si>
    <t>Rebidding: 37 cu.m Sand (std. specs) and other items for improvement and rehabilitation of various drainage canal with cover (Along Cervantes street and San Jose street) at Barangay Poblacion 7”.</t>
  </si>
  <si>
    <t>Supply and Delivery of Steel Ladder (Pilipino Bldg.) Materials. (Hardware supplies 3Q)</t>
  </si>
  <si>
    <t>General Repair and Rehabilitation of Baggao District Hospital , Baggao Cagayan</t>
  </si>
  <si>
    <t>Construction of Multi-Purpose Hall Brgy. Calingag</t>
  </si>
  <si>
    <t>20GHL0002 with PR No. 2020-06-0046 - Supply and delivery of 100 drums Penetration Asphalt 60/70 and three (3) other items for use in the correction of minor scaling/raveling, potholes, alligator crack</t>
  </si>
  <si>
    <t>LOT 21 CONDUCT MEETING WITH PTA &amp; STAKEHOLDERS , QUARTERLY CARD DAY AND ALUMNI HOMECOMING</t>
  </si>
  <si>
    <t>Construction/Improvement of Concrete Covered Drainage Canal with  Concrete Manhole at Sitio Caspellan, Barangay Parian, Manaoag, Pangasinan</t>
  </si>
  <si>
    <t>Ref. No. 2020-018 Procurement of Additional Fully Developed Lots and Completed Housing Units Under NHA's Yolanda Permanent Housing Program - Kawayan, Biliran (Re-Bid)</t>
  </si>
  <si>
    <t>THE SUPPLY AND DELIVERY OF CONSTRUCTION MATERIALS FOR THE CONCRETING OF POBLACION-BUNAO FARM TO MARKET ROAD</t>
  </si>
  <si>
    <t>Construction of TFLC Building Sanchez Mira, Cagayan</t>
  </si>
  <si>
    <t>REPAIR/IMPROVEMENT OF RHU, TB DOTS BUILDING</t>
  </si>
  <si>
    <t>PROCUREMENT OF EQUIPMENT/ITEMS FOR TUNA RESEARCH PROGRAM</t>
  </si>
  <si>
    <t>SUPPLY AND DELIVERY OF TWO (2) MULTI PARAMETER MONITOR with CAPNOGRAPH (RE-BID)</t>
  </si>
  <si>
    <t>Supply and Delivery of Office Supplies for 3QR 2020</t>
  </si>
  <si>
    <t>Construction of Public Market Afusing Daga, Alcala, Cagayan</t>
  </si>
  <si>
    <t>SUPPLY AND DELIVERY OF MATERIALS AND FITTINGS (GOODS-2020-005) - REBID</t>
  </si>
  <si>
    <t>Purchase of Office Supplies of LGU, San Andres, Quezon.</t>
  </si>
  <si>
    <t>Alcala Municipal Hospital Construction of Laundry Area, Ambulance Bay, Bantay Waiting Area, Isolation Room, Covered Walk, Septic Tank and Power House</t>
  </si>
  <si>
    <t>20FN0105 Repair and Rehabiliation of Infrastructure Facilities and Other Related Activities - Repair anf Maintenance of Road Safety Facilities along National Roads (Daang Maharlika Highway, Nabua - Ba</t>
  </si>
  <si>
    <t>20EE0139-Rehabilitation/Improvement of Multi-Purpose Building (El Nido Municipal Complex and Covered Court), Brgy. Poblacion, El Nido, Palawan</t>
  </si>
  <si>
    <t>Construction of Semi Private Room Building Lasam District Hospital, Lasam, Cagayan</t>
  </si>
  <si>
    <t>IMPROVEMENT OF PANUKULAN WATER SYSTEM (Construction of Additional Water Source)</t>
  </si>
  <si>
    <t>Cluster 8 Concreting of Gaggabutan West Barangay Road Rizal, Cagayan and Concreting of Poblacion Barangay Road Rizal, Cagayan</t>
  </si>
  <si>
    <t>20FN0106 71x Special Maintenance, Pavement Maintenance Rehabilitation/Reconstruction/ Upgrading of Damaged Paved Roads Tertiary Roads - Nabua - Bato - Libon Road and Nabua - Balatan Road, Nabua and Ba</t>
  </si>
  <si>
    <t>Purchase of IT equipments and steel cabinet for BAC office</t>
  </si>
  <si>
    <t>Procurement of Construction Materials for the Construction of Drainage Canal Open Type</t>
  </si>
  <si>
    <t>SUPPLY AND DELIVERY OF VARIOUS ELECTRICAL SPARE PARTS FOR 336KW CUMMINS, MODEL NO.: KTA19-G2, ENGINE NO.: 41233013 INTENDED FOR BIRI DPP</t>
  </si>
  <si>
    <t>Construction of Material Recovery Facility (Cluster 2)</t>
  </si>
  <si>
    <t>INSTALLATION OF STREET LIGHTS AT BARANGAY LUPIT- MAN-UP (PHASE 2)</t>
  </si>
  <si>
    <t>Ref. No. 2020-017 Procurement of Additional Fully Developed Lots and Completed Housing Units Under NHA's Yolanda Permanent Housing Program - Burauen, Leyte (Re-Bid)</t>
  </si>
  <si>
    <t>Procurement of Fabrication Supplies</t>
  </si>
  <si>
    <t>20GFN0011 FURNISHING AND DELIVERY OF MATERIALS FOR USE IN MAINTENANCE SECTION, DPWH CAMARINES SUR 5TH DISTRICT ENGINEERING OFFICE, STA. TERESITA, BAAO, CAMARINES SUR</t>
  </si>
  <si>
    <t>SUPPLY AND DELIVERY OF VARIOUS MECHANICAL SPARE PARTS FOR 163 KW PERKINS, ENGINE MODEL NO.:2006-TG1, SERIAL NO.: 8B27396U86337V INTENDED FOR SAN ANTONIO DPP</t>
  </si>
  <si>
    <t>Supply and Delivery of Steel Fence Materials (Hardware Supplies (3rd Quarter)</t>
  </si>
  <si>
    <t>SUPPLY AND DELIVERY OF VARIOUS MECHANICAL SPARE PARTS FOR UNIT NO. 1 163KW PERKINS, MODEL NO. 2006-TG1, SERIAL NO.: 52 INTENDED FOR SAN VICENE DPP</t>
  </si>
  <si>
    <t>20GFN0010 FURNISHING AND DELIVERY OF MATERIALS FOR USE IN THE TRAFFIC SERVICES MAINTENANCE (CENTERLINE &amp; LANE LINE REPAINTING, GUARDRAILS MAINTENANCE, &amp; OTHER TRAFFIC SERVICES)</t>
  </si>
  <si>
    <t>Procurement of Two (2) Units Service Van for Provincial Government Office use</t>
  </si>
  <si>
    <t>Provision of Courier Services</t>
  </si>
  <si>
    <t>PROPOSED DECOMPOSER SHED AT SITIO HINIWA-AN,BRGY. MANGHANOY</t>
  </si>
  <si>
    <t>SUPPLY AND DELIVERY OF VARIOUS MECHANICAL SPARE PARTS FOR UNIT NO. 2 100 KW DALE PERKINS, MODEL NO.: 2008, SERIAL NO.: YB-998195 INTEDED FOR SAN VICENTE DPP</t>
  </si>
  <si>
    <t>Supply of Materials for Construction of Slope Protection and Erosion Control (GAD Building)</t>
  </si>
  <si>
    <t>SUPPLY AND DELIVERY OF VALVES, RUBBER EXPANSION JOINT, AND PRESSURE GAUGE (GOODS-2020-006) - REBID</t>
  </si>
  <si>
    <t>Supply and Delivery of snacks for training participants (Junior High Teachers) on the use of online -offline Software Applications in making Instructional and supplemental materials for new normal del</t>
  </si>
  <si>
    <t>Procurement of Information Communication Technology (ICT) Laboratory Equipment for CEA and CIT at NORSU Main Campus (Batch 1)</t>
  </si>
  <si>
    <t>Construction/Improvement of C.H.B.  Covered Drainage Canal with Concrete Slab &amp; Manhole  at Nearby Barangay Hall, Barangay Inamotan, Manaoag, Pangasinan</t>
  </si>
  <si>
    <t>SUPPLY AND DELIVERY OF VARIOUS MECHANICAL SPARE PARTS FOR UNIT 40KW PERKINS, ENGINE MODEL NO. P44E1, SERIAL NO: AG51041*U645631M* INTENDED FOR MINI GRID STO. NINO</t>
  </si>
  <si>
    <t>Provision of tourism livelihood to Brgy. Ranzo, Banilad, Pili &amp; Lumambayan</t>
  </si>
  <si>
    <t>Construction/Improvement of Concrete Covered Drainage Canal with      Concrete Slab &amp; Manhole, Padilla St, Barangay Calaocan, Manaoag</t>
  </si>
  <si>
    <t>20HF0099 Construction of Rain Water Collectors in Public Facilities</t>
  </si>
  <si>
    <t>ITB-Road Concreting to Central MRF (Phase 2)</t>
  </si>
  <si>
    <t>SUPPLY &amp; DELIVERY OF HARDWARE/MATERIALS AS ASSISTANCE to VARIOUS SCHOOLS - LOCAL SCHOOL BOARD</t>
  </si>
  <si>
    <t>Construction / Repair/ Rehab of Vice Governor’s Office, Capitol Hills Peñblanca, Cagayan</t>
  </si>
  <si>
    <t>Contract ID: 20JH0047 Construction of One (1) Unit Rain Water Collector @ Basilan National High  School 2STRY 10-CL (Unit-1)</t>
  </si>
  <si>
    <t>PROCUREMENT OF 135 UNITS ALL-IN-ONE DESKTOP COMPUTERS</t>
  </si>
  <si>
    <t>20MC-INFRA-030 Concreting/Rehabilitation of Roads @ Brgy. Nursery, Masbate City</t>
  </si>
  <si>
    <t>Procurement of 6-cylinder Diesel Engine Inline Injection for Grader</t>
  </si>
  <si>
    <t>Procurement of materials and labor for the Installation of 9 units Solar Streetlights</t>
  </si>
  <si>
    <t>Supply and Delivery of Architectural Design of a Proposed Construction of 2-Storey Midwifery Building</t>
  </si>
  <si>
    <t>Construction of School Multi – Purpose Building Don Mariano High School, Gattaran, Cagayan</t>
  </si>
  <si>
    <t>20ND0067 - Construction of Multi-Purpose Building, Brgy. Poblacion, Las Nieves, Agusan del Norte</t>
  </si>
  <si>
    <t>SUPPLY AND DELIVERY OF VARIOUS ELECTRICAL SPARE PARTS FOR 2 X 163KW DALE PERKINS, MODEL NO.: 2006 TG1, SERIAL NO,: 45 &amp; 46 INTENDED FOR MARIPIPI DPP</t>
  </si>
  <si>
    <t>UPLB-IF-017-07-20 PROPOSED GEN-SET HOUSE AND TRANSFORMER ENCLOSURE WITH FIELD STAFF FACILITY, UPLB CAMPUS, COLLEGE LAGUNA</t>
  </si>
  <si>
    <t>20BK0147  Repair/Maintenance along Jct. Victoria-Maddela-Alicia-kasibu Bdry. Rd., K0358+097, (S04747LZ), K0371+374, (S04748LZ)    Maddela &amp; Aglipay, Quirino</t>
  </si>
  <si>
    <t>REI_20CSE009:Consulting Services for the Conduct of Environmental Impact Assessment (EIA), Preparation of Environmental Impact Assessment Statement (EIS) and Application of Environmental Compliance Ce</t>
  </si>
  <si>
    <t xml:space="preserve">PB-2020-0009 Supply/Delivery of Technical and Scientific Equipment for use of the Quality Assurance Section Laboratory Unit, DPWH-South Cotabato 2nd District Engineering Office, Koronadal City, South </t>
  </si>
  <si>
    <t>Construction of School Multi – Purpose Building Gattaran National Trade School, Gattaran, Cagayan</t>
  </si>
  <si>
    <t>REPAIR/REHABILITATION OF TIMBER BRIDGE</t>
  </si>
  <si>
    <t>Proposed Construction of Concrete Bleacher with Roofing at Old Damulog National High School (ODNHS) at Damulog, Bukidnon</t>
  </si>
  <si>
    <t>Public Competitive Bidding for the Supply and Delivery of Various Cancer Medicines of the Department of Health</t>
  </si>
  <si>
    <t>cleaning and beautification</t>
  </si>
  <si>
    <t>Watchman Services</t>
  </si>
  <si>
    <t>Purchase of Materials for Construction of Seven (7) Purok Centers, Barangay Hagdan, Santa Fe, Cebu - Barangay</t>
  </si>
  <si>
    <t>PROCUREMENT OF CONSTRUCTION SUPPLIES AND MATERIALS</t>
  </si>
  <si>
    <t>REI_20CSE010: Consulting Services for the Conduct of Environmental Impact Assessment (EIA), Preparation of Environmental Impact Assessment Statement (EIS) and Application of Environmental Compliance C</t>
  </si>
  <si>
    <t>20DE0138 (Re-advertised) Local Infrastructure Program – Rehabilitation of Road along San Isidro - Sto. Niño Rd, Batangas City, Batangas</t>
  </si>
  <si>
    <t>Purchase of Ten (10) Bottles of Stericool Concentrated Hydrogen Peroxide Sterilant for Sterilization of ZDSMC OR Instruments</t>
  </si>
  <si>
    <t>20GI0099 - Construction of Hanging Foot Bridge, Brgy. Balabag, Sta. Barbara, Iloilo</t>
  </si>
  <si>
    <t>Purchase of Materials for Road Concreting, Purok Malinawon, Barangay Hagdan, Santa Fe, Cebu - Barangay</t>
  </si>
  <si>
    <t>Contract ID No.: 20OB0294 Contract Name: Rehabilitation of Multi-Purpose Building at Ilaya Barangka Integrated School, Mandaluyong City</t>
  </si>
  <si>
    <t>19FC0239 : REPAIR/ REHABILITATION/IMPROVEMENT ALONG DAANG MAHARLIKA, K0255+840-K0255+858, Brgy. Plaridel, Sta. Elena, Camarines Norte</t>
  </si>
  <si>
    <t>20DE0139 (Re-advertised) Local Infrastructure Program – Construction of Multi-Purpose Building, San Pascual, Batangas</t>
  </si>
  <si>
    <t>Contract ID: 20JH0046 Construction of One (1) Unit Rain Water Collector @ Isabela East Central  Elementary School (IECES)</t>
  </si>
  <si>
    <t>20FC0129 : REPAIR/ MAINTENANCE OF RIVER CONTROL, TAWIG SECTION, Brgy. Tawig, Paracale, Camarines Norte</t>
  </si>
  <si>
    <t>Repainting Multi Purpose Hall &amp; Daycare Center</t>
  </si>
  <si>
    <t>20DE0103 (Re-advertised) Local Infrastructure Program – Construction/Rehabilitation of Flood Control Structures along Lobo River (downstream), Fabrica, Lobo, Batangas</t>
  </si>
  <si>
    <t>20FC0128 : REPAIR/ MAINTENANCE OF DPWH BUILDING MAINTENANCE CREW QUARTER, Brgy. Magsaysay, Capalonga, Camarines Norte</t>
  </si>
  <si>
    <t>20DE0122 (Re-advertised) Construction/Repair/Rehabilitation/Improvement of Various Infrastructure including Local Projects – Road Widening of Lobo-Malabrigo-San Juan Rd (K0161+736 - K0163+626), Batang</t>
  </si>
  <si>
    <t>Procurement of Thirty (30) Units 4x4 Pick-up (Brand New) for Provincial Governor’s Office, PNP &amp; AFP use</t>
  </si>
  <si>
    <t>20FC0125 : REPAIR/ MAINTENANCE OF DOJ BUILDING, HALL OF JUSTICE (PHASE II), Brgy. Camambugan, Daet, Camarines Norte</t>
  </si>
  <si>
    <t>Office Equipment Supplies Consumables</t>
  </si>
  <si>
    <t>20FC0127 : REPAIR/ MAINTENANCE OF DPWH BUILDING DPWH GUESTHOUSE, Brgy. Gahonon, Daet, Camarines Norte</t>
  </si>
  <si>
    <t>20FC0126 : REPAIR/ MAINTENANCE OF RIVER CONTROL STRUCTURE, MABULAO CREEK REVETMENT 1, Brgy. I, Daet, Camarines Norte</t>
  </si>
  <si>
    <t>Supply and Delivery of Agricultural Supplies to be distributed to the participants of the Blended Course on  Organic Vegetable Production under the Regular Program on June 15-19, 2020</t>
  </si>
  <si>
    <t>Contract ID: 20JH0053 Const. of One (1) Unit Rain Water Collector @ Geras Integrated School</t>
  </si>
  <si>
    <t>MG-PLM20-011 - SUPPLY TOOLS, LABOR AND MATERIALS FOR THE REPLACEMENT OF SIX (6) SELECTED FIBER GLASS SKYLIGHT DOME AT POWERHOUSE</t>
  </si>
  <si>
    <t>Contract ID No.: 20OB0383 Contract Name: Rehabilitation of Roads, Barangay Santa Ana, Taguig City</t>
  </si>
  <si>
    <t>20DC0208 - Construction/Rehabilitation of Water Supply/Septage and Sewerage/Rain Water Collectors - Rain Water Collectors in Public Facilities</t>
  </si>
  <si>
    <t>MG-PAT20-007 - ELECTRONIC MODULE FOR UNIT 1, 2 &amp; 3, HMI FOR EXCITATION SYSTEM AT CONTROL ROOM</t>
  </si>
  <si>
    <t>Contract ID No.: 20OB0324 Contract Name: Construction of Multi-Level Multi-Purpose Building, Brgy. Aguho, Pateros</t>
  </si>
  <si>
    <t>Contract ID No.: 20OB0365 Contract Name: Improvement of Roads and Drainage System, Barangay Sta. Ana,   Taguig City</t>
  </si>
  <si>
    <t>Purchase of kitchen utensils and other materials for the use at the Evacuation Center</t>
  </si>
  <si>
    <t>Purchase of Resograph Machine Digital Printer</t>
  </si>
  <si>
    <t>Purchase of goods for the stock pile of the Municipality</t>
  </si>
  <si>
    <t>Contract ID: 20JH0051 Construction of One (1) Unit Rain Water Collector @ Begang National High  School 2STRY 6-CL</t>
  </si>
  <si>
    <t>Contract ID: 20JH0052 Construction of One (1) Unit Rain Water Collector @ Begang National High  School</t>
  </si>
  <si>
    <t>Contract ID: 20JH0050 Construction of One (1) Unit Rain Water Collector @ West Terminal</t>
  </si>
  <si>
    <t>Purchase of Office supplies</t>
  </si>
  <si>
    <t>Contract ID: 20JH0048 Construction of One (1) Unit Rain Water Collector @ Basilan National High  School 2STRY 10-CL (Unit-2)</t>
  </si>
  <si>
    <t>Invitation to Bid for PROCUREMENT OF OFFICE EQUIPMENT (DepED – Sual District Office)</t>
  </si>
  <si>
    <t>20FC0124 : REPAIR/ MAINTENANCE OF DPWH BUILDING, AREA EQUIPMENT SERVICE BAY BUILDING (PHASE II), Brgy. II, Daet, Camarines Norte</t>
  </si>
  <si>
    <t>20GMH052 - Supply/Delivery of Toner Cartridge for use of Administrative Section (Records Management Unit, Cash Unit, Gen. Services Unit, Human Resource Management and Development Unit), DPWH Sultan Ku</t>
  </si>
  <si>
    <t>Contract ID No.: 20OB0350 Contract Name: Construction of Box Culvert and Site Development, Brgy. Hagonoy, Taguig City</t>
  </si>
  <si>
    <t>Contract ID: 20JH0049 Construction of One (1) Unit Rain Water Collector @ East Terminal</t>
  </si>
  <si>
    <t>20GMH055 - Supply/Delivery of Construction Materials for the Maintenance/Improvement of DPWH Building, DPWH Sultan Kudarat 2nd District Engineering Office</t>
  </si>
  <si>
    <t>ITB for the Repair and Provision of Additional Hand washing Facilities</t>
  </si>
  <si>
    <t>P.R No. 20-06-0642: Medicines and Medical Supplies</t>
  </si>
  <si>
    <t>20DC0209 - Repair/Maintenance of Ambulong Bridge II Revetment, K0075+851, Tanauan, Batangas</t>
  </si>
  <si>
    <t>20GMH051 - Supply/Delivery of Senior Executive Chair for use of Assistant District Engineer’s Office, DPWH Sultan Kudarat 2nd District Engineering Office</t>
  </si>
  <si>
    <t>20GMH050 - Supply/Delivery Of  Diesel Fuel For Use Of Assistant District Engineer’s Office, DPWH Sultan Kudarat 2nd District Engineering Office</t>
  </si>
  <si>
    <t>MG-PAT20-026 - HIGH PRESSURE PISTON PUMP ASSY, MOTOR WITH PUMP ASSEMBLY (3 UNITS), HIGH PRESSURE</t>
  </si>
  <si>
    <t>MG-PAT20-023 - HOSE, HYDRAULIC</t>
  </si>
  <si>
    <t>20GMH054 - Supply/Delivery of Maintenance Tools/Equipments for Use of Routine/Roadside Maintenance, Sultan Kudarat 2nd District Engineering Office</t>
  </si>
  <si>
    <t>MG-PAT20-025 - NON-RETURN VALVE, VALVE, NON-RETURN, STEEL</t>
  </si>
  <si>
    <t>MG-PHP20-007 - TRANSFORMER OIL SHELL DIALA B FOR TAKE-OFF TRANSFORMER</t>
  </si>
  <si>
    <t>MG-PLM20-094 - TO SUPPLY LABOR, MATERIALS, TOOLS, EQUIPMENT, CONSUMABLES &amp; TECHNICAL SUPERVISION FOR THE REPLACEMENT OF OLD TUBES OF SHELL &amp; TUBES HEAT EXCHANGER</t>
  </si>
  <si>
    <t>20GMH053 - Supply/Delivery of Aggregate Base Course for the Resurfacing of Unpaved Shoulder along Sen. Ninoy Aquino-Lebak-Kalamansig Road, Km.1884+100-Km.1885+500 w/ exception</t>
  </si>
  <si>
    <t>Contract ID: 20JH0058 Construction of One (1) Unit Rain Water Collector @ Kawa-Kawa Elementary School (ES)</t>
  </si>
  <si>
    <t>Contract ID: 20JH0057 Const. of One (1) Unit Rain Water Collector @ Lunot Elem. School (ES)</t>
  </si>
  <si>
    <t>Contract ID: 20JH0056 Construction of One (1) Unit Rain Water Collector @ Campo-Barn Elementary School</t>
  </si>
  <si>
    <t>(PR No. 20-06-07-0136) 1 Lot Rehabilitation of Water Supply System of Barangay Tagpangi, Cagayan De Oro City</t>
  </si>
  <si>
    <t>Contract ID No.: 20OB0398 Contract Name: Construction of Justice Hall, Marikina City</t>
  </si>
  <si>
    <t>20GDB0016 Supply of Fuel &amp; Lubricants for use in Maintenance Sections's Service Vehicles &amp; Heavy Equipment in DPWH-Batangas I DEO (Sub-Office), Lemery, Batangas</t>
  </si>
  <si>
    <t>Invitation to Bid for the Construction of Slope Protection at Zone 1, San Eugenio, Aringay, La Union.</t>
  </si>
  <si>
    <t>Invitation to Bid for the Construction of Farm to Market Road at Sitio Riverside, San Juan East, Aringay, La Union.</t>
  </si>
  <si>
    <t>Invitation to Bid for PROCUREMENT OF FURNITURES, FIXTURES, &amp; CONSTRUCTION SUPPLIES</t>
  </si>
  <si>
    <t>Package 1 of 7 - Supply and Delivery of Two (2)-Units Brand New 6x4, 10-Wheeler Self-Loading Truck</t>
  </si>
  <si>
    <t>20AE0073: Construction of 2 Storey 4 Classroom School Building at Pagudpud Integrated School, San Fernando City, La Union</t>
  </si>
  <si>
    <t>ITB for the Replacement of Water Tank</t>
  </si>
  <si>
    <t>Contract ID: 20JH0055 Construction of One (1) Unit Rain Water Collector @ Ismael Elementary School (ES)</t>
  </si>
  <si>
    <t>ITB for the Provision of Fire Alarm</t>
  </si>
  <si>
    <t>20GMH058 - Supply/Delivery of Diesel Fuel for use of Finance Section, Sultan Kudarat 2nd District Engineering Office</t>
  </si>
  <si>
    <t>ITB for Communication Load</t>
  </si>
  <si>
    <t>MG-PLM20-088 - SUPPLY OF MATERIALS, TOOLS, EQUIPMENT, LABOR AND INCLUDING TECHNICAL EXPERTISE FR THE RESTORATION TO NORMAL OPERATING CONDITION OF 30 TR CENTRALIZED AIR CONDITION UNIT</t>
  </si>
  <si>
    <t>P.R No. 20-05-0620: 1,000 Vials Purified Vero Cell Rabies Vaccine</t>
  </si>
  <si>
    <t>Package 5 of 7 - Supply and Delivery of 22-Pieces 100mmØ Electromagnetic Flow Meter</t>
  </si>
  <si>
    <t>Contract ID: 20JH0054 Construction of One (1) Unit Rain Water Collector @ Wahab Akbar   Elementary School (ES)Contract Location: Isabela City, Basilan Province</t>
  </si>
  <si>
    <t>20GMH056 - Supply/Delivery of UPS (Unterruptible Power Supply) for use of Finance Section, Sultan Kudarat 2nd District Engineering Office</t>
  </si>
  <si>
    <t>Package 4 of 7 - Supply and Delivery of 30-Pieces 50mmØ Electromagnetic Flow Meter</t>
  </si>
  <si>
    <t>1ST POSTING OF MEDICAL SUPPLIES</t>
  </si>
  <si>
    <t>Procurement of 6-cylinder Diesel Engine for Dump Truck</t>
  </si>
  <si>
    <t>Purchase of one (1) unit Firetruck</t>
  </si>
  <si>
    <t>Contract ID No.: 20OB0348 Contract Name: Construction/Rehabilitation of Multi-Purpose Building at Brgy. Bagumbayan, Taguig City</t>
  </si>
  <si>
    <t>Supply of Airconditioning Units (ACU) for the following: 1.  SOTECH for CM 2.  Div. of Social Sciences, CAS</t>
  </si>
  <si>
    <t>Contract ID: 20JH0061  Contract Name: Construction of One (1) Unit Rain Water Collector @ Tampalan Elementary School New Site</t>
  </si>
  <si>
    <t>1st posting of 2 sets 3 in 1 printer</t>
  </si>
  <si>
    <t>Package 3 of 7 - Supply and Delivery of 13-Units High Speed Scanner</t>
  </si>
  <si>
    <t>Proposed Rehabilitation of College Union Building, UPV Miag-ao, Iloilo”;(ITB 2020-005)</t>
  </si>
  <si>
    <t>20CSEF03	Parcellary Survey for the Construction of Various Roads and Bridges - Palawan Circumferential Road Quezon-Punta Baja Road, Palawan</t>
  </si>
  <si>
    <t>Contract ID: 20JH0062 Const.of One (1) Unit Rain Water Collector @ Badjao Floating Elementary School (ES)</t>
  </si>
  <si>
    <t>20CSEF01-Parcellary Survey for the Construction of Various Roads and Bridges - Palawan Circumferential Road Panalingaan-Tagbita-Latud (S00041PW &amp; S00042PW)</t>
  </si>
  <si>
    <t>Supply and Delivery of Various Office Equipment, Furnitures &amp; Fixtures for the University</t>
  </si>
  <si>
    <t>P.R No. 20-05-0584: Office Supplies</t>
  </si>
  <si>
    <t>20CSEF02	Parcellary Survey for the Construction of Various Roads and Bridges - Palawan Circumferential Road Rio Tuba-Buliluyan (S00063PW)</t>
  </si>
  <si>
    <t>Supply of Construction Materials for: 1.	CFOS – IA 2.	CDMO (STAFF HOUSING) (ITB 2020-005)</t>
  </si>
  <si>
    <t>Supply and Delivery of Various Office Supplies and Materials for the MISTO, HRMO &amp; Finance Office</t>
  </si>
  <si>
    <t>Supply and Delivery of Various Medicines for the Dental Clinic</t>
  </si>
  <si>
    <t>Package 7 of 7 - Supply and Delivery of 1-unit Ultrasonic Flow Meter</t>
  </si>
  <si>
    <t>PIPELINEIMPROVEMENT  ALONG ELIONG ROAD FROM TIBUNGCO RESERVOIR DOWN TO DAVAO-AGUSAN ROAD (UNDER TSWDP PART B)</t>
  </si>
  <si>
    <t>Pipelaying of Distribution Line From Indangan Elevated Steel Tank to Junction Indangan-Malagamot Road (Under TSWDP PART B)</t>
  </si>
  <si>
    <t>Package 6 of 7 - Supply and Delivery of 10-Pieces 150mmØ Electromagnetic Flow Meter</t>
  </si>
  <si>
    <t>Improvement/ Construction of Facade/Face Lifting of Municipal Hall</t>
  </si>
  <si>
    <t>Construction of 300mmØ Steel Pipe Crossing Beside Piedad Bridge</t>
  </si>
  <si>
    <t>Proposed Rehabilitation of Building 1 Ground Floor Comfort Rooms at Wet &amp; Dry Laboratory, UPV Miag-ao, Iloilo (ITB 2020-006)</t>
  </si>
  <si>
    <t>20GMH057 - Supply/Delivery of Office Supplies for Use of Finance Section, DPWH Sultan Kudarat 2nd District Engineering Office</t>
  </si>
  <si>
    <t>PROCUREMENT OF SEVENTY – FIVE (75) LAPTOP UNITS FOR TOURISM PROMOTIONS BOARD EMPLOYEES</t>
  </si>
  <si>
    <t>Purchase of Plumbing Materials for PWA</t>
  </si>
  <si>
    <t>Construction of Various Projects - Package VII</t>
  </si>
  <si>
    <t>Procurement of Infrastructure for Completion of Concreting of School Fence(TCC)</t>
  </si>
  <si>
    <t>Procurement/Acquisition of Boom Truck</t>
  </si>
  <si>
    <t>Supply and Delivery of Various Janitorial Supplies and Materials for the University</t>
  </si>
  <si>
    <t>Supply and Delivery of Medical, Dental and Labarotary Supplies (Lot No. and Lot No. 2); PR No. 20-1412 dated 29 May 2020; SN 130 - 2020</t>
  </si>
  <si>
    <t>Supply and Delivery of Various Office Supplies &amp; Materials for the University</t>
  </si>
  <si>
    <t>Supply and Delivery of Aircondition Units for the College of Liberal Arts</t>
  </si>
  <si>
    <t>Supply and Delivery of Various Materials and Equipment for the ESU</t>
  </si>
  <si>
    <t>Supply and Delivery of Various Furniture and Fixtures for the ESU</t>
  </si>
  <si>
    <t>20CSD002 : CONSULTANCY SERVICES FOR THE PREPARATION OF RIGHT-OF-WAY ACTION PLAN (RAP) FOR THE PREPARATION OF THE CALAMBA-LOS BAÑOS-BAY BYPASS ROAD</t>
  </si>
  <si>
    <t>RFQ 064 ICT EQUIPMENT (OSA)</t>
  </si>
  <si>
    <t>Procurement of Security Services</t>
  </si>
  <si>
    <t>20CSEF08	Parcellary Survey for the Construction of Various Roads and Bridges - Palawan Circumferential Road Culandanum-Panalingaan Cross Country Road (S00065PW), Palawan</t>
  </si>
  <si>
    <t>20CSEF07	Parcellary Survey for the Construction of Various Roads and Bridges - Palawan Circumferential Road Aramaywan-Berong-Puerto Princesa Road (S00064PW), Palawan</t>
  </si>
  <si>
    <t>Procurement of Infrastructure for Concreting of Road Going to Evacuation Center</t>
  </si>
  <si>
    <t>20CSEF04	Parcellary Survey for the Construction of Various Roads and Bridges - Palawan Circumferential Road PPSR Jct. Poblacion Brooke’s Point Road (S00011PW), Palawan</t>
  </si>
  <si>
    <t>Procurement of Infrastructure for Concreting of Road Public Market Area</t>
  </si>
  <si>
    <t>Construction of Water Impounding System intended for Municipal Water Supply System Brgy. Minahan Sur,  General Nakar, Quezon</t>
  </si>
  <si>
    <t>PBD 20-078 LED Smart TV</t>
  </si>
  <si>
    <t>PURCHASE OF JANITORIAL SUPPLIES TO BE USED BY DIFFERENT OFFICES</t>
  </si>
  <si>
    <t>20CSEF06	Parcellary Survey for the Construction of Various Roads and Bridges - Palawan Circumferential Road Quezon-Punta Baja Road (S00022PW) Phase II, Palawan</t>
  </si>
  <si>
    <t>PURCHASE OF OFFICE SUPPLIES TO BE USED BY DIFFERENT OFFICES</t>
  </si>
  <si>
    <t>FABRICATION AND INSTALLATION OF BARANGAY DAGATAN STREETLIGHTING LOCATED @ BRGY. DAGATAN, AMADEO, CAVITE</t>
  </si>
  <si>
    <t>PURCHASE OF BUSINESS PLATES, 2020 STICKER AND TODA STICKER FOR THE USE OF BPLO</t>
  </si>
  <si>
    <t>20L00159 : Construction of Asphalt Road – Davao City Coastal Bypass Road (Bago Aplaya – Times Beach – Roxas Avenue), Package 22, Davao City</t>
  </si>
  <si>
    <t>20L00157 : Construction of Asphalt Road – Davao City Coastal Bypass Road (Bago Aplaya – Times Beach – Roxas Avenue), Package 20, Davao City</t>
  </si>
  <si>
    <t>INSTALLATION OF CCTV CAMERA @ VARIOUS BARANGAY LOCATED @ AMADEO, CAVITE</t>
  </si>
  <si>
    <t>20CSEF05	Parcellary Survey for the Construction of Various Roads and Bridges - Palawan Circumferential Road Quezon-Aramaywan Road (S00015PW), Palawan</t>
  </si>
  <si>
    <t>20L00155 : Construction of Concrete Bridge (Substructure Only) - Davao City Coastal Bypass Road (Bago Aplaya - Times Beach - Roxas Avenue), Package 5B, Davao City</t>
  </si>
  <si>
    <t>20L00165 : Construction of Asphalt Road – Davao City Coastal Bypass Road (Bago Aplaya – Times Beach – Roxas Avenue), Package 28, Davao City</t>
  </si>
  <si>
    <t>20L00156 : Construction of Bridge Approach – Davao City Coastal Bypass Road (Bago Aplaya –Times Beach – Roxas Avenue), Package 4A, Davao City</t>
  </si>
  <si>
    <t>Supply and Delivery of Various Office Supplies; PR No. 20-1432 dated 11 June 2020; SN 131 - 2020</t>
  </si>
  <si>
    <t>Procurement of 1 unit Mini-Truck for Rescue Program</t>
  </si>
  <si>
    <t>20EE0134 Cluster 2-Construction of Rainwater Collection System (RWCS): 1. Tagumpay Elementary School, Tagumpay, Coron 2. Tagum Elementary School, Tagum, Coron 3. Claudio Sandoval Elementary School, Po</t>
  </si>
  <si>
    <t>20GM0063 (RE-BIDDING) - Upgrading/Improvement/Expansion of Lorenzo D. Zayco, District Hospital, Kabankalan City, Negros Occidental.</t>
  </si>
  <si>
    <t>20EE0132 Repair/Maintenance of DPWH Building Super Area (Storage Room) Brgy. III, Roxas, Palawan</t>
  </si>
  <si>
    <t>PURCHASE OF IT EQUIPMENTS TO BE USED BY LGU-AMADEO</t>
  </si>
  <si>
    <t>20EE0126 Repainting of Concrete Bridges along El Nido - Jct. New Ibajay Road Section, K0276+268 - K0329+005 (S00059PW) and Jct Paglaum-Bato Road Section K0189+138 - K0198+910 (S00045PW) Taytay &amp; El Ni</t>
  </si>
  <si>
    <t>CONCRETING OF TALYER ROAD LOCATED @ BRGY. SALABAN, AMADEO, CAVITE</t>
  </si>
  <si>
    <t>20L00163 : Construction of Asphalt Road – Davao City Coastal Bypass Road (Bago Aplaya – Times Beach – Roxas Avenue), Package 26, Davao City</t>
  </si>
  <si>
    <t>PURCHASE OF MEDICINE TO BE USED BY RHU</t>
  </si>
  <si>
    <t>20L00164 : Construction of Asphalt Road – Davao City Coastal Bypass Road (Bago Aplaya – Times Beach – Roxas Avenue), Package 27, Davao City</t>
  </si>
  <si>
    <t>20L00162 : Construction of Asphalt Road – Davao City Coastal Bypass Road (Bago Aplaya – Times Beach – Roxas Avenue), Package 25, Davao City</t>
  </si>
  <si>
    <t>Drainage Improvement / Declogging along R-10, Pacheco St. and Vicinity, Tondo, District I, Manila City</t>
  </si>
  <si>
    <t>20GM0080 - Upgrading/Improvement/Expansion of Candoni RHU, Negros Occidental.</t>
  </si>
  <si>
    <t>20L00158 : Construction of Asphalt Road – Davao City Coastal Bypass Road (Bago Aplaya – Times Beach – Roxas Avenue), Package 21, Davao City</t>
  </si>
  <si>
    <t>20L00166 : Construction of Esplanade (Times Beach Section) Along Davao City Coastal Bypass Road (Bago Aplaya – Times Beach – Roxas Avenue), Davao City</t>
  </si>
  <si>
    <t>Dredging of Maricaban Creek, at the Back of Magallanes Village, Makati City and Villamor Barangay 183 Pasay City</t>
  </si>
  <si>
    <t>Drainage Improvement / Declogging along J. Luna St., H. Lopez Blvd., C-2 Road and Vicinity, Tondo, District II, Manila</t>
  </si>
  <si>
    <t>Drainage Improvement and Concreting at Barangay BagongSilangan, District II, Quezon City</t>
  </si>
  <si>
    <t>Improvement of Malabon-Tullahan River, Muzon-Concepcion,  Malabon City</t>
  </si>
  <si>
    <t>Drainage Improvement and Concreting at Barangay Vasra, District I, Quezon City</t>
  </si>
  <si>
    <t>Drainage Improvement and Concreting at Barangay Sauyo, District VI, Quezon City</t>
  </si>
  <si>
    <t>Drainage Improvement along Esperanza St. and Vicinities, District II, Valenzuela City</t>
  </si>
  <si>
    <t>Construction of Four (4) Storey Sixteen (16) Classroom Building at Lapaz National High School, Lapaz, Iloilo City (Bid No. 20-125)</t>
  </si>
  <si>
    <t>Improvement / Deepening of Estero De Concordia, Pandacan,  District VI, Manila</t>
  </si>
  <si>
    <t>Purchase of  Dump Truck to be used in Solid Waste Management at the Municipality of San Nicolas, Batangas</t>
  </si>
  <si>
    <t>Drainage Improvement along C5, District II, Makati City</t>
  </si>
  <si>
    <t>Supply and Delivery of  One (1) Lot of Various Materials for Improvement of Drainage System</t>
  </si>
  <si>
    <t>Procurement of Construction Materials and Supplies use for the maintenance of NRJ (Trento) Pulang-lupa-Upper New Visayas-Monkayo Boundary Road at Trento ADS</t>
  </si>
  <si>
    <t>20EE0128 Repair/Maintenance of DPWH Building, Langogan Resthouse, Bgy. Langogan Brgy Langogan, Puerto Princesa City, Palawan</t>
  </si>
  <si>
    <t>Construction/Rehabilitation/Improvement of Multi-Purpose Hall at Brgy. Rizal Pala-Pala I, City Proper, Iloilo City (Bid No. 20-137)</t>
  </si>
  <si>
    <t>Supply and Delivery of Various Medicines for the University Health Services</t>
  </si>
  <si>
    <t>Construction/Rehabilitation of Existing Drainage System at Brgy. Pali-Benedicto, Mandurriao, Iloilo City (Bid No. 20-132)</t>
  </si>
  <si>
    <t>Repair and Maintenance of LGU Service Vehicles, MGSO, San Jose, Batangas</t>
  </si>
  <si>
    <t>PURCHASE OF OFFICE EQUIPMENT TO BE USED BY DIFFERENT OFFICES</t>
  </si>
  <si>
    <t>PURCHASE OF IT EQUIPMENTS TO BE USED BY DIFFERENT OFFICES</t>
  </si>
  <si>
    <t>Construction/Rehabilitation of Existing Drainage System at Brgy. Tacas, Jaro, Iloilo City (Bid No. 20-136)</t>
  </si>
  <si>
    <t>Construction/Rehabilitation/Improvement of Multi-Purpose Hall at Brgy. Bakhaw, Mandurriao, Iloilo City (Bid No. 20-135)</t>
  </si>
  <si>
    <t>PURCHASE OF FURNITURE AND FIXTURES TO BE USED BY DIFFERENT OFFICES</t>
  </si>
  <si>
    <t>PURCHASE OF AUDIO AND VISUAL EQUIPMENT TO BE USED BY DIFFERENT OFFICES</t>
  </si>
  <si>
    <t xml:space="preserve">Procurement of Construction Materials and Supplies USE FOR THE ESTABLISHMENT OF 1 RESIDUAL CONTAINMENT AREA (RCA) AT SITIO BACLISE, BARANGAY ANGAS, STA. JOSEFA, ADS UNDER THE PROJECT ESTABLISHMENT OF </t>
  </si>
  <si>
    <t>CONSTRUCTION OF MULTI-PURPOSE CENTER (Phase 2)(Baghari, Barbaza, Antique)/IB. NO. K-2020-063(SC)</t>
  </si>
  <si>
    <t>Rehabilitation / Improvement and Maintenance of Drainage System along Beata St., and Vicinity, Pandacan, District VI, Manila City</t>
  </si>
  <si>
    <t>Rehabilitation of All Gabaldon Building at Montes I Elementary School, City Proper, Iloilo City (Bid No. 20-130)</t>
  </si>
  <si>
    <t>Procurement of General Merchandise</t>
  </si>
  <si>
    <t>20IE0101 - REPAIR/MAINTENANCE OF DILG BUILDING LEYTE POLICE STATION Paz St., Poblacion, Leyte, Leyte</t>
  </si>
  <si>
    <t>CONSTRUCTION OF EVACUATION CENTER(Brgy. Magsaysay, Culasi, Antique)/IB. NO. K-2020-060(SC)</t>
  </si>
  <si>
    <t>Procurement of Construction Materials and Supplies  USE FOR THE ESTABLISHMENT OF 1 RESIDUAL CONTAINMENT AREA (RCA) AT ECO PARK, PULANG LUPA, TRENTO, ADS UNDER THE PROJECT ESTABLISHMENT OF PROVINCIAL E</t>
  </si>
  <si>
    <t>Fabrication and Installation of Grills in Classrooms of PAGCOR Building and Four (4) Storey BEEF Building at Iloilo City National High School, Molo, Iloilo City (Bid No. 20-131)</t>
  </si>
  <si>
    <t>Supply and Delivery of One (1)  Lot Various Materials for the Construction of Vermiculture Production Building</t>
  </si>
  <si>
    <t>Fabrication of Tables and Cabinets of Different Offices, Naic, Cavite</t>
  </si>
  <si>
    <t>Procurement of ENVIRONMENTAL HEALTH/SAFETY EQUIPMENT</t>
  </si>
  <si>
    <t>PBD 20-072A Equipment for Recombinant Expression of Bioactive Compounds</t>
  </si>
  <si>
    <t>Repair/Maintenance of Public Elementary Schools, Naic, Cavite</t>
  </si>
  <si>
    <t>Construction of Perimeter Fence at School Grounds at Hillview, Brgy. Timalan Balsahan, Naic, Cavite</t>
  </si>
  <si>
    <t>G-2020-15: SERVICE PROVIDER FOR BANKWIDE GENERAL SUPPORT SERVICES OF THE DEVELOPMENT BANK OF THE PHILIPPINES</t>
  </si>
  <si>
    <t>Concreting of Road (Ph.3) at Dumpsite, Brgy. Sabang, Naic, Cavite</t>
  </si>
  <si>
    <t>Supply and Delivery of Various Office Supplies and Materials for the University Press</t>
  </si>
  <si>
    <t>(Re-bidding)  Procurement of Multi-Purpose Vehicle for Office of the Mayor</t>
  </si>
  <si>
    <t>PBD 20-046A Light Absorption  Apparatus with Accessories</t>
  </si>
  <si>
    <t>Construction of Veterinary Clinic at CPSU Campus, Brgy XIV, Victorias City</t>
  </si>
  <si>
    <t>Construction/Rehabilitation of Existing Drainage System at Brgy. Navais, Mandurriao, Iloilo City (Bid No. 20-129)</t>
  </si>
  <si>
    <t>Procurement of Construction Materials and Supplies use for the Establishment of 1 Residual Containment Area (RCA) at Sitio Kalimutan, San Vicente,Loreto, ADS</t>
  </si>
  <si>
    <t>Rehabilitation/Construction of Roads at Brgy. Bakhaw, Mandurriao, Iloilo City (Bid No. 20-128)</t>
  </si>
  <si>
    <t>Procurement of Construction Materials and Supplies use for the Maintenance of NRJ (San Francisco) Lapinigan-Mate-Cabantao Road at San Francisco, ADS</t>
  </si>
  <si>
    <t>Repair of Classroom at Melchor L. Nava National High School, Calaparan, Arevalo, Iloilo City (Bid No. 20-127)</t>
  </si>
  <si>
    <t>RE-BIDDING- PROCUREMENT OF 1 LOT VARIOUS LABORATORY REAGENTS</t>
  </si>
  <si>
    <t>Drainage Improvement along Kalayaan Avenue, District II, Makati City</t>
  </si>
  <si>
    <t>PROCUREMENT OF DIRECT DIGITAL RADIOGRAPHY SYSTEM</t>
  </si>
  <si>
    <t>PROCUREMENT OF ANTHROPOMORHIC PHANTOM FOR BS RADIOLOGIC TECHNOLOGY</t>
  </si>
  <si>
    <t>Supply and Delivery of One (1) Lot Various Materials for the Improvement of Tourist Facilities</t>
  </si>
  <si>
    <t>PURCHASE OF MEDICAL SUPPLIES TO BE USED BY RHU</t>
  </si>
  <si>
    <t>20L00161 : Construction of Asphalt Road – Davao City Coastal Bypass Road (Bago Aplaya – Times Beach – Roxas Avenue), Package 24, Davao City</t>
  </si>
  <si>
    <t>Construction/Rehabilitation/Improvement of Multi-Purpose Hall at Brgy. Rizal , Lapaz, Iloilo City (Bid No. 20-138)</t>
  </si>
  <si>
    <t>PROCUREMENT AND RESTORATION OF RADIO COMMUNICATION</t>
  </si>
  <si>
    <t>Supply and Delivery of Diesel and Unleaded Gasoline Including Installation of Petroleum Underground Storage Tanks and Fuel Dispensers; PR No. 20-1431 dated 16 June 2020; SN 132 - 2020</t>
  </si>
  <si>
    <t>IMPROVEMENT OF AMADEO POLICE STATION LOCATED @ AMADEO, CAVITE</t>
  </si>
  <si>
    <t>CONSTRUCTION OF CANAL LINING LOCATED @ BRGY. #7, AMADEO, CAVITE</t>
  </si>
  <si>
    <t>20L00138 : Reconstruction of Concrete Road Along Bypass Road at Jct. Davao – Cotabato Rd. (Matina Crossing Section) – Matina Aplaya Rd. – Jct. Tulip Drive (Davao – Cotabato Rd.) – Ecoland Drive – Jct.</t>
  </si>
  <si>
    <t>PURCHASE OF SOIL AMELIORANT</t>
  </si>
  <si>
    <t>20L00146 : Construction of Concrete Road – Bypass Road at Ma-a Radio Station – Datu Loho St. – Riverside – Jct. Bacaca Road, Davao City</t>
  </si>
  <si>
    <t>PURCHASE OF POST HARVEST AND FARM MACHINERY EQUIPMENT</t>
  </si>
  <si>
    <t>20L00160 : Construction of Asphalt Road – Davao City Coastal Bypass Road (Bago Aplaya – Times Beach – Roxas Avenue), Package 23, Davao City</t>
  </si>
  <si>
    <t>REHABILITATION OF BITUEN-LACUB ROAD</t>
  </si>
  <si>
    <t>CONCRETE PAVEMENT AT CALINOG TERMINAL COMPLEX</t>
  </si>
  <si>
    <t>CONCRETING OF FARM TO MARKET ROAD AT BRGY. LAMPAYA</t>
  </si>
  <si>
    <t>Repair and Maintenance-Motor Vehicles</t>
  </si>
  <si>
    <t>Repair/Maintenance of Revetment along Porac River, San Isidro, Floridablanca, Pampanga</t>
  </si>
  <si>
    <t>CONSTRUCTION OF MULTI-PURPOSE COVERED PAVEMENT</t>
  </si>
  <si>
    <t>CONSTRUCTION OF POTABLE WATER SYSTEM LEVEL II</t>
  </si>
  <si>
    <t>Procurement of 1 unit Manlift Truck, Isabela, Neg. Occ.</t>
  </si>
  <si>
    <t>Procurement of Two (2) Units New Elevator of AFP Health Service COmmand</t>
  </si>
  <si>
    <t>EXPANSION OF DRAINAGE CANAL SYSTEM ( LAPU- LAPU STREET, QUIRINO &amp; HARADA BUTAI, PADADA, DAVAO DEL SUR )</t>
  </si>
  <si>
    <t>Concreting of Farm to Market Road with Slope Protection at Sitio 4, Brgy. Tabucbuc</t>
  </si>
  <si>
    <t>Supply/Delivery of  Rice for Provision of Support to Auxilliary Army Group  (PR# 20-06-0604)</t>
  </si>
  <si>
    <t>PROCUREMENT OF WOODEN ARMCHAIRS FOR BCC, BUENAVISTA, BOHOL</t>
  </si>
  <si>
    <t>Construction of Building to Accommodate COVID 19 Patients at Brgy. Lydia (Phase 02)</t>
  </si>
  <si>
    <t>Procurement of 1 unit Dump Truck, Isabela, Neg. Occ.</t>
  </si>
  <si>
    <t>CIVIL WORKS FOR THE CONCRETING OF COASTAL ROAD BRGY. STO NIÑO TO BRGY. CALOC-AN (CONTINUATION), MAGALLANES, AGUSAN DEL NORTE</t>
  </si>
  <si>
    <t>Procurement of 1 unit 4WD Double Cab / Multi-Purpose Vehicle, Isabela, Neg. Occ.</t>
  </si>
  <si>
    <t>CONSTRUCTION OF FLOOD AND EROSION CONTROL PROJECT AT THE BACK OF PUBLIC MARKET, BRGY. PALDIT, SISON, PANGASINAN</t>
  </si>
  <si>
    <t>Supply and Delivery of Construction Materials for the Improvement of Water System at Brgy Cogon, Talicud Island, Kaputian Dist., IGaCoS under PR No. 003</t>
  </si>
  <si>
    <t>PURCHASE OF FORMS TO BE USED BY ASSESSOR'S OFFICE</t>
  </si>
  <si>
    <t>Supply and Delivery of One (1) Various Materials for the Construction of RCA (residual Containment Area )Building</t>
  </si>
  <si>
    <t>Purchase Request of Hospital Equipments for Toledo City Hospital (DOH Standard)</t>
  </si>
  <si>
    <t>construction of pathway</t>
  </si>
  <si>
    <t>PURCHASE OF WHEEL CLAMP TO BE USED FOR BALIK KALSADA PROGRAM OF PNP</t>
  </si>
  <si>
    <t>SUPPLY, DELIVERY AND INSTALLATION OF CCTV</t>
  </si>
  <si>
    <t>Security Services for the Provincial Government of Ilocos Sur</t>
  </si>
  <si>
    <t>Purchase Request of Medical Equipments for Toledo City Hospital (DOH Standard)</t>
  </si>
  <si>
    <t>Acquisition of Rural Health Unit Service Van</t>
  </si>
  <si>
    <t>ROAD CONCRETING AT BARANGAY MATAAS NA PARANG</t>
  </si>
  <si>
    <t>SUPPLY OF LABOR AND MATERIALS FOR THE DRILLING OF ONE (1) UNIT PRODUCTION WELL LOCATED AT VILLA CZARINA SUBDIVISION, BARANGAY CUAYAN, ANGELES CITY</t>
  </si>
  <si>
    <t>Tobacco Farmers/Cooperatives' Hybrid Corn Seed Subsidy for Alternative Farming Livelihood Project</t>
  </si>
  <si>
    <t>ROAD CONCRETING AT BARANGAY MALIPAMPANG</t>
  </si>
  <si>
    <t>Procurement of Linens Requirement of VLMC, AFPHSC</t>
  </si>
  <si>
    <t>Supply, Delivery, Installation &amp; Commissioning of Brand New Digital Radiography/Fluoroscopy X-ray Machine</t>
  </si>
  <si>
    <t>purchase of construction materials for repair of tanod outpost SPPVS</t>
  </si>
  <si>
    <t>PROCUREMENT OF MONO BLOCK CHAIR</t>
  </si>
  <si>
    <t>Procurement of Construction Materials and Supplies Use for the Maintenance of NRJ (Loreto) Sto. Nino-Bugdangan-Ferdinand Comval Boundary Road at Loreto ADS</t>
  </si>
  <si>
    <t>UPGRADING OF FIRE DETECTION ALARM SYSTEM</t>
  </si>
  <si>
    <t>PURCHASE OF ANTI-RABIES VACCINE (ARV) TO CLIENTS OF THE MUNICIPALITY OF BORBON</t>
  </si>
  <si>
    <t>ROAD CONCRETING AT BARANGAY PASONG BANGKAL</t>
  </si>
  <si>
    <t>20GIB0035: Procurement of Security Services for Eastern Samar District Engineering Office (ESDEO) Borongan City</t>
  </si>
  <si>
    <t>Supply of various construction materials for the Expansion of Drainage Canal ( U-Type Drainage System )</t>
  </si>
  <si>
    <t>Procurement of Various Electrical Supplies-06-357(O)PEO</t>
  </si>
  <si>
    <t>PROCUREMENT OF SERVICE VEHICLE</t>
  </si>
  <si>
    <t>purchase of construction/Fab./Installation of Solar Streetlights</t>
  </si>
  <si>
    <t>SUPPLY AND DELIVERY OF CONSTRUCTION MATERIALS FOR BARANGAY STREETLIGHTS, PISAAN, SAN FRANCISCO, AGUSAN DEL SUR</t>
  </si>
  <si>
    <t>Construction of Line Canal, Barangay 5</t>
  </si>
  <si>
    <t>Improvement of Barangay Hall Phase II</t>
  </si>
  <si>
    <t>REPAIR OF STAGE &amp; BASKETBALL COURT (FLOORING) at Brgy. Chitongco, Mondragon N. Samar</t>
  </si>
  <si>
    <t>Supply/Delivery of Latex Paint, 7 Liter</t>
  </si>
  <si>
    <t>To hire contractor to provide materials, labor, and equipment for the “Additional Appropriation for the improvement of LDRRMD Multi-Purpose Evacuation and Operation Center, Capitol Area, Dumaguete Cit</t>
  </si>
  <si>
    <t>REHABILITATION &amp; PRESERVATION OF CULTURAL AND HISTORICAL SITES, POBLACION, IMPASUGONG, BUKIDNON</t>
  </si>
  <si>
    <t>Supply of various construction materials for Road Rehabilitation at Rizal Street, Padada Davao del Sur</t>
  </si>
  <si>
    <t>REBLOCKING OF MUNICIPAL ROAD AND RECONSTRUCTION OF SLOPE PROTECTION (BRGY CALERO)</t>
  </si>
  <si>
    <t>Construction of Multi-Purpose Building (New Building Phase I), Ugac Sur, Tuguegarao City</t>
  </si>
  <si>
    <t>20GIE0010 - Purchase of Tires and Accessories for Nissan Navarra with Plate Number SJW-290, Supply and Procurement of Equipment Parts Only. DPWH, Leyte Third District Engineering Office, V</t>
  </si>
  <si>
    <t>Supply and Delivery of One (1) Unit Multi Cab (Rebuilt/Reconditioned), Ugac Sur, Tuguegarao City</t>
  </si>
  <si>
    <t>Proposed Opening/Improvement of Toledo City Hospital Circumferential Road @ Brgy. Poblacion, Toledo City</t>
  </si>
  <si>
    <t>ELECTRO-MECHANICAL AND INDUSTRIAL MOTOR CONTROL TRAINING SYSTEM</t>
  </si>
  <si>
    <t>20PL0122 - Concreting of Brgy. Wagud to Brgy. Ballayangon FMR, Brgy. Wagud and Brgy. Ballayangon, Pinukpuk, Kalinga</t>
  </si>
  <si>
    <t>PROCUREMENT OF OFFICE SUPPLIES FOR THE 2ND QUARTER OF YEAR 2020</t>
  </si>
  <si>
    <t>purchase of goods for water supply</t>
  </si>
  <si>
    <t>Supply of Materials, Labor and Equipment for the Concreting and Continuation of Bridge Approach with Stone Masonry and Guard Railings at Dicamay I, Jones, Isabela.</t>
  </si>
  <si>
    <t>PROPOSED GREENING AND BEAUTIFICATION OF LETRE CENTER ISLAND, SIDEWALK AND EASEMENT, LOCATED AT BRGY. TONSUYA, CITY OF MALABON</t>
  </si>
  <si>
    <t>Construction of Sanitary Landfill, Category 1</t>
  </si>
  <si>
    <t>Rehabilitation of Drainage Canal</t>
  </si>
  <si>
    <t>REHABILITATION / IMPROVEMENT OF POBLACION AND MAUSOC FARM TO MARKET ROAD</t>
  </si>
  <si>
    <t>REPAIR/ REHABILITATION OF STREET LIGHTS OF BARANGAY MOMBON, ZUMARRAGA, SAMAR</t>
  </si>
  <si>
    <t>EXTENSION OF LOCAL RISK REDUCTION MANAGEMENT OFFICE</t>
  </si>
  <si>
    <t>Supply and Delivery of Assorted Farm and Garden Tools for the establishment of Barangay Level Vegetable Technology Demonstration Farm/YRRP ESSETS</t>
  </si>
  <si>
    <t>DepED-RO6-D1- “TNHS” PURCHASE OF TRANSFORMER FOR JUNIOR HIGH SCHOOL (GAD)-001-2020</t>
  </si>
  <si>
    <t>Continuation of Barangay Community Center</t>
  </si>
  <si>
    <t>20PL0123 - Concreting of Brgy. Magnao FMR, Brgy. Magnao, Tabuk City, Kalinga</t>
  </si>
  <si>
    <t>Construction of Access Road at Allen Transport Terminal Allen, Northern Samar</t>
  </si>
  <si>
    <t>Improvement/ Concreting of Access Road</t>
  </si>
  <si>
    <t>MATERIALS FOR THE CONSTRUCTION OF BODEGA(WAREHOUSE) WITH AN OPEN SPACE AREA-2ND FLOOR at Benigwayan, Alubijid, Misamis Oriental</t>
  </si>
  <si>
    <t>PROCUREMENT OF ENGINE FOR FOTON AMBULANCE</t>
  </si>
  <si>
    <t>Concreting of Irrigation Service Road in Daramuangan Norte</t>
  </si>
  <si>
    <t>Proposed Road Rehabilitation/Improvement @ Sitio Dakit, Brgy. Cambang-ug, Toledo City</t>
  </si>
  <si>
    <t>Supply of Materials, Labor and Equipment for the Rehabilitation/Construction of Sports Complex</t>
  </si>
  <si>
    <t>UNIVERSAL REFRIGERATION TRAINING SYSTEM</t>
  </si>
  <si>
    <t>Supply, Delivery and Configuration of LTE CPE Broadband Device for CTU Flexible Learning System (FLS) with Globe Telecom Network</t>
  </si>
  <si>
    <t>To hire contractor to provide materials, labor and equipment for two (2) Infrastructure Projects, viz: 1) Construction of River Control Barangay Cabugan Bindoy, Negros Oriental; 2) Concreting of Baran</t>
  </si>
  <si>
    <t>Upgrading of 2-way Radio Communication System</t>
  </si>
  <si>
    <t>PROCUREMENT OF MULTI-PURPOSE SHREDDER/PULVERIZER</t>
  </si>
  <si>
    <t>PROCUREMENT OF CONTAINER VAN</t>
  </si>
  <si>
    <t>BARANGAY MULTI PURPOSE CENTER CONSTRUCTION FOR VILLA ELIOT AT VILLA ELIOT, PATNONGON, ANTIQUE</t>
  </si>
  <si>
    <t>ROAD UPGRADING/CONCRETE PAVING P. HERRERA FMR</t>
  </si>
  <si>
    <t>Proposed Road Opening (Hospital-Hinulawan Road) Brgy. Poblacion, Toledo City (L=162.00m.; W=15.00m.)</t>
  </si>
  <si>
    <t>Catering Services 2020</t>
  </si>
  <si>
    <t>SUPPLY AND DELIVERY OF TWO (2) UNITS MULTI-PURPOSE RESCUE VEHICLE, MDRRMO, LGU CANDELARIA, QUEZON</t>
  </si>
  <si>
    <t>EPSON L360 printer</t>
  </si>
  <si>
    <t>COMPLETION OF BARANGAY OFFICE</t>
  </si>
  <si>
    <t>Proposed Bahay Pag-asa Building (Phase II-A) - (Maitum, Upper Puerto); SN 129 - 2020</t>
  </si>
  <si>
    <t>PROCUREMENT OF CONSTRUCTION MATERIALS FOR THE CONSTRUCTION OF SOLAR DRIER AT UPPER PUROK 2- POBLACION, SUMILAO, BUKIDNON</t>
  </si>
  <si>
    <t>20CN0101 - Construction of Municipal Slaughterhouse, Baler, Aurora</t>
  </si>
  <si>
    <t>Lot 2 Supply &amp; Delivery of IT Equipment for the use of Procurement Unit</t>
  </si>
  <si>
    <t>20CN0154- Network Development Program, Off-Carriageway Improvement – Secondary Roads, Baler – Casiguran Road (Dinadiawan – Casiguran Section), K0322+404 – K0323+617, K0332+000 – K0333+725, K0334+732 –</t>
  </si>
  <si>
    <t>BRGY. ROAD CONCRETING EXPANSION (PUROK TABAY)</t>
  </si>
  <si>
    <t>Concreting of Lisub-B Barangay Road</t>
  </si>
  <si>
    <t>RENOVATION AND IMPROVEMENT OF THE MAIN BUILDING WITH MULTI-PURPOSE HALL AND EVACUATION CENTER</t>
  </si>
  <si>
    <t>Invitation to Bid for the Construction of Lined Canal at Sitio Agsambalilo, Calsapa</t>
  </si>
  <si>
    <t>20CN0153 - Asset Preservation Program – Rehabilitation/Reconstruction/Upgrading of Damaged Paved Roads – Secondary Roads, Baler-Casiguran Rd (Baler-Dinadiawan) - K0232+609 - K0232+773, K0239+773 – K02</t>
  </si>
  <si>
    <t>Installation of Street Lighting System</t>
  </si>
  <si>
    <t>Procurement of Various Consumables for Printers and Photocopier of the Four (4) Campuses (2nd Pub)</t>
  </si>
  <si>
    <t>Supply/Delivery of Food Packs</t>
  </si>
  <si>
    <t>Invitation to Bid for the Procurement of I.T. Equipment</t>
  </si>
  <si>
    <t>Supply of Fuel of various DPWH Vehicles &amp; other Equipment for the 3rd Quarter CY 2020</t>
  </si>
  <si>
    <t>Invitation to Bid for the Procurement of Stainless Steel Demonstration Tables and Sink for Food Laboratory</t>
  </si>
  <si>
    <t>Construction of Multi-Purpose Hall (Phase II) at Barangay Huyon-Uyon, San Francisco, Quezon</t>
  </si>
  <si>
    <t>PURCHASE OF FOOD PACKS FOR MODERATELY ACUTE MALNOURISHED CHILDREN</t>
  </si>
  <si>
    <t>Construction of Covered Court (Phase II) at Barangay Silongin, San Francisco, Quezon</t>
  </si>
  <si>
    <t>Improvement/Concreting of Cadlit Road, Brgy. Cadlit, Buenavista, Quezon</t>
  </si>
  <si>
    <t>Invitation to Bid for the Procurement of Office Supplies for Instructional Materials</t>
  </si>
  <si>
    <t>CID NO. 20IF0139-CY 2020 BEFF, CONSTRUCTION OF CLASSROOMS, LILOAN NATIONAL HIGH SCHOOL (ANNEX), BARANGAY SALVACION, ORMOC CITY</t>
  </si>
  <si>
    <t>Supply and Delivery of Various Water Service Connection Materials for Installation of 75mm dia. uPVC Distribution Line for Expansion Projects at Kalibo, Banga &amp; New Washington Areas</t>
  </si>
  <si>
    <t>20GIE0012 - Purchase of Toner for use in the Photocopier Machine in Planning and Design Section. DPWH, Leyte Third District Engineering Office, Villaba, Leyte</t>
  </si>
  <si>
    <t>Purchase &amp; Delivery of Various Medical, Dental &amp; Laboratory Supplies for Maitum MH (Re-bid)</t>
  </si>
  <si>
    <t>CONSTRUCTION OF TRANSPORT TERMINAL (COMPLETION) - (CONSTRUCTION OF PUBLIC TOILET)</t>
  </si>
  <si>
    <t>Improvement of Multi-Purpose Pavement (Bleachers) - Callitong</t>
  </si>
  <si>
    <t>PB-Procurement of Cardiac Surgery Instruments (ITB No. 2020-15)</t>
  </si>
  <si>
    <t>1st Quarter Supply ( BUSCO CES) 2020</t>
  </si>
  <si>
    <t>REPAIR AND MAINTENANCE OF BARANGAY HALL OF BRGY. MAPULO -002</t>
  </si>
  <si>
    <t>UPLB-RQ-6-133-20-I SUPPLY AND DELIVERY OF GENERAL CONTRACTOR FOR IC</t>
  </si>
  <si>
    <t>Improvement/Concreting of Cawa-Cabong Road, Brgy. Cawa - Cabong, Buenavista, Quezon</t>
  </si>
  <si>
    <t>Package 59: Supply and Delivery of Catering Services for COVID-19 Emergency Operation Center in Cagayan de Oro City</t>
  </si>
  <si>
    <t>PROVISION OF OLD AGE ADVANTAGE BONUS BIRTHDAY GIFT ( CAKE) FOR SENIOR CITIZENS</t>
  </si>
  <si>
    <t>20GIE0013 - Purchase of -10,000- liters of Diesel Fuel for use in Planning and Design Section. DPWH, Leyte Third District Engineering Office, Villaba, Leyte</t>
  </si>
  <si>
    <t xml:space="preserve">Installation and Implementation of pre-developed and customized Application Systems for establishment of centralized Data Banking System Website for International Connection of the City Government of </t>
  </si>
  <si>
    <t>Package 58: Supply and Delivery of Catering Services (Live-Out) in Cagayan de Oro City</t>
  </si>
  <si>
    <t>CID NO. 20IF0140-CY 2020 BEFF, CONSTRUCTION OF CLASSROOMS, ORMOC CITY CENTRAL SCHOOL, ORMOC CITY</t>
  </si>
  <si>
    <t>CONTRACT ID 20GIJ-0002 SUPPLY OF 40,000 LITRES DIESEL FUEL, 10,000 LITRES PREMIUM GASOLINE &amp; 40,000 LITRES UNLEADED GASOLINE FOR THE 2ND &amp; 3RD QUARTER PROCUREMENT OF F.Y. 2020.</t>
  </si>
  <si>
    <t>B20200215 - MEDICAL SUPPLIES FOR DDNH-KAPALONG ZONE</t>
  </si>
  <si>
    <t>Construction of Covered Court (Phase II) at Barangay Nasalaan, San Francisco, Quezon</t>
  </si>
  <si>
    <t>20CB-GSC-361 PURCHASE OF GENERAL MERCHANDISE</t>
  </si>
  <si>
    <t>CONSTRUCTION OF NATIONAL CHILD DEVELOPMENT CENTER : SOURCE OF FUND- EARLY CHILDHOOD CARE AND DEVELOPMENT COUNCIL TRUST FUND</t>
  </si>
  <si>
    <t>Iprovement/Concreting of Sitio Yabaan Road, Brgy. Maligaya, Buenavista, Quezon</t>
  </si>
  <si>
    <t>Supply/Delivery of Standard ISO PE Pipes</t>
  </si>
  <si>
    <t>20CB-GSC-358 PURCHASE OF VARIOUS OFFICE EQUIPMENT</t>
  </si>
  <si>
    <t>Initial Construction of Standard Day Care Center, Brgy. Masaya, Buenavista, Quezon</t>
  </si>
  <si>
    <t>20CB-GSC-359 PURCHASE OF IT EQUIPMENT</t>
  </si>
  <si>
    <t>20CB-GSC-356 REPAIR OF MITSUBISHI ESTRADA FOR CEO</t>
  </si>
  <si>
    <t>20CB-GSC-355 PURCHASE OF ENGINE OIL FOR CITY AGRI</t>
  </si>
  <si>
    <t>Supply &amp; Delivery of Phacoemulsification-Vitrectomy Machine</t>
  </si>
  <si>
    <t>PES Printing of Tarpaulin</t>
  </si>
  <si>
    <t>B20200217 - TIRES FOR VARIOUS PROVINCIAL EQUIPMENT FOR PEO POOL USE</t>
  </si>
  <si>
    <t>PROCUREMENT OF SECURITY SERVICES FOR THE MUNICIPAL GOVERNMENT OF INFANTA, QUEZON</t>
  </si>
  <si>
    <t>Repair Extension of Multi-Purpose Hall (Stairs) - Callitong</t>
  </si>
  <si>
    <t>Various Infrastructure Projects (Infra-20-09), Kabankalan City, Negros Occidental</t>
  </si>
  <si>
    <t>INVITATION TO BID FOR THE SUPPLY AND DELIVERY OF BRAND NEW SIX WHEELER MEAT VAN TRUCK</t>
  </si>
  <si>
    <t>B20200216 - POULTRY BREEDER PARENT STOCK (MALE &amp; FEMALE) FOR PVO USE</t>
  </si>
  <si>
    <t>SUPPLY/INSTALLATION OF LIGHT @ COVERED COURT, BRGY. TAGBUBUNGA, VILLABA, LEYTE : SOURCE OF FUND- BRGY. FUND 20% EDF CY2020</t>
  </si>
  <si>
    <t>20CB-GSC-357 PURCHASE OF PURIFIED DRINKING WATER</t>
  </si>
  <si>
    <t>20GKK0032 – Supply and Delivery of Fuel to be used by DPWH-MOFDEO Service Vehicle and Equipment of All Section</t>
  </si>
  <si>
    <t>HFW : 1 LOT PERSONAL APPARELS FOR THE USE OF CLIENT AT HOME FOR WOMEN FOR 2nd SEM 2020.</t>
  </si>
  <si>
    <t>Initial Construction of Standard Day Care Center, Brgy. San Pablo, Buenavista, Quezon</t>
  </si>
  <si>
    <t>B20200228 - TIRE, OIL FILTER AND FUEL FILTER FOR FOTON TRUCK OF PDRRMD</t>
  </si>
  <si>
    <t>B20200227 - TRUCK TIRE AND CLUTCH LINING FOR WATER TANKER OF PDRRMD</t>
  </si>
  <si>
    <t>Equipment to be use in the Computerization Program (RPTAS) Phase 1</t>
  </si>
  <si>
    <t>Supply and Delivery of Various Drugs and Medicines</t>
  </si>
  <si>
    <t>Purchase of One (1) unit Ambulance for the use of LGU-Hinigaran, Negros Occidental.</t>
  </si>
  <si>
    <t>20CB-GSC-360 CATERING SERVICES</t>
  </si>
  <si>
    <t>20CB-GSC-365 PURCHASE OF DRUGS AND MEDICINES FOR DJPRH (RE-BID)</t>
  </si>
  <si>
    <t>PES Purchase of Office Supplies 2020-Supplemental</t>
  </si>
  <si>
    <t>PES Purchase of Printer (Epson) 2020-Supplemental</t>
  </si>
  <si>
    <t>Purchase to be used in Military, Police, and Security Equipment</t>
  </si>
  <si>
    <t>Supply of Labor, Materials and Equipment for the Construction/Improvement of Birthing Clinic (Phase II), Brgy. Lalayat, San Jose, Batangas</t>
  </si>
  <si>
    <t>20CB-GSC-369 PURCHASE OF STORYBOOKS FOR EECD (SEF)</t>
  </si>
  <si>
    <t>20FN0103 Concreting of Brgy. Masoli Farm to Market Road, Brgy. Masoli, Bato, Camarines Sur Sta. 0+000.00 – Sta. 1+253.00</t>
  </si>
  <si>
    <t>20AH0214	Concreting of Brgy. Bongalon FMR, Brgy. Bongalon, Labrador, Pangasinan</t>
  </si>
  <si>
    <t>Construction of Two (2) Storey Multi-purpose Building (Phase III)</t>
  </si>
  <si>
    <t>20CB-GSC-367 PURCHASE OF MEDICAL DENTAL &amp; LABORATORY SUPPLIES FOR DJPRH (RE-BID)</t>
  </si>
  <si>
    <t>INFRA2020-AG2-007 Supply of Labor and Materials for Repair of Employees Housing Quarter Two (2) Units at NPC Compound, Pawak, Saguiaran, Lanao del Sur and MRSQ, Maria Cristina, Iligan City</t>
  </si>
  <si>
    <t>Construction of Multi-Purpose Hall</t>
  </si>
  <si>
    <t>20CB-GSC-366 PURCHASE OF VARIOUS MEDICAL, DENTAL &amp; LABORATORY</t>
  </si>
  <si>
    <t>Supply &amp; Delivery of Medical Equipment &amp; Instruments for Orthopedic Use</t>
  </si>
  <si>
    <t>Const/Rehab.of Local Core Roads and Ripraping</t>
  </si>
  <si>
    <t>B20200230 - EQUIPMENT RENTAL FOR PROPOSED ROAD OPENING OF TAWINIAN - TAPAYANON ROAD SECTION, KAPALONG</t>
  </si>
  <si>
    <t>Supply of Labor, Materials and Equipment for the Construction of Daycare Center, Brgy. Banaybanay I, San Jose, Batangas</t>
  </si>
  <si>
    <t>Concreting of Access Road to Police and health Station</t>
  </si>
  <si>
    <t>20CB-GSC-364 PURCHASE OF FOOD SUPPLIES FOR OSCA</t>
  </si>
  <si>
    <t>Rehabilitation of Multi-Purpose Hall, Barangay Cagbalogo</t>
  </si>
  <si>
    <t>COMPLETION OF VIEW DECK TREEPARK</t>
  </si>
  <si>
    <t>20CB-GSC-368 PURCHASE OF ANTIBACTERIALS (PARENTERALS) FOR DJPRH (RE-BID)</t>
  </si>
  <si>
    <t>Project PROTECT</t>
  </si>
  <si>
    <t>HO-TMD20-008 - Supply and Delivery of Current Shunt, Resistor Standard, Caliper Digimatic and Clamp</t>
  </si>
  <si>
    <t>20CB-GSC-363 PURCHASE OF MEDALS AND SPORT SUPPLIES</t>
  </si>
  <si>
    <t>IB 20CJ0154  Repair/ Maintenance of DPWH Building Water System Tarlac I District Engineering Office, Gerona, Tarlac</t>
  </si>
  <si>
    <t>Supply of Labor, Materials and Equipment for the Construction/Rehabilitation of Line Canal, Drainage System, Pipe Culvert/Box Culvert, Brgy. Banaybanay II, San Jose, Batangas</t>
  </si>
  <si>
    <t>Supply and Delivery of Anti Rabies Vaccine</t>
  </si>
  <si>
    <t>Construction of Drainage System (Gemilina - Fairbank)</t>
  </si>
  <si>
    <t>Const./Rehab. of Brgy. StreetLights (22Units)</t>
  </si>
  <si>
    <t>PROCUREMENT OF TWO (2) UNITS SPORTS UTILITY VEHICLE AND ONE (1) UNIT CROSSOVER UTILITY VEHICLE FOR PATROL OPERATIONS</t>
  </si>
  <si>
    <t>Upgrading of Health Center</t>
  </si>
  <si>
    <t>20DD0359 Local Program, Local Infrastructure Program, Buildings and Other Structures, Multipurpose/ Facilities, Construction of Multi-Purpose Building (Auditorium) including Site Development at Brgy.</t>
  </si>
  <si>
    <t>Supply, Delivery and Installation of Equipment for the Bioactive Extracts Project – Dual Channel Flash Chromatograph</t>
  </si>
  <si>
    <t>20KD0065: Fabrication and Installation of Road Right-of-Way Markers along National Roads</t>
  </si>
  <si>
    <t>Construction of River Protection-Barangay Magsino</t>
  </si>
  <si>
    <t>20AH0217	Concreting of Brgy. Oraan East FMR, Brgy. Oraan East, Manaoag, Pangasinan</t>
  </si>
  <si>
    <t>20AH0216	Concreting of Brgy. San Juan FMR, Brgy. San Juan, San Jacinto, Pangasinan</t>
  </si>
  <si>
    <t>Rehab./ Improvement of Old Public Market</t>
  </si>
  <si>
    <t>(20LF0143) San Luis NHS Two (2) Storey Ten (10) Classroom, Caraga, Davao Oriental</t>
  </si>
  <si>
    <t>20FN0104 Concreting of Brgy. La Victoria to Brgy. Taisan Farm to Market Road, Brgy. La Victoria and Brgy. Taisan, Bula, Camarines Sur Sta. 8+000.00 – Sta. 9+020.00</t>
  </si>
  <si>
    <t>PR# 20-1488- Multivitamins Supplementation Program to targeted stunted children</t>
  </si>
  <si>
    <t>Cementing of Footwalk</t>
  </si>
  <si>
    <t>Construction of Street Lights, Barangay Villa Mercedes</t>
  </si>
  <si>
    <t>20AH0215	Concreting of Brgy. Malabobo to Brgy. Lawak Langka FMR, Brgy. Malabobo and Brgy. Lawak Langka, Mangatarem, Pangasinan</t>
  </si>
  <si>
    <t>B20200226 - TIRE, OIL FILTER AND FUEL FILTER FOR FOTON TRUCK</t>
  </si>
  <si>
    <t>20CB-GSC-362 PURCHASE OF FURNITURE AND FIXTURES</t>
  </si>
  <si>
    <t>20DD0361 Local Program, Local Infrastructure Program, Local Roads and Bridges, Local Bridges, Rehabilitation/Improvement of Overpass (along Calabarzon) at Brgy. Pangao, Lipa City, Batangas</t>
  </si>
  <si>
    <t>Rebidding of Drugs and Medicines,  IB No. SB-2020-013</t>
  </si>
  <si>
    <t>Supply and Delivery of 500pcs. Toilet Bowl &amp; 500pcs. Plastic Blue Drums</t>
  </si>
  <si>
    <t>Construction of Drainage System</t>
  </si>
  <si>
    <t>Improvement of Gamut Public Market and Parking Area</t>
  </si>
  <si>
    <t>B20200229 - FURNITURES AND FIXTURES FOR DDNH-KAPALONG ZONE</t>
  </si>
  <si>
    <t>PR# 20-1487- 11,682 PACKS FORTIFIED POWDERED MILK DRINK</t>
  </si>
  <si>
    <t>PROCUREMENT OF TWO (2) UNITS PASSENGER VAN AND ONE (1) UNIT PICK UP VEHICLE FOR DISASTER RESPONSE</t>
  </si>
  <si>
    <t>Procurement of Medical Oxygen for Camiguin Genral Hospital</t>
  </si>
  <si>
    <t>20DD0360 Local Program, Local Infrastructure Program, Buildings and Other Structures, Multipurpose/ Facilities, Construction of Multi-Purpose Building with facilities at Brgy. Plaridel, Lipa City, Bat</t>
  </si>
  <si>
    <t>Concreting of Mabbayad - San Miguel FMR</t>
  </si>
  <si>
    <t>Construction of Multi-Purpose Bldg. (Phase I)</t>
  </si>
  <si>
    <t>Construction of Line Canal, Barangay 1</t>
  </si>
  <si>
    <t>20DD0367 Local Program, Local Infrastructure Program, Local Roads and Bridges, Local Bridges, Improvement of Bridge at Brgy. Pinagkawitan, Lipa City, Batangas</t>
  </si>
  <si>
    <t>(20LF0144)Maylaya IS Bldg. 2 One (1) Storey Two (2) Classroom with Toilet at Each Classroom, Cateel, Davao Oriental</t>
  </si>
  <si>
    <t>ITB - Construction of NEAP Communal Comfort Room</t>
  </si>
  <si>
    <t>Rehabilitation of Paulin Road</t>
  </si>
  <si>
    <t>SUPPLY AND DELIVERY OF SOLID WASTE MANAGEMENT EQUIPMENT/MACHINERY FOR THE OPERATION OF MATERIAL RECOVERY FACILITY (MRF) IN BGY. POBLACION,  THIS MUNICIPALITY /2020-006.</t>
  </si>
  <si>
    <t>CONCRETING OF MULTI-PURPOSE BLDG.</t>
  </si>
  <si>
    <t>20DD0368 Local Program, Local Infrastructure Program, Local Roads and Bridges, Local Bridges, Improvement of Bridge at Brgy. Antipolo del Sur, Lipa City, Batangas</t>
  </si>
  <si>
    <t>20DD0365 Local Program, Construction/ Repair/ Rehabilitation/ Improvement of Various Infrastructure Including Local Projects, Local Roads and Bridges, Local Bridges, Construction of Pedestrian Overpas</t>
  </si>
  <si>
    <t>20DD0366 Local Program, Construction/ Repair/ Rehabilitation/ Improvement of Various Infrastructure Including Local Projects, Local Roads and Bridges, Local Bridges, Construction of Pedestrian Overpas</t>
  </si>
  <si>
    <t>20DD0364 Local Program, Local Infrastructure Program, Local Roads and Bridges, Local Bridges, Construction of Pedestrian Overpass at Tambo Elementary School, Brgy. Tambo, Lipa City, Batangas</t>
  </si>
  <si>
    <t>Improvement of Public Cemetery (Veterans), Brgy. Bayanihan, Dolores, Quezon</t>
  </si>
  <si>
    <t>20FO0103 - Concreting of Caratagan FMR, Brgy. Caratagan, Pioduran, Albay</t>
  </si>
  <si>
    <t>20DD0363 Local Program, Local Infrastructure Program, Local Roads and Bridges, Local Bridges, Construction/Improvement of Bridge at Brgy. Pangao, Lipa City, Batangas</t>
  </si>
  <si>
    <t>Supply and Delivery of Goods for Integrated Community Food Production</t>
  </si>
  <si>
    <t>B20200222 - IMPROVEMENT OF POTABLE WATER SYSTEM AT BRGY. MAGSAYSAY, CARMEN, DDN</t>
  </si>
  <si>
    <t>Construction of Operation Center Building (MDRRMO)</t>
  </si>
  <si>
    <t>Construction of Dipacamo Bridge Phase I, Dipacamo, San Guillermo, Isabela</t>
  </si>
  <si>
    <t>Supply and Delivery of Self-Learning Kits Reproduction Machines</t>
  </si>
  <si>
    <t>20DD0362 Local Program, Construction/ Repair/ Rehabilitation/ Improvement of Various Infrastructure Including Local Projects, Buildings and Other Structures, Multipurpose/ Facilities, Rehabilitation/I</t>
  </si>
  <si>
    <t>Supply, Delivery &amp; Installation of 11-unit Aircon for the New Mayor's Office &amp; Executive Hall</t>
  </si>
  <si>
    <t>Construction of Drainage System (Petron - Fairbank)</t>
  </si>
  <si>
    <t>Fabrication of Movable Stage</t>
  </si>
  <si>
    <t>Hog Fattening ( Feeds, Dewormer &amp; Vitamins)</t>
  </si>
  <si>
    <t>Procurement of NAAT – LAMP Reagents and Consumables, IB No. SB-2020-022</t>
  </si>
  <si>
    <t>ITB - Supply and Delivery of Various Office Equipment for NEAP ELC Extension Building</t>
  </si>
  <si>
    <t>Purchase and Delivery of Cell Cards for the Month of July to December 2020</t>
  </si>
  <si>
    <t>Procurement of Farm Machineries and Equipment or Major Crop Based Block Farm Productivity for DAR in Negros Oriental (South) - Rebidding</t>
  </si>
  <si>
    <t>OFFICE SUPPLIES 2020</t>
  </si>
  <si>
    <t>20DD0372 Local Program, Local Infrastructure Program, Buildings and Other Structures, Multipurpose/ Facilities, Construction of School Gym at Anangi Elementary School, Brgy. Malitlit, Lipa City, Batan</t>
  </si>
  <si>
    <t>Procurement of Various Semi-Expendables</t>
  </si>
  <si>
    <t>Purchase of Aggregate Base Course to be used in the Repair and Maintenance of Unpaved Shoulder (resurfacing) along various  Rizal Bdry.-Famy-Quezon Bdry. Road, K0089 + 500 to K0092 + 377 (Intermittent</t>
  </si>
  <si>
    <t>20DD0371 Local Program, Local Infrastructure Program, Buildings and Other Structures, Multipurpose/ Facilities, Completion of Multi-Purpose Building at Brgy. San Benito, Lipa City, Batangas</t>
  </si>
  <si>
    <t>Procurement of Subdivision Survey Project for Davao Oriental, Mati City.</t>
  </si>
  <si>
    <t>Repair and Rehabilitation of Infrastructure Facilities and other Related Activities-Routine Maintenance of National Roads and Bridges-Tertiary Roads along Mabinay-Ayungon Rd. K0131+422 – K0131+494 (LS</t>
  </si>
  <si>
    <t>Installation of Street Light from Crossing Victoria – Purisima Road section w/ center Island</t>
  </si>
  <si>
    <t>EPSON PRINTER</t>
  </si>
  <si>
    <t>Procurement of MEDICAL SUPPLIES</t>
  </si>
  <si>
    <t>Completion of Barangay Health Station @ Barangay Tolosa, Malabuyoc, Cebu</t>
  </si>
  <si>
    <t>20DD0369 Local Program, Local Infrastructure Program, Local Roads and Bridges, Local Bridges, Improvement of Bridge at Brgy. Tangob, Lipa City, Batangas</t>
  </si>
  <si>
    <t>Procurement of Farm Machineries and Equipment for Major Crop Based Block Farm Productivity for DAR in Negros Oriental (North) Rebidding for Lots No.2 &amp; 3</t>
  </si>
  <si>
    <t>Supply, Delivery and Commissioning of Generator Sets and Automatic Transfer Switch for PS No. 9 and No 9A</t>
  </si>
  <si>
    <t>S2-CAM20-004 - Supply and Delivery of Mechanical Spare Parts for 500kW MAN B&amp;W Diesel Engine Model: 8L 20/27 of Camotes DPP</t>
  </si>
  <si>
    <t>INFRA2020-AG6-008 A6 Construction of Concrete Barrier Below Access Road Area, Agus 6/7 HEPC, Fuentes, Maria Cristina, Iligan City</t>
  </si>
  <si>
    <t>20CG0160 - Local Infrastructure Program: Multi-Purpose Building/ Facilities – Rehabilitation of Multi-Purpose Building, San Isidro, Sta. Ana, Pampanga</t>
  </si>
  <si>
    <t>MOBILE LOAD</t>
  </si>
  <si>
    <t>20NI0078 - Repair/Maintenance of DTI Building DTI Main Building, Mangagoy, Bislig City, Surigao del Sur</t>
  </si>
  <si>
    <t>B20200224 - REHAB. OF STA. FELOMINA-SAN ROQUE PROVINCIAL ROAD AT THE MUNICIPALITY OF ASUNCION-NEW CORELLA, DDN</t>
  </si>
  <si>
    <t>20DD0375 Repair/Rehabilitation of Damaged Paved National Road along Batangas-Lobo Road and Batangas-Quezon Road (Intermittent Sections)</t>
  </si>
  <si>
    <t>CLUSTER DF-01 (Completion, Improvement &amp; Rehabilitation of various Buildings)- Sinait, Ilocos Sur</t>
  </si>
  <si>
    <t>Repair and Maintenance of River Control along Sta. Cruz River, Brgy. Sto. Angel Sur, Sta. Cruz, Laguna</t>
  </si>
  <si>
    <t>Completion of Barangay Health Station @ Barangay Salmeron, Malabuyoc, Cebu</t>
  </si>
  <si>
    <t>SUBDIVISION SURVEY OF LANDHOLDING UNDER MODULE NO. 2020 CC-01 CY 2020</t>
  </si>
  <si>
    <t>20DD0376 Repair/Rehabilitation of Damaged PCCP (Intermittent Sections) along Lipa-Rosario Road and Batangas- Quezon Road</t>
  </si>
  <si>
    <t>Purchase of Uniform for CENRO Personnel - CENRO</t>
  </si>
  <si>
    <t>B20200223 - CONST. OF MULTI-PURPOSE/EVACUATION CENTER PHASE 1 AT DUTERTE ST. POBLACION, NEW CORELLA</t>
  </si>
  <si>
    <t>TO PROVIDE ESSENTIAL MEDICINES FOR MENTALLY CHALLENGED PERSONS</t>
  </si>
  <si>
    <t>Purchase of IT Equipment, Nine (9) Units Laptop, Santa Fe, Cebu - Municipal</t>
  </si>
  <si>
    <t>Repair and Maintenance of River Control along Sta. Cruz River, Brgy. Santisima, Sta. Cruz, Laguna</t>
  </si>
  <si>
    <t>Procurement of ambulance/emergency Response Vehicle</t>
  </si>
  <si>
    <t>20DD0370 Local Program, Local Infrastructure Program, Flood Control and Drainage, Drainage / Protection Works, Construction/ Rehabilitation/ Improvement of Drainage System at Brgy. Quezon, Lipa City,</t>
  </si>
  <si>
    <t>20NI0080 - Repair/Maintenance of DPWH Building Res. Sub Area Building, Poblacion, Bislig City, Surigao del Sur</t>
  </si>
  <si>
    <t>20GFC0021: Purchase of Materials for the Repair/Rehabilitation of Grouted Riprap/Stone Masonry Daang Maharlika K0346+030, Basud, Camarines Norte</t>
  </si>
  <si>
    <t>20CG0159 - Local Infrastructure Program: Multipurpose/ Facilities – Rehabilitation of Multi-Purpose Building, Sto. Niño Elementary School, San Luis, Pampanga</t>
  </si>
  <si>
    <t>SUPPLY AND DELIVERY OF ONE (1) UNIT SERVICE AMBULANCE</t>
  </si>
  <si>
    <t>SUPPLY &amp; INSTALLATION OF INDUSTRIAL CEILING FAN</t>
  </si>
  <si>
    <t>PR# 20-0852- Office Furnitures</t>
  </si>
  <si>
    <t>20NI0079 - Package 21 - Repair/Maintenance of DPWH Building Property &amp; Storage Building Poblacion, Bislig City, Surigao del Sur - Repair/Maintenance of DPWH Building DITSO Building Poblacion, Bislig C</t>
  </si>
  <si>
    <t>PR# 20-0661- Roller Shades and Roll Up Shades Blinds</t>
  </si>
  <si>
    <t>20DD0374 Local Program, Local Infrastructure Program, Buildings and Other Structures, Multipurpose/ Facilities, Construction of Multi-Purpose Building at Brgy. Bolbok, Lipa City, Batangas</t>
  </si>
  <si>
    <t>Concreting of Divinan (Phase 1) FMR</t>
  </si>
  <si>
    <t>Proposed Concreting of municipal street, Toribio Coruña Street (from Jct. Mabini Street to Pine street) with a total length of 306.594 linear meter with 0.15m thick of item 200, 0.15m thick of item 20</t>
  </si>
  <si>
    <t>(20LF0145)Maylaya IS Bldg. 1 One (1) Storey Two (2) Classroom with Toilet at Each Classroom, Cateel, Davao Oriental</t>
  </si>
  <si>
    <t>Provision of Meals and Snacks for OCD Personnel and Detailed Duty Officers (Ordering Agreement)</t>
  </si>
  <si>
    <t>ESTABLISHMENT OF LIVELIHOOD PROJECT (POULTRY LAYER PRODUCTION) PHASE 2</t>
  </si>
  <si>
    <t>REHABILITATION OF CARCARABASA-LAGPAT-IRRIGATION CANAL</t>
  </si>
  <si>
    <t xml:space="preserve">Proposed Concreting of municipal street, Maramag Avenue (from Jct. Pine Street to National Highway) with a total length of 1,108 linear meter with 0.15m thick of item 200, 0.15m thick of item 201 and </t>
  </si>
  <si>
    <t>Supply &amp; Delivery of Medical Equipment for Neuro-Spine Surgery Use</t>
  </si>
  <si>
    <t>Purchase of Ambulance for Brgy. Motibot, Sindangan, Zamboanga del Norte</t>
  </si>
  <si>
    <t>Proposed Concreting of municipal street, Molave Street (from Jct. Quezon Avenue to Sto. Niño street) with a total length of 276.200 linear meter with 0.15m thick of item 200, 0.15m thick of item 201 a</t>
  </si>
  <si>
    <t>Contract Labor and Materials for the Construction of Concrete Reservoir - BLGU Kaligutan, Laak, Davao De Oro</t>
  </si>
  <si>
    <t>PROCUREMENT FOR THE SUPPLY AND DELIVERY OF IT SUPPLIES FOR DEPED</t>
  </si>
  <si>
    <t>Procurement of Hepa Filter Machines (1 lot) (ITB No. 2020-16)</t>
  </si>
  <si>
    <t>Procurement of Drugs Medicines for Botika ng Bayan IB No. SB-2020-024</t>
  </si>
  <si>
    <t>Installation of New Chevron along Rizal Bdry.-Famy-Quezon Bdry. Road, K0082 + 000 – K0088 + 000, Siniloan, Laguna</t>
  </si>
  <si>
    <t>IMPROVEMENT OF RHU II</t>
  </si>
  <si>
    <t>Proposed Concreting of municipal street, Toribio Coruña Street (from Jct. Quezon Avenue to Sto. Niño street) with a total length of 273.196 linear meter with 0.15m thick of item 200, 0.15m thick of it</t>
  </si>
  <si>
    <t>INVITATION TO BID FOR THE Procurement of Supply and Delivery of ICT Equipment: Laptops &amp; Office Equipment: Lateral Filing Cabinets under The DOE Locally Funded Project - Total Electrification Program</t>
  </si>
  <si>
    <t>20GFC0022: Purchase of Materials for Regravelling of Shoulder, Sta. Elena – Capalonga Bypass Coastal Road (Section 1)</t>
  </si>
  <si>
    <t>20GFC0023: Purchase of Asphalt Aggregates, Daang Maharlika (S03784LZ) – Daang Maharlika (S03789LZ)</t>
  </si>
  <si>
    <t>INVITATION TO BID FOR THE Procurement of Supply and Delivery  of EUMB-AFETD “Emergency Preparedness Kit” as Promotional Materials under the CY2020 Regular Budget</t>
  </si>
  <si>
    <t>CONSTRUCTION OF CABUYAO CITY HOSPITAL PHASE 2 (SITE DEVELOPMENT)</t>
  </si>
  <si>
    <t>CONSTRUCTION OF PANTAR-ANUPOL FMR LEADING TO FARMLANDS</t>
  </si>
  <si>
    <t>INVITATION TO BID FOR THE PROCUREMENT AND DELIVERY OF FUEL TO SUPPORT OPERATIONAL REQUIREMENTS FOR COVID-19 AND OTHER ACTIVITIES FOR 2ND SEMESTER (RHQ, CAVITE, LAGUNA AND RIZAL) OF BFP REGION IV-A</t>
  </si>
  <si>
    <t>PURCHASE AND DELIVERY OF ELECTRO MECHANICAL SIREN WITH METAL HOUSING (EARLY WARNING SYSTEM)</t>
  </si>
  <si>
    <t>Cluster DF-02 (Construction of Slaughterhouse Phase II &amp; Construction of Public Comfort Rooms)</t>
  </si>
  <si>
    <t>Supply and Delivery of Various ICT Equipment to Support the Command, Control, and Communications Information System (C3IS)</t>
  </si>
  <si>
    <t>Supply of Labor and Materials for the Construction of Proposed Waterline Extension at Barangay Cutud, Angeles City</t>
  </si>
  <si>
    <t>Supply and Delivery of Brand New Six Wheeler Dump Truck for Garbage Collection and Disposal (Solid Waste Management Program) - MENRO</t>
  </si>
  <si>
    <t>20CG0173 - Local Infrastructure Program: Buildings and Others Structures – Multipurpose/ Facilities – Construction of Multi-Purpose Building San Nicolas San Fernando, Pampanga</t>
  </si>
  <si>
    <t>ROAD REHABILITATION (ASPHALT OVERLAY &amp; RE-BLOCKING) AT BRGY.BANLIC</t>
  </si>
  <si>
    <t>INSTALLATION OF THIRTY SIX STREET LIGHT, BRGY. PUNTA, UNISAN, QUEZON</t>
  </si>
  <si>
    <t>20CG0171 - Local Infrastructure Program: Multipurpose/ Facilities – Construction of Multi-Purpose Covered Area with Reinforced Concrete Slab, Bagang, Masantol, Pampanga</t>
  </si>
  <si>
    <t>20CG0170 - Local Infrastructure Program: Multipurpose/ Facilities – Construction of Multi-Purpose Building, Brgy. San Matias, Santo Tomas, Pampanga</t>
  </si>
  <si>
    <t>REQUEST FOR MEDICAL AMD BIRTHING SUPPLIES TO IMPROVE THE DELIVERY OF BASIC SERVICES OF THE CONSTITUENTS OF THE MUNICIPALITY OF BORBON</t>
  </si>
  <si>
    <t>20CG0172 - Local Infrastructure Program: Multipurpose/ Facilities – Rehabilitation of Multi-Purpose Building (Covered Court), Gulap Elementary School, Candaba, Pampanga</t>
  </si>
  <si>
    <t>20CG0167 - Local Infrastructure Program: Multipurpose/ Facilities – Construction of Multi-Purpose Building, San Mateo, Arayat, Pampanga</t>
  </si>
  <si>
    <t>20CG0169 - Local Infrastructure Program: Multipurpose/ Facilities – Construction of Multi-Purpose Covered Court Area with Reinforced Concrete Slab, San Roque, Sta. Ana, Pampanga</t>
  </si>
  <si>
    <t>PROCUREMENT OF ABG REAGENTS AND PROVISION OF ANALYZER</t>
  </si>
  <si>
    <t>20CG0168 - Local Infrastructure Program: Multi-Purpose/ Facilities – Rehabilitation of Multi-Purpose Building, Maimpis IS, Maimpis City of San Fernando, Pampanga</t>
  </si>
  <si>
    <t>20CG0166 - Local Infrastructure Program: Multipurpose/ Facilities – Construction of Multi-Purpose Building, San Nicolas, Arayat, Pampanga</t>
  </si>
  <si>
    <t>Construction of Canal and Pathway at Padilla Compound</t>
  </si>
  <si>
    <t>20CG0163 - Local Infrastructure Program: Multipurpose/ Facilities – Rehabilitation of Multi – Purpose Building, Baliti and Batasan, Arayat, Pampanga</t>
  </si>
  <si>
    <t>20CG0165 - Local Infrastructure Program: Multipurpose/ Facilities – Construction of Multi-Purpose Building, Sto. Rosario, Sta. Ana, Pampanga</t>
  </si>
  <si>
    <t>Construction of 45 L.M. Permanent Concrete Bridge</t>
  </si>
  <si>
    <t>Const./Expansion of Open Drainage Canal along Local Roads</t>
  </si>
  <si>
    <t>Supply and Delivery of 3,710 Bags Inorganic Fertilizers (26- 0- 0), Bid Lot 2</t>
  </si>
  <si>
    <t>Supply and Delivery of 24,223 Bags Inorganic Fertilizers (46- 0- 0), Bid Lot 1</t>
  </si>
  <si>
    <t>CONSTRUCTION OF ACCESS ROAD TO SANITARY LANDFILL</t>
  </si>
  <si>
    <t>Supply and Delivery of 298 Bags Hybrid Corn Seeds (Yellow)- GMO.</t>
  </si>
  <si>
    <t>Procurement of Soil Conditioner with Plant Growth Stimulant (Repost)</t>
  </si>
  <si>
    <t>Proposed Proposed Concreting of municipal street, Mabini Street (from Jct. T. Coruña street to Pine Street) with a total length of 389.957 linear meter with 0.15m thick of item 200, 0.15m thick of ite</t>
  </si>
  <si>
    <t>Invitation to Bid for the Procurement of Outsourcing of Manpower Services for CY 2020-REFERENCE # 2020-06-04</t>
  </si>
  <si>
    <t>G-2020-18: LEASE OF ONE THOUSAND (1,000) POINT OF SALE (POS) WITH TERMINAL DRIVING MODULE FOR THE DEVELOPMENT BANK OF THE PHILIPPINES (DBP)</t>
  </si>
  <si>
    <t>(20LF0147)Nursery ES Bldg. 2 One (1) Storey  Three (3) Classroom with Toilet at Each Classroom, Baganga, Davao Oriental</t>
  </si>
  <si>
    <t>G-2020-17: SUPPLY AND DELIVERY OF ONE HUNDRED NINETEEN (119) UNITS CROSS OVER UTILITY VEHICLE FOR THE DEVELOPMENT BANK OF THE PHILIPPINES-REBID</t>
  </si>
  <si>
    <t>CONSTRUCTION OF ROADS</t>
  </si>
  <si>
    <t>20GFC0025: Purchase of Reflectorized Traffic Paint, DPWH-CNDEO Maintenance Section</t>
  </si>
  <si>
    <t>20CG0176 - Construction/ Repair/ Rehabilitation/ Improvement of Various Infrastructure including Local Projects: Multipurpose/ Facilities – Construction (Completion) of Multi-Purpose Building at Purok</t>
  </si>
  <si>
    <t>Supply and Delivery of Smart TV for Official Use of All Public Schools – DEPED San Pedro Laguna</t>
  </si>
  <si>
    <t>One (1) lot Supply, Delivery, Installation, and Make Operational Package Air-conditioning Systems, including the Dismantling of Existing Units, at the BSP Head Office, as per BSP Terms of Reference</t>
  </si>
  <si>
    <t>VARIOUS CONSTRUCTION AT DA-RIARC - SECOND POSTING</t>
  </si>
  <si>
    <t>20CG0177 - Construction/ Repair/ Rehabilitation/ Improvement of Various Infrastructure including Local Projects: Multipurpose/ Facilities – Construction of Multi-Purpose Building, Sta. Maria, Sta. Ana</t>
  </si>
  <si>
    <t>Procurement of double cubicle with mobile cabinet for LGU Multi-Purpose Hall</t>
  </si>
  <si>
    <t>SUPPLY AND DELIVERY OF LOT 11: 9,256 BAGS COMPLETE FERTILIZER (14-14-14) FOR OCCIDENTAL MINDORO – SECOND POSTING</t>
  </si>
  <si>
    <t>20CG0164 - Local Infrastructure Program: Multipurpose/ Facilities –Construction of Multi-Purpose Building, Sta. Maria, Mexico, Pampanga</t>
  </si>
  <si>
    <t>1 lot Maintenance Support and Upgrade of Network and User Activity Monitoring System for 600 User Licenses</t>
  </si>
  <si>
    <t>CID No. 20IO0091: Construction of Evacuation Center, Brgy. Larrazabal, Naval, Biliran</t>
  </si>
  <si>
    <t>Purchase of Materials for Repair and Renovation of Water System Facilities</t>
  </si>
  <si>
    <t>SUPPLY AND DELIVERY OF LOT 1: 56,827 BAGS UREA FERTILIZER (46-0-0) - SECOND POSTING</t>
  </si>
  <si>
    <t>Procurement of Medical Supplies for the Conduction of Patients</t>
  </si>
  <si>
    <t>20CG0174 - Local Infrastructure Program: Multipurpose/ Facilities – Repair and Rehabilitation of Multi-Purpose Building (Covered Court) San Carlos, Mexico, Pampanga</t>
  </si>
  <si>
    <t>Procurement of Materials for Repair of 3 Door WatSan Comfort Room</t>
  </si>
  <si>
    <t>AGRICULTURAL SUPPLIES</t>
  </si>
  <si>
    <t>VEHICLES</t>
  </si>
  <si>
    <t>Rehabilitation of Public Market</t>
  </si>
  <si>
    <t>II.T. EQUIPMENT</t>
  </si>
  <si>
    <t>Procurement of Six (6) units Brand New Pickup Trucks for the Subic-Clark Railway Project (SCRP)</t>
  </si>
  <si>
    <t>REPAIR &amp; MAINTENANCE</t>
  </si>
  <si>
    <t>SUPPLIES AND MATERIASL FOR THE CONSTRUCTION OF CONCRETE DRAINAGE</t>
  </si>
  <si>
    <t>Proposed Supply and Installation of Additional Airconditioning Units Located at the Rizal Provincial Hospital System Tanay-Annex, Sagbat-Pililla Diversion Road, Brgy. Tandang Kutyo, Tanay,Rizal</t>
  </si>
  <si>
    <t>LGU PROGRAMS/PROJECTS/ACTIVITIES</t>
  </si>
  <si>
    <t>Procurement of Health Care Service Provider for the Bases Conversion and Development Authority (BCDA) CY 2020-2021</t>
  </si>
  <si>
    <t>20CG0175 - Local Infrastructure Program: Buildings and Other Structures – Multipurpose/ Facilities – Construction of Multi-Purpose Building, Brgy. San Jose, San Luis, Pampanga</t>
  </si>
  <si>
    <t>Supply and Delivery of 2 Units 3 Tons Floor Mounted Aircon with Installation</t>
  </si>
  <si>
    <t>INVITATION TO BID FOR THE Procurement of Supply and Delivery of Various ICT Equipment under the DOE Locally Funded Biofuels Program</t>
  </si>
  <si>
    <t>FURNITURE &amp; FIXTURES</t>
  </si>
  <si>
    <t>20GFC0024: Purchase of Fuel and Lubricants for Use in Various Service Vehicle and Equipment, Purchase of Fuel and Lubricants for Use in Various Service Vehicle and Equipment</t>
  </si>
  <si>
    <t xml:space="preserve">Proposed Concreting of municipal street, Tamarind Street (from Jct. Toribio Coruña street to Pine Street) with a total length of 272.502 linear meter with 0.15m thick of item 200, 0.15m thick of item </t>
  </si>
  <si>
    <t>REHABILITATION/IMPROVEMENT OF LABUT-BINMONTON ACCESS ROAD PHASE I</t>
  </si>
  <si>
    <t>Purchase of Construction Materials for use in the Repair and Maintenance of National Road along Daang Maharlika, K0 513+(-544) - K0 539+452, DM Jct. Legazpi Sto. Domingo Tabaco Cam. Sur brdy. Road, K0</t>
  </si>
  <si>
    <t>INVITATION TO BID FOR THE Procurement of Supply and Delivery of EUMB-AFETD COVID-19 Health Kit as Promotional Materials under the CY2020 Locally Funded Project</t>
  </si>
  <si>
    <t>RENOVATION/RETROFITTING OF PUBLIC MARKET BUILDING-PHASE I- DESIGN AND BUILD</t>
  </si>
  <si>
    <t>UPGRADING AND REHABILITATION OF DAMAGED PAVED ROADS AND DRAINAGE CANAL</t>
  </si>
  <si>
    <t>Invitation to Bid for Various Repairs and Maintenance of the School’s Infrastructures</t>
  </si>
  <si>
    <t>Construction of Equipment</t>
  </si>
  <si>
    <t>Installation of New Chevron along Rizal Bdry.-Famy-Quezon Bdry. Road, K0090 + 000 – K0092 + 377, Siniloan, Laguna</t>
  </si>
  <si>
    <t>20CG0161 - Local Infrastructure Program: Multipurpose/ Facilities – Improvement of Masantol Civic Center Multi-Purpose Building, Kalsadang Bayu, San Nicolas, Masantol, Pampanga</t>
  </si>
  <si>
    <t>20CG0162 - Local Infrastructure Program: Multi-Purpose/ Facilities – Construction of Multi-Purpose Building, Bulacus, Masantol, Pampanga</t>
  </si>
  <si>
    <t>B20200225 - IMPROVEMENT OF POTABLE WATER SYSTEM PHASE II AT BRGY. TAGBITAN-AG, SAMAL DIST. IGACOS, DDN</t>
  </si>
  <si>
    <t>Contract Labor and Materials for the Construction of Concrete Reservoir located at Sitio 27 - BLGU Kaligutan, Laak, Davao De Oro</t>
  </si>
  <si>
    <t>Concreting of Turod Sur-Malapat-Cadaanan FMR</t>
  </si>
  <si>
    <t>20NI0077 - Construction of Multi-Purpose Building Purok 7A, Mangagoy, Bislig City, Surigao del Sur</t>
  </si>
  <si>
    <t>INVITATION TO BID FOR THE PROCUREMENT AND DELIVERY OF FUEL TO SUPPORT OPERATIONAL REQUIREMENTS FOR COVID-19 AND OTHER ACTIVITIES FOR 2ND SEMESTER (BATANGAS AND QUEZON) OF BFP REGION IV-A FOR CY 202</t>
  </si>
  <si>
    <t>To purchase and Deliver Agricultural Farm input</t>
  </si>
  <si>
    <t>Procurement of Drugs and Medicines for Outreach Activities, IB No. SB-2020-023</t>
  </si>
  <si>
    <t>(20LF0146)Nursery ES Bldg. 1 One (1) Storey  Two (2) Classroom with Toilet at Each Classroom, Baganga, Davao Oriental</t>
  </si>
  <si>
    <t>ITB# 101-2020 Food Supplies Expenses</t>
  </si>
  <si>
    <t>20DD0373 Local Program, Local Infrastructure Program, Flood Control and Drainage, Flood Control Structures / Facilities, Construction of Box Culvert at Villa Sa Riles, Brgy. Banay- Banay, Lipa City, B</t>
  </si>
  <si>
    <t>Proposed Concreting of municipal street, Cabinta &amp; Real Street (from Jct. Dionesio Micayabas street) with a total length of 310.915 linear meter with 0.15m thick of item 200, 0.15m thick of item 201 a</t>
  </si>
  <si>
    <t>Re-bidding of Lot 1: Supply, Delivery and Installation of Garments Technology Equipment for CTE Extension Program (PR No. 2020-02-0281) Lot 2: Supply and Delivery of Laboratory Supplies for Garments T</t>
  </si>
  <si>
    <t>ITB# 109-2020 Other Supplies and Materials Expenses</t>
  </si>
  <si>
    <t>ITB# 106-2020 Other Supplies and Materials Expenses</t>
  </si>
  <si>
    <t>REHABILITATION (Concreting) OF ACCESS ROAD LEADING TO TWS WATER SOURCE</t>
  </si>
  <si>
    <t>ITB# 105-2020 Medical, Dental &amp; Laboratory Supplies</t>
  </si>
  <si>
    <t>ITB# 103-2020 Medical, Dental &amp; Laboratory Supplies</t>
  </si>
  <si>
    <t>ITB# 110-2020 Other Supplies and Materials Expenses</t>
  </si>
  <si>
    <t>ITB# 100-2020 Food Supplies Expenses</t>
  </si>
  <si>
    <t>ITB# 99-2020 Food Supplies Expenses</t>
  </si>
  <si>
    <t>ITB# 98-2020 Office Supplies Expenses</t>
  </si>
  <si>
    <t>ITB# 108-2020 Other Supplies and Materials Expenses</t>
  </si>
  <si>
    <t>ITB# 107-2020 Other Supplies and Materials Expenses</t>
  </si>
  <si>
    <t>SJADS GOODS 20-09: PROCUREMENT OF PRUNING SHEAR AND FERTILIZER</t>
  </si>
  <si>
    <t>ITB# 102-2020 Food Supplies Expenses</t>
  </si>
  <si>
    <t>Repair of Public Market Roofing @ Barangay Poblacion Uno, Malabuyoc, Cebu</t>
  </si>
  <si>
    <t>ITB# 104-2020 Medical, Dental &amp; Laboratory Supplies</t>
  </si>
  <si>
    <t>Concreting/ Improvement of Vito-Cadulawan Road Section, Minglanilla, Cebu</t>
  </si>
  <si>
    <t>Concreting/ Improvement of Linao-Mojon Road Section, Talisay City, Cebu</t>
  </si>
  <si>
    <t>Electrical rewiring</t>
  </si>
  <si>
    <t>Supply and Delivery of Two (2) Units Brand New Dump Truck to be used in the repair and maintenance of roads and for municipal infrastructure projects at Naujan, Oriental Mindoro</t>
  </si>
  <si>
    <t>Concreting/ Improvement of Linao-Maghaway Road Section, Talisay City, Cebu</t>
  </si>
  <si>
    <t>SJADS INFRA 20-03: CONSTRUCTION OF MUNICIPAL MRF (RCA)</t>
  </si>
  <si>
    <t>Purchase of One (1) Unit Passenger Van to be used for Response, Rescue and Rehabilitation Efforts During and on Aftermath of Disaster and Calamities</t>
  </si>
  <si>
    <t>Various Projects of Municipality of Bugallon.</t>
  </si>
  <si>
    <t>SJADS GOODS 20-08: PROCUREMENT OF PATIENT TRANSPORTATION VEHICLE (VAN TYPE 18 SEATERS)</t>
  </si>
  <si>
    <t>GEOTECHNICAL SUB SURFACE EXPLORATION: PACKAGE No. 2020-01, MLANG AND TULUNAN, NORTH COTABATO</t>
  </si>
  <si>
    <t>20GDC0004 (Readvertised) - Purchase of Fuel and Lubricants of Service Vehicles and Equipments for the Month of July to September 2020</t>
  </si>
  <si>
    <t>Purchase of Supplies and Material for the construction of 2 waiting shed</t>
  </si>
  <si>
    <t>Purchase of Materials for Construction/Installation of Jetmatic Pumps</t>
  </si>
  <si>
    <t>CONSTRUCTION OF  POTABLE WATER  SUPPLY SYSTEM  LEVEL III</t>
  </si>
  <si>
    <t>ITB# 97-2020 Office Supplies Expenses</t>
  </si>
  <si>
    <t>Production and Development Servers for the following in-house information system: (SEC Website, New Cashiering System, Capital Markets Participant Registry System, National Numbering System Certificat</t>
  </si>
  <si>
    <t>20CG0158 - Local Infrastructure Program: Multipurpose/ Facilities – Rehabilitation of Multi-Purpose Building, San Pedro High School, San Simon, Pampanga</t>
  </si>
  <si>
    <t>ITB# 96-2020 Office Supplies Expenses</t>
  </si>
  <si>
    <t>Enhancement of ICT Infrastructure with internet connectivity of SDO-San Pablo City.</t>
  </si>
  <si>
    <t>IB No. 2020 - 05 Procurement of Infra (Road Concreting of Saco St. ( Sta. 00+000 – Sta. 00+212.11 )</t>
  </si>
  <si>
    <t>ITB# 94-2020 Office Supplies Expenses</t>
  </si>
  <si>
    <t>Rehabilitation of Local Access Road (Portion) and Construction of Multi-Purpose Building (Phase 2)</t>
  </si>
  <si>
    <t>PES Purchase of Mobile Load Card 2020-Supplemental</t>
  </si>
  <si>
    <t>LGU-MLPT-2020-02</t>
  </si>
  <si>
    <t>Supply, Delivery and Configuration of LTE CPE Broadband Device for CTU Flexible Learning System (FLS) with Smart/PLDT Telecom Network</t>
  </si>
  <si>
    <t>Supply and Installation of Hospital Information Management System</t>
  </si>
  <si>
    <t>Supply, Delivery, Installation and Configuration of Active Directory License and Related Components</t>
  </si>
  <si>
    <t>120	sets	LED, Street Lighting Luminaire, daylight, 90 watts, 9450 lumens, etc. PR # 115-20</t>
  </si>
  <si>
    <t>Supply and Delivery of One (1) Unit Sports Utility Vehicle (SUV) for official use of the Office of the Municipal Mayor</t>
  </si>
  <si>
    <t>300	pc.	2" x 4" x 12' Coco Lumber, etc. PR 195-20</t>
  </si>
  <si>
    <t>Construction of 8 Units Sea Base Seaweeds Solar Dryer in Surigao del Sur (A FishCORAL Project)</t>
  </si>
  <si>
    <t>ITB# 95-2020 Office Supplies Expenses</t>
  </si>
  <si>
    <t>5	pcs.	Silicon gun, etc. PR # 112-20</t>
  </si>
  <si>
    <t>SUPPLY AND DELIVERY OF ULTRA-PORTABLE ULTRASOUND MACHINE AND GEL ELECTROPHORESIS</t>
  </si>
  <si>
    <t>67	shts.	6mm x 1.2m x 2.4m Marine Plywood, etc. PR # 101-20</t>
  </si>
  <si>
    <t>200	bags	Portland Cement, 40 kg./bag, etc. PR # 74-20</t>
  </si>
  <si>
    <t>235	pcs.	2" x 2" x 10',Coco Lumber, etc. PR # 171-20</t>
  </si>
  <si>
    <t>Installation of Brgy. Solar Street Lights (Phase2), Brgy. Poblacion Banate, Iloilo</t>
  </si>
  <si>
    <t>CONSTRUCTION OF ANTIQUE DAIRY BOX (DAIRY PROCESSING PLANT AND PRODUCT OUTLET) REBID</t>
  </si>
  <si>
    <t>128	drum	Asphalt Cement Penetration 60-70, etc. PR # 45-20</t>
  </si>
  <si>
    <t>PROCUREMENT OF INFORMATION TECHNOLOGY (IT) EQUIPMENT</t>
  </si>
  <si>
    <t>40	pcs.	2" x 2" x 10', G.melina, etc. PR # 775-19 rebid</t>
  </si>
  <si>
    <t>30	sht	6mm x 1.2m x 2.4m Marine Plywood, PR # 623-19 rebid</t>
  </si>
  <si>
    <t>20	pcs.	2" x 6" x 10' G.melina, etc. PR # 460-20</t>
  </si>
  <si>
    <t>SDH-20-0734-B MEDICAL EQUIPMENT</t>
  </si>
  <si>
    <t>SUPPLY AND DELIVERY OF LIQUID NITROGEN TANKS</t>
  </si>
  <si>
    <t>Proposed Public Restroom with Rainwater Tank, Lake Danao Park, San Francisco, Camotes Island</t>
  </si>
  <si>
    <t>CONCRETING OF MUNICIPAL  ROAD: RENOVATION  /WIDENING OF FELICIANA  STREET SEGMENT</t>
  </si>
  <si>
    <t>15	pcs.	G-Melina Lumber- 2" x 2" x 10', PR # 839-19 rebid</t>
  </si>
  <si>
    <t>SDH-20-0735-B MEDICAL EQUIPMENT</t>
  </si>
  <si>
    <t>SUPPLY OF TOOLS, JIGS, EQUIPMENT AND RAW MATERIALS</t>
  </si>
  <si>
    <t>315	pcs.	Ceramic Floor Tiles (200mm x 200mm) White, etc. PR # 396-20</t>
  </si>
  <si>
    <t>35	pcs.	2" x 2" x 10' G.melina, etc. PR # 647-19 (rebid)</t>
  </si>
  <si>
    <t>Concreting/ Improvement of Ocana Beach Road Section, Carcar City, Cebu</t>
  </si>
  <si>
    <t>Concreting/ Improvement of Awayan-Can-asujan-Pit-os Road Section, Carcar City, Cebu</t>
  </si>
  <si>
    <t>13	rolls	1/2"Ø x 300m/roll Polyethelene Pipe, etc. PR # 397-20</t>
  </si>
  <si>
    <t>Concreting/ Improvement of Perrelos-Can-asujan Road Section, Carcar City, Cebu</t>
  </si>
  <si>
    <t>Purchase of One (1) Unit Mobile Multi-Purpose Shredder with Diesel Engine to be used at the MENRO Office of this Municipality</t>
  </si>
  <si>
    <t>Concreting/ Improvement of Bolinawan-Dunguan Road Section, Carcar City, Cebu</t>
  </si>
  <si>
    <t>Concreting/ Improvement of Mainit Spring Road Section, Carcar City, Cebu</t>
  </si>
  <si>
    <t>Contract ID Number 20FD0068 CONSTRUCTION OF WATER SYSTEM LEVEL II, BRGY. POBLACION, DEL GALLEGO, CAMARINES SUR</t>
  </si>
  <si>
    <t>Contract ID Number 20FD0067 CONSTRUCTION OF WATER SYSTEM LEVEL II, BRGY. BAGONG SIRANG, SIPOCOT, CAMARINES SUR</t>
  </si>
  <si>
    <t>ITB# 111-2020 Other Supplies and Materials Expenses</t>
  </si>
  <si>
    <t>Purchase &amp; Delivery of Brand New Standby Power Generator 100 KVA 240 VAC (Silent Type),  LTPC, Surigao City</t>
  </si>
  <si>
    <t>20FF0100 - Construction of Barangay Road, Barangay Carangcang, Magarao, Camarines Sur</t>
  </si>
  <si>
    <t>Concreting/ Improvement of Basak-Bae Road Section, Sibonga, Cebu</t>
  </si>
  <si>
    <t>PB-Supply, Delivery, Installation &amp; Commissioning of 12 units Modular Patient Monitor (1 Lot) (ITB No. 2020-13).</t>
  </si>
  <si>
    <t>20DL0222 - CY 2020 BASIC EDUCATION FACILITIES FUND, CONSTRUCTION OF CLASSROOMS  2STY4CL DOÑA AURORA ES, CALAUAG, QUEZON</t>
  </si>
  <si>
    <t>Concreting/ Improvement of Ocana-Napo-Guadalupe-Puesto Road Section, Carcar City, Cebu</t>
  </si>
  <si>
    <t>Contract ID Number 20FD0066 CONSTRUCTION/REHABILITATION OF WATER SUPPLY/SEPTAGE AND SEWERAGE/RAIN WATER COLLECTORS – RAIN WATER COLLECTORS IN PUBLIC FACILITIES, SAN VICENTE E/S, MANTILA E/S, SAN ISIDR</t>
  </si>
  <si>
    <t>20DL0220 - CY 2020 BASIC EDUCATION FACILITIES FUND, CONSTRUCTION OF CLASSROOMS  2STY4CL ATIMONAN CES, ATIMONAN, QUEZON</t>
  </si>
  <si>
    <t>FOD-R-20-2127 (R1): Procurement of 6 units of Desktop Computer</t>
  </si>
  <si>
    <t>278	bags	Portland Cement, etc. PR # 429-20</t>
  </si>
  <si>
    <t>15	pcs.	2" x 4" x 10' G.melina, etc. PR # 399-20</t>
  </si>
  <si>
    <t>20DL0221 - CY 2020 BASIC EDUCATION FACILITIES FUND, CONSTRUCTION OF CLASSROOMS  2STY6CL CARIDAD IBABA ES, ATIMONAN, QUEZON</t>
  </si>
  <si>
    <t>SIC-98 Hiring of Consultancy Services (Individual Consultant), i.e, Business Development Officer</t>
  </si>
  <si>
    <t>20HH0141-Concreting of Brgy. Kalunasan FMR, Brgy. Kalunasan, Cebu City, Cebu</t>
  </si>
  <si>
    <t>SIC-97 Hiring of Consultancy Services (Individual Consultant), i.e, Monitoring &amp; Evaluation Officer</t>
  </si>
  <si>
    <t>MODULE PRINTING JHS</t>
  </si>
  <si>
    <t>MODULE PRINTING SHS</t>
  </si>
  <si>
    <t>concreting of municipal road</t>
  </si>
  <si>
    <t>Procurement of Design, Supply, Installation, and Commissioning of Cinema Equipment and Audio Systems, Acoustic Treatment and Theatre Curtains for the Metropolitan Theatre</t>
  </si>
  <si>
    <t>(20-0144) FABRICATION &amp; INSTALLATION OF VARIOUS TRAFFIC SIGNAGES</t>
  </si>
  <si>
    <t>RE-POST: Proposed Drainage Canal at Barangay Covered Court, Brgy. Holy Redeemer, Butuan City</t>
  </si>
  <si>
    <t>SIC-96 Hiring of Consultancy Services (Individual Consultant), i.e, Financial Analyst 1</t>
  </si>
  <si>
    <t>20HH0144-Repair and Maintenance of Drainage System along Legaspi Extension, Brgy. San Roque, Cebu City</t>
  </si>
  <si>
    <t>30	pcs.	2" x 2" x 10' G.melina, etc. PR # 428-20</t>
  </si>
  <si>
    <t>Construction of Apolong Multi-Purpose Building</t>
  </si>
  <si>
    <t>Construction Of Hanging Bridge From Brgy. Canal to Brgy. Bislig in Carigara, Leyte, ABC PHP5,999,929.43</t>
  </si>
  <si>
    <t>Improvement of Barangay Apolong Multi-Purpose Building</t>
  </si>
  <si>
    <t>Concreting of Road along JNR Rizal-Cambinoy-San Pedro Cancosme San Guillermo Provincial Road Section in Palompon, Leyte, ABC PHP4,999,751.78</t>
  </si>
  <si>
    <t>Construction of Suspension Support and Crossover Pipeline along Cogon-San Joaquin Bridge in Palo, Leyte, ABC PHP5,776,634.39</t>
  </si>
  <si>
    <t>Procurement of Diesel and Gasoline for maintenance of Garbage Trucks, Services Vehicles &amp; Heavy Equipments (CGSO)</t>
  </si>
  <si>
    <t>Improvement of Flood Control and Single Box Culvert in Brgy. Calao, Burauen, Leyte, ABC PHP7,018,489.20</t>
  </si>
  <si>
    <t>REHABILITATION OF CABADBARAN DISTRICT HOSPITAL (REHAB / REPAIR / IMPROVEMENT OF CDH)</t>
  </si>
  <si>
    <t>20GA0226-Construction of (15) Fifteen School Site and Public Building Rainwater Collector System Province of Aklan</t>
  </si>
  <si>
    <t>MDH-FOOD SUPPLIES</t>
  </si>
  <si>
    <t>Reblocking of Road along MacArthur-Palale-San Antonio Provincial Road Section in MacArthur, Leyte, ABC PHP9,969,583.12</t>
  </si>
  <si>
    <t>Improvement of Road in Brgy. Uguisan, MacArthur, Leyte, ABC PHP9,999,195.07</t>
  </si>
  <si>
    <t>Improvement of Road along Tagadtaran-Calao-Villa Aurora Road Section in Burauen, Leyte, ABC PHP9,999,200.55</t>
  </si>
  <si>
    <t>Purchase of Fishing Gears and Other Fishing Paraphernalia for Subsidized Assistance Project Provincial Agriculture Office Province of Northern Samar</t>
  </si>
  <si>
    <t>RE-POST: Proposed Drainage Canal at Purok 3-A, Brgy. Holy Redeemer, Butuan City</t>
  </si>
  <si>
    <t>Construction/Rehabilitation of Local Access Road at Batchelor West</t>
  </si>
  <si>
    <t>20GOH0004-Proposed  Purchase of Uniforms for Maintenance Workers along Various National Roads within SMDEO Jurisdiction</t>
  </si>
  <si>
    <t>Purchase of Two (2) Units E – Trike – Barangay Patrol Electronic Vehicle Civil Security Office Catarman, Northern Samar</t>
  </si>
  <si>
    <t>Design and Build for the Improvement of Water Supply System Level III</t>
  </si>
  <si>
    <t>Construction of Multi-Purpose Bldg. (Phase 2) in Matag-ob, Leyte, ABC PHP19,998,728.19</t>
  </si>
  <si>
    <t>INSTALLATION OF SOLAR PANEL STREET LIGHTS</t>
  </si>
  <si>
    <t>20HH0142-Concreting of Brgy. Sapang Dako FMR, Brgy. Sapang Dako, Cebu City, Cebu</t>
  </si>
  <si>
    <t>Supply and Delivery of Multifarious Hardware Materials</t>
  </si>
  <si>
    <t>CONCRETING OF PATHWAY AT PUROK 5</t>
  </si>
  <si>
    <t>20HH0143-Concreting of Brgy. Adlaon FMR, Brgy. Adlaon, Cebu City, Cebu</t>
  </si>
  <si>
    <t>CONSTRUCTION OF 1-UNIT SEPTIC VAULT BRGY. GATA</t>
  </si>
  <si>
    <t>Rehabilitation of LGU Owned Potable Water System - M.O</t>
  </si>
  <si>
    <t>Construction of Seawall (between Guitna and Bonbon) P-I</t>
  </si>
  <si>
    <t>Civil Works by Contract for the Improvement of Water Supply System Level III (Damula-an)</t>
  </si>
  <si>
    <t>Supply and Delivery of Construction Materials and Supplies for the Construction of Additional Air Ventilation</t>
  </si>
  <si>
    <t>COMPLETION OF DORMITORY AND CAFETERIA OF FARM TECHNOLOGY TRAINING CENTER FOR PAMPLONA CAMPUS</t>
  </si>
  <si>
    <t>Supply and Delivery of CM for the construction of tire path @ Kellet -Ba-neng phase II</t>
  </si>
  <si>
    <t>Concreting of Farm-to-Market Road in Brgy. Bitanhuan, Baybay City, Leyte, ABC PHP3,525,816.55</t>
  </si>
  <si>
    <t>Repair/ Improvement of Multi-purpose Bldg.</t>
  </si>
  <si>
    <t>Supply and Delivery of Materials for Replacement of Early Warning Device Wiring</t>
  </si>
  <si>
    <t>REHABILITATION OF DAMAGED ROADS/BRIDGES/SLOPE PROTECTION OF BRIDGE APPROACHES/ OTHER STRUCTURES</t>
  </si>
  <si>
    <t>Repair/Improvement of Portion of PSWDO Building &amp; Construction of 1 Unit 3-Chamber Septic Vault Brgy. Dalakit, Catarman, Northern Samar</t>
  </si>
  <si>
    <t>Catering Services and Accommodation</t>
  </si>
  <si>
    <t>Supply and Installation of Fire Detection, Alarm and Suppression for Three (3) Storey New Municipal Hall Bldg.</t>
  </si>
  <si>
    <t>Supply and Delivery of 1 Unit Brandnew FORKLIFT, 4 x 2, 10 tons, diesel engine, 4 cycle water.</t>
  </si>
  <si>
    <t>PURCHASE OF DRUGS AND MEDICINES</t>
  </si>
  <si>
    <t>Procurement of Veterinary Products for Deworming of Large &amp; Small Animals, Anti-Rabies Vaccination for Dogs &amp; Cats and to Treat Diseases of Animals.</t>
  </si>
  <si>
    <t>Reblocking of Provincial Road along Brgy. Maghubas-Libas (Burauen, Leyte) - Cambucao (Tabontabon, Leyte) Road Section, ABC PHP19,200,292.68</t>
  </si>
  <si>
    <t>Supply and Delivery of 1 Unit 2020 Commuter Van 2.8L M/T and 2 units Automatic Motorcycle 150i.</t>
  </si>
  <si>
    <t>Sustainable Livelihood Support to Disaster Affected Areas under CRFPS</t>
  </si>
  <si>
    <t>PURCHASE OF MEDICAL SUPPLIES OF MUNICIPAL HEALTH OFFICE 2020</t>
  </si>
  <si>
    <t>CONCRETING OF PATHWAY AT PUROK 1</t>
  </si>
  <si>
    <t>PROCUREMENT OF DIESEL FUEL</t>
  </si>
  <si>
    <t>Supply and Delivery of Various Office Equipment and Paraphernalia</t>
  </si>
  <si>
    <t>Purchase of One (1) unit Brand New 4-wheeler Vehicle, 10 feet w/ Aircon (Back to Back). For use of Kabankalan City Police Station.</t>
  </si>
  <si>
    <t>20CN0067 - Construction of Slope Protection Along A. Castañeda – Ma. Aurora San Luis Road, (K0198+120 – K0198+171.84), Aurora</t>
  </si>
  <si>
    <t>RFQ No. 2020-031: Procurement of Four (4) CPUs  (2nd Posting)</t>
  </si>
  <si>
    <t>Purchase of medicines &amp; Family Planning Supplies</t>
  </si>
  <si>
    <t>Jaliobong Cluster Access Road Concreting Phase I</t>
  </si>
  <si>
    <t>CONSTRUCTION OF TWO(2)-STOREY PROCESSING BUILDING WITH WAREHOUSE IN SUPPORT TO THE GEONET PRODUCTION AND MARKETING ENTERPRISES</t>
  </si>
  <si>
    <t>Purchase of Medicine for the 1st and 2nd Quarter</t>
  </si>
  <si>
    <t>ITB 2020-GS-009A HFEP EQUIPMENT (PACKAGE 1)</t>
  </si>
  <si>
    <t>CID No. 20OD0194 - Construction of 4-Storey 8-Classroom School Building Caruhatan East ES, Valenzuela City</t>
  </si>
  <si>
    <t>Facilitator, Documentor and Writer (2020-148)</t>
  </si>
  <si>
    <t>20CN0066 - Construction of Slope Protection along Madela – Dinadiawan Road, K0410+100 – K0410+146, Aurora</t>
  </si>
  <si>
    <t>Purchase of Fuel, Oil and Lubricants 1st and 2nd Quarter</t>
  </si>
  <si>
    <t>Procurement of Seven (7) Units Ambulance Vehicle</t>
  </si>
  <si>
    <t>Barangay Road Concreting - Seven (7) Barangays - LGU Cortes Bohol</t>
  </si>
  <si>
    <t>REHAB./REPAIR OF BALITE TENNIS COURT, BRGY. BALITE, VILLABA, LEYTE - BRGY. FUND</t>
  </si>
  <si>
    <t>CONCRETING OF PATHWAY AT PUROK 3 TO 2</t>
  </si>
  <si>
    <t>Construction of 38 Units Temporary Shelter</t>
  </si>
  <si>
    <t>Motorpool Construction Phase I</t>
  </si>
  <si>
    <t>PROCUREMENT OF ANTI-RABIES VACCINE</t>
  </si>
  <si>
    <t>20DL0224 - CY 2020 BASIC EDUCATION FACILITIES FUND, CONSTRUCTION OF CLASSROOMS  2STY6CL STO. NIÑO ILAYA NHS, LOPEZ, QUEZON</t>
  </si>
  <si>
    <t>CONCRETING OF PATHWAY- PROCUREMENT OF MATERIALS</t>
  </si>
  <si>
    <t>PURCHASE OF DRUGS AND MEDICINES FOR MUNICIPAL HEALTH OFFICE</t>
  </si>
  <si>
    <t>Proposed Kapate Tribal Village (IP Housing Project) @ Brgy. Kapate, Kiamba, Sarangani Province</t>
  </si>
  <si>
    <t>Repair of Mulit-purpose Hall</t>
  </si>
  <si>
    <t>20DL0223 - CY 2020 BASIC EDUCATION FACILITIES FUND, CONSTRUCTION OF CLASSROOMS  2STY4CL MUNICIPAL SECTOR ES, CALAUAG, QUEZON</t>
  </si>
  <si>
    <t>Supply and delivery of Materials for the Improvement of Existing Evacuation @ Municipal Compound, Nagcarlan, Laguna</t>
  </si>
  <si>
    <t>Procurement of One (1) Units Service Vehicle</t>
  </si>
  <si>
    <t>CONCRETING OF PATHWAY AT PUROK 3 to PUROK 5</t>
  </si>
  <si>
    <t>EXTENSION OF RHU WAITING AREA AND PHARMACY EXTENSION, LGU CAMPUS, VILLABA, LEYTE - PHILHEALTH CAPITATION</t>
  </si>
  <si>
    <t>CID No. 20OD0198 - Repair/Maintenance/Rehabilitation along Mac Arthur Highway, Valenzuela City</t>
  </si>
  <si>
    <t>Procurement of Multi-Shredding &amp; Pulveriser Machine for MENRO</t>
  </si>
  <si>
    <t>20CN0070 - Construction of Slope Protection Along Baler – Casiguran Road (Dinadiawan – Casiguran Section), K0292+910 – K0292+988, Aurora</t>
  </si>
  <si>
    <t>Construction of Footwalk</t>
  </si>
  <si>
    <t>CONCRETING OF MULTI-PURPOSE PAVEMENT AT PUROK 4</t>
  </si>
  <si>
    <t>Procurement of Civil Works ITB 20-08</t>
  </si>
  <si>
    <t>Civil Works by Contract for the Construction of Two Storey Evacuation Center (Damula-an)</t>
  </si>
  <si>
    <t>PURCHASE OF IT EQUIPMENTS FOR LGU OFFICES AND FOR CBMS SURVEY</t>
  </si>
  <si>
    <t>20CN0124 - Slope Protection along Nueva Ecija – Aurora Road, K0176+200 – K0176+360</t>
  </si>
  <si>
    <t>CONCRETING OF PATHWAY AT PUROK 2 TO 3</t>
  </si>
  <si>
    <t>SUPPLY AND DELIVERY OF ARM CHAIRS AND SALA SETS (PR NO. 2020-02-0376, 2020-02-0240, 2020-02-0371)</t>
  </si>
  <si>
    <t>20CN0123 - Construction of Slope Protection along Baler - Casiguran Road (Dinadiawan-Casiguran Section), K0297+060 – K0297+143, K0297+190 – K0297+300, Casigura, Aurora</t>
  </si>
  <si>
    <t>20CN0075 - Construction of Slope Protection along Nueva Ecija – Aurora Road, K0204+325 – K0204+386, Aurora</t>
  </si>
  <si>
    <t>20CN0073 - Construction of Slope Protection along Nueva Ecija – Aurora Road, K0212+155 – K0212+203, Aurora</t>
  </si>
  <si>
    <t>CID No. 20OD0197 - Construction/Rehabilitation of Multi-purpose Building Brgy. 18, Caloocan City</t>
  </si>
  <si>
    <t>Construction of River Dike in Brgy. Caghalo, Carigara, Leyte, ABC PHP3,506,084.15</t>
  </si>
  <si>
    <t>Procurement of Office and IT Equipment for Mayor's and KALAHI Office</t>
  </si>
  <si>
    <t>20CN0071 - Construction of Slope Protection Along Baler – Casiguran Road (Dinadiawan – Casiguran Section), (K0302+490 – K0302+570), Casiguran, Aurora</t>
  </si>
  <si>
    <t>Veterinary Medical Supplies</t>
  </si>
  <si>
    <t>Construction of Welcome Arch Sign-Barangay 1</t>
  </si>
  <si>
    <t>CID No. 20OD0199 - Repair/Maintenance/Rehabilitation along Mac Arthur Highway, Valenzuela City</t>
  </si>
  <si>
    <t>20CN0072 - Construction of Slope Protection along Nueva Ecija – Aurora Road, K0171+150 – K0171+195.52, Aurora</t>
  </si>
  <si>
    <t>Supply and Delivery of Materials to be used in the Concreting of Roads in different barangays, Naujan, Oriental Mindoro</t>
  </si>
  <si>
    <t>Procurement of One (1) Units Service Vehicle (Patient Transport Vehicle)</t>
  </si>
  <si>
    <t>CID No. 20OD0196 - Construction of Multi-purpose Building Brgy. Parada, Valenzuela City (Phase 2)</t>
  </si>
  <si>
    <t>Reblocking/Concreting of Road from Brgy. Los Martires to Brgy. San Antonio Dist. 5 in Dagami, Leyte, ABC PHP3,517,944.70</t>
  </si>
  <si>
    <t>20DD0350 Local Program, Local Infrastructure Program, Local Roads and Bridges, Local Roads, Concreting of Local Road, Brgy. Salaban I, Ibaan, Batangas</t>
  </si>
  <si>
    <t>PROCUREMENT OF INFORMATION TECHNOLOGY (IT) EQUIPMENT OF THE MUNICIPALITY OF LIMASAWA, SOUTHERN LEYTE</t>
  </si>
  <si>
    <t>20CN0069 - Construction of Slope Protection Along Baler – Casiguran Road (Baler – Dinadiawan Section), (K0259+735 – K0259+775), Casiguran, Aurora</t>
  </si>
  <si>
    <t>Purchase of electrical supplies</t>
  </si>
  <si>
    <t>Supply and delivery of School Equipment for use in Implementation of new learning and teaching methods under new normal condition (due to Covid-19 Pandemic) in all public elementary and High School in</t>
  </si>
  <si>
    <t>CONSTRUCTION OF LOCAL  ROAD- Sitio Panghulan 2, Brgy. Bula</t>
  </si>
  <si>
    <t>Road Rehabilitation (0.2mX5.0mX18km) at Tugas, Riverside, Kanmangasang, Caipe, Cagcagan-Adela &amp; Sta. Rita, Poro, Cebu</t>
  </si>
  <si>
    <t>20CN0074 - Construction of Slope Protection along Nueva Ecija – Aurora Road, K0196+230 – K0196+277, Aurora</t>
  </si>
  <si>
    <t>Procurement of Flash Hoods, Gloves, and Inflatable Life Jackets</t>
  </si>
  <si>
    <t>GENERAL ADMINISTRATION AND SUPPORT</t>
  </si>
  <si>
    <t>Procurement of Vehicle (6-Wheeler Dump Truck)</t>
  </si>
  <si>
    <t>20DD0304 (Re-Advertised) Local Program, Local Infrastructure Program, Buildings and Other Structures, Multipurpose/ Facilities, Improvement of Multi-Purpose Building in Various Barangays, San Jose, Ba</t>
  </si>
  <si>
    <t>20DD0349 Local Program, Local Infrastructure Program, Flood Control and Drainage, Drainage/ Protection Works, Rehabilitation/ Construction of Drainage at District III (Pookan), Marawoy, Lipa City, Bat</t>
  </si>
  <si>
    <t>FABRICATION AND INSTRALLATION OF STEEL GRILLS AND STEEL GATE IN FRONT OF PERIMETER FENCE OF KADAMPAT GYMANASIUM @ SITIO KADAMPAT, BOLO, LABRADOR, PANGAS1NAN</t>
  </si>
  <si>
    <t>Repair/Maintenance of DOF Building RO V - Main Building Bureau of Local Government Finance, Rawis, Legazpi City</t>
  </si>
  <si>
    <t>Construction of the Tanjay City Evacuation Center (Phase III)</t>
  </si>
  <si>
    <t>20KK0128 - Construction of 2 STY 6 CL, Sangalan Integrated School, Brgy. Sangalan, Gingoog City, Misamis Oriental</t>
  </si>
  <si>
    <t>Concreting of Pathway at Purok 2</t>
  </si>
  <si>
    <t>20DD0355 Local Program, Local Infrastructure Program, Water Management Facilities, Water Supply, Construction/ Completion of Water System at Brgy. Halang, Lipa City Batangas (Phase 2)</t>
  </si>
  <si>
    <t>20DD0354 Local Program, Local Infrastructure Program, Flood Control and Drainage, Flood Control Structures / Facilities, Rehabilitation/Improvement of Flood Control Structure at Brgy. Tambo, Lipa City</t>
  </si>
  <si>
    <t>Purchase of Machinery and Equipment for White Corn  Processing Center</t>
  </si>
  <si>
    <t>CCTV Cameras</t>
  </si>
  <si>
    <t>Slope Protection (Binagasbasan, Paraiso)</t>
  </si>
  <si>
    <t>Rebidding of Concreting of Barangay Road at Brgy. Morong, Sitio Purok 7, Sariaya, Quezon</t>
  </si>
  <si>
    <t>20DD0353 Local Program, Local Infrastructure Program, Buildings and Other Structures, Multipurpose/ Facilities, Improvement and Rehabilitation of Multi-Purpose Hall, Brgy. Poblacion, Ibaan, Batangas</t>
  </si>
  <si>
    <t>Construction of Multi-Purpose Hall in Balugo, Albuera, Leyte, ABC PHP3,098,838.91</t>
  </si>
  <si>
    <t>Concreting of Sanitary Landfill Access Road Phase I</t>
  </si>
  <si>
    <t>20DD0352 Local Program, Local Infrastructure Program, Buildings and Other Structures, Multipurpose/ Facilities, Construction/ Completion of Multi-Purpose Building, Brgy. Laiya Ibabao, San Juan, Batang</t>
  </si>
  <si>
    <t>Concreting of Farm-To-Market Road (Brgy. Bonifacio - Brgy. Burgos Road Section) in Mayorga, Leyte, ABC PHP3,184,316.98</t>
  </si>
  <si>
    <t>Improvement of Motorpool</t>
  </si>
  <si>
    <t>Rehabilitation of Pussian SWIP Access Road</t>
  </si>
  <si>
    <t>20DD0351 Local Program, Construction/ Repair/ Rehabilitation/ Improvement of Various Infrastructure Including Local Projects, Water Management Facilities, Water Supply, Construction/Completion of Wate</t>
  </si>
  <si>
    <t>Additional Backfilling and Construction of Retaining Wall (Ripraps) of Slaughterhouse Premises, Sitio Asiotes, Barangay Polo</t>
  </si>
  <si>
    <t>Construction of Multi-Purpose Bldg. (Phase 1) in Brgy. Borseth, Alangalang, Leyte, ABC PHP2,510,675.73</t>
  </si>
  <si>
    <t>Rehabilitation of Multi-Purpose Hall, Barangay Silangan</t>
  </si>
  <si>
    <t>Construction of Multi-Purpose Bldg. (Phase 1) in Brgy. Don Luis, Calubian, Leyte, ABC PHP2,531,475.87</t>
  </si>
  <si>
    <t>SUPPLY OF DIESEL FOR USE IN SERVICE VEHICLES, HEAVY EQUIPMENTS AND MINOR EQUIPMENTS OF MAINTENANCE SECTION</t>
  </si>
  <si>
    <t>REPAINTING OF ROOF, INTERIOR &amp; EXTERIOR CEILING AND WALL OF BUILDINGS AT LIMAY PARK</t>
  </si>
  <si>
    <t>Concreting of Farm to Market Road (Tobrehon Road Section)</t>
  </si>
  <si>
    <t>Construction of River Protection-Barangay Mascarina</t>
  </si>
  <si>
    <t>Rehabilitation/Improvement of Municipal Public Market Incorporating w/ Disaster Resilient Design at Brgy. Guisijan, Laua-an, Antique</t>
  </si>
  <si>
    <t>SUPPLY OF VARIOUS MATERIAL FOR USE IN REPAIR/MAINTENANCE ALONG VARIOUS NATIONAL ROADS WITHIN 1ST DISTRICT OF PAMPANGA (3rd QUARTER)</t>
  </si>
  <si>
    <t>Rehabilitation/improvement of Water System in Brgy. Hinabuyan, Villaba, Leyte, ABC PHP2,884,283.42</t>
  </si>
  <si>
    <t>ITB and Bid Docs for Contract ID:    19GC00091   Contract Name:      Procurement of Reflectorized Thermoplastic (Yellow and White) and other Related Materials for Application and Improvement of Traffi</t>
  </si>
  <si>
    <t>Procurement of Diesel  and Oil for maintenance of Various Provincial Roads &amp; Bridges, Province of Aklan /ITB no: 2020-364</t>
  </si>
  <si>
    <t>Supply of Autodelfia Neonatal Kit/Solutions/Reagents (Rebid)</t>
  </si>
  <si>
    <t>ITB-SUPPLY AND DELIVERY OF 1250 PIECES MULTI-JET WATER METERS</t>
  </si>
  <si>
    <t>CONSTRUCTION  CLOSURE OF OPEN DUMPSITE</t>
  </si>
  <si>
    <t>Construction of River Protection-Barangay Del Pilar</t>
  </si>
  <si>
    <t>Concreting of Barangay Road at Sitio Macagpo (Phase 2) in Brgy. Cambalading, Albuera, Leyte, ABC PHP3,005,619.74</t>
  </si>
  <si>
    <t>I.T. EQUIPMENT</t>
  </si>
  <si>
    <t>20DD0356 Local Program, Local Infrastructure Program, Local Roads and Bridges, Local Roads, Rehabilitation/Improvement of Road at Brgy. Plaridel, Lipa City, Batangas</t>
  </si>
  <si>
    <t>Supply And  Delivery of Food Supplies for Indigent Family</t>
  </si>
  <si>
    <t>Concreting of Ochoa St. Extension</t>
  </si>
  <si>
    <t>20DD0358 Local Program, Local Infrastructure Program, Water Management Facilities, Water Supply, Construction of Water System at Padre Valerio Malabanan Elementary School, Brgy. 1, Lipa City, Batangas</t>
  </si>
  <si>
    <t>OFFICE SUPPLIES, JANITORIAL AND CONSUMABLE SUPPLIES</t>
  </si>
  <si>
    <t>PROCUREMENT OF 5 UNITS COLLAPSIBLE TENT OF THE MUNICIPALITY OF LIMASAWA, SOUTHERN LEYTE</t>
  </si>
  <si>
    <t>CONSTRUCTION OF MULTI - PURPOSE BUILDING @ BRGY. OLD LABANGAN, LABANGAN, ZDS</t>
  </si>
  <si>
    <t>REHABILITATION OF MULTI-PURPOSE HALL – CAWAYAN, IMPASUGONG, BUKIDNON</t>
  </si>
  <si>
    <t>Construction of Local Access Road @ Brgy. Cogon</t>
  </si>
  <si>
    <t>Various Office Enhancement</t>
  </si>
  <si>
    <t>Construction of Multi-Purpose Bldg. (Phase 1) in Brgy. Rizal, Javier, Leyte, ABC PHP2,499,134.05</t>
  </si>
  <si>
    <t>Senior Citizen Agri Supply Store Project</t>
  </si>
  <si>
    <t>Completion of Barangay Evacuation Center - Katipunan</t>
  </si>
  <si>
    <t>20DD0357 Local Program, Local Infrastructure Program, Buildings and Other Structures, Multipurpose/ Facilities, Construction and/or Repair/Rehabilitation of Multi-Purpose Building (Phase 2), Brgy. Ban</t>
  </si>
  <si>
    <t>20M00080-Repair/Maintenance of DPWH Building (former Utility Building), DPWH Region 12 Compound, Corner Alunan-Mabini Street, Koronadal City, South Cotabato</t>
  </si>
  <si>
    <t>SERVICES: Health and Accident Insurance for Barangay Peacekeeping Action Team (BPATs)</t>
  </si>
  <si>
    <t>Supply and Delivery of One (1) Unit Brand New 4 x 4 Pick-up</t>
  </si>
  <si>
    <t>20KK0130 - Repair and Rehabilitation of Multi-Purpose Building (Covered Court), Brgy. Panabol, Kinoguitan, Misamis Oriental</t>
  </si>
  <si>
    <t>Procurement of CCTV</t>
  </si>
  <si>
    <t>Supply of High Performance Liquid Chromatography (HPLC)</t>
  </si>
  <si>
    <t>2020-07_ITB - Proposed Pathwalk/Covered Drainage at Zone 4-A, Saint Claire, Concepcion Pequeña, Naga City</t>
  </si>
  <si>
    <t>20KK0129 - Construction of 3 STY 12 CL, Binitinan ES, Brgy. Binitinan, Balingasag, Misamis Oriental</t>
  </si>
  <si>
    <t>DRUGS &amp; MEDICINES - MHO (20-06-0946)</t>
  </si>
  <si>
    <t>20GKD0003: PURCHASE OF HOT ASPHALT 60/70 FOR MAINTENANCE SECTION, CDOC END DEO, MACABALAN, CAGAYAN DE ORO CITY</t>
  </si>
  <si>
    <t>Construction of Multi-Purpose Bldg. (Phase 1) in Brgy. Rizal II, Babatngon, Leyte, ABC PHP2,499,999.84</t>
  </si>
  <si>
    <t>Construction of a 2-Classroom School Building at Campin Elem. School in Mahaplag, Leyte, ABC PHP2,109,050.00</t>
  </si>
  <si>
    <t>Construction of Drainage</t>
  </si>
  <si>
    <t>20G00102 - Construction/Rehabilitation of Water Supply/Septage and Sewerage/Rain Water Collectors – Rainwater Collector in Public Facilities in Region VI – Ten (10) units at NEGROS OCCIDENTAL AREA</t>
  </si>
  <si>
    <t>MG-TSE20-009</t>
  </si>
  <si>
    <t>Q-098-20 PROCUREMENT OF HARDWARE AND CONSTRUCTION SUPPLIES</t>
  </si>
  <si>
    <t>SUPPLY AND DELIVERY OF LOT 10: 4,885 BAGS CERTIFIED PALAY SEEDS IN ROMBLON AND MARINDUQUE – SECOND POSTING</t>
  </si>
  <si>
    <t>Construction of a 2-Classroom School Building at Jones Elem. School in Pastrana, Leyte, ABC PHP2,111,096.82</t>
  </si>
  <si>
    <t>(Request for Quotation) Procurement of Laid Paper and Notepad for the Office of the Solicitor General</t>
  </si>
  <si>
    <t>MG-TSE20-034</t>
  </si>
  <si>
    <t>SUPPLY AND DELIVERY OF IT PARAPHERNALIA FOR REPAIR AND MAINTENANCE OF ICT EQUIPMENT</t>
  </si>
  <si>
    <t>Supply and Delivery of Office Equipment and Appliances, rebid</t>
  </si>
  <si>
    <t>SUPPLY AND DELIVERY OF ONE-UNIT 4X4 CUSTOMIZED UTILITY RESCUE VEHICLE WITH AMENITIES</t>
  </si>
  <si>
    <t>SUPPLY AND DELIVERY OF 2,016 HEADS READY TO LAY CHICKEN (PULLETS) IN OCCIDENTAL MINDORO - SECOND POSTING</t>
  </si>
  <si>
    <t>ITB-SUPPLY AND DELIVERY OF ONE (1) UNIT  BRAND NEW PASSENGER VAN</t>
  </si>
  <si>
    <t>Construction of Double Barrel Box Culvert in Brgy. Herrera, Calubian, Leyte, ABC PHP2,374,493.61</t>
  </si>
  <si>
    <t>SUPPLY AND DELIVERY OF LOT 7: 83 HEADS CARABAO (CARAHEIFER) - SECOND POSTING</t>
  </si>
  <si>
    <t>Construction of Multi-Purpose Bldg. (Phase 2) in Brgy. Uguis, Mahaplag, Leyte, ABC PHP2,403,455.26</t>
  </si>
  <si>
    <t>20AG0125-Construction of Modified Standard Two-Storey (4 Classrooms) School Building AT San Vicente ES,  Alaminos City, Pangasinan</t>
  </si>
  <si>
    <t>INVITATION TO BID FOR THE CONSTRUCTION OF MOTORPOOL PHASE-I</t>
  </si>
  <si>
    <t>Supply and Delivery of Materials for the Application of Traffic Lane Markings on Various Locations within Metro Manila</t>
  </si>
  <si>
    <t>ITB No. 2020-06-23 Provision of Security Services for DA-RFO 02 and its Research Centers and Experiment Stations and other Facilities</t>
  </si>
  <si>
    <t>SUPPLY AND DELIVERY OF VARIOUS INSECTICIDES IN ORIENTAL MINDORO, PALAWAN, ROMBLON &amp; MARINDUQUE PROVINCES</t>
  </si>
  <si>
    <t>Construction Multi-Purpose Bldg. at San Pedro Elem. School in Albuera, Leyte, ABC PHP2,071,838.60</t>
  </si>
  <si>
    <t>PURCHASE OF I.V. FLUIDS-JCH-20-0224-B</t>
  </si>
  <si>
    <t>Supply and Delivery of Thermoplastic Pavement Marking Materials for the Periodic Maintenance of Existing Truck Lanes and Motorcycle Lanes at Various Locations within Metro Manila</t>
  </si>
  <si>
    <t>Construction of Masonry Drainage, Along National Highway, Namabbalan Norte, Tuguegarao City, Cagayan</t>
  </si>
  <si>
    <t>PROCUREMENT OF INFORMATION AND COMMUNICATION TECHNOLOGY EQUIPMENT (ICT)</t>
  </si>
  <si>
    <t>Supply and Delivery of Materials for the In-House Installation of Traffic Signal Facilities as per Request of Various LGUs</t>
  </si>
  <si>
    <t>ITB 2020-GS-009B HFEP EQUIPMENT PACKAGE 2</t>
  </si>
  <si>
    <t>PURCHASE OF 1,150 CERTIFIED SEEDS (40 KGS/BAG)</t>
  </si>
  <si>
    <t>SUPPLY AND DELIVERY OF LOT 9: 467 HEADS UPGRADED GOATS - SECOND POSTING</t>
  </si>
  <si>
    <t>20BD0126 – CONSTRUCTION OF TWO (2) STOREY EIGHT (8) CLASSROOM, CAPATAN ELEMENTARY SCHOOL, TUGUEGARAO CITY, CAGAYAN</t>
  </si>
  <si>
    <t>MG-TSE20-015</t>
  </si>
  <si>
    <t>PURCHASE OF MEDICAL EQUIPMENT-JCH-20-0306-B</t>
  </si>
  <si>
    <t>Procurement of one (1) lot Blowing and Percussion Instruments for the use of MMDA Band – Public Affairs Office</t>
  </si>
  <si>
    <t>MG-TSE20-010</t>
  </si>
  <si>
    <t>MG-TSE20-019</t>
  </si>
  <si>
    <t>Repair of Multi-Purpose Center</t>
  </si>
  <si>
    <t>INSTALLATION OF 15KVA TRANSFORMER @ EVACUATION CENTER, SITIO CAYANGIAN, BRGY. TINGHUB, VILLABA, LEYTE</t>
  </si>
  <si>
    <t>SUPPLY AND DELIVERY OF LOT 4: 5,800 LITERS MICRONUTRIENT FOLIAR/SOIL FERTILIZER - SECOND POSTING</t>
  </si>
  <si>
    <t>Procurement of Reference Books and Instructional Materials for College of Engineering Library</t>
  </si>
  <si>
    <t>PROCUREMENT OF ONE (1) UNIT PATIENT TRANSPORT VEHICLE</t>
  </si>
  <si>
    <t>20CN0125 - Slope Protection along Nueva Ecija – Aurora Road, K0184+800 – K0184+880, K0184+980 – K0185+090</t>
  </si>
  <si>
    <t>IMPROVEMENT OF PIÑAHON ISLAND FACILITIES SIBUTAD, ZAMBOANGA DEL NORTE</t>
  </si>
  <si>
    <t>20CN0068 - Construction of Slope Protection Along A. Castañeda – Ma. Aurora San Luis Road, (K0211+175 – K0211+310), Aurora</t>
  </si>
  <si>
    <t>SUPPLY AND DELIVERY OF LOT 8: 379 HEADS SWINE (GILT) - SECOND POSTING</t>
  </si>
  <si>
    <t>20G00103 - Construction/Rehabilitation of Water Supply/Septage and Sewerage/Rain Water Collectors – Rainwater Collector in Public Facilities in Region VI – Nine (9) units at ILOILO AREA for Various Na</t>
  </si>
  <si>
    <t>Rehabilitation of Multi-Purpose Hall, Barangay Cometa</t>
  </si>
  <si>
    <t>INSTALLATION OF WATER LINE AND TWO(2) UNITS OUTDOOR LAVATORY AT PRK. 25 - BRGY. HEALTH CENTER &amp; DAY CARE CENTER IV</t>
  </si>
  <si>
    <t>Construction of Multi-Purpose Bldg. (Phase 2) in Brgy. Potot, Capoocan, Leyte, ABC PHP3,899,090.61</t>
  </si>
  <si>
    <t>CONSTRUCTION OF MULTI-PURPOSE HALL - PHASE II AT HINIGDAAN, EL SALVADOR CITY</t>
  </si>
  <si>
    <t>20AG0126-Construction of Modified Standard Two-Storey (4 Classrooms) School Building AT Centro Toma ES,  Bani, Pangasinan</t>
  </si>
  <si>
    <t>CONSTRUCTION OF ONE ROOM AT NARRA BARANGAY HEALTH CENTER, BRGY. NARRA, SAN MANUEL, PANGASINAN</t>
  </si>
  <si>
    <t>20CN0126 - Slope Protection along Nueva Ecija – Aurora Road, (K0190+740 – K0190+890), (K0191+211 – K0191+260)</t>
  </si>
  <si>
    <t>HO-EMA20-020 - Supply and Delivery of Vision Headlights</t>
  </si>
  <si>
    <t>20FF0101 - Construction  of Barangay Road, Barangay Pinit, Ocampo, Camarines Sur</t>
  </si>
  <si>
    <t>Construction of Multi-Purpose Bldg. with Slope Protection in Brgy. Lanoy, Kananga, Leyte, ABC PHP4,955,494.22</t>
  </si>
  <si>
    <t>CONCRETING OF MULTI-PURPOSE PAVEMENT</t>
  </si>
  <si>
    <t>REHAB./IMPROVEMENT OF ISOLATION ROOM, BRGY. BALITE, VILLABA, LEYTE - BRGY. FUND</t>
  </si>
  <si>
    <t>Purchase of Electrical Supplies for Sindangan Municipal Hall Annex Building</t>
  </si>
  <si>
    <t>SK ENHANCEMENT PROGRAM</t>
  </si>
  <si>
    <t>Procurement of Diesel Fuel-06-360(A)PGO</t>
  </si>
  <si>
    <t>SUPPLY AND DELIVERY OF ANIMAL FEEDS, DRUGS &amp; VITAMINS USE FOR ORGANIC SWINE FOR 3rd &amp; 4th QUARTER 2020</t>
  </si>
  <si>
    <t>20AG0127-Construction of Modified Standard Two-Storey (4 Classrooms) School Building AT Patar ES,  Bolinao, Pangasinan</t>
  </si>
  <si>
    <t>20JD0109 - Construction of 1 Unit Two Storey (8) Classrooms School Building Sicayab ES, Sicayab, Dapitan City, Zambaonga del Norte</t>
  </si>
  <si>
    <t>Procurement of Various Drugs and Medicines-06-097(Q)ZNCM</t>
  </si>
  <si>
    <t>Concreting of Road Infront of Municipal Hall</t>
  </si>
  <si>
    <t>20BD0128 – CONSTRUCTION OF TWO (2) STOREY SIX (6) CLASSROOM, LEMU ELEMENTARY SCHOOL, ENRILE, CAGAYAN</t>
  </si>
  <si>
    <t>MG-CEN20-020</t>
  </si>
  <si>
    <t>MG-CEN20-019</t>
  </si>
  <si>
    <t>SUPPLY AND DELIVERY OF 35 UNITS PUMPS &amp; ENGINE SETS WITH COMPLETE ACCESSORIES</t>
  </si>
  <si>
    <t>Construction of Multi-Purpose Bldg. (Phase 2) in Brgy. Mohon, Tabontabon, Leyte, ABC PHP2,056,768.58</t>
  </si>
  <si>
    <t>20BD0127 – CONSTRUCTION OF TWO (2) STOREY SIX (6) CLASSROOM, NAMABBALAN ELEMENTARY SCHOOL, TUGUEGARAO CITY</t>
  </si>
  <si>
    <t>SAPALAN RIP CY 2020 PACKAGE 7</t>
  </si>
  <si>
    <t>Procurement of Ammunition Packaging</t>
  </si>
  <si>
    <t>PURCHASE INDOOR CCTV</t>
  </si>
  <si>
    <t>20BD0131 – CONSTRUCTION OF TWO (2) STOREY SIX (6) CLASSROOM, AMULUNG NATIONAL HIGH SCHOOL, AMULUNG, CAGAYAN</t>
  </si>
  <si>
    <t>Construction of Flood and Erosion Control Structures Along River &amp; Waterways</t>
  </si>
  <si>
    <t>Supply and Delivery of Information Communication Technology (ICT) Equipments CY 2020</t>
  </si>
  <si>
    <t>ITB 2020-GS-009D HFEP EQUIPMENT PACKAGE 4</t>
  </si>
  <si>
    <t>Procurement of One Lot Network Firewall</t>
  </si>
  <si>
    <t>Construction of Perimeter Fence-Brgy. Lekep-Butao, San Fabian, Pangasinan</t>
  </si>
  <si>
    <t>20BD0130 – CONSTRUCTION OF TWO (2) STOREY SIX (6) CLASSROOM, DASSUN ELEMENTARY SCHOOL, SOLANA, CAGAYAN</t>
  </si>
  <si>
    <t>SUPPLY AND DELIVERY OF COCO PEAT FOR OFFICIAL USE OF MECHANIZED AND MODERNIZED FOREST NURSERY (MMFN) AT TRP, SAN JUAN DE VALDEZ, SAN JOSE, TARLAC</t>
  </si>
  <si>
    <t>MG-CEN20-024</t>
  </si>
  <si>
    <t>RENOVATION OF ROXAS AMUSEMENT CENTER PHASE I</t>
  </si>
  <si>
    <t>20AG0128-Construction of Modified Standard Two-Storey (4 Classrooms) School Building AT Sual Central School,  Sual, Pangasinan</t>
  </si>
  <si>
    <t>Procurement of Ten (10) units AED Plus Defibrillator with Complete set Accessories for the use of Road Emergency Group</t>
  </si>
  <si>
    <t>SUPPLY AND DELIVERY 1 (ONE) UNIT 35-44HP 4WD TRACTOR WITH IMPLEMENTS</t>
  </si>
  <si>
    <t>PR-2020-1393 Drugs &amp; Medicines-Fluids-PHO</t>
  </si>
  <si>
    <t>Construction of Access Road to Core Shelter Area in Brgy. Pinamonoan, Mahaplag, Leyte, ABC PHP1,695,126.59</t>
  </si>
  <si>
    <t>Construction of Flood Control Structure in Brgy. District III, Babatngon, Leyte, ABC PHP1,996,389.20</t>
  </si>
  <si>
    <t>MG-CMT20-014</t>
  </si>
  <si>
    <t>PURCHASE OF ONE (1) UNIT MUNICIPAL VEHICLE (Sports Utility Vehicle), Banate, Iloilo</t>
  </si>
  <si>
    <t>ITB 2020-GS-009C HFEP EQUIPMENT PACKAGE 3</t>
  </si>
  <si>
    <t>Construction Projects -Upgrading of Barangay Water System (Macalibre Alto)-MEO,Lopez Jaena</t>
  </si>
  <si>
    <t>20AB0121: REPAIR/ REHABILITATION OF SLOPE PROTECTION ALONG ILOCOS NORTE - APAYAO ROAD AT K0517+817 TO K0517+842</t>
  </si>
  <si>
    <t>20AG0131-Construction of Modified Standard Two-Storey (6 Classrooms) School Building AT Barlo Integrated School, Mabini, Pangasinan</t>
  </si>
  <si>
    <t>MG-ISD20-030</t>
  </si>
  <si>
    <t>THE SUPPLY AND DELIVERY OF ONE (1) UNIT ASIAN UTILITY VEHICLE (AUV) (RE-BID)</t>
  </si>
  <si>
    <t>CY 2020 Quick Response Fund /Rehabilitation of Classrooms (Cluster 3 – Masipit ES, Tawagan ES)</t>
  </si>
  <si>
    <t>MG-COM20-021</t>
  </si>
  <si>
    <t>Concreting of Pathwalk in Brgy. Calugtugan, Dagami, Leyte, ABC PHP1,888,784.09</t>
  </si>
  <si>
    <t>MG-CEN20-028</t>
  </si>
  <si>
    <t>Rehabilitation of Water System - Pagsangahan</t>
  </si>
  <si>
    <t>Construction of Climate Proof Multi-Purpose/Evacuation Center at Lugta, Laua-an, Antique</t>
  </si>
  <si>
    <t>20IE0097 -  REPAIR/MAINTENANCE OF DPWH BUILDING, MOTORPOOL/BODEGA, LEYTE III DISTRICT ENGINEERING OFFICE  Brgy. Suba, Villaba, Leyte</t>
  </si>
  <si>
    <t>PURCHASE OUTDOOR CCTV</t>
  </si>
  <si>
    <t>CONSTRUCTION OF ROAD IMPROVEMENT OF CM RECTO AND ESPAÑOLA AVE. WITH SOLAR LIGHT COMPONENT PHASE IV</t>
  </si>
  <si>
    <t>PR-2020-1130 Medical Supplies-PHO</t>
  </si>
  <si>
    <t>20AG0130-Construction of Modified Standard Two-Storey (6 Classrooms) School Building AT Magsaysay ES, Alaminos City, Pangasinan</t>
  </si>
  <si>
    <t>Construction of 2-Storey Multi-Purpose Bldg. in Brgy. Mabunga, Mahaplag, Leyte, ABC PHP1,889,118.96</t>
  </si>
  <si>
    <t>ITB 2020-GS-009E HFEP EQUIPMENT LINE ITEM 1</t>
  </si>
  <si>
    <t>20AG0129-Construction of Modified Standard Two-Storey (6 Classrooms) School Building AT Alaminos City Central School, Alaminos City, Pangasinan</t>
  </si>
  <si>
    <t>Rehabilitation of Water System - Balatohan</t>
  </si>
  <si>
    <t>20PC0001G SUPPLY &amp; DELIVERY OF MATERIALS FOR THE REPAINTING OF BRIDGES ALONG VARIOUS ROAD SECTION PUDTOL, LUNA, CALANASAN, STA. MARCELA &amp; FLORA, APAYAO</t>
  </si>
  <si>
    <t>Construction of Multi-Purpose Bldg. at Waterloo National High School in Matalom, Leyte, ABC PHP1,985,283.28</t>
  </si>
  <si>
    <t>Extension/Construction of SLR Covered Court as Evacuation Center</t>
  </si>
  <si>
    <t>20BD0129 – CONSTRUCTION OF TWO (2) STOREY SIX (6) CLASSROOM, ALIBAGO ELEMENTARY SCHOOL, ENRILE</t>
  </si>
  <si>
    <t>CY 2020 Quick Response Fund Repair/Rehabilitation of Classrooms (Cluster 4 – Suqui ES, Guinobatan ES &amp; N. Aboboto MS)</t>
  </si>
  <si>
    <t>20BD0132 – CONSTRUCTION OF TWO (2) STOREY SIX (6) CLASSROOM, MANAOAG ELEMENTARY SCHOOL, IGUIG</t>
  </si>
  <si>
    <t>Supply and Delivery of General Medicines for Municipal Health Office</t>
  </si>
  <si>
    <t>TALAYAN RIS EXTENSION PROJECT CY 2020</t>
  </si>
  <si>
    <t>Supply and Delivery of Misting Machine for Anti-Dengue(Brand New and Branded)</t>
  </si>
  <si>
    <t>INSTALLATION OF EMERGENCY EXIT DOOR / PANTRY AT AGUS 7 CONTROL ROOM</t>
  </si>
  <si>
    <t>MG-CEN20-023</t>
  </si>
  <si>
    <t>20IE0098 - REPAIR/MAINTENANCE OF DPWH BUILDING, MAINTENANCE SECTION BUILDING, LEYTE III DISTRICT ENGINEERING OFFICE Brgy. Suba, Villaba, Leyte</t>
  </si>
  <si>
    <t>Supply and Delivery of One (1) Unit Brand New 4x4 Pick-up</t>
  </si>
  <si>
    <t>PRINTER</t>
  </si>
  <si>
    <t>Purchase of Double Arm Steel Tapered Lamp Post for Rehabilitation/ Improvement of Center Island and Street Lights, San Teodoro, Bunawan, Agusan del Sur</t>
  </si>
  <si>
    <t>Acquisition of One (1) Unit 4x4 Brand New Rescue Vehicle - Rebid</t>
  </si>
  <si>
    <t>CONSTRUCTION OF MUNICIPAL DISASTER RISK AND MANAGEMENT OFFICE BUILDING</t>
  </si>
  <si>
    <t>ITB 2020-GS-009F HFEP EQUIPMENT LINE ITEM 2</t>
  </si>
  <si>
    <t>Improvement of Multi-Purpose Bldg. at Matlang National High School in Isabel, Leyte, ABC PHP1,253,752.35</t>
  </si>
  <si>
    <t>RIVER DREDGING, PUROK 4, LAYA WEST</t>
  </si>
  <si>
    <t>SUPPLY AND DELIVERY OF GENERATOR SET ( INC. MECHANICAL AND ELECTRICAL INSTALLATION) OF LGU-CATANAUAN, QUEZON</t>
  </si>
  <si>
    <t>Supply and Delivery of Maintenance Medicines for Municipal Health Office</t>
  </si>
  <si>
    <t>PROCUREMENT OF CATERING SERVICES FOR THE 4TH LEVEL TRAINING OF 2020 CENSUS OF POPULATION AND HOUSING (2020 CPH) IN CARAGA REGION-SECOND BIDDING</t>
  </si>
  <si>
    <t>Extension of Multi-Purpose Hall, Barangay 4</t>
  </si>
  <si>
    <t>Purchase of one (1) unit Multi-purpose vehicle</t>
  </si>
  <si>
    <t>SUPPLY OF FERTILIZER</t>
  </si>
  <si>
    <t>20AJ0105-Construction of Two (2) Storey Six (6) Classroom School Building, Balite Sur E/S, San Carlos City, Pangasinan</t>
  </si>
  <si>
    <t>Procurement of Reference Books and Instructional Materials for PUP Branches and Campuses</t>
  </si>
  <si>
    <t>Construction of Health Center in Brgy. Malbog, Tolosa, Leyte, ABC PHP1,003,799.13</t>
  </si>
  <si>
    <t>Construction of RHU Building</t>
  </si>
  <si>
    <t>(PVSO) 2ND INVITATION TO BID FOR THE SUPPLY AND DELIVERY OF VETERINARY MEDICAL SUPPLIES (VACUUM BLOOD COLLECTION TUBE, ETC.) FOR THE  PROVINCIAL VETERINARY SERVICES OFFICE--263,975.00</t>
  </si>
  <si>
    <t>SUPPLY AND DELIVERY OF HOUSEHOLD PLATES</t>
  </si>
  <si>
    <t>Supply and Delivery of One (1) Unit Brand New 4x2 SUV</t>
  </si>
  <si>
    <t>CONSTRUCTION OF BULLETIN BOARD AND SIGNAGES, BANATE, ILOILO</t>
  </si>
  <si>
    <t>Construction/Rehabilitation/Renovation of the Existing Capitol Building located at the Provincial Capitol Compound, Province of Laguna, Sta. Cruz, Laguna</t>
  </si>
  <si>
    <t>20IE0100 - REPAIR/MAINTENANCE OF DOJ BUILDING, HALL OF JUSTICE, VILLABA TRIAL COURT, Brgy. Poblacion del Sur, Villaba, Leyte</t>
  </si>
  <si>
    <t>Construction of Two-Storey Four Classroom School Building (Phase 1)</t>
  </si>
  <si>
    <t>20FE0127 – CONSTRUCTION OF CLASSROOMS, SAN JUAN NATIONAL HIGH SCHOOL, LIBMANAN, CAMARINES SUR</t>
  </si>
  <si>
    <t>Improvement of MPP Training Center cum mess Hall to be used for isolation facility during Pandemic</t>
  </si>
  <si>
    <t>Procurement of CONSULTING SERVICES</t>
  </si>
  <si>
    <t>20IE0099 - REPAIR/MAINTENANCE OF DAR BUILDING SAN ISIDRO AGRARIAN REFORM OFFICE BUILDING San Isidro, Leyte</t>
  </si>
  <si>
    <t>Procurement of  Volt Meter Data Logger</t>
  </si>
  <si>
    <t>Public Bidding for Engagement of Mailing Service for PRO IVA for CY 2020</t>
  </si>
  <si>
    <t>20IE0103 - REPAIR/MAINTENANCE OF DOJ BUILDING HALL OF JUSTICE Brgy. Veloso, Calubian, Leyte</t>
  </si>
  <si>
    <t>URBAN GREENING/LANDSCAPING BRGY SAN ISIDRO, BILIRAN, BILIRAN</t>
  </si>
  <si>
    <t>Rehabilitation/ Improvement of Two (2) Storey 8 Classroom Academic Bldg. (Phase II) LSPU Siniloan Campus, Siniloan, Laguna</t>
  </si>
  <si>
    <t>Supply and Delivery of Inorganic Fertilizer</t>
  </si>
  <si>
    <t>REHAB OF BREAK WATER/SEAWALL BRGY SAN ROQUE, BILIRAN, BILIRAN</t>
  </si>
  <si>
    <t>Procurement and Installation/fabrication of Digital / Analog Repeater, Portable Handheld Radios, Base Station, Monopole Mast Tower, Lightning Arrrester Equipment and Concrete Communication Shelter</t>
  </si>
  <si>
    <t>Contract for the Improvement of Water System, Barangay Bobongon, Santo Tomas</t>
  </si>
  <si>
    <t>CONSTRUCTION/DEVELOPMENT OF SANITARY LANDFILL   Barangay Tubaran, Tubod, Lanao del Norte</t>
  </si>
  <si>
    <t>Purchase of Electrical Fixtures and Accessories</t>
  </si>
  <si>
    <t>CONSTRUCTION OF MULTI-PURPOSE HALL AT PEDRO SA BACULIO, EL SALVADOR CITY</t>
  </si>
  <si>
    <t>20FE0128 – CONSTRUCTION OF CLASSROOMS, MANTALISAY ES, LIBMANAN, CAMARINES SUR</t>
  </si>
  <si>
    <t>MG-IPP20-007</t>
  </si>
  <si>
    <t>IMPROVEMENT OF COLONG MULTI-PURPOSE HALL (BUILDING 2)</t>
  </si>
  <si>
    <t>INVITATION TO BID for the Purchase of Seven (7) Units Vending Machine for OneStore Project</t>
  </si>
  <si>
    <t>ROAD CONCRETING (LOCAL ACCESS ROAD FROM BARANGAY TABUNAN TO BARANGAY BAGACAY)</t>
  </si>
  <si>
    <t>PR 6.031  ITB TPB 2020-029 Janitorial Services for 6 months</t>
  </si>
  <si>
    <t>Procurement of Moving Services</t>
  </si>
  <si>
    <t>Procurement of Trucking Services for the Intra-Regional Transfer of Grains of NFA Region XI for the Year 2020</t>
  </si>
  <si>
    <t>Supply and Delivery of Information Education Campaign (IEC) Materials, Manuals, and Administrative Forms for the 2020 Census of Population and Housing (2020 CPH) of PSA Region 7 - Reposting</t>
  </si>
  <si>
    <t>Supply and Delivery of Waterbath</t>
  </si>
  <si>
    <t>Extension of Pan aw - Ballay FMR</t>
  </si>
  <si>
    <t>ITB No. GOP/20-DSWD-040 - PROVISION OF MULTI-YEAR CONTRACT FOR  SUBSCRIPTION TO A WATER TESTING AND ANALYSIS FOR THE WATER SUPPLY OF DSWD-CENTRAL OFFICE FOR CY 2020-2022</t>
  </si>
  <si>
    <t>PROPOSED BRGY. SUNG-AN &amp; BRGY. SAN JOSE ECO-PARK DEVELOPMENT (PHASE 1)</t>
  </si>
  <si>
    <t>Supply and Delivery of Farm Supplies and Equipment</t>
  </si>
  <si>
    <t>Repair and Rehabilitation of the Hall of Justice Building in Villaba, Leyte, ABC PHP1,278,839.87</t>
  </si>
  <si>
    <t>Construction Supervision and Management Consultancy Services for the Two (2) Storey Office Building With Records Room and Warehouse Located RGC Compound, Carig Sur, Tuguegarao City</t>
  </si>
  <si>
    <t>PURCHASE AND DELIVERY OF CASSAVA GRATER AND DRESSER</t>
  </si>
  <si>
    <t>Renovation of University Students Services Office</t>
  </si>
  <si>
    <t>Procurement of Various Swimming Pool Supplies</t>
  </si>
  <si>
    <t>Supply and Delivery of Incubator</t>
  </si>
  <si>
    <t>20IE0104 - REPAIR/MAINTENANCE OF TABANGO FLOOD CONTROL Brgy. Poblacion, Tabango, Leyte</t>
  </si>
  <si>
    <t>(PEO) 2ND INVITATION TO BID FOR THE SUPPLY AND DELIVERY OF CONSTRUCTION MATERIALS    FOR THE  PROVINCIAL ENGINEERING OFFICE (PEO)</t>
  </si>
  <si>
    <t>20PC0060 CONCRETING OF BRGY. CADACLAN FMR, CADACLAN, CALANASAN, APAYAO</t>
  </si>
  <si>
    <t>Supply and Delivery of Agricultural Fishery Machineries and Equipment</t>
  </si>
  <si>
    <t>Construction and/or Repair/Rehabilitation of Multi Purpose Building, Brgy. Gonzales Poblacion, Pakil, Laguna</t>
  </si>
  <si>
    <t>20IE0102 - REHABILITATION/IMPROVEMENT ALONG CABUNGAAN-TABUNOK-CONSUEGRA ROAD K1028+465-K1030+047; TABANGO-CATMON-LA FORTUNA-MANLAWAAN-GIMARCO ROAD K1038+810-K1040+783; CALUBIAN-SAN ISIDRO-TABANGO-VILL</t>
  </si>
  <si>
    <t>Supply and Delivery of Various Furniture and Fixtures for PRO IVA</t>
  </si>
  <si>
    <t>RFQ2020-06-037_SUPPLY &amp; DELIVERY OF TWENTY-FIVE (25) PAILS CALCIUM HYPOCHLORITE GRANULES (45KGS. /PAIL, 70% CHLORINE CONTENT) FOR WATER TREATMENT USE</t>
  </si>
  <si>
    <t>Supply &amp; Delivery of Ten (10) Heads Pregnant Holstein X Jersey Heifers Crosses (50:50)</t>
  </si>
  <si>
    <t>CONSTRUCTION OF THREE (3) – UNITS FARMER CENTERS AT BRGY. MERCED, BRGY.CARMELO &amp; BRGY.LIBERTAD, BANATE, ILOILO</t>
  </si>
  <si>
    <t>IB No. 2006-323 Proc. of Infra [Fabrication and Installation of City Traffic Signage with Post (400 units)]</t>
  </si>
  <si>
    <t>Supply and Delivery of Heating Mantle</t>
  </si>
  <si>
    <t>Contract ID Number 20FD0069 CONSTRUCTION OF WATER SYSTEM LEVEL II, BRGY. ALDEZAR, SIPOCOT, CAMARINES SUR</t>
  </si>
  <si>
    <t>Office Improvement (Installation of Three (3) units Floor Mounted Aircondition System</t>
  </si>
  <si>
    <t>Concreting/ Improvement of Yati-Tayud Road Section, Liloan, Cebu</t>
  </si>
  <si>
    <t>TRANSFORMER OIL</t>
  </si>
  <si>
    <t>FOD-R-20-2128 (R1): Procurement of 20 units of Laptop</t>
  </si>
  <si>
    <t>Concreting/ Improvement of Guiwang-Cabalongan Road Section, Alcoy, Cebu</t>
  </si>
  <si>
    <t>Concreting/ Improvement of San Isidro-Ilaya-Cabatbatan Road Section, San Fernando, Cebu</t>
  </si>
  <si>
    <t>Concreting/ Improvement of Panadtaran-Tongo Road Section, San Fernando, Cebu</t>
  </si>
  <si>
    <t>Dredging of Creek</t>
  </si>
  <si>
    <t>Construction of Camiguin Gymnasium, Poblacion, Mambajao, Camiguin</t>
  </si>
  <si>
    <t>SUPPLY AND DELIVERYSUPPLY AND DELIVERY OF CROSSBRED/PUREBRED BUFFALOES  (40 HEADS)</t>
  </si>
  <si>
    <t>PURCHASE AND DELIVERY OF WATER PIPES</t>
  </si>
  <si>
    <t>Local Access Road-Road Upgrading (Concrete Paving of Barangay Amontay FMR)</t>
  </si>
  <si>
    <t>PROCUREMENT OF ELECTRICAL/PLUMBING/CARPENTRY/PAINTING SUPPLIES ITB No. 2020-14</t>
  </si>
  <si>
    <t>SUPPLY AND DELIVERY OF CROSSBRED/PUREBRED BUFFALOES  (82 HEADS) REBID PCC-CSU</t>
  </si>
  <si>
    <t>Concreting of Tagaytay Barangay Road</t>
  </si>
  <si>
    <t>PROCUREMENT OF HYGIENE KIT AND OTHER FOR KINDER LEARNER OF AGUTAYA</t>
  </si>
  <si>
    <t>370	pcs.	11 W, LED lamp, day light, etc. PR # 292-20</t>
  </si>
  <si>
    <t>PRN 006-MODULE NANAY TEACHER-LSB-GOODS-2020</t>
  </si>
  <si>
    <t>Concreting/ Improvement of Sangat-Lantawan Road Section, San Fernando, Cebu</t>
  </si>
  <si>
    <t>8	pcs.	2" x 6" x 12' G.melina, etc. PR # 398-20</t>
  </si>
  <si>
    <t>PURCHASE OF ONE UNIT VEHICLE (AMBULANCE) FOR MUNICIPAL HEALTH OFFICE USE</t>
  </si>
  <si>
    <t>IMPROVEMENT ALONG DINAMILI - TAKITAK - MOGAO FARM TO MARKET ROAD</t>
  </si>
  <si>
    <t>IMPROVEMENT  ALONG MINAC - BATOAN FARM TO MARKET ROAD</t>
  </si>
  <si>
    <t>IMPROVEMENT ALONG MINAC - PADAGAN FARM TO MARKET ROAD</t>
  </si>
  <si>
    <t>Supply and Delivery of Distillation Set-up</t>
  </si>
  <si>
    <t>IMPROVEMENT ALONG BALANGABANG - LUHONG - PEGLEYTO FARM TO MARKET ROAD</t>
  </si>
  <si>
    <t>IMPROVEMENT OF MUNICIPAL MATERIALS RECOVERY FACILITY POTABLE WATER SYSTEM</t>
  </si>
  <si>
    <t>IMPROVEMENT ALONG HIPITAN - BALLAY PROPER FARM TO MARKET ROAD</t>
  </si>
  <si>
    <t>CONSULTANCY SERVICES FOR THE CONDUCT OF FEASIBILITY STUDY, PLANNING AND STRUCTURAL DESIGN FOR THE CONSTRUCTION OF GABION DAM IN MOGPOG RIVER, BRGY. BOCBOC MARINDUQUE</t>
  </si>
  <si>
    <t>IMPROVEMENT OF ADAOAY PROPER POTABLE WATER SYSTEM</t>
  </si>
  <si>
    <t>IMPROVEMENT OF BATENGAN - APONAN FOOTPATH</t>
  </si>
  <si>
    <t>IMPROVEMENT OF TAWANGAN DAY CARE CENTER GROUNDS</t>
  </si>
  <si>
    <t>IMPROVEMENT OF PACSO BARANGAY HEALTH STATION</t>
  </si>
  <si>
    <t>Supply, Delivery and Installation of Furniture and Fixtures for Workstation of OVPRE-PCAARRD-IP-TBM SUSTAIN Project</t>
  </si>
  <si>
    <t>IMPROVEMENT OF TINALEB ELEMENTARY SCHOOL GROUNDS</t>
  </si>
  <si>
    <t>Supply of Labor, Equipment and Restoration Materials for the Installation, Testing and Commissioning of 300mm Dia. And 150mm Dia. Transmission Line Along Main Avenue, San Gabriel, Tuguegarao City Phas</t>
  </si>
  <si>
    <t>IMPROVEMENT OF BESANG FARM TO MARKET ROAD</t>
  </si>
  <si>
    <t>RIPRAPPING OF SLOPE PROTECTION</t>
  </si>
  <si>
    <t>IMPROVEMENT ALONG DINAMILI - TINALEB - ALTA FARM TO MARKET ROAD (TINALEB-ALTA SECTION)</t>
  </si>
  <si>
    <t>UPLB-RQ-6-131-20-RES SUPPLY AND DELIVERY OF INFORMATION TECHNOLOGY FOR BIOTECH</t>
  </si>
  <si>
    <t>IMPROVEMENT OF TAWANGAN PROPER - BALAT FARM TO MARKET ROAD</t>
  </si>
  <si>
    <t>PROPOSED MATERIAL RECOVERY FACILITY (MRF)</t>
  </si>
  <si>
    <t>IMPROVEMENT ALONG TENEBTEB FARM TO MARKET ROAD, PHASE II</t>
  </si>
  <si>
    <t>IMPROVEMENT ALONG DANAS - IDIAN FARM TO MARKET ROAD</t>
  </si>
  <si>
    <t>20GFC0016: Purchase of Lakbay Alalay Uniform PPE for DPWH Budgetary Personnel, DPWH-CNDEO Maintenance Section</t>
  </si>
  <si>
    <t>IMPROVEMENT ALONG SADOL - APONAN FARM TO MARKET ROAD</t>
  </si>
  <si>
    <t>20GFC0020: Purchase of Office Supplies, DPWH-CNDEO Maintenance Section</t>
  </si>
  <si>
    <t>CONSTRUCTION OF SADENGSENGAN - SAWAY FARM TO MARKET ROAD, PHASE II</t>
  </si>
  <si>
    <t>IMPROVEMENT OF BANENGBENG FMR</t>
  </si>
  <si>
    <t>20GFC0019: Purchase of Brush Cutter, Blade, Piles and Accessories, DPWH-CNDEO Maintenance Section</t>
  </si>
  <si>
    <t>HFW: 1 LOT  FURNITURE AND FIXTURE FOR THE USE OF HOME FOR WOMEN.</t>
  </si>
  <si>
    <t>CONSTRUCTION OF MULTI-PURPOSE BUILDING (GEN SET HOUSING - PHASE I)(BRGY NORTH POBLACION)</t>
  </si>
  <si>
    <t>IMPROVEMENT OF UJOSAN FARM TO MARKET ROAD</t>
  </si>
  <si>
    <t>Contract ID No. 20NC0131 - Repair/Rehabilitation of Concrete Pavement (Reblocking of Pumping and Depression) along Daang Maharlika (Agusan – Davao Road)(See attached Station Limits)</t>
  </si>
  <si>
    <t>Procurement of Supply, Delivery, Installation, Testing, Applications Training and Commissioning of Various Medical Equipment (Batch 3)</t>
  </si>
  <si>
    <t>Supply, Delivery &amp; Installation of Generator Set</t>
  </si>
  <si>
    <t>IMPROVEMENT OF LOWER BESOCOL FARM TO MARKET ROAD</t>
  </si>
  <si>
    <t>MES-Education Materials And Supplies/Basic Services</t>
  </si>
  <si>
    <t>Contract ID No. 20NC0132 - Rehabilitation of Santa Josefa Public Memorial Park, Sta. Josefa, Agusan del Sur</t>
  </si>
  <si>
    <t>FILLING CABINET</t>
  </si>
  <si>
    <t>20GFC0017: Purchase of Cold Mix Asphalt Materials, DPWH – CNDEO Maintenance Section</t>
  </si>
  <si>
    <t>20GIE0011 -  Supply and Delivery of Wire and Accessories for 150KVA Generator, Supply and Procurement of Materials Only. DPWH, Leyte Third District Engineering Office, Villaba, Leyte</t>
  </si>
  <si>
    <t>20GFC0018: Purchase of Paint for the Repainting of Bridges and Guardrails, DPWH-CNDEO Maintenance Section</t>
  </si>
  <si>
    <t>CONCRETING OF ACCESS ROAD (BRGY STA ELENA)</t>
  </si>
  <si>
    <t>Foods</t>
  </si>
  <si>
    <t>PRN 052-WORKTEXT 2020-LSB-GOODS-2020</t>
  </si>
  <si>
    <t>IMPROVEMENT OF BASHOY - NANBUSHUSAN FARM TO MARKET ROAD</t>
  </si>
  <si>
    <t>ROAD CONCRETING AT BARANGAY MAKAPILAPIL</t>
  </si>
  <si>
    <t>Construction of Apartment Type Tomb, Barangay 5</t>
  </si>
  <si>
    <t>Supply &amp; Delivery of various Medicine, Medical, Dental &amp; Laboratory  Supplies for RHU-I,  RHU-II and PGH, LGU-Paniqui, Tarlac</t>
  </si>
  <si>
    <t>SUPPLY, INSTALLATION AND COMMISSIONING OF MATERIALS, EQUIPMENT, PUMPING UNIT AND DISCHARGE LINE FOR CUTUD PUMPING STATION, BARANGAY CUTUD, ANGELES CITY</t>
  </si>
  <si>
    <t>IMPROVEMENT OF TAAW FARM TO MARKET ROAD</t>
  </si>
  <si>
    <t>REPAIR IMPROVEMENT OF MULTI-PURPOSED BUILDING</t>
  </si>
  <si>
    <t>Supply and Delivery of Two (2) Units Emergency Transport Vehicle to be used in the Office of the Municipal Mayor (satellite office in Aurora), Naujan, Oriental Mindoro</t>
  </si>
  <si>
    <t>Procurement of Construction Materials  for the  Concreting of  Pathway</t>
  </si>
  <si>
    <t>Supply, Printing and Delivery of PERRC</t>
  </si>
  <si>
    <t>Proposed Construction of Level 1 Potable Water Supply System  (2nd Publication)</t>
  </si>
  <si>
    <t>Computer Set</t>
  </si>
  <si>
    <t>CONSTRUCTION OF DRAINAGE CANAL AT SITIO CHALEKONG</t>
  </si>
  <si>
    <t>Supply, Delivery and Installation of Brand New Repeater Radio Equipment and Accessories for the Enhancement of Communication System of CDRRMO</t>
  </si>
  <si>
    <t>CONSTRUCTION OF PUBLIC MARKET BASEMENT ACCESS ROAD</t>
  </si>
  <si>
    <t>Contract ID No.: 20OE0202 - Completion of Four (4) Storey Eight (8) Classroom School Building at Andres Bonifacio Elementary School (Based on 2017 Plan, Revised 3-24-17)</t>
  </si>
  <si>
    <t>CONSTRUCTION OF TAWANGAN PROPER - SPRING CONCRETE CANAL</t>
  </si>
  <si>
    <t>CONSTRUCTION OF ASO-PAC ELEMENTARY SCHOOL ANNEX ACCESS ROAD</t>
  </si>
  <si>
    <t>IMPROVEMENT ALONG BESANG - PACSO ACCESS ROAD</t>
  </si>
  <si>
    <t>CONSTRUCTION OF PACSO PROPER - DAKET ACCESS ROAD</t>
  </si>
  <si>
    <t>Contract ID No.: 20OE0203 - Construction of Four (4) Storey Twelve (12) Classroom School Building at P. Guevarra Elementary School, Manila City (Based on 2017 Plan, Revised 3-24-17)</t>
  </si>
  <si>
    <t>CONTRUCTIONOF BEKES - BARAO - TOJAKAP- BODAKI ACCESS ROAD</t>
  </si>
  <si>
    <t>20GO0102 - 71X-SPECIAL MAINTENANCE (INSTALLATION OF ROAD SAFETY FACILITIES ALONG BACOLOD CITY NATIONAL ROADS), BACOLOD CITY</t>
  </si>
  <si>
    <t>IPH-20-0166-B - PURCHASE OF MEDICAL OXYGEN</t>
  </si>
  <si>
    <t>Invitation to Bid for Procurement of Microwave Digestion System 968f-REFERENCE # 2020-06-03</t>
  </si>
  <si>
    <t>Procurement of School Furniture’s and Fixtures for the identified Schools of the Division Office of Pagadian City</t>
  </si>
  <si>
    <t>Construction of Community Health Care Center (Phase 1)</t>
  </si>
  <si>
    <t>COMPLETION OF EVACUATION CENTER</t>
  </si>
  <si>
    <t>CONSTRUCTION OF DRAINAGE CANAL AT SITIO ASOKONG</t>
  </si>
  <si>
    <t>CONSTRUCTION OF SOLAR DRYER</t>
  </si>
  <si>
    <t>(PT &amp; KMH) INVITATION TO BID FOR THE SUPPLY &amp; DELIVERY OF DESKTOP COMPUTERS, LAPTOP, ETC. FOR THE  PROVINCIAL TREASURY &amp; KASIBU MUNICIPAL HOSPITAL--290,000.00</t>
  </si>
  <si>
    <t>Supply and Delivery of Multi-Purpose Truck</t>
  </si>
  <si>
    <t>CONSTRUCTION OF HANDRAILS AT CHALEKONG</t>
  </si>
  <si>
    <t>(PVSO) INVITATION TO BID FOR THE SUPPLY AND DELIVERY OF RABIES VACCINE,  HOG CHOLERA VACCINE, ETC.) FOR THE  PROVINCIAL VETERINARY SERVICES OFFICE--262,545.00</t>
  </si>
  <si>
    <t>1ST POSTING MEDICAL AND DENTAL PROJECT WINS SUPPLIES</t>
  </si>
  <si>
    <t>100-2020-06-766 Supply and delivery of carburandum size 1x2x8inches,etc</t>
  </si>
  <si>
    <t>Contract ID No.: 20OE0206 - Construction of Four (4) Storey Twenty (20) Classroom School Building at Francisco Balagtas Elementary School (Based on 2018 Plan)</t>
  </si>
  <si>
    <t>100-2020-06-779 Supply and delivery of diesel</t>
  </si>
  <si>
    <t>100-2020-06-783 Supply and delivery of gasoline and diesel</t>
  </si>
  <si>
    <t>1ST internet connection</t>
  </si>
  <si>
    <t>TUGUEGARAO AIRPORT DEVELOPMENT PROJECT (Expansion of Apron)</t>
  </si>
  <si>
    <t>1ST IMPROVEMENT OF HANDWASHING AREA</t>
  </si>
  <si>
    <t>Contract ID No.: 20OE0204 - Construction of Four (4) Storey Twelve (12) Classroom School Building at Laon Laan  Elementary School  (Based on 2017 Plan, Revised 3-24-17)</t>
  </si>
  <si>
    <t>ROUTE SURVEY ON LOT TRAVERSED FROM CABUDWAN TO HINUGTAN ROAD</t>
  </si>
  <si>
    <t>Establishment of Sari-sari Store and General Merchandising</t>
  </si>
  <si>
    <t>Upgrading &amp; Modernization Thru Automation of Kapingkong Dam (Electrical &amp; Mechanical Aspects), Package #14 for the Rehabilitation and Improvement of Lambayong River Irrigation System</t>
  </si>
  <si>
    <t>PURCHASE OF BRAND NEW AMBULANCE</t>
  </si>
  <si>
    <t>HFW: 1 LOT PERSONAL EFFECTS	 FOR THE CLIENT AT HOME FOR WOMEN 2nd SEMESTER 2020.</t>
  </si>
  <si>
    <t>CONSTRUCTION OF MULTI-PURPOSE CENTER(San Antonio ES, Brgy. San Antonio, Barbaza, Antique)/IB. NO. K-2020-064(SC)</t>
  </si>
  <si>
    <t>Supply and Delivery of Labor and Materials, and Provision of Service for the Renovation of the DTI-CITE 2020</t>
  </si>
  <si>
    <t>Retrofitting of GHQ Building (5th Rebidding)</t>
  </si>
  <si>
    <t>1ST POSTING OF SUPPLIES AND MATERIALS FOR MODULE REPRODUCTION</t>
  </si>
  <si>
    <t>100-2020-06-738 Supply and delivery of gasoline and diesel</t>
  </si>
  <si>
    <t>Supply and Delivery of Water Meters</t>
  </si>
  <si>
    <t>Supply &amp; Delivery of Materials for the Improvement of Multi Purpose Building</t>
  </si>
  <si>
    <t>Supply &amp; Delivery of Materials for the Installation of Streetlight (SAN DIONISIO)</t>
  </si>
  <si>
    <t>HFW : 1 LOT  VEGETABLE SUPPLIES  FOR THE CONSUMPTION OF HFW CLIENT FOR 2nd SEMESTER OF 2020</t>
  </si>
  <si>
    <t>Construction of Multi-Purpose Drying Pavement</t>
  </si>
  <si>
    <t>Proposed Drainage and Pathway</t>
  </si>
  <si>
    <t>Procurement of Various Office Supplies, DSW-PR-742</t>
  </si>
  <si>
    <t>Procurement of Various Printed Materials, DSW-PR 690</t>
  </si>
  <si>
    <t>CONCRETING OF BARANGAY ROAD PHASE 2</t>
  </si>
  <si>
    <t>(20CSNH05) Consulting Services for the Conduct of Soil Explor. &amp;/Or Geotech'l Investigation in Prep. of the Prelim. &amp; Det. Eng'g of Prop. Various FY 2021 Reg Infra Projects(Package 3)Madrid,Tandag,Tag</t>
  </si>
  <si>
    <t xml:space="preserve">(20CSNH04) Consulting Services for the Conduct of Soil Exploration &amp;/Or Geotech'l Invest'n in Prep. of the Prelim &amp; Det. Eng'g of Prop. Various FY 2021 Reg. Infras. Proj. (Package 2)Tago, Surigao del </t>
  </si>
  <si>
    <t>20F00107 - Local Program – National Roads and Bridges – National Roads – Local Infrastructure Program – Rehabilitation/Reconstruction of National Roads with Slips, Slope Collapsed and Landslide Andaya</t>
  </si>
  <si>
    <t>Purchase of 4x4 Service Vehicle for Monitoring of GAD Programs and Services</t>
  </si>
  <si>
    <t>Invitation to Bid Construction of Multi-Purpose Building</t>
  </si>
  <si>
    <t>For the installation of 50 kva transfromer</t>
  </si>
  <si>
    <t>PROCUREMENT OF MOTOR VEHICLES</t>
  </si>
  <si>
    <t>Emergency Purchase in response to covid19 dswd Office 31A</t>
  </si>
  <si>
    <t>Emergency Purchase o in response to covid19 dswd Office 30A</t>
  </si>
  <si>
    <t>Supply/Delivery of One (1) Unit Police Patrol Car (20-06-0617)</t>
  </si>
  <si>
    <t>Emergency Purchase in resp to covid19 mayor's off</t>
  </si>
  <si>
    <t>Repair and Improvement of Rockefeller #4 &amp; #5 at PhilRice Central Experiment Station (PB Infra 20-02-03)</t>
  </si>
  <si>
    <t>20GK0223 - Repair/Maintenance of Flood Control System at Sangay Bridge, Silay Lantawan Road, S00028NR, K0032+339</t>
  </si>
  <si>
    <t>Supply and Installation of Public Address System</t>
  </si>
  <si>
    <t>Construction of Seawall</t>
  </si>
  <si>
    <t>Contract ID: 20- 06 - 086- PROCUREMENT OF MOTOR PARTS VEHICLE &amp; ACCSSORIES AND FUEL, OIL &amp; LUBRICANTS</t>
  </si>
  <si>
    <t>Disaster Response and Rescue Equipment for Emergency Response Operations of the Provincial Disaster Risk Reduction Management Office (PDRRMO)</t>
  </si>
  <si>
    <t>20GK0222 - Repair/Maintenance of Flood Control and Drainage Structures of Umapog River along Bacolod North Road, Cadiz City, Negros Occidental, K0058+279 - K0058+304</t>
  </si>
  <si>
    <t>Contract ID: 20- 06 - 087 - PROCUREMENT OF LABORATORY SUPPLIES</t>
  </si>
  <si>
    <t>Emergency Purchase o in response to covid19 RHU Office 28A</t>
  </si>
  <si>
    <t>1 lot  Project Billboard - Construction of City Health Office Phase III (06-0631) CMO</t>
  </si>
  <si>
    <t>Emergency Purchase o in response to covid19 RHU Office</t>
  </si>
  <si>
    <t>Supply and Delivery of Garbage Truck for various Barangays of San Pablo City.</t>
  </si>
  <si>
    <t>PURCHASE OF ECG MACHINE</t>
  </si>
  <si>
    <t>CONSTRUCTION OF RIVERBANK STABILIZATION-REVETMENT, Valladolid, Loboc, Bohol</t>
  </si>
  <si>
    <t>CONSTRUCTION OF SEWAGE TREATMENT PLANT (EL NIDO COMMUNITY HOSPITAL, EL NIDO, PALAWAN)</t>
  </si>
  <si>
    <t>Construction of 13.8KV Underground Cabling System including SUpply and Installation of Metal Clad Switching Panels (Outdoor Type) Stage1</t>
  </si>
  <si>
    <t>CONSTRUCTION OF SEWAGE TREATMENT PLANT (BATARAZA DISTRICT HOSPITAL BATARZA, PALAWAN)</t>
  </si>
  <si>
    <t>Proposed repair/rehabilitation of road including construction of drainage at Brgy. San Gabriel, San Pablo City.</t>
  </si>
  <si>
    <t>20GN0091-Repair/Maintenance of DPWH Building, DPWH Field Office Laboratory &amp; Living Quarters Buildings at Brgy. Lag-asan, Bago City, Negros Occidental</t>
  </si>
  <si>
    <t>PB-PROCUREMENT OF ENT EQUIPMENT &amp; INSTRUMENTS ITB No. 2020-12</t>
  </si>
  <si>
    <t>PB-PROCUREMENT OF ONE (1) UNIT 2D-ECHO MACHINE ITB No. 2020-11</t>
  </si>
  <si>
    <t>Provision of Security Services for Technical Education and Skills Development Authority-XI (TESDA XI)</t>
  </si>
  <si>
    <t>INSTALLATION OF TRANSFORMER WITH METERING ACCESSORIES AND MAIN CABLE AT CUYO DISTRICT HOSPITAL (MUNICIPALITY OF CUYO, PALAWAN)</t>
  </si>
  <si>
    <t>CONSTRUCTION OF PERIMETER FENCE IN QUEZON MEDICARE HOSPITAL (MUNICIPALITY OF QUEZON, PALAWAN)</t>
  </si>
  <si>
    <t>CONSTRUCTION OF SEWAGE TREATMENT PLANT (NARRA MUNICIPAL HOSPITAL, NARRA, PALAWAN)</t>
  </si>
  <si>
    <t>PEST CONTROL OUTSOURCING SERVICE</t>
  </si>
  <si>
    <t>Phase VI Procurement of ICT Hardware and Equipment for Enhancement of Information and Communication Technology Information and Communication Technology Infrastructure in the Freeport Area of Bataan (F</t>
  </si>
  <si>
    <t>CONSTRUCTION/REHABILITATION/IMPROVEMENT OF MABINI COVERED COURT (PHASE 3) AT POBLACION, MABINI, BATANGAS</t>
  </si>
  <si>
    <t>Purchase of One (1) Unit Brand New Garbage Compactor</t>
  </si>
  <si>
    <t>installation of 15 units streetlights at zone 2-4</t>
  </si>
  <si>
    <t>Supply and Delivery of Air Release Valves, Butterfly and Gate Valves Requirement of the SMWD for CY 2020</t>
  </si>
  <si>
    <t>Acquisition of Municipal Equipment for Engineering Office (other Machinery and Equipment)</t>
  </si>
  <si>
    <t>PROCUREMENT OF 3 UNITS OF ELECTRICAL DISTRIBUTION TRANSFORMER, 100 KVA</t>
  </si>
  <si>
    <t>Supply and Delivery of Construction Materials for the Rehabilitation of CAPT SUAREZ Pier</t>
  </si>
  <si>
    <t>CONSTRUCTION OF POTABLE WATER SYSTEM, (Sitio Melody, Sitio Payo-Payo, Sitio Katipunan and Sitio Botong), SAN ANTONIO, LIBJO</t>
  </si>
  <si>
    <t>CONSTRUCTION OF POTABLE WATER SYSTEM, SERING, BASILISA</t>
  </si>
  <si>
    <t>CLUSTER 1, 2, 3 and 4 - TEMPORARY LEARNING SPACE</t>
  </si>
  <si>
    <t>Supply and Delivery of Cast Iron (CI) and Ductile Iron (DI) Fittings Requirements of the SMWD for CY 2020</t>
  </si>
  <si>
    <t>CONCRETING OF ACCESS ROAD, PUROK 1 TO PUROK 4, LLAMERA, LIBJO</t>
  </si>
  <si>
    <t>CONCRETING OF PROVINCIAL ROAD (PAMOQS SECTION)</t>
  </si>
  <si>
    <t>Installation of Street Lighting at 60 Poles per Barangay at Bahay, Lindogon, Tubod &amp; Simala, Sibonga, Cebu</t>
  </si>
  <si>
    <t>CONCRETING OF ROAD LEADING TO WOMEN AND CHILDREN CRISIS AND DEVELOPMENT CENTER (WCCDC), SAN JOSE</t>
  </si>
  <si>
    <t>CONSTRUCTION OF POTABLE WATER SYSTEM, NEW NAZARETH, BASILISA</t>
  </si>
  <si>
    <t xml:space="preserve">20NF0068:CONSTRUCTION OF RWCS (2020 CLUSTER)_Re-Ad A.	CONSTRUCTION OF RWCS @ STA. PAZ PRIMARY SCHOOL, BRGY. STA. PAZ, SAN ISIDRO, SURIGAO DEL NORTE B.	CONSTRUCTION OF RWCS @ PELAEZ ELEMENTARY SCHOOL, </t>
  </si>
  <si>
    <t>Procurement of the following service vehicles-B-20-0191</t>
  </si>
  <si>
    <t>Supply and Delivery of Construction Materials for the Repair of ENS MAJINI Pier Phase-III</t>
  </si>
  <si>
    <t>COMPLETION OF ULBUJAN MULTIPURPOSE COVERED COURT (EQUIPMENT ONLY) - ULBUJAN, CALAPE, BOHOL</t>
  </si>
  <si>
    <t>HFW: 1 LOT FROZEN GOODS OF HFW CLIENT FOR 2nd SEM OF 2020.</t>
  </si>
  <si>
    <t>uplb-rq-6-076-20 Goods (Laboratory Equuipment for IBS)</t>
  </si>
  <si>
    <t>Supply and Delivery of Construction Materials for Improvement of Multi-Purpose Building</t>
  </si>
  <si>
    <t>Purchase &amp; Delivery of One (1) Unit Service Utility Vehicle for PGO</t>
  </si>
  <si>
    <t>RENTAL / LEASE OF 180 UNITS OF DESKTOP COMPUTERS (6 MONTHS) CY 2020</t>
  </si>
  <si>
    <t>Procurement of Trendmicro Interscan Messaging Security License Renewal</t>
  </si>
  <si>
    <t>Procurement of one unit Emergency Rescue Vehicle</t>
  </si>
  <si>
    <t>Contract ID No.: 20OE0205 - Construction of Four (4) Storey Sixteen (16) Classroom School Building at Mariano Ponce Elementary School  (Based on 2017 Plan, Revised 3-24-17)</t>
  </si>
  <si>
    <t>(SBMA-BAC-GOODS-ITB-08-20) Supply and Delivery of Various Office Supplies</t>
  </si>
  <si>
    <t>CONSTRUCTION OF BARANGAY HEALTH STATION (BARANGAY LOS ANGELES, MAGSAYSAY, PALAWAN)</t>
  </si>
  <si>
    <t>Bid No. 20-0282 - PROCUREMENT OF VEHICLE - SB/LEGISLATIVE OFFICE</t>
  </si>
  <si>
    <t>Construction of Rainwater Collector System (RWCS), Parañaque City, Metro Manila</t>
  </si>
  <si>
    <t>FOR MBO USED</t>
  </si>
  <si>
    <t>CONCRETING OF PUROK 1, MALTANA ROAD</t>
  </si>
  <si>
    <t>Supply &amp; Delivery of 1 unit Global Navigation Satellite System (GNSS) Satellite Signal Tracked Simultaneously Specification for K2MIPP</t>
  </si>
  <si>
    <t>CONTINUATION FOR THE CONCRETING OF THE ACCESS ROAD TO SANITARY LANDFILL, BALANTOY</t>
  </si>
  <si>
    <t>Emergency Purchase o in response to covid19 mdrrm Office 35A</t>
  </si>
  <si>
    <t>Repair/Maintenance/Rehabilitation of DOF-BIR Makati, Senator Gil Puyat Ave., Makati City, Metro Manila</t>
  </si>
  <si>
    <t>Emergency Purchase o in response to covid19 dswd Office 34A</t>
  </si>
  <si>
    <t>GOODS 2020-06-0005 PURCHASE OF TRANSPORT VEHICLE (AMBULANCE)</t>
  </si>
  <si>
    <t>Procurement of 5 cart toner, Black, Epson 9731 etc. for use in the Planning &amp; Design Section</t>
  </si>
  <si>
    <t>Procurement of 400 pieces Water Meter for New Connections and Change Meter</t>
  </si>
  <si>
    <t>CONSTRUCTION OF MULTI-PURPOSE COVERED COURT AT BRGY. NAG-IBA, MABINI, BATANGAS</t>
  </si>
  <si>
    <t>CONSTRUCTION OF BARANGAY HEALTH STATION (BARANGAY LAGAORIAO, CUYO, PALAWAN)</t>
  </si>
  <si>
    <t>IMPROVEMENT OF DRAINAGE SYSTEM AT GUIJO ROAD</t>
  </si>
  <si>
    <t>(SBMA-BAC-GOODS-ITB-12-20) SERVICES AND MATERIALS FOR THE SUPPLY, DELIVERY AND INSTALLATION OF PREMIUM QUALITY FABRIC WINDOW COMBI-BLINDS AT VARIOUS SBMA OFFICE BUILDINGS</t>
  </si>
  <si>
    <t>Procurement of Sound System</t>
  </si>
  <si>
    <t>Procurement and Delivery of Construction Supplies and Materials for the Construction of  Drainage</t>
  </si>
  <si>
    <t>FURNISHING OF LABOR AND MATERIALS FOR THE REPAIR OF AGUS 6      NATURE'S PARK SPRING WATERPIPE</t>
  </si>
  <si>
    <t>Emergency Purchase in response to covid19 V.Mayor Office 36A</t>
  </si>
  <si>
    <t>Installation of Closed Circuit Television</t>
  </si>
  <si>
    <t>Procurement and Delivery of Construction Supplies and Materials for the Concreting of Cesar-Calawag Road</t>
  </si>
  <si>
    <t>Supply &amp; Delivery of Materials for the  Concrete Pavement and Repair of Drainage Canal –  Puerto Galera National High School</t>
  </si>
  <si>
    <t>Healthy Lifestyle (Provision of Total Blood Chemistry to all LGU Employee</t>
  </si>
  <si>
    <t>Supply and Delivery of Filling Materials (Phase 2) for Municipal Site Development, Lavezares N. Samar</t>
  </si>
  <si>
    <t>Improvement of Brgy. Multipurpose Building, Brgy. Ninoy Aquino City (AIP 2020)</t>
  </si>
  <si>
    <t>Purchase of Passenger Van</t>
  </si>
  <si>
    <t>Proposed Road Concreting in Sitio Ocao - Barangay Takay, Sogod, Cebu</t>
  </si>
  <si>
    <t>Procurement and Delivery of Construction Supplies and Materials for the Concreting of San Isidro-Kibalus Road</t>
  </si>
  <si>
    <t>EXPENSES   ON  UGNAYAN SA BARANGAY; SPECIAL LAW MEDICAL AND DENTAL MISSION, TRAINING SEMINAR  OF BARANGAY TANOD,MONTHLY MEETING OF ADAC/MADAC/BARANGAY VISITATION</t>
  </si>
  <si>
    <t>20AA0349 - REPAINTING/MAINTENANCE OF MANGATO BRIDGE (B02760LZ) K0485+339 ALONG LAOAG-BALACAD ROAD AND SAN MATEO BRIDGE (B00769LZ) K0492+207 ALONG LAOAG-SARRAT-PIDDIG-SOLSONA ROAD, LAOAG CITY, ILOCOS N</t>
  </si>
  <si>
    <t>REHABILITATION OF MAGBABADIL BRIDGE I (BGY. MABINI, ABORLAN, PALAWAN)</t>
  </si>
  <si>
    <t>Supply and Delivery of HDPE Tubing and Plastic Fitting Requirements of the SMWD for CY 2020</t>
  </si>
  <si>
    <t>Proposed Road Concreting in Sitio Bontilao - Liki, Sogod, Cebu</t>
  </si>
  <si>
    <t>Emergency Purchase o in response to covid19 dswd Office 33A</t>
  </si>
  <si>
    <t>SUPPLY, DELIVERY, INSTALLATION AND COMMISSIONING OF VARIOUS MEDICAL EQUIPMENT (HFEP)</t>
  </si>
  <si>
    <t>PURCHASE AND DELIVERY OF EQUIPMENT FOR IMPLEMENTATION OF DA-BAR PROMOTION OF RECOMMENDED RICE VARIETIES PROJECT</t>
  </si>
  <si>
    <t>REPRESENTATION  EXPENSES OF THE MAYOR</t>
  </si>
  <si>
    <t>ACQUISITION OF PROCUREMENT AND INVENTORY MANAGEMENT SYSTEM (SUPPLY, DELIVERY, INSTALLATION AND CONFIGURATION INTO OPERATIONAL STATE)</t>
  </si>
  <si>
    <t>NOTICE FOR NEGOTIATED PROCUREMENT OF PROGRAMMING EQUIPMENT AND MATERIALS</t>
  </si>
  <si>
    <t>Concreting of Brgy. San Roque to Brgy. Barangobong FMR, Brgy. San Roque (San Nicolas) and Brgy. Barangobong (Natividad, Pangasinan)</t>
  </si>
  <si>
    <t>Completion of Benguet Sports Gymnasium, Wangal, La Trinidad, Benguet</t>
  </si>
  <si>
    <t>Concreting of Brgy. Gonzalo to Brgy. Carayacan FMR, Brgy. Gonzalo and Brgy. Carayacan, San Quintin, Pangasinan</t>
  </si>
  <si>
    <t>20AE0071: Construction of 2 Storey 4 Classroom School Building at Butubut National High School, Balaoan, La Union</t>
  </si>
  <si>
    <t>Procurement of Vehicle for Vice Mayor's Office</t>
  </si>
  <si>
    <t>Supply, Delivery &amp; Installation of 20 Units Complete Set of Computers and 30 Units Adobe Creative Cloud (CC) ALL APPS_July 14, 2020</t>
  </si>
  <si>
    <t>Supply and Delivery of Emergency Response Equipment and Supplies</t>
  </si>
  <si>
    <t>Purchase and Installation Surveillance Camera</t>
  </si>
  <si>
    <t>Supply and Installation of Military, Police and Security Equipment</t>
  </si>
  <si>
    <t>DRILLING OF ONE (1) PRODUCTION WELL  AT BRGY. P. LUPA, MABINI, BATANGAS</t>
  </si>
  <si>
    <t>Installation/Construction of Solar Powered Street Lightning Along Municipal Streets, Lavezares N. Samar</t>
  </si>
  <si>
    <t>Improvement of Barangay Health Station as Medical Facilities and Quarantine Area</t>
  </si>
  <si>
    <t>Proposed Road Concreting in Pansoy - Mohon Barangay Road - Sitio Mangalao Section</t>
  </si>
  <si>
    <t>CONSTRUCTION OF TWO (2) BARREL RCBC W/ CONCRETE SLOPE PROTECTION (BGY. MAGSAYSAY, MUNICIPALITY OF DUMARAN, PALAWAN)</t>
  </si>
  <si>
    <t>INVITATION TO BID FOR HEAVY EQUIPMENT (BID NO. 200716-02)</t>
  </si>
  <si>
    <t>SUPPLY AND DELIVERY OF FUEL, OIL AND LUBRICANTS FOR THE REHABILITATION/ IMPROVEMENT OF LOCAL ROADS, MUNICIPAL WIDE ROXAS, PALAWAN</t>
  </si>
  <si>
    <t>Upgrading of Lampitak Potable Water System</t>
  </si>
  <si>
    <t>ITB FOR PROCUREMENT OF OFFICE  SUPPLIES FOR MODULAR LEARNING 2020</t>
  </si>
  <si>
    <t>CONCRETING OF MAGARA BGY. ROAD PHASE II (MUNICIPALITY OF ROXAS, PALAWAN)</t>
  </si>
  <si>
    <t>Concrete Pavement of New Municipal Building, Brgy. Tabucan, Barotac Nuevo, Iloilo</t>
  </si>
  <si>
    <t>Purchase of Office Supplies for 2nd Quarter Commonly used Supplies CY-2020</t>
  </si>
  <si>
    <t>Construction/Extension of Road Concreting at Brgy. Urdaneta, Lavezares N. Samar</t>
  </si>
  <si>
    <t>Supply and Delivery of Construction Materials and Equipment:Rehabilitation of Barangay Road</t>
  </si>
  <si>
    <t>Procurement of VArious Vehicle Parts &amp; Accessories(Tractor)-DA,Lopez Jaena</t>
  </si>
  <si>
    <t>Farm Inputs &amp; Machinery Assistance for Livelihood on Tobacco Production</t>
  </si>
  <si>
    <t>Procurement of 15 units Cellular Phone (TouchScreen)</t>
  </si>
  <si>
    <t>Installation of Electrical Facilities( Streetlights), Brgy. Palaciawan, Barotac Nuevo, Iloilo</t>
  </si>
  <si>
    <t>INVITATION TO BID FOR VEHICLES (4 WHEELS) AND ACCESSORIES (BID NO. 200716-06)</t>
  </si>
  <si>
    <t>Concrete Paving of Canroma-Buenavista Road, Rural Access (Road Upgrading), Brgy.Canroma-Buenavista, Pontevedra, Neg. Occ./PEO-2020-0964</t>
  </si>
  <si>
    <t>Proposed Water Supply Rehabilitation</t>
  </si>
  <si>
    <t>Purchase of Mini Dump Truck 6 Wheeler 4 ton Garbage Truck High Side (Refurbish)</t>
  </si>
  <si>
    <t>PROCUREMENT OF MEDICINE</t>
  </si>
  <si>
    <t>Procurement of IT Equipment -  MEO ,Lopez Jaena,Misamis Occidental</t>
  </si>
  <si>
    <t>INSTALLATION OF CLOSE CIRCUIT TELEVISION CAMERA (CCTV)</t>
  </si>
  <si>
    <t>cONSTRUCTION OF pUBLIC Market ( Phase 1)</t>
  </si>
  <si>
    <t>IMPROVEMENT ALONG NRJ, BANAO-BESOCOL-MOGAO ACCESS ROAD (BESOCOL SECTION)</t>
  </si>
  <si>
    <t>INVITATION TO BID FOR VEHICLE (4 WHEELS) AND ACCESSORIES (BID NO. 200716-05)</t>
  </si>
  <si>
    <t>PES Purchase of Various Office Supplies available to PS 2020.</t>
  </si>
  <si>
    <t>PURCHASE OF RAPID ELECTRIC VEHICLE CHARGER (FOR  E-TRIKE)</t>
  </si>
  <si>
    <t>Provision of Internet Service and Domestic Multi-Protocol Label Switching Services for Bicol University (3rd Publication)</t>
  </si>
  <si>
    <t>Supply and Delivery of Medicine To MHO, Lavezares N. Samar</t>
  </si>
  <si>
    <t>INVITATION TO BID FOR NO CATEGORY - (VARIOUS LECHON) (BID NO. 200716-04)</t>
  </si>
  <si>
    <t>construction materials and supplies</t>
  </si>
  <si>
    <t>Supply &amp; Delivery of Hardware &amp; Construction Materials for Salvacion-Union CIS (CY 2020 FAW)</t>
  </si>
  <si>
    <t>INVITATION TO BID FOR GROCERIES (BID NO. 200716-03)</t>
  </si>
  <si>
    <t>Drugs &amp; Medicines 2020</t>
  </si>
  <si>
    <t>CONSTRUCTION OF LOCAL ROADS- CAOIGUE</t>
  </si>
  <si>
    <t>Fencing of School Building ( 8 Spans) of Bagongbong Elementary School, Barangay Bagongbong, Barotac Nuevo, Iloilo</t>
  </si>
  <si>
    <t>Emergency Purchase in response to covid19 RHU Office 37A</t>
  </si>
  <si>
    <t>PURCHASE OF TOILET BOWL (UNDER SUSTAINABLE SANITATION PROGRAM)</t>
  </si>
  <si>
    <t>PRE-BID CONFERENCE 30/June/2020 - Procurement of Goods: Furniture &amp; Fixture for the use of CMO (Tagum City Police Station) (PR#100-20-06-0175)</t>
  </si>
  <si>
    <t>Shouldering of Municipal Streets, E Biron Street, Brgy. Ilaya Poblacion, Barotac Nuevo, Iloilo</t>
  </si>
  <si>
    <t>Procurement of Construction IP Housing (Materials)</t>
  </si>
  <si>
    <t>Streetlighting Project Along Provincial Road</t>
  </si>
  <si>
    <t>Procurement of Cacao Planting Materials &amp; Soil Enhancer-DA,Lopez Jaena,Misamis Occidental</t>
  </si>
  <si>
    <t>CONSTRUCTION OF ONE(1) UNIT GPG-TYPE SCHOOL BUILDING AS SAN ISIDRO E/S -057</t>
  </si>
  <si>
    <t>Procurement of Construction IP Housing (Labor)</t>
  </si>
  <si>
    <t>for RHU Consultation</t>
  </si>
  <si>
    <t>Construction of Mati Creek Verdant Wall</t>
  </si>
  <si>
    <t>Replacement of Balulan Bridge along Manapla Punta Balulan Road, Manapla, Neg. Occ. PEO-2020-0722</t>
  </si>
  <si>
    <t>Procurement of Wireless CCTV Installation w/ NTC License, 16 Channel Network Vedio Recording, 4mp Bullet Camera Big, 2mp BullerCamera %, CCTV HD 4 TB, LED TV Monitor 50'', Lite Power Beam, Toughtcable</t>
  </si>
  <si>
    <t>Repair/Maintenance of DOTR Building, LTO Building, Parañaque City, Metro Manila</t>
  </si>
  <si>
    <t>(SBMA-BAC-GOODS-ITB-11-20) SERVICES AND MATERIALS FOR THE INSTALLATION OF AUDIOVISUAL EQUIPMENT AT THE BOARDROOM</t>
  </si>
  <si>
    <t>ITB No. 19-DSWD-059-A - Supply and Delivery of Workstation Computer for DSWD-UCT NPMO</t>
  </si>
  <si>
    <t>Construction of Mabasa Potable Water Supply System (Level II)</t>
  </si>
  <si>
    <t>Supply &amp; Delivery of Materials for the  Construction of Washing Area and Kitchen and Installation of Portable Handwashing Facility</t>
  </si>
  <si>
    <t>20GCE0007: Procurement of Materials for use in the Activity 309 - Other Traffic Services (Centerline and Laneline Repainting) and in the Repair and Maintenance of Various National Roads</t>
  </si>
  <si>
    <t>Roof and Grills of the Paglaum Building ( Jalaud), Brgy. Jalaud, Barotac Nuevo, Iloilo</t>
  </si>
  <si>
    <t>Improvement Kolambugan Level III Water System Project</t>
  </si>
  <si>
    <t>Construction of Two – Storey Six (6) Classroom PAGCOR Design  School Building at Panitan NHS, Panitan, Capiz Affected by  Typhoon Yolanda (Rebid)</t>
  </si>
  <si>
    <t>PB BAC1-20-006 SUPPLY AND DELIVERY OF VARIOUS CONSTRUCTION SUPPLIES - PABX –  FOR 2020</t>
  </si>
  <si>
    <t>Construction of Residual Containment Facility (RCF) Phase 2, Barangay Lico-an, Barotac Nuevo, Iloilo</t>
  </si>
  <si>
    <t>Materials for Construction of Proposed Fence of San Jose de Buenavista Municipal Fish Port</t>
  </si>
  <si>
    <t>Watchman Services (March 2020-Dec.2020)</t>
  </si>
  <si>
    <t>Purchase of Construction Materials (for various Program of Local Governemtn od San Matel</t>
  </si>
  <si>
    <t>LAPTOP USE AT THE OFFICE OF THE MUNICIPAL CIVIL REGISTRAR</t>
  </si>
  <si>
    <t>Construction of Residual Containment Facility ( RCF) Phase 1, Barangay Lico-an, Dump Site, Barotac Nuevo, Iloilo</t>
  </si>
  <si>
    <t>REHAB./IMPROVEMENT OF BIRTHING CLINIC</t>
  </si>
  <si>
    <t>Supply and Delivery of 600 Cavans Well Milled Rice 50 kilos/cavan (2nd quarter)</t>
  </si>
  <si>
    <t>INVITATION TO BID FOR SPARE PARTS FOR LIGHT &amp; HEAVY EQUIPMENT (BID NO. 200716-08)</t>
  </si>
  <si>
    <t>Supply &amp; Delivery of Materials for the  Repair of School Building – Villaflor Elementary School</t>
  </si>
  <si>
    <t>Supply and Delivery of Various Spare Parts for Heavy Equipment</t>
  </si>
  <si>
    <t>NEGOTIATED PROCUREMENT FOR THE PURCHASE OF MATERIALS FOR INSTALLATION OF 48" RCCP AT RIZAL STREET</t>
  </si>
  <si>
    <t>Purchase of Materials for Construction of Multi-Purpose Pavement Phase 1</t>
  </si>
  <si>
    <t>INVITATION TO BID FOR LABORATORY REAGENTS AND CHEMICALS (BID NO. 200716-12)</t>
  </si>
  <si>
    <t>ITB20-5(infra)</t>
  </si>
  <si>
    <t>20HG0176 - Construction/Rehabilitation of Water Supply/Septage and Sewerage/Rain Water Collectors – Rain Water Collectors in Public Facilities at (1) Obo ES, Dalaguete, (2) Cangcabalong ES, Dalaguete,</t>
  </si>
  <si>
    <t>Procurement of Office Supplies for the use of Different Offices</t>
  </si>
  <si>
    <t>Sand And Gravel</t>
  </si>
  <si>
    <t>Supply and Installation of Solar Streetlights at Brgy. Poblacion, Tolosa, Leyte</t>
  </si>
  <si>
    <t>Hauling and disposal of Municipal Residual Waste at Material Recovery Facility (MRF), Brgy. Balayhangin, Calauan, Laguna</t>
  </si>
  <si>
    <t>Procurement of 42 set CD4 Machine Control (Rebid)</t>
  </si>
  <si>
    <t>Procurement of Supply &amp; Delivery of 64 heads Cattle (Typhoon Ursula)</t>
  </si>
  <si>
    <t>Procurement of Supply &amp; Delivery of Native Chicken (Typhoon Ursula)</t>
  </si>
  <si>
    <t>Supply and Delivery, Installation and Commissioning of a Web Based Total Information Systems Management with Citizen Mobile App (Phase 2)</t>
  </si>
  <si>
    <t>SUPPLY AND DELIVERY OF SPARE PARTS OF MUNICIPAL ROAD GRADER AND BULLDOZER</t>
  </si>
  <si>
    <t>Procurement of 46,700 bottles Rifampicin 200mg/5ml (REBID)</t>
  </si>
  <si>
    <t>Procurement of Supply &amp; Delivery of Piglets (Typhoon Ursula)</t>
  </si>
  <si>
    <t>One (1) Job Order for the Supply of Labor and Materials for Construction of Perimeter Fence at Brgy. Bunga, Mambusao, Capiz</t>
  </si>
  <si>
    <t>Procurement of Supply &amp; Delivery of Goat (Typhoon Ursula)</t>
  </si>
  <si>
    <t>CONCRETING OF BRGY. SAN PEDRO APARTADO FMR, BRGY. SAN PEDRO APARTADO, ALCALA, PANGASINAN</t>
  </si>
  <si>
    <t>INVITATION TO BID FOR OFFICE SUPPLIES AND MATERIALS (BID NO. 200716-14)</t>
  </si>
  <si>
    <t>Construction of Drainage System ( Back side of Mun. Building), Brgy. Tabucan, Barotac Nuevo, Iloilo</t>
  </si>
  <si>
    <t>Supply and Delivery of School Equipment</t>
  </si>
  <si>
    <t>INVITATION TO BID FOR COMPUTER SUPPLIES AND MATERIALS (BID NO. 200716-15)</t>
  </si>
  <si>
    <t>20GKG0029 (PR No. 20-06-088)- Procurement of Construction Materials and Supplies for use in the Construction of  DPWH Materials Quality Control Building, DPWH-Lanao del Norte 1st District Engineering</t>
  </si>
  <si>
    <t>PB BAC1-20-010 SUPPLY AND DELIVERY OF VARIOUS CONSTRUCTION SUPPLIES – MECHANICAL/CMGVS - FOR 2020</t>
  </si>
  <si>
    <t>Procurement of 1,091 cannister Effervescent Chlorine Tablet 1.7 g</t>
  </si>
  <si>
    <t>Fabrication &amp; Installation of Basketball Goal at Mohon Sports Complex</t>
  </si>
  <si>
    <t>Construction of Pagsanaan Sur Post Harvest Facility</t>
  </si>
  <si>
    <t>Construction of Administrative Office at Palo National High School</t>
  </si>
  <si>
    <t>One (1) Lot Laboratory Equipment</t>
  </si>
  <si>
    <t>LABOR AND MATERIALS FOR THE CONSTRUCTION OF MUNICIPAL WAREHOUSE AT POBLACION,BADIAN,CEBU</t>
  </si>
  <si>
    <t>CONSTRUCTION OF TWO (2) STOREY, FOUR (4) CLASSROOM SCHOOL BUILDING, MABURAC ELEMENTARY SCHOOL, AT VILLASIS, PANGASINAN</t>
  </si>
  <si>
    <t>One (1) Lot Provision of Security Services for 2020 (August-December)</t>
  </si>
  <si>
    <t>Procurement of ICT Equipment for the use of Different Offices</t>
  </si>
  <si>
    <t>20GKG0030 (PR No. 20-06-089)- Procurement of Construction Materials and Supplies for use in the Construction of DPWH Building Praying Center , DPWH-Lanao del Norte 1st District Engineering Office, 005</t>
  </si>
  <si>
    <t>PROCUREMENT OF PROFESSIONAL CONSULTING SERVICE FOR THE CONDUCT OF FEASIBILITY STUDY ON THE SOLID WASTE MANAGEMENT FACILITY (LGU SANITARY LANDFILL) FOR LOCAL GOVERNMENT UNIT-CLUSTER (LGU CLUSTER)</t>
  </si>
  <si>
    <t>“EVENT MANAGEMENT - VENUE RENTAL, FOOD AND ACCOMMODATION”</t>
  </si>
  <si>
    <t>One (1) Lot Information and Technology</t>
  </si>
  <si>
    <t>INVITATION TO BID FOR OIL AND LUBRICANTS (BID NO. 200716-11)</t>
  </si>
  <si>
    <t>CONCRETING OF BRGY. TUMANA WEST FMR, BRGY. TUMANA WEST, ROSALES, PANGASINAN</t>
  </si>
  <si>
    <t>Supply and On Site Delivery of Farm Machineries</t>
  </si>
  <si>
    <t>PB BAC1-20-008 SUPPLY AND DELIVERY OF VARIOUS CONSTRUCTION SUPPLIES - PAINTING  FOR 2020</t>
  </si>
  <si>
    <t>Office supplies and other consumables</t>
  </si>
  <si>
    <t>Procurement of 1,700 pcs. Etonogestrel Subdermal Implant</t>
  </si>
  <si>
    <t>INVITATION TO BID FOR VETERINARY DRUGS AND MEDICINES (BID NO. 200716-13)</t>
  </si>
  <si>
    <t>PB BAC1-20-007 SUPPLY AND DELIVERY OF VARIOUS CONSTRUCTION SUPPLIES - CARPENTRY –  FOR 2020</t>
  </si>
  <si>
    <t>Procurement of 600 bottles Immersion Oil</t>
  </si>
  <si>
    <t>CY 2019 Repair/Rehabilitation of Department of Education  Regional Office VI, Duran Street, Iloilo City (Rebid)</t>
  </si>
  <si>
    <t>PROCUREMENT OF HARDWARE MATERIALS FOR REHABILITATION OF EXISTING BUSANAMCO RATTAN PROCESSING CENTER AT BARANGAY BUNGA, LANUZA, SURIGAO DEL SUR</t>
  </si>
  <si>
    <t>PROPOSED REHABILITATION OF MUNICIPAL ROADS</t>
  </si>
  <si>
    <t>Installationof Streetlights( Fronting &amp; Beside Mun. BLDG. &amp; DENR Bldg.)</t>
  </si>
  <si>
    <t>INVITATION TO BID FOR ROAD CONSTRUCTION MATERIALS (BID NO. 200716-09)</t>
  </si>
  <si>
    <t>SUPPLY AND DELIVERY OF OFFICE SUPPLIES, FURNITURE AND EQUIPMENT FOR LGU-ROXAS, PALAWAN</t>
  </si>
  <si>
    <t>INVITATION TO BID FOR ELECTRICAL EQUIPMENT AND APPLIANCES -A (BID NO. 200716-07)</t>
  </si>
  <si>
    <t>Procurement of Supply &amp; Delivery of 56 heads Caracows (Typhoon Ursula)</t>
  </si>
  <si>
    <t>Improvement of Bagongbong "B" Elementary School, Bagongbong, Barotac Nuevo, Iloilo</t>
  </si>
  <si>
    <t>INVITATION TO BID FOR FABRICATION (BID NO. 200716-10)</t>
  </si>
  <si>
    <t>Construction of Multi-Purpose Hall Barangay Dulangan</t>
  </si>
  <si>
    <t>Procurement of 433 pcs. Advocacy Jacket, reversible</t>
  </si>
  <si>
    <t>20GKG0032 (PR No. 20-06-091)- Procurement of Construction Materials and Supplies for use in the Construction of DPWH Building Guardhouse, 0054 Seminary Drive , Del Carmen, Iligan City</t>
  </si>
  <si>
    <t>20GFH0012 SUPPLY AND DELIVERY OF SPARE PARTS FOR USE IN THE REPLACEMENT OF WORN-OUT PARTS OF SERVICE VEHICLE ASSIGNED  IN THE DPWH-PLANNING &amp; DESIGN SECTION, VIRAC, CATANDUANES (PR#20-05-021 DATED 5/2</t>
  </si>
  <si>
    <t>Construction of Mango Processing Center</t>
  </si>
  <si>
    <t>uplb-rq-6-077-20 goods (Customized System furniture for Grad School)</t>
  </si>
  <si>
    <t>Procurement of Office Supplies Intended for the 3rd Quarter of CY 2020</t>
  </si>
  <si>
    <t>Supply and Delivery of Various Audio and Visual  Accessories</t>
  </si>
  <si>
    <t>20GKG0031 (PR No. 20-06-090)- Procurement of Construction Materials and Supplies for use in the Repair/Reconstruction of of DAR Office Building, Sapad, Lanao del Norte</t>
  </si>
  <si>
    <t>Construction of Slope Protection at Manzante Beach Road Adjacent to Farmlands</t>
  </si>
  <si>
    <t>FLU VACCINATION</t>
  </si>
  <si>
    <t>REHABILITATION OF FENCE (SOUTH SIDE) AT LAMAO ELEMENTARY SCHOOL</t>
  </si>
  <si>
    <t>REPAIR/IMPROVEMENT OF NFA PROVINCIAL OFFICE INCLUDING CONSTRUCTION FOR ONE SEPTIC VAULT, SELECTIVE REPAIR &amp; REPLACEMENT OF G.I. CORRUGATED ROOF, GUTTER, FASCIA COVER, DOWNSPOUT AND CATCH BASIN GRILL A</t>
  </si>
  <si>
    <t>PROJECT 2 – Procurement and Delivery of Various Medical Equipment for the use of District Hospitals in Region 1</t>
  </si>
  <si>
    <t>LABOR AND MATERIALS FOR THE CONSTRUCTION OF MUNICIPAL AGRICULTURE OFFICE AT POBLACION,BADIAN,CEBU</t>
  </si>
  <si>
    <t>INVITATION TO BID FOR  SUPPLY, DELIVERY, INSTALLATION, TESTING AND COMMISSIONING OF MEDICAL EQUIPMENT FOR FY2020</t>
  </si>
  <si>
    <t>20GL00008; P.R. No. 2020-05-057 DATED 05/26/2020: PROCUREMENT OF VARIOUS CONSTRUCTION SUPPLIES &amp; MATERIALS, FOR USE IN THE CONVERSION OF U.P. MINDANAO MULTI-PURPOSE HUMAN KINETICS BUILDING, BAGO OSHIR</t>
  </si>
  <si>
    <t>Procurement of 528,635 cap. Cefalexin 500mg capsule</t>
  </si>
  <si>
    <t>20GFH0014 - SUPPLY AND DELIVERY OF TIRES FOR USE IN THE OPERATION OF SERVICE VEHICLE NISSAN NAVARA FI-X700, NISSAN NAVARA FI-X440, ALTERA NJQ-720 AND TOYOTA HI-LUX POA 227, DPWH SAN ISIDRO VILLAGE, VI</t>
  </si>
  <si>
    <t>Emergency Purchase in response to covid19 mayor's Office 41A</t>
  </si>
  <si>
    <t>PROCUREMENT OF  CONSTRUCTION MATERIALS FOR CONCRETING OF ALGECIRAS FMR</t>
  </si>
  <si>
    <t>INSTALLATION OF ELECTRICAL LINES FOR WATER WORKS SYSTEM AT SITIO CENTRO, BRGY. MAPULO -001</t>
  </si>
  <si>
    <t>Procurement of Various Drugs/Medicines to be used during emergencies and disasters</t>
  </si>
  <si>
    <t>Re-Bidding of Supply and Delivery of Various Medical and Hospital Supplies for January 1 to December 31, 2020</t>
  </si>
  <si>
    <t>20CG0145 - Local Infrastructure Program: Multipurpose/ Facilities – Construction and /or Repair/ Rehabilitation of Multi-Purpose Building, Telebastagan Integrated School, City of San Fernando, Pampang</t>
  </si>
  <si>
    <t>Emergency Purchase in response to covid19 dswd Office 39Af</t>
  </si>
  <si>
    <t>20GFH0013 - SUPPLY AND DELIVERY OF LUBRICANTS &amp; SPARE PARTS/MAINTENANCE OF SPARE PARTS FOR USE IN THE OPERATION OF ISUZU DMAX H1-5515, L300 VAN HI-6548, TOYOTA HI-LUX (POA 217) AND TOYOTA HI-LUX (PON</t>
  </si>
  <si>
    <t>20HC0182- CONSTRUCTION &amp; IMPROVEMENT OF THE MUNICIPAL HALL OF SAN MIGUEL, BOHOL</t>
  </si>
  <si>
    <t>Procurement of Catering Services for the 4th Level Training of the 2020 Census of Population and Housing (2020 CPH) of PSA Region 7 – Reposting (Failed Items)</t>
  </si>
  <si>
    <t>SUPPLY &amp; DELIVERY OF CONSTRUCTION MATERIALS AND SUPPLIES</t>
  </si>
  <si>
    <t>Supply &amp; Delivery of  Construction Equipment for   Sibuguey Valley Irrigation System, Bayog, Zamboanga del Sur</t>
  </si>
  <si>
    <t>CONSTRUCTION OF SLF SORTING AREA</t>
  </si>
  <si>
    <t xml:space="preserve">Purchase of Materials (Nylon Line) to be used in the Maintenance activities, vegetation control  (grass cutters) along various national roads within Laguna I District Engineering Office,  Santa Cruz, </t>
  </si>
  <si>
    <t>(SBMA-BAC-GOODS-ITB-09-20) SBMA MOTOROLA TRUNKED RADIO COMMUNICATION SYSTEM UPGRADE</t>
  </si>
  <si>
    <t>CONSTRUCTION OF RAILINGS</t>
  </si>
  <si>
    <t>20CG0150 - Local Infrastructure Program: Multipurpose/ Facilities – Construction/ Rehabilitation of Multi-Purpose Building, Brgy. San Pedro, Minalin, Pampanga</t>
  </si>
  <si>
    <t>Purchase of Paint Materials  to be used in the Maintenance  activities, (repainting of traffic  safety devices, bridge and road markings) of DPWH- Laguna I District Engineering Office, Santa Cruz, Lag</t>
  </si>
  <si>
    <t>CONTRACT ID: 19-12-272 2ND REBID-PROCUREMENT OF VARIOUS LABORATORY REAGENTS, MEDICAL DEVICES, DENTAL SUPPLIES AND INSTRUMENTS</t>
  </si>
  <si>
    <t>Supply &amp; Delivery of Trash Racks and Intake Gates for Gandiangan SIP</t>
  </si>
  <si>
    <t>20CG0148 - Local Infrastructure Program: Buildings and Other Structures – Multipurpose/ Facilities – Construction of Multi-Purpose Covered San Matias, Sto. Tomas, Pampanga</t>
  </si>
  <si>
    <t>CONSTRUCTION OF VARIOUS INFRASTRUCTURE PROJECTS FOR THE CITY OF NAVOTAS UNDER OTHER INFRASTRUCTURE ASSETS</t>
  </si>
  <si>
    <t>Construction/ Rehabilitation of Drainage Canal and Concrete Cover</t>
  </si>
  <si>
    <t>Purchase of Tires to be used in the Service Vehicles of Maintenance Section of Laguna I District Engineering Office, Santa Cruz, Laguna</t>
  </si>
  <si>
    <t>Spare Parts and Motor Vehicles</t>
  </si>
  <si>
    <t>20CG0154 - Local Infrastructure Program: Local Roads – Improvement/ Rehabilitation of Brgy. Road, Laug Mexico, Pampanga</t>
  </si>
  <si>
    <t>20CG0157 - Bridge Program – Replacement of Permanent Weak Bridge Mexico Br. (B01478LZ) along Jose Abad Santos Ave. (JASA) Rd., Mexico, Pampanga</t>
  </si>
  <si>
    <t>RE-BID: Supply and Delivery of Five Thousand Five Hundred (5,500) Ltrs. Gasoline and Fifty-Two  Thousand (52,000) Ltrs. Diesel for next six (6) months or from July 2020 to December 2020 and with a pro</t>
  </si>
  <si>
    <t>20CG0144 - Construction/ Repair/ Rehabilitation/ Improvement of Various Infrastructure including Local Projects: Multi-purpose/ Facilities – Construction of Multi-Purpose Building Sindalan, San Fernan</t>
  </si>
  <si>
    <t>Purchase of Hygienic Materials for Employees of DPWH- Laguna I District Engineering Office, Santa Cruz, Laguna</t>
  </si>
  <si>
    <t>20CG0156 - Construction/ Repair/ Rehabilitation/ Improvement of Various Infrastructure Including Local Projects: Local Roads – Construction of Buensuceso Road, Buensuceso Arayat, Pampanga</t>
  </si>
  <si>
    <t>Supply and Delivery of Laptops to be Used by Department of Education</t>
  </si>
  <si>
    <t>20CG0155 - Local Infrastructure Program: Local Roads – Concreting of Brgy. Road, Batasan, Arayat, Pampanga</t>
  </si>
  <si>
    <t>RIPRAPPING AT GOVERNMENT CENTER (PHASE II)</t>
  </si>
  <si>
    <t>SECURITY SERVICES</t>
  </si>
  <si>
    <t>20HM0091- Capital Outlay – Construction/Rehabilitation of Water Supply/Septage and Sewerage/Rain Water Collectors – Rain Water Collectors in Public Facilities – Region VII</t>
  </si>
  <si>
    <t>20CG0153 - Local Infrastructure Program: Multipurpose/ Facilities – Construction of Multi-Purpose Building (Covered Court) Brgy. Calibutbut, Bacolor, Pampanga</t>
  </si>
  <si>
    <t>Construction of Two (2) Storey, Four (4) Classrooms School Building, Cal-litang Elmentary School at Sta. Maria, Pangasinan</t>
  </si>
  <si>
    <t>RIPRAPPING OF AMBOLONG CREEK</t>
  </si>
  <si>
    <t>20CG0152 - Local Infrastructure Program: Multipurpose/ Facilities – Construction of Multi-Purpose Building, Brgy. San Juan, San Luis, Pampanga</t>
  </si>
  <si>
    <t>Supply and Delivery of 14 Units Laptop, Intel Core i5-7200 for the Municipality of Binangonan</t>
  </si>
  <si>
    <t>IMPROVEMENT / REHABILITATION OF DAY CARE CENTER</t>
  </si>
  <si>
    <t>Purchase of CCTV System for use at the PNP Station and Municipal Town Hall</t>
  </si>
  <si>
    <t>Procurement of Supply &amp; Delivery of Various Fertilizers (Rebid)</t>
  </si>
  <si>
    <t>20CG0146 - Construction/ Repair/ Rehabilitation/ Improvement of Various Infrastructure Including Local Projects: Multipurpose/ Facilities – Rehabilitation of Multi-Purpose Buildings, Del Carmen and Al</t>
  </si>
  <si>
    <t>Procurement of Flexible Learning and Working Arrangement Supplies and Equipment for Digital Infrastructure (Rebidding)</t>
  </si>
  <si>
    <t>CCTV EQUIPMENT AND ACCESORIES</t>
  </si>
  <si>
    <t>20FO0101 - Construction of Multi-Purpose Building, Albay Provincial Hospital, Out Patient Dept., Ligao, Albay</t>
  </si>
  <si>
    <t>Conduct of  Surface and Subsurface Geological and Geotechnical Investigation of OCAMPO SRIP (rebid), Ocampo, Camarines Sur</t>
  </si>
  <si>
    <t>Emergency Purchase in response to covid19 mdrrmOffice 40A</t>
  </si>
  <si>
    <t>Emergency Purchase in response to covid19 mayor's Office 42A</t>
  </si>
  <si>
    <t>20CG0151 - Local Infrastructure Program: Multipurpose/ Facilities – Construction of Multi-Purpose Building (Covered Court) San Jose Malino, Mexico, Pampanga</t>
  </si>
  <si>
    <t>PROCUREMENT AND DELIVERY OF ICT EQUIPMENT FOR TOURISM OFFICE, MENR OFFICE &amp; OMM-SLAUGHTERHOUSE</t>
  </si>
  <si>
    <t>Supply and Delivery of Tires and Batteries</t>
  </si>
  <si>
    <t>PURCHASE OF CONSTRUCTION MATERIALS FOR REPAIR AND MAINTENANCE OF ROAD SAFETY FACILITIES</t>
  </si>
  <si>
    <t>20CG0147 - Local Infrastructure Program: Multipurpose/ Facilities – Rehabilitation/ Improvement of Multi – Purpose Building (Covered Court) Bulaon Resettlement Center, Brgy. Bulaon, San Fernando City,</t>
  </si>
  <si>
    <t>SUPPLY &amp; DELIVERY OF COMMON USED OFFICE  SUPPLIES, 1ST QUARTER, CY 2020, LGU, Bayombong, Nueva Vizcaya</t>
  </si>
  <si>
    <t xml:space="preserve">NEGOTIATED PROCUREMENT ON THE PROVISION OF LABOR, MATERIALS, EQUIPMENT AND OTHER INCIDENTALS NEEDED FOR THE IMPROVEMENT OF NAGTRIGOAN SMALL WATER IMPOUNDING PROJECT (SWIP) AT BRGY. NAGTRIGOAN PINILI, </t>
  </si>
  <si>
    <t>Installation of CCTV Cameras with Wireless AutoMesh Technology (Phase V)</t>
  </si>
  <si>
    <t>Purchase of Office Equipment Supplies and Consumables</t>
  </si>
  <si>
    <t>NEGOTIATED PROCUREMENT ON THE PROVISION OF LABOR, MATERIALS, EQUIPMENT AND OTHER INCIDENTALS NEEDED FOR THE REHABILITATION/IMPROVEMENT OF BUNGRO DIVERSION DAM (DD) AT BRGY. BUNGRO, PINILI, ILOCOS NORT</t>
  </si>
  <si>
    <t>Construction of Community Activity Center (Negotiated)</t>
  </si>
  <si>
    <t>RE-POST: Rehabilitation of Footbridge at Purok 4, Brgy. Buhangin, Butuan City</t>
  </si>
  <si>
    <t>20CG0149 - Local Infrastructure Program: Multipurpose/ Facilities – Construction of Multi-Purpose Building, Sta. Monica Elementary School, Brgy. Sta. Monica, San Luis, Pampanga</t>
  </si>
  <si>
    <t>20GFO0016 - Purchase of Fuel to be Used in Various Equipments/Service Vehicles Assigned at Albay 3rd DEO for the 2nd &amp; 3rd Quarters, CY 2020</t>
  </si>
  <si>
    <t>CONSTRUCTION OF DAY CARE CENTER</t>
  </si>
  <si>
    <t>NEGOTIATED PROCUREMENT ON THE PROVISION OF LABOR, MATERIALS, EQUIPMENT AND OTHER INCIDENTALS NEEDED FOR THE REHABILITATION/IMPROVEMENT OF SAMAC SMALL WATER IMPOUNDING PROJECT (SWIP) AT BRGY. SAMAC, SA</t>
  </si>
  <si>
    <t>20GFC0015: Regravelling of Roadway along Sta. Elena – Capalonga By-Pass Coastal Road (Section 3), Regravelling of Roadway along Sta. Elena – Capalonga By-Pass Coastal Road (Section 3)</t>
  </si>
  <si>
    <t>INVITATION TO BID FOR THE REPAIR OF POST-HARVEST FACILITIES BUILDING IN NAVAL, BILIRAN</t>
  </si>
  <si>
    <t>20GFC0014: Regravelling of Shoulder along Daang Maharlika Road (K0294+500 – K0309+110), Brgy. Malatap, Labo, Camarines Norte</t>
  </si>
  <si>
    <t>20GFC0013: Purchase of Maintenance Small Field Equipment, DPWH-CNDEO, Daet, Camarines Norte</t>
  </si>
  <si>
    <t>Procurement of Medicines for the Operations of the Rural Health Unit</t>
  </si>
  <si>
    <t>20GFC0011: Purchase of Materials for the Fabrication of Road Right-of-Way Marker, Primary and Secondary National Road, Sta. Elena – Basud, Camarines Norte</t>
  </si>
  <si>
    <t>CID No. 20GI00002 - Purchase/Delivery/Installation of RTIA Traffic Count Equipment of Planning Section, Planning and Design Division, DPWH Regional Office VIII, Baras, Palo, Leyte</t>
  </si>
  <si>
    <t>20BG0120 - Local Infrastructure Program – Local Roads – Concreting of Brgy. Dimalicu-lico, Palanan, Isabela</t>
  </si>
  <si>
    <t>20GFC0012: Purchase of Spare Parts Accessories for Service Vehicle and Equipment, Purchase of Spare Parts Accessories for Service Vehicle and Equipment</t>
  </si>
  <si>
    <t>CONSTRUCTION OF MRF</t>
  </si>
  <si>
    <t>Supply of Labor, Equipment and Restoration Materials for the Installation, Testing and Commissioning of 250mm Dia. Transmission Line along Amulung Solana Road, Centro, Solana, Cagayan (Calamagui Upgra</t>
  </si>
  <si>
    <t>Supply, Delivery and Commissioning  of  One (1) unit Brand New Portable Generator Set</t>
  </si>
  <si>
    <t>Invitation to Bid for  PROVISION OF TWO-YEAR CONTRACT SECURITY SERVICES</t>
  </si>
  <si>
    <t>REBIDDING ON THE PROVISION OF LABOR, MATERIALS, EQUIPMENT AND OTHER INCIDENTALS NEEDED FOR THE IMPROVEMENT OF NAGPATPATAN CANAL LINING AT BRGY. NAGPATPATAN, SOLSONA, ILOCOS NORTE</t>
  </si>
  <si>
    <t>Procurement of ICT Supplies and Equipment</t>
  </si>
  <si>
    <t>PROCUREMENT OF MATERIALS FOR THE CONSTRUCTION OF 26 UNITS SANITARY LATRINE</t>
  </si>
  <si>
    <t>Construction of Bulacan Birthing Facility</t>
  </si>
  <si>
    <t>Invitation to Bid for   Supply, Delivery and Commissioning  of  One (1) unit Brand New Portable Air Compressor</t>
  </si>
  <si>
    <t>Installation of Lighting System at Visitacion</t>
  </si>
  <si>
    <t>PB BAC1-20-005 SUPPLY AND DELIVERY OF VARIOUS CONSTRUCTION SUPPLIES - BIOMEDICAL –  FOR 2020</t>
  </si>
  <si>
    <t>Invitation to Bid for  Supply and Delivery of Various Fittings for Pipelines Service Expansion 2020</t>
  </si>
  <si>
    <t>Procurement of Various PPE and Laparatomy Packs for COVID-19 Patients Use</t>
  </si>
  <si>
    <t>Invitation to Bid for  Supply and Delivery of Various uPVC Pipes for Service Expansion Project 2020</t>
  </si>
  <si>
    <t>RIPRAPPING OF STEEP ROAD SIDE(Brgy. Codiong, Libertad, Antique)/IB. NO. K-2020-059(SC)</t>
  </si>
  <si>
    <t>Supply, Delivery and Installation of Air Conditioning Units</t>
  </si>
  <si>
    <t>Concreting of Brgy. Tarcan FMR, Brgy. Tarcan, Baliuag, Bulacan</t>
  </si>
  <si>
    <t>Construction of three storey six classroom – Batia Elementary School, Bocaue, Bulacan</t>
  </si>
  <si>
    <t>Upgrading of Barangay Road, Brgy. Sta. Ines, Bulakan, Bulacan</t>
  </si>
  <si>
    <t>CONSTRUCTION OF 2 UNITS DEEP WELL</t>
  </si>
  <si>
    <t>CONSTRUCTION OF FLOOD CONTROL/RIVER WALL PROJECT (Sitio Camangahan, Brgy. Buluangan I, Valderrama, Antique)/IB. NO. K-2020-061(SC)</t>
  </si>
  <si>
    <t>Procurement of Construction Materials for the Construction of Sanitary Latrine</t>
  </si>
  <si>
    <t>CONCRETING OF PROVINCIAL ROAD(Brgy. San Isidro, Tibiao, Antique)/IB. NO. K-2020-062(SC)</t>
  </si>
  <si>
    <t>INVITATION TO BID FOR THE PROCUREMENT OF SUPPLY AND INSTALLATION OF VARIOUS EQUIPMENT AND FACILITIES</t>
  </si>
  <si>
    <t>Construction of Flood Control Structure along Bocaue River and Its Tributaries, Bunlo-Lolomboy Section, Bocaue, Bulacan</t>
  </si>
  <si>
    <t>Hire of Vehicle for Various DSWD-CAR Activities to All Provinces of Cordillera Administrative Region (CAR) from August to December 2020</t>
  </si>
  <si>
    <t>PB BAC1-20-011 Supply and Delivery of Various Construction Supplies  PLUMBING - for 2020</t>
  </si>
  <si>
    <t>PB BAC1-20-009 SUPPLY AND DELIVERY OF VARIOUS CONSTRUCTION SUPPLIES - ELECTRICAL FOR 2020</t>
  </si>
  <si>
    <t>SUPPLY OF LABOR, EQUIPMENT AND RESTORATION MATERIALS FOR THE INSTALLATION, TESTING AND COMMISSIONING OF 250MM DIA. TRANSMISSION LINE ALONG AMULUNG SOLANA ROAD, BASI, SOLANA, CAGAYAN (CALAMAGUI UPGRADI</t>
  </si>
  <si>
    <t>PB BAC1-20-014 SUPPLY AND DELIVERY OF VARIOUS CONSTRUCTION SUPPLIES –  TRANSPORTATION - FOR 2020</t>
  </si>
  <si>
    <t>Supply and Delivery of Tablets to be Used by Department of Education</t>
  </si>
  <si>
    <t>Expansion/Installation of Wireless Automesh Infrastructure and Video Surveillance System (Phase IV)</t>
  </si>
  <si>
    <t>ITB NO. GOP/19-DSWD-058-A Supply and Delivery of Motor Vehicles for DSWD-Unconditional Cash Transfer (UCT) National Program Management Office (NPMO)</t>
  </si>
  <si>
    <t>Design and Development of Intramuros Administration Integrated Information System</t>
  </si>
  <si>
    <t>purchase of emergency vehicle</t>
  </si>
  <si>
    <t>Purchase of supplies and equipment for covid 19 operation</t>
  </si>
  <si>
    <t>Goods 2020-01 - Procurement of Ambulance</t>
  </si>
  <si>
    <t>20DE0146 Concreting of Brgy. San Jose Sico FMR, Brgy. San Jose Sico, Batangas City, Batangas</t>
  </si>
  <si>
    <t>REHABILITATION OF WATER SYSTEM</t>
  </si>
  <si>
    <t>20DE0147 Concreting of Brgy. San Vicente FMR, Brgy. San Vicente, Bauan, Batangas</t>
  </si>
  <si>
    <t>Construction of Water Tank</t>
  </si>
  <si>
    <t>PB BAC1-20-012 FOR THE SUPPLY AND DELIVERY OF VARIOUS CONSTRUCTION SUPPLIES –  REFRIGERATION &amp; AIRCON - FOR 2020</t>
  </si>
  <si>
    <t>Construction Materials - Repair and Extension of Barangay Hall for VAWC Office and Tanod Outpost</t>
  </si>
  <si>
    <t>Construction of Drainage canal</t>
  </si>
  <si>
    <t>20DE0145 Concreting of Brgy. Tulo FMR, Brgy. Tulo, Batangas City, Batangas</t>
  </si>
  <si>
    <t>INVITATION TO BID FOR CONSTRUCTION OF MULTI PURPOSE BUILDING – BRGY. MATAYA</t>
  </si>
  <si>
    <t>INVITATION TO BID FOR CONSTRUCTION OF MULTI PURPOSE BUILDING – BRGY. NARRA</t>
  </si>
  <si>
    <t>INVITATION TO BID FOR CONSTRUCTION OF MULTI PURPOSE BUILDING – BRGY. CROSSING SIMUAY</t>
  </si>
  <si>
    <t>Dumping Fee of Municipal Waste</t>
  </si>
  <si>
    <t>Contract ID No.: 20GOE0013 - Procurement / Acquisition of Portable Weigh-In-Motion (WIM) Axle Weigher Set for NMDEO ATOME Operations</t>
  </si>
  <si>
    <t>INVITATION TO BID FOR CONSTRUCTION OF MULTI PURPOSE BUILDING – BRGY. BANATIN</t>
  </si>
  <si>
    <t>INVITATION TO BID FOR CONSTRUCTION OF MULTI PURPOSE BUILDING – BRGY. LADIA</t>
  </si>
  <si>
    <t>20EA0054 - Repainting of Mangamnan Bridges</t>
  </si>
  <si>
    <t>CONSTRUCTION OF BANAY BRIDGE</t>
  </si>
  <si>
    <t>IMPROVEMENT OF NAGDAINGAN-ISSAYOT FMR</t>
  </si>
  <si>
    <t>Construction of Proposed Slaughterhouse – San Teodoro</t>
  </si>
  <si>
    <t>IMPROVEMENT OF POB. WEST COMMUNAL IRRIGATION SYSTEM</t>
  </si>
  <si>
    <t>IB-2020-VII-13-01-Office Supplies Inks &amp; Toners (Legislative)</t>
  </si>
  <si>
    <t>INVITATION TO BID FOR CONSTRUCTION OF MULTI PURPOSE BUILDING – BRGY. GANG</t>
  </si>
  <si>
    <t>IMPROVEMENT OF KAKOTONAN-MATEDTEDTED FMR</t>
  </si>
  <si>
    <t>IMPROVEMENT OF MATEDTED-BANAY FMR</t>
  </si>
  <si>
    <t>Procurement of Oil and Lubricants</t>
  </si>
  <si>
    <t>Completion of Alfonso Castañeda Rural Health Unit Building (INFRA2020-02)</t>
  </si>
  <si>
    <t>LOCAL BRIDGE IN MABONGTOT</t>
  </si>
  <si>
    <t>IMPROVEMENT/UPGRADING OF SAN ISIDRO TO BRGY. STO. TOMAS FMR, BRGY. SAN ISIDRO, SULAT, EASTERN SAMAR</t>
  </si>
  <si>
    <t>Supply and Delivery of Dump Trucks for the use of the City Government of Kidapawan.</t>
  </si>
  <si>
    <t>REPAIRS OF THE INFORMATION TECHNOLOGY (FELIPE AGONCILLO) BLDG., ORGANIC CENTER (MRF BLDG.) AND 2-STOREY LABORATORY (PEDRO PATERNO) BLDG.  AT OMSC LABANGAN DAMAGED BY TYPHOON URSULA</t>
  </si>
  <si>
    <t>Purchase of heavy equipment for the Livestock Development of the City Government of Kidapawan</t>
  </si>
  <si>
    <t>PURCHASE OF MULTI CULTIVATOR MACHINE FOR  LIVELIHOOD PROGRAM OF AMIA</t>
  </si>
  <si>
    <t>IB-2020-VII-13-02 FARM TO MARKET ROAD OF VARIOUS BARANGAY</t>
  </si>
  <si>
    <t>Package 1 of 1: Supply of Services and Materials for the Printing and Delivery of 2021 DCWD Wall Calendars - 240,000 sets Medium Size (17" x 22”) and 10,000 sets Large Size (22” x 34")</t>
  </si>
  <si>
    <t>ITB FOR PROCUREMENT OF INTERNET LOAD</t>
  </si>
  <si>
    <t>Procurement of Misting Machine for Dengue Prevention</t>
  </si>
  <si>
    <t>INVITATION TO BID FOR OPENING OF FARM TO MARKET ROAD AT BRGY. PINGGUIAMAN</t>
  </si>
  <si>
    <t>Procurement of the Upgrade of Existing fiber Optic backbone to a gigabit Passive Optical Network (GPON) with IP-PABX and CCTV Services, Province of Aklan-Re Bidding /ITB no: 2020-359</t>
  </si>
  <si>
    <t>PROCUREMENT AND DELIVERY OF FERTILIZERS</t>
  </si>
  <si>
    <t>CONSTRUCTION/REHABILITATION OF CONCRETE PAVEMENT, BRGY. LAPU-LAPU, UNISAN, QUEZON</t>
  </si>
  <si>
    <t>Supply and delivery of heavy equipments for the use of the City Government of Kidapawan.</t>
  </si>
  <si>
    <t>PROJECT 2 - Construction of Isic-Isic BHS, Brgy. Isic, Vintar, Ilocos Norte</t>
  </si>
  <si>
    <t>PROJECT 1 – Expansion of Balaoan District Hospital, Brgy. Bungol, Balaoan, La Union</t>
  </si>
  <si>
    <t>Procurement of One (1) Unit Brand New Combined Rice Harvester with Corn Kit &amp; Heavy Duty Trailer</t>
  </si>
  <si>
    <t>Procurement of Spare Parts for Various Motor Vehicles</t>
  </si>
  <si>
    <t>Procurement of Medicines</t>
  </si>
  <si>
    <t>PROVISION OF FOOD COURT ALUMINUM FRAMED GLASS WALL-2ND FLOOR NEW WET MARKET, BRGY. NORTH POBLACION, MASINLOC, ZAMBALES</t>
  </si>
  <si>
    <t>PROVISION OF ALUMINUM FRAMED GLASS WALL - MASINLOC MALL/LIBRARY HUB/FOOD COURT</t>
  </si>
  <si>
    <t>Procurement of One (1) Unit Brand New Ambulance</t>
  </si>
  <si>
    <t>Procurement of One (1) Unit Brand New Pickup FX Vehicle</t>
  </si>
  <si>
    <t>Supply and Delivery of Fuel to be used on Service Vehicles of City of Sipalay, Negros Occidental</t>
  </si>
  <si>
    <t>PURCHASE OF MEDICAL SUPPLIES FOR SPECIAL PROGRAMS OF RHU 1 &amp; RHU 2 (1st &amp; 2nd Qtr)</t>
  </si>
  <si>
    <t>Opening of Barangay Road, Mahabang Tanaw to CSAP Site, Barangay Taquico</t>
  </si>
  <si>
    <t>INVITATION TO BID FOR SUPPLY AND DELIVERY OF CONSTRUCTION MATERIALS FOR THE PROPOSED ROAD CONCRETING (PHASE 1) AT POBLACION, LINAMON, LANAO DEL NORTE</t>
  </si>
  <si>
    <t>20FF0096 - Construction of Multi-Purpose Building (Covered Court), Barangay Lugsad, Calabanga,, Camarines Sur</t>
  </si>
  <si>
    <t>Procurement of Surgical Supply for the OR use of Dr. Rafael S. Tumbokon Memorial Hospital-EEDD, Kalibo, Aklan- /ITB no: 2020-361</t>
  </si>
  <si>
    <t>PURCHASE OF MEDICINE SUPPLIES FOR RHU 1 &amp; RHU 2 (1st &amp; 2nd qtr 2020)</t>
  </si>
  <si>
    <t>Contract ID No. 20K00353 - Construction of 2-Lane PCCP Pantar (Lanao del Norte)-Marawi City (Lanao del Sur) Road</t>
  </si>
  <si>
    <t>PURCHASE OF SUPPLIES FOR BIRTHING STATION AT RHU 1(1st &amp; 2nd qtr 2020)</t>
  </si>
  <si>
    <t>MOBILE RICE MILL</t>
  </si>
  <si>
    <t>Procurement of HIV Rapid Diagnostic Test-2 (For rHIVda Confirmation) Re-Bid under IB No. 2020-208-A</t>
  </si>
  <si>
    <t>PURCHASE OF ONE UNIT COMPACT FIRE FIGHTING PUMP FOR BFP VICTORIA USE</t>
  </si>
  <si>
    <t>20FF0097 - Construction of Multi-Purpose Building, Brgy. San Felipe, Naga City</t>
  </si>
  <si>
    <t>20FF0095 - Construction of Multi-Purpose Building, Barangay Binaliw, Calabanga, Camarines Sur</t>
  </si>
  <si>
    <t>NOTICE FOR NEGOTIATED PROCUREMENT OF INTERNET MODEM</t>
  </si>
  <si>
    <t>PURCHASE OF CERTIFIED SEEDS FOR LGU SUBSIDY PROGRAM (RE-BID)</t>
  </si>
  <si>
    <t>CW20-032-1 lot Road and Bridge Improvement of Alegria - Panag - Camanlangan (Fatima and Camanlangan Section) (Concreting of 3.392kms. road, installation of 2 lines - 910mmØ RCPC with headwall, constru</t>
  </si>
  <si>
    <t>CONSTRUCTION OF MULTI-PURPOSE BUILDING LOCATED AT BRGY. SAMPALOC IV, CITY OF DASMARIÑAS, CAVITE</t>
  </si>
  <si>
    <t>Procurement of Garbage Compactor (5 cum capacity)</t>
  </si>
  <si>
    <t>Proposed Improvement of Day Care Center, Brgy. San Antonio, San Enrique, Iloilo</t>
  </si>
  <si>
    <t>RENOVATION/IMPROVEMENT OF OPEN SPACE AND MULTI-FUNCTION HALL AT CITY HOMES, BRGY. SAMPALOC IV, CITY OF DASMARIÑAS, CAVITE</t>
  </si>
  <si>
    <t>INVITATION TO BID FOR  QUARTERLY COMPREHENSIVE MAINTENANCE PROGRAM FOR PHILIPS ALLURA FD 10/10 CARDIAC CATH. LAB MACHINE FOR ONE YEAR IB NO. GS 2020-003</t>
  </si>
  <si>
    <t>Procurement of Multi-Purpose Shredder (200-300 kls/hr capacity)</t>
  </si>
  <si>
    <t>Procurement and Implementation of Personnel Management Information with Centralized Payroll System</t>
  </si>
  <si>
    <t>Procurement of One (1) unit Hydraulic Wheel Type Excavator with Hydraulic Breaker unit</t>
  </si>
  <si>
    <t>INFRA2020-CDD-001/ MG-COM20-002 Repair/Rehab of Wharf with Integrated Elevation 702 masl. Marker at Brgy. Maindig, Binidayan, Lanao del Sur</t>
  </si>
  <si>
    <t>CW20-031-1 lot Improvement of Hijo - Dumlan - Libay-libay - Sangab - Limbo Provincial Road(New Visayas - Sangab Section)(Concreting of 2.12kms. road,</t>
  </si>
  <si>
    <t>CW20-030- 1 lot Improvement of Gabi - Cabacungan - Sto. Niño Provincial Road (Cabacungan Section) (Concreting of 2.47kms. road, installation of 3 lines - 910mmØ RCPC with headwall, 1 line - 1220mmØ RC</t>
  </si>
  <si>
    <t>IMPROVEMENT OF FENCING &amp; GATE  AT MUNICIPAL COMPOUND</t>
  </si>
  <si>
    <t>SUPPLY OF LABOR &amp; MATLS FOR THE CONSTRUCTION OF MRF BUILDING</t>
  </si>
  <si>
    <t>Contract ID No. 20K00352 - Reconstruction/ Rehabilitation of Bridge along Barangay Road at Kurmatan Matampay</t>
  </si>
  <si>
    <t>CONSTRUCTION OF ENCLOSED PATHWAY WITH SCREEN AT VICTORIA PROCESSING PLANT AT BULO</t>
  </si>
  <si>
    <t>Construction of Perimeter Fence Ticket Booth and Movable Basketball Goal at Evacuation Center, Brgy. Camansi, Kabankalan City, Negros Occidental</t>
  </si>
  <si>
    <t>CW20-026-Rebid-1 Lot Construction of Water System, Liwanag Center, Brgy. Libasan (Construction of elevated tank, well drilling, installation of pipelines and 1 set 5.0Hp single phase submersible pump)</t>
  </si>
  <si>
    <t>IMPROVEMENT OF PUBLIC MARKET</t>
  </si>
  <si>
    <t>1.ON-GOING CONSTRUCTION OF MULTI-PURPOSE HALL 2.REHAB./IMPROVEMENT OF BRGY. PLAZA3.INSTALLATION OF STREET LIGHTS 4IMPROVEMENT OF PERIMETER FENCE.</t>
  </si>
  <si>
    <t>20FG0101 - Site Development of DPWH Camarines Sur 4th Engineering District Complex Caraycayon, Tigaon, Camarines Sur</t>
  </si>
  <si>
    <t>CONSTRUCTION OF HANGING BRIDGE PHASE II</t>
  </si>
  <si>
    <t>Ref. No. 2020-013 Procurement of Fully Developed Lots and Completed Housing Units Under NHA's Yolanda Permanent Housing Program - Prime Town IV, Tanauan</t>
  </si>
  <si>
    <t>Purchase of Various Medicines for RHU</t>
  </si>
  <si>
    <t>20FF0098 - Construction of Multi-Purpose Building, Brgy. San Isidro, Magarao, Camarines Sur</t>
  </si>
  <si>
    <t>Communication and Response Enhancement Program-Installation of Public Address System (Phase 2)</t>
  </si>
  <si>
    <t>CONCRETING OF ROAD AT SITIO MAROCCO STA BARBARA</t>
  </si>
  <si>
    <t>CONSTRUCTION OF MATANA CREEK SLOPE PROTECTION SLOPE PROTECTION, SITIO MATANA, BRGY. TAPUAC</t>
  </si>
  <si>
    <t>Ref. No. 2020-012 Procurement of Fully Developed Lots and Completed Housing Units Under NHA's Yolanda Permanent Housing Program - Our Lady of Assumption, Tanauan</t>
  </si>
  <si>
    <t>Ref. No. 2020-011 Procurement of Fully Developed Lots and Completed Housing Units Under NHA's Yolanda Permanent Housing Program - Las Casas Del Flor Phase 1,2,3,4 &amp; Matlang Heights Subd. Sites 1 &amp; 2</t>
  </si>
  <si>
    <t>COMPLETION OF GYMNASIUM/EVACUATION CENTER</t>
  </si>
  <si>
    <t>Procurement of One (1) Unit Brand New Tractor Head for the use in projects, repair and maintenance of various Provincial Roads, Province of Aklan/ITB no: 2020-362</t>
  </si>
  <si>
    <t>20FH0085 - LOCAL ROADS AND BRIDGES-LOCAL ROADS-CONSTRUCTION/REHABILITATION/IMPROVEMENT OF BRGY. DUGUI TOO TO DUGUI WALA, VIRAC, CATANDUANES</t>
  </si>
  <si>
    <t>20BE0049 (re-adv.) - CONSTRUCTION OF ONE-STOREY   (3 -CLASSROOMS) SCHOOL BUILDING SAN JUAN E/S , CABAGAN, ISABELA</t>
  </si>
  <si>
    <t>20FF0099 - Construction of Multi-Purpose Building (Covered Court), Brgy. San Francisco, Calabanga, Camarines Sur</t>
  </si>
  <si>
    <t>20BE0048 (re-adv.) - CONSTRUCTION OF TWO-STOREY  (4 -CLASSROOMS) SCHOOL BUILDING CANSAN ES, CABAGAN, ISABELA</t>
  </si>
  <si>
    <t>INFRA2020-CDD-002/ MG-COM20-003 Construction of Wharf with Integrated Elevation 702 masl. Marker at Brgy. Taliogon, Ganassi, Lanao del Sur</t>
  </si>
  <si>
    <t>20BE0047 (re-adv.) - CONSTRUCTION OF TWO-STOREY  (6-CLASSROOMS) SCHOOL BUILDING SAN FELIPE E/S, CITY OF ILAGAN, ISABELA</t>
  </si>
  <si>
    <t>PURCHASE OF FARM MACHINERIES</t>
  </si>
  <si>
    <t>Purchase of Dairy Goat &amp; Cattle, Dairy Buffalo, and Meat-type goat including animal feeds</t>
  </si>
  <si>
    <t>CONCRETING OF PALAGAO-SUR-TAGUMAY ROAD (CONTINUATION) AT GATTARAN, CAGAYAN</t>
  </si>
  <si>
    <t>Supply, Delivery, Installation and Commissioning of Various Material Handling Units, as per BSP Technical Specifications and Terms of Reference, including Equipment Handling/Safety Seminar/Training of</t>
  </si>
  <si>
    <t>Construction/Completion of Multi-Purpose Gymnasium</t>
  </si>
  <si>
    <t>INVITATION TO BID FOR SUPPLY AND DELIVERY OF CONSTRUCTION MATERIALS FOR THE PROPOSED TWO-STOREY MULTI-PURPOSE BUILDING (PHASE 1) AT SITIO MANADI, BRGY. PURAKAN, LINAMON, LANAO DEL NORTE</t>
  </si>
  <si>
    <t>NEGOTIATED PROCUREMENT  FOR THE  Fabrication and Delivery of  Prisoner’s Vehicle (PR-2020-9999-0185)</t>
  </si>
  <si>
    <t>REHABILITATION OF BARANGAY ROADS OF 7 BARANGAYS AT KIBAWE (UPPER  PULANGI AREA) 2020</t>
  </si>
  <si>
    <t>PURCHASE OF EQUIPMENT FOR VEGETABLE  PRODUCTION OF DA</t>
  </si>
  <si>
    <t>Procurement of One (1) Unit Brand New Pickup Vehicle</t>
  </si>
  <si>
    <t>CONSTRUCTION OF THREE CLASSROOM SCHOOL BUILDING AT SITIO PINUTULAN, CAPISSAYAN NORTE, GATTARAN, CAGAYAN</t>
  </si>
  <si>
    <t>Procurement of Beractant Suspension</t>
  </si>
  <si>
    <t>Installation of Airconditioned Unit and Electrical Works at Multi Purpose Hall, Brgy. Balangobong, Alaminos City, Pangasinan</t>
  </si>
  <si>
    <t>Improvement of Barangay Health Center at Brgy. Ipil Heights, Ipil, Zamboanga Sibugay (INFR-2020-009) -REBID</t>
  </si>
  <si>
    <t>Installation of Airconditioned unit at Multi Purpose Hal, Child Development Center &amp; Barangay Health Center at Brgy. San Jose, Alaminos City, Pangasinan</t>
  </si>
  <si>
    <t>Construction of Water System (Drilling) @ Brgy. Tilasan Roseller R.T. Lim, Zamboanga Sibugay (INFR-2020-033)</t>
  </si>
  <si>
    <t>SUPPLY AND DELIVERY OF 1 UNIT BRAND NEW MOBILE X-RAY MACHINE TRUCK</t>
  </si>
  <si>
    <t>Concreting of Tomitom Brgy. Road @ Brgy. Tomitom, Ipil, Zamboanga Sibugay (INFR-2020-036)</t>
  </si>
  <si>
    <t>Construction of Water System (Drilling) @ Brgy. Tupilac, R.T. Lim, Zamboanga Sibugay (INFR-2020-031)</t>
  </si>
  <si>
    <t>Construction of Multi-Purpose Building @ Lindang, Diplahan, Zamboanga Sibugay (INFR-2020-035)</t>
  </si>
  <si>
    <t>INVITATION TO BID FOR LABOR AND MATERIALS FOR THE CONSTRUCTION OF TINAGO FALLS DEVELOPMENT PROJECT (MULTI-PURPOSE HALL) PHASE 2</t>
  </si>
  <si>
    <t>Procurement of Various Drugs and Medicines</t>
  </si>
  <si>
    <t>Construction of Foot Bridge at Brgy. Gandaan - Brgy. Galas, Olutanga, Zamboanga Sibugay (INFR-2020-037)</t>
  </si>
  <si>
    <t>Construction of Mangrove Boardwalk @ Brgy. Buluan, Ipil, Zamboanga Sibugay (INFR-2020-030)</t>
  </si>
  <si>
    <t>Ref. No. 2020-015 Procurement of Fully Developed Lots and Completed Housing Units Under NHA's Yolanda Permanent Housing Program - Tingib Homes, Pandan</t>
  </si>
  <si>
    <t>Construction of Brgy Evacuation Center @ Brgy. Casacon, R.T. Lim, Zamboanga Sibugay (No. INFR-2020-029)</t>
  </si>
  <si>
    <t>20FH0087 - CONSTRUCTION OF FOUR (4) STOREY SIXTEEN (16) CLASSROOM – TWO (2) UNITS (7X18) SCIENCE LABORATORY, TWO (2) UNITS (7X18) ICT LABORATORY AND FOUR (4) UNITS (7X18) REGULAR WORKSHOP SCHOOL BUILD</t>
  </si>
  <si>
    <t>Local Bridges in Logohon-Singay, Brgy. Logohon and Singay, Madalag, Aklan</t>
  </si>
  <si>
    <t>Construction of Boat / Fish Landing (Phase I) @ Brgy. Buluan, Ipil, Zamboanga Sibugay (INFR-2020-028)</t>
  </si>
  <si>
    <t>INVITATION TO BID FOR CONSTRUCTION OF MULTI PURPOSE BUILDING – BRGY. CENTRAL LANGCONG</t>
  </si>
  <si>
    <t>Construction of Multi-Purposed Building (Tourism Information and Assistance Center) @ Brgy Sapang Uwak, Porac, Pampanga</t>
  </si>
  <si>
    <t>INVITATION TO BID FOR CONSTRUCTION OF MULTI PURPOSE BUILDING – BRGY. MINABAY</t>
  </si>
  <si>
    <t>INVITATION TO BID FOR CONSTRUCTION OF MULTI PURPOSE BUILDING – BRGY. DARUGAO</t>
  </si>
  <si>
    <t>Livelihood Assistance to Tricycle Drivers</t>
  </si>
  <si>
    <t>INVITATION TO BID FOR CONSTRUCTION OF MULTI PURPOSE BUILDING – BRGY. BUGCASAN NORTE</t>
  </si>
  <si>
    <t>Repair of Lined Canal, Agan Road, Brgy. Sta.Cruz, City of Koronadal</t>
  </si>
  <si>
    <t>INVITATION TO BID FOR CONSTRUCTION OF MULTI PURPOSE BUILDING – BRGY. SAPAD</t>
  </si>
  <si>
    <t>ITB Laboratory Equipment and Field Monitoring Equipment</t>
  </si>
  <si>
    <t>Construction of Water System (Drilling) @ Brgy. San Pedro, Tungawan, Zamboanga Sibugay (INFR-2020-032)</t>
  </si>
  <si>
    <t>ROAD CONCRETING AT BRGY. MULTI PURPOSE GYM GROUND</t>
  </si>
  <si>
    <t>INVITATION TO BID FOR CONSTRUCTION OF MULTI PURPOSE BUILDING – BRGY. NANGI</t>
  </si>
  <si>
    <t>Procurement for the Supply and Delivery of Thirteen (13) Units Duplicating Machine for DepEd City Division, City of Koronadal</t>
  </si>
  <si>
    <t>Ref. No. 2020-014 Procurement of Fully Developed Lots and Completed Housing Units Under NHA's Yolanda Permanent Housing Program - Sta. Fe Residences, Pandan</t>
  </si>
  <si>
    <t>Procurement for the Supply and Delivery of Various Construction Materials Lot 1, 2 &amp; 3, City of Koronadal</t>
  </si>
  <si>
    <t>Construction of Multi-Purpose Hall for Livelihood for Barangay Lim-ao Resettlement Site Home Owners Association (BLRSHOA)</t>
  </si>
  <si>
    <t>Concreting of Brgy, Road @ Sitio Targetan</t>
  </si>
  <si>
    <t>PBS 20-073A STRUCTURED CABLING FOR UP ITDC</t>
  </si>
  <si>
    <t>Procurement for the Supply and Delivery of 40 Units Laptop Computers for DepEd City Division, City of Koronadal</t>
  </si>
  <si>
    <t>Labor and Materials for the Construction of Office Cabinet and Pantry at New RHU, Wawa, Orion, Bataan</t>
  </si>
  <si>
    <t>Construction of Multi-Purpose Building @ Brgy. New Canaan, Titay, Zamboanga Sibugay (INFR-2020-034)</t>
  </si>
  <si>
    <t>Procurement for the Supply and Delivery of 200 Units Printer (3 in 1) for DepEd City Division, City of Koronadal</t>
  </si>
  <si>
    <t>Peace Keeping Action Team Assistance Program</t>
  </si>
  <si>
    <t>Maintenance &amp; Upgrading of CCTV Units</t>
  </si>
  <si>
    <t>INVITATION TO BID PROCUREMENT OF WAREHOUSE HANDLING (AND ALLIED) SERVICES FOR GRAINS FOR NFA EASTERN VISAYAS REGION (REGION VIII) FOR CALENDAR YEAR 2020</t>
  </si>
  <si>
    <t>Livelihood Assistance to Farmers in the form of Fertilizer</t>
  </si>
  <si>
    <t>Rehabilitation of Local Access Road, Subec, Sta. Catalina, Ilocos Sur</t>
  </si>
  <si>
    <t>SUPPLY AND DELIVERY OF FUEL FOR CY 2020</t>
  </si>
  <si>
    <t>Construction of Sanitary Toilet &amp; Hygiene Facility, Poblacion, Sta. Catalina, Ilocos Sur</t>
  </si>
  <si>
    <t>Construction of Deep Wells Potable Water 5 Sitio's ( Quarry, Apalili, Centro, Hantud &amp; Kagisukan)</t>
  </si>
  <si>
    <t>PB PUR20-02-0135 SUPPLY AND DELIVERY OF CHARGE SLIP AND STICK-ON LABEL FOR 2020</t>
  </si>
  <si>
    <t>Goods 2020-02 - Procurement of Dump Truck</t>
  </si>
  <si>
    <t>Construction of Concrete Bridge  (2.0m x 40.0 ln.m. bridge with railings, 2.0m x 6.0 ln.m. x 0.15 thick PCCP  extended along the concrete bridge)</t>
  </si>
  <si>
    <t>Provision of Security Services to the various District Hospitals of the Provincial Government of Cagayan (PGC)</t>
  </si>
  <si>
    <t>Procurement of Water Filter and Purifier for Child Development Center</t>
  </si>
  <si>
    <t>PB2020-06-005 GAA Modernization of Two (2) Units Passenger Elevators in the Higher Education Development Center (HEDC) Building</t>
  </si>
  <si>
    <t>Procurement of Drugs and Medicines to be used by Central Pharmacy</t>
  </si>
  <si>
    <t>Procurement of Various Janitorial and Other Maintenance Supplies for the use of the Departments of LGU- Mabalacat City</t>
  </si>
  <si>
    <t>Garbage Collection at Barangay Bel-Air for CY 2020</t>
  </si>
  <si>
    <t>ITB NO. GOP/20-DSWD-039 Provision of Multi-Year Contract for the Hiring of Service Provider for the Preventive Maintenance and Service Repair of Generator Sets of DSWD – Central Office (DSWD-CO) and N</t>
  </si>
  <si>
    <t>Supply and Delivery of Poulty Animal</t>
  </si>
  <si>
    <t>Improvement of Child Friendly Park</t>
  </si>
  <si>
    <t>CONSTRUCTION OF STAGE AT RIZAL NATIONAL HIGH SCHOOL, BRGY. RIZAL, KANANGA, LEYTE - REPOST</t>
  </si>
  <si>
    <t>INVITATION TO BID FOR LABOR AND MATERIALS FOR THE IMPROVEMENT/ENHANCEMENT OF HISTORICAL SITES</t>
  </si>
  <si>
    <t>VARIOUS TONER CARTRIDGE  FOR EPSON WORKFORCE PRINTERS</t>
  </si>
  <si>
    <t>SUPPLY AND DELIVERY OF CHLORINE DIOXIDE FOR WATER TREATMENT OF TANZA WATER   DISTRICT (TWD)</t>
  </si>
  <si>
    <t>PROCUREMENT OF SURGICAL AND WOUND CARE SUPPLIES</t>
  </si>
  <si>
    <t>One (1) Lot - Supply of Forty-three (43) Minimum Wage Personnel and Related Services, as per BSP Terms of Reference</t>
  </si>
  <si>
    <t>SUPPLY OF LABOR AND MATERIALS FOR THE ESTABLISHMENT OF FARM MACHINERY SHED OF (BPI-LBNCRDPSC, LOS BAÑOS, LAGUNA</t>
  </si>
  <si>
    <t>Repair &amp; Maintenance of School Building &amp; Facilities</t>
  </si>
  <si>
    <t>Construction of Multi-Purpose Building (Evacuation Center)</t>
  </si>
  <si>
    <t>Ceiling Board Acoustic</t>
  </si>
  <si>
    <t>IMPROVEMENT OF MAIN ELECTRICAL POWER SUPPLY LINES - LGU BALETE (MATAERIALSONLY) RE-BID</t>
  </si>
  <si>
    <t>supply and Delivery of Medicines and Medical Supplies for the 1st and 2nd quarter 2020</t>
  </si>
  <si>
    <t>Supply and Delivery of Vehicle for National Capital Regional Office</t>
  </si>
  <si>
    <t>SUPPLY AND DELIVERY OF 2,000 BOTTLES ORGANIC PESTICIDES TO BE USED FOR THE PREVENTION AND CONTROL MANAGEMENT AGAINST FALL ARMYWORM UNDER CORN PROGRAM FOR CY 2020</t>
  </si>
  <si>
    <t>Municipal Drainage System Plan at Dinapigue, Isabela</t>
  </si>
  <si>
    <t>SUPPLY &amp; DELIVERY OF MATERIALS FOR WATER METER AND GATE VALVES FOR WATER CONNECTIONS OF NWSS CONSUMERS</t>
  </si>
  <si>
    <t>SUPPLY &amp; DELIVERY OF MATERIALS FOR THE CONSTRUCTION OF MULTIPURPOSE STALLS (PAVILION)-B</t>
  </si>
  <si>
    <t>SUPPLY &amp; DELIVERY OF MATERIALS FOR THE CONSTRUCTION OF MULTIPURPOSE STALLS (PAVILION)</t>
  </si>
  <si>
    <t>Design and Construction of Housing Facilities for Waste Granulator and Brick Making Equipment at Vitas Pumping Station, Tondo, Manila</t>
  </si>
  <si>
    <t>SUPPLY &amp; DELIVERY OF MATERIALS FOR GENERATION, TRANSMISSION AND DISTRIBUTION OF NWSS SERVICES 2ND QTR CY 2020</t>
  </si>
  <si>
    <t>ACQUISITION OF HEAVY EQUIPMENT</t>
  </si>
  <si>
    <t>Rehabilitation and Improvement of Bacnotan-San Gabriel Road (San Juan Section), San Juan</t>
  </si>
  <si>
    <t>PURCHASE OF ONE (1) UNIT PATROL CAR</t>
  </si>
  <si>
    <t>Repair/Maintenance of DPWH Building, Main Building, QAS and Others</t>
  </si>
  <si>
    <t>PURCHASE AND DELIVERY OF MACHINERY AND EQUIPMENT FOR OMM-OPERATION OF SLAUGHTERHOUSE</t>
  </si>
  <si>
    <t>Supply, Delivery and Installation of Office Furnitures and Fixtures</t>
  </si>
  <si>
    <t>PROCUREMENT OF SUPPLY AND DELIVERY OF SPORTS EQUIPMENTS</t>
  </si>
  <si>
    <t>Collection, Transportation, Treatment and Proper Disposal of Hazardous and Toxic Health Care Wastes Generated using Non-burn Technology for the 5 District Hospitals</t>
  </si>
  <si>
    <t>PROCUREMENT OF LABORATORY EQUIPMENT</t>
  </si>
  <si>
    <t>Road Concreting at Barangay Balliao</t>
  </si>
  <si>
    <t>Concreting of Core Local Access Road of Barangay Villaluz to New Magsaysay</t>
  </si>
  <si>
    <t>PROCUREMENT OF EXPENDABLE MEDICAL SUPPLIES (RE-BID)</t>
  </si>
  <si>
    <t>CONCRETING OF BARANGAY STREET, Brgy. Can-ilay, Can-avid Eastern Samar</t>
  </si>
  <si>
    <t>PROCUREMENT OF CIVIL WORKS FOR BALINGASAG RIS 2020 CCAW (SUPP)</t>
  </si>
  <si>
    <t>PURCHASE, DELIVERY &amp; INSTALLATION OF 2 UNITS HIGH VOLUME LOW   SPEED (HVLS) CEILING FAN</t>
  </si>
  <si>
    <t>Supply and Delivery of Various Office Equipment for MDRRM Office</t>
  </si>
  <si>
    <t>Supply of Fuel (Gasoline and Diesel) – Part2</t>
  </si>
  <si>
    <t>Procurement of Office Supplies of Barangay Magallanes</t>
  </si>
  <si>
    <t>Supply and Replacement of LED Solar Powered Streetlights along Quirino Highways 3.75 Kilometers (from Quezon City / Caloocan Boundary to Malaria St.)</t>
  </si>
  <si>
    <t>SUPPLY AND DELIVERY OF 4,000 PACKS FALL ARMY-LURE (PHEROMONE LURE) TO BE USED FOR THE PREVENTION AND CONTROL MANAGEMENT AGAINST FALL ARMYWORM UNDER CORN PROGRAM FOR CY 2020</t>
  </si>
  <si>
    <t>Supply and Replacement of LED Streetlights at the following locations: Along Buendia Ave., (Taft Ave. to Tramo St.), Makati City along Mayor Ignacio Diaz St. (N. Domingo St. to EDSA), Quezon City alon</t>
  </si>
  <si>
    <t>Invitation to Bid - Supply and Delivery of Eighteen (18) Units Computer Laptop (SP)</t>
  </si>
  <si>
    <t>PROCUREMENT OF OFFICE OR SCHOOL SUPPLIES AND EQUIPMENTS</t>
  </si>
  <si>
    <t>Invitation to Bid - Supply and Delivery of Limestone for Embankment/Site Development/Construction of Motorpool Building at Barangay Cambanay, Danao City</t>
  </si>
  <si>
    <t>PROCUREMENT OF ASSORTED GOODS</t>
  </si>
  <si>
    <t>INVITATION TO BID FOR SUPPLY AND DELIVERY OF VARIOUS MATERIALS  FOR THE CONSTRUCTION OF THE MAIN OFFICE BUILDING EXTENSION</t>
  </si>
  <si>
    <t>Repair/Maintenance of : A. Nabuangan Flood Control , Ripang, Conner Sta. o+000-Sta 0+050 &amp; Sta 0+053-Sta 0+171, Apayao B. Karikitan Flood Control, Conner, Apayao Sta. 000+000-Sta.000+018</t>
  </si>
  <si>
    <t>IMPROVEMENT OF PANAAD BOOTH AT THE PANAAD PARK,BRGY. ALIJIS, BACOLOD CITY</t>
  </si>
  <si>
    <t>20GAD0005 : Purcahse of Road/Traffic Warning Signs for use along Manila North Road, Tagudin-Santa Section ( accident blackspot), K0313+(-103)-K0395+149</t>
  </si>
  <si>
    <t>Supply &amp; Delivery of Materials for Construction of Open Canal at Poblacion Cantilan</t>
  </si>
  <si>
    <t>Purchase of Emergency Rescue Vehicle, Brgy. Caidiocan</t>
  </si>
  <si>
    <t>Supply &amp; Delivery of Materials for Rehabilitation of Julve Street, Cantilan</t>
  </si>
  <si>
    <t>STREETLIGHTS PROJECT FOR BLACK SPOT LOCATIONS (GAD PROJECT) Along Aurora Blvd. / Marcos Highway (Katipunan Ave. To Marikina Bridge 1.20 Kilometers)</t>
  </si>
  <si>
    <t>SUPPLY AND DELIVERY  OF CORRUGATED   GI SHEET FOR THE IDENTIFIED PARTIALLY DAMAGED OF TYPHOON TISOY IN THE CITY OF SORSOGON (2ND CALL)</t>
  </si>
  <si>
    <t>Supply &amp; Delivery of Materials for Installation of Deep &amp; Shallow Payao</t>
  </si>
  <si>
    <t>Supply &amp; Delivery of Materials for Establishment of Vermi Culture</t>
  </si>
  <si>
    <t>20GAD0004: Supply and Delivery of materials for the Repair and Maintenance, along Tagudin-Cervantes Road</t>
  </si>
  <si>
    <t>Construction of Covered Court Phase I</t>
  </si>
  <si>
    <t>Supply &amp; Delivery of Materials for Rehabilitation of Brgy. Road at Toog to Hibjok (Timber Bridge)</t>
  </si>
  <si>
    <t>PURCHASE OF BARANGAY DISASTER RISK REDUCTION MANAGEMENT COMMITTEE RESCUE VEHICLE (BONGO) OF BRGY. SALVACION, PANABO CITY.</t>
  </si>
  <si>
    <t>Shielded metal arc welding</t>
  </si>
  <si>
    <t>Supply &amp; Delivery of Materials for Fencing of Municipal Agriculture Office Compound</t>
  </si>
  <si>
    <t>20DN0174 - REHABILITATION OF NHA ROAD WITH DRAINAGE, BRGY. SAN ISIDRO, ANTIPOLO CITY</t>
  </si>
  <si>
    <t>20DN0173 - CONSTRUCTION OF SPORTS FACILITY BUILDING AT BLUEBELLS, BRGY. MAYAMOT, ANTIPOLO CITY, RIZAL</t>
  </si>
  <si>
    <t>20DN0134 (Re-bid) - REHABILITATION OF ROADS WITH DRAINAGE SYSTEM, PUROK 4, COLLEGE VIEW PARK, BRGY. CUPANG, ANTIPOLO CITY, RIZAL</t>
  </si>
  <si>
    <t>20DN0172 - CONSTRUCTION OF MULTI-PURPOSE BUILDING BRGY. TAYUMAN, BINANGONAN, RIZAL</t>
  </si>
  <si>
    <t>Supply &amp; Delivery of Agricultural Supplies for Establishment of Rice Model Farm</t>
  </si>
  <si>
    <t>20DN0130 (Re-Schedule) - REHABILITATION OF ROAD WITH DRAINAGE AT ORCHID ST., GREENHEIGHTS SUBD., MAYAMOT , ANTIPOLO CITY, RIZAL</t>
  </si>
  <si>
    <t>20DN0129 (Re-Schedule) - CONSTRUCTION/ REHABILITATION OF MULTI - PURPOSE BUILDING, ANTIPOLO CITY, RIZAL</t>
  </si>
  <si>
    <t>SUPPLY AND DELIVERY OF 1,175 BOTTLES SPINETORAM AND 1,000 BOTTLES CHLORANTRANILIPROLE PESTICIDES TO BE USED FOR THE PREVENTION AND CONTROL MANAGEMENT AGAINST FALL ARMYWORM UNDER CORN PROGRAM FOR CY 20</t>
  </si>
  <si>
    <t>20DN0128 (Re-Schedule) - CONCRETING OF ROAD, BRGY. SAN JUAN, ANTIPOLO CITY, RIZAL</t>
  </si>
  <si>
    <t>SUPPLY AND DELIVERY OF MEALS AND SNACKS and FACILITATOR’S ACCOMMODATION FOR THE BASIC SKILLS TRAINING IN DRESSMAKING AND BEADS MAKING</t>
  </si>
  <si>
    <t>Supply and Delivery of Construction Materials for Routine Maintenance (Construction Materials / Hand Tools &amp; Paints) (Bridges) (CY-2020-2nd Quarter).</t>
  </si>
  <si>
    <t>20DN0166 - CONSTRUCTION AND/OR REPAIR/REHABILITATION OF MULTI - PURPOSE BUILDING, BRGY. SAN ISIDRO, ANGONO, RIZAL</t>
  </si>
  <si>
    <t>20DN0170 - REHABILITATION OF MULTI - PURPOSE BUILDING (ANTIPOLO SPORTS HUB), SITIO ORETA, BARANGAY SAN ISIDRO, ANTIPOLO CITY</t>
  </si>
  <si>
    <t>Procurement of Comprehensive Maintenance Service Agreement for Virtualization Software</t>
  </si>
  <si>
    <t>20DN0131 (Re-Schedule) - REHABILITATION OF ROAD AND DRAINAGE SYSTEM, ANTIPOLO HILLS MUNICIPAL ROAD, BRGY. SAN LUIS, ANTIPOLO CITY</t>
  </si>
  <si>
    <t>20DN0144 (Re-Schedule) - CONSTRUCTION OF PEDESTRIAN OVERPASS, BRGY. MAMBUGAN, ANTIPOLO CITY</t>
  </si>
  <si>
    <t>20DN0143 (Re-Schedule) - CONSTRUCTION OF MULTI - PURPOSE BUILDING, BRGY. TATALA, BINANGONAN, RIZAL</t>
  </si>
  <si>
    <t>INSTALLATION OF POWER,  DISTRIBUTION LINE AND COMMUNICATION SYSTEMS</t>
  </si>
  <si>
    <t>CONSTRUCTION OF ADDITIONAL TOMBS / BONE VAULTS AT MUNICIPAL CEMETERY, BRGY. MONTEBELLO, KANANGA, LEYTE</t>
  </si>
  <si>
    <t>SUPPLY AND DELIVERY TRAINING MATERIALS with 8-units SEWING MACHINE and STARTER-KIT FOR THE BASIC SKILLS TRAINING IN DRESSMAKING AND BEADS MAKING</t>
  </si>
  <si>
    <t>20DN0167 - CONSTRUCTION/ REHABILITATION OF WATER SUPPLY/ SEPTAGE AND SEWERAGE/RAINWATER COLLECTORS – RAINWATER COLLECTORS IN PUBLIC FACILITIES, RIZAL 1ST LEGISLATIVE DISTRICT</t>
  </si>
  <si>
    <t>20DN0140 (Re-Schedule) - CONSTRUCTION OF PEDESTRIAN OVERPASS, BRGY. STA. CRUZ, ANTIPOLO CITY</t>
  </si>
  <si>
    <t>PROCUREMENT OF  ONE (1) UNIT MOTOR VEHICLE (PASSENGER VAN)</t>
  </si>
  <si>
    <t>20DN0138 (Re-Schedule) - REHABILITATION OF ROAD AND DRAINAGE SYSTEM AT BROOKSIDE HILLS, BRGY. SAN JUAN, CAINTA, RIZAL</t>
  </si>
  <si>
    <t>Supply and delivery of Various DRUGS AND MEDICINES - for various programs of the City Health Office</t>
  </si>
  <si>
    <t>CONCRETING OF ROADS MUNICIPAL WIDE AT  BRGY. POBLACION, KANANGA, LEYTE</t>
  </si>
  <si>
    <t>20DN0141 (Re-Schedule) - ASPHALT OVERLAY, BRGY.MAYAMOT, ANTIPOLO CITY</t>
  </si>
  <si>
    <t>DEEP WELL (SUBMERSIBLE) FOR LIWASANG PANGKALIKASAN PRENZA I</t>
  </si>
  <si>
    <t>20DN0139 (Re-Schedule) - CONSTRUCTION OF PEDESTRIAN OVERPASS, BRGY. DELA PAZ, ANTIPOLO CITY</t>
  </si>
  <si>
    <t>Straight Contract for Construction of Multi-Purpose Building - Dialysis Center at City Health Compound, Brgy. I-Pob., Himamaylan City</t>
  </si>
  <si>
    <t>Procurement of One (1) Unit Boom truck w/ complete Accessories  PR # 20-06-992</t>
  </si>
  <si>
    <t>20DN0137 (Re-Schedule) - CONSTRUCTION/ IMPROVEMENT OF CLIFFSIDE AND ROAD WIDENING WITH DRAINAGE SYSTEM, BRGY. MACAMOT, BINANGONAN, RIZAL</t>
  </si>
  <si>
    <t>Contract for the Concreting of Road Section at Cosmos St. to Fd. Rd. #4, Phase 2</t>
  </si>
  <si>
    <t>ADDITIONAL ROAD CONCRETING, CANAL AND PATHWALK AT LIWASANG PANGKALIKASAN, PRENZA I</t>
  </si>
  <si>
    <t>IMPROVEMENT/CONCRETING OF SAN VICENTE BRGY. ROAD</t>
  </si>
  <si>
    <t>Straight Contract for Installation of Street Lights (Phase 2) Along National Highway, Brgy. Talaban to So. Naga, Brgy. Su-ay, Himamaylan City</t>
  </si>
  <si>
    <t>CONCRETING OF ROAD WITH COVERED CANALS BOTH SIDES AT PUROK SAN FRANCISCO ENTRANCE ROAD, BARANGAY CENTRO (SAN JUAN), AGDAO DISTRICT DAVAO CITY</t>
  </si>
  <si>
    <t>PROCUREMENT FOR DEPED RO8 CY 2020 GENERAL SUPPLIES</t>
  </si>
  <si>
    <t>REI NO. GOP/20-DSWD-001- HIRING OF CONSULTANCY FIRM FOR THE CONDUCT OF EXTERNAL SPOT CHECK OF THE PANTAWID PAMILYANG PILIPINO PROGRAM OPERATIONS (SPOT CHECK 2020)</t>
  </si>
  <si>
    <t>IMPROVEMENT OF MULTI-PURPOSE BUILDING AT PUROK SAN MIGUEL, BARANGAY CENTRO, AGDAO DISTRICT, DAVAO CITY</t>
  </si>
  <si>
    <t>Consulting Service for the National Survey on the Awareness of Private Firms on the Philippine Competition Act and the Philippine Competition Commission</t>
  </si>
  <si>
    <t>SUPPLY AND DELIVERY OF ONE (1) – UNIT RESCUE VEHICLE</t>
  </si>
  <si>
    <t>20DN0142 (Re-Schedule) - CONSTRUCTION OF MULTI - PURPOSE BUILDING, BRGY. LIBID, BINANGONAN, RIZAL</t>
  </si>
  <si>
    <t>Invitation to Bid for Concreting of San Pedro Farm to Market Road</t>
  </si>
  <si>
    <t>20DN0136 (Re-Schedule) - REPAIR/ REHABILITATION OF DRAINAGE SYSTEM, A. RODRIGUEZ AVE.,  BRGY. SAN ANDRES, CAINTA, RIZAL</t>
  </si>
  <si>
    <t>20CSFM0001 Consulting Services for Sub-Soil Investigation for FY 2021 Proposed Bridge, Flood Control/Shore Protection and Slope Protection Projects, Ticao Island and Burias Island, Masbate</t>
  </si>
  <si>
    <t>Supply, delivery &amp; installation of TV, Speaker and Microphones (Mayor's Office - Conf. Room)</t>
  </si>
  <si>
    <t>PREVENTIVE MAINTENANCE for one (1) lot Various MEDICAL EQUIPMENT of the Radiology Department of the PCGH (August to December 2020)</t>
  </si>
  <si>
    <t>Proposed Construction of Four (4) Storey-Forty Eight (48) Rooms – School Building and Facilities at PNSB - Phase 2</t>
  </si>
  <si>
    <t>Procurement of Office Supplies (Printer ink)</t>
  </si>
  <si>
    <t>SUPPLY AND DELIVERY OF VARIOUS MATERIALS FOR CAPTURE FISHERIES LIVELIHOOD PROJECTS</t>
  </si>
  <si>
    <t>PACKAGE OF PROJECTS, IMPROVEMENT OF DRAINAGE SYSTEM AT PUROK SAN MARCUS AND REHABILITATION AND CONSTRUCTION OF CONCRETE CANAL COVER FOR THE EXISTING CONCRETE CANAL FROM MINTRADE DRIVE TO PUROK FATIMA</t>
  </si>
  <si>
    <t>Supply and Delivery of One (1) Lot Various Garbage Bins for the Implementation of Waste Segregation in the Solid Waste Management Program</t>
  </si>
  <si>
    <t>20DN0135 (Re-Schedule) - CONSTRUCTION AND/ OR REPAIR/ REHABILITATION OF MULTI - PURPOSE BUILDING, BRGY. KALAWAAN, BINANGONAN, RIZAL</t>
  </si>
  <si>
    <t>FILLING MATERIAL FOR ROADWAY FROM VILLA MONTEVERDE TO TABON CREEK, NAGBALON</t>
  </si>
  <si>
    <t>SUPPLY &amp; DELIVERY OF WHEELED STRETCHER</t>
  </si>
  <si>
    <t>20AF0079, CONCRETING OF SITIO TIMMORE, BRGY. SAN FERMIN FMR, CABA, BRGY. SAN FERMIN, CABA, LA UNION</t>
  </si>
  <si>
    <t>20L00140 : Construction of Concrete Bridge (Substructure Only) – Ma-a Bridge II, Davao City</t>
  </si>
  <si>
    <t>20L00043 : Construction of Concrete Road – Bypass Road at Jct. Daang Maharlika Road – Carmelite Road – Mahayag St. – Jct. Davao City Diversion Road, Davao City</t>
  </si>
  <si>
    <t>Straight Contract for Water Project Level 3, Brgy. Cabanbanan (Bakyas), Himamaylan City</t>
  </si>
  <si>
    <t>Straight Contract for Water Project Level 2, Brgy. Cabanbanan (Old Mojon), Himamaylan City</t>
  </si>
  <si>
    <t>Straight Contract for Water Project Level 3, Brgy. Cabanbanan (Balanggaan), Himamaylan City</t>
  </si>
  <si>
    <t>Straight Contract for Construction of Health Center, GIDA Area, Brgy. Carabalan, Himamaylan City</t>
  </si>
  <si>
    <t>Concreting of Sta. Maria Street to Bernardo Street at 100 meters at Brgy. Bato, Gamay, Northern Samar</t>
  </si>
  <si>
    <t>20AF0078, CONCRETING OF BRGY. GALLANO FMR, BRGY. GALLANO ARINGAY LA UNION</t>
  </si>
  <si>
    <t>20L00137 : Construction of Concrete Bridge – Matina Aplaya Bridge, Davao City</t>
  </si>
  <si>
    <t>20AH0213  Construction of Modified Standard Three (3) Storey, Six (6) Classroom School Building at Sta. Rosa Elementary School, Binmaley, Pangasinan</t>
  </si>
  <si>
    <t>Supply &amp; Delivery of Seven (7) units Motorcycles use for Mayor's Office &amp; Barangay Buenavista, Himamaylan City</t>
  </si>
  <si>
    <t>Supply &amp; Delivery of Five (5) units Mini Dump truck - Surplus Reconditioned for use of Various Barangays, Himamaylan City</t>
  </si>
  <si>
    <t>20AH0210  Construction of Modified Standard Two (2) Storey, Four (4) Classroom School Building at Matalava Elementary School, Lingayen, Pangasinan</t>
  </si>
  <si>
    <t>Straight Contract for Construction of Health Center, GIDA Area, Brgy. Buenavista, Himamaylan City</t>
  </si>
  <si>
    <t>Road Concreting (half-lane) and RCBC at Sta. Cruz HS Access Road, Bgy. Sta. Cruz, Naga City</t>
  </si>
  <si>
    <t>SUPPLY, DELIVERY, AND INSTALLATION OF X-RAY MACHINE</t>
  </si>
  <si>
    <t>Completion of Earthfilling and Rip-rap at Sta. Cruz HS Access Road, Bgy. Sta. Cruz, Naga City</t>
  </si>
  <si>
    <t>Slope Protection and PCCP at Yabo River, Bgy. Carolina</t>
  </si>
  <si>
    <t>Construction Of San Benito Multi-purpose Building</t>
  </si>
  <si>
    <t>Improvement of JMR Museum at J. Miranda Avenue corner Taal Avenue, Bgy. Concepcion Pequena, Naga City</t>
  </si>
  <si>
    <t>Materials for the Concreting of Farm to Market Road, Brgy. Acao, Cabatuan, Iloilo</t>
  </si>
  <si>
    <t>Materials for the Construction of Footwalk with Shed along San Agustin Street, Public Plaza, Cabatuan, Iloilo</t>
  </si>
  <si>
    <t>Purchase of Communication Equipment</t>
  </si>
  <si>
    <t>20AH0211  Construction of Modified Standard One (1) Storey, Two (2) Classroom School Building at Lipit Elementary School, Manaoag, Pangasinan</t>
  </si>
  <si>
    <t>CONCRETING OF LOCAL CORE ACCESS ROAD ALONG BARANGAY 3 TO BARANGAY STA. ANA, SFADS</t>
  </si>
  <si>
    <t>SUPPLY &amp; DELIVERY OF OPERATING ROOM LED LIGHT, AND OPERATING ROOM TABLE</t>
  </si>
  <si>
    <t>SUPPLY &amp; DELIVERY OF INFANT INCUBATOR</t>
  </si>
  <si>
    <t>IMPROVEMENT OF MULTI-PURPOSE BUILDING (Repainting &amp; Equipping Hanging &amp; Steel Cabinets)</t>
  </si>
  <si>
    <t>Procurement of Trendmicro Portal Protect License Renewal</t>
  </si>
  <si>
    <t>CONSTRUCTION OF FLOOD CONTROL AND RETAINING WALL AT BRGY. MAHAWAN, KANANGA, LEYTE</t>
  </si>
  <si>
    <t>Supply of Fuel for the Third Quarter</t>
  </si>
  <si>
    <t>Supply and Delivery of One (1) lot Various Furniture &amp; Fixtures</t>
  </si>
  <si>
    <t>Supply and Delivery of Construction Materials, Tools and Equipment to be used for the Flood Mitigation Projects 2020 in the City of San Fernando, Pampanga subject to Ordering Agreement</t>
  </si>
  <si>
    <t>Procurement of Kaspersky Endpoint Security AV Renewal (Kaspersky AV Renewal)</t>
  </si>
  <si>
    <t>20AH0212  Construction of Modified Standard Two (2) Storey, Four (4) Classroom School Building at Basing Elementary School, Binmaley, Pangasinan</t>
  </si>
  <si>
    <t>20OI0127: Construction  of Multi-Purpose Building, Brgy. Putatan, Muntinlupa City</t>
  </si>
  <si>
    <t>20OI0126:Construction  of Multi-Purpose Building, Putatan Elem. School, Brgy. Putatan, Muntinlupa City</t>
  </si>
  <si>
    <t>20OI0125: Drainage Improvement including Rehabilitation of Road, Brgy. CAA,  Las Pinas City</t>
  </si>
  <si>
    <t>SUPPLY &amp; DELIVERY OF IUD INSERTION SET</t>
  </si>
  <si>
    <t>ASPHALTING OF ROAD AT CLIMACO ST., POBLACION-BARING, CARMEN, CEBU</t>
  </si>
  <si>
    <t>20OI0123:Construction of Multi-Purpose Building and other Improvement at Brgy. Talon 2, Las Pinas City</t>
  </si>
  <si>
    <t>SUPPLY &amp; DELIVERY OF HOSPITAL EQUIPMENT AND FURNITURE</t>
  </si>
  <si>
    <t>SUPPLY &amp; DELIVERY OF VARIOUS LABORATORY  AND DIAGNOSTIC EQUIPMENT</t>
  </si>
  <si>
    <t>Materials for the Construction of Mausoleum, Municipal Cemetery, Brgy. Banguit, Cabatuan, Iloilo</t>
  </si>
  <si>
    <t>Oils and Lubricants for the Use of LGU Vehicles, Cabatuan, Iloilo</t>
  </si>
  <si>
    <t>Tires for the use of LGU Vehicles, Cabatuan, Iloilo</t>
  </si>
  <si>
    <t>20OI0124: Construction/Rehabilitation of Multi-Purpose Building, Pulanglupa 1, Las Pinas City</t>
  </si>
  <si>
    <t>CRFPS-MOKUSAKU RICE - FARM MACHINERIES AND EQUIPMENT (FME)</t>
  </si>
  <si>
    <t>CRFPS-MUSHROOM PRODUCTION - FARM MACHINERIES AND EQUIPMENT (FME)</t>
  </si>
  <si>
    <t>SUPPLY &amp; DELIVERY OF WEIGHING SCALE (ADULT AND INFANT)</t>
  </si>
  <si>
    <t>School Forms JHS</t>
  </si>
  <si>
    <t>20GDN0004 - SUPPLY OF 5.10 DRUMS BITUMINOUS TACK COAT AND 298.41 M.T. BITUMINOUS CONCRETE SURFACE COURSE ALONG CAINTA KAYTIKLING ANTIPOLO ROAD, K0021+730 – K0021+973 (S01598LZ), TAYTAY, RIZAL</t>
  </si>
  <si>
    <t>Straight Contract for Rehabilitation of Covered Court, Brgy. Sara-et, Himamaylan City</t>
  </si>
  <si>
    <t>20DN0175 - REHABILITATION OF MULTI - PURPOSE BUILDING SITIO GUMAMELA, BRGY. STA. CRUZ, ANTIPOLO CITY</t>
  </si>
  <si>
    <t>Straight Contract for Improvement of Commission House, Brgy. Aguisan, Himamaylan City</t>
  </si>
  <si>
    <t>SUPPLY AND DELIVERY OF CONSTRUCTION SUPPLIES FOR THE REHABILITATION OF MAYOR’S OFFICE PHASE 2</t>
  </si>
  <si>
    <t>Provision of Motor Vehicle, and Motorcycle (G-20-03-A)</t>
  </si>
  <si>
    <t>20-05-0564 Supply and Delivery of Materials for Tilapia Culture in Fish Cage as Livelihood Support Project of BFAR 8 under the “Ahon Lahat, Pagkaing Sapat Kontra sa Covid-19 (ALPAS)” in the Region</t>
  </si>
  <si>
    <t>3134-20 Procurement of Drugs and Medicines</t>
  </si>
  <si>
    <t>Supply of Item 310 (FD) for the use of MMIIDEO for Various 	National Roads (CY-2020-2nd Quarter).</t>
  </si>
  <si>
    <t>20-04-0511 Supply and Delivery of Materials for the Intensive Tilapia Culture in Pond (with Life Support System) as Livelihood Support Project of BFAR 8 under the “Ahon Lahat, Pagkaing Sapat Kontra sa</t>
  </si>
  <si>
    <t>Straight Contract for Water Project (Bingig, Valencia, Verde), Brgy. III-Poblacion, Himamaylan City</t>
  </si>
  <si>
    <t>Repair/Maintenance of DILG Building NAPOLCOM RO-V Main Building Rawis, Legazpi City, Albay</t>
  </si>
  <si>
    <t>20-03-0414 Supply and Delivery of Feeds and Fingerlings for Bangus Production in Cage Project for the Municipalities of Tabango, Calubian and San Isidro, Leyte under SAAD Program 2020</t>
  </si>
  <si>
    <t>Construction of Water System</t>
  </si>
  <si>
    <t>6.	Construction of Street Lighting System at Brgy. Magahis, Tuy, Batangas</t>
  </si>
  <si>
    <t>20GDN0003 - REPAIR AND MAINTENANCE OF VARIOUS NATIONAL ROADS (REFLECTORIZED THERMOPLASTIC PAVEMENT MARKINGS), DPWH – RIZAL I DISTRICT ENGINEERING OFFICE BINANGONAN, RIZAL</t>
  </si>
  <si>
    <t>Supply and Delivery of One (1) lot  Various Materials for the Rehabilitation of Fish Sanctuaries</t>
  </si>
  <si>
    <t>INVITATION TO BID FOR THE PURCHASE OF BRANDNEW EMERGENCY TRANSPORT VEHICLE</t>
  </si>
  <si>
    <t>CONSTRUCTION OF PANURAN-SITIO AGILAN-TABULWANG ACCESS ROAD OF PENRO, ILOILO</t>
  </si>
  <si>
    <t>4.	Construction of Water Supply System, Drilling of Production Well, Installation of Submersible Pump and Construction of Elevated Water Tank at Brgy. Mataas na Bayan, Lemery, Batangas</t>
  </si>
  <si>
    <t>Supply and Delivery of Plumbing Materials to be used at Various Barangay for 2020 in the City of San Fernando, Pampanga</t>
  </si>
  <si>
    <t>Drilling of Water System</t>
  </si>
  <si>
    <t>20-04-0503 Supply and Delivery of Tilapia Feeds for Tilapia Culture Livelihood and Techno Demo Projects of BFAR 8 under the “Ahon Lahat, Pagkaing Sapat Kontra sa Covid-19 (ALPAS)” in the Region</t>
  </si>
  <si>
    <t>SUPPLY AND DELIVERY OF LABORATORY SUPPLIES (APHERESIS KIT FOR RED CELL-PLASMA EXCHANGE-APHERESIS KIT FOR PLATELET)</t>
  </si>
  <si>
    <t>3.	Construction of Barangay / Farm to Market Road at Brgy. Catandaan, Nasugbu, Batangas</t>
  </si>
  <si>
    <t>5.	Construction of Barangay / Farm to Market Road at Brgy. Caloocan, Balayan, Batangas</t>
  </si>
  <si>
    <t>20FE0124 – CONSTRUCTION OF CLASSROOMS, PAMPLONA NHS, PAMPLONA, CAMARINES SUR</t>
  </si>
  <si>
    <t>SUPPLY &amp; DELIVERY OF ULTRASOUND SCANNER MACHINE  WITH TRANS-VAGINAL PROBE</t>
  </si>
  <si>
    <t>SUPPLY OF MATERIALS FOR THE PROPOSED ROAD CONCRETING AT SITIO-DALANAWAN, BARANGAY CATANG, ARGAO, CEBU</t>
  </si>
  <si>
    <t>Supply and Delivery of Cleaning Materials and Tools to be used for "Oplan Linis Daan 2020" in the City of San Fernando, Pampanga subject to Ordering Agreement</t>
  </si>
  <si>
    <t>CONSTRUCTION OF OYSTER MUSHROOM BUILDING (PHASE 1), MUNICIPAL AGRICULTURE’S OFFICE, BARANGAY 3, SFADS</t>
  </si>
  <si>
    <t>IMPROVEMENT OF MULTI-PURPOSE BUILDING - PANDAYAN (SLAUGHTERHOUSE), SAN  JUAN, ILOCOS SUR</t>
  </si>
  <si>
    <t>Construction of Rimos National High School Pavilion and Completion of School Perimeter Fence, Luna</t>
  </si>
  <si>
    <t>Procurement of Three(3) units Motorcycles to be used for Mayor's/Engineering/Building Office and Municipal Agriculturist Office, Municipality of Balasan</t>
  </si>
  <si>
    <t>15.	Construction of Multi-Purpose Covered Court at Brgy. San Pedro, Bauan, Batangas</t>
  </si>
  <si>
    <t>1.	Rehabilitation/Improvement of Provincial Road at Brgy. Dalima, Tuy, Batangas</t>
  </si>
  <si>
    <t>SUPPLY AND DELIVERY OF DENTAL SET, AND DENTAL UNIT</t>
  </si>
  <si>
    <t>RE-INVITATION TO BID FOR THE CONSTRUCTION OF ATIMONAN IRRIGATION PIPELINE SYSTEM OF PENRO, ILOILO</t>
  </si>
  <si>
    <t>13.	Construction of Evacuation Center at Brgy. Aplaya (Phase III), Bauan, Batangas</t>
  </si>
  <si>
    <t>SUPPLY &amp; DELIVERY OF PHOTOTHERAPY UNIT</t>
  </si>
  <si>
    <t>Hygiene Kit Assistance for Senior Citizens</t>
  </si>
  <si>
    <t>SUPPLY &amp; DELIVERY OF VARIOUS MEDICAL EQUIPMENT</t>
  </si>
  <si>
    <t>12.	Construction of Footbridge at Brgy. Tabangao-Ambulong (Phase II), Batangas City</t>
  </si>
  <si>
    <t>SUPPLY &amp; DELIVERY OF VENTILATOR</t>
  </si>
  <si>
    <t xml:space="preserve">Printing and Delivery of Newsletter to be used for Information Dissemination of the City's Projects, Programs and Activities for the 1st Semester of 2020 in the City of San Fernando, Pampanga subject </t>
  </si>
  <si>
    <t>CONSTRUCTION OF CARATAGAN IRRIGATION PIPELINE SYSTEM OF PENRO, ILOILO</t>
  </si>
  <si>
    <t>10.	Construction/Completion of Multi-Purpose Covered Court at Brgy. Dulangan (Phase II),                                      San Luis, Batangas</t>
  </si>
  <si>
    <t>CONSTRUCTION OF CANAUILLIAN HANGING BRIDGE OF PENRO, Iloilo</t>
  </si>
  <si>
    <t>14.	Construction of Multi-Purpose Hall at Brgy. Tejero, San Luis, Batangas</t>
  </si>
  <si>
    <t>11.	Construction/Completion of Multi-Purpose Covered Court at Brgy. San Martin (Phase II), San Luis, Batangas</t>
  </si>
  <si>
    <t>8.	Construction of Barangay / Farm to Market Road at Brgy. Banaba West, Batangas City</t>
  </si>
  <si>
    <t>Supply and Delivery of IT Equipment to be used for the Preparation of Schedule of Market Values and Conduct of General Revision of Real Property Assessments in the City of San Fernando, Pampanga</t>
  </si>
  <si>
    <t>Construction of Luna Farmers Trading Center, Luna</t>
  </si>
  <si>
    <t>7.	Construction of Barangay / Farm to Market Road at Brgy. Durungao, San Luis, Batangas</t>
  </si>
  <si>
    <t>9.	Construction of Barangay / Farm to Market Road at Brgy. Balete, Batangas City</t>
  </si>
  <si>
    <t>Supply and Delivery of Medical Supplies and CBC Reagents to be used at City Health Office for 1st Semester of 2020 in the City of San Fernando, Pampanga</t>
  </si>
  <si>
    <t>2.	Construction of Barangay / Farm to Market Road at Brgy. Prenza, Lian, Batangas</t>
  </si>
  <si>
    <t>SUPPLY AND DELIVERY OF MEDICINES</t>
  </si>
  <si>
    <t>Purchase of 56 units Jet-type Pitcher Location: Pura, Tarlac ABC: Php150,000.00</t>
  </si>
  <si>
    <t>NOTICE FOR NEGOTIATED PROCUREMENT OF ICT EQUIPMENT AND MATERIALS</t>
  </si>
  <si>
    <t>Supply and Delivery of the following Security Uniforms, as per  BSP Terms of Reference, Specifications and Drawings</t>
  </si>
  <si>
    <t>Supply &amp; Delivery of 2-sets High Volume Low Speed Fan</t>
  </si>
  <si>
    <t>PB BAC1-20-004 SUPPLY AND DELIVERY OF CHEMICALS AND REAGENTS – REAL TIME POLYMERASE CHAIN REACTION (RT-PCR) REAGENTS - CY 2020</t>
  </si>
  <si>
    <t>PROCUREMENT OF ONE (1) LOT PROFESSIONAL/ CONSULTING SERVICE FOR THE CONDUCT OF WATER POLLUTION LOAD ASSESSMENT FOR SEVEN (7) RIVERS IN REGION III</t>
  </si>
  <si>
    <t>Construction of Pagdildilan Farm to Market Road, San Juan</t>
  </si>
  <si>
    <t>20FO0102 - Repair/Maintenance of Road Safety Facilities along Daang Maharlika, Albay West Coast Road, Ligao-Pioduran Road, and Dancalan-Sta. Cruz, Donsol-Pioduran Road</t>
  </si>
  <si>
    <t>P.B. No. 2020-31 (GOODS) Sustainability of Document Processing Division Back-end Infrastructure</t>
  </si>
  <si>
    <t>20CG0143 - Local Infrastructure Program: Multipurpose/ Facilities – Construction of Multi-Purpose Building, Brgy. Bulacus Masantol, Pampanga</t>
  </si>
  <si>
    <t>CONTRACT ID: 20-06-088- PROCUREMENT OF VARIOUS DRUGS AND MEDICINES</t>
  </si>
  <si>
    <t>20EA0053 - Application of Thermoplastic Pavement Markings along Marinduque Circumferential Road (S00001MQ), Dr. Damian Reyes Memorial Road (Boac Side) (S00029MQ), Dr. Damian Reyes Memorial Road (Torri</t>
  </si>
  <si>
    <t>REHABILITATION OF FENCE (NORTH SIDE) AT LAMAO ELEMENTARY SCHOOL</t>
  </si>
  <si>
    <t>Procurement of Drugs and Medicines to be used by City Health Office</t>
  </si>
  <si>
    <t>SUPPLY AND DELIVERY OF DAY CARE PRE-SCHOOLER SUPPLIES</t>
  </si>
  <si>
    <t>PROJECT 1 - Procurement and Delivery of Various Medical Equipment for the use of Rural Health Unit (RHU) in Region 1</t>
  </si>
  <si>
    <t>Contract ID: 20-06-090- PROCUREMENT OF INFORMATION TECHNOLOGY AND PERIPHERALS</t>
  </si>
  <si>
    <t>Repair and Maintenance of Various Heavy Equipment</t>
  </si>
  <si>
    <t>Construction Of Open Line Canal</t>
  </si>
  <si>
    <t>20CG0142 - Local Infrastructure Program: Multipurpose/ Facilities – Construction of Multi-Purpose Building (Evacuation Center), Brgy. Plazang Luma, Arayat, Pampanga</t>
  </si>
  <si>
    <t>Procurement of 4 unit meter tap, 10 meter etc. for use in the Planning &amp; Design Section</t>
  </si>
  <si>
    <t>Procurement of 3,061 kits Hygiene Kit</t>
  </si>
  <si>
    <t>PROCUREMENT OF ONE (1) UNIT BRAND NEW AMBULANCE (RE-BID)</t>
  </si>
  <si>
    <t>Construction of Brgy. S.M.H. Multi-Purpose Hall</t>
  </si>
  <si>
    <t>Procurement and Delivery of ICT and Office Equipment and Furniture and Fixture to Various Offices</t>
  </si>
  <si>
    <t>CONTRACT ID: 20-06-089 = PROCUREMENT OF HARDWARE AND CONSTRUCTION SUPPLIES (EXPANSION OF DOH-ZP-CHD WAREHOUSE)</t>
  </si>
  <si>
    <t>uplb-rq-6-075-20 Goods (Vehicel Parts and supplies for UPMO)</t>
  </si>
  <si>
    <t>20GG00018 - Procurement of Pest Control Treatment of DPWH Buildings and Disinfection Premises and Working Area, DPWH Regional Office VI, Iloilo City</t>
  </si>
  <si>
    <t>HAULING, TRANSFER AND DISPOSAL OF SOLID WASTE FROM TRANSFER STATION TO A LICENSED SANITARY LANDFILL FACILITY INCLUDING OPERATION AND MAINTENANCE OF TRANSFER STATION AT STA ROSA II. (FOR THE MONTH OF J</t>
  </si>
  <si>
    <t>Repair/Maintenance of DPWH Metro Manila II District Engineering Office, Sub-Office, Sucat Road, Parañaque City, Metro Manila</t>
  </si>
  <si>
    <t>Purchase of Brand New Mini Dump Truck, Mogpogf</t>
  </si>
  <si>
    <t>26.	Construction of Barangay / Farm to Market Road at Brgy. Maalas-as, Rosario, Batangas</t>
  </si>
  <si>
    <t>FOR THE SUPPLY AND DELIVERY OF ICT SUPPLIES AND OTHER PERIPHERALS OF EMB REGION VI CY 2020 (RE-BID)</t>
  </si>
  <si>
    <t>Repair/Maintenance of DILG Building, NAPOLCOM Building, Makati City, Metro Manila</t>
  </si>
  <si>
    <t>Drilling Service for the Construction / Rehabilitation of Potable Water System</t>
  </si>
  <si>
    <t>20GFN0005 Furnishing and delivery of Materials for use in the Planning &amp; Design Section – CY 2020 Gender and Development (GAD) Expenditures in DPWH Camarines Sur 5th DEO, Sta. Teresita, Baao, Camarine</t>
  </si>
  <si>
    <t>23.	Construction of Barangay / Farm to Market Road at Brgy. Cahigam, Rosario, Batangas</t>
  </si>
  <si>
    <t>22.	Construction of Barangay / Farm to Market Road at Brgy. Malaya, Rosario, Batangas</t>
  </si>
  <si>
    <t>21.	Construction of Barangay / Farm to Market Road at Brgy. Bulihan, Rosario, Batangas</t>
  </si>
  <si>
    <t>25.	Construction of Barangay / Farm to Market Road at Brgy. San Roque, Rosario, Batangas</t>
  </si>
  <si>
    <t>20.	Construction of Barangay / Farm to Market Road at Brgy. Inosluban, Lipa City, Batangas</t>
  </si>
  <si>
    <t>20GFN0008 FURNISHING AND DELIVERY OF COMMON OFFICE DEVICE AND EQUIPMENT FOR USE AT THE EMPLOYEES QUARTER AND LOBBY IN DPWH, CAMARINES 5TH DISTRICT ENGINEERING OFFICE, STA. TERESITA, BAAO, CAMARINES SU</t>
  </si>
  <si>
    <t>20OF0319 Construction of four (4) storey twelve (12) classroom School Building at Placido Del Mundo E/S, Q.C.</t>
  </si>
  <si>
    <t>SUPPLY AND DELIVERY OF WALL FANS FOR ALL PUBLIC ELEMENTARY AND SECONDARY SCHOOLS IN MAKATI CITY</t>
  </si>
  <si>
    <t>Package 03 -2020: Vehicle Rental Services of Eighteen (18) Units Vehicle with Tracker (Global Positioning System) for the Year 2020</t>
  </si>
  <si>
    <t>Supply and Delivery of Office Supplies for VSU External Campuses-REBID</t>
  </si>
  <si>
    <t>PURCHASE OF ONE (1) UNIT BRAND NEW HIGH LEVEL MODEL AMBULANCE WITH COMPLETE EQUIPMENT AND ACCESSORIES- 2nd POSTING</t>
  </si>
  <si>
    <t>32.	Construction of Street Lighting System at Brgy. Inosluban, Lipa City, Batangas</t>
  </si>
  <si>
    <t>SUPPLY AND DELIVERY OF CUSTOMIZED WASHABLE/REUSABLE CLOTH FACE MASKS WITH POUCH FOR DISTRIBUTION TO ALL PUBLIC ELEMENTARY AND SECONDARY STUDENTS IN MAKATI CITY</t>
  </si>
  <si>
    <t>Negotiated Procurement for Multi-Purpose Vehicle</t>
  </si>
  <si>
    <t>27.	Construction of Canal/Drainage System, Seawall, Riprapping at Brgy. Pag-olingin Bata, Lipa City, Batangas</t>
  </si>
  <si>
    <t>Reproduction of Modules</t>
  </si>
  <si>
    <t>Emergency Purchase in response to covid19 mayor's Office 38A</t>
  </si>
  <si>
    <t>31.	Construction of Street Lighting System at Brgy. Marawoy, Lipa City, Batangas</t>
  </si>
  <si>
    <t>30.	Construction of Street Lighting System at Brgy. Quezon, Lipa City, Batangas</t>
  </si>
  <si>
    <t>SUPPLY AND DELIVERY OF CUSTOMIZED ON-THE-GO (OTG) FLASHDRIVES FOR DISTRIBUTION TO ALL PUBLIC ELEMENTARY AND SECONDARY STUDENTS, TEACHERS AND TEACHING RELATED PERSONNEL IN MAKATI CITY</t>
  </si>
  <si>
    <t>20OF0317 Construction of four (4) storey sixteen (16) classroom School Building at Rosa L. Susano E/S, Q.C.</t>
  </si>
  <si>
    <t>PUBLIC BIDDING FOR THE SUPPLY AND DELIVERY OF FAMILY PLANNING COMMODITIES (LINE ITEM)</t>
  </si>
  <si>
    <t>36.	Construction of Street Lighting System at Brgy. Sabang, Ibaan, Batangas</t>
  </si>
  <si>
    <t>CRN 029- CONST/SPORTS PARK-WPULO-TF-INFRA-2020</t>
  </si>
  <si>
    <t>Negotiated Procurement for Passenger Van</t>
  </si>
  <si>
    <t>20FE0126 – CONSTRUCTION OF CLASSROOMS, MALITBOG ES, MINALABAC, CAMARINES SUR</t>
  </si>
  <si>
    <t>Improvement of Multi-Purpose Building</t>
  </si>
  <si>
    <t>20OF0323 Construction of Multi-Purpose Building and Integrated Learning Facilities at Brgy. Santa Monica, Q.C.</t>
  </si>
  <si>
    <t>Labor and Materials for the Construction of the City of San Fernando Town Center Esplanade at City Town Center, Calulut, City of San Fernando, Pampanga</t>
  </si>
  <si>
    <t>ROAD CONCRETING OF PUROK 2</t>
  </si>
  <si>
    <t>20FE0125 – CONSTRUCTION OF CLASSROOMS, TINANQUIHAN PS, LIBMANAN, CAMARINES SUR</t>
  </si>
  <si>
    <t>Purchase of Multicab</t>
  </si>
  <si>
    <t>24.	Construction of Barangay / Farm to Market Road at Brgy. Natu, Rosario, Batangas</t>
  </si>
  <si>
    <t>35.	Construction of Street Lighting System at Brgy. Masaya, Rosario, Batangas</t>
  </si>
  <si>
    <t>Purchase &amp; Delivery of One (1) Unit Ambulance  for DCMMH</t>
  </si>
  <si>
    <t>HYDRAULIC OIL</t>
  </si>
  <si>
    <t>PURCHASE OF FARM INPUTS AND EQUIPMENTS</t>
  </si>
  <si>
    <t>SUPPLY, DELIVERY AND COMMISSIONING OF ENDOSCOPIC VIDEO INFORMATION SYSTEM WITH BUILT-IN NARROW BAND IMAGING SYSTEM</t>
  </si>
  <si>
    <t>CIVIL WORKS FOR THE COMPLETION OF ROAD CONCRETING OF DIGAL ST. EXTENSION LEADING TO P-4 STO. NIÑO, MAGALLANES, A.D.N</t>
  </si>
  <si>
    <t>43.	Repair of PSWDO at Provincial Capitol Compound, Brgy. Kumintang Ibaba, Batangas City</t>
  </si>
  <si>
    <t>20OF0318 Construction of four (4) storey twelve (12) classroom School Building at Lucas R. Pascual E/S, Q.C.</t>
  </si>
  <si>
    <t>SUPPLY AND DELIVERY OF CONSTRUCTION MATERIALS FOR THE CONSTRUCTION OF VIEW DECK PHASE II (PB-LAP-2020-066)</t>
  </si>
  <si>
    <t>CONSTRUCTION OF HAZARDOUS WASTE SEPTIC VAULT AT MUNICIPAL DUMPSITE, DAMILAG, BARANGAY PISAAN, SFADS</t>
  </si>
  <si>
    <t>SUPPLY AND DELIVERY OF CONSTRUCTION MATERIALS FOR THE REPAIR OF RADIO STATION BUILDING (PB-LAP-2020-067)</t>
  </si>
  <si>
    <t>42.	Repair of Salaban Bridge Approach along Poblacion 3, San Jose - Poblacion, Ibaan Provincial Road, San Jose, Batangas</t>
  </si>
  <si>
    <t>20GFG0019 - Procurement of Manual Total Station for use in the Survey Works at DPWH, Camarines Sur 4th District Engineering Office DPWH, Camarines Sur 4th DEO, Caraycayon, Tigaon, Camarines Sur</t>
  </si>
  <si>
    <t>39.	Repair of San Pedro - Sta. Cruz Provincial Road, Sto. Tomas, Batangas</t>
  </si>
  <si>
    <t>40.	Repair of Poblacion, Rosario - Mahanadiong, Taysan Provincial Road, Rosario, Batangas</t>
  </si>
  <si>
    <t>41.	Repair of Poblacion - Dagatan Provincial Road, Taysan, Batangas</t>
  </si>
  <si>
    <t>PROCUREMENT OF WAREHOUSE HANDLING (AND ALLIED) SERVICES FOR GRAINS FOR NFA-NCR AND BATANES FOR AUGUST 1 TO DECEMBER 31, 2020</t>
  </si>
  <si>
    <t>20G00099 - Repair/Maintenance of DPWH Buildings, Regional Office</t>
  </si>
  <si>
    <t>20OF0322 Construction of Multi-Purpose Building (Novaliches Convention and Sports Center), Phase I, Brgy. Fairview, Q.C.</t>
  </si>
  <si>
    <t>38.	Repair of Brgy. 6 - Madalunot Provincial Road, Calaca, Batangas (Asphalt Overlay)</t>
  </si>
  <si>
    <t>20OF0321 Construction/Rehabilitation of Multi-Purpose Building, Vargas Compound, Brgy. Culiat, Q.C.</t>
  </si>
  <si>
    <t>SUPPLY AND DELIVERY OF LABOR AND MATERIALS OF THE PROJECT CONSTRUCTION/REHABILITATION OF DRAINAGE  SYSTEM, BRGY POBLACION &amp; BRGY. MADULAO, CATANAUAN, QUEZON</t>
  </si>
  <si>
    <t>PRINTING/REPRODUCTION OF SELF-DIRECTED LEARNER'S MODULES FOR ALL PUBLIC ELEMENTARY AND SECONDARY SCHOOLS IN MAKATI CITY</t>
  </si>
  <si>
    <t>Supply and Delivery of Filling Materials to be used for the Land Development of the City Town Center (Embankment) Phase III at Calulut, City of San Fernando, Pampanga</t>
  </si>
  <si>
    <t>20OF0320 Construction of Retaining Wall at Kaligayahan E/S, Q.C.</t>
  </si>
  <si>
    <t>34.	Construction of Street Lighting System at Brgy. Pag-olingin East, Lipa City, Batangas</t>
  </si>
  <si>
    <t>CONSTRUCTION MATERIALS FOR 7-UNITS HOUSING PROJECT</t>
  </si>
  <si>
    <t>29.	Construction/Completion of Multi-Purpose                           Covered Court at Brgy. San Isidro (Phase II), Rosario, Batangas</t>
  </si>
  <si>
    <t>20GFN0007 FURNISHING AND DELIVERY OF CONSTRUCTION SUPPLIES, CONSTRUCTION EQUIPMENT/DEVICE, MEDICAL SUPPLIES, OTHER SUPPLIES &amp; CONSTRUCTION TOOLS FOR USE IN THE MAINTENANCE SECTION, DPWH, CAMARINES 5TH</t>
  </si>
  <si>
    <t>Procurement of One-Shot Assistance for the Marginalized Families</t>
  </si>
  <si>
    <t>Gasoline/ Diesoline for use of the Municipal Vehicles during the official transactions of the Municipality for the period of 2nd - 4th Quarter of 2020. (RE-BID)</t>
  </si>
  <si>
    <t>ROAD CONCRETING (PCCP) at Bgy. Calibangbangan</t>
  </si>
  <si>
    <t>33.	Construction of Street Lighting System at Brgy. San Celestino, Lipa City, Batangas</t>
  </si>
  <si>
    <t>Improvement of Local Access Roads/Drainage Canal with Paved Shoulders</t>
  </si>
  <si>
    <t>28.	Construction of Canal/Drainage System, Seawall, Riprapping at Brgy. Pangao, Lipa City, Batangas</t>
  </si>
  <si>
    <t>20GFN0006 Furnishing of Fuel Oil &amp; Lubricants for use in Service Vehicles and Equipment assigned in Maintenance, Planning &amp; Design, Construction, Quality Assurance Section &amp; Gender and Development (GA</t>
  </si>
  <si>
    <t>Purchase of Printer</t>
  </si>
  <si>
    <t>ROAD CONCRETING (PCCP) at Bgy. New Colaylayan</t>
  </si>
  <si>
    <t>20G00101 - Construction of Revetment Wall along Cangaranan River at Cangaranan Bridge (Abutment A), Bugasong, Antique</t>
  </si>
  <si>
    <t>COMPLETION OF ULBUJAN MULTIPURPOSE COVERED COURT (LABOR ONLY) - ULBUJAN, CALAPE, BOHOL</t>
  </si>
  <si>
    <t>Improvement of Multi-Purpose Building, Brgy. Binalbagan, Canlaon City</t>
  </si>
  <si>
    <t>Improvement/Rehabilitation of Administrative Building, City Engineering, Brgy. Pabnubigan, Canlaon City</t>
  </si>
  <si>
    <t>ROAD CONCRETING (PCCP) at Bgy. Cabunlawan</t>
  </si>
  <si>
    <t>Concreting of Pathway, Po. Greenhills, Brgy. Mabigo, Canlaon City</t>
  </si>
  <si>
    <t>PROCUREMENT OF CAB AND CHASIS EURO 4 VEHICLE</t>
  </si>
  <si>
    <t>EMB-NCB-GOODS-05-2020 (Supply and Delivery of Information and Communication Equipment)</t>
  </si>
  <si>
    <t>COMPLETION OF ULBUJAN MULTIPURPOSE COVERED COURT (MATERIALS ONLY) - ULBUJAN, CALAPE, BOHOL</t>
  </si>
  <si>
    <t>ROAD CONCRETING (PCCP) at Bgy. Barangonan</t>
  </si>
  <si>
    <t>20G00100 - Construction of Concrete Road – Barangay Comon – San Pedro Coastal Road leading to San Jose Port and Beaches, Resorts and Sunset Viewing, San Jose, Antique</t>
  </si>
  <si>
    <t>SUPPLY AND DELIVERY OF OFFICE, COMPUTER, JANITORIAL SUPPLIES &amp; OTHERS SUPPLIES, MACHINERIES AND FURNITURES &amp; FIXTURES OF LGU-CATANAUAN, QUEZON</t>
  </si>
  <si>
    <t>Completion of Concrete Bridge/Bongolanon-Kinarum Road Leading to Kirungdong Waterfalls and Wildlife Rescue Center, Brgy. Kinarum, Magpet, North Cotabato</t>
  </si>
  <si>
    <t>Spares and Services for the Repair and Overhaul of the Engine System of MD-520MG #395, 410 and 417</t>
  </si>
  <si>
    <t>Procurement of Desktop and Laptop Computers with Accessories - (Rebid)</t>
  </si>
  <si>
    <t>Emergency Quick Response for CY 2020 (Ambulance Rescue)</t>
  </si>
  <si>
    <t>Riprapping of Arman Creek at Purok Pikaw</t>
  </si>
  <si>
    <t>Construction of Organic Fertilizer Production Center</t>
  </si>
  <si>
    <t>Procurement of One (1) Unit thimble-Type Ionization Chamber with Electrometer and Water Proofing Sleeves - (Rebid)</t>
  </si>
  <si>
    <t>37.	Repair of Putat - Papaya Provincial Road (Cavite Bdry.), Nasugbu, Batangas (Bridge approach and Riprapping)</t>
  </si>
  <si>
    <t>Supply &amp; Delivery of Heavy Duty Shredder with Trailer</t>
  </si>
  <si>
    <t>PROPOSED SERVICE ENTRANCE COLLEGE OF MEDICINE UNIVERSITY OF THE PHILIPPINES MANILA</t>
  </si>
  <si>
    <t>CID No. 20OD0193 - Construction of 4-Storey 16-Classroom School Building Caruhatan East ES, Valenzuela City</t>
  </si>
  <si>
    <t>20GJI0035 - Procurement of materials and supplies for use in the pavement maintenance (Installation of Guardrails) Routine     Maintenance 71x Special Maintenance Project along Lanao-    Pagadian-Zamb</t>
  </si>
  <si>
    <t>20GG0178 - CONSTRUCTION OF ONE (1) UNIT TWO (2) STOREY FOUR (4) CLASSROOMS, PUGHANAN INTEGRATED SCHOOL, LAMBUNAO WEST, ILOILO</t>
  </si>
  <si>
    <t>Concreting of Roads in Different Barangays  (Malinao, San Nicolas, General Esco, Mahabang Parang, San Luis, Inarawan, Banuton, Caburo &amp; Tagumpay), Naujan, Oriental Mindoro</t>
  </si>
  <si>
    <t>20AE0068: Construction of 2 Storey 6 Classroom School Building at Duplas National High School, Sudipen, La Union</t>
  </si>
  <si>
    <t>Rehabilitation/Expansion of Water System</t>
  </si>
  <si>
    <t>CID No. 20OD0195 - Construction of 4-Storey 12-Classroom School Building Barrio San Jose ES, Caloocan City</t>
  </si>
  <si>
    <t>Liferaft</t>
  </si>
  <si>
    <t>Procurement of Equipment for Search, rescue and retrieval team -MDRRMO</t>
  </si>
  <si>
    <t>Construction of Command Operation Center (Public Safety Building) P1- MEO</t>
  </si>
  <si>
    <t>Contract ID No.: 20OB0328 Contract Name: Construction of Multi-Purpose Building (Senior Citizens Center), Brgy. Sta. Ana, Taguig City</t>
  </si>
  <si>
    <t>20MH0108 - Repair/Maintenance of River Bank Protection at Magon Bridge along Sen. Ninoy Aquino-Lebak-Kalamansig Road, K1881 + 940</t>
  </si>
  <si>
    <t>20GG0177 - CONSTRUCTION OF ONE (1) UNIT ONE (1) STOREY TWO (2) CLASSROOMS, AGCAROPE ELEMENTARY SCHOOL, JANIUAY II, ILOILO</t>
  </si>
  <si>
    <t>Contract ID No.: 20OB0318 Contract Name: Construction (Completion) of Multi-Purpose Building (TUP Hostel), Brgy. Western Bicutan, Taguig City</t>
  </si>
  <si>
    <t>20MH0107 - Construction of Two(2)-Storey, Six(6)-Classrooms School Building at Sen. Ninoy Aquino National High School, Sen. Ninoy Aquino, Sultan Kudarat</t>
  </si>
  <si>
    <t>CID No. 20OD0192 - Construction of 4-Storey 12-Classroom School Building Caruhatan East ES, Valenzuela City</t>
  </si>
  <si>
    <t>LGU-COR. 2020-065</t>
  </si>
  <si>
    <t>20MH0104 - Construction of Two(2)-Storey, Six(6)-Classrooms School Building at Bagumbayan Central Elementary School, Bagumbayan, Sultan Kudarat</t>
  </si>
  <si>
    <t>AMP SVP-D NO: 20-05-0290B One (1) Lot Calibration and Cleaning of Laboratory Equipment</t>
  </si>
  <si>
    <t>Invitation to Bid for Concreting of Centro 1 Farm to Market Road (Road 2)</t>
  </si>
  <si>
    <t>Invitation to Bid for Concreting of Centro 2 Farm to Market Road</t>
  </si>
  <si>
    <t>2020 15TH PUBLIC BIDDING FOR PROCUREMENT OF MEDICAL EQUIPMENT</t>
  </si>
  <si>
    <t>2020-143-I PROCUREMENT AND DELIVERY OF FEEDS FOR SAAD PROGRAM CY 2020</t>
  </si>
  <si>
    <t>Contract ID No.: 20OB0434 Contract Name: Construction of Four (4) Storey, Sixteen (16) Classroom with Roofdeck at Buting SHS, Brgy. Buting, Pasig City</t>
  </si>
  <si>
    <t>20MH0105 - Construction of Two(2)-Storey, Six(6)-Classrooms School Building at Bagumbayan National High School, Bagumbayan, Sultan Kudarat</t>
  </si>
  <si>
    <t>Contract ID No.: 20OB0433 Contract Name: Construction of Four (4) Storey Twelve (12) Classroom with Roofdeck, Aguho Elementary School, Pateros, Metro Manila</t>
  </si>
  <si>
    <t>Contract ID No.: 20OB0382 Contract Name: Rehabilitation of Roads, Barangay North Daanghari, Taguig City</t>
  </si>
  <si>
    <t>Contract ID No.: 20OB0437 Contract Name: Construction of Four (4) Storey, Eight (8) Classroom at San Miguel Elementary School, Brgy. San Miguel, Pasig City</t>
  </si>
  <si>
    <t>Contract ID No.: 20OB0349 Contract Name: Rehabilitation of Maharlika Trade Center including Site Development, Brgy. Maharlika, Taguig City</t>
  </si>
  <si>
    <t>Contract ID No.: 20OB0336 Contract Name: Construction of Multi-Purpose Building and Site Development, Brgy. New Lower Bicutan, Taguig City</t>
  </si>
  <si>
    <t>Contract ID No.: 20OB0435 Contract Name: Construction of Four (4) Storey, Sixteen (16) Classroom at Oranbo Elementary School, Pasig City</t>
  </si>
  <si>
    <t>20GG0181 - CONSTRUCTION OF ONE (1) UNIT ONE (1) STOREY THREE (3) CLASSROOMS WITH TOILET, DOMINADOR ABANG MNHS, SAN ENRIQUE, ILOILO</t>
  </si>
  <si>
    <t>2020-151-I PROCUREMENT AND DELIVERY OF VERMICAST AND  MOLASSES UNDER OAP CY 2020</t>
  </si>
  <si>
    <t>Invitation to Bid for Concreting of San Jose Norte 2 to Casili Farm to Market Road</t>
  </si>
  <si>
    <t>REBIDDING OF LOT 1: SUPPLY AND DELIVERY OF VARIOUS MEDICAL AND SURGICAL SUPPLIES</t>
  </si>
  <si>
    <t>Contract ID No.: 20OB0436 Contract Name: Construction of Four (4) Storey, Eight (8) Classroom at Kalawaan Elementary School, Brgy. Kalawaan, Pasig City</t>
  </si>
  <si>
    <t>CONCRETING OF BARANGAY ROAD (BANAYBANAY)</t>
  </si>
  <si>
    <t>Construction of Farm-to-Market Road (Sta.1+505-Sta.1+575)</t>
  </si>
  <si>
    <t>CONCRETING OF SAN RAMON BARANGAY ROAD (PUROK 3)</t>
  </si>
  <si>
    <t>Construction of 1-Unit Municipal Motor Pool Facility with Basic Amenities, Equipment and Concrete Perimeter Fence</t>
  </si>
  <si>
    <t>Proposed Construction of Malimono District Hospital Admin Building, Surigao del Norte</t>
  </si>
  <si>
    <t>Construction of Farm-to-Market Road (Sta.1+575-Sta.1+645)</t>
  </si>
  <si>
    <t>Proposed Upgrading of  Bunawan District Hospital (Construction of Additional Ward Building), Bunawan District Hospital, Agusan del Sur</t>
  </si>
  <si>
    <t>Proposed Construction of Cadaver Holding, Lianga District Hospital, Surigao del Sur</t>
  </si>
  <si>
    <t>20GG0180 - CONSTRUCTION OF ONE (1) UNIT ONE (1) STOREY TWO (2) CLASSROOMS WITH TOILET, TRANGKA INTEGRATED SCHOOL, MAASIN, ILOILO</t>
  </si>
  <si>
    <t>Proposed Upgrading of Nasipit District Hospital (Construction of Laundry Building and Repair Renovation of BEMONC Building)</t>
  </si>
  <si>
    <t>20MH0106 - Construction of Two(2)-Storey, Six(6)-Classrooms School Building at Esperanza National High School, Esperanza, Sultan Kudarat</t>
  </si>
  <si>
    <t xml:space="preserve">20CSEG01-Geotechnical Investigation for the Proposed  FY 2021 Infrastructure Program-Bridges Replacement of Weak Bridge – Tanabag Bridge 1 (B00100PW), K0065+179, Puerto  Princesa North Road, Widening </t>
  </si>
  <si>
    <t>PROCUREMENT OF MEDICINES/ SUPPLEMENTS</t>
  </si>
  <si>
    <t>Contract ID No.: 20OB0343 Contract Name: Construction of Multi-Purpose Building, Brgy. Sta. Ana, Taguig City</t>
  </si>
  <si>
    <t>IB 2020-007-008 POSE Procurement of Office Supplies &amp; Equipment, Furnitures &amp; Fixtures 2020-08</t>
  </si>
  <si>
    <t>Proposed Upgrading of Talacogon District Hospital (Construction of Isolation Building), Talacogon District Hospital, Agusan del Sur</t>
  </si>
  <si>
    <t>Supply &amp; Delivery of Two (2) Units Passenger Van</t>
  </si>
  <si>
    <t>20GG0179 - CONSTRUCTION OF ONE (1) UNIT ONE (1) STOREY THREE (3) CLASSROOMS WITH TOILET, AYUYAN ELEMENTARY SCHOOL,  CITY OF PASSI, ILOILO</t>
  </si>
  <si>
    <t>STA ISABEL GOODS: INCIDENT COMMAND CENTER (PHASE 2)</t>
  </si>
  <si>
    <t>Procurement of Catering Services, Venue, and Accommodation for 2020 Census of Population and Housing (Re-Bidding)</t>
  </si>
  <si>
    <t>ITDI-PB-INFRA-2020-CO-01 EBD - REPAIR/RENOVATION OF SELECTED OFFICES/STAFF ROOMS, LABORATORIES &amp; FACILITIES OF ENVIRONMENT &amp; BIOTECHNOLOGY DIVISION (EBD)</t>
  </si>
  <si>
    <t>Procurement of HIV Test Kits</t>
  </si>
  <si>
    <t>20GMH049 - Rental of Service Vehicle for use in the Conduct of Environmental Impact Assessment (EIA) and Inspection/Validation of Regional Budget Proposal (RBP) along Awang-Upi-Lebak-Kalamansig-Palimb</t>
  </si>
  <si>
    <t>Purchase of  materials for the construction of canal lining at Catugay, Baggao, Cagayan</t>
  </si>
  <si>
    <t>PROCUREMENT OF 1 LOT VEHICLE PARTS &amp; ACCESSORIES</t>
  </si>
  <si>
    <t>Purchase of  materials for the construction/completion of Multi-Purpose Building at Catugay, Baggao, Cagayan</t>
  </si>
  <si>
    <t>Supply and Delivery of Brand New Service Vehicle (MPV)</t>
  </si>
  <si>
    <t>Concreting of Road at Sta. Maria, Mansalay, Or. Mindoro</t>
  </si>
  <si>
    <t>BUAGAO SIP/REMAINING WORKS SMALL IRRIGATION PROJECTS FUND/CY 2019</t>
  </si>
  <si>
    <t>Purchase of  materials for the construction of perimeter fence at Catugay, Baggao, Cagayan</t>
  </si>
  <si>
    <t>PROCUREMENT OF SECURITY SURVEILLANCE &amp; DETECTION EQUIPMENT (DRONE)</t>
  </si>
  <si>
    <t>AMP SVP-D NO: 20-05-0269B  One (1) Lot	 Molecular Biology Reagents</t>
  </si>
  <si>
    <t>Completion of Evacuation Center at M. Adriatico, Gloria, Or. Mindoro</t>
  </si>
  <si>
    <t>PROCUREMENT OF 1 LOT INFORMATION TECHNOLOGY PARTS AND ACCESSORIES</t>
  </si>
  <si>
    <t>PROCUREMENT OF SECURITY SURVEILLANCE &amp; DETECTION EQUIPMENT (CCTV CAMERAS)</t>
  </si>
  <si>
    <t>PROCUREMENT OF 1 LOT FURNITURE PARTS AND ACCESSORIES</t>
  </si>
  <si>
    <t>REHABILITION OF MULIT-PURPOSE HALL Phase II</t>
  </si>
  <si>
    <t>Concreting of Road at Sitio Proper West II, Nag-iba II, Naujan, Oriental Mindoro</t>
  </si>
  <si>
    <t>Construction of PENRO Admin Building Nassiping, Gattaran, Cagayan</t>
  </si>
  <si>
    <t>PROCUREMENT OF 2 LOTS DRUGS AND MEDICINES</t>
  </si>
  <si>
    <t>Concreting of Road at Roma, Mansalay, Oriental Mindoro</t>
  </si>
  <si>
    <t>Courier Service</t>
  </si>
  <si>
    <t>1.0km Boardwalk (Phase 01) 96 Spans x 3.00m (Cagayan Eco Tourism Forest Park) Nassiping, Gattaran, Cagayan</t>
  </si>
  <si>
    <t>20EE0138 Construction of Slope Protection for 2 Storey 8 Classroom Bucana Elementary School, El Nido, Palawan</t>
  </si>
  <si>
    <t>Concreting of Road Leading to Parola at Brgy. San Jose, Roxas, Oriental Mindoro</t>
  </si>
  <si>
    <t>PROCUREMENT OF POWER GENERATION &amp; MACHINERY EQUIPMENT</t>
  </si>
  <si>
    <t>Concreting of Road at Brgy. Mabuhay, Roxas, Or. Mindoro</t>
  </si>
  <si>
    <t>Fence Repair, Entrance Arch, Gates and Signages Cagayan Farm School and Agri – Tourism Center, Anquiray, Amulung, Cagayan</t>
  </si>
  <si>
    <t>Concreting of Balite-Pachoca-Lalud Road, Calapan City, Or. Mindoro</t>
  </si>
  <si>
    <t>LABOR SERVICES AND OTHER ENVIRONMENTAL AND SANITARY SERVICES FOR THE MAINTENANCE OF CLEANLINESS OF NAGA CITY PREMISES AMD OTHER CITY FACILITIES</t>
  </si>
  <si>
    <t>Construction of Water System at Panikian, Naujan, Oriental Mindoro</t>
  </si>
  <si>
    <t>Supply and delivery of Drugs and Medicines for 48 Barangays and City Health Office use.  (1st and 2nd Quarter) Re- Bid</t>
  </si>
  <si>
    <t>Proposed construction of line canal at Brgy. San Nicolas, San Pablo City.</t>
  </si>
  <si>
    <t>PROCUREMENT OF 1 LOT WATER &amp; WASTE WATER TREATMENT SUPPLY &amp; DISPOSAL</t>
  </si>
  <si>
    <t>PROCUREMENT OF 6 LOTS FUEL, OIL AND LUBRICANTS</t>
  </si>
  <si>
    <t>PROCUREMENT OF 1 LOT  JANITORIAL SUPPLIES</t>
  </si>
  <si>
    <t>Procurement of Various Drugs and Medicines-06-096(Q)ZNMC</t>
  </si>
  <si>
    <t>Proposed concreting of road at Patria Village, Brgy. Del Remedio, San Pablo City.</t>
  </si>
  <si>
    <t>Procurement of HIV Supplies</t>
  </si>
  <si>
    <t>S1-CAT20-004 - Supply and Delivery of Electrical Security Parts for Various Gensets under Bicol Operations Division</t>
  </si>
  <si>
    <t>PROCUREMENT OF SAFETY &amp; OCCUPATIONAL PRODUCTS</t>
  </si>
  <si>
    <t>Spares and Services for the Installation of Multi-Function Display of S-211 Aircraft Nr 008 and 802</t>
  </si>
  <si>
    <t>Purchase of materials for the construction of canal lining (zone 1) at Dalin, Baggao, Cagayan</t>
  </si>
  <si>
    <t>LGU-COR. 2020-066</t>
  </si>
  <si>
    <t>20AE0070: Construction of 2-Storey 4-Classroom School Building at Lipay Integrated School, San Gabriel, La Union</t>
  </si>
  <si>
    <t>Repair of Footbridge, Proper &amp; Sitio banban, Brgy. Bucalan, Canlaon City</t>
  </si>
  <si>
    <t>Bulaklakan Farm to Market Road (FMR) Concreting</t>
  </si>
  <si>
    <t>Supply and Delivery of Water Meter of Various Sizes for Replenishment of Stocks</t>
  </si>
  <si>
    <t>20AE0069: Construction of 2 Storey 4 Classroom School Building at Corrooy Elementary School, Santol, La Union</t>
  </si>
  <si>
    <t>CONSTRUCTION OF CABAMBANGAN CHB LINED CANAL</t>
  </si>
  <si>
    <t>IMPROVEMENT OF MUNICIPAL HALL STAIR AND STAIR COVER</t>
  </si>
  <si>
    <t>19.	Construction of Barangay / Farm to Market Road at Brgy. Marawoy, Lipa City, Batangas</t>
  </si>
  <si>
    <t>SUPPLY AND DELIVERY OF TWENTY (20) UNITS BRAND NEW MULTI-PURPOSE VEHICLES (MULTICAB) FOR DISASTER PREPARED BARANGAYS</t>
  </si>
  <si>
    <t>Construction of OPA Admin Building Anquiray, Amulung, Cagayan</t>
  </si>
  <si>
    <t>Procurement of Materials and installation of office cubicle and glass partition of RPIMU and RFIMC internet network system/storage room.</t>
  </si>
  <si>
    <t>EXPANSION OF EVACUATION CENTER</t>
  </si>
  <si>
    <t>LOCAL ACCESS ROAD-PAQUET</t>
  </si>
  <si>
    <t>DIS-19-1554-B - Purchase of Construction Materials</t>
  </si>
  <si>
    <t>REPAIR / REPLACEMENT OF DEFECTIVE CCTV CAMERA</t>
  </si>
  <si>
    <t>Construction of Multi Purpose Building Sub Capitol Bangag Lallo Cagayan</t>
  </si>
  <si>
    <t>Procurement of Medical Equipment (BHS Package)</t>
  </si>
  <si>
    <t>PPD-20-0661-B - Purchase of Office Equipment</t>
  </si>
  <si>
    <t>AMP SVPD NO: 20-06-0352 IT Equipment</t>
  </si>
  <si>
    <t>CONSTRUCTION OF COVERED COURT-NANTAWAKAN</t>
  </si>
  <si>
    <t>SUPPLY AND DELIVERY OF ONE (1) UNIT BRAND NEW DISASTER MONITORING VEHICLE (SPORTS UTILITY VEHICLE) FOR CITY DISASTER RISK REDUCTION AND MANAGEMENT OFFICE</t>
  </si>
  <si>
    <t>Nassiping Eco Park Development Project Construction of Water System (Tanks and Distribution Lines) Nassiping, Gattaran, Cagayan</t>
  </si>
  <si>
    <t>Concreting of Road at Wasig, Mansalay, Oriental Mindoro</t>
  </si>
  <si>
    <t>Construction of Second Floor of Cagayan Provincial Jail Grid Line A-G, 1-10, Tuguegarao City</t>
  </si>
  <si>
    <t>Improvement of Multi Purpose Tuao Central Elementary School (Repair of Roof – School) Gymnasium</t>
  </si>
  <si>
    <t>Concreting of Road Network with Line Drainage Tuao District Hospital, Tuao, Cagayan</t>
  </si>
  <si>
    <t>Concreting of Culung – Bugnay Farm to Market Road at Tuao, Cagayan</t>
  </si>
  <si>
    <t>Completion of Multi Purpose Building (Back of Aranz Granstand) Cagayan Sports Complex, Tuguegarao City</t>
  </si>
  <si>
    <t>Cluster 6 Anquiray Farm Tourism Development Project (Farm Service Area Network Development, Farm Utilities Development (Construction of Tanks and Pipelines), Farm Utilities Development (Electrical Sys</t>
  </si>
  <si>
    <t>18.	Construction of Canal/Drainage System, Seawall, Riprapping at Brgy. Luyos, Tanauan City, Batangas</t>
  </si>
  <si>
    <t>Development of Eco Park at Cagayan Sports Complex, Tuguegarao City Cagayan</t>
  </si>
  <si>
    <t>16.	Construction of Multi-Purpose Covered Court at Brgy. Tayuman, Lobo, Batangas</t>
  </si>
  <si>
    <t>DRYDOCKING AND REPAIR WORKS OF VARIOUS BFAR PATROL VESSELS.</t>
  </si>
  <si>
    <t>Purchase &amp; Delivery of One (1) Unit Service Utility Vehicle for PGSO</t>
  </si>
  <si>
    <t>Cluster 3 a – (Dev’t of Ballesteros Agri – Eco Tourism Park Project) Animal Farm Development (Cagayan Breeding Farm) and Forage and Pasture Development Zitanga, Ballesteros, Cagayan</t>
  </si>
  <si>
    <t>CONSTRUCTION OF EVACUATION/MULTI-PURPOSE COVERED COURT (PHASE 1) AT BRGY. MAJUBEN, MABINI, BATANGAS</t>
  </si>
  <si>
    <t>CONSTRUCTION/IMPROVEMENT OF MULTI-PURPOSE HALL AT BRGY. POBLACION, MABINI, BATANGAS</t>
  </si>
  <si>
    <t>SUPPLY &amp; DELIVERY OF ECG MACHINE WITH ANALYZER</t>
  </si>
  <si>
    <t>MAINTENANCE OF CCTV CAMERAS</t>
  </si>
  <si>
    <t>17.	Construction of Barangay / Farm to Market Road at Brgy. Cale (Asphalt Overlay), Tanauan City, Batangas</t>
  </si>
  <si>
    <t>PROOCUREMENT OF MICRO-INFRA PROJECTS CLUSTER 03-2020 (MDF 2019/2020), BILA/ BOBOK-BISAL, BENGUET</t>
  </si>
  <si>
    <t>The Supply and Delivery of Isolation Gate Valves and Fittings for Air Scouring Implementation</t>
  </si>
  <si>
    <t>Delivery of various Agricultural supplies (1st Semester 2020 - Consolidated) (re-bid) (ITB 20-073)</t>
  </si>
  <si>
    <t>Construction of MEO Building, Phase 1</t>
  </si>
  <si>
    <t>INVITATION TO BID FOR THE SUPPLY AND DELIVERY OF 16 AIR-CONDITIONING UNITS FOR CY 2020</t>
  </si>
  <si>
    <t>Rice Cooker, Pressure Cooker and Stove</t>
  </si>
  <si>
    <t>MACHINERIES &amp; EQUIPMENT</t>
  </si>
  <si>
    <t>Delivery of Oil and Lubricants (1st, 2nd &amp; 3rd Quarter 2020) (ITB 20-074)</t>
  </si>
  <si>
    <t>REHABILITATION/IMPROVEMENT OF ROAD</t>
  </si>
  <si>
    <t>procurement for reproduction of learning modules</t>
  </si>
  <si>
    <t>100-2020-01-068 Supply and delivery of 55 cu.m. ready mixed concrete 3500psi</t>
  </si>
  <si>
    <t>Rehabilitation of Water System, Brgy. Bayog, Canlaon City</t>
  </si>
  <si>
    <t>ITB No. 2020-06-22 Supply and Delivery of Seventy-one (71) sets - Brand New, Four Stroke cycle, diesel engine, 6.0 - 7.0 hp., air cooled, 3,000-3,600 rpm belt driven to high pressure Horizontal Triple</t>
  </si>
  <si>
    <t>PURCHASE OF VEHICLE</t>
  </si>
  <si>
    <t>SUPPLY &amp; DELIVERY OF DEFIBRILLATOR WITH MONITOR</t>
  </si>
  <si>
    <t>100-2020-01-069 Supply and delivery of 55cu.m. ready mixed concrete (3500psi)</t>
  </si>
  <si>
    <t>Repair/Maintenance of DPWH Building (Rediras Building) Albay II District Engineering Office, Airport Site, Legazpi City, Albay</t>
  </si>
  <si>
    <t>BIDDING (VEHICLE)</t>
  </si>
  <si>
    <t>SUPPLY &amp; DELIVERY OF EXAMINING TABLE WITH STIRRUPS</t>
  </si>
  <si>
    <t>PROCUREMENT OF MICRO-INFRA PROJECTS CLUSTER 05-2020 (MDF 2020), PITO, BENGUET</t>
  </si>
  <si>
    <t>PROCUREMENT OF WATCHES under SVP NO. 2020-034</t>
  </si>
  <si>
    <t>SUPPLY &amp; DELIVERY OF MEDICAL EQUIPMENT/ INSTRUMENT PACKAGES</t>
  </si>
  <si>
    <t>Repair/Maintenance of Malabog River Revetment 12, Malabog, Daraga, Albay (F40141LZ)</t>
  </si>
  <si>
    <t>Medical Supplies, Rescue Materials and Evacuation Facilities for DRRM Operations</t>
  </si>
  <si>
    <t>Invitation to Bid for Purchase of Materials for Brigada Eskuela 2020</t>
  </si>
  <si>
    <t>INVITATION TO BID FOR: SUPPLY, DELIVERY AND INSTALLATION OF AIR-CONDITIONING SYSTEM FOR GROUND FLOOR OFFICES (MUNICIPAL BUILDING – LEGISLATIVE WING) - CORELLA, BOHOL</t>
  </si>
  <si>
    <t>Supply and Delivery of Android Phone for Barangay Officials of Kahaponan, City of Valencia, Bukidnon</t>
  </si>
  <si>
    <t>Supply and Delivery of Construction Materials and Supplies for the Concreting of Barangay Road (So. Siange)</t>
  </si>
  <si>
    <t>Procurement of Agricultural Supply (Livestock and Feeds), LGU (various brgys), Baybay City, Leyte</t>
  </si>
  <si>
    <t>Procurement-Supply &amp; Delivery Veterinary Supplies</t>
  </si>
  <si>
    <t>Street Illumination at the Municipal Plaza</t>
  </si>
  <si>
    <t>SUPPLY &amp; DELIVERY OF AUTOCLAVE</t>
  </si>
  <si>
    <t>SUPPLY &amp; DELIVERY OF DELIVERY LIGHT,  DELIVERY SET &amp; DELIVERY TABLE</t>
  </si>
  <si>
    <t>Local Access Road/Upgrading</t>
  </si>
  <si>
    <t>SUPPLY &amp; DELIVERY OF FETAL DOPPLER AND FETAL MONITOR</t>
  </si>
  <si>
    <t>20HE0119 Repair and Maintenance of Road Safety Facility – 1. Installation of Internally Illuminated (Solar) Pavement Levelled Marker/Stud Flush Type (Bi-Directional) along Natalio Bacalso Avenue at K0</t>
  </si>
  <si>
    <t>SUPPLY AND DELIVERY OF HOTEL PROPERTY MANAGEMENT SYSTEM SOFTWARE PR NO. 2020-03-0474)</t>
  </si>
  <si>
    <t>20DP0042-R1: Network Development Program – Road Widening - Primary Road - San Pablo- Calauan Rd. – K0081 + 095 - K0081 + 586, K0081 + 593 – K0082 + 000</t>
  </si>
  <si>
    <t>office and other supplies - SHS</t>
  </si>
  <si>
    <t>Procurement of Materials and supplies for Municipal MRF &amp; Other SWW program</t>
  </si>
  <si>
    <t>CONSTRUCTION OF DISASTER OPERATION CENTER (PHASE IV) Poblacion, Lingig, Surigao Del Sur</t>
  </si>
  <si>
    <t>Labor Cost for Repair of Facilities</t>
  </si>
  <si>
    <t>Repair/Maintenance of Big Mateo Bridge Revetment along Kidapawan-Magpet-Pangao-an Road, Big Mateo Bridge approach “B” (Downstream) (Re-Published)</t>
  </si>
  <si>
    <t>Office and Other Supplies</t>
  </si>
  <si>
    <t>20GA0222-Concreting of Brgy. Pang-itan to Brgy. San Jose FMR  Brgy. Pang-itan and Brgy. San Jose, Madalag, Aklan</t>
  </si>
  <si>
    <t>Invitation to Bid for the Provision of Security Services for URS Antipolo City, Angono, Binangonan, Cainta, Cardona, Morong, Pililla, Rodriguez, Tanay and Taytay Campuses, 2nd Bidding</t>
  </si>
  <si>
    <t>COMPLETION OF MULTI PURPOSE BUILDING AT PITO, BOKOD, BENGUET (MDF 2020)</t>
  </si>
  <si>
    <t>Supply and Delivery of Construction Materials and Supplies for the Concreting of Barangay Road (So. Alyanon)</t>
  </si>
  <si>
    <t>Fabrication, Delivery, and Installation of SSF Signage for New and Existing SSF Cooperators in MIMAROPA</t>
  </si>
  <si>
    <t>SUPPLY &amp; DELIVERY OF VEGETABLE SEEDS</t>
  </si>
  <si>
    <t>PROCUREMENT OF 4 WHEELER MULTI PURPOSE VEHICLE (MPV)</t>
  </si>
  <si>
    <t>Spares for the Scheduled Maintenance of FA-50PH Aircraft</t>
  </si>
  <si>
    <t>Procurement of Fertilizers, Insecticides and Dessuckerides</t>
  </si>
  <si>
    <t>PROCUREMENT OF  TWO (2) UNITS 6 WHEELER MINI DUMP TRUCK</t>
  </si>
  <si>
    <t>Construction of Typical Fire Station with Mezzanine of Alubijid Fire Station</t>
  </si>
  <si>
    <t>20GA0220-Concreting of Brgy. Guinatuan to Sitio Datag Brgy. Tigbawan FMR Brgy. Guinatuan and Brgy. Tigbawan, Madalag, Aklan</t>
  </si>
  <si>
    <t>Construction of Multi-Purpose Building (Storage Room)</t>
  </si>
  <si>
    <t>Supply and Delivery of Construction Materials and Supplies for the Installation of Solar Streetlights (So. Hingin I &amp; Alyanon)</t>
  </si>
  <si>
    <t>Retainer Fee for Medical and Dental Services for CY 2020.</t>
  </si>
  <si>
    <t>SUPPLY, DELIVERY AND REPAIR OF SPAREPARTS OF HEAVY EQUIPMENT (VIBRATORY COMPACTOR), LGU ALEOSAN, COTABATO</t>
  </si>
  <si>
    <t>PAYMENT FOR INTERNET LOAD</t>
  </si>
  <si>
    <t>INVITATION TO BID FOR: CONSTRUCTION OF MANPOWER TRAINING CENTER PHASE III – CORELLA, BOHOL</t>
  </si>
  <si>
    <t>Construction of Tourism Multi-Purpose Building with Complete Facilities</t>
  </si>
  <si>
    <t>20DB0135 Construction/Rehabilitation of Water Supply/Septage and Sewerage/Rain Water Collectors-Rain Water Collectors in Public Facilities</t>
  </si>
  <si>
    <t>PURCHASE OF MATERIALS – CONSTRUCTION OF MUNICIPAL HALL ANNEX BUILDING</t>
  </si>
  <si>
    <t>Supply and Delivery of Construction Materials for Construction of VAWC Office Phase 2</t>
  </si>
  <si>
    <t>ICT Equipments</t>
  </si>
  <si>
    <t>CONCRETING OF BARANGAY ACCESS ROAD (CRITICAL SECTION) Sitio Bentigan, Barangay Pagtilaan, Lingig, Surigao Del Sur</t>
  </si>
  <si>
    <t>CONDUCT OF INSET</t>
  </si>
  <si>
    <t>Supply and Delivery of Construction Materials for the Rehabilitation of Farm to Market Road</t>
  </si>
  <si>
    <t>SUPPLY &amp; DELIVERY GENERATOR SET</t>
  </si>
  <si>
    <t>PROVISION FOR SUPPORT FACILITIES AT CAUAYAN CITY SPORTS COMPLEX (PHASE 1)</t>
  </si>
  <si>
    <t>Construction of Solar Dryer</t>
  </si>
  <si>
    <t>Supply &amp; Delivery of Learning Materials - ITB 040-2020 GQ</t>
  </si>
  <si>
    <t>CONSTRUCTION OF UBAY OPEN MARKET STORE BAGSAKAN CENTER</t>
  </si>
  <si>
    <t>BRIGADA</t>
  </si>
  <si>
    <t>Procurement of Aircon</t>
  </si>
  <si>
    <t>Procurement of Agricultural and Marine Supplies, LGU (for various brgys), Baybay City, Leyte</t>
  </si>
  <si>
    <t>Extension of Boardwalk, Construction of Shed and Entrance Pavement - ITB 041-2020 GQ</t>
  </si>
  <si>
    <t>Procurement of Medicines for use at RHU I and II.</t>
  </si>
  <si>
    <t>Repair/Maintenance of DILG Building Cotabato Police Prov’l Office Building, Amas, Kidapawan City (Re-Published)</t>
  </si>
  <si>
    <t>SUPPLY &amp; DELIVERY OF DRESSING CART WITH DRESSING SET</t>
  </si>
  <si>
    <t>PROCUREMENT OF MICRO-INFRA PROJECTS CLUSTER 06-2020 (MDF 2020), KARAO, BENGUET</t>
  </si>
  <si>
    <t>REPAIR AND MAINTENANCE OF FARM TO MARKET ROADS</t>
  </si>
  <si>
    <t>Purchase of Medicines and Medical Supplies</t>
  </si>
  <si>
    <t>Labor Cost for Demolition &amp; Reconstruction of MPB</t>
  </si>
  <si>
    <t>Supply of Materials for Construction of Multi-Purpose Building, Phase V</t>
  </si>
  <si>
    <t>CONDUCT WORLD TEACHERS DAY</t>
  </si>
  <si>
    <t>Rehabilitation of Drainage Canal (Magallanes St. &amp; San Francisco St.)</t>
  </si>
  <si>
    <t>CONSTRUCTION OF MULTIPURPOSE BUILDING AND COVERED COURT</t>
  </si>
  <si>
    <t>CONDUCT OF PROFESSIONAL MEETING</t>
  </si>
  <si>
    <t>LOCAL ACCESS ROAD-TADJI</t>
  </si>
  <si>
    <t>Purchase of Materials for the Construction of Waiting at Purok Domingo, Sudlon, Molave, Zamboanga del Sur</t>
  </si>
  <si>
    <t>SUPPLY &amp; DELIVERY OF MATERIALS FOR SERVICE LINE OF NWSS CONSUMERS FOR WATER CONNECTIONS</t>
  </si>
  <si>
    <t>SUPPLY &amp; DELIVERY OF HOSPITAL BED</t>
  </si>
  <si>
    <t>Project C- IEC Materials</t>
  </si>
  <si>
    <t>Repair/Maintenance of Mabinit River 1 Revetment 2, Legazpi (F40032LZ)</t>
  </si>
  <si>
    <t>Project B Drugs and Medicines</t>
  </si>
  <si>
    <t>Project A Rabies Vaccine</t>
  </si>
  <si>
    <t>Blue Guard Security Services</t>
  </si>
  <si>
    <t>Purchase of Materials for the improvement of Level II Water System</t>
  </si>
  <si>
    <t>Purchase of Materials for Concreting of Concrete Pavement Drier</t>
  </si>
  <si>
    <t>20CSHL0001 - Consulting Services for the conduct of Geotechnical Investigation for Widening of Permanent Bridges along Dumaguete South Road:</t>
  </si>
  <si>
    <t>(20CSNH03)Consulting Services for the Conduct of Soil Explor. And/Or Geotech. Investigation in Prep. of the Prelim. &amp; Det. Eng'g of Prop. Various FY 2021 Reg. Infras Proj(Package 1)Cantilan, Carmen &amp;</t>
  </si>
  <si>
    <t>20EE0137 Construction of Bridge, So. Dimachikchik Barangay Salvacion, Busuanga, Palawan</t>
  </si>
  <si>
    <t>20CSA005: Geotechnical and Geological Survey (Soil Boring Exploration) of Various Buildings in Region I (Package 1)</t>
  </si>
  <si>
    <t>Multi Purpose Vehicle etc. (06-0640)CMO</t>
  </si>
  <si>
    <t>100-2020-03-496 Supply and delivery of 4 units 4 wheel drive diesel tractor with trailing harrow (20x24),etc</t>
  </si>
  <si>
    <t>ITB No. GOP/20-DSWD-038 - Provision of Multi-Year Contract for the Hiring of Service Provider for the Termite Treatment and General Pest Control of DSWD - Central Office and Other Satellite Offices</t>
  </si>
  <si>
    <t>CONSTRUCTION OF HANDRAILS AT ASOKONG</t>
  </si>
  <si>
    <t>CONSTRUCTION OF FOOTPATH AT BANGAO RESIDENTIAL (PHASE II)</t>
  </si>
  <si>
    <t>100-2020-03-497 Supply and delivery of 4 units trailing harrow (20x24)</t>
  </si>
  <si>
    <t>PROVISIONS OF SCHOOL ID &amp; CORD</t>
  </si>
  <si>
    <t>100-2020-06-745 Supply and delivery of gasoline and diesel</t>
  </si>
  <si>
    <t>PROVISION OF SCHOOL SUPPLIES</t>
  </si>
  <si>
    <t>PROCUREMENT OF MICRO-INFRA PROJECTS CLUSTER 04-2020 (MDF 2020), DAKLAN, BENGUET</t>
  </si>
  <si>
    <t>(20NH0091)Construction of Multi-Purpose Building, Municipality of Cantilan, Surigao del Sur</t>
  </si>
  <si>
    <t>REHABILITATION OF SAN ISIDRO BARANGAY HEALTH STATION (BHS)</t>
  </si>
  <si>
    <t>100-2020-01-130 Supply and delivery of 2 units mini bus-aircon</t>
  </si>
  <si>
    <t>(20NH0075 (RE-AD))Rehabilitation of Park, Brgy. Poblacion, Lianga, Surigao del Sur</t>
  </si>
  <si>
    <t>PROVISION OF SPORTS MATERIALS</t>
  </si>
  <si>
    <t>Supply and Delivery of Deodorizer for the Municipality</t>
  </si>
  <si>
    <t>Supply and Delivery of Medical, Dental and Laboratory Supplies for Municipal Health Office</t>
  </si>
  <si>
    <t>PROVISION OF MEDICAL SUPPLIES</t>
  </si>
  <si>
    <t>Provisions of Office Supplies</t>
  </si>
  <si>
    <t>Supply and Delivery of Various Processing Equipment for MSC Gasan</t>
  </si>
  <si>
    <t>Supply and Delivery of Bond Paper to be used for production of learning modules, worksheets, activity and lesson exemplars</t>
  </si>
  <si>
    <t>Supply and Delivery of Risograph Machine to be used for production of learning modules, worksheets, activity and lesson exemplars</t>
  </si>
  <si>
    <t>PRINTING OF TARPAULINS</t>
  </si>
  <si>
    <t>PHOTOCOPY OF LIQUIDATION &amp; OTHER SCHOOL REPORTS</t>
  </si>
  <si>
    <t>20GA0223-Concreting of Brgy. Sta. Cruz FMR Brgy. Sta. Cruz, Lezo, Aklan</t>
  </si>
  <si>
    <t>IMPROVEMENT ALONG LOWER TA-AW FMR</t>
  </si>
  <si>
    <t>IMPROVEMENT OF MUNICIPAL NURSERY</t>
  </si>
  <si>
    <t>IMPROVEMENT ALONG PONGIL ACCESS ROAD, PHASE II</t>
  </si>
  <si>
    <t>COMPLETION OF BUILDING 4 OF THE QUIRINO MUNICIPAL MARKET</t>
  </si>
  <si>
    <t>IMPROVEMENT OF COLONG - AKIKIAN ACCESS ROAD, PHASE II</t>
  </si>
  <si>
    <t>Contract ID No. 20NC0133 - Expansion of Rosario Public Cemetery, Rosario, Agusan del Sur</t>
  </si>
  <si>
    <t>20CSA006: Geotechnical and Geological Survey (Soil Boring Exploration) of Various Buildings in Region I (Package 2)</t>
  </si>
  <si>
    <t>CONSTRUCTION OF THE COMMUNITY CENTER OF TOBACCO PRODUCING BARANGAY (SANTIAGO - PHASE II)</t>
  </si>
  <si>
    <t>CONSTRUCTION OF OPEN DRAINAGE CANAL AT SOYSOYAN (PHASE II)</t>
  </si>
  <si>
    <t>Agricultural Products (Seeds, Seedlings, Plants…) for Distribution of Fruit tress high quality Planting Materials to qualified Organization/Association/Cooperators of different Municipalities under Hi</t>
  </si>
  <si>
    <t>Improvement of Manpower Development Center @ Poblacion Including Acquisition of Transformer</t>
  </si>
  <si>
    <t>IMPROVEMENT ALONG ABUYON - IDIAN FOOTPATH</t>
  </si>
  <si>
    <t>20DI0161- Repair/Maintenance of DPWH Building, Area Equipment Services Building, Los Baños, Laguna</t>
  </si>
  <si>
    <t>Supply and Delivery of Supplies to be used for production of learning modules, worksheets, activity and lesson exemplars</t>
  </si>
  <si>
    <t>SUPPLY &amp; DELIVERY OF CARDIAC MONITOR WITH PULSE OXIMETER</t>
  </si>
  <si>
    <t>Agricultural Products (Seeds, Seedlings, Plants…) for Distribution under Binhian sa Barangay and Mindoro Dinorado Rice Production Program-Agro Technology Resource and Management Services Division</t>
  </si>
  <si>
    <t>20DI0162- Repair/ Maintenance of DND Building MESS Hall Building Camp Gen. Macario Sakay, Los Baños, Laguna</t>
  </si>
  <si>
    <t>IMPROVEMENT ALONG PINANCHAY - TIKET FOOTPATH</t>
  </si>
  <si>
    <t>RM Feeding Center</t>
  </si>
  <si>
    <t>(20NH0092)Construction/ Rehabilitation of Multi-Purpose Building in Cantilan, Surigao del Sur</t>
  </si>
  <si>
    <t>CONCRETING OF BARANGAY ACCESS ROAD, BARANGAY HANDAMAYAN, LINGIG, SURIGAO DEL SUR</t>
  </si>
  <si>
    <t>20IL0195 (REPAIR/MAINTENANCE OF SAN JOSE FLOOD CONTROL ALONG BDRY. SO. LEYTE-MAASIN-MACROHON-SOGOD-DAANG MAHARLIKA (S00194LT), MAASIN CITY, SOUTHERN LEYTE Contract Location	: BRGY. SAN JOSE, MAASIN CI</t>
  </si>
  <si>
    <t>RM Electrical Wiring</t>
  </si>
  <si>
    <t>20IL0196 (CONCRETING OF BRGY. POBLACION-SITIO COOT, BRGY. DINAHUGAN FMR (PHASE II) Contract Location	: BRGY. POBLACION &amp; DINAHUGAN, PADRE BURGOS, SOUTHERN LEYTE)</t>
  </si>
  <si>
    <t>PROVISIONS OF TEST PAPERS</t>
  </si>
  <si>
    <t>RM Kindergarten</t>
  </si>
  <si>
    <t>Supply and Delivery of Assorted Gate Valves</t>
  </si>
  <si>
    <t>20DI0160- Repair/ Maintenance of DENR Building, CENRO – Records Building, Brgy. Lalakay, Los Baños, Laguna</t>
  </si>
  <si>
    <t>Registry of Barangay Inhabitant (RBI), Certifications, Cases,and Website</t>
  </si>
  <si>
    <t>Goods</t>
  </si>
  <si>
    <t>Invitation to Bid for REPAIR OF CLASSROOMS UNDER CY 2020 QUICK RESPONSE FUND (QRF) (Lots 4,9, 11, 22 and 32 – Rebid)</t>
  </si>
  <si>
    <t>CAUAYAN CITY FREEDOM PARK</t>
  </si>
  <si>
    <t>Supply and Delivery of One (1) Lot of Construction Materials for the Installation of transmission and distribution of Pipe Line (Phase 2) Tabuelan, Cebu (7-Upland Barangays)</t>
  </si>
  <si>
    <t>1ST POSTING IMPROVEMENT OF KINDERGARTEN COMFORTROOM</t>
  </si>
  <si>
    <t>IMPROVEMENT ALONG PROPER BASHOY - NAYBALIW FOOTPATH</t>
  </si>
  <si>
    <t>Package 2 of 7 - Supply and Delivery of 3-units Heavy Duty Welding Machine with Trailer</t>
  </si>
  <si>
    <t>ITB for Materials for Module</t>
  </si>
  <si>
    <t>PURCHASE OF EQUIPMENT for the Technology Design and Prototyping Center</t>
  </si>
  <si>
    <t>Contract ID: 20JH0060 Const. of One (1) Unit Rain Water Collector @ Bernardo Elementary  School (ES)</t>
  </si>
  <si>
    <t>Materials for improvement of comfort rooms</t>
  </si>
  <si>
    <t>Procurement of 4-Cylinder Diesel Turbo Engine for Loader 9-in-1</t>
  </si>
  <si>
    <t>Supply and Delivery of Assorted Service Connection Materials</t>
  </si>
  <si>
    <t>MG-PHP20-010 - OIL HYDROTUR #46, 10 DRUMS, OIL LUBRICATION</t>
  </si>
  <si>
    <t>Invitation to Bid for PROCUREMENT OF AGRICULTURAL MACHINERY AND EQUIPMENT</t>
  </si>
  <si>
    <t>Procurement of the Annual Subscription of BCDA Email System</t>
  </si>
  <si>
    <t>20DC0210 - Repair/Maintenance of DILG Building, BFP Agoncillo Fire Station Building, Agoncillo, Batangas</t>
  </si>
  <si>
    <t>SUPPLY AND DELIVERY OF VARIOUS ELECTRICAL SPARE PARTS FOR TAGAPUL-AN DPP</t>
  </si>
  <si>
    <t>ITB for IEC on proper Hygiene and COVID-19 Precautionary Measures</t>
  </si>
  <si>
    <t>SUPPLY, DELIVERY, TESTING AND COMMISSIONING OF ON-LINE MULTI-PARAMETER ANALYZER AND WATER LEVEL SENSOR (GOODS-2020-010) - REBID</t>
  </si>
  <si>
    <t>MG-PAT20-035 - XLPE WIRE FOR 13.8KV BURIAL TYPE POWER CABLE, EU / US</t>
  </si>
  <si>
    <t>PRINT, SUPPLY AND DELIVERY OF MTWD 2021 CALENDAR</t>
  </si>
  <si>
    <t>PROCUREMENT OF PUMPBOAT FOR TAGABULI BAY CRUISE-2ND POSTING</t>
  </si>
  <si>
    <t>Procurement of Technology Laboratory Equipment for NORSU Bayawan- Sta. Catalina, Guihulngan and Main Campuses (Batch 1)</t>
  </si>
  <si>
    <t>Repair/Maintenance of DILG Building Lagawe Municipal Police Station, Lagawe, Ifugao</t>
  </si>
  <si>
    <t>ITB No. 2020-G-06-01: Purchase of Transformer w/ Installation and Metering</t>
  </si>
  <si>
    <t>Construction for Extension of Multi-Purpose Pavement 1.</t>
  </si>
  <si>
    <t>Supply and Delivery of Two-Way Radio for Security Guard</t>
  </si>
  <si>
    <t>Rebidding: 20 bags Tile Adhesive 25 kgs/bag and other items for improvement of Candau-ay Habitat Day Care Center at Barangay Candau-ay.</t>
  </si>
  <si>
    <t>Supply &amp; Delivery of 200 Mbps Leased Line Internet Connection for JHCSC (1 Year)</t>
  </si>
  <si>
    <t>20FK0056-Repair/Maintenance of Mauhang River Control (Downstream Left) F40095LZ, Brgy. Sta. Cruz Casiguran Sorsogon</t>
  </si>
  <si>
    <t>20AE0072: Construction of 2 Storey TechVoc Workshop Buildings/Laboratories for Senior High School at La Union National High School - Sacyud Annex, San Fernando City, La Union</t>
  </si>
  <si>
    <t>Concreting of Katitisan - Gumaga Road</t>
  </si>
  <si>
    <t>Purchase of Veterinary Medicine, Feeds and Pet ID Tag</t>
  </si>
  <si>
    <t>Request for Quotation for Various Construction Materials - P.R. No. 13811</t>
  </si>
  <si>
    <t>B-037-2020 PROCUREMENT OF 1 LOT VARIOUS SANITATION AND HYGIENE SUPPLIES- SVP</t>
  </si>
  <si>
    <t>Construction of Multi-Purpose Building,  (Agricultural Training and Tourism Center), Hungduan, Ifugao</t>
  </si>
  <si>
    <t>Water Bath</t>
  </si>
  <si>
    <t>Supply and Delivery of materials for 500m WINS facilities and electrical repair at room 39, 40, and 41.</t>
  </si>
  <si>
    <t>Acid Cabinet</t>
  </si>
  <si>
    <t>B-036-2020 PROCUREMENT OF 1 LOT VARIOUS OFFICE SUPPLIES - SVP</t>
  </si>
  <si>
    <t>Procurement of Various Spare Parts-06-362(A)PGO</t>
  </si>
  <si>
    <t>ITB No. 2020-I-P7-01:Continuation/Iprovement/ Construction/Concreting/ Rehab of Various Infra Projects</t>
  </si>
  <si>
    <t>SUPPLY, DELIVERY AND INSTALLATION OF EQUIPMENT FOR SDO CAMARINES SUR IT SECTION (LOT 1-3)</t>
  </si>
  <si>
    <t>Supply and Delivery of Toners, Imaging and Photoconductor Kit for Multifunction (Copier, Scanner, Printer) Machine &amp; Laser Printers of BIR-RR No. 9B LaQueMar, San Pablo City</t>
  </si>
  <si>
    <t>CONCRETING OF JCT. NATIONAL BATU-BALINTUGON ROAD Located at Alfonso Castañeda, Nueva Vizcaya</t>
  </si>
  <si>
    <t>Procurement of Various Construction Supplies and Materials-06-371(O)PEO</t>
  </si>
  <si>
    <t>Contract ID: 20JH0059 Const. of One (1) Unit Rain Water Collector @ Calvario Elem. School (ES)</t>
  </si>
  <si>
    <t>CONSTRUCTION/IMPROVEMENT OF TANDOK-LOCOS-KASERREK FTMR Located at Mabuslo, Bambang, Nueva Vizcaya</t>
  </si>
  <si>
    <t>•	Package 3 – Supply and Delivery of Materials for the construction of Solar Drier under Local Development Projects for the following barangays; Balacayon, Buricain and New Culasi, all located at Pigc</t>
  </si>
  <si>
    <t>Procurement supply and Delivery of One (1) Set Rescue Boat with Outboard Motor Engine and Trailer</t>
  </si>
  <si>
    <t>INVITATION TO BID FOR THE PROCUREMENT OF LABOR &amp; MATERIALS FOR THE PROJECT OF REHABILITATION OF DRY MARKET @ BLOCK-2 (PHASE 2) BLACK 2, MARKET SITE, POBLACION, MONKAYO, DAVAO DE ORO</t>
  </si>
  <si>
    <t>Construction of Proposed 3 Units Day Care Center located at Sitio Dimalama, Bugos, Aringay and Villa Rose, San Guillermo, Isabela</t>
  </si>
  <si>
    <t>Livelihood dispersal (carabao)</t>
  </si>
  <si>
    <t>CONCRETING OF BARANGAY ACCESS ROAD, BARANGAY SAN ROQUE, LINGIG, SURIGAO DEL SUR</t>
  </si>
  <si>
    <t>Cont. Ref. No. 075-20: Construction of Slope Protection at Camp Suerte at Virac, Itogon, Benguet</t>
  </si>
  <si>
    <t>20GIA006 Procure,ment of DPWH Equipment</t>
  </si>
  <si>
    <t>OIL DISPERSANT</t>
  </si>
  <si>
    <t>Completion of Perimeter Fence at Slaughterhouse, San Agustin Babak District, IGACOS (Re-Bidding) under PR No. 2020-02-1518</t>
  </si>
  <si>
    <t>INVITATION FOR NEGOTIATED  PROCUREMENT (SMALL VALUE PROCUREMENT) OF DRUGS AND MEDICINES</t>
  </si>
  <si>
    <t>SUPPLY, DELIVERY, INSTALLATION INTO OPERATIONAL STATE, AND MAINTENANCE OF AN INVESTMENT MANAGEMENT SYSTEM (IMS) (RE-ADVERTISEMENT)</t>
  </si>
  <si>
    <t>Completion of Evacuation Center at Brgy. San Miguel,  Samal District IGaCOS under PR No. 2020-06-2449</t>
  </si>
  <si>
    <t>Widening of Road at Kinawitnon - Villarica Road Section  (Re-Bidding) under PR No. 2020-01-1386.</t>
  </si>
  <si>
    <t>CONSTRUCTION OF PATHWAY AT BRGY. LUMBANG, PILAR, SORSOGON</t>
  </si>
  <si>
    <t>20CE0221: Construction of 1STY2CL, Maragol IS, Science City of Muñoz, Nueva Ecija</t>
  </si>
  <si>
    <t>20CE0219: Construction of 3STY15CL, Cuyapo CS, Cuyapo, Nueva Ecija</t>
  </si>
  <si>
    <t>20CE0217: Construction of 2STY8CL, Guimba West CS, Guimba, Nueva Ecija</t>
  </si>
  <si>
    <t>20GKI0015 (Public Bidding) Contract Name: Supply of WF-6869R Ink for use in the DPWH Office</t>
  </si>
  <si>
    <t>REHABILITATION OF FARM TO MARKET ROAD (FMR) - SAN MIGUEL SECTION, LUNA, ISABELA</t>
  </si>
  <si>
    <t>INVITATION TO BID FOR THE PROCUREMENT OF LABOR &amp; MATERIALS FOR THE PROJECT OF MULTI-PURPOSE HALL IMPROVEMENT-BARANGAY OLAYCON, MONKAYO, DAVAO DE ORO</t>
  </si>
  <si>
    <t>20GP015G-Procurement of Crushed Aggregates (Choker ¼), Fine Aggregates (Sand), Item 104- Common Borrow, and Washed Gravel to be used in the Resealing of Concrete/Asphalt Road, Embankment of Eroded Sho</t>
  </si>
  <si>
    <t>20GA0142-Construction of Multi-Purpose Building (Covered Court) Brgy. Poblacion, Tangalan, Aklan</t>
  </si>
  <si>
    <t>20CE0218: Construction of 2STY6CL, Doroteo R. Jose Elementary School, Cuyapo, Nueva Ecija</t>
  </si>
  <si>
    <t>Construction of Gym AVCES Miranda, Babak District IGaCoS  under PR No. 2020-06-2478</t>
  </si>
  <si>
    <t>Chicken Meat Production  for food sufficiency amidst the threat of Covid-19 Pandemic</t>
  </si>
  <si>
    <t>20GP016G-Procurement of Global Navigation Satellite System (GNSS) Survey Equipment (1 Base, 2 Rover per set) to be used in the Preliminary Detailed Engineering (PDE) for the Proposed FY 2020 Projects</t>
  </si>
  <si>
    <t>20CE0220: Construction of 2STY4CL, Muñoz National High School (Annex), Science City of Muñoz, Nueva Ecija</t>
  </si>
  <si>
    <t>System Upgrade of Radio Communication (including Repair and Maintenance)</t>
  </si>
  <si>
    <t>Purchase of One Unit Dumptruck</t>
  </si>
  <si>
    <t>Supply and delivery of Construction Supplies &amp; Materials for use in Leyte Provincial Hospital. ABC PHP123,369.00</t>
  </si>
  <si>
    <t>CONCRETING OF KAWIT-PAITON-INUDARAN-DELABAYAN PROVINCIAL ROAD Sta. 6+345.00 - Sta. 7+430.00</t>
  </si>
  <si>
    <t>INSTALLATION OF PAVEMENT BLOCKS, PAINTING OF CURB AT AMPHITHEATER AND DRYWALL PARTITIONS AT THE ARCHIVE ROOM IN THE PROVINCIAL CAPITOL BUILDING</t>
  </si>
  <si>
    <t>RFQ– Submersible pump assy.</t>
  </si>
  <si>
    <t>Procurement of DRR Emergency Equipment &amp; Supplies and Cooking Utensils for Evacuation Center</t>
  </si>
  <si>
    <t>ISOLATION FACILITY-MDRRMO</t>
  </si>
  <si>
    <t>S1-END20-009    SUPPLY AND DELIVERY OF MATERIALS/SUPPLIES FOR EL NIDO DPP.</t>
  </si>
  <si>
    <t>Construction of MCC-HOTEL WAREHOUSE BUILDING</t>
  </si>
  <si>
    <t>20KG0095: Concreting of Purok Sta. Cruz to Sitio Kaluwagan, Brgy. Inagongan FMR, Brgy. Inagongan, Tagoloan, Lanao del Norte, Sta.0+000-0+700</t>
  </si>
  <si>
    <t>Supply and delivery of Drugs and Medicines to be used by the various Birthing Station Services for the year 2020 in the City of San Fernando, Pampanga</t>
  </si>
  <si>
    <t>SUPPLY AND DELIVERY OF VARIOUS ELECTRICAL SPARES FOR 163 KW PERKINS INTENTED FOR GUINTARCAN DPP</t>
  </si>
  <si>
    <t>S1-ADP20-014    SUPPLY OF LABOR, TOOLS AND EQUIPMENT FOR PCB TESTING OF TRANSFORMER OIL.</t>
  </si>
  <si>
    <t>Construction of Housing and Fencing and Installation of Water Treatment Facility -Icanbato, Caramoran, Catanduanes</t>
  </si>
  <si>
    <t>S1-JPR20-010   SUPPLY OF LABOR, TOOL AND EQUIPMENT FOR THE FABRICATION/MACHINING/RECONDITIONING OF PARTS AND AUXILLIARIES.</t>
  </si>
  <si>
    <t>SUPPLY AND DELIVERY OF VARIOUS MECHANICAL SPARE PARTS FOR 56KW PERKINS INTENDED FOR BOHOL 2 MINI GRID</t>
  </si>
  <si>
    <t>SUPPLY &amp; DELIVERY OF CHEMISTRY ANALYZER;  AND HEMATOLOGY ANALYZER</t>
  </si>
  <si>
    <t>CONCRETING OF MAIGO-MENTRING-INOMA PROVINCIAL ROAD Sta. 10+470.00 - Sta. 11+485.00</t>
  </si>
  <si>
    <t>Supply and Delivery of Diesel-Fuel for Use of General Services Office</t>
  </si>
  <si>
    <t>ROAD CONCRETING AT STO. DOMINGO ST., PUROK MALINAWON, BRGY. CALUMPANG, GSC</t>
  </si>
  <si>
    <t>20AG0121-Construction of Modified Standard One-Storey (2 Classrooms) School Building at Patar ES, Agno, Pangasinan</t>
  </si>
  <si>
    <t>Reactivation of Deepwell</t>
  </si>
  <si>
    <t>CONSTRUCTION OF RIVER CONTROL</t>
  </si>
  <si>
    <t>Procurement of Various Aggregates Supplies-06-346(O)PEO</t>
  </si>
  <si>
    <t>Supply and Delivery of GSM/SMS Data Logger (Flow Pressure) and Accessories</t>
  </si>
  <si>
    <t>RM Library Hub</t>
  </si>
  <si>
    <t>20GIA005 Procurement of Road Signs</t>
  </si>
  <si>
    <t>20DI0165- Repair and Maintenance of Road Safety Facilities (Overhead Signages and Stud Flash Type),  Along Manila South Road</t>
  </si>
  <si>
    <t>20DI0163- Repair/ Maintenance of DILG Building, Anti-Cybercrime Building Camp Vicente Lim, Calamba City, Laguna</t>
  </si>
  <si>
    <t>Procurement of Coupled Diesel Water Pump for establishment of water impounding system/small farm reservior</t>
  </si>
  <si>
    <t>SUPPLY AND DELIVERY OF CONSTRUCTION MATERIALS FOR REHABILITATION OF WATER SYSTEM AT BARANGAY UNION, LINGIG, SURIGAO DEL SUR</t>
  </si>
  <si>
    <t>Negotiation for the Procurement of  Various Medical and Surgical Supplies</t>
  </si>
  <si>
    <t>SUPPLY &amp; DELIVERY OF ELECTROLYTE ANALYZER</t>
  </si>
  <si>
    <t>Procurement of F&amp;B Concessionaire for CF-Bacolod Customers, Guests and Officers for a Period of Three (3) Years</t>
  </si>
  <si>
    <t>20KK0127 - Construction of 2 UNITS 1 STY 2 CL, Lantad IS, Balingasag, Misamis Oriental</t>
  </si>
  <si>
    <t>CONSTRUCTION OF TUBURAN, TUNGA-TUNGA RIVER CONTROL</t>
  </si>
  <si>
    <t>For the Procurement of uPVC Pipes for Mati Water District, City of Mati, Davao Oriental</t>
  </si>
  <si>
    <t>Supply and Delivery of Construction Materials for Mambusao RIS</t>
  </si>
  <si>
    <t>20KK0126 - Construction of 1 STY 2 CL, Damayuhan NHS, Magsaysay (Linugos), Misamis Oriental</t>
  </si>
  <si>
    <t>20AG0122-Construction of Modified Standard One-Storey (2 Classrooms) School Building at San Jose ES, Anda, Pangasinan</t>
  </si>
  <si>
    <t>RM Portable Handwashing</t>
  </si>
  <si>
    <t>Procurement of Improvement/ Cleaning and Maintenance of Drainage Canal (Materials)</t>
  </si>
  <si>
    <t>Procurement of Marine Supplies.</t>
  </si>
  <si>
    <t>20DI0164- Repair/ Maintenance of Flood Control Structures, Biñan City, Laguna</t>
  </si>
  <si>
    <t>Procurement of Construction of Multi-purpose Building (DSWD)</t>
  </si>
  <si>
    <t>Supply &amp; Delivery of Medical Oxygen</t>
  </si>
  <si>
    <t>Supply and Delivery of Materials for Footbridge Construction at Sitio Sinatalan to Sitio Sumibang</t>
  </si>
  <si>
    <t>Construction of RC Culvert &amp; Concreting of Brgy. Road., Brgy. Hibunawan, Baybay City, Leyte</t>
  </si>
  <si>
    <t>Procurement of One (1) Unit K2500 Double Cab (Procurement of Goods)</t>
  </si>
  <si>
    <t>Up keeping and Maintenance of the Port Physical Facilities for a period of  Eleven (11) Months, Port of Iligan, Iligan City</t>
  </si>
  <si>
    <t>Procurement of Construction of Multi-purpose Building Phase III</t>
  </si>
  <si>
    <t>Procurement of Construction of Community Police Assistance Center (COMPAC)</t>
  </si>
  <si>
    <t>Procuremement of Concreting of 120 meters Unpaved road</t>
  </si>
  <si>
    <t>Invittion to Bid Purchase of Office Supplies</t>
  </si>
  <si>
    <t>INVITATION TO BID FOR SUPPLY, DELIVERY, INSTALLATION &amp; COMMISSIONING OF ELECTRO-MECHANICAL EQUIPMENT FOR PUMP STATION 6, INCLUDING INTERCONNECTION TO TRANSMISSION MAIN.</t>
  </si>
  <si>
    <t>SUPPLY AND DELIVERY OF 245 BAGS HYBRID PALAY SEEDS</t>
  </si>
  <si>
    <t>2ND ITB SUPPLY AND DELIVERY 7 UNITS MECHANICAL RICE TRANSPLANTER UNDER 2020 RICE PROGRAM</t>
  </si>
  <si>
    <t>20DD0342 Local Program, Local Infrastructure Program, Buildings and Other Structures, Multipurpose/ Facilities, Rehabilitation/ Improvement of Multi-Purpose Facilities at Sen. Claro M. Recto Integrate</t>
  </si>
  <si>
    <t>Procurement of Veterinary drugs for Livestock Services -OMA</t>
  </si>
  <si>
    <t>CONSTRUCTION OF LOCAL ROADS</t>
  </si>
  <si>
    <t>20DD0341 Local Program, Local Infrastructure Program, Buildings and Other Structures, Multipurpose/ Facilities, Construction and Completion of Padre Garcia Community Hospital, Padre Garcia, Batangas</t>
  </si>
  <si>
    <t>20DD0339 Local Program, Local Infrastructure Program, Buildings and Other Structures, Multipurpose/ Facilities, Construction of a Multi-Purpose Building (Municipal Hall) at Brgy. Poblacion, Padre Garc</t>
  </si>
  <si>
    <t>20GPI0005 - PURCHASE OF SPARE PARTS AND LABOR SERVICES: A.) For use on the repair of fuel system and replacement of wornout tires of HI-7377, Ford Everest 3.0, 2011 	B.) For use of 141204 (HI-5871) an</t>
  </si>
  <si>
    <t>20FJ0027 - Repair/ Maintenance of DPWH Building, Motorpool, Masbate III District Engineering Office</t>
  </si>
  <si>
    <t>20AG0124-Construction of Modified Standard One-Storey (2 Classrooms) School Building at Viga ES, Dasol, Pangasinan</t>
  </si>
  <si>
    <t>RFQ-GS-20200616-01 - Subscription and Installation of IP VPN Lines using 2Mbps Bandwidth for Various LANBBANK Sites</t>
  </si>
  <si>
    <t>LGU201820%DFGoods-002</t>
  </si>
  <si>
    <t>CONSTRUCTION OF SLOPE (LUGSAD SPRING INCLUDING INTAKE BOX) - LABOR AND MATERIALS</t>
  </si>
  <si>
    <t>IMPROVEMENT OF SAPUAN FARM-TO-MARKET ROAD AT AMBASSADOR, TUBLAY, BENGUET</t>
  </si>
  <si>
    <t>Procurement of Feeds, Minerals and Fertilizers  for Provincial Veterinary Office</t>
  </si>
  <si>
    <t>20DD0263 (Re-Advertised) Local Program, Local Infrastructure Program, Buildings and Other Structures, Multipurpose/ Facilities, Rehabilitation/ Improvement of M.B. Medrano Plaza, Brgy. Poblacion, Ibaa</t>
  </si>
  <si>
    <t>Rehab./Improvement of Junction National Road to San Vicente, Sitio San Vicente, Sitio Centro, Brgy. Kilim, Baybay City, Leyte</t>
  </si>
  <si>
    <t>20GDJ0008/N-2020-06-066 Provision of Three (3) Security Guards at DPWH Quezon II DEO, Lucena City</t>
  </si>
  <si>
    <t>Equipment Rental</t>
  </si>
  <si>
    <t>20DD0340 Local Program, Local Infrastructure Program, Buildings and Other Structures, Multipurpose/ Facilities, Construction/ Improvement of Multi-Purpose Building including facilities (Plaza Independ</t>
  </si>
  <si>
    <t>Labor and Materials for the Desilting/ Declogging of Alasas Creek (Solana Bridge to Alasas Bridge) at San Agustin and Alasas, City of San Fernando, Pampanga</t>
  </si>
  <si>
    <t>SUPPLY AND DELIVERY OF OFFICE SUPPLIES, MATERIALS AND EQUIPMENT</t>
  </si>
  <si>
    <t>20AJ0101-Construction of Four (4) Storey Eight (8) Classroom School Building, Primicias NHS, Mapandan, Pangasinan</t>
  </si>
  <si>
    <t>Procurement of Medical Supplies - MHO</t>
  </si>
  <si>
    <t>Procurement of Purchase of Medicines for MMH</t>
  </si>
  <si>
    <t>Printing and Delivery of Tarpaulins to be used for the various programs and projects of the City Government of San Fernando, Pampanga</t>
  </si>
  <si>
    <t>Labor and Materials for the Construction of Slope Protection (Phase II) at San Agustin, City of San Fernando, Pampanga</t>
  </si>
  <si>
    <t>Procurement of Medicine for Botika ng Bayan and Other Programs</t>
  </si>
  <si>
    <t>Procurement of Improvement/ Cleaning and Maintenance of Drainage Canal (Labor)</t>
  </si>
  <si>
    <t>USE FOR THE INSTALLATION OF TRENCH MAINTENANCE BOX-18 UNIT &amp; SAFETY COVER OF EXISTING BOXES AT BONG SOURCE, KABANGKALAN, VILLAHERMOSA, TUDELA, CEBU</t>
  </si>
  <si>
    <t>20DD0346 Local Program, Local Infrastructure Program, Local Roads and Bridges, Local Roads, Concreting of Local Road at Brgy. Tulay na Patpat, Ibaan, Batangas</t>
  </si>
  <si>
    <t>Procurement of Supplies and Materials for OMA Programs</t>
  </si>
  <si>
    <t>20DD0344 Local Program, Local Infrastructure Program, Buildings and Other Structures, Multipurpose/ Facilities, Rehabilitation/ Improvement of Multi-Purpose Facilities at Brgy. Bugtong, Lipa City, Bat</t>
  </si>
  <si>
    <t>PROCUREMENT OF ONE (1) UNIT RESCUE VEHICLE</t>
  </si>
  <si>
    <t>20DD0347 Local Program, Construction/ Repair/ Rehabilitation/ Improvement of Various Infrastructure Including Local Projects, Buildings and Other Structures, Multipurpose/ Facilities, Construction of</t>
  </si>
  <si>
    <t>20DD0343 Local Program, Local Infrastructure Program, Local Roads and Bridges, Local Roads, Rehabilitation/Improvement of Road including Drainage System at Brgy. 7, Lipa City, Batangas</t>
  </si>
  <si>
    <t>Procurement of 4 Units Aircon Floor Standing 3HP with Installation</t>
  </si>
  <si>
    <t>Project 2020-15: Purchase of Assorted Sizes uPVC Pipes S-8 &amp; S-10, Fixed Seal</t>
  </si>
  <si>
    <t>20DD0345 Local Program, Local Infrastructure Program, Buildings and Other Structures, Multipurpose/ Facilities, Construction of Multi-Purpose Building at Plaridel National High School, Lipa City, Bata</t>
  </si>
  <si>
    <t>20CB0071: Construction of Two(2) Storey Four(4) Classroom at Bantan ES, Orion, Bataan</t>
  </si>
  <si>
    <t>20DD0348 Local Program, Local Infrastructure Program, Buildings and Other Structures, Multipurpose/ Facilities, Construction of Footbridge at Brgy. Balintawak, Lipa City, Batangas</t>
  </si>
  <si>
    <t>20AJ0102-Construction of Four (4) Storey Eight (8) Classroom School Building, Botao NHS, Sta. Barbara, Pangasinan</t>
  </si>
  <si>
    <t>SUPPLY AND DELIVERY OF CONSTRUCTION MATERIALS FOR THE CONSTRUCTION OF APARTMENT TYPE NICHES (CONTINUING PROJECT)</t>
  </si>
  <si>
    <t>CONSTRUCTION OF EARLY CHILDHOOD CARE AND  DEVELOPMENT CENTER</t>
  </si>
  <si>
    <t>Purchase of Various Office Supplies (Various Offices)</t>
  </si>
  <si>
    <t>FOR THE SUPPLY AND DELIVERY OF ICT EQUIPMENT OF EMB REGION VI CY 2020 (RE-BID)</t>
  </si>
  <si>
    <t>20CB0072: Construction of Two(2) Storey Four(4) Classroom at Capunitan ES, Orion, Bataan</t>
  </si>
  <si>
    <t>BNLSL-LCB-34-2020 – Construction of Diversion Works, Canal and Farm Level System of Tabion SIP, Leyte, Leyte</t>
  </si>
  <si>
    <t>Procurement of Supply, Delivery, Installation, Testing, Applications Training and Commissioning of Various Medical Equipment (Batch 2)</t>
  </si>
  <si>
    <t>SUPPLY, DELIVERY AND COMMISSIONING OF LITHOTRIPTOR SET FOR STONE SURGERIES</t>
  </si>
  <si>
    <t>Contract of Service for the Termite Treatment and Control to be used at City Hall Compound, City Health Office and RHU's and Birthing Stations in the City of San Fernando, Pampanga</t>
  </si>
  <si>
    <t>PROVISION OF LABOR, MATERIALS, EQUIPMENT RENTALS AND OTHER INCIDENTALS NEEDED FOR THE RECONSTRUCTION OF (2 UNITS) GOAT HOUSE IN PREC-SUAL, PANGASINAN</t>
  </si>
  <si>
    <t>Procurement of Medical Supplies for MMH</t>
  </si>
  <si>
    <t>Procurement of Health Equipment, 1 set Prestan Mannequin 3 pack w/ CPR Monitor</t>
  </si>
  <si>
    <t>20AJ0104-Construction of Two (2) Storey Six (6) Classroom School Building at Tuliao E/S, Sta. Barbara, Pangasinan</t>
  </si>
  <si>
    <t>Improvement of Concrete Pavement, Brgy. Candadam, Baybay City, Leyte</t>
  </si>
  <si>
    <t>20AJ0103-Construction of Four (4) Storey, Eight (8) Classroom School Building, Mabuletic I.S., Malasiqui, Pangasinan</t>
  </si>
  <si>
    <t>Construction of Temporary Learning Space in Various Schools</t>
  </si>
  <si>
    <t>Procurement of 400 Pcs ARAD Water System</t>
  </si>
  <si>
    <t>Procurement of Medical Supply (Medicines), CHO/TB-DOTS, Baybay City, Leyte</t>
  </si>
  <si>
    <t>Procurement of Expansion/ Improvement of Level III Water System</t>
  </si>
  <si>
    <t>Supply and Delivery of Plastic Barriers, Rubberized Traffic Cones and Plastic Pedestrian Barriers to be used along the City's Major Thoroughfares for the 1st Semester of 2020 in the City of San Fernan</t>
  </si>
  <si>
    <t>B20200218 - CONDUCT OF ENGINEERING GEOLOGICAL &amp; GEO-HAZARD ASSESSMENT (EGGA)</t>
  </si>
  <si>
    <t>CONSTRUCTION OF STANDARD DAY CARE CENTER</t>
  </si>
  <si>
    <t>Procurement of Construction of DRRM Operations Center Phase I</t>
  </si>
  <si>
    <t>Procurement of Cafeteria Concessionaire for CF-Iloilo Employees for a period of Two (2) Years</t>
  </si>
  <si>
    <t>Supply and Delivery of Construction Materials for Tina II PCIP</t>
  </si>
  <si>
    <t>20AG0123-Construction of Modified Standard One-Storey (2 Classrooms) School Building at Uli ES, Dasol,  Pangasinan</t>
  </si>
  <si>
    <t>RFQ-GS-20200616-05 - 1 Lot Supply, Delivery and Installation of 1 Unit Synchronizing Control Panel for the Generation Set located at LANDBANK Plaza Building</t>
  </si>
  <si>
    <t>Supply and Delivery of Toners and Inks, 1 Lot, for the Utilization of Pantawid Pamilya staff in RPMO, POO1, POO2, POO3, POO4 and Its municipalities</t>
  </si>
  <si>
    <t>CONSTRUCTION OF MULTI-PURPOSE COVERED COURT/EVACUATION CENTER PHASE 2, @ DUNGON INTEGRATED SCHOOL, BRGY. DUNGON, SISON, PANGASINAN</t>
  </si>
  <si>
    <t>Construction of Residual Containment Area (RCA)</t>
  </si>
  <si>
    <t>1. Spareparts (for the use of DAEWOO DE12TIS)/CMO-Motorpool 2.Spareparts (for the use of Transit Mixer)/CMO-Motorpool</t>
  </si>
  <si>
    <t>20KK0125 - Construction of 2 STY 4 CL, Talisay Elementary School, Gingoog City, Misamis Oriental</t>
  </si>
  <si>
    <t>BNLSL-LCB-04A-2019 – Construction of Canal System of Sto. Niño CIP, Babatngon, Leyte</t>
  </si>
  <si>
    <t>SUPPLY, DELIVERY AND INSTALLATION OF 3-75KVA TRANSFORMERS, INCLUDING ACCESORIES, PORT OF ORMOC, LEYTE</t>
  </si>
  <si>
    <t>SUPPLY &amp; INSTALLATION OF VARIOUS FURNITURE, STEEL SIGNAGE &amp; COMBI. BLINDS AT HEALTH SERVICES, Contract ID No. SVP-13-20</t>
  </si>
  <si>
    <t>IMPROVEMENT OF FARM TO MARKET ROADS-SITIO TOLEDO &amp; CABATUAN, BRGY. BARCELONA, SOLSONA, ILOCOS NORTE</t>
  </si>
  <si>
    <t>BPSU Abucay Campus: Supply, Delivery and Installation of Hybrid Soil and Plant Laboratory Equipment for the Rehabilitation of BSA/BTVTE Building</t>
  </si>
  <si>
    <t>Construction of Multi-Purpose Building Kagitingan, Magay, Brgy. Don Martin Marundan</t>
  </si>
  <si>
    <t>Repair of Water Tank Flooring at Milagros Albano District Hospital, Cabagan, Isabela</t>
  </si>
  <si>
    <t>Labor and Materials for the Improvement/Construction of Road at Del Rosario, City of San Fernando, Pampanga</t>
  </si>
  <si>
    <t>Supply and Delivery of Assorted Materials for the Establishment of District Metering Area</t>
  </si>
  <si>
    <t>Purchase of Varicella-Zoster Vaccine Live</t>
  </si>
  <si>
    <t>CONSTRUCTION OF BARANGAY HEALTH STATION AT BARANGAY BARBAR</t>
  </si>
  <si>
    <t xml:space="preserve">2nd Invitation for the Supply &amp; Delivery of Lot 3- 5 units Copier for use in the office and staff of RPMSO and PPMSO Sorsogon, Catanduanes and Masbate Special Area for Agricultural Development (SAAD) </t>
  </si>
  <si>
    <t>Construction of Mabantad Multi-purpose Hall, Cauayan City, Isabela</t>
  </si>
  <si>
    <t>Repair/Renovation and Demolition/Dismantling</t>
  </si>
  <si>
    <t>Hospital/Medical Equipment for use of OMSDH/ for the Covid &amp; Non Covid patients of OMSDH</t>
  </si>
  <si>
    <t>50 reams Mimeograhing paper, legal size</t>
  </si>
  <si>
    <t>Construction/Improvement</t>
  </si>
  <si>
    <t>CONSTRUCTION OF ENTRANCE GATE &amp; GUARD HOUSE</t>
  </si>
  <si>
    <t>Supply and delivery of Materials for the Roofing Repair of Barikir Day Care Center</t>
  </si>
  <si>
    <t>20CB0077: Construction of Two(2) Storey Eight(8) Classroom at Balanga City National Science High School, Balanga City, Bataan</t>
  </si>
  <si>
    <t>20FN0108 Construction of Three (3) Storey Fifteen (15) Classroom School Building, Nabua National High School, Nabua, Camarines Sur</t>
  </si>
  <si>
    <t>20CB0076: Construction of Three(3) Storey Six(6) Classroom at City of Balanga National High School, Balanga City, Bataan</t>
  </si>
  <si>
    <t>PROVISION OF LABOR, MATERIALS, EQUIPMENT RENTALS AND OTHER INCIDENTALS NEEDED FOR THE REHABILITATION AND ENHANCEMENT OF DORMITORY BUILDING AT DA-PREC, SUAL, PANGASINAN</t>
  </si>
  <si>
    <t>PROVISION OF LABOR, MATERIALS, EQUIPMENT RENTALS AND OTHER INCIDENTALS NEEDED FOR THE RECONSTRUCTION OF PERIMETER FENCE WITH GATE AT DA-PREC, SUAL, PANGASINAN</t>
  </si>
  <si>
    <t>20GBC0007 - Furnishing/Delivery of Pavement Marking Materials for use along National Roads (Thermoplastic Paint Yellow)</t>
  </si>
  <si>
    <t>20CB0075: Construction of Two(2) Storey Four(4) Classroom at Mariveles NHS Malaya, Mariveles, Bataan</t>
  </si>
  <si>
    <t>PROVISION OF LABOR, MATERIALS, EQUIPMENT RENTALS AND OTHER INCIDENTALS NEEDED FOR THE REHAB AND ENHANCEMENT OF FIELD OPERATIONS UNIT BUILDING AT DA-INREC STATION, BATAC CITY STATION, ILOCOS NORTE</t>
  </si>
  <si>
    <t>CawExt2020-002 Supply and Delivery of Materials for the Construction of Line Canal</t>
  </si>
  <si>
    <t>20GGF0014 – Procurement of five (5) pcs. Tires 255/70/R16 and one (1) pc. Aircon Filter for use in the Planning and Design Section, Iloilo 1st District Engineering Office, Fort San Pedro Iloilo City.</t>
  </si>
  <si>
    <t>20CB0074: Construction of Two(2) Storey Four(4) Classroom at Sabatan ES, Orion, Bataan</t>
  </si>
  <si>
    <t>Construction of 3 Type Public Market Building No.3-C</t>
  </si>
  <si>
    <t>Supply/Delivery of Grocery Item for Relief Packs to be given to Senior Citizen. (PR # 20-06-0636)</t>
  </si>
  <si>
    <t>Proposed Basketball Court Flooring</t>
  </si>
  <si>
    <t>Supply and Delivery of Assorted Oil and Crude Oil</t>
  </si>
  <si>
    <t>20CB0073: Construction of Two(2) Storey Four(4) Classroom at Mariveles SHS-Sitio Mabuhay, Mariveles, Bataan</t>
  </si>
  <si>
    <t>Construction/Renovation</t>
  </si>
  <si>
    <t>Supply and Delivery SPARE PARTS OF HEAVY EQUIPMENT - MEO</t>
  </si>
  <si>
    <t>Medical Equipment</t>
  </si>
  <si>
    <t>CONSTRUCTION OF CULTURAL AND RECREATION PARK</t>
  </si>
  <si>
    <t>Improvements of Barangay Health Center</t>
  </si>
  <si>
    <t>Concreting of Pavement at MH del Pilar St, Purok Masagana, Brgy. Poblacion</t>
  </si>
  <si>
    <t>IMPROVEMENT OF FAR-TO-MARKET ROAD @ SITIO APAYA, ALLANGIGAN</t>
  </si>
  <si>
    <t>CONSTRUCTION OF PIG PEN</t>
  </si>
  <si>
    <t>CLUSTER II - Donsol, Sorsogon</t>
  </si>
  <si>
    <t>Labor and Materials for the Construction of Underground Powerlines at City Civic Center, San Isidro, City of San Fernando, Pampanga</t>
  </si>
  <si>
    <t>IB-Goods-2020-10- Procurement of Medical Equipment under HFEP 2020</t>
  </si>
  <si>
    <t>Supply &amp; Delivery of 7,179 liters Foliar Fertilizer for distribution to affected farmers of Typhoon Tisoy</t>
  </si>
  <si>
    <t>“SUPPLY AND DELIVERY OF VARIOUS SCUBA DIVING GEARS FOR 10 UNITS 30m. MCS PATROL VESSELS, 4 UNITS OF 11m. MCS PATROL VESSELS, 2 UNITS MMOV, F/V TAMBAKOL AND MRG TECHNICIANS”</t>
  </si>
  <si>
    <t>Construction of Shoulder &amp; Concrete Line Canal at Cumadcad-Canjela Road</t>
  </si>
  <si>
    <t>PROCUREMENT OF VARIOUS HARDWARE AND CONSTRUCTION MATERIALS AND SUPPLIES TO BE USED FOR THE IMPROVEMENT OF MUNICIPAL GYMNASIUM</t>
  </si>
  <si>
    <t>Supply &amp; Delivery of 7,179 packs Plant Growth Enhancer for distribution to affected farmers of Typhoon Tisoy</t>
  </si>
  <si>
    <t>Contract ID No. 20NC0129 - Concreting of Sitio Gasa - Brgy. Tudela Road, Brgy. Basa, Trento, Agusan del Sur</t>
  </si>
  <si>
    <t>20FJ0028 - Repair/ Maintenance of DPWH Building, Area Equipment Quarter, Airport Road, Brgy. Kalipay, Masbate City</t>
  </si>
  <si>
    <t>Contract ID No. 20NC0128 - Concreting of NRJ-Bunawan Brook (Rock Island), Brgy. Bunawan Brook, Bunawan, Agusan del Sur</t>
  </si>
  <si>
    <t>20CB0078: Construction of Two(2) Storey Ten(10) Classroom at Bilolo ES, Orion, Bataan</t>
  </si>
  <si>
    <t>CONSTRUCTION OF CALAOAN MULTI PURPOSE BUILDING BUILING (PHASE I)</t>
  </si>
  <si>
    <t>CLUSTER I - Bulan, Sorsogon</t>
  </si>
  <si>
    <t>Construction of 1 Unit 1 Classroom at Gutalid E/S, Kitaotao</t>
  </si>
  <si>
    <t>Contract ID No.: 20OB0413 Contract Name: Construction/Rehabilitation of Concepcion Uno Multi-Purpose Buildings, Marikina City</t>
  </si>
  <si>
    <t>Construction of 1 Building 1 Classroom at Bacbacon E/S, Kadingilan</t>
  </si>
  <si>
    <t>Bidding (Infra Project)</t>
  </si>
  <si>
    <t>CONSTRUCTION OF CONCRETE FENCE @ PADDIG ES (PHASE II)</t>
  </si>
  <si>
    <t>Contract ID No.: 20OB0393 Contract Name: Improvement of Amang Rodriguez Memorial Medical Center,   Marikina City</t>
  </si>
  <si>
    <t>Contract ID No.: 20OB0381 Contract Name: Rehabilitation of Roads, Barangay Bambang, Taguig City</t>
  </si>
  <si>
    <t>Supply and Delivery of Office Supplies for Various Offices of the Municipality</t>
  </si>
  <si>
    <t>PROCUREMENT FOR INSTALLATION OF NETWORK AND INFORMATION TECHNOLOGY INFRASTRUCTURE FOR DANGEROUS DRUGS BOARD-MANAGEMENT INFORMATION SYSTEM UNIT</t>
  </si>
  <si>
    <t>Contract ID No. 20NC0130 - Construction of Bunawan-Veruela Road, Veruela, Agusan del Sur</t>
  </si>
  <si>
    <t>COMPLETION OF 5 BARANGAYS PUBLIC TOILETS</t>
  </si>
  <si>
    <t>CONSTRUCTION OF BARANGAY HEALTH STATION</t>
  </si>
  <si>
    <t>Contract ID No.: 20OB0380 Contract Name: Rehabilitation of Roads, Barangay Bagumbayan, Taguig City</t>
  </si>
  <si>
    <t>Construction of Pigcawayan Fire Station Building</t>
  </si>
  <si>
    <t>Construction of Norala Fire Station Building</t>
  </si>
  <si>
    <t>PB-I-2020-05-615 "Procurement of Civil Works for the Rehabilitation of Capitol Drive Front Road and Improvement of Capitol Park and Street Lights</t>
  </si>
  <si>
    <t>IMPROVEMENT OF KAKAIWAN-TABEYO FARM-TO-MARKET ROAD AT AMBASSADOR, TUBLAY, BENGUET</t>
  </si>
  <si>
    <t>19CSZ014- Consulting Services for the Construction Supervision of Davao City Bypass Construction Project - Package I-1 and Tender Assistance for Packages I-2 and I-3 (JICA Loan Agreement No. PH-P261)</t>
  </si>
  <si>
    <t>PROPOSED SOLAR POWERED IRRIGATION SYSTEM</t>
  </si>
  <si>
    <t>SUPPLY AND DELIVERY OF OFFICE AND JANITORIAL SUPPLIES &amp; CONSUMABLES</t>
  </si>
  <si>
    <t>Concreting of Pavement at Kabacan National H/S to Brgy. Kilagasan</t>
  </si>
  <si>
    <t>Contract ID No.: 20OB0378 Contract Name: Rehabilitation of Roads at Brgy. South Daanghari, Taguig City  Contract Location: Taguig City</t>
  </si>
  <si>
    <t>Concreting of Pavement at Osias National H/S - Junction Bonifacio St.</t>
  </si>
  <si>
    <t>BID FOR THE REPARATION OF MUNICIPAL GYMNASIUM at Bgy. San Miguel</t>
  </si>
  <si>
    <t>Concreting of Pavement at  Villanueva Village Road 1 (junction Mercado St - Abellera St.), Brgy. Poblacion</t>
  </si>
  <si>
    <t>Concreting of Pavement at Bonifacio St. (Lugares Compound), Brgy. Poblacion</t>
  </si>
  <si>
    <t>IMPROVEMENT AND EXTENSION OF CHAGAO-ANTAHAY ROAD AT DACLAN, TUBLAY, BENGUET</t>
  </si>
  <si>
    <t>Contract ID No.: 20OB0399 Contract Name: Construction/Rehabilitation of Multi-Purpose Building including Site Development, Marikina City</t>
  </si>
  <si>
    <t>IMPROVEMENT OF PALANCA-SALAKSAK FARM-TO-MARKET ROAD AT AMBASSADOR, TUBLAY, BENGUET</t>
  </si>
  <si>
    <t>CONSTRUCTION OF SLOPE PROTECTION DIKE AT SITIO GARRETA</t>
  </si>
  <si>
    <t>CONSTRUCTION OF BOX CULVERT BESIDE AMBONGDOLAN BARANGAY HALL</t>
  </si>
  <si>
    <t>Improvement of Multi Purpose Hall Phase III</t>
  </si>
  <si>
    <t>20OH0049 Re-ads-Local Program-Local Infrastructure Program-Flood Control and Drainage-Drainage / Protection Works-Rehabilitation of Estero with Footbridge, Estero Tripa de Gallina, Paco, Manila</t>
  </si>
  <si>
    <t>Concreting of Pavement (continuation) at Sitio Liton, Brgy. Kayaga</t>
  </si>
  <si>
    <t>Construction of Damutan Irrigation Project, Brgy. Damutan, Hinoba-an, Negros Occidental (Negotiated Procurement)/(OPA-2019-1262)</t>
  </si>
  <si>
    <t>Purchase &amp; Delivery of Const. &amp; Electrical Supplies for the  project Install./Improvement of Street Lights at Seven (7) Barangays of Arellano District, Surigao City</t>
  </si>
  <si>
    <t>CLUSTER 1 REPAIR AND REHABILITATION OF CLASSROOMS DAMAGED BY FIRE INCIDENTS AND VARIOUS CALAMITIES AND CONSRTUCTION OF SLOPE PROTECTION OF SCHOOL BUILDINGS (CY 2020 QUICK RESPONSE FUND)</t>
  </si>
  <si>
    <t>Construction of Student Food Processing Innovation Center</t>
  </si>
  <si>
    <t>ITB-GS-20200408-01 - Three (3) Years Hardware Maintenance and License Subscription of Axway Secure Transport Server</t>
  </si>
  <si>
    <t>ITB-GS-20200227-02 - One (1) Year Support and Maintenance of Single Back-up Systems Solution for Midrange and Enterprise Platforms</t>
  </si>
  <si>
    <t>Purchase of Plastic Bag ( Slaughterhouse)</t>
  </si>
  <si>
    <t>Rehabilitation of Parug-parug Diversion Dam</t>
  </si>
  <si>
    <t>SUPPLY AND DELIVERY OF DENTAL SUPPLIES FOR USE IN LIBRENG PUSTISO PROGRAM OF THE PROVINCIAL GOVERNMENT OF CAVITE</t>
  </si>
  <si>
    <t>Contract ID No.: 20OB0415 Contract Name: Construction/Rehabilitation of Multi-Purpose Building, Second District, Marikina City</t>
  </si>
  <si>
    <t>Purchase of All New Pick-up 4 x 2 E 2.4L Diesel Manual Transmission, CSWD, Surigao City</t>
  </si>
  <si>
    <t>Purchase of office supplies (MPDO)</t>
  </si>
  <si>
    <t>Supply and Delivery of Other Supplies and Materials (Insecticide), Office of the Municipal Health Officer, San Jose, Batangas</t>
  </si>
  <si>
    <t>Supply and Delivery of   6-Wheeler Truck (PR No. 20-03-0121)</t>
  </si>
  <si>
    <t>FOD-R-20-2346 : Procurement of Forty  (40) Units of  Pump  Irrigation  System  for Open Source ( PISOS)</t>
  </si>
  <si>
    <t>SAAD-20-2039:Procurement of One Hundred Eighty-Eight (188) Units Plow (Manual Cultivator Plow)</t>
  </si>
  <si>
    <t>FOD-R-20-0232: Supply of Labor and Materials for the Construction of Cangkue Diversion Dam located at Brgy. Sto. Niño, Tanjay City, Negros Oriental</t>
  </si>
  <si>
    <t>CLUSTER 9 REPAIR AND REHABILITATION OF CLASSROOMS DAMAGED BY FIRE INCIDENTS AND VARIOUS CALAMITIES AND CONSTRUCTION OF SLOPE PROTECTION OF SCHOOL BUILDINGS (CY 2020 QUICK RESPONSE FUND)</t>
  </si>
  <si>
    <t>CLUSTER 8 REPAIR AND REHABILITATION OF CLASSROOMS DAMAGED BY FIRE INCIDENTS AND VARIOUS CALAMITIES AND CONSTRUCTION OF SLOPE PROTECTION OF SCHOOL BUILDINGS (CY 2020 QUICK RESPONSE FUND)</t>
  </si>
  <si>
    <t>CLUSTER 7 REPAIR AND REHABILITATION OF CLASSROOMS DAMAGED BY FIRE INCIDENTS AND VARIOUS CALAMITIES AND CONSTRUCTION OF SLOPE PROTECTION OF SCHOOL BUILDINGS (CY 2020 QUICK RESPONSE FUND)</t>
  </si>
  <si>
    <t>Supply of Labor, Materials and Equipment for the Improvement of Multi-Purpose Building, Brgy. Salaban, San Jose, Batangas</t>
  </si>
  <si>
    <t>CLUSTER 6 REPAIR AND REHABILITATION OF CLASSROOMS DAMAGED BY FIRE INCIDENTS AND VARIOUS CALAMITIES AND CONSTRUCTION OF SLOPE PROTECTION OF SCHOOL BUILDINGS (CY 2020 QUICK RESPONSE FUND)</t>
  </si>
  <si>
    <t>20DP0074 : Construction of Four (4) Storey Twelve (12) Classroom at San Francisco Elementary School, Nagcarlan, Laguna</t>
  </si>
  <si>
    <t>Purchase of anti-rabies vaccines</t>
  </si>
  <si>
    <t>PURCHASE OF BRAND NEW AMBULANCE FOR USE IN DISASTER PREPAREDNESS PROGRAM OF PDRRMO</t>
  </si>
  <si>
    <t>Supply of Labor, Materials and Equipment for the Improvement of Multi-Purpose Building, Brgy. Banaybanay I, San Jose, Batangas</t>
  </si>
  <si>
    <t>20DP0077 : Construction of Four (4) Storey Twenty (20) Classroom at Col. Lauro D. Dizon Memorial National High School, San Pablo City, Laguna</t>
  </si>
  <si>
    <t>CDH-19-1151-B (Re-Bid) Proposed Ward Extension of Dr. Ricardo S. Provido Sr. Memorial district Hospital  Calinog, Iloilo</t>
  </si>
  <si>
    <t>20DP0076 : Construction of Four (4) Storey Eight (8) Classroom at Guerilla Elementary School, San Pablo City, Laguna</t>
  </si>
  <si>
    <t>CLUSTER 5 REPAIR AND REHABILITATION OF CLASSROOMS DAMAGED BY FIRE INCIDENTS AND VARIOUS CALAMITIES AND CONSTRUCTION OF SLOPE PROTECTION OF SCHOOL BUILDINGS (CY 2020 QUICK RESPONSE FUND)</t>
  </si>
  <si>
    <t>20DP0075 : Construction of Four (4) Storey Eight (8) Classroom at Masapang Elementary School, Victoria, Laguna</t>
  </si>
  <si>
    <t>CONSTRUCTION AND/ OR REPAIR/ REHABILITATION OF MULTI-PURPOSE BUILDING, BRGY. POBLACION, URDANETA CITY, PANGASINAN</t>
  </si>
  <si>
    <t>CDH-19-1003-B (Re-Bid) Proposed Concreting of Parking Area of Dr. Ricardo S. Provido Sr. Memorial District Hospital, Calinog, Iloilo</t>
  </si>
  <si>
    <t>Procurement of PSA Security Guard Services for Two (2) Years under ITB No.PB20-06-003ILO</t>
  </si>
  <si>
    <t>CLUSTER 2 REPAIR AND REHABILITATION OF CLASSROOMS DAMAGED BY FIRE INCIDENTS AND VARIOUS CALAMITIES AND CONSTRUCTION OF SLOPE PROTECTION OF SCHOOL BUILDINGS (CY 2020 QUICK RESPONSE FUND)</t>
  </si>
  <si>
    <t>CDH-19-1114-B (Re-Bid) Renovation of Rehab of Dr. Ricardo S. Provido Memorial District Hospital (Phase 1) Calinog, Iloilo</t>
  </si>
  <si>
    <t>Concreting of Union Brgy. Road</t>
  </si>
  <si>
    <t>Establishment of Tricycle Terminals and Rehabilitation of Municipal Fence</t>
  </si>
  <si>
    <t>Medical Oxygen etc. (06-0599)</t>
  </si>
  <si>
    <t>20DP0073 : Construction of Four (4) Storey Sixteen (16) Classroom at Alaminos Central School, Alaminos, Laguna</t>
  </si>
  <si>
    <t>Constrution of Rizal Mourning Shed</t>
  </si>
  <si>
    <t>Rehabilitation of various Brgy. Roads</t>
  </si>
  <si>
    <t>Construction of Multi-Purpose Building - Sapang, Galimuyod, Ilocos Sur</t>
  </si>
  <si>
    <t>Procurement of Toilet Bowl</t>
  </si>
  <si>
    <t>20KJ0179: Construction/Maintenance of Flood Mitigation Structures and Drainage Systems, Construction of Ozamis City Drainage System, Package 1, Misamis Occidental</t>
  </si>
  <si>
    <t>Rafael Lacson box culvert</t>
  </si>
  <si>
    <t>20KJ0151: Construction/Completion of 10 units Multi-Purpose Building, Tangub City, Misamis Occidental</t>
  </si>
  <si>
    <t>Improvement/expansion LGU (Fatima Purok 5) Water System</t>
  </si>
  <si>
    <t>Supply and Delivery of Janitorial and Garbage Collection Services at Naval Base Rafael Ramos (NBRR)</t>
  </si>
  <si>
    <t>Supply and Delivery of Janitorial and Garbage Collection Services of NIF-Eastern Mindanao</t>
  </si>
  <si>
    <t>Supplies of Materials for Training Requirements of Naval Enlisted Personnel Schools Center Courses (NEPSC)</t>
  </si>
  <si>
    <t>CONSTRUCTION OF 2 UNITS MATERIALS RECOVERY FACILITY</t>
  </si>
  <si>
    <t>Engagement of Service Provider for Group Life and Accident Insurance Plan (GLAIP) for PNOC EC (Rebid)</t>
  </si>
  <si>
    <t>20KJ0180: Construction of Convention Center, Ozamis City, Misamis Occidental</t>
  </si>
  <si>
    <t>IB No. 2001-22 Proc. of Goods (Books)(Rebid)</t>
  </si>
  <si>
    <t>Procurement of Tires for Service Vehicles and Heavy Equipment Province of Northern Samar</t>
  </si>
  <si>
    <t>INF-ITB 20-032 Construction of Multipurpose Drying Pavement with Warehouse, Brgy. Miasong, Tupi, South Cotabato</t>
  </si>
  <si>
    <t>Concreting of Brgy. Maatas Street</t>
  </si>
  <si>
    <t>ROAD REHABILITATION</t>
  </si>
  <si>
    <t>Supply of Labor, Materials and Equipment for the Construction of Line Canal, Brgy. Aya, San Jose, Batangas</t>
  </si>
  <si>
    <t>REBIDDING OF THE SUPPLY AND DELIVERY OF VARIOUS LABORATORY REAGENTS AND SUPPLIES</t>
  </si>
  <si>
    <t>Procurement of Various Medicines for COVID-19 Prevention</t>
  </si>
  <si>
    <t>SUPPLY &amp; DELIVERY OF I.T. EQUIPMENT, PERIPHERALS AND CONSUMABLES</t>
  </si>
  <si>
    <t>20FM0049 Construction of  Various Rainwater Collection System  (RWCS), Ticao Island, Masbate</t>
  </si>
  <si>
    <t>20FM0051 Repair/Maintenance of Various Flood Control  Structures at Alcantara Bridge, Buyo River, and  San Fernando East Dike along Brgy. Baybay Dagat Section, Monreal, and San Fernando, Masbate</t>
  </si>
  <si>
    <t>SUPPLY &amp; DELIVERY OF ANESTHESIA MACHINE</t>
  </si>
  <si>
    <t>Construction of Drainage Canal for Various Barangays</t>
  </si>
  <si>
    <t>INF-ITB 20-031 Construction of Water System at Sitio Tanting, Tantangan, South Cotabato</t>
  </si>
  <si>
    <t>t One (1) Lot Cluster Bidding (Jimalalud) (B-83-2020)</t>
  </si>
  <si>
    <t>Construction of Tanod's Outpost under the Covered Court Bleacher (Materials)</t>
  </si>
  <si>
    <t>PURCHASE AND DELIVERY OF OFFICE SUPPLIES</t>
  </si>
  <si>
    <t>IMPROVEMENT OF LOWER COROZ FARM-TO-MARKET ROAD AT AMBASSADOR, TUBLAY, BENGUET</t>
  </si>
  <si>
    <t>Supply and Delivery of Four (4) units Brand New AMBULANCE for MCDRRMO, City Government of Marikina</t>
  </si>
  <si>
    <t>SUPPLY &amp; DELIVERY OF BLOOD CULTURE SENSITIVITY MACHINE</t>
  </si>
  <si>
    <t>Concreting of Salvacion-Balat Balud Farm to Market Road Bobon Northern Samar</t>
  </si>
  <si>
    <t>Supply and Delivery of Four (4) units Brand New DUMP TRUCK 8x4 for MCDRRMO, City Government of Marikina</t>
  </si>
  <si>
    <t>Re-Blocking of Feeder Road with Canal Improvement, Brgy. Sangirin (Materials)</t>
  </si>
  <si>
    <t>Street Concreting Brgy. Magsaysay Bobon Northern Samar</t>
  </si>
  <si>
    <t>20FM0050 Repair/Maintenance of Various Buildings of DPWH  Masbate 1st District Engineering Office, Barangay Bayanihan, San Fernando, Masbate</t>
  </si>
  <si>
    <t>Procurement of Various Live Animals-06-027(AA)ProVet</t>
  </si>
  <si>
    <t>Purchase of Materials for the Completion of Spring Development Project</t>
  </si>
  <si>
    <t>SUPPLY &amp; DELIVERY OF LABORATORY REAGENTS  IB NO. 20-10</t>
  </si>
  <si>
    <t>Purchase of (1) one unit Multicab</t>
  </si>
  <si>
    <t>PURCHASE OF 1 UNIT MPV(MULTI-PURPOSE VEHICLE) 2.8L G DIESEL AT</t>
  </si>
  <si>
    <t>Procurement of Medicines for CHO, RHU 1, RHU 2 and RHU 3</t>
  </si>
  <si>
    <t>Supply and Delivery of Materials for the Const/Rehab. of Potable Watersystem, Ibo Malalag Davao del Sur</t>
  </si>
  <si>
    <t>Supply and Delivery of One (1) Unit Fabricated Plastic and Cellophane Pulverizer Equipment</t>
  </si>
  <si>
    <t>INVITATION TO BID FOR THE CONSTRUCTION OF MULTI-PURPOSE OPEN GYM</t>
  </si>
  <si>
    <t>Improvement of Public Cemetery, Brgy. Sangirin (Materials)</t>
  </si>
  <si>
    <t>Procurement of Various Construction Supplies and Materials-06-332(O)PEO</t>
  </si>
  <si>
    <t>Construction of Masonry Drainage Structure, Along Soriano Street, Centro 11, Balzain East, Tuguegarao City</t>
  </si>
  <si>
    <t>Concreting of Refazo Street Extension (Materials)</t>
  </si>
  <si>
    <t>PROCUREMENT OF MATERIALS FOR IMPROVEMENTS OF WATER SYSTEM</t>
  </si>
  <si>
    <t>PROCUREMENT OF DIESEL FUEL AND GASOLINE FOR ENERGIZATION PROGRAM  CONSUMPTION OF LGU-CALUYA FOR THE MONTH OF JUNE TO AUGUST 2020</t>
  </si>
  <si>
    <t>Procurement of Water Supply Accessories and Materials for the Improvement of Water System of Barangay Tagbongabong</t>
  </si>
  <si>
    <t>Repair &amp; Maintenance of Machinery &amp; Equipment (Tools &amp; Parts- Ambulance, Nissan Van, Volvo Truck, Pay Loader)</t>
  </si>
  <si>
    <t>SUPPLY &amp; DELIVERY OF ELECTROCAUTERY MACHINE WITH ARGON PLASMA COAGULATOR</t>
  </si>
  <si>
    <t>COMPLETION WORKS FOR THE SITE DEVELOPMENT &amp; CONSTRUCTION OF FLOOD CONTROL SYSTEM AT COLEGIO DE MUNTINLUPA, POSADAS AVE., BRGY. SUCAT, MUNTINLUPA CITY</t>
  </si>
  <si>
    <t>INVITATION TO BID FOR PACKAGE – XIII A.) REBLOCKING OF F. CLAR STREET B.) CONCRETING OF ROAD @ PUROK 4 HERSANA STREET CARAMCAM DISTRICT</t>
  </si>
  <si>
    <t>CONSTRUCTION OF MULTI-PURPOSE COVERED STAGE, BLEACHER, AND PERIMETER FENCE AT VILLA CAROLINA 2, BRGY. TUNASAN, MUNTINLUPA CITY</t>
  </si>
  <si>
    <t>Purchase of Rescue Ambulance for the PDRRMO  Province of Northern Samar</t>
  </si>
  <si>
    <t>Procurement of Uniforms for the POSO Personnel</t>
  </si>
  <si>
    <t>Purchase of ICT Equipment  (Desktop, Laptop &amp; Printer)</t>
  </si>
  <si>
    <t>GENERAL OVERHAULING OF EXISTING GENERATOR SET AT BRDRL</t>
  </si>
  <si>
    <t>REPRODUCTION &amp; DELIVERY OF BLOOD BAG LABER STICKER WITH PROVISION OF 1 UNIT BARCODE PRINTER</t>
  </si>
  <si>
    <t>20PJ0052: Construction/ Rehabilitation of water Supply/ Rain Water Collectors</t>
  </si>
  <si>
    <t>Procurement of Laptops of ICT</t>
  </si>
  <si>
    <t>Personal Protective Equipment (PPE) for Laguna Medical Center</t>
  </si>
  <si>
    <t>Proposed Design and Build for the Construction of Covered Court (Phase-1) - Binalbagan Campus, Brgy. Enclaro, Binalbagan City, Negros Occidental (2nd Publication)</t>
  </si>
  <si>
    <t>Procurement of Business and Tricycle Plate of Mayor's Office</t>
  </si>
  <si>
    <t>Procurement of 1 Unit Self-Bailing Raft of CDRRMC</t>
  </si>
  <si>
    <t>Enhancement of Engineering and Technology Green Building (ETGB) Roof Skirting (Labor and Materials) - Talisay Campus, Brgy. Zone 1, Mabini St., Talisay City, Negros Occidental</t>
  </si>
  <si>
    <t>SUPPLY AND DELIVERY OF SIX (6) UNIT MOTORCYCLE</t>
  </si>
  <si>
    <t>Purchase of Training Equipment for Livelihood Program – CLDO</t>
  </si>
  <si>
    <t>Supply and Delivery of Materials for Concreting of Road, MSSD to Wet Public Market, Poblacion Malalag Davao del Sur</t>
  </si>
  <si>
    <t>Construction of Masonry Drainage, Along Atal Street, Cataggaman Viejo, Tuguegarao City</t>
  </si>
  <si>
    <t>Extension of Manlogon Street (Brgy. Bagong Silang) (Materials)</t>
  </si>
  <si>
    <t>Construction of Manpower &amp; Training w/GSO Building City Hall Site, Brgy. Awasian, Tandag City</t>
  </si>
  <si>
    <t>Concreting of Furao Brgy. Road (San Enrique St., Purok 4)</t>
  </si>
  <si>
    <t>Goat Dispersal Livelihood Program in Barangay Mabini, Malalag Davao del Sur</t>
  </si>
  <si>
    <t>Supplying  one (1) unit Brand New Asian/Cross Over Utility Vehicle (AUV/CUV) not exceeding 2500cc engine displacement, diesel fed, 4 cylinder, a four wheel enclosed vehicle having dual side doors, a m</t>
  </si>
  <si>
    <t>SUPPLY AND DELIVERY OF MEDICINES INTENDED FOR PSYCHE, ANIMAL BITE TREATMENT CENTER AND PULMONARY TUBERCULOSIS PATIENTS, THIS MUNICIPALITY /2020-002</t>
  </si>
  <si>
    <t>SUPPLY AND DELIVERY OF HARDWARE MATERIALS FOR THE CONSTRUCTION OF SHED FOR 2 UNITS CONTAINER VAN,  THIS MUNICIPALITY /2020-003</t>
  </si>
  <si>
    <t>SUPPLY &amp; DELIVERY OF CERVICAL INSPECTION SET</t>
  </si>
  <si>
    <t>SUPPLY &amp; DELIVERY OF VARIOUS MEDICAL SUPPLIES TO BE USED AT OSPITAL NG MUNTINLUPA</t>
  </si>
  <si>
    <t>Supply and Delivery of Farm Supplies for PCC</t>
  </si>
  <si>
    <t>SUPPLY &amp; DELIVERY OF FOOD SUPPLIES (REBID)</t>
  </si>
  <si>
    <t>SUPPLY AND DELIVERY OF MATERIALS AND FITTINGS OF WATERWORKS MAINTENANCE FOR 3RD QUARTER REQUIREMENT, THIS MUNICIPALITY /2020-001</t>
  </si>
  <si>
    <t>SUPPLY &amp; DELIVERY OF SEVOFLURANE (WET FORMULATION) TO BE USED AT OSPITAL NG MUNTINLUPA</t>
  </si>
  <si>
    <t>INF-ITB 20-035 Construction of Multipurpose Drying Pavement with Warehouse, Brgy. Lampitak, Tampakan, South Cotabato</t>
  </si>
  <si>
    <t>Purchase of fuel &amp; lubricants  for the opening/gravelling of Farm to Market Road  @ Brgy. Kipit, Titay, Zamboanga Sibugay</t>
  </si>
  <si>
    <t>SUPPLY &amp; DELIVERY OF DRUGS AND MEDICINES</t>
  </si>
  <si>
    <t>for INF-ITB 20-034 Construction of Multipurpose Drying Pavement with Warehouse, Brgy. Cabuling, Tantangan, South Cotabato</t>
  </si>
  <si>
    <t>Procurement of 1 unit Ambulance for City Mayor's Office</t>
  </si>
  <si>
    <t>Procurement of Various Construction Supplies and Materials-06-336(O)PEO</t>
  </si>
  <si>
    <t>Supply &amp; Delivery of Medicines (Second Bidding)</t>
  </si>
  <si>
    <t>RENT OF PRINTER WITH CONTINUOUS INK TO BE USED AT OSPITAL NG MUNTINLUPA</t>
  </si>
  <si>
    <t>Supply &amp; delivery of materials for the opening/gravelling of Farm to Market Road  @ Brgy. Kipit, Titay, Zamboanga Sibugay</t>
  </si>
  <si>
    <t>PURCHASE AND DELIVERY OF TWO (2) UNITS COMPUTER LAPTOP AND OTHER EQUIPMENT AND ACCESSORIES</t>
  </si>
  <si>
    <t>INF-ITB 20-033 Construction of Multipurpose Drying Pavement with Warehouse, Brgy. Lamsalome, T'boli, South Cotabato</t>
  </si>
  <si>
    <t>IB 2020-07-08(06) Goods Cat I Drugs and Meds</t>
  </si>
  <si>
    <t>INSTALLATION OF SOLAR LIGHTS (S.K FUND)</t>
  </si>
  <si>
    <t>SUPPLY &amp; DELIVERY OF IV FLUIDS IN BAG TO BE USED AT OSPITAL NG MUNTINLUPA</t>
  </si>
  <si>
    <t>PROCUREMENT OF ONE (1) UNIT OF BRAND NEW MINI DUMP TRUCK (3 CUBIC)</t>
  </si>
  <si>
    <t>Construction of 1 Unit 2 Classrooms at Sitio Sinaca, Barangay Anticala, Butuan City</t>
  </si>
  <si>
    <t>INVITATION TO BID FOR THE CONSTRUCTION OF DRAINAGE CANAL AT P-2 CASTILLO VILLAGE</t>
  </si>
  <si>
    <t>UPGRADING OF CVR BATU-MAGAPUY-PAITAN ROAD Located at Bayombong, Nueva Vizcaya</t>
  </si>
  <si>
    <t>CY 2020 QUICK RESPONSE FUND (QRF) REPAIR/REHABILITATION OF CLASSROOMS DAMAGED BY VARIOUS CALAMITIES</t>
  </si>
  <si>
    <t>Concreting of Guibang Brgy. Road (Vidania and Busto St., Purok3)</t>
  </si>
  <si>
    <t>Construction of Perimeter Fence at the Municipal Engineered Sanitary Landfill ( Phase I) at brgy. Suyo, Dingras, Ilocos Norte.</t>
  </si>
  <si>
    <t>UPGRADING OF DIFFUDAY-BONIFACIO ROAD Located at Quezon, Nueva Vizcaya</t>
  </si>
  <si>
    <t>REHAB./IMPROVEMENT OF BRGY. PLAZA (ON-GOING) S.K FUND</t>
  </si>
  <si>
    <t>IB 2020-07-08(06) Goods Cat II Med/Lab Supplies &amp; Reagents</t>
  </si>
  <si>
    <t>Invitation to Bid for The Improvement of Barangay Health Station</t>
  </si>
  <si>
    <t>PURCHASE OF TOILET BOWLS</t>
  </si>
  <si>
    <t>20H00068 - Construction/Rehabilitation/Improvement of Facilities for Persons with Disabilities (PWD) and Elderlies/Senior Citizens, including Gender-Responsive Facilities, DPWH Regional Office VII and</t>
  </si>
  <si>
    <t>PROCUREMENT OF ONE (1) UNIT PATROL CAR</t>
  </si>
  <si>
    <t>BARANGAY ROAD REHABILITATION (FARM TO MARKET ROAD)   PUROK 5, 6 &amp; 7 SITIO CAMP 13, BRGY. PINPIN, TUBOD, LANAO DEL NORTE</t>
  </si>
  <si>
    <t>Procurement of One Unit Brand New SUV for LGU Operations</t>
  </si>
  <si>
    <t>Supply and Delivery of Medical, Dental and laboratory Equipment and Supplies at Bgy. San Miguel, Linapacan, Palawan</t>
  </si>
  <si>
    <t>Construction of Perimeter Fence of Slaughterhouse (Phase I) at brgy. Cali, Dingras, Ilocos Norte.</t>
  </si>
  <si>
    <t>PURCHASE &amp; DELIVERY  OF CUSTOMIZED RESCUE AMBULANCE</t>
  </si>
  <si>
    <t>UPGRADING OF JCT. NATIONAL BUA-BULALA-MUTA-MACABENGA ROAD Located at Kasibu, Nueva Vizcaya</t>
  </si>
  <si>
    <t>ORD PABAC 046-19 (Re-bid) Procurement of 186,538 rds Ctg, 7.62x51mm, Ball</t>
  </si>
  <si>
    <t>SUPPLY AND DELIVERY OF HARDWARE MATERIALS FOR THE CONSTRUCTION OF STANDARD COMFORT ROOM LOCATED AT MUNICIPAL GROUND CENTER,  THIS MUNICIPALITY /2020-004</t>
  </si>
  <si>
    <t>Supplying  one (1) unit SWAT Patrol Vehicle, AUV or CUV, Manual Transmission, Diesel Fed, Displacement not exceeding 2500cc, Brand New, Government Plate for use in PNP Patrol Operation in the province</t>
  </si>
  <si>
    <t>PROCUREMENT OF GOODS AND SERVICES: SUPPLY, DELIVERY AND INSTALLATION OF DATA MANAGEMENT SYSTEM WITH  PAPERLESS SESSION SET-UP INCLUDING ITS HARDWARE AND SOFTWARE REQUIREMENTS  FOR SANGGUNIANG BAYAN OF</t>
  </si>
  <si>
    <t>SUPPLY AND DELIVERY OF OFFICE SUPPLIES AND EQUIPMENT NOT AVAILABLE AT PROCUREMENT SERVICE (PS)-DEPOT INTENDED FOR DIFFERENT OFFICES FOR CY 2020, THIS MUNICIPALITY /2020-005</t>
  </si>
  <si>
    <t>SUPPLY AND DELIVERY OF BUNTIS KIT</t>
  </si>
  <si>
    <t>UPLB-RQ-6-128-20-I SUPPLY AND DELIVERY OF CONSTRUCTION PROJECTS FOR IPB</t>
  </si>
  <si>
    <t>Construction of Rizal Barangay Health Station</t>
  </si>
  <si>
    <t>Supply and Delivery of Laboratory Supplies and Equipment</t>
  </si>
  <si>
    <t>Excavation and Riprapping of Ilaya-Malag-it Creek</t>
  </si>
  <si>
    <t>SUPPLY AND DELIVERY OF BHW KIT</t>
  </si>
  <si>
    <t>Construction of Flood Control along Poblacion Areas (Phase III) of the Municipality of Dingras, Ilocos Norte.</t>
  </si>
  <si>
    <t>Supply and Delivery of 2 sets Digital Scoreboard with Shoot Clock and Buzzer ,3x4( with free installation)</t>
  </si>
  <si>
    <t>Improvement /Rehabilitation of Farm to Market Roads (Repair of Bridge Abutment/Approach) at sitio Birucao, Suyo, Dingras, Ilocos Norte.</t>
  </si>
  <si>
    <t>CONTINUATION OF ABBOT CALBAYAN FMR, CATABBOGAN</t>
  </si>
  <si>
    <t>Construction of Concrete Footbridge  (Connecting to Multipurpose Building)</t>
  </si>
  <si>
    <t>Supply, Delivery and Installation of 1 Lot 645KVA Generator Set of Bukidnon State University</t>
  </si>
  <si>
    <t>Invitation to Bid Supply and Installation of Streetlights</t>
  </si>
  <si>
    <t>Construction of Water System, Brgy. Bucalan, (So. Inomolan) Canlaon City</t>
  </si>
  <si>
    <t>CONCRETING OF BARESBES-BOLIWAO-INATUB ROAD Located at Quezon, Nueva Vizcaya</t>
  </si>
  <si>
    <t>20LB0185 - Jct. Davao-Cotabato Old Road (Bago Gallera Section) Leading to Philippine Coconut Authority (PCA), Davao City</t>
  </si>
  <si>
    <t>Road Re-blocking</t>
  </si>
  <si>
    <t>Labor and Materials for the Construction of Slope Protection at Malpitic, City of San Fernando, Pampanga.</t>
  </si>
  <si>
    <t>2nd ITB for the  UPGRADING OF NVPH WATER SYSTEM Located at Bambang, Nueva Vizcaya</t>
  </si>
  <si>
    <t>20LB0166 - Construction of Flood Mitigation Structure, El Rio Vista Village Section, Davao River, Brgy. 19-B, Davao City</t>
  </si>
  <si>
    <t>REHABILITATION OF ACCESS ROAD at Baybayading, Salcedo, Ilocos Sur</t>
  </si>
  <si>
    <t>20LB0157 - Construction of Drainage along Pagatpat St. S.I.R., PH. 1, New Matina, Brgy. 76-A, Davao City</t>
  </si>
  <si>
    <t>Installation of Water Rain Catchment</t>
  </si>
  <si>
    <t>Fabrication and Installation of 88 Units Streetlights in Various Barangays</t>
  </si>
  <si>
    <t>20LB0187 - Reconstruction to Concrete Pavement along Daang Maharlika (MN) - K1510 + 617</t>
  </si>
  <si>
    <t>Procurement of Supply, Delivery, Installation, Testing, Applications Training, And Commissioning of Various Medical Equipment (Batch 1)</t>
  </si>
  <si>
    <t>IMPROVEMENT OF BARANGAY ROAD, SAN JUAN</t>
  </si>
  <si>
    <t>Maintenance/Improvement of Municipal Hall (Upgrading of Electrical System-Phase III) of the Municipality of Dingras, Ilocos Norte.</t>
  </si>
  <si>
    <t>CONCRETING OF JCT. NATIONAL-GALINTUJA-DELACTAN-MAGINO ROAD Located at Alfonso Catañeda, Nueva Vizcaya</t>
  </si>
  <si>
    <t>CONCRETING OF JCT. CALAOCAN-DIFFUNCIAN ROAD Located at Quezon, Nueva Vizcaya</t>
  </si>
  <si>
    <t>PROCUREMENT OF MATERIALS FOR THE CONSTRUCTION OF K-9 HOUSE (ADDITIONAL WITH FENCE &amp; LIGHT)</t>
  </si>
  <si>
    <t>G-2020-19: SUPPLY AND DELIVERY OF ONE HUNDRED FIFTY (150) UNITS OF BRAND-NEW 2KVA UNINTERRUPTIBLE POWER SUPPLY (UPS) FOR THE DEVELOPMENT BANK OF THE PHILIPPINES - REBID</t>
  </si>
  <si>
    <t>MATERIALS FOR REHABILITATION OF IRRIGATION SYSTEM at Atabay, Salcedo, Ilocos Sur</t>
  </si>
  <si>
    <t>SUPPLY AND DELIVERY OF VARIOUS MATERIALS FOR RESCUE EQUIPMENTS</t>
  </si>
  <si>
    <t>Improvement/Rehabilitation of Farm to Market Roads (Package IV) of the Municipality of Dingras, Ilocos Norte.</t>
  </si>
  <si>
    <t>20BB0125 - Repair/Maintenance of DoTr Building LTO-Administration Building, Minanga, Aparri, Cagayan</t>
  </si>
  <si>
    <t>SUPPLY AND DELIVERY OF MEDICAL SUPPLIES</t>
  </si>
  <si>
    <t>20NF0079:REPAIR/MAINTENANCE OF DPWH BUILDING VARIOUS OFFICES/BUILDING (ROOFTOP) BRGY. 12, DAPA, SURIGAO DEL NORTE</t>
  </si>
  <si>
    <t>SUPPLY AND DELIVERY OF VARIOUS SUPPLIES AND EQUIPMENT MDRRMO OPERATION</t>
  </si>
  <si>
    <t>One (1) Lot Repair and Maintenance – Infrastructure Assets (Provincial Roads &amp; Bridges), Province of Negros Oriental (B-85-2020)</t>
  </si>
  <si>
    <t>PROCUREMENT OF WHEEL TYPE BACKHOE (BRAND NEW)</t>
  </si>
  <si>
    <t>SUPPLY OF ONE UNIT PICK-UP VEHICLE FOR PROVINCIAL INTERNAL AUDIT OFFICE</t>
  </si>
  <si>
    <t>Supply and Delivery of OPTAR Requirements of PMC LOT 3 - Other Supplies &amp; Materials Expenses</t>
  </si>
  <si>
    <t>Procurement of 60,088 cans of Canned Tuna Flakes and 149,770 sachets of Powdered Cereal Drinks as Raw Materials for Family Food Packs Production under ITB NO. GOP-20-DSWD-2020-05-03 (2nd Posting)</t>
  </si>
  <si>
    <t>SUPPLY AND DELIVERY OF THREE (3) UNITS MOTORCYCLE</t>
  </si>
  <si>
    <t>Procurement of Office Equipment/Furniture and Fixture</t>
  </si>
  <si>
    <t>Procurement of Ink for Computer Printers</t>
  </si>
  <si>
    <t>ARPA-RADAR Simulator  (Full Mission Ship Bridge Simulator) with complete accessories (1 Instructor Station and 6 Students Station) including installation and training orientation.</t>
  </si>
  <si>
    <t>One (1) Lot Cluster Bidding (Pamplona) (B-84-2020)</t>
  </si>
  <si>
    <t>Procurement for various Information Technology Equipment</t>
  </si>
  <si>
    <t>20GKJ0004: Supply and Delivery of Materials for Activity 111 – Premix Patching Bituminous Pavement, Misamis Occidental 2nd</t>
  </si>
  <si>
    <t>Supplies/Materials for PMC CCIE</t>
  </si>
  <si>
    <t>ITB # 20ODGS-0001 For the Repair/Maintenance/Repainting of Faded Reflectorized Pavement Markings along various road in Caloocan City &amp; Valenzuela City (C.Y. 2020 Routine / Special Maintenance)</t>
  </si>
  <si>
    <t>PB-C-2020-05-620 "Procurement Consulting Services for the Architectural Design, Detailed Engineering Design and Conceptual Design of the New Doña Maria D. Tan Memorial Hospital (DMDTMH)" (P 9,000,000.</t>
  </si>
  <si>
    <t>Purchase of Biotek-M Dengue Package and Biotek-M Lamp Heater With Easyview LED Transilluminator for NSPH and District Hospitals Province of Northern Samar</t>
  </si>
  <si>
    <t>CLUSTER 4 REPAIR AND REHABILITATION OF CLASSROOMS DAMAGED BY FIRE INCIDENTS AND VARIOUS CALAMITIES AND CONSTRUCTION OF SLOPE PROTECTION OF SCHOOL BUILDINGS (CY 2020 QUICK RESPONSE FUND)</t>
  </si>
  <si>
    <t>Rehabilitation/Improvement of Various Local Roads</t>
  </si>
  <si>
    <t>ITB-GS-20200609-01 - Online Competency Assessment</t>
  </si>
  <si>
    <t>CLUSTER 3 REPAIR AND REHABILITATION OF CLASSROOMS DAMAGED BY FIRE INCIDENTS AND VARIOUS CALAMITIES AND CONSTRUCTION OF SLOPE PROTECTION OF SCHOOL BUILDINGS (CY 2020 QUICK RESPONSE FUND)</t>
  </si>
  <si>
    <t>ITB-GS-20200604-01 - 1 Lot Supply, Delivery and Installation of Signages, Acrylic Frame Panels, ATM Sunshade &amp; Thru-the-Wall ATM Enclosure, including Dismantling of existing signages, when necessary,</t>
  </si>
  <si>
    <t>Completion of  Irrigation System,    Sitio Dacuman, Brgy. Ipil, Surigao City</t>
  </si>
  <si>
    <t>CDH-18-2436-B (Re-Bid) Concreting of Access Road of Dr. Ricardo S. Provido Sr. Memorial District Hospital, Calinog, Iloilo</t>
  </si>
  <si>
    <t>SUPPLY AND DELIVERY OF VARIOUS HOSPITAL SUPPLIES FOR USE OF KPFP</t>
  </si>
  <si>
    <t>Completion of  Irrigation System,  Brgy. Trinidad, Surigao City</t>
  </si>
  <si>
    <t>Purchase of  office supplies ( BAC)</t>
  </si>
  <si>
    <t>Purchase of office supplies ( SPorts Office)</t>
  </si>
  <si>
    <t>Purchase of medical,dental and laboratory supplies</t>
  </si>
  <si>
    <t>Construction of Magpet Fire Station Building</t>
  </si>
  <si>
    <t>Supply and Delivery of FOOD SUPPLIES FOR THE CONSUMPTION IN ESTABLISHMENT FOR MAINTENANCE OF INTEGRATED DEFENSE SYSTEM FOR MPOC</t>
  </si>
  <si>
    <t>Procurement of Ceramic Toilet Bowls</t>
  </si>
  <si>
    <t>SUPPLY AND DELIVERY OF MEDICAL OXYGEN AND COMPRESSED AIR FOR USE OF GEAMH</t>
  </si>
  <si>
    <t>Procurement of Rescue/Emergency Vehicle</t>
  </si>
  <si>
    <t>Procurement of Fabricated Office Equipment PR # 2020-06-19-206</t>
  </si>
  <si>
    <t>Procurement of Electrical Supplies PR # 2020-06-23-210</t>
  </si>
  <si>
    <t>Supply and Delivery of FOOD SUPPLIES FOR THE CONSUMPTION OF MILITARY COMBAT/INTEL OPERATION (2ND QUARTER 2020)</t>
  </si>
  <si>
    <t>Concreting/Construction of Local Road, Barangay Kanlurang Domoit-Calumpang Road, Tayabas City-Quezon</t>
  </si>
  <si>
    <t>Construction/Repair/Rehabilitation/Improvement of various Infrastructure including Local Projects Multi-Purpose Facilities-Construction of Cagbalete Island Port, Mauban, Quezon</t>
  </si>
  <si>
    <t>Purchase of Audio &amp; Equipment</t>
  </si>
  <si>
    <t>Procurement of Office Equipment PR # 2020-06-19-206</t>
  </si>
  <si>
    <t>CONSTRUCTION OF TUPLAC CIS Located at Dulli, Ambaguio, Nueva Vizcaya</t>
  </si>
  <si>
    <t>WATER SERVICE CONNECTION MATERIALS/FITTING</t>
  </si>
  <si>
    <t>Procurement of Materials and Rental of Equipment for Riprapping / Road Shouldering</t>
  </si>
  <si>
    <t>SUPPLY AND DELIVERY OF AGRICULTURAL SUPPLIES</t>
  </si>
  <si>
    <t>CONSTRUCTION OF TWO (2) STOREY, FOUR (4) CLASSROOM SCHOOL BUILDING, SAN QUINTIN CENTRAL SCHOOL AT SAN QUINTIN, PANGASINAN</t>
  </si>
  <si>
    <t>Contract ID No.: 20OB0315 Contract Name: Completion of Multi-Purpose Building (Health Center) at Barangay Ligid Tipas, Taguig City</t>
  </si>
  <si>
    <t>Payment of materials for the maintenance of Capt. Fulgencio Road-Don Dimas Querubin, Caoayan, Ilocos Sur</t>
  </si>
  <si>
    <t>CONSTRUCTION/IMPROVEMENT OF PUROK 7, BUSILAC FTMR Located at Bayombong, Nueva Vizcaya</t>
  </si>
  <si>
    <t>NCB Publication No. 2020- 22 (First Publication)- Construction of Additional Building for COVID-19 at Panopdopan District  Hospital</t>
  </si>
  <si>
    <t>Construction of Concrete Pathway</t>
  </si>
  <si>
    <t>Purchase of Bush cutter for CENRO use under PR#2020-03-1611</t>
  </si>
  <si>
    <t>ITB and Bid Docs for Procurement ID/Contract ID:    20C00048  Contract Name:      Local Program – Local Infrastructure Program – Local Roads and Bridges – Local Roads – Concreting of Roads from Casigu</t>
  </si>
  <si>
    <t>Proposed installation of railings with concreting at Barangay IV-C</t>
  </si>
  <si>
    <t>IMPROVEMENT OF SACPIL NATIONAL HIGH SCHOOL ACCESS ROAD</t>
  </si>
  <si>
    <t>Supply of Labor, Materials and Equipment for the Proposed Perimeter Fence at Brgy. Uling, City of Naga, Cebu</t>
  </si>
  <si>
    <t>UPDATING OF CLUP, FLUP, ELCCAP</t>
  </si>
  <si>
    <t>20LB0257 - Reconstruction to Concrete Pavement along Jct. R. Magsaysay Ave. - L. Ma. Guerrero St. - Guzman St. - Vinzon St. - T. Palma Gil St. - Jct. Dacudao - Jct. J.P. Cabaguio Ave., (Phase 1) Davao</t>
  </si>
  <si>
    <t>INVITATION TO BID FOR EMB-REGION VII STANDARD SOURCE EMISSION TESTING EQUIPMENT</t>
  </si>
  <si>
    <t>CONSTRUCTION OF TWO STOREY BUILDING (PHASE-1)</t>
  </si>
  <si>
    <t>Procurement of one hundred fifty (150) heads piglets for dispersal.</t>
  </si>
  <si>
    <t>1 pc 4x4 Membrane Keypad...etc</t>
  </si>
  <si>
    <t>Supply, Delivery and Installation of 1 Lot Skills Laboratory Equipment for New Nursing Laboratory of Bukidnon State University</t>
  </si>
  <si>
    <t>Rebidding - Office Table for the Use of the Presiding Officer and SB Members, San Jose de Buenavista</t>
  </si>
  <si>
    <t>Construction of Barangay Pari-an Multi-Purpose Hall and its Facilities Phase 1</t>
  </si>
  <si>
    <t>Land Scaping in-front of Multi-purpose Hall, Brgy. Mabigo, Canlaon City</t>
  </si>
  <si>
    <t>Supply and Delivery of 1 Lot Consolidated ICT Printing Consumables (Main Campus) of Bukidnon State University</t>
  </si>
  <si>
    <t>20LB0235 - Construction / Rehabilitation of Ecoland Creek Protecting ABS-CBN Diversion Rd up to Davao River Outfall, Davao City</t>
  </si>
  <si>
    <t>Labor and Materials for the Desilting/ Declogging of St. Jude Creek (Maniknik Creek to Solana Bridge) at San Agustin, City of San Fernando, Pampanga</t>
  </si>
  <si>
    <t>Improvement of Access Foot Trails to Badi Falls (w/ Handrails)</t>
  </si>
  <si>
    <t>PROCUREMENT 24 SETS FOLDING WITH MATTRESS, SINGLE 36”X75”, 26 SETS OF FOLDING BED WITH MATTRESS, SINGLE 30”X75”, 50 PCS PILLOW, 5”X15”X24”, 22 SETS OF PANEL DIVIDER (4PANEL) AND 4 SETS COAT HANGER (RF</t>
  </si>
  <si>
    <t>seeds</t>
  </si>
  <si>
    <t>CONSTRUCTION OF MAMBUAYA TRAINING CENTER</t>
  </si>
  <si>
    <t>Procurement of one unit Mini-Ambulance</t>
  </si>
  <si>
    <t>20LB0303 - Repair/Maintenance of DENR Building CENRO – Forestry Building Bangkal, Davao City</t>
  </si>
  <si>
    <t>FURNISHING OF LABOR AND MATERIALS FOR THE REHABILITATION OF SOLID WASTE MANAGEMENT ECOLOGICAL CENTER AT BRGY. CAPALIZ, DUMANGAS, ILOILO (REBIDDING)</t>
  </si>
  <si>
    <t>fertilizers</t>
  </si>
  <si>
    <t>20LB0302 - Repair/Maintenance of DENR Building CENRO – Land Management Section Building Bangkal, Davao City</t>
  </si>
  <si>
    <t>Concreting of Road at Carmen Eco Tourism Park and Spring Rosort</t>
  </si>
  <si>
    <t>Construction of MDRRM Ofice, Mogpog</t>
  </si>
  <si>
    <t>Improvement / Rehab of Water System</t>
  </si>
  <si>
    <t>Supply, Delivery and Installation of 1 Lot Heavy Duty Variable Perfect Binder with Built-in Automatic/Digital Thickness Caliper and Fully Automatic Laminator of Bukidnon State University</t>
  </si>
  <si>
    <t>CONSTRUCTION OF THREE STOREY (9-CLASSROOM) SCHOOL BUILDING (PHASE 1)</t>
  </si>
  <si>
    <t>Labor and Materials for the Declogging/Desilting of Calulut Creek at Calulut, City of San Fernando, Pampanga</t>
  </si>
  <si>
    <t>PROCUREMENT OF FUEL FOR OPERATION AND MAINTENANCE OF FARM TO MARKET ROAD (FMR)-CONCEPCION-BAGUMBAYAN-HAMPANGAN</t>
  </si>
  <si>
    <t>20A00070: Construction of By-pass and Diversion Roads, Laoag-San Nicolas Bypass Road (San Nicolas Section), Ilocos Norte</t>
  </si>
  <si>
    <t>Concreting of Ilang-Ilang St. (From Cadena de Amor - Everlasting St. and From Caimito - Lawaan St.)</t>
  </si>
  <si>
    <t>INVITATION TO BID FOR THE SUPPLY AND DELIVERY OF 1 UNIT SURPLUS REFRIGERATED MEAT VAN FOR CEEDO, OROQUIETA CITY  (SECOND NOTICE)</t>
  </si>
  <si>
    <t>INVITATION TO BID FOR BARANGAY ROAD CONCRETING</t>
  </si>
  <si>
    <t>Supply and Delivery of Brand New 6 Wheeler Dump Truck - ITB 015-2020 GQ</t>
  </si>
  <si>
    <t>Labor and Materials for the Construction of Day Care Center at Magliman, City of San Fernando, Pampanga</t>
  </si>
  <si>
    <t>Procurement of Relief/Search and Rescue Operations Vehicle/Equipment - (Rescue Utility Van)</t>
  </si>
  <si>
    <t>RFQ-20-06-023</t>
  </si>
  <si>
    <t>PUBLIC BIDDING / PR 20-02-0095  /  NEWSPAPER PUBLICATION SERVICES</t>
  </si>
  <si>
    <t>CONSTRUCTION OF THREE UNITS COMMUNAL TOILET &amp; WASHING AREA</t>
  </si>
  <si>
    <t>SUPPLY AND DELIVERY OF LAPTOP COMPUTERS FOR MAIN CAMPUS</t>
  </si>
  <si>
    <t>20KA0143 Reblocking of Damaged Portland Cement Concrete Pavement (PCCP)  along Sayre Highway Kisolon - Lumbo Road km1490+000 -km 1491+000 (Selected Section) Malaybalay City, Bukidnon</t>
  </si>
  <si>
    <t>RFQ-20-06-022</t>
  </si>
  <si>
    <t>Supply and Delivery of One (1) lot Various Office  Equipment</t>
  </si>
  <si>
    <t>REHABILITATION OF PERIMETER FENCE AT PANGLAO PUBLIC MARKET, POBLACION, PANGLAO, BOHOL</t>
  </si>
  <si>
    <t>Invitation to Bid for Health Care Benefits</t>
  </si>
  <si>
    <t>PROCUREMENT OF GOATS UPGRADED (FEMALE, 100 HEADS) FOR GOAT DISPERSAL PROGRAM OF MUNICIPAL AGRICULTURE; (2ND BIDDING)</t>
  </si>
  <si>
    <t>Supply and Delivery of 40 rolls AWG ACSR Duplex Wire #6 (1000m/roll) for Electrification Project Expansion of different Barangays, Brooke’s Point, Palawan</t>
  </si>
  <si>
    <t>Supplying various medical oxygen for use of the three (3) hospitals owned by the Marinduque Provincial Government, SCDH/TMH/MPH, Boac, Marinduque</t>
  </si>
  <si>
    <t>Labor and Materials for the Construction of Slope Protection at Saguin, City of San Fernando, Pampanga.</t>
  </si>
  <si>
    <t>Installation of Solar Panel Street Lights, Along Zone 01, 02 &amp; 03, Centro 12, Balzain West, Tuguegarao City</t>
  </si>
  <si>
    <t>Procurement of Two (2)  Units Brand New  Ambulance to be Utilized as Emergency Vehicle for Probable/Suspect and/or Confirmed COVID - 19 case  and for other Health and/or Emergency Related Activities @</t>
  </si>
  <si>
    <t>REHABILITATION/IMPROVEMENT OF PIPELINES OF PANGLAO WATERWORKS SYSTEM, PANGLAO, BOHOL</t>
  </si>
  <si>
    <t>Concreting of Sampaguita ave. (from San Francisco St. - Violita St.</t>
  </si>
  <si>
    <t>Procurement of One unit Dump Truck (Brand new)</t>
  </si>
  <si>
    <t>Supply And Delivery of One (1) unit Meat Van (Brand New) and Two (2) units LED TV CCTV Monitor to be used for delivery of dressed meat from slaughter house to Public Market and Market Satey and Securi</t>
  </si>
  <si>
    <t>PROCUREMENT FOR THE SUPPLY AND DELIVERY OF NINETY (90) CONTAINERS OF BIO-ENZYME FOR SANITARY LANDFILL</t>
  </si>
  <si>
    <t>Construction of Reservoir</t>
  </si>
  <si>
    <t>Concreting of Farm to Market Road at Sitio Malamig, Barangay Leido, Victoria, Oriental Mindoro</t>
  </si>
  <si>
    <t>REHABILITATION OF BURBUR DAM LOCATED AT BRGY. PAYAC</t>
  </si>
  <si>
    <t>Supply and Delivery of Chemicals for Use in the Management of Fall Army Worm under 2020 STO - QRF FAW</t>
  </si>
  <si>
    <t>farm tools</t>
  </si>
  <si>
    <t>SUPPLY AND DELIVERY OF VARIOUS VEGETABLE SEEDS</t>
  </si>
  <si>
    <t>SUPPLY AND DELIVERY OF ONE (1) UNIT MOBILE CLINIC BUS</t>
  </si>
  <si>
    <t>Supply and Delivery of 6,000 Packs of Lure (Pheromone) for Use in the Management of Fall Army Worm under 2020 STO - QRF FAW</t>
  </si>
  <si>
    <t>PROCUREMENT FOR THE SUPPLY AND DELIVERY OF VARIOUS SUPPLIES FOR 1ST AND 2ND QUARTER CY 2020 (2ND BATCH)</t>
  </si>
  <si>
    <t>20A00021: Construction of By-Pass and Diversion Roads, Bauang-San Fernando-San Juan Bypass Road (Bauang Section), La Union</t>
  </si>
  <si>
    <t>Supplying various breeder animals to be dispersed to Marginalized farmers, solo parents, unemployed parents, parents with children with disability, families of person in conflict w/ the law and batter</t>
  </si>
  <si>
    <t>REHABILITATION OF ACCESS ROAD at Boguibog, Salcedo, Ilocos Sur</t>
  </si>
  <si>
    <t>CONSTRUCTION OF SAN GASPAR WAREHOUSE</t>
  </si>
  <si>
    <t>Supplying various breeder animals to be dispersed to Solo Parents of Torrijos Municipality, Provincial Veterinary Office, Boac, Marinduque</t>
  </si>
  <si>
    <t>Supplying labor and materials on the installation of Local Area Network (LAN) at Marinduque Provincial Hospital ICT Division, MPH, Boac, Marinduque</t>
  </si>
  <si>
    <t>Labor and Materials for the Improvement/Construction of Road at Panipuan, City of San Fernando, Pampanga</t>
  </si>
  <si>
    <t>Supply and Delivery of 2,000 Bottles of Organic Neem Insecticide for Use in the Management of Fall Army Worm under 2020 STO - QRF FAW</t>
  </si>
  <si>
    <t>20CSMH02 - SUB-SURFACE EXPLORATION (SOIL EXPLORATION) OF SARMIENTO BR. (B00609MN) ALONG ISULAN JCT. - NINOY AQUINO RD (CLUSTER B), BAGUMBAYAN, SULTAN KUDARAT</t>
  </si>
  <si>
    <t>20CSMH03 - SUB-SURFACE EXPLORATION (SOIL EXPLORATION) OF BARANAYAN BR. ALONG AWANG-UPI-LEBAK-KALAMANSIGPALIMBANG- SARANGANI RD (CLUSTER C), PALIMBANG, SULTAN KUDARAT</t>
  </si>
  <si>
    <t>Supply and Delivery of Materials, Labor and Equipment for the Construction/Completion of Public Market in Brgy. Poblacion, Padre Garcia, Batangas</t>
  </si>
  <si>
    <t>Supply and Delivery of 16 rolls AWG ACSR Duplex Wire #2 (1000m/roll) to be used for expansion/installation of NEW Electrical Lines of different Barangays, Brooke’s Point, Palawan</t>
  </si>
  <si>
    <t>Supply and Delivery of Livelihood Kits for Livelihood Seeding Program – Negosyo Serbisyo sa Barangay (LSP-NSB) Beneficiaries of Department of Trade and Industry in the Province of Isabela</t>
  </si>
  <si>
    <t>20D00077 -CONSTRUCTION OF EVACUATION CENTER AT STO.TOMAS, BATANGAS</t>
  </si>
  <si>
    <t>Procurement of Security Services for Bulacan State University</t>
  </si>
  <si>
    <t>CONSTRUCTION OF CONCRETE PERIMETER FENCE WITH PLASTER BACK TO BACK AT TAWALA ELEMENTARY SCHOOL</t>
  </si>
  <si>
    <t>20D00076 - CONSTRUCTION OF EVACUATION CENTER AT LOBO, BATANGAS</t>
  </si>
  <si>
    <t>ITB - Supply and Delivery of Linen Supplies and Materials for CY 2020</t>
  </si>
  <si>
    <t>Supply and Delivery of Responders Kit</t>
  </si>
  <si>
    <t>Supply and Delivery of Consolidated ICT Equipment, IT Supplies and Photocopier (Sub-lot) of Bukidnon State University</t>
  </si>
  <si>
    <t>Supply and Delivery of Additional Subsistence Allowance (ASA) / Food Support Meals of Military Personnel / Security for Cotabato Airport Development Project CY-2018 (Runway Strip Grade Correction)</t>
  </si>
  <si>
    <t>PURCHASE OF INORGANIC FERTILIZERS</t>
  </si>
  <si>
    <t>Supply and Delivery of Anti-Scale, Anti-Foam and Calcium Chloride</t>
  </si>
  <si>
    <t>Construction of Municipal Disaster Risk Reduction and Management Office Building</t>
  </si>
  <si>
    <t>SUPPLY, DELIVERY, INSTALLATION AND COMMISSIONING OF CCTV CAMERAS</t>
  </si>
  <si>
    <t>PURCHASE OF BRAND-NEW PICKUP TYPE MOTOR VEHICLES (REBID)</t>
  </si>
  <si>
    <t>PROCUREMENT OF TWO (2) UNITS FOUR WHEELED TRACTOR FOR RICE AND CORN PRODUCTION SUPPORT MACHINERIES (BOTH PADDY AND DRY LAND) OF THE MUNICIPAL AGRICULTURE; (2ND BIDDING)</t>
  </si>
  <si>
    <t>20FC0122 : CONCRETING OF BRGY. BINAWANGAN FMR, Brgy. Binawangan, Capalonga, Camarines Norte</t>
  </si>
  <si>
    <t>20JG0077 - Repair/Maintenance of DPWH Building (Maintenance Section), Zamboanga del Sur II District Engineering Office, Poblacion, Guipos, Zamboanga del Sur</t>
  </si>
  <si>
    <t>Purchase of Medical Supplies for Laboratory, RHU-Pagsanghan, Samar</t>
  </si>
  <si>
    <t>ELECTRIFICATION OF 2 STOREY, 16 CLASS ROOMS</t>
  </si>
  <si>
    <t>20FC0123 : CONCRETING OF BRGY. BULALA FMR, Brgy. Bulala, Sta. Elena, Camarines Norte</t>
  </si>
  <si>
    <t>20FC0120 : CONCRETING OF BRGY. GUISICAN FMR, Brgy. Guisican, Labo, Camarines Norte</t>
  </si>
  <si>
    <t>20FC0121 : CONCRETING OF BRGY. ITOK FMR, Brgy. Itok, Capalonga, Camarines Norte</t>
  </si>
  <si>
    <t>Improvement of RHU Buiding ( Isolation Room)</t>
  </si>
  <si>
    <t>20CSMH01 - SUB-SURFACE EXPLORATION (SOIL EXPLORATION) OF BRIDGES ALONG AWANG-UPI-LEBAK-KALAMANSIGPALIMBANG- SARANGANI RD. AND ALONG SNA-LEBAK-KALAMANSIG RD. (CLUSTER A), LEBAK AND KALAMANSIG, SULTAN K</t>
  </si>
  <si>
    <t>Construction of Day Care Center @ Botinagan</t>
  </si>
  <si>
    <t>Design And Build For The Construction Of New Manapla Public Market</t>
  </si>
  <si>
    <t>Safe Closure and Rehabilitation of Existing Disposal Site</t>
  </si>
  <si>
    <t>Construction of Flood Control Structures along Bayanan River, Brgy. Bayanan, Muntinlupa City,  Sta. 0+000 to Sta. 0+325 (Contract ID No. 20O00059)</t>
  </si>
  <si>
    <t>CONSTRUCTION OF MULTI-PURPOSE BUILDING FOR SOLID WASTE MANAGEMENT EQUIPMENT AND MOTOR VEHICLES AT BRGY. BURABOD, GAMAY, NORTHERN SAMAR</t>
  </si>
  <si>
    <t>20FC0119 : CONCRETING OF BRGY. MABILO I FMR, Brgy. Mabilo I, Labo, Camarines Norte</t>
  </si>
  <si>
    <t>Purchase of Two(2) Sets of Abaca Stripping Machine for IP's in GIDA Barangays</t>
  </si>
  <si>
    <t>PB INFRA 20-039_Completion of Covered Court, College of Agriculture, University of Southern Mindanao, Kabacan, Cotabato</t>
  </si>
  <si>
    <t>REPAIR /REHABILITATION OF DAMAGED DRAINAGE FACILITY AT BRGY. CENTRAL, GAMAY, NORTHERN SAMAR</t>
  </si>
  <si>
    <t>Construction of Crisis Center</t>
  </si>
  <si>
    <t>20D00075 - CONSTRUCTION OF EVACUATION CENTER AT BAUAN, BATANGAS</t>
  </si>
  <si>
    <t>SUPPLIES FOR WINS (WASH IN SCHOOL)PROGRAM JHS</t>
  </si>
  <si>
    <t>20JG0076 - Repair/Maintenance of Pantad River Control, Brgy. Pantad, Dumalinao, Zamboanga del Sur</t>
  </si>
  <si>
    <t>20FC0118 : CONCRETING OF BRGY. SAN ISIDRO FMR, Brgy. San Isidro, San Lorenzo Ruiz, Camarines Norte</t>
  </si>
  <si>
    <t>CID NO. 20LE0123 REPAIR / MAINTENANCE OF LAWA FLOOD CONTROL, DON MARCELINO, DAVAO OCCIDENTAL  (STA. 0+000.00 - STA. 0+083.00 LS)</t>
  </si>
  <si>
    <t>20JG0086 - Repair/Maintenance of DND Building, Phil. Army - 53rd Infantry Battalion ( Officer's Quarter), Brgy.Poblacion, Guipos, Zamboanga del Sur</t>
  </si>
  <si>
    <t>20JG0084 - Repair/Maintenance of DPWH Building ( Guardhouse ), Zamboanga del Sur II District Engineering Office, Poblacion, Guipos, Zamboanga del Sur</t>
  </si>
  <si>
    <t>20JG0083 - Repair/Maintenance of DPWH Building, Warehouse Building (Warehouse - Mezzanine Floor), Zamboanga del Sur 2nd District Engineering Office, Brgy.Poblacion, Guipos, Zamboanga del Sur</t>
  </si>
  <si>
    <t>20JG0082 - Repair/Maintenance of DPWH Motorpool Building (Mezzanine Floor), Zamboanga del Sur II District Engineering Office, Poblacion, Guipos, Zamboanga del Sur</t>
  </si>
  <si>
    <t>20JG0081 - Maintenance, Repair and Rehabilitation of Materials Quality Control Building of DPWH Building Zamboanga del Sur II DEO (Phase 4)</t>
  </si>
  <si>
    <t>20JG0080 - Repair/Maintenance of DPWH Main Building, Zamboanga del Sur II District Engineering Office, Poblacion, Guipos, Zamboanga del Sur</t>
  </si>
  <si>
    <t>SUPPLY &amp; DELIVERY OF ADVOCACY MATERIALS (T-SHIRTS, BAGS, UMBRELLAS, ETC)</t>
  </si>
  <si>
    <t>20JG0078 - Repair/Maintenance of DPWH Building (Finance Section), Zamboanga del Sur II District Engineering Office, Poblacion, Guipos, Zamboanga del Sur</t>
  </si>
  <si>
    <t>Improvement of Water System @ Mabini- Salintubig 2019</t>
  </si>
  <si>
    <t>100-2020-01-129 Supply and delivery of 1 unit truck (light cargo truck) with open/drop-side cargo hol, 18 ft.</t>
  </si>
  <si>
    <t>20JG0079 - Repair/Maintenance of DPWH Building (Planning &amp; Design Section), Zamboanga del Sur II District Engineering Office, Poblacion, Guipos, Zamboanga del Sur</t>
  </si>
  <si>
    <t>CID NO. 20LE0122 REPAIR / MAINTENANCE OF BUHANGIN FLOOD CONTROL, MALITA, DAVAO OCCIDENTAL (STA. 0+000.00 - STA. 0+045.00)</t>
  </si>
  <si>
    <t>20AH0209  Installation/Application of Road Safety Devices along Judge Jose De Venecia Boulevard Extension Road, Island Section, Dagupan City, Pangasinan</t>
  </si>
  <si>
    <t>100-2020-01-015 Supply and delivery of 1 unit light cargo truck 11 ft</t>
  </si>
  <si>
    <t>20AH0208  Repair/Restoration of Slope Protection along Lingayen-Labrador Road, K0368+430-K0368+495, Labrador, Pangasinan</t>
  </si>
  <si>
    <t>20JG0085 - Repair/Maintenance of DA Building, Betinan, San Miguel, Zamboanga del Sur</t>
  </si>
  <si>
    <t>PB INFRA 20-038_Construction of Multi-Purpose Building (Birthing Center), Lepaga, Mlang, Cotabato</t>
  </si>
  <si>
    <t>Procurement of Supply &amp; Delivery of Organic and Inorganic Insecticide (By Lot)</t>
  </si>
  <si>
    <t>20AH0207  Repair/Maintenance of Lateral Drainage along Mangaldan-Manaoag-Binalonan Road, K0205+917-K0206+000 w/ exception, San Jacinto, Pangasinan</t>
  </si>
  <si>
    <t>Construction of Landmark</t>
  </si>
  <si>
    <t>Installation of 7 units Purok Signages</t>
  </si>
  <si>
    <t>20AH0206	Repair/Maintenance of Asphalt Overlay (Thin Overlay) along Pangasinan-Tarlac Road, K0196+827-K0197+018, Bugallon, Pangasinan</t>
  </si>
  <si>
    <t>PB INFRA 20-043_Construction of Multi-Purpose Drying Pavement, Sinawilan, Libungan, Malagap, Banisilan, Magallon, Mlang, Malagakit, Pigcawwayan, New Pontevedra, Antipas, Cotabato</t>
  </si>
  <si>
    <t>20AH0192 (republished)  Repainting of Bridge along Pangasinan-Zambales Road, Padilla Bridge (B02144LZ), K0359+504, Bugallon, Pangasinan</t>
  </si>
  <si>
    <t>HMO-20-0354-B - PURCHASE OF AMBULANCE WITH COMPLETE MEDICAL EQUIPMENT</t>
  </si>
  <si>
    <t>Procurement of Supply &amp; Delivery of Pheromone Lure</t>
  </si>
  <si>
    <t>SDH-20-0364-B I.V. FLUIDS</t>
  </si>
  <si>
    <t>One (1) Lot – Supply and delivery of 5,000 Learning Experience Platform (LXP) subscriptions, including customization, implementation, maintenance, technical support, and user training, as per BSP Term</t>
  </si>
  <si>
    <t>ILD-20-2314: Procurement of Various Chmical and Filtering Supplies (450 bottles Lambda Cyhalothrin (500ml/bot) et al...)</t>
  </si>
  <si>
    <t>Contract ID No. 19CSK00041 – Consultancy Services for the Conduct of Geotechnical &amp; Geological Investigation and Survey Works for the Proposed Construction of Sabo Dam on Upper and Lower Dinanggasan R</t>
  </si>
  <si>
    <t>Supply labor and materials for the Improvement of Activity Center in Barangay Tigbawan of the Municipality of Tabuelan, Cebu</t>
  </si>
  <si>
    <t>AGR-20-0338-B Purchase of Kitchenware</t>
  </si>
  <si>
    <t>Purchase of Twenty (20) Sets of Looms for IP's in GIDA Barangays</t>
  </si>
  <si>
    <t>ILD-20-2315: Procurement of *3,600 packs of PHROMONE LURE (5 sachets/pack)</t>
  </si>
  <si>
    <t>20CSDM06 – Conduct of Geotechnical Investigation along Piris River and Mulanay River in Buenavista and Mulanay, Quezon</t>
  </si>
  <si>
    <t>Establishment of Governor’s Satellite Office at GADTC</t>
  </si>
  <si>
    <t>MODERNIZATION OF LABORATORY EQUIPMENT FOR BACHELOR OF SCIENCE IN ELECTRICAL ENGINEERING</t>
  </si>
  <si>
    <t>ILD-20-2316: Procurement of *571 bottles of Azadirahtin (1 liter/bot. Organic Pesticide) and *100 boxes of Bacillus Thuringiensis (5 x 100 gram/box)</t>
  </si>
  <si>
    <t>19GF00031 - Procurement of Hydraulic Breaker and Hydraulic Grapple for use at EMD (PR No. 20-05-103 dated 5/29/2020), DPWH Regional Office No. V, Rawis, Legazpi City</t>
  </si>
  <si>
    <t>Reblocking of Alegria-Balusbos-Habana Road, Buruanga, Aklan</t>
  </si>
  <si>
    <t>PROCUREMENT OF MATERIALS FOR THE MAINTENANCE AND DEVELOPMENT OF HRIS SYSTEM, MALAPATAN, SARANGANI PROVINCE</t>
  </si>
  <si>
    <t>Concreting of Makato-Cayangwan-Libang Road (Cayangwan Segment), Makato, Akla</t>
  </si>
  <si>
    <t>20JG0075 - Repair/Maintenance of Bayog River Control, Poblacion, Bayog, Zamboanga del Sur, Sta.1+550 - Sta.1+608.01 R/S</t>
  </si>
  <si>
    <t>SDH-20-0361-B DRUGS AND MEDICINES</t>
  </si>
  <si>
    <t>Purchase of One (1) Unit Dump Truck to be used in this Municipality</t>
  </si>
  <si>
    <t>1-LOT SUPPLY OF LABOR &amp; MATERIALS FOR THE  IMPROVEMENT SAGAY PUBLIC PLAZA-PHASE 2</t>
  </si>
  <si>
    <t>SAAD-20-1237 (REBID 2): Procurement of 3,600 heads of Native Chicken</t>
  </si>
  <si>
    <t>SAAD-20-0992 (REBID 2): Procurement of Various Feeds</t>
  </si>
  <si>
    <t>SAAD-20-1185 (REBID 2): Procurement of Assorted Feeds</t>
  </si>
  <si>
    <t>20FC0117 : CONCRETING OF BRGY. MATANGO FMR, Brgy. Matango, Vinzons, Camarines Norte</t>
  </si>
  <si>
    <t>PROCUREMENT OF OFFICE SUPPLIES FOR DIFFERENT OFFICES (1st – 2nd Quarter), MALAPATAN, SARANGANI PROVINCE</t>
  </si>
  <si>
    <t>Rehabilitation and Improvement of Laguinbanua-Bagacay-Unat-Agdugayan Road, Ibajay, Aklan</t>
  </si>
  <si>
    <t>CONSTRUCTION OF RESIDUAL CONTAINMENT AREA</t>
  </si>
  <si>
    <t>FOD-L-20-2347: Procurement of Assorted Feeds</t>
  </si>
  <si>
    <t>Construction of Salug Multi Purpose Center</t>
  </si>
  <si>
    <t>Purchase of Hospital/Medical Equipment of CSTH for Level 1 (Medical Waste Decomposer Thermal Insulation), Ciriaco S. Tirol Hospital, Boracay Island, Malay, Aklan</t>
  </si>
  <si>
    <t>Bidding for the Supply &amp; Delivery of Medicines for MHO use</t>
  </si>
  <si>
    <t>SAAD-20-2131: Procurement of 100 rolls of Range Nets</t>
  </si>
  <si>
    <t>Completion of Supply Room, Family Planning and Social Hygiene Clinic @ Godofredo P. Ramos Hospital, Poblacion, Altavas, Aklan (Re-biding)</t>
  </si>
  <si>
    <t>Repair of Gazebo Building Canopy at the Municipal Hall Compound of Palo, Leyte  JR No. 20-06-112</t>
  </si>
  <si>
    <t>FOD-H-20-2345: Procurement of 4,185 kilos of Ginger (Planting Materials)</t>
  </si>
  <si>
    <t>Supply &amp; Delivery of One (1) Unit Brand New Emergency Medical Service Vehicle for the Ormoc Bureau of Fire Protection, CDRRMO, Ormoc City</t>
  </si>
  <si>
    <t>Construction of Evacuation Center, Arcanghel, Balete, Aklan</t>
  </si>
  <si>
    <t>Road Concreting at Brgy. Valencia, Ormoc City</t>
  </si>
  <si>
    <t>Supply &amp; Delivery of One (1) Unit Brand New Service Vehicle for the City Veterinary Office, Ormoc City</t>
  </si>
  <si>
    <t>Supply &amp; Delivery of 100 Heads of F1 Meat Type Hogs for Kadiwa Ani at Kita Project</t>
  </si>
  <si>
    <t>Supply &amp; Delivery of Drugs &amp; Medicines for the Responsible Parenting &amp; Reproductive Health Program of the City Health Office, Ormoc City</t>
  </si>
  <si>
    <t>Completion of Evacuation Center, Guinbaliwan, New Washington, Aklan</t>
  </si>
  <si>
    <t>Improvement of Odiong Circumferential Road, Altavas, Aklan</t>
  </si>
  <si>
    <t>STOCK FILE</t>
  </si>
  <si>
    <t>Const. of Multi-Purpose Building located at Lais Capitol Complex (Motorpool), Malita, Davao Occidental</t>
  </si>
  <si>
    <t>Concreting of Farm to Market Road (Sitio 3-Market Road</t>
  </si>
  <si>
    <t>SPLIT TYPE AIRCON</t>
  </si>
  <si>
    <t>Bidding for the Supply &amp; Delivery of Medical Supplies for MHO use</t>
  </si>
  <si>
    <t>Construction of Day Care Center at Brgy Calamay</t>
  </si>
  <si>
    <t>PROCUREMENT OF OFICE EQUIPMENT FOR MUNICIPAL INFORMATION OFFICE, MALAPATAN, SARANGANI PROVINCE</t>
  </si>
  <si>
    <t>PROCUREMENT OF ONE (1) SET BUTT FUSION MACHINE</t>
  </si>
  <si>
    <t>Construction of Duangan Multi Purpose Center</t>
  </si>
  <si>
    <t>Improvement of Health Center at Phase 3 Site, Brgy. Paliparan III, City of Dasmarinas, Cavite</t>
  </si>
  <si>
    <t>Supply and delivery of one (1) unit Dump truck for LGU Pilar, Bataan</t>
  </si>
  <si>
    <t>Concreting of Suarez – Salubsob FMR and Buko By-pass road</t>
  </si>
  <si>
    <t>20GM0064 (RE-BIDDING) - Improvement of Bridge, Sit-an Creek at Brgy. East, Candoni, Negros Occidental</t>
  </si>
  <si>
    <t>Establishment of Stock Room for Livestock and Poultry Multiplier Farm</t>
  </si>
  <si>
    <t>Farm Mechanization as Climate Change Adaptation Measures to Build the Resiliency of the ARBs under SLSDAA-CFFPS</t>
  </si>
  <si>
    <t>Concreting &amp; Improvement of Municipal Streets/Roads,  Municipal Hall Access Road, Diffun, Quirino</t>
  </si>
  <si>
    <t>SUPPLY AND DELIVERY OF VARIOUS PHARMACEUTICAL DRUGS, MEDICINES AND CONTRAST MEDIA (NEGOTIATED PROCUREMENT- TWO FAILED BIDDING)</t>
  </si>
  <si>
    <t>Improvement of Sinonoc Public Buildings</t>
  </si>
  <si>
    <t>Procurement of 450 liters of Insecticide for use to control the fall army worm (FAW) in the flint corn production project</t>
  </si>
  <si>
    <t>BALIK ESKWELA PROGRAM</t>
  </si>
  <si>
    <t>Proposed Development of Municipal Cemetery in Norte, Don Carlos, Bukidnon – Phase II (Straight Contract)</t>
  </si>
  <si>
    <t>PURCHASE OF BOOKS / LEARNING MATERIALS FOR KINDERGARTEN PUPILS</t>
  </si>
  <si>
    <t>Reblocking of Man-up-Lupit-Ambolong-Batan Road, Batan, Aklan</t>
  </si>
  <si>
    <t>PURCHASE OF BOOKS / LEARNING MATERIALS FOR CHILD DEVELOPMENT CENTER (DAYCARE PUPILS)</t>
  </si>
  <si>
    <t>Rehabilitation of Local Road – Perimeter Road along Public Market, Poblacion Sur, Don Carlos, Bukidnon (Straight Contract)</t>
  </si>
  <si>
    <t>Procurement of Rescue Equipment and Supplies</t>
  </si>
  <si>
    <t>MUNICIPAL ROAD CONCRETING OF PUROK 2(ALONG MORESCA RESIDENCE TO SERRANO RESIDENCE)</t>
  </si>
  <si>
    <t>Const. of Gymnasium located at Sitio Kilongag, Brgy. Bolila, Malita, Davao Occidental</t>
  </si>
  <si>
    <t>Purchase of Materials for Maintenance of Roads and Bridges at Cabanglasan Area 2020 Lot 1,2,3</t>
  </si>
  <si>
    <t>PVC CARD PRINTER AND LAMINATOR</t>
  </si>
  <si>
    <t>Invitation to bid for the supply and delivery of one (1) set brand new garbage granulator with brick making machine</t>
  </si>
  <si>
    <t>PROCUREMENT OF PHOTOCOPIER AND DOCUMENT MANAGEMENT SYSTEM WITH CAPTURE SCANNER (ITB No. 2020-158)-(bpmc)</t>
  </si>
  <si>
    <t>ITB No. 20-24 Procurement of Maintenance Supplies</t>
  </si>
  <si>
    <t>Const. of Gym/Evacuation Center located at Buca, Sta. Maria, Davao Occidental</t>
  </si>
  <si>
    <t>OPV-2020-0174 PR2020-0440 INVITATION TO BID FOR THE PROCUREMENT OF OFFICE FURNITURE AND FIXTURES</t>
  </si>
  <si>
    <t>CONSTRUCTION OF COMFORT ROOM BUILDING (PROGRESSIVE TYPE) AT ALEOSAN PUBLIC MARKET, LGU ALEOSAN, COT.</t>
  </si>
  <si>
    <t>Concrete Pav. Construction Dawis - San Sebastian</t>
  </si>
  <si>
    <t>PROCUREMENT OF VARIOUS CONSTRUCTION MATERIALS FOR THE IMPROVENT OF MULTI-PURPOSE HALL SITE AT BRGY. DAGUMA BSK</t>
  </si>
  <si>
    <t>Provision of Pedicab (Small Transport) Sewing Machine &amp; Motorboat Engines to Selected Informal Sector Workers</t>
  </si>
  <si>
    <t>RFQ-GS-20200608-04 - 1 Lot Supply, Delivery &amp; Installation of Acrylic Frame Panels, Wrap Around Stickers, Signages, Merchandising Materials &amp; Glass Panel Perforated Stickers at 7 LANDBANK Branches</t>
  </si>
  <si>
    <t>OPENING OF FARM TO MARKET ROAD, Barangay Bucalag, SANTA</t>
  </si>
  <si>
    <t>20FF0094 - Expansion of Bombon Public Market, San Jose, Bombon, Camarines Sur</t>
  </si>
  <si>
    <t>Enhancing Rice Productivity through the Provision of Agei-extension and Farm Mechanization to DAR Assisted ARBs under MCBFPS-CRFPS</t>
  </si>
  <si>
    <t>Supply and Delivery of Laboratory Equipment for the Native Pig NICER project</t>
  </si>
  <si>
    <t>Construction of Sumalag School Road &amp; Construction of Road to Water Reservoir – Bolisong</t>
  </si>
  <si>
    <t>Proposed Road Concreting/Rehabilitation Abad St,Chrysanthemum, Brgy. Chrysanthemum</t>
  </si>
  <si>
    <t>CONSTRUCTION OF NATIONAL CHILD DEVELOPMENT CENTER</t>
  </si>
  <si>
    <t>Purchase of Materials for Construction of Multi-Purpose Building U Canangaan,Cabanglasan, Bukidnon Lot 1,2</t>
  </si>
  <si>
    <t>BID 2020-06-90- DCS VARIOUS TABLETS</t>
  </si>
  <si>
    <t>Supply &amp; Delivery of Mini Dumptruck (Brand New)</t>
  </si>
  <si>
    <t>GD2020-06-008_Supply and Delivery of Ninety (90) Cylinders Liquid Gas Chlorine (68kgs./cylinder) for Water Treatment Use</t>
  </si>
  <si>
    <t>Purchase of Materials for Construction of Multi-Purpose C Poblacion, Cabanglasan, Bukidnon</t>
  </si>
  <si>
    <t>PEO-2020-0173 PR2020-0436 INVITATION TO BID FOR THE PROCUREMENT OF LABOR, MATERIALS, AND EQUIPMENT FOR THE REHABILITATION AND IMPROVEMENT OF PEO BUILDING</t>
  </si>
  <si>
    <t>Supply of Materials for the Rehabilitation of Public Market (Awning)</t>
  </si>
  <si>
    <t>Purchase of Materials for Construction of Multi-Purpose Building T Imbatug,Cabanglasan, Bukidnon</t>
  </si>
  <si>
    <t>Supply and Delivery of Influenza Vaccine to Increase the Immunity and Protection of the Elderly Against Flu Wherein Can Minimize the Effect of Covid 19 if Vaccinated</t>
  </si>
  <si>
    <t>Purchase of Diesel and Lubricants for Rehabilitation of Barangay Roads, Hilop Poblacion, Cabanglasan, Bukidnon Lot 1,2</t>
  </si>
  <si>
    <t>BID 2020-06-91 DCS LAPTOP</t>
  </si>
  <si>
    <t>20KI0089 Contract Name	: Concreting of Brgy. Roxas FMR,  			  Brgy. Roxas, Aloran, Misamis Occidental</t>
  </si>
  <si>
    <t>20KI0088 Contract Name	: Concreting of Brgy. Usocan to Brgy. Bato FMR,  			  Brgy. Usocan and Brgy. Bato, Plaridel, Misamis Occidental</t>
  </si>
  <si>
    <t>Procurement of Internet Connection Service</t>
  </si>
  <si>
    <t>Purchase of Materials for Construction of Multi-Purpose Building X Poblacion ,Cabanglasan, Bukidnon</t>
  </si>
  <si>
    <t>Purchase of Ambulance (Hi-Roof), Lambunao, Iloilo</t>
  </si>
  <si>
    <t>Purchase of Materials for Construction of Market Stalls (Phase II) Market Site Poblacion Lot 1,2</t>
  </si>
  <si>
    <t>ITB No. 20-25 Negotiated Procurement of Calibration Services for Medical Equipment (Lot Bidding)</t>
  </si>
  <si>
    <t>Rebidding for the Repair and Renovation of Second Floor Bonifacio P. Sibayan Hall</t>
  </si>
  <si>
    <t>LABOR &amp; MATERIALS FOR UPGRADING OF ALLEY WITH IMPROVEMENT OF DRAINAGE CANAL, BLK. 33 PHASE 2 AREA 2, BRGY. NBBS DAGAT-DAGATAN, NAVOTAS CITY</t>
  </si>
  <si>
    <t>Supply and Delivery of Materials and Fittings  for Service Connections and Maintenance of GMAWD’s Water Supply System</t>
  </si>
  <si>
    <t>Purchase of Materials for Construction of Multi-Purpose Building P Poblacion, Cabanglasan, Bukidnon</t>
  </si>
  <si>
    <t>Proposed Road Concreting / Rehabilitation Main Road, Brgy. Riverside</t>
  </si>
  <si>
    <t>Construction of Access Road to Bayongon Housing Site</t>
  </si>
  <si>
    <t>Purchase of Materials for Construction of Multi-Purpose Building W (Perimeter Fence) Mauswagon, Cabanglasan, Bukidnon</t>
  </si>
  <si>
    <t>PROJECT COVID-MODULES</t>
  </si>
  <si>
    <t>Procurement of 1-Unit Brand New Ambulance</t>
  </si>
  <si>
    <t>LABOR &amp; MATERIALS FOR UPGRADING OF ALLEY WITH IMPROVEMENT OF DRAINAGE CANAL, BLK. 32A PHASE 2 AREA 2, BRGY. NBBS DAGAT-DAGATAN, NAVOTAS CITY</t>
  </si>
  <si>
    <t>Purchase of Materials for Construction of Multi-Purpose Building V (Perimeter Fence) Mandaing, Cabanglasan, Bukidnon</t>
  </si>
  <si>
    <t>Supply and delivery of one (1) unit backhoe for LGU Pilar, Bataan</t>
  </si>
  <si>
    <t>Purchase of Materials for Construction of Multi-Purpose Building Q (Perimeter Fence)Cabulohan, Cabanglasan, Bukidnon</t>
  </si>
  <si>
    <t>BID-2020-06-92 DCS SIM CARDS</t>
  </si>
  <si>
    <t>Proposed Patching and Asphalt Overly Along Hernandez St. Purok 7 Pulo, Brgy. Landayan</t>
  </si>
  <si>
    <t>Supply/Delivery of  Tubeless Tire</t>
  </si>
  <si>
    <t>Supply and Delivery of Agricultural Supplies and Materials for the NICER Project</t>
  </si>
  <si>
    <t>OPENING OF FARM TO MARKET ROAD, Barangay Mabilbila Sur, SANTA</t>
  </si>
  <si>
    <t>CONSTRUCTION /INSTALLATION OF STREET LIGHTING SYSTEM @ GELERANG KAWAYAN</t>
  </si>
  <si>
    <t>PROCUREMENT OF MULTI-FUNCTIONAL COPIER FOR VARIOUS SCHOOLS IN THE MUNICIPALITY OF BINALBAGAN (DISTRICT 1 &amp; 2) NEGROS OCCIDENTAL</t>
  </si>
  <si>
    <t>Leachate Pond Completion at Sanitary Landfill</t>
  </si>
  <si>
    <t>Procurement of Agricultural Machinery and Equipment for Establishment of Flint Corn Processing Center</t>
  </si>
  <si>
    <t>Rehabilitation of Multi-Purpose Building at Lake Pinamaloy Area  In Don Carlos, Bukidnon (Straight Contract)</t>
  </si>
  <si>
    <t>Construction of Two-Storey Hall of Justice Building,  Don Carlos, Bukidnon – Phase II (Straight Contract)</t>
  </si>
  <si>
    <t>Repair/Rehabilitation of Valenzuela-Obando-Meycauayan Flood Control Structures along Palasan River (Panghulo to Paliwas Sec.) Obando, Bulacan</t>
  </si>
  <si>
    <t>Repainting (including Roof Farming) and Repair of Gutter for Covered Court (Re-Bid)</t>
  </si>
  <si>
    <t>INSTALLATION OF PUBLIC ADDRESS SYSTEM</t>
  </si>
  <si>
    <t>IMPROVEMENT OF DRAINAGE CANAL (BOQUET ST.)</t>
  </si>
  <si>
    <t>PROCUREMENT OF PNP RESPONSE VEHICLE, MALAPATAN, SARANGANI PROVINCE</t>
  </si>
  <si>
    <t>20KI0090 Contract Name	: Concreting of Brgy. Small Potongan FMR,  			  Brgy. Small Potongan, Concepcion, Misamis Occidental</t>
  </si>
  <si>
    <t>SUPPLY AND DELIVERY OF MATERIALS FOR THE IMPLEMENTATION OF AQUAPONICS SYSTEM IN URBAN AREAS USING RENEWABLE ENERGY</t>
  </si>
  <si>
    <t>Supply and Delivery of One (1) Lot Various Materials for the Improvement of Municipal Building</t>
  </si>
  <si>
    <t>Drilling of one Deep Well through Percussion Drilling Method</t>
  </si>
  <si>
    <t>(PEO) INVITATION TO BID FOR THE SUPPLY AND DELIVERY OF VEHICLE PARTS (III) FOR   HEAVY EQUIPMENT   FOR THE PROVINCIAL ENGINEERING OFFICE (PEO)</t>
  </si>
  <si>
    <t>Design and Build for the Construction of Alternative Water Supply (Level III)</t>
  </si>
  <si>
    <t>20GDC0005 - Supply, Delivery and Installation of New Traffic Signs (7x) along Various National Roads</t>
  </si>
  <si>
    <t>PROCUREMENT FOR THE 30,260 LITERS OF DIESOLINE FOR THE REHABILITATION OF LOCAL ROADS (3RD QUARTER).</t>
  </si>
  <si>
    <t>SUPPLY &amp; DELIVERY OF PICK UP TYPE VEHICLE</t>
  </si>
  <si>
    <t>LOT 1 - MOBILE POSTPAID PLAN OF THE PROCUREMENT OF TWO (2) YEAR SUBSCRIPTION FOR TWO (2) LOTS OF MOBILE POSTPAID AND PREPAID PLAN FOR PAGCOR OFFICERS AND KEY PERSONNEL - ITB NO. PB20-04-034COR</t>
  </si>
  <si>
    <t>200 sets Drift Gill Net</t>
  </si>
  <si>
    <t>CONSTRUCTION / ESTABLISHMENT OF TOURISM INFORMATION AND PASALUBONG CENTER</t>
  </si>
  <si>
    <t>CONCRETING OF BARANGAY ROAD AT BARANGAY SAWANG</t>
  </si>
  <si>
    <t>Supply/Delivery of Tire with Tube</t>
  </si>
  <si>
    <t>72 heads Swine (Gilts and Boars), etc.</t>
  </si>
  <si>
    <t>Purchase of Materials for Pasalubong Center Lot 1,2</t>
  </si>
  <si>
    <t>Completion of Road Concreting at Sitio Ruston, San Antonio Ogbon to La Opinion, Sitio Ruston San Antonio Ogbon, Nabua, Camarines Sur</t>
  </si>
  <si>
    <t>20L00148 : Construction of Concrete Road – Jct. R. Magsaysay Ave. – L. Ma. Guerrero St. - Guzman St. – Vinzon St. – T. Palma Gil St. – Jct. Dacudao – Jct. J.P. Cabaguio Ave., Davao City</t>
  </si>
  <si>
    <t>PUrchase of Materials for the Concreting of Municipal Streets (DELMES Access Road and New Govt Center), Pob. Ilawod, Lambunao, Iloilo</t>
  </si>
  <si>
    <t>Purchase of Solar Lights at Buso/P11 Poblacion/Jasaan/Salimbobonog Capinonan &amp; Calagutay Capinonan, Cabanglasan, Bukidnon Lot 1,2</t>
  </si>
  <si>
    <t>20L00032 : Reconstruction to Concrete Pavement – Jct. R. Magsaysay Ave. – L. Ma. Guerrero St. - Guzman St. – Vinzon St. – T. Palma Gil St. – Jct. Dacudao – Jct. J.P. Cabaguio Ave., Davao City</t>
  </si>
  <si>
    <t>Concreting &amp; Improvement of Municipal Streets/Roads,  EDSA Portion from Hipolito St., Diffun, Quirino</t>
  </si>
  <si>
    <t>Construction of Covered Court, Barangay Apasan</t>
  </si>
  <si>
    <t>165 gallons Acid, muriatic, etc.</t>
  </si>
  <si>
    <t>Concreting of Local Road Zone 5, Angustia, Nabua, Camarines Sur</t>
  </si>
  <si>
    <t>Procurement of Service Vehicle for the Municipal Engineering Office</t>
  </si>
  <si>
    <t>SUPPLY AND DELIVERY OF CONSTRUCTION MATERIALS FOR THE CONSTRUCTION OF RIC BUILDING</t>
  </si>
  <si>
    <t>LABOR &amp; MATERIALS FOR UPGRADING OF ALLEY WITH IMPROVEMENT OF DRAINAGE CANAL, BLK. 27A PHASE 2 AREA 1, BRGY. NBBS DAGAT-DAGATAN, NAVOTAS CITY</t>
  </si>
  <si>
    <t>PHO-2020-038 PR2020-0150 INVITATION TO BID FOR THE PROCUREMENT OF BASIC LIFE SUPPORT AMBULANCE</t>
  </si>
  <si>
    <t>Improvement of Sewerage Treatment Plant at Tarlac Provincial Hospital, San Vicente, Tarlac City (Rebid) - B-CW-2020-022</t>
  </si>
  <si>
    <t>PROCUREMENT OF CONSTRUCTION MATERIALS AND SUPPLIES USE FOR CONSTRUCTION OF PERIMETER FENCE – WATER SOURCE @ BARANGAY CALICAN</t>
  </si>
  <si>
    <t>Supply Labor and Materials for the Concreting of Roads at Different Sitios of the Municipality of Tabuelan, Cebu</t>
  </si>
  <si>
    <t>1 LOT IT SUPPLIES FOR CY 2020</t>
  </si>
  <si>
    <t>SUPPLY AND DELIVERY OF VARIOUS MECHANICAL SPARE PARTS FOR UNIT 3 - 336 KW CUMMINS INTENDED FOR DOONG DPP</t>
  </si>
  <si>
    <t>PROCUREMENT OF EQUIPMENT FOR COE PHYSICS &amp; CHEMISTRY LABORATORY</t>
  </si>
  <si>
    <t>Acquisition of 6 units Motorcycle</t>
  </si>
  <si>
    <t>Invitation to bid for Completion of Public Toilet</t>
  </si>
  <si>
    <t>Procurement of Reference Books &amp; Professional Journals (Lot 1-2)</t>
  </si>
  <si>
    <t>IB No. 2005-299 Proc. of Goods (Water Meter and Others)(Rebid)</t>
  </si>
  <si>
    <t>Healthcare Waste Management Program (Rehabilitation of Sewerage Treatment Plant) at GOTMH, Malacampa, Camiling, Tarlac (Rebid) - B-CW-2020-023</t>
  </si>
  <si>
    <t>20FH0096 - REPAIR/MAINTENANCE OF DPWH BUILDING, MAIN OFFICE BUILDING, CATANDUANES DEO, VIRAC, CATANDUANES</t>
  </si>
  <si>
    <t>LOT 2 - MOBILE PREPAID PLAN OF THE PROCUREMENT OF TWO (2) YEAR SUBSCRIPTION FOR TWO (2) LOTS OF MOBILE POSTPAID AND PREPAID PLAN FOR PAGCOR OFFICERS AND KEY PERSONNEL - ITB NO. PB20-04-034COR</t>
  </si>
  <si>
    <t>Purchase of Materials for Construction Steel Goal at Pangian, Tagawili, Bawa Cabanglasan, Bukidnon</t>
  </si>
  <si>
    <t>20GFH0011 - SUPPLY AND DELIVERY OF OFFICE EQUIPMENT FOR USE IN THE DPWH-DEO CATANDUANES, VIRAC, CATANDUANES (PR#20-06-025 DATED 6/8/2020)</t>
  </si>
  <si>
    <t>3 units Negative Pressure Wound Therapy</t>
  </si>
  <si>
    <t>Concrete Pav. Construction Suba Cambigong Barangay Road</t>
  </si>
  <si>
    <t>Concreting of Venturanza Road, Banga, Aklan</t>
  </si>
  <si>
    <t>20B00052 (re-ad): Construction of Evacuation Center, Brgy. Lublub, Alfonso Castañeda, Nueva Vizcaya</t>
  </si>
  <si>
    <t>20KB0169   Construction of Municipal Jail, Municipal Compound, Brgy. Libertad, Quezon, Bukidnon   :	Brgy. Libertad, Quezon, Bukidnon</t>
  </si>
  <si>
    <t>Concrete Pav. Construction Cambalidyo-San Sebastian</t>
  </si>
  <si>
    <t>Concreting of Local Road at Barangay Angustia Going to Brgy. Salvacion Que Gatos, Nabua, Camarines Sur</t>
  </si>
  <si>
    <t>20KB0168   Construction of Multi-Purpose Building (Kibawe Sports Complex) Brgy. East Kibawe, Kibawe, Bukidnon</t>
  </si>
  <si>
    <t>Purchase and Delivery of 2 unit Mini Elf(Multi-Purpose Vehicle)</t>
  </si>
  <si>
    <t>20GB00013 (re-ad): Purchase, Delivery and Installation of One (1) Unit Bridge Design Software</t>
  </si>
  <si>
    <t>Supply, Installation and Commissioning of One (1) Unit Plasma Sterilizer</t>
  </si>
  <si>
    <t>20KB0170   Construction of Multi-Purpose Building, Mindanaw Tribal School Inc., Purok 6A, Panadtalan, Maramag, Bukidnon</t>
  </si>
  <si>
    <t>Construction of Multipurpose Building</t>
  </si>
  <si>
    <t>SUPPLY AND DELIVERY OF VARIOUS MECHANICAL SPARE PARTS FOR 163 KW DALE PERKINS INTENDED FOR DOONG DPP</t>
  </si>
  <si>
    <t>IB No. 2003-206 Proc. of Goods (Operational Tent)(Rebid)</t>
  </si>
  <si>
    <t>Job Order: Equipment rental for site grading, stabilization and final cover of Dumpsite (Closure Plan) Phase I, Barangay Candau-ay.</t>
  </si>
  <si>
    <t>Supply and Delivery Construction Materials for the Safe Closure and Rehabilitation of Existing open Dump site at Brgy. San Pedro, Quinapondan, Eastern Samar (Re-bid)</t>
  </si>
  <si>
    <t>20KB0174   Construction of Multi-Purpose Building (Kibawe Sports Complex), Brgy. East Kibawe, Kibawe, Bukidnon</t>
  </si>
  <si>
    <t>Concrete Pav. Construction Monteverde Barangay Road</t>
  </si>
  <si>
    <t>Concrete Pav. Construction Camburoy Barangay Road</t>
  </si>
  <si>
    <t>Purchase of Clinical Equipment for the use of Lambunao MHO-Laboratory, Lambunao, Iloilo</t>
  </si>
  <si>
    <t>20KB0173   Construction/Completion of the Development of Municipal Ground/Plaza, Anahawon, Maramag, Bukidnon</t>
  </si>
  <si>
    <t>Supply and Delivery of Brand New Electric Generator Set (Trailer Mounted)</t>
  </si>
  <si>
    <t>Concrete Pav. Construction Canorong Tuka Road</t>
  </si>
  <si>
    <t>Concrete Pav. Construction Canorong Bulangsuran Road</t>
  </si>
  <si>
    <t>20KB0171   Improvement of Public Plaza, Brgy. Poblacion, Dangcagan, Bukidnon</t>
  </si>
  <si>
    <t>Concrete Pav. Construction Kalatagan-Tangbo Barangay Road</t>
  </si>
  <si>
    <t>Procurement of Office Equipment, Supplies and Consumables</t>
  </si>
  <si>
    <t>DRILLING OF ONE (1) EXPLORATORY /PRODUCTION WELL AT BRGY. RAFAELA BARRERA</t>
  </si>
  <si>
    <t>20KB0176   Construction of Multi-Purpose Building, Brgy. Minsalagan, Don Carlos, Bukidnon</t>
  </si>
  <si>
    <t>20KB0172   Rehabilitation of Multi-Purpose Building (Day Care Center) Brgy. Kianggat, Dangcagan, Bukidnon</t>
  </si>
  <si>
    <t>SUPPLY &amp; DELIVERY OF VARIOUS MECHANICAL SPARE PARTS FOR 315KW FG WILSON PERKINS, MODEL 2506A-E15TAG3; SERIAL NO.: MGDF7150U10595A INTENDED FOR MARIPIPI DPPD</t>
  </si>
  <si>
    <t>PR No. 2020-02-0277-MAIN-Supply and Delivery of Steel Filing Cabinets for the different offices</t>
  </si>
  <si>
    <t>PR No. 2020-06-0561-MAIN-Supply and Delivery of Inks and Toners for Existing Printers of the different BISU Offices</t>
  </si>
  <si>
    <t>SUPPLY AND DELIVERY OF VARIOUS ELECTRICAL SPARE PARTS FOR 300 KW CUMMINS INTENDED FOR GIGANTES DPP</t>
  </si>
  <si>
    <t>SUPPLY &amp; DELIVERY OF VARIOUS MECHANICAL SPARE PARTS FOR 163KW PERKINS, MODEL NO.: 2006-TGI, SERIAL NO.: 8B27396U86337U INTENDED FOR SAN ANTONIO DPP</t>
  </si>
  <si>
    <t>74617 - PHYSICAL &amp; CHEMICAL ANALYSIS OF PRODUCTION WELL</t>
  </si>
  <si>
    <t>PROCUREMENT OF DATABASE SERVER</t>
  </si>
  <si>
    <t>Supply and Delivery of Assorted and Common Office Supplies and Devices (Re-bid)</t>
  </si>
  <si>
    <t>20KB0178   Construction/Completion of Multi-Purpose Building, Brgy. Libertad, Quezon, Bukidnon</t>
  </si>
  <si>
    <t>SUPPLY AND DELIVERY OF  VARIOUS MECHANICAL SPARES INTENDED PANAY MINIGRID</t>
  </si>
  <si>
    <t>Procurement of Construction Materials for Multipurpose Drying Pavement (MPDP)</t>
  </si>
  <si>
    <t>1 unit High Speed Drill System</t>
  </si>
  <si>
    <t>Rehabilitation of Barangay and Municipal Roads</t>
  </si>
  <si>
    <t>SUPPLY &amp; DELIVERY OF VARIOUS MECHANICAL SPARE PARTS FOR 300KW CUMMINS, MODEL NO.: KTA19-G2; SERIAL NO.: 41232997 INTENDED FOR SAN ANTONIO DPP</t>
  </si>
  <si>
    <t>PROCUREMENT OF NFA - REGION 1 2020 PESTICIDES REQUIREMENT (LEFT-OUT LOTS) (REBIDDING)</t>
  </si>
  <si>
    <t>SUPPLY AND DELIVERY OF DEVICES AND EQUIPMENTS FOR MUNICIPAL BIRTHING HOME, ALEOSAN, COTABATO</t>
  </si>
  <si>
    <t>Supply and Delivery of Laboratory Equipment for VSU External Campuses</t>
  </si>
  <si>
    <t>Supply, Installation and Commissioning  of One (1) Operating Light (LED dual ceiling mounted with camera and pendant surgical monitor)</t>
  </si>
  <si>
    <t>Supply, Delivery and Commissioning of Submersible Pumps and Motors, Motor Controller (VFD) and Accessories for PS No. 7</t>
  </si>
  <si>
    <t>(KMH) 2ND INVITATION TO BID FOR THE SUPPLY AND DELIVERY OF HOSPITAL EQUIPMENT</t>
  </si>
  <si>
    <t>20KB0177   Construction of Multi-Purpose Building, Brgy. Poblacion, Kadingilan, Bukidnon</t>
  </si>
  <si>
    <t>HO-IST20-009 - Subscription of Messaging and Collaboration Services</t>
  </si>
  <si>
    <t>HO-IST20-003 - Supply, Delivery, Installation, Configuration, Testing and Commissioning of CPU Hyper-Converged Integrated System (HCIS) Servers</t>
  </si>
  <si>
    <t>Rehabilitation of Old Municipal Cemetery (Phase II), San Antonio, Agoo, La Union</t>
  </si>
  <si>
    <t>PROCUREMENT OF VARIOUS VACCINES COBAC IB NO. 003 (G) S. 2020</t>
  </si>
  <si>
    <t>20CF0002-Geotechnical Survey/Soil Exploration of Fourteen (14) Construction of Flood Mitigation Structure and Three (3) Widening of Bridge</t>
  </si>
  <si>
    <t>Supply and Delivery of ICT Equipment for 2020</t>
  </si>
  <si>
    <t>Supply and Delivery of Pick-up Truck</t>
  </si>
  <si>
    <t>CONSTRUCTION OF FMR LOCATED AT SAN JUAN, AGOO, LA UNION</t>
  </si>
  <si>
    <t>Supply of Fuel for the Repair and Maintenance of Dueg, San Clemente Labney, Mayantoc Provincial Road - B-G-2020-087</t>
  </si>
  <si>
    <t>OPENING OF FMR LOCATED AT SAN JOSE NORTE, AGOO, LA UNION</t>
  </si>
  <si>
    <t>INVITATION TO BID: PROCUREMENT (SUPPLY AND DELIVERY) OF BRAND NEW MOTOR VEHICLES</t>
  </si>
  <si>
    <t>20OH0152-Local Program - Local   Infrastructure  Program - Buildings  and  other  Structures - Multi-Purpose/Facilities-Construction/Rehabilitation of Various Multi-purpose Building, Baseco Port Area,</t>
  </si>
  <si>
    <t>Procurement of Various Surveying, Printing and Geotagging Equipment for PRDP Project Preparation (Rebid) - B-G-2020-084</t>
  </si>
  <si>
    <t>Upgrading of BiPSU Electrical System Main Campus and Biliran Campus</t>
  </si>
  <si>
    <t>Procurement of Laboratory Supplies for use at the Laboratory Section of GOTMH, Camiling, Tarlac (Rebid) - B-G-2020-086</t>
  </si>
  <si>
    <t>20GKA0005 / 2020-06-0136  Supply and delivery of Office supplies not available in PS DBM for the 2nd Quarter of CY 2020 DPWH Bukidnon 1st DEO, Malaybalay City</t>
  </si>
  <si>
    <t>HFEP ITB 2020-001 Equipment</t>
  </si>
  <si>
    <t>Supply, Delivery and Commissioning of Submersible Pumps and Motors with Accessories for PS No. 4, PS N0. 9 and PS No. 9A</t>
  </si>
  <si>
    <t>Supply, Delivery and Commissioning of Submersible Pumps and Motors, Motor Controller (VFD) and Accessories for PS No. 8</t>
  </si>
  <si>
    <t>Procurement of ICT Equipment for the Relocation of the Servers to the New Server Room (Rebid) - B-G-2020-085</t>
  </si>
  <si>
    <t>PROCUREMENT OF FOOD PACKS FOR DISTRIBUTION TO HOUSEHOLDS IN THE MUNICIPALITY SEVERELY AFFECTED BY THE ONSLAUGHT OF TYPHOON TISOY IN DECEMBER 2019</t>
  </si>
  <si>
    <t>Procurement of medical Supplies</t>
  </si>
  <si>
    <t>Procurement of Drugs and Medicines for use at the Pharmacy Section of the IPHO-TPH (Rebid) - B-G-2020-083</t>
  </si>
  <si>
    <t>Procurement of Lynestrenol</t>
  </si>
  <si>
    <t>Procurement of Male Condom</t>
  </si>
  <si>
    <t>Procurement of Laboratory Supplies for use of the IPHO-TPH (Rebid) - B-G-2020-082</t>
  </si>
  <si>
    <t>Concrete Pav. Construction Cambigong &amp; Canorong Brgy Road</t>
  </si>
  <si>
    <t>PRE-BID CONFERENCE 23/June/2020 - Procurement of Goods: Supply and Installation of Panoramic/Scenic ELEVATOR for the use of CMO (Const'n &amp; Maint. of City Hall Bldg. of Tagum) (PR#100-20-06-0032)</t>
  </si>
  <si>
    <t>Improvement and Installation of Slaughter House Facility – MEO 2nd Bid</t>
  </si>
  <si>
    <t>Procurement of Fuel, Oil and Lubricants for Construction of Brash Dam - MEO</t>
  </si>
  <si>
    <t>Supply of Fuel for the Repair and Maintenance of Mababanaba, San Jose-Sta. Ines West, Sta. Ignacia Provincial Road - B-G-2020-088</t>
  </si>
  <si>
    <t>Consulting Services for Cabacanan Small Reservoir Irrigation Project-Detailed Engineering</t>
  </si>
  <si>
    <t>Procurement of Meals and Snacks for meetings, visitors and other activity - MO</t>
  </si>
  <si>
    <t>Procurement of Hygiene Kits with Pouch Bag for use during the implementation of Kits for Kids 7th Wave - B-G-2020-093</t>
  </si>
  <si>
    <t>Engagement of Consulting Services for PCC Market Study on Philippine Construction Industry</t>
  </si>
  <si>
    <t>Procurement of Reading Materials for use during the implementation of Library on Wheels - B-G-2020-092</t>
  </si>
  <si>
    <t>Procurement of Sevoflurane Inhalation for use at the Operating Room of the IPHO-TPH - B-G-2020-090</t>
  </si>
  <si>
    <t>Implementation of Essential Health Care Program - B-G-2020-094</t>
  </si>
  <si>
    <t>(PA) INVITATION TO BID FOR THE SUPPLY &amp; DELIVERY OF DESKTOP COMPUTERS, LAPTOP, NETWORK SWITCH, ETC. FOR THE  PROVINCIAL ADMINISTRATOR’S OFFICE--401,500.00</t>
  </si>
  <si>
    <t>Procurement of Siren and Installation for early warning system - MDRRMO</t>
  </si>
  <si>
    <t>19GL00111; P.R. No. 2020-06-061 DATED 06/04/2020: PROCUREMENT OF VARIOUS TIRES, FOR USE IN THE CORRECTIVE &amp; PREVENTIVE MAINTENANCE OF VARIOUS SERVICE VEHICLES ASSIGNED AT DPWH R.O. XI, UNDER THE EQUIP</t>
  </si>
  <si>
    <t>Supply, Delivery and Commissioning of Generator Set for PS No. 7 and No. 8</t>
  </si>
  <si>
    <t>Supply, Delivery and Implementation of HIMS of Tarlac Provincial Hospital (Rebid) - B-G-2020-081</t>
  </si>
  <si>
    <t>Rehabilitation of Brgy. Madanding FMR</t>
  </si>
  <si>
    <t>Procurement of Automated Immunoassay System for use at the Bloodbank Section of the IPHO-TPH - B-G-2020-089</t>
  </si>
  <si>
    <t>INVITATION TO BID FOR THE Procurement Of Energy Various ICT Equipment under the DOE CY2020 ISSP</t>
  </si>
  <si>
    <t>REHABILITATION OF BARANGAY ROAD</t>
  </si>
  <si>
    <t>Procurement of Audio Visual Production Set-up Bundle</t>
  </si>
  <si>
    <t>SUPPLY &amp; DELIVERY OF VARIOUS MECHANICAL SPARE PARTS FOR 150KW CUMMINS.  MODEL 6CT, 6CTA 8.3; SERIAL NO.: 21283036 INTENDED FOR MARIPIPI DPP</t>
  </si>
  <si>
    <t>INVITATION TO BID FOR THE Procurement of Energy Various ICT Equipment and Corel Draw Graphics Software under the DOE Locally Funded Philippine Conventional Energy Contracting Program</t>
  </si>
  <si>
    <t>SUPPLY &amp; DELIVERY OF VARIOUS MECHANICAL SPARE PARTS FOR 100KW PERKINS, MODEL NO.: 1006-TAG; ENGINE TYPE: 2330/1500; SERIAL NO.: YB37574 INTENDED FOR ALMAGRO DPP</t>
  </si>
  <si>
    <t>PR No. 2020-02-0182-MAIN-Supply and Delivery of Stenograph Machine for Stenograph Laboratory of CBAS</t>
  </si>
  <si>
    <t>SUPPLY AND DELIVERY OF VARIOUS ELECTRICAL SPARES INTENDED FOR BOHOL MINI GRID I</t>
  </si>
  <si>
    <t>Supply, Installation and Commissioning of One (1) unit Operating Table (Electric-Motorized Type)</t>
  </si>
  <si>
    <t>CY 2020 Basic Educational Facilities Fund (BEFF) - Construction of 4 Storey, 8 Classrooms, San Vicente Elementary School, Camp 8, San Vicente, Baguio City</t>
  </si>
  <si>
    <t>INVITATION TO BID FOR THE PROCUREMENT OF DOE INTERNET SUBSCRIPTION (POCKET-WIFI) UNDER THE DOE REGULAR FUND</t>
  </si>
  <si>
    <t>SUPPLY &amp; DELIVERY OF VARIOUS MECHANICAL SPARE PARTS FOR 163KW PERKINS, MODEL NO.: 2006-TGI, SERIAL NO.: 48 INTENDED FOR STO NINO DPP</t>
  </si>
  <si>
    <t>Procurement of Vehicle Spare Parts - OSP</t>
  </si>
  <si>
    <t>Construction of Ilihan Concrete Pavement, Barangay Ilihan, Macrohon, Southern Leyte</t>
  </si>
  <si>
    <t>Procurement of Vehicle Spare Parts &amp; Labor - OVG/OSP</t>
  </si>
  <si>
    <t>20CSN012; CONSULTING SERVICES FOR THE GEOTECHNICAL AND GEOLOGICAL SURVEY/ INVESTIGATIONS FOR THE CONSTRUCTION OF STA. JOSEFA BRIDGE (PARALLEL) ALONG NRJ CUEVAS- SAMPAGUITA ROAD, AGUSAN DEL SUR</t>
  </si>
  <si>
    <t>ITB-140 Installation of Fire Sprinkler, Fire Detection and Alarm System,  Nasipit District Hospital, Nasipit, Agusan del Norte (REBID)</t>
  </si>
  <si>
    <t>Concreting of Soro-Soro-Hanginan Barangay Road, Maasin City, Southern Leyte</t>
  </si>
  <si>
    <t>Procurement of Office Supplies for use of different offices of the Provincial Government of Tarlac - B-G-2020-091</t>
  </si>
  <si>
    <t>Reblocking of St. Bernard Municipal Road, Barangay Himatagon, St. Bernard, Southern Leyte</t>
  </si>
  <si>
    <t>20KB0175   Construction of Covered Court, Brgy. Kalumihan, Kitaotao, Bukidnon</t>
  </si>
  <si>
    <t>Completion/Concreting of Barangay Road, Brgy. Lumbog, Hinunangan, Southern Leyte</t>
  </si>
  <si>
    <t>Construction of San Ramon CHB Canal, Barangay San Ramon, Bontoc, Southern Leyte</t>
  </si>
  <si>
    <t>Concreting of Dagsa Barangay Road, Barangay Dagsa, Sogod, Southern Leyte</t>
  </si>
  <si>
    <t>Procurement of Catering Services &amp; Venue - Lot 1 - Catering services - PDRRMO</t>
  </si>
  <si>
    <t>Procurement of Greenhouse-Materials &amp; Installation  with complete Accessories &amp; Irrigation Facilities - PAGSO</t>
  </si>
  <si>
    <t>Concreting of Pandan Road, Barangay Pandan, Sogod, Southern Leyte</t>
  </si>
  <si>
    <t>Procurement of Various Office Supplies - PGO</t>
  </si>
  <si>
    <t>Procurement of 1 Unit Chest Type Freezer - ADH</t>
  </si>
  <si>
    <t>Rehab/Improvement of Various Barangay Road(San Roque-Catigahan-Hinagbuan)</t>
  </si>
  <si>
    <t>Procurement of Various Housekeeping Supplies - OVG</t>
  </si>
  <si>
    <t>Procurement of Various IT Equipment and Supplies - OVG</t>
  </si>
  <si>
    <t>Procurement of Medical/Hospital Equipment  - ADH</t>
  </si>
  <si>
    <t>Procurement of Housekeeping Supplies - PDH</t>
  </si>
  <si>
    <t>PURCHASE OF MATERIALS FOR THE CONSTRUCTION OF CONCRETE PAVEMENT AROUND BARANGAY SITE</t>
  </si>
  <si>
    <t>Procurement of Various IT Equipment - ADMIN &amp; PSAO</t>
  </si>
  <si>
    <t>Procurement of Vehicle Spare Parts - SDH</t>
  </si>
  <si>
    <t>Fabrication &amp; Installation of PAIASO Shelves, Capitol Site, Asuncion, Maasin City, Southern Leyte</t>
  </si>
  <si>
    <t>Procurement of Engine Oil, Oil Filter &amp; Labor - PGO</t>
  </si>
  <si>
    <t>Procurement of Catering Services - PPO</t>
  </si>
  <si>
    <t>Construction of Sewer Treatment Plant and Drying Area at Slaughter House, Brgy. Guinhawa North, Tagaytay City</t>
  </si>
  <si>
    <t>Supply and Installation of Renewable, Clean Solar Powered Streetlights &amp; Other Related Works Along Lipa-Alaminos Road (80 Watts LED, Integrated Solar Streetlights)</t>
  </si>
  <si>
    <t>Procurement of IT and Office Equipment - Lot 2 - Office Equipment - PAIASO</t>
  </si>
  <si>
    <t>Rehabilitation of Concrete Pavement</t>
  </si>
  <si>
    <t>Procurement of Various Animal Feeds-06-026(AA)ProVet</t>
  </si>
  <si>
    <t>Procurement of Machinery &amp; Equipment for ESSU Can-Avid use PR#20-06-091</t>
  </si>
  <si>
    <t>“Acquisition of One (1) Unit Supply, Delivery and Installation of Gas Chromatography-Mass Spectrometry (GCMS)”</t>
  </si>
  <si>
    <t>PROCUREMENT OF VEHICLE (SB)</t>
  </si>
  <si>
    <t>PROCUREMENT OF VARIOUS FRUITS SEEDLINGS FOR THE SUSTAINABLE LAND RESOURCE MANAGEMENT APPROACH (SLRMA) FOR AGRI-ENVIRONMENTAL DEVELOPMENT OF UPLANDS AND HILLY LANDS AT SITIO NANGKA, PUNTIAN, SUMILAO, B</t>
  </si>
  <si>
    <t>SUPPLY &amp; DELIVERY OF VEGETABLE SEEDS FOR THE ESTABLISHMENT OF HOPE GARDENS</t>
  </si>
  <si>
    <t>Hospital/Medical Equipment for the use of Naujan Community Hospital</t>
  </si>
  <si>
    <t>Q-092-20 UPGRADING OF FIBER LINE WITH WI-FI AND VOICE OVER IP WITH HARDWARE</t>
  </si>
  <si>
    <t>“Acquisition of One (1) Lot Supply and Delivery of Various Security Equipment”</t>
  </si>
  <si>
    <t>REHABILITATION OF EVACUATION CENTER</t>
  </si>
  <si>
    <t>ITB 20-0064 - Supply and Delivery of 71 units Television, LED, Smart TV.</t>
  </si>
  <si>
    <t>Concreting of Pathway with Line Canal - ITB 039-2020 GQ</t>
  </si>
  <si>
    <t>Procurement of Survey Equipment - PEO</t>
  </si>
  <si>
    <t>Procurement of Various Medicines and Vitamins - PHSO</t>
  </si>
  <si>
    <t>Construction supplies</t>
  </si>
  <si>
    <t>PROCUREMENT OF DIESOLINE (FOR LGU USE)</t>
  </si>
  <si>
    <t>Construction Materials and Supplies for Provision of Cement and Painting Materials to Various Schools Provincewide</t>
  </si>
  <si>
    <t>Furniture to be used/installed in the executive building</t>
  </si>
  <si>
    <t>Payment for Security Service for the period of July 2020 to December 2020 at San Pablo City General Hospital, San Pablo City.</t>
  </si>
  <si>
    <t>SUPPLY, DELIVERY &amp; INSTALLATION OF CALAMITY RELATED ALARM &amp; SECURITY MONITORING SYSTEM</t>
  </si>
  <si>
    <t>CONSTRUCTION OF SIKLING FOOTBRIDGE BARANGAY LATANG</t>
  </si>
  <si>
    <t>IMPROVEMENT OF MUNICIPAL IP HALL GROUND</t>
  </si>
  <si>
    <t>Procurement of Various Machinery and Equipment - PEO ENGINEERING</t>
  </si>
  <si>
    <t>ITB 20-0062 - Supply and Delivery of 7,000 bags Cement, Portland, Quick Dry &amp; etc.</t>
  </si>
  <si>
    <t>CONSTRUCTION OF ISOLATION FACILITY BUILDING</t>
  </si>
  <si>
    <t>CONSTRUCTION OF MULTI-PURPOSE HALL AT BRGY SISIMON</t>
  </si>
  <si>
    <t>CONSTRUCTION OF MULTI-PURPOSE HALL AT BRGY STA. CRUZ</t>
  </si>
  <si>
    <t>ITB 20-0063 - Supply and Delivery of 5 drums Hydraulic Oil, AW 68 &amp; etc.</t>
  </si>
  <si>
    <t>Procurement of Various Housekeeping Supplies - ADMIN</t>
  </si>
  <si>
    <t>Installation of Street Lights along E-Poblacion - Manaba, Garcia-Hernandez, Bohol</t>
  </si>
  <si>
    <t>IB-05-0399-20HRND SUPPLY AND DELIVERY OF ESPRESSO MACHINE (HRND)</t>
  </si>
  <si>
    <t>CONCRETING OF BARANGAY STREET, Brgy. 08, Can-avid Eastern Samar</t>
  </si>
  <si>
    <t>Sporting Goods for distribution to Outstanding pupils and students in public and private schools in Oriental Mindoro</t>
  </si>
  <si>
    <t>Procurement of Food Stuff PR # 2020-06-04-178</t>
  </si>
  <si>
    <t>Procurement of Various Equipment and Furniture and Fixtures for Instructional use of BSHM - Talisay Campus</t>
  </si>
  <si>
    <t>One (1) Lot – Operation and Maintenance Services of Air-conditioning System at ITIOD Data Center, BSP Head Office, as per BSP Terms of Reference</t>
  </si>
  <si>
    <t>Books, Maps and Other Publications for Distribution to all Barangays of Oriental Mindoro</t>
  </si>
  <si>
    <t>CONCRETING OF A. BONIFACIO ST. JCT QUIRINO ST. AND ROXAS ST.</t>
  </si>
  <si>
    <t>PROPOSED RENOVATION OF CAMPUS PLANNING  DEVELOPMENT AND MAINTENANCE OFFICE UNIVERSITY OF THE PHILIPPINES MANILA</t>
  </si>
  <si>
    <t>Purchase of construction materials and supplies with labor on pakyaw or takay basis supplied by local laborers for the Repair/Improvement/Construction of Metro Sindangan Canal Phase 2</t>
  </si>
  <si>
    <t>Invitation to Apply for Eligibility and to Bid for IMPROVEMENT OF BGRY. POBLACION LEVEL II WATER SYSTEM, BALENO, MASBATE</t>
  </si>
  <si>
    <t>CONSTRUCTION OF PROPER KALEO DRAINAGE</t>
  </si>
  <si>
    <t>PROCUREMENT OF HRIS AND PAYROLL SYSTEM</t>
  </si>
  <si>
    <t>CONSTRUCTION OF EVACUATION CENTER (COMPLETION) @ MUNICIPAL COMPOUND, BURGOS, ISABELA</t>
  </si>
  <si>
    <t>CONCRETING OF BURGOS – QUIRINO PROVINCIAL ROAD @ BURGOS, ISABELA</t>
  </si>
  <si>
    <t>Procurement of Various Catering Services - OVG/OSP</t>
  </si>
  <si>
    <t>Vehicle for use of Bulalacao Community Hospital (BCH)</t>
  </si>
  <si>
    <t>PRINTING OF UNIVERSITY YEARBOOK (COCOON 2018)</t>
  </si>
  <si>
    <t>Payment for Janitorial Service for the period of July 2020 to December 2020 at San Pablo City General Hospital, San Pablo City.</t>
  </si>
  <si>
    <t>Procurement of Technical and Scientific Equipment (Lot 5. Dual powered solar dryer)</t>
  </si>
  <si>
    <t>Procurement of Various Agricultural Supplies - PAGSO</t>
  </si>
  <si>
    <t>Procurement of Technical and Scientific Equipment (Lot 6. Water retort chamber with accessories)</t>
  </si>
  <si>
    <t>Invitation to Apply for Eligibility and to Bid for IMPROVEMENT OF VALDEMORO SPORTS COMPLEX: CONSTRUCTION OF MUSIC ROOM</t>
  </si>
  <si>
    <t>Procurement of Technical and Scientific Equipment (Lot 3. Automated rain gauge and Water level monitoring)</t>
  </si>
  <si>
    <t>PROCUREMENT OF TECHNICAL AND SCIENTIFIC EQUIPMENT FOR RESEARCH AND DEVELOPMENT ACTIVITIES</t>
  </si>
  <si>
    <t>Procurement of Technical and Scientific Equipment (Lot 4. Small smoke house)</t>
  </si>
  <si>
    <t>Procurement of Various Catering Services - PGO</t>
  </si>
  <si>
    <t>Procurement of Various IT Supplies  - ADH</t>
  </si>
  <si>
    <t>REPOSTING  FOR MACHINERY  &amp;  EQUIPMENT OUTLAY FOR THE PURCHASE OF VARIOUS EQUIPMENT FOR THE USE OF SCIENCE LABORATORY - SKSU TACURONG CAMPUS</t>
  </si>
  <si>
    <t>Construction of Mini-Library</t>
  </si>
  <si>
    <t>Design and Build for the Construction of the Proposed Sewerage Treatment Plant of the Municipality of Coron.</t>
  </si>
  <si>
    <t>CONCRETING OF ROAD AT CASANUEVA-BIGA (PHASE 4)</t>
  </si>
  <si>
    <t>Upgrading of Staboardside Main Engine of BRP Hydrographer Ventura</t>
  </si>
  <si>
    <t>Procurement of Technical and Scientific Equipment (Lot 2. Science Laboratory Equipment)</t>
  </si>
  <si>
    <t>Design and Build of 3-Storey Solar Powered Gender-Neutral Student Dormitory Building</t>
  </si>
  <si>
    <t>REHABILITATION / IMPROVEMENT OF POTABLE WATER SYSTEM - LEVEL II AT CORONON, DAVAO DEL SUR</t>
  </si>
  <si>
    <t>PRE-BID CONFERENCE 23/June/2020 - Procurement of Goods: Consolidated Office Supplies 2020 (2nd Quarter) (PR#100-20-05-0095, 100-20-05-0110, 100-20-05-0111, 100-20-05-0182)</t>
  </si>
  <si>
    <t>Procurement of Catering Services, Venue/Rental, Training Supplies &amp; Materials and Agricultural Supplies - Lot 2 - Venue/Rental</t>
  </si>
  <si>
    <t>Procurement of Technical and Scientific Equipment (Lot 1. Speech Lab. [additional])</t>
  </si>
  <si>
    <t>Procurement of Catering Services, Venue/Rental, Training Supplies &amp; Materials and Agricultural Supplies - Lot 1 - Catering Services - PAGSO</t>
  </si>
  <si>
    <t>Procurement of Catering Services, Venue/Rental, Training Supplies &amp; Materials and Agricultural Supplies - Lot 4 - Agricultural Supplies - PAGSO</t>
  </si>
  <si>
    <t>Procurement of Red Evacuated Tube under IB No. 2020-189</t>
  </si>
  <si>
    <t>1 Lot Fit Out Works of 2nd Floor Sun Plaza Building</t>
  </si>
  <si>
    <t>Supply and Delivery of One (1) Unit Brand New Rescue Vehicle (Ambulance)</t>
  </si>
  <si>
    <t>Consultancy and Training for Comprehensive Land Use Plan (CLUP) and Zoning Ordinance Formulation/Revision</t>
  </si>
  <si>
    <t>REPOSTING  FOR MACHINERY  &amp;  EQUIPMENT OUTLAY FOR THE PURCHASE OF VARIOUS EQUIPMENT FOR THE SCIENCE LABORATORY SKSU-KALAMANSIG CAMPUS</t>
  </si>
  <si>
    <t>CONSTRUCTION AND IMPROVEMENT OF CANAL LINING AT JULUGAN I</t>
  </si>
  <si>
    <t>Procurement of Various Catering Services &amp; Training Materials - Lot 1 - Catering Services - PAGSO</t>
  </si>
  <si>
    <t>Procurement of Window Blinds and Glass Sticker - Lot 2 - Glass Sticker</t>
  </si>
  <si>
    <t>SUPPLY, DELIVERY, INSTALLATION OF SOLAR STREET LIGHTS FOR VARIOUS BARANGAY'S OF BUKIDNON (ITB No. 2020-157)-(sp-maramara, sp dinlayan and sp-gayon)</t>
  </si>
  <si>
    <t>REHABILITATION OF CALANASAN SPORTS &amp; CULTURAL/EVACUATION CENTER</t>
  </si>
  <si>
    <t>DETAILED ENGINEERING  STUDY/DESIGN  OF WARAS  SRIP,  IRIGA CITY, CAMARINES SUR</t>
  </si>
  <si>
    <t>Supply and Delivery of Two (2) Units Brand New Elf Trucks of the Municipality of Tabuelan, Cebu</t>
  </si>
  <si>
    <t>Procurement of Fuel, Oil and Lubricants - PAGSO</t>
  </si>
  <si>
    <t>Procurement of Troclosene Sodium under IB No. 2020-176</t>
  </si>
  <si>
    <t>Procurement of Various Catering Services &amp; Training Materials - Lot 2 - Training Materials</t>
  </si>
  <si>
    <t>20PJ0056: Repair/ Maintenance of DPWH Building Satellite Building, Gate and Perimeter Wall, Banaue, Ifugao</t>
  </si>
  <si>
    <t>Procurement of Various Catering Services - PAGSO</t>
  </si>
  <si>
    <t>IMPROVEMENT OF POB. EAST ACCESS ROAD</t>
  </si>
  <si>
    <t>Procurement of Technical and Scientific Equipment (Lot 7. Chest type freezer/chiller, Ice cream machine, etc.)</t>
  </si>
  <si>
    <t>20PJ0055: Repair/ Maintenance of DPWH Building, Alfonso Lista, Ifugao</t>
  </si>
  <si>
    <t>ITB NO. GOP/20-DSWD-041 - Provision of Multi-Year Contract for the Hiring of Service Provider for the Preventive Maintenance of the Passenger Elevator at DSWD - Central Office for CY 2020-2022</t>
  </si>
  <si>
    <t>RIPRAPPING OF FLOOD CONTROL @ SITIO KATAGBAKAN BRGY. GASANG, MABINI, BATANGAS</t>
  </si>
  <si>
    <t>ROAD CONSTRUCTION WITH DRAINAGE CANAL AT PUROK 8A, BACACA, BARANGAY 19-B, POBLACION DISTRICT, DAVAO CITY</t>
  </si>
  <si>
    <t>Procurement of Catering Services, Venue/Rental, Training Supplies &amp; Materials and Agricultural Supplies - Lot 3 - Training Supplies - PAGSO</t>
  </si>
  <si>
    <t>Construction of Flood Control, Barangay San Jose (Additional Allocation)</t>
  </si>
  <si>
    <t>DREDGING OF CAYAPA RIVER</t>
  </si>
  <si>
    <t>Procurement of OR Equipment (HFEP)</t>
  </si>
  <si>
    <t>PRE-PRINTED ID CARDS (CY2020)</t>
  </si>
  <si>
    <t>Procurement of Various Housekeeping Supplies  - PGO</t>
  </si>
  <si>
    <t>Procurement of Air-Conditioner (City Engineering Office)</t>
  </si>
  <si>
    <t>the Procurement of Various Planting Materials and Fertilizers - Lot 2 - Fertilizers - PAGSO</t>
  </si>
  <si>
    <t>Procurement of Technical and Scientific Equipment (Lot 2. Spectrophotometer, Digital sugar refractometer, etc.)</t>
  </si>
  <si>
    <t>CONCRETING OF POJO-HATAY-HATAY ROAD (Bugasong, Antique)/IB. NO. K-2020-056(SC)</t>
  </si>
  <si>
    <t>IMPROVEMENT OF BRGY. BALAWEG-MAPISI CIS</t>
  </si>
  <si>
    <t>IMPROVEMENT ALONG ILOCOS SUR-ABRA ROAD</t>
  </si>
  <si>
    <t>20MH0085 - Concreting of Upper Balayan to Kinadao, Barangay Badiangon, Palimbang, Sultan Kudarat</t>
  </si>
  <si>
    <t>20GMH048 - Supply/Delivery of Diesel Tire and Battery for use of Service Vehicle assigned at the Planning and Design Section, DPWH-Sultan Kudarat 2nd District Engineering Office</t>
  </si>
  <si>
    <t>20GD00003: PROVSION OF 14 SECURITY SERVICES AT DPWH REGIONAL OFFICE NO. IV-A, EDSA, QUEZON CITY FOR   SIX (6) MONTHS</t>
  </si>
  <si>
    <t>20PJ0054: Repair/ Rehabilitation of Damage Existing Portland Cement Concrete Pavement (PCCP) along Banaue- Mayoyao- Alfonso Lista- Isabela Boundary Road, K0430+400- K0431+500, (Intermittent Section)</t>
  </si>
  <si>
    <t>REPAIR AND IMPROVEMENT OF BFP-NHQ MAIN BUILDING (Rehabilitation of Sanitary Line System)</t>
  </si>
  <si>
    <t>REPAIR AND IMPROVEMENT OF PERIMETER FENCE,SEPARATOR WALL,MAIN GATE AND PEDESTRIAN GATE</t>
  </si>
  <si>
    <t>Supply of Services for the Conduct of Various In-House Trainings/Courses, as per BSP Terms of References:</t>
  </si>
  <si>
    <t>PURCHASE OF MEDICINES AND MEDICAL SUPPLIES</t>
  </si>
  <si>
    <t>SUPPLY, DELIVERY, INSTALLATION, CABLING, CONFIGURATION AND COMMISSIONING OF ICT EQUIPMENT FOR OPERATION CENTERS, REGION 2, 10, 12 AND CARAGA</t>
  </si>
  <si>
    <t>20MH0103 - Concreting Local Road, Purok Narra, Brgy.Poblacion, Sultan Kudarat</t>
  </si>
  <si>
    <t>Procurement of Various Catering Services, Venue &amp; Accommodation - Lot 2 - Venue - PVET</t>
  </si>
  <si>
    <t>Invitation to Bid for the Purchase of  Brand New Motor Vehicle for the use of SB Office</t>
  </si>
  <si>
    <t>Procurement of Various Catering Services, Venue &amp; Accommodation - Lot 1 - Catering Services - PVET</t>
  </si>
  <si>
    <t>Procurement of One (1) Unit Motor Service Vehicle - PHSO</t>
  </si>
  <si>
    <t>Contract ID No. 20NC0126 - Construction of Satellite Materials Laboratory Building, Agusan del Sur 2nd District Engineering Office, San Francisco, Agusan del Sur</t>
  </si>
  <si>
    <t>Procurement of Various Brand New Aircondition with Installation  - SOYMPH, PAIASO, SDH &amp; ADH</t>
  </si>
  <si>
    <t>Procurement of Battery (12 Volts 9 Plates) - SOYMPH</t>
  </si>
  <si>
    <t>Supply and Delivery of Various construction Materials</t>
  </si>
  <si>
    <t>CONSTRUCTION OF FLUE CURING BARN</t>
  </si>
  <si>
    <t>CONCRETING OF SITIO ALIGTUS-IGPALGE ROAD, BARBAZA (Barbaza, Antique)/IB. NO. K-2020-049(SC)</t>
  </si>
  <si>
    <t>Contract ID No. 20NC0127 - Construction of Multi-Purpose Building, Brgy. San Isidro, San Francisco, Agusan del Sur</t>
  </si>
  <si>
    <t>PURCHASE OF MONOBLOC CHAIRS</t>
  </si>
  <si>
    <t>20GJC0193 – 8 units Desktop Computer etc.</t>
  </si>
  <si>
    <t>Procurement of Various Catering Services, Venue &amp; Accommodation - Lot 3 - Accommodation - PVET</t>
  </si>
  <si>
    <t>Procurement of Various Food Stuff - PHSO</t>
  </si>
  <si>
    <t>Concreting &amp; Drainage Rehabilitation of J.M. Ceniza St., Looc, Mandaue City (21-2020)</t>
  </si>
  <si>
    <t>SO-SPU20-006 - Supply and Delivery of Various Personnel Protective Equipment (PPE) for SPUG Plant Personnel</t>
  </si>
  <si>
    <t>AGR-20-0668-B Purchase of Water Supply Accessories</t>
  </si>
  <si>
    <t>CONSTRUCTION OF SAFIANGON-CHALLOS FOOTBRIDGE</t>
  </si>
  <si>
    <t>AGR-19-1448-B  Construction of Crab Hatchery</t>
  </si>
  <si>
    <t>CONSTRUCTION OF PESKONG DRAINAGE</t>
  </si>
  <si>
    <t>SUPPLY OF DIESOLINE AND SPL GAS FOR THE CONSUMPTION OF THE DIFFERENT VEHICLE/OFFICES OF LGU-MOLAVE, ZDS</t>
  </si>
  <si>
    <t>2860-20 Construction of Convention Center, Phase 2, (Northern Quezon Auditorium), Brgy. Comon, Infanta, Quezon - PEO</t>
  </si>
  <si>
    <t>CONSTRUCTION OF SA-ONG COVERED DRAINAGE</t>
  </si>
  <si>
    <t>PROCUREMENT OF THE CONSTRUCTION  OF DOH REGIONAL OFFICE VI BUILDING, PHASE 2 DOH-REGIONAL OFFICE VI BRGY. BOLONG OESTE, STA. BARBARA, ILOILO IB NO.2020-06-001I</t>
  </si>
  <si>
    <t>Invitation to Bid for the Catering Services for Various Activities of the HRM Office and Mayor’s Office</t>
  </si>
  <si>
    <t>Multi purpose vehicle(surplus)</t>
  </si>
  <si>
    <t>Invitation to Bid for the Improvement of School at Pandac Elementary School (Extension of Covered Court, Roofing and Ceiling of Classrooms)</t>
  </si>
  <si>
    <t>Invitation to Bid for the Purchase of one (1) unit Fully Reconditioned Double Cab Fire Truck of the MDRRM Office</t>
  </si>
  <si>
    <t>Invitation to Bid for the Improvement of School at Aganan-Ungka Elementary School (Elevation of Classroom, Canteen and Pathways)</t>
  </si>
  <si>
    <t>One (1) Lot – Subscription to e-Learning Program on Bankwide and Leadership &amp; Management (L&amp;M) Courseware, as per BSP Terms of Reference</t>
  </si>
  <si>
    <t>Procurement of One (1) Unit Service Veicle for use of the City Government of Tarlac. B2020-075-A</t>
  </si>
  <si>
    <t>CONTSRUCTION/IMPROVEMENT/REHABILITATION OF LINE CANAL &amp; PATHWA7Y @ BRGY. BULACAN, MABINI, BATANGAS</t>
  </si>
  <si>
    <t>CONSTRUCTION OF MULTI-PURPOSE HALL (Brgy. Inabasan Sur, Hamtic, Antique )/IB. NO. K-2020-028(SC)</t>
  </si>
  <si>
    <t>SO-OPD20-012 - Seven (7) New Areas in Bohol under the Off-Grid Electrification Project</t>
  </si>
  <si>
    <t>CONSTRUCTION OF MULTI-PURPOSE CENTER/EVACUATION CENTER IN BARANGAY MANLACBO, VALDERRAMA (Brgy. Manlacbo, Valderrama, Antique)/IB. NO. K-2020-024(SC)</t>
  </si>
  <si>
    <t>CONSTRUCTION OF MULTI-PURPOSE ALL WEATHER FACILITY</t>
  </si>
  <si>
    <t>Drilling of One (1) Production Well</t>
  </si>
  <si>
    <t>Concrete Paving of Poblacion-Jao-asan Provincial Road, Magdiwang, Romblon</t>
  </si>
  <si>
    <t>PROCUREMENT FOR THE SUPPLY AND DELIVERY OF GC COLUMNS FOR USE IN LABORATORIES OF PLANT PRODUCT SAFETY SERVICES DIVISION (PPSSD)</t>
  </si>
  <si>
    <t>Repair of Sitio Tinap-an Bridge Brgy. Lanas, San Jose, Romblon</t>
  </si>
  <si>
    <t>Invitation to Bid for the Purchase of Furniture and Fixtures for Mayor’s Office and MENR Office</t>
  </si>
  <si>
    <t>Completion of Cajidiocan Sports Complex Concrete Bleacher Cajidiocan, Romblon</t>
  </si>
  <si>
    <t>Construction of Maternity Half-Way House, San Jose District Hospital, Poblacion, San Jose, Romblon</t>
  </si>
  <si>
    <t>Concrete Paving of Provincial Road to Public Cemetery (Additional Fund), Looc, Romblon</t>
  </si>
  <si>
    <t>Repair of Sitio Sinongtan Bridge Brgy. Lanas, San Jose, Romblon</t>
  </si>
  <si>
    <t>Invitation to Bid for the Improvement of School at Pagsanga-an Elementary School (Repair of Ceiling and Electrical Wiring in Library and Computer Room, Improvement of H.E. Room and Extension of School</t>
  </si>
  <si>
    <t>Construction of Perimeter Fence (Phase I) for the Bureau of Jail Management and Penology (BJMP) Facility at Barangay Lonos (Sitio Wireless) Romblon, Romblon</t>
  </si>
  <si>
    <t>SUPPLY OF LABOR AND MATERIALS FOR INSTALLATION OF TOP ROOFING OF NPQSD-CENTRAL OFFICE BUILDING (NPQSD)</t>
  </si>
  <si>
    <t>PROCUREMENT FOR THE SUPPLY AND DELIVERY OF VARIOUS LABORATORY EQUIPMENT FOR USE OF CENTRAL POST ENTRY QUARANTINE STATION OF NATIONAL PLANT QUARANTINE SERVICES DIVISION (NPQSD)</t>
  </si>
  <si>
    <t>IB No. 2006-320 Proc. of Infra (Road Concreting of F. Dagohoy Circumferential Road (J.A. Clarin St. – C. Darunday St.)</t>
  </si>
  <si>
    <t>Procurement of Various Planting Materials and Fertilizers - Lot 1 - Planting Materials - PAGSO</t>
  </si>
  <si>
    <t>DEVELOPING THE ROOT CROPS INDUSTRY OF THE AHIN FARMERS DEVELOPMENT ORGANIZATION INCORPORATED – LOT 1</t>
  </si>
  <si>
    <t>PROVISION OF VEGETABLE BREAD PROCESSING FACILITIES</t>
  </si>
  <si>
    <t>Enhancing the Livelihood of Ay-aywanan Organization Incorporated Through the Provision of Food Processing Facilities and Equipment</t>
  </si>
  <si>
    <t>20GMH047 - Supply/Delivery of Diesel Fuel and Engine Oil for use of service vehicle assigned at the Planning and Design Section, DPWH-Sultan Kudarat 2nd District Engineering Office</t>
  </si>
  <si>
    <t>Riprapping of Provincial Road Poblacion, Sta. Fe, Romblon</t>
  </si>
  <si>
    <t>Repair/Rehabilitation of Main Building and Completion of Wards at Tablas Island District Hospital (TIDH) San Agustin, Romblon</t>
  </si>
  <si>
    <t>COFFEE PROCESSING PROJECT OF THE LUBU-ONG BIMMOBLE ORGANIZATION – LOT 1</t>
  </si>
  <si>
    <t>STRENGTHENING OF THE WEAVING PROJECT OF HUNGDUAN WEAVER’S ASSOCIATION – LOT 2</t>
  </si>
  <si>
    <t>PROVISION OF COFFEE PRE-PROCESSING FACILITIES</t>
  </si>
  <si>
    <t>STRENGTHENING OF THE WEAVING PROJECT OF HUNGDUAN WEAVER’S ASSOCIATION – LOT 1</t>
  </si>
  <si>
    <t>DEVELOPING THE HANDICRAFT INDUSTRY OF THE AGAYAP AGRICULTURE AND LIVELIHOOD ORGANIZATION – LOT 3</t>
  </si>
  <si>
    <t>INVITATION TO BID FOR CONSTRUCTION OF PIGKALAGAN – MATENGEN ROAD</t>
  </si>
  <si>
    <t>DEVELOPING THE HANDICRAFT INDUSTRY OF THE AGAYAP AGRICULTURE AND LIVELIHOOD ORGANIZATION – LOT 1</t>
  </si>
  <si>
    <t>Developing the Food Processing Industry of the Baang Women’s Organization and Rural Improvement Club – Lot 2</t>
  </si>
  <si>
    <t>COFFEE PROCESSING PROJECT OF THE LUBU-ONG BIMMOBLE ORGANIZATION – LOT 3</t>
  </si>
  <si>
    <t>DEVELOPING THE FOOD PROCESSING INDUSTRY OF THE BAANG WOMEN’S ORGANIZATION AND RURAL IMPROVEMENT CLUB – LOT 1</t>
  </si>
  <si>
    <t>Concrete Paving of Farm to Market Road, Gutivan, Cajidiocan, Romblon</t>
  </si>
  <si>
    <t>Completion of Food Court    Poblacion, Cajidiocan, Romblon</t>
  </si>
  <si>
    <t>DEVELOPING THE ROOT CROPS INDUSTRY OF THE AHIN FARMERS DEVELOPMENT ORGANIZATION INCORPORATED – LOT 3</t>
  </si>
  <si>
    <t>INVITATION TO BID FOR CONSTRUCTION OF TUDOK - PALAO ROAD</t>
  </si>
  <si>
    <t>Developing the Handicraft Industry of the Agayap Agriculture and Livelihood Organization – Lot 2</t>
  </si>
  <si>
    <t>CONTRACT ID: 20-06-084 - SUPPLY, DELIVERY,INSTALLATION, TESTING AND COMMISSIONING OF VARIOUS MEDICAL EQUIPMENT</t>
  </si>
  <si>
    <t>INVITATION TO BID FOR CONSTRUCTION OF MAGNO – BRGY. RENTI ROAD</t>
  </si>
  <si>
    <t>One (1) Lot – Hardware and Software Maintenance and Technical Support Services for the Endpoint Data Leakage Protection, as per BSP Terms of Reference and Service Level Agreement</t>
  </si>
  <si>
    <t>Repair/Improvement of Brgy. Water System Bachawan, San Agustin, Romblon</t>
  </si>
  <si>
    <t>INVITATION TO BID FOR CONSTRUCTION OF SENDITAN - SAMBOLAWAN ROAD</t>
  </si>
  <si>
    <t>Concrete Paving of Farm to Market Road, Cambalo, Cajidiocan, Romblon</t>
  </si>
  <si>
    <t>Site Development for Municipal Housing Project at Brgy. Poblacion San Agustin, Romblon</t>
  </si>
  <si>
    <t>Completion of Educ’l Facilities (Completion of Stage) at Tampayan Elementary School Magdiwang, Romblon</t>
  </si>
  <si>
    <t>Slope/Shore Protection of Barangay Pandan, Sta. Fe, Romblon</t>
  </si>
  <si>
    <t>COFFEE PROCESSING PROJECT OF THE LUBU-ONG BIMMOBLE ORGANIZATION – LOT 2</t>
  </si>
  <si>
    <t>Provision of Coffee Pre-Processing Facilities</t>
  </si>
  <si>
    <t>One (1) Lot – Software Subscription for the existing 3,560 HCL Domino Enterprise Processor Value Unit (PVU) licenses, as per BSP Terms of Reference</t>
  </si>
  <si>
    <t>INVITATION TO BID FOR OPENING/REHABILITATION OF FARM TO MARKET ROAD</t>
  </si>
  <si>
    <t>Slope Protection at Sitio Bagulayag, Tubigon, Ferrol, Romblon</t>
  </si>
  <si>
    <t>INVITATION TO BID FOR CONCRETING OF REBUKEN ROAD – TESDA ROAD</t>
  </si>
  <si>
    <t>REHABILITATION OF CAMBICANG MULTI-PURPOSE HALL, MARIGONDON, CAJIDIOCAN, ROMBLON</t>
  </si>
  <si>
    <t>REHABILITATION OF WATER SUPPLY SYSTEM LUMBANG WESTE, CAJIDIOCAN, ROMBLON</t>
  </si>
  <si>
    <t>PB PUR20-03-0308 SUPPLY, DELIVERY, COMMISSIONING AND INSTALLATION OF TELEPHONE VOICE AND DATA, VOICE BACKBONE AND NEW MAIN DISTRIBUTION FRAME (MDF) AT P-01 OBAS-ER AND DRUG TESTING FACILITY</t>
  </si>
  <si>
    <t>Provision of Coffee Processing Center and Facilities</t>
  </si>
  <si>
    <t>REHABILITATION OF MULTI-PURPOSE HALL LUMBANG ESTE, CAJIDIOCAN, ROMBLON</t>
  </si>
  <si>
    <t>CONSTRUCTION OF FMR-ILAYA MARIGONDON, CAJIDIOCAN, ROMBLON</t>
  </si>
  <si>
    <t>Construction of River Walk/Promenade, Poblacion, Madiwang, Romblon</t>
  </si>
  <si>
    <t>REHABILITATION OF MULTI-PURPOSE HALL LUMBANG WESTE, CAJIDIOCAN, ROMBLON</t>
  </si>
  <si>
    <t>PB BAC1-20-003 MANNING OF EXISTING CCTV MONITORING STATION – ONE (1) YEAR CONTRACT</t>
  </si>
  <si>
    <t>PB PUE20-03-0274 SUPPLY, DELIVERY, INSTALLATION AND TESTING OF ELECTROCARDIOGRAPH MACHINE, DIGITAL, MULTI- CHANNEL FOR ADULT AND  PEDIATRIC PATIENTS</t>
  </si>
  <si>
    <t>PB PUR20-04-0356 SUPPLY AND DELIVERY OF STEEL CABINET, BOOK SHELF TYPE for Medical Records Div., PGH</t>
  </si>
  <si>
    <t>REHABILITATION OF MULTI-PURPOSE HALL, LICO, CAJIDIOCAN, ROMBLON</t>
  </si>
  <si>
    <t>PB PUR20-03-0341  SUPPLY AND DELIVERY OF VARIOUS COMPUTERS AND PRINTERS</t>
  </si>
  <si>
    <t>PB PM20-010 COMPREHENSIVE PREVENTIVE MAINTENANCE SUPPORT SERVICES OF THE PGH SIEMENS HI-PATH 4000 IP-PBX EQUIPMENT</t>
  </si>
  <si>
    <t>Construction of Roofing in the Parking Area</t>
  </si>
  <si>
    <t>Furnishing of Construction Materials for Carol-an Dagyangaw SIP (CY 2019), Ayungon, Neg. Or.</t>
  </si>
  <si>
    <t>Procurement of Office Supplies for Different Offices</t>
  </si>
  <si>
    <t>PROVISION OF CITRUS PROCESSING EQUIPMENT AND FACILITIES</t>
  </si>
  <si>
    <t>CONTRACT ID: 20-06-085 - PROCUREMENT OF POLYETHYLENE NET / SCREEN</t>
  </si>
  <si>
    <t>Supply and Delivery of 10pcs Water Resistant 2-way Radio</t>
  </si>
  <si>
    <t>Supply and Delivery of Materials for Repair of Agriculture Office</t>
  </si>
  <si>
    <t>Supply and Delivery of Air Conditioner  for Sangguniang Bayan Office and Session Hall</t>
  </si>
  <si>
    <t>Retrofitting/Strengthening of Bridge 1 and Bridge 4, Caba and Naguilian</t>
  </si>
  <si>
    <t>Furnishing of Construction Materials for Carol-an Dagyangaw SIP, Ayungon, Neg. Or.</t>
  </si>
  <si>
    <t>Supply and Delivery of Materials for Installation of Municipal Streetlighting System</t>
  </si>
  <si>
    <t>Construction of Farmers' Multi-Purpose Hall-Naguimba</t>
  </si>
  <si>
    <t>Construction of Slope Protection - (Balot Section) Pila</t>
  </si>
  <si>
    <t>Continuation of Farmers' Multi-Purpose Hall-Lintic</t>
  </si>
  <si>
    <t>PB BAC1-20-013 SUPPLY AND DELIVERY OF CHEMICALS AND REAGENTS FOR 2020</t>
  </si>
  <si>
    <t>Supply and Delivery of IT Equipment for RHU</t>
  </si>
  <si>
    <t>ACQUISITION OF FORENSIC TOOLS AND EQUIPMENT FOR CYBERCRIME DIVISION (CCD)</t>
  </si>
  <si>
    <t>DEVELOPING THE ROOT CROPS INDUSTRY OF THE AHIN FARMERS DEVELOPMENT ORGANIZATION INCORPORATED – LOT 4</t>
  </si>
  <si>
    <t>Rehabilitation of FMR- (Cudiamat Section), Bagbagotot</t>
  </si>
  <si>
    <t>animal feeds</t>
  </si>
  <si>
    <t>Purchase of Fertilizer</t>
  </si>
  <si>
    <t>IB-01-0206-20 VPAFEA SUPPLY, DELIVERY AND INSTALLATION OF GENERATOR SET</t>
  </si>
  <si>
    <t>SUPPLY AND DELIVERY OF OFFICE EQUIPMENT</t>
  </si>
  <si>
    <t>security services</t>
  </si>
  <si>
    <t>PURCHASE OF ONE(1)UNIT MINI-DUMP TRUCK SURPLUS</t>
  </si>
  <si>
    <t>SUPPLY AND DELIVERY OF MOTORCYCLE VEHICLES</t>
  </si>
  <si>
    <t>IB-01-0186-20 COE-CE SUPPLY AND DELIVERY OF LABORATORY EQUIPMENT</t>
  </si>
  <si>
    <t>Procurement of PRDP Vehicle Tires Intended for Year 2020</t>
  </si>
  <si>
    <t>20CSA004: LIDAR DATA MAPPING AND PARCELLARY/ UTILITIES, FACILITIES/ TOPOGRAPHIC SURVEY FOR THE PROPOSED CONSTRUCTION OF MISSING LINK/NEW ROADS, SAN MANUEL (PANGASINAN)- ITOGON (BENGUET) ROAD</t>
  </si>
  <si>
    <t>Concreting of Road at Zone 5 Barangay Tondod</t>
  </si>
  <si>
    <t>COMPLETION OF MULTI-PURPOSE HALL (CES), CAMBALO, CAJIDIOCAN, ROMBLON</t>
  </si>
  <si>
    <t>20CN0149 - Retrofitting/Strengthening of Permanent Bridge – Aguang Br. (B03015LZ) along Baler – Casiguran Rd (Baler – Dinadiawan)</t>
  </si>
  <si>
    <t>Stock Room, Concoction Center, Vermi Compositing and Plant Nursery</t>
  </si>
  <si>
    <t>20CSA003: LIDAR DATA MAPPING AND PARCELLARY/ UTILITIES, FACILITIES/ TOPOGRAPHIC SURVEY FOR THE PROPOSED CONSTRUCTION OF MISSING LINK/NEW ROADS, BOLINAO-DASOL COASTAL ROAD, PANGASINAN</t>
  </si>
  <si>
    <t>Construction of Vermi Culture Facility and Wood Vinegar Facility</t>
  </si>
  <si>
    <t>Procurement of Various Materials, Fuel and Lubricants for the Implementation of Road Rehabilitation Program.</t>
  </si>
  <si>
    <t>Repair and Rehabilitation of Tarangnan Community Hospital</t>
  </si>
  <si>
    <t>Procurement of Labor, Materials and Spare Parts for the Repair of Various Office Air Conditions</t>
  </si>
  <si>
    <t>20CSDM03 – Conduct of Preliminary Detailed Engineering (Parcellary Survey) along San Francisco-San Andres-San Narciso Road, Quezon Province</t>
  </si>
  <si>
    <t>PROCUREMENT OF GENUINE HP TONER CARTRIDGES (For Existing units of HP Printers) (ITB # M20-06-01)</t>
  </si>
  <si>
    <t>Improvement of Slaughter Building at Barangay Sto Nino 1st</t>
  </si>
  <si>
    <t>Rehabilitation/Improvement of Brgy. Malino, Jiabong, Samar</t>
  </si>
  <si>
    <t>Rehabilitation/Improvement of Brgy. Bagacay-Concord Road</t>
  </si>
  <si>
    <t>Cluster XXXXIII</t>
  </si>
  <si>
    <t>2020-MS-101 Compressed Air (Rebid)</t>
  </si>
  <si>
    <t>consultancy services</t>
  </si>
  <si>
    <t>CONSTRUCTION FOR COCONUT PROCESSING CENTER FOR LIVELIHOOD PHASE II, LUMBANG ESTE, CAJIDIOCAN, ROMBLON</t>
  </si>
  <si>
    <t>20EF0120 Cluster III – 1. Construction of Rain Water Collection System (RWCS) New Panay Elementary School 2. Construction of Rain Water Collection System (RWCS) Irader Elementary School 3. Constructio</t>
  </si>
  <si>
    <t>20EF0119 Cluster II – 1. Construction of Rain Water Collection System (RWCS) El Salvador Elementary School 2. Construction of Rain Water Collection System (RWCS) Olympic Elementary School 3. Construct</t>
  </si>
  <si>
    <t>20EF0118 Cluster I – 1. Construction of Rain Water Collection System (RWCS) Batang-Batang Beach Elementary School 2. Construction of Rain Water Collection System (RWCS) Cabuluan Elementary School 3. C</t>
  </si>
  <si>
    <t>Development of Cold Spring Resort</t>
  </si>
  <si>
    <t>Cluster XXXXII</t>
  </si>
  <si>
    <t>Supply and Delivery of Two (2) Units Brand New Mini Bus, 4x2 M/T Diesel</t>
  </si>
  <si>
    <t>Supply, Delivery and Installation of 4 Units High Volume Low Speed Fan</t>
  </si>
  <si>
    <t>Cluster XXXX</t>
  </si>
  <si>
    <t>Purchase of Various Materials for the Cacao Nursery Program of the Provincial Government of Zamboanga del Sur</t>
  </si>
  <si>
    <t>Procurement of Plumbing and Hardware Supplies</t>
  </si>
  <si>
    <t>20GEF009 (Re-bid 1) Cluster IV – 1. Supply and Delivery of Office Equipment for use of Maintenance Section 2. Supply and Delivery of I.T. Equipment for use of Maintenance Section Palawan 2nd DEO, Narr</t>
  </si>
  <si>
    <t>Purchase of IT Equipment as Subsidy to PNP by the Provincial Government of Zamboanga del Sur</t>
  </si>
  <si>
    <t>Supply and Delivery of Robotics Kit (Re-Post)</t>
  </si>
  <si>
    <t>INFRASTRUCTURE WORKS FOR THE CONSTRUCTION OF LINE CANAL AT BARANGAY CALANGO, ZAMBOANGUITA, NEGROS ORIENTAL</t>
  </si>
  <si>
    <t>(Cluster IX) Local Program; Construction/ Repair/ Rehabilitation/ Improvement of Building and other Structures; Multi-Purpose/ Facilities: Construction of Multi-Purpose Building in Various Barangays a</t>
  </si>
  <si>
    <t>Local Infrastructure Program; Building and other Structures; Multi-Purpose/ Facilities: Improvement/Rehabilitation of City Hall, Brgy. Tabon, Mabalacat City, Pampanga</t>
  </si>
  <si>
    <t>20HH0136-Local Program: Local Infrastructure Program – Buildings and other Structure – Multi Purpose / Facilities – Construction of Multi – Purpose Building, Barangay Labangon, Cebu City</t>
  </si>
  <si>
    <t xml:space="preserve">20EF0121 Cluster IV – 1. Construction of Rain Water Collection System (RWCS) Mangkongon Elementary School 2. Construction of Rain Water Collection System (RWCS) Amas Elementary School 3. Construction </t>
  </si>
  <si>
    <t>Supply and Delivery of One (1) Unit Brand New Big Bus, 6 Wheeler, Completely Build Unit (CBU)</t>
  </si>
  <si>
    <t>Invitation to bid for the construction of circumferential concrete pathway at Campana, Uson, Masbate</t>
  </si>
  <si>
    <t>INSTALLATION OF LINED CANALS AND SLOPE PROTECTION AT SITIO UPPER CABACUNGAN TO BOUNDARY SITIO WALO, BARANGAY BULACAN, MALALAG, DAVAO DEL SUR all in accordance to plans, specifications and scope of wor</t>
  </si>
  <si>
    <t>20CSHN09 -Appraisal Services for Road-Right-of-Way Acquisition – Road Widening - Secondary Roads - Consolacion-Tayud-Liloan  Road - Chainage 1920 - Chainage 2823, Consolacion, Cebu</t>
  </si>
  <si>
    <t>Invitation to bid for the purchase of 165 pails paint and 1,000 sacks cement</t>
  </si>
  <si>
    <t>HFEP ITB 2020-002 Infrastructure</t>
  </si>
  <si>
    <t>Invitation to bid for the barangay road concreting at Candelaria, Uson, Masbate</t>
  </si>
  <si>
    <t>Supply and Delivery of Fuel, Oil and Lubricants use for the Construction/Rehab. of Local Roads.</t>
  </si>
  <si>
    <t>Purchase of 6 units Multicab and 3 Units Prisoner’s Van Province of Northern Samar</t>
  </si>
  <si>
    <t>SOIL/ GEOTECHNICAL INVESTIGATION FOR THE PROPOSED CONSTRUCTION OF VARIOUS FLOOD CONTROL PROJECTS AND PROPOSED CONSTRUCTION OF BUILDING PROJECT WITHIN 5TH AND 6TH DISTRICT OF PANGASINAN</t>
  </si>
  <si>
    <t>10	boxes	Aciclovir 400mg tablet, 100's, etc. PR # 231-20</t>
  </si>
  <si>
    <t>construction of water reservoir(Macatcatud)</t>
  </si>
  <si>
    <t>Invitation to bid for the purchase of 20 units seafood stall</t>
  </si>
  <si>
    <t>Cluster XXXXI</t>
  </si>
  <si>
    <t>Delivery of Integrated Water Supply (Pipes) needed for Construction of Tayawan-Minaba Water System (ITB 20-070)</t>
  </si>
  <si>
    <t>PR No. 2020-02-0192-MAIN-Supply and Delivery of Audio and Visual Equipment (TV Sets) for Instructional Purposes of CTAS</t>
  </si>
  <si>
    <t>PR No. 2020-02-0293-MAIN-Supply, Delivery and Installation of Laboratory Equipment for Garments Technology Instruction for the College of Teacher Education</t>
  </si>
  <si>
    <t>INFRA 2K20-46 REHABILITATION OF POB. LAKEWOOD – BAKING – DAGUM ROAD</t>
  </si>
  <si>
    <t>Invitation to bid for the barangay road concreting at Arado, Uson, Masbate</t>
  </si>
  <si>
    <t>Purchase of One (1) Unit 4x4 Pick up Vehicle</t>
  </si>
  <si>
    <t>PR No. 20030903 – Supply and Delivery of Two (2) units Truck Dropside 6 Wheeler</t>
  </si>
  <si>
    <t>Rebidding of 3 Projects Construction Materials (B-82-2020)</t>
  </si>
  <si>
    <t>Procurement of Furniture &amp; Fixtures for PRO XI CY 2020</t>
  </si>
  <si>
    <t>Negotiated Lease of Office Space for PRO XI Annex Building 1 through MYOA</t>
  </si>
  <si>
    <t>RE-BIDDING FOR THE COMPLETION OF ROXAS RURAL HEALTH UNIT (TB DOTS AND BIRTHING FACILITY) &amp; SAN VICENTE RURAL HEALTH UNIT (TB DOTS BUILDING) IN ROXAS AND SAN VICENTE, PALAWAN - PHASE 2 (LOT 2)</t>
  </si>
  <si>
    <t>INFRA 2K20-41 REHAB. &amp; IMPROVEMENT OF ZAMBO. DEL SUR PROVINCIAL COLLEGE</t>
  </si>
  <si>
    <t>INFRA 2K20-39 CONSTRUCTION OF DAGUM-MATALANG ROAD</t>
  </si>
  <si>
    <t>PR No. 2020-02-0384-MAIN-Supply and Delivery of Cheque Paper for Registrar’s Office</t>
  </si>
  <si>
    <t>CONSTRUCTION AND INSTALLATION OF MUNICIPAL SOLAR STREET LIGHTING Poblacion, Tubod, Lanao del Norte</t>
  </si>
  <si>
    <t>Negotiated Lease of Office Space for PRO XI LHIO Nabunturan through MYOA</t>
  </si>
  <si>
    <t>Invitation to bid for the construction of 130 meters concrete pathway at Purok 1, Buenavista, Uson, Masbate</t>
  </si>
  <si>
    <t>Supply and Delivery of Multi-Purpose Vehicles</t>
  </si>
  <si>
    <t>Negotiated Lease of Office Space for PRO XI LHIO Tagum through MYOA</t>
  </si>
  <si>
    <t>Invitation to bid for the barangay road concreting at Purok 5 to 6, Armenia, Uson, Masbate</t>
  </si>
  <si>
    <t>Improvement of Water System (Phase 2)</t>
  </si>
  <si>
    <t>Development  and Deployment of the Philippines Anti-Illegal Drugs Strategy – Agency Reporting and Monitoring System (PADS-ARMS)</t>
  </si>
  <si>
    <t>2020-17 “SUPPLY, DELIVERY AND INSTALLATION OF MARINE SPARE PARTS AND AIR-CONDITIONING SYSTEM TO BFAR VESSELS”</t>
  </si>
  <si>
    <t>Local Infrastructure Program; Building and other Structures; Multi-Purpose/ Facilities: Construction and/or Repair/ Rehabilitation of Multi-Purpose Building, Brgy. Balibago, Angeles City, Pampanga</t>
  </si>
  <si>
    <t>20CSA002: CONSULTANCY SERVICES FOR THE CONDUCT OF FEASIBILITY STUDY OF PROPOSED CONSTRUCTION OF MISSING LINKS AND NEW ROADS NAGUILIAN-BAGULIN (LA UNION) - KAPANGAN (BENGUET) ROAD (REGION I)</t>
  </si>
  <si>
    <t>Supply/Delivery of Grocery Item for Relief Packs to be given to Senior Citizen. (PR # 20-06-0603)</t>
  </si>
  <si>
    <t>20CW-GSC-022 ESTABLISHMENT OF ORGANIC TRADING POST CITY OF GENERAL SANTOS CITY</t>
  </si>
  <si>
    <t>Invitation to bid for the barangay road concreting at Purok 4, Buenavista, Uson, Masbate</t>
  </si>
  <si>
    <t>20CSKK0004 -  Conduct of Relocation Survey of Road-Right-of-Way (RROW) of Municipalities of Kinoguitan, Balingoan and Talisayan, All Barangays along Butuan-Cagayan de Oro-Iligan Road (BCIR) within Mun</t>
  </si>
  <si>
    <t>Consulting Services for the Detailed Architectural And Engineering Design for the Proposed Construction of the Multi-Purpose Building (Barangay Hall and Fire and Rescue Brigade Headquarters) for Baran</t>
  </si>
  <si>
    <t>HO-GRF20-001 - Split Type Metal Enclosure (STME) and Other Accessories Needed for the Reinforcement of the Buckle Anomaly and Damaged Flange Connection of Ilijan Natural Gas Pipeline</t>
  </si>
  <si>
    <t>Supply &amp; Delivery of White Bookpaper_July 7, 2020</t>
  </si>
  <si>
    <t>REQUEST FOR QUOTATION -One Year Lease of Network Performance monitoring System</t>
  </si>
  <si>
    <t>PROCUREMENT FOR THE SUPPLY, DELIVERY AND INSTALLATION OF VARIOUS LABORATORY EQUIPMENT FOR USE OF NATIONAL PLANT QUARANTINE SERVICES DIVISION (NPQSD)</t>
  </si>
  <si>
    <t>Procurement of External Hard Disk</t>
  </si>
  <si>
    <t>DESIGN AND BUILD FOR THE CONSTRUCTION OF 2-STOREY PASSENGER TERMINAL BUILDING AT MALATAPAY, BARANGAY MALUAY, ZAMBOANGUITA, NEGROS ORIENTAL</t>
  </si>
  <si>
    <t>Construction Projects-Concreting of Access Road (Rizal,Lopez Jaena)-MEO,Lopez Jaena</t>
  </si>
  <si>
    <t>20-DO-0083: Repair/Maintenance of Flood Control &amp; Drainage Structures along Manila East Road, Halayhayin Bridge, Pililla, Rizal</t>
  </si>
  <si>
    <t>Diesel Fuel etc. (05-0543) CMO</t>
  </si>
  <si>
    <t>Contract ID No. 20NC0125 - Construction of Agusan River Flood Control Sta. 0+000-0+050.00, Veruela, Agusan del Sur</t>
  </si>
  <si>
    <t>RE-BID FOR THE PURCHASE OF SERVICE BUS FOR OFFICIAL TRANSACTIONS OF THE COLLEGE</t>
  </si>
  <si>
    <t>Contract ID No. 20NC0124 - Construction of Riverbank Protection of Ihawan River Sta. 0+000-0+060.00, Loreto, Agusan del Sur</t>
  </si>
  <si>
    <t>Supply, Delivery, Installation and Commissioning of Air-Conditioning System for the Bureau of Quarantine</t>
  </si>
  <si>
    <t>INFRA 2K20-50 CONCRETING OF ROAD FROM JOSEFINA TO BALINTAWAK, MARGOSATUBIG (PHASE I)</t>
  </si>
  <si>
    <t>C-2020-01: ENGAGEMENT OF AN ADVERTSING /DESIGN AGENCY FOR THE DESIGN, CONTENT DEVELOPMENT, PRINTING AND DELIVERY OF THE 2019 ANNUAL REPORT OF THE DEVELOPMENT BANK OF THE PHILIPPINES (DBP)</t>
  </si>
  <si>
    <t>ITB-GS-20200313-01 - Supply and Delivery of 11,360 bundles Clear Plastic Jacket for Savings, Signature Card  and 10,400 reams Whitewove Paper Mimeo</t>
  </si>
  <si>
    <t>Procurement of Dental Digital Panoramic X-ray Machine with Complete Accessories and Installation</t>
  </si>
  <si>
    <t>Completion of Covered Court of VSU Villaba</t>
  </si>
  <si>
    <t>Evaporation Kettle</t>
  </si>
  <si>
    <t>INVITATION TO BID FOR THE  NEGOTIATED PROCUREMENT OF RESEARCH LABORATORY EQUIPMENT FOR CY 2020</t>
  </si>
  <si>
    <t>Supply and Delivery of 40 Units Brand New Customized Police Patrol Vehicle</t>
  </si>
  <si>
    <t>20CSA001: CCONSULTANCY SERVICES FOR THE CONDUCT OF FEASIBILITY STUDY OF PROPOSED CONSTRUCTION OF MISSING LINKS AND NEW ROADS CERVANTES (ILOCOS SUR) - BESAO-SAGADA (MT. PROVINCE) ROAD VIA LAYLAYA (REGI</t>
  </si>
  <si>
    <t>Purchase of Personal Protective Equipment (PPE) For Electrical Division Personnel</t>
  </si>
  <si>
    <t>(20-0167) HARDWARE SUPPLIES FOR EMS STORAGE AREA</t>
  </si>
  <si>
    <t>Hiring of a Service Provider particularly Media Agency to Develop a Media Plan and Procure Media Placements to Amplify the DOH COVID-19 Nationwide Community Campaign</t>
  </si>
  <si>
    <t>PROCUREMENT OF DRUGS AND MEDICINES FOR USE AT KALINGA PROVINCIAL HOSPITAL, 20-05-941</t>
  </si>
  <si>
    <t>CONTRACT ID: 19-10-208 REBID- SUPPLY, DELIVERY, TESTING AND COMMISSIONING OF BRAND NEW AMBULANCE (TYPE I)</t>
  </si>
  <si>
    <t>One (1) Lot Preventive Maintenance of Integrated Electronic Security System for BSP Head Office 2020, as per BSP Terms of Reference and Service Level Agreement</t>
  </si>
  <si>
    <t>uplb-rq-6-074-20 goods (Fertilizer for IPB)</t>
  </si>
  <si>
    <t>Concreting of Alley Road  at Sitio Batog</t>
  </si>
  <si>
    <t>Supply and Delivery of One Hundred Fifty (150) units Smart Television</t>
  </si>
  <si>
    <t>PROCUREMENT FOR THE SUPPLY AND DELIVERY OF PURITY WORKBOARD, DIAPHANOSCOPE, AND CIRCLINE MAGNIFIER FOR USE IN SEED TESTING AND SEED CERTIFICATION OF NATIONAL SEED QUALITY CONTROL SERVICES DIVISION (NS</t>
  </si>
  <si>
    <t>PH-NPC-162238-GO-RFB - Solar Home Systems (SHS) for Access to Sustainable Energy Project Philippines, Window 2</t>
  </si>
  <si>
    <t>RE-BID SUPPLY AND DELIVERY OF TWO HUNDRED SIXTY FOUR (264) UNITS WEIGHING SCALE AND 4,000 BOTTLES MULTI-VITAMINS</t>
  </si>
  <si>
    <t>PROCUREMENT FOR THE EXPANSION OF EXISTING SOLID STATE DRIVE (SSD) IB NO. 2020-222</t>
  </si>
  <si>
    <t>Contract ID No. 20NC0119 -Road Widening, Daang Maharlika (Agusan-Davao Section),</t>
  </si>
  <si>
    <t>CONSULTANCY SERVICES FOR SAMAR URBAN DEVELOPMENT PLAN</t>
  </si>
  <si>
    <t>SUPPLY AND DELIVERY OF VARIOUS WATER SERVICE CONNECTION MATERIALS FOR 2ND QUARTER PROCUREMENT OF CY 2020</t>
  </si>
  <si>
    <t>Concreting of Alley Road at Sitio Capacuan</t>
  </si>
  <si>
    <t>Procurement of Calibration Services</t>
  </si>
  <si>
    <t>PR-2020-05-116 Supply &amp; Delivery of ICT Equipment for the Laboratory Rooms &amp; Offices</t>
  </si>
  <si>
    <t>SUPPLY AND INSTALLATION OF CCTV CAMERA IN ADMIN AND ACADEMIC BUILDING</t>
  </si>
  <si>
    <t>Procurement of Carabao</t>
  </si>
  <si>
    <t>Supply &amp; Delivery of Various Materials for the Installation of Solar Street Light</t>
  </si>
  <si>
    <t>PROCUREMENT FOR THE SUPPLY AND DELIVERY OF ELECTRIC HEAVY DUTY CUTTER FOR USE IN SEED TESTING AND SEED CERTIFICATION OF NATIONAL SEED QUALITY CONTROL SERVICES DIVISION (NSQCSD)</t>
  </si>
  <si>
    <t>Livelihood Project, Hog Fattening (Sitio Guinmisahan)</t>
  </si>
  <si>
    <t>PROPOSED CONSTRUCTION OF COLUMBARIUM COMPLEX LOCATED AT KALAYAAN AVENUE CORNER N. GARCIA STREET, BARANGAY VALENZUELA, MAKATI CITY</t>
  </si>
  <si>
    <t>Supply and Installation of Additional Split Type – Inverter Airconditioner at PBB Fixed Link, NAIA Terminal 3</t>
  </si>
  <si>
    <t>(PWWS) REQUEST FOR QUOTATION (RFQ) For the Procurement of Construction Materials   For the Provincial Waterworks System (PWWS)</t>
  </si>
  <si>
    <t>PURCHASE TABLES AND CHAIRS</t>
  </si>
  <si>
    <t>20CE0208: Replacement of Permanent Weak Bridges Amawinan Br. (B01981LZ) along Daang Maharlika (LZ)</t>
  </si>
  <si>
    <t>INVITATION TO RE-BID FOR THE  SUPPLY, DELIVERY, AND INSTALLATION OF FIRE SUPRESSION SYSTEM PR No. 27388-001</t>
  </si>
  <si>
    <t>20CE0207: Widening of Permanent Bridges Manicla Br. (B01968LZ) along Daang Maharlika (LZ)</t>
  </si>
  <si>
    <t>PR# 20-0843- 6,500 prefilled syringe epoetin ALFA 4000iu 1ml 5,000 prefilled syringe epoetin BETA 5000iu 3ml 500 prefilled syringe INSULIN GLARGINE 100iu/ml 3ml 250 vials ISOPHANE INSULIN HUMAN (Recom</t>
  </si>
  <si>
    <t>Construction of Two Units Makeshift Building for Livelihood Project in Sitio Limite, Brgy. Daja Daku, San Isidro, Leyte, ABC PHP1,318,234.84</t>
  </si>
  <si>
    <t>Rehabilitation of Diffun – Liwayway - Sitio Pallutan Road</t>
  </si>
  <si>
    <t>Rehabilitation of Maria Clara-San Isidro Road</t>
  </si>
  <si>
    <t>20GB0123 - Concreting of Brgy. Maybunga FMR, Brgy. Maybunga, Laua-an, Antique</t>
  </si>
  <si>
    <t>SUPPLY OF LABOR AND MATERIALS FOR THE ESTABLISHMENT OF PROCESSING AND SOLAR DRYING FACILITY OF BPI-LGNCRDPSC, LA CARLOTA CITY, NEGROS OCCIDENTAL</t>
  </si>
  <si>
    <t>SUPPLY OF LABOR AND MATERIALS FOR THE CONSTRUCTION OF SEED STORAGE OF BPI-LGNCRDPSC, LA CARLOTA CITY, NEGROS OCCIDENTAL</t>
  </si>
  <si>
    <t>INVITATION TO RE-BID FOR THE  SUPPLY AND DELIVERY OF COMPUTER NOTEBOOK PR Nos. 27619-001 to 27619-003</t>
  </si>
  <si>
    <t>SUPPLY OF LABOR SERVICE, SUPPLIES, AND MATERIALS FOR THE ESTABLISHMENT OF 20KW GRID-TIED SOLAR PV ENERGY SYSTEM FOR TISSUE CULTURE LABORATORY OF BPI-DNCRDPSC, BAGO OSHIRO, DAVAO CITY</t>
  </si>
  <si>
    <t>THE PROCUREMENT FOR THE SUPPLY AND DELIVERY OF PRECISION DIVIDER FOR USE IN SEED TESTING AND SEED CERTIFICATION OF NATIONAL SEED QUALITY CONTROL SERVICES DIVISION (NSQCSD)</t>
  </si>
  <si>
    <t>THE PROCUREMENT FOR THE SUPPLY AND DELIVERY OF DIGITAL DUPLICATOR FOR USE IN SEED TESTING AND SEED CERTIFICATION OF NATIONAL SEED QUALITY CONTROL SERVICES DIVISION (NSQCSD)</t>
  </si>
  <si>
    <t>INVITATION TO RE-BID FOR THE  SUPPLY, DELIVERY, AND INSTALLATION OF LOCAL AREA NETWORK (LAN) STRUCTURED CABLING IN THE NEW MSSD BUILDING, TALAMBAN, CEBU CITY PR No. 27608-001</t>
  </si>
  <si>
    <t>COMPLETION OF BUAYA BARANGAY HEALTH CLINIC, MAPITPITA,BUAYA, BALBALAN</t>
  </si>
  <si>
    <t>20KA0136 Paving of Unpaved Roads with Construction of Road Slope Protection Structure along Kapalong-Talaingod-Valencia (Bukidnon) Rd (S00641MN) -  K1582 + 587 - K1582 + 734 (Package 1 - K1582 + 680 -</t>
  </si>
  <si>
    <t>PROCUREMENT OF DELTAMETHRIN – REBID  UNDER IB NO. 2020-172-A</t>
  </si>
  <si>
    <t>(19Z00043) Contract Package -2, Design and Build of the Ambal-Simuay River and Rio Grande De Mindanao Flood Control Projects</t>
  </si>
  <si>
    <t>PROCUREMENT FOR THE SUPPLY AND DELIVERY OF ANALYTICAL AND TOP LOADING BALANCE FOR USE IN SEED TESTING AND SEED CERTIFICATION OF NATIONAL SEED QUALITY CONTROL SERVICES DIVISION (NSQCSD)</t>
  </si>
  <si>
    <t>ITB-GS-20200407-01 - Supply, Delivery, Installation &amp; Configuration of Privileged Access Management (PAM) Solution  with Hardware Appliance with Three (3) Years Warranty</t>
  </si>
  <si>
    <t>Rehabilitation of Rizal – Villa Pascua Road</t>
  </si>
  <si>
    <t>ITB-GS-20200325-01 - One (1) Year Courier Services for LANDBANK Credit Cards, Statement of Accounts and Other Credit Card Related Parcels</t>
  </si>
  <si>
    <t>(19Z00042) Contract Package -1, Design and Build of the Ambal-Simuay River and Rio Grande De Mindanao Flood Control Projects</t>
  </si>
  <si>
    <t>20BF0054: Concreting of Katuday-Simimbaan Road, Brgy. Bantug and Brgy. Simimbaan, Sta. 0+000 to Sta. 3+600, Roxas, Isabela</t>
  </si>
  <si>
    <t>WDDSP-TWD-IFB-G03b</t>
  </si>
  <si>
    <t>20BF0052: Concreting of Road, Brgy. Bannawag, Aurora, Isabela</t>
  </si>
  <si>
    <t>20BF0053: Concreting of Road, Brgy. San Antonio, Roxas, Isabela</t>
  </si>
  <si>
    <t>(20P00017)-(BLISTT), Labey – Lacamen Provincial Road (Section 4A of BLISTT Outer Ring Circumferential Road), Sta. 0 + 317 – Sta. 1 + 378, Sta.  4 + 632 - Sta. 5 + 250, Sta. 6 + 014 - Sta. 6 + 518</t>
  </si>
  <si>
    <t>(19Z00001) Arterial Road Bypass Project (Plaridel Bypass), Phase III, Contract Packages 1 &amp; 2, KO0034+900.00 to KO0047+400.00, JICA Loan Agreement No. PH-P266</t>
  </si>
  <si>
    <t>UPS</t>
  </si>
  <si>
    <t>Consulting Service for the Support and Maintenance of the Business Name Registration System Next Generation (BNRSNextGEN)</t>
  </si>
  <si>
    <t>Conduct of  Feasibility Study of BOSIGON  IRRIGATION PROJECT, Labo, Vinzons, &amp; Paracale, Camarines Norte</t>
  </si>
  <si>
    <t>(20P00006)- (BLISTT), Labey – Lacamen Provincial Road (Section 4B of BLISTT Outer Ring Circumferential Road), Package 1 and 2, Sta. 2 + 324 – Sta. 2 + 494, Sta. 2 + 510 - Sta. 2 + 880</t>
  </si>
  <si>
    <t>Concreting of 1KM Culasian-Motong Farm to Market Road.</t>
  </si>
  <si>
    <t>(20P00005)- (BLISTT) Taloy Norte Jct. - San Pascual Brgy. Hall Jct. (Section 7 of BLISTT Outer Ring Circumferential Road)</t>
  </si>
  <si>
    <t>(20P00009)- (BLISTT), Asin - Nangalisan Jct. - Bayabas - Monglo Jct. (Section 1 of BLISTT Outer Ring Circumferential Road), Benguet</t>
  </si>
  <si>
    <t>ITB and Bid Docs for Procurement ID/Contract ID:    20C00036  Contract Name:      Local Program – Local Infrastructure Program – Buildings and Other Structures – Multi Purpose Facilities – Constructio</t>
  </si>
  <si>
    <t>20HG0162 (RE-BID) - Local Program, Local Roads and Bridges, Local Bridge, Construction of Lanao Bridge</t>
  </si>
  <si>
    <t>Handheld Radios</t>
  </si>
  <si>
    <t>74424 - Procurement of Various Measuring Equipment</t>
  </si>
  <si>
    <t>2020-GOODS-03; SUPPLY/DELIVERY AND INSTALLATION OF COMPUTER DESKTOP, CORE I7/ AND CORE I5, LAPTOP COMPUTERS CORE i7 AND CORE i5,  W/ COMPLETE ACCESSORIES, UPS- UINTERRUPTABLE POWER SUPPLY, AND PRINTER</t>
  </si>
  <si>
    <t>20KA0140 Paving of Unpaved Roads with Construction of Road Slope Protection Structure along Kapalong-Talaingod-Valencia (Bukidnon) Rd (S00641MN) -  K1582 + 587 - K1582 + 734 (Package 2 - K1582 + 587 -</t>
  </si>
  <si>
    <t>ITB-GS-20200402-01 - Supply and Delivery of 250 Units Gigabit Ethernet Switch</t>
  </si>
  <si>
    <t>20HG0161 (RE-BID) - Local Program, Local Roads and Bridges, Local Bridge, Construction of Canbantug-Linut-od Bridge</t>
  </si>
  <si>
    <t>20KA0139 Road Widening along Jct SH Aglayan-Zamboanguita Rd (S00631MN) - K1523 + 850 - K1525 + 500 (Package 2 - K1525 + 340 - K1525 + 500) Malaybalay City, Bukidnon</t>
  </si>
  <si>
    <t>Procurement of Printing Services</t>
  </si>
  <si>
    <t>Purchase &amp; Installation of Communications Equipment for Bicol ( New Legazpi) International Airport (Re-Bid)</t>
  </si>
  <si>
    <t>Procurement of Consultancy Services as Systems Integrator for the Supply, Delivery, Installation, and Maintenance of the Philippine Identification System</t>
  </si>
  <si>
    <t>20KA0141 Paving of Unpaved Roads with Construction of Road Slope Protection Structure along Jct SH Aglayan-Zamboanguita Rd (S00631MN) - K1569 + 187 - K1570 + 092 (Package 2 - K1569 + 607 - K1570 + 092</t>
  </si>
  <si>
    <t>20J00188 - Construction of Concrete Road -  Concreting of Road along Pagasinan to Luuk Tulay, Pata, Sulu</t>
  </si>
  <si>
    <t>20J00177 - Construction of Concrete Road -  Concreting of Road along Langhub Road, Patikul, Sulu</t>
  </si>
  <si>
    <t>20J00179 - Construction of  Road along Langgal Maas Matatal to Anak Jatih, Maimbung, Sulu</t>
  </si>
  <si>
    <t>20J00176 - Construction of Concrete Road -  Concreting of Road along Gulangin Ipil Road, Maimbung, Sulu</t>
  </si>
  <si>
    <t>20J00178 - Construction of Concrete Road -  Concreting of Road along Taboh Bato Maimbung, Sulu</t>
  </si>
  <si>
    <t>20BG0137-Local Infrastructure Program - Buildings and Other Structures - Multipurpose/Facilities - Construction of Multi-Purpose Building (San Mariano Evacuation Center-Phase 2), Brgy. Minanga, San Ma</t>
  </si>
  <si>
    <t>20BG0135-Local Infrastructure Program - Buildings and Other Structures - Multipurpose/Facilities - Construction of Multi-Purpose Building (Terminal Building), Brgy. Napaccu Pequeño, Reina Mercedes, Is</t>
  </si>
  <si>
    <t>20BG0136-Local Infrastructure Program - Buildings and Other Structures - Multipurpose/Facilities - Construction of Multi-Purpose Building (Municipal Building), Brgy. Napaccu Pequeño, Reina Mercedes, I</t>
  </si>
  <si>
    <t>Lot 1: One (1) Lot Application of Polyurethane Foam on all BSP Buildings of BSP Cebu RO (see attached Scope of Work and Specifications)                                                                L</t>
  </si>
  <si>
    <t>20BG0131-Local Infrastructure Program - Buildings and Other Structures - Multipurpose/ Facilities - Construction of Multi-purpose Building, Barangay Napaccu Pequeño, Reina Mercedes, Isabela</t>
  </si>
  <si>
    <t>20KA0135 Road Widening along Jct SH Aglayan-Zamboanguita Rd (S00631MN) - K1523 + 850 - K1525 + 500 (Package 1 - K1523 + 850 - K1525 + 340) Malaybalay City, Bukidnon</t>
  </si>
  <si>
    <t>CY 2020 BASIC EDUCATIONAL FACILITIES FUND (BEFF) ELECTRICAL UPGRADE OF MAKILING NATIONAL HIGH SCHOOL (ITB 2020-Infra-006)</t>
  </si>
  <si>
    <t>CY 2020 BASIC EDUCATIONAL FACILITIES FUND (BEFF) REPAIR/IMPROVEMENT OF VARIOUS SCHOOL BUILDINGS – ULANGO ES (ITB 2020-Infra-005)</t>
  </si>
  <si>
    <t>CY 2020 BASIC EDUCATIONAL FACILITIES FUND (BEFF) REPAIR/IMPROVEMENT OF VARIOUS SCHOOL BUILDINGS – JOSE PLATON MS (ITB 2020-Infra-001)</t>
  </si>
  <si>
    <t>20F00123 - OO1: Ensure Safe and Reliable National Road System – Bridge Program – Widening of Permanent Bridges – Pili Airport Br. (B00418LZ) along Pili Airport Road, Pili, Camarines Sur 3rd Legislativ</t>
  </si>
  <si>
    <t>BIDDING FOR THE PROCUREMENT OF ONE (1) LOT INTEGRATED SECURITY SUITE FOR TWO (2) YEARS</t>
  </si>
  <si>
    <t>CY 2020 BASIC EDUCATIONAL FACILITIES FUND (BEFF) REPAIR/IMPROVEMENT OF VARIOUS SCHOOL BUILDINGS – PUNTA ES (ITB 2020-Infra-003)</t>
  </si>
  <si>
    <t>20CSH017 - Procurement of Consultancy Services for the Detailed Engineering Design (DED) Activities for Various Infrastructure Projects, Construction of Service Road, along A.C. Cortes Ave. covering t</t>
  </si>
  <si>
    <t>CY 2020 BASIC EDUCATIONAL FACILITIES FUND (BEFF) REPAIR/IMPROVEMENT OF VARIOUS SCHOOL BUILDINGS – LOOC ES (ITB 2020-Infra-002)</t>
  </si>
  <si>
    <t>20CSH016 - Procurement of Consultancy Services for the Detailed Engineering Design (DED) Activities for Various Infrastructure Projects, Construction of Interchange (Tri-Level) along M.C. Briones St.</t>
  </si>
  <si>
    <t>20CSH022 - Procurement of  Consultancy Services for the Detailed Engineering Design (DED) Activities for various projects, Construction of Elevated Highway along Gen. Maxilom Ave. covering the junctio</t>
  </si>
  <si>
    <t>Contract ID No. 19CSK00056 – Consulting Services for the Conduct of Soil Testing/Exploration for Bridge Projects - Geotechnical Investigation - Construction of Bridge, Cagayan de Oro Diversion Road, J</t>
  </si>
  <si>
    <t>20CSH021 - Procurement of Consultancy Services for the Detailed Engineering Design (DED) Activities for various projects, Construction of Flyover along P. del Rosario St. from the junction of Osmena B</t>
  </si>
  <si>
    <t>Water Quality Analysis</t>
  </si>
  <si>
    <t>CY 2020 BASIC EDUCATIONAL FACILITIES FUND (BEFF) REPAIR/IMPROVEMENT OF VARIOUS SCHOOL BUILDINGS – SAN JUAN ES (ITB 2020-Infra-004)</t>
  </si>
  <si>
    <t>Lot 1: One (1) Unit Motor Vehicle for BSP Bacolod Branch, as per attached specifications  Lot 2: One (1) Unit Motor Vehicle for BSP Dumaguete Branch, as per attached specifications  Lot 3: One (1) Uni</t>
  </si>
  <si>
    <t>20CSH018 - Procurement of Consultancy Services for the Detailed Engineering Design (DED) Activities for Various Infrastructure Projects, Construction of Guadalupe- Lahug Bypass Road, Cebu City</t>
  </si>
  <si>
    <t>20AC0088 - Construction of Multi-Purpose Building, Brgy. Bungro, San Ildefonso, Ilocos Sur</t>
  </si>
  <si>
    <t>20AC0091 - Construction of Multi-Purpose Building, Brgy. San Vicente, Magsingal, Ilocos Sur</t>
  </si>
  <si>
    <t>INVITATION TO BID FOR PROCUREMENT OF ONE (1) CROSSOVER UTILITY VEHICLE AND ONE (1) PASSENGER VAN</t>
  </si>
  <si>
    <t>ITB-GS-20200212-01 - Supply and Delivery of 600 Units Passbook Printer</t>
  </si>
  <si>
    <t>PROVISION OF WATCHMAN SERVICES FROM MARCH 1-DECEMBER 31, 2020</t>
  </si>
  <si>
    <t>Supply, Delivery, Installation and Commissioning of One (1) Unit Automatic Coin Measuring Machine, including Consumables and Training of Personnel, as per BSP Technical Specifications and Terms of Ref</t>
  </si>
  <si>
    <t>ITB-GS-20190703-01 (2) - One (1) Lot Supply, Delivery, Installation, Testing and Commissioning of Variable Refrigerant Flow (VRF) Air-Conditioning Units at LANDBANK Sta. Cruz Office Building</t>
  </si>
  <si>
    <t>20AC0083 - Construction of Flood Control Structure Along Mestizo River, Brgy. Pandan-Manangat, Caoayan, Ilocos Sur</t>
  </si>
  <si>
    <t>ITB-GS-20200304-01 - One (1) Lot Supply and Delivery of 65,500 pcs. EMV VISA Debit Card with Personalization</t>
  </si>
  <si>
    <t>Supply and Delivery of FSP Computer Equipment</t>
  </si>
  <si>
    <t>20AC0090 - Construction of Multi-Purpose Building, Magsingal, Ilocos Sur</t>
  </si>
  <si>
    <t>ITB-GS-20191202-01 - Additional License for the Existing Solarwinds Servers, Networks, Database and Application Monitoring Tool</t>
  </si>
  <si>
    <t>20AC0084 -Construction of River Control Along Bical River, San Juan, Ilocos Sur</t>
  </si>
  <si>
    <t>20FO0075 - Improvement of Albay-Camsur Diversion Rd. (Ligao Section) Phase 2, Ligao City, Albay</t>
  </si>
  <si>
    <t>20FO0076 - Rehabilitation of Muladbukad Flood Control Dike (Phase II), Brgy. Muladbukad, Guinobatan, Albay</t>
  </si>
  <si>
    <t>ITB-GS-20200305-03 - Supply &amp; Delivery of 4,300 Pcs. Ribbon for EPSON Printer FX2190 &amp; 440 Pcs.  Genuine Burroughs Black Multiline Print Inkjet Cartridge</t>
  </si>
  <si>
    <t>20AC0079 - Construction of Don Dimas - Don Alejandro Road, Caoayan, Ilocos Sur</t>
  </si>
  <si>
    <t>20J00181 - Construction of Slope Protection Along Seit-Tayungan National Road Km 38+000 - 41+000 (with exemption), Sulu</t>
  </si>
  <si>
    <t>Supply, Delivery &amp; Installation of Science Laboratories and Research Facilities</t>
  </si>
  <si>
    <t>20J00180 - Construction of slope protection along Camp Andres Romandier National Road KM 29+000-KM 34+000 [with exemption], Sulu</t>
  </si>
  <si>
    <t>CID No. 20CSIO13: Consultancy Services for the Feasibility Study of the Proposed Calbayog Coastal Diversion Road, Calbayog City, Western Samar</t>
  </si>
  <si>
    <t>Reblocking of Concrete Road at Sawaga Bridge Approach Brgy. Bangcud, Malaybalay City.</t>
  </si>
  <si>
    <t>20J00182 - Concreting of Lower Patibulan-Lubhang Road, Phase 1, Old Panamao, Sulu</t>
  </si>
  <si>
    <t>CID No. 20CSIO09: Consultancy Services for the Conduct of Feasibility Study of the Proposed Construction of Tacloban – Palo Diversion Road (Brgy. 89 San Jose, Brgy. 82, Marasbaras and Brgy. Calanipawa</t>
  </si>
  <si>
    <t>MA-A2H20-006..BATTERY BANK, STATION BATTERY, AGUS 1 HEP</t>
  </si>
  <si>
    <t>20AC0087 - Rehabilitation of Tamorong Road with Slope Protection and Culvert, Brgy. Tamorong, Sta. Catalina, Ilocos Sur</t>
  </si>
  <si>
    <t>20AC0071 - Construction of Drainage Canal Along Barangay Road Going to Tamag Elementary School, Tamag, Vigan City, Ilocos Sur</t>
  </si>
  <si>
    <t>RFQ for ICT Spareparts</t>
  </si>
  <si>
    <t>CID No. 20CSIO11: Consultancy Services for the Conduct of Feasibility Study of the Proposed Tanauan Bypass Road, San Miguel – Santol – Tunga Road, Tolosa – San Victor – Tabontabon Road and Dapdap – Al</t>
  </si>
  <si>
    <t>ITB-GS-20200217-01 - Three (3) Years ATM Cash Loading and First Level Maintenance Services for 600 LANDBANK ATM Units</t>
  </si>
  <si>
    <t>GSO-20-0202-B / JANITORIAL SERVICES</t>
  </si>
  <si>
    <t>20AC0078 - Construction of Multi-Purpose Building (Covered Court), Brgy. Paing, Bantay, Ilocos Sur</t>
  </si>
  <si>
    <t>PROCUREMENT OF OTHER SUPPLIES AND MATERIALS (SUPPLIES AND TOOLS ON SHIELDED METAL ARTS &amp; WELDING) FOR SAN ROQUE NHS (UNDER SCHOOLS DIVISION OFFICE)</t>
  </si>
  <si>
    <t>20AC0077 - Construction of Multi-Purpose Building (Covered Court), Brgy. Malingeb, Bantay, Ilocos Sur</t>
  </si>
  <si>
    <t>20DE0128 Local Infrastructure Program – Construction of Multi-Purpose Covered Court/Evacuation Center at Brgy. Saguing, Mabini, Batangas</t>
  </si>
  <si>
    <t>20J00183 - Construction/Reblocking of Seit-Tayungan National Road Sulu KM38+000 - 41+000</t>
  </si>
  <si>
    <t>20DE0127 Local Infrastructure Program – Construction of Multi-Purpose Covered Court/Evacuation Center, Brgy. Saguing, Mabini, Batangas</t>
  </si>
  <si>
    <t>20DE0129 Local Infrastructure Program – Construction of Multi-Purpose Covered Court at Brgy. Mainit, Mabini, Batangas</t>
  </si>
  <si>
    <t>20CF0129 Construction of Multi-Purpose Building, San Leonardo, Nueva Ecija</t>
  </si>
  <si>
    <t>20CF0128 Act. 71x – Special Maintenance – Replacement of Concrete Pavement along Sta. Rosa – Fort Magsaysay Road, Sta. Rosa, Nueva Ecija</t>
  </si>
  <si>
    <t>PUBLIC BIDDING / PR 19-10-0950 Re-Bid / VIDEO WALL PROJECT FOR SECURITY OPERATION</t>
  </si>
  <si>
    <t>20-DO-0075: LOCAL PROGRAM - Local Infrastructure Program - Building and Other Structures - Multipurpose/Facilities - Construction of Multi-Purpose Building at Gen. Luna St. Brgy. Dulong Bayan 1, San M</t>
  </si>
  <si>
    <t>BUKIDNON AIRPORT DEVELOPMENT PROJECT (Construction of Landing Area)</t>
  </si>
  <si>
    <t>20FO0074 - Improvement of Albay-Camsur Diversion Rd. (Ligao Section), Ligao City, Albay</t>
  </si>
  <si>
    <t>20AC0075 - Construction of Multi-Purpose Building, Fuerte, Caoayan, Ilocos Sur</t>
  </si>
  <si>
    <t>20AC0069 - Construction of Multi-Purpose Building (Covered Court), Brgy. An-annam, Bantay, Ilocos Sur</t>
  </si>
  <si>
    <t>ITB-GS-20191023-01(2) - 1 Lot Supply, Delivery &amp; Installation of 50 Units Thru-The-Wall Cash Deposit Machine with Four (4) – Year Maintenance Package and Spare Parts</t>
  </si>
  <si>
    <t>20AC0074 - Construction of Multi-Purpose Building (Covered Court), Brgy. San Clemente, Magsingal, Ilocos Sur</t>
  </si>
  <si>
    <t>PURCHASE OF STRONG MOTION ACCELEROGRAPH FOR SEISMIC MONITORING</t>
  </si>
  <si>
    <t>Supply and Delivery of Manual Thermosonic Wedge and Ball Bonder for UP Cebu</t>
  </si>
  <si>
    <t>Renovation of TFD Office (Second Bidding)</t>
  </si>
  <si>
    <t>ITB No. 20-049 ONE (1) LOT SUPPLY AND DELIVERY OF ONE (1) COMPLETE VIDEO LARYNGOSCOPE SYSTEM INCLUSIVE OF TWO (2) BLADES WITH CONNECTORS AND MAGILL FORCEPS AND TWO (2) UNITS COMPATIBLE FLEXIBLE VIDEOS</t>
  </si>
  <si>
    <t>Supply, Delivery, Installation, Testing and Commissioning of Fire Suppression System, 5-KW Aircon, UPS, Door Access Control, Temperature and Humidity Monitoring System, Server Rack and Retrofitting of</t>
  </si>
  <si>
    <t>Construction of Multi-Purpose Building (Public Auditorium/Gym), San Nicolas, Pangasinan</t>
  </si>
  <si>
    <t>Contract ID No. 20FA0050: REHABILITATION/RECONSTRUCTION OF NATIONAL ROADS W/SLIPS, SLOPE COLLAPSE AND LANDSLIDE-SECONDARY ROADS, DM JCT-LEGAZPI-STO. DOMINGO-TABACO-CAMARINES SUR BDRY. RD- K0582+330-K0</t>
  </si>
  <si>
    <t>Contract I.D. No. 20OE0091 - Construction of Retention Basin at Estero de Sampaloc, Manila City</t>
  </si>
  <si>
    <t>HO-CWA19-001 &amp; 4 OTHERS - Supply and Delivery if Materials, Maintenance Spare Parts, Batteries and Tires for Service Vehicles</t>
  </si>
  <si>
    <t>Supply &amp; Delivery of  Office Tables &amp; Chairs  (UPM - COA)</t>
  </si>
  <si>
    <t>Improvement/Rehabilitation/Repair of Apayao Child Development Center, San Isidro Sur, Luna, Apayao</t>
  </si>
  <si>
    <t>Construction of Tourism Stalls, Lussok, Dagupan, Luna, Apayao</t>
  </si>
  <si>
    <t>Pocurement of IBM SPSS Statistics Standard Campus Edition Authorized User License for UP Cebu</t>
  </si>
  <si>
    <t>20AC0089 - Construction / Rehabilitation of Multi-Purpose Building, Poblacion East, San Ildefonso, Ilocos Sur</t>
  </si>
  <si>
    <t>Improvement of Municipal Hall, Conner, Apayao</t>
  </si>
  <si>
    <t>Completion of VIP Cottages, Payanan, San Gregorio, Luna, Apayao</t>
  </si>
  <si>
    <t>2020 OFF-CAMUS STUDENTS TOUR IN SUBIC, ZAMBALES</t>
  </si>
  <si>
    <t>Contract I.D. No. 20OE0197 - Construction and / or Repair / Rehabilitation of Multi – Purpose Building Brgy. 72, Zone 6, Tondo Manila</t>
  </si>
  <si>
    <t>Improvement of Tanglagan-Bucarot Provincial Road, Calanasan, Apayao</t>
  </si>
  <si>
    <t>Construction of Retaining Wall at Alem-Poblacion Provincial Road, Pudtol, Apayao</t>
  </si>
  <si>
    <t>20D00066 - Local Roads and Bridges, Local Roads Local Infrastructure Program CONSTRUCTION OF STAR TOLLWAY–PINAMUCAN BYPASS ROAD, BRGY. PINAMUCAN, BATANGAS CITY</t>
  </si>
  <si>
    <t>20AC0073 - Construction of Flood Control Structure Along Mestizo River, Brgy. Fuerte (Sabangan), Caoayan, Ilocos Sur</t>
  </si>
  <si>
    <t>20D00065 - CONSTRUCTION OF CONCRETE ROAD (PACKAGE II) LOBO-MALABRIGO–LAIYA–SAN JUAN ROAD, LOBO BATANGAS</t>
  </si>
  <si>
    <t>PR NO. MG-MGE20-003, CAMERA &amp; 2 OTHER ITEMS</t>
  </si>
  <si>
    <t>CONSTRUCTION OF WATER SYSTEM ( PHASE IV ) AT BARANGAY ENCARNACION</t>
  </si>
  <si>
    <t>S3-B1920-002 - Furnishing of Labor and Materials for Dry Docking and Ship Repair of PB 119</t>
  </si>
  <si>
    <t>Restoration, Repair and Maintenance of Data Center (Information Technology)</t>
  </si>
  <si>
    <t>CONSTRUCTION OF MULTI-PURPOSE HALL-PHASE IV AT BARANGAY GULOD</t>
  </si>
  <si>
    <t>CONSTRUCTION OF MUYLTI-PURPOSE HALL-PHASE IV AT BARANGAY BIGA</t>
  </si>
  <si>
    <t>CONCRETING OF BARANGAY ROAD AT LUYA</t>
  </si>
  <si>
    <t>CONSTRUCTION OF CANAL AT BARANGAY STA. ANA</t>
  </si>
  <si>
    <t>Construction of Ammo Dump for Special Action Force (SAF), Brgy. Santo Domingo</t>
  </si>
  <si>
    <t>(PGSO)  REQUEST FOR QUOTATION (RFQ) For the Procurement of Construction Materials  For the Provincial General Services Office (PGSO)</t>
  </si>
  <si>
    <t>Improvement of Caglayan-Ripang-Paddaoan-Talifugo-Manag Provincial Road (Paddaoan Section) Sta. 0+000-Sta. 9+800, Conner, Apayao</t>
  </si>
  <si>
    <t>Proposed Construction of Drainage Canal at Purok 2, Brgy. Caingin</t>
  </si>
  <si>
    <t>20IL0175 (LOCAL – BUILDINGS AND OTHER STRUCTURES – MULTI-PURPOSE/FACILITIES – LOCAL INFRASTRUCTURE PROGRAM, CONSTRUCTION/REHABILITATION OF DISTRICT ENGINEER’S OFFICE Contract Location	: IBARRA, MAASIN</t>
  </si>
  <si>
    <t>Improvement of Multi-Purpose Hall at Grand Riverstone, Brgy. Dita</t>
  </si>
  <si>
    <t>INVITATION TO BID-SECURITY SERVICE PROVIDER FOR A PERIOD OF ONE (1) YEAR</t>
  </si>
  <si>
    <t>Proposed Completion of Perimeter Fence at Open Space, Brgy. Aplaya</t>
  </si>
  <si>
    <t>Procurement of Full Retrofitting, Rehabilitation, and Renovation of the DFA Building</t>
  </si>
  <si>
    <t>HO-PIC20-001 (PB3) - 3 x 50 kW Modular Diesel Gensets, Associated Electrical Equipment and Balance of Plant for the Electrification of New Area in Sulu under Package 11A</t>
  </si>
  <si>
    <t>ITB-GS-20200224-01 - Three (3) Years Managed Laser Print Services with Consumables</t>
  </si>
  <si>
    <t>CONSTRUCTION OF LINE CANAL AT BARANGAY LUCSUHIN</t>
  </si>
  <si>
    <t>20D00072-Construction of Flyovers / Interchanges / Underpasses / Long Span Bridges ACCESS ROAD CONNECTING SAN LORENZO ROAD TO SLEX, LAGUNA</t>
  </si>
  <si>
    <t>ITB-GS-20200219-01 - Supply and Delivery of 1,100 Units Desktop Computer</t>
  </si>
  <si>
    <t>Procurement of One (1) Lot, Three (3) Years Private Security Agency (PSA) Services for CF-Davao and Apo View Satellite</t>
  </si>
  <si>
    <t>CONSTRUCTION OF MULTI-PURPOSE HALL-PHASE III AT BARANGAY TALISAY</t>
  </si>
  <si>
    <t>Proposed Construction of Slope Protection Along Villa Caceres, Brgy. Dila</t>
  </si>
  <si>
    <t>ITB-GS-20200218-01 - One (1) Lot Supply and Delivery of EMV VISA Debit Card and Paywave Debit Card for OFBANK</t>
  </si>
  <si>
    <t>Contract ID No. 20FA0049: REPLACEMENT AND CONCRETING OF TRAMO BRIDGE WHICH CONNECTS BRGYS. STO. CRISTO AND SAN ROQUE TO BRGY. TAGAS AND NEIGHBORING BARANGAYS IN TABACO CITY, ALBAY</t>
  </si>
  <si>
    <t>Pag-IBIG Fund CHQ (Consulting Services for the Implementation of Philippine Financial Reporting Standard (PFRS 9) - Financial Instruments))</t>
  </si>
  <si>
    <t>Contract ID No. 20FA0048: CLUSTER 27 CONSTRUCTION OF WATER SYSTEM IN THE FIRST DISTRICT OF ALBAY</t>
  </si>
  <si>
    <t>Improvement of Multi-purpose Building (Second Bidding)</t>
  </si>
  <si>
    <t>UPLB-S-044-03-20, SUPPLY, DELIVERY AND INSTALLATION OF BRANDED AND BRAND NEW VARIOUS LABORATORY EQUIPMENT</t>
  </si>
  <si>
    <t>Procurement for the Repair of Classrooms at Lanao del Norte Provincial Science and Technology High School under CY 2020 BEFF - Lot 6 (Rebid)</t>
  </si>
  <si>
    <t>Contract I.D. No. 20OE0196 - Installation of Pumping Station (Mini Pump) at Barangay 598 Zone 59, Manila City</t>
  </si>
  <si>
    <t>CONSTRUCTION OF WINGS OF MULTI-PURPOSE BUILDING AT BRGY. TELBANG, CITY OF ALAMINOS, PANGASINAN</t>
  </si>
  <si>
    <t>R4-INFRA2020-01-003 Construction of 1-Unit Multi-Purpose Livelihood and Training Center located at Southville 8B Housing Project - Phase 2, Brgy. San Isidro, Rodriguez, Rizal</t>
  </si>
  <si>
    <t>Road Improvement along R. Magsaysay Avenue</t>
  </si>
  <si>
    <t>CONSTRUCTION OF MULTI-PURPOSE BUILDING AT BRGY. TANGCARANG, CITY OF ALAMINOS, PANGASINAN</t>
  </si>
  <si>
    <t>EXTENSION OF MULTI-PURPOSE BUILDING AT BRGY. MACATIW, CITY OF ALAMINOS, PANGASINAN</t>
  </si>
  <si>
    <t>Lease of Various Printing Machines and Equipment with Operational and Technical Support System (Davao Area) (PB-04-20)</t>
  </si>
  <si>
    <t>(0006) communication system</t>
  </si>
  <si>
    <t>Lease of Various Paper Printing Machine/s and Finishing Equipment with Technical and Operational Support System (Lot 1 for Luzon Area and Lot 2 for Mindanao Area) (PB-03-20)</t>
  </si>
  <si>
    <t>Continuation of the Terminated Renovation of  former Cyber City Buildings (Phase II) (Package IV)</t>
  </si>
  <si>
    <t>Supply, Delivery &amp; Installation of Equipment and Furniture and Fixture for Theater Lot 2 &amp; Lot 3</t>
  </si>
  <si>
    <t>REHABILITATION / UPGRADING OF FARM TO MARKET ROAD (SABANGAN PORTION) AT BRGY. SABANGAN, CITY OF ALAMINOS, PANGASINAN</t>
  </si>
  <si>
    <t>Supply &amp; Delivery of  Tabulating File Cabinet (UPM - OUR)</t>
  </si>
  <si>
    <t>20HN0110 -LP: Construction/Repair/ Rehabilitation/Improvement of  Various Infrastructure including Local Projects - Local Roads and Bridges - Local Roads - Construction of Cabangahan- Sacsac Road, Con</t>
  </si>
  <si>
    <t>R4-INFRA2020-01-004 Construction of 1-Unit Materials Recovery Facility (MRF) &amp; 1-Unit, 2-Classroom Day Care Center, Package 1 located at Southville 9 Housing Project - Phase 4, Brgy. Pinugay, Baras, R</t>
  </si>
  <si>
    <t>Provision of Sidewalk and Drainage along IE-5 Service Road (Second Bidding)</t>
  </si>
  <si>
    <t>Widening of J. Abad Santos Extension</t>
  </si>
  <si>
    <t>20HN0111 -LP: Construction/Repair/ Rehabilitation/Improvement of Various Infrastructure including Local Projects - Local Roads and Bridges - Local Roads - Construction of Sacsac-Casili  Road, Consolac</t>
  </si>
  <si>
    <t>One (1) Year Garbage Collection, Transport and Disposal Services</t>
  </si>
  <si>
    <t>20HN0109 -LP: Construction/Repair/ Rehabilitation/Improvement of  Various Infrastructure including Local Projects - Local Roads and Bridges - Local Roads - Construction of Local Road, Purok Sto. Nino,</t>
  </si>
  <si>
    <t>Contract ID No. 20FA0047: CLUSTER 26 WIDENING AND CONCRETING OF BANAO-BICAL ROAD, BACACAY AND STO. DOMINGO, ALBAY AND REHABILITATION OF PAWA-TULIW-LABNIG-ESTANCIA-PARAPUTO ROAD, MALINAO AND TABACO CIT</t>
  </si>
  <si>
    <t>20HN0108 -LP: Construction/Repair/ Rehabilitation/Improvement of Various Infrastructure including Local Projects - Local Roads and Bridges - Local Roads - Construction of Local Road, Mapulo, Brgy. Ga</t>
  </si>
  <si>
    <t>INVITATION TO BID to the 4th Public Bidding of the Procurement for the Site Development Works for the NDC Industrial Estate (NDCIE)Project in Brgy. Langkaan, Dasmariñas City, Cavite</t>
  </si>
  <si>
    <t>CONSTRUCTION OF SIPOCOT FIRE STATION, CAMARINES SUR</t>
  </si>
  <si>
    <t>UPLB-S-038-03-20, SUPPLY AND DELIVERY OF BRANDED AND BRAND NEW VARIOUS WINDOW TYPE AIRCONDITIONING UNITS</t>
  </si>
  <si>
    <t>CONSTRUCTION OF DEL GALLEGO FIRE STATION, CAMARINES SUR</t>
  </si>
  <si>
    <t>Construction of Fire Truck Shed</t>
  </si>
  <si>
    <t>CONSTRUCTION OF GOA FIRE STATION, CAMARINES SUR</t>
  </si>
  <si>
    <t>Procurement and Delivery of ICT Equipment</t>
  </si>
  <si>
    <t>Supply and Delivery of Microsoft Office Home and Business for Installation in the Computers with Installed Ubuntu Operating System in the Main and Field Offices of the Commission – 2nd Bidding</t>
  </si>
  <si>
    <t>CONSTRUCTION OF BARCELONA FIRE STATION, SORSOGON</t>
  </si>
  <si>
    <t>Asphalt Overlay along Cardinal Santos Street</t>
  </si>
  <si>
    <t>Asset Preservation / Rehabilitation / Reconstruction / Upgrading of Quirino avenue – K0010+867 – K0011+467 Parañaque City, Metro Manila</t>
  </si>
  <si>
    <t>HO-PIB20-007 - Design, Supply, Delivery, Test and Commissioning of Two (2) Units of 5MW Power Barge at Mooring Facility, Bo. Obrero, Iloilo City</t>
  </si>
  <si>
    <t>74122 - 1 UNIT SINGLE STAGE VERTICAL IN-LINE CENTRIFUGAL PUMP 15 LPS</t>
  </si>
  <si>
    <t>20GO0038 - WIDENING/IMPROVEMENT/ UPGRADING OF HONORATA MANALO (BURI ROAD), BRGY. MANDALAGAN , BACOLOD CITY</t>
  </si>
  <si>
    <t>Rehabilitation/Upgrading and Improvement along 14th Avenue and its Vicinity, Brgy. East Rembo Makati City, Metro Manila</t>
  </si>
  <si>
    <t>Procurement of Service Vehicles for the Official Use of Associate Justices of the Supreme Court (Six [6] Units of Van)</t>
  </si>
  <si>
    <t>20BG0116-Repair of Overflow Bridge in Turod-Banquero, Reina Mercedes, Isabela</t>
  </si>
  <si>
    <t>Contract I.D. No. 20OE0114 - Rehabilitation of School Building at Gen. Licerio Geronimo School, Barangay 412, Manila</t>
  </si>
  <si>
    <t>PR NO. MG-MGE20-005, COFFEE MAKER &amp; 8 OTHER ITEMS</t>
  </si>
  <si>
    <t>SUPPLY AND DELIVERY OF ELECTRICAL SPARE PARTS FOR FG WILSON &amp; DALE PERKINS GENERATING SETS OF PALANAN DPP</t>
  </si>
  <si>
    <t>20FO0058-Construction of Multi-Purpose Building, Brgy. Danao, Polangui, Albay</t>
  </si>
  <si>
    <t>Purchase of Solid Waste Management Equipments</t>
  </si>
  <si>
    <t>20FO0060-Construction of Multi-Purpose Building, Brgy. Magpanambo, Polangui, Albay</t>
  </si>
  <si>
    <t>20FO0059-Construction of Multi-Purpose Building, Brgy. Balogo, Oas, Albay</t>
  </si>
  <si>
    <t>Proposed Two-Storey Four Classrooms at the Meneses Campus (INFRA-2020-12)</t>
  </si>
  <si>
    <t>One Job Order for the Supply and Delivery of Rapid Quantitative Fluorescence Immunochromatographic Assay Test kits and Consumables with free use of One (1) Unit Fluorescence Immunochromatographic Anal</t>
  </si>
  <si>
    <t>Renovation of Classrooms at the College of Information and Communications Technology Building (INFRA-2020-11)</t>
  </si>
  <si>
    <t>One Job Order for the Supply and Delivery of ABG Reagent Kits with Free Use of One (1) Unit ABG Analyzer for a Period of One (1) Year (BAC 2020-015)</t>
  </si>
  <si>
    <t>Procurement of Various Office Supplies (BAC 2020-018)</t>
  </si>
  <si>
    <t>19CSFC03 : CONDUCT OF GEOTECHNICAL INVESTIGATION FOR VARIOUS INFRASTRUCTURE PROJECTS, Camarines Norte</t>
  </si>
  <si>
    <t>Re-bidding for the Renovation of the College of Social Sciences and Philosophy (I-2020-08)</t>
  </si>
  <si>
    <t xml:space="preserve">20-DO-0068: LOCAL PROGRAM - Local Infrastructure Program – Buildings and Other Structures – Multipurpose/Facilities – Construction of Multi-Purpose Building (Barangay Health Center), Dela Costa Homes </t>
  </si>
  <si>
    <t>Contract I.D. No. 20OE0108 - Rehabilitation of School Building at P. Burgos Elementary School, Barangay 581, Manila</t>
  </si>
  <si>
    <t>Supply and Delivery of Printer Toner Cartridges for Replenishment of Stocks for 1st Quarter FY 2020</t>
  </si>
  <si>
    <t>INVITATION TO BID  FOR THE CONSTRUCTION OF 4-STOREY W/ ROOF DECK ACADEMIC BUILDING (PHASE II-STRUCTURE)</t>
  </si>
  <si>
    <t>Contract I.D. No. 20OE0195 - Re – Development of Estero de Binondo, Dasmariñas St., Brgy. 282, Zone 26, District 3, Manila</t>
  </si>
  <si>
    <t>One Job Order for the Supply and Delivery of Immunoassay Test kits and Consumables with free use of One (1) Unit Fully Automated Chemiluminescent Immunoassay (CLIA) Analyzer (BAC 2020-019)</t>
  </si>
  <si>
    <t>Contract I.D. No. 20OE0194 - Construction of Multi – Purpose Buildings ( Daycare Centers), Manila City</t>
  </si>
  <si>
    <t>Contract I.D. No. 20OE0193 - Improvement of Multi – Purpose Facilities, Brgy. 617, Manila City</t>
  </si>
  <si>
    <t>Re-bidding for the Proposed Audio Visual Room at Meneses Campus (I-2020-06)</t>
  </si>
  <si>
    <t>20FO0061-Construction of Multi-Purpose Building, Lower Binogsacan, Guinobatan, Albay</t>
  </si>
  <si>
    <t>Contract I.D. No. 20OE0189 - Rehabilitation of Multi – Purpose Building, Brgy 636, Sta. Mesa, Manila</t>
  </si>
  <si>
    <t>Contract I.D. No. 20OE0188 - Rehabilitation of Multi – Purpose Building (Bacood Health Center), Manila</t>
  </si>
  <si>
    <t>Network Development – Road Widening – Primary Roads, Manila North Road, K0087+701 – K0089+402, K0090+854 – K0091+104, Mabalacat City, Pampanga</t>
  </si>
  <si>
    <t>Contract I.D. No. 20OE0192 - Construction of Multi – Purpose Building at the Department of Social Welfare and Development – National Cpital Region, Manila</t>
  </si>
  <si>
    <t>ITB-CW-20200124-01 - LANDBANK Marawi (Lanao del Sur) Building Construction</t>
  </si>
  <si>
    <t>Contract I.D. No. 20OE0190 - Continuation of Multi – Purpose Building, Brgy. 259, Tondo, Manila</t>
  </si>
  <si>
    <t>Construction of Drainage Facility</t>
  </si>
  <si>
    <t>ITB-CW-20200121-01 - LANDBANK Baguio Corporate Center Building Construction</t>
  </si>
  <si>
    <t>Contract I.D. No. 20OE0187 - Preventive Maintenance – Secondary Roads – Plaza Sta. Cruz – (S02423LZ) (FLR) Chainage 000 – Chainage 104, Manila City</t>
  </si>
  <si>
    <t>Supply and Delivery of Brand New Thirteen (13) Units Service  Vehicles</t>
  </si>
  <si>
    <t>PROCUREMENT OF VARIOUS LABORATORY SUPPLIES (BAC 2020-016)</t>
  </si>
  <si>
    <t>Contract I.D. No. 20OE0191 - Rehabilitation / Reconstruction / Improvement of Multi – Purpose Building, Patricia Paraiso Complex, Brgy. 177, Tondo, Manila</t>
  </si>
  <si>
    <t>20HN0105 -LP: Local Infrastructure Program - Buildings and Other Structures – Multipurpose/Facilities - Construction and/or Repair/Rehabilitation of Multi-Purpose Building, Brgy. Ibabao, Cordoba, Cebu</t>
  </si>
  <si>
    <t>CONSTRUCTION OF RETAINING WALL WITH CANAL AT THE PROPOSED SAMBUNGAN NHS</t>
  </si>
  <si>
    <t>Contract ID No. 20K00285 - Construction of Multi-Purpose Building, Brgy. Ranao-Baning, Amai Manabilang, Lanao del Sur</t>
  </si>
  <si>
    <t>REHABILITATION OF LIVELIHOOD CENTER AT CALATAGAN PUBLIC MARKET</t>
  </si>
  <si>
    <t>Supply and Delivery of Brand New Three (3) Units Pick Up  Patrol Vehicles</t>
  </si>
  <si>
    <t>CONSTRUCTION OF MULTI-PURPOSE HALL AT BARANGAY HUKAY</t>
  </si>
  <si>
    <t>One (1) Lot – Supply, Delivery, Installation, Configuration, Customization, Testing and Implementation of the Appropriate Hardware, Software, Database Management System, All Associated Licenses and Re</t>
  </si>
  <si>
    <t>Provision of Garbage Hauling Services</t>
  </si>
  <si>
    <t>Procurement of Various Cellcards</t>
  </si>
  <si>
    <t>Supply and Delivery of Sheet Fed Scanners for the Document Management System (DMS) Project of the Commission</t>
  </si>
  <si>
    <t>Supply &amp; Delivery of  Computers &amp;  Battery for UPS  (UPM - Accounting Office)</t>
  </si>
  <si>
    <t>Construction of Multi-Purpose Building (Covered Court) Brgy. Bensican, San Nicolas, Pangasinan</t>
  </si>
  <si>
    <t>Supply &amp; Delivery of  Plastic Filler and Ring Binder   (UPM - OVCPD)</t>
  </si>
  <si>
    <t>Procurement of Detailed Engineering Design for Lucac Water Supply System Project of San Francisco Water District</t>
  </si>
  <si>
    <t>Procurement of Syringes for Immunization Section</t>
  </si>
  <si>
    <t>Asphalt Overlay at Clark Musem Area</t>
  </si>
  <si>
    <t>Procurement of supply and delivery of ICT Supplies</t>
  </si>
  <si>
    <t>Construction of Sta. Barbara Arena, Phase I under Design and Build Scheme</t>
  </si>
  <si>
    <t>Rehabilitation of Barnhouses (Renovation of Building 2089 including Studio Room)</t>
  </si>
  <si>
    <t>REPAIR OF HEALTH CENTER (ROOFING)</t>
  </si>
  <si>
    <t>Contract ID No. 20K00275 - Construction of Multi-Purpose Building, Katogonan, Buadiposo Buntong, Lanao del Sur</t>
  </si>
  <si>
    <t>UPLB-S-030-03-20, PROCUREMENT OF SIPHONING SERVICES OF SEPTIC TANKS FOR UPLB DORMITORIES (NEW DORMITORY, VETMED DORMITORY, FORESTRY RESIDENCE HALL, NEW FORESTRY RESIDENCE HALL)</t>
  </si>
  <si>
    <t>20AC0072 - Construction of Multi-Purpose Building (Covered Court), Brgy. Lingsat, Bantay, Ilocos Sur</t>
  </si>
  <si>
    <t>Procurement of One (1) Lot, Three (3) Years Janitorial Services for CF-Davao and Apo View Satellite</t>
  </si>
  <si>
    <t>Procurement of Various IT Supplies and Equipment (BAC 2020-012)</t>
  </si>
  <si>
    <t>UPLB-RQ-1-049-20-RES SUPPLY AND DELIVERY OF LABORATORY SUPPLIES &amp; EQUIPMENT FOR BIOTECH</t>
  </si>
  <si>
    <t>Supply and Delivery of One (1) unit Backup and Replication (installer)</t>
  </si>
  <si>
    <t>20HD0079 - Construction of Multi-Purpose Building, Cebu Normal University-Medellin Campus, Medellin, Cebu</t>
  </si>
  <si>
    <t>20KA0101(Readvertisement) Cluster 2 1.) Construction of Flood Control Structure along Malaybalay -Gingoog Road (Kulaman Br.), Malaybalay City, Bukidnon 2.) Construction of Flood Control Structure alon</t>
  </si>
  <si>
    <t>CID No. 20OD0126 - Construction of Multi-Purpose Building (Phase I), Brgy. Malinta, Valenzuela City</t>
  </si>
  <si>
    <t>20HD0075 - Construction of Multi-Purpose Building, Brgy. San Vicente, Tabogon, Cebu</t>
  </si>
  <si>
    <t>CID No. 20OD0188 - Improvement of Pamantasan ng Lungsod ng Valenzuela, Brgy. Malinta, Valenzuela City</t>
  </si>
  <si>
    <t>Contract I.D. No. 20OE0173 - Rehabilitation / Reconstruction / Improvement of Multi-purpose Building, Brgy. 152, Tondo, Manila</t>
  </si>
  <si>
    <t>Contract I.D. No. 20OE0185 - Construction of Multi-Purpose Building (Rizal Covered Court), City of Manila</t>
  </si>
  <si>
    <t>20HD0055 - Construction of School Building at PHILSCA Brgy. Curva, Medellin, Cebu</t>
  </si>
  <si>
    <t>Contract I.D. No. 20OE0138 - Rehabilitation of Roads and Drainage at Cordillera St. and Ext., Manila</t>
  </si>
  <si>
    <t>Contract ID No. 20K00270 - Construction of Multi-Purpose Building (Public Market) Butig, Lanao del Sur</t>
  </si>
  <si>
    <t>Contract ID No. 20FA0040: CLUSTER 22 - REHABILITATION/CONSTRUCTION/IMPROVEMENT OF VARIOUS RIVER CONTROL AT STO. DOMINGO, MALINAO AND MALILIPOT, ALBAY</t>
  </si>
  <si>
    <t>Contract ID No. 20K00282 - Construction of Multi-Purpose Building, Barangay Gadongan, Marawi City, Lanao del Sur</t>
  </si>
  <si>
    <t>Consulting Services for the Conduct of Detailed Site Development Plan of Areas included under Phase 1-A of the CFZ Master Development Plan and Business Plan</t>
  </si>
  <si>
    <t>Widening and Improvement of Prince Balagtas Avenue (Package I) (STA. 0+000 to STA. 3+988)</t>
  </si>
  <si>
    <t>CDC Group Life Insurance (Second Bidding)</t>
  </si>
  <si>
    <t>CID No. 20CSIO08: Consultancy Services for the Conduct of Feasibility Study of the Proposed Construction of Bypasses/Diversion Roads along Brgy. Kilim – Sitio Tipay Road junction Ormoc – Baybay – Sout</t>
  </si>
  <si>
    <t>Upgrading of Electrical System and Submetering of the DENR Main Building per Bid Ref. No. DENR-CO-2020-002 Rebid</t>
  </si>
  <si>
    <t>Procurement of Garments	(polo shirts) PR # 2020-03-19-076</t>
  </si>
  <si>
    <t>Supply &amp; Delivery of One (1) Unit Brand New Sea Ambulance for Emergency Rescue which Transport Patients to the Treatment Facility</t>
  </si>
  <si>
    <t>20FO0077 - Rehabilitation/Improvement of Marocmoc Bridge Flood Control Structure (Right Side Facing Upstream and Left Facing Downstream of Marocmoc Bridge) in Libon, Albay</t>
  </si>
  <si>
    <t>CID No. 20CSIO10: Consultancy Services for the Conduct of Feasibility of the Proposed Road Opening/Construction of Junction Himay-angan – Silago – Abuyog Boundary Road (Bagacay – Tib-o), Abuyog, Leyte</t>
  </si>
  <si>
    <t>20AC0082 - Construction of Box Culvert and Improvement of Drainage Canal Along Cabasaan Creek, Brgy. VIII, Vigan City, Ilocos Sur</t>
  </si>
  <si>
    <t>20AC0080 - Construction of Drainage Canal Along Sta. Elena Creek to Mestizo River, Brgy. VIII, Vigan City, Ilocos Sur</t>
  </si>
  <si>
    <t>Upgrading of Desktop Computer</t>
  </si>
  <si>
    <t>20HM0083 (Re-IB) - Local Program, Local Infrastructure Program, Buildings And Other Structures, Multipurpose/Facilities, Construction of Multi-Purpose Building, Brgy. Candanay Norte, Siquijor, Siquijo</t>
  </si>
  <si>
    <t>CY 2020 BASIC EDUCATIONAL FACILITIES FUND (BEFF) ELECTRICAL UPGRADE OF BUBUYAN NATIONAL HIGH SCHOOL (ITB 2020-Infra-007)</t>
  </si>
  <si>
    <t>Procurement of Managed Security Services</t>
  </si>
  <si>
    <t xml:space="preserve">20CSH020 - Procurement of  Consultancy Services for the Detailed Engineering Design (DED) Activities for various projects, Construction of Interchange along F. Sotto St., cor. Gorordo Ave., Cebu City </t>
  </si>
  <si>
    <t>Installation of CCTV's in Various Barangays</t>
  </si>
  <si>
    <t>20AC0081 - Rehabilitation of Rivero Street, Including Construction of Drainage Canal, Brgy. Sta. Elena, Vigan City, Ilocos Sur</t>
  </si>
  <si>
    <t>ITB and Bid Docs for Procurement ID/Contract ID:    20C00042 - Local Program-Construction/Repair/Rehabilitation/Improvement of various Infrastructure including Local Projects – Flood Control &amp; Drainag</t>
  </si>
  <si>
    <t>Supply and Delivery of FRP Materials, Underwater Fittings and Marine Engine</t>
  </si>
  <si>
    <t>Procurement of supply and delivery of Laboratory Supplies</t>
  </si>
  <si>
    <t>Supply and Delivery of 700 Box Personalized Accountable Forms 51 (Continuous FOrm) (500sets/box) and other items.</t>
  </si>
  <si>
    <t>ITB- Upgrading Central Agriculture Laboratory Building (ASIST Lagangilang)</t>
  </si>
  <si>
    <t>Provision of Data Privacy Services (Phase I)</t>
  </si>
  <si>
    <t>20CSH019 - Procurement of  Consultancy Services for the Detailed Engineering Design (DED) Activities for various projects, Construction of Underpass along Juan Luna Ave. from the junction of Archbisho</t>
  </si>
  <si>
    <t>Construction of Road within Hollywood Park</t>
  </si>
  <si>
    <t>Construction of Multi-Purpose Building, Brgy. Anahawon, Maramag, Bukidnon</t>
  </si>
  <si>
    <t>PB No. 19-341-7 Engineering, Procurement, Construction and Commissioning (EPCC) Contract for the Subic-Clark Railway Project for the Department of Transportation (DOTr)</t>
  </si>
  <si>
    <t>Construction of Tourist Visitor Center I (Second Bidding)</t>
  </si>
  <si>
    <t>20J00091 - Replacement of Permanent Weak Bridges - Tuburan Bridge along Jolo - Taglibi - Tiptipon Road K 17+340 - K 17+351</t>
  </si>
  <si>
    <t>20J00090 - Replacement of Permanent Weak Bridges - Lubluban Gadja Bridge along Jolo - Taglibi - Tiptipon Road K 15+010 - K 15+020</t>
  </si>
  <si>
    <t>20J00089 - Replacement of Permanent Weak Bridges - Binuang Bridge along Jolo - Taglibi - Tiptipon Road K 17+040 - K 17+051</t>
  </si>
  <si>
    <t>Purchase of Automated Defibrillator for the use of various CAAP Airports and facilities</t>
  </si>
  <si>
    <t>CID No. 20OD0131 - Construction of Flood Control Wall along Purok 4 Orosco, Brgy. Mapulang Lupa, Valenzuela City</t>
  </si>
  <si>
    <t>CONSTRUCTION REHAB PROVISION OF AMENTIES OF DETENTION CELL</t>
  </si>
  <si>
    <t>Other Machinery and Equipment</t>
  </si>
  <si>
    <t>20J00092 - Replacement of Permanent Weak Bridges - Ukilan Bridge along Jolo - Taglibi - Tiptipon Road K 19+830 - K 19+839</t>
  </si>
  <si>
    <t>Profession Services (Highly Technical)</t>
  </si>
  <si>
    <t>Technical and Scientific Equipment</t>
  </si>
  <si>
    <t>RFQ / 20-03-0221 / PROCUREMENT OF AIRCON REPAIR</t>
  </si>
  <si>
    <t>Supply and Delivery of Office Supplies intended for printing and processing of FRMS official documents</t>
  </si>
  <si>
    <t>20KA0138 Construction of Multi Purpose Building - Construction of Multi-Purpose  Building, Brgy. Iba, Cabanglasan, Bukidnon (Phase I) Cabanglasan, Bukidnon</t>
  </si>
  <si>
    <t>20KA0137 Paving of Unpaved Roads with Construction of Road Slope Protection Structure along Jct SH Aglayan-Zamboanguita Rd (S00631MN) - K1569 + 187 - K1570 + 092 (Package 1 - K1569 + 187 - K1569 + 607</t>
  </si>
  <si>
    <t>Purchase of Eleven (11) Units Laptop for the Use of Sangguniang Bayan</t>
  </si>
  <si>
    <t>20KA0142 Construction of Multi Purpose Building - Construction of Multi-Purpose  Building, Brgy. Iba, Cabanglasan, Bukidnon (Phase II) Cabanglasan, Bukidnon</t>
  </si>
  <si>
    <t>Local Program: Construction/ Repair/ Rehabilitation/ Improvement of Buildings and Other Structures; Multi-Purpose/ Facilities; Construction of Multi-Purpose Building (Auditorium) at Brgy. Sto. Nino, M</t>
  </si>
  <si>
    <t>Procurement of Certification Services for CAAP under ISO 9001:2015 Quality Management System</t>
  </si>
  <si>
    <t>Two (2) Years and Six (6) Months Contract for Janitorial Services (July 2020 to December 2022)</t>
  </si>
  <si>
    <t>74514 - Procurement of Various Hardware &amp; Construction Materials</t>
  </si>
  <si>
    <t>RFQ / 20-03-0226 / PROCUREMENT OF 24 GALS RED OXIDE PRIMER AND 6 OTHER LINE ITEMS</t>
  </si>
  <si>
    <t>INVITATION TO RE-BID FOR THE  SUPPLY AND DELIVERY OF GIS DESKTOP SOFTWARE PR No. 27611-001</t>
  </si>
  <si>
    <t>Slope Protection of Drainage at the back of MSK/Nayong Pilipino</t>
  </si>
  <si>
    <t>20FO0092 - Construction of Covered Court, Brgy. La Medalla, Polangui, Albay</t>
  </si>
  <si>
    <t>PR# MG-MGE20-008 - BEDDINGS &amp; 13 OTHER ITEMS</t>
  </si>
  <si>
    <t>74568 - Procurement of Various Hardware Materials for Construction of Modular Concrete Blocks</t>
  </si>
  <si>
    <t>Contract ID No. 19CSK00055 – Consulting Services for the Conduct of Soil Testing/Exploration for Bridge Projects - Geotechnical Investigation - Construction of Concrete Bridge, Impasug-ong Bdry. Bukid</t>
  </si>
  <si>
    <t>Procurement of Reference Books (Lot 1-7)</t>
  </si>
  <si>
    <t>ITB-GS-20200323-01 - 1 Lot Supply, Delivery and Installation of Systems Furniture for LANDBANK Malolos Highway Office Building</t>
  </si>
  <si>
    <t>Procurement of Fully Automated Digital Radiography Ceiling Mounted with Design and Build with Integrated Radiololy Information System (RIS)</t>
  </si>
  <si>
    <t>Supply and Delivery of One (1) Unit Passenger Van</t>
  </si>
  <si>
    <t>Contract I.D. No. 20OE0166 - Construction of 3 Storey Multi – purpose Building, Brgy. 282, Manila</t>
  </si>
  <si>
    <t>Rehabilitation/Maintenance of Farm to Market Road</t>
  </si>
  <si>
    <t>20H00061 - Cluster Project: Construction of Rain Water Supply/Septage and Sewerage/Rain Water Collectors-Rain Water Collectors in Public Facilities-19 Units</t>
  </si>
  <si>
    <t>BID - Various Manila Aide Uniforms, Supplies and Materials - DPS 2nd qtr</t>
  </si>
  <si>
    <t>Supply of Materials for the Repair Parts of M &amp; R: Communication Equipment of LMSs</t>
  </si>
  <si>
    <t>SUPPLY, DELIVERY, AND INSTALLATION  OF VARIOUS ICT EQUIPMENT UNDER THE 2020 MITHI PROJECT</t>
  </si>
  <si>
    <t>PROCUREMENT OF MEDICAL/SURGICAL/LABORATORY/DENTAL &amp; X-RAY SUPPLIES FOR USE AT KALINGA PROVINCIAL HOSPITAL, 20-05-940</t>
  </si>
  <si>
    <t>Pasalubong Center</t>
  </si>
  <si>
    <t>Supply of Materials for the Repair Parts of M &amp; R: Power System of LMSs</t>
  </si>
  <si>
    <t>Concreting of Farm to Market Road (Roma Norte-Batu Road)</t>
  </si>
  <si>
    <t>3 lots Strapping and Bundling Materials and Band Rolls</t>
  </si>
  <si>
    <t>PR No. 2020-02-0190-MAIN-Supply and Delivery of Hotel Housekeeping Instructional and Laboratory Materials for the College of Business Arts and Sciences</t>
  </si>
  <si>
    <t>INFRA 2K20-49 CONCRETING OF BINUAY TO BALUNO ROAD SECTION</t>
  </si>
  <si>
    <t>REHABILITATION OF MULTI-PURPOSE HALL (OLD MUNICIPAL BUILDING)</t>
  </si>
  <si>
    <t>Supply and Delivery of One (1) lot Sealed Lead Acid Battery</t>
  </si>
  <si>
    <t>20AC0076 - Construction of Multi-Purpose Building (Covered Court), Brgy. San Julian, Bantay, Ilocos Sur</t>
  </si>
  <si>
    <t>fishing gears</t>
  </si>
  <si>
    <t>20NA0072 Completion of Conference/Seminar Building, Brgy. Poblacion, Jabonga, Agusan del Norte</t>
  </si>
  <si>
    <t>RFQ / 20-06-0273 / PROCUREMENT OF CERAMIC FLOOR TILES, 30 X 60CM AND 7 OTHER LINE ITEMS</t>
  </si>
  <si>
    <t>ITB - Vehicles (SIDA)</t>
  </si>
  <si>
    <t>CONSTRUCTION OF VARIOUS INFRA PROJECTS</t>
  </si>
  <si>
    <t>Concreting of 100 Linear Meter Soriano Street</t>
  </si>
  <si>
    <t>Concreting of 700 Linear Meter Barangay Sigayan Farm to Market Road</t>
  </si>
  <si>
    <t>One (1) Lot – BSP Web Security and Content Filtering System Enhancement Project, consisting of Supply, Delivery, Installation, Configuration, Testing and Commissioning of Blue Coat Secure Gateway (PRO</t>
  </si>
  <si>
    <t>Concrete Paving along River Park 100LM(Phase 1) (06-0592)CPDO</t>
  </si>
  <si>
    <t>One (1) Lot – Maintenance Support for Enterprise Storage Systems and Storage Area Network Devices, as per BSP Terms of Reference and Service Level Agreement (Multi-Year Contract)</t>
  </si>
  <si>
    <t>Supply and Delivery of Office Equipment for MDRRM  Office</t>
  </si>
  <si>
    <t>Concreting of 100 Linear Meter Brgy. Buenavista Farm to Market Road</t>
  </si>
  <si>
    <t>furnishing/delivery of fuel, oil and lubricants</t>
  </si>
  <si>
    <t>PURCHASE OF OFFICE SUPPLIES LGU, CAJIDIOCAN, ROMBLON</t>
  </si>
  <si>
    <t>IMPROVEMENT OF MULTI-PURPOSE HALL PHASE II- MUNICIPAL BUILDING, POBLACION, CAJIDIOCAN, ROMBLON</t>
  </si>
  <si>
    <t>Supply of Gasoline and Diesel through Fleet Card Technology System for Two (2) Years under ITB NO. PB20-01-015CORa-06</t>
  </si>
  <si>
    <t>DEVELOPING THE ROOT CROPS INDUSTRY OF THE AHIN FARMERS DEVELOPMENT ORGANIZATION INCORPORATED – LOT 2</t>
  </si>
  <si>
    <t xml:space="preserve">20CSKG01 :Sub-Surface Exploration for the 1) Construction of New SINDIG Bridge (35 Lin.m.) Chainage 3700  along LDNICR (S0097MN), 2) Construction of 1-NEW Concrete Bridge, Chainage 22054 of S00963MN, </t>
  </si>
  <si>
    <t>PROCUREMENT OF VARIOUS ICT</t>
  </si>
  <si>
    <t>Delivery of various ICT Equipment needed for various offices (Consolidated) (ITB 20-072)</t>
  </si>
  <si>
    <t>Supply and Delivery of Disaster Equipment</t>
  </si>
  <si>
    <t>Re-Bidding for the Supply &amp; Delivery of Medical Supplies for MDRRMO use</t>
  </si>
  <si>
    <t>CONSTRUCTION OF MULTI-PURPOSE CENTER/EVACUATION CENTER IN BARANGAY BINANOGAN, VALDERRAMA (Brgy. Binanogan, Valderrama, Antique)/IB. NO. K-2020-023(SC)</t>
  </si>
  <si>
    <t>Supply and Delivery of Printing Supplies for different departments (Non-PS) (PR No. 2020-06-0560)</t>
  </si>
  <si>
    <t>Non-Prod Infrastructure Technology Refresh</t>
  </si>
  <si>
    <t>CONSTRUCTION OF FMR- SITIO SAED, TAGUILOS, CAJIDIOCAN, ROMBLON</t>
  </si>
  <si>
    <t>IB No. 2020-221 PROCUREMENT OF BEDAQUILINE FUMARATE</t>
  </si>
  <si>
    <t>Supply and Delivery of  DENTAL EQUIPMENT/FACILITY</t>
  </si>
  <si>
    <t>SUPPLY AND DELIVERY OF OFFICE SUPPLIES (2nd Bidding)</t>
  </si>
  <si>
    <t>SUPPLY AND DELIVERY OF SUPPLIES AND MATERIALS  FOR BARANGAY ROAD CONCRETING-Ilihan Public Market</t>
  </si>
  <si>
    <t>Procurement of ICT Resources for Geospatial Information and System Management Use</t>
  </si>
  <si>
    <t>Procurement of Technical and Scientific Equipment (Lot 1. Water bath/holding tank with thermometer heater stainless steel bracing pan, etc</t>
  </si>
  <si>
    <t>REPOSTING  FOR MACHINERY  &amp;  EQUIPMENT OUTLAY FOR THE PURCHASE OF ONE UNIT NURSING SIMULATOR FOR THE USE OF COLLEGE OF HEALTH SCIENCES</t>
  </si>
  <si>
    <t>20PJ0053: Repair/ Rehabilitation of National Road along Nueva Vizcaya- Ifugao Mt. Province Boundary Road, K0335+550- K0351+187 (Intermitent Section)</t>
  </si>
  <si>
    <t>Supply and Delivery of Live Animals and feeds</t>
  </si>
  <si>
    <t>Construction of Rural Access Road</t>
  </si>
  <si>
    <t>Supply, Delivery and Installation of Electro-Mechanical Equipment and Design for Pump Station, Construction of Pump House and Installation of Medium/Voltage for Pumping Station Power Supply</t>
  </si>
  <si>
    <t>City Projects</t>
  </si>
  <si>
    <t>Procurement of Window Blinds and Glass Sticker - Lot 1 - Window Blinds - OVG</t>
  </si>
  <si>
    <t>Invitation to Apply for Eligibility and to Bid for INSTALLATION OF LIGHTINGS FOR STORM-SURGE-PREVENTING BREAKWATER AND SEA WALL    (PHASE II)</t>
  </si>
  <si>
    <t>Supply of Labor and Materials for the Installation of New Cooling Coils for Air Handling Units at NAIA Terminal 3</t>
  </si>
  <si>
    <t>PROCUREMENT OF TRAVELLING RICE MILL  (FOR SAN ISIDRO RICE FARMER ASSOCIATION, BUB 2015)</t>
  </si>
  <si>
    <t>Agricultural Machinery and Equipment for subsidy/assistance to Local Government Units,  Other (Farmers Association/Cooperative)</t>
  </si>
  <si>
    <t>Hospital supplies and equipment</t>
  </si>
  <si>
    <t>SUPPLIES AND MATERIALS FOR MAGSAYSAY COLLEGE</t>
  </si>
  <si>
    <t>PROCUREMENT OF CORN SEEDS &amp; FERTILIZERS FOR THE SUSTAINABLE LAND RESOURCE MANAGEMENT APPROACH (SLRMA) FOR AGRI-ENVIRONMENTAL DEVELOPMENT OF UPLANDS AND HILLY LANDS AT SITIO NANGKA, PUNTIAN, SUMILAO, B</t>
  </si>
  <si>
    <t>20HN0083 (Re-advertisement) -LP: Construction/Repair/ Rehabilitation/Improvement of  Various Infrastructure including Local Projects - Local Roads  and Bridges - Local Roads - Construction of Local Ro</t>
  </si>
  <si>
    <t>Purchase of Payloader - LGU-Maasin, Iloilo</t>
  </si>
  <si>
    <t>Procurement of Logbook - PDH</t>
  </si>
  <si>
    <t>Procurement of IT and Office Equipment - Lot 1 - IT Equipment - PAIASSO</t>
  </si>
  <si>
    <t>Concreting of Municipal Roads</t>
  </si>
  <si>
    <t>Procurement of Various Housekeeping Supplies - PLSO</t>
  </si>
  <si>
    <t>Procurement of Various Office Supplies  - SOYMPH</t>
  </si>
  <si>
    <t>Procurement of Kitchen Equipment - SOYMPH</t>
  </si>
  <si>
    <t>Procurement of Vehicle Spare Parts &amp; Labor - PGO</t>
  </si>
  <si>
    <t>Procurement of Vehicle Spare Parts - PEO ENGINEERING</t>
  </si>
  <si>
    <t>Procurement of Vehicle Spare Parts &amp; Labor - PDRRMO</t>
  </si>
  <si>
    <t>“Acquisition of One (1) Lot Health Care Services through Health Maintenance Organization"</t>
  </si>
  <si>
    <t>Procurement of Vehicle Spare Parts - PENRMO</t>
  </si>
  <si>
    <t>Procurement of Electrical Supplies  - PENRMO</t>
  </si>
  <si>
    <t>Rehabilitation of Spring Development Project, Barangay Mahayag, St. Bernard, Southern Leyte</t>
  </si>
  <si>
    <t>20GGF0016 – Procurement  of Global Navigation Satellite System (GNSS) Equipment (1 base, 2 rovers) with Complete Accessories for use in the Planning and Design Section, Iloilo 1st District Engineering</t>
  </si>
  <si>
    <t>Rehabilitation of Barangay Pandan Multi-Purpose Building, Barangay Pandan, Liloan, Southern Leyte</t>
  </si>
  <si>
    <t>Construction of Multi-Purpose Hall, Barangay San Antonio, Tomas Oppus, Southern Leyte, Southern Leyte</t>
  </si>
  <si>
    <t>Construction of Canopy of Covered Court, Barangay Cantutang, Padre Burgos, Southern Leyte</t>
  </si>
  <si>
    <t>Supply, Installation and Commissioning of Two (2) units Ultraviolet Germicidal Irradiction Disinfection System</t>
  </si>
  <si>
    <t>20KB0167   Construction of Multi-Purpose Building (Municipal Risk Reduction Management Office), Maramag, Bukidnon</t>
  </si>
  <si>
    <t>SUPPLY &amp; DELIVERY OF VARIOUS MECHANICAL SPARE PARTS FOR 163KW PERKINS GENSET MODEL: 2006-TGI, ENGINE NO.: 8B27396U86225V INTENDED FOR LIMASAWA DPP</t>
  </si>
  <si>
    <t>COMPLETION OF COMMERCIAL BUILDING - GOA</t>
  </si>
  <si>
    <t>Job Order: Supply and planting of Bermuda Grass and others for site grading, stabilization and final cover of Dumpsite (Closure Plan) Phase I, Barangay Candau-ay.</t>
  </si>
  <si>
    <t>SUPPLY AND DELIVERY OF CONSTRUCTION SUPPLIES FOR THE COMPLETION OF PRESIDENT'S HOUSING</t>
  </si>
  <si>
    <t>Procurement and Deployment of Artificial Reef (Phase VI)</t>
  </si>
  <si>
    <t>Supply and Delivery of Laboratory Equipment for VSU Main Campus</t>
  </si>
  <si>
    <t>ITB 20-0065 - Supply and Delivery of 1 unit X-Ray Machine.</t>
  </si>
  <si>
    <t>Supply &amp; Delivery of Medical, Dental &amp; Laboratory Supplies for City Health Office-OPD, Dental, Laboratory Section &amp; Six (6) District Health Center in Ormoc City, Ormoc City</t>
  </si>
  <si>
    <t>PROJECT: CONTINUATION OF EVACUATION CENTER</t>
  </si>
  <si>
    <t>PROPOSED CONSTRUCTION OF DRAINAGE SYSTEM @ PUROK dascc</t>
  </si>
  <si>
    <t>Procurement of Catering Services &amp; Venue - Lot 2 - Venue - PDRRMO</t>
  </si>
  <si>
    <t>Proposed Construction of Pathways  at Purok QCRO</t>
  </si>
  <si>
    <t>SUPPLY AND DELIVERY OF ONE (1) UNIT PICK-UP AND ONE (1) UNIT PASSENGER VAN</t>
  </si>
  <si>
    <t>20GEB0023: Procurement/Supply/Delivery of IT for use of DPWH-Mindoro Occidental DEO Planning and Design Section</t>
  </si>
  <si>
    <t>20CSDM05 – Conduct of Geotechnical Investigation of San Andres - San Narciso Road</t>
  </si>
  <si>
    <t>bangus fingerlings</t>
  </si>
  <si>
    <t>20CSDM04 – Conduct of Geotechnical Investigation for Basiao Seawall, Agdangan River, Poblacion and Pansoy Seawall, Talisay River, in Quezon III L.D</t>
  </si>
  <si>
    <t>100-2019-11-1710 Supply and delivery of 245.50 cu.m. ready mixed concrete 3500psi</t>
  </si>
  <si>
    <t>Improvement of Water Supply System (Intake Box, Pipe Concrete Blanket) Brgy. Bagte - Buenavista, Relocation Site, Quinapondan E. Samar (Re-bid)</t>
  </si>
  <si>
    <t>100-2019-10-1635 Supply and delivery of multi-purpose vehicle (brand new single cab with FB body dual AC with response accessories</t>
  </si>
  <si>
    <t>100-2020-02-308 Supply and delivery of 4 units ambulance</t>
  </si>
  <si>
    <t>Purchase of One (1) Unit Bottle and Glass Crusher to be used at the MENRO Office of this Municipality</t>
  </si>
  <si>
    <t>Procurement of Supplies and Materials for the Conduct of Vegetable Demo Farm</t>
  </si>
  <si>
    <t>CONSTRUCTION OF MULTI-PURPOSE BUILDING AT BRGY. SAMPALOC I, CITY OF DASMARIÑAS, CAVITE</t>
  </si>
  <si>
    <t>20DE0144 Construction of Evacuation Center in Bolbok, Batangas City, Batangas</t>
  </si>
  <si>
    <t>ITB 2020-06-89 Procurement of 92,500 pcs. Birthday Cake for the period July to December 31, 2020 for OM-OSCA</t>
  </si>
  <si>
    <t>Procurement of MDRRM Protective Equipment</t>
  </si>
  <si>
    <t>PB INFRA 20-040_Construction of Covered Court with Stage, Bleachers &amp; Basketball Rings, Lower Paatan, Kabacan, Cotabato</t>
  </si>
  <si>
    <t>CONSTRUCTION OF CONCRETE BLEACHER &amp; CONCRETE FLOORING @ BRGY. MARINTOC, MOBO, MASBATE</t>
  </si>
  <si>
    <t>20CSMH05 - SUB-SURFACE EXPLORATION (SOIL EXPLORATION) OF CONSTRUCTION OF RIVER BANK PROTECTION/FLOOD CONTROL (UPSTREAM SIDE) AT LIMULAN RIVER (CLUSTER E), KALAMANSIG, SULTAN KUDARAT</t>
  </si>
  <si>
    <t>Completion of Cabul-anonan Seawall, Barangay Cabul-anonan, Malitbog, Southern Leyte</t>
  </si>
  <si>
    <t>PB INFRA 20-042_Construction of Box Culvert, Sta. Cruz, Midsayap, Cotabato</t>
  </si>
  <si>
    <t>Supply and Delivery of Dump Truck</t>
  </si>
  <si>
    <t>20CSMH04 - SUB-SURFACE EXPLORATION (SOIL EXPLORATION) OF BRIDGES ALONG ISULAN JCT.- NINOY AQUINO RD. (CLUSTER D), SEN. NINOY AQUINO, SULTAN KUDARAT</t>
  </si>
  <si>
    <t>CONSTRUCTION OF DRAINAGE CANAL WITH CONCRETE COVER</t>
  </si>
  <si>
    <t>Supply and Delivery of Construction Materials for the Cotabato Airport Development Project CY 2018 (Runway Strip Grade Correction)</t>
  </si>
  <si>
    <t>20D00078 - CONSTRUCTION OF EVACUATION CENTER AT PLARIDEL, QUEZON</t>
  </si>
  <si>
    <t>Supply and Delivery of One (1) lot Various Information Communication and Technology Equipment</t>
  </si>
  <si>
    <t>CONSTRUCTION OF BRIDGE at Balidbid, Salcedo, Ilocos Sur</t>
  </si>
  <si>
    <t>Concreting of Violita St. (from Sampaguita Ave. - Orchid St.)</t>
  </si>
  <si>
    <t>Procurement of Materials for Rehabilitation of Spring box and pipelines</t>
  </si>
  <si>
    <t>Construction/ Rehabilitation of Water Supply/ Septage and Sewerage/ Rain Water Collectors - Rain Water Collectors in Public Facilities 1. Baguio City National High School (Main), Gov. Pack Rd., Baguio</t>
  </si>
  <si>
    <t>PB INFRA 20-041_Construction of Covered Court with Stage, Buliok Elementary School, Sitio Katipunan, Buliok , Pikit, Cotabato</t>
  </si>
  <si>
    <t>PROCUREMENT OF BREEDED CHICKEN (MALE &amp; FEMALE) FOR CHICKEN DISPERSAL PROGRAM OF MUNICIPAL AGRICULTURE</t>
  </si>
  <si>
    <t>100-2019-11-1714 Supply and delivery of passenger van with response accessories 2.5L diese-fed, engine displacement 2494cc,etc, (RDANA)</t>
  </si>
  <si>
    <t>Supply and Delivery of Medical Equipment and Facilities for BEmONC in the Municipality of Victoria, Oriental Mindoro</t>
  </si>
  <si>
    <t>Repair/Maintenance of Liliongan Cave road - Sitio Matingao Malapag Road</t>
  </si>
  <si>
    <t>Construction of Magaupas River Control, Barangay Magaupas, Liloan, Southern Leyte</t>
  </si>
  <si>
    <t>20LB0261 - Road Widening &amp; Replacement of Bridge along Jct. Davao-Cotabato Old Road (Bago Gallera Section) Leading to Philippine Coconut Authority (PCA), Davao City</t>
  </si>
  <si>
    <t>20LB0233 - Construction of Drainage Along Jct. F. Torres – Mt. Mayon – E. Quirino Road, Davao City</t>
  </si>
  <si>
    <t>cultivator</t>
  </si>
  <si>
    <t>INVITATION TO BID FOR THE  PROCUREMENT OF 13 PCS SWIVEL CHAIR STA. FE, LEYTE (BDG-2020-03)</t>
  </si>
  <si>
    <t>Labor and Materials for the Desilting/Declogging of Alasas - Del Rosario Creek (Alasas Bridge to Del Rosario Bridge) at Alasas and Del Rosario, City of San Fernando, Pampanga</t>
  </si>
  <si>
    <t>Removal and Replacement of Sidewalk &amp; Drainage at Orchid St.</t>
  </si>
  <si>
    <t>Materials for Construction of Multi-Purpose Building, Tradetown Dalipe, San Jose Antique</t>
  </si>
  <si>
    <t>20LB0224 - Construction (Completion) of Multi-Purpose Building (Brgy. Hall), Brgy. Malabog, Davao City</t>
  </si>
  <si>
    <t>Rehabilatation of various FMRs</t>
  </si>
  <si>
    <t>Rehabilitation of SB Session Hall</t>
  </si>
  <si>
    <t>Construction of Pathway, Po. Rose A Brgy. Malaiba, Canlaon City</t>
  </si>
  <si>
    <t>IMPROVEMENT/REHABILITATION OF POBLACION WATER SYSTEM</t>
  </si>
  <si>
    <t>PRE-BID CONFERENCE 7/July/2020 - Procurement of Goods: Const'n Materials for the use of CMO - Cons'tn of Multi-Purpose Bldg. at Laureta Elem. School, San Miguel, T.C. (PR#100-20-06-0277)</t>
  </si>
  <si>
    <t>20LB0304 - Repair/Maintenance of DAR Building RO-XI-Kalayaan Building, Phase 3, Catalunan Pequeño, Davao City</t>
  </si>
  <si>
    <t>IMPROVEMENT OF 2ND FLOOR LEVEL OF EVACUATION CENTER</t>
  </si>
  <si>
    <t>Procurement of ICT Equipment of Naval Systems Engineering MIS (NSEMIS) Project</t>
  </si>
  <si>
    <t>REFILL OF SPECIALIZED GAS FOR CSR STOCKING/ SALES PURPOSES</t>
  </si>
  <si>
    <t>Purchase of printer for SICC-research &amp; development program use under PR#2020-03-2042</t>
  </si>
  <si>
    <t>PROCUREMENT OF VARIOUS MEDICINE SUPPLIES</t>
  </si>
  <si>
    <t>Provision of Janitorial Services for the  Sandiganbayan Centennial Building for One (1) Year (Re-advertisement)</t>
  </si>
  <si>
    <t>Supply of maintenance parts of CAT 3412E Marine Engine, CAT 3054 NA &amp; CAT C4.4 Marine Genset of DA-BFAR MCS 3003 Patrol Vessel</t>
  </si>
  <si>
    <t>20LB0193 - Shoulder Paving along Davao - Cotabato Rd. (Davao City - Jct Digos Sect) - K1514+265 - K1514+530, K1521+235 - K1521+415</t>
  </si>
  <si>
    <t>RFQ-Medals</t>
  </si>
  <si>
    <t>Concreting of Tinigban to Raang Seashore</t>
  </si>
  <si>
    <t>Supply, Delivery and Installation of 1 Lot IPGC Solar Street Light with Pole (60watts) of Bukidnon State University</t>
  </si>
  <si>
    <t>PURCHASE OF  COMPUTER DESKTOP  USE AT BARANGAY SANTIAGO CITY OF GENERAL TRIAS</t>
  </si>
  <si>
    <t>Procurement of Security Services for CSC RO IV Located at 139 Panay Ave., Barangay South Triangle, Quezon City</t>
  </si>
  <si>
    <t>Various medical and laboratory supplies</t>
  </si>
  <si>
    <t>Supply and delivery of pallets for use on research on diversified corn- based farming systems (PR 363)</t>
  </si>
  <si>
    <t>Ilocos Sur</t>
  </si>
  <si>
    <t>Palawan</t>
  </si>
  <si>
    <t>Metro Manila</t>
  </si>
  <si>
    <t>Oriental Mindoro</t>
  </si>
  <si>
    <t>Samar</t>
  </si>
  <si>
    <t>Abra</t>
  </si>
  <si>
    <t>Negros Oriental</t>
  </si>
  <si>
    <t>Davao Oriental</t>
  </si>
  <si>
    <t>Bohol</t>
  </si>
  <si>
    <t>Iloilo</t>
  </si>
  <si>
    <t>Nueva Vizcaya</t>
  </si>
  <si>
    <t>Camarines Sur</t>
  </si>
  <si>
    <t>Surigao Del Sur</t>
  </si>
  <si>
    <t>Eastern Samar</t>
  </si>
  <si>
    <t>Cagayan</t>
  </si>
  <si>
    <t>Quirino</t>
  </si>
  <si>
    <t>Maguindanao</t>
  </si>
  <si>
    <t>Catanduanes</t>
  </si>
  <si>
    <t>Masbate</t>
  </si>
  <si>
    <t>Bukidnon</t>
  </si>
  <si>
    <t>Davao Occidental</t>
  </si>
  <si>
    <t>Cavite</t>
  </si>
  <si>
    <t>Quezon</t>
  </si>
  <si>
    <t>Compostela Valley</t>
  </si>
  <si>
    <t>Tarlac</t>
  </si>
  <si>
    <t>Capiz</t>
  </si>
  <si>
    <t>Zambales</t>
  </si>
  <si>
    <t>Bataan</t>
  </si>
  <si>
    <t>Albay</t>
  </si>
  <si>
    <t>Cotabato</t>
  </si>
  <si>
    <t>Romblon</t>
  </si>
  <si>
    <t>Zamboanga Del Sur</t>
  </si>
  <si>
    <t>Cebu</t>
  </si>
  <si>
    <t>La Union</t>
  </si>
  <si>
    <t>Nueva Ecija</t>
  </si>
  <si>
    <t>Batangas</t>
  </si>
  <si>
    <t>Pangasinan</t>
  </si>
  <si>
    <t>Aklan</t>
  </si>
  <si>
    <t>Kalinga</t>
  </si>
  <si>
    <t>Ilocos Norte</t>
  </si>
  <si>
    <t>Benguet</t>
  </si>
  <si>
    <t>Surigao Del Norte</t>
  </si>
  <si>
    <t>Laguna</t>
  </si>
  <si>
    <t>Misamis Oriental</t>
  </si>
  <si>
    <t>Sarangani</t>
  </si>
  <si>
    <t>Davao Del Sur</t>
  </si>
  <si>
    <t>Leyte</t>
  </si>
  <si>
    <t>Sorsogon</t>
  </si>
  <si>
    <t>South Cotabato</t>
  </si>
  <si>
    <t>Pampanga</t>
  </si>
  <si>
    <t>Zamboanga Sibugay</t>
  </si>
  <si>
    <t>Bulacan</t>
  </si>
  <si>
    <t>Marinduque</t>
  </si>
  <si>
    <t>Negros Occidental</t>
  </si>
  <si>
    <t>Northern Samar</t>
  </si>
  <si>
    <t>Agusan Del Norte</t>
  </si>
  <si>
    <t>Aurora</t>
  </si>
  <si>
    <t>Southern Leyte</t>
  </si>
  <si>
    <t>Agusan Del Sur</t>
  </si>
  <si>
    <t>Davao Del Norte</t>
  </si>
  <si>
    <t>Lanao Del Norte</t>
  </si>
  <si>
    <t>Zamboanga Del Norte</t>
  </si>
  <si>
    <t>Antique</t>
  </si>
  <si>
    <t>Isabela</t>
  </si>
  <si>
    <t>(Independent City)</t>
  </si>
  <si>
    <t>Ifugao</t>
  </si>
  <si>
    <t>Biliran</t>
  </si>
  <si>
    <t>Philippines</t>
  </si>
  <si>
    <t>Guimaras</t>
  </si>
  <si>
    <t>Camarines Norte</t>
  </si>
  <si>
    <t>Batanes</t>
  </si>
  <si>
    <t>Occidental Mindoro</t>
  </si>
  <si>
    <t>Siquijor</t>
  </si>
  <si>
    <t>Rizal</t>
  </si>
  <si>
    <t>Dinagat Island</t>
  </si>
  <si>
    <t>Misamis Occidental</t>
  </si>
  <si>
    <t>Mountain Province</t>
  </si>
  <si>
    <t>Basilan</t>
  </si>
  <si>
    <t>Sulu</t>
  </si>
  <si>
    <t>Apayao</t>
  </si>
  <si>
    <t>Bukidnon,Bulacan,Cagayan</t>
  </si>
  <si>
    <t>Sultan Kudarat</t>
  </si>
  <si>
    <t>Marinduque,Masbate,Metro Manila</t>
  </si>
  <si>
    <t>Camiguin</t>
  </si>
  <si>
    <t>Aurora,Bataan,Bulacan</t>
  </si>
  <si>
    <t>Aurora,Bataan,Bulacan,Nueva Ecija,Pampanga,Tarlac</t>
  </si>
  <si>
    <t>Lanao Del Sur</t>
  </si>
  <si>
    <t>Biliran,Eastern Samar,Leyte,Northern Samar,Samar,Southern Leyte</t>
  </si>
  <si>
    <t>Tawi-Tawi</t>
  </si>
  <si>
    <t>Metro Manila,Misamis Occidental</t>
  </si>
  <si>
    <t>Bohol,Negros Oriental</t>
  </si>
  <si>
    <t>Compostela Valley,Cotabato</t>
  </si>
  <si>
    <t>Aklan,Antique,Capiz,Iloilo</t>
  </si>
  <si>
    <t>Marinduque,Occidental Mindoro,Oriental Mindoro,Palawan</t>
  </si>
  <si>
    <t>Antique,Negros Occidental</t>
  </si>
  <si>
    <t>Aklan,Antique,Capiz,Iloilo,Negros Occidental</t>
  </si>
  <si>
    <t>Aklan,Antique,Capiz,Guimaras,Iloilo,Negros Occidental</t>
  </si>
  <si>
    <t>Agusan Del Norte,Agusan Del Sur,Surigao Del Norte,Surigao Del Sur,Dinagat Island</t>
  </si>
  <si>
    <t>Antique,Capiz,Guimaras,Iloilo,Negros Occidental</t>
  </si>
  <si>
    <t>Batanes,Cavite,Metro Manila,Rizal</t>
  </si>
  <si>
    <t>Albay,Camarines Norte,Camarines Sur,Catanduanes,Masbate,Sorsogon</t>
  </si>
  <si>
    <t>Bohol,Cebu,Negros Oriental</t>
  </si>
  <si>
    <t>2020-06-INFR</t>
  </si>
  <si>
    <t>GOODS-2020-14</t>
  </si>
  <si>
    <t>Victoria 2020-0001</t>
  </si>
  <si>
    <t>Barangay Cagutsan Sierra-003-2020</t>
  </si>
  <si>
    <t>InTB-PGADILGPRNDPCMGP2020CW3</t>
  </si>
  <si>
    <t>20CSZ017</t>
  </si>
  <si>
    <t>2020-07-INFR</t>
  </si>
  <si>
    <t>CGLSC 20-05-08</t>
  </si>
  <si>
    <t>InTB-PGADILGPRNDPCMGP2020CW4</t>
  </si>
  <si>
    <t>ITB-072920</t>
  </si>
  <si>
    <t>cgb2020-242</t>
  </si>
  <si>
    <t>2020-05-INFR</t>
  </si>
  <si>
    <t>8751-1018-104</t>
  </si>
  <si>
    <t>Barangay Albalate-02-2020</t>
  </si>
  <si>
    <t>0867</t>
  </si>
  <si>
    <t>0096-2020</t>
  </si>
  <si>
    <t>cgb2020-237</t>
  </si>
  <si>
    <t>ITB-STREET LIGHTS-20-07-01</t>
  </si>
  <si>
    <t>19-12-0532</t>
  </si>
  <si>
    <t>LGULAGONOY-BAC-020-GOODS-054</t>
  </si>
  <si>
    <t>NCEBDE-104-20</t>
  </si>
  <si>
    <t>778</t>
  </si>
  <si>
    <t>cgb2020-240</t>
  </si>
  <si>
    <t>19-05-0205</t>
  </si>
  <si>
    <t>cgb2020-239</t>
  </si>
  <si>
    <t>2020-07-001</t>
  </si>
  <si>
    <t>NCEBDE-081-20</t>
  </si>
  <si>
    <t>NCEBDE-063-20</t>
  </si>
  <si>
    <t>QN2020-06-005B</t>
  </si>
  <si>
    <t>NCEBDE-051-20</t>
  </si>
  <si>
    <t>NCEBDE-101-20</t>
  </si>
  <si>
    <t>NISF-054-20</t>
  </si>
  <si>
    <t>PMC-020-187</t>
  </si>
  <si>
    <t>2020-06-516</t>
  </si>
  <si>
    <t>PB-2020-001</t>
  </si>
  <si>
    <t>INFR 2020-02</t>
  </si>
  <si>
    <t>cgb2020-238</t>
  </si>
  <si>
    <t>NCEBDE-068-20</t>
  </si>
  <si>
    <t>NISF-055-20</t>
  </si>
  <si>
    <t>Infra-01</t>
  </si>
  <si>
    <t>NCEBDE-083-20</t>
  </si>
  <si>
    <t>NCEBDE-088-20</t>
  </si>
  <si>
    <t>084 - 2020</t>
  </si>
  <si>
    <t>000280</t>
  </si>
  <si>
    <t>000365</t>
  </si>
  <si>
    <t>PMC-020-178</t>
  </si>
  <si>
    <t>000300</t>
  </si>
  <si>
    <t>082 - 2020</t>
  </si>
  <si>
    <t>PMC-020-89</t>
  </si>
  <si>
    <t>2020 B-06.324</t>
  </si>
  <si>
    <t>000313</t>
  </si>
  <si>
    <t>000041</t>
  </si>
  <si>
    <t>cgb2020-241</t>
  </si>
  <si>
    <t>DDO-20-0819</t>
  </si>
  <si>
    <t>I-2020-020</t>
  </si>
  <si>
    <t>DDO-20-4302</t>
  </si>
  <si>
    <t>DDO-20-4440</t>
  </si>
  <si>
    <t>779</t>
  </si>
  <si>
    <t>DDO-20-4665</t>
  </si>
  <si>
    <t>DDO-20-C0700</t>
  </si>
  <si>
    <t>2020-06-541</t>
  </si>
  <si>
    <t>DDO-20-C0705</t>
  </si>
  <si>
    <t>DDO-20-4699</t>
  </si>
  <si>
    <t>DDO-20-4450</t>
  </si>
  <si>
    <t>I-2020-019</t>
  </si>
  <si>
    <t>20-07-90</t>
  </si>
  <si>
    <t>pmma-IB-12-2020</t>
  </si>
  <si>
    <t>mulawin_infras2020-07-002</t>
  </si>
  <si>
    <t>20CSFO02</t>
  </si>
  <si>
    <t>Barangay Lagundi-004-2020</t>
  </si>
  <si>
    <t>2020-003</t>
  </si>
  <si>
    <t>RSU-2020-024</t>
  </si>
  <si>
    <t>23-2020</t>
  </si>
  <si>
    <t>ITB2020-04</t>
  </si>
  <si>
    <t>ITB2020-02</t>
  </si>
  <si>
    <t>083 - 2020</t>
  </si>
  <si>
    <t>ITB2020-01</t>
  </si>
  <si>
    <t>2020-CN009</t>
  </si>
  <si>
    <t>01-004-2020</t>
  </si>
  <si>
    <t>22-2020</t>
  </si>
  <si>
    <t>01-001-2020</t>
  </si>
  <si>
    <t>Goods 2020-07-017(016)</t>
  </si>
  <si>
    <t>S-20-003</t>
  </si>
  <si>
    <t>GEPS(SAN LUIS)2020-07-002</t>
  </si>
  <si>
    <t>MRH-005-2020</t>
  </si>
  <si>
    <t>2020-06-022</t>
  </si>
  <si>
    <t>iNFRA-04</t>
  </si>
  <si>
    <t>2020-008</t>
  </si>
  <si>
    <t>2020-PR20-782-203</t>
  </si>
  <si>
    <t>2020 - 07 - 002 BDF</t>
  </si>
  <si>
    <t>GEPS(SAN LUIS)2020-07-001</t>
  </si>
  <si>
    <t>2020-06-011</t>
  </si>
  <si>
    <t>2020-023</t>
  </si>
  <si>
    <t>20-03-10-063</t>
  </si>
  <si>
    <t>2020-07-001 Painting</t>
  </si>
  <si>
    <t>SVP 20-1205-1</t>
  </si>
  <si>
    <t>2020-07-046</t>
  </si>
  <si>
    <t>RFQ-014-2020</t>
  </si>
  <si>
    <t>07-2020</t>
  </si>
  <si>
    <t>2020-07-083</t>
  </si>
  <si>
    <t>2020-07-085</t>
  </si>
  <si>
    <t>PNHS-12-2020</t>
  </si>
  <si>
    <t>2020-07-004</t>
  </si>
  <si>
    <t>2020-598-026</t>
  </si>
  <si>
    <t>DepED-RO6-D1- JHS-4 MOOE</t>
  </si>
  <si>
    <t>2020-10</t>
  </si>
  <si>
    <t>7-6-20-ID3</t>
  </si>
  <si>
    <t>7-6-20-ID2</t>
  </si>
  <si>
    <t>7-6-20-ID5</t>
  </si>
  <si>
    <t>RFQ 0620-066</t>
  </si>
  <si>
    <t>RFQ-2020-07-077</t>
  </si>
  <si>
    <t>GEPS-2020-07-001</t>
  </si>
  <si>
    <t>2020-PR20-765-204</t>
  </si>
  <si>
    <t>7-6-20-ID6</t>
  </si>
  <si>
    <t>ITB2020-03</t>
  </si>
  <si>
    <t>6-15-20-ID7</t>
  </si>
  <si>
    <t>7-6-20-ID4</t>
  </si>
  <si>
    <t>2020-07-011</t>
  </si>
  <si>
    <t>C-056-2020</t>
  </si>
  <si>
    <t>bacgal-54-2020</t>
  </si>
  <si>
    <t>MKWD-BAC-053</t>
  </si>
  <si>
    <t>2020-02-230</t>
  </si>
  <si>
    <t>6-8-20-ID3</t>
  </si>
  <si>
    <t>P.R. No. X7-20-05-206</t>
  </si>
  <si>
    <t>6-15-20-ID8</t>
  </si>
  <si>
    <t>C-042-2020</t>
  </si>
  <si>
    <t>40-2020</t>
  </si>
  <si>
    <t>B-ITB-20-2020-I</t>
  </si>
  <si>
    <t>pmma-IB-11-20</t>
  </si>
  <si>
    <t>20-07-110</t>
  </si>
  <si>
    <t>LBP-RBAC V-0720-150</t>
  </si>
  <si>
    <t>2020-06-402</t>
  </si>
  <si>
    <t>CONTRACT ID: 20-07-091</t>
  </si>
  <si>
    <t>2020-07-0182 FMD</t>
  </si>
  <si>
    <t>RFQ 2020-07-0150</t>
  </si>
  <si>
    <t>2020-02</t>
  </si>
  <si>
    <t>2020-Barangay san andres-007</t>
  </si>
  <si>
    <t>ITB 2020-016</t>
  </si>
  <si>
    <t>2020-07-0002</t>
  </si>
  <si>
    <t>100-1011-20-382</t>
  </si>
  <si>
    <t>2020-07-012</t>
  </si>
  <si>
    <t>1000033215</t>
  </si>
  <si>
    <t>20-06-092</t>
  </si>
  <si>
    <t>2020-06-0028 (3)</t>
  </si>
  <si>
    <t>20CSFD01</t>
  </si>
  <si>
    <t>DM-BAC-2020-0042</t>
  </si>
  <si>
    <t>20-07-154</t>
  </si>
  <si>
    <t>2020-084</t>
  </si>
  <si>
    <t>2020-06-390</t>
  </si>
  <si>
    <t>SEF-I-49-2020</t>
  </si>
  <si>
    <t>001-2020</t>
  </si>
  <si>
    <t>ITB 2020-017</t>
  </si>
  <si>
    <t>2020-06-028</t>
  </si>
  <si>
    <t>1011-101-2020-07-295</t>
  </si>
  <si>
    <t>DM-BAC-2020-0043</t>
  </si>
  <si>
    <t>wvsurfq 20-026</t>
  </si>
  <si>
    <t>2020-06-058</t>
  </si>
  <si>
    <t>nlontoc-ITB061-2020</t>
  </si>
  <si>
    <t>2020-004</t>
  </si>
  <si>
    <t>INFRA 2020-06-004</t>
  </si>
  <si>
    <t>SVP 20-1217</t>
  </si>
  <si>
    <t>RFQ-205-2020</t>
  </si>
  <si>
    <t>INFRA 2020-07-002</t>
  </si>
  <si>
    <t>GDS-321-2020</t>
  </si>
  <si>
    <t>INFRA 2020-06-003</t>
  </si>
  <si>
    <t>RFQ-207-2020</t>
  </si>
  <si>
    <t>7-6-20-ID1</t>
  </si>
  <si>
    <t>RFQ KAMANDUGAN ES-JULY</t>
  </si>
  <si>
    <t>PR 20-012</t>
  </si>
  <si>
    <t>RFQ KAMANDUGAN ES APRIL</t>
  </si>
  <si>
    <t>GF-G-62-2020</t>
  </si>
  <si>
    <t>RFQ 0620-054</t>
  </si>
  <si>
    <t>RFQ KAMANDUGAN ES-JUNE</t>
  </si>
  <si>
    <t>2020-028 CDO</t>
  </si>
  <si>
    <t>2020-06-29</t>
  </si>
  <si>
    <t>GF-G-31-2020</t>
  </si>
  <si>
    <t>N-20-07-056</t>
  </si>
  <si>
    <t>2020-06-030</t>
  </si>
  <si>
    <t>20GGM0013</t>
  </si>
  <si>
    <t>0</t>
  </si>
  <si>
    <t>SVP 2020-1082</t>
  </si>
  <si>
    <t>DM-BAC-2020-0044</t>
  </si>
  <si>
    <t>20GGM0014</t>
  </si>
  <si>
    <t>2020-07-0208-NMSF</t>
  </si>
  <si>
    <t>2020-06-282</t>
  </si>
  <si>
    <t>RFQ KAMANDUGAN ES MAY 2020</t>
  </si>
  <si>
    <t>2020-07-2466</t>
  </si>
  <si>
    <t>2020-06-27</t>
  </si>
  <si>
    <t>SVP 20-1195-1</t>
  </si>
  <si>
    <t>INFRA 2020-07-001</t>
  </si>
  <si>
    <t>JO-076-20</t>
  </si>
  <si>
    <t>2020-07-02</t>
  </si>
  <si>
    <t>RFQ-206-2020</t>
  </si>
  <si>
    <t>INFRA 2020-07-005</t>
  </si>
  <si>
    <t>B-07-28-20</t>
  </si>
  <si>
    <t>RFQ-20-07006</t>
  </si>
  <si>
    <t>2020-07-27</t>
  </si>
  <si>
    <t>CONTRACT ID: 20-07-092</t>
  </si>
  <si>
    <t>07-01-2020</t>
  </si>
  <si>
    <t>SVP 20-1205-2</t>
  </si>
  <si>
    <t>2020-01</t>
  </si>
  <si>
    <t>Brgy. Pindangan West - 2020 - 032</t>
  </si>
  <si>
    <t>P.R. No. X7-20-05-201</t>
  </si>
  <si>
    <t>P.R. No. X1-20-06-236</t>
  </si>
  <si>
    <t>2020-007</t>
  </si>
  <si>
    <t>BAC-101-2020-06-244</t>
  </si>
  <si>
    <t>P.R. No. X7-20-05-202</t>
  </si>
  <si>
    <t>GEPS-2020-07-002</t>
  </si>
  <si>
    <t>PR 2020-07-249</t>
  </si>
  <si>
    <t>17202007058</t>
  </si>
  <si>
    <t>P.R. No. X7-20-04-195</t>
  </si>
  <si>
    <t>PR10627</t>
  </si>
  <si>
    <t>2020-07-005</t>
  </si>
  <si>
    <t>01-003-2020</t>
  </si>
  <si>
    <t>01-002-2020</t>
  </si>
  <si>
    <t>BAC 2020-25</t>
  </si>
  <si>
    <t>RSU-2020-022</t>
  </si>
  <si>
    <t>QN-200626-15/ MS-20-0723</t>
  </si>
  <si>
    <t>PR# 20-05-0491</t>
  </si>
  <si>
    <t>nlontoc-ITB062-2020</t>
  </si>
  <si>
    <t>2007-0561-PP</t>
  </si>
  <si>
    <t>2019-04</t>
  </si>
  <si>
    <t>RB-08-2020-M</t>
  </si>
  <si>
    <t>SUC 2020-07-002</t>
  </si>
  <si>
    <t>JO-077-20</t>
  </si>
  <si>
    <t>RFQ 2020-07-0149</t>
  </si>
  <si>
    <t>42-2020</t>
  </si>
  <si>
    <t>PR2020-03-00</t>
  </si>
  <si>
    <t>RFQ 0620-064</t>
  </si>
  <si>
    <t>20-06-011</t>
  </si>
  <si>
    <t>2020-06-002</t>
  </si>
  <si>
    <t>ITB-2020-JDL-008</t>
  </si>
  <si>
    <t>RFQ 0620-070</t>
  </si>
  <si>
    <t>SVP 20-1114</t>
  </si>
  <si>
    <t>6-8-20-ID8</t>
  </si>
  <si>
    <t>41-2020</t>
  </si>
  <si>
    <t>DM-BAC-2020-0045</t>
  </si>
  <si>
    <t>RSU-2020-026</t>
  </si>
  <si>
    <t>BSU Project No. 2020-234</t>
  </si>
  <si>
    <t>2020-06-396</t>
  </si>
  <si>
    <t>4411-20-07-027</t>
  </si>
  <si>
    <t>4411-20-07-028</t>
  </si>
  <si>
    <t>RFQ-20IM006</t>
  </si>
  <si>
    <t>ITB 2020-07-01</t>
  </si>
  <si>
    <t>nlontoc-ITB063-2020</t>
  </si>
  <si>
    <t>2020-07-01</t>
  </si>
  <si>
    <t>RSU-2020-031</t>
  </si>
  <si>
    <t>bacpangascasan0120</t>
  </si>
  <si>
    <t>JO-078-20</t>
  </si>
  <si>
    <t>2020 26</t>
  </si>
  <si>
    <t>44-2020</t>
  </si>
  <si>
    <t>RFQ NO. 46</t>
  </si>
  <si>
    <t>ITB-2020-JDL-009</t>
  </si>
  <si>
    <t>43-2020</t>
  </si>
  <si>
    <t>6-S-20</t>
  </si>
  <si>
    <t>RFQ 0620-075</t>
  </si>
  <si>
    <t>2020-PR20-698-205</t>
  </si>
  <si>
    <t>DENR XII No. 049-SMD/FY2020</t>
  </si>
  <si>
    <t>ACCTG-20-03</t>
  </si>
  <si>
    <t>2020</t>
  </si>
  <si>
    <t>RFQ-20IM008</t>
  </si>
  <si>
    <t>2020-07-20</t>
  </si>
  <si>
    <t>2020-S-31</t>
  </si>
  <si>
    <t>GF-I-42-2020</t>
  </si>
  <si>
    <t>2020-002</t>
  </si>
  <si>
    <t>PR# 2020-07-0334</t>
  </si>
  <si>
    <t>SVP 20-1166</t>
  </si>
  <si>
    <t>45-2020</t>
  </si>
  <si>
    <t>20-06-144</t>
  </si>
  <si>
    <t>B-07-29-20</t>
  </si>
  <si>
    <t>2020-PR20-733-208</t>
  </si>
  <si>
    <t>4411-20-07-026</t>
  </si>
  <si>
    <t>PR No. 94</t>
  </si>
  <si>
    <t>20-07-086-N</t>
  </si>
  <si>
    <t>RFQ-20IM007</t>
  </si>
  <si>
    <t>PR0057-20 MotorPool</t>
  </si>
  <si>
    <t>Sip-2020-084</t>
  </si>
  <si>
    <t>CEO-20-0023</t>
  </si>
  <si>
    <t>JEDSNHS-2020-07-0002</t>
  </si>
  <si>
    <t>2020-PR20-786-207</t>
  </si>
  <si>
    <t>2020-PR20-886-206</t>
  </si>
  <si>
    <t>Sip-2020-085</t>
  </si>
  <si>
    <t>PR0118-20 PGO-BSSS REBID</t>
  </si>
  <si>
    <t>117085SANES</t>
  </si>
  <si>
    <t>2020-006</t>
  </si>
  <si>
    <t>PR NO. 100-1101-20-06-0610</t>
  </si>
  <si>
    <t>NIA.IGIMO-F501LFPS-Bayag CIS-N2020-06-0109</t>
  </si>
  <si>
    <t>RFQ NO. 47</t>
  </si>
  <si>
    <t>20-CRG-20-07-1079</t>
  </si>
  <si>
    <t>RFQ No. 90-2020-G (1 Canvass)</t>
  </si>
  <si>
    <t>2020-sapa 2 - flu</t>
  </si>
  <si>
    <t>NLC-SDD-20-05-029</t>
  </si>
  <si>
    <t>TCMO 20-171</t>
  </si>
  <si>
    <t>SVP 20-1220-2</t>
  </si>
  <si>
    <t>NLC-SDD-20-05-027</t>
  </si>
  <si>
    <t>wvsurfq 20-027</t>
  </si>
  <si>
    <t>NLC-SDD-20-05-026</t>
  </si>
  <si>
    <t>NLC-SDD-05-025</t>
  </si>
  <si>
    <t>RFQ No. 91-2020-G (1 Canvass)</t>
  </si>
  <si>
    <t>46-2020</t>
  </si>
  <si>
    <t>2007896</t>
  </si>
  <si>
    <t>QN-200626-2/ SM-20-0679</t>
  </si>
  <si>
    <t>2007897</t>
  </si>
  <si>
    <t>PR No. 020-06-058</t>
  </si>
  <si>
    <t>NLC-SDD-20-05-028</t>
  </si>
  <si>
    <t>2020-008H</t>
  </si>
  <si>
    <t>BSU Project No. 2020-235</t>
  </si>
  <si>
    <t>2020.07.03</t>
  </si>
  <si>
    <t>INFRA 2020-13</t>
  </si>
  <si>
    <t>PR0112-20 PEO</t>
  </si>
  <si>
    <t>QN-200626-13/ MS-20-0719</t>
  </si>
  <si>
    <t>2020-06-0227</t>
  </si>
  <si>
    <t>BAC-GS 2020-121 dated 27 March 2020</t>
  </si>
  <si>
    <t>RFQ NO. 20-095</t>
  </si>
  <si>
    <t>RSU-2020-030</t>
  </si>
  <si>
    <t>ITB 20-0066</t>
  </si>
  <si>
    <t>NLC-SDD-20-06-007</t>
  </si>
  <si>
    <t>NLC-SDD-20-06-019</t>
  </si>
  <si>
    <t>2020-CN010</t>
  </si>
  <si>
    <t>NLC-SDD-20-06-018</t>
  </si>
  <si>
    <t>RFQ 2020-56</t>
  </si>
  <si>
    <t>NLC-SDD-20-06-006</t>
  </si>
  <si>
    <t>2020-0081</t>
  </si>
  <si>
    <t>01</t>
  </si>
  <si>
    <t>NLC-SDD-20-06-005</t>
  </si>
  <si>
    <t>ITB-2020-JDL-010</t>
  </si>
  <si>
    <t>NLC-SDD-20-06-003</t>
  </si>
  <si>
    <t>2020-06-344</t>
  </si>
  <si>
    <t>2020-005</t>
  </si>
  <si>
    <t>NLC-SDD-20-06-001</t>
  </si>
  <si>
    <t>2020-900-001</t>
  </si>
  <si>
    <t>NLC-SDD-20-05-031</t>
  </si>
  <si>
    <t>000304</t>
  </si>
  <si>
    <t>NLC-SDD-20-06-020</t>
  </si>
  <si>
    <t>NLC-SDD-20-06-002</t>
  </si>
  <si>
    <t>NLC-SDD-20-06-004</t>
  </si>
  <si>
    <t>Bid No. 2020-019</t>
  </si>
  <si>
    <t>2020-07-177</t>
  </si>
  <si>
    <t>BRGY. BONGOYAN 2020-07-03</t>
  </si>
  <si>
    <t>PR-ITDS02-20-06-00012</t>
  </si>
  <si>
    <t>47-2020</t>
  </si>
  <si>
    <t>2020-09</t>
  </si>
  <si>
    <t>PR No. 2020-07-0058</t>
  </si>
  <si>
    <t>21-Goods-2020</t>
  </si>
  <si>
    <t>P2020-06-134</t>
  </si>
  <si>
    <t>123451</t>
  </si>
  <si>
    <t>04</t>
  </si>
  <si>
    <t>ls1d-2020-07-001</t>
  </si>
  <si>
    <t>QN-200626-18-RC/ MS-20-0584</t>
  </si>
  <si>
    <t>PR No. 2020-07-0057</t>
  </si>
  <si>
    <t>2020-0082</t>
  </si>
  <si>
    <t>49-2020</t>
  </si>
  <si>
    <t>itb20-07-029B</t>
  </si>
  <si>
    <t>2020-128</t>
  </si>
  <si>
    <t>2020-833-001</t>
  </si>
  <si>
    <t>RFQ NO. 44</t>
  </si>
  <si>
    <t>RFQ-INF-2020-025</t>
  </si>
  <si>
    <t>itb20-07-029A</t>
  </si>
  <si>
    <t>2020-0626COContinuing-069</t>
  </si>
  <si>
    <t>20 - OG - 07 - 066</t>
  </si>
  <si>
    <t>20FH0097</t>
  </si>
  <si>
    <t>QN-200626-6/ MS-20-0694</t>
  </si>
  <si>
    <t>08-2020</t>
  </si>
  <si>
    <t>RFQ 2020-07-03</t>
  </si>
  <si>
    <t>QN-200626-7/ SM-20-0698</t>
  </si>
  <si>
    <t>ls1d-2020-07-002</t>
  </si>
  <si>
    <t>2020-06-0230</t>
  </si>
  <si>
    <t>03</t>
  </si>
  <si>
    <t>02</t>
  </si>
  <si>
    <t>123452</t>
  </si>
  <si>
    <t>48-2020</t>
  </si>
  <si>
    <t>P2020-06-149</t>
  </si>
  <si>
    <t>2020-CAR-98-CAR</t>
  </si>
  <si>
    <t>2020-07-0003</t>
  </si>
  <si>
    <t>QN-200626-4/ MS-20-0682</t>
  </si>
  <si>
    <t>05</t>
  </si>
  <si>
    <t>itb20-07-029C</t>
  </si>
  <si>
    <t>2020-001</t>
  </si>
  <si>
    <t>2020 10</t>
  </si>
  <si>
    <t>100-1011-20-355</t>
  </si>
  <si>
    <t>GOODS=2020-004</t>
  </si>
  <si>
    <t>20-069-B</t>
  </si>
  <si>
    <t>2020 11</t>
  </si>
  <si>
    <t>2020-112(7)amp</t>
  </si>
  <si>
    <t>P.R. No. X7-20-07-281</t>
  </si>
  <si>
    <t>Bid No. 2020-022</t>
  </si>
  <si>
    <t>100-1011-20-383</t>
  </si>
  <si>
    <t>2020-07-030</t>
  </si>
  <si>
    <t>2020-07-0095</t>
  </si>
  <si>
    <t>123457</t>
  </si>
  <si>
    <t>RFQ TAPIAN ES MAY 2020</t>
  </si>
  <si>
    <t>bacpangascasan0220</t>
  </si>
  <si>
    <t>STCNHSSHS-2020-07-24</t>
  </si>
  <si>
    <t>Bid No. 2020-020</t>
  </si>
  <si>
    <t>PG-20-69</t>
  </si>
  <si>
    <t>52-2020</t>
  </si>
  <si>
    <t>RQ No. 2020-07-96</t>
  </si>
  <si>
    <t>RFQ 2020-112</t>
  </si>
  <si>
    <t>0720-046</t>
  </si>
  <si>
    <t>RQ No. 2020-06-92</t>
  </si>
  <si>
    <t>BAC-GS 2020-168 dated 28 April 2020</t>
  </si>
  <si>
    <t>20FH0098</t>
  </si>
  <si>
    <t>2020-005-001</t>
  </si>
  <si>
    <t>Infra EDF 11-2020</t>
  </si>
  <si>
    <t>003</t>
  </si>
  <si>
    <t>50-2020</t>
  </si>
  <si>
    <t>RFQ TAPIAN ES APRIL 2020</t>
  </si>
  <si>
    <t>2020-07-03</t>
  </si>
  <si>
    <t>20-326</t>
  </si>
  <si>
    <t>TDC-0220-009</t>
  </si>
  <si>
    <t>20FH0099</t>
  </si>
  <si>
    <t>51-2020</t>
  </si>
  <si>
    <t>284-20</t>
  </si>
  <si>
    <t>ITB 20-0054-A</t>
  </si>
  <si>
    <t>RFQ 2020-111</t>
  </si>
  <si>
    <t>RF-2019-001</t>
  </si>
  <si>
    <t>ITB 20-0067</t>
  </si>
  <si>
    <t>RFQ TAPIANES JUNE1 2020</t>
  </si>
  <si>
    <t>2019-001</t>
  </si>
  <si>
    <t>TD-HSSG-0220-0002</t>
  </si>
  <si>
    <t>00102</t>
  </si>
  <si>
    <t>goods2020-07-001</t>
  </si>
  <si>
    <t>2020-06-13</t>
  </si>
  <si>
    <t>2020-06-05</t>
  </si>
  <si>
    <t>53-2020</t>
  </si>
  <si>
    <t>RFQ TAPIANES JUNE 2020</t>
  </si>
  <si>
    <t>Bid No. 2020-021</t>
  </si>
  <si>
    <t>2020-05-104(0520641)</t>
  </si>
  <si>
    <t>2020-005-002</t>
  </si>
  <si>
    <t>ITB No. 084-Infra-2020</t>
  </si>
  <si>
    <t>285-20</t>
  </si>
  <si>
    <t>rfq.2020.009</t>
  </si>
  <si>
    <t>RF-2020-002</t>
  </si>
  <si>
    <t>287-20</t>
  </si>
  <si>
    <t>RFQ No. 20-077 Supply and Delivery of Electrode Ca</t>
  </si>
  <si>
    <t>RFQ TAPIANES JULY 2020</t>
  </si>
  <si>
    <t>ITB No. 085-Brgy-2020</t>
  </si>
  <si>
    <t>2020-06-14</t>
  </si>
  <si>
    <t>2020-06-0502</t>
  </si>
  <si>
    <t>2020-06-105(05206441)</t>
  </si>
  <si>
    <t>00476</t>
  </si>
  <si>
    <t>00312</t>
  </si>
  <si>
    <t>00096</t>
  </si>
  <si>
    <t>LP2020LG</t>
  </si>
  <si>
    <t>TD-HSSG-0220-0003</t>
  </si>
  <si>
    <t>2020-027</t>
  </si>
  <si>
    <t>286-20</t>
  </si>
  <si>
    <t>288-20</t>
  </si>
  <si>
    <t>ITB No. 086-Brgy-2020</t>
  </si>
  <si>
    <t>NP-SVP-322-2020</t>
  </si>
  <si>
    <t>2020-28</t>
  </si>
  <si>
    <t>293-20</t>
  </si>
  <si>
    <t>BAC-2020-686</t>
  </si>
  <si>
    <t>290-20</t>
  </si>
  <si>
    <t>20-CRG-20-06-1060</t>
  </si>
  <si>
    <t>Gambudes DILP2020-1</t>
  </si>
  <si>
    <t>NP-SVP-323-2020</t>
  </si>
  <si>
    <t>PR 2020-07-244</t>
  </si>
  <si>
    <t>BAYLE0720AMP0774</t>
  </si>
  <si>
    <t>PR-ITDS02-20-05-00004</t>
  </si>
  <si>
    <t>NP-SVP-324-2020</t>
  </si>
  <si>
    <t>ITB 20-0068</t>
  </si>
  <si>
    <t>294-20</t>
  </si>
  <si>
    <t>291-20</t>
  </si>
  <si>
    <t>2020-07-003</t>
  </si>
  <si>
    <t>292-20</t>
  </si>
  <si>
    <t>PR-ITDS05-20-06-00011</t>
  </si>
  <si>
    <t>2020MC-SVP061</t>
  </si>
  <si>
    <t>PR-ITDS05-20-02-00005</t>
  </si>
  <si>
    <t>20-07-087-N</t>
  </si>
  <si>
    <t>RFQ No. 20-094</t>
  </si>
  <si>
    <t>G-2020-0065</t>
  </si>
  <si>
    <t>296-20</t>
  </si>
  <si>
    <t>289-20</t>
  </si>
  <si>
    <t>295-20</t>
  </si>
  <si>
    <t>BAYLE0720AMP0775</t>
  </si>
  <si>
    <t>2020-07-0096</t>
  </si>
  <si>
    <t>01-20</t>
  </si>
  <si>
    <t>318-20</t>
  </si>
  <si>
    <t>BAC-2020-684</t>
  </si>
  <si>
    <t>297-20</t>
  </si>
  <si>
    <t>317-20</t>
  </si>
  <si>
    <t>2020MC-SVP062</t>
  </si>
  <si>
    <t>ITB 20-0069</t>
  </si>
  <si>
    <t>G-2020-0066</t>
  </si>
  <si>
    <t>G-2020-0064</t>
  </si>
  <si>
    <t>298-20</t>
  </si>
  <si>
    <t>2020-07-022</t>
  </si>
  <si>
    <t>300-20</t>
  </si>
  <si>
    <t>NP-SVP-325-2020</t>
  </si>
  <si>
    <t>320-20</t>
  </si>
  <si>
    <t>SVP 20-1049</t>
  </si>
  <si>
    <t>299-20</t>
  </si>
  <si>
    <t>321-20</t>
  </si>
  <si>
    <t>BAYLE0720AMP0777</t>
  </si>
  <si>
    <t>302-20</t>
  </si>
  <si>
    <t>ITB 20-0070</t>
  </si>
  <si>
    <t>BAYLE0720AMP0776</t>
  </si>
  <si>
    <t>2020-07-0051</t>
  </si>
  <si>
    <t>NP-SVP-326-2020</t>
  </si>
  <si>
    <t>RFQ 2020-020</t>
  </si>
  <si>
    <t>319-20</t>
  </si>
  <si>
    <t>323-20</t>
  </si>
  <si>
    <t>303-20</t>
  </si>
  <si>
    <t>BAYLE0720AMP0778</t>
  </si>
  <si>
    <t>301-20</t>
  </si>
  <si>
    <t>NP-SVP-327-2020</t>
  </si>
  <si>
    <t>2020-07-0050</t>
  </si>
  <si>
    <t>326-20</t>
  </si>
  <si>
    <t>327-20</t>
  </si>
  <si>
    <t>307-20</t>
  </si>
  <si>
    <t>RFQ LUSOK ES JULY 2020</t>
  </si>
  <si>
    <t>16</t>
  </si>
  <si>
    <t>B-ITB-2020-001</t>
  </si>
  <si>
    <t>S-328-2020</t>
  </si>
  <si>
    <t>305-20</t>
  </si>
  <si>
    <t>CNSCOFFICESUPPLIES2020</t>
  </si>
  <si>
    <t>325-20</t>
  </si>
  <si>
    <t>2020-07-006</t>
  </si>
  <si>
    <t>2020-009</t>
  </si>
  <si>
    <t>308-20</t>
  </si>
  <si>
    <t>RIZRFQ20-03</t>
  </si>
  <si>
    <t>331-20</t>
  </si>
  <si>
    <t>1</t>
  </si>
  <si>
    <t>LBP-RBAC V-0720-151</t>
  </si>
  <si>
    <t>NPSVP-2020-60</t>
  </si>
  <si>
    <t>304-20</t>
  </si>
  <si>
    <t>310-20</t>
  </si>
  <si>
    <t>PR# 020-0193</t>
  </si>
  <si>
    <t>329-20</t>
  </si>
  <si>
    <t>306-20</t>
  </si>
  <si>
    <t>311-20</t>
  </si>
  <si>
    <t>324-20</t>
  </si>
  <si>
    <t>328-20</t>
  </si>
  <si>
    <t>Cuartero_BAC 2020-013</t>
  </si>
  <si>
    <t>Cuartero_BAC 2020-012</t>
  </si>
  <si>
    <t>316-20</t>
  </si>
  <si>
    <t>335-20</t>
  </si>
  <si>
    <t>RFQ-062020-J</t>
  </si>
  <si>
    <t>315-20</t>
  </si>
  <si>
    <t>334-20</t>
  </si>
  <si>
    <t>80-2020</t>
  </si>
  <si>
    <t>PR #81</t>
  </si>
  <si>
    <t>CYN-BAC-SVP-2020-122</t>
  </si>
  <si>
    <t>314-20</t>
  </si>
  <si>
    <t>PR 20-06-0264</t>
  </si>
  <si>
    <t>PR 2020-07-245</t>
  </si>
  <si>
    <t>322-20</t>
  </si>
  <si>
    <t>SPO-SSF-20070092</t>
  </si>
  <si>
    <t>313-20</t>
  </si>
  <si>
    <t>06-001-20</t>
  </si>
  <si>
    <t>DA3-2020-06-24-314</t>
  </si>
  <si>
    <t>312-20</t>
  </si>
  <si>
    <t>333-20</t>
  </si>
  <si>
    <t>2020-109</t>
  </si>
  <si>
    <t>2020-346</t>
  </si>
  <si>
    <t>336-20</t>
  </si>
  <si>
    <t>332-20</t>
  </si>
  <si>
    <t>RFQ 2020-07-0151</t>
  </si>
  <si>
    <t>07032020-65</t>
  </si>
  <si>
    <t>366-20</t>
  </si>
  <si>
    <t>2020-07-201-RFQ</t>
  </si>
  <si>
    <t>PR #80</t>
  </si>
  <si>
    <t>339-20</t>
  </si>
  <si>
    <t>2020-07-12</t>
  </si>
  <si>
    <t>07032020-64</t>
  </si>
  <si>
    <t>2020-348</t>
  </si>
  <si>
    <t>341-20</t>
  </si>
  <si>
    <t>2020-07-0132</t>
  </si>
  <si>
    <t>363-20</t>
  </si>
  <si>
    <t>SEF-I-58-2020</t>
  </si>
  <si>
    <t>340-20</t>
  </si>
  <si>
    <t>MGB_RF-2020-0040</t>
  </si>
  <si>
    <t>RFQ No. 193</t>
  </si>
  <si>
    <t>364-20</t>
  </si>
  <si>
    <t>2020-111(7) amp</t>
  </si>
  <si>
    <t>368-20</t>
  </si>
  <si>
    <t>338-20</t>
  </si>
  <si>
    <t>346-20</t>
  </si>
  <si>
    <t>365-20</t>
  </si>
  <si>
    <t>2020-06-022, 06-017 &amp; 01-194</t>
  </si>
  <si>
    <t>345-20</t>
  </si>
  <si>
    <t>REI-2020-001-WB</t>
  </si>
  <si>
    <t>309-20</t>
  </si>
  <si>
    <t>367-20</t>
  </si>
  <si>
    <t>264-20</t>
  </si>
  <si>
    <t>CNSCGOODS2020</t>
  </si>
  <si>
    <t>342-20</t>
  </si>
  <si>
    <t>226-20</t>
  </si>
  <si>
    <t>2020-07-200-RFQ</t>
  </si>
  <si>
    <t>344-20</t>
  </si>
  <si>
    <t>PR# 020-0196</t>
  </si>
  <si>
    <t>Procurement of Equipment for Research - Hybrid Tri</t>
  </si>
  <si>
    <t>343-20</t>
  </si>
  <si>
    <t>372-20</t>
  </si>
  <si>
    <t>355-20</t>
  </si>
  <si>
    <t>ITB 2020-07-030</t>
  </si>
  <si>
    <t>190-20</t>
  </si>
  <si>
    <t>353-20</t>
  </si>
  <si>
    <t>C-2020-0043</t>
  </si>
  <si>
    <t>371-20</t>
  </si>
  <si>
    <t>PR 2020-VII-01</t>
  </si>
  <si>
    <t>352-20</t>
  </si>
  <si>
    <t>ITB 2020-07-031</t>
  </si>
  <si>
    <t>350-20</t>
  </si>
  <si>
    <t>354-20</t>
  </si>
  <si>
    <t>PBD Procurement of Technical and Scientific Equipm</t>
  </si>
  <si>
    <t>348-20</t>
  </si>
  <si>
    <t>PBD Procurement of IT Equipment for ASU-Main Campu</t>
  </si>
  <si>
    <t>347-20</t>
  </si>
  <si>
    <t>SVP 20-0238-A</t>
  </si>
  <si>
    <t>337-20</t>
  </si>
  <si>
    <t>369-20</t>
  </si>
  <si>
    <t>351-20</t>
  </si>
  <si>
    <t>2020-06-063, 064 &amp; 027H</t>
  </si>
  <si>
    <t>ITB 2020-07-025</t>
  </si>
  <si>
    <t>357-20</t>
  </si>
  <si>
    <t>132-20</t>
  </si>
  <si>
    <t>361-20</t>
  </si>
  <si>
    <t>360-20</t>
  </si>
  <si>
    <t>PB2020-07-001</t>
  </si>
  <si>
    <t>359-20</t>
  </si>
  <si>
    <t>ITB 2020-07-028</t>
  </si>
  <si>
    <t>362-20</t>
  </si>
  <si>
    <t>TD-HSSG-0220-0004</t>
  </si>
  <si>
    <t>ITB 2020-07-032</t>
  </si>
  <si>
    <t>PR 2020-VII-02</t>
  </si>
  <si>
    <t>2020-07-293</t>
  </si>
  <si>
    <t>ITB 2020-07-027</t>
  </si>
  <si>
    <t>356-20</t>
  </si>
  <si>
    <t>2020-GOODS-275</t>
  </si>
  <si>
    <t>2020-GOODS-274</t>
  </si>
  <si>
    <t>2020-GOODS-273</t>
  </si>
  <si>
    <t>010</t>
  </si>
  <si>
    <t>ITB No. 20-059: Supply and Delivery of Various Die</t>
  </si>
  <si>
    <t>358-20</t>
  </si>
  <si>
    <t>RFQ-2020-79</t>
  </si>
  <si>
    <t>ITB 2020-07-026</t>
  </si>
  <si>
    <t>GEPS-20-006</t>
  </si>
  <si>
    <t>263-20</t>
  </si>
  <si>
    <t>260-20</t>
  </si>
  <si>
    <t>RFQ-2020-80</t>
  </si>
  <si>
    <t>RFQ-2020-78</t>
  </si>
  <si>
    <t>G-012-2020</t>
  </si>
  <si>
    <t>ITB-2020-58</t>
  </si>
  <si>
    <t>38</t>
  </si>
  <si>
    <t>07-002</t>
  </si>
  <si>
    <t>2020-GOODS-277</t>
  </si>
  <si>
    <t>2020-GOODS-276</t>
  </si>
  <si>
    <t>NIFW-07-0114-20</t>
  </si>
  <si>
    <t>PRO3 RBAC Resolution No. PRO3-GDS-06-002-060220</t>
  </si>
  <si>
    <t>2020-GOODS-278</t>
  </si>
  <si>
    <t>109868-2020-05</t>
  </si>
  <si>
    <t>NIFW-07-115-20</t>
  </si>
  <si>
    <t>001-goods-2020</t>
  </si>
  <si>
    <t>2020-07-121</t>
  </si>
  <si>
    <t>Bac-Pg-006-20</t>
  </si>
  <si>
    <t>Bac-Pg-005-20</t>
  </si>
  <si>
    <t>2020-05</t>
  </si>
  <si>
    <t>109868-2020-04</t>
  </si>
  <si>
    <t>2020-034</t>
  </si>
  <si>
    <t>109868-2020-06</t>
  </si>
  <si>
    <t>G-2020-07-020</t>
  </si>
  <si>
    <t>2020-GOODS-279</t>
  </si>
  <si>
    <t>109890-2020-07B</t>
  </si>
  <si>
    <t>109890-06</t>
  </si>
  <si>
    <t>109890-2020-05</t>
  </si>
  <si>
    <t>109868-2020-07</t>
  </si>
  <si>
    <t>20-06-0829</t>
  </si>
  <si>
    <t>2020-06</t>
  </si>
  <si>
    <t>BP-20-026</t>
  </si>
  <si>
    <t>BP-20-025</t>
  </si>
  <si>
    <t>BP-20-024</t>
  </si>
  <si>
    <t>BP-20-023</t>
  </si>
  <si>
    <t>RFQ2020-07-013 GAA</t>
  </si>
  <si>
    <t>109890-2020-04</t>
  </si>
  <si>
    <t>2020-07</t>
  </si>
  <si>
    <t>109890-2020-07A</t>
  </si>
  <si>
    <t>ITB No. 2020-009-A</t>
  </si>
  <si>
    <t>MN 318</t>
  </si>
  <si>
    <t>MN 317</t>
  </si>
  <si>
    <t>2020-realigned</t>
  </si>
  <si>
    <t>RFQ2020-07-012 GAA</t>
  </si>
  <si>
    <t>07042020</t>
  </si>
  <si>
    <t>BP-20-027</t>
  </si>
  <si>
    <t>004</t>
  </si>
  <si>
    <t>MN 316</t>
  </si>
  <si>
    <t>2020 04</t>
  </si>
  <si>
    <t>SVP 2020-07-393</t>
  </si>
  <si>
    <t>BP-20-028</t>
  </si>
  <si>
    <t>PR-2020</t>
  </si>
  <si>
    <t>2020-179</t>
  </si>
  <si>
    <t>2020-178</t>
  </si>
  <si>
    <t>RFQ20-131</t>
  </si>
  <si>
    <t>2020 02</t>
  </si>
  <si>
    <t>2020-176</t>
  </si>
  <si>
    <t>RFQ2020-06-374-MTPB-SAH</t>
  </si>
  <si>
    <t>SVP 20-07-398</t>
  </si>
  <si>
    <t>2020 12</t>
  </si>
  <si>
    <t>2020-03-021, 037B</t>
  </si>
  <si>
    <t>RFQ20-133</t>
  </si>
  <si>
    <t>BP-20-030</t>
  </si>
  <si>
    <t>2020-177</t>
  </si>
  <si>
    <t>RFQ 020-07-001</t>
  </si>
  <si>
    <t>ITB No. 2020-013-A</t>
  </si>
  <si>
    <t>20-07-0693 CGSO</t>
  </si>
  <si>
    <t>S 20-07-118</t>
  </si>
  <si>
    <t>SVP 20-07-392</t>
  </si>
  <si>
    <t>20-07-0691 CEO</t>
  </si>
  <si>
    <t>07-001</t>
  </si>
  <si>
    <t>S 20-07-117</t>
  </si>
  <si>
    <t>2020 06</t>
  </si>
  <si>
    <t>ITB 2020-07-029</t>
  </si>
  <si>
    <t>20-07-0688 CMO-POC</t>
  </si>
  <si>
    <t>SVP 20 -07- 399</t>
  </si>
  <si>
    <t>BP-20-031</t>
  </si>
  <si>
    <t>2020 03</t>
  </si>
  <si>
    <t>GOODS 2020-013</t>
  </si>
  <si>
    <t>2020-08</t>
  </si>
  <si>
    <t>20-07-0692 CMO-BDP</t>
  </si>
  <si>
    <t>20-07-0689 CMO-BDP</t>
  </si>
  <si>
    <t>2020-Laptop for COA</t>
  </si>
  <si>
    <t>2020 05</t>
  </si>
  <si>
    <t>2020-06-0049</t>
  </si>
  <si>
    <t>NUB-20-07-0527</t>
  </si>
  <si>
    <t>2020-04</t>
  </si>
  <si>
    <t>20-07-0690 AGRI</t>
  </si>
  <si>
    <t>B-CW-2020-033</t>
  </si>
  <si>
    <t>B-CW-2020-032</t>
  </si>
  <si>
    <t>B-G-2020-098</t>
  </si>
  <si>
    <t>B-G-2020-101</t>
  </si>
  <si>
    <t>001-infra-2020</t>
  </si>
  <si>
    <t>B-G-2020-100</t>
  </si>
  <si>
    <t>B-G-2020-099</t>
  </si>
  <si>
    <t>20-07-0694 DEPED</t>
  </si>
  <si>
    <t>ITB No. 2020-008-A</t>
  </si>
  <si>
    <t>NUB-20-07-0528</t>
  </si>
  <si>
    <t>NPG-2020-141</t>
  </si>
  <si>
    <t>DOST XII 2020-003</t>
  </si>
  <si>
    <t>PF-0620-650</t>
  </si>
  <si>
    <t>2020  12</t>
  </si>
  <si>
    <t>MRH-006-2020</t>
  </si>
  <si>
    <t>20CSFO03</t>
  </si>
  <si>
    <t>mooe-02</t>
  </si>
  <si>
    <t>BP-20-029</t>
  </si>
  <si>
    <t>F-0620-139</t>
  </si>
  <si>
    <t>IB NO. 2020 – 060/ JJL</t>
  </si>
  <si>
    <t>NPG-2020-142</t>
  </si>
  <si>
    <t>F-0620-140</t>
  </si>
  <si>
    <t>Lgn1 - SVP2020-07-0015</t>
  </si>
  <si>
    <t>Lgn1-SVP2020-07-0013</t>
  </si>
  <si>
    <t>Lgn1 - 20-DH-0090</t>
  </si>
  <si>
    <t>Y-0620-143</t>
  </si>
  <si>
    <t>F-0620-141</t>
  </si>
  <si>
    <t>Lgn1 - SVP2020-07-0014</t>
  </si>
  <si>
    <t>Lgn1-20-DH-0091</t>
  </si>
  <si>
    <t>2020-005-008</t>
  </si>
  <si>
    <t>2020-005-005</t>
  </si>
  <si>
    <t>2020-005-004</t>
  </si>
  <si>
    <t>2020-005-003</t>
  </si>
  <si>
    <t>gsis/npsvp-235-20</t>
  </si>
  <si>
    <t>20MB0154</t>
  </si>
  <si>
    <t>RFQ-2020-</t>
  </si>
  <si>
    <t>20MB0152</t>
  </si>
  <si>
    <t>RFQ-2020-07-07</t>
  </si>
  <si>
    <t>ITB 01-2020</t>
  </si>
  <si>
    <t>CW07052020-1</t>
  </si>
  <si>
    <t>2020-005-009</t>
  </si>
  <si>
    <t>ITB 2020-07-002</t>
  </si>
  <si>
    <t>RFQ No. 2020-07-0034</t>
  </si>
  <si>
    <t>RFQ-020-2020</t>
  </si>
  <si>
    <t>RFQ-019-2020</t>
  </si>
  <si>
    <t>DAR-2020-06</t>
  </si>
  <si>
    <t>20-06-492</t>
  </si>
  <si>
    <t>BAG-1-2020-045</t>
  </si>
  <si>
    <t>169101ADAD</t>
  </si>
  <si>
    <t>SK BISOCOL-2020-07-002</t>
  </si>
  <si>
    <t>2020-07-002</t>
  </si>
  <si>
    <t>SKBISOCOL-2020-07-001</t>
  </si>
  <si>
    <t>2020-39</t>
  </si>
  <si>
    <t>BAG-1-046</t>
  </si>
  <si>
    <t>457834ADAD</t>
  </si>
  <si>
    <t>ITB-COMFORT ROOM-20-07-001</t>
  </si>
  <si>
    <t>sn07052020</t>
  </si>
  <si>
    <t>ITB 2020-07-003</t>
  </si>
  <si>
    <t>RFQ 2020-0282</t>
  </si>
  <si>
    <t>891011ADAD</t>
  </si>
  <si>
    <t>2020-01-058</t>
  </si>
  <si>
    <t>2020-005-006</t>
  </si>
  <si>
    <t>NP2020-07-003</t>
  </si>
  <si>
    <t>PB2020-7-002</t>
  </si>
  <si>
    <t>20GPM008</t>
  </si>
  <si>
    <t>ACFES-20-07-001</t>
  </si>
  <si>
    <t>2020-107</t>
  </si>
  <si>
    <t>2020184</t>
  </si>
  <si>
    <t>2020-0603</t>
  </si>
  <si>
    <t>2020-005-007</t>
  </si>
  <si>
    <t>2020-0601</t>
  </si>
  <si>
    <t>LBES-20-07-001</t>
  </si>
  <si>
    <t>DVBES-20-07-001</t>
  </si>
  <si>
    <t>20GPM007</t>
  </si>
  <si>
    <t>SJDB-2020-21</t>
  </si>
  <si>
    <t>2020-0602</t>
  </si>
  <si>
    <t>RFQ 2020-0281</t>
  </si>
  <si>
    <t>SJDB-2020-22</t>
  </si>
  <si>
    <t>PALTOKES-2020-07-001</t>
  </si>
  <si>
    <t>2020-0371 dated 22 June 2020</t>
  </si>
  <si>
    <t>QSU-BAC-G-08-2020 05D Med, Den &amp; Res</t>
  </si>
  <si>
    <t>RFQ2020-07-014 GAA</t>
  </si>
  <si>
    <t>kal-2020-07-44</t>
  </si>
  <si>
    <t>QSU-BAC-G-10-2020 05D AugGASS</t>
  </si>
  <si>
    <t>2020-06-057</t>
  </si>
  <si>
    <t>M-2020-0047</t>
  </si>
  <si>
    <t>SCES-7-5-2020</t>
  </si>
  <si>
    <t>DA3-2020-287-06-22</t>
  </si>
  <si>
    <t>200-20-06-0108</t>
  </si>
  <si>
    <t>EMBCAR-2020-7-36</t>
  </si>
  <si>
    <t>200-20-06-0109</t>
  </si>
  <si>
    <t>IB 2020-24</t>
  </si>
  <si>
    <t>RFQ 2020-014</t>
  </si>
  <si>
    <t>2020-0006</t>
  </si>
  <si>
    <t>EMBCAR-2020-7-37</t>
  </si>
  <si>
    <t>ITB 2020-014</t>
  </si>
  <si>
    <t>ITB 2020-015</t>
  </si>
  <si>
    <t>CEES-20-07-001</t>
  </si>
  <si>
    <t>kal-2020-07-46</t>
  </si>
  <si>
    <t>ITDI-200465</t>
  </si>
  <si>
    <t>002</t>
  </si>
  <si>
    <t>QSU-BAC-G-12-2020 01D CO</t>
  </si>
  <si>
    <t>kal-2020-07-45</t>
  </si>
  <si>
    <t>ITDI-200463</t>
  </si>
  <si>
    <t>2020-07-015</t>
  </si>
  <si>
    <t>200-20-06-0102</t>
  </si>
  <si>
    <t>ITDI-200462</t>
  </si>
  <si>
    <t>ITB 2020-019</t>
  </si>
  <si>
    <t>2020-06-15-02</t>
  </si>
  <si>
    <t>GTLMH-20-014</t>
  </si>
  <si>
    <t>2020-06-15-01</t>
  </si>
  <si>
    <t>2020-06-15-04</t>
  </si>
  <si>
    <t>ITB 2020--016</t>
  </si>
  <si>
    <t>CB-Goods 2020-001</t>
  </si>
  <si>
    <t>2020-0002</t>
  </si>
  <si>
    <t>ITB 2020-018</t>
  </si>
  <si>
    <t>2020-07-32</t>
  </si>
  <si>
    <t>20-011</t>
  </si>
  <si>
    <t>GTLMH-TF-20-012 OS</t>
  </si>
  <si>
    <t>2020-06-15-03</t>
  </si>
  <si>
    <t>2020-06-101</t>
  </si>
  <si>
    <t>DDN_07/09/2020</t>
  </si>
  <si>
    <t>2020-010</t>
  </si>
  <si>
    <t>035 20-1224</t>
  </si>
  <si>
    <t>20-CRG-20-07-1068</t>
  </si>
  <si>
    <t>20-CRG-20-07-1069</t>
  </si>
  <si>
    <t>20-CRG-20-07-1067</t>
  </si>
  <si>
    <t>GTLMH-20-112</t>
  </si>
  <si>
    <t>2020-011</t>
  </si>
  <si>
    <t>20-CRG-20-07-1065</t>
  </si>
  <si>
    <t>2020-06-04</t>
  </si>
  <si>
    <t>QSU-BAC-G-14-2020 01D GASS &amp; HES</t>
  </si>
  <si>
    <t>20-CRG-20-07-1077</t>
  </si>
  <si>
    <t>20-CRG-20-07-1078</t>
  </si>
  <si>
    <t>CMO(Health)-20-023</t>
  </si>
  <si>
    <t>2020-06-102</t>
  </si>
  <si>
    <t>20-CRG-20-07-1076</t>
  </si>
  <si>
    <t>20-CRG-20-07-1075</t>
  </si>
  <si>
    <t>2020-012</t>
  </si>
  <si>
    <t>20-CRG-20-07-1070</t>
  </si>
  <si>
    <t>UPLB-I-018-07-20</t>
  </si>
  <si>
    <t>MALI-25-20</t>
  </si>
  <si>
    <t>2020-013</t>
  </si>
  <si>
    <t>20-CRG-20-07-1071</t>
  </si>
  <si>
    <t>20-0126</t>
  </si>
  <si>
    <t>LGU-Valencia, Bohol 2020-063</t>
  </si>
  <si>
    <t>404-06/29/2020</t>
  </si>
  <si>
    <t>20-CRG-20-07-1066</t>
  </si>
  <si>
    <t>ANTI-17-20</t>
  </si>
  <si>
    <t>GTLMH-TF-20-049 MDLS</t>
  </si>
  <si>
    <t>DM 2020-08-001</t>
  </si>
  <si>
    <t>ANTI-15-20</t>
  </si>
  <si>
    <t>20-CRG-20-07-1073</t>
  </si>
  <si>
    <t>20-CRG-20-07-1072</t>
  </si>
  <si>
    <t>R2003-223</t>
  </si>
  <si>
    <t>20-0127</t>
  </si>
  <si>
    <t>mb pr 4</t>
  </si>
  <si>
    <t>20-0131</t>
  </si>
  <si>
    <t>20-0130</t>
  </si>
  <si>
    <t>004-2020</t>
  </si>
  <si>
    <t>20-0129</t>
  </si>
  <si>
    <t>20-007-074</t>
  </si>
  <si>
    <t>ITB2020-07-001</t>
  </si>
  <si>
    <t>MND9231</t>
  </si>
  <si>
    <t>2020-07-084</t>
  </si>
  <si>
    <t>20-0128</t>
  </si>
  <si>
    <t>2020-07-0029</t>
  </si>
  <si>
    <t>PB20-02-029CORa-07</t>
  </si>
  <si>
    <t>2020-07-04</t>
  </si>
  <si>
    <t>2020-07-05-001</t>
  </si>
  <si>
    <t>402-06/29/2020</t>
  </si>
  <si>
    <t>DA3-2020-07-02-379</t>
  </si>
  <si>
    <t>PR2006234</t>
  </si>
  <si>
    <t>TAG – SDS – 063 - 2020</t>
  </si>
  <si>
    <t>396-06/29/2020</t>
  </si>
  <si>
    <t>RFQ2020-020</t>
  </si>
  <si>
    <t>2020-07-026</t>
  </si>
  <si>
    <t>GEPS(SAN LUIS)2020-07-003</t>
  </si>
  <si>
    <t>031</t>
  </si>
  <si>
    <t>TAG – SDS – 062 - 2020</t>
  </si>
  <si>
    <t>BAC-MGT-2020-001</t>
  </si>
  <si>
    <t>ANNG89344</t>
  </si>
  <si>
    <t>20-06-00387</t>
  </si>
  <si>
    <t>mb pr 3</t>
  </si>
  <si>
    <t>NS-07-06-20-01-R1</t>
  </si>
  <si>
    <t>033</t>
  </si>
  <si>
    <t>SIB-2020-05</t>
  </si>
  <si>
    <t>TAG – SDS – 064 - 2020</t>
  </si>
  <si>
    <t>398-06/29/2020</t>
  </si>
  <si>
    <t>GEPS(BARAS-BARAS)2020-07-001</t>
  </si>
  <si>
    <t>20GAA0085</t>
  </si>
  <si>
    <t>2020-07-025</t>
  </si>
  <si>
    <t>FSI-RFQ-2020-07-05</t>
  </si>
  <si>
    <t>GEPS(BARAS-BARAS)2020-07-002</t>
  </si>
  <si>
    <t>2020-07-</t>
  </si>
  <si>
    <t>20GAA0080</t>
  </si>
  <si>
    <t>BAC-MGT-2020-005</t>
  </si>
  <si>
    <t>20GAA0079</t>
  </si>
  <si>
    <t>BAC-MGT-2020-004</t>
  </si>
  <si>
    <t>20GAA0078</t>
  </si>
  <si>
    <t>NS-07-06-20-02-R1</t>
  </si>
  <si>
    <t>BAC-MGT-2020-003</t>
  </si>
  <si>
    <t>034</t>
  </si>
  <si>
    <t>BAC-MGT-2020-006</t>
  </si>
  <si>
    <t>GLQ-2020-INP4</t>
  </si>
  <si>
    <t>20GAA0086</t>
  </si>
  <si>
    <t>Infra 2020-030</t>
  </si>
  <si>
    <t>UPLB-I-021-07-20 SUPPLY AND DELIVERY OF CONSTRUCTI</t>
  </si>
  <si>
    <t>lgu sta. Barbara</t>
  </si>
  <si>
    <t>Goods 2018-03</t>
  </si>
  <si>
    <t>042</t>
  </si>
  <si>
    <t>GOODS-2020-02</t>
  </si>
  <si>
    <t>2020-072</t>
  </si>
  <si>
    <t>2020-071</t>
  </si>
  <si>
    <t>2020-07-15</t>
  </si>
  <si>
    <t>ECC-Supply 2020-07-025</t>
  </si>
  <si>
    <t>2020-070</t>
  </si>
  <si>
    <t>NS-07-06-20-03-R1</t>
  </si>
  <si>
    <t>035</t>
  </si>
  <si>
    <t>BAC-MGT-2020-002</t>
  </si>
  <si>
    <t>ANN098J</t>
  </si>
  <si>
    <t>040</t>
  </si>
  <si>
    <t>20-07-91</t>
  </si>
  <si>
    <t>IB No. 2020-23-A</t>
  </si>
  <si>
    <t>20GAA0088</t>
  </si>
  <si>
    <t>20-07-98</t>
  </si>
  <si>
    <t>0614-001</t>
  </si>
  <si>
    <t>20-07-95</t>
  </si>
  <si>
    <t>20-07-94</t>
  </si>
  <si>
    <t>202006278</t>
  </si>
  <si>
    <t>Infra 2020-029</t>
  </si>
  <si>
    <t>2020-073</t>
  </si>
  <si>
    <t>202006255</t>
  </si>
  <si>
    <t>2020-07-065</t>
  </si>
  <si>
    <t>2020-06-066</t>
  </si>
  <si>
    <t>20-07-103</t>
  </si>
  <si>
    <t>PR NO. 026-06-20</t>
  </si>
  <si>
    <t>20-07-96</t>
  </si>
  <si>
    <t>PB-20-314</t>
  </si>
  <si>
    <t>RFQ2020-021</t>
  </si>
  <si>
    <t>202000795</t>
  </si>
  <si>
    <t>2020-036</t>
  </si>
  <si>
    <t>PB-20-334</t>
  </si>
  <si>
    <t>20-07-93</t>
  </si>
  <si>
    <t>202000806</t>
  </si>
  <si>
    <t>PR NO. 004-07-20</t>
  </si>
  <si>
    <t>202000808</t>
  </si>
  <si>
    <t>202000751</t>
  </si>
  <si>
    <t>RFQ2020-07-015 GAA</t>
  </si>
  <si>
    <t>20-07-100</t>
  </si>
  <si>
    <t>20-07-99</t>
  </si>
  <si>
    <t>20-07-101</t>
  </si>
  <si>
    <t>202000769</t>
  </si>
  <si>
    <t>2020-06-068</t>
  </si>
  <si>
    <t>030-2020</t>
  </si>
  <si>
    <t>FSI-RFQ-2020-07-06</t>
  </si>
  <si>
    <t>20-07-92</t>
  </si>
  <si>
    <t>PR NO. 032-06-20</t>
  </si>
  <si>
    <t>20200791</t>
  </si>
  <si>
    <t>20-07-102</t>
  </si>
  <si>
    <t>JULY52020</t>
  </si>
  <si>
    <t>G29-2020</t>
  </si>
  <si>
    <t>20-07-97</t>
  </si>
  <si>
    <t>GOODS 2020-08</t>
  </si>
  <si>
    <t>AFRES MODULE- 001</t>
  </si>
  <si>
    <t>PB-20-347</t>
  </si>
  <si>
    <t>101-020-007-069</t>
  </si>
  <si>
    <t>JULY52020-4</t>
  </si>
  <si>
    <t>PB-20-336</t>
  </si>
  <si>
    <t>JULY52020-3</t>
  </si>
  <si>
    <t>JULY72020-2</t>
  </si>
  <si>
    <t>PR NO. 027-06-20</t>
  </si>
  <si>
    <t>PB-20-346</t>
  </si>
  <si>
    <t>PB-20-337</t>
  </si>
  <si>
    <t>2020-07-0130</t>
  </si>
  <si>
    <t>PR NO. 024-06-20</t>
  </si>
  <si>
    <t>BAC-07-1053</t>
  </si>
  <si>
    <t>JULY52020-5</t>
  </si>
  <si>
    <t>20-07-104</t>
  </si>
  <si>
    <t>3265-20</t>
  </si>
  <si>
    <t>2816-20</t>
  </si>
  <si>
    <t>2247-20</t>
  </si>
  <si>
    <t>BLGU-HENOGAWE-2020-07-05-001</t>
  </si>
  <si>
    <t>PB-20-345</t>
  </si>
  <si>
    <t>UPLB-I-019-07-20 SUPPLY AND DELIVERY OF CONSTRUCTI</t>
  </si>
  <si>
    <t>20-05-0545</t>
  </si>
  <si>
    <t>BAC-07-1054</t>
  </si>
  <si>
    <t>2020-163-I</t>
  </si>
  <si>
    <t>037</t>
  </si>
  <si>
    <t>3299-20</t>
  </si>
  <si>
    <t>01-05-09-2020</t>
  </si>
  <si>
    <t>BOOKS-01-20</t>
  </si>
  <si>
    <t>ICT-02-20</t>
  </si>
  <si>
    <t>2476-20</t>
  </si>
  <si>
    <t>038</t>
  </si>
  <si>
    <t>PB-2020-07-41</t>
  </si>
  <si>
    <t>2542-20</t>
  </si>
  <si>
    <t>20CSFJ01</t>
  </si>
  <si>
    <t>20-05-0550</t>
  </si>
  <si>
    <t>00011</t>
  </si>
  <si>
    <t>2268-20</t>
  </si>
  <si>
    <t>road opening</t>
  </si>
  <si>
    <t>RFQ-GS-20200630-06</t>
  </si>
  <si>
    <t>MUNPINCE-2006-118</t>
  </si>
  <si>
    <t>MUNPINCE-2006-117</t>
  </si>
  <si>
    <t>MUNPINCE-2006-116</t>
  </si>
  <si>
    <t>ITB BAC4-2020-001</t>
  </si>
  <si>
    <t>Goods 2020-06-014</t>
  </si>
  <si>
    <t>Goods 2020-06-015</t>
  </si>
  <si>
    <t>RFQ-136797-2020-0701-001</t>
  </si>
  <si>
    <t>Project Reference No. 2020-09-CW</t>
  </si>
  <si>
    <t>036</t>
  </si>
  <si>
    <t>20CS-045</t>
  </si>
  <si>
    <t>PR 2020-06-110</t>
  </si>
  <si>
    <t>BCS-2020-0161</t>
  </si>
  <si>
    <t>20CS-043</t>
  </si>
  <si>
    <t>20CS-042</t>
  </si>
  <si>
    <t>20CS-040</t>
  </si>
  <si>
    <t>CS20-041</t>
  </si>
  <si>
    <t>20CS-044</t>
  </si>
  <si>
    <t>ITDI-PB-200006</t>
  </si>
  <si>
    <t>sanpedro123</t>
  </si>
  <si>
    <t>2020-0152</t>
  </si>
  <si>
    <t>2020-02E</t>
  </si>
  <si>
    <t>01-2020-07-019</t>
  </si>
  <si>
    <t>20-06-509</t>
  </si>
  <si>
    <t>2020-037</t>
  </si>
  <si>
    <t>20-06-493</t>
  </si>
  <si>
    <t>20-06-460</t>
  </si>
  <si>
    <t>20CS-039</t>
  </si>
  <si>
    <t>PR #482</t>
  </si>
  <si>
    <t>20-02-090; 20-06-436; 20-06-433</t>
  </si>
  <si>
    <t>ITB No. 20-054  DESIGN AND BUILD OF THE PROPOSED R</t>
  </si>
  <si>
    <t>RFQ NO. EMB-S-ERLSD-ELSS LABORATORY CONSUMABLES 20</t>
  </si>
  <si>
    <t>PR 472-1</t>
  </si>
  <si>
    <t>RFQ NO. EMB-SVP-ERLSD-ECMU ICP-OES PM 2020-0445</t>
  </si>
  <si>
    <t>OUTDOOR  TILES</t>
  </si>
  <si>
    <t>2020-2</t>
  </si>
  <si>
    <t>20-06-486</t>
  </si>
  <si>
    <t>ITB 2020-07-001</t>
  </si>
  <si>
    <t>2020-01-13</t>
  </si>
  <si>
    <t>2020-06-001</t>
  </si>
  <si>
    <t>117218caba</t>
  </si>
  <si>
    <t>RFQ NO. EMB-SVP-ERLSD-ECMU LABOSTAR TWF UV7 PM 202</t>
  </si>
  <si>
    <t>cctv and installation</t>
  </si>
  <si>
    <t>RFQ NO. EMB-SVP-ERLSD-ECMU WATER PURIFICATION SYST</t>
  </si>
  <si>
    <t>101-2020-06-335</t>
  </si>
  <si>
    <t>101-2020-06-268</t>
  </si>
  <si>
    <t>ASTGOODS18</t>
  </si>
  <si>
    <t>RFQ NO. EMB-S-ERLSD-ELSS CHEMICALS 2020-0492</t>
  </si>
  <si>
    <t>ASTGOODS17</t>
  </si>
  <si>
    <t>101-2020-06-301</t>
  </si>
  <si>
    <t>101-2020-06-299</t>
  </si>
  <si>
    <t>ASTGOODS16</t>
  </si>
  <si>
    <t>Goods2020-029</t>
  </si>
  <si>
    <t>ITB No. 2020-07-054</t>
  </si>
  <si>
    <t>ASTGOODS19</t>
  </si>
  <si>
    <t>BCS-2020-0160</t>
  </si>
  <si>
    <t>RFQ NO. EMB-ERLSD-ERS-SHOPPING-0035-6-22-2020</t>
  </si>
  <si>
    <t>07-04-2020</t>
  </si>
  <si>
    <t>2020-170</t>
  </si>
  <si>
    <t>pr-15-2020</t>
  </si>
  <si>
    <t>RFQ NO. EMB-SVP-ERLSD-ECMU SHIMADZU GC-ECD UPGRADE</t>
  </si>
  <si>
    <t>DENR10 2020-06-0323</t>
  </si>
  <si>
    <t>20GEF012</t>
  </si>
  <si>
    <t>2020-01-15</t>
  </si>
  <si>
    <t>00013</t>
  </si>
  <si>
    <t>20CS-38</t>
  </si>
  <si>
    <t>HO-2020-05-0278</t>
  </si>
  <si>
    <t>2020-1</t>
  </si>
  <si>
    <t>2020-01-14</t>
  </si>
  <si>
    <t>IAAPIS-2020-06-0352</t>
  </si>
  <si>
    <t>00012</t>
  </si>
  <si>
    <t>2020-02JHS</t>
  </si>
  <si>
    <t>0791</t>
  </si>
  <si>
    <t>salavante072020-01</t>
  </si>
  <si>
    <t>RB20-12-01</t>
  </si>
  <si>
    <t>20GEF011</t>
  </si>
  <si>
    <t>RFQ-JUNE_7</t>
  </si>
  <si>
    <t>NDA-20-07-072-NM</t>
  </si>
  <si>
    <t>5</t>
  </si>
  <si>
    <t>07042020B</t>
  </si>
  <si>
    <t>021-rfq-2020</t>
  </si>
  <si>
    <t>RFQ-JUNE_6</t>
  </si>
  <si>
    <t>20-07-005</t>
  </si>
  <si>
    <t>4</t>
  </si>
  <si>
    <t>811</t>
  </si>
  <si>
    <t>20-07-0012</t>
  </si>
  <si>
    <t>20-07-0010</t>
  </si>
  <si>
    <t>07042020A</t>
  </si>
  <si>
    <t>geps-2020-004</t>
  </si>
  <si>
    <t>B20-21-04</t>
  </si>
  <si>
    <t>RFQ-JUNE_5</t>
  </si>
  <si>
    <t>20-07-0011</t>
  </si>
  <si>
    <t>B20-21-03</t>
  </si>
  <si>
    <t>20-05-118</t>
  </si>
  <si>
    <t>20-07-0006</t>
  </si>
  <si>
    <t>RFQ No.: 	2020-06-0541</t>
  </si>
  <si>
    <t>geps-2020-003</t>
  </si>
  <si>
    <t>ITDI-200440_REBID</t>
  </si>
  <si>
    <t>ITDI-200439_REBID</t>
  </si>
  <si>
    <t>390-06/29/2020</t>
  </si>
  <si>
    <t>20PB0035</t>
  </si>
  <si>
    <t>2020-INFRA-001</t>
  </si>
  <si>
    <t>2020-17</t>
  </si>
  <si>
    <t>2</t>
  </si>
  <si>
    <t>394-06/29/2020</t>
  </si>
  <si>
    <t>B20-21-02</t>
  </si>
  <si>
    <t>Contract ID # 20JH0016</t>
  </si>
  <si>
    <t>2020-INFRA-018</t>
  </si>
  <si>
    <t>20-07-0013</t>
  </si>
  <si>
    <t>ITDI-200383_REBID</t>
  </si>
  <si>
    <t>MVHS-07-04-20</t>
  </si>
  <si>
    <t>392-06/29/2020</t>
  </si>
  <si>
    <t>ITDI-200435_REBID</t>
  </si>
  <si>
    <t>RFQ No.: 	2020-06-0537</t>
  </si>
  <si>
    <t>Contract ID # 20JH0063</t>
  </si>
  <si>
    <t>3</t>
  </si>
  <si>
    <t>ITDI-200418_REBID</t>
  </si>
  <si>
    <t>RFQ No.: 	2020-06-0540</t>
  </si>
  <si>
    <t>ITDI-200395_REBID</t>
  </si>
  <si>
    <t>ITDI-200432_REBID</t>
  </si>
  <si>
    <t>ITDI-200402_REBID</t>
  </si>
  <si>
    <t>SVP-20-0487</t>
  </si>
  <si>
    <t>2020-12</t>
  </si>
  <si>
    <t>SVP-20-0481</t>
  </si>
  <si>
    <t>ITDI-200428_REBID</t>
  </si>
  <si>
    <t>RFQ No.: 	2020-06-0545</t>
  </si>
  <si>
    <t>19PB0036</t>
  </si>
  <si>
    <t>ITDI-200394_REBID</t>
  </si>
  <si>
    <t>ITDI-200397_REBID</t>
  </si>
  <si>
    <t>ITDI-200437_REBID</t>
  </si>
  <si>
    <t>SVP-20-0480</t>
  </si>
  <si>
    <t>SVP-20-0479</t>
  </si>
  <si>
    <t>SVP-20-0476</t>
  </si>
  <si>
    <t>SVP-20-0474</t>
  </si>
  <si>
    <t>Contract ID # 20JH0017</t>
  </si>
  <si>
    <t>ITDI-200426_REBID</t>
  </si>
  <si>
    <t>ITDI-200404_REBID</t>
  </si>
  <si>
    <t>SVP-20-0478</t>
  </si>
  <si>
    <t>SVP-20-0477</t>
  </si>
  <si>
    <t>ITDI-200445_REBID</t>
  </si>
  <si>
    <t>ITDI-200454_REBID</t>
  </si>
  <si>
    <t>202-06-0123</t>
  </si>
  <si>
    <t>ITDI-200458_REBID</t>
  </si>
  <si>
    <t>385-06/29/2020</t>
  </si>
  <si>
    <t>2020-06-0120</t>
  </si>
  <si>
    <t>ITDI-200461</t>
  </si>
  <si>
    <t>NCB-CBIMO-45-20</t>
  </si>
  <si>
    <t>geps-2020-001</t>
  </si>
  <si>
    <t>RFQ No.: 	2020-07-0551</t>
  </si>
  <si>
    <t>2020-07-033</t>
  </si>
  <si>
    <t>2020-RFQ-031 GOODS "PURCHASE OF MULTI FUNCTION PRI</t>
  </si>
  <si>
    <t>388-06/29/2020</t>
  </si>
  <si>
    <t>20MB0110</t>
  </si>
  <si>
    <t>JULY42020</t>
  </si>
  <si>
    <t>006</t>
  </si>
  <si>
    <t>20MB0155</t>
  </si>
  <si>
    <t>2020-06-139a</t>
  </si>
  <si>
    <t>2020-06-0139</t>
  </si>
  <si>
    <t>PB-2020-07-39</t>
  </si>
  <si>
    <t>PB-2020-07-40</t>
  </si>
  <si>
    <t>RFQ No.: 	2020-06-0532</t>
  </si>
  <si>
    <t>2020-05-001</t>
  </si>
  <si>
    <t>2020-07-140</t>
  </si>
  <si>
    <t>20MB0124</t>
  </si>
  <si>
    <t>20MB0122</t>
  </si>
  <si>
    <t>ATI2020-06-162</t>
  </si>
  <si>
    <t>INFRA-2020-04</t>
  </si>
  <si>
    <t>ATI2020-06-161</t>
  </si>
  <si>
    <t>ATI2020-06-160</t>
  </si>
  <si>
    <t>2020-07-19</t>
  </si>
  <si>
    <t>RFQ No.: 	2020-06-0530</t>
  </si>
  <si>
    <t>2020-07-17</t>
  </si>
  <si>
    <t>2020-07-16</t>
  </si>
  <si>
    <t>RFQ No.: 	2020-06-0535</t>
  </si>
  <si>
    <t>2020-07-14</t>
  </si>
  <si>
    <t>2020-07-11</t>
  </si>
  <si>
    <t>PB-2020-07-38</t>
  </si>
  <si>
    <t>0700-2020-07-027</t>
  </si>
  <si>
    <t>2020-07-09</t>
  </si>
  <si>
    <t>ATI2020-06-164</t>
  </si>
  <si>
    <t>20GEB0005-R2</t>
  </si>
  <si>
    <t>2020-07-21</t>
  </si>
  <si>
    <t>BB-2020-04</t>
  </si>
  <si>
    <t>2020-07-10</t>
  </si>
  <si>
    <t>20-07-001</t>
  </si>
  <si>
    <t>20GEB0041-R2</t>
  </si>
  <si>
    <t>BMB 20-035</t>
  </si>
  <si>
    <t>2020-45</t>
  </si>
  <si>
    <t>BAGO-BAC-2020-0020</t>
  </si>
  <si>
    <t>RBAC12-2020-SVP-F-056</t>
  </si>
  <si>
    <t>2020-06-004</t>
  </si>
  <si>
    <t>20GEB0047-A-R2</t>
  </si>
  <si>
    <t>ATI2020-06-165</t>
  </si>
  <si>
    <t>MOA-001-2020</t>
  </si>
  <si>
    <t>ATI2020-06-163</t>
  </si>
  <si>
    <t>IP-002-20</t>
  </si>
  <si>
    <t>2020-07-18</t>
  </si>
  <si>
    <t>MSUN-GOODS-01-2020</t>
  </si>
  <si>
    <t>2020-116</t>
  </si>
  <si>
    <t>0307-04-2020</t>
  </si>
  <si>
    <t>RFQ No.: 	2020-06-0528</t>
  </si>
  <si>
    <t>20MB0125</t>
  </si>
  <si>
    <t>PLAWD 2020-07-053</t>
  </si>
  <si>
    <t>2020-04-003</t>
  </si>
  <si>
    <t>20GEB0064-R2</t>
  </si>
  <si>
    <t>01-2020</t>
  </si>
  <si>
    <t>nego9</t>
  </si>
  <si>
    <t>nego8</t>
  </si>
  <si>
    <t>2020-04-002</t>
  </si>
  <si>
    <t>RFQ-PR NO. 2020-06-073</t>
  </si>
  <si>
    <t>nego4</t>
  </si>
  <si>
    <t>20-07-009</t>
  </si>
  <si>
    <t>2020-A-07-128</t>
  </si>
  <si>
    <t>2020-07-0127</t>
  </si>
  <si>
    <t>20RFQ-03-00044-INFRA</t>
  </si>
  <si>
    <t>nego7</t>
  </si>
  <si>
    <t>SHP2020-07-02-1125</t>
  </si>
  <si>
    <t>nego6</t>
  </si>
  <si>
    <t>AMP 07-2020-011 (PR No. 2020-05-036) Re-Advertised</t>
  </si>
  <si>
    <t>100(01)20-06-1190</t>
  </si>
  <si>
    <t>BOC-GOODS-RFQ-03-2020</t>
  </si>
  <si>
    <t>nego5</t>
  </si>
  <si>
    <t>20RFQ-03-00043-INFRA</t>
  </si>
  <si>
    <t>LGU-POZ-2020-0043</t>
  </si>
  <si>
    <t>201551</t>
  </si>
  <si>
    <t>DAR-PANG-012-2020</t>
  </si>
  <si>
    <t>LGU-POZ-2020-0042</t>
  </si>
  <si>
    <t>PR #0030</t>
  </si>
  <si>
    <t>20-06-0231</t>
  </si>
  <si>
    <t>BSWM PR 2020-06-1298</t>
  </si>
  <si>
    <t>CTR - 2020 - 01</t>
  </si>
  <si>
    <t>nego3</t>
  </si>
  <si>
    <t>ITB No. 2020-02-G</t>
  </si>
  <si>
    <t>LGU-POZ-2020-0041</t>
  </si>
  <si>
    <t>2020-07-029</t>
  </si>
  <si>
    <t>ITB No. 2020-01-G</t>
  </si>
  <si>
    <t>ITDI-200466</t>
  </si>
  <si>
    <t>20PB0038</t>
  </si>
  <si>
    <t>PIA13-004-03-07-2020</t>
  </si>
  <si>
    <t>nego2</t>
  </si>
  <si>
    <t>20RFQ-03-00042-INFRA</t>
  </si>
  <si>
    <t>nego1</t>
  </si>
  <si>
    <t>RFQ-INF-2020-024</t>
  </si>
  <si>
    <t>RFQ 2020-109</t>
  </si>
  <si>
    <t>1614</t>
  </si>
  <si>
    <t>07-2020-001</t>
  </si>
  <si>
    <t>201710</t>
  </si>
  <si>
    <t>RFQ20-18-Kidama-Lease-EX200</t>
  </si>
  <si>
    <t>2020-07-0129</t>
  </si>
  <si>
    <t>2020-006-023</t>
  </si>
  <si>
    <t>IB NO. N-2020-06-88</t>
  </si>
  <si>
    <t>2020-devmh-084</t>
  </si>
  <si>
    <t>0669</t>
  </si>
  <si>
    <t>RFQ 2020-07-024</t>
  </si>
  <si>
    <t>RFQ20-17-Batu-Lease-EX200</t>
  </si>
  <si>
    <t>SVP2020-07-03-1197</t>
  </si>
  <si>
    <t>RFQ20-16-Badak-Lease-EX200</t>
  </si>
  <si>
    <t>20GMD0035</t>
  </si>
  <si>
    <t>ITDI-200385_REBID</t>
  </si>
  <si>
    <t>SVP2020-07-03-1196</t>
  </si>
  <si>
    <t>RFQ No.: 	2020-06-0544</t>
  </si>
  <si>
    <t>NNP_Goods_2020-07-036</t>
  </si>
  <si>
    <t>2020-0826-RFQ-17</t>
  </si>
  <si>
    <t>10/202076</t>
  </si>
  <si>
    <t>IA-CM-20-018</t>
  </si>
  <si>
    <t>AMP-RFP-2020-003</t>
  </si>
  <si>
    <t>20-06-127</t>
  </si>
  <si>
    <t>RFQ 20-06-007</t>
  </si>
  <si>
    <t>pgeps 283-2020</t>
  </si>
  <si>
    <t>20-07</t>
  </si>
  <si>
    <t>pgeps 282-2020</t>
  </si>
  <si>
    <t>PR No. 220-07218</t>
  </si>
  <si>
    <t>0760</t>
  </si>
  <si>
    <t>RFQ20-20-Mris-Lease-EX120</t>
  </si>
  <si>
    <t>BFP_2020_026</t>
  </si>
  <si>
    <t>26</t>
  </si>
  <si>
    <t>2020-03-0992/2020-02-0468/2020-02-0732</t>
  </si>
  <si>
    <t>GOODS#0125-A, ITB#0128,  PR#GOODS#0125-A, ITB#0128</t>
  </si>
  <si>
    <t>0518</t>
  </si>
  <si>
    <t>2020-71</t>
  </si>
  <si>
    <t>ITDI-200442_REBID</t>
  </si>
  <si>
    <t>2020-44</t>
  </si>
  <si>
    <t>20-06-128</t>
  </si>
  <si>
    <t>ITDI-200452_REBID</t>
  </si>
  <si>
    <t>RFQ No. 2020-028</t>
  </si>
  <si>
    <t>NDA-20-07-073-NM</t>
  </si>
  <si>
    <t>B20-21-01</t>
  </si>
  <si>
    <t>BG20-01-03</t>
  </si>
  <si>
    <t>2020-06-038</t>
  </si>
  <si>
    <t>DOST XI 2020-031</t>
  </si>
  <si>
    <t>BG20-01-01</t>
  </si>
  <si>
    <t>RB20-12-02</t>
  </si>
  <si>
    <t>20-GOODS-01</t>
  </si>
  <si>
    <t>20PB0037</t>
  </si>
  <si>
    <t>395-2020-7</t>
  </si>
  <si>
    <t>2020-014</t>
  </si>
  <si>
    <t>2020-015</t>
  </si>
  <si>
    <t>RFQ NO. EMB-SVP-ERLSD-ECMU GCMSMS AGILENT PM 2020-</t>
  </si>
  <si>
    <t>20CS-037</t>
  </si>
  <si>
    <t>RFQ No.: 	2020-06-0543</t>
  </si>
  <si>
    <t>BG20-01-02</t>
  </si>
  <si>
    <t>BCS-2020-0159</t>
  </si>
  <si>
    <t>ITDI-200388_REBID</t>
  </si>
  <si>
    <t>AMP-RFP-2020-004</t>
  </si>
  <si>
    <t>VR2020-07-001</t>
  </si>
  <si>
    <t>20CD0168</t>
  </si>
  <si>
    <t>SN 2020-07-008</t>
  </si>
  <si>
    <t>SN 2020-07-007</t>
  </si>
  <si>
    <t>SN-RVP-G-071</t>
  </si>
  <si>
    <t>2020-06-0029</t>
  </si>
  <si>
    <t>AMP-RFQ-2020-100</t>
  </si>
  <si>
    <t>RFQ-GS-20200626-03</t>
  </si>
  <si>
    <t>2020-04-004</t>
  </si>
  <si>
    <t>082-20</t>
  </si>
  <si>
    <t>CW-001 S. 2020</t>
  </si>
  <si>
    <t>36</t>
  </si>
  <si>
    <t>109914-2020-04</t>
  </si>
  <si>
    <t>NP-Optical Assistive Devices</t>
  </si>
  <si>
    <t>109914-2020-07</t>
  </si>
  <si>
    <t>2020-07-160</t>
  </si>
  <si>
    <t>SL-2020-009</t>
  </si>
  <si>
    <t>RFQ JUNE 2020-08</t>
  </si>
  <si>
    <t>2020-02-0378 Etc.</t>
  </si>
  <si>
    <t>RFQ APRIL 2020-06</t>
  </si>
  <si>
    <t>2020-21</t>
  </si>
  <si>
    <t>20-044</t>
  </si>
  <si>
    <t>RFQ JULY 2020-12</t>
  </si>
  <si>
    <t>RFQ APRIL 2020-07</t>
  </si>
  <si>
    <t>DOMINGA-DVO-001</t>
  </si>
  <si>
    <t>DSWD 4B 2020-06-0671</t>
  </si>
  <si>
    <t>RFQ JUNE 2020-10</t>
  </si>
  <si>
    <t>RFQ-STF-052</t>
  </si>
  <si>
    <t>001-07-032</t>
  </si>
  <si>
    <t>2020-167</t>
  </si>
  <si>
    <t>AMP SVP-S 20-07-0377</t>
  </si>
  <si>
    <t>0569</t>
  </si>
  <si>
    <t>CGETDC 20-07-036</t>
  </si>
  <si>
    <t>ITB No. 2020-02-05</t>
  </si>
  <si>
    <t>CMOR-03-2020-022</t>
  </si>
  <si>
    <t>DENR-CAR-PENRO Abra-010-2020</t>
  </si>
  <si>
    <t>2020_004</t>
  </si>
  <si>
    <t>2020-07-05</t>
  </si>
  <si>
    <t>BAC-BLE-2020-06-017</t>
  </si>
  <si>
    <t>CAD-2020-07-0308</t>
  </si>
  <si>
    <t>20KB0180</t>
  </si>
  <si>
    <t>RFQ JULY 2020-11</t>
  </si>
  <si>
    <t>564ECB-02-2020-030</t>
  </si>
  <si>
    <t>0007-0031-0915-2020</t>
  </si>
  <si>
    <t>101-2020-06-293</t>
  </si>
  <si>
    <t>20KB0179</t>
  </si>
  <si>
    <t>20GFG0020</t>
  </si>
  <si>
    <t>0015-0027-0908-2020</t>
  </si>
  <si>
    <t>RSSO PR NO. 2020-06-132</t>
  </si>
  <si>
    <t>SVP-2020-07-03-01</t>
  </si>
  <si>
    <t>Rescue Vehicle</t>
  </si>
  <si>
    <t>1655</t>
  </si>
  <si>
    <t>20GFG0021</t>
  </si>
  <si>
    <t>MG-A7M20-084</t>
  </si>
  <si>
    <t>MG-A7A20-020</t>
  </si>
  <si>
    <t>20FK0005</t>
  </si>
  <si>
    <t>PB-04-2020</t>
  </si>
  <si>
    <t>20 – 0019 – S</t>
  </si>
  <si>
    <t>0020-0211-1125-2020</t>
  </si>
  <si>
    <t>001</t>
  </si>
  <si>
    <t>MG-A7M20-080</t>
  </si>
  <si>
    <t>RFQ2020-031</t>
  </si>
  <si>
    <t>DTI-NE-20-06-03</t>
  </si>
  <si>
    <t>burgos-2020-163-050</t>
  </si>
  <si>
    <t>20 – 0021 – S</t>
  </si>
  <si>
    <t>20 – 0020 – S</t>
  </si>
  <si>
    <t>2020-SK19-001</t>
  </si>
  <si>
    <t>MG-RDW20-020..WATER LEVEL MONITORING SYSTEM/STATIO</t>
  </si>
  <si>
    <t>2020-68</t>
  </si>
  <si>
    <t>07-20-07</t>
  </si>
  <si>
    <t>20-192</t>
  </si>
  <si>
    <t>RFQ No. 20-088: SUPPLY AND DELIVERY OF VARIOUS OR</t>
  </si>
  <si>
    <t>07-20-06</t>
  </si>
  <si>
    <t>20 – 0027 – S</t>
  </si>
  <si>
    <t>20 – 0022– S</t>
  </si>
  <si>
    <t>00010</t>
  </si>
  <si>
    <t>20201307</t>
  </si>
  <si>
    <t>80-20-06-083</t>
  </si>
  <si>
    <t>2020-086</t>
  </si>
  <si>
    <t>0001-2020</t>
  </si>
  <si>
    <t>20 – 0028 – S</t>
  </si>
  <si>
    <t>101-2020-06-288</t>
  </si>
  <si>
    <t>2020-RFQ-023 "FABRICATION OF FIFTY (50) UNITS STEE</t>
  </si>
  <si>
    <t>RFQ No. 20-087</t>
  </si>
  <si>
    <t>SVP-2020-07-03-03</t>
  </si>
  <si>
    <t>HBC20-06-287, 288, 299 &amp; OVP20-06-095</t>
  </si>
  <si>
    <t>20 – 0026 – S</t>
  </si>
  <si>
    <t>20 – 0025 – S</t>
  </si>
  <si>
    <t>s-30-2020</t>
  </si>
  <si>
    <t>G-2020-07-02</t>
  </si>
  <si>
    <t>20HH0134 (REBID)</t>
  </si>
  <si>
    <t>PR#2020-06-018-gs</t>
  </si>
  <si>
    <t>G20-06-2100</t>
  </si>
  <si>
    <t>PR-2020-1113</t>
  </si>
  <si>
    <t>07-20-08</t>
  </si>
  <si>
    <t>955555556</t>
  </si>
  <si>
    <t>2020-101-060</t>
  </si>
  <si>
    <t>GOODS-58-2020</t>
  </si>
  <si>
    <t>VMC-2020-69</t>
  </si>
  <si>
    <t>CATCAM-2020-19</t>
  </si>
  <si>
    <t>2020-06-0077</t>
  </si>
  <si>
    <t>SVP-2020-07-03-04</t>
  </si>
  <si>
    <t>9555555567</t>
  </si>
  <si>
    <t>930</t>
  </si>
  <si>
    <t>2020-13</t>
  </si>
  <si>
    <t>20063680</t>
  </si>
  <si>
    <t>RFQ NO. RBAC X-CDO-2020-089</t>
  </si>
  <si>
    <t>2020-231</t>
  </si>
  <si>
    <t>ORL-HNS-2020-02-0003</t>
  </si>
  <si>
    <t>ITB2020-07-01</t>
  </si>
  <si>
    <t>7032020</t>
  </si>
  <si>
    <t>2020-06-0451</t>
  </si>
  <si>
    <t>SVP-2020-07-03-05</t>
  </si>
  <si>
    <t>8911-03-2455-19</t>
  </si>
  <si>
    <t>CMO(SK)-20-001(NSP/SV)</t>
  </si>
  <si>
    <t>20063844</t>
  </si>
  <si>
    <t>F-073-0438-20</t>
  </si>
  <si>
    <t>HILONGOS 2020-199</t>
  </si>
  <si>
    <t>20GP00069</t>
  </si>
  <si>
    <t>06/153/2020</t>
  </si>
  <si>
    <t>CGETDC 20-07-037</t>
  </si>
  <si>
    <t>9555555558</t>
  </si>
  <si>
    <t>2020-06-1004</t>
  </si>
  <si>
    <t>9555555559</t>
  </si>
  <si>
    <t>2020svp - 242-589</t>
  </si>
  <si>
    <t>1281-20BAC</t>
  </si>
  <si>
    <t>RFQ 2020-15</t>
  </si>
  <si>
    <t>101-2020-06-289</t>
  </si>
  <si>
    <t>53515957</t>
  </si>
  <si>
    <t>HILONGOS 2020-200</t>
  </si>
  <si>
    <t>2020-07-068</t>
  </si>
  <si>
    <t>2020-06-1025</t>
  </si>
  <si>
    <t>ITB2020-07-02</t>
  </si>
  <si>
    <t>BAC-AS-2020-03-013</t>
  </si>
  <si>
    <t>AMP-RFQ-2020-112</t>
  </si>
  <si>
    <t>2020-06-124</t>
  </si>
  <si>
    <t>RFQ 2020-114</t>
  </si>
  <si>
    <t>2020-02-049</t>
  </si>
  <si>
    <t>2020-0382</t>
  </si>
  <si>
    <t>RFQ-2020-187</t>
  </si>
  <si>
    <t>2020-69</t>
  </si>
  <si>
    <t>2020-0545</t>
  </si>
  <si>
    <t>101-2020-06-290</t>
  </si>
  <si>
    <t>2020-07-105</t>
  </si>
  <si>
    <t>2020svp - 244-588</t>
  </si>
  <si>
    <t>GOODS-20-S188</t>
  </si>
  <si>
    <t>4LACT-11518</t>
  </si>
  <si>
    <t>20HH0135 (REBID)</t>
  </si>
  <si>
    <t>HILONGOS 2020-201</t>
  </si>
  <si>
    <t>PF-0620-666</t>
  </si>
  <si>
    <t>PR No. 2006-003</t>
  </si>
  <si>
    <t>RFQ No. 20-089 Supply and Delivery of Various Offi</t>
  </si>
  <si>
    <t>OD-2020-02-001</t>
  </si>
  <si>
    <t>27</t>
  </si>
  <si>
    <t>41DRC-11516</t>
  </si>
  <si>
    <t>2020-06-0372</t>
  </si>
  <si>
    <t>20053381</t>
  </si>
  <si>
    <t>NIA.IGIMO-F501LFPS-Binon-an PIP-N2020-06-0103</t>
  </si>
  <si>
    <t>RFQ NO. EMB-S-ERLSD-ELSS GLASSWARE 2020-0525</t>
  </si>
  <si>
    <t>6167696333</t>
  </si>
  <si>
    <t>07-20-09</t>
  </si>
  <si>
    <t>2020svp - 243-590</t>
  </si>
  <si>
    <t>RFQ no.20-093</t>
  </si>
  <si>
    <t>2020svp - 246-58</t>
  </si>
  <si>
    <t>0505</t>
  </si>
  <si>
    <t>RQ 06-245</t>
  </si>
  <si>
    <t>RFQ 2020-113</t>
  </si>
  <si>
    <t>RFQ-2020-189</t>
  </si>
  <si>
    <t>101-2020-06-292</t>
  </si>
  <si>
    <t>PR2020-02-003</t>
  </si>
  <si>
    <t>2020-07-0373</t>
  </si>
  <si>
    <t>RFQ-ETG-20-07-030</t>
  </si>
  <si>
    <t>2020svp - 245-586</t>
  </si>
  <si>
    <t>2020-338</t>
  </si>
  <si>
    <t>RFQ-2020-188</t>
  </si>
  <si>
    <t>RFQ 2020-115</t>
  </si>
  <si>
    <t>PHilMech RCEF 20-06-02</t>
  </si>
  <si>
    <t>GOODS-2020-0004</t>
  </si>
  <si>
    <t>20053357</t>
  </si>
  <si>
    <t>202007128</t>
  </si>
  <si>
    <t>GOODS - 2020-07-055</t>
  </si>
  <si>
    <t>4947414333</t>
  </si>
  <si>
    <t>G28-2020</t>
  </si>
  <si>
    <t>SVP 20-07-391</t>
  </si>
  <si>
    <t>2020-333</t>
  </si>
  <si>
    <t>RFQ-2020-186</t>
  </si>
  <si>
    <t>20063732</t>
  </si>
  <si>
    <t>S-31-2020</t>
  </si>
  <si>
    <t>RQ 07-002</t>
  </si>
  <si>
    <t>478-06-2020 (PGO)</t>
  </si>
  <si>
    <t>F-070-0435-20</t>
  </si>
  <si>
    <t>2020-LO-102</t>
  </si>
  <si>
    <t>S-34-2020</t>
  </si>
  <si>
    <t>2020-SVP-297</t>
  </si>
  <si>
    <t>20-5354</t>
  </si>
  <si>
    <t>07-20-05</t>
  </si>
  <si>
    <t>HILONGOS 2020-198</t>
  </si>
  <si>
    <t>2020-06-11</t>
  </si>
  <si>
    <t>2020-011(PB)</t>
  </si>
  <si>
    <t>burgos-2020-159-160-049</t>
  </si>
  <si>
    <t>SVP-2020-07-03-02</t>
  </si>
  <si>
    <t>burgos-2020-164-051</t>
  </si>
  <si>
    <t>20KB0181</t>
  </si>
  <si>
    <t>RFQ 200273</t>
  </si>
  <si>
    <t>RFQ NO. EMB-S-ERLSD-ELSS INCUBATOR 2020-0519</t>
  </si>
  <si>
    <t>20 – 0023 – S</t>
  </si>
  <si>
    <t>2020-03-004</t>
  </si>
  <si>
    <t>1613</t>
  </si>
  <si>
    <t>RFQ 2020-110</t>
  </si>
  <si>
    <t>20 – 0024 – S</t>
  </si>
  <si>
    <t>RQ 07-004</t>
  </si>
  <si>
    <t>06032020172</t>
  </si>
  <si>
    <t>ITB NO. 20-058: RE-BIDDING FOR THE SUPPLY AND DELI</t>
  </si>
  <si>
    <t>8789818311</t>
  </si>
  <si>
    <t>2020-070301</t>
  </si>
  <si>
    <t>2020svp - 247-591</t>
  </si>
  <si>
    <t>20CD0171</t>
  </si>
  <si>
    <t>2020-05-169</t>
  </si>
  <si>
    <t>PS-2020-03-0002</t>
  </si>
  <si>
    <t>RQ 07-003</t>
  </si>
  <si>
    <t>20CD0169</t>
  </si>
  <si>
    <t>202007129</t>
  </si>
  <si>
    <t>109914-2020-06</t>
  </si>
  <si>
    <t>2020-06-085</t>
  </si>
  <si>
    <t>NIA.IGIMO-F501LFPS-Calaya Proper PIP-EGPIP-N2020-0</t>
  </si>
  <si>
    <t>2020-07-0007</t>
  </si>
  <si>
    <t>AMP-RFQ-2020-099</t>
  </si>
  <si>
    <t>002-07-03-2020</t>
  </si>
  <si>
    <t>2020-0500</t>
  </si>
  <si>
    <t>20-07-002</t>
  </si>
  <si>
    <t>2020-7-03</t>
  </si>
  <si>
    <t>RFQ No. 2020-006</t>
  </si>
  <si>
    <t>20CD0170</t>
  </si>
  <si>
    <t>20CD0173</t>
  </si>
  <si>
    <t>MG-A7T20-056</t>
  </si>
  <si>
    <t>2020-221</t>
  </si>
  <si>
    <t>2020-070302</t>
  </si>
  <si>
    <t>RFQ NO. EMB-S-ERLSD-ELSS CONSUMABLES 2020-0484</t>
  </si>
  <si>
    <t>2020-070304</t>
  </si>
  <si>
    <t>AMP-RFQ-2020-111</t>
  </si>
  <si>
    <t>PR-2020-</t>
  </si>
  <si>
    <t>GOODS 2020-213(SVP)</t>
  </si>
  <si>
    <t>20-07-492</t>
  </si>
  <si>
    <t>20CD0172</t>
  </si>
  <si>
    <t>2020-06-1024</t>
  </si>
  <si>
    <t>20-193</t>
  </si>
  <si>
    <t>RFQ No. 2020-004A</t>
  </si>
  <si>
    <t>2020-169</t>
  </si>
  <si>
    <t>RFQ-2020-06-008</t>
  </si>
  <si>
    <t>80-19-09-070</t>
  </si>
  <si>
    <t>2020-070303</t>
  </si>
  <si>
    <t>CPSH-2020-01</t>
  </si>
  <si>
    <t>2020-03-036</t>
  </si>
  <si>
    <t>2020-030</t>
  </si>
  <si>
    <t>RFQ No. 060-2020 GQ</t>
  </si>
  <si>
    <t>2020-06-1023</t>
  </si>
  <si>
    <t>RFQ-ETG-20-07-031</t>
  </si>
  <si>
    <t>202007130</t>
  </si>
  <si>
    <t>RFQ-2020-05-004</t>
  </si>
  <si>
    <t>MED.ONCO-2020-06-006</t>
  </si>
  <si>
    <t>2020-07-0374</t>
  </si>
  <si>
    <t>RFQ-2020-114</t>
  </si>
  <si>
    <t>BAC 21-20</t>
  </si>
  <si>
    <t>2020-070305</t>
  </si>
  <si>
    <t>2020-168</t>
  </si>
  <si>
    <t>RFQ-2020-05-006</t>
  </si>
  <si>
    <t>Q-100-20</t>
  </si>
  <si>
    <t>2927232111</t>
  </si>
  <si>
    <t>GOODS 2020-215(SVP)</t>
  </si>
  <si>
    <t>RFQ No. 0851-20</t>
  </si>
  <si>
    <t>GOODS 2020-214(SVP)</t>
  </si>
  <si>
    <t>7-08</t>
  </si>
  <si>
    <t>2020-27</t>
  </si>
  <si>
    <t>NIU-072-2020</t>
  </si>
  <si>
    <t>2020-070307</t>
  </si>
  <si>
    <t>371-2020</t>
  </si>
  <si>
    <t>GOODS 2020-216(SVP)</t>
  </si>
  <si>
    <t>372-2020</t>
  </si>
  <si>
    <t>ICWS-20-039(NP/SV)</t>
  </si>
  <si>
    <t>MB 2007-037</t>
  </si>
  <si>
    <t>2020-06-086</t>
  </si>
  <si>
    <t>20CD0175</t>
  </si>
  <si>
    <t>RCEF GOOD 20-06-01</t>
  </si>
  <si>
    <t>PG-2020-055</t>
  </si>
  <si>
    <t>Q-099-20</t>
  </si>
  <si>
    <t>2020-070306</t>
  </si>
  <si>
    <t xml:space="preserve">ITB NO. 20-050: RE-BIDDING FOR ONE (1) LOT SUPPLY </t>
  </si>
  <si>
    <t>20CD0174</t>
  </si>
  <si>
    <t>QSU-BAC-G-03-2020</t>
  </si>
  <si>
    <t>MED.ONCO-2020-06-005</t>
  </si>
  <si>
    <t>RFQ No. 0852-20</t>
  </si>
  <si>
    <t>1611</t>
  </si>
  <si>
    <t>2020-06-0447</t>
  </si>
  <si>
    <t>202007131</t>
  </si>
  <si>
    <t>0600856</t>
  </si>
  <si>
    <t>RFQ No. 0856-20</t>
  </si>
  <si>
    <t>2020-070308</t>
  </si>
  <si>
    <t>NP-SVP-2020-06</t>
  </si>
  <si>
    <t>NIA.IGIMO-F501LFPS-Ginalingan Nuevo PIP-EGPIP-N202</t>
  </si>
  <si>
    <t>G001</t>
  </si>
  <si>
    <t>RFQ No. 0855-20</t>
  </si>
  <si>
    <t>20CD0178</t>
  </si>
  <si>
    <t>PR 2020-06-003</t>
  </si>
  <si>
    <t>20CD0176</t>
  </si>
  <si>
    <t>2020-070309</t>
  </si>
  <si>
    <t>RFQ No. 0849-20</t>
  </si>
  <si>
    <t>2020-07-38</t>
  </si>
  <si>
    <t>101-2020-06-295</t>
  </si>
  <si>
    <t>2020-102</t>
  </si>
  <si>
    <t>SF-GOODS NO. 68-(07-3-20)</t>
  </si>
  <si>
    <t>2020-019</t>
  </si>
  <si>
    <t>20CD0177</t>
  </si>
  <si>
    <t>RFQ-TPB-PR.2020.07.199</t>
  </si>
  <si>
    <t>PR-172-100-2020</t>
  </si>
  <si>
    <t>Goods 2020-36</t>
  </si>
  <si>
    <t>GFG-2020-06-017R</t>
  </si>
  <si>
    <t>20CD0179</t>
  </si>
  <si>
    <t>CGS-2020-0157</t>
  </si>
  <si>
    <t>2020-06-1022</t>
  </si>
  <si>
    <t>2020-07-0375</t>
  </si>
  <si>
    <t>2020-06-108</t>
  </si>
  <si>
    <t>P.R. 0581 SERIES 2020</t>
  </si>
  <si>
    <t>DA 8 SVP Goods 2020-07-0087 (Rice 20-07-02-0854)</t>
  </si>
  <si>
    <t>20DJ0096</t>
  </si>
  <si>
    <t>ITB-2020-17</t>
  </si>
  <si>
    <t>2020-06-125</t>
  </si>
  <si>
    <t>20GMD0038</t>
  </si>
  <si>
    <t>0583-07-2020</t>
  </si>
  <si>
    <t>2020-06-049</t>
  </si>
  <si>
    <t>2020-06-1021</t>
  </si>
  <si>
    <t>20CD0016 (CS)</t>
  </si>
  <si>
    <t>20-03-166</t>
  </si>
  <si>
    <t>RFQ No.057 -2020</t>
  </si>
  <si>
    <t>Completion of Multi-Purpose Building at Brgy. Prog</t>
  </si>
  <si>
    <t>INF 2020-02,2020-03</t>
  </si>
  <si>
    <t>Supply and Delivery of Various Laboratory Supplies</t>
  </si>
  <si>
    <t>2020-103</t>
  </si>
  <si>
    <t>2020-313</t>
  </si>
  <si>
    <t>20DJ0097</t>
  </si>
  <si>
    <t>20DJ0098</t>
  </si>
  <si>
    <t>07-20-10</t>
  </si>
  <si>
    <t>AMP-023-2020</t>
  </si>
  <si>
    <t>20-06-395</t>
  </si>
  <si>
    <t>2020-07-0376</t>
  </si>
  <si>
    <t>7-12</t>
  </si>
  <si>
    <t>QSU-BAC-G-05-2020</t>
  </si>
  <si>
    <t>2020-GOODS-036</t>
  </si>
  <si>
    <t>PR/RFQ# 2020-06-115</t>
  </si>
  <si>
    <t>2020-020</t>
  </si>
  <si>
    <t>RFQ-DVO. PR NO. 2006051 CAT. 44 OFFICE SUPPLIES AN</t>
  </si>
  <si>
    <t>stateresita-007-2020</t>
  </si>
  <si>
    <t>0747</t>
  </si>
  <si>
    <t>2020-07-0146</t>
  </si>
  <si>
    <t>PR/RFQ# 2020-06-116</t>
  </si>
  <si>
    <t>100-2020-Goods-411</t>
  </si>
  <si>
    <t>P.R. 0577 SERIES 2020</t>
  </si>
  <si>
    <t>20CD0019 (CS)</t>
  </si>
  <si>
    <t>CGS-2020-0158</t>
  </si>
  <si>
    <t>ZN20-07-03-001</t>
  </si>
  <si>
    <t>20DJ0099</t>
  </si>
  <si>
    <t>sfbac2020</t>
  </si>
  <si>
    <t>dcm-2020-07-001</t>
  </si>
  <si>
    <t>2020-07-0377</t>
  </si>
  <si>
    <t>2020-07-2057</t>
  </si>
  <si>
    <t>CGS-2020-0159</t>
  </si>
  <si>
    <t>07/03/2020</t>
  </si>
  <si>
    <t>20202-03</t>
  </si>
  <si>
    <t>PD2020-RFQ07-001-G</t>
  </si>
  <si>
    <t>20CD0020 (CS)</t>
  </si>
  <si>
    <t xml:space="preserve">Supply, Delivery and Installation OF VIDEO SYSTEM </t>
  </si>
  <si>
    <t>2020-07-39</t>
  </si>
  <si>
    <t>2020-104</t>
  </si>
  <si>
    <t>101-2020-06-296</t>
  </si>
  <si>
    <t>20-04-211</t>
  </si>
  <si>
    <t>14</t>
  </si>
  <si>
    <t>305THCO-11524-AMC-41-2020</t>
  </si>
  <si>
    <t>2020-07-0083</t>
  </si>
  <si>
    <t>GSD-J-20-272</t>
  </si>
  <si>
    <t>20CD0018 (CS)</t>
  </si>
  <si>
    <t>0584-07-2020</t>
  </si>
  <si>
    <t>20CD0023 (CS)</t>
  </si>
  <si>
    <t>20DJ0100</t>
  </si>
  <si>
    <t>2020-07-0145</t>
  </si>
  <si>
    <t>20CD0017 (CS)</t>
  </si>
  <si>
    <t>2020-07-2065</t>
  </si>
  <si>
    <t>20DJ0101</t>
  </si>
  <si>
    <t>MPQ-070320-97</t>
  </si>
  <si>
    <t>2020-07-40</t>
  </si>
  <si>
    <t>PR/RFQ# 2020-06-118</t>
  </si>
  <si>
    <t>PMN2-SN-01</t>
  </si>
  <si>
    <t>2020-06-1006</t>
  </si>
  <si>
    <t>20CD0022 (CS)</t>
  </si>
  <si>
    <t>20-07-367</t>
  </si>
  <si>
    <t>20-07-074</t>
  </si>
  <si>
    <t>2020-0012</t>
  </si>
  <si>
    <t>LGU Valencia, Bohol 2020 - 062</t>
  </si>
  <si>
    <t>PHSA-2020-07-03-012</t>
  </si>
  <si>
    <t>0700-2020-07-026</t>
  </si>
  <si>
    <t>RFQ for the month of January to June 2020</t>
  </si>
  <si>
    <t>20CD0024 (CS)</t>
  </si>
  <si>
    <t>305THCO-11527-220AW-100-2020</t>
  </si>
  <si>
    <t>2020-07-41</t>
  </si>
  <si>
    <t>20CD0026 (CS)</t>
  </si>
  <si>
    <t>CGS-2020-0161</t>
  </si>
  <si>
    <t>2020-140</t>
  </si>
  <si>
    <t>2020-121</t>
  </si>
  <si>
    <t>SVP2020-07-03-1198</t>
  </si>
  <si>
    <t>BRGY-0703-0001</t>
  </si>
  <si>
    <t>BAC A1-2020-06-3744</t>
  </si>
  <si>
    <t>PR No. 2006-147</t>
  </si>
  <si>
    <t>2020-02-009</t>
  </si>
  <si>
    <t>nego11</t>
  </si>
  <si>
    <t>RFQ No.058 -2020</t>
  </si>
  <si>
    <t>SF-EQUIPMENT NO. 9-(07-03-20)</t>
  </si>
  <si>
    <t>0538</t>
  </si>
  <si>
    <t>nego10</t>
  </si>
  <si>
    <t>083-20</t>
  </si>
  <si>
    <t>skmuzon2</t>
  </si>
  <si>
    <t>20-5474</t>
  </si>
  <si>
    <t>lgu-es-20-06-150</t>
  </si>
  <si>
    <t>PR-2020-1138</t>
  </si>
  <si>
    <t>1391-06-20</t>
  </si>
  <si>
    <t>2020-06-00467</t>
  </si>
  <si>
    <t>2020-148</t>
  </si>
  <si>
    <t>20-06198PR</t>
  </si>
  <si>
    <t>INF 2020-04, INF 2020-05</t>
  </si>
  <si>
    <t>PR/RFQ# 2020-06-119</t>
  </si>
  <si>
    <t>005</t>
  </si>
  <si>
    <t>20CD0025 (CS)</t>
  </si>
  <si>
    <t>SR 07-03-2020</t>
  </si>
  <si>
    <t>2020-06-00441</t>
  </si>
  <si>
    <t>2020-07-0378</t>
  </si>
  <si>
    <t>2020-47</t>
  </si>
  <si>
    <t>PMN2-SN-02</t>
  </si>
  <si>
    <t>CBAA2020-07-02</t>
  </si>
  <si>
    <t>07-20-12</t>
  </si>
  <si>
    <t>003-2020</t>
  </si>
  <si>
    <t>2020-06-337</t>
  </si>
  <si>
    <t>2020-222</t>
  </si>
  <si>
    <t>2020-06-0220</t>
  </si>
  <si>
    <t>07032020-A</t>
  </si>
  <si>
    <t>2020-02-014</t>
  </si>
  <si>
    <t>SF-GOODS NO. 69-(06-03-20)</t>
  </si>
  <si>
    <t>2020-48</t>
  </si>
  <si>
    <t>CGS-2020-0160</t>
  </si>
  <si>
    <t>960</t>
  </si>
  <si>
    <t>G20-06-2099</t>
  </si>
  <si>
    <t>SF-LABOR  NO. 11-(07-03-20)</t>
  </si>
  <si>
    <t>2020-150</t>
  </si>
  <si>
    <t>nego13</t>
  </si>
  <si>
    <t>2020-175</t>
  </si>
  <si>
    <t>RFQ 2020-07-016</t>
  </si>
  <si>
    <t>SR 07-03-2020-A</t>
  </si>
  <si>
    <t>2020-149</t>
  </si>
  <si>
    <t>2020-GOODS-NP-73</t>
  </si>
  <si>
    <t>101-2020-06-297</t>
  </si>
  <si>
    <t>2020-06-00440</t>
  </si>
  <si>
    <t>20-07-369</t>
  </si>
  <si>
    <t>20CD0021 (CS)</t>
  </si>
  <si>
    <t>nego14</t>
  </si>
  <si>
    <t>20DJ0102</t>
  </si>
  <si>
    <t>SEF-2020-004</t>
  </si>
  <si>
    <t>GOODS 2020-217(SVP)</t>
  </si>
  <si>
    <t>GTLMH-TF-20-013 OS</t>
  </si>
  <si>
    <t>07-103-2020</t>
  </si>
  <si>
    <t>07-203-2020</t>
  </si>
  <si>
    <t>2020-07-232</t>
  </si>
  <si>
    <t>GTLMH-20-TF-003 (NP-SV)</t>
  </si>
  <si>
    <t>2020-164-I</t>
  </si>
  <si>
    <t>399-2020 Bidding</t>
  </si>
  <si>
    <t>CGS-2020-0162</t>
  </si>
  <si>
    <t>RFQ-01-July2020</t>
  </si>
  <si>
    <t>2020-07-001-IMD</t>
  </si>
  <si>
    <t>QN2020-06-15E</t>
  </si>
  <si>
    <t>RFQ-T-10-20A</t>
  </si>
  <si>
    <t>010-20</t>
  </si>
  <si>
    <t>RFQ No. 0848-20</t>
  </si>
  <si>
    <t>RFQ No. 0853-20</t>
  </si>
  <si>
    <t>402-2020 Bidding</t>
  </si>
  <si>
    <t>RFQ for the month of JANUARY to JUNE 2020 (SENIOR</t>
  </si>
  <si>
    <t>2020-46</t>
  </si>
  <si>
    <t>GOODS 2020-218(SVP)</t>
  </si>
  <si>
    <t>100(01)20-06-1199</t>
  </si>
  <si>
    <t>100(01)20-05-1159;1126;1103</t>
  </si>
  <si>
    <t>2020-06-539</t>
  </si>
  <si>
    <t>305THCO-11528-220AW-101-2020</t>
  </si>
  <si>
    <t>P.R. 0574 SERIES 2020</t>
  </si>
  <si>
    <t>RFQ No. 0843-20</t>
  </si>
  <si>
    <t>itb20-07-028C</t>
  </si>
  <si>
    <t>2020-225</t>
  </si>
  <si>
    <t>RFQ-G-2020-080</t>
  </si>
  <si>
    <t>RFQ 076</t>
  </si>
  <si>
    <t>07032020</t>
  </si>
  <si>
    <t>GOODS 2020-219(SVP)</t>
  </si>
  <si>
    <t>PHilMech Goods 20-06-08</t>
  </si>
  <si>
    <t>GOODS-20-S189</t>
  </si>
  <si>
    <t>itb20-07-028B</t>
  </si>
  <si>
    <t>2020-224</t>
  </si>
  <si>
    <t>RFQ No. 0846-20</t>
  </si>
  <si>
    <t>H-2020-06-085</t>
  </si>
  <si>
    <t>RFQ No. 0845-20</t>
  </si>
  <si>
    <t>BRGY-0703-0002</t>
  </si>
  <si>
    <t>394-2020 Bidding</t>
  </si>
  <si>
    <t>2020-001-M</t>
  </si>
  <si>
    <t>LGUCQ-I-2020-07-0007</t>
  </si>
  <si>
    <t>388-2020 Bidding</t>
  </si>
  <si>
    <t>BLGU-CW-2020-01</t>
  </si>
  <si>
    <t>RFQ No. 0847-20</t>
  </si>
  <si>
    <t>GSO-20-07-0295</t>
  </si>
  <si>
    <t>TESDA-MPLTP 2020 07-017</t>
  </si>
  <si>
    <t>ITB-2020-25</t>
  </si>
  <si>
    <t>HHSBn-03-05-20</t>
  </si>
  <si>
    <t>PCS-Additional Supplies 2 -2020-07-009</t>
  </si>
  <si>
    <t>GOODS-20-S190</t>
  </si>
  <si>
    <t>itb20-07-028E</t>
  </si>
  <si>
    <t>ISU-CYN-2020-35</t>
  </si>
  <si>
    <t>100(01)20-06-1250</t>
  </si>
  <si>
    <t>GOODS 2020-220(SVP)</t>
  </si>
  <si>
    <t>itb20-07-028A</t>
  </si>
  <si>
    <t>LGUCQ-I-2020-07-0008</t>
  </si>
  <si>
    <t>2020-02-0093</t>
  </si>
  <si>
    <t>SEF-2020-003</t>
  </si>
  <si>
    <t>387-2020 Bidding</t>
  </si>
  <si>
    <t>itb20-07-028D</t>
  </si>
  <si>
    <t>RFQ No. 0844-20</t>
  </si>
  <si>
    <t>20-0601-8821</t>
  </si>
  <si>
    <t>ITB-2020-24</t>
  </si>
  <si>
    <t>100(01)20-05-1148</t>
  </si>
  <si>
    <t>2020-02-0086/02-00149/03-00164/00171/04-00286/05-0</t>
  </si>
  <si>
    <t>2020-02-018</t>
  </si>
  <si>
    <t>100(01)20-05-1059</t>
  </si>
  <si>
    <t>07-20-11</t>
  </si>
  <si>
    <t>2020-059</t>
  </si>
  <si>
    <t>0711</t>
  </si>
  <si>
    <t>2020-223</t>
  </si>
  <si>
    <t>20-07-374</t>
  </si>
  <si>
    <t>P.R. No. 20-07-008</t>
  </si>
  <si>
    <t>20060431</t>
  </si>
  <si>
    <t>GSO-20-07-0293</t>
  </si>
  <si>
    <t>20-0678-7621</t>
  </si>
  <si>
    <t>BAC A1-2020-06-3745</t>
  </si>
  <si>
    <t>LGUCQ-I-2020-07-0010</t>
  </si>
  <si>
    <t>0020-0205-1112A2020</t>
  </si>
  <si>
    <t>112.2020</t>
  </si>
  <si>
    <t>CGS-2020-0163</t>
  </si>
  <si>
    <t>CAR-ADN-2020-095</t>
  </si>
  <si>
    <t>LGUCQ-I-2020-07-0009</t>
  </si>
  <si>
    <t>20-06-854</t>
  </si>
  <si>
    <t>390-2020 Bidding</t>
  </si>
  <si>
    <t>LGU-RFQ-2020-63</t>
  </si>
  <si>
    <t>14IB-28-26-20</t>
  </si>
  <si>
    <t>760-000-620-96000</t>
  </si>
  <si>
    <t>20-07-370</t>
  </si>
  <si>
    <t>2020-07-0004</t>
  </si>
  <si>
    <t>14IB-32-06-20</t>
  </si>
  <si>
    <t>2020-02-020</t>
  </si>
  <si>
    <t>0020-0205-1112-2020</t>
  </si>
  <si>
    <t>2020-07-008</t>
  </si>
  <si>
    <t>HB 2007-028</t>
  </si>
  <si>
    <t>0715</t>
  </si>
  <si>
    <t>CGS-2020-0164</t>
  </si>
  <si>
    <t>2020-02-019</t>
  </si>
  <si>
    <t>GTLMH-TF-20-008 IT</t>
  </si>
  <si>
    <t>FPR 20 - 056</t>
  </si>
  <si>
    <t>10-2020</t>
  </si>
  <si>
    <t>2020-72</t>
  </si>
  <si>
    <t>BAC A1-2020-06-3893</t>
  </si>
  <si>
    <t>mabpang-0703-2020-ME</t>
  </si>
  <si>
    <t>202007A</t>
  </si>
  <si>
    <t>GTLMH-TF-20-046</t>
  </si>
  <si>
    <t>2020-06-494</t>
  </si>
  <si>
    <t>305THCO-11529-220AW-102-2020</t>
  </si>
  <si>
    <t>rfq 121-06-2020</t>
  </si>
  <si>
    <t>2020-155</t>
  </si>
  <si>
    <t>ITB-2020-18</t>
  </si>
  <si>
    <t>ISU-CYN-2020-36</t>
  </si>
  <si>
    <t>392-2020 Bidding</t>
  </si>
  <si>
    <t>CGS-2020-0166</t>
  </si>
  <si>
    <t>RFQ-DIM-010-2020</t>
  </si>
  <si>
    <t>20DL0230</t>
  </si>
  <si>
    <t>20-06-ILD0058</t>
  </si>
  <si>
    <t>BAC A1-2020-06-3837</t>
  </si>
  <si>
    <t>2020-74</t>
  </si>
  <si>
    <t>2020-73</t>
  </si>
  <si>
    <t>BMB 20-036</t>
  </si>
  <si>
    <t>20DL0231</t>
  </si>
  <si>
    <t>JR# 20-07-033</t>
  </si>
  <si>
    <t>2020-07-039</t>
  </si>
  <si>
    <t>JRF-2020-006-RFQ</t>
  </si>
  <si>
    <t>393-2020 Bidding</t>
  </si>
  <si>
    <t>2020-05-063(07308603)</t>
  </si>
  <si>
    <t>RFQ 120-06-2020</t>
  </si>
  <si>
    <t>0758</t>
  </si>
  <si>
    <t>2020-01-0111</t>
  </si>
  <si>
    <t>2020-SVP-298</t>
  </si>
  <si>
    <t>RFQ-DIM-011-2020</t>
  </si>
  <si>
    <t>2020-25</t>
  </si>
  <si>
    <t>305THCO-11532-220AW-103-2020</t>
  </si>
  <si>
    <t>2020-03-025</t>
  </si>
  <si>
    <t>07-20-13</t>
  </si>
  <si>
    <t>DARFO2.CVRC.115.REC.2020-06-558.00</t>
  </si>
  <si>
    <t>MOM-GOODS-2020-006</t>
  </si>
  <si>
    <t>S00233-2020</t>
  </si>
  <si>
    <t>PB 07-01-2020</t>
  </si>
  <si>
    <t>BGHMCPB-2020-14-001</t>
  </si>
  <si>
    <t>KAPALONG2020115</t>
  </si>
  <si>
    <t>BAC A1-2020-06-3791</t>
  </si>
  <si>
    <t>CGS-2020-0165</t>
  </si>
  <si>
    <t>DA 8 SVP Goods 2020-07-0088 (VMDS 20-06-05-0055)</t>
  </si>
  <si>
    <t>2020-02-021</t>
  </si>
  <si>
    <t>2020-SVP-299</t>
  </si>
  <si>
    <t>JRF-2020-007-RFQ</t>
  </si>
  <si>
    <t>2020-03-029</t>
  </si>
  <si>
    <t>20-152</t>
  </si>
  <si>
    <t>ITB-2020-19</t>
  </si>
  <si>
    <t>CGS-2020-0167</t>
  </si>
  <si>
    <t>2020-02-0216</t>
  </si>
  <si>
    <t>LGUCQ-I-2020-07-0011</t>
  </si>
  <si>
    <t>RFQ 2020-06-0760</t>
  </si>
  <si>
    <t>20063839</t>
  </si>
  <si>
    <t>2020-07-038</t>
  </si>
  <si>
    <t>2020-07-0001</t>
  </si>
  <si>
    <t>305THCO-11534-205THW-113-2020</t>
  </si>
  <si>
    <t>DA 8 SVP Goods 2020-07-0089 (NLP 20-06-22-0295)</t>
  </si>
  <si>
    <t>CLS - 2020 - 2 - 066</t>
  </si>
  <si>
    <t>2020-03-026</t>
  </si>
  <si>
    <t>07-20-14</t>
  </si>
  <si>
    <t>2020-26</t>
  </si>
  <si>
    <t>RFQ NO. 20-0616 SHOPPING B</t>
  </si>
  <si>
    <t>20FE0144</t>
  </si>
  <si>
    <t>07-20-16</t>
  </si>
  <si>
    <t>20J00208</t>
  </si>
  <si>
    <t>RFQ 2020-06-0704-A</t>
  </si>
  <si>
    <t>REC-2020-32</t>
  </si>
  <si>
    <t>BUE-07032020-01</t>
  </si>
  <si>
    <t>MG-A7T20-057</t>
  </si>
  <si>
    <t>20063881</t>
  </si>
  <si>
    <t>ITB-2020-20</t>
  </si>
  <si>
    <t>2020 - STA - 012</t>
  </si>
  <si>
    <t>20CI0102</t>
  </si>
  <si>
    <t>20JBG0077</t>
  </si>
  <si>
    <t>07-20-15</t>
  </si>
  <si>
    <t>S-46-2020</t>
  </si>
  <si>
    <t>20J00210</t>
  </si>
  <si>
    <t>2020-02-0222</t>
  </si>
  <si>
    <t>1981</t>
  </si>
  <si>
    <t>ALEGRE 2020-06-03</t>
  </si>
  <si>
    <t>2020-03-031</t>
  </si>
  <si>
    <t>SF-EQUIPMENT NO. 10-(07-03-20)</t>
  </si>
  <si>
    <t>BAC A1-2020-06-3779</t>
  </si>
  <si>
    <t>1011</t>
  </si>
  <si>
    <t>20-06-ILD0047</t>
  </si>
  <si>
    <t>20FE0146</t>
  </si>
  <si>
    <t>MG-A7M20-083</t>
  </si>
  <si>
    <t>MGB IVA-20-003</t>
  </si>
  <si>
    <t>0438</t>
  </si>
  <si>
    <t>202077</t>
  </si>
  <si>
    <t>RFQ-STF-055</t>
  </si>
  <si>
    <t>2020-03-030</t>
  </si>
  <si>
    <t>2020-03-042</t>
  </si>
  <si>
    <t>20FE0145</t>
  </si>
  <si>
    <t>2020-SVP-300</t>
  </si>
  <si>
    <t>RFQ 2020-06-0757</t>
  </si>
  <si>
    <t>2020-07-0379</t>
  </si>
  <si>
    <t>07-20-17</t>
  </si>
  <si>
    <t>0441</t>
  </si>
  <si>
    <t>MG-A7M20-079</t>
  </si>
  <si>
    <t>2020-03-043</t>
  </si>
  <si>
    <t>20JBG0078</t>
  </si>
  <si>
    <t>S-2020-75</t>
  </si>
  <si>
    <t>2020-INFRA-045</t>
  </si>
  <si>
    <t>RFQ 2020-06-0752</t>
  </si>
  <si>
    <t>2020-GE06-OO20</t>
  </si>
  <si>
    <t>ITB-2020-21</t>
  </si>
  <si>
    <t>0437</t>
  </si>
  <si>
    <t>CGS-2020-0168</t>
  </si>
  <si>
    <t>2020-05-089(01101101)</t>
  </si>
  <si>
    <t>G06-2020</t>
  </si>
  <si>
    <t>BUGASS-2020-056</t>
  </si>
  <si>
    <t>S-2020-76</t>
  </si>
  <si>
    <t>20053185</t>
  </si>
  <si>
    <t>DBM-2020-0082</t>
  </si>
  <si>
    <t>2020-03-048</t>
  </si>
  <si>
    <t>305THCO-11538-205THW-114-2020</t>
  </si>
  <si>
    <t>2020-07-0380</t>
  </si>
  <si>
    <t>GS-GF-2019-0284</t>
  </si>
  <si>
    <t>20FE0147</t>
  </si>
  <si>
    <t>DA 8 SVP Goods 2020-07-0090 (SAAD 20-06-25-0230)</t>
  </si>
  <si>
    <t>NIA.IGIMO-F501LFPS-Igang CIS SECOND POSTING-RRECIS</t>
  </si>
  <si>
    <t>0442</t>
  </si>
  <si>
    <t>SF-LABOR NO. 12-(07-03-20)</t>
  </si>
  <si>
    <t>RFQ 2020-116</t>
  </si>
  <si>
    <t>100-2020-007-024</t>
  </si>
  <si>
    <t>2020-06-538</t>
  </si>
  <si>
    <t>2020-03-045(07308603)</t>
  </si>
  <si>
    <t>20FE0148</t>
  </si>
  <si>
    <t>2020-07-233</t>
  </si>
  <si>
    <t>RFQ No.065 -2020</t>
  </si>
  <si>
    <t>RFQ NO:2020-07-15</t>
  </si>
  <si>
    <t>NP 105-20</t>
  </si>
  <si>
    <t>RFQ No. USU-20-07-021</t>
  </si>
  <si>
    <t>20200703-001</t>
  </si>
  <si>
    <t>RFQ-GS-20200629-04</t>
  </si>
  <si>
    <t>2019-09-0243A</t>
  </si>
  <si>
    <t>20FE0149</t>
  </si>
  <si>
    <t>RFQ 2020-06-0758</t>
  </si>
  <si>
    <t>GS-GF-2019-0285</t>
  </si>
  <si>
    <t>2020-087</t>
  </si>
  <si>
    <t>DBM-2020-0083</t>
  </si>
  <si>
    <t>2020-GE06-0021</t>
  </si>
  <si>
    <t>ITB-2020-089</t>
  </si>
  <si>
    <t>LGUTMO BAC 2020-0751</t>
  </si>
  <si>
    <t>2020-05-055</t>
  </si>
  <si>
    <t>2020-0069</t>
  </si>
  <si>
    <t>07-20-18</t>
  </si>
  <si>
    <t>RFQ 20-009-A</t>
  </si>
  <si>
    <t>OS-2020-04-070</t>
  </si>
  <si>
    <t>DBM-2020-0084</t>
  </si>
  <si>
    <t>RFQ 2020-06-0750</t>
  </si>
  <si>
    <t>RFQ No. USU-20-07-022</t>
  </si>
  <si>
    <t>GS-GF-2019-0286</t>
  </si>
  <si>
    <t>2020-06-008</t>
  </si>
  <si>
    <t>201867</t>
  </si>
  <si>
    <t>2020-05-064</t>
  </si>
  <si>
    <t>201507</t>
  </si>
  <si>
    <t>2020-156</t>
  </si>
  <si>
    <t>NIA.IGIMO-F501LFPS-Lanipe PIP SECOND POSTING-RRECI</t>
  </si>
  <si>
    <t>50-20-05-044</t>
  </si>
  <si>
    <t>07-20-19</t>
  </si>
  <si>
    <t>305THCO-11540-205THW-115-2020</t>
  </si>
  <si>
    <t>RFQ 2020-201</t>
  </si>
  <si>
    <t>2019-10-300(01101101)</t>
  </si>
  <si>
    <t>DGPD2020-RFQ06-003-G</t>
  </si>
  <si>
    <t>201142</t>
  </si>
  <si>
    <t>06-06 (07-053-20)</t>
  </si>
  <si>
    <t>2020-7-04</t>
  </si>
  <si>
    <t>20JB0079</t>
  </si>
  <si>
    <t>RFQ-GS-20200701-01</t>
  </si>
  <si>
    <t>07-20-20</t>
  </si>
  <si>
    <t>GS-GF-2019-0287</t>
  </si>
  <si>
    <t>CGS-2020-0169</t>
  </si>
  <si>
    <t>B-PHO-2020-07-012</t>
  </si>
  <si>
    <t>NIAREG9-07032020-691</t>
  </si>
  <si>
    <t>201291</t>
  </si>
  <si>
    <t>50-20-05-043</t>
  </si>
  <si>
    <t>2020-04-003-101-02</t>
  </si>
  <si>
    <t>2020-03-050</t>
  </si>
  <si>
    <t>LCWD-2020-038 Quanti-tray and Chromogenic Substrat</t>
  </si>
  <si>
    <t>LGUTMO BAC 2020-1026</t>
  </si>
  <si>
    <t>RFQ 2020-06-0717-A</t>
  </si>
  <si>
    <t>2020-07-076</t>
  </si>
  <si>
    <t>2020-06-012</t>
  </si>
  <si>
    <t>2020-07-107</t>
  </si>
  <si>
    <t>B-PHO-2020-07-013</t>
  </si>
  <si>
    <t>2020-07-234</t>
  </si>
  <si>
    <t>DA 8 SVP Goods 2020-07-0091 (Corn 20-06-15-0181)</t>
  </si>
  <si>
    <t>VCWD-2020-011</t>
  </si>
  <si>
    <t>RFQ No.066 -2020</t>
  </si>
  <si>
    <t>2020-GE06-0022</t>
  </si>
  <si>
    <t>20JB0080</t>
  </si>
  <si>
    <t>2020-06-009</t>
  </si>
  <si>
    <t>NIAREG9-07032020-692</t>
  </si>
  <si>
    <t>8790091</t>
  </si>
  <si>
    <t>B-PHO-2020-07-011</t>
  </si>
  <si>
    <t>FF-2020-05-098D/FF-2020-06-105B/OE-2020-06-102A</t>
  </si>
  <si>
    <t>GS-GF-2019-0288</t>
  </si>
  <si>
    <t>LGUTMO BAC 2020-1189</t>
  </si>
  <si>
    <t>GTDLNHS 20-07-016</t>
  </si>
  <si>
    <t>29</t>
  </si>
  <si>
    <t>305THCO-11542-205THW-116-2020</t>
  </si>
  <si>
    <t>201770</t>
  </si>
  <si>
    <t>2020-04-054(07308603)</t>
  </si>
  <si>
    <t>GS-GF-2019-0289</t>
  </si>
  <si>
    <t>34</t>
  </si>
  <si>
    <t>2020-G-13</t>
  </si>
  <si>
    <t>20JB0081</t>
  </si>
  <si>
    <t>RFQ No.067 -2020</t>
  </si>
  <si>
    <t>OE-2020-05-098B</t>
  </si>
  <si>
    <t>2020-098</t>
  </si>
  <si>
    <t>2020-GE06-0023</t>
  </si>
  <si>
    <t>07-03-2020-01</t>
  </si>
  <si>
    <t>2020-06-013</t>
  </si>
  <si>
    <t>2020-INFRA-046</t>
  </si>
  <si>
    <t>UPM-CAD2020-07</t>
  </si>
  <si>
    <t>20JB0082</t>
  </si>
  <si>
    <t>2020-007-012</t>
  </si>
  <si>
    <t>G-072020-00860</t>
  </si>
  <si>
    <t>NIAREG9-07032020-693</t>
  </si>
  <si>
    <t>2020-06-540</t>
  </si>
  <si>
    <t>RFQ No.069-2020</t>
  </si>
  <si>
    <t>OE-2020-05-098C/IT-2020-02-041A</t>
  </si>
  <si>
    <t>MINSAT-20-96737 (ECA)</t>
  </si>
  <si>
    <t>07-20-21</t>
  </si>
  <si>
    <t>32</t>
  </si>
  <si>
    <t>RFQ 2020-06-0702-A</t>
  </si>
  <si>
    <t>30</t>
  </si>
  <si>
    <t>20-06-073</t>
  </si>
  <si>
    <t>2020-05-054</t>
  </si>
  <si>
    <t>VCWD-2020-013</t>
  </si>
  <si>
    <t>GTDLNHS 20-07-017</t>
  </si>
  <si>
    <t>2020-05-062</t>
  </si>
  <si>
    <t>201301</t>
  </si>
  <si>
    <t>LGU-136-2020</t>
  </si>
  <si>
    <t>20-07-382</t>
  </si>
  <si>
    <t>CTO-20-024(CB)</t>
  </si>
  <si>
    <t>2020-06-117(01101101)</t>
  </si>
  <si>
    <t>ITB 14-2020</t>
  </si>
  <si>
    <t>2020-088</t>
  </si>
  <si>
    <t>100-2006-0394</t>
  </si>
  <si>
    <t>RFQ 2020-05-0613-A</t>
  </si>
  <si>
    <t>LCWD-2020-025 Various Fittings - Regular Stocks (R</t>
  </si>
  <si>
    <t>201704</t>
  </si>
  <si>
    <t>2020-GE06-0024</t>
  </si>
  <si>
    <t>RFQ-20-07-0521</t>
  </si>
  <si>
    <t>201725</t>
  </si>
  <si>
    <t>2020-06-014</t>
  </si>
  <si>
    <t>2020-07-235</t>
  </si>
  <si>
    <t>DA 8 SVP Goods 2020-07-0092 (Rice 20-07-03-0856)</t>
  </si>
  <si>
    <t>RFQ No.070-2020</t>
  </si>
  <si>
    <t>20-06-006</t>
  </si>
  <si>
    <t>SVP 1069-2020</t>
  </si>
  <si>
    <t>SVP (2) 1058-2020</t>
  </si>
  <si>
    <t>GOODS 2020-221(SVP)</t>
  </si>
  <si>
    <t>pgeps 284-2020</t>
  </si>
  <si>
    <t>2019-09-0270</t>
  </si>
  <si>
    <t>BAC Reference No. 05-2020CM</t>
  </si>
  <si>
    <t>200968</t>
  </si>
  <si>
    <t>F501-RO-050-20</t>
  </si>
  <si>
    <t>RFQ 2020-05-0587-A</t>
  </si>
  <si>
    <t>151-2020 RFQ</t>
  </si>
  <si>
    <t>2020-07-066</t>
  </si>
  <si>
    <t>2020-SI</t>
  </si>
  <si>
    <t>33</t>
  </si>
  <si>
    <t>2020-07-380</t>
  </si>
  <si>
    <t>2020-GEN. FUND-ITB-012</t>
  </si>
  <si>
    <t>2020-06-102(05206441)</t>
  </si>
  <si>
    <t>105CO-11539-86IB-2020</t>
  </si>
  <si>
    <t>2020-033</t>
  </si>
  <si>
    <t>SVP 1061-2020</t>
  </si>
  <si>
    <t>20-01-001</t>
  </si>
  <si>
    <t>07-03-2020-02</t>
  </si>
  <si>
    <t>RFQ-NP-SVP-276-2020</t>
  </si>
  <si>
    <t xml:space="preserve">2020 RFQ 025 "PURCHASE OF LABORATORY EQUIPMENT IN </t>
  </si>
  <si>
    <t>RFQ 2020-05-0572-A</t>
  </si>
  <si>
    <t>2020 - 087</t>
  </si>
  <si>
    <t>1659</t>
  </si>
  <si>
    <t>113.2020</t>
  </si>
  <si>
    <t>RFQ 2020-04-0566-A</t>
  </si>
  <si>
    <t>BLGU-CW-2020-02</t>
  </si>
  <si>
    <t>2020-07-236</t>
  </si>
  <si>
    <t>RFQ 2020-07-0100</t>
  </si>
  <si>
    <t>2020-11</t>
  </si>
  <si>
    <t>DBM-2020-0085</t>
  </si>
  <si>
    <t>RFQ 2020-06-0748</t>
  </si>
  <si>
    <t>DARIFU-2020-07-37</t>
  </si>
  <si>
    <t>DBM-2020-0086</t>
  </si>
  <si>
    <t>ITB 07-2020-011</t>
  </si>
  <si>
    <t>2020-07-237</t>
  </si>
  <si>
    <t>2020-06-0173</t>
  </si>
  <si>
    <t>JR No 2020</t>
  </si>
  <si>
    <t>100-20-07-384</t>
  </si>
  <si>
    <t>2020-06-109(05206441)</t>
  </si>
  <si>
    <t>RFQ 2020-07-017</t>
  </si>
  <si>
    <t>152-2020</t>
  </si>
  <si>
    <t>GDS 20-053</t>
  </si>
  <si>
    <t>SVP 1068-2020</t>
  </si>
  <si>
    <t>20HH0147</t>
  </si>
  <si>
    <t>BAC RFQ 20-468</t>
  </si>
  <si>
    <t>RFQ-NP-SVP-273-2020</t>
  </si>
  <si>
    <t>RFQ-7-3-2020</t>
  </si>
  <si>
    <t>G20-06-2362</t>
  </si>
  <si>
    <t>407-2020</t>
  </si>
  <si>
    <t>20PF0069</t>
  </si>
  <si>
    <t>154-2020</t>
  </si>
  <si>
    <t>2020-06-114(05206441)</t>
  </si>
  <si>
    <t>PBO-20-0463-NP (SV)</t>
  </si>
  <si>
    <t>100-2006-0382</t>
  </si>
  <si>
    <t>2020-089</t>
  </si>
  <si>
    <t>AMP SVP-S 20-07-0380</t>
  </si>
  <si>
    <t>DFP PURCH 20-058</t>
  </si>
  <si>
    <t>LGU-SCM 2020-232</t>
  </si>
  <si>
    <t>Budget Cert 001-2020</t>
  </si>
  <si>
    <t>RFQ-2020-191</t>
  </si>
  <si>
    <t>PB 2020-11</t>
  </si>
  <si>
    <t>1676</t>
  </si>
  <si>
    <t>RFQ NO. 2020-06-29-(9006)</t>
  </si>
  <si>
    <t>20HH0146</t>
  </si>
  <si>
    <t>RFQ-NP-SVP-1re222b-2020</t>
  </si>
  <si>
    <t>wes-20-06-001</t>
  </si>
  <si>
    <t>RFQ NO. EMB-PAB-SHOPPING-G-088-7-03-2020  PR NO. 2</t>
  </si>
  <si>
    <t>BFAR5BAC-2020-114</t>
  </si>
  <si>
    <t>002-2020</t>
  </si>
  <si>
    <t>PAPC-AREO_HHSG-2020-11287-5299</t>
  </si>
  <si>
    <t>2020 - 015</t>
  </si>
  <si>
    <t>2020-07-28</t>
  </si>
  <si>
    <t>2020-06-111(01101101)</t>
  </si>
  <si>
    <t>DENR10 2020-07-0335</t>
  </si>
  <si>
    <t>RFQ-2020-0017</t>
  </si>
  <si>
    <t>RFQ-NP-SVP-1re222c-2020</t>
  </si>
  <si>
    <t>RFQ 2020-117</t>
  </si>
  <si>
    <t>1658</t>
  </si>
  <si>
    <t>NP-20-016</t>
  </si>
  <si>
    <t>2020-07-238</t>
  </si>
  <si>
    <t>RFQ-NP-SVP-1re222a-2020</t>
  </si>
  <si>
    <t>2020 INFRA 002</t>
  </si>
  <si>
    <t>goods 173-2020</t>
  </si>
  <si>
    <t>DFP PURCH 20-2059</t>
  </si>
  <si>
    <t>LTO-SU-20-046</t>
  </si>
  <si>
    <t>BCS-2020-0154</t>
  </si>
  <si>
    <t>PAPC-OAIA_HHSG-2020-10904-5171</t>
  </si>
  <si>
    <t>PASOLOES-2020-07-001</t>
  </si>
  <si>
    <t>SVP-2020-07-110</t>
  </si>
  <si>
    <t>07-03-04</t>
  </si>
  <si>
    <t>RFQ 2020-05-0578-B</t>
  </si>
  <si>
    <t>2020-0900-004-02</t>
  </si>
  <si>
    <t>07-03-01</t>
  </si>
  <si>
    <t>2020-INFRA-047</t>
  </si>
  <si>
    <t>RFQ-7-3-2020A</t>
  </si>
  <si>
    <t>2020-42</t>
  </si>
  <si>
    <t>SDO GOODS 2020-028</t>
  </si>
  <si>
    <t>PAPC-OG3PA_HHSG-2020-11320-5297</t>
  </si>
  <si>
    <t>07-20-22</t>
  </si>
  <si>
    <t>PR No. 101-201 dated 6/5/2020</t>
  </si>
  <si>
    <t>goods 174-2020</t>
  </si>
  <si>
    <t>07-03-03</t>
  </si>
  <si>
    <t>G20-05-1761</t>
  </si>
  <si>
    <t>ITB 15-2020</t>
  </si>
  <si>
    <t>07-20-24</t>
  </si>
  <si>
    <t>PR No. 300-20-07-344</t>
  </si>
  <si>
    <t>20KA0094(Readvertisement)</t>
  </si>
  <si>
    <t>07-03-06</t>
  </si>
  <si>
    <t>20-07-001-RFQ</t>
  </si>
  <si>
    <t>NIAREG9-0629-2020-FSDECY2017-076 (GOODS) 2nd call</t>
  </si>
  <si>
    <t>07-03-05</t>
  </si>
  <si>
    <t>06-07-2020</t>
  </si>
  <si>
    <t>1575</t>
  </si>
  <si>
    <t>20KA0093(Readvertisement)</t>
  </si>
  <si>
    <t>PSA-RSSO6-2020-068</t>
  </si>
  <si>
    <t>SVP-2020-07-03-06</t>
  </si>
  <si>
    <t>RFQ 2020-66</t>
  </si>
  <si>
    <t>Barangay Zone II Poblacion Atimonan, Quezon 2020-2</t>
  </si>
  <si>
    <t>PR No. 401-047 dated 5/21/20</t>
  </si>
  <si>
    <t>burgos-2020-151-052 (RP)</t>
  </si>
  <si>
    <t>153-2020</t>
  </si>
  <si>
    <t>07-03-07</t>
  </si>
  <si>
    <t>BRGY219 - 2020 - 01</t>
  </si>
  <si>
    <t>RFQ No.:2020-023-JULY (PR No.: 2020-07-023)</t>
  </si>
  <si>
    <t>2020-07-009</t>
  </si>
  <si>
    <t>RFQ 2020-118</t>
  </si>
  <si>
    <t>2020-06-120</t>
  </si>
  <si>
    <t>RFQ PR 2006-225</t>
  </si>
  <si>
    <t>RFQ 2020-65</t>
  </si>
  <si>
    <t>SDO GOODS 2020-029</t>
  </si>
  <si>
    <t>2020-06-096(01101101)</t>
  </si>
  <si>
    <t>20KA0092(Readvertisement)</t>
  </si>
  <si>
    <t>PR 376-20</t>
  </si>
  <si>
    <t>2020-06-1100</t>
  </si>
  <si>
    <t>2020-06-033</t>
  </si>
  <si>
    <t>07-20-25</t>
  </si>
  <si>
    <t>RFQ No. JP 20-024</t>
  </si>
  <si>
    <t>20KA0096(Readvertisement)</t>
  </si>
  <si>
    <t>100-20-06-345</t>
  </si>
  <si>
    <t>BCS-2020-0156</t>
  </si>
  <si>
    <t>2020-55</t>
  </si>
  <si>
    <t>07-03-10</t>
  </si>
  <si>
    <t>07-20-23</t>
  </si>
  <si>
    <t>07-03-09</t>
  </si>
  <si>
    <t>2020-347</t>
  </si>
  <si>
    <t>07-03-08</t>
  </si>
  <si>
    <t>2020-06-1097</t>
  </si>
  <si>
    <t>2020-0837-RFQ-25</t>
  </si>
  <si>
    <t>SVP-2020-07-03-07</t>
  </si>
  <si>
    <t>2020-INFRA-048</t>
  </si>
  <si>
    <t>20-07-002-RFQ</t>
  </si>
  <si>
    <t>Budget Certification No. 247-2020</t>
  </si>
  <si>
    <t>SDO GOODS 2020-030</t>
  </si>
  <si>
    <t>2020-090</t>
  </si>
  <si>
    <t>nlontoc-RFQ-G073-2020</t>
  </si>
  <si>
    <t>20-0117 and 20-0053</t>
  </si>
  <si>
    <t>PAPC-1354THDC_HHSG-2020-11268-5296</t>
  </si>
  <si>
    <t>07-20-26</t>
  </si>
  <si>
    <t>6321654</t>
  </si>
  <si>
    <t>07-03-02</t>
  </si>
  <si>
    <t>0620201052</t>
  </si>
  <si>
    <t>RFQ-SVP-2020-012</t>
  </si>
  <si>
    <t>PAPC-OG4_ASCOM-2020-11322-5298</t>
  </si>
  <si>
    <t>PAPC-PABAC-2020-11173-5295</t>
  </si>
  <si>
    <t>NIAREG9-0302-2020-QRFCY2016-038 (GOODS)3rd call</t>
  </si>
  <si>
    <t>PR 278-20</t>
  </si>
  <si>
    <t>07-07-2020</t>
  </si>
  <si>
    <t>MEO-2020-07-03-003</t>
  </si>
  <si>
    <t>RFQ NO. 20-0618 Shopping B</t>
  </si>
  <si>
    <t>GOODS#0132, ITB#0135,  PR#0140: SCG-2020</t>
  </si>
  <si>
    <t>MEO-2020-07-03-002</t>
  </si>
  <si>
    <t>2020-07-64</t>
  </si>
  <si>
    <t>2020034</t>
  </si>
  <si>
    <t>nlontoc-RFQ-G072-2020</t>
  </si>
  <si>
    <t>2020-RFQ 028 "PURCHASE OF TONER FOR DEVELOP INEO +</t>
  </si>
  <si>
    <t>ITB No. 045-2020 GQ</t>
  </si>
  <si>
    <t>2020-07-018 SVP</t>
  </si>
  <si>
    <t>PAPC-SBn_LSG_ASCOM-2020-11202-5293</t>
  </si>
  <si>
    <t>07072020-104</t>
  </si>
  <si>
    <t>RFQ No.068-2020</t>
  </si>
  <si>
    <t>RFQ NO. RBAC X-CDO-2020-092</t>
  </si>
  <si>
    <t>2020-060</t>
  </si>
  <si>
    <t>PAPC-GSU_ASCOM-2020-11201-5291</t>
  </si>
  <si>
    <t>6321656</t>
  </si>
  <si>
    <t>20-07-383</t>
  </si>
  <si>
    <t>PAPC-PABAC-2020-11172-5292</t>
  </si>
  <si>
    <t>2020-07-NTF MC No. 2</t>
  </si>
  <si>
    <t>2020-06-379</t>
  </si>
  <si>
    <t>2020-07-65</t>
  </si>
  <si>
    <t>20-01-0029</t>
  </si>
  <si>
    <t>MEO-2020-07-03-004</t>
  </si>
  <si>
    <t>07032001</t>
  </si>
  <si>
    <t>Barangay Tinandog Atimonan, Quezon 2020-12</t>
  </si>
  <si>
    <t>GS-P10-2020-07-30</t>
  </si>
  <si>
    <t>2020-06-1098</t>
  </si>
  <si>
    <t>2020-INFRA-049</t>
  </si>
  <si>
    <t>RFQ No. 2020-031</t>
  </si>
  <si>
    <t>RFQ No.: 	2020-06-0542</t>
  </si>
  <si>
    <t>BAC-07-1058</t>
  </si>
  <si>
    <t>20-06-0380</t>
  </si>
  <si>
    <t>GS-P09-2020-07-30</t>
  </si>
  <si>
    <t>GEN-5883-20</t>
  </si>
  <si>
    <t>07072020-105</t>
  </si>
  <si>
    <t>PR.No. 0861  -20BAC</t>
  </si>
  <si>
    <t>OCM-GOODS-2020-E-001</t>
  </si>
  <si>
    <t>2020-06-1099</t>
  </si>
  <si>
    <t>2020-7-SD</t>
  </si>
  <si>
    <t>20GF0104</t>
  </si>
  <si>
    <t>2020-07-032</t>
  </si>
  <si>
    <t>s-44-2020</t>
  </si>
  <si>
    <t>RFQ No.073-2020</t>
  </si>
  <si>
    <t>20GF0103</t>
  </si>
  <si>
    <t>OCM-GOODS-2020-F-002</t>
  </si>
  <si>
    <t>RFQ No.072-2020</t>
  </si>
  <si>
    <t>20GF0102</t>
  </si>
  <si>
    <t>Negotiated-2020-052</t>
  </si>
  <si>
    <t>n-39-2020</t>
  </si>
  <si>
    <t>LGU-RFQ-026-07-2020</t>
  </si>
  <si>
    <t>14-CTM#5@Pob2MES-08102020</t>
  </si>
  <si>
    <t>2020-083</t>
  </si>
  <si>
    <t>2020-017</t>
  </si>
  <si>
    <t>ITB#  046-14JULY2020-NFA 330-549-585  and Others</t>
  </si>
  <si>
    <t>WPU-2020-045</t>
  </si>
  <si>
    <t>20GNE0029</t>
  </si>
  <si>
    <t>One (1) Lot - Coaching Program, as per BSP Terms o</t>
  </si>
  <si>
    <t>BCS-2020-0157</t>
  </si>
  <si>
    <t>210-2020</t>
  </si>
  <si>
    <t>BAC-HO GS No. 2020-0343 dated 11 June 2020 (BSPI)</t>
  </si>
  <si>
    <t>RFQ RO1 2020-0703-013</t>
  </si>
  <si>
    <t>16-PCCTVCI-08102020</t>
  </si>
  <si>
    <t>2020-07-178</t>
  </si>
  <si>
    <t>RFQ No.074-2020</t>
  </si>
  <si>
    <t>2020-022</t>
  </si>
  <si>
    <t>BAC2020-06</t>
  </si>
  <si>
    <t>2020-06-0222</t>
  </si>
  <si>
    <t>IV-07-2020-02</t>
  </si>
  <si>
    <t>2020-018</t>
  </si>
  <si>
    <t>202073</t>
  </si>
  <si>
    <t>BGHMCPB-2020-14-002</t>
  </si>
  <si>
    <t>BES-2020-07-0001</t>
  </si>
  <si>
    <t>BCS-2020-0158</t>
  </si>
  <si>
    <t>EMB13-2020-07-036</t>
  </si>
  <si>
    <t>BANTAYAN-2020-03-0090</t>
  </si>
  <si>
    <t>DAES-2020-07-0001</t>
  </si>
  <si>
    <t>RFQ NO. RBAC X-CDO-2020-087</t>
  </si>
  <si>
    <t>ITB 2020-0010</t>
  </si>
  <si>
    <t>20GNE0028</t>
  </si>
  <si>
    <t>2020-05-0190</t>
  </si>
  <si>
    <t>IV-07-001</t>
  </si>
  <si>
    <t>PRRI-2020ISA-034</t>
  </si>
  <si>
    <t>2007192 &amp; 2007193</t>
  </si>
  <si>
    <t>PR 20-03-0115</t>
  </si>
  <si>
    <t>BANTAYAN-2020-07-0202</t>
  </si>
  <si>
    <t>20GNE0027</t>
  </si>
  <si>
    <t>2020-031</t>
  </si>
  <si>
    <t>03-2020-0170</t>
  </si>
  <si>
    <t>BAC-07-1059</t>
  </si>
  <si>
    <t>20CSBK01</t>
  </si>
  <si>
    <t>MALACAPAS 03-2020 - installation of LED solar powe</t>
  </si>
  <si>
    <t>G-2020-06-0318</t>
  </si>
  <si>
    <t>BAC2020-07</t>
  </si>
  <si>
    <t>2020-085</t>
  </si>
  <si>
    <t>P.R. No. 2020-07-0109</t>
  </si>
  <si>
    <t>2020-226</t>
  </si>
  <si>
    <t>LNHS-2020-07-001</t>
  </si>
  <si>
    <t>2020-228</t>
  </si>
  <si>
    <t>DENR-CAR-PENRO Abra-011-2020</t>
  </si>
  <si>
    <t>250</t>
  </si>
  <si>
    <t>doc 2</t>
  </si>
  <si>
    <t>PUR20-06-0515</t>
  </si>
  <si>
    <t>2020-06-041</t>
  </si>
  <si>
    <t>2020-0027</t>
  </si>
  <si>
    <t>15-URS@Pob2MES-08102020</t>
  </si>
  <si>
    <t>06-2020-0252</t>
  </si>
  <si>
    <t>PR 20-04-0132</t>
  </si>
  <si>
    <t>2020-GN-001</t>
  </si>
  <si>
    <t>PUR20-06- 0512 PUR20-06- 0506</t>
  </si>
  <si>
    <t>2020-227</t>
  </si>
  <si>
    <t>RFQ No. 2020-SVP-39</t>
  </si>
  <si>
    <t>CMOR-02-2020-0025</t>
  </si>
  <si>
    <t>20AH0219</t>
  </si>
  <si>
    <t>2020-SN-001</t>
  </si>
  <si>
    <t>2020-07-22</t>
  </si>
  <si>
    <t>20AI0179</t>
  </si>
  <si>
    <t>20AH0218</t>
  </si>
  <si>
    <t>17-PWMwCA-08102020</t>
  </si>
  <si>
    <t>06-2020-0256</t>
  </si>
  <si>
    <t>BAC2020-08</t>
  </si>
  <si>
    <t>20GAH0008</t>
  </si>
  <si>
    <t>20S030</t>
  </si>
  <si>
    <t>20GAH0005</t>
  </si>
  <si>
    <t>doc 1</t>
  </si>
  <si>
    <t>20-0132</t>
  </si>
  <si>
    <t>20-0105</t>
  </si>
  <si>
    <t>RFQ No. 2020-SVP-41</t>
  </si>
  <si>
    <t>20GAH0007</t>
  </si>
  <si>
    <t>RFQ No. 20-07-413</t>
  </si>
  <si>
    <t>20GAH0006</t>
  </si>
  <si>
    <t>16FPAO-2020-014</t>
  </si>
  <si>
    <t>2020-06-0030</t>
  </si>
  <si>
    <t>TUPBACEQ-PB-01-CBP-F164-20-G-N</t>
  </si>
  <si>
    <t>03-2020-0177</t>
  </si>
  <si>
    <t>06-2020-0255</t>
  </si>
  <si>
    <t>2020-06-0031</t>
  </si>
  <si>
    <t>20O00004</t>
  </si>
  <si>
    <t>Philgeps07032020</t>
  </si>
  <si>
    <t>SSBn-2020-20</t>
  </si>
  <si>
    <t>2020 Caib 109</t>
  </si>
  <si>
    <t>sdn-2020-07-037</t>
  </si>
  <si>
    <t>RFQ No. 2020-SVP-40</t>
  </si>
  <si>
    <t>20AH0222</t>
  </si>
  <si>
    <t>20CS-29</t>
  </si>
  <si>
    <t>sdn-2020-07-038</t>
  </si>
  <si>
    <t>DENR-CAR-PENRO Abra-012-2020</t>
  </si>
  <si>
    <t>N100-2020</t>
  </si>
  <si>
    <t>RFQ 2020-07-01</t>
  </si>
  <si>
    <t>2020-069</t>
  </si>
  <si>
    <t>CMOR-02-2020-020 (Other)</t>
  </si>
  <si>
    <t>PGC-20200703-1</t>
  </si>
  <si>
    <t>UPB-2020-049</t>
  </si>
  <si>
    <t>PR-130-100-2020</t>
  </si>
  <si>
    <t>Resolution No. 225, S-2020</t>
  </si>
  <si>
    <t>20CSBK02</t>
  </si>
  <si>
    <t>20CS-028</t>
  </si>
  <si>
    <t>251</t>
  </si>
  <si>
    <t>SP3001-03</t>
  </si>
  <si>
    <t>20AH0220</t>
  </si>
  <si>
    <t>IA-OS-20-019</t>
  </si>
  <si>
    <t>PR 2020-07-003</t>
  </si>
  <si>
    <t>2020-05-0189</t>
  </si>
  <si>
    <t>IA-OS-20-020</t>
  </si>
  <si>
    <t>20AH0221</t>
  </si>
  <si>
    <t>N102-2020</t>
  </si>
  <si>
    <t>39</t>
  </si>
  <si>
    <t>PR 2020-07-002</t>
  </si>
  <si>
    <t>IN2020 008</t>
  </si>
  <si>
    <t>RFQ 2020-07-02</t>
  </si>
  <si>
    <t>ITB 002 IMPROVEMENT/ROAD ENHANCEMENT INFRONT OF ES</t>
  </si>
  <si>
    <t>GF-PB-20-50</t>
  </si>
  <si>
    <t>PR No. 401-056 dated June 30, 2020</t>
  </si>
  <si>
    <t>2020 - SNJ - 004</t>
  </si>
  <si>
    <t>20CS-032</t>
  </si>
  <si>
    <t>N-103-2020</t>
  </si>
  <si>
    <t>37</t>
  </si>
  <si>
    <t>GF-PB-20-49</t>
  </si>
  <si>
    <t>PR No. 101-223 dated 6/22/20</t>
  </si>
  <si>
    <t>20M00184</t>
  </si>
  <si>
    <t>386-06/29/2020</t>
  </si>
  <si>
    <t>20M00183</t>
  </si>
  <si>
    <t>GF-PB-20-48</t>
  </si>
  <si>
    <t>2020-01-02</t>
  </si>
  <si>
    <t>QSU-BAC-G-06-2020 01D CO</t>
  </si>
  <si>
    <t>2020-01-01</t>
  </si>
  <si>
    <t>N101-2020</t>
  </si>
  <si>
    <t>2020-04-06</t>
  </si>
  <si>
    <t>20CS-031</t>
  </si>
  <si>
    <t>2020-07-179</t>
  </si>
  <si>
    <t>ITB-2020-07-001</t>
  </si>
  <si>
    <t>PR 2020-07-004</t>
  </si>
  <si>
    <t>PR 2020-07-001</t>
  </si>
  <si>
    <t>GF-PB-20-47</t>
  </si>
  <si>
    <t>GF-PB-20-46</t>
  </si>
  <si>
    <t>13-RMHMES-08102020</t>
  </si>
  <si>
    <t>G2020 009</t>
  </si>
  <si>
    <t>2020-06-0036</t>
  </si>
  <si>
    <t>1902119012-1n-2020040</t>
  </si>
  <si>
    <t>2020-06-0035</t>
  </si>
  <si>
    <t>1902119012-1n-2020070</t>
  </si>
  <si>
    <t>2020-06-0033</t>
  </si>
  <si>
    <t>20-30 Goods</t>
  </si>
  <si>
    <t>20-07-139</t>
  </si>
  <si>
    <t>1902119012-1N-2020069</t>
  </si>
  <si>
    <t>2020-06-0032</t>
  </si>
  <si>
    <t>N105-2020</t>
  </si>
  <si>
    <t>STF-PB-20-51</t>
  </si>
  <si>
    <t>RFQ2020-07-010 GAA</t>
  </si>
  <si>
    <t>N104-2020</t>
  </si>
  <si>
    <t>2020-QR07-00019</t>
  </si>
  <si>
    <t>s-41-2020</t>
  </si>
  <si>
    <t>SH 038-20</t>
  </si>
  <si>
    <t>20GF0106</t>
  </si>
  <si>
    <t>PR Nos. 1000032810 and 1000033152 - Polyvinyl Chlo</t>
  </si>
  <si>
    <t>20-030</t>
  </si>
  <si>
    <t>ITDI-PB-200003</t>
  </si>
  <si>
    <t>20200703001</t>
  </si>
  <si>
    <t>2020-06-0034</t>
  </si>
  <si>
    <t>ITB No. 2020-16</t>
  </si>
  <si>
    <t>SVP20-527</t>
  </si>
  <si>
    <t>ITDI-PB-200004</t>
  </si>
  <si>
    <t>RFQ No.: 	2020-06-0549</t>
  </si>
  <si>
    <t>2020-GOODS-039</t>
  </si>
  <si>
    <t>SVP20-526</t>
  </si>
  <si>
    <t>2020-001-01</t>
  </si>
  <si>
    <t>2020-05-0179</t>
  </si>
  <si>
    <t>2020-GOODS-038</t>
  </si>
  <si>
    <t>20CSDK06</t>
  </si>
  <si>
    <t>05-00690</t>
  </si>
  <si>
    <t>05-00695</t>
  </si>
  <si>
    <t>05-00665</t>
  </si>
  <si>
    <t>20CSDK07</t>
  </si>
  <si>
    <t>G-2020-06-0290</t>
  </si>
  <si>
    <t>RFQ No.: 	2020-06-0547</t>
  </si>
  <si>
    <t>2020-QR07-00018</t>
  </si>
  <si>
    <t>CGDCV 20-07-006</t>
  </si>
  <si>
    <t>20CS-035</t>
  </si>
  <si>
    <t>RFQ No.: 	2020-06-0546</t>
  </si>
  <si>
    <t>G2020 017</t>
  </si>
  <si>
    <t>20CS-034</t>
  </si>
  <si>
    <t>ITDI-PB-200005</t>
  </si>
  <si>
    <t>20CS-036</t>
  </si>
  <si>
    <t>2020-INFRA-037</t>
  </si>
  <si>
    <t>MS2020-07-029.4</t>
  </si>
  <si>
    <t>MS2020-06-029.3</t>
  </si>
  <si>
    <t>2020-06-423</t>
  </si>
  <si>
    <t>MS2020-07-029.2</t>
  </si>
  <si>
    <t>DOST IX-20-004</t>
  </si>
  <si>
    <t>2020-16</t>
  </si>
  <si>
    <t>G2020 016</t>
  </si>
  <si>
    <t>2020-06-424</t>
  </si>
  <si>
    <t>2020-Barangay darahuway-001</t>
  </si>
  <si>
    <t>PR-0452-032520</t>
  </si>
  <si>
    <t>muzon 2-2020-07</t>
  </si>
  <si>
    <t>PR-2020-1081-0015</t>
  </si>
  <si>
    <t>05-00694</t>
  </si>
  <si>
    <t>05-00691</t>
  </si>
  <si>
    <t>20cs-033</t>
  </si>
  <si>
    <t>2020-Barangay darahuway daco-001</t>
  </si>
  <si>
    <t>2020-06-097</t>
  </si>
  <si>
    <t>MS2020-07-029.5</t>
  </si>
  <si>
    <t>20-03-488</t>
  </si>
  <si>
    <t>bac-20-0630e</t>
  </si>
  <si>
    <t>05-00686</t>
  </si>
  <si>
    <t>12345</t>
  </si>
  <si>
    <t>PR 74633</t>
  </si>
  <si>
    <t>bac-20-0630a</t>
  </si>
  <si>
    <t>P.R. No. 20-0051</t>
  </si>
  <si>
    <t>PR-2020-1021-0042</t>
  </si>
  <si>
    <t>bac-20-0630d</t>
  </si>
  <si>
    <t>P.R. No. 20-0089</t>
  </si>
  <si>
    <t>20-06-001</t>
  </si>
  <si>
    <t>2020-Barangay 10 Poblacion-003</t>
  </si>
  <si>
    <t>20-07-02</t>
  </si>
  <si>
    <t>PR-2020-9999-0858</t>
  </si>
  <si>
    <t>MS2020-06-030.5</t>
  </si>
  <si>
    <t>0029-2020</t>
  </si>
  <si>
    <t>MS2020-06-030.4</t>
  </si>
  <si>
    <t>2020060278</t>
  </si>
  <si>
    <t>MS2020-06-030.3</t>
  </si>
  <si>
    <t>MS2020-07-029.1</t>
  </si>
  <si>
    <t>MS2020-06-030.1</t>
  </si>
  <si>
    <t>2020-006-008</t>
  </si>
  <si>
    <t>20-03-508</t>
  </si>
  <si>
    <t>20-01-68</t>
  </si>
  <si>
    <t>20-02-227</t>
  </si>
  <si>
    <t>BL-07-23-2020-D</t>
  </si>
  <si>
    <t>MS2020-06-030.2</t>
  </si>
  <si>
    <t>20-04-547</t>
  </si>
  <si>
    <t>AGR-20-0594-B-Rebid Purchase of Construction Suppl</t>
  </si>
  <si>
    <t>20-07-01</t>
  </si>
  <si>
    <t>NFA-R02-RFQ-F-03-2020</t>
  </si>
  <si>
    <t>MS2020-06-030.6</t>
  </si>
  <si>
    <t>bac-20-0630b</t>
  </si>
  <si>
    <t>bac-20-0630m</t>
  </si>
  <si>
    <t>DA3-2020-06-25-326</t>
  </si>
  <si>
    <t>BL-07-23-2020-C</t>
  </si>
  <si>
    <t>BL-07-23-2020-B</t>
  </si>
  <si>
    <t>BL-07-23-2020-A</t>
  </si>
  <si>
    <t>MS2020-06-030.12</t>
  </si>
  <si>
    <t>SV-GF-94</t>
  </si>
  <si>
    <t>P.R. No. 20-0062</t>
  </si>
  <si>
    <t>MS2020-06-030.8</t>
  </si>
  <si>
    <t>ADH-20-0303-B</t>
  </si>
  <si>
    <t>ADH-20-0299-B(REBID)</t>
  </si>
  <si>
    <t>PR-2006-678</t>
  </si>
  <si>
    <t>ADH-20-0210-B</t>
  </si>
  <si>
    <t>DA3-2020-06-18-222</t>
  </si>
  <si>
    <t>PR-2020-1011-0218</t>
  </si>
  <si>
    <t>ADH-20-0209-B</t>
  </si>
  <si>
    <t>MS2020-06-030.7</t>
  </si>
  <si>
    <t>MS2020-06-030.10</t>
  </si>
  <si>
    <t>MS2020-06-030.9</t>
  </si>
  <si>
    <t>2020-099</t>
  </si>
  <si>
    <t>0011-2020</t>
  </si>
  <si>
    <t>DA3-2020-06-25-327</t>
  </si>
  <si>
    <t>108</t>
  </si>
  <si>
    <t>MS2020-06-030.11</t>
  </si>
  <si>
    <t>20-06-0384</t>
  </si>
  <si>
    <t>MS2020-06-030.16</t>
  </si>
  <si>
    <t>MS2020-06-030.19</t>
  </si>
  <si>
    <t>MS2020-06-030.18</t>
  </si>
  <si>
    <t>MS2020-06-030.13</t>
  </si>
  <si>
    <t>PR-2020-6542-0013</t>
  </si>
  <si>
    <t>MS2020-06-030.17</t>
  </si>
  <si>
    <t>SMB-20I040-0723</t>
  </si>
  <si>
    <t>INFR-20-019</t>
  </si>
  <si>
    <t>ADH-0208-B</t>
  </si>
  <si>
    <t>SMB-20I039-0723</t>
  </si>
  <si>
    <t>SMB-20I038-0723</t>
  </si>
  <si>
    <t>CRN 2020-05</t>
  </si>
  <si>
    <t>20-06-0385</t>
  </si>
  <si>
    <t>109</t>
  </si>
  <si>
    <t>BInfr-2020-09</t>
  </si>
  <si>
    <t>CRN 2020-04</t>
  </si>
  <si>
    <t>BInfr-2020-08</t>
  </si>
  <si>
    <t>LGULAGONOY-BAC-020-GOODS-032</t>
  </si>
  <si>
    <t>20GB0132</t>
  </si>
  <si>
    <t>LGULAGONOY-BAC-020-GOODS-053</t>
  </si>
  <si>
    <t>BInfr-2020-10</t>
  </si>
  <si>
    <t>20GB0130</t>
  </si>
  <si>
    <t>LGULAGONOY-BAC-020-GOODS-030</t>
  </si>
  <si>
    <t>20GB0127</t>
  </si>
  <si>
    <t>PR-2020-9999-1583</t>
  </si>
  <si>
    <t>20GB0126</t>
  </si>
  <si>
    <t>PRDP-RPCO 1-2020-020</t>
  </si>
  <si>
    <t>G-072020-00852</t>
  </si>
  <si>
    <t>PAT-01</t>
  </si>
  <si>
    <t>PRDP-RPCO 1-2020-019</t>
  </si>
  <si>
    <t>20GB0131</t>
  </si>
  <si>
    <t>20GB0125</t>
  </si>
  <si>
    <t>20GB0124</t>
  </si>
  <si>
    <t>PRDP-RPCO 1-2020-018</t>
  </si>
  <si>
    <t>SSP-2020-06-015</t>
  </si>
  <si>
    <t>110</t>
  </si>
  <si>
    <t>20-07-020</t>
  </si>
  <si>
    <t>20L00057</t>
  </si>
  <si>
    <t>20-07-021</t>
  </si>
  <si>
    <t>BSU Project No.2020-223</t>
  </si>
  <si>
    <t>20GB0128</t>
  </si>
  <si>
    <t>490</t>
  </si>
  <si>
    <t>0737</t>
  </si>
  <si>
    <t>ITB-2020-045</t>
  </si>
  <si>
    <t>SF Goods 005</t>
  </si>
  <si>
    <t>SSP-2020-06-016</t>
  </si>
  <si>
    <t>CDH-2020-0091</t>
  </si>
  <si>
    <t>SMB-20G009-0723</t>
  </si>
  <si>
    <t>SMB-20I049-0723</t>
  </si>
  <si>
    <t>20GZ00001</t>
  </si>
  <si>
    <t>ITB-2020-PR1132</t>
  </si>
  <si>
    <t>20GB0129</t>
  </si>
  <si>
    <t>pluma_infras2020-07-002</t>
  </si>
  <si>
    <t>20-07-019</t>
  </si>
  <si>
    <t>2019-009-001</t>
  </si>
  <si>
    <t>20-07-03</t>
  </si>
  <si>
    <t>bac-20-0701g</t>
  </si>
  <si>
    <t>20BC0160 re-adv.</t>
  </si>
  <si>
    <t>20L00142</t>
  </si>
  <si>
    <t>SMB-20I047-0723</t>
  </si>
  <si>
    <t>SMB-20I046-0723</t>
  </si>
  <si>
    <t>2020-110</t>
  </si>
  <si>
    <t>C-041-2020</t>
  </si>
  <si>
    <t>RFQ2020-07-063</t>
  </si>
  <si>
    <t>NIA10-2020-006</t>
  </si>
  <si>
    <t>305-2020</t>
  </si>
  <si>
    <t>ITB-ASDI-SDN-2020-24</t>
  </si>
  <si>
    <t>G-2020-390</t>
  </si>
  <si>
    <t>NIA10-2020-004</t>
  </si>
  <si>
    <t>SMB-20G010-0723</t>
  </si>
  <si>
    <t>G-2020-408</t>
  </si>
  <si>
    <t>BangUN-2020-06-0236</t>
  </si>
  <si>
    <t>NIA10-2020-005</t>
  </si>
  <si>
    <t>20200701</t>
  </si>
  <si>
    <t>DepED-RO6-D1-CONSTRUCTION MATERIALS-001-2020</t>
  </si>
  <si>
    <t>2020-07-25</t>
  </si>
  <si>
    <t>svp 2020-14</t>
  </si>
  <si>
    <t>19K00461</t>
  </si>
  <si>
    <t>SMB-20I048-0723</t>
  </si>
  <si>
    <t>BangUN-2020-06-0237</t>
  </si>
  <si>
    <t>2020-07-001 JHS</t>
  </si>
  <si>
    <t>PUR20-06-0523</t>
  </si>
  <si>
    <t>G-2020-413</t>
  </si>
  <si>
    <t>14171-062320</t>
  </si>
  <si>
    <t>BCS-2020-0151</t>
  </si>
  <si>
    <t>20BC0214</t>
  </si>
  <si>
    <t>20BC0213</t>
  </si>
  <si>
    <t>SDH-20-0771-B</t>
  </si>
  <si>
    <t>SDH-20-0770-B</t>
  </si>
  <si>
    <t>SDH-20-0769-B</t>
  </si>
  <si>
    <t>20BC0184 re-adv.</t>
  </si>
  <si>
    <t>G-2020-389</t>
  </si>
  <si>
    <t>20BC0167 re-adv.</t>
  </si>
  <si>
    <t>C-040-2020</t>
  </si>
  <si>
    <t>035-07-2020</t>
  </si>
  <si>
    <t>BCS-2020-0150</t>
  </si>
  <si>
    <t>07012003</t>
  </si>
  <si>
    <t>SMB-20I044-0723</t>
  </si>
  <si>
    <t>SMB-20I043-0723</t>
  </si>
  <si>
    <t>20-07-023</t>
  </si>
  <si>
    <t>20-07-024</t>
  </si>
  <si>
    <t>SMB-20I042-0723</t>
  </si>
  <si>
    <t>bac-20-0701f</t>
  </si>
  <si>
    <t>SMB-20I045-0723</t>
  </si>
  <si>
    <t>20-07-022</t>
  </si>
  <si>
    <t>20GB0134</t>
  </si>
  <si>
    <t>0727</t>
  </si>
  <si>
    <t>0676</t>
  </si>
  <si>
    <t>20GB0133</t>
  </si>
  <si>
    <t>20-07-018</t>
  </si>
  <si>
    <t>SMB-20I041-0723</t>
  </si>
  <si>
    <t>20-06-0296</t>
  </si>
  <si>
    <t>2020-02-INFRA-JULY-POBLACION-01</t>
  </si>
  <si>
    <t>PRB-OFFICE SUPPLIES AND FORMS CY 2020</t>
  </si>
  <si>
    <t>PRB-OFFICE TABLES AND CHAIRS (PAV 2) CY 2019</t>
  </si>
  <si>
    <t>BAC 20-45 Repost</t>
  </si>
  <si>
    <t>LP-CEO-2020-03</t>
  </si>
  <si>
    <t>100-2006-1131</t>
  </si>
  <si>
    <t>MS2020-06-030.20</t>
  </si>
  <si>
    <t>PR-2020-9999-1401</t>
  </si>
  <si>
    <t>20CSCA0001</t>
  </si>
  <si>
    <t>ADH-20-0304-B</t>
  </si>
  <si>
    <t>MS2020-06-030.15</t>
  </si>
  <si>
    <t>107</t>
  </si>
  <si>
    <t>PR-2020-9999-1635</t>
  </si>
  <si>
    <t>PRDP-RPCO 1-2020-017</t>
  </si>
  <si>
    <t>PR-2020-1011-0238</t>
  </si>
  <si>
    <t>TAL-07-08-2020</t>
  </si>
  <si>
    <t>DENR-NCR, PR No. 2020-445 dtd 06/26/2020</t>
  </si>
  <si>
    <t>111</t>
  </si>
  <si>
    <t>20-03-458</t>
  </si>
  <si>
    <t>RFQ No.: 	2020-06-0538</t>
  </si>
  <si>
    <t>2020-35</t>
  </si>
  <si>
    <t>DENR-NCR, PR No. 2020-444 dtd 06/26/2020</t>
  </si>
  <si>
    <t>2000005277</t>
  </si>
  <si>
    <t>02-2020-05R</t>
  </si>
  <si>
    <t>G2020 018</t>
  </si>
  <si>
    <t>PRRI-2020ISA-033</t>
  </si>
  <si>
    <t>RFQ2020-07-011 GAA</t>
  </si>
  <si>
    <t>MS2020-06-030.14</t>
  </si>
  <si>
    <t>ISMS 38286</t>
  </si>
  <si>
    <t>G2020 008</t>
  </si>
  <si>
    <t>PAPC-GAD_HHSG-2020-11298-5290</t>
  </si>
  <si>
    <t>20-05-120</t>
  </si>
  <si>
    <t>RFQ No. 2020-030</t>
  </si>
  <si>
    <t>2020-05-118</t>
  </si>
  <si>
    <t>300-20-06-011</t>
  </si>
  <si>
    <t>BAC-07-1057</t>
  </si>
  <si>
    <t>2020-021</t>
  </si>
  <si>
    <t>GS-P08-2020-07-30</t>
  </si>
  <si>
    <t>pmma-svp-45-20</t>
  </si>
  <si>
    <t>RFQ No. 2020-029</t>
  </si>
  <si>
    <t>MEO-2020-07-03-001</t>
  </si>
  <si>
    <t>20-07013</t>
  </si>
  <si>
    <t>2020 - 07 - 07 (21 - Small Value Procurement)</t>
  </si>
  <si>
    <t>svp 2020-08</t>
  </si>
  <si>
    <t>01 July 2020</t>
  </si>
  <si>
    <t>svp 2020-15</t>
  </si>
  <si>
    <t>92-20</t>
  </si>
  <si>
    <t>RFQ-2020-182</t>
  </si>
  <si>
    <t>PRB-PSYCHOLOGICAL TESTING FORMS &amp; BOOKLETS (LOT) C</t>
  </si>
  <si>
    <t>2020-0066</t>
  </si>
  <si>
    <t>28-2020</t>
  </si>
  <si>
    <t>G24-2020</t>
  </si>
  <si>
    <t>07012020</t>
  </si>
  <si>
    <t>BAC-20-07-071 (PADD)</t>
  </si>
  <si>
    <t>BAC-20-07-070 (PADD)</t>
  </si>
  <si>
    <t>110035-20-4</t>
  </si>
  <si>
    <t>99-20</t>
  </si>
  <si>
    <t>LSPU SPCC ELECTRICAL SUPPLIES</t>
  </si>
  <si>
    <t>98-20</t>
  </si>
  <si>
    <t>97-20</t>
  </si>
  <si>
    <t>95-20</t>
  </si>
  <si>
    <t>2020-06-0129</t>
  </si>
  <si>
    <t>94-20</t>
  </si>
  <si>
    <t>110035-20-5</t>
  </si>
  <si>
    <t>2020-BC-001R</t>
  </si>
  <si>
    <t>1078-20BAC</t>
  </si>
  <si>
    <t>ITB2020-07-002</t>
  </si>
  <si>
    <t>96-20</t>
  </si>
  <si>
    <t>93-20</t>
  </si>
  <si>
    <t>110035-20-5-2</t>
  </si>
  <si>
    <t>080120A</t>
  </si>
  <si>
    <t>2020-07-035</t>
  </si>
  <si>
    <t>2020-53</t>
  </si>
  <si>
    <t>20DG0050</t>
  </si>
  <si>
    <t>06-JO-112</t>
  </si>
  <si>
    <t>20060531</t>
  </si>
  <si>
    <t>20DG0049</t>
  </si>
  <si>
    <t>2020-07-329-01</t>
  </si>
  <si>
    <t>2020-06-0370</t>
  </si>
  <si>
    <t>0739</t>
  </si>
  <si>
    <t>20060523</t>
  </si>
  <si>
    <t>RIS # 20-03-069</t>
  </si>
  <si>
    <t>2020-07-I02</t>
  </si>
  <si>
    <t>2020-07-I01</t>
  </si>
  <si>
    <t>20201070</t>
  </si>
  <si>
    <t>DA 8 SVP Goods 2020-07-0086 (Rice 20-07-01-0853 )</t>
  </si>
  <si>
    <t>BSU Project No. 2020-228</t>
  </si>
  <si>
    <t>100-2020-Goods-407</t>
  </si>
  <si>
    <t>101-2020-06-303</t>
  </si>
  <si>
    <t>RFQ NO. 2020-06-157</t>
  </si>
  <si>
    <t>RRECIS20-CS-032-20</t>
  </si>
  <si>
    <t>FRT-20-0275-B</t>
  </si>
  <si>
    <t>BGHMCPB-2020-18-001</t>
  </si>
  <si>
    <t>20GSDG0018</t>
  </si>
  <si>
    <t>101-2020-06-302</t>
  </si>
  <si>
    <t>101-2020-06-298</t>
  </si>
  <si>
    <t>2020-06-1417</t>
  </si>
  <si>
    <t>2020-07-330-02</t>
  </si>
  <si>
    <t>brgy.-003</t>
  </si>
  <si>
    <t>110035-20-5-1</t>
  </si>
  <si>
    <t>SV-0747-2020</t>
  </si>
  <si>
    <t>BMC-N-20-0217</t>
  </si>
  <si>
    <t>PB# MOMARO-024-2020</t>
  </si>
  <si>
    <t>PB001-20</t>
  </si>
  <si>
    <t>AMP-RFQ 2020-048</t>
  </si>
  <si>
    <t>RFQ No. 2020-SVP-18</t>
  </si>
  <si>
    <t>CG-1-137-2020</t>
  </si>
  <si>
    <t>09997</t>
  </si>
  <si>
    <t>BR-20-01</t>
  </si>
  <si>
    <t>101-2020-06-291</t>
  </si>
  <si>
    <t>cam2020-003</t>
  </si>
  <si>
    <t>0028-06-2020</t>
  </si>
  <si>
    <t>20201293</t>
  </si>
  <si>
    <t>20-132</t>
  </si>
  <si>
    <t>67</t>
  </si>
  <si>
    <t>CN-2020-03-023</t>
  </si>
  <si>
    <t>brgy.-004</t>
  </si>
  <si>
    <t>20CN0155</t>
  </si>
  <si>
    <t>20CN0156</t>
  </si>
  <si>
    <t>PR NO. 100-1011-20-06-0760</t>
  </si>
  <si>
    <t>2020-07-331-03</t>
  </si>
  <si>
    <t>2020 Caib 107</t>
  </si>
  <si>
    <t>0759</t>
  </si>
  <si>
    <t>0765</t>
  </si>
  <si>
    <t>BE-20-02</t>
  </si>
  <si>
    <t>0677</t>
  </si>
  <si>
    <t>073-2020</t>
  </si>
  <si>
    <t>20-07-0438</t>
  </si>
  <si>
    <t>CN-2020-03-021</t>
  </si>
  <si>
    <t>006-07-2020</t>
  </si>
  <si>
    <t>EQPT-2020-12</t>
  </si>
  <si>
    <t>2020-002J</t>
  </si>
  <si>
    <t>PR 20-05-0070</t>
  </si>
  <si>
    <t>2020-07-02-01</t>
  </si>
  <si>
    <t>2020 Caib 108</t>
  </si>
  <si>
    <t>20-07-153</t>
  </si>
  <si>
    <t>0732</t>
  </si>
  <si>
    <t>1222-20BAC</t>
  </si>
  <si>
    <t>2020-07-332-04</t>
  </si>
  <si>
    <t>6781002</t>
  </si>
  <si>
    <t>CN-2020-01-077</t>
  </si>
  <si>
    <t>2020-06-274</t>
  </si>
  <si>
    <t>20GPJ0001</t>
  </si>
  <si>
    <t>BSPMD PR No. 1000032835</t>
  </si>
  <si>
    <t>261</t>
  </si>
  <si>
    <t>2020-07-333-05</t>
  </si>
  <si>
    <t>2020-devmh-080</t>
  </si>
  <si>
    <t>2020-06-273</t>
  </si>
  <si>
    <t>2020-07-014</t>
  </si>
  <si>
    <t>ITB 2020-0018</t>
  </si>
  <si>
    <t>20201296</t>
  </si>
  <si>
    <t>TAL-07-09-2020</t>
  </si>
  <si>
    <t>2006-0542-PP</t>
  </si>
  <si>
    <t>PR NO. 100-8731-20-06-0749</t>
  </si>
  <si>
    <t>TAL-07-10-2020</t>
  </si>
  <si>
    <t>2020 DHVSU - 029</t>
  </si>
  <si>
    <t>PR NO. 2019-01-095</t>
  </si>
  <si>
    <t>0757</t>
  </si>
  <si>
    <t>penrneg2020-gs11</t>
  </si>
  <si>
    <t>EQPT-2020-13</t>
  </si>
  <si>
    <t>20-VI-23</t>
  </si>
  <si>
    <t>20-06-0825</t>
  </si>
  <si>
    <t>G03-2020</t>
  </si>
  <si>
    <t>TAL-07-11-2020</t>
  </si>
  <si>
    <t>0761</t>
  </si>
  <si>
    <t>2020 DHVSU - 030</t>
  </si>
  <si>
    <t>SV-0748-2020</t>
  </si>
  <si>
    <t>DARFO2.CVRC.115.REC.2020-06-827.00</t>
  </si>
  <si>
    <t>DES 1217-20</t>
  </si>
  <si>
    <t>Philgeps07022020</t>
  </si>
  <si>
    <t>044-2020</t>
  </si>
  <si>
    <t>101-2020-06-287</t>
  </si>
  <si>
    <t>proc-2000103-INK EPSON</t>
  </si>
  <si>
    <t>BAC HO GS NO. 2020--0370</t>
  </si>
  <si>
    <t>2003-01M10-06</t>
  </si>
  <si>
    <t>CG-1-138-2020</t>
  </si>
  <si>
    <t>SVP0023-2020</t>
  </si>
  <si>
    <t>2020-03-0002</t>
  </si>
  <si>
    <t>PATHO 1326-20</t>
  </si>
  <si>
    <t>PR NO. 2019-03-0181</t>
  </si>
  <si>
    <t>0020-0201-1091-2020</t>
  </si>
  <si>
    <t>SV-52-2020</t>
  </si>
  <si>
    <t>penrneg2020-gs12</t>
  </si>
  <si>
    <t>0015-0031-1080-2020</t>
  </si>
  <si>
    <t>2020-0617-1G</t>
  </si>
  <si>
    <t>2020-76</t>
  </si>
  <si>
    <t>Quotation No.20-07-0401</t>
  </si>
  <si>
    <t>SVP-2020-07-109</t>
  </si>
  <si>
    <t>SV-0760-2020</t>
  </si>
  <si>
    <t>PR# 20-03-0392</t>
  </si>
  <si>
    <t>0738</t>
  </si>
  <si>
    <t>AMP-RFQ 2020-049</t>
  </si>
  <si>
    <t>G-MDH-051-20</t>
  </si>
  <si>
    <t>UPLB-RQ-7-137-20-RES FOOD STUFF</t>
  </si>
  <si>
    <t>7-20-03</t>
  </si>
  <si>
    <t>RFQ NO. EMB-S-ERLSD-ELSS-OLU CALIBRATION STANDARDS</t>
  </si>
  <si>
    <t>07-02-2020</t>
  </si>
  <si>
    <t>0767</t>
  </si>
  <si>
    <t>C-039-2020</t>
  </si>
  <si>
    <t>07022020</t>
  </si>
  <si>
    <t>SV-0759-2020</t>
  </si>
  <si>
    <t>3Q2020-001</t>
  </si>
  <si>
    <t>2020-SVP-294</t>
  </si>
  <si>
    <t>EBMS 0784-20</t>
  </si>
  <si>
    <t>EQPT-JO-2020-01</t>
  </si>
  <si>
    <t>ICWS-20-013A(NP/SV)</t>
  </si>
  <si>
    <t>RFQ 2020-0031</t>
  </si>
  <si>
    <t>itb07022020</t>
  </si>
  <si>
    <t>a.20.06.19</t>
  </si>
  <si>
    <t>2020-54</t>
  </si>
  <si>
    <t>2020-DVO-040</t>
  </si>
  <si>
    <t>DENR N.Ecija-2020-042</t>
  </si>
  <si>
    <t>2020-06-0371</t>
  </si>
  <si>
    <t>G04-2020</t>
  </si>
  <si>
    <t>2020-070202</t>
  </si>
  <si>
    <t>2020-05-007</t>
  </si>
  <si>
    <t>Quotation No. 20-06-0390</t>
  </si>
  <si>
    <t>RESO 043-2020</t>
  </si>
  <si>
    <t xml:space="preserve">LABOR-COVERING CANAL IN FRONT OF BARANGAY CHAPEL, </t>
  </si>
  <si>
    <t>2020-100-05-414</t>
  </si>
  <si>
    <t>0000180-007-002-2020</t>
  </si>
  <si>
    <t>20GSCC02</t>
  </si>
  <si>
    <t>G05-2020</t>
  </si>
  <si>
    <t>Quotation No.20-07-0400</t>
  </si>
  <si>
    <t>ICWS-20-050A(NP/SV)</t>
  </si>
  <si>
    <t>2020-07-334-06</t>
  </si>
  <si>
    <t>2020-070201</t>
  </si>
  <si>
    <t>RIS 20-02-054</t>
  </si>
  <si>
    <t>2020-070205</t>
  </si>
  <si>
    <t>69</t>
  </si>
  <si>
    <t>2020-070204</t>
  </si>
  <si>
    <t>2020-03-0003</t>
  </si>
  <si>
    <t>1240-20BAC</t>
  </si>
  <si>
    <t>GOODS-032-2020</t>
  </si>
  <si>
    <t>2020-03-0004</t>
  </si>
  <si>
    <t>100-06-20-01674</t>
  </si>
  <si>
    <t>I-2020-017</t>
  </si>
  <si>
    <t>UPM-CAD2020-06</t>
  </si>
  <si>
    <t>14192-062920</t>
  </si>
  <si>
    <t>2020-B54M-01</t>
  </si>
  <si>
    <t>PR#20-06-0343</t>
  </si>
  <si>
    <t>0000181-007-002-2020</t>
  </si>
  <si>
    <t>I-2020-018</t>
  </si>
  <si>
    <t>INFRA-PNBAC2-2020-08</t>
  </si>
  <si>
    <t>RFQ-2020-180</t>
  </si>
  <si>
    <t>20GGB0013</t>
  </si>
  <si>
    <t>G-MDH-052-20</t>
  </si>
  <si>
    <t>RIS# 20-01-081</t>
  </si>
  <si>
    <t>2020-070207</t>
  </si>
  <si>
    <t>2020-AP-07-25</t>
  </si>
  <si>
    <t>ICWS-20-039A(NP/SV)</t>
  </si>
  <si>
    <t>2020-070206</t>
  </si>
  <si>
    <t>PR No. 2006-123</t>
  </si>
  <si>
    <t>Invitation to Bid 20-38</t>
  </si>
  <si>
    <t>07-83-2020</t>
  </si>
  <si>
    <t>2020-06-275</t>
  </si>
  <si>
    <t>PR No. 2006-142</t>
  </si>
  <si>
    <t>2020-07-093-GS</t>
  </si>
  <si>
    <t>1176-20BAC</t>
  </si>
  <si>
    <t>DPWH-MS-2020-05-020</t>
  </si>
  <si>
    <t>RFQ-20-179</t>
  </si>
  <si>
    <t>Quotation No.20-07-0399</t>
  </si>
  <si>
    <t>PR#20-02-0040</t>
  </si>
  <si>
    <t>PURCHASE REQUEST NO. 101-2020-06-121</t>
  </si>
  <si>
    <t>2020-06-191-RFQ</t>
  </si>
  <si>
    <t>07-102-2020</t>
  </si>
  <si>
    <t>1259-20BAC</t>
  </si>
  <si>
    <t>CN-2020-02-102</t>
  </si>
  <si>
    <t>8918-5-1632-20 LDF-2020</t>
  </si>
  <si>
    <t>RFQ-20-176</t>
  </si>
  <si>
    <t>20-07-273</t>
  </si>
  <si>
    <t>2020-03-0006</t>
  </si>
  <si>
    <t>G-TLDH-053-20</t>
  </si>
  <si>
    <t>2020-06-335</t>
  </si>
  <si>
    <t>200036</t>
  </si>
  <si>
    <t>SP(LEGIS)20-172(NP/SV)</t>
  </si>
  <si>
    <t>101-2020-06-300</t>
  </si>
  <si>
    <t>GSO-20-07-0291</t>
  </si>
  <si>
    <t>066-2020</t>
  </si>
  <si>
    <t>GHQPC-OESPA-TRNG-1366-20</t>
  </si>
  <si>
    <t>SVP20-522</t>
  </si>
  <si>
    <t>20-249</t>
  </si>
  <si>
    <t>RQF-2020-171</t>
  </si>
  <si>
    <t>2020-23</t>
  </si>
  <si>
    <t>PG-RFQ-2020-15</t>
  </si>
  <si>
    <t>BAC2020-07-026</t>
  </si>
  <si>
    <t>2020 - 024</t>
  </si>
  <si>
    <t>pgeps#279-2020</t>
  </si>
  <si>
    <t>RFQ NO. EMB-S-ERLSD-ELSS-OLU CHEMICALS 2020-0546</t>
  </si>
  <si>
    <t>101-20</t>
  </si>
  <si>
    <t>GSO-20-07-0292</t>
  </si>
  <si>
    <t>2020 DHVSU - 031</t>
  </si>
  <si>
    <t>BAC2020-07-025</t>
  </si>
  <si>
    <t>RFQ-2020-172</t>
  </si>
  <si>
    <t>20-224</t>
  </si>
  <si>
    <t>Goods-029A-2020</t>
  </si>
  <si>
    <t>SVP 40</t>
  </si>
  <si>
    <t>DPWH-PDS-2020-021</t>
  </si>
  <si>
    <t>Quotation No.20-07-0398</t>
  </si>
  <si>
    <t>GSO-20-07-0290</t>
  </si>
  <si>
    <t>7-20-05</t>
  </si>
  <si>
    <t>pmma-svp-44-20</t>
  </si>
  <si>
    <t>2020-070208</t>
  </si>
  <si>
    <t>2001-07M01</t>
  </si>
  <si>
    <t>PR No. 2006-138</t>
  </si>
  <si>
    <t>GHQPC-OESPA-TRNG-1364-20</t>
  </si>
  <si>
    <t>SP(ONG)20-014(NP/SV)</t>
  </si>
  <si>
    <t>20-07016</t>
  </si>
  <si>
    <t>0766</t>
  </si>
  <si>
    <t>DSB-2020-021</t>
  </si>
  <si>
    <t>DSWD 4B 2020-05-0614 NP-SVP</t>
  </si>
  <si>
    <t>2020-07-26</t>
  </si>
  <si>
    <t>046-2020</t>
  </si>
  <si>
    <t>045-2020</t>
  </si>
  <si>
    <t>2020-06-363</t>
  </si>
  <si>
    <t>07-84-2020</t>
  </si>
  <si>
    <t>2020 -</t>
  </si>
  <si>
    <t>20AC0057</t>
  </si>
  <si>
    <t>ITB  2020-001</t>
  </si>
  <si>
    <t>2020-03-0007</t>
  </si>
  <si>
    <t>INFRA-PNBAC2-2020-09</t>
  </si>
  <si>
    <t>SVP 41</t>
  </si>
  <si>
    <t>2020-05-254</t>
  </si>
  <si>
    <t>2020-01M02-02</t>
  </si>
  <si>
    <t>RFQ-203-2020</t>
  </si>
  <si>
    <t>GHQPC-OESPA-TELM-1367-20</t>
  </si>
  <si>
    <t>101-2020-06-342</t>
  </si>
  <si>
    <t>RFQ-2020-049</t>
  </si>
  <si>
    <t>20GGB0012</t>
  </si>
  <si>
    <t>20-07015</t>
  </si>
  <si>
    <t>20-041 (Re-bid)</t>
  </si>
  <si>
    <t>0675</t>
  </si>
  <si>
    <t>2020-06-364</t>
  </si>
  <si>
    <t>EBMS 0267-20</t>
  </si>
  <si>
    <t>2020-06-RFQ04</t>
  </si>
  <si>
    <t>RFQ-2020-170</t>
  </si>
  <si>
    <t>2020-070203</t>
  </si>
  <si>
    <t>7-20-04</t>
  </si>
  <si>
    <t>SVP024-2020</t>
  </si>
  <si>
    <t>20-07014</t>
  </si>
  <si>
    <t>100-2006-039-20%</t>
  </si>
  <si>
    <t>DENR N.Ecija-2020-043</t>
  </si>
  <si>
    <t>ICWS-20-013(NP/SV)</t>
  </si>
  <si>
    <t>101-2020-06-307</t>
  </si>
  <si>
    <t>CGSO-20-047(NP/SV)</t>
  </si>
  <si>
    <t>PR#20-06-0305</t>
  </si>
  <si>
    <t>PR 20-05-0071</t>
  </si>
  <si>
    <t>CMO(CDI)-20-019(NP/SV)</t>
  </si>
  <si>
    <t>RFQ-2020-054</t>
  </si>
  <si>
    <t>8918-23-1569-20(SUPPLEMENTAL #01-2020)</t>
  </si>
  <si>
    <t>bcnhs00158</t>
  </si>
  <si>
    <t>067-2020</t>
  </si>
  <si>
    <t>20-223</t>
  </si>
  <si>
    <t>2020-003J</t>
  </si>
  <si>
    <t>INFRA-PNBAC2-2020-10</t>
  </si>
  <si>
    <t>20-07-025</t>
  </si>
  <si>
    <t>2020-04-236</t>
  </si>
  <si>
    <t>SVP20-519</t>
  </si>
  <si>
    <t>1322-20BAC</t>
  </si>
  <si>
    <t>2020-07-019</t>
  </si>
  <si>
    <t>2020-03-0008</t>
  </si>
  <si>
    <t>20-042 (Re-bid)</t>
  </si>
  <si>
    <t>20-043</t>
  </si>
  <si>
    <t>3164</t>
  </si>
  <si>
    <t>BSPMD PR No. 1000032849</t>
  </si>
  <si>
    <t>brtth n-20-07-120</t>
  </si>
  <si>
    <t>014-2020-081</t>
  </si>
  <si>
    <t>S20-02-0110</t>
  </si>
  <si>
    <t>6911-03-1054-19</t>
  </si>
  <si>
    <t>PROE-06-01-2020</t>
  </si>
  <si>
    <t>2020 GDS JUN</t>
  </si>
  <si>
    <t>100(01)20-07-031(P)</t>
  </si>
  <si>
    <t>6911-01-1453-19 / LDRRM</t>
  </si>
  <si>
    <t>CDH-2020-0039, 0042, 0058, HOD-2020-0109, 0110, 01</t>
  </si>
  <si>
    <t>EBMS 0464-20</t>
  </si>
  <si>
    <t>BAC2020-07-027</t>
  </si>
  <si>
    <t>0003-0090-1116-2020</t>
  </si>
  <si>
    <t>1326-20BAC</t>
  </si>
  <si>
    <t>INVITATION TO BID 2020-005</t>
  </si>
  <si>
    <t>068-2020</t>
  </si>
  <si>
    <t>SVP20-523</t>
  </si>
  <si>
    <t>102-20</t>
  </si>
  <si>
    <t>INFRA-ETG-C-20-07-013</t>
  </si>
  <si>
    <t>06-012-371-20</t>
  </si>
  <si>
    <t>0003-0088-1114-2020</t>
  </si>
  <si>
    <t>6911-2-872-20</t>
  </si>
  <si>
    <t>CP 2020-33 RB</t>
  </si>
  <si>
    <t>100(18)20-07-399(O)</t>
  </si>
  <si>
    <t>0003-0089-1115-2020</t>
  </si>
  <si>
    <t>MILAGROSA 2020-02</t>
  </si>
  <si>
    <t>brgy12020-003</t>
  </si>
  <si>
    <t>07022020A</t>
  </si>
  <si>
    <t>PR 20-06-0073</t>
  </si>
  <si>
    <t>1597</t>
  </si>
  <si>
    <t>RFQ-204-2020</t>
  </si>
  <si>
    <t>P20-02-010</t>
  </si>
  <si>
    <t>2020 - 072</t>
  </si>
  <si>
    <t>2020-03-0009</t>
  </si>
  <si>
    <t>2020-19</t>
  </si>
  <si>
    <t>20AC0058</t>
  </si>
  <si>
    <t>242</t>
  </si>
  <si>
    <t>Goods2020-06-008</t>
  </si>
  <si>
    <t>20-045</t>
  </si>
  <si>
    <t>0034-35-36-2020</t>
  </si>
  <si>
    <t>CP 2020-34 RB</t>
  </si>
  <si>
    <t>PB-12-07-2020-Infra</t>
  </si>
  <si>
    <t>PR 20-06-0074</t>
  </si>
  <si>
    <t>2020-03-0010</t>
  </si>
  <si>
    <t>CN-2020-03-022</t>
  </si>
  <si>
    <t>CDH-2020-0032, 0043-0045, GOV-2020-0170, IADH-2020</t>
  </si>
  <si>
    <t>2020-C8-01</t>
  </si>
  <si>
    <t>ITB-2020-12-INFRA</t>
  </si>
  <si>
    <t>2020-07-0032</t>
  </si>
  <si>
    <t>109937-2020-04A</t>
  </si>
  <si>
    <t>2020-20</t>
  </si>
  <si>
    <t>RFQ No. R-20-07-68</t>
  </si>
  <si>
    <t>PR072000641</t>
  </si>
  <si>
    <t>103-20</t>
  </si>
  <si>
    <t>RFQ 20-07-411</t>
  </si>
  <si>
    <t>Goods 2020-02</t>
  </si>
  <si>
    <t>BAC-2020-669</t>
  </si>
  <si>
    <t>2020-devmh-081</t>
  </si>
  <si>
    <t>PR# 100-20-06-477</t>
  </si>
  <si>
    <t>2020-06-317</t>
  </si>
  <si>
    <t>CNLC2019-076</t>
  </si>
  <si>
    <t>BMC-N-20-0219</t>
  </si>
  <si>
    <t>PR No.: 2020-07-0318</t>
  </si>
  <si>
    <t>2020-SVP-296</t>
  </si>
  <si>
    <t>SVP20-524</t>
  </si>
  <si>
    <t>BAC-2020-668</t>
  </si>
  <si>
    <t>INFRA-PNBAC2-2020-12</t>
  </si>
  <si>
    <t>101-2020-06-294</t>
  </si>
  <si>
    <t>2020-07-0016</t>
  </si>
  <si>
    <t>07-85-2020</t>
  </si>
  <si>
    <t>3165</t>
  </si>
  <si>
    <t>2020-GOODS-04 RE-AD</t>
  </si>
  <si>
    <t>39-2020</t>
  </si>
  <si>
    <t>s-33-2020</t>
  </si>
  <si>
    <t>2020-6-17-211</t>
  </si>
  <si>
    <t>CRCF-2020-07-0242</t>
  </si>
  <si>
    <t>2020-C8-02</t>
  </si>
  <si>
    <t>20-080</t>
  </si>
  <si>
    <t>047-2020</t>
  </si>
  <si>
    <t>MG-PHP20-004</t>
  </si>
  <si>
    <t>pgeps#280-2020</t>
  </si>
  <si>
    <t>INFRA-PNBAC2-2020-13</t>
  </si>
  <si>
    <t>2020-03-0011</t>
  </si>
  <si>
    <t>BAC-2020-670</t>
  </si>
  <si>
    <t>Goods-029C-2020</t>
  </si>
  <si>
    <t>2020-devmh-082</t>
  </si>
  <si>
    <t>RFQ No. 2020-04-01</t>
  </si>
  <si>
    <t>06-020-376-20</t>
  </si>
  <si>
    <t>PR# 100-20-06-288</t>
  </si>
  <si>
    <t>2020-06-334</t>
  </si>
  <si>
    <t>6911-05-1237-19</t>
  </si>
  <si>
    <t>2020-04-214</t>
  </si>
  <si>
    <t>pgeps#281-2020</t>
  </si>
  <si>
    <t>2020-03-368</t>
  </si>
  <si>
    <t>2020-03-0012</t>
  </si>
  <si>
    <t>0014-2020</t>
  </si>
  <si>
    <t>104-20</t>
  </si>
  <si>
    <t>20-06-1400</t>
  </si>
  <si>
    <t>2020-07-0019</t>
  </si>
  <si>
    <t>20-02-0137</t>
  </si>
  <si>
    <t>PALG-03-2020</t>
  </si>
  <si>
    <t>s-22-2020</t>
  </si>
  <si>
    <t>PR NO. 0565 S.2020</t>
  </si>
  <si>
    <t>44</t>
  </si>
  <si>
    <t>109937-2020-05A</t>
  </si>
  <si>
    <t>PR#100-20-06-026</t>
  </si>
  <si>
    <t>20FF0102</t>
  </si>
  <si>
    <t>70</t>
  </si>
  <si>
    <t>2020-G-089</t>
  </si>
  <si>
    <t>20-07-906</t>
  </si>
  <si>
    <t>2020-06-1458 &amp; 2020-06-1477</t>
  </si>
  <si>
    <t>0013-2020</t>
  </si>
  <si>
    <t>109937-2020-04B</t>
  </si>
  <si>
    <t>105-20</t>
  </si>
  <si>
    <t>20-06-1401</t>
  </si>
  <si>
    <t>TJPH-2020-0113</t>
  </si>
  <si>
    <t>20200702</t>
  </si>
  <si>
    <t>PR 74759</t>
  </si>
  <si>
    <t>ITB-2020-16a</t>
  </si>
  <si>
    <t>2020-071-16-3</t>
  </si>
  <si>
    <t>SHO-06-07-2020-Goods</t>
  </si>
  <si>
    <t>2020-02-137</t>
  </si>
  <si>
    <t>20-05-0319</t>
  </si>
  <si>
    <t>CRCF-2020-07-0244</t>
  </si>
  <si>
    <t>CMO(PASALUBONG)18-001(NP/SV)</t>
  </si>
  <si>
    <t>C-037-2020</t>
  </si>
  <si>
    <t>S-29-2020</t>
  </si>
  <si>
    <t>BGH - 07 - 0109</t>
  </si>
  <si>
    <t>PURCHASE REQUEST NO. 101-2020-04-087</t>
  </si>
  <si>
    <t>AMP-021-2020</t>
  </si>
  <si>
    <t>SVP No. 2019-033</t>
  </si>
  <si>
    <t>s-23-2020</t>
  </si>
  <si>
    <t>2020-071-16-4</t>
  </si>
  <si>
    <t>GA-BAC-AM # 2020-023-R</t>
  </si>
  <si>
    <t>2020-SNPO-0002</t>
  </si>
  <si>
    <t>RFQ 6 - 2020</t>
  </si>
  <si>
    <t>109937-2020-07</t>
  </si>
  <si>
    <t>wawa2020-01</t>
  </si>
  <si>
    <t>PALG-04-2020</t>
  </si>
  <si>
    <t>109937-2020-06</t>
  </si>
  <si>
    <t>6070</t>
  </si>
  <si>
    <t>2020-04-213</t>
  </si>
  <si>
    <t>109937-2020-05B</t>
  </si>
  <si>
    <t>RFQ-PR NO. 2020-06-070</t>
  </si>
  <si>
    <t>CRCF-2020-07-0245</t>
  </si>
  <si>
    <t>062020-0126</t>
  </si>
  <si>
    <t>RFQ 5 - 2020</t>
  </si>
  <si>
    <t>20-7-49</t>
  </si>
  <si>
    <t>PR NO. 0564 S.2020</t>
  </si>
  <si>
    <t>2020-03-0013</t>
  </si>
  <si>
    <t>2020-071-16-2</t>
  </si>
  <si>
    <t>LGU-RFQ-2020-62</t>
  </si>
  <si>
    <t>2020-C8-04</t>
  </si>
  <si>
    <t>248</t>
  </si>
  <si>
    <t>2020-Barangay San Pablo-003</t>
  </si>
  <si>
    <t>RFQ-TFB-12-2020</t>
  </si>
  <si>
    <t>2020-071-16-6</t>
  </si>
  <si>
    <t>RFQ 8 - 2020</t>
  </si>
  <si>
    <t>P.R. No. 2020-07-0039</t>
  </si>
  <si>
    <t>20-06-0320</t>
  </si>
  <si>
    <t>100-20-06-0798</t>
  </si>
  <si>
    <t>2020-071-16-5</t>
  </si>
  <si>
    <t>2020-04-235</t>
  </si>
  <si>
    <t>RFQ-PR NO. 2020-06-062</t>
  </si>
  <si>
    <t>PR# 100-20-06-107</t>
  </si>
  <si>
    <t>RFQ-PR NO. 2020-06-071</t>
  </si>
  <si>
    <t>MEALS FOR BRGY. INVESTMENT PLAN WORKSHOP 07022020</t>
  </si>
  <si>
    <t>1600</t>
  </si>
  <si>
    <t>2020-RFQ-027G</t>
  </si>
  <si>
    <t>2020-07-Rehabilitation of Barangay Health Center -</t>
  </si>
  <si>
    <t>2020-06-003</t>
  </si>
  <si>
    <t>20-MC-MOOE-2</t>
  </si>
  <si>
    <t>CDH-2020-0047 &amp; HOD-2020-0108</t>
  </si>
  <si>
    <t>ITB 20-07-001</t>
  </si>
  <si>
    <t>SSP-2020-06-017</t>
  </si>
  <si>
    <t>BAC-2020-667</t>
  </si>
  <si>
    <t>ITB-2020-015</t>
  </si>
  <si>
    <t>1578</t>
  </si>
  <si>
    <t>ITB2020-01-01</t>
  </si>
  <si>
    <t>20060259</t>
  </si>
  <si>
    <t>2020-071-16-8</t>
  </si>
  <si>
    <t>RFQ-2020-072</t>
  </si>
  <si>
    <t>P.R. No. 2020-07-0041</t>
  </si>
  <si>
    <t>2020_GOODS_016</t>
  </si>
  <si>
    <t>ITB 100-2020-07-05</t>
  </si>
  <si>
    <t>B-07-26-20</t>
  </si>
  <si>
    <t>ITB 100-2020-07-04</t>
  </si>
  <si>
    <t>UPLB-RQ-7-083-20-GOODS INFORMATION TECHNOLOGY</t>
  </si>
  <si>
    <t>RFQ-2020-070</t>
  </si>
  <si>
    <t>ITB 100-2020-07-03</t>
  </si>
  <si>
    <t>2020-06-333</t>
  </si>
  <si>
    <t>20AC0061</t>
  </si>
  <si>
    <t>RFQ-2020-073</t>
  </si>
  <si>
    <t>P.R. No. 2020-07-0040</t>
  </si>
  <si>
    <t>GOODS-2020-017</t>
  </si>
  <si>
    <t>2020-07-0015</t>
  </si>
  <si>
    <t>ITB 300-2020-07-02</t>
  </si>
  <si>
    <t>ITB 100-2020-07-01</t>
  </si>
  <si>
    <t>20-05-027</t>
  </si>
  <si>
    <t>2020-02-0416 HEAVY DUTY SUCTION MACHINE</t>
  </si>
  <si>
    <t>pnhs-2020-002</t>
  </si>
  <si>
    <t>RFQ-2020-074</t>
  </si>
  <si>
    <t>2020-0080</t>
  </si>
  <si>
    <t>UPLB-RQ-7-084-20-GOODS HOSPITAL / MEDICAL EQUIPMEN</t>
  </si>
  <si>
    <t>2020-07-0033</t>
  </si>
  <si>
    <t>PR No. 2020-07-0180</t>
  </si>
  <si>
    <t>71</t>
  </si>
  <si>
    <t>2020-06-215</t>
  </si>
  <si>
    <t>EMBXI2020-008</t>
  </si>
  <si>
    <t>CRCF-2020-07-0246</t>
  </si>
  <si>
    <t>ppn-100-2020</t>
  </si>
  <si>
    <t>2020-Barangay Silanga-001</t>
  </si>
  <si>
    <t>ITB 20-077</t>
  </si>
  <si>
    <t>RFQ 2020-57</t>
  </si>
  <si>
    <t>RFQ-2020-069</t>
  </si>
  <si>
    <t>20GFF0002</t>
  </si>
  <si>
    <t>BSU Project No. 2020-232</t>
  </si>
  <si>
    <t>RFQ2020-07-0210 (PR#1011-20-06-0296)</t>
  </si>
  <si>
    <t>RFQ-2020-079</t>
  </si>
  <si>
    <t>UPLB-RQ-7-082-20-GOODS INTERNET SERVICES</t>
  </si>
  <si>
    <t>RFQ2020-07-0205 (PR#8918-20-06-0291)</t>
  </si>
  <si>
    <t>RFQ-PR NO. 2020-06-075</t>
  </si>
  <si>
    <t>20-07-86</t>
  </si>
  <si>
    <t>epslingayen2020-60</t>
  </si>
  <si>
    <t>CSI-2020-020</t>
  </si>
  <si>
    <t>2020-07-080</t>
  </si>
  <si>
    <t>20-07-85</t>
  </si>
  <si>
    <t>RFQ-2020-075</t>
  </si>
  <si>
    <t>Quotation No.20-07-0403</t>
  </si>
  <si>
    <t>20-06-04-0081</t>
  </si>
  <si>
    <t>PR 2020-04-056</t>
  </si>
  <si>
    <t>BH-20-02</t>
  </si>
  <si>
    <t>2020-86</t>
  </si>
  <si>
    <t>RFQ20-127</t>
  </si>
  <si>
    <t>109924-2020-15</t>
  </si>
  <si>
    <t>PR 2020-04-055</t>
  </si>
  <si>
    <t>100(01)20-07-373(A)</t>
  </si>
  <si>
    <t>RFQ-2020-013</t>
  </si>
  <si>
    <t>07-02-2020-249</t>
  </si>
  <si>
    <t>N20-MO-108</t>
  </si>
  <si>
    <t>RFQ-2020-071</t>
  </si>
  <si>
    <t>LPP-20-037</t>
  </si>
  <si>
    <t>20-07-88</t>
  </si>
  <si>
    <t>2020-07-335-07</t>
  </si>
  <si>
    <t>100(18)20-07-398(O)</t>
  </si>
  <si>
    <t>ITB 2020 - 084</t>
  </si>
  <si>
    <t>2020-06-1060 TELEVISION</t>
  </si>
  <si>
    <t>RFQ-2020-077</t>
  </si>
  <si>
    <t>2020-466</t>
  </si>
  <si>
    <t>ppn-102-2020</t>
  </si>
  <si>
    <t>PR 2020-04-058</t>
  </si>
  <si>
    <t>RFQ-2020-078</t>
  </si>
  <si>
    <t>20AC0103</t>
  </si>
  <si>
    <t>rfq#2020-03-1,625-p.e.o.</t>
  </si>
  <si>
    <t>2020-07-01 CW</t>
  </si>
  <si>
    <t>GAAS202002</t>
  </si>
  <si>
    <t>GF-G-60-2020</t>
  </si>
  <si>
    <t>gsis/npsvp-232-20</t>
  </si>
  <si>
    <t>RFQ2020-25</t>
  </si>
  <si>
    <t>CAB-2020-007-001</t>
  </si>
  <si>
    <t>DTI-IX-2020-07-01 (F17)</t>
  </si>
  <si>
    <t>RFQ#058-07-20</t>
  </si>
  <si>
    <t>20-06-401</t>
  </si>
  <si>
    <t>R3-2020-06-020</t>
  </si>
  <si>
    <t>2020-108</t>
  </si>
  <si>
    <t>200035</t>
  </si>
  <si>
    <t>Dom12</t>
  </si>
  <si>
    <t>2006-090</t>
  </si>
  <si>
    <t>20-06-1402</t>
  </si>
  <si>
    <t>20HC0185</t>
  </si>
  <si>
    <t>20-175</t>
  </si>
  <si>
    <t>S-14-2020</t>
  </si>
  <si>
    <t>2020-LID-03</t>
  </si>
  <si>
    <t>EBMS 0584-20</t>
  </si>
  <si>
    <t>20CF0134</t>
  </si>
  <si>
    <t>2020-217</t>
  </si>
  <si>
    <t>09-2020</t>
  </si>
  <si>
    <t>FLGU-CW-2020-12</t>
  </si>
  <si>
    <t>2020-265</t>
  </si>
  <si>
    <t>GHQPC-OSPS-TELM-1369-20</t>
  </si>
  <si>
    <t>20HC0186</t>
  </si>
  <si>
    <t>20-45675</t>
  </si>
  <si>
    <t>RFQ-2020-06-018</t>
  </si>
  <si>
    <t>20FE0137</t>
  </si>
  <si>
    <t>2020-0017</t>
  </si>
  <si>
    <t>PG-20-07-013</t>
  </si>
  <si>
    <t>GEPS(SAN JUAN DE MATA)2020-07-001</t>
  </si>
  <si>
    <t>07-006-2020</t>
  </si>
  <si>
    <t>RSQ20-07-059</t>
  </si>
  <si>
    <t>2020-SVP-019</t>
  </si>
  <si>
    <t>2020-06-0975 Rubber Tubing 1/4 x 1/8 x 50 ft, 100%</t>
  </si>
  <si>
    <t>2020-90-04</t>
  </si>
  <si>
    <t>PR-2007-705</t>
  </si>
  <si>
    <t>CMO(RM-HE)20-017(NP/SV)</t>
  </si>
  <si>
    <t>20-0054</t>
  </si>
  <si>
    <t>048-2020</t>
  </si>
  <si>
    <t>20FE0140</t>
  </si>
  <si>
    <t>2020-435</t>
  </si>
  <si>
    <t>20-174</t>
  </si>
  <si>
    <t>QNV-011-2020</t>
  </si>
  <si>
    <t>2020-187</t>
  </si>
  <si>
    <t>20FE0139</t>
  </si>
  <si>
    <t>2020-0174</t>
  </si>
  <si>
    <t>2020-07-RISOFORMS</t>
  </si>
  <si>
    <t>20gso_441</t>
  </si>
  <si>
    <t>20FE0141</t>
  </si>
  <si>
    <t>RFQ NO. 2020-171</t>
  </si>
  <si>
    <t>s-26-2020</t>
  </si>
  <si>
    <t>20AC0104</t>
  </si>
  <si>
    <t>BGHMCPB-2020-18-002</t>
  </si>
  <si>
    <t>RFQ 2020-243</t>
  </si>
  <si>
    <t>PR-2007-722</t>
  </si>
  <si>
    <t>G-2020-0063</t>
  </si>
  <si>
    <t>TF - 001</t>
  </si>
  <si>
    <t>RFQ - 2020-06 - 062</t>
  </si>
  <si>
    <t>2020-05-218</t>
  </si>
  <si>
    <t>ITB-2020-07-02 bayambang</t>
  </si>
  <si>
    <t>20-06-0316</t>
  </si>
  <si>
    <t>20-06-0057</t>
  </si>
  <si>
    <t>S-20-2020</t>
  </si>
  <si>
    <t>2020-7-02-1</t>
  </si>
  <si>
    <t>2020-06-031-RFQ</t>
  </si>
  <si>
    <t>RFQ2020-26</t>
  </si>
  <si>
    <t>ITB-2020-13-INFRA</t>
  </si>
  <si>
    <t>S-28-2020</t>
  </si>
  <si>
    <t>20HC0187</t>
  </si>
  <si>
    <t>20CF0137</t>
  </si>
  <si>
    <t>20NE0090</t>
  </si>
  <si>
    <t>GEPS(SAN JUAN DE MATA)2020-07-002</t>
  </si>
  <si>
    <t>RFQ - 2020-06 - 061</t>
  </si>
  <si>
    <t>6523-2020-034</t>
  </si>
  <si>
    <t>20gso_432</t>
  </si>
  <si>
    <t>PURCHASE REQUEST NO. 101-2020-06-114</t>
  </si>
  <si>
    <t>20NE0092</t>
  </si>
  <si>
    <t>RFQ 10-2020</t>
  </si>
  <si>
    <t>NCIP V-07022020</t>
  </si>
  <si>
    <t>HHSSG-OSM-20-0107-40109</t>
  </si>
  <si>
    <t>20-06-1397</t>
  </si>
  <si>
    <t>RFQ NO. EMB-SVP-ERLSD-ECMU BSC PM 2020-0625</t>
  </si>
  <si>
    <t>ITB 07-2020-010</t>
  </si>
  <si>
    <t>20-06-0061</t>
  </si>
  <si>
    <t>ADS-0468-A-20</t>
  </si>
  <si>
    <t>RFQ 13-2020</t>
  </si>
  <si>
    <t>20-07-004</t>
  </si>
  <si>
    <t>DTI-IX-2020-07-02 (F18)</t>
  </si>
  <si>
    <t>ADS-0473-20</t>
  </si>
  <si>
    <t>2020-C8-05</t>
  </si>
  <si>
    <t>20NE0091</t>
  </si>
  <si>
    <t>FLGU-CW-2020-13</t>
  </si>
  <si>
    <t>2020-266</t>
  </si>
  <si>
    <t>20-171</t>
  </si>
  <si>
    <t>S-217-2020</t>
  </si>
  <si>
    <t>20-06-0299</t>
  </si>
  <si>
    <t>2020-7-02-2</t>
  </si>
  <si>
    <t>20FE0142</t>
  </si>
  <si>
    <t>N-424-2020</t>
  </si>
  <si>
    <t>bk- 2020-03</t>
  </si>
  <si>
    <t>2020-06-032-RFQ</t>
  </si>
  <si>
    <t>20-02-0015</t>
  </si>
  <si>
    <t>RFQ No. 2020-SVP-38</t>
  </si>
  <si>
    <t>20BC0158 re-adv.</t>
  </si>
  <si>
    <t>N-21-2020</t>
  </si>
  <si>
    <t>WDDSP-TWD-IFB-CW03d</t>
  </si>
  <si>
    <t>GF-G-61-2020</t>
  </si>
  <si>
    <t>PR-2007-704</t>
  </si>
  <si>
    <t>078</t>
  </si>
  <si>
    <t>N-428-2020</t>
  </si>
  <si>
    <t>20-07-241</t>
  </si>
  <si>
    <t>2020-0018</t>
  </si>
  <si>
    <t>6-20-06</t>
  </si>
  <si>
    <t>2020-0019</t>
  </si>
  <si>
    <t>S-213-2020</t>
  </si>
  <si>
    <t>2020-264</t>
  </si>
  <si>
    <t>N-432-2020</t>
  </si>
  <si>
    <t>079</t>
  </si>
  <si>
    <t>20-05-01A-0002</t>
  </si>
  <si>
    <t>SVP 02-2020</t>
  </si>
  <si>
    <t>20-06-0007</t>
  </si>
  <si>
    <t>RFQ No. 2020-SVP-31 (Reposting)</t>
  </si>
  <si>
    <t>1000032318</t>
  </si>
  <si>
    <t>2020-0003</t>
  </si>
  <si>
    <t>RFQ 12-2020</t>
  </si>
  <si>
    <t>20GHC0004</t>
  </si>
  <si>
    <t>2020-C8-06</t>
  </si>
  <si>
    <t>016-MUN-INFRA-20</t>
  </si>
  <si>
    <t>20-06-0065</t>
  </si>
  <si>
    <t>PR-2007-721</t>
  </si>
  <si>
    <t>20CF0136</t>
  </si>
  <si>
    <t>AdaoayNHS-Abucot</t>
  </si>
  <si>
    <t>20gso_440</t>
  </si>
  <si>
    <t>20-06-0302</t>
  </si>
  <si>
    <t>2020-07-381</t>
  </si>
  <si>
    <t>2020-06-0069</t>
  </si>
  <si>
    <t>20-0055</t>
  </si>
  <si>
    <t>2020-C8-07</t>
  </si>
  <si>
    <t>20-06-0056</t>
  </si>
  <si>
    <t>2020-471</t>
  </si>
  <si>
    <t>PG-RFQ-2020-10</t>
  </si>
  <si>
    <t>S-214-2020</t>
  </si>
  <si>
    <t>2020-SG-020</t>
  </si>
  <si>
    <t>20-06-0067</t>
  </si>
  <si>
    <t>20-06-0055</t>
  </si>
  <si>
    <t>N-426-2020</t>
  </si>
  <si>
    <t>STC-GOOD- NO. 2020-0045</t>
  </si>
  <si>
    <t>2020-007-009</t>
  </si>
  <si>
    <t>017-MUN-INFRA-20</t>
  </si>
  <si>
    <t>RFQ 2020-07-006</t>
  </si>
  <si>
    <t>CMO(PSD)-20-007(NP/SV)</t>
  </si>
  <si>
    <t>109878-20-04</t>
  </si>
  <si>
    <t>101-20-06-471</t>
  </si>
  <si>
    <t>s-12-2020</t>
  </si>
  <si>
    <t>2020-126</t>
  </si>
  <si>
    <t>018-MUN-INFRA-20</t>
  </si>
  <si>
    <t>2020-401</t>
  </si>
  <si>
    <t>NCIP V-07022020A</t>
  </si>
  <si>
    <t>2020-07-016</t>
  </si>
  <si>
    <t>2020-442</t>
  </si>
  <si>
    <t>2020-0176</t>
  </si>
  <si>
    <t>N-438-2020</t>
  </si>
  <si>
    <t>GEPS(PARAISO)2020-07-001</t>
  </si>
  <si>
    <t>PHilMech RCEF 20-06-06</t>
  </si>
  <si>
    <t>2020-160-I</t>
  </si>
  <si>
    <t>RFQ 2020-0280</t>
  </si>
  <si>
    <t>27853-001</t>
  </si>
  <si>
    <t>RSPQ NO. 2020-06-039</t>
  </si>
  <si>
    <t>PR NO. 0568 S.2020</t>
  </si>
  <si>
    <t>AREA V- 2020- SVP-030</t>
  </si>
  <si>
    <t>PHilMech RCEF 20-06-05</t>
  </si>
  <si>
    <t>100033384</t>
  </si>
  <si>
    <t>2020_GOODS_015</t>
  </si>
  <si>
    <t>S-219-2020</t>
  </si>
  <si>
    <t>ITB-DAY CARE CENTER II-20-07-001</t>
  </si>
  <si>
    <t>109878-20-05</t>
  </si>
  <si>
    <t>2020-053</t>
  </si>
  <si>
    <t>2020-376</t>
  </si>
  <si>
    <t>BS-002-2020</t>
  </si>
  <si>
    <t>2020-07-036</t>
  </si>
  <si>
    <t>20CF0138</t>
  </si>
  <si>
    <t>20FE0143</t>
  </si>
  <si>
    <t>20CSCG002</t>
  </si>
  <si>
    <t>SF-20-11</t>
  </si>
  <si>
    <t>2020-006-2</t>
  </si>
  <si>
    <t>LGU LAUREL 20-07-002</t>
  </si>
  <si>
    <t>Imelda 2020-1</t>
  </si>
  <si>
    <t>021-MUN-INFRA-20</t>
  </si>
  <si>
    <t>CHO; 2020-5-1300; TF- MICROSCOPE (DENGUE)</t>
  </si>
  <si>
    <t>2020-210</t>
  </si>
  <si>
    <t>106-20</t>
  </si>
  <si>
    <t>S-06-2020</t>
  </si>
  <si>
    <t>Goods-2020-003</t>
  </si>
  <si>
    <t>20CSCG0001</t>
  </si>
  <si>
    <t>N-437-2020</t>
  </si>
  <si>
    <t>109878-20-06A</t>
  </si>
  <si>
    <t>FRT-20-0732-B</t>
  </si>
  <si>
    <t>20-172</t>
  </si>
  <si>
    <t>20-020</t>
  </si>
  <si>
    <t>019-MUN-INFRA-20</t>
  </si>
  <si>
    <t>Grants-20-06-39</t>
  </si>
  <si>
    <t>2020-07-Cantuod</t>
  </si>
  <si>
    <t>2020-07-2039</t>
  </si>
  <si>
    <t>2020-120</t>
  </si>
  <si>
    <t>20CF0139</t>
  </si>
  <si>
    <t>2020-00-010</t>
  </si>
  <si>
    <t>2020-06-045-RFQ</t>
  </si>
  <si>
    <t>S-186-2020</t>
  </si>
  <si>
    <t>20-07-007</t>
  </si>
  <si>
    <t>2020-345</t>
  </si>
  <si>
    <t>020-MUN-INFRA-20</t>
  </si>
  <si>
    <t>PR 136-2020</t>
  </si>
  <si>
    <t>20-173</t>
  </si>
  <si>
    <t>2019was</t>
  </si>
  <si>
    <t>20CF0135</t>
  </si>
  <si>
    <t>PROCUREMENT OF 2020 QUADRIVALENT INFLUENZA VACCINE</t>
  </si>
  <si>
    <t>20BC0179 re-adv.</t>
  </si>
  <si>
    <t>502039000-07-20-01</t>
  </si>
  <si>
    <t>s-32-2020</t>
  </si>
  <si>
    <t>20FE0138</t>
  </si>
  <si>
    <t>2020-0175</t>
  </si>
  <si>
    <t>2020-0177-PR2020-0466</t>
  </si>
  <si>
    <t>2020-07-336-08</t>
  </si>
  <si>
    <t>RFQ 2020-06-206</t>
  </si>
  <si>
    <t>20JA0087</t>
  </si>
  <si>
    <t>PR-FAS01-20-07-00048</t>
  </si>
  <si>
    <t>20-07-0001</t>
  </si>
  <si>
    <t>BCS-2020-0152</t>
  </si>
  <si>
    <t>RFQ2020-07-04</t>
  </si>
  <si>
    <t>2020-0095</t>
  </si>
  <si>
    <t>Grants-20-06-38</t>
  </si>
  <si>
    <t>PR# 20-07-0672</t>
  </si>
  <si>
    <t>ITB-INNER ROAD-20-07-002</t>
  </si>
  <si>
    <t>CN-2020-05-195</t>
  </si>
  <si>
    <t>PR NO. 0569 S.2020</t>
  </si>
  <si>
    <t>ITB-GS-20200311-01</t>
  </si>
  <si>
    <t>20GCG0001</t>
  </si>
  <si>
    <t>022-MUN-INFRA-20</t>
  </si>
  <si>
    <t>2020-245</t>
  </si>
  <si>
    <t>2020-07-061RFQ</t>
  </si>
  <si>
    <t>2020-06-1013</t>
  </si>
  <si>
    <t>100(01)20-07-395(O)</t>
  </si>
  <si>
    <t>024-MUN-INFRA-20</t>
  </si>
  <si>
    <t>109878-20-06B</t>
  </si>
  <si>
    <t>AREA V- 2020- SVP-031</t>
  </si>
  <si>
    <t>20-021</t>
  </si>
  <si>
    <t>SV-0761-2020</t>
  </si>
  <si>
    <t>Grants-20-06-49</t>
  </si>
  <si>
    <t>CA-20-07-51</t>
  </si>
  <si>
    <t>RFQ2020-27</t>
  </si>
  <si>
    <t>SV-0766-2020</t>
  </si>
  <si>
    <t>CMO-ALTF-20-003(NP/SV)</t>
  </si>
  <si>
    <t>023-MUN-INFRA-20</t>
  </si>
  <si>
    <t>AMP-014-20 (SVP)</t>
  </si>
  <si>
    <t>6-20-07</t>
  </si>
  <si>
    <t>s-09-2020</t>
  </si>
  <si>
    <t>109878-20-07</t>
  </si>
  <si>
    <t>2020-039I</t>
  </si>
  <si>
    <t>20GDF0019</t>
  </si>
  <si>
    <t>FRT-20-0733-B</t>
  </si>
  <si>
    <t>RFQ-7-2-2020</t>
  </si>
  <si>
    <t>2020-477</t>
  </si>
  <si>
    <t>RSQ20-07-062</t>
  </si>
  <si>
    <t>107-20</t>
  </si>
  <si>
    <t>CW20-04</t>
  </si>
  <si>
    <t>2020-18</t>
  </si>
  <si>
    <t>20C00051</t>
  </si>
  <si>
    <t>2020-007-008</t>
  </si>
  <si>
    <t>LSPUSinC-2020-024A</t>
  </si>
  <si>
    <t>NP346-ITSUPPLIES-MO</t>
  </si>
  <si>
    <t>RFQ NO. EMB-S-ERLSD-ELSS THERMOMETER 2020-0163</t>
  </si>
  <si>
    <t>GEPS(PARAISO)2020-07-002</t>
  </si>
  <si>
    <t>CN-2020-03-197</t>
  </si>
  <si>
    <t>025-MUN-INFRA-20</t>
  </si>
  <si>
    <t>20-07-278</t>
  </si>
  <si>
    <t>2020-472</t>
  </si>
  <si>
    <t>Infra EDF 10-2020</t>
  </si>
  <si>
    <t>20GAE0009: Supply and Delivery of Laboratory Equip</t>
  </si>
  <si>
    <t>OGDS 07-2-20</t>
  </si>
  <si>
    <t>SV-0767-2020</t>
  </si>
  <si>
    <t>20JA0088</t>
  </si>
  <si>
    <t>PR# 20-06-126</t>
  </si>
  <si>
    <t>L-16-2020</t>
  </si>
  <si>
    <t>20C00050</t>
  </si>
  <si>
    <t>2020-07-077</t>
  </si>
  <si>
    <t>2020-62</t>
  </si>
  <si>
    <t>108-20</t>
  </si>
  <si>
    <t>2020-122</t>
  </si>
  <si>
    <t>20-023</t>
  </si>
  <si>
    <t>RFQ2020-07-05</t>
  </si>
  <si>
    <t>2020-G-090</t>
  </si>
  <si>
    <t>28-2020-03</t>
  </si>
  <si>
    <t>ITB-2020-07-03 bayambang</t>
  </si>
  <si>
    <t>SDH-20-0420-NP(SV)</t>
  </si>
  <si>
    <t>AMP-022-2020</t>
  </si>
  <si>
    <t>PR# 20-06-147</t>
  </si>
  <si>
    <t>DGS PR No. 1000032962</t>
  </si>
  <si>
    <t>RFQ APRIL 2020-05</t>
  </si>
  <si>
    <t>072120-05</t>
  </si>
  <si>
    <t>20-004-I</t>
  </si>
  <si>
    <t>02 July 2020</t>
  </si>
  <si>
    <t>026-BAC-02-MEO-20</t>
  </si>
  <si>
    <t>38-2020-02</t>
  </si>
  <si>
    <t>7-20-08</t>
  </si>
  <si>
    <t>20-022</t>
  </si>
  <si>
    <t>PRRI-2020-034</t>
  </si>
  <si>
    <t>San Joaquin-Goods-2020-03</t>
  </si>
  <si>
    <t>2020SINEGSHS03-26</t>
  </si>
  <si>
    <t>DARFO2.CVRC.115.REC.2020-06-823.00</t>
  </si>
  <si>
    <t>bl4-2020-004</t>
  </si>
  <si>
    <t>20JA0090</t>
  </si>
  <si>
    <t>595</t>
  </si>
  <si>
    <t>20-024</t>
  </si>
  <si>
    <t>027-BAC-01-SBO-20</t>
  </si>
  <si>
    <t>2020-100</t>
  </si>
  <si>
    <t>2020-06-836-SBO</t>
  </si>
  <si>
    <t>SKER-2020-06-001</t>
  </si>
  <si>
    <t>20JA0089</t>
  </si>
  <si>
    <t>L-18-2020</t>
  </si>
  <si>
    <t>100-20-06-751</t>
  </si>
  <si>
    <t>20-Goods-2020</t>
  </si>
  <si>
    <t>072120-03</t>
  </si>
  <si>
    <t>BCS-2020-0153</t>
  </si>
  <si>
    <t>20GAF0030SVP</t>
  </si>
  <si>
    <t>2020-G-094</t>
  </si>
  <si>
    <t>AMP-RFQ-2020-101</t>
  </si>
  <si>
    <t>PR-2020-07-009</t>
  </si>
  <si>
    <t>PR# 20-06-050</t>
  </si>
  <si>
    <t>SKER-2020-06-002</t>
  </si>
  <si>
    <t>593</t>
  </si>
  <si>
    <t>001-07-2020(BRGY.POB.ZONE V, VILLASIS,PANGASINAN)</t>
  </si>
  <si>
    <t>300-2020-Infr-015</t>
  </si>
  <si>
    <t>07022020-1</t>
  </si>
  <si>
    <t>029-BAC-03-MEO-20</t>
  </si>
  <si>
    <t>20JA0091</t>
  </si>
  <si>
    <t>2020-6-25-325</t>
  </si>
  <si>
    <t>DP-08</t>
  </si>
  <si>
    <t>s-05-2020</t>
  </si>
  <si>
    <t>20GMC0118</t>
  </si>
  <si>
    <t>072120-04</t>
  </si>
  <si>
    <t>CA-20-07-52</t>
  </si>
  <si>
    <t>L-19-2020</t>
  </si>
  <si>
    <t>DARFO2.CVRC.115.REC.2020-06-801.00</t>
  </si>
  <si>
    <t>L-17-2020</t>
  </si>
  <si>
    <t>028-BAC-02-MMO-20</t>
  </si>
  <si>
    <t>I.T.B-2020-02</t>
  </si>
  <si>
    <t>NCIP V-07022020B</t>
  </si>
  <si>
    <t>2020-123</t>
  </si>
  <si>
    <t>BAC 2020-26</t>
  </si>
  <si>
    <t>20-176</t>
  </si>
  <si>
    <t>CW-300-2020</t>
  </si>
  <si>
    <t>bl4-2020-005</t>
  </si>
  <si>
    <t>DP-09</t>
  </si>
  <si>
    <t>2020-06-1015</t>
  </si>
  <si>
    <t>BAC 2020-27</t>
  </si>
  <si>
    <t>2020-06-173</t>
  </si>
  <si>
    <t>230-07-026</t>
  </si>
  <si>
    <t>20J00204</t>
  </si>
  <si>
    <t>s-18-2020</t>
  </si>
  <si>
    <t>20J00205</t>
  </si>
  <si>
    <t>GOODS-2020-05</t>
  </si>
  <si>
    <t>NP-SVP-315-2020</t>
  </si>
  <si>
    <t>20-177</t>
  </si>
  <si>
    <t>PR. NO. 2020-07-000002</t>
  </si>
  <si>
    <t>20-07-89</t>
  </si>
  <si>
    <t>100200600917</t>
  </si>
  <si>
    <t>20-04-50</t>
  </si>
  <si>
    <t>20GMC0119</t>
  </si>
  <si>
    <t>597</t>
  </si>
  <si>
    <t>20GAF0031SVP</t>
  </si>
  <si>
    <t>20CF0140</t>
  </si>
  <si>
    <t>2020-22</t>
  </si>
  <si>
    <t>BAC 2020-20</t>
  </si>
  <si>
    <t>OMSC RFQ 20-028</t>
  </si>
  <si>
    <t>DP-10</t>
  </si>
  <si>
    <t>CNIMO-0703-2020</t>
  </si>
  <si>
    <t>PR. NO. 2019060707</t>
  </si>
  <si>
    <t>NP-SVP-319-2020</t>
  </si>
  <si>
    <t>2020-06-025</t>
  </si>
  <si>
    <t>20J00207</t>
  </si>
  <si>
    <t>2020-07-0021</t>
  </si>
  <si>
    <t>GEPS-20-0004</t>
  </si>
  <si>
    <t>PR. NO. 2020060703</t>
  </si>
  <si>
    <t>NP-SVP-317-2020</t>
  </si>
  <si>
    <t>2020-235</t>
  </si>
  <si>
    <t>2020-154-I</t>
  </si>
  <si>
    <t>2020-90</t>
  </si>
  <si>
    <t>s-11-2020</t>
  </si>
  <si>
    <t>PR. NO. 2020060706</t>
  </si>
  <si>
    <t>RFQ NO. EMB-S-ERLSD-ELSS LABORATORY STANDARDS 2020</t>
  </si>
  <si>
    <t>RFQ 2020-245</t>
  </si>
  <si>
    <t>5020301000-07-20-01</t>
  </si>
  <si>
    <t>BAC 2020-23</t>
  </si>
  <si>
    <t>ITB - 01 JULY 2020</t>
  </si>
  <si>
    <t>008-07-2020</t>
  </si>
  <si>
    <t>20GMC0120</t>
  </si>
  <si>
    <t>NP-SVP-318-2020</t>
  </si>
  <si>
    <t>S-13-2020</t>
  </si>
  <si>
    <t>PR. NO. 2020060705</t>
  </si>
  <si>
    <t>goods-2020-001</t>
  </si>
  <si>
    <t>2020-91</t>
  </si>
  <si>
    <t>RFQ 109-06-2020</t>
  </si>
  <si>
    <t>2020-155-I</t>
  </si>
  <si>
    <t>2020-07-0022</t>
  </si>
  <si>
    <t>20J00209</t>
  </si>
  <si>
    <t>GOODS-2020-06</t>
  </si>
  <si>
    <t>BAC 2020-21</t>
  </si>
  <si>
    <t>AMP-RFQ-2020-102</t>
  </si>
  <si>
    <t>2020-234</t>
  </si>
  <si>
    <t>20-07-22</t>
  </si>
  <si>
    <t>PR. NO. 2020060704</t>
  </si>
  <si>
    <t>2020-06-1096</t>
  </si>
  <si>
    <t>lgumambu_g_june_2020_011</t>
  </si>
  <si>
    <t>DTI PB-20-012</t>
  </si>
  <si>
    <t>GOODS #2020-329</t>
  </si>
  <si>
    <t>20GMC0121</t>
  </si>
  <si>
    <t>SUC 2020-07-001</t>
  </si>
  <si>
    <t>20GAF0032SVP</t>
  </si>
  <si>
    <t>20J00206</t>
  </si>
  <si>
    <t>20J00212</t>
  </si>
  <si>
    <t>NP-SVP-316-2020</t>
  </si>
  <si>
    <t>RFQ2020-07-06</t>
  </si>
  <si>
    <t>DP-11</t>
  </si>
  <si>
    <t>DA8-Goods-2020-43 (PR No. NLP 20-05-14-0249)</t>
  </si>
  <si>
    <t>20-07-21</t>
  </si>
  <si>
    <t>ITB-2020-001</t>
  </si>
  <si>
    <t>20-07-0067</t>
  </si>
  <si>
    <t>RFQ 123-06-20</t>
  </si>
  <si>
    <t>s-17-2020</t>
  </si>
  <si>
    <t>2020-77</t>
  </si>
  <si>
    <t>20J00211</t>
  </si>
  <si>
    <t>2020-C8-08</t>
  </si>
  <si>
    <t>NP-2020-018</t>
  </si>
  <si>
    <t>PR. NO. 2020060702</t>
  </si>
  <si>
    <t>202006027</t>
  </si>
  <si>
    <t>20-02-0058</t>
  </si>
  <si>
    <t>G-2020-07-0321</t>
  </si>
  <si>
    <t>20-07-0069</t>
  </si>
  <si>
    <t>100(01)20-07-374(A)</t>
  </si>
  <si>
    <t>RFQ-PR NO. 2020-06-072</t>
  </si>
  <si>
    <t>NP-SVP-320-2020</t>
  </si>
  <si>
    <t>20CF0133</t>
  </si>
  <si>
    <t>ppn-101-2020</t>
  </si>
  <si>
    <t>DPFPURCH2020-057</t>
  </si>
  <si>
    <t>2020-92</t>
  </si>
  <si>
    <t>PR 2020-04-057</t>
  </si>
  <si>
    <t>SEF-G-030-2020</t>
  </si>
  <si>
    <t>PB 2020-07-001</t>
  </si>
  <si>
    <t>20-07-23</t>
  </si>
  <si>
    <t>NVQSD 2020-06-110</t>
  </si>
  <si>
    <t>ITB 2020 - 083</t>
  </si>
  <si>
    <t>DVO-2020-06-025</t>
  </si>
  <si>
    <t>2020-101</t>
  </si>
  <si>
    <t>2020-93</t>
  </si>
  <si>
    <t>20-05-1394</t>
  </si>
  <si>
    <t>20J00213</t>
  </si>
  <si>
    <t>20-07-0061</t>
  </si>
  <si>
    <t>20-07-0055</t>
  </si>
  <si>
    <t>2020-06-0201</t>
  </si>
  <si>
    <t>20-OS-003</t>
  </si>
  <si>
    <t>20GAF0033SVP</t>
  </si>
  <si>
    <t>116-2020</t>
  </si>
  <si>
    <t>20-07-0062</t>
  </si>
  <si>
    <t>300-2001-004-TF</t>
  </si>
  <si>
    <t>lgu-es-20-07-149</t>
  </si>
  <si>
    <t>NP-06-35-20</t>
  </si>
  <si>
    <t>RFQ 122-06-200</t>
  </si>
  <si>
    <t>20-07-SO113</t>
  </si>
  <si>
    <t>QNV-012-2020</t>
  </si>
  <si>
    <t>2020-06-0012</t>
  </si>
  <si>
    <t>BAC-2020-653</t>
  </si>
  <si>
    <t>2020-78</t>
  </si>
  <si>
    <t>1606,1607,1608  &amp; 1609</t>
  </si>
  <si>
    <t>20-06-0280</t>
  </si>
  <si>
    <t>20-07-0051</t>
  </si>
  <si>
    <t>5020305000-07-20-01</t>
  </si>
  <si>
    <t>101-2020-06-185</t>
  </si>
  <si>
    <t>20-07-87</t>
  </si>
  <si>
    <t>CN-2020-03-019</t>
  </si>
  <si>
    <t>07-20-001</t>
  </si>
  <si>
    <t>PENROMISOCC-559</t>
  </si>
  <si>
    <t>RFQ-7-01</t>
  </si>
  <si>
    <t>CGT- Goods- 2020- 00112</t>
  </si>
  <si>
    <t>2020-C8-10</t>
  </si>
  <si>
    <t>41-2020-02</t>
  </si>
  <si>
    <t>2020-156-I</t>
  </si>
  <si>
    <t>2020-066</t>
  </si>
  <si>
    <t>CN-2020-02-103</t>
  </si>
  <si>
    <t>RFQ 052-03-2020</t>
  </si>
  <si>
    <t>112</t>
  </si>
  <si>
    <t>2020-06-1019</t>
  </si>
  <si>
    <t>5020308000-07-20-01</t>
  </si>
  <si>
    <t>2020-NSC-002</t>
  </si>
  <si>
    <t>2020-C8-11</t>
  </si>
  <si>
    <t>20-07-0048</t>
  </si>
  <si>
    <t>NP-06-36-20</t>
  </si>
  <si>
    <t>20-06-0046</t>
  </si>
  <si>
    <t>2020-06-041stcwo</t>
  </si>
  <si>
    <t>DPWH-SK2DEO-20MH0109</t>
  </si>
  <si>
    <t>PR 2020-07-0239</t>
  </si>
  <si>
    <t>20-06-0319</t>
  </si>
  <si>
    <t>RFQ-GS-20200622-05</t>
  </si>
  <si>
    <t>20JC0082</t>
  </si>
  <si>
    <t>RO6-2020-17</t>
  </si>
  <si>
    <t>602</t>
  </si>
  <si>
    <t>20-06-465</t>
  </si>
  <si>
    <t>29-GOODS-CORN-2020</t>
  </si>
  <si>
    <t>117-2020</t>
  </si>
  <si>
    <t>2020-C8-13</t>
  </si>
  <si>
    <t>2020-07-037</t>
  </si>
  <si>
    <t>599</t>
  </si>
  <si>
    <t>20-07-0045</t>
  </si>
  <si>
    <t>CARC- 2020-GS-02</t>
  </si>
  <si>
    <t>20JC0083</t>
  </si>
  <si>
    <t>2020-C8-12</t>
  </si>
  <si>
    <t>28-GOODS-HVCDP-2020</t>
  </si>
  <si>
    <t>2020-AMP-065</t>
  </si>
  <si>
    <t>2020-07-06 ZAMBOANGA</t>
  </si>
  <si>
    <t>20-07-0050</t>
  </si>
  <si>
    <t>2020-C8-09</t>
  </si>
  <si>
    <t>SN No 2020-003</t>
  </si>
  <si>
    <t>20-07-0059</t>
  </si>
  <si>
    <t>RO6-2020-21</t>
  </si>
  <si>
    <t>20NMSC24-G</t>
  </si>
  <si>
    <t>20-07-489</t>
  </si>
  <si>
    <t>C-036-2020</t>
  </si>
  <si>
    <t>gsis/shpg-233-20</t>
  </si>
  <si>
    <t>20-07-129</t>
  </si>
  <si>
    <t>20-07-0053</t>
  </si>
  <si>
    <t>SEF-G-029-2020</t>
  </si>
  <si>
    <t>RFQ-2020-023</t>
  </si>
  <si>
    <t>PR072000642</t>
  </si>
  <si>
    <t>RFQ-GS-20200622-03</t>
  </si>
  <si>
    <t>LGU-100-2020-07-512</t>
  </si>
  <si>
    <t>20-06-1399</t>
  </si>
  <si>
    <t>20FB0158</t>
  </si>
  <si>
    <t>RFQ NO. EMB-S-ERLSD-ESRS LABORATORY ITEMS 2020-050</t>
  </si>
  <si>
    <t>2020-004J</t>
  </si>
  <si>
    <t>20FB0157</t>
  </si>
  <si>
    <t>20-07-317</t>
  </si>
  <si>
    <t>612</t>
  </si>
  <si>
    <t>2020-068</t>
  </si>
  <si>
    <t>PR No. 20-06-539</t>
  </si>
  <si>
    <t>608</t>
  </si>
  <si>
    <t>LGULILA-06-2020</t>
  </si>
  <si>
    <t>2020-06-1020</t>
  </si>
  <si>
    <t>2020-067</t>
  </si>
  <si>
    <t>PR 2020-01-2638</t>
  </si>
  <si>
    <t>ITB #038-14JULY2020-NFA 413-170 and Others</t>
  </si>
  <si>
    <t>AMP-015-20</t>
  </si>
  <si>
    <t>20PD0084</t>
  </si>
  <si>
    <t>RFQ-STF-61</t>
  </si>
  <si>
    <t>PR No. 20-02-122</t>
  </si>
  <si>
    <t>RFQ-GS-20200625-02</t>
  </si>
  <si>
    <t>RFQ-STF-59</t>
  </si>
  <si>
    <t>IB-2020-078</t>
  </si>
  <si>
    <t>20PD0075</t>
  </si>
  <si>
    <t>2LSSM2020A-284</t>
  </si>
  <si>
    <t>RFQ-STF-62</t>
  </si>
  <si>
    <t>PB-INFRA-202-004</t>
  </si>
  <si>
    <t>2020-AMP-066</t>
  </si>
  <si>
    <t>2LSSM2020A-283</t>
  </si>
  <si>
    <t>PCMT 2020 - 057</t>
  </si>
  <si>
    <t>G-2020-391</t>
  </si>
  <si>
    <t>2LSSM2020A-290</t>
  </si>
  <si>
    <t>2LSSM2020A-289</t>
  </si>
  <si>
    <t>2LSSM2020A-288</t>
  </si>
  <si>
    <t>GOODS-2020-135</t>
  </si>
  <si>
    <t>100-20-01-046</t>
  </si>
  <si>
    <t>07-20-012</t>
  </si>
  <si>
    <t>PCMT 2020 - 058</t>
  </si>
  <si>
    <t>20PD0094</t>
  </si>
  <si>
    <t>2020-07-0226</t>
  </si>
  <si>
    <t>2LSSM2020A-287</t>
  </si>
  <si>
    <t>GOODS-2020-136</t>
  </si>
  <si>
    <t>2LSSM2020A-285</t>
  </si>
  <si>
    <t>RFQ-GS-20200623-04</t>
  </si>
  <si>
    <t>607</t>
  </si>
  <si>
    <t>2LSSM2020B-297</t>
  </si>
  <si>
    <t>I-2020-012</t>
  </si>
  <si>
    <t>Project ID No. INFR-001-20</t>
  </si>
  <si>
    <t>2LSSM2020B-296</t>
  </si>
  <si>
    <t>20NE0093</t>
  </si>
  <si>
    <t>Barangay Marangog 2020-06-02</t>
  </si>
  <si>
    <t>2006183A</t>
  </si>
  <si>
    <t>ICWS-16-001(CB)</t>
  </si>
  <si>
    <t>2020-I-092</t>
  </si>
  <si>
    <t>CID NO. 20LE0066</t>
  </si>
  <si>
    <t>CID No. 20LE0068</t>
  </si>
  <si>
    <t>cb-20-06-b-01</t>
  </si>
  <si>
    <t>2LSSM2020B-295</t>
  </si>
  <si>
    <t>RFQ NO. EMB-ERLSD-SVP-NIC MA-3000 PM 2020-0515</t>
  </si>
  <si>
    <t>RFQ-GS-20200626-02</t>
  </si>
  <si>
    <t>2020-infra-002</t>
  </si>
  <si>
    <t>JO2020-06-003</t>
  </si>
  <si>
    <t>2020-06-021</t>
  </si>
  <si>
    <t>G-2020-393</t>
  </si>
  <si>
    <t>cb-20-06-c-01</t>
  </si>
  <si>
    <t>PB2020-07-006 GAA</t>
  </si>
  <si>
    <t>BFAR IV-A.PR20-0359</t>
  </si>
  <si>
    <t>2020-07-098</t>
  </si>
  <si>
    <t>I-2020-016</t>
  </si>
  <si>
    <t>2020-07-097</t>
  </si>
  <si>
    <t>GS 2020-006-018</t>
  </si>
  <si>
    <t>MG-PLM20-137</t>
  </si>
  <si>
    <t>MG-PHP20-024</t>
  </si>
  <si>
    <t>ITB No. 2020-016</t>
  </si>
  <si>
    <t>2LSSM2020A-286</t>
  </si>
  <si>
    <t>2020-04-06-001</t>
  </si>
  <si>
    <t>MG-PLM20-136</t>
  </si>
  <si>
    <t>20CSDB01</t>
  </si>
  <si>
    <t>CW 2020-007-022</t>
  </si>
  <si>
    <t>ITB 02-2020</t>
  </si>
  <si>
    <t>MG-PLM20-135</t>
  </si>
  <si>
    <t>MG-PAT20-037</t>
  </si>
  <si>
    <t>2020-04-06-001-SHS</t>
  </si>
  <si>
    <t>ITB No. 2020-017</t>
  </si>
  <si>
    <t>RVII-2020-07-001</t>
  </si>
  <si>
    <t>HO-PAW20-008</t>
  </si>
  <si>
    <t>MG-PHP20-018</t>
  </si>
  <si>
    <t>2020-GD-06-07</t>
  </si>
  <si>
    <t>MG-PLM20-101</t>
  </si>
  <si>
    <t>gabuyan07022020</t>
  </si>
  <si>
    <t>2020-BGP1</t>
  </si>
  <si>
    <t>P.R. No. 2020-07-0108</t>
  </si>
  <si>
    <t>MG-PAT20-032</t>
  </si>
  <si>
    <t>Food Supplies</t>
  </si>
  <si>
    <t>G-2020-392</t>
  </si>
  <si>
    <t>San Francisco 2020-001</t>
  </si>
  <si>
    <t>RFQ#039-02-20</t>
  </si>
  <si>
    <t>2020-L702-1</t>
  </si>
  <si>
    <t>gsis/npsvp-234-20</t>
  </si>
  <si>
    <t>2020-07-001 SHS</t>
  </si>
  <si>
    <t>2LSSM2020A-293</t>
  </si>
  <si>
    <t>SSU-20-07-03</t>
  </si>
  <si>
    <t>PUBLIC BIDDING PR NO. 119-2020</t>
  </si>
  <si>
    <t>2020-702-2</t>
  </si>
  <si>
    <t>DR - 2020 - 06 - 023</t>
  </si>
  <si>
    <t>SSU-20-07-02</t>
  </si>
  <si>
    <t>2LSSM2020A-292</t>
  </si>
  <si>
    <t>CID No. 20LE0124</t>
  </si>
  <si>
    <t>SPC PR No. 1000033015</t>
  </si>
  <si>
    <t>2020-702-1</t>
  </si>
  <si>
    <t>ND - 2020 - 06 - 0003</t>
  </si>
  <si>
    <t>RFQ#035-02-20</t>
  </si>
  <si>
    <t>20CSDB02</t>
  </si>
  <si>
    <t>2LSSM2020A-291</t>
  </si>
  <si>
    <t>CID No. 20LE0125</t>
  </si>
  <si>
    <t>MH-GOODS-SWM-GARBAGE-TRUCK-857</t>
  </si>
  <si>
    <t>0702202002</t>
  </si>
  <si>
    <t>PR-2020-07-02-001</t>
  </si>
  <si>
    <t>RFQ#036-02-20</t>
  </si>
  <si>
    <t>RFQ NO. EMB-S-ERLSD-ELSS LABORATORY CHEMICALS 2020</t>
  </si>
  <si>
    <t>ITB 03-2020</t>
  </si>
  <si>
    <t>PR-2020-07-002</t>
  </si>
  <si>
    <t>RFQ#034-02-20</t>
  </si>
  <si>
    <t>202007028</t>
  </si>
  <si>
    <t>07-03-2020-03</t>
  </si>
  <si>
    <t>EMBCAR-2020-7-34</t>
  </si>
  <si>
    <t>202007027</t>
  </si>
  <si>
    <t>RFQ#040-02-20</t>
  </si>
  <si>
    <t>DOST IX-20-003B</t>
  </si>
  <si>
    <t>RFQ 2020-041</t>
  </si>
  <si>
    <t>JO2020-06-002</t>
  </si>
  <si>
    <t>PR# 20-05-804</t>
  </si>
  <si>
    <t>2020-G-04</t>
  </si>
  <si>
    <t>MG-PLM20-118</t>
  </si>
  <si>
    <t>NIA10-2020-007</t>
  </si>
  <si>
    <t>RFQ No.055 -2020</t>
  </si>
  <si>
    <t>RFQ No.053 -2020</t>
  </si>
  <si>
    <t>2020-G-02</t>
  </si>
  <si>
    <t>UBC 2020-001</t>
  </si>
  <si>
    <t>RFQ No.054 -2020</t>
  </si>
  <si>
    <t>RFQ NO. 2020-043</t>
  </si>
  <si>
    <t>RFQ No.052 -2020</t>
  </si>
  <si>
    <t>2020-07-0091</t>
  </si>
  <si>
    <t>AMP SVP-S 20-07-0094B</t>
  </si>
  <si>
    <t>2020-07-0090</t>
  </si>
  <si>
    <t>DA3-2020-03-03-21</t>
  </si>
  <si>
    <t>2020-Infra-05</t>
  </si>
  <si>
    <t>2020-Infra-04</t>
  </si>
  <si>
    <t>AMP SVP-D NO: 20-07-0299B</t>
  </si>
  <si>
    <t>RFQ No.060 -2020</t>
  </si>
  <si>
    <t>2020-G-11</t>
  </si>
  <si>
    <t>infra 2020-07-002</t>
  </si>
  <si>
    <t>MZDS-BAC-CW-2020-08</t>
  </si>
  <si>
    <t>2020-G-06</t>
  </si>
  <si>
    <t>RFQ No.056 -2020</t>
  </si>
  <si>
    <t>2020-G-05</t>
  </si>
  <si>
    <t>RFQ NO. 2020-042</t>
  </si>
  <si>
    <t>PVES-2020-07-002</t>
  </si>
  <si>
    <t>RFQ No.047 -2020</t>
  </si>
  <si>
    <t>RFQ No.051 -2020</t>
  </si>
  <si>
    <t>Public Bidding PR no. 126-2020</t>
  </si>
  <si>
    <t>SSU-20-07-05</t>
  </si>
  <si>
    <t>27-GOODS-HVCDP-2020</t>
  </si>
  <si>
    <t>RFQ#019-02-20</t>
  </si>
  <si>
    <t>Concreting of road Mun. compound</t>
  </si>
  <si>
    <t>RFQ 7 - 2020</t>
  </si>
  <si>
    <t>San Francisco 2020-002</t>
  </si>
  <si>
    <t>2020-07-001  REPAIR AND ENHANCEMENT OF HAND WASHIN</t>
  </si>
  <si>
    <t>RFQ#041-02-20</t>
  </si>
  <si>
    <t>2020-071-16-7</t>
  </si>
  <si>
    <t>20-06-0392</t>
  </si>
  <si>
    <t>2020-C8-03</t>
  </si>
  <si>
    <t>6911-02-1059-19 CONTINUING 2019</t>
  </si>
  <si>
    <t>CRCF-2020-07-0243</t>
  </si>
  <si>
    <t>2020-devmh-083</t>
  </si>
  <si>
    <t>Goods-029D-2020</t>
  </si>
  <si>
    <t>DOT-BAC-REI NO. 2020-004</t>
  </si>
  <si>
    <t>2020-06-333 Re-bid</t>
  </si>
  <si>
    <t>20CSA007</t>
  </si>
  <si>
    <t>45</t>
  </si>
  <si>
    <t>0709</t>
  </si>
  <si>
    <t>2020-14</t>
  </si>
  <si>
    <t>20AC0060</t>
  </si>
  <si>
    <t>20CSB004</t>
  </si>
  <si>
    <t>20CSB003</t>
  </si>
  <si>
    <t>20-06-0228</t>
  </si>
  <si>
    <t>20-133</t>
  </si>
  <si>
    <t>20-126</t>
  </si>
  <si>
    <t>20-107</t>
  </si>
  <si>
    <t>20-06-0218</t>
  </si>
  <si>
    <t>20CSB005</t>
  </si>
  <si>
    <t>20-05-0212</t>
  </si>
  <si>
    <t>20-05-0209</t>
  </si>
  <si>
    <t>20-06-0232</t>
  </si>
  <si>
    <t>BGRY-2020-001</t>
  </si>
  <si>
    <t>20-04-0164</t>
  </si>
  <si>
    <t>2006096</t>
  </si>
  <si>
    <t>2020-06-104</t>
  </si>
  <si>
    <t>GEPS-15-2020</t>
  </si>
  <si>
    <t>CSWD-SSVP-RFQ2020-06-003</t>
  </si>
  <si>
    <t>553-2020</t>
  </si>
  <si>
    <t>ITB No. 20 - 26</t>
  </si>
  <si>
    <t>100(01)20-06-388(A)</t>
  </si>
  <si>
    <t>100(01)20-06-389(O)</t>
  </si>
  <si>
    <t>TF-20-06-024(V)</t>
  </si>
  <si>
    <t>100(01)20-06-385(O)</t>
  </si>
  <si>
    <t>IB No. GS-2020 – 058-A</t>
  </si>
  <si>
    <t>100(01)20-06-386(O)</t>
  </si>
  <si>
    <t>100(01)20-06-387(O)</t>
  </si>
  <si>
    <t>100(18)20-06-374(O)</t>
  </si>
  <si>
    <t>100(18)20-04-218(O)</t>
  </si>
  <si>
    <t>100(18)20-03-153(O)</t>
  </si>
  <si>
    <t>IB No. GS-2020 – 084</t>
  </si>
  <si>
    <t>100(18)20-05-291(O)</t>
  </si>
  <si>
    <t>20-134</t>
  </si>
  <si>
    <t>20200638</t>
  </si>
  <si>
    <t>GOODS2020-09</t>
  </si>
  <si>
    <t>2020-06-026</t>
  </si>
  <si>
    <t>2020-03</t>
  </si>
  <si>
    <t>2020-06-279</t>
  </si>
  <si>
    <t>GF-I-41-2020</t>
  </si>
  <si>
    <t>2006092</t>
  </si>
  <si>
    <t>TJPH-2020-0023</t>
  </si>
  <si>
    <t>Brgy 2020 - 002</t>
  </si>
  <si>
    <t>2020-G011</t>
  </si>
  <si>
    <t>PLAWD 2020-06-052</t>
  </si>
  <si>
    <t>20BE0091</t>
  </si>
  <si>
    <t>PLAWD 2020-06-050</t>
  </si>
  <si>
    <t>AMP SVP-S NO: 20-06-0159D</t>
  </si>
  <si>
    <t>PLAWD 2020-06-049</t>
  </si>
  <si>
    <t>GOODS-2-2020-006</t>
  </si>
  <si>
    <t>LGU-Sagay-4751</t>
  </si>
  <si>
    <t>PLAWD 2020-06-051</t>
  </si>
  <si>
    <t>ESP-INFRA-12-2020</t>
  </si>
  <si>
    <t>NHCP-2020-06-104</t>
  </si>
  <si>
    <t>NHCP-2020-06-103</t>
  </si>
  <si>
    <t>G27-2020</t>
  </si>
  <si>
    <t>123456</t>
  </si>
  <si>
    <t>PLAWD 2020-06-047</t>
  </si>
  <si>
    <t>PB-09-2020</t>
  </si>
  <si>
    <t>SVP-2020-06-010</t>
  </si>
  <si>
    <t>20CSA008</t>
  </si>
  <si>
    <t>2020-06-0040</t>
  </si>
  <si>
    <t>PEO-20-0697-B</t>
  </si>
  <si>
    <t>DOT BAC REI No. 2020-006</t>
  </si>
  <si>
    <t>PR No. 1-19</t>
  </si>
  <si>
    <t>PLAWD 2020-06-048</t>
  </si>
  <si>
    <t>CDH-2020-0036, 0060, 0067, HOD-2020-0160, 0165, IP</t>
  </si>
  <si>
    <t>RFQ2020-07-01</t>
  </si>
  <si>
    <t>2020-07-0014</t>
  </si>
  <si>
    <t>INFRA-PNBAC2-2020-11</t>
  </si>
  <si>
    <t>Goods-029B-2020</t>
  </si>
  <si>
    <t>PURCHASE REQUEST NO. 101-2020-07-130</t>
  </si>
  <si>
    <t>CRCF-2020-07-0241</t>
  </si>
  <si>
    <t>2020-02-099</t>
  </si>
  <si>
    <t>100(18)20-06-394(O)</t>
  </si>
  <si>
    <t>2020-07-0013</t>
  </si>
  <si>
    <t>2020-67</t>
  </si>
  <si>
    <t>LGU-Sagay-4752</t>
  </si>
  <si>
    <t>REQUEST FOR QUOTATION -2020-006</t>
  </si>
  <si>
    <t>100(01)20-06-371(A)</t>
  </si>
  <si>
    <t>RFQ2020-07-062</t>
  </si>
  <si>
    <t>PGL 20-081</t>
  </si>
  <si>
    <t>100(01)20-06-370(A)</t>
  </si>
  <si>
    <t>579, 579-A</t>
  </si>
  <si>
    <t>100(01)20-06-369(A)</t>
  </si>
  <si>
    <t>PGL 20-080</t>
  </si>
  <si>
    <t>100(18)20-06-391(O)</t>
  </si>
  <si>
    <t>580</t>
  </si>
  <si>
    <t>GS-PNBAC2-2020-32</t>
  </si>
  <si>
    <t>0015-2020</t>
  </si>
  <si>
    <t>06301974</t>
  </si>
  <si>
    <t>PR 1-20-06-0760 - CTO</t>
  </si>
  <si>
    <t>PR 31-20-06-0728 - DEPED</t>
  </si>
  <si>
    <t>540</t>
  </si>
  <si>
    <t>PEO-2020-0130</t>
  </si>
  <si>
    <t>2006097</t>
  </si>
  <si>
    <t>PGL 20-082</t>
  </si>
  <si>
    <t>588</t>
  </si>
  <si>
    <t>PB-INF-006-2020</t>
  </si>
  <si>
    <t>100-20-06-0634</t>
  </si>
  <si>
    <t>20-06-0086</t>
  </si>
  <si>
    <t>GOODS-2020-PB-024</t>
  </si>
  <si>
    <t>BMC-N-20-0214</t>
  </si>
  <si>
    <t>3163</t>
  </si>
  <si>
    <t>msj-2020-19</t>
  </si>
  <si>
    <t>RFQ-2020-62</t>
  </si>
  <si>
    <t>NIU-071-2020</t>
  </si>
  <si>
    <t>0003</t>
  </si>
  <si>
    <t>PBD 20-067A</t>
  </si>
  <si>
    <t>20200630</t>
  </si>
  <si>
    <t>20-06-178</t>
  </si>
  <si>
    <t>ITB 2020-0016</t>
  </si>
  <si>
    <t>PR# 20-06-0791</t>
  </si>
  <si>
    <t>IB NO. 06-2020- TREATMENT, STORAGE AND DISPOSAL OF</t>
  </si>
  <si>
    <t>MAFAR-07-95-2020</t>
  </si>
  <si>
    <t>2020-06-271</t>
  </si>
  <si>
    <t>100(01)20-06-372(A)</t>
  </si>
  <si>
    <t>RBAC12-2020-SVP-F-052</t>
  </si>
  <si>
    <t>SUPPLY AND DELIVERY OF FURNITURES &amp; FIXTURES (OFFI</t>
  </si>
  <si>
    <t>20-03-037</t>
  </si>
  <si>
    <t>ADH-20-0302-B</t>
  </si>
  <si>
    <t>msj-2020-20</t>
  </si>
  <si>
    <t>AMP SVP-D NO: 20-03-0304A</t>
  </si>
  <si>
    <t>PHO-2020-0211</t>
  </si>
  <si>
    <t>VET-2020-0329</t>
  </si>
  <si>
    <t>R13-2020-001</t>
  </si>
  <si>
    <t>GOODS-2020-PB-013</t>
  </si>
  <si>
    <t>20CSBF0003</t>
  </si>
  <si>
    <t>20-05-0082</t>
  </si>
  <si>
    <t>000344</t>
  </si>
  <si>
    <t>PR No. 20061217</t>
  </si>
  <si>
    <t>20-03-38</t>
  </si>
  <si>
    <t>PR No. 20061164</t>
  </si>
  <si>
    <t>PR No. 20061222</t>
  </si>
  <si>
    <t>2020-02-191</t>
  </si>
  <si>
    <t>2020-06-103</t>
  </si>
  <si>
    <t>PR 1-20-05-0602 - SP</t>
  </si>
  <si>
    <t>20-06-0371</t>
  </si>
  <si>
    <t>20-03-0295</t>
  </si>
  <si>
    <t>2020-057</t>
  </si>
  <si>
    <t>20CSBF0002</t>
  </si>
  <si>
    <t>PR No. 20030882</t>
  </si>
  <si>
    <t>DWD 2020-006</t>
  </si>
  <si>
    <t>PR No. 20061256</t>
  </si>
  <si>
    <t>PR No. 20061237</t>
  </si>
  <si>
    <t>20-001</t>
  </si>
  <si>
    <t>20FK0057</t>
  </si>
  <si>
    <t>GOODDS-2020-PB-020</t>
  </si>
  <si>
    <t>PR No. 20061255</t>
  </si>
  <si>
    <t>BFAR IV-A.PR20-0363</t>
  </si>
  <si>
    <t>PR0014-20 CSU</t>
  </si>
  <si>
    <t>2020-06-98</t>
  </si>
  <si>
    <t>GOV-2020-0316</t>
  </si>
  <si>
    <t>PR0004-20 BSSS</t>
  </si>
  <si>
    <t>VGAT-2020-0180</t>
  </si>
  <si>
    <t>PR No. 20061252</t>
  </si>
  <si>
    <t>PR No. 20061251</t>
  </si>
  <si>
    <t>PR No. 20061254</t>
  </si>
  <si>
    <t>06302020A</t>
  </si>
  <si>
    <t>PB-G-2020-003</t>
  </si>
  <si>
    <t>RBAC12-2020-SVP-F-055</t>
  </si>
  <si>
    <t>LGU-Sagay-4755</t>
  </si>
  <si>
    <t>2020-06-100</t>
  </si>
  <si>
    <t>2020-RA-1</t>
  </si>
  <si>
    <t>RBAC12-2020-SVP-F-054</t>
  </si>
  <si>
    <t>2020-056</t>
  </si>
  <si>
    <t>20-05-0084</t>
  </si>
  <si>
    <t>PR No. 20061242</t>
  </si>
  <si>
    <t>GOODS-2020-PB-025</t>
  </si>
  <si>
    <t>DA RFO-1-2019-INFRA-080</t>
  </si>
  <si>
    <t>RFQ 2020-031</t>
  </si>
  <si>
    <t>VET-2020-0328</t>
  </si>
  <si>
    <t>20-06-0088</t>
  </si>
  <si>
    <t>2020 ITB - 030</t>
  </si>
  <si>
    <t>PR0108-20 PEO</t>
  </si>
  <si>
    <t>PR0109-20 PEO</t>
  </si>
  <si>
    <t>PR No. 20061266</t>
  </si>
  <si>
    <t>epslingayen2020-54</t>
  </si>
  <si>
    <t>06302020B</t>
  </si>
  <si>
    <t>PR No. 20061262</t>
  </si>
  <si>
    <t>2020-06-99</t>
  </si>
  <si>
    <t>PR0083-20 DOPHLUPON</t>
  </si>
  <si>
    <t>PR No. 20061265</t>
  </si>
  <si>
    <t>PR0076-20 PAGRO</t>
  </si>
  <si>
    <t>PR No. 1000032422</t>
  </si>
  <si>
    <t>PR No. 20061257</t>
  </si>
  <si>
    <t>2020-06-016</t>
  </si>
  <si>
    <t>PR0078-20 DOPH LUPON</t>
  </si>
  <si>
    <t>DA RFO-1-2019-INFRA-081</t>
  </si>
  <si>
    <t>Re-bidding Supply and Delivery of Tablet Pro for I</t>
  </si>
  <si>
    <t>20DM0069</t>
  </si>
  <si>
    <t>pinya 2020</t>
  </si>
  <si>
    <t>DA RFO-1-2019-INFRA-079</t>
  </si>
  <si>
    <t>PHilMech-RCEF-20-06-01</t>
  </si>
  <si>
    <t>Langcuas-001-20</t>
  </si>
  <si>
    <t>PHilMech-RCEF-20-06-07</t>
  </si>
  <si>
    <t>20DM0070</t>
  </si>
  <si>
    <t>4PS-2020-06-0230</t>
  </si>
  <si>
    <t>4PS-2020-06-0229</t>
  </si>
  <si>
    <t>SOCTECH-2020-06-0228</t>
  </si>
  <si>
    <t>SOCPEN-2020-06-0232</t>
  </si>
  <si>
    <t>PR No. 20061253</t>
  </si>
  <si>
    <t>458</t>
  </si>
  <si>
    <t>301562-06-2020</t>
  </si>
  <si>
    <t>mal 2 2020</t>
  </si>
  <si>
    <t>20-06-0372</t>
  </si>
  <si>
    <t>301562-07-2020</t>
  </si>
  <si>
    <t>mal 5 2020</t>
  </si>
  <si>
    <t>mal 4 2020</t>
  </si>
  <si>
    <t>mal 3 2020</t>
  </si>
  <si>
    <t>mal 01 2020</t>
  </si>
  <si>
    <t>DA7-07-FOD-R-20-2813</t>
  </si>
  <si>
    <t>07-01-2020-05</t>
  </si>
  <si>
    <t>ITB NO. GOP-20-DSWD-2020-06-04</t>
  </si>
  <si>
    <t>07-01-2020-04</t>
  </si>
  <si>
    <t>SMN-2020-003</t>
  </si>
  <si>
    <t>PR No. 20061279</t>
  </si>
  <si>
    <t>07-01-2020-06</t>
  </si>
  <si>
    <t>PR No. 20061271</t>
  </si>
  <si>
    <t>PR No. 20061270</t>
  </si>
  <si>
    <t>PR No. 20061269</t>
  </si>
  <si>
    <t>rfq-2020-3</t>
  </si>
  <si>
    <t>9805</t>
  </si>
  <si>
    <t>rfq-2020-2</t>
  </si>
  <si>
    <t>2020-07-01-001</t>
  </si>
  <si>
    <t>PR-2020-02-04 (2ND BIDDING)</t>
  </si>
  <si>
    <t>Bid No. 20-0285</t>
  </si>
  <si>
    <t>2020-06-10</t>
  </si>
  <si>
    <t>Bid No. 20-0287</t>
  </si>
  <si>
    <t>CLS - 2020 - 06 - 118</t>
  </si>
  <si>
    <t>20201283</t>
  </si>
  <si>
    <t>070120-H01</t>
  </si>
  <si>
    <t>lgumat-2020-0029</t>
  </si>
  <si>
    <t>PR#100-20-06-469</t>
  </si>
  <si>
    <t>rfq-2020-1</t>
  </si>
  <si>
    <t>20-DSWDFO1-01A</t>
  </si>
  <si>
    <t>2020-070101</t>
  </si>
  <si>
    <t>2020-070102</t>
  </si>
  <si>
    <t>RFQ2020-07-03</t>
  </si>
  <si>
    <t>CLS - 2020 -06 -115</t>
  </si>
  <si>
    <t>009</t>
  </si>
  <si>
    <t>2020-07-0302</t>
  </si>
  <si>
    <t>044- LGU-LAOANG-2020</t>
  </si>
  <si>
    <t>LGU-AL-32-2020</t>
  </si>
  <si>
    <t>Bid No. 20-0284</t>
  </si>
  <si>
    <t>TAG-SDS-060-2020</t>
  </si>
  <si>
    <t>Bid No. 20-0286</t>
  </si>
  <si>
    <t>lgu-es-20-06-147</t>
  </si>
  <si>
    <t>lgu-es-20-06-146</t>
  </si>
  <si>
    <t>INFRA-NP-2019-058</t>
  </si>
  <si>
    <t>20-007</t>
  </si>
  <si>
    <t>RFQ 2020-06-0133</t>
  </si>
  <si>
    <t>070120</t>
  </si>
  <si>
    <t>ITB 20-076</t>
  </si>
  <si>
    <t>100-20-06-140</t>
  </si>
  <si>
    <t>Bid No. 20-0288</t>
  </si>
  <si>
    <t>20OI0128</t>
  </si>
  <si>
    <t>100-20-04-185</t>
  </si>
  <si>
    <t>SK DULACAC-2020-07-001</t>
  </si>
  <si>
    <t>2020-06-118</t>
  </si>
  <si>
    <t>BM 2020-GOODS-02</t>
  </si>
  <si>
    <t>2020-070104</t>
  </si>
  <si>
    <t>SVP0022-2020</t>
  </si>
  <si>
    <t>100-20-03-0434</t>
  </si>
  <si>
    <t>070120-R1</t>
  </si>
  <si>
    <t>-07-007-2020</t>
  </si>
  <si>
    <t>RFQ 2020-06-0134</t>
  </si>
  <si>
    <t>2020-31</t>
  </si>
  <si>
    <t>100-20-06-366</t>
  </si>
  <si>
    <t>PR# 100-20-06-473</t>
  </si>
  <si>
    <t>20ME0143</t>
  </si>
  <si>
    <t>20OI0130</t>
  </si>
  <si>
    <t>Mkna-GSO-20-296</t>
  </si>
  <si>
    <t>20OI0129</t>
  </si>
  <si>
    <t>10124</t>
  </si>
  <si>
    <t>apollo_infras2020-07-001</t>
  </si>
  <si>
    <t>PR# 100-20-06-421</t>
  </si>
  <si>
    <t>2020.07.01</t>
  </si>
  <si>
    <t>H01-July-20</t>
  </si>
  <si>
    <t>RFQ 2020-07-0135</t>
  </si>
  <si>
    <t>Bid No. 20-0290</t>
  </si>
  <si>
    <t>PR-2020-02-05 (2ND BIDDING)</t>
  </si>
  <si>
    <t>20ME0145</t>
  </si>
  <si>
    <t>ITB No. 038B-2020 GQ</t>
  </si>
  <si>
    <t>3166</t>
  </si>
  <si>
    <t>ICRFQ07012020A</t>
  </si>
  <si>
    <t>silangan1-FV2020</t>
  </si>
  <si>
    <t>2020-06-001 COVID 19</t>
  </si>
  <si>
    <t>DARFO2.CVRC.115.REC.2020-06-808.00</t>
  </si>
  <si>
    <t>20ME0144-Cluster 4</t>
  </si>
  <si>
    <t>100-20-03-0429</t>
  </si>
  <si>
    <t>Bid No. 20-0289</t>
  </si>
  <si>
    <t>20-06-196</t>
  </si>
  <si>
    <t>PR NO. 20-06-053</t>
  </si>
  <si>
    <t>GOODS-20-19</t>
  </si>
  <si>
    <t>2020-07-1A</t>
  </si>
  <si>
    <t>20-003-G</t>
  </si>
  <si>
    <t>Bac-Pg-001-20</t>
  </si>
  <si>
    <t>2020-05-067</t>
  </si>
  <si>
    <t>20OI0131</t>
  </si>
  <si>
    <t>ITB No. 044-2020 GQ</t>
  </si>
  <si>
    <t>100-20-03-056</t>
  </si>
  <si>
    <t>Mananao202001</t>
  </si>
  <si>
    <t>2020-06-121</t>
  </si>
  <si>
    <t>2020-016</t>
  </si>
  <si>
    <t>RFQ 2020-070</t>
  </si>
  <si>
    <t>1234511</t>
  </si>
  <si>
    <t>2020-06-0134</t>
  </si>
  <si>
    <t>2020-06-003 COVID 19</t>
  </si>
  <si>
    <t>PR NO. 20-06-052</t>
  </si>
  <si>
    <t>BAC-ZDN-No. 2020-009</t>
  </si>
  <si>
    <t>RFQ 2020-07-0137</t>
  </si>
  <si>
    <t>ITB No. 043-2020 GQ</t>
  </si>
  <si>
    <t>BAC-0046-2020</t>
  </si>
  <si>
    <t>2020-070105</t>
  </si>
  <si>
    <t>100-20-06-144</t>
  </si>
  <si>
    <t>NIA.IGIMO-COLINE CIS-MATERIALS-G05-20</t>
  </si>
  <si>
    <t>GOODS2020-10</t>
  </si>
  <si>
    <t>ROSAL 0355-2020</t>
  </si>
  <si>
    <t>100-20-06-125</t>
  </si>
  <si>
    <t>3167</t>
  </si>
  <si>
    <t>RFQ 2020-07-0136</t>
  </si>
  <si>
    <t>Bid No. 20-0291</t>
  </si>
  <si>
    <t>PR# 100-20-06-015</t>
  </si>
  <si>
    <t>20GL0092</t>
  </si>
  <si>
    <t>ITB 2020-21</t>
  </si>
  <si>
    <t>20GL0093</t>
  </si>
  <si>
    <t>2020-07-2A</t>
  </si>
  <si>
    <t>NIA.IGIMO-DAGAMI SWIP-MATERIALS-G07-20</t>
  </si>
  <si>
    <t>034 20-694-1</t>
  </si>
  <si>
    <t>RSW-2020-018</t>
  </si>
  <si>
    <t>100-20-06-124</t>
  </si>
  <si>
    <t>P.R. No. 2020-359</t>
  </si>
  <si>
    <t>Barangay Guindapunan-001-2020</t>
  </si>
  <si>
    <t>2020-06-0621 TDG</t>
  </si>
  <si>
    <t>GOODS-2020-041</t>
  </si>
  <si>
    <t>OHS-2020-105</t>
  </si>
  <si>
    <t>1234512</t>
  </si>
  <si>
    <t>PR No. 2020-05</t>
  </si>
  <si>
    <t>2020-06-076</t>
  </si>
  <si>
    <t>PR NO. 20-06-051</t>
  </si>
  <si>
    <t>RFQ-DARFO12-2020-0580</t>
  </si>
  <si>
    <t>2020-0056</t>
  </si>
  <si>
    <t>0282R</t>
  </si>
  <si>
    <t>100-20-06-130</t>
  </si>
  <si>
    <t>2020-0302</t>
  </si>
  <si>
    <t>01-01-2020-06-646</t>
  </si>
  <si>
    <t>Pagcolbon202001</t>
  </si>
  <si>
    <t>0272R</t>
  </si>
  <si>
    <t>3168</t>
  </si>
  <si>
    <t>RDTD-2020-02-0128</t>
  </si>
  <si>
    <t>092-CIVIL2020-002</t>
  </si>
  <si>
    <t>0001-0147-1078-2020</t>
  </si>
  <si>
    <t>NIA.IGIMO-CABUNGA-AN CABOLOAN CIP-MATERIALS-G08-20</t>
  </si>
  <si>
    <t>BIDSTAC # NP-SVP 114-2020</t>
  </si>
  <si>
    <t>2020-07-020</t>
  </si>
  <si>
    <t>L3-2020-002</t>
  </si>
  <si>
    <t>20-07-07</t>
  </si>
  <si>
    <t>0284R</t>
  </si>
  <si>
    <t>2020-107 FERTILIZERS</t>
  </si>
  <si>
    <t>20CSFK03</t>
  </si>
  <si>
    <t>Bac-Pg-002-20</t>
  </si>
  <si>
    <t>20FM0052</t>
  </si>
  <si>
    <t>0312</t>
  </si>
  <si>
    <t>RFQ-DARFO12-2020-0583</t>
  </si>
  <si>
    <t>NG-GOODS-2020-17</t>
  </si>
  <si>
    <t>2020-06-0088</t>
  </si>
  <si>
    <t>ITB-2020-019</t>
  </si>
  <si>
    <t>Pagcolbon202002</t>
  </si>
  <si>
    <t>2020-06-380</t>
  </si>
  <si>
    <t>SF-2020-044</t>
  </si>
  <si>
    <t>2020 MDRRMO</t>
  </si>
  <si>
    <t>RFQ-DARFO12-2020-0582</t>
  </si>
  <si>
    <t>0286R</t>
  </si>
  <si>
    <t>Bid No. 20-0293</t>
  </si>
  <si>
    <t>2020-04-0437 TDG</t>
  </si>
  <si>
    <t>2020-06-242</t>
  </si>
  <si>
    <t>20GL0094</t>
  </si>
  <si>
    <t>20AC0053</t>
  </si>
  <si>
    <t>RFQ-DARFO12-2020-0581</t>
  </si>
  <si>
    <t>RFQ-DARFO12-2020-0585</t>
  </si>
  <si>
    <t>2020-I07-10</t>
  </si>
  <si>
    <t>0311</t>
  </si>
  <si>
    <t>BIDSTAC # SB 029-2020</t>
  </si>
  <si>
    <t>ITB-2020-018</t>
  </si>
  <si>
    <t>2020-06-063</t>
  </si>
  <si>
    <t>RFQ-DARFO12-2020-0584</t>
  </si>
  <si>
    <t>2020-GOODS-272</t>
  </si>
  <si>
    <t>0314</t>
  </si>
  <si>
    <t>100-2020-Infa-399</t>
  </si>
  <si>
    <t>2020-06-0089</t>
  </si>
  <si>
    <t>R13-2020-002</t>
  </si>
  <si>
    <t>1234513</t>
  </si>
  <si>
    <t>RFQ-20-014</t>
  </si>
  <si>
    <t>PB-INF-2020-033</t>
  </si>
  <si>
    <t>gd-220701</t>
  </si>
  <si>
    <t>infra 033A-2020</t>
  </si>
  <si>
    <t>20-07-SO111</t>
  </si>
  <si>
    <t>2020-06-024</t>
  </si>
  <si>
    <t>0318</t>
  </si>
  <si>
    <t>05-20-A104</t>
  </si>
  <si>
    <t>20GCB0005</t>
  </si>
  <si>
    <t>RFQ-DARFO12-2020-0586</t>
  </si>
  <si>
    <t>RFQ-DARFO12-2020-0587</t>
  </si>
  <si>
    <t>PB-INF-2020-36</t>
  </si>
  <si>
    <t>02.2020.0102</t>
  </si>
  <si>
    <t>BAC-HO GS No. 2020-0366 dated 18 June 2020 (BSPI)</t>
  </si>
  <si>
    <t>infra 034A-2020</t>
  </si>
  <si>
    <t>0316</t>
  </si>
  <si>
    <t>0317</t>
  </si>
  <si>
    <t>7001012020</t>
  </si>
  <si>
    <t>2020-06-122</t>
  </si>
  <si>
    <t>2020-106</t>
  </si>
  <si>
    <t>777</t>
  </si>
  <si>
    <t>BAC-ZDN-NO.2020-009</t>
  </si>
  <si>
    <t>GOODS-2020-040</t>
  </si>
  <si>
    <t>2020-06-071</t>
  </si>
  <si>
    <t>0313</t>
  </si>
  <si>
    <t>2020-234 ONION SEEDS</t>
  </si>
  <si>
    <t>RFQ-DARFO12-2020-0589</t>
  </si>
  <si>
    <t>Bid No. 20-0292</t>
  </si>
  <si>
    <t>0320</t>
  </si>
  <si>
    <t>Goods-119-2020</t>
  </si>
  <si>
    <t>NIA.IGIMO-IGANG CIS-MATERIALS-G06-20</t>
  </si>
  <si>
    <t>05-20-A103</t>
  </si>
  <si>
    <t>0315</t>
  </si>
  <si>
    <t>0319</t>
  </si>
  <si>
    <t>108997</t>
  </si>
  <si>
    <t>RFQ-20-015</t>
  </si>
  <si>
    <t>Goods-118-2020</t>
  </si>
  <si>
    <t>2020-06-023</t>
  </si>
  <si>
    <t>2020-06-24-5</t>
  </si>
  <si>
    <t>20GA0230</t>
  </si>
  <si>
    <t>150000</t>
  </si>
  <si>
    <t>RFQ-DARFO12-2020-0588</t>
  </si>
  <si>
    <t>PR# 20-06-0792</t>
  </si>
  <si>
    <t>infra 035A-2020</t>
  </si>
  <si>
    <t>SH-5417-20</t>
  </si>
  <si>
    <t>PB-INF-2020-037</t>
  </si>
  <si>
    <t>20OI0120</t>
  </si>
  <si>
    <t>2020-Barangay 01-001</t>
  </si>
  <si>
    <t>PR NO. 20-06-018</t>
  </si>
  <si>
    <t>SK DULACAC-2020-07-002</t>
  </si>
  <si>
    <t>BARANGAY TAGNATE</t>
  </si>
  <si>
    <t>20-03-163</t>
  </si>
  <si>
    <t>Goods-120-2020</t>
  </si>
  <si>
    <t>20201288</t>
  </si>
  <si>
    <t>20201282</t>
  </si>
  <si>
    <t>0323</t>
  </si>
  <si>
    <t>2020-07-01-181</t>
  </si>
  <si>
    <t>RFQ-DARFO12-2020-0592</t>
  </si>
  <si>
    <t>infra 036A-2020</t>
  </si>
  <si>
    <t>PR#100-20-06-014</t>
  </si>
  <si>
    <t>RFQ No.048 -2020</t>
  </si>
  <si>
    <t>San Vicente 01-2020</t>
  </si>
  <si>
    <t>RFQ-DARFO12-2020-0591</t>
  </si>
  <si>
    <t>REI-07-01-2020</t>
  </si>
  <si>
    <t>20-07-01-22</t>
  </si>
  <si>
    <t>Saoay 001</t>
  </si>
  <si>
    <t>0321</t>
  </si>
  <si>
    <t>RFQ-DARFO12-2020-0590</t>
  </si>
  <si>
    <t>0322</t>
  </si>
  <si>
    <t>20-07-SO112</t>
  </si>
  <si>
    <t>20GFK0004</t>
  </si>
  <si>
    <t>PR N0. 2020-07-014</t>
  </si>
  <si>
    <t>2020-070103</t>
  </si>
  <si>
    <t>0236-2020</t>
  </si>
  <si>
    <t>20GCB0006</t>
  </si>
  <si>
    <t>BSU Project No. 2020-220</t>
  </si>
  <si>
    <t>infra 017A-2020</t>
  </si>
  <si>
    <t>PR# 100-20-06-457</t>
  </si>
  <si>
    <t>20-07-0002</t>
  </si>
  <si>
    <t>RFQ-DARFO12-2020-0593</t>
  </si>
  <si>
    <t>2020-06-381</t>
  </si>
  <si>
    <t>SS-2020-00010</t>
  </si>
  <si>
    <t>339-2006-101</t>
  </si>
  <si>
    <t>0010-RFQ-2020</t>
  </si>
  <si>
    <t>PR No. 1000032057</t>
  </si>
  <si>
    <t>RFQ 2020-07-0139</t>
  </si>
  <si>
    <t>RFQ 2020-07-0138</t>
  </si>
  <si>
    <t>RFQ-20-016</t>
  </si>
  <si>
    <t>20-03-192</t>
  </si>
  <si>
    <t>20-24-06-872</t>
  </si>
  <si>
    <t>RFQ-DARFO12-2020-0594</t>
  </si>
  <si>
    <t>2020 25</t>
  </si>
  <si>
    <t>RFQ-20-017</t>
  </si>
  <si>
    <t>2020-PLA-065</t>
  </si>
  <si>
    <t>20NF0077</t>
  </si>
  <si>
    <t>2020-0168</t>
  </si>
  <si>
    <t>BFP Caraga 2020-06-010</t>
  </si>
  <si>
    <t>GOODS-NP-2020-100</t>
  </si>
  <si>
    <t>epslingayen2020-57</t>
  </si>
  <si>
    <t>2020-06-0135</t>
  </si>
  <si>
    <t>2020-49M</t>
  </si>
  <si>
    <t>2020-06-0081</t>
  </si>
  <si>
    <t>RFQ-DARFO12-2020-0595</t>
  </si>
  <si>
    <t>105103</t>
  </si>
  <si>
    <t>Goods-121-2020</t>
  </si>
  <si>
    <t>N2FB-90-2019(2020)(A)</t>
  </si>
  <si>
    <t>2020-07-13</t>
  </si>
  <si>
    <t>RFQ-20-018</t>
  </si>
  <si>
    <t>RFQ-DARFO12-2020-0596</t>
  </si>
  <si>
    <t>2020-50M</t>
  </si>
  <si>
    <t>164-20-01-10</t>
  </si>
  <si>
    <t>N2FB-47-2020(A)</t>
  </si>
  <si>
    <t>2020-devmh-078</t>
  </si>
  <si>
    <t>0237-2020</t>
  </si>
  <si>
    <t>RFQ 2020-07-0140</t>
  </si>
  <si>
    <t>RFQ-DARFO12-2020-0597</t>
  </si>
  <si>
    <t>ITB-2020-10-GOODS</t>
  </si>
  <si>
    <t>PR No. lGP-2020-024</t>
  </si>
  <si>
    <t>20NF0078</t>
  </si>
  <si>
    <t>07-01-01</t>
  </si>
  <si>
    <t>Goods-122-2020</t>
  </si>
  <si>
    <t>0020-0200-1090-2020</t>
  </si>
  <si>
    <t>B-95-2020</t>
  </si>
  <si>
    <t>BSU Project No. 2020-222</t>
  </si>
  <si>
    <t>20-02-00139</t>
  </si>
  <si>
    <t>RFQ No. 20-06-069</t>
  </si>
  <si>
    <t>PR No. LGP-2020-022</t>
  </si>
  <si>
    <t>RFQ 2020-96</t>
  </si>
  <si>
    <t>DMD-1188-20</t>
  </si>
  <si>
    <t>2020-52M</t>
  </si>
  <si>
    <t>RFQ-DARFO12-2020-0600</t>
  </si>
  <si>
    <t>07-01-02</t>
  </si>
  <si>
    <t>2020-51M</t>
  </si>
  <si>
    <t>RFQ-DARFO12-2020-0598</t>
  </si>
  <si>
    <t>JR No. 010-2020-OGM</t>
  </si>
  <si>
    <t>B-97-2020</t>
  </si>
  <si>
    <t>RFQ NO. SVP-024-2020</t>
  </si>
  <si>
    <t>B-96-2020</t>
  </si>
  <si>
    <t>20GA0231</t>
  </si>
  <si>
    <t>20-06-091</t>
  </si>
  <si>
    <t>B-98-2020</t>
  </si>
  <si>
    <t>BAGO-BAC-2020-0155</t>
  </si>
  <si>
    <t>20CSH023</t>
  </si>
  <si>
    <t>DO-1286-20</t>
  </si>
  <si>
    <t>20-06-089</t>
  </si>
  <si>
    <t>WEST II</t>
  </si>
  <si>
    <t>BS20-06-0688</t>
  </si>
  <si>
    <t>ISPSC-2020-G-K012</t>
  </si>
  <si>
    <t>2020-01-0030</t>
  </si>
  <si>
    <t>K-020-017</t>
  </si>
  <si>
    <t>RFQ-DARFO12-2020-0599</t>
  </si>
  <si>
    <t>2020-0169</t>
  </si>
  <si>
    <t>RFQ 006-042-2020</t>
  </si>
  <si>
    <t>20-06-094</t>
  </si>
  <si>
    <t>2020-06-369</t>
  </si>
  <si>
    <t>2020-07-064</t>
  </si>
  <si>
    <t>I-2020-015</t>
  </si>
  <si>
    <t>K-020-018</t>
  </si>
  <si>
    <t>DFM&amp;OPS-1292-20</t>
  </si>
  <si>
    <t>INFRA 2020-008</t>
  </si>
  <si>
    <t>P.R. No. 202006057</t>
  </si>
  <si>
    <t>BAGO-BAC-2020-0157</t>
  </si>
  <si>
    <t>20-06-099</t>
  </si>
  <si>
    <t>06-20-046</t>
  </si>
  <si>
    <t>CID NO. 20IF0141</t>
  </si>
  <si>
    <t>BAGO-BAC-2020-0156</t>
  </si>
  <si>
    <t>2020-PPD-015</t>
  </si>
  <si>
    <t>2020-70</t>
  </si>
  <si>
    <t>20-03-00221</t>
  </si>
  <si>
    <t>BS20-06-0690</t>
  </si>
  <si>
    <t>BS20-06-FS001</t>
  </si>
  <si>
    <t>VMC-2020-068</t>
  </si>
  <si>
    <t>G-BRGY-07012020-Completion of Day Care Center - Sa</t>
  </si>
  <si>
    <t>B-99-2020</t>
  </si>
  <si>
    <t>2020-89</t>
  </si>
  <si>
    <t>WD-2020-02-0164</t>
  </si>
  <si>
    <t>2020-RA-2</t>
  </si>
  <si>
    <t>BS20-06-0681</t>
  </si>
  <si>
    <t>POMPONAN202001</t>
  </si>
  <si>
    <t>RFQ 006-043-2020</t>
  </si>
  <si>
    <t>DPS-1293-20</t>
  </si>
  <si>
    <t>ITB 2020-0017</t>
  </si>
  <si>
    <t>20GDB0025</t>
  </si>
  <si>
    <t>20-06-100</t>
  </si>
  <si>
    <t>2020-0001</t>
  </si>
  <si>
    <t>BS20-06-0689</t>
  </si>
  <si>
    <t>072120-01</t>
  </si>
  <si>
    <t>2020-06-052</t>
  </si>
  <si>
    <t>DOSTR01-RFQ2020-29</t>
  </si>
  <si>
    <t>2020-033 VMSBSEC</t>
  </si>
  <si>
    <t>BS20-06-0687</t>
  </si>
  <si>
    <t>Contract No. 2020-147</t>
  </si>
  <si>
    <t>20-07-044</t>
  </si>
  <si>
    <t>UBC-027-2020</t>
  </si>
  <si>
    <t>0238-2020</t>
  </si>
  <si>
    <t>1000032613</t>
  </si>
  <si>
    <t>PR# 20-06-0793</t>
  </si>
  <si>
    <t>2020-RA-3</t>
  </si>
  <si>
    <t>PR-193-100-2020</t>
  </si>
  <si>
    <t>CULLIAT 2020-001</t>
  </si>
  <si>
    <t>PR#20-06-0336</t>
  </si>
  <si>
    <t>200033</t>
  </si>
  <si>
    <t>2020-RA-4</t>
  </si>
  <si>
    <t>211460</t>
  </si>
  <si>
    <t>072120-02</t>
  </si>
  <si>
    <t>2020-06-373</t>
  </si>
  <si>
    <t>BGHMCPB-2020-16-001</t>
  </si>
  <si>
    <t>2020-06-053</t>
  </si>
  <si>
    <t>BS20-06-0683</t>
  </si>
  <si>
    <t>SVP-20-37</t>
  </si>
  <si>
    <t>BUSAC 2020-001</t>
  </si>
  <si>
    <t>PHILGEPS 2020-06-79</t>
  </si>
  <si>
    <t>2020-07-0101</t>
  </si>
  <si>
    <t>PR NO. 018-06-20</t>
  </si>
  <si>
    <t>07-03-2020</t>
  </si>
  <si>
    <t>2020-06-054</t>
  </si>
  <si>
    <t>211463</t>
  </si>
  <si>
    <t>2020-02-036d</t>
  </si>
  <si>
    <t>BUDGET-2020-06-0235</t>
  </si>
  <si>
    <t>211462</t>
  </si>
  <si>
    <t>1000032614</t>
  </si>
  <si>
    <t>2020-06-055</t>
  </si>
  <si>
    <t>2020176</t>
  </si>
  <si>
    <t>211469</t>
  </si>
  <si>
    <t>211468</t>
  </si>
  <si>
    <t>211467</t>
  </si>
  <si>
    <t>211466</t>
  </si>
  <si>
    <t>2020-06-056</t>
  </si>
  <si>
    <t>1000032615</t>
  </si>
  <si>
    <t>211461</t>
  </si>
  <si>
    <t>211473</t>
  </si>
  <si>
    <t>211472</t>
  </si>
  <si>
    <t>211465</t>
  </si>
  <si>
    <t>PSA-RSSO6-2020-0035</t>
  </si>
  <si>
    <t>PSA-RSSO6-2020-0036</t>
  </si>
  <si>
    <t>2020-Lamitan-31</t>
  </si>
  <si>
    <t>211471</t>
  </si>
  <si>
    <t>211474</t>
  </si>
  <si>
    <t>BS 20-06-OE006-1</t>
  </si>
  <si>
    <t>RFQ 2020-07-0141</t>
  </si>
  <si>
    <t>20FA0061</t>
  </si>
  <si>
    <t>2020-03-002</t>
  </si>
  <si>
    <t>211470</t>
  </si>
  <si>
    <t>000339</t>
  </si>
  <si>
    <t>penrneg2020-gs07</t>
  </si>
  <si>
    <t>Bid No. 20-0297</t>
  </si>
  <si>
    <t>211475</t>
  </si>
  <si>
    <t>211477</t>
  </si>
  <si>
    <t>1000033175</t>
  </si>
  <si>
    <t>PG-RFQ-2020-17 Bagongon</t>
  </si>
  <si>
    <t>2020-Lamitan-32</t>
  </si>
  <si>
    <t>Bid No. 20-0298</t>
  </si>
  <si>
    <t>20GA0232</t>
  </si>
  <si>
    <t>PSA-RSSO6-2020-0038</t>
  </si>
  <si>
    <t>mhs-2020-002</t>
  </si>
  <si>
    <t>Bid No. 20-0296</t>
  </si>
  <si>
    <t>211476</t>
  </si>
  <si>
    <t>EMERGENCY 023-2020</t>
  </si>
  <si>
    <t>000343</t>
  </si>
  <si>
    <t>BS 20-02-0192-1</t>
  </si>
  <si>
    <t>20GA0233</t>
  </si>
  <si>
    <t>PR. NO. 2020-07-000001</t>
  </si>
  <si>
    <t>PSA-RSSO6-2020-0037</t>
  </si>
  <si>
    <t>Bid No. 20-0295</t>
  </si>
  <si>
    <t>PSA-RSSO6-2020-040</t>
  </si>
  <si>
    <t>PB NO. 2020-046</t>
  </si>
  <si>
    <t>211481</t>
  </si>
  <si>
    <t>Bid No. 20-0301</t>
  </si>
  <si>
    <t>Bid No. 20-0302</t>
  </si>
  <si>
    <t>001-JUNE-INFRA-SANJUAN</t>
  </si>
  <si>
    <t>Bid No. 20-0300</t>
  </si>
  <si>
    <t>211480</t>
  </si>
  <si>
    <t>PR. NO. 2020-06-000033</t>
  </si>
  <si>
    <t>RFQ 2020-07-0142</t>
  </si>
  <si>
    <t>Civil Works 025-2020</t>
  </si>
  <si>
    <t>PSA-RSSO6-2020-0039</t>
  </si>
  <si>
    <t>211479</t>
  </si>
  <si>
    <t>211478</t>
  </si>
  <si>
    <t>penrneg2020-gs08</t>
  </si>
  <si>
    <t>2020-07-0103</t>
  </si>
  <si>
    <t>Bid No. 20-0294</t>
  </si>
  <si>
    <t>2020-07-0102</t>
  </si>
  <si>
    <t>Bid No. 20-0299</t>
  </si>
  <si>
    <t>DANG-20-020</t>
  </si>
  <si>
    <t>211464</t>
  </si>
  <si>
    <t>211482</t>
  </si>
  <si>
    <t>2020-07-0105</t>
  </si>
  <si>
    <t>PSA-RSSO6-2020-041</t>
  </si>
  <si>
    <t>mhs-2020-005</t>
  </si>
  <si>
    <t>Supplies 303-2020</t>
  </si>
  <si>
    <t>2020-07-0104</t>
  </si>
  <si>
    <t>2020178</t>
  </si>
  <si>
    <t>Bid No. 20-0303</t>
  </si>
  <si>
    <t>2020179</t>
  </si>
  <si>
    <t>2020-Lamitan-33</t>
  </si>
  <si>
    <t>001-20</t>
  </si>
  <si>
    <t>Bid No. 20-0305</t>
  </si>
  <si>
    <t>211483</t>
  </si>
  <si>
    <t>PSA-RSSO6-2020-042</t>
  </si>
  <si>
    <t>20-06-146</t>
  </si>
  <si>
    <t>I-2020-02</t>
  </si>
  <si>
    <t>000345</t>
  </si>
  <si>
    <t>2020-219</t>
  </si>
  <si>
    <t>San Vicente 2020-01</t>
  </si>
  <si>
    <t>I-2020-03</t>
  </si>
  <si>
    <t>RFQ 2020-07-0143</t>
  </si>
  <si>
    <t>Bid No. 20-0307</t>
  </si>
  <si>
    <t>RFQ-2020-05-C1</t>
  </si>
  <si>
    <t>LTO-SU-20-043</t>
  </si>
  <si>
    <t>Bid No. 20-0308</t>
  </si>
  <si>
    <t>PSA-RSSO6-2020-043</t>
  </si>
  <si>
    <t>Bid No. 20-0306</t>
  </si>
  <si>
    <t>7-2-20</t>
  </si>
  <si>
    <t>penrneg2020-gs09</t>
  </si>
  <si>
    <t>PSA-RSSO6-2020-044</t>
  </si>
  <si>
    <t>RFQ-2020-07_read and bill</t>
  </si>
  <si>
    <t>211484</t>
  </si>
  <si>
    <t>RFQ2020-07-0200 (PR#1011-19-10-0627)</t>
  </si>
  <si>
    <t>147-2020</t>
  </si>
  <si>
    <t>Bid No. 20-0304</t>
  </si>
  <si>
    <t>2020-06-0105</t>
  </si>
  <si>
    <t>epslingayen2020-58</t>
  </si>
  <si>
    <t>RFQ 2020-07-0144</t>
  </si>
  <si>
    <t>20CB-GSC-387 PURCHASE OF FURNITURE &amp; FIXTURES (TRU</t>
  </si>
  <si>
    <t>2020-894-001</t>
  </si>
  <si>
    <t>RFQ2020-07-0199 (PR#8918-19-10-0604)</t>
  </si>
  <si>
    <t>Bid No. 20-0311</t>
  </si>
  <si>
    <t>Bid No. 20-0310</t>
  </si>
  <si>
    <t>ITB-2020-11-INFRA</t>
  </si>
  <si>
    <t>5020201000-034-2020</t>
  </si>
  <si>
    <t>JRMPII-053-2020</t>
  </si>
  <si>
    <t>penrneg2020-gs10</t>
  </si>
  <si>
    <t>20GA0234</t>
  </si>
  <si>
    <t>PSA-RSSO6-2020-045</t>
  </si>
  <si>
    <t>PR NO. 2020-06-0309</t>
  </si>
  <si>
    <t>BARASRIZAL2020-024</t>
  </si>
  <si>
    <t>PSA-RSSO6-2020-046</t>
  </si>
  <si>
    <t>00024</t>
  </si>
  <si>
    <t>BDNG-JULY-2020-01</t>
  </si>
  <si>
    <t>100-20-03-031</t>
  </si>
  <si>
    <t>Bid No. 20-0312</t>
  </si>
  <si>
    <t>LGU-BLU-20-07-050</t>
  </si>
  <si>
    <t>RFQ2020-07-0201 (PR#1011-19-11-0708)</t>
  </si>
  <si>
    <t>5021306004-039-2020</t>
  </si>
  <si>
    <t>20CSKK0005</t>
  </si>
  <si>
    <t>LTO-SU-20-044</t>
  </si>
  <si>
    <t>20-130</t>
  </si>
  <si>
    <t>NVQSD 2020-06-106</t>
  </si>
  <si>
    <t>Bid No. 20-0313</t>
  </si>
  <si>
    <t>Bid No. 20-0309</t>
  </si>
  <si>
    <t>PSA-RSSO6-2020-047</t>
  </si>
  <si>
    <t>2020-054</t>
  </si>
  <si>
    <t>FRQ No.:2020-022-JULY (PR No.:2020-06-022)</t>
  </si>
  <si>
    <t>HILONGOS 2020-196</t>
  </si>
  <si>
    <t>20CB-GSC-388 PURCHASE OF SPARE PARTS FOR VOLVO EQU</t>
  </si>
  <si>
    <t>Bid No. 20-0316</t>
  </si>
  <si>
    <t>Bid No. 20-0315</t>
  </si>
  <si>
    <t>RFQ2020-07-0202 (PR#9998-20-01-0028)</t>
  </si>
  <si>
    <t>055-2020</t>
  </si>
  <si>
    <t>20-07-01-23</t>
  </si>
  <si>
    <t>RFQ-20-019</t>
  </si>
  <si>
    <t>RFQ-20-020</t>
  </si>
  <si>
    <t>Bid No. 20-0317</t>
  </si>
  <si>
    <t>RFQ 0620-030</t>
  </si>
  <si>
    <t>Ambulong 2020-007-001</t>
  </si>
  <si>
    <t>20NA0063 (Re-ad)</t>
  </si>
  <si>
    <t>PSA-RSSO6-2020-048</t>
  </si>
  <si>
    <t>goods-2020-018</t>
  </si>
  <si>
    <t>467-20</t>
  </si>
  <si>
    <t>RFQ2020-07-0204 (PR#8711-20-06-0257)</t>
  </si>
  <si>
    <t>PCDP-2020-06-0203</t>
  </si>
  <si>
    <t>Bid No. 20-0339</t>
  </si>
  <si>
    <t>Bid No. 20-0314</t>
  </si>
  <si>
    <t>56571</t>
  </si>
  <si>
    <t>20-06-109</t>
  </si>
  <si>
    <t>RFQ-20-021</t>
  </si>
  <si>
    <t>GDS 20-069</t>
  </si>
  <si>
    <t>20200514</t>
  </si>
  <si>
    <t>238</t>
  </si>
  <si>
    <t>5020301000-040-2020</t>
  </si>
  <si>
    <t>Bid No. 20-0341</t>
  </si>
  <si>
    <t>RFQ 0620-078</t>
  </si>
  <si>
    <t>RFQ2020-07-0203 (PR#300-20-01-0003)</t>
  </si>
  <si>
    <t>040-2020</t>
  </si>
  <si>
    <t>PSA-RSSO6-2020-049</t>
  </si>
  <si>
    <t>20200601</t>
  </si>
  <si>
    <t>Bid No. 20-0340</t>
  </si>
  <si>
    <t>SALCEDO, LUNA, LU 2020-07-01</t>
  </si>
  <si>
    <t>BAC-2020-356</t>
  </si>
  <si>
    <t>2020-07-06</t>
  </si>
  <si>
    <t>20201300</t>
  </si>
  <si>
    <t>20-06-130</t>
  </si>
  <si>
    <t>20-06-132</t>
  </si>
  <si>
    <t>164-20-02-036</t>
  </si>
  <si>
    <t>PR# 20-06-0794</t>
  </si>
  <si>
    <t>1-s-20</t>
  </si>
  <si>
    <t>RFQ2020-07-0206 (PR#1071-20-06-0292)</t>
  </si>
  <si>
    <t>P.R NO. 100-2020-05-0322</t>
  </si>
  <si>
    <t>DELOS-2020-006-01</t>
  </si>
  <si>
    <t>239</t>
  </si>
  <si>
    <t>20-06-828</t>
  </si>
  <si>
    <t>BAC-2020-360</t>
  </si>
  <si>
    <t>SVP20-518</t>
  </si>
  <si>
    <t>PSA-RSSO6-2020-050</t>
  </si>
  <si>
    <t>2020-036I</t>
  </si>
  <si>
    <t>013-SVP-2020</t>
  </si>
  <si>
    <t>P.R NO. 100-2020-06-0032</t>
  </si>
  <si>
    <t>12</t>
  </si>
  <si>
    <t>BIN-003</t>
  </si>
  <si>
    <t>20GA0235</t>
  </si>
  <si>
    <t>0027-0010-1082-2020</t>
  </si>
  <si>
    <t>20BA0054</t>
  </si>
  <si>
    <t>HB 2005-025</t>
  </si>
  <si>
    <t>CS-01(ReAd)</t>
  </si>
  <si>
    <t>47858/47859</t>
  </si>
  <si>
    <t>CDC 49-07-2020</t>
  </si>
  <si>
    <t>RFQ 0620-045</t>
  </si>
  <si>
    <t>Bid No. 20-0342</t>
  </si>
  <si>
    <t>5020305000-041-2020</t>
  </si>
  <si>
    <t>RFQ2020-07-0208 (PR#8812-20-06-0294)</t>
  </si>
  <si>
    <t>Bid No. 20-0344</t>
  </si>
  <si>
    <t>2020-0079</t>
  </si>
  <si>
    <t>ISPSC-2020-G-K013</t>
  </si>
  <si>
    <t>GSD-M-20-110</t>
  </si>
  <si>
    <t>2-S-2020</t>
  </si>
  <si>
    <t>20NA0065 (Re-ad)</t>
  </si>
  <si>
    <t>TESDA CS PO 0001</t>
  </si>
  <si>
    <t>000338</t>
  </si>
  <si>
    <t>CS-02(ReAd)</t>
  </si>
  <si>
    <t>20AA0352</t>
  </si>
  <si>
    <t>5020308000-042-2020</t>
  </si>
  <si>
    <t>BARASRIZAL2020-025</t>
  </si>
  <si>
    <t>SAZ-2020-07-001</t>
  </si>
  <si>
    <t>RFQ 0620-042</t>
  </si>
  <si>
    <t>Ambulong 2020-007-002</t>
  </si>
  <si>
    <t>4-S-2020</t>
  </si>
  <si>
    <t>HILONGOS 2020-197</t>
  </si>
  <si>
    <t>2020-037I</t>
  </si>
  <si>
    <t>04a-G-2020 (MEO)</t>
  </si>
  <si>
    <t>ITB 20-148</t>
  </si>
  <si>
    <t>RFQ 0620-040</t>
  </si>
  <si>
    <t>G-072020-00853</t>
  </si>
  <si>
    <t>PIKCOT-002020-0018</t>
  </si>
  <si>
    <t>Bid No. 20-0346</t>
  </si>
  <si>
    <t>BAC-2020-377</t>
  </si>
  <si>
    <t>11140</t>
  </si>
  <si>
    <t>164-20-01-08</t>
  </si>
  <si>
    <t>3-S-2020</t>
  </si>
  <si>
    <t>RFQ-20-022</t>
  </si>
  <si>
    <t>2020-220</t>
  </si>
  <si>
    <t>Bid No. 20-0343</t>
  </si>
  <si>
    <t>RFQ2020-20-07-0209 (PR#1011-20-06-0295)</t>
  </si>
  <si>
    <t>NVQSD 2020-06-109</t>
  </si>
  <si>
    <t>Bid No. 20-0345</t>
  </si>
  <si>
    <t>RQ 06-220</t>
  </si>
  <si>
    <t>GHQPC-OSPS-RMTEMV-1357-20</t>
  </si>
  <si>
    <t>GoodSSVP-53-2020</t>
  </si>
  <si>
    <t>STC-GOOD- NO. 2020-0044</t>
  </si>
  <si>
    <t>RFQ – 2020 – 022</t>
  </si>
  <si>
    <t>ITB 20-147</t>
  </si>
  <si>
    <t>PSA-RSSO6-2020-051</t>
  </si>
  <si>
    <t>20NA0075</t>
  </si>
  <si>
    <t>GHQPC-PKOC-SEMESE-1344-20</t>
  </si>
  <si>
    <t>0008-0001-1096-2020</t>
  </si>
  <si>
    <t>20-CRG-20-03-0965</t>
  </si>
  <si>
    <t>JUB-TAG-SDS-01-2020</t>
  </si>
  <si>
    <t>RA7171-PROV2020-01</t>
  </si>
  <si>
    <t>2020-0170</t>
  </si>
  <si>
    <t>2020180</t>
  </si>
  <si>
    <t>RFQ 0620-055</t>
  </si>
  <si>
    <t>VIC-TAG-SDS-01-2020</t>
  </si>
  <si>
    <t>RQ 06-223</t>
  </si>
  <si>
    <t>RQ 06-211</t>
  </si>
  <si>
    <t>20-09 GOODS</t>
  </si>
  <si>
    <t>RFQ No. 2020-06-046</t>
  </si>
  <si>
    <t>2020-36</t>
  </si>
  <si>
    <t>LRDD 2020-06-099</t>
  </si>
  <si>
    <t>Tinopan202001</t>
  </si>
  <si>
    <t>UNA-TAG-SDS-01-2020</t>
  </si>
  <si>
    <t>RFQ-2020-05-C2</t>
  </si>
  <si>
    <t>039-20</t>
  </si>
  <si>
    <t>0020-0172-0996B2020</t>
  </si>
  <si>
    <t>2020181</t>
  </si>
  <si>
    <t>5021306004-044-2020</t>
  </si>
  <si>
    <t>RQ 06-213</t>
  </si>
  <si>
    <t>FOG NSPRDC 2020-06-028</t>
  </si>
  <si>
    <t>BARASRIZAL2020-027</t>
  </si>
  <si>
    <t>OGDS 07-1-20</t>
  </si>
  <si>
    <t>CW-2020-005</t>
  </si>
  <si>
    <t>GOODS-001-2020</t>
  </si>
  <si>
    <t>040-20</t>
  </si>
  <si>
    <t>LRDD Organic 2020-06-029</t>
  </si>
  <si>
    <t>Bid No. 20-0348</t>
  </si>
  <si>
    <t>PIKCOT-002020-019</t>
  </si>
  <si>
    <t>NP-SVP-314-2020</t>
  </si>
  <si>
    <t>2020-038I</t>
  </si>
  <si>
    <t>Bid No. 20-0347</t>
  </si>
  <si>
    <t>5021306004-045-2020</t>
  </si>
  <si>
    <t>032-FTC 2020</t>
  </si>
  <si>
    <t>BARASRIZAL2020-0278</t>
  </si>
  <si>
    <t>infra2020012</t>
  </si>
  <si>
    <t>241</t>
  </si>
  <si>
    <t>RA7171-PROV2020-02</t>
  </si>
  <si>
    <t>RQ 06-221</t>
  </si>
  <si>
    <t>RFQ 2020-094</t>
  </si>
  <si>
    <t>CDC 50-07-2020</t>
  </si>
  <si>
    <t>Bid No. 20-0349</t>
  </si>
  <si>
    <t>VLD-LSD 2020-06-085</t>
  </si>
  <si>
    <t>CIT-GDS2020-027</t>
  </si>
  <si>
    <t>RA7171-PROV2020-03</t>
  </si>
  <si>
    <t>BP-070120-020</t>
  </si>
  <si>
    <t>HBC20-06-305</t>
  </si>
  <si>
    <t>Tinopan202002</t>
  </si>
  <si>
    <t>RFQ-2020-05-C3</t>
  </si>
  <si>
    <t>20GNA0002</t>
  </si>
  <si>
    <t>20CG0200</t>
  </si>
  <si>
    <t>RA7171-PROV2020-05</t>
  </si>
  <si>
    <t>LGU-129-2020</t>
  </si>
  <si>
    <t>infra2020014</t>
  </si>
  <si>
    <t>LGU-LEZO-2020-011</t>
  </si>
  <si>
    <t>Bid No. 20-0351</t>
  </si>
  <si>
    <t>PR. 20-06-232 (2020-07-224)</t>
  </si>
  <si>
    <t>RA7171-PROV2020-04</t>
  </si>
  <si>
    <t>Bid No. 20-0350</t>
  </si>
  <si>
    <t>20AC0055</t>
  </si>
  <si>
    <t>20-06-103-00</t>
  </si>
  <si>
    <t>2020-112</t>
  </si>
  <si>
    <t>2020-07-G01</t>
  </si>
  <si>
    <t>LRDD Organic 2020-06-030</t>
  </si>
  <si>
    <t>20AC0054</t>
  </si>
  <si>
    <t>Bid No. 20-0352</t>
  </si>
  <si>
    <t>RA7171-PROV2020-06</t>
  </si>
  <si>
    <t>100-20-06-348</t>
  </si>
  <si>
    <t>GHQPC-PKOC-RMOS-1345-20</t>
  </si>
  <si>
    <t>2020-232</t>
  </si>
  <si>
    <t>20CG0201</t>
  </si>
  <si>
    <t>RA7171-PROV2020-07</t>
  </si>
  <si>
    <t>2020-02-INFRA-JULY-01</t>
  </si>
  <si>
    <t>0019-0003-1103-2020</t>
  </si>
  <si>
    <t>101-20-06-RFQ0730</t>
  </si>
  <si>
    <t>RSPQ NO. 2020-06-038</t>
  </si>
  <si>
    <t>PR No. 2020-05-091</t>
  </si>
  <si>
    <t>20CG0205</t>
  </si>
  <si>
    <t>500196-0002</t>
  </si>
  <si>
    <t>20CG0202</t>
  </si>
  <si>
    <t>20CG0204</t>
  </si>
  <si>
    <t>002F-2</t>
  </si>
  <si>
    <t>133 - 2020</t>
  </si>
  <si>
    <t>11098</t>
  </si>
  <si>
    <t>SUBM#2020 -07-02</t>
  </si>
  <si>
    <t>PUR19-10-1204</t>
  </si>
  <si>
    <t>Sto Tomas 2020-1</t>
  </si>
  <si>
    <t>CW003-2020</t>
  </si>
  <si>
    <t>HBC20-06-304</t>
  </si>
  <si>
    <t>Quotation No. 20-07-0397</t>
  </si>
  <si>
    <t>LRDD Organic 2020-06-028</t>
  </si>
  <si>
    <t>2020-07-013 SB</t>
  </si>
  <si>
    <t>LGU-130-2020</t>
  </si>
  <si>
    <t>epslingayen2020-59</t>
  </si>
  <si>
    <t>LRDD Organic 2020-06-031</t>
  </si>
  <si>
    <t>041-2020</t>
  </si>
  <si>
    <t>20GGM0012</t>
  </si>
  <si>
    <t>SEF-I-57-2020</t>
  </si>
  <si>
    <t>GSD-J-20-301</t>
  </si>
  <si>
    <t>HBC20-06-303</t>
  </si>
  <si>
    <t>goods2020048</t>
  </si>
  <si>
    <t>2020-0011</t>
  </si>
  <si>
    <t>LGUTMO 2020-0752</t>
  </si>
  <si>
    <t>PIKCOT-002020-020</t>
  </si>
  <si>
    <t>SEHSJHS-20-06-004</t>
  </si>
  <si>
    <t>CIT-GDS2020-015</t>
  </si>
  <si>
    <t>13</t>
  </si>
  <si>
    <t>08</t>
  </si>
  <si>
    <t>RFQ-2020-003</t>
  </si>
  <si>
    <t>RA7171-PROV2020-10</t>
  </si>
  <si>
    <t>RA7171-PROV2020-09</t>
  </si>
  <si>
    <t>GHQPC-PKOC-RMOS-1346-20</t>
  </si>
  <si>
    <t>20CG0206</t>
  </si>
  <si>
    <t>G-2020-07-001</t>
  </si>
  <si>
    <t>0001-0151-1093-2020</t>
  </si>
  <si>
    <t>LRDD Organic 2020-06-027</t>
  </si>
  <si>
    <t>2020-JUNE-018</t>
  </si>
  <si>
    <t>RA7171-PROV2020-08</t>
  </si>
  <si>
    <t>LRDD 2020-06-098</t>
  </si>
  <si>
    <t>2020-055</t>
  </si>
  <si>
    <t>LGU-131-2020</t>
  </si>
  <si>
    <t>ITB 2020-03 SECURITY SERVICE</t>
  </si>
  <si>
    <t>RNS-2020-07-01</t>
  </si>
  <si>
    <t>BAC 3-2020-07-071</t>
  </si>
  <si>
    <t>1635</t>
  </si>
  <si>
    <t>RFQ 20-567</t>
  </si>
  <si>
    <t>2020-0171</t>
  </si>
  <si>
    <t>Agsao 2020-007-001</t>
  </si>
  <si>
    <t>2020-07-02-017</t>
  </si>
  <si>
    <t>CW002-2020</t>
  </si>
  <si>
    <t>PR 20-06-203</t>
  </si>
  <si>
    <t>20201125</t>
  </si>
  <si>
    <t>2010-0010</t>
  </si>
  <si>
    <t>RFQ 006-044-2020</t>
  </si>
  <si>
    <t>20CG0203</t>
  </si>
  <si>
    <t>RFQ 2020-07-0146</t>
  </si>
  <si>
    <t>401-20-06-RFQ0729</t>
  </si>
  <si>
    <t>2020 - 013</t>
  </si>
  <si>
    <t>RQ 06-222</t>
  </si>
  <si>
    <t>RFQ No.050 -2020</t>
  </si>
  <si>
    <t>RFQ-2020-047</t>
  </si>
  <si>
    <t>2020182</t>
  </si>
  <si>
    <t>NP 099-20</t>
  </si>
  <si>
    <t>LGUTMO BAC 2020-0889</t>
  </si>
  <si>
    <t>infra2020013</t>
  </si>
  <si>
    <t>LGU-133-2020</t>
  </si>
  <si>
    <t>RA7171-PROV2020-12</t>
  </si>
  <si>
    <t>COB BAC INFRA 2020-004-001</t>
  </si>
  <si>
    <t>SK-2020-07-01</t>
  </si>
  <si>
    <t>GHQPC-PKOC-RMB-1347-20</t>
  </si>
  <si>
    <t>RFQ 2020-071</t>
  </si>
  <si>
    <t>RFQ 2020-07-0147</t>
  </si>
  <si>
    <t>lgu-es-20-06-148</t>
  </si>
  <si>
    <t>RA7171-PROV2020-11</t>
  </si>
  <si>
    <t>LGUTMO BAC 2020-1037</t>
  </si>
  <si>
    <t>2020-06-060</t>
  </si>
  <si>
    <t>RFQ-NP-SVP-265-2020</t>
  </si>
  <si>
    <t>2020-02-INFRA-JULY-02</t>
  </si>
  <si>
    <t>20CG0208</t>
  </si>
  <si>
    <t>2020-06-045</t>
  </si>
  <si>
    <t>2020-07-G02</t>
  </si>
  <si>
    <t>LGUTMO BAC 2020-1008</t>
  </si>
  <si>
    <t>LGUTMO BAC 2020-1009</t>
  </si>
  <si>
    <t>PBG-2020-24</t>
  </si>
  <si>
    <t>2020-G-37</t>
  </si>
  <si>
    <t>19-2020</t>
  </si>
  <si>
    <t>20CG0207</t>
  </si>
  <si>
    <t>2020-02-INFRA-JULY-03</t>
  </si>
  <si>
    <t>GEPS-2020-0701</t>
  </si>
  <si>
    <t>BAC-PGCS-003-2020</t>
  </si>
  <si>
    <t>PBI-2020-27</t>
  </si>
  <si>
    <t>0020-0201-1091A2020</t>
  </si>
  <si>
    <t>GOODS-07-01-2020-01</t>
  </si>
  <si>
    <t>20-011(1)</t>
  </si>
  <si>
    <t>PBG-2020-25</t>
  </si>
  <si>
    <t>RFQ-NP-SVP-266-2020</t>
  </si>
  <si>
    <t>2020-07-01-01</t>
  </si>
  <si>
    <t>0020-0201-1091D2020</t>
  </si>
  <si>
    <t>S-220-2020</t>
  </si>
  <si>
    <t>BAC-2020-369</t>
  </si>
  <si>
    <t>PBI-2020-26</t>
  </si>
  <si>
    <t>2020-06-006</t>
  </si>
  <si>
    <t>20-3-10-OS-BFO</t>
  </si>
  <si>
    <t>2020-3</t>
  </si>
  <si>
    <t>2020-G-38</t>
  </si>
  <si>
    <t>LGUTMO BAC 2020-1113</t>
  </si>
  <si>
    <t>RFQ2020-07-0211 (PR#8980-20-06-0297)</t>
  </si>
  <si>
    <t>LGU-132-2020</t>
  </si>
  <si>
    <t>100-20-06-347</t>
  </si>
  <si>
    <t>20CG0209</t>
  </si>
  <si>
    <t>2020-06-059</t>
  </si>
  <si>
    <t>2020-15</t>
  </si>
  <si>
    <t>GHQPC-OSPS-OTSM-1351-20</t>
  </si>
  <si>
    <t>RFQ 2020-07-0148</t>
  </si>
  <si>
    <t>11237</t>
  </si>
  <si>
    <t>Ibaan/2020/243</t>
  </si>
  <si>
    <t>0020-0201-1091B2020</t>
  </si>
  <si>
    <t>PBI-2020-28</t>
  </si>
  <si>
    <t>LGU-134-2020</t>
  </si>
  <si>
    <t>11247</t>
  </si>
  <si>
    <t>2020-06-0046</t>
  </si>
  <si>
    <t>PHILGEPS 2020-06-80</t>
  </si>
  <si>
    <t>CW004-2020</t>
  </si>
  <si>
    <t>GHQPC-OSSSM-RMMV-1352-20</t>
  </si>
  <si>
    <t>2020-0061</t>
  </si>
  <si>
    <t>PBI-2020-29</t>
  </si>
  <si>
    <t>RFQ-NP-SVP-267-2020</t>
  </si>
  <si>
    <t>1545</t>
  </si>
  <si>
    <t>042-2020</t>
  </si>
  <si>
    <t>PGLDN 101-20-06-1186</t>
  </si>
  <si>
    <t>RFQ-2020-004</t>
  </si>
  <si>
    <t>20CSE012</t>
  </si>
  <si>
    <t>20-2020</t>
  </si>
  <si>
    <t>20ID0076</t>
  </si>
  <si>
    <t>2013-01M03-02</t>
  </si>
  <si>
    <t>127-1011-017</t>
  </si>
  <si>
    <t>DF 20 -  0701</t>
  </si>
  <si>
    <t>2020-75</t>
  </si>
  <si>
    <t>19mond0701A</t>
  </si>
  <si>
    <t>06-20-034</t>
  </si>
  <si>
    <t>P-0643</t>
  </si>
  <si>
    <t>RFQ-PNR-2020-002 CAT III–MED/LAB SUPPLIES &amp; REAGEN</t>
  </si>
  <si>
    <t>2020-07-24</t>
  </si>
  <si>
    <t>20CG0210</t>
  </si>
  <si>
    <t>126-1011-017</t>
  </si>
  <si>
    <t>OSSM-SEMEB-1353-20</t>
  </si>
  <si>
    <t>PBI-2020-31</t>
  </si>
  <si>
    <t>20CG0214</t>
  </si>
  <si>
    <t>500196-0003</t>
  </si>
  <si>
    <t>pgeps#881-2020</t>
  </si>
  <si>
    <t>RFQ#20-07-107</t>
  </si>
  <si>
    <t>019-2020</t>
  </si>
  <si>
    <t>20FE0132</t>
  </si>
  <si>
    <t>N-425-2020</t>
  </si>
  <si>
    <t>Infra-Iluluan-2020</t>
  </si>
  <si>
    <t>07-02-2020-01</t>
  </si>
  <si>
    <t>ITB 2020-22</t>
  </si>
  <si>
    <t>20CG0213</t>
  </si>
  <si>
    <t>M2006-424</t>
  </si>
  <si>
    <t>20ID0077</t>
  </si>
  <si>
    <t>2020 - 014</t>
  </si>
  <si>
    <t>20CG0211</t>
  </si>
  <si>
    <t>RSPQ NO. 2020-06-037</t>
  </si>
  <si>
    <t>7-20-01</t>
  </si>
  <si>
    <t>CW006-2020</t>
  </si>
  <si>
    <t>20mond0701B</t>
  </si>
  <si>
    <t>20-06-0307</t>
  </si>
  <si>
    <t>OPOL 2020-060</t>
  </si>
  <si>
    <t>20CG0212</t>
  </si>
  <si>
    <t>N-436-2020</t>
  </si>
  <si>
    <t>20CG0215</t>
  </si>
  <si>
    <t>200701</t>
  </si>
  <si>
    <t>RFQ2020-07-0215 (PR#1061-20-06-0301)</t>
  </si>
  <si>
    <t>20FE0133</t>
  </si>
  <si>
    <t>GHQPC-OTSG-TRNG-1355-20</t>
  </si>
  <si>
    <t>SVP 20-0563</t>
  </si>
  <si>
    <t>20CG0216</t>
  </si>
  <si>
    <t>032-07-2020</t>
  </si>
  <si>
    <t>20GFO0022</t>
  </si>
  <si>
    <t>2020-G-39</t>
  </si>
  <si>
    <t>RFQ 2020-407A</t>
  </si>
  <si>
    <t>114-1011-017</t>
  </si>
  <si>
    <t>2013-01M04-03</t>
  </si>
  <si>
    <t>RFQ-2020-005</t>
  </si>
  <si>
    <t>20-06-206</t>
  </si>
  <si>
    <t>CBSUA-SIP-GOODS-06-2020</t>
  </si>
  <si>
    <t>2020-06-277</t>
  </si>
  <si>
    <t>20-07-105</t>
  </si>
  <si>
    <t>2020-34</t>
  </si>
  <si>
    <t>2020-64</t>
  </si>
  <si>
    <t>PBI-2020-30</t>
  </si>
  <si>
    <t>RFQ2020-07-0212 (PR#1061-20-06-0298)</t>
  </si>
  <si>
    <t>CW005-2020</t>
  </si>
  <si>
    <t>0239-2020</t>
  </si>
  <si>
    <t>RFQ-NP-SVP-263-2020</t>
  </si>
  <si>
    <t>20-07-106</t>
  </si>
  <si>
    <t>07-01-2020-245</t>
  </si>
  <si>
    <t>RFQ2020-07-0213 (PR#1011-20-06-0299)</t>
  </si>
  <si>
    <t>2020-0172</t>
  </si>
  <si>
    <t>20-06-205</t>
  </si>
  <si>
    <t>2020-02-INFRA-JULY-04</t>
  </si>
  <si>
    <t>RSPQ NO. 2020-06-036</t>
  </si>
  <si>
    <t>033-07-2020</t>
  </si>
  <si>
    <t>RFQ-2020-048</t>
  </si>
  <si>
    <t>2020-0173</t>
  </si>
  <si>
    <t>034-07-2020</t>
  </si>
  <si>
    <t>AD-2020-07-0309</t>
  </si>
  <si>
    <t>6-20-02</t>
  </si>
  <si>
    <t>LTO-SU-20-045</t>
  </si>
  <si>
    <t>M2006-436</t>
  </si>
  <si>
    <t>20-07-112</t>
  </si>
  <si>
    <t>2020-008-G</t>
  </si>
  <si>
    <t>101-2020-06-306</t>
  </si>
  <si>
    <t>20FE0135</t>
  </si>
  <si>
    <t>GA 2020-06-078</t>
  </si>
  <si>
    <t>GA 2020-06-080</t>
  </si>
  <si>
    <t>ITB - KOR: 20-07-0688 CEO</t>
  </si>
  <si>
    <t>07-01-2020-247</t>
  </si>
  <si>
    <t>07-01-2020-246</t>
  </si>
  <si>
    <t>20-07-113</t>
  </si>
  <si>
    <t>2020-PLA-066</t>
  </si>
  <si>
    <t>020-2020</t>
  </si>
  <si>
    <t>N-389-2020</t>
  </si>
  <si>
    <t>2020-02-INFRA-JULY-05</t>
  </si>
  <si>
    <t>20ED0135</t>
  </si>
  <si>
    <t xml:space="preserve">2020-06-1053 BARCODE LABEL AND RIBBON; COMPATIBLE </t>
  </si>
  <si>
    <t>Bantonan-Infra-01072020</t>
  </si>
  <si>
    <t>DOSTRO1-CS2020-03</t>
  </si>
  <si>
    <t>20FE0134</t>
  </si>
  <si>
    <t>N-435-2020</t>
  </si>
  <si>
    <t>20NI0082</t>
  </si>
  <si>
    <t>20FE0136</t>
  </si>
  <si>
    <t>NP 20-0755</t>
  </si>
  <si>
    <t>20GAD006</t>
  </si>
  <si>
    <t>2020-02-INFRA-JULY-06</t>
  </si>
  <si>
    <t>RFQ 074</t>
  </si>
  <si>
    <t>AHWD 2020-02-077</t>
  </si>
  <si>
    <t>GA 2020-06-082</t>
  </si>
  <si>
    <t>PRSD-2020-06-0306</t>
  </si>
  <si>
    <t>064</t>
  </si>
  <si>
    <t>GHQPC-PGMC-RMICTE-1359-20</t>
  </si>
  <si>
    <t>S-211-2020</t>
  </si>
  <si>
    <t>DOSTRO1-CS2020-02</t>
  </si>
  <si>
    <t>SN No 2020-001</t>
  </si>
  <si>
    <t>ITB NO. OCD 2020-08 (REPOSTING)</t>
  </si>
  <si>
    <t>20-07-115</t>
  </si>
  <si>
    <t>085-2020</t>
  </si>
  <si>
    <t>2020-02-INFRA-JULY-07</t>
  </si>
  <si>
    <t>POW - 8751 - 2020 - BKL - 04</t>
  </si>
  <si>
    <t>SV-2020-043</t>
  </si>
  <si>
    <t>DOSTRO1-CS2020-04</t>
  </si>
  <si>
    <t>20NI0083</t>
  </si>
  <si>
    <t>RFP-2020OB001</t>
  </si>
  <si>
    <t>ITB-KOR: 20-07-0689 CEO</t>
  </si>
  <si>
    <t>20-07-114</t>
  </si>
  <si>
    <t>PR No. 14167 - 062320</t>
  </si>
  <si>
    <t>Miti-Infra-07012020</t>
  </si>
  <si>
    <t>RFQ 20-457A</t>
  </si>
  <si>
    <t>2020-233</t>
  </si>
  <si>
    <t>POW - 8751 - 2020 - LBS - 01</t>
  </si>
  <si>
    <t>GWD No. 2020-07-01</t>
  </si>
  <si>
    <t>ODA-OS-2020-07-0310</t>
  </si>
  <si>
    <t>BAYLE0720AMP0371</t>
  </si>
  <si>
    <t>07-01-2020-248</t>
  </si>
  <si>
    <t>MGL-INFR-2020-01</t>
  </si>
  <si>
    <t>REI-2020OB007</t>
  </si>
  <si>
    <t>100-20-07-375</t>
  </si>
  <si>
    <t>20mond0701C</t>
  </si>
  <si>
    <t>20NI0081</t>
  </si>
  <si>
    <t>GoodSSVP-54-2020</t>
  </si>
  <si>
    <t>BAYLE0720AMP0372</t>
  </si>
  <si>
    <t>2020-04-422</t>
  </si>
  <si>
    <t>PSA-RSSO6-2020-052</t>
  </si>
  <si>
    <t>20-01</t>
  </si>
  <si>
    <t>B2020-083-A</t>
  </si>
  <si>
    <t>BSPMD PR No. 1000031744</t>
  </si>
  <si>
    <t>LGU-100-2020-06-451</t>
  </si>
  <si>
    <t>LGU LAUREL 20-07-001</t>
  </si>
  <si>
    <t>101-2020-06-305</t>
  </si>
  <si>
    <t>MCIAA 07-532-20</t>
  </si>
  <si>
    <t>Ibaan/2020/244</t>
  </si>
  <si>
    <t>BAYLE0720AMP0368</t>
  </si>
  <si>
    <t>20NI0084</t>
  </si>
  <si>
    <t>2020-044</t>
  </si>
  <si>
    <t>PSA-RSSO6-2020-053</t>
  </si>
  <si>
    <t>2020-06-1042 DISPOSABLE GOWN AND DRAPES LAPAROTOMY</t>
  </si>
  <si>
    <t>SV-2020-044</t>
  </si>
  <si>
    <t>AMP-RFQ-2020-095</t>
  </si>
  <si>
    <t>2020-02-INFRA-JULY-08</t>
  </si>
  <si>
    <t>2020 - 023</t>
  </si>
  <si>
    <t>POW - 8751 - 2020 - PCO - 02</t>
  </si>
  <si>
    <t>MCIAA 07-531-20</t>
  </si>
  <si>
    <t>2020-07-0393</t>
  </si>
  <si>
    <t>ITB-KOR: 20-07-0670 CMO-BDP</t>
  </si>
  <si>
    <t>100-20-06-172</t>
  </si>
  <si>
    <t>PSA-RSSO6-2020-055</t>
  </si>
  <si>
    <t>20-07-003</t>
  </si>
  <si>
    <t>2013-01M02-04</t>
  </si>
  <si>
    <t>20-06-0279</t>
  </si>
  <si>
    <t>2013-01M02-03</t>
  </si>
  <si>
    <t>2020-05-447</t>
  </si>
  <si>
    <t>NP-PRS-2007-055</t>
  </si>
  <si>
    <t>IB - 2020-21 - A</t>
  </si>
  <si>
    <t>ITB 20-002-A</t>
  </si>
  <si>
    <t>BAYLE0720AMP0373</t>
  </si>
  <si>
    <t>G-2020-06-0314</t>
  </si>
  <si>
    <t>PSA-RSSO6-2020-057</t>
  </si>
  <si>
    <t>INFRA-2020-227</t>
  </si>
  <si>
    <t>NP NO:2020-07-02</t>
  </si>
  <si>
    <t>Ibaan/2020/245</t>
  </si>
  <si>
    <t>2012-01C02-02</t>
  </si>
  <si>
    <t>NP NO:2020-07-03</t>
  </si>
  <si>
    <t>PR # 20-06-048</t>
  </si>
  <si>
    <t>ITB-KOR: 20-07-0672 CPDO</t>
  </si>
  <si>
    <t>2020-154</t>
  </si>
  <si>
    <t>INFRA-2020-228</t>
  </si>
  <si>
    <t>BARASRIZAL2020-029</t>
  </si>
  <si>
    <t>0240-2020</t>
  </si>
  <si>
    <t>PSA-RSSO6-2020-058</t>
  </si>
  <si>
    <t>PSA-RSSO6-2020-059</t>
  </si>
  <si>
    <t>016-1016-020</t>
  </si>
  <si>
    <t>20CSM004-Feasibility Study of Maligang-Tudok-T'bol</t>
  </si>
  <si>
    <t>20CSM005-Sub-Surface Exploration of the proposed f</t>
  </si>
  <si>
    <t>2002-01M08-01</t>
  </si>
  <si>
    <t>SVP 20-0094-A</t>
  </si>
  <si>
    <t>25</t>
  </si>
  <si>
    <t>SVP 20-0295</t>
  </si>
  <si>
    <t>PSA-RSSO6-2020-061</t>
  </si>
  <si>
    <t>20CSM006</t>
  </si>
  <si>
    <t>SH 037-12</t>
  </si>
  <si>
    <t>HS-759-071-2020</t>
  </si>
  <si>
    <t>20PD0093</t>
  </si>
  <si>
    <t>NP 100-20</t>
  </si>
  <si>
    <t>BID20-019</t>
  </si>
  <si>
    <t>SKJ070120</t>
  </si>
  <si>
    <t>2019-12-1343</t>
  </si>
  <si>
    <t>SVP 20-0294</t>
  </si>
  <si>
    <t>20AB0131</t>
  </si>
  <si>
    <t>2020-07-279</t>
  </si>
  <si>
    <t>NP 101-20</t>
  </si>
  <si>
    <t>SVP 20-0299</t>
  </si>
  <si>
    <t>HS-760-072-2020</t>
  </si>
  <si>
    <t>AMP-RFQ-2020-098</t>
  </si>
  <si>
    <t>SVP 20-0298</t>
  </si>
  <si>
    <t>PDO-TRNG-1362-20</t>
  </si>
  <si>
    <t>RFQ-GOODS-ICT-20-031</t>
  </si>
  <si>
    <t>20GGF0020</t>
  </si>
  <si>
    <t>RFQ-GOODS-ICT-20-032</t>
  </si>
  <si>
    <t>PSA-RSSO6-2020-062</t>
  </si>
  <si>
    <t>SAZ-2020-07-002</t>
  </si>
  <si>
    <t>20AB0130</t>
  </si>
  <si>
    <t>ITB-KOR: 20-07-0676 CMO</t>
  </si>
  <si>
    <t>023-2020</t>
  </si>
  <si>
    <t>SVP 20-0296</t>
  </si>
  <si>
    <t>2020-07-0037</t>
  </si>
  <si>
    <t>ITB-KOR: 20-07-0675 CMO</t>
  </si>
  <si>
    <t>2020-07-01 LGU</t>
  </si>
  <si>
    <t>SV-2020-045</t>
  </si>
  <si>
    <t>SVP 20-0297</t>
  </si>
  <si>
    <t>SVP 20-0150-A</t>
  </si>
  <si>
    <t>PSA-RSSO6-2020-060</t>
  </si>
  <si>
    <t>SKJ070120-2</t>
  </si>
  <si>
    <t>2003-01M08-01</t>
  </si>
  <si>
    <t>INFRA-2020-008</t>
  </si>
  <si>
    <t>AMP-RFQ-2020-096</t>
  </si>
  <si>
    <t>BID20-020</t>
  </si>
  <si>
    <t>ADM-20-07-0502/20-07-0501/20-07-0504</t>
  </si>
  <si>
    <t>NP NO:2020-07-01</t>
  </si>
  <si>
    <t>IB_CivilWorks_2020-07-035</t>
  </si>
  <si>
    <t>20AB0133</t>
  </si>
  <si>
    <t>2020-058</t>
  </si>
  <si>
    <t>PSA-RSSO6-2020-064</t>
  </si>
  <si>
    <t>CRPIP-2020-06-077</t>
  </si>
  <si>
    <t>PSA-RSSO6-2020-056</t>
  </si>
  <si>
    <t>20AB0132</t>
  </si>
  <si>
    <t>20PD0104</t>
  </si>
  <si>
    <t>PDO-REPE-1363-20</t>
  </si>
  <si>
    <t>SVP 20-0303</t>
  </si>
  <si>
    <t>PB NO:2020-07-26</t>
  </si>
  <si>
    <t>SVP 20-0302</t>
  </si>
  <si>
    <t>RFQ-GSS-JOB-20-028</t>
  </si>
  <si>
    <t>20GM0008</t>
  </si>
  <si>
    <t>20PD0098</t>
  </si>
  <si>
    <t>PSA-RSSO6-2020-063</t>
  </si>
  <si>
    <t>20GI0100</t>
  </si>
  <si>
    <t>20AC0056</t>
  </si>
  <si>
    <t>MINSAT-20-96684 (ECA)</t>
  </si>
  <si>
    <t>202001</t>
  </si>
  <si>
    <t>RFQ - PR No. 2020-06-0125 dated 6-23-20</t>
  </si>
  <si>
    <t>POW - 8751 - 2020 - PBN - 04</t>
  </si>
  <si>
    <t>PSA-RSSO6-2020-065</t>
  </si>
  <si>
    <t>2020-06-1019 HEAD CAPS DISPOSABLE GREEN GOOD FIT G</t>
  </si>
  <si>
    <t>ITB-KOR: 20-07-0671 CSU</t>
  </si>
  <si>
    <t>BID20-022</t>
  </si>
  <si>
    <t>20GM0009</t>
  </si>
  <si>
    <t>Brgy 2020 - 001</t>
  </si>
  <si>
    <t>BAC-07-1055</t>
  </si>
  <si>
    <t>100-20-05-327</t>
  </si>
  <si>
    <t>Brgy 2020 - 003</t>
  </si>
  <si>
    <t>PSA-RSSO6-2020-067</t>
  </si>
  <si>
    <t>SVP 20-0306</t>
  </si>
  <si>
    <t>BAC-07-1056</t>
  </si>
  <si>
    <t>BID20-021</t>
  </si>
  <si>
    <t>JHV-20-07-0503</t>
  </si>
  <si>
    <t>PSA-RSSO6-2020-066</t>
  </si>
  <si>
    <t>47823C</t>
  </si>
  <si>
    <t>SVP20-521</t>
  </si>
  <si>
    <t>UPLB-RES-032-07-20 VEHICLES FOR CEAT - AMTEC</t>
  </si>
  <si>
    <t>SVP 20-0301</t>
  </si>
  <si>
    <t>STA. CRUZ INFRA_07012020</t>
  </si>
  <si>
    <t>19090292-Bilar</t>
  </si>
  <si>
    <t>SVP20-520</t>
  </si>
  <si>
    <t>SVP 2020-377</t>
  </si>
  <si>
    <t>RFQ NO. SVP-025-2020</t>
  </si>
  <si>
    <t>04213531</t>
  </si>
  <si>
    <t>SP-2020-0016</t>
  </si>
  <si>
    <t>2LSSM2020A-302</t>
  </si>
  <si>
    <t>20GF0105</t>
  </si>
  <si>
    <t>PHilMech RCEF 20-06-04</t>
  </si>
  <si>
    <t>PHilMech RCEF 20-06-03</t>
  </si>
  <si>
    <t>2020-06-060RFQ</t>
  </si>
  <si>
    <t>MUNPINCE-2006-115</t>
  </si>
  <si>
    <t>LGU-TAN-GOODS-2020-072</t>
  </si>
  <si>
    <t>PBO-2020-0019, VDH-2020-0155, VDH-2020-0158</t>
  </si>
  <si>
    <t>BAC GS No. 2020-0254 dated 01 June 2020</t>
  </si>
  <si>
    <t>20GM0010</t>
  </si>
  <si>
    <t>2010-019</t>
  </si>
  <si>
    <t>UPLB-RES-028-07-20 ENG'G AND LAB TESTING EQUIP. FO</t>
  </si>
  <si>
    <t>2013-01M06-03</t>
  </si>
  <si>
    <t>PSA-RSSO6-2020-054</t>
  </si>
  <si>
    <t>GHQPC-PGMC-SPOF-1358-20</t>
  </si>
  <si>
    <t>MUNPINCE-2006-114</t>
  </si>
  <si>
    <t>2020-06-059RFQ</t>
  </si>
  <si>
    <t>20-07-209</t>
  </si>
  <si>
    <t>BAYLE0720AMP0370</t>
  </si>
  <si>
    <t>DA 8 SVP Goods 2020-07-0085 (Corn 20-07-01-0205)</t>
  </si>
  <si>
    <t>2020-07-0010</t>
  </si>
  <si>
    <t>2020-06-057RFQ</t>
  </si>
  <si>
    <t>2020-06-1296</t>
  </si>
  <si>
    <t>20-07-0378</t>
  </si>
  <si>
    <t>2020-119</t>
  </si>
  <si>
    <t>20-07-111</t>
  </si>
  <si>
    <t>1544</t>
  </si>
  <si>
    <t>RFQ-GS-20200127-04(2)</t>
  </si>
  <si>
    <t>DOSTRO1-CS2020-01</t>
  </si>
  <si>
    <t>VGOV-2020-0035</t>
  </si>
  <si>
    <t>VGOV-2020-0036</t>
  </si>
  <si>
    <t>2020-07-0042</t>
  </si>
  <si>
    <t>2LSSM2020A-307</t>
  </si>
  <si>
    <t>2020-024</t>
  </si>
  <si>
    <t>OPA-2020-0166, 0281, 0282, 0167</t>
  </si>
  <si>
    <t>2LSSM2020A-306</t>
  </si>
  <si>
    <t>2LSSM2020A-305</t>
  </si>
  <si>
    <t>RFQ-GS-20200615-01</t>
  </si>
  <si>
    <t>GA 2020-06-079</t>
  </si>
  <si>
    <t>2LSSM2020A-304</t>
  </si>
  <si>
    <t>2020183</t>
  </si>
  <si>
    <t>12345678</t>
  </si>
  <si>
    <t>2LSSM2020A-308</t>
  </si>
  <si>
    <t>043-2020</t>
  </si>
  <si>
    <t>COB BAC INFRA 2020-004-006</t>
  </si>
  <si>
    <t>VET-2020-0333</t>
  </si>
  <si>
    <t>LGU-TAN-GOODS-2020-074</t>
  </si>
  <si>
    <t>2020-07-01 (1) LGU</t>
  </si>
  <si>
    <t>PEMO-2020-2031</t>
  </si>
  <si>
    <t>COB BAC INFRA 2020-004-005</t>
  </si>
  <si>
    <t>RFQ-GS-20200206-06(2)</t>
  </si>
  <si>
    <t>PEMO-2020-2104</t>
  </si>
  <si>
    <t>COB BAC INFRA 2020-004-004</t>
  </si>
  <si>
    <t>DepED-RO6-D1-SGOD(DRRM)-049-2020</t>
  </si>
  <si>
    <t>PEMO-2020-2107</t>
  </si>
  <si>
    <t>COB BAC INFRA 2020-004-003</t>
  </si>
  <si>
    <t>VET-2020-0334</t>
  </si>
  <si>
    <t>COB BAC INFRA 2020-004-002</t>
  </si>
  <si>
    <t>20-06-304</t>
  </si>
  <si>
    <t>PB20-06-035COR</t>
  </si>
  <si>
    <t>NOTD-2020-0157</t>
  </si>
  <si>
    <t>DepED-RO6-D1-OSDS(ACCOUNTING)-048-2020</t>
  </si>
  <si>
    <t>SVP 2020-378</t>
  </si>
  <si>
    <t>2020-118</t>
  </si>
  <si>
    <t>RFQ-GS-20200610-01</t>
  </si>
  <si>
    <t>20KF0122</t>
  </si>
  <si>
    <t>SDO-2020-06-053</t>
  </si>
  <si>
    <t>RFQ 07-2020-014</t>
  </si>
  <si>
    <t>2LSSM2020A-311</t>
  </si>
  <si>
    <t>2LSSM2020A-310</t>
  </si>
  <si>
    <t>C-072-2020</t>
  </si>
  <si>
    <t>20mond0701D</t>
  </si>
  <si>
    <t>OPA-2020-0083</t>
  </si>
  <si>
    <t>ORG-2020-0015</t>
  </si>
  <si>
    <t>COB BAC INFRA 2020-004-008</t>
  </si>
  <si>
    <t>20FJ0035</t>
  </si>
  <si>
    <t>2020-07-095</t>
  </si>
  <si>
    <t>20GG0047-G</t>
  </si>
  <si>
    <t>20FJ0036</t>
  </si>
  <si>
    <t>2020-07-094</t>
  </si>
  <si>
    <t>2LSSM2020A-309</t>
  </si>
  <si>
    <t>CW-0701-001</t>
  </si>
  <si>
    <t>LGU-TAN-GOODS-2020-073</t>
  </si>
  <si>
    <t>2LSSM2020A-317</t>
  </si>
  <si>
    <t>2LSSM2020A-316</t>
  </si>
  <si>
    <t>07012020A</t>
  </si>
  <si>
    <t>2LSSM2020A-315</t>
  </si>
  <si>
    <t>COB BAC INFRA 2020-004-009</t>
  </si>
  <si>
    <t>2LSSM2020A-314</t>
  </si>
  <si>
    <t>P.R NO. 100-2020-06-0342</t>
  </si>
  <si>
    <t>20FJ0034</t>
  </si>
  <si>
    <t>2LSSM2020A-313</t>
  </si>
  <si>
    <t>20KF0123</t>
  </si>
  <si>
    <t>202001008</t>
  </si>
  <si>
    <t>VET-2020-0122</t>
  </si>
  <si>
    <t>2LSSM2020A-303</t>
  </si>
  <si>
    <t>DSBH-2020-0149</t>
  </si>
  <si>
    <t>COB BAC INFRA 2020-004-007</t>
  </si>
  <si>
    <t>20KF0124</t>
  </si>
  <si>
    <t>202001009</t>
  </si>
  <si>
    <t>20-301</t>
  </si>
  <si>
    <t>C-076-2020</t>
  </si>
  <si>
    <t>CW50-2020</t>
  </si>
  <si>
    <t>Brgy 2020 - 004</t>
  </si>
  <si>
    <t>P.R NO. 100-2020-06-0344</t>
  </si>
  <si>
    <t>109933 - 2020 - 07</t>
  </si>
  <si>
    <t>20-283</t>
  </si>
  <si>
    <t>CW49-2020</t>
  </si>
  <si>
    <t>2LSSM2020A-312</t>
  </si>
  <si>
    <t>20-274</t>
  </si>
  <si>
    <t>109933 - 2020 - 04</t>
  </si>
  <si>
    <t>20-245</t>
  </si>
  <si>
    <t>109933 - 2020 - 06</t>
  </si>
  <si>
    <t>P.R NO. 100-2020-06-0332</t>
  </si>
  <si>
    <t>RFQ-SVP-2020-011</t>
  </si>
  <si>
    <t>0456 LGU-LAOANG-2020</t>
  </si>
  <si>
    <t>20-277</t>
  </si>
  <si>
    <t>RFQ-GS-20200622-02</t>
  </si>
  <si>
    <t>20-284</t>
  </si>
  <si>
    <t>GA 2020-06-077</t>
  </si>
  <si>
    <t>I.D. NO. –June30-2020-482</t>
  </si>
  <si>
    <t>109933 - 2020 - 05</t>
  </si>
  <si>
    <t>2020-07-023</t>
  </si>
  <si>
    <t>MOOE KJCMES</t>
  </si>
  <si>
    <t>2020 Tumanding 8</t>
  </si>
  <si>
    <t>20-014</t>
  </si>
  <si>
    <t>2020-PB-DO-MTPP-035-03</t>
  </si>
  <si>
    <t>RBAC12-2020-SVP-F-057</t>
  </si>
  <si>
    <t>20GG0046-G</t>
  </si>
  <si>
    <t>MEO-2020-67</t>
  </si>
  <si>
    <t>NOTD-2020-0156</t>
  </si>
  <si>
    <t>CW51-2020</t>
  </si>
  <si>
    <t>CW52-2020</t>
  </si>
  <si>
    <t>20-013</t>
  </si>
  <si>
    <t>20GD00004</t>
  </si>
  <si>
    <t>20-012</t>
  </si>
  <si>
    <t>I.D. NO. –June30-2020-485</t>
  </si>
  <si>
    <t>I.D. NO. –June30-2020-478</t>
  </si>
  <si>
    <t>2020-0193 dated 11 May 2020</t>
  </si>
  <si>
    <t>GTLMH-TF-20-045 MHS</t>
  </si>
  <si>
    <t>I.D. NO. –June30-2020-483</t>
  </si>
  <si>
    <t>2020-PB-IFO-MTPP-001-04</t>
  </si>
  <si>
    <t>2020-07-0057</t>
  </si>
  <si>
    <t>I.D. NO. –June30-2020-477</t>
  </si>
  <si>
    <t>20-07-01-001</t>
  </si>
  <si>
    <t>DA3-2019-12-09-84(2020)</t>
  </si>
  <si>
    <t>I.D. NO. –June30-2020-480</t>
  </si>
  <si>
    <t>brgy 848</t>
  </si>
  <si>
    <t>2020 Kulaman 1</t>
  </si>
  <si>
    <t>2020-0385 dated 26 June 2020 (BSPI)</t>
  </si>
  <si>
    <t>RFQ NO. SVP-027-2020</t>
  </si>
  <si>
    <t>PB 2020-07</t>
  </si>
  <si>
    <t>I.D. NO. –June30-2020-479</t>
  </si>
  <si>
    <t>UPLB-I-022-07-20 SUPPLY, DELIVERY, INSTALLATION, T</t>
  </si>
  <si>
    <t>20OH0087 Re-ads</t>
  </si>
  <si>
    <t>2019-10-473</t>
  </si>
  <si>
    <t>20-347</t>
  </si>
  <si>
    <t>20-07-01-003</t>
  </si>
  <si>
    <t>I.D. NO. –June30-2020-481</t>
  </si>
  <si>
    <t>24-2020</t>
  </si>
  <si>
    <t>RFQ NO. SVP-026-2020</t>
  </si>
  <si>
    <t>GTLMH-TF-20-007 MAIP</t>
  </si>
  <si>
    <t>20LH0104</t>
  </si>
  <si>
    <t>PB-202001-2</t>
  </si>
  <si>
    <t>20LH0103</t>
  </si>
  <si>
    <t>20LH0101</t>
  </si>
  <si>
    <t>20-334</t>
  </si>
  <si>
    <t>GTLMH-20-127</t>
  </si>
  <si>
    <t>20LH0100</t>
  </si>
  <si>
    <t>2020-07-0089</t>
  </si>
  <si>
    <t>DA3-2020-234-03-16</t>
  </si>
  <si>
    <t>BAC-20-07-068 (PADD)</t>
  </si>
  <si>
    <t>20LH0102</t>
  </si>
  <si>
    <t>20LH0098</t>
  </si>
  <si>
    <t>2020-07-096</t>
  </si>
  <si>
    <t>20LH0099</t>
  </si>
  <si>
    <t>G26-2020</t>
  </si>
  <si>
    <t>BV-17-20</t>
  </si>
  <si>
    <t>GOODS-2020-PB-007</t>
  </si>
  <si>
    <t>2020-06-247</t>
  </si>
  <si>
    <t>2020-03-173 Re-bid</t>
  </si>
  <si>
    <t>OfficeSupplies2020</t>
  </si>
  <si>
    <t>20CSFI02</t>
  </si>
  <si>
    <t>20-07-0379</t>
  </si>
  <si>
    <t>HFE-2020-06-0224</t>
  </si>
  <si>
    <t>BAC INFRA 2020 07-05</t>
  </si>
  <si>
    <t>BAC INFRA 2020 07-03</t>
  </si>
  <si>
    <t>25-2020</t>
  </si>
  <si>
    <t>20LH0107</t>
  </si>
  <si>
    <t>20LH0106</t>
  </si>
  <si>
    <t>20LH0105</t>
  </si>
  <si>
    <t>20CSFI01</t>
  </si>
  <si>
    <t>2020-07-0088</t>
  </si>
  <si>
    <t>BAC INFRA 2020 07-04</t>
  </si>
  <si>
    <t>RFQ NO. SVP-028-2020</t>
  </si>
  <si>
    <t>G25-2020</t>
  </si>
  <si>
    <t>2020 - 009</t>
  </si>
  <si>
    <t>BAC INFRA 2020 07-02</t>
  </si>
  <si>
    <t>GOODS-2020-02-01</t>
  </si>
  <si>
    <t>20LH0096</t>
  </si>
  <si>
    <t>BAC-20-07-069 (PADD)</t>
  </si>
  <si>
    <t>ICT-2020-01</t>
  </si>
  <si>
    <t>19CSZ016</t>
  </si>
  <si>
    <t>20-07-011</t>
  </si>
  <si>
    <t>20-07-01-002</t>
  </si>
  <si>
    <t>2020 - 010</t>
  </si>
  <si>
    <t>20LH0097</t>
  </si>
  <si>
    <t>GOODS-2020-05-05</t>
  </si>
  <si>
    <t>20CA0058</t>
  </si>
  <si>
    <t>20CA0057</t>
  </si>
  <si>
    <t>20CA0056</t>
  </si>
  <si>
    <t>CW06232020-4</t>
  </si>
  <si>
    <t>2020 - 011</t>
  </si>
  <si>
    <t>2020 - 008</t>
  </si>
  <si>
    <t>8751-0620-493</t>
  </si>
  <si>
    <t>7999-0620-487</t>
  </si>
  <si>
    <t>TM-20-06-0044</t>
  </si>
  <si>
    <t>PHO-20-749-B</t>
  </si>
  <si>
    <t>7999-0620-488</t>
  </si>
  <si>
    <t>2020-06-366</t>
  </si>
  <si>
    <t>CW06232020-5</t>
  </si>
  <si>
    <t>20200626</t>
  </si>
  <si>
    <t>PNU - VIS - GD 2020.06.002</t>
  </si>
  <si>
    <t>2020-03-166 Re-bid</t>
  </si>
  <si>
    <t>SB3 HDMP 200-20-05-05180</t>
  </si>
  <si>
    <t>INFRA2020-08</t>
  </si>
  <si>
    <t>10</t>
  </si>
  <si>
    <t>GAMOT 200-20-06-06111</t>
  </si>
  <si>
    <t>2020-06-361</t>
  </si>
  <si>
    <t>2020-02-119 Re-bid</t>
  </si>
  <si>
    <t>2020-02-8</t>
  </si>
  <si>
    <t>2020-02-7</t>
  </si>
  <si>
    <t>2020-02-6</t>
  </si>
  <si>
    <t>2020-02-5</t>
  </si>
  <si>
    <t>2020-02-4</t>
  </si>
  <si>
    <t>2020-02-3</t>
  </si>
  <si>
    <t>2020-02-2</t>
  </si>
  <si>
    <t>20-06-03</t>
  </si>
  <si>
    <t>2020-544-06</t>
  </si>
  <si>
    <t>20PE0002(G)</t>
  </si>
  <si>
    <t>2020-06-376</t>
  </si>
  <si>
    <t>INFR-20-015</t>
  </si>
  <si>
    <t>7999-0420-357</t>
  </si>
  <si>
    <t>8771-0220-122</t>
  </si>
  <si>
    <t>8751-0620-491</t>
  </si>
  <si>
    <t>8751-0620-548</t>
  </si>
  <si>
    <t>8751-0620-494</t>
  </si>
  <si>
    <t>CDH-2020-0093</t>
  </si>
  <si>
    <t>PNU - VIS - GD 2020.06.003</t>
  </si>
  <si>
    <t>2020-B1-06-016</t>
  </si>
  <si>
    <t>2020-B2-06-018</t>
  </si>
  <si>
    <t>2020-01-002</t>
  </si>
  <si>
    <t>2020-B2-06-017</t>
  </si>
  <si>
    <t>2020-01-001</t>
  </si>
  <si>
    <t>2020-03-149 Re-bid</t>
  </si>
  <si>
    <t>2020-03-148 Re-bid</t>
  </si>
  <si>
    <t>2020-06-370</t>
  </si>
  <si>
    <t>PR-01_2020</t>
  </si>
  <si>
    <t>20CA0059</t>
  </si>
  <si>
    <t>2020-06-367</t>
  </si>
  <si>
    <t>MANA-10-20</t>
  </si>
  <si>
    <t>8751-0620-492</t>
  </si>
  <si>
    <t>SB2 LREP19 300-20-03-02986</t>
  </si>
  <si>
    <t>2020-02-1</t>
  </si>
  <si>
    <t>2020-027 CDO</t>
  </si>
  <si>
    <t>INFRA2020-07</t>
  </si>
  <si>
    <t>SF-INFRA-027-020</t>
  </si>
  <si>
    <t>2020-06-372</t>
  </si>
  <si>
    <t>SF-INFRA-025-020</t>
  </si>
  <si>
    <t>PVAO-RFQ-36-FSEOTARLAC-2020</t>
  </si>
  <si>
    <t>SUC 2020-06-012</t>
  </si>
  <si>
    <t>SF-INFRA-023-020</t>
  </si>
  <si>
    <t>ITB NO: SFZ-INFRA 2020-005</t>
  </si>
  <si>
    <t>20GCE0009</t>
  </si>
  <si>
    <t>SF-INFRA-026-020</t>
  </si>
  <si>
    <t>SF-INFRA-024-020</t>
  </si>
  <si>
    <t>SF-INFRA-038-020</t>
  </si>
  <si>
    <t>2020-06-371</t>
  </si>
  <si>
    <t>2020-06-375</t>
  </si>
  <si>
    <t>SF-INFRA-037-020</t>
  </si>
  <si>
    <t>100-06-20-475</t>
  </si>
  <si>
    <t>2020-06-0001 Public Bidding</t>
  </si>
  <si>
    <t>SF-INFRA-035-020</t>
  </si>
  <si>
    <t>2020-06-368</t>
  </si>
  <si>
    <t>SF-INFRA-034-020</t>
  </si>
  <si>
    <t>SF-GOODS-2020-008</t>
  </si>
  <si>
    <t>MMWD-0021-2020</t>
  </si>
  <si>
    <t>SF-INFRA-033-020</t>
  </si>
  <si>
    <t>SF-INFRA-031-020</t>
  </si>
  <si>
    <t>SF-INFRA-029-020</t>
  </si>
  <si>
    <t>SUC 2020-06-011</t>
  </si>
  <si>
    <t>20GMD0034</t>
  </si>
  <si>
    <t>SF-INFRA-036-020</t>
  </si>
  <si>
    <t>GOODS 2020-06-PLA007</t>
  </si>
  <si>
    <t>SKPPS-001</t>
  </si>
  <si>
    <t>SF-INFRA-030-020</t>
  </si>
  <si>
    <t>Goods2020</t>
  </si>
  <si>
    <t>MMWD-0020-2020</t>
  </si>
  <si>
    <t>NIS-CN-014-2020-GOODS</t>
  </si>
  <si>
    <t>200629</t>
  </si>
  <si>
    <t>20GMD0032</t>
  </si>
  <si>
    <t>Alaminos City</t>
  </si>
  <si>
    <t>20GMD0033</t>
  </si>
  <si>
    <t>20GMD0031</t>
  </si>
  <si>
    <t>20GMD0030</t>
  </si>
  <si>
    <t>20-015-001</t>
  </si>
  <si>
    <t>2020-G-018</t>
  </si>
  <si>
    <t>BacongRFQ 2020-06</t>
  </si>
  <si>
    <t>SF-INFRA-039-020</t>
  </si>
  <si>
    <t>SF-INFRA-028-020</t>
  </si>
  <si>
    <t>Barangay Marangog 2020 - 03</t>
  </si>
  <si>
    <t>SF-INFRA-032-020</t>
  </si>
  <si>
    <t>BacongRFQ 2020-08</t>
  </si>
  <si>
    <t>2020-30-002</t>
  </si>
  <si>
    <t>100-06-20-477</t>
  </si>
  <si>
    <t>2020-30-001</t>
  </si>
  <si>
    <t>20FA0060</t>
  </si>
  <si>
    <t>BAC-ITIO-GS No. 2020-0063 dated 18 June 2020</t>
  </si>
  <si>
    <t>BLGU-STALUCIA-AL-01-2020</t>
  </si>
  <si>
    <t>ICR-20GEE0039</t>
  </si>
  <si>
    <t>ICR-20GEE0038</t>
  </si>
  <si>
    <t>ICR-20GEE0037</t>
  </si>
  <si>
    <t>ICR-20GEE0040</t>
  </si>
  <si>
    <t>ICR-20GEE0034</t>
  </si>
  <si>
    <t>ITB # 2020-06-036</t>
  </si>
  <si>
    <t>ICR-20GEE0036</t>
  </si>
  <si>
    <t>ICR-20GEE0035</t>
  </si>
  <si>
    <t>007119-0000-00</t>
  </si>
  <si>
    <t>20-06-141</t>
  </si>
  <si>
    <t>DSBH-2020-0133</t>
  </si>
  <si>
    <t>PEO-2020-0107</t>
  </si>
  <si>
    <t>20-015-002</t>
  </si>
  <si>
    <t>PB2020-07-051I</t>
  </si>
  <si>
    <t>E20060901</t>
  </si>
  <si>
    <t>2020-06-360</t>
  </si>
  <si>
    <t>RFQ-INFRA-ISAIMO-06-2019</t>
  </si>
  <si>
    <t>PNU - VIS - GD 2020.06.001</t>
  </si>
  <si>
    <t>SPO-20-0762-B</t>
  </si>
  <si>
    <t>7999-0620-463</t>
  </si>
  <si>
    <t>20CA0055</t>
  </si>
  <si>
    <t>8751-0620-549</t>
  </si>
  <si>
    <t>RFQ NO: 2020-07-044</t>
  </si>
  <si>
    <t>2020-476-06</t>
  </si>
  <si>
    <t>PR. 20-06-235 (i.1, 3-11) (2020-06-219)</t>
  </si>
  <si>
    <t>2020-30-003</t>
  </si>
  <si>
    <t>UNSERVICEABLE-01-2020</t>
  </si>
  <si>
    <t>INF-012-2020</t>
  </si>
  <si>
    <t>SPO-20-0761-B</t>
  </si>
  <si>
    <t>Infra 2020-06</t>
  </si>
  <si>
    <t>INF-011-2020</t>
  </si>
  <si>
    <t>06302020-g</t>
  </si>
  <si>
    <t>CGB-2020-06-013</t>
  </si>
  <si>
    <t>PR 2020 - 03</t>
  </si>
  <si>
    <t>CGB-2020-06-012</t>
  </si>
  <si>
    <t>2020-06-2009</t>
  </si>
  <si>
    <t>2020-B1-06-019</t>
  </si>
  <si>
    <t>06302020</t>
  </si>
  <si>
    <t>06-130-2020</t>
  </si>
  <si>
    <t>Infra 2020-07</t>
  </si>
  <si>
    <t>PR20-05-090</t>
  </si>
  <si>
    <t>rfq 2020-07</t>
  </si>
  <si>
    <t>2020-028</t>
  </si>
  <si>
    <t>NP-06-34-20</t>
  </si>
  <si>
    <t>TF 002</t>
  </si>
  <si>
    <t>ITB No. (INF) 2020-06-093 OPENING OF ROAD, BRGY. C</t>
  </si>
  <si>
    <t>2020-06-2014</t>
  </si>
  <si>
    <t>IB NO. N-2020-06-87</t>
  </si>
  <si>
    <t>2020-06-2013</t>
  </si>
  <si>
    <t>100-9919-20-339</t>
  </si>
  <si>
    <t>Infra 2020-08</t>
  </si>
  <si>
    <t>2020-06-2012</t>
  </si>
  <si>
    <t>06302020-g2</t>
  </si>
  <si>
    <t>305-06-20-101</t>
  </si>
  <si>
    <t>PHO-NC-2020-129</t>
  </si>
  <si>
    <t>PR 2020 - 01</t>
  </si>
  <si>
    <t>780</t>
  </si>
  <si>
    <t>2020-G-36</t>
  </si>
  <si>
    <t>6302020-030</t>
  </si>
  <si>
    <t>ITB No. (GDS) 2020-06-016  PROCUREMENT OF BROADCAS</t>
  </si>
  <si>
    <t>Tan-04, 2020</t>
  </si>
  <si>
    <t>ITB PR NO. 20-06-083</t>
  </si>
  <si>
    <t>Solicitation No. Goods 20-0701-0055R</t>
  </si>
  <si>
    <t>MAINT 2020-06-0019</t>
  </si>
  <si>
    <t>Solicitation No. Goods 20-0701-0056R</t>
  </si>
  <si>
    <t>2020-RFQ-017</t>
  </si>
  <si>
    <t>PR2020-06-29-075</t>
  </si>
  <si>
    <t>Solicitation No. Goods 20-0701-0059R</t>
  </si>
  <si>
    <t>HO-2020-06-0357</t>
  </si>
  <si>
    <t>GOODS 2020-19</t>
  </si>
  <si>
    <t>ITB No. 20-052   ONE (1) LOT SUPPLY AND DELIVERY O</t>
  </si>
  <si>
    <t>PR2020-06-29-074</t>
  </si>
  <si>
    <t>2020-489</t>
  </si>
  <si>
    <t>2020-30</t>
  </si>
  <si>
    <t>ZRIS-2020-06-0386</t>
  </si>
  <si>
    <t>PEO-NC-2020-0341</t>
  </si>
  <si>
    <t>20-06-08</t>
  </si>
  <si>
    <t>Solicitation No. Goods 20-0701-0057R</t>
  </si>
  <si>
    <t>2020-151</t>
  </si>
  <si>
    <t>382-2020 Bidding</t>
  </si>
  <si>
    <t>GOODS 2020-20</t>
  </si>
  <si>
    <t>ZRIS-2020-06-0385</t>
  </si>
  <si>
    <t>MAINT 2020-06-0020</t>
  </si>
  <si>
    <t>2020-490</t>
  </si>
  <si>
    <t>OPA-RASS-NC-2020-0344</t>
  </si>
  <si>
    <t>2020-29</t>
  </si>
  <si>
    <t>IB NO. N-2020-06-85</t>
  </si>
  <si>
    <t>SVP-2020-091</t>
  </si>
  <si>
    <t>Solicitation No. Goods 20-0701-0060R</t>
  </si>
  <si>
    <t>MAINT 2020-06-0018</t>
  </si>
  <si>
    <t>PR NO. 0549 S.2020</t>
  </si>
  <si>
    <t>BAC 3-2020-06-067</t>
  </si>
  <si>
    <t>HO-2020-06-0346</t>
  </si>
  <si>
    <t>Pampango - 02</t>
  </si>
  <si>
    <t>PEO-NC-2020-0343</t>
  </si>
  <si>
    <t>007-2020</t>
  </si>
  <si>
    <t>ITB No. GOP/20-DSWD-043</t>
  </si>
  <si>
    <t>2020-327</t>
  </si>
  <si>
    <t>2020-153</t>
  </si>
  <si>
    <t>2020 - 085</t>
  </si>
  <si>
    <t>RFQ No. 0834-20</t>
  </si>
  <si>
    <t>006-2020</t>
  </si>
  <si>
    <t>20CB-GSC-377 PURCHASE OF TARPAULIN FOR BPLD</t>
  </si>
  <si>
    <t>bcwd-2020-061</t>
  </si>
  <si>
    <t>RFQ No. 0838-20</t>
  </si>
  <si>
    <t>JRMPII-122-2020</t>
  </si>
  <si>
    <t>PB NO. 2020-044</t>
  </si>
  <si>
    <t>PR No. 2020-06-0175</t>
  </si>
  <si>
    <t>2020-0707-025</t>
  </si>
  <si>
    <t>OPV-2020-0176 PR2020-0458</t>
  </si>
  <si>
    <t>RO4-INFR-2020-06-A</t>
  </si>
  <si>
    <t>PR2020-06-29-079</t>
  </si>
  <si>
    <t>2020-152</t>
  </si>
  <si>
    <t>2020-J179</t>
  </si>
  <si>
    <t>PR No. 2020-06-0176</t>
  </si>
  <si>
    <t>PR2020-06-29-078</t>
  </si>
  <si>
    <t>AB-2020-0019</t>
  </si>
  <si>
    <t>6302020-031</t>
  </si>
  <si>
    <t>PB NO. 2020-045</t>
  </si>
  <si>
    <t>Solicitation No. Goods 20-0701-0071</t>
  </si>
  <si>
    <t>G-2020-06-0311</t>
  </si>
  <si>
    <t>SEF-I-54-2020</t>
  </si>
  <si>
    <t>ITB No. 20-053   SUPPLY AND DELIVERY OF LABOR, TOO</t>
  </si>
  <si>
    <t>MEO-218-20</t>
  </si>
  <si>
    <t>GOODS-2020-10</t>
  </si>
  <si>
    <t>Solicitation No. Goods 20-0701-0072</t>
  </si>
  <si>
    <t>LGU ORANI RFQ 2020-03-013</t>
  </si>
  <si>
    <t>32020-26</t>
  </si>
  <si>
    <t>S20-108</t>
  </si>
  <si>
    <t>2020-06-018</t>
  </si>
  <si>
    <t>92</t>
  </si>
  <si>
    <t>Solicitation No. Goods 20-0701-0073</t>
  </si>
  <si>
    <t xml:space="preserve">DepED-RO6-D1-TIS-SUPPORT INSTRUCTIONAL &amp; LEARNERS </t>
  </si>
  <si>
    <t>DSC-20-06-124</t>
  </si>
  <si>
    <t>Upper Malinao Padada-002-06-30-2020</t>
  </si>
  <si>
    <t>063020</t>
  </si>
  <si>
    <t>SH-017-2020</t>
  </si>
  <si>
    <t>RFQ-149-2020</t>
  </si>
  <si>
    <t>BAC 1-2020-06-068</t>
  </si>
  <si>
    <t>lgu-es-20-06-144</t>
  </si>
  <si>
    <t>LGU-ROX-SDG-06-2020</t>
  </si>
  <si>
    <t>IAAPIS-2020-06-0342</t>
  </si>
  <si>
    <t>goods2020_35</t>
  </si>
  <si>
    <t>06-30-20-113MLUC</t>
  </si>
  <si>
    <t>Bidding-08-June2020</t>
  </si>
  <si>
    <t>02-2020</t>
  </si>
  <si>
    <t>Solicitation No. Goods 20-0701-0075</t>
  </si>
  <si>
    <t>MZDS-BAC-G-2020-04</t>
  </si>
  <si>
    <t>RFQ-152-2020</t>
  </si>
  <si>
    <t>DAG-2020-06-048</t>
  </si>
  <si>
    <t>PR2020-06-29-081</t>
  </si>
  <si>
    <t>PR 12-2020 Fundado</t>
  </si>
  <si>
    <t>2020-06-</t>
  </si>
  <si>
    <t>PGBH-C-NC-2020-095 PR2020-111</t>
  </si>
  <si>
    <t>06-30-20-114MLUC</t>
  </si>
  <si>
    <t>07-01-20</t>
  </si>
  <si>
    <t>RFQ-151-2020</t>
  </si>
  <si>
    <t>OESPA-TRNG-1330-20</t>
  </si>
  <si>
    <t>RFQ-150-2020</t>
  </si>
  <si>
    <t>LAYON 2020-002</t>
  </si>
  <si>
    <t>20-07-0</t>
  </si>
  <si>
    <t>20-06-199</t>
  </si>
  <si>
    <t>355-2020</t>
  </si>
  <si>
    <t>211442</t>
  </si>
  <si>
    <t>NOSO-LMC-SIP-22-2020</t>
  </si>
  <si>
    <t>211441</t>
  </si>
  <si>
    <t>Brgystalucia-06-01-2020</t>
  </si>
  <si>
    <t>211440</t>
  </si>
  <si>
    <t>2020-1016-06-013</t>
  </si>
  <si>
    <t>JRMPII-089-2020</t>
  </si>
  <si>
    <t>20CSPA001</t>
  </si>
  <si>
    <t>CMO(Adm)-20-001(shopping)</t>
  </si>
  <si>
    <t>BSWM PR 2020-05-1268</t>
  </si>
  <si>
    <t>200-004</t>
  </si>
  <si>
    <t>Solicitation No. Goods 20-0701-0077</t>
  </si>
  <si>
    <t>Bidding-09-June2020</t>
  </si>
  <si>
    <t>20CSAB01 - Package 1</t>
  </si>
  <si>
    <t>ITB No. 2020-78</t>
  </si>
  <si>
    <t>Solicitation No. Goods 20-0701-0076</t>
  </si>
  <si>
    <t>RFQ-156-2020</t>
  </si>
  <si>
    <t>211447</t>
  </si>
  <si>
    <t>DepED-RO6-D1-CONSTRUCTIONMATERIALS-001-2019</t>
  </si>
  <si>
    <t>CMO(RM-HE)20-015(NP/SV)</t>
  </si>
  <si>
    <t>INFRA-2020-01</t>
  </si>
  <si>
    <t>ITB # 2020-06-037</t>
  </si>
  <si>
    <t>211446</t>
  </si>
  <si>
    <t>211445</t>
  </si>
  <si>
    <t>2020-02-104</t>
  </si>
  <si>
    <t>BAC-20-0110</t>
  </si>
  <si>
    <t>BSWM PR 2020-05-1271</t>
  </si>
  <si>
    <t>JRMPII-291-19</t>
  </si>
  <si>
    <t>20CSAB02 - Package 2</t>
  </si>
  <si>
    <t>20DL0225</t>
  </si>
  <si>
    <t>20JF0109</t>
  </si>
  <si>
    <t>211451</t>
  </si>
  <si>
    <t>JRMPII-284-19</t>
  </si>
  <si>
    <t>BGHMCPB-2020-17-001</t>
  </si>
  <si>
    <t>20CSAB03 - Package 3</t>
  </si>
  <si>
    <t>GOODS-2020-039</t>
  </si>
  <si>
    <t>211450</t>
  </si>
  <si>
    <t>RFQ-157-2020</t>
  </si>
  <si>
    <t>101-20-06</t>
  </si>
  <si>
    <t>NG-GOODS-2020-16</t>
  </si>
  <si>
    <t>2020-218</t>
  </si>
  <si>
    <t>CWD06-202001</t>
  </si>
  <si>
    <t>20DL0226</t>
  </si>
  <si>
    <t>211444</t>
  </si>
  <si>
    <t>211448</t>
  </si>
  <si>
    <t>211443</t>
  </si>
  <si>
    <t>PUR20-04-0318</t>
  </si>
  <si>
    <t>PUR20-06-0475</t>
  </si>
  <si>
    <t>GOODS-2020-038</t>
  </si>
  <si>
    <t>211449</t>
  </si>
  <si>
    <t>RFQ-154-2020</t>
  </si>
  <si>
    <t>RFQ-155-2020</t>
  </si>
  <si>
    <t>211456</t>
  </si>
  <si>
    <t>PUR20-06-0488</t>
  </si>
  <si>
    <t>2020-06-30</t>
  </si>
  <si>
    <t>2020-1016-02-002</t>
  </si>
  <si>
    <t>211455</t>
  </si>
  <si>
    <t>RFQ-159-2020</t>
  </si>
  <si>
    <t>DENR XII-SP-29-2020</t>
  </si>
  <si>
    <t>211454</t>
  </si>
  <si>
    <t>BSWM PR 2020-06-1301</t>
  </si>
  <si>
    <t>DILG-2020-003</t>
  </si>
  <si>
    <t>211453</t>
  </si>
  <si>
    <t>PR2020-06-29-084</t>
  </si>
  <si>
    <t>20MG0149</t>
  </si>
  <si>
    <t>BSWM PR 2020-06-1342</t>
  </si>
  <si>
    <t>20MG0150</t>
  </si>
  <si>
    <t>211452</t>
  </si>
  <si>
    <t>PB 06-07-2020</t>
  </si>
  <si>
    <t>RFQ-153-2020</t>
  </si>
  <si>
    <t>BSWM PR 2020-06-1362</t>
  </si>
  <si>
    <t>808</t>
  </si>
  <si>
    <t>06-20-A110</t>
  </si>
  <si>
    <t>2006-0783</t>
  </si>
  <si>
    <t>ITB-2020-06-052</t>
  </si>
  <si>
    <t>MQE-INFR-2020-001</t>
  </si>
  <si>
    <t>ITB No. PPC-20-001</t>
  </si>
  <si>
    <t>IB NO. CW 2020 - 102</t>
  </si>
  <si>
    <t>ITB No. 014-2020</t>
  </si>
  <si>
    <t>20-06-0014</t>
  </si>
  <si>
    <t>BSWM PR 2020-06-1300</t>
  </si>
  <si>
    <t>rfq#2020-06-2,610-peo</t>
  </si>
  <si>
    <t>211459</t>
  </si>
  <si>
    <t>2020-SRV-014</t>
  </si>
  <si>
    <t>2020-06-377</t>
  </si>
  <si>
    <t>BSWM PR 2020-06-1363</t>
  </si>
  <si>
    <t>mnto 20 0010</t>
  </si>
  <si>
    <t>2020-06-21</t>
  </si>
  <si>
    <t>2020-66</t>
  </si>
  <si>
    <t>2020-065</t>
  </si>
  <si>
    <t>PROJECT ID NO. G-2020-003</t>
  </si>
  <si>
    <t>RFQ-20-06-010 INK CARTRIDGE</t>
  </si>
  <si>
    <t>RFQ-160-2020</t>
  </si>
  <si>
    <t>PROJECT ID NO. I-2020-011</t>
  </si>
  <si>
    <t>ITB No. 2020-161-pgb offices</t>
  </si>
  <si>
    <t>DENR XII-SP-30-2020</t>
  </si>
  <si>
    <t>20MG0151</t>
  </si>
  <si>
    <t>PR2020-06-29-083</t>
  </si>
  <si>
    <t>2020-65</t>
  </si>
  <si>
    <t>211458</t>
  </si>
  <si>
    <t>2020-078</t>
  </si>
  <si>
    <t>RFQ No. 20-081 Supply and Delivery of Eight (8) Ki</t>
  </si>
  <si>
    <t>2020-06-0062</t>
  </si>
  <si>
    <t>20DL0227</t>
  </si>
  <si>
    <t>OE-56-06-25-2020</t>
  </si>
  <si>
    <t>BSWM PR 2020-05-1267</t>
  </si>
  <si>
    <t>DAG-2020-06-47</t>
  </si>
  <si>
    <t>2020-06-095</t>
  </si>
  <si>
    <t>ITB # 2020-06-038</t>
  </si>
  <si>
    <t>HO-2020-06-0384</t>
  </si>
  <si>
    <t>2020-F051</t>
  </si>
  <si>
    <t>GOODS-PR-2020-06-285</t>
  </si>
  <si>
    <t>PR2020-06-29-080</t>
  </si>
  <si>
    <t>Goods-117-2020</t>
  </si>
  <si>
    <t>RFQ-158-2020</t>
  </si>
  <si>
    <t>2020-J177</t>
  </si>
  <si>
    <t>NOSO-LMC-SIP-21-2020</t>
  </si>
  <si>
    <t>06-30-20-112MLUC</t>
  </si>
  <si>
    <t>211457</t>
  </si>
  <si>
    <t>PR2020-06-29-076</t>
  </si>
  <si>
    <t>RFQ No. 0831-20</t>
  </si>
  <si>
    <t>BAC-GS 2019- 169</t>
  </si>
  <si>
    <t>06-2020</t>
  </si>
  <si>
    <t>P-0642</t>
  </si>
  <si>
    <t>PROJECT ID NO. I-2020-010</t>
  </si>
  <si>
    <t>20GCF0002</t>
  </si>
  <si>
    <t>IB 2020-038</t>
  </si>
  <si>
    <t>PR-2020-06-872</t>
  </si>
  <si>
    <t>SN# 2020-06-11</t>
  </si>
  <si>
    <t>TO 2020-002</t>
  </si>
  <si>
    <t>salbac 2020 28</t>
  </si>
  <si>
    <t>ITB-2020-06-051</t>
  </si>
  <si>
    <t>ConstCR2020-July-1</t>
  </si>
  <si>
    <t>AFPREO-RMB-1331-20</t>
  </si>
  <si>
    <t>Ibaan/2020/242</t>
  </si>
  <si>
    <t>PHO-SC-2020-003 PR2020-168</t>
  </si>
  <si>
    <t>20DL0229</t>
  </si>
  <si>
    <t>20-06-0022</t>
  </si>
  <si>
    <t>20DL0228</t>
  </si>
  <si>
    <t>RFQ 2020-248</t>
  </si>
  <si>
    <t>2020-75 (GAS)</t>
  </si>
  <si>
    <t>PROJECT ID NO. I-2020-013</t>
  </si>
  <si>
    <t>SDO-Val.-2020-07-0012</t>
  </si>
  <si>
    <t>05-20-A105</t>
  </si>
  <si>
    <t>4PS-2020-06-0225</t>
  </si>
  <si>
    <t>rep-001</t>
  </si>
  <si>
    <t>RFQ-2020-06-55</t>
  </si>
  <si>
    <t>RFQ 2020-254</t>
  </si>
  <si>
    <t>PHO-SC-2020-004 PR2020-175</t>
  </si>
  <si>
    <t>AFPREO-RMB-1332-20</t>
  </si>
  <si>
    <t>RIO-GOODS-13-2020</t>
  </si>
  <si>
    <t>RFQ-2020-006</t>
  </si>
  <si>
    <t>2020-06-359</t>
  </si>
  <si>
    <t>LGU-AL-G-31-2020</t>
  </si>
  <si>
    <t>PROJECT ID NO. I-2020-014</t>
  </si>
  <si>
    <t>020</t>
  </si>
  <si>
    <t>PHO-NC-2020-127 PR2020-174</t>
  </si>
  <si>
    <t>MH-GOODS-TLDC-PWD-PRINTING-SERVICES-EQPT-689</t>
  </si>
  <si>
    <t>PR# 0120-045</t>
  </si>
  <si>
    <t>06-20-A116</t>
  </si>
  <si>
    <t>2020-229</t>
  </si>
  <si>
    <t>060-20</t>
  </si>
  <si>
    <t>PHO-SC-2020-005 PR2020-177</t>
  </si>
  <si>
    <t>BSVP 2041</t>
  </si>
  <si>
    <t>N20-SBL-106</t>
  </si>
  <si>
    <t>2020 - 012</t>
  </si>
  <si>
    <t>06-30-2020-241</t>
  </si>
  <si>
    <t>CW -20-0701-033</t>
  </si>
  <si>
    <t>PSAXI-PSO1123-RFQ20-05</t>
  </si>
  <si>
    <t>06-30-2020-240</t>
  </si>
  <si>
    <t>02-06-2020</t>
  </si>
  <si>
    <t>BAC CONSULTING 2020-01</t>
  </si>
  <si>
    <t>0120-171</t>
  </si>
  <si>
    <t>20-06-287</t>
  </si>
  <si>
    <t>PSAXI-PSO1123-RFQ20-07</t>
  </si>
  <si>
    <t>CW -20-0701-027</t>
  </si>
  <si>
    <t>2020-02-0208</t>
  </si>
  <si>
    <t>PR. NO. 2020-06-011</t>
  </si>
  <si>
    <t>RFQ-2020-007</t>
  </si>
  <si>
    <t>CW -20-0701-023</t>
  </si>
  <si>
    <t>GENSERV-2020-06-0226</t>
  </si>
  <si>
    <t>PSAXI-PSO1123-RFQ20-06</t>
  </si>
  <si>
    <t>20OE0207</t>
  </si>
  <si>
    <t>PHO-NC-2020-128 PR2020-176</t>
  </si>
  <si>
    <t>20-06-04</t>
  </si>
  <si>
    <t>CW -20-0701-022</t>
  </si>
  <si>
    <t>DAG-2020-06-050</t>
  </si>
  <si>
    <t xml:space="preserve">RFQ No. 20-090 One (1) Lot Supply and Delivery of </t>
  </si>
  <si>
    <t>BEMO-NC-2020-0342</t>
  </si>
  <si>
    <t>PR2020-06-29-082</t>
  </si>
  <si>
    <t>MP-063020-56</t>
  </si>
  <si>
    <t>2020-06-22</t>
  </si>
  <si>
    <t>PR. NO. 2020-05-001</t>
  </si>
  <si>
    <t>N20-VCM-107</t>
  </si>
  <si>
    <t>salbac 2020 29</t>
  </si>
  <si>
    <t>06-095-2020</t>
  </si>
  <si>
    <t>2020-02-0209</t>
  </si>
  <si>
    <t>CW -20-0701-0163R</t>
  </si>
  <si>
    <t>PR# 2020-06-0308</t>
  </si>
  <si>
    <t>CW -20-0701-0145R</t>
  </si>
  <si>
    <t>HILONGOS 2020-194</t>
  </si>
  <si>
    <t>20CSFN0001</t>
  </si>
  <si>
    <t>ITB GOODS 20-07-012</t>
  </si>
  <si>
    <t>20CH0076</t>
  </si>
  <si>
    <t>PSAXI-PSO1123-RFQ20-11</t>
  </si>
  <si>
    <t>0120-170</t>
  </si>
  <si>
    <t>2020-03-0066</t>
  </si>
  <si>
    <t>142-2020</t>
  </si>
  <si>
    <t>03-076-2020</t>
  </si>
  <si>
    <t>ITB-2020-06-046</t>
  </si>
  <si>
    <t>2020-03-0057</t>
  </si>
  <si>
    <t>CW -20-0701-0135N</t>
  </si>
  <si>
    <t>2020-06-PR044</t>
  </si>
  <si>
    <t>PSAXI-PSO1123-RFQ20-08</t>
  </si>
  <si>
    <t>BAC-SBSL-MEO-2020-13</t>
  </si>
  <si>
    <t>141-2020</t>
  </si>
  <si>
    <t>TAR-2020-07</t>
  </si>
  <si>
    <t>PSAXI-PSO1123-RFQ20-10</t>
  </si>
  <si>
    <t>06-30-2020-242</t>
  </si>
  <si>
    <t>Solicitation No. Goods 20-0701-0074</t>
  </si>
  <si>
    <t>ITB20OA0074</t>
  </si>
  <si>
    <t>2020-04-0029</t>
  </si>
  <si>
    <t>06-30-2020-243</t>
  </si>
  <si>
    <t>CW -20-0701-0169N</t>
  </si>
  <si>
    <t>REC-2020-028</t>
  </si>
  <si>
    <t>138-2020</t>
  </si>
  <si>
    <t>BIDDING20-26</t>
  </si>
  <si>
    <t>2020-03-0076</t>
  </si>
  <si>
    <t>2020-06-091-GS</t>
  </si>
  <si>
    <t>CW -20-0701-017N</t>
  </si>
  <si>
    <t>2020-02-0212</t>
  </si>
  <si>
    <t>2020-GOODS-258</t>
  </si>
  <si>
    <t>2020-GOODS-259</t>
  </si>
  <si>
    <t>PSAXI-PSO1123-RFQ20-13</t>
  </si>
  <si>
    <t>PR No. 300-20-06-338</t>
  </si>
  <si>
    <t>140-2020</t>
  </si>
  <si>
    <t>4AQ-SIP-20-018</t>
  </si>
  <si>
    <t>2020-04-0033</t>
  </si>
  <si>
    <t>2020-06-036</t>
  </si>
  <si>
    <t>PSAXI-PSO1123-RFQ20-14</t>
  </si>
  <si>
    <t>4AQ-LPA-20-019B</t>
  </si>
  <si>
    <t>HILONGOS 2020-195</t>
  </si>
  <si>
    <t>ITB 22-2020</t>
  </si>
  <si>
    <t>2020-04-0030</t>
  </si>
  <si>
    <t>3000-200-1-2</t>
  </si>
  <si>
    <t>100-20-06-151</t>
  </si>
  <si>
    <t>2020-341</t>
  </si>
  <si>
    <t>PSAXI-PSO1123-RFQ20-12</t>
  </si>
  <si>
    <t>goods 2020-001</t>
  </si>
  <si>
    <t>CW -20-0701-0137N</t>
  </si>
  <si>
    <t>20-06-55</t>
  </si>
  <si>
    <t>144-2020</t>
  </si>
  <si>
    <t>MH-GOODS-MEO-ELECTRICAL-MATERIALS-926</t>
  </si>
  <si>
    <t>BIDDING2027</t>
  </si>
  <si>
    <t>2020-0301</t>
  </si>
  <si>
    <t>2020-06-092-GS</t>
  </si>
  <si>
    <t>ITB20OA0075</t>
  </si>
  <si>
    <t>2020-06-0009</t>
  </si>
  <si>
    <t>20-06-217</t>
  </si>
  <si>
    <t>2020-03-0067</t>
  </si>
  <si>
    <t>PSAXI-PSO1123-RFQ20-16</t>
  </si>
  <si>
    <t>BAC-PG-001-20</t>
  </si>
  <si>
    <t>2020-06-021-101</t>
  </si>
  <si>
    <t>143-2020</t>
  </si>
  <si>
    <t>S20-102</t>
  </si>
  <si>
    <t>2020-AP-06-024</t>
  </si>
  <si>
    <t>20-06-06</t>
  </si>
  <si>
    <t>2020-342</t>
  </si>
  <si>
    <t>2020-06-362</t>
  </si>
  <si>
    <t>2020-04-0034</t>
  </si>
  <si>
    <t>20-06-20</t>
  </si>
  <si>
    <t>RFQ for PR 2020-06-0062 (Air-con &amp; water dispenser</t>
  </si>
  <si>
    <t>PR. NO. 2020060739</t>
  </si>
  <si>
    <t>2020-GOODS-257</t>
  </si>
  <si>
    <t>Goods-030A-2020</t>
  </si>
  <si>
    <t>DepEd.Pang2 20-006-0001</t>
  </si>
  <si>
    <t>2020- 029 SVP</t>
  </si>
  <si>
    <t>20GOE0014</t>
  </si>
  <si>
    <t>CW -20-0701-045</t>
  </si>
  <si>
    <t>2020-344</t>
  </si>
  <si>
    <t>PB 06-08-2020</t>
  </si>
  <si>
    <t>06-30-02</t>
  </si>
  <si>
    <t>PSAXI-PSO1123-RFQ20-09</t>
  </si>
  <si>
    <t>PSAXI-PSO1123-RFQ20-17</t>
  </si>
  <si>
    <t>06-30-01</t>
  </si>
  <si>
    <t>CW -20-0701-019N</t>
  </si>
  <si>
    <t>BOC-GOODS-2020-02</t>
  </si>
  <si>
    <t>20-06-07</t>
  </si>
  <si>
    <t>CW -20-0701-029N</t>
  </si>
  <si>
    <t>00018</t>
  </si>
  <si>
    <t>CW -20-0701-041</t>
  </si>
  <si>
    <t>20-06-05</t>
  </si>
  <si>
    <t>2020-343</t>
  </si>
  <si>
    <t>200-20-02-002</t>
  </si>
  <si>
    <t>MAINT 2020-06-0021</t>
  </si>
  <si>
    <t>02-050-2020</t>
  </si>
  <si>
    <t>G065-20</t>
  </si>
  <si>
    <t>ITB No. (GDS) 2020-06-015 PROCUREMENT OF COMPACT C</t>
  </si>
  <si>
    <t>PR20-06-112</t>
  </si>
  <si>
    <t>06-30-03</t>
  </si>
  <si>
    <t>2020-448</t>
  </si>
  <si>
    <t>2020-06-365</t>
  </si>
  <si>
    <t>SV-0632-2020</t>
  </si>
  <si>
    <t>GOODS-3-2020-007</t>
  </si>
  <si>
    <t>ITB 2020-001</t>
  </si>
  <si>
    <t>2020-230</t>
  </si>
  <si>
    <t>Concreting of Barangay Road at Brgy. Doña Brigida,</t>
  </si>
  <si>
    <t>20GME0047</t>
  </si>
  <si>
    <t>Goods-030C-2020</t>
  </si>
  <si>
    <t>BAC 1-2020-06-069</t>
  </si>
  <si>
    <t>2020-06-0038</t>
  </si>
  <si>
    <t>PNPTR-DIDM-DP-20-06</t>
  </si>
  <si>
    <t>PRDP-RPCOXI-SIC-013-2020</t>
  </si>
  <si>
    <t>REC-2020-029</t>
  </si>
  <si>
    <t>PSAXI-PSO1123-RFQ20-18</t>
  </si>
  <si>
    <t>2020-30-06-32</t>
  </si>
  <si>
    <t>rfq 2020-07-02</t>
  </si>
  <si>
    <t>RFQ2020-21</t>
  </si>
  <si>
    <t>BAC-2020-40</t>
  </si>
  <si>
    <t>2020-6-1473</t>
  </si>
  <si>
    <t>IB NO. N-2020-06-86</t>
  </si>
  <si>
    <t>Barangay Pa-a 2020 - 07</t>
  </si>
  <si>
    <t>SF-G-MDRRMF16-2020-14</t>
  </si>
  <si>
    <t>Barangay Pa-a 2020 - 06</t>
  </si>
  <si>
    <t>BV-21-20</t>
  </si>
  <si>
    <t>Goods-030B-2020</t>
  </si>
  <si>
    <t>2020-310</t>
  </si>
  <si>
    <t>2020/06/065</t>
  </si>
  <si>
    <t>2020-07-024</t>
  </si>
  <si>
    <t>GOODS-2020-PB-019</t>
  </si>
  <si>
    <t>7-001-2020</t>
  </si>
  <si>
    <t>INFRA 2020-06-001</t>
  </si>
  <si>
    <t>I.D. NO. –June30-2020-484</t>
  </si>
  <si>
    <t>2020-417-05</t>
  </si>
  <si>
    <t>GOODS-2020-PB-026</t>
  </si>
  <si>
    <t>DA3-2020-06-30-357</t>
  </si>
  <si>
    <t>ASF 2020-06-039</t>
  </si>
  <si>
    <t>G23-2020</t>
  </si>
  <si>
    <t>07-01-2020-244</t>
  </si>
  <si>
    <t>20CSE011</t>
  </si>
  <si>
    <t>PR No. 6.047 TPB-PR.2020.07.197SERVICES OF PR AGEN</t>
  </si>
  <si>
    <t>MR20-06-050</t>
  </si>
  <si>
    <t>047 LGU-LAOANG-2020</t>
  </si>
  <si>
    <t>S2020-06-094</t>
  </si>
  <si>
    <t>RFQ 2020-07-0145</t>
  </si>
  <si>
    <t>BARASRIZAL2020-026</t>
  </si>
  <si>
    <t>20-07-109</t>
  </si>
  <si>
    <t>5020399000-043-2020</t>
  </si>
  <si>
    <t>BRGY-COGON-2020-001</t>
  </si>
  <si>
    <t>BV-19-20</t>
  </si>
  <si>
    <t>SEF-I-56-2020</t>
  </si>
  <si>
    <t>CW001-2020</t>
  </si>
  <si>
    <t>E2006-422</t>
  </si>
  <si>
    <t>BALZN9-2011</t>
  </si>
  <si>
    <t>1176-20-06-81</t>
  </si>
  <si>
    <t>20GME0049</t>
  </si>
  <si>
    <t>2020.06.30.01</t>
  </si>
  <si>
    <t>ITB No. GOODS-20-116</t>
  </si>
  <si>
    <t>2020-06-113</t>
  </si>
  <si>
    <t>IBGS-2020-03</t>
  </si>
  <si>
    <t>ITB No. 20-057  ONE (1) LOT SUPPLY AND DELIVERY OF</t>
  </si>
  <si>
    <t>CW -20-0701-0184N</t>
  </si>
  <si>
    <t>PR#2020-06-007-LD</t>
  </si>
  <si>
    <t>SVP 34</t>
  </si>
  <si>
    <t>SVP 33</t>
  </si>
  <si>
    <t>INFR-025-2020</t>
  </si>
  <si>
    <t>CW -20-0701-0177N</t>
  </si>
  <si>
    <t>G-2020-021</t>
  </si>
  <si>
    <t>20GOE0015</t>
  </si>
  <si>
    <t>20-06-09</t>
  </si>
  <si>
    <t>20GG00020</t>
  </si>
  <si>
    <t>2020/06/066</t>
  </si>
  <si>
    <t>REC-2020-030</t>
  </si>
  <si>
    <t>20GME0050</t>
  </si>
  <si>
    <t>2020-06-271a</t>
  </si>
  <si>
    <t>RFQ#2020-029</t>
  </si>
  <si>
    <t>CSC-ITB No. 2020-08 (Proc. of Laptops &amp; Printers</t>
  </si>
  <si>
    <t>20GOE0016</t>
  </si>
  <si>
    <t>20DQ0129</t>
  </si>
  <si>
    <t>DAG-2020-06-049</t>
  </si>
  <si>
    <t>IB NO. 07-2020- PROCUREMENT OF MEDICAL EQUIPMENT F</t>
  </si>
  <si>
    <t>20GME0048</t>
  </si>
  <si>
    <t>06-30-2020</t>
  </si>
  <si>
    <t>2020-06-331</t>
  </si>
  <si>
    <t>2020-30-06-33</t>
  </si>
  <si>
    <t>100-2020-Infra-398</t>
  </si>
  <si>
    <t>REC-2020-031</t>
  </si>
  <si>
    <t>G-2020-022</t>
  </si>
  <si>
    <t>20GME0053</t>
  </si>
  <si>
    <t>4AQ-LPQ-20-020SP</t>
  </si>
  <si>
    <t>INFR-026-2020</t>
  </si>
  <si>
    <t>20GME0054</t>
  </si>
  <si>
    <t>20GG00021</t>
  </si>
  <si>
    <t>TPB-PR 2020.06.193 SERVICE OF A TOUR OPERATOR</t>
  </si>
  <si>
    <t>20GME0051</t>
  </si>
  <si>
    <t>100-20-06-394</t>
  </si>
  <si>
    <t>ITB-2020-017</t>
  </si>
  <si>
    <t>CW -20-0701-0134N</t>
  </si>
  <si>
    <t>ITB20OA0076</t>
  </si>
  <si>
    <t>20GME0052</t>
  </si>
  <si>
    <t>Grants-20-06-40</t>
  </si>
  <si>
    <t>CSC-ITB No. 2020-09 (Proc. of AVS Licenses)</t>
  </si>
  <si>
    <t>RFQ2020-07-02</t>
  </si>
  <si>
    <t>cgb2020-236</t>
  </si>
  <si>
    <t>lamak 2020-07</t>
  </si>
  <si>
    <t>ITB No. 2020-07-01</t>
  </si>
  <si>
    <t>2020-06-06</t>
  </si>
  <si>
    <t>PNPTR-DIDM-DP-20-05</t>
  </si>
  <si>
    <t>100-20-06-393</t>
  </si>
  <si>
    <t>CW -20-0701-0120N</t>
  </si>
  <si>
    <t>2020-02-15</t>
  </si>
  <si>
    <t>SJ-20-172</t>
  </si>
  <si>
    <t>20GME0056</t>
  </si>
  <si>
    <t>100-20-02-025</t>
  </si>
  <si>
    <t>20GME0057</t>
  </si>
  <si>
    <t>2020 - 086</t>
  </si>
  <si>
    <t>G-116-20</t>
  </si>
  <si>
    <t>100-20-06-143</t>
  </si>
  <si>
    <t>CW -20-0701-0174N</t>
  </si>
  <si>
    <t>PB 2020 - 002</t>
  </si>
  <si>
    <t>100-20-06-387</t>
  </si>
  <si>
    <t>CSC-ITB No. 2020-10  (Proc. of Primary Internet Se</t>
  </si>
  <si>
    <t>20200630-30</t>
  </si>
  <si>
    <t>20GME0046</t>
  </si>
  <si>
    <t>20GOE0017</t>
  </si>
  <si>
    <t>BAYLEGOOD0620069</t>
  </si>
  <si>
    <t>20-0625-047</t>
  </si>
  <si>
    <t>AREA V- 2020-SVP-026</t>
  </si>
  <si>
    <t>20GME0059</t>
  </si>
  <si>
    <t>2019-1341</t>
  </si>
  <si>
    <t>ITB No. GOODS-20-117</t>
  </si>
  <si>
    <t>3162</t>
  </si>
  <si>
    <t>M-20-014</t>
  </si>
  <si>
    <t>101-20-06-01</t>
  </si>
  <si>
    <t>SAR-INFRA-06-098-2020</t>
  </si>
  <si>
    <t>EMERGENCY 020-2020</t>
  </si>
  <si>
    <t>0013-0010-1047-2020</t>
  </si>
  <si>
    <t>20GOE0020</t>
  </si>
  <si>
    <t>2020-06-0021</t>
  </si>
  <si>
    <t>42-201630-2020</t>
  </si>
  <si>
    <t>2020-063001</t>
  </si>
  <si>
    <t>20GOE0019</t>
  </si>
  <si>
    <t>20FJ0029</t>
  </si>
  <si>
    <t>CW -20-0701-0159N</t>
  </si>
  <si>
    <t>IAEB 236-253</t>
  </si>
  <si>
    <t>20GOE0022</t>
  </si>
  <si>
    <t>ND - 2020 - 02 - 0002</t>
  </si>
  <si>
    <t>NIA-NOIMO-2020-06-0203</t>
  </si>
  <si>
    <t>06-20-0450</t>
  </si>
  <si>
    <t>2020-GOODS-7</t>
  </si>
  <si>
    <t>20GOE0021</t>
  </si>
  <si>
    <t>AREA V- 2020- SVP-027</t>
  </si>
  <si>
    <t>2020-06-0168</t>
  </si>
  <si>
    <t>BAYLEGOOD0620070</t>
  </si>
  <si>
    <t>20-CRG-20-06-1062</t>
  </si>
  <si>
    <t>C10-20-1444</t>
  </si>
  <si>
    <t>GOODS-2020-30-2ND</t>
  </si>
  <si>
    <t>INFRA-2020-045</t>
  </si>
  <si>
    <t>20FJ0030</t>
  </si>
  <si>
    <t>3161</t>
  </si>
  <si>
    <t>GSD-J-20-308</t>
  </si>
  <si>
    <t>06-20-0439</t>
  </si>
  <si>
    <t>20-06-108A</t>
  </si>
  <si>
    <t>ICT-2020-06</t>
  </si>
  <si>
    <t>ITB No. 2020-07-02</t>
  </si>
  <si>
    <t>PBI-2020-23</t>
  </si>
  <si>
    <t>20-06-0227-A</t>
  </si>
  <si>
    <t>2020-05-453</t>
  </si>
  <si>
    <t>ITB No. 2020-07-03</t>
  </si>
  <si>
    <t>2020-063004</t>
  </si>
  <si>
    <t>BAC 1-2020-06-070</t>
  </si>
  <si>
    <t>BAYLEGOOD0620071</t>
  </si>
  <si>
    <t>HBC20-05-231, 234 to 238 &amp; OVP20-05-085</t>
  </si>
  <si>
    <t>PBI-2020-19</t>
  </si>
  <si>
    <t>20-06-020B</t>
  </si>
  <si>
    <t>PRF # 2020-0108</t>
  </si>
  <si>
    <t>tag-9-20</t>
  </si>
  <si>
    <t>TAL-07-06-2020</t>
  </si>
  <si>
    <t>Contract No. RO-PG2020-001</t>
  </si>
  <si>
    <t>GOODS-2020-63</t>
  </si>
  <si>
    <t>2020-06-0369</t>
  </si>
  <si>
    <t>2020-063002</t>
  </si>
  <si>
    <t>ND - 2020 - 05 - 0001</t>
  </si>
  <si>
    <t>20FJ0031</t>
  </si>
  <si>
    <t>EMERGENCY 021-2020</t>
  </si>
  <si>
    <t>INFRA-2020-046</t>
  </si>
  <si>
    <t>43-201706-2020</t>
  </si>
  <si>
    <t>lam-bac-219-020</t>
  </si>
  <si>
    <t>017-ECE20</t>
  </si>
  <si>
    <t>2020-063003</t>
  </si>
  <si>
    <t>20-06-108</t>
  </si>
  <si>
    <t>948852</t>
  </si>
  <si>
    <t>948853, 948854</t>
  </si>
  <si>
    <t>20GME0058</t>
  </si>
  <si>
    <t>20-1022-06-14</t>
  </si>
  <si>
    <t>TAL-07-05-2020</t>
  </si>
  <si>
    <t>20GOE0018</t>
  </si>
  <si>
    <t>TIEZA-75-2020</t>
  </si>
  <si>
    <t>2020 ITB - 026</t>
  </si>
  <si>
    <t>C10-20-1445</t>
  </si>
  <si>
    <t>2020-0009</t>
  </si>
  <si>
    <t>2020-06-0165</t>
  </si>
  <si>
    <t>cal06292020-01</t>
  </si>
  <si>
    <t>PSHSCLC_TAKEOVERASTBP1</t>
  </si>
  <si>
    <t>LGU-Camalig-Goods-17</t>
  </si>
  <si>
    <t>20GJC0216</t>
  </si>
  <si>
    <t>2020-063007</t>
  </si>
  <si>
    <t>2020-063008</t>
  </si>
  <si>
    <t>PBG-2020-22</t>
  </si>
  <si>
    <t>AREA V- 2020- SVP-028</t>
  </si>
  <si>
    <t>GOODS-2020-64</t>
  </si>
  <si>
    <t>TO 2020-004</t>
  </si>
  <si>
    <t>2020-063006</t>
  </si>
  <si>
    <t>2020-05-460</t>
  </si>
  <si>
    <t>0658</t>
  </si>
  <si>
    <t>45-200738-2020</t>
  </si>
  <si>
    <t>PR NO. 100-8751-20-06-0753</t>
  </si>
  <si>
    <t>20-0625-048</t>
  </si>
  <si>
    <t>20-06-0229</t>
  </si>
  <si>
    <t>100-20-06-141</t>
  </si>
  <si>
    <t>20-03-025</t>
  </si>
  <si>
    <t>2020-063009</t>
  </si>
  <si>
    <t>2020-06-0159</t>
  </si>
  <si>
    <t>018-ECE20</t>
  </si>
  <si>
    <t>TAL-07-07-2020</t>
  </si>
  <si>
    <t>ITB NO: 2020-007-029</t>
  </si>
  <si>
    <t>20GJC0217</t>
  </si>
  <si>
    <t>PR nO. 1</t>
  </si>
  <si>
    <t>2020-063005</t>
  </si>
  <si>
    <t>20AB0122</t>
  </si>
  <si>
    <t>EMERGENCY 022-2020</t>
  </si>
  <si>
    <t>2020-06-0161</t>
  </si>
  <si>
    <t>RFG PUNONG E)S (April 2020</t>
  </si>
  <si>
    <t>20-03-041</t>
  </si>
  <si>
    <t>BAYLEGOOD0620073</t>
  </si>
  <si>
    <t>2020 ITB - 027</t>
  </si>
  <si>
    <t>2020-PCOO-0I-001</t>
  </si>
  <si>
    <t>06-230-2020</t>
  </si>
  <si>
    <t>20AB0123</t>
  </si>
  <si>
    <t>20GME0045</t>
  </si>
  <si>
    <t>44-200226-2020</t>
  </si>
  <si>
    <t>M2006-418</t>
  </si>
  <si>
    <t>IB No. 2020-227</t>
  </si>
  <si>
    <t>100-20-06-139</t>
  </si>
  <si>
    <t>1598</t>
  </si>
  <si>
    <t>2019-11-0854</t>
  </si>
  <si>
    <t>20AB0124</t>
  </si>
  <si>
    <t>ITB-2020-014</t>
  </si>
  <si>
    <t>20-0625-050</t>
  </si>
  <si>
    <t>20-03-23</t>
  </si>
  <si>
    <t>2020-ODY-06-189</t>
  </si>
  <si>
    <t>GHQPC-OESPA-RMOS-1335-20</t>
  </si>
  <si>
    <t>2020-ODY-06-192</t>
  </si>
  <si>
    <t>BAC-MD-2020-01</t>
  </si>
  <si>
    <t>2020-ODY-06-191</t>
  </si>
  <si>
    <t>CIVIL-2020-4</t>
  </si>
  <si>
    <t>BAYLEGOOD0620074</t>
  </si>
  <si>
    <t>20-0625-053</t>
  </si>
  <si>
    <t>Barangay Pakiad ITB 2020-001</t>
  </si>
  <si>
    <t>EARIST-BID-2020-005</t>
  </si>
  <si>
    <t>20AB0125</t>
  </si>
  <si>
    <t>SES 2020_018</t>
  </si>
  <si>
    <t>20-06-10</t>
  </si>
  <si>
    <t>2020-ODY-06-190</t>
  </si>
  <si>
    <t>ICTMU-2020-06-0227</t>
  </si>
  <si>
    <t>GOODS-ETG-20-06-014</t>
  </si>
  <si>
    <t>MOB-BAC-2020-06-022</t>
  </si>
  <si>
    <t>2020-06-0146</t>
  </si>
  <si>
    <t>2020-05-0087</t>
  </si>
  <si>
    <t>ITB No. 2020-07-04</t>
  </si>
  <si>
    <t>300-20-06-18</t>
  </si>
  <si>
    <t>20GJC0218</t>
  </si>
  <si>
    <t>PUNONG ES (RFQ MAY 2020)</t>
  </si>
  <si>
    <t>CW-2020-004</t>
  </si>
  <si>
    <t>021</t>
  </si>
  <si>
    <t>6-38-20</t>
  </si>
  <si>
    <t>20FJ0033</t>
  </si>
  <si>
    <t>2020-06-2032</t>
  </si>
  <si>
    <t>6-39-20</t>
  </si>
  <si>
    <t>20GME0055</t>
  </si>
  <si>
    <t>PB - 2020 -09</t>
  </si>
  <si>
    <t>RSPQ NO. 2020-06-035</t>
  </si>
  <si>
    <t>100-20-06-146</t>
  </si>
  <si>
    <t>ZBSY1DEO-20-018CW</t>
  </si>
  <si>
    <t>2020-87</t>
  </si>
  <si>
    <t>BAC-MD-2020-02</t>
  </si>
  <si>
    <t>IB No. 2020-228</t>
  </si>
  <si>
    <t>AREA V- 2020- SVP-029</t>
  </si>
  <si>
    <t>ITB-2020-06-005</t>
  </si>
  <si>
    <t>20FJ0032</t>
  </si>
  <si>
    <t>2020-018F</t>
  </si>
  <si>
    <t>pr no. 2</t>
  </si>
  <si>
    <t>2020-02-0164</t>
  </si>
  <si>
    <t>SEHS 2020_017</t>
  </si>
  <si>
    <t>063020-H01</t>
  </si>
  <si>
    <t>ITB-GS-20200608-01</t>
  </si>
  <si>
    <t>RFQ - 2020-06 - 058</t>
  </si>
  <si>
    <t>20AB0128</t>
  </si>
  <si>
    <t>BFPR6 BAC-P2020-07-02</t>
  </si>
  <si>
    <t>2020-163</t>
  </si>
  <si>
    <t>RFQ - 2020-06 - 057</t>
  </si>
  <si>
    <t>2020-40-001</t>
  </si>
  <si>
    <t>BLGUBALLUYAN-CW-2020-002</t>
  </si>
  <si>
    <t>2020-0611</t>
  </si>
  <si>
    <t>03-2020</t>
  </si>
  <si>
    <t>RFQ - 2020-06 - 056</t>
  </si>
  <si>
    <t>GHQPC-PDO-TELM-1339-20</t>
  </si>
  <si>
    <t>20AB0127</t>
  </si>
  <si>
    <t>CIVIL-2020-5</t>
  </si>
  <si>
    <t>20HM0090 (RE-IB)</t>
  </si>
  <si>
    <t>BAYLECON0620072</t>
  </si>
  <si>
    <t>ZBSY1DEO-20-019CW</t>
  </si>
  <si>
    <t>20CH0073</t>
  </si>
  <si>
    <t>20AB0126</t>
  </si>
  <si>
    <t>20-06-090</t>
  </si>
  <si>
    <t>BFP6 BAC P2020-07-01</t>
  </si>
  <si>
    <t>20-06-11</t>
  </si>
  <si>
    <t>2020 ITB - 028</t>
  </si>
  <si>
    <t>20HH0145</t>
  </si>
  <si>
    <t>20AB0129</t>
  </si>
  <si>
    <t>2020-ODY-06-193</t>
  </si>
  <si>
    <t>RFQ - 2020-06 - 059</t>
  </si>
  <si>
    <t>CLS - 2020 - 06 - 114</t>
  </si>
  <si>
    <t>37-2020</t>
  </si>
  <si>
    <t>2020-06-0013</t>
  </si>
  <si>
    <t>S - 2020 - 04</t>
  </si>
  <si>
    <t>CSJ-2020-032</t>
  </si>
  <si>
    <t>6-002</t>
  </si>
  <si>
    <t>RFQ - 2020-06 - 060</t>
  </si>
  <si>
    <t>2020-0610</t>
  </si>
  <si>
    <t>6-30-2020</t>
  </si>
  <si>
    <t>CSJ-2020-033</t>
  </si>
  <si>
    <t>INF-B003-2020</t>
  </si>
  <si>
    <t>4000004511</t>
  </si>
  <si>
    <t>BFPR6 BAC-P2020-07-03</t>
  </si>
  <si>
    <t>20-06-0323C</t>
  </si>
  <si>
    <t>007121-0000-00</t>
  </si>
  <si>
    <t>2020-06-0011</t>
  </si>
  <si>
    <t>2020-G2-018</t>
  </si>
  <si>
    <t>ITB No. 034B-2020 GQ</t>
  </si>
  <si>
    <t>ITB NO. 2020- 000011</t>
  </si>
  <si>
    <t>2020-0612</t>
  </si>
  <si>
    <t>CSJ-2020-034</t>
  </si>
  <si>
    <t>2020 ITB - 029</t>
  </si>
  <si>
    <t>2020-06-015</t>
  </si>
  <si>
    <t>2020-twg1-005 with RIS No.19-82-025</t>
  </si>
  <si>
    <t>006519-0000-00</t>
  </si>
  <si>
    <t>DSWD4B-2020-012</t>
  </si>
  <si>
    <t>20-0085</t>
  </si>
  <si>
    <t>007175-0000-00</t>
  </si>
  <si>
    <t>ITB No. 036B-2020 GQ</t>
  </si>
  <si>
    <t>INFRA-2020-047</t>
  </si>
  <si>
    <t>CSJ-2020-036</t>
  </si>
  <si>
    <t>2020-043</t>
  </si>
  <si>
    <t>007154-0000-00</t>
  </si>
  <si>
    <t>2020-twg1-006 with RIS No.19-82-025</t>
  </si>
  <si>
    <t>CIVIL-2020-6</t>
  </si>
  <si>
    <t>2020-G2-019</t>
  </si>
  <si>
    <t>ITB No. 037B-2020 GQ</t>
  </si>
  <si>
    <t>ITB No. 035B-2020 GQ</t>
  </si>
  <si>
    <t>2020-G-087</t>
  </si>
  <si>
    <t>2020-06-0056</t>
  </si>
  <si>
    <t>ITB No. 032B-2020 GQ</t>
  </si>
  <si>
    <t>JHS - 2020 - 006 - 0027</t>
  </si>
  <si>
    <t>20-06-13</t>
  </si>
  <si>
    <t>PUNONG ES (RFQ JUNE 2020)</t>
  </si>
  <si>
    <t>CSJ-2020-035</t>
  </si>
  <si>
    <t>ITB No. 2020 – 79</t>
  </si>
  <si>
    <t>JUNE 30,2020</t>
  </si>
  <si>
    <t>20-05-100</t>
  </si>
  <si>
    <t>OMSC RFQ 20-027</t>
  </si>
  <si>
    <t>DA RFO-1-2020-GOODS-033-R</t>
  </si>
  <si>
    <t>20-06-12</t>
  </si>
  <si>
    <t>rfq 2020-07-03</t>
  </si>
  <si>
    <t>20-03-114</t>
  </si>
  <si>
    <t>ITB No. 033B-2020 GQ</t>
  </si>
  <si>
    <t>2020-06-017</t>
  </si>
  <si>
    <t>INIMO-2020-06-041</t>
  </si>
  <si>
    <t>SJMC-2020-005</t>
  </si>
  <si>
    <t>MQE-INFR-2020-002</t>
  </si>
  <si>
    <t>PUNONG ES (RFQ JULY 2020)</t>
  </si>
  <si>
    <t>2020-117</t>
  </si>
  <si>
    <t>KC-2020-06-0191</t>
  </si>
  <si>
    <t>DA RFO-1-2020-GOODS-034-R</t>
  </si>
  <si>
    <t>GF-PB-20-41</t>
  </si>
  <si>
    <t>2020-33</t>
  </si>
  <si>
    <t>2020-05-025</t>
  </si>
  <si>
    <t>MUNPINCE-2006-113</t>
  </si>
  <si>
    <t>SHS - 2020 - 006 - 0011</t>
  </si>
  <si>
    <t>NCMBCOPP-06-002-20</t>
  </si>
  <si>
    <t>2020-06-020</t>
  </si>
  <si>
    <t>GHQPC-PDO-TRNG-1341-20</t>
  </si>
  <si>
    <t>20-03-060</t>
  </si>
  <si>
    <t>GHQPC-PDO-RMMV-1342-20</t>
  </si>
  <si>
    <t>2020-32</t>
  </si>
  <si>
    <t>2006-0784</t>
  </si>
  <si>
    <t>LGULAGONOY-BAC-020-INFRA-001</t>
  </si>
  <si>
    <t>CGB-2020-06-014</t>
  </si>
  <si>
    <t>20PD0124</t>
  </si>
  <si>
    <t>RFQ No.049 -2020</t>
  </si>
  <si>
    <t>CONTRACT ID NO. 20GN0093</t>
  </si>
  <si>
    <t>20-009</t>
  </si>
  <si>
    <t>CONTRACT ID NO. 20GN0092</t>
  </si>
  <si>
    <t>RVII-SQR-2020-07-001</t>
  </si>
  <si>
    <t>2020-02-245, 192, 220, 184, 210, 209, 203, 228, 14</t>
  </si>
  <si>
    <t>2020-24</t>
  </si>
  <si>
    <t>GEPS-20-004</t>
  </si>
  <si>
    <t>GEPS-20-003</t>
  </si>
  <si>
    <t>CONCRETING OF ROAD OF 150M X 4M X .15LM FARM TO MA</t>
  </si>
  <si>
    <t>Buenavista202001</t>
  </si>
  <si>
    <t>Malobago202001</t>
  </si>
  <si>
    <t>geps-2020-006</t>
  </si>
  <si>
    <t>SVP 2020-05</t>
  </si>
  <si>
    <t>SVP 2020-04</t>
  </si>
  <si>
    <t>301562-04-2020</t>
  </si>
  <si>
    <t>SVP 2020-08</t>
  </si>
  <si>
    <t>RVII-PCBU-2020-07-001</t>
  </si>
  <si>
    <t>SVP 2020-07</t>
  </si>
  <si>
    <t>ITB-2020-06-003</t>
  </si>
  <si>
    <t>2020-06-006-01</t>
  </si>
  <si>
    <t>geps-2020-005</t>
  </si>
  <si>
    <t>SVP 2020-06</t>
  </si>
  <si>
    <t>geps-2020-002</t>
  </si>
  <si>
    <t>20-06-461</t>
  </si>
  <si>
    <t>MR-PNBAC-2020-31</t>
  </si>
  <si>
    <t>Contract ID 20JH0036</t>
  </si>
  <si>
    <t>Contract ID 20JH0033</t>
  </si>
  <si>
    <t>CAL-3744-20</t>
  </si>
  <si>
    <t>Contract ID 20JH0032</t>
  </si>
  <si>
    <t>MIL-GOODS-2020-06-10</t>
  </si>
  <si>
    <t>20GDK0038</t>
  </si>
  <si>
    <t>Contract ID 20JH0030</t>
  </si>
  <si>
    <t>MR-PNBAC1-2020-32</t>
  </si>
  <si>
    <t>2020 - 07 - 008 (104 - Shopping)</t>
  </si>
  <si>
    <t>6-20-51</t>
  </si>
  <si>
    <t>2020-0166</t>
  </si>
  <si>
    <t>2020 - 07 - 008 (103 - Shopping)</t>
  </si>
  <si>
    <t>RGMO/GF-PB-20-43</t>
  </si>
  <si>
    <t>SAG-10-20</t>
  </si>
  <si>
    <t>2020-0167</t>
  </si>
  <si>
    <t>STF-PB-20-42</t>
  </si>
  <si>
    <t>20GDK0037</t>
  </si>
  <si>
    <t>STF-PB-20-45</t>
  </si>
  <si>
    <t>2020-06-DA-GF-0024</t>
  </si>
  <si>
    <t>2020-B1-06-020</t>
  </si>
  <si>
    <t>2020-06-DA-GF-0025</t>
  </si>
  <si>
    <t>BJMP NCR 2020-31</t>
  </si>
  <si>
    <t>2020-06-DA-GF-0023</t>
  </si>
  <si>
    <t>20CE0234</t>
  </si>
  <si>
    <t>1000032461</t>
  </si>
  <si>
    <t>20CE0236</t>
  </si>
  <si>
    <t>20CE0235</t>
  </si>
  <si>
    <t>20CE0233</t>
  </si>
  <si>
    <t>041- LGU-LAOANG-2020</t>
  </si>
  <si>
    <t>BTG3-2020-CS01</t>
  </si>
  <si>
    <t>BJMP NCR 2020-30</t>
  </si>
  <si>
    <t>GOODS 2020-06-PLA008</t>
  </si>
  <si>
    <t>SEHS 2020_021</t>
  </si>
  <si>
    <t>LIMAO-BAC-10-20</t>
  </si>
  <si>
    <t>2020-G-001</t>
  </si>
  <si>
    <t>SEHS 2020_019</t>
  </si>
  <si>
    <t>20-010</t>
  </si>
  <si>
    <t>2020-INFRA-011</t>
  </si>
  <si>
    <t>STF-PB-20-44</t>
  </si>
  <si>
    <t>BTG3-2020-CS02</t>
  </si>
  <si>
    <t>013-2020</t>
  </si>
  <si>
    <t>PR-20-043</t>
  </si>
  <si>
    <t>2020-06-02R</t>
  </si>
  <si>
    <t>117568-2020-036</t>
  </si>
  <si>
    <t>GOODS 2020-06-PLA009</t>
  </si>
  <si>
    <t>SEHS 2020_020</t>
  </si>
  <si>
    <t>ITB NO. 2020-032</t>
  </si>
  <si>
    <t>2020-06-007</t>
  </si>
  <si>
    <t>infra 20-007</t>
  </si>
  <si>
    <t>06-30-2020-02</t>
  </si>
  <si>
    <t>20S029</t>
  </si>
  <si>
    <t>LIMAO-BAC-12-20</t>
  </si>
  <si>
    <t>149 – 2020</t>
  </si>
  <si>
    <t>32-2020</t>
  </si>
  <si>
    <t>LIMAO-BAC-13-20</t>
  </si>
  <si>
    <t>100-2019-10-1682</t>
  </si>
  <si>
    <t>301562-05-2020</t>
  </si>
  <si>
    <t>PB-202003</t>
  </si>
  <si>
    <t>150 – 2020</t>
  </si>
  <si>
    <t>SEHS 2020_018</t>
  </si>
  <si>
    <t>100-2019-10-1615</t>
  </si>
  <si>
    <t>100-2019-02-240</t>
  </si>
  <si>
    <t>JUNE302020</t>
  </si>
  <si>
    <t>2020-06-03R</t>
  </si>
  <si>
    <t>infra 20_008</t>
  </si>
  <si>
    <t>2020-07-21-05CW</t>
  </si>
  <si>
    <t>2020-07-21-052CW</t>
  </si>
  <si>
    <t>2020-B1-03-007</t>
  </si>
  <si>
    <t>PR# 20-06-0635</t>
  </si>
  <si>
    <t>2020-I-081</t>
  </si>
  <si>
    <t>20-076</t>
  </si>
  <si>
    <t>20MADD0022</t>
  </si>
  <si>
    <t>2020095</t>
  </si>
  <si>
    <t>bac-azds-20-06-017</t>
  </si>
  <si>
    <t>20MADD0023</t>
  </si>
  <si>
    <t>20CSPH02</t>
  </si>
  <si>
    <t>20CSPH01</t>
  </si>
  <si>
    <t>2020-07-21-054CW</t>
  </si>
  <si>
    <t>2020087</t>
  </si>
  <si>
    <t>2020-RFQ 029 "Purchase of Digital Dry Bath for Ani</t>
  </si>
  <si>
    <t>PB20-07-CM-P5</t>
  </si>
  <si>
    <t>2020-011-1</t>
  </si>
  <si>
    <t>LIMAO-BAC-11-20</t>
  </si>
  <si>
    <t>SEHS 2020_022</t>
  </si>
  <si>
    <t>doc</t>
  </si>
  <si>
    <t>012020</t>
  </si>
  <si>
    <t>2020-05-CS1</t>
  </si>
  <si>
    <t>HFW-2020-04-0147</t>
  </si>
  <si>
    <t>BAC INFRA 2020-07-01</t>
  </si>
  <si>
    <t>infra 20-009</t>
  </si>
  <si>
    <t>2020-07-21-056CW</t>
  </si>
  <si>
    <t>2020-07-21-057CW</t>
  </si>
  <si>
    <t>2020-07-21-055CW</t>
  </si>
  <si>
    <t>ORD PABAC 021-20</t>
  </si>
  <si>
    <t>PB-GE1-2020-18</t>
  </si>
  <si>
    <t>ORD PABAC 020-20</t>
  </si>
  <si>
    <t>PB-SP-EE-2020-17</t>
  </si>
  <si>
    <t>ITB-063020</t>
  </si>
  <si>
    <t>ITB-2020-PR1189</t>
  </si>
  <si>
    <t>2020-07-21-384PG</t>
  </si>
  <si>
    <t>PB-GB1-2020-19</t>
  </si>
  <si>
    <t>20-1449</t>
  </si>
  <si>
    <t>cgb2020-230</t>
  </si>
  <si>
    <t>RFQ 0620-051</t>
  </si>
  <si>
    <t>2020-07-21-383PG</t>
  </si>
  <si>
    <t>ORD PABAC 023-20</t>
  </si>
  <si>
    <t>2020- 07-21-384PG</t>
  </si>
  <si>
    <t>20-1450</t>
  </si>
  <si>
    <t>ORD PABAC 018-20 Lot 1 (Re-bid)</t>
  </si>
  <si>
    <t>20EB0126</t>
  </si>
  <si>
    <t>ORD PABAC 022-20</t>
  </si>
  <si>
    <t>vinya0626</t>
  </si>
  <si>
    <t>APP-010A-S-2020</t>
  </si>
  <si>
    <t>blgumabini-2019</t>
  </si>
  <si>
    <t>2020-G-088</t>
  </si>
  <si>
    <t>100-20-06-0643</t>
  </si>
  <si>
    <t>20-1452</t>
  </si>
  <si>
    <t>300-20-06-0649</t>
  </si>
  <si>
    <t>PB-2020-06-002</t>
  </si>
  <si>
    <t>C-055-2020</t>
  </si>
  <si>
    <t>B2 PEO 300-20-06-07382</t>
  </si>
  <si>
    <t>PEO-20-0618 B (REBID)</t>
  </si>
  <si>
    <t>C-051-2020</t>
  </si>
  <si>
    <t>GF 001</t>
  </si>
  <si>
    <t>SB2 POP19 300-20-02-01021</t>
  </si>
  <si>
    <t>Cuartero_BAC 2020-008</t>
  </si>
  <si>
    <t>B2 PEO 300-20-06-07380</t>
  </si>
  <si>
    <t>GAMOT 200-20-06-06522</t>
  </si>
  <si>
    <t>SM-20-015</t>
  </si>
  <si>
    <t>20GP003CS</t>
  </si>
  <si>
    <t>INFRA2020-05</t>
  </si>
  <si>
    <t>Cuartero_BAC 2020-011</t>
  </si>
  <si>
    <t>ITB INFRA-024-2020</t>
  </si>
  <si>
    <t>PGSO 300-20-01-00299</t>
  </si>
  <si>
    <t>11-DDMGMES-08042020</t>
  </si>
  <si>
    <t>INFRA2020-06</t>
  </si>
  <si>
    <t>2020-07-21-387PG</t>
  </si>
  <si>
    <t>20GP002CS</t>
  </si>
  <si>
    <t>20EB0127</t>
  </si>
  <si>
    <t>2020-055-snq</t>
  </si>
  <si>
    <t>2020-052-snq</t>
  </si>
  <si>
    <t>2020-07-21-386PG</t>
  </si>
  <si>
    <t>PB-2020-184-012</t>
  </si>
  <si>
    <t>GOODS2020-50</t>
  </si>
  <si>
    <t>AGR-20-0767-B</t>
  </si>
  <si>
    <t>ITB NO. 20-00001</t>
  </si>
  <si>
    <t>B2 SB3 INFRA 300-15-06-08758</t>
  </si>
  <si>
    <t>B2 PEO 300-20-06-07383</t>
  </si>
  <si>
    <t>2020-053-snq</t>
  </si>
  <si>
    <t>Cuartero_BAC 2020-010</t>
  </si>
  <si>
    <t>2020-054-snq</t>
  </si>
  <si>
    <t>Cuartero_BAC 2020-009</t>
  </si>
  <si>
    <t>INFRA2020-03</t>
  </si>
  <si>
    <t>B2 PEO 300-20-06-07622</t>
  </si>
  <si>
    <t>2020-06-358</t>
  </si>
  <si>
    <t>2020-06-357</t>
  </si>
  <si>
    <t>B2 PEO 300-20-06-07384</t>
  </si>
  <si>
    <t>PB-2020-184-011</t>
  </si>
  <si>
    <t>PB2020-07-071G</t>
  </si>
  <si>
    <t>INFRA2020-04</t>
  </si>
  <si>
    <t>PB2020-07-070G</t>
  </si>
  <si>
    <t>2020-07-21-385PG</t>
  </si>
  <si>
    <t>2020--07-21-388PG</t>
  </si>
  <si>
    <t>10-RFEF@Pob1&amp;2MES-08042020</t>
  </si>
  <si>
    <t>2020--07-21-398PG</t>
  </si>
  <si>
    <t>20GP001CS</t>
  </si>
  <si>
    <t>2020-07-21-395PG</t>
  </si>
  <si>
    <t>2020-07-21-394PG</t>
  </si>
  <si>
    <t>2020-06-302</t>
  </si>
  <si>
    <t>INFRA-2020-07-10</t>
  </si>
  <si>
    <t>INFRA-2020-07-08</t>
  </si>
  <si>
    <t>PB2020-06-052G</t>
  </si>
  <si>
    <t>2020-07-21-389PG</t>
  </si>
  <si>
    <t>2020-07-21-402PG</t>
  </si>
  <si>
    <t>2020-07-21-401PG</t>
  </si>
  <si>
    <t>2020-07-21-393PG</t>
  </si>
  <si>
    <t>2020-07-21-392PG</t>
  </si>
  <si>
    <t>2020-07-21-390PG</t>
  </si>
  <si>
    <t>2020-07-21-403PG</t>
  </si>
  <si>
    <t>2020-07-21-396PG</t>
  </si>
  <si>
    <t>09-UMSMWDMES-08072020</t>
  </si>
  <si>
    <t>2020-06-27-001</t>
  </si>
  <si>
    <t>12-RFSBIMES-08072020</t>
  </si>
  <si>
    <t>PR 1-20-03-0487 - CED (REBIDDING)</t>
  </si>
  <si>
    <t>ORD PABAC 018-20 Lot 2</t>
  </si>
  <si>
    <t>2020-07-21-391PG</t>
  </si>
  <si>
    <t>2020030011</t>
  </si>
  <si>
    <t>PR 9-20-06-0671 - CITY HOSPITAL</t>
  </si>
  <si>
    <t>PR 1-20-06-0680 - CED</t>
  </si>
  <si>
    <t>INFRA-2020-07-09</t>
  </si>
  <si>
    <t>PR 1-20-03-0482 - AGRI (REBIDDING)</t>
  </si>
  <si>
    <t>2020-37</t>
  </si>
  <si>
    <t>PR 18-20-06-0646 - CED</t>
  </si>
  <si>
    <t>PR 1-20-06-0699 - CED</t>
  </si>
  <si>
    <t>PR 1-20-06-0683 - CED</t>
  </si>
  <si>
    <t>2020030013</t>
  </si>
  <si>
    <t>2020-38</t>
  </si>
  <si>
    <t>PR 1-20-06-0649 - CED (REBIDDING)</t>
  </si>
  <si>
    <t>PR 1-20-06-0732 - CED</t>
  </si>
  <si>
    <t>PR 9-20-06-0739 - CITY HOSPITAL</t>
  </si>
  <si>
    <t>2LSSM2020A-281</t>
  </si>
  <si>
    <t>PR 401-20-03-0453 - CWD (REBIDDING)</t>
  </si>
  <si>
    <t>PR 1-20-06-0681 - CMO</t>
  </si>
  <si>
    <t>PR 1-20-04-0532 - PNP (REBIDDING)</t>
  </si>
  <si>
    <t>PR 9-20-06-0695 - CITY HOSPITAL</t>
  </si>
  <si>
    <t>SL-2020-008</t>
  </si>
  <si>
    <t>PR 9-20-06-0734 - CITY HOSPITAL</t>
  </si>
  <si>
    <t>PR 1-20-06-0659 - AGRI (REBIDDING)</t>
  </si>
  <si>
    <t>PR 9-20-06-0740 - CITY HOSPITAL</t>
  </si>
  <si>
    <t>PR 1-20-03-0497 - PESO (REBIDDING)</t>
  </si>
  <si>
    <t>2LSSM2020A-282</t>
  </si>
  <si>
    <t>PR 9-20-06-0676 - CITY HOSPITAL</t>
  </si>
  <si>
    <t>2LSSM2020A-278</t>
  </si>
  <si>
    <t>PR 9-20-04-0533 - CITY HOSPITAL (REBIDDING)</t>
  </si>
  <si>
    <t>2LSSM2020A-277</t>
  </si>
  <si>
    <t>PR 4-20-06-0643 - CWD</t>
  </si>
  <si>
    <t>06-POS-06232020</t>
  </si>
  <si>
    <t>PR 1-20-06-0733 - CED</t>
  </si>
  <si>
    <t>2LSSM2020A-279</t>
  </si>
  <si>
    <t>2LSSM2020A-276</t>
  </si>
  <si>
    <t>PR 9-20-03-0415 - CITY HOSPITAL</t>
  </si>
  <si>
    <t>20CE0231</t>
  </si>
  <si>
    <t>2LSSM2020A-280</t>
  </si>
  <si>
    <t>CY 2020-20% DF (Continuing Appropriation) G-01-062</t>
  </si>
  <si>
    <t>2020bid001</t>
  </si>
  <si>
    <t>BRGY 007-2020</t>
  </si>
  <si>
    <t>2020-06-25B</t>
  </si>
  <si>
    <t>2020-06-189-RFQ</t>
  </si>
  <si>
    <t>20CE0230</t>
  </si>
  <si>
    <t>SF-CW-MDRRMF-2020-03</t>
  </si>
  <si>
    <t>2020-29-004</t>
  </si>
  <si>
    <t>2020-29-003</t>
  </si>
  <si>
    <t>2020-29-002</t>
  </si>
  <si>
    <t>0023-0060-0838-2020</t>
  </si>
  <si>
    <t>20CE0232</t>
  </si>
  <si>
    <t>MG-LGD20-002 FUEL, GASOLINE, DIESEL</t>
  </si>
  <si>
    <t>20DN0145</t>
  </si>
  <si>
    <t>2020-06-19</t>
  </si>
  <si>
    <t>2020-29-001</t>
  </si>
  <si>
    <t>100(18)20-06-380(O)</t>
  </si>
  <si>
    <t>RFQ-2020-04</t>
  </si>
  <si>
    <t>100(18)20-06-377(O)</t>
  </si>
  <si>
    <t>100(18)20-06-376(O)</t>
  </si>
  <si>
    <t>TF-20-06-383(O)</t>
  </si>
  <si>
    <t>2020-06-17</t>
  </si>
  <si>
    <t>IB 2020-36</t>
  </si>
  <si>
    <t>silangan1-2020</t>
  </si>
  <si>
    <t>2020-06-18</t>
  </si>
  <si>
    <t>INFRA-BEAUTIFICATION OF BOULEVARD ROAD(PLANT BOX A</t>
  </si>
  <si>
    <t>100(01)20-06-375(O)</t>
  </si>
  <si>
    <t>100(18)20-06-378(O)</t>
  </si>
  <si>
    <t>LGUBaras-2020-0047</t>
  </si>
  <si>
    <t>20-218</t>
  </si>
  <si>
    <t>2020-06-20</t>
  </si>
  <si>
    <t>100(18)20-06-379(O)</t>
  </si>
  <si>
    <t>ITB-2020-01</t>
  </si>
  <si>
    <t>2020-12-001</t>
  </si>
  <si>
    <t>Mkna-GSO-20-283</t>
  </si>
  <si>
    <t>T060-20</t>
  </si>
  <si>
    <t>2020-001 (Brgy. Donganpekong)(REBID)</t>
  </si>
  <si>
    <t>100(18)20-06-100(Q)</t>
  </si>
  <si>
    <t>TF-20-06-382(O)</t>
  </si>
  <si>
    <t>P.R. # 20-06-063</t>
  </si>
  <si>
    <t>2020-62B-06-001</t>
  </si>
  <si>
    <t>20DN0146</t>
  </si>
  <si>
    <t>Mkna-GSO-20-284</t>
  </si>
  <si>
    <t>06292020001</t>
  </si>
  <si>
    <t>202-12</t>
  </si>
  <si>
    <t>UPB-2020-048</t>
  </si>
  <si>
    <t>20-077</t>
  </si>
  <si>
    <t>P.R. # 20-06-066</t>
  </si>
  <si>
    <t>Mkna-GSO-20-285</t>
  </si>
  <si>
    <t>C-054-2020</t>
  </si>
  <si>
    <t>2020 - 084</t>
  </si>
  <si>
    <t>20201264</t>
  </si>
  <si>
    <t>2020-631</t>
  </si>
  <si>
    <t>2020-06-053-D</t>
  </si>
  <si>
    <t>MG-TSE20-018..METER, MULTIFUNCTION</t>
  </si>
  <si>
    <t>Tukucan-2020-01</t>
  </si>
  <si>
    <t>20GK0226</t>
  </si>
  <si>
    <t>20GK0227</t>
  </si>
  <si>
    <t>mda128</t>
  </si>
  <si>
    <t>INFRA-CONSTRUCTION REHABILITATION OF CONCRETE ROAD</t>
  </si>
  <si>
    <t>20DN0147</t>
  </si>
  <si>
    <t>20-24</t>
  </si>
  <si>
    <t>P.R. # 20-06-068</t>
  </si>
  <si>
    <t>LGU-BLU-20-06-049</t>
  </si>
  <si>
    <t>P.R. # 20-06-067</t>
  </si>
  <si>
    <t>MG-TSE20-022..SWITCH, ISOLATION, METERING PROTECTI</t>
  </si>
  <si>
    <t>2020-034I</t>
  </si>
  <si>
    <t>6911-02-934-19</t>
  </si>
  <si>
    <t>20DN0149</t>
  </si>
  <si>
    <t>Jiab-2020-1B</t>
  </si>
  <si>
    <t>RFQ-TFB-10-2020</t>
  </si>
  <si>
    <t>INFRA-REHABILITATION OF LINED CANAL AND DRAINAGE (</t>
  </si>
  <si>
    <t>GOODS-010-2020</t>
  </si>
  <si>
    <t>T039-20</t>
  </si>
  <si>
    <t>P.R. # 20-06-070</t>
  </si>
  <si>
    <t>20201269</t>
  </si>
  <si>
    <t>PB2020-07-072G</t>
  </si>
  <si>
    <t>P.R. # 20-06-069</t>
  </si>
  <si>
    <t>Mkna-GSO-20-288</t>
  </si>
  <si>
    <t>BLGU-PBD-Behia-2020-26.1</t>
  </si>
  <si>
    <t>Tukucan-2020-02</t>
  </si>
  <si>
    <t>234</t>
  </si>
  <si>
    <t>20DN0148</t>
  </si>
  <si>
    <t>20-46210</t>
  </si>
  <si>
    <t>20-46217</t>
  </si>
  <si>
    <t>IB NO. PB-2020-06-21</t>
  </si>
  <si>
    <t>ITB-2020-06-12</t>
  </si>
  <si>
    <t>20DN0150</t>
  </si>
  <si>
    <t>8919-07-1620-19</t>
  </si>
  <si>
    <t>ITB-2020-05</t>
  </si>
  <si>
    <t>Tukucan-2020-03</t>
  </si>
  <si>
    <t>300-20-06-0027</t>
  </si>
  <si>
    <t>Brgy. Canroma-20-01</t>
  </si>
  <si>
    <t>20-06-0042</t>
  </si>
  <si>
    <t>INF-2020-003</t>
  </si>
  <si>
    <t>2020-2207</t>
  </si>
  <si>
    <t>RFQ-TFB-11-2020</t>
  </si>
  <si>
    <t>2020-06-169</t>
  </si>
  <si>
    <t>2020-06-131</t>
  </si>
  <si>
    <t>Jiab-2020-2B</t>
  </si>
  <si>
    <t>P.R. # 20-06-079</t>
  </si>
  <si>
    <t>ITB-2020-06-13</t>
  </si>
  <si>
    <t>MG-TSE20-032...REHAB/REPAIR OF VARIOUS DEFECTIVE V</t>
  </si>
  <si>
    <t>Job Request_03_Admin</t>
  </si>
  <si>
    <t>P.R. # 20-06-080</t>
  </si>
  <si>
    <t>20DN0151</t>
  </si>
  <si>
    <t>062920200002</t>
  </si>
  <si>
    <t>Poblacion-2020-05</t>
  </si>
  <si>
    <t>SDO-Val.-2020-06-0011</t>
  </si>
  <si>
    <t>mnto 20 0008</t>
  </si>
  <si>
    <t>BIMO-GOODS-SVP2020-OE-BIMOP4</t>
  </si>
  <si>
    <t>100-2003-293</t>
  </si>
  <si>
    <t>2020-06-147</t>
  </si>
  <si>
    <t>Job Request_01_Admin</t>
  </si>
  <si>
    <t>100-2003-</t>
  </si>
  <si>
    <t>2020-02-0454 etc.</t>
  </si>
  <si>
    <t>0002-CW-2020</t>
  </si>
  <si>
    <t>Mkna-GSO-20-289</t>
  </si>
  <si>
    <t>BIMO-GOODS-SVP2020-SP-BIMOP2</t>
  </si>
  <si>
    <t>2020-963</t>
  </si>
  <si>
    <t>2020-06-027</t>
  </si>
  <si>
    <t>RFQ 2020-05-001</t>
  </si>
  <si>
    <t>100-20-04-0169</t>
  </si>
  <si>
    <t>2020-05-036</t>
  </si>
  <si>
    <t>LOG-0001G-2020</t>
  </si>
  <si>
    <t>MZSP-2020-44</t>
  </si>
  <si>
    <t>BAC-PGCS-179-2020</t>
  </si>
  <si>
    <t>20-46160</t>
  </si>
  <si>
    <t>2020-02-0537 etc.</t>
  </si>
  <si>
    <t>100-2006-592</t>
  </si>
  <si>
    <t>mnto 20 0009</t>
  </si>
  <si>
    <t>RFQ-GOODS-2020-077</t>
  </si>
  <si>
    <t>2020-06-029</t>
  </si>
  <si>
    <t>Brgy. Bersamin - 2020 - 030</t>
  </si>
  <si>
    <t>ppn-098-2020</t>
  </si>
  <si>
    <t>2020-03-03</t>
  </si>
  <si>
    <t>Jiab-2020-5B</t>
  </si>
  <si>
    <t>19-056-11 Bravo</t>
  </si>
  <si>
    <t>PR# 16</t>
  </si>
  <si>
    <t>ppn-097-2020</t>
  </si>
  <si>
    <t>ITB-062920-2</t>
  </si>
  <si>
    <t>MGCP-20G-581B</t>
  </si>
  <si>
    <t>2020 - 13</t>
  </si>
  <si>
    <t>ITB-062920-1</t>
  </si>
  <si>
    <t>ppn-096-2020</t>
  </si>
  <si>
    <t>2020-05-035</t>
  </si>
  <si>
    <t>DATA 200-20-05-05027</t>
  </si>
  <si>
    <t>Gumhang -2020-01</t>
  </si>
  <si>
    <t>Jiab-2020-4B</t>
  </si>
  <si>
    <t>06043520</t>
  </si>
  <si>
    <t>PR# 17</t>
  </si>
  <si>
    <t>CODH 200-20-06-07121</t>
  </si>
  <si>
    <t>100-20-04-0174</t>
  </si>
  <si>
    <t>baa - 20 - 07 - 005</t>
  </si>
  <si>
    <t>20DN0153</t>
  </si>
  <si>
    <t>SV-0557-2020</t>
  </si>
  <si>
    <t>DJRDH 200-20-05-06027</t>
  </si>
  <si>
    <t>ITB-2020-06-14</t>
  </si>
  <si>
    <t>2020-B-06-026</t>
  </si>
  <si>
    <t>2020-06-0185</t>
  </si>
  <si>
    <t>Jiab-2020-6B</t>
  </si>
  <si>
    <t>6-20-50</t>
  </si>
  <si>
    <t>20DN0152</t>
  </si>
  <si>
    <t>ITB-062920-3</t>
  </si>
  <si>
    <t>Wangwang-2020-01</t>
  </si>
  <si>
    <t>INFRA-Bagumbayan-002-2019</t>
  </si>
  <si>
    <t>20DN0156</t>
  </si>
  <si>
    <t>236</t>
  </si>
  <si>
    <t>InTB-PGAOPAG2020EDF-GDS1</t>
  </si>
  <si>
    <t>pal-20-06-014</t>
  </si>
  <si>
    <t>SV-0709-2020</t>
  </si>
  <si>
    <t>20-46162</t>
  </si>
  <si>
    <t>20DN0155</t>
  </si>
  <si>
    <t>pb-infra-2020-039</t>
  </si>
  <si>
    <t>BAC-PG-003-20</t>
  </si>
  <si>
    <t>20DN0154</t>
  </si>
  <si>
    <t>DPP 200-20-04-03433</t>
  </si>
  <si>
    <t>BAC 2020-G-06-010</t>
  </si>
  <si>
    <t>GOODS-031-2020</t>
  </si>
  <si>
    <t>SV-0734-2020</t>
  </si>
  <si>
    <t>SVP 2020-030</t>
  </si>
  <si>
    <t>20DN0158</t>
  </si>
  <si>
    <t>RIO-LMC-07b-2020</t>
  </si>
  <si>
    <t>100-20-02-0069</t>
  </si>
  <si>
    <t>RFQ NO. 39</t>
  </si>
  <si>
    <t>2020 - 14</t>
  </si>
  <si>
    <t>100-2020-GOODS-364</t>
  </si>
  <si>
    <t>007</t>
  </si>
  <si>
    <t>RIO-LMC-07a-2020</t>
  </si>
  <si>
    <t>237</t>
  </si>
  <si>
    <t>EN 200-20-05-06084</t>
  </si>
  <si>
    <t>CGB-2020-06-010</t>
  </si>
  <si>
    <t>B2020-076-A</t>
  </si>
  <si>
    <t>20-45377</t>
  </si>
  <si>
    <t>Jiab-2020-3B</t>
  </si>
  <si>
    <t>2LSSM2020A-243</t>
  </si>
  <si>
    <t>20-44978 (repost)</t>
  </si>
  <si>
    <t>2LSSM2020A-244</t>
  </si>
  <si>
    <t>6911-09-938-20</t>
  </si>
  <si>
    <t>RFQ20-6-47</t>
  </si>
  <si>
    <t>20-06-88</t>
  </si>
  <si>
    <t>RFQ-GOODS-2020-078</t>
  </si>
  <si>
    <t>ITB2020-06-15</t>
  </si>
  <si>
    <t>blgupoblacion-2019</t>
  </si>
  <si>
    <t>20DN0157</t>
  </si>
  <si>
    <t>20DN0159</t>
  </si>
  <si>
    <t>2020-06-16</t>
  </si>
  <si>
    <t>2020-07-21-404PG</t>
  </si>
  <si>
    <t>2006-001A</t>
  </si>
  <si>
    <t>B2020-078-A</t>
  </si>
  <si>
    <t>Barangay Concepcion 2020-006-04</t>
  </si>
  <si>
    <t>PR 1-20-06-0763 - BAC</t>
  </si>
  <si>
    <t>20J00197</t>
  </si>
  <si>
    <t>ITB-2020-REL-001</t>
  </si>
  <si>
    <t>20DN0161</t>
  </si>
  <si>
    <t>RFQ NO. 42</t>
  </si>
  <si>
    <t>GOODS2020-49</t>
  </si>
  <si>
    <t>8918-02-2773-20</t>
  </si>
  <si>
    <t>2LSSM2020A-245</t>
  </si>
  <si>
    <t>Job Request_02_Admin</t>
  </si>
  <si>
    <t>100-20-06-0233</t>
  </si>
  <si>
    <t>INFRA-2020-224</t>
  </si>
  <si>
    <t>2LSSM2020A-246</t>
  </si>
  <si>
    <t>GAMOT 200-20-06-06109</t>
  </si>
  <si>
    <t>SVP 2020-031</t>
  </si>
  <si>
    <t>20201266</t>
  </si>
  <si>
    <t>ITB202005-1</t>
  </si>
  <si>
    <t>GS - GARITAN - 2020 -01</t>
  </si>
  <si>
    <t>ppn-099-2020</t>
  </si>
  <si>
    <t>B-2020-018</t>
  </si>
  <si>
    <t>MGCP-20I-585A</t>
  </si>
  <si>
    <t>4918-23-351-20</t>
  </si>
  <si>
    <t>Installation of Strrelights in Strategic Area in V</t>
  </si>
  <si>
    <t>SV-0553-2020</t>
  </si>
  <si>
    <t>Brgy. Poblacion East - 2020 - 031</t>
  </si>
  <si>
    <t>20J00202</t>
  </si>
  <si>
    <t>PB-CW-2020-06-22</t>
  </si>
  <si>
    <t>20201258</t>
  </si>
  <si>
    <t>20J00201</t>
  </si>
  <si>
    <t>ITB-2020-REL-002</t>
  </si>
  <si>
    <t>20-43922 (REPOST)</t>
  </si>
  <si>
    <t>100-20-06-0231</t>
  </si>
  <si>
    <t>20J00200</t>
  </si>
  <si>
    <t>ITB-2020-JDL-007</t>
  </si>
  <si>
    <t>ITB-2020-REL-003</t>
  </si>
  <si>
    <t>20DN0169</t>
  </si>
  <si>
    <t>20J00203</t>
  </si>
  <si>
    <t>20200629</t>
  </si>
  <si>
    <t>2020-062</t>
  </si>
  <si>
    <t>PB-CW-2020-06-23</t>
  </si>
  <si>
    <t>AMP2020-029</t>
  </si>
  <si>
    <t>NCB Publication No. 2020- 20</t>
  </si>
  <si>
    <t>2020-026</t>
  </si>
  <si>
    <t>PSA-RSSO6-2020-012</t>
  </si>
  <si>
    <t>2020-025</t>
  </si>
  <si>
    <t>NCB Publication No. 2020- 19</t>
  </si>
  <si>
    <t>INFRA2020-013</t>
  </si>
  <si>
    <t>ZBSY1DEO-20-016CW</t>
  </si>
  <si>
    <t>2020-57</t>
  </si>
  <si>
    <t>PR # 20-06-0699</t>
  </si>
  <si>
    <t>PSA-RSSO6-2020-016</t>
  </si>
  <si>
    <t>IB NO. PB-2020-06-22</t>
  </si>
  <si>
    <t>2020-03-02</t>
  </si>
  <si>
    <t>NCB Publication No. 2020- 21</t>
  </si>
  <si>
    <t>20DN0171</t>
  </si>
  <si>
    <t>B2020-079-A</t>
  </si>
  <si>
    <t>PSA-RSSO6-2020-014</t>
  </si>
  <si>
    <t>ITB-2020-06-004</t>
  </si>
  <si>
    <t>INFRA-2020-226</t>
  </si>
  <si>
    <t>PSA-RSSO6-2020-015</t>
  </si>
  <si>
    <t>2020-06-07</t>
  </si>
  <si>
    <t>INFRA-2020-225</t>
  </si>
  <si>
    <t>20DN0168</t>
  </si>
  <si>
    <t>PSA-RSSO6-2020-013</t>
  </si>
  <si>
    <t>infra2020011</t>
  </si>
  <si>
    <t>G-115-20</t>
  </si>
  <si>
    <t>001-06-2020(BRGY.UNZAD, VILLASIS, PANGASINAN)</t>
  </si>
  <si>
    <t>20J00198</t>
  </si>
  <si>
    <t>6911-02-690-19</t>
  </si>
  <si>
    <t>20J00199</t>
  </si>
  <si>
    <t>20201259</t>
  </si>
  <si>
    <t>06-129-2020</t>
  </si>
  <si>
    <t>6911-09-880-20</t>
  </si>
  <si>
    <t>B2020-080-A</t>
  </si>
  <si>
    <t>BAC-PG-002-20</t>
  </si>
  <si>
    <t>2020-03-01</t>
  </si>
  <si>
    <t>PSA-RSSO6-2020-017</t>
  </si>
  <si>
    <t>B2020-081-A</t>
  </si>
  <si>
    <t>2020-029</t>
  </si>
  <si>
    <t>2LSSM2020A-247</t>
  </si>
  <si>
    <t>PSA-RSSO6-2020-020</t>
  </si>
  <si>
    <t>LNO 200-20-03-02450</t>
  </si>
  <si>
    <t>ITB 2020-007</t>
  </si>
  <si>
    <t>100-20-06-0214</t>
  </si>
  <si>
    <t>B2020-082-A</t>
  </si>
  <si>
    <t>2020-160</t>
  </si>
  <si>
    <t>SJ-20-167</t>
  </si>
  <si>
    <t>PSA-RSSO6-2020-019</t>
  </si>
  <si>
    <t>062020</t>
  </si>
  <si>
    <t>2020-G-Brgy Bucal</t>
  </si>
  <si>
    <t>2LSSM2020A-248</t>
  </si>
  <si>
    <t>2020-58</t>
  </si>
  <si>
    <t>2020-60</t>
  </si>
  <si>
    <t>2020-165</t>
  </si>
  <si>
    <t>SJ-20-168</t>
  </si>
  <si>
    <t>SM-20-016</t>
  </si>
  <si>
    <t>AME-01-2020</t>
  </si>
  <si>
    <t>PR NO.2020-06-025</t>
  </si>
  <si>
    <t>PB20-002</t>
  </si>
  <si>
    <t>BALZN9-2010</t>
  </si>
  <si>
    <t>062920</t>
  </si>
  <si>
    <t>PSA-RSSO6-2020-022</t>
  </si>
  <si>
    <t>ITB-SSS-GOODS-2020-019</t>
  </si>
  <si>
    <t>ITB INFRA-025-2020</t>
  </si>
  <si>
    <t>PSA-RSSO6-2020-023</t>
  </si>
  <si>
    <t>2020-049</t>
  </si>
  <si>
    <t>2LSSM2020A-249</t>
  </si>
  <si>
    <t>2020-0055</t>
  </si>
  <si>
    <t>2020-164</t>
  </si>
  <si>
    <t>2LSSM2020A-254</t>
  </si>
  <si>
    <t>2020-07-21-405PG</t>
  </si>
  <si>
    <t>2020-59</t>
  </si>
  <si>
    <t>PSA-RSSO6-2020-018</t>
  </si>
  <si>
    <t>2020-61</t>
  </si>
  <si>
    <t>LARISIP-2020-4</t>
  </si>
  <si>
    <t>2020-06-020-101</t>
  </si>
  <si>
    <t>ITB INFRA-026-2020</t>
  </si>
  <si>
    <t>2LSSM2020A-255</t>
  </si>
  <si>
    <t>062920-61</t>
  </si>
  <si>
    <t>20CSIB08</t>
  </si>
  <si>
    <t>PSA-RSSO6-2020-026</t>
  </si>
  <si>
    <t>ITB INFRA-027-2020</t>
  </si>
  <si>
    <t>2LSSM2020A-250</t>
  </si>
  <si>
    <t>062920-63</t>
  </si>
  <si>
    <t>2LSSM2020A-256</t>
  </si>
  <si>
    <t>rfq#2020-05-2,333-pgo-benro</t>
  </si>
  <si>
    <t>2LSSM2020A-252</t>
  </si>
  <si>
    <t>2LSSM2020A-253</t>
  </si>
  <si>
    <t>S2-BTG20-006</t>
  </si>
  <si>
    <t>4918-23-393-20</t>
  </si>
  <si>
    <t>062920-62</t>
  </si>
  <si>
    <t>rfq#2019-10-3,059-pgo-pdrrmd</t>
  </si>
  <si>
    <t>PASSO 200-20-05-05728/05731/05732</t>
  </si>
  <si>
    <t>SJ-20-169</t>
  </si>
  <si>
    <t>2020- 09</t>
  </si>
  <si>
    <t>PB20-003</t>
  </si>
  <si>
    <t>2020-166</t>
  </si>
  <si>
    <t>06-229-2020</t>
  </si>
  <si>
    <t>PSA-RSSO6-2020-025</t>
  </si>
  <si>
    <t>B-2020-019</t>
  </si>
  <si>
    <t>SVP20-513</t>
  </si>
  <si>
    <t>20-46314</t>
  </si>
  <si>
    <t>2020-035I</t>
  </si>
  <si>
    <t>GF-503</t>
  </si>
  <si>
    <t>ITB-002A-2020</t>
  </si>
  <si>
    <t>cgb2020-232</t>
  </si>
  <si>
    <t>PSA-RSSO6-2020-028</t>
  </si>
  <si>
    <t>101-8917-2020-06-01</t>
  </si>
  <si>
    <t>2020-G-017 Lot 1</t>
  </si>
  <si>
    <t>2020-468</t>
  </si>
  <si>
    <t>2020-052</t>
  </si>
  <si>
    <t>2LSSM2020A-258</t>
  </si>
  <si>
    <t>WOR 20-003</t>
  </si>
  <si>
    <t>2020-467</t>
  </si>
  <si>
    <t>Infra 2020-011</t>
  </si>
  <si>
    <t>100(01)20-06-368(A)</t>
  </si>
  <si>
    <t>GF-504</t>
  </si>
  <si>
    <t>cgb2020-233</t>
  </si>
  <si>
    <t>smwd06292020-7074470</t>
  </si>
  <si>
    <t>PSA-RSSO6-2020-029</t>
  </si>
  <si>
    <t>ITB 20-075</t>
  </si>
  <si>
    <t>2020-469</t>
  </si>
  <si>
    <t>Infra 2020-013</t>
  </si>
  <si>
    <t>300-20-06-008</t>
  </si>
  <si>
    <t>S2-LIM20-014</t>
  </si>
  <si>
    <t>2020-INFRA-05</t>
  </si>
  <si>
    <t>INFRA -01- 2020</t>
  </si>
  <si>
    <t>ZBSY1DEO-20-017CW</t>
  </si>
  <si>
    <t>2LSSM2020A-262</t>
  </si>
  <si>
    <t>Jiab-2020-47A</t>
  </si>
  <si>
    <t>PSA-RSSO6-2020-030</t>
  </si>
  <si>
    <t>100-06-20-478</t>
  </si>
  <si>
    <t>GF-505</t>
  </si>
  <si>
    <t>2LSSM2020A-261</t>
  </si>
  <si>
    <t>S2-MGA20-009</t>
  </si>
  <si>
    <t>2020--06---002BDRRMF</t>
  </si>
  <si>
    <t>2LSSM2020A-260</t>
  </si>
  <si>
    <t>cgb2020-234</t>
  </si>
  <si>
    <t>2020-051</t>
  </si>
  <si>
    <t>2020-453</t>
  </si>
  <si>
    <t>20-22</t>
  </si>
  <si>
    <t>Infra 2020-012</t>
  </si>
  <si>
    <t>2020-038</t>
  </si>
  <si>
    <t>PSA-RSSO6-2020-032</t>
  </si>
  <si>
    <t>MALIM2020-06-002</t>
  </si>
  <si>
    <t>S2-MGS20-005</t>
  </si>
  <si>
    <t>Infra 2020-015</t>
  </si>
  <si>
    <t>2LSSM2020A-263</t>
  </si>
  <si>
    <t>06-329-2020</t>
  </si>
  <si>
    <t>300-AGRICULTURAL DEV'T-20-014</t>
  </si>
  <si>
    <t>PR 6.035 ITB No. 2020-031 Tourist PhilCare Kit</t>
  </si>
  <si>
    <t>100-06-20-479</t>
  </si>
  <si>
    <t>cgb2020-235</t>
  </si>
  <si>
    <t>20JA0085</t>
  </si>
  <si>
    <t>20-46241</t>
  </si>
  <si>
    <t>PSA-RSSO6-2020-031</t>
  </si>
  <si>
    <t>05-G-2020 (TWNG)</t>
  </si>
  <si>
    <t>S2-SND20-011</t>
  </si>
  <si>
    <t>SEF-G-028-2020</t>
  </si>
  <si>
    <t>S2-SND20-020</t>
  </si>
  <si>
    <t>15</t>
  </si>
  <si>
    <t>2LSSM2020A-257</t>
  </si>
  <si>
    <t>PSA-RSSO6-2020-0027</t>
  </si>
  <si>
    <t>cgb2020-231</t>
  </si>
  <si>
    <t>smwd06292020-7074400</t>
  </si>
  <si>
    <t>2020-050</t>
  </si>
  <si>
    <t>2020-06-010</t>
  </si>
  <si>
    <t>2LSSM2020A-251</t>
  </si>
  <si>
    <t>2020-152A</t>
  </si>
  <si>
    <t>Infra 2020-016</t>
  </si>
  <si>
    <t>GOODS 2020-22</t>
  </si>
  <si>
    <t>Infra 2020-014</t>
  </si>
  <si>
    <t>20CB-GSC-370 PURCHASE OF GRASS CUTTER AND MOWER (R</t>
  </si>
  <si>
    <t>062920-64</t>
  </si>
  <si>
    <t>20GIL0043</t>
  </si>
  <si>
    <t>PSA-RSSO6-2020-021</t>
  </si>
  <si>
    <t>011</t>
  </si>
  <si>
    <t>2020-039</t>
  </si>
  <si>
    <t>GF-507</t>
  </si>
  <si>
    <t>2020-06-0466 HFG</t>
  </si>
  <si>
    <t>S2-MPP20-015</t>
  </si>
  <si>
    <t>PRDP-RPCO3-06-29-2020-41</t>
  </si>
  <si>
    <t>300-AGRICULTURAL DEV'T-20-013</t>
  </si>
  <si>
    <t>Infra 2020-017</t>
  </si>
  <si>
    <t>2020-474</t>
  </si>
  <si>
    <t>2LSSM2020A-259</t>
  </si>
  <si>
    <t>PR 20-06-034</t>
  </si>
  <si>
    <t>2020-06-0463 HFG</t>
  </si>
  <si>
    <t>Sagrada202004</t>
  </si>
  <si>
    <t>DapDap202002</t>
  </si>
  <si>
    <t>2LSSM2020A-266</t>
  </si>
  <si>
    <t>SVP20-515</t>
  </si>
  <si>
    <t>Sagrada202003</t>
  </si>
  <si>
    <t>MALIM2020-06-003</t>
  </si>
  <si>
    <t>GEPS-2020-004</t>
  </si>
  <si>
    <t>GOODS 2020-24</t>
  </si>
  <si>
    <t>GOODS 2020-23</t>
  </si>
  <si>
    <t>2LSSM2020A-265</t>
  </si>
  <si>
    <t>L-15-2020</t>
  </si>
  <si>
    <t>mda127</t>
  </si>
  <si>
    <t>PSA-RSSO6-2020-033</t>
  </si>
  <si>
    <t>2020-G-017 Lot 2</t>
  </si>
  <si>
    <t>PB2020-07-073G</t>
  </si>
  <si>
    <t>20-45175</t>
  </si>
  <si>
    <t>PSA-RSSO6-2020-034</t>
  </si>
  <si>
    <t>GOODS 2020-26</t>
  </si>
  <si>
    <t>100-2020-06-008A</t>
  </si>
  <si>
    <t>2020-06-0475 SFP</t>
  </si>
  <si>
    <t>20-06-0291</t>
  </si>
  <si>
    <t>100-2020-06-008B</t>
  </si>
  <si>
    <t>20AC0101</t>
  </si>
  <si>
    <t>2LSSM2020A-264</t>
  </si>
  <si>
    <t>SPC PR No. 202004-026</t>
  </si>
  <si>
    <t>POG DDO 2020-IT-002</t>
  </si>
  <si>
    <t>2020-06-044E</t>
  </si>
  <si>
    <t>2LSSM2020A-267</t>
  </si>
  <si>
    <t>GOODS 2020-25</t>
  </si>
  <si>
    <t>PASSO2 200-20-05-05390</t>
  </si>
  <si>
    <t>Poblacion202003</t>
  </si>
  <si>
    <t>100-20-06-0632</t>
  </si>
  <si>
    <t>2020-06-350</t>
  </si>
  <si>
    <t>2LSSM2020A-268</t>
  </si>
  <si>
    <t>PC 20-001</t>
  </si>
  <si>
    <t>WOR 20-004</t>
  </si>
  <si>
    <t>PB20200628-042</t>
  </si>
  <si>
    <t>2020-473</t>
  </si>
  <si>
    <t>GEPS-2020-005</t>
  </si>
  <si>
    <t>100-20-06-0622</t>
  </si>
  <si>
    <t>20PJ0057</t>
  </si>
  <si>
    <t>20PJ0034</t>
  </si>
  <si>
    <t>100-2020-06-022B</t>
  </si>
  <si>
    <t>20-0697</t>
  </si>
  <si>
    <t>PHO 200-20-05-05529</t>
  </si>
  <si>
    <t>GOODS 2020-27</t>
  </si>
  <si>
    <t>2020-07-21-406PG</t>
  </si>
  <si>
    <t>2020-21 LOT 1</t>
  </si>
  <si>
    <t>20CB-GSC-371 LANDLINE SUBSCRIPTION W/ INTERNET (RE</t>
  </si>
  <si>
    <t>GEPS-2020-004-02</t>
  </si>
  <si>
    <t>ITB No. 013-2020</t>
  </si>
  <si>
    <t>007-05-2020</t>
  </si>
  <si>
    <t>20CB-GSC-373 PURCHASE OF SPARE PARTS FOR MOTOR VEH</t>
  </si>
  <si>
    <t>2020-06-0647 TDG</t>
  </si>
  <si>
    <t>Poblacion202004</t>
  </si>
  <si>
    <t>rfq#2020-05-2,446-pgo-pnp</t>
  </si>
  <si>
    <t>Pul 002 2020</t>
  </si>
  <si>
    <t>Tinocawan202004</t>
  </si>
  <si>
    <t>BPB 2020-018</t>
  </si>
  <si>
    <t>PMRB 200-20-05-04883</t>
  </si>
  <si>
    <t>TWD-2020-003</t>
  </si>
  <si>
    <t>2020-06-0643 TDG</t>
  </si>
  <si>
    <t>2020-6-29-1</t>
  </si>
  <si>
    <t>Tinocawan202003</t>
  </si>
  <si>
    <t>PB2020-049</t>
  </si>
  <si>
    <t>2020-06-0646 TDG</t>
  </si>
  <si>
    <t>C4ISR-PNBAC1-2020-26</t>
  </si>
  <si>
    <t>2LSSM2020A-269</t>
  </si>
  <si>
    <t>BUE-06292020-01</t>
  </si>
  <si>
    <t>BOC-LMY-RFQ-01-2020</t>
  </si>
  <si>
    <t>PR 200-20-03-02545</t>
  </si>
  <si>
    <t>BUE-06292020-02</t>
  </si>
  <si>
    <t>Jiab-2020-1C</t>
  </si>
  <si>
    <t>PGLDN INFRA MALABANG FLOOD CONTROL- 2020-01</t>
  </si>
  <si>
    <t>20PJ0058</t>
  </si>
  <si>
    <t>PR 2020-06-033</t>
  </si>
  <si>
    <t>2020-01-0061</t>
  </si>
  <si>
    <t>batan202005</t>
  </si>
  <si>
    <t>batan202006</t>
  </si>
  <si>
    <t>2020-06-Malolos-001</t>
  </si>
  <si>
    <t>Mkna-GSO-20-294</t>
  </si>
  <si>
    <t>2020-21 LOT 2</t>
  </si>
  <si>
    <t>2020-01-0060</t>
  </si>
  <si>
    <t>PB2020-050</t>
  </si>
  <si>
    <t>rfq#2020-06-2,626-pgo-bac secretariat</t>
  </si>
  <si>
    <t>100-20-05-268</t>
  </si>
  <si>
    <t>396</t>
  </si>
  <si>
    <t>GS-2020-08</t>
  </si>
  <si>
    <t>RFQ - 2020-06 - 043</t>
  </si>
  <si>
    <t>BUE-06292020-03</t>
  </si>
  <si>
    <t>20CB-GSC-381 PURCHASE OF HOUSE NUMBER PLATES (RE-B</t>
  </si>
  <si>
    <t>2020/06/062</t>
  </si>
  <si>
    <t>2020-01-0062</t>
  </si>
  <si>
    <t>BACPOGOODS202006008</t>
  </si>
  <si>
    <t>2020-06-2568</t>
  </si>
  <si>
    <t>SN-20-06-008</t>
  </si>
  <si>
    <t>2020-21 LOT 3</t>
  </si>
  <si>
    <t>2020 INFRA 001</t>
  </si>
  <si>
    <t>SJ-20-170</t>
  </si>
  <si>
    <t>20GKG0033</t>
  </si>
  <si>
    <t>Masaga202002</t>
  </si>
  <si>
    <t>1176-20-06-83</t>
  </si>
  <si>
    <t>RFQ - 2020-06 - 044</t>
  </si>
  <si>
    <t>31-2020</t>
  </si>
  <si>
    <t>06292020</t>
  </si>
  <si>
    <t>maasin2020-MPBrehab</t>
  </si>
  <si>
    <t>7073557</t>
  </si>
  <si>
    <t>2LSSM2020A-270</t>
  </si>
  <si>
    <t>SN-20-06-006</t>
  </si>
  <si>
    <t>20-06-003-RFQ</t>
  </si>
  <si>
    <t>2020-0199</t>
  </si>
  <si>
    <t>rfq#2020-06-2,570-pgo-livelihood</t>
  </si>
  <si>
    <t>Jiab-2020-2C</t>
  </si>
  <si>
    <t>RFQ - 2020-06 - 045</t>
  </si>
  <si>
    <t>RFQ - 2020-06 - 046</t>
  </si>
  <si>
    <t>2020-03-2047</t>
  </si>
  <si>
    <t>PR#20-02-017</t>
  </si>
  <si>
    <t>2LSSM2020A-271</t>
  </si>
  <si>
    <t>SB1 NPPH 200-20-05-05922</t>
  </si>
  <si>
    <t>2020/06/063</t>
  </si>
  <si>
    <t>C4ISR-PNBAC1-2020-27</t>
  </si>
  <si>
    <t>2LSSM2020A-272</t>
  </si>
  <si>
    <t>MGCP-20G-587A</t>
  </si>
  <si>
    <t>S2-B1320-007</t>
  </si>
  <si>
    <t>2020-GEN. FUND-ITB-009</t>
  </si>
  <si>
    <t>SJ-20-171</t>
  </si>
  <si>
    <t>20CG0178</t>
  </si>
  <si>
    <t>ITB No. 2020-17</t>
  </si>
  <si>
    <t>RFQ - 2020-06 - 047</t>
  </si>
  <si>
    <t>SEF-I-53-2020</t>
  </si>
  <si>
    <t>20CG0179</t>
  </si>
  <si>
    <t>S2-B1320-021</t>
  </si>
  <si>
    <t>S2-B1320-011</t>
  </si>
  <si>
    <t>20FE0129</t>
  </si>
  <si>
    <t>itb-2020-001</t>
  </si>
  <si>
    <t>SIDP 200-20-05-05864</t>
  </si>
  <si>
    <t>20LC0130</t>
  </si>
  <si>
    <t>MH-GOODS-TLDC-PWD-PRINTING-SERVICES-688</t>
  </si>
  <si>
    <t>100-20-04-219</t>
  </si>
  <si>
    <t>ITB # 2020-05-025</t>
  </si>
  <si>
    <t>2020-04-363</t>
  </si>
  <si>
    <t>2020-03-1989</t>
  </si>
  <si>
    <t>ITB-20-06120</t>
  </si>
  <si>
    <t>2004-068</t>
  </si>
  <si>
    <t>SV 200-20-04-04637</t>
  </si>
  <si>
    <t>GPG-B1-2020-427-SOLID WASTE MGT EQPT.</t>
  </si>
  <si>
    <t>2020-21 LOT 4</t>
  </si>
  <si>
    <t>MIL-GOODS-2020-06-09</t>
  </si>
  <si>
    <t>2LSSM2020A-273</t>
  </si>
  <si>
    <t>S2-BH120-016</t>
  </si>
  <si>
    <t>06-05 (DGT-2020-06-17)</t>
  </si>
  <si>
    <t>2020-06-08</t>
  </si>
  <si>
    <t>Villahermosa202005</t>
  </si>
  <si>
    <t>00747</t>
  </si>
  <si>
    <t>363</t>
  </si>
  <si>
    <t>074</t>
  </si>
  <si>
    <t>2020-21 LOT 6</t>
  </si>
  <si>
    <t>C4ISR-PNBAC1-2020-29</t>
  </si>
  <si>
    <t>01616</t>
  </si>
  <si>
    <t>2020/06/064</t>
  </si>
  <si>
    <t>2LSSM2020B-275</t>
  </si>
  <si>
    <t>2020-03-086</t>
  </si>
  <si>
    <t>S2-DOO20-015</t>
  </si>
  <si>
    <t>(ITB) No     2020- 07 -008</t>
  </si>
  <si>
    <t>itb-2020-002</t>
  </si>
  <si>
    <t>RFQ - 2020-06 - 049</t>
  </si>
  <si>
    <t>20201276</t>
  </si>
  <si>
    <t>2LSSM2020B-274</t>
  </si>
  <si>
    <t>RFQ - 2020-06 - 048</t>
  </si>
  <si>
    <t>Villahermosa202006</t>
  </si>
  <si>
    <t>062920201</t>
  </si>
  <si>
    <t>(ITB) No     2020- 07 -009</t>
  </si>
  <si>
    <t>20CG0183</t>
  </si>
  <si>
    <t>110012022019</t>
  </si>
  <si>
    <t>NCB Publication No. 2020- 23</t>
  </si>
  <si>
    <t>20CG0180</t>
  </si>
  <si>
    <t>Guadalupe202005</t>
  </si>
  <si>
    <t>SVP 2020-137</t>
  </si>
  <si>
    <t>20AI0177</t>
  </si>
  <si>
    <t>20FE0130</t>
  </si>
  <si>
    <t>MGCP-20G-588A</t>
  </si>
  <si>
    <t>20LC0148</t>
  </si>
  <si>
    <t>(ITB) No     2020-07-012</t>
  </si>
  <si>
    <t>02-2020-INFRA</t>
  </si>
  <si>
    <t>20CG0186</t>
  </si>
  <si>
    <t>INVITATION TO BID No. 2020-06-003</t>
  </si>
  <si>
    <t>20CG0181</t>
  </si>
  <si>
    <t xml:space="preserve">20KL0136 - Construction of Standard Two-Storey (4 </t>
  </si>
  <si>
    <t>20CG0182</t>
  </si>
  <si>
    <t>2006-089</t>
  </si>
  <si>
    <t>05-20-0397</t>
  </si>
  <si>
    <t>2020-03-1991</t>
  </si>
  <si>
    <t>20CG0185</t>
  </si>
  <si>
    <t>01-2020-INFRA</t>
  </si>
  <si>
    <t>IB No. 2020-07-20 (14)</t>
  </si>
  <si>
    <t>Guadalupe202006</t>
  </si>
  <si>
    <t>ITB # 2020-06-032</t>
  </si>
  <si>
    <t>(ITB) No     2020-07-011</t>
  </si>
  <si>
    <t>20FE0131</t>
  </si>
  <si>
    <t>2020-21 LOT 8</t>
  </si>
  <si>
    <t>2020-06-001-G</t>
  </si>
  <si>
    <t>20CB-GSC-376 PURCHASE OF TARPAULIN AND TOKEN (RE-B</t>
  </si>
  <si>
    <t>GPG-B1-2020-426-SOLID WASTE MGT EQPT</t>
  </si>
  <si>
    <t>062920202</t>
  </si>
  <si>
    <t>2020-05-2302</t>
  </si>
  <si>
    <t>B20-2020-001</t>
  </si>
  <si>
    <t>AGINF2020-0630A</t>
  </si>
  <si>
    <t>2020-337</t>
  </si>
  <si>
    <t>BRGYDITA-2020-06-001</t>
  </si>
  <si>
    <t>110012032019</t>
  </si>
  <si>
    <t>2020.06.29.1</t>
  </si>
  <si>
    <t>2020.06.29</t>
  </si>
  <si>
    <t>2020-6-006</t>
  </si>
  <si>
    <t>PR0045-20 MotorPool</t>
  </si>
  <si>
    <t>hamorawon202003</t>
  </si>
  <si>
    <t>20CG0188</t>
  </si>
  <si>
    <t>2020-06-2490</t>
  </si>
  <si>
    <t>20LC0157</t>
  </si>
  <si>
    <t>ITB-20-06097</t>
  </si>
  <si>
    <t>20LC0156</t>
  </si>
  <si>
    <t>101-20-06-85</t>
  </si>
  <si>
    <t>20GID0021</t>
  </si>
  <si>
    <t>ITB # 2020-06-033</t>
  </si>
  <si>
    <t>20CG0187</t>
  </si>
  <si>
    <t xml:space="preserve">20KL0137 - Construction of Standard Two-Storey (4 </t>
  </si>
  <si>
    <t>2020-21 LOT 7</t>
  </si>
  <si>
    <t>PR 1-20-06-0748 - GSD</t>
  </si>
  <si>
    <t>2020-04-2119</t>
  </si>
  <si>
    <t>2020-21 LOT 9</t>
  </si>
  <si>
    <t>05-20-0401</t>
  </si>
  <si>
    <t>ITB-SSS-GOODS-2020-020</t>
  </si>
  <si>
    <t xml:space="preserve">20KL0139 - Construction of Standard Two-Storey (4 </t>
  </si>
  <si>
    <t xml:space="preserve">20KL0138 - Construction of Standard Two-Storey (4 </t>
  </si>
  <si>
    <t>2020-03-1801</t>
  </si>
  <si>
    <t>SG 002-20</t>
  </si>
  <si>
    <t>20LC0158</t>
  </si>
  <si>
    <t>2020-05-2378</t>
  </si>
  <si>
    <t>2020.06.29.2</t>
  </si>
  <si>
    <t>Bid No.20-003-B</t>
  </si>
  <si>
    <t>101-8917-2020-06-02</t>
  </si>
  <si>
    <t>Bid No.20-002-C</t>
  </si>
  <si>
    <t>2020-GEN. FUND-ITB-011</t>
  </si>
  <si>
    <t>ITB # 2020-06-034</t>
  </si>
  <si>
    <t>BQ-Goods- 2020-007</t>
  </si>
  <si>
    <t>2020-06-469</t>
  </si>
  <si>
    <t>05-20-0402</t>
  </si>
  <si>
    <t>2020-02-1448</t>
  </si>
  <si>
    <t>Bid No. 20-003-A</t>
  </si>
  <si>
    <t>B-92-2020</t>
  </si>
  <si>
    <t>2020-339</t>
  </si>
  <si>
    <t>20CG0192</t>
  </si>
  <si>
    <t>KAP-20-16</t>
  </si>
  <si>
    <t>20% esivb.7-2019</t>
  </si>
  <si>
    <t>PB-2020-004</t>
  </si>
  <si>
    <t>PIKCOT-002020-0017</t>
  </si>
  <si>
    <t>2020-340</t>
  </si>
  <si>
    <t>2020.06.29.4</t>
  </si>
  <si>
    <t>KAP-20-17</t>
  </si>
  <si>
    <t>2020-06-474</t>
  </si>
  <si>
    <t>2020-03-283</t>
  </si>
  <si>
    <t>2020.06.29.5</t>
  </si>
  <si>
    <t>2020-041R</t>
  </si>
  <si>
    <t>MR-PNBAC1-2020-30</t>
  </si>
  <si>
    <t>BQ-Goods-2020-010</t>
  </si>
  <si>
    <t>PB2020-Infra-01</t>
  </si>
  <si>
    <t>20LC0134 Re-Invitation to Bid</t>
  </si>
  <si>
    <t>20-06-079</t>
  </si>
  <si>
    <t>2020-03-1590</t>
  </si>
  <si>
    <t>20CSCE006</t>
  </si>
  <si>
    <t>2020.06.29.3</t>
  </si>
  <si>
    <t>REI-SSS-CONSULTING-2020-003</t>
  </si>
  <si>
    <t>2020-06-105</t>
  </si>
  <si>
    <t>101-8917-2020-06-03</t>
  </si>
  <si>
    <t>20LC0133 Re-Invitation to Bid</t>
  </si>
  <si>
    <t>PIKCOT-002020-0016</t>
  </si>
  <si>
    <t>1-07-04-010-2019</t>
  </si>
  <si>
    <t>PR0221-20 DOPMC</t>
  </si>
  <si>
    <t>2020-05-2405</t>
  </si>
  <si>
    <t>20CG0189</t>
  </si>
  <si>
    <t>itb-2020-003</t>
  </si>
  <si>
    <t>Bid No. 20-002-B</t>
  </si>
  <si>
    <t>2020-06-0368</t>
  </si>
  <si>
    <t>20CG0184</t>
  </si>
  <si>
    <t>20LC0150</t>
  </si>
  <si>
    <t>20CG0191</t>
  </si>
  <si>
    <t>RFQ No. 440</t>
  </si>
  <si>
    <t>(ITB) No     2020-07-010</t>
  </si>
  <si>
    <t>GOODS#0131, ITB#0134,  PR#0413: SCG-2020</t>
  </si>
  <si>
    <t>BQ-Goods-2020-011</t>
  </si>
  <si>
    <t>2019-2076-10-459</t>
  </si>
  <si>
    <t>ITB # 2020-06-035</t>
  </si>
  <si>
    <t>2020-21 LOT 10</t>
  </si>
  <si>
    <t>Budget Certificate No. 248-2020</t>
  </si>
  <si>
    <t>05-20-0403</t>
  </si>
  <si>
    <t>IB NO. 035-20</t>
  </si>
  <si>
    <t>05-20-0409</t>
  </si>
  <si>
    <t>Budget Certificate No. 255-2020</t>
  </si>
  <si>
    <t>20CG0190</t>
  </si>
  <si>
    <t>20DE0118 (Re-advertised)</t>
  </si>
  <si>
    <t>05-20-0408</t>
  </si>
  <si>
    <t>Liguan202006</t>
  </si>
  <si>
    <t>Gaba202003</t>
  </si>
  <si>
    <t>05-20-0410</t>
  </si>
  <si>
    <t>PB2020-Infra-02</t>
  </si>
  <si>
    <t>2020-06-15</t>
  </si>
  <si>
    <t>Linao202001</t>
  </si>
  <si>
    <t>IB NO. 2020-06-45 Procurement of Flat Panel Detect</t>
  </si>
  <si>
    <t>20-06213PR</t>
  </si>
  <si>
    <t>janiuay-2020-26</t>
  </si>
  <si>
    <t>06-20-0447</t>
  </si>
  <si>
    <t>46</t>
  </si>
  <si>
    <t>PB-I-2020-05-618</t>
  </si>
  <si>
    <t>SWEP-PNBAC-2020-04</t>
  </si>
  <si>
    <t>PB2020-010 (PR No. 20-06-0272)</t>
  </si>
  <si>
    <t>2020-06-OR TABLE</t>
  </si>
  <si>
    <t>SVP-29-2020</t>
  </si>
  <si>
    <t>05-20-0398</t>
  </si>
  <si>
    <t>INF-18-June 19, 2020</t>
  </si>
  <si>
    <t>IB NO. 2020-06-44 Procurement of Infant Radiant Wa</t>
  </si>
  <si>
    <t>2020-03-1591</t>
  </si>
  <si>
    <t>100-06-20-01552</t>
  </si>
  <si>
    <t>PB-I-2020-05-616</t>
  </si>
  <si>
    <t>Binosawan202001</t>
  </si>
  <si>
    <t>063</t>
  </si>
  <si>
    <t>Bidding-03-June2020</t>
  </si>
  <si>
    <t>PR 6.038TPB-PR.2020.06.195SERVICES OF VIRTUAL PLAT</t>
  </si>
  <si>
    <t>Manila202004</t>
  </si>
  <si>
    <t>2020-080</t>
  </si>
  <si>
    <t>SCM 0629-04-2020</t>
  </si>
  <si>
    <t>2020.06.29.6</t>
  </si>
  <si>
    <t>GWD-TWDPA-2020-06-01</t>
  </si>
  <si>
    <t>ITB-2019-16</t>
  </si>
  <si>
    <t xml:space="preserve">IB NO. 2020-06-46 Procurement of Installation and </t>
  </si>
  <si>
    <t>2020-02-1455</t>
  </si>
  <si>
    <t>20LB0182</t>
  </si>
  <si>
    <t>PRRI-PB-2020-ISA-005</t>
  </si>
  <si>
    <t>20LB0188</t>
  </si>
  <si>
    <t>Bogtong202001</t>
  </si>
  <si>
    <t>06-20-0440</t>
  </si>
  <si>
    <t>20-006-06BID</t>
  </si>
  <si>
    <t>2020 Budget</t>
  </si>
  <si>
    <t>HFW-2020-05-0157</t>
  </si>
  <si>
    <t>06-209-0452</t>
  </si>
  <si>
    <t>20LB0312</t>
  </si>
  <si>
    <t>Repair/Rehabilitation of Comfort Rooms At 3rd Floo</t>
  </si>
  <si>
    <t>Bogtong202002</t>
  </si>
  <si>
    <t>20LB0280</t>
  </si>
  <si>
    <t>20LB0279</t>
  </si>
  <si>
    <t xml:space="preserve">IB NO. 2020-06-47 Procurement of High Definition  </t>
  </si>
  <si>
    <t>IB-2020-077</t>
  </si>
  <si>
    <t>05-20-0399</t>
  </si>
  <si>
    <t>20LB0256</t>
  </si>
  <si>
    <t>Repair/Rehabilitation of Comfort Rooms At Ground F</t>
  </si>
  <si>
    <t>ITB 20-0046-A</t>
  </si>
  <si>
    <t>2020-006-004</t>
  </si>
  <si>
    <t>GOODS-2020-06-11</t>
  </si>
  <si>
    <t>20DE0136 (Re-advertised)</t>
  </si>
  <si>
    <t>G-2020-006 to 008</t>
  </si>
  <si>
    <t>06-20-0444</t>
  </si>
  <si>
    <t>20LB0252</t>
  </si>
  <si>
    <t>20LB0313</t>
  </si>
  <si>
    <t>20DE0125 (Re-advertised)</t>
  </si>
  <si>
    <t>PB2020-011 (PR No. 19-10-1295)</t>
  </si>
  <si>
    <t>2020-05-0001</t>
  </si>
  <si>
    <t>47</t>
  </si>
  <si>
    <t>Linao202002</t>
  </si>
  <si>
    <t>WOR 20-005</t>
  </si>
  <si>
    <t>2020-06-0002</t>
  </si>
  <si>
    <t>20LB0206</t>
  </si>
  <si>
    <t>sn06292020</t>
  </si>
  <si>
    <t>GLQ-2020-13</t>
  </si>
  <si>
    <t>janiuay-2020-27</t>
  </si>
  <si>
    <t>06-29-202006012A</t>
  </si>
  <si>
    <t>20CG0199</t>
  </si>
  <si>
    <t>062</t>
  </si>
  <si>
    <t>20CG0197</t>
  </si>
  <si>
    <t>PB2020-01</t>
  </si>
  <si>
    <t>20CG0196</t>
  </si>
  <si>
    <t>2020-goods-01</t>
  </si>
  <si>
    <t>20CG0194</t>
  </si>
  <si>
    <t>20LB0311</t>
  </si>
  <si>
    <t>20DE0137 (Re-advertised)</t>
  </si>
  <si>
    <t>20CG0195</t>
  </si>
  <si>
    <t>2020-06-BRONCHOSCOPE</t>
  </si>
  <si>
    <t>20CG0198</t>
  </si>
  <si>
    <t>20CG0193</t>
  </si>
  <si>
    <t>2020 - 07 - 007 (102 - Shopping)</t>
  </si>
  <si>
    <t>2020-LARYNGOSCOPE</t>
  </si>
  <si>
    <t>AGINF2020-0630C</t>
  </si>
  <si>
    <t>030-06-2020</t>
  </si>
  <si>
    <t>2020-06-0004</t>
  </si>
  <si>
    <t>2020-06-OR LIGHT</t>
  </si>
  <si>
    <t>Bidding-05-June2020</t>
  </si>
  <si>
    <t>2020 - 07 - 007 (100 - Shopping)</t>
  </si>
  <si>
    <t>2020-06-0005</t>
  </si>
  <si>
    <t>BCS-2020-0147</t>
  </si>
  <si>
    <t>AGINF2020-0630B</t>
  </si>
  <si>
    <t>LGUMAN-005-J-20</t>
  </si>
  <si>
    <t>2020-SVP-04</t>
  </si>
  <si>
    <t>20% emid.1-2018</t>
  </si>
  <si>
    <t>2020-FETAL CENTRAL</t>
  </si>
  <si>
    <t>BCS-2020-0146</t>
  </si>
  <si>
    <t>2020-06-LAP TOWER</t>
  </si>
  <si>
    <t>2020-06-COLPOSCOPE</t>
  </si>
  <si>
    <t>2020-05-051</t>
  </si>
  <si>
    <t>2020-06-VACUUM</t>
  </si>
  <si>
    <t>LGUMAN-004-J-20</t>
  </si>
  <si>
    <t>ITB 20-0061-A</t>
  </si>
  <si>
    <t>BCS-2020-0145</t>
  </si>
  <si>
    <t>SHOP GOODS 2020-06-14</t>
  </si>
  <si>
    <t>LGUMAN-003-J-19</t>
  </si>
  <si>
    <t>Completion  of  Multi-Purpose  Building and  Sport</t>
  </si>
  <si>
    <t>LGUMAN-001-J-20</t>
  </si>
  <si>
    <t>2020 - 07 - 007 (98 - Shopping)</t>
  </si>
  <si>
    <t>RFQ2020-20</t>
  </si>
  <si>
    <t>2020-06-0003</t>
  </si>
  <si>
    <t>LGUMAN-002-J-20</t>
  </si>
  <si>
    <t>SG 003-20</t>
  </si>
  <si>
    <t>Bidding-04-June2020</t>
  </si>
  <si>
    <t>ITB-28-2020</t>
  </si>
  <si>
    <t>LGUMAN-008-J-20</t>
  </si>
  <si>
    <t>2020-06-XRAY</t>
  </si>
  <si>
    <t>Bidding-06-June2020</t>
  </si>
  <si>
    <t>PB-CW-2020-014 (Re-advertised)</t>
  </si>
  <si>
    <t>Construction of Academic and Office Building Phase</t>
  </si>
  <si>
    <t>0044-06-2020</t>
  </si>
  <si>
    <t>2020 - 07 - 007 (101 - Shopping)</t>
  </si>
  <si>
    <t>ITB No. 2020-06-01</t>
  </si>
  <si>
    <t>2020-06-0007</t>
  </si>
  <si>
    <t>Bidding-07-June2020</t>
  </si>
  <si>
    <t>0045-06-2020</t>
  </si>
  <si>
    <t>BCS-2020-0149</t>
  </si>
  <si>
    <t>RO9-INFRA-2020-F-002</t>
  </si>
  <si>
    <t>2020-001-K</t>
  </si>
  <si>
    <t>LGUMAN-007-J-20</t>
  </si>
  <si>
    <t>LGUMAN-006-J-20</t>
  </si>
  <si>
    <t>ITB No. 2020-INFRA-7(01)</t>
  </si>
  <si>
    <t>SHOP GOODS 2020-06-15</t>
  </si>
  <si>
    <t>20DE0140 (Re-advertised)</t>
  </si>
  <si>
    <t>Bid No. 20-002-D</t>
  </si>
  <si>
    <t>BCS-2020-0148</t>
  </si>
  <si>
    <t>220% csiic.2-2019</t>
  </si>
  <si>
    <t>20CC0258</t>
  </si>
  <si>
    <t>2020-06-0006</t>
  </si>
  <si>
    <t>ITB No. 2020-INFRA-7(06)</t>
  </si>
  <si>
    <t>Bidding-02-June2020</t>
  </si>
  <si>
    <t>AGGDS2020-0630A</t>
  </si>
  <si>
    <t>LGUMAN-010-J-20</t>
  </si>
  <si>
    <t>ITB No. 2020-06-03</t>
  </si>
  <si>
    <t>2020-06-HOSPITAL BED</t>
  </si>
  <si>
    <t>2020-06-SUCTION MACHINE</t>
  </si>
  <si>
    <t>ITB No. 2020-INFRA-7(05)</t>
  </si>
  <si>
    <t>2020-056-snq</t>
  </si>
  <si>
    <t>20CC0257</t>
  </si>
  <si>
    <t>LGUMAN-009-J-20</t>
  </si>
  <si>
    <t>2020-ULTRASONIC HANDPROBE</t>
  </si>
  <si>
    <t>0068-06-2020</t>
  </si>
  <si>
    <t>06-20-0448</t>
  </si>
  <si>
    <t>2020-058-snq</t>
  </si>
  <si>
    <t>2020-008-1</t>
  </si>
  <si>
    <t>ITB No. 2020-GOODS-7(01)</t>
  </si>
  <si>
    <t>DA RFO-1-2019-INFRA-078</t>
  </si>
  <si>
    <t>ITB No. 2020-INFRA-7(03)</t>
  </si>
  <si>
    <t>2020-057-snq</t>
  </si>
  <si>
    <t>LGUMAN-012-J-20</t>
  </si>
  <si>
    <t>ITB No. 2020-INFRA-7(08)</t>
  </si>
  <si>
    <t>2020-06-PATIENT MONITOR</t>
  </si>
  <si>
    <t>RFQ-2020-0015</t>
  </si>
  <si>
    <t>BAC PB 2020-13</t>
  </si>
  <si>
    <t>RFQ-2020-0016</t>
  </si>
  <si>
    <t>2020-06-DELIVERY BED</t>
  </si>
  <si>
    <t>DGS PR No. 1000032961</t>
  </si>
  <si>
    <t>ITB No. 2020-GOODS-7(02)</t>
  </si>
  <si>
    <t>RFQ-2020-0013</t>
  </si>
  <si>
    <t>ITB No. 2020-INFRA-7(04)</t>
  </si>
  <si>
    <t>2020-007-1</t>
  </si>
  <si>
    <t>2020-06-DEFIBRILATOR</t>
  </si>
  <si>
    <t>RFQ-2020-0014</t>
  </si>
  <si>
    <t>RFQ-2020-0011</t>
  </si>
  <si>
    <t>20-26 goods</t>
  </si>
  <si>
    <t>ITB No. 2020-GOODS-7(03)</t>
  </si>
  <si>
    <t>ITB No.2020-INFRA-7(07)</t>
  </si>
  <si>
    <t>2020-009-1</t>
  </si>
  <si>
    <t>006-brgy. cabaroan</t>
  </si>
  <si>
    <t>B-038-2020</t>
  </si>
  <si>
    <t>SVP20-516</t>
  </si>
  <si>
    <t>021-2020</t>
  </si>
  <si>
    <t>2020-06-STRETCHER</t>
  </si>
  <si>
    <t>LGUMAN-013-J-20</t>
  </si>
  <si>
    <t>2020-045</t>
  </si>
  <si>
    <t>LGUMAN-011-J-20</t>
  </si>
  <si>
    <t>022-2020</t>
  </si>
  <si>
    <t>2020-042</t>
  </si>
  <si>
    <t>2020-041</t>
  </si>
  <si>
    <t>2020-040</t>
  </si>
  <si>
    <t>Repair/Rehabilitation of Building and Structure (I</t>
  </si>
  <si>
    <t>06-2020-05</t>
  </si>
  <si>
    <t>2020-9</t>
  </si>
  <si>
    <t>INFRA-2020-07-04</t>
  </si>
  <si>
    <t>2020-046</t>
  </si>
  <si>
    <t>2020-048</t>
  </si>
  <si>
    <t>INFRA-2020-07-05</t>
  </si>
  <si>
    <t>RIZAL-17JULY2020-2</t>
  </si>
  <si>
    <t>RIZAL-17JULY2020-7</t>
  </si>
  <si>
    <t>NDP06-25</t>
  </si>
  <si>
    <t>RIZAL-17JULY2020-5</t>
  </si>
  <si>
    <t>RIZAL-17JULY2020-4</t>
  </si>
  <si>
    <t>RIZAL-17JULY2020-3</t>
  </si>
  <si>
    <t>RIZAL-17JULY2020-1</t>
  </si>
  <si>
    <t>06232020</t>
  </si>
  <si>
    <t>20-05-0269</t>
  </si>
  <si>
    <t>RIZAL-17JULY2020-6</t>
  </si>
  <si>
    <t>RIZAL-17JULY2020-8</t>
  </si>
  <si>
    <t>RIZAL-17JULY2020-17</t>
  </si>
  <si>
    <t>B-06-22-20</t>
  </si>
  <si>
    <t>PRDP-IR-R005-CAN-002-000-000-2015-e</t>
  </si>
  <si>
    <t>1-072120</t>
  </si>
  <si>
    <t>20-015</t>
  </si>
  <si>
    <t>RIZAL-17JULY2020-15</t>
  </si>
  <si>
    <t>RIZAL-17JULY2020-16</t>
  </si>
  <si>
    <t>RIZAL-17JULY2020-13</t>
  </si>
  <si>
    <t>RIZAL-17JULY2020-12</t>
  </si>
  <si>
    <t>RIZAL-17JULY2020-11</t>
  </si>
  <si>
    <t>2020-06-00025</t>
  </si>
  <si>
    <t>RIZAL-17JULY2020-10</t>
  </si>
  <si>
    <t>RIZAL-17JULY2020-14</t>
  </si>
  <si>
    <t>RIZAL-17JULY2020-9</t>
  </si>
  <si>
    <t>IB No. 2020-022</t>
  </si>
  <si>
    <t>ITB No. 2020-06-02</t>
  </si>
  <si>
    <t>PB-CW-2020-025</t>
  </si>
  <si>
    <t>2020-06-CYSTOSCOPY</t>
  </si>
  <si>
    <t>2020-010-1</t>
  </si>
  <si>
    <t>7-06262020</t>
  </si>
  <si>
    <t>2020-06-005</t>
  </si>
  <si>
    <t>5-06262020</t>
  </si>
  <si>
    <t>INFRA 2020-06-002</t>
  </si>
  <si>
    <t>B-06-23-2020</t>
  </si>
  <si>
    <t>6-06262020</t>
  </si>
  <si>
    <t>Goods 2020-29</t>
  </si>
  <si>
    <t>PB-0620-46</t>
  </si>
  <si>
    <t>2020-06-013- Goods</t>
  </si>
  <si>
    <t>Goods 2020-34</t>
  </si>
  <si>
    <t>PR NO. 100-8751-20-06-0634</t>
  </si>
  <si>
    <t>100(01)20-06-366(A)</t>
  </si>
  <si>
    <t>PR-No.01</t>
  </si>
  <si>
    <t>06-26-2020</t>
  </si>
  <si>
    <t>SMAC-PB-2020-002</t>
  </si>
  <si>
    <t>11-06262020</t>
  </si>
  <si>
    <t>10-06262020</t>
  </si>
  <si>
    <t>9-06262020</t>
  </si>
  <si>
    <t>IB-05-0400-20VPAA,2020-06-04-095TC</t>
  </si>
  <si>
    <t>20AA0351</t>
  </si>
  <si>
    <t>CY 2020-TF (Provincial Government Assistance Fund)</t>
  </si>
  <si>
    <t>PR No. 2020-06-012</t>
  </si>
  <si>
    <t>Aklan BAC ITB 369 Series of 2020</t>
  </si>
  <si>
    <t>Publication no. 2020-05</t>
  </si>
  <si>
    <t>PB-0620-51</t>
  </si>
  <si>
    <t>PR No. 2020-06-013</t>
  </si>
  <si>
    <t>20EHG011</t>
  </si>
  <si>
    <t>ITB-2020-013</t>
  </si>
  <si>
    <t>2020-0065</t>
  </si>
  <si>
    <t>2020-0626-1G</t>
  </si>
  <si>
    <t>2020-G-016</t>
  </si>
  <si>
    <t>Infra Projects 15-2020</t>
  </si>
  <si>
    <t>SVP 2020-368</t>
  </si>
  <si>
    <t>PB-0620-50</t>
  </si>
  <si>
    <t>IB-20-011-GOODS-FCSMO</t>
  </si>
  <si>
    <t>PB NO. RR5BAC-2020-008</t>
  </si>
  <si>
    <t>2-072120</t>
  </si>
  <si>
    <t>8-06262020</t>
  </si>
  <si>
    <t xml:space="preserve">PR 2.033 ITB NO. 2020-030 CORPORATE TOTE BAG WITH </t>
  </si>
  <si>
    <t>Goods 2020-35</t>
  </si>
  <si>
    <t>2020-114</t>
  </si>
  <si>
    <t>Infra Projects 17-2020</t>
  </si>
  <si>
    <t>Infra Projects 16-2020</t>
  </si>
  <si>
    <t>PB-2020-101-009</t>
  </si>
  <si>
    <t>2020-082</t>
  </si>
  <si>
    <t>InTB-PGADILGPRNDPCMGP2020CW1</t>
  </si>
  <si>
    <t>2020-115</t>
  </si>
  <si>
    <t>ITB NO. 003-06-2020</t>
  </si>
  <si>
    <t>ITB-2020-08</t>
  </si>
  <si>
    <t>REF #044-06-2020</t>
  </si>
  <si>
    <t>20-VI-07</t>
  </si>
  <si>
    <t>2020-73 (GAS)</t>
  </si>
  <si>
    <t>NIA-NOIMO-GOODS-HILABANGAN-LFPS-07-2020</t>
  </si>
  <si>
    <t>none</t>
  </si>
  <si>
    <t>InTB-PGADILGPRNDPCMGP2020CW2</t>
  </si>
  <si>
    <t>2020-72 (GAS)</t>
  </si>
  <si>
    <t>PR #78</t>
  </si>
  <si>
    <t>IB-20-012-GOODS-MIS</t>
  </si>
  <si>
    <t>CRPIP-2020-06-082</t>
  </si>
  <si>
    <t>06-27-2020=01</t>
  </si>
  <si>
    <t>20-VI-06</t>
  </si>
  <si>
    <t>20-VI-05</t>
  </si>
  <si>
    <t>B-G-2020-095</t>
  </si>
  <si>
    <t>4-072120</t>
  </si>
  <si>
    <t>07-27-2020-03</t>
  </si>
  <si>
    <t>2020 Caib 105</t>
  </si>
  <si>
    <t>20-VI-09</t>
  </si>
  <si>
    <t>20-VI-08</t>
  </si>
  <si>
    <t>INFRA-2020-07-06</t>
  </si>
  <si>
    <t>2020-06-29-04</t>
  </si>
  <si>
    <t>2020-06-29-02</t>
  </si>
  <si>
    <t>INFRA-2020-07-07</t>
  </si>
  <si>
    <t>PR 1000033118</t>
  </si>
  <si>
    <t>011-2020</t>
  </si>
  <si>
    <t>2020-06-29-03</t>
  </si>
  <si>
    <t>07-27-2020-02</t>
  </si>
  <si>
    <t>B-G-2020-096</t>
  </si>
  <si>
    <t>2020-06-29-01</t>
  </si>
  <si>
    <t>20GLH0014 (P.R. No. 2020-06-030 dated 06/10/2020)</t>
  </si>
  <si>
    <t>20GGF0019</t>
  </si>
  <si>
    <t>20GGF0018</t>
  </si>
  <si>
    <t>Procurement of Malaria Test Kit (Antigen Assay) wi</t>
  </si>
  <si>
    <t>ITB No. GOP/20-DSWD-033-A</t>
  </si>
  <si>
    <t>B-CW-2020-027</t>
  </si>
  <si>
    <t>ITB-2020-57</t>
  </si>
  <si>
    <t>ITB-2020-56</t>
  </si>
  <si>
    <t>PDA2020-003</t>
  </si>
  <si>
    <t>B-CW-2020-026</t>
  </si>
  <si>
    <t>B-CW-2020-025</t>
  </si>
  <si>
    <t>20GGF0017</t>
  </si>
  <si>
    <t>20030200</t>
  </si>
  <si>
    <t>B-CW-2020-031</t>
  </si>
  <si>
    <t>ITB-2020-55</t>
  </si>
  <si>
    <t>B-CW-2020-028</t>
  </si>
  <si>
    <t>IB CW NO. 2020-001</t>
  </si>
  <si>
    <t>BAC-HO GS No. 2020-0345 dated 11 June 2020 (SSD)</t>
  </si>
  <si>
    <t>06-128-2020</t>
  </si>
  <si>
    <t>2020030012</t>
  </si>
  <si>
    <t>B-CW-2020-024</t>
  </si>
  <si>
    <t>InTB-PGA7171PEO2020-CW5</t>
  </si>
  <si>
    <t>2020030008</t>
  </si>
  <si>
    <t>2020-02-088</t>
  </si>
  <si>
    <t>06-228-2020</t>
  </si>
  <si>
    <t>2020030010</t>
  </si>
  <si>
    <t>2020030007</t>
  </si>
  <si>
    <t>B-CW-2020-030</t>
  </si>
  <si>
    <t>Napangan-2020-G01</t>
  </si>
  <si>
    <t>Goods 0027-2020</t>
  </si>
  <si>
    <t>2020-06-226</t>
  </si>
  <si>
    <t>2020-06-0496</t>
  </si>
  <si>
    <t>BRGY699 - 2020 - 03</t>
  </si>
  <si>
    <t>20GLH0015 (P.R. No. 2020-06-031 dated 06/10/2020)</t>
  </si>
  <si>
    <t>itb 2020-34</t>
  </si>
  <si>
    <t>itb 2020-32</t>
  </si>
  <si>
    <t>PB-2020-184-010</t>
  </si>
  <si>
    <t>Infra EDF 07-2020</t>
  </si>
  <si>
    <t>3-072120</t>
  </si>
  <si>
    <t>itb 2020-31</t>
  </si>
  <si>
    <t>B-G-2020-097</t>
  </si>
  <si>
    <t>bir pb 2020-02 infra</t>
  </si>
  <si>
    <t>Goods-06-2020</t>
  </si>
  <si>
    <t>itb 2020-33</t>
  </si>
  <si>
    <t>2020-74 (GAS)</t>
  </si>
  <si>
    <t>20DK0106</t>
  </si>
  <si>
    <t>IB-20-014-GOODS-FCSMO</t>
  </si>
  <si>
    <t>Aklan BAC ITB 370 Series of 2020</t>
  </si>
  <si>
    <t>SAN2020-009</t>
  </si>
  <si>
    <t>IB-20-013-GOODS-PRFS</t>
  </si>
  <si>
    <t>ITB No. 2020-06-053</t>
  </si>
  <si>
    <t>20CSCE005</t>
  </si>
  <si>
    <t>DHPP 010/013/018/023 CVHPP 013/013a/013b/013c/017</t>
  </si>
  <si>
    <t>2020030009</t>
  </si>
  <si>
    <t>PB-0620-48</t>
  </si>
  <si>
    <t>4-06202020</t>
  </si>
  <si>
    <t>SVP 2020-375</t>
  </si>
  <si>
    <t>SAN2020-008</t>
  </si>
  <si>
    <t>B-06-25-20</t>
  </si>
  <si>
    <t>bir pb 2020-03 infra</t>
  </si>
  <si>
    <t>UPLB-I-020-07-20 SUPPLY, DELIVERY, INSTALLATION, T</t>
  </si>
  <si>
    <t>19CSK00057</t>
  </si>
  <si>
    <t>GOODS-PB-2020-005</t>
  </si>
  <si>
    <t>Puspus-001-20</t>
  </si>
  <si>
    <t>GOODS-PB-2020-006</t>
  </si>
  <si>
    <t>Barangay 2-20-01</t>
  </si>
  <si>
    <t>2020-617-023</t>
  </si>
  <si>
    <t>20-017</t>
  </si>
  <si>
    <t>100-20-04-218</t>
  </si>
  <si>
    <t>GOODS-PB-2020-004</t>
  </si>
  <si>
    <t>PAG-001-20</t>
  </si>
  <si>
    <t>TFB 19-304D</t>
  </si>
  <si>
    <t>2020168</t>
  </si>
  <si>
    <t>BARANGAY BINGAY 06262020-01</t>
  </si>
  <si>
    <t>PB-0620-49</t>
  </si>
  <si>
    <t>20IK0098</t>
  </si>
  <si>
    <t>001-06-2020</t>
  </si>
  <si>
    <t>3118-20</t>
  </si>
  <si>
    <t>20DK0117</t>
  </si>
  <si>
    <t>3131-20</t>
  </si>
  <si>
    <t>BARANGAY BINGAY 06262020-02</t>
  </si>
  <si>
    <t>3119-20</t>
  </si>
  <si>
    <t>2020-06-0001</t>
  </si>
  <si>
    <t>DOT BAC REI No. 2020-009</t>
  </si>
  <si>
    <t>20OD0203</t>
  </si>
  <si>
    <t>20GG00019</t>
  </si>
  <si>
    <t>BAC GS No. 2020-0350 dated 16 June 2020</t>
  </si>
  <si>
    <t>2020169</t>
  </si>
  <si>
    <t>20KA0099(Readvertisement)</t>
  </si>
  <si>
    <t>20KA0098(Readvertisement)</t>
  </si>
  <si>
    <t>20KA0097(Readvertisement)</t>
  </si>
  <si>
    <t>06-227-2020</t>
  </si>
  <si>
    <t>BAC PB 2019 - 24</t>
  </si>
  <si>
    <t>ITB NO. 2020-06-2558</t>
  </si>
  <si>
    <t>028-06-2020</t>
  </si>
  <si>
    <t>2020170</t>
  </si>
  <si>
    <t>20OD0200</t>
  </si>
  <si>
    <t>GOOD20200505</t>
  </si>
  <si>
    <t>3120-20</t>
  </si>
  <si>
    <t>06-127-2020</t>
  </si>
  <si>
    <t>027-06-2020</t>
  </si>
  <si>
    <t>BAC PB 2020 - 43</t>
  </si>
  <si>
    <t>Various PR's</t>
  </si>
  <si>
    <t>2020-159-I</t>
  </si>
  <si>
    <t>306489</t>
  </si>
  <si>
    <t>REF #038(1)-06-2020</t>
  </si>
  <si>
    <t>PB-20-341</t>
  </si>
  <si>
    <t>PR NO. 0793 - 20</t>
  </si>
  <si>
    <t>20BF0061</t>
  </si>
  <si>
    <t>PB-20-211</t>
  </si>
  <si>
    <t>2020030006</t>
  </si>
  <si>
    <t>GOOD20200002</t>
  </si>
  <si>
    <t>20DK0129 (Re-Invitation)</t>
  </si>
  <si>
    <t>20MGU-044</t>
  </si>
  <si>
    <t>27-2020</t>
  </si>
  <si>
    <t>20MGU-043</t>
  </si>
  <si>
    <t>20MGU-037</t>
  </si>
  <si>
    <t>LGU-2020-168</t>
  </si>
  <si>
    <t>CIDS_PWS_L2_01_2016_03</t>
  </si>
  <si>
    <t>ITB No. 2020-06-05</t>
  </si>
  <si>
    <t>20DF0191</t>
  </si>
  <si>
    <t>PB-20-047</t>
  </si>
  <si>
    <t>20-MC-CO-01</t>
  </si>
  <si>
    <t>2020175</t>
  </si>
  <si>
    <t>2020174</t>
  </si>
  <si>
    <t>20-ICT4</t>
  </si>
  <si>
    <t>20-ICT3</t>
  </si>
  <si>
    <t>2020177</t>
  </si>
  <si>
    <t>2020062401</t>
  </si>
  <si>
    <t>20MGU-042</t>
  </si>
  <si>
    <t>100-20-05-306</t>
  </si>
  <si>
    <t>PRO 11 2020-06</t>
  </si>
  <si>
    <t>2020-06-26-01</t>
  </si>
  <si>
    <t>EARIST-2020-BID-004</t>
  </si>
  <si>
    <t>100-20-05-267</t>
  </si>
  <si>
    <t>SRAVIS 20-06-296</t>
  </si>
  <si>
    <t>2020-26-06-31</t>
  </si>
  <si>
    <t>RFQ 495</t>
  </si>
  <si>
    <t>HILONGOS 2020-190</t>
  </si>
  <si>
    <t>Civil Works 024-2020</t>
  </si>
  <si>
    <t>2020-06-26-02</t>
  </si>
  <si>
    <t>Civil Works 023-2020</t>
  </si>
  <si>
    <t>20NC0136</t>
  </si>
  <si>
    <t>BCS-2020-0142</t>
  </si>
  <si>
    <t>20GCI0004</t>
  </si>
  <si>
    <t>ITB No. 2020-07</t>
  </si>
  <si>
    <t>20NC0135</t>
  </si>
  <si>
    <t>2020-0625-41</t>
  </si>
  <si>
    <t>20NC0134</t>
  </si>
  <si>
    <t>BAC PB 2019 - 35</t>
  </si>
  <si>
    <t>20CSJ003</t>
  </si>
  <si>
    <t>2020-768</t>
  </si>
  <si>
    <t>20-211</t>
  </si>
  <si>
    <t>C10-20-1049</t>
  </si>
  <si>
    <t>2020-2016</t>
  </si>
  <si>
    <t>2020.06.23.01</t>
  </si>
  <si>
    <t>C10-20-0698</t>
  </si>
  <si>
    <t>2020-1990</t>
  </si>
  <si>
    <t>388548451</t>
  </si>
  <si>
    <t>2020.06.24.02</t>
  </si>
  <si>
    <t>2020-2056</t>
  </si>
  <si>
    <t>20-06-002</t>
  </si>
  <si>
    <t>HILONGOS 2020-192</t>
  </si>
  <si>
    <t>2020 - 113</t>
  </si>
  <si>
    <t>HILONGOS 2020-191</t>
  </si>
  <si>
    <t>20CSJ002</t>
  </si>
  <si>
    <t>1-06262020</t>
  </si>
  <si>
    <t>HILONGOS 2020-193</t>
  </si>
  <si>
    <t>proc123</t>
  </si>
  <si>
    <t>RFQ NO. 20-06-056</t>
  </si>
  <si>
    <t>19CSJ013</t>
  </si>
  <si>
    <t>lgu-es-20-140</t>
  </si>
  <si>
    <t>2020-021-INF-2</t>
  </si>
  <si>
    <t>2020 INFRA 05</t>
  </si>
  <si>
    <t>C10-20-1047</t>
  </si>
  <si>
    <t>BAC 20-001</t>
  </si>
  <si>
    <t>SVP-CAT20-53</t>
  </si>
  <si>
    <t>C10-20-0005</t>
  </si>
  <si>
    <t>INFRA 2020-02</t>
  </si>
  <si>
    <t>2020-1018</t>
  </si>
  <si>
    <t>C10-20-1057</t>
  </si>
  <si>
    <t>SVP-074-2020</t>
  </si>
  <si>
    <t>020-11 Lot 1</t>
  </si>
  <si>
    <t>PRO 11 2020-05</t>
  </si>
  <si>
    <t>20FN0107</t>
  </si>
  <si>
    <t>S2-CAL20-009</t>
  </si>
  <si>
    <t>POD20-104</t>
  </si>
  <si>
    <t>REI-06-26-2020</t>
  </si>
  <si>
    <t>2020-776</t>
  </si>
  <si>
    <t>GOODS#0082, ITB#0083,  PR#0245: SCG-2020</t>
  </si>
  <si>
    <t>S2-GIG20-011</t>
  </si>
  <si>
    <t>2020-06-096</t>
  </si>
  <si>
    <t>GOODS#0125, ITB#0127,  PR#0343: SCG-2020</t>
  </si>
  <si>
    <t>GOODS#0128, ITB#0131,  PR#0390: SCG-2020</t>
  </si>
  <si>
    <t xml:space="preserve">PR 74136_Supply &amp; Delivery of Fllor Mounted Motor </t>
  </si>
  <si>
    <t>SUBM#2020 -07-01</t>
  </si>
  <si>
    <t>PR 74374</t>
  </si>
  <si>
    <t>26-06-2020</t>
  </si>
  <si>
    <t>20-216</t>
  </si>
  <si>
    <t>S2-BH220-005</t>
  </si>
  <si>
    <t>PR 74532</t>
  </si>
  <si>
    <t>GDS 20-063</t>
  </si>
  <si>
    <t>101-2020-05-267, 101-2020-06-285,286,305,306</t>
  </si>
  <si>
    <t>20-0179</t>
  </si>
  <si>
    <t>PR 74691</t>
  </si>
  <si>
    <t>20KG0094</t>
  </si>
  <si>
    <t>itb-2020-21</t>
  </si>
  <si>
    <t>2020-06-261</t>
  </si>
  <si>
    <t>101-2020-02-128</t>
  </si>
  <si>
    <t>S2-CAL20-014</t>
  </si>
  <si>
    <t>O4-20-1178</t>
  </si>
  <si>
    <t>ITB-2020-23</t>
  </si>
  <si>
    <t>086-2020</t>
  </si>
  <si>
    <t>ITB No. 2020 – 77</t>
  </si>
  <si>
    <t>803</t>
  </si>
  <si>
    <t>S2-B1320-020</t>
  </si>
  <si>
    <t>PR No. 25-2020</t>
  </si>
  <si>
    <t>S2-GIG20-008</t>
  </si>
  <si>
    <t>2020-06-037</t>
  </si>
  <si>
    <t>POD20-095</t>
  </si>
  <si>
    <t>C10-20-1368</t>
  </si>
  <si>
    <t>RQ 06-206</t>
  </si>
  <si>
    <t>D-032-0284-20</t>
  </si>
  <si>
    <t>06262002</t>
  </si>
  <si>
    <t>20DQ0119</t>
  </si>
  <si>
    <t>20HC0183</t>
  </si>
  <si>
    <t>RQ 06-205</t>
  </si>
  <si>
    <t>RQ 06-202</t>
  </si>
  <si>
    <t>20DQ0118</t>
  </si>
  <si>
    <t>20HC0184</t>
  </si>
  <si>
    <t>RQ 06-203</t>
  </si>
  <si>
    <t>V06262020-214</t>
  </si>
  <si>
    <t>20DQ0120</t>
  </si>
  <si>
    <t>SVP20-511</t>
  </si>
  <si>
    <t>S2-DOO20-013</t>
  </si>
  <si>
    <t>INFRA-2020-024</t>
  </si>
  <si>
    <t>062620201</t>
  </si>
  <si>
    <t>804</t>
  </si>
  <si>
    <t>06262020</t>
  </si>
  <si>
    <t>20-05-062</t>
  </si>
  <si>
    <t>SJADS INFRA 20-04</t>
  </si>
  <si>
    <t>20DQ0122</t>
  </si>
  <si>
    <t>56234</t>
  </si>
  <si>
    <t>V06262020-215</t>
  </si>
  <si>
    <t>987897</t>
  </si>
  <si>
    <t>G20-05</t>
  </si>
  <si>
    <t>20DQ0123</t>
  </si>
  <si>
    <t>RQ 06-072A</t>
  </si>
  <si>
    <t>20DQ0124</t>
  </si>
  <si>
    <t>20DQ0121</t>
  </si>
  <si>
    <t>S2-cal20-016</t>
  </si>
  <si>
    <t>BCS-2020-0144</t>
  </si>
  <si>
    <t>SJADS INFRA 20-06</t>
  </si>
  <si>
    <t>20DQ0127</t>
  </si>
  <si>
    <t>B20-20-06</t>
  </si>
  <si>
    <t>20DQ0128</t>
  </si>
  <si>
    <t>2020062602</t>
  </si>
  <si>
    <t>PR-20-01-004</t>
  </si>
  <si>
    <t>guincam2020-06-010</t>
  </si>
  <si>
    <t>015-2020</t>
  </si>
  <si>
    <t>S2-BH220-002</t>
  </si>
  <si>
    <t>06-2020-001</t>
  </si>
  <si>
    <t>20DQ0126</t>
  </si>
  <si>
    <t>BAC-GS 166-2020 (PR No. 1000033086)</t>
  </si>
  <si>
    <t>06262003</t>
  </si>
  <si>
    <t>S2-BH220-004</t>
  </si>
  <si>
    <t>SUPPLY, DELIVERY, INSTALLATION, PROGRAMMING, TESTI</t>
  </si>
  <si>
    <t>20BG0148</t>
  </si>
  <si>
    <t>IB-GOODS-2020-11</t>
  </si>
  <si>
    <t>300-20-06-001</t>
  </si>
  <si>
    <t>POD20-092</t>
  </si>
  <si>
    <t>202005001</t>
  </si>
  <si>
    <t>RFQ #2021-02-RRHF</t>
  </si>
  <si>
    <t>POW - 8751 - 2020 - PCO - 06</t>
  </si>
  <si>
    <t>2020-6-26-1</t>
  </si>
  <si>
    <t>BTG3-2020-0214</t>
  </si>
  <si>
    <t>100-20-06-357</t>
  </si>
  <si>
    <t>POD20-101</t>
  </si>
  <si>
    <t>BTG3-2020-0212</t>
  </si>
  <si>
    <t>BTG3-2020-0211</t>
  </si>
  <si>
    <t>PR-20-01-025</t>
  </si>
  <si>
    <t>20DB0139</t>
  </si>
  <si>
    <t>2020-PBG-52</t>
  </si>
  <si>
    <t>BTG3-2020-0213</t>
  </si>
  <si>
    <t>20DB0137</t>
  </si>
  <si>
    <t>202006122</t>
  </si>
  <si>
    <t>20DB0136</t>
  </si>
  <si>
    <t>PR-20-01-006</t>
  </si>
  <si>
    <t>PR-20-01-010</t>
  </si>
  <si>
    <t>19-OG-0170</t>
  </si>
  <si>
    <t>20-DO-0085</t>
  </si>
  <si>
    <t>19-OG-0169</t>
  </si>
  <si>
    <t>20DB0138</t>
  </si>
  <si>
    <t>20OD0202</t>
  </si>
  <si>
    <t>SJADS GOODS 20-11</t>
  </si>
  <si>
    <t>20-OG-0102</t>
  </si>
  <si>
    <t>20-OG-0100</t>
  </si>
  <si>
    <t>20-OG-0099</t>
  </si>
  <si>
    <t>POD20-100</t>
  </si>
  <si>
    <t>20-DO-0084</t>
  </si>
  <si>
    <t>PR-20-01-039</t>
  </si>
  <si>
    <t>2020-06-019</t>
  </si>
  <si>
    <t>20OD0201</t>
  </si>
  <si>
    <t>20-OG-0097</t>
  </si>
  <si>
    <t>20-OG-0096</t>
  </si>
  <si>
    <t>PR-20-01-047</t>
  </si>
  <si>
    <t>PANG-2020-0791</t>
  </si>
  <si>
    <t>PANG-2020-0790</t>
  </si>
  <si>
    <t>PR-20-01-040</t>
  </si>
  <si>
    <t>IB NO. CW 2020 - 101</t>
  </si>
  <si>
    <t>10-06172020</t>
  </si>
  <si>
    <t>20-OG-0098</t>
  </si>
  <si>
    <t>20-OG-0101</t>
  </si>
  <si>
    <t>IB 2020-07-009 POC</t>
  </si>
  <si>
    <t>20CSDN01</t>
  </si>
  <si>
    <t>G-2020-28</t>
  </si>
  <si>
    <t>20CSDK04</t>
  </si>
  <si>
    <t>PB-06262020-1</t>
  </si>
  <si>
    <t>20CSDK03</t>
  </si>
  <si>
    <t>20CSE008</t>
  </si>
  <si>
    <t>20CSDK02</t>
  </si>
  <si>
    <t>20CSDK01</t>
  </si>
  <si>
    <t>20CSDK05</t>
  </si>
  <si>
    <t>PR-20-01-033</t>
  </si>
  <si>
    <t>20-OG-0095</t>
  </si>
  <si>
    <t>BTG3-2020-0215</t>
  </si>
  <si>
    <t>2020-2076-06-252</t>
  </si>
  <si>
    <t>BTG3-2020-0216</t>
  </si>
  <si>
    <t>SJADS GOODS 20-10</t>
  </si>
  <si>
    <t>CNU 20-01-047</t>
  </si>
  <si>
    <t>PANG-2020-0792</t>
  </si>
  <si>
    <t>IB NO. 2020-057/ RJVF</t>
  </si>
  <si>
    <t>20-DO-0086</t>
  </si>
  <si>
    <t>Pr-20-01-011</t>
  </si>
  <si>
    <t>POD20-089</t>
  </si>
  <si>
    <t>G-2020-369</t>
  </si>
  <si>
    <t>IB 2020-07-010 PLPG</t>
  </si>
  <si>
    <t>G-2020-281</t>
  </si>
  <si>
    <t>G-2020-280</t>
  </si>
  <si>
    <t>G-2020-210</t>
  </si>
  <si>
    <t>G-2020-197</t>
  </si>
  <si>
    <t>ITB-2020-047</t>
  </si>
  <si>
    <t>20200625</t>
  </si>
  <si>
    <t>G-2020-387</t>
  </si>
  <si>
    <t>17dambuk20</t>
  </si>
  <si>
    <t>060</t>
  </si>
  <si>
    <t>059</t>
  </si>
  <si>
    <t>ITB202007</t>
  </si>
  <si>
    <t>G-2020-322</t>
  </si>
  <si>
    <t>POD20-094</t>
  </si>
  <si>
    <t>POD20-093</t>
  </si>
  <si>
    <t>S2-PMG20-022</t>
  </si>
  <si>
    <t>SJADS INFRA 20-05</t>
  </si>
  <si>
    <t>G-2019-1080</t>
  </si>
  <si>
    <t>PANG-2020-0794</t>
  </si>
  <si>
    <t>2020-007H</t>
  </si>
  <si>
    <t>2020-002-1</t>
  </si>
  <si>
    <t>0020-0140-0832A2020</t>
  </si>
  <si>
    <t>PGLDN 101-20-05 1055</t>
  </si>
  <si>
    <t>PANG-2020-0800</t>
  </si>
  <si>
    <t>20HL0111</t>
  </si>
  <si>
    <t>20HL0110</t>
  </si>
  <si>
    <t>Infra SEF 03-2020</t>
  </si>
  <si>
    <t>G-112-20</t>
  </si>
  <si>
    <t>ITB-2020-048</t>
  </si>
  <si>
    <t>2020-06-022b</t>
  </si>
  <si>
    <t>2020-06-021B</t>
  </si>
  <si>
    <t>G-2020-370</t>
  </si>
  <si>
    <t>IB No.2020-06-012-G</t>
  </si>
  <si>
    <t>G-2020-361</t>
  </si>
  <si>
    <t>G-2020-283</t>
  </si>
  <si>
    <t>G-2020-372</t>
  </si>
  <si>
    <t>G-2020-371</t>
  </si>
  <si>
    <t>20DQ0125</t>
  </si>
  <si>
    <t>20BE0090</t>
  </si>
  <si>
    <t>20CE0216</t>
  </si>
  <si>
    <t>20CE0215</t>
  </si>
  <si>
    <t>PANG-2020-0798</t>
  </si>
  <si>
    <t>2020-06-024B</t>
  </si>
  <si>
    <t>ITB 17-2020</t>
  </si>
  <si>
    <t>B20-20-05</t>
  </si>
  <si>
    <t>20CE0214</t>
  </si>
  <si>
    <t>20CE0212</t>
  </si>
  <si>
    <t>IV-06-2020-02</t>
  </si>
  <si>
    <t>01-594-2020</t>
  </si>
  <si>
    <t>20CE0210</t>
  </si>
  <si>
    <t>IV-06-2020-01</t>
  </si>
  <si>
    <t>R4B-20-06-08</t>
  </si>
  <si>
    <t>2020-G-066</t>
  </si>
  <si>
    <t>012-2020</t>
  </si>
  <si>
    <t>172310</t>
  </si>
  <si>
    <t>Tal01-20</t>
  </si>
  <si>
    <t>BAC PB 2020 - 42</t>
  </si>
  <si>
    <t>20CE0228</t>
  </si>
  <si>
    <t>20CE0213</t>
  </si>
  <si>
    <t>20CE0227</t>
  </si>
  <si>
    <t>20CE0226</t>
  </si>
  <si>
    <t>20CE0224</t>
  </si>
  <si>
    <t>2020-I-080</t>
  </si>
  <si>
    <t>20CE0223</t>
  </si>
  <si>
    <t>20CE0229</t>
  </si>
  <si>
    <t>20CE0222</t>
  </si>
  <si>
    <t>20GA0161</t>
  </si>
  <si>
    <t>20CE0211</t>
  </si>
  <si>
    <t>20-008</t>
  </si>
  <si>
    <t>20-169</t>
  </si>
  <si>
    <t>ITBGF-2020-011</t>
  </si>
  <si>
    <t>373-2020 Bidding</t>
  </si>
  <si>
    <t>2019-11-4214</t>
  </si>
  <si>
    <t>ITB 16-2020</t>
  </si>
  <si>
    <t>124</t>
  </si>
  <si>
    <t>101-2020-06-282</t>
  </si>
  <si>
    <t>PB-07-17-2020</t>
  </si>
  <si>
    <t>20GA0176</t>
  </si>
  <si>
    <t>371-2020 Bidding</t>
  </si>
  <si>
    <t>2020-06-023B</t>
  </si>
  <si>
    <t>2020-03-1594</t>
  </si>
  <si>
    <t>2020-05-2433</t>
  </si>
  <si>
    <t>2020-05-2409</t>
  </si>
  <si>
    <t>2020-01-1393</t>
  </si>
  <si>
    <t>070-20</t>
  </si>
  <si>
    <t>069-20</t>
  </si>
  <si>
    <t>PANG-2020-0793</t>
  </si>
  <si>
    <t>2020-076</t>
  </si>
  <si>
    <t>2020-04-2236</t>
  </si>
  <si>
    <t>20-163</t>
  </si>
  <si>
    <t>374-2020 Bidding</t>
  </si>
  <si>
    <t>071-20</t>
  </si>
  <si>
    <t>20CF0131</t>
  </si>
  <si>
    <t>MG-A7M20-077</t>
  </si>
  <si>
    <t>20CE0225</t>
  </si>
  <si>
    <t>101-2020-06-277</t>
  </si>
  <si>
    <t>2020-04-2281</t>
  </si>
  <si>
    <t>074-20</t>
  </si>
  <si>
    <t>2020-05-2432</t>
  </si>
  <si>
    <t>MG-A7C20-028</t>
  </si>
  <si>
    <t>20-161</t>
  </si>
  <si>
    <t>2020-06-2501</t>
  </si>
  <si>
    <t>073-20</t>
  </si>
  <si>
    <t>LGU-BALINGASAG-9005-20-062</t>
  </si>
  <si>
    <t>2020-05-2435</t>
  </si>
  <si>
    <t>2020-077</t>
  </si>
  <si>
    <t>072-20</t>
  </si>
  <si>
    <t>20CF0132</t>
  </si>
  <si>
    <t>SEF-G-27-2020</t>
  </si>
  <si>
    <t>Supplies 302-2020</t>
  </si>
  <si>
    <t>2020-0024</t>
  </si>
  <si>
    <t>20-162</t>
  </si>
  <si>
    <t>SEF-G-26-2020</t>
  </si>
  <si>
    <t>0020-0159-0927A2020</t>
  </si>
  <si>
    <t>077-20</t>
  </si>
  <si>
    <t>076-20</t>
  </si>
  <si>
    <t>2020-02-0120</t>
  </si>
  <si>
    <t>2020-05-2406</t>
  </si>
  <si>
    <t>2020-0026</t>
  </si>
  <si>
    <t>06-2020 (REBID)</t>
  </si>
  <si>
    <t>20GSK00013</t>
  </si>
  <si>
    <t>2020-0025</t>
  </si>
  <si>
    <t>2020-06-0064</t>
  </si>
  <si>
    <t>2020-06-0060</t>
  </si>
  <si>
    <t>ppn-090-2020</t>
  </si>
  <si>
    <t>2020-331</t>
  </si>
  <si>
    <t>20200625-23</t>
  </si>
  <si>
    <t>DANG-20-019</t>
  </si>
  <si>
    <t>2020-06-0061</t>
  </si>
  <si>
    <t>Procurement of Office Rental- PR No. 2020-06-60</t>
  </si>
  <si>
    <t>P5SJIC 2020-01</t>
  </si>
  <si>
    <t>20CI0098</t>
  </si>
  <si>
    <t>20CI0097</t>
  </si>
  <si>
    <t>001-02-2020</t>
  </si>
  <si>
    <t>20-06-0367</t>
  </si>
  <si>
    <t>Solicitation No. PANG-2020-801</t>
  </si>
  <si>
    <t>ppn-093-2020</t>
  </si>
  <si>
    <t>2020-06-2450</t>
  </si>
  <si>
    <t>ppn-092-2020</t>
  </si>
  <si>
    <t>PB-INFRA-2020-003</t>
  </si>
  <si>
    <t>Invitation to Bid 20-37</t>
  </si>
  <si>
    <t>2020-06-0063</t>
  </si>
  <si>
    <t>BAC 2020 01</t>
  </si>
  <si>
    <t>078-20</t>
  </si>
  <si>
    <t>2020-06-052-D</t>
  </si>
  <si>
    <t>B39-2020-001</t>
  </si>
  <si>
    <t>IB No. 002-2020</t>
  </si>
  <si>
    <t>20GIE0014 (PR# 20-06-021)</t>
  </si>
  <si>
    <t>ppn-091-2020</t>
  </si>
  <si>
    <t>076</t>
  </si>
  <si>
    <t>BARBALZN9-2008</t>
  </si>
  <si>
    <t>F-063-0428-20</t>
  </si>
  <si>
    <t>001-07-2020</t>
  </si>
  <si>
    <t>ITB 18-2020</t>
  </si>
  <si>
    <t>TWDPR 2020-06-03</t>
  </si>
  <si>
    <t>20-06-PB002</t>
  </si>
  <si>
    <t>BAC 2020-2</t>
  </si>
  <si>
    <t>079-20</t>
  </si>
  <si>
    <t>2020-03-2092</t>
  </si>
  <si>
    <t>20CI0100</t>
  </si>
  <si>
    <t>20CI0101</t>
  </si>
  <si>
    <t>UPLB-RQ-6-079-20-GOODS LABORATORY SUPPLIES &amp; EQUIP</t>
  </si>
  <si>
    <t>081-20</t>
  </si>
  <si>
    <t>064-20</t>
  </si>
  <si>
    <t>20GAD0007</t>
  </si>
  <si>
    <t>SRAVIS 20-06-285</t>
  </si>
  <si>
    <t>BALZN9-2009</t>
  </si>
  <si>
    <t>GOOD20200003(a)</t>
  </si>
  <si>
    <t>05-06-2020</t>
  </si>
  <si>
    <t>FB20-02-004CORa-06</t>
  </si>
  <si>
    <t>SRAVIS 20-06-284</t>
  </si>
  <si>
    <t>BAC-2020-0019</t>
  </si>
  <si>
    <t>20CI0099</t>
  </si>
  <si>
    <t>2020-03-1612</t>
  </si>
  <si>
    <t>086-20</t>
  </si>
  <si>
    <t>080-20</t>
  </si>
  <si>
    <t>085-20</t>
  </si>
  <si>
    <t>2020-04-006-101-02</t>
  </si>
  <si>
    <t>G-109-20</t>
  </si>
  <si>
    <t>077</t>
  </si>
  <si>
    <t>087-20</t>
  </si>
  <si>
    <t>19GSK00052</t>
  </si>
  <si>
    <t>20GSK00009 - Re-ITB</t>
  </si>
  <si>
    <t>38-2020</t>
  </si>
  <si>
    <t>2020-096</t>
  </si>
  <si>
    <t>HILONGOS 2020-189</t>
  </si>
  <si>
    <t>sj 2020 b jul 012</t>
  </si>
  <si>
    <t>SRAVIS 20-06-287</t>
  </si>
  <si>
    <t>5-06252020</t>
  </si>
  <si>
    <t>088-20</t>
  </si>
  <si>
    <t>sj 2020 b jul 011</t>
  </si>
  <si>
    <t>007034-2020-01</t>
  </si>
  <si>
    <t>sj 2020 b jul 010</t>
  </si>
  <si>
    <t>4-05252020</t>
  </si>
  <si>
    <t>007017-2020-01</t>
  </si>
  <si>
    <t>ITB No. 2020-130-B-pgo-pdrc</t>
  </si>
  <si>
    <t>061</t>
  </si>
  <si>
    <t>SRAVIS 20-06-288</t>
  </si>
  <si>
    <t>umcbac20-16</t>
  </si>
  <si>
    <t>sj 2020 b jul 018</t>
  </si>
  <si>
    <t>084-20</t>
  </si>
  <si>
    <t>7-06252020</t>
  </si>
  <si>
    <t>100(18)19-10-1317(O)</t>
  </si>
  <si>
    <t>TWDPR 2020-06-04</t>
  </si>
  <si>
    <t>SRAVIS 20-06-289</t>
  </si>
  <si>
    <t>sj 2020 b jul 016</t>
  </si>
  <si>
    <t>04-06-2020</t>
  </si>
  <si>
    <t>sj 2020 b jul 017</t>
  </si>
  <si>
    <t>028</t>
  </si>
  <si>
    <t>ITB No. 2020-133-B-bpmc</t>
  </si>
  <si>
    <t>sj 2020 b jul 014</t>
  </si>
  <si>
    <t>100(01)20-06-373(O)</t>
  </si>
  <si>
    <t>sj 2020 b jul 013</t>
  </si>
  <si>
    <t>LGUBTA 20-059</t>
  </si>
  <si>
    <t>6-06252020</t>
  </si>
  <si>
    <t>07-06-2020</t>
  </si>
  <si>
    <t>100(18)20-03-028(N)</t>
  </si>
  <si>
    <t>3-06252020</t>
  </si>
  <si>
    <t>BAC-2020-0020</t>
  </si>
  <si>
    <t>ITB 2020-25</t>
  </si>
  <si>
    <t>BXU-2020-29</t>
  </si>
  <si>
    <t>11-06252020</t>
  </si>
  <si>
    <t>100(01)20-06-365(A)</t>
  </si>
  <si>
    <t>10-06252020</t>
  </si>
  <si>
    <t>100(01)20-06-364(A)</t>
  </si>
  <si>
    <t>LGUBTA 20-060</t>
  </si>
  <si>
    <t>ITB 2020-24</t>
  </si>
  <si>
    <t>MIWD</t>
  </si>
  <si>
    <t>100(01)20-06-363(A)</t>
  </si>
  <si>
    <t>3A-2020-001</t>
  </si>
  <si>
    <t>ITB No. 2020-I-P5-01</t>
  </si>
  <si>
    <t>MH-GOODS-RHU-MEDICINES-620</t>
  </si>
  <si>
    <t>SRAVIS 20-06-290</t>
  </si>
  <si>
    <t>BXU-2020-30</t>
  </si>
  <si>
    <t>76-2020</t>
  </si>
  <si>
    <t>CWD 25-2020</t>
  </si>
  <si>
    <t>100(01)20-06-002(AI)</t>
  </si>
  <si>
    <t>SRAVIS 20-06-293</t>
  </si>
  <si>
    <t>378-2020 Bidding</t>
  </si>
  <si>
    <t>20-46010</t>
  </si>
  <si>
    <t>0020-0159-0927.2020</t>
  </si>
  <si>
    <t>2020-25-06-30</t>
  </si>
  <si>
    <t>ITB No. 2020-I-P6-01</t>
  </si>
  <si>
    <t>2020-06-0323</t>
  </si>
  <si>
    <t>sj 2020 b jul 015</t>
  </si>
  <si>
    <t>065-2020</t>
  </si>
  <si>
    <t>ITB No. 2020-G-04-02</t>
  </si>
  <si>
    <t>MH-GOODS-MEO-SITE-DEVELOPMENT-CEMETERY-764</t>
  </si>
  <si>
    <t>IBTGH No. 2020 – 007</t>
  </si>
  <si>
    <t>056-2020</t>
  </si>
  <si>
    <t>79-2020</t>
  </si>
  <si>
    <t>029</t>
  </si>
  <si>
    <t>78-2020</t>
  </si>
  <si>
    <t>ITB No. 2020-06-005</t>
  </si>
  <si>
    <t>2020-06-0322</t>
  </si>
  <si>
    <t>CWD 27-2020</t>
  </si>
  <si>
    <t>2020-005-1</t>
  </si>
  <si>
    <t>PR No. 20-1089</t>
  </si>
  <si>
    <t>BAC-2020-0021</t>
  </si>
  <si>
    <t>UPLB-IF-014-07-20 rebid</t>
  </si>
  <si>
    <t>LGUBTA 20-061</t>
  </si>
  <si>
    <t>BLGUNORTE-CW-2020-001</t>
  </si>
  <si>
    <t>GEPS - 2020 - 87</t>
  </si>
  <si>
    <t>2020-JUNE-015</t>
  </si>
  <si>
    <t>2020-004-1</t>
  </si>
  <si>
    <t>20-06-049</t>
  </si>
  <si>
    <t>20FO0104</t>
  </si>
  <si>
    <t>2020-06-0364</t>
  </si>
  <si>
    <t>MH-GOODS-RHU-CHEMICAL-REAGENTS-621</t>
  </si>
  <si>
    <t>002-07-2020</t>
  </si>
  <si>
    <t>LOS BANOS-20-39</t>
  </si>
  <si>
    <t>20ND0066</t>
  </si>
  <si>
    <t>ITB PR 0498</t>
  </si>
  <si>
    <t>tgs 15-20</t>
  </si>
  <si>
    <t>101-20-06-032</t>
  </si>
  <si>
    <t>2020-006-1</t>
  </si>
  <si>
    <t>RDD-CW 2020-16</t>
  </si>
  <si>
    <t>GEPS - 2020 - 86</t>
  </si>
  <si>
    <t>2020-032 Access Road 647184</t>
  </si>
  <si>
    <t>Ato12</t>
  </si>
  <si>
    <t>20GA0152</t>
  </si>
  <si>
    <t>2020-25-06-02</t>
  </si>
  <si>
    <t>GEPS - 2020 - 85</t>
  </si>
  <si>
    <t>100(18)20-03-024(N)</t>
  </si>
  <si>
    <t>UPLB-RQ-6-080-20-GOODS CHEMICALS &amp; CHEMICAL PRODUC</t>
  </si>
  <si>
    <t>2020-02-0292</t>
  </si>
  <si>
    <t>ITB PR 0499</t>
  </si>
  <si>
    <t>B034-2020</t>
  </si>
  <si>
    <t>SRAVIS 20-06-286</t>
  </si>
  <si>
    <t>MMO-2020-06-25-001</t>
  </si>
  <si>
    <t>003-07-2020</t>
  </si>
  <si>
    <t>2020-JUNE-016</t>
  </si>
  <si>
    <t>ITB 2020-63</t>
  </si>
  <si>
    <t>2020-03-021</t>
  </si>
  <si>
    <t>Contract ID 20JH0045</t>
  </si>
  <si>
    <t>Contract ID 20JH0044</t>
  </si>
  <si>
    <t>20MC-INFRA-029</t>
  </si>
  <si>
    <t>Contract ID 20JH0043</t>
  </si>
  <si>
    <t>20GHD0002</t>
  </si>
  <si>
    <t>LOS BANOS-20-40</t>
  </si>
  <si>
    <t>20MC-GOODS-032</t>
  </si>
  <si>
    <t>1-06252020</t>
  </si>
  <si>
    <t>B035-2020</t>
  </si>
  <si>
    <t>tgs 16-20</t>
  </si>
  <si>
    <t>ITB No. 2020-004-RFO/CTQAL</t>
  </si>
  <si>
    <t>BXU-2020-32</t>
  </si>
  <si>
    <t>RE-ITB 02-2020 UPGRADING</t>
  </si>
  <si>
    <t>20FO0105</t>
  </si>
  <si>
    <t>20MC-GOODS-031</t>
  </si>
  <si>
    <t>2020-PBGOODS-06-011</t>
  </si>
  <si>
    <t>B040-2020</t>
  </si>
  <si>
    <t>20GFN0009</t>
  </si>
  <si>
    <t>RDD CW-2020-17</t>
  </si>
  <si>
    <t>B039-2020</t>
  </si>
  <si>
    <t>IB 2020-075</t>
  </si>
  <si>
    <t>2020-06-62</t>
  </si>
  <si>
    <t>2020-06-63</t>
  </si>
  <si>
    <t>07 - 2020 INFRA</t>
  </si>
  <si>
    <t>0020-0152-0911A2020</t>
  </si>
  <si>
    <t>B038-2020</t>
  </si>
  <si>
    <t>ITB-2020-16</t>
  </si>
  <si>
    <t>20GHL0002</t>
  </si>
  <si>
    <t>JHS-026</t>
  </si>
  <si>
    <t>LG2020MP</t>
  </si>
  <si>
    <t>ITB-025-2020</t>
  </si>
  <si>
    <t>B037-2020</t>
  </si>
  <si>
    <t>0VCRE-05-20</t>
  </si>
  <si>
    <t>IB 2020-076</t>
  </si>
  <si>
    <t>069-2020</t>
  </si>
  <si>
    <t>B043-2020</t>
  </si>
  <si>
    <t>Goods-2020-005 - Rebid</t>
  </si>
  <si>
    <t>B041-2020</t>
  </si>
  <si>
    <t>20FN0105</t>
  </si>
  <si>
    <t>rpl-20EE0139</t>
  </si>
  <si>
    <t>B042-2020</t>
  </si>
  <si>
    <t>B044-2020</t>
  </si>
  <si>
    <t>20FN0106</t>
  </si>
  <si>
    <t>2020-06-61</t>
  </si>
  <si>
    <t>004-07-2020</t>
  </si>
  <si>
    <t>S2-BIR20-011</t>
  </si>
  <si>
    <t>B036-2020</t>
  </si>
  <si>
    <t>GA-BAC-2020-IA-11</t>
  </si>
  <si>
    <t>20GFN0011</t>
  </si>
  <si>
    <t>S2-ANT20-004</t>
  </si>
  <si>
    <t>S2-SVP20-012</t>
  </si>
  <si>
    <t>20GFN0010</t>
  </si>
  <si>
    <t>GOODS-2020-119</t>
  </si>
  <si>
    <t>S2-SVP20-003</t>
  </si>
  <si>
    <t>Goods 2020-08</t>
  </si>
  <si>
    <t>Goods-2020-006 - Rebid</t>
  </si>
  <si>
    <t>070-2020</t>
  </si>
  <si>
    <t>GOOD20200002(a)</t>
  </si>
  <si>
    <t>S2-MGS20-010</t>
  </si>
  <si>
    <t>20HF0099</t>
  </si>
  <si>
    <t>2020-06-0131</t>
  </si>
  <si>
    <t>GOOD-20-2020</t>
  </si>
  <si>
    <t>B046-2020</t>
  </si>
  <si>
    <t>Contract ID 20JH0047</t>
  </si>
  <si>
    <t>ITB-2020-06-10</t>
  </si>
  <si>
    <t>20MC-INFRA-030</t>
  </si>
  <si>
    <t>042020674</t>
  </si>
  <si>
    <t>BLGUPOB-GOODS-20-01</t>
  </si>
  <si>
    <t>20-06-048</t>
  </si>
  <si>
    <t>B045-2020</t>
  </si>
  <si>
    <t>20ND0067</t>
  </si>
  <si>
    <t>S2-MPP20-021</t>
  </si>
  <si>
    <t>UPLB-IF-017-07-20</t>
  </si>
  <si>
    <t>20BK0147</t>
  </si>
  <si>
    <t>20CSE009</t>
  </si>
  <si>
    <t>PB-2020-0009</t>
  </si>
  <si>
    <t>B047-2020</t>
  </si>
  <si>
    <t>BLGUBALLUYAN-CW-2020-001</t>
  </si>
  <si>
    <t>ITB 2020-162</t>
  </si>
  <si>
    <t>BACPOGOODS202006007</t>
  </si>
  <si>
    <t>20-06-01</t>
  </si>
  <si>
    <t>ITB-2020-06-11</t>
  </si>
  <si>
    <t>20CSE010</t>
  </si>
  <si>
    <t>20DE0138 (Re-advertised)</t>
  </si>
  <si>
    <t>GOODS-2020-134</t>
  </si>
  <si>
    <t>20GI0099</t>
  </si>
  <si>
    <t>20-06-02</t>
  </si>
  <si>
    <t>20-294</t>
  </si>
  <si>
    <t>19FC0239</t>
  </si>
  <si>
    <t>20DE0139 (Re-advertised)</t>
  </si>
  <si>
    <t>Contract ID 20JH0046</t>
  </si>
  <si>
    <t>20FC0129</t>
  </si>
  <si>
    <t>20DE0103 (Re-advertised)</t>
  </si>
  <si>
    <t>20FC0128</t>
  </si>
  <si>
    <t>20DE0122 (Re-advertised)</t>
  </si>
  <si>
    <t>GOODS-2020-115</t>
  </si>
  <si>
    <t>20FC0125</t>
  </si>
  <si>
    <t>2020-06-0176</t>
  </si>
  <si>
    <t>20FC0127</t>
  </si>
  <si>
    <t>20FC0126</t>
  </si>
  <si>
    <t>ATI-RTC3-2020-0085</t>
  </si>
  <si>
    <t>Contract ID 20JH0053</t>
  </si>
  <si>
    <t>MG-PLM20-011</t>
  </si>
  <si>
    <t>20-384</t>
  </si>
  <si>
    <t>BTG3-2020-0208</t>
  </si>
  <si>
    <t>MG-PAT20-007</t>
  </si>
  <si>
    <t>20-324</t>
  </si>
  <si>
    <t>20-365</t>
  </si>
  <si>
    <t>2020-095</t>
  </si>
  <si>
    <t>Contract ID 20JH0051</t>
  </si>
  <si>
    <t>Contract ID 20JH0052</t>
  </si>
  <si>
    <t>Contract ID 20JH0050</t>
  </si>
  <si>
    <t>2020-08-0180</t>
  </si>
  <si>
    <t>Contract ID 20JH0048</t>
  </si>
  <si>
    <t>6-20-43</t>
  </si>
  <si>
    <t>20FC0124</t>
  </si>
  <si>
    <t>DPWH-SK2DEO-20GMH052</t>
  </si>
  <si>
    <t>20-350</t>
  </si>
  <si>
    <t>Contract ID 20JH0049</t>
  </si>
  <si>
    <t>DPWH-SK2DEO-20GMH055</t>
  </si>
  <si>
    <t>bac-20-0625b</t>
  </si>
  <si>
    <t>2020-06-0015</t>
  </si>
  <si>
    <t>20-06-0642</t>
  </si>
  <si>
    <t>BTG3-2020-0209</t>
  </si>
  <si>
    <t>DPWH-SK2DEO-20GMH051</t>
  </si>
  <si>
    <t>DPWH-SK2DEO-20GMH050</t>
  </si>
  <si>
    <t>MG-PAT20-026</t>
  </si>
  <si>
    <t>MG-PAT20-023</t>
  </si>
  <si>
    <t>DPWH-SK2DEO-20GMH054</t>
  </si>
  <si>
    <t>MG-PAT20-025</t>
  </si>
  <si>
    <t>MG-PHP20-007</t>
  </si>
  <si>
    <t>MG-PLM20-094</t>
  </si>
  <si>
    <t>DPWH-SK2DEO-20GMH053</t>
  </si>
  <si>
    <t>Contract ID 20JH0058</t>
  </si>
  <si>
    <t>Contract ID 20JH0057</t>
  </si>
  <si>
    <t>Contract ID 20JH0056</t>
  </si>
  <si>
    <t>20-06-07-0136</t>
  </si>
  <si>
    <t>2020-06-0179</t>
  </si>
  <si>
    <t>20-398</t>
  </si>
  <si>
    <t>20GDB0016 (Re-Advertisement)</t>
  </si>
  <si>
    <t>NMF INFRA 2020-30</t>
  </si>
  <si>
    <t>NMF INFRA 2020-29</t>
  </si>
  <si>
    <t>6-20-45</t>
  </si>
  <si>
    <t>2020-06-0174</t>
  </si>
  <si>
    <t>PR NO. 90344</t>
  </si>
  <si>
    <t>20AE0073: Construction of 2 Storey 4 Classroom Sch</t>
  </si>
  <si>
    <t>2020-06-0018</t>
  </si>
  <si>
    <t>Contract ID 20JH0055</t>
  </si>
  <si>
    <t>2020-06-0017</t>
  </si>
  <si>
    <t>DPWH-SK2DEO-20GMH058</t>
  </si>
  <si>
    <t>2020-06-0016</t>
  </si>
  <si>
    <t>MG-PLM20-088</t>
  </si>
  <si>
    <t>20-05-0620</t>
  </si>
  <si>
    <t>PR NO. 91414</t>
  </si>
  <si>
    <t>Contract ID 20JH0054</t>
  </si>
  <si>
    <t>DPWH-SK2DEO-20GMH056</t>
  </si>
  <si>
    <t>PR NO. 91676</t>
  </si>
  <si>
    <t>042020672</t>
  </si>
  <si>
    <t>20-348</t>
  </si>
  <si>
    <t>ITB 2020-004 Aircon</t>
  </si>
  <si>
    <t>Contract ID 20JH0061</t>
  </si>
  <si>
    <t>PR NO. 91778</t>
  </si>
  <si>
    <t>ITB 2020-005 CUB</t>
  </si>
  <si>
    <t>20CSEF03</t>
  </si>
  <si>
    <t>Contract ID 20JH0062</t>
  </si>
  <si>
    <t>20CSEF01</t>
  </si>
  <si>
    <t>PR-20-01-030</t>
  </si>
  <si>
    <t>20-05-0584</t>
  </si>
  <si>
    <t>20CSEF02</t>
  </si>
  <si>
    <t>ITB 2020-005 Construction Materials</t>
  </si>
  <si>
    <t>PR-20-01-015</t>
  </si>
  <si>
    <t>PR-20-01-022</t>
  </si>
  <si>
    <t>PR NO. 92014</t>
  </si>
  <si>
    <t>0101-000-01-25</t>
  </si>
  <si>
    <t>0101-000-01-24</t>
  </si>
  <si>
    <t>PR NO. 91415</t>
  </si>
  <si>
    <t>0101-635</t>
  </si>
  <si>
    <t>ITB 2020-006 CR wet &amp; Dry</t>
  </si>
  <si>
    <t>DPWH-SK2DEO-20GMH057</t>
  </si>
  <si>
    <t>ITB NO. 2020-028</t>
  </si>
  <si>
    <t>ITB NO: 2020-007-028</t>
  </si>
  <si>
    <t>PR-20-01-026</t>
  </si>
  <si>
    <t>LGUTMO BAC 2020-14</t>
  </si>
  <si>
    <t>LGUTMO BAC 2020-16</t>
  </si>
  <si>
    <t>PR-20-01-013</t>
  </si>
  <si>
    <t>130 - 2020</t>
  </si>
  <si>
    <t>PR-20-02-070</t>
  </si>
  <si>
    <t>PR-20-01-045</t>
  </si>
  <si>
    <t>PR-20-01-043</t>
  </si>
  <si>
    <t>PR-20-01-042</t>
  </si>
  <si>
    <t>PR-20-02-054</t>
  </si>
  <si>
    <t>20csd02</t>
  </si>
  <si>
    <t>rfq064</t>
  </si>
  <si>
    <t>PB-01-06-2020-0006</t>
  </si>
  <si>
    <t>20CSEF08</t>
  </si>
  <si>
    <t>20CSEF07</t>
  </si>
  <si>
    <t>LGUTMO BAC 2020-10</t>
  </si>
  <si>
    <t>20CSEF04</t>
  </si>
  <si>
    <t>LGUTMO BAC 2020-17</t>
  </si>
  <si>
    <t>PB-GE3-2020-16</t>
  </si>
  <si>
    <t>PBD 20-078</t>
  </si>
  <si>
    <t>1071-20-05-197</t>
  </si>
  <si>
    <t>20CSEF06</t>
  </si>
  <si>
    <t>1071-20-05-196</t>
  </si>
  <si>
    <t>84-20-5-012</t>
  </si>
  <si>
    <t>REF #042-06-2020</t>
  </si>
  <si>
    <t>1091-20-02-048</t>
  </si>
  <si>
    <t>20L00159</t>
  </si>
  <si>
    <t>20L00157</t>
  </si>
  <si>
    <t>84-20-5-011</t>
  </si>
  <si>
    <t>20CSEF05</t>
  </si>
  <si>
    <t>20L00155</t>
  </si>
  <si>
    <t>20L00165</t>
  </si>
  <si>
    <t>20L00156</t>
  </si>
  <si>
    <t>131 - 2020</t>
  </si>
  <si>
    <t>20-06-009</t>
  </si>
  <si>
    <t>ECV-20EE0134 RE BID</t>
  </si>
  <si>
    <t>20GM0063 (RE-BIDDING)</t>
  </si>
  <si>
    <t>ECV-20EE0132 (RE BID)</t>
  </si>
  <si>
    <t>1011-20-5-198A</t>
  </si>
  <si>
    <t>ECV-20EE0126  (RE BID)</t>
  </si>
  <si>
    <t>84-20-5-010</t>
  </si>
  <si>
    <t>20L00163</t>
  </si>
  <si>
    <t>4411-20-6-238</t>
  </si>
  <si>
    <t>20L00164</t>
  </si>
  <si>
    <t>20L00162</t>
  </si>
  <si>
    <t>IB-2020-104-INFRA</t>
  </si>
  <si>
    <t>20GM0080</t>
  </si>
  <si>
    <t>20L00158</t>
  </si>
  <si>
    <t>20L00166</t>
  </si>
  <si>
    <t>IB-2020-106-INFRA</t>
  </si>
  <si>
    <t>IB-2020-103-INFRA</t>
  </si>
  <si>
    <t>IB-2020-102-INFRA</t>
  </si>
  <si>
    <t>IB-2020-105-INFRA</t>
  </si>
  <si>
    <t>IB-2020-101-INFRA</t>
  </si>
  <si>
    <t>IB-2020-100-INFRA</t>
  </si>
  <si>
    <t>IB-2020-099-INFRA</t>
  </si>
  <si>
    <t>20-125</t>
  </si>
  <si>
    <t>IB-2020-098-INFRA</t>
  </si>
  <si>
    <t>2020-G001</t>
  </si>
  <si>
    <t>IB-2020-096-INFRA</t>
  </si>
  <si>
    <t>2020-06-017B</t>
  </si>
  <si>
    <t>ADS-0970-20</t>
  </si>
  <si>
    <t>ECV-20EE0128 RE BID</t>
  </si>
  <si>
    <t>20-137</t>
  </si>
  <si>
    <t>Pr-20-01-021</t>
  </si>
  <si>
    <t>SanJoseBatsAeb2020-104</t>
  </si>
  <si>
    <t>1011-20-5-198</t>
  </si>
  <si>
    <t>1011-20-5-198B</t>
  </si>
  <si>
    <t>20-136</t>
  </si>
  <si>
    <t>20-135</t>
  </si>
  <si>
    <t>1011-20-5-198C</t>
  </si>
  <si>
    <t>1011-20-5-198E</t>
  </si>
  <si>
    <t>ADS-1353-20</t>
  </si>
  <si>
    <t>IB. NO. K-2020-063(SC)</t>
  </si>
  <si>
    <t>IB-2020-097-INFRA</t>
  </si>
  <si>
    <t>ADS-1355-20</t>
  </si>
  <si>
    <t>20IE0101</t>
  </si>
  <si>
    <t>IB. NO. K-2020-060(SC)</t>
  </si>
  <si>
    <t>ADS-1352-20</t>
  </si>
  <si>
    <t>20-131</t>
  </si>
  <si>
    <t>2020-06-020B</t>
  </si>
  <si>
    <t>PB-2020-06-037</t>
  </si>
  <si>
    <t>ADS-1354-20</t>
  </si>
  <si>
    <t>20-072A</t>
  </si>
  <si>
    <t>PB-2020-06-036</t>
  </si>
  <si>
    <t>PB-2020-06-035</t>
  </si>
  <si>
    <t>G-2020-15</t>
  </si>
  <si>
    <t>PB-2020-06-034</t>
  </si>
  <si>
    <t>PR-20-02-051</t>
  </si>
  <si>
    <t>PB-2020-06-033</t>
  </si>
  <si>
    <t>20-046A</t>
  </si>
  <si>
    <t>vict-eps20-029</t>
  </si>
  <si>
    <t>20-129</t>
  </si>
  <si>
    <t>ADS-1351-20</t>
  </si>
  <si>
    <t>20-128</t>
  </si>
  <si>
    <t>ADS-0973-20</t>
  </si>
  <si>
    <t>BLGU P2</t>
  </si>
  <si>
    <t>20-127</t>
  </si>
  <si>
    <t>IB NSCV2020-03</t>
  </si>
  <si>
    <t>IB-2020-095-INFRA</t>
  </si>
  <si>
    <t>00008308</t>
  </si>
  <si>
    <t>00008312</t>
  </si>
  <si>
    <t>2020-06-018B</t>
  </si>
  <si>
    <t>4411-20-6-239</t>
  </si>
  <si>
    <t>20L00161</t>
  </si>
  <si>
    <t>20-138</t>
  </si>
  <si>
    <t>1011-20-01-017A</t>
  </si>
  <si>
    <t>132 - 2020</t>
  </si>
  <si>
    <t>9999-20-05-005</t>
  </si>
  <si>
    <t>84-20-6-14</t>
  </si>
  <si>
    <t>20L00138</t>
  </si>
  <si>
    <t>InTB-PGA7171OPAG2020-GDS2</t>
  </si>
  <si>
    <t>20L00146</t>
  </si>
  <si>
    <t>InTB-PGA7171OPAG2020-GDS1</t>
  </si>
  <si>
    <t>20L00160</t>
  </si>
  <si>
    <t>InTB-PGAPEOROADS2020EDF-CW2</t>
  </si>
  <si>
    <t>06232020B</t>
  </si>
  <si>
    <t>06232020A</t>
  </si>
  <si>
    <t>5021306001-47-JFMR-20</t>
  </si>
  <si>
    <t>5020308000-46-JASRS-20</t>
  </si>
  <si>
    <t>20CH0074</t>
  </si>
  <si>
    <t>InTB-PGAPEO2MBP2020EDF-CW1</t>
  </si>
  <si>
    <t>GHQBAC1-PB-013-GHQ-20</t>
  </si>
  <si>
    <t>lgu padada-0020-06-24-2020</t>
  </si>
  <si>
    <t>IB 2020-036</t>
  </si>
  <si>
    <t>5020399000-45-SRSA-20</t>
  </si>
  <si>
    <t>PR# 20-06-0604</t>
  </si>
  <si>
    <t>BUE-06242020-01</t>
  </si>
  <si>
    <t>IB 2020-035</t>
  </si>
  <si>
    <t>Civil Works 022-2020</t>
  </si>
  <si>
    <t>100-2020-Infra-375</t>
  </si>
  <si>
    <t>1101-20-03-134</t>
  </si>
  <si>
    <t>2020-06-019B</t>
  </si>
  <si>
    <t>ITB No. G12-03-2020</t>
  </si>
  <si>
    <t>bagong silang 3 pr1</t>
  </si>
  <si>
    <t>1011-20-6-235A</t>
  </si>
  <si>
    <t>MSDS-6-2020-G8</t>
  </si>
  <si>
    <t>06-24-2020-231</t>
  </si>
  <si>
    <t>ITB No. G11-03-2020</t>
  </si>
  <si>
    <t>PR. NO. 2020060722</t>
  </si>
  <si>
    <t>INFRASIB-2020-11</t>
  </si>
  <si>
    <t>20-06-08-PO</t>
  </si>
  <si>
    <t>06-24-2020-230</t>
  </si>
  <si>
    <t>GEPS-2020-0624</t>
  </si>
  <si>
    <t>INFRASIB-2020-10</t>
  </si>
  <si>
    <t>GHQBAC1-PB-018-GHQ-20</t>
  </si>
  <si>
    <t>2020-06-0126</t>
  </si>
  <si>
    <t>19</t>
  </si>
  <si>
    <t>2020-63</t>
  </si>
  <si>
    <t>ADS-0965-20</t>
  </si>
  <si>
    <t>MG-A7T20-052</t>
  </si>
  <si>
    <t>120</t>
  </si>
  <si>
    <t>INFRASIB-2020-12</t>
  </si>
  <si>
    <t>20GIB0035</t>
  </si>
  <si>
    <t>lgu padada-0021-06-24-2020</t>
  </si>
  <si>
    <t>100(18)20-06-357(O)</t>
  </si>
  <si>
    <t>GOODS 2020-06-PLA005</t>
  </si>
  <si>
    <t>20</t>
  </si>
  <si>
    <t>2020-05-11</t>
  </si>
  <si>
    <t>chitongco 2020-02</t>
  </si>
  <si>
    <t>G-PGO-048-20</t>
  </si>
  <si>
    <t>B-91-2020</t>
  </si>
  <si>
    <t>PR No. 20-1060</t>
  </si>
  <si>
    <t>lgu padada-0022-06-24-2020</t>
  </si>
  <si>
    <t>20200624-001</t>
  </si>
  <si>
    <t>PB-INF-001-2020</t>
  </si>
  <si>
    <t>20GIE0010</t>
  </si>
  <si>
    <t>PB-G-001-2020</t>
  </si>
  <si>
    <t>5020399000-43-JRSA-20</t>
  </si>
  <si>
    <t>5020399000-44-ARSA-20</t>
  </si>
  <si>
    <t>ITB No. I31-03-2020</t>
  </si>
  <si>
    <t>0624202001</t>
  </si>
  <si>
    <t>20PL0122</t>
  </si>
  <si>
    <t>21</t>
  </si>
  <si>
    <t>Infra-2020-10</t>
  </si>
  <si>
    <t>038-20</t>
  </si>
  <si>
    <t>2020-032</t>
  </si>
  <si>
    <t>00063</t>
  </si>
  <si>
    <t>BF 2020-001</t>
  </si>
  <si>
    <t>INFRASIB-2020-14</t>
  </si>
  <si>
    <t>QES-06-024-20</t>
  </si>
  <si>
    <t>DepED-RO6-D1- “TNHS” PURCHASE OF TRANSFORMER FOR J</t>
  </si>
  <si>
    <t>20PL0123</t>
  </si>
  <si>
    <t>NS-06-25-20-02</t>
  </si>
  <si>
    <t>2020-06-24-01</t>
  </si>
  <si>
    <t>PN 2020-13</t>
  </si>
  <si>
    <t>INFRA 2020-12</t>
  </si>
  <si>
    <t>ITB No. I28-03-2020</t>
  </si>
  <si>
    <t>Infra-2020-09</t>
  </si>
  <si>
    <t>0624202002</t>
  </si>
  <si>
    <t>20-ICT1</t>
  </si>
  <si>
    <t>Tubod 2020-06-002</t>
  </si>
  <si>
    <t>N2FB-310-2019(2020)</t>
  </si>
  <si>
    <t>PR. NO. 2020060723</t>
  </si>
  <si>
    <t>GOODSIB-2020-03</t>
  </si>
  <si>
    <t>2020-06-24</t>
  </si>
  <si>
    <t>2020-06-312-ME</t>
  </si>
  <si>
    <t>ITB No. I30-03-2020</t>
  </si>
  <si>
    <t>52</t>
  </si>
  <si>
    <t>GOODS-06-24-2020-01</t>
  </si>
  <si>
    <t>Goods - 2020 - 09</t>
  </si>
  <si>
    <t>50</t>
  </si>
  <si>
    <t>129 - 2020</t>
  </si>
  <si>
    <t>20CN0101</t>
  </si>
  <si>
    <t>20GKE0006 Lot2</t>
  </si>
  <si>
    <t>20CN0154</t>
  </si>
  <si>
    <t>PN 11-2020</t>
  </si>
  <si>
    <t>ITB No. 2020-09</t>
  </si>
  <si>
    <t>20CN0153</t>
  </si>
  <si>
    <t>VS-2020-029</t>
  </si>
  <si>
    <t>CHMSC 20-021-0624-G</t>
  </si>
  <si>
    <t>G-PGO-049-20</t>
  </si>
  <si>
    <t>PRN-614-2019</t>
  </si>
  <si>
    <t>20GKE0006 Lot1</t>
  </si>
  <si>
    <t>PRN-489-2019</t>
  </si>
  <si>
    <t>2020-06-12</t>
  </si>
  <si>
    <t>121</t>
  </si>
  <si>
    <t>BQ-Infra-2020-015</t>
  </si>
  <si>
    <t>PRN-615-2019</t>
  </si>
  <si>
    <t>20IF0139</t>
  </si>
  <si>
    <t>MKWD2020-054</t>
  </si>
  <si>
    <t>20GIE0012</t>
  </si>
  <si>
    <t>GOODS-2020-46-2ND</t>
  </si>
  <si>
    <t>HILONGOS 2020-188</t>
  </si>
  <si>
    <t>2020-0624-1</t>
  </si>
  <si>
    <t>ITB-2020-15</t>
  </si>
  <si>
    <t>MAPULO2020-002</t>
  </si>
  <si>
    <t>UPLB-RQ-6-133-20-I GENERAL CONTRACTOR</t>
  </si>
  <si>
    <t>BQ-Infra-2020-017</t>
  </si>
  <si>
    <t>ITB-0624 #2 Package 59</t>
  </si>
  <si>
    <t>20200624</t>
  </si>
  <si>
    <t>20GIE0013</t>
  </si>
  <si>
    <t>300-20-05-0496</t>
  </si>
  <si>
    <t>ADS-0961-20</t>
  </si>
  <si>
    <t>ITB-0624 #1 Package 58</t>
  </si>
  <si>
    <t>CID NO. 20IF0140</t>
  </si>
  <si>
    <t>20GIJ-0002</t>
  </si>
  <si>
    <t>20053460</t>
  </si>
  <si>
    <t>ITB2020-07-03</t>
  </si>
  <si>
    <t>BQ-Infra-2020-016</t>
  </si>
  <si>
    <t>G-PPDO-050-20</t>
  </si>
  <si>
    <t>BQ-Infra-2020-019</t>
  </si>
  <si>
    <t>ADS-0960-20</t>
  </si>
  <si>
    <t>ADS-0958-20</t>
  </si>
  <si>
    <t>2020-06-0128</t>
  </si>
  <si>
    <t>023-2020 PES Printing of Tarpaulin</t>
  </si>
  <si>
    <t>20063692</t>
  </si>
  <si>
    <t>P. R. No. 2020-0366</t>
  </si>
  <si>
    <t>2020-0624-2</t>
  </si>
  <si>
    <t>Infra-20-09</t>
  </si>
  <si>
    <t>100-2002-141-GF</t>
  </si>
  <si>
    <t>ITB2020-07-01 TAGBUBUNGA</t>
  </si>
  <si>
    <t>HFW-2020-06-0216</t>
  </si>
  <si>
    <t>BQ-Infra-2020-018</t>
  </si>
  <si>
    <t>20063834</t>
  </si>
  <si>
    <t>ADS-0959-20</t>
  </si>
  <si>
    <t>20063836</t>
  </si>
  <si>
    <t>LGU PR. No.  101-186 dated  June 1, 2020</t>
  </si>
  <si>
    <t>2020-0028</t>
  </si>
  <si>
    <t>100-2020-006-023</t>
  </si>
  <si>
    <t>20CB-GSC-365 PURCHASE OF DRUGS AND MEDICINES FOR D</t>
  </si>
  <si>
    <t>025-2020 PES Purchase of Office Supplies 2020-Supp</t>
  </si>
  <si>
    <t>026-2020 PES Purchase of Printer (Epson) 2020-Supp</t>
  </si>
  <si>
    <t>SanJoseBatsAeb2020-096</t>
  </si>
  <si>
    <t>20FN0102</t>
  </si>
  <si>
    <t>20AH0214</t>
  </si>
  <si>
    <t>01P-2020</t>
  </si>
  <si>
    <t>20CB-GSC-367 PURCHASE OF MEDICAL DENTAL &amp; LABORATO</t>
  </si>
  <si>
    <t>INFRA2020-AG2-007 Supply of Labor and Materials fo</t>
  </si>
  <si>
    <t>20CB-GSC-366 PURCHASE OF VARIOUS MEDICAL, DENTAL &amp;</t>
  </si>
  <si>
    <t>20021479</t>
  </si>
  <si>
    <t>SanJoseBatsAeb2020-098</t>
  </si>
  <si>
    <t>343-2020</t>
  </si>
  <si>
    <t>2020-06-23</t>
  </si>
  <si>
    <t>000</t>
  </si>
  <si>
    <t>20CB-GSC-368 PURCHASE OF ANTIBACTERIALS (PARENTERA</t>
  </si>
  <si>
    <t>BCS-2020-0139</t>
  </si>
  <si>
    <t>20CJ0154</t>
  </si>
  <si>
    <t>SanJoseBatsAeb2020-097</t>
  </si>
  <si>
    <t>2020-0031</t>
  </si>
  <si>
    <t>PR#20-085</t>
  </si>
  <si>
    <t>GOODS-2020-06-08</t>
  </si>
  <si>
    <t>ITB (CW-06-2020-021) 20DD0359</t>
  </si>
  <si>
    <t>20KD0065</t>
  </si>
  <si>
    <t>20AH0217</t>
  </si>
  <si>
    <t>20AH0216</t>
  </si>
  <si>
    <t>IB No. 2020-038</t>
  </si>
  <si>
    <t>20LF0143</t>
  </si>
  <si>
    <t>2020-0029</t>
  </si>
  <si>
    <t>20FN0104</t>
  </si>
  <si>
    <t>ITB 2020-19</t>
  </si>
  <si>
    <t>2020-06-25</t>
  </si>
  <si>
    <t>350-2020</t>
  </si>
  <si>
    <t>20AH0215</t>
  </si>
  <si>
    <t>20063835</t>
  </si>
  <si>
    <t>ITB (CW-06-2020-021) 20DD0361</t>
  </si>
  <si>
    <t>SB-2020-013</t>
  </si>
  <si>
    <t>GOODS 2020-04</t>
  </si>
  <si>
    <t>PR#20-087</t>
  </si>
  <si>
    <t>TAG-SDS-058-2020</t>
  </si>
  <si>
    <t>20063773</t>
  </si>
  <si>
    <t>BAC 2020-72</t>
  </si>
  <si>
    <t>2020-0032</t>
  </si>
  <si>
    <t>GOODS-2020-06-09</t>
  </si>
  <si>
    <t>ITB (CW-06-2020-021) 20DD0360</t>
  </si>
  <si>
    <t>20BH0143</t>
  </si>
  <si>
    <t>2020-06-26</t>
  </si>
  <si>
    <t>ITB (CW-06-2020-021) 20DD0367</t>
  </si>
  <si>
    <t>20LF0144</t>
  </si>
  <si>
    <t>2020-06-243</t>
  </si>
  <si>
    <t>PR#20-086</t>
  </si>
  <si>
    <t>ITB (CW-06-2020-021) 20DD0368</t>
  </si>
  <si>
    <t>ITB (CW-06-2020-021) 20DD0365</t>
  </si>
  <si>
    <t>ITB (CW-06-2020-021) 20DD0366</t>
  </si>
  <si>
    <t>ITB (CW-06-2020-021) 20DD0364</t>
  </si>
  <si>
    <t>GEN-8918-11-2020</t>
  </si>
  <si>
    <t>20FO0103</t>
  </si>
  <si>
    <t>ITB (CW-06-2020-021) 20DD0363</t>
  </si>
  <si>
    <t>2020-ANT-GOODS-0117</t>
  </si>
  <si>
    <t>20063670</t>
  </si>
  <si>
    <t>TAG-SDS-059-2020</t>
  </si>
  <si>
    <t>2020-41</t>
  </si>
  <si>
    <t>PR#20-088</t>
  </si>
  <si>
    <t>ITB (CW-06-2020-021) 20DD0362</t>
  </si>
  <si>
    <t>100-20-06-78</t>
  </si>
  <si>
    <t>PR#20-084</t>
  </si>
  <si>
    <t>SB-2020-022</t>
  </si>
  <si>
    <t>2020-06-257</t>
  </si>
  <si>
    <t>ITB 2020-06-035(GOODS)</t>
  </si>
  <si>
    <t>NO 2020-012</t>
  </si>
  <si>
    <t>56</t>
  </si>
  <si>
    <t>ITB (CW-06-2020-021) 20DD0372</t>
  </si>
  <si>
    <t>PB-2020- 003</t>
  </si>
  <si>
    <t>Lgn1-SVP2020-07-0012</t>
  </si>
  <si>
    <t>ITB (CW-06-2020-021) 20DD0371</t>
  </si>
  <si>
    <t>REI-06-24-2020</t>
  </si>
  <si>
    <t>20HJ0119</t>
  </si>
  <si>
    <t>TAG-SDS-061-2020</t>
  </si>
  <si>
    <t>55</t>
  </si>
  <si>
    <t>REF #043-06-2020</t>
  </si>
  <si>
    <t>2020-4</t>
  </si>
  <si>
    <t>ITB (CW-06-2020-021) 20DD0369</t>
  </si>
  <si>
    <t>NO 2020-011</t>
  </si>
  <si>
    <t>2003-55</t>
  </si>
  <si>
    <t>BCS-2020-0138</t>
  </si>
  <si>
    <t>INFRA2020-AG6-008 A6 Construction of Concrete Barr</t>
  </si>
  <si>
    <t>20CG0160</t>
  </si>
  <si>
    <t>57</t>
  </si>
  <si>
    <t>20NI0078</t>
  </si>
  <si>
    <t>20063653</t>
  </si>
  <si>
    <t>ITB (CW-06-2020-021) 20DD0375</t>
  </si>
  <si>
    <t>Lgn1-20-DH-0086</t>
  </si>
  <si>
    <t>2020-5</t>
  </si>
  <si>
    <t>REI-001-2020</t>
  </si>
  <si>
    <t>ITB (CW-06-2020-021) 20DD0376</t>
  </si>
  <si>
    <t>2021-01M03</t>
  </si>
  <si>
    <t>20063683</t>
  </si>
  <si>
    <t>122</t>
  </si>
  <si>
    <t>Lgn1-20-DH-0087</t>
  </si>
  <si>
    <t>Goods-2020-PB-O2</t>
  </si>
  <si>
    <t>ITB (CW-06-2020-021) 20DD0370</t>
  </si>
  <si>
    <t>20NI0080</t>
  </si>
  <si>
    <t>20GFC0021</t>
  </si>
  <si>
    <t>20CG0159</t>
  </si>
  <si>
    <t>GOODS-04-2020</t>
  </si>
  <si>
    <t>SN20-06-653</t>
  </si>
  <si>
    <t>ABS-01-06-20-GOODS</t>
  </si>
  <si>
    <t>ITB 2020-20</t>
  </si>
  <si>
    <t>20NI0079</t>
  </si>
  <si>
    <t>ITB (CW-06-2020-021) 20DD0374</t>
  </si>
  <si>
    <t>20BH0145</t>
  </si>
  <si>
    <t>ITB 07-06-2020</t>
  </si>
  <si>
    <t>20LF0145</t>
  </si>
  <si>
    <t>ITB NO. OCD 2020-07 (REPOSTING)</t>
  </si>
  <si>
    <t>ITB 07-03-2020</t>
  </si>
  <si>
    <t>2020-06-0130</t>
  </si>
  <si>
    <t>ITB 07-04-2020</t>
  </si>
  <si>
    <t>BLGU Kaligutan 2020-006-002</t>
  </si>
  <si>
    <t>OC-67(DEPED-02) 20 GD</t>
  </si>
  <si>
    <t>SB-2020-024</t>
  </si>
  <si>
    <t>Lgn1-20-DH-0089</t>
  </si>
  <si>
    <t>ABC20-06-002</t>
  </si>
  <si>
    <t>ITB 07-05-2020</t>
  </si>
  <si>
    <t>PB-07162020-B</t>
  </si>
  <si>
    <t>20GFC0022</t>
  </si>
  <si>
    <t>20GFC0023</t>
  </si>
  <si>
    <t>PB-07162020-C</t>
  </si>
  <si>
    <t>BFPRHQSR4A-081</t>
  </si>
  <si>
    <t>ITB NO. OCD 2020-11</t>
  </si>
  <si>
    <t>20-06-013-X</t>
  </si>
  <si>
    <t>ITB 07-08-2020</t>
  </si>
  <si>
    <t>20CG0173</t>
  </si>
  <si>
    <t>BRGY 006-2020</t>
  </si>
  <si>
    <t>20CG0171</t>
  </si>
  <si>
    <t>20CG0170</t>
  </si>
  <si>
    <t>123</t>
  </si>
  <si>
    <t>20CG0172</t>
  </si>
  <si>
    <t>20CG0167</t>
  </si>
  <si>
    <t>20CG0169</t>
  </si>
  <si>
    <t>20-06-0131</t>
  </si>
  <si>
    <t>20CG0168</t>
  </si>
  <si>
    <t>20CG0166</t>
  </si>
  <si>
    <t>20CG0163</t>
  </si>
  <si>
    <t>20CG0165</t>
  </si>
  <si>
    <t>06242020</t>
  </si>
  <si>
    <t>IB NO. 2020– 058/ JJL</t>
  </si>
  <si>
    <t>juneinfra04</t>
  </si>
  <si>
    <t>IB NO. 2020 – 059/ JJL</t>
  </si>
  <si>
    <t>2020-0068</t>
  </si>
  <si>
    <t>AGGDS2020-0625</t>
  </si>
  <si>
    <t>ITB 07-02-2020</t>
  </si>
  <si>
    <t>2020-06-084</t>
  </si>
  <si>
    <t>G-2020-18</t>
  </si>
  <si>
    <t>20LF0147</t>
  </si>
  <si>
    <t>G-2020-17</t>
  </si>
  <si>
    <t>RDD CW-2019 LGSF-01</t>
  </si>
  <si>
    <t>20GFC0025</t>
  </si>
  <si>
    <t>20CG0176</t>
  </si>
  <si>
    <t>ITB PR 0473</t>
  </si>
  <si>
    <t>BAC-HO-GS No. 2020-0240 dated 27 May 2020 (FMED)</t>
  </si>
  <si>
    <t>PW-20-17</t>
  </si>
  <si>
    <t>20CG0177</t>
  </si>
  <si>
    <t>PG-20-56</t>
  </si>
  <si>
    <t>20CG0164</t>
  </si>
  <si>
    <t>Public Bidding No. 2020-016</t>
  </si>
  <si>
    <t>CID No. 20IO0091</t>
  </si>
  <si>
    <t>SES 2020_016</t>
  </si>
  <si>
    <t>PG-20-57</t>
  </si>
  <si>
    <t>SES 2020_014</t>
  </si>
  <si>
    <t>20CG0174</t>
  </si>
  <si>
    <t>SES 2020_017</t>
  </si>
  <si>
    <t>06-2020-961</t>
  </si>
  <si>
    <t>BG2019-151</t>
  </si>
  <si>
    <t>31</t>
  </si>
  <si>
    <t>katipunan062420</t>
  </si>
  <si>
    <t>BG2020-110</t>
  </si>
  <si>
    <t>20CG0175</t>
  </si>
  <si>
    <t>SES 2020_013</t>
  </si>
  <si>
    <t>PB-07162020-D</t>
  </si>
  <si>
    <t>SES 2020_015</t>
  </si>
  <si>
    <t>20GFC0024</t>
  </si>
  <si>
    <t>ITB 07-07-2020</t>
  </si>
  <si>
    <t>20GFB04</t>
  </si>
  <si>
    <t>PB-07162020-A</t>
  </si>
  <si>
    <t>20-06-214</t>
  </si>
  <si>
    <t>INFRA-03-2020</t>
  </si>
  <si>
    <t>20-06-023</t>
  </si>
  <si>
    <t>2020-06-031</t>
  </si>
  <si>
    <t>Lgn1-20-DH-0088</t>
  </si>
  <si>
    <t>20CG0161</t>
  </si>
  <si>
    <t>20CG0162</t>
  </si>
  <si>
    <t>20032279</t>
  </si>
  <si>
    <t>BLGU Kaligutan 2020-006-001</t>
  </si>
  <si>
    <t>20BH0144</t>
  </si>
  <si>
    <t>20NI0077</t>
  </si>
  <si>
    <t>BFPRHQSR4A-082</t>
  </si>
  <si>
    <t>SB-2020-023</t>
  </si>
  <si>
    <t>20LF0146</t>
  </si>
  <si>
    <t>ITB (CW-06-2020-021) 20DD0373</t>
  </si>
  <si>
    <t>ITB 07-01-2020</t>
  </si>
  <si>
    <t>2020-02-0281</t>
  </si>
  <si>
    <t>ITB# 109-2020 Other Supplies and Materials Expense</t>
  </si>
  <si>
    <t>ITB# 106-2020 Other Supplies and Materials Expense</t>
  </si>
  <si>
    <t>ABC20-06-003</t>
  </si>
  <si>
    <t>ITB# 105-2020 Medical, Dental &amp; Laboratory Supplie</t>
  </si>
  <si>
    <t>ITB# 103-2020 Medical, Dental &amp; Laboratory Supplie</t>
  </si>
  <si>
    <t>ITB# 110-2020 Other Supplies and Materials Expense</t>
  </si>
  <si>
    <t>ITB# 108-2020 Other Supplies and Materials Expense</t>
  </si>
  <si>
    <t>ITB# 107-2020 Other Supplies and Materials Expense</t>
  </si>
  <si>
    <t>SJADS GOODS 20-09</t>
  </si>
  <si>
    <t>2020-6</t>
  </si>
  <si>
    <t>ITB# 104-2020 Medical, Dental &amp; Laboratory Supplie</t>
  </si>
  <si>
    <t>Adv. 20-045</t>
  </si>
  <si>
    <t>Adv. 20-044</t>
  </si>
  <si>
    <t>GOODS 2020-020</t>
  </si>
  <si>
    <t>Adv. 20-043</t>
  </si>
  <si>
    <t>SJADS INFRA 20-03</t>
  </si>
  <si>
    <t>ITB No. 20-06-14</t>
  </si>
  <si>
    <t>SJADS GOODS 20-08</t>
  </si>
  <si>
    <t>20CSM00101</t>
  </si>
  <si>
    <t>BTG3-20GDC0004 (Readvertised)</t>
  </si>
  <si>
    <t>Public Bidding No. 2019-01</t>
  </si>
  <si>
    <t>20CG0158</t>
  </si>
  <si>
    <t>PB NO. 2020-042</t>
  </si>
  <si>
    <t>GOODS 2020-06-004</t>
  </si>
  <si>
    <t>024-2020 PES Purchase of Mobile Load Card 2020-Sup</t>
  </si>
  <si>
    <t>20-ICT2</t>
  </si>
  <si>
    <t>I.B. No. 2020-0030</t>
  </si>
  <si>
    <t>Public Bidding No. 2020-017</t>
  </si>
  <si>
    <t>cgb2020-219</t>
  </si>
  <si>
    <t>BPB 2020-017</t>
  </si>
  <si>
    <t>cgb2020-221</t>
  </si>
  <si>
    <t>cgb2020-218</t>
  </si>
  <si>
    <t>labequip_pigproject</t>
  </si>
  <si>
    <t>cgb2020-217</t>
  </si>
  <si>
    <t>cgb2020-216</t>
  </si>
  <si>
    <t>cgb2020-220</t>
  </si>
  <si>
    <t>antique_rebid2020</t>
  </si>
  <si>
    <t>cgb2020-215</t>
  </si>
  <si>
    <t>cgb2020-213</t>
  </si>
  <si>
    <t>cgb2020-211</t>
  </si>
  <si>
    <t>cgb2020-210</t>
  </si>
  <si>
    <t>SDH-20-0734-B</t>
  </si>
  <si>
    <t>ln2_2020</t>
  </si>
  <si>
    <t>Re-Adv. No. 20-039</t>
  </si>
  <si>
    <t>cgb2020-214</t>
  </si>
  <si>
    <t>SDH-20-0735-B</t>
  </si>
  <si>
    <t>Sumalili DILP 001</t>
  </si>
  <si>
    <t>cgb2020-224</t>
  </si>
  <si>
    <t>cgb2020-212</t>
  </si>
  <si>
    <t>Adv. 20-054</t>
  </si>
  <si>
    <t>Adv. 20-052</t>
  </si>
  <si>
    <t>cgb2020-225</t>
  </si>
  <si>
    <t>Adv. 20-051</t>
  </si>
  <si>
    <t>ITB No. 20-06-15</t>
  </si>
  <si>
    <t>Adv. 20-050</t>
  </si>
  <si>
    <t>Adv. 20-049</t>
  </si>
  <si>
    <t>20FD0068</t>
  </si>
  <si>
    <t>20FD0067</t>
  </si>
  <si>
    <t>ITB# 111-2020 Other Supplies and Materials Expense</t>
  </si>
  <si>
    <t>ITB No. 080-Goods-2020</t>
  </si>
  <si>
    <t>20FF0100</t>
  </si>
  <si>
    <t>Adv. 20-055</t>
  </si>
  <si>
    <t>ITB No. 2020-13</t>
  </si>
  <si>
    <t>20DL0222</t>
  </si>
  <si>
    <t>Adv. 20-053</t>
  </si>
  <si>
    <t>20FD0066</t>
  </si>
  <si>
    <t>20DL0220</t>
  </si>
  <si>
    <t>DA7-07-FOD-R-20-2127 (R1)</t>
  </si>
  <si>
    <t>cgb2020-229</t>
  </si>
  <si>
    <t>cgb2020-227</t>
  </si>
  <si>
    <t>20DL0221</t>
  </si>
  <si>
    <t>SIC-98-2020-PRDP-RPCO 1</t>
  </si>
  <si>
    <t>20HH0141</t>
  </si>
  <si>
    <t>SIC-97-2020-PRDP-RPCO 1</t>
  </si>
  <si>
    <t>047</t>
  </si>
  <si>
    <t>046</t>
  </si>
  <si>
    <t>GTO-2020-57</t>
  </si>
  <si>
    <t>PB2020-04</t>
  </si>
  <si>
    <t>00041-20-0204-0144</t>
  </si>
  <si>
    <t>SIC-96-2020-PRDP-RPCO 1</t>
  </si>
  <si>
    <t>20HH0144</t>
  </si>
  <si>
    <t>cgb2020-228</t>
  </si>
  <si>
    <t>20-05-0265</t>
  </si>
  <si>
    <t>2020-062-15-7</t>
  </si>
  <si>
    <t>20-05-0266</t>
  </si>
  <si>
    <t>2020-062-15-9</t>
  </si>
  <si>
    <t>2020-062-15-8</t>
  </si>
  <si>
    <t>2020-06-0255</t>
  </si>
  <si>
    <t>2020-062-15-6</t>
  </si>
  <si>
    <t>2020-324</t>
  </si>
  <si>
    <t>20GA0226</t>
  </si>
  <si>
    <t>000187</t>
  </si>
  <si>
    <t>2020-062-15-5</t>
  </si>
  <si>
    <t>2020-062-15-4</t>
  </si>
  <si>
    <t>2020-062-15-3</t>
  </si>
  <si>
    <t>NS-06-24-20-02</t>
  </si>
  <si>
    <t>114-2020</t>
  </si>
  <si>
    <t>20GOH0004</t>
  </si>
  <si>
    <t>NS-06-24-20-01</t>
  </si>
  <si>
    <t>2020-06-04B</t>
  </si>
  <si>
    <t>2020-062-15-1</t>
  </si>
  <si>
    <t>20HH0142</t>
  </si>
  <si>
    <t>2020 AIP (General Fund) G-07-06162020</t>
  </si>
  <si>
    <t>20HH0143</t>
  </si>
  <si>
    <t>00130-2020</t>
  </si>
  <si>
    <t>PR No. 2006-135</t>
  </si>
  <si>
    <t>GOODS-030-2020</t>
  </si>
  <si>
    <t>PB 06-06-2020</t>
  </si>
  <si>
    <t>2020-06-016B</t>
  </si>
  <si>
    <t>PBgoods018-2020</t>
  </si>
  <si>
    <t>INFRA20200002</t>
  </si>
  <si>
    <t>2020-062-15-12</t>
  </si>
  <si>
    <t>062320</t>
  </si>
  <si>
    <t>INFR-024-2020</t>
  </si>
  <si>
    <t>NS-06-24-20-04</t>
  </si>
  <si>
    <t>'024</t>
  </si>
  <si>
    <t>20-06-00394</t>
  </si>
  <si>
    <t>LF 2020-027</t>
  </si>
  <si>
    <t>LGU-115-2020</t>
  </si>
  <si>
    <t>2020-062-15-2</t>
  </si>
  <si>
    <t>20-06-00391</t>
  </si>
  <si>
    <t>DAR-PANG-010-2020</t>
  </si>
  <si>
    <t>2020-43</t>
  </si>
  <si>
    <t>00129-2020</t>
  </si>
  <si>
    <t>2020 AIP (General Fund) G-08-06162020</t>
  </si>
  <si>
    <t>ITB No. GOODS-20-115</t>
  </si>
  <si>
    <t>20CN0067</t>
  </si>
  <si>
    <t>GDS-44</t>
  </si>
  <si>
    <t>0034/June/20</t>
  </si>
  <si>
    <t>PRDP-IR-R013-SDN-002-000-000-2016-R2</t>
  </si>
  <si>
    <t>MED-SUP-2020-002</t>
  </si>
  <si>
    <t>DOH4A-ITB-2020-GS-009A</t>
  </si>
  <si>
    <t>20OD0194</t>
  </si>
  <si>
    <t>DENR-NCR, PR No. 2020-148 dtd 03/09/2020</t>
  </si>
  <si>
    <t>20CN0066</t>
  </si>
  <si>
    <t>FUEL-SUP-2020-002</t>
  </si>
  <si>
    <t>GTO-2020-53</t>
  </si>
  <si>
    <t>06-2020-23</t>
  </si>
  <si>
    <t>ITB2020-07-01 BALITE</t>
  </si>
  <si>
    <t>PB039-20</t>
  </si>
  <si>
    <t>HILONGOS 2020-187</t>
  </si>
  <si>
    <t>20DL0224</t>
  </si>
  <si>
    <t>'023</t>
  </si>
  <si>
    <t>20DL0223</t>
  </si>
  <si>
    <t>2020-ODY-06-188</t>
  </si>
  <si>
    <t>GTO-2020-55</t>
  </si>
  <si>
    <t>ITB2020 -07-01</t>
  </si>
  <si>
    <t>20OD0198</t>
  </si>
  <si>
    <t>GTO-2020-54</t>
  </si>
  <si>
    <t>20CN0070</t>
  </si>
  <si>
    <t>Nasugbu ITB 20-08</t>
  </si>
  <si>
    <t>2020-06-015B</t>
  </si>
  <si>
    <t>LF 2020-028</t>
  </si>
  <si>
    <t>20CN0124</t>
  </si>
  <si>
    <t>2020-02-0376</t>
  </si>
  <si>
    <t>20CN0123</t>
  </si>
  <si>
    <t>20CN0075</t>
  </si>
  <si>
    <t>20CN0073</t>
  </si>
  <si>
    <t>20OD0197</t>
  </si>
  <si>
    <t>2020-062-15-14</t>
  </si>
  <si>
    <t>Competitive Bidding 2020-21</t>
  </si>
  <si>
    <t>06-23-07</t>
  </si>
  <si>
    <t>20CN0071</t>
  </si>
  <si>
    <t>06-23-06</t>
  </si>
  <si>
    <t>2020-05-13</t>
  </si>
  <si>
    <t>20OD0199</t>
  </si>
  <si>
    <t>20CN0072</t>
  </si>
  <si>
    <t>RE-ITB-2020-002</t>
  </si>
  <si>
    <t>GOODS 2020-016</t>
  </si>
  <si>
    <t>GTO-2020-56</t>
  </si>
  <si>
    <t>20OD0196</t>
  </si>
  <si>
    <t>2020-062-15-13</t>
  </si>
  <si>
    <t>ITB (CW-06-2020-020) 20DD0350</t>
  </si>
  <si>
    <t>20CN0069</t>
  </si>
  <si>
    <t>PR#2020-06-001-E</t>
  </si>
  <si>
    <t>2020-06-349</t>
  </si>
  <si>
    <t>Pembo 20-06-067</t>
  </si>
  <si>
    <t>026</t>
  </si>
  <si>
    <t>06-23-05</t>
  </si>
  <si>
    <t>PR. NO. 2020060699</t>
  </si>
  <si>
    <t>20CN0074</t>
  </si>
  <si>
    <t>GS-PNBAC2-2020-31</t>
  </si>
  <si>
    <t>Pembo 20-06-068</t>
  </si>
  <si>
    <t>ITB (CW-06-2020-020) 20DD0304 (Re-Advertised)</t>
  </si>
  <si>
    <t>ITB (CW-06-2020-020) 20DD0349</t>
  </si>
  <si>
    <t>BOLO LABRADOR -06-01</t>
  </si>
  <si>
    <t>20FB0156</t>
  </si>
  <si>
    <t>BAC 06/23/20-01</t>
  </si>
  <si>
    <t>20KK0128</t>
  </si>
  <si>
    <t>ITB (CW-06-2020-020) 20DD0355</t>
  </si>
  <si>
    <t>ITB (CW-06-2020-020) 20DD0354</t>
  </si>
  <si>
    <t>2020-0023</t>
  </si>
  <si>
    <t>20-06-17A</t>
  </si>
  <si>
    <t>026-FTC 2020</t>
  </si>
  <si>
    <t>PBI-2020-13</t>
  </si>
  <si>
    <t>ITB (CW-06-2020-020) 20DD0353</t>
  </si>
  <si>
    <t>2020-062-15-16</t>
  </si>
  <si>
    <t>2020-0021</t>
  </si>
  <si>
    <t>ITB (CW-06-2020-020) 20DD0352</t>
  </si>
  <si>
    <t>2020-062-15-15</t>
  </si>
  <si>
    <t>PR. NO. 2020060698</t>
  </si>
  <si>
    <t>2020-0022</t>
  </si>
  <si>
    <t>ITB (CW-06-2020-020) 20DD0351</t>
  </si>
  <si>
    <t>BAC 06/23/20-02</t>
  </si>
  <si>
    <t>2020-062-15-20</t>
  </si>
  <si>
    <t>2020-05-14</t>
  </si>
  <si>
    <t>2020-062-15-19</t>
  </si>
  <si>
    <t>20GCI0003</t>
  </si>
  <si>
    <t>GF-I-40-2020</t>
  </si>
  <si>
    <t>025-FTC 2020</t>
  </si>
  <si>
    <t>2020-05-17</t>
  </si>
  <si>
    <t>20GCI0002</t>
  </si>
  <si>
    <t>2020-062-15-18</t>
  </si>
  <si>
    <t>19GC00091</t>
  </si>
  <si>
    <t>Aklan BAC ITB 364 Series of 2020</t>
  </si>
  <si>
    <t>BAC3-NIH-IHG-PR10402</t>
  </si>
  <si>
    <t>20-01.048</t>
  </si>
  <si>
    <t>6-23-20</t>
  </si>
  <si>
    <t>2020-05-16</t>
  </si>
  <si>
    <t>2020-062-15-17</t>
  </si>
  <si>
    <t>G-2020-04</t>
  </si>
  <si>
    <t>ITB (CW-06-2020-020) 20DD0356</t>
  </si>
  <si>
    <t>Goods-ETG-20-06-013</t>
  </si>
  <si>
    <t>2020-0020</t>
  </si>
  <si>
    <t>ITB (CW-06-2020-020) 20DD0358</t>
  </si>
  <si>
    <t>G-2020-05</t>
  </si>
  <si>
    <t>PR No. 20-1036</t>
  </si>
  <si>
    <t>LGU-LEZO-2020-010</t>
  </si>
  <si>
    <t>20-06-16A</t>
  </si>
  <si>
    <t>2020-062-15-22</t>
  </si>
  <si>
    <t>MH-GOODS-TLDC-SC-AGRI-SUPPLY-685</t>
  </si>
  <si>
    <t>028-FTC 2020</t>
  </si>
  <si>
    <t>ITB (CW-06-2020-020) 20DD0357</t>
  </si>
  <si>
    <t>20M00080</t>
  </si>
  <si>
    <t>2020-06-352</t>
  </si>
  <si>
    <t>GOODS 2020-04(PB)</t>
  </si>
  <si>
    <t>20KK0130</t>
  </si>
  <si>
    <t>SJ-20-164</t>
  </si>
  <si>
    <t>BAC3-NIH-IHG-PR10897</t>
  </si>
  <si>
    <t>20KK0129</t>
  </si>
  <si>
    <t>20-06-0946</t>
  </si>
  <si>
    <t>20GKD0003</t>
  </si>
  <si>
    <t>2020-062-15-21</t>
  </si>
  <si>
    <t>2020-062-15-26</t>
  </si>
  <si>
    <t>027-FTC 2020</t>
  </si>
  <si>
    <t>20G00102</t>
  </si>
  <si>
    <t>Q-098-20</t>
  </si>
  <si>
    <t>PG-20-55</t>
  </si>
  <si>
    <t>2020-062-15-25</t>
  </si>
  <si>
    <t>OSG-020-06-064</t>
  </si>
  <si>
    <t>2020-06-264</t>
  </si>
  <si>
    <t>19-20</t>
  </si>
  <si>
    <t>PG-20-50</t>
  </si>
  <si>
    <t>20-03-010</t>
  </si>
  <si>
    <t>2020-062-15-24</t>
  </si>
  <si>
    <t>PG-20-64</t>
  </si>
  <si>
    <t>2020-062-15-23</t>
  </si>
  <si>
    <t>20AG0125</t>
  </si>
  <si>
    <t>DV-2020-I10</t>
  </si>
  <si>
    <t>IB-20-005-GOODS-TEC</t>
  </si>
  <si>
    <t>PG-20-67</t>
  </si>
  <si>
    <t>2020-062-15-27</t>
  </si>
  <si>
    <t>JCH-20-0224-B</t>
  </si>
  <si>
    <t>IB-20-006-GOODS-TEC</t>
  </si>
  <si>
    <t>IB-20-008-GOODS-TEC</t>
  </si>
  <si>
    <t>DOH4A-ITB-2020-GS-009B</t>
  </si>
  <si>
    <t>PR-2020-05-651</t>
  </si>
  <si>
    <t>PG-20-61</t>
  </si>
  <si>
    <t>20BD0126</t>
  </si>
  <si>
    <t>JCH-20-0306-B</t>
  </si>
  <si>
    <t>IB-20-007-GOODS-PIO</t>
  </si>
  <si>
    <t>029-FTC 2020</t>
  </si>
  <si>
    <t>PG-20-60</t>
  </si>
  <si>
    <t>Procurement of Reference Books and Instructional M</t>
  </si>
  <si>
    <t>101-20-06-087</t>
  </si>
  <si>
    <t>20CN0125</t>
  </si>
  <si>
    <t>CA100-2020-06-005</t>
  </si>
  <si>
    <t>20CN0068</t>
  </si>
  <si>
    <t>PG-20-62</t>
  </si>
  <si>
    <t>20G00103</t>
  </si>
  <si>
    <t>2020-05-10</t>
  </si>
  <si>
    <t>61</t>
  </si>
  <si>
    <t>2020-062-15-11</t>
  </si>
  <si>
    <t>lgu-es-20-06-133</t>
  </si>
  <si>
    <t>20AG0126</t>
  </si>
  <si>
    <t>BIDDING20-25</t>
  </si>
  <si>
    <t>20CN0126</t>
  </si>
  <si>
    <t>BCS-2020-0136</t>
  </si>
  <si>
    <t>20FF0101</t>
  </si>
  <si>
    <t>2020-062-15-10</t>
  </si>
  <si>
    <t>ITB2020-04-02 BALITE</t>
  </si>
  <si>
    <t>2020-06-166</t>
  </si>
  <si>
    <t>2020-POBSK-001</t>
  </si>
  <si>
    <t>100(01)20-06-360(A)</t>
  </si>
  <si>
    <t>ESP-GOODS-014-2020</t>
  </si>
  <si>
    <t>20AG0127</t>
  </si>
  <si>
    <t>CW-109</t>
  </si>
  <si>
    <t>GOODS 2020-05(PB)</t>
  </si>
  <si>
    <t>TF-20-06-097(Q)</t>
  </si>
  <si>
    <t>2020-LAN-002</t>
  </si>
  <si>
    <t>20BD0128</t>
  </si>
  <si>
    <t>PG-20-66</t>
  </si>
  <si>
    <t>2020-062-15-28</t>
  </si>
  <si>
    <t>20BD0127</t>
  </si>
  <si>
    <t>20-0052</t>
  </si>
  <si>
    <t>GA-BAC-2020DP-11-R</t>
  </si>
  <si>
    <t>06.24.2020</t>
  </si>
  <si>
    <t>20BD0131</t>
  </si>
  <si>
    <t>20-03-0175</t>
  </si>
  <si>
    <t>DOH4A-ITB-2020-GS-009D HFEP EQUIPMENT PACKAGE 4</t>
  </si>
  <si>
    <t>umcbac20-15</t>
  </si>
  <si>
    <t>sfbac2020-AIP-1000-23</t>
  </si>
  <si>
    <t>20BD0130</t>
  </si>
  <si>
    <t>2020-G-011</t>
  </si>
  <si>
    <t>2020-0015</t>
  </si>
  <si>
    <t>20AG0128</t>
  </si>
  <si>
    <t>IB-20-009-GOODS-TEC</t>
  </si>
  <si>
    <t>PG-20-68</t>
  </si>
  <si>
    <t>PR-2020-1393</t>
  </si>
  <si>
    <t>2020-062-15-33</t>
  </si>
  <si>
    <t>2020-062-15-29</t>
  </si>
  <si>
    <t>20200623-019</t>
  </si>
  <si>
    <t>DOH4A-ITB-2020-GS-009C HFEP EQUIPMENT PACKAGE 3</t>
  </si>
  <si>
    <t>20-006</t>
  </si>
  <si>
    <t>20AB0121</t>
  </si>
  <si>
    <t>20AG0131</t>
  </si>
  <si>
    <t>ITB-022-2020</t>
  </si>
  <si>
    <t>20200623</t>
  </si>
  <si>
    <t>2020-062-15-32</t>
  </si>
  <si>
    <t>031-FTC 2020</t>
  </si>
  <si>
    <t>20IE0097</t>
  </si>
  <si>
    <t>06.24.2020-A</t>
  </si>
  <si>
    <t>AIEB 2020-023</t>
  </si>
  <si>
    <t>PR-2020-1130</t>
  </si>
  <si>
    <t>20AG0130</t>
  </si>
  <si>
    <t>2020-062-15-31</t>
  </si>
  <si>
    <t>DOH4A-ITB-2020-GS-009E HFEP EQUIPMENT LINE ITEM 1</t>
  </si>
  <si>
    <t>20AG0129</t>
  </si>
  <si>
    <t>030-FTC 2020</t>
  </si>
  <si>
    <t>20PC0001G</t>
  </si>
  <si>
    <t>2020-062-15-30</t>
  </si>
  <si>
    <t>INFRA-2020-05</t>
  </si>
  <si>
    <t>20BD0129</t>
  </si>
  <si>
    <t>20200623_2</t>
  </si>
  <si>
    <t>20BD0132</t>
  </si>
  <si>
    <t>ITB - 08 JUNE 2020</t>
  </si>
  <si>
    <t>20-0053</t>
  </si>
  <si>
    <t>6-36-20</t>
  </si>
  <si>
    <t>MG-A7O20-013</t>
  </si>
  <si>
    <t>20IE0098</t>
  </si>
  <si>
    <t>GOODS 2020-06(PB)</t>
  </si>
  <si>
    <t>MG-A7A20-017</t>
  </si>
  <si>
    <t>2020-06-MEO-NW-GF-0022</t>
  </si>
  <si>
    <t>101-20-05-126</t>
  </si>
  <si>
    <t>MJJLECINFRA001-2020-02</t>
  </si>
  <si>
    <t>DOH4A-ITB-2020-GS-009F HFEP EQUIPMENT LINE ITEM 2</t>
  </si>
  <si>
    <t>2020-062-15-35</t>
  </si>
  <si>
    <t>6911-10-1141-20</t>
  </si>
  <si>
    <t>101-1011-2020-03-80</t>
  </si>
  <si>
    <t>ITB - 07 JUNE 2020</t>
  </si>
  <si>
    <t>ADNPR2020-05-029,ADS-017,SDN-023,SDS-023,PDI-027</t>
  </si>
  <si>
    <t>2020-05-15</t>
  </si>
  <si>
    <t>2020-03-003</t>
  </si>
  <si>
    <t>PIN2020-080</t>
  </si>
  <si>
    <t>20AJ0105</t>
  </si>
  <si>
    <t>Procurementof Reference Books and Instructional Ma</t>
  </si>
  <si>
    <t>2020-062-15-36</t>
  </si>
  <si>
    <t>LPZ - 2020 - 008</t>
  </si>
  <si>
    <t>062320-B1</t>
  </si>
  <si>
    <t>GF-G-57-2020</t>
  </si>
  <si>
    <t>GOODS 2020-07(PB)</t>
  </si>
  <si>
    <t>20200623-021</t>
  </si>
  <si>
    <t>Lgn1-20-DH-0084</t>
  </si>
  <si>
    <t>20IE0100</t>
  </si>
  <si>
    <t>06-014-406-20</t>
  </si>
  <si>
    <t>20FE0127</t>
  </si>
  <si>
    <t>INFRA-2020-06</t>
  </si>
  <si>
    <t>EMB13-2020-06-034</t>
  </si>
  <si>
    <t>20IE0099</t>
  </si>
  <si>
    <t>AMP-20-06-019</t>
  </si>
  <si>
    <t>2020-PB-05</t>
  </si>
  <si>
    <t>20IE0103</t>
  </si>
  <si>
    <t>IPW 2020-03-02</t>
  </si>
  <si>
    <t>LSPUSinC-2020-003PB</t>
  </si>
  <si>
    <t>GOODS 2020-09(PB)</t>
  </si>
  <si>
    <t>IPW 2020-03-01</t>
  </si>
  <si>
    <t>2020-308</t>
  </si>
  <si>
    <t>B20-19-01</t>
  </si>
  <si>
    <t>ITB-2020-JDL-006</t>
  </si>
  <si>
    <t>GOODS-2020-29</t>
  </si>
  <si>
    <t>lgu-es-20-06-135</t>
  </si>
  <si>
    <t>20FE0128</t>
  </si>
  <si>
    <t>INFRA JULY 2020-004</t>
  </si>
  <si>
    <t>PR No. 2020-06-113</t>
  </si>
  <si>
    <t>113</t>
  </si>
  <si>
    <t>PR 6.031 ITB TPB 2020-029 JANITORIAL SERVICES</t>
  </si>
  <si>
    <t>PEZA-HO-2020-01</t>
  </si>
  <si>
    <t>NFA-RXI-2020-06</t>
  </si>
  <si>
    <t>0700-2020-06-020</t>
  </si>
  <si>
    <t>AMP-20-06-026</t>
  </si>
  <si>
    <t>INFRA JULY 2020-003</t>
  </si>
  <si>
    <t>ITB No. GOP/20-DSWD-040</t>
  </si>
  <si>
    <t>INFRA-2020-007</t>
  </si>
  <si>
    <t>GOODS-20-34</t>
  </si>
  <si>
    <t>2020-062-15-34</t>
  </si>
  <si>
    <t>Construction Supervision and Management Consultanc</t>
  </si>
  <si>
    <t>PR 2020-02-06</t>
  </si>
  <si>
    <t>INFRA-20-07</t>
  </si>
  <si>
    <t>AMP-20-06-020</t>
  </si>
  <si>
    <t>AMP-20-06-027</t>
  </si>
  <si>
    <t>20IE0104</t>
  </si>
  <si>
    <t>ITB- 062320-1</t>
  </si>
  <si>
    <t>20PC0060</t>
  </si>
  <si>
    <t>GOODS 2020-08(PB)</t>
  </si>
  <si>
    <t>Lgn1-20-DH-0085</t>
  </si>
  <si>
    <t>20IE0102</t>
  </si>
  <si>
    <t>2020-PB-06</t>
  </si>
  <si>
    <t>MKWD2020-053</t>
  </si>
  <si>
    <t>PRDP-IR-R04A-BTG-003-TAN-001-2017</t>
  </si>
  <si>
    <t>20200623-020</t>
  </si>
  <si>
    <t>2020-323</t>
  </si>
  <si>
    <t>AMP-20-06-024</t>
  </si>
  <si>
    <t>20FD0069</t>
  </si>
  <si>
    <t>1011-101-2020-05-197</t>
  </si>
  <si>
    <t>Re-Adv. No. 20-041</t>
  </si>
  <si>
    <t>MG-A7O20-005</t>
  </si>
  <si>
    <t>DA7-07-FOD-R-20-2128 (R1)</t>
  </si>
  <si>
    <t>Re-Adv. No. 20-040</t>
  </si>
  <si>
    <t>Adv. 20-048</t>
  </si>
  <si>
    <t>Adv. 20-046</t>
  </si>
  <si>
    <t>20KE0064</t>
  </si>
  <si>
    <t>usfanimals3_2020</t>
  </si>
  <si>
    <t>PR 2020-02-01</t>
  </si>
  <si>
    <t>2020-06-314-ME</t>
  </si>
  <si>
    <t>ITB No. 2020-14</t>
  </si>
  <si>
    <t>animalscsu_rebid</t>
  </si>
  <si>
    <t>2020-003-1</t>
  </si>
  <si>
    <t>cgb2020-222</t>
  </si>
  <si>
    <t>PRN 006</t>
  </si>
  <si>
    <t>Adv. 20-047</t>
  </si>
  <si>
    <t>cgb2020-226</t>
  </si>
  <si>
    <t>2020088</t>
  </si>
  <si>
    <t>INFRA JULY 2020-016</t>
  </si>
  <si>
    <t>INFRA JULY 2020-018</t>
  </si>
  <si>
    <t>INFRA JULY 2020-013</t>
  </si>
  <si>
    <t>AMP-20-06-025</t>
  </si>
  <si>
    <t>INFRA JULY 2020-015</t>
  </si>
  <si>
    <t>INFRA JULY 2020-010</t>
  </si>
  <si>
    <t>INFRA JULY 2020-014</t>
  </si>
  <si>
    <t>MGB MIMA-20-012</t>
  </si>
  <si>
    <t>INFRA JULY 2020-009</t>
  </si>
  <si>
    <t>INFRA JULY 2020-008</t>
  </si>
  <si>
    <t>INFRA JULY 2020-007</t>
  </si>
  <si>
    <t>INFRA JULY 2020-006</t>
  </si>
  <si>
    <t>20-0111</t>
  </si>
  <si>
    <t>INFRA JULY 2020-005</t>
  </si>
  <si>
    <t>Supply of Labor, Equipment and Restoration Materia</t>
  </si>
  <si>
    <t>INFRA JULY 2020-011</t>
  </si>
  <si>
    <t>Tubod 2020-06-001</t>
  </si>
  <si>
    <t>00064</t>
  </si>
  <si>
    <t>INFRA JULY 2020-017</t>
  </si>
  <si>
    <t>UPLB-RQ-6-131-20-RES INFORMATION TECHNOLOGY</t>
  </si>
  <si>
    <t>INFRA JULY 2020-026</t>
  </si>
  <si>
    <t>DV-2020-I11</t>
  </si>
  <si>
    <t>INFRA JULY 2020-012</t>
  </si>
  <si>
    <t>INFRA JULY 2020-046</t>
  </si>
  <si>
    <t>20GFC0016</t>
  </si>
  <si>
    <t>INFRA JULY 2020-024</t>
  </si>
  <si>
    <t>20GFC0020</t>
  </si>
  <si>
    <t>INFRA JULY 2020-023</t>
  </si>
  <si>
    <t>INFRA JULY 2020-025</t>
  </si>
  <si>
    <t>20GFC0019</t>
  </si>
  <si>
    <t>HFW-2020-06-0214</t>
  </si>
  <si>
    <t>20200624-003</t>
  </si>
  <si>
    <t>INFRA JULY 2020-022</t>
  </si>
  <si>
    <t>20NC0131</t>
  </si>
  <si>
    <t>INFRA JULY 2020-020</t>
  </si>
  <si>
    <t>20NC0132</t>
  </si>
  <si>
    <t>TANZA 2 2020-10-006</t>
  </si>
  <si>
    <t>20GFC0017</t>
  </si>
  <si>
    <t>20GIE0011</t>
  </si>
  <si>
    <t>20GFC0018</t>
  </si>
  <si>
    <t>20200624-002</t>
  </si>
  <si>
    <t>2020-0164</t>
  </si>
  <si>
    <t>PRN 052</t>
  </si>
  <si>
    <t>INFRA JULY 2020-021</t>
  </si>
  <si>
    <t>00061</t>
  </si>
  <si>
    <t>INFRASIB-2020-13</t>
  </si>
  <si>
    <t>2020-05-12</t>
  </si>
  <si>
    <t>5020301000-41-ARSA-20</t>
  </si>
  <si>
    <t>5020301000-42-SRSA-20</t>
  </si>
  <si>
    <t>00062</t>
  </si>
  <si>
    <t>5020305000-38-JASR-20</t>
  </si>
  <si>
    <t>G-2020-005</t>
  </si>
  <si>
    <t>19-12-062-EM</t>
  </si>
  <si>
    <t>INFRA JULY 2020-019</t>
  </si>
  <si>
    <t>GOODS 2020-018</t>
  </si>
  <si>
    <t>RFQ No. 2020-10</t>
  </si>
  <si>
    <t>40</t>
  </si>
  <si>
    <t>2020-0165</t>
  </si>
  <si>
    <t>INFRA JULY 2020-037</t>
  </si>
  <si>
    <t>07122020-089</t>
  </si>
  <si>
    <t>INFRA JULY 2020-036</t>
  </si>
  <si>
    <t>20OE0202</t>
  </si>
  <si>
    <t>INFRA JULY 2020-039</t>
  </si>
  <si>
    <t>INFRA JULY 2020-035</t>
  </si>
  <si>
    <t>INFRA JULY 2020-034</t>
  </si>
  <si>
    <t>5020305000-39-JASS-20</t>
  </si>
  <si>
    <t>INFRA JULY 2020-033</t>
  </si>
  <si>
    <t>20OE0203</t>
  </si>
  <si>
    <t>INFRA JULY 2020-032</t>
  </si>
  <si>
    <t>20GO0102</t>
  </si>
  <si>
    <t>IPH-20-0166-B</t>
  </si>
  <si>
    <t>2020-06-083</t>
  </si>
  <si>
    <t>GEPS-009-2020</t>
  </si>
  <si>
    <t>INFRA JULY 2020-038</t>
  </si>
  <si>
    <t>5020301000-40-JRSA-20</t>
  </si>
  <si>
    <t>RDD-CW 2020-14</t>
  </si>
  <si>
    <t>062320-B2</t>
  </si>
  <si>
    <t>Barangay Zone IV Poblacion 20-06-10b</t>
  </si>
  <si>
    <t>INFRA JULY 2020-045</t>
  </si>
  <si>
    <t>062320-B3</t>
  </si>
  <si>
    <t>100-2020-06-766</t>
  </si>
  <si>
    <t>20OE0206</t>
  </si>
  <si>
    <t>100-2020-06-779</t>
  </si>
  <si>
    <t>100-2020-06-783</t>
  </si>
  <si>
    <t>BAC-AIR-INFR-2020-01</t>
  </si>
  <si>
    <t>20OE0204</t>
  </si>
  <si>
    <t>sjom-goods-0012-2020</t>
  </si>
  <si>
    <t>ITB#25-2020</t>
  </si>
  <si>
    <t>RDD-GO 2020-LGSF-0A1</t>
  </si>
  <si>
    <t>HFW-2020-06-0215</t>
  </si>
  <si>
    <t>IB. NO. K-2020-064(SC)</t>
  </si>
  <si>
    <t>DTI-BAC-20-011</t>
  </si>
  <si>
    <t>GB3-PB-002-19</t>
  </si>
  <si>
    <t>100-2020-06-738</t>
  </si>
  <si>
    <t>Contract No. 03 - 2020</t>
  </si>
  <si>
    <t>20SANDIO002</t>
  </si>
  <si>
    <t>20SANDIO001</t>
  </si>
  <si>
    <t>HFW-2020-06-0217</t>
  </si>
  <si>
    <t>20LUSOD001</t>
  </si>
  <si>
    <t>2020-06-94</t>
  </si>
  <si>
    <t>2020-06-93</t>
  </si>
  <si>
    <t>PR# 20-06-0613</t>
  </si>
  <si>
    <t>20CSNH05</t>
  </si>
  <si>
    <t>20CSNH04</t>
  </si>
  <si>
    <t>20F00107</t>
  </si>
  <si>
    <t>sjom-goods-0013-2020</t>
  </si>
  <si>
    <t>Jiab-2020-32A</t>
  </si>
  <si>
    <t>PB BCH 002-2020 PROCUREMENT OF MOTOR VEHICLES</t>
  </si>
  <si>
    <t>Jiab-2020-31A</t>
  </si>
  <si>
    <t>Jiab-2020-30A</t>
  </si>
  <si>
    <t>PR# 20-06-0617</t>
  </si>
  <si>
    <t>Jiab-2020-29A</t>
  </si>
  <si>
    <t>PB Infra 20-02-03</t>
  </si>
  <si>
    <t>20-06-183</t>
  </si>
  <si>
    <t>20GK0223</t>
  </si>
  <si>
    <t>PB-06232020-01</t>
  </si>
  <si>
    <t>ASTCIVILGOODS619</t>
  </si>
  <si>
    <t>CONTRACT ID # 20-06-086</t>
  </si>
  <si>
    <t>PGL 20-079</t>
  </si>
  <si>
    <t>20GK0222</t>
  </si>
  <si>
    <t>CONTRACT ID # 20-06-087</t>
  </si>
  <si>
    <t>Jiab-2020-28A</t>
  </si>
  <si>
    <t>INFRA-20-06-0631</t>
  </si>
  <si>
    <t>Jiab-2020-27A</t>
  </si>
  <si>
    <t>PB NO. 2020-041</t>
  </si>
  <si>
    <t>028-2020</t>
  </si>
  <si>
    <t>B2 PEO 300-20-06-07371</t>
  </si>
  <si>
    <t>GA07142020</t>
  </si>
  <si>
    <t>B2 PEO 300-20-06-07369</t>
  </si>
  <si>
    <t>PB NO. 2020-040</t>
  </si>
  <si>
    <t>CONTRACT ID NO. 20GN0091</t>
  </si>
  <si>
    <t>ITB No. 2020-12</t>
  </si>
  <si>
    <t>ITB No. 2020-11</t>
  </si>
  <si>
    <t>2020-06-38</t>
  </si>
  <si>
    <t>B2 PEO 300-20-06-07368</t>
  </si>
  <si>
    <t>B2 PEO 300-20-06-07367</t>
  </si>
  <si>
    <t>B2 PEO 300-20-06-07370</t>
  </si>
  <si>
    <t>NCMH-PRB-PEST CONTROL SERVICE CY-2020</t>
  </si>
  <si>
    <t>IB07142020</t>
  </si>
  <si>
    <t>DOC1</t>
  </si>
  <si>
    <t>BD2020-J-002-G</t>
  </si>
  <si>
    <t>MGPIN 2020-017</t>
  </si>
  <si>
    <t>IB NO. 2020-07-16 (13)</t>
  </si>
  <si>
    <t>INFRA-PNBAC2-2020-07</t>
  </si>
  <si>
    <t>INFRA 2020-37</t>
  </si>
  <si>
    <t>INFRA 2020-35</t>
  </si>
  <si>
    <t>ITB 2020-06-02</t>
  </si>
  <si>
    <t>BD2020-J-003-G</t>
  </si>
  <si>
    <t>INFRA 2020-34</t>
  </si>
  <si>
    <t>INFRA 2020-33</t>
  </si>
  <si>
    <t>IAEB 229-20</t>
  </si>
  <si>
    <t>INFRA 2020-38</t>
  </si>
  <si>
    <t>INFRA 2020-36</t>
  </si>
  <si>
    <t>20NF0068</t>
  </si>
  <si>
    <t>PDDO-20-2125</t>
  </si>
  <si>
    <t>INFRA-PNBAC2-2020-06</t>
  </si>
  <si>
    <t>SF EQUIPMENT NO. 08- (6-22-20)</t>
  </si>
  <si>
    <t>HFW-2020-06-0218</t>
  </si>
  <si>
    <t>uplb-rq-6-076-20 goods (Laboratory Equipment for I</t>
  </si>
  <si>
    <t>GOODS-2020-62</t>
  </si>
  <si>
    <t>NCMH-PB-RENTAL(180 DESKTOP COMPUTER) CY 2020</t>
  </si>
  <si>
    <t>2020-06-171-B</t>
  </si>
  <si>
    <t>20OE0205</t>
  </si>
  <si>
    <t>SBMA-BAC-GOODS-ITB-08-20</t>
  </si>
  <si>
    <t>B2 PEO 300-20-06-07372</t>
  </si>
  <si>
    <t>Bid No. 20-0282</t>
  </si>
  <si>
    <t>20OC0103</t>
  </si>
  <si>
    <t>TAL-07-03-2020</t>
  </si>
  <si>
    <t>TAMP-PB-INFRA-07-2020</t>
  </si>
  <si>
    <t>ITB#24-2020</t>
  </si>
  <si>
    <t>2020-02-INFRA-JUNE-08</t>
  </si>
  <si>
    <t>Jiab-2020-35A</t>
  </si>
  <si>
    <t>20OC0102</t>
  </si>
  <si>
    <t>Jiab-2020-34A</t>
  </si>
  <si>
    <t>20GBI008</t>
  </si>
  <si>
    <t>DOC4</t>
  </si>
  <si>
    <t>B2 PEO 300-20-06-07373</t>
  </si>
  <si>
    <t>TAMP-PB-INFRA-06-2020</t>
  </si>
  <si>
    <t>SBMA-BAC-GOODS-ITB-12-20</t>
  </si>
  <si>
    <t>2020-06-154-E</t>
  </si>
  <si>
    <t>LGU-BALINGASAG-9005-20-061</t>
  </si>
  <si>
    <t>MG-A7C20-026</t>
  </si>
  <si>
    <t>Jiab-2020-37A</t>
  </si>
  <si>
    <t>ICCTV-14</t>
  </si>
  <si>
    <t>LGU-BALINGASAG-9005-20-060</t>
  </si>
  <si>
    <t>ITB-2020-016</t>
  </si>
  <si>
    <t>MGPIN 2020-015</t>
  </si>
  <si>
    <t>itb06222020a</t>
  </si>
  <si>
    <t>06-050-D</t>
  </si>
  <si>
    <t>0005-2020</t>
  </si>
  <si>
    <t>LGU-BALINGASAG-9005-20-059</t>
  </si>
  <si>
    <t>20AA0349</t>
  </si>
  <si>
    <t>B2 PEO 300-20-06-07376</t>
  </si>
  <si>
    <t>BD2020-J-004-G</t>
  </si>
  <si>
    <t>0004-2020</t>
  </si>
  <si>
    <t>Jiab-2020-33A</t>
  </si>
  <si>
    <t>2020-GOODS-015-01-0623</t>
  </si>
  <si>
    <t>MGPIN 2020-085</t>
  </si>
  <si>
    <t>2020-06-032</t>
  </si>
  <si>
    <t>ITB-SSS-GOODS-2020-017</t>
  </si>
  <si>
    <t>20-03-015</t>
  </si>
  <si>
    <t>20AI0172</t>
  </si>
  <si>
    <t>20PE0070</t>
  </si>
  <si>
    <t>20AI0171</t>
  </si>
  <si>
    <t>20AE0071: Construction of 2 Storey 4 Classroom Sch</t>
  </si>
  <si>
    <t>QNV-034-2020</t>
  </si>
  <si>
    <t>07132020-005</t>
  </si>
  <si>
    <t>BID REF. NO. 2020-002</t>
  </si>
  <si>
    <t>07132020-004</t>
  </si>
  <si>
    <t>itb06222020b</t>
  </si>
  <si>
    <t>07132020-002</t>
  </si>
  <si>
    <t>07132020-001</t>
  </si>
  <si>
    <t>Bidding-01-June-Amilongan2020</t>
  </si>
  <si>
    <t>0006-2020</t>
  </si>
  <si>
    <t>B2 PEO 300-20-06-07381</t>
  </si>
  <si>
    <t>DVO-200716-02</t>
  </si>
  <si>
    <t>itb 2020-29</t>
  </si>
  <si>
    <t>TAMP-PB-GOODS-06-2020</t>
  </si>
  <si>
    <t>20-06-022</t>
  </si>
  <si>
    <t>B2 PEO 300-20-06-07378</t>
  </si>
  <si>
    <t>2020-02-83</t>
  </si>
  <si>
    <t>2020-074</t>
  </si>
  <si>
    <t>itb06222020c</t>
  </si>
  <si>
    <t>20-370</t>
  </si>
  <si>
    <t>2020062302</t>
  </si>
  <si>
    <t>LGUPROC 2020 -132B</t>
  </si>
  <si>
    <t>2020-02-50</t>
  </si>
  <si>
    <t>DVO-200716-06</t>
  </si>
  <si>
    <t>PEO-2020-0964</t>
  </si>
  <si>
    <t>PR-2020-03-459</t>
  </si>
  <si>
    <t>TANZA 2 2020-09-06</t>
  </si>
  <si>
    <t>20-286</t>
  </si>
  <si>
    <t>2020--06-022-002</t>
  </si>
  <si>
    <t>INFRA JULY 2020-002</t>
  </si>
  <si>
    <t>DVO-200716-05</t>
  </si>
  <si>
    <t>022-2020 PES Purchase of Various Office Supplies a</t>
  </si>
  <si>
    <t>2020-06-035</t>
  </si>
  <si>
    <t>BUGASS-2020-052</t>
  </si>
  <si>
    <t>itb06222020d</t>
  </si>
  <si>
    <t>DVO-200716-04</t>
  </si>
  <si>
    <t>100-20-15-103</t>
  </si>
  <si>
    <t>POG NO. DDO 2020-003-CM</t>
  </si>
  <si>
    <t>DVO-200716-03</t>
  </si>
  <si>
    <t>2020-00-02</t>
  </si>
  <si>
    <t>TLU2020-007-I</t>
  </si>
  <si>
    <t>2020-03-109</t>
  </si>
  <si>
    <t>20-23</t>
  </si>
  <si>
    <t>2020-02-48A</t>
  </si>
  <si>
    <t>LGUPROC 2020 -131B</t>
  </si>
  <si>
    <t>TAMP-PB-GOODS-05-2020</t>
  </si>
  <si>
    <t>20-144</t>
  </si>
  <si>
    <t>TAYSAN2020-057</t>
  </si>
  <si>
    <t>2020-079</t>
  </si>
  <si>
    <t>ITB No. 2020 – 76</t>
  </si>
  <si>
    <t>PEO-2020-0722</t>
  </si>
  <si>
    <t>LGUPROC 2020 -133B</t>
  </si>
  <si>
    <t>20OC0100</t>
  </si>
  <si>
    <t>SBMA-BAC-GOODS-ITB-11-20</t>
  </si>
  <si>
    <t>ITB No. GOP/19-DSWD-059-A</t>
  </si>
  <si>
    <t>01-0622</t>
  </si>
  <si>
    <t>20GCE0007</t>
  </si>
  <si>
    <t>2020-04-192</t>
  </si>
  <si>
    <t>6222020</t>
  </si>
  <si>
    <t>2020-N-004</t>
  </si>
  <si>
    <t>BAC1-20-006</t>
  </si>
  <si>
    <t>2020-04-211</t>
  </si>
  <si>
    <t>2020-02-005</t>
  </si>
  <si>
    <t>100200600906</t>
  </si>
  <si>
    <t>MGPIN 2019-093</t>
  </si>
  <si>
    <t>2020-04-193</t>
  </si>
  <si>
    <t>Infra-03</t>
  </si>
  <si>
    <t>PR-2020-05-657</t>
  </si>
  <si>
    <t>DVO-200716-08</t>
  </si>
  <si>
    <t>I.B. No. 2020-0024</t>
  </si>
  <si>
    <t>008</t>
  </si>
  <si>
    <t>PB 2020-02</t>
  </si>
  <si>
    <t>DVO-200716-12</t>
  </si>
  <si>
    <t>PB-2020-01</t>
  </si>
  <si>
    <t>20HG0176</t>
  </si>
  <si>
    <t>IB 2020-032</t>
  </si>
  <si>
    <t>2020-03-013</t>
  </si>
  <si>
    <t>IB 2020 – 052</t>
  </si>
  <si>
    <t>2020-66 (GAS)</t>
  </si>
  <si>
    <t>2020-70 (GAS)</t>
  </si>
  <si>
    <t>100-20-03-043</t>
  </si>
  <si>
    <t>2020-06-22-01</t>
  </si>
  <si>
    <t>IB 2020 – 051</t>
  </si>
  <si>
    <t>2020-69 (GAS)</t>
  </si>
  <si>
    <t>lgumambu_brgybunga_cw_june_2020_001</t>
  </si>
  <si>
    <t>2020-68 (GAS)</t>
  </si>
  <si>
    <t>20AI0173</t>
  </si>
  <si>
    <t>DVO-200716-14</t>
  </si>
  <si>
    <t>2020-05-277</t>
  </si>
  <si>
    <t>2020-ANT-GOODS-0115</t>
  </si>
  <si>
    <t>DVO-200716-15</t>
  </si>
  <si>
    <t>20GKG0029</t>
  </si>
  <si>
    <t>BAC1-20-010</t>
  </si>
  <si>
    <t>IB 2020 – 055</t>
  </si>
  <si>
    <t>01M-2020</t>
  </si>
  <si>
    <t>20-06-248</t>
  </si>
  <si>
    <t>TAMP-PB-GOODS-07-2020</t>
  </si>
  <si>
    <t>OM-193-2020</t>
  </si>
  <si>
    <t>100-20-06-121</t>
  </si>
  <si>
    <t>20AI0175</t>
  </si>
  <si>
    <t>IB 2020-033</t>
  </si>
  <si>
    <t>20GKG0030</t>
  </si>
  <si>
    <t>EMBR02-PB-CONSULTINGSERVICES- EMED052020-140</t>
  </si>
  <si>
    <t>2020-02-102</t>
  </si>
  <si>
    <t>DVO-200716-11</t>
  </si>
  <si>
    <t>20AI0174</t>
  </si>
  <si>
    <t>PBDD-PR-2020-05-001; PBDD-PR-2020-05-002</t>
  </si>
  <si>
    <t>BAC1-20-008</t>
  </si>
  <si>
    <t>100-20-03-055</t>
  </si>
  <si>
    <t>IB 2020 – 054</t>
  </si>
  <si>
    <t>DVO-200716-13</t>
  </si>
  <si>
    <t>BAC1-20-007</t>
  </si>
  <si>
    <t>IB 2020 – 053</t>
  </si>
  <si>
    <t>2020-N-005</t>
  </si>
  <si>
    <t>2020-05-03</t>
  </si>
  <si>
    <t>100-20-06-128</t>
  </si>
  <si>
    <t>INFRA-2020-004</t>
  </si>
  <si>
    <t>2020-05-257</t>
  </si>
  <si>
    <t>DVO-200716-09</t>
  </si>
  <si>
    <t>itb 2020-30</t>
  </si>
  <si>
    <t>DVO-200716-07</t>
  </si>
  <si>
    <t>2020-67 (GAS)</t>
  </si>
  <si>
    <t>2020-03-110</t>
  </si>
  <si>
    <t>DVO-200716-10</t>
  </si>
  <si>
    <t>20-06-005</t>
  </si>
  <si>
    <t>IB 2020 – 056</t>
  </si>
  <si>
    <t>20GKG0032</t>
  </si>
  <si>
    <t>20GFH0012</t>
  </si>
  <si>
    <t>PRDP-IR-R003-NUE-035-PAL-001-2019-R1</t>
  </si>
  <si>
    <t>uplb-rq-6-077-20 Goods (Customized  system furnitu</t>
  </si>
  <si>
    <t>PRDP-PSO-Admin 2020-05-018 (AF)</t>
  </si>
  <si>
    <t>RSPQ NO. 2020-06-028</t>
  </si>
  <si>
    <t>20-06-249</t>
  </si>
  <si>
    <t>SEF-I-51-2020</t>
  </si>
  <si>
    <t>RO9-INFRA-2020-F-001</t>
  </si>
  <si>
    <t>IB-2020-26-NEGO</t>
  </si>
  <si>
    <t>OM-194-L-2020</t>
  </si>
  <si>
    <t>20GL00008</t>
  </si>
  <si>
    <t>IB 2020 – 058</t>
  </si>
  <si>
    <t>20GFH0014</t>
  </si>
  <si>
    <t>Jiab-2020-41A</t>
  </si>
  <si>
    <t>2020-001-2</t>
  </si>
  <si>
    <t>MAPULO-001</t>
  </si>
  <si>
    <t>IB 2020 – 059</t>
  </si>
  <si>
    <t>IBTGH No. 2020 – 006</t>
  </si>
  <si>
    <t>20CG0145</t>
  </si>
  <si>
    <t>Jiab-2020-39Af</t>
  </si>
  <si>
    <t>20GFH0013</t>
  </si>
  <si>
    <t>20HC0182</t>
  </si>
  <si>
    <t>0700-2020-06-019</t>
  </si>
  <si>
    <t>776</t>
  </si>
  <si>
    <t>NIAREG9-06222020-688</t>
  </si>
  <si>
    <t>Lgn1-SVP2020-07-0008</t>
  </si>
  <si>
    <t>SBMA-BAC-GOODS-ITB-09-20</t>
  </si>
  <si>
    <t>Graceville 2020-002</t>
  </si>
  <si>
    <t>20CG0150</t>
  </si>
  <si>
    <t>Lgn1-SVP2020-07-0010</t>
  </si>
  <si>
    <t>CONTRACT ID: 19-12-272 2ND REBID</t>
  </si>
  <si>
    <t>20CG0148</t>
  </si>
  <si>
    <t>CONSTRUCTION OF VARIOUS INFRASTRUCTURE PROJECTS FO</t>
  </si>
  <si>
    <t>2020-05-241</t>
  </si>
  <si>
    <t>SVP2020-07-0009</t>
  </si>
  <si>
    <t>P-10-20</t>
  </si>
  <si>
    <t>20CG0154</t>
  </si>
  <si>
    <t>20CG0157</t>
  </si>
  <si>
    <t>2020-075</t>
  </si>
  <si>
    <t>20CG0144</t>
  </si>
  <si>
    <t>Lgn1-SVP2020-07-0011</t>
  </si>
  <si>
    <t>20CG0156</t>
  </si>
  <si>
    <t>0041-06-2020</t>
  </si>
  <si>
    <t>20CG0155</t>
  </si>
  <si>
    <t>ITB 2020 - 081</t>
  </si>
  <si>
    <t>Graceville 2020-004</t>
  </si>
  <si>
    <t>20HM0091</t>
  </si>
  <si>
    <t>20CG0153</t>
  </si>
  <si>
    <t>20AI0176</t>
  </si>
  <si>
    <t>ITB 2020 - 080</t>
  </si>
  <si>
    <t>20CG0152</t>
  </si>
  <si>
    <t>ITB - 06 JUNE 2020</t>
  </si>
  <si>
    <t>Graceville 2020-001</t>
  </si>
  <si>
    <t>2020-71 (GAS)</t>
  </si>
  <si>
    <t>INFRA 2020-03</t>
  </si>
  <si>
    <t>20CG0146</t>
  </si>
  <si>
    <t>P-09-20</t>
  </si>
  <si>
    <t>20FO0101</t>
  </si>
  <si>
    <t>FSDE18-CS-048-20</t>
  </si>
  <si>
    <t>Jiab-2020-40A</t>
  </si>
  <si>
    <t>Jiab-2020-42A</t>
  </si>
  <si>
    <t>20CG0151</t>
  </si>
  <si>
    <t>MGPIN 2020-002</t>
  </si>
  <si>
    <t>I.B. No. 2020-0027</t>
  </si>
  <si>
    <t>20GPM006</t>
  </si>
  <si>
    <t>20CG0147</t>
  </si>
  <si>
    <t>GF-20-0385</t>
  </si>
  <si>
    <t>DA RFO-1-2019-INFRA-039-N</t>
  </si>
  <si>
    <t>AGGDS2020-0623B</t>
  </si>
  <si>
    <t>PR 2020-06-002</t>
  </si>
  <si>
    <t>DA RFO-1-2019-INFRA-038-N</t>
  </si>
  <si>
    <t>N 33 C 2020</t>
  </si>
  <si>
    <t>20CG0149</t>
  </si>
  <si>
    <t>20GFO0016</t>
  </si>
  <si>
    <t>Graceville 2020-003</t>
  </si>
  <si>
    <t>DA RFO-1-2019-INFRA-040-N</t>
  </si>
  <si>
    <t>20GFC0015</t>
  </si>
  <si>
    <t>2020-RBAC8-INFR-17</t>
  </si>
  <si>
    <t>20GFC0014</t>
  </si>
  <si>
    <t>20GFC0013</t>
  </si>
  <si>
    <t>PCMT 2020-044</t>
  </si>
  <si>
    <t>20GFC0011</t>
  </si>
  <si>
    <t>ITB No. 2020-06-002</t>
  </si>
  <si>
    <t>20BG0120</t>
  </si>
  <si>
    <t>20GFC0012</t>
  </si>
  <si>
    <t>2020-CW-06-09</t>
  </si>
  <si>
    <t>SUPPLY OF LABOR, EQUIPMENT AND RESTORATION MATERIA</t>
  </si>
  <si>
    <t>pwr-03-015</t>
  </si>
  <si>
    <t>agsd-2020-05-009</t>
  </si>
  <si>
    <t>DA RFO-1-2019-INFRA-068</t>
  </si>
  <si>
    <t>001-2020G</t>
  </si>
  <si>
    <t>PB 06-05-2020</t>
  </si>
  <si>
    <t>pwr-03-017</t>
  </si>
  <si>
    <t>18-2020</t>
  </si>
  <si>
    <t>BAC1-20-005</t>
  </si>
  <si>
    <t>cmd-20-01-02</t>
  </si>
  <si>
    <t>IB No. 2020-021</t>
  </si>
  <si>
    <t>cmd-20-01-15</t>
  </si>
  <si>
    <t>IB. NO. K-2020-059(SC)</t>
  </si>
  <si>
    <t>Supply, Delivery and Installation of Air Condition</t>
  </si>
  <si>
    <t>20CC0256</t>
  </si>
  <si>
    <t>20CC0255</t>
  </si>
  <si>
    <t>20CC0170</t>
  </si>
  <si>
    <t>IB. NO. K-2020-061(SC)</t>
  </si>
  <si>
    <t>2020-GD-06-06</t>
  </si>
  <si>
    <t>IB. NO. K-2020-062(SC)</t>
  </si>
  <si>
    <t>MKWD-BAC-2020-053</t>
  </si>
  <si>
    <t>20CC0199</t>
  </si>
  <si>
    <t>ITB 2020-DSWD-CAR-16</t>
  </si>
  <si>
    <t>BAC1-20-011</t>
  </si>
  <si>
    <t>BAC1-20-009</t>
  </si>
  <si>
    <t>BAC1-20-014</t>
  </si>
  <si>
    <t>0042-06-2020</t>
  </si>
  <si>
    <t>AGGDS2020-0623A</t>
  </si>
  <si>
    <t>ITB No. GOP-19-DSWD-058-A</t>
  </si>
  <si>
    <t>IA-P-2020-01</t>
  </si>
  <si>
    <t>58-2020</t>
  </si>
  <si>
    <t>57-2020</t>
  </si>
  <si>
    <t>Goods 2020-01</t>
  </si>
  <si>
    <t>20DE0146</t>
  </si>
  <si>
    <t>2020-CW-06-10</t>
  </si>
  <si>
    <t>20DE0147</t>
  </si>
  <si>
    <t>55-2020</t>
  </si>
  <si>
    <t>BAC1-20-012</t>
  </si>
  <si>
    <t>20DE0145</t>
  </si>
  <si>
    <t>2020-INFRA-038</t>
  </si>
  <si>
    <t>2020-INFRA-034</t>
  </si>
  <si>
    <t>PCMT 2020-045</t>
  </si>
  <si>
    <t>20GOE0013</t>
  </si>
  <si>
    <t>2020-INFRA-033</t>
  </si>
  <si>
    <t>2020-INFRA-036</t>
  </si>
  <si>
    <t>20EA0054</t>
  </si>
  <si>
    <t>306222020</t>
  </si>
  <si>
    <t>206222020</t>
  </si>
  <si>
    <t>2020-06-MEO-LGSF-FA-TF-0026</t>
  </si>
  <si>
    <t>106222020</t>
  </si>
  <si>
    <t>IB-2020-VII-13-01 Office Supplies Inks &amp; Toners (L</t>
  </si>
  <si>
    <t>2020-INFRA-035</t>
  </si>
  <si>
    <t>506222020</t>
  </si>
  <si>
    <t>406222020</t>
  </si>
  <si>
    <t>BFPX 2020-06</t>
  </si>
  <si>
    <t>INFRA2020-02</t>
  </si>
  <si>
    <t>6-8-20-ID9</t>
  </si>
  <si>
    <t>PIP 007-2020</t>
  </si>
  <si>
    <t>PB2020-07-068G</t>
  </si>
  <si>
    <t>B-8661-20-13</t>
  </si>
  <si>
    <t>PB2020-07-067G</t>
  </si>
  <si>
    <t>2020-07-10-05</t>
  </si>
  <si>
    <t>IB-2020-VII-13-02 FARM TO MARKET ROAD</t>
  </si>
  <si>
    <t>JR No. 24044</t>
  </si>
  <si>
    <t>20-06-020</t>
  </si>
  <si>
    <t>PR 2020-06-10-101</t>
  </si>
  <si>
    <t>PCMT 2020-046</t>
  </si>
  <si>
    <t>2020-INFRA-026</t>
  </si>
  <si>
    <t>Aklan BAC ITB 359 Series of 2020</t>
  </si>
  <si>
    <t>2020-06-374</t>
  </si>
  <si>
    <t>PB2020-07-066G</t>
  </si>
  <si>
    <t>IB-2020-24-NEGO-INFRA</t>
  </si>
  <si>
    <t>IB-2020-23-NEGO-INFRA</t>
  </si>
  <si>
    <t>LGUPROC 2020 -130B</t>
  </si>
  <si>
    <t>LGUPROC 2020 -129B</t>
  </si>
  <si>
    <t>PB20200618-041</t>
  </si>
  <si>
    <t>PB20200618-040</t>
  </si>
  <si>
    <t>CGS-2020-G020</t>
  </si>
  <si>
    <t>2020-07-10-11</t>
  </si>
  <si>
    <t>Project No. 2020-25</t>
  </si>
  <si>
    <t>LIN-LDN-06-19-20</t>
  </si>
  <si>
    <t>20FF0096</t>
  </si>
  <si>
    <t>Aklan BAC ITB 361 Series of 2020</t>
  </si>
  <si>
    <t>2020-07-10-10</t>
  </si>
  <si>
    <t>20K00353</t>
  </si>
  <si>
    <t>2020-07-10-09</t>
  </si>
  <si>
    <t>LUHONG-2020-001-2</t>
  </si>
  <si>
    <t>IB No. 2020-208-A</t>
  </si>
  <si>
    <t>2020-07-10-08</t>
  </si>
  <si>
    <t>20FF0097</t>
  </si>
  <si>
    <t>20FF0095</t>
  </si>
  <si>
    <t>2020-07-10-07</t>
  </si>
  <si>
    <t>PDDO-20-4519</t>
  </si>
  <si>
    <t>GEPS-13-2020</t>
  </si>
  <si>
    <t>BAC 2020-06-008</t>
  </si>
  <si>
    <t>GEPS-12-2020</t>
  </si>
  <si>
    <t>GS 2020-003 (REPOST)</t>
  </si>
  <si>
    <t>BAC 2020-06-007</t>
  </si>
  <si>
    <t>Goods 0026-2020</t>
  </si>
  <si>
    <t>INFRA2020-CDD-001/ MG-COM20-002 Repair/Rehab of Wh</t>
  </si>
  <si>
    <t>PDDO-20-4515</t>
  </si>
  <si>
    <t>PDDO-20-4514</t>
  </si>
  <si>
    <t>2020-07-10-16</t>
  </si>
  <si>
    <t>2020-07-10-15</t>
  </si>
  <si>
    <t>20K00352</t>
  </si>
  <si>
    <t>2020-07-10-14</t>
  </si>
  <si>
    <t>ITB No. Infra-2020-01</t>
  </si>
  <si>
    <t>PDDO-20-1156</t>
  </si>
  <si>
    <t>2020-07-10-12</t>
  </si>
  <si>
    <t>20FG0101</t>
  </si>
  <si>
    <t>INFR-023-2020</t>
  </si>
  <si>
    <t>20FF0098</t>
  </si>
  <si>
    <t>2020-07-10-13</t>
  </si>
  <si>
    <t>PB20200618-039</t>
  </si>
  <si>
    <t>2020-S-8</t>
  </si>
  <si>
    <t>Aklan BAC ITB 362 Series of 2020</t>
  </si>
  <si>
    <t>20FH0085</t>
  </si>
  <si>
    <t>20BE0049 (re-adv.)</t>
  </si>
  <si>
    <t>20FF0099</t>
  </si>
  <si>
    <t>20BE0048 (re-adv.)</t>
  </si>
  <si>
    <t>INFRA2020-CDD-002/ MG-COM20-003 Construction of Wh</t>
  </si>
  <si>
    <t>20BE0047 (re-adv.)</t>
  </si>
  <si>
    <t>2020-06-074</t>
  </si>
  <si>
    <t>2020-06-075</t>
  </si>
  <si>
    <t>2020-7</t>
  </si>
  <si>
    <t>BAC-GS 2020-097, 2020-098, 2020-099, 2020-100, 202</t>
  </si>
  <si>
    <t>CMPG-13</t>
  </si>
  <si>
    <t>LIN-LDN-06-19-20A</t>
  </si>
  <si>
    <t>PR-2020-9999-0185</t>
  </si>
  <si>
    <t>2020-07-10-06</t>
  </si>
  <si>
    <t>BBC2020-004</t>
  </si>
  <si>
    <t>INFR-2020-009</t>
  </si>
  <si>
    <t>SJBC-2020-003</t>
  </si>
  <si>
    <t>INFR-2020-033</t>
  </si>
  <si>
    <t>106</t>
  </si>
  <si>
    <t>INFR-2020-036</t>
  </si>
  <si>
    <t>INFR-2020-031</t>
  </si>
  <si>
    <t>INFR-2020-035</t>
  </si>
  <si>
    <t>LIN-LDN-06-19-20B</t>
  </si>
  <si>
    <t>IB No.2020-06-011-G</t>
  </si>
  <si>
    <t>INFR-2020-037</t>
  </si>
  <si>
    <t>INFR-2020-030</t>
  </si>
  <si>
    <t>INFR-2020-029</t>
  </si>
  <si>
    <t>20FH0087</t>
  </si>
  <si>
    <t>INFRA-2020-48</t>
  </si>
  <si>
    <t>INFR-2020-028</t>
  </si>
  <si>
    <t>2020-INFRA-041</t>
  </si>
  <si>
    <t>2020-INFRA-039</t>
  </si>
  <si>
    <t>2020-INFRA-043</t>
  </si>
  <si>
    <t>2020-INFRA-042</t>
  </si>
  <si>
    <t>ITB-KOR: 20-06-0683 CEO</t>
  </si>
  <si>
    <t>2020-INFRA-040</t>
  </si>
  <si>
    <t>SRAVIS 20-06-280</t>
  </si>
  <si>
    <t>INFR-2020-032</t>
  </si>
  <si>
    <t>2020-INFRA-044</t>
  </si>
  <si>
    <t>ITB-KOR: 20-06-0686 DEPED</t>
  </si>
  <si>
    <t>ITB-KOR: 20-06-0684 CEO</t>
  </si>
  <si>
    <t>LIMAO-BAC-09-20</t>
  </si>
  <si>
    <t>0704-19@</t>
  </si>
  <si>
    <t>PBS 20-073A</t>
  </si>
  <si>
    <t>ITB-KOR: 20-06-0687 DEPED</t>
  </si>
  <si>
    <t>20ITB-INF-02-00040</t>
  </si>
  <si>
    <t>INFR-2020-034</t>
  </si>
  <si>
    <t>ITB-KOR: 20-06-0685 DEPED</t>
  </si>
  <si>
    <t>2020-NFA-RBAC-8-GOODS-02</t>
  </si>
  <si>
    <t>20-06-0004</t>
  </si>
  <si>
    <t>202-001</t>
  </si>
  <si>
    <t>PUR20-02-0135</t>
  </si>
  <si>
    <t>Goods 0031-2020</t>
  </si>
  <si>
    <t>20200619-01-G</t>
  </si>
  <si>
    <t>PB2020-06-005 GAA</t>
  </si>
  <si>
    <t>20200214-02-G</t>
  </si>
  <si>
    <t>20200205-01-G</t>
  </si>
  <si>
    <t>2020-03-035</t>
  </si>
  <si>
    <t>ITB No. GOP/20-DSWD-039</t>
  </si>
  <si>
    <t>INFRA20-06-055</t>
  </si>
  <si>
    <t>LIN-LDN-06-19-20C</t>
  </si>
  <si>
    <t>2020-GSIS-PB-100</t>
  </si>
  <si>
    <t>IB No. 2020-045</t>
  </si>
  <si>
    <t>BAC-HO-GS No. 2020-0347 dtd 16 June 2020 (HRDD)</t>
  </si>
  <si>
    <t>ITB PR No.: 0545-20BAC</t>
  </si>
  <si>
    <t>GLQ-2020-12</t>
  </si>
  <si>
    <t>2020-GSIS-PB-091</t>
  </si>
  <si>
    <t>g2020-013</t>
  </si>
  <si>
    <t>20-242</t>
  </si>
  <si>
    <t>DTI PB-20-009A</t>
  </si>
  <si>
    <t>DA3-2020-06-10-129</t>
  </si>
  <si>
    <t>2020-WMETER-001</t>
  </si>
  <si>
    <t>2020-PAVILION B-001</t>
  </si>
  <si>
    <t>2020-PAVILION A-001</t>
  </si>
  <si>
    <t>IB-2020-091-INFRA</t>
  </si>
  <si>
    <t>2020-WTRANSMISSION-001</t>
  </si>
  <si>
    <t>PB-13-2020</t>
  </si>
  <si>
    <t>INFRA-10-20-01</t>
  </si>
  <si>
    <t>20BH0142</t>
  </si>
  <si>
    <t>MGPIN 2020-018</t>
  </si>
  <si>
    <t>ITB No. 2020-02-03</t>
  </si>
  <si>
    <t>SBAC-PGSO-06212020-04</t>
  </si>
  <si>
    <t>ITB No. 2020-02-02</t>
  </si>
  <si>
    <t>IB NO. 2020-07-13 (11)</t>
  </si>
  <si>
    <t>06-2020-960</t>
  </si>
  <si>
    <t>06-2020-962</t>
  </si>
  <si>
    <t>IB NO. 2020-07-15 (12)</t>
  </si>
  <si>
    <t>06-221-2020</t>
  </si>
  <si>
    <t>LAMISCA IMO 6-21-2020 CW</t>
  </si>
  <si>
    <t>06-121-2020</t>
  </si>
  <si>
    <t>ITB GOODS 2020-06-36</t>
  </si>
  <si>
    <t>ITB No. 2020-02-04</t>
  </si>
  <si>
    <t>73511</t>
  </si>
  <si>
    <t>IB-2020-093-INFRA</t>
  </si>
  <si>
    <t>DA3-2020-06-10-130</t>
  </si>
  <si>
    <t>IB-2020-092-INFRA</t>
  </si>
  <si>
    <t>SBAC-PGSO-06212020-03</t>
  </si>
  <si>
    <t>ITB No. 2020-77</t>
  </si>
  <si>
    <t>SBAC-PGSO-06212020-02</t>
  </si>
  <si>
    <t>PR NO. 020-05-20</t>
  </si>
  <si>
    <t>20PB0033</t>
  </si>
  <si>
    <t>20GAD0005</t>
  </si>
  <si>
    <t>ITB-2020-54</t>
  </si>
  <si>
    <t>2020-06-09</t>
  </si>
  <si>
    <t>ITB-2020-51</t>
  </si>
  <si>
    <t>IB-2020-094-INFRA</t>
  </si>
  <si>
    <t>GS 2020 -005-016</t>
  </si>
  <si>
    <t>ITB-2020-50</t>
  </si>
  <si>
    <t>ITB-2020-49</t>
  </si>
  <si>
    <t>Public Bidding 20GAD0004</t>
  </si>
  <si>
    <t>PB-infra-02-2020</t>
  </si>
  <si>
    <t>ITB-2020-52</t>
  </si>
  <si>
    <t>2020-006-01</t>
  </si>
  <si>
    <t>6725474</t>
  </si>
  <si>
    <t>ITB-2020-53</t>
  </si>
  <si>
    <t>20DN0174</t>
  </si>
  <si>
    <t>20DN0173</t>
  </si>
  <si>
    <t>20DN0134</t>
  </si>
  <si>
    <t>20DN0172</t>
  </si>
  <si>
    <t>ITB-2020-48</t>
  </si>
  <si>
    <t>20DN0130</t>
  </si>
  <si>
    <t>20DN0129</t>
  </si>
  <si>
    <t>DA3-2020-06-10-131</t>
  </si>
  <si>
    <t>20DN0128</t>
  </si>
  <si>
    <t>2020-003-D.</t>
  </si>
  <si>
    <t>20GOC0004</t>
  </si>
  <si>
    <t>20DN0166</t>
  </si>
  <si>
    <t>20DN0170</t>
  </si>
  <si>
    <t>2020-PB-VMWARE-030-01</t>
  </si>
  <si>
    <t>20DN0131</t>
  </si>
  <si>
    <t>20DN0144</t>
  </si>
  <si>
    <t>20DN0143</t>
  </si>
  <si>
    <t>SRC INFRA 2020-06-079</t>
  </si>
  <si>
    <t>INFRA 20–06–052</t>
  </si>
  <si>
    <t>2020-002-D</t>
  </si>
  <si>
    <t>20DN0167</t>
  </si>
  <si>
    <t>20DN0140</t>
  </si>
  <si>
    <t>GOODS20-06-030</t>
  </si>
  <si>
    <t>20DN0138</t>
  </si>
  <si>
    <t>itb20-06-027A</t>
  </si>
  <si>
    <t>INFRA20–06–053</t>
  </si>
  <si>
    <t>20DN0141</t>
  </si>
  <si>
    <t>MGM 2020-034</t>
  </si>
  <si>
    <t>20DN0139</t>
  </si>
  <si>
    <t>06-00756</t>
  </si>
  <si>
    <t>8th Batch 2020</t>
  </si>
  <si>
    <t>20DN0137</t>
  </si>
  <si>
    <t>B20-18-07</t>
  </si>
  <si>
    <t>MGM 2020-036</t>
  </si>
  <si>
    <t>008-20</t>
  </si>
  <si>
    <t>06-00745</t>
  </si>
  <si>
    <t>AD-ITB-2020-GS-001</t>
  </si>
  <si>
    <t>REI NO. GOP/20-DSWD-001 - HIRING OF CONSULTANCY FI</t>
  </si>
  <si>
    <t>06-003-20</t>
  </si>
  <si>
    <t>REI_2020-03-0068</t>
  </si>
  <si>
    <t>PB-2020-GDS-028</t>
  </si>
  <si>
    <t>20DN0142</t>
  </si>
  <si>
    <t>LGU-M-INFRA-11-20</t>
  </si>
  <si>
    <t>20DN0136</t>
  </si>
  <si>
    <t>20CSFM0001</t>
  </si>
  <si>
    <t>itb20-06-027C</t>
  </si>
  <si>
    <t>itb20-06-027D</t>
  </si>
  <si>
    <t>itb20-06-027B</t>
  </si>
  <si>
    <t>ITB-2020-044</t>
  </si>
  <si>
    <t>Bid Ref. No. 2020-007; PR No. 2020-06-0178</t>
  </si>
  <si>
    <t>06-002-20</t>
  </si>
  <si>
    <t>2020-06-02B</t>
  </si>
  <si>
    <t>20DN0135</t>
  </si>
  <si>
    <t>MGM 2020-035</t>
  </si>
  <si>
    <t>IB No. 20-57</t>
  </si>
  <si>
    <t>20AF0079</t>
  </si>
  <si>
    <t>20L00140</t>
  </si>
  <si>
    <t>20L00043</t>
  </si>
  <si>
    <t>06-00770</t>
  </si>
  <si>
    <t>06-00743</t>
  </si>
  <si>
    <t>06-00772</t>
  </si>
  <si>
    <t>06-00715</t>
  </si>
  <si>
    <t>2020-06-20-01-I</t>
  </si>
  <si>
    <t>20AF0078</t>
  </si>
  <si>
    <t>20L00137</t>
  </si>
  <si>
    <t>20AH0213</t>
  </si>
  <si>
    <t>06-00723</t>
  </si>
  <si>
    <t>06-00724</t>
  </si>
  <si>
    <t>20AH0210</t>
  </si>
  <si>
    <t>06-00713</t>
  </si>
  <si>
    <t>007099-2020-01</t>
  </si>
  <si>
    <t>IB No. 20-53</t>
  </si>
  <si>
    <t>007116-2020-01</t>
  </si>
  <si>
    <t>006976-0000-00</t>
  </si>
  <si>
    <t>007026-2020-01</t>
  </si>
  <si>
    <t>20AH0211</t>
  </si>
  <si>
    <t>2020-06-020-MEO</t>
  </si>
  <si>
    <t>IB No. 20-52</t>
  </si>
  <si>
    <t>IB No. 20-56</t>
  </si>
  <si>
    <t>INFRA 20–06–054</t>
  </si>
  <si>
    <t>GFG-2020-06-018</t>
  </si>
  <si>
    <t>2020-06-03B</t>
  </si>
  <si>
    <t>C9-20-0212</t>
  </si>
  <si>
    <t>20AH0212</t>
  </si>
  <si>
    <t>20OI0127</t>
  </si>
  <si>
    <t>20OI0126</t>
  </si>
  <si>
    <t>20OI0125</t>
  </si>
  <si>
    <t>IB No. 20-41</t>
  </si>
  <si>
    <t>06192020</t>
  </si>
  <si>
    <t>20OI0123</t>
  </si>
  <si>
    <t>IB No. 20-40</t>
  </si>
  <si>
    <t>IB No. 20-60</t>
  </si>
  <si>
    <t>20OI0124</t>
  </si>
  <si>
    <t>DAR-CAV-RFQ-ARBDSP-2020-13</t>
  </si>
  <si>
    <t>DAR-CAV-RFQ-ARBDSP-2020-12</t>
  </si>
  <si>
    <t>IB No. 20-61</t>
  </si>
  <si>
    <t>041</t>
  </si>
  <si>
    <t>20GDN0004</t>
  </si>
  <si>
    <t>05-00701</t>
  </si>
  <si>
    <t>20DN0175</t>
  </si>
  <si>
    <t>06-00754</t>
  </si>
  <si>
    <t>2020-SRV-013</t>
  </si>
  <si>
    <t>2020-028-GDS</t>
  </si>
  <si>
    <t>G-20-03-A</t>
  </si>
  <si>
    <t>20-05-0564</t>
  </si>
  <si>
    <t>3134-20</t>
  </si>
  <si>
    <t>20GOC0003</t>
  </si>
  <si>
    <t>20-04-0511</t>
  </si>
  <si>
    <t>06-00762</t>
  </si>
  <si>
    <t>20FB0155</t>
  </si>
  <si>
    <t>20-03-0414</t>
  </si>
  <si>
    <t>2020-001I</t>
  </si>
  <si>
    <t>20GDN0003</t>
  </si>
  <si>
    <t>202-06-014B</t>
  </si>
  <si>
    <t>2020-026-GDS</t>
  </si>
  <si>
    <t>C9-20-0420</t>
  </si>
  <si>
    <t>INFRA-2020-06-001</t>
  </si>
  <si>
    <t>20-04-0503</t>
  </si>
  <si>
    <t>BS 20-06-0664</t>
  </si>
  <si>
    <t>20FE0124</t>
  </si>
  <si>
    <t>ITB No. 20-64</t>
  </si>
  <si>
    <t>202006190001</t>
  </si>
  <si>
    <t>J3-20-0472</t>
  </si>
  <si>
    <t>2020-06-021-MEO</t>
  </si>
  <si>
    <t>20-00047</t>
  </si>
  <si>
    <t>INFRA-10-20-04</t>
  </si>
  <si>
    <t>2020-06-526</t>
  </si>
  <si>
    <t>ITB NO. 20-43</t>
  </si>
  <si>
    <t>ITB No. 20-49</t>
  </si>
  <si>
    <t>OMM-2020-01</t>
  </si>
  <si>
    <t>ITB No. 20-48</t>
  </si>
  <si>
    <t>ITB NO. 20-35</t>
  </si>
  <si>
    <t>P11-20-0571</t>
  </si>
  <si>
    <t>I4-20-0556</t>
  </si>
  <si>
    <t>INFRA-10-20-03</t>
  </si>
  <si>
    <t>M7-20-0497</t>
  </si>
  <si>
    <t>JRF-2020-030</t>
  </si>
  <si>
    <t>202045</t>
  </si>
  <si>
    <t>20-01-002</t>
  </si>
  <si>
    <t>Various BAC GS Nos_SSD</t>
  </si>
  <si>
    <t>GFG-2020-06-019</t>
  </si>
  <si>
    <t>BAC1-20-004</t>
  </si>
  <si>
    <t>PBD-CONSULTANCY-2020-002</t>
  </si>
  <si>
    <t>INFRA-10-20-02</t>
  </si>
  <si>
    <t>20FO0102</t>
  </si>
  <si>
    <t>bir_pb 2020-31</t>
  </si>
  <si>
    <t>20CG0143</t>
  </si>
  <si>
    <t>20-06-088</t>
  </si>
  <si>
    <t>20EA0053</t>
  </si>
  <si>
    <t>SEF-I-52-2020</t>
  </si>
  <si>
    <t>20200619-02-G</t>
  </si>
  <si>
    <t>2020-06-22-04</t>
  </si>
  <si>
    <t>IB-2020-25-NEGO</t>
  </si>
  <si>
    <t>CONTRACT ID # 20-06-090</t>
  </si>
  <si>
    <t>I.B. No. 2020-0025</t>
  </si>
  <si>
    <t>20CG0142</t>
  </si>
  <si>
    <t>20GBI007</t>
  </si>
  <si>
    <t>IB 2020 – 057</t>
  </si>
  <si>
    <t>20-04-157</t>
  </si>
  <si>
    <t>MGPIN 2020-016</t>
  </si>
  <si>
    <t>CONTRACT ID: 20-06-089</t>
  </si>
  <si>
    <t>uplb-rq-6-075-20 Goods (Vehicle parts and supplies</t>
  </si>
  <si>
    <t>202006190002</t>
  </si>
  <si>
    <t>20GG00018</t>
  </si>
  <si>
    <t>MGM 2020-037</t>
  </si>
  <si>
    <t>20OC0101</t>
  </si>
  <si>
    <t>2020-173</t>
  </si>
  <si>
    <t>ITB No. EMB-GOODS-NCB-2020-05-002</t>
  </si>
  <si>
    <t>20OC0104</t>
  </si>
  <si>
    <t>CAR-ADN-2020-094</t>
  </si>
  <si>
    <t>20GFN0005</t>
  </si>
  <si>
    <t>20GFN0008</t>
  </si>
  <si>
    <t>20OF0319</t>
  </si>
  <si>
    <t>BS 20-06-0677</t>
  </si>
  <si>
    <t>bcwd-2020-057</t>
  </si>
  <si>
    <t>GOODS-20-33</t>
  </si>
  <si>
    <t>401-20-01-005</t>
  </si>
  <si>
    <t>BS 20-06-0675</t>
  </si>
  <si>
    <t>06192020A</t>
  </si>
  <si>
    <t>Jiab-2020-38A</t>
  </si>
  <si>
    <t>BS 20-06-0676</t>
  </si>
  <si>
    <t>20OF0317</t>
  </si>
  <si>
    <t>2020-020-PB</t>
  </si>
  <si>
    <t>CRN 029</t>
  </si>
  <si>
    <t>06192020B</t>
  </si>
  <si>
    <t>20FE0126</t>
  </si>
  <si>
    <t>Tubigagmanok2020Goods003</t>
  </si>
  <si>
    <t>20OF0323</t>
  </si>
  <si>
    <t>C10-20-0224</t>
  </si>
  <si>
    <t>Tubigagmanok2020Goods002</t>
  </si>
  <si>
    <t>20FE0125</t>
  </si>
  <si>
    <t>Tubigagmanok2020Goods001</t>
  </si>
  <si>
    <t>GOODS-2020-61</t>
  </si>
  <si>
    <t>MG-A7M20-072</t>
  </si>
  <si>
    <t>HPU-2020-01-0005</t>
  </si>
  <si>
    <t>Civil Works 021-2020</t>
  </si>
  <si>
    <t>20OF0318</t>
  </si>
  <si>
    <t>PB-LAP-2020-066</t>
  </si>
  <si>
    <t>2020-06-022-MEO</t>
  </si>
  <si>
    <t>PB-LAP-2020-067</t>
  </si>
  <si>
    <t>20GFG0019</t>
  </si>
  <si>
    <t>NFA-NCR-RBAC-2020-06-19-009</t>
  </si>
  <si>
    <t>20G00099</t>
  </si>
  <si>
    <t>20OF0322</t>
  </si>
  <si>
    <t>20OF0321</t>
  </si>
  <si>
    <t>BS 20-06-0678</t>
  </si>
  <si>
    <t>C9-20-0187</t>
  </si>
  <si>
    <t>20OF0320</t>
  </si>
  <si>
    <t>JUNE192020-4</t>
  </si>
  <si>
    <t>20GFN0007</t>
  </si>
  <si>
    <t>03-20-94</t>
  </si>
  <si>
    <t>32-20</t>
  </si>
  <si>
    <t>20GFN0006</t>
  </si>
  <si>
    <t>33-20</t>
  </si>
  <si>
    <t>20G00101</t>
  </si>
  <si>
    <t>SF-LABOR NO. 10-(06-19-20)</t>
  </si>
  <si>
    <t>2020-05-049-D</t>
  </si>
  <si>
    <t>2020-05-037-D</t>
  </si>
  <si>
    <t>31-20</t>
  </si>
  <si>
    <t>2020-05-047-D</t>
  </si>
  <si>
    <t>EMB-NCB-GOODS-05-2020</t>
  </si>
  <si>
    <t>SF-GOODS NO. 63-(6-19-20)</t>
  </si>
  <si>
    <t>30-20</t>
  </si>
  <si>
    <t>20G00100</t>
  </si>
  <si>
    <t>101-1011-2020-06-138</t>
  </si>
  <si>
    <t>20MC0103</t>
  </si>
  <si>
    <t>PB-PAFBAC-158-20</t>
  </si>
  <si>
    <t>PB2020-009 (PR No. 20-01-0105)</t>
  </si>
  <si>
    <t>2020-03-028</t>
  </si>
  <si>
    <t>POW-Yabbi</t>
  </si>
  <si>
    <t>QES-06-022-20</t>
  </si>
  <si>
    <t>PB2020-008 (PR No. 19-10-1294)</t>
  </si>
  <si>
    <t>GDS 20-056</t>
  </si>
  <si>
    <t>BACII-2020-16</t>
  </si>
  <si>
    <t>20OD0193</t>
  </si>
  <si>
    <t>20JGI0035</t>
  </si>
  <si>
    <t>20GG0178</t>
  </si>
  <si>
    <t>INFRA 2020-007</t>
  </si>
  <si>
    <t>20AE0068: Construction of 2 Storey 6 Classroom Sch</t>
  </si>
  <si>
    <t>20OD0195</t>
  </si>
  <si>
    <t>PB-PAFBAC-157-20</t>
  </si>
  <si>
    <t>146 – 2020</t>
  </si>
  <si>
    <t>147 – 2020</t>
  </si>
  <si>
    <t>20-328</t>
  </si>
  <si>
    <t>DPWH-SK2DEO-20MH0108</t>
  </si>
  <si>
    <t>20GG0177</t>
  </si>
  <si>
    <t>20-318</t>
  </si>
  <si>
    <t>DPWH-SK2DEO-20MH0107</t>
  </si>
  <si>
    <t>20OD0192</t>
  </si>
  <si>
    <t>DPWH-SK2DEO-20MH0104</t>
  </si>
  <si>
    <t xml:space="preserve">AMP SVP-D NO: 20-05-0290B One (1) Lot Calibration </t>
  </si>
  <si>
    <t>LGU-M-INFRA-14-20</t>
  </si>
  <si>
    <t>LGU-M-INFRA-13-20</t>
  </si>
  <si>
    <t>BGHMCPB-2020-15-001</t>
  </si>
  <si>
    <t>2020-143-I</t>
  </si>
  <si>
    <t>20-434</t>
  </si>
  <si>
    <t>DPWH-SK2DEO-20MH0105</t>
  </si>
  <si>
    <t>20-433</t>
  </si>
  <si>
    <t>20-382</t>
  </si>
  <si>
    <t>20-437</t>
  </si>
  <si>
    <t>20-349</t>
  </si>
  <si>
    <t>20-336</t>
  </si>
  <si>
    <t>20-435</t>
  </si>
  <si>
    <t>20GG0181</t>
  </si>
  <si>
    <t>2020-151-I</t>
  </si>
  <si>
    <t>LGU-M-INFRA-12-20</t>
  </si>
  <si>
    <t>2020-GOODS-004R-02-0619</t>
  </si>
  <si>
    <t>20-436</t>
  </si>
  <si>
    <t>INF 20AR-EZ-20-01</t>
  </si>
  <si>
    <t>LL-21-20</t>
  </si>
  <si>
    <t>INF 20AR-EZ-20-02</t>
  </si>
  <si>
    <t>DBS-004-2020</t>
  </si>
  <si>
    <t>INFRA2020-06-024.4</t>
  </si>
  <si>
    <t>LL-22-20</t>
  </si>
  <si>
    <t>INFRA2020-06-024.3</t>
  </si>
  <si>
    <t>INFRA2020-06-024.1</t>
  </si>
  <si>
    <t>20GG0180</t>
  </si>
  <si>
    <t>INFRA2020-06-024.5</t>
  </si>
  <si>
    <t>DPWH-SK2DEO-20MH0106</t>
  </si>
  <si>
    <t>20CSEG01</t>
  </si>
  <si>
    <t>20-343</t>
  </si>
  <si>
    <t>IB 2020-07-008 POSE</t>
  </si>
  <si>
    <t>INFRA2020-06-024.2</t>
  </si>
  <si>
    <t>2020-07G</t>
  </si>
  <si>
    <t>20GG0179</t>
  </si>
  <si>
    <t>20-02</t>
  </si>
  <si>
    <t>ITDI-PB-INFRA-2020-CO-01 EBD</t>
  </si>
  <si>
    <t>MS2020-06-027.2</t>
  </si>
  <si>
    <t>DPWH-SK2DEO-20GMH049</t>
  </si>
  <si>
    <t>G-2020-046</t>
  </si>
  <si>
    <t>GO-2020-06-92</t>
  </si>
  <si>
    <t>G-2020-045</t>
  </si>
  <si>
    <t>LGU-M-GOODS-05-20</t>
  </si>
  <si>
    <t>IB NO. CW 2020 - 091</t>
  </si>
  <si>
    <t>INIMO-2020-06-040</t>
  </si>
  <si>
    <t>G-2020-044</t>
  </si>
  <si>
    <t>GO-2020-06-88</t>
  </si>
  <si>
    <t xml:space="preserve">AMP SVP-D NO: 20-05-0269B  One (1) Lot	 Molecular </t>
  </si>
  <si>
    <t>IB NO. CW 2020 - 090</t>
  </si>
  <si>
    <t>GO-2020-06-85</t>
  </si>
  <si>
    <t>GO-2020-06-90</t>
  </si>
  <si>
    <t>GO-2020-06-86</t>
  </si>
  <si>
    <t>20200616</t>
  </si>
  <si>
    <t>MS2020-06-026.5</t>
  </si>
  <si>
    <t>IB NO. CW 2020 - 093</t>
  </si>
  <si>
    <t>B022-2020</t>
  </si>
  <si>
    <t>GO-2020-06-91</t>
  </si>
  <si>
    <t>IB NO. CW 2020 - 096</t>
  </si>
  <si>
    <t>PR 36117</t>
  </si>
  <si>
    <t>B020-2020</t>
  </si>
  <si>
    <t>20EE0138</t>
  </si>
  <si>
    <t>IB NO. CW 2020 - 094</t>
  </si>
  <si>
    <t>GO-2020-06-87</t>
  </si>
  <si>
    <t>IB NO. CW 2020 - 095</t>
  </si>
  <si>
    <t>B021-2020</t>
  </si>
  <si>
    <t>IB NO. CW 2020 - 092</t>
  </si>
  <si>
    <t>NP-NGOP-2020-02</t>
  </si>
  <si>
    <t>IB NO. CW 2020-089</t>
  </si>
  <si>
    <t>CGT-Goods- 2020-00087</t>
  </si>
  <si>
    <t>PB NO. 2020-039</t>
  </si>
  <si>
    <t>GO-2020-06-98</t>
  </si>
  <si>
    <t>GO-2020-06-97</t>
  </si>
  <si>
    <t>GO-2020-06-95</t>
  </si>
  <si>
    <t>GO-2020-06-93</t>
  </si>
  <si>
    <t>TF-20-06-096(Q)</t>
  </si>
  <si>
    <t>MS2020-06-027.3</t>
  </si>
  <si>
    <t>PB NO. 2020-038</t>
  </si>
  <si>
    <t>MS2020-06-027.1</t>
  </si>
  <si>
    <t>BCS-2020-0130</t>
  </si>
  <si>
    <t>GO-2020-06-96</t>
  </si>
  <si>
    <t>PB-PAFBAC-159-20</t>
  </si>
  <si>
    <t>G-2020-047</t>
  </si>
  <si>
    <t>20AE0070: Construction of 2-Storey 4-Classroom Sch</t>
  </si>
  <si>
    <t>2020-05-043-D</t>
  </si>
  <si>
    <t>MKWD2020-051</t>
  </si>
  <si>
    <t>20AE0069: Construction of 2 Storey 4 Classroom Sch</t>
  </si>
  <si>
    <t>009-20</t>
  </si>
  <si>
    <t>ITB 13-2020</t>
  </si>
  <si>
    <t>CYN-BAC-2020-35</t>
  </si>
  <si>
    <t>B032-2020</t>
  </si>
  <si>
    <t>69-2020</t>
  </si>
  <si>
    <t>68-2020</t>
  </si>
  <si>
    <t>DIS-19-1554-B</t>
  </si>
  <si>
    <t>MG-A7T20-055</t>
  </si>
  <si>
    <t>B033-2020</t>
  </si>
  <si>
    <t>MS2020-06-026.4</t>
  </si>
  <si>
    <t>PPD-20-0661-B</t>
  </si>
  <si>
    <t>20-06-0352</t>
  </si>
  <si>
    <t>67-2020</t>
  </si>
  <si>
    <t>CYN-BAC-2020-36</t>
  </si>
  <si>
    <t>B029-2020</t>
  </si>
  <si>
    <t>IB NO. CW 2020 - 097</t>
  </si>
  <si>
    <t>B028-2020</t>
  </si>
  <si>
    <t>B026-2020</t>
  </si>
  <si>
    <t>B027-2020</t>
  </si>
  <si>
    <t>B025-2020</t>
  </si>
  <si>
    <t>B031-2020</t>
  </si>
  <si>
    <t>B030-2020</t>
  </si>
  <si>
    <t>B023-2020</t>
  </si>
  <si>
    <t>GOODS-2020-60</t>
  </si>
  <si>
    <t>B024-2020</t>
  </si>
  <si>
    <t>DOC2</t>
  </si>
  <si>
    <t>DOC3</t>
  </si>
  <si>
    <t>IB No. 20-50</t>
  </si>
  <si>
    <t>MG-A7T20-054</t>
  </si>
  <si>
    <t>2020.06.16.01</t>
  </si>
  <si>
    <t>BID 001-2020</t>
  </si>
  <si>
    <t>ITB 20-073</t>
  </si>
  <si>
    <t>LTFRB-06-015</t>
  </si>
  <si>
    <t>28</t>
  </si>
  <si>
    <t>2020-0275</t>
  </si>
  <si>
    <t>ITB 20-074</t>
  </si>
  <si>
    <t>2020-06-001 INF</t>
  </si>
  <si>
    <t>8-2o2o</t>
  </si>
  <si>
    <t>100-2019-01-068</t>
  </si>
  <si>
    <t>2020-05-046-D</t>
  </si>
  <si>
    <t>061820</t>
  </si>
  <si>
    <t>IB No. 20-54</t>
  </si>
  <si>
    <t>100-2020-01-069</t>
  </si>
  <si>
    <t>20FB0152</t>
  </si>
  <si>
    <t>2020123</t>
  </si>
  <si>
    <t>IB No. 20-39</t>
  </si>
  <si>
    <t>2020.06.16.03</t>
  </si>
  <si>
    <t>SVP No. 2020-034</t>
  </si>
  <si>
    <t>IB No. 20-42</t>
  </si>
  <si>
    <t>431-06-2020 (IPHO)</t>
  </si>
  <si>
    <t>20FB0153</t>
  </si>
  <si>
    <t>PR 06-3515</t>
  </si>
  <si>
    <t>GOODS-54-2020</t>
  </si>
  <si>
    <t>BAYLEGOOD0620063</t>
  </si>
  <si>
    <t>101-2020-05-273</t>
  </si>
  <si>
    <t>IB No. 20-63</t>
  </si>
  <si>
    <t>IB No. 20-47</t>
  </si>
  <si>
    <t>17-2020</t>
  </si>
  <si>
    <t>IB No. 20-45</t>
  </si>
  <si>
    <t>dpwh-c2-deo 20HE0119</t>
  </si>
  <si>
    <t>2020-03-0474</t>
  </si>
  <si>
    <t>2020DP42-R1</t>
  </si>
  <si>
    <t>06-03-2020</t>
  </si>
  <si>
    <t>ITB-2020-088</t>
  </si>
  <si>
    <t>MO-001-06-2020</t>
  </si>
  <si>
    <t>PB 2020-15</t>
  </si>
  <si>
    <t>20MC0098(Re-Published)</t>
  </si>
  <si>
    <t>06-02-2020</t>
  </si>
  <si>
    <t>20GA0222</t>
  </si>
  <si>
    <t>20-06-023-011/52</t>
  </si>
  <si>
    <t>2020.06.16.05</t>
  </si>
  <si>
    <t>BD20-06-001</t>
  </si>
  <si>
    <t>CYN-BAC-2020-37</t>
  </si>
  <si>
    <t>CJR-008-2020</t>
  </si>
  <si>
    <t>PB-PAFBAC-160-20</t>
  </si>
  <si>
    <t>AGGDS2020-0617C</t>
  </si>
  <si>
    <t>CJR-007-2020</t>
  </si>
  <si>
    <t>BFPX 2020-07</t>
  </si>
  <si>
    <t>20GA0220</t>
  </si>
  <si>
    <t xml:space="preserve">Supply and Delivery of Construction Materials and </t>
  </si>
  <si>
    <t>06182020001</t>
  </si>
  <si>
    <t>2020-04-286</t>
  </si>
  <si>
    <t>INFR-20-012</t>
  </si>
  <si>
    <t>20DB0135</t>
  </si>
  <si>
    <t>20-06-033</t>
  </si>
  <si>
    <t>MO-002-06-2020</t>
  </si>
  <si>
    <t>IB No. 20-33</t>
  </si>
  <si>
    <t>CYN-BAC-2020-38</t>
  </si>
  <si>
    <t>ITB No. 040-2020 GQ</t>
  </si>
  <si>
    <t>BAYLEGOOD0620064</t>
  </si>
  <si>
    <t>ITB No. 041-2020 GQ</t>
  </si>
  <si>
    <t>LGU-107-2020</t>
  </si>
  <si>
    <t>20MC0100 (Re-Published)</t>
  </si>
  <si>
    <t>IB No. 20-55</t>
  </si>
  <si>
    <t>2020.06.16.04</t>
  </si>
  <si>
    <t>ANONANG 2020-006-001</t>
  </si>
  <si>
    <t>PBG-2020-07</t>
  </si>
  <si>
    <t>2020-0707-001</t>
  </si>
  <si>
    <t>71-2020</t>
  </si>
  <si>
    <t>70-2020</t>
  </si>
  <si>
    <t>1-2020</t>
  </si>
  <si>
    <t>2020-WSERVICE_LINE-001</t>
  </si>
  <si>
    <t>IB No. 20-51</t>
  </si>
  <si>
    <t>07142020C</t>
  </si>
  <si>
    <t>20FB0154</t>
  </si>
  <si>
    <t>07142020B</t>
  </si>
  <si>
    <t>07142020=A</t>
  </si>
  <si>
    <t>SB4 ASA 300-20-05-05805</t>
  </si>
  <si>
    <t>POP 200-20-01-00295</t>
  </si>
  <si>
    <t>DPF19 300-20-03-02964</t>
  </si>
  <si>
    <t>ASTGOODS10</t>
  </si>
  <si>
    <t>ASTGOODS11</t>
  </si>
  <si>
    <t>20CSHL0001</t>
  </si>
  <si>
    <t>20CSNH03</t>
  </si>
  <si>
    <t>ECV-20EE0137</t>
  </si>
  <si>
    <t>20CSA005</t>
  </si>
  <si>
    <t>300-20-06-0640</t>
  </si>
  <si>
    <t>100-2020-03-496</t>
  </si>
  <si>
    <t xml:space="preserve">ITB No. GOP/20-DSWD-038 - Provision of Multi-Year </t>
  </si>
  <si>
    <t>425-06-2020 (IPHO)</t>
  </si>
  <si>
    <t>INFRA JULY 2020-044</t>
  </si>
  <si>
    <t>INFRA JULY 2020-043</t>
  </si>
  <si>
    <t>16-2020</t>
  </si>
  <si>
    <t>100-2020-03-497</t>
  </si>
  <si>
    <t>013</t>
  </si>
  <si>
    <t>100-2020-06-745</t>
  </si>
  <si>
    <t>2020.06.16.02</t>
  </si>
  <si>
    <t>20NH0091</t>
  </si>
  <si>
    <t>LGU - Quirino INFRA 2020 - 009</t>
  </si>
  <si>
    <t>100-2020-01-130</t>
  </si>
  <si>
    <t>20NH0075 (RE-AD)</t>
  </si>
  <si>
    <t>012</t>
  </si>
  <si>
    <t>ITB - 04 JUNE 2020</t>
  </si>
  <si>
    <t>ITB - 05 JUNE 2020</t>
  </si>
  <si>
    <t>Grants 20-05-23</t>
  </si>
  <si>
    <t>ITB - 02 JUNE 2020</t>
  </si>
  <si>
    <t>ITB - 01 JUNE 2020</t>
  </si>
  <si>
    <t>20GA0223</t>
  </si>
  <si>
    <t>INFRA JULY 2020-041</t>
  </si>
  <si>
    <t>INFRA JULY 2020-040</t>
  </si>
  <si>
    <t>INFRA JULY 2020-031</t>
  </si>
  <si>
    <t>LGU - Quirino INFRA 2020 - 007</t>
  </si>
  <si>
    <t>INFRA JULY 2020-030</t>
  </si>
  <si>
    <t>20NC0133</t>
  </si>
  <si>
    <t>20CSA006</t>
  </si>
  <si>
    <t>LGU - Quirino INFRA 2020 - 008</t>
  </si>
  <si>
    <t>INFRA JULY 2020-042</t>
  </si>
  <si>
    <t>IB No. GS-2020 – 074</t>
  </si>
  <si>
    <t>2020-06-01I</t>
  </si>
  <si>
    <t>INFRA JULY 2020-029</t>
  </si>
  <si>
    <t>2020-11 (20DI0161)</t>
  </si>
  <si>
    <t>ITB - 03 JUNE 2020</t>
  </si>
  <si>
    <t>IB No. 20-44</t>
  </si>
  <si>
    <t>IB No. GS-2020 – 073</t>
  </si>
  <si>
    <t>2020-11 (20DI0162)</t>
  </si>
  <si>
    <t>INFRA JULY 2020-028</t>
  </si>
  <si>
    <t>016</t>
  </si>
  <si>
    <t>20NH0092</t>
  </si>
  <si>
    <t>MO-004-06-2020</t>
  </si>
  <si>
    <t>20IL0195</t>
  </si>
  <si>
    <t>015</t>
  </si>
  <si>
    <t>20IL0196</t>
  </si>
  <si>
    <t>014</t>
  </si>
  <si>
    <t>017</t>
  </si>
  <si>
    <t>2002-19-32</t>
  </si>
  <si>
    <t>2020-11 (20DI0160)</t>
  </si>
  <si>
    <t>20200622</t>
  </si>
  <si>
    <t>20-06-003</t>
  </si>
  <si>
    <t>CYN-BAC-2020-39</t>
  </si>
  <si>
    <t>INFRA JULY 2020-027</t>
  </si>
  <si>
    <t>PR NO. 90805 &amp; PR 91288</t>
  </si>
  <si>
    <t>2020-06-0020</t>
  </si>
  <si>
    <t>EARIST-2020-BID-003</t>
  </si>
  <si>
    <t>Contract ID 20JH0060</t>
  </si>
  <si>
    <t>042020673</t>
  </si>
  <si>
    <t>2002-20-21-31-37</t>
  </si>
  <si>
    <t>MG-PHP20-010</t>
  </si>
  <si>
    <t>6-20-44</t>
  </si>
  <si>
    <t>BG2020-117</t>
  </si>
  <si>
    <t>BTG3-2020-0210</t>
  </si>
  <si>
    <t>S2-TAG20-010</t>
  </si>
  <si>
    <t>2020-06-0019</t>
  </si>
  <si>
    <t>Goods-2020-010 - Rebid</t>
  </si>
  <si>
    <t>MG-PAT20-035</t>
  </si>
  <si>
    <t>Print, Supply and Delivery of MTWD 2021 Calendar</t>
  </si>
  <si>
    <t>15-Goods-2020</t>
  </si>
  <si>
    <t>GOOD20200004(a)</t>
  </si>
  <si>
    <t>20PG0050</t>
  </si>
  <si>
    <t>ITB No. 2020-G-06-01</t>
  </si>
  <si>
    <t>2020-25-06-01</t>
  </si>
  <si>
    <t>0020-0160-0937.2020</t>
  </si>
  <si>
    <t>TM-20-06-0046</t>
  </si>
  <si>
    <t>20FK0056</t>
  </si>
  <si>
    <t>20AE0072: Construction of 2 Storey TechVoc Worksho</t>
  </si>
  <si>
    <t>77-2020</t>
  </si>
  <si>
    <t>ITB 2020-26</t>
  </si>
  <si>
    <t>B-037-2020</t>
  </si>
  <si>
    <t>20PG0045</t>
  </si>
  <si>
    <t>SRAVIS 20-06-291</t>
  </si>
  <si>
    <t>071-2020</t>
  </si>
  <si>
    <t>SRAVIS 20-06-292</t>
  </si>
  <si>
    <t>B-036-2020</t>
  </si>
  <si>
    <t>100(01)20-06-362(A)</t>
  </si>
  <si>
    <t>ITB No. 2020-I-P7-01</t>
  </si>
  <si>
    <t>ITB No. 2020-06-004</t>
  </si>
  <si>
    <t>9-06252020</t>
  </si>
  <si>
    <t>100(01)20-06-371(O)</t>
  </si>
  <si>
    <t>Contract ID 20JH0059</t>
  </si>
  <si>
    <t>2-06252020</t>
  </si>
  <si>
    <t>06-06-2020</t>
  </si>
  <si>
    <t>LGU-BALINGASAG-9005-20-063</t>
  </si>
  <si>
    <t>20-170</t>
  </si>
  <si>
    <t>ITB 20-06-002</t>
  </si>
  <si>
    <t>MO-003-06-2020</t>
  </si>
  <si>
    <t>075-20</t>
  </si>
  <si>
    <t>20GIA006 Procurement of DPWH Equipment</t>
  </si>
  <si>
    <t>MG-A7M20-078</t>
  </si>
  <si>
    <t>2020-02-1518</t>
  </si>
  <si>
    <t>SVP GOODS 2020-10</t>
  </si>
  <si>
    <t>ITB-SSS-GOODS-2020-018</t>
  </si>
  <si>
    <t>2020-06-2449</t>
  </si>
  <si>
    <t>2020-01-1386</t>
  </si>
  <si>
    <t>ITB02-LUMBANG-PATHWAY</t>
  </si>
  <si>
    <t>20CE0221</t>
  </si>
  <si>
    <t>20CE0219</t>
  </si>
  <si>
    <t>20CE0217</t>
  </si>
  <si>
    <t>20GKI0015</t>
  </si>
  <si>
    <t>20-165</t>
  </si>
  <si>
    <t>20GP015G</t>
  </si>
  <si>
    <t>20GA0142</t>
  </si>
  <si>
    <t>20CE0218</t>
  </si>
  <si>
    <t>2020-06-2478</t>
  </si>
  <si>
    <t>2020-07-017</t>
  </si>
  <si>
    <t>20GP016G</t>
  </si>
  <si>
    <t>20CE0220</t>
  </si>
  <si>
    <t>guincam2020-06-009</t>
  </si>
  <si>
    <t>SVP20-512</t>
  </si>
  <si>
    <t>PGLDN 2020-12</t>
  </si>
  <si>
    <t>PGLDN Capitol bldg. 2020-02</t>
  </si>
  <si>
    <t>20-05-064</t>
  </si>
  <si>
    <t>2020-06-034</t>
  </si>
  <si>
    <t>20-06-26</t>
  </si>
  <si>
    <t>POD20-098</t>
  </si>
  <si>
    <t>PGLDN MCC HOTEL 2020-01</t>
  </si>
  <si>
    <t>20KG0095</t>
  </si>
  <si>
    <t>D2-20-1411</t>
  </si>
  <si>
    <t>S2-GUI20-012</t>
  </si>
  <si>
    <t>POD20-096</t>
  </si>
  <si>
    <t>INFRA-2020-025</t>
  </si>
  <si>
    <t>POD20-111</t>
  </si>
  <si>
    <t>S2-BH220-006</t>
  </si>
  <si>
    <t>IB No. 20-62</t>
  </si>
  <si>
    <t>PGLDN   2020-11</t>
  </si>
  <si>
    <t>381-2020</t>
  </si>
  <si>
    <t>20AG0121</t>
  </si>
  <si>
    <t>PR No. 24-2020</t>
  </si>
  <si>
    <t>2020-06-08 INFRA</t>
  </si>
  <si>
    <t>2020-06-07 INFRA</t>
  </si>
  <si>
    <t>100(18)20-06-346(O)</t>
  </si>
  <si>
    <t>2002-92</t>
  </si>
  <si>
    <t>018</t>
  </si>
  <si>
    <t>2020-11 (20DI0165)</t>
  </si>
  <si>
    <t>2020-11 (20DI0163)</t>
  </si>
  <si>
    <t>2020-06-06 INFRA</t>
  </si>
  <si>
    <t>MO-005-06-2020</t>
  </si>
  <si>
    <t>06262001</t>
  </si>
  <si>
    <t>IB No. 20-59</t>
  </si>
  <si>
    <t>PB20-06-001BAC</t>
  </si>
  <si>
    <t>20KK0127</t>
  </si>
  <si>
    <t>2020-06-12 INFRA</t>
  </si>
  <si>
    <t>SN-001-06-2020</t>
  </si>
  <si>
    <t>NIAACIMO-RRENIS-MAMBUSAO-GS08-20</t>
  </si>
  <si>
    <t>20KK0126</t>
  </si>
  <si>
    <t>20AG0122</t>
  </si>
  <si>
    <t>019</t>
  </si>
  <si>
    <t>LGUPROC 2020 111B</t>
  </si>
  <si>
    <t>Goods2019</t>
  </si>
  <si>
    <t>2020-11 (20DI0164)</t>
  </si>
  <si>
    <t>LGUPROC 2020 -116B</t>
  </si>
  <si>
    <t>202006116</t>
  </si>
  <si>
    <t>BAYLECON0620066</t>
  </si>
  <si>
    <t>2020-418</t>
  </si>
  <si>
    <t>CW 01-2020</t>
  </si>
  <si>
    <t>LGUPROC 2020 112B</t>
  </si>
  <si>
    <t>LGUPROC 2020 114B</t>
  </si>
  <si>
    <t>LGUPROC 2020 -115b</t>
  </si>
  <si>
    <t>23</t>
  </si>
  <si>
    <t>RP-31-2020</t>
  </si>
  <si>
    <t>RP-30-2020</t>
  </si>
  <si>
    <t>ITB (CW-06-2020-019) 20DD0342</t>
  </si>
  <si>
    <t>140 – 2020</t>
  </si>
  <si>
    <t>2020-06-11 INFRA</t>
  </si>
  <si>
    <t>ITB (CW-06-2020-019) 20DD0341</t>
  </si>
  <si>
    <t>ITB (CW-06-2020-019) 20DD0339</t>
  </si>
  <si>
    <t>20GPI0005</t>
  </si>
  <si>
    <t>20FJ0027</t>
  </si>
  <si>
    <t>20AG0124</t>
  </si>
  <si>
    <t>RFQ-GS-20200616-01</t>
  </si>
  <si>
    <t>IntBLGU201820%DFGoods-002</t>
  </si>
  <si>
    <t>PB-2020-06-001</t>
  </si>
  <si>
    <t>2020-INFRA-237</t>
  </si>
  <si>
    <t>ITB (CW-06-2020-019) 20DD0263 (Re-Advertised)</t>
  </si>
  <si>
    <t>BAYLECON0620068</t>
  </si>
  <si>
    <t>20GDJ0008/N-2020-06-066</t>
  </si>
  <si>
    <t>ITB (CW-06-2020-019) 20DD0340</t>
  </si>
  <si>
    <t>C10-20-0222</t>
  </si>
  <si>
    <t>PB GOODS 2020-05</t>
  </si>
  <si>
    <t>20AJ0101</t>
  </si>
  <si>
    <t>143 – 2020</t>
  </si>
  <si>
    <t>LGUPROC 2020 -120B</t>
  </si>
  <si>
    <t>P11-20-0231</t>
  </si>
  <si>
    <t>C10-20-1041</t>
  </si>
  <si>
    <t>142 – 2020</t>
  </si>
  <si>
    <t>LGUPROC 2020 -111B</t>
  </si>
  <si>
    <t>ITB (CW-06-2020-019) 20DD0346</t>
  </si>
  <si>
    <t>141 – 2020</t>
  </si>
  <si>
    <t>ITB (CW-06-2020-019) 20DD0344</t>
  </si>
  <si>
    <t>2020-PBGOODS-06-009</t>
  </si>
  <si>
    <t>ITB (CW-06-2020-019) 20DD0347</t>
  </si>
  <si>
    <t>ITB (CW-06-2020-019) 20DD0343</t>
  </si>
  <si>
    <t>LGUPROC 2020 -119B</t>
  </si>
  <si>
    <t>ITB (CW-06-2020-019) 20DD0345</t>
  </si>
  <si>
    <t>20CB0071</t>
  </si>
  <si>
    <t>ITB (CW-06-2020-019) 20DD0348</t>
  </si>
  <si>
    <t>20AJ0102</t>
  </si>
  <si>
    <t>CYN-BAC-2020-40</t>
  </si>
  <si>
    <t>INFR-010-2020</t>
  </si>
  <si>
    <t>PB-2020-06-004</t>
  </si>
  <si>
    <t>ITB No. EMB-GOODS-NCB-2020-05-001</t>
  </si>
  <si>
    <t>20CB0072</t>
  </si>
  <si>
    <t>BNLSL-LCB-34-2020</t>
  </si>
  <si>
    <t>SUGERY-2020-02-0003</t>
  </si>
  <si>
    <t>S5-20-1045</t>
  </si>
  <si>
    <t>DA RFO-1-2019-INFRA-074</t>
  </si>
  <si>
    <t>LGUPROC 2020 -121B</t>
  </si>
  <si>
    <t>LGUPROC 2020 -123B</t>
  </si>
  <si>
    <t>20AJ0104</t>
  </si>
  <si>
    <t>BAYLECON0620065</t>
  </si>
  <si>
    <t>20AJ0103</t>
  </si>
  <si>
    <t>Project 02-2020</t>
  </si>
  <si>
    <t>LGUPROC 2020 - 118B</t>
  </si>
  <si>
    <t>BAYLEGOOD0620067</t>
  </si>
  <si>
    <t>LGUPROC 2020 - 117B</t>
  </si>
  <si>
    <t>G6-20-0496</t>
  </si>
  <si>
    <t>20053386</t>
  </si>
  <si>
    <t>2020-06-0123</t>
  </si>
  <si>
    <t>LGUPROC 2020 -113B</t>
  </si>
  <si>
    <t>PB20-06-002BAC</t>
  </si>
  <si>
    <t>NIAACIMO-SIP-TINA II-GS07-20</t>
  </si>
  <si>
    <t>20AG0123</t>
  </si>
  <si>
    <t>RFQ-GS-20200616-05</t>
  </si>
  <si>
    <t>20-016</t>
  </si>
  <si>
    <t>2020-06-10 INFRA</t>
  </si>
  <si>
    <t>200-2020-Infra-004</t>
  </si>
  <si>
    <t>5182020</t>
  </si>
  <si>
    <t>B-ITB No. 44-G-2020</t>
  </si>
  <si>
    <t>20KK0125</t>
  </si>
  <si>
    <t>BNLSL-LCB-04A-2019</t>
  </si>
  <si>
    <t>Infra-2020-P11-07-09</t>
  </si>
  <si>
    <t>2020-06-05 INFRA</t>
  </si>
  <si>
    <t>06182020-A</t>
  </si>
  <si>
    <t>ITB No. 2020 – 75</t>
  </si>
  <si>
    <t>020-11 Lot 2</t>
  </si>
  <si>
    <t>2002-93</t>
  </si>
  <si>
    <t>PIN2020-079</t>
  </si>
  <si>
    <t>2020-SAAD-27</t>
  </si>
  <si>
    <t>020-11 Lot 3</t>
  </si>
  <si>
    <t>IB No. GS-2020 – 075</t>
  </si>
  <si>
    <t>2020-883</t>
  </si>
  <si>
    <t>2020-06-09 INFRA</t>
  </si>
  <si>
    <t>MNE-G-2020-06-19</t>
  </si>
  <si>
    <t>20CB0077</t>
  </si>
  <si>
    <t>20FN0108</t>
  </si>
  <si>
    <t>20CB0076</t>
  </si>
  <si>
    <t>DA RFO-1-2019-INFRA-077</t>
  </si>
  <si>
    <t>DA RFO-1-2019-INFRA-075</t>
  </si>
  <si>
    <t>20GBC0007</t>
  </si>
  <si>
    <t>20CB0075</t>
  </si>
  <si>
    <t>101-19-08-634</t>
  </si>
  <si>
    <t>DA RFO-1-2019-INFRA-076</t>
  </si>
  <si>
    <t>CawExt2020-002</t>
  </si>
  <si>
    <t>20GGF0014</t>
  </si>
  <si>
    <t>20CB0074</t>
  </si>
  <si>
    <t>101-20-06-431</t>
  </si>
  <si>
    <t>PR# 20-06-0636</t>
  </si>
  <si>
    <t>MNE-2020-G-06-19</t>
  </si>
  <si>
    <t>20CB0073</t>
  </si>
  <si>
    <t>20MGU-041</t>
  </si>
  <si>
    <t>INFR-ITB NO. 011-2020</t>
  </si>
  <si>
    <t>CW20-06-038</t>
  </si>
  <si>
    <t>C10-20-1249</t>
  </si>
  <si>
    <t>IB-Goods-2020-10- Procurement of Medical Equipment</t>
  </si>
  <si>
    <t>2020-TS-28</t>
  </si>
  <si>
    <t>CW20-06-036</t>
  </si>
  <si>
    <t>GOODS PROC 009-2020</t>
  </si>
  <si>
    <t>2020-TS-29</t>
  </si>
  <si>
    <t>20NC0129</t>
  </si>
  <si>
    <t>20FJ0028</t>
  </si>
  <si>
    <t>20NC0128</t>
  </si>
  <si>
    <t>20CB0078</t>
  </si>
  <si>
    <t>20MGU-039</t>
  </si>
  <si>
    <t>CW20-06-037</t>
  </si>
  <si>
    <t>ITB 2020-069C</t>
  </si>
  <si>
    <t>20-413</t>
  </si>
  <si>
    <t>ITB 2020-068C</t>
  </si>
  <si>
    <t>402020A</t>
  </si>
  <si>
    <t>20MGU-040</t>
  </si>
  <si>
    <t>392020A</t>
  </si>
  <si>
    <t>20-393</t>
  </si>
  <si>
    <t>20-381</t>
  </si>
  <si>
    <t>372020A</t>
  </si>
  <si>
    <t>06-089-2020</t>
  </si>
  <si>
    <t>20NC0130</t>
  </si>
  <si>
    <t>382020A</t>
  </si>
  <si>
    <t>88</t>
  </si>
  <si>
    <t>87</t>
  </si>
  <si>
    <t>20-380</t>
  </si>
  <si>
    <t>bfp12-22-2020</t>
  </si>
  <si>
    <t>bfp12-21-2020</t>
  </si>
  <si>
    <t>PB-I-2020-05-615</t>
  </si>
  <si>
    <t>2020-INFRA-239</t>
  </si>
  <si>
    <t>19CSZ014</t>
  </si>
  <si>
    <t>InTB-PGAPEO2020CO-CW1</t>
  </si>
  <si>
    <t>InTB-PGA2020PGSO-GDS1</t>
  </si>
  <si>
    <t>20-378</t>
  </si>
  <si>
    <t>10-20</t>
  </si>
  <si>
    <t>2020-INFRA-241</t>
  </si>
  <si>
    <t>20-399</t>
  </si>
  <si>
    <t>2020-INFRA-240</t>
  </si>
  <si>
    <t>89</t>
  </si>
  <si>
    <t>2020-INFRA-242</t>
  </si>
  <si>
    <t>ITB-2020-06-002</t>
  </si>
  <si>
    <t>20OH0049 Re-ads</t>
  </si>
  <si>
    <t>OPA-2019-1262</t>
  </si>
  <si>
    <t>ITB No. 077-Goods-2020</t>
  </si>
  <si>
    <t>R6-D2-2020QRF-01A-SR</t>
  </si>
  <si>
    <t>ITB-GS-20200408-01</t>
  </si>
  <si>
    <t>ITB-GS-20200227-02</t>
  </si>
  <si>
    <t>412020A</t>
  </si>
  <si>
    <t>2020-05-279</t>
  </si>
  <si>
    <t>nlontoc-ITB059-2020</t>
  </si>
  <si>
    <t>20-415</t>
  </si>
  <si>
    <t>2020-05-263</t>
  </si>
  <si>
    <t>ITB No. 076-Goods-2020</t>
  </si>
  <si>
    <t>2020-05-265</t>
  </si>
  <si>
    <t>2020-01-003</t>
  </si>
  <si>
    <t>SanJoseBatsAeb2020-071</t>
  </si>
  <si>
    <t>20-03-0121</t>
  </si>
  <si>
    <t>DA7-7-2020-FOD-R-20-2346</t>
  </si>
  <si>
    <t>DA7-07-2020-SAAD-20-2039</t>
  </si>
  <si>
    <t>DA7-7-2020-FOD-R-20-0232</t>
  </si>
  <si>
    <t>R6-D2-2020QRF-01I-SR</t>
  </si>
  <si>
    <t>R6-D2-2020QRF-01H-SR</t>
  </si>
  <si>
    <t>R6-D2-2020QRF-01G-SR</t>
  </si>
  <si>
    <t>SanJoseBatsAeb2020-086</t>
  </si>
  <si>
    <t>R6-D2-2020QRF-01F-SR</t>
  </si>
  <si>
    <t>20DP0074</t>
  </si>
  <si>
    <t>2020-05-243</t>
  </si>
  <si>
    <t>nlontoc-ITB060-2020</t>
  </si>
  <si>
    <t>SanJoseBatsAeb2020-087</t>
  </si>
  <si>
    <t>20DP0077</t>
  </si>
  <si>
    <t>CDH-19-1151-B (Re-Bid)</t>
  </si>
  <si>
    <t>20DP0076</t>
  </si>
  <si>
    <t>R6-D2-2020QRF-01E-SR</t>
  </si>
  <si>
    <t>20DP0075</t>
  </si>
  <si>
    <t>20AI0170</t>
  </si>
  <si>
    <t>CDH-19-1003-B (Re-Bid)</t>
  </si>
  <si>
    <t>PB20-06-003ILO</t>
  </si>
  <si>
    <t>R6-D2-2020QRF-01B-SR</t>
  </si>
  <si>
    <t>CDH-19-1114-B (Re-Bid)</t>
  </si>
  <si>
    <t>100-1011-2020-05-567</t>
  </si>
  <si>
    <t>100-1011-2020-05-564</t>
  </si>
  <si>
    <t>100-20-06-0599</t>
  </si>
  <si>
    <t>20DP0073</t>
  </si>
  <si>
    <t>100-1011-2020-05-565</t>
  </si>
  <si>
    <t>100-1011-2020-05-569</t>
  </si>
  <si>
    <t>bacgal-53-2020</t>
  </si>
  <si>
    <t>20KJ0179</t>
  </si>
  <si>
    <t>20KJ0151</t>
  </si>
  <si>
    <t>GS-PNBAC2-2020-21</t>
  </si>
  <si>
    <t>GS-PNBAC2-2020-23</t>
  </si>
  <si>
    <t>GS-PNBAC2-2020-30</t>
  </si>
  <si>
    <t>PR N0. 20-06-007</t>
  </si>
  <si>
    <t>HRAD 20-002</t>
  </si>
  <si>
    <t>20KJ0180</t>
  </si>
  <si>
    <t>NS-06-17-20-06</t>
  </si>
  <si>
    <t>INF-ITB 20-032</t>
  </si>
  <si>
    <t>Infra 2020-004</t>
  </si>
  <si>
    <t>PR N0. 20-06-006</t>
  </si>
  <si>
    <t>SanJoseBatsAeb2020-088</t>
  </si>
  <si>
    <t>2020-GOODS-005R-02-0618Rep</t>
  </si>
  <si>
    <t>PB-GS-2020-007</t>
  </si>
  <si>
    <t>IB No. 20-27</t>
  </si>
  <si>
    <t>20FM0049</t>
  </si>
  <si>
    <t>20FM0051</t>
  </si>
  <si>
    <t>IB No. 20-38</t>
  </si>
  <si>
    <t>20-03-0163</t>
  </si>
  <si>
    <t>INF-ITB 20-031</t>
  </si>
  <si>
    <t>B-83-2020</t>
  </si>
  <si>
    <t>Owak2020Goods001</t>
  </si>
  <si>
    <t>2020-INFRA-238</t>
  </si>
  <si>
    <t>Mkna-GSO-20-272</t>
  </si>
  <si>
    <t>IB No. 20-46</t>
  </si>
  <si>
    <t>NS-06-17-20-09</t>
  </si>
  <si>
    <t>Mkna-GSO-20-273</t>
  </si>
  <si>
    <t>NS-06-17-20-10</t>
  </si>
  <si>
    <t>20FM0050</t>
  </si>
  <si>
    <t>100(01)20-06-027(AA)</t>
  </si>
  <si>
    <t>2020-PBG-03</t>
  </si>
  <si>
    <t>IB No. 20-10</t>
  </si>
  <si>
    <t>2020-PBG-02</t>
  </si>
  <si>
    <t>PB GOODS 2020-04</t>
  </si>
  <si>
    <t>211433</t>
  </si>
  <si>
    <t>GD-PB-2020-06-0231</t>
  </si>
  <si>
    <t>GD-PB-2020-06-0232</t>
  </si>
  <si>
    <t>06172020B</t>
  </si>
  <si>
    <t>100(01)20-06-332(O)</t>
  </si>
  <si>
    <t>PB2020-48</t>
  </si>
  <si>
    <t>PB2020-47</t>
  </si>
  <si>
    <t>GOODS2020-006</t>
  </si>
  <si>
    <t>IB No. 20-32</t>
  </si>
  <si>
    <t>100-202003-00535</t>
  </si>
  <si>
    <t>06172020C</t>
  </si>
  <si>
    <t>100-202003-00560</t>
  </si>
  <si>
    <t>NS-06-17-20-07</t>
  </si>
  <si>
    <t>211438</t>
  </si>
  <si>
    <t>IB No. 20-29</t>
  </si>
  <si>
    <t>IB No. 20-36</t>
  </si>
  <si>
    <t>20PJ0052</t>
  </si>
  <si>
    <t>211437</t>
  </si>
  <si>
    <t>PGL 20-078</t>
  </si>
  <si>
    <t>CHMSC 20-020-0617-I</t>
  </si>
  <si>
    <t>211436</t>
  </si>
  <si>
    <t>211435</t>
  </si>
  <si>
    <t>CHMSC 20-019-0617-I</t>
  </si>
  <si>
    <t>PB-2020-GDS-025</t>
  </si>
  <si>
    <t>2001-S1C01</t>
  </si>
  <si>
    <t>GD-PB-2020-06-0233</t>
  </si>
  <si>
    <t>PB-INF-005-2020</t>
  </si>
  <si>
    <t>2020-06-0625 TDG</t>
  </si>
  <si>
    <t>100-1011-2020-05-571</t>
  </si>
  <si>
    <t>GD-PB-2020-01-0001</t>
  </si>
  <si>
    <t>goods 157-2020</t>
  </si>
  <si>
    <t>IB No. 20-58</t>
  </si>
  <si>
    <t>00105</t>
  </si>
  <si>
    <t>GOODS-20-31</t>
  </si>
  <si>
    <t>IB No. 20-16</t>
  </si>
  <si>
    <t>01401</t>
  </si>
  <si>
    <t>INF-ITB 20-035</t>
  </si>
  <si>
    <t>100-2003-295</t>
  </si>
  <si>
    <t>IB No. 20-37</t>
  </si>
  <si>
    <t>INF-ITB 20-034</t>
  </si>
  <si>
    <t>211434</t>
  </si>
  <si>
    <t>100(01)20-06-336(O)</t>
  </si>
  <si>
    <t>100-202002-00426</t>
  </si>
  <si>
    <t>100-2003-292</t>
  </si>
  <si>
    <t>INF-ITB 20-033</t>
  </si>
  <si>
    <t>Infra-02</t>
  </si>
  <si>
    <t>00125</t>
  </si>
  <si>
    <t>2020-06-067</t>
  </si>
  <si>
    <t>06172020A</t>
  </si>
  <si>
    <t>3-06172020</t>
  </si>
  <si>
    <t>PB-ALBAYINFRA-20-04</t>
  </si>
  <si>
    <t>100-1011-2020-05-572</t>
  </si>
  <si>
    <t>2020-06-249</t>
  </si>
  <si>
    <t>2-06172020</t>
  </si>
  <si>
    <t xml:space="preserve">IB 2020-07-08(06) Goods Cat II Med/Lab Supplies &amp; </t>
  </si>
  <si>
    <t>HILONGOS 2020-182</t>
  </si>
  <si>
    <t>20H00068</t>
  </si>
  <si>
    <t>GOODS-2020-0003</t>
  </si>
  <si>
    <t>ITB-2020-PCC-001</t>
  </si>
  <si>
    <t>bac-azds-20-06-016</t>
  </si>
  <si>
    <t>22-20</t>
  </si>
  <si>
    <t>2020-06-248</t>
  </si>
  <si>
    <t>2020-06-069</t>
  </si>
  <si>
    <t>1-06172020</t>
  </si>
  <si>
    <t>ORD PABAC 046-19 (Rebid)</t>
  </si>
  <si>
    <t>goods 156-2020</t>
  </si>
  <si>
    <t>PB2020-49</t>
  </si>
  <si>
    <t>26-20</t>
  </si>
  <si>
    <t>UPLB-RQ-6-128-20-I CONSTRUCTION PROJECTS</t>
  </si>
  <si>
    <t>100-1011-2020-05-568</t>
  </si>
  <si>
    <t>ITB No. 2020-022</t>
  </si>
  <si>
    <t>25-20</t>
  </si>
  <si>
    <t>2020-06-251</t>
  </si>
  <si>
    <t>2020-06-07B</t>
  </si>
  <si>
    <t>2020-06-252</t>
  </si>
  <si>
    <t>Managa 2020-06-001</t>
  </si>
  <si>
    <t>8911-6-1939-20</t>
  </si>
  <si>
    <t>GS-P02-2020-07-08</t>
  </si>
  <si>
    <t>2020-05-038-D</t>
  </si>
  <si>
    <t>5-06172020</t>
  </si>
  <si>
    <t>20LB0185</t>
  </si>
  <si>
    <t>C10-20-1039</t>
  </si>
  <si>
    <t>8-06172020</t>
  </si>
  <si>
    <t>20LB0166</t>
  </si>
  <si>
    <t>salbac 2020 21</t>
  </si>
  <si>
    <t>20LB0157</t>
  </si>
  <si>
    <t>2020-01-0066</t>
  </si>
  <si>
    <t>20LB0187</t>
  </si>
  <si>
    <t>8918-11-1779-20</t>
  </si>
  <si>
    <t>2020-06-253</t>
  </si>
  <si>
    <t>4-06172020</t>
  </si>
  <si>
    <t>6-06172020</t>
  </si>
  <si>
    <t>HILONGOS 2020-183</t>
  </si>
  <si>
    <t>G-2020-19</t>
  </si>
  <si>
    <t>salbac 2020 20</t>
  </si>
  <si>
    <t>27-20</t>
  </si>
  <si>
    <t>2020-06-250</t>
  </si>
  <si>
    <t>20BB0125</t>
  </si>
  <si>
    <t>24-20</t>
  </si>
  <si>
    <t>20NF0079</t>
  </si>
  <si>
    <t>28-20</t>
  </si>
  <si>
    <t>B-85-2020</t>
  </si>
  <si>
    <t>HILONGOS 2020-181</t>
  </si>
  <si>
    <t>lgm</t>
  </si>
  <si>
    <t>GS-PNBAC2-2020-20</t>
  </si>
  <si>
    <t>ITB NO. GOP-20-DSWD-2020-05-03</t>
  </si>
  <si>
    <t>020-G006</t>
  </si>
  <si>
    <t>2003092</t>
  </si>
  <si>
    <t>B-84-2020</t>
  </si>
  <si>
    <t>ITB 2020-06-001</t>
  </si>
  <si>
    <t>20GKJ0004</t>
  </si>
  <si>
    <t>GS-PNBAC2-2020-29</t>
  </si>
  <si>
    <t>ITB # 20ODGS-0001</t>
  </si>
  <si>
    <t>2020-05-620</t>
  </si>
  <si>
    <t>NS-06-17-20-08-R2</t>
  </si>
  <si>
    <t>R6-D2-2020QRF-01D-SR</t>
  </si>
  <si>
    <t>20-03-0148</t>
  </si>
  <si>
    <t>ITB-GS-20200609-01</t>
  </si>
  <si>
    <t>R6-D2-2020QRF-01C-SR</t>
  </si>
  <si>
    <t>ITB-GS-20200604-01</t>
  </si>
  <si>
    <t>ITB No. 078-Infra-2020</t>
  </si>
  <si>
    <t>CDH-18-2436-B (Re-Bid)</t>
  </si>
  <si>
    <t>nlontoc-ITB057-2020</t>
  </si>
  <si>
    <t>ITB No. 079-Infra-2020</t>
  </si>
  <si>
    <t>2020-05-275</t>
  </si>
  <si>
    <t>2020-05-267</t>
  </si>
  <si>
    <t>2020-06-297</t>
  </si>
  <si>
    <t>bfp12-23-2020</t>
  </si>
  <si>
    <t>86</t>
  </si>
  <si>
    <t>2020061601</t>
  </si>
  <si>
    <t>nlontoc-ITB058-2020</t>
  </si>
  <si>
    <t>MDRRMO-114-20</t>
  </si>
  <si>
    <t>2020172</t>
  </si>
  <si>
    <t>2020171</t>
  </si>
  <si>
    <t>20DK0121</t>
  </si>
  <si>
    <t>20DK0116</t>
  </si>
  <si>
    <t>2020173</t>
  </si>
  <si>
    <t>2-06262020</t>
  </si>
  <si>
    <t>PB-0620-44</t>
  </si>
  <si>
    <t>20-06-012</t>
  </si>
  <si>
    <t>20AI0178</t>
  </si>
  <si>
    <t>20-315</t>
  </si>
  <si>
    <t>philgeps06292020</t>
  </si>
  <si>
    <t>3-06262020</t>
  </si>
  <si>
    <t>NCB Publication No. 2020- 22</t>
  </si>
  <si>
    <t>BLGU-PBD-Magsaysay-2020-30</t>
  </si>
  <si>
    <t>2020-03-1611</t>
  </si>
  <si>
    <t>20C00048</t>
  </si>
  <si>
    <t>2020-6-4c</t>
  </si>
  <si>
    <t>20MGU-038</t>
  </si>
  <si>
    <t>ITB No. 2020-INFRA-7(02)</t>
  </si>
  <si>
    <t>2020-GEN. FUND-010</t>
  </si>
  <si>
    <t>20LB0257</t>
  </si>
  <si>
    <t>2020-05-08</t>
  </si>
  <si>
    <t>lgu-es-20-06-143</t>
  </si>
  <si>
    <t>03-20-0355</t>
  </si>
  <si>
    <t>GS-P04-2020-07-08</t>
  </si>
  <si>
    <t>HILONGOS 2020-184</t>
  </si>
  <si>
    <t>2020-infra-001</t>
  </si>
  <si>
    <t>2020-05-040-D</t>
  </si>
  <si>
    <t>GS-P06-2020-07-08</t>
  </si>
  <si>
    <t>20LB0235</t>
  </si>
  <si>
    <t>C10-20-0220</t>
  </si>
  <si>
    <t>KAP-20-11 (2nd Posting)</t>
  </si>
  <si>
    <t>RFQ 031-2020</t>
  </si>
  <si>
    <t>60017012020</t>
  </si>
  <si>
    <t>2020-06-164-B</t>
  </si>
  <si>
    <t>20LB0303</t>
  </si>
  <si>
    <t>300-2020-02-017</t>
  </si>
  <si>
    <t>60017022020</t>
  </si>
  <si>
    <t>20LB0302</t>
  </si>
  <si>
    <t>2020 - 001</t>
  </si>
  <si>
    <t>GS-P05-2020-07-08</t>
  </si>
  <si>
    <t>C10-20-0219</t>
  </si>
  <si>
    <t>HILONGOS 2020-185</t>
  </si>
  <si>
    <t>20A00070</t>
  </si>
  <si>
    <t>100-03-20-00885</t>
  </si>
  <si>
    <t>BALISONG INFRA ITB 2020-___</t>
  </si>
  <si>
    <t>ITB No. 015-2020 GQ</t>
  </si>
  <si>
    <t>C10-20-1048</t>
  </si>
  <si>
    <t>20-02-0095 Re-bid</t>
  </si>
  <si>
    <t>20-06-123</t>
  </si>
  <si>
    <t>20KA0143</t>
  </si>
  <si>
    <t>2020-06-08B</t>
  </si>
  <si>
    <t>CA Health Care Benefits - 2020-001</t>
  </si>
  <si>
    <t>202006170005</t>
  </si>
  <si>
    <t>2020-081</t>
  </si>
  <si>
    <t>goods 155-2020</t>
  </si>
  <si>
    <t>C10-20-1042</t>
  </si>
  <si>
    <t>2020-06-062</t>
  </si>
  <si>
    <t>OC-68(ESMO-06) 20 GD</t>
  </si>
  <si>
    <t>202006012</t>
  </si>
  <si>
    <t>2020-STO-QRF FAW-GOODS-25</t>
  </si>
  <si>
    <t>60017042020</t>
  </si>
  <si>
    <t>29-20</t>
  </si>
  <si>
    <t>PB-2020-GDS-027</t>
  </si>
  <si>
    <t>2020-STO-QRF FAW-GOODS-24</t>
  </si>
  <si>
    <t>OC-66(GSO-04) 20 GD</t>
  </si>
  <si>
    <t>20A00021</t>
  </si>
  <si>
    <t>goods 159-2020</t>
  </si>
  <si>
    <t>salbac 2020 24</t>
  </si>
  <si>
    <t>salbac 2020 23</t>
  </si>
  <si>
    <t>goods 158-2020</t>
  </si>
  <si>
    <t>goods 154-2020</t>
  </si>
  <si>
    <t>C10-20-1038</t>
  </si>
  <si>
    <t>2020-STO-QRF FAW-GOODS-23</t>
  </si>
  <si>
    <t>DPWH-SK2DEO-20CSMH02</t>
  </si>
  <si>
    <t>DPWH-SK2DEO-20CSMH03</t>
  </si>
  <si>
    <t>PG-2020-046</t>
  </si>
  <si>
    <t>PR 2020-06-195</t>
  </si>
  <si>
    <t>20dpwh77</t>
  </si>
  <si>
    <t>BulSU-BAC-G-2020-23</t>
  </si>
  <si>
    <t>20dpwh76</t>
  </si>
  <si>
    <t>ITB No. 2020-32</t>
  </si>
  <si>
    <t>2020-Goods-006</t>
  </si>
  <si>
    <t>PB-2020-CW-021</t>
  </si>
  <si>
    <t>GS-P07-2020-07-08</t>
  </si>
  <si>
    <t>ENG' 6ID, SBAC 02-2020</t>
  </si>
  <si>
    <t>salbac 2020 26</t>
  </si>
  <si>
    <t>PR Nos. 1-32680, 1-32681, 1-32683 - Supply and Del</t>
  </si>
  <si>
    <t>2020-Infra-002</t>
  </si>
  <si>
    <t>PB-2020-GDS-026</t>
  </si>
  <si>
    <t>salbac 2020 25</t>
  </si>
  <si>
    <t>202006170006</t>
  </si>
  <si>
    <t>20FC0122</t>
  </si>
  <si>
    <t>20JG0077</t>
  </si>
  <si>
    <t>JHS - 2020 - 006 - 0023</t>
  </si>
  <si>
    <t>20FC0123</t>
  </si>
  <si>
    <t>20FC0120</t>
  </si>
  <si>
    <t>20FC0121</t>
  </si>
  <si>
    <t>rdd-bayaniHAN-01</t>
  </si>
  <si>
    <t>DPWH-SK2DEO-20CSMH01</t>
  </si>
  <si>
    <t>MNP-INFR-096-2020</t>
  </si>
  <si>
    <t>2020-0008</t>
  </si>
  <si>
    <t>20O00059</t>
  </si>
  <si>
    <t>2020-032-I</t>
  </si>
  <si>
    <t>20FC0119</t>
  </si>
  <si>
    <t>06172020</t>
  </si>
  <si>
    <t>'PB Infra 20-039</t>
  </si>
  <si>
    <t>2020-033-I</t>
  </si>
  <si>
    <t>2020-0007</t>
  </si>
  <si>
    <t>20dpwh75</t>
  </si>
  <si>
    <t>JHS - 2020 - 006 - 0026</t>
  </si>
  <si>
    <t>JHS - 2020 - 006 - 0025</t>
  </si>
  <si>
    <t>20JG0076</t>
  </si>
  <si>
    <t>20FC0118</t>
  </si>
  <si>
    <t>20LE0123</t>
  </si>
  <si>
    <t>20JG0086</t>
  </si>
  <si>
    <t>20JG0084</t>
  </si>
  <si>
    <t>20JG0083</t>
  </si>
  <si>
    <t>20JG0082</t>
  </si>
  <si>
    <t>20JG0081</t>
  </si>
  <si>
    <t>20JG0080</t>
  </si>
  <si>
    <t>IB No. 20-24</t>
  </si>
  <si>
    <t>20JG0078</t>
  </si>
  <si>
    <t>100-2020-01-129</t>
  </si>
  <si>
    <t>20JG0079</t>
  </si>
  <si>
    <t>20LE0122</t>
  </si>
  <si>
    <t>20AH0209</t>
  </si>
  <si>
    <t>100-2020-01-015</t>
  </si>
  <si>
    <t>20AH0208</t>
  </si>
  <si>
    <t>20JG0085</t>
  </si>
  <si>
    <t>PB INFRA 20-038</t>
  </si>
  <si>
    <t>2020-65 (GAS)</t>
  </si>
  <si>
    <t>20AH0207</t>
  </si>
  <si>
    <t>202002</t>
  </si>
  <si>
    <t>20AH0206</t>
  </si>
  <si>
    <t>PB INFRA 20-043</t>
  </si>
  <si>
    <t>20AH0192</t>
  </si>
  <si>
    <t>HMO-20-0354-B</t>
  </si>
  <si>
    <t>2020-64 (GAS)</t>
  </si>
  <si>
    <t>SDH-20-0364-B</t>
  </si>
  <si>
    <t>2020-0334</t>
  </si>
  <si>
    <t>DA7-07-2020-ILD-20-2314</t>
  </si>
  <si>
    <t>19CSK00041</t>
  </si>
  <si>
    <t>BAC2020-06-021</t>
  </si>
  <si>
    <t>DA7-07-2020-ILD-20-2315</t>
  </si>
  <si>
    <t>20CSDM06</t>
  </si>
  <si>
    <t>PB-06172020-1</t>
  </si>
  <si>
    <t>DA7-07-2020-ILD-20-2316</t>
  </si>
  <si>
    <t>19GF00031</t>
  </si>
  <si>
    <t>AKLAN BAC ITB 208 SERIES 2020</t>
  </si>
  <si>
    <t>2020-B1-02</t>
  </si>
  <si>
    <t>AKLAN BAC ITB 209 SERIES 2020</t>
  </si>
  <si>
    <t>20JG0075</t>
  </si>
  <si>
    <t>SDH-20-0361-B</t>
  </si>
  <si>
    <t>ITB No. 20-06-12</t>
  </si>
  <si>
    <t>LGU-Sagay-4748</t>
  </si>
  <si>
    <t>DA7-07-2020-SAAD-20-1237</t>
  </si>
  <si>
    <t>DA7-07-2020-SAAD-20-0992</t>
  </si>
  <si>
    <t>DA7-07-2020-SAAD-20-1185</t>
  </si>
  <si>
    <t>20FC0117</t>
  </si>
  <si>
    <t>2020-B1-06-014</t>
  </si>
  <si>
    <t>AKLAN BAC ITB 207 SERIES 2020</t>
  </si>
  <si>
    <t>ITB No. 07-INFRA-2020</t>
  </si>
  <si>
    <t>DA7-07-2020-FOD-L-20-2347</t>
  </si>
  <si>
    <t>ESP-INFRA-11-2020</t>
  </si>
  <si>
    <t>AKLAN BAC ITB 351 SERIES 2020</t>
  </si>
  <si>
    <t>IAEB 222-20</t>
  </si>
  <si>
    <t>DA7-07-2020-SAAD-20-2131</t>
  </si>
  <si>
    <t>AKLAN BAC ITB 350 SERIES 2020</t>
  </si>
  <si>
    <t>200030</t>
  </si>
  <si>
    <t>DA7-07-FOD-H-20-2345</t>
  </si>
  <si>
    <t>41-200483-2020</t>
  </si>
  <si>
    <t>AKLAN BAC ITB 215 SERIES 2020</t>
  </si>
  <si>
    <t>36-2020</t>
  </si>
  <si>
    <t>40-201340-2020</t>
  </si>
  <si>
    <t>2020-02A</t>
  </si>
  <si>
    <t>39-201440-2020</t>
  </si>
  <si>
    <t>AKLAN BAC ITB 213 SERIES 2020</t>
  </si>
  <si>
    <t>AKLAN BAC ITB 212 SERIES 2020</t>
  </si>
  <si>
    <t>TANZA 2 2020-05-06</t>
  </si>
  <si>
    <t>C-PEO-055-20</t>
  </si>
  <si>
    <t>6-35-20</t>
  </si>
  <si>
    <t>TANZA 2 2020-04-06</t>
  </si>
  <si>
    <t>IAEB 220-20</t>
  </si>
  <si>
    <t>mda126</t>
  </si>
  <si>
    <t>2020-B1-002</t>
  </si>
  <si>
    <t>20-06-200</t>
  </si>
  <si>
    <t>ESP-INFRA-10-2020</t>
  </si>
  <si>
    <t>GEPS-02-2020</t>
  </si>
  <si>
    <t>pb-gd-2020-037</t>
  </si>
  <si>
    <t>006 2020 LML</t>
  </si>
  <si>
    <t>20GM0064 (RE-BIDDING)</t>
  </si>
  <si>
    <t>ITB No. 2020-74</t>
  </si>
  <si>
    <t>DAR-PANG-006-2020</t>
  </si>
  <si>
    <t>2020-GOODS-002NP-02-0617</t>
  </si>
  <si>
    <t>SI-06-2020-001</t>
  </si>
  <si>
    <t>TANZA 2 2020-03-06</t>
  </si>
  <si>
    <t>006-027-2020</t>
  </si>
  <si>
    <t>06162020-2</t>
  </si>
  <si>
    <t>AKLAN BAC ITB 211 SERIES 2020</t>
  </si>
  <si>
    <t>06162020-1</t>
  </si>
  <si>
    <t>006-026-2020</t>
  </si>
  <si>
    <t>PBgoods017-2020</t>
  </si>
  <si>
    <t>773</t>
  </si>
  <si>
    <t>C-PEO-056-20</t>
  </si>
  <si>
    <t>BP-2020-09</t>
  </si>
  <si>
    <t>020-G001</t>
  </si>
  <si>
    <t>GOODS-2020-09</t>
  </si>
  <si>
    <t>ITB No. 2020-158-bpmc</t>
  </si>
  <si>
    <t>ITB No. 20-24</t>
  </si>
  <si>
    <t>C-PEO-057-20</t>
  </si>
  <si>
    <t>OPV-2020-0174 PR2020-0440</t>
  </si>
  <si>
    <t>06162020001</t>
  </si>
  <si>
    <t>SAM-2020-19</t>
  </si>
  <si>
    <t>2020 Caib 093</t>
  </si>
  <si>
    <t>RFQ-GS-20200608-04</t>
  </si>
  <si>
    <t>20FF0094</t>
  </si>
  <si>
    <t>DAR-PANG-008-2020</t>
  </si>
  <si>
    <t>PCAARRD-2020-04-28-001</t>
  </si>
  <si>
    <t>005 2020 LML</t>
  </si>
  <si>
    <t>ITB 2020-0015</t>
  </si>
  <si>
    <t>BAC 2020-34</t>
  </si>
  <si>
    <t>PB-2020-13</t>
  </si>
  <si>
    <t>2020-06-90</t>
  </si>
  <si>
    <t>GOODS 2020-03</t>
  </si>
  <si>
    <t>MKWD2020-048</t>
  </si>
  <si>
    <t>PB-2020-14</t>
  </si>
  <si>
    <t>PEO-2020-0173 PR2020-0436</t>
  </si>
  <si>
    <t>BAC2020-11</t>
  </si>
  <si>
    <t>PB-2020-15</t>
  </si>
  <si>
    <t>ITB PR 0452</t>
  </si>
  <si>
    <t>BP-2020-11</t>
  </si>
  <si>
    <t>2020-06-91</t>
  </si>
  <si>
    <t>20KI0089</t>
  </si>
  <si>
    <t>20KI0088</t>
  </si>
  <si>
    <t>ISPSC-2020-G-E008</t>
  </si>
  <si>
    <t>PB-2020-12</t>
  </si>
  <si>
    <t>MP-061620-36</t>
  </si>
  <si>
    <t>BP-2020-10</t>
  </si>
  <si>
    <t>ITB No. 20-25</t>
  </si>
  <si>
    <t>CW 2020-03-001a</t>
  </si>
  <si>
    <t>MB 2020-16 I</t>
  </si>
  <si>
    <t>Contract No. 02 - 2020</t>
  </si>
  <si>
    <t>PB-2020-19</t>
  </si>
  <si>
    <t>Project No. 2020-26</t>
  </si>
  <si>
    <t>PB-2020-17</t>
  </si>
  <si>
    <t>Tal-Pob-01-2020</t>
  </si>
  <si>
    <t>MB 2020-15 I</t>
  </si>
  <si>
    <t>PB-2020-18</t>
  </si>
  <si>
    <t>pb-gd-2020-038</t>
  </si>
  <si>
    <t>PB-2020-16</t>
  </si>
  <si>
    <t>2020-06-92</t>
  </si>
  <si>
    <t>G-PEO-046-20</t>
  </si>
  <si>
    <t>PCAARRD-2020-04-28-004</t>
  </si>
  <si>
    <t>INFRA-2020-223</t>
  </si>
  <si>
    <t>MOB-2020-010</t>
  </si>
  <si>
    <t>077 - 2020</t>
  </si>
  <si>
    <t>006-025-2020</t>
  </si>
  <si>
    <t>006-024-2020</t>
  </si>
  <si>
    <t>20CD0167</t>
  </si>
  <si>
    <t>Sto. Nino-07-02-20</t>
  </si>
  <si>
    <t>TANZA 2 2020-02-06</t>
  </si>
  <si>
    <t>TANZA 2 2020-01-06</t>
  </si>
  <si>
    <t>2020-B1-06-015</t>
  </si>
  <si>
    <t>20KI0090</t>
  </si>
  <si>
    <t>2020-06-255</t>
  </si>
  <si>
    <t>2020-06-01B</t>
  </si>
  <si>
    <t>BWD-RFQ-2020-07</t>
  </si>
  <si>
    <t>ITB 061620-1</t>
  </si>
  <si>
    <t>2020-06-09B</t>
  </si>
  <si>
    <t>BTG3-20GDC0005</t>
  </si>
  <si>
    <t>2020-147</t>
  </si>
  <si>
    <t>PICK UP-2020-06-01</t>
  </si>
  <si>
    <t>PB20-04-034COR</t>
  </si>
  <si>
    <t>Solicitation No. Goods 20-0617-0069</t>
  </si>
  <si>
    <t>2020-317</t>
  </si>
  <si>
    <t>CA100-2019-01-001</t>
  </si>
  <si>
    <t>G-PEO-047-20</t>
  </si>
  <si>
    <t>Solicitation No. Goods 20-0617-0068</t>
  </si>
  <si>
    <t>PB-2020-23</t>
  </si>
  <si>
    <t>2020 INFRA 008</t>
  </si>
  <si>
    <t>20L00148</t>
  </si>
  <si>
    <t>MP-061620-37</t>
  </si>
  <si>
    <t>PB-2020-22</t>
  </si>
  <si>
    <t>20L00032</t>
  </si>
  <si>
    <t>Project No. 2020-27</t>
  </si>
  <si>
    <t>Solicitation No. Goods 20-0617-0070</t>
  </si>
  <si>
    <t>2020 INFRA 007</t>
  </si>
  <si>
    <t>AGGDS2020-0617A</t>
  </si>
  <si>
    <t>2020-G-01</t>
  </si>
  <si>
    <t>MB 2020-17 I</t>
  </si>
  <si>
    <t>PHO-2020-038 PR2020-0150</t>
  </si>
  <si>
    <t>B-CW-2020-022</t>
  </si>
  <si>
    <t>BAC2020-06-023</t>
  </si>
  <si>
    <t>0074-2020</t>
  </si>
  <si>
    <t>S2-DOO20-014</t>
  </si>
  <si>
    <t>2020-GOODS-34</t>
  </si>
  <si>
    <t>24</t>
  </si>
  <si>
    <t>2020-GOODS-33</t>
  </si>
  <si>
    <t>2020-299</t>
  </si>
  <si>
    <t>B-CW-2020-023</t>
  </si>
  <si>
    <t>20FH0096</t>
  </si>
  <si>
    <t>cw-2020-017</t>
  </si>
  <si>
    <t>PB-2020-21</t>
  </si>
  <si>
    <t>20GFH0011</t>
  </si>
  <si>
    <t>IB-2020-073</t>
  </si>
  <si>
    <t>SAM-2020-21</t>
  </si>
  <si>
    <t>AKLAN BAC ITB 210 SERIES 2020</t>
  </si>
  <si>
    <t>20B00052 (re-ad)</t>
  </si>
  <si>
    <t>20KB0169</t>
  </si>
  <si>
    <t>SAM-2020-20</t>
  </si>
  <si>
    <t>2020 INFRA 006</t>
  </si>
  <si>
    <t>20KB0168</t>
  </si>
  <si>
    <t>20GB00013 (re-ad)</t>
  </si>
  <si>
    <t>IB 2020-069</t>
  </si>
  <si>
    <t>20KB0170</t>
  </si>
  <si>
    <t>2020C-21-616</t>
  </si>
  <si>
    <t>S2-DOO20-008</t>
  </si>
  <si>
    <t>2020-206</t>
  </si>
  <si>
    <t>0020-0056-0320B-2020</t>
  </si>
  <si>
    <t>QES-06-017-20</t>
  </si>
  <si>
    <t>20KB0174</t>
  </si>
  <si>
    <t>SAM-2020-22</t>
  </si>
  <si>
    <t>SAM-2020-26</t>
  </si>
  <si>
    <t>MP-061620-40</t>
  </si>
  <si>
    <t>20KB0173</t>
  </si>
  <si>
    <t>ITB 06-2020-009</t>
  </si>
  <si>
    <t>SAM-2020-25</t>
  </si>
  <si>
    <t>SAM-2020-24</t>
  </si>
  <si>
    <t>20KB0171</t>
  </si>
  <si>
    <t>SAM-2020-23</t>
  </si>
  <si>
    <t>PR#2020-05-685</t>
  </si>
  <si>
    <t>20KB0176</t>
  </si>
  <si>
    <t>20KB0172</t>
  </si>
  <si>
    <t>S2-MPP20-018</t>
  </si>
  <si>
    <t>2020-02-0277-MAIN</t>
  </si>
  <si>
    <t>2020-06-0561-MAIN</t>
  </si>
  <si>
    <t>S2-GIG20-010</t>
  </si>
  <si>
    <t>S2-ANT20-003</t>
  </si>
  <si>
    <t>PR 74617</t>
  </si>
  <si>
    <t>COBAC IB NO. 002 (G) S. 2020</t>
  </si>
  <si>
    <t>QES-06-019-20</t>
  </si>
  <si>
    <t>20KB0178</t>
  </si>
  <si>
    <t>S2-PMG20-010</t>
  </si>
  <si>
    <t>2020G - 017-616</t>
  </si>
  <si>
    <t>IB-2020-074</t>
  </si>
  <si>
    <t>S2-ANT20-007</t>
  </si>
  <si>
    <t>NFA-RO1-RBAC-2020-06-016</t>
  </si>
  <si>
    <t>GOODS-20-30</t>
  </si>
  <si>
    <t>IB 2020-072</t>
  </si>
  <si>
    <t>2005-24</t>
  </si>
  <si>
    <t>061620-H01</t>
  </si>
  <si>
    <t>20KB0177</t>
  </si>
  <si>
    <t>BCS-2020-0129</t>
  </si>
  <si>
    <t>BCS-2020-0128</t>
  </si>
  <si>
    <t>AGINF2020-0617A</t>
  </si>
  <si>
    <t>PROCUREMENT OF VARIOUS VACCINES COBAC IB NO. 003 (</t>
  </si>
  <si>
    <t>20CF0002</t>
  </si>
  <si>
    <t>PB 20-003</t>
  </si>
  <si>
    <t>G2020-001-A</t>
  </si>
  <si>
    <t>AGINF2020-0617D</t>
  </si>
  <si>
    <t>B-G-2020-087</t>
  </si>
  <si>
    <t>AGINF2020-0617C</t>
  </si>
  <si>
    <t>20OH0152</t>
  </si>
  <si>
    <t>B-G-2020-084</t>
  </si>
  <si>
    <t>2005152</t>
  </si>
  <si>
    <t>B-G-2020-086</t>
  </si>
  <si>
    <t>20GKA0005 / 2020-06-0136</t>
  </si>
  <si>
    <t>HFEP ITB 2020-001</t>
  </si>
  <si>
    <t>2003-51</t>
  </si>
  <si>
    <t>2005-34</t>
  </si>
  <si>
    <t>B-G-2020-085</t>
  </si>
  <si>
    <t>PB2020-004 (GDS)</t>
  </si>
  <si>
    <t>GTLMH-20-013</t>
  </si>
  <si>
    <t>B-G-2020-083</t>
  </si>
  <si>
    <t>MS2020-06-026.2</t>
  </si>
  <si>
    <t>ME2020-06-026.1</t>
  </si>
  <si>
    <t>B-G-2020-082</t>
  </si>
  <si>
    <t>PB037-20</t>
  </si>
  <si>
    <t>138 – 2020</t>
  </si>
  <si>
    <t>137 – 2020</t>
  </si>
  <si>
    <t>B-G-2020-088</t>
  </si>
  <si>
    <t>MS2020-06-026.3</t>
  </si>
  <si>
    <t>R1-INIMO-20-05-015</t>
  </si>
  <si>
    <t>135– 2020</t>
  </si>
  <si>
    <t>B-G-2020-093</t>
  </si>
  <si>
    <t>INP 2020-05-0076</t>
  </si>
  <si>
    <t>B-G-2020-092</t>
  </si>
  <si>
    <t>B-G-2020-090</t>
  </si>
  <si>
    <t>B-G-2020-094</t>
  </si>
  <si>
    <t>061620-B1</t>
  </si>
  <si>
    <t>136 – 2020</t>
  </si>
  <si>
    <t>19GL00111</t>
  </si>
  <si>
    <t>2005-25</t>
  </si>
  <si>
    <t>B-G-2020-081</t>
  </si>
  <si>
    <t>B-G-2020-089</t>
  </si>
  <si>
    <t>PB-07092020-A</t>
  </si>
  <si>
    <t>IB NO.  2020-217</t>
  </si>
  <si>
    <t>S2-MPP20-023</t>
  </si>
  <si>
    <t>PB-07092020-C</t>
  </si>
  <si>
    <t>S2-ALD20-004</t>
  </si>
  <si>
    <t>2020-02-0182-MAIN</t>
  </si>
  <si>
    <t>2020G - 016-616</t>
  </si>
  <si>
    <t>S2-BH120-003</t>
  </si>
  <si>
    <t>IB-2020-071</t>
  </si>
  <si>
    <t>20PD0131</t>
  </si>
  <si>
    <t>PB-07092020-B</t>
  </si>
  <si>
    <t>S2-SND20-001</t>
  </si>
  <si>
    <t>2020-07-07-331PG</t>
  </si>
  <si>
    <t>2020-07-07-049CW</t>
  </si>
  <si>
    <t>2020-07-07-332PG</t>
  </si>
  <si>
    <t>20CSN012</t>
  </si>
  <si>
    <t>ITB-140</t>
  </si>
  <si>
    <t>2020-07-07-046CW</t>
  </si>
  <si>
    <t>B-G-2020-091</t>
  </si>
  <si>
    <t>2020-07-07-040CW</t>
  </si>
  <si>
    <t>20KB0175</t>
  </si>
  <si>
    <t>2020-07-07-039CW</t>
  </si>
  <si>
    <t>2020-07-07-038CW</t>
  </si>
  <si>
    <t>SB6 HDMP19 300-20-06-06236</t>
  </si>
  <si>
    <t>2020-07-07-047CW</t>
  </si>
  <si>
    <t>2020-07-07-333PG</t>
  </si>
  <si>
    <t>2020-07-07-350PG</t>
  </si>
  <si>
    <t>2020-07-07-048CW</t>
  </si>
  <si>
    <t>2020-07-07-352PG</t>
  </si>
  <si>
    <t>2020-07-07-353PG</t>
  </si>
  <si>
    <t>2020-0707-013</t>
  </si>
  <si>
    <t>2020-07-07-356PG</t>
  </si>
  <si>
    <t>2020-07-07-349PG</t>
  </si>
  <si>
    <t>2020-07-07-342PG</t>
  </si>
  <si>
    <t>2020-07-07-347PG</t>
  </si>
  <si>
    <t>2020-07-07-346PG</t>
  </si>
  <si>
    <t>2020-07-07-348PG</t>
  </si>
  <si>
    <t>2020-07-07-344PG</t>
  </si>
  <si>
    <t>2020-07-07-041CW</t>
  </si>
  <si>
    <t>2020-07-07-345PG</t>
  </si>
  <si>
    <t>2020-07-07-351PG</t>
  </si>
  <si>
    <t>6-34-20</t>
  </si>
  <si>
    <t>2020-07-07-358PG</t>
  </si>
  <si>
    <t>100-20-06-106</t>
  </si>
  <si>
    <t>100(01)20-06-026(AA)</t>
  </si>
  <si>
    <t>2020-02-004</t>
  </si>
  <si>
    <t>06152020-</t>
  </si>
  <si>
    <t>03a-G-2020 (SB)</t>
  </si>
  <si>
    <t>VS-2020-06-01</t>
  </si>
  <si>
    <t>IB No. GS-2020 – 048-A</t>
  </si>
  <si>
    <t>Q-092-20</t>
  </si>
  <si>
    <t>2020-02-006</t>
  </si>
  <si>
    <t>06152020</t>
  </si>
  <si>
    <t>ITB 20-0064</t>
  </si>
  <si>
    <t>100-20-06-105</t>
  </si>
  <si>
    <t>ITB No. 039-2020 GQ</t>
  </si>
  <si>
    <t>2020-07-07-375PG</t>
  </si>
  <si>
    <t>100-20-05-104</t>
  </si>
  <si>
    <t>2020-07-07-379PG</t>
  </si>
  <si>
    <t>200-20-05-003</t>
  </si>
  <si>
    <t>ITB-DIESEL2020</t>
  </si>
  <si>
    <t>IB No. GS-2020 – 052-A</t>
  </si>
  <si>
    <t>IB No. GS-2020 – 041-A</t>
  </si>
  <si>
    <t>PB NO. 2020-036</t>
  </si>
  <si>
    <t>2020-06-0103</t>
  </si>
  <si>
    <t>CW45-2020</t>
  </si>
  <si>
    <t>CW43-2020</t>
  </si>
  <si>
    <t>2020-07-07-362PG</t>
  </si>
  <si>
    <t>ITB 20-0062</t>
  </si>
  <si>
    <t>PB-12-2020</t>
  </si>
  <si>
    <t>MPP-2020-03</t>
  </si>
  <si>
    <t>MPP-2020-02</t>
  </si>
  <si>
    <t>ITB 20-0063</t>
  </si>
  <si>
    <t>2020-07-07-360PG</t>
  </si>
  <si>
    <t>2020-B-06-024</t>
  </si>
  <si>
    <t>IB-05-0399-20HRND</t>
  </si>
  <si>
    <t>06-115-2020</t>
  </si>
  <si>
    <t>IB No. GS-2020 – 071</t>
  </si>
  <si>
    <t>100-20-05-103</t>
  </si>
  <si>
    <t>2020130</t>
  </si>
  <si>
    <t>CHMSC 20-018-0615-G</t>
  </si>
  <si>
    <t>BAC-HO GS No. 2020-0243</t>
  </si>
  <si>
    <t>IB No. GS-2020 – 051-A</t>
  </si>
  <si>
    <t>PB-11-2020</t>
  </si>
  <si>
    <t>BACII-2020-15</t>
  </si>
  <si>
    <t>2020-06-148</t>
  </si>
  <si>
    <t>LGUBal2020-03</t>
  </si>
  <si>
    <t>CW44-2020</t>
  </si>
  <si>
    <t>ITB NO. 012 OF 2020</t>
  </si>
  <si>
    <t>INFRA-2020-03</t>
  </si>
  <si>
    <t>2020-07-07-365PG</t>
  </si>
  <si>
    <t>2020-07-07-363PG</t>
  </si>
  <si>
    <t>IB No. GS-2020 – 072</t>
  </si>
  <si>
    <t>ITB NO. 011 OF 2020</t>
  </si>
  <si>
    <t>PB NO. 2020-037</t>
  </si>
  <si>
    <t>ITB No. UATLMC2020-101-03-005L5</t>
  </si>
  <si>
    <t>2020-07-07-367PG</t>
  </si>
  <si>
    <t>ITB No. UATLMC2020-101-03-005L6</t>
  </si>
  <si>
    <t>LGUBal2020-04</t>
  </si>
  <si>
    <t>ITB No. UATLMC2020-101-03-005L3</t>
  </si>
  <si>
    <t>ITB NO. 010 OF 2020</t>
  </si>
  <si>
    <t>ITB No. UATLMC2020-101-03-005L4</t>
  </si>
  <si>
    <t>2020-07-07-376PG</t>
  </si>
  <si>
    <t>2020-07-07-364PG</t>
  </si>
  <si>
    <t>0046-2020</t>
  </si>
  <si>
    <t>Amagbagan-001</t>
  </si>
  <si>
    <t>MGCP-20I-580A</t>
  </si>
  <si>
    <t>INFRA-2020-06-37</t>
  </si>
  <si>
    <t>HB 2003-016</t>
  </si>
  <si>
    <t>ITB No. UATLMC2020-101-03-003L2</t>
  </si>
  <si>
    <t>CBSUA-SIP-GOODS-11-2020</t>
  </si>
  <si>
    <t>ITB No. 06-GOODS-2019</t>
  </si>
  <si>
    <t>2020-07-07-370PG</t>
  </si>
  <si>
    <t>ITB No. UATLMC2020-101-03-003L1</t>
  </si>
  <si>
    <t>IB No. 2020-189</t>
  </si>
  <si>
    <t>MGCP-20G-579A</t>
  </si>
  <si>
    <t>DAPA-077-2020</t>
  </si>
  <si>
    <t>0095-2020</t>
  </si>
  <si>
    <t>INFRA-2020-06-38</t>
  </si>
  <si>
    <t>2020-07-07-369PG</t>
  </si>
  <si>
    <t>2020-07-07-366PG</t>
  </si>
  <si>
    <t>ITB No. 2020-157-sp-maramara, sp-dinlayan and sp-g</t>
  </si>
  <si>
    <t>2020-INFRA-14B</t>
  </si>
  <si>
    <t>FSDE19-CS-036-20</t>
  </si>
  <si>
    <t>BAC2020-06-022</t>
  </si>
  <si>
    <t>2020-07-07-372PG</t>
  </si>
  <si>
    <t>IB. NO. 2020-176</t>
  </si>
  <si>
    <t>20PJ0056</t>
  </si>
  <si>
    <t>2020-07-07-371PG</t>
  </si>
  <si>
    <t>ITB No. UATLMC2020-101-03-005L7</t>
  </si>
  <si>
    <t>20PJ0055</t>
  </si>
  <si>
    <t>ITB NO. GOP/20-DSWD-041</t>
  </si>
  <si>
    <t>020-001</t>
  </si>
  <si>
    <t>BAC 06/15/20-01</t>
  </si>
  <si>
    <t>2020-07-07-377PG</t>
  </si>
  <si>
    <t>ITB No. 2020 – 73</t>
  </si>
  <si>
    <t>2020-07-07-374PG</t>
  </si>
  <si>
    <t>ITB No. UATLMC2020-101-03-005L2</t>
  </si>
  <si>
    <t>IB. NO. K-2020-056(SC)</t>
  </si>
  <si>
    <t>DPWH-SK2DEO-20MH0085</t>
  </si>
  <si>
    <t>DPWH-SK2DEO-20GMH048</t>
  </si>
  <si>
    <t>20GD00003</t>
  </si>
  <si>
    <t>20PJ0054</t>
  </si>
  <si>
    <t>BFP BAC IB No. 001 (I) s. 2020</t>
  </si>
  <si>
    <t>RF INFRA GAA CY 2020-06-001</t>
  </si>
  <si>
    <t>BAC-HO GS 2020-0239 and BAC-HO GS 2020-0231</t>
  </si>
  <si>
    <t>BFP BAC IB No. 002 (G) s. 2020</t>
  </si>
  <si>
    <t>DPWH-SK2DEO-20MH0103</t>
  </si>
  <si>
    <t>2020-07-07-382PG</t>
  </si>
  <si>
    <t>ITB2020-018</t>
  </si>
  <si>
    <t>2020-07-07-381PG</t>
  </si>
  <si>
    <t>20NC0126</t>
  </si>
  <si>
    <t>2020-07-07-341PG</t>
  </si>
  <si>
    <t>2020-07-07-380PG</t>
  </si>
  <si>
    <t>004 2020 LML</t>
  </si>
  <si>
    <t>IB. NO. K-2020-049(SC)</t>
  </si>
  <si>
    <t>20NC0127</t>
  </si>
  <si>
    <t>20GJC0193</t>
  </si>
  <si>
    <t>2020-07-07-378PG</t>
  </si>
  <si>
    <t>21-2020</t>
  </si>
  <si>
    <t>BCS-2020-0127</t>
  </si>
  <si>
    <t>AGR-20-0668-B</t>
  </si>
  <si>
    <t>CW48-2020</t>
  </si>
  <si>
    <t>AGR-19-1448-B</t>
  </si>
  <si>
    <t>CW47-2020</t>
  </si>
  <si>
    <t>GOODS-007-2020</t>
  </si>
  <si>
    <t>INFRA-CNO-20-0004</t>
  </si>
  <si>
    <t>CW46-2020</t>
  </si>
  <si>
    <t>IB 2020-06-001I</t>
  </si>
  <si>
    <t>ITB2020-028</t>
  </si>
  <si>
    <t>ITB2020-025</t>
  </si>
  <si>
    <t>ITB2020-027</t>
  </si>
  <si>
    <t>ITB2020-026</t>
  </si>
  <si>
    <t>BAC-HO GS 2020-0326</t>
  </si>
  <si>
    <t>B2020-075-A</t>
  </si>
  <si>
    <t>IB. NO. K-2020-028(SC)</t>
  </si>
  <si>
    <t>BCS-2020-0125</t>
  </si>
  <si>
    <t>IB. NO. K-2020-024(SC)</t>
  </si>
  <si>
    <t>PGR-INFRA-2020-07-7</t>
  </si>
  <si>
    <t>ITB PR No.: 0205-20BAC</t>
  </si>
  <si>
    <t>PGR-INFRA-2020-07-4</t>
  </si>
  <si>
    <t>ITB2020-029</t>
  </si>
  <si>
    <t>PGR-INFRA-2020-07-3</t>
  </si>
  <si>
    <t>PGR-INFRA-2020-07-6</t>
  </si>
  <si>
    <t>PGR-INFRA-2020-07-1</t>
  </si>
  <si>
    <t>PGR-INFRA-2020-07-5</t>
  </si>
  <si>
    <t>ITB2020-024</t>
  </si>
  <si>
    <t>PGR-INFRA-2020-07-2</t>
  </si>
  <si>
    <t>ITB PR No.: 1087-20BAC</t>
  </si>
  <si>
    <t>ITB PR No.: 0776-20BAC</t>
  </si>
  <si>
    <t>2020-320</t>
  </si>
  <si>
    <t>2020-ITB-06-029</t>
  </si>
  <si>
    <t>2020-ITB-06-041</t>
  </si>
  <si>
    <t>2020-ITB-06-040</t>
  </si>
  <si>
    <t>DPWH-SK2DEO-20GMH047</t>
  </si>
  <si>
    <t>PGR-INFRA-2020-03-05</t>
  </si>
  <si>
    <t>PGR-INFRA-2020-07-11</t>
  </si>
  <si>
    <t>2020-ITB-06-037</t>
  </si>
  <si>
    <t>2020-ITB-06-036</t>
  </si>
  <si>
    <t>2020-ITB-06-042</t>
  </si>
  <si>
    <t>2020-ITB-06-035</t>
  </si>
  <si>
    <t>2020-ITB-06-028</t>
  </si>
  <si>
    <t>2020-INFRA-027</t>
  </si>
  <si>
    <t>2020-ITB-06-026</t>
  </si>
  <si>
    <t>2020-ITB-06-034</t>
  </si>
  <si>
    <t>2020-ITB-06-039</t>
  </si>
  <si>
    <t>2020-ITB-06-033</t>
  </si>
  <si>
    <t>PGR-INFRA-2020-07-9</t>
  </si>
  <si>
    <t>PGR-INFRA-2020-07-8</t>
  </si>
  <si>
    <t>2020-ITB-06-031</t>
  </si>
  <si>
    <t>2020-INFRA-030</t>
  </si>
  <si>
    <t>2020-ITB-06-027</t>
  </si>
  <si>
    <t>CONTRACT ID: 20-06-084</t>
  </si>
  <si>
    <t>ITB PR No.: 0777-20BAC</t>
  </si>
  <si>
    <t>2020-INFRA-031</t>
  </si>
  <si>
    <t>BAC-ITIO GS No. 2020-0053 dated 02 June 2020</t>
  </si>
  <si>
    <t>PGR-INFRA-2020-03-18</t>
  </si>
  <si>
    <t>2020-INFRA-029</t>
  </si>
  <si>
    <t>PGR-INFRA-2020-07-10</t>
  </si>
  <si>
    <t>PGR-INFRA-2020-03-16</t>
  </si>
  <si>
    <t>PGR-INFRA-2020-03-14</t>
  </si>
  <si>
    <t>PGR-INFRA-2020-03-07</t>
  </si>
  <si>
    <t>2020-ITB-06-038</t>
  </si>
  <si>
    <t>2020-ITB-06-046</t>
  </si>
  <si>
    <t>BAC-ITIO GS No. 2020-0026 dated 21 April 2020</t>
  </si>
  <si>
    <t>2020-INFRA-032</t>
  </si>
  <si>
    <t>PGR-INFRA-2020-03-13</t>
  </si>
  <si>
    <t>2020-INFRA-028</t>
  </si>
  <si>
    <t>ITB No. 2020-020</t>
  </si>
  <si>
    <t>PUR20-03-0308</t>
  </si>
  <si>
    <t>2020-ITB-06-045</t>
  </si>
  <si>
    <t>ITB No. 2020-018</t>
  </si>
  <si>
    <t>ITB No. 2020-021</t>
  </si>
  <si>
    <t>PGR-INFRA-2020-03-22</t>
  </si>
  <si>
    <t>ITB No. 2020-019</t>
  </si>
  <si>
    <t>BAC1-20-003</t>
  </si>
  <si>
    <t>PUR20-03-0274</t>
  </si>
  <si>
    <t>PUR20-04-0356</t>
  </si>
  <si>
    <t>PUR20-03-0241</t>
  </si>
  <si>
    <t>PM20-010</t>
  </si>
  <si>
    <t>BAL-06-13-2020-Construction of Roofing in the Park</t>
  </si>
  <si>
    <t>NOSO-Goods-SIP-05-2020</t>
  </si>
  <si>
    <t>2020-06-132</t>
  </si>
  <si>
    <t>2020-ITB-06-043</t>
  </si>
  <si>
    <t>CONTRACT ID: 20-06-085</t>
  </si>
  <si>
    <t>2020-ITB-06-044</t>
  </si>
  <si>
    <t>20-006-072</t>
  </si>
  <si>
    <t>ITB GOODS 2020-06-35</t>
  </si>
  <si>
    <t>ITB GOODS 2020-06-34</t>
  </si>
  <si>
    <t>INFRA-09-20-06</t>
  </si>
  <si>
    <t>NOSO-Goods-SIP-04-2020</t>
  </si>
  <si>
    <t>ITB GOODS 2020-06-33</t>
  </si>
  <si>
    <t>LGU-Banayoyo, ISur 2020-06-044</t>
  </si>
  <si>
    <t>LGU-Banayoyo, ISur 2020-06-043</t>
  </si>
  <si>
    <t>LGU-Banayoyo, ISur 2020-06-045</t>
  </si>
  <si>
    <t>BAC1-20-013</t>
  </si>
  <si>
    <t>ITB GOODS 2020-06-32</t>
  </si>
  <si>
    <t>2020-ITB-06-032</t>
  </si>
  <si>
    <t>LGU-Banayoyo, ISur 2020-06-042</t>
  </si>
  <si>
    <t>20013022020</t>
  </si>
  <si>
    <t>LGU-Banayoyo, ISur 2020-06-046</t>
  </si>
  <si>
    <t>IB-01-0206-20 VPAFEA SUPPLY, DELIVERY AND INSTALLA</t>
  </si>
  <si>
    <t>2020-07-02-016</t>
  </si>
  <si>
    <t>60011012020</t>
  </si>
  <si>
    <t>2020-07-02-015</t>
  </si>
  <si>
    <t>IB-01-0186-20 COE-CE SUPPLY AND DELIVERY OF LABORA</t>
  </si>
  <si>
    <t>PRDP-PSO-Admin-2020-013 (AF)</t>
  </si>
  <si>
    <t>20CSA004</t>
  </si>
  <si>
    <t>2020-06-09-20-03-21</t>
  </si>
  <si>
    <t>ITB No. 2020-026</t>
  </si>
  <si>
    <t>20CN0149</t>
  </si>
  <si>
    <t>I.D. NO. –June10-2020-475</t>
  </si>
  <si>
    <t>20CSA003</t>
  </si>
  <si>
    <t>I.D. NO. –June10-2020-476</t>
  </si>
  <si>
    <t>2020-PBGOODS-05-006</t>
  </si>
  <si>
    <t>I.D. NO. –June10-2020-470</t>
  </si>
  <si>
    <t>PRDP-PSO-Admin-2020-05-017 (AF)</t>
  </si>
  <si>
    <t>20CSDM03</t>
  </si>
  <si>
    <t>PROCUREMENT OF GENUINE HP TONER CARTRIDGES (For Ex</t>
  </si>
  <si>
    <t>2020-06-09-20-03-22</t>
  </si>
  <si>
    <t>I.D. NO. –June10-2020-468</t>
  </si>
  <si>
    <t>I.D. NO. –June10-2020-467</t>
  </si>
  <si>
    <t>I.D. NO. –June10-2020-474</t>
  </si>
  <si>
    <t>2020-MS-101</t>
  </si>
  <si>
    <t>60011032020</t>
  </si>
  <si>
    <t>20EF0120</t>
  </si>
  <si>
    <t>20EF0119</t>
  </si>
  <si>
    <t>20EF0118</t>
  </si>
  <si>
    <t>I.D. NO. –June10-2020-469</t>
  </si>
  <si>
    <t>I.D. NO. –June10-2020-473</t>
  </si>
  <si>
    <t>Goods 0024-2020</t>
  </si>
  <si>
    <t>Goods 0017-2020</t>
  </si>
  <si>
    <t>I.D. NO. –June10-2020-471</t>
  </si>
  <si>
    <t>GOODS-2020-132</t>
  </si>
  <si>
    <t>GA-BAC-2020-IA-12</t>
  </si>
  <si>
    <t>20GEF009 (Re-bid 1)</t>
  </si>
  <si>
    <t>GOODS-2020-131</t>
  </si>
  <si>
    <t>GEPS - 2020 - 79</t>
  </si>
  <si>
    <t>20CI0096</t>
  </si>
  <si>
    <t>20CI0095</t>
  </si>
  <si>
    <t>20HH0136</t>
  </si>
  <si>
    <t>20EF0121</t>
  </si>
  <si>
    <t>Goods 0025-2020</t>
  </si>
  <si>
    <t>INFRA-13</t>
  </si>
  <si>
    <t>C-018-20</t>
  </si>
  <si>
    <t>20CSHN09</t>
  </si>
  <si>
    <t>GOODS-07</t>
  </si>
  <si>
    <t>HFEP ITB 2020-002</t>
  </si>
  <si>
    <t>INFRA-12</t>
  </si>
  <si>
    <t>NS-06-11-20</t>
  </si>
  <si>
    <t>20CSAI002</t>
  </si>
  <si>
    <t>cgb2020-195</t>
  </si>
  <si>
    <t>Pb-001-20</t>
  </si>
  <si>
    <t>GOODS-08</t>
  </si>
  <si>
    <t>LIMAO-BAC-08-20</t>
  </si>
  <si>
    <t>I.D. NO. –June10-2020-472</t>
  </si>
  <si>
    <t>ITB 20-070</t>
  </si>
  <si>
    <t>2020-02-0192-MAIN</t>
  </si>
  <si>
    <t>2020-02-0293-MAIN</t>
  </si>
  <si>
    <t>INFRA 2K20-46</t>
  </si>
  <si>
    <t>INFRA-14</t>
  </si>
  <si>
    <t>BAC No. 07-05-2020</t>
  </si>
  <si>
    <t>ITB-2020-PR0903</t>
  </si>
  <si>
    <t>B-82-2020</t>
  </si>
  <si>
    <t>N-20-06-055</t>
  </si>
  <si>
    <t>N-20-06-054</t>
  </si>
  <si>
    <t>2020-018-PB</t>
  </si>
  <si>
    <t>INFRA 2K20-41</t>
  </si>
  <si>
    <t>INFRA-2K20-39</t>
  </si>
  <si>
    <t>2020-02-0384-MAIN</t>
  </si>
  <si>
    <t>ITB-2020-JDL-004</t>
  </si>
  <si>
    <t>N-20-06-053</t>
  </si>
  <si>
    <t>INFRA-2020-16</t>
  </si>
  <si>
    <t>BAC-PGCS-007-2020</t>
  </si>
  <si>
    <t>N-20-06-052</t>
  </si>
  <si>
    <t>INFRA-2020-17</t>
  </si>
  <si>
    <t>LIMAO-BAC-07-20</t>
  </si>
  <si>
    <t>06-084-2020</t>
  </si>
  <si>
    <t>20CI0094</t>
  </si>
  <si>
    <t>20CSA002</t>
  </si>
  <si>
    <t>PR# 20-06-0603</t>
  </si>
  <si>
    <t>20CW-GSC-022</t>
  </si>
  <si>
    <t>INFRA-15</t>
  </si>
  <si>
    <t>20CSKK0004</t>
  </si>
  <si>
    <t>BWWGEBAC #2020-004</t>
  </si>
  <si>
    <t>BCS-2020-0114</t>
  </si>
  <si>
    <t>DGPD2020-RFQ06-002-G</t>
  </si>
  <si>
    <t>ITB PR No.: 0854-20BAC</t>
  </si>
  <si>
    <t>IB. NO. 2020-206</t>
  </si>
  <si>
    <t>ITB PR No.: 0853-20BAC</t>
  </si>
  <si>
    <t>GEPS - 2020 - 78</t>
  </si>
  <si>
    <t>ITB PR No.: 0816-20BAC</t>
  </si>
  <si>
    <t>ITB PR No.: 0770-20BAC</t>
  </si>
  <si>
    <t>20-003</t>
  </si>
  <si>
    <t>ITB PR No.: 0852-20BAC</t>
  </si>
  <si>
    <t>20-DO-0083</t>
  </si>
  <si>
    <t>100-20-05-0543</t>
  </si>
  <si>
    <t>20NC0125</t>
  </si>
  <si>
    <t>ITB- 2020-06</t>
  </si>
  <si>
    <t>20NC0124</t>
  </si>
  <si>
    <t>PB 20-020-5</t>
  </si>
  <si>
    <t>INFRA 2K20-50</t>
  </si>
  <si>
    <t>C-2020-01</t>
  </si>
  <si>
    <t>ITB-GS-20200313-01</t>
  </si>
  <si>
    <t>IB NO. 2020-06-29 (12)</t>
  </si>
  <si>
    <t>INFRA-20-06</t>
  </si>
  <si>
    <t>2020 001</t>
  </si>
  <si>
    <t>Goods 0028-2020</t>
  </si>
  <si>
    <t>20CSA001</t>
  </si>
  <si>
    <t>19-82-071</t>
  </si>
  <si>
    <t>00041-20-0219-0167</t>
  </si>
  <si>
    <t>IB No. 2020-216</t>
  </si>
  <si>
    <t>PR# 20-05-941</t>
  </si>
  <si>
    <t>CONTRACT ID: 19-10-208 REBID</t>
  </si>
  <si>
    <t>BAC-HO GS No. 2020-0227 dated 26 May 2020 (SSD)</t>
  </si>
  <si>
    <t>ITB PR No.: 0691-20BAC</t>
  </si>
  <si>
    <t>BCS-2020-0094</t>
  </si>
  <si>
    <t>IB No. 2020-222</t>
  </si>
  <si>
    <t>20NC0119</t>
  </si>
  <si>
    <t>20013052020</t>
  </si>
  <si>
    <t>MKWD2020-041</t>
  </si>
  <si>
    <t>ITB 2020-05</t>
  </si>
  <si>
    <t>PR-2020-05-116</t>
  </si>
  <si>
    <t>BS20-03-0520</t>
  </si>
  <si>
    <t>ITB-2019-PW-01</t>
  </si>
  <si>
    <t>ITB PR No.: 0694-20BAC</t>
  </si>
  <si>
    <t>BS20-02-0215-1</t>
  </si>
  <si>
    <t>19-83-408</t>
  </si>
  <si>
    <t>SVP-060520-2</t>
  </si>
  <si>
    <t>SAM-2020-18</t>
  </si>
  <si>
    <t>20CE0208</t>
  </si>
  <si>
    <t>27388-001</t>
  </si>
  <si>
    <t>20CE0207</t>
  </si>
  <si>
    <t>BAC 2020-67</t>
  </si>
  <si>
    <t>2020-062-13</t>
  </si>
  <si>
    <t>PB-CW-2020-018</t>
  </si>
  <si>
    <t>PB-CW-2020-016</t>
  </si>
  <si>
    <t>20GB0123</t>
  </si>
  <si>
    <t>ITB PR No.: 0605-20BAC</t>
  </si>
  <si>
    <t>ITB PR No.: 0604-20BAC</t>
  </si>
  <si>
    <t>27619-001 to 27619-003</t>
  </si>
  <si>
    <t>ITB PR No.: 3310-19BAC</t>
  </si>
  <si>
    <t>ITB PR No.: 0952-20BAC</t>
  </si>
  <si>
    <t>ITB PR No.: 0697-20BAC</t>
  </si>
  <si>
    <t>27608-001</t>
  </si>
  <si>
    <t>2020-02-INFRA-JUNE-01</t>
  </si>
  <si>
    <t>20KA0136</t>
  </si>
  <si>
    <t>IB NO. 2020-172-A</t>
  </si>
  <si>
    <t>19Z00043</t>
  </si>
  <si>
    <t>ITB PR No.: 0698-20BAC</t>
  </si>
  <si>
    <t>ITB-GS-20200407-01</t>
  </si>
  <si>
    <t>Contract No. PB-CW-2020-017</t>
  </si>
  <si>
    <t>ITB-GS-20200325-01</t>
  </si>
  <si>
    <t>19Z00042</t>
  </si>
  <si>
    <t>20BF0054</t>
  </si>
  <si>
    <t>20BF0052</t>
  </si>
  <si>
    <t>20BF0053</t>
  </si>
  <si>
    <t>20P00017</t>
  </si>
  <si>
    <t>19Z00001</t>
  </si>
  <si>
    <t>MG-A7M20-051</t>
  </si>
  <si>
    <t>DTI PB-20-010</t>
  </si>
  <si>
    <t>FSDE18-CN-043-20</t>
  </si>
  <si>
    <t>20P00006</t>
  </si>
  <si>
    <t>2020-000-028</t>
  </si>
  <si>
    <t>20P00005</t>
  </si>
  <si>
    <t>20P00009</t>
  </si>
  <si>
    <t>20C00036</t>
  </si>
  <si>
    <t>20HG0162 RE-BID</t>
  </si>
  <si>
    <t>PR 74424</t>
  </si>
  <si>
    <t>2020-GOODS-03</t>
  </si>
  <si>
    <t>20KA0140</t>
  </si>
  <si>
    <t>ITB-GS-20200402-01</t>
  </si>
  <si>
    <t>20HG0161 RE-BID</t>
  </si>
  <si>
    <t>20KA0139</t>
  </si>
  <si>
    <t>SVP 2020-215</t>
  </si>
  <si>
    <t>20-009-10 Charlie</t>
  </si>
  <si>
    <t>PSYS-20-05-002</t>
  </si>
  <si>
    <t>20KA0141</t>
  </si>
  <si>
    <t>20J00188</t>
  </si>
  <si>
    <t>20J00177</t>
  </si>
  <si>
    <t>20J00179</t>
  </si>
  <si>
    <t>20J00176</t>
  </si>
  <si>
    <t>20J00178</t>
  </si>
  <si>
    <t>20BG0137</t>
  </si>
  <si>
    <t>20BG0135</t>
  </si>
  <si>
    <t>20BG0136</t>
  </si>
  <si>
    <t>ITB No. 2020-03</t>
  </si>
  <si>
    <t>20BG0131</t>
  </si>
  <si>
    <t>20KA0135</t>
  </si>
  <si>
    <t>ITB 2020-INFRA-006</t>
  </si>
  <si>
    <t>ITB 2020-INFRA-005</t>
  </si>
  <si>
    <t>ITB 2020-INFRA-001</t>
  </si>
  <si>
    <t>20F00123</t>
  </si>
  <si>
    <t>ISS 2020-008-IT</t>
  </si>
  <si>
    <t>ITB 2020-INFRA-003</t>
  </si>
  <si>
    <t>20CSH017</t>
  </si>
  <si>
    <t>ITB 2020-INFRA-002</t>
  </si>
  <si>
    <t>20CSH016</t>
  </si>
  <si>
    <t>20CSH022</t>
  </si>
  <si>
    <t>19CSK00056</t>
  </si>
  <si>
    <t>20CSH021</t>
  </si>
  <si>
    <t>BSWM PR 2020-02-1012</t>
  </si>
  <si>
    <t>ITB 2020-INFRA-004</t>
  </si>
  <si>
    <t>ITB No. 2020-02</t>
  </si>
  <si>
    <t>20CSH018</t>
  </si>
  <si>
    <t>20AC0088</t>
  </si>
  <si>
    <t>20AC0091</t>
  </si>
  <si>
    <t>2020 GDS JUN - 02</t>
  </si>
  <si>
    <t>ITB-GS-20200212-01</t>
  </si>
  <si>
    <t>001-01-2020</t>
  </si>
  <si>
    <t>BAC-GS No. 2020-046</t>
  </si>
  <si>
    <t>ITB-GS-20190703-01(2)</t>
  </si>
  <si>
    <t>20AC0083</t>
  </si>
  <si>
    <t>ITB-GS-20200304-01</t>
  </si>
  <si>
    <t>BFAR5BAC-2020-034</t>
  </si>
  <si>
    <t>20AC0090</t>
  </si>
  <si>
    <t>ITB-GS-20191202-01</t>
  </si>
  <si>
    <t>20AC0084</t>
  </si>
  <si>
    <t>20FO0075</t>
  </si>
  <si>
    <t>20FO0076</t>
  </si>
  <si>
    <t>ITB-GS-20200305-03</t>
  </si>
  <si>
    <t>20AC0079</t>
  </si>
  <si>
    <t>20J00181</t>
  </si>
  <si>
    <t>PB-2020-G-3</t>
  </si>
  <si>
    <t>20J00180</t>
  </si>
  <si>
    <t>CID No. 20CSIO13</t>
  </si>
  <si>
    <t>20200585</t>
  </si>
  <si>
    <t>20J00182</t>
  </si>
  <si>
    <t>20CSIO09</t>
  </si>
  <si>
    <t>MA-A2H20-006..BATTERY BANK, STATION BATTERY, AGUS</t>
  </si>
  <si>
    <t>20AC0087</t>
  </si>
  <si>
    <t>20AC0071</t>
  </si>
  <si>
    <t>BSWM PR 2020-01-0788</t>
  </si>
  <si>
    <t>BSWM PR 2020-01-0851</t>
  </si>
  <si>
    <t>CID No. 20CSIO12</t>
  </si>
  <si>
    <t>ITB-GS-20200217-01</t>
  </si>
  <si>
    <t>BSWM PR 2020-02-1005 &amp; 0796</t>
  </si>
  <si>
    <t>GSO-20-0202-B</t>
  </si>
  <si>
    <t>20AC0078</t>
  </si>
  <si>
    <t>PROCUREMENT OF OTHER SUPPLIES AND MATERIALS (SUPPL</t>
  </si>
  <si>
    <t>BSWM PR 2020-01-0675</t>
  </si>
  <si>
    <t>20AC0077</t>
  </si>
  <si>
    <t>20DE0128</t>
  </si>
  <si>
    <t>20J00183</t>
  </si>
  <si>
    <t>20DE0127</t>
  </si>
  <si>
    <t>20DE0129</t>
  </si>
  <si>
    <t>20CF0129</t>
  </si>
  <si>
    <t>20CF0128</t>
  </si>
  <si>
    <t>19-10-0950 Re-Bid</t>
  </si>
  <si>
    <t>20-DO-0075</t>
  </si>
  <si>
    <t>SBAC-AIR-INFR-2020-01</t>
  </si>
  <si>
    <t>20FO0074</t>
  </si>
  <si>
    <t>20AC0075</t>
  </si>
  <si>
    <t>20AC0069</t>
  </si>
  <si>
    <t>ITB-GS-20191023-01(2)</t>
  </si>
  <si>
    <t>20AC0074</t>
  </si>
  <si>
    <t>nlontoc-ITB050-2020</t>
  </si>
  <si>
    <t>UPC PB2020-03-03</t>
  </si>
  <si>
    <t>CDC 45-03-2020</t>
  </si>
  <si>
    <t>ITB No. 20-049</t>
  </si>
  <si>
    <t>ITB No. PB20-01-007ANGa-03</t>
  </si>
  <si>
    <t>20AI0126</t>
  </si>
  <si>
    <t>20FA0050</t>
  </si>
  <si>
    <t>20OE0091</t>
  </si>
  <si>
    <t>BCS-2020-0083</t>
  </si>
  <si>
    <t>UPM-CAD2020-08</t>
  </si>
  <si>
    <t>PEO CO-2019-SB 2-1-07-04-010</t>
  </si>
  <si>
    <t>PEO CO-2019-1-07-03-990</t>
  </si>
  <si>
    <t>UPC PB2020-03-04</t>
  </si>
  <si>
    <t>20AC0089</t>
  </si>
  <si>
    <t>PEO CO-2016</t>
  </si>
  <si>
    <t>03072020</t>
  </si>
  <si>
    <t>20OE0197</t>
  </si>
  <si>
    <t>PEO CO-2018-1-07-03-010</t>
  </si>
  <si>
    <t>20% DF-2018-emib-SB</t>
  </si>
  <si>
    <t>20dpwh66</t>
  </si>
  <si>
    <t>20AC0073</t>
  </si>
  <si>
    <t>19dpwh65</t>
  </si>
  <si>
    <t>ITB-010-2020</t>
  </si>
  <si>
    <t>BCS-2020-0081</t>
  </si>
  <si>
    <t>MCPD2020-RFQ03-002-G</t>
  </si>
  <si>
    <t>ITB-009-2020</t>
  </si>
  <si>
    <t>ITB-007-2020</t>
  </si>
  <si>
    <t>ITB-006-2020</t>
  </si>
  <si>
    <t>INF-005-2020</t>
  </si>
  <si>
    <t>I-2020-008</t>
  </si>
  <si>
    <t>SVP-030620-3</t>
  </si>
  <si>
    <t>PEO CO-2019-1-07-03-010</t>
  </si>
  <si>
    <t>I-2020-010</t>
  </si>
  <si>
    <t>20IL0175</t>
  </si>
  <si>
    <t>I-2020-009</t>
  </si>
  <si>
    <t>2020-06 (Rebidding)</t>
  </si>
  <si>
    <t>I-2020-006</t>
  </si>
  <si>
    <t>PB-IP-01-2020</t>
  </si>
  <si>
    <t>BCS-2020-0080</t>
  </si>
  <si>
    <t>ITB-GS-20200224-01</t>
  </si>
  <si>
    <t>ITB-004-2020</t>
  </si>
  <si>
    <t>20dpwh72</t>
  </si>
  <si>
    <t>ITB-GS-20200219-01</t>
  </si>
  <si>
    <t>ITB No. PB20-03-002DAV</t>
  </si>
  <si>
    <t>RFQ-008-2020</t>
  </si>
  <si>
    <t>I-2020-007</t>
  </si>
  <si>
    <t>ITB-GS-20200218-01</t>
  </si>
  <si>
    <t>20FA0049</t>
  </si>
  <si>
    <t>SBAC-CS-2020-03-03</t>
  </si>
  <si>
    <t>20FA0048</t>
  </si>
  <si>
    <t>CDC 38-03-2020</t>
  </si>
  <si>
    <t>UPLB-S-044-03-20</t>
  </si>
  <si>
    <t>2020-02 Infra (Rebid 2020 BEFF Lot 6)</t>
  </si>
  <si>
    <t>20OE0196</t>
  </si>
  <si>
    <t>R4-INFRA2020-01-003</t>
  </si>
  <si>
    <t>CDC 36-03-2020</t>
  </si>
  <si>
    <t>PB-04-20</t>
  </si>
  <si>
    <t>00051-20-1016-0006</t>
  </si>
  <si>
    <t>PB-03-20</t>
  </si>
  <si>
    <t>CDC 37-03-2020</t>
  </si>
  <si>
    <t>PB-2020-G-2</t>
  </si>
  <si>
    <t>UPM-CAD2020-05</t>
  </si>
  <si>
    <t>20HN0110</t>
  </si>
  <si>
    <t>R4-INFRA2020-01-004</t>
  </si>
  <si>
    <t>CDC 30-02-2020</t>
  </si>
  <si>
    <t>CDC 39-03-2020</t>
  </si>
  <si>
    <t>20HN0111</t>
  </si>
  <si>
    <t>Invitation to Bid No. 20-002</t>
  </si>
  <si>
    <t>20HN0109</t>
  </si>
  <si>
    <t>20FA0047</t>
  </si>
  <si>
    <t>20HN0108</t>
  </si>
  <si>
    <t>BAC19-001-004</t>
  </si>
  <si>
    <t>UPLB-S-038-03-20</t>
  </si>
  <si>
    <t>CDC 32-02-2020</t>
  </si>
  <si>
    <t>CARC- 2020-GS-01</t>
  </si>
  <si>
    <t>BAC Ref No. 02-2020WPMS</t>
  </si>
  <si>
    <t>CDC 33-02-2020</t>
  </si>
  <si>
    <t>20OC0025</t>
  </si>
  <si>
    <t>BCS-2020-0078</t>
  </si>
  <si>
    <t>PR 74122</t>
  </si>
  <si>
    <t>20GO0038</t>
  </si>
  <si>
    <t>20OC0099</t>
  </si>
  <si>
    <t>20BG0116</t>
  </si>
  <si>
    <t>20OE0114</t>
  </si>
  <si>
    <t>SPUG-LUZ19-020 (PB2)</t>
  </si>
  <si>
    <t>20FO0058</t>
  </si>
  <si>
    <t>SAM-2020-14</t>
  </si>
  <si>
    <t>20FO0060</t>
  </si>
  <si>
    <t>20FO0059</t>
  </si>
  <si>
    <t>Infra-2020-12</t>
  </si>
  <si>
    <t>BAC No. 2020-017</t>
  </si>
  <si>
    <t>Infra-2020-11</t>
  </si>
  <si>
    <t>BAC No. 2020-015</t>
  </si>
  <si>
    <t>BAC 2020-018</t>
  </si>
  <si>
    <t>19CSFC03</t>
  </si>
  <si>
    <t>Infra-2020-08  Re-bidding</t>
  </si>
  <si>
    <t>20-DO-0068</t>
  </si>
  <si>
    <t>20OE0108</t>
  </si>
  <si>
    <t>BAC Ref No. 03-2020PTC</t>
  </si>
  <si>
    <t>ITB-2020-04</t>
  </si>
  <si>
    <t>20OE0195</t>
  </si>
  <si>
    <t>BAC No. 2020-019</t>
  </si>
  <si>
    <t>20OE0194</t>
  </si>
  <si>
    <t>20OE0193</t>
  </si>
  <si>
    <t>Infra-2020-06 Re-bidding</t>
  </si>
  <si>
    <t>20FO0061</t>
  </si>
  <si>
    <t>20OE0189</t>
  </si>
  <si>
    <t>20OE0188</t>
  </si>
  <si>
    <t>20CI0064</t>
  </si>
  <si>
    <t>20OE0192</t>
  </si>
  <si>
    <t>ITB-CW-20200124-01</t>
  </si>
  <si>
    <t>20OE0190</t>
  </si>
  <si>
    <t>CAT-2020-001</t>
  </si>
  <si>
    <t>ITB-CW-20200121-01</t>
  </si>
  <si>
    <t>20OE0187</t>
  </si>
  <si>
    <t>CDC 27-02-2020</t>
  </si>
  <si>
    <t>BAC No. 2020-016</t>
  </si>
  <si>
    <t>20OE0191</t>
  </si>
  <si>
    <t>20HN0105</t>
  </si>
  <si>
    <t>ITB-003-2020</t>
  </si>
  <si>
    <t>20K00285</t>
  </si>
  <si>
    <t>INF-002-2020</t>
  </si>
  <si>
    <t>CDC 28-02-2020</t>
  </si>
  <si>
    <t>INF-001-2020</t>
  </si>
  <si>
    <t>BAC-ITIO GS No. 2020-0011</t>
  </si>
  <si>
    <t>dfppurch20-044</t>
  </si>
  <si>
    <t>MCPD2020-RFQ01-002-G</t>
  </si>
  <si>
    <t>BAC Ref No. 04-2020SFC</t>
  </si>
  <si>
    <t>UPM-CAD2020-10</t>
  </si>
  <si>
    <t>20AI0125</t>
  </si>
  <si>
    <t>UPM-CAD2020-09</t>
  </si>
  <si>
    <t>2020-01-0016</t>
  </si>
  <si>
    <t>PB-2020-02</t>
  </si>
  <si>
    <t>CDC 41-03-2020</t>
  </si>
  <si>
    <t>SVP 2020-164</t>
  </si>
  <si>
    <t>PB 20-16</t>
  </si>
  <si>
    <t>CDC 47-03-2020</t>
  </si>
  <si>
    <t>2020-03-001</t>
  </si>
  <si>
    <t>20K00275</t>
  </si>
  <si>
    <t>UPLB-S-030-03-20</t>
  </si>
  <si>
    <t>20AC0072</t>
  </si>
  <si>
    <t>ITB No. PB20-03-003DAV</t>
  </si>
  <si>
    <t>BAC 2020-012</t>
  </si>
  <si>
    <t>UPLB-RQ-1-049-20-RES LABORATORY SUPPLIES &amp; EQUIPME</t>
  </si>
  <si>
    <t>PR NO. 73939</t>
  </si>
  <si>
    <t>20HD0079</t>
  </si>
  <si>
    <t>20KA0101 (Readvertisement)</t>
  </si>
  <si>
    <t>20OD0126</t>
  </si>
  <si>
    <t>20HD0075</t>
  </si>
  <si>
    <t>20OD0188</t>
  </si>
  <si>
    <t>20OE0173</t>
  </si>
  <si>
    <t>20OE0185</t>
  </si>
  <si>
    <t>20HD0055</t>
  </si>
  <si>
    <t>20OE0138</t>
  </si>
  <si>
    <t>20K00270</t>
  </si>
  <si>
    <t>20FA0040</t>
  </si>
  <si>
    <t>20K00282</t>
  </si>
  <si>
    <t>CDC 22-02-2020</t>
  </si>
  <si>
    <t>CDC 23-02-2020</t>
  </si>
  <si>
    <t>CDC 18-02-2020</t>
  </si>
  <si>
    <t>CID No. 20CSIO08</t>
  </si>
  <si>
    <t>DENR-CO-2020-002</t>
  </si>
  <si>
    <t>2020059</t>
  </si>
  <si>
    <t>03-012-2020</t>
  </si>
  <si>
    <t>20FO0077</t>
  </si>
  <si>
    <t>CID No. 20CSIO10</t>
  </si>
  <si>
    <t>20AC0082</t>
  </si>
  <si>
    <t>20AC0080</t>
  </si>
  <si>
    <t>BFAR5BAC-2020-036</t>
  </si>
  <si>
    <t>20HM0083 (RE-IB)</t>
  </si>
  <si>
    <t>ITB 2020-INFRA-007</t>
  </si>
  <si>
    <t>2020-CIMS(008)-PB-001</t>
  </si>
  <si>
    <t>20CSH020</t>
  </si>
  <si>
    <t>2020-05-06a</t>
  </si>
  <si>
    <t>20AC0081</t>
  </si>
  <si>
    <t>20C00042</t>
  </si>
  <si>
    <t>BFAR5BAC-2020-077</t>
  </si>
  <si>
    <t>SVP 2020-320</t>
  </si>
  <si>
    <t>20-03-00198</t>
  </si>
  <si>
    <t>2020-50</t>
  </si>
  <si>
    <t>CDC 94-08-2019</t>
  </si>
  <si>
    <t>20CSH019</t>
  </si>
  <si>
    <t>CDC 125-11-2019</t>
  </si>
  <si>
    <t>20KB0057</t>
  </si>
  <si>
    <t>PB No. 19-341-7</t>
  </si>
  <si>
    <t>CDC 01-01-2020</t>
  </si>
  <si>
    <t>20J00091</t>
  </si>
  <si>
    <t>20J00090</t>
  </si>
  <si>
    <t>20J00089</t>
  </si>
  <si>
    <t>19-053-10 Bravo (Re-bid)</t>
  </si>
  <si>
    <t>20OD0131</t>
  </si>
  <si>
    <t>TAL-06-03-2020</t>
  </si>
  <si>
    <t>BSWM PR 2020-02-1006</t>
  </si>
  <si>
    <t>20J00092</t>
  </si>
  <si>
    <t>BSWM PR 2020-03-1068</t>
  </si>
  <si>
    <t>BSWM PR 2020-01-0801</t>
  </si>
  <si>
    <t>20-03-0221</t>
  </si>
  <si>
    <t>BFAR5BAC-2020-046</t>
  </si>
  <si>
    <t>20KA0138</t>
  </si>
  <si>
    <t>20KA0137</t>
  </si>
  <si>
    <t>PR No. 2020-05-000010</t>
  </si>
  <si>
    <t>20KA0142</t>
  </si>
  <si>
    <t>20CI0087</t>
  </si>
  <si>
    <t>20-001-01</t>
  </si>
  <si>
    <t>IB-2020-060</t>
  </si>
  <si>
    <t>PR 74514</t>
  </si>
  <si>
    <t>20-03-0226</t>
  </si>
  <si>
    <t>27611-001</t>
  </si>
  <si>
    <t>cdc 14-01-2020</t>
  </si>
  <si>
    <t>20FO0092</t>
  </si>
  <si>
    <t>PR 74568</t>
  </si>
  <si>
    <t>19CSK00055</t>
  </si>
  <si>
    <t>2020-GOODS-32</t>
  </si>
  <si>
    <t>ITB-GS-20200323-01</t>
  </si>
  <si>
    <t>IB NO. 2020-06-29 (13)</t>
  </si>
  <si>
    <t>CBSUA-SIP-GOODS-09-2020</t>
  </si>
  <si>
    <t>20OE0166</t>
  </si>
  <si>
    <t>KAT-06-2020-001</t>
  </si>
  <si>
    <t>20H00061</t>
  </si>
  <si>
    <t>2020-06-82</t>
  </si>
  <si>
    <t>C4ISR-PNBAC1-2020-24</t>
  </si>
  <si>
    <t>2005021</t>
  </si>
  <si>
    <t>PR# 20-05-940</t>
  </si>
  <si>
    <t>2020-06-09-002</t>
  </si>
  <si>
    <t>C4ISR-PNBAC1-2020-25</t>
  </si>
  <si>
    <t>PR Nos. 1000031284, 1000031790</t>
  </si>
  <si>
    <t>2020-02-0190-MAIN</t>
  </si>
  <si>
    <t>INFRA 2K20-49</t>
  </si>
  <si>
    <t>101-20-06-267</t>
  </si>
  <si>
    <t>520200302592</t>
  </si>
  <si>
    <t>20AC0076</t>
  </si>
  <si>
    <t>20013032020</t>
  </si>
  <si>
    <t>20NA0072</t>
  </si>
  <si>
    <t>20-06-0273</t>
  </si>
  <si>
    <t>SRAVIS 20-06-279</t>
  </si>
  <si>
    <t>INFRA-20-003</t>
  </si>
  <si>
    <t>BAL-06-13-2020-Concreting of 100 Linear Meter Sori</t>
  </si>
  <si>
    <t>BAL-06-13-2020-Concreting of 700 Linear Meter Bara</t>
  </si>
  <si>
    <t>2020-0042</t>
  </si>
  <si>
    <t>INFRA-20-06-0592</t>
  </si>
  <si>
    <t>BAC-ITO GS No. 2020-048 dated 27 May 2020</t>
  </si>
  <si>
    <t>ITB GOODS 2020-06-30</t>
  </si>
  <si>
    <t>BAL-06-13-2020-Concreting of 100 Linear Meter Bara</t>
  </si>
  <si>
    <t>ITB-2020-06-01</t>
  </si>
  <si>
    <t>ITB No. 2020-025</t>
  </si>
  <si>
    <t>ITB No. 2020-023</t>
  </si>
  <si>
    <t>PB20-01-015CORa-06</t>
  </si>
  <si>
    <t>60011022020</t>
  </si>
  <si>
    <t>2020-ITB-06-030</t>
  </si>
  <si>
    <t>20CSKG01</t>
  </si>
  <si>
    <t>RFQ No. 2020-003</t>
  </si>
  <si>
    <t>ITB 20-072</t>
  </si>
  <si>
    <t>ITB GOODS 2020-06-31</t>
  </si>
  <si>
    <t>IAEB 041-20</t>
  </si>
  <si>
    <t>IB. NO. K-2020-023(SC)</t>
  </si>
  <si>
    <t>2020-06-0560</t>
  </si>
  <si>
    <t>2020-GSIS-PB-073</t>
  </si>
  <si>
    <t>ITB No. 2020-024</t>
  </si>
  <si>
    <t>IB No. 2020-221</t>
  </si>
  <si>
    <t>2020 - 99</t>
  </si>
  <si>
    <t>20-06-413</t>
  </si>
  <si>
    <t>20-06-412</t>
  </si>
  <si>
    <t>GB 2002-006</t>
  </si>
  <si>
    <t>ITB No. UATLMC2020-101-03-005L1</t>
  </si>
  <si>
    <t>0051-2020</t>
  </si>
  <si>
    <t>20PJ0053</t>
  </si>
  <si>
    <t>ITB-2020-02</t>
  </si>
  <si>
    <t>P.R. No. 2020-06-0014</t>
  </si>
  <si>
    <t>LGUBal2020-05</t>
  </si>
  <si>
    <t>20-83-037</t>
  </si>
  <si>
    <t>ITB-19-08018</t>
  </si>
  <si>
    <t>IB No. GS-2020 – 046-A</t>
  </si>
  <si>
    <t>100-2020-05-098</t>
  </si>
  <si>
    <t>100-20-02-015</t>
  </si>
  <si>
    <t>20HN0083</t>
  </si>
  <si>
    <t>M-20-20</t>
  </si>
  <si>
    <t>2020-07-07-359PG</t>
  </si>
  <si>
    <t>2020-07-07-058PG</t>
  </si>
  <si>
    <t>016-0720-CP</t>
  </si>
  <si>
    <t>2020-07-07-357PG</t>
  </si>
  <si>
    <t>2020-07-07-340PG</t>
  </si>
  <si>
    <t>2020-07-07-339PG</t>
  </si>
  <si>
    <t>2020-07-07-338PG</t>
  </si>
  <si>
    <t>2020-07-07-337PG</t>
  </si>
  <si>
    <t>2020-07-07-334PG</t>
  </si>
  <si>
    <t>2020-07-07-336PG</t>
  </si>
  <si>
    <t>2020-07-07-335PG</t>
  </si>
  <si>
    <t>2020-07-07-035CW</t>
  </si>
  <si>
    <t>20GGF0016</t>
  </si>
  <si>
    <t>2020-07-07-034CW</t>
  </si>
  <si>
    <t>2020-07-07-031CW</t>
  </si>
  <si>
    <t>2020-07-07-030CW</t>
  </si>
  <si>
    <t>IB-2020-070</t>
  </si>
  <si>
    <t>20KB0167</t>
  </si>
  <si>
    <t>S2-LIM20-001</t>
  </si>
  <si>
    <t>PSU ITB 2001-008</t>
  </si>
  <si>
    <t>0020-0056-0320A-2020</t>
  </si>
  <si>
    <t>BAC164-PRESHOUSING-2020</t>
  </si>
  <si>
    <t>AGGDS2020-0617B</t>
  </si>
  <si>
    <t>GOODS-20-29</t>
  </si>
  <si>
    <t>ITB 20-0065</t>
  </si>
  <si>
    <t>38-201371-2020</t>
  </si>
  <si>
    <t>B-20-001</t>
  </si>
  <si>
    <t>DAS 2020-004</t>
  </si>
  <si>
    <t>DAS 2020-003</t>
  </si>
  <si>
    <t>Bid Reference No. 2020-005-A; PR No.2020-03-0082-A</t>
  </si>
  <si>
    <t>20GEB0023</t>
  </si>
  <si>
    <t>20CSDM05</t>
  </si>
  <si>
    <t>20013012020</t>
  </si>
  <si>
    <t>20CSDM04</t>
  </si>
  <si>
    <t>100-2019-11-1710</t>
  </si>
  <si>
    <t>QES-06-016-20</t>
  </si>
  <si>
    <t>100-2019-10-1635</t>
  </si>
  <si>
    <t>100-2020-02-308</t>
  </si>
  <si>
    <t>ITB No. 20-06-13</t>
  </si>
  <si>
    <t>MASO-202-20</t>
  </si>
  <si>
    <t>GEPS-11-2020</t>
  </si>
  <si>
    <t>20DE0144</t>
  </si>
  <si>
    <t>2020-06-89</t>
  </si>
  <si>
    <t>MDRRMO-180-20</t>
  </si>
  <si>
    <t>'PB Infra 20-040</t>
  </si>
  <si>
    <t>2020-INFRA-017</t>
  </si>
  <si>
    <t>DPWH-SK2DEO-20CSMH05</t>
  </si>
  <si>
    <t>2020-07-07-036CW</t>
  </si>
  <si>
    <t>PB INFRA 20-042</t>
  </si>
  <si>
    <t>2020-Goods-004</t>
  </si>
  <si>
    <t>DPWH-SK2DEO-20CSMH04</t>
  </si>
  <si>
    <t>ENG' 6ID, SBAC 01-2020</t>
  </si>
  <si>
    <t>20dpwh78</t>
  </si>
  <si>
    <t>2020-06-010B</t>
  </si>
  <si>
    <t>salbac 2020 22</t>
  </si>
  <si>
    <t>20PD0132</t>
  </si>
  <si>
    <t>PB INFRA 20-041</t>
  </si>
  <si>
    <t>202006170004</t>
  </si>
  <si>
    <t>100-2019-11-1714</t>
  </si>
  <si>
    <t>202006013</t>
  </si>
  <si>
    <t>2020-07-07-037CW</t>
  </si>
  <si>
    <t>20LB0261</t>
  </si>
  <si>
    <t>GOODS-20-32</t>
  </si>
  <si>
    <t>20LB0233</t>
  </si>
  <si>
    <t>60017032020</t>
  </si>
  <si>
    <t>BDG-2020-03</t>
  </si>
  <si>
    <t>C10-20-0223</t>
  </si>
  <si>
    <t>20LB0224</t>
  </si>
  <si>
    <t>100-1011-2020-05-570</t>
  </si>
  <si>
    <t>INFRA 2020-14</t>
  </si>
  <si>
    <t>2020-02-019-D</t>
  </si>
  <si>
    <t>2020-6-29-3</t>
  </si>
  <si>
    <t>20LB0304</t>
  </si>
  <si>
    <t>C4ISR-PNBAC1-2020-28</t>
  </si>
  <si>
    <t>NP-TP-2020-02</t>
  </si>
  <si>
    <t>2020-03-2042</t>
  </si>
  <si>
    <t>IL-2020-B-28</t>
  </si>
  <si>
    <t>02A-2020</t>
  </si>
  <si>
    <t>2020-21 LOT 5</t>
  </si>
  <si>
    <t>20LB0193</t>
  </si>
  <si>
    <t>2020-49</t>
  </si>
  <si>
    <t>GS-P03-2020-07-08</t>
  </si>
  <si>
    <t>SANTIAGO-2020-003</t>
  </si>
  <si>
    <t>CSC 2020-06-013</t>
  </si>
  <si>
    <t>IL-2020-B-29</t>
  </si>
  <si>
    <t>Implementing Rules and Regulations</t>
  </si>
  <si>
    <t>International / Executive Agreement</t>
  </si>
  <si>
    <t>ADB Procurement Guidelines</t>
  </si>
  <si>
    <t>Others</t>
  </si>
  <si>
    <t>WB Procurement Guidelines</t>
  </si>
  <si>
    <t>ADB Guidelines on the use of Consultants</t>
  </si>
  <si>
    <t>Public Bidding</t>
  </si>
  <si>
    <t>Negotiated Procurement - Small Value Procurement (Sec. 53.9)</t>
  </si>
  <si>
    <t>Negotiated Procurement - Two Failed Biddings (Sec. 53.1)</t>
  </si>
  <si>
    <t>Shopping</t>
  </si>
  <si>
    <t>Shopping - Ordinary/Regular Office Supplies &amp; Equipment (Sec. 52.1.b)</t>
  </si>
  <si>
    <t>National Competitive Bidding</t>
  </si>
  <si>
    <t>Negotiated Procurement - NGO Participation (Sec. 53.11)</t>
  </si>
  <si>
    <t>Selection based on Consultants Qualification</t>
  </si>
  <si>
    <t>International Competitive Bidding</t>
  </si>
  <si>
    <t>Civil Works</t>
  </si>
  <si>
    <t>Consulting Services</t>
  </si>
  <si>
    <t>Goods - General Support Services</t>
  </si>
  <si>
    <t>Office Supplies and Devices</t>
  </si>
  <si>
    <t>Hardware and Construction Supplies</t>
  </si>
  <si>
    <t>Security Services</t>
  </si>
  <si>
    <t>Fuels/Fuel Additives &amp; Lubricants &amp; Anti Corrosive</t>
  </si>
  <si>
    <t>Vehicles</t>
  </si>
  <si>
    <t>Communication Equipment &amp; Parts and Accessories</t>
  </si>
  <si>
    <t>Medical Supplies and Laboratory Instrument</t>
  </si>
  <si>
    <t>Garments</t>
  </si>
  <si>
    <t>Grocery Items</t>
  </si>
  <si>
    <t>Maritime Spare Parts</t>
  </si>
  <si>
    <t>Surveying Instruments</t>
  </si>
  <si>
    <t>Vehicle Parts and Accessories</t>
  </si>
  <si>
    <t>General Engineering Services</t>
  </si>
  <si>
    <t>Construction Equipment</t>
  </si>
  <si>
    <t>Information Technology</t>
  </si>
  <si>
    <t>Educational Materials and Supplies</t>
  </si>
  <si>
    <t>Tokens and Awards</t>
  </si>
  <si>
    <t>Fertilizers</t>
  </si>
  <si>
    <t>Medical and Dental Equipment</t>
  </si>
  <si>
    <t>Metal Fabrication</t>
  </si>
  <si>
    <t>Reproduction Services</t>
  </si>
  <si>
    <t>Agricultural Machinery and Equipment</t>
  </si>
  <si>
    <t>Agricultural Products (Seeds, Seedlings, Plants..)</t>
  </si>
  <si>
    <t>General Contractor</t>
  </si>
  <si>
    <t>Vehicle Repair and Maintenance</t>
  </si>
  <si>
    <t>Arts and Crafts Accessories and Supplies</t>
  </si>
  <si>
    <t>Information Technology Parts &amp; Accessories &amp; Perip</t>
  </si>
  <si>
    <t>Water Service Connection Materials/Fittings</t>
  </si>
  <si>
    <t>Airconditioning and Airconditioning Systems</t>
  </si>
  <si>
    <t>Transportation and Communications Services</t>
  </si>
  <si>
    <t>Services</t>
  </si>
  <si>
    <t>Engineering and Laboratory Testing Equipment</t>
  </si>
  <si>
    <t>Bedclothes, Linens and Towels</t>
  </si>
  <si>
    <t>Fixtures</t>
  </si>
  <si>
    <t>Timepieces and Jewelry and Gemstone Products</t>
  </si>
  <si>
    <t>Printing Supplies</t>
  </si>
  <si>
    <t>Electrical Systems and Lighting Components</t>
  </si>
  <si>
    <t>Dairy Products</t>
  </si>
  <si>
    <t>Office Equipment Parts and Accessories</t>
  </si>
  <si>
    <t>Janitorial Supplies</t>
  </si>
  <si>
    <t>Industrial pumps and compressors</t>
  </si>
  <si>
    <t>Appliances</t>
  </si>
  <si>
    <t>Education and Training Services</t>
  </si>
  <si>
    <t>Traffic Control Systems</t>
  </si>
  <si>
    <t>Fire Fighting &amp; Rescue and Safety Equipment</t>
  </si>
  <si>
    <t>Safety and Occupational Products</t>
  </si>
  <si>
    <t>Airconditioning Maintenance Services</t>
  </si>
  <si>
    <t>Animal Feeds</t>
  </si>
  <si>
    <t>Signage and Accessories</t>
  </si>
  <si>
    <t>Paper Materials and Products</t>
  </si>
  <si>
    <t>Veterinary Products and Supplies</t>
  </si>
  <si>
    <t>Laundry Services</t>
  </si>
  <si>
    <t>Marine Transport</t>
  </si>
  <si>
    <t>Pest Control Products</t>
  </si>
  <si>
    <t>Industrial Machinery and Equipment</t>
  </si>
  <si>
    <t>Communication Equipment</t>
  </si>
  <si>
    <t>Agricultural Chemicals</t>
  </si>
  <si>
    <t>Water and Waste Water Treatment Supply &amp; Disposal</t>
  </si>
  <si>
    <t>Audio and Visual Equipment</t>
  </si>
  <si>
    <t>Waste Management and Recycling</t>
  </si>
  <si>
    <t>Hospital / Medical Equipment</t>
  </si>
  <si>
    <t>Newspapers</t>
  </si>
  <si>
    <t>Navigation Equipment</t>
  </si>
  <si>
    <t>Kitchenware</t>
  </si>
  <si>
    <t>Hotel and Lodging and Meeting Facilities</t>
  </si>
  <si>
    <t>Power Generation and Distribution Machinery</t>
  </si>
  <si>
    <t>Ammunitions and Explosives</t>
  </si>
  <si>
    <t>Internet Services</t>
  </si>
  <si>
    <t>Hospital / Medical Equipment Services</t>
  </si>
  <si>
    <t>Photographic Equipment</t>
  </si>
  <si>
    <t>Security Surveillance and Detection Equipment</t>
  </si>
  <si>
    <t>Cargo Forwarding and Hauling Services</t>
  </si>
  <si>
    <t>Sporting Goods</t>
  </si>
  <si>
    <t>Advertising Agency Services</t>
  </si>
  <si>
    <t>Live Animals (Livestock, Birds, Live fish &amp; etc..)</t>
  </si>
  <si>
    <t>Personal Care Products</t>
  </si>
  <si>
    <t>Plastic Products</t>
  </si>
  <si>
    <t>Musical Instruments</t>
  </si>
  <si>
    <t>Diagnostic and Laboratory Services</t>
  </si>
  <si>
    <t>Events Management</t>
  </si>
  <si>
    <t>Food Processing Equipment</t>
  </si>
  <si>
    <t>Chemicals and Chemical Products</t>
  </si>
  <si>
    <t>Well Drilling and Construction Services</t>
  </si>
  <si>
    <t>Books, Maps and Other Publications</t>
  </si>
  <si>
    <t>Public Relations Programs or Services</t>
  </si>
  <si>
    <t>Lease and Rental of Property or Building</t>
  </si>
  <si>
    <t>Packaging Supplies and Materials</t>
  </si>
  <si>
    <t>Pest Control Services</t>
  </si>
  <si>
    <t>Print and Broadcast and Aerial Advertising</t>
  </si>
  <si>
    <t>Aircraft Spare Parts</t>
  </si>
  <si>
    <t>Industrial Safety Equipment</t>
  </si>
  <si>
    <t>Systems Integration</t>
  </si>
  <si>
    <t>Video Production Services</t>
  </si>
  <si>
    <t>Construction Management Services</t>
  </si>
  <si>
    <t>Architectural Design</t>
  </si>
  <si>
    <t>Telecommunications Provider</t>
  </si>
  <si>
    <t>Surveying Services</t>
  </si>
  <si>
    <t>Editorial, Design, Graphic and Fine Art Services</t>
  </si>
  <si>
    <t>Computer Furniture</t>
  </si>
  <si>
    <t>Electronic Parts and Components</t>
  </si>
  <si>
    <t>Transmission and Distribution Lines</t>
  </si>
  <si>
    <t>Machine Tools</t>
  </si>
  <si>
    <t>Textiles</t>
  </si>
  <si>
    <t>Guns and Weapons</t>
  </si>
  <si>
    <t>Funeral and Associated Services</t>
  </si>
  <si>
    <t>Lifting equipment and accessories</t>
  </si>
  <si>
    <t>Travel, Food, Lodging and Entertainment Services</t>
  </si>
  <si>
    <t>Janitorial Equipment</t>
  </si>
  <si>
    <t>Flags</t>
  </si>
  <si>
    <t>Automation Equipment</t>
  </si>
  <si>
    <t>Beverages</t>
  </si>
  <si>
    <t>Freight Forwarder Services</t>
  </si>
  <si>
    <t>Mining Equipment and Supplies</t>
  </si>
  <si>
    <t>IT Broadcasting and Telecommunications</t>
  </si>
  <si>
    <t>Corporate Giveaways</t>
  </si>
  <si>
    <t>Quartermaster Items</t>
  </si>
  <si>
    <t>Financial and Insurance Services</t>
  </si>
  <si>
    <t>Radiological/Diagnostic Equipment</t>
  </si>
  <si>
    <t>Photographic Parts, Supplies and Accessories</t>
  </si>
  <si>
    <t>Hydrological Instruments</t>
  </si>
  <si>
    <t>Packed Food Distributor</t>
  </si>
  <si>
    <t>Geotechnical Instrumentation</t>
  </si>
  <si>
    <t>Photography Services</t>
  </si>
  <si>
    <t>Meteorological Equipments and Instruments</t>
  </si>
  <si>
    <t>Rice Milling Services</t>
  </si>
  <si>
    <t>Ordnance Products</t>
  </si>
  <si>
    <t>Pyrotechnics and Fireworks</t>
  </si>
  <si>
    <t>Oil/Heat Chemical Resistant Rubber</t>
  </si>
  <si>
    <t>Aviation Products</t>
  </si>
  <si>
    <t>Telecommunications Engineering</t>
  </si>
  <si>
    <t>Mail and Cargo Transport Services</t>
  </si>
  <si>
    <t>Chemical Detergents</t>
  </si>
  <si>
    <t>Microfilm Equipment - Supplies and Accesories</t>
  </si>
  <si>
    <t>Landscaping Services</t>
  </si>
  <si>
    <t>Investigative Equipment</t>
  </si>
  <si>
    <t>20,000,000.00</t>
  </si>
  <si>
    <t>122,041.00</t>
  </si>
  <si>
    <t>150,000.00</t>
  </si>
  <si>
    <t>220,000.00</t>
  </si>
  <si>
    <t>400,000.00</t>
  </si>
  <si>
    <t>22,494,680.00</t>
  </si>
  <si>
    <t>502,177,650.00</t>
  </si>
  <si>
    <t>4,000,000.00</t>
  </si>
  <si>
    <t>996,320.32</t>
  </si>
  <si>
    <t>23,900,000.00</t>
  </si>
  <si>
    <t>2,500,000.00</t>
  </si>
  <si>
    <t>260,000.00</t>
  </si>
  <si>
    <t>549,961.58</t>
  </si>
  <si>
    <t>300,000.00</t>
  </si>
  <si>
    <t>531,190.00</t>
  </si>
  <si>
    <t>177,364.48</t>
  </si>
  <si>
    <t>2,800,000.00</t>
  </si>
  <si>
    <t>1,000,000.00</t>
  </si>
  <si>
    <t>318,661.00</t>
  </si>
  <si>
    <t>199,821.50</t>
  </si>
  <si>
    <t>112,866.00</t>
  </si>
  <si>
    <t>59,450.00</t>
  </si>
  <si>
    <t>700,000.00</t>
  </si>
  <si>
    <t>790,576.67</t>
  </si>
  <si>
    <t>2,404,963.83</t>
  </si>
  <si>
    <t>100,000.00</t>
  </si>
  <si>
    <t>91,815.00</t>
  </si>
  <si>
    <t>475,200.00</t>
  </si>
  <si>
    <t>95,300.00</t>
  </si>
  <si>
    <t>566,063.00</t>
  </si>
  <si>
    <t>900,000.00</t>
  </si>
  <si>
    <t>315,000.00</t>
  </si>
  <si>
    <t>823,147.34</t>
  </si>
  <si>
    <t>123,568.00</t>
  </si>
  <si>
    <t>4,500,000.00</t>
  </si>
  <si>
    <t>2,940,000.00</t>
  </si>
  <si>
    <t>1,857,749.00</t>
  </si>
  <si>
    <t>611,445.00</t>
  </si>
  <si>
    <t>275,600.00</t>
  </si>
  <si>
    <t>121,693.00</t>
  </si>
  <si>
    <t>117,569.00</t>
  </si>
  <si>
    <t>299,948.00</t>
  </si>
  <si>
    <t>3,000,000.00</t>
  </si>
  <si>
    <t>60,000.00</t>
  </si>
  <si>
    <t>64,396.00</t>
  </si>
  <si>
    <t>99,000.00</t>
  </si>
  <si>
    <t>862,733.00</t>
  </si>
  <si>
    <t>500,000.00</t>
  </si>
  <si>
    <t>1,098,075.00</t>
  </si>
  <si>
    <t>255,000.00</t>
  </si>
  <si>
    <t>51,540.00</t>
  </si>
  <si>
    <t>90,000.00</t>
  </si>
  <si>
    <t>754,646.70</t>
  </si>
  <si>
    <t>820,000.00</t>
  </si>
  <si>
    <t>83,054.55</t>
  </si>
  <si>
    <t>2,799,241.91</t>
  </si>
  <si>
    <t>1,077,780.00</t>
  </si>
  <si>
    <t>5,467,000.00</t>
  </si>
  <si>
    <t>64,000.00</t>
  </si>
  <si>
    <t>3,789,750.00</t>
  </si>
  <si>
    <t>449,035.75</t>
  </si>
  <si>
    <t>112,839.03</t>
  </si>
  <si>
    <t>87,500.00</t>
  </si>
  <si>
    <t>119,500.00</t>
  </si>
  <si>
    <t>93,905.00</t>
  </si>
  <si>
    <t>998,311.15</t>
  </si>
  <si>
    <t>2,935,262.10</t>
  </si>
  <si>
    <t>2,030,127.75</t>
  </si>
  <si>
    <t>3,935,000.00</t>
  </si>
  <si>
    <t>324,355.50</t>
  </si>
  <si>
    <t>375,000.00</t>
  </si>
  <si>
    <t>88,000.00</t>
  </si>
  <si>
    <t>200,000.00</t>
  </si>
  <si>
    <t>241,700.00</t>
  </si>
  <si>
    <t>17,246,877.97</t>
  </si>
  <si>
    <t>59,400.00</t>
  </si>
  <si>
    <t>2,000,000.00</t>
  </si>
  <si>
    <t>240,872.20</t>
  </si>
  <si>
    <t>6,980.00</t>
  </si>
  <si>
    <t>882,009.54</t>
  </si>
  <si>
    <t>40,571.46</t>
  </si>
  <si>
    <t>499,500.00</t>
  </si>
  <si>
    <t>140,000.00</t>
  </si>
  <si>
    <t>153,900.00</t>
  </si>
  <si>
    <t>1,030,000.00</t>
  </si>
  <si>
    <t>8,400,000.00</t>
  </si>
  <si>
    <t>570,000.00</t>
  </si>
  <si>
    <t>70,000.00</t>
  </si>
  <si>
    <t>449,957.50</t>
  </si>
  <si>
    <t>409,866.00</t>
  </si>
  <si>
    <t>284,484.00</t>
  </si>
  <si>
    <t>79,931.25</t>
  </si>
  <si>
    <t>800,000.00</t>
  </si>
  <si>
    <t>100,700.00</t>
  </si>
  <si>
    <t>105,000.00</t>
  </si>
  <si>
    <t>66,200.00</t>
  </si>
  <si>
    <t>397,209.75</t>
  </si>
  <si>
    <t>185,000.00</t>
  </si>
  <si>
    <t>74,510.00</t>
  </si>
  <si>
    <t>149,986.65</t>
  </si>
  <si>
    <t>199,811.09</t>
  </si>
  <si>
    <t>51,000.00</t>
  </si>
  <si>
    <t>299,945.94</t>
  </si>
  <si>
    <t>135,000.00</t>
  </si>
  <si>
    <t>1,565,850.00</t>
  </si>
  <si>
    <t>789,547.68</t>
  </si>
  <si>
    <t>349,955.75</t>
  </si>
  <si>
    <t>299,937.14</t>
  </si>
  <si>
    <t>749,909.87</t>
  </si>
  <si>
    <t>99,800.00</t>
  </si>
  <si>
    <t>112,000.00</t>
  </si>
  <si>
    <t>64,700.00</t>
  </si>
  <si>
    <t>69,561.50</t>
  </si>
  <si>
    <t>399,795.39</t>
  </si>
  <si>
    <t>262,500.00</t>
  </si>
  <si>
    <t>416,051.92</t>
  </si>
  <si>
    <t>5,000,000.00</t>
  </si>
  <si>
    <t>1,253,000.00</t>
  </si>
  <si>
    <t>53,000.00</t>
  </si>
  <si>
    <t>85,450.00</t>
  </si>
  <si>
    <t>5,630,400.00</t>
  </si>
  <si>
    <t>276,000.00</t>
  </si>
  <si>
    <t>15,000.00</t>
  </si>
  <si>
    <t>487,931.06</t>
  </si>
  <si>
    <t>143,128.00</t>
  </si>
  <si>
    <t>160,000.00</t>
  </si>
  <si>
    <t>106,100.00</t>
  </si>
  <si>
    <t>197,750.00</t>
  </si>
  <si>
    <t>17,000.00</t>
  </si>
  <si>
    <t>130,700.00</t>
  </si>
  <si>
    <t>2,102,000.00</t>
  </si>
  <si>
    <t>532,326.00</t>
  </si>
  <si>
    <t>50,000.00</t>
  </si>
  <si>
    <t>126,000.00</t>
  </si>
  <si>
    <t>3,417,871.52</t>
  </si>
  <si>
    <t>19,670.00</t>
  </si>
  <si>
    <t>294,494.03</t>
  </si>
  <si>
    <t>363,000.00</t>
  </si>
  <si>
    <t>250,000.00</t>
  </si>
  <si>
    <t>52,000.00</t>
  </si>
  <si>
    <t>4,976,000.00</t>
  </si>
  <si>
    <t>1,510,089.00</t>
  </si>
  <si>
    <t>300,691.67</t>
  </si>
  <si>
    <t>69,317.00</t>
  </si>
  <si>
    <t>360,600.00</t>
  </si>
  <si>
    <t>180,000.00</t>
  </si>
  <si>
    <t>80,982.00</t>
  </si>
  <si>
    <t>299,994.80</t>
  </si>
  <si>
    <t>23,830.00</t>
  </si>
  <si>
    <t>84,000.00</t>
  </si>
  <si>
    <t>27,035.00</t>
  </si>
  <si>
    <t>83,810.00</t>
  </si>
  <si>
    <t>25,010.00</t>
  </si>
  <si>
    <t>80,000.00</t>
  </si>
  <si>
    <t>181,500.00</t>
  </si>
  <si>
    <t>109,500.00</t>
  </si>
  <si>
    <t>137,025.00</t>
  </si>
  <si>
    <t>396,880.00</t>
  </si>
  <si>
    <t>4,983,461.44</t>
  </si>
  <si>
    <t>257,504.99</t>
  </si>
  <si>
    <t>912,000.00</t>
  </si>
  <si>
    <t>155,520.00</t>
  </si>
  <si>
    <t>175,208.00</t>
  </si>
  <si>
    <t>227,739.00</t>
  </si>
  <si>
    <t>35,030.00</t>
  </si>
  <si>
    <t>732,450.00</t>
  </si>
  <si>
    <t>95,100.00</t>
  </si>
  <si>
    <t>312,394.00</t>
  </si>
  <si>
    <t>1,799,988.45</t>
  </si>
  <si>
    <t>57,000.00</t>
  </si>
  <si>
    <t>270,876.25</t>
  </si>
  <si>
    <t>2,861,600.00</t>
  </si>
  <si>
    <t>75,000.00</t>
  </si>
  <si>
    <t>49,993.00</t>
  </si>
  <si>
    <t>49,900.00</t>
  </si>
  <si>
    <t>200,097.33</t>
  </si>
  <si>
    <t>21,495.00</t>
  </si>
  <si>
    <t>113,813.33</t>
  </si>
  <si>
    <t>547,308.00</t>
  </si>
  <si>
    <t>125,000.00</t>
  </si>
  <si>
    <t>282,333.31</t>
  </si>
  <si>
    <t>77,140.00</t>
  </si>
  <si>
    <t>10,416.65</t>
  </si>
  <si>
    <t>47,507.00</t>
  </si>
  <si>
    <t>41,640.00</t>
  </si>
  <si>
    <t>159,000.00</t>
  </si>
  <si>
    <t>147,446.00</t>
  </si>
  <si>
    <t>93,500.00</t>
  </si>
  <si>
    <t>2,360,022.50</t>
  </si>
  <si>
    <t>751,000.00</t>
  </si>
  <si>
    <t>38,000.00</t>
  </si>
  <si>
    <t>405,768.46</t>
  </si>
  <si>
    <t>1,500,000.00</t>
  </si>
  <si>
    <t>30,000.00</t>
  </si>
  <si>
    <t>28,500.00</t>
  </si>
  <si>
    <t>296,170.00</t>
  </si>
  <si>
    <t>397,500.00</t>
  </si>
  <si>
    <t>120,000.00</t>
  </si>
  <si>
    <t>16,894,984.68</t>
  </si>
  <si>
    <t>650,000.00</t>
  </si>
  <si>
    <t>186,000.00</t>
  </si>
  <si>
    <t>122,100.00</t>
  </si>
  <si>
    <t>76,000.00</t>
  </si>
  <si>
    <t>53,187.98</t>
  </si>
  <si>
    <t>101,556.39</t>
  </si>
  <si>
    <t>960,000.00</t>
  </si>
  <si>
    <t>76,993.00</t>
  </si>
  <si>
    <t>999,267.50</t>
  </si>
  <si>
    <t>2,280,612.20</t>
  </si>
  <si>
    <t>71,500.00</t>
  </si>
  <si>
    <t>1,493,645.00</t>
  </si>
  <si>
    <t>7,400,000.00</t>
  </si>
  <si>
    <t>40,000.00</t>
  </si>
  <si>
    <t>89,905.35</t>
  </si>
  <si>
    <t>74,965.00</t>
  </si>
  <si>
    <t>1,723,784.83</t>
  </si>
  <si>
    <t>2,160,999.51</t>
  </si>
  <si>
    <t>98,800.00</t>
  </si>
  <si>
    <t>70,700.00</t>
  </si>
  <si>
    <t>247,225.00</t>
  </si>
  <si>
    <t>226,690.00</t>
  </si>
  <si>
    <t>8,000.00</t>
  </si>
  <si>
    <t>437,737.76</t>
  </si>
  <si>
    <t>116,000.00</t>
  </si>
  <si>
    <t>193,820.03</t>
  </si>
  <si>
    <t>231,562.50</t>
  </si>
  <si>
    <t>615,025.00</t>
  </si>
  <si>
    <t>390,000.00</t>
  </si>
  <si>
    <t>1,099,760.00</t>
  </si>
  <si>
    <t>678,375.00</t>
  </si>
  <si>
    <t>196,500.00</t>
  </si>
  <si>
    <t>196,000.00</t>
  </si>
  <si>
    <t>146,765.00</t>
  </si>
  <si>
    <t>54,660.00</t>
  </si>
  <si>
    <t>83,000.00</t>
  </si>
  <si>
    <t>210,000.00</t>
  </si>
  <si>
    <t>583,500.00</t>
  </si>
  <si>
    <t>254,714.40</t>
  </si>
  <si>
    <t>359,100.00</t>
  </si>
  <si>
    <t>9,000.00</t>
  </si>
  <si>
    <t>155,695.75</t>
  </si>
  <si>
    <t>100,500.00</t>
  </si>
  <si>
    <t>96,000.00</t>
  </si>
  <si>
    <t>14,000.00</t>
  </si>
  <si>
    <t>522,800.00</t>
  </si>
  <si>
    <t>54,895.00</t>
  </si>
  <si>
    <t>339,000.00</t>
  </si>
  <si>
    <t>892,075.00</t>
  </si>
  <si>
    <t>94,160.00</t>
  </si>
  <si>
    <t>154,000.00</t>
  </si>
  <si>
    <t>944,985.00</t>
  </si>
  <si>
    <t>578,223.81</t>
  </si>
  <si>
    <t>607,700.00</t>
  </si>
  <si>
    <t>94,885.00</t>
  </si>
  <si>
    <t>132,000.00</t>
  </si>
  <si>
    <t>57,200.00</t>
  </si>
  <si>
    <t>860,320.00</t>
  </si>
  <si>
    <t>525,300.00</t>
  </si>
  <si>
    <t>600,600.00</t>
  </si>
  <si>
    <t>201,600.00</t>
  </si>
  <si>
    <t>310,153.59</t>
  </si>
  <si>
    <t>83,651.00</t>
  </si>
  <si>
    <t>56,250.00</t>
  </si>
  <si>
    <t>181,573.80</t>
  </si>
  <si>
    <t>95,085.00</t>
  </si>
  <si>
    <t>58,252.50</t>
  </si>
  <si>
    <t>349,146.04</t>
  </si>
  <si>
    <t>10,000.00</t>
  </si>
  <si>
    <t>202,961.86</t>
  </si>
  <si>
    <t>594,794.00</t>
  </si>
  <si>
    <t>890,860.00</t>
  </si>
  <si>
    <t>677,191.00</t>
  </si>
  <si>
    <t>885,384.00</t>
  </si>
  <si>
    <t>183,425.00</t>
  </si>
  <si>
    <t>919,993.00</t>
  </si>
  <si>
    <t>299,747.00</t>
  </si>
  <si>
    <t>218,236.00</t>
  </si>
  <si>
    <t>56,700.00</t>
  </si>
  <si>
    <t>149,999.00</t>
  </si>
  <si>
    <t>248,592.00</t>
  </si>
  <si>
    <t>99,930.00</t>
  </si>
  <si>
    <t>989,386.00</t>
  </si>
  <si>
    <t>259,000.00</t>
  </si>
  <si>
    <t>134,000.00</t>
  </si>
  <si>
    <t>841,295.00</t>
  </si>
  <si>
    <t>97,400.00</t>
  </si>
  <si>
    <t>883,335.00</t>
  </si>
  <si>
    <t>649,980.00</t>
  </si>
  <si>
    <t>950,852.00</t>
  </si>
  <si>
    <t>2,600,000.00</t>
  </si>
  <si>
    <t>21,070.00</t>
  </si>
  <si>
    <t>243,290.00</t>
  </si>
  <si>
    <t>67,500.00</t>
  </si>
  <si>
    <t>152,214.20</t>
  </si>
  <si>
    <t>85,508.00</t>
  </si>
  <si>
    <t>186,010.27</t>
  </si>
  <si>
    <t>107,080.00</t>
  </si>
  <si>
    <t>228,600.00</t>
  </si>
  <si>
    <t>189,981.00</t>
  </si>
  <si>
    <t>630,000.00</t>
  </si>
  <si>
    <t>161,304.00</t>
  </si>
  <si>
    <t>99,700.00</t>
  </si>
  <si>
    <t>242,975.89</t>
  </si>
  <si>
    <t>104,000.00</t>
  </si>
  <si>
    <t>82,473.30</t>
  </si>
  <si>
    <t>416,666.65</t>
  </si>
  <si>
    <t>445,843.20</t>
  </si>
  <si>
    <t>1,181,680.92</t>
  </si>
  <si>
    <t>472,364.46</t>
  </si>
  <si>
    <t>77,000.00</t>
  </si>
  <si>
    <t>76,500.00</t>
  </si>
  <si>
    <t>82,680.00</t>
  </si>
  <si>
    <t>337,003.95</t>
  </si>
  <si>
    <t>54,950.00</t>
  </si>
  <si>
    <t>97,433.00</t>
  </si>
  <si>
    <t>85,405.00</t>
  </si>
  <si>
    <t>108,000.00</t>
  </si>
  <si>
    <t>72,500.00</t>
  </si>
  <si>
    <t>51,830.00</t>
  </si>
  <si>
    <t>173,100.00</t>
  </si>
  <si>
    <t>331,400.00</t>
  </si>
  <si>
    <t>488,700.00</t>
  </si>
  <si>
    <t>66,000.00</t>
  </si>
  <si>
    <t>55,000.00</t>
  </si>
  <si>
    <t>56,985.00</t>
  </si>
  <si>
    <t>290,000.00</t>
  </si>
  <si>
    <t>29,000.00</t>
  </si>
  <si>
    <t>2,200,000.00</t>
  </si>
  <si>
    <t>67,000.00</t>
  </si>
  <si>
    <t>19,500,000.00</t>
  </si>
  <si>
    <t>159,586.56</t>
  </si>
  <si>
    <t>169,000.00</t>
  </si>
  <si>
    <t>66,869.00</t>
  </si>
  <si>
    <t>110,000.00</t>
  </si>
  <si>
    <t>69,078.00</t>
  </si>
  <si>
    <t>1,187,596.33</t>
  </si>
  <si>
    <t>1,415,328.39</t>
  </si>
  <si>
    <t>7,000,000.00</t>
  </si>
  <si>
    <t>208,960.00</t>
  </si>
  <si>
    <t>10,185.71</t>
  </si>
  <si>
    <t>170,000.00</t>
  </si>
  <si>
    <t>67,752.37</t>
  </si>
  <si>
    <t>986,756.34</t>
  </si>
  <si>
    <t>472,500.00</t>
  </si>
  <si>
    <t>691,226.80</t>
  </si>
  <si>
    <t>13,000.00</t>
  </si>
  <si>
    <t>74,000.00</t>
  </si>
  <si>
    <t>697,279.00</t>
  </si>
  <si>
    <t>144,014.00</t>
  </si>
  <si>
    <t>1,295,998.76</t>
  </si>
  <si>
    <t>1,200,000.00</t>
  </si>
  <si>
    <t>380,000.00</t>
  </si>
  <si>
    <t>3,500,000.00</t>
  </si>
  <si>
    <t>11,500.00</t>
  </si>
  <si>
    <t>600,000.00</t>
  </si>
  <si>
    <t>1,081,950.00</t>
  </si>
  <si>
    <t>986,912.90</t>
  </si>
  <si>
    <t>15,240,885.00</t>
  </si>
  <si>
    <t>100,943.12</t>
  </si>
  <si>
    <t>278,689.80</t>
  </si>
  <si>
    <t>240,185.70</t>
  </si>
  <si>
    <t>41,000.00</t>
  </si>
  <si>
    <t>25,325.00</t>
  </si>
  <si>
    <t>156,016.80</t>
  </si>
  <si>
    <t>1,154,566.00</t>
  </si>
  <si>
    <t>82,500.00</t>
  </si>
  <si>
    <t>1,423,000.00</t>
  </si>
  <si>
    <t>1,521,000.00</t>
  </si>
  <si>
    <t>867,840.00</t>
  </si>
  <si>
    <t>750,000.00</t>
  </si>
  <si>
    <t>292,500.00</t>
  </si>
  <si>
    <t>157,200.00</t>
  </si>
  <si>
    <t>98,250.00</t>
  </si>
  <si>
    <t>97,910.00</t>
  </si>
  <si>
    <t>227,060.00</t>
  </si>
  <si>
    <t>60,990.00</t>
  </si>
  <si>
    <t>328,000.00</t>
  </si>
  <si>
    <t>985,500.00</t>
  </si>
  <si>
    <t>1,134,148.00</t>
  </si>
  <si>
    <t>47,400.00</t>
  </si>
  <si>
    <t>244,000.00</t>
  </si>
  <si>
    <t>240,000.00</t>
  </si>
  <si>
    <t>54,000.00</t>
  </si>
  <si>
    <t>1,300,000.00</t>
  </si>
  <si>
    <t>25,200.00</t>
  </si>
  <si>
    <t>27,902.95</t>
  </si>
  <si>
    <t>145,000.00</t>
  </si>
  <si>
    <t>440,000.00</t>
  </si>
  <si>
    <t>18,000.00</t>
  </si>
  <si>
    <t>130,000.00</t>
  </si>
  <si>
    <t>489,000.00</t>
  </si>
  <si>
    <t>81,000.00</t>
  </si>
  <si>
    <t>1,301,300.00</t>
  </si>
  <si>
    <t>432,000.00</t>
  </si>
  <si>
    <t>135,273.72</t>
  </si>
  <si>
    <t>270,000.00</t>
  </si>
  <si>
    <t>1,468,026.00</t>
  </si>
  <si>
    <t>173,155.00</t>
  </si>
  <si>
    <t>2,921,899.56</t>
  </si>
  <si>
    <t>54,340.00</t>
  </si>
  <si>
    <t>350,000.00</t>
  </si>
  <si>
    <t>7,000.00</t>
  </si>
  <si>
    <t>2,985,500.01</t>
  </si>
  <si>
    <t>312,000.00</t>
  </si>
  <si>
    <t>6,100,000.00</t>
  </si>
  <si>
    <t>201,000.00</t>
  </si>
  <si>
    <t>241,636.00</t>
  </si>
  <si>
    <t>72,000.00</t>
  </si>
  <si>
    <t>838,414.69</t>
  </si>
  <si>
    <t>319,869.00</t>
  </si>
  <si>
    <t>97,200.00</t>
  </si>
  <si>
    <t>538,712.66</t>
  </si>
  <si>
    <t>905,181.02</t>
  </si>
  <si>
    <t>5,723,580.87</t>
  </si>
  <si>
    <t>108,950.00</t>
  </si>
  <si>
    <t>4,668,504.73</t>
  </si>
  <si>
    <t>6,152,200.00</t>
  </si>
  <si>
    <t>93,450.00</t>
  </si>
  <si>
    <t>65,239.40</t>
  </si>
  <si>
    <t>1,470,208.74</t>
  </si>
  <si>
    <t>690,000.00</t>
  </si>
  <si>
    <t>1,294,960.00</t>
  </si>
  <si>
    <t>183,939.00</t>
  </si>
  <si>
    <t>138,900.00</t>
  </si>
  <si>
    <t>4,170,868.17</t>
  </si>
  <si>
    <t>39,647.00</t>
  </si>
  <si>
    <t>62,872.60</t>
  </si>
  <si>
    <t>400,002.00</t>
  </si>
  <si>
    <t>495,000.00</t>
  </si>
  <si>
    <t>3,664,049.25</t>
  </si>
  <si>
    <t>30,600.00</t>
  </si>
  <si>
    <t>66,141.00</t>
  </si>
  <si>
    <t>53,200.00</t>
  </si>
  <si>
    <t>220,500.00</t>
  </si>
  <si>
    <t>853,600.00</t>
  </si>
  <si>
    <t>2,742,235.00</t>
  </si>
  <si>
    <t>3,382,780.22</t>
  </si>
  <si>
    <t>368,845.00</t>
  </si>
  <si>
    <t>1,070,813.28</t>
  </si>
  <si>
    <t>5,000.00</t>
  </si>
  <si>
    <t>4,950,000.00</t>
  </si>
  <si>
    <t>232,500.00</t>
  </si>
  <si>
    <t>4,486,976.55</t>
  </si>
  <si>
    <t>180,900.00</t>
  </si>
  <si>
    <t>3,241,749.69</t>
  </si>
  <si>
    <t>3,032,598.50</t>
  </si>
  <si>
    <t>3,791,712.30</t>
  </si>
  <si>
    <t>654,681.14</t>
  </si>
  <si>
    <t>4,414,367.50</t>
  </si>
  <si>
    <t>394,132.00</t>
  </si>
  <si>
    <t>209,200.00</t>
  </si>
  <si>
    <t>5,789,870.97</t>
  </si>
  <si>
    <t>20,480.00</t>
  </si>
  <si>
    <t>3,488,830.91</t>
  </si>
  <si>
    <t>1,345,018.65</t>
  </si>
  <si>
    <t>3,359,858.80</t>
  </si>
  <si>
    <t>99,550.00</t>
  </si>
  <si>
    <t>430,200.00</t>
  </si>
  <si>
    <t>876,621.12</t>
  </si>
  <si>
    <t>404,806.00</t>
  </si>
  <si>
    <t>540,500.00</t>
  </si>
  <si>
    <t>1,350,150.54</t>
  </si>
  <si>
    <t>70,500.00</t>
  </si>
  <si>
    <t>1,236,000.00</t>
  </si>
  <si>
    <t>271,650.00</t>
  </si>
  <si>
    <t>100,728.00</t>
  </si>
  <si>
    <t>1,050,000.00</t>
  </si>
  <si>
    <t>4,993,916.66</t>
  </si>
  <si>
    <t>138,000.00</t>
  </si>
  <si>
    <t>2,898,161.07</t>
  </si>
  <si>
    <t>3,534,505.47</t>
  </si>
  <si>
    <t>343,504.98</t>
  </si>
  <si>
    <t>46,800.00</t>
  </si>
  <si>
    <t>3,605,339.37</t>
  </si>
  <si>
    <t>280,800.00</t>
  </si>
  <si>
    <t>1,764,000.00</t>
  </si>
  <si>
    <t>7,390.00</t>
  </si>
  <si>
    <t>14,724,654.55</t>
  </si>
  <si>
    <t>1,800,000.00</t>
  </si>
  <si>
    <t>99,435.00</t>
  </si>
  <si>
    <t>5,586,995.00</t>
  </si>
  <si>
    <t>64,401.79</t>
  </si>
  <si>
    <t>2,496,958.33</t>
  </si>
  <si>
    <t>162,000.00</t>
  </si>
  <si>
    <t>51,204.00</t>
  </si>
  <si>
    <t>997,250.00</t>
  </si>
  <si>
    <t>988,000.00</t>
  </si>
  <si>
    <t>3,977,944.08</t>
  </si>
  <si>
    <t>1,904,513.16</t>
  </si>
  <si>
    <t>1,875,000.00</t>
  </si>
  <si>
    <t>2,835,000.00</t>
  </si>
  <si>
    <t>294,800.00</t>
  </si>
  <si>
    <t>4,457,040.33</t>
  </si>
  <si>
    <t>2,340,000.00</t>
  </si>
  <si>
    <t>1,271,993.04</t>
  </si>
  <si>
    <t>1,874,322.66</t>
  </si>
  <si>
    <t>3,521,041.00</t>
  </si>
  <si>
    <t>893,121.36</t>
  </si>
  <si>
    <t>87,250.00</t>
  </si>
  <si>
    <t>3,260,802.99</t>
  </si>
  <si>
    <t>2,414,250.00</t>
  </si>
  <si>
    <t>2,599,247.58</t>
  </si>
  <si>
    <t>219,000.00</t>
  </si>
  <si>
    <t>3,958,039.98</t>
  </si>
  <si>
    <t>358,147.50</t>
  </si>
  <si>
    <t>4,237,578.54</t>
  </si>
  <si>
    <t>1,600,000.00</t>
  </si>
  <si>
    <t>3,403,708.47</t>
  </si>
  <si>
    <t>900,871.49</t>
  </si>
  <si>
    <t>30,400,000.00</t>
  </si>
  <si>
    <t>853,505.29</t>
  </si>
  <si>
    <t>709,345.00</t>
  </si>
  <si>
    <t>2,721,642.69</t>
  </si>
  <si>
    <t>2,143,463.52</t>
  </si>
  <si>
    <t>3,082,566.88</t>
  </si>
  <si>
    <t>195,000.00</t>
  </si>
  <si>
    <t>161,820.00</t>
  </si>
  <si>
    <t>10,500,000.00</t>
  </si>
  <si>
    <t>5,074,079.79</t>
  </si>
  <si>
    <t>1,272,500.00</t>
  </si>
  <si>
    <t>2,354,244.69</t>
  </si>
  <si>
    <t>3,875,000.00</t>
  </si>
  <si>
    <t>116,696.00</t>
  </si>
  <si>
    <t>1,268,000.79</t>
  </si>
  <si>
    <t>115,747.00</t>
  </si>
  <si>
    <t>1,947,000.00</t>
  </si>
  <si>
    <t>556,245.00</t>
  </si>
  <si>
    <t>90,100.00</t>
  </si>
  <si>
    <t>58,500.00</t>
  </si>
  <si>
    <t>176,964.00</t>
  </si>
  <si>
    <t>1,859,656.98</t>
  </si>
  <si>
    <t>993,775.00</t>
  </si>
  <si>
    <t>836,400.00</t>
  </si>
  <si>
    <t>1,860,000.00</t>
  </si>
  <si>
    <t>16,229,360.00</t>
  </si>
  <si>
    <t>659,120.35</t>
  </si>
  <si>
    <t>55,621.00</t>
  </si>
  <si>
    <t>8,975.00</t>
  </si>
  <si>
    <t>165,000.00</t>
  </si>
  <si>
    <t>70,780.00</t>
  </si>
  <si>
    <t>87,000.00</t>
  </si>
  <si>
    <t>640,000.00</t>
  </si>
  <si>
    <t>330,000.00</t>
  </si>
  <si>
    <t>197,015.00</t>
  </si>
  <si>
    <t>125,190.00</t>
  </si>
  <si>
    <t>805,800.00</t>
  </si>
  <si>
    <t>106,815.00</t>
  </si>
  <si>
    <t>73,125.00</t>
  </si>
  <si>
    <t>60,495.00</t>
  </si>
  <si>
    <t>260,825.00</t>
  </si>
  <si>
    <t>205,000.00</t>
  </si>
  <si>
    <t>11,060.00</t>
  </si>
  <si>
    <t>24,100.00</t>
  </si>
  <si>
    <t>38,040.00</t>
  </si>
  <si>
    <t>23,000.00</t>
  </si>
  <si>
    <t>210,900.00</t>
  </si>
  <si>
    <t>590,000.00</t>
  </si>
  <si>
    <t>14,500.00</t>
  </si>
  <si>
    <t>20,000.00</t>
  </si>
  <si>
    <t>14,040.00</t>
  </si>
  <si>
    <t>234,160.00</t>
  </si>
  <si>
    <t>540,000.00</t>
  </si>
  <si>
    <t>37,900.00</t>
  </si>
  <si>
    <t>2,023,506.00</t>
  </si>
  <si>
    <t>4,110,000.00</t>
  </si>
  <si>
    <t>63,699.00</t>
  </si>
  <si>
    <t>2,000.00</t>
  </si>
  <si>
    <t>335,000.00</t>
  </si>
  <si>
    <t>34,975.00</t>
  </si>
  <si>
    <t>452,625.00</t>
  </si>
  <si>
    <t>69,550.00</t>
  </si>
  <si>
    <t>274,000.00</t>
  </si>
  <si>
    <t>230,708.00</t>
  </si>
  <si>
    <t>177,600.00</t>
  </si>
  <si>
    <t>325,705.00</t>
  </si>
  <si>
    <t>56,001.00</t>
  </si>
  <si>
    <t>14,238.25</t>
  </si>
  <si>
    <t>657,500.00</t>
  </si>
  <si>
    <t>10,500.00</t>
  </si>
  <si>
    <t>437,500.00</t>
  </si>
  <si>
    <t>449,529.60</t>
  </si>
  <si>
    <t>6,875,000.00</t>
  </si>
  <si>
    <t>203,896.00</t>
  </si>
  <si>
    <t>194,000.00</t>
  </si>
  <si>
    <t>91,215.00</t>
  </si>
  <si>
    <t>85,050.00</t>
  </si>
  <si>
    <t>18,023.32</t>
  </si>
  <si>
    <t>288,560.00</t>
  </si>
  <si>
    <t>793,315.00</t>
  </si>
  <si>
    <t>310,608.77</t>
  </si>
  <si>
    <t>9,106.99</t>
  </si>
  <si>
    <t>7,074.25</t>
  </si>
  <si>
    <t>58,744.00</t>
  </si>
  <si>
    <t>171,371.00</t>
  </si>
  <si>
    <t>14,919.15</t>
  </si>
  <si>
    <t>1,578,057.57</t>
  </si>
  <si>
    <t>795,000.00</t>
  </si>
  <si>
    <t>205,199.00</t>
  </si>
  <si>
    <t>199,150.00</t>
  </si>
  <si>
    <t>4,499,999.85</t>
  </si>
  <si>
    <t>5,739,149.10</t>
  </si>
  <si>
    <t>1,165,050.00</t>
  </si>
  <si>
    <t>60,475.00</t>
  </si>
  <si>
    <t>1,346,250.00</t>
  </si>
  <si>
    <t>740,791.00</t>
  </si>
  <si>
    <t>197,000.00</t>
  </si>
  <si>
    <t>5,909,230.00</t>
  </si>
  <si>
    <t>786,352.00</t>
  </si>
  <si>
    <t>6,000,000.00</t>
  </si>
  <si>
    <t>201,399.00</t>
  </si>
  <si>
    <t>591,150.00</t>
  </si>
  <si>
    <t>190,125.00</t>
  </si>
  <si>
    <t>50,500.00</t>
  </si>
  <si>
    <t>12,479,000.00</t>
  </si>
  <si>
    <t>198,660.00</t>
  </si>
  <si>
    <t>291,696.00</t>
  </si>
  <si>
    <t>845,500.00</t>
  </si>
  <si>
    <t>581,400.51</t>
  </si>
  <si>
    <t>14,850,000.00</t>
  </si>
  <si>
    <t>487,085.00</t>
  </si>
  <si>
    <t>143,540.00</t>
  </si>
  <si>
    <t>926,426.80</t>
  </si>
  <si>
    <t>238,000.00</t>
  </si>
  <si>
    <t>306,000.00</t>
  </si>
  <si>
    <t>99,000,000.00</t>
  </si>
  <si>
    <t>342,270.63</t>
  </si>
  <si>
    <t>40,700.00</t>
  </si>
  <si>
    <t>100,965.00</t>
  </si>
  <si>
    <t>299,035.00</t>
  </si>
  <si>
    <t>3,721,000.00</t>
  </si>
  <si>
    <t>148,957.64</t>
  </si>
  <si>
    <t>194,245.54</t>
  </si>
  <si>
    <t>75,389.49</t>
  </si>
  <si>
    <t>575,000.00</t>
  </si>
  <si>
    <t>133,900.00</t>
  </si>
  <si>
    <t>958,636.00</t>
  </si>
  <si>
    <t>84,221.00</t>
  </si>
  <si>
    <t>119,999.00</t>
  </si>
  <si>
    <t>54,312.00</t>
  </si>
  <si>
    <t>14,243,722.00</t>
  </si>
  <si>
    <t>71,200.00</t>
  </si>
  <si>
    <t>85,986.00</t>
  </si>
  <si>
    <t>185,897.50</t>
  </si>
  <si>
    <t>163,052.50</t>
  </si>
  <si>
    <t>1,089,673.78</t>
  </si>
  <si>
    <t>1,100,357.72</t>
  </si>
  <si>
    <t>2,499,860.08</t>
  </si>
  <si>
    <t>25,500.00</t>
  </si>
  <si>
    <t>3,000.00</t>
  </si>
  <si>
    <t>5,522.00</t>
  </si>
  <si>
    <t>89,980.00</t>
  </si>
  <si>
    <t>2,100,000.00</t>
  </si>
  <si>
    <t>136,000.00</t>
  </si>
  <si>
    <t>59,998.91</t>
  </si>
  <si>
    <t>51,259.20</t>
  </si>
  <si>
    <t>948,000.00</t>
  </si>
  <si>
    <t>92,000.00</t>
  </si>
  <si>
    <t>318,500.00</t>
  </si>
  <si>
    <t>154,300.00</t>
  </si>
  <si>
    <t>2,490.00</t>
  </si>
  <si>
    <t>46,856.00</t>
  </si>
  <si>
    <t>114,433.80</t>
  </si>
  <si>
    <t>733,255.50</t>
  </si>
  <si>
    <t>62,000.00</t>
  </si>
  <si>
    <t>180,075.50</t>
  </si>
  <si>
    <t>471,118.20</t>
  </si>
  <si>
    <t>270,332.50</t>
  </si>
  <si>
    <t>1,450,000.00</t>
  </si>
  <si>
    <t>4,900,000.00</t>
  </si>
  <si>
    <t>137,711.00</t>
  </si>
  <si>
    <t>52,200.00</t>
  </si>
  <si>
    <t>1,650,000.00</t>
  </si>
  <si>
    <t>193,913.40</t>
  </si>
  <si>
    <t>226,884.00</t>
  </si>
  <si>
    <t>330,500.00</t>
  </si>
  <si>
    <t>95,252.00</t>
  </si>
  <si>
    <t>125,175.00</t>
  </si>
  <si>
    <t>959,217.10</t>
  </si>
  <si>
    <t>496,764.50</t>
  </si>
  <si>
    <t>363,291.00</t>
  </si>
  <si>
    <t>309,374.40</t>
  </si>
  <si>
    <t>26,400.00</t>
  </si>
  <si>
    <t>95,280.00</t>
  </si>
  <si>
    <t>2,990,000.00</t>
  </si>
  <si>
    <t>8,892.00</t>
  </si>
  <si>
    <t>65,000.00</t>
  </si>
  <si>
    <t>3,600.00</t>
  </si>
  <si>
    <t>1,948,823.73</t>
  </si>
  <si>
    <t>191,420.00</t>
  </si>
  <si>
    <t>63,243.45</t>
  </si>
  <si>
    <t>25,000.00</t>
  </si>
  <si>
    <t>299,996.00</t>
  </si>
  <si>
    <t>525,905.60</t>
  </si>
  <si>
    <t>232,065.00</t>
  </si>
  <si>
    <t>109,000.00</t>
  </si>
  <si>
    <t>450,000.00</t>
  </si>
  <si>
    <t>141,300.00</t>
  </si>
  <si>
    <t>18,870.00</t>
  </si>
  <si>
    <t>111,000.00</t>
  </si>
  <si>
    <t>2,805,000.00</t>
  </si>
  <si>
    <t>4,000.00</t>
  </si>
  <si>
    <t>65,870.00</t>
  </si>
  <si>
    <t>13,648.00</t>
  </si>
  <si>
    <t>74,500.00</t>
  </si>
  <si>
    <t>49,000.00</t>
  </si>
  <si>
    <t>81,250.00</t>
  </si>
  <si>
    <t>271,320.00</t>
  </si>
  <si>
    <t>4,911,000.00</t>
  </si>
  <si>
    <t>152,483.00</t>
  </si>
  <si>
    <t>3,160.00</t>
  </si>
  <si>
    <t>61,000.00</t>
  </si>
  <si>
    <t>12,000.00</t>
  </si>
  <si>
    <t>111,995.00</t>
  </si>
  <si>
    <t>381,000.00</t>
  </si>
  <si>
    <t>14,589.00</t>
  </si>
  <si>
    <t>14,820.00</t>
  </si>
  <si>
    <t>60,500.00</t>
  </si>
  <si>
    <t>448,000.00</t>
  </si>
  <si>
    <t>10,075.00</t>
  </si>
  <si>
    <t>60,300.00</t>
  </si>
  <si>
    <t>746,817.15</t>
  </si>
  <si>
    <t>23,850.00</t>
  </si>
  <si>
    <t>20,300.00</t>
  </si>
  <si>
    <t>121,898.99</t>
  </si>
  <si>
    <t>675,000.00</t>
  </si>
  <si>
    <t>339,855.00</t>
  </si>
  <si>
    <t>4,500.00</t>
  </si>
  <si>
    <t>608,966.00</t>
  </si>
  <si>
    <t>6,356,475.00</t>
  </si>
  <si>
    <t>47,500.00</t>
  </si>
  <si>
    <t>63,060.00</t>
  </si>
  <si>
    <t>118,060.00</t>
  </si>
  <si>
    <t>94,875.30</t>
  </si>
  <si>
    <t>59,761.15</t>
  </si>
  <si>
    <t>99,100.00</t>
  </si>
  <si>
    <t>58,552.39</t>
  </si>
  <si>
    <t>78,500.00</t>
  </si>
  <si>
    <t>85,500.00</t>
  </si>
  <si>
    <t>397,186.21</t>
  </si>
  <si>
    <t>247,116.64</t>
  </si>
  <si>
    <t>2,820,000.00</t>
  </si>
  <si>
    <t>514,522.00</t>
  </si>
  <si>
    <t>460,000.00</t>
  </si>
  <si>
    <t>43,498,084.00</t>
  </si>
  <si>
    <t>61,996.00</t>
  </si>
  <si>
    <t>79,004.00</t>
  </si>
  <si>
    <t>364,730.00</t>
  </si>
  <si>
    <t>135,600.00</t>
  </si>
  <si>
    <t>880,000.00</t>
  </si>
  <si>
    <t>375,440.00</t>
  </si>
  <si>
    <t>191,404.00</t>
  </si>
  <si>
    <t>136,818.00</t>
  </si>
  <si>
    <t>296,396.32</t>
  </si>
  <si>
    <t>95,680,000.00</t>
  </si>
  <si>
    <t>301,991.00</t>
  </si>
  <si>
    <t>352,333.25</t>
  </si>
  <si>
    <t>6,895.00</t>
  </si>
  <si>
    <t>420,000.00</t>
  </si>
  <si>
    <t>80,290.00</t>
  </si>
  <si>
    <t>346,433.00</t>
  </si>
  <si>
    <t>153,846.00</t>
  </si>
  <si>
    <t>159,200.00</t>
  </si>
  <si>
    <t>124,000.00</t>
  </si>
  <si>
    <t>307,610.00</t>
  </si>
  <si>
    <t>82,140.00</t>
  </si>
  <si>
    <t>254,625.00</t>
  </si>
  <si>
    <t>408,679.70</t>
  </si>
  <si>
    <t>5,430.00</t>
  </si>
  <si>
    <t>2,520,000.00</t>
  </si>
  <si>
    <t>235,500.00</t>
  </si>
  <si>
    <t>169,662.33</t>
  </si>
  <si>
    <t>17,450.00</t>
  </si>
  <si>
    <t>97,136.30</t>
  </si>
  <si>
    <t>617,310.04</t>
  </si>
  <si>
    <t>2,960.00</t>
  </si>
  <si>
    <t>95,314.00</t>
  </si>
  <si>
    <t>39,000.00</t>
  </si>
  <si>
    <t>184,952.50</t>
  </si>
  <si>
    <t>18,250.00</t>
  </si>
  <si>
    <t>255,420.38</t>
  </si>
  <si>
    <t>109,472.88</t>
  </si>
  <si>
    <t>1,860.00</t>
  </si>
  <si>
    <t>789,080.00</t>
  </si>
  <si>
    <t>266,448.00</t>
  </si>
  <si>
    <t>66,690.00</t>
  </si>
  <si>
    <t>424,553.00</t>
  </si>
  <si>
    <t>218,968.00</t>
  </si>
  <si>
    <t>241,060.00</t>
  </si>
  <si>
    <t>585,140.00</t>
  </si>
  <si>
    <t>21,590.00</t>
  </si>
  <si>
    <t>65,250.00</t>
  </si>
  <si>
    <t>140,500.00</t>
  </si>
  <si>
    <t>80,050.00</t>
  </si>
  <si>
    <t>56,200.00</t>
  </si>
  <si>
    <t>2,369,500.00</t>
  </si>
  <si>
    <t>770,000.00</t>
  </si>
  <si>
    <t>97,880.00</t>
  </si>
  <si>
    <t>132,340.00</t>
  </si>
  <si>
    <t>248,000.00</t>
  </si>
  <si>
    <t>216,880.00</t>
  </si>
  <si>
    <t>73,600.00</t>
  </si>
  <si>
    <t>67,754.00</t>
  </si>
  <si>
    <t>85,587.43</t>
  </si>
  <si>
    <t>210,583.33</t>
  </si>
  <si>
    <t>862,500.00</t>
  </si>
  <si>
    <t>99,290.00</t>
  </si>
  <si>
    <t>85,650.00</t>
  </si>
  <si>
    <t>37,398.00</t>
  </si>
  <si>
    <t>170,980.00</t>
  </si>
  <si>
    <t>24,000.00</t>
  </si>
  <si>
    <t>235,000.00</t>
  </si>
  <si>
    <t>331,200.00</t>
  </si>
  <si>
    <t>87,050.00</t>
  </si>
  <si>
    <t>58,800.00</t>
  </si>
  <si>
    <t>89,950.00</t>
  </si>
  <si>
    <t>1,679,095.00</t>
  </si>
  <si>
    <t>547,647.00</t>
  </si>
  <si>
    <t>1,156,600.00</t>
  </si>
  <si>
    <t>172,280.00</t>
  </si>
  <si>
    <t>73,754.60</t>
  </si>
  <si>
    <t>275,007.35</t>
  </si>
  <si>
    <t>258,150.00</t>
  </si>
  <si>
    <t>371,826.00</t>
  </si>
  <si>
    <t>1,990,507.78</t>
  </si>
  <si>
    <t>188,130.00</t>
  </si>
  <si>
    <t>50,200.00</t>
  </si>
  <si>
    <t>446,040.00</t>
  </si>
  <si>
    <t>69,672.30</t>
  </si>
  <si>
    <t>77,500.00</t>
  </si>
  <si>
    <t>598,000.00</t>
  </si>
  <si>
    <t>1,361,636.30</t>
  </si>
  <si>
    <t>323,600.15</t>
  </si>
  <si>
    <t>545,235.00</t>
  </si>
  <si>
    <t>666,338.50</t>
  </si>
  <si>
    <t>2,876,923.50</t>
  </si>
  <si>
    <t>108,450.00</t>
  </si>
  <si>
    <t>4,815,000.00</t>
  </si>
  <si>
    <t>930,000.00</t>
  </si>
  <si>
    <t>315,025.00</t>
  </si>
  <si>
    <t>1,070,000.00</t>
  </si>
  <si>
    <t>4,990.00</t>
  </si>
  <si>
    <t>280,530.00</t>
  </si>
  <si>
    <t>2,294,176.86</t>
  </si>
  <si>
    <t>1,473,530.00</t>
  </si>
  <si>
    <t>45,000.00</t>
  </si>
  <si>
    <t>281,800.00</t>
  </si>
  <si>
    <t>285,000.00</t>
  </si>
  <si>
    <t>212,000.00</t>
  </si>
  <si>
    <t>4,561,873.07</t>
  </si>
  <si>
    <t>2,750,000.00</t>
  </si>
  <si>
    <t>385,000.00</t>
  </si>
  <si>
    <t>182,864.00</t>
  </si>
  <si>
    <t>825,000.00</t>
  </si>
  <si>
    <t>275,000.00</t>
  </si>
  <si>
    <t>175,676.00</t>
  </si>
  <si>
    <t>2,400,000.00</t>
  </si>
  <si>
    <t>781,855.80</t>
  </si>
  <si>
    <t>550,000.00</t>
  </si>
  <si>
    <t>8,960.00</t>
  </si>
  <si>
    <t>198,870.00</t>
  </si>
  <si>
    <t>16,259,500.44</t>
  </si>
  <si>
    <t>423,990.00</t>
  </si>
  <si>
    <t>537,390.00</t>
  </si>
  <si>
    <t>895,650.00</t>
  </si>
  <si>
    <t>565,320.00</t>
  </si>
  <si>
    <t>3,105,000.00</t>
  </si>
  <si>
    <t>1,320,000.00</t>
  </si>
  <si>
    <t>103,000.08</t>
  </si>
  <si>
    <t>1,998,614.84</t>
  </si>
  <si>
    <t>1,805,000.00</t>
  </si>
  <si>
    <t>2,160,000.00</t>
  </si>
  <si>
    <t>72,225.00</t>
  </si>
  <si>
    <t>6,360.00</t>
  </si>
  <si>
    <t>15,065.00</t>
  </si>
  <si>
    <t>71,460.10</t>
  </si>
  <si>
    <t>1,299,949.88</t>
  </si>
  <si>
    <t>116,175.00</t>
  </si>
  <si>
    <t>60,360.00</t>
  </si>
  <si>
    <t>46,495.00</t>
  </si>
  <si>
    <t>67,680.00</t>
  </si>
  <si>
    <t>28,947,700.00</t>
  </si>
  <si>
    <t>396,142.70</t>
  </si>
  <si>
    <t>299,443.20</t>
  </si>
  <si>
    <t>141,449.91</t>
  </si>
  <si>
    <t>27,375.00</t>
  </si>
  <si>
    <t>239,700.00</t>
  </si>
  <si>
    <t>83,250.00</t>
  </si>
  <si>
    <t>10,800.00</t>
  </si>
  <si>
    <t>71,550.00</t>
  </si>
  <si>
    <t>207,067.20</t>
  </si>
  <si>
    <t>106,650.00</t>
  </si>
  <si>
    <t>148,250.00</t>
  </si>
  <si>
    <t>423,900.00</t>
  </si>
  <si>
    <t>161,227.20</t>
  </si>
  <si>
    <t>85,800.00</t>
  </si>
  <si>
    <t>1,281,500.00</t>
  </si>
  <si>
    <t>192,500.00</t>
  </si>
  <si>
    <t>1,741,340.00</t>
  </si>
  <si>
    <t>60,270.00</t>
  </si>
  <si>
    <t>60,195.00</t>
  </si>
  <si>
    <t>1,104,385.00</t>
  </si>
  <si>
    <t>178,800.00</t>
  </si>
  <si>
    <t>5,063,862.19</t>
  </si>
  <si>
    <t>765,975.00</t>
  </si>
  <si>
    <t>4,907,000.00</t>
  </si>
  <si>
    <t>46,000.00</t>
  </si>
  <si>
    <t>1,200.00</t>
  </si>
  <si>
    <t>171,078.00</t>
  </si>
  <si>
    <t>106,000.00</t>
  </si>
  <si>
    <t>17,194.00</t>
  </si>
  <si>
    <t>1,533,757.00</t>
  </si>
  <si>
    <t>7,500.00</t>
  </si>
  <si>
    <t>27,000.00</t>
  </si>
  <si>
    <t>341,500.00</t>
  </si>
  <si>
    <t>27,200.00</t>
  </si>
  <si>
    <t>8,392,000.00</t>
  </si>
  <si>
    <t>776,500.00</t>
  </si>
  <si>
    <t>43,650.00</t>
  </si>
  <si>
    <t>29,600.00</t>
  </si>
  <si>
    <t>1,335,747.00</t>
  </si>
  <si>
    <t>392,850.00</t>
  </si>
  <si>
    <t>147,192.00</t>
  </si>
  <si>
    <t>5,222,128.08</t>
  </si>
  <si>
    <t>106,300.00</t>
  </si>
  <si>
    <t>6,600,000.00</t>
  </si>
  <si>
    <t>93,110.00</t>
  </si>
  <si>
    <t>20,640.00</t>
  </si>
  <si>
    <t>352,440.00</t>
  </si>
  <si>
    <t>320,000.00</t>
  </si>
  <si>
    <t>61,680.00</t>
  </si>
  <si>
    <t>1,177,575.00</t>
  </si>
  <si>
    <t>8,200,000.00</t>
  </si>
  <si>
    <t>780,000.00</t>
  </si>
  <si>
    <t>98,920.00</t>
  </si>
  <si>
    <t>676,092.00</t>
  </si>
  <si>
    <t>44,641.10</t>
  </si>
  <si>
    <t>182,000.00</t>
  </si>
  <si>
    <t>586,000.00</t>
  </si>
  <si>
    <t>101,450.00</t>
  </si>
  <si>
    <t>19,500.00</t>
  </si>
  <si>
    <t>100,155.00</t>
  </si>
  <si>
    <t>149,000.00</t>
  </si>
  <si>
    <t>1,932,994.06</t>
  </si>
  <si>
    <t>68,300.00</t>
  </si>
  <si>
    <t>66,675.00</t>
  </si>
  <si>
    <t>492,000.00</t>
  </si>
  <si>
    <t>398,318.40</t>
  </si>
  <si>
    <t>68,250.00</t>
  </si>
  <si>
    <t>34,624.30</t>
  </si>
  <si>
    <t>51,420.00</t>
  </si>
  <si>
    <t>361,345.00</t>
  </si>
  <si>
    <t>45,560.00</t>
  </si>
  <si>
    <t>14,700,000.00</t>
  </si>
  <si>
    <t>63,645.00</t>
  </si>
  <si>
    <t>368,262.00</t>
  </si>
  <si>
    <t>19,800,000.00</t>
  </si>
  <si>
    <t>89,270.00</t>
  </si>
  <si>
    <t>151,500.00</t>
  </si>
  <si>
    <t>32,000.00</t>
  </si>
  <si>
    <t>362,343.00</t>
  </si>
  <si>
    <t>33,000.00</t>
  </si>
  <si>
    <t>299,937.33</t>
  </si>
  <si>
    <t>85,105.00</t>
  </si>
  <si>
    <t>970,000.00</t>
  </si>
  <si>
    <t>4,847,063.07</t>
  </si>
  <si>
    <t>22,100.00</t>
  </si>
  <si>
    <t>53,382.00</t>
  </si>
  <si>
    <t>102,000.00</t>
  </si>
  <si>
    <t>19,600,000.00</t>
  </si>
  <si>
    <t>16,500.00</t>
  </si>
  <si>
    <t>64,926.00</t>
  </si>
  <si>
    <t>71,447.00</t>
  </si>
  <si>
    <t>94,000.00</t>
  </si>
  <si>
    <t>396,000.00</t>
  </si>
  <si>
    <t>99,380.00</t>
  </si>
  <si>
    <t>303,750.00</t>
  </si>
  <si>
    <t>3,346,519.08</t>
  </si>
  <si>
    <t>194,860.00</t>
  </si>
  <si>
    <t>225,030.00</t>
  </si>
  <si>
    <t>166,200.00</t>
  </si>
  <si>
    <t>2,970,000.00</t>
  </si>
  <si>
    <t>115,000.00</t>
  </si>
  <si>
    <t>1,853,950.00</t>
  </si>
  <si>
    <t>121,200.00</t>
  </si>
  <si>
    <t>85,000.00</t>
  </si>
  <si>
    <t>558,000.00</t>
  </si>
  <si>
    <t>369,090.00</t>
  </si>
  <si>
    <t>77,850.00</t>
  </si>
  <si>
    <t>39,690,372.50</t>
  </si>
  <si>
    <t>2,699,949.61</t>
  </si>
  <si>
    <t>166,500.00</t>
  </si>
  <si>
    <t>95,000.00</t>
  </si>
  <si>
    <t>886,892.00</t>
  </si>
  <si>
    <t>2,300,000.00</t>
  </si>
  <si>
    <t>190,000.00</t>
  </si>
  <si>
    <t>635,000,553,880.00</t>
  </si>
  <si>
    <t>267,226.80</t>
  </si>
  <si>
    <t>4,800,000.00</t>
  </si>
  <si>
    <t>15,494,676.00</t>
  </si>
  <si>
    <t>824,575.00</t>
  </si>
  <si>
    <t>635,000.00</t>
  </si>
  <si>
    <t>68,000.00</t>
  </si>
  <si>
    <t>10,000,000.00</t>
  </si>
  <si>
    <t>499,232.98</t>
  </si>
  <si>
    <t>60,830.00</t>
  </si>
  <si>
    <t>4,612,648.00</t>
  </si>
  <si>
    <t>79,567.00</t>
  </si>
  <si>
    <t>85,487.00</t>
  </si>
  <si>
    <t>13,309,627.50</t>
  </si>
  <si>
    <t>78,416.00</t>
  </si>
  <si>
    <t>214,200.00</t>
  </si>
  <si>
    <t>215,000.00</t>
  </si>
  <si>
    <t>411,166.00</t>
  </si>
  <si>
    <t>78,645.00</t>
  </si>
  <si>
    <t>200,176.00</t>
  </si>
  <si>
    <t>73,390.00</t>
  </si>
  <si>
    <t>119,575.00</t>
  </si>
  <si>
    <t>115,200.00</t>
  </si>
  <si>
    <t>286,800.00</t>
  </si>
  <si>
    <t>61,500.00</t>
  </si>
  <si>
    <t>53,130.00</t>
  </si>
  <si>
    <t>126,110.00</t>
  </si>
  <si>
    <t>123,125.00</t>
  </si>
  <si>
    <t>54,650.00</t>
  </si>
  <si>
    <t>154,850.00</t>
  </si>
  <si>
    <t>294,000.00</t>
  </si>
  <si>
    <t>170,200.00</t>
  </si>
  <si>
    <t>84,030.00</t>
  </si>
  <si>
    <t>212,800.00</t>
  </si>
  <si>
    <t>148,300.00</t>
  </si>
  <si>
    <t>739,600.00</t>
  </si>
  <si>
    <t>225,000.00</t>
  </si>
  <si>
    <t>208,450.00</t>
  </si>
  <si>
    <t>200,108.00</t>
  </si>
  <si>
    <t>583,102.50</t>
  </si>
  <si>
    <t>124,890.00</t>
  </si>
  <si>
    <t>970,024.01</t>
  </si>
  <si>
    <t>119,200.00</t>
  </si>
  <si>
    <t>1,308,000.00</t>
  </si>
  <si>
    <t>71,885.00</t>
  </si>
  <si>
    <t>94,400.00</t>
  </si>
  <si>
    <t>1,170,000.00</t>
  </si>
  <si>
    <t>782,833.86</t>
  </si>
  <si>
    <t>508,000.00</t>
  </si>
  <si>
    <t>62,240.00</t>
  </si>
  <si>
    <t>64,330.00</t>
  </si>
  <si>
    <t>48,236.60</t>
  </si>
  <si>
    <t>68,200.00</t>
  </si>
  <si>
    <t>142,738.00</t>
  </si>
  <si>
    <t>52,650.00</t>
  </si>
  <si>
    <t>629,000.00</t>
  </si>
  <si>
    <t>834,880.00</t>
  </si>
  <si>
    <t>131,198.00</t>
  </si>
  <si>
    <t>280,000.00</t>
  </si>
  <si>
    <t>1,018,250.00</t>
  </si>
  <si>
    <t>6,087,630.92</t>
  </si>
  <si>
    <t>35,480.00</t>
  </si>
  <si>
    <t>626,160.00</t>
  </si>
  <si>
    <t>354,300.00</t>
  </si>
  <si>
    <t>446,139.00</t>
  </si>
  <si>
    <t>242,000.00</t>
  </si>
  <si>
    <t>313,700.00</t>
  </si>
  <si>
    <t>481,500.00</t>
  </si>
  <si>
    <t>370,289.10</t>
  </si>
  <si>
    <t>552,000.00</t>
  </si>
  <si>
    <t>433,000.00</t>
  </si>
  <si>
    <t>117,000.00</t>
  </si>
  <si>
    <t>198,000.00</t>
  </si>
  <si>
    <t>204,000.00</t>
  </si>
  <si>
    <t>289,789.00</t>
  </si>
  <si>
    <t>93,490.00</t>
  </si>
  <si>
    <t>720,000.00</t>
  </si>
  <si>
    <t>19,983.00</t>
  </si>
  <si>
    <t>242,240.00</t>
  </si>
  <si>
    <t>112,300.00</t>
  </si>
  <si>
    <t>391,171.10</t>
  </si>
  <si>
    <t>712,250.00</t>
  </si>
  <si>
    <t>187,500.00</t>
  </si>
  <si>
    <t>969,700.00</t>
  </si>
  <si>
    <t>785,000.00</t>
  </si>
  <si>
    <t>155,480.00</t>
  </si>
  <si>
    <t>76,160.00</t>
  </si>
  <si>
    <t>130,250.00</t>
  </si>
  <si>
    <t>82,060.00</t>
  </si>
  <si>
    <t>67,800.00</t>
  </si>
  <si>
    <t>950,000.00</t>
  </si>
  <si>
    <t>515,000.00</t>
  </si>
  <si>
    <t>5,400.00</t>
  </si>
  <si>
    <t>152,000.00</t>
  </si>
  <si>
    <t>26,486,110.95</t>
  </si>
  <si>
    <t>30,728.60</t>
  </si>
  <si>
    <t>66,600.00</t>
  </si>
  <si>
    <t>218,736.30</t>
  </si>
  <si>
    <t>511,140.00</t>
  </si>
  <si>
    <t>384,000.00</t>
  </si>
  <si>
    <t>52,535.00</t>
  </si>
  <si>
    <t>9,776,000.00</t>
  </si>
  <si>
    <t>59,850.00</t>
  </si>
  <si>
    <t>53,900.00</t>
  </si>
  <si>
    <t>131,868.00</t>
  </si>
  <si>
    <t>180,180.00</t>
  </si>
  <si>
    <t>8,767,688.18</t>
  </si>
  <si>
    <t>144,000.00</t>
  </si>
  <si>
    <t>95,970.00</t>
  </si>
  <si>
    <t>370,800.00</t>
  </si>
  <si>
    <t>95,500.00</t>
  </si>
  <si>
    <t>73,295.00</t>
  </si>
  <si>
    <t>1,094,004.18</t>
  </si>
  <si>
    <t>30,499.00</t>
  </si>
  <si>
    <t>2,965,285.00</t>
  </si>
  <si>
    <t>30,500.00</t>
  </si>
  <si>
    <t>37,524.50</t>
  </si>
  <si>
    <t>177,210.60</t>
  </si>
  <si>
    <t>82,550.00</t>
  </si>
  <si>
    <t>11,460.00</t>
  </si>
  <si>
    <t>21,292,000.00</t>
  </si>
  <si>
    <t>176,491.08</t>
  </si>
  <si>
    <t>25,030.00</t>
  </si>
  <si>
    <t>295,720.40</t>
  </si>
  <si>
    <t>39,232.10</t>
  </si>
  <si>
    <t>226,970.00</t>
  </si>
  <si>
    <t>91,000.00</t>
  </si>
  <si>
    <t>13,998.00</t>
  </si>
  <si>
    <t>26,570.50</t>
  </si>
  <si>
    <t>86,350.00</t>
  </si>
  <si>
    <t>351,000.00</t>
  </si>
  <si>
    <t>679,409.98</t>
  </si>
  <si>
    <t>161,460.00</t>
  </si>
  <si>
    <t>999,860.00</t>
  </si>
  <si>
    <t>4,490,600.00</t>
  </si>
  <si>
    <t>381,600.00</t>
  </si>
  <si>
    <t>203,200.00</t>
  </si>
  <si>
    <t>315,200.00</t>
  </si>
  <si>
    <t>6,090.00</t>
  </si>
  <si>
    <t>11,300,266.72</t>
  </si>
  <si>
    <t>33,295.70</t>
  </si>
  <si>
    <t>364,485.61</t>
  </si>
  <si>
    <t>51,790.00</t>
  </si>
  <si>
    <t>7,908,800.10</t>
  </si>
  <si>
    <t>430,000.00</t>
  </si>
  <si>
    <t>70,350.00</t>
  </si>
  <si>
    <t>226,500.00</t>
  </si>
  <si>
    <t>150,450.00</t>
  </si>
  <si>
    <t>1,334,600.00</t>
  </si>
  <si>
    <t>1,596,638.00</t>
  </si>
  <si>
    <t>511,880.00</t>
  </si>
  <si>
    <t>147,060.00</t>
  </si>
  <si>
    <t>96,200.00</t>
  </si>
  <si>
    <t>259,500.00</t>
  </si>
  <si>
    <t>56,338.00</t>
  </si>
  <si>
    <t>997,043.00</t>
  </si>
  <si>
    <t>999,712.00</t>
  </si>
  <si>
    <t>63,717.62</t>
  </si>
  <si>
    <t>128,000.00</t>
  </si>
  <si>
    <t>10,576,521.05</t>
  </si>
  <si>
    <t>101,100.00</t>
  </si>
  <si>
    <t>306,800.00</t>
  </si>
  <si>
    <t>999,000.00</t>
  </si>
  <si>
    <t>71,350.00</t>
  </si>
  <si>
    <t>250,800.00</t>
  </si>
  <si>
    <t>59,885.00</t>
  </si>
  <si>
    <t>514,550.00</t>
  </si>
  <si>
    <t>102,457.00</t>
  </si>
  <si>
    <t>455,800.00</t>
  </si>
  <si>
    <t>627,080.72</t>
  </si>
  <si>
    <t>62,200.00</t>
  </si>
  <si>
    <t>2,047,730.00</t>
  </si>
  <si>
    <t>119,906.00</t>
  </si>
  <si>
    <t>4,490.00</t>
  </si>
  <si>
    <t>151,550.55</t>
  </si>
  <si>
    <t>1,720,000.00</t>
  </si>
  <si>
    <t>74,790.70</t>
  </si>
  <si>
    <t>64,500.00</t>
  </si>
  <si>
    <t>199,968.00</t>
  </si>
  <si>
    <t>148,920.00</t>
  </si>
  <si>
    <t>1,217,345.00</t>
  </si>
  <si>
    <t>278,012.00</t>
  </si>
  <si>
    <t>145,990.00</t>
  </si>
  <si>
    <t>155,000.00</t>
  </si>
  <si>
    <t>695,165.26</t>
  </si>
  <si>
    <t>98,940.20</t>
  </si>
  <si>
    <t>99,300.00</t>
  </si>
  <si>
    <t>1,838,260.00</t>
  </si>
  <si>
    <t>52,500.00</t>
  </si>
  <si>
    <t>18,490.00</t>
  </si>
  <si>
    <t>202,250.00</t>
  </si>
  <si>
    <t>54,960.00</t>
  </si>
  <si>
    <t>59,808.00</t>
  </si>
  <si>
    <t>324,000.00</t>
  </si>
  <si>
    <t>861,400.00</t>
  </si>
  <si>
    <t>147,524.00</t>
  </si>
  <si>
    <t>80,200.00</t>
  </si>
  <si>
    <t>168,000.00</t>
  </si>
  <si>
    <t>147,980.00</t>
  </si>
  <si>
    <t>445,885.00</t>
  </si>
  <si>
    <t>66,070.00</t>
  </si>
  <si>
    <t>67,010.00</t>
  </si>
  <si>
    <t>145,654.00</t>
  </si>
  <si>
    <t>67,964.00</t>
  </si>
  <si>
    <t>1,254,140.00</t>
  </si>
  <si>
    <t>39,950.00</t>
  </si>
  <si>
    <t>1,999,765.99</t>
  </si>
  <si>
    <t>734,192.50</t>
  </si>
  <si>
    <t>528,800.00</t>
  </si>
  <si>
    <t>2,440,000.00</t>
  </si>
  <si>
    <t>4,127,281.20</t>
  </si>
  <si>
    <t>216,157.50</t>
  </si>
  <si>
    <t>158,000.00</t>
  </si>
  <si>
    <t>50,347.00</t>
  </si>
  <si>
    <t>177,500.00</t>
  </si>
  <si>
    <t>182,500.00</t>
  </si>
  <si>
    <t>62,610.00</t>
  </si>
  <si>
    <t>281,000.00</t>
  </si>
  <si>
    <t>194,150.00</t>
  </si>
  <si>
    <t>65,600.00</t>
  </si>
  <si>
    <t>371,800.00</t>
  </si>
  <si>
    <t>86,280.00</t>
  </si>
  <si>
    <t>182,935.00</t>
  </si>
  <si>
    <t>174,000.00</t>
  </si>
  <si>
    <t>89,280.00</t>
  </si>
  <si>
    <t>54,500.00</t>
  </si>
  <si>
    <t>331,002,000.00</t>
  </si>
  <si>
    <t>1,387,000.00</t>
  </si>
  <si>
    <t>87,760.00</t>
  </si>
  <si>
    <t>224,615.00</t>
  </si>
  <si>
    <t>74,160.00</t>
  </si>
  <si>
    <t>67,860.00</t>
  </si>
  <si>
    <t>444,220.00</t>
  </si>
  <si>
    <t>278,086.41</t>
  </si>
  <si>
    <t>217,000.00</t>
  </si>
  <si>
    <t>107,200.00</t>
  </si>
  <si>
    <t>1,249,730.00</t>
  </si>
  <si>
    <t>163,300.00</t>
  </si>
  <si>
    <t>63,600.00</t>
  </si>
  <si>
    <t>69,418.00</t>
  </si>
  <si>
    <t>58,200.00</t>
  </si>
  <si>
    <t>146,880.00</t>
  </si>
  <si>
    <t>265,750.00</t>
  </si>
  <si>
    <t>99,835.00</t>
  </si>
  <si>
    <t>5,393,361.79</t>
  </si>
  <si>
    <t>366,600.00</t>
  </si>
  <si>
    <t>995,000.00</t>
  </si>
  <si>
    <t>8,000,000.00</t>
  </si>
  <si>
    <t>108,500.00</t>
  </si>
  <si>
    <t>86,450.00</t>
  </si>
  <si>
    <t>283,100.00</t>
  </si>
  <si>
    <t>16,556,100.00</t>
  </si>
  <si>
    <t>147,550.00</t>
  </si>
  <si>
    <t>24,428,622.80</t>
  </si>
  <si>
    <t>67,373.00</t>
  </si>
  <si>
    <t>480,040.00</t>
  </si>
  <si>
    <t>360,000.00</t>
  </si>
  <si>
    <t>29,975,287.55</t>
  </si>
  <si>
    <t>88,260.00</t>
  </si>
  <si>
    <t>10,505.00</t>
  </si>
  <si>
    <t>672,950.00</t>
  </si>
  <si>
    <t>250,680.00</t>
  </si>
  <si>
    <t>154,175.00</t>
  </si>
  <si>
    <t>56,900.00</t>
  </si>
  <si>
    <t>425,000.00</t>
  </si>
  <si>
    <t>226,935.00</t>
  </si>
  <si>
    <t>22,503,060.03</t>
  </si>
  <si>
    <t>756,800.00</t>
  </si>
  <si>
    <t>191,920.00</t>
  </si>
  <si>
    <t>137,584.88</t>
  </si>
  <si>
    <t>279,400.00</t>
  </si>
  <si>
    <t>129,315.00</t>
  </si>
  <si>
    <t>40,341.91</t>
  </si>
  <si>
    <t>158,160.00</t>
  </si>
  <si>
    <t>29,975,663.19</t>
  </si>
  <si>
    <t>379,750.00</t>
  </si>
  <si>
    <t>211,800.00</t>
  </si>
  <si>
    <t>93,700.00</t>
  </si>
  <si>
    <t>985,150.00</t>
  </si>
  <si>
    <t>75,761.00</t>
  </si>
  <si>
    <t>50,130.00</t>
  </si>
  <si>
    <t>127,500.00</t>
  </si>
  <si>
    <t>892,580.00</t>
  </si>
  <si>
    <t>180,820.00</t>
  </si>
  <si>
    <t>227,200.00</t>
  </si>
  <si>
    <t>99,688.05</t>
  </si>
  <si>
    <t>87,260.00</t>
  </si>
  <si>
    <t>479,796.79</t>
  </si>
  <si>
    <t>73,270.00</t>
  </si>
  <si>
    <t>272,313.60</t>
  </si>
  <si>
    <t>58,875.00</t>
  </si>
  <si>
    <t>66,400.00</t>
  </si>
  <si>
    <t>565,000.00</t>
  </si>
  <si>
    <t>428,220.00</t>
  </si>
  <si>
    <t>1,498,831.39</t>
  </si>
  <si>
    <t>672,545.00</t>
  </si>
  <si>
    <t>50,000,000.00</t>
  </si>
  <si>
    <t>51,590.00</t>
  </si>
  <si>
    <t>266,240.00</t>
  </si>
  <si>
    <t>148,000.00</t>
  </si>
  <si>
    <t>50,693.50</t>
  </si>
  <si>
    <t>99,990.00</t>
  </si>
  <si>
    <t>74,970.00</t>
  </si>
  <si>
    <t>71,250.00</t>
  </si>
  <si>
    <t>63,283.00</t>
  </si>
  <si>
    <t>442,000.00</t>
  </si>
  <si>
    <t>13,987.60</t>
  </si>
  <si>
    <t>12,033,989.63</t>
  </si>
  <si>
    <t>3,014,207.20</t>
  </si>
  <si>
    <t>82,000.00</t>
  </si>
  <si>
    <t>114,000.00</t>
  </si>
  <si>
    <t>93,956.00</t>
  </si>
  <si>
    <t>4,947,000.00</t>
  </si>
  <si>
    <t>21,686,618.60</t>
  </si>
  <si>
    <t>159,120.00</t>
  </si>
  <si>
    <t>214,000.00</t>
  </si>
  <si>
    <t>136,548.70</t>
  </si>
  <si>
    <t>388,750.00</t>
  </si>
  <si>
    <t>247,462.50</t>
  </si>
  <si>
    <t>82,646.20</t>
  </si>
  <si>
    <t>25,078,618.89</t>
  </si>
  <si>
    <t>230,400.00</t>
  </si>
  <si>
    <t>24,818,157.03</t>
  </si>
  <si>
    <t>249,985.00</t>
  </si>
  <si>
    <t>160,149.76</t>
  </si>
  <si>
    <t>1,955,885.48</t>
  </si>
  <si>
    <t>69,315.00</t>
  </si>
  <si>
    <t>2,260,600.00</t>
  </si>
  <si>
    <t>477,725.00</t>
  </si>
  <si>
    <t>22,500,000.02</t>
  </si>
  <si>
    <t>179,000.00</t>
  </si>
  <si>
    <t>1,140,000.00</t>
  </si>
  <si>
    <t>39,998,657.27</t>
  </si>
  <si>
    <t>542,415.00</t>
  </si>
  <si>
    <t>103,600.00</t>
  </si>
  <si>
    <t>76,888.96</t>
  </si>
  <si>
    <t>142,050.00</t>
  </si>
  <si>
    <t>190,700.00</t>
  </si>
  <si>
    <t>245,595.00</t>
  </si>
  <si>
    <t>158,177.00</t>
  </si>
  <si>
    <t>70,820.00</t>
  </si>
  <si>
    <t>3,469,795.50</t>
  </si>
  <si>
    <t>194,800.00</t>
  </si>
  <si>
    <t>1,301,755.00</t>
  </si>
  <si>
    <t>2,747,000.00</t>
  </si>
  <si>
    <t>1,485,000.00</t>
  </si>
  <si>
    <t>52,543.00</t>
  </si>
  <si>
    <t>199,300.00</t>
  </si>
  <si>
    <t>218,620.00</t>
  </si>
  <si>
    <t>34,750.00</t>
  </si>
  <si>
    <t>738,400.00</t>
  </si>
  <si>
    <t>207,500.00</t>
  </si>
  <si>
    <t>78,200.50</t>
  </si>
  <si>
    <t>325,000.00</t>
  </si>
  <si>
    <t>945,000.00</t>
  </si>
  <si>
    <t>29,995.00</t>
  </si>
  <si>
    <t>3,500.00</t>
  </si>
  <si>
    <t>160,799.04</t>
  </si>
  <si>
    <t>58,047.00</t>
  </si>
  <si>
    <t>707,349.20</t>
  </si>
  <si>
    <t>71,700.00</t>
  </si>
  <si>
    <t>2,020,508.25</t>
  </si>
  <si>
    <t>194,260.00</t>
  </si>
  <si>
    <t>69,265.00</t>
  </si>
  <si>
    <t>2,450,000.00</t>
  </si>
  <si>
    <t>103,547.16</t>
  </si>
  <si>
    <t>76,800.00</t>
  </si>
  <si>
    <t>290,030.25</t>
  </si>
  <si>
    <t>301,000.00</t>
  </si>
  <si>
    <t>774,920.39</t>
  </si>
  <si>
    <t>30,875.00</t>
  </si>
  <si>
    <t>52,260.00</t>
  </si>
  <si>
    <t>2,734,534.50</t>
  </si>
  <si>
    <t>1,955,367.25</t>
  </si>
  <si>
    <t>2,014,700.00</t>
  </si>
  <si>
    <t>58,760.00</t>
  </si>
  <si>
    <t>288,400.00</t>
  </si>
  <si>
    <t>59,350.00</t>
  </si>
  <si>
    <t>119,310.00</t>
  </si>
  <si>
    <t>92,800.00</t>
  </si>
  <si>
    <t>410,000.00</t>
  </si>
  <si>
    <t>3,258,153.75</t>
  </si>
  <si>
    <t>2,993,778.00</t>
  </si>
  <si>
    <t>119,000.00</t>
  </si>
  <si>
    <t>3,612,237.50</t>
  </si>
  <si>
    <t>52,950.00</t>
  </si>
  <si>
    <t>160,260.00</t>
  </si>
  <si>
    <t>988,919.12</t>
  </si>
  <si>
    <t>163,750.00</t>
  </si>
  <si>
    <t>1,333,360.00</t>
  </si>
  <si>
    <t>2,353,720.50</t>
  </si>
  <si>
    <t>60,600.00</t>
  </si>
  <si>
    <t>996,000.00</t>
  </si>
  <si>
    <t>142,500.00</t>
  </si>
  <si>
    <t>340,200.00</t>
  </si>
  <si>
    <t>582,000.00</t>
  </si>
  <si>
    <t>1,145,728.77</t>
  </si>
  <si>
    <t>409,394.40</t>
  </si>
  <si>
    <t>201,738.00</t>
  </si>
  <si>
    <t>8,500.00</t>
  </si>
  <si>
    <t>71,111.00</t>
  </si>
  <si>
    <t>249,906.29</t>
  </si>
  <si>
    <t>287,500.00</t>
  </si>
  <si>
    <t>87,199.00</t>
  </si>
  <si>
    <t>104,700.00</t>
  </si>
  <si>
    <t>112,365.00</t>
  </si>
  <si>
    <t>34,800.00</t>
  </si>
  <si>
    <t>109,700.00</t>
  </si>
  <si>
    <t>103,880.00</t>
  </si>
  <si>
    <t>332,000.00</t>
  </si>
  <si>
    <t>197,960.00</t>
  </si>
  <si>
    <t>99,941.00</t>
  </si>
  <si>
    <t>44,150.00</t>
  </si>
  <si>
    <t>850,000.00</t>
  </si>
  <si>
    <t>6,627,000.00</t>
  </si>
  <si>
    <t>4,852,182.04</t>
  </si>
  <si>
    <t>4,298,372.25</t>
  </si>
  <si>
    <t>48,290.00</t>
  </si>
  <si>
    <t>276,440.00</t>
  </si>
  <si>
    <t>666,640.00</t>
  </si>
  <si>
    <t>68,608.00</t>
  </si>
  <si>
    <t>191,200.00</t>
  </si>
  <si>
    <t>678,000.00</t>
  </si>
  <si>
    <t>195,700.00</t>
  </si>
  <si>
    <t>469,980.00</t>
  </si>
  <si>
    <t>301,200.00</t>
  </si>
  <si>
    <t>638,795.90</t>
  </si>
  <si>
    <t>186,400.00</t>
  </si>
  <si>
    <t>149,480.00</t>
  </si>
  <si>
    <t>84,075.00</t>
  </si>
  <si>
    <t>32,200.00</t>
  </si>
  <si>
    <t>89,970.00</t>
  </si>
  <si>
    <t>402,978.00</t>
  </si>
  <si>
    <t>28,800.00</t>
  </si>
  <si>
    <t>667,000.00</t>
  </si>
  <si>
    <t>50,680.00</t>
  </si>
  <si>
    <t>2,686,932.75</t>
  </si>
  <si>
    <t>75,300.00</t>
  </si>
  <si>
    <t>59,390.00</t>
  </si>
  <si>
    <t>291,000.00</t>
  </si>
  <si>
    <t>8,982,830.00</t>
  </si>
  <si>
    <t>1,427,665.00</t>
  </si>
  <si>
    <t>53,880.00</t>
  </si>
  <si>
    <t>97,288.00</t>
  </si>
  <si>
    <t>370,000.00</t>
  </si>
  <si>
    <t>53,715.00</t>
  </si>
  <si>
    <t>771,400.00</t>
  </si>
  <si>
    <t>103,810.00</t>
  </si>
  <si>
    <t>93,480.00</t>
  </si>
  <si>
    <t>86,500.00</t>
  </si>
  <si>
    <t>184,407.00</t>
  </si>
  <si>
    <t>82,861.00</t>
  </si>
  <si>
    <t>379,260.00</t>
  </si>
  <si>
    <t>998,000.00</t>
  </si>
  <si>
    <t>245,500.00</t>
  </si>
  <si>
    <t>34,163,492.00</t>
  </si>
  <si>
    <t>721,000.00</t>
  </si>
  <si>
    <t>100,195.00</t>
  </si>
  <si>
    <t>1,168,000.00</t>
  </si>
  <si>
    <t>80,800,000.00</t>
  </si>
  <si>
    <t>230,000.00</t>
  </si>
  <si>
    <t>135,999.00</t>
  </si>
  <si>
    <t>9,641,688.70</t>
  </si>
  <si>
    <t>213,880.00</t>
  </si>
  <si>
    <t>1,400,000.00</t>
  </si>
  <si>
    <t>386,600.00</t>
  </si>
  <si>
    <t>99,594.30</t>
  </si>
  <si>
    <t>3,087,500.00</t>
  </si>
  <si>
    <t>1,367,793.00</t>
  </si>
  <si>
    <t>199,960.00</t>
  </si>
  <si>
    <t>1,480,000.00</t>
  </si>
  <si>
    <t>199,916.69</t>
  </si>
  <si>
    <t>82,667.00</t>
  </si>
  <si>
    <t>246,600.00</t>
  </si>
  <si>
    <t>330,270.00</t>
  </si>
  <si>
    <t>1,608,492.75</t>
  </si>
  <si>
    <t>138,750.00</t>
  </si>
  <si>
    <t>177,800.00</t>
  </si>
  <si>
    <t>3,421,875.00</t>
  </si>
  <si>
    <t>186,901.70</t>
  </si>
  <si>
    <t>755,260.00</t>
  </si>
  <si>
    <t>9,985,150.80</t>
  </si>
  <si>
    <t>199,882.00</t>
  </si>
  <si>
    <t>89,031.36</t>
  </si>
  <si>
    <t>1,900,000.00</t>
  </si>
  <si>
    <t>3,658,164.00</t>
  </si>
  <si>
    <t>75,788.00</t>
  </si>
  <si>
    <t>860,000.00</t>
  </si>
  <si>
    <t>89,053.00</t>
  </si>
  <si>
    <t>303,954.75</t>
  </si>
  <si>
    <t>68,700.00</t>
  </si>
  <si>
    <t>365,500.00</t>
  </si>
  <si>
    <t>50,340.00</t>
  </si>
  <si>
    <t>94,995.00</t>
  </si>
  <si>
    <t>354,820.00</t>
  </si>
  <si>
    <t>586,567.39</t>
  </si>
  <si>
    <t>210,726.00</t>
  </si>
  <si>
    <t>58,000.00</t>
  </si>
  <si>
    <t>19,515.00</t>
  </si>
  <si>
    <t>205,850.00</t>
  </si>
  <si>
    <t>66,260.00</t>
  </si>
  <si>
    <t>1,149,195.00</t>
  </si>
  <si>
    <t>18,800.00</t>
  </si>
  <si>
    <t>113,100.00</t>
  </si>
  <si>
    <t>96,800.00</t>
  </si>
  <si>
    <t>452,507.32</t>
  </si>
  <si>
    <t>65,419.04</t>
  </si>
  <si>
    <t>564,720.00</t>
  </si>
  <si>
    <t>83,500.00</t>
  </si>
  <si>
    <t>174,358.00</t>
  </si>
  <si>
    <t>175,000.00</t>
  </si>
  <si>
    <t>44,885.00</t>
  </si>
  <si>
    <t>93,800.00</t>
  </si>
  <si>
    <t>199,800.00</t>
  </si>
  <si>
    <t>3,733,608.00</t>
  </si>
  <si>
    <t>322,890.00</t>
  </si>
  <si>
    <t>219,200.00</t>
  </si>
  <si>
    <t>141,611.00</t>
  </si>
  <si>
    <t>126,265.00</t>
  </si>
  <si>
    <t>103,815.20</t>
  </si>
  <si>
    <t>1,577,394.00</t>
  </si>
  <si>
    <t>513,000.00</t>
  </si>
  <si>
    <t>125,070.00</t>
  </si>
  <si>
    <t>75,990.00</t>
  </si>
  <si>
    <t>183,280.00</t>
  </si>
  <si>
    <t>82,800.00</t>
  </si>
  <si>
    <t>15,397,710.00</t>
  </si>
  <si>
    <t>62,500.00</t>
  </si>
  <si>
    <t>49,000,000.00</t>
  </si>
  <si>
    <t>54,180.00</t>
  </si>
  <si>
    <t>998,900.00</t>
  </si>
  <si>
    <t>925,968.00</t>
  </si>
  <si>
    <t>96,500,000.00</t>
  </si>
  <si>
    <t>378,000.00</t>
  </si>
  <si>
    <t>1,950,000.00</t>
  </si>
  <si>
    <t>96,999.00</t>
  </si>
  <si>
    <t>92,400.00</t>
  </si>
  <si>
    <t>114,965.00</t>
  </si>
  <si>
    <t>161,030.00</t>
  </si>
  <si>
    <t>35,536.15</t>
  </si>
  <si>
    <t>54,870.00</t>
  </si>
  <si>
    <t>923,490.00</t>
  </si>
  <si>
    <t>827,000.00</t>
  </si>
  <si>
    <t>251,772.50</t>
  </si>
  <si>
    <t>136,800.00</t>
  </si>
  <si>
    <t>164,850.00</t>
  </si>
  <si>
    <t>78,783.60</t>
  </si>
  <si>
    <t>25,804,943.58</t>
  </si>
  <si>
    <t>99,900.00</t>
  </si>
  <si>
    <t>80,960.00</t>
  </si>
  <si>
    <t>551,810.00</t>
  </si>
  <si>
    <t>371,550.00</t>
  </si>
  <si>
    <t>492,500.00</t>
  </si>
  <si>
    <t>62,700.00</t>
  </si>
  <si>
    <t>252,717.50</t>
  </si>
  <si>
    <t>41,725.00</t>
  </si>
  <si>
    <t>599,175.00</t>
  </si>
  <si>
    <t>161,410.00</t>
  </si>
  <si>
    <t>68,458,000.00</t>
  </si>
  <si>
    <t>581,525.00</t>
  </si>
  <si>
    <t>854,000.00</t>
  </si>
  <si>
    <t>939,262.50</t>
  </si>
  <si>
    <t>98,550.00</t>
  </si>
  <si>
    <t>4,976,974.77</t>
  </si>
  <si>
    <t>5,098,226.08</t>
  </si>
  <si>
    <t>24,125,000.00</t>
  </si>
  <si>
    <t>137,000.00</t>
  </si>
  <si>
    <t>139,000.00</t>
  </si>
  <si>
    <t>63,991,806.00</t>
  </si>
  <si>
    <t>59,950.40</t>
  </si>
  <si>
    <t>375,892.00</t>
  </si>
  <si>
    <t>49,498,276.88</t>
  </si>
  <si>
    <t>1,980,000.00</t>
  </si>
  <si>
    <t>63,500.00</t>
  </si>
  <si>
    <t>65,400.00</t>
  </si>
  <si>
    <t>565,760.00</t>
  </si>
  <si>
    <t>55,470.00</t>
  </si>
  <si>
    <t>66,520.00</t>
  </si>
  <si>
    <t>36,500.00</t>
  </si>
  <si>
    <t>168,800.00</t>
  </si>
  <si>
    <t>193,990.00</t>
  </si>
  <si>
    <t>55,581.00</t>
  </si>
  <si>
    <t>5,506,257.42</t>
  </si>
  <si>
    <t>202,257.00</t>
  </si>
  <si>
    <t>1,503,780.00</t>
  </si>
  <si>
    <t>128,500.00</t>
  </si>
  <si>
    <t>95,999.00</t>
  </si>
  <si>
    <t>5,014,448.53</t>
  </si>
  <si>
    <t>71,800.00</t>
  </si>
  <si>
    <t>112,464.00</t>
  </si>
  <si>
    <t>149,050.00</t>
  </si>
  <si>
    <t>792,479.19</t>
  </si>
  <si>
    <t>26,900.00</t>
  </si>
  <si>
    <t>109,756.00</t>
  </si>
  <si>
    <t>525,450.00</t>
  </si>
  <si>
    <t>123,200.00</t>
  </si>
  <si>
    <t>152,230.00</t>
  </si>
  <si>
    <t>219,900.00</t>
  </si>
  <si>
    <t>915,887.05</t>
  </si>
  <si>
    <t>677,574.00</t>
  </si>
  <si>
    <t>135,500.00</t>
  </si>
  <si>
    <t>925,000.00</t>
  </si>
  <si>
    <t>112,499.95</t>
  </si>
  <si>
    <t>952,000.00</t>
  </si>
  <si>
    <t>5,193,768.40</t>
  </si>
  <si>
    <t>74,200.00</t>
  </si>
  <si>
    <t>24,995.00</t>
  </si>
  <si>
    <t>755,825.00</t>
  </si>
  <si>
    <t>220,075.00</t>
  </si>
  <si>
    <t>417,000.00</t>
  </si>
  <si>
    <t>780,734.83</t>
  </si>
  <si>
    <t>305,800.00</t>
  </si>
  <si>
    <t>5,752,573.55</t>
  </si>
  <si>
    <t>145,500.00</t>
  </si>
  <si>
    <t>545,000.00</t>
  </si>
  <si>
    <t>5,956,257.42</t>
  </si>
  <si>
    <t>940,800.00</t>
  </si>
  <si>
    <t>90,479.50</t>
  </si>
  <si>
    <t>299,500.00</t>
  </si>
  <si>
    <t>629,404.00</t>
  </si>
  <si>
    <t>151,685.00</t>
  </si>
  <si>
    <t>560,000.00</t>
  </si>
  <si>
    <t>363,462.83</t>
  </si>
  <si>
    <t>529,039.00</t>
  </si>
  <si>
    <t>135,297.50</t>
  </si>
  <si>
    <t>206,000.00</t>
  </si>
  <si>
    <t>125,400.00</t>
  </si>
  <si>
    <t>508,920.00</t>
  </si>
  <si>
    <t>129,750.00</t>
  </si>
  <si>
    <t>58,600.00</t>
  </si>
  <si>
    <t>969,000.00</t>
  </si>
  <si>
    <t>170,820.00</t>
  </si>
  <si>
    <t>408,327.75</t>
  </si>
  <si>
    <t>70,490.00</t>
  </si>
  <si>
    <t>164,400.00</t>
  </si>
  <si>
    <t>11,940,000.00</t>
  </si>
  <si>
    <t>80,350.00</t>
  </si>
  <si>
    <t>74,790.00</t>
  </si>
  <si>
    <t>599,075.00</t>
  </si>
  <si>
    <t>1,886,000.00</t>
  </si>
  <si>
    <t>66,300.00</t>
  </si>
  <si>
    <t>289,656.00</t>
  </si>
  <si>
    <t>953,758.63</t>
  </si>
  <si>
    <t>139,708.00</t>
  </si>
  <si>
    <t>61,875.00</t>
  </si>
  <si>
    <t>34,610.00</t>
  </si>
  <si>
    <t>143,000.00</t>
  </si>
  <si>
    <t>454,643.40</t>
  </si>
  <si>
    <t>1,617,000.00</t>
  </si>
  <si>
    <t>75,500.00</t>
  </si>
  <si>
    <t>20,080.00</t>
  </si>
  <si>
    <t>12,437,500.00</t>
  </si>
  <si>
    <t>78,000.00</t>
  </si>
  <si>
    <t>59,500.00</t>
  </si>
  <si>
    <t>588,607.90</t>
  </si>
  <si>
    <t>4,650,000.00</t>
  </si>
  <si>
    <t>50,052.00</t>
  </si>
  <si>
    <t>127,540.00</t>
  </si>
  <si>
    <t>758,848.80</t>
  </si>
  <si>
    <t>64,630.00</t>
  </si>
  <si>
    <t>87,360.00</t>
  </si>
  <si>
    <t>992,000.00</t>
  </si>
  <si>
    <t>218,200.00</t>
  </si>
  <si>
    <t>68,480.00</t>
  </si>
  <si>
    <t>5,825,000.00</t>
  </si>
  <si>
    <t>260,700.00</t>
  </si>
  <si>
    <t>39,028.00</t>
  </si>
  <si>
    <t>87,600.00</t>
  </si>
  <si>
    <t>2,213,935.69</t>
  </si>
  <si>
    <t>789,393.33</t>
  </si>
  <si>
    <t>64,170.00</t>
  </si>
  <si>
    <t>196,021.25</t>
  </si>
  <si>
    <t>79,000.00</t>
  </si>
  <si>
    <t>80,731.79</t>
  </si>
  <si>
    <t>71,080.00</t>
  </si>
  <si>
    <t>118,350.00</t>
  </si>
  <si>
    <t>153,360.00</t>
  </si>
  <si>
    <t>60,450.00</t>
  </si>
  <si>
    <t>13,105.00</t>
  </si>
  <si>
    <t>152,097.60</t>
  </si>
  <si>
    <t>240,500.00</t>
  </si>
  <si>
    <t>107,500.00</t>
  </si>
  <si>
    <t>2,439,465.13</t>
  </si>
  <si>
    <t>161,360.00</t>
  </si>
  <si>
    <t>197,470.00</t>
  </si>
  <si>
    <t>297,690.39</t>
  </si>
  <si>
    <t>607,178.40</t>
  </si>
  <si>
    <t>99,999.90</t>
  </si>
  <si>
    <t>70,895.00</t>
  </si>
  <si>
    <t>507,000.00</t>
  </si>
  <si>
    <t>496,000.00</t>
  </si>
  <si>
    <t>990,000.00</t>
  </si>
  <si>
    <t>104,250.00</t>
  </si>
  <si>
    <t>109,560.00</t>
  </si>
  <si>
    <t>77,355.00</t>
  </si>
  <si>
    <t>1,395,392.20</t>
  </si>
  <si>
    <t>62,216.00</t>
  </si>
  <si>
    <t>71,233.00</t>
  </si>
  <si>
    <t>331,000.00</t>
  </si>
  <si>
    <t>290,440.00</t>
  </si>
  <si>
    <t>197,400.00</t>
  </si>
  <si>
    <t>71,670.00</t>
  </si>
  <si>
    <t>131,200.00</t>
  </si>
  <si>
    <t>82,200.00</t>
  </si>
  <si>
    <t>19,905.00</t>
  </si>
  <si>
    <t>55,030.00</t>
  </si>
  <si>
    <t>1,008,500.80</t>
  </si>
  <si>
    <t>343,464.00</t>
  </si>
  <si>
    <t>75,120.00</t>
  </si>
  <si>
    <t>64,750.00</t>
  </si>
  <si>
    <t>573,000.00</t>
  </si>
  <si>
    <t>423,545.00</t>
  </si>
  <si>
    <t>92,311.47</t>
  </si>
  <si>
    <t>56,000.00</t>
  </si>
  <si>
    <t>625,971.07</t>
  </si>
  <si>
    <t>390,056.57</t>
  </si>
  <si>
    <t>347,184.00</t>
  </si>
  <si>
    <t>58,360.00</t>
  </si>
  <si>
    <t>101,904.00</t>
  </si>
  <si>
    <t>88,600.00</t>
  </si>
  <si>
    <t>670,000.00</t>
  </si>
  <si>
    <t>95,290.00</t>
  </si>
  <si>
    <t>262,800.00</t>
  </si>
  <si>
    <t>55,500.00</t>
  </si>
  <si>
    <t>997,200.00</t>
  </si>
  <si>
    <t>140,648.00</t>
  </si>
  <si>
    <t>63,590.00</t>
  </si>
  <si>
    <t>59,486.00</t>
  </si>
  <si>
    <t>334,999.98</t>
  </si>
  <si>
    <t>4,718,528.60</t>
  </si>
  <si>
    <t>529,584.00</t>
  </si>
  <si>
    <t>88,426.00</t>
  </si>
  <si>
    <t>124,400.00</t>
  </si>
  <si>
    <t>456,335.00</t>
  </si>
  <si>
    <t>102,900.00</t>
  </si>
  <si>
    <t>102,750.00</t>
  </si>
  <si>
    <t>158,040.00</t>
  </si>
  <si>
    <t>52,315.00</t>
  </si>
  <si>
    <t>16,955,717.26</t>
  </si>
  <si>
    <t>177,068.00</t>
  </si>
  <si>
    <t>111,612.00</t>
  </si>
  <si>
    <t>198,912.00</t>
  </si>
  <si>
    <t>193,965.00</t>
  </si>
  <si>
    <t>62,692.55</t>
  </si>
  <si>
    <t>69,600.00</t>
  </si>
  <si>
    <t>123,000.00</t>
  </si>
  <si>
    <t>499,994.50</t>
  </si>
  <si>
    <t>597,000.00</t>
  </si>
  <si>
    <t>656,008.34</t>
  </si>
  <si>
    <t>78,313.00</t>
  </si>
  <si>
    <t>172,137.60</t>
  </si>
  <si>
    <t>244,010.00</t>
  </si>
  <si>
    <t>13,500.00</t>
  </si>
  <si>
    <t>137,500.00</t>
  </si>
  <si>
    <t>165,600.00</t>
  </si>
  <si>
    <t>225,660.00</t>
  </si>
  <si>
    <t>68,864.00</t>
  </si>
  <si>
    <t>75,960.00</t>
  </si>
  <si>
    <t>132,500.00</t>
  </si>
  <si>
    <t>90,575.00</t>
  </si>
  <si>
    <t>199,750.00</t>
  </si>
  <si>
    <t>199,250.00</t>
  </si>
  <si>
    <t>218,546.00</t>
  </si>
  <si>
    <t>2,140,939.00</t>
  </si>
  <si>
    <t>83,016.00</t>
  </si>
  <si>
    <t>226,475.40</t>
  </si>
  <si>
    <t>80,796.00</t>
  </si>
  <si>
    <t>19,200.00</t>
  </si>
  <si>
    <t>1,198,800.00</t>
  </si>
  <si>
    <t>1,122,445.67</t>
  </si>
  <si>
    <t>94,500.00</t>
  </si>
  <si>
    <t>109,650.00</t>
  </si>
  <si>
    <t>91,314.00</t>
  </si>
  <si>
    <t>465,000.00</t>
  </si>
  <si>
    <t>135,660.00</t>
  </si>
  <si>
    <t>673,920.00</t>
  </si>
  <si>
    <t>191,250.00</t>
  </si>
  <si>
    <t>340,000.00</t>
  </si>
  <si>
    <t>3,975.00</t>
  </si>
  <si>
    <t>101,320.00</t>
  </si>
  <si>
    <t>271,166.00</t>
  </si>
  <si>
    <t>146,860.00</t>
  </si>
  <si>
    <t>1,437,342.47</t>
  </si>
  <si>
    <t>24,916,629.00</t>
  </si>
  <si>
    <t>11,250,000.00</t>
  </si>
  <si>
    <t>90,880.00</t>
  </si>
  <si>
    <t>3,647,420.00</t>
  </si>
  <si>
    <t>421,279.00</t>
  </si>
  <si>
    <t>187,925.00</t>
  </si>
  <si>
    <t>113,211.00</t>
  </si>
  <si>
    <t>120,150.00</t>
  </si>
  <si>
    <t>92,280.00</t>
  </si>
  <si>
    <t>56,460.00</t>
  </si>
  <si>
    <t>109,998.00</t>
  </si>
  <si>
    <t>1,676,800.00</t>
  </si>
  <si>
    <t>95,842.50</t>
  </si>
  <si>
    <t>187,432.00</t>
  </si>
  <si>
    <t>35,000.00</t>
  </si>
  <si>
    <t>390,910.00</t>
  </si>
  <si>
    <t>582,353.49</t>
  </si>
  <si>
    <t>50,610.00</t>
  </si>
  <si>
    <t>63,623.00</t>
  </si>
  <si>
    <t>73,500.00</t>
  </si>
  <si>
    <t>158,495.00</t>
  </si>
  <si>
    <t>86,000.00</t>
  </si>
  <si>
    <t>7,500,000.00</t>
  </si>
  <si>
    <t>71,875.00</t>
  </si>
  <si>
    <t>133,594.50</t>
  </si>
  <si>
    <t>5,150,000.00</t>
  </si>
  <si>
    <t>1,325,300.00</t>
  </si>
  <si>
    <t>270,800.00</t>
  </si>
  <si>
    <t>120,492.00</t>
  </si>
  <si>
    <t>199,273.00</t>
  </si>
  <si>
    <t>68,600.00</t>
  </si>
  <si>
    <t>904,064.00</t>
  </si>
  <si>
    <t>965,800.00</t>
  </si>
  <si>
    <t>989,928.19</t>
  </si>
  <si>
    <t>490,000.00</t>
  </si>
  <si>
    <t>60,753.00</t>
  </si>
  <si>
    <t>250,000.12</t>
  </si>
  <si>
    <t>204,375.00</t>
  </si>
  <si>
    <t>89,640.00</t>
  </si>
  <si>
    <t>152,145.00</t>
  </si>
  <si>
    <t>151,007.36</t>
  </si>
  <si>
    <t>208,000.00</t>
  </si>
  <si>
    <t>56,925.00</t>
  </si>
  <si>
    <t>16,865.00</t>
  </si>
  <si>
    <t>204,481.00</t>
  </si>
  <si>
    <t>18,252.00</t>
  </si>
  <si>
    <t>149,955.00</t>
  </si>
  <si>
    <t>99,694.08</t>
  </si>
  <si>
    <t>273,300.00</t>
  </si>
  <si>
    <t>480,000.00</t>
  </si>
  <si>
    <t>460,800.00</t>
  </si>
  <si>
    <t>3,940,325.00</t>
  </si>
  <si>
    <t>59,278.00</t>
  </si>
  <si>
    <t>137,796.00</t>
  </si>
  <si>
    <t>172,500.00</t>
  </si>
  <si>
    <t>73,827.00</t>
  </si>
  <si>
    <t>8,561,435.78</t>
  </si>
  <si>
    <t>121,113.95</t>
  </si>
  <si>
    <t>685,815.00</t>
  </si>
  <si>
    <t>2,207,550.00</t>
  </si>
  <si>
    <t>57,660.00</t>
  </si>
  <si>
    <t>157,820.00</t>
  </si>
  <si>
    <t>982,793.00</t>
  </si>
  <si>
    <t>991,928.00</t>
  </si>
  <si>
    <t>240,870.00</t>
  </si>
  <si>
    <t>73,350.00</t>
  </si>
  <si>
    <t>227,000.00</t>
  </si>
  <si>
    <t>99,826.65</t>
  </si>
  <si>
    <t>183,116.37</t>
  </si>
  <si>
    <t>42,500.00</t>
  </si>
  <si>
    <t>2,992,500.00</t>
  </si>
  <si>
    <t>185,250.00</t>
  </si>
  <si>
    <t>308,960.40</t>
  </si>
  <si>
    <t>1,030,680.00</t>
  </si>
  <si>
    <t>250,840.00</t>
  </si>
  <si>
    <t>449,044.10</t>
  </si>
  <si>
    <t>92,645.00</t>
  </si>
  <si>
    <t>93,160.00</t>
  </si>
  <si>
    <t>904,184.00</t>
  </si>
  <si>
    <t>5,931,220.00</t>
  </si>
  <si>
    <t>8,789,999.45</t>
  </si>
  <si>
    <t>181,890.00</t>
  </si>
  <si>
    <t>991,825.00</t>
  </si>
  <si>
    <t>142,000.00</t>
  </si>
  <si>
    <t>92,650.00</t>
  </si>
  <si>
    <t>31,950.00</t>
  </si>
  <si>
    <t>184,000.00</t>
  </si>
  <si>
    <t>2,520,800.00</t>
  </si>
  <si>
    <t>177,498.00</t>
  </si>
  <si>
    <t>1,100,000.00</t>
  </si>
  <si>
    <t>450,450.00</t>
  </si>
  <si>
    <t>139,539.00</t>
  </si>
  <si>
    <t>65,883.00</t>
  </si>
  <si>
    <t>132,043.00</t>
  </si>
  <si>
    <t>82,042.00</t>
  </si>
  <si>
    <t>88,650.00</t>
  </si>
  <si>
    <t>822,553.00</t>
  </si>
  <si>
    <t>99,925.00</t>
  </si>
  <si>
    <t>112,054.00</t>
  </si>
  <si>
    <t>58,379.00</t>
  </si>
  <si>
    <t>330,097.84</t>
  </si>
  <si>
    <t>5,660,661.46</t>
  </si>
  <si>
    <t>199,999.75</t>
  </si>
  <si>
    <t>355,000.00</t>
  </si>
  <si>
    <t>62,400.00</t>
  </si>
  <si>
    <t>273,918.00</t>
  </si>
  <si>
    <t>215,097.00</t>
  </si>
  <si>
    <t>72,250.00</t>
  </si>
  <si>
    <t>67,833.75</t>
  </si>
  <si>
    <t>174,915.00</t>
  </si>
  <si>
    <t>181,314.00</t>
  </si>
  <si>
    <t>500,500.00</t>
  </si>
  <si>
    <t>1,336,655.00</t>
  </si>
  <si>
    <t>2,998,800.00</t>
  </si>
  <si>
    <t>139,899.00</t>
  </si>
  <si>
    <t>102,260.00</t>
  </si>
  <si>
    <t>74,553.50</t>
  </si>
  <si>
    <t>274,393.20</t>
  </si>
  <si>
    <t>27,561,144.54</t>
  </si>
  <si>
    <t>4,010,482.00</t>
  </si>
  <si>
    <t>252,700.00</t>
  </si>
  <si>
    <t>1,531,100.00</t>
  </si>
  <si>
    <t>78,092.37</t>
  </si>
  <si>
    <t>6,000.00</t>
  </si>
  <si>
    <t>78,092.38</t>
  </si>
  <si>
    <t>291,800.00</t>
  </si>
  <si>
    <t>982,666.66</t>
  </si>
  <si>
    <t>75,595.00</t>
  </si>
  <si>
    <t>584,775.00</t>
  </si>
  <si>
    <t>1,109,583.50</t>
  </si>
  <si>
    <t>56,100.00</t>
  </si>
  <si>
    <t>282,875,083.97</t>
  </si>
  <si>
    <t>475,840.00</t>
  </si>
  <si>
    <t>163,813.80</t>
  </si>
  <si>
    <t>706,650.00</t>
  </si>
  <si>
    <t>77,947.20</t>
  </si>
  <si>
    <t>61,700.00</t>
  </si>
  <si>
    <t>62,300.00</t>
  </si>
  <si>
    <t>525,000.00</t>
  </si>
  <si>
    <t>107,000.00</t>
  </si>
  <si>
    <t>73,940.00</t>
  </si>
  <si>
    <t>207,856.00</t>
  </si>
  <si>
    <t>625,591.00</t>
  </si>
  <si>
    <t>2,611,074.03</t>
  </si>
  <si>
    <t>97,339.49</t>
  </si>
  <si>
    <t>143,010.00</t>
  </si>
  <si>
    <t>2,994,000.00</t>
  </si>
  <si>
    <t>84,700.00</t>
  </si>
  <si>
    <t>360,811.97</t>
  </si>
  <si>
    <t>139,080.00</t>
  </si>
  <si>
    <t>153,315.00</t>
  </si>
  <si>
    <t>336,000.00</t>
  </si>
  <si>
    <t>394,700.00</t>
  </si>
  <si>
    <t>4,557,174.12</t>
  </si>
  <si>
    <t>215,748.50</t>
  </si>
  <si>
    <t>1,899,194.00</t>
  </si>
  <si>
    <t>149,870.00</t>
  </si>
  <si>
    <t>62,475.00</t>
  </si>
  <si>
    <t>6,294,100.00</t>
  </si>
  <si>
    <t>6,290,065.93</t>
  </si>
  <si>
    <t>55,490.00</t>
  </si>
  <si>
    <t>3,773,385.00</t>
  </si>
  <si>
    <t>59,700.00</t>
  </si>
  <si>
    <t>357,988.00</t>
  </si>
  <si>
    <t>8,647,834.29</t>
  </si>
  <si>
    <t>802,309.26</t>
  </si>
  <si>
    <t>10,550,740.07</t>
  </si>
  <si>
    <t>1,001,166.58</t>
  </si>
  <si>
    <t>46,845.00</t>
  </si>
  <si>
    <t>2,663,857.51</t>
  </si>
  <si>
    <t>453,270.00</t>
  </si>
  <si>
    <t>163,435.00</t>
  </si>
  <si>
    <t>127,698.00</t>
  </si>
  <si>
    <t>392,299.15</t>
  </si>
  <si>
    <t>11,074,685.00</t>
  </si>
  <si>
    <t>10,179,744.95</t>
  </si>
  <si>
    <t>1,448,891.60</t>
  </si>
  <si>
    <t>992,633.00</t>
  </si>
  <si>
    <t>30,415.00</t>
  </si>
  <si>
    <t>221,182.40</t>
  </si>
  <si>
    <t>103,465.00</t>
  </si>
  <si>
    <t>173,955.00</t>
  </si>
  <si>
    <t>118,715.00</t>
  </si>
  <si>
    <t>56,138.10</t>
  </si>
  <si>
    <t>117,660.00</t>
  </si>
  <si>
    <t>9,500.00</t>
  </si>
  <si>
    <t>997,934.00</t>
  </si>
  <si>
    <t>134,639.22</t>
  </si>
  <si>
    <t>19,000,000.00</t>
  </si>
  <si>
    <t>3,195,000.00</t>
  </si>
  <si>
    <t>2,900,000.00</t>
  </si>
  <si>
    <t>721,837.20</t>
  </si>
  <si>
    <t>160,655.00</t>
  </si>
  <si>
    <t>766,700.00</t>
  </si>
  <si>
    <t>40,000,000.00</t>
  </si>
  <si>
    <t>352,000.00</t>
  </si>
  <si>
    <t>265,061.52</t>
  </si>
  <si>
    <t>200,657.30</t>
  </si>
  <si>
    <t>936,500.00</t>
  </si>
  <si>
    <t>1,997,500.00</t>
  </si>
  <si>
    <t>471,000.00</t>
  </si>
  <si>
    <t>202,000.00</t>
  </si>
  <si>
    <t>236,000.00</t>
  </si>
  <si>
    <t>4,230,000.00</t>
  </si>
  <si>
    <t>598,500.00</t>
  </si>
  <si>
    <t>50,355.00</t>
  </si>
  <si>
    <t>66,500.00</t>
  </si>
  <si>
    <t>234,000.00</t>
  </si>
  <si>
    <t>716,520.00</t>
  </si>
  <si>
    <t>38,000,000.00</t>
  </si>
  <si>
    <t>816,900.00</t>
  </si>
  <si>
    <t>17,668,800.00</t>
  </si>
  <si>
    <t>60,250.00</t>
  </si>
  <si>
    <t>141,330.00</t>
  </si>
  <si>
    <t>111,580.00</t>
  </si>
  <si>
    <t>108,992.00</t>
  </si>
  <si>
    <t>1,441,000.00</t>
  </si>
  <si>
    <t>94,815.00</t>
  </si>
  <si>
    <t>2,016,500.00</t>
  </si>
  <si>
    <t>347,450.00</t>
  </si>
  <si>
    <t>2,490,868.98</t>
  </si>
  <si>
    <t>171,000.00</t>
  </si>
  <si>
    <t>64,570.00</t>
  </si>
  <si>
    <t>192,917.17</t>
  </si>
  <si>
    <t>328,319.00</t>
  </si>
  <si>
    <t>395,000.00</t>
  </si>
  <si>
    <t>857,850.00</t>
  </si>
  <si>
    <t>4,250,000.00</t>
  </si>
  <si>
    <t>1,325,900.00</t>
  </si>
  <si>
    <t>107,180.00</t>
  </si>
  <si>
    <t>53,086,223.00</t>
  </si>
  <si>
    <t>327,800.00</t>
  </si>
  <si>
    <t>247,440.16</t>
  </si>
  <si>
    <t>15,971,800.00</t>
  </si>
  <si>
    <t>212,495.00</t>
  </si>
  <si>
    <t>221,145.00</t>
  </si>
  <si>
    <t>3,954,136.55</t>
  </si>
  <si>
    <t>5,471,817.20</t>
  </si>
  <si>
    <t>487,500.00</t>
  </si>
  <si>
    <t>7,709,500.00</t>
  </si>
  <si>
    <t>1,251,000.00</t>
  </si>
  <si>
    <t>2,013,500.00</t>
  </si>
  <si>
    <t>299,000.00</t>
  </si>
  <si>
    <t>2,042,000.00</t>
  </si>
  <si>
    <t>56,500.00</t>
  </si>
  <si>
    <t>283,477.69</t>
  </si>
  <si>
    <t>595,000.00</t>
  </si>
  <si>
    <t>338,533.00</t>
  </si>
  <si>
    <t>6,500,000.00</t>
  </si>
  <si>
    <t>5,102,404.35</t>
  </si>
  <si>
    <t>79,800,000.00</t>
  </si>
  <si>
    <t>124,970.00</t>
  </si>
  <si>
    <t>120,834.51</t>
  </si>
  <si>
    <t>149,400.00</t>
  </si>
  <si>
    <t>1,732,200.00</t>
  </si>
  <si>
    <t>166,700.56</t>
  </si>
  <si>
    <t>318,210.00</t>
  </si>
  <si>
    <t>179,500.00</t>
  </si>
  <si>
    <t>1,580,400.00</t>
  </si>
  <si>
    <t>812,500.00</t>
  </si>
  <si>
    <t>955,000.00</t>
  </si>
  <si>
    <t>777,000.00</t>
  </si>
  <si>
    <t>10,540,000.00</t>
  </si>
  <si>
    <t>2,250,000.00</t>
  </si>
  <si>
    <t>143,910.00</t>
  </si>
  <si>
    <t>5,285,000.00</t>
  </si>
  <si>
    <t>60,190.00</t>
  </si>
  <si>
    <t>4,633,500.00</t>
  </si>
  <si>
    <t>1,945,000.00</t>
  </si>
  <si>
    <t>2,392,000.00</t>
  </si>
  <si>
    <t>4,865,000.00</t>
  </si>
  <si>
    <t>14,999,757.37</t>
  </si>
  <si>
    <t>187,000.00</t>
  </si>
  <si>
    <t>1,260,215.00</t>
  </si>
  <si>
    <t>454,592.26</t>
  </si>
  <si>
    <t>577,500.00</t>
  </si>
  <si>
    <t>24,375,112.56</t>
  </si>
  <si>
    <t>199,994.50</t>
  </si>
  <si>
    <t>9,993,283.24</t>
  </si>
  <si>
    <t>1,013,510.00</t>
  </si>
  <si>
    <t>5,381,063.73</t>
  </si>
  <si>
    <t>165,352.00</t>
  </si>
  <si>
    <t>89,500.00</t>
  </si>
  <si>
    <t>100,660.00</t>
  </si>
  <si>
    <t>46,831,192.72</t>
  </si>
  <si>
    <t>7,216,964.86</t>
  </si>
  <si>
    <t>5,129,807.45</t>
  </si>
  <si>
    <t>839,999.00</t>
  </si>
  <si>
    <t>74,900.00</t>
  </si>
  <si>
    <t>8,859,665.00</t>
  </si>
  <si>
    <t>105,350.00</t>
  </si>
  <si>
    <t>614,000.00</t>
  </si>
  <si>
    <t>10,093,785.75</t>
  </si>
  <si>
    <t>4,861,597.00</t>
  </si>
  <si>
    <t>532,865.50</t>
  </si>
  <si>
    <t>51,550.00</t>
  </si>
  <si>
    <t>4,987,565.70</t>
  </si>
  <si>
    <t>149,833,333.54</t>
  </si>
  <si>
    <t>5,075,556.19</t>
  </si>
  <si>
    <t>267,777.56</t>
  </si>
  <si>
    <t>136,500.00</t>
  </si>
  <si>
    <t>2,150,000.00</t>
  </si>
  <si>
    <t>28,455,000.00</t>
  </si>
  <si>
    <t>6,182,253.75</t>
  </si>
  <si>
    <t>125,450,000.00</t>
  </si>
  <si>
    <t>300,150.00</t>
  </si>
  <si>
    <t>698,400.00</t>
  </si>
  <si>
    <t>57,488,956.78</t>
  </si>
  <si>
    <t>7,320,968.20</t>
  </si>
  <si>
    <t>455,080.00</t>
  </si>
  <si>
    <t>18,182,048.95</t>
  </si>
  <si>
    <t>81,646,486.00</t>
  </si>
  <si>
    <t>11,463,210.00</t>
  </si>
  <si>
    <t>940,000.00</t>
  </si>
  <si>
    <t>63,387,037.95</t>
  </si>
  <si>
    <t>68,568.15</t>
  </si>
  <si>
    <t>6,383,300.00</t>
  </si>
  <si>
    <t>106,320.00</t>
  </si>
  <si>
    <t>470,000.00</t>
  </si>
  <si>
    <t>497,472.00</t>
  </si>
  <si>
    <t>49,500.00</t>
  </si>
  <si>
    <t>2,897,820.00</t>
  </si>
  <si>
    <t>8,910,000.00</t>
  </si>
  <si>
    <t>36,000.00</t>
  </si>
  <si>
    <t>22,000,000.00</t>
  </si>
  <si>
    <t>6,334,830.00</t>
  </si>
  <si>
    <t>862,000.00</t>
  </si>
  <si>
    <t>386,100.00</t>
  </si>
  <si>
    <t>2,399,904.00</t>
  </si>
  <si>
    <t>1,323,331.80</t>
  </si>
  <si>
    <t>78,750.00</t>
  </si>
  <si>
    <t>92,750.00</t>
  </si>
  <si>
    <t>19,326,507.00</t>
  </si>
  <si>
    <t>28,370,371.99</t>
  </si>
  <si>
    <t>8,400.00</t>
  </si>
  <si>
    <t>2,500.00</t>
  </si>
  <si>
    <t>10,405,108.10</t>
  </si>
  <si>
    <t>107,100.00</t>
  </si>
  <si>
    <t>65,378.50</t>
  </si>
  <si>
    <t>557,650.00</t>
  </si>
  <si>
    <t>568,175.00</t>
  </si>
  <si>
    <t>34,637,564.00</t>
  </si>
  <si>
    <t>356,000.00</t>
  </si>
  <si>
    <t>1,523,314.38</t>
  </si>
  <si>
    <t>742,600.00</t>
  </si>
  <si>
    <t>6,245,000.00</t>
  </si>
  <si>
    <t>954,350.26</t>
  </si>
  <si>
    <t>99,950.00</t>
  </si>
  <si>
    <t>119,407.00</t>
  </si>
  <si>
    <t>904,500.00</t>
  </si>
  <si>
    <t>557,500.00</t>
  </si>
  <si>
    <t>25,000,000.00</t>
  </si>
  <si>
    <t>271,060.00</t>
  </si>
  <si>
    <t>16,000.00</t>
  </si>
  <si>
    <t>1,250,000.00</t>
  </si>
  <si>
    <t>83,317.50</t>
  </si>
  <si>
    <t>1,670,000.00</t>
  </si>
  <si>
    <t>965,000.00</t>
  </si>
  <si>
    <t>2,563,500.00</t>
  </si>
  <si>
    <t>60,855.00</t>
  </si>
  <si>
    <t>102,212.00</t>
  </si>
  <si>
    <t>5,880,000.00</t>
  </si>
  <si>
    <t>50,553.00</t>
  </si>
  <si>
    <t>726,305.94</t>
  </si>
  <si>
    <t>6,999,322.40</t>
  </si>
  <si>
    <t>179,178.00</t>
  </si>
  <si>
    <t>198,400.00</t>
  </si>
  <si>
    <t>1,770,724.59</t>
  </si>
  <si>
    <t>398,000.00</t>
  </si>
  <si>
    <t>79,200.00</t>
  </si>
  <si>
    <t>660,039.93</t>
  </si>
  <si>
    <t>234,320.00</t>
  </si>
  <si>
    <t>34,000.00</t>
  </si>
  <si>
    <t>272,704.80</t>
  </si>
  <si>
    <t>180,100.00</t>
  </si>
  <si>
    <t>16,600.00</t>
  </si>
  <si>
    <t>130,850.00</t>
  </si>
  <si>
    <t>32,400.00</t>
  </si>
  <si>
    <t>960.00</t>
  </si>
  <si>
    <t>19,230.00</t>
  </si>
  <si>
    <t>42,320.00</t>
  </si>
  <si>
    <t>36,895.00</t>
  </si>
  <si>
    <t>49,280.00</t>
  </si>
  <si>
    <t>42,600.00</t>
  </si>
  <si>
    <t>143,268.00</t>
  </si>
  <si>
    <t>646,511.41</t>
  </si>
  <si>
    <t>832.00</t>
  </si>
  <si>
    <t>473,830.00</t>
  </si>
  <si>
    <t>2,089,499.06</t>
  </si>
  <si>
    <t>3,473,763.64</t>
  </si>
  <si>
    <t>113,750.00</t>
  </si>
  <si>
    <t>497,499.99</t>
  </si>
  <si>
    <t>383,000.00</t>
  </si>
  <si>
    <t>271,527.20</t>
  </si>
  <si>
    <t>845,000.00</t>
  </si>
  <si>
    <t>302,000.00</t>
  </si>
  <si>
    <t>7,760.00</t>
  </si>
  <si>
    <t>409,871.86</t>
  </si>
  <si>
    <t>110,982.18</t>
  </si>
  <si>
    <t>56,653.25</t>
  </si>
  <si>
    <t>56,112.00</t>
  </si>
  <si>
    <t>95,450.00</t>
  </si>
  <si>
    <t>1,142,539.48</t>
  </si>
  <si>
    <t>420,300.00</t>
  </si>
  <si>
    <t>26,884,013.50</t>
  </si>
  <si>
    <t>236,310.00</t>
  </si>
  <si>
    <t>468,000.00</t>
  </si>
  <si>
    <t>68,105.00</t>
  </si>
  <si>
    <t>7,980.00</t>
  </si>
  <si>
    <t>185,100.00</t>
  </si>
  <si>
    <t>438,000.00</t>
  </si>
  <si>
    <t>1,592,252.55</t>
  </si>
  <si>
    <t>2,961,683.00</t>
  </si>
  <si>
    <t>93,000.00</t>
  </si>
  <si>
    <t>0.00</t>
  </si>
  <si>
    <t>202,500.00</t>
  </si>
  <si>
    <t>112,125.00</t>
  </si>
  <si>
    <t>65,975.00</t>
  </si>
  <si>
    <t>100,630.00</t>
  </si>
  <si>
    <t>69,982.46</t>
  </si>
  <si>
    <t>122,400.00</t>
  </si>
  <si>
    <t>158,750.00</t>
  </si>
  <si>
    <t>206,930.00</t>
  </si>
  <si>
    <t>3,465,000.00</t>
  </si>
  <si>
    <t>30,722,000.00</t>
  </si>
  <si>
    <t>79,995.00</t>
  </si>
  <si>
    <t>659,600.00</t>
  </si>
  <si>
    <t>217,550.00</t>
  </si>
  <si>
    <t>129,999.80</t>
  </si>
  <si>
    <t>75,600.00</t>
  </si>
  <si>
    <t>218,210.50</t>
  </si>
  <si>
    <t>469,000.00</t>
  </si>
  <si>
    <t>53,979.00</t>
  </si>
  <si>
    <t>62,758.36</t>
  </si>
  <si>
    <t>584,000.00</t>
  </si>
  <si>
    <t>10,981,989.98</t>
  </si>
  <si>
    <t>143,700.00</t>
  </si>
  <si>
    <t>46,650.00</t>
  </si>
  <si>
    <t>58,448.00</t>
  </si>
  <si>
    <t>43,010.00</t>
  </si>
  <si>
    <t>446,880.00</t>
  </si>
  <si>
    <t>53,150.00</t>
  </si>
  <si>
    <t>522,000.00</t>
  </si>
  <si>
    <t>1,572,022.83</t>
  </si>
  <si>
    <t>74,520.00</t>
  </si>
  <si>
    <t>10,871,416.00</t>
  </si>
  <si>
    <t>419,500.00</t>
  </si>
  <si>
    <t>4,999,661.61</t>
  </si>
  <si>
    <t>188,760.00</t>
  </si>
  <si>
    <t>44,513.00</t>
  </si>
  <si>
    <t>267,000.00</t>
  </si>
  <si>
    <t>176,485.00</t>
  </si>
  <si>
    <t>53,183.00</t>
  </si>
  <si>
    <t>123,803.50</t>
  </si>
  <si>
    <t>16,205.00</t>
  </si>
  <si>
    <t>73,000.00</t>
  </si>
  <si>
    <t>315,300.00</t>
  </si>
  <si>
    <t>143,640.00</t>
  </si>
  <si>
    <t>297,400.00</t>
  </si>
  <si>
    <t>69,116.00</t>
  </si>
  <si>
    <t>48,700.00</t>
  </si>
  <si>
    <t>99,668.44</t>
  </si>
  <si>
    <t>620,000.00</t>
  </si>
  <si>
    <t>295,220.00</t>
  </si>
  <si>
    <t>783,336.00</t>
  </si>
  <si>
    <t>344,785.20</t>
  </si>
  <si>
    <t>209,700.00</t>
  </si>
  <si>
    <t>36,100.00</t>
  </si>
  <si>
    <t>22,000.00</t>
  </si>
  <si>
    <t>15,400.00</t>
  </si>
  <si>
    <t>477,074.50</t>
  </si>
  <si>
    <t>186,835.60</t>
  </si>
  <si>
    <t>197,691.00</t>
  </si>
  <si>
    <t>69,000.00</t>
  </si>
  <si>
    <t>247,915.00</t>
  </si>
  <si>
    <t>66,900.00</t>
  </si>
  <si>
    <t>9,300.00</t>
  </si>
  <si>
    <t>54,169.00</t>
  </si>
  <si>
    <t>202,240.00</t>
  </si>
  <si>
    <t>96,335.00</t>
  </si>
  <si>
    <t>99,500.00</t>
  </si>
  <si>
    <t>62,558.00</t>
  </si>
  <si>
    <t>152,670.00</t>
  </si>
  <si>
    <t>99,535.00</t>
  </si>
  <si>
    <t>122,500.00</t>
  </si>
  <si>
    <t>145,771.00</t>
  </si>
  <si>
    <t>273,915.50</t>
  </si>
  <si>
    <t>747,674.00</t>
  </si>
  <si>
    <t>25,944.89</t>
  </si>
  <si>
    <t>243,620.00</t>
  </si>
  <si>
    <t>138,334.00</t>
  </si>
  <si>
    <t>1,728,000.00</t>
  </si>
  <si>
    <t>88,030.00</t>
  </si>
  <si>
    <t>676,690.00</t>
  </si>
  <si>
    <t>28,000.00</t>
  </si>
  <si>
    <t>187,674.00</t>
  </si>
  <si>
    <t>255,500.00</t>
  </si>
  <si>
    <t>407,805.00</t>
  </si>
  <si>
    <t>980,000.00</t>
  </si>
  <si>
    <t>132,195.00</t>
  </si>
  <si>
    <t>93,750.00</t>
  </si>
  <si>
    <t>56,400.00</t>
  </si>
  <si>
    <t>127,336.30</t>
  </si>
  <si>
    <t>72,605.00</t>
  </si>
  <si>
    <t>1,849,996.82</t>
  </si>
  <si>
    <t>62,739.20</t>
  </si>
  <si>
    <t>393,533.83</t>
  </si>
  <si>
    <t>47,395,368.35</t>
  </si>
  <si>
    <t>98,500.00</t>
  </si>
  <si>
    <t>1,465,698.44</t>
  </si>
  <si>
    <t>365,200.00</t>
  </si>
  <si>
    <t>362,670.00</t>
  </si>
  <si>
    <t>415,660.00</t>
  </si>
  <si>
    <t>13,320,785.43</t>
  </si>
  <si>
    <t>86,780.00</t>
  </si>
  <si>
    <t>999,600.00</t>
  </si>
  <si>
    <t>99,988.00</t>
  </si>
  <si>
    <t>491,287.23</t>
  </si>
  <si>
    <t>125,500.00</t>
  </si>
  <si>
    <t>220,224.60</t>
  </si>
  <si>
    <t>1,261,535.80</t>
  </si>
  <si>
    <t>61,250.00</t>
  </si>
  <si>
    <t>75,680.00</t>
  </si>
  <si>
    <t>199,700.00</t>
  </si>
  <si>
    <t>52,520.00</t>
  </si>
  <si>
    <t>456,000.00</t>
  </si>
  <si>
    <t>67,550.00</t>
  </si>
  <si>
    <t>98,760.00</t>
  </si>
  <si>
    <t>18,030.00</t>
  </si>
  <si>
    <t>96,400.00</t>
  </si>
  <si>
    <t>76,530.00</t>
  </si>
  <si>
    <t>128,750.00</t>
  </si>
  <si>
    <t>301,330.40</t>
  </si>
  <si>
    <t>647,000.00</t>
  </si>
  <si>
    <t>74,840.00</t>
  </si>
  <si>
    <t>21,000.00</t>
  </si>
  <si>
    <t>92,560.00</t>
  </si>
  <si>
    <t>104,629.50</t>
  </si>
  <si>
    <t>372,030.00</t>
  </si>
  <si>
    <t>11,999,690.00</t>
  </si>
  <si>
    <t>20,025.00</t>
  </si>
  <si>
    <t>59,996.00</t>
  </si>
  <si>
    <t>697,654.39</t>
  </si>
  <si>
    <t>264,045.00</t>
  </si>
  <si>
    <t>23,520,000.00</t>
  </si>
  <si>
    <t>676,332.00</t>
  </si>
  <si>
    <t>50,107,812.33</t>
  </si>
  <si>
    <t>241,200.00</t>
  </si>
  <si>
    <t>67,662.00</t>
  </si>
  <si>
    <t>2,659,898.60</t>
  </si>
  <si>
    <t>9,786,459.85</t>
  </si>
  <si>
    <t>63,995.00</t>
  </si>
  <si>
    <t>104,995.00</t>
  </si>
  <si>
    <t>533,600.00</t>
  </si>
  <si>
    <t>266,500.00</t>
  </si>
  <si>
    <t>124,177.00</t>
  </si>
  <si>
    <t>181,000.00</t>
  </si>
  <si>
    <t>353,200.00</t>
  </si>
  <si>
    <t>626,914.50</t>
  </si>
  <si>
    <t>197,928.13</t>
  </si>
  <si>
    <t>430,735.00</t>
  </si>
  <si>
    <t>101,695.00</t>
  </si>
  <si>
    <t>126,906.00</t>
  </si>
  <si>
    <t>50,233.00</t>
  </si>
  <si>
    <t>5,588,839.24</t>
  </si>
  <si>
    <t>610,050.00</t>
  </si>
  <si>
    <t>585,000.00</t>
  </si>
  <si>
    <t>3,220,000.00</t>
  </si>
  <si>
    <t>707,652.49</t>
  </si>
  <si>
    <t>867,000.00</t>
  </si>
  <si>
    <t>1,834,078.24</t>
  </si>
  <si>
    <t>632,200.00</t>
  </si>
  <si>
    <t>72,600.00</t>
  </si>
  <si>
    <t>118,800.00</t>
  </si>
  <si>
    <t>1,177,200.00</t>
  </si>
  <si>
    <t>148,658.94</t>
  </si>
  <si>
    <t>1,430,000.00</t>
  </si>
  <si>
    <t>254,500.00</t>
  </si>
  <si>
    <t>197,685.66</t>
  </si>
  <si>
    <t>166,850.00</t>
  </si>
  <si>
    <t>36,079,249.15</t>
  </si>
  <si>
    <t>105,750.00</t>
  </si>
  <si>
    <t>129,000.00</t>
  </si>
  <si>
    <t>80,500.00</t>
  </si>
  <si>
    <t>197,384.93</t>
  </si>
  <si>
    <t>971,753.37</t>
  </si>
  <si>
    <t>1,210.00</t>
  </si>
  <si>
    <t>791,899.51</t>
  </si>
  <si>
    <t>148,206.70</t>
  </si>
  <si>
    <t>33,353.00</t>
  </si>
  <si>
    <t>116,590.00</t>
  </si>
  <si>
    <t>1,415,678.05</t>
  </si>
  <si>
    <t>109,610.00</t>
  </si>
  <si>
    <t>746,000.00</t>
  </si>
  <si>
    <t>332,830.00</t>
  </si>
  <si>
    <t>87,775.00</t>
  </si>
  <si>
    <t>4,088,040.00</t>
  </si>
  <si>
    <t>1,296,410.00</t>
  </si>
  <si>
    <t>971,119.70</t>
  </si>
  <si>
    <t>11,550.00</t>
  </si>
  <si>
    <t>502,714.29</t>
  </si>
  <si>
    <t>162,571.98</t>
  </si>
  <si>
    <t>5,133,023.79</t>
  </si>
  <si>
    <t>7,470,000.00</t>
  </si>
  <si>
    <t>970,937.88</t>
  </si>
  <si>
    <t>370,890.00</t>
  </si>
  <si>
    <t>32,915.40</t>
  </si>
  <si>
    <t>106,966.00</t>
  </si>
  <si>
    <t>117,120.00</t>
  </si>
  <si>
    <t>757,000.00</t>
  </si>
  <si>
    <t>554,700.00</t>
  </si>
  <si>
    <t>102,635.60</t>
  </si>
  <si>
    <t>163,150.00</t>
  </si>
  <si>
    <t>66,227.00</t>
  </si>
  <si>
    <t>340,304.00</t>
  </si>
  <si>
    <t>579,925.00</t>
  </si>
  <si>
    <t>53,273.05</t>
  </si>
  <si>
    <t>125,700.00</t>
  </si>
  <si>
    <t>188,500.00</t>
  </si>
  <si>
    <t>34,900.00</t>
  </si>
  <si>
    <t>500,150.00</t>
  </si>
  <si>
    <t>2,813,937.47</t>
  </si>
  <si>
    <t>96,990.00</t>
  </si>
  <si>
    <t>498,880.00</t>
  </si>
  <si>
    <t>415,876.00</t>
  </si>
  <si>
    <t>3,008,000.00</t>
  </si>
  <si>
    <t>99,960.00</t>
  </si>
  <si>
    <t>427,212.00</t>
  </si>
  <si>
    <t>154,715.00</t>
  </si>
  <si>
    <t>996,169.10</t>
  </si>
  <si>
    <t>3,876,000.00</t>
  </si>
  <si>
    <t>276,502.00</t>
  </si>
  <si>
    <t>327,000.00</t>
  </si>
  <si>
    <t>510,000.00</t>
  </si>
  <si>
    <t>98,842.83</t>
  </si>
  <si>
    <t>233,800.00</t>
  </si>
  <si>
    <t>291,351.00</t>
  </si>
  <si>
    <t>193,192.02</t>
  </si>
  <si>
    <t>121,147.60</t>
  </si>
  <si>
    <t>3,184,000.00</t>
  </si>
  <si>
    <t>246,000.00</t>
  </si>
  <si>
    <t>669,503.25</t>
  </si>
  <si>
    <t>726,600.00</t>
  </si>
  <si>
    <t>72,185.00</t>
  </si>
  <si>
    <t>27,393.90</t>
  </si>
  <si>
    <t>1,165,000.00</t>
  </si>
  <si>
    <t>492,700.00</t>
  </si>
  <si>
    <t>3,999,999.20</t>
  </si>
  <si>
    <t>30,710.00</t>
  </si>
  <si>
    <t>952,750.00</t>
  </si>
  <si>
    <t>637,500.00</t>
  </si>
  <si>
    <t>680,000.00</t>
  </si>
  <si>
    <t>10,084.00</t>
  </si>
  <si>
    <t>585,145.00</t>
  </si>
  <si>
    <t>1,242,493.50</t>
  </si>
  <si>
    <t>4,849,000.00</t>
  </si>
  <si>
    <t>4,700,000.00</t>
  </si>
  <si>
    <t>97,000.00</t>
  </si>
  <si>
    <t>223,000.00</t>
  </si>
  <si>
    <t>107,070.00</t>
  </si>
  <si>
    <t>242,280.00</t>
  </si>
  <si>
    <t>756,250.00</t>
  </si>
  <si>
    <t>14,951,994.30</t>
  </si>
  <si>
    <t>74,535.00</t>
  </si>
  <si>
    <t>308,000.00</t>
  </si>
  <si>
    <t>67,320.00</t>
  </si>
  <si>
    <t>789,000.00</t>
  </si>
  <si>
    <t>597,129.75</t>
  </si>
  <si>
    <t>42,000.00</t>
  </si>
  <si>
    <t>189,000.00</t>
  </si>
  <si>
    <t>40,872.80</t>
  </si>
  <si>
    <t>189,500.00</t>
  </si>
  <si>
    <t>30,019.00</t>
  </si>
  <si>
    <t>395,500.00</t>
  </si>
  <si>
    <t>632,972.38</t>
  </si>
  <si>
    <t>938,799.87</t>
  </si>
  <si>
    <t>348,450.00</t>
  </si>
  <si>
    <t>5,064,000.00</t>
  </si>
  <si>
    <t>161,300.00</t>
  </si>
  <si>
    <t>451,775.00</t>
  </si>
  <si>
    <t>2,458,245.00</t>
  </si>
  <si>
    <t>122,000.00</t>
  </si>
  <si>
    <t>449,793.97</t>
  </si>
  <si>
    <t>279,380.00</t>
  </si>
  <si>
    <t>521,490.00</t>
  </si>
  <si>
    <t>2,491,545.00</t>
  </si>
  <si>
    <t>336,400.00</t>
  </si>
  <si>
    <t>263,870.00</t>
  </si>
  <si>
    <t>59,000.00</t>
  </si>
  <si>
    <t>161,000.00</t>
  </si>
  <si>
    <t>1,384,500.00</t>
  </si>
  <si>
    <t>3,415,200.00</t>
  </si>
  <si>
    <t>548,150.00</t>
  </si>
  <si>
    <t>131,232.00</t>
  </si>
  <si>
    <t>249,920.00</t>
  </si>
  <si>
    <t>376,946.02</t>
  </si>
  <si>
    <t>129,431.30</t>
  </si>
  <si>
    <t>52,725.00</t>
  </si>
  <si>
    <t>116,200.00</t>
  </si>
  <si>
    <t>888,320.00</t>
  </si>
  <si>
    <t>83,090.24</t>
  </si>
  <si>
    <t>1,344,600.00</t>
  </si>
  <si>
    <t>7,110,000.00</t>
  </si>
  <si>
    <t>755,106.00</t>
  </si>
  <si>
    <t>229,513.50</t>
  </si>
  <si>
    <t>283,500.00</t>
  </si>
  <si>
    <t>399,600.00</t>
  </si>
  <si>
    <t>12,000,000.00</t>
  </si>
  <si>
    <t>77,988.00</t>
  </si>
  <si>
    <t>149,800.00</t>
  </si>
  <si>
    <t>354,376.25</t>
  </si>
  <si>
    <t>249,980.00</t>
  </si>
  <si>
    <t>34,300,000.00</t>
  </si>
  <si>
    <t>992,919.60</t>
  </si>
  <si>
    <t>11,391,478.60</t>
  </si>
  <si>
    <t>1,684,600.00</t>
  </si>
  <si>
    <t>531,000.00</t>
  </si>
  <si>
    <t>245,400.00</t>
  </si>
  <si>
    <t>72,550.00</t>
  </si>
  <si>
    <t>204,750.00</t>
  </si>
  <si>
    <t>167,500.00</t>
  </si>
  <si>
    <t>773,500.00</t>
  </si>
  <si>
    <t>107,017.41</t>
  </si>
  <si>
    <t>1,408,000.00</t>
  </si>
  <si>
    <t>214,508.89</t>
  </si>
  <si>
    <t>1,108,000.00</t>
  </si>
  <si>
    <t>1,572,000.00</t>
  </si>
  <si>
    <t>120,300.00</t>
  </si>
  <si>
    <t>319,370.00</t>
  </si>
  <si>
    <t>1,555,635.74</t>
  </si>
  <si>
    <t>199,000.00</t>
  </si>
  <si>
    <t>2,113,572.00</t>
  </si>
  <si>
    <t>251,324.00</t>
  </si>
  <si>
    <t>17,635.00</t>
  </si>
  <si>
    <t>151,700.00</t>
  </si>
  <si>
    <t>140,073.00</t>
  </si>
  <si>
    <t>79,945.00</t>
  </si>
  <si>
    <t>6,300,000.00</t>
  </si>
  <si>
    <t>103,981.50</t>
  </si>
  <si>
    <t>954,162.00</t>
  </si>
  <si>
    <t>63,110.00</t>
  </si>
  <si>
    <t>289,000.00</t>
  </si>
  <si>
    <t>203,100.00</t>
  </si>
  <si>
    <t>118,680.00</t>
  </si>
  <si>
    <t>327,500.00</t>
  </si>
  <si>
    <t>139,448.63</t>
  </si>
  <si>
    <t>932,399.21</t>
  </si>
  <si>
    <t>130,935.30</t>
  </si>
  <si>
    <t>199,500.00</t>
  </si>
  <si>
    <t>170,068.00</t>
  </si>
  <si>
    <t>127,258.02</t>
  </si>
  <si>
    <t>297,000.00</t>
  </si>
  <si>
    <t>16,240.00</t>
  </si>
  <si>
    <t>214,900.00</t>
  </si>
  <si>
    <t>1,711,781.00</t>
  </si>
  <si>
    <t>23,642.85</t>
  </si>
  <si>
    <t>17,955,000.00</t>
  </si>
  <si>
    <t>199,360.47</t>
  </si>
  <si>
    <t>59,270.00</t>
  </si>
  <si>
    <t>61,310.00</t>
  </si>
  <si>
    <t>67,720.00</t>
  </si>
  <si>
    <t>196,806.75</t>
  </si>
  <si>
    <t>72,750.00</t>
  </si>
  <si>
    <t>288,000.00</t>
  </si>
  <si>
    <t>58,290.00</t>
  </si>
  <si>
    <t>208,600.00</t>
  </si>
  <si>
    <t>58,101.00</t>
  </si>
  <si>
    <t>240,988.00</t>
  </si>
  <si>
    <t>669,990.00</t>
  </si>
  <si>
    <t>481,292.80</t>
  </si>
  <si>
    <t>238,108.50</t>
  </si>
  <si>
    <t>465,200.00</t>
  </si>
  <si>
    <t>16,383,231.15</t>
  </si>
  <si>
    <t>345,327.31</t>
  </si>
  <si>
    <t>302,600.00</t>
  </si>
  <si>
    <t>249,369.50</t>
  </si>
  <si>
    <t>28,970.00</t>
  </si>
  <si>
    <t>22,942,212.50</t>
  </si>
  <si>
    <t>1,198,879.96</t>
  </si>
  <si>
    <t>92,790.70</t>
  </si>
  <si>
    <t>50,400.00</t>
  </si>
  <si>
    <t>13,642,838.48</t>
  </si>
  <si>
    <t>615,000.00</t>
  </si>
  <si>
    <t>2,028,180.00</t>
  </si>
  <si>
    <t>230,726.00</t>
  </si>
  <si>
    <t>1,535,000.00</t>
  </si>
  <si>
    <t>70,720.00</t>
  </si>
  <si>
    <t>84,180.00</t>
  </si>
  <si>
    <t>95,600.00</t>
  </si>
  <si>
    <t>199,775.00</t>
  </si>
  <si>
    <t>682,000.00</t>
  </si>
  <si>
    <t>187,264.00</t>
  </si>
  <si>
    <t>136,060.00</t>
  </si>
  <si>
    <t>5,172,533.10</t>
  </si>
  <si>
    <t>1,800.00</t>
  </si>
  <si>
    <t>1,990.00</t>
  </si>
  <si>
    <t>5,205,628.72</t>
  </si>
  <si>
    <t>63,000.00</t>
  </si>
  <si>
    <t>5,030,588.44</t>
  </si>
  <si>
    <t>306,591.76</t>
  </si>
  <si>
    <t>12,002,000.00</t>
  </si>
  <si>
    <t>324,030.00</t>
  </si>
  <si>
    <t>253,457.76</t>
  </si>
  <si>
    <t>60,972.00</t>
  </si>
  <si>
    <t>249,035.00</t>
  </si>
  <si>
    <t>499,941.96</t>
  </si>
  <si>
    <t>569,900.00</t>
  </si>
  <si>
    <t>435,650.00</t>
  </si>
  <si>
    <t>620,539.58</t>
  </si>
  <si>
    <t>365,220.00</t>
  </si>
  <si>
    <t>533,500.80</t>
  </si>
  <si>
    <t>22,633,472.33</t>
  </si>
  <si>
    <t>8,777,890.00</t>
  </si>
  <si>
    <t>2,204,998.39</t>
  </si>
  <si>
    <t>377,274.00</t>
  </si>
  <si>
    <t>375,640.00</t>
  </si>
  <si>
    <t>998,250.00</t>
  </si>
  <si>
    <t>1,535,998.11</t>
  </si>
  <si>
    <t>99,375.00</t>
  </si>
  <si>
    <t>564,710.00</t>
  </si>
  <si>
    <t>511,700.00</t>
  </si>
  <si>
    <t>559,000.00</t>
  </si>
  <si>
    <t>87,450.00</t>
  </si>
  <si>
    <t>726,000.00</t>
  </si>
  <si>
    <t>1,740,000.00</t>
  </si>
  <si>
    <t>569,200.00</t>
  </si>
  <si>
    <t>2,999,999.46</t>
  </si>
  <si>
    <t>249,755.75</t>
  </si>
  <si>
    <t>137,530.00</t>
  </si>
  <si>
    <t>640,900.00</t>
  </si>
  <si>
    <t>5,556,257.42</t>
  </si>
  <si>
    <t>62,487.00</t>
  </si>
  <si>
    <t>130,264.63</t>
  </si>
  <si>
    <t>938,310.00</t>
  </si>
  <si>
    <t>76,511,350.97</t>
  </si>
  <si>
    <t>99,580.00</t>
  </si>
  <si>
    <t>149,863.25</t>
  </si>
  <si>
    <t>3,600,000.00</t>
  </si>
  <si>
    <t>172,000.00</t>
  </si>
  <si>
    <t>2,854,000.00</t>
  </si>
  <si>
    <t>97,204.60</t>
  </si>
  <si>
    <t>499,200.00</t>
  </si>
  <si>
    <t>99,975.00</t>
  </si>
  <si>
    <t>636,670.78</t>
  </si>
  <si>
    <t>502,632.35</t>
  </si>
  <si>
    <t>97,219.00</t>
  </si>
  <si>
    <t>970,731.28</t>
  </si>
  <si>
    <t>112,219.00</t>
  </si>
  <si>
    <t>3,407,400.89</t>
  </si>
  <si>
    <t>81,300.00</t>
  </si>
  <si>
    <t>1,494,803.77</t>
  </si>
  <si>
    <t>486,350.00</t>
  </si>
  <si>
    <t>54,800.00</t>
  </si>
  <si>
    <t>199,950.00</t>
  </si>
  <si>
    <t>410,620.00</t>
  </si>
  <si>
    <t>42,481.60</t>
  </si>
  <si>
    <t>649,080.00</t>
  </si>
  <si>
    <t>741,500.00</t>
  </si>
  <si>
    <t>14,854.00</t>
  </si>
  <si>
    <t>71,900.00</t>
  </si>
  <si>
    <t>300,300.00</t>
  </si>
  <si>
    <t>537,400.00</t>
  </si>
  <si>
    <t>602,800.00</t>
  </si>
  <si>
    <t>1,000.00</t>
  </si>
  <si>
    <t>447,641.99</t>
  </si>
  <si>
    <t>121,000.00</t>
  </si>
  <si>
    <t>226,000.00</t>
  </si>
  <si>
    <t>24,905.30</t>
  </si>
  <si>
    <t>415,717.88</t>
  </si>
  <si>
    <t>4,986.00</t>
  </si>
  <si>
    <t>241,340.00</t>
  </si>
  <si>
    <t>398,798.36</t>
  </si>
  <si>
    <t>225,610.00</t>
  </si>
  <si>
    <t>29,380.00</t>
  </si>
  <si>
    <t>269,700.00</t>
  </si>
  <si>
    <t>249,964.00</t>
  </si>
  <si>
    <t>83,970.00</t>
  </si>
  <si>
    <t>99,450.00</t>
  </si>
  <si>
    <t>132,514,000.00</t>
  </si>
  <si>
    <t>1,023,867.00</t>
  </si>
  <si>
    <t>160,990.00</t>
  </si>
  <si>
    <t>483,210.00</t>
  </si>
  <si>
    <t>520,000.00</t>
  </si>
  <si>
    <t>248,974.95</t>
  </si>
  <si>
    <t>53,120.00</t>
  </si>
  <si>
    <t>817,220,000.00</t>
  </si>
  <si>
    <t>361,335.00</t>
  </si>
  <si>
    <t>129,600.00</t>
  </si>
  <si>
    <t>82,660.02</t>
  </si>
  <si>
    <t>35,203.00</t>
  </si>
  <si>
    <t>109,962.00</t>
  </si>
  <si>
    <t>500.00</t>
  </si>
  <si>
    <t>59,911.00</t>
  </si>
  <si>
    <t>6,275,825.16</t>
  </si>
  <si>
    <t>12,903,732.38</t>
  </si>
  <si>
    <t>6,920,000.00</t>
  </si>
  <si>
    <t>179,450.00</t>
  </si>
  <si>
    <t>39,400.00</t>
  </si>
  <si>
    <t>442,365.00</t>
  </si>
  <si>
    <t>189,900.00</t>
  </si>
  <si>
    <t>645,518.22</t>
  </si>
  <si>
    <t>2,625,000.00</t>
  </si>
  <si>
    <t>6,900,000.00</t>
  </si>
  <si>
    <t>166,440.00</t>
  </si>
  <si>
    <t>15,238.00</t>
  </si>
  <si>
    <t>996,234.54</t>
  </si>
  <si>
    <t>227,685.00</t>
  </si>
  <si>
    <t>2,447,144.52</t>
  </si>
  <si>
    <t>14,995.00</t>
  </si>
  <si>
    <t>113,355.00</t>
  </si>
  <si>
    <t>50,990.00</t>
  </si>
  <si>
    <t>1,900.00</t>
  </si>
  <si>
    <t>14,796.00</t>
  </si>
  <si>
    <t>84,267.00</t>
  </si>
  <si>
    <t>1,258,560.00</t>
  </si>
  <si>
    <t>7,506,582.99</t>
  </si>
  <si>
    <t>830,821.24</t>
  </si>
  <si>
    <t>50,249.81</t>
  </si>
  <si>
    <t>196,912.50</t>
  </si>
  <si>
    <t>295,000.00</t>
  </si>
  <si>
    <t>86,449.00</t>
  </si>
  <si>
    <t>11,760,000.00</t>
  </si>
  <si>
    <t>714,500.00</t>
  </si>
  <si>
    <t>386,000.00</t>
  </si>
  <si>
    <t>9,192,560.00</t>
  </si>
  <si>
    <t>720.00</t>
  </si>
  <si>
    <t>1,245.00</t>
  </si>
  <si>
    <t>734,954.00</t>
  </si>
  <si>
    <t>273,500.00</t>
  </si>
  <si>
    <t>63,357.38</t>
  </si>
  <si>
    <t>1,077,000.00</t>
  </si>
  <si>
    <t>149,500.00</t>
  </si>
  <si>
    <t>1,412,460.00</t>
  </si>
  <si>
    <t>12,766.00</t>
  </si>
  <si>
    <t>193,101.56</t>
  </si>
  <si>
    <t>72,150.00</t>
  </si>
  <si>
    <t>191,155.00</t>
  </si>
  <si>
    <t>335,677.09</t>
  </si>
  <si>
    <t>144,990.00</t>
  </si>
  <si>
    <t>98,400.00</t>
  </si>
  <si>
    <t>65,575.00</t>
  </si>
  <si>
    <t>334,292.67</t>
  </si>
  <si>
    <t>28,005.00</t>
  </si>
  <si>
    <t>206,336.00</t>
  </si>
  <si>
    <t>10,255,000.00</t>
  </si>
  <si>
    <t>2,121.00</t>
  </si>
  <si>
    <t>257,500.00</t>
  </si>
  <si>
    <t>1,236,396.87</t>
  </si>
  <si>
    <t>3,243,673.30</t>
  </si>
  <si>
    <t>112,500.00</t>
  </si>
  <si>
    <t>115,380.00</t>
  </si>
  <si>
    <t>100,464.00</t>
  </si>
  <si>
    <t>9,500,000.00</t>
  </si>
  <si>
    <t>1,604,884.00</t>
  </si>
  <si>
    <t>61,944.00</t>
  </si>
  <si>
    <t>74,334,845.33</t>
  </si>
  <si>
    <t>98,133.00</t>
  </si>
  <si>
    <t>68,248.98</t>
  </si>
  <si>
    <t>156,200.00</t>
  </si>
  <si>
    <t>122,810.00</t>
  </si>
  <si>
    <t>7,998,532.95</t>
  </si>
  <si>
    <t>55,786.50</t>
  </si>
  <si>
    <t>59,333.33</t>
  </si>
  <si>
    <t>105,400.00</t>
  </si>
  <si>
    <t>194,894.00</t>
  </si>
  <si>
    <t>32,257.00</t>
  </si>
  <si>
    <t>497,316.22</t>
  </si>
  <si>
    <t>1,999,029.31</t>
  </si>
  <si>
    <t>164,110.00</t>
  </si>
  <si>
    <t>74,734.69</t>
  </si>
  <si>
    <t>131,800.00</t>
  </si>
  <si>
    <t>1,500.00</t>
  </si>
  <si>
    <t>99,475.00</t>
  </si>
  <si>
    <t>115,580.00</t>
  </si>
  <si>
    <t>68,129,119.45</t>
  </si>
  <si>
    <t>212,640.00</t>
  </si>
  <si>
    <t>531,789.92</t>
  </si>
  <si>
    <t>226,834.32</t>
  </si>
  <si>
    <t>581,500.00</t>
  </si>
  <si>
    <t>77,167.79</t>
  </si>
  <si>
    <t>5,184,843.56</t>
  </si>
  <si>
    <t>493,602.00</t>
  </si>
  <si>
    <t>60,400.00</t>
  </si>
  <si>
    <t>494,367.20</t>
  </si>
  <si>
    <t>77,855.29</t>
  </si>
  <si>
    <t>321,363.00</t>
  </si>
  <si>
    <t>2,312,000.00</t>
  </si>
  <si>
    <t>248,832.25</t>
  </si>
  <si>
    <t>1,415,191.92</t>
  </si>
  <si>
    <t>8,292,033.02</t>
  </si>
  <si>
    <t>425,880.00</t>
  </si>
  <si>
    <t>430,400.00</t>
  </si>
  <si>
    <t>704,920.82</t>
  </si>
  <si>
    <t>271,800.00</t>
  </si>
  <si>
    <t>1,928,270.54</t>
  </si>
  <si>
    <t>100,800.00</t>
  </si>
  <si>
    <t>12,062,500.00</t>
  </si>
  <si>
    <t>18,750,000.00</t>
  </si>
  <si>
    <t>197,350.00</t>
  </si>
  <si>
    <t>96,880.00</t>
  </si>
  <si>
    <t>98,000.00</t>
  </si>
  <si>
    <t>149,300.00</t>
  </si>
  <si>
    <t>304,600.00</t>
  </si>
  <si>
    <t>2,899,877.00</t>
  </si>
  <si>
    <t>70,909.26</t>
  </si>
  <si>
    <t>499,896.00</t>
  </si>
  <si>
    <t>5,219,000.00</t>
  </si>
  <si>
    <t>181,220.00</t>
  </si>
  <si>
    <t>57,610.00</t>
  </si>
  <si>
    <t>168,224.00</t>
  </si>
  <si>
    <t>79,852.50</t>
  </si>
  <si>
    <t>13,110.00</t>
  </si>
  <si>
    <t>102,709.95</t>
  </si>
  <si>
    <t>308,348.00</t>
  </si>
  <si>
    <t>613,202.71</t>
  </si>
  <si>
    <t>496,200.00</t>
  </si>
  <si>
    <t>68,253.00</t>
  </si>
  <si>
    <t>297,500.00</t>
  </si>
  <si>
    <t>788,833.33</t>
  </si>
  <si>
    <t>95,809.00</t>
  </si>
  <si>
    <t>3,295,000.00</t>
  </si>
  <si>
    <t>52,738.81</t>
  </si>
  <si>
    <t>16,200.00</t>
  </si>
  <si>
    <t>660,367.00</t>
  </si>
  <si>
    <t>1,416,006.63</t>
  </si>
  <si>
    <t>86,400.00</t>
  </si>
  <si>
    <t>110,230.00</t>
  </si>
  <si>
    <t>174,442.00</t>
  </si>
  <si>
    <t>11,580,000.00</t>
  </si>
  <si>
    <t>272,000.00</t>
  </si>
  <si>
    <t>92,484.00</t>
  </si>
  <si>
    <t>96,318.14</t>
  </si>
  <si>
    <t>252,000.00</t>
  </si>
  <si>
    <t>88,450.00</t>
  </si>
  <si>
    <t>41,086,000.00</t>
  </si>
  <si>
    <t>184,605.00</t>
  </si>
  <si>
    <t>32,352.41</t>
  </si>
  <si>
    <t>81,200.00</t>
  </si>
  <si>
    <t>572,000.00</t>
  </si>
  <si>
    <t>106,106.00</t>
  </si>
  <si>
    <t>156,336.00</t>
  </si>
  <si>
    <t>5,600,000.00</t>
  </si>
  <si>
    <t>598,100.00</t>
  </si>
  <si>
    <t>134,050.00</t>
  </si>
  <si>
    <t>99,973.00</t>
  </si>
  <si>
    <t>524,513.46</t>
  </si>
  <si>
    <t>65,411.00</t>
  </si>
  <si>
    <t>128,945.00</t>
  </si>
  <si>
    <t>22,750.00</t>
  </si>
  <si>
    <t>155,250.00</t>
  </si>
  <si>
    <t>14,810.00</t>
  </si>
  <si>
    <t>395,700.00</t>
  </si>
  <si>
    <t>26,299.50</t>
  </si>
  <si>
    <t>694,397.85</t>
  </si>
  <si>
    <t>4,086,771.08</t>
  </si>
  <si>
    <t>806,400.00</t>
  </si>
  <si>
    <t>337,500.00</t>
  </si>
  <si>
    <t>165,739.75</t>
  </si>
  <si>
    <t>401,734.80</t>
  </si>
  <si>
    <t>328,200.00</t>
  </si>
  <si>
    <t>626,000.00</t>
  </si>
  <si>
    <t>1,595,798.00</t>
  </si>
  <si>
    <t>1,231,179.60</t>
  </si>
  <si>
    <t>322,410.00</t>
  </si>
  <si>
    <t>47,975.00</t>
  </si>
  <si>
    <t>69,480.00</t>
  </si>
  <si>
    <t>482,618.00</t>
  </si>
  <si>
    <t>99,960.68</t>
  </si>
  <si>
    <t>460,299.00</t>
  </si>
  <si>
    <t>4,258,600.00</t>
  </si>
  <si>
    <t>75,370.00</t>
  </si>
  <si>
    <t>977,500.00</t>
  </si>
  <si>
    <t>264,000.00</t>
  </si>
  <si>
    <t>57,338.00</t>
  </si>
  <si>
    <t>55,630.00</t>
  </si>
  <si>
    <t>909,328.23</t>
  </si>
  <si>
    <t>2,137,500.00</t>
  </si>
  <si>
    <t>480,573.50</t>
  </si>
  <si>
    <t>81,492.00</t>
  </si>
  <si>
    <t>520,872.50</t>
  </si>
  <si>
    <t>235,400.00</t>
  </si>
  <si>
    <t>121,790.00</t>
  </si>
  <si>
    <t>1,616,380.00</t>
  </si>
  <si>
    <t>475,420.00</t>
  </si>
  <si>
    <t>23,600,000.00</t>
  </si>
  <si>
    <t>87,700.00</t>
  </si>
  <si>
    <t>3,800,000.00</t>
  </si>
  <si>
    <t>366,200.00</t>
  </si>
  <si>
    <t>696,000.00</t>
  </si>
  <si>
    <t>647,621.00</t>
  </si>
  <si>
    <t>69,885.75</t>
  </si>
  <si>
    <t>1,080,830.90</t>
  </si>
  <si>
    <t>288,187.00</t>
  </si>
  <si>
    <t>217,038.94</t>
  </si>
  <si>
    <t>325,800.00</t>
  </si>
  <si>
    <t>5,500,000.00</t>
  </si>
  <si>
    <t>399,043.00</t>
  </si>
  <si>
    <t>70,670.74</t>
  </si>
  <si>
    <t>1,309,950.00</t>
  </si>
  <si>
    <t>31,800.00</t>
  </si>
  <si>
    <t>79,175.00</t>
  </si>
  <si>
    <t>316,000.00</t>
  </si>
  <si>
    <t>47,100.00</t>
  </si>
  <si>
    <t>429,119.76</t>
  </si>
  <si>
    <t>647,948.00</t>
  </si>
  <si>
    <t>990,010.00</t>
  </si>
  <si>
    <t>1,332,106.25</t>
  </si>
  <si>
    <t>57,510.00</t>
  </si>
  <si>
    <t>208,051.00</t>
  </si>
  <si>
    <t>760,000.00</t>
  </si>
  <si>
    <t>164,322.00</t>
  </si>
  <si>
    <t>395,410.00</t>
  </si>
  <si>
    <t>999,947.41</t>
  </si>
  <si>
    <t>148,100.00</t>
  </si>
  <si>
    <t>499,931.43</t>
  </si>
  <si>
    <t>49,182.50</t>
  </si>
  <si>
    <t>190,190.00</t>
  </si>
  <si>
    <t>132,740.00</t>
  </si>
  <si>
    <t>93,058.00</t>
  </si>
  <si>
    <t>213,600.00</t>
  </si>
  <si>
    <t>8,353,524.57</t>
  </si>
  <si>
    <t>271,428.64</t>
  </si>
  <si>
    <t>1,960,000.00</t>
  </si>
  <si>
    <t>79,500.00</t>
  </si>
  <si>
    <t>415,000.00</t>
  </si>
  <si>
    <t>118,050.00</t>
  </si>
  <si>
    <t>176,000.00</t>
  </si>
  <si>
    <t>496,000,000.00</t>
  </si>
  <si>
    <t>3,750,000.00</t>
  </si>
  <si>
    <t>613,000.00</t>
  </si>
  <si>
    <t>1,199,995.45</t>
  </si>
  <si>
    <t>3,225,612.00</t>
  </si>
  <si>
    <t>789,258.75</t>
  </si>
  <si>
    <t>753,600.00</t>
  </si>
  <si>
    <t>88,975.00</t>
  </si>
  <si>
    <t>999,999.85</t>
  </si>
  <si>
    <t>1,639,000.00</t>
  </si>
  <si>
    <t>843,941.04</t>
  </si>
  <si>
    <t>1,600,162.60</t>
  </si>
  <si>
    <t>752,196.48</t>
  </si>
  <si>
    <t>32,990,936.84</t>
  </si>
  <si>
    <t>109,570.00</t>
  </si>
  <si>
    <t>322,370.00</t>
  </si>
  <si>
    <t>1,128,000.00</t>
  </si>
  <si>
    <t>365,930.00</t>
  </si>
  <si>
    <t>999,991.54</t>
  </si>
  <si>
    <t>13,749,921.26</t>
  </si>
  <si>
    <t>5,169,197.45</t>
  </si>
  <si>
    <t>224,000.00</t>
  </si>
  <si>
    <t>2,199,640.64</t>
  </si>
  <si>
    <t>79,521.88</t>
  </si>
  <si>
    <t>2,560,320.00</t>
  </si>
  <si>
    <t>299,367.00</t>
  </si>
  <si>
    <t>162,928.00</t>
  </si>
  <si>
    <t>5,520,000.00</t>
  </si>
  <si>
    <t>3,871,500.00</t>
  </si>
  <si>
    <t>748,800.00</t>
  </si>
  <si>
    <t>4,999,995.63</t>
  </si>
  <si>
    <t>1,700,000.00</t>
  </si>
  <si>
    <t>4,999,847.24</t>
  </si>
  <si>
    <t>2,736,500.00</t>
  </si>
  <si>
    <t>668,583.33</t>
  </si>
  <si>
    <t>4,823,471.19</t>
  </si>
  <si>
    <t>4,999,949.33</t>
  </si>
  <si>
    <t>77,272.12</t>
  </si>
  <si>
    <t>64,079.00</t>
  </si>
  <si>
    <t>76,556.00</t>
  </si>
  <si>
    <t>283,292.40</t>
  </si>
  <si>
    <t>52,635.00</t>
  </si>
  <si>
    <t>453,108.76</t>
  </si>
  <si>
    <t>351,333.00</t>
  </si>
  <si>
    <t>2,010,960.00</t>
  </si>
  <si>
    <t>187,482.98</t>
  </si>
  <si>
    <t>40,666,626.00</t>
  </si>
  <si>
    <t>228,950.00</t>
  </si>
  <si>
    <t>6,688,636.74</t>
  </si>
  <si>
    <t>146,892.00</t>
  </si>
  <si>
    <t>34,000,000.00</t>
  </si>
  <si>
    <t>594,088.00</t>
  </si>
  <si>
    <t>68,800.00</t>
  </si>
  <si>
    <t>237,900.00</t>
  </si>
  <si>
    <t>1,805,743.50</t>
  </si>
  <si>
    <t>2,722,000.00</t>
  </si>
  <si>
    <t>445,976.68</t>
  </si>
  <si>
    <t>8,680,779.68</t>
  </si>
  <si>
    <t>452,000.00</t>
  </si>
  <si>
    <t>24,299.00</t>
  </si>
  <si>
    <t>41,700.00</t>
  </si>
  <si>
    <t>180,296.87</t>
  </si>
  <si>
    <t>255,600.00</t>
  </si>
  <si>
    <t>60,131.62</t>
  </si>
  <si>
    <t>183,496.32</t>
  </si>
  <si>
    <t>102,500.00</t>
  </si>
  <si>
    <t>7,371,508.49</t>
  </si>
  <si>
    <t>56,363.80</t>
  </si>
  <si>
    <t>1,656,250.00</t>
  </si>
  <si>
    <t>7,953,766.44</t>
  </si>
  <si>
    <t>64,102.53</t>
  </si>
  <si>
    <t>326,000.00</t>
  </si>
  <si>
    <t>230,350.00</t>
  </si>
  <si>
    <t>14,891,060.35</t>
  </si>
  <si>
    <t>3,300,000.00</t>
  </si>
  <si>
    <t>196,050.00</t>
  </si>
  <si>
    <t>214,372.00</t>
  </si>
  <si>
    <t>192,968.00</t>
  </si>
  <si>
    <t>101,600.00</t>
  </si>
  <si>
    <t>846,216.00</t>
  </si>
  <si>
    <t>1,750,000.00</t>
  </si>
  <si>
    <t>1,466,000.00</t>
  </si>
  <si>
    <t>56,630.00</t>
  </si>
  <si>
    <t>37,000.00</t>
  </si>
  <si>
    <t>198,722.00</t>
  </si>
  <si>
    <t>88,083.45</t>
  </si>
  <si>
    <t>70,906.56</t>
  </si>
  <si>
    <t>986,572.20</t>
  </si>
  <si>
    <t>943,000.00</t>
  </si>
  <si>
    <t>69,120.00</t>
  </si>
  <si>
    <t>228,302.00</t>
  </si>
  <si>
    <t>322,500.00</t>
  </si>
  <si>
    <t>391,204.20</t>
  </si>
  <si>
    <t>150,345.00</t>
  </si>
  <si>
    <t>1,440,000.00</t>
  </si>
  <si>
    <t>375,914.04</t>
  </si>
  <si>
    <t>4,671,340.80</t>
  </si>
  <si>
    <t>810,000.00</t>
  </si>
  <si>
    <t>324,120.58</t>
  </si>
  <si>
    <t>52,855.00</t>
  </si>
  <si>
    <t>269,484.38</t>
  </si>
  <si>
    <t>2,420,600.00</t>
  </si>
  <si>
    <t>622,875.00</t>
  </si>
  <si>
    <t>98,822.89</t>
  </si>
  <si>
    <t>211,806.00</t>
  </si>
  <si>
    <t>3,740,996.00</t>
  </si>
  <si>
    <t>300,000,000.00</t>
  </si>
  <si>
    <t>370,158.80</t>
  </si>
  <si>
    <t>5,326,702.71</t>
  </si>
  <si>
    <t>1,196,580.00</t>
  </si>
  <si>
    <t>363,220.00</t>
  </si>
  <si>
    <t>688,000.00</t>
  </si>
  <si>
    <t>3,223,100.00</t>
  </si>
  <si>
    <t>1,047,247.90</t>
  </si>
  <si>
    <t>5,616,566.25</t>
  </si>
  <si>
    <t>2,733,391.00</t>
  </si>
  <si>
    <t>1,566,000.00</t>
  </si>
  <si>
    <t>82,440.00</t>
  </si>
  <si>
    <t>1,036,777.90</t>
  </si>
  <si>
    <t>82,969.80</t>
  </si>
  <si>
    <t>82,477.00</t>
  </si>
  <si>
    <t>1,501,760.00</t>
  </si>
  <si>
    <t>273,860.00</t>
  </si>
  <si>
    <t>368,336.88</t>
  </si>
  <si>
    <t>5,362,500.00</t>
  </si>
  <si>
    <t>7,321,765.00</t>
  </si>
  <si>
    <t>499,983.75</t>
  </si>
  <si>
    <t>499,517.81</t>
  </si>
  <si>
    <t>367,700.00</t>
  </si>
  <si>
    <t>1,268,344.50</t>
  </si>
  <si>
    <t>45,719.00</t>
  </si>
  <si>
    <t>414,000.00</t>
  </si>
  <si>
    <t>1,009,129.00</t>
  </si>
  <si>
    <t>998,947.50</t>
  </si>
  <si>
    <t>143,150.00</t>
  </si>
  <si>
    <t>3,604,021.00</t>
  </si>
  <si>
    <t>637,445.00</t>
  </si>
  <si>
    <t>199,920.00</t>
  </si>
  <si>
    <t>2,194,306.26</t>
  </si>
  <si>
    <t>779,422.38</t>
  </si>
  <si>
    <t>605,264.00</t>
  </si>
  <si>
    <t>289,156.60</t>
  </si>
  <si>
    <t>665,966.00</t>
  </si>
  <si>
    <t>278,599.86</t>
  </si>
  <si>
    <t>567,756.00</t>
  </si>
  <si>
    <t>561,120.00</t>
  </si>
  <si>
    <t>134,406.36</t>
  </si>
  <si>
    <t>1,599,131.45</t>
  </si>
  <si>
    <t>999,298.04</t>
  </si>
  <si>
    <t>683,000.00</t>
  </si>
  <si>
    <t>373,834.50</t>
  </si>
  <si>
    <t>4,400,000.00</t>
  </si>
  <si>
    <t>3,870,941.31</t>
  </si>
  <si>
    <t>369,004.00</t>
  </si>
  <si>
    <t>1,872,500.00</t>
  </si>
  <si>
    <t>996,137.39</t>
  </si>
  <si>
    <t>11,162,687.05</t>
  </si>
  <si>
    <t>499,596.00</t>
  </si>
  <si>
    <t>10,168,042.60</t>
  </si>
  <si>
    <t>2,914,593.50</t>
  </si>
  <si>
    <t>76,600.00</t>
  </si>
  <si>
    <t>190,350.00</t>
  </si>
  <si>
    <t>599,750.00</t>
  </si>
  <si>
    <t>999,810.00</t>
  </si>
  <si>
    <t>97,243.00</t>
  </si>
  <si>
    <t>190,494.00</t>
  </si>
  <si>
    <t>1,358,200.00</t>
  </si>
  <si>
    <t>133,880.00</t>
  </si>
  <si>
    <t>63,300.00</t>
  </si>
  <si>
    <t>219,540.00</t>
  </si>
  <si>
    <t>6,024,620.00</t>
  </si>
  <si>
    <t>99,750.00</t>
  </si>
  <si>
    <t>4,691,080.00</t>
  </si>
  <si>
    <t>132,694.00</t>
  </si>
  <si>
    <t>1,965,600.00</t>
  </si>
  <si>
    <t>730,165.94</t>
  </si>
  <si>
    <t>1,098,200.00</t>
  </si>
  <si>
    <t>132,040.00</t>
  </si>
  <si>
    <t>409,200.00</t>
  </si>
  <si>
    <t>562,500.00</t>
  </si>
  <si>
    <t>491,200.00</t>
  </si>
  <si>
    <t>290,700.00</t>
  </si>
  <si>
    <t>333,333.35</t>
  </si>
  <si>
    <t>115,500.00</t>
  </si>
  <si>
    <t>51,350.00</t>
  </si>
  <si>
    <t>611,284.00</t>
  </si>
  <si>
    <t>50,283.80</t>
  </si>
  <si>
    <t>269,940.00</t>
  </si>
  <si>
    <t>761,000.00</t>
  </si>
  <si>
    <t>5,760,000.00</t>
  </si>
  <si>
    <t>426,186.00</t>
  </si>
  <si>
    <t>194,987.00</t>
  </si>
  <si>
    <t>13,650.00</t>
  </si>
  <si>
    <t>385,273.52</t>
  </si>
  <si>
    <t>332,764.80</t>
  </si>
  <si>
    <t>129,211.88</t>
  </si>
  <si>
    <t>688,200.00</t>
  </si>
  <si>
    <t>399,342.05</t>
  </si>
  <si>
    <t>27,810,365.97</t>
  </si>
  <si>
    <t>65,520.00</t>
  </si>
  <si>
    <t>35,000,000.00</t>
  </si>
  <si>
    <t>682,500.00</t>
  </si>
  <si>
    <t>3,426,000.00</t>
  </si>
  <si>
    <t>4,350,000.00</t>
  </si>
  <si>
    <t>110,673.24</t>
  </si>
  <si>
    <t>156,000.00</t>
  </si>
  <si>
    <t>61,400.00</t>
  </si>
  <si>
    <t>397,393.33</t>
  </si>
  <si>
    <t>4,086,775.00</t>
  </si>
  <si>
    <t>322,919.24</t>
  </si>
  <si>
    <t>66,000,000.00</t>
  </si>
  <si>
    <t>217,900.00</t>
  </si>
  <si>
    <t>163,000.00</t>
  </si>
  <si>
    <t>55,815.00</t>
  </si>
  <si>
    <t>186,785.62</t>
  </si>
  <si>
    <t>103,075.00</t>
  </si>
  <si>
    <t>1,623,560.00</t>
  </si>
  <si>
    <t>131,536.00</t>
  </si>
  <si>
    <t>998,561.75</t>
  </si>
  <si>
    <t>22,700,000.00</t>
  </si>
  <si>
    <t>349,500.00</t>
  </si>
  <si>
    <t>4,787,160.00</t>
  </si>
  <si>
    <t>231,000.00</t>
  </si>
  <si>
    <t>59,150.00</t>
  </si>
  <si>
    <t>4,744,362.63</t>
  </si>
  <si>
    <t>180,226.70</t>
  </si>
  <si>
    <t>90,975.00</t>
  </si>
  <si>
    <t>499,950.00</t>
  </si>
  <si>
    <t>554,138.00</t>
  </si>
  <si>
    <t>204,629.00</t>
  </si>
  <si>
    <t>21,000,000.00</t>
  </si>
  <si>
    <t>734,720.00</t>
  </si>
  <si>
    <t>199,135.00</t>
  </si>
  <si>
    <t>193,200.00</t>
  </si>
  <si>
    <t>34,600,263.63</t>
  </si>
  <si>
    <t>594,560.00</t>
  </si>
  <si>
    <t>4,888,973.32</t>
  </si>
  <si>
    <t>72,586.00</t>
  </si>
  <si>
    <t>1,080,000.00</t>
  </si>
  <si>
    <t>12,499,903.38</t>
  </si>
  <si>
    <t>241,750.00</t>
  </si>
  <si>
    <t>2,267,309.63</t>
  </si>
  <si>
    <t>2,336,600,000.00</t>
  </si>
  <si>
    <t>90,665.63</t>
  </si>
  <si>
    <t>1,852,886,000.00</t>
  </si>
  <si>
    <t>12,499,804.81</t>
  </si>
  <si>
    <t>66,780.00</t>
  </si>
  <si>
    <t>241,000.00</t>
  </si>
  <si>
    <t>172,460.00</t>
  </si>
  <si>
    <t>164,351.70</t>
  </si>
  <si>
    <t>655,000.00</t>
  </si>
  <si>
    <t>9,967.00</t>
  </si>
  <si>
    <t>535,142.46</t>
  </si>
  <si>
    <t>538,000.00</t>
  </si>
  <si>
    <t>6,684.00</t>
  </si>
  <si>
    <t>135,270.20</t>
  </si>
  <si>
    <t>5,482.00</t>
  </si>
  <si>
    <t>3,170.00</t>
  </si>
  <si>
    <t>10,630,000.00</t>
  </si>
  <si>
    <t>2,884,960.00</t>
  </si>
  <si>
    <t>15,069.00</t>
  </si>
  <si>
    <t>10,063.00</t>
  </si>
  <si>
    <t>4,075.00</t>
  </si>
  <si>
    <t>5,015.00</t>
  </si>
  <si>
    <t>115,020.00</t>
  </si>
  <si>
    <t>105,500.00</t>
  </si>
  <si>
    <t>394,000.00</t>
  </si>
  <si>
    <t>7,855.00</t>
  </si>
  <si>
    <t>12,301.00</t>
  </si>
  <si>
    <t>221,572.50</t>
  </si>
  <si>
    <t>183,240.00</t>
  </si>
  <si>
    <t>2,925.00</t>
  </si>
  <si>
    <t>293,875.00</t>
  </si>
  <si>
    <t>49,865.00</t>
  </si>
  <si>
    <t>56,325.00</t>
  </si>
  <si>
    <t>279,846.00</t>
  </si>
  <si>
    <t>981,980.00</t>
  </si>
  <si>
    <t>90,884.00</t>
  </si>
  <si>
    <t>1,812,556.22</t>
  </si>
  <si>
    <t>917,841.75</t>
  </si>
  <si>
    <t>999,387.57</t>
  </si>
  <si>
    <t>475,000.00</t>
  </si>
  <si>
    <t>92,350.00</t>
  </si>
  <si>
    <t>189,612.00</t>
  </si>
  <si>
    <t>2,550,000.00</t>
  </si>
  <si>
    <t>7,368.00</t>
  </si>
  <si>
    <t>1,299,907.66</t>
  </si>
  <si>
    <t>1,299,868.84</t>
  </si>
  <si>
    <t>170,189.56</t>
  </si>
  <si>
    <t>48,000.00</t>
  </si>
  <si>
    <t>1,425,000.00</t>
  </si>
  <si>
    <t>3,936,162.06</t>
  </si>
  <si>
    <t>355,540.75</t>
  </si>
  <si>
    <t>288,200.00</t>
  </si>
  <si>
    <t>96,600.00</t>
  </si>
  <si>
    <t>116,952.52</t>
  </si>
  <si>
    <t>1,799,998.88</t>
  </si>
  <si>
    <t>842,000.00</t>
  </si>
  <si>
    <t>94,975.00</t>
  </si>
  <si>
    <t>342,000.00</t>
  </si>
  <si>
    <t>453,898.00</t>
  </si>
  <si>
    <t>14,699,999.91</t>
  </si>
  <si>
    <t>2,722,782.00</t>
  </si>
  <si>
    <t>14,474,999.37</t>
  </si>
  <si>
    <t>132,985.13</t>
  </si>
  <si>
    <t>156,600.00</t>
  </si>
  <si>
    <t>153,742.00</t>
  </si>
  <si>
    <t>399,434.25</t>
  </si>
  <si>
    <t>4,030.00</t>
  </si>
  <si>
    <t>811,747.00</t>
  </si>
  <si>
    <t>808,303.68</t>
  </si>
  <si>
    <t>169,490.00</t>
  </si>
  <si>
    <t>122,800.00</t>
  </si>
  <si>
    <t>77,950.00</t>
  </si>
  <si>
    <t>92,300.00</t>
  </si>
  <si>
    <t>67,360.00</t>
  </si>
  <si>
    <t>9,060.00</t>
  </si>
  <si>
    <t>246,300.00</t>
  </si>
  <si>
    <t>112,356.00</t>
  </si>
  <si>
    <t>151,200.00</t>
  </si>
  <si>
    <t>14,849,992.80</t>
  </si>
  <si>
    <t>181,615.00</t>
  </si>
  <si>
    <t>293,000.00</t>
  </si>
  <si>
    <t>170,489.00</t>
  </si>
  <si>
    <t>329,905.78</t>
  </si>
  <si>
    <t>82,400.00</t>
  </si>
  <si>
    <t>77,575.00</t>
  </si>
  <si>
    <t>494,500.00</t>
  </si>
  <si>
    <t>86,225.00</t>
  </si>
  <si>
    <t>198,999.45</t>
  </si>
  <si>
    <t>1,550,000.00</t>
  </si>
  <si>
    <t>4,048,416.96</t>
  </si>
  <si>
    <t>1,975,159.73</t>
  </si>
  <si>
    <t>230,625.00</t>
  </si>
  <si>
    <t>65,678.25</t>
  </si>
  <si>
    <t>8,590.00</t>
  </si>
  <si>
    <t>7,041,686.91</t>
  </si>
  <si>
    <t>29,500.00</t>
  </si>
  <si>
    <t>7,100,107.07</t>
  </si>
  <si>
    <t>1,566,530.00</t>
  </si>
  <si>
    <t>140,940.00</t>
  </si>
  <si>
    <t>103,369.56</t>
  </si>
  <si>
    <t>1,220,540.00</t>
  </si>
  <si>
    <t>208,130.00</t>
  </si>
  <si>
    <t>489,888.00</t>
  </si>
  <si>
    <t>149,740.00</t>
  </si>
  <si>
    <t>1,452,000.00</t>
  </si>
  <si>
    <t>127,703.84</t>
  </si>
  <si>
    <t>13,700.00</t>
  </si>
  <si>
    <t>6,989,186.91</t>
  </si>
  <si>
    <t>150,938.00</t>
  </si>
  <si>
    <t>31,941.00</t>
  </si>
  <si>
    <t>10,860,000.00</t>
  </si>
  <si>
    <t>50,034.43</t>
  </si>
  <si>
    <t>164,000.00</t>
  </si>
  <si>
    <t>1,753,175.00</t>
  </si>
  <si>
    <t>416,811.97</t>
  </si>
  <si>
    <t>710,000.00</t>
  </si>
  <si>
    <t>158,900.00</t>
  </si>
  <si>
    <t>3,920,510.71</t>
  </si>
  <si>
    <t>142,983.00</t>
  </si>
  <si>
    <t>998,118.73</t>
  </si>
  <si>
    <t>8,017,817.34</t>
  </si>
  <si>
    <t>660,000.00</t>
  </si>
  <si>
    <t>34,258,000.00</t>
  </si>
  <si>
    <t>294,236.00</t>
  </si>
  <si>
    <t>2,530,000.00</t>
  </si>
  <si>
    <t>76,990.62</t>
  </si>
  <si>
    <t>98,012.00</t>
  </si>
  <si>
    <t>5,085,742.23</t>
  </si>
  <si>
    <t>152,752.00</t>
  </si>
  <si>
    <t>7,690.00</t>
  </si>
  <si>
    <t>2,175,000.00</t>
  </si>
  <si>
    <t>428,700.00</t>
  </si>
  <si>
    <t>2,997,068.11</t>
  </si>
  <si>
    <t>95,934.00</t>
  </si>
  <si>
    <t>54,900.00</t>
  </si>
  <si>
    <t>61,800.00</t>
  </si>
  <si>
    <t>2,470,000.00</t>
  </si>
  <si>
    <t>253,950.00</t>
  </si>
  <si>
    <t>2,052,343.75</t>
  </si>
  <si>
    <t>3,999,994.24</t>
  </si>
  <si>
    <t>10,337,726.40</t>
  </si>
  <si>
    <t>584,410.00</t>
  </si>
  <si>
    <t>430,269.78</t>
  </si>
  <si>
    <t>1,199,999.99</t>
  </si>
  <si>
    <t>128,100.00</t>
  </si>
  <si>
    <t>95,680.00</t>
  </si>
  <si>
    <t>132,053.50</t>
  </si>
  <si>
    <t>89,657.12</t>
  </si>
  <si>
    <t>368,400.00</t>
  </si>
  <si>
    <t>249,940.93</t>
  </si>
  <si>
    <t>673,460.83</t>
  </si>
  <si>
    <t>156,460.00</t>
  </si>
  <si>
    <t>3,593,661.69</t>
  </si>
  <si>
    <t>653,667.50</t>
  </si>
  <si>
    <t>1,261,517.77</t>
  </si>
  <si>
    <t>210,800.00</t>
  </si>
  <si>
    <t>129,900.00</t>
  </si>
  <si>
    <t>7,412,990.56</t>
  </si>
  <si>
    <t>157,500.00</t>
  </si>
  <si>
    <t>1,154,034.00</t>
  </si>
  <si>
    <t>209,080.00</t>
  </si>
  <si>
    <t>512,700.00</t>
  </si>
  <si>
    <t>2,670.00</t>
  </si>
  <si>
    <t>692,418.00</t>
  </si>
  <si>
    <t>1,484,718.76</t>
  </si>
  <si>
    <t>342,469.57</t>
  </si>
  <si>
    <t>3,495,577.92</t>
  </si>
  <si>
    <t>964,061.00</t>
  </si>
  <si>
    <t>308,450.40</t>
  </si>
  <si>
    <t>144,465.00</t>
  </si>
  <si>
    <t>108,997.00</t>
  </si>
  <si>
    <t>350,033.75</t>
  </si>
  <si>
    <t>16,895.00</t>
  </si>
  <si>
    <t>105,312.55</t>
  </si>
  <si>
    <t>5,486,250.00</t>
  </si>
  <si>
    <t>9,347,878.71</t>
  </si>
  <si>
    <t>1,064,000.00</t>
  </si>
  <si>
    <t>169,500.00</t>
  </si>
  <si>
    <t>1,883,019.60</t>
  </si>
  <si>
    <t>1,823,129.42</t>
  </si>
  <si>
    <t>14,849,996.67</t>
  </si>
  <si>
    <t>36,040.00</t>
  </si>
  <si>
    <t>261,000.00</t>
  </si>
  <si>
    <t>371,719.00</t>
  </si>
  <si>
    <t>5,175.00</t>
  </si>
  <si>
    <t>42,629.00</t>
  </si>
  <si>
    <t>95,725.00</t>
  </si>
  <si>
    <t>92,370.00</t>
  </si>
  <si>
    <t>499,894.11</t>
  </si>
  <si>
    <t>78,780.00</t>
  </si>
  <si>
    <t>11,830.00</t>
  </si>
  <si>
    <t>121,625.00</t>
  </si>
  <si>
    <t>1,999,999.98</t>
  </si>
  <si>
    <t>504,000.00</t>
  </si>
  <si>
    <t>73,100.00</t>
  </si>
  <si>
    <t>3,175,856.20</t>
  </si>
  <si>
    <t>5,229,677.23</t>
  </si>
  <si>
    <t>228,810.00</t>
  </si>
  <si>
    <t>171,140.00</t>
  </si>
  <si>
    <t>3,999,650.18</t>
  </si>
  <si>
    <t>2,516,880.00</t>
  </si>
  <si>
    <t>499,902.00</t>
  </si>
  <si>
    <t>999,921.22</t>
  </si>
  <si>
    <t>260,500.00</t>
  </si>
  <si>
    <t>1,791,991.34</t>
  </si>
  <si>
    <t>51,800.00</t>
  </si>
  <si>
    <t>1,553,142.57</t>
  </si>
  <si>
    <t>345,000.00</t>
  </si>
  <si>
    <t>11,000.00</t>
  </si>
  <si>
    <t>19,074,914.07</t>
  </si>
  <si>
    <t>46,250.00</t>
  </si>
  <si>
    <t>733,573.00</t>
  </si>
  <si>
    <t>350,290.11</t>
  </si>
  <si>
    <t>221,600.00</t>
  </si>
  <si>
    <t>189,690.00</t>
  </si>
  <si>
    <t>16,420.00</t>
  </si>
  <si>
    <t>350,340.23</t>
  </si>
  <si>
    <t>1,098,230.00</t>
  </si>
  <si>
    <t>54,045.00</t>
  </si>
  <si>
    <t>356,400.00</t>
  </si>
  <si>
    <t>394,300.53</t>
  </si>
  <si>
    <t>105,103.00</t>
  </si>
  <si>
    <t>9,578.00</t>
  </si>
  <si>
    <t>2,660,000.00</t>
  </si>
  <si>
    <t>3,920,000.00</t>
  </si>
  <si>
    <t>316,446.24</t>
  </si>
  <si>
    <t>43,220.00</t>
  </si>
  <si>
    <t>985,850.00</t>
  </si>
  <si>
    <t>499,114.00</t>
  </si>
  <si>
    <t>65,688.00</t>
  </si>
  <si>
    <t>44,509,542.20</t>
  </si>
  <si>
    <t>139,500.00</t>
  </si>
  <si>
    <t>351,967.50</t>
  </si>
  <si>
    <t>191,340.00</t>
  </si>
  <si>
    <t>478,323.43</t>
  </si>
  <si>
    <t>20,440.00</t>
  </si>
  <si>
    <t>51,660.00</t>
  </si>
  <si>
    <t>595,193.00</t>
  </si>
  <si>
    <t>2,536,000.00</t>
  </si>
  <si>
    <t>162,100.00</t>
  </si>
  <si>
    <t>80,400.00</t>
  </si>
  <si>
    <t>975,550.00</t>
  </si>
  <si>
    <t>11,200.00</t>
  </si>
  <si>
    <t>63,598.00</t>
  </si>
  <si>
    <t>9,476,250.00</t>
  </si>
  <si>
    <t>119,258.00</t>
  </si>
  <si>
    <t>2,212,000.00</t>
  </si>
  <si>
    <t>14,850.00</t>
  </si>
  <si>
    <t>187,150.00</t>
  </si>
  <si>
    <t>245,130.00</t>
  </si>
  <si>
    <t>79,718,460.00</t>
  </si>
  <si>
    <t>116,500.00</t>
  </si>
  <si>
    <t>58,006.00</t>
  </si>
  <si>
    <t>196,800.00</t>
  </si>
  <si>
    <t>186,555.00</t>
  </si>
  <si>
    <t>166,053.50</t>
  </si>
  <si>
    <t>1,025,746.00</t>
  </si>
  <si>
    <t>752,790.00</t>
  </si>
  <si>
    <t>32,500.00</t>
  </si>
  <si>
    <t>2,186,042.37</t>
  </si>
  <si>
    <t>57,840.00</t>
  </si>
  <si>
    <t>382,672.00</t>
  </si>
  <si>
    <t>104,051.50</t>
  </si>
  <si>
    <t>14,999,104.02</t>
  </si>
  <si>
    <t>512,595.00</t>
  </si>
  <si>
    <t>435,673.14</t>
  </si>
  <si>
    <t>1,330,000.00</t>
  </si>
  <si>
    <t>2,230,240.00</t>
  </si>
  <si>
    <t>423,129.33</t>
  </si>
  <si>
    <t>14,014,000.00</t>
  </si>
  <si>
    <t>3,883,129.00</t>
  </si>
  <si>
    <t>22,123.50</t>
  </si>
  <si>
    <t>230,285.00</t>
  </si>
  <si>
    <t>216,556.20</t>
  </si>
  <si>
    <t>109,352.34</t>
  </si>
  <si>
    <t>147,580.00</t>
  </si>
  <si>
    <t>2,081,200.00</t>
  </si>
  <si>
    <t>1,075,750.00</t>
  </si>
  <si>
    <t>149,325.00</t>
  </si>
  <si>
    <t>2,707,000.00</t>
  </si>
  <si>
    <t>2,152,209.00</t>
  </si>
  <si>
    <t>145,750.00</t>
  </si>
  <si>
    <t>53,670.00</t>
  </si>
  <si>
    <t>634,065.00</t>
  </si>
  <si>
    <t>247,800.00</t>
  </si>
  <si>
    <t>3,700,000.00</t>
  </si>
  <si>
    <t>89,831.00</t>
  </si>
  <si>
    <t>54,601.00</t>
  </si>
  <si>
    <t>381,120.90</t>
  </si>
  <si>
    <t>250,426.00</t>
  </si>
  <si>
    <t>1,998,000.00</t>
  </si>
  <si>
    <t>726,899.93</t>
  </si>
  <si>
    <t>4,578,255.00</t>
  </si>
  <si>
    <t>26,960,516.00</t>
  </si>
  <si>
    <t>89,700.00</t>
  </si>
  <si>
    <t>155,408.00</t>
  </si>
  <si>
    <t>314,025.00</t>
  </si>
  <si>
    <t>3,430,000.00</t>
  </si>
  <si>
    <t>633,969.00</t>
  </si>
  <si>
    <t>74,210.00</t>
  </si>
  <si>
    <t>569,500.00</t>
  </si>
  <si>
    <t>199,985.00</t>
  </si>
  <si>
    <t>227,400.00</t>
  </si>
  <si>
    <t>253,430.00</t>
  </si>
  <si>
    <t>525,150.39</t>
  </si>
  <si>
    <t>188,115.00</t>
  </si>
  <si>
    <t>173,160.00</t>
  </si>
  <si>
    <t>83,600.00</t>
  </si>
  <si>
    <t>260,588.80</t>
  </si>
  <si>
    <t>108,800.00</t>
  </si>
  <si>
    <t>83,350.00</t>
  </si>
  <si>
    <t>1,261,628.00</t>
  </si>
  <si>
    <t>47,753,184.80</t>
  </si>
  <si>
    <t>10,331.00</t>
  </si>
  <si>
    <t>228,000.00</t>
  </si>
  <si>
    <t>86,155.00</t>
  </si>
  <si>
    <t>64,252.00</t>
  </si>
  <si>
    <t>11,855.00</t>
  </si>
  <si>
    <t>4,688,250.00</t>
  </si>
  <si>
    <t>146,000.00</t>
  </si>
  <si>
    <t>97,734.00</t>
  </si>
  <si>
    <t>12,150.00</t>
  </si>
  <si>
    <t>387,500.00</t>
  </si>
  <si>
    <t>250,042.00</t>
  </si>
  <si>
    <t>176,910.00</t>
  </si>
  <si>
    <t>4,799.00</t>
  </si>
  <si>
    <t>106,800.00</t>
  </si>
  <si>
    <t>76,150.00</t>
  </si>
  <si>
    <t>692,000.00</t>
  </si>
  <si>
    <t>17,670.00</t>
  </si>
  <si>
    <t>152,500.00</t>
  </si>
  <si>
    <t>37,160.00</t>
  </si>
  <si>
    <t>14,918.00</t>
  </si>
  <si>
    <t>229,052.00</t>
  </si>
  <si>
    <t>109,525.00</t>
  </si>
  <si>
    <t>8,225.00</t>
  </si>
  <si>
    <t>5,650.00</t>
  </si>
  <si>
    <t>472,200.00</t>
  </si>
  <si>
    <t>176,191.07</t>
  </si>
  <si>
    <t>248,969.72</t>
  </si>
  <si>
    <t>117,165.00</t>
  </si>
  <si>
    <t>29,018.40</t>
  </si>
  <si>
    <t>674,900.00</t>
  </si>
  <si>
    <t>241,355.00</t>
  </si>
  <si>
    <t>130,040.00</t>
  </si>
  <si>
    <t>722,598.00</t>
  </si>
  <si>
    <t>116,357.20</t>
  </si>
  <si>
    <t>19,070.00</t>
  </si>
  <si>
    <t>112,250.00</t>
  </si>
  <si>
    <t>877,500.00</t>
  </si>
  <si>
    <t>252,635.00</t>
  </si>
  <si>
    <t>81,368.00</t>
  </si>
  <si>
    <t>811,031.50</t>
  </si>
  <si>
    <t>117,200.00</t>
  </si>
  <si>
    <t>205,700.00</t>
  </si>
  <si>
    <t>696,611.13</t>
  </si>
  <si>
    <t>122,250.00</t>
  </si>
  <si>
    <t>49,417.00</t>
  </si>
  <si>
    <t>2,550.00</t>
  </si>
  <si>
    <t>23,550.00</t>
  </si>
  <si>
    <t>352,400.00</t>
  </si>
  <si>
    <t>211,710.00</t>
  </si>
  <si>
    <t>159,550.00</t>
  </si>
  <si>
    <t>111,150.00</t>
  </si>
  <si>
    <t>291,006.00</t>
  </si>
  <si>
    <t>562,002.00</t>
  </si>
  <si>
    <t>436,250.00</t>
  </si>
  <si>
    <t>131,600.00</t>
  </si>
  <si>
    <t>190,500.00</t>
  </si>
  <si>
    <t>3,400.00</t>
  </si>
  <si>
    <t>54,300.00</t>
  </si>
  <si>
    <t>602,000.00</t>
  </si>
  <si>
    <t>442,500.00</t>
  </si>
  <si>
    <t>50,037.00</t>
  </si>
  <si>
    <t>59,370.00</t>
  </si>
  <si>
    <t>385,736.00</t>
  </si>
  <si>
    <t>2,295,189.00</t>
  </si>
  <si>
    <t>1,228,975.00</t>
  </si>
  <si>
    <t>369,153.83</t>
  </si>
  <si>
    <t>284,960.00</t>
  </si>
  <si>
    <t>201,240.00</t>
  </si>
  <si>
    <t>910,000.00</t>
  </si>
  <si>
    <t>8,569.00</t>
  </si>
  <si>
    <t>86,461.00</t>
  </si>
  <si>
    <t>318,532.00</t>
  </si>
  <si>
    <t>153,970.00</t>
  </si>
  <si>
    <t>884,583.00</t>
  </si>
  <si>
    <t>4,801.00</t>
  </si>
  <si>
    <t>1,099,595.00</t>
  </si>
  <si>
    <t>730,441.00</t>
  </si>
  <si>
    <t>153,237.50</t>
  </si>
  <si>
    <t>344,000.00</t>
  </si>
  <si>
    <t>95,458.00</t>
  </si>
  <si>
    <t>65,038.36</t>
  </si>
  <si>
    <t>408,840.00</t>
  </si>
  <si>
    <t>224,530.00</t>
  </si>
  <si>
    <t>61,830.36</t>
  </si>
  <si>
    <t>27,834.00</t>
  </si>
  <si>
    <t>507,150.00</t>
  </si>
  <si>
    <t>101,040.00</t>
  </si>
  <si>
    <t>19,755.00</t>
  </si>
  <si>
    <t>39,295.00</t>
  </si>
  <si>
    <t>500,261.00</t>
  </si>
  <si>
    <t>732,168.84</t>
  </si>
  <si>
    <t>404,180.00</t>
  </si>
  <si>
    <t>931,731.72</t>
  </si>
  <si>
    <t>227,500.00</t>
  </si>
  <si>
    <t>1,396,345.00</t>
  </si>
  <si>
    <t>81,600.00</t>
  </si>
  <si>
    <t>60,100.00</t>
  </si>
  <si>
    <t>47,885.00</t>
  </si>
  <si>
    <t>175,835.00</t>
  </si>
  <si>
    <t>218,694.00</t>
  </si>
  <si>
    <t>178,500.00</t>
  </si>
  <si>
    <t>164,950.00</t>
  </si>
  <si>
    <t>960,484.00</t>
  </si>
  <si>
    <t>521,400.00</t>
  </si>
  <si>
    <t>1,420,000.00</t>
  </si>
  <si>
    <t>168,409.50</t>
  </si>
  <si>
    <t>237,355.00</t>
  </si>
  <si>
    <t>463,500.00</t>
  </si>
  <si>
    <t>6,200,000.00</t>
  </si>
  <si>
    <t>24,833.00</t>
  </si>
  <si>
    <t>365,210.00</t>
  </si>
  <si>
    <t>154,150.00</t>
  </si>
  <si>
    <t>1,210,000.00</t>
  </si>
  <si>
    <t>424,769.39</t>
  </si>
  <si>
    <t>70,305.00</t>
  </si>
  <si>
    <t>7,994,000.00</t>
  </si>
  <si>
    <t>281,395.00</t>
  </si>
  <si>
    <t>899,333.33</t>
  </si>
  <si>
    <t>21,419.00</t>
  </si>
  <si>
    <t>170,925.00</t>
  </si>
  <si>
    <t>468,970.86</t>
  </si>
  <si>
    <t>96,010.00</t>
  </si>
  <si>
    <t>1,199,792.77</t>
  </si>
  <si>
    <t>7,100,000.00</t>
  </si>
  <si>
    <t>1,959,998.26</t>
  </si>
  <si>
    <t>471,205.73</t>
  </si>
  <si>
    <t>5,966,240.00</t>
  </si>
  <si>
    <t>181,356.80</t>
  </si>
  <si>
    <t>336,154.00</t>
  </si>
  <si>
    <t>213,755.00</t>
  </si>
  <si>
    <t>2,504,000.00</t>
  </si>
  <si>
    <t>113,783.50</t>
  </si>
  <si>
    <t>10,300.00</t>
  </si>
  <si>
    <t>387,875.00</t>
  </si>
  <si>
    <t>53,690.00</t>
  </si>
  <si>
    <t>15,610.01</t>
  </si>
  <si>
    <t>148,925.00</t>
  </si>
  <si>
    <t>11,100.00</t>
  </si>
  <si>
    <t>579,158.03</t>
  </si>
  <si>
    <t>211,480.00</t>
  </si>
  <si>
    <t>73,116.67</t>
  </si>
  <si>
    <t>620,265.00</t>
  </si>
  <si>
    <t>12,600.00</t>
  </si>
  <si>
    <t>232,827.00</t>
  </si>
  <si>
    <t>14,369.00</t>
  </si>
  <si>
    <t>324,615.00</t>
  </si>
  <si>
    <t>70,575.00</t>
  </si>
  <si>
    <t>563,125.00</t>
  </si>
  <si>
    <t>384,250.00</t>
  </si>
  <si>
    <t>321,200.00</t>
  </si>
  <si>
    <t>162,400.00</t>
  </si>
  <si>
    <t>53,075,000.00</t>
  </si>
  <si>
    <t>65,500.00</t>
  </si>
  <si>
    <t>101,977.40</t>
  </si>
  <si>
    <t>134,500.00</t>
  </si>
  <si>
    <t>7,998,571.42</t>
  </si>
  <si>
    <t>219,500.00</t>
  </si>
  <si>
    <t>43,339.00</t>
  </si>
  <si>
    <t>346,900.00</t>
  </si>
  <si>
    <t>79,264.00</t>
  </si>
  <si>
    <t>364,469.00</t>
  </si>
  <si>
    <t>506,260.00</t>
  </si>
  <si>
    <t>115,050.00</t>
  </si>
  <si>
    <t>59,375.00</t>
  </si>
  <si>
    <t>205,110.00</t>
  </si>
  <si>
    <t>230,165.00</t>
  </si>
  <si>
    <t>212,336.00</t>
  </si>
  <si>
    <t>17,330.00</t>
  </si>
  <si>
    <t>9,534,305.00</t>
  </si>
  <si>
    <t>36,400.00</t>
  </si>
  <si>
    <t>69,570.00</t>
  </si>
  <si>
    <t>2,408,967.90</t>
  </si>
  <si>
    <t>7,290,000.00</t>
  </si>
  <si>
    <t>36,700.00</t>
  </si>
  <si>
    <t>999,673.52</t>
  </si>
  <si>
    <t>152,160.00</t>
  </si>
  <si>
    <t>16,600,739.44</t>
  </si>
  <si>
    <t>892,700.20</t>
  </si>
  <si>
    <t>1,310,400.00</t>
  </si>
  <si>
    <t>70,155.00</t>
  </si>
  <si>
    <t>94,440.00</t>
  </si>
  <si>
    <t>86,590.00</t>
  </si>
  <si>
    <t>3,999,763.00</t>
  </si>
  <si>
    <t>618,657.00</t>
  </si>
  <si>
    <t>6,857,277.18</t>
  </si>
  <si>
    <t>6,999,255.86</t>
  </si>
  <si>
    <t>232,875.00</t>
  </si>
  <si>
    <t>90,120.00</t>
  </si>
  <si>
    <t>2,418,000.00</t>
  </si>
  <si>
    <t>3,560.00</t>
  </si>
  <si>
    <t>105,317.00</t>
  </si>
  <si>
    <t>9,998,212.42</t>
  </si>
  <si>
    <t>260,988.00</t>
  </si>
  <si>
    <t>46,463.00</t>
  </si>
  <si>
    <t>5,300,000.00</t>
  </si>
  <si>
    <t>9,996,255.36</t>
  </si>
  <si>
    <t>40,500.00</t>
  </si>
  <si>
    <t>1,326,210.05</t>
  </si>
  <si>
    <t>147,686.00</t>
  </si>
  <si>
    <t>9,998,886.63</t>
  </si>
  <si>
    <t>5,595.00</t>
  </si>
  <si>
    <t>64,800.00</t>
  </si>
  <si>
    <t>158,362.40</t>
  </si>
  <si>
    <t>1,200,100.00</t>
  </si>
  <si>
    <t>118,200.00</t>
  </si>
  <si>
    <t>367,580.00</t>
  </si>
  <si>
    <t>172,898.00</t>
  </si>
  <si>
    <t>9,800,000.00</t>
  </si>
  <si>
    <t>4,608,342.60</t>
  </si>
  <si>
    <t>108,886.00</t>
  </si>
  <si>
    <t>60,200.00</t>
  </si>
  <si>
    <t>254,139.60</t>
  </si>
  <si>
    <t>182,098.04</t>
  </si>
  <si>
    <t>16,660,000.00</t>
  </si>
  <si>
    <t>52,805.50</t>
  </si>
  <si>
    <t>900,857.70</t>
  </si>
  <si>
    <t>79,999,999.99</t>
  </si>
  <si>
    <t>82,130.00</t>
  </si>
  <si>
    <t>491,000.00</t>
  </si>
  <si>
    <t>179,488.40</t>
  </si>
  <si>
    <t>115,950.00</t>
  </si>
  <si>
    <t>489,635.00</t>
  </si>
  <si>
    <t>3,256,545.14</t>
  </si>
  <si>
    <t>61,160.00</t>
  </si>
  <si>
    <t>70,290.00</t>
  </si>
  <si>
    <t>159,870.00</t>
  </si>
  <si>
    <t>3,507,323.31</t>
  </si>
  <si>
    <t>4,719,290.65</t>
  </si>
  <si>
    <t>252,983.91</t>
  </si>
  <si>
    <t>76,292.00</t>
  </si>
  <si>
    <t>17,640,000.00</t>
  </si>
  <si>
    <t>196,770.00</t>
  </si>
  <si>
    <t>2,214,478.26</t>
  </si>
  <si>
    <t>798,841.00</t>
  </si>
  <si>
    <t>19,920,658.80</t>
  </si>
  <si>
    <t>70,229.80</t>
  </si>
  <si>
    <t>242,809.00</t>
  </si>
  <si>
    <t>686,000.00</t>
  </si>
  <si>
    <t>59,900.00</t>
  </si>
  <si>
    <t>369,500.00</t>
  </si>
  <si>
    <t>252,849.81</t>
  </si>
  <si>
    <t>798,000.00</t>
  </si>
  <si>
    <t>839,000.00</t>
  </si>
  <si>
    <t>158,970.00</t>
  </si>
  <si>
    <t>55,875.00</t>
  </si>
  <si>
    <t>502,000.00</t>
  </si>
  <si>
    <t>167,300.00</t>
  </si>
  <si>
    <t>458,298.00</t>
  </si>
  <si>
    <t>144,100.00</t>
  </si>
  <si>
    <t>1,232,550.00</t>
  </si>
  <si>
    <t>925,750.00</t>
  </si>
  <si>
    <t>1,235,604.44</t>
  </si>
  <si>
    <t>29,363.68</t>
  </si>
  <si>
    <t>1,175,000.00</t>
  </si>
  <si>
    <t>72,300.00</t>
  </si>
  <si>
    <t>3,924,780.46</t>
  </si>
  <si>
    <t>1,930,000.00</t>
  </si>
  <si>
    <t>376,689.24</t>
  </si>
  <si>
    <t>66,460.00</t>
  </si>
  <si>
    <t>92,682.00</t>
  </si>
  <si>
    <t>69,560.00</t>
  </si>
  <si>
    <t>108,332.25</t>
  </si>
  <si>
    <t>1,025,641.31</t>
  </si>
  <si>
    <t>124,122.40</t>
  </si>
  <si>
    <t>84,500.00</t>
  </si>
  <si>
    <t>438,078.18</t>
  </si>
  <si>
    <t>18,810,000.00</t>
  </si>
  <si>
    <t>999,400.00</t>
  </si>
  <si>
    <t>1,189,020.00</t>
  </si>
  <si>
    <t>499,812.25</t>
  </si>
  <si>
    <t>17,948,700.00</t>
  </si>
  <si>
    <t>66,907.00</t>
  </si>
  <si>
    <t>493,547.31</t>
  </si>
  <si>
    <t>98,875.00</t>
  </si>
  <si>
    <t>16,000,000.00</t>
  </si>
  <si>
    <t>621,200.00</t>
  </si>
  <si>
    <t>79,273.00</t>
  </si>
  <si>
    <t>267,135.74</t>
  </si>
  <si>
    <t>1,131,423.43</t>
  </si>
  <si>
    <t>34,459.00</t>
  </si>
  <si>
    <t>598,250.00</t>
  </si>
  <si>
    <t>2,975,634.03</t>
  </si>
  <si>
    <t>114,218.00</t>
  </si>
  <si>
    <t>269,960.00</t>
  </si>
  <si>
    <t>142,160.00</t>
  </si>
  <si>
    <t>716,000.00</t>
  </si>
  <si>
    <t>398,343.90</t>
  </si>
  <si>
    <t>70,630.00</t>
  </si>
  <si>
    <t>641,350.00</t>
  </si>
  <si>
    <t>734,700.00</t>
  </si>
  <si>
    <t>17,540.00</t>
  </si>
  <si>
    <t>1,499,745.38</t>
  </si>
  <si>
    <t>56,480.00</t>
  </si>
  <si>
    <t>11,300.00</t>
  </si>
  <si>
    <t>91,910.00</t>
  </si>
  <si>
    <t>180,200.00</t>
  </si>
  <si>
    <t>499,959.79</t>
  </si>
  <si>
    <t>69,040.00</t>
  </si>
  <si>
    <t>317,500.00</t>
  </si>
  <si>
    <t>58,070.00</t>
  </si>
  <si>
    <t>5,838,976.51</t>
  </si>
  <si>
    <t>499,500.65</t>
  </si>
  <si>
    <t>5,902,845.18</t>
  </si>
  <si>
    <t>1,470,000.00</t>
  </si>
  <si>
    <t>44,324.50</t>
  </si>
  <si>
    <t>52,954.65</t>
  </si>
  <si>
    <t>242,628.00</t>
  </si>
  <si>
    <t>470,775.00</t>
  </si>
  <si>
    <t>24,210,499.00</t>
  </si>
  <si>
    <t>56,666.00</t>
  </si>
  <si>
    <t>65,750.00</t>
  </si>
  <si>
    <t>53,300.00</t>
  </si>
  <si>
    <t>235,203.62</t>
  </si>
  <si>
    <t>245,388.00</t>
  </si>
  <si>
    <t>567,206.64</t>
  </si>
  <si>
    <t>5,363,975.36</t>
  </si>
  <si>
    <t>1,478,000.00</t>
  </si>
  <si>
    <t>1,022,154.82</t>
  </si>
  <si>
    <t>204,550.00</t>
  </si>
  <si>
    <t>20,384,000.00</t>
  </si>
  <si>
    <t>140,888.00</t>
  </si>
  <si>
    <t>62,920.00</t>
  </si>
  <si>
    <t>157,672.00</t>
  </si>
  <si>
    <t>399,013.59</t>
  </si>
  <si>
    <t>36,260,000.00</t>
  </si>
  <si>
    <t>86,663.00</t>
  </si>
  <si>
    <t>51,114,017.10</t>
  </si>
  <si>
    <t>364,000.00</t>
  </si>
  <si>
    <t>12,125.00</t>
  </si>
  <si>
    <t>5,315,058.39</t>
  </si>
  <si>
    <t>814,000.00</t>
  </si>
  <si>
    <t>59,400,000.00</t>
  </si>
  <si>
    <t>2,580,048.21</t>
  </si>
  <si>
    <t>298,000.00</t>
  </si>
  <si>
    <t>294,300.00</t>
  </si>
  <si>
    <t>5,350.00</t>
  </si>
  <si>
    <t>61,520.00</t>
  </si>
  <si>
    <t>84,032.00</t>
  </si>
  <si>
    <t>1,808,180.00</t>
  </si>
  <si>
    <t>239,620.89</t>
  </si>
  <si>
    <t>709,273.43</t>
  </si>
  <si>
    <t>76,852.00</t>
  </si>
  <si>
    <t>875,000.00</t>
  </si>
  <si>
    <t>283,135.22</t>
  </si>
  <si>
    <t>165,009.20</t>
  </si>
  <si>
    <t>9,100,000.00</t>
  </si>
  <si>
    <t>156,585.10</t>
  </si>
  <si>
    <t>67,825.00</t>
  </si>
  <si>
    <t>209,900.00</t>
  </si>
  <si>
    <t>3,286,800.00</t>
  </si>
  <si>
    <t>182,200.00</t>
  </si>
  <si>
    <t>148,680.00</t>
  </si>
  <si>
    <t>2,125,765.80</t>
  </si>
  <si>
    <t>147,000.00</t>
  </si>
  <si>
    <t>6,500.00</t>
  </si>
  <si>
    <t>85,600.00</t>
  </si>
  <si>
    <t>10,969.88</t>
  </si>
  <si>
    <t>1,537,958.00</t>
  </si>
  <si>
    <t>79,992.00</t>
  </si>
  <si>
    <t>54,110.00</t>
  </si>
  <si>
    <t>5,167,928.76</t>
  </si>
  <si>
    <t>2,483,900.74</t>
  </si>
  <si>
    <t>273,000.00</t>
  </si>
  <si>
    <t>134,815.00</t>
  </si>
  <si>
    <t>128,675.00</t>
  </si>
  <si>
    <t>251,995.00</t>
  </si>
  <si>
    <t>258,000.00</t>
  </si>
  <si>
    <t>224,628.00</t>
  </si>
  <si>
    <t>34,739,993.84</t>
  </si>
  <si>
    <t>319,927.19</t>
  </si>
  <si>
    <t>100,250.00</t>
  </si>
  <si>
    <t>3,999,255.59</t>
  </si>
  <si>
    <t>5,442,619.39</t>
  </si>
  <si>
    <t>52,800.00</t>
  </si>
  <si>
    <t>2,999,930.57</t>
  </si>
  <si>
    <t>299,796.00</t>
  </si>
  <si>
    <t>239,770.00</t>
  </si>
  <si>
    <t>5,999,968.12</t>
  </si>
  <si>
    <t>177,099.00</t>
  </si>
  <si>
    <t>172,647.80</t>
  </si>
  <si>
    <t>143,146.32</t>
  </si>
  <si>
    <t>99,905.00</t>
  </si>
  <si>
    <t>2,545,920.00</t>
  </si>
  <si>
    <t>542,966.50</t>
  </si>
  <si>
    <t>185,025.00</t>
  </si>
  <si>
    <t>1,580,000.00</t>
  </si>
  <si>
    <t>797,500.00</t>
  </si>
  <si>
    <t>499,963.20</t>
  </si>
  <si>
    <t>58,680.00</t>
  </si>
  <si>
    <t>3,842,409.61</t>
  </si>
  <si>
    <t>664,272.00</t>
  </si>
  <si>
    <t>1,989,525.32</t>
  </si>
  <si>
    <t>237,600.00</t>
  </si>
  <si>
    <t>91,200.00</t>
  </si>
  <si>
    <t>630,205.88</t>
  </si>
  <si>
    <t>633,614.00</t>
  </si>
  <si>
    <t>1,252,581.00</t>
  </si>
  <si>
    <t>499,930.16</t>
  </si>
  <si>
    <t>1,996,000.00</t>
  </si>
  <si>
    <t>561,290.00</t>
  </si>
  <si>
    <t>3,663,768.50</t>
  </si>
  <si>
    <t>3,917,337.60</t>
  </si>
  <si>
    <t>109,931.00</t>
  </si>
  <si>
    <t>147,900.00</t>
  </si>
  <si>
    <t>149,776.26</t>
  </si>
  <si>
    <t>3,999,536.23</t>
  </si>
  <si>
    <t>173,000.00</t>
  </si>
  <si>
    <t>305,956.00</t>
  </si>
  <si>
    <t>7,200,000.00</t>
  </si>
  <si>
    <t>187,300.00</t>
  </si>
  <si>
    <t>329,000.00</t>
  </si>
  <si>
    <t>73,065.00</t>
  </si>
  <si>
    <t>309,900.00</t>
  </si>
  <si>
    <t>2,984,998.32</t>
  </si>
  <si>
    <t>1,573,379.20</t>
  </si>
  <si>
    <t>137,494.00</t>
  </si>
  <si>
    <t>499,955.16</t>
  </si>
  <si>
    <t>1,698,900.68</t>
  </si>
  <si>
    <t>89,486.50</t>
  </si>
  <si>
    <t>33,051.00</t>
  </si>
  <si>
    <t>268,315.29</t>
  </si>
  <si>
    <t>1,296,389.93</t>
  </si>
  <si>
    <t>131,964.00</t>
  </si>
  <si>
    <t>182,660.00</t>
  </si>
  <si>
    <t>164,800.00</t>
  </si>
  <si>
    <t>1,014,505.00</t>
  </si>
  <si>
    <t>207,117.50</t>
  </si>
  <si>
    <t>2,700,000.00</t>
  </si>
  <si>
    <t>1,120,000.00</t>
  </si>
  <si>
    <t>273,420.00</t>
  </si>
  <si>
    <t>96,357.00</t>
  </si>
  <si>
    <t>23,260.00</t>
  </si>
  <si>
    <t>19,823,953.50</t>
  </si>
  <si>
    <t>2,727,869.21</t>
  </si>
  <si>
    <t>249,632.00</t>
  </si>
  <si>
    <t>216,480.00</t>
  </si>
  <si>
    <t>100,400.00</t>
  </si>
  <si>
    <t>3,300,175.83</t>
  </si>
  <si>
    <t>56,734.00</t>
  </si>
  <si>
    <t>498,932.99</t>
  </si>
  <si>
    <t>900,500.00</t>
  </si>
  <si>
    <t>16,444,490.94</t>
  </si>
  <si>
    <t>219,910.00</t>
  </si>
  <si>
    <t>3,891,013.12</t>
  </si>
  <si>
    <t>153,500.00</t>
  </si>
  <si>
    <t>87,366.50</t>
  </si>
  <si>
    <t>99,837.50</t>
  </si>
  <si>
    <t>2,738,090.00</t>
  </si>
  <si>
    <t>73,200.00</t>
  </si>
  <si>
    <t>4,647,889.70</t>
  </si>
  <si>
    <t>16,566,681.56</t>
  </si>
  <si>
    <t>932,400.00</t>
  </si>
  <si>
    <t>600,694.50</t>
  </si>
  <si>
    <t>145,995.00</t>
  </si>
  <si>
    <t>955,546.00</t>
  </si>
  <si>
    <t>7,660,000.00</t>
  </si>
  <si>
    <t>195,459.00</t>
  </si>
  <si>
    <t>84,987.50</t>
  </si>
  <si>
    <t>79,600.00</t>
  </si>
  <si>
    <t>175,750.00</t>
  </si>
  <si>
    <t>246,906.00</t>
  </si>
  <si>
    <t>7,797,955.21</t>
  </si>
  <si>
    <t>103,160.00</t>
  </si>
  <si>
    <t>1,499,993.20</t>
  </si>
  <si>
    <t>204,950.00</t>
  </si>
  <si>
    <t>14,563,108.00</t>
  </si>
  <si>
    <t>16,200,850.21</t>
  </si>
  <si>
    <t>74,330.00</t>
  </si>
  <si>
    <t>125,200.00</t>
  </si>
  <si>
    <t>16,444,844.65</t>
  </si>
  <si>
    <t>461,590.00</t>
  </si>
  <si>
    <t>479,837.50</t>
  </si>
  <si>
    <t>3,353,996.39</t>
  </si>
  <si>
    <t>604,015.34</t>
  </si>
  <si>
    <t>7,531,757.77</t>
  </si>
  <si>
    <t>13,815,892.33</t>
  </si>
  <si>
    <t>275,754.36</t>
  </si>
  <si>
    <t>499,997.80</t>
  </si>
  <si>
    <t>152,400.00</t>
  </si>
  <si>
    <t>254,944.00</t>
  </si>
  <si>
    <t>140,000,000.00</t>
  </si>
  <si>
    <t>109,505.00</t>
  </si>
  <si>
    <t>109,200.00</t>
  </si>
  <si>
    <t>204,600.00</t>
  </si>
  <si>
    <t>3,315,500.00</t>
  </si>
  <si>
    <t>51,250.00</t>
  </si>
  <si>
    <t>392,000.00</t>
  </si>
  <si>
    <t>2,953,021,252.81</t>
  </si>
  <si>
    <t>89,250.00</t>
  </si>
  <si>
    <t>417,005.00</t>
  </si>
  <si>
    <t>2,704,653.27</t>
  </si>
  <si>
    <t>1,172,040.75</t>
  </si>
  <si>
    <t>102,358,000.00</t>
  </si>
  <si>
    <t>94,581,000.00</t>
  </si>
  <si>
    <t>600,889.87</t>
  </si>
  <si>
    <t>329,204.00</t>
  </si>
  <si>
    <t>7,133,800.00</t>
  </si>
  <si>
    <t>15,500,000.00</t>
  </si>
  <si>
    <t>996,500.00</t>
  </si>
  <si>
    <t>4,010,000.00</t>
  </si>
  <si>
    <t>105,150.00</t>
  </si>
  <si>
    <t>463,050.00</t>
  </si>
  <si>
    <t>5,700.00</t>
  </si>
  <si>
    <t>139,531.88</t>
  </si>
  <si>
    <t>84,780.00</t>
  </si>
  <si>
    <t>74,250.00</t>
  </si>
  <si>
    <t>543,478.00</t>
  </si>
  <si>
    <t>573,420.00</t>
  </si>
  <si>
    <t>113,050.00</t>
  </si>
  <si>
    <t>124,800.00</t>
  </si>
  <si>
    <t>2,907,551.25</t>
  </si>
  <si>
    <t>660,820.00</t>
  </si>
  <si>
    <t>3,042,641.78</t>
  </si>
  <si>
    <t>2,344,721.98</t>
  </si>
  <si>
    <t>685,000.00</t>
  </si>
  <si>
    <t>51,880.00</t>
  </si>
  <si>
    <t>2,733,290.49</t>
  </si>
  <si>
    <t>205,100.00</t>
  </si>
  <si>
    <t>1,241,974.60</t>
  </si>
  <si>
    <t>103,688,583.13</t>
  </si>
  <si>
    <t>188,370.00</t>
  </si>
  <si>
    <t>784,422.00</t>
  </si>
  <si>
    <t>2,895,000.00</t>
  </si>
  <si>
    <t>403,000.00</t>
  </si>
  <si>
    <t>1,447,500.00</t>
  </si>
  <si>
    <t>688,850.50</t>
  </si>
  <si>
    <t>60,000,000.00</t>
  </si>
  <si>
    <t>69,070.00</t>
  </si>
  <si>
    <t>81,141.00</t>
  </si>
  <si>
    <t>800,846.00</t>
  </si>
  <si>
    <t>147,265.00</t>
  </si>
  <si>
    <t>853,000.00</t>
  </si>
  <si>
    <t>764,286.67</t>
  </si>
  <si>
    <t>5,750.00</t>
  </si>
  <si>
    <t>2,020,622.85</t>
  </si>
  <si>
    <t>2,741,259.90</t>
  </si>
  <si>
    <t>243,100.00</t>
  </si>
  <si>
    <t>60,182.64</t>
  </si>
  <si>
    <t>429,351.59</t>
  </si>
  <si>
    <t>1,417,743,567.76</t>
  </si>
  <si>
    <t>1,013,250.00</t>
  </si>
  <si>
    <t>10,035,272.69</t>
  </si>
  <si>
    <t>132,800.00</t>
  </si>
  <si>
    <t>10,040,179.73</t>
  </si>
  <si>
    <t>2,082,800.00</t>
  </si>
  <si>
    <t>183,000.00</t>
  </si>
  <si>
    <t>1,292,548.74</t>
  </si>
  <si>
    <t>1,554,596.20</t>
  </si>
  <si>
    <t>1,941,580.00</t>
  </si>
  <si>
    <t>1,536,667.70</t>
  </si>
  <si>
    <t>22,500.00</t>
  </si>
  <si>
    <t>2,920,017.34</t>
  </si>
  <si>
    <t>1,959,908.75</t>
  </si>
  <si>
    <t>187,908.05</t>
  </si>
  <si>
    <t>448,178.94</t>
  </si>
  <si>
    <t>27,872.86</t>
  </si>
  <si>
    <t>2,939,986.68</t>
  </si>
  <si>
    <t>1,098,109.20</t>
  </si>
  <si>
    <t>1,426,000.00</t>
  </si>
  <si>
    <t>14,699,957.40</t>
  </si>
  <si>
    <t>17,534.56</t>
  </si>
  <si>
    <t>9,799,964.58</t>
  </si>
  <si>
    <t>29,741.50</t>
  </si>
  <si>
    <t>1,821,500.00</t>
  </si>
  <si>
    <t>19,599,991.73</t>
  </si>
  <si>
    <t>284,600.00</t>
  </si>
  <si>
    <t>2,939,978.92</t>
  </si>
  <si>
    <t>599,000.00</t>
  </si>
  <si>
    <t>316,819.60</t>
  </si>
  <si>
    <t>3,900,000.00</t>
  </si>
  <si>
    <t>38,779.30</t>
  </si>
  <si>
    <t>371,505.11</t>
  </si>
  <si>
    <t>30,600,000.00</t>
  </si>
  <si>
    <t>239,300.00</t>
  </si>
  <si>
    <t>1,862,713.60</t>
  </si>
  <si>
    <t>4,917,844.00</t>
  </si>
  <si>
    <t>320,500.00</t>
  </si>
  <si>
    <t>947,673.95</t>
  </si>
  <si>
    <t>3,995,775.00</t>
  </si>
  <si>
    <t>30,030.00</t>
  </si>
  <si>
    <t>3,834,105.23</t>
  </si>
  <si>
    <t>994,492.00</t>
  </si>
  <si>
    <t>327,878.72</t>
  </si>
  <si>
    <t>1,348,100,000.00</t>
  </si>
  <si>
    <t>27,680.00</t>
  </si>
  <si>
    <t>5,678,306.36</t>
  </si>
  <si>
    <t>1,290,440.04</t>
  </si>
  <si>
    <t>453,000.00</t>
  </si>
  <si>
    <t>7,800.00</t>
  </si>
  <si>
    <t>89,775.00</t>
  </si>
  <si>
    <t>574,952.87</t>
  </si>
  <si>
    <t>6,890,976.00</t>
  </si>
  <si>
    <t>12,014,000.00</t>
  </si>
  <si>
    <t>2,666,092.33</t>
  </si>
  <si>
    <t>32,338,984.05</t>
  </si>
  <si>
    <t>199,725.00</t>
  </si>
  <si>
    <t>19,599,342.23</t>
  </si>
  <si>
    <t>499,203.14</t>
  </si>
  <si>
    <t>880,132.79</t>
  </si>
  <si>
    <t>312,520.15</t>
  </si>
  <si>
    <t>207,150.00</t>
  </si>
  <si>
    <t>608,969.00</t>
  </si>
  <si>
    <t>12,764,003.81</t>
  </si>
  <si>
    <t>5,120,485.87</t>
  </si>
  <si>
    <t>21,559,873.09</t>
  </si>
  <si>
    <t>165,800.00</t>
  </si>
  <si>
    <t>193,951.00</t>
  </si>
  <si>
    <t>198,886.00</t>
  </si>
  <si>
    <t>176,557.35</t>
  </si>
  <si>
    <t>575,548.00</t>
  </si>
  <si>
    <t>164,807.18</t>
  </si>
  <si>
    <t>624,500.00</t>
  </si>
  <si>
    <t>375,350.00</t>
  </si>
  <si>
    <t>57,907,954.67</t>
  </si>
  <si>
    <t>27,839,000.00</t>
  </si>
  <si>
    <t>1,825,732.58</t>
  </si>
  <si>
    <t>327,566.00</t>
  </si>
  <si>
    <t>150,000,000.00</t>
  </si>
  <si>
    <t>663,950.00</t>
  </si>
  <si>
    <t>2,218,500.00</t>
  </si>
  <si>
    <t>3,998,467.03</t>
  </si>
  <si>
    <t>1,995,870.00</t>
  </si>
  <si>
    <t>27,980,131.24</t>
  </si>
  <si>
    <t>15,560,897.36</t>
  </si>
  <si>
    <t>4,949,999.74</t>
  </si>
  <si>
    <t>115,710.00</t>
  </si>
  <si>
    <t>255,738.00</t>
  </si>
  <si>
    <t>1,499,999.79</t>
  </si>
  <si>
    <t>5,545,000.00</t>
  </si>
  <si>
    <t>999,996.00</t>
  </si>
  <si>
    <t>699,999.43</t>
  </si>
  <si>
    <t>227,675.00</t>
  </si>
  <si>
    <t>2,542,000.00</t>
  </si>
  <si>
    <t>210,600.00</t>
  </si>
  <si>
    <t>124,200.00</t>
  </si>
  <si>
    <t>96,443.55</t>
  </si>
  <si>
    <t>864,874.90</t>
  </si>
  <si>
    <t>497,792.60</t>
  </si>
  <si>
    <t>656,585.00</t>
  </si>
  <si>
    <t>163,510.00</t>
  </si>
  <si>
    <t>49,895.00</t>
  </si>
  <si>
    <t>319,000.00</t>
  </si>
  <si>
    <t>358,310.00</t>
  </si>
  <si>
    <t>1,271,256.00</t>
  </si>
  <si>
    <t>328,520.00</t>
  </si>
  <si>
    <t>343,480.00</t>
  </si>
  <si>
    <t>1,932,290.00</t>
  </si>
  <si>
    <t>265,650.00</t>
  </si>
  <si>
    <t>67,600.00</t>
  </si>
  <si>
    <t>191,625.00</t>
  </si>
  <si>
    <t>1,176,400.00</t>
  </si>
  <si>
    <t>153,075.00</t>
  </si>
  <si>
    <t>9,999,708.35</t>
  </si>
  <si>
    <t>275,800.00</t>
  </si>
  <si>
    <t>291,751.00</t>
  </si>
  <si>
    <t>86,540.00</t>
  </si>
  <si>
    <t>175,770.00</t>
  </si>
  <si>
    <t>101,044.00</t>
  </si>
  <si>
    <t>49,983.75</t>
  </si>
  <si>
    <t>56,699,988.00</t>
  </si>
  <si>
    <t>982,094.90</t>
  </si>
  <si>
    <t>960,701.86</t>
  </si>
  <si>
    <t>599,950.00</t>
  </si>
  <si>
    <t>1,069,665.48</t>
  </si>
  <si>
    <t>840,870.00</t>
  </si>
  <si>
    <t>371,695.30</t>
  </si>
  <si>
    <t>1,747,385.76</t>
  </si>
  <si>
    <t>291,496.33</t>
  </si>
  <si>
    <t>154,628.00</t>
  </si>
  <si>
    <t>324,400.00</t>
  </si>
  <si>
    <t>1,092,529.69</t>
  </si>
  <si>
    <t>89,345.00</t>
  </si>
  <si>
    <t>879,149.35</t>
  </si>
  <si>
    <t>246,580.00</t>
  </si>
  <si>
    <t>1,048,949.10</t>
  </si>
  <si>
    <t>1,947,550.00</t>
  </si>
  <si>
    <t>625,179.18</t>
  </si>
  <si>
    <t>576,816.61</t>
  </si>
  <si>
    <t>341,735.00</t>
  </si>
  <si>
    <t>705,783.40</t>
  </si>
  <si>
    <t>484,946.47</t>
  </si>
  <si>
    <t>1,662,100.00</t>
  </si>
  <si>
    <t>308,815.23</t>
  </si>
  <si>
    <t>763,984.00</t>
  </si>
  <si>
    <t>233,809.52</t>
  </si>
  <si>
    <t>723,685.71</t>
  </si>
  <si>
    <t>178,600.00</t>
  </si>
  <si>
    <t>4,290,000.00</t>
  </si>
  <si>
    <t>452,704.78</t>
  </si>
  <si>
    <t>141,460.67</t>
  </si>
  <si>
    <t>1,002,000.00</t>
  </si>
  <si>
    <t>5,810,000.00</t>
  </si>
  <si>
    <t>399,680.66</t>
  </si>
  <si>
    <t>229,800.00</t>
  </si>
  <si>
    <t>36,749,216.45</t>
  </si>
  <si>
    <t>2,287,000.00</t>
  </si>
  <si>
    <t>1,280,741.00</t>
  </si>
  <si>
    <t>305,000.00</t>
  </si>
  <si>
    <t>96,523.60</t>
  </si>
  <si>
    <t>486,092.80</t>
  </si>
  <si>
    <t>499,271.60</t>
  </si>
  <si>
    <t>630,139.60</t>
  </si>
  <si>
    <t>130,540.50</t>
  </si>
  <si>
    <t>4,204,000.00</t>
  </si>
  <si>
    <t>100,732.00</t>
  </si>
  <si>
    <t>1,204,740.00</t>
  </si>
  <si>
    <t>349,750.00</t>
  </si>
  <si>
    <t>134,067.00</t>
  </si>
  <si>
    <t>179,094.00</t>
  </si>
  <si>
    <t>422,368.20</t>
  </si>
  <si>
    <t>1,108,369.14</t>
  </si>
  <si>
    <t>38,900.00</t>
  </si>
  <si>
    <t>767,000.00</t>
  </si>
  <si>
    <t>3,702,007.20</t>
  </si>
  <si>
    <t>373,456.05</t>
  </si>
  <si>
    <t>960,256.00</t>
  </si>
  <si>
    <t>499,998.89</t>
  </si>
  <si>
    <t>24,874,998.98</t>
  </si>
  <si>
    <t>1,999,305.92</t>
  </si>
  <si>
    <t>846,149.10</t>
  </si>
  <si>
    <t>75,555.00</t>
  </si>
  <si>
    <t>108,120.00</t>
  </si>
  <si>
    <t>55,424.30</t>
  </si>
  <si>
    <t>998,277.50</t>
  </si>
  <si>
    <t>62,125.00</t>
  </si>
  <si>
    <t>159,770.00</t>
  </si>
  <si>
    <t>296,553.20</t>
  </si>
  <si>
    <t>399,500.00</t>
  </si>
  <si>
    <t>42,276.00</t>
  </si>
  <si>
    <t>468,750.00</t>
  </si>
  <si>
    <t>299,938.00</t>
  </si>
  <si>
    <t>447,230.44</t>
  </si>
  <si>
    <t>432,642.43</t>
  </si>
  <si>
    <t>82,195.00</t>
  </si>
  <si>
    <t>281,902.83</t>
  </si>
  <si>
    <t>60,110.00</t>
  </si>
  <si>
    <t>847,600.00</t>
  </si>
  <si>
    <t>178,565.00</t>
  </si>
  <si>
    <t>210,620.00</t>
  </si>
  <si>
    <t>1,350,000.00</t>
  </si>
  <si>
    <t>54,954.00</t>
  </si>
  <si>
    <t>4,750,000.00</t>
  </si>
  <si>
    <t>3,512,261.48</t>
  </si>
  <si>
    <t>909,966.75</t>
  </si>
  <si>
    <t>84,998.00</t>
  </si>
  <si>
    <t>739,000.00</t>
  </si>
  <si>
    <t>290,350.00</t>
  </si>
  <si>
    <t>4,592,000.00</t>
  </si>
  <si>
    <t>301,590.00</t>
  </si>
  <si>
    <t>1,850,000.00</t>
  </si>
  <si>
    <t>96,750.00</t>
  </si>
  <si>
    <t>1,340,000.00</t>
  </si>
  <si>
    <t>2,495,013.18</t>
  </si>
  <si>
    <t>1,499,813.50</t>
  </si>
  <si>
    <t>233,050.00</t>
  </si>
  <si>
    <t>50,293.00</t>
  </si>
  <si>
    <t>989,919.00</t>
  </si>
  <si>
    <t>550,160.00</t>
  </si>
  <si>
    <t>2,067,851.48</t>
  </si>
  <si>
    <t>1,270,500.00</t>
  </si>
  <si>
    <t>365,244.75</t>
  </si>
  <si>
    <t>996,135.00</t>
  </si>
  <si>
    <t>233,000.00</t>
  </si>
  <si>
    <t>73,385.00</t>
  </si>
  <si>
    <t>71,400.00</t>
  </si>
  <si>
    <t>113,915.00</t>
  </si>
  <si>
    <t>1,867,781.25</t>
  </si>
  <si>
    <t>71,114,312.00</t>
  </si>
  <si>
    <t>891,660.70</t>
  </si>
  <si>
    <t>636,285.50</t>
  </si>
  <si>
    <t>8,640.00</t>
  </si>
  <si>
    <t>355,025.00</t>
  </si>
  <si>
    <t>53,500.00</t>
  </si>
  <si>
    <t>1,937,054.93</t>
  </si>
  <si>
    <t>72,930.00</t>
  </si>
  <si>
    <t>67,300.00</t>
  </si>
  <si>
    <t>1,623,100.00</t>
  </si>
  <si>
    <t>1,818,424.00</t>
  </si>
  <si>
    <t>3,170,681.00</t>
  </si>
  <si>
    <t>98,320.00</t>
  </si>
  <si>
    <t>835,850.40</t>
  </si>
  <si>
    <t>1,965,253.00</t>
  </si>
  <si>
    <t>1,926,621.58</t>
  </si>
  <si>
    <t>279,858.40</t>
  </si>
  <si>
    <t>391,000.00</t>
  </si>
  <si>
    <t>1,803,648.00</t>
  </si>
  <si>
    <t>674,180.59</t>
  </si>
  <si>
    <t>1,826,700.00</t>
  </si>
  <si>
    <t>802,377.90</t>
  </si>
  <si>
    <t>160,500.00</t>
  </si>
  <si>
    <t>248,601.00</t>
  </si>
  <si>
    <t>384,993.00</t>
  </si>
  <si>
    <t>2,475,900.00</t>
  </si>
  <si>
    <t>58,453.00</t>
  </si>
  <si>
    <t>620,227.21</t>
  </si>
  <si>
    <t>61,757.00</t>
  </si>
  <si>
    <t>303,850.00</t>
  </si>
  <si>
    <t>142,646.00</t>
  </si>
  <si>
    <t>656,173.00</t>
  </si>
  <si>
    <t>503,400.00</t>
  </si>
  <si>
    <t>1,536,777.78</t>
  </si>
  <si>
    <t>2,225,205.60</t>
  </si>
  <si>
    <t>193,600.00</t>
  </si>
  <si>
    <t>35,240.00</t>
  </si>
  <si>
    <t>99,630.00</t>
  </si>
  <si>
    <t>69,750.00</t>
  </si>
  <si>
    <t>166,903.00</t>
  </si>
  <si>
    <t>248,700.00</t>
  </si>
  <si>
    <t>4,585,700.60</t>
  </si>
  <si>
    <t>125,639.00</t>
  </si>
  <si>
    <t>157,930.00</t>
  </si>
  <si>
    <t>5,775,000.00</t>
  </si>
  <si>
    <t>1,840,888.12</t>
  </si>
  <si>
    <t>3,430,342.80</t>
  </si>
  <si>
    <t>1,999,690.63</t>
  </si>
  <si>
    <t>1,298,000.00</t>
  </si>
  <si>
    <t>197,997.34</t>
  </si>
  <si>
    <t>115,708.50</t>
  </si>
  <si>
    <t>1,725,000.00</t>
  </si>
  <si>
    <t>69,940.00</t>
  </si>
  <si>
    <t>211,140.20</t>
  </si>
  <si>
    <t>2,573,969.40</t>
  </si>
  <si>
    <t>1,374,259.27</t>
  </si>
  <si>
    <t>22,704,948.51</t>
  </si>
  <si>
    <t>188,000.00</t>
  </si>
  <si>
    <t>641,400.00</t>
  </si>
  <si>
    <t>947,200.07</t>
  </si>
  <si>
    <t>730,760.00</t>
  </si>
  <si>
    <t>67,659.00</t>
  </si>
  <si>
    <t>362,000.00</t>
  </si>
  <si>
    <t>164,890.00</t>
  </si>
  <si>
    <t>430,481.00</t>
  </si>
  <si>
    <t>389,507.00</t>
  </si>
  <si>
    <t>8,550.00</t>
  </si>
  <si>
    <t>315,086.00</t>
  </si>
  <si>
    <t>185,502.50</t>
  </si>
  <si>
    <t>133,790.00</t>
  </si>
  <si>
    <t>220,826.25</t>
  </si>
  <si>
    <t>8,200.00</t>
  </si>
  <si>
    <t>43,039,408.02</t>
  </si>
  <si>
    <t>426,790.00</t>
  </si>
  <si>
    <t>12,935,000.00</t>
  </si>
  <si>
    <t>1,150,000.00</t>
  </si>
  <si>
    <t>18,555.00</t>
  </si>
  <si>
    <t>203,040.00</t>
  </si>
  <si>
    <t>168,686.00</t>
  </si>
  <si>
    <t>276,330.00</t>
  </si>
  <si>
    <t>138,600.00</t>
  </si>
  <si>
    <t>1,538,063.27</t>
  </si>
  <si>
    <t>313,785.00</t>
  </si>
  <si>
    <t>2,786,853.16</t>
  </si>
  <si>
    <t>999,550.00</t>
  </si>
  <si>
    <t>318,401.00</t>
  </si>
  <si>
    <t>192,230.92</t>
  </si>
  <si>
    <t>196,336.00</t>
  </si>
  <si>
    <t>172,833.20</t>
  </si>
  <si>
    <t>144,520.00</t>
  </si>
  <si>
    <t>184,950.00</t>
  </si>
  <si>
    <t>138,543.00</t>
  </si>
  <si>
    <t>389,930.00</t>
  </si>
  <si>
    <t>514,800.00</t>
  </si>
  <si>
    <t>999,554.28</t>
  </si>
  <si>
    <t>2,228,040.00</t>
  </si>
  <si>
    <t>100,990.00</t>
  </si>
  <si>
    <t>595,054.69</t>
  </si>
  <si>
    <t>221,000.00</t>
  </si>
  <si>
    <t>186,680.00</t>
  </si>
  <si>
    <t>168,160.00</t>
  </si>
  <si>
    <t>3,123,000.00</t>
  </si>
  <si>
    <t>71,246.00</t>
  </si>
  <si>
    <t>79,876.00</t>
  </si>
  <si>
    <t>4,633,209.52</t>
  </si>
  <si>
    <t>2,856,200.00</t>
  </si>
  <si>
    <t>840,000.00</t>
  </si>
  <si>
    <t>61,255.00</t>
  </si>
  <si>
    <t>64,400.00</t>
  </si>
  <si>
    <t>30,846,431.18</t>
  </si>
  <si>
    <t>355,500.00</t>
  </si>
  <si>
    <t>45,075,000.00</t>
  </si>
  <si>
    <t>22,070.00</t>
  </si>
  <si>
    <t>2,994,726.77</t>
  </si>
  <si>
    <t>306,667.00</t>
  </si>
  <si>
    <t>3,005,951.81</t>
  </si>
  <si>
    <t>322,814.12</t>
  </si>
  <si>
    <t>101,232.00</t>
  </si>
  <si>
    <t>39,199,257.45</t>
  </si>
  <si>
    <t>72,900.00</t>
  </si>
  <si>
    <t>49,585.66</t>
  </si>
  <si>
    <t>10,700.00</t>
  </si>
  <si>
    <t>48,999,171.04</t>
  </si>
  <si>
    <t>571,712.80</t>
  </si>
  <si>
    <t>479,328.12</t>
  </si>
  <si>
    <t>1,828,000.00</t>
  </si>
  <si>
    <t>174,592.00</t>
  </si>
  <si>
    <t>245,000.00</t>
  </si>
  <si>
    <t>185,122.07</t>
  </si>
  <si>
    <t>56,770.00</t>
  </si>
  <si>
    <t>1,213,800.00</t>
  </si>
  <si>
    <t>253,600.00</t>
  </si>
  <si>
    <t>155,009.35</t>
  </si>
  <si>
    <t>2,429,489.00</t>
  </si>
  <si>
    <t>269,983.70</t>
  </si>
  <si>
    <t>344,250.00</t>
  </si>
  <si>
    <t>388,000.00</t>
  </si>
  <si>
    <t>721,774.00</t>
  </si>
  <si>
    <t>181,960.00</t>
  </si>
  <si>
    <t>64,267.56</t>
  </si>
  <si>
    <t>54,250.00</t>
  </si>
  <si>
    <t>199,999.59</t>
  </si>
  <si>
    <t>112,164.00</t>
  </si>
  <si>
    <t>369,741.00</t>
  </si>
  <si>
    <t>1,209,600.00</t>
  </si>
  <si>
    <t>173,480.00</t>
  </si>
  <si>
    <t>111,111.11</t>
  </si>
  <si>
    <t>3,294,000.81</t>
  </si>
  <si>
    <t>125,650.00</t>
  </si>
  <si>
    <t>5,013,000.00</t>
  </si>
  <si>
    <t>1,958,140.00</t>
  </si>
  <si>
    <t>949,602.00</t>
  </si>
  <si>
    <t>5,860.00</t>
  </si>
  <si>
    <t>129,500.00</t>
  </si>
  <si>
    <t>8,823,491.10</t>
  </si>
  <si>
    <t>520,500.00</t>
  </si>
  <si>
    <t>120,370.25</t>
  </si>
  <si>
    <t>596,400.00</t>
  </si>
  <si>
    <t>842,125.79</t>
  </si>
  <si>
    <t>15,700.00</t>
  </si>
  <si>
    <t>71,240.00</t>
  </si>
  <si>
    <t>124,999.78</t>
  </si>
  <si>
    <t>1,009,000.00</t>
  </si>
  <si>
    <t>3,911,763.56</t>
  </si>
  <si>
    <t>909,000.00</t>
  </si>
  <si>
    <t>14,699,818.40</t>
  </si>
  <si>
    <t>148,148.15</t>
  </si>
  <si>
    <t>11,334,500.00</t>
  </si>
  <si>
    <t>195,725.00</t>
  </si>
  <si>
    <t>134,665.00</t>
  </si>
  <si>
    <t>182,420.00</t>
  </si>
  <si>
    <t>616,674.08</t>
  </si>
  <si>
    <t>1,075,900.00</t>
  </si>
  <si>
    <t>146,997.00</t>
  </si>
  <si>
    <t>400,400.00</t>
  </si>
  <si>
    <t>5,298,316.00</t>
  </si>
  <si>
    <t>2,188,000.00</t>
  </si>
  <si>
    <t>84,350.00</t>
  </si>
  <si>
    <t>97,815.00</t>
  </si>
  <si>
    <t>1,096,500.00</t>
  </si>
  <si>
    <t>38,300,721.70</t>
  </si>
  <si>
    <t>405,000.00</t>
  </si>
  <si>
    <t>94,665.00</t>
  </si>
  <si>
    <t>1,035,000.00</t>
  </si>
  <si>
    <t>1,430,960.00</t>
  </si>
  <si>
    <t>3,030,260.00</t>
  </si>
  <si>
    <t>4,046,650.00</t>
  </si>
  <si>
    <t>159,950.00</t>
  </si>
  <si>
    <t>5,405,448.75</t>
  </si>
  <si>
    <t>2,412,700.00</t>
  </si>
  <si>
    <t>37,406,826.42</t>
  </si>
  <si>
    <t>1,485,600.00</t>
  </si>
  <si>
    <t>701,000.00</t>
  </si>
  <si>
    <t>248,500.00</t>
  </si>
  <si>
    <t>21,486,819.59</t>
  </si>
  <si>
    <t>182,757.50</t>
  </si>
  <si>
    <t>4,491,180.00</t>
  </si>
  <si>
    <t>1,199,890.00</t>
  </si>
  <si>
    <t>79,920.00</t>
  </si>
  <si>
    <t>335,800.00</t>
  </si>
  <si>
    <t>158,200.00</t>
  </si>
  <si>
    <t>56,390.00</t>
  </si>
  <si>
    <t>321,510.00</t>
  </si>
  <si>
    <t>56,730.00</t>
  </si>
  <si>
    <t>12,500.00</t>
  </si>
  <si>
    <t>38,307,449.45</t>
  </si>
  <si>
    <t>5,796,682.68</t>
  </si>
  <si>
    <t>424,837.00</t>
  </si>
  <si>
    <t>75,250.00</t>
  </si>
  <si>
    <t>6,226,500.00</t>
  </si>
  <si>
    <t>749,000.00</t>
  </si>
  <si>
    <t>400,345.00</t>
  </si>
  <si>
    <t>313,500.00</t>
  </si>
  <si>
    <t>65,950.00</t>
  </si>
  <si>
    <t>2,869,000.00</t>
  </si>
  <si>
    <t>416,300.00</t>
  </si>
  <si>
    <t>2,515,220.00</t>
  </si>
  <si>
    <t>6,832,312.20</t>
  </si>
  <si>
    <t>367,865.00</t>
  </si>
  <si>
    <t>11,140.00</t>
  </si>
  <si>
    <t>271,000.00</t>
  </si>
  <si>
    <t>570,150.00</t>
  </si>
  <si>
    <t>81,550.00</t>
  </si>
  <si>
    <t>112,700.00</t>
  </si>
  <si>
    <t>59,264.00</t>
  </si>
  <si>
    <t>239,859.38</t>
  </si>
  <si>
    <t>92,200.00</t>
  </si>
  <si>
    <t>30,000,000.00</t>
  </si>
  <si>
    <t>179,400.00</t>
  </si>
  <si>
    <t>677,848.00</t>
  </si>
  <si>
    <t>78,600.00</t>
  </si>
  <si>
    <t>41,735.98</t>
  </si>
  <si>
    <t>14,206,871.40</t>
  </si>
  <si>
    <t>2,485,561.20</t>
  </si>
  <si>
    <t>7,830,000.00</t>
  </si>
  <si>
    <t>312,050.00</t>
  </si>
  <si>
    <t>199,733.00</t>
  </si>
  <si>
    <t>82,590.00</t>
  </si>
  <si>
    <t>328,900.00</t>
  </si>
  <si>
    <t>7,808,356.80</t>
  </si>
  <si>
    <t>980,960.00</t>
  </si>
  <si>
    <t>29,486.00</t>
  </si>
  <si>
    <t>1,040,000.00</t>
  </si>
  <si>
    <t>2,140.00</t>
  </si>
  <si>
    <t>1,419,501.64</t>
  </si>
  <si>
    <t>453,975.87</t>
  </si>
  <si>
    <t>132,941.16</t>
  </si>
  <si>
    <t>1,415,000.00</t>
  </si>
  <si>
    <t>5,820,000.00</t>
  </si>
  <si>
    <t>550,566.19</t>
  </si>
  <si>
    <t>61,120.00</t>
  </si>
  <si>
    <t>383,250.00</t>
  </si>
  <si>
    <t>180,212.00</t>
  </si>
  <si>
    <t>3,148,509.00</t>
  </si>
  <si>
    <t>54,700.00</t>
  </si>
  <si>
    <t>1,215,000.00</t>
  </si>
  <si>
    <t>249,990.00</t>
  </si>
  <si>
    <t>1,382,440.55</t>
  </si>
  <si>
    <t>404,032.00</t>
  </si>
  <si>
    <t>2,366,771.54</t>
  </si>
  <si>
    <t>296,236.00</t>
  </si>
  <si>
    <t>2,998,050.00</t>
  </si>
  <si>
    <t>717,084.50</t>
  </si>
  <si>
    <t>34,147.62</t>
  </si>
  <si>
    <t>388,300.00</t>
  </si>
  <si>
    <t>105,882.00</t>
  </si>
  <si>
    <t>178,550.00</t>
  </si>
  <si>
    <t>312,984.00</t>
  </si>
  <si>
    <t>2,589,000.00</t>
  </si>
  <si>
    <t>148,302.00</t>
  </si>
  <si>
    <t>13,999,853.73</t>
  </si>
  <si>
    <t>1,796,900.00</t>
  </si>
  <si>
    <t>970,368.00</t>
  </si>
  <si>
    <t>33,136.00</t>
  </si>
  <si>
    <t>44,200.00</t>
  </si>
  <si>
    <t>152,631.14</t>
  </si>
  <si>
    <t>18,949,654.50</t>
  </si>
  <si>
    <t>528,960.00</t>
  </si>
  <si>
    <t>28,949,997.73</t>
  </si>
  <si>
    <t>4,610,000.00</t>
  </si>
  <si>
    <t>37,941.80</t>
  </si>
  <si>
    <t>367,011.20</t>
  </si>
  <si>
    <t>387,200.00</t>
  </si>
  <si>
    <t>148,960.00</t>
  </si>
  <si>
    <t>1,484,906.06</t>
  </si>
  <si>
    <t>82,100.00</t>
  </si>
  <si>
    <t>373,806.00</t>
  </si>
  <si>
    <t>51,200.00</t>
  </si>
  <si>
    <t>15,650,391.64</t>
  </si>
  <si>
    <t>9,998,120.39</t>
  </si>
  <si>
    <t>5,050,000.00</t>
  </si>
  <si>
    <t>38,304,641.07</t>
  </si>
  <si>
    <t>1.00</t>
  </si>
  <si>
    <t>30,082,593.50</t>
  </si>
  <si>
    <t>116,400.00</t>
  </si>
  <si>
    <t>11,462,000.00</t>
  </si>
  <si>
    <t>24,767.45</t>
  </si>
  <si>
    <t>9,920.00</t>
  </si>
  <si>
    <t>287,244.00</t>
  </si>
  <si>
    <t>387,000.00</t>
  </si>
  <si>
    <t>905,619.35</t>
  </si>
  <si>
    <t>59,852.00</t>
  </si>
  <si>
    <t>992,530.00</t>
  </si>
  <si>
    <t>815,676.00</t>
  </si>
  <si>
    <t>65,155.00</t>
  </si>
  <si>
    <t>49,200.00</t>
  </si>
  <si>
    <t>199,266.30</t>
  </si>
  <si>
    <t>43,000.00</t>
  </si>
  <si>
    <t>249,911.00</t>
  </si>
  <si>
    <t>183,822.31</t>
  </si>
  <si>
    <t>198,547.00</t>
  </si>
  <si>
    <t>70,940.00</t>
  </si>
  <si>
    <t>999,642.60</t>
  </si>
  <si>
    <t>1,772,577.95</t>
  </si>
  <si>
    <t>125,350.00</t>
  </si>
  <si>
    <t>1,999,860.00</t>
  </si>
  <si>
    <t>999,830.00</t>
  </si>
  <si>
    <t>3,256,942.54</t>
  </si>
  <si>
    <t>870,775.00</t>
  </si>
  <si>
    <t>2,831,676.00</t>
  </si>
  <si>
    <t>1,894,417.50</t>
  </si>
  <si>
    <t>85,812.30</t>
  </si>
  <si>
    <t>800,045.00</t>
  </si>
  <si>
    <t>59,575.00</t>
  </si>
  <si>
    <t>640,073.62</t>
  </si>
  <si>
    <t>1,210,440.00</t>
  </si>
  <si>
    <t>1,401,583.77</t>
  </si>
  <si>
    <t>59,905.66</t>
  </si>
  <si>
    <t>90,550.00</t>
  </si>
  <si>
    <t>2,880,000.00</t>
  </si>
  <si>
    <t>459,055.46</t>
  </si>
  <si>
    <t>101,000.00</t>
  </si>
  <si>
    <t>24,675,000.00</t>
  </si>
  <si>
    <t>53,350.00</t>
  </si>
  <si>
    <t>64,736.00</t>
  </si>
  <si>
    <t>999,995.00</t>
  </si>
  <si>
    <t>400,050.00</t>
  </si>
  <si>
    <t>972,633.65</t>
  </si>
  <si>
    <t>1,825,500.00</t>
  </si>
  <si>
    <t>1,179,700.00</t>
  </si>
  <si>
    <t>3,162,000.00</t>
  </si>
  <si>
    <t>117,760.00</t>
  </si>
  <si>
    <t>1,423,087.83</t>
  </si>
  <si>
    <t>1,540,000.00</t>
  </si>
  <si>
    <t>365,700.00</t>
  </si>
  <si>
    <t>75,860.00</t>
  </si>
  <si>
    <t>728,100.00</t>
  </si>
  <si>
    <t>9,000,000.00</t>
  </si>
  <si>
    <t>345,118.00</t>
  </si>
  <si>
    <t>999,915.00</t>
  </si>
  <si>
    <t>208,518.00</t>
  </si>
  <si>
    <t>43,779,916.26</t>
  </si>
  <si>
    <t>979,888.44</t>
  </si>
  <si>
    <t>72,820.70</t>
  </si>
  <si>
    <t>94,095.00</t>
  </si>
  <si>
    <t>150,835.00</t>
  </si>
  <si>
    <t>59,070.00</t>
  </si>
  <si>
    <t>999,979.14</t>
  </si>
  <si>
    <t>4,246,783.00</t>
  </si>
  <si>
    <t>379,725.00</t>
  </si>
  <si>
    <t>92,785.00</t>
  </si>
  <si>
    <t>109,760.00</t>
  </si>
  <si>
    <t>1,172,952.00</t>
  </si>
  <si>
    <t>68,611.14</t>
  </si>
  <si>
    <t>218,947.68</t>
  </si>
  <si>
    <t>60,419.00</t>
  </si>
  <si>
    <t>9,849,942.95</t>
  </si>
  <si>
    <t>71,225.00</t>
  </si>
  <si>
    <t>94,200.00</t>
  </si>
  <si>
    <t>270,225.00</t>
  </si>
  <si>
    <t>59,920.00</t>
  </si>
  <si>
    <t>906,000.00</t>
  </si>
  <si>
    <t>843,360.00</t>
  </si>
  <si>
    <t>8,912,982.47</t>
  </si>
  <si>
    <t>141,500.00</t>
  </si>
  <si>
    <t>3,694,689.00</t>
  </si>
  <si>
    <t>1,737,550.00</t>
  </si>
  <si>
    <t>333,600.00</t>
  </si>
  <si>
    <t>53,086.00</t>
  </si>
  <si>
    <t>77,695.00</t>
  </si>
  <si>
    <t>45,181.00</t>
  </si>
  <si>
    <t>372,994.40</t>
  </si>
  <si>
    <t>106,680.00</t>
  </si>
  <si>
    <t>23,052.12</t>
  </si>
  <si>
    <t>57,780.00</t>
  </si>
  <si>
    <t>2,714.00</t>
  </si>
  <si>
    <t>3,605,553.96</t>
  </si>
  <si>
    <t>672,000.00</t>
  </si>
  <si>
    <t>75,384.00</t>
  </si>
  <si>
    <t>18,793.50</t>
  </si>
  <si>
    <t>191,647.00</t>
  </si>
  <si>
    <t>16,640,604.36</t>
  </si>
  <si>
    <t>52,872,660.00</t>
  </si>
  <si>
    <t>715,650.78</t>
  </si>
  <si>
    <t>52,580.00</t>
  </si>
  <si>
    <t>57,969.38</t>
  </si>
  <si>
    <t>17,500.00</t>
  </si>
  <si>
    <t>798,995.57</t>
  </si>
  <si>
    <t>738,950.00</t>
  </si>
  <si>
    <t>63,800.00</t>
  </si>
  <si>
    <t>512,090.00</t>
  </si>
  <si>
    <t>67,980.00</t>
  </si>
  <si>
    <t>17,500,000.00</t>
  </si>
  <si>
    <t>299,965.00</t>
  </si>
  <si>
    <t>287,394.00</t>
  </si>
  <si>
    <t>63,893.90</t>
  </si>
  <si>
    <t>80,882.00</t>
  </si>
  <si>
    <t>705,685.51</t>
  </si>
  <si>
    <t>1,589,411.97</t>
  </si>
  <si>
    <t>309,844.21</t>
  </si>
  <si>
    <t>6,820,000.00</t>
  </si>
  <si>
    <t>463,440.00</t>
  </si>
  <si>
    <t>349,880.27</t>
  </si>
  <si>
    <t>198,624.09</t>
  </si>
  <si>
    <t>123,183.64</t>
  </si>
  <si>
    <t>8,682,933.16</t>
  </si>
  <si>
    <t>88,100.00</t>
  </si>
  <si>
    <t>23,880,000.00</t>
  </si>
  <si>
    <t>3,274,000.00</t>
  </si>
  <si>
    <t>206,335.00</t>
  </si>
  <si>
    <t>47,020,478.69</t>
  </si>
  <si>
    <t>19,900,000.00</t>
  </si>
  <si>
    <t>136,636.00</t>
  </si>
  <si>
    <t>32,660.00</t>
  </si>
  <si>
    <t>66,936.00</t>
  </si>
  <si>
    <t>1,394,281.31</t>
  </si>
  <si>
    <t>80,045.00</t>
  </si>
  <si>
    <t>1,159,436.25</t>
  </si>
  <si>
    <t>2,987,080.00</t>
  </si>
  <si>
    <t>991,200.00</t>
  </si>
  <si>
    <t>118,570.00</t>
  </si>
  <si>
    <t>151,900.00</t>
  </si>
  <si>
    <t>119,800.00</t>
  </si>
  <si>
    <t>476,606.40</t>
  </si>
  <si>
    <t>124,082.00</t>
  </si>
  <si>
    <t>83,412.00</t>
  </si>
  <si>
    <t>100,744.00</t>
  </si>
  <si>
    <t>18,149,874.36</t>
  </si>
  <si>
    <t>3,457,158.00</t>
  </si>
  <si>
    <t>3,450,000.00</t>
  </si>
  <si>
    <t>162,310.00</t>
  </si>
  <si>
    <t>2,493,316.34</t>
  </si>
  <si>
    <t>997,500.00</t>
  </si>
  <si>
    <t>4,062,628.26</t>
  </si>
  <si>
    <t>1,260,570.50</t>
  </si>
  <si>
    <t>46,690.00</t>
  </si>
  <si>
    <t>2,130,000.00</t>
  </si>
  <si>
    <t>62,250.00</t>
  </si>
  <si>
    <t>36,890.00</t>
  </si>
  <si>
    <t>6,992,151.60</t>
  </si>
  <si>
    <t>4,100,000.00</t>
  </si>
  <si>
    <t>199,540.00</t>
  </si>
  <si>
    <t>276,950.00</t>
  </si>
  <si>
    <t>509,076.00</t>
  </si>
  <si>
    <t>623,798.00</t>
  </si>
  <si>
    <t>212,320.00</t>
  </si>
  <si>
    <t>3,114,129.61</t>
  </si>
  <si>
    <t>6,879,719.73</t>
  </si>
  <si>
    <t>175,642.00</t>
  </si>
  <si>
    <t>265,000.00</t>
  </si>
  <si>
    <t>984,915.00</t>
  </si>
  <si>
    <t>202,414.87</t>
  </si>
  <si>
    <t>4,917,000.00</t>
  </si>
  <si>
    <t>241,206.55</t>
  </si>
  <si>
    <t>1,499,999.70</t>
  </si>
  <si>
    <t>324,375.00</t>
  </si>
  <si>
    <t>51,299.00</t>
  </si>
  <si>
    <t>400,184.50</t>
  </si>
  <si>
    <t>2,979,670.00</t>
  </si>
  <si>
    <t>430,950.00</t>
  </si>
  <si>
    <t>153,025.00</t>
  </si>
  <si>
    <t>376,560.00</t>
  </si>
  <si>
    <t>57,645.00</t>
  </si>
  <si>
    <t>57,550.00</t>
  </si>
  <si>
    <t>386,531.00</t>
  </si>
  <si>
    <t>273,900.00</t>
  </si>
  <si>
    <t>998,088.00</t>
  </si>
  <si>
    <t>12,437,495.60</t>
  </si>
  <si>
    <t>12,437,493.87</t>
  </si>
  <si>
    <t>57,085.00</t>
  </si>
  <si>
    <t>653,237.68</t>
  </si>
  <si>
    <t>4,850.00</t>
  </si>
  <si>
    <t>286,347.00</t>
  </si>
  <si>
    <t>71,730.00</t>
  </si>
  <si>
    <t>873,034.49</t>
  </si>
  <si>
    <t>7,300.00</t>
  </si>
  <si>
    <t>6,534,141.84</t>
  </si>
  <si>
    <t>75,100.00</t>
  </si>
  <si>
    <t>342,716.00</t>
  </si>
  <si>
    <t>1,376,575.00</t>
  </si>
  <si>
    <t>2,635,359.00</t>
  </si>
  <si>
    <t>49,500,000.00</t>
  </si>
  <si>
    <t>39,600,000.00</t>
  </si>
  <si>
    <t>57,950.00</t>
  </si>
  <si>
    <t>737,830.00</t>
  </si>
  <si>
    <t>24,750,000.00</t>
  </si>
  <si>
    <t>100,240.00</t>
  </si>
  <si>
    <t>64,190.00</t>
  </si>
  <si>
    <t>43,572,757.00</t>
  </si>
  <si>
    <t>457,000.00</t>
  </si>
  <si>
    <t>720,879.60</t>
  </si>
  <si>
    <t>65,957.50</t>
  </si>
  <si>
    <t>1,155,634.00</t>
  </si>
  <si>
    <t>41,360.00</t>
  </si>
  <si>
    <t>827,380.00</t>
  </si>
  <si>
    <t>2,975,816.00</t>
  </si>
  <si>
    <t>165,530.00</t>
  </si>
  <si>
    <t>1,863,000.00</t>
  </si>
  <si>
    <t>77,754.00</t>
  </si>
  <si>
    <t>337,950.00</t>
  </si>
  <si>
    <t>244,719.00</t>
  </si>
  <si>
    <t>310,700.00</t>
  </si>
  <si>
    <t>7,350,000.00</t>
  </si>
  <si>
    <t>11,289,600.00</t>
  </si>
  <si>
    <t>29,700,000.00</t>
  </si>
  <si>
    <t>15,867,017.05</t>
  </si>
  <si>
    <t>1,672,149.37</t>
  </si>
  <si>
    <t>799,760.00</t>
  </si>
  <si>
    <t>762,284.78</t>
  </si>
  <si>
    <t>86,850.00</t>
  </si>
  <si>
    <t>1,928,709.00</t>
  </si>
  <si>
    <t>79,782.00</t>
  </si>
  <si>
    <t>12,226,080.00</t>
  </si>
  <si>
    <t>146,745.59</t>
  </si>
  <si>
    <t>115,210.00</t>
  </si>
  <si>
    <t>2,142,000.00</t>
  </si>
  <si>
    <t>2,987,162.16</t>
  </si>
  <si>
    <t>200,020.00</t>
  </si>
  <si>
    <t>1,952,796.16</t>
  </si>
  <si>
    <t>14,940,000.00</t>
  </si>
  <si>
    <t>493,086.37</t>
  </si>
  <si>
    <t>2,999,845.64</t>
  </si>
  <si>
    <t>399,999.08</t>
  </si>
  <si>
    <t>8,800.00</t>
  </si>
  <si>
    <t>482,294.50</t>
  </si>
  <si>
    <t>6,657.00</t>
  </si>
  <si>
    <t>3,584,564.84</t>
  </si>
  <si>
    <t>9,819,071.55</t>
  </si>
  <si>
    <t>21,066.00</t>
  </si>
  <si>
    <t>6,315.00</t>
  </si>
  <si>
    <t>2,080.00</t>
  </si>
  <si>
    <t>78,400.00</t>
  </si>
  <si>
    <t>1,950,007.58</t>
  </si>
  <si>
    <t>24,673.00</t>
  </si>
  <si>
    <t>1,959,794.43</t>
  </si>
  <si>
    <t>3,877,471.16</t>
  </si>
  <si>
    <t>239,550.00</t>
  </si>
  <si>
    <t>9,170.00</t>
  </si>
  <si>
    <t>921,090.50</t>
  </si>
  <si>
    <t>134,290.24</t>
  </si>
  <si>
    <t>1,025,000.00</t>
  </si>
  <si>
    <t>249,713.92</t>
  </si>
  <si>
    <t>325,161.63</t>
  </si>
  <si>
    <t>3,682,655.14</t>
  </si>
  <si>
    <t>2,331,606.86</t>
  </si>
  <si>
    <t>4,982,432.71</t>
  </si>
  <si>
    <t>1,757,200.00</t>
  </si>
  <si>
    <t>2,576,380.00</t>
  </si>
  <si>
    <t>425,366.00</t>
  </si>
  <si>
    <t>548,159.49</t>
  </si>
  <si>
    <t>293,350.00</t>
  </si>
  <si>
    <t>599,789.82</t>
  </si>
  <si>
    <t>7,900.00</t>
  </si>
  <si>
    <t>436,030.00</t>
  </si>
  <si>
    <t>219,050.00</t>
  </si>
  <si>
    <t>19,999,987.66</t>
  </si>
  <si>
    <t>291,558.18</t>
  </si>
  <si>
    <t>442,379.88</t>
  </si>
  <si>
    <t>1,894,613.09</t>
  </si>
  <si>
    <t>110,000,000.00</t>
  </si>
  <si>
    <t>282,966.89</t>
  </si>
  <si>
    <t>499,144.03</t>
  </si>
  <si>
    <t>2,031,108.65</t>
  </si>
  <si>
    <t>79,669,700.00</t>
  </si>
  <si>
    <t>999,983.84</t>
  </si>
  <si>
    <t>1,175,530.96</t>
  </si>
  <si>
    <t>82,750.00</t>
  </si>
  <si>
    <t>13,937,118.32</t>
  </si>
  <si>
    <t>1,352,768.00</t>
  </si>
  <si>
    <t>214,380.00</t>
  </si>
  <si>
    <t>90,750,000.00</t>
  </si>
  <si>
    <t>384,256,044.00</t>
  </si>
  <si>
    <t>89,600,000.00</t>
  </si>
  <si>
    <t>113,425.00</t>
  </si>
  <si>
    <t>68,580.00</t>
  </si>
  <si>
    <t>214,721.75</t>
  </si>
  <si>
    <t>198,940.00</t>
  </si>
  <si>
    <t>1,777,400.00</t>
  </si>
  <si>
    <t>1,799,450.60</t>
  </si>
  <si>
    <t>645,200.00</t>
  </si>
  <si>
    <t>1,960,250.00</t>
  </si>
  <si>
    <t>917,370.00</t>
  </si>
  <si>
    <t>17,999,999.60</t>
  </si>
  <si>
    <t>813,120.00</t>
  </si>
  <si>
    <t>2,319,216.44</t>
  </si>
  <si>
    <t>1,170,368.60</t>
  </si>
  <si>
    <t>118,500,000.00</t>
  </si>
  <si>
    <t>449,918.16</t>
  </si>
  <si>
    <t>498,729.27</t>
  </si>
  <si>
    <t>15,498,982.17</t>
  </si>
  <si>
    <t>1,625,400.00</t>
  </si>
  <si>
    <t>71,034.97</t>
  </si>
  <si>
    <t>128,450.00</t>
  </si>
  <si>
    <t>972,431.92</t>
  </si>
  <si>
    <t>1,949,538.40</t>
  </si>
  <si>
    <t>476,590.00</t>
  </si>
  <si>
    <t>2,499,972.68</t>
  </si>
  <si>
    <t>1,321,371.85</t>
  </si>
  <si>
    <t>484,950.00</t>
  </si>
  <si>
    <t>279,910.00</t>
  </si>
  <si>
    <t>926,395.00</t>
  </si>
  <si>
    <t>26,320,104.00</t>
  </si>
  <si>
    <t>2,379,896.78</t>
  </si>
  <si>
    <t>657,680.00</t>
  </si>
  <si>
    <t>973,571.88</t>
  </si>
  <si>
    <t>4,513,562.88</t>
  </si>
  <si>
    <t>999,987.83</t>
  </si>
  <si>
    <t>1,499,986.85</t>
  </si>
  <si>
    <t>3,502,950.19</t>
  </si>
  <si>
    <t>200,013.06</t>
  </si>
  <si>
    <t>985,133.81</t>
  </si>
  <si>
    <t>344,650.00</t>
  </si>
  <si>
    <t>200,500.00</t>
  </si>
  <si>
    <t>175,026.00</t>
  </si>
  <si>
    <t>6,950,000.00</t>
  </si>
  <si>
    <t>2,048,557.60</t>
  </si>
  <si>
    <t>1,295,000.00</t>
  </si>
  <si>
    <t>104,200.00</t>
  </si>
  <si>
    <t>1,202,849.99</t>
  </si>
  <si>
    <t>1,109,238.95</t>
  </si>
  <si>
    <t>202,091.00</t>
  </si>
  <si>
    <t>21,327.00</t>
  </si>
  <si>
    <t>348,491.00</t>
  </si>
  <si>
    <t>9,520.00</t>
  </si>
  <si>
    <t>144,690.00</t>
  </si>
  <si>
    <t>23,200.00</t>
  </si>
  <si>
    <t>234,910.00</t>
  </si>
  <si>
    <t>680,400.00</t>
  </si>
  <si>
    <t>18,664,200.00</t>
  </si>
  <si>
    <t>31,090.00</t>
  </si>
  <si>
    <t>1,480,914.00</t>
  </si>
  <si>
    <t>1,810,500.00</t>
  </si>
  <si>
    <t>36,250,000.00</t>
  </si>
  <si>
    <t>1,445,704.10</t>
  </si>
  <si>
    <t>4,575,000.00</t>
  </si>
  <si>
    <t>4,745,000.00</t>
  </si>
  <si>
    <t>119,999.95</t>
  </si>
  <si>
    <t>25,925.00</t>
  </si>
  <si>
    <t>3,107,755.00</t>
  </si>
  <si>
    <t>174,200.00</t>
  </si>
  <si>
    <t>79,999.97</t>
  </si>
  <si>
    <t>991,400.00</t>
  </si>
  <si>
    <t>2,667,000.00</t>
  </si>
  <si>
    <t>98,600.00</t>
  </si>
  <si>
    <t>997,160.00</t>
  </si>
  <si>
    <t>252,500.00</t>
  </si>
  <si>
    <t>262,400.00</t>
  </si>
  <si>
    <t>80,750.00</t>
  </si>
  <si>
    <t>732,500.00</t>
  </si>
  <si>
    <t>535,390.63</t>
  </si>
  <si>
    <t>45,500.00</t>
  </si>
  <si>
    <t>885,283.50</t>
  </si>
  <si>
    <t>751,361.00</t>
  </si>
  <si>
    <t>79,999.99</t>
  </si>
  <si>
    <t>408,843.00</t>
  </si>
  <si>
    <t>585,502.25</t>
  </si>
  <si>
    <t>2,923,340.00</t>
  </si>
  <si>
    <t>191,657.00</t>
  </si>
  <si>
    <t>81,470.00</t>
  </si>
  <si>
    <t>60,592.00</t>
  </si>
  <si>
    <t>956,836.00</t>
  </si>
  <si>
    <t>66,130.00</t>
  </si>
  <si>
    <t>195,750.00</t>
  </si>
  <si>
    <t>34,464,010.00</t>
  </si>
  <si>
    <t>371,439.75</t>
  </si>
  <si>
    <t>90,300.00</t>
  </si>
  <si>
    <t>249,615.00</t>
  </si>
  <si>
    <t>166,830.00</t>
  </si>
  <si>
    <t>76,640.00</t>
  </si>
  <si>
    <t>1,577,200.00</t>
  </si>
  <si>
    <t>4,680,000.00</t>
  </si>
  <si>
    <t>20,580,000.00</t>
  </si>
  <si>
    <t>121,990.00</t>
  </si>
  <si>
    <t>103,435.00</t>
  </si>
  <si>
    <t>24,580.00</t>
  </si>
  <si>
    <t>28,560.00</t>
  </si>
  <si>
    <t>4,794.00</t>
  </si>
  <si>
    <t>1,390,200.00</t>
  </si>
  <si>
    <t>1,634,967.00</t>
  </si>
  <si>
    <t>82,161.02</t>
  </si>
  <si>
    <t>489,630.00</t>
  </si>
  <si>
    <t>499,995.00</t>
  </si>
  <si>
    <t>65,564.00</t>
  </si>
  <si>
    <t>199,380.00</t>
  </si>
  <si>
    <t>157,550.00</t>
  </si>
  <si>
    <t>307,790.00</t>
  </si>
  <si>
    <t>453,369.84</t>
  </si>
  <si>
    <t>3,360,000.00</t>
  </si>
  <si>
    <t>325,388.00</t>
  </si>
  <si>
    <t>175,694.50</t>
  </si>
  <si>
    <t>404,097.00</t>
  </si>
  <si>
    <t>406,349.99</t>
  </si>
  <si>
    <t>395,260.40</t>
  </si>
  <si>
    <t>3,415,986.49</t>
  </si>
  <si>
    <t>74,100.00</t>
  </si>
  <si>
    <t>555,000.00</t>
  </si>
  <si>
    <t>1,990,000.00</t>
  </si>
  <si>
    <t>1,099,028.56</t>
  </si>
  <si>
    <t>221,464.73</t>
  </si>
  <si>
    <t>54,910.00</t>
  </si>
  <si>
    <t>314,285.00</t>
  </si>
  <si>
    <t>148,527.78</t>
  </si>
  <si>
    <t>12,437,478.23</t>
  </si>
  <si>
    <t>12,437,369.00</t>
  </si>
  <si>
    <t>319,831.33</t>
  </si>
  <si>
    <t>1,824,795.00</t>
  </si>
  <si>
    <t>920,000.00</t>
  </si>
  <si>
    <t>257,010.00</t>
  </si>
  <si>
    <t>99,057.86</t>
  </si>
  <si>
    <t>12,740,000.00</t>
  </si>
  <si>
    <t>195,840.00</t>
  </si>
  <si>
    <t>660,625.00</t>
  </si>
  <si>
    <t>479,994.79</t>
  </si>
  <si>
    <t>199,757.50</t>
  </si>
  <si>
    <t>76,826.12</t>
  </si>
  <si>
    <t>347,430.00</t>
  </si>
  <si>
    <t>742,400.00</t>
  </si>
  <si>
    <t>147,826.43</t>
  </si>
  <si>
    <t>5,620,000.00</t>
  </si>
  <si>
    <t>494,471.97</t>
  </si>
  <si>
    <t>1,576,278.20</t>
  </si>
  <si>
    <t>148,804.15</t>
  </si>
  <si>
    <t>286,770.00</t>
  </si>
  <si>
    <t>1,451,952.88</t>
  </si>
  <si>
    <t>1,021,500.00</t>
  </si>
  <si>
    <t>98,712.39</t>
  </si>
  <si>
    <t>162,640.00</t>
  </si>
  <si>
    <t>117,500.00</t>
  </si>
  <si>
    <t>237,778.12</t>
  </si>
  <si>
    <t>149,369.15</t>
  </si>
  <si>
    <t>3,003,954.00</t>
  </si>
  <si>
    <t>353,286.00</t>
  </si>
  <si>
    <t>1,539,012.32</t>
  </si>
  <si>
    <t>411,000.00</t>
  </si>
  <si>
    <t>494,991.80</t>
  </si>
  <si>
    <t>58,020.00</t>
  </si>
  <si>
    <t>337,419.66</t>
  </si>
  <si>
    <t>8,500,000.00</t>
  </si>
  <si>
    <t>142,339.30</t>
  </si>
  <si>
    <t>353,000.00</t>
  </si>
  <si>
    <t>978,317.44</t>
  </si>
  <si>
    <t>49,980.00</t>
  </si>
  <si>
    <t>9,898,048.48</t>
  </si>
  <si>
    <t>103,787.10</t>
  </si>
  <si>
    <t>116,190.00</t>
  </si>
  <si>
    <t>957,088.00</t>
  </si>
  <si>
    <t>351,225.00</t>
  </si>
  <si>
    <t>999,991.35</t>
  </si>
  <si>
    <t>99,147.20</t>
  </si>
  <si>
    <t>351,986.00</t>
  </si>
  <si>
    <t>97,958.92</t>
  </si>
  <si>
    <t>4,200,000.00</t>
  </si>
  <si>
    <t>134,617.30</t>
  </si>
  <si>
    <t>169,831.06</t>
  </si>
  <si>
    <t>56,600.00</t>
  </si>
  <si>
    <t>138,346.00</t>
  </si>
  <si>
    <t>238,887.72</t>
  </si>
  <si>
    <t>8,303,829.40</t>
  </si>
  <si>
    <t>77,830.00</t>
  </si>
  <si>
    <t>123,575.00</t>
  </si>
  <si>
    <t>209,353.41</t>
  </si>
  <si>
    <t>177,530.00</t>
  </si>
  <si>
    <t>147,252.72</t>
  </si>
  <si>
    <t>115,995.00</t>
  </si>
  <si>
    <t>2,950,000.00</t>
  </si>
  <si>
    <t>113,925.00</t>
  </si>
  <si>
    <t>794,115.79</t>
  </si>
  <si>
    <t>480,940.00</t>
  </si>
  <si>
    <t>15,000,000.00</t>
  </si>
  <si>
    <t>250,875.72</t>
  </si>
  <si>
    <t>78,705.00</t>
  </si>
  <si>
    <t>249,165.72</t>
  </si>
  <si>
    <t>150,050.00</t>
  </si>
  <si>
    <t>1,006,125.08</t>
  </si>
  <si>
    <t>46,056,315.78</t>
  </si>
  <si>
    <t>144,450.00</t>
  </si>
  <si>
    <t>165,500.00</t>
  </si>
  <si>
    <t>999,300.00</t>
  </si>
  <si>
    <t>38,463,320.53</t>
  </si>
  <si>
    <t>231,867.50</t>
  </si>
  <si>
    <t>298,450.00</t>
  </si>
  <si>
    <t>1,900,145.00</t>
  </si>
  <si>
    <t>900,613.00</t>
  </si>
  <si>
    <t>493,409.20</t>
  </si>
  <si>
    <t>520,333.33</t>
  </si>
  <si>
    <t>346,777.53</t>
  </si>
  <si>
    <t>155,322.72</t>
  </si>
  <si>
    <t>2,099,987.71</t>
  </si>
  <si>
    <t>924,000.00</t>
  </si>
  <si>
    <t>93,836.40</t>
  </si>
  <si>
    <t>76,255,265.00</t>
  </si>
  <si>
    <t>59,545.00</t>
  </si>
  <si>
    <t>1,016,400.00</t>
  </si>
  <si>
    <t>355,245.00</t>
  </si>
  <si>
    <t>77,200.00</t>
  </si>
  <si>
    <t>13,100.00</t>
  </si>
  <si>
    <t>19,300,000.00</t>
  </si>
  <si>
    <t>40,180,000.00</t>
  </si>
  <si>
    <t>84,579.00</t>
  </si>
  <si>
    <t>98,467.23</t>
  </si>
  <si>
    <t>670,850.00</t>
  </si>
  <si>
    <t>688,388.00</t>
  </si>
  <si>
    <t>49,600.00</t>
  </si>
  <si>
    <t>157,000.00</t>
  </si>
  <si>
    <t>67,510.00</t>
  </si>
  <si>
    <t>55,200.00</t>
  </si>
  <si>
    <t>90,150.00</t>
  </si>
  <si>
    <t>73,980.00</t>
  </si>
  <si>
    <t>1,057,350.00</t>
  </si>
  <si>
    <t>4,293,000.00</t>
  </si>
  <si>
    <t>539,000.00</t>
  </si>
  <si>
    <t>978,486.08</t>
  </si>
  <si>
    <t>1,498,728.64</t>
  </si>
  <si>
    <t>28,950,000.00</t>
  </si>
  <si>
    <t>283,386.97</t>
  </si>
  <si>
    <t>118,860.00</t>
  </si>
  <si>
    <t>24,004,048.84</t>
  </si>
  <si>
    <t>88,191.99</t>
  </si>
  <si>
    <t>89,000.00</t>
  </si>
  <si>
    <t>23,785,114.65</t>
  </si>
  <si>
    <t>2,298,889.10</t>
  </si>
  <si>
    <t>344,234.00</t>
  </si>
  <si>
    <t>701,983.95</t>
  </si>
  <si>
    <t>962,294.69</t>
  </si>
  <si>
    <t>69,729.00</t>
  </si>
  <si>
    <t>134,735.00</t>
  </si>
  <si>
    <t>33,150,567.67</t>
  </si>
  <si>
    <t>1,193,822.21</t>
  </si>
  <si>
    <t>1,090,000.00</t>
  </si>
  <si>
    <t>1,916,533.94</t>
  </si>
  <si>
    <t>21,278,695.22</t>
  </si>
  <si>
    <t>430,714.84</t>
  </si>
  <si>
    <t>13,498,743.50</t>
  </si>
  <si>
    <t>946,125.62</t>
  </si>
  <si>
    <t>4,808,250.00</t>
  </si>
  <si>
    <t>253,284.00</t>
  </si>
  <si>
    <t>33,720,309.02</t>
  </si>
  <si>
    <t>499,776.80</t>
  </si>
  <si>
    <t>2,939,987.89</t>
  </si>
  <si>
    <t>4,956,972.00</t>
  </si>
  <si>
    <t>113,200.00</t>
  </si>
  <si>
    <t>969,760.47</t>
  </si>
  <si>
    <t>45,800.00</t>
  </si>
  <si>
    <t>85,312,920.00</t>
  </si>
  <si>
    <t>2,981,093.40</t>
  </si>
  <si>
    <t>88,400.00</t>
  </si>
  <si>
    <t>1,558,175.76</t>
  </si>
  <si>
    <t>1,490,000.00</t>
  </si>
  <si>
    <t>98,823.38</t>
  </si>
  <si>
    <t>28,933,406.65</t>
  </si>
  <si>
    <t>197,815.44</t>
  </si>
  <si>
    <t>2,155,955.34</t>
  </si>
  <si>
    <t>72,926.75</t>
  </si>
  <si>
    <t>1,959,998.08</t>
  </si>
  <si>
    <t>512,938.75</t>
  </si>
  <si>
    <t>257,333.33</t>
  </si>
  <si>
    <t>1,440,070.83</t>
  </si>
  <si>
    <t>6,610,000.00</t>
  </si>
  <si>
    <t>74,202.00</t>
  </si>
  <si>
    <t>1,959,933.34</t>
  </si>
  <si>
    <t>1,519,143.50</t>
  </si>
  <si>
    <t>26,000.00</t>
  </si>
  <si>
    <t>37,045.00</t>
  </si>
  <si>
    <t>393,784.00</t>
  </si>
  <si>
    <t>175,009.42</t>
  </si>
  <si>
    <t>334,761.30</t>
  </si>
  <si>
    <t>277,802.00</t>
  </si>
  <si>
    <t>245,900.00</t>
  </si>
  <si>
    <t>1,345,000.00</t>
  </si>
  <si>
    <t>1,920,758.22</t>
  </si>
  <si>
    <t>499,874.82</t>
  </si>
  <si>
    <t>213,200.00</t>
  </si>
  <si>
    <t>533,886.22</t>
  </si>
  <si>
    <t>101,618.00</t>
  </si>
  <si>
    <t>314,000.00</t>
  </si>
  <si>
    <t>800,450.00</t>
  </si>
  <si>
    <t>69,023.00</t>
  </si>
  <si>
    <t>295,815.98</t>
  </si>
  <si>
    <t>16,702,885.48</t>
  </si>
  <si>
    <t>16,250.00</t>
  </si>
  <si>
    <t>4,899,988.32</t>
  </si>
  <si>
    <t>755,000.00</t>
  </si>
  <si>
    <t>164,445.62</t>
  </si>
  <si>
    <t>4,799,984.68</t>
  </si>
  <si>
    <t>606,660.00</t>
  </si>
  <si>
    <t>178,000.00</t>
  </si>
  <si>
    <t>4,835,471.88</t>
  </si>
  <si>
    <t>131,020.00</t>
  </si>
  <si>
    <t>351,966.00</t>
  </si>
  <si>
    <t>60,800.00</t>
  </si>
  <si>
    <t>74,530.00</t>
  </si>
  <si>
    <t>243,000.00</t>
  </si>
  <si>
    <t>395,086.10</t>
  </si>
  <si>
    <t>379,600.00</t>
  </si>
  <si>
    <t>146,400.00</t>
  </si>
  <si>
    <t>78,690.00</t>
  </si>
  <si>
    <t>1,712,200.00</t>
  </si>
  <si>
    <t>482,816.00</t>
  </si>
  <si>
    <t>239,117.00</t>
  </si>
  <si>
    <t>1,579,610.00</t>
  </si>
  <si>
    <t>503,270.00</t>
  </si>
  <si>
    <t>649,000.00</t>
  </si>
  <si>
    <t>506,326.28</t>
  </si>
  <si>
    <t>124,304.00</t>
  </si>
  <si>
    <t>829,230.15</t>
  </si>
  <si>
    <t>1,168,834.72</t>
  </si>
  <si>
    <t>177,614.00</t>
  </si>
  <si>
    <t>64,650.00</t>
  </si>
  <si>
    <t>173,600.00</t>
  </si>
  <si>
    <t>245,999.70</t>
  </si>
  <si>
    <t>799,642.03</t>
  </si>
  <si>
    <t>611,940.69</t>
  </si>
  <si>
    <t>599,999.68</t>
  </si>
  <si>
    <t>45,034.00</t>
  </si>
  <si>
    <t>249,995.00</t>
  </si>
  <si>
    <t>123,600.00</t>
  </si>
  <si>
    <t>146,971.24</t>
  </si>
  <si>
    <t>399,760.00</t>
  </si>
  <si>
    <t>7,860,000.00</t>
  </si>
  <si>
    <t>211,580.00</t>
  </si>
  <si>
    <t>327,750.00</t>
  </si>
  <si>
    <t>4,037,955.62</t>
  </si>
  <si>
    <t>64,205.00</t>
  </si>
  <si>
    <t>115,600.00</t>
  </si>
  <si>
    <t>551,299.19</t>
  </si>
  <si>
    <t>35,750,000.00</t>
  </si>
  <si>
    <t>83,333.00</t>
  </si>
  <si>
    <t>666,696.64</t>
  </si>
  <si>
    <t>549,800.00</t>
  </si>
  <si>
    <t>111,200.00</t>
  </si>
  <si>
    <t>216,000.00</t>
  </si>
  <si>
    <t>497,467.75</t>
  </si>
  <si>
    <t>74,968.00</t>
  </si>
  <si>
    <t>79,875.00</t>
  </si>
  <si>
    <t>671,400.00</t>
  </si>
  <si>
    <t>236,400.50</t>
  </si>
  <si>
    <t>69,998.42</t>
  </si>
  <si>
    <t>117,677.00</t>
  </si>
  <si>
    <t>563,751.86</t>
  </si>
  <si>
    <t>187,363.10</t>
  </si>
  <si>
    <t>535,290.00</t>
  </si>
  <si>
    <t>1,236,500.00</t>
  </si>
  <si>
    <t>278,677.16</t>
  </si>
  <si>
    <t>1,322,099.90</t>
  </si>
  <si>
    <t>249,914.99</t>
  </si>
  <si>
    <t>88,800.00</t>
  </si>
  <si>
    <t>1,261,200.00</t>
  </si>
  <si>
    <t>389,580.00</t>
  </si>
  <si>
    <t>366,375.00</t>
  </si>
  <si>
    <t>63,200.00</t>
  </si>
  <si>
    <t>387,285.00</t>
  </si>
  <si>
    <t>1,211,089.16</t>
  </si>
  <si>
    <t>2,847,500.00</t>
  </si>
  <si>
    <t>33,646,910.64</t>
  </si>
  <si>
    <t>1,290,000.00</t>
  </si>
  <si>
    <t>151,199.04</t>
  </si>
  <si>
    <t>108,368.36</t>
  </si>
  <si>
    <t>269,925.00</t>
  </si>
  <si>
    <t>57,028.00</t>
  </si>
  <si>
    <t>271,070.00</t>
  </si>
  <si>
    <t>388,974.00</t>
  </si>
  <si>
    <t>336,537.00</t>
  </si>
  <si>
    <t>167,153.10</t>
  </si>
  <si>
    <t>608,170.00</t>
  </si>
  <si>
    <t>11,879,737.77</t>
  </si>
  <si>
    <t>2,862,000.00</t>
  </si>
  <si>
    <t>2,969,778.47</t>
  </si>
  <si>
    <t>451,250.00</t>
  </si>
  <si>
    <t>154,998.00</t>
  </si>
  <si>
    <t>132,370.00</t>
  </si>
  <si>
    <t>222,865.00</t>
  </si>
  <si>
    <t>1,603,378.00</t>
  </si>
  <si>
    <t>1,924,356.00</t>
  </si>
  <si>
    <t>202,990.00</t>
  </si>
  <si>
    <t>2,939,510.80</t>
  </si>
  <si>
    <t>84,200.00</t>
  </si>
  <si>
    <t>181,586.00</t>
  </si>
  <si>
    <t>127,357.00</t>
  </si>
  <si>
    <t>249,607.80</t>
  </si>
  <si>
    <t>2,117,955.00</t>
  </si>
  <si>
    <t>136,880.00</t>
  </si>
  <si>
    <t>189,479.00</t>
  </si>
  <si>
    <t>258,183.09</t>
  </si>
  <si>
    <t>2,475,000.00</t>
  </si>
  <si>
    <t>9,257,180.00</t>
  </si>
  <si>
    <t>807,500.00</t>
  </si>
  <si>
    <t>316,426.04</t>
  </si>
  <si>
    <t>663,079.89</t>
  </si>
  <si>
    <t>216,420.00</t>
  </si>
  <si>
    <t>498,113.00</t>
  </si>
  <si>
    <t>122,875.00</t>
  </si>
  <si>
    <t>19,460.00</t>
  </si>
  <si>
    <t>986,860.00</t>
  </si>
  <si>
    <t>75,875.00</t>
  </si>
  <si>
    <t>26,050.00</t>
  </si>
  <si>
    <t>12,869,920.01</t>
  </si>
  <si>
    <t>858,715.00</t>
  </si>
  <si>
    <t>799,915.73</t>
  </si>
  <si>
    <t>317,634.00</t>
  </si>
  <si>
    <t>89,440.00</t>
  </si>
  <si>
    <t>1,941,400.00</t>
  </si>
  <si>
    <t>449,902.46</t>
  </si>
  <si>
    <t>74,048.50</t>
  </si>
  <si>
    <t>344,835.00</t>
  </si>
  <si>
    <t>99,819.00</t>
  </si>
  <si>
    <t>349,998.25</t>
  </si>
  <si>
    <t>37,455,004.00</t>
  </si>
  <si>
    <t>74,670.00</t>
  </si>
  <si>
    <t>3,695,598.00</t>
  </si>
  <si>
    <t>23,440.00</t>
  </si>
  <si>
    <t>1,487,640.00</t>
  </si>
  <si>
    <t>335,523.00</t>
  </si>
  <si>
    <t>119,499.99</t>
  </si>
  <si>
    <t>166,432.00</t>
  </si>
  <si>
    <t>54,677.64</t>
  </si>
  <si>
    <t>816,870.00</t>
  </si>
  <si>
    <t>286,572.20</t>
  </si>
  <si>
    <t>821,667.70</t>
  </si>
  <si>
    <t>96,875.00</t>
  </si>
  <si>
    <t>66,370.00</t>
  </si>
  <si>
    <t>294,150.00</t>
  </si>
  <si>
    <t>236,025.00</t>
  </si>
  <si>
    <t>134,740.00</t>
  </si>
  <si>
    <t>6,616,000.00</t>
  </si>
  <si>
    <t>286,000.00</t>
  </si>
  <si>
    <t>999,990.00</t>
  </si>
  <si>
    <t>14,811,573.00</t>
  </si>
  <si>
    <t>8,390,523.95</t>
  </si>
  <si>
    <t>309,260.00</t>
  </si>
  <si>
    <t>5,314,448.53</t>
  </si>
  <si>
    <t>86,951.10</t>
  </si>
  <si>
    <t>326,500.00</t>
  </si>
  <si>
    <t>2,262,676.33</t>
  </si>
  <si>
    <t>118,600.00</t>
  </si>
  <si>
    <t>730,051.92</t>
  </si>
  <si>
    <t>98,300.00</t>
  </si>
  <si>
    <t>162,500,000.00</t>
  </si>
  <si>
    <t>3,260,923.00</t>
  </si>
  <si>
    <t>497,350.00</t>
  </si>
  <si>
    <t>237,500.00</t>
  </si>
  <si>
    <t>420,550.00</t>
  </si>
  <si>
    <t>4,327,135.45</t>
  </si>
  <si>
    <t>221,253.66</t>
  </si>
  <si>
    <t>1,662,808.00</t>
  </si>
  <si>
    <t>1,194,000.00</t>
  </si>
  <si>
    <t>9,032,164.00</t>
  </si>
  <si>
    <t>1,031,031.00</t>
  </si>
  <si>
    <t>236,480.00</t>
  </si>
  <si>
    <t>102,210.00</t>
  </si>
  <si>
    <t>901,551.09</t>
  </si>
  <si>
    <t>322,478.00</t>
  </si>
  <si>
    <t>208,880.00</t>
  </si>
  <si>
    <t>1,443,618.10</t>
  </si>
  <si>
    <t>404,836.00</t>
  </si>
  <si>
    <t>136,870.00</t>
  </si>
  <si>
    <t>911,096.83</t>
  </si>
  <si>
    <t>801,000.00</t>
  </si>
  <si>
    <t>62,650.00</t>
  </si>
  <si>
    <t>242,125.00</t>
  </si>
  <si>
    <t>523,294.00</t>
  </si>
  <si>
    <t>9,250,000.00</t>
  </si>
  <si>
    <t>154,831.00</t>
  </si>
  <si>
    <t>14,683,766.02</t>
  </si>
  <si>
    <t>5,354,406.35</t>
  </si>
  <si>
    <t>14,483,282.53</t>
  </si>
  <si>
    <t>144,769.32</t>
  </si>
  <si>
    <t>3,377,927.04</t>
  </si>
  <si>
    <t>12,150,000.00</t>
  </si>
  <si>
    <t>4,799,074.69</t>
  </si>
  <si>
    <t>405,750.00</t>
  </si>
  <si>
    <t>50,564.00</t>
  </si>
  <si>
    <t>144,375.00</t>
  </si>
  <si>
    <t>1,999,980.00</t>
  </si>
  <si>
    <t>341,005.00</t>
  </si>
  <si>
    <t>1,498,790.00</t>
  </si>
  <si>
    <t>5,330,319.37</t>
  </si>
  <si>
    <t>1,832,016.00</t>
  </si>
  <si>
    <t>445,000.00</t>
  </si>
  <si>
    <t>325,900.00</t>
  </si>
  <si>
    <t>182,000,000.00</t>
  </si>
  <si>
    <t>340,687.99</t>
  </si>
  <si>
    <t>2,484,499.50</t>
  </si>
  <si>
    <t>159,749.14</t>
  </si>
  <si>
    <t>546,000.00</t>
  </si>
  <si>
    <t>1,798,169.42</t>
  </si>
  <si>
    <t>1,323,658.40</t>
  </si>
  <si>
    <t>1,787,655.00</t>
  </si>
  <si>
    <t>406,415.00</t>
  </si>
  <si>
    <t>2,138,521.70</t>
  </si>
  <si>
    <t>147,470.00</t>
  </si>
  <si>
    <t>80,900.00</t>
  </si>
  <si>
    <t>248,905.00</t>
  </si>
  <si>
    <t>985,600.00</t>
  </si>
  <si>
    <t>3,200,000.00</t>
  </si>
  <si>
    <t>1,823,586.00</t>
  </si>
  <si>
    <t>994,500.00</t>
  </si>
  <si>
    <t>3,664,668.00</t>
  </si>
  <si>
    <t>344,600.00</t>
  </si>
  <si>
    <t>2,954,445.32</t>
  </si>
  <si>
    <t>247,450.00</t>
  </si>
  <si>
    <t>113,624.85</t>
  </si>
  <si>
    <t>524,409.60</t>
  </si>
  <si>
    <t>87,202.25</t>
  </si>
  <si>
    <t>1,057,517.75</t>
  </si>
  <si>
    <t>23,040.00</t>
  </si>
  <si>
    <t>384,365.00</t>
  </si>
  <si>
    <t>182,343.00</t>
  </si>
  <si>
    <t>7,866,061.54</t>
  </si>
  <si>
    <t>181,250.00</t>
  </si>
  <si>
    <t>233,080.00</t>
  </si>
  <si>
    <t>269,000.00</t>
  </si>
  <si>
    <t>268,806.95</t>
  </si>
  <si>
    <t>116,330.00</t>
  </si>
  <si>
    <t>15,200.00</t>
  </si>
  <si>
    <t>1,242,314.57</t>
  </si>
  <si>
    <t>1,496,000.00</t>
  </si>
  <si>
    <t>1,998,699.41</t>
  </si>
  <si>
    <t>4,391,000.69</t>
  </si>
  <si>
    <t>5,999,918.78</t>
  </si>
  <si>
    <t>2,301,989.20</t>
  </si>
  <si>
    <t>169,300.00</t>
  </si>
  <si>
    <t>180,016.69</t>
  </si>
  <si>
    <t>1,154,531.45</t>
  </si>
  <si>
    <t>6,043,032.00</t>
  </si>
  <si>
    <t>59,780.00</t>
  </si>
  <si>
    <t>78,080.35</t>
  </si>
  <si>
    <t>1,786,395.00</t>
  </si>
  <si>
    <t>4,066,702.83</t>
  </si>
  <si>
    <t>254,070.00</t>
  </si>
  <si>
    <t>24,500,000.00</t>
  </si>
  <si>
    <t>999,999.24</t>
  </si>
  <si>
    <t>10,634,816.00</t>
  </si>
  <si>
    <t>6,576,562.11</t>
  </si>
  <si>
    <t>957,161.00</t>
  </si>
  <si>
    <t>222,639.00</t>
  </si>
  <si>
    <t>131,633.35</t>
  </si>
  <si>
    <t>37,560.00</t>
  </si>
  <si>
    <t>3,990,925.31</t>
  </si>
  <si>
    <t>793,495.00</t>
  </si>
  <si>
    <t>1,320,795.00</t>
  </si>
  <si>
    <t>157,900.00</t>
  </si>
  <si>
    <t>73,966.50</t>
  </si>
  <si>
    <t>215,442.00</t>
  </si>
  <si>
    <t>127,800.00</t>
  </si>
  <si>
    <t>999,977.83</t>
  </si>
  <si>
    <t>25,701,000.00</t>
  </si>
  <si>
    <t>12,204,000.00</t>
  </si>
  <si>
    <t>3,645,958.00</t>
  </si>
  <si>
    <t>280,795.68</t>
  </si>
  <si>
    <t>1,921,000.00</t>
  </si>
  <si>
    <t>462,410.00</t>
  </si>
  <si>
    <t>1,356,471.75</t>
  </si>
  <si>
    <t>192,100.00</t>
  </si>
  <si>
    <t>440,675.00</t>
  </si>
  <si>
    <t>186,730.00</t>
  </si>
  <si>
    <t>383,767.00</t>
  </si>
  <si>
    <t>197,800.00</t>
  </si>
  <si>
    <t>599,190.61</t>
  </si>
  <si>
    <t>270,532.00</t>
  </si>
  <si>
    <t>15,200,000.00</t>
  </si>
  <si>
    <t>500,175.00</t>
  </si>
  <si>
    <t>134,150.00</t>
  </si>
  <si>
    <t>2,279,023.16</t>
  </si>
  <si>
    <t>8,376,066.00</t>
  </si>
  <si>
    <t>3,298,242.21</t>
  </si>
  <si>
    <t>314,375.00</t>
  </si>
  <si>
    <t>973,932.25</t>
  </si>
  <si>
    <t>76,832.05</t>
  </si>
  <si>
    <t>646,000.00</t>
  </si>
  <si>
    <t>1,998,247.49</t>
  </si>
  <si>
    <t>370,307.00</t>
  </si>
  <si>
    <t>34,740,000.00</t>
  </si>
  <si>
    <t>3,237,309.77</t>
  </si>
  <si>
    <t>203,500.00</t>
  </si>
  <si>
    <t>993,200.00</t>
  </si>
  <si>
    <t>71,602.00</t>
  </si>
  <si>
    <t>5,657,769.82</t>
  </si>
  <si>
    <t>6,933,100.00</t>
  </si>
  <si>
    <t>11,000,000.00</t>
  </si>
  <si>
    <t>172,624.74</t>
  </si>
  <si>
    <t>41,690,934.00</t>
  </si>
  <si>
    <t>30,800,000.00</t>
  </si>
  <si>
    <t>3,288,600.00</t>
  </si>
  <si>
    <t>86,850,000.00</t>
  </si>
  <si>
    <t>115,479.00</t>
  </si>
  <si>
    <t>25,935,000.00</t>
  </si>
  <si>
    <t>986,755.00</t>
  </si>
  <si>
    <t>29,400,000.00</t>
  </si>
  <si>
    <t>1,509,556.47</t>
  </si>
  <si>
    <t>146,458.00</t>
  </si>
  <si>
    <t>468,950.00</t>
  </si>
  <si>
    <t>57,900,000.00</t>
  </si>
  <si>
    <t>1,958,914.14</t>
  </si>
  <si>
    <t>918,986.00</t>
  </si>
  <si>
    <t>1,123,089.04</t>
  </si>
  <si>
    <t>603,520.00</t>
  </si>
  <si>
    <t>77,200,000.00</t>
  </si>
  <si>
    <t>5,470,000.00</t>
  </si>
  <si>
    <t>62,845.60</t>
  </si>
  <si>
    <t>4,250.00</t>
  </si>
  <si>
    <t>1,123,000.00</t>
  </si>
  <si>
    <t>237,590.00</t>
  </si>
  <si>
    <t>2,999,975.33</t>
  </si>
  <si>
    <t>3,809,860.00</t>
  </si>
  <si>
    <t>1,108,070.00</t>
  </si>
  <si>
    <t>288,916.20</t>
  </si>
  <si>
    <t>313,000.00</t>
  </si>
  <si>
    <t>2,429,214.38</t>
  </si>
  <si>
    <t>122,700.00</t>
  </si>
  <si>
    <t>4,485,843.21</t>
  </si>
  <si>
    <t>445,300.00</t>
  </si>
  <si>
    <t>1,647,106.57</t>
  </si>
  <si>
    <t>1,549,800.00</t>
  </si>
  <si>
    <t>995,683.75</t>
  </si>
  <si>
    <t>209,671.00</t>
  </si>
  <si>
    <t>88,300.00</t>
  </si>
  <si>
    <t>998,267.33</t>
  </si>
  <si>
    <t>4,487,000.00</t>
  </si>
  <si>
    <t>3,120,000.00</t>
  </si>
  <si>
    <t>115,065.00</t>
  </si>
  <si>
    <t>1,920,000.00</t>
  </si>
  <si>
    <t>193,271.00</t>
  </si>
  <si>
    <t>842,060.00</t>
  </si>
  <si>
    <t>1,015,500.00</t>
  </si>
  <si>
    <t>99,976.00</t>
  </si>
  <si>
    <t>81,005.00</t>
  </si>
  <si>
    <t>18,998,224.54</t>
  </si>
  <si>
    <t>721,956.00</t>
  </si>
  <si>
    <t>64,855.00</t>
  </si>
  <si>
    <t>254,420.00</t>
  </si>
  <si>
    <t>220,504.20</t>
  </si>
  <si>
    <t>2,685,042.18</t>
  </si>
  <si>
    <t>157,885.00</t>
  </si>
  <si>
    <t>3,403,869.66</t>
  </si>
  <si>
    <t>4,998,043.21</t>
  </si>
  <si>
    <t>69,682,190.00</t>
  </si>
  <si>
    <t>40,250,000.00</t>
  </si>
  <si>
    <t>206,202.83</t>
  </si>
  <si>
    <t>2,655,195.00</t>
  </si>
  <si>
    <t>5,454,324.69</t>
  </si>
  <si>
    <t>4,987,916.65</t>
  </si>
  <si>
    <t>1,688,400.00</t>
  </si>
  <si>
    <t>1,137,903.00</t>
  </si>
  <si>
    <t>797,750.00</t>
  </si>
  <si>
    <t>679,191.49</t>
  </si>
  <si>
    <t>118,617.00</t>
  </si>
  <si>
    <t>367,415.00</t>
  </si>
  <si>
    <t>1,788,119.81</t>
  </si>
  <si>
    <t>99,820.00</t>
  </si>
  <si>
    <t>11,880,000.00</t>
  </si>
  <si>
    <t>2,654,500.00</t>
  </si>
  <si>
    <t>6,144.00</t>
  </si>
  <si>
    <t>1,005,000.00</t>
  </si>
  <si>
    <t>999,657.40</t>
  </si>
  <si>
    <t>52,612,884.11</t>
  </si>
  <si>
    <t>5,334,547.86</t>
  </si>
  <si>
    <t>1,315,891.50</t>
  </si>
  <si>
    <t>739,506.80</t>
  </si>
  <si>
    <t>333,265.00</t>
  </si>
  <si>
    <t>4,578,272.00</t>
  </si>
  <si>
    <t>5,250,000.00</t>
  </si>
  <si>
    <t>3,320,000.00</t>
  </si>
  <si>
    <t>349,157.50</t>
  </si>
  <si>
    <t>984,627.88</t>
  </si>
  <si>
    <t>287,300.00</t>
  </si>
  <si>
    <t>15,752,329.27</t>
  </si>
  <si>
    <t>1,508,601.00</t>
  </si>
  <si>
    <t>99,985.19</t>
  </si>
  <si>
    <t>408,025.80</t>
  </si>
  <si>
    <t>6,210,000.00</t>
  </si>
  <si>
    <t>3,842,466.53</t>
  </si>
  <si>
    <t>1,072,307.25</t>
  </si>
  <si>
    <t>455,362.00</t>
  </si>
  <si>
    <t>1,332,426.70</t>
  </si>
  <si>
    <t>159,980.51</t>
  </si>
  <si>
    <t>2,499,960.00</t>
  </si>
  <si>
    <t>59,025.00</t>
  </si>
  <si>
    <t>158,500.00</t>
  </si>
  <si>
    <t>53,400.00</t>
  </si>
  <si>
    <t>2,493,646.88</t>
  </si>
  <si>
    <t>3,420,000.00</t>
  </si>
  <si>
    <t>2,135,000.00</t>
  </si>
  <si>
    <t>275,956.25</t>
  </si>
  <si>
    <t>733,718.47</t>
  </si>
  <si>
    <t>205,654.05</t>
  </si>
  <si>
    <t>72,260.00</t>
  </si>
  <si>
    <t>556,500.00</t>
  </si>
  <si>
    <t>149,934.70</t>
  </si>
  <si>
    <t>1,236,499.08</t>
  </si>
  <si>
    <t>999,452.02</t>
  </si>
  <si>
    <t>3,732,446.00</t>
  </si>
  <si>
    <t>1,186,392.37</t>
  </si>
  <si>
    <t>253,949.00</t>
  </si>
  <si>
    <t>1,240,849.06</t>
  </si>
  <si>
    <t>506,987.25</t>
  </si>
  <si>
    <t>767,239.80</t>
  </si>
  <si>
    <t>76,276.13</t>
  </si>
  <si>
    <t>51,124,800.00</t>
  </si>
  <si>
    <t>75,576.61</t>
  </si>
  <si>
    <t>238,311.00</t>
  </si>
  <si>
    <t>123,870.00</t>
  </si>
  <si>
    <t>457,484.00</t>
  </si>
  <si>
    <t>8,548,249.78</t>
  </si>
  <si>
    <t>22,640,907.50</t>
  </si>
  <si>
    <t>1,575,000.00</t>
  </si>
  <si>
    <t>762,116.00</t>
  </si>
  <si>
    <t>989,999.00</t>
  </si>
  <si>
    <t>1,403,855.73</t>
  </si>
  <si>
    <t>738,200.00</t>
  </si>
  <si>
    <t>1,927,821.11</t>
  </si>
  <si>
    <t>1,995,000.00</t>
  </si>
  <si>
    <t>199,971.24</t>
  </si>
  <si>
    <t>1,939,787.70</t>
  </si>
  <si>
    <t>1,999,904.07</t>
  </si>
  <si>
    <t>890,410.25</t>
  </si>
  <si>
    <t>5,392,786.74</t>
  </si>
  <si>
    <t>2,784,776.00</t>
  </si>
  <si>
    <t>2,802,678.95</t>
  </si>
  <si>
    <t>3,949,193.66</t>
  </si>
  <si>
    <t>1,479,974.98</t>
  </si>
  <si>
    <t>7,999,202.60</t>
  </si>
  <si>
    <t>1,758,102.71</t>
  </si>
  <si>
    <t>159,999.00</t>
  </si>
  <si>
    <t>244,867.00</t>
  </si>
  <si>
    <t>492,193.35</t>
  </si>
  <si>
    <t>3,499,748.82</t>
  </si>
  <si>
    <t>439,000.00</t>
  </si>
  <si>
    <t>8,254,477.69</t>
  </si>
  <si>
    <t>4,188,259.54</t>
  </si>
  <si>
    <t>2,484,765.40</t>
  </si>
  <si>
    <t>13,090,262.50</t>
  </si>
  <si>
    <t>2,700,010.50</t>
  </si>
  <si>
    <t>1,865,092.45</t>
  </si>
  <si>
    <t>14,317,638.31</t>
  </si>
  <si>
    <t>6,175,634.09</t>
  </si>
  <si>
    <t>4,671,419.43</t>
  </si>
  <si>
    <t>4,199,474.71</t>
  </si>
  <si>
    <t>499,999.50</t>
  </si>
  <si>
    <t>2,090,000.00</t>
  </si>
  <si>
    <t>567,780.00</t>
  </si>
  <si>
    <t>199,821.56</t>
  </si>
  <si>
    <t>1,461,827.85</t>
  </si>
  <si>
    <t>998,565.31</t>
  </si>
  <si>
    <t>4,166,641.10</t>
  </si>
  <si>
    <t>111,825.00</t>
  </si>
  <si>
    <t>2,488,574.95</t>
  </si>
  <si>
    <t>1,995,254.98</t>
  </si>
  <si>
    <t>10,627,115.00</t>
  </si>
  <si>
    <t>64,320.00</t>
  </si>
  <si>
    <t>1,138,897.00</t>
  </si>
  <si>
    <t>1,546,582.27</t>
  </si>
  <si>
    <t>3,993,042.94</t>
  </si>
  <si>
    <t>405,001.80</t>
  </si>
  <si>
    <t>974,461.26</t>
  </si>
  <si>
    <t>480,937.52</t>
  </si>
  <si>
    <t>319,946.68</t>
  </si>
  <si>
    <t>474,835.87</t>
  </si>
  <si>
    <t>400,200.00</t>
  </si>
  <si>
    <t>1,018,610.00</t>
  </si>
  <si>
    <t>1,089,950.00</t>
  </si>
  <si>
    <t>34,565.00</t>
  </si>
  <si>
    <t>997,878.04</t>
  </si>
  <si>
    <t>7,425.00</t>
  </si>
  <si>
    <t>85,990.00</t>
  </si>
  <si>
    <t>202,400.00</t>
  </si>
  <si>
    <t>67,490.00</t>
  </si>
  <si>
    <t>156,377.66</t>
  </si>
  <si>
    <t>978,476.70</t>
  </si>
  <si>
    <t>8,680,000.00</t>
  </si>
  <si>
    <t>1,649,959.37</t>
  </si>
  <si>
    <t>86,765.00</t>
  </si>
  <si>
    <t>59,917.00</t>
  </si>
  <si>
    <t>1,726,350.00</t>
  </si>
  <si>
    <t>4,670,057.00</t>
  </si>
  <si>
    <t>1,196,700.00</t>
  </si>
  <si>
    <t>2,860,438.08</t>
  </si>
  <si>
    <t>4,160,000.00</t>
  </si>
  <si>
    <t>74,300.00</t>
  </si>
  <si>
    <t>198,900,000.00</t>
  </si>
  <si>
    <t>1,306,500.00</t>
  </si>
  <si>
    <t>4,265,340.00</t>
  </si>
  <si>
    <t>1,932,484.20</t>
  </si>
  <si>
    <t>961,116.56</t>
  </si>
  <si>
    <t>546,962.00</t>
  </si>
  <si>
    <t>1,016,358.64</t>
  </si>
  <si>
    <t>4,516,237.31</t>
  </si>
  <si>
    <t>2,240,000.00</t>
  </si>
  <si>
    <t>485,000.00</t>
  </si>
  <si>
    <t>23,064,000.00</t>
  </si>
  <si>
    <t>73,565.26</t>
  </si>
  <si>
    <t>564,000.00</t>
  </si>
  <si>
    <t>65,968.50</t>
  </si>
  <si>
    <t>4,326,645.00</t>
  </si>
  <si>
    <t>1,240,000.00</t>
  </si>
  <si>
    <t>74,980.00</t>
  </si>
  <si>
    <t>1,978,430.00</t>
  </si>
  <si>
    <t>5,809,695.00</t>
  </si>
  <si>
    <t>88,727.43</t>
  </si>
  <si>
    <t>36,346,596.00</t>
  </si>
  <si>
    <t>1,522,700.00</t>
  </si>
  <si>
    <t>2,490,000.00</t>
  </si>
  <si>
    <t>5,173,527.50</t>
  </si>
  <si>
    <t>1,790,182.90</t>
  </si>
  <si>
    <t>1,471,398.31</t>
  </si>
  <si>
    <t>1,576,898.19</t>
  </si>
  <si>
    <t>12,093,596.00</t>
  </si>
  <si>
    <t>1,443,668.79</t>
  </si>
  <si>
    <t>110,968.00</t>
  </si>
  <si>
    <t>9,254,000.00</t>
  </si>
  <si>
    <t>1,617,018.10</t>
  </si>
  <si>
    <t>138,087.50</t>
  </si>
  <si>
    <t>449,851.00</t>
  </si>
  <si>
    <t>3,823,466.50</t>
  </si>
  <si>
    <t>3,197,064.55</t>
  </si>
  <si>
    <t>5,270.89</t>
  </si>
  <si>
    <t>369,700.00</t>
  </si>
  <si>
    <t>1,074,400.50</t>
  </si>
  <si>
    <t>1,144,504.48</t>
  </si>
  <si>
    <t>3,280,000.00</t>
  </si>
  <si>
    <t>7,197,498.60</t>
  </si>
  <si>
    <t>4,999,909.83</t>
  </si>
  <si>
    <t>2,608,200.00</t>
  </si>
  <si>
    <t>317,911.00</t>
  </si>
  <si>
    <t>3,621,556.70</t>
  </si>
  <si>
    <t>4,333,462.00</t>
  </si>
  <si>
    <t>38,750.00</t>
  </si>
  <si>
    <t>100,079.10</t>
  </si>
  <si>
    <t>200,999.73</t>
  </si>
  <si>
    <t>542,920.00</t>
  </si>
  <si>
    <t>908,939.06</t>
  </si>
  <si>
    <t>1,080,800.00</t>
  </si>
  <si>
    <t>763,888.00</t>
  </si>
  <si>
    <t>46,479,471.20</t>
  </si>
  <si>
    <t>9,999,423.48</t>
  </si>
  <si>
    <t>3,162,703.00</t>
  </si>
  <si>
    <t>2,253,250.00</t>
  </si>
  <si>
    <t>3,136,618.00</t>
  </si>
  <si>
    <t>350,651.83</t>
  </si>
  <si>
    <t>220,830.00</t>
  </si>
  <si>
    <t>1,850,100.00</t>
  </si>
  <si>
    <t>9,750.00</t>
  </si>
  <si>
    <t>23,074,240.20</t>
  </si>
  <si>
    <t>2,953,144.60</t>
  </si>
  <si>
    <t>1,245,775.97</t>
  </si>
  <si>
    <t>322,043.19</t>
  </si>
  <si>
    <t>773,000.00</t>
  </si>
  <si>
    <t>4,824,802.10</t>
  </si>
  <si>
    <t>316,980.00</t>
  </si>
  <si>
    <t>176,434.00</t>
  </si>
  <si>
    <t>1,006,128.00</t>
  </si>
  <si>
    <t>18,424,557.50</t>
  </si>
  <si>
    <t>444,900.20</t>
  </si>
  <si>
    <t>3,148,200.00</t>
  </si>
  <si>
    <t>1,654,055.00</t>
  </si>
  <si>
    <t>884,706.93</t>
  </si>
  <si>
    <t>107,420.00</t>
  </si>
  <si>
    <t>7,950,000.00</t>
  </si>
  <si>
    <t>923,545.00</t>
  </si>
  <si>
    <t>3,058,356.53</t>
  </si>
  <si>
    <t>213,907.00</t>
  </si>
  <si>
    <t>8,078.00</t>
  </si>
  <si>
    <t>499,550.63</t>
  </si>
  <si>
    <t>38,644,475.00</t>
  </si>
  <si>
    <t>153,816.30</t>
  </si>
  <si>
    <t>5,415.67</t>
  </si>
  <si>
    <t>484,233.48</t>
  </si>
  <si>
    <t>891,765.00</t>
  </si>
  <si>
    <t>999,986.88</t>
  </si>
  <si>
    <t>1,357,500.00</t>
  </si>
  <si>
    <t>12,056,538.00</t>
  </si>
  <si>
    <t>1,563,988.75</t>
  </si>
  <si>
    <t>23,000,000.00</t>
  </si>
  <si>
    <t>36,482.50</t>
  </si>
  <si>
    <t>5,988,000.00</t>
  </si>
  <si>
    <t>329,927.00</t>
  </si>
  <si>
    <t>94,513.00</t>
  </si>
  <si>
    <t>1,466,376.32</t>
  </si>
  <si>
    <t>379,946.08</t>
  </si>
  <si>
    <t>1,351,424.00</t>
  </si>
  <si>
    <t>161,900.00</t>
  </si>
  <si>
    <t>294,710.00</t>
  </si>
  <si>
    <t>55,260,028.00</t>
  </si>
  <si>
    <t>9,465,315.00</t>
  </si>
  <si>
    <t>309,992.00</t>
  </si>
  <si>
    <t>1,370,613.30</t>
  </si>
  <si>
    <t>409,270.00</t>
  </si>
  <si>
    <t>79,150.00</t>
  </si>
  <si>
    <t>9,798,501.03</t>
  </si>
  <si>
    <t>293,380.00</t>
  </si>
  <si>
    <t>5,550,000.00</t>
  </si>
  <si>
    <t>35,022,982.00</t>
  </si>
  <si>
    <t>2,157,904.00</t>
  </si>
  <si>
    <t>14,699,659.17</t>
  </si>
  <si>
    <t>102,800.00</t>
  </si>
  <si>
    <t>368,458.00</t>
  </si>
  <si>
    <t>12,729.00</t>
  </si>
  <si>
    <t>239,231.20</t>
  </si>
  <si>
    <t>455,000.00</t>
  </si>
  <si>
    <t>1,098,860.00</t>
  </si>
  <si>
    <t>1,113,994.25</t>
  </si>
  <si>
    <t>35,900.00</t>
  </si>
  <si>
    <t>4,369,000.00</t>
  </si>
  <si>
    <t>3,857,625.00</t>
  </si>
  <si>
    <t>3,170,000.00</t>
  </si>
  <si>
    <t>29,449,000.00</t>
  </si>
  <si>
    <t>235,501.40</t>
  </si>
  <si>
    <t>192,706.20</t>
  </si>
  <si>
    <t>1,118,842.95</t>
  </si>
  <si>
    <t>482,085.71</t>
  </si>
  <si>
    <t>1,394,459.68</t>
  </si>
  <si>
    <t>3,695,475.00</t>
  </si>
  <si>
    <t>994,985.00</t>
  </si>
  <si>
    <t>17,391,500.00</t>
  </si>
  <si>
    <t>71,540.00</t>
  </si>
  <si>
    <t>11,700.00</t>
  </si>
  <si>
    <t>288,400.42</t>
  </si>
  <si>
    <t>2,094,500.00</t>
  </si>
  <si>
    <t>3,849,000.00</t>
  </si>
  <si>
    <t>599,955.00</t>
  </si>
  <si>
    <t>16,879,300.00</t>
  </si>
  <si>
    <t>164,250.00</t>
  </si>
  <si>
    <t>167,198.46</t>
  </si>
  <si>
    <t>268,985.00</t>
  </si>
  <si>
    <t>1,199,607.37</t>
  </si>
  <si>
    <t>31,512.00</t>
  </si>
  <si>
    <t>819,995.00</t>
  </si>
  <si>
    <t>2,132,995.60</t>
  </si>
  <si>
    <t>2,299,856.33</t>
  </si>
  <si>
    <t>9,900,000.00</t>
  </si>
  <si>
    <t>86,220.00</t>
  </si>
  <si>
    <t>1,275,000.00</t>
  </si>
  <si>
    <t>59,804.00</t>
  </si>
  <si>
    <t>2,050,000.00</t>
  </si>
  <si>
    <t>99,940.00</t>
  </si>
  <si>
    <t>399,960.00</t>
  </si>
  <si>
    <t>2,518,895.83</t>
  </si>
  <si>
    <t>212,861.04</t>
  </si>
  <si>
    <t>68,097.00</t>
  </si>
  <si>
    <t>561,000.00</t>
  </si>
  <si>
    <t>239,400.00</t>
  </si>
  <si>
    <t>499,967.10</t>
  </si>
  <si>
    <t>49,840.00</t>
  </si>
  <si>
    <t>199,860.00</t>
  </si>
  <si>
    <t>984,645.00</t>
  </si>
  <si>
    <t>4,051,000.00</t>
  </si>
  <si>
    <t>499,985.59</t>
  </si>
  <si>
    <t>298,200.00</t>
  </si>
  <si>
    <t>68,194.00</t>
  </si>
  <si>
    <t>102,700.00</t>
  </si>
  <si>
    <t>110,573.00</t>
  </si>
  <si>
    <t>197,380.00</t>
  </si>
  <si>
    <t>2,999,999.99</t>
  </si>
  <si>
    <t>12,573,621.67</t>
  </si>
  <si>
    <t>196,571.00</t>
  </si>
  <si>
    <t>4,614,423.60</t>
  </si>
  <si>
    <t>74,455.00</t>
  </si>
  <si>
    <t>280,678.00</t>
  </si>
  <si>
    <t>55,264.00</t>
  </si>
  <si>
    <t>38,800,000.00</t>
  </si>
  <si>
    <t>263,044.00</t>
  </si>
  <si>
    <t>114,931.00</t>
  </si>
  <si>
    <t>18,600,000.00</t>
  </si>
  <si>
    <t>265,892.00</t>
  </si>
  <si>
    <t>4,087,785.51</t>
  </si>
  <si>
    <t>14,283,206.45</t>
  </si>
  <si>
    <t>1,981,700.00</t>
  </si>
  <si>
    <t>445,280.00</t>
  </si>
  <si>
    <t>847,869.00</t>
  </si>
  <si>
    <t>5,556,062.15</t>
  </si>
  <si>
    <t>502,998.00</t>
  </si>
  <si>
    <t>1,138,560.00</t>
  </si>
  <si>
    <t>661,700.00</t>
  </si>
  <si>
    <t>392,230.00</t>
  </si>
  <si>
    <t>686,081.00</t>
  </si>
  <si>
    <t>1,548,000.00</t>
  </si>
  <si>
    <t>641,161.34</t>
  </si>
  <si>
    <t>1,480,610.00</t>
  </si>
  <si>
    <t>5,060,197.56</t>
  </si>
  <si>
    <t>4,949,946.65</t>
  </si>
  <si>
    <t>224,450.00</t>
  </si>
  <si>
    <t>1,004,936.01</t>
  </si>
  <si>
    <t>191,795.50</t>
  </si>
  <si>
    <t>13,656.00</t>
  </si>
  <si>
    <t>14,849,961.81</t>
  </si>
  <si>
    <t>90,326.00</t>
  </si>
  <si>
    <t>446,656.00</t>
  </si>
  <si>
    <t>662,235.00</t>
  </si>
  <si>
    <t>59,600.00</t>
  </si>
  <si>
    <t>768,150.00</t>
  </si>
  <si>
    <t>1,152,847.89</t>
  </si>
  <si>
    <t>34,649,774.65</t>
  </si>
  <si>
    <t>309,661.00</t>
  </si>
  <si>
    <t>553,443.67</t>
  </si>
  <si>
    <t>144,208.00</t>
  </si>
  <si>
    <t>704,000.00</t>
  </si>
  <si>
    <t>39,599,920.28</t>
  </si>
  <si>
    <t>43,559,681.70</t>
  </si>
  <si>
    <t>19,799,977.04</t>
  </si>
  <si>
    <t>75,000,000.00</t>
  </si>
  <si>
    <t>251,236.00</t>
  </si>
  <si>
    <t>48,249,968.38</t>
  </si>
  <si>
    <t>2,698,001.13</t>
  </si>
  <si>
    <t>96,499,979.16</t>
  </si>
  <si>
    <t>652,600.00</t>
  </si>
  <si>
    <t>233,884.00</t>
  </si>
  <si>
    <t>48,249,928.12</t>
  </si>
  <si>
    <t>8,674,000.00</t>
  </si>
  <si>
    <t>5,400,000.00</t>
  </si>
  <si>
    <t>350,226.00</t>
  </si>
  <si>
    <t>4,949,854.12</t>
  </si>
  <si>
    <t>29,259,199.10</t>
  </si>
  <si>
    <t>2,567,433.41</t>
  </si>
  <si>
    <t>248,548.00</t>
  </si>
  <si>
    <t>15,785,325.00</t>
  </si>
  <si>
    <t>1,291,611.00</t>
  </si>
  <si>
    <t>184,790.00</t>
  </si>
  <si>
    <t>1,071,587.50</t>
  </si>
  <si>
    <t>13,203,130.00</t>
  </si>
  <si>
    <t>50,003,405.00</t>
  </si>
  <si>
    <t>22,961,210.00</t>
  </si>
  <si>
    <t>225,705.00</t>
  </si>
  <si>
    <t>250,720.00</t>
  </si>
  <si>
    <t>11,193,225.56</t>
  </si>
  <si>
    <t>10,131,705.27</t>
  </si>
  <si>
    <t>36,790,625.00</t>
  </si>
  <si>
    <t>48,218,988.16</t>
  </si>
  <si>
    <t>681,518.00</t>
  </si>
  <si>
    <t>13,179,896.27</t>
  </si>
  <si>
    <t>1,995,289.40</t>
  </si>
  <si>
    <t>1,498,101.64</t>
  </si>
  <si>
    <t>208,100.00</t>
  </si>
  <si>
    <t>2,861,645.00</t>
  </si>
  <si>
    <t>34,299,946.73</t>
  </si>
  <si>
    <t>1,999,999.15</t>
  </si>
  <si>
    <t>999,971.61</t>
  </si>
  <si>
    <t>43,258,694.00</t>
  </si>
  <si>
    <t>69,857,716.00</t>
  </si>
  <si>
    <t>34,539,667.17</t>
  </si>
  <si>
    <t>986,764.50</t>
  </si>
  <si>
    <t>1,999,934.71</t>
  </si>
  <si>
    <t>2,199,926.59</t>
  </si>
  <si>
    <t>8,817,681.60</t>
  </si>
  <si>
    <t>1,246,676.60</t>
  </si>
  <si>
    <t>2,995,450.00</t>
  </si>
  <si>
    <t>23,808,726.65</t>
  </si>
  <si>
    <t>120,880.00</t>
  </si>
  <si>
    <t>799,209.81</t>
  </si>
  <si>
    <t>2,593,506.94</t>
  </si>
  <si>
    <t>333,900.00</t>
  </si>
  <si>
    <t>500,440.10</t>
  </si>
  <si>
    <t>1,288,424.00</t>
  </si>
  <si>
    <t>4,086,767.32</t>
  </si>
  <si>
    <t>740,900.00</t>
  </si>
  <si>
    <t>160,895.00</t>
  </si>
  <si>
    <t>9,599,999.36</t>
  </si>
  <si>
    <t>3,444,000.00</t>
  </si>
  <si>
    <t>2,232,000.00</t>
  </si>
  <si>
    <t>19,997,004.00</t>
  </si>
  <si>
    <t>4,495,141.33</t>
  </si>
  <si>
    <t>664,612.34</t>
  </si>
  <si>
    <t>714,980.88</t>
  </si>
  <si>
    <t>7,530,411.00</t>
  </si>
  <si>
    <t>400,800.00</t>
  </si>
  <si>
    <t>157,660.00</t>
  </si>
  <si>
    <t>173,542.00</t>
  </si>
  <si>
    <t>158,378.00</t>
  </si>
  <si>
    <t>2,914,240.00</t>
  </si>
  <si>
    <t>1,499,076.00</t>
  </si>
  <si>
    <t>609,000.00</t>
  </si>
  <si>
    <t>7,610.00</t>
  </si>
  <si>
    <t>5,966,000.00</t>
  </si>
  <si>
    <t>4,924,267.44</t>
  </si>
  <si>
    <t>6,372,215.02</t>
  </si>
  <si>
    <t>4,564,000.00</t>
  </si>
  <si>
    <t>299,988.00</t>
  </si>
  <si>
    <t>2,494,427.05</t>
  </si>
  <si>
    <t>990,290.00</t>
  </si>
  <si>
    <t>890,259.00</t>
  </si>
  <si>
    <t>2,424,000.00</t>
  </si>
  <si>
    <t>1,337,399.00</t>
  </si>
  <si>
    <t>1,717,416.00</t>
  </si>
  <si>
    <t>1,276,500.00</t>
  </si>
  <si>
    <t>3,805,574.40</t>
  </si>
  <si>
    <t>2,094,000.00</t>
  </si>
  <si>
    <t>48,249,921.64</t>
  </si>
  <si>
    <t>7,052,873.82</t>
  </si>
  <si>
    <t>14,500,000.00</t>
  </si>
  <si>
    <t>365,510.00</t>
  </si>
  <si>
    <t>2,999,141.66</t>
  </si>
  <si>
    <t>186,200.00</t>
  </si>
  <si>
    <t>2,959,651.64</t>
  </si>
  <si>
    <t>409,264.50</t>
  </si>
  <si>
    <t>64,794.00</t>
  </si>
  <si>
    <t>244,342.00</t>
  </si>
  <si>
    <t>784,313.73</t>
  </si>
  <si>
    <t>980,392.16</t>
  </si>
  <si>
    <t>2,450,980.39</t>
  </si>
  <si>
    <t>1,721,404.67</t>
  </si>
  <si>
    <t>2,724,359.43</t>
  </si>
  <si>
    <t>171,553.00</t>
  </si>
  <si>
    <t>1,869,463.72</t>
  </si>
  <si>
    <t>799,999.20</t>
  </si>
  <si>
    <t>628,067.50</t>
  </si>
  <si>
    <t>245,490.00</t>
  </si>
  <si>
    <t>67,217,640.94</t>
  </si>
  <si>
    <t>3,483,299.56</t>
  </si>
  <si>
    <t>797,715.50</t>
  </si>
  <si>
    <t>1,418,486.31</t>
  </si>
  <si>
    <t>977,649.23</t>
  </si>
  <si>
    <t>1,305,107.61</t>
  </si>
  <si>
    <t>4,794,261.34</t>
  </si>
  <si>
    <t>499,447.51</t>
  </si>
  <si>
    <t>426,043.28</t>
  </si>
  <si>
    <t>5,998,500.00</t>
  </si>
  <si>
    <t>977,690.04</t>
  </si>
  <si>
    <t>1,474,033.06</t>
  </si>
  <si>
    <t>4,465,227.23</t>
  </si>
  <si>
    <t>1,194,420.00</t>
  </si>
  <si>
    <t>260,514.40</t>
  </si>
  <si>
    <t>3,429,968.79</t>
  </si>
  <si>
    <t>67,996.00</t>
  </si>
  <si>
    <t>1,082,379.89</t>
  </si>
  <si>
    <t>399,900.91</t>
  </si>
  <si>
    <t>2,897,988.60</t>
  </si>
  <si>
    <t>489,486.17</t>
  </si>
  <si>
    <t>1,932,913.37</t>
  </si>
  <si>
    <t>305,780.00</t>
  </si>
  <si>
    <t>5,500.00</t>
  </si>
  <si>
    <t>1,922,420.74</t>
  </si>
  <si>
    <t>446,820.00</t>
  </si>
  <si>
    <t>3,429,990.04</t>
  </si>
  <si>
    <t>20,665.00</t>
  </si>
  <si>
    <t>743,396.00</t>
  </si>
  <si>
    <t>514,705.50</t>
  </si>
  <si>
    <t>1,553,130.00</t>
  </si>
  <si>
    <t>2,287,203.14</t>
  </si>
  <si>
    <t>403,200.00</t>
  </si>
  <si>
    <t>672,322.00</t>
  </si>
  <si>
    <t>10,200.00</t>
  </si>
  <si>
    <t>499,792.14</t>
  </si>
  <si>
    <t>499,723.41</t>
  </si>
  <si>
    <t>87,396.46</t>
  </si>
  <si>
    <t>859,670.00</t>
  </si>
  <si>
    <t>4,161,210.00</t>
  </si>
  <si>
    <t>281,779.70</t>
  </si>
  <si>
    <t>1,653,690.01</t>
  </si>
  <si>
    <t>1,068,850.00</t>
  </si>
  <si>
    <t>885,913.25</t>
  </si>
  <si>
    <t>146,240.00</t>
  </si>
  <si>
    <t>1,039,080.40</t>
  </si>
  <si>
    <t>104,055.94</t>
  </si>
  <si>
    <t>2,168,804.94</t>
  </si>
  <si>
    <t>2,181,630.00</t>
  </si>
  <si>
    <t>599,382.00</t>
  </si>
  <si>
    <t>2,894,755.00</t>
  </si>
  <si>
    <t>519,200.00</t>
  </si>
  <si>
    <t>4,613,603.06</t>
  </si>
  <si>
    <t>3,720,628.50</t>
  </si>
  <si>
    <t>12,899,334.56</t>
  </si>
  <si>
    <t>607,500.00</t>
  </si>
  <si>
    <t>1,110,760.00</t>
  </si>
  <si>
    <t>8,150,000.00</t>
  </si>
  <si>
    <t>950,955.59</t>
  </si>
  <si>
    <t>6,850,000.00</t>
  </si>
  <si>
    <t>4,198,658.91</t>
  </si>
  <si>
    <t>859,100.45</t>
  </si>
  <si>
    <t>249,928.06</t>
  </si>
  <si>
    <t>298,670.00</t>
  </si>
  <si>
    <t>268,589.63</t>
  </si>
  <si>
    <t>2,639,000.00</t>
  </si>
  <si>
    <t>7,982,034.21</t>
  </si>
  <si>
    <t>146,750.00</t>
  </si>
  <si>
    <t>2,640,000.00</t>
  </si>
  <si>
    <t>1,441,500.00</t>
  </si>
  <si>
    <t>2,187,500.00</t>
  </si>
  <si>
    <t>5,861,250.00</t>
  </si>
  <si>
    <t>498,290.00</t>
  </si>
  <si>
    <t>948,146.70</t>
  </si>
  <si>
    <t>48,500,464.77</t>
  </si>
  <si>
    <t>36,701,943.92</t>
  </si>
  <si>
    <t>551,559.51</t>
  </si>
  <si>
    <t>1,639,761.93</t>
  </si>
  <si>
    <t>1,505,000.00</t>
  </si>
  <si>
    <t>127,000.00</t>
  </si>
  <si>
    <t>75,705.00</t>
  </si>
  <si>
    <t>290,859.00</t>
  </si>
  <si>
    <t>249,280.00</t>
  </si>
  <si>
    <t>458,985.00</t>
  </si>
  <si>
    <t>59,995,456.13</t>
  </si>
  <si>
    <t>805,544.39</t>
  </si>
  <si>
    <t>406,714.91</t>
  </si>
  <si>
    <t>924,952.05</t>
  </si>
  <si>
    <t>997,803.79</t>
  </si>
  <si>
    <t>866,010.00</t>
  </si>
  <si>
    <t>697,164.63</t>
  </si>
  <si>
    <t>22,550,000.00</t>
  </si>
  <si>
    <t>1,324,915.00</t>
  </si>
  <si>
    <t>1,227,950.00</t>
  </si>
  <si>
    <t>495,877.03</t>
  </si>
  <si>
    <t>4,932,565.30</t>
  </si>
  <si>
    <t>1,842,032.59</t>
  </si>
  <si>
    <t>499,977.16</t>
  </si>
  <si>
    <t>2,014,900.00</t>
  </si>
  <si>
    <t>497,391.12</t>
  </si>
  <si>
    <t>2,989,680.00</t>
  </si>
  <si>
    <t>4,191,600.00</t>
  </si>
  <si>
    <t>1,695,000.00</t>
  </si>
  <si>
    <t>2,000,019.00</t>
  </si>
  <si>
    <t>1,683,230.00</t>
  </si>
  <si>
    <t>873,620.00</t>
  </si>
  <si>
    <t>2,946,195.24</t>
  </si>
  <si>
    <t>158,566.22</t>
  </si>
  <si>
    <t>1,998,858.95</t>
  </si>
  <si>
    <t>2,373,851.00</t>
  </si>
  <si>
    <t>2,930,369.38</t>
  </si>
  <si>
    <t>681,635.00</t>
  </si>
  <si>
    <t>4,499,999.25</t>
  </si>
  <si>
    <t>281,345.30</t>
  </si>
  <si>
    <t>498,573.86</t>
  </si>
  <si>
    <t>1,369,900.00</t>
  </si>
  <si>
    <t>2,950,700.97</t>
  </si>
  <si>
    <t>155,880.00</t>
  </si>
  <si>
    <t>405,215.00</t>
  </si>
  <si>
    <t>998,997.51</t>
  </si>
  <si>
    <t>2,910,000.00</t>
  </si>
  <si>
    <t>799,820.00</t>
  </si>
  <si>
    <t>104,090.00</t>
  </si>
  <si>
    <t>1,951,181.92</t>
  </si>
  <si>
    <t>164,150.00</t>
  </si>
  <si>
    <t>2,946,063.60</t>
  </si>
  <si>
    <t>533,494.54</t>
  </si>
  <si>
    <t>179,537.00</t>
  </si>
  <si>
    <t>637,820.04</t>
  </si>
  <si>
    <t>244,040.00</t>
  </si>
  <si>
    <t>3,999,926.45</t>
  </si>
  <si>
    <t>308,597.58</t>
  </si>
  <si>
    <t>1,086,000.00</t>
  </si>
  <si>
    <t>1,603,190.00</t>
  </si>
  <si>
    <t>825.00</t>
  </si>
  <si>
    <t>892,003.00</t>
  </si>
  <si>
    <t>5,718,374.31</t>
  </si>
  <si>
    <t>2,998,884.70</t>
  </si>
  <si>
    <t>28,419.12</t>
  </si>
  <si>
    <t>549,000.00</t>
  </si>
  <si>
    <t>28,696,958.00</t>
  </si>
  <si>
    <t>1,999,962.50</t>
  </si>
  <si>
    <t>979,989.15</t>
  </si>
  <si>
    <t>903,608.12</t>
  </si>
  <si>
    <t>5,670,811.24</t>
  </si>
  <si>
    <t>3,050,791.38</t>
  </si>
  <si>
    <t>893,000.00</t>
  </si>
  <si>
    <t>9,694,545.45</t>
  </si>
  <si>
    <t>249,879.89</t>
  </si>
  <si>
    <t>199,792.49</t>
  </si>
  <si>
    <t>999,287.45</t>
  </si>
  <si>
    <t>1,212,000.00</t>
  </si>
  <si>
    <t>19,440,000.00</t>
  </si>
  <si>
    <t>2,442,970.00</t>
  </si>
  <si>
    <t>1,249,693.50</t>
  </si>
  <si>
    <t>1,466,552.69</t>
  </si>
  <si>
    <t>2,048,000.00</t>
  </si>
  <si>
    <t>39,892,712.83</t>
  </si>
  <si>
    <t>299,522.46</t>
  </si>
  <si>
    <t>2,983,679.26</t>
  </si>
  <si>
    <t>647,184.00</t>
  </si>
  <si>
    <t>123,875.00</t>
  </si>
  <si>
    <t>999,595.74</t>
  </si>
  <si>
    <t>404,215.00</t>
  </si>
  <si>
    <t>51,750.00</t>
  </si>
  <si>
    <t>175,100.00</t>
  </si>
  <si>
    <t>11,165,000.00</t>
  </si>
  <si>
    <t>14,999,080.90</t>
  </si>
  <si>
    <t>1,556,775.00</t>
  </si>
  <si>
    <t>222,512.00</t>
  </si>
  <si>
    <t>2,401,778.06</t>
  </si>
  <si>
    <t>226,380.00</t>
  </si>
  <si>
    <t>204,519.51</t>
  </si>
  <si>
    <t>1,383,131.78</t>
  </si>
  <si>
    <t>999,935.00</t>
  </si>
  <si>
    <t>1,190,427.92</t>
  </si>
  <si>
    <t>8,145,490.80</t>
  </si>
  <si>
    <t>8,655,000.00</t>
  </si>
  <si>
    <t>9,600,000.00</t>
  </si>
  <si>
    <t>2,139,820.00</t>
  </si>
  <si>
    <t>274,120.00</t>
  </si>
  <si>
    <t>2,997,131.29</t>
  </si>
  <si>
    <t>967,285.00</t>
  </si>
  <si>
    <t>249,772.95</t>
  </si>
  <si>
    <t>2,999,535.49</t>
  </si>
  <si>
    <t>287,723,710.80</t>
  </si>
  <si>
    <t>93,015.00</t>
  </si>
  <si>
    <t>3,385,000.00</t>
  </si>
  <si>
    <t>65,126.00</t>
  </si>
  <si>
    <t>36,150.00</t>
  </si>
  <si>
    <t>4,875,613.88</t>
  </si>
  <si>
    <t>3,499,812.75</t>
  </si>
  <si>
    <t>255,826,933.76</t>
  </si>
  <si>
    <t>899,800.00</t>
  </si>
  <si>
    <t>4,999,662.30</t>
  </si>
  <si>
    <t>637,449.50</t>
  </si>
  <si>
    <t>15,812,000.00</t>
  </si>
  <si>
    <t>40,065.65</t>
  </si>
  <si>
    <t>3,175,265.75</t>
  </si>
  <si>
    <t>793,968.00</t>
  </si>
  <si>
    <t>4,984,881.11</t>
  </si>
  <si>
    <t>3,882,000.00</t>
  </si>
  <si>
    <t>559,351.86</t>
  </si>
  <si>
    <t>573,628.56</t>
  </si>
  <si>
    <t>4,998,879.04</t>
  </si>
  <si>
    <t>913,253.00</t>
  </si>
  <si>
    <t>102,796.00</t>
  </si>
  <si>
    <t>631,700.00</t>
  </si>
  <si>
    <t>1,488,034.90</t>
  </si>
  <si>
    <t>255,369,933.76</t>
  </si>
  <si>
    <t>17,432,899.19</t>
  </si>
  <si>
    <t>328,850.00</t>
  </si>
  <si>
    <t>890,262.00</t>
  </si>
  <si>
    <t>121,300.00</t>
  </si>
  <si>
    <t>490,041.00</t>
  </si>
  <si>
    <t>3,899,025.03</t>
  </si>
  <si>
    <t>4,899,400.00</t>
  </si>
  <si>
    <t>895,392.19</t>
  </si>
  <si>
    <t>188,190.00</t>
  </si>
  <si>
    <t>733,665.00</t>
  </si>
  <si>
    <t>3,770,300.00</t>
  </si>
  <si>
    <t>21,670.00</t>
  </si>
  <si>
    <t>2,060,000.00</t>
  </si>
  <si>
    <t>608,134.00</t>
  </si>
  <si>
    <t>2,079,967.00</t>
  </si>
  <si>
    <t>1,260,000.00</t>
  </si>
  <si>
    <t>6,375,000.00</t>
  </si>
  <si>
    <t>2,996,882.91</t>
  </si>
  <si>
    <t>2,967,865.64</t>
  </si>
  <si>
    <t>814,802.00</t>
  </si>
  <si>
    <t>5,562,179.76</t>
  </si>
  <si>
    <t>4,052,653.50</t>
  </si>
  <si>
    <t>3,152,390.30</t>
  </si>
  <si>
    <t>3,618,184.84</t>
  </si>
  <si>
    <t>157,931,568.90</t>
  </si>
  <si>
    <t>250,225.00</t>
  </si>
  <si>
    <t>1,002,233.29</t>
  </si>
  <si>
    <t>6,075,320.99</t>
  </si>
  <si>
    <t>93,900.00</t>
  </si>
  <si>
    <t>6,859,979.01</t>
  </si>
  <si>
    <t>1,665,021.31</t>
  </si>
  <si>
    <t>2,302,956.08</t>
  </si>
  <si>
    <t>79,200,000.00</t>
  </si>
  <si>
    <t>999,512.57</t>
  </si>
  <si>
    <t>43,500,000.00</t>
  </si>
  <si>
    <t>1,699,978.83</t>
  </si>
  <si>
    <t>4,999,476.35</t>
  </si>
  <si>
    <t>2,494,485.65</t>
  </si>
  <si>
    <t>39,199,719.36</t>
  </si>
  <si>
    <t>29,399,054.22</t>
  </si>
  <si>
    <t>14,399,543.82</t>
  </si>
  <si>
    <t>323,900.00</t>
  </si>
  <si>
    <t>130,881.20</t>
  </si>
  <si>
    <t>616,660.00</t>
  </si>
  <si>
    <t>1,560,000.00</t>
  </si>
  <si>
    <t>2,499,320.41</t>
  </si>
  <si>
    <t>115,920.00</t>
  </si>
  <si>
    <t>19,599,500.05</t>
  </si>
  <si>
    <t>384,564.60</t>
  </si>
  <si>
    <t>1,264,247,622.67</t>
  </si>
  <si>
    <t>1,263,700.00</t>
  </si>
  <si>
    <t>15,751.00</t>
  </si>
  <si>
    <t>135,135.00</t>
  </si>
  <si>
    <t>269,325.00</t>
  </si>
  <si>
    <t>401,373.00</t>
  </si>
  <si>
    <t>5,825,170.77</t>
  </si>
  <si>
    <t>49,492,416.40</t>
  </si>
  <si>
    <t>2,074,495.50</t>
  </si>
  <si>
    <t>1,032,667.88</t>
  </si>
  <si>
    <t>634,971.75</t>
  </si>
  <si>
    <t>13,400,000.00</t>
  </si>
  <si>
    <t>20,475.00</t>
  </si>
  <si>
    <t>6,965,024.00</t>
  </si>
  <si>
    <t>8,520,930.00</t>
  </si>
  <si>
    <t>48,999,560.74</t>
  </si>
  <si>
    <t>2,405,000.00</t>
  </si>
  <si>
    <t>919,100.00</t>
  </si>
  <si>
    <t>3,365,898.90</t>
  </si>
  <si>
    <t>3,414,000.00</t>
  </si>
  <si>
    <t>8,289,000.00</t>
  </si>
  <si>
    <t>282,000.00</t>
  </si>
  <si>
    <t>1,826,748.39</t>
  </si>
  <si>
    <t>9,820,000.00</t>
  </si>
  <si>
    <t>2,053,222.00</t>
  </si>
  <si>
    <t>225,580.00</t>
  </si>
  <si>
    <t>135,681.00</t>
  </si>
  <si>
    <t>25,680,000.00</t>
  </si>
  <si>
    <t>9,150,000.00</t>
  </si>
  <si>
    <t>3,422,770.00</t>
  </si>
  <si>
    <t>5,921,475.60</t>
  </si>
  <si>
    <t>1,970,000.00</t>
  </si>
  <si>
    <t>1,711,458.41</t>
  </si>
  <si>
    <t>42,092.00</t>
  </si>
  <si>
    <t>5,335,125.00</t>
  </si>
  <si>
    <t>1,457,757.12</t>
  </si>
  <si>
    <t>478,200.00</t>
  </si>
  <si>
    <t>1,491,783.30</t>
  </si>
  <si>
    <t>106,400.00</t>
  </si>
  <si>
    <t>1,999,470.00</t>
  </si>
  <si>
    <t>1,294,460.71</t>
  </si>
  <si>
    <t>242,200.00</t>
  </si>
  <si>
    <t>694,800.00</t>
  </si>
  <si>
    <t>64,080.00</t>
  </si>
  <si>
    <t>5,431,650.00</t>
  </si>
  <si>
    <t>207,100.00</t>
  </si>
  <si>
    <t>1,020,733.13</t>
  </si>
  <si>
    <t>5,401,000.00</t>
  </si>
  <si>
    <t>8,130,000.00</t>
  </si>
  <si>
    <t>847,000.00</t>
  </si>
  <si>
    <t>6,399,951.02</t>
  </si>
  <si>
    <t>170,693.50</t>
  </si>
  <si>
    <t>5,554,000.00</t>
  </si>
  <si>
    <t>794,182.00</t>
  </si>
  <si>
    <t>290,996.90</t>
  </si>
  <si>
    <t>2,499,998.00</t>
  </si>
  <si>
    <t>272,950.00</t>
  </si>
  <si>
    <t>431,075,150.00</t>
  </si>
  <si>
    <t>482,500,000.00</t>
  </si>
  <si>
    <t>284,750.00</t>
  </si>
  <si>
    <t>7,842,000.00</t>
  </si>
  <si>
    <t>810,600,000.00</t>
  </si>
  <si>
    <t>298,993,670.00</t>
  </si>
  <si>
    <t>361,875,000.00</t>
  </si>
  <si>
    <t>2,334,842.40</t>
  </si>
  <si>
    <t>2,043,334.70</t>
  </si>
  <si>
    <t>5,970,000.00</t>
  </si>
  <si>
    <t>499,996.17</t>
  </si>
  <si>
    <t>618,000.00</t>
  </si>
  <si>
    <t>694,020.00</t>
  </si>
  <si>
    <t>675,473.14</t>
  </si>
  <si>
    <t>280,795,700.00</t>
  </si>
  <si>
    <t>1,999,850.00</t>
  </si>
  <si>
    <t>390,825,000.00</t>
  </si>
  <si>
    <t>382,825,150.00</t>
  </si>
  <si>
    <t>9,989,744.50</t>
  </si>
  <si>
    <t>492,053,500.00</t>
  </si>
  <si>
    <t>289,500,000.00</t>
  </si>
  <si>
    <t>9,989,993.80</t>
  </si>
  <si>
    <t>4,989,794.65</t>
  </si>
  <si>
    <t>13,498,752.22</t>
  </si>
  <si>
    <t>9,989,806.52</t>
  </si>
  <si>
    <t>5,498,543.86</t>
  </si>
  <si>
    <t>8,498,698.32</t>
  </si>
  <si>
    <t>13,497,972.61</t>
  </si>
  <si>
    <t>45,000,000.00</t>
  </si>
  <si>
    <t>13,498,528.82</t>
  </si>
  <si>
    <t>2,680,000.00</t>
  </si>
  <si>
    <t>5,989,870.51</t>
  </si>
  <si>
    <t>257,745.00</t>
  </si>
  <si>
    <t>746,852.00</t>
  </si>
  <si>
    <t>299,987.88</t>
  </si>
  <si>
    <t>605,030.00</t>
  </si>
  <si>
    <t>256,927.00</t>
  </si>
  <si>
    <t>461,900.00</t>
  </si>
  <si>
    <t>474,001.00</t>
  </si>
  <si>
    <t>434,600.00</t>
  </si>
  <si>
    <t>192,000.00</t>
  </si>
  <si>
    <t>151,592.94</t>
  </si>
  <si>
    <t>1,468,393.66</t>
  </si>
  <si>
    <t>9,989,474.82</t>
  </si>
  <si>
    <t>979,929.83</t>
  </si>
  <si>
    <t>1,968,139.45</t>
  </si>
  <si>
    <t>821,095.50</t>
  </si>
  <si>
    <t>1,499,999.27</t>
  </si>
  <si>
    <t>201,398,962.47</t>
  </si>
  <si>
    <t>9,491,304.70</t>
  </si>
  <si>
    <t>1,338,660.00</t>
  </si>
  <si>
    <t>608,000.00</t>
  </si>
  <si>
    <t>7,497,552.75</t>
  </si>
  <si>
    <t>600,680.00</t>
  </si>
  <si>
    <t>117,509.00</t>
  </si>
  <si>
    <t>413,888,500.00</t>
  </si>
  <si>
    <t>122,525.00</t>
  </si>
  <si>
    <t>20,812,518.12</t>
  </si>
  <si>
    <t>630,413.06</t>
  </si>
  <si>
    <t>290,999.03</t>
  </si>
  <si>
    <t>193,000,000.00</t>
  </si>
  <si>
    <t>3,675,000.00</t>
  </si>
  <si>
    <t>144,750,000.00</t>
  </si>
  <si>
    <t>37,000,000.00</t>
  </si>
  <si>
    <t>4,999,032.16</t>
  </si>
  <si>
    <t>593,140.00</t>
  </si>
  <si>
    <t>702,175.00</t>
  </si>
  <si>
    <t>65,704.10</t>
  </si>
  <si>
    <t>616,049.76</t>
  </si>
  <si>
    <t>1,955,818.63</t>
  </si>
  <si>
    <t>3,608,090.04</t>
  </si>
  <si>
    <t>1,590,662.79</t>
  </si>
  <si>
    <t>1,991,506.36</t>
  </si>
  <si>
    <t>1,075,000.00</t>
  </si>
  <si>
    <t>1,129,182.00</t>
  </si>
  <si>
    <t>2,999,938.17</t>
  </si>
  <si>
    <t>232,835.95</t>
  </si>
  <si>
    <t>199,898.00</t>
  </si>
  <si>
    <t>936,294.50</t>
  </si>
  <si>
    <t>1,153,554.00</t>
  </si>
  <si>
    <t>337,400.00</t>
  </si>
  <si>
    <t>10,283,752.00</t>
  </si>
  <si>
    <t>5,835,300.00</t>
  </si>
  <si>
    <t>115,000,000.00</t>
  </si>
  <si>
    <t>2,933,314.12</t>
  </si>
  <si>
    <t>69,447.00</t>
  </si>
  <si>
    <t>2,818,868.00</t>
  </si>
  <si>
    <t>132,300.00</t>
  </si>
  <si>
    <t>2,111,220.00</t>
  </si>
  <si>
    <t>1,219,460.00</t>
  </si>
  <si>
    <t>1,532,725.00</t>
  </si>
  <si>
    <t>222,192.00</t>
  </si>
  <si>
    <t>136,725.00</t>
  </si>
  <si>
    <t>460,430.00</t>
  </si>
  <si>
    <t>153,406.59</t>
  </si>
  <si>
    <t>702,365.85</t>
  </si>
  <si>
    <t>4,450,000.00</t>
  </si>
  <si>
    <t>6,370,000.00</t>
  </si>
  <si>
    <t>700,068.25</t>
  </si>
  <si>
    <t>128,567.25</t>
  </si>
  <si>
    <t>2,165,179.90</t>
  </si>
  <si>
    <t>11,526,000.00</t>
  </si>
  <si>
    <t>12,934,992.00</t>
  </si>
  <si>
    <t>142,664.00</t>
  </si>
  <si>
    <t>193,578.00</t>
  </si>
  <si>
    <t>18,425,896.00</t>
  </si>
  <si>
    <t>9,998,461.75</t>
  </si>
  <si>
    <t>233,596.02</t>
  </si>
  <si>
    <t>400,770.00</t>
  </si>
  <si>
    <t>11,939,992.00</t>
  </si>
  <si>
    <t>9,387,244.86</t>
  </si>
  <si>
    <t>1,046,207.65</t>
  </si>
  <si>
    <t>444,298.50</t>
  </si>
  <si>
    <t>1,066,685.72</t>
  </si>
  <si>
    <t>6,757,336.63</t>
  </si>
  <si>
    <t>4,999,993.69</t>
  </si>
  <si>
    <t>18,457,000.00</t>
  </si>
  <si>
    <t>55,100.00</t>
  </si>
  <si>
    <t>11,270,000.00</t>
  </si>
  <si>
    <t>1,968,376.91</t>
  </si>
  <si>
    <t>1,999,864.44</t>
  </si>
  <si>
    <t>1,750,349.32</t>
  </si>
  <si>
    <t>7,595.00</t>
  </si>
  <si>
    <t>135,577.75</t>
  </si>
  <si>
    <t>257,824.00</t>
  </si>
  <si>
    <t>28,700,280.00</t>
  </si>
  <si>
    <t>49,467,734.00</t>
  </si>
  <si>
    <t>1,199,756.25</t>
  </si>
  <si>
    <t>5,510,540.00</t>
  </si>
  <si>
    <t>323,460.00</t>
  </si>
  <si>
    <t>322,000.00</t>
  </si>
  <si>
    <t>902,573.20</t>
  </si>
  <si>
    <t>407,979.00</t>
  </si>
  <si>
    <t>302,445.00</t>
  </si>
  <si>
    <t>1,703,006.80</t>
  </si>
  <si>
    <t>499,875.00</t>
  </si>
  <si>
    <t>18,787,198.10</t>
  </si>
  <si>
    <t>1,474,398.00</t>
  </si>
  <si>
    <t>428,045.63</t>
  </si>
  <si>
    <t>297,360.00</t>
  </si>
  <si>
    <t>11,778,530.00</t>
  </si>
  <si>
    <t>401,100.00</t>
  </si>
  <si>
    <t>473,004.28</t>
  </si>
  <si>
    <t>567,000.00</t>
  </si>
  <si>
    <t>16,020,899.14</t>
  </si>
  <si>
    <t>4,623,500.00</t>
  </si>
  <si>
    <t>2,098,135.00</t>
  </si>
  <si>
    <t>1,281,410.80</t>
  </si>
  <si>
    <t>2,609,892.39</t>
  </si>
  <si>
    <t>49,860,000.00</t>
  </si>
  <si>
    <t>449,000.00</t>
  </si>
  <si>
    <t>108,400.00</t>
  </si>
  <si>
    <t>3,236.00</t>
  </si>
  <si>
    <t>1,134,000.00</t>
  </si>
  <si>
    <t>99,707.00</t>
  </si>
  <si>
    <t>24,824,082.90</t>
  </si>
  <si>
    <t>214,500.00</t>
  </si>
  <si>
    <t>244,825.00</t>
  </si>
  <si>
    <t>2,996,000.00</t>
  </si>
  <si>
    <t>527,750.00</t>
  </si>
  <si>
    <t>101,500.00</t>
  </si>
  <si>
    <t>1,550,410.50</t>
  </si>
  <si>
    <t>1,288,173.00</t>
  </si>
  <si>
    <t>8,450.00</t>
  </si>
  <si>
    <t>1,997,749.28</t>
  </si>
  <si>
    <t>1,548,314.00</t>
  </si>
  <si>
    <t>699,969.49</t>
  </si>
  <si>
    <t>247,016.60</t>
  </si>
  <si>
    <t>2,503,120.00</t>
  </si>
  <si>
    <t>10,642,900.00</t>
  </si>
  <si>
    <t>169,826.00</t>
  </si>
  <si>
    <t>2,444,724.00</t>
  </si>
  <si>
    <t>1,499,121.16</t>
  </si>
  <si>
    <t>5,420,048.03</t>
  </si>
  <si>
    <t>698,530.00</t>
  </si>
  <si>
    <t>2,024,144.77</t>
  </si>
  <si>
    <t>4,554,315.00</t>
  </si>
  <si>
    <t>199,900.00</t>
  </si>
  <si>
    <t>258,260.00</t>
  </si>
  <si>
    <t>832,800.00</t>
  </si>
  <si>
    <t>4,391,450.00</t>
  </si>
  <si>
    <t>80,600.00</t>
  </si>
  <si>
    <t>1,998,888.62</t>
  </si>
  <si>
    <t>1,795,500.00</t>
  </si>
  <si>
    <t>1,208,572.50</t>
  </si>
  <si>
    <t>160,982.00</t>
  </si>
  <si>
    <t>4,280,000.00</t>
  </si>
  <si>
    <t>789,440.00</t>
  </si>
  <si>
    <t>2,890,000.00</t>
  </si>
  <si>
    <t>29,400,866.61</t>
  </si>
  <si>
    <t>1,337,630.80</t>
  </si>
  <si>
    <t>2,920,500.00</t>
  </si>
  <si>
    <t>569,875.00</t>
  </si>
  <si>
    <t>2,599,576.10</t>
  </si>
  <si>
    <t>3,894,105.88</t>
  </si>
  <si>
    <t>4,159,356.00</t>
  </si>
  <si>
    <t>7,246,176.91</t>
  </si>
  <si>
    <t>257,140.00</t>
  </si>
  <si>
    <t>5,841,000.00</t>
  </si>
  <si>
    <t>1,586,112.00</t>
  </si>
  <si>
    <t>1,900,125.00</t>
  </si>
  <si>
    <t>336,095.00</t>
  </si>
  <si>
    <t>864,360.00</t>
  </si>
  <si>
    <t>5,539,376.45</t>
  </si>
  <si>
    <t>1,474,556.24</t>
  </si>
  <si>
    <t>1,398,563.75</t>
  </si>
  <si>
    <t>1,905,000.00</t>
  </si>
  <si>
    <t>88,420.00</t>
  </si>
  <si>
    <t>7,920,000.00</t>
  </si>
  <si>
    <t>1,226,344.00</t>
  </si>
  <si>
    <t>577,625.00</t>
  </si>
  <si>
    <t>1,411,031.48</t>
  </si>
  <si>
    <t>2,277,703.75</t>
  </si>
  <si>
    <t>3,582,000.00</t>
  </si>
  <si>
    <t>1,056,320.00</t>
  </si>
  <si>
    <t>1,620,131.63</t>
  </si>
  <si>
    <t>120,700.00</t>
  </si>
  <si>
    <t>97,500.00</t>
  </si>
  <si>
    <t>2,035,000.00</t>
  </si>
  <si>
    <t>1,536,979.26</t>
  </si>
  <si>
    <t>1,402,300.00</t>
  </si>
  <si>
    <t>2,670,000.00</t>
  </si>
  <si>
    <t>370,880.00</t>
  </si>
  <si>
    <t>550,072.20</t>
  </si>
  <si>
    <t>764,762.79</t>
  </si>
  <si>
    <t>3,800,459.04</t>
  </si>
  <si>
    <t>577,838.46</t>
  </si>
  <si>
    <t>8,489.20</t>
  </si>
  <si>
    <t>3,563,723.60</t>
  </si>
  <si>
    <t>999,811.44</t>
  </si>
  <si>
    <t>3,657,910.00</t>
  </si>
  <si>
    <t>2,999,921.24</t>
  </si>
  <si>
    <t>2,999,999.06</t>
  </si>
  <si>
    <t>2,248,978.21</t>
  </si>
  <si>
    <t>1,359,538.63</t>
  </si>
  <si>
    <t>2,897,992.58</t>
  </si>
  <si>
    <t>999,684.26</t>
  </si>
  <si>
    <t>455,301.56</t>
  </si>
  <si>
    <t>1,024,542.00</t>
  </si>
  <si>
    <t>4,788,306.53</t>
  </si>
  <si>
    <t>350,124.00</t>
  </si>
  <si>
    <t>1,999,936.74</t>
  </si>
  <si>
    <t>249,412.33</t>
  </si>
  <si>
    <t>119,105.00</t>
  </si>
  <si>
    <t>1,321,200.00</t>
  </si>
  <si>
    <t>2,499,998.60</t>
  </si>
  <si>
    <t>1,133,426.36</t>
  </si>
  <si>
    <t>4,926,877.32</t>
  </si>
  <si>
    <t>5,529,394.55</t>
  </si>
  <si>
    <t>998,539.09</t>
  </si>
  <si>
    <t>891,322.70</t>
  </si>
  <si>
    <t>17,157,184.38</t>
  </si>
  <si>
    <t>4,574,227.53</t>
  </si>
  <si>
    <t>1,992,800.00</t>
  </si>
  <si>
    <t>71,714,510.96</t>
  </si>
  <si>
    <t>1,151,000.00</t>
  </si>
  <si>
    <t>2,010,750.00</t>
  </si>
  <si>
    <t>4,402,140.95</t>
  </si>
  <si>
    <t>830,000.00</t>
  </si>
  <si>
    <t>999,996.42</t>
  </si>
  <si>
    <t>399,410.00</t>
  </si>
  <si>
    <t>1,068,350.00</t>
  </si>
  <si>
    <t>31,708,474.42</t>
  </si>
  <si>
    <t>495,620.02</t>
  </si>
  <si>
    <t>4,860,783.26</t>
  </si>
  <si>
    <t>3,699,141.97</t>
  </si>
  <si>
    <t>58,657,553.00</t>
  </si>
  <si>
    <t>2,851,000.00</t>
  </si>
  <si>
    <t>2,460,000.00</t>
  </si>
  <si>
    <t>9,461,075.25</t>
  </si>
  <si>
    <t>162,600.00</t>
  </si>
  <si>
    <t>11,700,000.00</t>
  </si>
  <si>
    <t>3,498,448.95</t>
  </si>
  <si>
    <t>2,226,000.00</t>
  </si>
  <si>
    <t>24,223,000.00</t>
  </si>
  <si>
    <t>1,192,000.00</t>
  </si>
  <si>
    <t>341,640.00</t>
  </si>
  <si>
    <t>2,000,250.00</t>
  </si>
  <si>
    <t>6,160,771.66</t>
  </si>
  <si>
    <t>35,236,612.60</t>
  </si>
  <si>
    <t>28,800,000.00</t>
  </si>
  <si>
    <t>7,709,156.21</t>
  </si>
  <si>
    <t>168,444,500.00</t>
  </si>
  <si>
    <t>1,499,934.92</t>
  </si>
  <si>
    <t>1,499,972.00</t>
  </si>
  <si>
    <t>14,000,000.00</t>
  </si>
  <si>
    <t>3,014,000.00</t>
  </si>
  <si>
    <t>9,070,880.00</t>
  </si>
  <si>
    <t>34,739,989.94</t>
  </si>
  <si>
    <t>54,553,920.00</t>
  </si>
  <si>
    <t>152,001.00</t>
  </si>
  <si>
    <t>3,550.00</t>
  </si>
  <si>
    <t>4,999,999.87</t>
  </si>
  <si>
    <t>12,600,000.00</t>
  </si>
  <si>
    <t>245,051.00</t>
  </si>
  <si>
    <t>2,995,226.26</t>
  </si>
  <si>
    <t>3,640,500.00</t>
  </si>
  <si>
    <t>10,050.00</t>
  </si>
  <si>
    <t>496,656.86</t>
  </si>
  <si>
    <t>1,599,917.35</t>
  </si>
  <si>
    <t>4,242,278.49</t>
  </si>
  <si>
    <t>7,624,000.00</t>
  </si>
  <si>
    <t>2,076,678.79</t>
  </si>
  <si>
    <t>1,498,000.00</t>
  </si>
  <si>
    <t>61,855.00</t>
  </si>
  <si>
    <t>947,868.00</t>
  </si>
  <si>
    <t>979,999.88</t>
  </si>
  <si>
    <t>3,372,723.20</t>
  </si>
  <si>
    <t>1,519,830.00</t>
  </si>
  <si>
    <t>4,999,650.00</t>
  </si>
  <si>
    <t>5,433,162.51</t>
  </si>
  <si>
    <t>476,094.22</t>
  </si>
  <si>
    <t>5,075,550.30</t>
  </si>
  <si>
    <t>524,600.00</t>
  </si>
  <si>
    <t>544,208.28</t>
  </si>
  <si>
    <t>1,017,422.63</t>
  </si>
  <si>
    <t>3,163,400.00</t>
  </si>
  <si>
    <t>740,000.00</t>
  </si>
  <si>
    <t>2,010,000.00</t>
  </si>
  <si>
    <t>708,000.00</t>
  </si>
  <si>
    <t>2,161,708.58</t>
  </si>
  <si>
    <t>538,203.23</t>
  </si>
  <si>
    <t>197,239.00</t>
  </si>
  <si>
    <t>2,001,000.00</t>
  </si>
  <si>
    <t>52,932,000.00</t>
  </si>
  <si>
    <t>23,611,800.00</t>
  </si>
  <si>
    <t>5,100,000.00</t>
  </si>
  <si>
    <t>13,030,800.00</t>
  </si>
  <si>
    <t>669,573.35</t>
  </si>
  <si>
    <t>946,277.80</t>
  </si>
  <si>
    <t>105,800.00</t>
  </si>
  <si>
    <t>73,908.00</t>
  </si>
  <si>
    <t>328,547.79</t>
  </si>
  <si>
    <t>2,732,498.01</t>
  </si>
  <si>
    <t>5,190,294.44</t>
  </si>
  <si>
    <t>126,544.88</t>
  </si>
  <si>
    <t>17,119,000.00</t>
  </si>
  <si>
    <t>1,954,250.00</t>
  </si>
  <si>
    <t>1,460,962.00</t>
  </si>
  <si>
    <t>3,341,843.60</t>
  </si>
  <si>
    <t>870,000.00</t>
  </si>
  <si>
    <t>574,600.00</t>
  </si>
  <si>
    <t>1,178,520.00</t>
  </si>
  <si>
    <t>1,063,540.00</t>
  </si>
  <si>
    <t>220,328.50</t>
  </si>
  <si>
    <t>6,727,118.46</t>
  </si>
  <si>
    <t>1,661,000.00</t>
  </si>
  <si>
    <t>436,900.00</t>
  </si>
  <si>
    <t>10,380.00</t>
  </si>
  <si>
    <t>1,777,865.00</t>
  </si>
  <si>
    <t>2,396,988.00</t>
  </si>
  <si>
    <t>1,998,360.82</t>
  </si>
  <si>
    <t>2,700.00</t>
  </si>
  <si>
    <t>1,630,341.00</t>
  </si>
  <si>
    <t>32,902.50</t>
  </si>
  <si>
    <t>45,130.60</t>
  </si>
  <si>
    <t>10,800,000.00</t>
  </si>
  <si>
    <t>55,200,000.00</t>
  </si>
  <si>
    <t>63,700.00</t>
  </si>
  <si>
    <t>41,910,600.00</t>
  </si>
  <si>
    <t>4,008,000.00</t>
  </si>
  <si>
    <t>11,122,800.00</t>
  </si>
  <si>
    <t>2,969,682.10</t>
  </si>
  <si>
    <t>3,959,556.08</t>
  </si>
  <si>
    <t>686,666.67</t>
  </si>
  <si>
    <t>2,969,989.92</t>
  </si>
  <si>
    <t>7,592,500.00</t>
  </si>
  <si>
    <t>15,207,731.10</t>
  </si>
  <si>
    <t>48,000,000.00</t>
  </si>
  <si>
    <t>4,086,774.09</t>
  </si>
  <si>
    <t>15,117,954.98</t>
  </si>
  <si>
    <t>212,680.00</t>
  </si>
  <si>
    <t>181,668.00</t>
  </si>
  <si>
    <t>17,740,411.93</t>
  </si>
  <si>
    <t>135,700.00</t>
  </si>
  <si>
    <t>20,500.00</t>
  </si>
  <si>
    <t>53,800,000.00</t>
  </si>
  <si>
    <t>313,830.50</t>
  </si>
  <si>
    <t>200,285.00</t>
  </si>
  <si>
    <t>2,054,000.00</t>
  </si>
  <si>
    <t>156,395.00</t>
  </si>
  <si>
    <t>780,099.62</t>
  </si>
  <si>
    <t>5,999,929.43</t>
  </si>
  <si>
    <t>860,125.11</t>
  </si>
  <si>
    <t>4,999,751.78</t>
  </si>
  <si>
    <t>5,776,634.39</t>
  </si>
  <si>
    <t>1,487,390.00</t>
  </si>
  <si>
    <t>7,018,489.20</t>
  </si>
  <si>
    <t>4,087,833.75</t>
  </si>
  <si>
    <t>52,735.00</t>
  </si>
  <si>
    <t>9,969,583.12</t>
  </si>
  <si>
    <t>9,999,195.07</t>
  </si>
  <si>
    <t>9,999,200.55</t>
  </si>
  <si>
    <t>1,033,129.20</t>
  </si>
  <si>
    <t>1,482,270.00</t>
  </si>
  <si>
    <t>8,141,000.00</t>
  </si>
  <si>
    <t>19,998,728.19</t>
  </si>
  <si>
    <t>173,566.00</t>
  </si>
  <si>
    <t>1,672,325.00</t>
  </si>
  <si>
    <t>55,750.00</t>
  </si>
  <si>
    <t>229,448.50</t>
  </si>
  <si>
    <t>353,275.00</t>
  </si>
  <si>
    <t>3,525,816.55</t>
  </si>
  <si>
    <t>878,101.00</t>
  </si>
  <si>
    <t>22,519.00</t>
  </si>
  <si>
    <t>2,966,825.12</t>
  </si>
  <si>
    <t>1,676,146.91</t>
  </si>
  <si>
    <t>645,000.68</t>
  </si>
  <si>
    <t>1,486,994.88</t>
  </si>
  <si>
    <t>315,360.00</t>
  </si>
  <si>
    <t>19,200,292.68</t>
  </si>
  <si>
    <t>444,000.00</t>
  </si>
  <si>
    <t>112,860.00</t>
  </si>
  <si>
    <t>441,565.00</t>
  </si>
  <si>
    <t>257,186.00</t>
  </si>
  <si>
    <t>372,590.00</t>
  </si>
  <si>
    <t>44,100,000.00</t>
  </si>
  <si>
    <t>1,418,200.00</t>
  </si>
  <si>
    <t>6,140,000.00</t>
  </si>
  <si>
    <t>24,621,428.19</t>
  </si>
  <si>
    <t>11,998,000.00</t>
  </si>
  <si>
    <t>12,724,446.51</t>
  </si>
  <si>
    <t>695,769.00</t>
  </si>
  <si>
    <t>7,665,000.00</t>
  </si>
  <si>
    <t>4,574,039.28</t>
  </si>
  <si>
    <t>62,430.50</t>
  </si>
  <si>
    <t>257,400.00</t>
  </si>
  <si>
    <t>12,113,071.19</t>
  </si>
  <si>
    <t>1,069,543.00</t>
  </si>
  <si>
    <t>446,163.00</t>
  </si>
  <si>
    <t>1,434,793.07</t>
  </si>
  <si>
    <t>250,310.00</t>
  </si>
  <si>
    <t>174,379.00</t>
  </si>
  <si>
    <t>5,282,000.00</t>
  </si>
  <si>
    <t>784,720.00</t>
  </si>
  <si>
    <t>305,235.00</t>
  </si>
  <si>
    <t>4,899,785.46</t>
  </si>
  <si>
    <t>3,506,084.15</t>
  </si>
  <si>
    <t>173,782.00</t>
  </si>
  <si>
    <t>111,785.00</t>
  </si>
  <si>
    <t>559,629.00</t>
  </si>
  <si>
    <t>39,200,000.00</t>
  </si>
  <si>
    <t>2,638,197.50</t>
  </si>
  <si>
    <t>4,899,817.25</t>
  </si>
  <si>
    <t>3,517,944.70</t>
  </si>
  <si>
    <t>426,000.00</t>
  </si>
  <si>
    <t>139,750.00</t>
  </si>
  <si>
    <t>5,045,740.00</t>
  </si>
  <si>
    <t>1,599,999.99</t>
  </si>
  <si>
    <t>5,630.00</t>
  </si>
  <si>
    <t>1,015,595.00</t>
  </si>
  <si>
    <t>8,898,838.52</t>
  </si>
  <si>
    <t>5,940,000.00</t>
  </si>
  <si>
    <t>346,493.73</t>
  </si>
  <si>
    <t>17,381,401.01</t>
  </si>
  <si>
    <t>350,805.00</t>
  </si>
  <si>
    <t>699,000.00</t>
  </si>
  <si>
    <t>999,175.61</t>
  </si>
  <si>
    <t>1,999,705.69</t>
  </si>
  <si>
    <t>3,098,838.91</t>
  </si>
  <si>
    <t>999,960.44</t>
  </si>
  <si>
    <t>3,184,316.98</t>
  </si>
  <si>
    <t>1,999,999.81</t>
  </si>
  <si>
    <t>999,530.86</t>
  </si>
  <si>
    <t>7,840,000.00</t>
  </si>
  <si>
    <t>5,134,254.08</t>
  </si>
  <si>
    <t>2,510,675.73</t>
  </si>
  <si>
    <t>365,688.00</t>
  </si>
  <si>
    <t>2,531,475.87</t>
  </si>
  <si>
    <t>751,500.00</t>
  </si>
  <si>
    <t>1,112,879.47</t>
  </si>
  <si>
    <t>499,981.23</t>
  </si>
  <si>
    <t>790,340.00</t>
  </si>
  <si>
    <t>1,255,464.00</t>
  </si>
  <si>
    <t>2,884,283.42</t>
  </si>
  <si>
    <t>3,687,618.37</t>
  </si>
  <si>
    <t>2,065,900.00</t>
  </si>
  <si>
    <t>33,384,575.00</t>
  </si>
  <si>
    <t>534,630.00</t>
  </si>
  <si>
    <t>3,005,619.74</t>
  </si>
  <si>
    <t>3,960,000.00</t>
  </si>
  <si>
    <t>486,000.00</t>
  </si>
  <si>
    <t>999,834.78</t>
  </si>
  <si>
    <t>1,940,609.17</t>
  </si>
  <si>
    <t>242,500.00</t>
  </si>
  <si>
    <t>2,499,134.05</t>
  </si>
  <si>
    <t>598,220.00</t>
  </si>
  <si>
    <t>397,766.35</t>
  </si>
  <si>
    <t>2,650,000.00</t>
  </si>
  <si>
    <t>41,970,000.00</t>
  </si>
  <si>
    <t>1,368,277.50</t>
  </si>
  <si>
    <t>2,499,999.84</t>
  </si>
  <si>
    <t>2,109,050.00</t>
  </si>
  <si>
    <t>784,663.65</t>
  </si>
  <si>
    <t>2,288,612.19</t>
  </si>
  <si>
    <t>521,405.00</t>
  </si>
  <si>
    <t>7,913,700.00</t>
  </si>
  <si>
    <t>2,111,096.82</t>
  </si>
  <si>
    <t>1,598,400.00</t>
  </si>
  <si>
    <t>257,996.00</t>
  </si>
  <si>
    <t>1,803,000.00</t>
  </si>
  <si>
    <t>1,852,000.00</t>
  </si>
  <si>
    <t>2,374,493.61</t>
  </si>
  <si>
    <t>2,739,000.00</t>
  </si>
  <si>
    <t>2,403,455.26</t>
  </si>
  <si>
    <t>12,337,350.86</t>
  </si>
  <si>
    <t>1,489,769.85</t>
  </si>
  <si>
    <t>14,802,345.38</t>
  </si>
  <si>
    <t>22,186,765.68</t>
  </si>
  <si>
    <t>5,598,012.00</t>
  </si>
  <si>
    <t>2,071,838.60</t>
  </si>
  <si>
    <t>1,123,869.80</t>
  </si>
  <si>
    <t>4,999,930.12</t>
  </si>
  <si>
    <t>173,080.22</t>
  </si>
  <si>
    <t>9,989,758.06</t>
  </si>
  <si>
    <t>1,375,000.00</t>
  </si>
  <si>
    <t>1,748,000.00</t>
  </si>
  <si>
    <t>7,472,000.00</t>
  </si>
  <si>
    <t>18,353,729.85</t>
  </si>
  <si>
    <t>7,118,398.00</t>
  </si>
  <si>
    <t>250,500.00</t>
  </si>
  <si>
    <t>798,990.90</t>
  </si>
  <si>
    <t>224,632.80</t>
  </si>
  <si>
    <t>2,146,000.00</t>
  </si>
  <si>
    <t>1,812,055.45</t>
  </si>
  <si>
    <t>1,199,012.52</t>
  </si>
  <si>
    <t>9,475,000.00</t>
  </si>
  <si>
    <t>1,798,162.81</t>
  </si>
  <si>
    <t>1,693,025.00</t>
  </si>
  <si>
    <t>3,899,090.61</t>
  </si>
  <si>
    <t>2,499,127.13</t>
  </si>
  <si>
    <t>11,078,763.15</t>
  </si>
  <si>
    <t>302,481.80</t>
  </si>
  <si>
    <t>10,400.00</t>
  </si>
  <si>
    <t>4,454,973.42</t>
  </si>
  <si>
    <t>4,955,494.22</t>
  </si>
  <si>
    <t>3,840,000.00</t>
  </si>
  <si>
    <t>405,801.00</t>
  </si>
  <si>
    <t>21,025,496.98</t>
  </si>
  <si>
    <t>12,420,000.00</t>
  </si>
  <si>
    <t>777,957.00</t>
  </si>
  <si>
    <t>14,984,179.56</t>
  </si>
  <si>
    <t>128,010.00</t>
  </si>
  <si>
    <t>2,056,768.58</t>
  </si>
  <si>
    <t>15,271,813.21</t>
  </si>
  <si>
    <t>12,361,815.48</t>
  </si>
  <si>
    <t>9,587,675.00</t>
  </si>
  <si>
    <t>14,412,667.20</t>
  </si>
  <si>
    <t>1,986,115.77</t>
  </si>
  <si>
    <t>1,372,678.00</t>
  </si>
  <si>
    <t>4,113,500.00</t>
  </si>
  <si>
    <t>14,512,667.20</t>
  </si>
  <si>
    <t>118,009.00</t>
  </si>
  <si>
    <t>4,433,204.40</t>
  </si>
  <si>
    <t>1,695,126.59</t>
  </si>
  <si>
    <t>1,996,389.20</t>
  </si>
  <si>
    <t>51,396.00</t>
  </si>
  <si>
    <t>4,521,500.00</t>
  </si>
  <si>
    <t>1,054,484.12</t>
  </si>
  <si>
    <t>17,872,358.11</t>
  </si>
  <si>
    <t>168,729.00</t>
  </si>
  <si>
    <t>5,119,477.97</t>
  </si>
  <si>
    <t>97,784.00</t>
  </si>
  <si>
    <t>1,888,784.90</t>
  </si>
  <si>
    <t>91,548.00</t>
  </si>
  <si>
    <t>399,915.11</t>
  </si>
  <si>
    <t>2,999,947.13</t>
  </si>
  <si>
    <t>1,959,977.08</t>
  </si>
  <si>
    <t>228,858.30</t>
  </si>
  <si>
    <t>3,240,412.45</t>
  </si>
  <si>
    <t>1,155,580.00</t>
  </si>
  <si>
    <t>17,822,358.11</t>
  </si>
  <si>
    <t>1,889,118.96</t>
  </si>
  <si>
    <t>5,900,000.00</t>
  </si>
  <si>
    <t>199,888.07</t>
  </si>
  <si>
    <t>1,223,759.25</t>
  </si>
  <si>
    <t>1,985,283.28</t>
  </si>
  <si>
    <t>2,099,979.00</t>
  </si>
  <si>
    <t>5,496,977.98</t>
  </si>
  <si>
    <t>14,212,667.20</t>
  </si>
  <si>
    <t>2,154,295.00</t>
  </si>
  <si>
    <t>16,800,306.98</t>
  </si>
  <si>
    <t>56,840.00</t>
  </si>
  <si>
    <t>1,959,915.72</t>
  </si>
  <si>
    <t>1,600,243.00</t>
  </si>
  <si>
    <t>1,773,000.00</t>
  </si>
  <si>
    <t>1,796,375.83</t>
  </si>
  <si>
    <t>1,253,752.35</t>
  </si>
  <si>
    <t>3,956,575.60</t>
  </si>
  <si>
    <t>4,844,200.00</t>
  </si>
  <si>
    <t>7,002,100.00</t>
  </si>
  <si>
    <t>290,435.00</t>
  </si>
  <si>
    <t>5,271,000.00</t>
  </si>
  <si>
    <t>7,343,000.00</t>
  </si>
  <si>
    <t>16,242,649.10</t>
  </si>
  <si>
    <t>3,996,727.93</t>
  </si>
  <si>
    <t>1,003,799.13</t>
  </si>
  <si>
    <t>263,975.00</t>
  </si>
  <si>
    <t>979,940.65</t>
  </si>
  <si>
    <t>1,999,996.01</t>
  </si>
  <si>
    <t>27,932,225.66</t>
  </si>
  <si>
    <t>999,961.59</t>
  </si>
  <si>
    <t>994,919.62</t>
  </si>
  <si>
    <t>1,492,026.64</t>
  </si>
  <si>
    <t>2,025,533.50</t>
  </si>
  <si>
    <t>4,247,960.00</t>
  </si>
  <si>
    <t>1,190,000.00</t>
  </si>
  <si>
    <t>3,119,303.40</t>
  </si>
  <si>
    <t>1,855,000.00</t>
  </si>
  <si>
    <t>14,999,975.17</t>
  </si>
  <si>
    <t>3,797,432.66</t>
  </si>
  <si>
    <t>300,550.00</t>
  </si>
  <si>
    <t>3,312,885.56</t>
  </si>
  <si>
    <t>2,052,671.88</t>
  </si>
  <si>
    <t>10,503,282.50</t>
  </si>
  <si>
    <t>4,585,978.20</t>
  </si>
  <si>
    <t>69,373.33</t>
  </si>
  <si>
    <t>390,600.00</t>
  </si>
  <si>
    <t>3,023,525.90</t>
  </si>
  <si>
    <t>1,278,839.87</t>
  </si>
  <si>
    <t>291,050.00</t>
  </si>
  <si>
    <t>79,320.00</t>
  </si>
  <si>
    <t>2,984,023.03</t>
  </si>
  <si>
    <t>979,600.00</t>
  </si>
  <si>
    <t>3,855,000.00</t>
  </si>
  <si>
    <t>3,754,371.75</t>
  </si>
  <si>
    <t>1,685,945.00</t>
  </si>
  <si>
    <t>1,599,991.31</t>
  </si>
  <si>
    <t>50,161.00</t>
  </si>
  <si>
    <t>3,959,559.81</t>
  </si>
  <si>
    <t>351,495.00</t>
  </si>
  <si>
    <t>28,620,000.00</t>
  </si>
  <si>
    <t>164,049,678.46</t>
  </si>
  <si>
    <t>253,740.00</t>
  </si>
  <si>
    <t>5,181,192.98</t>
  </si>
  <si>
    <t>3,529,834.00</t>
  </si>
  <si>
    <t>4,920,000.00</t>
  </si>
  <si>
    <t>634,210.00</t>
  </si>
  <si>
    <t>996,078.00</t>
  </si>
  <si>
    <t>31,380,000.00</t>
  </si>
  <si>
    <t>110,650.00</t>
  </si>
  <si>
    <t>2,042,200.00</t>
  </si>
  <si>
    <t>2,152,680.51</t>
  </si>
  <si>
    <t>64,600.00</t>
  </si>
  <si>
    <t>330,894.42</t>
  </si>
  <si>
    <t>224,660.00</t>
  </si>
  <si>
    <t>287,138.80</t>
  </si>
  <si>
    <t>149,986.00</t>
  </si>
  <si>
    <t>156,400.00</t>
  </si>
  <si>
    <t>1,522,173.97</t>
  </si>
  <si>
    <t>16,400,000.00</t>
  </si>
  <si>
    <t>1,814,818.32</t>
  </si>
  <si>
    <t>399,970.59</t>
  </si>
  <si>
    <t>4,975,000.00</t>
  </si>
  <si>
    <t>999,700.00</t>
  </si>
  <si>
    <t>333,638.55</t>
  </si>
  <si>
    <t>199,978.00</t>
  </si>
  <si>
    <t>302,400.00</t>
  </si>
  <si>
    <t>10,498,598.40</t>
  </si>
  <si>
    <t>111,650.00</t>
  </si>
  <si>
    <t>1,828,498.50</t>
  </si>
  <si>
    <t>1,741,932.00</t>
  </si>
  <si>
    <t>7,660,617.43</t>
  </si>
  <si>
    <t>2,114,000.00</t>
  </si>
  <si>
    <t>138,211.80</t>
  </si>
  <si>
    <t>133,360.00</t>
  </si>
  <si>
    <t>388,170.00</t>
  </si>
  <si>
    <t>12,887,344.21</t>
  </si>
  <si>
    <t>908,700.00</t>
  </si>
  <si>
    <t>9,999,691.12</t>
  </si>
  <si>
    <t>540,153.87</t>
  </si>
  <si>
    <t>32,792,641.77</t>
  </si>
  <si>
    <t>3,484,000.00</t>
  </si>
  <si>
    <t>1,099,800.00</t>
  </si>
  <si>
    <t>747,700.00</t>
  </si>
  <si>
    <t>519,435.70</t>
  </si>
  <si>
    <t>532,343.53</t>
  </si>
  <si>
    <t>252,545.00</t>
  </si>
  <si>
    <t>1,435,361.40</t>
  </si>
  <si>
    <t>96,539,568.78</t>
  </si>
  <si>
    <t>11,499,950.00</t>
  </si>
  <si>
    <t>3,655,205.00</t>
  </si>
  <si>
    <t>19,761,430.40</t>
  </si>
  <si>
    <t>61,783,375.29</t>
  </si>
  <si>
    <t>277,499.81</t>
  </si>
  <si>
    <t>16,273,238.60</t>
  </si>
  <si>
    <t>212,269.34</t>
  </si>
  <si>
    <t>353,125.00</t>
  </si>
  <si>
    <t>1,485,069.68</t>
  </si>
  <si>
    <t>23,200,000.00</t>
  </si>
  <si>
    <t>6,468,294.37</t>
  </si>
  <si>
    <t>43,200.00</t>
  </si>
  <si>
    <t>19,999,999.90</t>
  </si>
  <si>
    <t>2,729,000.00</t>
  </si>
  <si>
    <t>84,605.00</t>
  </si>
  <si>
    <t>105,760.00</t>
  </si>
  <si>
    <t>483,100.00</t>
  </si>
  <si>
    <t>204,900.00</t>
  </si>
  <si>
    <t>1,474,657.00</t>
  </si>
  <si>
    <t>1,326,532.80</t>
  </si>
  <si>
    <t>1,813,956.60</t>
  </si>
  <si>
    <t>142,063,337.98</t>
  </si>
  <si>
    <t>11,400,000.00</t>
  </si>
  <si>
    <t>408,120.00</t>
  </si>
  <si>
    <t>62,385.00</t>
  </si>
  <si>
    <t>1,081,952.82</t>
  </si>
  <si>
    <t>239,880.00</t>
  </si>
  <si>
    <t>1,999,740.48</t>
  </si>
  <si>
    <t>3,811,351.84</t>
  </si>
  <si>
    <t>211,600.00</t>
  </si>
  <si>
    <t>1,997,720.95</t>
  </si>
  <si>
    <t>301,884.00</t>
  </si>
  <si>
    <t>587,306.91</t>
  </si>
  <si>
    <t>74,784.00</t>
  </si>
  <si>
    <t>2,564,000.00</t>
  </si>
  <si>
    <t>39,982,325.50</t>
  </si>
  <si>
    <t>999,999.05</t>
  </si>
  <si>
    <t>7,121,640.00</t>
  </si>
  <si>
    <t>2,304,000.00</t>
  </si>
  <si>
    <t>2,868,181.16</t>
  </si>
  <si>
    <t>933,088.26</t>
  </si>
  <si>
    <t>4,942,000.00</t>
  </si>
  <si>
    <t>3,400,000.00</t>
  </si>
  <si>
    <t>30,304,622.95</t>
  </si>
  <si>
    <t>3,999,084.94</t>
  </si>
  <si>
    <t>2,999,363.40</t>
  </si>
  <si>
    <t>8,956,500.00</t>
  </si>
  <si>
    <t>1,299,991.86</t>
  </si>
  <si>
    <t>106,547,910.00</t>
  </si>
  <si>
    <t>1,999,999.33</t>
  </si>
  <si>
    <t>898,445.07</t>
  </si>
  <si>
    <t>2,991,535.67</t>
  </si>
  <si>
    <t>4,045,907.16</t>
  </si>
  <si>
    <t>11,175,000.00</t>
  </si>
  <si>
    <t>92,092,134.99</t>
  </si>
  <si>
    <t>99,200.00</t>
  </si>
  <si>
    <t>189,425.00</t>
  </si>
  <si>
    <t>4,320,000.00</t>
  </si>
  <si>
    <t>90,092,797.91</t>
  </si>
  <si>
    <t>2,051,366.25</t>
  </si>
  <si>
    <t>4,108,797.00</t>
  </si>
  <si>
    <t>973,035.21</t>
  </si>
  <si>
    <t>381,628.47</t>
  </si>
  <si>
    <t>278,000.00</t>
  </si>
  <si>
    <t>731,066.00</t>
  </si>
  <si>
    <t>8,600,000.00</t>
  </si>
  <si>
    <t>2,747,910.00</t>
  </si>
  <si>
    <t>496,462.00</t>
  </si>
  <si>
    <t>496,984.00</t>
  </si>
  <si>
    <t>999,547.50</t>
  </si>
  <si>
    <t>1,466,931.00</t>
  </si>
  <si>
    <t>2,016,260.50</t>
  </si>
  <si>
    <t>2,781,910.00</t>
  </si>
  <si>
    <t>1,159,474.36</t>
  </si>
  <si>
    <t>3,150,000.00</t>
  </si>
  <si>
    <t>2,072,175.00</t>
  </si>
  <si>
    <t>2,662,104.16</t>
  </si>
  <si>
    <t>861,994.85</t>
  </si>
  <si>
    <t>50,090,000.00</t>
  </si>
  <si>
    <t>289,500.00</t>
  </si>
  <si>
    <t>20,620,000.00</t>
  </si>
  <si>
    <t>28,690.00</t>
  </si>
  <si>
    <t>4,950,023.62</t>
  </si>
  <si>
    <t>12,481,333.50</t>
  </si>
  <si>
    <t>3,950,000.00</t>
  </si>
  <si>
    <t>108,504.88</t>
  </si>
  <si>
    <t>1,701,625.00</t>
  </si>
  <si>
    <t>9,996,588.22</t>
  </si>
  <si>
    <t>162,146.40</t>
  </si>
  <si>
    <t>1,265,594.54</t>
  </si>
  <si>
    <t>3,729,963.80</t>
  </si>
  <si>
    <t>5,040,000.00</t>
  </si>
  <si>
    <t>548,477.00</t>
  </si>
  <si>
    <t>3,211,933.56</t>
  </si>
  <si>
    <t>277,430.00</t>
  </si>
  <si>
    <t>267,134.00</t>
  </si>
  <si>
    <t>2,299,754.26</t>
  </si>
  <si>
    <t>97,900.00</t>
  </si>
  <si>
    <t>346,200.00</t>
  </si>
  <si>
    <t>71,843.00</t>
  </si>
  <si>
    <t>1,060,000.00</t>
  </si>
  <si>
    <t>64,290.00</t>
  </si>
  <si>
    <t>149,846.00</t>
  </si>
  <si>
    <t>432,946.25</t>
  </si>
  <si>
    <t>268,000.00</t>
  </si>
  <si>
    <t>1,999,594.90</t>
  </si>
  <si>
    <t>1,212,362.00</t>
  </si>
  <si>
    <t>1,568,299.05</t>
  </si>
  <si>
    <t>34,550,000.00</t>
  </si>
  <si>
    <t>12,540,885.93</t>
  </si>
  <si>
    <t>1,999,655.02</t>
  </si>
  <si>
    <t>71,770.00</t>
  </si>
  <si>
    <t>215,840.00</t>
  </si>
  <si>
    <t>89,660.00</t>
  </si>
  <si>
    <t>4,394,606.00</t>
  </si>
  <si>
    <t>738,512.00</t>
  </si>
  <si>
    <t>1,426,500.00</t>
  </si>
  <si>
    <t>15,605,394.00</t>
  </si>
  <si>
    <t>1,334,240.00</t>
  </si>
  <si>
    <t>10,765,610.10</t>
  </si>
  <si>
    <t>3,830,259.73</t>
  </si>
  <si>
    <t>355,343.00</t>
  </si>
  <si>
    <t>4,805,950.00</t>
  </si>
  <si>
    <t>193,418.00</t>
  </si>
  <si>
    <t>3,032,123.00</t>
  </si>
  <si>
    <t>10,854,360.00</t>
  </si>
  <si>
    <t>904,830.00</t>
  </si>
  <si>
    <t>272,355.00</t>
  </si>
  <si>
    <t>325,939.00</t>
  </si>
  <si>
    <t>260,300.00</t>
  </si>
  <si>
    <t>1,121,400.00</t>
  </si>
  <si>
    <t>432,396.00</t>
  </si>
  <si>
    <t>7,953,430.00</t>
  </si>
  <si>
    <t>500,850.00</t>
  </si>
  <si>
    <t>345,849.59</t>
  </si>
  <si>
    <t>2,006,020.00</t>
  </si>
  <si>
    <t>1,292,444.00</t>
  </si>
  <si>
    <t>349,700.00</t>
  </si>
  <si>
    <t>406,560.00</t>
  </si>
  <si>
    <t>3,050,000.00</t>
  </si>
  <si>
    <t>3,161,200.00</t>
  </si>
  <si>
    <t>1,135,800.00</t>
  </si>
  <si>
    <t>80,000,000.00</t>
  </si>
  <si>
    <t>429,800.00</t>
  </si>
  <si>
    <t>7,331,900.00</t>
  </si>
  <si>
    <t>2,261,000.00</t>
  </si>
  <si>
    <t>120,467.20</t>
  </si>
  <si>
    <t>6,840,000.00</t>
  </si>
  <si>
    <t>3,681,714.32</t>
  </si>
  <si>
    <t>111,270.00</t>
  </si>
  <si>
    <t>3,547,781.30</t>
  </si>
  <si>
    <t>1,519,262.60</t>
  </si>
  <si>
    <t>2,853,955.24</t>
  </si>
  <si>
    <t>3,818,500.00</t>
  </si>
  <si>
    <t>94,274.40</t>
  </si>
  <si>
    <t>1,944,791.88</t>
  </si>
  <si>
    <t>219,430.00</t>
  </si>
  <si>
    <t>12,373,217.23</t>
  </si>
  <si>
    <t>2,384,773.04</t>
  </si>
  <si>
    <t>1,030,950.00</t>
  </si>
  <si>
    <t>1,131,377.16</t>
  </si>
  <si>
    <t>338,800.00</t>
  </si>
  <si>
    <t>1,445,000.00</t>
  </si>
  <si>
    <t>2,064,700.00</t>
  </si>
  <si>
    <t>49,750,000.00</t>
  </si>
  <si>
    <t>847,425.00</t>
  </si>
  <si>
    <t>112,550.00</t>
  </si>
  <si>
    <t>1,105,000.00</t>
  </si>
  <si>
    <t>1,500,797.00</t>
  </si>
  <si>
    <t>4,667,948.40</t>
  </si>
  <si>
    <t>9,307,372.03</t>
  </si>
  <si>
    <t>169,880.00</t>
  </si>
  <si>
    <t>230,323.00</t>
  </si>
  <si>
    <t>251,805.00</t>
  </si>
  <si>
    <t>5,080,000.00</t>
  </si>
  <si>
    <t>1,259,873.84</t>
  </si>
  <si>
    <t>3,665,000.00</t>
  </si>
  <si>
    <t>227,620.00</t>
  </si>
  <si>
    <t>4,198,550.00</t>
  </si>
  <si>
    <t>2,499,966.00</t>
  </si>
  <si>
    <t>1,082,500.00</t>
  </si>
  <si>
    <t>1,182,058.29</t>
  </si>
  <si>
    <t>301,600.00</t>
  </si>
  <si>
    <t>4,503,000.00</t>
  </si>
  <si>
    <t>68,911.55</t>
  </si>
  <si>
    <t>8,706.00</t>
  </si>
  <si>
    <t>1,450,457.65</t>
  </si>
  <si>
    <t>6,404,893.74</t>
  </si>
  <si>
    <t>1,305,175.66</t>
  </si>
  <si>
    <t>2,072,432.03</t>
  </si>
  <si>
    <t>26,500,000.00</t>
  </si>
  <si>
    <t>5,049,964.74</t>
  </si>
  <si>
    <t>1,200,001.45</t>
  </si>
  <si>
    <t>319,200.00</t>
  </si>
  <si>
    <t>141,960.00</t>
  </si>
  <si>
    <t>374,851.05</t>
  </si>
  <si>
    <t>2,065,366.40</t>
  </si>
  <si>
    <t>2,626,845.74</t>
  </si>
  <si>
    <t>760,700.00</t>
  </si>
  <si>
    <t>4,167,750.00</t>
  </si>
  <si>
    <t>645,878.00</t>
  </si>
  <si>
    <t>3,004,575.74</t>
  </si>
  <si>
    <t>282,500.00</t>
  </si>
  <si>
    <t>70,000,000.00</t>
  </si>
  <si>
    <t>299,583.25</t>
  </si>
  <si>
    <t>449,006.00</t>
  </si>
  <si>
    <t>971,750.00</t>
  </si>
  <si>
    <t>133,140.18</t>
  </si>
  <si>
    <t>7,821,050.93</t>
  </si>
  <si>
    <t>136,118.00</t>
  </si>
  <si>
    <t>225,444.50</t>
  </si>
  <si>
    <t>63,750,000.00</t>
  </si>
  <si>
    <t>2,846,228.00</t>
  </si>
  <si>
    <t>100,005.00</t>
  </si>
  <si>
    <t>115,800,000.00</t>
  </si>
  <si>
    <t>11,960,190.71</t>
  </si>
  <si>
    <t>599,595.83</t>
  </si>
  <si>
    <t>255,700.00</t>
  </si>
  <si>
    <t>8,933,165.00</t>
  </si>
  <si>
    <t>6,620,000.00</t>
  </si>
  <si>
    <t>257,600.00</t>
  </si>
  <si>
    <t>122,580.60</t>
  </si>
  <si>
    <t>209,000.00</t>
  </si>
  <si>
    <t>2,320,390.00</t>
  </si>
  <si>
    <t>17,526,700.00</t>
  </si>
  <si>
    <t>2,805,225.00</t>
  </si>
  <si>
    <t>1,061,168.95</t>
  </si>
  <si>
    <t>1,954,347.39</t>
  </si>
  <si>
    <t>176,703.50</t>
  </si>
  <si>
    <t>2,912,460.78</t>
  </si>
  <si>
    <t>1,921,752.00</t>
  </si>
  <si>
    <t>799,992.79</t>
  </si>
  <si>
    <t>2,909,614.66</t>
  </si>
  <si>
    <t>998,019.00</t>
  </si>
  <si>
    <t>1,775,253.00</t>
  </si>
  <si>
    <t>999,570.00</t>
  </si>
  <si>
    <t>999,432.50</t>
  </si>
  <si>
    <t>522,500.00</t>
  </si>
  <si>
    <t>149,244.75</t>
  </si>
  <si>
    <t>13,823,000.00</t>
  </si>
  <si>
    <t>3,959,985.30</t>
  </si>
  <si>
    <t>199,690.00</t>
  </si>
  <si>
    <t>199,936.01</t>
  </si>
  <si>
    <t>2,094,148.91</t>
  </si>
  <si>
    <t>1,496,737.14</t>
  </si>
  <si>
    <t>701,710.00</t>
  </si>
  <si>
    <t>299,398.06</t>
  </si>
  <si>
    <t>1,139,636.56</t>
  </si>
  <si>
    <t>2,610,000.00</t>
  </si>
  <si>
    <t>499,925.94</t>
  </si>
  <si>
    <t>25,456.00</t>
  </si>
  <si>
    <t>2,109,484.00</t>
  </si>
  <si>
    <t>2,726,500.00</t>
  </si>
  <si>
    <t>4,570,731.00</t>
  </si>
  <si>
    <t>1,951,693.72</t>
  </si>
  <si>
    <t>19,899,786.54</t>
  </si>
  <si>
    <t>22,801,822.76</t>
  </si>
  <si>
    <t>1,959,230.12</t>
  </si>
  <si>
    <t>1,968,791.19</t>
  </si>
  <si>
    <t>1,032,540.20</t>
  </si>
  <si>
    <t>1,881,991.40</t>
  </si>
  <si>
    <t>127,140,000.00</t>
  </si>
  <si>
    <t>96,499,135.60</t>
  </si>
  <si>
    <t>4,181,955.90</t>
  </si>
  <si>
    <t>2,513,150.00</t>
  </si>
  <si>
    <t>1,663,657.97</t>
  </si>
  <si>
    <t>220,884.00</t>
  </si>
  <si>
    <t>28,750,000.00</t>
  </si>
  <si>
    <t>13,250,000.00</t>
  </si>
  <si>
    <t>14,057,904.00</t>
  </si>
  <si>
    <t>1,910,000.00</t>
  </si>
  <si>
    <t>499,218.00</t>
  </si>
  <si>
    <t>514,000.00</t>
  </si>
  <si>
    <t>1,144,590.90</t>
  </si>
  <si>
    <t>365,450.00</t>
  </si>
  <si>
    <t>3,837,420.00</t>
  </si>
  <si>
    <t>2,215,139.00</t>
  </si>
  <si>
    <t>256,086.00</t>
  </si>
  <si>
    <t>1,199,800.00</t>
  </si>
  <si>
    <t>4,778,950.29</t>
  </si>
  <si>
    <t>1,614,126.00</t>
  </si>
  <si>
    <t>567,600.00</t>
  </si>
  <si>
    <t>4,820,000.00</t>
  </si>
  <si>
    <t>8,295,112.00</t>
  </si>
  <si>
    <t>4,416,000.00</t>
  </si>
  <si>
    <t>86,500,000.00</t>
  </si>
  <si>
    <t>1,780,000.00</t>
  </si>
  <si>
    <t>2,370,000.00</t>
  </si>
  <si>
    <t>3,630,000.00</t>
  </si>
  <si>
    <t>579,100.00</t>
  </si>
  <si>
    <t>398,180.00</t>
  </si>
  <si>
    <t>4,454,985.06</t>
  </si>
  <si>
    <t>1,225,050.00</t>
  </si>
  <si>
    <t>221,926,429.00</t>
  </si>
  <si>
    <t>3,959,992.62</t>
  </si>
  <si>
    <t>4,949,981.73</t>
  </si>
  <si>
    <t>48,255,025.00</t>
  </si>
  <si>
    <t>1,126,081.32</t>
  </si>
  <si>
    <t>1,520,532.09</t>
  </si>
  <si>
    <t>7,850,000.00</t>
  </si>
  <si>
    <t>1,749,420.92</t>
  </si>
  <si>
    <t>30,100,000.00</t>
  </si>
  <si>
    <t>527,000.00</t>
  </si>
  <si>
    <t>335,724.64</t>
  </si>
  <si>
    <t>2,991,217.61</t>
  </si>
  <si>
    <t>447,134.00</t>
  </si>
  <si>
    <t>2,996,762.15</t>
  </si>
  <si>
    <t>100,336,108.59</t>
  </si>
  <si>
    <t>790,218.00</t>
  </si>
  <si>
    <t>5,444,985.82</t>
  </si>
  <si>
    <t>110,898,926.55</t>
  </si>
  <si>
    <t>451,913,535.60</t>
  </si>
  <si>
    <t>38,003,199.20</t>
  </si>
  <si>
    <t>6,074,526.96</t>
  </si>
  <si>
    <t>3,959,983.34</t>
  </si>
  <si>
    <t>12,259,165.21</t>
  </si>
  <si>
    <t>2,999,945.75</t>
  </si>
  <si>
    <t>14,566,674.50</t>
  </si>
  <si>
    <t>3,338,000.00</t>
  </si>
  <si>
    <t>4,506,000.00</t>
  </si>
  <si>
    <t>12,886,480.00</t>
  </si>
  <si>
    <t>300,314.83</t>
  </si>
  <si>
    <t>3,018,400.00</t>
  </si>
  <si>
    <t>673,200.00</t>
  </si>
  <si>
    <t>1,270,141.60</t>
  </si>
  <si>
    <t>175,064.89</t>
  </si>
  <si>
    <t>498,244.52</t>
  </si>
  <si>
    <t>204,398.87</t>
  </si>
  <si>
    <t>10,101,000.00</t>
  </si>
  <si>
    <t>6,870,666.37</t>
  </si>
  <si>
    <t>1,998,903.93</t>
  </si>
  <si>
    <t>10,710,930.10</t>
  </si>
  <si>
    <t>1,498,893.76</t>
  </si>
  <si>
    <t>1,498,147.55</t>
  </si>
  <si>
    <t>79,996,070.00</t>
  </si>
  <si>
    <t>1,996,643.89</t>
  </si>
  <si>
    <t>34,184,969.16</t>
  </si>
  <si>
    <t>7,739,249.00</t>
  </si>
  <si>
    <t>2,996,117.47</t>
  </si>
  <si>
    <t>1,496,475.25</t>
  </si>
  <si>
    <t>13,452,000.00</t>
  </si>
  <si>
    <t>115,230.00</t>
  </si>
  <si>
    <t>136,893,553.40</t>
  </si>
  <si>
    <t>1,747,787.50</t>
  </si>
  <si>
    <t>2,284,999.76</t>
  </si>
  <si>
    <t>619,357.40</t>
  </si>
  <si>
    <t>5,876,500.00</t>
  </si>
  <si>
    <t>1,710,000.00</t>
  </si>
  <si>
    <t>22,354,106.69</t>
  </si>
  <si>
    <t>2,025,000.00</t>
  </si>
  <si>
    <t>3,777,000.00</t>
  </si>
  <si>
    <t>1,198,200.00</t>
  </si>
  <si>
    <t>144,200.00</t>
  </si>
  <si>
    <t>2,191,075.00</t>
  </si>
  <si>
    <t>3,970,000.00</t>
  </si>
  <si>
    <t>8,208,000.00</t>
  </si>
  <si>
    <t>4,019,110.24</t>
  </si>
  <si>
    <t>732,723.91</t>
  </si>
  <si>
    <t>5,014,352.00</t>
  </si>
  <si>
    <t>1,384,000.00</t>
  </si>
  <si>
    <t>999,816.29</t>
  </si>
  <si>
    <t>1,739,567.35</t>
  </si>
  <si>
    <t>7,338,900.00</t>
  </si>
  <si>
    <t>2,553,600.00</t>
  </si>
  <si>
    <t>1,924,864.32</t>
  </si>
  <si>
    <t>1,728,797.02</t>
  </si>
  <si>
    <t>2,999,999.67</t>
  </si>
  <si>
    <t>277,049.98</t>
  </si>
  <si>
    <t>891,364.00</t>
  </si>
  <si>
    <t>852,500.00</t>
  </si>
  <si>
    <t>322,905.00</t>
  </si>
  <si>
    <t>300,865.00</t>
  </si>
  <si>
    <t>16,605,835.41</t>
  </si>
  <si>
    <t>924,004.00</t>
  </si>
  <si>
    <t>20,900,000.00</t>
  </si>
  <si>
    <t>3,900,010.79</t>
  </si>
  <si>
    <t>1,660,000.00</t>
  </si>
  <si>
    <t>1,029,000.00</t>
  </si>
  <si>
    <t>1,264,220.00</t>
  </si>
  <si>
    <t>4,455,000.00</t>
  </si>
  <si>
    <t>5,667,551.40</t>
  </si>
  <si>
    <t>4,690,142.28</t>
  </si>
  <si>
    <t>1,352,000.00</t>
  </si>
  <si>
    <t>3,171,740.00</t>
  </si>
  <si>
    <t>445,552.87</t>
  </si>
  <si>
    <t>51,930,054.53</t>
  </si>
  <si>
    <t>12,937,591.44</t>
  </si>
  <si>
    <t>15,594,400.00</t>
  </si>
  <si>
    <t>3,762,225.00</t>
  </si>
  <si>
    <t>2,295,702.00</t>
  </si>
  <si>
    <t>3,998,999.31</t>
  </si>
  <si>
    <t>1,398,918.57</t>
  </si>
  <si>
    <t>1,999,876.37</t>
  </si>
  <si>
    <t>789,840.67</t>
  </si>
  <si>
    <t>378,590.00</t>
  </si>
  <si>
    <t>7,367,239.57</t>
  </si>
  <si>
    <t>357,500.00</t>
  </si>
  <si>
    <t>421,981.50</t>
  </si>
  <si>
    <t>2,999,917.45</t>
  </si>
  <si>
    <t>200,650.00</t>
  </si>
  <si>
    <t>357,130.33</t>
  </si>
  <si>
    <t>13,720,000.00</t>
  </si>
  <si>
    <t>3,850,000.00</t>
  </si>
  <si>
    <t>1,996,104.97</t>
  </si>
  <si>
    <t>1,499,928.02</t>
  </si>
  <si>
    <t>175,500.00</t>
  </si>
  <si>
    <t>39,831,170.00</t>
  </si>
  <si>
    <t>1,007,304.10</t>
  </si>
  <si>
    <t>7,984,124.82</t>
  </si>
  <si>
    <t>4,600,000.00</t>
  </si>
  <si>
    <t>1,799,783.48</t>
  </si>
  <si>
    <t>6,881,068.35</t>
  </si>
  <si>
    <t>2,994,025.66</t>
  </si>
  <si>
    <t>7,596,824.28</t>
  </si>
  <si>
    <t>5,057,894.40</t>
  </si>
  <si>
    <t>2,943,939.63</t>
  </si>
  <si>
    <t>2,542,486.00</t>
  </si>
  <si>
    <t>1,415,833.30</t>
  </si>
  <si>
    <t>49,973,529.61</t>
  </si>
  <si>
    <t>3,785,425.00</t>
  </si>
  <si>
    <t>386,398.60</t>
  </si>
  <si>
    <t>1,020,000.00</t>
  </si>
  <si>
    <t>12,437,498.91</t>
  </si>
  <si>
    <t>173,700,000.00</t>
  </si>
  <si>
    <t>156,487,295.00</t>
  </si>
  <si>
    <t>485,772.30</t>
  </si>
  <si>
    <t>486,659.23</t>
  </si>
  <si>
    <t>476,207.20</t>
  </si>
  <si>
    <t>988,704.99</t>
  </si>
  <si>
    <t>426,434.55</t>
  </si>
  <si>
    <t>12,437,492.84</t>
  </si>
  <si>
    <t>19,573,000.00</t>
  </si>
  <si>
    <t>720,328.00</t>
  </si>
  <si>
    <t>4,710,000.00</t>
  </si>
  <si>
    <t>10,900,000.00</t>
  </si>
  <si>
    <t>3,630,400.00</t>
  </si>
  <si>
    <t>2,850,500.00</t>
  </si>
  <si>
    <t>2,211,800.00</t>
  </si>
  <si>
    <t>2,900,300.00</t>
  </si>
  <si>
    <t>599,490.00</t>
  </si>
  <si>
    <t>412,000.00</t>
  </si>
  <si>
    <t>7,809,993.27</t>
  </si>
  <si>
    <t>249,800.00</t>
  </si>
  <si>
    <t>499,916.66</t>
  </si>
  <si>
    <t>1,595,957.20</t>
  </si>
  <si>
    <t>89,100.00</t>
  </si>
  <si>
    <t>1,371,400.00</t>
  </si>
  <si>
    <t>12,205,896.88</t>
  </si>
  <si>
    <t>7,839,744.71</t>
  </si>
  <si>
    <t>6,929,901.31</t>
  </si>
  <si>
    <t>19,599,929.57</t>
  </si>
  <si>
    <t>1,065,000.00</t>
  </si>
  <si>
    <t>2,499,507.46</t>
  </si>
  <si>
    <t>4,949,999.40</t>
  </si>
  <si>
    <t>5,535,000.00</t>
  </si>
  <si>
    <t>76,635.00</t>
  </si>
  <si>
    <t>14,849,993.96</t>
  </si>
  <si>
    <t>3,780,000.00</t>
  </si>
  <si>
    <t>7,989.00</t>
  </si>
  <si>
    <t>2,895,745.00</t>
  </si>
  <si>
    <t>1,442,726.01</t>
  </si>
  <si>
    <t>1,886,393.85</t>
  </si>
  <si>
    <t>111,286.38</t>
  </si>
  <si>
    <t>1,701,939.04</t>
  </si>
  <si>
    <t>1,228,797.30</t>
  </si>
  <si>
    <t>1,799,793.00</t>
  </si>
  <si>
    <t>1,002,960.00</t>
  </si>
  <si>
    <t>1,409,491.95</t>
  </si>
  <si>
    <t>1,979,983.76</t>
  </si>
  <si>
    <t>1,605,000.00</t>
  </si>
  <si>
    <t>530,000.00</t>
  </si>
  <si>
    <t>2,156,232.40</t>
  </si>
  <si>
    <t>123,183.00</t>
  </si>
  <si>
    <t>46,476,488.22</t>
  </si>
  <si>
    <t>3,681,342.49</t>
  </si>
  <si>
    <t>1,198,840.00</t>
  </si>
  <si>
    <t>2,329,495.00</t>
  </si>
  <si>
    <t>1,969,094.36</t>
  </si>
  <si>
    <t>645,000.00</t>
  </si>
  <si>
    <t>28,132,555.60</t>
  </si>
  <si>
    <t>75,700.00</t>
  </si>
  <si>
    <t>1,323,118.00</t>
  </si>
  <si>
    <t>999,990.47</t>
  </si>
  <si>
    <t>1,986,428.47</t>
  </si>
  <si>
    <t>1,755,000.00</t>
  </si>
  <si>
    <t>9,006,812.84</t>
  </si>
  <si>
    <t>249,837.00</t>
  </si>
  <si>
    <t>5,730,000.00</t>
  </si>
  <si>
    <t>12,573,031.61</t>
  </si>
  <si>
    <t>760,648.08</t>
  </si>
  <si>
    <t>7,920,969.67</t>
  </si>
  <si>
    <t>3,570,000.00</t>
  </si>
  <si>
    <t>2,138,994.66</t>
  </si>
  <si>
    <t>1,906,000.00</t>
  </si>
  <si>
    <t>9,750,000.00</t>
  </si>
  <si>
    <t>1,810,480.00</t>
  </si>
  <si>
    <t>1,166,250.00</t>
  </si>
  <si>
    <t>6,241,280.00</t>
  </si>
  <si>
    <t>2,924,897.55</t>
  </si>
  <si>
    <t>4,845,999.67</t>
  </si>
  <si>
    <t>4,207,753.71</t>
  </si>
  <si>
    <t>578,003.00</t>
  </si>
  <si>
    <t>4,216,000.00</t>
  </si>
  <si>
    <t>2,060,815.67</t>
  </si>
  <si>
    <t>292,764.00</t>
  </si>
  <si>
    <t>353,214.00</t>
  </si>
  <si>
    <t>1,010,000.00</t>
  </si>
  <si>
    <t>215,536.00</t>
  </si>
  <si>
    <t>5,464,195.00</t>
  </si>
  <si>
    <t>194,400.00</t>
  </si>
  <si>
    <t>3,566,065.00</t>
  </si>
  <si>
    <t>1,543,839.67</t>
  </si>
  <si>
    <t>851,038.98</t>
  </si>
  <si>
    <t>331,375.00</t>
  </si>
  <si>
    <t>526,300.44</t>
  </si>
  <si>
    <t>2,442,213.20</t>
  </si>
  <si>
    <t>4,684,400.00</t>
  </si>
  <si>
    <t>523,000.00</t>
  </si>
  <si>
    <t>1,933,414.75</t>
  </si>
  <si>
    <t>643,355.64</t>
  </si>
  <si>
    <t>39,949,202.70</t>
  </si>
  <si>
    <t>4,297,680.00</t>
  </si>
  <si>
    <t>4,068,794.78</t>
  </si>
  <si>
    <t>494,404.50</t>
  </si>
  <si>
    <t>23,202,850.00</t>
  </si>
  <si>
    <t>810,244.60</t>
  </si>
  <si>
    <t>91,594,800.00</t>
  </si>
  <si>
    <t>51,739,938.60</t>
  </si>
  <si>
    <t>2,674,200.00</t>
  </si>
  <si>
    <t>972,164.97</t>
  </si>
  <si>
    <t>22,266,406.34</t>
  </si>
  <si>
    <t>12,871,311.75</t>
  </si>
  <si>
    <t>96,485,000.00</t>
  </si>
  <si>
    <t>17,538,957.00</t>
  </si>
  <si>
    <t>576,531.47</t>
  </si>
  <si>
    <t>6,465,000.00</t>
  </si>
  <si>
    <t>13,000,000.00</t>
  </si>
  <si>
    <t>5,210,000.00</t>
  </si>
  <si>
    <t>921,887.64</t>
  </si>
  <si>
    <t>44,620,722.10</t>
  </si>
  <si>
    <t>381,598.00</t>
  </si>
  <si>
    <t>485,802.00</t>
  </si>
  <si>
    <t>307,908.75</t>
  </si>
  <si>
    <t>1,057,368.18</t>
  </si>
  <si>
    <t>2,393,400.70</t>
  </si>
  <si>
    <t>3,549,231.12</t>
  </si>
  <si>
    <t>39,607,515.00</t>
  </si>
  <si>
    <t>4,116,000.00</t>
  </si>
  <si>
    <t>96,489,900.00</t>
  </si>
  <si>
    <t>3,812,850.37</t>
  </si>
  <si>
    <t>121,747,719.60</t>
  </si>
  <si>
    <t>9,999,730.00</t>
  </si>
  <si>
    <t>13,860,333.50</t>
  </si>
  <si>
    <t>286,467.83</t>
  </si>
  <si>
    <t>3,789,415.39</t>
  </si>
  <si>
    <t>2,255,838.00</t>
  </si>
  <si>
    <t>1,500,000.01</t>
  </si>
  <si>
    <t>497,879.22</t>
  </si>
  <si>
    <t>498,474.25</t>
  </si>
  <si>
    <t>1,641,460.00</t>
  </si>
  <si>
    <t>497,561.54</t>
  </si>
  <si>
    <t>625,100.00</t>
  </si>
  <si>
    <t>643,487.00</t>
  </si>
  <si>
    <t>878,330.00</t>
  </si>
  <si>
    <t>194,297.00</t>
  </si>
  <si>
    <t>1,983,831.70</t>
  </si>
  <si>
    <t>499,787.27</t>
  </si>
  <si>
    <t>97,465,000.00</t>
  </si>
  <si>
    <t>3,331,538.00</t>
  </si>
  <si>
    <t>11,770,000.00</t>
  </si>
  <si>
    <t>1,360,000.00</t>
  </si>
  <si>
    <t>607,808.24</t>
  </si>
  <si>
    <t>45,513,483.11</t>
  </si>
  <si>
    <t>47,025,939.88</t>
  </si>
  <si>
    <t>1,831,171.81</t>
  </si>
  <si>
    <t>10,400,000.00</t>
  </si>
  <si>
    <t>4,459,860.42</t>
  </si>
  <si>
    <t>18,674,267.90</t>
  </si>
  <si>
    <t>12,027,429.07</t>
  </si>
  <si>
    <t>41,466,365.11</t>
  </si>
  <si>
    <t>14,929,000.00</t>
  </si>
  <si>
    <t>569,960.00</t>
  </si>
  <si>
    <t>5,997,430.16</t>
  </si>
  <si>
    <t>67,549,538.66</t>
  </si>
  <si>
    <t>14,849,536.31</t>
  </si>
  <si>
    <t>41,526,687.32</t>
  </si>
  <si>
    <t>9,399,999.99</t>
  </si>
  <si>
    <t>625,548.12</t>
  </si>
  <si>
    <t>600,904.93</t>
  </si>
  <si>
    <t>85,247,768.85</t>
  </si>
  <si>
    <t>47,033,706.90</t>
  </si>
  <si>
    <t>34,299,147.80</t>
  </si>
  <si>
    <t>29,357,981.72</t>
  </si>
  <si>
    <t>29,399,656.12</t>
  </si>
  <si>
    <t>44,099,506.17</t>
  </si>
  <si>
    <t>58,616,832.45</t>
  </si>
  <si>
    <t>6,335,685.00</t>
  </si>
  <si>
    <t>872,600.00</t>
  </si>
  <si>
    <t>9,949,534.06</t>
  </si>
  <si>
    <t>6,540,917.00</t>
  </si>
  <si>
    <t>39,150,780.28</t>
  </si>
  <si>
    <t>1,099,364.29</t>
  </si>
  <si>
    <t>499,977.40</t>
  </si>
  <si>
    <t>3,940,000.00</t>
  </si>
  <si>
    <t>1,299,346.78</t>
  </si>
  <si>
    <t>7,839,771.30</t>
  </si>
  <si>
    <t>1,907,465.00</t>
  </si>
  <si>
    <t>4,493,000.00</t>
  </si>
  <si>
    <t>344,780.00</t>
  </si>
  <si>
    <t>12,880,500.00</t>
  </si>
  <si>
    <t>12,320,000.00</t>
  </si>
  <si>
    <t>906,500.00</t>
  </si>
  <si>
    <t>29,586.98</t>
  </si>
  <si>
    <t>100,028.00</t>
  </si>
  <si>
    <t>95,333.00</t>
  </si>
  <si>
    <t>1,470,480.06</t>
  </si>
  <si>
    <t>5,376,884.73</t>
  </si>
  <si>
    <t>78,034.50</t>
  </si>
  <si>
    <t>217,107.00</t>
  </si>
  <si>
    <t>1,414,347.97</t>
  </si>
  <si>
    <t>1,184,080.50</t>
  </si>
  <si>
    <t>2,765,000.00</t>
  </si>
  <si>
    <t>1,448,695.84</t>
  </si>
  <si>
    <t>4,999,096.90</t>
  </si>
  <si>
    <t>964,992.00</t>
  </si>
  <si>
    <t>1,473,611.65</t>
  </si>
  <si>
    <t>691,000.00</t>
  </si>
  <si>
    <t>3,999,033.56</t>
  </si>
  <si>
    <t>2,575,542.70</t>
  </si>
  <si>
    <t>1,939,441.50</t>
  </si>
  <si>
    <t>1,941,917.32</t>
  </si>
  <si>
    <t>2,999,509.52</t>
  </si>
  <si>
    <t>3,957,148.43</t>
  </si>
  <si>
    <t>12,722,670.00</t>
  </si>
  <si>
    <t>1,417,113.06</t>
  </si>
  <si>
    <t>7,809,192.00</t>
  </si>
  <si>
    <t>346,000.00</t>
  </si>
  <si>
    <t>1,049,884.60</t>
  </si>
  <si>
    <t>8,886,200.00</t>
  </si>
  <si>
    <t>6,853,580.00</t>
  </si>
  <si>
    <t>645,588.11</t>
  </si>
  <si>
    <t>124,836.00</t>
  </si>
  <si>
    <t>12,319,980.63</t>
  </si>
  <si>
    <t>142,310.00</t>
  </si>
  <si>
    <t>11,980,940.17</t>
  </si>
  <si>
    <t>670,932.97</t>
  </si>
  <si>
    <t>1,268,139.28</t>
  </si>
  <si>
    <t>4,999,510.93</t>
  </si>
  <si>
    <t>1,499,241.80</t>
  </si>
  <si>
    <t>4,999,972.27</t>
  </si>
  <si>
    <t>1,207,197.00</t>
  </si>
  <si>
    <t>9,901,834.38</t>
  </si>
  <si>
    <t>9,085,000.00</t>
  </si>
  <si>
    <t>1,499,985.49</t>
  </si>
  <si>
    <t>1,999,991.50</t>
  </si>
  <si>
    <t>1,469,915.91</t>
  </si>
  <si>
    <t>1,999,954.54</t>
  </si>
  <si>
    <t>9,347,667.90</t>
  </si>
  <si>
    <t>35,995,501.92</t>
  </si>
  <si>
    <t>2,496,424.39</t>
  </si>
  <si>
    <t>7,718,819.23</t>
  </si>
  <si>
    <t>1,637,671.80</t>
  </si>
  <si>
    <t>14,892,737.30</t>
  </si>
  <si>
    <t>202,013,920.60</t>
  </si>
  <si>
    <t>9,699,606.89</t>
  </si>
  <si>
    <t>1,435,743.30</t>
  </si>
  <si>
    <t>2,379,300.00</t>
  </si>
  <si>
    <t>399,997.92</t>
  </si>
  <si>
    <t>390,500.00</t>
  </si>
  <si>
    <t>307,405.00</t>
  </si>
  <si>
    <t>190,200.00</t>
  </si>
  <si>
    <t>4,562,195.00</t>
  </si>
  <si>
    <t>1,088,200.00</t>
  </si>
  <si>
    <t>772,170.33</t>
  </si>
  <si>
    <t>4,025,000.00</t>
  </si>
  <si>
    <t>19,986,000.00</t>
  </si>
  <si>
    <t>2,940,640.00</t>
  </si>
  <si>
    <t>1,311,182.92</t>
  </si>
  <si>
    <t>327,350.00</t>
  </si>
  <si>
    <t>332,310.00</t>
  </si>
  <si>
    <t>178,900.00</t>
  </si>
  <si>
    <t>995,530.00</t>
  </si>
  <si>
    <t>249,201.00</t>
  </si>
  <si>
    <t>4,530,000.00</t>
  </si>
  <si>
    <t>3,555,000.00</t>
  </si>
  <si>
    <t>5,106,000.00</t>
  </si>
  <si>
    <t>4,375,000.00</t>
  </si>
  <si>
    <t>5,026,000.00</t>
  </si>
  <si>
    <t>104,470.00</t>
  </si>
  <si>
    <t>26,054,280.00</t>
  </si>
  <si>
    <t>3,238,102.53</t>
  </si>
  <si>
    <t>3,499,399.19</t>
  </si>
  <si>
    <t>7,819,101.44</t>
  </si>
  <si>
    <t>239,150.00</t>
  </si>
  <si>
    <t>1,351,775.25</t>
  </si>
  <si>
    <t>126,185,000.00</t>
  </si>
  <si>
    <t>3,720,000.00</t>
  </si>
  <si>
    <t>133,479.40</t>
  </si>
  <si>
    <t>479,240.00</t>
  </si>
  <si>
    <t>1,247,175.00</t>
  </si>
  <si>
    <t>1,040,600.00</t>
  </si>
  <si>
    <t>2,738,079.18</t>
  </si>
  <si>
    <t>2,804,439.10</t>
  </si>
  <si>
    <t>65,390.00</t>
  </si>
  <si>
    <t>1,466,753.46</t>
  </si>
  <si>
    <t>9,747,931.19</t>
  </si>
  <si>
    <t>2,733,441.70</t>
  </si>
  <si>
    <t>993,290.00</t>
  </si>
  <si>
    <t>3,893,000.00</t>
  </si>
  <si>
    <t>1,499,729.60</t>
  </si>
  <si>
    <t>1,198,482.00</t>
  </si>
  <si>
    <t>353,600.00</t>
  </si>
  <si>
    <t>143,670.00</t>
  </si>
  <si>
    <t>2,400.00</t>
  </si>
  <si>
    <t>328,263.40</t>
  </si>
  <si>
    <t>1,648,791.13</t>
  </si>
  <si>
    <t>4,736,951.25</t>
  </si>
  <si>
    <t>62,479.00</t>
  </si>
  <si>
    <t>15,340,000.00</t>
  </si>
  <si>
    <t>5,731,728.72</t>
  </si>
  <si>
    <t>1,827,244.57</t>
  </si>
  <si>
    <t>11,595,855.62</t>
  </si>
  <si>
    <t>1,218,397.23</t>
  </si>
  <si>
    <t>5,200,000.00</t>
  </si>
  <si>
    <t>322,345.00</t>
  </si>
  <si>
    <t>210,580.00</t>
  </si>
  <si>
    <t>4,440,000.00</t>
  </si>
  <si>
    <t>1,021,193.25</t>
  </si>
  <si>
    <t>9,799,940.73</t>
  </si>
  <si>
    <t>5,240,403.47</t>
  </si>
  <si>
    <t>11,960,000.00</t>
  </si>
  <si>
    <t>2,522,694.40</t>
  </si>
  <si>
    <t>2,429,125.00</t>
  </si>
  <si>
    <t>8,750,000.00</t>
  </si>
  <si>
    <t>601,730.00</t>
  </si>
  <si>
    <t>1,180,000.00</t>
  </si>
  <si>
    <t>216,900.00</t>
  </si>
  <si>
    <t>6,965,000.00</t>
  </si>
  <si>
    <t>857,627.45</t>
  </si>
  <si>
    <t>5,068,586.35</t>
  </si>
  <si>
    <t>1,339,000.00</t>
  </si>
  <si>
    <t>4,341,374.70</t>
  </si>
  <si>
    <t>903,090.00</t>
  </si>
  <si>
    <t>2,929,319.94</t>
  </si>
  <si>
    <t>1,745,000.00</t>
  </si>
  <si>
    <t>17,831,711.54</t>
  </si>
  <si>
    <t>14,416,773.84</t>
  </si>
  <si>
    <t>11,999,978.69</t>
  </si>
  <si>
    <t>2,760,000.00</t>
  </si>
  <si>
    <t>67,975.00</t>
  </si>
  <si>
    <t>105,804.95</t>
  </si>
  <si>
    <t>764,525.00</t>
  </si>
  <si>
    <t>1,011,405.00</t>
  </si>
  <si>
    <t>458,129.00</t>
  </si>
  <si>
    <t>1,429,311.00</t>
  </si>
  <si>
    <t>8,243,500.00</t>
  </si>
  <si>
    <t>797,634.97</t>
  </si>
  <si>
    <t>178,730.00</t>
  </si>
  <si>
    <t>5,667.00</t>
  </si>
  <si>
    <t>18,513,820.73</t>
  </si>
  <si>
    <t>1,479,996.00</t>
  </si>
  <si>
    <t>57,703.70</t>
  </si>
  <si>
    <t>12,570.00</t>
  </si>
  <si>
    <t>5,220,410.60</t>
  </si>
  <si>
    <t>52,871.64</t>
  </si>
  <si>
    <t>12,850.00</t>
  </si>
  <si>
    <t>172,386.00</t>
  </si>
  <si>
    <t>817,467.00</t>
  </si>
  <si>
    <t>1,386,004.00</t>
  </si>
  <si>
    <t>1,955,159.11</t>
  </si>
  <si>
    <t>195,795.00</t>
  </si>
  <si>
    <t>235,704.00</t>
  </si>
  <si>
    <t>1,982,215.59</t>
  </si>
  <si>
    <t>1,941,567.90</t>
  </si>
  <si>
    <t>436,202.26</t>
  </si>
  <si>
    <t>1,429,958.65</t>
  </si>
  <si>
    <t>67,222.00</t>
  </si>
  <si>
    <t>66,400,000.00</t>
  </si>
  <si>
    <t>1,934,916.29</t>
  </si>
  <si>
    <t>4,849,106.22</t>
  </si>
  <si>
    <t>41,000,000.00</t>
  </si>
  <si>
    <t>774,000.00</t>
  </si>
  <si>
    <t>698,854.81</t>
  </si>
  <si>
    <t>1,493,000.00</t>
  </si>
  <si>
    <t>1,447,000.72</t>
  </si>
  <si>
    <t>499,450.00</t>
  </si>
  <si>
    <t>12,400,501.35</t>
  </si>
  <si>
    <t>220,510.00</t>
  </si>
  <si>
    <t>123,369.00</t>
  </si>
  <si>
    <t>1,137,437.31</t>
  </si>
  <si>
    <t>229,000.00</t>
  </si>
  <si>
    <t>113,422.00</t>
  </si>
  <si>
    <t>5,038,142.11</t>
  </si>
  <si>
    <t>11,433,569.85</t>
  </si>
  <si>
    <t>409,676.93</t>
  </si>
  <si>
    <t>371,723.00</t>
  </si>
  <si>
    <t>269,001.00</t>
  </si>
  <si>
    <t>99,020.00</t>
  </si>
  <si>
    <t>12,760,000.00</t>
  </si>
  <si>
    <t>1,999,863.97</t>
  </si>
  <si>
    <t>3,928,214.97</t>
  </si>
  <si>
    <t>2,488,491.57</t>
  </si>
  <si>
    <t>1,979,947.50</t>
  </si>
  <si>
    <t>1,086,763.00</t>
  </si>
  <si>
    <t>2,035,204.00</t>
  </si>
  <si>
    <t>5,380,000.00</t>
  </si>
  <si>
    <t>1,979,615.63</t>
  </si>
  <si>
    <t>1,487,600.00</t>
  </si>
  <si>
    <t>353,860.00</t>
  </si>
  <si>
    <t>1,004,440.00</t>
  </si>
  <si>
    <t>93,000,000.00</t>
  </si>
  <si>
    <t>11,800,000.00</t>
  </si>
  <si>
    <t>2,976,485.00</t>
  </si>
  <si>
    <t>9,947,458.40</t>
  </si>
  <si>
    <t>1,384,430.00</t>
  </si>
  <si>
    <t>6,380,000.00</t>
  </si>
  <si>
    <t>492,290.00</t>
  </si>
  <si>
    <t>3,518,500.00</t>
  </si>
  <si>
    <t>1,043,738.81</t>
  </si>
  <si>
    <t>2,350,000.00</t>
  </si>
  <si>
    <t>1,091,400.00</t>
  </si>
  <si>
    <t>1,578,347.00</t>
  </si>
  <si>
    <t>1,029,463.00</t>
  </si>
  <si>
    <t>1,790,588.00</t>
  </si>
  <si>
    <t>1,225,000.00</t>
  </si>
  <si>
    <t>2,590,000.00</t>
  </si>
  <si>
    <t>423,518.00</t>
  </si>
  <si>
    <t>1,983,284.00</t>
  </si>
  <si>
    <t>2,218,320.00</t>
  </si>
  <si>
    <t>1,999,568.56</t>
  </si>
  <si>
    <t>2,460,395.00</t>
  </si>
  <si>
    <t>684,000.00</t>
  </si>
  <si>
    <t>83,345.00</t>
  </si>
  <si>
    <t>304,474.00</t>
  </si>
  <si>
    <t>18,925,955.32</t>
  </si>
  <si>
    <t>845,597.60</t>
  </si>
  <si>
    <t>507,710.00</t>
  </si>
  <si>
    <t>124,002.00</t>
  </si>
  <si>
    <t>338,072.00</t>
  </si>
  <si>
    <t>1,644,970.00</t>
  </si>
  <si>
    <t>498,000.00</t>
  </si>
  <si>
    <t>3,999,181.45</t>
  </si>
  <si>
    <t>14,486,461.66</t>
  </si>
  <si>
    <t>2,643,269.00</t>
  </si>
  <si>
    <t>2,562,922.33</t>
  </si>
  <si>
    <t>1,630,000.00</t>
  </si>
  <si>
    <t>14,736,451.66</t>
  </si>
  <si>
    <t>6,592,238.00</t>
  </si>
  <si>
    <t>28,000,000.00</t>
  </si>
  <si>
    <t>1,770,156.80</t>
  </si>
  <si>
    <t>1,023,800.00</t>
  </si>
  <si>
    <t>2,633,918.05</t>
  </si>
  <si>
    <t>1,398,000.00</t>
  </si>
  <si>
    <t>6,082,560.00</t>
  </si>
  <si>
    <t>1,063,087.40</t>
  </si>
  <si>
    <t>103,637.33</t>
  </si>
  <si>
    <t>1,033,782.40</t>
  </si>
  <si>
    <t>2,971,821.36</t>
  </si>
  <si>
    <t>2,252,704.34</t>
  </si>
  <si>
    <t>156,229.00</t>
  </si>
  <si>
    <t>1,239,550.89</t>
  </si>
  <si>
    <t>12,803,261.69</t>
  </si>
  <si>
    <t>2,114,998.40</t>
  </si>
  <si>
    <t>2,070,601.44</t>
  </si>
  <si>
    <t>1,980,233.13</t>
  </si>
  <si>
    <t>3,859,731.89</t>
  </si>
  <si>
    <t>1,992,677.27</t>
  </si>
  <si>
    <t>106,469.04</t>
  </si>
  <si>
    <t>1,942,500.00</t>
  </si>
  <si>
    <t>2,497,471.92</t>
  </si>
  <si>
    <t>358,000.00</t>
  </si>
  <si>
    <t>4,999,999.99</t>
  </si>
  <si>
    <t>284,022.62</t>
  </si>
  <si>
    <t>1,157,408.00</t>
  </si>
  <si>
    <t>1,023,001.47</t>
  </si>
  <si>
    <t>1,320,797.85</t>
  </si>
  <si>
    <t>102,600.00</t>
  </si>
  <si>
    <t>22,468,818.00</t>
  </si>
  <si>
    <t>45,947,281.64</t>
  </si>
  <si>
    <t>19,720,369.11</t>
  </si>
  <si>
    <t>3,543,092.82</t>
  </si>
  <si>
    <t>3,884,006.26</t>
  </si>
  <si>
    <t>1,110,936.75</t>
  </si>
  <si>
    <t>15,116,168.68</t>
  </si>
  <si>
    <t>106,242.50</t>
  </si>
  <si>
    <t>65,605.00</t>
  </si>
  <si>
    <t>14,086,461.66</t>
  </si>
  <si>
    <t>7,600,000.00</t>
  </si>
  <si>
    <t>310,000.00</t>
  </si>
  <si>
    <t>601,100.00</t>
  </si>
  <si>
    <t>14,566,300.94</t>
  </si>
  <si>
    <t>1,348,298.62</t>
  </si>
  <si>
    <t>315,470.00</t>
  </si>
  <si>
    <t>16,844,000.00</t>
  </si>
  <si>
    <t>465,800.61</t>
  </si>
  <si>
    <t>40,007,081.95</t>
  </si>
  <si>
    <t>5,037,900.00</t>
  </si>
  <si>
    <t>7,282,000.00</t>
  </si>
  <si>
    <t>721,250.00</t>
  </si>
  <si>
    <t>833,338.56</t>
  </si>
  <si>
    <t>32,530,183.65</t>
  </si>
  <si>
    <t>464,187.72</t>
  </si>
  <si>
    <t>1,096,747.56</t>
  </si>
  <si>
    <t>19,799,634.33</t>
  </si>
  <si>
    <t>278,462.40</t>
  </si>
  <si>
    <t>49,499,605.12</t>
  </si>
  <si>
    <t>29,399,143.95</t>
  </si>
  <si>
    <t>534,010.00</t>
  </si>
  <si>
    <t>1,089,000.00</t>
  </si>
  <si>
    <t>34,299,180.26</t>
  </si>
  <si>
    <t>22,332,347.27</t>
  </si>
  <si>
    <t>4,551,153.50</t>
  </si>
  <si>
    <t>3,250,000.00</t>
  </si>
  <si>
    <t>48,999,117.17</t>
  </si>
  <si>
    <t>1,099,759.92</t>
  </si>
  <si>
    <t>17,367,611.51</t>
  </si>
  <si>
    <t>216,780.00</t>
  </si>
  <si>
    <t>2,969,827.26</t>
  </si>
  <si>
    <t>14,999,980.59</t>
  </si>
  <si>
    <t>2,340,255.00</t>
  </si>
  <si>
    <t>8,443,297.69</t>
  </si>
  <si>
    <t>43,000,000.00</t>
  </si>
  <si>
    <t>4,870,905.00</t>
  </si>
  <si>
    <t>9,390,000.00</t>
  </si>
  <si>
    <t>1,601,617.81</t>
  </si>
  <si>
    <t>19,799,869.91</t>
  </si>
  <si>
    <t>27,332.00</t>
  </si>
  <si>
    <t>1,206,800.00</t>
  </si>
  <si>
    <t>27,649.00</t>
  </si>
  <si>
    <t>404,939.14</t>
  </si>
  <si>
    <t>829,500.00</t>
  </si>
  <si>
    <t>752,000.00</t>
  </si>
  <si>
    <t>5,555,000.00</t>
  </si>
  <si>
    <t>8,996,940.72</t>
  </si>
  <si>
    <t>12,379,971.95</t>
  </si>
  <si>
    <t>9,474,589.00</t>
  </si>
  <si>
    <t>499,028.03</t>
  </si>
  <si>
    <t>9,632,373.93</t>
  </si>
  <si>
    <t>38,804,617.27</t>
  </si>
  <si>
    <t>398,393.83</t>
  </si>
  <si>
    <t>50,123,323.20</t>
  </si>
  <si>
    <t>20,453,107.69</t>
  </si>
  <si>
    <t>11,850,956.99</t>
  </si>
  <si>
    <t>20,414,149.39</t>
  </si>
  <si>
    <t>2,648,306.64</t>
  </si>
  <si>
    <t>12,835,086.31</t>
  </si>
  <si>
    <t>3,640,000.00</t>
  </si>
  <si>
    <t>1,806,000.00</t>
  </si>
  <si>
    <t>45,336,585.10</t>
  </si>
  <si>
    <t>1,799,456.61</t>
  </si>
  <si>
    <t>32,670,000.00</t>
  </si>
  <si>
    <t>2,329,750.00</t>
  </si>
  <si>
    <t>1,017,000.00</t>
  </si>
  <si>
    <t>3,364,817.35</t>
  </si>
  <si>
    <t>3,367,457.00</t>
  </si>
  <si>
    <t>1,347,000.00</t>
  </si>
  <si>
    <t>1,944,582.85</t>
  </si>
  <si>
    <t>1,380,000.00</t>
  </si>
  <si>
    <t>493,676.80</t>
  </si>
  <si>
    <t>11,220,060.00</t>
  </si>
  <si>
    <t>6,291,534.00</t>
  </si>
  <si>
    <t>1,725,773.80</t>
  </si>
  <si>
    <t>4,086,773.72</t>
  </si>
  <si>
    <t>2,997,840.21</t>
  </si>
  <si>
    <t>968,716.23</t>
  </si>
  <si>
    <t>1,998,098.92</t>
  </si>
  <si>
    <t>2,254,000.00</t>
  </si>
  <si>
    <t>67,125.00</t>
  </si>
  <si>
    <t>861,569.95</t>
  </si>
  <si>
    <t>6,613,451.89</t>
  </si>
  <si>
    <t>21,600,000.00</t>
  </si>
  <si>
    <t>295,515.00</t>
  </si>
  <si>
    <t>2,952,279.92</t>
  </si>
  <si>
    <t>1,997,197.50</t>
  </si>
  <si>
    <t>1,998,616.00</t>
  </si>
  <si>
    <t>5,761,388.00</t>
  </si>
  <si>
    <t>227,781.00</t>
  </si>
  <si>
    <t>750,871.00</t>
  </si>
  <si>
    <t>1,368,283.00</t>
  </si>
  <si>
    <t>683,317.80</t>
  </si>
  <si>
    <t>317,550.00</t>
  </si>
  <si>
    <t>2,665,400.00</t>
  </si>
  <si>
    <t>9,999,986.00</t>
  </si>
  <si>
    <t>258,870.00</t>
  </si>
  <si>
    <t>114,550.00</t>
  </si>
  <si>
    <t>15,998,169.46</t>
  </si>
  <si>
    <t>2,089,341.90</t>
  </si>
  <si>
    <t>2,253,930.02</t>
  </si>
  <si>
    <t>499,800.00</t>
  </si>
  <si>
    <t>292,310.00</t>
  </si>
  <si>
    <t>4,083,289.92</t>
  </si>
  <si>
    <t>1,680,000.00</t>
  </si>
  <si>
    <t>610,000.00</t>
  </si>
  <si>
    <t>1,083,189.96</t>
  </si>
  <si>
    <t>741,514.00</t>
  </si>
  <si>
    <t>469,436.05</t>
  </si>
  <si>
    <t>415,913.00</t>
  </si>
  <si>
    <t>2,135,323.50</t>
  </si>
  <si>
    <t>2,731,000.00</t>
  </si>
  <si>
    <t>461,075.00</t>
  </si>
  <si>
    <t>363,261.00</t>
  </si>
  <si>
    <t>3,317,098.46</t>
  </si>
  <si>
    <t>1,571,860.00</t>
  </si>
  <si>
    <t>3,542,000.00</t>
  </si>
  <si>
    <t>1,678,343.30</t>
  </si>
  <si>
    <t>1,408,644.38</t>
  </si>
  <si>
    <t>2,851,859.15</t>
  </si>
  <si>
    <t>1,035,569.20</t>
  </si>
  <si>
    <t>403,450.00</t>
  </si>
  <si>
    <t>3,471,060.00</t>
  </si>
  <si>
    <t>1,873,995.79</t>
  </si>
  <si>
    <t>1,847,275.20</t>
  </si>
  <si>
    <t>2,353,000.00</t>
  </si>
  <si>
    <t>3,791,994.31</t>
  </si>
  <si>
    <t>2,836,256.63</t>
  </si>
  <si>
    <t>44,153,846.58</t>
  </si>
  <si>
    <t>148,170,209.79</t>
  </si>
  <si>
    <t>1,281,018.38</t>
  </si>
  <si>
    <t>38,234,495.65</t>
  </si>
  <si>
    <t>332,500.00</t>
  </si>
  <si>
    <t>1,433,809.52</t>
  </si>
  <si>
    <t>32,843,060.63</t>
  </si>
  <si>
    <t>7,927,865.00</t>
  </si>
  <si>
    <t>298,172.00</t>
  </si>
  <si>
    <t>1,226,935.10</t>
  </si>
  <si>
    <t>298,269.10</t>
  </si>
  <si>
    <t>1,997,690.62</t>
  </si>
  <si>
    <t>997,229.53</t>
  </si>
  <si>
    <t>1,991,113.47</t>
  </si>
  <si>
    <t>8,918,000.00</t>
  </si>
  <si>
    <t>477,433.60</t>
  </si>
  <si>
    <t>2,943,875.72</t>
  </si>
  <si>
    <t>3,711,662.83</t>
  </si>
  <si>
    <t>2,995,825.50</t>
  </si>
  <si>
    <t>499,999.51</t>
  </si>
  <si>
    <t>26,460,000.00</t>
  </si>
  <si>
    <t>1,399,978.93</t>
  </si>
  <si>
    <t>24,000,000.00</t>
  </si>
  <si>
    <t>1,166,757.65</t>
  </si>
  <si>
    <t>607,642.63</t>
  </si>
  <si>
    <t>1,955,537.15</t>
  </si>
  <si>
    <t>1,953,045.66</t>
  </si>
  <si>
    <t>520,850.00</t>
  </si>
  <si>
    <t>6,150,000.00</t>
  </si>
  <si>
    <t>186,625.00</t>
  </si>
  <si>
    <t>2,093,756.35</t>
  </si>
  <si>
    <t>278,056.00</t>
  </si>
  <si>
    <t>310,580.00</t>
  </si>
  <si>
    <t>4,623,652.50</t>
  </si>
  <si>
    <t>1,591,200.00</t>
  </si>
  <si>
    <t>1,203,684.00</t>
  </si>
  <si>
    <t>3,000,800.00</t>
  </si>
  <si>
    <t>102,200.00</t>
  </si>
  <si>
    <t>331,800.00</t>
  </si>
  <si>
    <t>2,420,000.00</t>
  </si>
  <si>
    <t>2,699,290.00</t>
  </si>
  <si>
    <t>15,932,000.00</t>
  </si>
  <si>
    <t>5,917,000.00</t>
  </si>
  <si>
    <t>12,018,374.59</t>
  </si>
  <si>
    <t>2,819,787.90</t>
  </si>
  <si>
    <t>9,016,112.01</t>
  </si>
  <si>
    <t>1,181,000.00</t>
  </si>
  <si>
    <t>1,643,710.00</t>
  </si>
  <si>
    <t>45,745.00</t>
  </si>
  <si>
    <t>8,537.00</t>
  </si>
  <si>
    <t>48,813.00</t>
  </si>
  <si>
    <t>499,400.00</t>
  </si>
  <si>
    <t>2,903,280.00</t>
  </si>
  <si>
    <t>179,932.00</t>
  </si>
  <si>
    <t>72,450.00</t>
  </si>
  <si>
    <t>376,000.00</t>
  </si>
  <si>
    <t>499,712.20</t>
  </si>
  <si>
    <t>1,651,132.50</t>
  </si>
  <si>
    <t>187,125.75</t>
  </si>
  <si>
    <t>13,943,565.46</t>
  </si>
  <si>
    <t>4,899,554.30</t>
  </si>
  <si>
    <t>77,505.00</t>
  </si>
  <si>
    <t>11,320,000.00</t>
  </si>
  <si>
    <t>79,193,296.12</t>
  </si>
  <si>
    <t>428,653.17</t>
  </si>
  <si>
    <t>5,331,481.31</t>
  </si>
  <si>
    <t>399,000.00</t>
  </si>
  <si>
    <t>58,490.00</t>
  </si>
  <si>
    <t>999,537.00</t>
  </si>
  <si>
    <t>1,030,894.67</t>
  </si>
  <si>
    <t>131,899.00</t>
  </si>
  <si>
    <t>3,598,480.00</t>
  </si>
  <si>
    <t>15,440,000.00</t>
  </si>
  <si>
    <t>378,911.60</t>
  </si>
  <si>
    <t>358,750.00</t>
  </si>
  <si>
    <t>4,450,999.60</t>
  </si>
  <si>
    <t>2,316,258.90</t>
  </si>
  <si>
    <t>2,265,000.00</t>
  </si>
  <si>
    <t>5,800,000.00</t>
  </si>
  <si>
    <t>26,055,000.00</t>
  </si>
  <si>
    <t>741,600.00</t>
  </si>
  <si>
    <t>1,070,736.51</t>
  </si>
  <si>
    <t>891,500.00</t>
  </si>
  <si>
    <t>148,500.00</t>
  </si>
  <si>
    <t>1,350,234.24</t>
  </si>
  <si>
    <t>9,975,000.00</t>
  </si>
  <si>
    <t>1,270,000.00</t>
  </si>
  <si>
    <t>1,994,040.00</t>
  </si>
  <si>
    <t>2,907,130.37</t>
  </si>
  <si>
    <t>618,333.80</t>
  </si>
  <si>
    <t>3,100,000.00</t>
  </si>
  <si>
    <t>1,499,565.80</t>
  </si>
  <si>
    <t>1,256,000.00</t>
  </si>
  <si>
    <t>1,999,738.12</t>
  </si>
  <si>
    <t>2,299,035.95</t>
  </si>
  <si>
    <t>1,185,851.25</t>
  </si>
  <si>
    <t>4,287,760.00</t>
  </si>
  <si>
    <t>1,646,140.00</t>
  </si>
  <si>
    <t>139,925,000.00</t>
  </si>
  <si>
    <t>5,999,950.00</t>
  </si>
  <si>
    <t>499,831.50</t>
  </si>
  <si>
    <t>6,995,572.07</t>
  </si>
  <si>
    <t>1,579,595.00</t>
  </si>
  <si>
    <t>634,905.00</t>
  </si>
  <si>
    <t>254,457.00</t>
  </si>
  <si>
    <t>12,511,990.70</t>
  </si>
  <si>
    <t>1,072,000.00</t>
  </si>
  <si>
    <t>2,992,000.00</t>
  </si>
  <si>
    <t>34,735,520.40</t>
  </si>
  <si>
    <t>7,575,734.55</t>
  </si>
  <si>
    <t>34,672,711.42</t>
  </si>
  <si>
    <t>3,636,000.00</t>
  </si>
  <si>
    <t>4,821,600.00</t>
  </si>
  <si>
    <t>3,411,360.00</t>
  </si>
  <si>
    <t>2,909,500.00</t>
  </si>
  <si>
    <t>3,454,104.00</t>
  </si>
  <si>
    <t>11,939,999.65</t>
  </si>
  <si>
    <t>253,685.00</t>
  </si>
  <si>
    <t>5,920.00</t>
  </si>
  <si>
    <t>11,939,976.80</t>
  </si>
  <si>
    <t>11,939,963.86</t>
  </si>
  <si>
    <t>11,939,971.67</t>
  </si>
  <si>
    <t>1,130,358.92</t>
  </si>
  <si>
    <t>892,230.00</t>
  </si>
  <si>
    <t>1,495,502.11</t>
  </si>
  <si>
    <t>125,000,000.00</t>
  </si>
  <si>
    <t>1,995,929.04</t>
  </si>
  <si>
    <t>98,045,669.86</t>
  </si>
  <si>
    <t>2,299,572.76</t>
  </si>
  <si>
    <t>11,939,977.71</t>
  </si>
  <si>
    <t>2,999,322.46</t>
  </si>
  <si>
    <t>1,499,553.57</t>
  </si>
  <si>
    <t>1,985,915.47</t>
  </si>
  <si>
    <t>11,939,875.41</t>
  </si>
  <si>
    <t>2,933,750.00</t>
  </si>
  <si>
    <t>1,199,732.92</t>
  </si>
  <si>
    <t>199,603.49</t>
  </si>
  <si>
    <t>74,725.00</t>
  </si>
  <si>
    <t>1,959,940.40</t>
  </si>
  <si>
    <t>18,456,000.00</t>
  </si>
  <si>
    <t>3,515,000.00</t>
  </si>
  <si>
    <t>1,539,048.40</t>
  </si>
  <si>
    <t>10,088,400.00</t>
  </si>
  <si>
    <t>4,863,000.00</t>
  </si>
  <si>
    <t>5,326,937.40</t>
  </si>
  <si>
    <t>1,186,894.46</t>
  </si>
  <si>
    <t>815,999.40</t>
  </si>
  <si>
    <t>4,887,536.82</t>
  </si>
  <si>
    <t>2,443,831.37</t>
  </si>
  <si>
    <t>3,113,470.00</t>
  </si>
  <si>
    <t>14,919,793.00</t>
  </si>
  <si>
    <t>12,934,976.97</t>
  </si>
  <si>
    <t>661,172.30</t>
  </si>
  <si>
    <t>4,887,619.94</t>
  </si>
  <si>
    <t>769,250.00</t>
  </si>
  <si>
    <t>236,710.50</t>
  </si>
  <si>
    <t>250,051.25</t>
  </si>
  <si>
    <t>1,046,250.00</t>
  </si>
  <si>
    <t>9,542,068.05</t>
  </si>
  <si>
    <t>1,103,329.00</t>
  </si>
  <si>
    <t>2,443,785.57</t>
  </si>
  <si>
    <t>57,800.00</t>
  </si>
  <si>
    <t>29,920,000.00</t>
  </si>
  <si>
    <t>891,575.85</t>
  </si>
  <si>
    <t>2,169,000.00</t>
  </si>
  <si>
    <t>999,999.84</t>
  </si>
  <si>
    <t>16,334,000.00</t>
  </si>
  <si>
    <t>33,775,000.00</t>
  </si>
  <si>
    <t>6,577,748.44</t>
  </si>
  <si>
    <t>7,149,621.77</t>
  </si>
  <si>
    <t>361,000.00</t>
  </si>
  <si>
    <t>4,887,241.63</t>
  </si>
  <si>
    <t>5,039,000.00</t>
  </si>
  <si>
    <t>7,980,000.00</t>
  </si>
  <si>
    <t>5,031,070.00</t>
  </si>
  <si>
    <t>17,000,000.00</t>
  </si>
  <si>
    <t>1,875,600.00</t>
  </si>
  <si>
    <t>5,980,000.00</t>
  </si>
  <si>
    <t>2,605,500.00</t>
  </si>
  <si>
    <t>358,483.00</t>
  </si>
  <si>
    <t>1,436,000.00</t>
  </si>
  <si>
    <t>4,974,975.09</t>
  </si>
  <si>
    <t>3,238,515.35</t>
  </si>
  <si>
    <t>284,422.50</t>
  </si>
  <si>
    <t>653,400,000.00</t>
  </si>
  <si>
    <t>1,008,000.00</t>
  </si>
  <si>
    <t>268,039.00</t>
  </si>
  <si>
    <t>1,470,327.60</t>
  </si>
  <si>
    <t>165,322.50</t>
  </si>
  <si>
    <t>215,493.75</t>
  </si>
  <si>
    <t>1,530,000.00</t>
  </si>
  <si>
    <t>431,440.00</t>
  </si>
  <si>
    <t>165,000,000.00</t>
  </si>
  <si>
    <t>368,675.00</t>
  </si>
  <si>
    <t>763,515.50</t>
  </si>
  <si>
    <t>1,818,500.00</t>
  </si>
  <si>
    <t>10,351,166.35</t>
  </si>
  <si>
    <t>512,233.79</t>
  </si>
  <si>
    <t>5,963,000.00</t>
  </si>
  <si>
    <t>211,609.20</t>
  </si>
  <si>
    <t>1,499,966.10</t>
  </si>
  <si>
    <t>205,807.00</t>
  </si>
  <si>
    <t>165,645.60</t>
  </si>
  <si>
    <t>1,196,025.57</t>
  </si>
  <si>
    <t>209,805.00</t>
  </si>
  <si>
    <t>205,810.00</t>
  </si>
  <si>
    <t>243,100,000.00</t>
  </si>
  <si>
    <t>8,167,000.00</t>
  </si>
  <si>
    <t>1,399,800.00</t>
  </si>
  <si>
    <t>1,110,000.00</t>
  </si>
  <si>
    <t>5,790,454.38</t>
  </si>
  <si>
    <t>43,425,051.89</t>
  </si>
  <si>
    <t>113,106.20</t>
  </si>
  <si>
    <t>203,499.00</t>
  </si>
  <si>
    <t>2,467,893.00</t>
  </si>
  <si>
    <t>1,981,320.00</t>
  </si>
  <si>
    <t>12,537,000.00</t>
  </si>
  <si>
    <t>1,578,907.00</t>
  </si>
  <si>
    <t>992,722.00</t>
  </si>
  <si>
    <t>552,888.00</t>
  </si>
  <si>
    <t>1,507,840.00</t>
  </si>
  <si>
    <t>1,573,520.00</t>
  </si>
  <si>
    <t>6,883,200.00</t>
  </si>
  <si>
    <t>1,159,839.38</t>
  </si>
  <si>
    <t>848,071.67</t>
  </si>
  <si>
    <t>3,526,911.57</t>
  </si>
  <si>
    <t>489,775.00</t>
  </si>
  <si>
    <t>1,528,593.00</t>
  </si>
  <si>
    <t>202,056.98</t>
  </si>
  <si>
    <t>214,920,940.00</t>
  </si>
  <si>
    <t>1,050,698.00</t>
  </si>
  <si>
    <t>1,361,000.00</t>
  </si>
  <si>
    <t>594,073.00</t>
  </si>
  <si>
    <t>434,936.57</t>
  </si>
  <si>
    <t>1,499,793.75</t>
  </si>
  <si>
    <t>91,412.00</t>
  </si>
  <si>
    <t>2,322,034.12</t>
  </si>
  <si>
    <t>2,768,702.15</t>
  </si>
  <si>
    <t>428,310.00</t>
  </si>
  <si>
    <t>1,521,600.00</t>
  </si>
  <si>
    <t>321,681.53</t>
  </si>
  <si>
    <t>1,771,406.00</t>
  </si>
  <si>
    <t>1,428,536.00</t>
  </si>
  <si>
    <t>1,399,453.13</t>
  </si>
  <si>
    <t>1,681,859.87</t>
  </si>
  <si>
    <t>7,718,400.00</t>
  </si>
  <si>
    <t>248,373.00</t>
  </si>
  <si>
    <t>921,300.00</t>
  </si>
  <si>
    <t>34,734,269.66</t>
  </si>
  <si>
    <t>1,741,376.00</t>
  </si>
  <si>
    <t>333,414.00</t>
  </si>
  <si>
    <t>1,428,840.00</t>
  </si>
  <si>
    <t>216,756.00</t>
  </si>
  <si>
    <t>1,880,000.00</t>
  </si>
  <si>
    <t>895,000.00</t>
  </si>
  <si>
    <t>261,242.00</t>
  </si>
  <si>
    <t>1,276,120.00</t>
  </si>
  <si>
    <t>546,135.00</t>
  </si>
  <si>
    <t>294,542.00</t>
  </si>
  <si>
    <t>429,254.00</t>
  </si>
  <si>
    <t>385,335.00</t>
  </si>
  <si>
    <t>494,604.00</t>
  </si>
  <si>
    <t>1,846,180.00</t>
  </si>
  <si>
    <t>1,369,100.00</t>
  </si>
  <si>
    <t>10,211,980.00</t>
  </si>
  <si>
    <t>1,565,500.00</t>
  </si>
  <si>
    <t>5,175,000.00</t>
  </si>
  <si>
    <t>11,668,000.00</t>
  </si>
  <si>
    <t>4,194,255.74</t>
  </si>
  <si>
    <t>3,532,382.20</t>
  </si>
  <si>
    <t>7,925,000.00</t>
  </si>
  <si>
    <t>6,810,300.00</t>
  </si>
  <si>
    <t>5,297,000.00</t>
  </si>
  <si>
    <t>1,434,116.25</t>
  </si>
  <si>
    <t>14,380,000.00</t>
  </si>
  <si>
    <t>9,899,910.99</t>
  </si>
  <si>
    <t>3,653,756.00</t>
  </si>
  <si>
    <t>9,660,668.00</t>
  </si>
  <si>
    <t>1,186,008.12</t>
  </si>
  <si>
    <t>1,548,485.00</t>
  </si>
  <si>
    <t>40,337,000.00</t>
  </si>
  <si>
    <t>1,018,800.00</t>
  </si>
  <si>
    <t>1,476,000.00</t>
  </si>
  <si>
    <t>3,037,386.00</t>
  </si>
  <si>
    <t>1,499,425.00</t>
  </si>
  <si>
    <t>2,840,000.00</t>
  </si>
  <si>
    <t>865,000.00</t>
  </si>
  <si>
    <t>4,252,406.00</t>
  </si>
  <si>
    <t>597,900.00</t>
  </si>
  <si>
    <t>3,999,612.02</t>
  </si>
  <si>
    <t>1,995,600.00</t>
  </si>
  <si>
    <t>1,677,500.00</t>
  </si>
  <si>
    <t>1,895,000.00</t>
  </si>
  <si>
    <t>10,251,083.25</t>
  </si>
  <si>
    <t>205,500.00</t>
  </si>
  <si>
    <t>2,887,200.00</t>
  </si>
  <si>
    <t>2,418,750.00</t>
  </si>
  <si>
    <t>1,359,680.00</t>
  </si>
  <si>
    <t>401,500.00</t>
  </si>
  <si>
    <t>1,325,600.00</t>
  </si>
  <si>
    <t>17,638,164.50</t>
  </si>
  <si>
    <t>1,068,779.25</t>
  </si>
  <si>
    <t>4,836,309.52</t>
  </si>
  <si>
    <t>19,953,500.00</t>
  </si>
  <si>
    <t>434,279.00</t>
  </si>
  <si>
    <t>405,768.00</t>
  </si>
  <si>
    <t>913,836.00</t>
  </si>
  <si>
    <t>1,976,400.00</t>
  </si>
  <si>
    <t>921,574.00</t>
  </si>
  <si>
    <t>23,441,250.00</t>
  </si>
  <si>
    <t>5,460,000.00</t>
  </si>
  <si>
    <t>973,539.99</t>
  </si>
  <si>
    <t>1,823,906.33</t>
  </si>
  <si>
    <t>752,979.20</t>
  </si>
  <si>
    <t>5,925,225.30</t>
  </si>
  <si>
    <t>7,901,225.30</t>
  </si>
  <si>
    <t>4,482,183.00</t>
  </si>
  <si>
    <t>6,834,872.82</t>
  </si>
  <si>
    <t>394,821.24</t>
  </si>
  <si>
    <t>517,493.59</t>
  </si>
  <si>
    <t>1,144,196.52</t>
  </si>
  <si>
    <t>6,093,007.95</t>
  </si>
  <si>
    <t>9,800.00</t>
  </si>
  <si>
    <t>4,894,112.58</t>
  </si>
  <si>
    <t>37,772.00</t>
  </si>
  <si>
    <t>35,222.00</t>
  </si>
  <si>
    <t>264,110.00</t>
  </si>
  <si>
    <t>88,160.00</t>
  </si>
  <si>
    <t>222,000.00</t>
  </si>
  <si>
    <t>836,161.87</t>
  </si>
  <si>
    <t>18,900.00</t>
  </si>
  <si>
    <t>13,500,000.00</t>
  </si>
  <si>
    <t>11,999,980.96</t>
  </si>
  <si>
    <t>23,100.00</t>
  </si>
  <si>
    <t>1,157,500.00</t>
  </si>
  <si>
    <t>1,232,500.00</t>
  </si>
  <si>
    <t>8,033,000.00</t>
  </si>
  <si>
    <t>929,000.00</t>
  </si>
  <si>
    <t>133,990.00</t>
  </si>
  <si>
    <t>2,850,000.00</t>
  </si>
  <si>
    <t>1,384,925.50</t>
  </si>
  <si>
    <t>1,775,000.00</t>
  </si>
  <si>
    <t>4,843,750.00</t>
  </si>
  <si>
    <t>1,536,000.00</t>
  </si>
  <si>
    <t>252,715.00</t>
  </si>
  <si>
    <t>3,599,958.00</t>
  </si>
  <si>
    <t>149,999.80</t>
  </si>
  <si>
    <t>2,649,500.20</t>
  </si>
  <si>
    <t>2,999,845.00</t>
  </si>
  <si>
    <t>2,430,000.00</t>
  </si>
  <si>
    <t>1,545,822.66</t>
  </si>
  <si>
    <t>1,116,000.00</t>
  </si>
  <si>
    <t>835,000.00</t>
  </si>
  <si>
    <t>6,003,035.00</t>
  </si>
  <si>
    <t>1,259,500.00</t>
  </si>
  <si>
    <t>83,839.28</t>
  </si>
  <si>
    <t>3,799,170.80</t>
  </si>
  <si>
    <t>1,645,000.00</t>
  </si>
  <si>
    <t>796,366.00</t>
  </si>
  <si>
    <t>1,365,000.00</t>
  </si>
  <si>
    <t>1,825,000.00</t>
  </si>
  <si>
    <t>4,260,000.00</t>
  </si>
  <si>
    <t>9,708,696.14</t>
  </si>
  <si>
    <t>2,959,847.63</t>
  </si>
  <si>
    <t>199,946.62</t>
  </si>
  <si>
    <t>1,505,927.25</t>
  </si>
  <si>
    <t>47,990.00</t>
  </si>
  <si>
    <t>1,118,500.00</t>
  </si>
  <si>
    <t>1,455,302.52</t>
  </si>
  <si>
    <t>281,541.52</t>
  </si>
  <si>
    <t>1,177,296.74</t>
  </si>
  <si>
    <t>985,000.00</t>
  </si>
  <si>
    <t>1,547,500.00</t>
  </si>
  <si>
    <t>46,300.00</t>
  </si>
  <si>
    <t>449,688.65</t>
  </si>
  <si>
    <t>1,083,882.89</t>
  </si>
  <si>
    <t>8,950,000.00</t>
  </si>
  <si>
    <t>2,219,000.00</t>
  </si>
  <si>
    <t>1,070,304.42</t>
  </si>
  <si>
    <t>57,600.00</t>
  </si>
  <si>
    <t>4,770.00</t>
  </si>
  <si>
    <t>4,475,000.00</t>
  </si>
  <si>
    <t>359,225.44</t>
  </si>
  <si>
    <t>1,927,827.00</t>
  </si>
  <si>
    <t>2,053,500.00</t>
  </si>
  <si>
    <t>1,499,949.95</t>
  </si>
  <si>
    <t>9,600.00</t>
  </si>
  <si>
    <t>4,989,403.09</t>
  </si>
  <si>
    <t>11,005,392.85</t>
  </si>
  <si>
    <t>46,140.00</t>
  </si>
  <si>
    <t>1,450.00</t>
  </si>
  <si>
    <t>1,199,763.12</t>
  </si>
  <si>
    <t>2,916,563.20</t>
  </si>
  <si>
    <t>1,199,872.92</t>
  </si>
  <si>
    <t>1,158,000.00</t>
  </si>
  <si>
    <t>216,616.00</t>
  </si>
  <si>
    <t>19,100.00</t>
  </si>
  <si>
    <t>15,533,070.00</t>
  </si>
  <si>
    <t>47,085.00</t>
  </si>
  <si>
    <t>546,549.00</t>
  </si>
  <si>
    <t>1,961,834.29</t>
  </si>
  <si>
    <t>2,230,099.54</t>
  </si>
  <si>
    <t>692,161.60</t>
  </si>
  <si>
    <t>2,823,316.31</t>
  </si>
  <si>
    <t>2,965,903.12</t>
  </si>
  <si>
    <t>2,065,702.00</t>
  </si>
  <si>
    <t>314,640.00</t>
  </si>
  <si>
    <t>7,791,980.00</t>
  </si>
  <si>
    <t>1,016,468.00</t>
  </si>
  <si>
    <t>1,962,498.71</t>
  </si>
  <si>
    <t>1,547,300.00</t>
  </si>
  <si>
    <t>41,300.00</t>
  </si>
  <si>
    <t>34,112,590.31</t>
  </si>
  <si>
    <t>10,326,000.00</t>
  </si>
  <si>
    <t>3,973,619.00</t>
  </si>
  <si>
    <t>398,881.42</t>
  </si>
  <si>
    <t>1,232,082.10</t>
  </si>
  <si>
    <t>64,706,962.68</t>
  </si>
  <si>
    <t>398,424.65</t>
  </si>
  <si>
    <t>292,250.00</t>
  </si>
  <si>
    <t>389,142.49</t>
  </si>
  <si>
    <t>2,099,298.88</t>
  </si>
  <si>
    <t>1,410,000.00</t>
  </si>
  <si>
    <t>971,399.21</t>
  </si>
  <si>
    <t>1,474,382.55</t>
  </si>
  <si>
    <t>100,495,000.00</t>
  </si>
  <si>
    <t>1,454,419.78</t>
  </si>
  <si>
    <t>2,498,494.69</t>
  </si>
  <si>
    <t>1,364,624.00</t>
  </si>
  <si>
    <t>499,307.81</t>
  </si>
  <si>
    <t>499,240.88</t>
  </si>
  <si>
    <t>828,600.94</t>
  </si>
  <si>
    <t>998,668.13</t>
  </si>
  <si>
    <t>4,814,806.50</t>
  </si>
  <si>
    <t>4,154,000.00</t>
  </si>
  <si>
    <t>24,418,328.31</t>
  </si>
  <si>
    <t>103,200.00</t>
  </si>
  <si>
    <t>299,200.00</t>
  </si>
  <si>
    <t>707,629.40</t>
  </si>
  <si>
    <t>678,690.42</t>
  </si>
  <si>
    <t>838,845.00</t>
  </si>
  <si>
    <t>977,707.50</t>
  </si>
  <si>
    <t>5,697,879.03</t>
  </si>
  <si>
    <t>709,495.00</t>
  </si>
  <si>
    <t>625,253.96</t>
  </si>
  <si>
    <t>438,500.00</t>
  </si>
  <si>
    <t>691,500.00</t>
  </si>
  <si>
    <t>351,888.50</t>
  </si>
  <si>
    <t>128,116.00</t>
  </si>
  <si>
    <t>699,109.69</t>
  </si>
  <si>
    <t>499,865.63</t>
  </si>
  <si>
    <t>338,196.00</t>
  </si>
  <si>
    <t>1,087,541.25</t>
  </si>
  <si>
    <t>10,840,000.00</t>
  </si>
  <si>
    <t>3,660,000.00</t>
  </si>
  <si>
    <t>973,350.00</t>
  </si>
  <si>
    <t>1,954,233.75</t>
  </si>
  <si>
    <t>489,978.56</t>
  </si>
  <si>
    <t>1,956,412.50</t>
  </si>
  <si>
    <t>393,000.00</t>
  </si>
  <si>
    <t>608,239.64</t>
  </si>
  <si>
    <t>1,138,541.40</t>
  </si>
  <si>
    <t>976,893.75</t>
  </si>
  <si>
    <t>499,999.92</t>
  </si>
  <si>
    <t>599,997.30</t>
  </si>
  <si>
    <t>3,069,934.00</t>
  </si>
  <si>
    <t>1,380,006.79</t>
  </si>
  <si>
    <t>499,997.90</t>
  </si>
  <si>
    <t>699,995.33</t>
  </si>
  <si>
    <t>1,959,046.69</t>
  </si>
  <si>
    <t>499,999.19</t>
  </si>
  <si>
    <t>1,581,917.69</t>
  </si>
  <si>
    <t>899,996.75</t>
  </si>
  <si>
    <t>4,345,048.00</t>
  </si>
  <si>
    <t>1,401,900.00</t>
  </si>
  <si>
    <t>730,123.80</t>
  </si>
  <si>
    <t>1,379,569.90</t>
  </si>
  <si>
    <t>1,674,792.00</t>
  </si>
  <si>
    <t>762,413.38</t>
  </si>
  <si>
    <t>122,205.00</t>
  </si>
  <si>
    <t>1,183,800.00</t>
  </si>
  <si>
    <t>414,645.00</t>
  </si>
  <si>
    <t>2,975,990.46</t>
  </si>
  <si>
    <t>888,479.17</t>
  </si>
  <si>
    <t>989,393.60</t>
  </si>
  <si>
    <t>15,436,782.46</t>
  </si>
  <si>
    <t>3,324,920.00</t>
  </si>
  <si>
    <t>123,800.00</t>
  </si>
  <si>
    <t>1,971,726.15</t>
  </si>
  <si>
    <t>1,245,750.00</t>
  </si>
  <si>
    <t>1,460,500.00</t>
  </si>
  <si>
    <t>371,000.00</t>
  </si>
  <si>
    <t>2,280,000.00</t>
  </si>
  <si>
    <t>337,600.00</t>
  </si>
  <si>
    <t>11,007,938.81</t>
  </si>
  <si>
    <t>13,791,916.69</t>
  </si>
  <si>
    <t>5,777,429.00</t>
  </si>
  <si>
    <t>2,070,153.12</t>
  </si>
  <si>
    <t>4,300,000.00</t>
  </si>
  <si>
    <t>1,719,620.00</t>
  </si>
  <si>
    <t>5,850,000.00</t>
  </si>
  <si>
    <t>699,995.31</t>
  </si>
  <si>
    <t>1,300,337.50</t>
  </si>
  <si>
    <t>928,812.50</t>
  </si>
  <si>
    <t>1,114,575.00</t>
  </si>
  <si>
    <t>2,050,040.00</t>
  </si>
  <si>
    <t>2,268,753.50</t>
  </si>
  <si>
    <t>957,700.00</t>
  </si>
  <si>
    <t>1,378,623.40</t>
  </si>
  <si>
    <t>407,232.00</t>
  </si>
  <si>
    <t>6,662,688.93</t>
  </si>
  <si>
    <t>2,970,291.02</t>
  </si>
  <si>
    <t>743,050.00</t>
  </si>
  <si>
    <t>1,838,514.60</t>
  </si>
  <si>
    <t>755,250.00</t>
  </si>
  <si>
    <t>34,860,000.00</t>
  </si>
  <si>
    <t>1,116,090.00</t>
  </si>
  <si>
    <t>4,389,877.80</t>
  </si>
  <si>
    <t>2,260,000.00</t>
  </si>
  <si>
    <t>19,512,168.46</t>
  </si>
  <si>
    <t>2,133,619.39</t>
  </si>
  <si>
    <t>1,066,404.50</t>
  </si>
  <si>
    <t>27,300,000.00</t>
  </si>
  <si>
    <t>4,653,000.00</t>
  </si>
  <si>
    <t>7,330,025.68</t>
  </si>
  <si>
    <t>19,512,082.18</t>
  </si>
  <si>
    <t>6,756,557.00</t>
  </si>
  <si>
    <t>28,340,000.00</t>
  </si>
  <si>
    <t>19,027,800.00</t>
  </si>
  <si>
    <t>6,161,996.82</t>
  </si>
  <si>
    <t>32,577,872.70</t>
  </si>
  <si>
    <t>2,969,989.51</t>
  </si>
  <si>
    <t>12,571,721.70</t>
  </si>
  <si>
    <t>1,670,936.01</t>
  </si>
  <si>
    <t>785,119.56</t>
  </si>
  <si>
    <t>6,342,600.00</t>
  </si>
  <si>
    <t>4,019,000.00</t>
  </si>
  <si>
    <t>2,740,000.00</t>
  </si>
  <si>
    <t>5,197,000.00</t>
  </si>
  <si>
    <t>1,620,000.00</t>
  </si>
  <si>
    <t>2,839,703.00</t>
  </si>
  <si>
    <t>19,501,888.25</t>
  </si>
  <si>
    <t>4,224,800.00</t>
  </si>
  <si>
    <t>2,375,000.00</t>
  </si>
  <si>
    <t>76,000,000.00</t>
  </si>
  <si>
    <t>18,961,724.09</t>
  </si>
  <si>
    <t>5,122,236.32</t>
  </si>
  <si>
    <t>147,461.40</t>
  </si>
  <si>
    <t>184,000,000.00</t>
  </si>
  <si>
    <t>1,629,206.36</t>
  </si>
  <si>
    <t>82,500,000.00</t>
  </si>
  <si>
    <t>4,240,000.00</t>
  </si>
  <si>
    <t>95,400.00</t>
  </si>
  <si>
    <t>2,248,500.00</t>
  </si>
  <si>
    <t>2,164,000.00</t>
  </si>
  <si>
    <t>848,705.60</t>
  </si>
  <si>
    <t>5,930,560.00</t>
  </si>
  <si>
    <t>776,100.00</t>
  </si>
  <si>
    <t>249,985,261.00</t>
  </si>
  <si>
    <t>14,999,985.16</t>
  </si>
  <si>
    <t>968,400.00</t>
  </si>
  <si>
    <t>6,624,800.00</t>
  </si>
  <si>
    <t>11,437,500.00</t>
  </si>
  <si>
    <t>1,318,234.84</t>
  </si>
  <si>
    <t>14,981,717.00</t>
  </si>
  <si>
    <t>24,875,000.00</t>
  </si>
  <si>
    <t>496,500.00</t>
  </si>
  <si>
    <t>4,321,800.00</t>
  </si>
  <si>
    <t>10,450,000.00</t>
  </si>
  <si>
    <t>20,162,841,907.02</t>
  </si>
  <si>
    <t>27,355,000.00</t>
  </si>
  <si>
    <t>10,159,540,045.42</t>
  </si>
  <si>
    <t>13,887,088.64</t>
  </si>
  <si>
    <t>234,382,490.99</t>
  </si>
  <si>
    <t>11,292,155.18</t>
  </si>
  <si>
    <t>257,398,924.59</t>
  </si>
  <si>
    <t>146,387,950.64</t>
  </si>
  <si>
    <t>197,511,504.19</t>
  </si>
  <si>
    <t>5,938,259.14</t>
  </si>
  <si>
    <t>2,077,000.00</t>
  </si>
  <si>
    <t>16,258,200.00</t>
  </si>
  <si>
    <t>33,733,000.00</t>
  </si>
  <si>
    <t>2,700,000,000.00</t>
  </si>
  <si>
    <t>12,034,400.00</t>
  </si>
  <si>
    <t>14,467,245.77</t>
  </si>
  <si>
    <t>14,467,198.81</t>
  </si>
  <si>
    <t>28,920,364.88</t>
  </si>
  <si>
    <t>14,476,087.07</t>
  </si>
  <si>
    <t>19,299,248.48</t>
  </si>
  <si>
    <t>29,699,993.77</t>
  </si>
  <si>
    <t>29,701,491.04</t>
  </si>
  <si>
    <t>34,649,985.05</t>
  </si>
  <si>
    <t>5,995,000.00</t>
  </si>
  <si>
    <t>69,299,996.96</t>
  </si>
  <si>
    <t>2,787,756.08</t>
  </si>
  <si>
    <t>1,329,428.01</t>
  </si>
  <si>
    <t>3,025,657.63</t>
  </si>
  <si>
    <t>57,899,874.60</t>
  </si>
  <si>
    <t>28,916,667.00</t>
  </si>
  <si>
    <t>2,340,801.68</t>
  </si>
  <si>
    <t>85,125,259.13</t>
  </si>
  <si>
    <t>2,606,951.31</t>
  </si>
  <si>
    <t>88,707,634.87</t>
  </si>
  <si>
    <t>90,523,000.00</t>
  </si>
  <si>
    <t>1,094,201.17</t>
  </si>
  <si>
    <t>111,310,000.00</t>
  </si>
  <si>
    <t>475,860.00</t>
  </si>
  <si>
    <t>1,114,793.99</t>
  </si>
  <si>
    <t>5,372,600.00</t>
  </si>
  <si>
    <t>89,829,019.65</t>
  </si>
  <si>
    <t>14,214,611.43</t>
  </si>
  <si>
    <t>10,622,795.00</t>
  </si>
  <si>
    <t>2,462,800.00</t>
  </si>
  <si>
    <t>76,748.00</t>
  </si>
  <si>
    <t>61,760,000.00</t>
  </si>
  <si>
    <t>2,281,000.00</t>
  </si>
  <si>
    <t>19,578,997.50</t>
  </si>
  <si>
    <t>63,685.64</t>
  </si>
  <si>
    <t>10,050,575.63</t>
  </si>
  <si>
    <t>458,000.00</t>
  </si>
  <si>
    <t>15,911,970.00</t>
  </si>
  <si>
    <t>576,747,648.00</t>
  </si>
  <si>
    <t>451,999.00</t>
  </si>
  <si>
    <t>1,499,791.00</t>
  </si>
  <si>
    <t>362,390.00</t>
  </si>
  <si>
    <t>49,499,998.96</t>
  </si>
  <si>
    <t>1,291,104.74</t>
  </si>
  <si>
    <t>2,969,300.00</t>
  </si>
  <si>
    <t>759,080,367.13</t>
  </si>
  <si>
    <t>67,534,000.00</t>
  </si>
  <si>
    <t>2,199,680.00</t>
  </si>
  <si>
    <t>7,895,469.87</t>
  </si>
  <si>
    <t>106,149,995.59</t>
  </si>
  <si>
    <t>48,999,866.87</t>
  </si>
  <si>
    <t>91,351.00</t>
  </si>
  <si>
    <t>1,499,286.02</t>
  </si>
  <si>
    <t>2,257,068.21</t>
  </si>
  <si>
    <t>4,993,172.71</t>
  </si>
  <si>
    <t>1,498,727.95</t>
  </si>
  <si>
    <t>256,000.00</t>
  </si>
  <si>
    <t>2,969,951.91</t>
  </si>
  <si>
    <t>2,491,213.78</t>
  </si>
  <si>
    <t>1,190,768.00</t>
  </si>
  <si>
    <t>21,372,000.00</t>
  </si>
  <si>
    <t>4,495,500.56</t>
  </si>
  <si>
    <t>806,199.00</t>
  </si>
  <si>
    <t>3,958,007.75</t>
  </si>
  <si>
    <t>1,987,370.24</t>
  </si>
  <si>
    <t>2,929,996.38</t>
  </si>
  <si>
    <t>19,636,391.87</t>
  </si>
  <si>
    <t>9,616,586.80</t>
  </si>
  <si>
    <t>1,947,062,163.77</t>
  </si>
  <si>
    <t>22,991,000.00</t>
  </si>
  <si>
    <t>72,252,000.00</t>
  </si>
  <si>
    <t>120,625,000.00</t>
  </si>
  <si>
    <t>47,300,000.00</t>
  </si>
  <si>
    <t>8,372,579.52</t>
  </si>
  <si>
    <t>4,998,419.58</t>
  </si>
  <si>
    <t>1,782,000.00</t>
  </si>
  <si>
    <t>29,699,982.26</t>
  </si>
  <si>
    <t>15,344,856.27</t>
  </si>
  <si>
    <t>3,992,977.00</t>
  </si>
  <si>
    <t>2,307,000.00</t>
  </si>
  <si>
    <t>3,759,553.34</t>
  </si>
  <si>
    <t>53,074,892.40</t>
  </si>
  <si>
    <t>1,749,074.98</t>
  </si>
  <si>
    <t>8,004,050.28</t>
  </si>
  <si>
    <t>8,871,231.98</t>
  </si>
  <si>
    <t>2,521,768.78</t>
  </si>
  <si>
    <t>774,559.72</t>
  </si>
  <si>
    <t>17,296,925.62</t>
  </si>
  <si>
    <t>5,541,613.32</t>
  </si>
  <si>
    <t>7,481,110.96</t>
  </si>
  <si>
    <t>4,547,441.22</t>
  </si>
  <si>
    <t>2,920,000.00</t>
  </si>
  <si>
    <t>3,564,000.00</t>
  </si>
  <si>
    <t>29,699,973.77</t>
  </si>
  <si>
    <t>190,375,000.00</t>
  </si>
  <si>
    <t>2,007,000.00</t>
  </si>
  <si>
    <t>12,999,204.36</t>
  </si>
  <si>
    <t>2,335,144.00</t>
  </si>
  <si>
    <t>4,228,780.75</t>
  </si>
  <si>
    <t>8,837,317.56</t>
  </si>
  <si>
    <t>34,722,380.00</t>
  </si>
  <si>
    <t>921,672,000.00</t>
  </si>
  <si>
    <t>52,110,000.00</t>
  </si>
  <si>
    <t>17,400,000.00</t>
  </si>
  <si>
    <t>9,899,916.97</t>
  </si>
  <si>
    <t>1,979,956.11</t>
  </si>
  <si>
    <t>797,540.00</t>
  </si>
  <si>
    <t>6,428,117.94</t>
  </si>
  <si>
    <t>3,238,197.14</t>
  </si>
  <si>
    <t>1,472,984.71</t>
  </si>
  <si>
    <t>1,999,972.79</t>
  </si>
  <si>
    <t>2,457,837.87</t>
  </si>
  <si>
    <t>4,949,722.40</t>
  </si>
  <si>
    <t>1,979,474.56</t>
  </si>
  <si>
    <t>35,596,000.00</t>
  </si>
  <si>
    <t>98,999,642.57</t>
  </si>
  <si>
    <t>2,030,000.00</t>
  </si>
  <si>
    <t>97,998,833.48</t>
  </si>
  <si>
    <t>48,999,996.39</t>
  </si>
  <si>
    <t>2,999,966.18</t>
  </si>
  <si>
    <t>9,899,596.36</t>
  </si>
  <si>
    <t>9,799,932.60</t>
  </si>
  <si>
    <t>34,299,989.07</t>
  </si>
  <si>
    <t>29,099,767.49</t>
  </si>
  <si>
    <t>19,819,520.00</t>
  </si>
  <si>
    <t>14,849,659.73</t>
  </si>
  <si>
    <t>1,083,290.12</t>
  </si>
  <si>
    <t>79,996,788.53</t>
  </si>
  <si>
    <t>3,919,609.45</t>
  </si>
  <si>
    <t>16,250,000.00</t>
  </si>
  <si>
    <t>19,799,702.03</t>
  </si>
  <si>
    <t>3,745,317.40</t>
  </si>
  <si>
    <t>500,000,000.00</t>
  </si>
  <si>
    <t>651,700.00</t>
  </si>
  <si>
    <t>84,416.00</t>
  </si>
  <si>
    <t>6,048,000.00</t>
  </si>
  <si>
    <t>7,511,740.64</t>
  </si>
  <si>
    <t>190,697.00</t>
  </si>
  <si>
    <t>815,000.00</t>
  </si>
  <si>
    <t>8,262,312.00</t>
  </si>
  <si>
    <t>3,567,000.00</t>
  </si>
  <si>
    <t>133,650,000.00</t>
  </si>
  <si>
    <t>39,197,756.65</t>
  </si>
  <si>
    <t>57,882,935.46</t>
  </si>
  <si>
    <t>14,849,946.31</t>
  </si>
  <si>
    <t>98,998,843.79</t>
  </si>
  <si>
    <t>9,899,900.44</t>
  </si>
  <si>
    <t>59,399,994.70</t>
  </si>
  <si>
    <t>7,441,250.00</t>
  </si>
  <si>
    <t>147,906,854.18</t>
  </si>
  <si>
    <t>10,036,581.00</t>
  </si>
  <si>
    <t>19,800.00</t>
  </si>
  <si>
    <t>10,284,294.75</t>
  </si>
  <si>
    <t>1,187,849.29</t>
  </si>
  <si>
    <t>91,309,000.00</t>
  </si>
  <si>
    <t>16,663,366.34</t>
  </si>
  <si>
    <t>144,747,335.55</t>
  </si>
  <si>
    <t>371,700.00</t>
  </si>
  <si>
    <t>193,305.00</t>
  </si>
  <si>
    <t>4,547,000.00</t>
  </si>
  <si>
    <t>164,988,000.00</t>
  </si>
  <si>
    <t>10,413,319.00</t>
  </si>
  <si>
    <t>45,361,366,040.29</t>
  </si>
  <si>
    <t>19,010,810.00</t>
  </si>
  <si>
    <t>13,510,000.00</t>
  </si>
  <si>
    <t>12,545,000.00</t>
  </si>
  <si>
    <t>67,513,749.57</t>
  </si>
  <si>
    <t>978,000.00</t>
  </si>
  <si>
    <t>99,345.00</t>
  </si>
  <si>
    <t>24,114.00</t>
  </si>
  <si>
    <t>27,165,600.00</t>
  </si>
  <si>
    <t>12,870,000.00</t>
  </si>
  <si>
    <t>19,801,477.33</t>
  </si>
  <si>
    <t>16,723,101.12</t>
  </si>
  <si>
    <t>636,233.54</t>
  </si>
  <si>
    <t>39,725.00</t>
  </si>
  <si>
    <t>724,000.00</t>
  </si>
  <si>
    <t>4,026,565.53</t>
  </si>
  <si>
    <t>468,220.00</t>
  </si>
  <si>
    <t>122,085.00</t>
  </si>
  <si>
    <t>1,836,196.10</t>
  </si>
  <si>
    <t>1,834,570.00</t>
  </si>
  <si>
    <t>5,317,000.00</t>
  </si>
  <si>
    <t>9,899,999.86</t>
  </si>
  <si>
    <t>85,440.00</t>
  </si>
  <si>
    <t>4,086,774.99</t>
  </si>
  <si>
    <t>8,570,736.00</t>
  </si>
  <si>
    <t>3,482,440.00</t>
  </si>
  <si>
    <t>10,349,412.00</t>
  </si>
  <si>
    <t>8,790,658.00</t>
  </si>
  <si>
    <t>647,237.00</t>
  </si>
  <si>
    <t>7,618,750.00</t>
  </si>
  <si>
    <t>10,711,407.00</t>
  </si>
  <si>
    <t>611,064.00</t>
  </si>
  <si>
    <t>19,502,380.97</t>
  </si>
  <si>
    <t>2,105,000.00</t>
  </si>
  <si>
    <t>997,970.00</t>
  </si>
  <si>
    <t>122,996.00</t>
  </si>
  <si>
    <t>17,100,000.00</t>
  </si>
  <si>
    <t>13,300,000.00</t>
  </si>
  <si>
    <t>3,367,659.00</t>
  </si>
  <si>
    <t>3,074,000.00</t>
  </si>
  <si>
    <t>1,095,476.00</t>
  </si>
  <si>
    <t>499,996.62</t>
  </si>
  <si>
    <t>62,000,000.00</t>
  </si>
  <si>
    <t>3,095,000.00</t>
  </si>
  <si>
    <t>255,780.07</t>
  </si>
  <si>
    <t>1,473,076.24</t>
  </si>
  <si>
    <t>262,615.00</t>
  </si>
  <si>
    <t>34,750,000.00</t>
  </si>
  <si>
    <t>799,996.60</t>
  </si>
  <si>
    <t>34,986,399.36</t>
  </si>
  <si>
    <t>649,900.00</t>
  </si>
  <si>
    <t>400,040.00</t>
  </si>
  <si>
    <t>2,225,000.00</t>
  </si>
  <si>
    <t>3,261,000.00</t>
  </si>
  <si>
    <t>2,139,445.67</t>
  </si>
  <si>
    <t>6,402,200.00</t>
  </si>
  <si>
    <t>128,235.00</t>
  </si>
  <si>
    <t>193,960,000.00</t>
  </si>
  <si>
    <t>157,963.00</t>
  </si>
  <si>
    <t>692,746.69</t>
  </si>
  <si>
    <t>2,959,157.13</t>
  </si>
  <si>
    <t>430,250.00</t>
  </si>
  <si>
    <t>183,263.00</t>
  </si>
  <si>
    <t>80,800.00</t>
  </si>
  <si>
    <t>14,475.00</t>
  </si>
  <si>
    <t>548,993.00</t>
  </si>
  <si>
    <t>21,520.00</t>
  </si>
  <si>
    <t>43,720.00</t>
  </si>
  <si>
    <t>37,008,000.00</t>
  </si>
  <si>
    <t>196,740.00</t>
  </si>
  <si>
    <t>76,360.00</t>
  </si>
  <si>
    <t>702,438.23</t>
  </si>
  <si>
    <t>1,486,362.56</t>
  </si>
  <si>
    <t>3,049,157.56</t>
  </si>
  <si>
    <t>316,812.93</t>
  </si>
  <si>
    <t>670,199.83</t>
  </si>
  <si>
    <t>1,783,109.00</t>
  </si>
  <si>
    <t>874,583.00</t>
  </si>
  <si>
    <t>1,429,790.00</t>
  </si>
  <si>
    <t>1,499,700.00</t>
  </si>
  <si>
    <t>14,891,463.28</t>
  </si>
  <si>
    <t>2,653,585.00</t>
  </si>
  <si>
    <t>166,475.00</t>
  </si>
  <si>
    <t>149,929.69</t>
  </si>
  <si>
    <t>1,743,227.50</t>
  </si>
  <si>
    <t>368,360.88</t>
  </si>
  <si>
    <t>2,263,024.89</t>
  </si>
  <si>
    <t>50,875,000.00</t>
  </si>
  <si>
    <t>3,499,038.65</t>
  </si>
  <si>
    <t>781,311.00</t>
  </si>
  <si>
    <t>1,385,697.71</t>
  </si>
  <si>
    <t>1,499,897.29</t>
  </si>
  <si>
    <t>508,914.00</t>
  </si>
  <si>
    <t>29,944,565.00</t>
  </si>
  <si>
    <t>34,739,646.63</t>
  </si>
  <si>
    <t>2,423,998.55</t>
  </si>
  <si>
    <t>1,074,000.00</t>
  </si>
  <si>
    <t>500,503.50</t>
  </si>
  <si>
    <t>2,299,216.61</t>
  </si>
  <si>
    <t>2,296,822.44</t>
  </si>
  <si>
    <t>3,947,822.99</t>
  </si>
  <si>
    <t>6,120,000.00</t>
  </si>
  <si>
    <t>445,855.00</t>
  </si>
  <si>
    <t>97,286.00</t>
  </si>
  <si>
    <t>9,293,709.93</t>
  </si>
  <si>
    <t>1,824,829.00</t>
  </si>
  <si>
    <t>9,147,000.00</t>
  </si>
  <si>
    <t>1,228,970.00</t>
  </si>
  <si>
    <t>997,550.00</t>
  </si>
  <si>
    <t>3,830,641.00</t>
  </si>
  <si>
    <t>9,163,980.00</t>
  </si>
  <si>
    <t>142,150.00</t>
  </si>
  <si>
    <t>667,200.00</t>
  </si>
  <si>
    <t>298,682.50</t>
  </si>
  <si>
    <t>210 Day/s</t>
  </si>
  <si>
    <t>7 Day/s</t>
  </si>
  <si>
    <t>3 Day/s</t>
  </si>
  <si>
    <t>15 Day/s</t>
  </si>
  <si>
    <t>100 Day/s</t>
  </si>
  <si>
    <t>54 Month/s</t>
  </si>
  <si>
    <t>150 Day/s</t>
  </si>
  <si>
    <t>60 Day/s</t>
  </si>
  <si>
    <t>200 Day/s</t>
  </si>
  <si>
    <t>0 Day/s</t>
  </si>
  <si>
    <t>120 Day/s</t>
  </si>
  <si>
    <t>67 Day/s</t>
  </si>
  <si>
    <t>13 Day/s</t>
  </si>
  <si>
    <t>30 Day/s</t>
  </si>
  <si>
    <t>57 Day/s</t>
  </si>
  <si>
    <t>90 Day/s</t>
  </si>
  <si>
    <t>25 Day/s</t>
  </si>
  <si>
    <t>240 Day/s</t>
  </si>
  <si>
    <t>10 Day/s</t>
  </si>
  <si>
    <t>6 Day/s</t>
  </si>
  <si>
    <t>5 Day/s</t>
  </si>
  <si>
    <t>20 Day/s</t>
  </si>
  <si>
    <t>40 Day/s</t>
  </si>
  <si>
    <t>1 Day/s</t>
  </si>
  <si>
    <t>2 Day/s</t>
  </si>
  <si>
    <t>9 Day/s</t>
  </si>
  <si>
    <t>19 Day/s</t>
  </si>
  <si>
    <t>44 Day/s</t>
  </si>
  <si>
    <t>36 Day/s</t>
  </si>
  <si>
    <t>17 Day/s</t>
  </si>
  <si>
    <t>45 Day/s</t>
  </si>
  <si>
    <t>27 Day/s</t>
  </si>
  <si>
    <t>6 Month/s</t>
  </si>
  <si>
    <t>18 Day/s</t>
  </si>
  <si>
    <t>126 Day/s</t>
  </si>
  <si>
    <t>108 Day/s</t>
  </si>
  <si>
    <t>21 Day/s</t>
  </si>
  <si>
    <t>8 Day/s</t>
  </si>
  <si>
    <t>70 Day/s</t>
  </si>
  <si>
    <t>174 Day/s</t>
  </si>
  <si>
    <t>16 Day/s</t>
  </si>
  <si>
    <t>180 Day/s</t>
  </si>
  <si>
    <t>55 Day/s</t>
  </si>
  <si>
    <t>5 Month/s</t>
  </si>
  <si>
    <t>4 Day/s</t>
  </si>
  <si>
    <t>80 Day/s</t>
  </si>
  <si>
    <t>65 Day/s</t>
  </si>
  <si>
    <t>1 Month/s</t>
  </si>
  <si>
    <t>14 Day/s</t>
  </si>
  <si>
    <t>75 Day/s</t>
  </si>
  <si>
    <t>41 Month/s</t>
  </si>
  <si>
    <t>1 Year/s</t>
  </si>
  <si>
    <t>2 Year/s</t>
  </si>
  <si>
    <t>140 Day/s</t>
  </si>
  <si>
    <t>214 Day/s</t>
  </si>
  <si>
    <t>28 Day/s</t>
  </si>
  <si>
    <t>46 Day/s</t>
  </si>
  <si>
    <t>35 Day/s</t>
  </si>
  <si>
    <t>52 Day/s</t>
  </si>
  <si>
    <t>84 Day/s</t>
  </si>
  <si>
    <t>42 Day/s</t>
  </si>
  <si>
    <t>66 Day/s</t>
  </si>
  <si>
    <t>95 Day/s</t>
  </si>
  <si>
    <t>98 Day/s</t>
  </si>
  <si>
    <t>105 Day/s</t>
  </si>
  <si>
    <t>121 Day/s</t>
  </si>
  <si>
    <t>72 Day/s</t>
  </si>
  <si>
    <t>145 Day/s</t>
  </si>
  <si>
    <t>37 Day/s</t>
  </si>
  <si>
    <t>130 Day/s</t>
  </si>
  <si>
    <t>50 Day/s</t>
  </si>
  <si>
    <t>115 Day/s</t>
  </si>
  <si>
    <t>104 Day/s</t>
  </si>
  <si>
    <t>93 Day/s</t>
  </si>
  <si>
    <t>49 Day/s</t>
  </si>
  <si>
    <t>153 Day/s</t>
  </si>
  <si>
    <t>300 Day/s</t>
  </si>
  <si>
    <t>48 Day/s</t>
  </si>
  <si>
    <t>185 Day/s</t>
  </si>
  <si>
    <t>4 Month/s</t>
  </si>
  <si>
    <t>88 Day/s</t>
  </si>
  <si>
    <t>102 Day/s</t>
  </si>
  <si>
    <t>2 Month/s</t>
  </si>
  <si>
    <t>3 Month/s</t>
  </si>
  <si>
    <t>260 Day/s</t>
  </si>
  <si>
    <t>301 Day/s</t>
  </si>
  <si>
    <t>328 Day/s</t>
  </si>
  <si>
    <t>82 Day/s</t>
  </si>
  <si>
    <t>85 Day/s</t>
  </si>
  <si>
    <t>11 Day/s</t>
  </si>
  <si>
    <t>41 Day/s</t>
  </si>
  <si>
    <t>54 Day/s</t>
  </si>
  <si>
    <t>350 Day/s</t>
  </si>
  <si>
    <t>101 Day/s</t>
  </si>
  <si>
    <t>83 Day/s</t>
  </si>
  <si>
    <t>12 Day/s</t>
  </si>
  <si>
    <t>195 Day/s</t>
  </si>
  <si>
    <t>250 Day/s</t>
  </si>
  <si>
    <t>265 Day/s</t>
  </si>
  <si>
    <t>720 Day/s</t>
  </si>
  <si>
    <t>76 Day/s</t>
  </si>
  <si>
    <t>225 Day/s</t>
  </si>
  <si>
    <t>135 Day/s</t>
  </si>
  <si>
    <t>270 Day/s</t>
  </si>
  <si>
    <t>34 Day/s</t>
  </si>
  <si>
    <t>161 Day/s</t>
  </si>
  <si>
    <t>175 Day/s</t>
  </si>
  <si>
    <t>163 Day/s</t>
  </si>
  <si>
    <t>262 Day/s</t>
  </si>
  <si>
    <t>365 Day/s</t>
  </si>
  <si>
    <t>290 Day/s</t>
  </si>
  <si>
    <t>63 Day/s</t>
  </si>
  <si>
    <t>97 Day/s</t>
  </si>
  <si>
    <t>24 Day/s</t>
  </si>
  <si>
    <t>155 Day/s</t>
  </si>
  <si>
    <t>29 Day/s</t>
  </si>
  <si>
    <t>94 Day/s</t>
  </si>
  <si>
    <t>177 Day/s</t>
  </si>
  <si>
    <t>22 Day/s</t>
  </si>
  <si>
    <t>33 Day/s</t>
  </si>
  <si>
    <t>280 Day/s</t>
  </si>
  <si>
    <t>164 Day/s</t>
  </si>
  <si>
    <t>361 Day/s</t>
  </si>
  <si>
    <t>111 Day/s</t>
  </si>
  <si>
    <t>360 Day/s</t>
  </si>
  <si>
    <t>193 Day/s</t>
  </si>
  <si>
    <t>172 Day/s</t>
  </si>
  <si>
    <t>38 Day/s</t>
  </si>
  <si>
    <t>125 Day/s</t>
  </si>
  <si>
    <t>10 Month/s</t>
  </si>
  <si>
    <t>3 Year/s</t>
  </si>
  <si>
    <t>74 Day/s</t>
  </si>
  <si>
    <t>64 Day/s</t>
  </si>
  <si>
    <t>396 Day/s</t>
  </si>
  <si>
    <t>7 Month/s</t>
  </si>
  <si>
    <t>281 Day/s</t>
  </si>
  <si>
    <t>168 Day/s</t>
  </si>
  <si>
    <t>68 Day/s</t>
  </si>
  <si>
    <t>132 Day/s</t>
  </si>
  <si>
    <t>23 Day/s</t>
  </si>
  <si>
    <t>31 Day/s</t>
  </si>
  <si>
    <t>110 Day/s</t>
  </si>
  <si>
    <t>141 Day/s</t>
  </si>
  <si>
    <t>215 Day/s</t>
  </si>
  <si>
    <t>99 Day/s</t>
  </si>
  <si>
    <t>119 Day/s</t>
  </si>
  <si>
    <t>26 Day/s</t>
  </si>
  <si>
    <t>123 Day/s</t>
  </si>
  <si>
    <t>12 Month/s</t>
  </si>
  <si>
    <t>157 Day/s</t>
  </si>
  <si>
    <t>165 Day/s</t>
  </si>
  <si>
    <t>53 Day/s</t>
  </si>
  <si>
    <t>129 Day/s</t>
  </si>
  <si>
    <t>400 Day/s</t>
  </si>
  <si>
    <t>183 Day/s</t>
  </si>
  <si>
    <t>147 Day/s</t>
  </si>
  <si>
    <t>86 Day/s</t>
  </si>
  <si>
    <t>43 Day/s</t>
  </si>
  <si>
    <t>189 Day/s</t>
  </si>
  <si>
    <t>420 Day/s</t>
  </si>
  <si>
    <t>24 Month/s</t>
  </si>
  <si>
    <t>160 Day/s</t>
  </si>
  <si>
    <t>32 Day/s</t>
  </si>
  <si>
    <t>47 Day/s</t>
  </si>
  <si>
    <t>118 Day/s</t>
  </si>
  <si>
    <t>188 Day/s</t>
  </si>
  <si>
    <t>39 Day/s</t>
  </si>
  <si>
    <t>144 Day/s</t>
  </si>
  <si>
    <t>148 Day/s</t>
  </si>
  <si>
    <t>305 Day/s</t>
  </si>
  <si>
    <t>77 Day/s</t>
  </si>
  <si>
    <t>89 Day/s</t>
  </si>
  <si>
    <t>252 Day/s</t>
  </si>
  <si>
    <t>114 Day/s</t>
  </si>
  <si>
    <t>330 Day/s</t>
  </si>
  <si>
    <t>61 Day/s</t>
  </si>
  <si>
    <t>92 Day/s</t>
  </si>
  <si>
    <t>131 Day/s</t>
  </si>
  <si>
    <t>310 Day/s</t>
  </si>
  <si>
    <t>8 Month/s</t>
  </si>
  <si>
    <t>184 Day/s</t>
  </si>
  <si>
    <t>116 Day/s</t>
  </si>
  <si>
    <t>56 Day/s</t>
  </si>
  <si>
    <t>146 Day/s</t>
  </si>
  <si>
    <t>258 Day/s</t>
  </si>
  <si>
    <t>73 Day/s</t>
  </si>
  <si>
    <t>149 Day/s</t>
  </si>
  <si>
    <t>128 Day/s</t>
  </si>
  <si>
    <t>203 Day/s</t>
  </si>
  <si>
    <t>79 Day/s</t>
  </si>
  <si>
    <t>39 Month/s</t>
  </si>
  <si>
    <t>293 Day/s</t>
  </si>
  <si>
    <t>170 Day/s</t>
  </si>
  <si>
    <t>112 Day/s</t>
  </si>
  <si>
    <t>96 Day/s</t>
  </si>
  <si>
    <t>202 Day/s</t>
  </si>
  <si>
    <t>264 Day/s</t>
  </si>
  <si>
    <t>336 Day/s</t>
  </si>
  <si>
    <t>71 Day/s</t>
  </si>
  <si>
    <t>186 Day/s</t>
  </si>
  <si>
    <t>320 Day/s</t>
  </si>
  <si>
    <t>136 Day/s</t>
  </si>
  <si>
    <t>117 Day/s</t>
  </si>
  <si>
    <t>113 Day/s</t>
  </si>
  <si>
    <t>103 Day/s</t>
  </si>
  <si>
    <t>249 Day/s</t>
  </si>
  <si>
    <t>223 Day/s</t>
  </si>
  <si>
    <t>201 Day/s</t>
  </si>
  <si>
    <t>380 Day/s</t>
  </si>
  <si>
    <t>224 Day/s</t>
  </si>
  <si>
    <t>0 Month/s</t>
  </si>
  <si>
    <t>190 Day/s</t>
  </si>
  <si>
    <t>158 Day/s</t>
  </si>
  <si>
    <t>553 Day/s</t>
  </si>
  <si>
    <t>500 Day/s</t>
  </si>
  <si>
    <t>358 Day/s</t>
  </si>
  <si>
    <t>173 Day/s</t>
  </si>
  <si>
    <t>127 Day/s</t>
  </si>
  <si>
    <t>206 Day/s</t>
  </si>
  <si>
    <t>182 Day/s</t>
  </si>
  <si>
    <t>213 Day/s</t>
  </si>
  <si>
    <t>162 Day/s</t>
  </si>
  <si>
    <t>299 Day/s</t>
  </si>
  <si>
    <t>152 Day/s</t>
  </si>
  <si>
    <t>196 Day/s</t>
  </si>
  <si>
    <t>109 Day/s</t>
  </si>
  <si>
    <t>124 Day/s</t>
  </si>
  <si>
    <t>169 Day/s</t>
  </si>
  <si>
    <t>143 Day/s</t>
  </si>
  <si>
    <t>220 Day/s</t>
  </si>
  <si>
    <t>192 Day/s</t>
  </si>
  <si>
    <t>194 Day/s</t>
  </si>
  <si>
    <t>78 Day/s</t>
  </si>
  <si>
    <t>205 Day/s</t>
  </si>
  <si>
    <t>187 Day/s</t>
  </si>
  <si>
    <t>159 Day/s</t>
  </si>
  <si>
    <t>212 Day/s</t>
  </si>
  <si>
    <t>51 Day/s</t>
  </si>
  <si>
    <t>91 Day/s</t>
  </si>
  <si>
    <t>151 Day/s</t>
  </si>
  <si>
    <t>62 Day/s</t>
  </si>
  <si>
    <t>247 Day/s</t>
  </si>
  <si>
    <t>267 Day/s</t>
  </si>
  <si>
    <t>58 Day/s</t>
  </si>
  <si>
    <t>69 Day/s</t>
  </si>
  <si>
    <t>230 Day/s</t>
  </si>
  <si>
    <t>268 Day/s</t>
  </si>
  <si>
    <t>246 Day/s</t>
  </si>
  <si>
    <t>243 Day/s</t>
  </si>
  <si>
    <t>207 Day/s</t>
  </si>
  <si>
    <t>137 Day/s</t>
  </si>
  <si>
    <t>343 Day/s</t>
  </si>
  <si>
    <t>645 Day/s</t>
  </si>
  <si>
    <t>166 Day/s</t>
  </si>
  <si>
    <t>395 Day/s</t>
  </si>
  <si>
    <t>286 Day/s</t>
  </si>
  <si>
    <t>122 Day/s</t>
  </si>
  <si>
    <t>9 Month/s</t>
  </si>
  <si>
    <t>480 Day/s</t>
  </si>
  <si>
    <t>352 Day/s</t>
  </si>
  <si>
    <t>338 Day/s</t>
  </si>
  <si>
    <t>285 Day/s</t>
  </si>
  <si>
    <t>167 Day/s</t>
  </si>
  <si>
    <t>107 Day/s</t>
  </si>
  <si>
    <t>1060 Day/s</t>
  </si>
  <si>
    <t>191 Day/s</t>
  </si>
  <si>
    <t>106 Day/s</t>
  </si>
  <si>
    <t>11 Month/s</t>
  </si>
  <si>
    <t>235 Day/s</t>
  </si>
  <si>
    <t>134 Day/s</t>
  </si>
  <si>
    <t>219 Day/s</t>
  </si>
  <si>
    <t>402 Day/s</t>
  </si>
  <si>
    <t>49 Month/s</t>
  </si>
  <si>
    <t>700 Day/s</t>
  </si>
  <si>
    <t>238 Day/s</t>
  </si>
  <si>
    <t>245 Day/s</t>
  </si>
  <si>
    <t>139 Day/s</t>
  </si>
  <si>
    <t>450 Day/s</t>
  </si>
  <si>
    <t>59 Day/s</t>
  </si>
  <si>
    <t>232 Day/s</t>
  </si>
  <si>
    <t>87 Day/s</t>
  </si>
  <si>
    <t>520 Day/s</t>
  </si>
  <si>
    <t>171 Day/s</t>
  </si>
  <si>
    <t>60 Month/s</t>
  </si>
  <si>
    <t>50 Month/s</t>
  </si>
  <si>
    <t>81 Day/s</t>
  </si>
  <si>
    <t>840 Day/s</t>
  </si>
  <si>
    <t>204 Day/s</t>
  </si>
  <si>
    <t>255 Day/s</t>
  </si>
  <si>
    <t>156 Day/s</t>
  </si>
  <si>
    <t>540 Day/s</t>
  </si>
  <si>
    <t>197 Day/s</t>
  </si>
  <si>
    <t>900 Day/s</t>
  </si>
  <si>
    <t>57 Month/s</t>
  </si>
  <si>
    <t>30 Month/s</t>
  </si>
  <si>
    <t>288 Day/s</t>
  </si>
  <si>
    <t>340 Day/s</t>
  </si>
  <si>
    <t>DEPARTMENT OF PUBLIC WORKS AND HIGHWAYS - COTABATO</t>
  </si>
  <si>
    <t>ZOSIMO AQUINO LIBERATO</t>
  </si>
  <si>
    <t>Duaymelin Marin Bardago</t>
  </si>
  <si>
    <t>MARLENE PAGSISIHAN ERNAS</t>
  </si>
  <si>
    <t>Brenda Guntan  Africa</t>
  </si>
  <si>
    <t>Oscar M. Maribojoc Sr.</t>
  </si>
  <si>
    <t>Expedito Magluyan Villaruz</t>
  </si>
  <si>
    <t>Arlene Seno Padilla</t>
  </si>
  <si>
    <t>RAMIL E MONTEMAR</t>
  </si>
  <si>
    <t>Janet Tagpis Santos</t>
  </si>
  <si>
    <t>CHAVELLE FERRAREN ALONSO</t>
  </si>
  <si>
    <t>RUBY JANE C. CRUZ</t>
  </si>
  <si>
    <t>Gerardo L. Dacles</t>
  </si>
  <si>
    <t>Epelita Mumar Andoy</t>
  </si>
  <si>
    <t>JANET ARELLANO MONTEVERDE</t>
  </si>
  <si>
    <t>Eddie Crisologo</t>
  </si>
  <si>
    <t>Ana Suzette Limguis Moreño</t>
  </si>
  <si>
    <t>Margie Moreno</t>
  </si>
  <si>
    <t>Michael Andrew Q Frias</t>
  </si>
  <si>
    <t>Ma. Twinkle G Mercader</t>
  </si>
  <si>
    <t>IMELDA ANANO ALBUTRA</t>
  </si>
  <si>
    <t>Kristoffer Callangan Mangussad</t>
  </si>
  <si>
    <t>Florante Tomas Ruiz</t>
  </si>
  <si>
    <t>Nasirin Malud Napii</t>
  </si>
  <si>
    <t>Franklin Tubiera Toledana</t>
  </si>
  <si>
    <t>Rosalie Casinillo Etcobanez</t>
  </si>
  <si>
    <t>Christelyn A. Aguro</t>
  </si>
  <si>
    <t>KAREN SOSMEÑA TENEBRO</t>
  </si>
  <si>
    <t>JANE MACATANGAY LUCE</t>
  </si>
  <si>
    <t>ARCELI ALLONES TIMOGTIMOG</t>
  </si>
  <si>
    <t>Danilo D. Pazcoguin</t>
  </si>
  <si>
    <t>Christopher Laviña Camata</t>
  </si>
  <si>
    <t>Elnora Toledo Lariza</t>
  </si>
  <si>
    <t>Bernard Sepe Magbanua</t>
  </si>
  <si>
    <t>CLAIRE S. BUENSUCESO</t>
  </si>
  <si>
    <t>Irene  Romero Arevalo</t>
  </si>
  <si>
    <t>Allan O. Cabarriban</t>
  </si>
  <si>
    <t>ANISA  EMAN</t>
  </si>
  <si>
    <t>Mario Jr. Amar Fetalver</t>
  </si>
  <si>
    <t>Giovanni Y. Tianero</t>
  </si>
  <si>
    <t>Mack Angel  Apoya  Figueroa</t>
  </si>
  <si>
    <t>Mary Ann Ballerda Rosauro</t>
  </si>
  <si>
    <t>Welven Berdon Alim</t>
  </si>
  <si>
    <t>Maria Jessica Dulce Gumban</t>
  </si>
  <si>
    <t>Ma. Corazon V. Tadena</t>
  </si>
  <si>
    <t>Paolo Julio Tulop</t>
  </si>
  <si>
    <t>RAFAEL CAÑETE JR</t>
  </si>
  <si>
    <t>Marilyn Lad Togotan</t>
  </si>
  <si>
    <t>Felipe Listones Cabatana</t>
  </si>
  <si>
    <t>Orlando Nator Osorio</t>
  </si>
  <si>
    <t>ERLINDA F. MANIPON</t>
  </si>
  <si>
    <t>Paulo D Barbon</t>
  </si>
  <si>
    <t>Emilyn Galicia Magracia</t>
  </si>
  <si>
    <t>Wilson Merle Lopez</t>
  </si>
  <si>
    <t>Divina Gracia Binuya</t>
  </si>
  <si>
    <t>Arnold Alba Perez</t>
  </si>
  <si>
    <t>RADNEY CARBONEL MIRANDA</t>
  </si>
  <si>
    <t>Baby Rose C. Bellon</t>
  </si>
  <si>
    <t>Crystine S. Puertellano</t>
  </si>
  <si>
    <t>Marilou Meneses Lopez</t>
  </si>
  <si>
    <t>ELENA LOMOLJO BARBON</t>
  </si>
  <si>
    <t>Paulito  Valencia Linis</t>
  </si>
  <si>
    <t>Rogelio Francisco Villaruel</t>
  </si>
  <si>
    <t>JENETTE GERONIMO GADO</t>
  </si>
  <si>
    <t>Ailleen Melody Enguerra Alya-On</t>
  </si>
  <si>
    <t>IRENEA Ortiza DELA TORRE</t>
  </si>
  <si>
    <t>Ma. Teresa  D. Rodriguez</t>
  </si>
  <si>
    <t>Rebecca B. Abdulkadil</t>
  </si>
  <si>
    <t>Camille Alcantara Florendo</t>
  </si>
  <si>
    <t>CALIMAH GANDAMRA DIMATINGCAL</t>
  </si>
  <si>
    <t>Zeus Sumaylo Lumancas</t>
  </si>
  <si>
    <t>Abner Escobar Guilambo</t>
  </si>
  <si>
    <t>RAMIL A. CONDEZ</t>
  </si>
  <si>
    <t>FLORA  A.  JARILLA</t>
  </si>
  <si>
    <t>Gladys Angit Abarabar</t>
  </si>
  <si>
    <t>MARK ANTHONY MANINGAS</t>
  </si>
  <si>
    <t>Anita Inopia Emaas</t>
  </si>
  <si>
    <t>Patrick A. Panaligan</t>
  </si>
  <si>
    <t>Ronville Mejica Muego</t>
  </si>
  <si>
    <t>RHONALIE JADILLO ARIMADO</t>
  </si>
  <si>
    <t>Michelle Escalada Monteclaro</t>
  </si>
  <si>
    <t>Macinole Manalo Domopoy</t>
  </si>
  <si>
    <t>Mr. Clarence Bolante Bunan</t>
  </si>
  <si>
    <t>Cynthia De Chavez Perez</t>
  </si>
  <si>
    <t>Ursicio Mantiza Ungab</t>
  </si>
  <si>
    <t>Domingo  G.  Jabien</t>
  </si>
  <si>
    <t>Danilo Rutaquio Almacen</t>
  </si>
  <si>
    <t>Judea Micah Dialco Carbajosa</t>
  </si>
  <si>
    <t>Magdalena V. Almira</t>
  </si>
  <si>
    <t>Maria Teresa Nuena Labrador</t>
  </si>
  <si>
    <t>JOHN REY JERAO PEREZ</t>
  </si>
  <si>
    <t>XYRCHEZ CASLIB LOMBOY</t>
  </si>
  <si>
    <t>Datumalao Eting Saikol</t>
  </si>
  <si>
    <t>MARIA LUCIA RANIN REQUEJO</t>
  </si>
  <si>
    <t>FELIPE C BETINOL</t>
  </si>
  <si>
    <t>Rowena Agrito Mongoso</t>
  </si>
  <si>
    <t>Reynaldo Collado Floria</t>
  </si>
  <si>
    <t>MARIA LOURDES PEREA TIANGCO</t>
  </si>
  <si>
    <t>Eduard Josef A. Formoso</t>
  </si>
  <si>
    <t>PEPITO DICTAAN AMOYEN</t>
  </si>
  <si>
    <t>DENNIS BAYUWAN BAGYON</t>
  </si>
  <si>
    <t>JULIUS B UNDAR</t>
  </si>
  <si>
    <t>EMMANUEL OBINA</t>
  </si>
  <si>
    <t>RACHELLE ALANO CRON</t>
  </si>
  <si>
    <t>AHMAD USOP SALIPYASIN</t>
  </si>
  <si>
    <t>Arlene Baytos Tiamson</t>
  </si>
  <si>
    <t>Danny Familaran Baladjay</t>
  </si>
  <si>
    <t>Bernadette Llacer Belleza</t>
  </si>
  <si>
    <t>Dingson  A. De Sena</t>
  </si>
  <si>
    <t>Elvie Capuchino Landicho</t>
  </si>
  <si>
    <t>Eduardo A. Sieras</t>
  </si>
  <si>
    <t>Gary S Velayo</t>
  </si>
  <si>
    <t>MARIA LIZA GENADA RULL</t>
  </si>
  <si>
    <t>ALIMINDA ALAO CASTAÑARES</t>
  </si>
  <si>
    <t>Peter  S.  Sobrevega</t>
  </si>
  <si>
    <t>Beatriz  Tenedero</t>
  </si>
  <si>
    <t>Rolito Gonzaga Daguipa</t>
  </si>
  <si>
    <t>Marifel Arroyo Astillo</t>
  </si>
  <si>
    <t>Joel D. Friginal</t>
  </si>
  <si>
    <t>ROSELLER DIZON SASIS</t>
  </si>
  <si>
    <t>Janice L Sta. Cruz</t>
  </si>
  <si>
    <t>JULIE P. TABCAO</t>
  </si>
  <si>
    <t>Merla A. Monje</t>
  </si>
  <si>
    <t>Lilioso Morgia Nunag</t>
  </si>
  <si>
    <t>JOHNNY SABADO ANIS</t>
  </si>
  <si>
    <t>Maria Agnes Gonzales Tacadena</t>
  </si>
  <si>
    <t>Romeo Tibayan Dela Luna</t>
  </si>
  <si>
    <t>Michael Angelo Agoto Samonte</t>
  </si>
  <si>
    <t>Paulo F. Tagsip</t>
  </si>
  <si>
    <t>ROMEO TAER TAGUBA</t>
  </si>
  <si>
    <t>Lea E Barcebal</t>
  </si>
  <si>
    <t>Lucita B. Macoy</t>
  </si>
  <si>
    <t>Dan Rommel Tonquin Gastala</t>
  </si>
  <si>
    <t>JOSE CABASAGAN CHAN</t>
  </si>
  <si>
    <t>Joel B. Elloso</t>
  </si>
  <si>
    <t>Gene Eslava De Guzman</t>
  </si>
  <si>
    <t>Ma. Cristina Padilla Mangana</t>
  </si>
  <si>
    <t>Lynnette L. Vanzuela</t>
  </si>
  <si>
    <t>Alexander C. Otto</t>
  </si>
  <si>
    <t>CHARONE MICHAL GUERRERO DE CASTRO</t>
  </si>
  <si>
    <t>Jelenita D Limot</t>
  </si>
  <si>
    <t>Enrico Magboo Dalangin</t>
  </si>
  <si>
    <t>Vincent A. Tan</t>
  </si>
  <si>
    <t>Lourdes Pretencio Peñaflor</t>
  </si>
  <si>
    <t>GENE BALILI DIGAO</t>
  </si>
  <si>
    <t>Melisa Vallesta Alvaran</t>
  </si>
  <si>
    <t>Mildred v. Fernando</t>
  </si>
  <si>
    <t>Corazon C Dacudag</t>
  </si>
  <si>
    <t>NOEL ZAPARITA OJASCASTRO</t>
  </si>
  <si>
    <t>Baimona Batugan Macabago</t>
  </si>
  <si>
    <t>Anthony A. Ferrolino</t>
  </si>
  <si>
    <t>Andro L. Colacion</t>
  </si>
  <si>
    <t>Rhandy D. Domingo</t>
  </si>
  <si>
    <t>Gilmer  R. Manguera</t>
  </si>
  <si>
    <t>Lemuel Bagalayos Mañibo</t>
  </si>
  <si>
    <t>Rovina Ringor Piñera</t>
  </si>
  <si>
    <t>Ma. Luisa Tumala Dela Rosa</t>
  </si>
  <si>
    <t>JEORGE ARIOLA TOMAS</t>
  </si>
  <si>
    <t>FREDDIE C. BENDULO</t>
  </si>
  <si>
    <t>Helen Pulmano Mabini</t>
  </si>
  <si>
    <t>MARIAN JOY ABENDANIO CUNANAN</t>
  </si>
  <si>
    <t>Amelita Villarta Yumang</t>
  </si>
  <si>
    <t>HARRY SARARANA MADALAG</t>
  </si>
  <si>
    <t>Edwardford Najera Dagatan</t>
  </si>
  <si>
    <t>Raymond B. Mojares</t>
  </si>
  <si>
    <t>Ramil Mendez Taculod</t>
  </si>
  <si>
    <t>Arundale Gum-u Immoliap Bunnag</t>
  </si>
  <si>
    <t>EVA MARIE HERNANDEZ</t>
  </si>
  <si>
    <t>Christopher q cargo</t>
  </si>
  <si>
    <t>MICHAEL FELICITAS DELA CRUZ</t>
  </si>
  <si>
    <t>Gloria L. Duga</t>
  </si>
  <si>
    <t>Ferdinand B Caberoy</t>
  </si>
  <si>
    <t>Rhodora Dela Peña Amador</t>
  </si>
  <si>
    <t>Marjorie Munar Cabacungan</t>
  </si>
  <si>
    <t>Joey Cunanan Pacia</t>
  </si>
  <si>
    <t>Rysza Rhielle R. Reyes</t>
  </si>
  <si>
    <t>Abigail Tabadero Alemania</t>
  </si>
  <si>
    <t>NELSON BORBONGA CAHAYAG</t>
  </si>
  <si>
    <t>Edwin P. Marcelo</t>
  </si>
  <si>
    <t>John B Magbanua</t>
  </si>
  <si>
    <t>Liwayway De Guzman Pangilinan</t>
  </si>
  <si>
    <t>Geminina Callada Fernando</t>
  </si>
  <si>
    <t>Marissa Catacutan Austria</t>
  </si>
  <si>
    <t>Analyn S. Lazo</t>
  </si>
  <si>
    <t>Jessa Sahagon Batolanon</t>
  </si>
  <si>
    <t>Clark Benzon Lobo Casuco</t>
  </si>
  <si>
    <t>Cristina Batula Baler</t>
  </si>
  <si>
    <t>Arsenia Masallo Ibabao</t>
  </si>
  <si>
    <t>Zaldy C Domalina</t>
  </si>
  <si>
    <t>Ely Garcillano Ramos</t>
  </si>
  <si>
    <t>FRANCISCO S. CASAS JR</t>
  </si>
  <si>
    <t>Allen Mar P Antalan</t>
  </si>
  <si>
    <t>Alexander C. Teodoro</t>
  </si>
  <si>
    <t>Roderick D. Diputado</t>
  </si>
  <si>
    <t>Noel C. Mangkikis</t>
  </si>
  <si>
    <t>Leah Rose Rañolas Apao</t>
  </si>
  <si>
    <t>MARITES BERINGUELA DIONES</t>
  </si>
  <si>
    <t>ROBERTO S PAGAYUNAN</t>
  </si>
  <si>
    <t>Edwin Vergel De Dios David</t>
  </si>
  <si>
    <t>Juliet Franesa S Aton</t>
  </si>
  <si>
    <t>Emilia Cordero Enriquez</t>
  </si>
  <si>
    <t>Rhonalyn Tiburcio Baybayan</t>
  </si>
  <si>
    <t>Julie Joy Bayoguing Divinagracia</t>
  </si>
  <si>
    <t>PERPETUA MACABABBAD ONATE</t>
  </si>
  <si>
    <t>Venancio Amogues Casaba</t>
  </si>
  <si>
    <t>Eugenia Lizabeth G. Somera</t>
  </si>
  <si>
    <t>MARIA CRISTIE VARGAS BALMADRID</t>
  </si>
  <si>
    <t>Leilani Prieto Aceret</t>
  </si>
  <si>
    <t>LANI BAYLON YURONG</t>
  </si>
  <si>
    <t>DELMA C FERNANDEZ</t>
  </si>
  <si>
    <t>Daniel Doloso Villapando</t>
  </si>
  <si>
    <t>Jennifer Arnaez</t>
  </si>
  <si>
    <t>Ofelia German Visto</t>
  </si>
  <si>
    <t>Jayson Andal Carodan</t>
  </si>
  <si>
    <t>Jessa S. De Guzman</t>
  </si>
  <si>
    <t>Cindy Ramos Tiu</t>
  </si>
  <si>
    <t>Jovito Bron Coderis, Jr.</t>
  </si>
  <si>
    <t>Naida  Reig  Quinto</t>
  </si>
  <si>
    <t>MYRNA TRIA RAMOS</t>
  </si>
  <si>
    <t>Michael Trasmil Ibisate</t>
  </si>
  <si>
    <t>Gil C. Suratos</t>
  </si>
  <si>
    <t>Jocelyn M Romero</t>
  </si>
  <si>
    <t>RUEL M. CURTOM</t>
  </si>
  <si>
    <t>NIÑO L. SUSA</t>
  </si>
  <si>
    <t>Beverly Patron Tolentino</t>
  </si>
  <si>
    <t>Filomena S Acidera</t>
  </si>
  <si>
    <t>NASUL ARAS SAJILI</t>
  </si>
  <si>
    <t>ICHIE MEDINA BARROMETRO</t>
  </si>
  <si>
    <t>Lealyn Baoy Dy</t>
  </si>
  <si>
    <t>Joyson  Dominguez Cariaga</t>
  </si>
  <si>
    <t>Noel B. Maducdoc</t>
  </si>
  <si>
    <t>Welsing R Arabis</t>
  </si>
  <si>
    <t>JOENARD BORRE BUCO</t>
  </si>
  <si>
    <t>Maria Concepcion Salcedo Florida</t>
  </si>
  <si>
    <t>Resette Hernandez Razon</t>
  </si>
  <si>
    <t>Arlaine M De Vera</t>
  </si>
  <si>
    <t>JOSEPHINE G PEREA</t>
  </si>
  <si>
    <t>ONIE J REYES</t>
  </si>
  <si>
    <t>Agnes Lara Gabriel</t>
  </si>
  <si>
    <t>JERRY R CENTRO</t>
  </si>
  <si>
    <t>LEONIDO PAL-ING CATIEL</t>
  </si>
  <si>
    <t>Anne Nicole Cabiles</t>
  </si>
  <si>
    <t>WILLIAM UBA VALDE</t>
  </si>
  <si>
    <t>Jocelyn C. Jaramillo</t>
  </si>
  <si>
    <t>Poebe Ruth Cansicio Soriano</t>
  </si>
  <si>
    <t>Louie O Canlas</t>
  </si>
  <si>
    <t>Maredith H. Julve</t>
  </si>
  <si>
    <t>Aser F Guanzon</t>
  </si>
  <si>
    <t>Marivic Masbad Managbanag</t>
  </si>
  <si>
    <t>Victorino Ducot Olayvar</t>
  </si>
  <si>
    <t>Isaias, Sr. Tulio Bigol</t>
  </si>
  <si>
    <t>Neil Patrick Y. Cruz</t>
  </si>
  <si>
    <t>Hannah F Artil</t>
  </si>
  <si>
    <t>Emmanuel Ablang</t>
  </si>
  <si>
    <t>Mary Rose Feliciano Ubiña</t>
  </si>
  <si>
    <t>MARIA IRMA PATRON RAMOS</t>
  </si>
  <si>
    <t>Donabel Caspillo Bassig</t>
  </si>
  <si>
    <t>Sarah Jenn R. San Blas</t>
  </si>
  <si>
    <t>Angelo R. Dela Cruz</t>
  </si>
  <si>
    <t>Priscila R. Rolluqui</t>
  </si>
  <si>
    <t>LILIAN PADERNAL BELLEZA</t>
  </si>
  <si>
    <t>Geronimo Lausing</t>
  </si>
  <si>
    <t>Rex Manalo</t>
  </si>
  <si>
    <t>Evangeline L Sarlon</t>
  </si>
  <si>
    <t>AMORLITO CABIL LAVIÑA</t>
  </si>
  <si>
    <t>Rona Joy Ducut San Jose</t>
  </si>
  <si>
    <t>Raul Lagnada Sagun</t>
  </si>
  <si>
    <t>Rogelio Loy Magdaug, Jr.</t>
  </si>
  <si>
    <t>RODNEY LABRADOR NABALONA</t>
  </si>
  <si>
    <t>Leo Distor Huinda</t>
  </si>
  <si>
    <t>Ralph Adrian Dizon Gonzales</t>
  </si>
  <si>
    <t>Leda Penarubia Redoble</t>
  </si>
  <si>
    <t>Eugenio Gallo Reyes</t>
  </si>
  <si>
    <t>Edwina C. Carriedo</t>
  </si>
  <si>
    <t>Venus C. Solano</t>
  </si>
  <si>
    <t>RUTH VALLADOLID BOBIER</t>
  </si>
  <si>
    <t>ABRAHAM SR. V. CALAOR</t>
  </si>
  <si>
    <t>Delano N Javien</t>
  </si>
  <si>
    <t>Melinda Dizon</t>
  </si>
  <si>
    <t>Melanio B. De vera</t>
  </si>
  <si>
    <t>BAC SECRETARIAT STAFF</t>
  </si>
  <si>
    <t>Glenn Salac Sarador</t>
  </si>
  <si>
    <t>Mary Anne Garcia Tanazana</t>
  </si>
  <si>
    <t>SEAN ARCE ELAD</t>
  </si>
  <si>
    <t>Jasmine Deguito</t>
  </si>
  <si>
    <t>MANUEL QUERIJERO HERNANDEZ</t>
  </si>
  <si>
    <t>John Moses Bulahan Aposaga</t>
  </si>
  <si>
    <t>James Escamillas Laredo</t>
  </si>
  <si>
    <t>Hurdy F Denosta</t>
  </si>
  <si>
    <t>KAREEN A. ORDOÑA</t>
  </si>
  <si>
    <t>JOHN ASHLEY  SANTUELE  MATIMTIM</t>
  </si>
  <si>
    <t>EDUARDO CADELIÑA SALA JR.</t>
  </si>
  <si>
    <t>Fredie Ballesteros Ruiz</t>
  </si>
  <si>
    <t>REGNER MEL BALAGOT</t>
  </si>
  <si>
    <t>Edzrael L. Mohammad</t>
  </si>
  <si>
    <t>Nemensio T Benoza</t>
  </si>
  <si>
    <t>Edvil Urbiztondo Trillanes</t>
  </si>
  <si>
    <t>JENILYN RONQUILLO NEVALGA</t>
  </si>
  <si>
    <t>EDNA F. MONTE</t>
  </si>
  <si>
    <t>JUSTIN IVAN GAVALEZ AMAT</t>
  </si>
  <si>
    <t>Jesus aleman zamoras</t>
  </si>
  <si>
    <t>Freddie Oben Tomines</t>
  </si>
  <si>
    <t>Virginia Baylon Belarmino</t>
  </si>
  <si>
    <t>SHERYL MANANGGUIT GONZALES</t>
  </si>
  <si>
    <t>MERLIE  LILLES  LLAVE</t>
  </si>
  <si>
    <t>Carol Almacen</t>
  </si>
  <si>
    <t>Georgina Villahermosa Sindo</t>
  </si>
  <si>
    <t>Robby Boy Dumanon</t>
  </si>
  <si>
    <t>Enrique D. Cleofe</t>
  </si>
  <si>
    <t>Randolph R Maguigad</t>
  </si>
  <si>
    <t>Rowena T. Quiambao</t>
  </si>
  <si>
    <t>HELEN LOPE DELA CRUZ</t>
  </si>
  <si>
    <t>Caysie Bagsit</t>
  </si>
  <si>
    <t>Marilyn Lontoc</t>
  </si>
  <si>
    <t>Beatriz Dumapay Pascual</t>
  </si>
  <si>
    <t>EDEN MERCADO SANTOS</t>
  </si>
  <si>
    <t>Aurea Rizalina V. Odtuhan</t>
  </si>
  <si>
    <t>Mary Jean  L.  Lara</t>
  </si>
  <si>
    <t>Precila Gutierrez</t>
  </si>
  <si>
    <t>MARIA SHEILA HERMANO SUMILANG</t>
  </si>
  <si>
    <t>Jessa Tolentino</t>
  </si>
  <si>
    <t>NANCY CABALLERO</t>
  </si>
  <si>
    <t>Lea Medina Caponpon</t>
  </si>
  <si>
    <t>Miguel Jr. D. Tolentino</t>
  </si>
  <si>
    <t>Paolo Crispino Casiñas Sucalit</t>
  </si>
  <si>
    <t>Katherine Liwanag Pangilinan</t>
  </si>
  <si>
    <t>Jerose Gregorio</t>
  </si>
  <si>
    <t>EDWIN L. VALERA</t>
  </si>
  <si>
    <t>ATTY. CHRISTY JOY S SOLLESTA</t>
  </si>
  <si>
    <t>Julyn Imbang</t>
  </si>
  <si>
    <t>Marialyn Saligumba Samillano</t>
  </si>
  <si>
    <t>INOCENCIA PAGKALIWANGAN CASTRO</t>
  </si>
  <si>
    <t>Rhodeliza De Villa Penarroyo</t>
  </si>
  <si>
    <t>Mathew P. Opeña</t>
  </si>
  <si>
    <t>CRISTINA VENUS RIVERA</t>
  </si>
  <si>
    <t>Vickelyn Duhaylungsod Siao</t>
  </si>
  <si>
    <t>Nazario Usi Benedicto</t>
  </si>
  <si>
    <t>Jean Casalmer Salarda</t>
  </si>
  <si>
    <t>Alicia A. Cruz</t>
  </si>
  <si>
    <t>MELVIN  PATAN RIVAS</t>
  </si>
  <si>
    <t>Melvin B. Arevalo</t>
  </si>
  <si>
    <t>Abdulfatah Hadjiraof Mala-amama</t>
  </si>
  <si>
    <t>Catalino Arado Sumaylo</t>
  </si>
  <si>
    <t>JOFEL DE LA PENA ENTERINA</t>
  </si>
  <si>
    <t>Luz S. Liloc</t>
  </si>
  <si>
    <t>EDITHA LOPEZ LARON</t>
  </si>
  <si>
    <t>Ma. Cela Genio De Guzman</t>
  </si>
  <si>
    <t>MA. THERESA REMOROFF BARROSO</t>
  </si>
  <si>
    <t>Ronald Panaligan Tupang</t>
  </si>
  <si>
    <t>ROLAND MAYOL PEREZ</t>
  </si>
  <si>
    <t>Freddie Ventura Cabrera</t>
  </si>
  <si>
    <t>Framar Degay</t>
  </si>
  <si>
    <t>RUBIE TAUTUAN QUIJANO</t>
  </si>
  <si>
    <t>RONALDO AFABLE TORRES</t>
  </si>
  <si>
    <t>Cecile M. Dicen</t>
  </si>
  <si>
    <t>JAMES CINO ESTOYA</t>
  </si>
  <si>
    <t>Amador Eusebio Judan</t>
  </si>
  <si>
    <t>Ana Varona Turbela</t>
  </si>
  <si>
    <t>JOHN MICHAEL DE FRANCIA</t>
  </si>
  <si>
    <t>Fidencio Cañete Paranas Jr.</t>
  </si>
  <si>
    <t>Jose Mario C Viernes</t>
  </si>
  <si>
    <t>Celso B. Bergado</t>
  </si>
  <si>
    <t>Mary Grace Garcia Soriano</t>
  </si>
  <si>
    <t xml:space="preserve"> KRISTIAN SABANDEJA  ENGO</t>
  </si>
  <si>
    <t>ROLAND B MATIAS</t>
  </si>
  <si>
    <t>JUANCHO VAL M. RODIL</t>
  </si>
  <si>
    <t>pancho jr amor cayago</t>
  </si>
  <si>
    <t>Cecilia Notario Jumawan</t>
  </si>
  <si>
    <t>Alvin Crisostomo</t>
  </si>
  <si>
    <t>Ryan Toraja Leones</t>
  </si>
  <si>
    <t>ARNOLD ONA  MUNOZ</t>
  </si>
  <si>
    <t>Arnel Gahator Otida</t>
  </si>
  <si>
    <t>Joel Santos</t>
  </si>
  <si>
    <t>CHERRY ANNE  CORTEZ DONEZA</t>
  </si>
  <si>
    <t>Ella Mae F. Jayag</t>
  </si>
  <si>
    <t>Rodolfo R David</t>
  </si>
  <si>
    <t>Kristine Joy Apostol Castillo</t>
  </si>
  <si>
    <t>Sergio Martinez Brillantes</t>
  </si>
  <si>
    <t>Michael G Lumangaya</t>
  </si>
  <si>
    <t>Mark Wilson Quitan Ginga</t>
  </si>
  <si>
    <t>Francisco Dayao</t>
  </si>
  <si>
    <t>ZANDRA ANCIANO QUIRANTE</t>
  </si>
  <si>
    <t>DEOLITO CATUBIG TAYPEN</t>
  </si>
  <si>
    <t>Amelita Quinsay Londonio</t>
  </si>
  <si>
    <t>ROSE HABANA MARTINEZ</t>
  </si>
  <si>
    <t>Adel L. Mangaliag</t>
  </si>
  <si>
    <t>Rowena M. Torreflores</t>
  </si>
  <si>
    <t>ELEANOR YANTO CABANGON</t>
  </si>
  <si>
    <t>Faustino Toradio</t>
  </si>
  <si>
    <t>Mateo Maala Maneja</t>
  </si>
  <si>
    <t>Marianne Irasga</t>
  </si>
  <si>
    <t>Merlita Mangalonzo Regonda</t>
  </si>
  <si>
    <t>ANABELLE CHARLON NAILGA</t>
  </si>
  <si>
    <t>Raymond O Acuna</t>
  </si>
  <si>
    <t>Norma Palomares Cacal</t>
  </si>
  <si>
    <t>Freddie Remolado Sumangit</t>
  </si>
  <si>
    <t>ROGELIO MARCELLANA</t>
  </si>
  <si>
    <t>Cecelio Acebes Lomarda</t>
  </si>
  <si>
    <t>JEROME M. MARTINEZ</t>
  </si>
  <si>
    <t>Rodolfo Bitaga Gaboten</t>
  </si>
  <si>
    <t>Enrique Guzman Respondo</t>
  </si>
  <si>
    <t>Ma. Emelene P. Coquilla</t>
  </si>
  <si>
    <t>GEMMA JABAYBAY DOLOROSA</t>
  </si>
  <si>
    <t>Jed F. Fajarit</t>
  </si>
  <si>
    <t>Eric Veral Castillo</t>
  </si>
  <si>
    <t>Noel G. Bathan</t>
  </si>
  <si>
    <t>RONALD M. PERALTA</t>
  </si>
  <si>
    <t>Loreta Juaner Dolero</t>
  </si>
  <si>
    <t>Rhea G Aquino</t>
  </si>
  <si>
    <t>DON PATRICK TIONGSON SALAMAT</t>
  </si>
  <si>
    <t>Jerry Rumbaoa Balmores</t>
  </si>
  <si>
    <t>Rosalie  A. Pelle</t>
  </si>
  <si>
    <t>NIÑO BALISTOY SALVACION</t>
  </si>
  <si>
    <t>ORLANDO FESICO PAN</t>
  </si>
  <si>
    <t>Alien Belleza Empaces</t>
  </si>
  <si>
    <t>KATE A. PARULAN</t>
  </si>
  <si>
    <t>MOISES RAMOS TAMONDONG</t>
  </si>
  <si>
    <t>Blessilda May S.  Angeles</t>
  </si>
  <si>
    <t>ELI PAUL PERANTE RAYMUNDO</t>
  </si>
  <si>
    <t>Jessica Foronda Eriguel</t>
  </si>
  <si>
    <t>Gendeben R.  Salviejo</t>
  </si>
  <si>
    <t>Arnel Delos Santos  Delo Santos  Arcena</t>
  </si>
  <si>
    <t>Fritzie Mae Vasquez Valenzuela</t>
  </si>
  <si>
    <t>MA.  NORITA ABULAN CABRERA</t>
  </si>
  <si>
    <t>TEODULO EDER</t>
  </si>
  <si>
    <t>Czarina Fe Sales Asuncion</t>
  </si>
  <si>
    <t>Alexander Ranada Sagisi</t>
  </si>
  <si>
    <t>Amelia Ygusguiza Barrogo</t>
  </si>
  <si>
    <t>Nelson Miranda Bautista</t>
  </si>
  <si>
    <t>Victor Y Romano</t>
  </si>
  <si>
    <t>JUBERT  D.  TUTOR</t>
  </si>
  <si>
    <t>Larney F. Marasigan</t>
  </si>
  <si>
    <t>ROY RYAN M. NAMANG</t>
  </si>
  <si>
    <t>Sylvia Maquilan Caratao</t>
  </si>
  <si>
    <t>CORNELIO A DIMAPILIS</t>
  </si>
  <si>
    <t>Lucil I Montermoso</t>
  </si>
  <si>
    <t>Pedro O. Mulawin</t>
  </si>
  <si>
    <t>Oliver Ted Castillo Orsolino</t>
  </si>
  <si>
    <t>ANWAR KENNY ANDREW FRANCISCO AMILASAN</t>
  </si>
  <si>
    <t>Mario S. Delos Reyes</t>
  </si>
  <si>
    <t>MARIO  BALOT  SAPAD</t>
  </si>
  <si>
    <t>JAMES REYES DOLOROSO</t>
  </si>
  <si>
    <t>Zenaida C Bautista</t>
  </si>
  <si>
    <t>VICENTE M. GERONA</t>
  </si>
  <si>
    <t>JOAN SANTIANEZ BENEDICTO</t>
  </si>
  <si>
    <t>Elmer A. Bajado</t>
  </si>
  <si>
    <t>REDEMCION M. DE LEON</t>
  </si>
  <si>
    <t>JESSON NIALA LABRADOR</t>
  </si>
  <si>
    <t>Rico Basilio Macabare</t>
  </si>
  <si>
    <t>Mercy Gladys Santiago Cuenca</t>
  </si>
  <si>
    <t>Reynaldo R Quiray</t>
  </si>
  <si>
    <t>Marlon Iwarat Esguerra</t>
  </si>
  <si>
    <t>TISHA PAPARON MARTINITO</t>
  </si>
  <si>
    <t>ALICIA RENTILLO JUGADO</t>
  </si>
  <si>
    <t>Socorro Serrano Tayag</t>
  </si>
  <si>
    <t>Analiza C. Chua</t>
  </si>
  <si>
    <t>Gloria Pusog Santos</t>
  </si>
  <si>
    <t>Nicanor Cuarte Padios</t>
  </si>
  <si>
    <t>Levie Pacuri Diaz</t>
  </si>
  <si>
    <t>Alexander Borita Sadie</t>
  </si>
  <si>
    <t>MAY LYDIA REY LAGADIA</t>
  </si>
  <si>
    <t>Roberto icuspit Corpuz</t>
  </si>
  <si>
    <t>Karla Shane Ramos Patega</t>
  </si>
  <si>
    <t>AMELITA BOLIVAR SANCHEZ</t>
  </si>
  <si>
    <t>ATTY. NICHOLAS S. MARASIGAN</t>
  </si>
  <si>
    <t>Cesario R Bahalla</t>
  </si>
  <si>
    <t>Robie Rose Villanueva Laudato</t>
  </si>
  <si>
    <t>Mary Grace Alagban Quiachon</t>
  </si>
  <si>
    <t>Ricardo Mendoza De Guzman</t>
  </si>
  <si>
    <t>GLENN C COLUMNA</t>
  </si>
  <si>
    <t>Fercilyn E Grospe</t>
  </si>
  <si>
    <t>Ceferino C. Oryan</t>
  </si>
  <si>
    <t>Christopher Dave A. Calimlim</t>
  </si>
  <si>
    <t>MERLIE BERGANIO OGANIZA</t>
  </si>
  <si>
    <t>MERLYN DUPAYA BAUTISTA</t>
  </si>
  <si>
    <t>DIOMEDES V BONALOS</t>
  </si>
  <si>
    <t>Robert M Valles</t>
  </si>
  <si>
    <t>Jerome Bardoquillo Ramirez</t>
  </si>
  <si>
    <t>MARICHELLE D. FERRER</t>
  </si>
  <si>
    <t>Edgar C Acedera</t>
  </si>
  <si>
    <t>KARLEEN R. DESTURA</t>
  </si>
  <si>
    <t>Jenelyn Laganao Felisan</t>
  </si>
  <si>
    <t>JANICE MAY ARCONES SERASPE</t>
  </si>
  <si>
    <t>Noel  O.  Gongob</t>
  </si>
  <si>
    <t>YASHIER MASDAL YAIL</t>
  </si>
  <si>
    <t>Engr. MARINA Y. ARCENAL</t>
  </si>
  <si>
    <t>Florante Uy Zurbito</t>
  </si>
  <si>
    <t>FIDELA ANDRADE REGALADO</t>
  </si>
  <si>
    <t>Dina S. Deal Vega</t>
  </si>
  <si>
    <t>Ruby S Cortez</t>
  </si>
  <si>
    <t>Aileen L Bonghanoy</t>
  </si>
  <si>
    <t>Ma. Melody L Licuanan</t>
  </si>
  <si>
    <t>Gregorio D Artieda</t>
  </si>
  <si>
    <t>orly legaspi</t>
  </si>
  <si>
    <t>Recelia Apitan Menoza</t>
  </si>
  <si>
    <t>Adan Barquin Olita</t>
  </si>
  <si>
    <t>arnel mendones moreno</t>
  </si>
  <si>
    <t>John Paulo Telmo Purino</t>
  </si>
  <si>
    <t>Virgie Abragan Gayla</t>
  </si>
  <si>
    <t>Noel P Baldueza</t>
  </si>
  <si>
    <t>CRISABETH AVERGONZADO BAUTISTA</t>
  </si>
  <si>
    <t>Reniza L Abellera</t>
  </si>
  <si>
    <t>Arthur Ryan  R.  Dupalco</t>
  </si>
  <si>
    <t>Irish Hiangan Vios</t>
  </si>
  <si>
    <t>Roger G. Liban</t>
  </si>
  <si>
    <t>Nilo Jongco Sendrijas</t>
  </si>
  <si>
    <t>Grace Alejandro Alejandro</t>
  </si>
  <si>
    <t>Beverly O. Sabdani</t>
  </si>
  <si>
    <t>ENRIQUE PANES CASTILLO</t>
  </si>
  <si>
    <t>Arjomae Penuela Jacob</t>
  </si>
  <si>
    <t>Benhur V. Malana</t>
  </si>
  <si>
    <t>Ruben Jr. G. Asturias</t>
  </si>
  <si>
    <t>MARIBEL MATUTE DALAYDAY</t>
  </si>
  <si>
    <t>Arlene Roxas Tumabao</t>
  </si>
  <si>
    <t>Paquito Cantomayor Capitle</t>
  </si>
  <si>
    <t>HELEN GUEVARRA CALIMLIM</t>
  </si>
  <si>
    <t>RUDY FRAN FALCUNITIN</t>
  </si>
  <si>
    <t>Eunice  J  Gelasan</t>
  </si>
  <si>
    <t>Perlita Senarillos Pabillaran</t>
  </si>
  <si>
    <t>Ellyne Marie Kee Aligarbes</t>
  </si>
  <si>
    <t>MARITES L. LLANES</t>
  </si>
  <si>
    <t>PEDERITO BERSABE GUIANAN</t>
  </si>
  <si>
    <t>Vilma  Talidong Laspinas</t>
  </si>
  <si>
    <t>CLEOFE TUBA Polido</t>
  </si>
  <si>
    <t>Sharon Lourdes Enriquez Vallesteros</t>
  </si>
  <si>
    <t>Cristina Amparo M Linan</t>
  </si>
  <si>
    <t>Rogelito Dumaicos Urbiztondo</t>
  </si>
  <si>
    <t>Arnel Caparros Portales</t>
  </si>
  <si>
    <t>GEFFREY BACHAR CATULIN</t>
  </si>
  <si>
    <t>Elmer O Macalma</t>
  </si>
  <si>
    <t>Norjanna M. Camaguin</t>
  </si>
  <si>
    <t>Roberto  Poyaoan  Gonzales</t>
  </si>
  <si>
    <t>Marino Merano Silagan Jr.</t>
  </si>
  <si>
    <t>JENNALYN DEL ROSARIO GUERRA</t>
  </si>
  <si>
    <t>Loribel Cagatan</t>
  </si>
  <si>
    <t>Laverne Maliao Vacalares</t>
  </si>
  <si>
    <t>Epifania Nardo Dinlasan</t>
  </si>
  <si>
    <t>Miriam C. Jabagat</t>
  </si>
  <si>
    <t>Asher B. Disepeda</t>
  </si>
  <si>
    <t>Edward Miguel Juanito</t>
  </si>
  <si>
    <t>ARBEN P. BUSTILLO</t>
  </si>
  <si>
    <t>Apolinario Bucayu Baggay</t>
  </si>
  <si>
    <t>ROSEMARIE M. LAWAS</t>
  </si>
  <si>
    <t>ARISTON TARROQUIN TORCELINO</t>
  </si>
  <si>
    <t>RAPUNZEL Bitao VILLASEÑOR</t>
  </si>
  <si>
    <t>EDEM D. ABONITALLA</t>
  </si>
  <si>
    <t>ADA VERONICA C. GRECIA</t>
  </si>
  <si>
    <t>LEA C. BARASI</t>
  </si>
  <si>
    <t>Avel Villamor Nunez</t>
  </si>
  <si>
    <t>Ivy Dela Cruz Rugas</t>
  </si>
  <si>
    <t>Darino G. Elizaga</t>
  </si>
  <si>
    <t>Sukarno J. Minsuarez</t>
  </si>
  <si>
    <t>MARIA NIMFA TORRES DE GUZMAN</t>
  </si>
  <si>
    <t>Argie Lomuntod Muncada</t>
  </si>
  <si>
    <t>LANE EVANGELISTA PAULAR</t>
  </si>
  <si>
    <t>ROGELIO L.  FACUNDO</t>
  </si>
  <si>
    <t>RIZALYNE BARTOLOME ABELLO</t>
  </si>
  <si>
    <t>Zenaida Sahagun</t>
  </si>
  <si>
    <t>Tessie Romano Tonador</t>
  </si>
  <si>
    <t>Rryam Ansing Jaralve</t>
  </si>
  <si>
    <t>Leonora L Lustre</t>
  </si>
  <si>
    <t>MARIELLE GRACE ANDRIN ROMAREZ</t>
  </si>
  <si>
    <t>JUNREY RATILLA</t>
  </si>
  <si>
    <t>AGUSTIN JR. DEMETERIO PEDRANO</t>
  </si>
  <si>
    <t>Cayylord D. Niala</t>
  </si>
  <si>
    <t>GERARDO DALINOC CLEMENTE</t>
  </si>
  <si>
    <t>Ramon Jacinto M Rodrigo</t>
  </si>
  <si>
    <t>Gazelle Ducusin Ochoco</t>
  </si>
  <si>
    <t>Mercy Vargas</t>
  </si>
  <si>
    <t>JOY MAAN BAEZA MIRA</t>
  </si>
  <si>
    <t>CHARLTON LIU UY</t>
  </si>
  <si>
    <t>Ma. Elma Solangon Alapre</t>
  </si>
  <si>
    <t>Nydia R. Magallon</t>
  </si>
  <si>
    <t>Rolando Sala Catig</t>
  </si>
  <si>
    <t>Abul Kahal Santili</t>
  </si>
  <si>
    <t>JOY DENIEGA MAASIN</t>
  </si>
  <si>
    <t>NORMAN CORNELIO EBALLE</t>
  </si>
  <si>
    <t>Mechel S. Ronquillo</t>
  </si>
  <si>
    <t>Cyril O. Calumba</t>
  </si>
  <si>
    <t>Edward Joevan R Romen</t>
  </si>
  <si>
    <t>Jim Benzon R. Talavera</t>
  </si>
  <si>
    <t>Jubeth Mico Gipatalagan</t>
  </si>
  <si>
    <t>Rodolfo Catalan San Pedro, Jr.</t>
  </si>
  <si>
    <t>Edralyn Sanchez Privado</t>
  </si>
  <si>
    <t>Reggie C Placido</t>
  </si>
  <si>
    <t>Candelaria Ubana Estremos</t>
  </si>
  <si>
    <t>Justine Bartolome Aguinaldo</t>
  </si>
  <si>
    <t>Aldren Galido Madelozo</t>
  </si>
  <si>
    <t>Susan Dela Cruz</t>
  </si>
  <si>
    <t>Andres R Avorque</t>
  </si>
  <si>
    <t>Karen Lisette Trinidad Molas</t>
  </si>
  <si>
    <t>MARY FE GRACE MERCADO BENITO</t>
  </si>
  <si>
    <t>Jonathan Regachuelo Jaluague</t>
  </si>
  <si>
    <t>ADRIAN  JAVIER  TUAZON</t>
  </si>
  <si>
    <t>Joel Apoderado Cruz</t>
  </si>
  <si>
    <t>Shiela Narbarte Domondon</t>
  </si>
  <si>
    <t>Letecia Arevalo Peñalosa</t>
  </si>
  <si>
    <t>Dolores Carig Tendero</t>
  </si>
  <si>
    <t>Carlo Fernando G. Logarta</t>
  </si>
  <si>
    <t>Noreen Lagahit</t>
  </si>
  <si>
    <t>Gina Marzan Alberto</t>
  </si>
  <si>
    <t>Christopher Bernados Tutor</t>
  </si>
  <si>
    <t>JEFFREY MENDOZA AQUINO</t>
  </si>
  <si>
    <t>Dave Renand Guimod</t>
  </si>
  <si>
    <t>ARLENE SUGALAN GUIMBA</t>
  </si>
  <si>
    <t>Abner Makinano Caga</t>
  </si>
  <si>
    <t>Neri Tadeo Beley</t>
  </si>
  <si>
    <t>Michael Angelo San Pedro BAC Secretariat</t>
  </si>
  <si>
    <t>Marlene Acabado Cherreguine</t>
  </si>
  <si>
    <t>Norman Casiple Ardina</t>
  </si>
  <si>
    <t>ALADIN MABBORANG PASCUAL</t>
  </si>
  <si>
    <t>ROSA DALAGUETE MANUEL</t>
  </si>
  <si>
    <t>Agripina F Ceremones</t>
  </si>
  <si>
    <t>Bernardo Jr Natividad Nasis</t>
  </si>
  <si>
    <t>Josephine Tolentino Banay</t>
  </si>
  <si>
    <t>RONALDO B. DALUPING</t>
  </si>
  <si>
    <t>RONNIE A BAJADO</t>
  </si>
  <si>
    <t>Armando Masan Notarte</t>
  </si>
  <si>
    <t>Lailani S Hernandez</t>
  </si>
  <si>
    <t>Lamberto Santos Ramos</t>
  </si>
  <si>
    <t>Elsa May Hinosolango De Pedro</t>
  </si>
  <si>
    <t>MOHAMMAD NUR S. DAWAMI</t>
  </si>
  <si>
    <t>MARJORIE  DE ASIS GREGORIOS</t>
  </si>
  <si>
    <t>Necitas D Largo</t>
  </si>
  <si>
    <t>ROGELIO V BONGABONG JR.</t>
  </si>
  <si>
    <t>Milagros A Agustin</t>
  </si>
  <si>
    <t>Drafino Jr Ramos Arocena</t>
  </si>
  <si>
    <t>Apollo Gamboa Gariando</t>
  </si>
  <si>
    <t>Ryan Chester G. Fong</t>
  </si>
  <si>
    <t>Emie Liza Fabella Ferrancol</t>
  </si>
  <si>
    <t>Florian Faith Jr. Paghubasan Bayawa</t>
  </si>
  <si>
    <t>Haze Berlene Portugal Puno</t>
  </si>
  <si>
    <t>Alvin P. Justo</t>
  </si>
  <si>
    <t>Myrna M Bigueras</t>
  </si>
  <si>
    <t>Ma. Victoria Cobrador</t>
  </si>
  <si>
    <t>Alejandro Basco Soriano</t>
  </si>
  <si>
    <t>Teresita Correa Faustino</t>
  </si>
  <si>
    <t>Roselito B Diolata</t>
  </si>
  <si>
    <t>Rhodelio Villocino Poliquit</t>
  </si>
  <si>
    <t>Rox E. Tarranza</t>
  </si>
  <si>
    <t>Cyde Dionaldo Gatpandan</t>
  </si>
  <si>
    <t>Jovina Corrales Orias</t>
  </si>
  <si>
    <t>ALBERT CUDIA BAUTISTA</t>
  </si>
  <si>
    <t>Alex Rivas Literato</t>
  </si>
  <si>
    <t>John Mark C Reanzares</t>
  </si>
  <si>
    <t>Debielyn B. Santos</t>
  </si>
  <si>
    <t>Wilma G. Udalve</t>
  </si>
  <si>
    <t>KAREN KAY ANNE RECIDO</t>
  </si>
  <si>
    <t>Araceli Rogelio Lastra</t>
  </si>
  <si>
    <t>Edna L. Llanera</t>
  </si>
  <si>
    <t>Sheila Riva B. Soriaga</t>
  </si>
  <si>
    <t>Ana Marie  A.  Medina</t>
  </si>
  <si>
    <t>Roxanne D Roguel</t>
  </si>
  <si>
    <t>Loida  Benedicto  Rosales</t>
  </si>
  <si>
    <t>Gladys Parahinog Dela Llarte</t>
  </si>
  <si>
    <t>IVY L. LUMANDAS</t>
  </si>
  <si>
    <t>Harvy B. Calabio</t>
  </si>
  <si>
    <t>Genelyn Hilario Sazon</t>
  </si>
  <si>
    <t>SHYKHEN B. YAPAC</t>
  </si>
  <si>
    <t>Joan V. Cortero</t>
  </si>
  <si>
    <t>Ivan Cruz</t>
  </si>
  <si>
    <t>Michael  Mercado Caisip</t>
  </si>
  <si>
    <t>ANDREA JUNE G ALFAJARO</t>
  </si>
  <si>
    <t>Fe Jennifer V. Yaranon</t>
  </si>
  <si>
    <t>Julius M. Salentes</t>
  </si>
  <si>
    <t>CARLITO BALLACILLO BARBERO</t>
  </si>
  <si>
    <t>Grace Trangia  Palahang</t>
  </si>
  <si>
    <t>NIRO ROTE NINIANO</t>
  </si>
  <si>
    <t>fernando gabato gaston</t>
  </si>
  <si>
    <t>LORNA A BUGAIS</t>
  </si>
  <si>
    <t>Ma. Annalyn S. Nolasco</t>
  </si>
  <si>
    <t>Juvy  Fugnit  Paulican</t>
  </si>
  <si>
    <t>Azucena O Gonzales</t>
  </si>
  <si>
    <t>Sharon Obias Dancalan</t>
  </si>
  <si>
    <t>Maria Cristina Macarayan Dapal</t>
  </si>
  <si>
    <t>Romeo Jr. S Yacan</t>
  </si>
  <si>
    <t>Christian Garganza Ortega</t>
  </si>
  <si>
    <t>Rey R. Fausto</t>
  </si>
  <si>
    <t>MERLA ARAMBURO REVECHE</t>
  </si>
  <si>
    <t>Imelda M Catapang</t>
  </si>
  <si>
    <t>Celestial S Flancia</t>
  </si>
  <si>
    <t>Rosemarie B Golosino</t>
  </si>
  <si>
    <t>MILROSE  L OMADLE</t>
  </si>
  <si>
    <t>Debbyriza Taylan Hidalgo</t>
  </si>
  <si>
    <t>Jonas A Tesoro</t>
  </si>
  <si>
    <t>Kathlyn Elynor C. Ericta</t>
  </si>
  <si>
    <t>Evelyn C. Padayhag</t>
  </si>
  <si>
    <t>Maximo G. Lomosbog</t>
  </si>
  <si>
    <t>BAC SECRETARIAT, LGU-SANTIAGO CITY</t>
  </si>
  <si>
    <t>Jaime Saulo Zafiro</t>
  </si>
  <si>
    <t>Joan M. dela Cruz</t>
  </si>
  <si>
    <t>Laila M Robosa</t>
  </si>
  <si>
    <t>Benson Empalmado</t>
  </si>
  <si>
    <t>Arceli Magtanong Samson</t>
  </si>
  <si>
    <t>JUAN TABUZO ARADOR</t>
  </si>
  <si>
    <t>Gilbert Paul F Platon</t>
  </si>
  <si>
    <t>VEMIE MONTEJO ESTOLOGA</t>
  </si>
  <si>
    <t>Ilyn S. Rio</t>
  </si>
  <si>
    <t>Geraldine Anievas</t>
  </si>
  <si>
    <t>RAYMUND R. MATEO</t>
  </si>
  <si>
    <t>Sweden Mangaran Dela Cruz</t>
  </si>
  <si>
    <t>Allan R. Guintapan</t>
  </si>
  <si>
    <t>Paterno O Hempeso</t>
  </si>
  <si>
    <t>JUAN L. FADUGA</t>
  </si>
  <si>
    <t>Wilson Garagan Viloria II</t>
  </si>
  <si>
    <t>Marilyn N. Ontolan</t>
  </si>
  <si>
    <t xml:space="preserve">KRISTINE  MANUEL   </t>
  </si>
  <si>
    <t>Arturieto P Ramigoso</t>
  </si>
  <si>
    <t>Violy Jane Jalandoni Flores</t>
  </si>
  <si>
    <t>JORJAN BECKER FEDERISO</t>
  </si>
  <si>
    <t>FELIXBERTO CABANOS NERI</t>
  </si>
  <si>
    <t>Judeth M. Madelo</t>
  </si>
  <si>
    <t>Mylene T. Famoso</t>
  </si>
  <si>
    <t>Verna Y. Rosario</t>
  </si>
  <si>
    <t>Maribel Lopez Bongar</t>
  </si>
  <si>
    <t>JANE P. CLARAVALL</t>
  </si>
  <si>
    <t>CEZARIO JOEL C ESPEJO</t>
  </si>
  <si>
    <t>Dennis G Varon</t>
  </si>
  <si>
    <t>Jenny Lopez Castro</t>
  </si>
  <si>
    <t>Irna Nadayag Mallari</t>
  </si>
  <si>
    <t>Richard Dean B. Dagpin</t>
  </si>
  <si>
    <t>ANGELINA RALLOS SOLIANO</t>
  </si>
  <si>
    <t>Charles  C. Sokoken</t>
  </si>
  <si>
    <t>JAILI B CANSEJO</t>
  </si>
  <si>
    <t>Edison Salawad Morales</t>
  </si>
  <si>
    <t>CYRILLE MAE A PALMERO</t>
  </si>
  <si>
    <t>AURORA CUDAL CUARESMA</t>
  </si>
  <si>
    <t>Teofilo B. Ferolin, Sr.</t>
  </si>
  <si>
    <t>Mila Creencia</t>
  </si>
  <si>
    <t>Ricardo V Nuñez</t>
  </si>
  <si>
    <t>Ricky Cue Laggui</t>
  </si>
  <si>
    <t>MERIBETH JANE JUANILLO LUCES</t>
  </si>
  <si>
    <t>Liberty C Angeles</t>
  </si>
  <si>
    <t>Gianina Punzalan Agir</t>
  </si>
  <si>
    <t>Sherra Gutierrez Espina</t>
  </si>
  <si>
    <t>Christopher Lacea Malayan</t>
  </si>
  <si>
    <t>Paul Michael M Cuadra</t>
  </si>
  <si>
    <t>Dennis H. Dino</t>
  </si>
  <si>
    <t>Fernando De Guzman Cruz</t>
  </si>
  <si>
    <t>MOISES L PECAYO</t>
  </si>
  <si>
    <t>THEODORE MAZO ROJAS</t>
  </si>
  <si>
    <t>Erwin R. Magday</t>
  </si>
  <si>
    <t>Pedrito Mojica Serra</t>
  </si>
  <si>
    <t>Merlin Paala</t>
  </si>
  <si>
    <t>MARIA PAMELA TOLENTINO BACTOL</t>
  </si>
  <si>
    <t>Monica A. Tuguinay</t>
  </si>
  <si>
    <t>Carlos L. Taguba</t>
  </si>
  <si>
    <t>Rosemarie P. Palma</t>
  </si>
  <si>
    <t>RICHELLE L. MOROTA</t>
  </si>
  <si>
    <t>Melvin Agbayani Agbalog</t>
  </si>
  <si>
    <t>JOAN PACALIOGA ABEJUELA</t>
  </si>
  <si>
    <t>Felicisimo Villarico Wenceslao Jr.</t>
  </si>
  <si>
    <t>Celeste Ann Laure Capilla</t>
  </si>
  <si>
    <t>JUVIE  CORDERO  MURAO</t>
  </si>
  <si>
    <t>Jennifer Ducusin Flores</t>
  </si>
  <si>
    <t>Gomer Liwanag Dado</t>
  </si>
  <si>
    <t>Marybeth Bandiola Quidato</t>
  </si>
  <si>
    <t>Marive P. Llaban</t>
  </si>
  <si>
    <t>Julie Ann Dizon Malig</t>
  </si>
  <si>
    <t>MARY CRISTY  ACAIN  OCOL</t>
  </si>
  <si>
    <t>Rommel Pacaoncis Masongsong</t>
  </si>
  <si>
    <t>Janny M Pacleb</t>
  </si>
  <si>
    <t>Hennie  Jane Olis Allaba</t>
  </si>
  <si>
    <t>Edwin Agdon Raymundo</t>
  </si>
  <si>
    <t>Ma. Catherine Calayag Dimagiba</t>
  </si>
  <si>
    <t>Andrew Ian Bulda Dormitorio</t>
  </si>
  <si>
    <t>ATTY. AIKO ELENI NARIDA PALER</t>
  </si>
  <si>
    <t>Evangeline S. Zapata</t>
  </si>
  <si>
    <t>Aimee Antonio Jimeno</t>
  </si>
  <si>
    <t>Geraldine Mayo Sayco</t>
  </si>
  <si>
    <t>RUFO SOTELO SOTELO Jr.</t>
  </si>
  <si>
    <t>Jolemar  M.  Coguit</t>
  </si>
  <si>
    <t>Ma Christina Sorilla Segura</t>
  </si>
  <si>
    <t>Cecille Arao Briones</t>
  </si>
  <si>
    <t>Russell C Narte</t>
  </si>
  <si>
    <t>RIZA TUGADE SAN JUAN</t>
  </si>
  <si>
    <t>Mark Jerome Abalos Adaya</t>
  </si>
  <si>
    <t>Mayette Casaysayan</t>
  </si>
  <si>
    <t>DORINA MELAD</t>
  </si>
  <si>
    <t>NOEL RYAN H. UY</t>
  </si>
  <si>
    <t>EDISON ALPARAN LORIAGA</t>
  </si>
  <si>
    <t>Marina Limson Am-is</t>
  </si>
  <si>
    <t>Nick Longga Bio</t>
  </si>
  <si>
    <t>Rosalie Plaza Espinoza</t>
  </si>
  <si>
    <t>Aubrey George Tamargo Corpuz</t>
  </si>
  <si>
    <t>Myline A. Dilla</t>
  </si>
  <si>
    <t>Delberlyn V. Punzalan</t>
  </si>
  <si>
    <t>Maria Teresa Ocong Bucio</t>
  </si>
  <si>
    <t>ERNEL PRAVA MAYONGUE</t>
  </si>
  <si>
    <t>Mary Grace P. Prudente</t>
  </si>
  <si>
    <t>Maria Divina Concepcion Evangelista</t>
  </si>
  <si>
    <t>JOAN NISPEROS BITADORA</t>
  </si>
  <si>
    <t>Ricardo O Badillo</t>
  </si>
  <si>
    <t>Julius Ubando Abesamis</t>
  </si>
  <si>
    <t>Mario Jennifer Rosco Orion</t>
  </si>
  <si>
    <t>Milagros Pestano Recamadas</t>
  </si>
  <si>
    <t>Christian  Salcedo  Serrano</t>
  </si>
  <si>
    <t>ROSELLER CABATINGAN AMOR</t>
  </si>
  <si>
    <t>kethlyn franco villar</t>
  </si>
  <si>
    <t>Nadel S. Denapo</t>
  </si>
  <si>
    <t>ALPHONE GANNABAN BUSTO</t>
  </si>
  <si>
    <t>elsie C Agustin</t>
  </si>
  <si>
    <t>Nimfa Mendoza Derada</t>
  </si>
  <si>
    <t>Maria Linda Valdez Shih</t>
  </si>
  <si>
    <t>OLIVER LAFAYOG TAULE</t>
  </si>
  <si>
    <t>LEILANI BACALE CASIMPAN</t>
  </si>
  <si>
    <t>NONIELYN CABRERA RONQUILLO</t>
  </si>
  <si>
    <t>Mia Marinelle Ramos Labuguen</t>
  </si>
  <si>
    <t>Zandra Canon Pia</t>
  </si>
  <si>
    <t>Mafelle Rombide Causing</t>
  </si>
  <si>
    <t>Julius Caducano Bartolome</t>
  </si>
  <si>
    <t>Mary Ann Corpuz Lazo</t>
  </si>
  <si>
    <t>JAKE CYRIL N. SOLITE</t>
  </si>
  <si>
    <t>JOEDDIE MAE T. CUATON</t>
  </si>
  <si>
    <t>Ritchie De La Cuesta Barrun</t>
  </si>
  <si>
    <t>Katelyn Margarette Cara Segunial</t>
  </si>
  <si>
    <t>KAREN JOY NAVARRO CARREON</t>
  </si>
  <si>
    <t>JOSEPH HERBON BUSA</t>
  </si>
  <si>
    <t>Nymia T. Chavez</t>
  </si>
  <si>
    <t>GLYDEL M. MAPANO</t>
  </si>
  <si>
    <t>Ma. Cristina L Garcia</t>
  </si>
  <si>
    <t>Edgardo Suasula Cabalida</t>
  </si>
  <si>
    <t>Lito I Balarbar</t>
  </si>
  <si>
    <t>Diane Co  Maquilan</t>
  </si>
  <si>
    <t>Florante O. Enriquez</t>
  </si>
  <si>
    <t>Susana Lopez Oranga</t>
  </si>
  <si>
    <t>VERONICA B. RESUELLO</t>
  </si>
  <si>
    <t>Maricel Balmes Recio</t>
  </si>
  <si>
    <t>Merma Lea R. Abalos</t>
  </si>
  <si>
    <t>Ruby Rina Soco</t>
  </si>
  <si>
    <t>Isabelo Miguel Ventura Abaño</t>
  </si>
  <si>
    <t>Ma. Theresa Garcia Labo</t>
  </si>
  <si>
    <t>Rosanna P. Lucero</t>
  </si>
  <si>
    <t>manilyn canonigo toreno</t>
  </si>
  <si>
    <t>MARIBEL A. CEREZO</t>
  </si>
  <si>
    <t>ABETH JOSE BUENTIPO BARBA</t>
  </si>
  <si>
    <t>RIZZALOU DELA CRUZ GARMA</t>
  </si>
  <si>
    <t>Precy Angeles Mondejar</t>
  </si>
  <si>
    <t>CINDY PEARL S MERADOS-QUITA</t>
  </si>
  <si>
    <t>Melchor Nacianceno Conte</t>
  </si>
  <si>
    <t xml:space="preserve">RODRIGO CARREON  CARAL </t>
  </si>
  <si>
    <t>SHARON DELGADO ORASA</t>
  </si>
  <si>
    <t>Dario Bacuac Eneserio</t>
  </si>
  <si>
    <t>NOEL ODICTA</t>
  </si>
  <si>
    <t>rachel ann pulhin</t>
  </si>
  <si>
    <t>Nolly Adrian B. Gabule</t>
  </si>
  <si>
    <t>Antonio, Jr. Sarigumba Acuña</t>
  </si>
  <si>
    <t>Jocelyn M. Dano</t>
  </si>
  <si>
    <t>Editha Pascua Covita</t>
  </si>
  <si>
    <t>Almond Garalde Leaño</t>
  </si>
  <si>
    <t>Samuel Cimeni Penales</t>
  </si>
  <si>
    <t>Arsenio Yu Cabacaba</t>
  </si>
  <si>
    <t>Arlene Abdurahim Cordero</t>
  </si>
  <si>
    <t>ROSELYN ANN R. BAGASOL</t>
  </si>
  <si>
    <t>Elmer Nev C Valenzuela</t>
  </si>
  <si>
    <t>LENI ROCHA RIOFLORIDO</t>
  </si>
  <si>
    <t>Mirasol Macaranas Rosano</t>
  </si>
  <si>
    <t>Felisa Villaluna</t>
  </si>
  <si>
    <t>ROMARICO M. CABELLON</t>
  </si>
  <si>
    <t>Editha D. Cruz</t>
  </si>
  <si>
    <t>Joyce De Vera</t>
  </si>
  <si>
    <t>Marites A. Bermal</t>
  </si>
  <si>
    <t>HENRY C. DE GUZMAN</t>
  </si>
  <si>
    <t>ABDULRAHMAN MACASILANG ULAMA</t>
  </si>
  <si>
    <t>PHET E CALINGASAN</t>
  </si>
  <si>
    <t>Robert Pineda Lucero</t>
  </si>
  <si>
    <t>MA. CATHERINA MENDOZA APOSTOL</t>
  </si>
  <si>
    <t>Allan C. Cauilan</t>
  </si>
  <si>
    <t>NESTOR LEDESMA</t>
  </si>
  <si>
    <t>Mary Ann N. Escoto</t>
  </si>
  <si>
    <t>Lourvelyn Sicat Lacson</t>
  </si>
  <si>
    <t>Marivic Ramos Baybay</t>
  </si>
  <si>
    <t>Maria Nenita Reyes Chiu</t>
  </si>
  <si>
    <t>Maribel Ebbes Antonio</t>
  </si>
  <si>
    <t>Realyn Mae Bonilla Bernas</t>
  </si>
  <si>
    <t>OSCAR ESCLADA ESLOFOR</t>
  </si>
  <si>
    <t>Regina S. Valdez</t>
  </si>
  <si>
    <t>Helen Capuyan Suico</t>
  </si>
  <si>
    <t>Norberto C Abad, Jr.</t>
  </si>
  <si>
    <t>Richel Arroza Mandigal</t>
  </si>
  <si>
    <t>Plaridel Agustin Uao</t>
  </si>
  <si>
    <t>JEOFREY TOMAS BLAS</t>
  </si>
  <si>
    <t>Celia M Perez</t>
  </si>
  <si>
    <t>Antonia C. Ebio</t>
  </si>
  <si>
    <t>Enrique Nochebuena Mocling</t>
  </si>
  <si>
    <t>Roberto Besarino Lucaban</t>
  </si>
  <si>
    <t>John M. Melgar</t>
  </si>
  <si>
    <t>MAJ GABRIEL D TAYKO (CE) PA</t>
  </si>
  <si>
    <t>Arnold Telan Pascua</t>
  </si>
  <si>
    <t>Ricardo Brigino Perez</t>
  </si>
  <si>
    <t>Vicente T. Belena</t>
  </si>
  <si>
    <t>Anselmo Baldoza Mano</t>
  </si>
  <si>
    <t>Romel T. Luga</t>
  </si>
  <si>
    <t>Lurline Merencillo Tongco</t>
  </si>
  <si>
    <t>Sherlita G. Ermina</t>
  </si>
  <si>
    <t>Jannes Detablan Cantones</t>
  </si>
  <si>
    <t>Josephine Villas Pontillas</t>
  </si>
  <si>
    <t>MARIA CECILLE JAMITO MADERA</t>
  </si>
  <si>
    <t>Margie P Alanunay</t>
  </si>
  <si>
    <t>Romarico J. Deona</t>
  </si>
  <si>
    <t>Glyza  Ampo  Landar</t>
  </si>
  <si>
    <t>Pedro Galeno Crispe</t>
  </si>
  <si>
    <t>Roderick Vergara</t>
  </si>
  <si>
    <t>JEREMIAS RAÑOLA TUMAMAK</t>
  </si>
  <si>
    <t>Virgie N Bibat</t>
  </si>
  <si>
    <t>JAYCIBETH TUNAC RAMIREZ</t>
  </si>
  <si>
    <t>ROY F DELA CRUZ</t>
  </si>
  <si>
    <t>Mary Grace L. Baarde</t>
  </si>
  <si>
    <t>FRANCISCO I. CORPUZ, JR.</t>
  </si>
  <si>
    <t>Melinda R Abanilla</t>
  </si>
  <si>
    <t>CORAZON A. YAMIT</t>
  </si>
  <si>
    <t>Ma. Lourdes Pangilinan Velasco</t>
  </si>
  <si>
    <t>Al G Adla-on</t>
  </si>
  <si>
    <t>Jessie P. dela Rosa</t>
  </si>
  <si>
    <t>Ma. Carlota Supillo Baral</t>
  </si>
  <si>
    <t>Veronica Samsam Macadangdang</t>
  </si>
  <si>
    <t>Rolando B. Bunag</t>
  </si>
  <si>
    <t>Ignacio Geno P. Eugenio</t>
  </si>
  <si>
    <t>Laurence Bryan R. Malana</t>
  </si>
  <si>
    <t>LILIBETTE PACAL IGNACIO</t>
  </si>
  <si>
    <t>Ian Luis Cabauatan Aguila</t>
  </si>
  <si>
    <t>Herbert Bodoso</t>
  </si>
  <si>
    <t>Dondon Bacuyag Castillo</t>
  </si>
  <si>
    <t>Danilo P Polestico</t>
  </si>
  <si>
    <t>Fernando Espinoza Lopez</t>
  </si>
  <si>
    <t>Delmor De Vera Pascual</t>
  </si>
  <si>
    <t>Emmanuel Cedric Martinez Ontong</t>
  </si>
  <si>
    <t>Abegail Gey B. Gubaton</t>
  </si>
  <si>
    <t>CRISPIN AUSTRIA BATAC</t>
  </si>
  <si>
    <t>Jasmen Joguilon Pablo</t>
  </si>
  <si>
    <t>Rowel Galo Panilawon</t>
  </si>
  <si>
    <t>Alejo Jr. M Nunez</t>
  </si>
  <si>
    <t>JOHN NACINO MOSELINA</t>
  </si>
  <si>
    <t>Mila Tolentino</t>
  </si>
  <si>
    <t>MARISSA PANLILIO ORTIZ</t>
  </si>
  <si>
    <t>Almar Cagas Acevedo</t>
  </si>
  <si>
    <t>IMELDA INSON FELICISIMO</t>
  </si>
  <si>
    <t>Victor Rodriguez Polancos</t>
  </si>
  <si>
    <t>Josephine Taruc Ocampo</t>
  </si>
  <si>
    <t>GEMMA C. AQUINO-BASTIAN</t>
  </si>
  <si>
    <t>Lourdes Macabulos</t>
  </si>
  <si>
    <t>RUDY S DACULAN</t>
  </si>
  <si>
    <t>JESUS S. PUNZALAN</t>
  </si>
  <si>
    <t>Eugene Paul Gundaya</t>
  </si>
  <si>
    <t>NIEVES HOSENA FIGUEROA</t>
  </si>
  <si>
    <t>Ruel Capucao de Loyola</t>
  </si>
  <si>
    <t>Benigno C Austero</t>
  </si>
  <si>
    <t>Rafael C Salles</t>
  </si>
  <si>
    <t>Dencio A Pagbilao</t>
  </si>
  <si>
    <t>Jose Ferdinand Laloy Gabrido</t>
  </si>
  <si>
    <t>Joselito Mallillin Bugayong</t>
  </si>
  <si>
    <t>Lyra RJ Cubos Carolino</t>
  </si>
  <si>
    <t>Melinda D Deyto</t>
  </si>
  <si>
    <t>Vanessa Gumop-as Rillo</t>
  </si>
  <si>
    <t>Maximo Jr. Pejo Magana</t>
  </si>
  <si>
    <t>Erick Jeffen Orense Estrella</t>
  </si>
  <si>
    <t>fredericka F. ferriol</t>
  </si>
  <si>
    <t>GENE ACHAS BACULPO</t>
  </si>
  <si>
    <t>Ma Luz Buenaagua Francisco</t>
  </si>
  <si>
    <t>EDUARDO P. GOLES</t>
  </si>
  <si>
    <t>Felizardo A. Go</t>
  </si>
  <si>
    <t>Jessie M. Galla</t>
  </si>
  <si>
    <t>Esterlina I. Gamez</t>
  </si>
  <si>
    <t>Rosemary R. Juan</t>
  </si>
  <si>
    <t>Dindo Bautista Gonzales</t>
  </si>
  <si>
    <t>Joemel Bolongaita Recamara</t>
  </si>
  <si>
    <t>Mila Pisay Wance</t>
  </si>
  <si>
    <t>WILSON NARVAIS CABRALES</t>
  </si>
  <si>
    <t>Alejandro Sr. Soncio Suello</t>
  </si>
  <si>
    <t>Lilane Mejillano Nuñez</t>
  </si>
  <si>
    <t>Ma. Charissa V. Legaspi</t>
  </si>
  <si>
    <t>LINO CORNELIO CECILIO TRIUNFO BASCUG</t>
  </si>
  <si>
    <t>REY  VILLA  MARTINEZ</t>
  </si>
  <si>
    <t>Arnel Loveras Flaviano</t>
  </si>
  <si>
    <t>Gilbert Sapio Dador</t>
  </si>
  <si>
    <t>GERALD E FULAY</t>
  </si>
  <si>
    <t>MARGARITA S. MACAPALLAG</t>
  </si>
  <si>
    <t>Maria Cecilia Bangalan De Leon</t>
  </si>
  <si>
    <t>Efren Tanista Guanzon</t>
  </si>
  <si>
    <t>Eric DM. Magpantay</t>
  </si>
  <si>
    <t>Eileen C Argañoza</t>
  </si>
  <si>
    <t>PERICLES CUIZON SOLLANO</t>
  </si>
  <si>
    <t>Edna C. Padayao</t>
  </si>
  <si>
    <t>Lea Echavez Sabaduquia</t>
  </si>
  <si>
    <t>Michelle M Marcos</t>
  </si>
  <si>
    <t>Jocelyn Talanay Pantaleon</t>
  </si>
  <si>
    <t>Vlademer Villalba Brit</t>
  </si>
  <si>
    <t>RICHARD ANDAYA FERNANDEZ</t>
  </si>
  <si>
    <t>Noelle Grace Bandonill Rillon</t>
  </si>
  <si>
    <t>Roderick I. Mendoza</t>
  </si>
  <si>
    <t>JUNE IVY CIELOS MENDEZ</t>
  </si>
  <si>
    <t>CRISALDO T MERCADER</t>
  </si>
  <si>
    <t>Jake Malnegro Maglahus</t>
  </si>
  <si>
    <t>Liezel Enriquez</t>
  </si>
  <si>
    <t>LORETO LUCERO LORENZO</t>
  </si>
  <si>
    <t>EFREN A BANGAYAN</t>
  </si>
  <si>
    <t>BERNARD MALINGTAY PEPE</t>
  </si>
  <si>
    <t>Rainie John B. Tubigan</t>
  </si>
  <si>
    <t>Analene Magno Yambao</t>
  </si>
  <si>
    <t>Melanie Alabat Jalover</t>
  </si>
  <si>
    <t>venus Torres Palciso</t>
  </si>
  <si>
    <t>Marc P Salaguban</t>
  </si>
  <si>
    <t>James Beltran</t>
  </si>
  <si>
    <t>Lito Miguel Dipia-o Cacayuran</t>
  </si>
  <si>
    <t>LIZA SANGUENZA VILLAMOR</t>
  </si>
  <si>
    <t>Gilbert C. Colegado</t>
  </si>
  <si>
    <t>Jayson B. Ramos</t>
  </si>
  <si>
    <t>Wulfranie Jr. M. Pascua</t>
  </si>
  <si>
    <t>Marvin Martinez Salcedo</t>
  </si>
  <si>
    <t>Manuel M. Andes</t>
  </si>
  <si>
    <t>Christopher Bataller Villafria</t>
  </si>
  <si>
    <t>Jenilyn P. San Luis</t>
  </si>
  <si>
    <t>Rizaldy Colon Mercadal</t>
  </si>
  <si>
    <t>Rodrhon Michael Espartero Melgar</t>
  </si>
  <si>
    <t>Diosdada V. Vito</t>
  </si>
  <si>
    <t>Jan Michael Clifford Bugtong</t>
  </si>
  <si>
    <t>NIEL CARO ROSALES</t>
  </si>
  <si>
    <t>Rogelio Bonifacio Antonio</t>
  </si>
  <si>
    <t>Helen P. Palma</t>
  </si>
  <si>
    <t>VALENTE MICLAT HALILI</t>
  </si>
  <si>
    <t>Jenny Igsoc  Calejesan</t>
  </si>
  <si>
    <t>JESSIE ESCALONA RAYRAY</t>
  </si>
  <si>
    <t>Aries C. Tang</t>
  </si>
  <si>
    <t>LOUISE GWEN ADVINCULA TABORETE</t>
  </si>
  <si>
    <t>John Salvacion Sambajon</t>
  </si>
  <si>
    <t>Vigilus Dominguez Credo</t>
  </si>
  <si>
    <t>Maylen Labay Murillo</t>
  </si>
  <si>
    <t>Levi P. Baldonado</t>
  </si>
  <si>
    <t>Erlinda B. Benter</t>
  </si>
  <si>
    <t>AMERIGO H. PAEZ</t>
  </si>
  <si>
    <t>Rene P Quezada</t>
  </si>
  <si>
    <t>Nellie A Francisco</t>
  </si>
  <si>
    <t>RANDOLPH PRIMAVERA RODRIGUEZ</t>
  </si>
  <si>
    <t>Eric Torres Tejada</t>
  </si>
  <si>
    <t>Cecilia O. Delos Reyes</t>
  </si>
  <si>
    <t>ROXAN KASTINE MENDOZA LUMAPAS</t>
  </si>
  <si>
    <t>Erwin Libres Cajelo</t>
  </si>
  <si>
    <t>Cynthia Eleonor Guno Manalo</t>
  </si>
  <si>
    <t>Sandae B. Lico</t>
  </si>
  <si>
    <t>Frederick Misamis Docdoc</t>
  </si>
  <si>
    <t>ROSMENDO CARDINEZ BONGOCAN, JR.</t>
  </si>
  <si>
    <t>Dan T Tayo</t>
  </si>
  <si>
    <t>Marietta Maata Cortes</t>
  </si>
  <si>
    <t>ANALISA FUASO GUILLARDE</t>
  </si>
  <si>
    <t>Miguel Sequio Gallego</t>
  </si>
  <si>
    <t>Minrad Quinto Tigno</t>
  </si>
  <si>
    <t>Ma. Candelaria  Villarama  Jarilla</t>
  </si>
  <si>
    <t>Fernando Momo Legaspi</t>
  </si>
  <si>
    <t>Christian George Bantilan Pal-ing</t>
  </si>
  <si>
    <t>Riza Ortez Muanag</t>
  </si>
  <si>
    <t>Geovanni Alfon Hera</t>
  </si>
  <si>
    <t>Erwin L. Tepace</t>
  </si>
  <si>
    <t>Judith Rengel Subiel</t>
  </si>
  <si>
    <t>Doreen A. Lugo</t>
  </si>
  <si>
    <t>JOHN DUPUDPONG TUNGOD</t>
  </si>
  <si>
    <t>J. JEFFREY E. PERTIERRA</t>
  </si>
  <si>
    <t>Jumdail Mohamad Kiram</t>
  </si>
  <si>
    <t>Henry Lovendino Salonga</t>
  </si>
  <si>
    <t>Eddie V Daday</t>
  </si>
  <si>
    <t>Sharon  G.  Umbaad</t>
  </si>
  <si>
    <t>SHERYL ANN A. JAMISOLA</t>
  </si>
  <si>
    <t>Jocelyn S. Toriaga</t>
  </si>
  <si>
    <t>Edgar Banzuela Balidoy</t>
  </si>
  <si>
    <t>Maria Theresa Estella Caasi</t>
  </si>
  <si>
    <t>KEREN JOYCE DAYOT POLICARPIO</t>
  </si>
  <si>
    <t>Teresa P. Silvestre</t>
  </si>
  <si>
    <t>melany d sobremonte</t>
  </si>
  <si>
    <t>Donnabel Manzano Justo</t>
  </si>
  <si>
    <t>Purificasion Quirante Barasi</t>
  </si>
  <si>
    <t>Jenny Esguerra Carreon</t>
  </si>
  <si>
    <t>Danny Clamor Flores</t>
  </si>
  <si>
    <t>Celina L. Padchanan</t>
  </si>
  <si>
    <t>Asuncion Asuncion Padre</t>
  </si>
  <si>
    <t>Darryl Christian Rigos</t>
  </si>
  <si>
    <t>DIOSDADO A. PAULE</t>
  </si>
  <si>
    <t>ROMEO PARUGRUG DANO</t>
  </si>
  <si>
    <t>Visitacion Villero Giva</t>
  </si>
  <si>
    <t>Bienvenido Villaflores Aldaba Jr.</t>
  </si>
  <si>
    <t>Ivy C. Huertas</t>
  </si>
  <si>
    <t>Editha V. Aguinaldo, MPA, MBA</t>
  </si>
  <si>
    <t>Rose Dianne M Escasa</t>
  </si>
  <si>
    <t>Leonard D Danao</t>
  </si>
  <si>
    <t>Genes Mosinde  Beronio</t>
  </si>
  <si>
    <t>John Gregg S. Arago</t>
  </si>
  <si>
    <t>ALAN P. REMOT</t>
  </si>
  <si>
    <t>Armando Bañaga Uluan</t>
  </si>
  <si>
    <t>ALWIN M. UY</t>
  </si>
  <si>
    <t>Lilian  Pacamalan  Uy</t>
  </si>
  <si>
    <t>Jeric Capina Caguite</t>
  </si>
  <si>
    <t>Patrick Bayona Gimeno</t>
  </si>
  <si>
    <t>Maria Liezl Clam Gutang</t>
  </si>
  <si>
    <t>Diosdada Sayson Garcia</t>
  </si>
  <si>
    <t>RICARDO LASTIMOSA LAPIZ</t>
  </si>
  <si>
    <t>RAMONA CAMPOMANES OPEÑA</t>
  </si>
  <si>
    <t>Rosebella Padura Martinez</t>
  </si>
  <si>
    <t>Ernani B. Añonuevo</t>
  </si>
  <si>
    <t>Honey Mae Rosete Ruiz</t>
  </si>
  <si>
    <t>RIZZA VILLAROSA YADAO</t>
  </si>
  <si>
    <t>Jacinto Guerta Ederosas</t>
  </si>
  <si>
    <t>Nica Louise Quirante Eleazar</t>
  </si>
  <si>
    <t>Juliet Elaine Acuna</t>
  </si>
  <si>
    <t>Susana Mejia Catubig</t>
  </si>
  <si>
    <t>Manuel Perez Delica</t>
  </si>
  <si>
    <t>CINSP JERICKSON PATRIARCA MIRAFLOR</t>
  </si>
  <si>
    <t>Raul Casurra Micompal</t>
  </si>
  <si>
    <t>Mercy Gavino Valgomera</t>
  </si>
  <si>
    <t>Luna  Luz Bajamunde Racho</t>
  </si>
  <si>
    <t>Eric L. Calvar</t>
  </si>
  <si>
    <t>Harold P Morri</t>
  </si>
  <si>
    <t>Dorivic G Espina</t>
  </si>
  <si>
    <t>Mark Philip Tusi Logronio</t>
  </si>
  <si>
    <t>Bon Derryl G. Pugal</t>
  </si>
  <si>
    <t>Mae Valledor</t>
  </si>
  <si>
    <t>Eddie cabacungan Acosta</t>
  </si>
  <si>
    <t>ronvie pangilinan masangya</t>
  </si>
  <si>
    <t>Sweet L. Malima</t>
  </si>
  <si>
    <t>Merlina Tunggala Macararanga</t>
  </si>
  <si>
    <t>Rusell Gattu Lozano</t>
  </si>
  <si>
    <t>Sergio De Guzman Ramirez</t>
  </si>
  <si>
    <t>Joseph Raphael De Guzman Francisco</t>
  </si>
  <si>
    <t>Jayson Sierra Andaya</t>
  </si>
  <si>
    <t>Domingo Aguilera Lozande</t>
  </si>
  <si>
    <t>LENY ROSALES GALOS</t>
  </si>
  <si>
    <t>Anacleto Morideo Isla</t>
  </si>
  <si>
    <t>Cherryl Roque Diaz</t>
  </si>
  <si>
    <t>KARL JOSEF GUERRERO HUFANA</t>
  </si>
  <si>
    <t>Joseph Villanueva Emboltorio</t>
  </si>
  <si>
    <t>Maria Comia Barbachano</t>
  </si>
  <si>
    <t>Aljun Gregorio Balongoy</t>
  </si>
  <si>
    <t>Norlan M De Las Alas</t>
  </si>
  <si>
    <t>MANUEL PARAYNO PARAYNO</t>
  </si>
  <si>
    <t>JOCELYN AN VERDADERO</t>
  </si>
  <si>
    <t>Brenda R. Morales</t>
  </si>
  <si>
    <t>CYNTHIA MARIE DE SAGUN</t>
  </si>
  <si>
    <t>Analiza Camsa Lomedeg</t>
  </si>
  <si>
    <t>Ma. Carlo Santander Canindo</t>
  </si>
  <si>
    <t>ALBERT GEÑOSO ADLAON</t>
  </si>
  <si>
    <t>PRISCILLA SOTELO BATOR</t>
  </si>
  <si>
    <t>Hanz Willbur Domondon Quebral</t>
  </si>
  <si>
    <t>Teofilo, Jr. Rostata Gervacio</t>
  </si>
  <si>
    <t>LAILA FUERTES DANAQUE</t>
  </si>
  <si>
    <t>Hernadith Hinolan Casas</t>
  </si>
  <si>
    <t>Grace Canceran Madongit</t>
  </si>
  <si>
    <t>Kem Berly  C. Abio</t>
  </si>
  <si>
    <t>Eric Conrado B. Lumague</t>
  </si>
  <si>
    <t>Brian D. Lumague</t>
  </si>
  <si>
    <t>Teotimo delos Santos de Leon</t>
  </si>
  <si>
    <t>Nivea Kaye T. Reyes</t>
  </si>
  <si>
    <t>Jesus Nathaniel Calaguas Pili</t>
  </si>
  <si>
    <t>soledad layoso baltazar</t>
  </si>
  <si>
    <t>EDNA GONZALES</t>
  </si>
  <si>
    <t>Erlim Alegre Azotea</t>
  </si>
  <si>
    <t>Rachel Caldo De Loyola</t>
  </si>
  <si>
    <t>Hamza M. Boloto</t>
  </si>
  <si>
    <t>Emylyn Carpila Casipong</t>
  </si>
  <si>
    <t>JENNY VIE MIRABUENO BASCON</t>
  </si>
  <si>
    <t>Jose Jr. Cerro Boiles</t>
  </si>
  <si>
    <t>Joy  G. Pumanes</t>
  </si>
  <si>
    <t>Virgilio Abaday Dapoc</t>
  </si>
  <si>
    <t>Mila C Altura</t>
  </si>
  <si>
    <t>MARIBEL TANDINGAN MANAIT</t>
  </si>
  <si>
    <t>Jomar Beltran Torres</t>
  </si>
  <si>
    <t>Conchita Oriarte Dotado</t>
  </si>
  <si>
    <t>KAREN  M. MAGSALIN</t>
  </si>
  <si>
    <t>LEYTE PROVINCIAL BAC</t>
  </si>
  <si>
    <t>Marcelo C. Gutierrez</t>
  </si>
  <si>
    <t>Maricel Macalam Lasaca</t>
  </si>
  <si>
    <t>Felicisima Capistrano Balasabas</t>
  </si>
  <si>
    <t>Julie Ann Treyes Geguiento</t>
  </si>
  <si>
    <t>JOE MORFE AZORES</t>
  </si>
  <si>
    <t>Ferleo Canarias Flores</t>
  </si>
  <si>
    <t>Virgie  Balmadres Hurtado</t>
  </si>
  <si>
    <t>GLENN H. TIANGHA</t>
  </si>
  <si>
    <t>Elvina M Dotimas</t>
  </si>
  <si>
    <t>RONNEL B GUNDOY</t>
  </si>
  <si>
    <t>SHIRLEY SENA SIGUE</t>
  </si>
  <si>
    <t>Epifanio D. Villasorca</t>
  </si>
  <si>
    <t>Sarah Mae Descalso Oyao</t>
  </si>
  <si>
    <t>JONEFE GOMEZ OCASLA</t>
  </si>
  <si>
    <t>JERUFFABELLE ARZADON BAUYON</t>
  </si>
  <si>
    <t>Dominador A Bucalbos</t>
  </si>
  <si>
    <t>Marivic E.  Tongco</t>
  </si>
  <si>
    <t>MARIE JANE ABING CLAVERO</t>
  </si>
  <si>
    <t>Michael M.Peñaflor</t>
  </si>
  <si>
    <t>Edsel A. Moratal</t>
  </si>
  <si>
    <t>Alex P. Pana</t>
  </si>
  <si>
    <t>Christine Joy Benin Anonuevo</t>
  </si>
  <si>
    <t>Rosalie  C.  Sanico</t>
  </si>
  <si>
    <t>Aileen P Cha</t>
  </si>
  <si>
    <t>Lorelie Geronimo Pacquiao</t>
  </si>
  <si>
    <t>Dianne April S Pangan</t>
  </si>
  <si>
    <t>Precious D Yco</t>
  </si>
  <si>
    <t>Dennis Tono Ventilacion</t>
  </si>
  <si>
    <t>ADELFA RICO BELLO</t>
  </si>
  <si>
    <t>Eric Floreta Labastilla</t>
  </si>
  <si>
    <t>ELAINE JUBAILYN MAGARANG MOCSANAT</t>
  </si>
  <si>
    <t>RODELIO ALDAY BERNARDO</t>
  </si>
  <si>
    <t>Ma.Kriselda Madriaga Magallano</t>
  </si>
  <si>
    <t>Thelma Ardon Escanillas</t>
  </si>
  <si>
    <t>ERLINDA FONTANOS MANIPON</t>
  </si>
  <si>
    <t>Dolphy Degay Ticlaen</t>
  </si>
  <si>
    <t>Jake Ceasar Cardenas Quario</t>
  </si>
  <si>
    <t>MARILYN MILLARES MAGPANTAY</t>
  </si>
  <si>
    <t>Charito Tinio Mertens</t>
  </si>
  <si>
    <t>Jenelyn Drilon Lazare</t>
  </si>
  <si>
    <t>MERCEDES M. ALFUERTE</t>
  </si>
  <si>
    <t>Jeoffrey Almeria</t>
  </si>
  <si>
    <t>June   C.  Caberoy</t>
  </si>
  <si>
    <t>Janelle Dela Cruz</t>
  </si>
  <si>
    <t>MARILOU R. CUNANAN</t>
  </si>
  <si>
    <t>Esmeralda Attaban Gacias</t>
  </si>
  <si>
    <t>Anna Liza Ramirez Quirolgico</t>
  </si>
  <si>
    <t>Ursino C. Pascua</t>
  </si>
  <si>
    <t>Jose Ramirez Hainto Jr.</t>
  </si>
  <si>
    <t>Elpidio Jr. D. Lucernas</t>
  </si>
  <si>
    <t>Ernesto Garcia Escoto</t>
  </si>
  <si>
    <t>MA LOURDES BUNOTAN DANGGA</t>
  </si>
  <si>
    <t>Fatima M. Ombawa</t>
  </si>
  <si>
    <t>Xanthi Romeilla Jalon Vallicer</t>
  </si>
  <si>
    <t>RYMER TEJOME GALLARON</t>
  </si>
  <si>
    <t>ANGELITA REPOREN GERONIMO</t>
  </si>
  <si>
    <t>EMELITO M YURO</t>
  </si>
  <si>
    <t>Leomar Bayod Balod</t>
  </si>
  <si>
    <t>Jever Catalan Vargas</t>
  </si>
  <si>
    <t>EDUARDO SARMIENTO CRUZ</t>
  </si>
  <si>
    <t>Felipe M Hutalla</t>
  </si>
  <si>
    <t>Kristine Gomez Contreras</t>
  </si>
  <si>
    <t>Jenalyn Retuya Ruiz</t>
  </si>
  <si>
    <t>Reynaldo Sumagaysay Belgira</t>
  </si>
  <si>
    <t>Angel Shieldon C Agan</t>
  </si>
  <si>
    <t>Rheajane Chu Saavedra</t>
  </si>
  <si>
    <t>Chinalyn Dakiwag Rivera</t>
  </si>
  <si>
    <t>elmer ilanan sale</t>
  </si>
  <si>
    <t>Maricel R. Enrique</t>
  </si>
  <si>
    <t>Bernadette Boniel Dela Cruz</t>
  </si>
  <si>
    <t>Aldino Ariola Bazar</t>
  </si>
  <si>
    <t>Ruby E De Jong</t>
  </si>
  <si>
    <t>ALEXANDER VENTERO PIDOR</t>
  </si>
  <si>
    <t>David B. Reyes, Jr.</t>
  </si>
  <si>
    <t>Reynaldo Aquino  Ariola</t>
  </si>
  <si>
    <t>Alfredo jr Viray Yamat</t>
  </si>
  <si>
    <t>Ruiz Lloyd Gonzales Magcamit</t>
  </si>
  <si>
    <t>MARJORIE SAMSON SAN JUAN</t>
  </si>
  <si>
    <t>Vannesa Bianca Garcia</t>
  </si>
  <si>
    <t>Eris Jay Agbas Gregana</t>
  </si>
  <si>
    <t>Roger Pabilona Aguacito</t>
  </si>
  <si>
    <t>Cecille T Sally</t>
  </si>
  <si>
    <t>Flerida P Dagamat</t>
  </si>
  <si>
    <t>Roel Galang Villanueva</t>
  </si>
  <si>
    <t>Justin O. Luna</t>
  </si>
  <si>
    <t>JHORRY SANICO CANTA</t>
  </si>
  <si>
    <t>Elimar Duran Amidao</t>
  </si>
  <si>
    <t>Alexander N. Morados Jr.</t>
  </si>
  <si>
    <t>Joseph  Mangco  Soriano</t>
  </si>
  <si>
    <t>vivencio c. palo</t>
  </si>
  <si>
    <t>Rochelle Sernadilla Santiago</t>
  </si>
  <si>
    <t>Isayra  Borcelas Aniceto</t>
  </si>
  <si>
    <t>Jo Anna Lyn Amansec Payra</t>
  </si>
  <si>
    <t>Christian Immanuel Evangelista Vargas</t>
  </si>
  <si>
    <t>Lope Watiwat del Mundo</t>
  </si>
  <si>
    <t>Rodel O. Serrano</t>
  </si>
  <si>
    <t>Marilou Lontoc Lascano</t>
  </si>
  <si>
    <t>Eunice Bangguiyao Bundang</t>
  </si>
  <si>
    <t>LITO LAPITAN</t>
  </si>
  <si>
    <t>Cuajotor Toledo Albert</t>
  </si>
  <si>
    <t>Rhea Robles Duculan</t>
  </si>
  <si>
    <t>Roberto De Guzman Estrella</t>
  </si>
  <si>
    <t>Edwin Sapa Jomao-as</t>
  </si>
  <si>
    <t>Ma. Luisa C Tenedero</t>
  </si>
  <si>
    <t>Pat Andrew B. Barrientos</t>
  </si>
  <si>
    <t>Rosario D De Luna</t>
  </si>
  <si>
    <t>Dionicio R. Dizon</t>
  </si>
  <si>
    <t>Darwin Moso Labe</t>
  </si>
  <si>
    <t>Fermin F Sapuras</t>
  </si>
  <si>
    <t>Shiedhe Kembuan Bangen</t>
  </si>
  <si>
    <t>Resurreccion De Guzman Abada</t>
  </si>
  <si>
    <t>Eden E. Dioquino</t>
  </si>
  <si>
    <t>Ma. Cecilia  A.  Cedro</t>
  </si>
  <si>
    <t>Sonny Miranda Naing</t>
  </si>
  <si>
    <t>Roselle Manrique Carlos</t>
  </si>
  <si>
    <t>Gregorio Reyes Wapelle Jr</t>
  </si>
  <si>
    <t>CHERRY LOVE SALAGOSTE SUCLATAN</t>
  </si>
  <si>
    <t>ROGELIO PURGATORIO DAÑO</t>
  </si>
  <si>
    <t>ROSALIE N. MORALDE</t>
  </si>
  <si>
    <t>PROCOPIO Maceda Salud</t>
  </si>
  <si>
    <t>Edralin B. Baingan</t>
  </si>
  <si>
    <t>GARY PIODOS BARRIGA</t>
  </si>
  <si>
    <t>MARY PRINCESS ABRIO ERAN</t>
  </si>
  <si>
    <t>Bernadette A Susvilla, Ed. D. CESO VI</t>
  </si>
  <si>
    <t>Cliftone Kiteng Bangse-il</t>
  </si>
  <si>
    <t>Noel Teodoro D. Malodrigo</t>
  </si>
  <si>
    <t>Freddie Uraga Villajuan</t>
  </si>
  <si>
    <t>RESTITUTO N. RENDAJE</t>
  </si>
  <si>
    <t>Susan Diswe Costiniano</t>
  </si>
  <si>
    <t>Jellyby M Manlin</t>
  </si>
  <si>
    <t>Roxanne Lagnason Manoos</t>
  </si>
  <si>
    <t>JOVYLYN P LUCAS</t>
  </si>
  <si>
    <t>Carina Lucero Abrea</t>
  </si>
  <si>
    <t>Lordino Guillermo Antonio</t>
  </si>
  <si>
    <t>Glenn Anthony M. San Mateo</t>
  </si>
  <si>
    <t>Melotina P. Cadiz</t>
  </si>
  <si>
    <t>ESTILA TOGABANG SALOMES</t>
  </si>
  <si>
    <t>Vincent Murillo Caang</t>
  </si>
  <si>
    <t>JUNE DE LEON ESPINOSA</t>
  </si>
  <si>
    <t>Nora Pinkihan Linglingon</t>
  </si>
  <si>
    <t>Roval Regalado De Jesus</t>
  </si>
  <si>
    <t>Christopher D. Badayos</t>
  </si>
  <si>
    <t>Judith D. Alde</t>
  </si>
  <si>
    <t>Nerissa Raymundo Quintinio</t>
  </si>
  <si>
    <t>Rogelio A. Mallillin</t>
  </si>
  <si>
    <t>Antonio Bartolo Mercado</t>
  </si>
  <si>
    <t>Emilio G. Quanico</t>
  </si>
  <si>
    <t>Ariel M Galita</t>
  </si>
  <si>
    <t>Noli U. Guiad</t>
  </si>
  <si>
    <t>Mario V. Abad</t>
  </si>
  <si>
    <t>Jay Legaspi Cabiles</t>
  </si>
  <si>
    <t>Emma Fernandez Sotto</t>
  </si>
  <si>
    <t>Mark Lester Emia Risma</t>
  </si>
  <si>
    <t>Procurement Management Unit DBP - Head Office</t>
  </si>
  <si>
    <t>Ma. Revienna P Sosa</t>
  </si>
  <si>
    <t>Sheila A. Naig</t>
  </si>
  <si>
    <t>Crisel Luna Layague Agudo</t>
  </si>
  <si>
    <t>Shiela Marie Pama Franco</t>
  </si>
  <si>
    <t>Regino T. Handungan Jr.</t>
  </si>
  <si>
    <t>FREDERICK ORTEZA DELA CRUZ</t>
  </si>
  <si>
    <t>NOLI U GUIAD</t>
  </si>
  <si>
    <t>Rowena Arcon Plando</t>
  </si>
  <si>
    <t>MELCHOR JR. P. DEJANO</t>
  </si>
  <si>
    <t>Willbert D Hosme</t>
  </si>
  <si>
    <t>PHILLIP C. ADVIENTO</t>
  </si>
  <si>
    <t>NAZARIO JR. T. DACARA</t>
  </si>
  <si>
    <t>Ma. Czarina Aguil Subillaga</t>
  </si>
  <si>
    <t>MARK JAYSON LOMBOY FELIPE</t>
  </si>
  <si>
    <t>Arturo Bordeos Timog</t>
  </si>
  <si>
    <t>GERALYN CAÑAS</t>
  </si>
  <si>
    <t>Ana Marie lauron Guirigay</t>
  </si>
  <si>
    <t>Leonardo S. Maningas, Jr.</t>
  </si>
  <si>
    <t>Reno P  Doong</t>
  </si>
  <si>
    <t>Nadine Beira</t>
  </si>
  <si>
    <t>Amiable Agnes M. Rubio</t>
  </si>
  <si>
    <t>ESTER BILON CARGULLO</t>
  </si>
  <si>
    <t>Juvy Reyes Vista</t>
  </si>
  <si>
    <t>Daphne Tolentino Campano</t>
  </si>
  <si>
    <t>Darryl Jr. L. Montealto</t>
  </si>
  <si>
    <t>Maria Magnaye Matawaran</t>
  </si>
  <si>
    <t>Agnes Buena Agnas</t>
  </si>
  <si>
    <t>Roderick A Ydel</t>
  </si>
  <si>
    <t xml:space="preserve">MYLEN  LEGASPINA  GONZAGA </t>
  </si>
  <si>
    <t>Michael P Arayan</t>
  </si>
  <si>
    <t>Oliver Magtoto Layug</t>
  </si>
  <si>
    <t>Eleuterio L Blasco</t>
  </si>
  <si>
    <t>SHERYL JOY DEL ROSARIO SAMSON</t>
  </si>
  <si>
    <t>Josephine  B. Sabando</t>
  </si>
  <si>
    <t>LCDR RAYMOND A ROLDAN PN</t>
  </si>
  <si>
    <t>Rodita P Aban</t>
  </si>
  <si>
    <t>ROY DOLINO BENDANILLO</t>
  </si>
  <si>
    <t>Vicente Hotchkiss Pimentel, III</t>
  </si>
  <si>
    <t>Dauphny O Bandayrel</t>
  </si>
  <si>
    <t>DEN AGUILAR LUCINO</t>
  </si>
  <si>
    <t>Marilu Nery Cardenas</t>
  </si>
  <si>
    <t>MARIA ARRA PAZ G. SELLAR</t>
  </si>
  <si>
    <t>LORELLIE OCAMPO RABANERA</t>
  </si>
  <si>
    <t>Robert Tuscano</t>
  </si>
  <si>
    <t>Virginia D. Balderas</t>
  </si>
  <si>
    <t>Zotico L. Pastelero</t>
  </si>
  <si>
    <t>Ma.Gemma C. Lasala</t>
  </si>
  <si>
    <t>MARJORIE ALVAREZ DELA CRUZ</t>
  </si>
  <si>
    <t>Rainer Mansion Padilla</t>
  </si>
  <si>
    <t>ANNE MARGARETT A. BORNASAL</t>
  </si>
  <si>
    <t>Jesus A. Bernal</t>
  </si>
  <si>
    <t>Edmer S. Polloso</t>
  </si>
  <si>
    <t>May Rose Dejaro  Denolang</t>
  </si>
  <si>
    <t>Dudeo C. Galeon</t>
  </si>
  <si>
    <t>Ermintrude Diaz Gonzales</t>
  </si>
  <si>
    <t>Fernando E Tanciongco</t>
  </si>
  <si>
    <t>Florinda Z Babilonia</t>
  </si>
  <si>
    <t>CHATTLEYA G AMIT</t>
  </si>
  <si>
    <t>Mila Jihan GIBA</t>
  </si>
  <si>
    <t>Wilfredo F. Gundran</t>
  </si>
  <si>
    <t>Susana M Pardo</t>
  </si>
  <si>
    <t>Madel Lagustan Rocha</t>
  </si>
  <si>
    <t>Nelson Bonifacio Villaluna</t>
  </si>
  <si>
    <t>Marilyn G Efondo</t>
  </si>
  <si>
    <t>Marina Ingoy Balicoco</t>
  </si>
  <si>
    <t>MARICHEL PUGOSA CORAZA</t>
  </si>
  <si>
    <t>Roberto Chu Tiu</t>
  </si>
  <si>
    <t>MARIVIC CALABIO PRADO</t>
  </si>
  <si>
    <t>Earl Dompales Nalzaro</t>
  </si>
  <si>
    <t>Ma. Gina Diaz Valenzuela</t>
  </si>
  <si>
    <t>Mary Jean Cuello Quinlat</t>
  </si>
  <si>
    <t>Ma. Salvacion R. Ferrer</t>
  </si>
  <si>
    <t>FRANK F. FANGED</t>
  </si>
  <si>
    <t>Kim Manalo Manuel</t>
  </si>
  <si>
    <t>Levy H. Lagutin Jr.</t>
  </si>
  <si>
    <t>RENE GARDUQUE VIERNES</t>
  </si>
  <si>
    <t>Relanie T Esta</t>
  </si>
  <si>
    <t>Leticia O. Clemente</t>
  </si>
  <si>
    <t>richelle carreon amores</t>
  </si>
  <si>
    <t>MARY GRACE C CADALSO</t>
  </si>
  <si>
    <t>MA. BELLA SUNGA FAJARDO</t>
  </si>
  <si>
    <t>Tessie Bocales Lingbanan</t>
  </si>
  <si>
    <t>Nolan A Tocao</t>
  </si>
  <si>
    <t>Janet A. Pumalo</t>
  </si>
  <si>
    <t>Derrick  Perez  Amparo</t>
  </si>
  <si>
    <t>Alberto V. Cainglet</t>
  </si>
  <si>
    <t>FRANZE BETH S. NERI</t>
  </si>
  <si>
    <t>Resiel Delos Santos</t>
  </si>
  <si>
    <t>Asela Bagasin Sacramed</t>
  </si>
  <si>
    <t>Joel Guilao Bucao</t>
  </si>
  <si>
    <t>Erlan Magaling Maming</t>
  </si>
  <si>
    <t>Michael A. Piodena</t>
  </si>
  <si>
    <t>Ruel Robina Ragas</t>
  </si>
  <si>
    <t>Asaria P Cañal</t>
  </si>
  <si>
    <t>Grace D. Gamolo</t>
  </si>
  <si>
    <t>Michelle Mahusay Nable</t>
  </si>
  <si>
    <t>ALEX HILARIO BALAAN</t>
  </si>
  <si>
    <t>Ormil D.  Go</t>
  </si>
  <si>
    <t>Fernando Boricano Mercene</t>
  </si>
  <si>
    <t>Nina Lacson Magat</t>
  </si>
  <si>
    <t>Mansueto Ibale Diangco</t>
  </si>
  <si>
    <t>Verisima Sarigumba Calipusan</t>
  </si>
  <si>
    <t>JAY PERNIA PEÑA</t>
  </si>
  <si>
    <t>DHAN CARL TOLEDANES</t>
  </si>
  <si>
    <t>Michael Cunanan Obaña</t>
  </si>
  <si>
    <t>Sonny Boy Bautista Berbano</t>
  </si>
  <si>
    <t>MA. RIZZA M ASIS</t>
  </si>
  <si>
    <t>Juliet A Cabrera</t>
  </si>
  <si>
    <t>Daisy D Bautista</t>
  </si>
  <si>
    <t>MARY JOY LOPEZ VERGARA</t>
  </si>
  <si>
    <t>VILMA NAAG CASAMA</t>
  </si>
  <si>
    <t>Jude Thaddeus G. Paat</t>
  </si>
  <si>
    <t>DEBBIE HERRAS ESCURO</t>
  </si>
  <si>
    <t>Jeffreylhada Muallil Noor</t>
  </si>
  <si>
    <t>James Molejon Repita</t>
  </si>
  <si>
    <t>Christopher Dave Baldedara Musa</t>
  </si>
  <si>
    <t>CITA I. COSTIMIANO</t>
  </si>
  <si>
    <t>Antonio T Chan</t>
  </si>
  <si>
    <t>Corazon O. Julian</t>
  </si>
  <si>
    <t>Noriel G. Sanson</t>
  </si>
  <si>
    <t>Govanne Marie Agudo</t>
  </si>
  <si>
    <t>Teresita L. Vitug</t>
  </si>
  <si>
    <t>Irma Mabilangan Marajas</t>
  </si>
  <si>
    <t>GINA D. ABENIO</t>
  </si>
  <si>
    <t>ROGELIO S CARAMAT</t>
  </si>
  <si>
    <t>Arturo Magallon Palencia</t>
  </si>
  <si>
    <t>Dhonna Faith Miguel Legaspi</t>
  </si>
  <si>
    <t>NOVER M. BATE</t>
  </si>
  <si>
    <t>VICTOR M. MOYA</t>
  </si>
  <si>
    <t>BERNARDITHA BOLINA MILLETE</t>
  </si>
  <si>
    <t>Samson Barcellano Gonzales</t>
  </si>
  <si>
    <t>Arlene N Nufuar</t>
  </si>
  <si>
    <t>Roda Dolores Franco</t>
  </si>
  <si>
    <t>Darius Brod Delalamon Pelismino</t>
  </si>
  <si>
    <t>Jennifer Mateo Hobrero</t>
  </si>
  <si>
    <t>Jay  Solima Subac</t>
  </si>
  <si>
    <t>Exiqueil Ponce Geraldo</t>
  </si>
  <si>
    <t>Lunrey B. Bagor</t>
  </si>
  <si>
    <t>PADILLA A. MACAWADIB</t>
  </si>
  <si>
    <t>ROSAVILLA  COLANGCO  BALAZO</t>
  </si>
  <si>
    <t>Imelda  M. Fernandez</t>
  </si>
  <si>
    <t>RAYMUND M. DIAZ</t>
  </si>
  <si>
    <t>Aniceta Ganade Omapas</t>
  </si>
  <si>
    <t>Riavida Macalolot Soriaga</t>
  </si>
  <si>
    <t>Minda B Bardiano</t>
  </si>
  <si>
    <t>TRIPON  MERCADO  CONDEZA</t>
  </si>
  <si>
    <t>Arjean Villacorta Jumamoy</t>
  </si>
  <si>
    <t>Lilybeth Delfin Langomez</t>
  </si>
  <si>
    <t>Maricel Iglesia Panistante</t>
  </si>
  <si>
    <t>Rizza Villena Dalisay</t>
  </si>
  <si>
    <t>MARIE FRANCE VIC OLALO AGUINALDO</t>
  </si>
  <si>
    <t>Noel  Maliwanag  Trajico</t>
  </si>
  <si>
    <t>Jenna Lumacang Cervantes</t>
  </si>
  <si>
    <t>Maria Ritchie Saraga Olayra</t>
  </si>
  <si>
    <t>Merly Jumao-as Omambac</t>
  </si>
  <si>
    <t>Jennifer  d Alcantara</t>
  </si>
  <si>
    <t>Marlyn Espina Abella</t>
  </si>
  <si>
    <t>PILAR RABINO VITTO</t>
  </si>
  <si>
    <t>Danilo Anggot Taucan</t>
  </si>
  <si>
    <t>Dominador Zamboanga Mendiola Jr.</t>
  </si>
  <si>
    <t>Ronald D. Elnar</t>
  </si>
  <si>
    <t>Maribeth P. Saberon</t>
  </si>
  <si>
    <t>Nedencio T. Macles and Rebecca M. Gadayan</t>
  </si>
  <si>
    <t>Ma. Yvonne  Domanais/ C Shalie  Coralde</t>
  </si>
  <si>
    <t>JOAN JUDE R. LOPEZ</t>
  </si>
  <si>
    <t>Angelica Santayana Asiao</t>
  </si>
  <si>
    <t>Christian Quitoriano Doria</t>
  </si>
  <si>
    <t>Cheryl Escoro Ortiz</t>
  </si>
  <si>
    <t>Verlene Layaoen Melendez</t>
  </si>
  <si>
    <t>KATHRYN SANTIC ASUNCION</t>
  </si>
  <si>
    <t>BAC ILOCOS SUR</t>
  </si>
  <si>
    <t>Roland Cuenca Grijalvo</t>
  </si>
  <si>
    <t>George Sacdalan Mendoza</t>
  </si>
  <si>
    <t>Edmundo Alonzo Escape</t>
  </si>
  <si>
    <t>Annette Francisco Virtudazo</t>
  </si>
  <si>
    <t>charlemagne tupag noble</t>
  </si>
  <si>
    <t>Irene B Relato</t>
  </si>
  <si>
    <t>FERNANDO ORACION</t>
  </si>
  <si>
    <t>MA. ANTONIA GATIL RAFALES</t>
  </si>
  <si>
    <t>Merlinda Saligumba Baliong</t>
  </si>
  <si>
    <t>Nerissa M. Tan</t>
  </si>
  <si>
    <t>Saturnino A. Bernales Jr</t>
  </si>
  <si>
    <t>Perry N. Nava</t>
  </si>
  <si>
    <t>CECILIA NAVARRO CALDERON</t>
  </si>
  <si>
    <t>Arnel V. Velonta</t>
  </si>
  <si>
    <t>MARIELLE SANDRA GAVIOLA</t>
  </si>
  <si>
    <t>Rolando L. Policios</t>
  </si>
  <si>
    <t>Rosevi Virata Prodigalidad</t>
  </si>
  <si>
    <t>RAIMUNDA MATUOD LUMANTAS</t>
  </si>
  <si>
    <t>Christopher M. Edjic</t>
  </si>
  <si>
    <t>Jeesson D Alamar</t>
  </si>
  <si>
    <t>Shierralou Marie M. Gulfo</t>
  </si>
  <si>
    <t>RICARDO BINENE FERNANDEZ</t>
  </si>
  <si>
    <t>Alvin Putulan Aceret</t>
  </si>
  <si>
    <t>Glenda Labitigan Goti-ay</t>
  </si>
  <si>
    <t>Engr. Joel Antonio</t>
  </si>
  <si>
    <t>Ruel Cole Armodia</t>
  </si>
  <si>
    <t>Jose Ryan F Galon</t>
  </si>
  <si>
    <t>Roel Jacob</t>
  </si>
  <si>
    <t>FILIPINAS ESTRELLA RODELAS</t>
  </si>
  <si>
    <t>Emma Gersan Apdian</t>
  </si>
  <si>
    <t>Odessa Barba Tejada</t>
  </si>
  <si>
    <t>Zammuel Arellano Bernales</t>
  </si>
  <si>
    <t>Enrique Cruz</t>
  </si>
  <si>
    <t>Milagros Puyo Floirendo</t>
  </si>
  <si>
    <t>Roderick Trangia Songahid</t>
  </si>
  <si>
    <t>Caryn Rose Dy Escobido</t>
  </si>
  <si>
    <t>Shajid Peter Sales Salih</t>
  </si>
  <si>
    <t>Noli Feliciano Dinglasan</t>
  </si>
  <si>
    <t>Mary Joy Ignas Pedrero</t>
  </si>
  <si>
    <t>FE MARIE  BURLAT  GALUA</t>
  </si>
  <si>
    <t>Eny Bargo Ferriol</t>
  </si>
  <si>
    <t>CONIE LOSARIA ESCALONA</t>
  </si>
  <si>
    <t>Chona M. Halili</t>
  </si>
  <si>
    <t>Armando Guinar Simbano</t>
  </si>
  <si>
    <t>Ria C. Agbulos</t>
  </si>
  <si>
    <t>Patricia Kaye Lorio Amate</t>
  </si>
  <si>
    <t>RIZALDY L. MENDOZA</t>
  </si>
  <si>
    <t>Manuel Melis Ignacio</t>
  </si>
  <si>
    <t>Arnoldo A. Ramos Jr.</t>
  </si>
  <si>
    <t>Dexter Ramis Sarcon</t>
  </si>
  <si>
    <t>EDELBERTO R. FRANCISCO</t>
  </si>
  <si>
    <t>CLIFTON GARETH NGODCHO FANG-ASAN</t>
  </si>
  <si>
    <t>Gumersindo Batac Barcenal</t>
  </si>
  <si>
    <t>Helen B. Olaer</t>
  </si>
  <si>
    <t>APRIL JOY L. VILLA</t>
  </si>
  <si>
    <t>Geoffrey P. Villahermosa</t>
  </si>
  <si>
    <t>Reynaldo Carbungco Esteves</t>
  </si>
  <si>
    <t>Leonardo Duran Recabo</t>
  </si>
  <si>
    <t>Ramon Chito Mejia Terado</t>
  </si>
  <si>
    <t>Mark Anthony  Abalde  Alas</t>
  </si>
  <si>
    <t>Ms. Leah  Magatao  Abanacion</t>
  </si>
  <si>
    <t>Rebecca A. Damasing</t>
  </si>
  <si>
    <t>JOEBERT MESA</t>
  </si>
  <si>
    <t>H. Ramadan H.Y Utuali</t>
  </si>
  <si>
    <t>Cristina Rico Tabunda</t>
  </si>
  <si>
    <t>Romualdo Salud Intia</t>
  </si>
  <si>
    <t>Jahra Amiry Narciso</t>
  </si>
  <si>
    <t>Marites Cueto Borbon</t>
  </si>
  <si>
    <t>Aaron Joshua L. Reyes</t>
  </si>
  <si>
    <t>Lucia Iraida A Soneja</t>
  </si>
  <si>
    <t>ALMIRA PINOL LAPASARAN</t>
  </si>
  <si>
    <t>Ricardo Matining Maaño</t>
  </si>
  <si>
    <t>Nelson Moskito Merculio</t>
  </si>
  <si>
    <t>JOMELYN V. BALDEVIESO</t>
  </si>
  <si>
    <t>Maricel Mercado Domingo</t>
  </si>
  <si>
    <t>EMMA  JACOB  REYES</t>
  </si>
  <si>
    <t>Robert Romera Tolentino</t>
  </si>
  <si>
    <t>Jomarilyn Francisco Estolano</t>
  </si>
  <si>
    <t>Phyl Andre Cruz</t>
  </si>
  <si>
    <t>Ian Herodito Sy Gutierrez</t>
  </si>
  <si>
    <t>Cynthia Macenas Tumanut</t>
  </si>
  <si>
    <t>Glenn Infante Lansangan</t>
  </si>
  <si>
    <t>Elmera Zabate Ebrada</t>
  </si>
  <si>
    <t>Mark Joseph Pitpit Dilan</t>
  </si>
  <si>
    <t>Mirasol Hortelano Suan</t>
  </si>
  <si>
    <t>Christian Macasaquit Colindres</t>
  </si>
  <si>
    <t>NEOPOLO JR. LACSON MANALOTO</t>
  </si>
  <si>
    <t>Norman Jacob Gordonas</t>
  </si>
  <si>
    <t>Hezel Mae Camasura</t>
  </si>
  <si>
    <t>JOEL MERCADO MALIGAYA</t>
  </si>
  <si>
    <t>Andrea Velmonte Narra</t>
  </si>
  <si>
    <t>Jeanne A. Limas</t>
  </si>
  <si>
    <t>Ma. Shella S Cabrera</t>
  </si>
  <si>
    <t>Federico III Daleno Rivero</t>
  </si>
  <si>
    <t>Maria Morena Santos</t>
  </si>
  <si>
    <t>guillermo supilanas ardillo</t>
  </si>
  <si>
    <t>Montano J. Alob</t>
  </si>
  <si>
    <t>Vivien Soliven Tunac</t>
  </si>
  <si>
    <t>Xavier Bugaoan Viloria</t>
  </si>
  <si>
    <t>Jerald M Sevilla</t>
  </si>
  <si>
    <t>Felton Xenox T. Inting</t>
  </si>
  <si>
    <t>Cholie M. Roble</t>
  </si>
  <si>
    <t>Myrna R. Caballero</t>
  </si>
  <si>
    <t>Prescilla Villar Libunao</t>
  </si>
  <si>
    <t>ARNEL ESQUILONA SUAL</t>
  </si>
  <si>
    <t>Ma.  Erowena V Soriano</t>
  </si>
  <si>
    <t>Rhazel C. Rigoroso</t>
  </si>
  <si>
    <t>Jannette L. Fronda</t>
  </si>
  <si>
    <t>Reynante Bayungan Salazar Sr.</t>
  </si>
  <si>
    <t>Warren Costales Garcia</t>
  </si>
  <si>
    <t>Ana Marie L. Tayag</t>
  </si>
  <si>
    <t>Mary Minchelle Payabyab Dela Rosa</t>
  </si>
  <si>
    <t>Mellany Millano Amaranto</t>
  </si>
  <si>
    <t>Edward Rumohr</t>
  </si>
  <si>
    <t>EMIL RODRIGUEZ GANADEN</t>
  </si>
  <si>
    <t>Eddie Richard Roa Lagnada</t>
  </si>
  <si>
    <t>JANUS C COSEP</t>
  </si>
  <si>
    <t>FERDINAND P. CAYETANO</t>
  </si>
  <si>
    <t>MARIA SOL FABELLA CASUNCAD</t>
  </si>
  <si>
    <t>Mitchel E Zambrano</t>
  </si>
  <si>
    <t>CLARIZA PELINO COBARRUBIAS</t>
  </si>
  <si>
    <t>Lyalin Alfaro Zapador</t>
  </si>
  <si>
    <t>KARLA MEI BASQUEZ TAGUBA</t>
  </si>
  <si>
    <t>Clarivel Ordonia Seguritan</t>
  </si>
  <si>
    <t>LEONIDA LLURAG VALDEZ</t>
  </si>
  <si>
    <t>MA. ESTRELLA MALAZA DAWAL</t>
  </si>
  <si>
    <t>Lalaine Ledesma Landicho</t>
  </si>
  <si>
    <t>Jamin Busa Bernal</t>
  </si>
  <si>
    <t>Kristine Meneses Torres</t>
  </si>
  <si>
    <t>RAUL PANELO GALI</t>
  </si>
  <si>
    <t>EUGYN AGUILAR</t>
  </si>
  <si>
    <t>Rhoda Apalla Viterbo</t>
  </si>
  <si>
    <t>daniel andaya ogana</t>
  </si>
  <si>
    <t>Jerry A. Tango</t>
  </si>
  <si>
    <t>Jullanar Gani Abutazil</t>
  </si>
  <si>
    <t>Miguelito A. Ogania</t>
  </si>
  <si>
    <t>Rommel Aristotle Paraiso Varias</t>
  </si>
  <si>
    <t>EDUARDO GIAN MATUGAS</t>
  </si>
  <si>
    <t>Helen Baldos Abarico</t>
  </si>
  <si>
    <t>Julita A. Santos</t>
  </si>
  <si>
    <t>Diosdado Java Pachica</t>
  </si>
  <si>
    <t>Jocelyn Maalat Torda</t>
  </si>
  <si>
    <t>Victoria Carcamo Santos</t>
  </si>
  <si>
    <t>Glenn Centino Quinto</t>
  </si>
  <si>
    <t>Marilyn De Paz Robedillo</t>
  </si>
  <si>
    <t>Aileene T Dagos</t>
  </si>
  <si>
    <t>Alvin Llaneta Macasinag</t>
  </si>
  <si>
    <t>Shiela L. Lacbayo</t>
  </si>
  <si>
    <t>Javier Serrano Bonafe</t>
  </si>
  <si>
    <t>MA. THERESA SANTOS RAMOS</t>
  </si>
  <si>
    <t>Vincent A Isip</t>
  </si>
  <si>
    <t>Reno John S. Tuale Sindingan Tuale</t>
  </si>
  <si>
    <t>Petronio  C.  Tolentino</t>
  </si>
  <si>
    <t>Dionesia B. Lagas</t>
  </si>
  <si>
    <t>Joyce Valencia Magtolis</t>
  </si>
  <si>
    <t>ALVIN ANTHONY REQUINA ABUCEJO</t>
  </si>
  <si>
    <t>LEODEGARIO, JR. ALAYON LABAO</t>
  </si>
  <si>
    <t>Camille L Maraviles</t>
  </si>
  <si>
    <t>Rommel S Santos</t>
  </si>
  <si>
    <t>Emmalyn Telamo</t>
  </si>
  <si>
    <t>MARIVIC BINAG CORTEZ</t>
  </si>
  <si>
    <t>Rudolph Bornales Estrella</t>
  </si>
  <si>
    <t>Josephine Garcia Mercado</t>
  </si>
  <si>
    <t>Vivian M. Cuizon</t>
  </si>
  <si>
    <t>Janis Trillanes Reyes</t>
  </si>
  <si>
    <t>EDNA S. MADRID</t>
  </si>
  <si>
    <t>Lolita M. Jumalon</t>
  </si>
  <si>
    <t>DIOSCORO PAMAUS MAHINAY</t>
  </si>
  <si>
    <t>KARYL MAIDY B. LORENZO</t>
  </si>
  <si>
    <t>JANNET EMILIA PIANG ARATUC</t>
  </si>
  <si>
    <t>JOHN CHRISTIAN MANAGAD SIOCO</t>
  </si>
  <si>
    <t>Ricardo Alvarado Sanchez</t>
  </si>
  <si>
    <t>Jan Mae Dayanghirang Llavore</t>
  </si>
  <si>
    <t>RICHARD HOWITT LAW L. LAING</t>
  </si>
  <si>
    <t>Rio Siong Bagundol</t>
  </si>
  <si>
    <t>Bill V. Segui</t>
  </si>
  <si>
    <t>VINOSA LAT ROBLES</t>
  </si>
  <si>
    <t>Chona Perez</t>
  </si>
  <si>
    <t>Arnaldo Panis Vallesfino</t>
  </si>
  <si>
    <t>Francorival Castanares Lorizo</t>
  </si>
  <si>
    <t>Paula Bianca de Mesa</t>
  </si>
  <si>
    <t>Reynaldo R Dalogdog</t>
  </si>
  <si>
    <t>Joannarie V. Bantolo</t>
  </si>
  <si>
    <t>GRACE PONCE ARELLANO</t>
  </si>
  <si>
    <t>Venus Contreras Decena</t>
  </si>
  <si>
    <t>Mark Nikko Badiola</t>
  </si>
  <si>
    <t>FE T. GARCIA</t>
  </si>
  <si>
    <t>Renel M. Malacapo</t>
  </si>
  <si>
    <t>Manuel, Jr. A Palasi</t>
  </si>
  <si>
    <t>Elizabeth Gonzales Cabatingan</t>
  </si>
  <si>
    <t>Remely Bangloy</t>
  </si>
  <si>
    <t>Kris Mae D. Balorio</t>
  </si>
  <si>
    <t>Jhoannne A. Sales</t>
  </si>
  <si>
    <t>Renzo Iray De Leon</t>
  </si>
  <si>
    <t>RUEL MARCA</t>
  </si>
  <si>
    <t>Ninez B. Regalado</t>
  </si>
  <si>
    <t>Juanito Gacanes Domingo</t>
  </si>
  <si>
    <t>Jeffrey F Zamora</t>
  </si>
  <si>
    <t>JOHN HORCASITAS GAMAD</t>
  </si>
  <si>
    <t>Manolito Magkilat Silagan</t>
  </si>
  <si>
    <t>Maria Teresa Laurente Cerillo</t>
  </si>
  <si>
    <t>Mary Grace Sta. Elena</t>
  </si>
  <si>
    <t>Tedler Jr. H. Depaynos</t>
  </si>
  <si>
    <t>Joan DM Vendiola</t>
  </si>
  <si>
    <t>Alain Richard Diaz Rosales</t>
  </si>
  <si>
    <t>LILIA E PINEDA</t>
  </si>
  <si>
    <t>Annalee Alarcon Aguilar</t>
  </si>
  <si>
    <t>Lily Opano Tuiza</t>
  </si>
  <si>
    <t>Monaliza Aquino Galvez</t>
  </si>
  <si>
    <t>Franklin Lagdamen</t>
  </si>
  <si>
    <t>Jeffrey Celis Magadan</t>
  </si>
  <si>
    <t>Archie F. Yu</t>
  </si>
  <si>
    <t>Arlene Sorila Estrera</t>
  </si>
  <si>
    <t>Emma Linda Impang Arano</t>
  </si>
  <si>
    <t>Richard Pornorlles Say-a</t>
  </si>
  <si>
    <t>Doreen Madriguera Santerva</t>
  </si>
  <si>
    <t>ANTONIO  C.  VALE</t>
  </si>
  <si>
    <t>JOSEPHINE ANTONES BALOSO</t>
  </si>
  <si>
    <t>Hermosa G. Ramirez</t>
  </si>
  <si>
    <t>Jayson Barbara Florendo</t>
  </si>
  <si>
    <t>HELDJOAN LICAYAN</t>
  </si>
  <si>
    <t>Renejene M. Umali</t>
  </si>
  <si>
    <t>Relita Rivera Cardenas</t>
  </si>
  <si>
    <t>Alwin M. Uy</t>
  </si>
  <si>
    <t>Ronnie James Palattao Badeo</t>
  </si>
  <si>
    <t>Ronette Pangan Arban</t>
  </si>
  <si>
    <t>Agnes Badilla Martino</t>
  </si>
  <si>
    <t>Edilberto Calerio Febria</t>
  </si>
  <si>
    <t>Librada Laxamana Inductivo</t>
  </si>
  <si>
    <t>JESSIE A. PASCUA</t>
  </si>
  <si>
    <t>Edwin Delos Santos Maliksi</t>
  </si>
  <si>
    <t>Laurence Joseph Reyes Tadiar</t>
  </si>
  <si>
    <t>Mark Jason F. Malgapo</t>
  </si>
  <si>
    <t>Lydia A. Gonzales</t>
  </si>
  <si>
    <t>PAMELA AMOR ACTUB RAMOS</t>
  </si>
  <si>
    <t>Estanislao V. Cayanan</t>
  </si>
  <si>
    <t>RANDY R MALIWAT</t>
  </si>
  <si>
    <t>SALVADOR TIPO</t>
  </si>
  <si>
    <t>ROSEMARIE LOFRANCO MALIAO</t>
  </si>
  <si>
    <t>Herbie B De Lemios</t>
  </si>
  <si>
    <t>Sarip Norislami A. Ampatuan</t>
  </si>
  <si>
    <t>Joel Liban Dubla</t>
  </si>
  <si>
    <t>NILCE D JAVIER</t>
  </si>
  <si>
    <t>BUENA PELOTIN ROMO</t>
  </si>
  <si>
    <t>Franklin Aquino Salcedo</t>
  </si>
  <si>
    <t>Shoraida Titiban Renabor</t>
  </si>
  <si>
    <t>Nestor Anunciacion Lopez</t>
  </si>
  <si>
    <t>Clark Wendell P Lising</t>
  </si>
  <si>
    <t>Vanessa A Dela Torre</t>
  </si>
  <si>
    <t>ALEX R SERNA</t>
  </si>
  <si>
    <t>Rene E Maning</t>
  </si>
  <si>
    <t>Rose Anne Mana Andaya</t>
  </si>
  <si>
    <t>REYMA SALVADOR CABITLA</t>
  </si>
  <si>
    <t>Richard Angel M. Arboleda</t>
  </si>
  <si>
    <t>GLORIA RELOS BAUTISTA</t>
  </si>
  <si>
    <t>Lourdes Añasco Solomon</t>
  </si>
  <si>
    <t>Melanie Claire Pasion Singzon</t>
  </si>
  <si>
    <t>Ronnie D. Morante</t>
  </si>
  <si>
    <t>JOVY FLORES GUMBAN</t>
  </si>
  <si>
    <t>Rojedy Arroyo Castro</t>
  </si>
  <si>
    <t>Gerry G Jucar</t>
  </si>
  <si>
    <t>Blesilda P. Makabali</t>
  </si>
  <si>
    <t>Hilario Yoshy Casem</t>
  </si>
  <si>
    <t>CONSUELO R. GEDUSPAN</t>
  </si>
  <si>
    <t>MARIFE FRUELDA</t>
  </si>
  <si>
    <t>Vladimir Prado Torres</t>
  </si>
  <si>
    <t>Duannie Chico Gonzales</t>
  </si>
  <si>
    <t>Katrine Natanauan Martinez</t>
  </si>
  <si>
    <t>JONATHAN ARENAS MIRANDA</t>
  </si>
  <si>
    <t>EMILIANA D. RUSTIA</t>
  </si>
  <si>
    <t>LEVY H. LAGUTIN, JR.</t>
  </si>
  <si>
    <t>Mariz  Lapid  Onchengco</t>
  </si>
  <si>
    <t>Yvonne Faye Aznar Omana</t>
  </si>
  <si>
    <t>Joseph Romaquira Gomez</t>
  </si>
  <si>
    <t>Edelina Baruso Espejo</t>
  </si>
  <si>
    <t>Catalino B De Jesus</t>
  </si>
  <si>
    <t>Noli P Apostol</t>
  </si>
  <si>
    <t>JULIUS EFREN CEPEDA CANAPI</t>
  </si>
  <si>
    <t>Ryan Ibrado Bonghanoy</t>
  </si>
  <si>
    <t>RANDY R. LIGSANAN</t>
  </si>
  <si>
    <t>Fatnuhalda Abarrondo Samparani</t>
  </si>
  <si>
    <t>Ernesto DC. Enguero, Jr.</t>
  </si>
  <si>
    <t>Lyn Latag Mistas</t>
  </si>
  <si>
    <t>Ouija Soberon Brillo</t>
  </si>
  <si>
    <t>Bartolome  Carolino Cacho</t>
  </si>
  <si>
    <t>joy ogarte rodriguez</t>
  </si>
  <si>
    <t>Gracianito Lara Lucero</t>
  </si>
  <si>
    <t>Maria Alma O Almazan</t>
  </si>
  <si>
    <t>Vilma Dar Mosqueda</t>
  </si>
  <si>
    <t>Angelo Senin Bugarin</t>
  </si>
  <si>
    <t>Crescencio, Jr. Valles Deligero</t>
  </si>
  <si>
    <t>Samuel Albino Fuertes</t>
  </si>
  <si>
    <t>Ruth B. Tinay</t>
  </si>
  <si>
    <t>Carmilo E Monterona</t>
  </si>
  <si>
    <t>Cesario  A.  Pasicolan</t>
  </si>
  <si>
    <t>JHOANNA RATIFICAR YANGCO</t>
  </si>
  <si>
    <t>ARNEL CRIZALDO CAPILA</t>
  </si>
  <si>
    <t>Benito C. Procia</t>
  </si>
  <si>
    <t>Rolando Veronilla Pe</t>
  </si>
  <si>
    <t>Jaime B Merquita Jr.</t>
  </si>
  <si>
    <t>Melona Susana Guanzon</t>
  </si>
  <si>
    <t>BAC Secretariat</t>
  </si>
  <si>
    <t>Nessa Esporma Acolentaba</t>
  </si>
  <si>
    <t>ANINA RAMOS</t>
  </si>
  <si>
    <t>Ademar R de Castro</t>
  </si>
  <si>
    <t>elma supas almario</t>
  </si>
  <si>
    <t>Romulo Junasa Galleto, Jr.</t>
  </si>
  <si>
    <t>ERWIN A. ESPINAS</t>
  </si>
  <si>
    <t>JARRATUL  SABARA  RADJID</t>
  </si>
  <si>
    <t>Rogie A Sion</t>
  </si>
  <si>
    <t>Regalado Ayap Luistro</t>
  </si>
  <si>
    <t>Mary Jane  Cabreros</t>
  </si>
  <si>
    <t>Cecelle Mainit Laroga</t>
  </si>
  <si>
    <t>Danilo Ragudo Rafanan</t>
  </si>
  <si>
    <t>Eden F Borja</t>
  </si>
  <si>
    <t>Rosemarie Duque Mollaneda</t>
  </si>
  <si>
    <t>Irene G. Frani</t>
  </si>
  <si>
    <t>Dexter C. Lingbanan</t>
  </si>
  <si>
    <t>Erwin Mendoza Punzalan</t>
  </si>
  <si>
    <t>Jose Nolito Castor Tomulto</t>
  </si>
  <si>
    <t>Monina Luceño Almodiel</t>
  </si>
  <si>
    <t>Zaldy Omisol Dequito</t>
  </si>
  <si>
    <t>Peter Hendrix Lisboa Alcantara</t>
  </si>
  <si>
    <t>DENNIS MARTILLANO JAMBALOS</t>
  </si>
  <si>
    <t>Desiderio Estillore Gudia Jr.</t>
  </si>
  <si>
    <t>Oliver Nobles Casincad</t>
  </si>
  <si>
    <t>Mr. Jesus Hermelo Clarence  Decena  Sena</t>
  </si>
  <si>
    <t>ANNA MARIE L. MUNDIN</t>
  </si>
  <si>
    <t>Giovanne Tan  Lim</t>
  </si>
  <si>
    <t>Elizabeth Dioco Sunga</t>
  </si>
  <si>
    <t>FERDINAND YU RICABLANCA</t>
  </si>
  <si>
    <t>Manuel D. Flores</t>
  </si>
  <si>
    <t>Maricel  Abonado  Pailago</t>
  </si>
  <si>
    <t>Roberto Flores</t>
  </si>
  <si>
    <t>Antonio F. Zoleta</t>
  </si>
  <si>
    <t>WILBERTO O. CASTILLO</t>
  </si>
  <si>
    <t>Joseph Bustamante Calvo</t>
  </si>
  <si>
    <t>Alicia  Fabro Vinluan</t>
  </si>
  <si>
    <t>MARY ANN M. LUISTRO</t>
  </si>
  <si>
    <t>Princess dela Cruz</t>
  </si>
  <si>
    <t>CONCORDIA LACRE GALAGAR</t>
  </si>
  <si>
    <t>Jennita V Garcia</t>
  </si>
  <si>
    <t>Mary Ann Vasquez Alvarez</t>
  </si>
  <si>
    <t>ENGR. EPIFANIO CAGANDE BAGHUCAN</t>
  </si>
  <si>
    <t>Marietta Abuan Graciano</t>
  </si>
  <si>
    <t>Engr. Anastacio Cuares Pol</t>
  </si>
  <si>
    <t>LIZA PAMA GUMBAN</t>
  </si>
  <si>
    <t>SALVADOR P ACEBUCHE</t>
  </si>
  <si>
    <t>Jenelyn Capilitan Soria</t>
  </si>
  <si>
    <t>JOSE L MANZANO</t>
  </si>
  <si>
    <t>Rommel Geraldizo Bendicion</t>
  </si>
  <si>
    <t>rodrigo burio olano</t>
  </si>
  <si>
    <t>Franklin J. Legaspi</t>
  </si>
  <si>
    <t>JULIUS RONALD RIVERA</t>
  </si>
  <si>
    <t>Donell Mark  Francisco Baranda</t>
  </si>
  <si>
    <t>LOUELLA ANDREA DE LEON DUNGO</t>
  </si>
  <si>
    <t>Ian Luis C Aguila</t>
  </si>
  <si>
    <t>Kathyleen Dulnuan Marcelo (2nd Account)</t>
  </si>
  <si>
    <t>Reden Aguilar Mallare</t>
  </si>
  <si>
    <t>ROSEJOY TUAPEN MONTEJO</t>
  </si>
  <si>
    <t>Edward Doctor Carillo</t>
  </si>
  <si>
    <t>Edgardo G Pamute</t>
  </si>
  <si>
    <t>ROGIELYN C SANCHEZ</t>
  </si>
  <si>
    <t>adelfa  cerilla  ramos</t>
  </si>
  <si>
    <t>Rowena Fontilo Gutierrez</t>
  </si>
  <si>
    <t>Noel A Sillan</t>
  </si>
  <si>
    <t>Marcus Andico Cupino</t>
  </si>
  <si>
    <t>REY ANN AGOSTO ERES</t>
  </si>
  <si>
    <t>MARILOU Z. DE MESA</t>
  </si>
  <si>
    <t>Gloria Superable Papa</t>
  </si>
  <si>
    <t>Princess Davis Bonifacio</t>
  </si>
  <si>
    <t>Gerry Celso Catchillar, Ed.D.</t>
  </si>
  <si>
    <t>NELSON E GERON</t>
  </si>
  <si>
    <t>EMMA RUTH LOPEZ FLORES</t>
  </si>
  <si>
    <t>Lilibeth B. Aringo</t>
  </si>
  <si>
    <t>Julito Bojo Gumapac</t>
  </si>
  <si>
    <t>Roxanne O. Valenzuela</t>
  </si>
  <si>
    <t>JOSELITO T ARAO</t>
  </si>
  <si>
    <t>Rosario Tadeo Yturralde</t>
  </si>
  <si>
    <t>BYRON PAMATONG PATAG</t>
  </si>
  <si>
    <t>Maria Rachel Panti Gonzales</t>
  </si>
  <si>
    <t>Arlene A Amen</t>
  </si>
  <si>
    <t>Rachelle De Guzman Agpoon</t>
  </si>
  <si>
    <t>Marjorie G Diño</t>
  </si>
  <si>
    <t>William A. Lopez</t>
  </si>
  <si>
    <t>Wilfredo Parrel Castro</t>
  </si>
  <si>
    <t>Asnawi Ramos Dalidig</t>
  </si>
  <si>
    <t>Gloria G. Delos Reyes</t>
  </si>
  <si>
    <t>Norberto San Antonio Corpuz Jr.</t>
  </si>
  <si>
    <t>Aldy B Novo</t>
  </si>
  <si>
    <t>Alexander M. Almario</t>
  </si>
  <si>
    <t>SCHERJAN MOOSA C. IBRAHIM</t>
  </si>
  <si>
    <t>RODOLFO ARCILLA GONZALES</t>
  </si>
  <si>
    <t>MELLY S. MALUNES</t>
  </si>
  <si>
    <t>Isaac T. Bangcaya</t>
  </si>
  <si>
    <t>Corazon Martinez Fronda</t>
  </si>
  <si>
    <t>REINA MECHELLE ARANAN RENTUTAR</t>
  </si>
  <si>
    <t>NATHALIE C. MIANO</t>
  </si>
  <si>
    <t>REBECCA CALUAG LOPEZ</t>
  </si>
  <si>
    <t>Ladislao  Gumboc  Flores</t>
  </si>
  <si>
    <t>Maribe Ballaran Diwata</t>
  </si>
  <si>
    <t>JASMINE I. GAOGAO</t>
  </si>
  <si>
    <t>Redentor Curate</t>
  </si>
  <si>
    <t>Jocelyn V. Estero</t>
  </si>
  <si>
    <t>Joey  L.  Reyes</t>
  </si>
  <si>
    <t>Bethy Jane Muli Dulay</t>
  </si>
  <si>
    <t>ANGELA C JESALVA</t>
  </si>
  <si>
    <t>Stanley Castro Ramirez</t>
  </si>
  <si>
    <t>Victorio B Cabatay</t>
  </si>
  <si>
    <t>Algen Grejalvo Rasco</t>
  </si>
  <si>
    <t>Perfecto B Taduran</t>
  </si>
  <si>
    <t>Wennie S. Angit</t>
  </si>
  <si>
    <t>Carol S Coloma</t>
  </si>
  <si>
    <t>Irene Sy Banzuelo</t>
  </si>
  <si>
    <t>David Calayeg Lumaang</t>
  </si>
  <si>
    <t>Toni Rose D Juera</t>
  </si>
  <si>
    <t>MA. REINA SIEGA ACEVEDO</t>
  </si>
  <si>
    <t>ANALYN BOGOY QUILANG</t>
  </si>
  <si>
    <t>Cresenciano Jr. Loquingan Bernal</t>
  </si>
  <si>
    <t>Joel Cabuena Bautista</t>
  </si>
  <si>
    <t>Nelia Verano Alguno</t>
  </si>
  <si>
    <t>Teresita C. Suralta</t>
  </si>
  <si>
    <t>Cresenciano J Yu</t>
  </si>
  <si>
    <t>Joan Carillo Adolfo</t>
  </si>
  <si>
    <t>ALLAN P. RAMBANO</t>
  </si>
  <si>
    <t>Ronaldo Serapion Manila</t>
  </si>
  <si>
    <t>GLEIN G. CEZAR</t>
  </si>
  <si>
    <t>Chari Rose Mozol Apit</t>
  </si>
  <si>
    <t>JULIE Q. ECONAR</t>
  </si>
  <si>
    <t>Fe R Manuales</t>
  </si>
  <si>
    <t>Melvin Darisan Grandia</t>
  </si>
  <si>
    <t>Michelle Retamar Roldan</t>
  </si>
  <si>
    <t>MARIA LYLIBETH ROSLINDA</t>
  </si>
  <si>
    <t>Gallardo G Guerrero</t>
  </si>
  <si>
    <t>IVY COSTALES VALENCIA</t>
  </si>
  <si>
    <t>Mary Grace Lamadora Villacote</t>
  </si>
  <si>
    <t>Allen Villanueva Teves</t>
  </si>
  <si>
    <t>Ebenezer Presentacion Presentacion</t>
  </si>
  <si>
    <t>Salvador Guades Basa</t>
  </si>
  <si>
    <t>Nome R. Ricalde</t>
  </si>
  <si>
    <t>Eddie Marquez Preposi</t>
  </si>
  <si>
    <t>Reno C Salazar</t>
  </si>
  <si>
    <t>Reymar Constantino Razon</t>
  </si>
  <si>
    <t>Moises B.  Aquino</t>
  </si>
  <si>
    <t>Jane Clarish A. Amante</t>
  </si>
  <si>
    <t>WILLIE B COLON</t>
  </si>
  <si>
    <t>Napoleon C Bascon</t>
  </si>
  <si>
    <t>BUENAVENTURA ALEJANDRO GALINDO</t>
  </si>
  <si>
    <t>Harvey C Jumawan</t>
  </si>
  <si>
    <t>FEDERICO J. GOTICO III</t>
  </si>
  <si>
    <t>REY GONZALES BAUTISTA</t>
  </si>
  <si>
    <t>Anthony Balbuena Lozada</t>
  </si>
  <si>
    <t>Rose Mary M Supremo</t>
  </si>
  <si>
    <t>Artemio Paubsanon Ticar</t>
  </si>
  <si>
    <t>LETICIA TIMAGOS OLIVER</t>
  </si>
  <si>
    <t>Warren Lantaco Escosar</t>
  </si>
  <si>
    <t>Alfredo D Nisperos</t>
  </si>
  <si>
    <t>Natalie Tinao Caparas</t>
  </si>
  <si>
    <t>Mervin Fuentes Baula</t>
  </si>
  <si>
    <t>JEFFREY FAJARDO DE LEON</t>
  </si>
  <si>
    <t>Ferdie Mar S Balungay</t>
  </si>
  <si>
    <t>Mark Anthony Cuison Lopez</t>
  </si>
  <si>
    <t>Maria Andrea Carvajal Tiong</t>
  </si>
  <si>
    <t>Rosemary Terez Gepte</t>
  </si>
  <si>
    <t>Junelyn Salilig Olvido</t>
  </si>
  <si>
    <t>John David E Bonifacio</t>
  </si>
  <si>
    <t>Kris Kringle Tamayo Lopez</t>
  </si>
  <si>
    <t>Salvacion Cericos Rangasa</t>
  </si>
  <si>
    <t>Jessie B Gaviola</t>
  </si>
  <si>
    <t>Bernadette Manggol Sapungan</t>
  </si>
  <si>
    <t>EUSEBIO S. SERQUINA</t>
  </si>
  <si>
    <t>RANNIER JOHN C. FAJARDO</t>
  </si>
  <si>
    <t>Paterno A Unajan</t>
  </si>
  <si>
    <t>ENGR. JERICK D. ORLANES</t>
  </si>
  <si>
    <t>MARIA CORAZON R. LARIOSA</t>
  </si>
  <si>
    <t>Cecille  Agpalo</t>
  </si>
  <si>
    <t>Eleanor C. Laylo</t>
  </si>
  <si>
    <t>Asuncion San Esteban Zaldivar</t>
  </si>
  <si>
    <t>Antonio Borja Avena</t>
  </si>
  <si>
    <t>MARY ANN C. BELEN</t>
  </si>
  <si>
    <t>Allan L Mariano</t>
  </si>
  <si>
    <t>Maria Lourdes E. Dwiggins</t>
  </si>
  <si>
    <t>Joel D. De Jesus</t>
  </si>
  <si>
    <t>Marissa Molina Austria</t>
  </si>
  <si>
    <t>George Vincent O Macrohon</t>
  </si>
  <si>
    <t>Merle V. Julian</t>
  </si>
  <si>
    <t>SANDY LLOBIT  PILAPILAN</t>
  </si>
  <si>
    <t>Lucio Berong Cortes</t>
  </si>
  <si>
    <t>Noryn B. Bagano</t>
  </si>
  <si>
    <t>JOVITA M. ESCASA</t>
  </si>
  <si>
    <t>Isabela Rosales Maro</t>
  </si>
  <si>
    <t>Atilano Alinarte Abilay</t>
  </si>
  <si>
    <t>DANILO  PERNIA</t>
  </si>
  <si>
    <t>JUDITH B. JOMADIAO</t>
  </si>
  <si>
    <t>Alfie Z. Mejia</t>
  </si>
  <si>
    <t>Abner G. Ganila</t>
  </si>
  <si>
    <t>Rosario Fernandez Bautista</t>
  </si>
  <si>
    <t>XANTHI ROMEILLA J VALLECER</t>
  </si>
  <si>
    <t>MARCOS M. KUSAIN, JD, MPA</t>
  </si>
  <si>
    <t>ARCELI E. GAGUAN</t>
  </si>
  <si>
    <t>AZENITH MOLINA PANDEZ</t>
  </si>
  <si>
    <t>Omar Sajot Alfaro</t>
  </si>
  <si>
    <t>Rosana Tee Rogando</t>
  </si>
  <si>
    <t>Vivian O. Magnate</t>
  </si>
  <si>
    <t>Roland Gabayeron</t>
  </si>
  <si>
    <t>Ronnel Nicolas De Guzman</t>
  </si>
  <si>
    <t>NORMAN TOLENTINO BUAN</t>
  </si>
  <si>
    <t>ROGIE  PAGUIRIGAN GUMARO</t>
  </si>
  <si>
    <t>Luciano Sumalinog</t>
  </si>
  <si>
    <t>Norma C. Sarigumba</t>
  </si>
  <si>
    <t>Annabelle M Pameron</t>
  </si>
  <si>
    <t>MARITES GONZALES BALDOMAN</t>
  </si>
  <si>
    <t>RUBILYN ESPINOSA DELA CRUZ</t>
  </si>
  <si>
    <t xml:space="preserve">Maria  M. Salve </t>
  </si>
  <si>
    <t>Rosel Montaus Miras</t>
  </si>
  <si>
    <t>Aime Escubio Cariño</t>
  </si>
  <si>
    <t>Ariel C. Hiquiana</t>
  </si>
  <si>
    <t>Mary Amor Fiedalan Jandusay</t>
  </si>
  <si>
    <t>Jimmy  Morit</t>
  </si>
  <si>
    <t>ALLAN SABAS BARCENA</t>
  </si>
  <si>
    <t>SETTE HANNAH D. DAKULA</t>
  </si>
  <si>
    <t>Leo Pura Escaros</t>
  </si>
  <si>
    <t>Lazaro Buluran Pascual</t>
  </si>
  <si>
    <t>ADELA RAMOS NAVE</t>
  </si>
  <si>
    <t>Rommel T. Sta. Ana</t>
  </si>
  <si>
    <t>Samira Guimba Pagayao</t>
  </si>
  <si>
    <t>Michella Cayago Andal</t>
  </si>
  <si>
    <t>MARIVIC V MAKILAN</t>
  </si>
  <si>
    <t>Lolita M. Fullante</t>
  </si>
  <si>
    <t>Marc Louis B. Sampilo</t>
  </si>
  <si>
    <t>rhodora pelonia tan</t>
  </si>
  <si>
    <t>Ricarte De Guzman Tadeja</t>
  </si>
  <si>
    <t>Abner Fabebeier Faminiano</t>
  </si>
  <si>
    <t>Pia B Abengoza</t>
  </si>
  <si>
    <t>Maribel Castillo Botavara</t>
  </si>
  <si>
    <t>Jacqueline Delgado  Dela Serna</t>
  </si>
  <si>
    <t>LUCY FE M ELLAR</t>
  </si>
  <si>
    <t>Kristel Capundan Rosello</t>
  </si>
  <si>
    <t>Marietta V. Orleans</t>
  </si>
  <si>
    <t>Leah Kierulf De Paz</t>
  </si>
  <si>
    <t>Abner Rabano</t>
  </si>
  <si>
    <t>Marcelo Lacorte Almarez</t>
  </si>
  <si>
    <t>Bienvenida  Relatibo Banawa</t>
  </si>
  <si>
    <t>ADONIS  FESTEJO  DELMENDO</t>
  </si>
  <si>
    <t>Lolito Pesidas Campos</t>
  </si>
  <si>
    <t>Florliza A. Morilao</t>
  </si>
  <si>
    <t>ELIZA M MINISTERIO</t>
  </si>
  <si>
    <t>NIMFA S DUMAGUIT</t>
  </si>
  <si>
    <t>Jaddy Genilla Lonte</t>
  </si>
  <si>
    <t>Jose, Jr. Ban-ao Balajo</t>
  </si>
  <si>
    <t>Juan Carlos P. Pajarillo</t>
  </si>
  <si>
    <t>Arnold L. Castaneda</t>
  </si>
  <si>
    <t>Ronald Merin</t>
  </si>
  <si>
    <t>Feoridin Jason Lazaga Elumbaring</t>
  </si>
  <si>
    <t>Aileen Pedregal</t>
  </si>
  <si>
    <t>Jerome B. Sison</t>
  </si>
  <si>
    <t>VILMA FACISTOL SIOCSON</t>
  </si>
  <si>
    <t>Krishna Orcino Garcia</t>
  </si>
  <si>
    <t>Cesar Landan Pera</t>
  </si>
  <si>
    <t>Jingle Repollo Saloma</t>
  </si>
  <si>
    <t>Engr. Nashra Dalandangan Misquinan</t>
  </si>
  <si>
    <t>Adelfa Tiongco Lamangin</t>
  </si>
  <si>
    <t>Gilbert Reyes</t>
  </si>
  <si>
    <t>Elloisa Blanco Perez</t>
  </si>
  <si>
    <t>Ivy Joy L. Castro</t>
  </si>
  <si>
    <t>Cirio Dela Cruz Pangan</t>
  </si>
  <si>
    <t>MARILOU B. BORILLO</t>
  </si>
  <si>
    <t>Atty. Cipriano U. Asilo</t>
  </si>
  <si>
    <t>Rafael J Oreta</t>
  </si>
  <si>
    <t>MONALIZA GUILLEN CALAMBRO</t>
  </si>
  <si>
    <t>Estrella J. Labrador</t>
  </si>
  <si>
    <t>Donato Panaligan</t>
  </si>
  <si>
    <t>MARIA CONCEPCION ANTONIO DALERE</t>
  </si>
  <si>
    <t>Peachy Gom-os</t>
  </si>
  <si>
    <t>Isidro Lopez Tapar</t>
  </si>
  <si>
    <t>Arvin S De Guzman</t>
  </si>
  <si>
    <t>Rosevida Y. Cadag</t>
  </si>
  <si>
    <t>Judith C. Pondivida</t>
  </si>
  <si>
    <t>Lucille  I.  Susano</t>
  </si>
  <si>
    <t>Jamaica B. Balubal</t>
  </si>
  <si>
    <t>CINDY NARIO MOLON</t>
  </si>
  <si>
    <t>Emily B. Mazon</t>
  </si>
  <si>
    <t>Inocente D Eijansantos</t>
  </si>
  <si>
    <t>Mark Joseph Zulita  Lloren</t>
  </si>
  <si>
    <t>Mark Jenar A. Marquez</t>
  </si>
  <si>
    <t>Julius Ceasar  Bernadas Onot</t>
  </si>
  <si>
    <t>DIONISIO TORIBIO GOMANTI COSTES</t>
  </si>
  <si>
    <t>Joy Abonitalla Adecer</t>
  </si>
  <si>
    <t>Zandro V De Guzman</t>
  </si>
  <si>
    <t>ANALIZA C CABANG</t>
  </si>
  <si>
    <t>Melanie R Interino</t>
  </si>
  <si>
    <t>Johnald Z. Salomon</t>
  </si>
  <si>
    <t>REDFORD NEWMAN VENERACION FILART</t>
  </si>
  <si>
    <t>Jeanette M. Buera</t>
  </si>
  <si>
    <t>Ma. Soledad F Baquiran</t>
  </si>
  <si>
    <t>Candido D. Salces</t>
  </si>
  <si>
    <t>Fe I Ramos</t>
  </si>
  <si>
    <t>BENEDICK C BACULI</t>
  </si>
  <si>
    <t>AMADOR III CUPIDO PORTAJADA</t>
  </si>
  <si>
    <t>Carl Melvin Tillano Galin</t>
  </si>
  <si>
    <t>ARMANDO E. SUETOS</t>
  </si>
  <si>
    <t>Rosalyn Mago  Orellana</t>
  </si>
  <si>
    <t>Caroline Tubongbanua Bucita</t>
  </si>
  <si>
    <t>Ma. A. Marietta Real Dulong</t>
  </si>
  <si>
    <t>Jenepher Robea Marin</t>
  </si>
  <si>
    <t>Gabby Mangila Sevilla</t>
  </si>
  <si>
    <t>Arlene M. Divino</t>
  </si>
  <si>
    <t>Rogelio P. Amador</t>
  </si>
  <si>
    <t>Vanessa Mendoza Aguilar</t>
  </si>
  <si>
    <t>Trixy Marie Aguio Macaraeg</t>
  </si>
  <si>
    <t>Cherry Ann Paito Orjalesa</t>
  </si>
  <si>
    <t>Honeybeth Lleno Zamudio</t>
  </si>
  <si>
    <t>Ma. Asherine Noscal Atienza</t>
  </si>
  <si>
    <t>MARIE JOY A. ALVIAR</t>
  </si>
  <si>
    <t>Jose Marie Ortiz Canlapan</t>
  </si>
  <si>
    <t>Irene Bea Faustino</t>
  </si>
  <si>
    <t>Norma Capate Laure</t>
  </si>
  <si>
    <t>Lolita D Solis</t>
  </si>
  <si>
    <t>Enrico Papag Limjuico</t>
  </si>
  <si>
    <t>JONATHAN R. HIJADA</t>
  </si>
  <si>
    <t>John Rey Arota Tomines</t>
  </si>
  <si>
    <t>Cesar B. Presas</t>
  </si>
  <si>
    <t>Maricris Cortez Faigao</t>
  </si>
  <si>
    <t>Vincyl L. Solitario</t>
  </si>
  <si>
    <t>ARTEMIO P TORDECILLA</t>
  </si>
  <si>
    <t>George D Suayan</t>
  </si>
  <si>
    <t>Apolinario R. De Torres</t>
  </si>
  <si>
    <t>CENON ARPIA PORTUGAL</t>
  </si>
  <si>
    <t>EDGAR R. QUEJADA</t>
  </si>
  <si>
    <t>Herma Aratan Seruela</t>
  </si>
  <si>
    <t>Marichu Lachica Villa-real</t>
  </si>
  <si>
    <t>Gerald Alday Pacanan</t>
  </si>
  <si>
    <t>Annielyn N JAVIER</t>
  </si>
  <si>
    <t>Licerio Camacho Patingo</t>
  </si>
  <si>
    <t>Maria Carol Gempis Hermosilla</t>
  </si>
  <si>
    <t>REMELITO B ESTROLOGO</t>
  </si>
  <si>
    <t>Consuelo Javier Cruz</t>
  </si>
  <si>
    <t>Dane C Dizon</t>
  </si>
  <si>
    <t>ELMER  PRADIEZ  NARVAEZ</t>
  </si>
  <si>
    <t>Fernando Rendon Uy</t>
  </si>
  <si>
    <t>Alma Tagbe Mahinay</t>
  </si>
  <si>
    <t>ALBERTO TOLENTINO TAN JR</t>
  </si>
  <si>
    <t>EDGAR C. OLACO</t>
  </si>
  <si>
    <t>Sherwin S. Gagatiga</t>
  </si>
  <si>
    <t>Antonio Lucero Cañada</t>
  </si>
  <si>
    <t>Sonia Tomas Pasian</t>
  </si>
  <si>
    <t>Monera Ferrer Pramis</t>
  </si>
  <si>
    <t>Rosalbeth Cueco Villarin</t>
  </si>
  <si>
    <t>Beberly A Española</t>
  </si>
  <si>
    <t>ROMEO A. SEGOVIA</t>
  </si>
  <si>
    <t>Romy Alusen Bucalen</t>
  </si>
  <si>
    <t>MARIBEL MOLINA REGASPI</t>
  </si>
  <si>
    <t>Agnes Mendoza Bueno</t>
  </si>
  <si>
    <t>Pablo  V.  Miraran</t>
  </si>
  <si>
    <t>Rosanna Maratas Siega</t>
  </si>
  <si>
    <t>Jocelyn Diaz Sagang</t>
  </si>
  <si>
    <t>MELANIE GAMILDE GACUSAN</t>
  </si>
  <si>
    <t>Marinelle Marquez Rubico</t>
  </si>
  <si>
    <t>Marilyn Dudas</t>
  </si>
  <si>
    <t>ROSANA TINGAL ESMERO</t>
  </si>
  <si>
    <t>Mariecar Doctolero Arucan</t>
  </si>
  <si>
    <t>ALLEN M FORTES</t>
  </si>
  <si>
    <t>Zenaida M Formentera</t>
  </si>
  <si>
    <t>LEO GAMMAD LIGGAYU</t>
  </si>
  <si>
    <t>Leslie A. Aguilar</t>
  </si>
  <si>
    <t>JOFRE FONTANOS HIPOL</t>
  </si>
  <si>
    <t>Elizabeth Valdemoro Cruz</t>
  </si>
  <si>
    <t>Lelia Nogot Napay</t>
  </si>
  <si>
    <t>Henry C Palo</t>
  </si>
  <si>
    <t>SOTERO Y. HIMOC</t>
  </si>
  <si>
    <t>reyland villaluna hervias</t>
  </si>
  <si>
    <t>Cesarina Sico Macuha</t>
  </si>
  <si>
    <t>Michael M Bacarisas</t>
  </si>
  <si>
    <t>Joicelyn Reta</t>
  </si>
  <si>
    <t>Albert Donato Martin</t>
  </si>
  <si>
    <t>Arnold P Bejar</t>
  </si>
  <si>
    <t>Mae Dangatan</t>
  </si>
  <si>
    <t>Vina Liza Ruth Cabrera</t>
  </si>
  <si>
    <t>Elizabeth Penida Magana</t>
  </si>
  <si>
    <t>ENGR. NORMAN DIMATATAC</t>
  </si>
  <si>
    <t>FRANCIS UTRAM DELA CRUZ</t>
  </si>
  <si>
    <t>Rosemia R. Alama-Saliwato</t>
  </si>
  <si>
    <t>Percival Ricafrente Taniegra</t>
  </si>
  <si>
    <t>Isabelito Francia Aguda</t>
  </si>
  <si>
    <t>MELAGROS  K.  FIDEL</t>
  </si>
  <si>
    <t>Rolando V. Miguel</t>
  </si>
  <si>
    <t>Jimmy Pastorfile Carandang</t>
  </si>
  <si>
    <t>Ernesto Grindulo Cruz Jr</t>
  </si>
  <si>
    <t>LOUIS SAGRADO BOLLOZOS</t>
  </si>
  <si>
    <t>ROSA PASILIAO UNTALAN</t>
  </si>
  <si>
    <t>Edward B. Romulo</t>
  </si>
  <si>
    <t>Blesilda R. Domagas</t>
  </si>
  <si>
    <t>Angel Jr. Dacuycuy Morales</t>
  </si>
  <si>
    <t>Reyvelino Benigno Apongol</t>
  </si>
  <si>
    <t>GEMMA H TAMAGOS</t>
  </si>
  <si>
    <t>Saturnino Rivas Jacobe</t>
  </si>
  <si>
    <t>ERVIN PAGE SALANG</t>
  </si>
  <si>
    <t>Jerico S. Buena</t>
  </si>
  <si>
    <t>Jonalyn Hernandez Villas</t>
  </si>
  <si>
    <t>Rosella Alojado Villegas</t>
  </si>
  <si>
    <t xml:space="preserve">Raul Jr A. Daquinod </t>
  </si>
  <si>
    <t>Erwin Galamiton Ludevese</t>
  </si>
  <si>
    <t>Angelito Leccio Estrada</t>
  </si>
  <si>
    <t>Eric P Cabauatan</t>
  </si>
  <si>
    <t>NICEFORO S. LIBERATO</t>
  </si>
  <si>
    <t>Alvi R Valle</t>
  </si>
  <si>
    <t>JASMIN R LACUNA</t>
  </si>
  <si>
    <t>Jenny Maseneren Bononp</t>
  </si>
  <si>
    <t>Lynford A. Lagondi</t>
  </si>
  <si>
    <t>Jose B Abrenio Jr.</t>
  </si>
  <si>
    <t>Igmedio Santiago Casticon, CESE</t>
  </si>
  <si>
    <t>Raychell S Luna</t>
  </si>
  <si>
    <t>Jorge Montalbo Garcia</t>
  </si>
  <si>
    <t>Josephine L Mananquil</t>
  </si>
  <si>
    <t>Lubelle B. Lumabas</t>
  </si>
  <si>
    <t>JOSE NIRO R NILLASCA</t>
  </si>
  <si>
    <t>Evelyn Grace A Aperocho</t>
  </si>
  <si>
    <t>Sukarno M Hadjinor</t>
  </si>
  <si>
    <t>Carmelino Paculan Bernadas</t>
  </si>
  <si>
    <t>NORBERTO, JR ONES RUBI</t>
  </si>
  <si>
    <t>MYRNA MALUBAG MANALO</t>
  </si>
  <si>
    <t>Adrian Magcamit Aguilar</t>
  </si>
  <si>
    <t>DANIEL, JR. ALBERTO BAUTISTA</t>
  </si>
  <si>
    <t>Mary Jane  Rosales Estimar</t>
  </si>
  <si>
    <t>Carolyn A. Lining</t>
  </si>
  <si>
    <t>Wilfredo G Ocampo</t>
  </si>
  <si>
    <t>MEDELINE SEMILLA MONDOÑEDO</t>
  </si>
  <si>
    <t>JOHN REFUERZO PILOT</t>
  </si>
  <si>
    <t>Romeo O. Olalo</t>
  </si>
  <si>
    <t>Gayuting T. Tumanding</t>
  </si>
  <si>
    <t>OSCAR V. MANALO</t>
  </si>
  <si>
    <t>Carla Nuyad Remonde</t>
  </si>
  <si>
    <t>Leonard E. Marquez</t>
  </si>
  <si>
    <t>LEONARDO MADEJA, JR.</t>
  </si>
  <si>
    <t>Baivy Leen Mendoza Reyes</t>
  </si>
  <si>
    <t>Marion M. Navarez</t>
  </si>
  <si>
    <t>ANNE MARIE  P. PACATANG</t>
  </si>
  <si>
    <t>Cheryl Samuel Conag</t>
  </si>
  <si>
    <t>antonio diaz lalik</t>
  </si>
  <si>
    <t>Rhodora Francisco Tradio</t>
  </si>
  <si>
    <t>Henry D Meling</t>
  </si>
  <si>
    <t>Marjorie Hazel R Cofino</t>
  </si>
  <si>
    <t>Henjie Albete Ramirez</t>
  </si>
  <si>
    <t>Marife Moron Jabon</t>
  </si>
  <si>
    <t>Glyzl  A.  Tolentino</t>
  </si>
  <si>
    <t>Ma. Theresa D. Jamero</t>
  </si>
  <si>
    <t>Dhom Lozano</t>
  </si>
  <si>
    <t>jona astudillo cabauatan</t>
  </si>
  <si>
    <t>Josephine Presno Gangan</t>
  </si>
  <si>
    <t>Joy Melga Buendia Olazo</t>
  </si>
  <si>
    <t>Joey Vincent P. Rabanal</t>
  </si>
  <si>
    <t>Noli Mendina Dioneda</t>
  </si>
  <si>
    <t>Gerardo Jr. Valdez Bocalan</t>
  </si>
  <si>
    <t>Corazon Barrientos Pagayona</t>
  </si>
  <si>
    <t>Gil Y. Miguel</t>
  </si>
  <si>
    <t>LYNN GOZAR MENDOZA</t>
  </si>
  <si>
    <t>Richelle Adle Delmo</t>
  </si>
  <si>
    <t>Vincent Jake E. Castillo</t>
  </si>
  <si>
    <t>Lorny Lizander Jesura Sanico</t>
  </si>
  <si>
    <t>Claire M Bacala</t>
  </si>
  <si>
    <t>ANDRES CAPATONG CABAYAO</t>
  </si>
  <si>
    <t>GODWIN XAVIER F. NUÑEZ</t>
  </si>
  <si>
    <t>Marlon Naoe Rimando</t>
  </si>
  <si>
    <t>Marevis M. Cabil</t>
  </si>
  <si>
    <t>VILLAFUERTE TOLENTINO MARTINEZ JR.</t>
  </si>
  <si>
    <t>Ruby M Subiate</t>
  </si>
  <si>
    <t>Diomedes C Palor</t>
  </si>
  <si>
    <t>Florinda Asuncion De Jesus</t>
  </si>
  <si>
    <t>Jun Pajarillo  Vana</t>
  </si>
  <si>
    <t>JERSON D. REYES</t>
  </si>
  <si>
    <t>Maria Angelica Santos Meneses</t>
  </si>
  <si>
    <t>Nim Rod Esguerra Bautista</t>
  </si>
  <si>
    <t>Joey Calimpusan Tonzo</t>
  </si>
  <si>
    <t>MARISE A. PONCE</t>
  </si>
  <si>
    <t>Rogin Samonte Alquerro</t>
  </si>
  <si>
    <t>FRITZIE FLORENOSOS JUSTOL</t>
  </si>
  <si>
    <t>Wilson C. Rosario</t>
  </si>
  <si>
    <t>Emily Batolinao Montanez</t>
  </si>
  <si>
    <t>Vicente Dellatan Alcoriza</t>
  </si>
  <si>
    <t>Yvonemia Ocub Hergin</t>
  </si>
  <si>
    <t>Marilyn Gaano Alunday</t>
  </si>
  <si>
    <t>Hermie A Villa Jr.</t>
  </si>
  <si>
    <t>Raulito Rojales Datiles</t>
  </si>
  <si>
    <t>Elvie Pakig Nailon</t>
  </si>
  <si>
    <t>IRVIN CAYAON ROLLUQUI</t>
  </si>
  <si>
    <t>Nelson Jr.  Sepe Lubguban</t>
  </si>
  <si>
    <t>Ridzkan A Hamie</t>
  </si>
  <si>
    <t>JESSELL S. PACTURAN</t>
  </si>
  <si>
    <t>TERESITA  BARCENA  PEÑALOSA</t>
  </si>
  <si>
    <t>RUBY DESCALZOTA DORADO</t>
  </si>
  <si>
    <t>Jesse II R Initan</t>
  </si>
  <si>
    <t>Rodrigo Alidon Tangaro</t>
  </si>
  <si>
    <t>ELMAR PASCUA PAGADUAN</t>
  </si>
  <si>
    <t>CARLOS D. PADILLO</t>
  </si>
  <si>
    <t>Tolentino Almedilla  Bellezas</t>
  </si>
  <si>
    <t>Frazali  Sala Siega</t>
  </si>
  <si>
    <t>John Jose T Tabligan</t>
  </si>
  <si>
    <t>Amelyn Quinio Martinez</t>
  </si>
  <si>
    <t>Ofelia Cerdena Cabuenas</t>
  </si>
  <si>
    <t>Venus Cocson Flojo</t>
  </si>
  <si>
    <t>Maria Salome Carandang</t>
  </si>
  <si>
    <t>windy p. lat</t>
  </si>
  <si>
    <t>Restituto E. Mira, Jr.</t>
  </si>
  <si>
    <t>Lorenzo Soriano Velasco</t>
  </si>
  <si>
    <t>Ronnel Jake Bueno Razon</t>
  </si>
  <si>
    <t>Ma. Inee Bachiller Altea</t>
  </si>
  <si>
    <t>Rosemarie Martinez Paguia</t>
  </si>
  <si>
    <t>Lilit Paredes Parreñas</t>
  </si>
  <si>
    <t>JOSE VICENTE RAYMUNDO MONTALLANA OPINION</t>
  </si>
  <si>
    <t>George Padre</t>
  </si>
  <si>
    <t>Feliciana  G. Dacanay</t>
  </si>
  <si>
    <t>Ciscil B. Montemayor</t>
  </si>
  <si>
    <t>Alona Hermidilla Reyes</t>
  </si>
  <si>
    <t>NORBERTO , JR LUCASAN TALIDONG</t>
  </si>
  <si>
    <t>Roseanne Venessa J Ratunil</t>
  </si>
  <si>
    <t>Artemio Amilagan Archibido</t>
  </si>
  <si>
    <t>Margeline Daladag</t>
  </si>
  <si>
    <t>Susan Tiamzon Frias</t>
  </si>
  <si>
    <t>Anna Mae B. Elemia</t>
  </si>
  <si>
    <t>Nova Jennylou P Eguia</t>
  </si>
  <si>
    <t>Maricel Duque Felipe</t>
  </si>
  <si>
    <t>Joeper Hamlag Mendoza</t>
  </si>
  <si>
    <t>MARIA TERESA HOCSON MIRABUENO</t>
  </si>
  <si>
    <t>Consuelo L. Tubis</t>
  </si>
  <si>
    <t>Lusdoc, Jr. Peliño Atanacio</t>
  </si>
  <si>
    <t>Norlyn Payot Sundo</t>
  </si>
  <si>
    <t>Allan Zonio Francisco</t>
  </si>
  <si>
    <t>RAMIE FELARCA DETARO</t>
  </si>
  <si>
    <t>Ramon Jr. M. Villareal</t>
  </si>
  <si>
    <t>Anna Marie P. Basco</t>
  </si>
  <si>
    <t>Anselmo L Sang Tian</t>
  </si>
  <si>
    <t>ISAGANI ARBOLEDA JAENA</t>
  </si>
  <si>
    <t>Noel V. Alcain</t>
  </si>
  <si>
    <t>Joemar Macaya Cag-ang</t>
  </si>
  <si>
    <t>Amador Baldos Diaz</t>
  </si>
  <si>
    <t>Ramon Gamboa Burgos</t>
  </si>
  <si>
    <t>Anna Mae Voloso Acopio</t>
  </si>
  <si>
    <t>Janine M. Balilia</t>
  </si>
  <si>
    <t>Ruby Anna S. Benamir</t>
  </si>
  <si>
    <t>Arielyn L. Fernandez</t>
  </si>
  <si>
    <t>BIDS And Awards Committee</t>
  </si>
  <si>
    <t>Mary Fe Ramos Nunag</t>
  </si>
  <si>
    <t>Nolita Laberinto Acero</t>
  </si>
  <si>
    <t>Jomar Parohinog Tejada</t>
  </si>
  <si>
    <t>MARY JANE CLAUDIO SUNGA</t>
  </si>
  <si>
    <t>Pedro F Caminero Jr.</t>
  </si>
  <si>
    <t>Ria Maris Alaiza Caterial</t>
  </si>
  <si>
    <t>Cynthia See</t>
  </si>
  <si>
    <t>Christopher V. Morales</t>
  </si>
  <si>
    <t>Gil Banal Salen</t>
  </si>
  <si>
    <t>JONATHAN JOSE CERENO CALDERON</t>
  </si>
  <si>
    <t>Desiree B. Macamay</t>
  </si>
  <si>
    <t>Gil Caricungan Casuga</t>
  </si>
  <si>
    <t>Marissa Dela Cruz Brigoli</t>
  </si>
  <si>
    <t>IMELDA  C.  DELLORO</t>
  </si>
  <si>
    <t>Samson B. Quinito</t>
  </si>
  <si>
    <t>Natividad Reodique Loyola</t>
  </si>
  <si>
    <t>ENRIQUE ORBILLO</t>
  </si>
  <si>
    <t>AGNES PERMINOFF AVENIDO</t>
  </si>
  <si>
    <t>Randy Miranda Matibag</t>
  </si>
  <si>
    <t>Raymond Tabason Timonera</t>
  </si>
  <si>
    <t>Fe Timkang Mangaro</t>
  </si>
  <si>
    <t>MELEN CAGAS ERNACIO</t>
  </si>
  <si>
    <t>CELSO A. MATIAS</t>
  </si>
  <si>
    <t>RAMON B. GACUTAN</t>
  </si>
  <si>
    <t>Ken Lois N. Olayres</t>
  </si>
  <si>
    <t>Reynaldo Luna  Gresos</t>
  </si>
  <si>
    <t>Glace L Osoteo</t>
  </si>
  <si>
    <t>GEMMA P. CASTRO</t>
  </si>
  <si>
    <t>Doris M. Malayao</t>
  </si>
  <si>
    <t>Haide D. Daclan</t>
  </si>
  <si>
    <t>Flordelino Cacayurin</t>
  </si>
  <si>
    <t>JESUS S. BOJA</t>
  </si>
  <si>
    <t>FILEMON LIJOC MADRANGKA</t>
  </si>
  <si>
    <t>ANASTACIO H. NUÑEZ, III</t>
  </si>
  <si>
    <t>LESLIE NUÑEZ MAGCAMIT</t>
  </si>
  <si>
    <t>Rolando Nas Canon</t>
  </si>
  <si>
    <t>Felyn  Chavez  Febrio</t>
  </si>
  <si>
    <t>Shiela Cueto Zulueta</t>
  </si>
  <si>
    <t>Narciso Bagiwa Bagawi</t>
  </si>
  <si>
    <t>EVELYN GARCIA</t>
  </si>
  <si>
    <t>George uy So</t>
  </si>
  <si>
    <t>Jose Felix Arsenal Pasay</t>
  </si>
  <si>
    <t>Ariel Ardales Buiza</t>
  </si>
  <si>
    <t>Rison Alejo</t>
  </si>
  <si>
    <t>BRIGETTE JOY PUNZALAN ILAGAN</t>
  </si>
  <si>
    <t>Florenda Aninon Ricaplaza</t>
  </si>
  <si>
    <t>segrid sahagon dacanay</t>
  </si>
  <si>
    <t>Melchor O Quinto</t>
  </si>
  <si>
    <t>Raymart   S.  Adonis</t>
  </si>
  <si>
    <t>ISAGANI REYES CONCEPCION</t>
  </si>
  <si>
    <t>LEO B CABUG</t>
  </si>
  <si>
    <t>Dario Narvaez Camarador</t>
  </si>
  <si>
    <t>Lolita Fabre Ismael</t>
  </si>
  <si>
    <t>GEORGIE FRUGALIDAD CORNELIO</t>
  </si>
  <si>
    <t>Magna Ramos Macalma</t>
  </si>
  <si>
    <t>Ariel Dela Cruz de Borja</t>
  </si>
  <si>
    <t>Alicia Bagalay Belen</t>
  </si>
  <si>
    <t>MACRINA A DECANO</t>
  </si>
  <si>
    <t>Cristina L. Permejo</t>
  </si>
  <si>
    <t>YONNIE CHRISTIE MOLINA PASCUA</t>
  </si>
  <si>
    <t>VENCHITO MANZANILLA</t>
  </si>
  <si>
    <t>Vanneza F Morgado</t>
  </si>
  <si>
    <t>Lydia C. Basco</t>
  </si>
  <si>
    <t>Dr. Peter S. Sobrevega</t>
  </si>
  <si>
    <t>Arnel L. Poja</t>
  </si>
  <si>
    <t>Julita Llanes Macaranas</t>
  </si>
  <si>
    <t>Jane Verceles Talento</t>
  </si>
  <si>
    <t>Mario Bacay</t>
  </si>
  <si>
    <t>JESSICA ACOLENTAVA OTIC</t>
  </si>
  <si>
    <t>Noemi Dizon Bolinas</t>
  </si>
  <si>
    <t>DENIA B. LAMPARAS</t>
  </si>
  <si>
    <t>Bea Tan Anno</t>
  </si>
  <si>
    <t>ELENITA LERIT</t>
  </si>
  <si>
    <t>Eugenio T. Rosete</t>
  </si>
  <si>
    <t>FRANCES SHANELLE GENERATO SALINAS</t>
  </si>
  <si>
    <t>EMILY DEL ROSARIO MENDOZA</t>
  </si>
  <si>
    <t>Ireene Garcia Igot</t>
  </si>
  <si>
    <t>PAZ COLLANTES CAGUIMBAL</t>
  </si>
  <si>
    <t>Judith Nobleza Delanda</t>
  </si>
  <si>
    <t>Enrico S Lazaro</t>
  </si>
  <si>
    <t>Jenny Guia Quisadi Guia Quisadio</t>
  </si>
  <si>
    <t>Rustico B Badilla</t>
  </si>
  <si>
    <t>Reynaldo Ninon Manaog</t>
  </si>
  <si>
    <t>Ambrocio Zapata Azares</t>
  </si>
  <si>
    <t>Hayria Gonsang Panalindang</t>
  </si>
  <si>
    <t>Oscar C. Galimpin</t>
  </si>
  <si>
    <t>Eliazar Musa Firmalo</t>
  </si>
  <si>
    <t>Sostenes M. Palero</t>
  </si>
  <si>
    <t>Nenita  S.  Palomo</t>
  </si>
  <si>
    <t>Emerlynda Castro Villaruel</t>
  </si>
  <si>
    <t>Debby Catherine Castillo Segui</t>
  </si>
  <si>
    <t>Marilyn Dote Delos Santos</t>
  </si>
  <si>
    <t>Corazon Parido Plameras</t>
  </si>
  <si>
    <t>Aileen  Emar</t>
  </si>
  <si>
    <t>Ramil Villaruel</t>
  </si>
  <si>
    <t>Romeo Dumadaug Palmares</t>
  </si>
  <si>
    <t>Cynthia Cortes Gabayoyo</t>
  </si>
  <si>
    <t>Mercedes Inway Luto</t>
  </si>
  <si>
    <t>SALVADOR , JR. GRANADOS REGIS</t>
  </si>
  <si>
    <t>Eddie De Vera Cancino</t>
  </si>
  <si>
    <t>Genaro C. Garay</t>
  </si>
  <si>
    <t>ELMER CASTILLO ABENOJAR</t>
  </si>
  <si>
    <t>Letecia D. Ragasa</t>
  </si>
  <si>
    <t>LUZVIMINDA CHAN BAMBICO</t>
  </si>
  <si>
    <t>Raquel Gonzales De Jesus</t>
  </si>
  <si>
    <t>HENY JANE VISEN JABONETE</t>
  </si>
  <si>
    <t>Jezryl M. Lobaton</t>
  </si>
  <si>
    <t>Ruben Garcia Marudo</t>
  </si>
  <si>
    <t>LOUISE MYKAELA ROBLES</t>
  </si>
  <si>
    <t>Donato Silvano Advincula</t>
  </si>
  <si>
    <t>Pamela Sosa</t>
  </si>
  <si>
    <t>Steve Nichols S. Dionaldo</t>
  </si>
  <si>
    <t>HAZEL C. ARTIEDA</t>
  </si>
  <si>
    <t>ROCHELLE LAMADORA GENORING</t>
  </si>
  <si>
    <t>May Catherine H. Gaviola</t>
  </si>
  <si>
    <t>Cleofe Claveria Lamadora</t>
  </si>
  <si>
    <t>Melanie Obillo Manipon</t>
  </si>
  <si>
    <t>RUTRIFE  JAPAY MALIGRO</t>
  </si>
  <si>
    <t>Mamutur D Cariga</t>
  </si>
  <si>
    <t>Joel Tinampay Capaycapay</t>
  </si>
  <si>
    <t>Marcelino Hallig Abing</t>
  </si>
  <si>
    <t>Socrates G Torres</t>
  </si>
  <si>
    <t>Irene D Pelaez</t>
  </si>
  <si>
    <t>Peter Elvis Limpot Galleto</t>
  </si>
  <si>
    <t>Lorna B Baltazar</t>
  </si>
  <si>
    <t>Wilson Sadicon Paras</t>
  </si>
  <si>
    <t>MARIA MIANE MALABRIGO PACIOLCO</t>
  </si>
  <si>
    <t>Angelina Pineda Peñero</t>
  </si>
  <si>
    <t>Rodelito La Fuente Dacup</t>
  </si>
  <si>
    <t>ANNIEREY PADSUNGAY TELLES</t>
  </si>
  <si>
    <t>Robert A Santillano</t>
  </si>
  <si>
    <t>Janice Sainz Collado</t>
  </si>
  <si>
    <t>Jerson R.  Zulueta</t>
  </si>
  <si>
    <t>Mohammad-Ali Barambangan Ambor</t>
  </si>
  <si>
    <t>Geronimo Galang Greganda</t>
  </si>
  <si>
    <t>Janet M Pasamba</t>
  </si>
  <si>
    <t>ERNESTO KIM BALANI TORREFRANCA</t>
  </si>
  <si>
    <t>Benjamin Jr. Bertiz Javellana</t>
  </si>
  <si>
    <t>Arturo Velasco Maglaya</t>
  </si>
  <si>
    <t>Erwin R Suficiencia</t>
  </si>
  <si>
    <t>Presentacion "Glenda" Medenilla Gajes</t>
  </si>
  <si>
    <t>Albert C. Villamor</t>
  </si>
  <si>
    <t>Floramie  Dumabok  Matus</t>
  </si>
  <si>
    <t>Consolacion Santiago Guilalas</t>
  </si>
  <si>
    <t>Genesis Weiyn  Blando  Lee</t>
  </si>
  <si>
    <t>Jenny Quimpan Puli</t>
  </si>
  <si>
    <t>Heracleo Belen</t>
  </si>
  <si>
    <t>Antonietta Alfante Nastor</t>
  </si>
  <si>
    <t>Christine C. Santos</t>
  </si>
  <si>
    <t>GLENDA S. RUIZ</t>
  </si>
  <si>
    <t>JOVITO VISTAL TOLARESA</t>
  </si>
  <si>
    <t>Noel A Tubac</t>
  </si>
  <si>
    <t>Rowena Teope Catapang</t>
  </si>
  <si>
    <t>Armont C Pecina</t>
  </si>
  <si>
    <t>MA. CHRISTINE  DAGUIO  LACUESTA</t>
  </si>
  <si>
    <t>Constancia  C.  Broñozo</t>
  </si>
  <si>
    <t>TEODORO E DAVID</t>
  </si>
  <si>
    <t>Jephonie Ganibe Lumansoy</t>
  </si>
  <si>
    <t>Gilmore Ray Lopez Saniel</t>
  </si>
  <si>
    <t>J0evir S. Gentuli0</t>
  </si>
  <si>
    <t>Daven O. Herodias</t>
  </si>
  <si>
    <t>Blas V. Lamug Jr.</t>
  </si>
  <si>
    <t>Rosmendo Jr C.  Bongocan</t>
  </si>
  <si>
    <t>Ana Liza Calma Zablan</t>
  </si>
  <si>
    <t>JUDITO RODRIGUEZ ILIGAN</t>
  </si>
  <si>
    <t>Mary Ann Jacaba Hambre</t>
  </si>
  <si>
    <t>Arnel Z. Dela Cruz</t>
  </si>
  <si>
    <t>Erlinda S Pesado</t>
  </si>
  <si>
    <t>ISIDORO SOTALBO</t>
  </si>
  <si>
    <t>Ranjev M Garcia</t>
  </si>
  <si>
    <t>Mars Z Julian</t>
  </si>
  <si>
    <t>Michael Imperial Fabros</t>
  </si>
  <si>
    <t>Ruby Panes Belarga</t>
  </si>
  <si>
    <t>Lea Ann M. Gamban</t>
  </si>
  <si>
    <t>Sunshine Rhina R Caunin</t>
  </si>
  <si>
    <t>Jeffrey Ross Mendoza Navarro</t>
  </si>
  <si>
    <t>GIL GABRIEL HIDALGO BORDADO III</t>
  </si>
  <si>
    <t>JED ARIES FAJARDO CASTRO</t>
  </si>
  <si>
    <t>Jubet N. Gnilo</t>
  </si>
  <si>
    <t>Necitas G Bihay</t>
  </si>
  <si>
    <t>HELEN QUIRONA DE LUNA</t>
  </si>
  <si>
    <t>Riza Tan Bautista</t>
  </si>
  <si>
    <t>Michael Angelo San Pedro</t>
  </si>
  <si>
    <t>Generoso Emplica Evangelio</t>
  </si>
  <si>
    <t>Jeffrey B. Rafil</t>
  </si>
  <si>
    <t>Norbert C Sotoya II</t>
  </si>
  <si>
    <t>Sharon Madamba Agbayani</t>
  </si>
  <si>
    <t>RICARDO LAPAZ ESCOBA</t>
  </si>
  <si>
    <t>Melinda Tariman Brutas</t>
  </si>
  <si>
    <t>Evangeline Pascua Guzman</t>
  </si>
  <si>
    <t>HELEN C. SILVA</t>
  </si>
  <si>
    <t>Glenda Tribunal Sarabia</t>
  </si>
  <si>
    <t>Jose R Cornelio, Jr.</t>
  </si>
  <si>
    <t>Alver Abaya Mijares</t>
  </si>
  <si>
    <t>PAUL BANTUGAN CUARTERO</t>
  </si>
  <si>
    <t>Nemia Barradas Monzones</t>
  </si>
  <si>
    <t>Asunypel Tandug Julao</t>
  </si>
  <si>
    <t>Raymond Romero Magpili</t>
  </si>
  <si>
    <t>Arlene De Rama Manjares</t>
  </si>
  <si>
    <t>Ma. Veronica Mahilum De Guzman</t>
  </si>
  <si>
    <t>SINSP ALAN GARANCHON GATUNGAY</t>
  </si>
  <si>
    <t>Charito G Yulo</t>
  </si>
  <si>
    <t>JOSEPH BITAGON</t>
  </si>
  <si>
    <t>JESSIE B COROTAN</t>
  </si>
  <si>
    <t>CIRILA A. ESTRELLA</t>
  </si>
  <si>
    <t>SUSAN QUITLONG SISON</t>
  </si>
  <si>
    <t>MARILYN DURAN BINONDO</t>
  </si>
  <si>
    <t>Rose Andrea V. Milaor</t>
  </si>
  <si>
    <t>avelino costanilla</t>
  </si>
  <si>
    <t>Nenita P. Oriel</t>
  </si>
  <si>
    <t>BENJAMIN N. LAURENCIANA</t>
  </si>
  <si>
    <t>Conrado Bandoquillo Ragay</t>
  </si>
  <si>
    <t>Racky Arnoco</t>
  </si>
  <si>
    <t>Mary Ann Banco Bunag</t>
  </si>
  <si>
    <t>Delia G Todco</t>
  </si>
  <si>
    <t>Renan Ferrer Mangle</t>
  </si>
  <si>
    <t>Karen Wright Ramirez</t>
  </si>
  <si>
    <t>Connie S De Leon</t>
  </si>
  <si>
    <t>Ma. Nanette Patriarca Curimatmat</t>
  </si>
  <si>
    <t>Jessa Marie Trasmonte Ducay</t>
  </si>
  <si>
    <t>MELANIE PINEDA BACSAIN</t>
  </si>
  <si>
    <t>Arthur Olandria Yana</t>
  </si>
  <si>
    <t>Mark Neil Ansagay Recaido</t>
  </si>
  <si>
    <t>Dennis Bandal Dalucapas</t>
  </si>
  <si>
    <t>Erika Bernice C Ocampo</t>
  </si>
  <si>
    <t>Eugene G. Galula</t>
  </si>
  <si>
    <t>EDGIE SIMON DIMALANTA</t>
  </si>
  <si>
    <t>Mayo Resuma Pelagio</t>
  </si>
  <si>
    <t>DEZERIE BAUTISTA MECIJA</t>
  </si>
  <si>
    <t>Jessie So Buendia</t>
  </si>
  <si>
    <t>Eden Echalas Bandoquillo</t>
  </si>
  <si>
    <t>Consorcio Manlangit Ferrer</t>
  </si>
  <si>
    <t>FELMA M. DEZA</t>
  </si>
  <si>
    <t>Leonardo Cabahug Caburatan</t>
  </si>
  <si>
    <t>MARINA VILLANUEVA</t>
  </si>
  <si>
    <t>Jean Galang Roxas</t>
  </si>
  <si>
    <t>Marites Dela Cruz</t>
  </si>
  <si>
    <t>Randy L Lubis</t>
  </si>
  <si>
    <t>Carmen B. Cortes</t>
  </si>
  <si>
    <t>Karen Christine O. Onanad</t>
  </si>
  <si>
    <t>JOSE MARTINEZ GRANDE</t>
  </si>
  <si>
    <t>Salvador Sabado Sangalia</t>
  </si>
  <si>
    <t>Robert Floyd Nangkil Salise</t>
  </si>
  <si>
    <t>Jimmy  Bobis  Monteras</t>
  </si>
  <si>
    <t>IGNACIO S PANTI</t>
  </si>
  <si>
    <t>Marito V. Catorce</t>
  </si>
  <si>
    <t>Emily  Cortez Gonzalez</t>
  </si>
  <si>
    <t>Danilo B. Solis</t>
  </si>
  <si>
    <t>Marcelino Jr. R. Bebanco</t>
  </si>
  <si>
    <t>CHARLENE DE NAVA ALDEA</t>
  </si>
  <si>
    <t>Avin  Vargas  Surban</t>
  </si>
  <si>
    <t>Nixon B Sañano</t>
  </si>
  <si>
    <t>Iluminado Ticoy Timon</t>
  </si>
  <si>
    <t>NIÑO ROSANA TIAMA</t>
  </si>
  <si>
    <t>Lizette Ann Manlulu</t>
  </si>
  <si>
    <t>Lea Cachila Munez</t>
  </si>
  <si>
    <t>Angelie de la Llave Intico</t>
  </si>
  <si>
    <t>Farhan M Ambiong</t>
  </si>
  <si>
    <t>Marites M. Ermitanio</t>
  </si>
  <si>
    <t>DINDO BABATIO CONGE</t>
  </si>
  <si>
    <t>Lope Mario B. Lina</t>
  </si>
  <si>
    <t>Rex Aquiatan Agustin</t>
  </si>
  <si>
    <t>Mark Daruca Petran</t>
  </si>
  <si>
    <t>Jesse R. Quilantang</t>
  </si>
  <si>
    <t>Ellen M. Montoya</t>
  </si>
  <si>
    <t>ROSARIO TAGAYO TILLAY</t>
  </si>
  <si>
    <t>FLORELYN BUOT LACHARON</t>
  </si>
  <si>
    <t>Marla PAMISARAN Andal</t>
  </si>
  <si>
    <t>Cyril D. Valencerina</t>
  </si>
  <si>
    <t>RUEL  P. MANTANTUAN</t>
  </si>
  <si>
    <t>Madrigal B. Larang</t>
  </si>
  <si>
    <t>Conchita Caranzo</t>
  </si>
  <si>
    <t>Charlene Dizon Flores</t>
  </si>
  <si>
    <t>Epimaco M. Ilagan Jr.</t>
  </si>
  <si>
    <t>Sherry P Villanueva</t>
  </si>
  <si>
    <t>Eva  Nabejet Dulnuan</t>
  </si>
  <si>
    <t>Engr. Arnulfo F. Tena</t>
  </si>
  <si>
    <t>Gigi Niog Fatingana</t>
  </si>
  <si>
    <t>JUNA T. TIANGCO</t>
  </si>
  <si>
    <t>Amelita Miras Mercado</t>
  </si>
  <si>
    <t>EDEN SARMIENTO CAIN</t>
  </si>
  <si>
    <t>Larisa Salgado Donguila</t>
  </si>
  <si>
    <t>Ellen Padel Platil</t>
  </si>
  <si>
    <t>Rhonna Regina  Puno</t>
  </si>
  <si>
    <t>Rosalie  Demontaño De Justo</t>
  </si>
  <si>
    <t>Ivylea Cantago</t>
  </si>
  <si>
    <t>Zosimalinda Blanco Estella</t>
  </si>
  <si>
    <t>MILDRED AUSA DELOS SANTOS</t>
  </si>
  <si>
    <t>Maximo C. Allorin</t>
  </si>
  <si>
    <t>Renato S. Galang</t>
  </si>
  <si>
    <t>AICEL NECY F MARTINEZ</t>
  </si>
  <si>
    <t>Anavie Amelista Orcinado</t>
  </si>
  <si>
    <t>Ervin C. San Jose</t>
  </si>
  <si>
    <t>Kim M. Moral</t>
  </si>
  <si>
    <t>Jaime Dapula Omaña</t>
  </si>
  <si>
    <t>RAY PAROJINOG VIRTUDEZ</t>
  </si>
  <si>
    <t>JOEL T. BEHIS</t>
  </si>
  <si>
    <t>Rizza C. Dela Cruz</t>
  </si>
  <si>
    <t>Neciforo Asuncion</t>
  </si>
  <si>
    <t>Shirley R. Dominador</t>
  </si>
  <si>
    <t>Mary Rose  Tawas  Gabales</t>
  </si>
  <si>
    <t>Shirly Quinto Isorena</t>
  </si>
  <si>
    <t>Geronimo Genil Jr.</t>
  </si>
  <si>
    <t>RANDY ALLEN LAYAGUIN</t>
  </si>
  <si>
    <t>Myrna  C.  Satuito</t>
  </si>
  <si>
    <t>Dionesio Temelo Tristeza</t>
  </si>
  <si>
    <t>SATURNINA P. REAL</t>
  </si>
  <si>
    <t>Karla A. Gencianos</t>
  </si>
  <si>
    <t>Ma. Shirley Andarza Baliauas</t>
  </si>
  <si>
    <t>Nelia B. Mejia</t>
  </si>
  <si>
    <t>Rebecca N. Tanate</t>
  </si>
  <si>
    <t>Ismael G. Santillan</t>
  </si>
  <si>
    <t>Lily May T. Julao</t>
  </si>
  <si>
    <t>Odessa O Mayangitan</t>
  </si>
  <si>
    <t>Lauro Bagaoisan Cruz de la Jr.</t>
  </si>
  <si>
    <t>Jorge A. Albinda</t>
  </si>
  <si>
    <t>BENJIE ECHAVIA MALIGRO</t>
  </si>
  <si>
    <t>Eustaquio Ligutan</t>
  </si>
  <si>
    <t>BERNARDO  RAMOS</t>
  </si>
  <si>
    <t>MYRNA DACUYCUY</t>
  </si>
  <si>
    <t>Rowena A. Bañaga</t>
  </si>
  <si>
    <t>Donabel Valiente Gulaga</t>
  </si>
  <si>
    <t>Irene Enriquez</t>
  </si>
  <si>
    <t>armeilto s. robles</t>
  </si>
  <si>
    <t>Nikkolo Marco Aurelio V. Cortes</t>
  </si>
  <si>
    <t>Renzjay Antonio Linsangan</t>
  </si>
  <si>
    <t>Remigio Lago Blanco</t>
  </si>
  <si>
    <t>Orea Attiwan</t>
  </si>
  <si>
    <t>Jaime S.J. Javellana</t>
  </si>
  <si>
    <t>Emilia Sales Quilet</t>
  </si>
  <si>
    <t>jude atutubo rico</t>
  </si>
  <si>
    <t>GLADYS GANITANO BAGOOD</t>
  </si>
  <si>
    <t>JHON ALBERT I. NUÑEZ</t>
  </si>
  <si>
    <t>FRANCISCO , JR. YGRUBAY LABRAGUE</t>
  </si>
  <si>
    <t>Noel Bahoy Esplana</t>
  </si>
  <si>
    <t>PROCESO M. KADAVERO</t>
  </si>
  <si>
    <t>Erlindo Jr. Cabug</t>
  </si>
  <si>
    <t>Leah S Osorio</t>
  </si>
  <si>
    <t>Khristine Aquino Balagtas</t>
  </si>
  <si>
    <t>Gertrude T. Daguio</t>
  </si>
  <si>
    <t>Antonio Cagdan Failoga</t>
  </si>
  <si>
    <t>Milagros Berganio Abaquita</t>
  </si>
  <si>
    <t>Belna M Acobo</t>
  </si>
  <si>
    <t>Hermenigilda A. Aposaga</t>
  </si>
  <si>
    <t>Floringaile Alvarez Daquinag</t>
  </si>
  <si>
    <t>Cesar Dura Poblacion</t>
  </si>
  <si>
    <t>HELEN M PORTE</t>
  </si>
  <si>
    <t>ELIZABETH B MEDINA</t>
  </si>
  <si>
    <t>ATTY. EDGARDO J. GIL</t>
  </si>
  <si>
    <t>Myla Dela Cruz Gepitan</t>
  </si>
  <si>
    <t>Nick Sumile Magsayo</t>
  </si>
  <si>
    <t>EDLEY  CASAS ABARIDO</t>
  </si>
  <si>
    <t>SOTERO JR. FAVILA LOMIGO</t>
  </si>
  <si>
    <t>Alma Bella Mater Gilo</t>
  </si>
  <si>
    <t>DANTE RESARE VENIAL</t>
  </si>
  <si>
    <t>Aaron John Reyes Liwag</t>
  </si>
  <si>
    <t>Judima D Sebido</t>
  </si>
  <si>
    <t>Nilo Eduarte Diesta</t>
  </si>
  <si>
    <t>Marvin T. Mosteiro</t>
  </si>
  <si>
    <t>Eulogio Pancho Sullano</t>
  </si>
  <si>
    <t>Jaqueline Pangilinan Dayao</t>
  </si>
  <si>
    <t>Ramon M De Leon</t>
  </si>
  <si>
    <t>juvelyn samson publeo</t>
  </si>
  <si>
    <t>Jaynorin S Kalilangan</t>
  </si>
  <si>
    <t>Melita Gidoman Apolinaria</t>
  </si>
  <si>
    <t>Norman G Mercado</t>
  </si>
  <si>
    <t>Estanly Pepito Ebo</t>
  </si>
  <si>
    <t>Lauri Rose Salazar Coquia</t>
  </si>
  <si>
    <t>Aida L Cerudo</t>
  </si>
  <si>
    <t>Ramil L. Caseda</t>
  </si>
  <si>
    <t>Felibert  Ramos Salvador</t>
  </si>
  <si>
    <t>Cipriano Indencia Osunero</t>
  </si>
  <si>
    <t>Quintin Albarico Lim, JR</t>
  </si>
  <si>
    <t>Maylen Zorilla Damasing</t>
  </si>
  <si>
    <t>Roberto III Almazan Mirando</t>
  </si>
  <si>
    <t>Ramilito P. Paloma</t>
  </si>
  <si>
    <t>Edgar M Mendoza</t>
  </si>
  <si>
    <t>Erasto A Llagas</t>
  </si>
  <si>
    <t>ALVIN BALAQUIAO</t>
  </si>
  <si>
    <t>Zenaida Lozada Bontilao</t>
  </si>
  <si>
    <t>RUEL O. LOZANO</t>
  </si>
  <si>
    <t>Rodolfo Lapitan Ladia, Jr.</t>
  </si>
  <si>
    <t>EULALIA CALUGAS CABALONGA</t>
  </si>
  <si>
    <t>Larry U Vicente</t>
  </si>
  <si>
    <t>Roberto Alngag Chulsi</t>
  </si>
  <si>
    <t>Victor Yasul Navarro</t>
  </si>
  <si>
    <t>Vivien S. Batobato</t>
  </si>
  <si>
    <t>Hasmin Ticzon</t>
  </si>
  <si>
    <t>ROMIDA GAYANES NAAG</t>
  </si>
  <si>
    <t>Elaine Bumanghat Immotna</t>
  </si>
  <si>
    <t>Margarita Mendoza Hipolito</t>
  </si>
  <si>
    <t>ZACARIAS CAPOL SUPLAAG</t>
  </si>
  <si>
    <t>AIDA BUTIHIN MENDOZA</t>
  </si>
  <si>
    <t>Maria Theresa Sta. Cruz Sanz</t>
  </si>
  <si>
    <t>Nerissa Lajom Villanueva</t>
  </si>
  <si>
    <t>Joel M Ariones</t>
  </si>
  <si>
    <t>Glodyn Trocio Talledo</t>
  </si>
  <si>
    <t>Honorato Aquino</t>
  </si>
  <si>
    <t>MARIA ELIZA SANTANA SILLESA</t>
  </si>
  <si>
    <t>ROSELYN GARCIA LUGOD</t>
  </si>
  <si>
    <t>Roderick Limueco</t>
  </si>
  <si>
    <t>BELEN BANDADA PARAÑAQUE</t>
  </si>
  <si>
    <t>LEA CABRERA MENGULLO</t>
  </si>
  <si>
    <t>DARIO SUSON TARRIMAN</t>
  </si>
  <si>
    <t>Vicente Morata</t>
  </si>
  <si>
    <t>David T. Raguindin</t>
  </si>
  <si>
    <t>ROSALYN AZUL CONDAT</t>
  </si>
  <si>
    <t>ESTRELLA E. VINO</t>
  </si>
  <si>
    <t>Jonalyn Angel Pangilinan</t>
  </si>
  <si>
    <t>JOSELITO CRUZ MERCADO</t>
  </si>
  <si>
    <t>RONALD S. BARRAMEDA</t>
  </si>
  <si>
    <t>Eric G Limpin</t>
  </si>
  <si>
    <t>Nanette Mirasol Dulfo</t>
  </si>
  <si>
    <t>Editha P. Conejos</t>
  </si>
  <si>
    <t>SHALIMAR S RAKIIN, MD, MPM,MSPH-mHA, CESE</t>
  </si>
  <si>
    <t>Mary Grace B Valle</t>
  </si>
  <si>
    <t>Dina V. Panganiban</t>
  </si>
  <si>
    <t>Freddie Anzaldo Vecinal</t>
  </si>
  <si>
    <t>Jaynalyn E Amparo</t>
  </si>
  <si>
    <t>REYNALDO C. RIVERA</t>
  </si>
  <si>
    <t>Eugene R. Geñoso</t>
  </si>
  <si>
    <t>Ignacio, Jr. G Gelacio</t>
  </si>
  <si>
    <t>Carolina Castillo Moraleda</t>
  </si>
  <si>
    <t>Warlito Yuson Suan</t>
  </si>
  <si>
    <t>ELVIRA LAWAS HERMOSO</t>
  </si>
  <si>
    <t>ENGR. EDUARDO SALVADOR MANGOBA JR.</t>
  </si>
  <si>
    <t>Analyn Arriola Sarmiento</t>
  </si>
  <si>
    <t>Arlene Maunahan Avejero</t>
  </si>
  <si>
    <t>Melicoro P Colot</t>
  </si>
  <si>
    <t>rosellene ape Gurang</t>
  </si>
  <si>
    <t>Elena Tayag Villa</t>
  </si>
  <si>
    <t>Dexter B. Baylon</t>
  </si>
  <si>
    <t>LINDALE PEPINO SAAVEDRA</t>
  </si>
  <si>
    <t>Norina L. David</t>
  </si>
  <si>
    <t>Rey Steve Palacay Balatico</t>
  </si>
  <si>
    <t>Gloria Barrameda Dalipe</t>
  </si>
  <si>
    <t>Sharon Jane Antonis Dacuno</t>
  </si>
  <si>
    <t>Ronamel Limjuco</t>
  </si>
  <si>
    <t>Abdullah M. Dipatuan</t>
  </si>
  <si>
    <t>Editha O Sagaral</t>
  </si>
  <si>
    <t>Charity Belacaol Evangelista</t>
  </si>
  <si>
    <t>Lauren Christine B. La'O</t>
  </si>
  <si>
    <t>ALEX A. MERLIN</t>
  </si>
  <si>
    <t>Gina Francisco Placido</t>
  </si>
  <si>
    <t>JESSELL GARCIA TORREJOS</t>
  </si>
  <si>
    <t>Chona D. Derramas</t>
  </si>
  <si>
    <t>Nenita Crisostomo Flores</t>
  </si>
  <si>
    <t>Danna Marie B. Asentista</t>
  </si>
  <si>
    <t>Angela Eduvala Dagsaan</t>
  </si>
  <si>
    <t>EDWARD ALIGUYON CARIÑO</t>
  </si>
  <si>
    <t>GINA LACSARON SERVANO</t>
  </si>
  <si>
    <t>Teresita Siega Laviste</t>
  </si>
  <si>
    <t>MARY JULIE A. TRUS</t>
  </si>
  <si>
    <t>Ely Calize Abis</t>
  </si>
  <si>
    <t>Maicel Bandol Esquivel</t>
  </si>
  <si>
    <t>Perseverando Tolentino Atienza</t>
  </si>
  <si>
    <t>Elvira Sebio</t>
  </si>
  <si>
    <t>Michelle Nabas Gregorio</t>
  </si>
  <si>
    <t>JOSEPH G ESCASIO</t>
  </si>
  <si>
    <t>Felicilda F Sano</t>
  </si>
  <si>
    <t>Jocelyn Castro Ballesteros</t>
  </si>
  <si>
    <t>Milagros M. Perez</t>
  </si>
  <si>
    <t>Rommel Ebuenga De Jesus</t>
  </si>
  <si>
    <t>Lenybelle Ceriola Santos</t>
  </si>
  <si>
    <t>Marites S Penosa</t>
  </si>
  <si>
    <t>Romeo Teodoro</t>
  </si>
  <si>
    <t>Ma. Amor Bañas</t>
  </si>
  <si>
    <t>Emily B Laigo</t>
  </si>
  <si>
    <t>HARRY DELA FUENTE FRANCISCO</t>
  </si>
  <si>
    <t>Annabelle De Vera Quiñones</t>
  </si>
  <si>
    <t>Maria Madel Binaya Brozo</t>
  </si>
  <si>
    <t>Raul Javier Siong</t>
  </si>
  <si>
    <t>Lolita Genuino Santiago</t>
  </si>
  <si>
    <t>Madilyn M Macatual</t>
  </si>
  <si>
    <t>Cherry Jean Anlucday Antig</t>
  </si>
  <si>
    <t>Jessca Mae P. Solano</t>
  </si>
  <si>
    <t>MICHELLE ZAMAR LIM</t>
  </si>
  <si>
    <t>NOLANDO  C.  SATURNO</t>
  </si>
  <si>
    <t>Albert Lee Basuel Cabanting</t>
  </si>
  <si>
    <t>ANTONIO M GEREMIAS</t>
  </si>
  <si>
    <t>Ana De Guzman Asprec</t>
  </si>
  <si>
    <t>Mariano Bea Vargas</t>
  </si>
  <si>
    <t>Restituto Busbos Bautista</t>
  </si>
  <si>
    <t>JULA S. GARGANTA</t>
  </si>
  <si>
    <t>Wynzel Jagolina  Quiros</t>
  </si>
  <si>
    <t>Beato Bandoquillo Balderrama</t>
  </si>
  <si>
    <t>Joshua Mari Jareño</t>
  </si>
  <si>
    <t>Jonathan Bajo Ramos</t>
  </si>
  <si>
    <t>CHARISMA ALLAPITAN BARUT</t>
  </si>
  <si>
    <t>Criselda D. Bacatano</t>
  </si>
  <si>
    <t>Florian Agcopra Labiano</t>
  </si>
  <si>
    <t>Joan Margarette A Yap</t>
  </si>
  <si>
    <t>JENELYN DALANGIN</t>
  </si>
  <si>
    <t>Rico L. Navarro</t>
  </si>
  <si>
    <t>Leni De Guzman Enriquez</t>
  </si>
  <si>
    <t>Norma Desiderio</t>
  </si>
  <si>
    <t>GARRY BOY PARAGUA BAUTISTA</t>
  </si>
  <si>
    <t>Ariel E Fangonilo</t>
  </si>
  <si>
    <t>MARINEL LAROSA</t>
  </si>
  <si>
    <t>Linalyn Tolentino - Cueto</t>
  </si>
  <si>
    <t>Jorge C Catilo</t>
  </si>
  <si>
    <t>William Fernandez Bendal</t>
  </si>
  <si>
    <t>Richie Fabonan Fadriquela</t>
  </si>
  <si>
    <t>Marlon L. Aguirre</t>
  </si>
  <si>
    <t>Tomas Blaya Matildo</t>
  </si>
  <si>
    <t>Alfonso R Zara III</t>
  </si>
  <si>
    <t>Joybeth Delfin Sabino</t>
  </si>
  <si>
    <t>HENRY B CALUDUCAN</t>
  </si>
  <si>
    <t>Joel De Leon</t>
  </si>
  <si>
    <t>Abigail Madarang</t>
  </si>
  <si>
    <t>Balingit F. Billy</t>
  </si>
  <si>
    <t>Maria Gina Rosales Carino</t>
  </si>
  <si>
    <t>VOLTAIRE S EGNORA, MD.</t>
  </si>
  <si>
    <t>Virgie N Bartonico</t>
  </si>
  <si>
    <t>Roweiji F. Bautista</t>
  </si>
  <si>
    <t>Aylene S. Belleza</t>
  </si>
  <si>
    <t>Danilo Bron Alamil</t>
  </si>
  <si>
    <t>HERMINIA D. ESPEJO</t>
  </si>
  <si>
    <t>Rebecca Echague Nogales</t>
  </si>
  <si>
    <t>Helen A. Cabarles</t>
  </si>
  <si>
    <t>ROMELYN GERALLA YEE</t>
  </si>
  <si>
    <t>NIDA BLASCO MIÑOZA</t>
  </si>
  <si>
    <t>Luzviminda Bentulan Muyco</t>
  </si>
  <si>
    <t>KAREN FAYE CHAVEZ</t>
  </si>
  <si>
    <t>Jerose B. Cotorno</t>
  </si>
  <si>
    <t>Jaime Hervilla Mahimpit</t>
  </si>
  <si>
    <t>Joseph Villa Echalas</t>
  </si>
  <si>
    <t>Arnel M Ruz</t>
  </si>
  <si>
    <t>Feliciano Jr. Maddawin Galupo</t>
  </si>
  <si>
    <t>Neil  L.  Asuelo</t>
  </si>
  <si>
    <t>MA. GLORIA GELI SORRERA</t>
  </si>
  <si>
    <t>Myrna B Vergara</t>
  </si>
  <si>
    <t>Maria Cristina I. Canson</t>
  </si>
  <si>
    <t>Elena Cotcot Rosario</t>
  </si>
  <si>
    <t>VIOLETA V JAVAR</t>
  </si>
  <si>
    <t>Adam  V. Ramilo</t>
  </si>
  <si>
    <t>LOUIE GRACE P. ALVIOR</t>
  </si>
  <si>
    <t>Abner  R.  Formento</t>
  </si>
  <si>
    <t>DONNA COMPANIA DELOTINA</t>
  </si>
  <si>
    <t>Herminio Aca-ac</t>
  </si>
  <si>
    <t>Violeta Mata</t>
  </si>
  <si>
    <t>Antonio Manlapig Cruz</t>
  </si>
  <si>
    <t>PETER S MALALUAN</t>
  </si>
  <si>
    <t>Amenodin Taher Arinza</t>
  </si>
  <si>
    <t>Alexander O. Lala</t>
  </si>
  <si>
    <t>Engr. Lloyd Daligdig Baconguis</t>
  </si>
  <si>
    <t>Catherine G. Santos</t>
  </si>
  <si>
    <t>LIZA RIPALDA</t>
  </si>
  <si>
    <t>Catherine C Pizarra</t>
  </si>
  <si>
    <t>MARY MEDIATRIX BAYER ARROYO</t>
  </si>
  <si>
    <t>CANDIDO ALFRED II AZARES BANCORO</t>
  </si>
  <si>
    <t>Alger F Lamprea</t>
  </si>
  <si>
    <t>DAISY R. BABAAN</t>
  </si>
  <si>
    <t>Angelica Manzano Pellien</t>
  </si>
  <si>
    <t>Maximo Dela Cerna Bragat</t>
  </si>
  <si>
    <t>Annavie Bacomo Lapitan</t>
  </si>
  <si>
    <t>SHEENA JOY MALBAS</t>
  </si>
  <si>
    <t>Juanito Refugio Gonzales</t>
  </si>
  <si>
    <t>CRISTINE  CABATON QUILLAMOR</t>
  </si>
  <si>
    <t>RICHARD  SALCEDO  IBARRA</t>
  </si>
  <si>
    <t>HILARION TACAISAN DUBRIA, JR.</t>
  </si>
  <si>
    <t>Irene Cuestas Monden</t>
  </si>
  <si>
    <t>Khalid Barazar Kapampangan</t>
  </si>
  <si>
    <t>Napol Domenden Mercurio</t>
  </si>
  <si>
    <t>JAIME G. JALON</t>
  </si>
  <si>
    <t>Edelito Aniñon</t>
  </si>
  <si>
    <t>Marie Jagon</t>
  </si>
  <si>
    <t>EDNA B. LACSON</t>
  </si>
  <si>
    <t>Imelda D. Calinao</t>
  </si>
  <si>
    <t>michelle ramos salamat</t>
  </si>
  <si>
    <t>Noli D. Padagdag</t>
  </si>
  <si>
    <t>Agnes Padro Tampico</t>
  </si>
  <si>
    <t>Jersam Bangcot</t>
  </si>
  <si>
    <t>Niña Aniñon Asis</t>
  </si>
  <si>
    <t>Virgilio A Abonador</t>
  </si>
  <si>
    <t>Lucila G De Ocampo</t>
  </si>
  <si>
    <t>May Grace Alvaro Palicdon</t>
  </si>
  <si>
    <t>VENN WEIR SIPALAY AÑONUEVO</t>
  </si>
  <si>
    <t>Mary Joy C. San Buenaventura</t>
  </si>
  <si>
    <t>Elmer G Canios</t>
  </si>
  <si>
    <t>PEREGRINA ERONICO CAROSUS</t>
  </si>
  <si>
    <t>ROBERTO MARCELINO GREGORE</t>
  </si>
  <si>
    <t>Roland Esporma Parina</t>
  </si>
  <si>
    <t>Annie Burgos Camacho</t>
  </si>
  <si>
    <t>JOEL DALMACIA SUMAWANG</t>
  </si>
  <si>
    <t>LEONIDES BERCASIO ESPERON</t>
  </si>
  <si>
    <t>Aileen Catidas</t>
  </si>
  <si>
    <t>Melinda  Mauricio Javier</t>
  </si>
  <si>
    <t>WINEFREDO ALORO HERMANO</t>
  </si>
  <si>
    <t>RONAMAE ROBIN CANOY</t>
  </si>
  <si>
    <t>MARTINA B. ROSALES</t>
  </si>
  <si>
    <t>Lily Saltarin Hermogino</t>
  </si>
  <si>
    <t>Marilou Sampaton Bernas</t>
  </si>
  <si>
    <t>Mary Grace B. Dulnuan</t>
  </si>
  <si>
    <t>Maria Juliana A. Toribio</t>
  </si>
  <si>
    <t>Julie Fe B. Balais</t>
  </si>
  <si>
    <t>PRUDENCIO EGSAN NOCELO, JR.</t>
  </si>
  <si>
    <t>Dandy T Solas</t>
  </si>
  <si>
    <t>SUSANA  CABIGAO DELA ROSA</t>
  </si>
  <si>
    <t>Raymond Lopez Cruz</t>
  </si>
  <si>
    <t>Arlyn Autencio Romaquin</t>
  </si>
  <si>
    <t>KRISTEL GEM QUIANO MANGANAAN</t>
  </si>
  <si>
    <t>ISABEL MASAGCA ENCISO</t>
  </si>
  <si>
    <t>Pocholo Hernandez</t>
  </si>
  <si>
    <t>Freddie Sr. Francisco Gabo</t>
  </si>
  <si>
    <t>Cerilo  L  Cabania</t>
  </si>
  <si>
    <t>Alejandro Polestico Auxtero</t>
  </si>
  <si>
    <t>Reynaldo Diamante Guillergan</t>
  </si>
  <si>
    <t>RM ASES AZUELO ORTEGA</t>
  </si>
  <si>
    <t>Danilo  Mira Omagtang</t>
  </si>
  <si>
    <t>Marilen L Santiago</t>
  </si>
  <si>
    <t>Ma. Teresa  Panuda Ansino</t>
  </si>
  <si>
    <t>Anna Marie Bongay</t>
  </si>
  <si>
    <t>Yessa Casuncad</t>
  </si>
  <si>
    <t>Canuto, Jr Adalin Paluga</t>
  </si>
  <si>
    <t>Lara Mae Dente Pares</t>
  </si>
  <si>
    <t>Glenn Patrick A. Leynes</t>
  </si>
  <si>
    <t>Catherine C Padin</t>
  </si>
  <si>
    <t>Gloria  Cura</t>
  </si>
  <si>
    <t>MARY GRACE BUCASAS OPON</t>
  </si>
  <si>
    <t>Hazel F Gloria</t>
  </si>
  <si>
    <t>Delwin  Dalubajan  Dagook</t>
  </si>
  <si>
    <t>Amelia C. Villanueva</t>
  </si>
  <si>
    <t>Vincent Ian Mejia Malijan</t>
  </si>
  <si>
    <t>ROGER T. SEVILLA</t>
  </si>
  <si>
    <t>DEMOSTHENES SALINDATO BLANCO</t>
  </si>
  <si>
    <t>Mario Sr. P. Tumale</t>
  </si>
  <si>
    <t>WILLIAM B. NONOG</t>
  </si>
  <si>
    <t>Antonio F. Espanol</t>
  </si>
  <si>
    <t>Nestor Bulay-og Napune</t>
  </si>
  <si>
    <t>Edwin Tan Chan</t>
  </si>
  <si>
    <t>Ramon Christopher Alon</t>
  </si>
  <si>
    <t>Elmer Rama Malayo</t>
  </si>
  <si>
    <t>Mariel De Vera Mohammad-Sali</t>
  </si>
  <si>
    <t>RESTITUTO PRIVADO VILORIA</t>
  </si>
  <si>
    <t>novenia viloria</t>
  </si>
  <si>
    <t>Wilma Bumagat Policarpio</t>
  </si>
  <si>
    <t>Andy G Matula</t>
  </si>
  <si>
    <t>carina unira rocamora</t>
  </si>
  <si>
    <t>ROWENA  VILLALUZ  RAMOS</t>
  </si>
  <si>
    <t>Guillermo Israel Modino</t>
  </si>
  <si>
    <t>Franco Torrion Alampangan</t>
  </si>
  <si>
    <t>Arlyn Gabriel Basbas</t>
  </si>
  <si>
    <t>Amabe Amanse Dela Cruz</t>
  </si>
  <si>
    <t>ROLITO FLORES</t>
  </si>
  <si>
    <t>Marc Justin A Arzadon</t>
  </si>
  <si>
    <t>Ludwig  Solano</t>
  </si>
  <si>
    <t>Raul Aranton Octavo</t>
  </si>
  <si>
    <t>NACIANCINA SIONG CATUBIG</t>
  </si>
  <si>
    <t>MA. NEOFITA S. TUAZON</t>
  </si>
  <si>
    <t>Jose Galario Fernando</t>
  </si>
  <si>
    <t>Maria Rizza Mae  R.  Mabaquiao</t>
  </si>
  <si>
    <t>Richard Cammayo Malayao</t>
  </si>
  <si>
    <t>Catherine Juntarciego Nomananap</t>
  </si>
  <si>
    <t>JOEL ARROYO SANTES</t>
  </si>
  <si>
    <t>Krystal Eleni Bulatete Tabernero</t>
  </si>
  <si>
    <t>Jose Alcantara Clarion, Jr.</t>
  </si>
  <si>
    <t>Melleth D Miole</t>
  </si>
  <si>
    <t>Enjill Grace R. Subillaga</t>
  </si>
  <si>
    <t>Cristina Manalo Bajado</t>
  </si>
  <si>
    <t>Aracel Santos</t>
  </si>
  <si>
    <t>ARNOLD B DAGASUHAN</t>
  </si>
  <si>
    <t>Bernadette Sanchez Ragay</t>
  </si>
  <si>
    <t>Adriel S. Dacara</t>
  </si>
  <si>
    <t>Alfonso Stagen</t>
  </si>
  <si>
    <t>Angelina M De Vera</t>
  </si>
  <si>
    <t>Abner H Labaniego</t>
  </si>
  <si>
    <t>ANTONIETO F PACAYRA</t>
  </si>
  <si>
    <t>NELSON YBAÑEZ GABAYAN</t>
  </si>
  <si>
    <t>Lorna Triviño Manalo</t>
  </si>
  <si>
    <t>PRUDENCIO L VARELA</t>
  </si>
  <si>
    <t>Rosalinda Cortez Jabonillo</t>
  </si>
  <si>
    <t>Maria Lucia Sanchez</t>
  </si>
  <si>
    <t>Jocelyn Laayon Mauting</t>
  </si>
  <si>
    <t>Melany Trinanes</t>
  </si>
  <si>
    <t>Herma Taghap Paragsa</t>
  </si>
  <si>
    <t>EMMA SALTIGA ROSALES</t>
  </si>
  <si>
    <t>Jolina Bonleon Vital</t>
  </si>
  <si>
    <t>Nellie B Chian</t>
  </si>
  <si>
    <t>SATUR CALUBANDI PAYANGDO</t>
  </si>
  <si>
    <t>Alma A. Permejo</t>
  </si>
  <si>
    <t>Zaldy B. Burgonio</t>
  </si>
  <si>
    <t>Bienvenido Capilitan Barrera, Jr.</t>
  </si>
  <si>
    <t>James Formoso Encarnacion</t>
  </si>
  <si>
    <t>Eustila Furog Evangelista</t>
  </si>
  <si>
    <t>EDSON III CASTRO TANDOC</t>
  </si>
  <si>
    <t>Ray Retarino Ruiz</t>
  </si>
  <si>
    <t>Ricardo De Luna Costo</t>
  </si>
  <si>
    <t>Ma.Corazon Jimenez Alquizar</t>
  </si>
  <si>
    <t>Ruben Denoso Raandaan</t>
  </si>
  <si>
    <t>Renato E. Masculino</t>
  </si>
  <si>
    <t>Yolanda Marquez Mendez</t>
  </si>
  <si>
    <t>Rodrigo S Baid</t>
  </si>
  <si>
    <t>Jay Francis Ibanez Dela Victoria</t>
  </si>
  <si>
    <t>CONSORCIA PISPIS RAÑOSA</t>
  </si>
  <si>
    <t>Veronica Manzano Rodriguez</t>
  </si>
  <si>
    <t>Editha V. Aguinaldo, MPA</t>
  </si>
  <si>
    <t>Vanessa Tornito Alcuizar</t>
  </si>
  <si>
    <t>Lilibeth Tayab Sabihon</t>
  </si>
  <si>
    <t>Gerald B Alvaro</t>
  </si>
  <si>
    <t>JACKYLINE CUTILLAS BENIGIAN</t>
  </si>
  <si>
    <t>Rosarie R. Paras</t>
  </si>
  <si>
    <t>Juvylyn Viajar Bitang</t>
  </si>
  <si>
    <t>EMILIANO JR. C. MILITAR</t>
  </si>
  <si>
    <t>IAN JEHH VALENCIA PARRENAS</t>
  </si>
  <si>
    <t>Jojie Ann Oliva Watin</t>
  </si>
  <si>
    <t>Jovelyn I. Legaspi</t>
  </si>
  <si>
    <t>SANDRA TORAYNO UDANG</t>
  </si>
  <si>
    <t>Ma.  Hannah Hecita Dobrea</t>
  </si>
  <si>
    <t>Liza Rogador Vargas</t>
  </si>
  <si>
    <t>Ma. Vicenta To Malana</t>
  </si>
  <si>
    <t>Sheila Paraiso Estrellanes</t>
  </si>
  <si>
    <t>Mark Joton Paguirigan Ramirez</t>
  </si>
  <si>
    <t>Ma. Socorro C Tabang</t>
  </si>
  <si>
    <t>SHERLITA ABAYAN DEL MUNDO</t>
  </si>
  <si>
    <t>Marites Asuque</t>
  </si>
  <si>
    <t>Noli T. Gandamon</t>
  </si>
  <si>
    <t>CIRILO BAUI AZURIN</t>
  </si>
  <si>
    <t>Liza Panganiban Defeo</t>
  </si>
  <si>
    <t>Reyma Castañeda Tabalno</t>
  </si>
  <si>
    <t>Edwin B Mendoza</t>
  </si>
  <si>
    <t>Alex S. Rosal Jr.</t>
  </si>
  <si>
    <t>Jezereel Esteban</t>
  </si>
  <si>
    <t>LGU TANGUB</t>
  </si>
  <si>
    <t>Joemarie Flores Geguiera</t>
  </si>
  <si>
    <t>Ronnie Zaraspe</t>
  </si>
  <si>
    <t>Ann S Ancajas</t>
  </si>
  <si>
    <t>Remelyn L. Orapa</t>
  </si>
  <si>
    <t>EDGARDO MEDINO TOBIAS</t>
  </si>
  <si>
    <t>ROGELIO CAMINO EMPILLO</t>
  </si>
  <si>
    <t>Jose Garing Orzal</t>
  </si>
  <si>
    <t>WILFREDO M. WAQUIZ</t>
  </si>
  <si>
    <t>Renee  Salomon  Davad</t>
  </si>
  <si>
    <t>Mary Jane Elegio Malbas</t>
  </si>
  <si>
    <t>Gredalie Rivera Acopio</t>
  </si>
  <si>
    <t>Renato Toledo Ebreo</t>
  </si>
  <si>
    <t>Cheenne Grace Luha Dela Peña</t>
  </si>
  <si>
    <t>rejulio jacildo bruno</t>
  </si>
  <si>
    <t>Jojie B. Rabina</t>
  </si>
  <si>
    <t>Junje Abayon Draculan</t>
  </si>
  <si>
    <t>SHIELA MARIE MACAUYAG CABAHUG</t>
  </si>
  <si>
    <t>Amalia Acay Ibarra</t>
  </si>
  <si>
    <t>Virgilio Bullen Damasing</t>
  </si>
  <si>
    <t>EDWARD A. ROA</t>
  </si>
  <si>
    <t>Jenifer C. Alcain</t>
  </si>
  <si>
    <t>Robert Amable</t>
  </si>
  <si>
    <t>Dixie Santander De Guzman</t>
  </si>
  <si>
    <t>Ma. Dea Osorio</t>
  </si>
  <si>
    <t>Archie Tumambing</t>
  </si>
  <si>
    <t>Marissa Calzada Ogario</t>
  </si>
  <si>
    <t>Janelyn Ortegn Salvan</t>
  </si>
  <si>
    <t>WILDEGARDO SABERON ENRIQUEZ</t>
  </si>
  <si>
    <t>ARCHIE TOLEDO JOAQUIN</t>
  </si>
  <si>
    <t>Margie A Calar</t>
  </si>
  <si>
    <t>Vivencia Lelis</t>
  </si>
  <si>
    <t>COLEEN C LOMOLJO</t>
  </si>
  <si>
    <t>Joselito Ferreras Asma</t>
  </si>
  <si>
    <t>JENNIFER  D. SIMBAJON</t>
  </si>
  <si>
    <t>Maritess Fortes Idala</t>
  </si>
  <si>
    <t>Krisbert S. Malanay</t>
  </si>
  <si>
    <t>Robert John Donesa</t>
  </si>
  <si>
    <t>Eleanor K. Corpuz</t>
  </si>
  <si>
    <t>Marissa G. Quijano</t>
  </si>
  <si>
    <t>Julius Luis Juanito</t>
  </si>
  <si>
    <t>Veronica Vergara De Jesus</t>
  </si>
  <si>
    <t>Eden Rose V. Calo</t>
  </si>
  <si>
    <t>DERRICK ENCARNACION MAYOR</t>
  </si>
  <si>
    <t>Francis Alfred Calo Bokingo</t>
  </si>
  <si>
    <t>ABNER ALPAS ESPARTERO</t>
  </si>
  <si>
    <t>Ernesto S. Suplido</t>
  </si>
  <si>
    <t>TEOFILO YUZON GUINO-O</t>
  </si>
  <si>
    <t>Angel D. Pundao</t>
  </si>
  <si>
    <t>Ronnie Gecolea Sierva</t>
  </si>
  <si>
    <t>Wencislao Jr. Calimlim Cagalitan</t>
  </si>
  <si>
    <t>Almae  Villarmia Arquiza</t>
  </si>
  <si>
    <t>Nida Tordesillas Tuason</t>
  </si>
  <si>
    <t>GERALDINE O AGRAVANTE</t>
  </si>
  <si>
    <t>RODERICK LINDAIN DE LEON</t>
  </si>
  <si>
    <t>FRANCISCO D. GUINAYON</t>
  </si>
  <si>
    <t>MARJORIE VICTORIANO ROSALES</t>
  </si>
  <si>
    <t>Jaybee Punzalan</t>
  </si>
  <si>
    <t>MARCIAL RAMOS VALIENTE</t>
  </si>
  <si>
    <t>Joshua Abejero Adanza</t>
  </si>
  <si>
    <t>Reynaldo  Aripal  Jalaron</t>
  </si>
  <si>
    <t>Joyce Ann Mae L Del Valle</t>
  </si>
  <si>
    <t>Salome D. Diel</t>
  </si>
  <si>
    <t>Ian Lemuel Bandoy Felix</t>
  </si>
  <si>
    <t>ERNESTO AQUINO MANEGDEG</t>
  </si>
  <si>
    <t>ARTEMIO MENDEZ</t>
  </si>
  <si>
    <t>Teodoro C. Gozarem</t>
  </si>
  <si>
    <t>REMEGIO GASCON DUYAN</t>
  </si>
  <si>
    <t>Evelyn Ramos</t>
  </si>
  <si>
    <t>Hanz Cecilio Bernardo</t>
  </si>
  <si>
    <t>Jocelyn Mosqueda Abaya</t>
  </si>
  <si>
    <t>Marilyn Cruz Santella</t>
  </si>
  <si>
    <t>GENELYN BUMILTAC</t>
  </si>
  <si>
    <t>Eduardo M. Doria</t>
  </si>
  <si>
    <t>Jerona M. Silagan</t>
  </si>
  <si>
    <t>Arnel Villamor Esller</t>
  </si>
  <si>
    <t>Nelly Sanes Echavez</t>
  </si>
  <si>
    <t>EDGARDO A. VALDEZ</t>
  </si>
  <si>
    <t>Susan Siacor Arsenio</t>
  </si>
  <si>
    <t>HAIDEE PEÑAMANTE AVELLANO</t>
  </si>
  <si>
    <t>Arnaldo G Liansing</t>
  </si>
  <si>
    <t>Bevs A Santino</t>
  </si>
  <si>
    <t>Mark Joy Clor Nogaliza</t>
  </si>
  <si>
    <t>Dhalie Dicen Almirol</t>
  </si>
  <si>
    <t>MAYLA F FEO</t>
  </si>
  <si>
    <t>Romela  A.  Hiquial</t>
  </si>
  <si>
    <t>marilou into cabeguin</t>
  </si>
  <si>
    <t>Feryness Belmonte Escarpe</t>
  </si>
  <si>
    <t>Antonio Paquite Serognas</t>
  </si>
  <si>
    <t>ELMER CEZAR ASPE ZALETA</t>
  </si>
  <si>
    <t>Delfin Caba Macapagal</t>
  </si>
  <si>
    <t>JAYVEE BRYAN GALVEZ CARILLO</t>
  </si>
  <si>
    <t>Maximo H Salvatierra</t>
  </si>
  <si>
    <t>Cleofe A Amores</t>
  </si>
  <si>
    <t>Joseph Abalde Magriña</t>
  </si>
  <si>
    <t>Nemesio M. Frigillana</t>
  </si>
  <si>
    <t>AIZA PAUL CALIAO</t>
  </si>
  <si>
    <t>VIOLA  P.  MONTILLA</t>
  </si>
  <si>
    <t>Divina Agaser Miguel</t>
  </si>
  <si>
    <t>Angeline G. Regalado</t>
  </si>
  <si>
    <t>Gladys Jean Dasilao Quijada</t>
  </si>
  <si>
    <t>ARVIN B BELARDO</t>
  </si>
  <si>
    <t>Rex Juarez</t>
  </si>
  <si>
    <t>Jesamine M. Mendi</t>
  </si>
  <si>
    <t>Melanie Sergio Pili</t>
  </si>
  <si>
    <t>Cecille Angeline 09171477690 Lipardo</t>
  </si>
  <si>
    <t>REGIE BAES AGNO</t>
  </si>
  <si>
    <t>Donald Glenn M Lanzado</t>
  </si>
  <si>
    <t>Marfen Guinmapang Corvera</t>
  </si>
  <si>
    <t>Alan C. Santos</t>
  </si>
  <si>
    <t>Mary Ann A. Lazo</t>
  </si>
  <si>
    <t>LIVY POLIA DALA</t>
  </si>
  <si>
    <t>FREDERICK B AGUIRRE</t>
  </si>
  <si>
    <t>MARGARITA LAGUADOR PLACINO</t>
  </si>
  <si>
    <t>Lester Mobreros Aringo</t>
  </si>
  <si>
    <t>Joseph Dante D Develleres</t>
  </si>
  <si>
    <t>Sheila mae  Alpon  Carpentero</t>
  </si>
  <si>
    <t>Loy Joseph I Quitain</t>
  </si>
  <si>
    <t>JOEBAEL D MOHAMAD</t>
  </si>
  <si>
    <t>Andy Ralfh Villafuerte Conocono</t>
  </si>
  <si>
    <t>Lelia Uriarte</t>
  </si>
  <si>
    <t>Rodrigo V. Custodio</t>
  </si>
  <si>
    <t>Marjorie Guiao Vitug</t>
  </si>
  <si>
    <t>April Joy R Tambis</t>
  </si>
  <si>
    <t>Grace P Hainto</t>
  </si>
  <si>
    <t>Amorie Michele Marba Janubas</t>
  </si>
  <si>
    <t>bryan gallenero piadoche</t>
  </si>
  <si>
    <t>Mary Rose Capanzana Occidental</t>
  </si>
  <si>
    <t>CHARRIE ANN SINGCO SALES</t>
  </si>
  <si>
    <t>ELEONOR B PALACIO</t>
  </si>
  <si>
    <t>Aaron Robert Anza Binarao</t>
  </si>
  <si>
    <t>Michelle A Supena</t>
  </si>
  <si>
    <t>Marivic Torres Pagala</t>
  </si>
  <si>
    <t>TEOFILO I CALUYA</t>
  </si>
  <si>
    <t>LIEZEL BRAZAL DE LEON</t>
  </si>
  <si>
    <t>LEIZEL ALBEZA MORA</t>
  </si>
  <si>
    <t>Lorenzo B Gahoy</t>
  </si>
  <si>
    <t>Sol P. Molo</t>
  </si>
  <si>
    <t>Isidra E. Tumale</t>
  </si>
  <si>
    <t>AGOSTO BELINO BAOBAOEN</t>
  </si>
  <si>
    <t>Policarpio Eli Fontanilla Jr.</t>
  </si>
  <si>
    <t>Noel Aguillon Salvan</t>
  </si>
  <si>
    <t>Perry Origenes Bague</t>
  </si>
  <si>
    <t>Cristina Olvido Gutierrez</t>
  </si>
  <si>
    <t>Guy Villanueva Arellano</t>
  </si>
  <si>
    <t>ADRIAN CORDITA COSTUYA</t>
  </si>
  <si>
    <t>EDUARDO EBANA JAQUILMAC</t>
  </si>
  <si>
    <t>Ann Mariz Tablante Dalumpines</t>
  </si>
  <si>
    <t>Carol Zulueta Ramos</t>
  </si>
  <si>
    <t>Philip P. Garcia</t>
  </si>
  <si>
    <t>Merlinda P. Maata</t>
  </si>
  <si>
    <t>Ma. Kristina Goylos Medalla</t>
  </si>
  <si>
    <t>Necerio Lazarte</t>
  </si>
  <si>
    <t>Mark Jayson R. Carabido</t>
  </si>
  <si>
    <t>ANNA LHE BOLIVAR TULIO</t>
  </si>
  <si>
    <t>Jocelyn D Melandres</t>
  </si>
  <si>
    <t>Marcial C. Comeros</t>
  </si>
  <si>
    <t>ANNALIZA LAUREO GARCIA</t>
  </si>
  <si>
    <t>Marilou A. Gecosala</t>
  </si>
  <si>
    <t>Cherryl Cerbo</t>
  </si>
  <si>
    <t>Jorge Olaer Madrona</t>
  </si>
  <si>
    <t>Rico Atega Ygbuhay</t>
  </si>
  <si>
    <t>ORLANDO LIBORES ROMERO</t>
  </si>
  <si>
    <t>Lorena Obsiquo Escaro</t>
  </si>
  <si>
    <t>Roy Ian A Resplandor</t>
  </si>
  <si>
    <t>Aries Cañas Balboa</t>
  </si>
  <si>
    <t>Jeffin Dick M Vidal</t>
  </si>
  <si>
    <t>Emeliza Maniquiz Nogoy</t>
  </si>
  <si>
    <t>Jezreel Gomez Ortega</t>
  </si>
  <si>
    <t>Marilyn P. Duran</t>
  </si>
  <si>
    <t>Marilou Yu Macapil</t>
  </si>
  <si>
    <t>Marife Rendon</t>
  </si>
  <si>
    <t>ERMA DICHOSO ESCURO</t>
  </si>
  <si>
    <t>Miguela Biongcog</t>
  </si>
  <si>
    <t>Amancio Velasco, Sr.</t>
  </si>
  <si>
    <t>Kristelle Balboa Dimarucot</t>
  </si>
  <si>
    <t>Joelito Bueñafe</t>
  </si>
  <si>
    <t>LEO S. MATIAS</t>
  </si>
  <si>
    <t>Vicente B. Calag</t>
  </si>
  <si>
    <t>CYNTHIA BACONGA PECORE</t>
  </si>
  <si>
    <t>ODESSA T. MANLIGOY</t>
  </si>
  <si>
    <t>Donald De la Cruz Landero</t>
  </si>
  <si>
    <t>Jessie Luceño</t>
  </si>
  <si>
    <t>LEAH ABORDO OBLIAN</t>
  </si>
  <si>
    <t>Mary- Ann R Lumag</t>
  </si>
  <si>
    <t>Hilarry Amigable Singalivo</t>
  </si>
  <si>
    <t>Jonathan Ramos Viernes</t>
  </si>
  <si>
    <t>Arman Borja Basbas</t>
  </si>
  <si>
    <t>MARIE VI SALUNDAGUIT FABRE</t>
  </si>
  <si>
    <t>Jackson L. Pasamic</t>
  </si>
  <si>
    <t>Geraldine L Arrieta</t>
  </si>
  <si>
    <t>Jessie Canama Paquibo</t>
  </si>
  <si>
    <t>JEFFREY TABUCO KHO</t>
  </si>
  <si>
    <t>Myrna Badilles Belgado</t>
  </si>
  <si>
    <t>Romer Pacpaco Regucera</t>
  </si>
  <si>
    <t>Clariza Cabuello Estremera</t>
  </si>
  <si>
    <t>chito bardelosa niegas</t>
  </si>
  <si>
    <t>Vanesa C. Cutanda</t>
  </si>
  <si>
    <t>RIZALITO DELA CRUZ VERGARA</t>
  </si>
  <si>
    <t>VINCENT RON B BACOL</t>
  </si>
  <si>
    <t>Wilbert Eusebio Jose</t>
  </si>
  <si>
    <t>Joseph Roy Quezon Suhayon</t>
  </si>
  <si>
    <t>Evangeline Balan Lorenzo</t>
  </si>
  <si>
    <t>Antonio Mendoza Bautista</t>
  </si>
  <si>
    <t>Jovie Mayne Legaspi-Valdez</t>
  </si>
  <si>
    <t>SANTEE C ESPARES</t>
  </si>
  <si>
    <t>Ronnie Carpio</t>
  </si>
  <si>
    <t>Arni Nidoy Abad</t>
  </si>
  <si>
    <t>Eufrecenia A. Bernardo</t>
  </si>
  <si>
    <t>ILUMINADA O. RUBA</t>
  </si>
  <si>
    <t>MARCELO JUANICH PADILLA</t>
  </si>
  <si>
    <t>Ofelia Escobarte Nacional</t>
  </si>
  <si>
    <t>Marnell Carreon Ubaldo</t>
  </si>
  <si>
    <t>Christian Noel D. Castillo</t>
  </si>
  <si>
    <t>Ma. Rita Fallorina Ongbit</t>
  </si>
  <si>
    <t>Vicenta M. Natividad</t>
  </si>
  <si>
    <t>FELOMENA S CABACTULAN</t>
  </si>
  <si>
    <t>VICTOR LUZA LAGUNA</t>
  </si>
  <si>
    <t>Manuel  Arguelles Alastre</t>
  </si>
  <si>
    <t>NIDA COFUENTES PALACIO</t>
  </si>
  <si>
    <t>Cynthia Faustino Delgado</t>
  </si>
  <si>
    <t>JUNE ILYN TERADO ESTEBAN</t>
  </si>
  <si>
    <t>Elizabeth B. Del Fin</t>
  </si>
  <si>
    <t>Mark Joseph Roque Dampil</t>
  </si>
  <si>
    <t>Glen Mary Fiecas Sim</t>
  </si>
  <si>
    <t>Charitie Dagsa Gabito</t>
  </si>
  <si>
    <t>Rovic G. Pantua</t>
  </si>
  <si>
    <t>Michael Ian Galleros Ceballos</t>
  </si>
  <si>
    <t>Joseph Molina Apan</t>
  </si>
  <si>
    <t>NOEMI V. BALAIS</t>
  </si>
  <si>
    <t>Elna Bacayo Valenzuela</t>
  </si>
  <si>
    <t>Jhenevy Monel Diamate</t>
  </si>
  <si>
    <t>Edgardo C. Ramos</t>
  </si>
  <si>
    <t>Gilbert Cuaresma</t>
  </si>
  <si>
    <t>Ricardo M Tupaz</t>
  </si>
  <si>
    <t>Efren  Turno  Acaso</t>
  </si>
  <si>
    <t>Brenjune Bliss Gerong Calapre</t>
  </si>
  <si>
    <t>Mateo  Tomaquin</t>
  </si>
  <si>
    <t>Mary Jofel C Santelices</t>
  </si>
  <si>
    <t>MARIO  BEDRIJO  URSAL</t>
  </si>
  <si>
    <t>MERIAM R. BENDOY</t>
  </si>
  <si>
    <t>Elton Gurro Panulaya</t>
  </si>
  <si>
    <t>CHERRY ANN BANIEL</t>
  </si>
  <si>
    <t>BAC HINUNDAYAN LGU-Hinundayan, So. Leyte</t>
  </si>
  <si>
    <t>MACAPANTAO REMPUNGAN MANAMBA</t>
  </si>
  <si>
    <t>Leonora Lumayag Ofredo</t>
  </si>
  <si>
    <t>Ferdinand So Omaña</t>
  </si>
  <si>
    <t>ERENEO  E. SULLANO</t>
  </si>
  <si>
    <t>Florence Joy R. Mallare-Abad</t>
  </si>
  <si>
    <t>Ronald Nacario Villanueva</t>
  </si>
  <si>
    <t>RIZA ESPARTERO BALLANCA</t>
  </si>
  <si>
    <t>Rodel T. Espiritu</t>
  </si>
  <si>
    <t>Anna Karla Mae Postor Grindulo</t>
  </si>
  <si>
    <t>Helen Apostol Calatrava</t>
  </si>
  <si>
    <t>LUISA G  AZUELO</t>
  </si>
  <si>
    <t>Connie  Bagadiong Avila</t>
  </si>
  <si>
    <t>ROSE JEAN  MUnOZ</t>
  </si>
  <si>
    <t>Randy B Moredo</t>
  </si>
  <si>
    <t>CHRISTINE Y CARTAJENA</t>
  </si>
  <si>
    <t>MARIVIC  J.  MANGUBAT</t>
  </si>
  <si>
    <t>Hamelcar Anala Primavera</t>
  </si>
  <si>
    <t>Diana D. Ermita</t>
  </si>
  <si>
    <t>RHEA B  PEDROSA</t>
  </si>
  <si>
    <t>Lolito B. Aboy</t>
  </si>
  <si>
    <t>MILAGROS BAGASIN</t>
  </si>
  <si>
    <t>Henry L Vera</t>
  </si>
  <si>
    <t>Rey Amador Mallen Baragamento</t>
  </si>
  <si>
    <t>Alegria Acosta Rayos</t>
  </si>
  <si>
    <t>MARIFE M  TOÑACAO</t>
  </si>
  <si>
    <t>Restituto Zapanta Balane</t>
  </si>
  <si>
    <t>Miladilla Santiago</t>
  </si>
  <si>
    <t>MARITESS CAYACO MARCOS</t>
  </si>
  <si>
    <t>Joel P Rosario</t>
  </si>
  <si>
    <t>Reynaldo V Pioquinto</t>
  </si>
  <si>
    <t>Carlos Seechung</t>
  </si>
  <si>
    <t>Lou Poliquit Quipit</t>
  </si>
  <si>
    <t>Mary Melisande Jamoyot Andaya</t>
  </si>
  <si>
    <t>Angel, Jr. S. Ramos</t>
  </si>
  <si>
    <t>Christine Marie Cruz Crisostomo</t>
  </si>
  <si>
    <t>james berlin H. escaner</t>
  </si>
  <si>
    <t>Glenn C. Cabaya</t>
  </si>
  <si>
    <t>IRENEO L. SORIANO, JR.</t>
  </si>
  <si>
    <t>ELVIS R. CUIZON</t>
  </si>
  <si>
    <t>Samuel Canaya</t>
  </si>
  <si>
    <t>Charo R Arugay</t>
  </si>
  <si>
    <t>Estrella Ageas Maata</t>
  </si>
  <si>
    <t>Arianna Krystyn A. Perez</t>
  </si>
  <si>
    <t>SAMERIO JR. D  AGURA</t>
  </si>
  <si>
    <t>JULLIAN KYLE GONZAGA SAN MATEO</t>
  </si>
  <si>
    <t>ALIMUDIN S BITOL</t>
  </si>
  <si>
    <t>Mark Eduard Borda Peñas</t>
  </si>
  <si>
    <t>Ma. Teresa I. Samson</t>
  </si>
  <si>
    <t>Jacob Gupana Racho</t>
  </si>
  <si>
    <t>Reinerio Boglosa</t>
  </si>
  <si>
    <t>Filma Tulen Maghinay</t>
  </si>
  <si>
    <t>Jordan Ravanzo Sipsip</t>
  </si>
  <si>
    <t>Rodel Gullon Chavez</t>
  </si>
  <si>
    <t>EVELYN NALAUNAN DALISAY</t>
  </si>
  <si>
    <t>Maricel Vitasa Granada</t>
  </si>
  <si>
    <t>Miriam Dela Paz Mapatac</t>
  </si>
  <si>
    <t>Isagani J. Moso</t>
  </si>
  <si>
    <t>Engr. Noel Galacgac Coloma</t>
  </si>
  <si>
    <t>Marie Juvy Lalin Alera</t>
  </si>
  <si>
    <t>Cecilia Ilao Pureza</t>
  </si>
  <si>
    <t>EMMANUEL SABORNIDO NIERRAS</t>
  </si>
  <si>
    <t>DOWIE JOY RODIS</t>
  </si>
  <si>
    <t>Raquel Manlimos Cero</t>
  </si>
  <si>
    <t>Cario Abag Baskial</t>
  </si>
  <si>
    <t>Cecilia Calagui</t>
  </si>
  <si>
    <t>Nilda Lumapak</t>
  </si>
  <si>
    <t>Hazel G Solis</t>
  </si>
  <si>
    <t>Irish B. Velasco</t>
  </si>
  <si>
    <t>Sherwin  V.  Gelacio</t>
  </si>
  <si>
    <t>Toni Marc L Dargantes</t>
  </si>
  <si>
    <t>Jessie Rose Sabindo Pascua</t>
  </si>
  <si>
    <t>Aprilene Agojo Natanauan</t>
  </si>
  <si>
    <t>Romeo L Tuddao</t>
  </si>
  <si>
    <t>Florencio Formaran Parcarey</t>
  </si>
  <si>
    <t>Erlie A. Mallari</t>
  </si>
  <si>
    <t>Deniel Salvador Bentoy Morillo</t>
  </si>
  <si>
    <t>Johannah Descargar Bantas</t>
  </si>
  <si>
    <t>FRANCES BENILAN TANGOG</t>
  </si>
  <si>
    <t>Rodolfo Felipe Jopio Jr.</t>
  </si>
  <si>
    <t>Julio Malanao Sampilo</t>
  </si>
  <si>
    <t>Helen  Senosa  Esperancilla</t>
  </si>
  <si>
    <t>ALLANA AGUILAR BABAYEN-ON</t>
  </si>
  <si>
    <t>Honey Sahara Bautista Aleman</t>
  </si>
  <si>
    <t>Manuel T Barit</t>
  </si>
  <si>
    <t>Marieta Alva Reyes</t>
  </si>
  <si>
    <t>Joey Bajao Bacoy</t>
  </si>
  <si>
    <t>EMILY D UGAY</t>
  </si>
  <si>
    <t>VIRGIN GANIR MALICAD</t>
  </si>
  <si>
    <t>Gerry Lacuesta Bautista</t>
  </si>
  <si>
    <t>Lou Wendell C San Jose</t>
  </si>
  <si>
    <t>Josef David Vega</t>
  </si>
  <si>
    <t>Rosa Katherine J. Angeles</t>
  </si>
  <si>
    <t>Leonilo Lota Laborte</t>
  </si>
  <si>
    <t>Prospero Andres Bartolome</t>
  </si>
  <si>
    <t>Francisco Basilio Gadingan</t>
  </si>
  <si>
    <t>Anjie P. Ytac</t>
  </si>
  <si>
    <t>Mavic Azuran</t>
  </si>
  <si>
    <t>Felix Amontano Desamero</t>
  </si>
  <si>
    <t>Olga R. Bulisig</t>
  </si>
  <si>
    <t>Jennifer Loquillano Mayang-Aligado</t>
  </si>
  <si>
    <t>Maureen Pasajol Camilo</t>
  </si>
  <si>
    <t>QUINLO C. SUPERA</t>
  </si>
  <si>
    <t>Ma. Sandy M. Abutanmo</t>
  </si>
  <si>
    <t>Jerry  C.  Rodriguez</t>
  </si>
  <si>
    <t>AURORA MARGARET D. DIEZA</t>
  </si>
  <si>
    <t>BEDA LEGITA CANAMAQUE</t>
  </si>
  <si>
    <t>Mario G Poserio</t>
  </si>
  <si>
    <t>Charito Santos Fernando</t>
  </si>
  <si>
    <t>Emmanuel Garrido Bartolome</t>
  </si>
  <si>
    <t>ADRIAN A AÑO</t>
  </si>
  <si>
    <t>Arnold Villanueva Dao</t>
  </si>
  <si>
    <t>Jesus Malana  Bolima</t>
  </si>
  <si>
    <t>Atty. Anna Rosario P. Reyes</t>
  </si>
  <si>
    <t>Joelinda A Segui</t>
  </si>
  <si>
    <t>REYNALDO PARTIDO SANTOS</t>
  </si>
  <si>
    <t>MARY JOY BUCCAHAN SORIANO</t>
  </si>
  <si>
    <t>Martin A Telan</t>
  </si>
  <si>
    <t>CLARENCE C. MORALES</t>
  </si>
  <si>
    <t>Rhoderick T. Haban</t>
  </si>
  <si>
    <t>Neil Macaraeg</t>
  </si>
  <si>
    <t>Christian Inesola</t>
  </si>
  <si>
    <t>REA AXALAN RAMOS</t>
  </si>
  <si>
    <t>Carmelita Seto Bangayan</t>
  </si>
  <si>
    <t>Modesto Buenavides Talon</t>
  </si>
  <si>
    <t>FLERINE JAY RELATIVO SANDOT</t>
  </si>
  <si>
    <t>Gavin B Cadiente</t>
  </si>
  <si>
    <t>GERALDINE N. RANARA</t>
  </si>
  <si>
    <t>Francis Ian L Tan</t>
  </si>
  <si>
    <t>JOHN ANTHONY ASPURIA</t>
  </si>
  <si>
    <t>Jovelyn Valdez Pega</t>
  </si>
  <si>
    <t>margie celemen africa</t>
  </si>
  <si>
    <t>Randolf B.  Dimal</t>
  </si>
  <si>
    <t>Nerio D Fragata</t>
  </si>
  <si>
    <t>EnP Arlet E. Legaspi</t>
  </si>
  <si>
    <t>Noel Donell Ynion Narida</t>
  </si>
  <si>
    <t>Lolita Alvarez</t>
  </si>
  <si>
    <t>VILMA BORLA HERMOSO</t>
  </si>
  <si>
    <t>Liborio Ancero Urot</t>
  </si>
  <si>
    <t>FRANCISCO DELA VICTORIA MASCUÑANA, JR.</t>
  </si>
  <si>
    <t>Devina  Pahuna Bustamante</t>
  </si>
  <si>
    <t>Rosalind Rosal Vasquez</t>
  </si>
  <si>
    <t>HEDELISA  PELOLA  MANINGO</t>
  </si>
  <si>
    <t>Jose G Medel</t>
  </si>
  <si>
    <t>Ma. Rossana Cabigting Fariñas</t>
  </si>
  <si>
    <t>Joey Llorente</t>
  </si>
  <si>
    <t>Tiburcio Jr. Tolentino Tabarrejo</t>
  </si>
  <si>
    <t>Blesilda Virtucio Erejer</t>
  </si>
  <si>
    <t>RUEL B. CUBERO</t>
  </si>
  <si>
    <t>Marchelyn Pareja Ganit</t>
  </si>
  <si>
    <t>PIO CLAR TONERA</t>
  </si>
  <si>
    <t>Deane Marie Dorliac Ybanez</t>
  </si>
  <si>
    <t>Mary Nor Jontilla Gonzales</t>
  </si>
  <si>
    <t>Eliza Rendon Alamo</t>
  </si>
  <si>
    <t>Mylene Giselle C. Catbagan</t>
  </si>
  <si>
    <t>Marivic Yorong Morales</t>
  </si>
  <si>
    <t>Victor Avendaño</t>
  </si>
  <si>
    <t>ROMER LOREZCA</t>
  </si>
  <si>
    <t>DANILO S. SANTA ANA</t>
  </si>
  <si>
    <t>Julio Carcellar Gatil</t>
  </si>
  <si>
    <t>Belen Serenio Dela Peña</t>
  </si>
  <si>
    <t>larry fabian dasalla</t>
  </si>
  <si>
    <t>Candido Matutina Dichosa, Jr.</t>
  </si>
  <si>
    <t>Scarlet Sualog Villanueva</t>
  </si>
  <si>
    <t>Reynaldo C. Lopez Jr.</t>
  </si>
  <si>
    <t>CLINIA C EUSORES</t>
  </si>
  <si>
    <t>Edwin Francisco Argonza</t>
  </si>
  <si>
    <t>Aser G Sadava</t>
  </si>
  <si>
    <t>BENEDICTA B. GAMATERO</t>
  </si>
  <si>
    <t>Leonila G. Lapada</t>
  </si>
  <si>
    <t>Ramises Baladad Esteban</t>
  </si>
  <si>
    <t>rodrigo jabellana</t>
  </si>
  <si>
    <t>harry eran</t>
  </si>
  <si>
    <t>Dennis S Dabuco</t>
  </si>
  <si>
    <t>Jose Marcelo</t>
  </si>
  <si>
    <t>Petronila  Cabrera Mariano</t>
  </si>
  <si>
    <t>Julito Monteclaro Maglacas</t>
  </si>
  <si>
    <t>Bren Vergara Buena</t>
  </si>
  <si>
    <t>JENNY BEE HERBILLA RIVERA</t>
  </si>
  <si>
    <t>Ruth Embate Agustin</t>
  </si>
  <si>
    <t>Nestor Acol Almaite</t>
  </si>
  <si>
    <t>Lani Pabalan Magno</t>
  </si>
  <si>
    <t>REYLLAND EBALLE RENDAL</t>
  </si>
  <si>
    <t>NESTOR T TELIN</t>
  </si>
  <si>
    <t>Sharon S. Gupalor</t>
  </si>
  <si>
    <t>Mary Grace Liwag Capisonda</t>
  </si>
  <si>
    <t>EVAN V. PUYOS</t>
  </si>
  <si>
    <t>Rosemarie  Lavilla  Ordas</t>
  </si>
  <si>
    <t>Angela H. Rivera</t>
  </si>
  <si>
    <t>Dolores Villanueva Betonio</t>
  </si>
  <si>
    <t>Rhea Valmadrid</t>
  </si>
  <si>
    <t>Jacquiline Lanutan Tagaca</t>
  </si>
  <si>
    <t>Angelbert G Dimazana</t>
  </si>
  <si>
    <t>JEANNA RABANILLO RAPAYRAPAY</t>
  </si>
  <si>
    <t>MARIADELIA BUBA AVE</t>
  </si>
  <si>
    <t>Klaudine Magno De Vera</t>
  </si>
  <si>
    <t>Ramil Custodio Martinez</t>
  </si>
  <si>
    <t>CARLITO BRUZON COTARES</t>
  </si>
  <si>
    <t>JOCELYN FUENTES VILLARIN</t>
  </si>
  <si>
    <t>Bernard Bordon Delos Reyes</t>
  </si>
  <si>
    <t>Benazir Lim Alam</t>
  </si>
  <si>
    <t>ATTY. ADELITO M. SOLIBAGA, JR.</t>
  </si>
  <si>
    <t>Virginia Jimenez Nicolas</t>
  </si>
  <si>
    <t>Angelo Arca dela Rosa</t>
  </si>
  <si>
    <t>Maricar C Cristobal</t>
  </si>
  <si>
    <t>Melanie D. Calajate</t>
  </si>
  <si>
    <t>Mila Rodrin Creencia 2</t>
  </si>
  <si>
    <t>Rosanna Tan Andal</t>
  </si>
  <si>
    <t>Raymundo Belen Cueto</t>
  </si>
  <si>
    <t>Nonito Cervancia</t>
  </si>
  <si>
    <t>JESUS JONJIE ADELANTAR VENTURANZA</t>
  </si>
  <si>
    <t>Gerardo Jr. V Viloria</t>
  </si>
  <si>
    <t>Joselyn S. Vivares</t>
  </si>
  <si>
    <t>JIMMY AMBROCIO FAMARANCO</t>
  </si>
  <si>
    <t>Mae Ann Olasiman Cutamora</t>
  </si>
  <si>
    <t>jimmy managad tolentino</t>
  </si>
  <si>
    <t>ANACLETO  AVENIDO  PLASABAS</t>
  </si>
  <si>
    <t>MERCEDITA DIWA</t>
  </si>
  <si>
    <t>Lilibeth Pedroso Arca</t>
  </si>
  <si>
    <t>Fhe Gallardo</t>
  </si>
  <si>
    <t>KEN EMERY B. MARTINEZ</t>
  </si>
  <si>
    <t>Rene I Estorpe</t>
  </si>
  <si>
    <t>Mikko S Duero</t>
  </si>
  <si>
    <t>Katrina Enerio Garcia</t>
  </si>
  <si>
    <t>MA. CELESTE S. DIZON</t>
  </si>
  <si>
    <t>JOENIME B KAPINA</t>
  </si>
  <si>
    <t>Norman Jay B. Alvarado</t>
  </si>
  <si>
    <t>Hope Jaravata Relayson</t>
  </si>
  <si>
    <t>DUSTIN PADILLA FORMALEJO</t>
  </si>
  <si>
    <t>Antonia D Castillo</t>
  </si>
  <si>
    <t>EDWARD SULIMA MAHINAY</t>
  </si>
  <si>
    <t>Evencio C Ruben</t>
  </si>
  <si>
    <t>Monalyn Lomibao Moulic</t>
  </si>
  <si>
    <t>Rinafe del Rio Dy</t>
  </si>
  <si>
    <t>Andresito Papelirin Dosal</t>
  </si>
  <si>
    <t>Mariane B. Tingchuy</t>
  </si>
  <si>
    <t>EVELYN COLUMBRES MALIGAD</t>
  </si>
  <si>
    <t>Abigail Chiara Catalla Muñoz</t>
  </si>
  <si>
    <t>Jennifer Sayson Teo</t>
  </si>
  <si>
    <t>CLEANTH REYES GOROSPE</t>
  </si>
  <si>
    <t>Marilou Tamayo Quitlong</t>
  </si>
  <si>
    <t>Ofelia Dimabuyo Napalit</t>
  </si>
  <si>
    <t>RUPERTO BATO YCO</t>
  </si>
  <si>
    <t>Eunice Faith Panganiban Castillo</t>
  </si>
  <si>
    <t>Noel Jardeleza</t>
  </si>
  <si>
    <t>Romelyn G. Estares</t>
  </si>
  <si>
    <t>Alvin B De Roxas</t>
  </si>
  <si>
    <t>Arsenia Morcoso Ordiales</t>
  </si>
  <si>
    <t>Joel B Sumugat</t>
  </si>
  <si>
    <t>Kimberly Englis Templado</t>
  </si>
  <si>
    <t>DONNA M PADUA</t>
  </si>
  <si>
    <t>Urbie Mahipos Migallen</t>
  </si>
  <si>
    <t>RICARDO, JR. ABABOL IMBING</t>
  </si>
  <si>
    <t>Rene Sarmiento</t>
  </si>
  <si>
    <t>Marnie O. Credo</t>
  </si>
  <si>
    <t>Dominic Babaran Calimag</t>
  </si>
  <si>
    <t>FREDDIE O. TEJADA</t>
  </si>
  <si>
    <t>Annalyn R. Encomio</t>
  </si>
  <si>
    <t>Peachy Natividad E. Chatto</t>
  </si>
  <si>
    <t>RAYMOORE A ARTATES</t>
  </si>
  <si>
    <t>IRISH A TORINO</t>
  </si>
  <si>
    <t>MA. BELEN POLIDO ACUESTA</t>
  </si>
  <si>
    <t>Rosalie C Obena</t>
  </si>
  <si>
    <t>LOUIE C. FERNANDEZ</t>
  </si>
  <si>
    <t>MARICRIS G. DIAZ</t>
  </si>
  <si>
    <t>JAN RAE MIJARES CANABANO</t>
  </si>
  <si>
    <t>Kristina Omapas Racuya</t>
  </si>
  <si>
    <t>Jundel John Benavidez Cabanela</t>
  </si>
  <si>
    <t>NESTOR APLACA AMPARO</t>
  </si>
  <si>
    <t>CONSTANTE MADRID JACOBE</t>
  </si>
  <si>
    <t>ENGR. GREGORIO VALENCIA BALUYUT</t>
  </si>
  <si>
    <t>Baltazar Caro Carisma</t>
  </si>
  <si>
    <t>VENUS NARAG MARTIREZ</t>
  </si>
  <si>
    <t>Manulito S Rodriguez</t>
  </si>
  <si>
    <t>Gaudencio Quiaoit Orpiano, Jr</t>
  </si>
  <si>
    <t>Jonathan H Loresca</t>
  </si>
  <si>
    <t>JEMSEL  Sr. DETALO VALDEZ</t>
  </si>
  <si>
    <t>Evelyn G Orcajada</t>
  </si>
  <si>
    <t>JAIME  SAURO   BAYABAY</t>
  </si>
  <si>
    <t>ELENA A. AGANON</t>
  </si>
  <si>
    <t>Raul B. Jacela</t>
  </si>
  <si>
    <t>Marcelina Jumawan Oguis</t>
  </si>
  <si>
    <t>Leizel  O.  Hernando</t>
  </si>
  <si>
    <t>Glin Valzado Sagre</t>
  </si>
  <si>
    <t>Jingkie L. Abelgas</t>
  </si>
  <si>
    <t>Aldwin  Alcantara  Carandang</t>
  </si>
  <si>
    <t>JAN MICHAEL RAYMUNDO RAYMUNDO</t>
  </si>
  <si>
    <t>MARYJANE VISTAL TAMPEPE</t>
  </si>
  <si>
    <t>JOHN JOHN CASTILLO FAULVE</t>
  </si>
  <si>
    <t>Silvestre Jr. Villamor</t>
  </si>
  <si>
    <t>Josie Ga-ang Yap</t>
  </si>
  <si>
    <t>Lorna Colob Lustria</t>
  </si>
  <si>
    <t>MARICAR H DIPUTADO</t>
  </si>
  <si>
    <t>Melito Delos Reyes Pabellon</t>
  </si>
  <si>
    <t>FLORITO GUINIT BERNALIS</t>
  </si>
  <si>
    <t>Carolina Lequin Henoguin</t>
  </si>
  <si>
    <t>Jaime Ortega Jorda</t>
  </si>
  <si>
    <t>Jo Ann Jugan Jabello</t>
  </si>
  <si>
    <t>Juliana M. Reyes, MD, MHA</t>
  </si>
  <si>
    <t>MARIO ABANTO TALLEDO</t>
  </si>
  <si>
    <t>Daniel D. Reyes</t>
  </si>
  <si>
    <t>Armina B. Abad</t>
  </si>
  <si>
    <t>Maricor Melorin Carbonilla</t>
  </si>
  <si>
    <t>Norman Sta.Ana</t>
  </si>
  <si>
    <t>manuel LATUBE legionl</t>
  </si>
  <si>
    <t>Mayna N. Mayuga</t>
  </si>
  <si>
    <t>ELIZABETH TRINIDAD BELLO</t>
  </si>
  <si>
    <t>Analyn R. Rollon</t>
  </si>
  <si>
    <t>Georgie  Lamparas Ruelan</t>
  </si>
  <si>
    <t>Marlon Sibal Danao</t>
  </si>
  <si>
    <t>LEOREYSALDIE NAPATA SALANATIN</t>
  </si>
  <si>
    <t>Estrella Bacaling Abapo</t>
  </si>
  <si>
    <t>GERMAN M. DELA CRUZ</t>
  </si>
  <si>
    <t>Jesus Cesar Padul Albarico</t>
  </si>
  <si>
    <t>Raquel Dela Cruz Reontoy</t>
  </si>
  <si>
    <t>Servando Lonzon Amparo Jr.</t>
  </si>
  <si>
    <t>Naomie Dahunan Zalsos</t>
  </si>
  <si>
    <t>Janely Porras Ansoyon</t>
  </si>
  <si>
    <t>ROSELLER PAJAREN GERZON</t>
  </si>
  <si>
    <t>HENRY JOHN U. MORADA</t>
  </si>
  <si>
    <t>DON BATOON SMITH</t>
  </si>
  <si>
    <t>LEMUEL ESPINA AN</t>
  </si>
  <si>
    <t>MARCELINO JR. L. PONIPON</t>
  </si>
  <si>
    <t>CHARYMELLE O FORONDA</t>
  </si>
  <si>
    <t>Catherine G. Macanip</t>
  </si>
  <si>
    <t>Mario Galila Parreño</t>
  </si>
  <si>
    <t>Ma. Socorro Lacambra Domingo</t>
  </si>
  <si>
    <t>Alan Rey del Castillo Hiponia</t>
  </si>
  <si>
    <t>RICHELIZA JEAN C. CORDERO</t>
  </si>
  <si>
    <t>Diana E Orcine</t>
  </si>
  <si>
    <t>Ryan Delos Reyes</t>
  </si>
  <si>
    <t>DANILO B. MANUEL</t>
  </si>
  <si>
    <t>Julian Orcino Castro Jr.</t>
  </si>
  <si>
    <t>Ma. Macbeth Cabug</t>
  </si>
  <si>
    <t>EDMUND BASCONGADA SERVANDO</t>
  </si>
  <si>
    <t>JERRY S. ROSARIO</t>
  </si>
  <si>
    <t>Al Rasheed Olivo Sapto</t>
  </si>
  <si>
    <t>NOEL AZARCON AGOR</t>
  </si>
  <si>
    <t>Fatima Madonna Ubalde Jaynario</t>
  </si>
  <si>
    <t>Linell Fulleros Montuerto</t>
  </si>
  <si>
    <t>Balligi Wandas Quitor</t>
  </si>
  <si>
    <t>Michelle S Almojuela</t>
  </si>
  <si>
    <t>Teresita H. Ferriol</t>
  </si>
  <si>
    <t>Gregg P. Agravante</t>
  </si>
  <si>
    <t>Jose  C.  Tagbac</t>
  </si>
  <si>
    <t>JOEL A. ELUMBA</t>
  </si>
  <si>
    <t>ANTHONY  ARTHUR D. FERNANDEZ</t>
  </si>
  <si>
    <t>Benito Soriano Montano</t>
  </si>
  <si>
    <t>NESTOR MALASIG UY</t>
  </si>
  <si>
    <t>Sofronia Ceniza Uy</t>
  </si>
  <si>
    <t>Victor Alberca Asentista</t>
  </si>
  <si>
    <t>WENNIE SR. FLORES JORDAN</t>
  </si>
  <si>
    <t>Shella Marie Ilig De Vera</t>
  </si>
  <si>
    <t>Elvisa Japay Villar</t>
  </si>
  <si>
    <t>Beverly Escalon Taotjo</t>
  </si>
  <si>
    <t>Constante C. Sabalburo</t>
  </si>
  <si>
    <t>Memilanie Malabunga Aguilar</t>
  </si>
  <si>
    <t>Marelyn  Pestillos  Culanag</t>
  </si>
  <si>
    <t>Dennis Juabot Mangubat</t>
  </si>
  <si>
    <t>Joel Soriano Pagulayan</t>
  </si>
  <si>
    <t>Isidro Alabag Gumpad</t>
  </si>
  <si>
    <t>Perseverando Pantuan Caleza,Jr.</t>
  </si>
  <si>
    <t>ATTY. MARIA JONIKA GONZAGA ROMANO</t>
  </si>
  <si>
    <t>Marissa L Yagyagan</t>
  </si>
  <si>
    <t>CARY P. BALBUTIN</t>
  </si>
  <si>
    <t>EDELYN JIMENEZ IGLESIA</t>
  </si>
  <si>
    <t>Marion Acolentaba Balasa</t>
  </si>
  <si>
    <t>EDGAR SISNEROS BESIN</t>
  </si>
  <si>
    <t>Jessie Sobrevega Porras</t>
  </si>
  <si>
    <t>Gil Bagares Llosa</t>
  </si>
  <si>
    <t>Jayson Pascual Galbis</t>
  </si>
  <si>
    <t>Jessie Bagtang Addag</t>
  </si>
  <si>
    <t>LORETO GALVEZ NICOLAS</t>
  </si>
  <si>
    <t>Joemard C Calvez</t>
  </si>
  <si>
    <t>Marivie R. Manero-Fernandez</t>
  </si>
  <si>
    <t>Rita Grace Alviar Pascua</t>
  </si>
  <si>
    <t>Ruben G Harayo</t>
  </si>
  <si>
    <t>ADELAIDA LATADE MALABUYOC</t>
  </si>
  <si>
    <t>Amancio S. Dongcoy</t>
  </si>
  <si>
    <t>Aimee Tompong Maata</t>
  </si>
  <si>
    <t>Marilyn  Labrador Garcia</t>
  </si>
  <si>
    <t>Elizabeth M Dayot</t>
  </si>
  <si>
    <t>Felix E. Ortega</t>
  </si>
  <si>
    <t>Gen Anderson Gonzales Tanhueco</t>
  </si>
  <si>
    <t>Rowena M Mirhan</t>
  </si>
  <si>
    <t>Leonides Luis Bautista</t>
  </si>
  <si>
    <t>Engr. Fernando B. Sarile Jr.</t>
  </si>
  <si>
    <t>Luzviminda S. Reyes</t>
  </si>
  <si>
    <t>Armando  A Diada</t>
  </si>
  <si>
    <t>Rhienna Jhean Marcial Arsenal</t>
  </si>
  <si>
    <t>PATRICIA TAN MARA</t>
  </si>
  <si>
    <t>Roselle C. Turreda</t>
  </si>
  <si>
    <t>Maiden P. Cortez</t>
  </si>
  <si>
    <t>Julius Dapitilla Palma</t>
  </si>
  <si>
    <t>ANTONINO RAQUIL</t>
  </si>
  <si>
    <t>Ma. Isabel N. Argueza</t>
  </si>
  <si>
    <t>Christma Joy Pereyra Rodriguez</t>
  </si>
  <si>
    <t>Jhoanne Ayen A Jimenez</t>
  </si>
  <si>
    <t>Mae Lyn Garcia Altarejos</t>
  </si>
  <si>
    <t>Frazier L. Quinesio</t>
  </si>
  <si>
    <t>NOEL C. MANGKIKIS</t>
  </si>
  <si>
    <t>Ma. Nena T. Zapico</t>
  </si>
  <si>
    <t>Priscilla Samonte Esguerra</t>
  </si>
  <si>
    <t>Donna Mae Mitra Reyroso</t>
  </si>
  <si>
    <t>Ma Ruby S Carmona</t>
  </si>
  <si>
    <t>CHARITO TACTAC YANGAT</t>
  </si>
  <si>
    <t>Angeli A. Lood</t>
  </si>
  <si>
    <t>Marlone Templeton Buen</t>
  </si>
  <si>
    <t>June Evita Cabansag Cesar</t>
  </si>
  <si>
    <t>Francisco Escape Oliva, Jr.</t>
  </si>
  <si>
    <t>Rainero Elmer Dingal Gerzon</t>
  </si>
  <si>
    <t>Aniano III Bisnar Bacor</t>
  </si>
  <si>
    <t>EDUARDO JUAN FORONDA</t>
  </si>
  <si>
    <t>Ryan Anthony Agay Olalia</t>
  </si>
  <si>
    <t>DELFIN DELA CRUZ CARLOS</t>
  </si>
  <si>
    <t>Maricon Alpitche Butcon</t>
  </si>
  <si>
    <t>Alejandro Yulo Mirasol</t>
  </si>
  <si>
    <t>MA. NITA DIZOR GEROY</t>
  </si>
  <si>
    <t>MARIO B GARCIA</t>
  </si>
  <si>
    <t>Mary Ann J Chavez</t>
  </si>
  <si>
    <t>CRISTINA DUNGCA</t>
  </si>
  <si>
    <t>Felicidad F. De Guzman</t>
  </si>
  <si>
    <t>Sanny Yntong Dandoy</t>
  </si>
  <si>
    <t>Christie Magdalene J Pedroza</t>
  </si>
  <si>
    <t>Ronie S. Dela Calzada</t>
  </si>
  <si>
    <t>Doris Grimaldo Labog</t>
  </si>
  <si>
    <t>Liza R. Balagot</t>
  </si>
  <si>
    <t>Muriel Tupas Autencio</t>
  </si>
  <si>
    <t>DOLORES JAVIER GOTICO</t>
  </si>
  <si>
    <t>Esmeralda Gonzales Aguilar</t>
  </si>
  <si>
    <t>Norielle Ann P. Vergara</t>
  </si>
  <si>
    <t>ZORAYA BAKAR MASAKAL</t>
  </si>
  <si>
    <t>KATHERINE J GUTIERREZ</t>
  </si>
  <si>
    <t>TEEJAY YOSHIUMI JUNATAS SAKUMA</t>
  </si>
  <si>
    <t>Aaron John Reyes Liwag (2nd Account)</t>
  </si>
  <si>
    <t>Mercedita A. Flores</t>
  </si>
  <si>
    <t>Christine D. Batallones</t>
  </si>
  <si>
    <t>Gregorio M Monreal</t>
  </si>
  <si>
    <t>Cipriano Grande Gardoque</t>
  </si>
  <si>
    <t>JOCELYN A. FERNANDO, MPMG</t>
  </si>
  <si>
    <t>Maria Lourdes Galanida Roldan</t>
  </si>
  <si>
    <t>MARIA CORAZON RIVA VALDEMORO</t>
  </si>
  <si>
    <t>JEAN ALLEN PECHAYCO ALEJANDRO</t>
  </si>
  <si>
    <t>Elma Seraphelle Magdaug Bulagao</t>
  </si>
  <si>
    <t>Elvie Villanueva Diaz</t>
  </si>
  <si>
    <t>ROMMEL G. ERPELO</t>
  </si>
  <si>
    <t>Pablo L Nabong</t>
  </si>
  <si>
    <t>ESTRELLA T. SAPURAS</t>
  </si>
  <si>
    <t>Poliver L  Tumaneng</t>
  </si>
  <si>
    <t>Francisco C Cabunoc</t>
  </si>
  <si>
    <t>Arjay Caballero Dimafelix</t>
  </si>
  <si>
    <t>Marcial  M. Ilagan</t>
  </si>
  <si>
    <t>Dennis R Marquez</t>
  </si>
  <si>
    <t>JENNY F OASAY</t>
  </si>
  <si>
    <t>Michele Solon Mapalo</t>
  </si>
  <si>
    <t>Homer G. Hubag</t>
  </si>
  <si>
    <t>Marichelle Ferrer</t>
  </si>
  <si>
    <t>MERVIN "BUDA" JUSI JUSI</t>
  </si>
  <si>
    <t>joahna grace pates vahey</t>
  </si>
  <si>
    <t>Ferdinand Fadriquelan Falceso</t>
  </si>
  <si>
    <t>Florence Joseline Gredona</t>
  </si>
  <si>
    <t>Christopher Mabulay Rizo</t>
  </si>
  <si>
    <t>Abdul Rahman Coliling Palao</t>
  </si>
  <si>
    <t>Arlene Radam Ureta</t>
  </si>
  <si>
    <t>Engr. Roberto M Digay</t>
  </si>
  <si>
    <t>ANASTACIO MAMALIAS  BAHINTING</t>
  </si>
  <si>
    <t>Jhune M Rivera</t>
  </si>
  <si>
    <t>Juliet Corregidor Custodio</t>
  </si>
  <si>
    <t xml:space="preserve">JEFFERSON  THOMPSON RODRIGUEZ </t>
  </si>
  <si>
    <t>Ignacio Subebe</t>
  </si>
  <si>
    <t>Ralph Martin Romero Roque</t>
  </si>
  <si>
    <t>Gypsy Jennsen Arquio</t>
  </si>
  <si>
    <t>Dario Sarabusing Jr.</t>
  </si>
  <si>
    <t>Angelo Aniar Sabaybay</t>
  </si>
  <si>
    <t>Romeo Avelino Tiri</t>
  </si>
  <si>
    <t>Chamberlain J. Babiera</t>
  </si>
  <si>
    <t>Alver P Lamoste, CPA</t>
  </si>
  <si>
    <t>Mary Jane Sison Lola</t>
  </si>
  <si>
    <t>Jules Amiel  Angeles</t>
  </si>
  <si>
    <t>Ma. Gianelli A Ecuacion</t>
  </si>
  <si>
    <t>Catherine Olmoguez Ureta</t>
  </si>
  <si>
    <t>RAL P CORNEJO</t>
  </si>
  <si>
    <t>Genicar Nieva Barotilla</t>
  </si>
  <si>
    <t>LODEVICO CODAL LUIS</t>
  </si>
  <si>
    <t>Dawnavi Lae Valle Lacsado</t>
  </si>
  <si>
    <t>Rebecca Cequiña Remulta</t>
  </si>
  <si>
    <t>Leo F. Ferraris</t>
  </si>
  <si>
    <t>jennifer empleo rondina</t>
  </si>
  <si>
    <t>Kreenzel Joy Pagaduan</t>
  </si>
  <si>
    <t>Janine S. Zarate</t>
  </si>
  <si>
    <t>Charlene P. Alonzo</t>
  </si>
  <si>
    <t>Atila S. Barre</t>
  </si>
  <si>
    <t>MARIA ELINOR F. HEMEDES</t>
  </si>
  <si>
    <t>Niño G. Mascareñas</t>
  </si>
  <si>
    <t>ABNER VILLAFLOR DE LA CRUZ</t>
  </si>
  <si>
    <t>GIEBERT GORDUIZ OLAIS</t>
  </si>
  <si>
    <t>Ma. Stineli B Magdadaro</t>
  </si>
  <si>
    <t>Chenaryl M. Cordero</t>
  </si>
  <si>
    <t>Anna Michelle Icasiano Africa</t>
  </si>
  <si>
    <t>Carol Galang Mercado</t>
  </si>
  <si>
    <t>Marlon Delovino Cayaban</t>
  </si>
  <si>
    <t>Erlwin S. Andres</t>
  </si>
  <si>
    <t>DARA AUREA HENRIETTA A. VILLALOBOS</t>
  </si>
  <si>
    <t>Mark Alvin Hernandez Gatus</t>
  </si>
  <si>
    <t>Judith Domingo Unson</t>
  </si>
  <si>
    <t>Myles M Sayre</t>
  </si>
  <si>
    <t>Lord Kristan Atienza Logmao</t>
  </si>
  <si>
    <t>Merla D. Escobar</t>
  </si>
  <si>
    <t>Lionel Richard P Pacheco</t>
  </si>
  <si>
    <t>Jose Antonio Gorordo Flores</t>
  </si>
  <si>
    <t>Rowena R. Roseos</t>
  </si>
  <si>
    <t>COMELEC Bids and Awards Committee</t>
  </si>
  <si>
    <t>Jonjon Bautista III</t>
  </si>
  <si>
    <t>Delfin Delinea</t>
  </si>
  <si>
    <t>Arnaldo Damot Ibarrientos</t>
  </si>
  <si>
    <t>Anne Camille Carlos Bautista</t>
  </si>
  <si>
    <t>ATHESA LASTIMOSA BAS</t>
  </si>
  <si>
    <t>ROLANDO A SAMSON</t>
  </si>
  <si>
    <t>VICTORIO FAJARDO CORPORAL</t>
  </si>
  <si>
    <t>Noel  Alcabaza</t>
  </si>
  <si>
    <t>Jenny Lyn Roa Panganiban</t>
  </si>
  <si>
    <t>Jessica Diokno Santos</t>
  </si>
  <si>
    <t>Jessica R. Narit/ Julia Marie L. Abarca/ Erwin S. Aban</t>
  </si>
  <si>
    <t>Jessel Gementiza Bestudio</t>
  </si>
  <si>
    <t>RAMON  BALDEMOR</t>
  </si>
  <si>
    <t>Dianne Gungob Ibias</t>
  </si>
  <si>
    <t>JACKIE CHARLEMAGNE JO CHIONG</t>
  </si>
  <si>
    <t>Toni Rose E. Unciano</t>
  </si>
  <si>
    <t>Jannette Rojas Raganit</t>
  </si>
  <si>
    <t>GREGORIO TURQUEZA</t>
  </si>
  <si>
    <t>Ray-Ann Sorilla</t>
  </si>
  <si>
    <t>Andrew Dullin Agunod</t>
  </si>
  <si>
    <t>LT RAYMOND A ROLDAN PN</t>
  </si>
  <si>
    <t>Maria Celeste R. Dela Cruz</t>
  </si>
  <si>
    <t>Geremie Noble Tajada</t>
  </si>
  <si>
    <t>Rebecca Enierga Valenzuela</t>
  </si>
  <si>
    <t>ERNESTO N. ARCO</t>
  </si>
  <si>
    <t>Carla Francesca M. Guinto</t>
  </si>
  <si>
    <t>Ana Lorraine Endaya Ellarina</t>
  </si>
  <si>
    <t>Jerome Duenas Malapit</t>
  </si>
  <si>
    <t>Abegail Cuevas Tigas</t>
  </si>
  <si>
    <t>Lourfe S. Rondina</t>
  </si>
  <si>
    <t>Remy O. Patente</t>
  </si>
  <si>
    <t>Ruel Jr. Bayubay Masangcay</t>
  </si>
  <si>
    <t>Armando L. Andres</t>
  </si>
  <si>
    <t>ERIKA R. DURAN</t>
  </si>
  <si>
    <t>Luis, Jr. Artieda Albacete</t>
  </si>
  <si>
    <t>Samson Gavasan Gilo, Jr.</t>
  </si>
  <si>
    <t>Jhonna Salve Janer Buenaflor</t>
  </si>
  <si>
    <t>ESMERALDO P BEJOSA</t>
  </si>
  <si>
    <t>Marivic Estopin Diaz</t>
  </si>
  <si>
    <t>Wilfredo R Bartolini</t>
  </si>
  <si>
    <t>Thelma M. Marco</t>
  </si>
  <si>
    <t>Gina Fesalbon Torrechiva</t>
  </si>
  <si>
    <t>Bryan G. Fortuno</t>
  </si>
  <si>
    <t>HAZEL JANE M. PANGAN</t>
  </si>
  <si>
    <t>Active</t>
  </si>
  <si>
    <t>Order</t>
  </si>
  <si>
    <t>06/07/2020</t>
  </si>
  <si>
    <t>05/07/2020</t>
  </si>
  <si>
    <t>04/07/2020</t>
  </si>
  <si>
    <t>03/07/2020</t>
  </si>
  <si>
    <t>02/07/2020</t>
  </si>
  <si>
    <t>01/07/2020</t>
  </si>
  <si>
    <t>30/06/2020</t>
  </si>
  <si>
    <t>29/06/2020</t>
  </si>
  <si>
    <t>28/06/2020</t>
  </si>
  <si>
    <t>27/06/2020</t>
  </si>
  <si>
    <t>26/06/2020</t>
  </si>
  <si>
    <t>25/06/2020</t>
  </si>
  <si>
    <t>24/06/2020</t>
  </si>
  <si>
    <t>23/06/2020</t>
  </si>
  <si>
    <t>22/06/2020</t>
  </si>
  <si>
    <t>21/06/2020</t>
  </si>
  <si>
    <t>20/06/2020</t>
  </si>
  <si>
    <t>19/06/2020</t>
  </si>
  <si>
    <t>18/06/2020</t>
  </si>
  <si>
    <t>17/06/2020</t>
  </si>
  <si>
    <t>16/06/2020</t>
  </si>
  <si>
    <t>15/06/2020</t>
  </si>
  <si>
    <t>12/06/2020</t>
  </si>
  <si>
    <t>13/06/2020</t>
  </si>
  <si>
    <t>11/06/2020</t>
  </si>
  <si>
    <t>10/06/2020</t>
  </si>
  <si>
    <t>09/06/2020</t>
  </si>
  <si>
    <t>08/06/2020</t>
  </si>
  <si>
    <t>06/06/2020</t>
  </si>
  <si>
    <t>05/06/2020</t>
  </si>
  <si>
    <t>04/06/2020</t>
  </si>
  <si>
    <t>03/06/2020</t>
  </si>
  <si>
    <t>30/05/2020</t>
  </si>
  <si>
    <t>01/06/2020</t>
  </si>
  <si>
    <t>02/06/2020</t>
  </si>
  <si>
    <t>28/05/2020</t>
  </si>
  <si>
    <t>22/05/2020</t>
  </si>
  <si>
    <t>25/05/2020</t>
  </si>
  <si>
    <t>26/05/2020</t>
  </si>
  <si>
    <t>27/05/2020</t>
  </si>
  <si>
    <t>29/05/2020</t>
  </si>
  <si>
    <t>19/05/2020</t>
  </si>
  <si>
    <t>14/05/2020</t>
  </si>
  <si>
    <t>15/05/2020</t>
  </si>
  <si>
    <t>20/05/2020</t>
  </si>
  <si>
    <t>16/05/2020</t>
  </si>
  <si>
    <t>28/04/2020</t>
  </si>
  <si>
    <t>30/04/2020</t>
  </si>
  <si>
    <t>06/05/2020</t>
  </si>
  <si>
    <t>07/05/2020</t>
  </si>
  <si>
    <t>01/05/2020</t>
  </si>
  <si>
    <t>01/04/2020</t>
  </si>
  <si>
    <t>06/04/2020</t>
  </si>
  <si>
    <t>07/04/2020</t>
  </si>
  <si>
    <t>17/04/2020</t>
  </si>
  <si>
    <t>31/03/2020</t>
  </si>
  <si>
    <t>21/04/2020</t>
  </si>
  <si>
    <t>18/03/2020</t>
  </si>
  <si>
    <t>30/03/2020</t>
  </si>
  <si>
    <t>19/03/2020</t>
  </si>
  <si>
    <t>20/03/2020</t>
  </si>
  <si>
    <t>13/03/2020</t>
  </si>
  <si>
    <t>14/03/2020</t>
  </si>
  <si>
    <t>12/03/2020</t>
  </si>
  <si>
    <t>10/03/2020</t>
  </si>
  <si>
    <t>11/03/2020</t>
  </si>
  <si>
    <t>06/03/2020</t>
  </si>
  <si>
    <t>09/03/2020</t>
  </si>
  <si>
    <t>05/03/2020</t>
  </si>
  <si>
    <t>03/03/2020</t>
  </si>
  <si>
    <t>04/03/2020</t>
  </si>
  <si>
    <t>27/02/2020</t>
  </si>
  <si>
    <t>25/02/2020</t>
  </si>
  <si>
    <t>26/02/2020</t>
  </si>
  <si>
    <t>28/02/2020</t>
  </si>
  <si>
    <t>29/02/2020</t>
  </si>
  <si>
    <t>02/03/2020</t>
  </si>
  <si>
    <t>24/02/2020</t>
  </si>
  <si>
    <t>19/02/2020</t>
  </si>
  <si>
    <t>20/02/2020</t>
  </si>
  <si>
    <t>21/02/2020</t>
  </si>
  <si>
    <t>11/02/2020</t>
  </si>
  <si>
    <t>22/02/2020</t>
  </si>
  <si>
    <t>12/02/2020</t>
  </si>
  <si>
    <t>14/02/2020</t>
  </si>
  <si>
    <t>15/02/2020</t>
  </si>
  <si>
    <t>18/02/2020</t>
  </si>
  <si>
    <t>17/02/2020</t>
  </si>
  <si>
    <t>16/03/2020</t>
  </si>
  <si>
    <t>17/03/2020</t>
  </si>
  <si>
    <t>10/02/2020</t>
  </si>
  <si>
    <t>28/01/2020</t>
  </si>
  <si>
    <t>29/01/2020</t>
  </si>
  <si>
    <t>01/02/2020</t>
  </si>
  <si>
    <t>31/01/2020</t>
  </si>
  <si>
    <t>24/01/2020</t>
  </si>
  <si>
    <t>06/02/2020</t>
  </si>
  <si>
    <t>07/02/2020</t>
  </si>
  <si>
    <t>30/01/2020</t>
  </si>
  <si>
    <t>24/03/2020</t>
  </si>
  <si>
    <t>26/03/2020</t>
  </si>
  <si>
    <t>22/04/2020</t>
  </si>
  <si>
    <t>25/03/2020</t>
  </si>
  <si>
    <t>12/05/2020</t>
  </si>
  <si>
    <t>13/05/2020</t>
  </si>
  <si>
    <t>21/05/2020</t>
  </si>
  <si>
    <t>23/08/2019</t>
  </si>
  <si>
    <t>06/11/2019</t>
  </si>
  <si>
    <t>06/12/2019</t>
  </si>
  <si>
    <t>20/12/2019</t>
  </si>
  <si>
    <t>07/01/2020</t>
  </si>
  <si>
    <t>16/01/2020</t>
  </si>
  <si>
    <t>23/01/2020</t>
  </si>
  <si>
    <t>27/04/2020</t>
  </si>
  <si>
    <t>24/04/2020</t>
  </si>
  <si>
    <t>27/01/2020</t>
  </si>
  <si>
    <t>07/06/2020</t>
  </si>
  <si>
    <t>14/06/2020</t>
  </si>
  <si>
    <t>06/07/2020 12:00 AM</t>
  </si>
  <si>
    <t>06/07/2020 9:03 AM</t>
  </si>
  <si>
    <t>06/07/2020 6:54 PM</t>
  </si>
  <si>
    <t>06/07/2020 2:37 PM</t>
  </si>
  <si>
    <t>06/07/2020 8:12 PM</t>
  </si>
  <si>
    <t>05/07/2020 12:00 AM</t>
  </si>
  <si>
    <t>05/07/2020 3:55 PM</t>
  </si>
  <si>
    <t>05/07/2020 3:28 PM</t>
  </si>
  <si>
    <t>05/07/2020 3:48 PM</t>
  </si>
  <si>
    <t>05/07/2020 3:42 PM</t>
  </si>
  <si>
    <t>06/07/2020 6:16 PM</t>
  </si>
  <si>
    <t>04/07/2020 12:00 AM</t>
  </si>
  <si>
    <t>05/07/2020 3:34 PM</t>
  </si>
  <si>
    <t>05/07/2020 3:18 PM</t>
  </si>
  <si>
    <t>05/07/2020 3:23 PM</t>
  </si>
  <si>
    <t>05/07/2020 3:09 PM</t>
  </si>
  <si>
    <t>05/07/2020 10:21 AM</t>
  </si>
  <si>
    <t>06/07/2020 10:04 AM</t>
  </si>
  <si>
    <t>06/07/2020 10:12 AM</t>
  </si>
  <si>
    <t>06/07/2020 10:14 AM</t>
  </si>
  <si>
    <t>06/07/2020 10:22 AM</t>
  </si>
  <si>
    <t>06/07/2020 10:28 AM</t>
  </si>
  <si>
    <t>06/07/2020 10:30 AM</t>
  </si>
  <si>
    <t>06/07/2020 1:51 PM</t>
  </si>
  <si>
    <t>06/07/2020 10:21 PM</t>
  </si>
  <si>
    <t>03/07/2020 12:00 AM</t>
  </si>
  <si>
    <t>03/07/2020 10:06 AM</t>
  </si>
  <si>
    <t>03/07/2020 8:16 AM</t>
  </si>
  <si>
    <t>06/07/2020 3:40 PM</t>
  </si>
  <si>
    <t>06/07/2020 3:56 PM</t>
  </si>
  <si>
    <t>03/07/2020 7:15 PM</t>
  </si>
  <si>
    <t>03/07/2020 10:59 AM</t>
  </si>
  <si>
    <t>03/07/2020 11:33 AM</t>
  </si>
  <si>
    <t>03/07/2020 12:51 PM</t>
  </si>
  <si>
    <t>06/07/2020 3:43 PM</t>
  </si>
  <si>
    <t>03/07/2020 12:15 PM</t>
  </si>
  <si>
    <t>03/07/2020 10:09 AM</t>
  </si>
  <si>
    <t>03/07/2020 11:34 AM</t>
  </si>
  <si>
    <t>03/07/2020 3:37 PM</t>
  </si>
  <si>
    <t>06/07/2020 3:30 PM</t>
  </si>
  <si>
    <t>06/07/2020 3:17 PM</t>
  </si>
  <si>
    <t>03/07/2020 7:23 PM</t>
  </si>
  <si>
    <t>03/07/2020 10:17 AM</t>
  </si>
  <si>
    <t>03/07/2020 10:25 AM</t>
  </si>
  <si>
    <t>03/07/2020 4:45 PM</t>
  </si>
  <si>
    <t>03/07/2020 4:42 PM</t>
  </si>
  <si>
    <t>04/07/2020 2:30 PM</t>
  </si>
  <si>
    <t>06/07/2020 5:47 PM</t>
  </si>
  <si>
    <t>02/07/2020 12:00 AM</t>
  </si>
  <si>
    <t>06/07/2020 11:02 AM</t>
  </si>
  <si>
    <t>06/07/2020 4:26 PM</t>
  </si>
  <si>
    <t>03/07/2020 1:48 PM</t>
  </si>
  <si>
    <t>03/07/2020 1:26 PM</t>
  </si>
  <si>
    <t>03/07/2020 1:23 PM</t>
  </si>
  <si>
    <t>02/07/2020 11:18 AM</t>
  </si>
  <si>
    <t>03/07/2020 9:19 AM</t>
  </si>
  <si>
    <t>03/07/2020 10:18 AM</t>
  </si>
  <si>
    <t>06/07/2020 12:53 PM</t>
  </si>
  <si>
    <t>06/07/2020 3:31 PM</t>
  </si>
  <si>
    <t>06/07/2020 4:32 PM</t>
  </si>
  <si>
    <t>06/07/2020 8:23 AM</t>
  </si>
  <si>
    <t>06/07/2020 10:32 AM</t>
  </si>
  <si>
    <t>06/07/2020 10:45 AM</t>
  </si>
  <si>
    <t>06/07/2020 10:13 AM</t>
  </si>
  <si>
    <t>06/07/2020 2:07 PM</t>
  </si>
  <si>
    <t>06/07/2020 10:38 AM</t>
  </si>
  <si>
    <t>06/07/2020 9:24 AM</t>
  </si>
  <si>
    <t>06/07/2020 10:43 AM</t>
  </si>
  <si>
    <t>06/07/2020 3:36 PM</t>
  </si>
  <si>
    <t>02/07/2020 5:33 PM</t>
  </si>
  <si>
    <t>06/07/2020 10:44 AM</t>
  </si>
  <si>
    <t>06/07/2020 4:05 PM</t>
  </si>
  <si>
    <t>06/07/2020 3:57 PM</t>
  </si>
  <si>
    <t>06/07/2020 9:28 AM</t>
  </si>
  <si>
    <t>03/07/2020 11:46 AM</t>
  </si>
  <si>
    <t>06/07/2020 2:16 PM</t>
  </si>
  <si>
    <t>03/07/2020 8:14 AM</t>
  </si>
  <si>
    <t>06/07/2020 3:04 PM</t>
  </si>
  <si>
    <t>03/07/2020 11:20 AM</t>
  </si>
  <si>
    <t>02/07/2020 12:35 PM</t>
  </si>
  <si>
    <t>06/07/2020 3:02 PM</t>
  </si>
  <si>
    <t>06/07/2020 4:29 PM</t>
  </si>
  <si>
    <t>06/07/2020 10:35 AM</t>
  </si>
  <si>
    <t>06/07/2020 2:59 PM</t>
  </si>
  <si>
    <t>06/07/2020 10:23 AM</t>
  </si>
  <si>
    <t>06/07/2020 9:21 PM</t>
  </si>
  <si>
    <t>06/07/2020 10:40 AM</t>
  </si>
  <si>
    <t>02/07/2020 10:02 AM</t>
  </si>
  <si>
    <t>01/07/2020 12:00 AM</t>
  </si>
  <si>
    <t>02/07/2020 10:03 AM</t>
  </si>
  <si>
    <t>01/07/2020 1:29 PM</t>
  </si>
  <si>
    <t>01/07/2020 4:55 PM</t>
  </si>
  <si>
    <t>06/07/2020 3:50 PM</t>
  </si>
  <si>
    <t>06/07/2020 3:06 PM</t>
  </si>
  <si>
    <t>01/07/2020 4:41 PM</t>
  </si>
  <si>
    <t>01/07/2020 4:47 PM</t>
  </si>
  <si>
    <t>02/07/2020 9:38 AM</t>
  </si>
  <si>
    <t>06/07/2020 4:21 PM</t>
  </si>
  <si>
    <t>06/07/2020 4:02 PM</t>
  </si>
  <si>
    <t>01/07/2020 1:30 PM</t>
  </si>
  <si>
    <t>01/07/2020 4:48 PM</t>
  </si>
  <si>
    <t>01/07/2020 1:31 PM</t>
  </si>
  <si>
    <t>06/07/2020 5:14 PM</t>
  </si>
  <si>
    <t>06/07/2020 5:12 PM</t>
  </si>
  <si>
    <t>03/07/2020 3:21 PM</t>
  </si>
  <si>
    <t>06/07/2020 2:23 PM</t>
  </si>
  <si>
    <t>06/07/2020 5:16 PM</t>
  </si>
  <si>
    <t>02/07/2020 9:40 AM</t>
  </si>
  <si>
    <t>02/07/2020 9:48 AM</t>
  </si>
  <si>
    <t>02/07/2020 6:23 PM</t>
  </si>
  <si>
    <t>30/06/2020 12:00 AM</t>
  </si>
  <si>
    <t>02/07/2020 2:50 PM</t>
  </si>
  <si>
    <t>06/07/2020 3:41 PM</t>
  </si>
  <si>
    <t>01/07/2020 12:29 PM</t>
  </si>
  <si>
    <t>01/07/2020 4:50 PM</t>
  </si>
  <si>
    <t>02/07/2020 2:53 PM</t>
  </si>
  <si>
    <t>06/07/2020 3:37 PM</t>
  </si>
  <si>
    <t>02/07/2020 2:52 PM</t>
  </si>
  <si>
    <t>03/07/2020 1:31 PM</t>
  </si>
  <si>
    <t>30/06/2020 9:30 AM</t>
  </si>
  <si>
    <t>01/07/2020 2:00 PM</t>
  </si>
  <si>
    <t>01/07/2020 2:09 PM</t>
  </si>
  <si>
    <t>02/07/2020 2:01 PM</t>
  </si>
  <si>
    <t>01/07/2020 9:44 PM</t>
  </si>
  <si>
    <t>02/07/2020 1:59 PM</t>
  </si>
  <si>
    <t>01/07/2020 2:12 PM</t>
  </si>
  <si>
    <t>01/07/2020 12:56 PM</t>
  </si>
  <si>
    <t>04/07/2020 11:07 AM</t>
  </si>
  <si>
    <t>01/07/2020 9:38 AM</t>
  </si>
  <si>
    <t>04/07/2020 11:12 AM</t>
  </si>
  <si>
    <t>04/07/2020 11:11 AM</t>
  </si>
  <si>
    <t>04/07/2020 11:10 AM</t>
  </si>
  <si>
    <t>04/07/2020 11:13 AM</t>
  </si>
  <si>
    <t>04/07/2020 11:08 AM</t>
  </si>
  <si>
    <t>04/07/2020 11:09 AM</t>
  </si>
  <si>
    <t>06/07/2020 9:48 PM</t>
  </si>
  <si>
    <t>01/07/2020 4:32 PM</t>
  </si>
  <si>
    <t>06/07/2020 11:07 AM</t>
  </si>
  <si>
    <t>03/07/2020 3:54 PM</t>
  </si>
  <si>
    <t>01/07/2020 2:45 PM</t>
  </si>
  <si>
    <t>02/07/2020 9:25 AM</t>
  </si>
  <si>
    <t>06/07/2020 9:49 AM</t>
  </si>
  <si>
    <t>04/07/2020 9:07 PM</t>
  </si>
  <si>
    <t>06/07/2020 3:08 PM</t>
  </si>
  <si>
    <t>06/07/2020 3:10 PM</t>
  </si>
  <si>
    <t>06/07/2020 9:51 PM</t>
  </si>
  <si>
    <t>06/07/2020 3:12 PM</t>
  </si>
  <si>
    <t>06/07/2020 2:57 PM</t>
  </si>
  <si>
    <t>03/07/2020 8:18 PM</t>
  </si>
  <si>
    <t>01/07/2020 7:59 PM</t>
  </si>
  <si>
    <t>03/07/2020 8:34 AM</t>
  </si>
  <si>
    <t>02/07/2020 2:56 PM</t>
  </si>
  <si>
    <t>02/07/2020 4:07 PM</t>
  </si>
  <si>
    <t>06/07/2020 11:43 AM</t>
  </si>
  <si>
    <t>02/07/2020 4:10 PM</t>
  </si>
  <si>
    <t>06/07/2020 5:45 PM</t>
  </si>
  <si>
    <t>02/07/2020 4:09 PM</t>
  </si>
  <si>
    <t>02/07/2020 4:11 PM</t>
  </si>
  <si>
    <t>02/07/2020 4:08 PM</t>
  </si>
  <si>
    <t>02/07/2020 3:03 PM</t>
  </si>
  <si>
    <t>02/07/2020 3:02 PM</t>
  </si>
  <si>
    <t>02/07/2020 2:57 PM</t>
  </si>
  <si>
    <t>02/07/2020 4:31 PM</t>
  </si>
  <si>
    <t>02/07/2020 2:51 PM</t>
  </si>
  <si>
    <t>06/07/2020 2:53 PM</t>
  </si>
  <si>
    <t>02/07/2020 3:04 PM</t>
  </si>
  <si>
    <t>02/07/2020 3:06 PM</t>
  </si>
  <si>
    <t>02/07/2020 3:07 PM</t>
  </si>
  <si>
    <t>02/07/2020 2:54 PM</t>
  </si>
  <si>
    <t>30/06/2020 3:27 PM</t>
  </si>
  <si>
    <t>02/07/2020 3:08 PM</t>
  </si>
  <si>
    <t>02/07/2020 3:09 PM</t>
  </si>
  <si>
    <t>30/06/2020 3:51 PM</t>
  </si>
  <si>
    <t>02/07/2020 3:10 PM</t>
  </si>
  <si>
    <t>29/06/2020 12:00 AM</t>
  </si>
  <si>
    <t>30/06/2020 11:13 AM</t>
  </si>
  <si>
    <t>03/07/2020 8:19 AM</t>
  </si>
  <si>
    <t>06/07/2020 11:17 AM</t>
  </si>
  <si>
    <t>02/07/2020 2:34 PM</t>
  </si>
  <si>
    <t>03/07/2020 8:13 PM</t>
  </si>
  <si>
    <t>03/07/2020 3:45 PM</t>
  </si>
  <si>
    <t>01/07/2020 9:58 AM</t>
  </si>
  <si>
    <t>01/07/2020 1:28 PM</t>
  </si>
  <si>
    <t>01/07/2020 1:41 PM</t>
  </si>
  <si>
    <t>01/07/2020 1:43 PM</t>
  </si>
  <si>
    <t>01/07/2020 1:34 PM</t>
  </si>
  <si>
    <t>01/07/2020 1:45 PM</t>
  </si>
  <si>
    <t>01/07/2020 1:36 PM</t>
  </si>
  <si>
    <t>30/06/2020 8:29 PM</t>
  </si>
  <si>
    <t>30/06/2020 8:28 PM</t>
  </si>
  <si>
    <t>30/06/2020 4:24 PM</t>
  </si>
  <si>
    <t>02/07/2020 5:56 PM</t>
  </si>
  <si>
    <t>29/06/2020 3:04 PM</t>
  </si>
  <si>
    <t>03/07/2020 9:56 AM</t>
  </si>
  <si>
    <t>06/07/2020 11:12 AM</t>
  </si>
  <si>
    <t>28/06/2020 12:00 AM</t>
  </si>
  <si>
    <t>01/07/2020 11:37 AM</t>
  </si>
  <si>
    <t>06/07/2020 10:33 AM</t>
  </si>
  <si>
    <t>01/07/2020 11:38 AM</t>
  </si>
  <si>
    <t>02/07/2020 8:15 AM</t>
  </si>
  <si>
    <t>29/06/2020 1:33 PM</t>
  </si>
  <si>
    <t>30/06/2020 12:58 PM</t>
  </si>
  <si>
    <t>30/06/2020 12:34 PM</t>
  </si>
  <si>
    <t>01/07/2020 11:42 AM</t>
  </si>
  <si>
    <t>29/06/2020 1:48 PM</t>
  </si>
  <si>
    <t>29/06/2020 10:47 PM</t>
  </si>
  <si>
    <t>29/06/2020 2:08 PM</t>
  </si>
  <si>
    <t>29/06/2020 2:31 PM</t>
  </si>
  <si>
    <t>27/06/2020 12:00 AM</t>
  </si>
  <si>
    <t>03/07/2020 1:57 PM</t>
  </si>
  <si>
    <t>06/07/2020 4:58 PM</t>
  </si>
  <si>
    <t>01/07/2020 3:17 PM</t>
  </si>
  <si>
    <t>06/07/2020 2:49 PM</t>
  </si>
  <si>
    <t>06/07/2020 2:26 PM</t>
  </si>
  <si>
    <t>03/07/2020 1:54 PM</t>
  </si>
  <si>
    <t>03/07/2020 1:41 PM</t>
  </si>
  <si>
    <t>30/06/2020 2:13 PM</t>
  </si>
  <si>
    <t>06/07/2020 4:38 PM</t>
  </si>
  <si>
    <t>06/07/2020 4:36 PM</t>
  </si>
  <si>
    <t>06/07/2020 1:14 PM</t>
  </si>
  <si>
    <t>03/07/2020 1:13 PM</t>
  </si>
  <si>
    <t>06/07/2020 10:10 AM</t>
  </si>
  <si>
    <t>06/07/2020 9:58 AM</t>
  </si>
  <si>
    <t>06/07/2020 1:09 PM</t>
  </si>
  <si>
    <t>06/07/2020 9:46 AM</t>
  </si>
  <si>
    <t>06/07/2020 1:22 PM</t>
  </si>
  <si>
    <t>29/06/2020 2:51 PM</t>
  </si>
  <si>
    <t>06/07/2020 1:26 PM</t>
  </si>
  <si>
    <t>03/07/2020 3:28 PM</t>
  </si>
  <si>
    <t>03/07/2020 1:33 PM</t>
  </si>
  <si>
    <t>06/07/2020 8:41 PM</t>
  </si>
  <si>
    <t>03/07/2020 1:30 PM</t>
  </si>
  <si>
    <t>06/07/2020 8:40 PM</t>
  </si>
  <si>
    <t>06/07/2020 8:39 PM</t>
  </si>
  <si>
    <t>06/07/2020 3:39 PM</t>
  </si>
  <si>
    <t>03/07/2020 1:36 PM</t>
  </si>
  <si>
    <t>26/06/2020 12:00 AM</t>
  </si>
  <si>
    <t>06/07/2020 8:42 PM</t>
  </si>
  <si>
    <t>06/07/2020 8:43 PM</t>
  </si>
  <si>
    <t>06/07/2020 8:05 PM</t>
  </si>
  <si>
    <t>03/07/2020 9:14 PM</t>
  </si>
  <si>
    <t>03/07/2020 1:25 PM</t>
  </si>
  <si>
    <t>01/07/2020 1:27 PM</t>
  </si>
  <si>
    <t>03/07/2020 1:28 PM</t>
  </si>
  <si>
    <t>03/07/2020 1:19 PM</t>
  </si>
  <si>
    <t>01/07/2020 2:26 PM</t>
  </si>
  <si>
    <t>06/07/2020 12:13 PM</t>
  </si>
  <si>
    <t>30/06/2020 11:47 AM</t>
  </si>
  <si>
    <t>01/07/2020 4:51 PM</t>
  </si>
  <si>
    <t>03/07/2020 4:05 PM</t>
  </si>
  <si>
    <t>02/07/2020 11:38 AM</t>
  </si>
  <si>
    <t>03/07/2020 2:07 PM</t>
  </si>
  <si>
    <t>02/07/2020 11:56 AM</t>
  </si>
  <si>
    <t>06/07/2020 6:12 PM</t>
  </si>
  <si>
    <t>02/07/2020 11:35 AM</t>
  </si>
  <si>
    <t>02/07/2020 9:51 AM</t>
  </si>
  <si>
    <t>06/07/2020 12:00 PM</t>
  </si>
  <si>
    <t>06/07/2020 12:10 PM</t>
  </si>
  <si>
    <t>02/07/2020 2:18 PM</t>
  </si>
  <si>
    <t>30/06/2020 3:19 PM</t>
  </si>
  <si>
    <t>06/07/2020 9:06 AM</t>
  </si>
  <si>
    <t>26/06/2020 2:42 PM</t>
  </si>
  <si>
    <t>26/06/2020 10:13 AM</t>
  </si>
  <si>
    <t>03/07/2020 9:06 AM</t>
  </si>
  <si>
    <t>06/07/2020 3:03 PM</t>
  </si>
  <si>
    <t>06/07/2020 2:50 PM</t>
  </si>
  <si>
    <t>05/07/2020 6:49 AM</t>
  </si>
  <si>
    <t>06/07/2020 1:33 PM</t>
  </si>
  <si>
    <t>29/06/2020 5:09 PM</t>
  </si>
  <si>
    <t>01/07/2020 2:04 PM</t>
  </si>
  <si>
    <t>26/06/2020 2:04 PM</t>
  </si>
  <si>
    <t>02/07/2020 5:34 PM</t>
  </si>
  <si>
    <t>06/07/2020 11:19 AM</t>
  </si>
  <si>
    <t>01/07/2020 2:47 PM</t>
  </si>
  <si>
    <t>01/07/2020 2:07 PM</t>
  </si>
  <si>
    <t>02/07/2020 5:35 PM</t>
  </si>
  <si>
    <t>01/07/2020 5:53 PM</t>
  </si>
  <si>
    <t>01/07/2020 2:48 PM</t>
  </si>
  <si>
    <t>06/07/2020 8:37 PM</t>
  </si>
  <si>
    <t>01/07/2020 5:55 PM</t>
  </si>
  <si>
    <t>01/07/2020 6:01 PM</t>
  </si>
  <si>
    <t>01/07/2020 5:57 PM</t>
  </si>
  <si>
    <t>29/06/2020 8:41 AM</t>
  </si>
  <si>
    <t>02/07/2020 12:10 PM</t>
  </si>
  <si>
    <t>06/07/2020 8:38 PM</t>
  </si>
  <si>
    <t>02/07/2020 8:56 PM</t>
  </si>
  <si>
    <t>02/07/2020 8:54 PM</t>
  </si>
  <si>
    <t>01/07/2020 5:14 PM</t>
  </si>
  <si>
    <t>02/07/2020 1:17 PM</t>
  </si>
  <si>
    <t>02/07/2020 8:58 PM</t>
  </si>
  <si>
    <t>02/07/2020 12:05 PM</t>
  </si>
  <si>
    <t>02/07/2020 1:39 PM</t>
  </si>
  <si>
    <t>02/07/2020 1:38 PM</t>
  </si>
  <si>
    <t>01/07/2020 2:14 PM</t>
  </si>
  <si>
    <t>02/07/2020 1:30 PM</t>
  </si>
  <si>
    <t>30/06/2020 11:53 AM</t>
  </si>
  <si>
    <t>30/06/2020 11:38 AM</t>
  </si>
  <si>
    <t>25/06/2020 12:00 AM</t>
  </si>
  <si>
    <t>30/06/2020 11:41 AM</t>
  </si>
  <si>
    <t>02/07/2020 1:42 PM</t>
  </si>
  <si>
    <t>02/07/2020 1:41 PM</t>
  </si>
  <si>
    <t>30/06/2020 10:32 PM</t>
  </si>
  <si>
    <t>01/07/2020 6:17 PM</t>
  </si>
  <si>
    <t>30/06/2020 11:58 AM</t>
  </si>
  <si>
    <t>30/06/2020 11:57 AM</t>
  </si>
  <si>
    <t>30/06/2020 11:54 AM</t>
  </si>
  <si>
    <t>30/06/2020 11:56 AM</t>
  </si>
  <si>
    <t>01/07/2020 4:54 PM</t>
  </si>
  <si>
    <t>01/07/2020 4:53 PM</t>
  </si>
  <si>
    <t>01/07/2020 4:46 PM</t>
  </si>
  <si>
    <t>01/07/2020 4:42 PM</t>
  </si>
  <si>
    <t>01/07/2020 4:36 PM</t>
  </si>
  <si>
    <t>01/07/2020 4:34 PM</t>
  </si>
  <si>
    <t>01/07/2020 4:29 PM</t>
  </si>
  <si>
    <t>01/07/2020 4:26 PM</t>
  </si>
  <si>
    <t>03/07/2020 2:05 PM</t>
  </si>
  <si>
    <t>29/06/2020 8:05 AM</t>
  </si>
  <si>
    <t>30/06/2020 6:15 PM</t>
  </si>
  <si>
    <t>06/07/2020 11:45 AM</t>
  </si>
  <si>
    <t>06/07/2020 11:49 AM</t>
  </si>
  <si>
    <t>06/07/2020 4:24 PM</t>
  </si>
  <si>
    <t>06/07/2020 4:25 PM</t>
  </si>
  <si>
    <t>03/07/2020 1:04 PM</t>
  </si>
  <si>
    <t>03/07/2020 1:43 PM</t>
  </si>
  <si>
    <t>02/07/2020 5:45 PM</t>
  </si>
  <si>
    <t>06/07/2020 12:33 PM</t>
  </si>
  <si>
    <t>06/07/2020 12:31 PM</t>
  </si>
  <si>
    <t>06/07/2020 3:07 PM</t>
  </si>
  <si>
    <t>02/07/2020 1:52 PM</t>
  </si>
  <si>
    <t>02/07/2020 1:51 PM</t>
  </si>
  <si>
    <t>06/07/2020 2:56 PM</t>
  </si>
  <si>
    <t>30/06/2020 1:04 PM</t>
  </si>
  <si>
    <t>06/07/2020 2:31 PM</t>
  </si>
  <si>
    <t>06/07/2020 10:56 AM</t>
  </si>
  <si>
    <t>06/07/2020 2:38 PM</t>
  </si>
  <si>
    <t>03/07/2020 3:26 PM</t>
  </si>
  <si>
    <t>06/07/2020 10:53 AM</t>
  </si>
  <si>
    <t>06/07/2020 2:44 PM</t>
  </si>
  <si>
    <t>25/06/2020 12:54 PM</t>
  </si>
  <si>
    <t>06/07/2020 2:42 PM</t>
  </si>
  <si>
    <t>30/06/2020 3:33 PM</t>
  </si>
  <si>
    <t>06/07/2020 12:47 PM</t>
  </si>
  <si>
    <t>01/07/2020 9:03 AM</t>
  </si>
  <si>
    <t>26/06/2020 5:45 PM</t>
  </si>
  <si>
    <t>03/07/2020 3:30 PM</t>
  </si>
  <si>
    <t>06/07/2020 4:12 PM</t>
  </si>
  <si>
    <t>06/07/2020 4:23 PM</t>
  </si>
  <si>
    <t>01/07/2020 7:14 PM</t>
  </si>
  <si>
    <t>01/07/2020 7:12 PM</t>
  </si>
  <si>
    <t>02/07/2020 1:57 PM</t>
  </si>
  <si>
    <t>06/07/2020 4:59 PM</t>
  </si>
  <si>
    <t>30/06/2020 6:55 PM</t>
  </si>
  <si>
    <t>06/07/2020 4:50 PM</t>
  </si>
  <si>
    <t>01/07/2020 10:21 AM</t>
  </si>
  <si>
    <t>02/07/2020 2:00 PM</t>
  </si>
  <si>
    <t>01/07/2020 7:04 PM</t>
  </si>
  <si>
    <t>06/07/2020 4:40 PM</t>
  </si>
  <si>
    <t>01/07/2020 7:10 PM</t>
  </si>
  <si>
    <t>30/06/2020 7:04 PM</t>
  </si>
  <si>
    <t>06/07/2020 9:15 AM</t>
  </si>
  <si>
    <t>24/06/2020 12:00 AM</t>
  </si>
  <si>
    <t>30/06/2020 5:01 PM</t>
  </si>
  <si>
    <t>30/06/2020 5:00 PM</t>
  </si>
  <si>
    <t>30/06/2020 4:49 PM</t>
  </si>
  <si>
    <t>03/07/2020 2:39 PM</t>
  </si>
  <si>
    <t>25/06/2020 10:50 AM</t>
  </si>
  <si>
    <t>25/06/2020 3:54 PM</t>
  </si>
  <si>
    <t>30/06/2020 5:18 PM</t>
  </si>
  <si>
    <t>30/06/2020 5:16 PM</t>
  </si>
  <si>
    <t>30/06/2020 5:14 PM</t>
  </si>
  <si>
    <t>30/06/2020 5:13 PM</t>
  </si>
  <si>
    <t>30/06/2020 5:11 PM</t>
  </si>
  <si>
    <t>30/06/2020 5:17 PM</t>
  </si>
  <si>
    <t>06/07/2020 4:48 PM</t>
  </si>
  <si>
    <t>30/06/2020 5:15 PM</t>
  </si>
  <si>
    <t>30/06/2020 1:56 PM</t>
  </si>
  <si>
    <t>03/07/2020 4:14 PM</t>
  </si>
  <si>
    <t>03/07/2020 4:12 PM</t>
  </si>
  <si>
    <t>06/07/2020 8:18 AM</t>
  </si>
  <si>
    <t>03/07/2020 4:10 PM</t>
  </si>
  <si>
    <t>06/07/2020 9:20 AM</t>
  </si>
  <si>
    <t>01/07/2020 12:54 PM</t>
  </si>
  <si>
    <t>01/07/2020 12:52 PM</t>
  </si>
  <si>
    <t>06/07/2020 8:16 PM</t>
  </si>
  <si>
    <t>24/06/2020 1:36 PM</t>
  </si>
  <si>
    <t>03/07/2020 9:52 AM</t>
  </si>
  <si>
    <t>02/07/2020 5:02 PM</t>
  </si>
  <si>
    <t>24/06/2020 1:40 PM</t>
  </si>
  <si>
    <t>06/07/2020 1:08 PM</t>
  </si>
  <si>
    <t>01/07/2020 11:45 AM</t>
  </si>
  <si>
    <t>06/07/2020 1:21 PM</t>
  </si>
  <si>
    <t>06/07/2020 1:15 PM</t>
  </si>
  <si>
    <t>06/07/2020 10:57 AM</t>
  </si>
  <si>
    <t>06/07/2020 8:54 AM</t>
  </si>
  <si>
    <t>06/07/2020 5:02 PM</t>
  </si>
  <si>
    <t>06/07/2020 4:57 PM</t>
  </si>
  <si>
    <t>06/07/2020 5:49 PM</t>
  </si>
  <si>
    <t>06/07/2020 5:04 PM</t>
  </si>
  <si>
    <t>06/07/2020 10:58 AM</t>
  </si>
  <si>
    <t>06/07/2020 5:51 PM</t>
  </si>
  <si>
    <t>06/07/2020 5:54 PM</t>
  </si>
  <si>
    <t>03/07/2020 11:38 AM</t>
  </si>
  <si>
    <t>02/07/2020 10:00 AM</t>
  </si>
  <si>
    <t>01/07/2020 8:16 AM</t>
  </si>
  <si>
    <t>06/07/2020 5:07 PM</t>
  </si>
  <si>
    <t>03/07/2020 4:34 PM</t>
  </si>
  <si>
    <t>29/06/2020 1:23 PM</t>
  </si>
  <si>
    <t>03/07/2020 11:00 AM</t>
  </si>
  <si>
    <t>29/06/2020 1:24 PM</t>
  </si>
  <si>
    <t>03/07/2020 4:50 PM</t>
  </si>
  <si>
    <t>03/07/2020 2:22 PM</t>
  </si>
  <si>
    <t>06/07/2020 6:59 PM</t>
  </si>
  <si>
    <t>06/07/2020 11:31 AM</t>
  </si>
  <si>
    <t>06/07/2020 9:41 AM</t>
  </si>
  <si>
    <t>02/07/2020 1:15 PM</t>
  </si>
  <si>
    <t>24/06/2020 5:13 PM</t>
  </si>
  <si>
    <t>02/07/2020 1:16 PM</t>
  </si>
  <si>
    <t>29/06/2020 4:42 PM</t>
  </si>
  <si>
    <t>03/07/2020 3:35 PM</t>
  </si>
  <si>
    <t>03/07/2020 4:55 PM</t>
  </si>
  <si>
    <t>02/07/2020 1:14 PM</t>
  </si>
  <si>
    <t>30/06/2020 5:19 PM</t>
  </si>
  <si>
    <t>30/06/2020 1:47 PM</t>
  </si>
  <si>
    <t>30/06/2020 5:05 PM</t>
  </si>
  <si>
    <t>30/06/2020 5:03 PM</t>
  </si>
  <si>
    <t>25/06/2020 1:07 PM</t>
  </si>
  <si>
    <t>03/07/2020 1:10 PM</t>
  </si>
  <si>
    <t>25/06/2020 1:48 PM</t>
  </si>
  <si>
    <t>30/06/2020 2:29 PM</t>
  </si>
  <si>
    <t>30/06/2020 5:04 PM</t>
  </si>
  <si>
    <t>25/06/2020 3:56 PM</t>
  </si>
  <si>
    <t>02/07/2020 3:41 PM</t>
  </si>
  <si>
    <t>24/06/2020 5:16 PM</t>
  </si>
  <si>
    <t>01/07/2020 7:58 AM</t>
  </si>
  <si>
    <t>30/06/2020 1:27 PM</t>
  </si>
  <si>
    <t>01/07/2020 8:27 AM</t>
  </si>
  <si>
    <t>06/07/2020 11:41 AM</t>
  </si>
  <si>
    <t>28/06/2020 4:47 PM</t>
  </si>
  <si>
    <t>06/07/2020 2:58 PM</t>
  </si>
  <si>
    <t>03/07/2020 9:02 PM</t>
  </si>
  <si>
    <t>06/07/2020 10:27 PM</t>
  </si>
  <si>
    <t>30/06/2020 1:19 PM</t>
  </si>
  <si>
    <t>02/07/2020 9:53 PM</t>
  </si>
  <si>
    <t>23/06/2020 12:00 AM</t>
  </si>
  <si>
    <t>30/06/2020 1:32 PM</t>
  </si>
  <si>
    <t>26/06/2020 2:58 PM</t>
  </si>
  <si>
    <t>03/07/2020 4:13 PM</t>
  </si>
  <si>
    <t>26/06/2020 2:57 PM</t>
  </si>
  <si>
    <t>03/07/2020 1:15 PM</t>
  </si>
  <si>
    <t>03/07/2020 3:15 PM</t>
  </si>
  <si>
    <t>04/07/2020 9:06 PM</t>
  </si>
  <si>
    <t>02/07/2020 9:15 AM</t>
  </si>
  <si>
    <t>30/06/2020 1:35 PM</t>
  </si>
  <si>
    <t>03/07/2020 10:43 PM</t>
  </si>
  <si>
    <t>06/07/2020 3:01 PM</t>
  </si>
  <si>
    <t>01/07/2020 8:12 AM</t>
  </si>
  <si>
    <t>04/07/2020 4:56 PM</t>
  </si>
  <si>
    <t>02/07/2020 9:10 AM</t>
  </si>
  <si>
    <t>01/07/2020 8:31 PM</t>
  </si>
  <si>
    <t>29/06/2020 9:07 AM</t>
  </si>
  <si>
    <t>29/06/2020 10:00 AM</t>
  </si>
  <si>
    <t>29/06/2020 9:53 AM</t>
  </si>
  <si>
    <t>29/06/2020 9:43 AM</t>
  </si>
  <si>
    <t>29/06/2020 9:11 AM</t>
  </si>
  <si>
    <t>06/07/2020 12:44 PM</t>
  </si>
  <si>
    <t>06/07/2020 10:06 PM</t>
  </si>
  <si>
    <t>29/06/2020 10:06 AM</t>
  </si>
  <si>
    <t>29/06/2020 10:22 AM</t>
  </si>
  <si>
    <t>06/07/2020 11:54 AM</t>
  </si>
  <si>
    <t>29/06/2020 10:29 AM</t>
  </si>
  <si>
    <t>29/06/2020 10:33 AM</t>
  </si>
  <si>
    <t>02/07/2020 3:00 PM</t>
  </si>
  <si>
    <t>01/07/2020 12:10 PM</t>
  </si>
  <si>
    <t>02/07/2020 11:58 AM</t>
  </si>
  <si>
    <t>03/07/2020 8:59 AM</t>
  </si>
  <si>
    <t>29/06/2020 10:13 AM</t>
  </si>
  <si>
    <t>06/07/2020 11:08 AM</t>
  </si>
  <si>
    <t>29/06/2020 10:27 AM</t>
  </si>
  <si>
    <t>29/06/2020 10:08 AM</t>
  </si>
  <si>
    <t>29/06/2020 10:04 AM</t>
  </si>
  <si>
    <t>29/06/2020 10:09 AM</t>
  </si>
  <si>
    <t>30/06/2020 4:33 PM</t>
  </si>
  <si>
    <t>01/07/2020 4:07 PM</t>
  </si>
  <si>
    <t>06/07/2020 8:27 AM</t>
  </si>
  <si>
    <t>25/06/2020 4:02 PM</t>
  </si>
  <si>
    <t>02/07/2020 11:29 AM</t>
  </si>
  <si>
    <t>06/07/2020 9:38 AM</t>
  </si>
  <si>
    <t>02/07/2020 12:50 PM</t>
  </si>
  <si>
    <t>03/07/2020 2:59 PM</t>
  </si>
  <si>
    <t>23/06/2020 2:36 PM</t>
  </si>
  <si>
    <t>26/06/2020 3:40 PM</t>
  </si>
  <si>
    <t>30/06/2020 10:34 PM</t>
  </si>
  <si>
    <t>26/06/2020 3:38 PM</t>
  </si>
  <si>
    <t>26/06/2020 5:04 PM</t>
  </si>
  <si>
    <t>30/06/2020 5:25 PM</t>
  </si>
  <si>
    <t>06/07/2020 5:15 PM</t>
  </si>
  <si>
    <t>26/06/2020 5:14 PM</t>
  </si>
  <si>
    <t>06/07/2020 4:47 PM</t>
  </si>
  <si>
    <t>30/06/2020 5:26 PM</t>
  </si>
  <si>
    <t>06/07/2020 5:13 PM</t>
  </si>
  <si>
    <t>03/07/2020 6:12 PM</t>
  </si>
  <si>
    <t>30/06/2020 10:31 PM</t>
  </si>
  <si>
    <t>03/07/2020 3:49 PM</t>
  </si>
  <si>
    <t>22/06/2020 12:00 AM</t>
  </si>
  <si>
    <t>03/07/2020 11:50 PM</t>
  </si>
  <si>
    <t>03/07/2020 11:56 AM</t>
  </si>
  <si>
    <t>02/07/2020 10:36 AM</t>
  </si>
  <si>
    <t>24/06/2020 9:11 AM</t>
  </si>
  <si>
    <t>02/07/2020 10:40 AM</t>
  </si>
  <si>
    <t>22/06/2020 4:36 PM</t>
  </si>
  <si>
    <t>22/06/2020 4:35 PM</t>
  </si>
  <si>
    <t>02/07/2020 4:35 PM</t>
  </si>
  <si>
    <t>29/06/2020 3:47 PM</t>
  </si>
  <si>
    <t>23/06/2020 10:05 AM</t>
  </si>
  <si>
    <t>30/06/2020 1:50 PM</t>
  </si>
  <si>
    <t>01/07/2020 8:17 AM</t>
  </si>
  <si>
    <t>03/07/2020 10:39 AM</t>
  </si>
  <si>
    <t>22/06/2020 10:43 AM</t>
  </si>
  <si>
    <t>06/07/2020 10:34 AM</t>
  </si>
  <si>
    <t>02/07/2020 10:08 AM</t>
  </si>
  <si>
    <t>01/07/2020 8:21 AM</t>
  </si>
  <si>
    <t>03/07/2020 10:22 AM</t>
  </si>
  <si>
    <t>06/07/2020 1:56 PM</t>
  </si>
  <si>
    <t>03/07/2020 9:53 AM</t>
  </si>
  <si>
    <t>02/07/2020 1:35 PM</t>
  </si>
  <si>
    <t>02/07/2020 5:00 PM</t>
  </si>
  <si>
    <t>06/07/2020 12:20 AM</t>
  </si>
  <si>
    <t>25/06/2020 2:11 PM</t>
  </si>
  <si>
    <t>29/06/2020 7:58 PM</t>
  </si>
  <si>
    <t>03/07/2020 5:39 PM</t>
  </si>
  <si>
    <t>03/07/2020 3:51 PM</t>
  </si>
  <si>
    <t>26/06/2020 11:28 AM</t>
  </si>
  <si>
    <t>02/07/2020 2:03 PM</t>
  </si>
  <si>
    <t>01/07/2020 4:10 PM</t>
  </si>
  <si>
    <t>04/07/2020 5:23 PM</t>
  </si>
  <si>
    <t>02/07/2020 1:49 PM</t>
  </si>
  <si>
    <t>04/07/2020 8:22 PM</t>
  </si>
  <si>
    <t>04/07/2020 8:25 PM</t>
  </si>
  <si>
    <t>02/07/2020 4:33 PM</t>
  </si>
  <si>
    <t>04/07/2020 5:26 PM</t>
  </si>
  <si>
    <t>01/07/2020 4:12 PM</t>
  </si>
  <si>
    <t>04/07/2020 5:24 PM</t>
  </si>
  <si>
    <t>21/06/2020 12:00 AM</t>
  </si>
  <si>
    <t>04/07/2020 5:28 PM</t>
  </si>
  <si>
    <t>03/07/2020 2:14 PM</t>
  </si>
  <si>
    <t>03/07/2020 1:55 PM</t>
  </si>
  <si>
    <t>03/07/2020 1:32 PM</t>
  </si>
  <si>
    <t>01/07/2020 4:15 PM</t>
  </si>
  <si>
    <t>03/07/2020 1:45 PM</t>
  </si>
  <si>
    <t>03/07/2020 2:09 PM</t>
  </si>
  <si>
    <t>05/07/2020 7:27 PM</t>
  </si>
  <si>
    <t>03/07/2020 2:03 PM</t>
  </si>
  <si>
    <t>03/07/2020 2:08 PM</t>
  </si>
  <si>
    <t>20/06/2020 12:00 AM</t>
  </si>
  <si>
    <t>03/07/2020 2:02 PM</t>
  </si>
  <si>
    <t>06/07/2020 8:58 AM</t>
  </si>
  <si>
    <t>02/07/2020 11:26 AM</t>
  </si>
  <si>
    <t>02/07/2020 11:33 AM</t>
  </si>
  <si>
    <t>02/07/2020 11:28 AM</t>
  </si>
  <si>
    <t>03/07/2020 11:46 PM</t>
  </si>
  <si>
    <t>03/07/2020 10:39 PM</t>
  </si>
  <si>
    <t>02/07/2020 11:51 AM</t>
  </si>
  <si>
    <t>02/07/2020 11:48 AM</t>
  </si>
  <si>
    <t>02/07/2020 11:39 AM</t>
  </si>
  <si>
    <t>01/07/2020 9:23 AM</t>
  </si>
  <si>
    <t>03/07/2020 11:55 AM</t>
  </si>
  <si>
    <t>03/07/2020 2:20 PM</t>
  </si>
  <si>
    <t>26/06/2020 11:23 AM</t>
  </si>
  <si>
    <t>02/07/2020 9:58 AM</t>
  </si>
  <si>
    <t>29/06/2020 2:15 PM</t>
  </si>
  <si>
    <t>23/06/2020 12:23 PM</t>
  </si>
  <si>
    <t>02/07/2020 9:33 AM</t>
  </si>
  <si>
    <t>06/07/2020 9:47 AM</t>
  </si>
  <si>
    <t>23/06/2020 12:21 PM</t>
  </si>
  <si>
    <t>23/06/2020 12:19 PM</t>
  </si>
  <si>
    <t>23/06/2020 12:22 PM</t>
  </si>
  <si>
    <t>23/06/2020 12:40 PM</t>
  </si>
  <si>
    <t>23/06/2020 12:16 PM</t>
  </si>
  <si>
    <t>02/07/2020 12:03 PM</t>
  </si>
  <si>
    <t>06/07/2020 10:11 AM</t>
  </si>
  <si>
    <t>23/06/2020 12:36 PM</t>
  </si>
  <si>
    <t>02/07/2020 12:47 PM</t>
  </si>
  <si>
    <t>03/07/2020 3:52 PM</t>
  </si>
  <si>
    <t>23/06/2020 12:35 PM</t>
  </si>
  <si>
    <t>02/07/2020 12:42 PM</t>
  </si>
  <si>
    <t>26/06/2020 9:30 AM</t>
  </si>
  <si>
    <t>23/06/2020 12:32 PM</t>
  </si>
  <si>
    <t>23/06/2020 12:39 PM</t>
  </si>
  <si>
    <t>23/06/2020 12:34 PM</t>
  </si>
  <si>
    <t>23/06/2020 12:30 PM</t>
  </si>
  <si>
    <t>23/06/2020 12:29 PM</t>
  </si>
  <si>
    <t>23/06/2020 12:31 PM</t>
  </si>
  <si>
    <t>23/06/2020 11:06 AM</t>
  </si>
  <si>
    <t>23/06/2020 12:17 PM</t>
  </si>
  <si>
    <t>06/07/2020 8:31 AM</t>
  </si>
  <si>
    <t>06/07/2020 2:45 PM</t>
  </si>
  <si>
    <t>22/06/2020 5:16 PM</t>
  </si>
  <si>
    <t>23/06/2020 1:37 PM</t>
  </si>
  <si>
    <t>03/07/2020 5:37 AM</t>
  </si>
  <si>
    <t>23/06/2020 1:30 PM</t>
  </si>
  <si>
    <t>23/06/2020 1:29 PM</t>
  </si>
  <si>
    <t>23/06/2020 1:28 PM</t>
  </si>
  <si>
    <t>23/06/2020 1:35 PM</t>
  </si>
  <si>
    <t>23/06/2020 1:27 PM</t>
  </si>
  <si>
    <t>06/07/2020 8:40 AM</t>
  </si>
  <si>
    <t>23/06/2020 1:44 PM</t>
  </si>
  <si>
    <t>23/06/2020 1:38 PM</t>
  </si>
  <si>
    <t>23/06/2020 1:43 PM</t>
  </si>
  <si>
    <t>23/06/2020 1:42 PM</t>
  </si>
  <si>
    <t>24/06/2020 4:09 PM</t>
  </si>
  <si>
    <t>23/06/2020 1:49 PM</t>
  </si>
  <si>
    <t>23/06/2020 1:34 PM</t>
  </si>
  <si>
    <t>23/06/2020 1:48 PM</t>
  </si>
  <si>
    <t>01/07/2020 1:22 PM</t>
  </si>
  <si>
    <t>06/07/2020 1:17 PM</t>
  </si>
  <si>
    <t>23/06/2020 2:00 PM</t>
  </si>
  <si>
    <t>23/06/2020 1:59 PM</t>
  </si>
  <si>
    <t>23/06/2020 1:54 PM</t>
  </si>
  <si>
    <t>23/06/2020 1:56 PM</t>
  </si>
  <si>
    <t>23/06/2020 1:57 PM</t>
  </si>
  <si>
    <t>23/06/2020 1:52 PM</t>
  </si>
  <si>
    <t>04/07/2020 2:13 PM</t>
  </si>
  <si>
    <t>06/07/2020 4:09 PM</t>
  </si>
  <si>
    <t>23/06/2020 1:47 PM</t>
  </si>
  <si>
    <t>23/06/2020 1:40 PM</t>
  </si>
  <si>
    <t>23/06/2020 1:45 PM</t>
  </si>
  <si>
    <t>26/06/2020 2:40 PM</t>
  </si>
  <si>
    <t>03/07/2020 2:11 PM</t>
  </si>
  <si>
    <t>03/07/2020 2:10 PM</t>
  </si>
  <si>
    <t>03/07/2020 11:14 AM</t>
  </si>
  <si>
    <t>23/06/2020 1:50 PM</t>
  </si>
  <si>
    <t>25/06/2020 10:24 AM</t>
  </si>
  <si>
    <t>03/07/2020 10:42 AM</t>
  </si>
  <si>
    <t>01/07/2020 6:07 PM</t>
  </si>
  <si>
    <t>01/07/2020 5:22 PM</t>
  </si>
  <si>
    <t>22/06/2020 9:18 AM</t>
  </si>
  <si>
    <t>30/06/2020 8:41 PM</t>
  </si>
  <si>
    <t>01/07/2020 6:15 PM</t>
  </si>
  <si>
    <t>01/07/2020 6:13 PM</t>
  </si>
  <si>
    <t>01/07/2020 5:26 PM</t>
  </si>
  <si>
    <t>01/07/2020 6:10 PM</t>
  </si>
  <si>
    <t>01/07/2020 6:20 PM</t>
  </si>
  <si>
    <t>30/06/2020 4:15 PM</t>
  </si>
  <si>
    <t>01/07/2020 6:21 PM</t>
  </si>
  <si>
    <t>19/06/2020 12:00 AM</t>
  </si>
  <si>
    <t>25/06/2020 9:22 AM</t>
  </si>
  <si>
    <t>01/07/2020 5:24 PM</t>
  </si>
  <si>
    <t>03/07/2020 2:25 PM</t>
  </si>
  <si>
    <t>30/06/2020 9:04 AM</t>
  </si>
  <si>
    <t>30/06/2020 8:46 PM</t>
  </si>
  <si>
    <t>29/06/2020 1:22 PM</t>
  </si>
  <si>
    <t>03/07/2020 10:41 PM</t>
  </si>
  <si>
    <t>02/07/2020 4:36 PM</t>
  </si>
  <si>
    <t>03/07/2020 10:48 AM</t>
  </si>
  <si>
    <t>23/06/2020 1:26 PM</t>
  </si>
  <si>
    <t>26/06/2020 1:51 PM</t>
  </si>
  <si>
    <t>30/06/2020 8:05 AM</t>
  </si>
  <si>
    <t>01/07/2020 8:10 AM</t>
  </si>
  <si>
    <t>30/06/2020 4:41 PM</t>
  </si>
  <si>
    <t>30/06/2020 8:49 PM</t>
  </si>
  <si>
    <t>26/06/2020 1:59 PM</t>
  </si>
  <si>
    <t>23/06/2020 12:52 PM</t>
  </si>
  <si>
    <t>23/06/2020 12:41 PM</t>
  </si>
  <si>
    <t>06/07/2020 4:30 PM</t>
  </si>
  <si>
    <t>02/07/2020 12:52 PM</t>
  </si>
  <si>
    <t>01/07/2020 8:11 AM</t>
  </si>
  <si>
    <t>23/06/2020 12:43 PM</t>
  </si>
  <si>
    <t>02/07/2020 4:05 PM</t>
  </si>
  <si>
    <t>02/07/2020 1:37 PM</t>
  </si>
  <si>
    <t>03/07/2020 4:09 PM</t>
  </si>
  <si>
    <t>30/06/2020 3:48 PM</t>
  </si>
  <si>
    <t>02/07/2020 1:00 PM</t>
  </si>
  <si>
    <t>06/07/2020 1:55 PM</t>
  </si>
  <si>
    <t>02/07/2020 12:58 PM</t>
  </si>
  <si>
    <t>03/07/2020 4:11 PM</t>
  </si>
  <si>
    <t>24/06/2020 1:17 PM</t>
  </si>
  <si>
    <t>30/06/2020 4:02 PM</t>
  </si>
  <si>
    <t>28/06/2020 10:55 AM</t>
  </si>
  <si>
    <t>24/06/2020 8:29 AM</t>
  </si>
  <si>
    <t>06/07/2020 2:55 PM</t>
  </si>
  <si>
    <t>30/06/2020 4:20 PM</t>
  </si>
  <si>
    <t>26/06/2020 2:14 PM</t>
  </si>
  <si>
    <t>24/06/2020 4:28 PM</t>
  </si>
  <si>
    <t>02/07/2020 12:54 PM</t>
  </si>
  <si>
    <t>06/07/2020 4:45 PM</t>
  </si>
  <si>
    <t>01/07/2020 4:09 PM</t>
  </si>
  <si>
    <t>25/06/2020 9:53 PM</t>
  </si>
  <si>
    <t>01/07/2020 8:25 AM</t>
  </si>
  <si>
    <t>01/07/2020 8:22 AM</t>
  </si>
  <si>
    <t>06/07/2020 8:33 PM</t>
  </si>
  <si>
    <t>03/07/2020 4:15 PM</t>
  </si>
  <si>
    <t>06/07/2020 8:34 PM</t>
  </si>
  <si>
    <t>01/07/2020 8:28 AM</t>
  </si>
  <si>
    <t>01/07/2020 9:07 AM</t>
  </si>
  <si>
    <t>06/07/2020 8:32 PM</t>
  </si>
  <si>
    <t>02/07/2020 1:27 PM</t>
  </si>
  <si>
    <t>01/07/2020 9:11 AM</t>
  </si>
  <si>
    <t>02/07/2020 8:52 PM</t>
  </si>
  <si>
    <t>05/07/2020 12:34 PM</t>
  </si>
  <si>
    <t>06/07/2020 7:37 AM</t>
  </si>
  <si>
    <t>06/07/2020 7:33 AM</t>
  </si>
  <si>
    <t>26/06/2020 9:27 AM</t>
  </si>
  <si>
    <t>06/07/2020 10:17 PM</t>
  </si>
  <si>
    <t>26/06/2020 10:45 AM</t>
  </si>
  <si>
    <t>06/07/2020 8:36 AM</t>
  </si>
  <si>
    <t>03/07/2020 1:17 PM</t>
  </si>
  <si>
    <t>03/07/2020 1:38 PM</t>
  </si>
  <si>
    <t>03/07/2020 4:17 PM</t>
  </si>
  <si>
    <t>01/07/2020 9:36 AM</t>
  </si>
  <si>
    <t>06/07/2020 8:31 PM</t>
  </si>
  <si>
    <t>06/07/2020 8:35 PM</t>
  </si>
  <si>
    <t>03/07/2020 4:16 PM</t>
  </si>
  <si>
    <t>29/06/2020 10:55 AM</t>
  </si>
  <si>
    <t>30/06/2020 1:05 PM</t>
  </si>
  <si>
    <t>30/06/2020 1:01 PM</t>
  </si>
  <si>
    <t>29/06/2020 5:01 PM</t>
  </si>
  <si>
    <t>06/07/2020 8:36 PM</t>
  </si>
  <si>
    <t>06/07/2020 3:05 PM</t>
  </si>
  <si>
    <t>06/07/2020 4:56 PM</t>
  </si>
  <si>
    <t>06/07/2020 5:06 PM</t>
  </si>
  <si>
    <t>23/06/2020 6:34 PM</t>
  </si>
  <si>
    <t>03/07/2020 4:01 PM</t>
  </si>
  <si>
    <t>29/06/2020 2:03 PM</t>
  </si>
  <si>
    <t>25/06/2020 1:49 PM</t>
  </si>
  <si>
    <t>30/06/2020 4:11 PM</t>
  </si>
  <si>
    <t>23/06/2020 10:45 AM</t>
  </si>
  <si>
    <t>29/06/2020 11:58 AM</t>
  </si>
  <si>
    <t>30/06/2020 4:16 PM</t>
  </si>
  <si>
    <t>01/07/2020 8:42 AM</t>
  </si>
  <si>
    <t>03/07/2020 2:52 PM</t>
  </si>
  <si>
    <t>24/06/2020 2:09 PM</t>
  </si>
  <si>
    <t>01/07/2020 8:24 AM</t>
  </si>
  <si>
    <t>26/06/2020 7:09 PM</t>
  </si>
  <si>
    <t>01/07/2020 11:09 AM</t>
  </si>
  <si>
    <t>03/07/2020 9:04 AM</t>
  </si>
  <si>
    <t>29/06/2020 10:32 AM</t>
  </si>
  <si>
    <t>01/07/2020 9:34 AM</t>
  </si>
  <si>
    <t>03/07/2020 3:46 PM</t>
  </si>
  <si>
    <t>30/06/2020 1:06 PM</t>
  </si>
  <si>
    <t>30/06/2020 4:30 PM</t>
  </si>
  <si>
    <t>24/06/2020 2:22 PM</t>
  </si>
  <si>
    <t>24/06/2020 2:14 PM</t>
  </si>
  <si>
    <t>30/06/2020 4:28 PM</t>
  </si>
  <si>
    <t>24/06/2020 2:18 PM</t>
  </si>
  <si>
    <t>03/07/2020 5:10 PM</t>
  </si>
  <si>
    <t>30/06/2020 1:02 PM</t>
  </si>
  <si>
    <t>06/07/2020 9:03 PM</t>
  </si>
  <si>
    <t>19/06/2020 11:52 AM</t>
  </si>
  <si>
    <t>01/07/2020 2:58 PM</t>
  </si>
  <si>
    <t>19/06/2020 11:51 AM</t>
  </si>
  <si>
    <t>03/07/2020 6:00 PM</t>
  </si>
  <si>
    <t>02/07/2020 3:44 PM</t>
  </si>
  <si>
    <t>30/06/2020 4:36 PM</t>
  </si>
  <si>
    <t>01/07/2020 5:39 PM</t>
  </si>
  <si>
    <t>01/07/2020 6:35 PM</t>
  </si>
  <si>
    <t>01/07/2020 5:36 PM</t>
  </si>
  <si>
    <t>02/07/2020 4:03 PM</t>
  </si>
  <si>
    <t>01/07/2020 6:33 PM</t>
  </si>
  <si>
    <t>01/07/2020 9:09 AM</t>
  </si>
  <si>
    <t>01/07/2020 9:14 AM</t>
  </si>
  <si>
    <t>01/07/2020 6:31 PM</t>
  </si>
  <si>
    <t>18/06/2020 12:00 AM</t>
  </si>
  <si>
    <t>01/07/2020 5:38 PM</t>
  </si>
  <si>
    <t>05/07/2020 10:34 PM</t>
  </si>
  <si>
    <t>05/07/2020 11:07 PM</t>
  </si>
  <si>
    <t>01/07/2020 2:27 PM</t>
  </si>
  <si>
    <t>01/07/2020 5:41 PM</t>
  </si>
  <si>
    <t>29/06/2020 1:34 PM</t>
  </si>
  <si>
    <t>29/06/2020 1:29 PM</t>
  </si>
  <si>
    <t>01/07/2020 3:10 PM</t>
  </si>
  <si>
    <t>01/07/2020 3:06 PM</t>
  </si>
  <si>
    <t>01/07/2020 3:04 PM</t>
  </si>
  <si>
    <t>01/07/2020 3:00 PM</t>
  </si>
  <si>
    <t>30/06/2020 4:07 PM</t>
  </si>
  <si>
    <t>30/06/2020 4:10 PM</t>
  </si>
  <si>
    <t>30/06/2020 4:09 PM</t>
  </si>
  <si>
    <t>01/07/2020 2:57 PM</t>
  </si>
  <si>
    <t>30/06/2020 4:08 PM</t>
  </si>
  <si>
    <t>29/06/2020 7:48 PM</t>
  </si>
  <si>
    <t>01/07/2020 2:44 PM</t>
  </si>
  <si>
    <t>30/06/2020 4:06 PM</t>
  </si>
  <si>
    <t>30/06/2020 8:26 AM</t>
  </si>
  <si>
    <t>18/06/2020 2:59 PM</t>
  </si>
  <si>
    <t>01/07/2020 1:11 PM</t>
  </si>
  <si>
    <t>01/07/2020 1:15 PM</t>
  </si>
  <si>
    <t>03/07/2020 4:39 PM</t>
  </si>
  <si>
    <t>30/06/2020 8:28 AM</t>
  </si>
  <si>
    <t>19/06/2020 4:19 PM</t>
  </si>
  <si>
    <t>03/07/2020 4:18 PM</t>
  </si>
  <si>
    <t>02/07/2020 10:54 AM</t>
  </si>
  <si>
    <t>03/07/2020 4:19 PM</t>
  </si>
  <si>
    <t>19/06/2020 3:57 PM</t>
  </si>
  <si>
    <t>30/06/2020 1:36 PM</t>
  </si>
  <si>
    <t>19/06/2020 4:05 PM</t>
  </si>
  <si>
    <t>19/06/2020 4:48 PM</t>
  </si>
  <si>
    <t>03/07/2020 4:22 PM</t>
  </si>
  <si>
    <t>30/06/2020 6:18 PM</t>
  </si>
  <si>
    <t>19/06/2020 4:50 PM</t>
  </si>
  <si>
    <t>19/06/2020 4:46 PM</t>
  </si>
  <si>
    <t>25/06/2020 3:00 PM</t>
  </si>
  <si>
    <t>03/07/2020 10:12 AM</t>
  </si>
  <si>
    <t>25/06/2020 3:03 PM</t>
  </si>
  <si>
    <t>03/07/2020 9:46 AM</t>
  </si>
  <si>
    <t>23/06/2020 6:05 PM</t>
  </si>
  <si>
    <t>24/06/2020 10:07 AM</t>
  </si>
  <si>
    <t>30/06/2020 2:38 PM</t>
  </si>
  <si>
    <t>02/07/2020 5:37 PM</t>
  </si>
  <si>
    <t>02/07/2020 3:18 PM</t>
  </si>
  <si>
    <t>02/07/2020 3:17 PM</t>
  </si>
  <si>
    <t>02/07/2020 3:19 PM</t>
  </si>
  <si>
    <t>01/07/2020 3:11 PM</t>
  </si>
  <si>
    <t>01/07/2020 1:05 PM</t>
  </si>
  <si>
    <t>29/06/2020 2:40 PM</t>
  </si>
  <si>
    <t>06/07/2020 10:47 AM</t>
  </si>
  <si>
    <t>18/06/2020 2:20 PM</t>
  </si>
  <si>
    <t>01/07/2020 1:18 PM</t>
  </si>
  <si>
    <t>06/07/2020 5:10 PM</t>
  </si>
  <si>
    <t>01/07/2020 2:55 PM</t>
  </si>
  <si>
    <t>03/07/2020 8:50 AM</t>
  </si>
  <si>
    <t>25/06/2020 2:23 PM</t>
  </si>
  <si>
    <t>01/07/2020 5:33 PM</t>
  </si>
  <si>
    <t>30/06/2020 2:49 PM</t>
  </si>
  <si>
    <t>01/07/2020 4:23 PM</t>
  </si>
  <si>
    <t>02/07/2020 1:45 PM</t>
  </si>
  <si>
    <t>01/07/2020 11:07 AM</t>
  </si>
  <si>
    <t>02/07/2020 4:04 PM</t>
  </si>
  <si>
    <t>06/07/2020 10:31 AM</t>
  </si>
  <si>
    <t>29/06/2020 12:58 PM</t>
  </si>
  <si>
    <t>01/07/2020 4:18 PM</t>
  </si>
  <si>
    <t>29/06/2020 1:56 PM</t>
  </si>
  <si>
    <t>03/07/2020 3:57 PM</t>
  </si>
  <si>
    <t>03/07/2020 3:53 PM</t>
  </si>
  <si>
    <t>01/07/2020 4:22 PM</t>
  </si>
  <si>
    <t>27/06/2020 6:00 AM</t>
  </si>
  <si>
    <t>02/07/2020 4:13 PM</t>
  </si>
  <si>
    <t>30/06/2020 3:23 PM</t>
  </si>
  <si>
    <t>06/07/2020 3:32 PM</t>
  </si>
  <si>
    <t>06/07/2020 9:48 AM</t>
  </si>
  <si>
    <t>06/07/2020 3:25 PM</t>
  </si>
  <si>
    <t>26/06/2020 2:23 PM</t>
  </si>
  <si>
    <t>29/06/2020 1:06 PM</t>
  </si>
  <si>
    <t>03/07/2020 10:27 PM</t>
  </si>
  <si>
    <t>19/06/2020 1:26 PM</t>
  </si>
  <si>
    <t>01/07/2020 9:55 AM</t>
  </si>
  <si>
    <t>29/06/2020 10:57 AM</t>
  </si>
  <si>
    <t>06/07/2020 3:21 PM</t>
  </si>
  <si>
    <t>19/06/2020 1:36 PM</t>
  </si>
  <si>
    <t>30/06/2020 7:20 PM</t>
  </si>
  <si>
    <t>19/06/2020 1:35 PM</t>
  </si>
  <si>
    <t>19/06/2020 1:32 PM</t>
  </si>
  <si>
    <t>19/06/2020 1:31 PM</t>
  </si>
  <si>
    <t>19/06/2020 1:30 PM</t>
  </si>
  <si>
    <t>19/06/2020 1:29 PM</t>
  </si>
  <si>
    <t>19/06/2020 3:56 PM</t>
  </si>
  <si>
    <t>19/06/2020 1:28 PM</t>
  </si>
  <si>
    <t>19/06/2020 1:33 PM</t>
  </si>
  <si>
    <t>29/06/2020 10:54 AM</t>
  </si>
  <si>
    <t>26/06/2020 4:43 PM</t>
  </si>
  <si>
    <t>29/06/2020 11:00 AM</t>
  </si>
  <si>
    <t>23/06/2020 4:49 PM</t>
  </si>
  <si>
    <t>26/06/2020 4:40 PM</t>
  </si>
  <si>
    <t>17/06/2020 12:00 AM</t>
  </si>
  <si>
    <t>30/06/2020 2:01 PM</t>
  </si>
  <si>
    <t>02/07/2020 8:39 AM</t>
  </si>
  <si>
    <t>25/06/2020 4:52 PM</t>
  </si>
  <si>
    <t>01/07/2020 7:36 PM</t>
  </si>
  <si>
    <t>25/06/2020 4:53 PM</t>
  </si>
  <si>
    <t>26/06/2020 11:03 AM</t>
  </si>
  <si>
    <t>30/06/2020 7:19 PM</t>
  </si>
  <si>
    <t>29/06/2020 2:36 PM</t>
  </si>
  <si>
    <t>26/06/2020 9:07 AM</t>
  </si>
  <si>
    <t>29/06/2020 1:47 PM</t>
  </si>
  <si>
    <t>03/07/2020 8:16 PM</t>
  </si>
  <si>
    <t>03/07/2020 8:15 PM</t>
  </si>
  <si>
    <t>02/07/2020 1:31 PM</t>
  </si>
  <si>
    <t>29/06/2020 4:06 PM</t>
  </si>
  <si>
    <t>29/06/2020 2:41 PM</t>
  </si>
  <si>
    <t>06/07/2020 4:41 PM</t>
  </si>
  <si>
    <t>03/07/2020 11:10 AM</t>
  </si>
  <si>
    <t>03/07/2020 11:08 AM</t>
  </si>
  <si>
    <t>05/07/2020 7:03 PM</t>
  </si>
  <si>
    <t>30/06/2020 3:08 PM</t>
  </si>
  <si>
    <t>01/07/2020 2:52 PM</t>
  </si>
  <si>
    <t>29/06/2020 11:30 AM</t>
  </si>
  <si>
    <t>26/06/2020 1:02 PM</t>
  </si>
  <si>
    <t>03/07/2020 8:11 PM</t>
  </si>
  <si>
    <t>03/07/2020 11:12 AM</t>
  </si>
  <si>
    <t>29/06/2020 11:32 AM</t>
  </si>
  <si>
    <t>26/06/2020 4:16 PM</t>
  </si>
  <si>
    <t>28/06/2020 9:41 PM</t>
  </si>
  <si>
    <t>22/06/2020 10:38 PM</t>
  </si>
  <si>
    <t>30/06/2020 5:59 PM</t>
  </si>
  <si>
    <t>06/07/2020 11:05 AM</t>
  </si>
  <si>
    <t>01/07/2020 5:10 PM</t>
  </si>
  <si>
    <t>23/06/2020 9:08 AM</t>
  </si>
  <si>
    <t>22/06/2020 8:48 AM</t>
  </si>
  <si>
    <t>06/07/2020 5:42 PM</t>
  </si>
  <si>
    <t>30/06/2020 3:18 PM</t>
  </si>
  <si>
    <t>22/06/2020 8:39 AM</t>
  </si>
  <si>
    <t>17/06/2020 4:11 PM</t>
  </si>
  <si>
    <t>23/06/2020 9:11 AM</t>
  </si>
  <si>
    <t>23/06/2020 9:23 AM</t>
  </si>
  <si>
    <t>01/07/2020 10:25 AM</t>
  </si>
  <si>
    <t>02/07/2020 4:06 PM</t>
  </si>
  <si>
    <t>30/06/2020 3:21 PM</t>
  </si>
  <si>
    <t>26/06/2020 10:24 AM</t>
  </si>
  <si>
    <t>30/06/2020 3:57 PM</t>
  </si>
  <si>
    <t>30/06/2020 3:55 PM</t>
  </si>
  <si>
    <t>06/07/2020 4:27 PM</t>
  </si>
  <si>
    <t>06/07/2020 5:19 PM</t>
  </si>
  <si>
    <t>23/06/2020 9:35 AM</t>
  </si>
  <si>
    <t>01/07/2020 5:12 PM</t>
  </si>
  <si>
    <t>25/06/2020 4:41 PM</t>
  </si>
  <si>
    <t>03/07/2020 8:57 AM</t>
  </si>
  <si>
    <t>06/07/2020 5:48 PM</t>
  </si>
  <si>
    <t>06/07/2020 4:37 PM</t>
  </si>
  <si>
    <t>23/06/2020 9:29 AM</t>
  </si>
  <si>
    <t>02/07/2020 4:22 PM</t>
  </si>
  <si>
    <t>29/06/2020 7:35 PM</t>
  </si>
  <si>
    <t>06/07/2020 11:59 AM</t>
  </si>
  <si>
    <t>02/07/2020 5:06 PM</t>
  </si>
  <si>
    <t>03/07/2020 9:18 AM</t>
  </si>
  <si>
    <t>05/07/2020 10:28 PM</t>
  </si>
  <si>
    <t>01/07/2020 8:10 PM</t>
  </si>
  <si>
    <t>29/06/2020 3:27 PM</t>
  </si>
  <si>
    <t>29/06/2020 3:23 PM</t>
  </si>
  <si>
    <t>22/06/2020 10:26 AM</t>
  </si>
  <si>
    <t>16/06/2020 12:00 AM</t>
  </si>
  <si>
    <t>29/06/2020 8:36 AM</t>
  </si>
  <si>
    <t>06/07/2020 4:19 PM</t>
  </si>
  <si>
    <t>01/07/2020 4:57 PM</t>
  </si>
  <si>
    <t>26/06/2020 12:42 PM</t>
  </si>
  <si>
    <t>22/06/2020 2:18 PM</t>
  </si>
  <si>
    <t>02/07/2020 1:46 PM</t>
  </si>
  <si>
    <t>01/07/2020 6:57 PM</t>
  </si>
  <si>
    <t>30/06/2020 3:59 PM</t>
  </si>
  <si>
    <t>06/07/2020 5:36 PM</t>
  </si>
  <si>
    <t>01/07/2020 6:42 PM</t>
  </si>
  <si>
    <t>25/06/2020 12:46 PM</t>
  </si>
  <si>
    <t>30/06/2020 10:12 AM</t>
  </si>
  <si>
    <t>26/06/2020 6:20 PM</t>
  </si>
  <si>
    <t>29/06/2020 6:17 PM</t>
  </si>
  <si>
    <t>29/06/2020 2:49 PM</t>
  </si>
  <si>
    <t>22/06/2020 1:37 PM</t>
  </si>
  <si>
    <t>03/07/2020 1:34 PM</t>
  </si>
  <si>
    <t>01/07/2020 3:55 PM</t>
  </si>
  <si>
    <t>30/06/2020 9:45 AM</t>
  </si>
  <si>
    <t>03/07/2020 2:46 PM</t>
  </si>
  <si>
    <t>03/07/2020 2:41 PM</t>
  </si>
  <si>
    <t>01/07/2020 4:44 PM</t>
  </si>
  <si>
    <t>01/07/2020 4:38 PM</t>
  </si>
  <si>
    <t>03/07/2020 2:37 PM</t>
  </si>
  <si>
    <t>02/07/2020 1:44 PM</t>
  </si>
  <si>
    <t>26/06/2020 8:27 AM</t>
  </si>
  <si>
    <t>25/06/2020 9:17 AM</t>
  </si>
  <si>
    <t>25/06/2020 5:02 PM</t>
  </si>
  <si>
    <t>01/07/2020 4:52 PM</t>
  </si>
  <si>
    <t>29/06/2020 3:45 PM</t>
  </si>
  <si>
    <t>03/07/2020 9:33 AM</t>
  </si>
  <si>
    <t>02/07/2020 1:43 PM</t>
  </si>
  <si>
    <t>19/06/2020 8:13 AM</t>
  </si>
  <si>
    <t>29/06/2020 3:44 PM</t>
  </si>
  <si>
    <t>01/07/2020 4:45 PM</t>
  </si>
  <si>
    <t>05/07/2020 7:50 PM</t>
  </si>
  <si>
    <t>03/07/2020 9:28 AM</t>
  </si>
  <si>
    <t>02/07/2020 3:24 PM</t>
  </si>
  <si>
    <t>22/06/2020 2:30 PM</t>
  </si>
  <si>
    <t>02/07/2020 3:27 PM</t>
  </si>
  <si>
    <t>15/06/2020 12:00 AM</t>
  </si>
  <si>
    <t>03/07/2020 3:24 PM</t>
  </si>
  <si>
    <t>01/07/2020 11:30 AM</t>
  </si>
  <si>
    <t>30/06/2020 9:24 PM</t>
  </si>
  <si>
    <t>03/07/2020 5:16 PM</t>
  </si>
  <si>
    <t>03/07/2020 5:15 PM</t>
  </si>
  <si>
    <t>03/07/2020 5:17 PM</t>
  </si>
  <si>
    <t>03/07/2020 5:12 PM</t>
  </si>
  <si>
    <t>03/07/2020 5:14 PM</t>
  </si>
  <si>
    <t>03/07/2020 5:09 PM</t>
  </si>
  <si>
    <t>06/07/2020 7:11 AM</t>
  </si>
  <si>
    <t>03/07/2020 4:33 PM</t>
  </si>
  <si>
    <t>03/07/2020 5:13 PM</t>
  </si>
  <si>
    <t>03/07/2020 5:21 PM</t>
  </si>
  <si>
    <t>16/06/2020 10:38 AM</t>
  </si>
  <si>
    <t>03/07/2020 5:20 PM</t>
  </si>
  <si>
    <t>03/07/2020 5:18 PM</t>
  </si>
  <si>
    <t>16/06/2020 10:18 AM</t>
  </si>
  <si>
    <t>03/07/2020 5:19 PM</t>
  </si>
  <si>
    <t>03/07/2020 5:11 PM</t>
  </si>
  <si>
    <t>12/06/2020 12:00 AM</t>
  </si>
  <si>
    <t>03/07/2020 5:37 PM</t>
  </si>
  <si>
    <t>24/06/2020 10:17 AM</t>
  </si>
  <si>
    <t>03/07/2020 5:34 PM</t>
  </si>
  <si>
    <t>30/06/2020 4:35 PM</t>
  </si>
  <si>
    <t>01/07/2020 4:08 PM</t>
  </si>
  <si>
    <t>13/06/2020 12:00 AM</t>
  </si>
  <si>
    <t>26/06/2020 9:36 AM</t>
  </si>
  <si>
    <t>30/06/2020 4:34 PM</t>
  </si>
  <si>
    <t>22/06/2020 9:11 PM</t>
  </si>
  <si>
    <t>26/06/2020 1:56 PM</t>
  </si>
  <si>
    <t>26/06/2020 2:29 PM</t>
  </si>
  <si>
    <t>01/07/2020 4:05 PM</t>
  </si>
  <si>
    <t>22/06/2020 10:07 PM</t>
  </si>
  <si>
    <t>11/06/2020 12:00 AM</t>
  </si>
  <si>
    <t>30/06/2020 7:59 PM</t>
  </si>
  <si>
    <t>29/06/2020 4:11 PM</t>
  </si>
  <si>
    <t>01/07/2020 9:19 AM</t>
  </si>
  <si>
    <t>22/06/2020 5:04 PM</t>
  </si>
  <si>
    <t>19/06/2020 5:03 PM</t>
  </si>
  <si>
    <t>17/06/2020 3:55 PM</t>
  </si>
  <si>
    <t>29/06/2020 11:36 AM</t>
  </si>
  <si>
    <t>19/06/2020 4:57 PM</t>
  </si>
  <si>
    <t>28/06/2020 7:25 PM</t>
  </si>
  <si>
    <t>06/07/2020 5:11 PM</t>
  </si>
  <si>
    <t>01/07/2020 4:04 PM</t>
  </si>
  <si>
    <t>18/06/2020 11:18 PM</t>
  </si>
  <si>
    <t>26/06/2020 2:43 PM</t>
  </si>
  <si>
    <t>26/06/2020 8:50 AM</t>
  </si>
  <si>
    <t>03/07/2020 3:36 PM</t>
  </si>
  <si>
    <t>01/07/2020 2:06 PM</t>
  </si>
  <si>
    <t>10/06/2020 12:00 AM</t>
  </si>
  <si>
    <t>06/07/2020 1:01 PM</t>
  </si>
  <si>
    <t>09/06/2020 12:00 AM</t>
  </si>
  <si>
    <t>06/07/2020 2:18 PM</t>
  </si>
  <si>
    <t>18/06/2020 1:51 PM</t>
  </si>
  <si>
    <t>25/06/2020 4:54 PM</t>
  </si>
  <si>
    <t>23/06/2020 6:37 PM</t>
  </si>
  <si>
    <t>06/07/2020 5:30 PM</t>
  </si>
  <si>
    <t>23/06/2020 5:37 PM</t>
  </si>
  <si>
    <t>26/06/2020 8:16 PM</t>
  </si>
  <si>
    <t>01/07/2020 11:59 AM</t>
  </si>
  <si>
    <t>26/06/2020 2:45 PM</t>
  </si>
  <si>
    <t>01/07/2020 4:02 PM</t>
  </si>
  <si>
    <t>06/07/2020 8:21 AM</t>
  </si>
  <si>
    <t>06/07/2020 10:54 PM</t>
  </si>
  <si>
    <t>25/06/2020 9:54 PM</t>
  </si>
  <si>
    <t>08/06/2020 12:00 AM</t>
  </si>
  <si>
    <t>29/06/2020 1:17 PM</t>
  </si>
  <si>
    <t>24/06/2020 2:30 PM</t>
  </si>
  <si>
    <t>06/07/2020 10:29 AM</t>
  </si>
  <si>
    <t>06/06/2020 12:00 AM</t>
  </si>
  <si>
    <t>24/06/2020 10:46 AM</t>
  </si>
  <si>
    <t>05/07/2020 8:17 PM</t>
  </si>
  <si>
    <t>26/06/2020 4:59 PM</t>
  </si>
  <si>
    <t>24/06/2020 10:40 AM</t>
  </si>
  <si>
    <t>03/07/2020 2:33 PM</t>
  </si>
  <si>
    <t>06/07/2020 2:01 PM</t>
  </si>
  <si>
    <t>19/06/2020 4:03 PM</t>
  </si>
  <si>
    <t>24/06/2020 1:59 PM</t>
  </si>
  <si>
    <t>19/06/2020 4:45 PM</t>
  </si>
  <si>
    <t>30/06/2020 9:09 AM</t>
  </si>
  <si>
    <t>19/06/2020 3:03 PM</t>
  </si>
  <si>
    <t>29/06/2020 9:44 AM</t>
  </si>
  <si>
    <t>05/06/2020 12:00 AM</t>
  </si>
  <si>
    <t>05/07/2020 8:19 PM</t>
  </si>
  <si>
    <t>19/06/2020 3:08 PM</t>
  </si>
  <si>
    <t>06/07/2020 11:09 AM</t>
  </si>
  <si>
    <t>03/06/2020 12:00 AM</t>
  </si>
  <si>
    <t>30/06/2020 9:57 AM</t>
  </si>
  <si>
    <t>24/06/2020 2:56 PM</t>
  </si>
  <si>
    <t>02/07/2020 1:55 PM</t>
  </si>
  <si>
    <t>24/06/2020 4:34 PM</t>
  </si>
  <si>
    <t>16/06/2020 4:02 PM</t>
  </si>
  <si>
    <t>16/06/2020 3:59 PM</t>
  </si>
  <si>
    <t>02/07/2020 9:18 AM</t>
  </si>
  <si>
    <t>11/06/2020 4:03 PM</t>
  </si>
  <si>
    <t>11/06/2020 4:00 PM</t>
  </si>
  <si>
    <t>24/06/2020 2:58 PM</t>
  </si>
  <si>
    <t>05/07/2020 8:24 PM</t>
  </si>
  <si>
    <t>05/07/2020 8:21 PM</t>
  </si>
  <si>
    <t>24/06/2020 2:55 PM</t>
  </si>
  <si>
    <t>23/06/2020 4:16 PM</t>
  </si>
  <si>
    <t>25/06/2020 1:56 PM</t>
  </si>
  <si>
    <t>02/06/2020 12:00 AM</t>
  </si>
  <si>
    <t>05/07/2020 8:23 PM</t>
  </si>
  <si>
    <t>30/06/2020 1:31 PM</t>
  </si>
  <si>
    <t>16/06/2020 4:00 PM</t>
  </si>
  <si>
    <t>29/06/2020 6:25 PM</t>
  </si>
  <si>
    <t>30/06/2020 7:09 PM</t>
  </si>
  <si>
    <t>02/07/2020 4:14 PM</t>
  </si>
  <si>
    <t>23/06/2020 11:30 AM</t>
  </si>
  <si>
    <t>30/06/2020 2:54 PM</t>
  </si>
  <si>
    <t>01/07/2020 2:25 PM</t>
  </si>
  <si>
    <t>01/07/2020 8:13 AM</t>
  </si>
  <si>
    <t>30/06/2020 10:03 PM</t>
  </si>
  <si>
    <t>03/07/2020 4:26 PM</t>
  </si>
  <si>
    <t>30/06/2020 2:56 PM</t>
  </si>
  <si>
    <t>27/05/2020 12:00 AM</t>
  </si>
  <si>
    <t>30/06/2020 2:57 PM</t>
  </si>
  <si>
    <t>30/06/2020 2:59 PM</t>
  </si>
  <si>
    <t>01/07/2020 11:29 AM</t>
  </si>
  <si>
    <t>29/06/2020 4:19 PM</t>
  </si>
  <si>
    <t>28/05/2020 12:00 AM</t>
  </si>
  <si>
    <t>29/06/2020 6:26 PM</t>
  </si>
  <si>
    <t>29/06/2020 4:17 PM</t>
  </si>
  <si>
    <t>30/06/2020 4:27 PM</t>
  </si>
  <si>
    <t>03/07/2020 8:47 AM</t>
  </si>
  <si>
    <t>26/06/2020 6:57 PM</t>
  </si>
  <si>
    <t>03/07/2020 5:54 PM</t>
  </si>
  <si>
    <t>03/07/2020 5:51 PM</t>
  </si>
  <si>
    <t>03/07/2020 5:53 PM</t>
  </si>
  <si>
    <t>03/07/2020 5:55 PM</t>
  </si>
  <si>
    <t>03/07/2020 5:52 PM</t>
  </si>
  <si>
    <t>24/06/2020 5:26 PM</t>
  </si>
  <si>
    <t>06/07/2020 7:43 PM</t>
  </si>
  <si>
    <t>06/07/2020 7:44 PM</t>
  </si>
  <si>
    <t>18/06/2020 7:35 PM</t>
  </si>
  <si>
    <t>06/07/2020 7:41 PM</t>
  </si>
  <si>
    <t>30/05/2020 2:19 PM</t>
  </si>
  <si>
    <t>30/05/2020 2:28 PM</t>
  </si>
  <si>
    <t>30/05/2020 2:10 PM</t>
  </si>
  <si>
    <t>19/05/2020 6:10 PM</t>
  </si>
  <si>
    <t>30/05/2020 2:22 PM</t>
  </si>
  <si>
    <t>03/07/2020 10:05 AM</t>
  </si>
  <si>
    <t>30/05/2020 2:13 PM</t>
  </si>
  <si>
    <t>03/07/2020 10:03 AM</t>
  </si>
  <si>
    <t>03/07/2020 10:01 AM</t>
  </si>
  <si>
    <t>01/07/2020 2:21 PM</t>
  </si>
  <si>
    <t>03/07/2020 9:58 AM</t>
  </si>
  <si>
    <t>30/05/2020 2:25 PM</t>
  </si>
  <si>
    <t>18/06/2020 5:11 PM</t>
  </si>
  <si>
    <t>03/07/2020 10:07 AM</t>
  </si>
  <si>
    <t>29/06/2020 4:01 PM</t>
  </si>
  <si>
    <t>25/06/2020 2:32 PM</t>
  </si>
  <si>
    <t>06/04/2020 12:00 AM</t>
  </si>
  <si>
    <t>26/06/2020 10:49 PM</t>
  </si>
  <si>
    <t>30/06/2020 1:26 PM</t>
  </si>
  <si>
    <t>02/07/2020 10:15 AM</t>
  </si>
  <si>
    <t>06/07/2020 4:46 PM</t>
  </si>
  <si>
    <t>30/06/2020 1:29 PM</t>
  </si>
  <si>
    <t>01/07/2020 8:18 AM</t>
  </si>
  <si>
    <t>03/07/2020 11:48 AM</t>
  </si>
  <si>
    <t>03/07/2020 11:51 AM</t>
  </si>
  <si>
    <t>30/06/2020 1:24 PM</t>
  </si>
  <si>
    <t>16/06/2020 4:25 PM</t>
  </si>
  <si>
    <t>03/07/2020 5:58 PM</t>
  </si>
  <si>
    <t>03/07/2020 11:07 AM</t>
  </si>
  <si>
    <t>03/07/2020 5:57 PM</t>
  </si>
  <si>
    <t>29/06/2020 8:52 AM</t>
  </si>
  <si>
    <t>03/07/2020 8:42 AM</t>
  </si>
  <si>
    <t>03/07/2020 5:59 PM</t>
  </si>
  <si>
    <t>29/06/2020 8:37 AM</t>
  </si>
  <si>
    <t>03/07/2020 8:17 AM</t>
  </si>
  <si>
    <t>16/06/2020 11:55 AM</t>
  </si>
  <si>
    <t>30/06/2020 11:48 AM</t>
  </si>
  <si>
    <t>30/06/2020 11:52 AM</t>
  </si>
  <si>
    <t>29/06/2020 8:47 AM</t>
  </si>
  <si>
    <t>25/06/2020 2:28 PM</t>
  </si>
  <si>
    <t>30/06/2020 11:45 AM</t>
  </si>
  <si>
    <t>04/06/2020 2:18 PM</t>
  </si>
  <si>
    <t>16/06/2020 4:23 PM</t>
  </si>
  <si>
    <t>16/06/2020 6:49 PM</t>
  </si>
  <si>
    <t>30/06/2020 11:40 AM</t>
  </si>
  <si>
    <t>16/06/2020 4:20 PM</t>
  </si>
  <si>
    <t>02/07/2020 12:13 PM</t>
  </si>
  <si>
    <t>02/07/2020 12:12 PM</t>
  </si>
  <si>
    <t>02/07/2020 11:55 AM</t>
  </si>
  <si>
    <t>06/07/2020 1:48 PM</t>
  </si>
  <si>
    <t>06/07/2020 3:51 PM</t>
  </si>
  <si>
    <t>01/07/2020 6:19 PM</t>
  </si>
  <si>
    <t>03/07/2020 11:44 AM</t>
  </si>
  <si>
    <t>16/06/2020 4:15 PM</t>
  </si>
  <si>
    <t>16/06/2020 11:52 AM</t>
  </si>
  <si>
    <t>25/06/2020 2:30 PM</t>
  </si>
  <si>
    <t>16/06/2020 4:07 PM</t>
  </si>
  <si>
    <t>26/06/2020 3:24 PM</t>
  </si>
  <si>
    <t>16/06/2020 10:30 PM</t>
  </si>
  <si>
    <t>25/06/2020 2:15 PM</t>
  </si>
  <si>
    <t>29/06/2020 4:05 PM</t>
  </si>
  <si>
    <t>24/06/2020 5:53 PM</t>
  </si>
  <si>
    <t>03/07/2020 3:39 PM</t>
  </si>
  <si>
    <t>06/07/2020 9:52 AM</t>
  </si>
  <si>
    <t>23/06/2020 7:03 PM</t>
  </si>
  <si>
    <t>06/07/2020 2:27 PM</t>
  </si>
  <si>
    <t>03/07/2020 3:19 PM</t>
  </si>
  <si>
    <t>10/06/2020 10:22 AM</t>
  </si>
  <si>
    <t>10/06/2020 9:55 AM</t>
  </si>
  <si>
    <t>16/06/2020 10:39 PM</t>
  </si>
  <si>
    <t>06/07/2020 2:34 PM</t>
  </si>
  <si>
    <t>29/06/2020 2:32 PM</t>
  </si>
  <si>
    <t>10/06/2020 10:08 AM</t>
  </si>
  <si>
    <t>30/06/2020 3:30 PM</t>
  </si>
  <si>
    <t>23/06/2020 7:32 PM</t>
  </si>
  <si>
    <t>10/06/2020 9:41 AM</t>
  </si>
  <si>
    <t>10/06/2020 9:59 AM</t>
  </si>
  <si>
    <t>30/06/2020 2:22 PM</t>
  </si>
  <si>
    <t>02/07/2020 12:01 PM</t>
  </si>
  <si>
    <t>02/07/2020 10:55 AM</t>
  </si>
  <si>
    <t>30/06/2020 7:14 AM</t>
  </si>
  <si>
    <t>29/06/2020 7:40 PM</t>
  </si>
  <si>
    <t>30/06/2020 7:13 AM</t>
  </si>
  <si>
    <t>30/06/2020 7:12 AM</t>
  </si>
  <si>
    <t>30/06/2020 7:11 AM</t>
  </si>
  <si>
    <t>03/07/2020 3:42 PM</t>
  </si>
  <si>
    <t>06/07/2020 9:31 AM</t>
  </si>
  <si>
    <t>10/06/2020 9:50 AM</t>
  </si>
  <si>
    <t>17/06/2020 1:01 PM</t>
  </si>
  <si>
    <t>03/07/2020 3:44 PM</t>
  </si>
  <si>
    <t>03/07/2020 7:12 PM</t>
  </si>
  <si>
    <t>26/06/2020 5:07 PM</t>
  </si>
  <si>
    <t>18/06/2020 3:56 PM</t>
  </si>
  <si>
    <t>02/07/2020 1:58 PM</t>
  </si>
  <si>
    <t>25/06/2020 2:19 PM</t>
  </si>
  <si>
    <t>15/06/2020 2:31 PM</t>
  </si>
  <si>
    <t>03/07/2020 3:38 PM</t>
  </si>
  <si>
    <t>30/06/2020 1:22 PM</t>
  </si>
  <si>
    <t>22/06/2020 2:24 PM</t>
  </si>
  <si>
    <t>06/07/2020 9:42 AM</t>
  </si>
  <si>
    <t>25/06/2020 2:18 PM</t>
  </si>
  <si>
    <t>25/06/2020 10:38 PM</t>
  </si>
  <si>
    <t>02/06/2020 4:39 PM</t>
  </si>
  <si>
    <t>23/06/2020 7:28 PM</t>
  </si>
  <si>
    <t>21/05/2020 12:32 PM</t>
  </si>
  <si>
    <t>24/06/2020 7:03 PM</t>
  </si>
  <si>
    <t>22/06/2020 3:11 PM</t>
  </si>
  <si>
    <t>21/05/2020 12:29 PM</t>
  </si>
  <si>
    <t>21/05/2020 12:35 PM</t>
  </si>
  <si>
    <t>24/06/2020 3:14 PM</t>
  </si>
  <si>
    <t>06/07/2020 2:35 PM</t>
  </si>
  <si>
    <t>24/06/2020 3:07 PM</t>
  </si>
  <si>
    <t>18/06/2020 2:13 PM</t>
  </si>
  <si>
    <t>03/07/2020 11:01 AM</t>
  </si>
  <si>
    <t>21/05/2020 12:12 PM</t>
  </si>
  <si>
    <t>03/07/2020 3:05 PM</t>
  </si>
  <si>
    <t>06/07/2020 10:54 AM</t>
  </si>
  <si>
    <t>24/06/2020 7:01 PM</t>
  </si>
  <si>
    <t>24/06/2020 4:29 PM</t>
  </si>
  <si>
    <t>25/06/2020 2:29 PM</t>
  </si>
  <si>
    <t>06/07/2020 10:59 AM</t>
  </si>
  <si>
    <t>06/07/2020 10:49 AM</t>
  </si>
  <si>
    <t>22/06/2020 2:21 PM</t>
  </si>
  <si>
    <t>25/06/2020 2:57 PM</t>
  </si>
  <si>
    <t>30/06/2020 9:49 AM</t>
  </si>
  <si>
    <t>25/06/2020 2:21 PM</t>
  </si>
  <si>
    <t>22/05/2020 10:12 PM</t>
  </si>
  <si>
    <t>04/06/2020 9:00 AM</t>
  </si>
  <si>
    <t>02/07/2020 1:29 PM</t>
  </si>
  <si>
    <t>29/06/2020 1:10 PM</t>
  </si>
  <si>
    <t>03/07/2020 11:22 AM</t>
  </si>
  <si>
    <t>06/07/2020 3:44 PM</t>
  </si>
  <si>
    <t>26/06/2020 8:55 AM</t>
  </si>
  <si>
    <t>12/06/2020 1:45 PM</t>
  </si>
  <si>
    <t>03/07/2020 11:27 AM</t>
  </si>
  <si>
    <t>26/06/2020 3:54 PM</t>
  </si>
  <si>
    <t>06/07/2020 7:40 PM</t>
  </si>
  <si>
    <t>23/06/2020 7:05 PM</t>
  </si>
  <si>
    <t>02/07/2020 10:56 AM</t>
  </si>
  <si>
    <t>16/06/2020 10:53 AM</t>
  </si>
  <si>
    <t>06/07/2020 5:03 PM</t>
  </si>
  <si>
    <t>03/07/2020 8:05 PM</t>
  </si>
  <si>
    <t>03/07/2020 5:32 PM</t>
  </si>
  <si>
    <t>03/07/2020 5:25 PM</t>
  </si>
  <si>
    <t>03/07/2020 4:52 PM</t>
  </si>
  <si>
    <t>01/07/2020 6:26 PM</t>
  </si>
  <si>
    <t>03/07/2020 8:32 PM</t>
  </si>
  <si>
    <t>26/06/2020 11:29 PM</t>
  </si>
  <si>
    <t>23/06/2020 7:04 PM</t>
  </si>
  <si>
    <t>04/06/2020 8:57 AM</t>
  </si>
  <si>
    <t>21/05/2020 3:47 PM</t>
  </si>
  <si>
    <t>23/06/2020 7:24 PM</t>
  </si>
  <si>
    <t>03/07/2020 5:29 PM</t>
  </si>
  <si>
    <t>23/06/2020 7:22 PM</t>
  </si>
  <si>
    <t>03/07/2020 8:26 PM</t>
  </si>
  <si>
    <t>06/07/2020 5:05 PM</t>
  </si>
  <si>
    <t>23/06/2020 7:21 PM</t>
  </si>
  <si>
    <t>23/06/2020 7:15 PM</t>
  </si>
  <si>
    <t>01/07/2020 4:00 PM</t>
  </si>
  <si>
    <t>23/06/2020 7:20 PM</t>
  </si>
  <si>
    <t>16/06/2020 4:57 PM</t>
  </si>
  <si>
    <t>23/06/2020 7:16 PM</t>
  </si>
  <si>
    <t>28/02/2020 2:06 PM</t>
  </si>
  <si>
    <t>16/06/2020 4:49 PM</t>
  </si>
  <si>
    <t>23/06/2020 7:13 PM</t>
  </si>
  <si>
    <t>25/06/2020 2:27 PM</t>
  </si>
  <si>
    <t>03/07/2020 4:56 PM</t>
  </si>
  <si>
    <t>23/06/2020 7:19 PM</t>
  </si>
  <si>
    <t>30/06/2020 7:10 AM</t>
  </si>
  <si>
    <t>30/06/2020 7:09 AM</t>
  </si>
  <si>
    <t>25/06/2020 8:31 PM</t>
  </si>
  <si>
    <t>29/06/2020 4:52 PM</t>
  </si>
  <si>
    <t>04/06/2020 8:59 AM</t>
  </si>
  <si>
    <t>03/07/2020 3:25 PM</t>
  </si>
  <si>
    <t>30/06/2020 3:54 PM</t>
  </si>
  <si>
    <t>03/07/2020 3:14 PM</t>
  </si>
  <si>
    <t>11/06/2020 7:53 PM</t>
  </si>
  <si>
    <t>06/07/2020 4:08 PM</t>
  </si>
  <si>
    <t>06/07/2020 5:28 PM</t>
  </si>
  <si>
    <t>22/05/2020 3:26 PM</t>
  </si>
  <si>
    <t>29/06/2020 1:13 PM</t>
  </si>
  <si>
    <t>06/07/2020 10:39 AM</t>
  </si>
  <si>
    <t>23/06/2020 8:54 AM</t>
  </si>
  <si>
    <t>16/06/2020 3:58 PM</t>
  </si>
  <si>
    <t>15/06/2020 2:32 PM</t>
  </si>
  <si>
    <t>03/07/2020 4:49 PM</t>
  </si>
  <si>
    <t>02/07/2020 3:49 PM</t>
  </si>
  <si>
    <t>03/07/2020 4:58 PM</t>
  </si>
  <si>
    <t>01/07/2020 6:09 PM</t>
  </si>
  <si>
    <t>03/07/2020 4:44 PM</t>
  </si>
  <si>
    <t>01/07/2020 6:12 PM</t>
  </si>
  <si>
    <t>23/06/2020 7:34 PM</t>
  </si>
  <si>
    <t>23/06/2020 7:11 PM</t>
  </si>
  <si>
    <t>03/07/2020 4:28 PM</t>
  </si>
  <si>
    <t>23/06/2020 7:07 PM</t>
  </si>
  <si>
    <t>01/07/2020 3:57 PM</t>
  </si>
  <si>
    <t>26/05/2020 12:16 PM</t>
  </si>
  <si>
    <t>01/07/2020 4:03 PM</t>
  </si>
  <si>
    <t>25/06/2020 2:05 PM</t>
  </si>
  <si>
    <t>24/06/2020 4:16 PM</t>
  </si>
  <si>
    <t>25/06/2020 2:34 PM</t>
  </si>
  <si>
    <t>29/06/2020 8:34 AM</t>
  </si>
  <si>
    <t>25/06/2020 1:57 PM</t>
  </si>
  <si>
    <t>01/07/2020 1:12 PM</t>
  </si>
  <si>
    <t>23/06/2020 2:54 PM</t>
  </si>
  <si>
    <t>29/06/2020 8:44 AM</t>
  </si>
  <si>
    <t>30/06/2020 3:22 PM</t>
  </si>
  <si>
    <t>30/06/2020 2:27 PM</t>
  </si>
  <si>
    <t>02/07/2020 11:25 AM</t>
  </si>
  <si>
    <t>14/06/2020 7:59 AM</t>
  </si>
  <si>
    <t>30/05/2020 2:16 PM</t>
  </si>
  <si>
    <t>03/07/2020 9:57 AM</t>
  </si>
  <si>
    <t>29/05/2020 4:05 PM</t>
  </si>
  <si>
    <t>30/06/2020 3:17 PM</t>
  </si>
  <si>
    <t>01/07/2020 11:31 AM</t>
  </si>
  <si>
    <t>02/07/2020 11:31 AM</t>
  </si>
  <si>
    <t>06/07/2020 5:23 PM</t>
  </si>
  <si>
    <t>30/06/2020 9:02 PM</t>
  </si>
  <si>
    <t>25/06/2020 2:09 PM</t>
  </si>
  <si>
    <t>03/07/2020 9:55 AM</t>
  </si>
  <si>
    <t>24/06/2020 4:23 PM</t>
  </si>
  <si>
    <t>25/06/2020 12:55 PM</t>
  </si>
  <si>
    <t>02/07/2020 3:11 PM</t>
  </si>
  <si>
    <t>24/06/2020 4:33 PM</t>
  </si>
  <si>
    <t>03/07/2020 5:48 PM</t>
  </si>
  <si>
    <t>03/07/2020 5:47 PM</t>
  </si>
  <si>
    <t>26/06/2020 8:46 PM</t>
  </si>
  <si>
    <t>01/07/2020 6:11 PM</t>
  </si>
  <si>
    <t>27/04/2020 12:00 AM</t>
  </si>
  <si>
    <t>03/07/2020 5:49 PM</t>
  </si>
  <si>
    <t>30/06/2020 12:00 PM</t>
  </si>
  <si>
    <t>30/06/2020 11:50 AM</t>
  </si>
  <si>
    <t>01/07/2020 2:22 PM</t>
  </si>
  <si>
    <t>02/07/2020 10:04 AM</t>
  </si>
  <si>
    <t>30/06/2020 4:26 PM</t>
  </si>
  <si>
    <t>30/06/2020 4:25 PM</t>
  </si>
  <si>
    <t>24/06/2020 4:04 PM</t>
  </si>
  <si>
    <t>01/07/2020 4:49 PM</t>
  </si>
  <si>
    <t>24/06/2020 2:53 PM</t>
  </si>
  <si>
    <t>29/06/2020 1:08 PM</t>
  </si>
  <si>
    <t>30/06/2020 2:20 PM</t>
  </si>
  <si>
    <t>01/07/2020 2:16 PM</t>
  </si>
  <si>
    <t>29/06/2020 6:22 PM</t>
  </si>
  <si>
    <t>23/06/2020 2:06 PM</t>
  </si>
  <si>
    <t>10/06/2020 4:39 PM</t>
  </si>
  <si>
    <t>23/06/2020 7:33 PM</t>
  </si>
  <si>
    <t>03/07/2020 9:51 AM</t>
  </si>
  <si>
    <t>06/07/2020 6:05 PM</t>
  </si>
  <si>
    <t>02/07/2020 11:14 PM</t>
  </si>
  <si>
    <t>23/06/2020 5:13 PM</t>
  </si>
  <si>
    <t>06/07/2020 6:09 PM</t>
  </si>
  <si>
    <t>30/06/2020 6:07 PM</t>
  </si>
  <si>
    <t>23/06/2020 3:53 PM</t>
  </si>
  <si>
    <t>16/06/2020 4:17 PM</t>
  </si>
  <si>
    <t>26/06/2020 2:05 PM</t>
  </si>
  <si>
    <t>26/06/2020 1:55 PM</t>
  </si>
  <si>
    <t>14/06/2020 12:00 AM</t>
  </si>
  <si>
    <t>04/07/2020 2:23 PM</t>
  </si>
  <si>
    <t>30/06/2020 8:40 AM</t>
  </si>
  <si>
    <t>24/06/2020 9:06 PM</t>
  </si>
  <si>
    <t>30/06/2020 12:21 PM</t>
  </si>
  <si>
    <t>06/07/2020 7:55 AM</t>
  </si>
  <si>
    <t>06/07/2020 7:53 AM</t>
  </si>
  <si>
    <t>06/07/2020 6:47 AM</t>
  </si>
  <si>
    <t>03/07/2020 9:34 AM</t>
  </si>
  <si>
    <t>23/06/2020 3:39 PM</t>
  </si>
  <si>
    <t>26/06/2020 6:18 PM</t>
  </si>
  <si>
    <t>02/07/2020 5:53 PM</t>
  </si>
  <si>
    <t>06/07/2020 5:34 PM</t>
  </si>
  <si>
    <t>22/06/2020 8:45 AM</t>
  </si>
  <si>
    <t>23/06/2020 5:07 PM</t>
  </si>
  <si>
    <t>22/06/2020 10:40 PM</t>
  </si>
  <si>
    <t>29/06/2020 11:02 AM</t>
  </si>
  <si>
    <t>29/06/2020 6:19 PM</t>
  </si>
  <si>
    <t>05/07/2020 10:20 PM</t>
  </si>
  <si>
    <t>29/06/2020 10:59 AM</t>
  </si>
  <si>
    <t>03/07/2020 5:36 PM</t>
  </si>
  <si>
    <t>06/07/2020 3:29 PM</t>
  </si>
  <si>
    <t>23/06/2020 5:23 PM</t>
  </si>
  <si>
    <t>29/06/2020 10:58 AM</t>
  </si>
  <si>
    <t>02/07/2020 4:02 PM</t>
  </si>
  <si>
    <t>02/07/2020 3:20 PM</t>
  </si>
  <si>
    <t>02/07/2020 9:04 AM</t>
  </si>
  <si>
    <t>29/06/2020 12:55 PM</t>
  </si>
  <si>
    <t>27/07/2020 9:00 AM</t>
  </si>
  <si>
    <t>09/07/2020 12:00 PM</t>
  </si>
  <si>
    <t>13/07/2020 1:00 AM</t>
  </si>
  <si>
    <t>22/07/2020 1:00 AM</t>
  </si>
  <si>
    <t>13/07/2020 10:00 AM</t>
  </si>
  <si>
    <t>30/07/2020 1:45 PM</t>
  </si>
  <si>
    <t>28/07/2020 8:00 AM</t>
  </si>
  <si>
    <t>27/07/2020 10:00 AM</t>
  </si>
  <si>
    <t>09/07/2020 9:00 AM</t>
  </si>
  <si>
    <t>29/07/2020 10:30 AM</t>
  </si>
  <si>
    <t>14/07/2020 1:30 PM</t>
  </si>
  <si>
    <t>27/07/2020 1:30 PM</t>
  </si>
  <si>
    <t>14/07/2020 1:00 PM</t>
  </si>
  <si>
    <t>16/07/2020 2:00 PM</t>
  </si>
  <si>
    <t>09/07/2020 5:00 PM</t>
  </si>
  <si>
    <t>28/07/2020 1:30 PM</t>
  </si>
  <si>
    <t>28/07/2020 2:00 PM</t>
  </si>
  <si>
    <t>13/07/2020 12:00 AM</t>
  </si>
  <si>
    <t>09/07/2020 11:00 AM</t>
  </si>
  <si>
    <t>09/07/2020 2:00 PM</t>
  </si>
  <si>
    <t>09/07/2020 11:45 AM</t>
  </si>
  <si>
    <t>09/07/2020 10:00 AM</t>
  </si>
  <si>
    <t>14/07/2020 10:00 AM</t>
  </si>
  <si>
    <t>14/07/2020 11:00 AM</t>
  </si>
  <si>
    <t>27/07/2020 11:00 AM</t>
  </si>
  <si>
    <t>28/07/2020 10:00 AM</t>
  </si>
  <si>
    <t>23/07/2020 2:00 PM</t>
  </si>
  <si>
    <t>14/07/2020 9:00 AM</t>
  </si>
  <si>
    <t>10/07/2020 9:00 AM</t>
  </si>
  <si>
    <t>14/07/2020 8:30 AM</t>
  </si>
  <si>
    <t>28/07/2020 8:30 AM</t>
  </si>
  <si>
    <t>09/07/2020 8:00 AM</t>
  </si>
  <si>
    <t>27/07/2020 2:00 PM</t>
  </si>
  <si>
    <t>10/07/2020 10:00 AM</t>
  </si>
  <si>
    <t>21/07/2020 1:00 PM</t>
  </si>
  <si>
    <t>28/07/2020 9:00 AM</t>
  </si>
  <si>
    <t>17/07/2020 2:00 PM</t>
  </si>
  <si>
    <t>08/07/2020 5:00 PM</t>
  </si>
  <si>
    <t>10/07/2020 1:00 AM</t>
  </si>
  <si>
    <t>20/07/2020 10:00 AM</t>
  </si>
  <si>
    <t>07/07/2020 10:00 AM</t>
  </si>
  <si>
    <t>13/07/2020 1:00 PM</t>
  </si>
  <si>
    <t>10/07/2020 8:00 AM</t>
  </si>
  <si>
    <t>09/07/2020 1:00 AM</t>
  </si>
  <si>
    <t>13/07/2020 5:00 PM</t>
  </si>
  <si>
    <t>22/07/2020 10:00 AM</t>
  </si>
  <si>
    <t>10/07/2020 3:00 PM</t>
  </si>
  <si>
    <t>13/07/2020 9:00 AM</t>
  </si>
  <si>
    <t>20/07/2020 1:00 PM</t>
  </si>
  <si>
    <t>27/07/2020 1:00 PM</t>
  </si>
  <si>
    <t>13/07/2020 2:30 PM</t>
  </si>
  <si>
    <t>08/07/2020 12:00 PM</t>
  </si>
  <si>
    <t>14/07/2020 5:00 PM</t>
  </si>
  <si>
    <t>15/07/2020 1:00 PM</t>
  </si>
  <si>
    <t>14/07/2020 9:45 AM</t>
  </si>
  <si>
    <t>10/07/2020 5:00 PM</t>
  </si>
  <si>
    <t>13/07/2020 2:00 PM</t>
  </si>
  <si>
    <t>08/07/2020 1:00 AM</t>
  </si>
  <si>
    <t>07/07/2020 1:00 AM</t>
  </si>
  <si>
    <t>13/07/2020 12:00 PM</t>
  </si>
  <si>
    <t>09/07/2020 1:00 PM</t>
  </si>
  <si>
    <t>09/07/2020 4:30 PM</t>
  </si>
  <si>
    <t>03/08/2020 10:00 AM</t>
  </si>
  <si>
    <t>27/07/2020 8:30 AM</t>
  </si>
  <si>
    <t>14/07/2020 9:30 AM</t>
  </si>
  <si>
    <t>07/07/2020 8:17 AM</t>
  </si>
  <si>
    <t>09/07/2020 3:00 PM</t>
  </si>
  <si>
    <t>10/07/2020 11:00 AM</t>
  </si>
  <si>
    <t>17/07/2020 3:00 PM</t>
  </si>
  <si>
    <t>16/07/2020 5:00 PM</t>
  </si>
  <si>
    <t>28/07/2020 1:00 PM</t>
  </si>
  <si>
    <t>28/07/2020 2:00 AM</t>
  </si>
  <si>
    <t>09/07/2020 1:10 AM</t>
  </si>
  <si>
    <t>15/07/2020 10:00 AM</t>
  </si>
  <si>
    <t>16/07/2020 11:00 AM</t>
  </si>
  <si>
    <t>24/07/2020 9:00 AM</t>
  </si>
  <si>
    <t>14/07/2020 2:00 PM</t>
  </si>
  <si>
    <t>15/07/2020 2:00 PM</t>
  </si>
  <si>
    <t>10/07/2020 12:12 PM</t>
  </si>
  <si>
    <t>17/07/2020 1:00 PM</t>
  </si>
  <si>
    <t>17/07/2020 1:00 AM</t>
  </si>
  <si>
    <t>21/07/2020 10:00 AM</t>
  </si>
  <si>
    <t>15/07/2020 2:30 PM</t>
  </si>
  <si>
    <t>10/07/2020 12:00 PM</t>
  </si>
  <si>
    <t>14/07/2020 12:00 PM</t>
  </si>
  <si>
    <t>17/07/2020 9:00 AM</t>
  </si>
  <si>
    <t>16/07/2020 9:00 AM</t>
  </si>
  <si>
    <t>14/07/2020 1:00 AM</t>
  </si>
  <si>
    <t>24/07/2020 1:00 PM</t>
  </si>
  <si>
    <t>08/07/2020 4:00 AM</t>
  </si>
  <si>
    <t>09/07/2020 8:30 AM</t>
  </si>
  <si>
    <t>15/07/2020 12:00 PM</t>
  </si>
  <si>
    <t>08/07/2020 8:30 AM</t>
  </si>
  <si>
    <t>10/07/2020 5:00 AM</t>
  </si>
  <si>
    <t>15/07/2020 5:00 PM</t>
  </si>
  <si>
    <t>31/07/2020 1:00 AM</t>
  </si>
  <si>
    <t>08/07/2020 10:00 AM</t>
  </si>
  <si>
    <t>28/07/2020 12:00 PM</t>
  </si>
  <si>
    <t>29/07/2020 2:00 PM</t>
  </si>
  <si>
    <t>24/07/2020 2:00 PM</t>
  </si>
  <si>
    <t>08/07/2020 9:00 AM</t>
  </si>
  <si>
    <t>09/07/2020 2:30 PM</t>
  </si>
  <si>
    <t>10/07/2020 4:00 PM</t>
  </si>
  <si>
    <t>15/07/2020 9:00 AM</t>
  </si>
  <si>
    <t>16/07/2020 1:00 AM</t>
  </si>
  <si>
    <t>09/07/2020 7:00 AM</t>
  </si>
  <si>
    <t>13/07/2020 8:00 PM</t>
  </si>
  <si>
    <t>27/07/2020 1:00 AM</t>
  </si>
  <si>
    <t>09/07/2020 8:00 PM</t>
  </si>
  <si>
    <t>27/07/2020 10:30 AM</t>
  </si>
  <si>
    <t>10/07/2020 1:00 PM</t>
  </si>
  <si>
    <t>08/07/2020 8:00 AM</t>
  </si>
  <si>
    <t>22/07/2020 2:00 PM</t>
  </si>
  <si>
    <t>31/07/2020 2:00 PM</t>
  </si>
  <si>
    <t>16/07/2020 10:00 AM</t>
  </si>
  <si>
    <t>08/07/2020 2:00 AM</t>
  </si>
  <si>
    <t>14/07/2020 3:00 PM</t>
  </si>
  <si>
    <t>24/07/2020 10:00 AM</t>
  </si>
  <si>
    <t>15/07/2020 1:30 PM</t>
  </si>
  <si>
    <t>21/07/2020 9:00 AM</t>
  </si>
  <si>
    <t>13/07/2020 3:00 PM</t>
  </si>
  <si>
    <t>09/07/2020 1:30 PM</t>
  </si>
  <si>
    <t>14/07/2020 5:00 AM</t>
  </si>
  <si>
    <t>17/07/2020 5:00 PM</t>
  </si>
  <si>
    <t>27/07/2020 3:00 PM</t>
  </si>
  <si>
    <t>13/07/2020 9:30 AM</t>
  </si>
  <si>
    <t>09/07/2020 4:00 PM</t>
  </si>
  <si>
    <t>13/07/2020 1:30 PM</t>
  </si>
  <si>
    <t>27/07/2020 12:00 PM</t>
  </si>
  <si>
    <t>10/07/2020 2:00 PM</t>
  </si>
  <si>
    <t>21/07/2020 2:00 PM</t>
  </si>
  <si>
    <t>09/07/2020 10:30 AM</t>
  </si>
  <si>
    <t>27/07/2020 8:00 AM</t>
  </si>
  <si>
    <t>09/07/2020 6:00 PM</t>
  </si>
  <si>
    <t>14/07/2020 8:00 AM</t>
  </si>
  <si>
    <t>27/07/2020 1:45 PM</t>
  </si>
  <si>
    <t>20/07/2020 8:00 AM</t>
  </si>
  <si>
    <t>27/07/2020 5:00 PM</t>
  </si>
  <si>
    <t>20/07/2020 2:00 PM</t>
  </si>
  <si>
    <t>13/07/2020 8:00 AM</t>
  </si>
  <si>
    <t>24/07/2020 8:00 AM</t>
  </si>
  <si>
    <t>13/07/2020 11:00 AM</t>
  </si>
  <si>
    <t>28/07/2020 9:45 AM</t>
  </si>
  <si>
    <t>15/07/2020 1:00 AM</t>
  </si>
  <si>
    <t>28/07/2020 8:45 AM</t>
  </si>
  <si>
    <t>07/07/2020 9:30 AM</t>
  </si>
  <si>
    <t>09/07/2020 5:00 AM</t>
  </si>
  <si>
    <t>13/07/2020 1:15 PM</t>
  </si>
  <si>
    <t>20/07/2020 1:00 AM</t>
  </si>
  <si>
    <t>08/07/2020 3:00 PM</t>
  </si>
  <si>
    <t>27/07/2020 9:30 AM</t>
  </si>
  <si>
    <t>22/07/2020 9:00 AM</t>
  </si>
  <si>
    <t>23/07/2020 5:00 PM</t>
  </si>
  <si>
    <t>17/07/2020 10:00 AM</t>
  </si>
  <si>
    <t>29/07/2020 9:00 AM</t>
  </si>
  <si>
    <t>08/07/2020 2:00 PM</t>
  </si>
  <si>
    <t>17/07/2020 12:00 PM</t>
  </si>
  <si>
    <t>20/07/2020 3:00 PM</t>
  </si>
  <si>
    <t>28/07/2020 9:30 AM</t>
  </si>
  <si>
    <t>08/07/2020 5:00 AM</t>
  </si>
  <si>
    <t>07/07/2020 5:00 PM</t>
  </si>
  <si>
    <t>14/07/2020 12:00 AM</t>
  </si>
  <si>
    <t>13/07/2020 4:00 PM</t>
  </si>
  <si>
    <t>08/07/2020 11:30 AM</t>
  </si>
  <si>
    <t>08/07/2020 1:00 PM</t>
  </si>
  <si>
    <t>23/07/2020 10:00 AM</t>
  </si>
  <si>
    <t>07/07/2020 8:00 AM</t>
  </si>
  <si>
    <t>07/07/2020 9:00 AM</t>
  </si>
  <si>
    <t>13/07/2020 11:15 AM</t>
  </si>
  <si>
    <t>13/07/2020 10:52 AM</t>
  </si>
  <si>
    <t>13/07/2020 10:30 AM</t>
  </si>
  <si>
    <t>13/07/2020 10:20 AM</t>
  </si>
  <si>
    <t>13/07/2020 9:55 AM</t>
  </si>
  <si>
    <t>13/07/2020 9:25 AM</t>
  </si>
  <si>
    <t>13/07/2020 9:35 AM</t>
  </si>
  <si>
    <t>13/07/2020 11:28 AM</t>
  </si>
  <si>
    <t>20/07/2020 5:00 PM</t>
  </si>
  <si>
    <t>13/07/2020 9:15 AM</t>
  </si>
  <si>
    <t>13/07/2020 10:05 AM</t>
  </si>
  <si>
    <t>07/07/2020 2:00 PM</t>
  </si>
  <si>
    <t>13/07/2020 9:45 AM</t>
  </si>
  <si>
    <t>13/07/2020 10:40 AM</t>
  </si>
  <si>
    <t>07/07/2020 11:00 AM</t>
  </si>
  <si>
    <t>28/07/2020 9:29 AM</t>
  </si>
  <si>
    <t>08/07/2020 10:30 AM</t>
  </si>
  <si>
    <t>07/07/2020 12:00 PM</t>
  </si>
  <si>
    <t>07/07/2020 11:30 AM</t>
  </si>
  <si>
    <t>07/07/2020 3:00 PM</t>
  </si>
  <si>
    <t>07/07/2020 10:30 AM</t>
  </si>
  <si>
    <t>09/07/2020 1:03 PM</t>
  </si>
  <si>
    <t>07/07/2020 1:08 AM</t>
  </si>
  <si>
    <t>07/07/2020 6:00 AM</t>
  </si>
  <si>
    <t>24/07/2020 9:30 AM</t>
  </si>
  <si>
    <t>07/07/2020 1:00 PM</t>
  </si>
  <si>
    <t>08/07/2020 7:00 AM</t>
  </si>
  <si>
    <t>07/07/2020 7:00 PM</t>
  </si>
  <si>
    <t>20/07/2020 9:00 AM</t>
  </si>
  <si>
    <t>23/07/2020 1:00 AM</t>
  </si>
  <si>
    <t>08/07/2020 8:15 AM</t>
  </si>
  <si>
    <t>03/08/2020 10:30 AM</t>
  </si>
  <si>
    <t>22/07/2020 5:00 PM</t>
  </si>
  <si>
    <t>08/07/2020 9:10 AM</t>
  </si>
  <si>
    <t>10/07/2020 1:30 PM</t>
  </si>
  <si>
    <t>10/07/2020 10:30 AM</t>
  </si>
  <si>
    <t>07/08/2020 2:00 PM</t>
  </si>
  <si>
    <t>08/07/2020 11:00 AM</t>
  </si>
  <si>
    <t>07/07/2020 8:05 AM</t>
  </si>
  <si>
    <t>07/08/2020 2:00 AM</t>
  </si>
  <si>
    <t>30/07/2020 1:30 PM</t>
  </si>
  <si>
    <t>07/08/2020 1:00 PM</t>
  </si>
  <si>
    <t>07/07/2020 5:00 AM</t>
  </si>
  <si>
    <t>07/07/2020 4:00 PM</t>
  </si>
  <si>
    <t>23/07/2020 11:00 AM</t>
  </si>
  <si>
    <t>07/08/2020 1:00 AM</t>
  </si>
  <si>
    <t>30/07/2020 9:00 AM</t>
  </si>
  <si>
    <t>23/07/2020 1:00 PM</t>
  </si>
  <si>
    <t>07/07/2020 7:00 AM</t>
  </si>
  <si>
    <t>08/07/2020 4:00 PM</t>
  </si>
  <si>
    <t>07/07/2020 5:30 PM</t>
  </si>
  <si>
    <t>23/07/2020 3:00 PM</t>
  </si>
  <si>
    <t>08/07/2020 9:15 AM</t>
  </si>
  <si>
    <t>28/07/2020 10:30 AM</t>
  </si>
  <si>
    <t>07/07/2020 4:00 AM</t>
  </si>
  <si>
    <t>31/07/2020 9:00 AM</t>
  </si>
  <si>
    <t>29/07/2020 10:00 AM</t>
  </si>
  <si>
    <t>04/08/2020 1:30 PM</t>
  </si>
  <si>
    <t>28/07/2020 1:00 AM</t>
  </si>
  <si>
    <t>30/07/2020 10:00 AM</t>
  </si>
  <si>
    <t>22/07/2020 1:00 PM</t>
  </si>
  <si>
    <t>24/07/2020 1:30 PM</t>
  </si>
  <si>
    <t>31/07/2020 11:00 AM</t>
  </si>
  <si>
    <t>31/07/2020 1:00 PM</t>
  </si>
  <si>
    <t>08/07/2020 1:04 PM</t>
  </si>
  <si>
    <t>10/07/2020 10:15 AM</t>
  </si>
  <si>
    <t>29/07/2020 12:30 PM</t>
  </si>
  <si>
    <t>20/07/2020 11:00 PM</t>
  </si>
  <si>
    <t>10/07/2020 11:30 AM</t>
  </si>
  <si>
    <t>10/07/2020 10:45 AM</t>
  </si>
  <si>
    <t>10/07/2020 1:03 PM</t>
  </si>
  <si>
    <t>20/07/2020 11:30 AM</t>
  </si>
  <si>
    <t>24/07/2020 1:00 AM</t>
  </si>
  <si>
    <t>16/07/2020 3:00 PM</t>
  </si>
  <si>
    <t>10/07/2020 10:10 AM</t>
  </si>
  <si>
    <t>08/07/2020 9:20 AM</t>
  </si>
  <si>
    <t>20/07/2020 10:30 AM</t>
  </si>
  <si>
    <t>20/07/2020 1:30 PM</t>
  </si>
  <si>
    <t>28/07/2020 2:30 PM</t>
  </si>
  <si>
    <t>30/07/2020 2:00 PM</t>
  </si>
  <si>
    <t>16/07/2020 1:00 PM</t>
  </si>
  <si>
    <t>17/07/2020 8:00 AM</t>
  </si>
  <si>
    <t>14/07/2020 10:15 AM</t>
  </si>
  <si>
    <t>27/07/2020 12:55 PM</t>
  </si>
  <si>
    <t>08/07/2020 12:55 PM</t>
  </si>
  <si>
    <t>03/08/2020 2:00 PM</t>
  </si>
  <si>
    <t>13/07/2020 11:41 AM</t>
  </si>
  <si>
    <t>07/07/2020 6:00 PM</t>
  </si>
  <si>
    <t>07/07/2020 9:15 AM</t>
  </si>
  <si>
    <t>23/07/2020 9:00 AM</t>
  </si>
  <si>
    <t>03/08/2020 1:00 AM</t>
  </si>
  <si>
    <t>23/07/2020 9:30 AM</t>
  </si>
  <si>
    <t>27/07/2020 10:20 AM</t>
  </si>
  <si>
    <t>27/07/2020 10:10 AM</t>
  </si>
  <si>
    <t>27/07/2020 4:00 PM</t>
  </si>
  <si>
    <t>27/07/2020 10:40 AM</t>
  </si>
  <si>
    <t>23/07/2020 1:30 PM</t>
  </si>
  <si>
    <t>10/07/2020 12:00 AM</t>
  </si>
  <si>
    <t>09/07/2020 9:30 AM</t>
  </si>
  <si>
    <t>21/07/2020 10:30 AM</t>
  </si>
  <si>
    <t>22/07/2020 9:30 AM</t>
  </si>
  <si>
    <t>10/07/2020 9:00 PM</t>
  </si>
  <si>
    <t>13/07/2020 5:00 AM</t>
  </si>
  <si>
    <t>23/07/2020 12:00 PM</t>
  </si>
  <si>
    <t>08/07/2020 1:30 PM</t>
  </si>
  <si>
    <t>10/07/2020 1:08 AM</t>
  </si>
  <si>
    <t>24/07/2020 5:00 PM</t>
  </si>
  <si>
    <t>27/07/2020 10:50 AM</t>
  </si>
  <si>
    <t>20/07/2020 11:00 AM</t>
  </si>
  <si>
    <t>08/07/2020 2:07 PM</t>
  </si>
  <si>
    <t>23/07/2020 10:30 AM</t>
  </si>
  <si>
    <t>13/07/2020 8:30 AM</t>
  </si>
  <si>
    <t>14/07/2020 12:01 AM</t>
  </si>
  <si>
    <t>22/07/2020 3:00 PM</t>
  </si>
  <si>
    <t>10/07/2020 8:30 AM</t>
  </si>
  <si>
    <t>08/07/2020 4:30 PM</t>
  </si>
  <si>
    <t>08/07/2020 4:04 PM</t>
  </si>
  <si>
    <t>07/07/2020 4:30 PM</t>
  </si>
  <si>
    <t>24/07/2020 11:00 AM</t>
  </si>
  <si>
    <t>10/07/2020 9:08 AM</t>
  </si>
  <si>
    <t>07/07/2020 8:30 AM</t>
  </si>
  <si>
    <t>22/07/2020 8:00 AM</t>
  </si>
  <si>
    <t>10/07/2020 8:08 AM</t>
  </si>
  <si>
    <t>16/07/2020 12:00 PM</t>
  </si>
  <si>
    <t>07/07/2020 1:30 PM</t>
  </si>
  <si>
    <t>10/07/2020 9:30 AM</t>
  </si>
  <si>
    <t>24/07/2020 1:45 PM</t>
  </si>
  <si>
    <t>07/07/2020 1:30 AM</t>
  </si>
  <si>
    <t>21/07/2020 3:30 PM</t>
  </si>
  <si>
    <t>10/07/2020 1:59 PM</t>
  </si>
  <si>
    <t>09/07/2020 12:00 AM</t>
  </si>
  <si>
    <t>10/07/2020 8:05 AM</t>
  </si>
  <si>
    <t>03/08/2020 9:30 AM</t>
  </si>
  <si>
    <t>10/07/2020 7:00 AM</t>
  </si>
  <si>
    <t>23/07/2020 2:30 PM</t>
  </si>
  <si>
    <t>23/07/2020 9:25 AM</t>
  </si>
  <si>
    <t>23/07/2020 10:15 AM</t>
  </si>
  <si>
    <t>27/07/2020 1:30 AM</t>
  </si>
  <si>
    <t>15/07/2020 12:00 AM</t>
  </si>
  <si>
    <t>24/07/2020 12:00 PM</t>
  </si>
  <si>
    <t>22/07/2020 8:30 AM</t>
  </si>
  <si>
    <t>14/08/2020 10:00 AM</t>
  </si>
  <si>
    <t>09/07/2020 1:02 PM</t>
  </si>
  <si>
    <t>24/07/2020 10:30 AM</t>
  </si>
  <si>
    <t>07/07/2020 1:59 PM</t>
  </si>
  <si>
    <t>10/07/2020 1:01 PM</t>
  </si>
  <si>
    <t>22/07/2020 9:45 AM</t>
  </si>
  <si>
    <t>08/07/2020 9:00 PM</t>
  </si>
  <si>
    <t>20/07/2020 8:30 AM</t>
  </si>
  <si>
    <t>10/08/2020 1:30 PM</t>
  </si>
  <si>
    <t>17/07/2020 1:59 PM</t>
  </si>
  <si>
    <t>22/07/2020 12:00 PM</t>
  </si>
  <si>
    <t>29/07/2020 1:00 PM</t>
  </si>
  <si>
    <t>07/07/2020 2:00 AM</t>
  </si>
  <si>
    <t>22/07/2020 10:30 AM</t>
  </si>
  <si>
    <t>21/07/2020 9:30 AM</t>
  </si>
  <si>
    <t>13/07/2020 2:00 AM</t>
  </si>
  <si>
    <t>17/07/2020 11:00 AM</t>
  </si>
  <si>
    <t>22/07/2020 11:00 AM</t>
  </si>
  <si>
    <t>17/07/2020 9:30 AM</t>
  </si>
  <si>
    <t>21/07/2020 1:30 PM</t>
  </si>
  <si>
    <t>21/07/2020 8:30 AM</t>
  </si>
  <si>
    <t>21/07/2020 11:00 AM</t>
  </si>
  <si>
    <t>16/07/2020 8:00 AM</t>
  </si>
  <si>
    <t>21/07/2020 1:00 AM</t>
  </si>
  <si>
    <t>15/07/2020 11:00 AM</t>
  </si>
  <si>
    <t>08/07/2020 1:08 AM</t>
  </si>
  <si>
    <t>15/07/2020 8:00 AM</t>
  </si>
  <si>
    <t>21/07/2020 2:00 AM</t>
  </si>
  <si>
    <t>21/07/2020 9:15 AM</t>
  </si>
  <si>
    <t>23/07/2020 8:00 AM</t>
  </si>
  <si>
    <t>07/07/2020 5:05 PM</t>
  </si>
  <si>
    <t>21/07/2020 10:15 AM</t>
  </si>
  <si>
    <t>31/07/2020 5:00 PM</t>
  </si>
  <si>
    <t>09/07/2020 1:12 PM</t>
  </si>
  <si>
    <t>21/07/2020 12:00 PM</t>
  </si>
  <si>
    <t>22/07/2020 1:30 PM</t>
  </si>
  <si>
    <t>16/07/2020 9:45 AM</t>
  </si>
  <si>
    <t>07/07/2020 8:05 PM</t>
  </si>
  <si>
    <t>16/07/2020 10:30 AM</t>
  </si>
  <si>
    <t>22/07/2020 11:30 AM</t>
  </si>
  <si>
    <t>27/07/2020 8:50 AM</t>
  </si>
  <si>
    <t>27/07/2020 9:50 AM</t>
  </si>
  <si>
    <t>16/07/2020 9:30 AM</t>
  </si>
  <si>
    <t>08/07/2020 11:00 PM</t>
  </si>
  <si>
    <t>07/07/2020 10:01 AM</t>
  </si>
  <si>
    <t>11/08/2020 10:00 AM</t>
  </si>
  <si>
    <t>22/07/2020 2:15 PM</t>
  </si>
  <si>
    <t>10/07/2020 1:31 PM</t>
  </si>
  <si>
    <t>22/07/2020 11:59 PM</t>
  </si>
  <si>
    <t>08/07/2020 3:00 AM</t>
  </si>
  <si>
    <t>22/07/2020 7:00 AM</t>
  </si>
  <si>
    <t>15/07/2020 11:30 AM</t>
  </si>
  <si>
    <t>21/07/2020 5:00 PM</t>
  </si>
  <si>
    <t>09/07/2020 10:00 PM</t>
  </si>
  <si>
    <t>23/07/2020 1:15 PM</t>
  </si>
  <si>
    <t>04/08/2020 10:00 AM</t>
  </si>
  <si>
    <t>15/07/2020 3:00 PM</t>
  </si>
  <si>
    <t>14/07/2020 2:30 PM</t>
  </si>
  <si>
    <t>16/07/2020 1:30 PM</t>
  </si>
  <si>
    <t>18/08/2020 8:00 AM</t>
  </si>
  <si>
    <t>21/07/2020 5:00 AM</t>
  </si>
  <si>
    <t>08/07/2020 9:30 AM</t>
  </si>
  <si>
    <t>21/07/2020 8:00 AM</t>
  </si>
  <si>
    <t>20/07/2020 12:00 PM</t>
  </si>
  <si>
    <t>08/07/2020 1:05 PM</t>
  </si>
  <si>
    <t>08/07/2020 12:00 AM</t>
  </si>
  <si>
    <t>20/07/2020 10:15 AM</t>
  </si>
  <si>
    <t>20/07/2020 4:00 PM</t>
  </si>
  <si>
    <t>17/07/2020 1:30 PM</t>
  </si>
  <si>
    <t>27/07/2020 5:00 AM</t>
  </si>
  <si>
    <t>22/07/2020 2:30 PM</t>
  </si>
  <si>
    <t>08/07/2020 2:30 PM</t>
  </si>
  <si>
    <t>08/07/2020 6:00 AM</t>
  </si>
  <si>
    <t>09/07/2020 11:30 AM</t>
  </si>
  <si>
    <t>22/07/2020 3:30 PM</t>
  </si>
  <si>
    <t>21/07/2020 1:59 PM</t>
  </si>
  <si>
    <t>07/07/2020 12:12 PM</t>
  </si>
  <si>
    <t>21/07/2020 11:30 AM</t>
  </si>
  <si>
    <t>21/07/2020 3:00 PM</t>
  </si>
  <si>
    <t>31/07/2020 9:09 AM</t>
  </si>
  <si>
    <t>21/07/2020 8:59 AM</t>
  </si>
  <si>
    <t>21/07/2020 9:59 AM</t>
  </si>
  <si>
    <t>14/07/2020 4:00 PM</t>
  </si>
  <si>
    <t>05/08/2020 12:00 PM</t>
  </si>
  <si>
    <t>21/07/2020 10:59 AM</t>
  </si>
  <si>
    <t>17/07/2020 8:59 AM</t>
  </si>
  <si>
    <t>28/07/2020 12:30 PM</t>
  </si>
  <si>
    <t>10/07/2020 12:01 AM</t>
  </si>
  <si>
    <t>21/07/2020 4:00 PM</t>
  </si>
  <si>
    <t>04/08/2020 9:00 AM</t>
  </si>
  <si>
    <t>08/07/2020 1:20 PM</t>
  </si>
  <si>
    <t>08/07/2020 12:59 PM</t>
  </si>
  <si>
    <t>07/07/2020 2:30 PM</t>
  </si>
  <si>
    <t>08/07/2020 1:59 PM</t>
  </si>
  <si>
    <t>07/07/2020 11:20 AM</t>
  </si>
  <si>
    <t>20/07/2020 8:15 AM</t>
  </si>
  <si>
    <t>09/07/2020 2:00 AM</t>
  </si>
  <si>
    <t>20/07/2020 2:00 AM</t>
  </si>
  <si>
    <t>17/07/2020 4:00 PM</t>
  </si>
  <si>
    <t>31/07/2020 10:00 AM</t>
  </si>
  <si>
    <t>10/07/2020 2:30 PM</t>
  </si>
  <si>
    <t>08/07/2020 10:40 AM</t>
  </si>
  <si>
    <t>07/07/2020 9:45 AM</t>
  </si>
  <si>
    <t>21/07/2020 1:45 PM</t>
  </si>
  <si>
    <t>20/07/2020 5:00 AM</t>
  </si>
  <si>
    <t>08/07/2020 9:08 AM</t>
  </si>
  <si>
    <t>20/07/2020 1:12 PM</t>
  </si>
  <si>
    <t>20/07/2020 9:30 AM</t>
  </si>
  <si>
    <t>14/07/2020 11:00 PM</t>
  </si>
  <si>
    <t>14/07/2020 7:00 AM</t>
  </si>
  <si>
    <t>18/08/2020 9:00 AM</t>
  </si>
  <si>
    <t>07/07/2020 12:59 PM</t>
  </si>
  <si>
    <t>17/07/2020 5:00 AM</t>
  </si>
  <si>
    <t>20/07/2020 2:05 PM</t>
  </si>
  <si>
    <t>08/07/2020 10:20 AM</t>
  </si>
  <si>
    <t>24/07/2020 3:00 PM</t>
  </si>
  <si>
    <t>13/07/2020 11:30 AM</t>
  </si>
  <si>
    <t>21/07/2020 12:00 AM</t>
  </si>
  <si>
    <t>21/07/2020 9:50 AM</t>
  </si>
  <si>
    <t>21/07/2020 12:30 PM</t>
  </si>
  <si>
    <t>24/07/2020 2:30 PM</t>
  </si>
  <si>
    <t>21/07/2020 2:30 PM</t>
  </si>
  <si>
    <t>20/07/2020 12:30 PM</t>
  </si>
  <si>
    <t>07/07/2020 11:15 AM</t>
  </si>
  <si>
    <t>07/07/2020 10:15 AM</t>
  </si>
  <si>
    <t>07/07/2020 1:15 PM</t>
  </si>
  <si>
    <t>07/07/2020 2:15 PM</t>
  </si>
  <si>
    <t>09/07/2020 11:59 PM</t>
  </si>
  <si>
    <t>20/07/2020 8:30 PM</t>
  </si>
  <si>
    <t>16/07/2020 8:30 AM</t>
  </si>
  <si>
    <t>20/07/2020 9:59 AM</t>
  </si>
  <si>
    <t>28/07/2020 5:00 PM</t>
  </si>
  <si>
    <t>19/08/2020 3:00 PM</t>
  </si>
  <si>
    <t>17/07/2020 6:00 AM</t>
  </si>
  <si>
    <t>16/07/2020 7:00 AM</t>
  </si>
  <si>
    <t>20/07/2020 2:30 PM</t>
  </si>
  <si>
    <t>15/07/2020 2:01 PM</t>
  </si>
  <si>
    <t>20/07/2020 9:25 AM</t>
  </si>
  <si>
    <t>17/07/2020 8:30 AM</t>
  </si>
  <si>
    <t>16/07/2020 8:59 AM</t>
  </si>
  <si>
    <t>16/07/2020 12:59 PM</t>
  </si>
  <si>
    <t>16/07/2020 2:29 PM</t>
  </si>
  <si>
    <t>16/07/2020 9:25 AM</t>
  </si>
  <si>
    <t>15/07/2020 9:30 AM</t>
  </si>
  <si>
    <t>16/07/2020 1:25 PM</t>
  </si>
  <si>
    <t>06/08/2020 3:00 PM</t>
  </si>
  <si>
    <t>20/07/2020 1:15 PM</t>
  </si>
  <si>
    <t>15/07/2020 1:01 AM</t>
  </si>
  <si>
    <t>29/07/2020 8:00 AM</t>
  </si>
  <si>
    <t>14/07/2020 1:45 PM</t>
  </si>
  <si>
    <t>13/07/2020 6:00 AM</t>
  </si>
  <si>
    <t>13/07/2020 7:00 AM</t>
  </si>
  <si>
    <t>15/07/2020 9:50 AM</t>
  </si>
  <si>
    <t>14/07/2020 10:30 AM</t>
  </si>
  <si>
    <t>06/08/2020 1:15 PM</t>
  </si>
  <si>
    <t>15/07/2020 8:30 AM</t>
  </si>
  <si>
    <t>13/07/2020 10:00 PM</t>
  </si>
  <si>
    <t>15/07/2020 10:30 AM</t>
  </si>
  <si>
    <t>14/07/2020 8:15 AM</t>
  </si>
  <si>
    <t>14/07/2020 9:15 AM</t>
  </si>
  <si>
    <t>14/07/2020 9:25 AM</t>
  </si>
  <si>
    <t>13/07/2020 2:15 PM</t>
  </si>
  <si>
    <t>10/07/2020 2:02 PM</t>
  </si>
  <si>
    <t>10/08/2020 2:00 PM</t>
  </si>
  <si>
    <t>10/07/2020 11:59 PM</t>
  </si>
  <si>
    <t>28/07/2020 11:00 AM</t>
  </si>
  <si>
    <t>14/07/2020 1:59 PM</t>
  </si>
  <si>
    <t>14/07/2020 8:59 AM</t>
  </si>
  <si>
    <t>14/07/2020 3:30 PM</t>
  </si>
  <si>
    <t>14/07/2020 8:01 AM</t>
  </si>
  <si>
    <t>13/07/2020 5:05 PM</t>
  </si>
  <si>
    <t>08/07/2020 1:32 PM</t>
  </si>
  <si>
    <t>13/07/2020 3:30 PM</t>
  </si>
  <si>
    <t>14/07/2020 9:01 AM</t>
  </si>
  <si>
    <t>13/07/2020 2:01 PM</t>
  </si>
  <si>
    <t>17/07/2020 10:00 PM</t>
  </si>
  <si>
    <t>29/07/2020 12:00 PM</t>
  </si>
  <si>
    <t>07/07/2020 3:30 PM</t>
  </si>
  <si>
    <t>06/08/2020 10:00 AM</t>
  </si>
  <si>
    <t>13/07/2020 8:59 AM</t>
  </si>
  <si>
    <t>10/07/2020 9:15 AM</t>
  </si>
  <si>
    <t>07/07/2020 3:30 AM</t>
  </si>
  <si>
    <t>09/07/2020 10:01 AM</t>
  </si>
  <si>
    <t>16/07/2020 10:00 PM</t>
  </si>
  <si>
    <t>08/07/2020 9:50 AM</t>
  </si>
  <si>
    <t>04/08/2020 8:00 AM</t>
  </si>
  <si>
    <t>13/07/2020 1:45 PM</t>
  </si>
  <si>
    <t>08/07/2020 8:59 AM</t>
  </si>
  <si>
    <t>07/07/2020 10:00 PM</t>
  </si>
  <si>
    <t>07/07/2020 11:45 AM</t>
  </si>
  <si>
    <t>14/07/2020 2:10 PM</t>
  </si>
  <si>
    <t>07/07/2020 9:25 AM</t>
  </si>
  <si>
    <t>07/07/2020 8:15 AM</t>
  </si>
  <si>
    <t>30/07/2020 1:00 PM</t>
  </si>
  <si>
    <t>30/07/2020 10:30 AM</t>
  </si>
  <si>
    <t>30/07/2020 9:30 AM</t>
  </si>
  <si>
    <t>10/07/2020 8:59 AM</t>
  </si>
  <si>
    <t>16/07/2020 12:30 PM</t>
  </si>
  <si>
    <t>08/07/2020 12:30 PM</t>
  </si>
  <si>
    <t>13/07/2020 11:10 AM</t>
  </si>
  <si>
    <t>08/07/2020 10:10 AM</t>
  </si>
  <si>
    <t>03/08/2020 1:30 PM</t>
  </si>
  <si>
    <t>07/07/2020 11:00 PM</t>
  </si>
  <si>
    <t>23/07/2020 12:30 PM</t>
  </si>
  <si>
    <t>17/07/2020 12:30 PM</t>
  </si>
  <si>
    <t>17/07/2020 10:30 AM</t>
  </si>
  <si>
    <t>29/07/2020 9:30 AM</t>
  </si>
  <si>
    <t>17/07/2020 2:30 PM</t>
  </si>
  <si>
    <t>08/07/2020 6:00 PM</t>
  </si>
  <si>
    <t>28/07/2020 3:00 PM</t>
  </si>
  <si>
    <t>03/08/2020 9:00 AM</t>
  </si>
  <si>
    <t>01/07/2021 9:00 AM</t>
  </si>
  <si>
    <t>23/09/2020 1:00 AM</t>
  </si>
  <si>
    <t>31/12/2020 1:00 AM</t>
  </si>
  <si>
    <t>24/08/2020 12:00 PM</t>
  </si>
  <si>
    <t>28/08/2020 10:00 AM</t>
  </si>
  <si>
    <t>05/10/2020 9:30 AM</t>
  </si>
  <si>
    <t>14/07/2020 11:30 AM</t>
  </si>
  <si>
    <t>12/08/2020 9:30 AM</t>
  </si>
  <si>
    <t>13/08/2020 9:30 AM</t>
  </si>
  <si>
    <t>01/09/2020 9:00 AM</t>
  </si>
  <si>
    <t>31/07/2020 5:00 AM</t>
  </si>
  <si>
    <t>13/07/2020 1:05 PM</t>
  </si>
  <si>
    <t>08/07/2020 1:15 PM</t>
  </si>
  <si>
    <t>31/12/2020 9:00 AM</t>
  </si>
  <si>
    <t>21/01/2021 10:00 AM</t>
  </si>
  <si>
    <t>07/10/2020 10:00 AM</t>
  </si>
  <si>
    <t>07/07/2020 8:59 AM</t>
  </si>
  <si>
    <t>09/07/2020 1:59 PM</t>
  </si>
  <si>
    <t xml:space="preserve"> Two-Storey Agriculture Innovation Center for Agri-Fishery-Livestock</t>
  </si>
  <si>
    <t xml:space="preserve"> 32	reams	Bond Paper A4 35	reams	Bond paper long 72	pcs	Ordinary Ballpen black 2	box	good quality ballpen 5	box	pencil#2 5	box	sign pen black 0.5 1	ream	folder long 12	pad	RER form 15	pad	DTR form 10	pad	yellow pad paper 12	pcs	Record book 300pages 5	pc 	R</t>
  </si>
  <si>
    <t xml:space="preserve"> Office Supplies</t>
  </si>
  <si>
    <t xml:space="preserve"> Materials 7 pcs 12 mm dia. RSB 185 pcs 10 mm dia. RSB 15 kgs # 16 tie wire 8 kgs hacksaw 28 pcs 1/4/x/4/x/8 Ordinary Plywood ( two uses ) 650 bdft. Coco lumber for forms ( 2" x 3" x 12") 15 kgs Common wire nails 25 kgs # 16 tie wire 112 bags portland ceme</t>
  </si>
  <si>
    <t xml:space="preserve"> Construction of Toilet Facilities and Water Facilities</t>
  </si>
  <si>
    <t xml:space="preserve"> Republic of the Philippines Cordillera Administrative Region PROVINCIAL GOVERNMENT OF ABRA Bangued Invitation to Bid for  UPGRADING OF SAN JUAN - TINEG ROAD 1.	The Provincial Government of Abra, through the Government of the Philippines funded under the C</t>
  </si>
  <si>
    <t xml:space="preserve"> Please see attached file for your reference.</t>
  </si>
  <si>
    <t xml:space="preserve"> One-Storey Laboratory Building for Tissue Culture.</t>
  </si>
  <si>
    <t xml:space="preserve"> I.	OFFICE SUPPLIES NOT AVAILABLE AT PS-DBM 1)		2	set	Admin Printer Ink	-	Ink to be used for CGIDS Brother Printer for their admin and operational usage. -	Item: BT-500 B/Y/M/C 2)		2	bottles	Admin Printer Ink	-	Ink to be used for CGIDS Brother Printer for </t>
  </si>
  <si>
    <t xml:space="preserve"> Republic of the Philippines Cordillera Administrative Region PROVINCIAL GOVERNMENT OF ABRA Bangued Invitation to Bid for  UPGRADING OF PASOIC – LICUAN-BAAY ROAD 1.	The Provincial Government of Abra, through the Government of the Philippines funded under t</t>
  </si>
  <si>
    <t xml:space="preserve"> INVITATION TO BID FOR 24-HOUR SECURITY SERVICE FOR INTER-COUNTRY ADOPTION BOARD 1.	The Inter-Country Adoption Board (ICAB), through the GOP-2020 intends to apply the sum of 2,500,000.00 (Two Million, Five Hundred Thousand, Pesos Only VAT Inclusive) being </t>
  </si>
  <si>
    <t xml:space="preserve"> Republic of the Philippines CITY OF BAIS BIDS AND AWARDS COMMITTEE NOTICE FOR NEGOTIATED PROCUREMENT (53.1) In view of the failure of the second bidding scheduled last June 23, 2020, the Bids and Awards Committee (BAC) passed Resolution No. 34 series of 2</t>
  </si>
  <si>
    <t xml:space="preserve"> Upgrading of Radio Tower (with provision of Equipment)</t>
  </si>
  <si>
    <t xml:space="preserve"> 1.	In view of the Two (2) failed biddings, the Municipality of Caraga  through its Bids and Awards Committee, invites interested bidders to participate in the negotiation for the Construction of Multi-Purpose Day Hall Center at Sitio Tagbanahaw, PM Sobrec</t>
  </si>
  <si>
    <t xml:space="preserve"> Repair/Rehabilitation of Pathway</t>
  </si>
  <si>
    <t xml:space="preserve"> 1.	The Local Government Unit of Tubigon, Bohol, through the budget for the contract approved by the Sangguniang Bayan (Special Education Fund) intends to apply the sum of Five Hundred Thirty-One Thousand One Hundred Ninety Pesos (P531,190.00) being the Ap</t>
  </si>
  <si>
    <t xml:space="preserve"> SEE ATTACHED TERMS OF REFERENCE</t>
  </si>
  <si>
    <t xml:space="preserve"> Republic of the Philippines CITY OF BAIS BIDS AND AWARDS COMMITTEE INVITATION TO APPLY FOR ELIGIBILITY AND TO BID 	The City Government of Bais invites interested bidders to apply for eligibility and to bid for use in Waste Management and Environmental San</t>
  </si>
  <si>
    <t xml:space="preserve"> Republic of the Philippines PROVINCE OF NUEVA VIZCAYA Municipality of Aritao BIDS AND AWARDS COMMITTEE ITB-STREET LIGHTS-20-07-01 INVITATION TO BID FOR SOLAR POWERED / STREET LIGHTS INSTALLATION IN ALL ACCIDENT PRONE AREAS At Municipalwide, Aritao, Nueva </t>
  </si>
  <si>
    <t xml:space="preserve"> LOT  2				 1	kgs.	6.5	4” CWN		 2	kgs.	14	2 1/2" CWN		 3	kg.	0.1	Nylon string for layout		 4	lgths.	58	12mmø x 6.0m DSB		 5	lgths.	80	10mmø x 6.0m PSB		 6	kgs.	24	#16 G.I Tie wire		 7	pcs.	14	Hacksaw blade		 8	bags	365	Portland cement		 9	pcs.	25	PVC const</t>
  </si>
  <si>
    <t xml:space="preserve"> Republic of the Philippines Province of Camarines Sur MUNICIPALITY OF LAGONOY BIDS AND AWARDS COMMITTEE INVITATION TO BID/REQUEST FOR EXPRESSION OF INTEREST The Municipal Government of Lagonoy through its Bids and Awards Committee (BAC) invites suppliers/</t>
  </si>
  <si>
    <t xml:space="preserve"> Four (4) ea Speaker, Body Assembly &amp; 14 other line items</t>
  </si>
  <si>
    <t xml:space="preserve"> LGU-BAROBO		Project Reference Number		 Name of Procuring Entity				 			Barobo, Surigao del Sur	 Standard Form Number: SF-GOOD-60				 Revised on: May 24, 2004				 Standard Form Title: REQUEST FOR QUOTATION				 			D a t e       :	 			Quotation No.	 				 	  </t>
  </si>
  <si>
    <t xml:space="preserve"> Republic of the Philippines CITY OF BAIS BIDS AND AWARDS COMMITTEE INVITATION TO APPLY FOR ELIGIBILITY AND TO BID 	The City Government of Bais invites interested bidders to apply for eligibility and to bid for use in the Operation &amp; Maintenance of various</t>
  </si>
  <si>
    <t xml:space="preserve"> Work Description:		 			1. Improvement and Rehabilitation of enclosure Fence		 			2. Improvement of Bleachers		 			3. Court Painting		 					 			CONTRACT COST:		 1	LOT	1	EXTENSION, REHABILITATION AND ERECTION OF FENCE POSTS		 1.2	units	2	Breaking and Remova</t>
  </si>
  <si>
    <t xml:space="preserve"> Republic of the Philippines CITY OF BAIS -o0o- BIDS AND AWARDS COMMITTEE INVITATION TO APPLY FOR ELIGIBILITY AND TO BID The City Government of Bais through its Bids and Awards Committee (BAC) hereby invites Contractors registered with and classified by th</t>
  </si>
  <si>
    <t xml:space="preserve"> T-shirt with collar</t>
  </si>
  <si>
    <t xml:space="preserve"> Six (6) can Air Freshener (300ml) &amp; 37 other line items</t>
  </si>
  <si>
    <t xml:space="preserve"> Seventy (70) pk Pansit Bihon, 1kg &amp; 33 other line items</t>
  </si>
  <si>
    <t xml:space="preserve"> The Cagayan State University is pleased to invite you to quote your lowest price on the item/s listed below, stating the shortest time of delivery and submit your quotation duly signed by you, or by your authorized representative not later than 3days.</t>
  </si>
  <si>
    <t xml:space="preserve"> Two (2) ea Alternator Assy &amp; 25 other line items</t>
  </si>
  <si>
    <t xml:space="preserve"> Two (2) ea Gnss Receiver Assembly &amp; 35 other line items</t>
  </si>
  <si>
    <t xml:space="preserve"> Seventy (70) btl All around sarsa original flavor, 325g &amp; 42 other line items</t>
  </si>
  <si>
    <t xml:space="preserve"> Three (3) set Brake Pad Unit STAREX VAN SKC 841 &amp; 10 other line items</t>
  </si>
  <si>
    <t xml:space="preserve"> 2 gal. Betadine 2 gal. Cydex 25 pcs. Oxytocin 10iu 3 rolls cotton rolls (big) 1 box Cord Clamp 1 box IV Fluid (D5LR) 5 packs Epinephrile ampule 1 pc Bag valve mask 5 boxes Syringe 1 cc (Terumo) 5 boxes syringe 3 cc (terumo) 5 boxes Syringe 5cc (Terumo) 5 </t>
  </si>
  <si>
    <t xml:space="preserve"> Supply and Delivery of Construction Materials for the construction of six (6) rooms Municipal Office Building (extension) to wit: a.)  Name of Project				: Construction of six (6) – Rooms Office Building b.)  Project Location				: Poblacion Tumbao, Mangud</t>
  </si>
  <si>
    <t xml:space="preserve"> Batalay, Bato, Catanduanes Construction of 2.4m x 2.4m x 2.4m reservoir, water impounding structure and installation of 300 l.m. pipelines 			 I.	240	sq.m.	Clearing works II.	48	cu.m.	Excavation works III.	2.29	cu.m.	Water impounding w/ intake box IV.	6.4</t>
  </si>
  <si>
    <t xml:space="preserve"> Republic of the Philippines CITY OF BAIS BIDS AND AWARDS COMMITTEE INVITATION TO APPLY FOR ELIGIBILITY AND TO BID 	The City Government of Bais invites interested bidders to apply for eligibility and to bid for Burial Assistance (Construction of Niches and</t>
  </si>
  <si>
    <t xml:space="preserve"> One (1) ea Tire, 11.00x20 &amp; 45 other line items</t>
  </si>
  <si>
    <t xml:space="preserve"> Ninety Eight (98) cn Aerosol insecticide, 750ml &amp; 27 other line items</t>
  </si>
  <si>
    <t xml:space="preserve"> Republic of the Philippines Province of Masbate MUNICIPALITY OF CATAINGAN BARANGAY CAGBATANG   			                                                                                              JULY 6, 2020 INVITATION TO APPLY FOR ELIGIBILITY AND TO BID The</t>
  </si>
  <si>
    <t xml:space="preserve"> One (1) box Medical Face Mask &amp; 2 other line items</t>
  </si>
  <si>
    <t xml:space="preserve"> Four (4) ea Air Cleaner &amp; 33 other line items</t>
  </si>
  <si>
    <t xml:space="preserve"> Invitation to Bid for the Improvement of San Miguel Public Market 1.	The Local Government Unit of Manolo Fortich, through the 20% Local Development Fund intends to apply the sum of THREE MILLION PESOS (PhP 3,000,000.00) being the Approved Budget for the C</t>
  </si>
  <si>
    <t xml:space="preserve"> TABLE 1 UNIT P35,000.00 PRINTER 3 UNITS @ 8,000/UNIT UNIVERSAL HMDI TO VGA ADAPTOR 2 PCS @ P500/EACH</t>
  </si>
  <si>
    <t xml:space="preserve"> FOR THE FOOD CONSUMPTION OF IN-PATIENTS</t>
  </si>
  <si>
    <t xml:space="preserve"> NBC-0620-170</t>
  </si>
  <si>
    <t xml:space="preserve"> One Hundred Seventy Two (172) sack Dog Food (Vitality High Energy/High Protein) &amp; 17 other line items</t>
  </si>
  <si>
    <t xml:space="preserve"> 200 SACKS OF RICE, SPECIAL, LOCAL 50KGS/SACK</t>
  </si>
  <si>
    <t xml:space="preserve"> INVITATION TO BID FOR THE PURCHASE OF LUBRICANTS FOR THE MAINTENANCE OF VARIOUS HEAVY EQUIPMENT FOR ROAD REHABILITATION OF 22 BARANGAYS   1.	The Local Government Unit of Manolo Fortich, through the Trust Fund  intends to apply the sum of the following lot</t>
  </si>
  <si>
    <t xml:space="preserve"> Five Hundred (500) btl Mineral Water 350ml &amp; 17 other line items</t>
  </si>
  <si>
    <t xml:space="preserve"> Republic of the Philippines MUNICIPALITY OF PAGBILAO Province of Quezon REQUEST FOR QUOTATION The Municipality of Pagbilao, through its Bids and Awards Committee (BAC), will undertake Negotiated Procurement (Small Value Procurement) for Supply and Deliver</t>
  </si>
  <si>
    <t xml:space="preserve"> CELLCARDS</t>
  </si>
  <si>
    <t xml:space="preserve"> VARIOUS OFFICE SUPPLIES</t>
  </si>
  <si>
    <t xml:space="preserve"> Republic of the Philippines Province of Davao de Oro BIDS AND AWARDS COMMITTEE Cabidianan, Nabunturan, Davao de Oro ITB No. 20-024 July 01, 2020 INVITATION TO BID  FOR  THE Procurement of gemelina and coco lumber or equivalent 1.	The Provincial Government</t>
  </si>
  <si>
    <t xml:space="preserve"> MUNICIPALITY OF PANIQUI Province of Tarlac	Project Reference Number : I-2020-020 Name of the Project           : Concreting of Local Access Road (Phase 2) Location of the Project     : Purok 5 &amp; 6, Brgy. Mabilang Paniqui, Tarlac Standard Form Number: SF-I</t>
  </si>
  <si>
    <t xml:space="preserve"> Republic of the Philippines Province of Davao de Oro BIDS AND AWARDS COMMITTE Cabidianan, Nabunturan, Davao de Oro ITB No. 20-025 July 01, 2020 INVITATION TO BID  FOR  THE Procurement of 2 sets Track link # 180-20-35-8-6-53 (for EIK) 1.	The Provincial Gov</t>
  </si>
  <si>
    <t xml:space="preserve"> Republic of the Philippines Province of Davao de Oro BIDS AND AWARDS COMMITTE Cabidianan, Nabunturan, Davao de Oro ITB No. 20-025 July 01, 2020 INVITATION TO BID  FOR  THE Procurement of (Reinforced Concrete Pipe Culvert) 700 pcs. RCPC, 1220mm dia &amp; 700 p</t>
  </si>
  <si>
    <t xml:space="preserve"> Republic of the Philippines Province of Davao de Oro BIDS AND AWARDS COMMITTE Cabidianan, Nabunturan, Davao de Oro ITB No. 20-025a July 01, 2020 INVITATION TO BID  FOR  THE Procurement of the following service vehicles 1.) One (1) unit crossover utility v</t>
  </si>
  <si>
    <t xml:space="preserve"> Republic of the Philippines Province of Davao de Oro BIDS AND AWARDS COMMITTEE Cabidianan, Nabunturan, Davao de Oro ITB No. 20-024 July 01, 2020 INVITATION TO BID  FOR  THE Procurement of construction supplies 1.	The Provincial Government of Davao de Oro,</t>
  </si>
  <si>
    <t xml:space="preserve"> 3 pcs. Anchor, Expanding,10,000 pounds, 8 way, galvanized steel 3 pcs. Attachment, Guy, Malleable Type with 11/16" Hole Diameter 8 pcs. Bolt, Carriage 3/8" x 4 1/2" 2 pcs Bolt, Double arming, 5/8" x 18" 3 pcs Bolt, double arming, 5/8" x 22" 3 pcs Bolt, do</t>
  </si>
  <si>
    <t xml:space="preserve"> Republic of the Philippines Province of Davao de Oro BIDS AND AWARDS COMMITTEE Cabidianan, Nabunturan, Davao de Oro ITB No. 20-024 July 01, 2020 INVITATION TO BID  FOR  THE Procurement of 1 unit brass, Davao de Oro Logo and 150 pcs. pin logo 1.	The Provin</t>
  </si>
  <si>
    <t xml:space="preserve"> Republic of the Philippines Province of Davao de Oro BIDS AND AWARDS COMMITTEE Cabidianan, Nabunturan, Davao de Oro ITB No. 20-024 July 01, 2020 INVITATION TO BID  FOR  THE Procurement of 1 unit deck cover 1.	The Provincial Government of Davao de Oro, thr</t>
  </si>
  <si>
    <t xml:space="preserve"> Republic of the Philippines Province of Davao de Oro BIDS AND AWARDS COMMITTEE Cabidianan, Nabunturan, Davao de Oro ITB No. 20-024 July 01, 2020 INVITATION TO BID  FOR  THE Procurement of Fertilizers-Rebid 1.	The Provincial Government of Davao de Oro, thr</t>
  </si>
  <si>
    <t xml:space="preserve"> MUNICIPALITY OF PANIQUI Province of Tarlac	Project Reference Number : I-2020-019 Name of the Project           : Concreting of Local Access Road (Phase 2) Location of the Project     : Purok 2, Brgy. Brillante Paniqui, Tarlac Standard Form Number: SF-INFR</t>
  </si>
  <si>
    <t xml:space="preserve"> Pls see attached file/s</t>
  </si>
  <si>
    <t xml:space="preserve"> Please see attached RFQ in Associated Component or Link Below. …</t>
  </si>
  <si>
    <t xml:space="preserve"> SPECIFICATION  MEDICAL EQUIPMENT 2020		 		 		 Unit	Item Description	Quantity unit	STATIONARY HIGH FREQUENCY X-RAY SYSTEM	1 	specification: Generator: mA Range:10-500	 	kVp Range: 40-125 ( 1 kV Step)	 	mAs Range: 0.004-10 sec	 	Rating output:40 kW	 	Tube C</t>
  </si>
  <si>
    <t xml:space="preserve"> 1. FABRICATION WORKS</t>
  </si>
  <si>
    <t xml:space="preserve"> Republic of the Philippines																																																																		 DEPARTMENT OF PUBLIC WORKS AND HIGHWAYS																																																																		 ALBAY 3RD DISTRICT ENGINEERING OFFICE																		</t>
  </si>
  <si>
    <t xml:space="preserve"> Construction of Concrete Pathway</t>
  </si>
  <si>
    <t xml:space="preserve"> 195		bags         	Portland cement 42		pcs	                12 mm dia x 6 m def bar 70		pcs	                10 mm dia x 6 m def bars 10		cu.m.	        Sand (washed &amp; screened) 20		cu.m.	        Gravel (washed &amp; screened) 40		kgs	                No. 16 G! W</t>
  </si>
  <si>
    <t xml:space="preserve"> Please quote your lowest price on the Item/s below, subject to the General Conditions and Eligibility Requirements for the Suppliers, stating the shortest time of the delivery and submit your quotation duly signed by your representative not later than Jul</t>
  </si>
  <si>
    <t xml:space="preserve"> Invitation to Bid for  Proposed Perimeter Fence at Mandaue City Jail (revised) Basak, Mandaue City (23-2020) 1.	The City Government of Mandaue through the Non-Office continuing appropriation (2018-062.A5) – Other Infrastructure Assets (9999) 501-1-07-03-9</t>
  </si>
  <si>
    <t xml:space="preserve"> Assorted office supplies and materials</t>
  </si>
  <si>
    <t xml:space="preserve"> Hygiene Kits</t>
  </si>
  <si>
    <t xml:space="preserve"> INVITATION TO BID FOR THE PURCHASE OF 1 UNIT AMBULANCE   1.	The Local Government Unit of Manolo Fortich, through the Special Trust Fund  intends to apply the sum of Two Million Pesos (Php 2,000,000.00) being the Approved Budget for the Contract (ABC) to p</t>
  </si>
  <si>
    <t xml:space="preserve"> Whole Chicken Rice Plastic Bags</t>
  </si>
  <si>
    <t xml:space="preserve"> BIDS AND AWARDS COMMITTEE (BAC) Request for Quotation DATE:	_____________ RFQ NO.:	2020-06-052 PR NO.:	20-06-060   To:	All Eligible Suppliers	                                                                                                                 </t>
  </si>
  <si>
    <t xml:space="preserve"> Lot D- Hardware Supply</t>
  </si>
  <si>
    <t xml:space="preserve"> Invitation to Bid for  Proposed Const. of Perimeter Fence, Tabok Elem. School II, Tabok, Mandaue City (22-2020) 1.	The City Government of Mandaue through the Special Education Fund – Continuing Appropriation (Const. of Perimeter Fence – 200-501-1-07-03-99</t>
  </si>
  <si>
    <t xml:space="preserve"> Lot A - Office Supply</t>
  </si>
  <si>
    <t xml:space="preserve"> Republic of the Philippines  Province of Bukidnon  MUNICIPALITY OF KALILANGAN    Bids and Award Committee (BAC)  INVITATION TO BID FOR  Goods 2020-07-017(016) The Local Government Unit – Kalilangan, Bukidnon through the BIDS AND AWARDS COMMITTEE (BAC) now</t>
  </si>
  <si>
    <t xml:space="preserve"> PURCHASE OF LABORATORY SUPPLIES OF THE RURAL HEALTH UNIT OF SANTO DOMINGO, ILOCOS SUR</t>
  </si>
  <si>
    <t xml:space="preserve"> 30	CU.M.	FILLING MATERIALS		 324	BAGS	PORTLAND CEMENT		 36	CU.M.	GRAVEL		 18	CU.M.	SAND		 154	BD.FT.	2 X 6 FORM LUMBER</t>
  </si>
  <si>
    <t xml:space="preserve"> INVITATION TO BID  Procurement of Dental Equipment MRH-005-2020 1.	The Margosatubig Regional Hospital, through the funding source of Hospital Income intends to apply the sum of One Million Thirty Thousand Pesos Only (Php 1,030,000.00) being the Approved B</t>
  </si>
  <si>
    <t xml:space="preserve"> 1    unit    Laptop CPU: CORE I7                          RAM: 16 GB, HDD: 1 TB SSD/EMMC: 25 GB SCREEN: 14 INCH                          OS WINDOWS 10 PRO</t>
  </si>
  <si>
    <t xml:space="preserve"> Republic of the Philippines Province of Masbate MUNICIPALITY OF CATAINGAN BIDS AND AWARD COMMITTEE INVITATION TO APPLY FOR ELIGIBILITY AND TO BID JULY 6, 2020                                                                                                 </t>
  </si>
  <si>
    <t xml:space="preserve"> Republic of the Philippines									 Department of Health									 Regional Health Office – Central Visayas									 SAINT ANTHONY MOTHER AND CHILD HOSPITAL									 Basak San Nicolas, Cebu City									  (032) 261-9989 local 1205 /239-2741									 Email</t>
  </si>
  <si>
    <t xml:space="preserve"> Job Order: Labor and Materials for the printing of 2,000 copies Damag-Agri 3rd &amp; 4th Quarter Issue 2020  	 	Job Order:		 		     Labor and materials for the printing of:		 1,000	copy	Damag-Agri 3rd Quarter Issue 2020		 1,000	copy	Damag-Agri 4th Quarter Iss</t>
  </si>
  <si>
    <t xml:space="preserve"> V = (100.00m ) (3.0m ) (0.125m)   = 37.50 cu. meter A. MATERIALS:  450 bags Portland Cement  21 cu. m White Sand 41 cu. m. Gravel 222 pcs RSB 10mm Ø x 6m 5 roll G.I Tie Wire #16 20 pcs 2"x 6" x 12' 10 pcs 2" x x 12' 11 kgs Cwn ( Assorted ) B. LABOR: 1 For</t>
  </si>
  <si>
    <t xml:space="preserve"> 92	CU.M.	FILLING MATERIALS		 878	BAGS	PORTLAND CEMENT		 98	CU.M.	GRAVEL		 49	CU.M.	SAND		 244	BD.FT.	2 X 6 FORM LUMBER</t>
  </si>
  <si>
    <t xml:space="preserve"> 2   unit                Rental of Laptop for 3 months                           Specifications:                           Intel Core i7-8565                           Hard Drive Cap: 1TB OS; Windows 10                           Memory: 4 GB/8GB</t>
  </si>
  <si>
    <t xml:space="preserve"> Republic of the Philippines Province of Romblon MUNICIPALITY OF ALCANTARA -oOo- INVITATION TO BID FOR  IMPROVEMENT OF PARKS AND PLAZA  (PROCUREMENT OF PLAYGROUND EQUIPMENTS)        Poblacion,  Alcantara, Romblon The Local Government Unit of Alcantara, Rom</t>
  </si>
  <si>
    <t xml:space="preserve"> No.	QTY	UNIT	AGENCY'S SPECIFICATIONS 1	6	pc	2" x 4" x 12' Coco Lumber 2	130	pc	2" x 3" x 10' Coco Lumber 3	60	pc	2" x 2" x 10' Coco Lumber 4	4	pc	1/4" Thk. Ord. Plywood 5	5	kg	4" CWN 6	9	kg	3" CWN 7	8	kg	1 1/2" CWN 8	49	bag	Portland Cement 9	4	m3	Washed S</t>
  </si>
  <si>
    <t xml:space="preserve"> A. MATERIALS: 4 tin can Flat Latex  3 tin can QDE Paint 4 tin can Gloss Latex  4 gal Paint Tinner 6pcs Paint Brush 7 pcs Roller Brush 1 pcs Roller Tray 1 lot Tinting Color / Acrycolor 1 lot Other Materials Needed B. LABOR:  1 Forman  4 Skilled Laborers  4</t>
  </si>
  <si>
    <t xml:space="preserve"> Please see attached RFQ # 20-1205-1 Submit your Sign and Sealed Quotation together with your UPDATED ELIGIBILITY Requirements For more details please call PSU (927-5263) or Email us at damimaropasvp@gmail.com For more details please call Rice Program (426</t>
  </si>
  <si>
    <t xml:space="preserve"> Construction Materials and Supplies</t>
  </si>
  <si>
    <t xml:space="preserve"> REPUBLIC OF THE PHILIPPINES Guimba Water District Danzalan St. Cor. Faigal St. Sta. Veronica Guimba, Nueva Ecija Request for Quotation for Fabrication, Supply and Delivery  of Five Hundred (500) pcs Meter Cage ABC Three Hundred Thousand Pesos and 00/100 (</t>
  </si>
  <si>
    <t xml:space="preserve"> PACKED LUNCH FOR THE RETIREMENT CEREMONY OF CTA ASSOCIATE JUSTICE  DATE: July 30, 2020 @11:00 a.m. VENUE: Court of Tax Appeals, Agham Road, Diliman, Quezon City Technical Specifications: A. Packed lunch which includes the following: •	2-pcs Fried Chicken </t>
  </si>
  <si>
    <t xml:space="preserve"> Republic of the Philippines BARANGAY SABANG OFFICE OF THE PUNONG BARANGAY BIDS AND AWARDS COMMITTEE INVITATION TO BID The Barangay Government of BARANGAY SABANG through its Bids and Awards Committee (BAC), invites suppliers/manufacturers/distributors to b</t>
  </si>
  <si>
    <t xml:space="preserve"> RISO MACHINE</t>
  </si>
  <si>
    <t xml:space="preserve"> 1. 532 PIECES NOTEBOOK DOUBLE LINE 50 LEAVES 2. 504 PIECES NOTEBOOK SINGLE LINE 50 LEAVES 3. 106 PIECES HBW BALLPEN BLACK 4. 88 PIECES HBW PENCIL 5. 1 PIECE FIRE EXTINGUISHER 5 IBS 6. 2 PIECES FIRE EXTINGUISHER 10 IBS 7.  1 PIECE BUZZER 300 mm 8. 100 METE</t>
  </si>
  <si>
    <t xml:space="preserve"> Republic of the Philippines  Barangay 598, Zone 59, District VI, Manila Bids and Awards Committee INVITATION TO BID Barangay 598, Zone 59, District VI, Manila through its Bids and Awards Committee (BAC), Invites all Suppliers/Contractors to bid the here u</t>
  </si>
  <si>
    <t xml:space="preserve"> Republic of the Philippines Department of Education Region VI-Western Visayas Division of Aklan ALTAVAS NATIONAL SCHOOL Altavas, Aklan	  REQUEST FOR QUOTATION (RFQ) Project No: DepED-RO6-D1- JHS-4 MOOE The Department of Education Division of Aklan   Altav</t>
  </si>
  <si>
    <t xml:space="preserve"> 1	Unit	Computer Desktop		 		Processor: Core i5 or i7		 		Hard Drive: at least 1TB		 		Motherboard: Compatible with Processor and Memory, with built in a/v/gigabit LAN 		 		Optical Drive: DVD-RW 22x SATA(optional)ATX Casing with 600W Power Supply		 		Monit</t>
  </si>
  <si>
    <t xml:space="preserve"> SEE ATTACEHD BID DOCS</t>
  </si>
  <si>
    <t xml:space="preserve"> SEE ATTACHED BID DOCS</t>
  </si>
  <si>
    <t xml:space="preserve"> 2 ream bondpaper 3 bots. epson ink black 1 bots. epson ink blue 34 pcs folder long 20 sheets plywood 20 pcs lumber 2x2x28 2 kl. naisl #1 2 kl. nails #2 2 kl. nails #3 18 pcs jalousie blades clear 3/16 15 pcs flourescent lamp 1 roll PDX 1 box staple wire 1</t>
  </si>
  <si>
    <t xml:space="preserve"> STRUCTURE EXCAVATION   42.30 CUM STRUCTURAL CONCRETE  24.30 CUM RSB   1068 KG FORM WORKS INSTALLATION   36 SQM FORM WORSK REMOVAL   36 SQM TRANSHIPMENT OF MATERIALS  1 LOT PROJECT BILLBOARD 1 LOT</t>
  </si>
  <si>
    <t xml:space="preserve"> Please submit your quotation for the following items on or before 5:00PM on Jul 13, 2020. ITEM D E S C R I P T I O N QTY. UNIT  1 Tire, Exterior, 11 R 22.5 (Miler) 12 pc Awarding is in LUMP-SUM basis, however, the supplier is required to indicate its bid </t>
  </si>
  <si>
    <t xml:space="preserve"> ABC - 135,000.00 QUANTITY - 300 pieces</t>
  </si>
  <si>
    <t xml:space="preserve"> INVITATION TO BID FOR  SUPPLY AND DELIVERY OF AGRICULTURAL MACHINERIES AND EQUIPMENT [Contract No. NV-SS-01-2020] 1.	The Department of Agrarian Reform, Province of Nueva Vizcaya through the General Appropriation Act of 2020 intends to apply the sum of One</t>
  </si>
  <si>
    <t xml:space="preserve"> Provision of labor, materials, equipment rentals and other incidentals needed for the Reconstruction of Organic Goat House at  DA-INREC, Dingras, Ilocos Norte  	 	Provision of labor, materials, equipment rentals and other incidentals needed for the Recons</t>
  </si>
  <si>
    <t xml:space="preserve"> RSB   1 LOT STRUCTURAL CONCRETE INCLUDING FROM WORKS  1 LOT TRANSHIPMENT  1 LOT PROJECT BILLBOARD</t>
  </si>
  <si>
    <t xml:space="preserve"> Assorted school supplies and materials</t>
  </si>
  <si>
    <t xml:space="preserve"> CLEARING AND EXCAVATION    35 CUM STRUCTURAL CONCRETE INCLUDE FORM WORKS    30 CUM TRANSHIPMENT OF MATERIALS   1 LOT PROJECT BILLBOARDS   1 LOT</t>
  </si>
  <si>
    <t xml:space="preserve"> for BCSAT Faculty use</t>
  </si>
  <si>
    <t xml:space="preserve"> Republic of the Philippines Province of Surigao del Norte Municipality of Claver BIDS AND AWARDS COMMITTEE INVITATION TO BID The Local Government Unit of Claver, Surigao del Norte through its Bids and Awards Committee, now invites manufacturers/suppliers/</t>
  </si>
  <si>
    <t xml:space="preserve"> 1	Nutrient-dense complementary food	2,430 		 2	Rice-Mongo Cereal (Choco flavor)	780 		 3	Brown Rice Bar	100 		 4	Rice-Mongo Curls	260</t>
  </si>
  <si>
    <t xml:space="preserve"> PROCUREMENT OF ONE (1) LOT LABOR AND MATERIALS FOR THE INSTALLATION OF SOLAR PANEL AND ELECTRIFICATION SYSTEM OF ILIAN SPRING SOURCE (REFER TO ATTACHED FILE FOR YOUR REFERENCE)</t>
  </si>
  <si>
    <t xml:space="preserve"> Republic of the Philippines				 			Department of Agriculture				 			Bureau of Plant Industry				 Los Banos National Crop Research, Development and Production Support Center							 							 							 							 							 							 REQUEST FOR QUOTATION							 SMALL </t>
  </si>
  <si>
    <t xml:space="preserve"> SALA SET STANDARD WOODEN SALA SET WITH FOAM 12-SEATER DINING SET</t>
  </si>
  <si>
    <t xml:space="preserve"> P.R. No. X7-20-05-206 - Supply and Delivery for the use in the Planning and Design Division, Repair and Maintenance of SKF-848. (Please see attached RFQ)</t>
  </si>
  <si>
    <t xml:space="preserve"> Clearing and Excavation     28.60 cum Grouted Riprap   40.00 cum Transhipment of Materials and Manual Hauling   1 lot Project Bill Board   1  lot</t>
  </si>
  <si>
    <t xml:space="preserve"> AS PER APPROVED PROGRAM</t>
  </si>
  <si>
    <t xml:space="preserve"> Improvement of Health Center at Barangay Balete, Aroroy, Masbate</t>
  </si>
  <si>
    <t xml:space="preserve"> One (1) Job Contract for the Improvement of Multi-purpose Hall and its Facilities, Brgy. Quinagaringan Peq., Passi City, Iloilo/Brgy. Quinagaringan Peq.</t>
  </si>
  <si>
    <t xml:space="preserve"> REPAIR OF SUPPLY BUILDING		 		 		 UNIT	ITEM DESCRIPTION	QUANTITY 	RENOVATION OF PROCUREMENT AND SUPPLY BUILDING	 With the Following Details		 lot	I.EARTHWORKS	 1.00  	Excavation work	 	Backfiling and compaction	 	Soil poisoning	 	Demolition of concrete	 	</t>
  </si>
  <si>
    <t xml:space="preserve"> Supply and Delivery of Drugs and Medicines for maintenance and treatment of various diseases.</t>
  </si>
  <si>
    <t xml:space="preserve"> Purchase of various office supplies for LBP Pili Branch</t>
  </si>
  <si>
    <t xml:space="preserve"> 1.Food for Staff		 (Philippine National Redcross personnel) - 195		 (Buffet meal) 15 staffs x 13 blood donations)		 1 meal (lunch) 1 snack (morning)		 1 rice,2 viands and fruits		 MENU:		 *Rice,tinolang manok,fish fillet,fruits		 *Rice,calamares,tinolang </t>
  </si>
  <si>
    <t xml:space="preserve"> INVITATION TO BID FOR THE CONTRACT ID: 20-07-091 Contract Name: PROCUREMENT OF PCR TEST KIT FOR COVID 19 Approved Budget for the Contract (ABC) : Php 5,630,400.00 Cost of Bidding Documents: Php 10,000.00 1. The Department of Health - Zamboanga Peninsula -</t>
  </si>
  <si>
    <t xml:space="preserve"> PROCUREMENT OF PROJECT ENGINEER/ARCHITECT FOR THE RENOVATION OF THE 2ND FLOOR, BUREAU OF THE TREASURY, PALACIO DEL GOBERNADOR, INTRAMUROS, MANILA QUALIFICATIONS: 1.	Licensed Civil Engineer or Architect with three (3) years experience in vertical construct</t>
  </si>
  <si>
    <t xml:space="preserve"> July 3, 2020 REQUEST FOR QUOTATION (RFQ) CONICAL TUBES WITH SCREW CAP 50ML  1.	The Batangas Medical Center hereinafter referred to as the “Purchaser” now request for submission of price proposal for the procurement of the aforesaid item described in the T</t>
  </si>
  <si>
    <t xml:space="preserve"> Close Van Fb type Scrum with blower and aircon driver set area 16 valves front drive 4x4 Diff lock Transmission 5 speed Power Stiring with strobe light &amp; siren Magwheels Brand new tires Brand new and branded 9 plates 12 volts battery Complete Tools</t>
  </si>
  <si>
    <t xml:space="preserve"> Republic of the Philippines PROVINCE OF QUEZON MUNICIPALITY OF POLILLO ***** INVITATION TO BID FOR:  IMPROVEMENT OF PUBLIC MARKET BRGY. POBLACION, POLILLO, QUEZON 1.	The Municipality of Polillo, through the Supplemental Budget No.1-2019 (Continuing) by th</t>
  </si>
  <si>
    <t xml:space="preserve"> Purchase of various office supplies for SB Office</t>
  </si>
  <si>
    <t xml:space="preserve"> PHILIPPINE BIDDING DOCUMENTS (As Harmonized with Development Partners) SUPPLY AND DELIVERY OF MODULAR TENT FOR THE OPERATION OF TASK FORCE COVID -19 BIDDING Government of the Republic of the Philippines TABLE OF CONTENTS SECTION I. INVITATION TO BID………………</t>
  </si>
  <si>
    <t xml:space="preserve"> FOR BCSAT USE..</t>
  </si>
  <si>
    <t xml:space="preserve"> Supply, delivery and installation of 1 unit Shrink Wrapping Machine. Maximum Seal: 15.5" X 9.5" X 7.5" Power: 220V, 60 Hz Power Usage: 1.8- 2.0 Kw Warranty: 1 year for parts and services</t>
  </si>
  <si>
    <t xml:space="preserve"> DepEd, Division of Sorsogon										 Standard Form Number: SF-GOOD-60										 Revised on: May 24, 2004										 REQUEST FOR QUOTATION										 										 						Date:				 						Quotation No.:		20-06-092-_____		 										 										 										 							</t>
  </si>
  <si>
    <t xml:space="preserve"> 1 UNIT PRINTER</t>
  </si>
  <si>
    <t xml:space="preserve"> Particle Monitoring  Microfiber Teflon Filter 2.0µm, PM2.5 (47mm) Cassette Transport Case - Aluminum  Filter Cassette with filter screen (47mm) Petri Slide - Millipore Fit for 47mm filter</t>
  </si>
  <si>
    <t xml:space="preserve"> Republic of the Philippines DEPARTMENT OF PUBLIC WORKS AND HIGHWAYS CAMARINES SUR 1ST  DISTRICT ENGINEERING OFFICE REGIONAL OFFICE V Baras, Canaman, Camarines Sur REQUEST FOR EXPRESSION OF INTEREST (REOI)  FOR 20CSFD01 - CONSULTANCY SERVICES FOR THE GEOTE</t>
  </si>
  <si>
    <t xml:space="preserve"> 2nd Quarter Purchase of Drugs and Medicine for RHU use.</t>
  </si>
  <si>
    <t xml:space="preserve"> 1	 Brass Ball Valve w/ lockwing 1/2"  	400	pcs 2	 Brass Straight Coupling 1"Ø single rubber 	125	pcs 3	 Brass Straight Coupling 1/2"Ø single rubber 	300	pcs 4	 Brass Straight Coupling 3/4"Ø single rubber 	500	pcs 5	 C.I Saddle Clamp 6"Ø x 1"Ø 	10	pcs 6	 C</t>
  </si>
  <si>
    <t xml:space="preserve"> Air Conditioning unit,Split type, 2 HP</t>
  </si>
  <si>
    <t xml:space="preserve"> Cabinets/Office Table &amp; Chairs		 1.Metal Office Cabinet with Legs/Shelf		 Sliding Shutter Door - Large Capacity Cupboard Fashion		 Black 2 Door Steel tambour Cupboard With Plastic Roller		 Shutter Door (Dimension Height 1950mm width 1000mm		 depth 420mm)D</t>
  </si>
  <si>
    <t xml:space="preserve"> The Municipality of Limay, through its Bids and Awards Committee (BAC) invites registered contractors to apply for eligibility and if found eligible, to bid for the hereunder project/contract: Project/Contract:    REHABILITATION OF FENCE (WEST SIDE AT LAM</t>
  </si>
  <si>
    <t xml:space="preserve"> Particulars                                       Qty.            Unit          Unit             Total                                                                                                Cost          unit Cost LAVATORY frame											 	200 lt</t>
  </si>
  <si>
    <t xml:space="preserve"> Republic of the Philippines PROVINCE OF QUEZON MUNICIPALITY OF POLILLO ***** INVITATION TO BID FOR:  REPAIR &amp; MAINTENANCE-GOVERNMENT BUILDINGS &amp; OTHER STRUCTURES (MDRRM OFFICE) BRGY. POBLACION, POLILLO, QUEZON 1.	The Municipality of Polillo, through the S</t>
  </si>
  <si>
    <t xml:space="preserve"> Material:Cotton Color: Navy Blue with print</t>
  </si>
  <si>
    <t xml:space="preserve"> Sir/Madam:					 					                  Please quote your lowest price on the item/s listed below, subject to the General Conditions stated hereunder, and submit your quotation duly signed by your authorized representative in sealed envelope.					 					   </t>
  </si>
  <si>
    <t xml:space="preserve"> Construction Materials for the Extension of Mun. Slaughter House.</t>
  </si>
  <si>
    <t xml:space="preserve"> General Services of a Research Assistant for the research,"Development of Outcomes-base Instructional Materials for the New General Education Course." Please refer to associated components for more information.</t>
  </si>
  <si>
    <t xml:space="preserve"> Republic of the Philippines EASTERN SAMAR STATE UNIVERSITY Borongan City, Eastern Samar INVITATION TO BID FOR Procurement of Equipment for Laboratory and Instructional Purposes for ESSU Guiuan Campus PR# 20-06-099 1.	The EASTERN SAMAR STATE UNIVERSITY, th</t>
  </si>
  <si>
    <t xml:space="preserve"> 20 UNITS LAPTOP Specifications: Processor: Dual-Core 10th Gen Core i3 (Turbo Boost up to 3.2GHz) Memory: 8GB 3733 MHz LPDDR4X Hard Disk: 256GB SSD Graphics: Integrated Display: 13-inch Retina Display with True Tone Security: Touch ID Sensor Ports: 2x Thun</t>
  </si>
  <si>
    <t xml:space="preserve"> Concreting of 110-meter long 6-inches thick x 4.0 meters width barangay road at Purok C, Salipyasin, Kabasalan, Zamboanga Sibugay</t>
  </si>
  <si>
    <t xml:space="preserve"> CONSTRUCTION OF OPEN CANAL @ BLK. 27</t>
  </si>
  <si>
    <t xml:space="preserve"> Please see attached RFQ # 20-1217 Submit your Sign and Sealed Quotation together with your UPDATED ELIGIBILITY Requirements For more details please call PSU (927-5263) or Email us at damimaropasvp@gmail.com For more details please call AMAD (426-0634) Off</t>
  </si>
  <si>
    <t xml:space="preserve"> OFFICE SUPPLIES 24	Set	Marker, Fluorescent, assorted 65	Pcs	Marker, permanent, broad type, black 24	Pcs	Marker, permanent, broad type, red 84	Pcs	Marker, whiteboard, broad type, black 84	Pcs	Marker, whiteboard, broad type, black 20	Pcs	Meter Stick, 1m, wo</t>
  </si>
  <si>
    <t xml:space="preserve"> CONSTRUCTION OF OPEN CANAL @ ROAD 10</t>
  </si>
  <si>
    <t xml:space="preserve"> Republic of the Philippines PROVINCE OF CAMARINES SUR BIDS AND AWARDS COMMITTEE ITB No. 035-07-2020 INVITATION TO BID  	The Provincial Government of Camarines Sur (PGCS) through its Bids and Awards Committee (BAC) invites suppliers/manufacturers/distribut</t>
  </si>
  <si>
    <t xml:space="preserve"> CONSTRUCTION OF PATHWALK @ SAKAP 2</t>
  </si>
  <si>
    <t xml:space="preserve"> 24	Roll	Tissue paper 5	Bottle	Alcohol 1	Pc	Floor Map (Tornado) 2	Pcs	Insecticide for household pests 3	Pcs	Scrub sponge for kitchen utensils 2	Pcs	Broom (tambo) 5	Pcs	Stick broom 1	Kg	Laundry soap 3	Liter	Dishwashing soap 100	Pcs	Sacks for coffee berries </t>
  </si>
  <si>
    <t xml:space="preserve"> STRUCTURE EXCAVATION   16.50 CUM STRUCTURAL CONCRETE 16.50 CUM RSB  279 KG GROUTED RIPRAP 42 CUM TRANSHIPMENT OF MATERIALS 1 LOT PROJECT BILLBOARD 1 LOT</t>
  </si>
  <si>
    <t xml:space="preserve"> 9	REAMS	BOND PAPER LEGAL SUB 20 4	BOT	EPSON INK REFILL L120 BLACK 1	SET	BASS DRUM 2	BAG	TABLE TENNIS BALL 1	PCS	VOLLEYBALL BALL 2	PCS	BASEBALL BALL 2	PCS	TABLE TENNIS RACKET 1	PC	TRIPLE DRUM 1	UNIT	CHESSBOARD 1	UNIT	CHESS CLOCK</t>
  </si>
  <si>
    <t xml:space="preserve"> 30 rolls HDPE Pipe SDR-11, 1/2" x 300m cts, black</t>
  </si>
  <si>
    <t xml:space="preserve"> 200	METERS 	ROPE 2	UNIT	FIRE EXTINGUISHER DRY 3	PCS	EMERGENCY FLASHLIGHT 1	SET	2-WAY RADIO 9	PCS	PLASTIC PAIL WITH COVER 9	PCS	FLOOR MOP HEAVY DUTY 9	PCS	DUST PAN 9	BOT	DISHWASHING LIQUID 4	BOT	MURIATIC ACID 9	PCS	BROOM 1	PC	CROSS CUT SAW 2	PCS	HAMMER 2	P</t>
  </si>
  <si>
    <t xml:space="preserve"> Please quote your lowest price on the item(s) listed, subject to the Terms and Conditions stated below and submit your quotations duly signed by your representative not later than 10:00AM of July 9, 2020 in a sealed envelope to the Office of the BAC Secre</t>
  </si>
  <si>
    <t xml:space="preserve"> Please submit your quotation for the following items on or before 5:00PM on Jul 13, 2020. ITEM D E S C R I P T I O N QTY. UNIT  1 Jewelry, Necklace, Gold (Men) (18Karat) 3 pc 2 Jewelry, Necklace, Gold (Women) (18Karat) 3 pc Awarding is in LUMP-SUM basis, </t>
  </si>
  <si>
    <t xml:space="preserve"> 40	REAMS	BOND PAPER SHORT s20 4	BOT	EPSON INK REFILL L120 YELLOW 4	BOT	EPSON INK REFILL L120 BLACK 4	BOT	EPSON INK REFILL L120 CYAN 4	BOT	EPSON INK REFILL L120 MAGENTA 8	box	LAMINATING FILM LONG 8	PCS	FUNDAMENTAL OPERATION IN MATHEMATICS TARPAULIN 4	PCS	C</t>
  </si>
  <si>
    <t xml:space="preserve"> See attached specifications</t>
  </si>
  <si>
    <t xml:space="preserve"> Color: White Material: 100% cotton</t>
  </si>
  <si>
    <t xml:space="preserve"> 15 cartridges Fuji Xerox S2320 Toner ******** nothing follows ********</t>
  </si>
  <si>
    <t xml:space="preserve"> Material: Polyamide with Logo</t>
  </si>
  <si>
    <t xml:space="preserve"> Procurement of Fuel for use in the Repair and Maintenance of National Roads and Bridges, Pre-detailed Engineering and Implementation/Inspection of Infra Projects of DPWH, Negros Occidental 3rd District Engineering Office, Kabankalan City. 1.	The DPWH Negr</t>
  </si>
  <si>
    <t xml:space="preserve"> The undersigned would like to request  for Cash Advance of our School MOOE for the months of 									 April,May and June , 2020  in the total amount of two hundred fifty-seven five hundred four pesos/.99										 (P257,504.99) to purchase supplies , mat</t>
  </si>
  <si>
    <t xml:space="preserve"> Procurement of supply and delivery of drugs and biologics &amp; feeds 38	Set	Drugs &amp; Biologics •	1 box of Doxycycline HCI + Tiamulin + Vitamin A + Vitamin B12, WSP, 5gx48/box •	1 box of Levamisole HCI 10% Soluble Powder, 5gx48/box •	36 packs of Multivitamins </t>
  </si>
  <si>
    <t xml:space="preserve"> Repair/Parts of Government owned vehicle (Mitsubishi Strada with plate# SHE 639)</t>
  </si>
  <si>
    <t xml:space="preserve"> Republic of the Philippines Province of Northern Samar MUNICIPALITY OF SAN ANTONIO Barangay Vinisitahan REQUEST FOR QUOTATION Date July 2, 2020 _______________________ _______________________ Sir/Madam: Please quote your lowest price for the following ite</t>
  </si>
  <si>
    <t xml:space="preserve"> Procurement of airconditioning units and industrial fans for use in various offices/sections/covered court, DPWH, Negros Occidental 3rd District Engineering Office, Kabankalan City. 1.	The DPWH Negros Occidental 3rd District Engineering Office, Kabankalan</t>
  </si>
  <si>
    <t xml:space="preserve"> QTY  UNIT  PARTICULARS 2000	pcs.	CHB #4 150	bags	CEMENT 120	pcs.	DEFORMED BAR 10mm 65	pcs.	DEFORMED BAR 9mm 10	cu.m.	SCREENED SAND(10wheeler) 7	kg.	WELDING ELECTRODE EG013 1	gal.	METAL PRIMER "RED OXIDE" 28	mtrs.	TRANSPARENT PLASTIC SHEET "thick" 3	btl.	R</t>
  </si>
  <si>
    <t xml:space="preserve"> SME-IT Supplies and Equipment 4 pcs Memory Card, 128GB 3 pcs Hard Drive, 2TB 79 pcs Flash Drive,8GB 2 pcs Presentaion Pointer 1 unit Printer,3in1 Printer,Continuous Ink, with wireless wifi connectiity 5 set Ink for printer 3in1 Printer (CMYK) 10 bottle In</t>
  </si>
  <si>
    <t xml:space="preserve"> 3	CARD	CARD LOAD 32	BAG 	CEMENT 300	PCS	CHB#4 40	PCS	CORRUGATED BAR 10MM 3	CUBIC 	SAND 3	CUBIC	GRAVEL 3	KILO	TIE WIRE 8	PCS	PLYWOOD ORDINARY 10	PCS	COCO LUMBER 2X2X12</t>
  </si>
  <si>
    <t xml:space="preserve"> For complete specification, please see attached for quotation at the associate components link or request.</t>
  </si>
  <si>
    <t xml:space="preserve"> All white T-Shirt with Collar (blue)</t>
  </si>
  <si>
    <t xml:space="preserve"> Please see attached RFQ # 20-1195-1 Submit your Sign and Sealed Quotation together with your UPDATED ELIGIBILITY Requirements For more details please call PSU (927-5263) or Email us at damimaropasvp@gmail.com For more details please call Rice Program (426</t>
  </si>
  <si>
    <t xml:space="preserve"> REHABILITATION OF MULTIPURPOSE HALL</t>
  </si>
  <si>
    <t xml:space="preserve"> The PTC Tagaytay of the Court, through the Procurement Section, invites interested motor shops to submit cost estimates for the Kilometer check up of a MITSUBISHI L-300 with Plate#SRH840 PLEASE DOWNLOAD ATTACHED DOCUMENT NOTE: Cost may vary depending on t</t>
  </si>
  <si>
    <t xml:space="preserve"> Republic of the Philippines Province of Pangasinan Municipality of Bugallon OFFICE OF THE BIDS AND AWARDS COMMITTEE INVITATION TO BID The Barangay Poblacion of the Municipality of Bugallon, Pangasinan, through its Bids and Awards Committee (BAC), invites </t>
  </si>
  <si>
    <t xml:space="preserve"> ICT SUPPLIES						 15	Bottle	Epson Ink 664, black						 5	Bottle	Epson Ink 664, cyan						 5	Bottle	Epson Ink 664, magenta						 5	Bottle	Epson Ink 664, yellow						 5	Piece	External HD, 1TB						 6	Piece	Ink 680 (black), 2135						 10	Piece	Ink 680 (colo</t>
  </si>
  <si>
    <t xml:space="preserve"> FABRICATION AND INSTALLATION OF STREETLIGHTS</t>
  </si>
  <si>
    <t xml:space="preserve"> 2,769 boxes milk, powdered For children above 3 years old (preschool age) promote growth and development contents: zinc, iron, calcium and vitamins packaging: 1.2kg per box FOR OPSWDO</t>
  </si>
  <si>
    <t xml:space="preserve"> Republic of the Philippines Province of Bukidnon MUNICIPALITY OF TALAKAG  	 INVITATION TO SUBMIT QUOTATION FOR THE PROCUREMENT OF GOODS RECOMMENDED FOR SMALL VALUE PROCUREMENT PURSUANT TO SECTION 53.9 OF THE REVISED IMPLEMENTING RULES AND REGULATION OF R.</t>
  </si>
  <si>
    <t xml:space="preserve"> 23.00	bot	Air Freshener Spray Lemon Glade 10.00	can	Air Freshener Gel (Glade) 40.00	pc	Albatross 24.00	pc	Ballpen Ordinary Black 55.00	pc	Ballpen Black(Pilot-BPS) 30.00	pc	Ballpen Blue (Pilot-BPS) 127.00	pc	Ballpen Black 0.5 Faber Castell 106.00	pc	Ballpe</t>
  </si>
  <si>
    <t xml:space="preserve"> INVITATION TO BID FOR THE CONTRACT ID: 20-07-092 Contract Name: PROCUREMENT OF DISPOSABLE SURGICAL MASK Approved Budget for the Contract (ABC) : Php 2,861,600.00 Cost of Bidding Documents: Php 5,000.00 1. The Department of Health - Zamboanga Peninsula - C</t>
  </si>
  <si>
    <t xml:space="preserve"> Magnetic Shield 300 pcs</t>
  </si>
  <si>
    <t xml:space="preserve"> Please see attached RFQ # 20-1205-2 Submit your Sign and Sealed Quotation together with your UPDATED ELIGIBILITY Requirements For more details please call PSU (927-5263) or Email us at damimaropasvp@gmail.com For more details please call Rice Program (426</t>
  </si>
  <si>
    <t xml:space="preserve"> I. EXCAVATION II. MASONRY WORKS</t>
  </si>
  <si>
    <t xml:space="preserve"> Improvement/Rehabilitation of Multi Purpose Hall</t>
  </si>
  <si>
    <t xml:space="preserve"> P.R. No. X7-20-05-201 - Supply and Delivery for the use in Repair and Maintenance of Nissan Frontier with Plate no. SGS 667, Planning and Design Division. (Please see attached RFQ)</t>
  </si>
  <si>
    <t xml:space="preserve"> P.R. No. X1-20-06-236 - Supply and Delivery for the use at the Public Affairs and Information Office. (Please see attached RFQ)</t>
  </si>
  <si>
    <t xml:space="preserve"> 12	 pc	Security Light (Waterproof) 4	box	THHN Wire (#12 stranded/150meters)</t>
  </si>
  <si>
    <t xml:space="preserve"> P.R. No. X7-20-05-202 - Supply and Delivery for the use in Repair and Maintenance of Toyota Revo Plate No. SHJ-113, Planning and Design Division. (Please see attached RFQ)</t>
  </si>
  <si>
    <t xml:space="preserve"> INVITATION TO BID FOR          SUPPLY AND DELIVERY OF  FARM INPUTS [Contract No. NV-SS-02-2020] 1.	The Department of Agrarian Reform, Province of Nueva Vizcaya through the General Appropriation Act of 2020 intends to apply the sum of  Five Hundred Forty S</t>
  </si>
  <si>
    <t xml:space="preserve"> 2	Unit	Branded Laptop 1	Set	Branded Desktop</t>
  </si>
  <si>
    <t xml:space="preserve"> Republic of the Philippines Province of Cebu Municipality of Cordova BIDS &amp; AWARDS COMMITTEE (032-236-6171) 			  	July 6, 2020 Request for quotation  The Municipality of Cordova, through its Bids and Awards Committee (BAC), is inviting all interested bidd</t>
  </si>
  <si>
    <t xml:space="preserve"> P.R. No. X7-20-04-195 - Supply and Delivery for the use in the Administrative Support Staff Unit, Planning and Design Division. (Please see attached RFQ)</t>
  </si>
  <si>
    <t xml:space="preserve"> Concrete works</t>
  </si>
  <si>
    <t xml:space="preserve"> Republic of the Philippines Local Government Unit of Gubat Gubat, Sorsogon INVITATION TO BID FOR THE IMPROVEMENT OF ESCUREL-SABATER HOUSE 1.	The Local Government Unit of Gubat, through its 20% Local Development Fund intends to apply the sum of Five Hundre</t>
  </si>
  <si>
    <t xml:space="preserve"> REQUEST FOR QUOTATION Please quote your lowest price on the item/s listed below, subject to the conditions also listed below, stating the shortest time of delivery and submit your quotation duly signed by your representative not later than 5:00 P.M. of Ju</t>
  </si>
  <si>
    <t xml:space="preserve"> Lot C - Medical Supply</t>
  </si>
  <si>
    <t xml:space="preserve"> Lot B - Computer Supply</t>
  </si>
  <si>
    <t xml:space="preserve"> SUPPLY AND DELIVERY OF POTS, PLANTS AND COMPOST SOIL</t>
  </si>
  <si>
    <t xml:space="preserve"> Please see attached RFQ for the full description of the items and for terms and conditions. Please submit your quotation on or before the closing date.</t>
  </si>
  <si>
    <t xml:space="preserve"> Republic of the Philippines Province of Agusan del Sur Municipality of Trento BIDS &amp; AWARDS COMMITTEE INVITATION TO BID  FOR THE CONSTRUCTION AND INSTALLATION OF STREETLIGHTS 1.	The Municipality of Trento, through the Peace and Order Funds intends to appl</t>
  </si>
  <si>
    <t xml:space="preserve"> 2	BOX	VIRATROL (LEVEL 1&amp;2) 2	BOX	HBSAG CALIBRATOR 2	BOX	TP AB CALIBRATOR 2	BOX	HIV AG &amp; AB CALIBRATOR 2	BOX	ANTI HCV CALIBRATOR 30	BOX	HEPATITIS BS ANTIGEN ASSAY 24	BOX	ANTI HCV ASSAY 24	BOX	TREPONEMA POLLIDIUM AB ASSAY 2	BOX	HISCL TIPS 200	PACK SAMPLE CU</t>
  </si>
  <si>
    <t xml:space="preserve"> Please refer to the attached Request for Quotation and Sample. Thank you.</t>
  </si>
  <si>
    <t xml:space="preserve"> please see attached for details</t>
  </si>
  <si>
    <t xml:space="preserve"> 1. Materials &amp; Equipment Rental for the Improvement of Agriculture Office, Brgy. Sablogon, Passi City, Iloilo, (P 83,910.39) Stock No. Description Unit Qty. 1 D-1,0.90m x 2.10m Painted Wood Panel type Door (Swing Type), w/ Wood Door Jam, Heavy Duty Door K</t>
  </si>
  <si>
    <t xml:space="preserve"> PROCUREMENT OF OFFICE EQUIPMENT AND SUPPLY (Supply and Delivery of I.T. Equipment and Air Conditioner Unit for MIS Office) see attached bidding documents</t>
  </si>
  <si>
    <t xml:space="preserve"> The Motor Pool Section of the Court, through the Procurement Section, invites interested motor shops to submit cost estimates for Check/Repair noisy and weak front suspension of a TOYOTA COMMUTER Plate#SJA797. PLEASE DOWNLOAD ATTACHED DOCUMENT NOTE: Cost </t>
  </si>
  <si>
    <t xml:space="preserve"> July 3, 2020 REQUEST FOR QUOTATION (RFQ) TARPAULIN CANVASS 50M X 6FT 1.	The Batangas Medical Center hereinafter referred to as the “Purchaser” now request for submission of price proposal for the procurement of the aforesaid item described in the Technica</t>
  </si>
  <si>
    <t xml:space="preserve"> ITEM NO QTY UNIT OF ISSUE ITEM DESCRIPTION 1 200 pcs 24"x 24" Drop ceiling Panels(Fiber Cement) 2 17 pcs 24" x24" x 12' Main Beams 3 4 box 2' Cross Tees (1 box = 20 pcs) 4 6 box 4" Cross Tees ( 1 box = 20 pcs) 5 11 pcs 12" Wall Moldings 6 5 kg No.12 Tie W</t>
  </si>
  <si>
    <t xml:space="preserve"> Please submit your quotation for the following items on or before 5:00PM on Jul 16, 2020. ITEM D E S C R I P T I O N QTY. UNIT 1 Battery Charger, Kenwood, Universal 36 pc 2 Belt Clip, Kenwood 31 pc Awarding is in LUMP-SUM basis, however, the supplier is r</t>
  </si>
  <si>
    <t xml:space="preserve"> Unit	Description	Quantity 54,400	pages 	Life Skills modules reproduced  56,520	pages 	Self-Learning modules reproduced 3,600	copies	Life Skills modules w/ plastic cover binding  2,160	copies	Self- Learning modules w/ plastic cover binding  240	reams	bond </t>
  </si>
  <si>
    <t xml:space="preserve"> 2   UNITS RENTAL OF LAPTOP                  CPU: CORE i7                  RAM: 16 GB                  HDD: 1 TB                  SSD/EMMC: 256 GB                  SCREEN:  14 INCH                  OS: Windows  10Pro</t>
  </si>
  <si>
    <t xml:space="preserve"> Republic of the Philippines Province of Lanao del Norte Municipality of Tubod OFFICE OF THE BIDS AND AWARDS COMMITTEE INVITATION TO BID CONCRETING OF LOCAL ACCESS ROAD   Legaspino-Highway Patrol, Poblacion, Tubod, Lanao del Norte  (ITB-2020-JDL-008) Appro</t>
  </si>
  <si>
    <t xml:space="preserve"> Please submit your quotation for the following items on or before 5:00PM on Jul 16, 2020. ITEM D E S C R I P T I O N QTY. UNIT  1 Submersible Pump, 60 HP / Multi-Stage 1 unit Technical Specs: Pump shall be 5 stages designed for raw water supply, groundwat</t>
  </si>
  <si>
    <t xml:space="preserve"> Please see attached RFQ # 20-1114 Submit your Sign and Sealed Quotation together with your UPDATED ELIGIBILITY Requirements For more details please call PSU (927-5263) or Email us at damimaropasvp@gmail.com For more details please call Rice Program (426-0</t>
  </si>
  <si>
    <t xml:space="preserve"> 2220 LITERS DIESEL DELIVERED AT POBLACION, LUBUAGAN</t>
  </si>
  <si>
    <t xml:space="preserve"> Expansion of Potable Water System Level II (Repost)</t>
  </si>
  <si>
    <t xml:space="preserve"> Republic of the Philippines BATANGAS STATE UNIVERSITY Batangas City REQUEST FOR QUOTATION "Procurement of labor and materials to be use in the installation of new water supply at the University Wellness Center"  1. The Batangas State University (BatState </t>
  </si>
  <si>
    <t xml:space="preserve"> 1.CHOL (44mlx 10/box) - 1 box		 2.TG (44 mlx10/box) - 1 box		 3.ALT/GPT 4+1 5L 2 x 62.5 ML - 1 box		 4.GOT AST (R1:44mlx/box R2:22mlx3/box) - 1 box		 5. HDL DIRECT (R1:30mlx4/box,R2:10mlx/box - 1 box		 6.MULTI CAL - 2 boxes		 7.UA (44mlx10/box) - 1 box		 </t>
  </si>
  <si>
    <t xml:space="preserve"> 1	box	AST Reagent (250ml) 1	box	ALT Reagent (250ml) 1	box	Glucose Reagent (500 ml) 1	box	Creatinine Reagent (200ml) 1	box	Blood Urea Nitrogen Reagent (250 ml) 1	box	Blood Uric Acid Reagent (200ml) 1	box	Triglyceride Reagent (100ml) 1	box	Cholesterol Reage</t>
  </si>
  <si>
    <t xml:space="preserve"> 250	vials	Pneumococcal Polysaccharide Vaccine (PPSV23)                 Pneumococcal Vaccine Polyvalent in a Pre-Filled Syringe or with syringe inclusion</t>
  </si>
  <si>
    <t xml:space="preserve"> Republic of the Philippines											 Department of Public Works and Highways											 TACLOBAN CITY 											 DISTRICT ENGINEERING OFFICE											 REGIONAL OFFICE VIII											 New Bus Terminal, Brgy. Abucay, Tacloban City	 										 Procuring </t>
  </si>
  <si>
    <t xml:space="preserve"> Republic of the Philippines PROVINCE OF NUEVA VIZCAYA Munici pality of Aritao BIDS AND AWARDS COMMITTEE               INVITATION TO REBID FOR  PURCHASE/DELIVERY OF PLASTIC DENSIFIER/MELTER MACHINE FOR RESIDUAL WASTES 1.	The Municipality of Aritao, through</t>
  </si>
  <si>
    <t xml:space="preserve"> 4	PACK	Acetate Sheet Long 5'slong	 10	PACK	Art Paper Assorted Color 10'S	 24	PC	Ballpen HBW Assorted	 2758	PC	Ballpen HBW Black* 20	PC	Ballpen HBW Blue* 20	PC	Ballpen HBW Red* 60	PC	Ballpen PILOT Assorted* 968	PC	Ballpen PILOT Black* 268	PC	Ballpen PILOT </t>
  </si>
  <si>
    <t xml:space="preserve"> REQUEST FOR QUOTATION Please quote your prices on the supplies listed which the Municipality of Kalawit, Zamboanga del Norte desires to buy item if advantageous to the government. NAME OF PROJECTS			 : SUPPLY AND DELIVERY OF 1300 LITERS OF DIESEL/FUEL   L</t>
  </si>
  <si>
    <t xml:space="preserve"> The Romblon State University, through its Bids and Awards Committee (BAC), invites Bidders to apply for eligibility and if found eligible, to bid for the here under contract. Interested bidders may obtain further information from Romblon State University </t>
  </si>
  <si>
    <t xml:space="preserve"> Republic of the Philippines Office of the Barangay Chairman BIDS AND AWARDS COMMITTEE Pangascasan, Sual, Pangasinan INVITATION TO BID FOR THE PROCUREMENT OF GOVERNMENT VEHICLE 1.	The Barangay Pangascasan through its Bids and Awards Committee, intends to a</t>
  </si>
  <si>
    <t xml:space="preserve"> The Motor Pool Section of the Court, through the Procurement Section, invites interested motor shops to submit cost estimates for the Check/repair or replace burned-out fuse box,etc. of a HONDA CRV Plate#SGS 308. PLEASE DOWNLOAD ATTACHED DOCUMENT NOTE: Co</t>
  </si>
  <si>
    <t xml:space="preserve"> Glass Installation</t>
  </si>
  <si>
    <t xml:space="preserve"> PR. No. 81-2020 (MAO) 1. 47 bag Certified Palay Seeds (40kgs. / Bag)</t>
  </si>
  <si>
    <t xml:space="preserve"> Republic of the Philippines Province of Lanao del Norte Municipality of Tubod OFFICE OF THE BIDS AND AWARDS COMMITTEE INVITATION TO BID CONSTRUCTION OF COLUMBARIUM NICHES Public Cemetery, Tubod, Lanao del Norte  (ITB-2020-JDL-009) Approved Budget for the </t>
  </si>
  <si>
    <t xml:space="preserve"> AS PER APPROVED PROGRAMS</t>
  </si>
  <si>
    <t xml:space="preserve"> PLEASE SEE ATTACHED AND DOWNLOAD THE DOCUMENT</t>
  </si>
  <si>
    <t xml:space="preserve"> I. DENGUE CHEMICALS</t>
  </si>
  <si>
    <t xml:space="preserve"> Please submit your quotation for the following items on or before 5:00PM on Jul 13, 2020. ITEM D E S C R I P T I O N QTY. UNIT 1 PPE, Mask, Face, 3 Ply (Ear-loop) 95 box Awarding is in LUMP-SUM basis, however, the supplier is required to indicate its bid </t>
  </si>
  <si>
    <t xml:space="preserve"> Job Order: Labor and Materials for the repair and maintenance of air conditioning units located at DA ILIARC 		Job Order: Labor and Materials for the repair and maintenance of air conditioning units located at DA ILIARC		  	 	 		  	 	Kolin 3tr floor mount</t>
  </si>
  <si>
    <t xml:space="preserve"> Nonolithic full fabric partition w/out glass 120CM(H)x80CM(W) --------------13 units		 Materials:							    *high presurred laminated board, 6 cm panel thickness							    *full fabric							    *w/ wire management							   *Easy to assemble and dismantle</t>
  </si>
  <si>
    <t xml:space="preserve"> Item Number	Description	 QTY 	UNIT	 ESTIMATED BUDGET  1	Bond Paper - 11x17 Subs. 20	4	reams	 1,680.00  2	Bond Paper Long Subs. 20, 70gsm	200	reams	 49,000.00  3	Bond Paper A4 Subs. 20, 70gsm	150	reams	 31,500.00  4	Ink for Brother DCP-T710W (Black)	20	btl</t>
  </si>
  <si>
    <t xml:space="preserve"> I. UMBRELLA/ RAIN BOOTS</t>
  </si>
  <si>
    <t xml:space="preserve"> Scope of Work: I. GENERAL REQUIREMENTS II. EARTHWORKS III. CONCRETE WORKS IV. MASONRY WORKS VII. CEILING WORKS VIII. TILE WORKS IX. PLUMBING WORKS X. ELECTRICAL WORKS XI. DOORS AND WINDOWS XII. FINISHING WORKS</t>
  </si>
  <si>
    <t xml:space="preserve"> Tire/Flap/Tube 13.00x24</t>
  </si>
  <si>
    <t xml:space="preserve"> Please quote your lowest price on the item(s) listed, subject to the Terms and Conditions stated below and submit your quotations duly signed by your representative not later than 9:00AM of July 2, 2020 in a sealed envelope to the Office of the BAC Secret</t>
  </si>
  <si>
    <t xml:space="preserve"> See attached Bidding Documents.</t>
  </si>
  <si>
    <t xml:space="preserve"> SEE ATTACHE RFQ</t>
  </si>
  <si>
    <t xml:space="preserve"> Please see attached RFQ # 20-1166 Submit your Sign and Sealed Quotation together with your UPDATED ELIGIBILITY Requirements at 3/F ATI Building Department of Agriculture Region IV-MiMaRoPa, Property&amp;Supply Unit/BAC Secretariat Elliptical Road, Diliman, Qu</t>
  </si>
  <si>
    <t xml:space="preserve"> lactating Feeds for Carabao 161 bags  growerr feeds for carabao 105 bags</t>
  </si>
  <si>
    <t xml:space="preserve"> Purchase of  1,864 sets Rubber Mats  Specifications: 4 pcs per set, size: 1 meter  x 1 meter thickness: half inch Purchase of  932 sets Wooden Toolkit Specifications: with 24 wooden pieces including 932 child size play hammer, wrench, screwdriver, wooden </t>
  </si>
  <si>
    <t xml:space="preserve"> Supply and delivery of various vegetables seeds to be distributed to Typhoon Ineng affected farmers in the region 1,550	packet	Tomato OPV @ 3g/packet		  	 	Germination Rate: 80%; Potential Yield: 36 mt/ha; Maturity: 55-60 DAT		 1,525	packet	Eggplant OPV @</t>
  </si>
  <si>
    <t xml:space="preserve"> 300	kits	CoVid-19 Rapid Antibody Test Kits                 Detects IgG/IgM Antibody                 FDA Approved</t>
  </si>
  <si>
    <t xml:space="preserve"> REQUEST FOR QUOTATION 				                                      Date: July 6, 2020 				                                               Quotation No/PR No. 94 To all Eligible Suppliers: I.  Please quote your lowest price inclusive of VAT on the item listed </t>
  </si>
  <si>
    <t xml:space="preserve"> The material should be a brass.</t>
  </si>
  <si>
    <t xml:space="preserve"> Republic of the Philippines Province of Davao Oriental City of Mati BIDS &amp; AWARDS COMMITTEE INVITATION TO BID LOT Procurement of VEHICLE PARTS for the Use of Mitsubishi Estrada of the Provincial Governor’s Office SOURCE OF FUND: PGO [1011-5-02-13-060-01] </t>
  </si>
  <si>
    <t xml:space="preserve"> 3	kilo	Welding Rod 2	piece	G.I Pipe (2 x 20 x ¼) 8	piece	Corrugated Bar #12 6	piece	Corrugated G.I Sheets (G 26x10) 2	kilo	Tie Wire 2	piece	Paint Brush #4 2	nag	Cement 8	bag	Cement 12	cubic	Sand 1	cubic	Gravel 20	piece	Faucet 12	bag	Cement 2	cu.m	Sand 1	c</t>
  </si>
  <si>
    <t xml:space="preserve"> Various Hardware Materials</t>
  </si>
  <si>
    <t xml:space="preserve"> Item Number	Description	 QTY 	UNIT	 ESTIMATED BUDGET  	WELDING TOOLS			 1	Welding Machine (500 Amps)	1	unit	 40,000.00  2	Angle Bending Machine 	1	unit	 80,000.00  3	Bench Grinder (550 watts)	1	unit	 12,500.00  4	Bench Drill/Drill Press	1	unit	 10,000.00 </t>
  </si>
  <si>
    <t xml:space="preserve"> PROJECT INCLUDES THE FOLLOWING: 1. PRINTING - SINGLE PAGE - A4 70 GSM 2. SORTING 3. STAPLED WIRED - LEFT SIDE</t>
  </si>
  <si>
    <t xml:space="preserve"> Supply and delivery of 1 set Desktop Computer with complete set of Monitor, CPU, Mouse, Keyboard and 1 TB External Hardrive  1	set	Desktop Computer with complete set of Monitor, CPU, Mouse, Keyboard and 1 TB External Hardrive to be used in the upload of 	</t>
  </si>
  <si>
    <t xml:space="preserve"> Job Order: Labor and Materials for the relocation of outdoor units, installation of brackets, vacuum service and refrigerant charging of air conditioning units 		Job Order: Labor and Materials for the relocation of outdoor units, installation of brackets,</t>
  </si>
  <si>
    <t xml:space="preserve"> Labor and Materials</t>
  </si>
  <si>
    <t xml:space="preserve"> I. REFLECTORIZED VESTS II. WHISTLES</t>
  </si>
  <si>
    <t xml:space="preserve"> Republic of the Philippines Province of Davao Oriental City of Mati BIDS &amp; AWARDS COMMITTEE INVITATION TO BID (REBID) LOT Procurement of MATERIALS for Use in the Construction of Staff House at Tourism Complex, Brgy. Don Martin Marundan, City of Mati, Dava</t>
  </si>
  <si>
    <t xml:space="preserve"> 12		pack		Parchment paper	 5		roll		Ribbons (assorted color)	 3		pack		Photo paper	 4		roll		Fringes	 100		pcs		Glue stick	 5		roll		Duck tape	 185		pcs		Diploma case	 10		pcs		Styrofoam	 5		box		Thumb tucks	 3		pcs		Elmers glue (1 liter)	 30		pack		Velum</t>
  </si>
  <si>
    <t xml:space="preserve"> 50.0	liters	Gasoline 1	cu.m	Sand 1	cu.m	Gravel 135	piece	Hollow Blocks 65	piece	Tiles 15	piece	Tile Frame 20	piece	PVC Pipe 10	piece	Faucet 20	piece	Elbow 1 half 10	piece	Tapelon 25	bag	Cement 20	length	Deformed Bar 8mm 20	length	Deformed Bar 10mm 2	piece</t>
  </si>
  <si>
    <t xml:space="preserve"> Republic of the Philippines Province of Davao de Oro MUNICIPALITY OF COMPOSTELA BIDS AND AWARDS COMMITTEE CP#: 0998-571-7569 Invitation for Negotiated Procurement  Purchase of One (1) unit Computer Server with Complete Accessories - MASSO 1.	The Municipal</t>
  </si>
  <si>
    <t xml:space="preserve"> I. KIDDIE MONOBLOCK CHAIRS/ TABLES</t>
  </si>
  <si>
    <t xml:space="preserve"> PURCHASE REQUEST														 														 NATIONAL IRRIGATION ADMINISTRATION														 Iloilo-Guimaras Irrigation Management Office														 Region VI, Brgy. Tacas, Jaro, Iloilo City														 														 Department		IGIMO										PR </t>
  </si>
  <si>
    <t xml:space="preserve"> PR. No. 82-2020 (LDRRMO) 1.	3	drums	Chlorine Granules 2.	15	gallons	70% Isopropyl Alcohol  3.	10	gallons	Liquid Disinfectant  4.	15	boxes	Nitrile Gloves (large) 5.	6	boxes	Nitrile Gloves (Medium)</t>
  </si>
  <si>
    <t xml:space="preserve"> PLS SEE ATTACHMENT</t>
  </si>
  <si>
    <t xml:space="preserve"> Republic of the Philippines						 	Cordillera Administrative Region						 	Provincial Local Government Unit of Ifugao						 	BIDS AND AWARDS COMMITTEE ON GOODS						 	2nd Floor COA Bldg., Capitol Compound						 	Lagawe, Ifugao						 	Email Ad.: bacgoodsif</t>
  </si>
  <si>
    <t xml:space="preserve"> 339 pcs Flu Vaccine</t>
  </si>
  <si>
    <t xml:space="preserve"> RUBBER DUCT ANTENNA &amp; 19 OTHER L/I</t>
  </si>
  <si>
    <t xml:space="preserve"> Item Number	Description	 QTY 	UNIT	 ESTIMATED BUDGET  	Construction Materials			 1	Angle Bar # 1/4" x 2" x 2"	25	lengths	 24,900.00  2	Angle Bar # 1/4" x 1" x 1"	16	lengths	 9,600.00  3	Angle Bar # 1 1/2" x 1 1/2" x 3/16	16	lengths	 8,800.00  4	Angle Bar </t>
  </si>
  <si>
    <t xml:space="preserve"> Please see attached RFQ # 20-1220-2 Submit your Sign and Sealed Quotation together with your UPDATED ELIGIBILITY Requirements at 3/F ATI Building Department of Agriculture Region IV-MiMaRoPa, Property&amp;Supply Unit/BAC Secretariat Elliptical Road, Diliman, </t>
  </si>
  <si>
    <t xml:space="preserve"> HAND SANITIZER &amp; 17 OTHER L/I</t>
  </si>
  <si>
    <t xml:space="preserve"> One Job Supplying Labor and Materials for Poultry Duck Facility Please refer to associated components for more information.</t>
  </si>
  <si>
    <t xml:space="preserve"> DRESS BLUE (BRAVO)</t>
  </si>
  <si>
    <t xml:space="preserve"> TONER, LASERJET CARTRIDGE #13 Magenta &amp; 8 other L/I</t>
  </si>
  <si>
    <t xml:space="preserve"> The Department of Environment and Natural Resources, PENRO, Ipil, Zamboanga Sibugay through its Bids and Awards Committee, intends to procure construction supplies for the perimeter fence of DENR lot, Upper Calarian, Zamboanga City. Please submit your quo</t>
  </si>
  <si>
    <t xml:space="preserve"> Please see attached RFQ for the full description of the item and for terms and conditions. Please submit your quotation on or before the closing date.</t>
  </si>
  <si>
    <t xml:space="preserve"> The Department of Environment and Natural Resources, PENRO, Ipil, Zamboanga Sibugay through its Bids and Awards Committee, intends to procure labor services: fencing of DENR Lot, Upper Clarian, Zamboanga City. Please submit your quotation/proposal duly si</t>
  </si>
  <si>
    <t xml:space="preserve"> SEE ATTACHED RFQ</t>
  </si>
  <si>
    <t xml:space="preserve"> DRESS BLOUE (BRAVO)</t>
  </si>
  <si>
    <t xml:space="preserve"> 1.	The Capiz Provincial Government, through the GOP–2020 intends to apply the total amount of Six Hundred Thousand Six Hundred Pesos (Php 600,600.00) being the total aggregated Approved Budget for the Contract (ABC) to payments under the contract of Publi</t>
  </si>
  <si>
    <t xml:space="preserve"> Republic of the Philippines BATANGAS STATE UNIVERSITY Batangas City REQUEST FOR QUOTATION "Procurement of Customized Medal for Integrated School" 1. The Batangas State University (BatState U) through the Bids and Awards Committee invites interested firms/</t>
  </si>
  <si>
    <t xml:space="preserve"> FOOD PROVISION FOR THE ORIENTATION ON SCHOOL-BASED MENTAL HEALTH &amp; PSYCHO-SOCIAL SUPPORT SERVICE PROVIDERS JULY -AUGUST, 2020 200 pax    - AM SNACKS: sandwich and a glass of lemonade                   LUNCH:  rice, pork humba, chicken lollipop, mixed vege</t>
  </si>
  <si>
    <t xml:space="preserve"> INVITATION TO BID FOR Construction of Steel Bleacher at Daramuangan Norte E/S Evacuation Center  (INFRA 2020-13) 1.	The LOCAL GOVERNMENT UNIT OF SAN MATEO, ISABELA (LGU-SMI), through its Bids and Awards Committee  intends to apply the sum of THREE HUNDRED</t>
  </si>
  <si>
    <t xml:space="preserve"> Republic of the Philippines Province of Davao Oriental City of Mati BIDS &amp; AWARDS COMMITTEE INVITATION TO BID LOT Procurement of MATERIALS for Use in the Relocation of Secondary Line Extension at Tourism Complex, Menzi, Brgy. DMM, City of Mati, Davao Orie</t>
  </si>
  <si>
    <t xml:space="preserve"> Specification: PAPER SIZE A4 (PRINTING,BIND, SINGLE PAGE 70 GSM) TARGET COMPLETION TIME: 15 DAYS  Learning packets - Grade 7 315 pages x 247 students  = 77,805    0.60 cents    46,683.00 Learning packets - Grade 8 353 pages  x 224 students = 79,072    0.6</t>
  </si>
  <si>
    <t xml:space="preserve"> Sir/Madam:					       The Bureau of Communications Services would like to request for a quotation for the following item with ABC of P95,085.00.					                     					 Qty.	Unit				 					 750	sheet	Kromekote 189lbs. 40"x26"			 15	ream  	Bookpaper </t>
  </si>
  <si>
    <t xml:space="preserve"> 15 rolls HDPE Pipe SDR-11, 3/4 x 150m cts, black</t>
  </si>
  <si>
    <t xml:space="preserve"> Supply of Labor and Parts for Jungheinrich Lift Trucks ERC 214, as per BSP Terms of Reference and Terms and Conditions</t>
  </si>
  <si>
    <t xml:space="preserve"> 00Republic of the Philippines National Kidney and Transplant Institute Bids and Awards Committee East Avenue, Quezon City 1100 981-0300 / 981-0400 local 1157 http://www.nkti.gov.ph/ 1.The NATIONAL KIDNEY AND TRANSPLANT INSTITUTE (NKTI) invites interested </t>
  </si>
  <si>
    <t xml:space="preserve"> Republic of the Philippines Province of South Cotabato BIDS AND AWARDS COMMITTEE Capitol Compound Alunan Avenue, Koronadal City Tel. Fax No.: (083) 228-9951/228-8570 INVITATION TO BID FOR THE SUPPLY AND DELIVERY OF VARIOUS VETERINARY SUPPLIES 1.  The PROV</t>
  </si>
  <si>
    <t xml:space="preserve"> HAND SANITIZER &amp; 29 OTHER L/I</t>
  </si>
  <si>
    <t xml:space="preserve"> ACETATE, PLASTIC CLEAR &amp; 9 OTHER L/I</t>
  </si>
  <si>
    <t xml:space="preserve"> BIDS AND AWARDS COMMITTEE (BAC) Request for Quotation DATE:	_____________ RFQ NO.:	2020-06-051 PR NO.:	20-06-061   To:	All Eligible Suppliers	                                                                                                                 </t>
  </si>
  <si>
    <t xml:space="preserve"> CLING WRAP MAGIC SUPER C 300M X 30CM &amp; 9 OTHER L/I</t>
  </si>
  <si>
    <t xml:space="preserve"> Republic of the Philippines Department of Health Central Luzon Center for Health Development TALAVERA GENERAL HOSPITAL 	Talavera, Nueva Ecija	      ISO QMS Certified REQUEST FOR QUOTATION  for Talavera General Hospital Date: July 3, 2020 RFQ No.: 2020-56 </t>
  </si>
  <si>
    <t xml:space="preserve"> BOOK, RECORD 300PP &amp;* 18 OTHER L/I</t>
  </si>
  <si>
    <t xml:space="preserve"> 3 units Power Sprayer (1HP w/ accessories) 3 pcs.  Tent (3.5m x 3.5m x 6ft) 6 pcs.  Rechargeable Flashlight (Heavy Duty) 6 sets. Extension wire with socket and Bulb (15m)</t>
  </si>
  <si>
    <t xml:space="preserve"> office furniture</t>
  </si>
  <si>
    <t xml:space="preserve"> ACID HYDROCHLORIDE &amp; 12 OTHER L/I</t>
  </si>
  <si>
    <t xml:space="preserve"> Republic of the Philippines Province of Lanao del Norte Municipality of Tubod OFFICE OF THE BIDS AND AWARDS COMMITTEE INVITATION TO BID ESTABLISHMENT OF LGU-MANAGED FM RADIO STATION Tubod, Lanao del Norte  (ITB-2020-JDL-010) Approved Budget for the Contra</t>
  </si>
  <si>
    <t xml:space="preserve"> ENVELOPE, DOC BROWN LONG (50's/Pk) &amp; 18 other l/i</t>
  </si>
  <si>
    <t xml:space="preserve"> H100</t>
  </si>
  <si>
    <t xml:space="preserve"> Maintenance of Footbridge @ Sitio Balitbiton, Barangay Nueva Fuerza,Carmen,Bohol 1/4"x1"x1"x6m angle bars std. 12mm dia. x 6m def. bars 15 kgs. Welding rod 2 gallons epoxy primer 2 pcs. #1 1/2 paint brush 10 pieces cutting dish 100 pieces U-bolt (see samp</t>
  </si>
  <si>
    <t xml:space="preserve"> ARTICLE AND DESCRIPTION											 ITEM	QTY.	UNIT						CEILING 					UNIT PRICE		TOTAL  								PRICE							 															 				Office: Department of Public Services				PR No. 652							 				Charge to: Office Supplies Expenses				OBR No. 100-2005-04427			</t>
  </si>
  <si>
    <t xml:space="preserve"> Republic of the Philippines Department of Education National Capital Region Division of Taguig City and Pateros Taguig Cluster IV UPPER BICUTAN ELEMENTARY SCHOOL Gen. Santos Ave., Upper Bicutan Elementary School BIDS AND AWARDS COMMITTEE REQUEST FOR QUOTA</t>
  </si>
  <si>
    <t xml:space="preserve"> FOLDER, GLOSSY W/ PN LOGO (LONG) &amp; 8 OTHER L/I</t>
  </si>
  <si>
    <t xml:space="preserve"> Invitation to Bid Barangay 900, Zone 100, District VI through its Bids and Awards Committee (BAC), invites all suppliers duly accredited and approved by the City Council of Manila to bid for the hereunder projects: 3	reams	Barangay Clearance 3	reams	Baran</t>
  </si>
  <si>
    <t xml:space="preserve"> TIRE EXTERIOR 255/60 R17 &amp; 11 OTHER L/I</t>
  </si>
  <si>
    <t xml:space="preserve"> 65 GAL. MOLASSES 100 BAGS OF BERMECAST 50KGS/BAG</t>
  </si>
  <si>
    <t xml:space="preserve"> FACE MASK N95 ANTIVIRUS &amp; 18 OTHER L/I</t>
  </si>
  <si>
    <t xml:space="preserve"> INK, HP60 BLACK &amp; 15 OTHER L/I</t>
  </si>
  <si>
    <t xml:space="preserve"> TISSUE PAPER TOWEL &amp; 27 OTHER L/I</t>
  </si>
  <si>
    <t xml:space="preserve"> Republic of the Philippines Province of Guimaras Municipality of Sibunag INVITATION TO BID FOR  Bid No. 2020-019 – For the Impv’t. of Drainage System in the Municipal Site The Municipality  of Sibunag, through the 2018 LGSF-TRUSTFUND (MSWDO) intends to ap</t>
  </si>
  <si>
    <t xml:space="preserve"> Item No.	Description	Unit	Quantity 1	All-in-One Ink Tank Printer	Unit	1 	Specifications:		 	   -Print Speeds up to 15ipm black and 8.0ipm for colour		 	   -Auto-duplex printing		 	   -Fax and ADF capability		 	   -Ethernet and Wi-Fi direct		 	   -Borderle</t>
  </si>
  <si>
    <t xml:space="preserve"> 270 BAG PORTLAND CEMENT -------------------------------------------------------------------------------------------------- 24 CUM GRAVEL -------------------------------------------------------------------------------------------------- 18 CUM WASHED SAND </t>
  </si>
  <si>
    <t xml:space="preserve"> see associated component</t>
  </si>
  <si>
    <t xml:space="preserve"> 2 unit of 5 hp motor and motor w/ capacity of 237 and 158 gpm single phase 230 volts</t>
  </si>
  <si>
    <t xml:space="preserve"> PR No. 2020-07-0058 -Supply and delivery of 5 tubes Toner 221 Black (INEO 287) and Seventeen (17) other items for use in the Planning &amp; Design, Finance, Quality Assurance, Construction, Administrative and Maintenance Sections.</t>
  </si>
  <si>
    <t xml:space="preserve"> Republic of the Philippines Province of Davao del Sur MUNICIPALITY OF STA.CRUZ INVITATION TO BID  PROCUREMENT OF 1 LOT SUPPLY AND INSTALLATION OF VHF REPEATER SYSTEM FOR UNIFIED COMMUNICATION SYSTEM ADDITIONAL EQUIPMENT - 1ST POSTING (ITB No. 21-Goods-202</t>
  </si>
  <si>
    <t xml:space="preserve"> PR No.:		P2020-06-134		Mode of Procurement:		 AMP-SHOPPING	 PR Date:		06-02-20		RFQ No.:		    2020-06-108	 Requisitioner:		PENRO		Philgeps Reference No.:			 ABC:		P152,214.20 		Closing Date:			 				Time:			 							            Please quote your lowest pric</t>
  </si>
  <si>
    <t xml:space="preserve"> 1. 100 bag Portland cement  2. 15  cu.m. Washed sand  3. 20 cu.m. Aggregate Base Gravel  4. 20 cu.m Clean Gravel  5. 20 pcs 2x6x12 Matwood  6. kgs. 3'Com. Nail  7. 8 pcs. 10mm dia DSB</t>
  </si>
  <si>
    <t xml:space="preserve"> MIDICINE FOR KIDS</t>
  </si>
  <si>
    <t xml:space="preserve"> Supply and installation of one (1) lot sunscreen roller shades for the new office of SSS Rosario Branch (formerly EPZA Rosario) List of Requirements: 1. BIR 2303 2. PhilGEPS Registration 3. Business/Mayor's Permit 4. Omnibus Sworn Statement 5. Sealed Quot</t>
  </si>
  <si>
    <t xml:space="preserve"> PR No. 2020-07-0057 -Supply and delivery of 100 liters Oil 40 and five (5) other items for use in Maintenance, Construction, Planning &amp; Design, and Quality Assurance Sections service vehicles and equipment.</t>
  </si>
  <si>
    <t xml:space="preserve"> Food Stuff</t>
  </si>
  <si>
    <t xml:space="preserve"> INVITATION TO BID The City Government of Pasay, through its Bids and Awards Committee (BAC) invites suppliers/manufacturers/distributors/contractors to apply and submit sealed bids for the supply and delivery of the following: Proposed LAUNDRY SERVICES fo</t>
  </si>
  <si>
    <t xml:space="preserve"> Republic of the Philippines									 Province of Misamis Oriental									 MUNICIPALITY OF VILLANUEVA									 REQUEST FOR QUOTATION									 Quotation No. 2020- ____________									 									 			Date						 									 									 									 Sir:									 	Pl</t>
  </si>
  <si>
    <t xml:space="preserve"> Invitation to Bid Barangay 833, Zone 91, District VI through its Bids and Awards Committee (BAC), invites all suppliers duly accredited and approved by the City Council of Manila to bid for the hereunder projects: 1	unit	  BP Apparatus 2	units	  Nebulizer</t>
  </si>
  <si>
    <t xml:space="preserve"> PR. No. 79-2020 (LDRRMO) 1.	30	pcs	Customized Cover-all w/ Hoddie (PPE) 3 Colors  2.	18	pcs	Customized Polo Shirt w/ Embroidered logo 3.	6	pcs	Customized Jacket w/ Embroidered logo 4.	12	pcs	Customized Tactical Pants (2 design) 5.	500	pcs	Washable Face Ma</t>
  </si>
  <si>
    <t xml:space="preserve"> see attached documents</t>
  </si>
  <si>
    <t xml:space="preserve"> REQUEST FOR QUOTATION 						 Procurement of Goods - SUPPLY AND DELIVERY OF INKS FOR L3110 PRINTERS 						 						 The Davao Prison and Penal Farm, through its Bids and Awards Committee (BAC) intends to  apply						 the sum of ONE HUNDRED FOUR THOUSAND PESO</t>
  </si>
  <si>
    <t xml:space="preserve"> Supply and Installation of Water Supply System</t>
  </si>
  <si>
    <t xml:space="preserve"> INVITATION TO BID The City Government of Pasay, through its Bids and Awards Committee (BAC) invites suppliers/manufacturers/distributors/contractors to apply and submit sealed bids for the supply and delivery of the following: Proposed Repair and Maintena</t>
  </si>
  <si>
    <t xml:space="preserve"> Qty.    unit of Issue    Items      Descriptions/Specifications    Estimated Unit Cost   Estimated Total cost 1  unit  Desktop                                                                   30,000.000                    30,000.00             Processor </t>
  </si>
  <si>
    <t xml:space="preserve"> 12 gals Advance Cooling Water Treatment Concentrate 12 gals Ultra Cut Semi - Synthetic Cutting Fluid x-x-xx-x-x-x-x-xx-x-x-xx--x-x-xx-x-xxx</t>
  </si>
  <si>
    <t xml:space="preserve"> SOLENOID DIAPHRAGM METERING PUMP</t>
  </si>
  <si>
    <t xml:space="preserve"> Contract ID:	20FH0097 Contract Name:	REPAIR/MAINTENANCE OF NATIONAL ROAD ALONG CCR PANDAN-CARAMORAN ROAD SECTION (K0111+600 - K0112+700) AT INTERMITTENT SECTION Contract Location:	PANDAN-CARAMORAN ROAD SECTION Scope of Work:	103.5 L.M. REBLOCKING Approved</t>
  </si>
  <si>
    <t xml:space="preserve"> Women’s Steel Watch  Technical specifications: •	Triple-fold Clasp •	Stainless Steel Silver Tone Band •	Mineral Glass •	Water Resistant o	Date display o	Regular timekeeping Analog: 3 hands (hour, minute, second) o	Accuracy: ±20 seconds per month o	Approx.</t>
  </si>
  <si>
    <t xml:space="preserve"> 15 bottles - IN (EPSON) CYAN T664 15 bottles - IN (EPSON) MAGENTA T664 15 bottles - IN (EPSON) YELLOW T664 15 bottles - IN (EPSON) BLACK T664 3 units - NOISE BARRING HEADSET WITH MIC 2 units - PORTABLE BLUETOOTH SPEAKER 2 units - LAPTOP/COMPUTER CAMERA 4 </t>
  </si>
  <si>
    <t xml:space="preserve"> Supply and installation of one (1) lot branch signages for the new office of SSS Rosario Branch (formerly EPZA Rosario) List of Requirements: 1. BIR 2303 2. PhilGEPS Registration 3. Business/Mayor's Permit 4. Omnibus Sworn Statement 5. Sealed Quotation/Pr</t>
  </si>
  <si>
    <t xml:space="preserve"> Sir/Madam:					     The Bureau of Communications Services would like to request for a quotation for the following item with ABC of P54,950.00.					                     					 Qty.	Unit				 					 750	sheet	Kromekote 189lbs. 40"x26"			 23	ream 	Bookpaper 60l</t>
  </si>
  <si>
    <t xml:space="preserve"> NUTIRITION FOOD FOR MASS FEEDING</t>
  </si>
  <si>
    <t xml:space="preserve"> CCTV WITH PUBLIC ADDRESS</t>
  </si>
  <si>
    <t xml:space="preserve"> 1. 45 bag portland cement  2.20 cu.m. washed Sand  3. 15 cu.m Clean Gravel  4. 20 pcs. 2x6x12 Matwood  5. 2 kgs 3' C. Nail  6. 8 pcs 10mm dia DSB 7.20 cu.m Agg.Base Coarse</t>
  </si>
  <si>
    <t xml:space="preserve"> PR No.:		P2020-06-149		Mode of Procurement:		 AMP-SHOPPING	 PR Date:		25-Jun-20		RFQ No.:		2020-06-121	 Requisitioner:		PENRO		Philgeps Reference No.:			 ABC:		P85,405.00 		Closing Date:			 				Time:			 							            Please quote your lowest price on</t>
  </si>
  <si>
    <t xml:space="preserve"> Design software for FAB Lab and Plagiarism Checker for Research</t>
  </si>
  <si>
    <t xml:space="preserve"> REQUEST FOR QUOTATION 						 Procurement of Goods - PROCUREMENT OF SUBMERSIBLE MOTOR WATER PLUMBING						 						 The Davao Prison and Penal Farm, through its Bids and Awards Committee (BAC) intends to  apply						 the sum of ONE HUNDRED EIGHT THOUSAND PES</t>
  </si>
  <si>
    <t xml:space="preserve"> LIVELIHOOD MATERIALS</t>
  </si>
  <si>
    <t xml:space="preserve"> INVITATION TO BID The City Government of Pasay, through its Bids and Awards Committee (BAC) invites suppliers/manufacturers/distributors/contractors to apply and submit sealed bids for the supply and delivery of the following: Supply and delivery of COOKI</t>
  </si>
  <si>
    <t xml:space="preserve"> Concreting of Pathway at Purok-6 at Barangay San Lorenzo Sta Elena Camarines NOrte</t>
  </si>
  <si>
    <t xml:space="preserve"> Installation of Best Tank, Facet and Water Line</t>
  </si>
  <si>
    <t xml:space="preserve"> Republic of the Philippines				 Province of Quezon 				 Municipality of Lucban				 				 Bill of Quantities				 Quantity	Unit	Articles/Description	Unit Price	Amount  50 	GALLONS	ALCOHOL		 20	PCS	THERMAL SCANNER	 	  			 	  			 	  			 	  			 	  			 	  			 	 </t>
  </si>
  <si>
    <t xml:space="preserve"> Supply and delivery of sixty eight (68) cavans and twenty (20) kilos of special sinandomeng rice for the relief operation due to COVID-19  Bayanihan Heal As One Act for the constituents of barangay 25 - Capricorn</t>
  </si>
  <si>
    <t xml:space="preserve"> 9 DRUMS DIESEL WITH SEAL 4 DRUMS UNLEADED GASOLINE WITH SEAL 7 DRUMS PREMIUM GASOLINE WITH SEAL 2 LITERS 2T OIL 2 PAILS HD OIL 40 2 PAILS HD OIL 10 18 LITERS GASOLINE ENGINE OIL 2 LITERS LUBRICANTS (GREASE) 2 BOTTLES BRAKE FLUID (900 ML.)</t>
  </si>
  <si>
    <t xml:space="preserve"> 1	unit	Brand New Hammer Mill with 18 HP Diesel Engine 1	unit	Housing structure 30 x 30 ft. with roofing</t>
  </si>
  <si>
    <t xml:space="preserve"> 1.) Twenty (20) kit Automated Susceptibility Strips for Gram, Bacil 2.)  Seven (7) kit Automated ID Strips for Gram Positive Organisms, 2 3.) Seven (7) kit Automated Susceptibility for Staphylococci/Enteroc 4.) Twenty (20) kit Automated ID for Gram Negati</t>
  </si>
  <si>
    <t xml:space="preserve"> P.R. No. X7-20-07-281 - Supply and Delivery for the use in the Conduct of Training on Structural Analysis and Design of Bridge Structures on July 14-17 &amp; 21-22, 2020, Planning and Design Division, 3rd quarter. (Please see attached RFQ)</t>
  </si>
  <si>
    <t xml:space="preserve"> Republic of the Philippines					 Province of Guimaras					 Municipality of Sibunag					 					 BIDS AND AWARDS COMMITTEE					 				                            July 06,2020	 					 REQUEST FOR QUOTATION					 ______________________________					 _______________</t>
  </si>
  <si>
    <t xml:space="preserve"> Republic of the Philippines				 Province of Quezon 				 Municipality of Lucban				 				 Bill of Quantities				 Quantity	Unit	Articles/Description	Unit Price	Amount  10 	FT.	MATTING		 2	PC	FAN BELT 3425	 	  1	PC	FAN BELT 5480	 	  6	LTR	ATF MOTOR CRAFT	 	  </t>
  </si>
  <si>
    <t xml:space="preserve"> Installation of Solar Panels for alternative power source of Multi-Purpose Hall</t>
  </si>
  <si>
    <t xml:space="preserve"> INVITATION TO BID Supply &amp; Delivery of Two Units Brand New Motorized Fiber Glass Boats City Agriculture Office, Tabaco City Contract ID No. 006-07-2020-GOODS ABC: Php 1,000,000.00 										July 06, 2020 	 1.	The City Government of Tabaco, through the Tru</t>
  </si>
  <si>
    <t xml:space="preserve"> 1. gasoline  2. FGA. 12 Valve , 660 cc. 3. Manual , 4 Wheel Drive (4x4) 4. Fabricated Budy (FB) 5. 16 Seaters  6. Tires - 165 x 65 x 13</t>
  </si>
  <si>
    <t xml:space="preserve"> 6	CU	SAND 4	PCS	COCO LUMBER 2X2X12 26	M	PDX #12 2	PCS	ELECTRIC TAPE  3	PCS	SOCKET 3	PCS	SWITCH 3	PCS	OUTLET 20	M	SERVICE DROPWIRE 3	PCS	LIGHT BULB 5 WATTS 2	PCS	CIRCUIT BREAKER</t>
  </si>
  <si>
    <t xml:space="preserve"> Republic of the Philippines Office of the Barangay Chairman BIDS AND AWARDS COMMITTEE Pangascasan, Sual, Pangasinan INVITATION TO BID FOR THE PROCUREMENT OF ONE (1) UNIT SPEEDBOAT 1.	The Barangay Pangascasan through its Bids and Awards Committee, intends </t>
  </si>
  <si>
    <t xml:space="preserve"> Request for Quotation Please see attached file at associated component</t>
  </si>
  <si>
    <t xml:space="preserve"> Republic of the Philippines					 Province of Guimaras					 Municipality of Sibunag					 					 BIDS AND AWARDS COMMITTEE					 				                         July 6,2020	 					 REQUEST FOR QUOTATION					 ______________________________					 ___________________</t>
  </si>
  <si>
    <t xml:space="preserve"> 13,000 LITERS - BACTERICIDE-FUNGICIDE SPECS: ACTIVE INGREDIENT: COPPER-BASED</t>
  </si>
  <si>
    <t xml:space="preserve"> Procurement of assorted construction supplies and materials for the repair of  President's Office Comfort Rooms as per attached Request for Quotation.</t>
  </si>
  <si>
    <t xml:space="preserve"> REQUEST FOR QUOTATION Date: July 2, 2020 RFQ No.: 2020 – 112 - Ifosfamide and Ondancentron  Name of Company:	________________________________________________________ Office Address:	________________________________________________________			______________</t>
  </si>
  <si>
    <t xml:space="preserve"> Republic of the Philipppines Province of Palawan Municipality of Taytay BIDS AND AWARDS COMMITTEE RFQ no.:2020 Date: July 06, 2020 REQUEST FOR PRICE QUOTATION (Procurement of various) Sir/Madam: You're hereby invited to quote your price(s) on the article(</t>
  </si>
  <si>
    <t xml:space="preserve"> Procurement of one (1) unit ID Maker for ASU-TEC Use as per attached Request for Quotation.</t>
  </si>
  <si>
    <t xml:space="preserve"> Supply and Delivery of Three (3) sets of Lineman’s Gloves, as per BSP Supplied Evaluation Matrix, Technical Specifications and Terms and Conditions</t>
  </si>
  <si>
    <t xml:space="preserve"> Contract ID:	20FH0098 Contract Name:	REPAIR/MAINTENANCE OF SLOPE PROTECTION ALONG CCR VIRAC-BATO-SAN MIGUEL-VIGA ROAD SECTION (K0020+300 - K0020+400) AT INTERMITTENT SECTION Contract Location:	KILIKILIHAN, SAN MIGUEL, CATANDUANES Scope of Work:	19 L.M. SL</t>
  </si>
  <si>
    <t xml:space="preserve"> 1. WET MARKET STALLS AND BENCH Concrete Works CHB Wall Support w/ Plain Cement Finish Tile Works Signage Painting 2. CONCRETING OF DRIVEWAY 3. REPAIR OF DRY SECTION ROOFING, WET SECTION AND BAGSAKAN Dry Section Structure Wet Section Structure Bagsakan Str</t>
  </si>
  <si>
    <t xml:space="preserve"> Republic of the Philippines PROVINCE OF ZAMBALES IBA BIDS AND AWARDS COMMITTEE Invitation to Bid for the Construction of Multi-Purpose Hall, Binabalian and Malimanga, Candelaria 1.	The Province of Zambales, through the 20% Economic Development Fund C.Y.-2</t>
  </si>
  <si>
    <t xml:space="preserve"> Concreting of 7.0m x 42.0m x 0.15m thk Multi-Purpose Pavement (Purok 1)</t>
  </si>
  <si>
    <t xml:space="preserve"> 64	BAGS	CEMENT 58	PCS	RSB #10 2	CU	GRAVEL 1	PC	PLYWOOD ¼ MARINE 6	KLS	TIE WIRE 2	KLS	CHW#2</t>
  </si>
  <si>
    <t xml:space="preserve"> Detailed Estimate		 For the Clearing of Barangay Road 		 at Barangay Gueset, Bugallon, Pangasinan		 		 ABC: 10,185.71		 A. Materials		 		 11	Laborer</t>
  </si>
  <si>
    <t xml:space="preserve"> 10 pcs	Modular Tent		 30 sets	Personal Protective Equipment (PPE) overall with facemask, face shield, gloves, shoe cover		 5 pcs	Disinfecting Mat (footbath)</t>
  </si>
  <si>
    <t xml:space="preserve"> 304th Contracting Office										 ARMED FORCES OF THE PHILIPPINES PROCUREMENT SERVICE										 Naval Station Leovigildo Gantioqui 										 San antonio, Zambales										 										 REQUEST FOR QUOTATION 										 										 06 July 2020						RFQ NO:</t>
  </si>
  <si>
    <t xml:space="preserve"> Contract ID:	20FH0099 Contract Name:	REPAIR/MAINTENANCE OF SLOPE PROTECTION K0173+110, MAYNGAWAY, SAN ANDRES, CATANDUANES Contract Location:	MAYNGAWAY, SAN ANDRES, CATANDUANES Scope of Work:	24 L.M., 4M HEIGHT SLOPE PROTECTION Approved Budget for the Cont</t>
  </si>
  <si>
    <t xml:space="preserve"> ABC: P 250, 000.00  Please see attached Technical Specification for complete details. Contact Person:  Mgr. Mariela Luz T. Cortez Branch Head DBP General Santos Branch  (082) 552-2328 / (083) 554-7821 To be delivered at: DBP General Santos Branch Roxas Ea</t>
  </si>
  <si>
    <t xml:space="preserve"> Procurement of Office Equipment (Procurement of ACU)</t>
  </si>
  <si>
    <t xml:space="preserve"> Installation of 8 Units Solar Streetlights(Complete set)</t>
  </si>
  <si>
    <t xml:space="preserve"> Republic of the Philippines Province of South Cotabato BIDS AND AWARDS COMMITTEE Capitol Compound Alunan Avenue, Koronadal City Tel. Fax No.: (083) 228-9951/228-8570 RE-INVITATION TO BID FOR THE SUPPLY AND DELIVERY OF 1 UNIT SHREDDER MACHINE 1.  The PROVI</t>
  </si>
  <si>
    <t xml:space="preserve"> REQUEST FOR QUOTATION Date: July 3, 2020							 RFQ No.: 2020 – 111 - 10 TR Compressor  Name of Company:	________________________________________________________ Office Address:	________________________________________________________			__________________</t>
  </si>
  <si>
    <t xml:space="preserve"> Republic of the Philippines Province of South Cotabato BIDS AND AWARDS COMMITTEE Capitol Compound Alunan Avenue, Koronadal City Tel. Fax No.: (083) 228-9951/228-8570 INVITATION TO BID FOR THE SUPPLY AND DELIVERY OF VARIOUS LABORATORY &amp; MEDICAL SUPPLIES 1.</t>
  </si>
  <si>
    <t xml:space="preserve"> 1	UNIT	TELEVISION SET 2	PCS	GLOBE 1	PC	TARTAULIN MAP OF MIMAROPA TOPOGRAPHY 1	PCS	TARPULIN MAP OF THE PHIL 1	PC	TARPAULIN OF NATIONAL &amp; LOCAL HEROES 6	PCS	CHART OF GOOD MANNER AND RIGHT CONDUCT 1	PC	PHIL FLAG</t>
  </si>
  <si>
    <t xml:space="preserve"> MATERIAL: Angle Bar 1 x 1 1/2 Steel Purlins 2x3 Welding Rod Cutting Disk 14" Lenox Blade Steel Wire #16 Coco lumber Assrtd. Nails #4 Galvanized Steel Roofing (.5MM) T screw #2 Blind Revit Plane Sheet (.5 MM) Round Steel Bar 10MMX6MM Cement Portland Crushe</t>
  </si>
  <si>
    <t xml:space="preserve"> To be delivered at Dumalag Vocational Technical School</t>
  </si>
  <si>
    <t xml:space="preserve"> Please see attached file.</t>
  </si>
  <si>
    <t xml:space="preserve"> THE OFFICE OF THE BIDS AND AWARDS COMMITTEE, SAN CARLOS CITY IS IN NEED OF SUPPLY/DELIVERY OF 1 UNIT UTILITY VEHICLE OVERALL (L x W x H)           4,435 X 1,695 X 1,705 WHEELBASE                        2,685mm                                          4 Cy</t>
  </si>
  <si>
    <t xml:space="preserve"> Engine Type: 4Stroke DTSI FI  Engine Capacity: 98.88cm3 Bore: 63.5 Storke:62.8 Spark Plug: 2Nos. (Champion-RG6HCC I BOSHCHI-UR6CC) Compression Ration: 97±:1 Idling rpm: 1400± 100 Cooling: Forced Air Cooling &amp; Cooling &amp; Oil Cooling Max Power: 7.3 kW @ 3500</t>
  </si>
  <si>
    <t xml:space="preserve"> PURCHASE OF TWO (2) UNITS AMBULANCE FOR USE OF DSWD, RHU AND OBS.</t>
  </si>
  <si>
    <t xml:space="preserve"> 5	BAGS	CEMENT 1	CU	FINE SAND 1	PC	DOOR READY MADE 100	PCS	TILES 20X20 2	BAGS	TILE ADHESIVE 1	KGS	GROUT 1	SET	JALOUSIE FRAME W/ 14 BLADES 14	PCS	JALOUSIE BLADES 1	PC	URINAL</t>
  </si>
  <si>
    <t xml:space="preserve"> Republic of the Philippines Province of Guimaras Municipality of Sibunag INVITATION TO BID FOR  Bid No. 2020-021 – For Repair/Improvement of Various Local Roads The Municipality of Sibunag through the  2020, 20% DF (Repair/Improvement of Various Local Roa</t>
  </si>
  <si>
    <t xml:space="preserve"> Kindly see attached document</t>
  </si>
  <si>
    <t xml:space="preserve"> Expansion of Municipal Motorpool</t>
  </si>
  <si>
    <t xml:space="preserve"> Invitation to Bid for Surigao City Luneta Park Revitalization Plan Luneta Park, Surigao City ITB No. 084-Infra-2020    1.	The City Government of Surigao, intends to apply the sum of   Fifteen Million Two Hundred Forty Thousand Eight Hundred Eighty Five  P</t>
  </si>
  <si>
    <t xml:space="preserve"> Procurement of Other Supplies</t>
  </si>
  <si>
    <t xml:space="preserve"> METRO SIQUIJOR WATER DISTRICT BIDS &amp; AWARDS COMMITTEE Siquijor, Siquijor The Metro Siquijor Water District (MSWD) through the Bids &amp; Awards Committee (BAC) will be undertaking the procurement of the hereunder project: Name of Project: Procurement of: 4 se</t>
  </si>
  <si>
    <t xml:space="preserve"> Procurement of Furniture and Fixtures</t>
  </si>
  <si>
    <t xml:space="preserve"> Republic of the Philippines National Kidney and Transplant Institute Bids and Awards Committee East Avenue, Quezon City 1100 981-0300 / 981-0400 local 1157 http://www.nkti.gov.ph/          NOTICE OF PROCUREMENT OPPORTUNITY       (SMALL VALUE PROCUREMENT) </t>
  </si>
  <si>
    <t xml:space="preserve"> 1	UNIT	PURCHASE OF PRINTER FOR GRADE 2 3	REAMS	BOOK PAPER SHORT 1	SET	PRINTER INK 44	PCS	FOLDER WITH PLASTIC COVER SHORT 17	REAMS	BOOK PAPER SHORT 197	PCS	FOLDER WITH PLASTIC COVER 5	BTLS	PRINTER INK BLACK 5	PCS	WHITE BOARD ERASER 12	CARDS	COMMUNICATION L</t>
  </si>
  <si>
    <t xml:space="preserve"> INVITATION TO BID ITB  No. 085-Brgy - 2020 The City Government of Surigao, through its Bids and Awards Committee (BAC), invites suppliers to bid for the following: Name of Contract	:  Purchase &amp; Delivery of Const. Materials &amp; Supplies for the  			   proje</t>
  </si>
  <si>
    <t xml:space="preserve"> -6cu.m. capacity remanufactured low cabin (wo air ventilator) -high side one way dumping new hydraulic 6-wheeler  -5hubbolt 8 axel tire 700x15x12 ply brand new 4,570 cc engine -5 speed manual -color, green cross w/4,200 utility vehicle leaf spring Suspens</t>
  </si>
  <si>
    <t xml:space="preserve"> R E Q U E S T  F O R   Q U O T A T I O N								 								 								 P.R Number:	2020-06-0502								 Company Name		:  _________________________________					 								 Address			:  _________________________________					 								 	Please qoute your price on t</t>
  </si>
  <si>
    <t xml:space="preserve"> Please see attached document</t>
  </si>
  <si>
    <t xml:space="preserve"> INVITATION TO BID The Municipal Government of Laoac, Pangasinan through its Bids and Awards Committee (BAC), invites suppliers/ manufacturers/distributors/contractors to bid for the hereunder contract/s: Name of Project	: PROCUREMENT OF FARM INPUTS FOR RI</t>
  </si>
  <si>
    <t xml:space="preserve"> 2000 set  chlorine dioxide 5 drum chlorine granules 45 kilos</t>
  </si>
  <si>
    <t xml:space="preserve"> Repair and Maintenance of Office Building (Repair of Matapat Lounge)</t>
  </si>
  <si>
    <t xml:space="preserve"> Procurement of Office Supplies</t>
  </si>
  <si>
    <t xml:space="preserve"> INVITATION TO BID ITB  No. 086-Brgy - 2020 The City Government of Surigao, through its Bids and Awards Committee (BAC), invites suppliers to bid for the following: Name of Contract	:  Purchase &amp; Delivery of Const. Materials &amp; Supplies for the  			   proje</t>
  </si>
  <si>
    <t xml:space="preserve"> 25 piece Hoe 15 Piece Rake 25 Piece Shovel 10 piece Piko 10 Pieces Wheel Borrow</t>
  </si>
  <si>
    <t xml:space="preserve"> 2      Sets Kolen ATS PIU2505PS 2P 225A   with IB296 (8 Pcs.)</t>
  </si>
  <si>
    <t xml:space="preserve"> 15 PCS UNION COUPLING NLC 3" 200 PCS TEE GI 3/4 5000 ROLLS TEPLON TAPE 1/2</t>
  </si>
  <si>
    <t xml:space="preserve"> Procurement of Office Equipment</t>
  </si>
  <si>
    <t xml:space="preserve"> Order/Download and fill up attach Request for Quotation and submit to the BAC Office on/before closing date</t>
  </si>
  <si>
    <t xml:space="preserve"> 1   Set          Kolen ATS PIU2505PS 2P 225A    w/ IB296 (8 Pcs. 1   Set          Panel Board 6 Branches                     Main  :  PIU2505PS    2P 225A                     Branches:   HPH 2P 100A x 1Pc.                                       HPH 2P 60A </t>
  </si>
  <si>
    <t xml:space="preserve"> PLEASE SEE ATTACHMENT</t>
  </si>
  <si>
    <t xml:space="preserve"> 1	1.5 HP Pressurized Car Wash Water Pump Kit/set (including motor &amp; pressurized hose nozzle)	5	units 2	3rd class Flour	3	sack 3	8” Dyna Grip Combination Pliers	1	pc 4	8” Dyna Grip Long Nose Pliers	1	pc 5	Adjustable Wrench, assorted sizes	1	set 6	Air Chuck</t>
  </si>
  <si>
    <t xml:space="preserve"> 4 piece Tires 245/70 R16</t>
  </si>
  <si>
    <t xml:space="preserve"> 11 Unit Ink Tank All in one Printer Specifications: -All-in-One Functions: Print, Scan, Copy -Nozzle Configuration: 180 Nozzles Black, 59 Nozzles per Color -Minimum Droplet Size: 3 pl, With Variable-Sized Droplet Technology -Printing Resolution: 5,760 x 1</t>
  </si>
  <si>
    <t xml:space="preserve"> Concrete Topping &amp; Painting Works (Basketball Court), Sitio Cienda, Brgy. Gabas, Baybay City, Leyte</t>
  </si>
  <si>
    <t xml:space="preserve"> 18 piece  Infrared Thermometer</t>
  </si>
  <si>
    <t xml:space="preserve"> Republic of the Philippines Province of South Cotabato BIDS AND AWARDS COMMITTEE Capitol Compound Alunan Avenue, Koronadal City Tel. Fax No.: (083) 228-9951/228-8570 INVITATION TO BID FOR THE SUPPLY AND DELIVERY OF 52 UNITS TELEVISION, LED, SMART TV 1.  T</t>
  </si>
  <si>
    <t xml:space="preserve"> Rental of Motor Vehicle</t>
  </si>
  <si>
    <t xml:space="preserve"> UV Care Purifier with Humidifier</t>
  </si>
  <si>
    <t xml:space="preserve"> Features : - Technology corona discharge quartz ozone cell - Adjustable Ozone Output : 0-100% - Cooling way : Air and Water Cooling - Inner Air Compressor an Refrigerant Dryer - Inner PSA Oxygen Generator Unit - Inside have back water prevented solenoid v</t>
  </si>
  <si>
    <t xml:space="preserve"> Republic of the Philippines National Kidney and Transplant Institute Bids and Awards Committee East Avenue, Quezon City 1100 981-0300 / 981-0400 local 1157 http://www.nkti.gov.ph/     NOTICE OF PROCUREMENT OPPORTUNITY       (SMALL VALUE PROCUREMENT)      </t>
  </si>
  <si>
    <t xml:space="preserve"> Supply/Delivery of Surveying Supplies</t>
  </si>
  <si>
    <t xml:space="preserve"> Repair and Maintenance of Office Building</t>
  </si>
  <si>
    <t xml:space="preserve"> Repair and Maintenance of Office Building (Improvement of FS Lobby)</t>
  </si>
  <si>
    <t xml:space="preserve"> Rep and Main IT Equipment</t>
  </si>
  <si>
    <t xml:space="preserve"> Construction of Fiber Glass Work Area, Sitio Brande, Brgy Candadam, Baybay City, Leyte</t>
  </si>
  <si>
    <t xml:space="preserve"> INVITATION TO BID Supply &amp; Delivery of Fishing Supplies &amp; Materials  for the Extension and Repair of Lambaklad Project Brgy. Angas, San Miguel Island, Tabaco City Contract ID No. 007-07-2020-GOODS ABC: Php 1,468,026.00 										July 06, 2020 	 1.	The Cit</t>
  </si>
  <si>
    <t xml:space="preserve"> Construction of Perimeter Fence (155mx1m)</t>
  </si>
  <si>
    <t xml:space="preserve"> PROCUREMENT OF OFFICE SUPPLIES</t>
  </si>
  <si>
    <t xml:space="preserve"> PROCUREMENT OF TRAINING SUPPLIES</t>
  </si>
  <si>
    <t xml:space="preserve"> Ordinance No. 247-2020 Ordinance No. 246-2020 Ordinance No. 245-2020 Ordinance No. 244-2020 Ordinance No. 243-2020 Ordinance No. 242-2020 Ordinance No. 241-2020 Ordinance No. 240-2020 Ordinance No. 239-2020 Ordinance No. 238-2020</t>
  </si>
  <si>
    <t xml:space="preserve"> Republic of the Philippines Province of South Cotabato BIDS AND AWARDS COMMITTEE Capitol Compound Alunan Avenue, Koronadal City Tel. Fax No.: (083) 228-9951/228-8570 INVITATION TO BID FOR THE SUPPLY AND DELIVERY OF VARIOUS HOSPITAL EQUIPMENT 1.  The PROVI</t>
  </si>
  <si>
    <t xml:space="preserve"> Supply/Delivery of Spare Parts</t>
  </si>
  <si>
    <t xml:space="preserve"> Please see attached bid form , scope of works and lay out for more detailed instruction. All interested supplier may submit their sealed quotations together with the following documentary requirements : 1. Current Mayor's / business permit 2. Omnibus swor</t>
  </si>
  <si>
    <t xml:space="preserve"> Purchase of various materials and supplies which will be used for the rehabilitation of pipelines along Brgy.Trenchera, Sitio Tamat, Tayug, Pangasinan.</t>
  </si>
  <si>
    <t xml:space="preserve"> 30 units Knapsack Sprayer (16liters)</t>
  </si>
  <si>
    <t xml:space="preserve"> PROCUREMENT OF OTHER SUPPLIES</t>
  </si>
  <si>
    <t xml:space="preserve"> Please see attached RFQ # 20-1049 Submit your Sign and Sealed Quotation together with your UPDATED ELIGIBILITY Requirements at 3/F ATI Building Department of Agriculture Region IV-MiMaRoPa, Property&amp;Supply Unit/BAC Secretariat Elliptical Road, Diliman, Qu</t>
  </si>
  <si>
    <t xml:space="preserve"> various items as per Purchase Request</t>
  </si>
  <si>
    <t xml:space="preserve"> Repair Improvement of Laundry Area, BMDDC, Baybay City, Leyte</t>
  </si>
  <si>
    <t xml:space="preserve"> FOR CITY OF BALANGA NATIONAL HIGH SCHOOL OPERATIONS</t>
  </si>
  <si>
    <t xml:space="preserve"> 100 Box Lancets, 200's</t>
  </si>
  <si>
    <t xml:space="preserve"> REPAIR &amp; MAINTENANCE-GOVERNMENT BUILDING &amp; OTHER STRUCTURES (PASSENGER TERMINAL) STRUCTURAL CONCRETE 25.00 bags Portland Cement 2.75 cu.m. Washed Gravel 1.40 cu.m Washed Sand REINFORCING STEEL 35.00 kgs. RSB Deformed 2.00 kgs. #16 G.I. Tie Wire 200.00 bd.</t>
  </si>
  <si>
    <t xml:space="preserve"> PROCUREMENT OF PRINTING AND PUBLICATION SUPPLIES</t>
  </si>
  <si>
    <t xml:space="preserve"> SPECIFICATIONS: Paper size - A4 ( printing,sorting, bind , single page print  70 GSM)	 	 Grade 7     296 students x 271 pages = 80,216 x 0.60 centavos =  48,129.60 Grade 8	272 students x 280 pages = 76,160 x 0.60 centavos =  45,696.00 Garde 9	286 students</t>
  </si>
  <si>
    <t xml:space="preserve"> 450 bags Cement 18 cu m Sand &amp; Gravel 100 bd ft Lumber</t>
  </si>
  <si>
    <t xml:space="preserve"> 3 kilo 1/2" Finishing Nail 25 pcs. 1/4" Marine Plywood 50 pcs. 1/8 x 3/4' Blind Riverts 65 pcs. 2x2x12' Good lumber 8 kls. 3 1/2" CW nail 14 pcs. 30cm x 57cm Clear Glass 8 pcs. 4" Hinges 2 pcs. Barrel Bolt 3 bags Cement (Pozzolan) 4 pcs. Ridge Roll  1 cu.</t>
  </si>
  <si>
    <t xml:space="preserve"> 1	unit	LED TV  7	pc	Flash Drive 4	pc	Tarpauline of Shapes and Color 7	pc	Mathematical Formulas 1	unit	Bluetooth Speaker, rechargeable 1	pc	Number Puzzle 7	pc	Dart 5	unit	Weighing Scale 1	pc	Volleyball Ball 1	pc	Stopwatch 7	Ream	 Book Paper Subs 20 (Long) </t>
  </si>
  <si>
    <t xml:space="preserve"> Construction of 0.15m thk pathway</t>
  </si>
  <si>
    <t xml:space="preserve"> 600	pcs	CHB, 4" x 8" x 16" 15	pcs	Deformed Bars, 10mm x 6m 20	pcs	Deformed Bars, 9mm x 6m 25	bags	Portland Cement, 40kgs 6	cu.m.	Sand &amp; Gravel (mixed) 10	kgs	Tie Wire 9	pcs	C-Purlins, 3/16" x 6" x 20' 12	shts	Corr. G.I. Sht, 0.40mm x 12' 15	pcs	Angle Bar,</t>
  </si>
  <si>
    <t xml:space="preserve"> 14	cu.m	Gabion 	 14	cu.m	Galvanized Gabion Wire Mesh (2m x 1m x 1m)</t>
  </si>
  <si>
    <t xml:space="preserve"> 100 ream Bond paper S-18 Long 100 ream Bond paper S-18 Short 1,000 piece Brown Envelope Long 15 piece Computer Toner TN 340 Black 15 piece Computer Toner TN 340 Cyan 15 piece Computer Toner TN 340 Magenta 15 piece Computer Toner TN 340 Yellow</t>
  </si>
  <si>
    <t xml:space="preserve"> 1.	The Camarines Norte State College, through the 2020 General Fund intends to apply the sum of Two Million Seven Hundred Forty Two Thousand Two Hundred Thirty Five (Php 2,742,235.00) Pesos being the Approved Budget for the Contract (ABC) to payments unde</t>
  </si>
  <si>
    <t xml:space="preserve"> The Department of Trade and Industry - Rizal invites all interested parties to submit their quotation/proposal for the goods listed per line item below for 60 Starter Kit Packages for Sari-Sari Store through the Implementation of Negosyo Cerbisyo sa Baran</t>
  </si>
  <si>
    <t xml:space="preserve"> Construction of Portland Concrete Pavement (Barangay Road) @ Purok 3A Baan Km3 Butuan City</t>
  </si>
  <si>
    <t xml:space="preserve"> Modification of existing Onsite and Offsite ATM at Bicol University Compound Opening and Provision of Additional Opening for CDM of Legazpi Branch</t>
  </si>
  <si>
    <t xml:space="preserve"> 1       JOB     SNACKS (175 PAX)                        SPAGHETTI, PUTO, CARBONARA AND SOFTDRINKS                    LUNCH (175 PAX)                        PLAIN RICE, ADOBONG MANOK, LECHON, WATER                          STEAMED FISH, STEAMED TATUS AND S</t>
  </si>
  <si>
    <t xml:space="preserve"> Procurement of Food Supplies</t>
  </si>
  <si>
    <t xml:space="preserve"> SUPPLY AND DELIVERY OF MATERIALS NEEDED FOR THE FABRICATION OF SPOOL, BEND CONNECTIONS AND EXPOSED STEEL PIPE  IN CONNECTION WITH THE WATERLINE EXTENSION PROJECT FROM HDA. DANIEL TO IMBANG BRIDGE, BRGY. E. LOPEZ, SILAY CITY. 1. BI PIPE, 6`` DIAMETER, ASTM</t>
  </si>
  <si>
    <t xml:space="preserve"> RENTAL OF MOTOR VEHICLES</t>
  </si>
  <si>
    <t xml:space="preserve"> Undertake concreting of 300 In.m., 1.5m wide, 0.150m thick service road to Nagba ECO SWM Park, Cuartero, Capiz</t>
  </si>
  <si>
    <t xml:space="preserve"> To undertake Construction of Ramp and Rails in the Municipal Hall</t>
  </si>
  <si>
    <t xml:space="preserve"> Specifications Color: Silver or Space or Space Gray 11 inch liquid retina display Mul-Touch display with IPS Technology Weight: 1.03 lb Size: 11 inches Resolution : 2388 x 1668 pixels Wifi A12X Bionic chip with 64-bit architecture M12 coprocessor IOS 13 M</t>
  </si>
  <si>
    <t xml:space="preserve"> PROCUREMENT OF FOOD SUPPLIES</t>
  </si>
  <si>
    <t xml:space="preserve"> Procurement of Plastic Chair (Mono Block)</t>
  </si>
  <si>
    <t xml:space="preserve"> Construction of Portland Concrete Pavement (Barangay Road)</t>
  </si>
  <si>
    <t xml:space="preserve"> Item No.	Unit	Qty.	Description of Articles				 1	cu.m.	2390	Filling Materials (White Rocks)				 			x-x-x-x-x				 							 							 		Note: quarry site (stockpile should be provided by the supplier)</t>
  </si>
  <si>
    <t xml:space="preserve"> REQUEST FOR QUOTATION The City Government of Cauayan, Isabela, through its Bids and Awards Committee, will undertake a Small Value Procurement for the “Supply and Delivery of Construction Materials for the Fabrication of Two (2) units Portable MRF at Bara</t>
  </si>
  <si>
    <t xml:space="preserve"> 1	Adobe Autocad 2020	1	pc		 2	Adobe Photoshop CC 2020	1	      pc		 3	Adobe Premiere CC 2020	1	pc		 4	Adobe Illustrator CC 2020	1	pc		 5	Adobe After Effects cc 2019	1	pc		 6	System Unit i3-8th gen 16gb RAM With Windows 10 PRO	3	sets 		 7	Monitor 20”	3	pcs	</t>
  </si>
  <si>
    <t xml:space="preserve"> 11	UNIT	Counter Desk Cubicle Type with Collapsible Panel and Front Shelf; Materials: Laminated Marine Ply Board in Mahogany Finish; Thickness: 3/4, with ply wood frame (See attached design) 14	UNIT	Information Material Shelf, 34'' x 12'' x 65'' with glass</t>
  </si>
  <si>
    <t xml:space="preserve"> 1 pax Professional fee of designer inclusive of tax for the Product Development for 15  W &amp; H clients under  SSF project -Develop 3 designs per MSME/client -Conduct of online consultation and critiquing of products on July 20, 2020 -Submission of hardcopy</t>
  </si>
  <si>
    <t xml:space="preserve"> Name: construction of fence (Phase 1) Location: Barangay Talog, Taytay, Palwan Appropriation: Php. 349,628.00 Please Download attachment for Price Quotation and specification.</t>
  </si>
  <si>
    <t xml:space="preserve"> Construction materials and supplies..</t>
  </si>
  <si>
    <t xml:space="preserve"> Construction of Portland Cement Concrete Pavement Barangay Road</t>
  </si>
  <si>
    <t xml:space="preserve"> The Department of Agriculture-RFO 3, invites interested suppliers to submit quotations/proposals for the hereunder requirement, to wit: 6	unit	Geo Tagging Device	 		Android	 		Nano SIM, Singe SIM, Dual SIM, Dual Standby	 		Octa-core	 		2X2.27 GHz Cortex-A</t>
  </si>
  <si>
    <t xml:space="preserve"> vitamins for supplemental feeding on nutrition month</t>
  </si>
  <si>
    <t xml:space="preserve"> FOR FURTHER INFORMATION CONTACT TO: FREZA M . MAGWATE BAC SECRETARIAT OFFICE OF BIDS AND AWARDS COMMITTEE BARANGAY 8 POBLACION, CABADBARAN CITY, ADN CELL NO.: 0950-440-2197</t>
  </si>
  <si>
    <t xml:space="preserve"> July 3, 2020 REQUEST FOR QUOTATION (RFQ) SUPPLY OF MATERIALS AND LABOR FOR THE IMPROVEMENT AND REPAIR OF WAREHOUSE ROOFING AND GUTTER 1.	The Batangas Medical Center hereinafter referred to as the “Purchaser” now request for submission of price proposal fo</t>
  </si>
  <si>
    <t xml:space="preserve"> Please see attached file</t>
  </si>
  <si>
    <t xml:space="preserve"> See associated components for complete details</t>
  </si>
  <si>
    <t xml:space="preserve"> Item No.	Unit	Qty.	Description of Articles				 1	cu.m.	1560	Filling Materials (White Rocks)				 			x-x-x-x-x				 							 							 		Note: quarry site (stockpile should be provided by the supplier)</t>
  </si>
  <si>
    <t xml:space="preserve"> Republic of the Philippines Province of Zambales BARANGAY BANI MUNICIPALITY OF MASINLOC OFFICE OF THE BIDS AND AWARDS COMMITTEE INVITATION TO BID The BARANGAY BAI, MUNICIPALITY OF MASINLOC, Province of Zambales, through its Bids and Awards Committee (BAC)</t>
  </si>
  <si>
    <t xml:space="preserve"> INVITATION TO BID INSTALLATION / REPLACEMENT OF STREET LIGHTS ALONG NATIONAL HIGHWAY 1.	The Local Government Unit of Cabadbaran City through the CONTINUING APPROPRIATION 2020  intends to apply the sum of  FOURTEEN MILLION SEVEN HUNDRED TWENTY-FOUR THOUSAN</t>
  </si>
  <si>
    <t xml:space="preserve"> 2.40 cu.m.  Backfill 37 bags POrtland Cement Type I 4 cu.m. Washed Sand 4 cu.m.  Gravel, 3/4" 113 pcs 4"  CHB 7 pcs 10mm diameter  RSB 1 kg #16 Tie Wire 30 kg Welding Rod 3 box Cutting Disc 4 pcs Cutting Disc, big (cut off) 3 pcs 1/4"  x 2"  x 2" Angle Ba</t>
  </si>
  <si>
    <t xml:space="preserve"> Supply and Delivery of Meals for individuals under Quarantine at Sitio Dupax, Brgy. Suklayin, Baler, Aurora</t>
  </si>
  <si>
    <t xml:space="preserve"> ITEM NO.	ITEM &amp; DESCRIPTION	 BRAND	UOM	QTY. 1	Ballpen (black) with push button		Pc	10 2	Ballpen (blue) with push button		Pc	10 3	Ballpen (red) with push button		Pc	10 4	Ballpen with removable cap (black) 0.5mm		Pc	150 5	Ballpen with removable cap (blue) 0</t>
  </si>
  <si>
    <t xml:space="preserve"> Procurement of Training Supplies</t>
  </si>
  <si>
    <t xml:space="preserve"> 1.) Thirty-Eight (38) Vial Trastuzumab 120mg/ml, 5ml vial 120mg/ml, 5ml vial for Specialty Clinic, R1MC-Dagupan City, Pangasinan End-User</t>
  </si>
  <si>
    <t xml:space="preserve"> Sealed Quotation - One (1) Lot Supply and Delivery of Various Computer Equipment *See attached Request for Quotation Form and Technical Specifications</t>
  </si>
  <si>
    <t xml:space="preserve"> REQUEST FOR EXPRESSIONS OF INTEREST:  ADDITIONAL COMMUNITY DEVELOPMENT SPECIALIST (CDS) FOR THE METRO MANILA FLOOD MANAGEMENT PROJECT (MMFMP) – -PHASE 1, COMPONENT 4 	 1.	The Government of the Philippines (GoP) has received a loan of Twenty-Three Billion </t>
  </si>
  <si>
    <t xml:space="preserve"> Rep and Main IT Equipment and Software</t>
  </si>
  <si>
    <t xml:space="preserve"> 1.	The Camarines Norte State College, through the 2020 General Fund intends to apply the sum of tabulated herein being the Approved Budget for the Contract (ABC) to payments under the contract for each lot/item hereunder stated:  Item No.	Description	Appr</t>
  </si>
  <si>
    <t xml:space="preserve"> SUPPLY AND DELIVERY OF MATERIALS FOR FABRICATION OF PIPE SUPPORTS IN CONNECTION WITH THE WATERLINE EXTENSION PROJECT IN IMBANG BRIDGE CROSSING PIPELINE, BRGY. E. LOPEZ, SILAY CITY. 1. ANGLE BAR, 2``X2``X1/4`` - 45 pc. 2. FLAT BAR, 3``X1/4``, STD - 15 pc. </t>
  </si>
  <si>
    <t xml:space="preserve"> 1. The Aklan State University through the DOST-PCIEERD intends to apply the sum of One Million Thirty Thousand Pesos only (Php. 1,030,000.00) being the Approved Budget for the Contract (ABC) to payments under the contract for the Procurement of Equipment </t>
  </si>
  <si>
    <t xml:space="preserve"> CONSTRUCTION OF MULTI-PURPOSE PAVEMENT</t>
  </si>
  <si>
    <t xml:space="preserve"> renovation of different basketball courts at barangay sauyo</t>
  </si>
  <si>
    <t xml:space="preserve"> Purpose: Catering services for the conduct of  Farmer Poultry School on Halal Free Range Chicken Production (3 batches) Site 1: Catering Services Launching: 1 meal &amp; 1 snack for  20 pax  for  1 day Weekly Activities: 1 meal for 20 pax for 18 days Culminat</t>
  </si>
  <si>
    <t xml:space="preserve"> 1700	pcs	COFFEE 25 grams 850	 pcs	MILK - POWDERED 33g 1700	pcs	BAR SOAP  380 g 1700	pcs	NOODLES (BEEF FLAVOR) 50 g 1700	pcs	NOODLES (CHICKEN FLAVOR) 50 g 850	pcs	BATH SOAP 60 g 850	pcs	PANCIT CANTON 80 g 850	pcs	CORNED BEEF 175 g 850	pcs	MEAT LOAF 170 g 1</t>
  </si>
  <si>
    <t xml:space="preserve"> repair of sk office</t>
  </si>
  <si>
    <t xml:space="preserve"> office equipment,furniture and musical instrument</t>
  </si>
  <si>
    <t xml:space="preserve"> CONCRETING OF PUERTO BELLO CORE LOCAL ROADS</t>
  </si>
  <si>
    <t xml:space="preserve"> 1. The Aklan State University through the General Appropriation Act for F.Y. 2020 intends to apply the sum of the following being the Approved Budget for the Contract (ABC) per item: Items / ABC 1. Smokehouse (outdoor) / Php. 174,000.00 2. Fish Drying fac</t>
  </si>
  <si>
    <t xml:space="preserve"> 1. The Aklan State University through the Special Trust Fund intends to apply the sum of Seven Hundred Nine Thousand Three Hundred Forty-Five Pesos only (₱709,345.00) being the Approved Budget for the Contract (ABC) to payments under the contract for the </t>
  </si>
  <si>
    <t xml:space="preserve"> Standard Form Number: SF-GOOD-60 Revised on: May 24, 2004 Standard Form Title: Request for Quotation Republic of the Philippines Provincial Government of South Cotabato BIDS AND AWARDS COMMITTEE Capitol Compound, Alunan Avenue, City of Koronadal Tel. No. </t>
  </si>
  <si>
    <t xml:space="preserve"> Sealed Quotation - One (1) Lot Supply of Mobile Phone and Prepaid Cards *Please contact Mr. James and Mr. Randolf and Admin. GSD for additional details.</t>
  </si>
  <si>
    <t xml:space="preserve"> EXPANSION/REHABILITATION OF MERIDA FISH PORT PHASE II</t>
  </si>
  <si>
    <t xml:space="preserve"> REPAIR AND MAINTENANCE OF OFFICE BUILDING (CSD)</t>
  </si>
  <si>
    <t xml:space="preserve"> 1 pc G.I. Pipe 2" diam. 1 pc PVC Pipe 3" dia. x 6 mtr 19 rolls P.E. Hose SDR 2" diam. 24 pcs Coupling for P.E. 2" 1 pc Elbow for P.E. 2" 1 pc T-Joint 3" for P.E. 1 pc Reducer for P.E. 3"x2" 3 pcs End Cup 3" diam. for P.E. (Assembly) 1 gal Plexicreet 17 ba</t>
  </si>
  <si>
    <t xml:space="preserve"> IMPROVEMENT/REHABILITATION OF DAY CARE CENTER AT BRGY. SAN JOSE, MERIDA</t>
  </si>
  <si>
    <t xml:space="preserve"> REHABILITATION OF MAHAYAG CORE LOCAL ROADS</t>
  </si>
  <si>
    <t xml:space="preserve"> 85	Piece	Taro Chips, Original Flavor, 80 grams net weight 85	Piece	Taro Chips, Cheese Flavor, 80 grams net weight 85	Piece	Taro Chips, Barbeque Flavor, 80 grams net weight 85	Piece	Taro Chips, Sour Cream Flavor, 80 grams net wt 170	Pouch	Roasted Peanut, 1</t>
  </si>
  <si>
    <t xml:space="preserve"> Request for Quotation</t>
  </si>
  <si>
    <t xml:space="preserve"> IMPROVEMENT/REHABILITATION OF DAY CARE CENTER AT BRGY. CABALIWAN, MERIDA</t>
  </si>
  <si>
    <t xml:space="preserve"> Republic of the Philippines Bangsamoro Autonomous Region in Muslim Mindanao Provincial Government of Maguindanao BIDS AND AWARDS COMMITTEE REQUEST FOR QUOTATION The PROVINCIAL GOVERNMENT OF MAGUINDANAO – Office of the Provincial Planning &amp; Development inv</t>
  </si>
  <si>
    <t xml:space="preserve"> Republic of the Philippines MUNICIPALITY OF MACABEBE Province of Pampanga INVITATION TO BID FOR One (1) Unit Brand New Mini Dump Truck 1.	The Municipality of Macabebe, through the 2020 Municipal Budget intends to apply the sum of One Million Eight Hundred</t>
  </si>
  <si>
    <t xml:space="preserve"> Republic of the Philippines National Kidney and Transplant Institute Bids and Awards Committee East Avenue, Quezon City 1100 981-0300 / 981-0400 local 1157 http://www.nkti.gov.ph/ INVITATION TO BID for the ITB No. 20-059 SUPPLY AND DELIVERY OF VARIOUS DIE</t>
  </si>
  <si>
    <t xml:space="preserve"> REPAIR OF IT EQUIPMENT AND SOFTWARE</t>
  </si>
  <si>
    <t xml:space="preserve"> Republic of the Philippines Province of Surigao del Sur MUNICIPALITY OF CANTILAN REQUEST FOR QUOTATION The Local Government Unit of Cantilan, Surigao del Sur, through its Bids and Awards Committee (BAC), will undertake a Small Value Procurement for the Su</t>
  </si>
  <si>
    <t xml:space="preserve"> CONSTRUCTION OF FARMER'S MULTI-PURPOSE SHED CUM INFO CENTER AND BODEGA (PHASE III)</t>
  </si>
  <si>
    <t xml:space="preserve"> Project Name: Supply and Delivery of Materials of School MOOE for June 2020 Approved Budget: 55,621 Area of Delivery: Butong Elementary School, Brgy. Butong City of Cabuyao, Laguna Date of Submission and Delivery and Opening of Quotation: July 7 The DepEd</t>
  </si>
  <si>
    <t xml:space="preserve"> Repair and Maintenance Office Equipment</t>
  </si>
  <si>
    <t xml:space="preserve"> Repair and Maintenance of Office Equipment</t>
  </si>
  <si>
    <t xml:space="preserve"> Three (3) Units (Laptop PC) Specifications  Processor : Intel Core i7-9750H Processor 2.6GHz (12M Cache, up to 4.50 GHz) Memory : 16GB DDR4 Keyboard : RGB Keys Storage : 1TB HDD + 256GB SSD Graphics : 8GB NVIDIA GeForce RTX 2070 Display : 17.3-in IPS FHD </t>
  </si>
  <si>
    <t xml:space="preserve"> Republic of the Philippines Province of Surigao del Sur MUNICIPALITY OF CANTILAN OFFICE OF THE BIDS AND AWARDS COMMITTEE INVITATION TO BID The Municipality of Cantilan allocates fund from Supplemental Budget No. 2 2016 and Supplemental Budget No. 1 2018 f</t>
  </si>
  <si>
    <t xml:space="preserve"> 140	sets	Cups &amp; saucers 140	pcs	Dringking Glass 140	pcs	Plates 140	pcs	Spoon &amp; Fork</t>
  </si>
  <si>
    <t xml:space="preserve"> 300 PAD WRITING PAPER GRADE I 300 PAD WRITING PAPER GRADE II 300 PAD WRITING PAPER GRADE III 300 PAD WRITING PAPER GRADE IV 318 PAD INTERMEDIATE PAPER 45 REAM BOND PAPER (LONG) 50 PIECE CARTOLINA 115 PIECE FOLDER (LONG) 5 BOX FASTENER 31 BOTTLE PRINTER IN</t>
  </si>
  <si>
    <t xml:space="preserve"> Republic of the Philippines Bangsamoro Autonomous Region in Muslim Mindanao Provincial Government of Maguindanao BIDS AND AWARDS COMMITTEE REQUEST FOR QUOTATION The PROVINCIAL GOVERNMENT OF MAGUINDANAO – Office of the Provincial Tourism invites all intere</t>
  </si>
  <si>
    <t xml:space="preserve"> 1 Assy alternator for 150KVA Cummins Original &amp; 14 Others</t>
  </si>
  <si>
    <t xml:space="preserve"> Educational materials and supplies  Covid -19 Materials and supplies</t>
  </si>
  <si>
    <t xml:space="preserve"> The Police Regional Office 3 (PRO3) through the Regional Bids and Awards Committee (RBAC) had approved to expend the Allotment Advice intended for the month of June 2020 for the procurement of goods with an Approved Budget for the contract (ABC) of Eight </t>
  </si>
  <si>
    <t xml:space="preserve"> Purchase of Construction Supplies</t>
  </si>
  <si>
    <t xml:space="preserve"> 12 sack Rice 50kls &amp; 13 Others</t>
  </si>
  <si>
    <t xml:space="preserve"> FLU VACCINE 1 DOSE/ 0.5ML 66 TEACHERS 1 SECURITY GUARD 1 JANITOR</t>
  </si>
  <si>
    <t xml:space="preserve"> INVITATION TO BID SUPPLIES/DELIVERIES OF EQUIPMENT FOR DAYCARE CENTER USED Name of Procuring Entity: BLGU- WILSON Source of fund:	GAWAD KALASAG PRIZES Approved Budget for the Contract:	NINETY THOUSAND    (Php 90,000.00) ONLY. Contract Name:	PURCHASE OF EQ</t>
  </si>
  <si>
    <t xml:space="preserve"> 8 boxes of RAPID ANTIBODY TEST FOR COVID-19 Specification: - Qualitative detection and differentiation of antibody lgG and lgM in serum, plasma (EDTA,Citrate) or whole blood specimens. - FDA approved - Rapid Test, result to be determined 15 to 20 minutes.</t>
  </si>
  <si>
    <t xml:space="preserve"> Invitation to Bid for the Supply and Delivery of various Medical Supplies for the use of Brgy. Kumintang Ibaba, Batangas City</t>
  </si>
  <si>
    <t xml:space="preserve"> Invitation to Bid for the Supply and Delivery of various Equipment for the use of Brgy. Kumintang Ibaba, Batangas City</t>
  </si>
  <si>
    <t xml:space="preserve"> Please see attached for details</t>
  </si>
  <si>
    <t xml:space="preserve"> Purchase of School Supplies</t>
  </si>
  <si>
    <t xml:space="preserve"> Republic of the Philippines Province of Cagayan Municipality of Piat -o0o- OFFICE OF THE BIDS AND AWARDS COMMITTEE (BAC) “INVITATION TO BID FOR CONCRETING OF ROAD WITH BOX CULVERT AT P.I.A.T. CENTER/CENTRAL TERMINAL, PIAT, CAGAYAN” The Local Government Un</t>
  </si>
  <si>
    <t xml:space="preserve"> "ANNEX A" 						 					Date:	July 03, 2020 						  To all Eligible Suppliers :						 	Please quote your lowest price inclusive of VAT on the items/projects listed below.Lots listed below, subject to the 					 Terms and Conditions of  this RFQ and submit yo</t>
  </si>
  <si>
    <t xml:space="preserve"> Procurement of Micropipettor, Single channel. Interested bidders can download the attached file for complete specifications and requirements. Please send your quotation thru this email: caysiebagsit.ritm@gmail.com Note: Kindly make our PR# as a subject of</t>
  </si>
  <si>
    <t xml:space="preserve"> Purchase of sound system for the use of Brgy. Pinagbuhatan, Pasig City Opening of bids: July 6, 2020 Closing of bids: July 13, 2020 Bidding date: July 23, 2020</t>
  </si>
  <si>
    <t xml:space="preserve"> Purchase of monoblock chair and tables for the use of Brgy. Pinagbuhatan, Pasig City Opening of bids: July 6, 2020 Closing of bids: July 13, 2020 Bidding date: July 23, 2020</t>
  </si>
  <si>
    <t xml:space="preserve"> Purchase of various maintenance supplies for the use of Brgy. Pinagbuhatan, Pasig City Opening of bids: July 6, 2020 Closing of Bids: July 13, 2020 Bidding date: July 23, 2020</t>
  </si>
  <si>
    <t xml:space="preserve"> Purchase of airconditioning unit for the use of Brgy. Pinagbuhatan, Pasig City Opening of Bids: July 6, 2020 Closing of Bids: July 13, 2020 Bidding Date: July 23, 2020</t>
  </si>
  <si>
    <t xml:space="preserve"> Procurement of service provider for the Internet Connection Service- Secondary for the UniFAST Office use for five (5) months Period Coverage: Five (5) Months -  Specifications: Fiber Optic Connectivity Fast Internet Connection with at least 100 MBPS spee</t>
  </si>
  <si>
    <t xml:space="preserve"> The Roxas City Government, through the GOP-2020 intends to apply the Aggregate amount of Two Hundred Thirty Four Thousand One Hundred Sixty Pesos (PhP 234,160.00) being the Aggregate Approved Budget for the Contract (ABC) to payments under the contract fo</t>
  </si>
  <si>
    <t xml:space="preserve"> FOR HEALTH AND EMERGENCY FRONTLINERS THAT PROVIDE PUBLIC HEALTH SERVICES, VOLUNTEERS WHO RESPONDED AND PARTICIPATED AT CHECKPOINTS AND LGU PERSONNELS DIRECTLY INVOLVED IN THE IMPLEMENTATION OF COVID -19 ACTIVITIES ( For the Month of JULY, 2020)</t>
  </si>
  <si>
    <t xml:space="preserve"> REPAIR AND MAINTENANCE - INFRASTRUCTURE ASSETS (ROAD NETWORK @ SAN ISIDRO),MINALIN, PAMPANGA</t>
  </si>
  <si>
    <t xml:space="preserve"> Supply, Delivery. Installation and Furnishing of Six (6) units 20-Footer Container Van to be used as Storage of Rollos and Records, Documents and Supplies of Court of Appeals - Cagayan de Oro Area of Delivery: Court of Appeals Cagayan de Oro City Delivery</t>
  </si>
  <si>
    <t xml:space="preserve"> Procurement of service provider for the Internet Connection Service- Primary for the UniFAST Office use for five (5) months Period Coverage: Five (5) Months -  Specifications: Fiber Optic Connectivity Fast Internet Connection with at least 100 MBPS speed </t>
  </si>
  <si>
    <t xml:space="preserve"> Note:  1. ALL ITEMS SHOULD BE IN ONE PACKAGE. 2. ALL BIDDERS MUST BE WITHIN BACOLOD CITY. 3. WARRANTY SHALL BE FOR A PERIOD OF SIX (6) MONTHS FOR SUPPLIES &amp; MATERIALS, ONE (1) YEAR  FOR EQUIPMENT, FROM THE DATE OF ACCEPTANCE BY THE PROCURING ENTITY. 4. PR</t>
  </si>
  <si>
    <t xml:space="preserve"> To be distributed to the residents of Brgy. Pinagbuhatan in this time of pandemic</t>
  </si>
  <si>
    <t xml:space="preserve"> CONCRETING OF 7.0m X 40.0m X 0.15m thk. Multi-Purpose Pavement (Purok 1)</t>
  </si>
  <si>
    <t xml:space="preserve"> -</t>
  </si>
  <si>
    <t xml:space="preserve"> CONSTRUCTION OF CHB LINE CANAL AT CAMPUPOT STREET, BRGY. STO. DOMINGO, MINALIN, PAMPANGA</t>
  </si>
  <si>
    <t xml:space="preserve"> 15	pcs	Rechageble Flashlight 10	pcs	Uniform T - shirt with Logo 10	pcs	Cloth Caps, Black 10	pcs	Whistle 10	pcs	Batuta 10	pcs	Vest 5	pcs	Handcuff</t>
  </si>
  <si>
    <t xml:space="preserve"> RFQ -PROCUREMENT OF 10  -3 MONTHS OLD GILT FOR THE TANGING YAMAN LIVESTOCK PROGRAM  OF THE CITY VET OFFICE</t>
  </si>
  <si>
    <t xml:space="preserve"> Medicine</t>
  </si>
  <si>
    <t xml:space="preserve"> For the use of City General Services Office. Foton Tornado Mini-dumptruck SHR-767 1 assy. hand brake cable 1 assy. transmission counter gear 1 assy. power take off hydraulic pump Foton Tornado Mini-dumptruck SHR 764 1 set hydraulic packing seal 1 assy. hy</t>
  </si>
  <si>
    <t xml:space="preserve"> For the use of RPHS-Antipolo Annex II. Repair of 1 unit Infant Incubator Model: Bistos BT-500 Serial No.: FAEC0038 1 pc. Main Board Scope of work: * assessment &amp; troubleshooting of defective parts * replacement &amp; installation of spare parts * check functi</t>
  </si>
  <si>
    <t xml:space="preserve"> 1	3	kit	Glucose test kit (includes: 1-Glucometer (batteries included), 25 Test Strips, Case, Owner's Booklet Get Started Guide, Lancing Device) 2	60	box	Blood Lancets Compatible with the Lancing Device, 25 pieces/box   3	60	bottle	Glucometer Strips, 25 pi</t>
  </si>
  <si>
    <t xml:space="preserve"> 18	reams	Bookpaper Long 18	reams	Bookpaper Short 12	pcs	Sign Pen, G-Tech 0.5 6	boxes	Paper Clip Small 6	boxes	Paper Clip Big 5	boxes	Paper Fasterner 51	pcs	Ballpen, Black 9	pcs	Correction Pen, Small 12	pcs	White Folder, Long 2	bottles	White Glue, Big 3	pc</t>
  </si>
  <si>
    <t xml:space="preserve"> For the use of Antipolo City Hospital System. 74 sacks  Commercial Rice, 50kg.</t>
  </si>
  <si>
    <t xml:space="preserve"> ITEM	QTY.	UNIT		ARTICLE AND DESCRIPTION				CEILING 			UNIT PRICE		TOTAL  								PRICE					 													 				Office: Manila Traffic and Parking Bureau				PR No. 557 					 				Charge to: Office  Supplies  Expenses				OBR No. 100-2005-04156 					 				ABC: </t>
  </si>
  <si>
    <t xml:space="preserve"> RFQ -PROCUREMENT  OF VARIOUS VEG. SEEDS FOR TUPAD POST COVID INTERVENTION PROGRAM</t>
  </si>
  <si>
    <t xml:space="preserve"> 3	pcs	Nebulizer</t>
  </si>
  <si>
    <t xml:space="preserve"> Sealed Quotation - One (1) Lot Supply, Delivery and Installation of Various Furniture *Please see attached visual sample and specifications</t>
  </si>
  <si>
    <t xml:space="preserve"> 3	pcs	Knapsack Sprayer</t>
  </si>
  <si>
    <t xml:space="preserve"> 1	250	kits	Glucose test kit (includes: 1-Glucometer (batteries included), 25 Test Strips, Case, Owner's Booklet Get Started Guide, Lancing Device)</t>
  </si>
  <si>
    <t xml:space="preserve"> Purchase of various supplies for the use of senior citizen of Brgy. Pinagbuhatan, Pasig City (wheel chair and cane) Opening of bids: July 6, 2020 Closing of bids: July 13, 2020 Bidding date: July 23, 2020</t>
  </si>
  <si>
    <t xml:space="preserve"> For the use of Antipolo City Hospital System. 30 cyl. Cooking Gas (LPG), 50kg.</t>
  </si>
  <si>
    <t xml:space="preserve"> -Printing     &gt;Paper Quality :      A4 Size, White, 70gsm, not back to back print -Sorting -Book Binding -Delivery      &gt;Delivery Date : August 3, 2020 *Tax Included</t>
  </si>
  <si>
    <t xml:space="preserve"> The Roxas City Government, through the GOP-2020 intends to apply the total amount of Six Million Eight Hundred Seventy Five Thousand Pesos (PhP 6,875,000.00) being the Approved Budget for the Contract (ABC) to payments under the contract for Public Biddin</t>
  </si>
  <si>
    <t xml:space="preserve"> The City Government of Koronadal, through its Bids and Awards Committee (BAC) will undertake a Negotiated Procurement – Small Value Procurement for the “ REPAIR &amp; MAINTENANCE OF TOILET PARTITON (4TH FLOOR) @ CITY HALL BLDG. “ in accordance with  Section 5</t>
  </si>
  <si>
    <t xml:space="preserve"> RFQ - SUPPLY AND DELIVERY OF I.T. EQUIPMENT FOR THE CITY HEALTH OFFICE</t>
  </si>
  <si>
    <t xml:space="preserve"> RFQ - PROCUREMENT  OF CAMERA BODY WITH LENS AND MEMORY CARD</t>
  </si>
  <si>
    <t xml:space="preserve"> The City Government of Koronadal, through its Bids and Awards Committee (BAC) will undertake a Negotiated Procurement – Small Value Procurement for the “ MATERIALS FOR THE REPAIR OF LINED CANAL @ LOWER PAREDES ST., BRGY. ZONE I, CITY OF KORONADAL “ in acc</t>
  </si>
  <si>
    <t xml:space="preserve"> 8 SET WINDOW FRAME ALUMINUM 200 PIECE WINDOW BLADE 16 GALLON ROOF PAINT 4 PIECE PAINT BRUSH #4 12 GALLON LATEX PAINT READY MIX 5 PIECE PAINT BRUSH #3 2 PIECE PAINT BRUSH #10 2 PIECE PAINT TRAY 50 PIECE HOLLOW BLOCKS 8 BAG CEMENT 15 LENGTH DEFORMED BARS #1</t>
  </si>
  <si>
    <t xml:space="preserve"> 10 pcs Search Light</t>
  </si>
  <si>
    <t xml:space="preserve"> RFQ - SUPPLY AND DELIVERY OF VARIOUS OFFICE EQUIPMENT FOR B.A.C OFFICE</t>
  </si>
  <si>
    <t xml:space="preserve"> 10	ltrs.	Insect &amp; Mosquito Repellant</t>
  </si>
  <si>
    <t xml:space="preserve"> CONSTRUCTION OF CORE LOCAL ROAD LEADING TO SITIO SAMBAG, BRGY. PUERTO BELLO, MERIDA, LEYTE</t>
  </si>
  <si>
    <t xml:space="preserve"> The City Government of Koronadal, through its Bids and Awards Committee (BAC) will undertake a Negotiated Procurement – Small Value Procurement for the “ 2ND QUARTER FOOD SUPPLY ASSISTANCE TO BPATS &amp; OTHER PEACEKEEPING FORCES OF THE CITY “ in accordance w</t>
  </si>
  <si>
    <t xml:space="preserve"> RFQ - SUPPLY, INSTALLATION AND ACTIVATION OF CCTV LINE FOR THE TMECS</t>
  </si>
  <si>
    <t xml:space="preserve"> Purchase of collapsible tent for the use of Brgy. Pinagbuhatan, Pasig City</t>
  </si>
  <si>
    <t xml:space="preserve"> 20	pcs	T-shirt Fatigue</t>
  </si>
  <si>
    <t xml:space="preserve"> -2 HAND WASHING AREA (5 FAUCET EACH) -DISINFECTANT AREA</t>
  </si>
  <si>
    <t xml:space="preserve"> 10	ream	Bondpaper Long 10	ream	Bondpaper Short 50	pcs	Ballpen  3	pcs	Stamping Pad 1	pcs	Epson Ink (No. 001) 5	pcs	Correction Pen  2	pcs	Calculator Big 24	pcs	Sliding Folder Long 15	pcs	Folder Long 1	pcs	Stapler #35  4	pcs	Staple Wire #35 3	pcs	Sign Pen</t>
  </si>
  <si>
    <t xml:space="preserve"> 5	pcs	Folding Bed</t>
  </si>
  <si>
    <t xml:space="preserve"> Republic of the Philippines Province of Oriental Mindoro MUNICIPALITY OF NAUJAN BIDS AND AWARDS COMMITTEE INVITATION TO BID SUPPLY AND DELIVERY OF ONE (1) UNIT AMBULANCE TO BE USED IN THE MUNICIPAL HEALTH OFFICE, NAUJAN, ORIENTAL MINDORO 1. 	The Municipal</t>
  </si>
  <si>
    <t xml:space="preserve"> 10	pc	Shovel</t>
  </si>
  <si>
    <t xml:space="preserve"> Location: Within Cagayan de Oro City Scope of Work: 1. Transfer of 2 Units of Container Van from YMCA Compound to City Hall 2. Pull-Out and Delivery of Rollos and Records from various Bodega's (4th Floor to Ground Floor) to City Tourism Hall 3.  Pull-out </t>
  </si>
  <si>
    <t xml:space="preserve"> The City Government of Koronadal, through its Bids and Awards Committee (BAC) will undertake a Negotiated Procurement – Small Value Procurement for the “ MATERIALS FOR THE CONSTRUCTION OF WAITING SHED @ PRK. PAGLAUM, BRGY. PARAISO, CITY OF KORONADAL “ in </t>
  </si>
  <si>
    <t xml:space="preserve"> The City Government of Koronadal, through its Bids and Awards Committee (BAC) will undertake a Negotiated Procurement – Small Value Procurement for the “ MATERIALS FOR THE CONSTRUCTION OF CHILDREN’S PLAYGROUND @ ROTONDA PLAZA, BRGY. ROTONDA, CITY OF KORON</t>
  </si>
  <si>
    <t xml:space="preserve"> Please send quotation to apecozone@gmail.com Laptop - 2 units Specifications Display   : 13 inch (diagonal) LED-backlit Storage   : 256GB SSD storage Processor  : 1.1GHz dual-core 10th-generation processor, Turbo Boost up to 3.2GHz Memory   : 8GB 3733MHz </t>
  </si>
  <si>
    <t xml:space="preserve"> 3 units VHF Handheld Radio</t>
  </si>
  <si>
    <t xml:space="preserve"> 1	pc	Rescue Ladder (12ft.)</t>
  </si>
  <si>
    <t xml:space="preserve"> Ref: 2020-06-0049 REQUEST FOR QUOTATION The Department of Agrarian Reform (DAR) – Caipilan, Siquijor, Siquijor, through its Bids and Awards Committee(BAC)  will undertake a Small Value Procurement for the “Procurement of  Water Pump” under the Rice Produc</t>
  </si>
  <si>
    <t xml:space="preserve"> Please see attached file (RFQ-20-07-0527) for reference.</t>
  </si>
  <si>
    <t xml:space="preserve"> 2170      LITRS        DIESEL FUEL 17          GALS         ENGINE OIL 100        LOADS       QUARRY TOLL FEE</t>
  </si>
  <si>
    <t xml:space="preserve"> CONSTRUCTION OF MULTI- PURPOSE BUILDING</t>
  </si>
  <si>
    <t xml:space="preserve"> The City Government of Koronadal, through its Bids and Awards Committee (BAC) will undertake a Negotiated Procurement – Small Value Procurement for the “ AGRICULTURAL MATERIALS &amp; TOOLS TO BE USED FOR THE LAND CARE PROJECT @ SITIO HIGH POINT, BRGY. SAN JOS</t>
  </si>
  <si>
    <t xml:space="preserve"> I N V I T A T I O N   T O   B I D 2020 - 135 July 6, 2020 1.	The Provincial Government of Tarlac through the 20% DF '20 - Infra Projects intends to apply the sum of Two Million Five Hundred Thousand Pesos Only (PhP 2,500,000.00) being the Approved Budget </t>
  </si>
  <si>
    <t xml:space="preserve"> I N V I T A T I O N   T O   B I D 2020 - 134 July 6, 2020 1.	The Provincial Government of Tarlac through the Trust Fund intends to apply the sum of Four Million Four Hundred Ninety-Nine Thousand Nine Hundred Ninety-Nine Pesos and 85/100 (PhP 4,499,999.85)</t>
  </si>
  <si>
    <t xml:space="preserve"> I N V I T A T I O N   T O   B I D 2020 – 130 July 6, 2020 1.	The Provincial Government of Tarlac through the Trust Fund intends to apply the sum of Five Million Seven Hundred Thirty-Nine Thousand One Hundred Forty-Nine Pesos and 10/100 (PhP 5,739,149.10) </t>
  </si>
  <si>
    <t xml:space="preserve"> I N V I T A T I O N   T O   B I D 2020 – 133 July 6, 2020 1.	The Provincial Government of Tarlac through the PHO - Local PPA's - Drugs and Medicines - Rabies Prevention and Control Program intends to apply the sum of One Million One Hundred Sixty-Five Tho</t>
  </si>
  <si>
    <t xml:space="preserve"> INVITATION TO BID FOR SLOPE PROTECTION Name of Procuring Entity: BLGU- JACQUEZ Source of fund:	20% BDF 2020 Approved Budget for the Contract:	One hundred seventy thousand pesos    (Php 170,000.00) ONLY. Contract Name:	Slope Protection Brief Description of</t>
  </si>
  <si>
    <t xml:space="preserve"> 1. 2 UNIT THERMAL GUN 2. 200 PIECES FACEMASK                                                    3. 25 BARS DETERGENT BAR SOAP                                        4. 10 KILOS CHLORINE                                                         5. 2 GALLONS </t>
  </si>
  <si>
    <t xml:space="preserve"> I N V I T A T I O N   T O   B I D 2020 – 132 July 6, 2020 1.	The Provincial Government of Tarlac through the PGO - Capital Outlay - Continuing Appro. - Construction and Heavy Equipment intends to apply the sum of One Million Two Hundred Thousand Pesos Onl</t>
  </si>
  <si>
    <t xml:space="preserve"> I N V I T A T I O N   T O   B I D 2020 – 131 July 6, 2020 1.	The Provincial Government of Tarlac through the SP Members - Info. and Communication Technology Equipment intends to apply the sum of One Million Three Hundred Forty-Six Thousand Two Hundred Fif</t>
  </si>
  <si>
    <t xml:space="preserve"> The City Government of Koronadal, through its Bids and Awards Committee (BAC) will undertake a Negotiated Procurement – Small Value Procurement for the “ SUPPLY &amp; DELIVERY OF 10 UNITS PHOTOCOPYING MACHINES “ in accordance with  Section 53.9 of the 2016 Im</t>
  </si>
  <si>
    <t xml:space="preserve"> The Roxas City Government, through the GOP-2020 intends to apply the total amount of Seven Hundred Forty Thousand Seven Hundred Ninety One Pesos (Php 740,791.00) being the Aggregate Approved Budget for the Contract (ABC) to payments under the contract for</t>
  </si>
  <si>
    <t xml:space="preserve"> Please see attached file (RFQ-20-07-0528) for reference.</t>
  </si>
  <si>
    <t xml:space="preserve"> Quantity       Unit of Issue       Item Description      1                  unit               Desktop computer with printer                                              Specifications: Core i5 3.6ghz H310                                                  </t>
  </si>
  <si>
    <t xml:space="preserve"> 1.	The Department of Science and Technology, Region XII (DOST XII), through the DOST Regional Offices Information System Harmonization Project and ICT Equipment Under 2020 MITHI Program intends to apply the sum of  Five Million Nine Hundred Nine Thousand </t>
  </si>
  <si>
    <t xml:space="preserve"> 1 lot Carry Out Return to Service Inspection of TC90</t>
  </si>
  <si>
    <t xml:space="preserve"> 10 ltrs. Insects &amp; Mosquito Repellant</t>
  </si>
  <si>
    <t xml:space="preserve"> INVITATION TO BID  UPGRADING OF ELECTRICAL DISTRIBUTION SYSTEM OF MRH PHASE II MRH-006-2020 1.	The Margosatubig Regional Hospital, through the funding source of HOSPITAL INCOME intends to apply the sum of Six  Million Pesos Only (Php 6,000,000.00) being t</t>
  </si>
  <si>
    <t xml:space="preserve"> Office Supplies - Php 49,500.00 Furniture and Fixtures - Php 51,000.00</t>
  </si>
  <si>
    <t xml:space="preserve"> CONSTRUCTION/INSTALLATION OF STREET LIGHTS.</t>
  </si>
  <si>
    <t xml:space="preserve"> Republic of the Philippines Province of Bohol Municipality of Panglao INVITATION TO BID FOR PROCUREMENT OF IT EQUIPMENT AT PANGLAO, BOHOL 1.	The Municipality of Panglao, Bohol, through the Current &amp; Continuing Capital Outlay and BFP 20% Share intends to a</t>
  </si>
  <si>
    <t xml:space="preserve"> 30 rolls acetate please quote your lowest price inclusive of VAT on item/s listed below, subject to the Terms and Conditions of this RFQ, and submit your quotation duly signed by your representative not later than July 8, 2020 at Bids and Awards Committee</t>
  </si>
  <si>
    <t xml:space="preserve"> To be distributed to the residents for Brgy. Pinagbuhatan in this time of pandemic</t>
  </si>
  <si>
    <t xml:space="preserve"> 1 ea Ring Binding Machine &amp; 1 L/I</t>
  </si>
  <si>
    <t xml:space="preserve"> INVITATION TO BID IB NO. 2020 – 060/ JJL SUPPLY AND DELIVERY OF INORGANIC FERTILIZERS 		 1.	Department of Agriculture, Regional Field Office-10, through the Rice Program Funds CY 2020 intends to apply the sum of  Bid Lot 1: Twelve Million Four Hundred Sev</t>
  </si>
  <si>
    <t xml:space="preserve"> Quantity       Unit of Issue       Item Description     44                 pcs               Omni model LSL 50wcw NAME OF PROJECT: Purchase of electrical supplies (OMNI LSL) to be installed and placed at various barangay street lights of LGU Bauan, Batang</t>
  </si>
  <si>
    <t xml:space="preserve"> 4 ea Circuit Board and Switches 1.5HP &amp; 14 L/I</t>
  </si>
  <si>
    <t xml:space="preserve"> Republic of the Philippines DEPARTMENT OF PUBLIC WORKS AND HIGHWAYS LAGUNA I  DISTRICT ENGINEERING OFFICE REGIONAL OFFICE NO. IV-A Santa Cruz, Laguna 									July 03, 2020 NOTICE OF PROCUREMENT THROUGH ALTERNATIVE METHOD 	Notice is given that the DPWH-La</t>
  </si>
  <si>
    <t xml:space="preserve"> Republic of the Philippines DEPARTMENT OF PUBLIC WORKS AND HIGHWAYS LAGUNA I  DISTRICT ENGINEERING OFFICE REGIONAL OFFICE NO. IV-A 	Santa Cruz, Laguna	            Invitation to Bid The Department of Public Works and Highways- Laguna I District Engineering</t>
  </si>
  <si>
    <t xml:space="preserve"> 8 pr Boots, Rubber &amp; 21 L/I</t>
  </si>
  <si>
    <t xml:space="preserve"> 8 ea Memory Desktop 4GB &amp; 4 L/I</t>
  </si>
  <si>
    <t xml:space="preserve"> Republic of the Philippines Province of Bohol Municipality of Panglao INVITATION TO BID FOR PROCUREMENT OF AIRCONDITIONING UNITS INCLUDING INSTALLATION AT PANGLAO, BOHOL 1.	The Municipality of Panglao, Bohol, through the Current &amp; Continuing Capital Outla</t>
  </si>
  <si>
    <t xml:space="preserve"> Republic of the Philippines Province of Bohol Municipality of Panglao INVITATION TO BID FOR PROCUREMENT OF FURNITURE AND FIXTURES AT PANGLAO, BOHOL 1.	The Municipality of Panglao, Bohol, through the Continuing Capital Outlay and SPA 2020 intends to apply </t>
  </si>
  <si>
    <t xml:space="preserve"> Republic of the Philippines Province of Bohol Municipality of Panglao INVITATION TO BID FOR PROCUREMENT OF DIVING EQUIPMENT FOR CRM COUNCIL AT PANGLAO, BOHOL 1.	The Municipality of Panglao, Bohol, through the Continuing Appropriation - CRM Council (40% EU</t>
  </si>
  <si>
    <t xml:space="preserve"> 4 Pcs of Tires</t>
  </si>
  <si>
    <t xml:space="preserve"> Labor Only</t>
  </si>
  <si>
    <t xml:space="preserve"> Various construction materials</t>
  </si>
  <si>
    <t xml:space="preserve"> Construction Project</t>
  </si>
  <si>
    <t xml:space="preserve"> INVITATION TO BID IB NO. 2020 – 060/ JJL 		 SUPPLY AND DELIVERY OF INORGANIC FERTILIZERS 		 1.	Department of Agriculture, Regional Field Office-10, through the Rice Program Funds CY 2020 intends to apply the sum of  Bid Lot 1: Twelve Million Four Hundred </t>
  </si>
  <si>
    <t xml:space="preserve"> Republic of the Philippines Province of Bohol Municipality of Panglao INVITATION TO BID FOR IMPROVEMENT OF THE OFFICE OF THE BARANGAY AFFAIRS AT PANGLAO, BOHOL 1.	The Municipality of Panglao, Bohol, through the MO - CONTINUING CAPITAL OUTLAY intends to ap</t>
  </si>
  <si>
    <t xml:space="preserve"> Republic of the Philippines Province of Bohol Municipality of Panglao INVITATION TO BID FOR CONSTRUCTION OF EMERGENCY ACCESS DOOR &amp; STEEL STAIRS FOR THE OFFICE OF THE SB SECRETARY AT PANGLAO, BOHOL 1.	The Municipality of Panglao, Bohol, through the MO - C</t>
  </si>
  <si>
    <t xml:space="preserve"> 1  UNI Lens, Camera, 16-55mm  -In accordance with the Technical Specifications  ABC: Php 75,389.49  NOTE: Please sign all pages of the Technical Specifications and submit it together with your quotation. If selected as the winning bidder, you are required</t>
  </si>
  <si>
    <t xml:space="preserve"> Republic of the Philippines Province of Bohol Municipality of Panglao INVITATION TO BID FOR PROCUREMENT OF 2 UNITS MOTORCYCLE PATROLL AND 2 UNITS UNCUSTOMIZED MOTORCYCLE (ALL BRAND NEW) 1.	The Municipality of Panglao, Bohol, through the MO-SPA 2020 (PTMO)</t>
  </si>
  <si>
    <t xml:space="preserve"> Republic of the Philippines Province of Bohol Municipality of Panglao INVITATION TO BID FOR PROCUREMENT OF FIRE FIGHTING &amp; RESCUE AND SAFETY EQUIPMENT 1.	The Municipality of Panglao, Bohol, through the BFP 20% Share intends to apply the sum of One Hundred</t>
  </si>
  <si>
    <t xml:space="preserve"> Department of Public Works and Highways (DPWH) Contract ID: 20MB0154 Contract Name and Location: WORK CATEGORY 18 - TRAFFIC SERVICES MAINTENANCE: ACT 71X-SPECIAL MAINTENANCE-FABRICATION OF KM POST ALONG NATIONAL HIGHWAY, SOUTH COTABATO 1ST ENGINEERING DIS</t>
  </si>
  <si>
    <t xml:space="preserve"> 18	lm	175 mm2, THNN, Copper 10	lm	30 mm2, THNN, Copper 2	pcs	65 mm Conduit Pipe (IMC) 2	pcs	IMC Elbow 65 mm 4	pcs	IMC Locknut 65 mm 2	pcs	IMC Coupling 65 mm 4	pcs	IMC Bushing 65 mm 2	pcs	IMC L&amp;B 65 mm 1	pcs	IMC Conduit Pipe 15mm 10	pcs	Dyna Bolt 9 mm 8	pc</t>
  </si>
  <si>
    <t xml:space="preserve"> Department of Public Works and Highways (DPWH) Contract ID: 20MB0152 Contract Name and Location: REPAIR/MAINTENANCE OF DPWH BUILDING MAIN BUILDING, BRGY. LAGAO, GENERAL SANTOS CITY SOUTH COTABATO 1st DISTRICT ENGINEERING OFFICE Tindalo St. Balite, Brgy. L</t>
  </si>
  <si>
    <t xml:space="preserve"> Republic of the Philippines Danao City BIDS AND AWARDS COMMITTEE 	 REQUEST FOR QUOTATION The Local Government of Danao City, through the City Admin./Waterworks Division intends to apply the sum of Php119,999.00 being the Approved Budget for the Contract (</t>
  </si>
  <si>
    <t xml:space="preserve"> Republic of the Philippines Province of Cagayan Municipality Of Ballesteros BARANGAY CABAYU INVITATION TO BID FOR “Procurement of Various Materials for the Installation of Fourteen (14) Units Jetmatic Pumps” 1.	The Barangay Government of Cabayu, Ballester</t>
  </si>
  <si>
    <t xml:space="preserve"> Earthworks, concrete works</t>
  </si>
  <si>
    <t xml:space="preserve"> 4 pcs Tires</t>
  </si>
  <si>
    <t xml:space="preserve"> Layer Chicken Feeds</t>
  </si>
  <si>
    <t xml:space="preserve"> - Printing      *Paper Quality:        A4 Size, White, 70 gsm, not back to back print - Sorting - Book Binding - Delivery      *Delivery Date:        August 3,2020 - Tax included - Exclusively for bidders residing at Valenzuela City only</t>
  </si>
  <si>
    <t xml:space="preserve"> Roofing Works (See attached Program of Works)</t>
  </si>
  <si>
    <t xml:space="preserve"> REQUEST FOR EXPRESSION OF INTEREST FOR  SUBDIVISION SURVEY OF MODULE NO. LOT-04-SOR-20 &amp; LOT-05-SOR-20 (2nd Posting) 1.	The Department of Agrarian Reform Sorsogon Provincial Office, under the General Appropriations Act of 2020 intends to apply the sum of </t>
  </si>
  <si>
    <t xml:space="preserve"> OFFICE OF THE BIDS AND AWARDS COMMITTEE (BAC) INVITATION TO BID FOR: 20-06-492 Repair and Maintenance of DH6 II Bulldozer 1.	The Local Government Unit of Alamada, through the SB No. 4 FY 2020 intends to apply the sum of              P 1,100,357.72 being t</t>
  </si>
  <si>
    <t xml:space="preserve"> qty         unit             descriptuon 1           lot       Occupational Safety &amp; Health Program 1           unit     Project signboard 1           lot       Pumphouse (Electrical wirings) 1           lot       Power supply with metering 1           lo</t>
  </si>
  <si>
    <t xml:space="preserve"> ITEM AND DESCRIPTION               QUANTITY                  UNIT ETHYL ALCOHOL                            14                             GL SANITARY NAPKIN                          30                             PACK HAND SANITIZER                       </t>
  </si>
  <si>
    <t xml:space="preserve"> for the use of Sangguniang Kabataan 1 unit Basketball ring 1 piece Basketball net</t>
  </si>
  <si>
    <t xml:space="preserve"> Republic of the Philippines Province of Samar Municipality of Sta. Rita Invitation to Bid for Newspaper Printing and Publication of Ordinance The Municipal Government of Sta. Rita, Samar intends to apply the sum of Ninety Thousand Pesos Only (Php90,000.00</t>
  </si>
  <si>
    <t xml:space="preserve"> Republic of the Philippines Province of Samar Municipality of Sta. Rita Brgy. Cansadong BIDS AND AWARDS COMMITTEE INVITATION TO BID The Brgy. Cansadong, Municipality of Sta. Rita, through Brgy. fund intends to apply the sum of Two Hundred Thousand Pesos (</t>
  </si>
  <si>
    <t xml:space="preserve"> for the use of the Sangguniang Kabataan of Barangay Bisocol 2  reams  Bond paper Long subs. 20 30 pieces  Folder long 1 unit       HD Puncher 1 box       Fastener 2 pieces    Stamp pads 2 boxes     Paper clips 1 bottle     stamp pad ink 1 unit        stap</t>
  </si>
  <si>
    <t xml:space="preserve"> 180 pads GR. I-IV PAD PAPER 100 pads INTERMEDIATE PAPER 170 pcs. BALLPEN 110 pcs. PENCIL 186 pc NOTEBOOK 23 reams BONDPAPER LONG 15 pcs. EPSON INK (BLACK) 17 pcs. EPSON INK (COLORED) 12 pcs. PLASTIC TAPE 15 pcs. PERMANENT MARKER 20 pcs. CARTOLINA 41 pcs. </t>
  </si>
  <si>
    <t xml:space="preserve"> Republic of the Philippines                                                             PROVINCE OF ISABELA                                                           Municipality of Dinapigue                                        INVITATION TO APPLY FOR </t>
  </si>
  <si>
    <t xml:space="preserve"> QTY     UNIT       DESCRIPTION 4          PCS        Volleyball ball  3          pcs         Volleyball net 3          pcs         Table tennis table 6          sets        Table tennis racket 20        sets        Pingpong ball 4          pcs         Bas</t>
  </si>
  <si>
    <t xml:space="preserve"> ITEM/DESCRIPTION                    QUANTITY              UNIT PLYWOOD                                        30                   LEGNTH LUMBER 2X2/10                                30                   LENGTH METAL FURRING  #2                         50</t>
  </si>
  <si>
    <t xml:space="preserve"> Republic of the Philippines PROVINCE OF NUEVA VIZCAYA Municipality of Aritao BARANGAY LATAR BIDS AND AWARDS COMMITTEE ITB-COMFORT ROOM-20-07-001 INVITATION TO BID FOR REHABILITATION OF ISOLATION COMFORT ROOM At Barangay Hall Compound, Latar, Aritao, Nueva</t>
  </si>
  <si>
    <t xml:space="preserve"> 25 Bags Portland Cement 3 cu.mRider Washed Sand 325pcs4” thk chb 25pcs 9mm0x6m deformed bars 4kgs #16 gi tie wire 6 shts 1/4 x 4x8 marine plywood 32 bdft 4-2 x 6 x 8 Good Lumber 50 bdft 15-2x2x10 goo lumber 1 kg # 3 concrete nails 1 kg # cwn 0.5 kg #2 1/2</t>
  </si>
  <si>
    <t xml:space="preserve"> Ready to Lay Chicken with cage</t>
  </si>
  <si>
    <t xml:space="preserve"> REQUEST FOR QUOTATION RFQ No. 2020-0282 The CITY GOVERNMENT OF CABANATUAN through its Bid and Awards Committee (BAC), will undertake Small Value Procurement for the SUPPLY AND DELIVERY OF TIRES in accordance with Section 53.9 of the Revised Implementing R</t>
  </si>
  <si>
    <t xml:space="preserve"> LOT 1 ITEM AND DESCRIPTION                QUALITY             UNIT PENTELPEN INK                                  8                  BOTTLE PENTELPEN(BROAD)                           13                    PC FASTENER(HEAVYDUTY)                      15    </t>
  </si>
  <si>
    <t xml:space="preserve"> washable face masks - 9,100 pcs            - break down of delivery: July - 3,600 pcs                                                August - 3,600 pcs                                                September - 1,900 pcs           - to be delivered on a w</t>
  </si>
  <si>
    <t xml:space="preserve"> 8 Sets Tires</t>
  </si>
  <si>
    <t xml:space="preserve"> 2 pcs Plier Stanley Side Cutter 7" 2 pcs Plier Stanley Long Nose 6" 2 pcs Plier Stanley Flat Nose 7" 2 pcs Screw Driver (1 Flat &amp; 1 Phillips)</t>
  </si>
  <si>
    <t xml:space="preserve"> 6 bx THHN 3.5 10 mtrs THHN #8 2 set Breaker 15 A-2 Pole 10 pcs Receptacle 2"diam. 40 pcs 11 watts Light Bulb LED 6 pcs Junction Box 4 pcs Electrical tape 3 pcs Rubber Tape 6 pcs T-Joint for P.E. Connector 4 pcs Coupling for P.E. 4 rolls P.E. Pipe SDR (100</t>
  </si>
  <si>
    <t xml:space="preserve"> Contract Name: 20GPM008 PURCHASE OF SURVEY EQUIPMENT FOR USE AT THE PLANNING AND DESIGN SECTION Approved Budget for the Contract: Php2,100,000.00 Issuance/Downloading of Bidding Document: July 6-28, 2020 Pre-Bid Conference: July 24, 2020/10:00 A.M. Deadli</t>
  </si>
  <si>
    <t xml:space="preserve"> Free Supply and Delivery of Printed Modules Specifications: A4 size Bondpaper 70gsm, Printing not back to back Budget Contract Includes: A. Printing or reproduction with a total of 190,723 pages of Learning Packets/ Modules for: Kinder - 4,050 Grade 1 - 2</t>
  </si>
  <si>
    <t xml:space="preserve"> 1. The Barangay D Council, Tayug, Pangasinan, through the 20% Development Fund intends to apply the sum of One Hundred Thousand pesos (Php 100,000.00) being Approved Budget for the Contract (ABC) for the Construction and Improvement of Multi-purpose hall </t>
  </si>
  <si>
    <t xml:space="preserve"> Republic of the Philippines City of Dapitan BIDS AND AWARDS COMMITTEE INVITATION TO BID July 03, 2020 	 The City Government of Dapitan, through its Bids and Awards Committee (BAC), invites interested parties to apply for eligibility and, if found eligible</t>
  </si>
  <si>
    <t xml:space="preserve"> 2ND BIDDING MATERIALS FOR THE CONSTRUCTION OF PUBLIC UTILITY TERMINAL BRGY, TULAY NA LUPA, LABO, CAMARINES NORTE MATERIALS: 140 pcs. 16mm dia. DSb 116 pcs. 12mm dia. DSB 220 pcs. 10mm dia. DSB 301 bags Portland Cement 19.5 cu.m. Washed Sand 5 cu.m. Boulde</t>
  </si>
  <si>
    <t xml:space="preserve"> 4 Sets of Tires</t>
  </si>
  <si>
    <t xml:space="preserve"> 2ND BIDDING MATERIALS FOR THE IMPROVEMENT OF EVACUATION CENTER BRGY. TULAY NA LUPA, LABO, CAMARINES NORTE MATERIALS: 8	pcs.	16mm dia. DSb 13	pcs.	12mm dia. DSB 38	pcs.	10mm dia. DSB 95	bags	Portland Cement 2	cu.m. Crushed Gravel 20.5	cu.m. Washed Sand 7	k</t>
  </si>
  <si>
    <t xml:space="preserve"> Printing or reproduction of Learning Packets/Modules for: Grade Level #of Pupils # of pages # of copies Kinder            455           45          20,475 Grade 1          433         240         103,920 Grade 2          457         289         132,073 Gr</t>
  </si>
  <si>
    <t xml:space="preserve"> Free Supply and Delivery of Printed Modules SPECIFICATIONS: A4 size Bondpaper 70gsm, Printing Not back to back Budget Contract Includes: A. Printing and reproduction with a total of 540, 665 pages of learning Packets/Modules for: Kinder   - 12,150 Grade 1</t>
  </si>
  <si>
    <t xml:space="preserve"> Contract Name: 20GPM007 PURCHASE OF I.T. EQUIPMENT FOR USE AT THE PLANNING AND DESIGN SECTION Approved Budget For the Contract: Php 1,450,000.00 Issuance/Downloading of Biiding DOcument: July 6, 2020-July 28, 2020 Pre-Bid Conference: July 14, 2020 Deadlin</t>
  </si>
  <si>
    <t xml:space="preserve"> Republic of the Philippines Province of Samar Municipality of San Jose de Buan INVITATION TO BID FOR THE PURCHASE OF 1-UNIT FIRE TRUCK 1.	The Municipal Local Government Unit of San Jose de Buan, Samar, through the LDRRMF of 2020 intends to apply the sum o</t>
  </si>
  <si>
    <t xml:space="preserve"> 2ND BIDDING MATERIALS FOR THE RIPRAPPING OF CREEK BETWEEN LOT NO. 3511 AND 3514, TS 203 BRGY. TULAY NA LUPA, LABO, CAMARINES NORTE MATERIALS: 200	bags	Portland Cement 26	cu.m. Washed Sand 35	cu.m. Gravel (Apple Size) 30	cu.m. Boulders 5	pcs.	UPVC 3" 10	pc</t>
  </si>
  <si>
    <t xml:space="preserve"> REQUEST FOR QUOTATION RFQ No. 2020-0281 The CITY GOVERNMENT OF CABANATUAN through its Bid and Awards Committee (BAC), will undertake Small Value Procurement for the SUPPLY AND DELIVERY OF PRINTED MATERIALS in accordance with Section 53.9 of the Revised Im</t>
  </si>
  <si>
    <t xml:space="preserve"> Republic of the Philippines Province of Samar Municipality of San Jose de Buan INVITATION TO BID FOR THE PURCHASE OF 1-UNIT HEAVY EQUIPMENT (ROAD ROLLER – 3TONNER) 1.	The Municipal Local Government Unit of San Jose de Buan, Samar, through the 20% EDF of 2</t>
  </si>
  <si>
    <t xml:space="preserve"> Item	Quantity	Unit	Description					 1	1		pc.	PROJECTOR					 2	1		set.	SPEAKER W/ STAND					 3	1		pc.	MIXER/ AMPLIFIER</t>
  </si>
  <si>
    <t xml:space="preserve"> PALTOK ELEMENTARY SCHOOL IS LOCATED AT T. SANTIAGO ST. VEINTEREALES, VALENZUELA CITY IS NEED FOR LEARNING PACKET SUPPLIER. PLEASE SEE ATTACHED APPROVED PR YOU CAN EMAIL YOUR QUOTATIONS AT pes.paltokelem@gmail.com</t>
  </si>
  <si>
    <t xml:space="preserve"> Republic of the Philippines Province of Samar Municipality of Sta. Rita Brgy. Dampigan BIDS AND AWARDS COMMITTEE INVITATION TO BID The Brgy. Dampigan, Municipality of Sta. Rita, through Brgy. fund intends to apply the sum of Three Hundred Thousand Pesos (</t>
  </si>
  <si>
    <t xml:space="preserve"> Republic of the Philippines             Province of Sultan Kudarat          CITY OF TACURONG            BARANGAY NEW CARMEN BIDS AND AWARDS COMMITTEE                                               INVITATION TO BID    				         (Re-Bidding)			          </t>
  </si>
  <si>
    <t xml:space="preserve"> ppy, Delivery and Printing of 50,000 copies EFLC Primer, as per BSP Technical Specifications</t>
  </si>
  <si>
    <t xml:space="preserve"> Supply &amp; Delivery of medical &amp; dental supplies &amp; materials 05D Med, Den &amp; Res G08-2020 Kindly see attached file. Thank you!</t>
  </si>
  <si>
    <t xml:space="preserve"> Procurement of service provider for the Human Resource Assessment Tool to be used for Recruitment, Placement, Promotion and Other HR Related System   Specifications: 1.	Provide Online Competency Assessment of the following: I.	Core Competency a.	Communica</t>
  </si>
  <si>
    <t xml:space="preserve"> 1. The Barangay D Councils, Tayug, Pangasinan, through the 20% Development Fund intends to apply the sum of One Hundred Thousand pesos (Php 100,000.00) being Approved Budget for the Contract (ABC) to payments under Supply and Delivery and installation of </t>
  </si>
  <si>
    <t xml:space="preserve"> INVITATION TO APPLY FOR ELIGIBILITY AND TO BID THE LOCAL GOVERNMENT UNIT OF KALAWIT, ZAMBOANGA DEL NORTE, through its Bids and Awards Committee (BAC), invites suppliers/manufacturers/distributors to bid for the hereunder project: NAME OF PROJECTS			: CONS</t>
  </si>
  <si>
    <t xml:space="preserve"> Republic of the Philippines             Province of Sultan Kudarat          CITY OF TACURONG            BARANGAY NEW CARMEN BIDS AND AWARDS COMMITTEE                                               INVITATION TO BID    					(Re-Bidding)			                  </t>
  </si>
  <si>
    <t xml:space="preserve"> Republic of the Philippines Province of Camarines Sur Municipality of Del Gallego Barangay Government of Sabang INVITATION TO BID The Barangay Government of Sabang, Del Gallego, Camarines Sur, through the 20% Barangay EDF 2019 intends to apply the sum of </t>
  </si>
  <si>
    <t xml:space="preserve"> Specifications: Printed in FRONT only, A4 Size Bondpaper (white)s16/60 gsm, sorted and stapled, to be delivered at Santiago A. De Guzman Elementary School on/or before July 21, 2020.</t>
  </si>
  <si>
    <t xml:space="preserve"> Supply &amp; Delivery of hardware supplies &amp; materials 05D AugGASS G10-2020 Kindly see attached file. Thank you!</t>
  </si>
  <si>
    <t xml:space="preserve"> Item	Quantity	Unit	Description					 1	4		roll	LAMINATING FILM					 2	1		pcs.	PAPER CUTTER					 3	1		pcs.	LAMINATING MACHINE					 4	9		pcs.	TABLE (LIFETIME)					 5	74		pcs.	MONOBLOC CHAIR</t>
  </si>
  <si>
    <t xml:space="preserve"> LSP-NSB Supplies Long Brown Envelopes - 9,600 pcs Ink for 3 in 1 printer - 48 pcs ( 12 pcs. yellow, 12 pcs. magenta, 123 pcs. cyan, 12 pcs. black) Ballpen (black/blue) - 9,600 pcs</t>
  </si>
  <si>
    <t xml:space="preserve"> INVITATION TO BID PROCUREMENT OF COVID19- RAPID TEST KITS. 1. The JH Cerilles State College, through the General Fund - Fund 101 intends to apply the sum of TWO MILLION NINE HUNDRED NINETY THOUSAND PESOS ONLY (PHP 2,990,000.00) being the Approved Budget f</t>
  </si>
  <si>
    <t xml:space="preserve"> Quantity	Unit	Agency Specification 271    	PCS	DIPLOMA (GRADE 6 &amp; KINDER) 376    	PCS	RIBBON</t>
  </si>
  <si>
    <t xml:space="preserve"> Description The Department of Agriculture-RFO 3, invites interested suppliers to submit quotations/proposals for the hereunder requirement, to wit: 2	units	Laptop	 		Windows 10 (64bit)	 		Inter core  I7-975H Processor 2.6 Ghz (12M Cache, up to 4.5GHz)	 		</t>
  </si>
  <si>
    <t xml:space="preserve"> No.	ITEM DESCRIPTION(ITEM NAME &amp; TECHNICAL SPECIFICATION)	QTY	UNIT			 1.		Gasoline	2	Drums 2.		Diesel 	2	Drums 3.				 	Note: Delivery to the Project Site</t>
  </si>
  <si>
    <t xml:space="preserve"> REQUEST FOR QUOTATION							 							 SIR/MADAM:							 							 Please quote your lowest price for the following items enumerated below, taking into consideration the following:							 							 TERMS AND CONDITIONS:							 1.  The Approved Budget for the Co</t>
  </si>
  <si>
    <t xml:space="preserve"> NO.	ITEM DESCRIPTION(ITEM NAME &amp; TECHNICAL SPECIFICATIONS)	QTY.	UNIT 			 1		Smart Card	9	Pcs.</t>
  </si>
  <si>
    <t xml:space="preserve"> INVITATION TO BID IB No. 2020-24 CONSTRUCTION OF BOX CULVERT AT BARANGAY TAGBAC SUR, OTON, ILOILO 1.	The Local Government Unit of Oton, through Provincial Aid, intends to apply the sum of One Million Nine Hundred Forty-Eight Thousand Eight Hundred Twenty-</t>
  </si>
  <si>
    <t xml:space="preserve"> Gill Nets (9x50 mesh x 0.25)	4000	meters Gill Nets 8 ½ x 50 mesh x 0.25	4000	meters Gill Nets (8 x 50 mesh x 0.25	4000	meters Load Sinker double xx	360	kilos Nylon twine no. 150	64	kilos Pataw/floater #5 extra	9600	pcs Pamonylon # 210/12	40	rolls</t>
  </si>
  <si>
    <t xml:space="preserve"> Please see attached file for details.</t>
  </si>
  <si>
    <t xml:space="preserve"> CONSTRUCTION OF 53 LN.M. LINE CANAL</t>
  </si>
  <si>
    <t xml:space="preserve"> CHAMPORADO RICE PORRIDGE (100G)               1,360       PACKS BEEF RICE PORRIDGE (100G)                            1,360        PACKS CHICKEN RICE PORRIDGE (100G)                      2,720        PACKS SPAGHETTI FORTIFIED PASTA  (100G)               2,</t>
  </si>
  <si>
    <t xml:space="preserve"> INVITATION TO BID FOR THE SUPPLY OF LABOR &amp; MATERIALS FOR REHABILATATION OF DRAINAGE CANAL 1. The Barangay Government of  WAWA ILAYA   through ldf (20%) AB 2020 -intends to apply the sum of FIVE HUNDRED TWENTY FIVE THOUSAND NINE HUNDRED FIVE PESOS &amp; 60/10</t>
  </si>
  <si>
    <t xml:space="preserve"> FREE SUPPLY AND DELIVERY OF PRINTED MODULES SPECIFICATION A4 SIZE BONDPAPER: 70 GSM, PRINTING IS NOT BACK TO BACK BUDGET CONTRACT INCLUDES: A. PRINTING OR REPRODUCTION WITH A TOTAL OF 386,775 PAGES OF LEARNING PACKETS/MODULES FOR: KINDER: 10,125 GRADE 1: </t>
  </si>
  <si>
    <t xml:space="preserve"> INVITATION TO APPLY FOR ELIGIBILITY AND TO BID THE LOCAL GOVERNMENT UNIT OF KALAWIT, ZAMBOANGA DEL NORTE, through its Bids and Awards Committee (BAC), invites suppliers/manufacturers/distributors to bid for the hereunder project: NAME OF PROJECTS			:SUPPL</t>
  </si>
  <si>
    <t xml:space="preserve"> INDUSTRIAL TECHNOLOGY DEVELOPMENT INSTITUTE DOST Cmpd., Bicutan, Taguig City Telephone Nos. (02) 837-20-71 to 82 local 2221 E-mail Add.: itdi.admbac@gmail.com INVITATION TO BID July 5, 2020 Sir/Madam: Please quote your price for the item/items listed belo</t>
  </si>
  <si>
    <t xml:space="preserve"> MOOE SHOPPING</t>
  </si>
  <si>
    <t xml:space="preserve"> Supply &amp; Delivery of portable sound system 01D CO G12-2020 Kindly see attached file. Thank you!</t>
  </si>
  <si>
    <t xml:space="preserve"> REQUEST FOR EXPRESSION OF INTEREST FOR  Consulting Services for the Preparation of Environmental Impact Statement and  Facilitation of ECC Application for the Modernization Plan of  Gov. Celestino Gallares Memorial Hospital Project located in Cortes, Boho</t>
  </si>
  <si>
    <t xml:space="preserve"> No.	ITEM DESCRIPTION(ITEM NAME &amp; TECHNICAL SPECIFICATION)	QTY	UNIT		 1.	Weighing Scale (20kgs capacity) 1 Pc. 2.	Plastic Bags (large)	10	Packs			 	Note: Delivery to the Project Site</t>
  </si>
  <si>
    <t xml:space="preserve"> CONSTRUCTION OF 210 L.M. PERIMETER FENCE</t>
  </si>
  <si>
    <t xml:space="preserve"> Republic of the Philippines Office of the Punong Barangay BIDS AND AWARDS COMMITTEE Barangay #16 Carusipan, Pasuquin, Ilocos Norte REQUEST FOR QUOTATIONS  Purchase of Office Supplies 1.	The BARANGAY CARUSIPAN-PASUQUIN, through the GENERAL FUND CY 2020   i</t>
  </si>
  <si>
    <t xml:space="preserve"> 500 pieces Administration Set Adult/Macroset and others</t>
  </si>
  <si>
    <t xml:space="preserve"> Republic of the Philippines Office of the Punong Barangay BIDS AND AWARDS COMMITTEE Barangay #16 Carusipan, Pasuquin, Ilocos Norte INVITATION TO BID FOR  Purchase of Disaster Equipment &amp; Paraphernalia 1.	The BARANGAY CARUSIPAN-PASUQUIN, through the BDRRM </t>
  </si>
  <si>
    <t xml:space="preserve"> Republic of the Philippines Office of the Punong Barangay BIDS AND AWARDS COMMITTEE Barangay #16 Carusipan, Pasuquin, Ilocos Norte REQUEST FOR QUOTATIONS  Purchase of Motorcycle 1.	The BARANGAY CARUSIPAN-PASUQUIN, through the GENERAL FUND CY 2020   intend</t>
  </si>
  <si>
    <t xml:space="preserve"> CONCRETING OF 4.0 m x 120 ln.m. x 0.15 m ROAD SECTION WITH SHOULDER BOTH SIDES</t>
  </si>
  <si>
    <t xml:space="preserve"> PURCHASE OF PATROL VEHICLE FOR THE USE OF BARANGAY LAGUILE, TAAL, BATANGAS. APPROVED BUDGET AMOUNTS TO P700,000.00</t>
  </si>
  <si>
    <t xml:space="preserve"> CONSTRUCTION OF 4X120X0.15 ACCESS ROAD</t>
  </si>
  <si>
    <t xml:space="preserve"> Form GS - 45	 							 							 							 Request For Quotation					Date:		 					Quotation No.:		 Company Name: 							 							 Address: 							 							 	Please quote your lowest price on the item/s listed below, subject to the General 						 Conditions on th</t>
  </si>
  <si>
    <t xml:space="preserve"> Contract I.D No: 				20-011 Contract Name:      			CONCRETING OF COSTA RICA LOCAL ACCESS ROAD Contract Location:			COSTA RICA, BATUAN, MASBATE Scope of Work:				Concreting of 220 ln.m local access road 0.20 m thick, 5 m wide,  Approved Budget for the Cont</t>
  </si>
  <si>
    <t xml:space="preserve"> 50 pieces Battery AAA,  90 pieces Battery AA, 75 pieces Battery Size C and others.</t>
  </si>
  <si>
    <t xml:space="preserve"> Republic of the Philippines Office of the Punong Barangay BIDS AND AWARDS COMMITTEE Barangay #16 Carusipan, Pasuquin, Ilocos Norte REQUEST FOR QUOTATIONS  Repair and Maintenance of Barangay Vehicles 1.	The BARANGAY CARUSIPAN-PASUQUIN, through the GENERAL </t>
  </si>
  <si>
    <t xml:space="preserve"> CONSTRUCTION OF 4X140X0.15 ACCESS ROAD</t>
  </si>
  <si>
    <t xml:space="preserve"> Request for Quotation for Curtain Rod and Curtain Rod Holder</t>
  </si>
  <si>
    <t xml:space="preserve"> Republic of the Philippines Office of the Punong Barangay BIDS AND AWARDS COMMITTEE Barangay #10 Estancia, Pasuquin, Ilocos Norte REQUEST FOR QUOTATIONS  Purchase of Office Supplies 1.	The BARANGAY ESTANCIA-PASUQUIN, through the BARANGAY FUND CY 2020  int</t>
  </si>
  <si>
    <t xml:space="preserve"> 1 85 pcs. Folder, Long (Red)  2 30 reams Paper Book (Long) 70 GSM, High White Subs.20  3 15 reams Paper Book (Short) 70 GSM, High White Subs.20  4 30 pcs. Envelope, Long (Expanded)  5 20 packs Stick-on Note (Tabs), Translucent 0.5" x 1.75" (1.3cm x 4.4cm)</t>
  </si>
  <si>
    <t xml:space="preserve"> qty       unit        description 2,600	Pcs.	Writing Notebook (80 leaves) 2,072	Pcs.	Composition Notebook (80 leaves) 680	       Bundle	Genius Pad 1 326	       Bundle	Genius Pad 2 314	       Bundle	Genius Pad 3 164	       Bundle	Genius Pad 4 296	      Bun</t>
  </si>
  <si>
    <t xml:space="preserve"> Please see attached RFQ # 20-1224 Submit the HARDCOPY of your SIGNED and SEALED quotation together with your UPDATED ELIGIBILITY requirement on or before the closing date of this opportunity. For more information, please contact Ms. Janeene Narvas at 0906</t>
  </si>
  <si>
    <t xml:space="preserve"> See attached file</t>
  </si>
  <si>
    <t xml:space="preserve"> 500 bottles D5%LR 1000ml  1000 bottles Plain NSS 1000ml 500 bottles D5%LR 500ml</t>
  </si>
  <si>
    <t xml:space="preserve"> 1   4 units Computer Desktop specs: Branded Intel core i3, 8GB RAM, 1TB HDD t200 RPM, 2GB Video Card Minitor 24" , Keyboard, Mouse Pad, Muti Media speaker System, 2 yrs. Anti virus. Windows 10 PRO Licensed OS. 2  1 unit Computer Desktop w/ Printer specs: </t>
  </si>
  <si>
    <t xml:space="preserve"> Republic of the Philippines Office of the Punong Barangay BIDS AND AWARDS COMMITTEE Barangay #20 Tabungao, Pasuquin, Ilocos Norte REQUEST FOR QUOTATIONS  Purchase of Office Supplies 1.	The BARANGAY TABUNGAO-PASUQUIN, through the GENERAL FUND CY 2020   int</t>
  </si>
  <si>
    <t xml:space="preserve"> QUANTITY	UNIT OF ISSUE	ITEM DESCRIPTION 5	Bot	Betadine 15	Pc	Gauze Pads (4x4) 10	Pc	Plaster 2	Tube	Oxytetracycline 5	Bot	Alcohol 500ml 4	Box	Gloves 10	Roll	Gauze roller bandage (4x4) 272	Pc	Band aid 35	Pc	facemask 5	bot	White flower 4	bot	Effecascent oil </t>
  </si>
  <si>
    <t xml:space="preserve"> Republic of the Philippines BARANGAY ANTIPOLO DEL SUR OFFICE OF THE PUNONG BARANGAY BIDS AND AWARDS COMMITTEE INVITATION TO BID The Barangay Government of BARANGAY ANTIPOLO DEL SUR through its Bids and Awards Committee (BAC), invites suppliers/manufacture</t>
  </si>
  <si>
    <t xml:space="preserve"> Republic of the Philippines Office of the Punong Barangay BIDS AND AWARDS COMMITTEE Barangay #20 Tabungao, Pasuquin, Ilocos Norte REQUEST FOR QUOTATIONS  Purchase of Construction Materials for the Construction of Signage's  (4 units) 1.	The BARANGAY TABUN</t>
  </si>
  <si>
    <t xml:space="preserve"> Supply &amp; Delivery of ICT supplies and materials  01D GASS &amp; HES G14-2020 Kindly see attached file. Thank you!</t>
  </si>
  <si>
    <t xml:space="preserve"> 170 units Whole Blood  88 units Packed Red Blood Cell 2 units Platelet 8 units Fresh Frozen Plasma</t>
  </si>
  <si>
    <t xml:space="preserve"> Request for Quotation for Mask with Nose Bar, Ear Lope, 3 ply, 50's</t>
  </si>
  <si>
    <t xml:space="preserve"> Republic of the Philippines Office of the Punong Barangay BIDS AND AWARDS COMMITTEE Barangay #12 Puyupuyan, Pasuquin, Ilocos Norte REQUEST FOR QUOTATIONS  Purchase of Office Supplies 1.	The BARANGAY PUYUPUYAN-PASUQUIN, through the AO2020-3SAVINGS OF 10% S</t>
  </si>
  <si>
    <t xml:space="preserve"> ITEM       DESCRIPTION                                           QTY         UNIT 1            MOBILIZATION &amp; DEMOBILIZATION             160.00     sq.m 2             EXCAVATION                                               19.20     cu.m                 </t>
  </si>
  <si>
    <t xml:space="preserve"> QUANTITY	UNIT OF ISSUE	ITEM DESCRIPTION 200    	set	          Worx Board (Long) 112   	ream	Hard Copy (Long) 38	         pc	Pilot Pentel Pen 38	        bot	Pilot Ink Black 370	        pc	Neon Cartolina ( Asst. Color) 405	        pc	Folder long 553	       </t>
  </si>
  <si>
    <t xml:space="preserve"> Section I. Invitation to Bid FOR THE UPLB-I-018-07-20 SUPPLY, DELIVERY AND INSTALLATION OF AIRCONDITIONING UNITS FOR INSTITUTE OF CHEMISTRY 1.	The UNIVERSITY OF THE PHILIPPINES LOS BAÑOS (UPLB), through the GOP (RCC: LB03040001 | FC: 8222700) intends to a</t>
  </si>
  <si>
    <t xml:space="preserve"> PROCUREMENT OF THE FOLLOWING SERVICES: CONCRETING OF .10 METER THK, 0.60 METERS WIDTH, 215 LINEAR METERS PATHWALK. A. MATERIALS B. LABOR C. HAULING OF MATERIALS FOR MORE DETAILS VISIT THE BARANGAY</t>
  </si>
  <si>
    <t xml:space="preserve"> Republic of the Philippines Office of the Punong Barangay BIDS AND AWARDS COMMITTEE Barangay #08 Sulongan, Pasuquin, Ilocos Norte REQUEST FOR QUOTATIONS  Purchase of Procurement of Preparedness and Other Equipage 1.	The BARANGAY SULONGAN-PASUQUIN, through</t>
  </si>
  <si>
    <t xml:space="preserve"> ITEM DESCRIPTION FORM 137 FORM 138 SF10 HEALTH CARD TOTAL = 20,300.00</t>
  </si>
  <si>
    <t xml:space="preserve"> REQUEST FOR QUOTATION Labor for Construction of Hazardous Facility and Storage Room at CvSU Indang Campus 1. The Cavite State University (CvSU) invites interested firms/suppliers to submit quotation for the project “Labor for Construction of Hazardous Fac</t>
  </si>
  <si>
    <t xml:space="preserve"> 1 3 UNIT FLOOR MOUNTED AIRCONDITIONING UNIT, 3.0TR  2 4 UNIT SPLIT TYPE AIRCONDITIONING UNIT, 2HP  3 12 PCS AIRCONDITIONING UNIT, WINDOW TYPE 2HP NOTE: -SUPPLIER MUST SPECIFY BRAND NAMES -W/ COMPLETE ACCESSORIES -W/ FREE INSTALLATION -ENERGY SAVER</t>
  </si>
  <si>
    <t xml:space="preserve"> Photocopier &gt; Minimum Scanning Speed : 40 opm &gt; Maximum Paper Size : A3x11x17 &gt; Copy pre-selection: 1-999 &gt; Toner Type: HD Pollymerised &gt; Printer Type: Lazer &gt; Lifetime Free Service &gt; Regular Preventive Maintenance &gt; Check up</t>
  </si>
  <si>
    <t xml:space="preserve"> Construction of 290.00 LM open drainage system.</t>
  </si>
  <si>
    <t xml:space="preserve"> Republic of the Philippines Office of the Punong Barangay BIDS AND AWARDS COMMITTEE Barangay #08 Sulongan, Pasuquin, Ilocos Norte REQUEST FOR QUOTATIONS  Purchase of Office Supplies 1.	The BARANGAY SULONGAN-PASUQUIN, through the GENERAL FUND CY 2020   int</t>
  </si>
  <si>
    <t xml:space="preserve"> Quantity	Unit	Agency Specification 4    	PCS	SCHOOL BANNER 5X5 5    	PCS	SCHOOL SIGNAGES 5X5</t>
  </si>
  <si>
    <t xml:space="preserve"> PROCUREMENT OF THE FOLLOWING SERVICES: INSTALLATION OF HYBRID GEL DEEP CYCLE BATTERY - 12 UNITS  A. MATERIALS B. LABOR C. OTHER FOR MORE DETAILS VISIT THE BARANGAY</t>
  </si>
  <si>
    <t xml:space="preserve"> 130 pack  Plain Tube/Violet Top 30 pack Applicator Stick and others.</t>
  </si>
  <si>
    <t xml:space="preserve"> Republic of the Philippines Department of the Interior and Local Government BUREAU OF JAIL MANAGEMENT AND PENOLOGY  Regional Office-VII 13B, M. Veloso Street, Brgy. Guadalupe, Cebu City Telephone 254-4747 E-mail: logs.bjmpro7@gmail.com Website: www.bjmpro</t>
  </si>
  <si>
    <t xml:space="preserve"> PROCUREMENT OF THE FOLLOWING SERVICES: REPLACEMENT OF DOORS AND WINDOWS AND CONSTRUCTION OF PARTITIONS. A. MATERIALS B. LABOR     INCLUDES REPLACEMENT AND INSTALLATION OF DOORS AND WINDOWS AND PARTITIONS. C. OTHER FOR MORE DETAILS VISIT THE BARANGAY</t>
  </si>
  <si>
    <t xml:space="preserve"> Republic of the Philippines Office of the Punong Barangay BIDS AND AWARDS COMMITTEE Barangay #08 Sulongan, Pasuquin, Ilocos Norte REQUEST FOR QUOTATIONS  Purchase of Construction Materials for the Rehabilitation of Canal Lining 1.	The BARANGAY SULONGAN-PA</t>
  </si>
  <si>
    <t xml:space="preserve"> Republic of the Philippines Office of the Punong Barangay BIDS AND AWARDS COMMITTEE Barangay #10 Estancia, Pasuquin, Ilocos Norte INVITATION TO BID FOR  Purchase of Construction Materials for the Rehab/Concreting of Barangay Road Shoulder 1.	The BARANGAY </t>
  </si>
  <si>
    <t xml:space="preserve"> 1  1 PC BLOOD PRESSURE MEASURING DEVICE MERCURY-FREE W/ NEW DUAL USE DESIGN WHEEL STAND FEATURES: -DURABLE AND CHEMICAL RESISTANT BODY -FULL ABS HOUSING LIGHT WEIGHT BODY -ADJUSTABLE DISPLAY COLUMN FOR EASIER ANALYSIS OF RESULT -AUSCULTATORY BLOOD PRESSUR</t>
  </si>
  <si>
    <t xml:space="preserve"> 1 4 pcs Magnetic Valve, APS  1 pc Throttle Cable, Part No. 228/01200 All items must be brand new.</t>
  </si>
  <si>
    <t xml:space="preserve"> for the use of Farmer's Association in different barangays.</t>
  </si>
  <si>
    <t xml:space="preserve"> REQUEST FOR QUOTATION Supply and Delivery of Materials for Fabrication of 10 Movable Bee Houses for CvSU Bee Program 1. The Cavite State University (CvSU) invites interested firms/suppliers to submit quotation for the project “Supply and Delivery of Mater</t>
  </si>
  <si>
    <t xml:space="preserve"> Item Description	Quantity 	 Calculator	5 Tinting	50 AA Battery	10 toilet Cleaner	20 correction tape	20 Cutter Knife	10 Detergent Bar	50 Dust Pan	50 Flash Drive	50 Glue	20 Mophead	10 Pencil Sharpener	10 Record Book	10 Staple wire Heavy Duty	10 Stapler	10 T</t>
  </si>
  <si>
    <t xml:space="preserve"> this serves for second posting of this project</t>
  </si>
  <si>
    <t xml:space="preserve"> REQUEST FOR QUOTATION Supply and Delivery of Animal Feeds for EBA – Animal Production Unit 1. The Cavite State University (CvSU) invites interested firms/suppliers to submit quotation for the project “Supply and Delivery of Animal Feeds for EBA – Animal P</t>
  </si>
  <si>
    <t xml:space="preserve"> REQUEST FOR QUOTATION Supply and Delivery of Materials for Improvement of Pathwalk and Installation of Purifying Tank at the back of Communal Comfort Room at CED 1. The Cavite State University (CvSU) invites interested firms/suppliers to submit quotation </t>
  </si>
  <si>
    <t xml:space="preserve"> Republic of the Philippines Province of Romblon Municipality of Santa Maria				 Date:		 Quotation No. 		 ____________________________						 _____________________________						     Please quote your lowest price on the item/s listed below subject to the Ge</t>
  </si>
  <si>
    <t xml:space="preserve"> REQUEST FOR QUOTATION Supply and Delivery of Non-Accountable Forms for CvSU Silang Campus 1. The Cavite State University (CvSU) invites interested firms/suppliers to submit quotation for the project “Supply and Delivery of Non-Accountable Forms for CvSU S</t>
  </si>
  <si>
    <t xml:space="preserve"> Supplies for the Repair and Maintenance of Barangay Hall Office</t>
  </si>
  <si>
    <t xml:space="preserve"> SPL I - SIGNAGES                1.O LOT SPL II - PROVISION FOR SAFETY AND HEALTH 1 LOT I - SITE PREPARATION AND LEVELING 12.0 CU.M II - CONCRETE WORKS  .50 CU.M III - REINFORCING STEEL 179.05 KGS 1003 - CARPENTRY WORKS  207.36 SQ.M 311 - PORTLAND CEMENT C</t>
  </si>
  <si>
    <t xml:space="preserve"> Name of Contract: CONSTRUCTION OF DRAINAGE CANAL AT BARANGAY MINDORO, VIGAN CITY Location: BARANGAY MINDORO, VIGAN CITY Apprved Budget for the Contract: (₱247,116.64 Contract Duration: 10 days</t>
  </si>
  <si>
    <t xml:space="preserve"> Republic of the Philippines DEPARTMENT OF SCIENCE AND TECHNOLOGY PHILIPPINE SCIENCE HIGH SCHOOL - SOCCSKSARGEN REGION CAMPUS Bids and Awards Committee INVITATION TO BID FOR THE PROCUREMENT OF 60 LAPTOP COMPUTERS - RE-BIDDING 1.	The Philippine Science High</t>
  </si>
  <si>
    <t xml:space="preserve"> Printed instructional materials (modules) for school year 2020-2021 which will be used by students at Las Piñas North National High School.</t>
  </si>
  <si>
    <t xml:space="preserve"> REQUEST FOR QUOTATION Supply and Delivery of ICT Equipment for Supply Office 1. The Cavite State University (CvSU) invites interested firms/suppliers to submit quotation for the project “Supply and Delivery of ICT Equipment for Supply Office” with an Appr</t>
  </si>
  <si>
    <t xml:space="preserve"> REQUEST FOR QUOTATION Please quote your lowest price on the items/s listed below, subject to the General Conditions below and submit the RFQ in a sealed envelope duly signed by your representative not later than the time &amp; date prescribed below at the Off</t>
  </si>
  <si>
    <t xml:space="preserve"> INVITATION TO BID FOR THE PROCUREMENT OF THE MPLS IPVN WIDE AREA NETWORK CONNECTIVITY FOR PAGCOR BRANCHES AND SATELLITES FOR A PERIOD OF TWO (2) YEARS  UNDER ITB NO. PB20-02-029CORa-07 The Philippine Amusement and Gaming Corporation (PAGCOR) is inviting a</t>
  </si>
  <si>
    <t xml:space="preserve"> Republic of the Philippines Office of the Punong Barangay BIDS AND AWARDS COMMITTEE Barangay #15 Pangil, Pasuquin, Ilocos Norte INVITATION TO BID FOR  Purchase of Materials for the Installation of Streetlight 1.	The BARANGAY PANGIL-PASUQUIN, through the 2</t>
  </si>
  <si>
    <t xml:space="preserve"> various construction mats. &amp; supplies</t>
  </si>
  <si>
    <t xml:space="preserve"> Concreting of 4.00m, 0.20m thk road with net length of 125.00 LM.</t>
  </si>
  <si>
    <t xml:space="preserve"> The Department of Agriculture-RFO 3, invites interested suppliers to submit quotations/proposals for the hereunder requirement, to wit: 1	unit	Printer  	 	Specification:  	 	    Print Technology : Laser  	 	    Multi-function: Print, Scan &amp; Copy with Buil</t>
  </si>
  <si>
    <t xml:space="preserve"> 1 Lot Supply and Delivery of 4 Units Brand New Multi-touch Digital Signage display size: 55 inches; 4k resolution; infrared 10-point touch; Type: TFT LCD All-in-One with integrated medi player Input: HDMI, RGB/VGA, Audio, RS232 Signage Dimension: (WxHxD):</t>
  </si>
  <si>
    <t xml:space="preserve"> Republic of the Philippines Province of Surigao del Sur Municipality of Tago ---ooo0ooo--- REQUEST FOR QUOTATION The Local Government Unit of Tago, Surigao del Sur Request for Quotation for the  PURCHASE OF 1 UNIT LAPTOP Name of Project: PURCHASE OF 1 UNI</t>
  </si>
  <si>
    <t xml:space="preserve"> Concreting of 5.00m, 0.20m thk road with net legth of 96.00 LM.</t>
  </si>
  <si>
    <t xml:space="preserve"> The Agricultural Training Institute-Regional Training Center VI (ATI-RTC VI) through its Bids and Awards Committee (BAC) intends to apply the sum of One Hundred Ninety-one Thousand Four Hundred Four Pesos Only (₱ 191,404.00). Being the Approved Budget for</t>
  </si>
  <si>
    <t xml:space="preserve"> 1. 353 BAGS PORTLAND CEMENT  2. 21 CUM WASHED SAND  3. 42 CUM WASHED GRAVEL YY 4. 8 PCS. 10mm DRB  5. 2 PCS. EMPTY DRUM  6. 320 BDFT 2X4X12 COCO FORM (40PCS)  7. 4 KGS ASSORTED NAILS 2 1/2, 3  8. 1 LOT LABOR LUMPSUM</t>
  </si>
  <si>
    <t xml:space="preserve"> 12	CU.M.	FILLING MATERIALS		 302	BAGS	PORTLAND CEMENT		 34	CU.M.	GRAVEL		 17	CU.M.	SAND		 120	BD.FT.	2 X 6 FORM LUMBER</t>
  </si>
  <si>
    <t xml:space="preserve"> student id JHS for students</t>
  </si>
  <si>
    <t xml:space="preserve"> Republic of the Philippines Province of Surigao del Sur Municipality of Tago ---ooo0ooo--- REQUEST FOR QUOTATION The Local Government Unit of Tago, Surigao del Sur Request for Quotation for the  PURCHASE OF TABLES &amp; CHAIRS (PLASTIC) Name of Project: PURCH</t>
  </si>
  <si>
    <t xml:space="preserve"> CONSTRUCTION OF DEEPWELL PUMP WATER SYSTEM AT BARANGAY TUMAWAY, TALISAY, BATANGAS</t>
  </si>
  <si>
    <t xml:space="preserve"> Name of Contract: CONCRETING OF BARANGAY ROAD BARANGAY AYUSAN NORTE, VIGAN CITY Apprved Budget for the Contract: ₱296,396.32 Contract Duration: 15 days</t>
  </si>
  <si>
    <t xml:space="preserve"> For use in the Garbage Collection and Disposal Services.</t>
  </si>
  <si>
    <t xml:space="preserve"> this serves as second posting for the said project</t>
  </si>
  <si>
    <t xml:space="preserve"> This project is dealing of Brgy. Magallanes, Lopez, Quezon</t>
  </si>
  <si>
    <t xml:space="preserve"> Republic of the Philippines PROVINCE OF NORTHERN SAMAR BIDS AND AWARDS COMMITTEE Catarman Invitation to Bid NS-07-06-20-01-R1 Fabrication of Steel Gate at Provincial Sports Center in Brgy. Cawayan, Catarman, Northern Samar 1.	The Provincial Government of </t>
  </si>
  <si>
    <t xml:space="preserve"> Materials for intramurals activity</t>
  </si>
  <si>
    <t xml:space="preserve"> PROCUREMENT OF LGU BAND EQUIPMENTS RECEIPT AND OPENING OF BIDS WILL BE ON JULY 27, 2020 10:00 AM AT BAC OFFICE, MUNICIPAL GYMNASIUM, SIBUCO, Zamboanga Del Norte LATE BIDS SHALL BE AUTOMATICALLY REJECTED</t>
  </si>
  <si>
    <t xml:space="preserve"> Republic of the Philippines Province of Surigao del Sur Municipality of Tago ---ooo0ooo--- REQUEST FOR QUOTATION The Local Government Unit of Tago, Surigao del Sur Request for Quotation for the  PURCHASE OF COMMERCIAL RICE Name of Project: PURCHASE OF COM</t>
  </si>
  <si>
    <t xml:space="preserve"> Construction of 164.00 LM covered drainage system.</t>
  </si>
  <si>
    <t xml:space="preserve"> 33	CU. M.	FILLING MATERIALS		 311	BAGS	PORTLAND CEMENT		 35	CU.M.	GRAVEL		 18	CU.M.	SAND		 200	BD.FT.	2 X 6 FORM LUMBER		 6	KLS.	        ASSORTED CWN</t>
  </si>
  <si>
    <t xml:space="preserve"> Republic of the Philippines																																																										 DEPARTMENT OF PUBLIC WORKS AND HIGHWAYS																																																										 OFFICE OF THE DISTRICT ENGINEER																																								</t>
  </si>
  <si>
    <t xml:space="preserve"> 1. 1 LOT .15m X 5M X 100m PCC PAVEMENT  &gt; Quantity - 500sqm  &gt; Concrete Thickness - .15m  &gt; Concrete Volume - 75 cum</t>
  </si>
  <si>
    <t xml:space="preserve"> Procurement of Email Subscription for Six (6) Months A copy of the complete Terms of Reference will be emailed to prospective bidders upon request. Upon submission of proposal, please submit the following documents: 1.  Mayor's/Business Permit 2.  PhilGEP</t>
  </si>
  <si>
    <t xml:space="preserve"> 1. 0.12 HAS CLEARING AND GRUBBING  2. 1,440 CUM EMBANKMENT  3. 1,080 CUM AGGREGATE BASE COURSE 4. 30 lnm RCCP - 1221,910,610mm</t>
  </si>
  <si>
    <t xml:space="preserve"> This project is dealing of Brgy. San Antonio, Lopez, Quezon</t>
  </si>
  <si>
    <t xml:space="preserve"> CONSTRUCTION OF TWENTY (20) UNITS HAND WASHING FACILITY AT VARIOUS SCHOOLS IN TALISAY, BATANGAS</t>
  </si>
  <si>
    <t xml:space="preserve"> CONSTRUCTION/INSTALLATION OFSUBMERSIBLE PUMP &amp; WATER TANK AT BARANGAY TRANCA, TALISAY, BATANGAS</t>
  </si>
  <si>
    <t xml:space="preserve"> Republic of the Philippines PROVINCE OF NORTHERN SAMAR BIDS AND AWARDS COMMITTEE Catarman Invitation to Bid NS-07-07-20-02-R1 Repair/Improvement of Emergency Room at G.B. Tan Memorial Hospital Laoang, Northern Samar 1.	The Provincial Government of Norther</t>
  </si>
  <si>
    <t xml:space="preserve"> CONSTRUCTION OF REINFORCED CONCRETE PIPE (RCP) DRAINAGE LINE AT SITIO LATAG, TUMAWAY, TALISAY, BATANGAS</t>
  </si>
  <si>
    <t xml:space="preserve"> Installation of CR SHS for school</t>
  </si>
  <si>
    <t xml:space="preserve"> SUPPLY AND DELIVERY OF FOURTEEN (14) UNITS OF RISO MACHINE</t>
  </si>
  <si>
    <t xml:space="preserve"> REQUEST FOR QUOTATION								 						Date: 	July 2, 2020	 						RFQ no.:	2020-199	 Name of Company:_______________________________________________________________________________________								 Address:_____________________________________________________</t>
  </si>
  <si>
    <t xml:space="preserve"> INVITATION FOR NEGOTIATED PROCUREMENT (Two Failed Bidding under Sec. 53.1)   In view of the two (2) failed public bidding, the LGU of General Luna, Quezon BAC invites suppliers to participate in the negotiation for RIP-RAPPING/SLOPE PROTECTION OF SAN VICE</t>
  </si>
  <si>
    <t xml:space="preserve"> Procurement of additional office supplies as supplement in reproduction of modules for each learner</t>
  </si>
  <si>
    <t xml:space="preserve"> Republic of the Philippines Province of Samar Catbalogan City Invitation to Bid for Infra 2020-030 CREATION OF MENTAL HEALTH AND PSYCHOSOCIAL FIRST AND CENER FOR MENTALLY ILL PATIENT AND CLIMATE CHANGE/DISASTER INCLUDED TRAUMA AND ESTABLISHMENT OF COMMUNI</t>
  </si>
  <si>
    <t xml:space="preserve"> Invitation to Bid FOR THE UPLB-I-021-07-20 SUPPLY AND DELIVERY OF CONSTRUCTION MATERIALS AND ELECTRICAL SUPPLIES FOR UPO   1.	The UNIVERSITY OF THE PHILIPPINES LOS BAÑOS (UPLB), through the GOP (RCC: LB03010001   FC: 8265400) intends to apply the sum of S</t>
  </si>
  <si>
    <t xml:space="preserve"> 1.      01        lot       Installation of 16 pcs.  HD CCTV Cameras including Monitor and coxial Cables                                Complete Package.</t>
  </si>
  <si>
    <t xml:space="preserve"> INVITATION TO BID FOR  Supply and Delivery of BUDDED Calamansi Seedlings 1.	The Municipal Government of Cavinti, Laguna, through the Grant from DA intends to apply the sum of Seven Hundred Thousand Pesos Only (Php 700,000.00) being the Approved Budget for</t>
  </si>
  <si>
    <t xml:space="preserve"> student ID SHS for students</t>
  </si>
  <si>
    <t xml:space="preserve"> Office Supplies - 95,314.00</t>
  </si>
  <si>
    <t xml:space="preserve"> 10	heads	Cross Breed Dairy Buffalo 		(Heifer=at least three (3) years of age)</t>
  </si>
  <si>
    <t xml:space="preserve"> The SANGGUNIANG BARANGAY OF BARANGAY AMBULONG, TANAUAN CITY, BATANGAS, through the Barangay Operating Budget 2020 intends to apply the sum of Thirty Nine Thousand Pesos Only (Php 39,000.00 ) being the Approved Budget of the Contract (ABC) to payment under</t>
  </si>
  <si>
    <t xml:space="preserve"> The SANGGUNIANG BARANGAY OF BARANGAY AMBULONG, TANAUAN CITY, BATANGAS, through the Barangay Operating Budget 2020 intends to apply the sum of Thirty Thousand Pesos Only (Php 30,000.00 ) being the Approved Budget of the Contract (ABC) to payment under the </t>
  </si>
  <si>
    <t xml:space="preserve"> Please see attached approved Request for Quotation: Food and accommodation for the participants, guests and training staff in the conduct of DAR-III Pre-National Assessment and Monthly Meeting on July 9-10, 2020: Requirements: Day 1 &amp; 2; Board and Lodging</t>
  </si>
  <si>
    <t xml:space="preserve"> Please see attached downloadable documents</t>
  </si>
  <si>
    <t xml:space="preserve"> Republic of the Philippines PROVINCE OF NORTHERN SAMAR BIDS AND AWARDS COMMITTEE Catarman Invitation to Bid NS-07--06-20-03-R1 Repair/Improvement of SP Offices at New Capitol Building Brgy. Dalakit Catarman, Northern Samar 1.	The Provincial Government of </t>
  </si>
  <si>
    <t xml:space="preserve"> Additional School and Office Supplies JHS for school</t>
  </si>
  <si>
    <t xml:space="preserve"> RIP-RAPPING OF CREEK AT QUILING-AYA BRIDGE</t>
  </si>
  <si>
    <t xml:space="preserve"> Name of Contract: CONCRETING OF BARANGAY ROAD BARANGAY AYUSAN NORTE, VIGAN CITY Location: AYUSAN NORTE, VIGAN CITY Apprved Budget for the Contract: ₱109,472.88 Contract Duration: 15 days</t>
  </si>
  <si>
    <t xml:space="preserve"> School Forms SHS for students</t>
  </si>
  <si>
    <t xml:space="preserve"> INVITATION TO BID NO. 2020-06-0014 PROCUREMENT OF REHABILITATION OF THE EXISTING CROP AND SOIL SCIENCE LABORATORY BUILDING AND UPGRADING OF THE WATER SYSTEM AND ELECTRICAL INSTALLATION OF CAPSU RDE-CSRDC (LOCATED AT CAPSU BURIAS CAMPUS) 1.	The Capiz State</t>
  </si>
  <si>
    <t xml:space="preserve"> INVITATION TO BID IB No. 2020-23-A CONTRACT OF SERVICE WITH LABOR AND MATERIALS FOR THE REPAIR OF ROOFING AT FISH SECTION AREA 1. The Local Government Unit of Oton, through Repair &amp; Maintenance Public Market - MEEDO, intends to apply the sum of Two Hundre</t>
  </si>
  <si>
    <t xml:space="preserve"> Invitation to Bid to all Supplier/Contractor duly accredited by the City Council of Manila to supply and deliver the following items provided hereunder, to wit; Item	Qty.	 	Unit	 	 	 	DESCRIPTION 1	 	2	 	Units	Circuit Breaker 30A.2P W/ Enclosure	 	 	 	  2</t>
  </si>
  <si>
    <t xml:space="preserve"> ITEM	QUANTITY	UNIT	A R T I C L E S 									 1	13	units	LED Lights 50 watts w/ casing									 2	2	pcs	Circuit Breaker									 3	30	pcs	Electrical Tape big									 4	12	rolls	Electrical wire #12 Stranded									 5	50	pcs	LED Bulbs 23 watts									 6	4</t>
  </si>
  <si>
    <t xml:space="preserve"> PROCUREMENT OF VARIOUS OILS FOR OSHKOSH STRIKER FIRETRUCKS AT ARFF USE @ DAVAO INTERNATIONAL AIRPORT  NOTE: CLOSING DATE OF ADVERTISEMENT  IS ON JULY 9,2020 @ 12:00 NN. OPENING OF BIDDING DOCUMENTS   IS ON JULY 9,2020 @ 01:30 PM. ////NOTHING FOLLOWS\\\\\</t>
  </si>
  <si>
    <t xml:space="preserve"> Republic of the Philippines  Province of Samar  Catbalogan City    Invitation to Bid for Infra 2020-029 SEPARATED DETENTION CENTER FOR JUVENILE DELINQUENT, Barangay 3 Poblacion Catbalogan City    1.	The City Government of Catbalogan, through the 2014 GAD </t>
  </si>
  <si>
    <t xml:space="preserve"> ITEM	QUANTITY	UNIT	A R T I C L E S 									 1	5	rms	Bondpaper Sub 20 Long									 2	5	rms	Bondpaper Sub 20 Short									 3	50	pcs	Brown Envelope long									 4	50	pcs	Folder Long									 5	5	sets	Computer Ink									 6	2	bxs	Ballpen									 7	10	bx</t>
  </si>
  <si>
    <t xml:space="preserve"> The SANGGUNIANG BARANGAY OF BARANGAY AMBULONG, TANAUAN CITY, BATANGAS, through the Barangay Operating Budget 2020 intends to apply the sum of Ten Thousand Pesos Only (Php 10,000.00 ) being the Approved Budget of the Contract (ABC) to payment under the Pro</t>
  </si>
  <si>
    <t xml:space="preserve"> PROCUREMENT OF HERBICIDE (ROUND UP) FOR VEGETATION AND MAINTENANCE USE NOTE: CLOSING DATE OF ADVERTISEMENT  IS ON JULY 9,2020 @ 12:00 NN. OPENING OF BIDDING DOCUMENTS   IS ON JULY 9,2020 @ 01:30 PM. ////NOTHING FOLLOWS\\\\\</t>
  </si>
  <si>
    <t xml:space="preserve"> Republic of the Philippines  Department of Education Region IV – A (CALABARZON) Division of Calamba City CAMP VICENTE LIM INTEGRATED SCHOOL Mayapa, Calamba City 												 REQUEST FOR QUOTATION Date	:  JULY 05, 2020 RFQ No.: 2020-07-0021 PR No.	:  2020-</t>
  </si>
  <si>
    <t xml:space="preserve"> Republic of the Philippines  Department of Education Region IV – A (CALABARZON) Division of Calamba City CAMP VICENTE LIM INTEGRATED SCHOOL Mayapa, Calamba City 												 REQUEST FOR QUOTATION Date	:  JULY 05, 2020 RFQ No.: 2020-07-0022 PR No.	:  2020-</t>
  </si>
  <si>
    <t xml:space="preserve"> ITEM	QUANTITY	UNIT	A R T I C L E S 									 1	1	unit	Powdered Xerox Machine									 2			-w/ scanner, printer, xerox</t>
  </si>
  <si>
    <t xml:space="preserve"> 1. The total approved budget for the contract for the SUPPLY AND DELIVER OF ASSORTED SIZES OF HDPE PIPES is PhP 111,000.00 2. Price quotations must include all taxes, duties, and/or levies payable and must be valid for 30 days. 3. Suppliers must specify t</t>
  </si>
  <si>
    <t xml:space="preserve"> CONSTRUCTION INCLUDING DRILLING WORKS : 5" x 70', INSTALLATION OF HAND PUMP AND ACCESSORIES .  BREAKDOWN OF EXPENDITURES :  I.     MATERIALS       -      P  56,200.00 II.    LABOR              -        107,240.00                                      _____</t>
  </si>
  <si>
    <t xml:space="preserve"> Republic of the Philippines Region XII Province of Cotabato BIDS AND AWARDS COMMITTEE Amas, Kidapawan City INVITATION TO BID FOR Supply &amp; Delivery of Medical Equipment for Aleosan District Hospital, Aleosan, Cotabato. (PB-20-314) 1.	The Provincial Governm</t>
  </si>
  <si>
    <t xml:space="preserve"> The Agricultural Training Institute-Regional Training Center VI (ATI-RTC VI) through its Bids and Awards Committee BAC) intends to apply the sum of Seven Hundred Seventy Thousand Pesos Only (₱ 770,000.00). Being the Approved Budget for the Contract (ABC) </t>
  </si>
  <si>
    <t xml:space="preserve"> Republic of the Philippines Province of Agusan del Sur MUNICIPALITY OF PROSPERIDAD BIDS AND AWARDS COMMITTEE NOTICE FOR NEGOTIATED PROCUREMENT NO. 2020-062 The Municipal Government of PROSPERIDAD, Province of Agusan del Sur, through its Bids and Awards Co</t>
  </si>
  <si>
    <t xml:space="preserve"> Modular learning for Kindergarten to Grade 6 pupils</t>
  </si>
  <si>
    <t xml:space="preserve"> Republic of the Philippines Region XII Province of Cotabato BIDS AND AWARDS COMMITTEE Amas, Kidapawan City INVITATION TO BID FOR Supply &amp; Delivery of Office Equipment for Provincial Engineer’s Office, Amas, Kidapawan City. (PB-20-334) 1.	The Provincial Go</t>
  </si>
  <si>
    <t xml:space="preserve"> INVITATION TO BID NO. 2020-06-0016 PROCUREMENT OF OFFICE EQUIPMENT OF CAPSU DAYAO SATELLITE COLLEGE 1.	The Capiz State University, through the Special Trust Fund - 2020 intends to apply the sum of Two Hundred Sixteen Thousand Eight Hundred Eighty Pesos (P</t>
  </si>
  <si>
    <t xml:space="preserve"> Republic of the Philippines Province of Agusan del Sur MUNICIPALITY OF PROSPERIDAD BIDS AND AWARDS COMMITTEE NOTICE FOR NEGOTIATED PROCUREMENT NO. 2020-060 The Municipal Government of PROSPERIDAD, Province of Agusan del Sur, through its Bids and Awards Co</t>
  </si>
  <si>
    <t xml:space="preserve"> 1. The total approved budget for the contract for the SSUPPLY AND DELIVERY OF VARIOUS INK CARTRIDGES FOR OFFICE STOCKS is PhP 73,600.00 2. Price quotations must include all taxes, duties, and/or levies payable and must be valid for 30 days. 3. Suppliers m</t>
  </si>
  <si>
    <t xml:space="preserve"> Republic of the Philippines Province of Agusan del Sur MUNICIPALITY OF PROSPERIDAD BIDS AND AWARDS COMMITTEE NOTICE FOR NEGOTIATED PROCUREMENT NO. 2020-059 The Municipal Government of PROSPERIDAD, Province of Agusan del Sur, through its Bids and Awards Co</t>
  </si>
  <si>
    <t xml:space="preserve"> Republic of the Philippines Province of Agusan del Sur MUNICIPALITY OF PROSPERIDAD BIDS AND AWARDS COMMITTEE NOTICE FOR NEGOTIATED PROCUREMENT NO. 2020-058 The Municipal Government of PROSPERIDAD, Province of Agusan del Sur, through its Bids and Awards Co</t>
  </si>
  <si>
    <t xml:space="preserve"> Procurement of various supplies for the UNIFAST Office use Extension Wire Qty: 11 Specifications: Input Voltage: 220V-230V Number of Outlets: 12 At least 6ft cable length With power indicator With Switch Crimping Tools Qty: 5 Specifications: Soft Grip Han</t>
  </si>
  <si>
    <t xml:space="preserve"> Republic of the Philippines Province of Agusan del Sur MUNICIPALITY OF PROSPERIDAD BIDS AND AWARDS COMMITTEE NOTICE FOR NEGOTIATED PROCUREMENT NO. 2020-061 The Municipal Government of PROSPERIDAD, Province of Agusan del Sur, through its Bids and Awards Co</t>
  </si>
  <si>
    <t xml:space="preserve"> Republic of the Philippines  Department of Education Region IV – A (CALABARZON) Division of Calamba City CAMP VICENTE LIM INTEGRATED SCHOOL Mayapa, Calamba City 												 REQUEST FOR QUOTATION Date	:  JULY 05, 2020 RFQ No.: 2020-07-0024 PR No.	:  2020-</t>
  </si>
  <si>
    <t xml:space="preserve"> EMERGENCY SUPPLIES</t>
  </si>
  <si>
    <t xml:space="preserve"> ITEM	QUANTITY	UNIT	A R T I C L E S 									 1	2	rms	Brgy. Certification w/ brgy. Logo									 2	2	rms	Brgy. Letterhead w/ brgy. Logo									 3	6	rms	Bondpaper Sub 20 long									 4	6	rms	Bondpaper Sub 20 short									 5	5	pcs	Record Book 200pp							</t>
  </si>
  <si>
    <t xml:space="preserve"> Procurement of Zoom Pro Subscription for Six (6) Months A copy of the complete Terms of Reference will be emailed to prospective bidders upon request. Upon submission of proposal, please submit the following documents: 1.  Mayor's/Business Permit 2.  Phil</t>
  </si>
  <si>
    <t xml:space="preserve"> INVITATION TO BID NO. 2020-06-0015 PROCUREMENT OF APPLIANCES OF CAPSU SIGMA SATELLITE COLLEGE 1.	The Capiz State University, through the Special Trust Fund - 2020 intends to apply the sum of Two Hundred Thirty-Five Thousand Pesos (Php235,000.00) being the</t>
  </si>
  <si>
    <t xml:space="preserve"> 1. The total approved budget for the contract for the SUPPLY AND DELIVERY OF VARIOUS C.I GATE VALVES AND C.I FITTINGS is PhP 331,200.00 2. Price quotations must include all taxes, duties, and/or levies payable and must be valid for 30 days. 3. Suppliers m</t>
  </si>
  <si>
    <t xml:space="preserve"> Flooring of playing ground of basketball court &amp; plastering of columns</t>
  </si>
  <si>
    <t xml:space="preserve"> Republic of the Philippines Province of Agusan del Sur MUNICIPALITY OF PROSPERIDAD BIDS AND AWARDS COMMITTEE NOTICE FOR NEGOTIATED PROCUREMENT NO. 2020-057 The Municipal Government of PROSPERIDAD, Province of Agusan del Sur, through its Bids and Awards Co</t>
  </si>
  <si>
    <t xml:space="preserve"> Republic of the Philippines  Province of Nueva Ecija  Palayan City BIDS AND AWARDS COMMITTEE  REQUEST FOR QUOTATION  									Date: July 5, 2020 1.	LGU-Palayan City through its Bids and Awards Committee (BAC) invites registered suppliers to submit quotati</t>
  </si>
  <si>
    <t xml:space="preserve"> 5 PIECES TIRES- 265X65X17 - NITTO TERRA GRAPPLER G2</t>
  </si>
  <si>
    <t xml:space="preserve"> Republic of the Philippines LOCAL GOVERNMENT UNIT OF IBA ROVINCE OF ZAMBALES Municipal Hall, R. Magsaysay Ave., Zone 1, Iba, Zambales (047) 602-1115/(047) 602-1122  ibasz2013@gmail.com   INVITATION TO BID OF SUPPLY AND DELIVERY OF MEDICINES AND MEDICAL</t>
  </si>
  <si>
    <t xml:space="preserve"> Printing,Sorting ,Binding of Modules</t>
  </si>
  <si>
    <t xml:space="preserve"> IMPROVEMENT OF MULTI-PURPOSE BUILDSING (STAGE) @ BRGY. SAN JOSE, LAL-LO, CAGAYAN</t>
  </si>
  <si>
    <t xml:space="preserve"> Republic of the Philippines Region XII Province of Cotabato BIDS AND AWARDS COMMITTEE Amas, Kidapawan City INVITATION TO BID FOR Supply &amp; Delivery of Medical Equipment for Cotabato Provincial Hospital, Amas, Kidapawan City. (PB-20-347) 1.	The Provincial G</t>
  </si>
  <si>
    <t xml:space="preserve"> REPUBLIC OF THE PHILIPPINES MUNICIPALITY OF BINMALEY PROVINCE OF PANGASINAN INVITATION TO BID FOR UPDATING OF COMMUNITY BASED MONITORING SYSTEM (CBMS) (HOUSEHOLD-LEVEL DATA MANAGEMENT SYSTEM DATA GATHERING SERVICES PHASE I ) 1.	The Municipal Government of</t>
  </si>
  <si>
    <t xml:space="preserve"> Republic of the Philippines Region XII Province of Cotabato BIDS AND AWARDS COMMITTEE Amas, Kidapawan City INVITATION TO BID FOR Procurement of Catering Services for various activities and meetings of the Office of the Vice Governor and Sangguniang Panlal</t>
  </si>
  <si>
    <t xml:space="preserve"> 1. The total approved budget for the contract for the SUPPLY AND DELIVERY OF ASSORTED SIZES OF G.I. FITTINGS is PhP 258,150.00 2. Price quotations must include all taxes, duties, and/or levies payable and must be valid for 30 days. 3. Suppliers must speci</t>
  </si>
  <si>
    <t xml:space="preserve"> Republic of the Philippines Region XII Province of Cotabato BIDS AND AWARDS COMMITTEE Amas, Kidapawan City INVITATION TO BID FOR Supply &amp; Delivery of Medical Supplies for Pres. Roxas Provincial Community Hospital, Pres. Roxas, Cotabato. (PB-20-346) 1.	The</t>
  </si>
  <si>
    <t xml:space="preserve"> Republic of the Philippines Region XII Province of Cotabato BIDS AND AWARDS COMMITTEE Amas, Kidapawan City INVITATION TO BID FOR Supply &amp; Delivery of Construction Supplies for Provincial Engineer’s Office, Amas, Kidapawan City. (PB-20-337) 1.	The Provinci</t>
  </si>
  <si>
    <t xml:space="preserve"> PLEASE SEE ATTACHED COMPONETS</t>
  </si>
  <si>
    <t xml:space="preserve"> 1. The total approved budget for the contract for the SUPPLY AND DELIVERY OF VARIOUS C.I. FITTINGS is PhP 50,2000.00 2. Price quotations must include all taxes, duties, and/or levies payable and must be valid for 30 days. 3. Suppliers must specify the BRA</t>
  </si>
  <si>
    <t xml:space="preserve"> Please see attached ITB. ABC: 446,040.00</t>
  </si>
  <si>
    <t xml:space="preserve"> Biosafety Cabinet: Thermofisher Scientific 1300 Series Class II Technical Specification Dimensions: Exterior dimension: 1300 x1568 x798/51.2 x61.8 31.5mm (inches) Interior dimension: 1200 x780 x630 / 47.2 x 30.7 24.8mm (inches) Shipping dimension: 1410 x1</t>
  </si>
  <si>
    <t xml:space="preserve"> Ascorbic Acid: 500mg Atropine Sulfate amp: 1mg/ml 1ml Adenosine vial: 3mg/ml 2ml Amiodarone amp: 50mg/ml 3ml Dobutamine amp: 25mg/ml 10ml Bupivacaine Heavy: 0.5% Clarithromycin: 500mg Cefalexin: 500mg Clopidogrel: 75mg Ferrous sulfate tab: 500mg Mefenamic</t>
  </si>
  <si>
    <t xml:space="preserve"> Meals and Snacks: (Batch 1) (20 pax X 2 Days) Am Snack: Ham &amp; Cheese Sandwich/Bottled Water Lunch: Steamed Rice, Crab &amp; Corn Soup, Baby Back Ribs ,Chicken Cordon Bleu, 	Chopsuey, Fruit Salad, Bottled Water PM Snack: Pancit Lucban with turon, Calamansi Jui</t>
  </si>
  <si>
    <t xml:space="preserve"> Republic of the Philippines Province of Northern Samar Municipality of Gamay Barangay Henogawe Invitation to Bid for: Construction of Concrete Pavement @ Albescia St., Brgy. Henogawe, Gamay, Northern Samar The BLGU Henogawe, Gamay, Northern Samar, through</t>
  </si>
  <si>
    <t xml:space="preserve"> Republic of the Philippines Region XII Province of Cotabato BIDS AND AWARDS COMMITTEE Amas, Kidapawan City INVITATION TO BID FOR Supply &amp; Delivery of Medicines for Pres. Roxas Provincial Community Hospital, Pres. Roxas, Cotabato. (PB-20-345) 1.	The Provin</t>
  </si>
  <si>
    <t xml:space="preserve"> Invitation to Bid FOR THE UPLB-I-019-07-20 SUPPLY AND DELIVERY OF CONSTRUCTION MATERIALS AND ELECTRICAL SUPPLIES FOR IC, UHS AND SESAM   1.	The UNIVERSITY OF THE PHILIPPINES LOS BAÑOS (UPLB), through the GOP (RCC: LB03040001-C0002376, LB02022001-C0001695,</t>
  </si>
  <si>
    <t xml:space="preserve"> INVITATION TO BID   (Public Bidding) The BFAR 08, through its Bids and Awards Committee (BAC), invites eligible suppliers to bid for the hereunder contract:	 NAME OF CONTRACT: 20-05-0545 Supply and Delivery of Materials for Intensive Tilapia Farming in Po</t>
  </si>
  <si>
    <t xml:space="preserve"> School Supplies</t>
  </si>
  <si>
    <t xml:space="preserve"> Please see attached ITB. ABC: 450,000.00</t>
  </si>
  <si>
    <t xml:space="preserve"> DESCRIPTION PROCUREMENT AND DELIVERY OF 963 BAGS PRIVATE HYBRID RICE SEEDS FOR CY 2020 LOT                          DESCRIPTION  NO. 	QTY	ABC 1	Hybrid Rice Seeds ( Private)(15 kg/bag) Preferred Varieties: Rc 236H, Rc 350H	274 bags	1,370,000.00 2	Hybrid Ri</t>
  </si>
  <si>
    <t xml:space="preserve"> Meals for Team Supervision for teachers and visitors</t>
  </si>
  <si>
    <t xml:space="preserve"> Treatment/Disposal: of Hazardous Waste (pathological, needles and sharps) Hazardous Waste Weight</t>
  </si>
  <si>
    <t xml:space="preserve"> p.e. pipe # 1 1/2=10 rolls p.e. pipe # 1 1/4 = 10 rolls p.e. pipe # 1 = 10 rolls coupling 1 1/2 = 10 pcs.  coupling 1 1/4 = 10 pcs. coupling 1 = 10 pcs. reducer 1 1/2 x 1 1/4 = 3 pcs. reducer 1 1/4 x 1 = 3 pcs. pipe wrench 14 inch = 1 pcs</t>
  </si>
  <si>
    <t xml:space="preserve"> The Mindanao State University-Sulu, Bids and Awards Committee (BAC) through the Trust Fund, intends to apply the sum of Five Hundred thousand Pesos (P500,000.00) as the Approved Budget for the Contract (ABC) for payment for the Procurement of Books. Biddi</t>
  </si>
  <si>
    <t xml:space="preserve"> The Mindanao State University-Sulu, Bids and Awards Committee (BAC) through the Trust Fund, intends to apply the sum of One Million and Seventy Thousand Pesos (P1,070,000.00) as the Approved Budget for the Contract (ABC) for payment for the Procurement of</t>
  </si>
  <si>
    <t xml:space="preserve"> Meals and Snacks: (Batch 1) (25 pax X 4 Days) AM Snack: Arrozcaldo with Egg, Bottled Water Lunch: Steamed Rice, Vegetables Soup, Tonkatsu, Torta Congrejo, Bihon Guisado, Fruit Salad, Bottled Water PM Snacks: Toasted Siopao, Calamansi Juice Meals and Snack</t>
  </si>
  <si>
    <t xml:space="preserve"> Additional school and office supplies for SHS for office use</t>
  </si>
  <si>
    <t xml:space="preserve"> ITB No.: PB-2020-07-41 Invitation to Bid for the Supply and Delivery of Materials for the Street Lighting at RORO Port, Tagasa, Maya, Daanbantayan, Cebu 1.The Municipality of Daanbantayan, through the 20% Development Fund 2020 intends to apply the sum of </t>
  </si>
  <si>
    <t xml:space="preserve"> Meals and Snacks: (Batch 1) (15 pax X 3 Days) Am Snack: Ham &amp; Cheese Sandwich, Bottled Water Lunch: Steamed Rice, Crab &amp; Corn Soup, Baby Back Ribs, Chicken Gordon Bleu, 	Chopsuey, Fruit Salad, Bottled Water PM Snack: Pancit Lucban with turon, Calamansi Ju</t>
  </si>
  <si>
    <t xml:space="preserve"> Attached herewith the Request for Proposal and Terms of Reference.</t>
  </si>
  <si>
    <t xml:space="preserve"> INVITATION TO BID (Public Bidding) The BFAR 08, through its Bids and Awards Committee (BAC), invites eligible suppliers to bid for the hereunder contract:	 NAME OF CONTRACT: 20-05-0550 Supply and Delivery of Materials for Aquaponics with Intensive Tilapia</t>
  </si>
  <si>
    <t xml:space="preserve"> Please see ASSOCIATED COMPONENTS for details.</t>
  </si>
  <si>
    <t xml:space="preserve"> Printer Ink: Brother DCP-TC300 Printer Ink: Epson L3110 (CMYK) Printer Ink: for VP600 Color Label Printer: Cyan Printer Ink: for VP600 Color Label Printer: Magenta Printer Ink: for VP600 Color Label Printer: Yellow Printer Ink: for VP600 Color Label Print</t>
  </si>
  <si>
    <t xml:space="preserve"> MATERIALS AND ENGINEERINGSERVICES</t>
  </si>
  <si>
    <t xml:space="preserve"> RFQ-GS-20200630-06 Interested Suppliers are invited to submit Price Quotation for the above listed item. The official LANDBANK Request for Quotation Form may be obtained from MS. KIM STO. TOMAS (tel no. 85512200 locals 2452, 2453; email address: kimjoyang</t>
  </si>
  <si>
    <t xml:space="preserve"> REPUBLIC OF THE PHILIPPINES PROVINCE OF CEBU MUNICIPALITY OF PINAMUNGAJAN Invitation to Bid for:  CONSTRUCTION OF ARTESIAN WELLS 			                      1.	The MUNICIPALITY OF PINAMUNGAJAN, through the GENERAL FUND  intends to apply the sum of  ONE MILLI</t>
  </si>
  <si>
    <t xml:space="preserve"> REPUBLIC OF THE PHILIPPINES PROVINCE OF CEBU MUNICIPALITY OF PINAMUNGAJAN Invitation to Bid for:  REPLACEMENT OF DAMAGE ROOFINGS OF THE PINAMUNGAJAN PUBLIC MARKET 			           1.	The MUNICIPALITY OF PINAMUNGAJAN, through the GENERAL FUND  intends to appl</t>
  </si>
  <si>
    <t xml:space="preserve"> REPUBLIC OF THE PHILIPPINES PROVINCE OF CEBU MUNICIPALITY OF PINAMUNGAJAN Invitation to Bid for : CONSTRUCTION OF MUNICIPAL SLAUGHTERHOUSE 1. The MUNICIPALITY OF PINAMUNGAJAN, through the GENERAL FUND intends to apply the sum of FOUR MILLION FIVE  HUNDRED</t>
  </si>
  <si>
    <t xml:space="preserve"> SEE ATTACHED FILES</t>
  </si>
  <si>
    <t xml:space="preserve"> PLEASE SEE ATTACHED FILES</t>
  </si>
  <si>
    <t xml:space="preserve"> Diesel Fuel Gasoline Fuel</t>
  </si>
  <si>
    <t xml:space="preserve"> Various Office Supplies and Consumables (see attached RFQ)</t>
  </si>
  <si>
    <t xml:space="preserve"> Republic of the Philippines Province of Camarines Sur Municipality of Del Gallego Barangay Government of Penafrancia INVITATION TO BID The Barangay Government of Penafrancia, Del Gallego, Camarines Sur, through the 20% BEDF 2019 intends to apply the sum o</t>
  </si>
  <si>
    <t xml:space="preserve"> Republic of the Philippines OFFICE OF THE PUNONG BARANGAY City of Puerto Princesa BIDS AND AWARDS COMMITTEE INVITATION TO BID (for the Procurement of Goods) 1.	The Barangay Masipag, City of Puerto Princesa, through General Appropriation Ordinance No.1-202</t>
  </si>
  <si>
    <t xml:space="preserve"> Free Supply and Delivery of Printed Modules Specifications: A4 size Bondpaper 70 gsm, Printing not back to back Budget Contract Includes: A. Printing or reproduction with a total of 1,303,093 pages of Learning Packets/Modules for: Kinder -27900 Grade 1 - </t>
  </si>
  <si>
    <t xml:space="preserve"> Construction of MPP Hall Phase 3  Ceiling &amp; Electrical Lines at Purok 3 Barangay Calasgasan, Daet, Camarines Norte</t>
  </si>
  <si>
    <t xml:space="preserve"> insatallation of waste management facility for school</t>
  </si>
  <si>
    <t xml:space="preserve"> NOTICE OF PROCUREMENT July 03, 2020 Notice is hereby given that the Department of Public Works and Highways (DPWH)- Metro Manila 1st  District Engineering Office is undertaking the following contracts, through Negotiated Procurement in accordance with Sec</t>
  </si>
  <si>
    <t xml:space="preserve"> The Philippine Statistics Authority – Regional Statistical Services Office X, (PSA-RSSO X) through its Regional Office Bids and Awards Committee (ROBAC), will undertake an Alternative Mode of Procurement through Negotiated Procurement for the items stated</t>
  </si>
  <si>
    <t xml:space="preserve"> National Power Corporation INVITATION TO BID PUBLIC BIDDING 2020-0154 1.	The NATIONAL POWER CORPORATION (NPC), through       its        approved       Corporate Budget of CY 2020 intends to apply   the   sum   of (Please see schedule below) being the Appr</t>
  </si>
  <si>
    <t xml:space="preserve"> INVITATION TO BID  PROCUREMENT OF JANITORIAL SERVICES 1.	The Industrial Technology Development Institute, through General Appropriations Act (GAA) intends to apply the sum of Three Million One Hundred Five Thousand only (Php 3,105,000.00) being the Approv</t>
  </si>
  <si>
    <t xml:space="preserve"> 5.0    Pcs.     RCPC 0.60m x 1.00m 1.0    unit     Backhoe 660.0  ltrs.    Diesel</t>
  </si>
  <si>
    <t xml:space="preserve"> Part 1		Field Office for Engineer	 A.1.1(8)	Lot	Provision of Field Office for the Engineer	1 Part II		Other General Requirements	 B.5	lot	Project Billboard/Signboard	1 Part III		Civil Works	 Part B		Plain and Reinforced Concrete Works	 Item 900(1)c2	Cu.m	</t>
  </si>
  <si>
    <t xml:space="preserve"> INVITATION TO BID   ROAD CONCRETING WITH DRAINAGE OF PUROK ACHARON, CALUMPANG, GEN. SANTOS CITY The Local Government Unit of Barangay Calumpang, GSC, through the Local Development Fund intents to apply the sum of One Million Nine Hundred Ninety Eight Thou</t>
  </si>
  <si>
    <t xml:space="preserve"> RPQ FOR THE 2ND QUARTER MOOE OF ANGGA-AN INTEGRATED SCHOOL</t>
  </si>
  <si>
    <t xml:space="preserve"> Repair of Doors SHS for school</t>
  </si>
  <si>
    <t xml:space="preserve"> Kindly provide your quotations on the listed item/s below: Please see attached RFQ for more details. For quotations sent through email, please make sure that documents are scanned or photographed legibly and can be printed clearly.</t>
  </si>
  <si>
    <t xml:space="preserve"> 30.0    BAGS     PORTLAND CEMENT 3.50    CU.M      SAND 2.50    CU.M      GRAVEL 8.0       PCS.      16MM DEF BARS 8.0       PCS.      12MM DEF BARS 30.0     PCS.       10MM DEF BARS 220.0    PCS.      4" X 8" X 16" CHB 10.0     SHTS.     3/8" MARINE PLYW</t>
  </si>
  <si>
    <t xml:space="preserve"> Name of Project: 	20-06-509 Purchase of Hardware Materials for the Repair and Repainting of 2 Classrooms at Alamada North District, Dado, Alamada, Cotabato Procurement Mode:		Small Value Procurement (SVP) Classification:			Goods Approved Budget for the Co</t>
  </si>
  <si>
    <t xml:space="preserve"> Request for Quotation											 											 									Date :		07/04/2020 									Quotation No.		2020-037 											    To all Eligible Suppliers:											 											 I.	Please quote your lowest price inclusive of VAT on the item/s listed below, subje</t>
  </si>
  <si>
    <t xml:space="preserve"> OFFICE OF THE BIDS AND AWARDS COMMITTEE (BAC) INVITATION TO BID FOR: 20-06-493 Repair and Maintenance of D6R Bulldozer 1.	The Local Government Unit of Alamada, through the SB No. 4 FY 2020 intends to apply the sum of              P 1,299,949.88 being the </t>
  </si>
  <si>
    <t xml:space="preserve"> OFFICE OF THE BIDS AND AWARDS COMMITTEE (BAC) INVITATION TO BID FOR: 20-06-460 Purchase of Base External 35W Radio (Wireless) for Survey 1.	The Local Government Unit of Alamada, through the 1011 Supplemental Budget No. 2 CY 2020 CO intends to apply the su</t>
  </si>
  <si>
    <t xml:space="preserve"> Republic of the Philippines  Province of Ilocos Sur Municipality of San Juan OFFICE OF THE BIDS AND AWARDS COMMITTEE INVITATION TO APPLY FOR ELIGIBILITY AND TO BID The Barangay Nagsupotan,San Juan,Ilocos Sur through the Bids And Awards Committee(BAC) invi</t>
  </si>
  <si>
    <t xml:space="preserve"> MASONRY WORKS       300.0     Pcs.     4" x 8" x 16" CHB        30.0      bags     Portland Cement         4.20     cu.m     Sand         1.0       cu.m     Gravel        20.0      pcs.       10mm Def. Bars         4.0       kgs.       No. 16 tie wire DOO</t>
  </si>
  <si>
    <t xml:space="preserve"> Training Materials &amp; Suppliles				 150	pcs	Notebook 50leaves			 12.00 	 1,800.00  150	pcs	Ballpen			 12.00 	 1,800.00  150	pcs	Envelope (Short)			 10.00 	 1,500.00  150	pcs	Envelope (Long)			 10.00 	 1,500.00  150	pcs	Plastic Envelope with Holder			 20.00</t>
  </si>
  <si>
    <t xml:space="preserve"> Description   Republic of the Philippines Province of Oriental Mindoro MUNICIPALITY OF NAUJAN BARANGAY MONTELAGO BIDS &amp; AWARDS COMMITTEE INVITATION TO BID SUPPLY AND DELIVERY OF MATERIALS TO BE USED FOR CONSTRUCTION OF PERIMETER FENCE(DAY CARE CENTER),SIT</t>
  </si>
  <si>
    <t xml:space="preserve"> OFFICE OF THE BIDS AND AWARDS COMMITTEE (BAC) INVITATION TO BID FOR THE 20-02-090 Cluster D-Year 2020 Concreting of FMR @ Barangay Kitacubong, Alamada, Cotabato-Three (3) Locations 1.	The Local Government Unit of Alamada, through the 20% EDF CY 2020 inten</t>
  </si>
  <si>
    <t xml:space="preserve"> Republic of the Philippines National Kidney and Transplant Institute Bids and Awards Committee East Avenue, Quezon City 1100 981-0300 / 981-0400 local 1157 http://www.nkti.gov.ph/	 INVITATION TO BID for the ITB No. 20-054 DESIGN AND BUILD OF THE PROPOSED </t>
  </si>
  <si>
    <t xml:space="preserve"> Page 1 of 8 REQUEST FOR QUOTATION (RFQ) SUPPLY AND DELIVERY OF LABORATORY CONSUMABLES UNDER EMB-ERLSD-ENVIRONMENTAL LABORATORY SERVICES SECTION (ELSS) ORGANICS LABORATORY UNIT RFQ NO. EMB-S-ERLSD-ELSS LABORATORY CONSUMABLES 2020-0419 1. The Department of </t>
  </si>
  <si>
    <t xml:space="preserve"> 61,000pcs Tilapia Fingerlings (#17 SRT) GENERAL CONDITIONS:  1.   All entries must be typewritten and legible;  2.   Bidders must submit certificate of PHILGEPS Registration;  3.   Bidders must submit necessary business permits (SEC; LGU; DTI; CDA, etc.);</t>
  </si>
  <si>
    <t xml:space="preserve"> Page 1 of 8 REQUEST FOR QUOTATION (RFQ) PREVENTIVE MAINTENANCE AND CALIBRATION SERVICE OF MERCURY ANALYZER - 4300 UNDER EMB-ERLSD-ECMU RFQ NO. EMB-SVP-ERLSD-ECMU ICP-OES PM 2020-0445 1. The Department of Environment and Natural Resources – Environmental M</t>
  </si>
  <si>
    <t xml:space="preserve"> MATERIALS ONLY</t>
  </si>
  <si>
    <t xml:space="preserve"> Republic of the Philippines Province of Camarines Sur Municipality of Del Gallego Barangay Government of Penafrancia INVITATION TO BID The Barangay Government of Penafrancia, Del Gallego, Camarines Sur, through the 20% bedf 2019 intends to apply the sum o</t>
  </si>
  <si>
    <t xml:space="preserve"> Meals and snacks with accommodation of Field Personnel for the third level training of the 2020 CPH on 3-8 August 2020 within the city of Tabuk.</t>
  </si>
  <si>
    <t xml:space="preserve"> RPQ OF MACAPARI CENTRAL SCHOOL 2ND QUARTER MOOE</t>
  </si>
  <si>
    <t xml:space="preserve"> Page 1 of 7 REQUEST FOR QUOTATION (RFQ) SUPPLY AND DELIVERY OF LABORATORY CONSUMABLES UNDER EMB-ERLSD-ENVIRONMENTAL LABORATORY SERVICES SECTION (ELSS) INORGANICS LABORATORY UNIT RFQ NO. EMB-S-ERLSD-ELSS LABORATORY CONSUMABLES 2020-0538 1. The Department o</t>
  </si>
  <si>
    <t xml:space="preserve"> Name of Project: 	20-06-486 Purchase of School Supplies for Alamada North District Office    Procurement Mode:		Shopping Classification:			Goods Approved Budget for the Contract (ABC):    PhP 70,000.00 BEST AND FINAL OFFER Item No.	Item &amp; Description	Quan</t>
  </si>
  <si>
    <t xml:space="preserve"> Description Republic of the Philippines Province of Oriental Mindoro MUNICIPALITY OF NAUJAN BARANGAY MONTELAGO BIDS &amp; AWARDS COMMITTEE INVITATION TO BID SUPPLY AND DELIVERY OF MATERIALS TO BE USED FOR  INSTALLATION OF STREET LIGHTS, DIFF. SITIOS BARANGAY </t>
  </si>
  <si>
    <t xml:space="preserve"> 30 PCS MONOBLOCK CHAIRS</t>
  </si>
  <si>
    <t xml:space="preserve"> Meal and snacks of Census Personnel for the fourth level training of the 2020 CPH on August 10-15,2020 within the Municipality of Rizal.</t>
  </si>
  <si>
    <t xml:space="preserve"> Procurement of Office Supplies and Equipment</t>
  </si>
  <si>
    <t xml:space="preserve"> ONE (1) LOT OFFICE SUPPLIES AND DEVICES Please see attached PR# 2020-06-001 and Request for Quotation</t>
  </si>
  <si>
    <t xml:space="preserve"> 80 GSM A4 PAPER FRONT PAGE PRINTING ONLY (NO BACK TO BACK) CLEAR COPY *PACKAGE INCLUDES PRINTING, SORTING AND ARRANGING OF MODULES PER SUBJECTS AND GRADE LEVELS</t>
  </si>
  <si>
    <t xml:space="preserve"> Construction Materials---- Php 72 000.00</t>
  </si>
  <si>
    <t xml:space="preserve"> Meal and snacks of Census Personnel for the Fourth level training of the 2020 CPH on 10-15 August 2020 within the municipality of Pinukpuk.</t>
  </si>
  <si>
    <t xml:space="preserve"> Page 1 of 9 REQUEST FOR QUOTATION (RFQ) PREVENTIVE MAINTENANCE SERVICE OF ONE (1) UNIT WATER PURIFICATION SYSTEM (LABOSTAR TWF UV7) SN: 1399200-10 WITH SUPPLY AND DELIVERY AND INSTALLATION AND REPLACEMENT OF PARTS UNDER EMB-ERLSD-ECMU RFQ NO. EMB-SVP-ERLS</t>
  </si>
  <si>
    <t xml:space="preserve"> Meals and snacks with accommodation of Census Personnel for the fourth level training of the 2020 CPH. Training participants shall be grouped into classes and shall be scheduled on 10-15 August (1st batch) and 17-22 August (2nd batch). No. of classes per </t>
  </si>
  <si>
    <t xml:space="preserve"> PURCHASE OF CCTV  WITH INSTALLATION</t>
  </si>
  <si>
    <t xml:space="preserve"> Page 1 of 7 REQUEST FOR QUOTATION (RFQ) PREVENTIVE MAINTENANCE AND CALIBRATION OF WATER PURIFICATION SYSTEM UNDER EMB-ERLSD-ECMU RFQ NO. EMB-SVP-ERLSD-ECMU WATER PURIFICATION SYSTEM PM 2020-0536 1. The Department of Environment and Natural Resources – Env</t>
  </si>
  <si>
    <t xml:space="preserve"> Cord clamp		Boxes	6 Surgical gloves size 7					Boxes	50 Clean gloves					boxes	10</t>
  </si>
  <si>
    <t xml:space="preserve"> Laptop with complete accessories		               Unit	1 Specification:						 Core i7 7th gen 7700 HQ Quad Core 3.80 ghz			 Max speed (2.80 ghz base speed) 8 Gb			 Ram DDR4, 512Gb ssd+1Tb HDD			 Nvidia GEFORCE GTX 1050 GDDRS 4Gb			 Dedicated + Intel HD 630</t>
  </si>
  <si>
    <t xml:space="preserve"> Portland Cement	bag	2,160 Washed Sand	cum	120 Washed Gravel G-1	cum	240 2"x4" 6m Steel Form	length	60 16mmØ x 6m Corr Bar	length	300 Hard Asphalt 25kg	bag	20</t>
  </si>
  <si>
    <t xml:space="preserve"> Page 1 of 7 REQUEST FOR QUOTATION (RFQ) SUPPLY AND DELIVERY OF CHEMICALS UNDER EMB-ERLSD-ENVIRONMENTAL LABORATORY SERVICES SECTION (ELSS) ORGANICS LABORATORY UNIT RFQ NO. EMB-S-ERLSD-ELSS CHEMICALS 2020-0492 1. The Department of Environment and Natural Re</t>
  </si>
  <si>
    <t xml:space="preserve"> Portland Cement	bags	3,024 Washed Sand	cum	168 Gravel 3/4	cum	336 16mm Ø x 6 mm Corr Bar	length	120 1x8x8 Coco Lumber	pc	130 Base Materials	cum	84 Hard Asphalt	kl	90 Shouldering Materials	cum	84</t>
  </si>
  <si>
    <t xml:space="preserve"> CWN 4”		Kls	30 CWN 3”					Kls	20 Umbrella nails					Kls	25 Portland cement					Bags	115 DSB 12 mm Ø x 6.0m					Pcs	38 DSB 10 mm Ø x 6.0m					Pcs	48 G.I. tie wire #16				Kls	7 Marine plywood ¼ 					Shts	4 Asstd. CWN					kls	10</t>
  </si>
  <si>
    <t xml:space="preserve"> Clutch repair kit		pc	1 Tire 7.00x15 w/flap &amp; inner tube					Sets	6 Battery 11P, 12V					Pcs	2 Brake fluid (900ml)					Bots	6 Grease 					Qtrs	6 ATF					ltrs	6</t>
  </si>
  <si>
    <t xml:space="preserve"> Portland Cement	bag	120 Washed Sand	cum	6 Washed Gravel	cum	12 12mmØ x 6m Corr. Bar	length	400 10mmØ x 6m Corr Bar	length	500 2x2x10 Coco Lumber	pc	225 1/2 Marine Plywood	sht	25 CW Nails#3	kl	15 3"Ø GI Pipe Sched 40	length	26 2"Ø GI Pipe Sched 40	length	2</t>
  </si>
  <si>
    <t xml:space="preserve"> REQUEST FOR QUOTATION GOODS 2020-029            July 04, 2020 _____________________________ _____________________________ _____________________________ Please quote your lowest price inclusive of VAT, subject to the Terms and Conditions of this RFQ, and s</t>
  </si>
  <si>
    <t xml:space="preserve"> Multi-Purpose Hall/Recreational and Educational Building, Phase 1</t>
  </si>
  <si>
    <t xml:space="preserve"> Portland Cement	bag	1,300 Washed Sand	cum	73 Washed Gravel G-1	cum	146 2"x4" 6m Steel Form	length	60 16mmØ x 6m Corr Bar	length	45 Hard Asphalt 25kg	bag	20 Sub-Base Materials(Anapog)	cum	38</t>
  </si>
  <si>
    <t xml:space="preserve"> Page 1 of 6 REQUEST FOR QUOTATION (RFQ) SUPPLY OF LABOR, TOOLS AND MATERIALS FOR THE FABRICATION OF V-NOTCH WEIR RFQ NO. EMB-ERLSD-ERS-SHOPPING-0035-6-22-2020 1. The Department of Environment and Natural Resources – Environmental Management Bureau (DENR-E</t>
  </si>
  <si>
    <t xml:space="preserve"> Page 1 of 8 REQUEST FOR QUOTATION (RFQ) SUPPLY AND DELIVERY OF LABORATORY CONSUMABLES UNDER EMB-ERLSD-ENVIRONMENTAL LABORATORY SERVICES SECTION (ELSS) INORGANICS LABORATORY UNIT RFQ NO. EMB-S-ERLSD-ELSS LABORATORY CONSUMABLES 2020-0531 1. The Department o</t>
  </si>
  <si>
    <t xml:space="preserve"> Liboran Elementary School is situated along the provincial road of Baungon. Hence the school is in need of the following material for delivering quality education. It is mandatory for the winner of the bidding to deliver the items in good condition within</t>
  </si>
  <si>
    <t xml:space="preserve"> 1. 1 pc Wooden Plaque N/F</t>
  </si>
  <si>
    <t xml:space="preserve"> Republic of the Philippines Province of Quezon Municipality of Atimonan	 	 INVITATION TO BID The Barangay Zone I Poblacion of Atimonan thru the Bids and Awards Committee (BAC) invites interested suppliers/contractors to apply for eligibility screening and</t>
  </si>
  <si>
    <t xml:space="preserve"> see attached ITB</t>
  </si>
  <si>
    <t xml:space="preserve"> ONE (1) LOT JANITORIAL AND SANITATION SUPPLIES</t>
  </si>
  <si>
    <t xml:space="preserve"> Page 1 of 7 REQUEST FOR QUOTATION (RFQ) UPGRADING OF SHIMADZU GC-ECD, (SN. C11804700447) UNDER EMB-ERLSD-ELSS-ECMU RFQ NO. EMB-SVP-ERLSD-ECMU SHIMADZU GC-ECD UPGRADE 2020-0534 1. The Department of Environment and Natural Resources – Environmental Manageme</t>
  </si>
  <si>
    <t xml:space="preserve"> PR#	2020-06-0323 HRDS 		Catering Services:	 90,000.00 	 		July 13 and July 27, 2020		 25	pax	1 Meal (lunch) &amp; 2 snacks per day		 		August 10 and August 24, 2020		 25	pax	1 Meal (lunch) &amp; 2 snacks per day		 		September 7 and September 21, 2020		 25	pax	1 M</t>
  </si>
  <si>
    <t xml:space="preserve"> Supply and Delivery of Spare Parts, &amp; Supply and Delivery of Materials and Tools for Repainting of Service Vehicles and Heavy Equipments.</t>
  </si>
  <si>
    <t xml:space="preserve"> 3 units Tricks-Ink Services</t>
  </si>
  <si>
    <t xml:space="preserve"> Supply and Delivery of Oils &amp; Grease at NIA CBIMO Maddarulug, Solana, Cagayan</t>
  </si>
  <si>
    <t xml:space="preserve"> PRQ OF MACAPARI CENTRAL SCHOOL 1ST QUARTER MOOE</t>
  </si>
  <si>
    <t xml:space="preserve"> 3 pack garbage bag 8 gallon alcohol 70% 20 pcs face shield 35 gallon hand sanitizer 2 gallon disinfectant 3 pcs disinfectant Mat 20 pcs gloves 1 sack rock salt 1 pc filter big no. 10 2 kg tire wire 60 pcs storage box</t>
  </si>
  <si>
    <t xml:space="preserve"> Republic of the Philippines Province of Ilocos Norte Municipality of Paoay BIDS AND AWARDS COMMITTEE INVITATION TO BID 2020-017 Invitation to Bid for the Purchase of disaster risk reduction equipments for the use of the Municipality during calamities 1.	T</t>
  </si>
  <si>
    <t xml:space="preserve"> Supply &amp; Delivery of Electrical Supplies at NIA IAAPIS Amulung, Cagayan</t>
  </si>
  <si>
    <t xml:space="preserve"> REQUEST OF PRICE QUOTATION OF ANGGA-AN IS (JUNIOR HIGH SCHOOL) 2ND QUARTER MOOE</t>
  </si>
  <si>
    <t xml:space="preserve"> INVITATION TO QUOTE Date:  July 04, 2020 1.	The Provincial Government of Davao del Sur, through its Bids and Awards Committee (BAC), invites all interested bidders/suppliers to quote for the following goods under Alternative Methods of Procurement (Small </t>
  </si>
  <si>
    <t xml:space="preserve"> SEE ATTACHED P.R.</t>
  </si>
  <si>
    <t xml:space="preserve"> INVITATION TO BID The LOCAL GOVERNMENT UNIT OF SANTO TOMAS,  through its Bids and Awards Committee (BAC), invites suppliers/ manufacturers/distributors/ contractors to apply for eligibility and to bid for the hereunder projects to be undertaken on  July 1</t>
  </si>
  <si>
    <t xml:space="preserve"> Supply and Delivery of IT equipment, Parts Tools and Software for Installation and Configuration of Communication Networking Equipment.</t>
  </si>
  <si>
    <t xml:space="preserve"> 5 pcs  portable handwashing</t>
  </si>
  <si>
    <t xml:space="preserve"> 270	sack	Lactating Feed Concentrates 		Feeds for Cattle 		50kg/sack</t>
  </si>
  <si>
    <t xml:space="preserve"> MATERIALS AND LABOR FOR THE REHABILITATION OF MULTI-PURPOSE BUILDING AT MALINGIN, IGPIT, OPOL MISAMIS ORIENTAL I.ROOFING WORKS Particulars 	Quantity	Unit 0.40 Corrugated G.I. Sheet-8’ (Galvalum)	60	Sheets Umbrella Nails No. 2 1/2” 	10	Kls 2”x6”x10” Cocolu</t>
  </si>
  <si>
    <t xml:space="preserve"> BOND PAPER, PRINTER INK</t>
  </si>
  <si>
    <t xml:space="preserve"> Brief Description		:   Structure Excavation, Gravel Bedding, Backfill and Embankment, Installation of forms and Scaffoldings, Reinforced concrete of footing, column, tie beam, Beam, Roof Beam, Lintel Beam and stiffener column, slab canopy, concrete ledge,</t>
  </si>
  <si>
    <t xml:space="preserve"> Page 1 of 9 REQUEST FOR QUOTATION (RFQ) SUPPLY AND DELIVERY OF LABORATORY CONSUMABLES UNDER EMB-ERLSD-ENVIRONMENTAL LABORATORY SERVICES SECTION (ELSS) INORGANICS LABORATORY UNIT RFQ NO. EMB-S-ERLSD-ELSS LABORATORY CONSUMABLES 2020-0438 1. The Department o</t>
  </si>
  <si>
    <t xml:space="preserve"> SUPPLY OF 2 UNITS 3HP FLOOR MOUNTED ACU: NON:INVERTER AT BRGY. HALL OF MANGHINAO PROPER, BAUAN, BATANGAS</t>
  </si>
  <si>
    <t xml:space="preserve"> PLEASE SEE ATTACHED REQUEST FOR QUOTATION FOR THE PROJECT DESCRIPTION.</t>
  </si>
  <si>
    <t xml:space="preserve"> 60 pcs spin mop 1 bed frame 1 bed sheet</t>
  </si>
  <si>
    <t xml:space="preserve"> Please see attached Request for Quotation</t>
  </si>
  <si>
    <t xml:space="preserve"> Republic of the Philippines Province of Ilocos Norte Municipality of Paoay BIDS AND AWARDS COMMITTEE INVITATION TO BID 2020-018 Invitation to Bid for the Siphoning of the different septic tanks of the Municipality 1.	The Municipal Government of Paoay, Ilo</t>
  </si>
  <si>
    <t xml:space="preserve"> SF 9 &amp; SF 10</t>
  </si>
  <si>
    <t xml:space="preserve"> July 12-14, 2020 ITEM AND DESCRIPTION			QTY	UNIT July 12, 2020-Arrival				 Dinner( unli-rice, chicken potchero, Lechon Kawali, pinakbet and dessert fresh fruit salad)			42	pax Lodging (Airconditioned room with free service water)			42	pax July 13, 2020			</t>
  </si>
  <si>
    <t xml:space="preserve"> Activities	Schedule 1. First Day of Issuance of Bid Documents: July 6, 2020 2. Last day of Issuance of Bid Documents: July 13, 2020 @ 2:00 PM 3. Last day of Submission and Opening of Bids: July 13, 2020 @ 2:00 PM</t>
  </si>
  <si>
    <t xml:space="preserve"> Corrective Maintenance for Hyundai Backhoe R140LC</t>
  </si>
  <si>
    <t xml:space="preserve"> Artificial Leg and Hearing Aid</t>
  </si>
  <si>
    <t xml:space="preserve"> 15,000	Ltr	Fuel, Diesel 1,300	Ltr	Fuel, Gasoline, Special 100   	Ltr	Oil, Diesel Engine 15W40 20    	Pail	Oil, Hydraulic VG 68 60    	Ltr	Oil, Hydraulic SAE 30 120   	Ltr	Oil, Hydraulic SAE 10 14    	Ltr	Oil, 2T 25    	Ltr	Oil, Gasoline Engine 20W50 25   </t>
  </si>
  <si>
    <t xml:space="preserve"> 158 pcs. 60x60 Floor Tiles 28 pcs. 1/4 ord. plywood 5 bags Skim Coat 15 unit tile adhesive 1 unit sliding window 1 pc. PVC Door 50 bags portland cement 20 pcs. 10mm x 6.0m steel bar 1 pc. spiral stair 4 pcs. window grills  30 pcs. metal parring 20 pcs. ca</t>
  </si>
  <si>
    <t xml:space="preserve"> INVITATION TO BID  PURCHASE OF 1 UNIT BRAND NEW 4x2 SIX WHEELERS GARBAGE COLLECTION TRUCK COMPACTOR TYPE, LEFT HAND DRIVE  (COMPLETELY BUILT UNIT) The Municipality of Santo Tomas, through 20% Development Fund – SB #2 intends to apply the sum of P’ 8,200,0</t>
  </si>
  <si>
    <t xml:space="preserve"> Republic of the Philippines Province of Ilocos Norte Municipality of Paoay BIDS AND AWARDS COMMITTEE INVITATION TO BID 2020-019 Invitation to Bid for the Purchase of diving paraphernalia for the use of the responders of the Municipality during emergencies</t>
  </si>
  <si>
    <t xml:space="preserve"> 88 pcs 32 gb flashdrive 1 roll plastic cover 16 packs surgical gloves</t>
  </si>
  <si>
    <t xml:space="preserve"> Tires</t>
  </si>
  <si>
    <t xml:space="preserve"> 1 LOT INSTALLATION OF GLASS PARTITION 3 UNITS GLASS CUBICLE ALUMINUM ANALOK/BRONZE COLORED FRAME IN 1/4MM CLEAR GLASS pls. send sealed bids c/o Mr. JOHN ALBERT SUAREZ  at NHMFC BACOLOD DESK OFFICE UNIT 12-14, 2ND FLOOR, ST. FRANCIS CENTRE, ARANETA ST., SI</t>
  </si>
  <si>
    <t xml:space="preserve"> Aircon - Floor Mounted and Window Type</t>
  </si>
  <si>
    <t xml:space="preserve"> QTY.	UNIT	ARTICLES AND DESCRIPTION 		ILOILO/GUIMARAS 96	pax	Batch 1 - Class 1,2,3 &amp; 4 (Sept. 4-5, 2020) Tentative 97	pax	Batch 2 - Class 1,2,3 &amp; 4 (Sept. 8-9, 2020) Tentative 100	pax	Batch 3 - Class 1,2,3 &amp; 4 (Sept. 9-10, 2020) Tentative  		1 full day boa</t>
  </si>
  <si>
    <t xml:space="preserve"> 1 roll PE PIPELINE 2' x60m 4 rolls PE PIPELINE 1 1/2 x60m 9 rolls PE PIPELINE 1''X100m 1 pc. compression coupling 2'' 3 pcs. compression coupling 1 1/2 8 pcs. compression coupling 1'' 1 pc. compression reducer 2x1 1/2 1 pc. compression reducer 1 1/2 x1</t>
  </si>
  <si>
    <t xml:space="preserve"> INDUSTRIAL TECHNOLOGY DEVELOPMENT INSTITUTE DOST Cmpd., Bicutan, Taguig City Telephone Nos. (02) 837-20-71 to 82 local 2221 E-mail Add.: itdi.admbac@gmail.com INVITATION TO BID July 4, 2020 Sir/Madam: Please quote your price for the item/items listed belo</t>
  </si>
  <si>
    <t xml:space="preserve"> 1 100 pcs Electrical Tape 19mm x 16m  2 4 bots Cement Rubber (Rugby), Beer Size  3 5 pcs Filter Mask  4 2 doz Hack Saw Blade  5 12 tubes Loctite, 5 g  6 2 sets Mounted Stone (5pcs/set)  7 3 gal Muriatic Acid, Pure  8 2 pcs Respirator, Paint and Chemical  </t>
  </si>
  <si>
    <t xml:space="preserve"> 1 2,600 LTRS. DIESEL  2 100 LTRS. GASOLINE TERMS AND CONDITIONS: 1.) PAYMENT WILL BE BASED ON ACTUAL PUMP PRICE 2.) PAYMENT WILL BE MADE PER QUINCENA</t>
  </si>
  <si>
    <t xml:space="preserve"> Repair and maintenance of Road Safety Facilities</t>
  </si>
  <si>
    <t xml:space="preserve"> 1 3 tanks 11 KG LPG FILLED  2 16 TANK 50 KG LPG FILLED</t>
  </si>
  <si>
    <t xml:space="preserve"> ITB / BOQ</t>
  </si>
  <si>
    <t xml:space="preserve"> 1 1,000 ltrs DIESEL  2 100 Ltrs GASOLINE Remarks : TERMS AND CONDITIONS 1 Payments will be based on actual pump price. 2 The supplier must preferably be the nearest station from the requisitioning office. 3 Billing shall be made weekly. 4 The requisitioni</t>
  </si>
  <si>
    <t xml:space="preserve"> 1   160 pax Meal and 1 Set Snack Meals: - Rice - Sliced Fruits or any equivalent - Softdrinks - Water - two (2) kinds of viands, either of the following sets:  Set A: Fried Chicken and Pork Giniling with Mixed Vegetables  Set B: Beef Steak with Ampalaya a</t>
  </si>
  <si>
    <t xml:space="preserve"> Republic of the Philippines Province of Romblon MUNICIPALITY OF MAGDIWANG INVITATION FOR REBIDDING SUPPLEMENTAL FEEDING Project ID No. 2020-17 June 24, 2020 1.	The Municipality of Magdiwang, Romblon, through its Gen. Fund 2020 intends to apply the sum of </t>
  </si>
  <si>
    <t xml:space="preserve"> PRINTING &amp; SORTING UNIT	         DESCRIPTION                                   QUANTITY PAGES	SPED (15 PUPILS) 70 PAGES	        1050 PAGES	KINDER (350 PUPILS) 45 PAGES	        15750 PAGES	GRADE 1 (420 PUPILS) 240 PAGES	100800 PAGES	GRADE 2 (365 PUPILS) 28</t>
  </si>
  <si>
    <t xml:space="preserve"> 1 1 PC SUSPENSION ARM ASSEMBLY  2 2 PCS RACK END  3 1 QRT BRAKE FLUID  4 2 PCS TIE ROD END  5 2 PCS STAB BUSHING  6 2 PCS STAB LINK  7 1 PC OIL FILTER  8 1 PC FUEL FILTER(PRIMARY)  9 1 PC FUEL FILTER( SECONDARY)  10 7 QRT SYNTHETIC OIL  11 1 PC AIR CLEANE</t>
  </si>
  <si>
    <t xml:space="preserve"> sound system, microphone, fire extinguisher, emergency light</t>
  </si>
  <si>
    <t xml:space="preserve"> 1 20 PCS ALCOHOL 70%  2 3 PCS AIR FRESHENER SPRAY  3 15 RMS LONG BOND PAPER SUB # 20  4 8 PCS CARTRIDGE CANON INK COLORED # 811  5 8 PCS CARTRIDGE CANON INK BLACK # 810  6 2 BXS PAPER CLIP BIG COLORED  7 5 PADS CONSTRUCTION PAPER  8 30 PCS FOLDER LONG SIZ</t>
  </si>
  <si>
    <t xml:space="preserve"> Construction of 1-storey 7.00mx16.00m evacuation center.</t>
  </si>
  <si>
    <t xml:space="preserve"> 1,500 Liter Gasoline 500 Liters - July 500 Liters - August 500 Liters - September Note: *Payment will be based on actual pump price *Payment will be made per quincena</t>
  </si>
  <si>
    <t xml:space="preserve"> DPWH, Isabela City District Engineering Office Tabuk, Isabela City, Basilan Province RE-INVITATION TO BID The DPWH Isabela City District Engineering Office, through its Bids and Awards Committee (BAC), invites contractors to submit bids for the following </t>
  </si>
  <si>
    <t xml:space="preserve"> BOQ / ITB</t>
  </si>
  <si>
    <t xml:space="preserve"> Corrective Maintenance for Nissan Dump trucks - SHA 261 &amp; SHA 272</t>
  </si>
  <si>
    <t xml:space="preserve"> Quantity	Unit	Agency Specification 1    	UNIT	THERMOSCAN</t>
  </si>
  <si>
    <t xml:space="preserve"> Concreting of 0.20m thk. road shoulder with net length of 545.00.</t>
  </si>
  <si>
    <t xml:space="preserve"> 1 set RELOADING MACHINE (RL550B)</t>
  </si>
  <si>
    <t xml:space="preserve"> QTY.	UNIT	ARTICLES AND DESCRIPTION 26	pax	Antique -    Class 1 26	pax	                   Class 2 27	pax	                   Class 3 27	pax	                   Class 4 		 		1 full day board and lodging w/ 3 meals and 2 snacks with the following inclusions: 	</t>
  </si>
  <si>
    <t xml:space="preserve"> Quantity	Unit	Agency Specification 100    	100/BOX	500 MG TABLET PARACETAMOL 100    	100/BOX	200 MG TABLET IBUPROFEN 100    	100/BOX	400 MG TABLET IBUPROFEN 100    	100/BOX	DICYCLOVERINE TABLET 100    	100/BOX	10 MG TABLET HYOSCINE 100    	100/BOX	PHENYLP</t>
  </si>
  <si>
    <t xml:space="preserve"> Quantity	Unit	Agency Specification 14    	REAM	LONG BOND PAPER 20    	REAM	SHORT BOND PAPER 12    	BOT	INK PRINTER ORIGINAL 946    	PC	LONG FOLDER 950    	PC	LONG BROWN ENVELOPE 700    	PC	SHORT BROWN ENVELOPE 14    	PC	SIGN PEN</t>
  </si>
  <si>
    <t xml:space="preserve"> OFFICE/SCHOOL SUPPLIES AND CONSUMABLES</t>
  </si>
  <si>
    <t xml:space="preserve"> Quantity	Unit	Agency Specification 2    	PCS	SCHOOL BANNER 5X5 2    	PCS	SCHOOL SIGNAGES 5X5</t>
  </si>
  <si>
    <t xml:space="preserve"> QTY.	UNIT	ARTICLES AND DESCRIPTION 25	pax	CAPIZ - Class 1 25	pax	            - Class 2 25	pax	            - Class 3 26	pax	            - Class 4 		1 full day board and lodging w/ 3 Meals and 2 snacks with the following inclusions: 		Meals &amp; Snacks: 		*3 b</t>
  </si>
  <si>
    <t xml:space="preserve"> 1 7,000 LITER DIESEL  2 6 LITER 2T OIL  3 300 LITER GASOLINE  4 3 QRT BRAKE FLUID  5 7 LITER TREKKER  6 8 LITER SYNTHETIC DIESEL ENGINE OIL  7 2 GAL OIL#40 Remarks : CONSUMPTION FROM APRIL TO SEPT 2020 AND PAYMENT BE MADE MONTHLY BASIS.</t>
  </si>
  <si>
    <t xml:space="preserve"> 1	Computer Laptop	3	units 	Intel i3 core		 	4gb DDR4 memory		 	1TB HDD		 	Windows 10 64-bit		 	WLAN 802</t>
  </si>
  <si>
    <t xml:space="preserve"> Quantity	Unit	Agency Specification 2    	UNIT	WALL FAN 2    	UNIT	ORBIT FAN</t>
  </si>
  <si>
    <t xml:space="preserve"> Republic of the Philippines  Province of Samar Municipality of Sto. Niño  Invitation to Bid for the Repair of Brgy. Warf, So. Samanlon, Brgy. Pinanangnan, Sto. Niño, Samar 1.	The Municipality of Sto. Niño, Samar, through the 20% Development fund CY 2020 i</t>
  </si>
  <si>
    <t xml:space="preserve"> 1	Face shield, good quality	150	pieces 2	Rain coat, good quality	90	pieces 3	Reflectorized vest, customized	90	pieces 4	FSL Led 1410	4	pieces 5	Rubber socket	4	pieces 6	Electrical tape, big	3	rolls 7	Wire	6	meters  8	Plug	2	pieces 9	Plain sheet	1	pieces 1</t>
  </si>
  <si>
    <t xml:space="preserve"> QTY.	UNIT	ARTICLES AND DESCRIPTION 25	pax	AKLAN - Class 1 25	pax	            - Class 2 25	pax	            - Class 3 26	pax	            - Class 4  		3 full day board and lodging w/ 3meals  and 2 snacks  		with following inclusion: 		Meals &amp; Snacks: 3 buffe</t>
  </si>
  <si>
    <t xml:space="preserve"> Repair/ Maintenance of Public Building</t>
  </si>
  <si>
    <t xml:space="preserve"> 1	Urine strips 4SG (SD Urocolor)	5	bxs 2	Auto Lancel G-23	10	bxs 3	EDTA 2ml	2	bxs 4	Micro Tube EDTA 0.5ml	2	bxs 5	Creatinine Jaffe Kin. 1 + 1 (200ml)	1	kit 6	Uric Acid PAP Fluid (5+1)	1	kit 7	Hemaquick Stain Set	1	bxs 8	Cholesterol Fluid Monoagent 100ml	2</t>
  </si>
  <si>
    <t xml:space="preserve"> 1	Jute sack	500	pcs 2	Tent, good wuality, good for 10 pax	7	pcs 3	Trapal, good quality	2	rolls</t>
  </si>
  <si>
    <t xml:space="preserve"> 1	D5LR 1L	276	bts 2	D5.3 NaCL 1L	180	bts 3	D5.1MB 1L	120	bts 4	Plain LR 1L	312	bts 5	0.9 Nacl 1L	324	bts 6	D5W 1L	60	bts 7	D5NM 1L	60	bts 8	Distilled water 50ml	550	vls</t>
  </si>
  <si>
    <t xml:space="preserve"> 1	Emergency Cart	1	unit 	Specs:		 	heavy duty stainless g22, 5 drawers made of stainless steel, 2 stainless door cabinet, pull-out shelves, oxygen tank carrier with cardiac board, four wheels caster 15" x 25" x 36"</t>
  </si>
  <si>
    <t xml:space="preserve"> 1	Analok Frame Glass Cabinet	1	lot 	1. 1 unit 53 x 77 x 10 fx bronze glass 		 	with sliding door framing 1 3/4 x 4 tubular brown		 	2. 4 units 24 x 77 1/2 clear glass shelves		 	framing 1 3/4 1 3/4 tubular		 	3. 4 units 24 x 53 1/2 clear glass shelves fra</t>
  </si>
  <si>
    <t xml:space="preserve"> 1	Battery AA, 2 pcs/pack	6	pack 2	Battery AAA, 2 pcs/pack	6	pack 3	Binder clips	6	 box 4	Correction Tape	6	pcs 5	Dobule sided tape, 1"	6	roll 6	Double sided tape, 2"	2	roll 7	DVD-RW	12	disc 8	Envelope documentary brown	40	pcs 9	Envelope, documentary white</t>
  </si>
  <si>
    <t xml:space="preserve"> Quantity	Unit	Agency Specification 1    	PC	SWIVEL CHAIR</t>
  </si>
  <si>
    <t xml:space="preserve"> Office supplies- Php. 94000.00</t>
  </si>
  <si>
    <t xml:space="preserve"> Quantity	Unit	Agency Specification 5    	PC	EPSON INK BLACK 664 5    	PC	EPSON INK MAGENTA 664 5    	PC	EPSON INK BLUE 664 5    	PC	EPSON INK YELLOW 664 25    	PC	EXPANDED ENVELOPE  25    	REAM	LONG BOND PAPER 25    	PC	SIGN PEN 25    	PC	PACKING TAPE THI</t>
  </si>
  <si>
    <t xml:space="preserve"> PLEASE SEE ATTACHED COMPONENTS</t>
  </si>
  <si>
    <t xml:space="preserve"> EXTENSION OF 10 UNITS STREET LIGHT &amp; REPLACEMENT OF BULB 4 roll THHN WIRE #12 10 pcs. receptacle 2x2 10 set street light basin w/ arm 4 pcs. 2'' dia. G.I Pipe s20 4 pcs. 1 1/2'' dia. G.I Pipe S20 16 bags Portland cement 16 pcs. 10mm dia. x 6.0m RSB 2 pcs.</t>
  </si>
  <si>
    <t xml:space="preserve"> 1.	The National Irrigation Administration – Cagayan-Batanes Irrigation Management Office, through the General Appropriations Act of 2020 intends to apply the sum of Three Million Three Hundred Forty Six Thousand Five Hundred Nineteen and 8/100 Pesos (P3,3</t>
  </si>
  <si>
    <t xml:space="preserve"> 376 bags Portland cement 47 cu.m. washed gravel 24 cu.m washed sand 12 pcs. 2''x8''x12' form lumber 5 pcs. 12mm dia. x 6.0m RSB 40 pcs. 12mm dia. Spikes 3 kls. ass. Cw nail</t>
  </si>
  <si>
    <t xml:space="preserve"> QTY.	UNIT	ARTICLES AND DESCRIPTION 		 5,193	pcs.	Washable Face Mask (WFM 3 ply) 1,731	bot.	Alcohol Isopropyl / Ethyl 250ml 		 		 		**NOTHING FOLLOWS**</t>
  </si>
  <si>
    <t xml:space="preserve"> Disinfectant Hand Sprayer Metal Stand Dispenser Foot Bath big Liquid Hand Soap Lysol Eye shield Surgical gloves Washable mask Detergent Powder Muriatic Acid Alcohol 500ml</t>
  </si>
  <si>
    <t xml:space="preserve"> REQUEST TO SUBMIT SEALED QUOTATION The TARLAC AGRICULTURAL UNIVERSITY, through its Bids and Awards Committee (BAC), invites all suppliers and dealers to submit sealed quotation for the Contract Reference # 2020-RFQ-031 GOODS “PURCHASE OF MULTI-FUNCTION PR</t>
  </si>
  <si>
    <t xml:space="preserve"> Concreting of 0.20m thk. road shoulder.</t>
  </si>
  <si>
    <t xml:space="preserve"> Department of Public Works and Highways (DPWH) Contract ID: 20MB0110 Contract Name&amp; Location:  Construction of Multi-Purpose Building at Barangay Lagao, General Santos City  SOUTH COTABATO 1ST DISTRICT ENGINEERING OFFICE Tindalo St. Balite, Brgy. Lagao, G</t>
  </si>
  <si>
    <t xml:space="preserve"> Republic of the Philippines  Province of Nueva Ecija  Palayan City BIDS AND AWARDS COMMITTEE  REQUEST FOR QUOTATION  									Date: July 2, 2020 1.	LGU-Palayan City through its Bids and Awards Committee (BAC) invites registered suppliers to submit quotati</t>
  </si>
  <si>
    <t xml:space="preserve"> Materials PE Polyethylene hose 2" dia. x 60 m PE Polyethylene 2" dia. PE Male Adaptor 2" dia Gate Valve 2" dia. PE Polyethylene hose 1/2" dia. x 300 m Teflon Tape 1 TOMBO</t>
  </si>
  <si>
    <t xml:space="preserve"> Department of Public Works and Highways (DPWH) Contract ID: 20MB0155 Contract Name and Location: CATEGORY 10: PAVEMENT MAINTENANCE: ACTIVITY 41X - EMERGENCY PROJECT-REPLACEMENT OF DAMAGED CONCRETE PAVEMENT ALONG MARBEL-MAKAR ROAD, POLOMOLOK, SOUTH COTABAT</t>
  </si>
  <si>
    <t xml:space="preserve"> REQUEST FOR QUOTATION NOTICE 1. The PHILIPPINE SCIENCE HIGH SCHOOL – ZAMBOANGA PENINSULA REGION CAMPUS (PSHS-ZRC) intends to apply the sum of One Hundred Twenty One Thousand Two Hundred Pesos (P 121,200.00) being the Approved Budget for the Contract (ABC)</t>
  </si>
  <si>
    <t xml:space="preserve"> REQUEST FOR QUOTATION NOTICE 1. The PHILIPPINE SCIENCE HIGH SCHOOL – ZAMBOANGA PENINSULA REGION CAMPUS (PSHS-ZRC) intends to apply the sum of Eighty Five Thousand Pesos (P 85,000.00) being the Approved Budget for the Contract (ABC) to pay for the contract</t>
  </si>
  <si>
    <t xml:space="preserve"> ITB No.: PB-2020-07-39 Invitation to Bid for the Supply and Delivery of 124 Pieces Heat and Water-Resistant Canvas for the Twenty Barangays and Municipal Local Government Unit for Shelter Relief Operation 1.The Municipality of Daanbantayan, through the 20</t>
  </si>
  <si>
    <t xml:space="preserve"> ITB No.: PB-2020-07-40 Invitation to Bid for the Supply and Delivery of Materials for the Construction of Tombs at Municipal Cemetery, Bitoon, Daanbantayan, Cebu 1.The Municipality of Daanbantayan, through the 20% Development Fund 2020 intends to apply th</t>
  </si>
  <si>
    <t xml:space="preserve"> QTY.	UNIT	ARTICLES AND DESCRIPTION 40	pax	Board and Lodging: 		(covers meals and accomodation of participants for 5 full days starting AM Snacks on the first day and will end at Breakfast on the last day) 		with the ff inclusions: 		 - triple room sharing</t>
  </si>
  <si>
    <t xml:space="preserve"> QTY.	UNIT	DESCRIPTION 1600	pcs	Module / Learning packets 134	dozens	Ballpen  134	dozens	Pencil Grade No. 2 70	bottles	Alcohol Ethyl Big 500ml 65	bottles	Alcohol Green Cross 500ml 5	pcs	Disinfectant Spray Lysol White blue Big 50	pcs	Handwashing Liquid  375</t>
  </si>
  <si>
    <t xml:space="preserve"> Description   REQUEST FOR QUOTATION NOTICE 1. The PHILIPPINE SCIENCE HIGH SCHOOL – ZAMBOANGA PENINSULA REGION CAMPUS (PSHS-ZRC) intends to apply the sum of Seventy-Seven Thousand Eight Hundred Fifty (P 77,850.00) being the Approved Budget for the Contract</t>
  </si>
  <si>
    <t xml:space="preserve"> Department of Public Works and Highways (DPWH) Contract ID: 20MB0124 Contract Name&amp; Location:  Construction of Elementary Classrooms 3STY 15CL H.N. Cahilsot Central Elementary School II, General Santos City  SOUTH COTABATO 1ST DISTRICT ENGINEERING OFFICE </t>
  </si>
  <si>
    <t xml:space="preserve"> Department of Public Works and Highways (DPWH) Contract ID: 20MB0122 Contract Name&amp; Location:  Construction of Multi-Purpose Building (Stage Auditorium), Camp Fermin G. Lira, Brgy. Dadiangas West, General Santos City SOUTH COTABATO 1ST DISTRICT ENGINEERIN</t>
  </si>
  <si>
    <t xml:space="preserve"> The AGRICULTURAL TRAINING INSTITUTE-REGIONAL TRAINING CENTER (ATI-RTC) X, through the 2020 General Appropriations Act intends to apply the sum of Fifty Thousand Pesos (P 50,000.00) being the Approved Budget for the Contract (ABC) to payments under the con</t>
  </si>
  <si>
    <t xml:space="preserve"> Republic of the Philippines Province of Leyte Municipality of Kananga Barangay Tongonan BIDS AND AWARDS COMMITTEE (BAC) Invitation to Bid for the Construction and Improvement of Barangay Water System @ Brgy. Tongonan, Kananga, Leyte 1.	The Barangay Govern</t>
  </si>
  <si>
    <t xml:space="preserve"> The AGRICULTURAL TRAINING INSTITUTE-REGIONAL TRAINING CENTER (ATI-RTC) X, through the 2020 General Appropriations Act intends to apply the sum of Eighty Thousand Pesos (P 80,000.00) being the Approved Budget for the Contract (ABC) to payments under the co</t>
  </si>
  <si>
    <t xml:space="preserve"> INVITATION TO APPLY FOR ELIGIBILITY TO BID The Local Government Unit of Matag-ob, through its Bids and Awards Committee (BAC), invites Suppliers /Manufacturers/Distributors/ Contractors to apply for eligibility and to bid for the hereunder projects. Name </t>
  </si>
  <si>
    <t xml:space="preserve"> QTY.	UNIT	ARTICLES AND DESCRIPTION 		 		VEHICLE RENTAL 37	trips	Iloilo-San Rafael, Iloilo 		 		 		**NOTHING FOLLOWS**</t>
  </si>
  <si>
    <t xml:space="preserve"> Invitation to Bid for the Supply and Delivery of Labor and Materials for the  Installation of Mooring Buoys at Logon, Daanbantayan, Cebu The Municipal Government of Daanbantayan, Cebu, through its Bids and Awards Committee (BAC), invites contractors to bi</t>
  </si>
  <si>
    <t xml:space="preserve"> Please see Request for Quotation/ Bid Form attached to Associated Components.</t>
  </si>
  <si>
    <t xml:space="preserve"> July 01, 2020 RE-INVITATION TO BID 1.	The Department of Public Works and Highways, Mindoro Occidental District Engineering Office, Mamburao, Occidental Mindoro, through the General Appropriations Act intends to apply the sum of the Approved Budget for the</t>
  </si>
  <si>
    <t xml:space="preserve"> Location: San Isidro, Purok 3, Barangay Bambang, Bulakan, Bulacan Cost of Project: Two Million Three Hundred Thousand Pesos 		 Php 2,300,000.00 Source of Fund: DILG, Performance Challenge Fund (PCF) Item No.    Description      QTY     Unit         Unit C</t>
  </si>
  <si>
    <t xml:space="preserve"> CAMERA, STANDARD DSLR &amp; LASER RANGE METER</t>
  </si>
  <si>
    <t xml:space="preserve"> 1 unit Laptop etc. assigned at Planning and Design Div</t>
  </si>
  <si>
    <t xml:space="preserve"> Printing of Marine Biodiversity Activity Book for Kids	2,000 pcs. Size: A4 (8.27x11.69 inches)	 Binding style: stapled	 Cover:	    weight: 10 pt cover stock	    full color	    coating: gloss lamination	   borderless	 Interior page:	    page count: 44	    </t>
  </si>
  <si>
    <t xml:space="preserve"> ITEM.	QTY	UNIT OF	DESCRIPTION NO.		ISSUE	 			 1	220	units	DESKTOP COMPUTER  			 			A6 PROCESSOR 3.8 GHz MAX TURBO 1MB l3 CACHE 			MCTECH MOTHER BOARD 			4GB RAM MEMORY 			500GB HARD DISK 			19" LED MONITOR 			CASING WITH 700W POWER SUPPLY 			KEYBOARD &amp; MO</t>
  </si>
  <si>
    <t xml:space="preserve"> STRAIGHT CONTRACT l.s	1.00	Part A Construction Area Enclosure, Pedestrian Protection 		Field Office and Storage each	3.00	100 Individual Removal of Trees cu.m.	403.00	103 Structure Excavation cu.m.	270.00	201 Aggregates Base Course sq.m.	1,612.50	311 Port</t>
  </si>
  <si>
    <t xml:space="preserve"> Lot No.	Active Ingredients	                   Specifications  1 	      PIRIMIPHOS METHYL, 50 EC	           39 LITERS  2	      PIRIMIPHOS METHYL, 25 EC    	   94 LITERS  3	      ALUMINUM PHOSPHIDE	         143 FLASKS</t>
  </si>
  <si>
    <t xml:space="preserve"> RFQ</t>
  </si>
  <si>
    <t xml:space="preserve"> The AGRICULTURAL TRAINING INSTITUTE-REGIONAL TRAINING CENTER (ATI-RTC) X, through the 2020 General Appropriations Act intends to apply the sum of Sixty Eight Thousand Pesos (P 68,000.00) being the Approved Budget for the Contract (ABC) to payments under t</t>
  </si>
  <si>
    <t xml:space="preserve"> Construction of Concrete Port Project at Barangay Linungan, Akbar Municipality, Basilan Province to be funded by the Department of Transportation and implemented through LGU Akbar in the amount of TEN MILLION PESOS ONLY.</t>
  </si>
  <si>
    <t xml:space="preserve"> The Mindanao State University-Sulu, through its Bids and Awards Committee (BAC), intends to apply the sum of Four Hundred Ninety Nine thousand Two Hundred Thirty Two and 98/100 Pesos (P499,232.98) as the Approved Budget for the Contract (ABC) for payment </t>
  </si>
  <si>
    <t xml:space="preserve"> Qty.	Unit of Issue	Item Description 7           pcs.                Printer   For further information, please contact this person: JOY MAASIN-BETITA BAC-Secretariat 09058934548</t>
  </si>
  <si>
    <t xml:space="preserve"> Item Description	Unit	Unit Price	QTY	Amount LOT 1 DELIVERY PERIOD = 60 CDS COST OF BIDDING DOCUMENT=PhP500.00 ITEM 1	 Multi-water quality checker, multiple sensors, simultaneous measurement of 11 water quality parameters (pH, pH(mv),ORP, DO, COND, Salinit</t>
  </si>
  <si>
    <t xml:space="preserve"> Republic of the Philippines Province of Surigao del Sur MUNICIPALITY OF BAYABAS -Office of the Bids and Awards Committee- REQUEST FOR QUOTATION FOR Supply and Delivery of Office Supplies 1.	The Municipality of Bayabas, through its Annual Budget 2020 inten</t>
  </si>
  <si>
    <t xml:space="preserve"> Construction of 20 LM CHB Fence w/ Interlink wire Double Swing Steel Gate w/ Paint</t>
  </si>
  <si>
    <t xml:space="preserve"> Department of Public Works and Highways (DPWH) Contract ID: 20MB0125 Contract Name&amp; Location:  Construction of Elementary and Secondary School Building, 2 STY 4 CL at Dole Cannery CES, Polomolok, South Cotabato  SOUTH COTABATO 1ST DISTRICT ENGINEERING OFF</t>
  </si>
  <si>
    <t xml:space="preserve"> 1 package Institutional License-30 users lifetime kotobee Submission of Quotation is until July 13,2020 5 pm.</t>
  </si>
  <si>
    <t xml:space="preserve"> PR No. 				CMD 2020-06-059							 				          							 	Please quote your lowest price on the item/s listed below, subject to the General Conditions, 										 stating the shortest time of delivery and submit your quotation duly signed by  your authoriz</t>
  </si>
  <si>
    <t xml:space="preserve"> REQUEST FOR QUOTATION The Local Government Unit of General Santos City thru its Bids and Awards Committee invites interested suppliers for S20-06-053 PURCHASE OF TONERS AND DRUM KIT amounting to P 214,200.00.  Please visit or call Bids and Awards Committe</t>
  </si>
  <si>
    <t xml:space="preserve"> To ensure the functionality of the SK Office for the continuous delivery of service on youth development</t>
  </si>
  <si>
    <t xml:space="preserve"> DESCRIPTION                                    UNIT        QTY.       Cement 40kgs.                                   Bags         35                 Plywood ½x4x8 (ord.)                         pcs.          10 Coco Form 2x2x12                           </t>
  </si>
  <si>
    <t xml:space="preserve"> Cadiz City SF-GOOD-60 Standard Form Title: Request for Quotation 										_______________ 					             ______________________ ______________________ 	Please quote your lowest price on the items listed below, subject to the General Conditions on the </t>
  </si>
  <si>
    <t xml:space="preserve"> Repainting of school ground SHS for school beautification</t>
  </si>
  <si>
    <t xml:space="preserve"> to ensure the functionality of the SK office for the Continuous Delivery of service on Youth development</t>
  </si>
  <si>
    <t xml:space="preserve"> 200 PCS. SPARK PLUG             500 ROLLS NYLON #            200 PCS. TRIANGULAR PILE</t>
  </si>
  <si>
    <t xml:space="preserve"> SPECIFICATION: PRINTING SORTING AND ARRANGING OF PRINTED MODULES PER YEAR LEVEL(STAPLED) WHITE PAPER, A4 SIZE, AT LEAST 56 GSM( SUB 16) FRONT PAGE ONLY (NO BACK TO BACK PRINT), CLEAR COPY</t>
  </si>
  <si>
    <t xml:space="preserve"> See attached file.....</t>
  </si>
  <si>
    <t xml:space="preserve"> Interested Suppliers are invited to submit Sealed Price Quotations for the above listed items. The Official Department of Health Drug Abuse Treatment and Rehabilitation Center Request for Quotation Forms may be obtained from Ms. SUSAN P. DELA CRUZ Head of</t>
  </si>
  <si>
    <t xml:space="preserve"> Republic of the Philippines MUNICIPALITY OF ORION Province of Bataan Bids and Awards Committee Secretariat Office, 2nd Floor Municipal Building, San Vicente, Orion, Bataan Telephone No. 244-9611 REQUEST FOR QUOTATION (RFQ) The Municipality of Orion, throu</t>
  </si>
  <si>
    <t xml:space="preserve"> City of Guihulngan Bids and Awards Committee  Tel. (035) 410 – 4198  P.R. No. : 2020 – 06 - 1893 P.R. Date: 06 – 04 – 2020 REQUEST FOR QUOTATION Please quote your lowest price on the item/s listed below, subject to the General Conditions below, stating th</t>
  </si>
  <si>
    <t xml:space="preserve"> NOTICE OF PROCUREMENT OF GOODS THROUGH ALTERNATIVE METHOD OF PROCUREMENT (AMP-07-2020-011) 	Notice is hereby given that the Department of Public Works and Highways, Batangas IV District Engineering Office, Marawoy, Lipa City will conduct Shopping on _____</t>
  </si>
  <si>
    <t xml:space="preserve"> please see attached document</t>
  </si>
  <si>
    <t xml:space="preserve"> REQUEST FOR QUOTATION The Bureau of Customs (BOC), through the Port of Manila, will undertake a Small Value Procurement for the Supply and Delivery of Computer Printer Cartridge in accordance with the Revised Implementing Rules and Regulations of Republic</t>
  </si>
  <si>
    <t xml:space="preserve"> VARIOUS TOOLS, EQUIPMENT AND SUPPLIES *PLEASE SEE ATTACHED INVITATION FOR QUOTATION</t>
  </si>
  <si>
    <t xml:space="preserve"> 2 sets - Desktop Computer Core i7 9 Gen ITB HDD 1030GB Video Card Monitor 23.5” A4 Tech KB and MS 1 pc -Printer (L1455)</t>
  </si>
  <si>
    <t xml:space="preserve"> Republic of the Philippines						CPDO		 		Government of Ormoc City						P.R. No.:  	201551	 		BIDS AND AWARDS COMMITTEE						Quotation No.: 	204409-6125	 		Ormoc City						PhilGEPs No.: 		 										 Standard Form Title:			REQUEST FOR QUOTATION							 			</t>
  </si>
  <si>
    <t xml:space="preserve"> Procurement of Live animals (Goats) 3 male goats and 42 female goats:  5-7 months old, ready to breed, minimum body weight of 15 kg. per goat no abnormalities and deformities, dewormed a week prior to delivery.  Certified by a licensed veterinarian and 7 </t>
  </si>
  <si>
    <t xml:space="preserve"> 5 pcs - Adult Wheelchair 5 pcs - Pedia Wheelchair 1 set - Computer Table</t>
  </si>
  <si>
    <t xml:space="preserve"> You can submit your accomplished RFQ form  @ BAC Office, Bogo City Hall, Cayang, Bogo City, Cebu  or email us @ bogobacoffice2019@gmail.com / 	      bogocpdo@gmail.com Not later than the closing date.</t>
  </si>
  <si>
    <t xml:space="preserve"> 1	lot	Floor Elevation @ E-Lib Room		 				 		46 CD to complete		 				 		Technical Personnel Required:		 		6 Skilled		 				 		Scope:		 		1. Filling Works		 		2. Tile Works		 		3. Concrete Works		 		4. Carpentry		 		5. Painting Works		 		6. False Works</t>
  </si>
  <si>
    <t xml:space="preserve"> 25	kg	Mungbean 6	can	Cucumber Seeds (jackson 27F1) (50 grams/can) 2	kg	Bush Sitao 30	pk	Tomato Seeds (diamante max. F1) aprox. 200 seeds/pack 3	can	Eggplant Seeds (morena, F1 50gms/can) 30	pack	Pechay seeds black behi 8g/pack 30	pack	Mustard seeds (F1) 5g</t>
  </si>
  <si>
    <t xml:space="preserve"> To wit is the item to bid: 50 containers Sodium Hypochlorite (Liquid Chlorine)</t>
  </si>
  <si>
    <t xml:space="preserve"> To repair and maintenance of Passenger Terminal Building at Catarman Airport, Catarman, Northern Samar.</t>
  </si>
  <si>
    <t xml:space="preserve"> 1.	The Department of Finance, through the General Appropriations Act of 2020 intends to apply the sum of One Million Three Hundred Eight Thousand Pesos (PhP1,308,000.00) being the Approved Budget for the Contract (ABC) to payments under the contract for P</t>
  </si>
  <si>
    <t xml:space="preserve"> 2 pcs - 1 ¼ " Ball Valve 3 pcs - 1 ¼ " UPVC Cap 1 unit - 220 liters Stainless Pressure Tank Gauge 14 (thick) 6 rolls - (60m/roll) 1 ¼ " (32mm) UPVC Blue Pipe Series U 10 pcs - 1 ¼ " (32mm) UPVC Coupling</t>
  </si>
  <si>
    <t xml:space="preserve"> Republic of the Philippines						 TECHNICAL EDUCATION AND SKILLS DEVELOPMENT AUTHORITY						 ARTECHE NATIONAL AGRICULTURAL SCHOOL						 					TESDA-OP-AS-04-F02	 					Rev.No.00-03/01/17	 REQUEST FOR QUOTATION						 					Date:	7/4/2020 					RFQ#	2020-07-001</t>
  </si>
  <si>
    <t xml:space="preserve"> 1.	The Department of Finance (DOF), through the General Appropriations Act of 2020 intends to apply the sum of One Million One Hundred Seventy Thousand Pesos (PhP1,170,000.00) being the Approved Budget for the Contract (ABC) to payments under the contract</t>
  </si>
  <si>
    <t xml:space="preserve"> Repair of Abutment Protection</t>
  </si>
  <si>
    <t xml:space="preserve"> 1.) ONE (1) UNIT 256GB Space Grey  13.3-inch (diagonal)  LED-backlit display  with IPS technology  1.1GHz dual-core Intel Core i3,  Turbo Boost up to 3.2GHz, with 4MB L3 cache  256GB PCle-based SSD 8GB of 3733MHz LPDDR4X  onboard memory  Support for Thund</t>
  </si>
  <si>
    <t xml:space="preserve"> Cadiz City SF-GOOD-60 Standard Form Title: Request for Quotation 										_______________ 									             ______________________ ______________________ 	Please quote your lowest price on the items listed below, subject to the General Conditions on </t>
  </si>
  <si>
    <t xml:space="preserve"> Repair/Rehabilitation of Roof (Tuguegarao West High School, Tuguegarao City)</t>
  </si>
  <si>
    <t xml:space="preserve"> 1 80 LTRS PREMIUM GASOLINE ( SF-7403)  2 3 LTRS ENGINE OIL (SF-7403)  3 900 LTRS DIESEL (SHE-417)  4 6 LTRS SYNTHETIC ENGINE OIL (SHE-417)  5 1 PC OIL FILTER (SHE-417)  6 1 PC FUEL FILTER (SHE-417)  7 1 LTR ATF OIL (SHE-417)  8 1 QRT BRAKE FLUID (SHE-417)</t>
  </si>
  <si>
    <t xml:space="preserve"> RFQ 2020-109 PROJECT		:	LBP BOLINAO BRANCH RENOVATION (NEW UNIT) IMPLEMENTOR		: 	LBP RESOURCES AND DEVELOPMENT CORPORATION OWNER			:	LAND BANK OF THE PHILIPPINES	 REQUEST FOR QUOTATION FOR	:	SUPPLY OF CONSTRUCTION MATERIALS    DATE / TIME OF SUBMISSION		:</t>
  </si>
  <si>
    <t xml:space="preserve"> FERTILIZERS AND INSECTICIDES For off season production on Mango</t>
  </si>
  <si>
    <t xml:space="preserve"> INVITATION TO APPLY FOR ELIGIBILITY AND TO BID The Barangay Local Government Unit of Nato, Taft, Eastern Samar through is Bid and Awards Committee (BAC). Invites suppliers to apply for eligibility, to bid for the hereunder contract: Name of Contract: Purc</t>
  </si>
  <si>
    <t xml:space="preserve"> Republic of the Philippines						CHO		 		Government of Ormoc City						P.R. No.:  	201710	 		BIDS AND AWARDS COMMITTEE						Quotation No.: 	204449-6145	 		Ormoc City						PhilGEPs No.: 		 										 Standard Form Title:			REQUEST FOR QUOTATION							 				</t>
  </si>
  <si>
    <t xml:space="preserve"> The Cotabato Irrigation Management Office, through its Bids and Awards Committee (BAC), intends to procure  the Lease of Equipment for Kidama SIP  in accordance with Section 53.9 (Small Value Procurement) of the 2016 Revised Implementing Rules and Regulat</t>
  </si>
  <si>
    <t xml:space="preserve"> CARDIAC MONITOR (FOR NEONATE) •	Portable cardiac monitor device, touch screen operation with manual operation, performs monitoring of: •	ECG( Heart rate, 2- Channel ECG wave forms, arrhythmia  and ST segment analysis •	Respiration ( respiratory rate, Resp</t>
  </si>
  <si>
    <t xml:space="preserve"> Republic of the Philippines DEPARTMENT OF HEALTH DR. JOSE RIZAL MEMORIAL HOSPITAL Lawaan, Dapitan City Telefax; (065) 213-6421 Website: www.djrmh.doh.gov.ph Email: dohdjrmh@gmail.com BIDS AND AWARDS COMMITTEE INVITATION TO BID PROCUREMENT OF MEDICAL/SURGI</t>
  </si>
  <si>
    <t xml:space="preserve"> Republic of the Philippines						 Department of Health						 Regional Health Field Office No. VII						 DON EMILIO DEL VALLE MEMORIAL HOSPITAL						 Bood, Ubay, Bohol						 ' (038) 518-8027, (038) 518-8309; 7 (038) 518-8301; * devmh_ubay@yahoo.com						 “</t>
  </si>
  <si>
    <t xml:space="preserve"> INVITATION TO QUOTE Date:  July 01, 2020 1.	The Provincial Government of Davao del Sur, through its Bids and Awards Committee (BAC), invites all interested bidders/suppliers to quote for the following goods under Alternative Methods of Procurement (Small </t>
  </si>
  <si>
    <t xml:space="preserve"> RFQ 2020-07-024 Procurement of Trip Meter v202 for use in the Conduct of Annual Visual Road Condition Survery (ROCOND</t>
  </si>
  <si>
    <t xml:space="preserve"> The Cotabato Irrigation Management Office, through its Bids and Awards Committee (BAC), intends to procure  the Lease of Equipment for Batunewla SIP  in accordance with Section 53.9 (Small Value Procurement) of the 2016 Revised Implementing Rules and Regu</t>
  </si>
  <si>
    <t xml:space="preserve"> City of Guihulngan Bids and Awards Committee  Tel. (035) 410 – 4198  P.R. No. : 2020 – 06 - 1946 P.R. Date: 06 – 09 – 2020 REQUEST FOR QUOTATION Please quote your lowest price on the item/s listed below, subject to the General Conditions below, stating th</t>
  </si>
  <si>
    <t xml:space="preserve"> The Cotabato Irrigation Management Office, through its Bids and Awards Committee (BAC), intends to procure  the Lease of Equipment for Badak SIP  in accordance with Section 53.9 (Small Value Procurement) of the 2016 Revised Implementing Rules and Regulati</t>
  </si>
  <si>
    <t xml:space="preserve"> Violet T-shirt with print Tarpaulin (4ft. x 11ft) Tarpaulin (6ft. x 6ft) Orange T-shirt with Print Hygiene Kit (1 bottle 250ml Alcohol, 1pc 90gms Germ Protection Soap, 120ml Hydrogen Peroxide 10 vol., Cotton, 1 tube small toothpaste with hygiene bag 1” Or</t>
  </si>
  <si>
    <t xml:space="preserve"> City of Guihulngan Bids and Awards Committee  Tel. (035) 410 – 4198  P.R. No. : 2020 – 06 - 1930 P.R. Date: 06 – 08 – 2020 REQUEST FOR QUOTATION Please quote your lowest price on the item/s listed below, subject to the General Conditions below, stating th</t>
  </si>
  <si>
    <t xml:space="preserve"> QTY.	UNIT	ARTICLES AND DESCRIPTION 91	pax	AKLAN &amp; CAPIZ Class 1,2,3 &amp; 4 16	pax	TRAINING TEAM 		3 full day board and lodging w/ 3meals  and 2 snacks  		with following inclusion: 		Meals &amp; Snacks: 3 buffet meals with 2 snacks daily 		*Meal provision to star</t>
  </si>
  <si>
    <t xml:space="preserve"> Instructions to External Providers: Please quote your government price, taxes included, and FOB, subject to the Terms and Conditions stated below and submit your quotation duly signed by your representative not later than ten o’clock in the morning (10 am</t>
  </si>
  <si>
    <t xml:space="preserve"> LOT 1 Venue: Borongan City, Eastern Samar (see attached MENU) Check in August 3, 2020: Check out - August 8, 2020 Inclusions: Airconditioned room, sound system, microphone, extension wires, projector and projector's screen with FREE flowing coffee/milo &amp; </t>
  </si>
  <si>
    <t xml:space="preserve"> Republic of the Philippines PROVINCE OF SOUTHERN LEYTE Municipality of Hinunangan -oOo- Invitation to Bid for   CONSTRUCTION OF MUNICIPAL WATCHTOWER Project ID: 2020IFAD-10/202076 1.	The Municipality of Hinunangan, through the International Fund for Agric</t>
  </si>
  <si>
    <t xml:space="preserve"> REQUEST FOR QUOTATION July 2, 2020 _______________________________ _______________________________ _______________________________ Gentlemen: Please quote for us your lowest price on the item(s) listed below: ITEM/S 					UNIT PRICE 		TOTAL PRICE 13,000 pc</t>
  </si>
  <si>
    <t xml:space="preserve"> see attached Terms of Reference</t>
  </si>
  <si>
    <t xml:space="preserve"> The Technical Education and Skills Development Authority (TESDA Region 10), through the Regional Operations Division, will undertake a Negotiated Procurement- Small Value Procurement in accordance with Section 53.9 of the 2016 RIRR of RA 9184. Please subm</t>
  </si>
  <si>
    <t xml:space="preserve"> TONER CART, HP CF226A (HP26A) BLACK LASERJET</t>
  </si>
  <si>
    <t xml:space="preserve"> 240  pcs  Sweat Shirt (Free size) *attach sample design x-x-x-x-x</t>
  </si>
  <si>
    <t xml:space="preserve"> Installation of Solar Panel for Street lighting Venue: Barangay Hall Barangay Lopez Jaena Norte Lapaz, Iloilo City Date of Bidding: July 13, 2020 Pre-Bidding:  July 10, 2020</t>
  </si>
  <si>
    <t xml:space="preserve"> 5	pcs.	Mop (w/ spinner)				 3	bags	Car Polisher (chamois)				 8	pcs.	Broom (walis tambo)				 1	pc.	Hose (Pressure washer)				 1	pc.	Cross Wrench				 1	set	Mechanical Pliers (Size - 10,12,14,16)				 1	pc.	Long Nose Plier (Size#10)				 25	pairs	Plastic Boot</t>
  </si>
  <si>
    <t xml:space="preserve"> Republic of the Philippines									 EARLY CHILDHOOD CARE AND DEVELOPMENT COUNCIL									 4/F Belvedere Tower, No. 15 San Miguel Avenue, Ortigas Center, Pasig City									 Tel. No. 571-6833; Fax No.571-4612 Local 829									 									 							Date:   		</t>
  </si>
  <si>
    <t xml:space="preserve"> INVITATION TO QUOTE Date:  July 01, 2020 1.	The Provincial Government of Davao del Sur, through its Bids and Awards Committee (BAC), invites all interested bidders/suppliers to quote for the following goods under Alternative Methods of Procurement ([Shopp</t>
  </si>
  <si>
    <t xml:space="preserve"> The Cotabato Irrigation Management Office, through its Bids and Awards Committee (BAC), intends to procure  the Lease of Equipment for Maridagao RIS  in accordance with Section 53.9 (Small Value Procurement) of the 2016 Revised Implementing Rules and Regu</t>
  </si>
  <si>
    <t xml:space="preserve"> 1 Lot Printing of Official Publication of BFP7 “St. Florian Magazine”CY 2020 	QTY	UNIT	DESCRIPTION	UNIT PRICE	TOTAL AMOUNT 	400	pcs	Official Publication of BFP7 “St. Florian Magazine”	 	   			***nothing follows***</t>
  </si>
  <si>
    <t xml:space="preserve"> 1.	The Local Government Unit of  Tuao, Cagayan  through 20% Development Fund 2020  intends to  apply the sum of  Php 5,000,000.00  being the Approved Budget for the Contract (ABC) to   payments under  the contract for CONCRETING OF BAGUMBAYAN (COR. NAT’L </t>
  </si>
  <si>
    <t xml:space="preserve"> 29	pack	Battery, Dry cell, AAA, 2 pcs/ blister pack 84	box	Clip, Backfold, 25mm (1"width), 12 pcs/box 48	box	Clip, Backfold, 32mm (1 1/4"width), 12 pcs/box 96	box	Clip, Backfold, 50mm (2"width), 12 pcs/box 102	box	Clip, Backfold. 19mm (3/4" width), 12 pcs</t>
  </si>
  <si>
    <t xml:space="preserve"> Republic of the Philippines SILAY CITY GOVERNMENT Zamora Street Silay City, Negros Occidental Telefax No. (034) 495-3746 	Control  Reference Number : GOODS#0125-A, ITB#0128,  PR#0381: SCG-2020 Name of the Project: PURCHASE OF ELECTRIACL MATERIALS AND SUPP</t>
  </si>
  <si>
    <t xml:space="preserve"> INVITATION TO QUOTE Date:  July 02, 2020 1.	The Provincial Government of Davao del Sur, through its Bids and Awards Committee (BAC), invites all interested bidders/suppliers to quote for the following goods under Alternative Methods of Procurement (Small </t>
  </si>
  <si>
    <t xml:space="preserve"> REQUEST FOR QUOTATION 	The Caraga State University-Cabadbaran Campus, through its Bids and Awards Committee (BAC), will undertake a Negotiated Procurement (Small Value Procurement) for the project: PROCUREMENT ON SUPPLY AND DELIVERY OF ICT Equipment for V</t>
  </si>
  <si>
    <t xml:space="preserve"> Const. Supplies &amp; Materials for the Rehab of Agricultural Center Item	Quantity	Unit of	Item Description	 No.		Issue		 				 1	20	bgs	Portland Cement 40 kg	 2	1.7	cu.m.	Sand	 3	30	pcs	Metal Furring	 4	17	pcs	4.5 mm THK Fiber Cement Board	 5	6	sets	Steel Cas</t>
  </si>
  <si>
    <t xml:space="preserve"> The Technical Education and Skills Development Authority (TESDA Region 10), through the Regional Operations Division, will undertake a Negotiated Procurement- Small Value in accordance with Section 53.9 of the 2016 RIRR of RA 9184. Please submit your quot</t>
  </si>
  <si>
    <t xml:space="preserve"> Purpose: SUPPLIES FOR THE SUPPORT OF OPERATION IN CMGP 2020 RELATED PROJECT																 																 LOT 1	ALCOHOL (GALLON)					60	GAL.	 650.00 								 																 						TOTAL		 650.00 								 																 LOT 1	SURGICAL FACE MASK					2</t>
  </si>
  <si>
    <t xml:space="preserve"> 44	sack	Calf Starter Feed Concentrates 		Feeds for Cattle/Calf 		50kg/sack</t>
  </si>
  <si>
    <t xml:space="preserve"> Supply of Labor and Materials for the Layout, Printing and Delivery of Various Sticker Label and Box Packaging Scope of Work: 1.	Adjustment and editing of label and box designs until acceptable to the client 2.	Printing of label stickers and boxes in colo</t>
  </si>
  <si>
    <t xml:space="preserve"> QTY	UNIT	ARTICLE / DESCRIPTION						 								 								 1	job	Repair of Mass Comparator Display						 		&gt; SARTORIUS Mass Comparator						 		&gt; Model: CCE60K2		 				 Submit the following: (soft or hard copy) 1.	Quotation  2.	Mayor’s / Business Permit 3.	Omni</t>
  </si>
  <si>
    <t xml:space="preserve"> 2 units Motorcycle Scooter, Fully Automatic</t>
  </si>
  <si>
    <t xml:space="preserve"> Repair/Rehabilitation of road projects</t>
  </si>
  <si>
    <t xml:space="preserve"> ELECTRICAL AND PLUMBING MATERIALS, MOWER NYLON</t>
  </si>
  <si>
    <t xml:space="preserve"> Meal and snacks of Census Personnel for the fourth level training of the 2020 CPH on August 17-22,2020 within the Municipality of Tinglayan</t>
  </si>
  <si>
    <t xml:space="preserve"> In line with the Provisions of R.A. 9184, otherwise known as Government Procurement Reform Act. Barangay 395, Zone 41, District IV, Invites you to bid in relation to the procurement and delivery of supplies of the Barangay SK Project 2020, specifically re</t>
  </si>
  <si>
    <t xml:space="preserve"> Meal and snacks of Census Personnel for the fourth level training of the 2020 CPH on August 10-15,2020 within the Municipality of Pasil</t>
  </si>
  <si>
    <t xml:space="preserve"> Meal and snacks of census personnel for the fourth level training of the 2020 CPH on August 10-15,2020 within the Municapality of Balbalan.</t>
  </si>
  <si>
    <t xml:space="preserve"> Page 1 of 7 REQUEST FOR QUOTATION (RFQ) PREVENTIVE MAINTENANCE SERVICE OF AGILENT CGMSMS AGILENT 7890B GC/ 7010 TQ (S/N:US1531V101) WITH SUPPLY, DELIVERY AND INSTALLATION OF PARTS UNDER EMB-ERLSD-ECMU RFQ NO. EMB-SVP-ERLSD-ECMU GCMSMS AGILENT PM 2020-0533</t>
  </si>
  <si>
    <t xml:space="preserve"> NEGROS OCCIDENTAL  96	pax	Batch 1  Class 1,2,3 &amp; 4 (Sept. 1-2, 2020) 96	pax	Batch 2 Class 1,2,3 &amp; 4 (Sept. 2-3, 2020) 		1 full day board and lodging w/ 3 Meals and 2 Snacks  		with following inclusion: 		Meals &amp; Snacks: 		*3 buffet meals with 2 snacks dai</t>
  </si>
  <si>
    <t xml:space="preserve"> Meal and snacks of Census Personnel for the fourth level training of the 2020 CPH on August 10-15,2020 within the Municipality of Tanudan</t>
  </si>
  <si>
    <t xml:space="preserve"> Printing of LEARNING PACKETS for  Grade 7 Modules (267 pages) = 320 pcs. Grade 8 Modules (276 pages) = 390 pcs. Grade 9 Modules (272 pages) = 290 pcs. Grade 10 Modules (272 pages) = 325 pcs. A4 Paper Size, White Quality Paper 70 GSM and stapled at left si</t>
  </si>
  <si>
    <t xml:space="preserve"> Contract ID: 20CD0168      Contract Name:  Construction of 1 Storey – 4 Classroom School Building                                Cabayunan Elementary School, Doña Remedios Trinidad,                                 Bulacan      Contract Location: Doña Reme</t>
  </si>
  <si>
    <t xml:space="preserve"> 1 lot supply and delivery of 35 pcs steel mobile pedestal cabinet with 3 drawers with lock rolling caster, 40cm x 56cm x 65cm</t>
  </si>
  <si>
    <t xml:space="preserve"> 1 Lot Supply &amp; Delivery of the following items/services:						 Additional ACU for the renovated sections						 Supply and delivery of two (2) units Air-Conditioning Unit (ACU), Inverter, ceiling cassette type, 3-tonner, Cooling Capacity: 38,000BTU/hr (400</t>
  </si>
  <si>
    <t xml:space="preserve"> Airconditioning Units, Floor Mount (Cabinet Type), 3.0 tons Split-Type with Inverter, brand new. (With free installation and at least one year warranty)	5	unit Airconditioning Units, Wall Mount, 2HP Split-Type with Inverter, brand new. (With free installa</t>
  </si>
  <si>
    <t xml:space="preserve"> Republic of the Philippines									 Department of Public Works and Highways									 NATIONAL CAPITAL REGION									                                                                                 Manila                                                  </t>
  </si>
  <si>
    <t xml:space="preserve"> Supply and Delivery of one (1) lot various Bolt On Breaker 1. 10 pcs. Bolt on Breaker, 3 phase, 50 amp 2. 10 pcs. Bolt on Breaker, Single phase, 50 amp</t>
  </si>
  <si>
    <t xml:space="preserve"> 1st and 2nd quarter supplies with the amount of 80,000.00 pesos only.</t>
  </si>
  <si>
    <t xml:space="preserve"> RFQ-GS-20200626-03 Interested Suppliers are invited to submit Price Quotation for the above listed item. The official LANDBANK Request for Quotation Form may be obtained from MS. CHARM FLORIDO (tel no. 85512200 locals 2452, 2453; email address: floridocha</t>
  </si>
  <si>
    <t xml:space="preserve"> Use for LGU Meeting and Seminar. Local Government Unit-Nabua, Camarines Sur</t>
  </si>
  <si>
    <t xml:space="preserve"> REPAIR/REHABILITATION OF SCHOOL BUILDINGS: 10CL	 LOCATION:	EB TOMANENG ELEMENTARY SCHOOL                         SAN FEMIN, CAUAYAN CITY, Isabela ABC:         	PHP 1,094,004.18 CONTRACT DURATION: 	90 CD</t>
  </si>
  <si>
    <t xml:space="preserve"> REPAIR/REHABILITATION OF MUNICIPAL GYMNASIUM cum ISOLATION FACILITY</t>
  </si>
  <si>
    <t xml:space="preserve"> Office and School Supply</t>
  </si>
  <si>
    <t xml:space="preserve"> In view of two (2) failed biddings, the Department of Health-Center for Health Development-Cordillera Administrative Region (DOH-CHD-CAR) Bids and Awards Committee (BAC) invites interested bidders/suppliers in the negotiation for the Procurement of Optica</t>
  </si>
  <si>
    <t xml:space="preserve"> 1 set of Kitchen Hanging and Sink Cabinets (Materials and Labor) - Php 80,000.00 1 piece of Kitchen Range Hood - Php 10,000.00</t>
  </si>
  <si>
    <t xml:space="preserve"> MEDICINE VITAMINS</t>
  </si>
  <si>
    <t xml:space="preserve"> eee attached components</t>
  </si>
  <si>
    <t xml:space="preserve"> Entity Name: 	DVBNHS		Fund Cluster: 01		 Office/Section : 		PR No.:  2020-07-024		Date: 	 Office 		Responsibility Center Code : ___________		        7/ 01 /2020	 Stock/ Property Section	Unit  	Item Description	          Quantity  	Unit Cost	   Total Cost </t>
  </si>
  <si>
    <t xml:space="preserve"> 6	ream	Plain Paper Copier, legal, min 80 gsm, 216 x 330 mm 10	ream	Plain Paper Copier, A4, min 80 gsm, 210 x 297mm 4	box	3 ring binder,3 inch thick, legal size 4	box	3 ring binder,2 inch thick, legal size 6	unit	Heavy Duty Stapler, Super Flat Clinch 1	uni</t>
  </si>
  <si>
    <t xml:space="preserve"> see attached components</t>
  </si>
  <si>
    <t xml:space="preserve"> The Bureau of Fisheries and Aquatic Resources (BFAR) of the Department of Agriculture, through the General Appropriations Act for 2020 intends to apply the sum of TWENTY ONE MILLION TWO HUNDRED NINETY-TWO THOUSAND (Php 21,292,000.00) PESOS being the Appro</t>
  </si>
  <si>
    <t xml:space="preserve"> Various Office Supplies 11 pieces Calculator, compact, 12-digits Auto Power off 46 pieces Frame, Certificate A4 size 10 pieces Frame, Picture 8" x 10", Wood or Metal Materials   40 pieces Holder, Desk Name Acrylic 12x3 50 pieces Holder, Desk Name Acrylic </t>
  </si>
  <si>
    <t xml:space="preserve"> Request for Quotation Date: _____________      	Quotation No. RFQ-20-024 Company Name ________________________ Address ______________________________ 	Please quote your lowest price on the item/s listed below, subject to the general terms and conditions e</t>
  </si>
  <si>
    <t xml:space="preserve"> see attached component</t>
  </si>
  <si>
    <t xml:space="preserve"> Supply of materials &amp; rental of concrete mixer for the Concreting of Barangay road</t>
  </si>
  <si>
    <t xml:space="preserve"> ITEM	QUANTITY	UNIT	A R T I C L E S 									 1	12	units	CCTV Camera Outdoor									 2	10	rolls	RG 6									 3	20	pcs	BNC Connector									 4	5	pcs	LED Lights 50 watts w/ casing									 5	7	rolls	Electrical wire #12 Stranded									 6	20	pcs	Electrica</t>
  </si>
  <si>
    <t xml:space="preserve"> -Frequency Range : VHF : 136.000 - 174.000 Mhz UHF : 400.000 - 470.000 Mhz -Dust proof, Shakeproof -Shatter-resistant -Pressure-resistant -Built in FM Radio, Emergency Alarm -Output Power : 5 watts -Channel capacity : 199 -Dimension : 97x58x0mm -Weight : </t>
  </si>
  <si>
    <t xml:space="preserve"> Sir/Madam: Please quote your government price/s including delivery charges, VAT or other applicable taxes, and other incidental expenses for the goods listed in Annex A. Failure to indicate information could be basis for non - compliance. Also, furnish us</t>
  </si>
  <si>
    <t xml:space="preserve"> Purchase of materials for printing of worksheets and modules for teachers and students</t>
  </si>
  <si>
    <t xml:space="preserve"> Medals for Honors (see new CMU logo 7 design attached diameter: 2.75 inch engraved and gold) 1. With highest honors                        5 pcs 2. With high honors                            30 pcs 3. With honors                                  240 pcs</t>
  </si>
  <si>
    <t xml:space="preserve"> Page 1 of 8 REQUEST FOR QUOTATION (RFQ) SUPPLY AND DELIVERY OF LABORATORY CONSUMABLES UNDER EMB-ERLSD-ENVIRONMENTAL LABORATORY SERVICES SECTION (ELSS) AIR LABORATORY UNIT RFQ NO. EMB-S-ERLSD-ELSS LABORATORY CONSUMABLES 2020-0544 1. The Department of Envir</t>
  </si>
  <si>
    <t xml:space="preserve"> 50     Pcs.     Brass Ball Valve 2 with Lockwing 50     Pcs.     GI Elbow 2 x 90º</t>
  </si>
  <si>
    <t xml:space="preserve"> Remove and Replace of Existing Tiles, Wooden Wall Repainting, Installation of Shelf, Installation of Electrical Connections and Fixture and Comfort Rooms: SPCL-1 1 set Standard Project Billboard I. 118.52 sq.m Demolition and Preparatory Works II. 86.40 cu</t>
  </si>
  <si>
    <t xml:space="preserve"> NOTICE TO THE PUBLIC  REQUEST FOR QUOTATION                                                AMP SVP-S 20-07-0377 The University of the Philippines, System (UPS) hereby informs the public that it will be procuring the following item/s through Small Value Pr</t>
  </si>
  <si>
    <t xml:space="preserve"> Replacement of Exhaust Fan motor, 5HP, 1 lot Scope of work 1, Mobilization and demobilization 2. Electrical Inspection and repair at casing 3. Supply &amp; installation of Exhaust Fan Motor 4. Testing and commissioning</t>
  </si>
  <si>
    <t xml:space="preserve"> 2615	pcs	Ballpen w/ PCG Sticker logo 1845	pcs	Notebook w/ PCG logo 1695	pcs	Diploma Jacket with logo 1745	pcs	Personalized ID w/ lanyard 255	pcs	Personalized USB 32GB</t>
  </si>
  <si>
    <t xml:space="preserve"> INVITATION TO BID FOR THE SUPPLY AND DELIVERY OF ICT EQUIPMENT AND SUPPLIES 1.	The Provincial Government of La Union (PGLU), through the PGLU Annual Budget CY 2020 (General Fund) intends to apply the sum of Four Million Four Hundred Ninety Thousand Six Hu</t>
  </si>
  <si>
    <t xml:space="preserve"> Garments</t>
  </si>
  <si>
    <t xml:space="preserve"> The Provincial Bids and Awards Committee (PBAC) invites all PhilGEPS registered suppliers to quote on the items stated below: 44	Pcs	Raincoats Poncho, Soft, Thick Comfortable, Durable 33	Pairs	Raincoats Pants and Topper Soft, Thick, Comfortable, Durable 4</t>
  </si>
  <si>
    <t xml:space="preserve"> Tikalaan National High School through the Bids and Awards Committee invites Philgeps to apply to  bid the following; 75	bottle	ALCOHOL, ethyl, 68%-70%, scented, 500ml (-5ml) 150	ream	        PAPER, Multi-Purpose (COPY) A4, 70 gsm 5	packs	Toilet Tissue Pap</t>
  </si>
  <si>
    <t xml:space="preserve"> Supply and Delivery of Construction Materials</t>
  </si>
  <si>
    <t xml:space="preserve"> Construction of canal</t>
  </si>
  <si>
    <t xml:space="preserve"> Procurement of Firewall Wireless Appliance (Hardware) with Security Bundle Subscription for Three (3) Years       Minimum Specifications of Firewall Wireless Appliance (Hardware): _ Security processing cores:  4 _ Interfaces: 8x1GbE, 2 USB, 1 Console _  E</t>
  </si>
  <si>
    <t xml:space="preserve"> Solar street lights</t>
  </si>
  <si>
    <t xml:space="preserve"> Jacket with logo (Please see attached picture &amp; specs) 30 pcs Varsity jacket LOGO: Embroidery 1inc Color: Black, gray red combination With 2 pockets Cloth material: adidaser Note: Submit sample to the end-user Pls. submit your quotation thru email: mi_lyn</t>
  </si>
  <si>
    <t xml:space="preserve"> Purchase of materials for the improvement of Gulayan Sa Paaralan</t>
  </si>
  <si>
    <t xml:space="preserve"> INVITATION TO BID FOR CIVIL WORKS July 02, 2020 1.	The Department of Public Works and Highways (DPWH), Bukidnon Second District Engineering Office, Pinamaloy, Don Carlos, Bukidnon through its Bids and Awards Committee BAC, invites contractors to submit bi</t>
  </si>
  <si>
    <t xml:space="preserve"> Vehicle Parts &amp; Accessories</t>
  </si>
  <si>
    <t xml:space="preserve"> JOB ORDER: A. For replacement of dilapidated 1 unit floor mounted aircon, acquired 10 years ago, at Conference room. Specs: Split type floor mounted 3 tonner, Air condition-4.0hp Voltage, frequency, Phase-V2, H2, Ph 220-240V, 60Hz, 1ph Compressor Type-Rot</t>
  </si>
  <si>
    <t xml:space="preserve"> Concreting of Pathways at Sagaba SDNE</t>
  </si>
  <si>
    <t xml:space="preserve"> Battery 11P,12V		Pcs	2 Vulcaseal			Ltr	1 Tire 7.00x15		Sets	6 Brake fluid (900ml)	Bot	6 Grease			Qtrs	4 ATF				ltrs	3</t>
  </si>
  <si>
    <t xml:space="preserve"> Procurement and Installation of Furniture (Kitchen and Dining) at the Office of the District Engineer. Please see attached Associated Component for the Request for Quotation (RFQ) Form.</t>
  </si>
  <si>
    <t xml:space="preserve"> 1. 450 bots oil-based mosquito repellant lotion with Citronella 2. 171 pcs Mosquito nets family size 3. 1066 sachet Temephos 10 grams sachet Purpose:For dengue prevention and control program (target clients: Public Elementary School children and Day Care </t>
  </si>
  <si>
    <t xml:space="preserve"> Please see attached RFQ</t>
  </si>
  <si>
    <t xml:space="preserve"> The San Jose City – Local Government Unit (SJC-LGU) through its Bids and Award Committee (BAC), will undertake an Alternative Method of Procurement through Negotiated Procurement for the item stated below, in accordance with Section 53.9 Small Value Procu</t>
  </si>
  <si>
    <t xml:space="preserve"> MDRRMC Rescue Ambulance</t>
  </si>
  <si>
    <t xml:space="preserve"> CATERING SERVICES in the conduct of cloud seeding operation in Region 02</t>
  </si>
  <si>
    <t xml:space="preserve"> Procurement of Customized Folder Please see attached Associated Component for the Request for Quotation (RFQ) Form.</t>
  </si>
  <si>
    <t xml:space="preserve"> 200A</t>
  </si>
  <si>
    <t xml:space="preserve"> ALL IN ONE</t>
  </si>
  <si>
    <t xml:space="preserve"> Supply &amp; Delivery of Toner, Developer &amp; Drum kit For use in the printing of various documents and maintenance of copier machine, DPWH Sor. 1st DEO</t>
  </si>
  <si>
    <t xml:space="preserve"> INVITATION TO BID 1.	The National Nutrition Council (NNC) through GAA for CY2020 Funds intends to apply the Approved Budget for the Contract (ABC) to payment under the contract for the following project: 	 Item No.	Description	Approved Budget for the Cont</t>
  </si>
  <si>
    <t xml:space="preserve"> .Contract ID	20 – 0019 – S Contract Name 	Repair/Maintenance of Road along Jct. MSR, Old Zigzag Road, K0153+(-)632 - K0158+389 (Intermittent Section) and Talaba-Summit-Panaon Road, K0179+(-)350 - K0187+759 (Intermittent Section) (3rd Quarter) Approved Bud</t>
  </si>
  <si>
    <t xml:space="preserve"> 1. 3,420 ltrs Diesel Note: the price/s quoted by the supplier shall be valid for a period of seven (7) calendar days from the date of the quotation, and the item/s shall be delivered to the procuring entity regardless of an increase or decrease in the pre</t>
  </si>
  <si>
    <t xml:space="preserve"> Invitation to Rehabilitation of Multi Purpose Hall The Barangay Calanggaman, through the 20% Brgy. Dev’t Fund C.Y. 2019 intends to apply the sum of Ninety Six Thousand Two Hundred Pesos Only  (P 96, 200.00) being the Approved Budget for the Contract (ABC)</t>
  </si>
  <si>
    <t xml:space="preserve"> Page 1 of 10 REQUEST FOR QUOTATION (RFQ) SUPPLY AND DELIVERY OF CHEMICALS UNDER EMB-ERLSD-ENVIRONMENTAL LABORATORY SERVICES SECTION (ELSS) INORGANICS LABORATORY UNIT RFQ NO. EMB-S-ERLSD-ELSS LABORATORY CONSUMABLES 2020-0485 1. The Department of Environmen</t>
  </si>
  <si>
    <t xml:space="preserve"> 100A, 32A  AND 10A</t>
  </si>
  <si>
    <t xml:space="preserve"> Printer</t>
  </si>
  <si>
    <t xml:space="preserve"> SARI-SARI STORE STARTER KITS</t>
  </si>
  <si>
    <t xml:space="preserve"> 1.	The Municipal Government of Burgos, Ilocos Norte, through the General Fund intends to apply the sum of PhP 56,338.00 being the Approved Budget for the Contract (ABC) to payments under the contract for the Purchase of Materials and Supplies for the Muni</t>
  </si>
  <si>
    <t xml:space="preserve"> Contract ID	20 – 0021 – S Contract Name 	Repair/Maintenance of Roads along Daang Maharlika, Gumaca-Lopez-Calauag Road, K0187+000 - K0246+724 (Intermittent Section) (3rd Quarter) Approved Budget for the Contract (ABC)	 P           997,043.00 Purchase Reque</t>
  </si>
  <si>
    <t xml:space="preserve"> Contract ID	20 – 0020 – S Contract Name 	Repair/Maintenance of Road along Quirino Highway, K0251+ (-)511 - K0281+185 (Intermittent Section) (3rd Quarter) Approved Budget for the Contract (ABC)	 P            999,712.00 Purchase Request No:	   20-06-083 Con</t>
  </si>
  <si>
    <t xml:space="preserve"> PLEASE SEE ATTACHED DOCUMENTS</t>
  </si>
  <si>
    <t xml:space="preserve"> MG-RDW20-020..SUPPLY/INSTALL OF WATER LEVEL MONITORING SYSTEM/STATIONS AT AGUS-PULANGI HEPs ABC : P 2,200,000.00 PLACE OF DELIVERY : MINGEN CENTRAL WAREHOUSE DITUCALAN, ILIGAN CITY AMOUNT OF BID DOCUMENTS : P3,000.00</t>
  </si>
  <si>
    <t xml:space="preserve"> The City Government of Santiago invites interested parties to submit price quotation for the “SUPPLY AND DELIVERY OF FUNERAL WREATH FOR TRIBUTE TO THE DECEASED CONSTITUENT OF SANTIAGO CITY“ City Hall, Santiago City, details as follows: ABC: Php 400,000.00</t>
  </si>
  <si>
    <t xml:space="preserve"> .</t>
  </si>
  <si>
    <t xml:space="preserve"> Republic of the Philippines National Kidney and Transplant Institute Bids and Awards Committee East Avenue, Quezon City 1100 981-0300 / 981-0400 local 1157 http://www.nkti.gov.ph/    NOTICE OF PROCUREMENT OPPORTUNITY 1.	The NATIONAL KIDNEY AND TRANSPLANT </t>
  </si>
  <si>
    <t xml:space="preserve"> The City Government of Santiago invites interested parties to submit price quotation for the “SUPPLY AND DELIVERY OF VEHICLE PARTS AND ACCESSORIES AS ASSISTANCE TO PNP FOR THE REPAIR OF PATROL CAR“ City Hall, Santiago City, details as follows: ABC: Php 10</t>
  </si>
  <si>
    <t xml:space="preserve"> Contract ID	20 – 0027 – S Contract Name 	Procurement of Printer Supplies for use in this District, DPWH, Quezon IV District Engineering Office, Gumaca, Quezon (3rd Quarter) Approved Budget for the Contract (ABC)	 P         306,800.00 Purchase Request No:	</t>
  </si>
  <si>
    <t xml:space="preserve"> Contract ID	20 – 0022– S Contract Name 	Repair/Rehabilitation/Improvement of Road along MSR, Jct. Lopez-Hondagua Port Road, K0221+(-)678-K0227+000 (Intermittent Section) and Gumaca-Pitogo-Mulanay-San Narciso Road, K0198+(-)1528 - K0206+357 (Intermittent S</t>
  </si>
  <si>
    <t xml:space="preserve"> 1 unit All in one Computer  Intel Core i3-813OU or its equivalent 4GB DDR4 2.5 ITB SATA Hard Drive (5400 RPM) Integrated 1.0 MP Full HD high sense webcam Built-in Stereo Speaker 802.11ac/a/b/g/n wireless LAN 802.11 a/b/g/n/ac 2x2 Wi-fi* and Bluetooth*4.2 </t>
  </si>
  <si>
    <t xml:space="preserve"> 1	5	Panels	CONVEYOR (Venetian Blinds)	 			COLOR:  Cream	 			DIMENSION:  3 Panels at 2 meters x 3.25meters	 			                     2 Panels at 2 meters x 2.5meters	 			***Closed Nothing Follows***</t>
  </si>
  <si>
    <t xml:space="preserve"> 1500 PCS WASHABLE CLOTH FACE MASKS P60.00@ = P90.000.00 For further information, please refer/contact to: AMELITA E. PEÑAFLOR BAC Chairman LGU Dinalupihan Email Add: amelitapeñaflor@yahoo.com Tel. No.: 047 636-0060 ANGELITA A. MENDOZA ICO-GSO LGU Dinalupi</t>
  </si>
  <si>
    <t xml:space="preserve"> 8- UNITS STREET LIGHTS</t>
  </si>
  <si>
    <t xml:space="preserve"> Contract ID	20 – 0028 – S Contract Name 	Procurement of Office Supplies for use in this District, DPWH, Quezon IV District Engineering Office, Gumaca, Quezon (3rd Quarter) Approved Budget for the Contract (ABC)	 P         250,800.00 Purchase Request No:	2</t>
  </si>
  <si>
    <t xml:space="preserve"> C-purlins 2x3		       Length	48 C-purlins 2x4		       Length	14 Flat bar ¼ x 1		       Length	10 Red oxide primer	       Gals	2 Enamel paint (gray)		Gals	2 Lacquer thinner			Gals	1 Paint brush 3			Pcs	4 Concrete nails 2		Kls	2 Welding rod			Kls	2 Blind ri</t>
  </si>
  <si>
    <t xml:space="preserve"> REQUEST FOR SEALED QUOTATION   The TARLAC AGRICULTURAL UNIVERSITY, through its Bids and Awards Committee (BAC), invites all bidders to submit sealed quotation for the Contract Reference # 2020-RFQ-023 INFRA “FABRICATION OF FIFTY (50) UNITS STEEL FRAME FOR</t>
  </si>
  <si>
    <t xml:space="preserve"> Republic of the Philippines National Kidney and Transplant Institute Bids and Awards Committee East Avenue, Quezon City 1100 981-0300 / 981-0400 local 1157 http://www.nkti.gov.ph/	 NOTICE OF PROCUREMENT OPPORTUNITY (SMALL VALUE PROCUREMENT) 1.	The NATIONA</t>
  </si>
  <si>
    <t xml:space="preserve"> ITEM NO. 	QTY.  	UNIT        	NAME/DESCRIPTION  OF ARTICLES                                                                          (State Brand or Market Name)                                                                     						UNIT PRICE   		TOTA</t>
  </si>
  <si>
    <t xml:space="preserve"> Contract ID	20 – 0026 – S Contract Name 	Procurement of Printer Supplies for use in this District, DPWH, Quezon IV District Engineering Office, Gumaca, Quezon (3rd Quarter) Approved Budget for the Contract (ABC)	 P        455,800.00  Purchase Request No:	</t>
  </si>
  <si>
    <t xml:space="preserve"> Contract ID	20 – 0025 – S Contract Name 	Repair/Maintenance of Roads along MSR Jct. Lopez-Buenavista Road, K0218+(-)802 - K0236+988 (Intermittent Section) (3rd Quarter) Approved Budget for the Contract (ABC)	 P         999,000.00 Purchase Request No:	20-0</t>
  </si>
  <si>
    <t xml:space="preserve"> Lot 1										 1	Portland Cement							1,123	bags	260.00 	Terms and Conditions:									 	The materials shall be for pick up from the supplier within 5 working days  									 	from the receipt of a written advice by the project engineer.									 	The s</t>
  </si>
  <si>
    <t xml:space="preserve"> please see attached</t>
  </si>
  <si>
    <t xml:space="preserve"> Rain Water Collector 	 			 	 Cost of Bidding Documents: Php 5,000.00					 Source of Funds: SR2020-03-0039459 The significant times and deadlines of procurement activities are shown below: 1. Issuance of Bidding Documents	Deadline: July 6 – 22, 2020, 8:30a</t>
  </si>
  <si>
    <t xml:space="preserve"> Purchase of Toilet Bowl</t>
  </si>
  <si>
    <t xml:space="preserve"> Please quote your lowest price on Supply and Delivery of One (1) Lot Biologics and Veterinary Supplies listed below, and submit your quotation duly signed by your authorized representative not later than 09:10AM on July 08, 2020 at the Municipal Health Of</t>
  </si>
  <si>
    <t xml:space="preserve"> ICT PROGRAMMING FOR USE IN OFFICES OS BPLO, MTO &amp; MASSO</t>
  </si>
  <si>
    <t xml:space="preserve"> The City Government of Santiago invites interested parties to submit price quotation for the “SUPPLY AND DELIVERY OF RUBBER DUMPER FOR VARIOUS GOVERNMENT VEHICLES“ City Hall, Santiago City, details as follows: ABC: Php 73,600.00 Contract Duration: 14 cale</t>
  </si>
  <si>
    <t xml:space="preserve"> 1. Excavation 2. Concrete footings 3. concreting columns 4. concrete beams 5. concrete slam 6. ground flooring 7. Masonry works 8. forms and scaffoldings See BAC Office for more details</t>
  </si>
  <si>
    <t xml:space="preserve"> 5 Units HDMI to VGA Converter Unit Cost: P 1,000.00 Total Amount: P 5,000.00 3 Units Portable Router Specification * Weight 200 g * LTE Mobile Wifi * Communication System - LTE/UMTS/GSM * Speed 150Mbps DL/50Mbps UL * Battery 5200mAH Unit Cost: P 1,000.00 </t>
  </si>
  <si>
    <t xml:space="preserve"> Municipality of San Juan, Siquijor						Project Reference No.: 				 						Name of Project: Nutrition Month Celebration				 						Location of Project:San Juan, 				 Standard Form Number: SF-GOOD-60										 Revised on: May 24, 2004										 Standard Form</t>
  </si>
  <si>
    <t xml:space="preserve"> PR# 20-06-657					 					 STOCK/ PROPERTY NO.	UNIT	ITEM DESCRIPTION	QTY.	UNIT COST	TOTAL COST 					 1	unit	CALCULATOR, Compact, 12 digits, LCD Display, Width: 100mm – 130mm, Two-way power source (Solar and Cell)	10	416.22	 4,162.20  2	pack/box	CARBON PAPER</t>
  </si>
  <si>
    <t xml:space="preserve"> Standard Form No. SF Good-05		             Project Reference No.: CATCAM-2020-19 Revised on July 28,2004                   		     Name of Project: PURCHASE OF TRANSPORT VEHICLE (BRAND                                                                        </t>
  </si>
  <si>
    <t xml:space="preserve"> Supply and Delivery of Various Construction Materials: 1. 22 pcs. Marine Plywood, 5mmx4x8 2. 2   kg.  C.W. Nails # 1 3. 2   kg.  C.W. Nails # 2 1/2" 4. 2   kg.  C.W. Nails # 3 5. 3   kg.  C.W. Nails # 4 6. 5   kg.  Umbrella Nails # 2 1/2 7. 3   pcs. Door </t>
  </si>
  <si>
    <t xml:space="preserve"> 1. Solar Powers- 1 Set Electric Pump 4HP or 5 HP Solar converter, Panel, Battery and other device applicable 2. repair of pipeline and Valve, etc. to restore in exact location 3. PIPE Lines See BAC Office for more details</t>
  </si>
  <si>
    <t xml:space="preserve"> 4440 ltrs Diesoline 496 ltrs Gasoline Unleaded Premium Regular V-Power Lubricant</t>
  </si>
  <si>
    <t xml:space="preserve"> The Asuncion Water District is intended to purchase a One Hundred Forty-Six (146) Pieces of Water Meter Size 1/2'' or 20mm with the specification below; 1. Class B and ISO 4064 Conformity Manufacture by ISO 9000 and ISO 9001 Company 2. Vane Wheel, Multi d</t>
  </si>
  <si>
    <t xml:space="preserve"> 1.	The Provincial Government of Davao del Norte, through CY 2020 Annual Budget, 20% Development Fund and SB #1 CY 2020 Peace and Order Program hereby invites all interested PhilGEPS registered suppliers to submit bids for the procurement of goods. Bids re</t>
  </si>
  <si>
    <t xml:space="preserve"> RFQ 2020-112 PROJECT		:	LBRDC MOST COMMONLY USED MATERIALS IMPLEMENTOR		: 	LBP RESOURCES AND DEVELOPMENT CORPORATION OWNER			:	LAND BANK OF THE PHILIPPINES	 REQUEST FOR QUOTATION FOR	:	SUPPLY OF CONSTRUCTION MATERIALS    DATE / TIME OF SUBMISSION		:	ON OR</t>
  </si>
  <si>
    <t xml:space="preserve"> 1lot - Supply, Delivery and Installation of Plastic  Protective Sheets on 25mm Aluminum Square Tube Framing for the Front-liners at the following Landbank Branches/Units:	 		Landbank Capistrano Branch 	- 62,483.00  		Landbank Limketkai Branch	- 28,303.00 </t>
  </si>
  <si>
    <t xml:space="preserve"> CATERING SERVICES (MEALS FOR BTAC)</t>
  </si>
  <si>
    <t xml:space="preserve"> INVITATION TO BID FOR THE SUPPLY, DELIVERY AND COMMISSIONING OF ABR MACHINE 1.  The Cagayan Valley Medical Center (CVMC), intends to apply the sum One Million Five Hundred Thousand Pesos (Php   1,500,000.00 ) being the Approved Budget for the Contract (AB</t>
  </si>
  <si>
    <t xml:space="preserve"> List of items available at the BAC Office upon request and purchase of bidding documents</t>
  </si>
  <si>
    <t xml:space="preserve"> Description The Isabela State University invites registered contractors/ suppliers/ bidders to submit bid proposals/ price quotation of the items listed in the attached RFQ/RFP. Submit your proposals/ quotation duly signed by you or your duly authorized r</t>
  </si>
  <si>
    <t xml:space="preserve"> 5	pcs	LAPTOP       		SPECS: 		Processor: Intel® Celeron® N3060 (1.6 GHz base frequency(2b), up to 2.48 GHz burst frequency(2c), 2                  MB cache, 2 cor  		Chipset:  SoC   		Memory: 4 GB DDR3L-1600 SDRAM (1 x 4 GB) 		Hard Drive: 500 GB 5400 rpm </t>
  </si>
  <si>
    <t xml:space="preserve"> Republic of the Philippines							 Province of Negros Occidental							 Municipality of La Castellana							 Bids and Awards Committee							 							 INVITATION TO APPLY FOR ELIGIBILITY AND TO BID							 							 Name of Project: 		WIDENING OF MUNICIPAL ST</t>
  </si>
  <si>
    <t xml:space="preserve"> Cordillera Administrative Region										 Provincial Government of Kalinga										 										 BIDS AND AWARDS COMMITTEE										 										 Invitation to Bid										 										 1.	The Provincial Government of KALINGA, through the Approved Budget for</t>
  </si>
  <si>
    <t xml:space="preserve"> Procurement of 1 Lot meals and snacks with drinks for 375 pax</t>
  </si>
  <si>
    <t xml:space="preserve"> Please see attached Invitation to Bid</t>
  </si>
  <si>
    <t xml:space="preserve"> Republic of the Philippines Province of Leyte MUNICIPALITY OF HILONGOS REQUEST FOR QUOTATIONS 				________________                                                                                                                                             </t>
  </si>
  <si>
    <t xml:space="preserve"> The Department of Public Works and Highways – Cordillera Administrative Region, through its Bids and Awards Committee (BAC) for Goods, invites suppliers to submit bids for the contract below: Contract ID No.:	20GP00069 Contract Name:	Clustered Purchase Re</t>
  </si>
  <si>
    <t xml:space="preserve"> 1 unit of laptop  Processor 10th generation intel core, i7 Processor OS: windows 10 (64 bit) Videocard:NVIdia GeForce with 2GB GDDR5 graphics Memory Memory: 8GB, 1x8 GB, DDR4, 2666 MHz HDD: 512GB M.2 PCIe NVMe Solid State Drive Kindly email your Proposal/</t>
  </si>
  <si>
    <t xml:space="preserve"> 315   pcs	Personalized School Bags</t>
  </si>
  <si>
    <t xml:space="preserve"> Tires and Batteries with trade in 5 pieces 245/70R17 Tires for Mitsubishi Strada RLF-191      Includes Tire Valve and Weights, Installation, Mounting and Balancing and Wheel Alignment 5 pieces 245/70R17 Tires for Mitsubishi Strada SKR-742      Includes Ti</t>
  </si>
  <si>
    <t xml:space="preserve"> See BAC Office for more Details</t>
  </si>
  <si>
    <t xml:space="preserve"> Supply and Delivery of Mask, Oxygen, ADULT, non toxic PVC, medical grade transparent. Mask, Oxygen, ADULT, non toxic PVC, medical grade transparent.	piece	35	1,500	52,500.00 ---------------------------------------------------------------------------------</t>
  </si>
  <si>
    <t xml:space="preserve"> 9	Gallon	Rain or Shine (Tulips) 1	Gallon	Rain or Shine (Bright Green) 2	Gallon	Rain or Shine (Temptation) 1	Gallon	Rain or Shine (Happy Days) 5	Pieces	Roller Brush Tray 9	Pieces	Paint Roller (Small) 5	Pieces	Paint Brush 2” 2	Pieces	G.I. Pipe ¾” 10	Pieces	</t>
  </si>
  <si>
    <t xml:space="preserve"> INVITATION TO BID The Local Government Unit of Rizal, Kalinga, through the Bids and Wards Committee, invites Suppliers to submit bids for the contract Contract Number: 2020-07-12 Project Title: Procurement of Photocopier Project Location: Rizal, Kalinga F</t>
  </si>
  <si>
    <t xml:space="preserve"> Procurement of Meals and Snacks</t>
  </si>
  <si>
    <t xml:space="preserve"> REQUEST FOR QUOTATION											 ESTABLISHMENT OF PATHWAY											 SMALL VALUE PROCUREMENT											 											 INSTRUCTION:										              	 	1.	Supplies are required to read the instructions and fill all the blanks properly.									 	2.	The</t>
  </si>
  <si>
    <t xml:space="preserve"> Republic of the Philippines Department of Health Center for health Development – Cagayan Valley BATANES GENERAL HOSPITAL Basco, Batanes E-mail Address: bataneshospital@gmail.com REQUEST FOR QUOTATION RFQ-2020-15 Procurement of Anti-Rabies Vaccine 1. The D</t>
  </si>
  <si>
    <t xml:space="preserve"> Good lumber 2x3x6 (375 bd ft)		                        Pcs	125 Good lumber 2x2x6 (720 bd ft)					Pcs	360 Good lumber 1x2x6 (50 bd ft)					Pcs	50</t>
  </si>
  <si>
    <t xml:space="preserve"> Name of Project: Construction of Retaining Wall with Road Concreting @ San Felipe Location: San Felipe, City of Ilagan ABC: P3,000,000.00 Contract Duration: 90 CD Source of Fund: 20%EDF</t>
  </si>
  <si>
    <t xml:space="preserve"> see BAC office for more details</t>
  </si>
  <si>
    <t xml:space="preserve"> Republic of the Philippines Province of Leyte Municipality of Hilongos INVITATION TO BID FOR THE PROCUREMENT OF OFFICE SUPPLIES 1.  The Local Government Unit of Hilongos, through GENERAL FUND-CURRENT APPROPRIATION intends to apply the sum FIFTY NINE THOUS</t>
  </si>
  <si>
    <t xml:space="preserve"> Please see attached documents.</t>
  </si>
  <si>
    <t xml:space="preserve"> Supply and Delivery of Various Dietary Supplies and Materials for the month of September 2020 Hasa-hasa	kg	300	200	60,000.00 Bisugo	kg	380	300	114,000.00 Galunggong	kg	240	250	60,000.00 Bangus	kg	230	600	138,000.00 Boneless Bangus	kg	280	230	64,400.00 Til</t>
  </si>
  <si>
    <t xml:space="preserve"> Concrete Paving of Local Access Road (Cualing Road, Brgy. Don Matias, Burgos, Pangasinan)</t>
  </si>
  <si>
    <t xml:space="preserve"> 1 lot Supply of Labor, materials and installation for the repair of DAIKIN VRN III Airconditioners      NOTE:  Please see attached Request for Price Quotation</t>
  </si>
  <si>
    <t xml:space="preserve"> 1	Digital Wall Clock	1 unit 2	Dish Dryer    	        1 unit 3	Drinking Glass   	12 pcs 4	Wood Serving Tray	3 pcs 5	Plastic Serving Tray	3 pcs 6	Glass Jar	                5 pcs 7	Round Plate       	12 pcs 8	Serving Dish Plate 	6 pcs 9	Cups and Saucer	24 pc</t>
  </si>
  <si>
    <t xml:space="preserve"> Republic of the Philippines DEPARTMENT OF EDUCATION Region III SCHOOLS DIVISION OF AURORA San Luis, Aurora REQUEST FOR QUOTATION ______________________ To All Eligible Supplies/Dealers: I. Please quote your lowest price inclusive of VAT on the item/s list</t>
  </si>
  <si>
    <t xml:space="preserve"> RFQ 2020-114 PROJECT		:	LBRDC MOST COMMONLY USED MATERIALS IMPLEMENTOR		: 	LBP RESOURCES AND DEVELOPMENT CORPORATION OWNER			:	LAND BANK OF THE PHILIPPINES	 REQUEST FOR QUOTATION FOR	:	SUPPLY OF CONSTRUCTION MATERIALS    DATE / TIME OF SUBMISSION		:	ON OR</t>
  </si>
  <si>
    <t xml:space="preserve"> Item No.	Description	Unit	Quantity 1	Laptop Computer	Unit	1 	Specifications:		 	IPS LCD		 	Inter Core i7		 	NVDIA GeFore GTX 2070 8GB GDDR6 VRAM		 	RAM: 32GB		 	MEMORY SPEED: 2666MHz		 	Memory Expandable Up to 32GB		 	Storage Type SSD, SSHD		 	HDD 1TB		 	</t>
  </si>
  <si>
    <t xml:space="preserve"> Procurement of Assisted Devices for Indigent PWD Beneficiaries - MSWDO, Laak, Davao De Oro with an ABC of Php. 160,000.00.</t>
  </si>
  <si>
    <t xml:space="preserve"> RFQ-2020-187		 			 1.	210	reams	Bond Paper (Long, Hardcopy) 2.	2	reams	Ink (Reso, Z Type) 3.	1	pcs.	Master Roll (73) 4.	3	pcs.	Toner Ecosys Printer (Kyocera TK-1175) 5.	3	pcs.	Ink (Photocopy) 6.	3	pcs.	Staple with remover 7.	10	box's	Staple Wire #35 8.	6	</t>
  </si>
  <si>
    <t xml:space="preserve"> Republic of the Philippines									 Province of Negros Occidental									 Municipality of La Castellana									 Bids and Awards Committee									 									 INVITATION TO APPLY FOR ELIGIBILITY AND TO BID									 									 Name of Project: 		PROPOSED W</t>
  </si>
  <si>
    <t xml:space="preserve"> Procurement of Food Stuff to Support Barangay Sustainable Peace Action Team - Sitio Kinabuhian, Laak, Davao De Oro with an ABC of Php. 66,070.00.</t>
  </si>
  <si>
    <t xml:space="preserve"> Tire 8.25x16 w/flap &amp; inner tube		Sets	6 Oil filter					        Pc	1 Fuel filter					        Pc	1 Brake fluid (900ml)				Bot	10 Grease     					qtrs	6</t>
  </si>
  <si>
    <t xml:space="preserve"> 30	Pcs.	Electrical bulb 15 watts 30	Pcs.	Electrical bulb 12watts 10	Pcs.	Door knob 10	Pcs.	Electric Tape 15	Pcs.	Plastic faucet 1	Pc.	Ladder 3	Pcs.	Wallfan 5	Pcs.	Standfan 20	Pcs.	Pump 1	Pcs.	Teflon Pan 1	Pc.	Hoe 1	Pc.	Rake 1	Pc.	Ax 20	Pcs.	Soft broom 1	P</t>
  </si>
  <si>
    <t xml:space="preserve"> Procurement of Fuel and Oil</t>
  </si>
  <si>
    <t xml:space="preserve"> Various Materials GSO</t>
  </si>
  <si>
    <t xml:space="preserve"> Please submit your quotations based on RFQ terms &amp; conditions</t>
  </si>
  <si>
    <t xml:space="preserve"> Reshaping of Roadway Portland Cement Concrete Pavement See BAC Office for more details</t>
  </si>
  <si>
    <t xml:space="preserve"> Construction of Multi Purpose Building		 Cost of Bidding Documents: Php 5,000.00					 Source of Funds: GAA FY 2020  The significant times and deadlines of procurement activities are shown below: 1. Issuance of Bidding Documents	Deadline: July 6 – 22, 2020</t>
  </si>
  <si>
    <t xml:space="preserve"> Republic of the Philippines Province of Leyte Municipality of Hilongos INVITATION TO BID FOR THE PROCUREMENT OF OFFICE SUPPLIES 1.  The Local Government Unit of Hilongos, through GENERAL FUND-CURRENT APPROPRIATION intends to apply the sum THIRTY NINE THOU</t>
  </si>
  <si>
    <t xml:space="preserve"> General Merchandise PF-0620-666</t>
  </si>
  <si>
    <t xml:space="preserve"> The municipal government of Romblon through its Bids and Awards Committee (BAC)invites PhilGEPS registered suppliers for an invitation to negotiated procurement on the New Construction of Level - II Potable Water System at Sitio Luway, Brgy, Cajimos, Romb</t>
  </si>
  <si>
    <t xml:space="preserve"> Republic of the Philippines National Kidney and Transplant Institute Bids and Awards Committee East Avenue, Quezon City 1100 981-0300 / 981-0400 local 1157 http://www.nkti.gov.ph/    NOTICE OF PROCUREMENT OPPORTUNITY SMALL VALUE PROCUREMENT 1.	The NATIONA</t>
  </si>
  <si>
    <t xml:space="preserve"> Combi Blinds White 80 sq. ft. (verify actual size) Combi Blinds White 20 sq. ft. (verify actual size) Combi Blinds White 32 sq. ft. (verify actual size) Combi Blilnds White 50 sq. ft. (verify actual size) Combi Blinds White 126 sq. ft. (verify actual size</t>
  </si>
  <si>
    <t xml:space="preserve"> 1.	The Local Government Unit of  Tuao, Cagayan  through 20% Development Fund 2020  intends to  apply the sum of  Php 2,440,000.00  being the Approved Budget for the Contract (ABC) to   payments under  the contract for CONSTRUCTION OF MULTI-PURPOSE BUILDIN</t>
  </si>
  <si>
    <t xml:space="preserve"> 1.	1	unit/s	Fully Automated Random Access 			Clinical Chemistry Analyzer XL-180 2.	1	unit/s	Hematology Analyzer 5250 5 Part  			Specifications: 			Sampling Mode: whole Blood: Pre- diluted 			Sample requirment: Venous: 20 uL, Capilary; 20uL 			Reagent:4 re</t>
  </si>
  <si>
    <t xml:space="preserve"> Page 1 of 7 REQUEST FOR QUOTATION (RFQ) SUPPLY AND DELIVERY OF GLASSWARE UNDER EMB-ERLSD-ENVIRONMENTAL LABORATORY SERVICES SECTION (ELSS) INORGANICS LABORATORY UNIT RFQ NO. EMB-S-ERLSD-ELSS GLASSWARE 2020-0525 1. The Department of Environment and Natural </t>
  </si>
  <si>
    <t xml:space="preserve"> Name of Project: Construction of Covered Court  Location: Cab 22                       P3,000,000.00               Alinguigan 3                  3,000,000.00 Approved Budget Cost:              P6,000,000.00 Contract Duration: 120 CD Source of Fund: 20%EDF</t>
  </si>
  <si>
    <t xml:space="preserve"> The City Government of Santiago invites interested parties to submit price quotation for the “SUPPLY AND DELIVERY OF CONSTRUCTION MATERIALS FOR REPAIR AND MAINTENANCE OF SCHOOL BUILDINGS“ City Hall, Santiago City, details as follows: ABC: Php 50,347.00 Co</t>
  </si>
  <si>
    <t xml:space="preserve"> Procurement of Rice</t>
  </si>
  <si>
    <t xml:space="preserve"> The City Government of San Pedro, Laguna invites interested parties to quote for the following item/s as per request JLAEH: 		Consumables for Newborn Hearing Screener 3	box	Clear Tubes (Maico ERO Scan Monochrome Newborn Screener) 		-100 pcs per box 3	box	</t>
  </si>
  <si>
    <t xml:space="preserve"> Please see attachment.</t>
  </si>
  <si>
    <t xml:space="preserve"> RFQ 2020-113 PROJECT		:	LBRDC MOST COMMONLY USED MATERIALS IMPLEMENTOR		: 	LBP RESOURCES AND DEVELOPMENT CORPORATION OWNER			:	LAND BANK OF THE PHILIPPINES	 REQUEST FOR QUOTATION FOR	:	SUPPLY OF CONSTRUCTION MATERIALS    DATE / TIME OF SUBMISSION		:	ON OR</t>
  </si>
  <si>
    <t xml:space="preserve"> RFQ-2020-189		 			 1.	2	pcs.	Tires 185x14 tubeless 2.	1	set	Idler bushing 3.	1	lot	Aircon cleaning 4.	2	pcs.	Tires 185x14  5.	1	lot	Wheel balance/alignment 6.	2	sets	Blinker LED top assy. w/siren, speaker 7.	1	set	Idler bushing 8.	1	lot	Aircon cleaning 9.</t>
  </si>
  <si>
    <t xml:space="preserve"> Tire 8.25x16 		          Sets	6 Brake fluid (900ml)		  Bot	6 Grease				  Qtrs	6 ATF					  ltrs	4</t>
  </si>
  <si>
    <t xml:space="preserve"> PR2020-02-003 - Purchase and delivery of IT Equipments for use of accounting section, this office</t>
  </si>
  <si>
    <t xml:space="preserve"> 1.	10	piece/s	Cannon Pixma 810 2.	10	piece/s	Cannon Pixma 811 3.	4	bottle/s	Liquid Hand Soap 4.	10	piece/s	Car Air Freshener 5.	30	piece/s	Albatros w/ handle 6.	10	piece/s	Staple Wire No.35 7.	2	box/es	Rubber Bond 8.	10	pack/s	Powder Soap 9.	10	bottle/s	G</t>
  </si>
  <si>
    <t xml:space="preserve"> The Municipality of San Mariano, Isabela invite bidders to participate in this procurement, Installation of Solar Street Lights Approved Budget: Php 182,935.00 Interested bidders may submit the accomplished Price Quotation/Canvass Form/ Complete Detailed </t>
  </si>
  <si>
    <t xml:space="preserve"> REQUEST FOR QUOTATION Procurement of Goods [Fire Woods] The   City Government of Tagbilaran, through its Bids and Awards Committee (BAC) intends to apply the sum of Eighty-Nine Thousand Two Hundred Eighty (P89,280.00) pesos onlybeing the Approved Budget f</t>
  </si>
  <si>
    <t xml:space="preserve"> RFQ-2020-188		 			 1.	1	unit	Dell Inspiration 3670 9th Geninteol Core i3-9100/8GB/1TB/Win 10 w/Dell 23-in  			S2319H Monitor 2.	1	unit	Epson L565 Wi-Fi All-in-One in Tank Printer 9100/8GB/1TB/Win 10 w/Dell 23-in 			S2319H Monitor 3.	1	unit	Computer Table </t>
  </si>
  <si>
    <t xml:space="preserve"> RFQ 2020-115 PROJECT		:	LBP BARILI BRANCH BUILDING CONSTRUCTION IMPLEMENTOR		: 	LBP RESOURCES AND DEVELOPMENT CORPORATION OWNER			:	LAND BANK OF THE PHILIPPINES	 REQUEST FOR QUOTATION FOR	:	SUPPLY OF TILES    DATE / TIME OF SUBMISSION		:	ON OR BEFORE JULY</t>
  </si>
  <si>
    <t xml:space="preserve"> (Please also see attached.) INVITATION TO BID Supply, Delivery and Testing of Walking Type Agricultural Tractors (PHilMech RCEF 20-06-02) 1. The Philippine Center for Postharvest Development and Mechanization (PHilMech) through its FY 2019 &amp; FY2020 Rice C</t>
  </si>
  <si>
    <t xml:space="preserve"> BID ACTIVITIES: ISSUANCE OF BID DOCUMENTS: JULY 6, 2020 - JULY 17, 2020 OPENING OF BID DOCUMENTS: JULY 17, 2020@1:00PM Interested bidders may obtain further information from Bids and Awards Committee of the Municipal Government of Buguey and inspect the B</t>
  </si>
  <si>
    <t xml:space="preserve"> Please download RFQ in the Associated Components</t>
  </si>
  <si>
    <t xml:space="preserve"> 167	copies  Yearbook 2018-2019 		   Size: 9X12; No. of Pages: 84; Cover: Hardbound, colored, laminated with dry emboss 		   Inside: 80lbs, Matte coated (All colored pages)</t>
  </si>
  <si>
    <t xml:space="preserve"> Name of Project: Construction of Pathways/Walkways (Gandang Ilagan Program) Location: City of Ilagan, Isabela  Approved Budget Cost: P20,000,000.00 Contract Duration: 180 CD Source of Fund: 20%EDF</t>
  </si>
  <si>
    <t xml:space="preserve"> 4 pcs - Tire, 15x7.00, rough 4 pcs - Tire, 15x7.50, rough 2 pcs - Tire, 16x7.50, fine</t>
  </si>
  <si>
    <t xml:space="preserve"> RFQ - Procurement of various supplies and gears for the technical assistance and monitoring of Animal Dispersal Program</t>
  </si>
  <si>
    <t xml:space="preserve"> REQUEST FOR QUOTATION Procurement of Goods [Shredder Machine] The   City Government of Tagbilaran, through its Bids and Awards Committee (BAC) intends to apply the sum of Sixty-Five Thousand (P65,000.00) pesos onlybeing the Approved Budget for the Contrac</t>
  </si>
  <si>
    <t xml:space="preserve"> RFQ-2020-186		 			 1.	1	unit	Dell Inspiration 3670 9th Geninteol Core i3-9100/8GB/1TB/Win 10 w/Dell 23-in  			S2319H Monitor 2.	1	unit	Epson L565 Wi-Fi All-in-One in Tank Printer 9100/8GB/1TB/Win 10 w/Dell 23-in 			S2319H Monitor 			 	Deadline for Submiss</t>
  </si>
  <si>
    <t xml:space="preserve"> Lot 1										 1	Portland Cement							501	bags	260.00 	Terms and Conditions:									 	The materials shall be for pick up from the supplier within 5 working days  from the 									 	receipt of a written advice by the project engineer.									 	The sup</t>
  </si>
  <si>
    <t xml:space="preserve"> Republic of the Philippines					 PROVINCE OF SIQUIJOR					 BIDS &amp; AWARDS COMMITTEE					 Capitol Building, Siquijor, Siquijor					 					 Business Name:_____________________________				AD. No.: 478-06-2020	 Address:___________________________________				DAT</t>
  </si>
  <si>
    <t xml:space="preserve"> Please see attached</t>
  </si>
  <si>
    <t xml:space="preserve"> LOT A									 1	Unleaded Gasoline							1	lot	12,436.29 	Terms &amp; conditions:									 										 	1. The supplier shall start to serve within three (3) days upon receipt of the advice									 	           from the project engineer until the project is co</t>
  </si>
  <si>
    <t xml:space="preserve"> 12	unit	two way portable radio, water proof, dual band VHF/UHF, 5 watts</t>
  </si>
  <si>
    <t xml:space="preserve"> Various Office Supplies</t>
  </si>
  <si>
    <t xml:space="preserve"> The City Government of Santiago invites interested parties to submit price quotation for the “SUPPLY AND DELIVERY OF OFFICE EQUIPMENT FOR HRMO USE“ City Hall, Santiago City, details as follows: ABC: Php 58,200.00 Contract Duration: 14 calendar days Schedu</t>
  </si>
  <si>
    <t xml:space="preserve"> Catering Services: Day 1		 	40	pax	AM Snacks		 	40	pax	Lunch		 	40	pax	PM Snacks		 	40	pax	Dinner		 	6	pax	Accomodation (good for 2 pax)		 			Day 2		 	40	pax	Breakfast		 	40	pax	AM Snacks		 	40	pax	Lunch		 	40	pax	PM Snacks		 	40	pax	Dinner		 	6	pax	Accom</t>
  </si>
  <si>
    <t xml:space="preserve"> RFQ 2020-111 PROJECT		:	LBRDC MOST COMMONLY USED MATERIALS IMPLEMENTOR		: 	LBP RESOURCES AND DEVELOPMENT CORPORATION OWNER			:	LAND BANK OF THE PHILIPPINES	 REQUEST FOR QUOTATION FOR	:	SUPPLY OF CONSTRUCTION MATERIALS -POWDER COATED   DATE / TIME OF SUBMI</t>
  </si>
  <si>
    <t xml:space="preserve"> ***Materials for the Improvement of Multi_purpose Hall</t>
  </si>
  <si>
    <t xml:space="preserve"> 1.	The Municipal Government of Burgos, Ilocos Norte, through the General Fund intends to apply the sum of PhP140,000.00 being the Approved Budget for the Contract (ABC) to payments under the contract for Purchase of Equipment and Furniture/Fixture for the</t>
  </si>
  <si>
    <t xml:space="preserve"> 1.	The Municipal Government of Burgos, Ilocos Norte, through the 5% Calamity Fund, CY 2020 intends to apply the sum of PhP 50,000.00 being the Approved Budget for the Contract (ABC) to payments under the contract for the Purchase of Weighing Scale. Quotat</t>
  </si>
  <si>
    <t xml:space="preserve"> Please quote your lowest price for the requirements listed hereunder subject to the Terms and Conditions stated and submit to this office duly signed not later than 4:00 p.m. of July 6, 2020. Note: Interested suppliers are required to submit a VALID curre</t>
  </si>
  <si>
    <t xml:space="preserve"> Page 1 of 8 REQUEST FOR QUOTATION (RFQ) SUPPLY AND DELIVERY OF LOW TEMPERATURE INCUBATOR UNDER EMB-ERLSD-ENVIRONMENTAL LABORATORY SERVICES SECTION (ELSS) RFQ NO. EMB-S-ERLSD-ELSS INCUBATOR 2020-0519 1. The Department of Environment and Natural Resources –</t>
  </si>
  <si>
    <t xml:space="preserve"> Contract ID	20 – 0023 – S Contract Name 	Repair/Rehabilitation/Improvement of Road along Daang Maharlika, Pagbilao-Atimonan-Plaridel Road, K0135+(-)732 - K0187+000 (Intermittent Section) (3rd Quarter) Approved Budget for the Contract (ABC)	 P       995,00</t>
  </si>
  <si>
    <t xml:space="preserve"> Republic of the Philippines DEPARTMENT OF ENVIRONMENT AND NATURAL RESOURCES CALABARZON Region Provincial Environment and Natural Resources Office Trece Martires City, Cavite INVITATION TO BID FOR THE PROVISION OF LABOR SERVICE AND MATERIALS FOR THE INSTAL</t>
  </si>
  <si>
    <t xml:space="preserve"> For the watershed project in Itbayat Batanes and Edible Landscaping Project of DA-RFO 02: SEEDLINGS</t>
  </si>
  <si>
    <t xml:space="preserve"> RFQ 2020-110 PROJECT		:	LBRDC MOST COMMONLY USED MATERIALS IMPLEMENTOR		: 	LBP RESOURCES AND DEVELOPMENT CORPORATION OWNER			:	LAND BANK OF THE PHILIPPINES	 REQUEST FOR QUOTATION FOR	:	SUPPLY OF CONSTRUCTION MATERIALS    DATE / TIME OF SUBMISSION		:	ON OR</t>
  </si>
  <si>
    <t xml:space="preserve"> Contract ID	20 – 0024 – S Contract Name 	Repair/Maintenance of Roads along MSR Jct. Lopez-Catanauan Road, K0217+(-)890 - K0236+128 (Intermittent Section) (3rd Quarter) Approved Budget for the Contract (ABC)	 P        999,000.00 Purchase Request No:	20-06-</t>
  </si>
  <si>
    <t xml:space="preserve"> 50     cart  Ink Cart, Canon PG-810,black 198    btl   Ink Cart, Epson C13T664100(T6641) Black 196    btl   Ink Cart, Epson C13T664200(T6642) cyan 196    btl   Ink Cart, Epson C13T664300(T6643) magenta 196    btl   Ink Cart, Epson C13T664400(T6644) yellow</t>
  </si>
  <si>
    <t xml:space="preserve"> Republic of the Philippines National Kidney and Transplant Institute Bids and Awards Committee East Avenue, Quezon City 1100 981-0300 / 981-0400 local 1157 http://www.nkti.gov.ph/	 INVITATION TO BID for the ITB No. 20-058 RE-BIDDING FOR THE SUPPLY AND DEL</t>
  </si>
  <si>
    <t xml:space="preserve"> Name of Project: Construction of Line Canal  Location: Alibagu (Going to Relocation Site)               P2,000,000.00               Calamagui 1st                                           P1,000,000.00 Approved Budget Cost: P3,000,000.00 Contract Duration</t>
  </si>
  <si>
    <t xml:space="preserve"> Purchase and delivery of food for animals for Calapan City Zoo</t>
  </si>
  <si>
    <t xml:space="preserve"> Contract ID: 20CD0171      Contract Name:  Construction of 2 Storey 8 Classroom Apugan Elementary                                School, Norzagaray, Bulacan      Contract Location: Norzagaray, Bulacan      Brief Description: Const. of 2 storey 8 classroom</t>
  </si>
  <si>
    <t xml:space="preserve"> Item No.	Description	Unit	Quantity 1	Gen. Cleaning of Evaporator and Rear, Recharging of freon R1314A and Leak Test	Set	1 2	Wiper Motor Assembly	Parts	1 3	Hand brake Asse4mbly Front	Parts	1 4	Headlight Bulb 	Parts	2 5	Brake Pads Front	Parts	1 6	Heater Plu</t>
  </si>
  <si>
    <t xml:space="preserve"> W1: 2000mmx1800mm W2: 3500mmx1800mm AW4: 1500mmx600mm Awning Window on 2”x4” powder coated aluminum frame with 6mm thk. Clear glass AW4B: 1800mmx600mm CW1: 1880mmx2301mm CW2: 2800mmx2301mm (Lobby/waiting area) CW3: 4200mmx2301mm (Lobby/waiting area) ung m</t>
  </si>
  <si>
    <t xml:space="preserve"> Contract ID: 20CD0169      Contract Name:  Construction of 2 Storey - 10 Classroom Matias A. Fernando                                MS (Angat C/S), Angat, Bulacan      Contract Location: Angat, Bulacan      Brief Description: Const. of 2 storey 10 classr</t>
  </si>
  <si>
    <t xml:space="preserve"> Janitorial Supply</t>
  </si>
  <si>
    <t xml:space="preserve"> Air Lifting Bag   Specifications: Heavy Duty, High pressure lifting cushion designed primarily for lifting vehicles and objects in emergency situations. The  lifting bag has a very slim profile making it suitable for use  in restricted or awkward spaces a</t>
  </si>
  <si>
    <t xml:space="preserve"> PURCHASE REQUEST																 																 NATIONAL IRRIGATION ADMINISTRATION																 Iloilo-Guimaras Irrigation Management Office																 Region VI, Brgy. Tacas, Jaro, Iloilo City																 																 Department		IGIMO	</t>
  </si>
  <si>
    <t xml:space="preserve"> Supply and Delivery of Various Office Supplies Detergent Powder, 1 kg pack	pack	95	375	35,625.00 Soap, Bathroom 90 grams Gross Weight (Min) Anti Microbial/ Bacterial	pack	13	350	4,550.00 Soap, for hand use, liquid with moisturizer	gallon	380	300	114,000.0</t>
  </si>
  <si>
    <t xml:space="preserve"> Supply and Delivery of one (1) lot various Electrical supplies	 1. 60 set 2 Gang Wall Outlet w/ Plate, Heavy Duty, Universal 2 240 set 2 Gang Wall Switch w/ Plate, Heavy Duty 3. 120 pcs. 4 Gang Extension Outlet, Heavy Duty, Universal 4. 50 pcs. Plug, Heav</t>
  </si>
  <si>
    <t xml:space="preserve"> 5      Pcs.     Brass Air Release Valve 3/4 5      Pcs.     Brass Air Release Valve 1/2 5      Pcs.     Air Release Valve 2"</t>
  </si>
  <si>
    <t xml:space="preserve"> Procurement of Food Stuff to Support Barangay Sustainable Peace Action Team - Sitio Buhi, Laak, Davao De Oro with an ABC of Php. 56,900.00.</t>
  </si>
  <si>
    <t xml:space="preserve"> Please quote your lowest prize inclusive with VAT on the items listed below subject for terms and conditions of this RFQ, and submit your quotation duly signed by the representative not later than July 9, 2020. At this award committee: Hennie Jane O. Alla</t>
  </si>
  <si>
    <t xml:space="preserve"> Please see attached documents</t>
  </si>
  <si>
    <t xml:space="preserve"> INFUSION PUMP Compact design with handle; light weight for east transport; deliver rate: 1-1000ml/hr, 0.1-999.9ml/hr; delivery limit range: 0.1-9999ml; volume to be infused: 0.1-9999ml; pumping mechanism: linear peristaltic finger; accuracy: ±5 (ml/h cont</t>
  </si>
  <si>
    <t xml:space="preserve"> CLIMATE CHANGE COMMISSION - BIDS AND AWARDS COMMITTEE REQUEST FOR QUOTATION 	RFQ NO. 2020-006 PROCUREMENT OF VARIOUS OFFICE SUPPLIES FOR THE USE OF CCC-CCO The Climate Change Commission, through its Bids and Awards Committee, will undertake a procurement </t>
  </si>
  <si>
    <t xml:space="preserve"> Contract ID: 20CD0170      Contract Name:  Construction of 2 Storey 8 Classroom A.S. De Guzman ES                                (Taboc ES), Angat, Bulacan      Contract Location: Angat, Bulacan      Brief Description: Const. of 2 storey 8 classroom schoo</t>
  </si>
  <si>
    <t xml:space="preserve"> Contract ID: 20CD0173      Contract Name:  Construction of 2 Storey 10 Classroom Norzagaray Elementary                                School, Norzagaray, Bulacan      Contract Location: Norzagaray, Bulacan      Brief Description: Const. of 2 storey 10 cla</t>
  </si>
  <si>
    <t xml:space="preserve"> IMPROVEMENT OF HAZARD WASTE AREA</t>
  </si>
  <si>
    <t xml:space="preserve"> DSLR CAMERA 		1 unit  Lens- AF-S DX Nikkor 18-140mm f/3.5-5.6G ED VR Lens 		 20.9MP DX-Format CMOS Sensor 		 Dimension: 31.80 X 15.20 X 21.60 cm 		 Weight: 42.2oz (1,197g) includes batteries, kit lens 		 External Connections: USB 2.0 High Speed Bluetooth,</t>
  </si>
  <si>
    <t xml:space="preserve"> Title: Procurement of 275 Liter Organic Fertilizer (Free Grow),etc. under P.R No. 2544-2020 -Office of the City Agriculturist. Total ABC: Php 756,800.00 (INSTRUCTION AS TO THE REQUIRED FORM: For your price quotation, please use the attached Request for Qu</t>
  </si>
  <si>
    <t xml:space="preserve"> Materials for the installation of screen windows at various schools</t>
  </si>
  <si>
    <t xml:space="preserve"> Page 1 of 8 REQUEST FOR QUOTATION (RFQ) SUPPLY AND DELIVERY OF LABORATORY CONSUMABLES UNDER EMB-ERLSD-ENVIRONMENTAL LABORATORY SERVICES SECTION (ELSS) INORGANICS LABORATORY UNIT RFQ NO. EMB-S-ERLSD-ELSS CONSUMABLES 2020-0484 1. The Department of Environme</t>
  </si>
  <si>
    <t xml:space="preserve"> DRILLING OF ADDITIONAL BORE HOLE @ 86 FT  - 8" DIAMETER</t>
  </si>
  <si>
    <t xml:space="preserve"> Materials for the improvement of PWD lift</t>
  </si>
  <si>
    <t xml:space="preserve"> see attached Terms of Reference (TOR), Scope of Works (SOW) and Bill of Quantities (BOQ)</t>
  </si>
  <si>
    <t xml:space="preserve"> 1 unit Laptop</t>
  </si>
  <si>
    <t xml:space="preserve"> Medical Supplies</t>
  </si>
  <si>
    <t xml:space="preserve"> 400,000 pcs Bangus fry  140,000 pcs P.vannamei PL 12-16 NOTE:  -with 5% mortality allowance -smaller than the stipulated size will not be accepted -P.vannamei from registered hatchery and with health certificate -supply and delivery in the Province of Aur</t>
  </si>
  <si>
    <t xml:space="preserve"> Contract ID: 20CD0172      Contract Name:  Construction of 4 Storey 8 Classroom FVR Phase 3 Elementary                                School, Norzagaray, Bulacan      Contract Location: Norzagaray, Bulacan      Brief Description: Const. of 4 storey 8 clas</t>
  </si>
  <si>
    <t xml:space="preserve"> Supply and Delivery of Various Dietary Supplies and Materials for September 2020 Pork Liempo	kg	245	200	49,000.00 Pork Tapa	kg	245	400	98,000.00 Pork Laman	kg	245	250	61,250.00 Ground Pork, laman	kg	245	200	49,000.00 Ground Pork	kg	245	300	73,500.00 Pork </t>
  </si>
  <si>
    <t xml:space="preserve"> CLIMATE CHANGE COMMISSION - BIDS AND AWARDS COMMITTEE REQUEST FOR QUOTATION 	RFQ 2020-004A PROCUREMENT OF VARIOUS FURNITURES AND FIXTURES FOR AFD-REBID The Climate Change Commission, through its Bids and Awards Committee, will undertake a procurement tran</t>
  </si>
  <si>
    <t xml:space="preserve"> 1. 318	book	Notebook, 80 leaves 2. 19	boxes Chalk, Colored 3. 19	set	Stamp, appreciation, assorted 4. 19	pcs	Alphabet Chart 5. 19	pcs	Number Chart 6. 19	pcs	Parts of the Body Chart 7. 19	pcs	Color Chart 8. 19	pcs	Shapes Chart 9. 19	pcs	Five Senses Chart 1</t>
  </si>
  <si>
    <t xml:space="preserve"> Please quote your lowest price inclusive of tax to this Office and submit your quotation in SEALED and SIGNED BID ENVELOPE indicating therein the TITLE and SOLICITATION NUMBER of this project not later than JULY 13, 2020 addressed to: RUFO S. SOTELO JR. H</t>
  </si>
  <si>
    <t xml:space="preserve"> 1 	 1 	 set 	 COMPUTER DESKTOP 	 			 Specs: 	 			 Processor:  IntelCore i5-7400 3.30GH 1151 	 			 Motherboard:  Gigabyte 	 			 HDD:  500gb SATA  	 			 Memory:  4gb DDR4  	 			 Drive:  Writer Internal 	 			 Monitor:  18.6" LED 	 			 Mouse:  PS/2 or USB 	 	</t>
  </si>
  <si>
    <t xml:space="preserve"> Republicof the Philippines PROVINCEOFAGUSAN DEL SUR Municipality of San Luis Barangay SAN PEDRO Negotiated Procurement SUPPLY AND DELIVERY OF HARDWARE ELECTRICAL MATERIALS FOR THE REHAB/ IMROVEMENT OF BRGY. MULTI-PURPOSE BLDG. 1. The Barangay government o</t>
  </si>
  <si>
    <t xml:space="preserve"> Materials for the construction of roof extension of City Health Office</t>
  </si>
  <si>
    <t xml:space="preserve"> 20 PCS DOOR KNOB AND 19 LINE ITEMS</t>
  </si>
  <si>
    <t xml:space="preserve"> Landscaping Maintenance of Jaime Velasquez Park  from August to December, 2020 Breakdown: Two (2) Gardeners  Php540.00 x 26 days 1 Foreman/Supervisor (for Park 2, 3 &amp; Salcedo)     Php750.00/day x 8 days (2x a week) SSS/Philhealth/Pag-Ibig Gasoline Expense</t>
  </si>
  <si>
    <t xml:space="preserve"> Please see atached specifications</t>
  </si>
  <si>
    <t xml:space="preserve"> 1.	The MUNICIPALITY OF GUINAYANGAN, QUEZON, through its Bids and Awards Committee (BAC), will undertake a Negotiated Procurement – Small Value Procurement Method for the Supply of Heavy Duty  Weighing  Scale  for use by the Municipal Mayor’s Office  in ac</t>
  </si>
  <si>
    <t xml:space="preserve"> Supply and Delivery of Various Dietary Supplies and Materials for September 2020 Pre-cooked beef cubes, 1kg	kg	400	550	220,000.00 corned beef	Pack/canister	600	12	7,200.00 -----------------------------------------------------------------------------------</t>
  </si>
  <si>
    <t xml:space="preserve"> The Municipality of San Mariano, Isabela invite bidders to participate in this procurement, Installation of Warning Signs Approved Budget: Php 99,688.05 Interested bidders may submit the accomplished Price Quotation/Canvass Form/ Complete Detailed Documen</t>
  </si>
  <si>
    <t xml:space="preserve"> Slotted Angle Bars with Shelves •	Slotted Angle Bars with Shelves 3/6” x 1 ½” x 10 •	Hack saw blade •	Cutting disc 4” •	¾” plywood, marine •	Flat wall, enamel paint •	Roller brush, 4”, cotton •	Sand paper, #100</t>
  </si>
  <si>
    <t xml:space="preserve"> Entity Name: Malanday National High School Valenzuela                 Fund Cluster:01 PR. No: 2020-06-001    Unit             Item Description               Quantity                      Unit Cost                             Total Cost pages        Learni</t>
  </si>
  <si>
    <t xml:space="preserve"> 1.	2	box/es	Ballpen black 0.5 box of 50s 2.	20	piece/s	Correction Tape 3.	30	piece/s	Expanding Folder long 4.	30	piece/s	Paper clamp 2" 5.	2	bottle/s	Glass cleaner 500ml 6.	100	roll/s	Tissue Paper 2ply 7.	60	piece/s	File Folder long 8.	10	ream/s	US Bond P</t>
  </si>
  <si>
    <t xml:space="preserve"> DCP-T310 Refill Tank System, Ultra High Yield Ink •BT5000C       12 PCS •BT5000M        12 PCS • BT5000Y      12 PCS • BTD60BK       12 PCS HP Officejet Pro 7740 • 955 or 955XL, Black, Setup H Cartridge      10 PCS • 955 or 955XL, Magenta, Setup H Cartrid</t>
  </si>
  <si>
    <t xml:space="preserve"> 1 LOT Lease of Desktop Mini Computers for the Official Use of OSEC Fourteen (14) Units of desktop mini computers For details of the computers, kindly download and refer to the attached PURCHASE REQUEST and TERMS OF REFERENCE in the Associated Components o</t>
  </si>
  <si>
    <t xml:space="preserve"> Materials for the repair and maintenance of streetlights of various barangays</t>
  </si>
  <si>
    <t xml:space="preserve"> Information equipment</t>
  </si>
  <si>
    <t xml:space="preserve"> Construction of 2m x 21m and 4m x 4.30m Concrete Footbridge: I. 1.00 lot Detour Bridge II. 100 lot Removal of the Damage Part III. 12.00 units Concrete Piles &amp; Pile Driving IV. 12.63 cu.m Structural Concreter V. 3,551.00 kls Steel Works VI. 390.00 bd. ft </t>
  </si>
  <si>
    <t xml:space="preserve"> The ZAMBOANGA CITY STATE POLYTECHNIC COLLEGE through its Bids and Awards Committee (BAC) is inviting PHILGEPS registered suppliers to apply for eligibility and to submit bids for the items listed below: 1	Polo shirt, full sublimation color w/ collar, poly</t>
  </si>
  <si>
    <t xml:space="preserve"> Name of Project: Construction of Multi-Purpose Commercial Building Location: Calamagui 2nd, City of Ilagan ABC: P50,000,000.00 Contract Duration 300CD Source of Fund: Loan Proceeds-LBP</t>
  </si>
  <si>
    <t xml:space="preserve"> Fuel, Oil and Lubricants</t>
  </si>
  <si>
    <t xml:space="preserve"> Republic of the Philippines Province of Davao Oriental CITY OF MATI REQUEST FOR QUOTATION 			 Date:	30 JUNE 2020 RFQ No.:	0851-2020 Name of Company: __________________________________________________________________________________________________________</t>
  </si>
  <si>
    <t xml:space="preserve"> ICT Supplies</t>
  </si>
  <si>
    <t xml:space="preserve"> Procurement of Dental Equipment</t>
  </si>
  <si>
    <t xml:space="preserve"> Core i7</t>
  </si>
  <si>
    <t xml:space="preserve"> Please see attached POW.</t>
  </si>
  <si>
    <t xml:space="preserve"> Publication of newly approved ordinances of the City of Calapan</t>
  </si>
  <si>
    <t xml:space="preserve"> 1785 liters diesel fuel for ambulance</t>
  </si>
  <si>
    <t xml:space="preserve"> IT Equipment</t>
  </si>
  <si>
    <t xml:space="preserve"> unit	Computer Printer, Refill Ink Tank system, Multi-Function, Print, Scan, Copy and Fax, can print long size paper	1 unit	Desktop Computer, intel core i7, board, 1TB HDD, 8GB DDR4 RAM, DVDROM, 18.5" Monitor, AVR, Casing with psu, Keyboard, mouse, pad 	1 </t>
  </si>
  <si>
    <t xml:space="preserve"> Procurement of 1 Lot laboratory supplies and materials</t>
  </si>
  <si>
    <t xml:space="preserve"> The National Mapping and Resource Information Authority, Bids and Awards Committee (NAMRIA BAC) invites interested SUPPLIERS/DEALERS &amp; CONTRACTORS for the following project/s: Magazine Subscription for MGB Director's Office 			 National Geographic (12 iss</t>
  </si>
  <si>
    <t xml:space="preserve"> 1	set	Mobile Rigid Mast Lighting System 		  Mast Specifications: 		Lockable rotating collar, standard natural clear anodized  		 seamless drawn aluminum mast sections with 76.2mm base tube 		24mm diameter quick clamp socket and rotating top guy collar 		B</t>
  </si>
  <si>
    <t xml:space="preserve"> Contract ID: 20CD0175      Contract Name:  Construction of 2 Storey 4 Classroom Maligaya Elementary                               School, San Miguel, Bulacan      Contract Location: San Miguel, Bulacan      Brief Description: Const. of 2 storey 4 classroo</t>
  </si>
  <si>
    <t xml:space="preserve"> INVITATION TO BID FOR THE SUPPLY AND DELIVERY OF VARIOUS LABORATORY SUPPLIES UNDER RCEF GOODS 20-06-01 1.	The Philippine Rice Research Institute, through the 2020 Rice Competitiveness Enhancement Fund intends to apply the sum of THREE MILLION FOURTEEN THO</t>
  </si>
  <si>
    <t xml:space="preserve"> QTY		UNIT		DESCRIPTION 10		set		Dining Set-2 chairs, 1 table (75cm x 75cm)</t>
  </si>
  <si>
    <t xml:space="preserve"> The ZAMBOANGA CITY STATE POLYTECHNIC COLLEGE through its Bids and Awards Committee (BAC) is inviting PHILGEPS registered suppliers to apply for eligibility and to submit bids for the items listed below: 	P O R K L E S S		 1	AM Snacks: Baked macaroni w/ br</t>
  </si>
  <si>
    <t xml:space="preserve"> Materials for the repair and maintenance of City Govt buildings and facilities</t>
  </si>
  <si>
    <t xml:space="preserve"> Republic of the Philippines National Kidney and Transplant Institute Bids and Awards Committee East Avenue, Quezon City 1100 981-0300 / 981-0400 local 1157 http://www.nkti.gov.ph/	 INVITATION TO BID for the ITB No. 20-050 RE-BIDDING FOR ONE (1) LOT SUPPLY</t>
  </si>
  <si>
    <t xml:space="preserve"> Contract ID: 20CD0174      Contract Name:  Construction of 2 Storey 6 Classroom Camachin Elementary                                School, Doña Remedios Trinidad, Bulacan      Contract Location: Doña Remedios Trinidad, Bulacan      Brief Description: Cons</t>
  </si>
  <si>
    <t xml:space="preserve"> Supply &amp; Delivery of Materials for Virtual Online Graduation 05D(GRAD) G03-2020 Kindly see attached file. Thank you!</t>
  </si>
  <si>
    <t xml:space="preserve"> Office table •	At least 120cm x 61cm x 76cm, laminated particle board, with drawers and locks Office table •	Mesh type, mobile</t>
  </si>
  <si>
    <t xml:space="preserve"> Republic of the Philippines Province of Davao Oriental CITY OF MATI REQUEST FOR QUOTATION 			 Date:	30 JUNE 2020 RFQ No.:	0852-2020 Name of Company: __________________________________________________________________________________________________________</t>
  </si>
  <si>
    <t xml:space="preserve"> For use in the Greenhouse and Gulayan sa Opisina Projects:  INSECTICIDE , FUNGICIDES &amp; FERTILIZERS</t>
  </si>
  <si>
    <t xml:space="preserve"> 150	REAM 	PAPER, multicopy, A4, Substance 20  200	REAM 	PAPER, multicopy, Legal, Substance 20 10	PIECE 	PUCNHER, heavy duty with two hole guide  50	BOOK	RECORD BOOK, 500 pages size 214 mm x 278 mm 30	PACK 	Folder Brown-Long, 100 pcs/pack 30	BOX	        Ba</t>
  </si>
  <si>
    <t xml:space="preserve"> Various Hardware &amp; Construction Materials &amp; Supplies</t>
  </si>
  <si>
    <t xml:space="preserve"> Republic of the Philippines Province of Davao Oriental CITY OF MATI REQUEST FOR QUOTATION 			 Date:	30 JUNE 2020 RFQ No.:	0856-2020 Name of Company: __________________________________________________________________________________________________________</t>
  </si>
  <si>
    <t xml:space="preserve"> Purchase and delivery of 10 units bicycle to be used for Employees Fitness Program</t>
  </si>
  <si>
    <t xml:space="preserve"> 1.The Bureau of Quarantine (BOQ), hereinafter referred to as “the Purchaser”, has a requirement for the Purchase of Laboratory Supplies The details of the project are as follows: Name of Project:Purchase of Laboratory Supplies Location:Bureau of Quarantin</t>
  </si>
  <si>
    <t xml:space="preserve"> Motor Vehicle</t>
  </si>
  <si>
    <t xml:space="preserve"> Republic of the Philippines Province of Davao Oriental CITY OF MATI REQUEST FOR QUOTATION 			 Date:	30 JUNE 2020 RFQ No.:	0855-2020 Name of Company: __________________________________________________________________________________________________________</t>
  </si>
  <si>
    <t xml:space="preserve"> Contract ID: 20CD0178      Contract Name:  Construction of 4 Storey 8 Classroom Tabing Ilog Elementary                                School, Marilao, Bulacan      Contract Location: Marilao, Bulacan      Brief Description: Const. of 4 storey 8 classroom </t>
  </si>
  <si>
    <t xml:space="preserve"> A4 Bond paper</t>
  </si>
  <si>
    <t xml:space="preserve"> Contract ID: 20CD0176      Contract Name:  Construction of 2 Storey 6 Classroom Paco Elementary                              School, San Rafael, Bulacan      Contract Location: San Rafael, Bulacan      Brief Description: Const. of 2 storey 6 classroom sch</t>
  </si>
  <si>
    <t xml:space="preserve"> Materials to be given to various barangays</t>
  </si>
  <si>
    <t xml:space="preserve"> Republic of the Philippines Province of Davao Oriental CITY OF MATI REQUEST FOR QUOTATION 			 Date:	30 JUNE 2020 RFQ No.:	0849-2020 Name of Company: __________________________________________________________________________________________________________</t>
  </si>
  <si>
    <t xml:space="preserve"> Republic of the Philippines Province of Batangas Municipality of San Juan SANGGUNIAN BARANGAY OF SAMPIRO BIDS AND AWARD COMMITTEE INVITATION TO BID Barangay Sampiro, San Juan, Batangas Date:  July 4, 2020 The Sangguniang Barangay Sampiro, San Juan, Batang</t>
  </si>
  <si>
    <t xml:space="preserve"> 146.50 CU.M. EXCAVATION 412.50 CU.M. STONE MASONRY 1.00 L.S. PROJECT BILLBOARD 1.00 L.S. CONSTRUCTION SAFETY &amp; HEALTH</t>
  </si>
  <si>
    <t xml:space="preserve"> Tie rod end		                Sets	2 Tire 8.25x16				Sets	6 Fuel filter					Pc	1 Oil filter					Pc	1 Brake fluid (900ml)			Bots	6 Grease 					qtrs	6</t>
  </si>
  <si>
    <t xml:space="preserve"> Title: Procurement of Vehicle Repair and Maintenance under P.R.Nos. 1903-2020 and 1940-2020-Office of the City Engineer-1Lot. Total ABC: Php 2,260,600.00 For representative/s of interested bidders  who wish to attend the Pre-Bidding Conference, please bri</t>
  </si>
  <si>
    <t xml:space="preserve"> PURCHASE</t>
  </si>
  <si>
    <t xml:space="preserve"> 2 units Document Scanner Specification: &gt; Desktop sheet-fed scanner &gt; Interface USB 3.1 Gen1/Speed USB 2.0 &gt; Supported Operating System (Windows) &gt; Automatic Feeding Method &gt; Contact image sensor &gt; LED Light Source &gt; Scanning side simplex/duplex &gt; Scannin</t>
  </si>
  <si>
    <t xml:space="preserve"> Contract ID: 20CD0177      Contract Name:  Construction of 4 Storey 8 Classroom Carlos F. Gonzales HS                                (Maguinao Cruz na Daan NHS), San Rafael, Bulacan      Contract Location: San Rafael, Bulacan      Brief Description: Const</t>
  </si>
  <si>
    <t xml:space="preserve"> FLU VACCINE I.      Objective   To obtain the services of a vaccine provider to administer flu vaccines to TPB employees scheduled in four (4) batches in observance of the new normal scenarios at work and physical distancing. II.    Date of Implementation</t>
  </si>
  <si>
    <t xml:space="preserve"> Republic of the Philippines PROVINCE OF ZAMBOANGA DEL SUR Municipality of Dimataling BIDS AND AWARD COMMITTEE Reference Number : PR-172-100-2020 Date: June 22, 2020 Project Title/P.R. # : PROCUREMENT OF LAPTOP Approved Budget of the Contract : Php 45,000.</t>
  </si>
  <si>
    <t xml:space="preserve"> Request for Quotation Supply &amp; Delivery of SMICH Supplies &amp; Equipment Item No.	Quantity	Unit of Issue	Item Description 1	2	Pieces	Wheelchair (Adult) 2	1	Piece	        Wheelchair (Pedia) 3	1	Piece	        Wheelchair Stretcher 4	1	Piece	        Oxygen Troll</t>
  </si>
  <si>
    <t xml:space="preserve"> INVITATION TO REBID FOR THE PURCHASE OF TWENTY (20) UNITS BRAND NEW SINGLE MOTORCYCLE The Municipality of Isulan, through the GENERAL FUND 2020  intends to apply the sum of ONE MILLION ONE HUNDRED FORTY THOUSAND PESOS (P 1,140,000.00) being the Approved B</t>
  </si>
  <si>
    <t xml:space="preserve"> Contract ID: 20CD0179      Contract Name:  Construction of 4 Storey 12 Classroom Paradise Farms                                Community School, San Jose del Monte City, Bulacan      Contract Location: San Jose del Monte City, Bulacan      Brief Descripti</t>
  </si>
  <si>
    <t xml:space="preserve"> See attached RFQ's</t>
  </si>
  <si>
    <t xml:space="preserve"> Supply and Delivery of Various Dietary Supplies and Materials for September 2020 Medium Eggs, fresh, orange yolk	tray	190	280	53,200.00 Small Eggs, fresh, orange yolk	tray	180	280	50,400.00 -----------------------------------------------------------------</t>
  </si>
  <si>
    <t xml:space="preserve"> 1.	40	ream/s	Bond Paper Long US S.20 2.	30	ream/s	Bond Paper Long Short S.20 3.	10.00	ream/s	Mimeo Paper Short 4.	5	ream/s	Bond Paper US A3 5.	50	piece/s	Folder Expanding ,Long 6.	50	piece/s	Folder Ordinary White ,Long 7.	50	piece/s	Brown Envelope Expandi</t>
  </si>
  <si>
    <t xml:space="preserve"> Bubbler and bottle filler Mirror finish stainless steel system Continuous cooling Quiet cooling Lower power consumption With built in 10 inch 4 stage water purifier Operating Voltage: 220 volts, 60Hz Power Rating: 160 watts Allowable incoming water supply</t>
  </si>
  <si>
    <t xml:space="preserve"> Detergent Powder 1 kilo (600 kilos) Fabric Conditioner 900 ml (467 pouches) NOTE: ALL NEW SUPPLIER ARE REQUIRED TO SUBMIT THE FOLLOWING DOCUMENT. 1. DTI Registration 2. SEC Registration 3. Current Mayor's Permit 4. Certificate of Registration from B.I.R/T</t>
  </si>
  <si>
    <t xml:space="preserve"> Number: 	Quantity: 	Unit	PPMP_Code	PPMP_Code1	PPMP_Code2	PPMP_Remarks	Articles	Specifications	StockNo	Unit_Cost	Estimated_Cost 	1	set					Back Wrench size 10 to 24	(Standley brand)		2,500.00	2,500.00 	4	pcs					Battery			8,000.00	32,000.00 	2	pcs					Jack</t>
  </si>
  <si>
    <t xml:space="preserve"> The BAC is conducting the public bidding for this Contract pursuant to GPPB Circular 06-2019 dated July 17, 2019 (Guidelines on the Implementation of Early Procurement Activities) in relation to the provisions of the Republic Act 9184 and its Implementing</t>
  </si>
  <si>
    <t xml:space="preserve"> Republic of the Philippines Province of Nueva Vizcaya MUNICIPALITY OF BAGABAG INVITATION TO BID  SUPPLY AND DELIVERY OF CONSTRUCTION MATERIALS FOR THE CONSTRUCTION OF DRAINAGE CANAL ALONG SAN GERONIMO ST.,  (Bonifacio St.-Malvar St.), BAGABAG, NUEVA VIZCA</t>
  </si>
  <si>
    <t xml:space="preserve"> Alcohol 70% Face Mask Refill Jar (Push Plastic Container) Bleach (Disinfectant) Paper Towel Tissue Hand Soap (bar) Hand Soap (Gel) Hand Sanitizer (500ml) Thermal Scanner Battery “AAA” Foam  x-x-x-x-x-x-x-x-x-x-x-x-x-x-x-x-x-x-x-x-x-x-x-x-x-x-x</t>
  </si>
  <si>
    <t xml:space="preserve"> Republic of the Philippines								 Province of Ilocos Norte								 Municipality of Paoay								 								 REQUEST FOR QUOTATION								 								 					Date:		7/4/2020	 					Qoutation No:		2020-072	 THE MANAGER				 				 								 								 								         </t>
  </si>
  <si>
    <t xml:space="preserve"> Lot of supply and delivery of various materials (Please see attached file for the quantity of each item) BILL OF QUANTITIES G26 Ordinary Corrogated GI Sheet 4 x 12ft		 G26 Ordinary Plain GI Flat Sheet	 Roofing Ties (Langueta)		 G26 Ordinary Corrogated GI </t>
  </si>
  <si>
    <t xml:space="preserve"> 1	unit   	3-in1 Inkjet Printer/Copier/Scanner 		Print Type: Line-type Inkjet System 		Continuous Print Speed: Simplex - 130ppm (A4) 		                                    Duplex - 65ppm (A4) 		Warm-up Time: 2 min. 30 seconds or less 		Data Processing Resol</t>
  </si>
  <si>
    <t xml:space="preserve"> Supply and Delivery of Various Dietary Supplies and Materials for September 2020 chicken, whole, fresh chilled	kilogram	180	1,700	306,000.00 ------------------------------------------------------------------------------------------------------------------</t>
  </si>
  <si>
    <t xml:space="preserve"> Contract ID: 20CD0016 (CS)      Contract Name:   Package 1 - Consulting Services for the Geological and Geotechnical                                      Surveys /Investigations for the FY 2021 Proposed Various Projects of Sub-                            </t>
  </si>
  <si>
    <t xml:space="preserve"> TERMS AND CONDITIONS:						 1. All entries must be typewritten or legibly written. 					 2. Delivery period within _______3 days_____________________ upon receipt of the approved  funded Purchase Order (P.O.).   				 3. Warranty shall be for a minimum of </t>
  </si>
  <si>
    <t xml:space="preserve"> Republic of the Philippines Department of Environment and Natural Resources ENVIRONMENTAL MANAGEMENT BUREAU National Capital Region National Ecology Center Compound, East Ave., Diliman, Quezon City Tel. Nos.: 9311331 Email : emb.bacsec.ncr@gmail.com      </t>
  </si>
  <si>
    <t xml:space="preserve"> Please contact BAC Secretariat for details</t>
  </si>
  <si>
    <t xml:space="preserve"> Name of Project: YOLANDA REHABILITATION AND RECONSTRUCTION PROGRAM  					(YRRP) 2016 PACKAGE I— CONSTRUCTION OF GREEN HOUSE   Bill of Quantities Item No. 	 Description	 % of Total	 Unit	 Quantity I	General Requirements	0.55	Sq.ft.	32.00 II	Form Works	1.93</t>
  </si>
  <si>
    <t xml:space="preserve"> INVITATION TO BID FOR THE SUPPLY AND DELIVERY OF VARIOUS LABORATORY SUPPLIES UNDER RCEF GOODS 20-06-02 1.	The Philippine Rice Research Institute, through the 2020 Rice Competitiveness Enhancement Fund intends to apply the sum of ONE MILLION THREE HUNDRED </t>
  </si>
  <si>
    <t xml:space="preserve"> Title: Procurement of Information Technology under P.R.Nos. 2122-2020(Office of the City Engineer) and 3088-2019( CMO-Provision for Information and Communication Technology Equipment)-1Lot Total ABC: Php PHP 2,747,000.00 For representative/s of interested</t>
  </si>
  <si>
    <t xml:space="preserve"> Vehicle Rental</t>
  </si>
  <si>
    <t xml:space="preserve"> The City Government of Santiago invites interested parties to submit price quotation for the “SUPPLY AND DELIVERY OF CONSTRUCTION MATERIALS FOR REPAIR AND MAINTENANCE OF SCHOOL BUILDINGS(ROOFING)“ City Hall, Santiago City, details as follows: ABC: Php 52,</t>
  </si>
  <si>
    <t xml:space="preserve"> 1	set	Computer Desktop 		Specifications:                  Core i5, 8gb RAM, 1TB HDD, DVD-ROM, 24” Monitor, KB and Mouse, AVR 1	unit	Printer 1	unit	Projector w/ White Screen 1	unit	Chair with arm rest</t>
  </si>
  <si>
    <t xml:space="preserve"> 100,000 pcs iBEST tilapia size 32 30,000 pcs Saline Tilapia SR size 17 3,000 pcs iBEST fingerlings size 14 10,000 pcs SR Tilapia Fingerlings size 17 226,000 pcs SR Tilapia Fingerlings size 20 Note: -must come from registered tilapia hatchery  -with health</t>
  </si>
  <si>
    <t xml:space="preserve"> 1.	5	box/es	PNSS 500ml 2.	3	box/es	D5Water 500ml 3.	5	box/es	D5NM 1L 4.	2	box/es	D5IMB 1L 5.	215	box/es	PNSS 1L 12s 6.	2	box/es	D5W 1L 7.	20	bottle/s	Dopamine vial</t>
  </si>
  <si>
    <t xml:space="preserve"> Procurement of Mega Ultrasonic Tip</t>
  </si>
  <si>
    <t xml:space="preserve"> Supply &amp; Delivery of Hardware Supplies for Dairy Production 01D(AUX) G05-2020 Kindly see attached file. Thank you!</t>
  </si>
  <si>
    <t xml:space="preserve"> 2 units pick-up, single cab with chassis and deck  Type/Specification: piston displacement, 2,494cc, transmission type manual, no. of cylinder: 4;  net weight: 1,350kg, fuel type diesel;  max output: 147 HP @ 3,400rpm</t>
  </si>
  <si>
    <t xml:space="preserve"> Please see "associated component" for the specifications Alcohol - 70 gal Hand Sanitizer gel solution - 100 gal Liquid Hand soap - 300 bot Disinfectant aerosol spray - 150 bot Hygienic &amp; Surgical hand disinfectant - 60 bot Soaking solution - 10 bot Multi-</t>
  </si>
  <si>
    <t xml:space="preserve"> Subgrade Preparation sub base Course Portland Cement Concrete Pavement</t>
  </si>
  <si>
    <t xml:space="preserve"> Republic of the Philippines  Province of Southern Leyte MUNICIPALITY OF BONTOC Invitation to Bid for PURCHASE OF CHLORINE GRANULES FOR THE MAINTENANCE OF MUNICIPAL WATERWORKS SYSTEM 1. The Municipality of Bontoc, through the General Fund intends to apply </t>
  </si>
  <si>
    <t xml:space="preserve"> Requesting for Quotation (RFQ) for PR No. 2006051 Interested suppliers are invited to submit Sealed Price Quotations for the above listed items. The Request for Quotation (RFQ) for may be obtained from Mr. Albert A. Camarillo City General Services Office </t>
  </si>
  <si>
    <t xml:space="preserve"> PACKAGE PROJECT: a) Installation/Rehabilitation of Streetlights at Brgy. Bihis 200,000.00 Installation of new streetlights &amp; rehabilitation of existing streetlights Welding machine minor tools civil engineer material engineer safety engineer b) Concreting</t>
  </si>
  <si>
    <t xml:space="preserve"> 90 rolls P.E TUBE 13MM (1/2 SDR 9) HDPE PIPE 1/2" dia. SDR-9 WITH MARKING EVERY METER, COLOR BLUE, ISO 9001 AND 14001 CERTIFICATION AS MANUFACTURER) (90 ROLLS)</t>
  </si>
  <si>
    <t xml:space="preserve"> INVITATION TO QUOTE Date:  July 03, 2020 1.	The Provincial Government of Davao del Sur, through its Bids and Awards Committee (BAC), invites all interested bidders/suppliers to quote for the following goods under Alternative Methods of Procurement ([Shopp</t>
  </si>
  <si>
    <t xml:space="preserve"> INVITATION FOR SUBMISSION OF QUOTATION (SMALL VALUE PROCUREMENT) 	The local Government Unit of Can-avid, through is Bid and Awards Committee (BAC). Invites suppliers to apply for eligibility, to bid for the hereunder contract: Name of Contract:  	Catering</t>
  </si>
  <si>
    <t xml:space="preserve"> ITEMNO. 	ITEM  &amp; DESCRIPTION	QTY.	UOM 			 1_ _ _TIRES (8.25 x 20)_ _ _ _ _ _ _ _6	pcs 2_ _ _INNER TUBE (Interior)_ _ _ _ _ _6	pcs 3_ _ _FLAP_ _ _ _ _ _ _ _ _ _ _ _ _ _ _6	pcs 4_ _ _3SM Battery_ _ _ _ _ _ _ _ _ _ _ 2	pcs</t>
  </si>
  <si>
    <t xml:space="preserve"> Purchase of Educational Materials and Supplies. 20 reams  Paper, Multi-Purpose, Legal size		 32  roll 	Correction Tape		 3  piece 	Flash Drive	 5 ream 	Paper, Multi-Purpose, A4 size		 16 piece 	Sign Pen, black liquid gel	 16 piece	Ballpen Black	 16 roll	D</t>
  </si>
  <si>
    <t xml:space="preserve"> Please see "associated component" for the specifications Admission kit - 500 kit Distilled Water - 700 bot</t>
  </si>
  <si>
    <t xml:space="preserve"> 1	288	btls	Amoxicillin 125mg/5ml susp 2	40	bxs	Cefalexin 500mg cap x 100's 3	30	bxs	Clocaxillin 500mg cap x 100's 4	288	btls	Co-amoxiclav  250mg/62.5ml/5ml susp  60ml 5	500	bxs	Co-amoxiclav  500mg/125mg tab x 20's 6	100	tube	Betamethasone ointment 7	100	b</t>
  </si>
  <si>
    <t xml:space="preserve"> Computer Desktop (OS: Windows 10 Pro Licensed Intel Core 15 Gen Processor 4 GB DDR4 Memory 250 GB SSD, 500GB HDD 21" Monitor, Keyboard and mouse, mini speaker (1 SET) UPS 650 VA, Nominal output Voltage: 220V, Input Connections: (4) EC-320-C 13 Cord Length</t>
  </si>
  <si>
    <t xml:space="preserve"> Contract ID: 20CD0019 (CS)      Contract Name:   Consulting Services for the Geological and Geotechnical   Surveys /                                       Investigations for the FY 2021 Proposed Various Projects of Sub-                                    </t>
  </si>
  <si>
    <t xml:space="preserve"> See attach RFQ.</t>
  </si>
  <si>
    <t xml:space="preserve"> For the construction of hand-washing station.</t>
  </si>
  <si>
    <t xml:space="preserve"> 75 pcs. Monoblock chair 8 cart. Ink Hp 22 colored 8 cart Ink Hp 60 black 7 cart. Ink Hp 60 colored 1 box white mailing envelope 10 pcs. brown envelope</t>
  </si>
  <si>
    <t xml:space="preserve"> Republic of the Philippines							 Department of Education							 Region IX, Zamboanga Peninsula							 DIVISION OF ZAMBOANGA DEL SUR							 TUKURAN TECHNICAL VOCATIONAL HIGH SCHOOL							 Tukuran, Zamboanga del Sur							 							 Bids and Awards Committe</t>
  </si>
  <si>
    <t xml:space="preserve"> Supply and Delivery of Two (2) cartridge SET HP LASERJET 650A Toner Cartridge SET HP LASERJET 650A TONER CARTRIDGE (Cyan, Magenta, Yellow, Black) Specifications: Page Yield: 2600 pages	cartridge	38,400	2	76,800.00 -----------------------------------------</t>
  </si>
  <si>
    <t xml:space="preserve"> 1.	48	bottle/s	Alcohol 70% 2.	2	box/es	Chromic 1-0 3.	5	box/es	Chromic 3-0 4.	1	box/es	Cord Clamp 5.	7	roll/s	Cotton 6.	1	gallon/s	Cidex Solution 7.	2	box/es	Dental needle long gauge 27 8.	1	box/es	Dental needle short gauge 30 9.	20	piece/s	ETT #7 10.	5	r</t>
  </si>
  <si>
    <t xml:space="preserve"> City Treasurer's Office P.R. No. : 2020-06-2674 Date: 06/23/2020 Page 1 of 3 175,000.00 3 in 1 3.5" CASH VAULT DOOR CONTROLLED BY FOUR (4) COMBINATION LOCKS WITH GRILLE GATE AND EMERGENCY BREATHING TUBE-LEFT OR RIGHT SWING &gt;the first wo (2) combination lo</t>
  </si>
  <si>
    <t xml:space="preserve"> Ink, Epson T6641, Black Ink, Epson T6642, Cyan Ink, Epson T6643, Magenta Ink, Epson T6644, Yellow Record Book 500 leaves Record Book 200 leaves Ballpen (Black, Blue, Red) Correction tape Gun tucker Stapler Staple wire Glue Sign pen - Pilot (Black) Bond Pa</t>
  </si>
  <si>
    <t xml:space="preserve"> INVITATION FOR SUBMISSION OF QUOTATION (SMALL VALUE PROCUREMENT) 	The local Government Unit of Can-avid, through is Bid and Awards Committee (BAC). Invites suppliers to apply for eligibility, to bid for the hereunder contract: Name of Contract:  	Purchase</t>
  </si>
  <si>
    <t xml:space="preserve"> REQUEST FOR QUOTATION Date:	   July 3, 2020	 RFQ No.	   VRPD20-006 PR No.	   PD2003-04-055 					   To All Eligible Suppliers  Please quote your lowest price inclusive of VAT on the item/s listed below, subject to the Terms and Conditions of this RFQ, for </t>
  </si>
  <si>
    <t xml:space="preserve"> Contract ID: 20CD0020 (CS)      Contract Name:  Consulting Services for the Geological and Geotechnical   Surveys /                                     Investigations for the FY 2021 Proposed Various Projects of Sub-                                   Soil</t>
  </si>
  <si>
    <t xml:space="preserve"> INVITATION TO BID FOR THE SUPPLY, DELIVERY AND INSTALLATION OF VIDEO SYSTEM (LED WALL) UNDER RCEF GOODS 20-06-03 1.	The Philippine Rice Research Institute, through the 2020 RICE COMPETITIVENESS ENHANCEMENT FUND intends to apply the sum of FOUR MILLION ONL</t>
  </si>
  <si>
    <t xml:space="preserve"> 120.00 SQ.M. CLEARING WITH STRIPPING &amp; DISPOSAL 30.39 CU.M. REMOVAL/DEMOLITION OF STRUCTURES &amp; OBSTRUCTION 111.60 CU.M. EXCAVATION/SCRAPING WITH DISPOSAL 260.00 SQ.M. REMOVAL OF EXISTING PAVEMENT WITH DISPOSAL 88.00 CU.M. EMBANKMENT FILL 416.00 SQ.M. SUB-</t>
  </si>
  <si>
    <t xml:space="preserve"> Title:Supply and Delivery for the City Disaster Risk Reduction and Management Office (CDRRMO) under P.R.No. 0999-2020-Subject to Ordering Agreement Arrangement-2nd Bidding Total ABC: Php 2,014,700.00 For representative/s of interested bidders  who wish to</t>
  </si>
  <si>
    <t xml:space="preserve"> Tire 7.00x15 w/flap &amp; inner tube		Sets	8 Clutch master repair kit			Set	1 Brake fluid (900ml)				Bot	6 Grease 					        Qtrs	6 ATF					                ltrs	6</t>
  </si>
  <si>
    <t xml:space="preserve"> see attached RFQ</t>
  </si>
  <si>
    <t xml:space="preserve"> TERMS AND CONDITIONS:						 1. All entries must be typewritten or legibly written. 					 2. Delivery period within ________3 days____________________ upon receipt  of the approved  funded Purchase Order (P.O.).   				 3. Warranty shall be for a minimum of</t>
  </si>
  <si>
    <t xml:space="preserve"> Tire : 700-16 Flap: 700-16 Interior: 700-16</t>
  </si>
  <si>
    <t xml:space="preserve"> To support the repair and maintenance of Other Machinery and Equipment</t>
  </si>
  <si>
    <t xml:space="preserve"> Please see attached Technical Specifications</t>
  </si>
  <si>
    <t xml:space="preserve"> 80 sets Reflectorize vest with Municipal Logo and PTMO Logo             Combination Color of Black and Orange             Sling with black and orange combination with logo 80 pcs Cap            Snip Clipper Snapback Cap            Black with PTMO Logo</t>
  </si>
  <si>
    <t xml:space="preserve"> Project Reference Number:  GSD J-20-272 Name of Project: INSTALLATION OF VINYL FLOOR TILES @ the PORT MANAGEMENT OFFICE  Location of the Project: 2/F TOB Bldg. MCT Complex, Tagoloan, Mis. Or.                     Standard Form Number: SF-INFRA-60 Standard </t>
  </si>
  <si>
    <t xml:space="preserve"> The City Government of San Pedro, Laguna invites interested parties to quote for the following item/s as per request Sangguniang Panlungsod: Qty.	Unit of Issue	Item Description 		 15	reams	Bond Paper (Long) Substance 20 15	reams	Bond Paper (Short) Substan</t>
  </si>
  <si>
    <t xml:space="preserve"> Contract ID: 20CD0018 (CS)      Contract Name:   Consulting Services for the Geological and Geotechnical   Surveys /                                       Investigations for the FY 2021 Proposed Various Projects of Sub-                                    </t>
  </si>
  <si>
    <t xml:space="preserve"> 5 Units Electronic (Solenoid- Driven Diaphragm  Metering Pump) Max Capacity: 3.5 L/H Max. Pressure: 16 Bars (232 PSI) Voltage: 100-230 Volts (Single Phase) Hertz: 60 Hz Power Consumption: 15.2 Watts Liquid End : PVDF Suction/ Pressure Port: PVDF Seals: PT</t>
  </si>
  <si>
    <t xml:space="preserve"> Contract ID: 20CD0023 (CS)      Contract Name:   Package 3                                       a) Consulting Services for the Geological and Geotechnical   Surveys /                                       Investigations for the Proposed Various Projects </t>
  </si>
  <si>
    <t xml:space="preserve"> ITEMNO. 	ITEM  &amp; DESCRIPTION	QTY.	UOM 			 1_ _ _ _ _ _Toilet Bowls_ _ _ _ _ _ _ _170	pcs</t>
  </si>
  <si>
    <t xml:space="preserve"> Contract ID: 20CD0017 (CS)      Contract Name:   Package 2 - Consulting Services for the Geological and Geotechnical                                      Surveys /Investigations for the FY 2021 Proposed Various Projects of Sub-                            </t>
  </si>
  <si>
    <t xml:space="preserve"> CMO-COMMUNITY AFFAIRS DIVISION P.R. No. : 2020-06-2583 Date: 06/22/2020 1 20 sack RICE, high grade , at least 50kg/sack 50,000.00 2 1 box Corned Beef 150grams,100s/box 2,950.00</t>
  </si>
  <si>
    <t xml:space="preserve"> Republic of the Philippines Province of Iloilo Municipality of Lambunao Office of the Bids &amp; Awards Committee REQUEST FOR PRICE QUOTATION Name of Project: Purchase of Fuel &amp; Oil for the Concreting of Municipal Streets (DELMES Access Roa &amp; New Govt Center)</t>
  </si>
  <si>
    <t xml:space="preserve"> 222.75 SQ.M. CLEARING WITH STRIPPING &amp; DISPOSAL 164.41 CU.M. EXCAVATION/SCRAPING WITH DISPOSAL 310.00 SQ.M. SUB-GRADE PREPARATION 31.00 CU.M. AGGREGATE BASE COURSE 310.00 SQ.M. PCCP, t=200mm 94.88 CU.M. STONE MASONRY 1.00 L.S. PROJECT BILLBOARD 1.00 L.S. </t>
  </si>
  <si>
    <t xml:space="preserve"> Please see "associated component" for the specifications Automatic Hand Sanitizer Dispenser - 25 pcs Digital Non Contact Thermometer - 20 pcs Trash Bin - 50 pcs</t>
  </si>
  <si>
    <t xml:space="preserve"> 2 Units- Construction of 15mx30mx100mm multi purpose pavement with 5mx8.5m. Storage Facilities.</t>
  </si>
  <si>
    <t xml:space="preserve"> Supply and Delivery of  Distal Femoral Locking Plate System Appropriate for femur of the patient (from 8 to 12 holes)  Distal Femoral Locking Plate System Appropriate for femur of the patient (from 8 to 12 holes) Set should include instrumentation and dri</t>
  </si>
  <si>
    <t xml:space="preserve"> Contract ID: 20CD0022 (CS)      Contract Name:   Consulting Services for the Geological and Geotechnical   Surveys /                                       Investigations for the FY 2021 Proposed Various Projects of Sub-                                    </t>
  </si>
  <si>
    <t xml:space="preserve"> METRO BANGUED WATER DISTRICT							 Bangued, Abra							 							 PURCHASE REQUEST							 							 DIVISION: 	TECHNICAL						 PR No.     : 	20-07-074						 DATE       : 	1-Jul-20						 							 Item No.	Description	Qty	Unit	 Unit Cost 	 Amount 		 							 1	 </t>
  </si>
  <si>
    <t xml:space="preserve"> The Cagayan State University of Gonzaga Campus intends to apply the sum of One Hundred Eight Thousand 00/100 pesos (180,000.00) being approved Budget for the contract (ABC) for the payment of seedlings for NIPA Project (2020-06-0234). Bids received in exc</t>
  </si>
  <si>
    <t xml:space="preserve"> unit	Laptop				1 	2.9 GHz -4.2 GHz Processor				 	ITB HDD				 	4GB DDR4 RAM				 	WLAN &amp; Bluetooth				 	14" HD LED				 	Window 10 Home				 pcs.	Office Chairs				8</t>
  </si>
  <si>
    <t xml:space="preserve"> PHSA Form No. 24			 			 (Revised August 23, 2017)						 						 						 						 						 						 						 REQUEST FOR QUOTATION						 					Date:  ______________________	 Company Name: _______________________________						 Address: ________________________________</t>
  </si>
  <si>
    <t xml:space="preserve"> Fuel for Home Visitation		        4      unit Alcohol, ethyl, 500 ml			       90	bottle Acetate, 0.75mm				2	roll Note Pad, 50mmx76mm			12	pad Multi-purpose Paper, A4		        55	ream Multi-purpose Paper, legal			105	ream Record book, 300 pages			24	book </t>
  </si>
  <si>
    <t xml:space="preserve"> Contract ID: 20CD0024 (CS)      Contract Name:   Package 4                                       a) Consulting Services for the Geological and Geotechnical   Surveys /                                       Investigations for the Proposed Various Projects </t>
  </si>
  <si>
    <t xml:space="preserve"> To support the procurement of Twelve (12) ea Bush with PN: 1/N-41-615/APE41615 for use in the Unscheduled Maintenance of N-22 Aircraft with Tail Nr C-68.</t>
  </si>
  <si>
    <t xml:space="preserve"> brgy annual budget 2020 opening of bids july 13, 2020 at 2pm</t>
  </si>
  <si>
    <t xml:space="preserve"> ASSORTED DRUGS &amp; MEDICINE</t>
  </si>
  <si>
    <t xml:space="preserve"> Contract ID: 20CD0026 (CS)       Contract Name:   Conduct of Topographic &amp; Parcellary Survey of the Proposed ByPasses/                                       Diversion Roads, Bulacan      Contract Location			:  Bulacan      Approved Budget for the Contract</t>
  </si>
  <si>
    <t xml:space="preserve"> see attach file</t>
  </si>
  <si>
    <t xml:space="preserve"> Republic of the Philippines								 Province of Ilocos Norte								 Municipality of Paoay								 								 REQUEST FOR QUOTATION								 								 					Date:		7/4/2020	 					Qoutation No:		2020-140	 THE MANAGER				 				 								 								 								         </t>
  </si>
  <si>
    <t xml:space="preserve"> Republic of the Philippines								 Province of Ilocos Norte								 Municipality of Paoay								 								 REQUEST FOR QUOTATION								 								 					Date:		7/4/2020	 					Qoutation No:		2020-121	 THE MANAGER				 				 								 								 								         </t>
  </si>
  <si>
    <t xml:space="preserve"> City of Guihulngan Bids and Awards Committee  Tel. (035) 410 – 4198  P.R. No. : 2020 – 06 - 2008 P.R. Date: 06 – 23 – 2020 REQUEST FOR QUOTATION Please quote your lowest price on the item/s listed below, subject to the General Conditions below, stating th</t>
  </si>
  <si>
    <t xml:space="preserve"> Republic of the Philippines Province of Batangas Municipality of San Juan BIDS AND AWARDS COMMITTEE INVITATION TO APPLY FOR ELIGIBILITY AND TO BID THE LOCAL GOVERNMENT UNIT OF BRGY. QUIPOT,  SAN JUAN, BATANGAS, through its Bids and Awards Committee (BAC),</t>
  </si>
  <si>
    <t xml:space="preserve"> Please download Associated Components “Request for Quotation” at www.philgeps.gov.ph or www.cagayandeoro.da.gov.ph &amp; send your sealed quotation by fastest means or drop your sealed quotation reflecting PR Number at the quotation box provided by BAC</t>
  </si>
  <si>
    <t xml:space="preserve"> SHOPPING The municipal government of Romblon through its Bids and Awards Committee (BAC) invites PhilGEPS registered suppliers to apply for quotation on the Materials for Rehabilitation of Old Municipal Building Roofing</t>
  </si>
  <si>
    <t xml:space="preserve"> 5 02 03 210-02-Semi-Expendable Office Equipment 1	unit	Colored Printer (3-in-1) Branded,Good Quality 		5 02 03 220-01- Semi-Expendable Furniture &amp; Fixtures 1	unit	Conference table, 8 seater (Wooden) 8	unit	Offfice Chair (Swivel) 1	unit	Steel Cabinet (Fire</t>
  </si>
  <si>
    <t xml:space="preserve"> BRGY AB 2019 Opening of Bids     July 14, 2020 at 1pm</t>
  </si>
  <si>
    <t xml:space="preserve"> EQUIPMENT RENTAL</t>
  </si>
  <si>
    <t xml:space="preserve"> INVITATION TO QUOTE Date:  July 03, 2020 1.	The Provincial Government of Davao del Sur, through its Bids and Awards Committee (BAC), invites all interested bidders/suppliers to quote for the following goods under Alternative Methods of Procurement (Small </t>
  </si>
  <si>
    <t xml:space="preserve"> for Emergency and Rescue Operation of MDRRM Office. LGU Nabua, Camarines Sur</t>
  </si>
  <si>
    <t xml:space="preserve"> 125 pcs Flu Vaccine</t>
  </si>
  <si>
    <t xml:space="preserve"> For Laboratory Clinical Chemistry Machine</t>
  </si>
  <si>
    <t xml:space="preserve"> Republic of the Philippines										 Province of Misamis Oriental										 CITY OF EL SALVADOR										 										 REQUEST FOR QUOTATION										 										 							No.	2020-05-533		 										 										 										 										 	Please quote your price </t>
  </si>
  <si>
    <t xml:space="preserve"> Purchase of Rice for MPOC.</t>
  </si>
  <si>
    <t xml:space="preserve"> Various medicines</t>
  </si>
  <si>
    <t xml:space="preserve"> Supply, delivery and installation of Airconditioning Units.</t>
  </si>
  <si>
    <t xml:space="preserve"> Republic of the Philippines								 Province of Ilocos Norte								 Municipality of Paoay								 								 REQUEST FOR QUOTATION								 								 					Date:		7/4/2020	 					Qoutation No:		2020-148	 THE MANAGER				 				 								 								 								         </t>
  </si>
  <si>
    <t xml:space="preserve"> Furnish of Survey Equipments ; 3pcs Fiber Glass Measuring Tape(50m), 3pcs Fiber Glass  Measuring Tape(100m), 4pcs Stadia Road(5M)</t>
  </si>
  <si>
    <t xml:space="preserve"> Provision of Snacks and Lunch for the conduct of LSBs, NGOs &amp; other meetings of the LGU for July to September 2020</t>
  </si>
  <si>
    <t xml:space="preserve"> PACKAGE III— CONSTRUCTION OF GOAT HOUSE    Bill of Quantities Item No. 	 Description	 % of Total	 Unit	 Quantity I	Site Works	.60	Sq.m.	30.0 II	General Requirements	2.7	lot	1.0 III	Form Works	12.7	Sq.m.	35.0 IV	Concrete Works	22.5	Cu.m.	4.65 V	Painting Wo</t>
  </si>
  <si>
    <t xml:space="preserve"> Please see "associated component" for the specifications</t>
  </si>
  <si>
    <t xml:space="preserve"> ITEM NO.	   DESCRIPTION	 QTY. 	UNIT			 .(1)	                  (2)	 .                 (3) 	.(4) B.2	Project Billboard/Signboard	 1.00 	each 800.a	Site Clearing &amp; Laying-Out	 850.00 	sq.m. 803(1)c	Structure Excavation (Soft Rock)	 60.00 m³ 804 (1) b	Embankm</t>
  </si>
  <si>
    <t xml:space="preserve"> Procurement/installation of solar lighting system</t>
  </si>
  <si>
    <t xml:space="preserve"> Contract ID: 20CD0025 (CS)       Contract Name:   Package 4                                       a) Consulting Services for the Geological and Geotechnical   Surveys /                                       Investigations for the FY 2021 Proposed Various </t>
  </si>
  <si>
    <t xml:space="preserve"> Consumable Supplies like bondpaper, alcohol, Epson Ink, Folder, CD, alcohol, face masks</t>
  </si>
  <si>
    <t xml:space="preserve"> REQUEST FOR QUOTATION TO: ALL BIDDERS/SUPPLIERS The Games and Amusements Board (GAB) through its Bids and Awards Committee (BAC) will undertake a Small Value Procurement in accordance with Section 53.9 of the 2016 Revised Implementing Rules and Regulation</t>
  </si>
  <si>
    <t xml:space="preserve"> Supply and delivery of medical supplies.</t>
  </si>
  <si>
    <t xml:space="preserve"> 1.	2	gallon/s	Betadine Antiseptic 7.5% 2.	30	bottle/s	Alcohol 70% 500ml 3.	3	box/es	Chromic 1-0 x 12 4.	3	box/es	Chromic 2-0 x 12 5.	5	box/es	Cord Clamp x 100 6.	50	box/es	Face Mask 7.	3	box/es	Foley Catheter fr 14 x 10 8.	5	box/es	Foley Catheter fr 16 x </t>
  </si>
  <si>
    <t xml:space="preserve"> Project Description: 1- Unit Intake Box, 1- Units 15cu.m. Reservoir Ground Tank and 3 units Pressure breaker</t>
  </si>
  <si>
    <t xml:space="preserve"> Procurement of Consultancy Services For ISO9001:2015 Training and Technical Guidance for CBAA officials and personnel. Terms of Reference I. RATIONALE and OBJECTIVE In line with the Philippine government’s program to promote efficiency and responsiveness,</t>
  </si>
  <si>
    <t xml:space="preserve"> The City Government of Santiago invites interested parties to submit price quotation for the “SUPPLY AND DELIVERY OF CONSTRUCTION MATERIALS FOR REPAIR AND MAINTENANCE OF SCHOOL BUILDINGS (CLASSROOM WINDOW)“ City Hall, Santiago City, details as follows: AB</t>
  </si>
  <si>
    <t xml:space="preserve"> Title: 2020 CPH Information Drive – CPH Tarpaulin Date of Event: July 3, 2020 Other Office Supplies 2020 CPH Tarp - 8" X 4"                  **nothing follows**</t>
  </si>
  <si>
    <t xml:space="preserve"> Title: Procurement of 3,000 Piece Seedling Tray for Rice Transplanter, etc. under P.R No. 2548-2020 - Office of the City Agriculturist. Total ABC: Php 678,000.00 (INSTRUCTION AS TO THE REQUIRED FORM: For your price quotation, please use the attached Reque</t>
  </si>
  <si>
    <t xml:space="preserve"> Sir/Madam:					      The Bureau of Communications Services would like to request for a quotation for the following item with ABC of P24,000.00					                     					 Qty.	Unit				 					 40	reams	NEWSPRINT 52LBS 22"X29"			 		(for BALITA CENTRAL 4TH</t>
  </si>
  <si>
    <t xml:space="preserve"> 1	unit	Laptop 10th Generation Intel core i5 to i7 graphics-intel iris plus graphics ram-16GB		 1	unit	Vacuum cleaner,heave duty		 6	unit	Air purifier,90W,230V,60Hz		 		***nothing follows***</t>
  </si>
  <si>
    <t xml:space="preserve"> BRGY BUDGET Opening of Bids     July 14, 2020 at 3pm</t>
  </si>
  <si>
    <t xml:space="preserve"> 50203990-00 Other Supplies and Materials Expenses 500	piece	Diploma Jacket 5	piece	Frame (for certificate) 500	piece	Gold Seal 13	piece	Medals 3000	piece	Transcript of Record (TOR), body 1500	piece	Transcript of Record (TOR), front 		50203220-01 Semi-Expe</t>
  </si>
  <si>
    <t xml:space="preserve"> Interested bidders are requested to pre-qualify and to bid for the supply of Medicine</t>
  </si>
  <si>
    <t xml:space="preserve"> Please quote your lowest price on Supply and Delivery of One (1) Lot Corn seeds with Fertilizer, Insecticide and Fungicide listed below, and submit your quotation duly signed by your authorized representative not later than 09:15AM on July 08, 2020 at the</t>
  </si>
  <si>
    <t xml:space="preserve"> LABOR</t>
  </si>
  <si>
    <t xml:space="preserve"> Republic of the Philippines								 Province of Ilocos Norte								 Municipality of Paoay								 								 REQUEST FOR QUOTATION								 								 					Date:		7/4/2020	 					Qoutation No:		2020-150	 THE MANAGER				 				 								 								 								         </t>
  </si>
  <si>
    <t xml:space="preserve"> To be used for the continuous endeavor to control, contain and/or mitigate the spread of COVID-19. 1 unit Anti-Epidemic Monitoring Work Station Functions: * automatic body temperature detection * automatic mask wearing recognition * automatic hand inducti</t>
  </si>
  <si>
    <t xml:space="preserve"> REQUEST FOR QUOTATION Name of Project: Office Supplies and Materials for the 1st and 2nd Quarters of 2020 ABC: P402,978.00 Delivery Terms: 10 Calendar days Submission of Quotation: July 8, 2020 @ 4:00pm For inquiry, you may contact us at Cell Number 0917-</t>
  </si>
  <si>
    <t xml:space="preserve"> REQUEST FOR QUOTATION (Lease of Office Space for GAB BACOLOD Field Office  for August to December 31, 2020) The Games and Amusements Board (GAB) hereinafter referred to as “the Lessee”, through its Bids and Awards Committee (BAC), invite interested partie</t>
  </si>
  <si>
    <t xml:space="preserve"> 60 piece Large Plastic Storage Utility Box</t>
  </si>
  <si>
    <t xml:space="preserve"> BIDS AND AWARDS COMMITTEE ATTENTION:		ALL INTERESTED BIDDERS 			 SUBJECT:	INVITATION TO BID –   Procurement of Equipment for Learning Management System Deployment DATE:	July 2, 2020 - - - - - - - - - - - - - - - - - - - - - - - - - - - - - - - - - - - - -</t>
  </si>
  <si>
    <t xml:space="preserve"> Tire 7.00x15 w/flap &amp; inner tube		sets	8 Oil filter					Pc	1 Fuel filter					Pc	1 Brake fluid (900ml)					Bot	6 Grease 					Qtrs	4 ATF					Ltrs	6</t>
  </si>
  <si>
    <t xml:space="preserve"> Supply and delivery of medicines.</t>
  </si>
  <si>
    <t xml:space="preserve"> Contract ID: 20CD0021 (CS)      Contract Name:   Consulting Services for the Geological and Geotechnical   Surveys /                                       Investigations for the FY 2021 Proposed Various Projects of Sub-                                    </t>
  </si>
  <si>
    <t xml:space="preserve"> Construction of 36M x 18M Covered Court with Stage and Other Social Service Offices</t>
  </si>
  <si>
    <t xml:space="preserve"> 12 mos Airtime Fee</t>
  </si>
  <si>
    <t xml:space="preserve"> 5 bottles  Ink Toner TN 118 5 bottles Ink  Toner 116 10 bottles Ink Toner 37A 20 pieces Ink Deskjet #678 (Black) cartridge 20 pieces Ink Deskjet #678 (Colored) cartridge 20 pieces Ink Deskjet #46 (Black) cartridge 20 pieces Ink Deskjet #46 (Colored) cartr</t>
  </si>
  <si>
    <t xml:space="preserve"> INVITATION TO APPLY FOR ELIGIBILITY AND TO BID 	The local Government Unit of Can-avid, through is Bid and Awards Committee (BAC). Invites suppliers to apply for eligibility, to bid for the hereunder contract: Name of Contract:      CONCRETING OF BARANGAY </t>
  </si>
  <si>
    <t xml:space="preserve"> Procurement of Office Laptops and other devices used for the Upgrading of Office Desktops Computer Laptops Quantity= 12 i7 Processor RAM 16GB or Bigger 512 SSD Storage Video Card NVDIA GeForce MX230-250 GB or Equivalent With infrared Camera Windows 10 Hom</t>
  </si>
  <si>
    <t xml:space="preserve"> 300 ampule Diazipam 5mg/ml amp. 2ml 200 ampule Phenobarbital 130mg/ml</t>
  </si>
  <si>
    <t xml:space="preserve"> ITEM NO.	DESCRIPTION	   Qty	Statement of Compliance 	Assorted Lowland  Vegetable Seeds		 1	Hybrid Ampalaya @ 50g/can	800 cans	 2	Hybrid Squash @ 50g/can	800 cans	 3	Hybrid Cucumber @ 50g/can	800 cans	 4	OP Upo @ 50g/can	750 cans	 5	Hybrid Eggplant @ 50g/c</t>
  </si>
  <si>
    <t xml:space="preserve"> INVITATION TO BID The Provincial Government of Occidental Mindoro through its Bids and Awards Committee (BAC) invites all interested contractors to apply for eligibility and to bid for the following projects: Reference No.	Name of Project	Location	Brief D</t>
  </si>
  <si>
    <t xml:space="preserve"> Spare parts Labor</t>
  </si>
  <si>
    <t xml:space="preserve"> Republic of the Philippines DEPARTMENT OF TOURISM REGION 8 REQUEST FOR QUOTATION Date: 03 July 2020 RFQ No.: TISP-07-00 Name of Company: _	______________________________________	_____________  Address: _____________________________________________________</t>
  </si>
  <si>
    <t xml:space="preserve"> The Cagayan State University is pleased to invite you to quote your lowest price on the item/s attached herewith, stating the shortest time of delivery and submit your quotation duly signed by you, or by your authorized representative.</t>
  </si>
  <si>
    <t xml:space="preserve"> BRGY SB BUDGET 2019 Opening of Bids   July 14, 2020 at 1pm</t>
  </si>
  <si>
    <t xml:space="preserve"> Repair and Maintenance of Service Vehicle with plate no. SKA 758 (please refer to the attached RFQ for list of spare parts)</t>
  </si>
  <si>
    <t xml:space="preserve"> DESCRIPTION LOCAL GOVERNMENT UNIT - MUNICIPALITY OF BACOLOR INVITATION TO APPLY FOR ELIGIBILITY AND TO BID The Local Government Unit - Municipality of Bacolor, Bacolor, Pampanga, through the Bids and Award Committee (BAC), invites contractors to apply for</t>
  </si>
  <si>
    <t xml:space="preserve"> Republic of the Philippines Province of Davao Oriental CITY OF MATI REQUEST FOR QUOTATION 			 Date:	30 JUNE 2020 RFQ No.:	0848-2020 Name of Company: __________________________________________________________________________________________________________</t>
  </si>
  <si>
    <t xml:space="preserve"> Republic of the Philippines Province of Davao Oriental CITY OF MATI REQUEST FOR QUOTATION 			 Date:	30 JUNE 2020 RFQ No.:	0853-2020 Name of Company: __________________________________________________________________________________________________________</t>
  </si>
  <si>
    <t xml:space="preserve"> 2 units UV Light 4 bulb 30W Size: Preferably 56”H, 7 ½”W 360 degrees range of disinfection  Locally made ABC: Php 58,000.00 1 unit Pharmaceutical Refrigerator (Medicine and Vaccine) Atleast 4-6cu.ft  Glass Door With Built in Thermometer ABC: Php 35,480.00</t>
  </si>
  <si>
    <t xml:space="preserve"> ALCOHOL, ethyl, 68%-70%, scented, 500ml (-5ml)		288	bottle PAPER, Multi-Purpose (COPY) A4, 70 gsm				28	ream PAPER, Multi-Purpose (COPY) Legal, 70 gsm				14	ream Light Bulb, LED, 7 watts 1 pc in individual box			4	 piece  DETERGENT BAR, 140 grams as packe</t>
  </si>
  <si>
    <t xml:space="preserve"> Republic of the Philippines Province of Bohol Municipality of Maribojoc BIDS AND AWARDS COMMITTEE INVITATION TO BID The Municipality of Maribojoc, Bohol invites duly interested Suppliers /Contractors/Distributors who met the  following criteria, to apply </t>
  </si>
  <si>
    <t xml:space="preserve"> Grocery Items</t>
  </si>
  <si>
    <t xml:space="preserve"> I. Billboard (Tarpaulin w/ Frame) II. Removal of Structure and Obstruction III. Sub-Grade Preparation IV. Portland Cement Concrete Pavement V. Structure Excavation VI. Rebars/ Steel Works VII. Concrete Works 1. The bid document is available at Barangay Ba</t>
  </si>
  <si>
    <t xml:space="preserve"> see attached document xxxxxxxxxxxxxxxx</t>
  </si>
  <si>
    <t xml:space="preserve"> To support the procurement of one (1) ea Radio Control Panel with PN: PA41C for use in the Unscheduled Maintenance of F-27 Aircraft with Tail Nr 10620.</t>
  </si>
  <si>
    <t xml:space="preserve"> Desktop Computer OS: Windows 10 Pro Licensed Intel Core i7-8thy. Gen Processor 8gb DDR4 Memory 500GB SSD 1 TB HDD 21" Monitor keyboard and mouse, UPS 650 VA NOTE: ALL NEW SUPPLIER ARE REQUIRED TO SUBMIT THE FOLLOWING DOCUMENT. 1. DTI Registration 2. SEC R</t>
  </si>
  <si>
    <t xml:space="preserve"> Republic of the Philippines Province of Davao Oriental CITY OF MATI REQUEST FOR QUOTATION 			 Date:	30 JUNE 2020 RFQ No.:	0843-2020 Name of Company: __________________________________________________________________________________________________________</t>
  </si>
  <si>
    <t xml:space="preserve"> Delivery of Construction Materials</t>
  </si>
  <si>
    <t xml:space="preserve"> INVITATION TO BID Supply and delivery of one (1) lot Various DRUGS AND MEDICINES for 2nd Qtr requirement of the Health Enhancement Program of the City Health Office chargeable against the GENERAL FUND CY2020	 Interested bidder/supplier must be able to log</t>
  </si>
  <si>
    <t xml:space="preserve"> Title: Procurement of 2,500 Piece Empty Box, with Print ("Family Food Packs and Butuan on Branding") under P.R No. 2594-2020- 5% City Disaster Risk Reduction and Management Fund. Total ABC: Php 125,000.00 (INSTRUCTION AS TO THE REQUIRED FORM: For your pri</t>
  </si>
  <si>
    <t xml:space="preserve"> SUPPLY AND DELIVERY OF HOSPTIAL SUPPLIES FOR COVID-19</t>
  </si>
  <si>
    <t xml:space="preserve"> *Please see attached RFQ</t>
  </si>
  <si>
    <t xml:space="preserve"> QUANTITY              UNIT                      DESCRIPTION 1                           UNIT                       CLOSED VAN DELUXE 2.8 L DSL MT                                                            (AMBULANCE) BRANDNEW TO BE USE FOR THE MUNICIPALIT</t>
  </si>
  <si>
    <t xml:space="preserve"> Communication Equipment</t>
  </si>
  <si>
    <t xml:space="preserve"> Please also see attached. INVITATION TO BID Supply, Delivery and Testing of Mobile Rice Mills (PHilMech RCEF 20-06-08) 1. The Philippine Center for Postharvest Development and Mechanization (PHilMech) through its FY 2019 &amp; FY 2020 Rice Competitive Enhance</t>
  </si>
  <si>
    <t xml:space="preserve"> 8 pcs.    P120100F (H120 x 100Wcm)             Full Fabric Partition  20 pcs   P12060F   (H120 x 60Wcm)               Full Fabric Partition  16 pcs   PT-100 x 60cm- Workshop Table        Light Graycolor Table Top                  Supervisor  1 pc       P1</t>
  </si>
  <si>
    <t xml:space="preserve"> Various Materials Office of the Mayor</t>
  </si>
  <si>
    <t xml:space="preserve"> INVITATION TO BID The City Government of Pasay, through its Bids and Awards Committee (BAC) invites suppliers/manufacturers/distributors/contractors to apply and submit sealed bids for the supply and delivery of the following: Supply and delivery of one (</t>
  </si>
  <si>
    <t xml:space="preserve"> Title: Procurement of 1 unit Motorcycle under P.R.No. 4836-2019-CMO-Aquisition of Motor Vehicle. Total ABC: Php 100,000.00 (INSTRUCTION AS TO THE REQUIRED FORM: For your price quotation, please use the attached Request for Quotation (RFQ) Form and send to</t>
  </si>
  <si>
    <t xml:space="preserve"> Republic of the Philippines Province of Davao Oriental CITY OF MATI REQUEST FOR QUOTATION 			 Date:	30 JUNE 2020 RFQ No.:	0846-2020 Name of Company: __________________________________________________________________________________________________________</t>
  </si>
  <si>
    <t xml:space="preserve"> INVITATION TO BID FOR THE PROCUREMENT OF HAULING OF HAZARDOUS (PATHOLOGICAL/INFECTIOUS) WASTE M501 SERVICES 1.	The Cagayan Valley Medical Center (CVMC), through the (INCOME) intends to apply the sum of ONE MILLION FOUR HUNDRED THOUSAND PESOS (Php 1,400,00</t>
  </si>
  <si>
    <t xml:space="preserve"> Republic of the Philippines Province of Davao Oriental CITY OF MATI REQUEST FOR QUOTATION 			 Date:	30 JUNE 2020 RFQ No.:	0845-2020 Name of Company: __________________________________________________________________________________________________________</t>
  </si>
  <si>
    <t xml:space="preserve"> Invitation to Bid for Construction of 1-Unit Health Center with Amenities 1.	The Barangay Government of Makalangot, through the Trust Fund intends to apply the sum of One Million Three Hundred Sixty Seven Thousand Seven Hundred Ninety Three Pesos Only (Ph</t>
  </si>
  <si>
    <t xml:space="preserve"> Republic of the Philippines Province of Quirino MUNICIPALITY OF CABARROGUIS OFFICE OF THE BIDS AND AWARDS COMMITTEE Invitation to Bid for the  Construction of Concrete Road Canal at Purok 2, Gomez, Cabarroguis, Quirino 1.	The Local Government Unit of Caba</t>
  </si>
  <si>
    <t xml:space="preserve"> DOORS &amp; WINDOWS TINNERY WORKS CARPENTRY WORKS</t>
  </si>
  <si>
    <t xml:space="preserve"> Republic of the Philippines Province of Davao Oriental CITY OF MATI REQUEST FOR QUOTATION 			 Date:	30 JUNE 2020 RFQ No.:	0847-2020 Name of Company: __________________________________________________________________________________________________________</t>
  </si>
  <si>
    <t xml:space="preserve"> 30 pcs Ink cart. 810 black 40 pcs Ink cart. 811 colored 45 btls. Ink T6641 black 30 btls. Ink T6642 cyan 30 btls. Ink T6643 magenta 30 btls. Ink T6644 yellow 20 pcs Toner cart. TN2260 10 pcs Drum 2255</t>
  </si>
  <si>
    <t xml:space="preserve"> "Hammer  *Forged High-Carbon Steel Head; Smooth Face; 16 Oz; Wood Handle" "Saw Crosscut saw; 8 points per inch; 18 in. length / 450 mm; hardwood handle" "Garden Shredder *heavy duty " "Fire Extiguisher -Dry Chemical Capacity:10 Lbs  Operating Pressure: 13</t>
  </si>
  <si>
    <t xml:space="preserve"> Republic of the Philippines Province of Oriental Mindoro MUNICIPALITY OF PINAMALAYAN OFFICE OF THE BIDS AND AWARDS COMMITTEE Invitation to Bid ITB-2020-25 1.  The Municipal Government of Pinamalayan, Oriental Mindoro, through the authorized appropriations</t>
  </si>
  <si>
    <t xml:space="preserve"> H E A D Q U A R T E R S								 108TH CONTRACTING OFFICE								 ARMED FORCES OF THE PHILIPPINES PROCUREMENT SERVICE								 Camp Lukban, Catbalogan City								 								 108COX						Date:	3-Jul-20	 								 REQUEST FOR QUOTATION								 								 SIR/MADA</t>
  </si>
  <si>
    <t xml:space="preserve"> Region IV - MIMAROPA					 PAG-ASA CENTRAL SCHOOL					 SAN JOSE WEST DISTRICT					 					  QUOTATION FORM					 			PR. NO.		 Package:					 Supplier:					 Address:					 Tel No :					 Name of  Supplier /					 Representative &amp; Signature :_______________________</t>
  </si>
  <si>
    <t xml:space="preserve"> Various Materials  Sangguniang Bayan Office</t>
  </si>
  <si>
    <t xml:space="preserve"> INVITATION TO BID The City Government of Pasay, through its Bids and Awards Committee (BAC) invites suppliers/manufacturers/distributors/contractors to apply and submit sealed bids for the supply and delivery of the following: Proposed FOOD SUPPLIES for t</t>
  </si>
  <si>
    <t xml:space="preserve"> The Isabela State University invites registered contractors/ suppliers/bidders to submit bid proposals/ price quotation of the items listed in the attached RFQ/RFP. Submit your proposals/ quotation duly signed by you or your duly authorized representative</t>
  </si>
  <si>
    <t xml:space="preserve"> Vehicle Parts and Accessories</t>
  </si>
  <si>
    <t xml:space="preserve"> Consultancy Services for the Monitoring of Quality Management System (QMS) in accordance with ISO9001:2015 Certification</t>
  </si>
  <si>
    <t xml:space="preserve"> INVITATION TO BID The City Government of Pasay, through its Bids and Awards Committee (BAC) invites suppliers/manufacturers/distributors/contractors to apply and submit sealed bids for the supply and delivery of the following: Proposed Rehabilitation, Ren</t>
  </si>
  <si>
    <t xml:space="preserve"> Republic of the Philippines Province of Quirino MUNICIPALITY OF CABARROGUIS OFFICE OF THE BIDS AND AWARDS COMMITTEE Invitation to Bid for the  Repair of Hanging Foot Bridge at Villarose, Cabarroguis, Quirino 1.	The Local Government Unit of Cabarroguis, Qu</t>
  </si>
  <si>
    <t xml:space="preserve"> SUPPLY AND DELIVERY OF OFFICE SUPPLIES DENR8- OOSS,OSS,ASCS,LRS for Technical Services  ABC= Php89,031.36 1	Alcohol, ethyl, 68% - 70%., scented, 500ml (-5ml)	100	‘btls. 2	Recordbook, 300 pages, size: 214mm x 278mm min	25	‘book 3	Recordbook, 500 pages, siz</t>
  </si>
  <si>
    <t xml:space="preserve"> 1 pc Mixer (with USB 2.0) 1 pc Headset (Production type) 1 pc Microphone (for vocal), dynamic 1 pc Microphone (for vocal), condenser 1 pc Microphone (instrumental), dynamic</t>
  </si>
  <si>
    <t xml:space="preserve"> Republic of the Philippines Province of Davao Oriental CITY OF MATI REQUEST FOR QUOTATION 			 Date:	30 JUNE 2020 RFQ No.:	0844-2020 Name of Company: __________________________________________________________________________________________________________</t>
  </si>
  <si>
    <t xml:space="preserve"> Download attached Request for Quotation (RFQ) and submit to: Anselmo Baldoza Maño City Procurement Officer City Government of Naga Trunk line (054) 2052980 local# 1070 Email: bac@naga.gov.ph/ cpo@naga.gov.ph 1. PhilGEPS Closing Date/Time will be basis for</t>
  </si>
  <si>
    <t xml:space="preserve"> Republic of the Philippines Province of Oriental Mindoro MUNICIPALITY OF PINAMALAYAN OFFICE OF THE BIDS AND AWARDS COMMITTEE Invitation to Bid ITB-2020-24 1.  The Municipal Government of Pinamalayan, Oriental Mindoro, through the authorized appropriations</t>
  </si>
  <si>
    <t xml:space="preserve"> Supply and delivery of office supplies and equipments.</t>
  </si>
  <si>
    <t xml:space="preserve"> I. Billboard (Tarpaulin w/ Frame) II. Clearing and Grubbing III. Excavation Works IV. Formworks/ Scaffoldings V. Rebars VI. Concrete Works VII. Masonry Works VIII. Plastering Works IX. Steelworks 1. The bid document is available at Barangay Banengbeng Mul</t>
  </si>
  <si>
    <t xml:space="preserve"> 5020321002-Semi Expandable Office Equipment 1	unit	Adding Machine 		*Heavy duty machine HR150RC, Good quality 		*14 Digit 1	unit	Colored Printer 3 in 1 		*1440 dpi x 720 dpl (with variable sized droplet technology) 		*360 nozzle black 		*optical resolutio</t>
  </si>
  <si>
    <t xml:space="preserve"> The City Government of Santiago invites interested parties to submit price quotation for the “SUPPLY AND DELIVERY OF CONSTRUCTION MATERIALS FOR REPAIR AND MAINTENANCE OF SCHOOL BUILDINGS (ELECTRICAL WIRINGS)“ City Hall, Santiago City, details as follows: </t>
  </si>
  <si>
    <t xml:space="preserve"> Please submit your quotation to the END-USER based on the attached RFQ. For further details please contact 0995-852-8460</t>
  </si>
  <si>
    <t xml:space="preserve"> Title: Procurement of 50 Unit Knapsack Sprayer, etc. under P.R No. 2546-2020 -Office of the City Agriculturist. Total ABC: Php 354,820.00 (INSTRUCTION AS TO THE REQUIRED FORM: For your price quotation, please use the attached Request for Quotation (RFQ) F</t>
  </si>
  <si>
    <t xml:space="preserve"> Construction  Project Improvement of Main MRF Building</t>
  </si>
  <si>
    <t xml:space="preserve"> 600 pcs.  hollow block 4"   60 pcs.  RSB 12 mm 120 pcs.  RSB 10 mm   12 cu. meters gravel   12 cu meters sand   15 kls. tie wire #16 140 bags cement    4 pcs. marine plywood 3/8x4x8  50 pcs. coco lumber 2x2x8    5 kls. common nails 4"    3 kls. common nai</t>
  </si>
  <si>
    <t xml:space="preserve"> Purchase of IT Equipment for Map Computerization</t>
  </si>
  <si>
    <t xml:space="preserve"> 80 reams Bond paper A4 105 pcs Ballpen black 6 pcs Clip board A4 7 pcs Clip board long or equivalent</t>
  </si>
  <si>
    <t xml:space="preserve"> Republic of the Philippines Province of Quirino MUNICIPALITY OF CABARROGUIS OFFICE OF THE BIDS AND AWARDS COMMITTEE Invitation to Bid for the  Construction of Material Recovery Facilities at Cabarroguis, Quirino 1.	The Local Government Unit of Cabarroguis</t>
  </si>
  <si>
    <t xml:space="preserve"> Republic of the Philippines          City of Dumaguete Bids and Awards Committee INVITATION TO BID FOR PURCHASE REQUEST OF 16 CU.M SAND STD. SPECS AND OTHER ITEMS 	The City of Dumaguete thru its BIDS AND AWARDS COMMITTEE (BAC), invites all interested manu</t>
  </si>
  <si>
    <t xml:space="preserve"> 200 PIECES FACE MASK NOTE: FOR OFFICIAL USE OF CDD.</t>
  </si>
  <si>
    <t xml:space="preserve"> Republic Of  the Philippines Province Of Agusan del Norte    Municipality of Carmen         REQUEST FOR QUOTATION Procurement of Hazmat Personal Protective Equipment Suit The Local Government of Carmen, Agusan del Norte, through Bids and Awards Committee </t>
  </si>
  <si>
    <t xml:space="preserve"> Republic of the Philippines Province of Quirino MUNICIPALITY OF CABARROGUIS OFFICE OF THE BIDS AND AWARDS COMMITTEE Invitation to Bid for the  Construction of Composting Building at Sanitary Landfill, Gundaway, Cabarroguis, Quirino 1.	The Local Government</t>
  </si>
  <si>
    <t xml:space="preserve"> Item No. Qty. Unit of Issue Item Description 1	113	TIES	COFFE TWIN PACK	 2	461	BAGS	ASSORTED BISCUITS	 3	74	CASES	NATURES SPRING 500ML	 4	10	BAGS	ASSORTED CANDY	 5	20	BOX	BAOMA	 6	20	KLS	BROWN SUGAR	 7	24	PCS	DISHWASHING PASTE 400G	 8	2	GAL.	CATSUP(4KG)	 </t>
  </si>
  <si>
    <t xml:space="preserve"> This project entails purchase of office equipment for use at Mayor's office.</t>
  </si>
  <si>
    <t xml:space="preserve"> 1   150 PAX (1 MEAL &amp; 2 SNACKS) FAMILY SERVING AMENITIES: *WITH TABLES AND CHAIRS 150 WITH ALL COVERED(CHAIRS IN WHITE AND ETHNIC DESIGNS FOR TABLE CLOTH) *WITH TABLE SKIRTING *WITH WAITERS *WITH 150 BOTTLED WATER AND UNLIMITTED DISTILLED WATER AND 2 DISP</t>
  </si>
  <si>
    <t xml:space="preserve"> Supply and Delivery of Calcar replacing total hip prosthesis Set Calcar replacing total hip prosthesis Set to include but not limited to: 1. Cementless acetabular cup 2. Cemented calcar replacing Femoral Component	set	140,000	1	140,000.00 ----------------</t>
  </si>
  <si>
    <t xml:space="preserve"> 50203010-01 ICT OFFICE SUPPLIES 1	 piece	Anti-virus 		50203210-02 SEMI-EXPENDABLE OFFICE EQUIPMENT 1	 piece	Printer, 3-in-1 w/ Delivery and Installation 		Specs: 		Features - Print, Scan, Copy 		Printing Technology - Plain, Inkjet, Glossy (cast/resin) 		P</t>
  </si>
  <si>
    <t xml:space="preserve"> Republic of the Philippines          City of Dumaguete Bids and Awards Committee INVITATION TO BID FOR PURCHASE REQUEST OF 172 BAGS PORTLAND CEMENT 40 KGS/BAG AND OTHER ITEMS 	The City of Dumaguete thru its BIDS AND AWARDS COMMITTEE (BAC), invites all int</t>
  </si>
  <si>
    <t xml:space="preserve"> The National Mapping and Resource Information Authority, Bids and Awards Committee (NAMRIA BAC) invites interested SUPPLIERS/DEALERS &amp; CONTRACTORS for the following project/s: Supply and Delivery of 8 Units High-End Laptops with the following specificatio</t>
  </si>
  <si>
    <t xml:space="preserve"> SEE ATTACHED   REQUEST AND ISSUE VOUCHER</t>
  </si>
  <si>
    <t xml:space="preserve"> See attach RFQ</t>
  </si>
  <si>
    <t xml:space="preserve"> 50203010-01 ICT OFFICE SUPPLIES 1	piece	Anti-virus 		 		50203210-02 SEMI-EXPENDABLE OFFICE EQUIPMENT 1	piece	Printer 3-in-1 w/ Delivery and Installation 		Specs: 		Features - Print, Scan, Copy 		Printing Technology - Plain, Inkjet, Glossy (cast/resin) 		P</t>
  </si>
  <si>
    <t xml:space="preserve"> 2 units Scanjet Enterprise Flow 7500 Flatbed Scanner Specification: Resolution: up to 600 dpi optical,                     Colour Depth: 24-bit                     Scan Speed: Up to 50 ppm/100 ipm and others.</t>
  </si>
  <si>
    <t xml:space="preserve"> -	Class 1, Division II -	Group A, B, C , D; II 2 G Ex d IIB T5 -	Working Temperature (-50 to +60OC) -	Working Lifetime : 50,000 hours -	IP Rating: IP 66 – Weather Proof / Surge Protection -	Wattage : 100 W</t>
  </si>
  <si>
    <t xml:space="preserve"> Republic of the Philippines Province of Southern Leyte MUNICIPALITY OF LIMASAWA -o0o- Bids and Awards Committee Invitation to Bid for the Repair / Improvement of Limasawa Municipal Gym  Cabulihan, Limasawa Southern Leyte  1.	The Local Government Unit of L</t>
  </si>
  <si>
    <t xml:space="preserve"> Supply and Delivery of Various Dietary Supplies and Materials for September 2020 paper cup, 8 oz	bale	1,500	20	30,000.00 paper meal box, medium, 500pcs/bale	bale	2,300	40	92,000.00 Micro box S10	bale	1,800	40	72,000.00 Micro box S16	bale	2,000	20	40,000.0</t>
  </si>
  <si>
    <t xml:space="preserve"> REQUEST FOR QUOTATION 	The Caraga State University-Cabadbaran Campus, through its Bids and Awards Committee (BAC), will undertake a Negotiated Procurement (Small Value Procurement) for the project: PROCUREMENT ON SUPPLY AND DELIVERY OF LMS BRANDING APPLIC</t>
  </si>
  <si>
    <t xml:space="preserve"> Franklin motor 2hp with 230watts w/Control box Sp 18-13 Deepwell controller 2hp with 230watts Submersible cable #10/3c 3m Rubber tape Submersible pump Model SP40-18 6"</t>
  </si>
  <si>
    <t xml:space="preserve"> 1	unit		Monitor 			Mouse and Keyboard 			AVR 			Processor; I3-8 Gen Processor 			Solid State Disk: 128SSD 			Video Card: 2 GB 			Hard Disk WDC 1 Terabyte HHD 			Memory: 8 GB 			Office: Microsoft Home and Student 			Anti Virus: Kaspersky Anti Virus 			OS: </t>
  </si>
  <si>
    <t xml:space="preserve"> 50 pieces Expansion Bolt 5/8 15 pieces Angle bar 2x2x1/4 Drill Bit 5/8 Concrete and others.</t>
  </si>
  <si>
    <t xml:space="preserve"> see attached document xxxxxxxxxxxxxxxxxx</t>
  </si>
  <si>
    <t xml:space="preserve"> To support the procurement of Twenty Eight (28) ea Packing NLG with PN: MS28775-266 and 10 other L/I for use in the Unscheduled Maintenance of NC-212i Aircraft with Tail Nr 2120.</t>
  </si>
  <si>
    <t xml:space="preserve"> Republic of the Philippines Province of Romblon Municipality of Odiongan Bids &amp; Awards Committee Odiongan, Romblon REQUEST FOR QUOTATION Please quote your lowest price item/s below, subject to the General Conditions and Eligibility Requirements for the Bi</t>
  </si>
  <si>
    <t xml:space="preserve"> Republic of the Philippines Province of Palawan Municipality of Dumaran BIDS AND AWARDS COMMITTEE dum_bacsecretariat@yahoo.com REQUEST FOR QUOTATION (SUPPLY AND DELIVERY OF GOODS FOR PWD CELEBRATION) _______________________ _______________________ _______</t>
  </si>
  <si>
    <t xml:space="preserve"> Republic of the Philippines Province of Nueva Vizcaya MUNICIPALITY OF BAGABAG INVITATION TO BID  SUPPLY AND DELIVERY OF CONSTRUCTION MATERIALS FOR THE CONSTRUCTION OF COMFORT ROOMS, FARMER’S TRAINING CENTER,  SAN PEDRO BAGABAG, NUEVA VIZCAYA 1.	The Local </t>
  </si>
  <si>
    <t xml:space="preserve"> Republic of the Philippines Department of Education  Region IX, Zamboanga del Sur Dimataling District DIMATALING CENTRAL ELEMENTARY SCHOOL REQUEST FOR QUOTATION Stock No.	Qty.	Unit	Item Description 01	57	pads	Paper (G4-6) 02	51	pcs	Eraser 03	2	pack	Specia</t>
  </si>
  <si>
    <t xml:space="preserve"> Contract ID:	20DL0230 Contract Name:	ORGANIZATIONAL OUTCOME 1 : ENSURE SAFE AND RELIABLE NATIONAL ROAD SYSTEM NETWORK DEVELOPMENT PROGRAM, CONSTRUCTION OF BY-PASS AND DIVERSION ROADS, GUMACA BY-PASS ROAD, (PHASE III), QUEZON Contract Location:	GUMACA, QUE</t>
  </si>
  <si>
    <t xml:space="preserve"> 100 bot. Ethyl Alcohol, 70% antiseptic, disinfectant, 500ml 200 pack Interfolder tissue towels, 175 pulls, highly absorbent 100 roll Paper/kitchen towel, 2 ply at least 75 pulls 20 bot. Diswashing liquid, 1L, antibacterial 30 bag Detergent powder, 1kg 30 </t>
  </si>
  <si>
    <t xml:space="preserve"> REQUEST FOR QUOTATION 	The Caraga State University-Cabadbaran Campus, through its Bids and Awards Committee (BAC), will undertake a Negotiated Procurement (Small Value Procurement) for the project: PROCUREMENT ON SUPPLY AND DELIVERY OF ELECTRICAL SUPPLIES</t>
  </si>
  <si>
    <t xml:space="preserve"> REQUEST FOR QUOTATION 	The Caraga State University-Cabadbaran Campus, through its Bids and Awards Committee (BAC), will undertake a Negotiated Procurement (Small Value Procurement) for the project: PROCUREMENT ON SUPPLY AND DELIVERY OF OFFICE EQUIPMENT FO</t>
  </si>
  <si>
    <t xml:space="preserve"> REQUEST FOR EXPRESSION OF INTEREST No. 20-003 PROCUREMENT FOR THE SERVICES OF A NATIONAL CONSULTANT TO DEVELOP THE OPERATION MANUAL OF THE INTEGRATED APPROACH IN MANAGEMENT OF MAJOR BIODIVERSITY CORRIDORS IN THE PHILIPPINES PROJECT The Biodiversity Manage</t>
  </si>
  <si>
    <t xml:space="preserve"> Contract ID:	20DL0231 Contract Name:	CONVERGENCE AND SPECIAL SUPPORT PROGRAM, CONSTRUCTION / IMPROVEMENT OF ACCESS ROADS LEADING TO DECLARED TOURISM DESTINATIONS, PINAGSAKAYAN-KINAMALIGAN-ATULAYAN-LAGAY-KUNALUM-VILLA MAGSINO-STO. ANGEL ROAD LEADING TO ISL</t>
  </si>
  <si>
    <t xml:space="preserve"> 1	Pre-Printed Water Bill Forms		378,000	pcs.	________________		 378,000.00 	___________ 	For the period Oct 2020 - March 2021 -4th and 1st Quarter 2021							 	With the following requirements:							 	 1. Process and shoulder expenses for BIT / ATP Requir</t>
  </si>
  <si>
    <t xml:space="preserve"> 1. Motorcycle - 1 unit   Engine Type: 4 stroke, OHC, Air Cooled						   Displacement: 150cc						   Bore &amp; amp: Stroke 57.3mm x 57.8 mm						   Starting System: Kick/Electric						   Ignition System: DC-CDI						   Transmission Type: 5-speed manual						 </t>
  </si>
  <si>
    <t xml:space="preserve"> Supply and delivery of IT Equipment (LDRRMO)</t>
  </si>
  <si>
    <t xml:space="preserve"> Please see and download attachment</t>
  </si>
  <si>
    <t xml:space="preserve"> 1   720 pax Snacks for Regular Session (July-September 2020) 1st Week Menu: AM Snacks-Fluffy Mamon and Juice 2nd Weel Menu: AM Snacks-Sliced Cake and Softdrinks 3rd Week Menu: AM Snacks-Empanada and Sofdrinks 4th Week Menu: AM Snacks-Donuts &amp; Sofdrinks No</t>
  </si>
  <si>
    <t xml:space="preserve"> ITEM	QUANTITY	UNIT	A R T I C L E S 									 1	1	unit	Motorcycle with sidecar</t>
  </si>
  <si>
    <t xml:space="preserve"> 1 30 PCS KN95 MASK  2 3 BOT. ALCOHOL BASED HANDRUB DISINFECTANT, 1 GAL.  3 30 PCS CPR POCKET MASK RESUSCITATOR ADULT  4 10 PCS FACE SHIELD DISPOSABLE  5 15 PCS C-COLLAR HARD ADULT  6 10 PCS DISPOSABLE OXYGEN MASK                100% High Concentration Non</t>
  </si>
  <si>
    <t xml:space="preserve"> 100	pcs	made to order customized polo shirt 40	pcs	Reflectorized Customized long sleeve uniform size small 5 pcs, medium 10 pcs, large 7 pcs, xl 10 pcs, 2xl 5 pcs, 4xl 3 pcs</t>
  </si>
  <si>
    <t xml:space="preserve"> Republic of the Philippines Department of Education  Region IX, Zamboanga del Sur Dimataling District BINUAY CENTRAL ELEMENTARY SCHOOL Stock No.	Item Description Qty.	Qty.	Unit  01	Epson Ink (Black)	3	bots 02	Epson Ink (Magenta)	1	bot 03	Epson ink (yellow</t>
  </si>
  <si>
    <t xml:space="preserve"> For details, please find attached documents on Associated Components. Click ORDER opposite the Associated Components to view attached documents. Download is free.   Please check for any Bid Supplements for this posting. If unable to retrieve attached docu</t>
  </si>
  <si>
    <t xml:space="preserve"> To support the procurement of services for the Overhaul of One (1) ea Starter Generator with PN: 8260-150 SN: 1423 for use in the Unscheduled Maintenance of C-295 Aircraft Nr 142</t>
  </si>
  <si>
    <t xml:space="preserve"> 5 02 03 010-01 ICT Office Supplies 1	unit	Anti-virus 		 -Good quality, Good for 3 devices 		 		5 02 03 210-02 Semi-Expendable Office Equipment 1	unit	External Hard Drive, 1 TB, 2.5" HDD, USB 3.0, 		 -backward compatible with USB 2.0, 5400 rpm 		 -With dua</t>
  </si>
  <si>
    <t xml:space="preserve"> The City Government of Santiago invites interested parties to submit price quotation for the “SUPPLY AND DELIVERY OF CONSTRUCTION MATERIALS FOR FABRICATION OF WASHING AREA AND DECONTAMINATION BOOTH“ City Hall, Santiago City, details as follows: ABC: Php 2</t>
  </si>
  <si>
    <t xml:space="preserve"> 1 30 pax Lunch (July 9) at PAGRO Rice, Fried fish, ginisang monggo with fish, fruits, juice 2  27 pax Lunch (July 10) at Pavillion Rice, Fried Chicken, Salad Nangka, Fruits, juice 3  30 pax Lunch (July 14) at PVO (6:30am) Rice, Beef menudo, Ginisang gulay</t>
  </si>
  <si>
    <t xml:space="preserve"> 30 units Fabrication of light trap NOTE: Please attach legal documents and updated PhilGEPS Certificate, failure to submit your bid documents will not be considered for the opening by the BAC. Please refer to RA 9184-GPPB Revised IRR Series of 2016 Append</t>
  </si>
  <si>
    <t xml:space="preserve"> INVITATION TO SUBMIT PRICE QUOTATION 1.	The National Food Authority Mamburao Provincial Office, through its Provincial Procurement Committee, will undertake Alternative Mode of Procurement thru Small Value Procurement and invites interested entities to su</t>
  </si>
  <si>
    <t xml:space="preserve"> Republic of the Philippines							 PROVINCE OF CAGAYAN							 Tuguegarao City							 							 REQUEST FOR QUOTATION							 							 Company Name: 			Quotation No.				 Address:			Date				 TIN Number: 			PR No.				 Tel/Fax: 			Mode of Procurement:				 E-mail </t>
  </si>
  <si>
    <t xml:space="preserve"> Municipality of Looc INVITATION TO BID FOR Supply and Delivery of 1 Brand New Ambulance 1.	The Municipality of Looc, through the DILG Trust Fund 2019 LGSF FA intends to apply the sum of Php2,500,000.00 being the Approved Budget for the Contract (ABC) to p</t>
  </si>
  <si>
    <t xml:space="preserve"> 2020 14TH PUBLIC BIDDING: DRUGS AND MEDICINES  FOR 2020 2ND SEMESTER CONSUMPTION</t>
  </si>
  <si>
    <t xml:space="preserve"> 1	6,660	Pouch	Milk Powder 2	6,660	pcs	Eggs</t>
  </si>
  <si>
    <t xml:space="preserve"> 14    packs  Carbon Film,P.E, black, size: 216mm x 330mm 160  packs  battery, dry cell AAA, 2 pcs per blister pack 81    roll     Transparent tape, width:24mm 268  pc      Correction tape, film base type, UL, 6m min. 73    pack   Folder, tag board, for le</t>
  </si>
  <si>
    <t xml:space="preserve"> 7 rooms Room Accommodation Package - 2-day board and lodging w/ meals Dormitory-type rooms TV With Bathroom and shower No. of Days: 2 Inclusions: Meals (2 days) Use of hall  1 Remarks : 1. The service supplier shall have its own environmental policy, cove</t>
  </si>
  <si>
    <t xml:space="preserve"> Provision of services for the conduct of the Project “RAPID MARKETING APPRAISAL FOR YELLOW AND WHITE CORN FOR BILIRAN AND LEYTE PROVINCES” for 2 Months (August to September 2020) No.	Scope of Work	Quantity	Unit_Cost	ABC 	Qualification:	1	400,000.00	400,00</t>
  </si>
  <si>
    <t xml:space="preserve"> 50203010-01 ICT OFFICE SUPPLIES 4	unit	Anti-Virus  5	piece	HDMI Cables (20m) 1	box	Network Cables (CAT5e/CAT6) 70	piece	RJ45 2	unit	Wireless Router(AC3000,Dual-band, Multi-Core, Qos, Smart) 		 		50203210-02 SEMI-EXPENDABLE OFFICE EQUIPMENT 2	unit	Printer </t>
  </si>
  <si>
    <t xml:space="preserve"> 1	Units	Desktop Computer (Windows 10 Professional License 64-bit, at most 3.0GHz, 4MB Cache, Compatible to DDR4 RAM, 2DIMM or better, at most 8GB DDR4, at most 1TB, integrated 10/100/1000 Ethernet, CD-RW/DVD-ROM internal optical drive , Integrated Graphic</t>
  </si>
  <si>
    <t xml:space="preserve"> Supply and delivery of IT Equipment (PNP)</t>
  </si>
  <si>
    <t xml:space="preserve"> 50203210-02 SEMI-EXPENDABLE OFFICE EQUIPMENT 1	piece	External Hard Drive 2TB 		 		50203220-01 SEMI-EXPENDABLE FURNITURE &amp; FIXTURES 2	piece	Heavy Duty Stand Fan 4	piece	Lifetime Folding Table 4ft 5	piece	Lifetime Folding Table 30" 1	piece	Single size 6" ma</t>
  </si>
  <si>
    <t xml:space="preserve"> 40 UNITS JETMATIC PUMPS</t>
  </si>
  <si>
    <t xml:space="preserve"> Republic of the Philippines Province of Nueva Vizcaya MUNICIPALITY OF BAGABAG INVITATION TO BID  SUPPLY AND DELIVERY OF CONSTRUCTION MATERIALS FOR THE CONSTRUCTION OF MULTI-PURPOSE HALL (Phase I), MV DUQUE ELEMENTARY SCHOOL, BAGABAG, NUEVA VIZCAYA 1.	The </t>
  </si>
  <si>
    <t xml:space="preserve"> Republic of the Philippines Province of Quirino MUNICIPALITY OF CABARROGUIS OFFICE OF THE BIDS AND AWARDS COMMITTEE Invitation to Bid for the  Concreting of Roads at Cabarroguis, Quirino 1.	The Local Government Unit of Cabarroguis, Quirino, through the 20</t>
  </si>
  <si>
    <t xml:space="preserve"> Item No. Qty. units Description Brand Amount /Unit 1  20  UNIT/S OXYGEN TANK 20lbs / with contentwith tag name of Hospital (GMCH) 2  10  UNIT/S OXYGEN TANK, 5 LBS 5lbs / with contentwith tag name of Hospital (GMCH)</t>
  </si>
  <si>
    <t xml:space="preserve"> 1. The Provincial Government of Davao del Norte, through CMGP – DILG and SB #1 CY 2020, intends to apply the sum of One Hundred Thirty Three Million Three Hundred Sixty Five Thousand Six Hundred Ninety Three and 05/100 Pesos (Php 133,365,693.05) and being</t>
  </si>
  <si>
    <t xml:space="preserve"> Materials  1. Aggregate Basecourse - 77 cu.m.</t>
  </si>
  <si>
    <t xml:space="preserve"> 10,000 Ft. Steel Cable, ½” 700 Pcs. Cable Clip, ½” Heavy Duty 45 Pcs. Turn Buckles, Jaw &amp; Eye, ¾" US Type, Heavy Duty 60 Pcs. Shackles, ¾” US Type, Heavy Duty 145 Pcs. Thimble, ½” US Type, Heavy Duty 200 Meters Nylon Rope, 24mm 30 Pcs. Bolt &amp; Nut, ½” x 2”</t>
  </si>
  <si>
    <t xml:space="preserve"> To support for the procurement of 40 ea Bipod Shim with PN: 205-060-137-3 and 7 other L/l for use of UH-1H Acft Nrs 509,853, 0225 and 510 assigned at 205THW.</t>
  </si>
  <si>
    <t xml:space="preserve"> Labor services for the preparation of Detailed Engineering Design for the rehabilitation of Six(6) Infrastructure at SMES-Salcedo Crops &amp; Livestock Station (Crops Station: Native Chicken House; Livestock Station: Turkey Grower House, Brooder House 1&amp;2, In</t>
  </si>
  <si>
    <t xml:space="preserve"> CO2 INCUBATOR	 	 	 	 	  •         With emergency stop and alarm system	 	 	 	 	  •         Timer up to 60  minutes	 	 	  •         220 – 240V, 60Hz	 	 	 	 	  •         With PID display  of CO2 concentration and runtime 	  •         With UV lamp 	 	 	 	  •</t>
  </si>
  <si>
    <t xml:space="preserve"> A/C, Floor-Mounted 3tr Inverter (Including Installation &amp; Parts)</t>
  </si>
  <si>
    <t xml:space="preserve"> 50203070-00 VARIOUS DRUGS, MEDICINES &amp; MEDICAL SUPPLIES 1	piece	complete set with rechargeable battery infrared thermometer 1	piece	aneroid bp apparatus with extra rubber bulb &amp; bp cuff 1	piece	rechargeable electronic arm bp apparauts with charger &amp; extra</t>
  </si>
  <si>
    <t xml:space="preserve"> ITEM NO.	DESCRIPTION	 QTY. 	UNIT 			 .(1)	.(2)	 .(3) 	.(4) B.2	Project Billboard/Signboard	 1.00 	each 800.a	Site Clearing &amp; Laying-Out	 954.00 	sq.m. 803(1)c	Structure Excavation (Soft Rock)	 98.00 	m³ 804 (1) b	Embankment 	 1,900.00 	m² 804 (a)	Backfill</t>
  </si>
  <si>
    <t xml:space="preserve"> The City Government of Santiago invites interested parties to submit price quotation for the “SUPPLY AND DELIVERY OF MULTIPURPOSE VEHICLE (BRAND NEW) FOR OPERATION USE OF CDRRMO“ City Hall, Santiago City, details as follows: ABC: Php 570,000.00 Contract D</t>
  </si>
  <si>
    <t xml:space="preserve"> Please quote your government price/s including delivery charges, VAT or other applicable taxes, and other incidental expenses for the goods listed in Annex A.  Failure to indicate information could be basis for non - compliance. Also, furnish us with desc</t>
  </si>
  <si>
    <t xml:space="preserve"> Republic of the Philippines DEPARTMENT OF PUBLIC WORKS AND HIGHWAYS CAMARINES SUR SECOND DISTRICT ENGINEERING OFFICE Regional Office V Baras, Canaman, Camarines Sur INVITATION TO BID FOR  20FE0144 – CONSTRUCTION OF CLASSROOMS, BAGADION HIGH SCHOOL (MAMBUL</t>
  </si>
  <si>
    <t xml:space="preserve"> The City Government of Santiago invites interested parties to submit price quotation for the “SUPPLY AND DELIVERY OF VEHICLE PARTS AND ACCESSORIES FOR BACKHOE LOADER 01 AND GRADER 01“ City Hall, Santiago City, details as follows: ABC: Php 66,200.00 Contra</t>
  </si>
  <si>
    <t xml:space="preserve"> INVITATION TO BID The DPWH Regional Office IX, Veterans Avenue Extension, Tetuan, Zamboanga City, through its Bids and Awards Committee (BAC), invites contractors to submit bids for the following Contract: Contract ID	:	20J00208 Contract Name	:	Concreting</t>
  </si>
  <si>
    <t xml:space="preserve"> Item No. Qty. units Description Brand Amount /Unit 1  1  LOT/S JOB ORDER WITH SUPPLY OF LABOR &amp; MATERIALS I. General repair:Replace rotten portion of:Left Hand and Right Hand Cowl FlooringLeft Hand and Right Hand Front DoorLeft Hand and Right Hand Tire Bo</t>
  </si>
  <si>
    <t xml:space="preserve"> 1 1 SET BRAKE PAD FRONT (GENUINE)  2 1 SET BRAKE PAD REAR (GENUINE)  3 1 PC. FUEL FILTER (GENUINE)  4 2 PCS. CROSS JOINT (GENUINE)  5 1 PC. FAN BELT (GENUINE) Remarks : INCLUDE LABOR &amp; INSTALLATION</t>
  </si>
  <si>
    <t xml:space="preserve"> Please see the attached file for reference.</t>
  </si>
  <si>
    <t xml:space="preserve"> PURCHASE REQUEST  Municipality of Buenavista  LGU  Department: LGU-BUENAVISTA Section: SEF PR: Date:  SA1 No.  Qty. 		Unit	Item Description 	Estimated Unit cost 	Estimated Total cost  1	unit	1 unit risograph machine 		Speed: 100 ppm printing 		Imagine qua</t>
  </si>
  <si>
    <t xml:space="preserve"> SUPPLY OF LABOR AND MATERIALS FOR SAFETY SIGNAGES</t>
  </si>
  <si>
    <t xml:space="preserve"> POTOL BARANGAY COUNCIL					Solicitation No.				 BARANGAY POTOL					Project Reference No.				 INFANTA, PANGASINAN					Name of Project: 		PURCHASE OF ICT EQUIPMENT FOR 		 					BRGY. POTOL, INFANTA, PANGASINAN				 					Location of Project:		Brgy. Potol, Infa</t>
  </si>
  <si>
    <t xml:space="preserve"> Republic of the Philippines Province of Nueva Vizcaya MUNICIPALITY OF BAGABAG INVITATION TO BID  SUPPLY AND DELIVERY OF CONSTRUCTION MATERIALS FOR THE PROVISION OF SUNSHADE VISOR, PUBLIC MARKET, BAGABAG, NUEVA VIZCAYA 1.	The Local Government Unit of Bagab</t>
  </si>
  <si>
    <t xml:space="preserve"> Republic of the Philippines									 Province of Batangas									 Municipality of Sto. Tomas									 Barangay STA. ANASTACIA									 									 									 INVITATION TO BID									 									 The Barangay Government of Sta. Anastacia, Sto. Tomas, Batanga</t>
  </si>
  <si>
    <t xml:space="preserve"> Republic of the Philippines Department of Public Works and Highways Pampanga 3rd District Engineering Office San Francisco Street, Brgy. Pampang, Angeles City Region III Telephone Nos. (045) 323-5782 / 887-5249 DPWH-INFR-04-2016 INVITATION TO BID The Depa</t>
  </si>
  <si>
    <t xml:space="preserve"> Republic of the Philippines DEPARTMENT OF PUBLIC WORKS AND HIGHWAYS ZAMBOANGA DEL NORTE  1ST DISTRICT ENGINEERING OFFICE REGIONAL OFFICE IX Sta. Isabel, Dipolog City INVITATION TO BID The  DPWH ZN 1st District Engineering Office , through its Bids and Awa</t>
  </si>
  <si>
    <t xml:space="preserve"> The City Government of Santiago invites interested parties to submit price quotation for the “SUPPLY AND DELIVERY OF VEHICLE PARTS AND ACCESSORIES FOR COASTER BUS“ City Hall, Santiago City, details as follows: ABC: Php 63,500.00 Contract Duration: 14 cale</t>
  </si>
  <si>
    <t xml:space="preserve"> LOT 1 									 1	Automotive Diesel Fuel							12,652.87	ltrs.	47.42 										 	NOTE: 									 	1. To be stocked at suppliers gasoline station.									 	2. The supplier shall start to serve within 3 days upon receipt									 	    of the advice from th</t>
  </si>
  <si>
    <t xml:space="preserve"> INVITATION TO BID The DPWH Regional Office IX, Veterans Avenue Extension, Tetuan, Zamboanga City, through its Bids and Awards Committee (BAC), invites contractors to submit bids for the following Contract: Contract ID	:	20J00210 Contract Name	:	Concreting</t>
  </si>
  <si>
    <t xml:space="preserve"> OFFICE SUPPLIES - 55,470</t>
  </si>
  <si>
    <t xml:space="preserve"> 1 250 Ltrs Gasoline  2 1,000 Ltrs Diesel  3 2 Pcs Engine Oil       For Motorcycle 4 2 Gal. Engine Oil        For Crosswind 5  2 Ltrs Oil 140 (Differencial Oil)            For Crosswind 6 1 Bot Break Fluid 900ml 7  1 Pc Oil Filter            OC-206 8 1 Pc </t>
  </si>
  <si>
    <t xml:space="preserve"> DIESEL AND OIL AND LUBRICANTS</t>
  </si>
  <si>
    <t xml:space="preserve"> 50213040-99 REPAIRS AND MAINTENANCE-OTHER STRUCTURES 		General Requirements 		QTY. = 1 Lot 1	lot	Project Tarpaulin 		Site Works 		Demolition works incl. Disposal of Waste and restoration works 		A. Labor 1		Construction Foreman(1 person 2 days @ 550 per d</t>
  </si>
  <si>
    <t xml:space="preserve"> Supply/Delivery of 2 units Desktop Computer, 1 Unit Laptop &amp; Printers 1.	2 units   TC-B60 23.6 inch i5 9th Generation w/ 2GB GT 1030 Graphics	 			 	Processor:  i5-9400 Processor, 9M hz up to 4.10 Ghz		 	Memory: 8GB DDR4 2666 MHz HDIMM up to 32 GB of dual </t>
  </si>
  <si>
    <t xml:space="preserve"> 1 pc. Nebulizer, compatible w/ Sherwood Flame Photometer 410, catalog #42008102 -see attached RFQ Form</t>
  </si>
  <si>
    <t xml:space="preserve"> 1 10 PACK BATTERY AAA MAX POWER SEAL (4 PCS PER PACK)  2 25 PCS ALCOHOL 70% SOL. 500 ML  3 5 KL CHLORINE, Granules  4 12 PCS CAR CLIP FRESHENER  5 5 PCS GEL AIR FRESHENER 180G (FRESH LEMON)  6 2 PC MEGABOX 95L  7 15 PACK STICKER PAPER 12'S  10 PACK TISSUE</t>
  </si>
  <si>
    <t xml:space="preserve"> Republic of the Philippines DEPARTMENT OF PUBLIC WORKS AND HIGHWAYS CAMARINES SUR SECOND DISTRICT ENGINEERING OFFICE Regional Office V Baras, Canaman, Camarines Sur INVITATION TO BID FOR  20FE0146 – CONSTRUCTION OF CLASSROOMS, BAGONG SILANG ES, PASACAO, C</t>
  </si>
  <si>
    <t xml:space="preserve"> TURBINE 68</t>
  </si>
  <si>
    <t xml:space="preserve"> 1 lot cellular Phones ABC = Php 105, 000.00 2 units - Samsung Galaxy A71  6.7-inch FHD+ Super AMOLED "Infinity-O" display, 32MP selfie camera, and 64MP + 12MP + 5MP + 5MP quad rear cameras. It runs on a Qualcomm Snapdragon 730 chipset with 8GB of RAM, 128</t>
  </si>
  <si>
    <t xml:space="preserve"> seea attached</t>
  </si>
  <si>
    <t xml:space="preserve"> Republic of the Philippines PROVINCE OF SOUTHERN LEYTE Municipality of Hinunangan -oOo- Invitation to Bid for   CONSTRUCTION OF THREE (3) UNITS COLLAPSIBLE SOLAR DRYER WITH STORAGE Project ID: 2020IFAD-11/202077 1.	The Municipality of Hinunangan, through </t>
  </si>
  <si>
    <t xml:space="preserve"> Large Animal Digital Weighing Scale               1 unit</t>
  </si>
  <si>
    <t xml:space="preserve"> 5 02 03 210-02 SEMI-EXPENDABLE OFFICE EQUIPMENT 2	unit	External Hard drive, 1TB 2	unit	Printer, 3-in-1, colored 2	unit	Uninterruptible power supply (UPS), 650VA 		5 02 03 210-99 SEMI-EXPANDABLE OTHER MACHINERY AND EQUIPMENT 2	unit	Delivey cart, heavy duty</t>
  </si>
  <si>
    <t xml:space="preserve"> 50203010-01 ICT OFFICE SUPPLIES 3	piece	Anti-Virus 		(Delivers real-time anti-virus protection, blocks ransomware, 		cryptolockers and more,prevents cryptomining malware infections) 		 		50203220-01 SEMI-EXPENDABLE FURNITURE AND FIXTURES 8	piece	Doors 		(</t>
  </si>
  <si>
    <t xml:space="preserve"> Republic of the Philippines DEPARTMENT OF PUBLIC WORKS AND HIGHWAYS CAMARINES SUR SECOND DISTRICT ENGINEERING OFFICE Regional Office V Baras, Canaman, Camarines Sur INVITATION TO BID FOR  20FE0145 – CONSTRUCTION OF CLASSROOMS, UMALO ES, LIBMANAN, CAMARINE</t>
  </si>
  <si>
    <t xml:space="preserve"> 1	lot	labor and materials hood painting SJB 118 1	lot	retouch door 1	set	replaed tail ligh left &amp; right 1	lot	tail gate tinsmith/painting 1	lot	rear quarter panel left side tinsmith/painting 1	lot	rear quarter panel right side tinsmith/painting 1	lot	fron</t>
  </si>
  <si>
    <t xml:space="preserve"> Item No. Qty. units Description Brand Amount /Unit 1  6  PIECE/S TIRE - 700 R16 W/ TUBE &amp; FLAP For vehicle GMC Jailcar Truck with plate number ZC-1960</t>
  </si>
  <si>
    <t xml:space="preserve"> 1.	2,343	liter/s	Diesel  Fuel</t>
  </si>
  <si>
    <t xml:space="preserve"> The City Government of Santiago invites interested parties to submit price quotation for the “SUPPLY AND DELIVERY OF VEHICLE PARTS AND ACCESSORIES FOR SIPHONING VACUUM TRUCK“ City Hall, Santiago City, details as follows: ABC: Php 115,000.00 Contract Durat</t>
  </si>
  <si>
    <t xml:space="preserve"> see attached</t>
  </si>
  <si>
    <t xml:space="preserve"> ASSORTED LUG SIZES</t>
  </si>
  <si>
    <t xml:space="preserve"> NO.	DESCRIPTION	QTY	UNIT	UNIT COST	AMOUNT 1	2" X3"X10' L;UMBER STAGING	315	BD FT	 52.50 	 16,537.50  2	1/4" THICK MARINE PLYWOOD	23	PCS	 470.00 	 10,810.00  3	ASSORTED COMMON NAILS	7	KGS	 90.00 	 630.00  4	10 MM DIAM. RSB (GRADE 40)	871.6	KGS	 46.20 	 40,</t>
  </si>
  <si>
    <t xml:space="preserve"> 50203990-00 OTHER SUPPLIES AND MATERIALS EXPENSES 5	piece	Kimono, extra large, good quality cloth, white color 6	piece	Kimono, large, good quality cloth, white color 5	piece	Kimono, medium, good quality cloth, white color 		 		50203210-12 SEMI-EXPENDABLE </t>
  </si>
  <si>
    <t xml:space="preserve"> PROCUREMENT OF ONE 1 UNIT LAPTOP FOR THE OFFICE OF THE MUNICIPAL ASSESSOR Mexico, Pampanga</t>
  </si>
  <si>
    <t xml:space="preserve"> Republic of the Philippines LOCAL GOVERNMENT UNIT OF GINGOOG BIDS AND AWARDS COMMITTEE Gingoog City INVITATION TO BID 1.	The Local Government Unit of Gingoog City, through the Budget for the contract approved by the Sangguniang Panlungsod, intends to appl</t>
  </si>
  <si>
    <t xml:space="preserve"> Item No. Qty. units Description Brand Amount /Unit 1  400  PAX MEALS AND SNACKSMEALS AND SNACKS1 MEAL AND 1 SNACK (2 MAIN COURSE) PACKEDDAY 1 - 50 PAXAM SNACK:EMPANADA, BOTTLED JUICELUNCH: GARLIC CHICKEN, VEGETABLE SALAD, RICE,BOTTLED WATER/SOFTDRINKSDAY </t>
  </si>
  <si>
    <t xml:space="preserve"> OFFICE SUPPLIES - 26,900</t>
  </si>
  <si>
    <t xml:space="preserve"> 93 PCS. USB 64 GB</t>
  </si>
  <si>
    <t xml:space="preserve"> Republic of the Philippines Province of Nueva Vizcaya MUNICIPALITY OF BAGABAG INVITATION TO BID  SUPPLY AND DELIVERY OF CONSTRUCTION MATERIALS FOR THE RESTORATION OF ROADLIGHTS ALONG NATIONAL ROAD, QUIRINO &amp; TUAO NORTH, BAGABAG, NUEVA VIZCAYA 1.	The Local</t>
  </si>
  <si>
    <t xml:space="preserve"> PURCHASE OF PHOTOCOPIER FOR THE USE OF MUN. ACCOUNTING</t>
  </si>
  <si>
    <t xml:space="preserve"> REQUEST FOR QUOTATIONS Supply and Delivery of Storage Racks and Classroom Chairs for BU IPESR The Bicol University, through the Corporate Budget for the contract approved by the Board of Regents intends to apply the sum of One Hundred Forty-two Thousand F</t>
  </si>
  <si>
    <t xml:space="preserve"> PROCUREMENT OF MATERIALS FOR THE REPAIR AND MAINTENANCE OF FARM TRACTOR Mexico, Pampanga</t>
  </si>
  <si>
    <t xml:space="preserve"> 1 250 bots Alcohol 70%  2 20 tubes Leukoplaster Hospital Size  3 50 rolls ECG paper 80mmx20m  4 20 bxs Disposable syringe 1 ml w/ needle  5 80 bxs Disposable syringe 3ml w/ needle  6 80 bxs Disposable syringe 5ml w/ needle  7 50 tray EDta tube 2ml  8 50 t</t>
  </si>
  <si>
    <t xml:space="preserve"> Invitation to Bid 				 for the 				 Supply and Delivery of construction materials for construction of footbridge at zone 7, san agustin, pili, cam. sur 				 				 The Local Government Unit of Pili, Camarines Sur, through the 20% Economic Development Fund (</t>
  </si>
  <si>
    <t xml:space="preserve"> OFFICE SUPPLIES -68,000.00</t>
  </si>
  <si>
    <t xml:space="preserve"> 50203210-02 SEMI-EXPENDABLE OFFICE EQUIPMENT 3	unit	Printer, 3-in-1, inkjet color, branded, good quality 1	unit	Printer, laserjet, monochrome, branded, good quality 4	unit	Uninterrruptible Power Supply (UPS), 600 watts, branded, good quality 		 		50203220</t>
  </si>
  <si>
    <t xml:space="preserve"> To support for the procurement of 10 pcs Switching Regulator IC with PN: 8564Q and 4 other L/I for the repair of 3 units Fuel Quantity Indicator and 2 EGT Indicator for use of UH-1H/D Acft Nrs 853, 002 &amp; 504 assigned at  205THW.</t>
  </si>
  <si>
    <t xml:space="preserve"> 1.	2,368.42	liter/s	Diesel Fuel</t>
  </si>
  <si>
    <t xml:space="preserve"> ITEM NO.	QTY.	UNIT	ITEMS &amp; DESCRIPTION	 				 1	45	days	Procurement of Goods and Services for the 	 			Strategic Communicationstions of the 	 			Provincial Government of Quirino</t>
  </si>
  <si>
    <t xml:space="preserve"> Republic of the Philippines DEPARTMENT OF PUBLIC WORKS AND HIGHWAYS CAMARINES SUR SECOND DISTRICT ENGINEERING OFFICE Regional Office V Baras, Canaman, Camarines Sur INVITATION TO BID FOR  20FE0147 – CONSTRUCTION OF CLASSROOMS, ANTIPOLO HEIGHTS INTEGRATED </t>
  </si>
  <si>
    <t xml:space="preserve"> Number: 	Quantity: 	Unit	PPMP_Code	PPMP_Code1	PPMP_Code2	PPMP_Remarks	Articles	Specifications	StockNo	Unit_Cost	Estimated_Cost 1.	1	unit	2987-33522		2987-33522-		Drum Unit C	DR512C		30,810.00	30,810.00 2.	1	unit	2987-33521		2987-33521-		Drum Unit M	DR512M</t>
  </si>
  <si>
    <t xml:space="preserve"> OFFICE SUPPLIES - 24,995</t>
  </si>
  <si>
    <t xml:space="preserve"> RFQ 2020-116 PROJECT		:	LBP TUBOD BRANCH RENOVATION IMPLEMENTOR		: 	LBP RESOURCES AND DEVELOPMENT CORPORATION OWNER			:	LAND BANK OF THE PHILIPPINES	 REQUEST FOR QUOTATION FOR	:	SUPPLY OF CONSTRUCTION MATERIALS    DATE / TIME OF SUBMISSION		:	ON OR BEFORE</t>
  </si>
  <si>
    <t xml:space="preserve"> INVITATION TO BID FOR THE REPAIR &amp; MAINTENANCE OF DRAINAGE SYSTEM AT BRGY. I, III, &amp; IV. POBLACION, MUNICIPALITY OF HINIGARAN, NEGROS OCCIDENTAL 1.	The Local Government Unit of Hinigaran through Improvement of Drainage System (20% Development Fund) intend</t>
  </si>
  <si>
    <t xml:space="preserve"> Republic of the Philippines ISABELA STATE UNIVERSITY City of Ilagan, Isabela INVITATION TO BID FOR CONSTRUCTION OF BUTTRESS SUPPORT AT RETAINING WALL (REAR PORTION) OF COLLEGE OF ALLIED AND HEALTH SCIENCES (CAHS) BUILDING 1.	The ISABELA STATE UNIVERSITY –</t>
  </si>
  <si>
    <t xml:space="preserve"> Please see and download the attachment</t>
  </si>
  <si>
    <t xml:space="preserve"> Republic of the Philippines DEPARTMENT OF PUBLIC WORKS AND HIGHWAYS CAMARINES SUR SECOND DISTRICT ENGINEERING OFFICE Regional Office V Baras, Canaman, Camarines Sur INVITATION TO BID FOR  20FE0148 – CONSTRUCTION OF CLASSROOMS, TILNAC ES, PASACAO, CAMARINE</t>
  </si>
  <si>
    <t xml:space="preserve"> Catering Services 60Pax 2Days 1meal&amp;2snacks 2viands with rice Bottled Water/Drinks Terms and Conditions: 1.	The RFQ form must be fully accomplished. If an item is not available, type/write N/A, No entry shall be left blank. 2.	Supplier must submit with th</t>
  </si>
  <si>
    <t xml:space="preserve"> Submission of Quotation shall be on July 7,2020@1:00PM at Municipal Hall Building Anda,Pangasinan.</t>
  </si>
  <si>
    <t xml:space="preserve"> The Department of Agriculture invites interested suppliers to submit quotations/proposals for the hereunder requirement: Mid-Year Assessment of the Department of Agriculture Programs and Projects on July 10, 13 and 17, 2020 in Quezon City 	 Item I: 90	pax</t>
  </si>
  <si>
    <t xml:space="preserve"> CIVIL AVIATION AUTHORITY OF THE PHILIPPINES						Project Reference Number   :	USU-20-02-002	 Francisco B. Reyes (Busuanga) Airport						Name of the Project              :	Siphoning of All Septic Tanks (Phase 1 and 2)	 Coron, Palawan						Location of the P</t>
  </si>
  <si>
    <t xml:space="preserve"> LOT 1 I.A. Laboratory Tests: Complete Blood Count Routine Urinalysis ECG *Glucose *BU A-Arthritis *Cholesterol,Triglyceride, HDL (Good/Bad Cholesterol)-Heart *Creatinine, BUN - Kidney *SGOT, DGPT - Liver with consultation Blood Extraction Urine Collection</t>
  </si>
  <si>
    <t xml:space="preserve"> 1 1 SET HYDRAUVAC ASSY.  2 2 PCS UPPER BALLJOINT  3 2 PCS LOWER BALLJOINT  4 2 PCS TIE ROD END OUTER  5 2 PCS OUTER STICK BEARING  6 2 PCS INNER STICK BEARING  7 2 PCS SHOCK  8 1 SET BRAKE PAD  9 1 SET BRAKE SHOE  10 2 PCS TIE ROD END INNER  11 1 PC CLUTC</t>
  </si>
  <si>
    <t xml:space="preserve"> RFQ-GS-20200629-04 Interested Suppliers are invited to submit Price Quotation for the above listed item. The official LANDBANK Request for Quotation Form may be obtained from Mr. NADZ ILETO (tel no.: 85512200 locals 2290, 2979; email address: nadiaileto_2</t>
  </si>
  <si>
    <t xml:space="preserve"> 1.	The Carmona Water District hereinafter referred to as the “Purchaser” now requests for submission of price quotation for the procurement of the aforesaid item described in the Technical Specifications. 2.	A set of technical specifications are provided </t>
  </si>
  <si>
    <t xml:space="preserve"> Republic of the Philippines DEPARTMENT OF PUBLIC WORKS AND HIGHWAYS CAMARINES SUR SECOND DISTRICT ENGINEERING OFFICE Regional Office V Baras, Canaman, Camarines Sur INVITATION TO BID FOR  20FE0149 – CONSTRUCTION OF CLASSROOMS, SALVACION ES, PASACAO, CAMAR</t>
  </si>
  <si>
    <t xml:space="preserve"> Item No. Qty. units Description Brand Amount /Unit 1  3  LOT/S JOB-ORDER Job Order for the Conduct of Sub-Surface Soil exploration for the Proposed Construction of Saub River Control@10m Depth of Hole</t>
  </si>
  <si>
    <t xml:space="preserve"> ITEM NO.	QTY.	UNIT	ITEMS &amp; DESCRIPTION	 				 1	45	days	Procurement of Goods and Services for the 	 			Development of Content and Digital Media of the 	 			Provincial Government of Quirino</t>
  </si>
  <si>
    <t xml:space="preserve"> 1 4,500 ltrs DIESEL  2 450 ltrs PREMIUM  3 1 lot OIL &amp; LUBRICANTS Remarks : TERMS &amp; CONDITIONS: 1. Payments will be based on actual pump price 2. Payments will be made per quincenna</t>
  </si>
  <si>
    <t xml:space="preserve"> Province of Benguet-CAR Municipality of Mankayan  BIDS AND AWARDS COMMITTEE INVITATION TO APPLY FOR ELIGIBILITY AND TO BID JULY 4 , 2020 	The Municipal Government of Mankayan, through its Bids and Awards Committee, invites PhilGEPS registered supplier for</t>
  </si>
  <si>
    <t xml:space="preserve"> 1 pc Photocopier Monochrome Laser MFP, Auto Duplex Print Processor: 533MHz Processor Memory: 512MB system memory Copy Speed: 35 copies/min Resolution: COPY 600x600dpi, SCAN 600x600dpi (color), 300x600dpi (BW), PRINT 600x600dpi Paper Size: A4 size, legal P</t>
  </si>
  <si>
    <t xml:space="preserve"> Invitation to Bid 				 for the 				 Supply and Delivery of construction materials for construction of access road at zone 1, sagrada, pili, cam. sur 				 				 The Local Government Unit of Pili, Camarines Sur, through the 20% Economic Development Fund (EDF</t>
  </si>
  <si>
    <t xml:space="preserve"> 1867 PCS. PLASTIC LONG ENVELOPE FOR LEARNERS</t>
  </si>
  <si>
    <t xml:space="preserve"> Qty   unit of issue    item /Description) 2520     pack             Meals (Breakfast, lunch, dinner)</t>
  </si>
  <si>
    <t xml:space="preserve"> 1 set Anti Human Glubolin 4 sets Applicator Stick(1000's/Pack) 2 boxs Blue Tips (500's/pack) 3 set Hemaquick Stain Set 50 packs Specimen cups w/ cover(3.5oz/25'/packs) 1   set Denatured Alcohol 10 box Hbs AG(30's/box) 50 box EDTA 2ml.(100's/box) 2   set A</t>
  </si>
  <si>
    <t xml:space="preserve"> 1	unit	Window Type Air Condition 2.5 hp 4	unit	Air Condition Floor Mounted</t>
  </si>
  <si>
    <t xml:space="preserve"> PHILIPPINE DEPOSIT INSURANCE CORPORATION SSS MAKATI Building, 6782 Ayala Avenue corner V.A. Rufino Street, Makati City PROCUREMENT AND PROPERTY DEPARTMENT REQUEST FOR QUOTATION Supplier       The PDIC invites you to submit a quotation for the item/s state</t>
  </si>
  <si>
    <t xml:space="preserve"> The City Government of Santiago invites interested parties to submit price quotation for the “SUPPLY AND DELIVERY OF TRIWHEELER FOR CITY COOPERATIVE OFFICE USE“ City Hall, Santiago City, details as follows: ABC: Php 186,000.00 Contract Duration: 14 calend</t>
  </si>
  <si>
    <t xml:space="preserve"> Supply and delivery of various cellcards from January to December 2020 (See attached RFQ) Please attach/submit the following: 1. Copy of Latest Mayor's Permit 2. Copy of BIR Form 2303 3. Copy of DTI or SEC 4. Copy of PhilGeps Registration or Certificate</t>
  </si>
  <si>
    <t xml:space="preserve"> Description  Please quote your lowest price on the items listed below,  subject to the General Conditions, stating the shortest time of delivery and submit your quotation duly signed by your representative. Instructions : a)	Download the OFFICIAL BID FORM</t>
  </si>
  <si>
    <t xml:space="preserve"> Invitation to Bid 				 for the 				 Supply and Delivery of construction materials for upgrading of site for slaughterhouse/motorpool at san isidro, pili, cam. sur 				 				 The Local Government Unit of Pili, Camarines Sur, through the 20% Economic Develop</t>
  </si>
  <si>
    <t xml:space="preserve"> Item No. Qty. units Description Brand Amount /Unit 1  2  UNIT/S BATTERY 12 VOLTS, 13 PLATES Maintenance free 2  8  PIECE/S TIRE - TUBELESS 185 R14 4 PIECES TIRES TUBELESS 185 R14(MITSUBISHIADVENTURE SGL-386), 4 PIECES TIRES TUBELESS 185R14(MITSUBISHI L300</t>
  </si>
  <si>
    <t xml:space="preserve"> CIVIL AVIATION AUTHORITY OF THE PHILIPPINES					Project Reference Number   :	0		 Francisco B. Reyes (Busuanga) Airport					Name of the Project              :	Preventive Maintenance of Generator Set		 Coron, Palawan					Location of the Project         :	Bu</t>
  </si>
  <si>
    <t xml:space="preserve"> ITEM NO.	QTY.	UNIT	ITEMS &amp; DESCRIPTION	 				 1	1	unit	Laptop	 			Processor Model up to 7th Gen. Intel Core i7	 			Processor Speed 2.7 GHz	 			GPU Model: Intel Integrated Graphics, RAM 8GB	 			Memory Type: DDR4	 			Memory Expandable up to 16GB DDR4	 			Sto</t>
  </si>
  <si>
    <t xml:space="preserve"> SUPPLY, DELIVERY AND INSTALLATION OF FLOOR MOUNTED AIR-CONDITIONING UNIT								 											 			(1-07-05-020) Office Equipment								 1	3	units	Floor Mounted Type Inverter Air-Conditioner					 165,000.00 		 495,000.00 	 			with Wireless Remote (5 Tons)		</t>
  </si>
  <si>
    <t xml:space="preserve"> Republic of the Philippines						GSD		 		Government of Ormoc City						P.R. No.:  	201867	 		BIDS AND AWARDS COMMITTEE						Quotation No.: 	204517-6179	 		Ormoc City						PhilGEPs No.: 		 										 Standard Form Title:			REQUEST FOR QUOTATION							 				</t>
  </si>
  <si>
    <t xml:space="preserve"> 1  1 set Computer 3D Rendering &amp; Video Editing/Animation Clone Computer Desktop SPECS *AMD 3RD GEN RYZEN 9 3950x 16 CORES 32 THREADS 3.5 GHZ (64mb cache up to 4.7 ghz) AM4 Processor *RTX 2070 Super 8G graphic cards GV-N207SAORUS-8GC *X570 AORUS PRO WIFI M</t>
  </si>
  <si>
    <t xml:space="preserve"> 50604050-02 OFFICE EQUIPMENT 1	unit	UNINTERRUPTIBLE POWER SUPPLY (UPS) 		Output 		Output Power Capacity 500 Watts / 750 VA 		Max Configurable Power (Watts) 500 Watts / 750 VA 		Nominal Output Voltage 230V 		Output Voltage Distortion Less than 5% 		Output </t>
  </si>
  <si>
    <t xml:space="preserve"> Republic of the Philippines						CASO		 		Government of Ormoc City						P.R. No.:  	201507	 		BIDS AND AWARDS COMMITTEE						Quotation No.: 	204519-6180	 		Ormoc City						PhilGEPs No.: 		 										 Standard Form Title:			REQUEST FOR QUOTATION							 			</t>
  </si>
  <si>
    <t xml:space="preserve"> Republic of the Philippines Province of Palawan Municipality of Dumaran BIDS AND AWARDS COMMITTEE dum_bacsecretariat@yahoo.com REQUEST FOR QUOTATION (SUPPLY AND DELIVERY OF FUEL USE FOR DELIVERY OF MODULES TO DIFFERENT BARANGAYS) _______________________ _</t>
  </si>
  <si>
    <t xml:space="preserve"> 1 	 3,460 	 seedlings 	 Plantable of Banana Lakatan Seedlings 	 			  ( Tissue Culture of Banana) 	 			              ***nothing follows***</t>
  </si>
  <si>
    <t xml:space="preserve"> The City Government of Santiago invites interested parties to submit price quotation for the “SUPPLY AND DELIVERY OF VARIOUS INK FOR CDRRM OFFICE USE“ City Hall, Santiago City, details as follows: ABC: Php 58,600.00 Contract Duration: 14 calendar days Sch</t>
  </si>
  <si>
    <t xml:space="preserve"> 2 PCS 3LCD 3600 Lumens Projector White and Colour Brightness at 3,600lm XGA resolution High contrast ratio of 15,000:1 Horizontal keystone slider 10,000 hours lamp life in eco-mode Redirected Exhaust Auto Source Search Auto Power On Wireless Transmission</t>
  </si>
  <si>
    <t xml:space="preserve"> To support for the procurement of 38 pails Cleaning Solvent with PN: ZOK27 for use during 150 Inspection of UH-1 Acft Nrs 305, 370 and 8189 assigned at 205THW.</t>
  </si>
  <si>
    <t xml:space="preserve"> see associated components for downloadable RFQ 2020-201</t>
  </si>
  <si>
    <t xml:space="preserve"> The ISU Cabagan, Isabela invites registered suppliers to submit bid quotations/bid proposal of the items listed in the attached RFQ. Submit your bid quotations / bid proposal duly signed by you or your authorized representative with certified true copies </t>
  </si>
  <si>
    <t xml:space="preserve"> Specifications: Disposable Plastic Cups (100s)   -   pack   -   15 3M Lidocaine Dental Anesthesia   -   boxes   -   4 Xylocaine 10% Spray   -   bottle   -   1 Dental Needles (short g30)   -   boxes   -   5 Dental Needles (long g27)   -   boxes   -   5 Glo</t>
  </si>
  <si>
    <t xml:space="preserve"> Republic of the Philippines						OTESD		 		Government of Ormoc City						P.R. No.:  	201142	 		BIDS AND AWARDS COMMITTEE						Quotation No.: 	204523-6182	 		Ormoc City						PhilGEPs No.: 		 										 Standard Form Title:			REQUEST FOR QUOTATION							 		</t>
  </si>
  <si>
    <t xml:space="preserve"> Disinfectant Solution: (50 GAL) Minimum Requirements: 1. Concentrated, pH neutral, broad spectrum quaternary disinfectant; 2. Kills HIV Virus, HCV, Herpes, MRSA and 2009 H1N1; 3. Cleans and disinfects hand, non-porous surfaces; and 4. Leaves behind a plea</t>
  </si>
  <si>
    <t xml:space="preserve"> RFQ-GS-20200701-01 Interested Suppliers are invited to submit Price Quotation for the above listed item. The official LANDBANK Request for Quotation Form may be obtained from Mr. NADZ ILETO (tel no.: 85512200 locals 2290, 2979; email address: nadiaileto_2</t>
  </si>
  <si>
    <t xml:space="preserve"> The City Government of Santiago invites interested parties to submit price quotation for the “SUPPLY AND DELIVERY OF VARIOUS EQUIPMENT FOR PUBLIC MARKET ELECTRICAL USE“ City Hall, Santiago City, details as follows: ABC: Php 80,350.00 Contract Duration: 14</t>
  </si>
  <si>
    <t xml:space="preserve"> ITEM NO.	QTY.	UNIT	ITEMS &amp; DESCRIPTION	 				 1	2	pcs	Lapsheet	 2	2	pcs	Mayo Table Cover	 3	12	pcs	Kelly forcep, curved 18.5cm	 4	12	pcs	Kelly forcep, straight 18.5cm	 5	4	pcs	Needle Holder 18.5cm	 6	4	pcs	Needle Holder 16cm	 7	3	pcs	Bladder Retractor 32cm</t>
  </si>
  <si>
    <t xml:space="preserve"> Item No.	Quantity	Unit of Issue	Item Description	 Estimated Unit Cost 	 Estimated Cost  1	7	Unit	STRETCHER, HYDRAULIC	98,000.00	686,000.00  	 	 	Specifications:	 	   	 	 	Adjustable height and stretcher, can be put into trendelenburg and reverse Trendelen</t>
  </si>
  <si>
    <t xml:space="preserve"> NO. 	QTY	UNIT	AGENCY'S SPECIFICATIONS			 1	17	pc	Office Chairs			 			x-x-x-x(Nothing Follows)x-x-x-x			 The Total  Approved Budget of the Contract (ABC) is Php 66,300.00. All bids in excess of the								 ABC shall be automatically rejected;								 Deliv</t>
  </si>
  <si>
    <t xml:space="preserve"> Republic of the Philippines						CBO		 		Government of Ormoc City						P.R. No.:  	201291	 		BIDS AND AWARDS COMMITTEE						Quotation No.: 	204515-6178	 		Ormoc City						PhilGEPs No.: 		 										 Standard Form Title:			REQUEST FOR QUOTATION							 				</t>
  </si>
  <si>
    <t xml:space="preserve"> 1 	 33 	 KLS. 	 S-GREEN OKRA 	  2 	 33 	 KLS. 	 KANGKONG 	  3 	 5 	 KLS. 	 PECHAY 	  4 	 30 	 PACKS 	 ICEBERG/LETTUCE 	  5 	 65 	 PACKS 	 ROMAINE/LETTUCE 	  6 	 50 	 CAN 	 MORENA 202 TALONG 	  7 	 100 	 CAN 	 MESTISA 202 AMPALAYA 	  8 	 50 	 CAN 	 BONGGA </t>
  </si>
  <si>
    <t xml:space="preserve"> Description   Supply, Delivery, and Installation of: 1. Stone Cladding 2.Steel Tube Sunblock 3. ACP Cladding</t>
  </si>
  <si>
    <t xml:space="preserve"> 1   1 unit Laptop Computer 15s-DU0013TX (Silver) Intel Core i5-8265U Processor 8GB RAM / 1T HDD NVIDIA MX130 2GB Video Card 15.6'" display screen Windows 10 2   1 unit Desktop Computer Slim 290-P0124D Intel Core i3-9100 Processor 8GB RAM / 1TB HDD Radeon </t>
  </si>
  <si>
    <t xml:space="preserve"> 50203010-01 ICT OFFICE SUPPLIES 1	unit	Anti-Virus 		 		50203010-02 SEMI-EXPENDABLE OFFICE EQUIPMENT 1	unit	External Hard Drive, 1TB 		 -2.5" HDD, USB 3.0 		 -backward compatible with USB 2.0, 5400rpm 		 -with dual  color LED light to indicate USB 3.0/usb </t>
  </si>
  <si>
    <t xml:space="preserve"> OFFICE OF THE BIDS AND AWARDS COMMITTEE (BAC)                                                                                                   Notice No    : 2020-295                                                                                        </t>
  </si>
  <si>
    <t xml:space="preserve"> 46 sacks Good Rice 25kgs 3   sacks Good Rice 50kgs</t>
  </si>
  <si>
    <t xml:space="preserve"> Item No. Qty. units Description Brand Amount /Unit 1  2  PIECE/S BATTERY 12 VOLTS,17 PLATES 2  1  PIECE/S CLUTCH BOOSTER ASSY, GENUINE 3  1  PIECE/S CLUTCH DISCGENUINE 4  1  PIECE/S CLUTCH MASTER ASSYGENUINE 5  1  PIECE/S CLUTCH PRESSUREPLATE ASSY-GENUINE</t>
  </si>
  <si>
    <t xml:space="preserve"> Continuous Form, 2 ply, 280mm x 378mm, carbonless, 500 sets per box</t>
  </si>
  <si>
    <t xml:space="preserve"> 10	Pieces	Marine Plywood ¼ 15	Pieces	Good Lumber 2x2x12 1	Kilograms	Common Nail #1 1	Kilograms	Common Nail #2 1 	Kilograms	Common Nail #3 1	Kilograms	Concrete Nail #3 8	Pieces	Pad Lock 5	Pieces	Doorknob 10	Pieces	Corrugated G.I. 12ft 10	Pieces	Good Lumber</t>
  </si>
  <si>
    <t xml:space="preserve"> MOSQUITO CONTROL PROGRAM								 											 			(5-02-08-990) Other General Services								 1	12	month	Misting Fee					 400,000.00 		 400,000.00 	 											 			Scope of Works:								 			     - Quarterly Spraying								 			     - Monthly larvae trappi</t>
  </si>
  <si>
    <t xml:space="preserve"> 3	SET	DESKTOP			 		CoRE i3 9th gen.			 		DDR Memory (4gb)			 		1TB HDD + 120 GB SSD			 		Windows 10			 		Office 2019			 		22" Monitor			 		Keyboard &amp; Mouse			 2	UNITS	PRINTER 3-IN-1			 		(Print, Scan, Xerox)			 3	UNITS	UPS (HD)			 		Power Capacity 400 Wat</t>
  </si>
  <si>
    <t xml:space="preserve"> Lamp Post (Wall Mounted) Wiring Installation</t>
  </si>
  <si>
    <t xml:space="preserve"> Item No.	Quantity	Unit of Issue	Item Description	 Estimated Unit Cost 	 Estimated Cost  1	1	Unit	Electrocardiogram (ECG) Machine  with complete accessories	     75,000.00 	     75,000.00   	 	 	Specifications:	 	   	 	 	Input:  Defibrillator protection bu</t>
  </si>
  <si>
    <t xml:space="preserve"> 3pcs External Drive 1TB 5pcs Kingston Data Traveller 100 16gb Flash Drive 10pcs Headset Headphone with Mic Flash Drive 1pc Cork Board 10pcs USB to LAN Adaptor 1pc White Board 3pcs SD Card (Big Capacity) 1pc White Board Marker (Box) 3pcs Web Camera 60pcs T</t>
  </si>
  <si>
    <t xml:space="preserve"> 1 4 PCS UNIFI UAP-AC-PRO W/ POE ADAPTER  2 50 PCS RJ45  3 50 PCS RJ45  4 5 PCS USB WIFI ADAPTER WIRELESS DONGLE RTZ8187B -FOR WINDOWS 7 AND UPDATED OS NOTE: -SUPPLIER MUST SPECIFY PRODUCT WARRANTY -SPECIFY BRAND NAMES</t>
  </si>
  <si>
    <t xml:space="preserve"> Number: 	Quantity: 	Unit	PPMP_Code	PPMP_Code1	PPMP_Code2	PPMP_Remarks	Particulars	StockNo	Unit_Cost	Estimated_Cost 1	50	pack	2893-32613	1	2893-32613-1		Hybrid Corn Seeds (Sweet Corn)		3,000.00	150,000.00 							Minimum Specification:			 							a ) Quality</t>
  </si>
  <si>
    <t xml:space="preserve"> Victorias City Water District (VCWD), will undertake a Small Value Procurement for the Supply &amp; Delivery of Pipeline Extension Materials Lot 1 (HDPE) in accordance with Section 53.9 of the Implementing Rules and Regulations of Republic Act No. 9184. Name </t>
  </si>
  <si>
    <t xml:space="preserve"> 92 REAMS A4 BOND PAPER FOR TEACHERS</t>
  </si>
  <si>
    <t xml:space="preserve"> "CAKE BE WITH YOU"								 1	56	pc.	Birthday Cake, soft-icing, with greetings and candle					 1,392.86 		 78,000.00 	 											 			(Delivery will depend on birthdates of barangay								 			officials and employees.)</t>
  </si>
  <si>
    <t xml:space="preserve"> 1	7	pc	Filing Steel Cabinet, 4 drawers			 			x-x-x-x Nothing Follows x-x-x-x			 The Total  Approved Budget of the Contract (ABC) is Php 59,500.00. All bids in excess of the									 ABC shall be automatically rejected;									 Delivery period is within 3</t>
  </si>
  <si>
    <t xml:space="preserve"> CONSTRUCTION SUPPLY &amp; MATERIALS</t>
  </si>
  <si>
    <t xml:space="preserve"> Item No.	Quantity	Unit of Issue	Item Description	 Estimated Unit Cost 	 Estimated Cost  1	1	set	Dental Chair Portable	       30,000.00 	        30,000.00   	 	 	Specifications:	 	   	 	 	Parameters	 	   	 	 	* Height:  240～640（mm）	 	   	 	 	* Power:  110V</t>
  </si>
  <si>
    <t xml:space="preserve"> ITEM NO.	QTY.	UNIT	ITEMS &amp; DESCRIPTION	 				 1	2	units	3 Channel Output 12 Leads Patient	 			Monitor ECG Analyzer	 			Automatic adjustment of Baseline for Optimal Printing	 			Lead: Standard 12 leads	 			Lead acquisition: 12bit/1000Hz(synchronously 12 lea</t>
  </si>
  <si>
    <t xml:space="preserve"> 4	unit	Backpack Sprayer, Good Quality, Heavy duty, and durable 		Specs: 		           Tank Capacity: 16 L 		           Manual 1	package	Personal Protective Equipment (PPE) 		Specs: 		           Medical grade including surgical mask 		           Face shield</t>
  </si>
  <si>
    <t xml:space="preserve"> 340 vials Anti Rabies Vaccine</t>
  </si>
  <si>
    <t xml:space="preserve"> Grade 7 (271 pages)	1,198 sets Grade 8 (280 pages)	1,222 sets Grade 9 (279 pages)	1,142 sets Grade 10 (276 pages)	1,012 sets</t>
  </si>
  <si>
    <t xml:space="preserve"> 1 1,090 ltrs DIESEL  2 78 ltrs GASOLINE Remarks : TERMS AND CONDITIONS 1 Payments will be based on actual pump price. 2 The supplier must preferably be the nearest station from the requisitioning office. 3 Billing shall be made weekly. 4 The requisitionin</t>
  </si>
  <si>
    <t xml:space="preserve"> Re- Surface Rotor Disc	 1 	pc Disc Brake Pads	 1 	pc Brake Cleaner	 2 	pc Ball Joint Upper	 2 	pc Ball Joint Lower	 2 	pc Rubber Boots Left	 2 	pc Rubber Boots Right	 2 	pc Tie Rod End Outer	 1 	pc Tie Rod End Curve	 1 	pc Pitman Arm Assy.	 1 	pc Center P</t>
  </si>
  <si>
    <t xml:space="preserve"> To support for the procurement of 200 ea Packing with PN: MS28775-131 and 7 other L/l for use during Scheduled Maintenance of UH-1H Acft Nrs 853 &amp; 513 assigned at 205THW.</t>
  </si>
  <si>
    <t xml:space="preserve"> Republic of the Philippines						LDRRMO-GF		 		Government of Ormoc City						P.R. No.:  	201770	 		BIDS AND AWARDS COMMITTEE						Quotation No.: 	204511-6176	 		Ormoc City						PhilGEPs No.: 		 										 Standard Form Title:			REQUEST FOR QUOTATION						</t>
  </si>
  <si>
    <t xml:space="preserve"> ITEM NO.	QTY.	UNIT	ITEMS &amp; DESCRIPTION	 				 1	1	unit	Floor Mounted Aircon 3TR	 			Floor Standing Basic	 			Cooling Capacity: 36,000 Btu/h (3TR), 55,000 (5TR)	 			Power Supply: 220-230,60,1	 			Power Input: 3,276w (3TR), 5,840w (5TR)	 			Power Current: 22</t>
  </si>
  <si>
    <t xml:space="preserve"> Valve Relay Air System Part No. 60357-00200	2 	pcs</t>
  </si>
  <si>
    <t xml:space="preserve"> Supply, Installation, Commissioning and Testing  of a 250Mbps Fiber Optic Dedicated Internet Access Service 1.	The Pamantasan ng Lungsod ng Maynila (PLM), through the PLM’s Corporate Budget for the contract approved by the Board of Regents for CY 2020 int</t>
  </si>
  <si>
    <t xml:space="preserve"> 1 4,740 ltrs DIESEL Remarks : TERMS AND CONDITIONS 1 Payments will be based on actual pump price. 2 The supplier must preferably be the nearest station from the requisitioning office. 3 Billing shall be made weekly. 4 The requisitioning office shall see t</t>
  </si>
  <si>
    <t xml:space="preserve"> Republic of the Philippines SORSOGON STATE COLLEGE Bids and Awards Committee Sorsogon City INVITATION TO SUBMIT PROPOSAL ______________________ _______________________ _______________________ Gentlemen: The Sorsogon State College invites qualified Caterin</t>
  </si>
  <si>
    <t xml:space="preserve"> Bond paper long Bond paper a4 Laminating film long Laminating film a4 Plastic envelope long Epson ink t664 black Ink magenta Ink cyan Ink yellow Paper fattener Staple wires Correction tape Double sided tape Push pin DTR board and paper Cutter glue White b</t>
  </si>
  <si>
    <t xml:space="preserve"> Hiring of One (1) Security Guard to safeguard and protect the  DENR PENRO Cagayan at  Twenty Four (24) hours duty (day and night) during Saturdays and Sundays including holidays while on weekdays (Monday to Friday) it shall be from 6:00 p.m. to 6:00 a.m. </t>
  </si>
  <si>
    <t xml:space="preserve"> BARANGAY URDANETA TRANSPORT VEHICLE								 											 			(1-07-06-010) Motor Vehicle								 1	1	unit	Emergency Transport Vehicle					 2,213,935.69 		 2,213,935.69 	 			(with Emergency Equipment and Supplies)								 											 			Vehicle Specification</t>
  </si>
  <si>
    <t xml:space="preserve"> 1)  Ink Cartridge:  26A Laser Jet Pro    M402dw (MCI-6121-A02H) ..........   Two (2) cart .... P3,500/cart 2)  Ink Cartridge:  Lexmark  500UA, Black (for model MS510 / MS610)....   Two (2) cart .... P10,000/cart 3)  Imaging Drum :  Lexmark  (for MS410/ 51</t>
  </si>
  <si>
    <t xml:space="preserve"> Tarpaulin for Safety Protocols  (2 x3 feet) Tarpaulin for Basic Education Information System (4x8 feet) Tarpaulin for School's Announcement (2 x 3 Feet) Tarpaulin for Emergency Numbers (2x3 feet)</t>
  </si>
  <si>
    <t xml:space="preserve"> CONCRETE WORKS 75	bags	Portland Cement 8	cu.m.	3/4" Gravel 4	cu.m.	White Sand REINFORCING STEEL BARS	 30	pcs	12 mm. dia. Def Steel 20	pcs	10 mm. dia. Def Steel 15	kls	GA. #16 GI Tie Wire FORMS AND SCAFFOLDING	 6	pcs	1/2" x 4' x 8' Phenolic board. 30	pcs	2</t>
  </si>
  <si>
    <t xml:space="preserve"> 1	1	unit	LAPTOP			 			Specs: 			 			CPU: 7th Gen Intel Core i7-700HQ Quad Core Processor			 			HDD: 256GB PCLe NVMe M.2 Solid State Driver + 1TB 5400 rpm Hard Drive			 			Operating System: Windows 10 (64 bit)			 			Graphics: NVIDIA GeForce GTX 1060 with 6</t>
  </si>
  <si>
    <t xml:space="preserve"> NATIONAL TRANSMISSION CORPORATION RESOURCE MANAGEMENT SERVICES GROUP TransCo Annex Bldg., Diliman, Quezon City Tel. No. 902-1521/Fax No. 914-6209 SUPPLIER’S TECHNICAL/PRICE QUOTATION FORM (NEGOTIATED PROCUREMENT: SMALL VALUE PROCUREMENT) REFERENCE NO.: MI</t>
  </si>
  <si>
    <t xml:space="preserve"> The City Government of Santiago invites interested parties to submit price quotation for the “SUPPLY AND DELIVERY OF TIRE FOR VARIOUS GOVERNMENT VEHICLES“ City Hall, Santiago City, details as follows: ABC: Php  148,000.00 Contract Duration: 14 calendar da</t>
  </si>
  <si>
    <t xml:space="preserve"> King Pin Kit L &amp; R	2 	set Hydraulic Filter Element #144-601-1160	2 	pcs</t>
  </si>
  <si>
    <t xml:space="preserve"> Item No. Qty. units Description Brand Amount /Unit 11PIECE/SBATTERY N7021PIECE/SCLUTCH DISCGENUINE31PIECE/SCLUTCH MASTER ASSYGENUINE41PIECE/SCLUTCH PRESSUREASSEMBLY GENUINE51PIECE/SCLUTCH SLEEVE ASSY.GENUINE61SET/SCONNECTING ROD BEARING SETGENUINE71PIECE/</t>
  </si>
  <si>
    <t xml:space="preserve"> Trunion Shaft	2 	pcs Trunion Bushing	4 	pcs Kingpin kit LH &amp; RH	2 	pcs Tie Rod End	2 	pcs</t>
  </si>
  <si>
    <t xml:space="preserve"> Tire 2.50 x 17 dia. Inner tube 2.50 x 17 Tire 2.75 x 17 dia. Inner tube 2.75 x 17 Tire 3.00 x 17 dia. Inner tube 3.00 x 17</t>
  </si>
  <si>
    <t xml:space="preserve"> I. General Requirements 1	lot	Project Tarpaulin 		II. SITEWORKS 		Clearing, grubbing &amp; Excavation works 		B. Labor 1		Construction Foreman(1 person 3 days @ 550 per day) 6		Unskilled Laborer (6 persons 3 days @ 300 per day) 		III. FORMWORKS &amp; SCAFFOLDINGS</t>
  </si>
  <si>
    <t xml:space="preserve"> 1 80 ltrs GASOLINE  2 8,200 ltrs DIESEL Remarks : TERMS AND CONDITIONS 1 Payments will be based on actual pump price. 2 The supplier must preferably be the nearest station from the requisitioning office. 3 Billing shall be made weekly. 4 The requisitionin</t>
  </si>
  <si>
    <t xml:space="preserve"> Victorias City Water District (VCWD), will undertake a Small Value Procurement for the Supply &amp; Delivery of Pipeline Extension Materials Lot 3 (Construction Materials) in accordance with Section 53.9 of the Implementing Rules and Regulations of Republic A</t>
  </si>
  <si>
    <t xml:space="preserve"> A4 size, 70 gsm, Single Page, and Bookbind 	 Grade 11 ABM (337 pages)	72 sets Grade 11 HUMSS (341 pages)	111 sets Grade 11 GAS (338 pages)	75 sets Grade 11 TVL - ICT (342 pages)	53 sets Grade 11 TVL - HE (342 pages)	29 sets Grade 12 ABM (304 pages)	98 set</t>
  </si>
  <si>
    <t xml:space="preserve"> 50203210-13 SEMI-EXPENDABLE TECHNICAL AND SCIENTIFIC EQQUIPMENT 180	piece	RIFLE (wooden,standard size,with black and white paint,durable,good quality)</t>
  </si>
  <si>
    <t xml:space="preserve"> Republic of the Philippines						MARKET		 		Government of Ormoc City						P.R. No.:  	201301	 		BIDS AND AWARDS COMMITTEE						Quotation No.: 	204521-6181	 		Ormoc City						PhilGEPs No.: 		 										 Standard Form Title:			REQUEST FOR QUOTATION							 	</t>
  </si>
  <si>
    <t xml:space="preserve"> Purchase of office equipment for use at Asingan Medicare Community Hospital.</t>
  </si>
  <si>
    <t xml:space="preserve"> Drugs and Medicines</t>
  </si>
  <si>
    <t xml:space="preserve"> Request for Quotation (Negotiated Procurement-Sec. 53.1 of RIRR of RA 9184)                                                                             The Iligan City Government Bids and Awards Committee(BAC) Posted Request for Quotation for the Supply a</t>
  </si>
  <si>
    <t xml:space="preserve"> The Local Government Unit of Aglipay through 20% Municipal Development Fund (MDF) CY 2020 – Backfilling/Canalization in Front and Other Vicinities of the Municipal Hall and Other Municipal Vicinity   intends to apply the sum of Two Million Four Hundred Th</t>
  </si>
  <si>
    <t xml:space="preserve"> REHABILITATION AND IMPROVEMENT OF SITIO PINAGAYAN SLOPE PROTECTION ALONG SANTIL RESIDENCE					 SAPID, MANKAYAN, BENGUET					 NO.	DESCRIPTION	QTY	UNIT	UNIT COST	AMOUNT 1	FORMS FOOD FOR USE	96.24	BDFT	 55.00 	 5,293.20  2	ASSORTED COMMON NAIL	10	KGS	 80.00 </t>
  </si>
  <si>
    <t xml:space="preserve"> Battery, size AA, alkaline DVD Recordable DVD Rewritable Flash Drive, 16GB, USB 2.0 Ink - Epson T 673 (1) ink refill, black Ink - Epson T 673 (2) ink refill, magenta Ink - Epson T 673 (3) ink refill, yellow Ink - Epson T 673 (4) ink refill, cyan  Ink - Ep</t>
  </si>
  <si>
    <t xml:space="preserve"> Item No. Qty. units Description Brand Amount /Unit 14LITER/SNORMA DILUENT 3, 5 LITER22BOX/ESCHOLESTEROL 44032BOX/ESCONTROL (ERBA NORM)42BOX/ESCONTROL (ERBA PATH)52BOX/ESCREATININE 275650ROLL/SECG PAPER 80MMX20M7100BOX/ESFACE MASK, 4-PLY, EARLOOP WITH CARB</t>
  </si>
  <si>
    <t xml:space="preserve"> LCWD-2020-025 dtd. 07-01-20 Various Fittings – Regular Stocks (Re-Bid)     LCWD Warehouse INVITATION TO BID FOR VARIOUS FITTINGS – REGULAR STOCKS (RE-BID) PR No. &amp; Date : 2020-033 dated February 14, 2020 Reference No. &amp; Date : __________ 		 1.	The LEGAZPI</t>
  </si>
  <si>
    <t xml:space="preserve"> Republic of the Philippines						CSWDO		 		Government of Ormoc City						P.R. No.:  	201704	 		BIDS AND AWARDS COMMITTEE						Quotation No.: 	204509-6175	 		Ormoc City						PhilGEPs No.: 		 										 Standard Form Title:			REQUEST FOR QUOTATION							 		</t>
  </si>
  <si>
    <t xml:space="preserve"> 61 PCS. SPINNER MOP FOR TEACHERS</t>
  </si>
  <si>
    <t xml:space="preserve"> 200 Pax Cocktail Style (Snacks) Menu: Chicken course, beef course, bread course, seafood course, fresh fruits, softdrinks 12oz PLEASE SEE ATTACHED RFQ. QUOTE YOUR PRICE AND SUBMIT TO THE BAC SECRETARIAT, PROVINCIAL GENERAL SERVICES OFFICE, MAIN CAPITOL BU</t>
  </si>
  <si>
    <t xml:space="preserve"> Republic of the Philippines						CSWDO		 		Government of Ormoc City						P.R. No.:  	201725	 		BIDS AND AWARDS COMMITTEE						Quotation No.: 	204513-6177	 		Ormoc City						PhilGEPs No.: 		 										 Standard Form Title:			REQUEST FOR QUOTATION							 		</t>
  </si>
  <si>
    <t xml:space="preserve"> KALUSUGAN AY KAYAMANAN-FLU VACCINATION								 											 			(5-02-03-040) Drugs and Medicines Expenses								 1	600	vials	Quadrivalent Seasonal Influenza Vaccine					 845.00 		 507,000.00 	 			-Inactivated, Types A and B Subvirion, 0.5ml pre-filled 			</t>
  </si>
  <si>
    <t xml:space="preserve"> 1box Bond Paper (Long) 1pc Hard Drive 1TB 20pcs Ball Pen 20pcs Notebook 20pcs Clear Folder (Long) 9pcs Flash Drive 64gb 1pc Clicker 10pcs LAN Converter Terms and Conditions: 1.	The RFQ form must be fully accomplished. If an item is not available, type/wri</t>
  </si>
  <si>
    <t xml:space="preserve"> Hiring of service vehicles for use by the ALPAS-Rice Resiliency Project Teams/APCOs for their validation, monitoring/documentation, retreival of masterlists/pertinent forms, witness in the distribution, and inspection of delivered interventions to the LGU</t>
  </si>
  <si>
    <t xml:space="preserve"> Qoutation Ctrl #:	20-06-006			 									 REQUEST FOR QUOTATION									 PROCUREMENT OF OFFICE TABLES AND CHAIRS									 									 Name									 									 Address									 									 Please quote your lowest price on the item/s listed, subject to the condi</t>
  </si>
  <si>
    <t xml:space="preserve"> 100 Pcs Souvenir magazine (digital printing) 25 Pcs Tarpaulin 3x4 PLEASE SEE ATTACHED RFQ. QUOTE YOUR PRICE AND SUBMIT TO THE BAC SECRETARIAT, PROVINCIAL GENERAL SERVICES OFFICE, MAIN CAPITOL BUILDING, CAPITOL SITE, SURIGAO CITY, WITH THE FOLLOWING CERTIF</t>
  </si>
  <si>
    <t xml:space="preserve"> 1 1,892.4000 ltrs DIESEL  2 91.3000 ltrs GASOLINE Remarks : TERMS AND CONDITIONS 1 Payments will be based on actual pump price. 2 The supplier must preferably be the nearest station from the requisitioning office. 3 Billing shall be made weekly. 4 The req</t>
  </si>
  <si>
    <t xml:space="preserve"> 1	3	pieces	Ink, L120, BK T6641		 2	9	pieces	Ribbon, LQ-310, S015639		 3	2	drums	Chlorine		 4	10	pieces	Mop, Foam		 5	27	pieces	Toilet Deodorant Cake, 99 %, 50 grms		 6	20	pieces	Alcohol, Toilet Deodorant Cake 99%, 50 grams		 7	1440	pieces	Detergent Powder</t>
  </si>
  <si>
    <t xml:space="preserve"> Republic of the Philippines COMMISSION ON ELECTIONS M a n i l a INVITATION TO BID Supply and Delivery of Construction Materials for the Documents Storage Area at Comelec Lot, CBP-I, Island A, Pasay City (MOA Complex) BAC Reference No. 05-2020CM Approved B</t>
  </si>
  <si>
    <t xml:space="preserve"> Diesel Fuel 1414 ltrs</t>
  </si>
  <si>
    <t xml:space="preserve"> PURCHASE OF THE FOLLOWING AMMUNITIONS: 1) 9mm cal.                         -  1300 pcs. 2)12 gauge shotgun              -  400 pcs. 3) cal. 5.56 mm M-16           -   800 pcs</t>
  </si>
  <si>
    <t xml:space="preserve"> Republic of the Philippines						CHO		 		Government of Ormoc City						P.R. No.:  	200968	 		BIDS AND AWARDS COMMITTEE						Quotation No.: 	204525-6183	 		Ormoc City						PhilGEPs No.: 		 										 Standard Form Title:			REQUEST FOR QUOTATION							 				</t>
  </si>
  <si>
    <t xml:space="preserve"> July 1, 2020 REQUEST FOR QUOTATION Supply/Delivery of Office Equipment  for  the use in the  RIM Pantry  of  NIA RO V, Naga City  PR No.: 20-03-056 Quotation/Bid No. F501-RO-050-20 The MANAGER BODEGA GLASSWARE Elias Angeles, Naga City  Sir; Please quote y</t>
  </si>
  <si>
    <t xml:space="preserve"> Item No. Qty. units Description Brand Amount /Unit 16UNIT/SAMBU BAG, ADULT WITH ACCESSORIES, 3 PCS MASK, 1 PC OXYGEN TUBING (200CM),2 PCS OXYGEN RESERVOIR BAG, (1,700ML) WITH GUEDELAIRWAY, 6 PCS PER SIZE: 90MM, 80MM, 70MM, 60MM, 50MM,40MM24UNIT/SAMBU BAG,</t>
  </si>
  <si>
    <t xml:space="preserve"> ITEM NO.	UNIT		QTY		DESCRIPTION		 							 1	 unit 		1		Standard window type aircon		 					 2.5 HP manual 		 					 4 way air deflection system 		 					 side out chasis 		 					 Automatic condensate removal 		 					 removable,washable intake grille 		 					</t>
  </si>
  <si>
    <t xml:space="preserve"> Please see attached Invitation to Bid (ITB) and Purchase Request (PR).</t>
  </si>
  <si>
    <t xml:space="preserve"> Cement A Sand Cut Off Disc C. Dics G. Disc Welding Rod Red oxide primer Quick Dry Paint Baby Roller Paint Thinner Sand Paper # 80 Epoxy primer small Angular bar 2x4 Angular Bar 2x2 Angular bar  1/4 x 1 Steel Matting Cylindrical 3/4 Butterfly Rubber Caster</t>
  </si>
  <si>
    <t xml:space="preserve"> Giga Hydrauvac Assy. Long	1 	pc Giga Hydrauvac Assy. Short	1 	pc</t>
  </si>
  <si>
    <t xml:space="preserve"> Tarpaulin Prinitng 4ft x 8ft ***Nothing Follows***</t>
  </si>
  <si>
    <t xml:space="preserve"> 1 2 PC PRESSURE SWITCH  2 2 PC PRESSURE GAUGE  3 2 PC WHEEL BORROW 2 WHEELS  4 4 ROLL TELEPHONE WIRE 3.C  5 30 PC TELEPHONE OUTLET BOX RJ.11  6 20 PC TELEPHONE  7 1 PC ELECTRICAL CLUMMPS METER 3,000W</t>
  </si>
  <si>
    <t xml:space="preserve"> 2	Packs	Laminating Film Long 4	Ream	Book Paper Long   4	Bottle	Epson Ink 664 1	Unit	Inject Printer (Epson L120)  12	Set	Sewing Kits 1	Dozen	Spoon 1	Dozen	Fork 1	Dozen	Placemat 1	Dozen	Plates 1	Dozen	Cup 1	Dozen	Glass 8	Roll	Adhesive Tape 1” 4	Bottles	All </t>
  </si>
  <si>
    <t xml:space="preserve"> Description The LGU-MAYANTOC, through its Bids and awards committee (BAC) invites contractors registered with and classified by the PHILGEPS to apply for the eligibility and found eligible, to bid for the here under contract: NAME OF PROJECT:CONSTRUCTION </t>
  </si>
  <si>
    <t xml:space="preserve"> Five (5) pcs Hard Disk (1TB) and four (4) other LI</t>
  </si>
  <si>
    <t xml:space="preserve"> INVITATION TO BID CONSTRUCTION OF PISNADAN FARMER’S MUTLI-PURPOSE BUILDING, PHASE-II TUBADAY, SANTOL, LA UNION 1.	The Municipal Government of Santol, La Union through the RA 7171  intends to apply the sum of ONE MILLION PESOS (Php 1,000,000.00) being the </t>
  </si>
  <si>
    <t xml:space="preserve"> Procurement of Office Supplies - PR. No. 119  DepEd Division of San Pablo City would like to request for quotation of Office Supplies to be use by HR Office (for Appointment and 201 Files). Attached is a copy of Purchase request for your reference. Please</t>
  </si>
  <si>
    <t xml:space="preserve"> INSTALLATION OF LAMP POST WITH CONCRETE PEDESTAL AND SOLAR LAMP AT BRGY. CONCEPCION, SAN PABLO CITY ( 20 SETS/UNITS )</t>
  </si>
  <si>
    <t xml:space="preserve"> 1 5,932.5600 ltrs DIESEL  2 286.2200 ltrs GASOLINE Remarks : TERMS AND CONDITIONS 1 Payments will be based on actual pump price. 2 The supplier must preferably be the nearest station from the requisitioning office. 3 Billing shall be made weekly. 4 The re</t>
  </si>
  <si>
    <t xml:space="preserve"> Hiring of Four  (4) Security Guards to safeguard and protect the  PENRO Cagayan Sub Office and  CENROs Sanchez Mira, Aparri and Alcala, Cagayan from 8:00 p.m. to 4 a.m.  from Monday to Sunday including holidays effective August 01, 2020 to December 31, 20</t>
  </si>
  <si>
    <t xml:space="preserve"> Please download associated components.</t>
  </si>
  <si>
    <t xml:space="preserve"> REQUEST TO SUBMIT SEALED QUOTATION The TARLAC AGRICULTURAL UNIVERSITY, through its Bids and Awards Committee (BAC), invites all suppliers and dealers to submit sealed quotation for the Contract Reference # 2020-RFQ-025 GOODS “PURCHASE OF LABORATORY EQUIPM</t>
  </si>
  <si>
    <t xml:space="preserve"> Item No. Qty. units Description Brand Amount /Unit 18UNIT/SCABINET, STEEL LOCKER, 15 SHELVES, 72" X 36" X 28" 15 locker with 3 key,Color: GreenC28UNIT/SCABINETS Shelving Rack - Steel, 5 Tier-LIF with DoorSize: 200cm x 91cm x 45cm326UNIT/SCHAIR, WAITING, 4</t>
  </si>
  <si>
    <t xml:space="preserve"> Uniform with Mask of Barangay Cotta, Lucena City</t>
  </si>
  <si>
    <t xml:space="preserve"> To be used for the implementation of Off-season Onion Production in Nueva Vizcaya:  2,100 Pcs Round Bar (10 mm x 6m) 3,500 Pcs Round Bar (8 mm x 6m)</t>
  </si>
  <si>
    <t xml:space="preserve"> 10 Pieces Alcohol 70% (500l) 20 pieces Tisuue Paper 10 packs Antibacterial wipes (50pcs/pack) 3 boxes Surgical face mask 5 pieces Parker ballpoint refil (blue) 10 pieces Gel sanitizer 70% alcohol (50ml) Note: For official use of Conservation and Developme</t>
  </si>
  <si>
    <t xml:space="preserve"> Item No. Qty. units Description Brand Amount /Unit 120GALLON/SALL PURPOSE CLEANER, CITRUS CONCENTRATE 4 LITER/S2200BOT/SBATTERY SOLUTION3100PIECE/SBED SHEETING MATERIAL WHITE, ( 4X36X75 )WITH PRINTINGLOGO &amp; NO#450PACK/SCELLOPHANE 6X12, 100'S510PACK/SCELLO</t>
  </si>
  <si>
    <t xml:space="preserve"> DOORS &amp; WINDOWS REMOVAL OF EXISTING WINDOWS TILE WORKS</t>
  </si>
  <si>
    <t xml:space="preserve"> Catering Services 70pax 2Days 1meal&amp;2snacks 2viands with rice Bottled Water/Drinks Terms and Conditions: 1.	The RFQ form must be fully accomplished. If an item is not available, type/write N/A, No entry shall be left blank. 2.	Supplier must submit with th</t>
  </si>
  <si>
    <t xml:space="preserve"> Request for PCOO LETTERHEAD AND MAILING ENVELOPE Please see attached RFQ form for more details Please submit your quotations through email to psu.pcoo@gmail.com</t>
  </si>
  <si>
    <t xml:space="preserve"> The municipality of San Clemente, Tarlac reserves the right to accept or reject any bid, to annul the  bidding  process, and to reject all bids at any time prior to contract award, without thereby incurring any liability to  the affected bidder or bidders</t>
  </si>
  <si>
    <t xml:space="preserve"> 1 lot JOB ORDER: Supply and Installation of Pre-Fabricated Materials 45.53 sq.m. - Pre-fabricated Materials  - Dimension: 5.82m (width) x 7.82m (length) = 45.53 sq.m.  - Height: 3.42m  - Non-Asbestos Materials, Waterproof, Fire Proof, Heat and Sound Insul</t>
  </si>
  <si>
    <t xml:space="preserve"> Invitation to Bid 				 for the 				 Supply and Delivery of construction materials for repair/improvement of old slaughter house (storage room 2) at san isidro, pili, cam. sur 				 				 The Local Government Unit of Pili, Camarines Sur, through the 20% Econ</t>
  </si>
  <si>
    <t xml:space="preserve"> Item No. Qty. units Description Brand Amount /Unit 1  5  CARTRIDGE/S HP 56X LASERJET TONER, HIGH YIELD BLACK 2  60  BOT/S  INK, EPSON L3110, BLACK (GENUINE) 3  24  BOT/S INK, EPSON L3110, CYAN (GENUINE)  4  24  BOT/S INK, EPSON L3110, MAGENTA (GENUINE) 5 </t>
  </si>
  <si>
    <t xml:space="preserve"> 1 1,760.1600 ltrs DIESEL  2 84.9200 ltrs GASOLINE Remarks : TERMS AND CONDITIONS 1 Payments will be based on actual pump price. 2 The supplier must preferably be the nearest station from the requisitioning office. 3 Billing shall be made weekly. 4 The req</t>
  </si>
  <si>
    <t xml:space="preserve"> The Department of Agrarian Reform Ifugao Provincial Office, through its Bids and Awards Committee (BAC), invites bidders to apply for eligibility and short listing, and if found eligible and shortlisted, to bid for the hereunder projects: Name of Project	</t>
  </si>
  <si>
    <t xml:space="preserve"> 8pcs 2 SM Battery 6 pcs 3 SM Battery</t>
  </si>
  <si>
    <t xml:space="preserve"> One (1) Lot 1. Brass Water Meter # 1/2" - 159 units 2. Brass Swing check valve   - 500 pcs 3. Brass Replacement Piece   - 754 pcs 4. Brass Faucet hosebib        - 137 pcs 5. GI street elbow                - 400 pcs 6. Brass replacement piece #1/2"   - 50 </t>
  </si>
  <si>
    <t xml:space="preserve"> Catering Service 70pax 2Days 1meal&amp;2snacks 2viands with rice Bottled Water/Drinks Terms and Conditions: 1.	The RFQ form must be fully accomplished. If an item is not available, type/write N/A, No entry shall be left blank. 2.	Supplier must submit with the</t>
  </si>
  <si>
    <t xml:space="preserve"> MATERIALS FOR FENCING OF SENIOR CITIZEN BUILDING AT NEW VILLAGE, TAMBULIG, ZAMBOANGA DEL SUR</t>
  </si>
  <si>
    <t xml:space="preserve"> 1 LOT Editorial Services for the Special Online Edition of Book Watch (for the online publication of Book Watch)  Scope of Work: -Conceptualize, write, and edit articles and contents for the special online edition of Bookwatch -Solicit contents from other</t>
  </si>
  <si>
    <t xml:space="preserve"> To All Eligible Bidder; Please quote your lowest price on the items listed below, subject to the General Conditions stated herein and submit the same to the Office of the BAC-Secretariat on or before July 08, 2020 at 10:00 o'clock in the morning. (SGD.) W</t>
  </si>
  <si>
    <t xml:space="preserve"> Supply and delivery of Installation of Solar Street Lights.</t>
  </si>
  <si>
    <t xml:space="preserve"> REQUEST FOR QUOTATION 	The Department of Justice (DOJ), through the Bids and Awards Committee (BAC) is inviting interested parties to submit proposal/price quotation for the following project: Name of Project	:	Purchase of two (2) units Television and two</t>
  </si>
  <si>
    <t xml:space="preserve"> ITEM NO.	UNIT		QTY		DESCRIPTION		 							 1	 pcs 		3		Search Lights		 					 Model: RASL 9912 		 					 Bulb: 4pcs *Cree 3W LED 		 					 Battery Type: 3.7V3600MAh 		 					 Material:ABS Housing + PC Lens 		 					 Head Rotates 120 		 					 USB Ports 		 						</t>
  </si>
  <si>
    <t xml:space="preserve"> RE-INVITATION TO BID SUPPLY &amp; DELIVERY OF MEDICINES Reference No.: GDS-20-053 The MUNICIPAL GOVERNMENT OF DARAGA, through the Municipal Annual Budget, intends to apply the sum of Four Million Seven Hundred Eighteen Thousand Five Hundred Twenty Eight Pesos</t>
  </si>
  <si>
    <t xml:space="preserve"> 1 9,147.3600 ltrs DIESEL 2 441.3200 ltrs GASOLINE Remarks : TERMS AND CONDITIONS 1 Payments will be based on actual pump price. 2 The supplier must preferably be the nearest station from the requisitioning office. 3 Billing shall be made weekly. 4 The req</t>
  </si>
  <si>
    <t xml:space="preserve"> Road Concreting 					 Cost of Bidding Documents: Php 25,000.00					 Source of Funds: GAA FY 2020 (D.A. Fund) The significant times and deadlines of procurement activities are shown below: 1. Issuance of Bidding Documents	Deadline: July 6 – 22, 2020, 8:30a</t>
  </si>
  <si>
    <t xml:space="preserve"> CATERING SERVICES ACTIVITY : MEETING WITH THE CENTER HEADS ON THE STATUS OF ADMIN. &amp; PROGRAM IMPLEMENTATION THE C/RCFs" No. of Pax : 30 pax per schedule VENUE : All C/RCFs on rotation basis per month DATE : Monthly (July, August, September, October, Novem</t>
  </si>
  <si>
    <t xml:space="preserve"> SEALED BID NO.:HBAC-A2-2020-06-0756  DATE:       3 July  2020 Gentlemen:	 		 	Please quote your price for item/s indicated below. Price quoted is final, and without condition and inclusive of all taxes. Bid Proposal should be submitted in sealed envelope,</t>
  </si>
  <si>
    <t xml:space="preserve"> Purchase of the following materials: 1) France coupling   1 1/2               -       21 pcs 2) Rod coupling 5/8                        -       56 pcs 3)Leather cap #2                            -       32 pcs 4) GI pipe 1 1/2                             </t>
  </si>
  <si>
    <t xml:space="preserve"> Food (lunch) for 490 participants on July 13-17,2020 at Negros Oriental priority towns Caterer with good standing shall only be entertained and preferably within locality. You may send your quotation to this email address or submit it to the office.</t>
  </si>
  <si>
    <t xml:space="preserve"> Supply and Delivery of One (1) Lot Raincoat for Solid Waste Management Personnel. Please quote your lowest price on Supply and Delivery of One (1) Lot Raincoat for Solid Waste Management Personnel, listed below and submit your quotation duly signed by you</t>
  </si>
  <si>
    <t xml:space="preserve"> Republic of the Philippines														 Province of Occidental Mindoro														 Mamburao, Occidental Mindoro														 REQUEST FOR QUOTATION														 Date of Posting:	July 03, 2020					Ref. No.		RN 407-2020						 						PR No.		1011-2020-23</t>
  </si>
  <si>
    <t xml:space="preserve"> materials including labor</t>
  </si>
  <si>
    <t xml:space="preserve"> Contract ID: 20PF0069 Contract Name: CY 2020 Basic Educational Facilities Fund (BEFF): Construction of Mocgao Elementary School (2ST4CL) Brief Description: Buildings: Construction - without Piles - Low Rise - Concrete Frame Approved Budget for the Contrac</t>
  </si>
  <si>
    <t xml:space="preserve"> ITEM NO.	UNIT		QTY		DESCRIPTION		 							 					Provision/Distribution of quality vegetable seeds/seedlings		 1	 tray 		200		Seedling Tray		 					 Assorted Vegetables Seeds 		 2	 can 		10		 Eggplant 		 3	 can 		10		 Squash 		 4	 can 		10		 Ampalaya 		 5	 c</t>
  </si>
  <si>
    <t xml:space="preserve"> Republic of the Philippines Province of Iloilo  BIDS AND AWARDS COMMITTEE REQUEST FOR QUOTATION Quotation No. PBO-20-0463-NP (SV) Reference PR No. PBO-20-0463 June 29, 2020    ___________________ ___________________              ___________________ The Il</t>
  </si>
  <si>
    <t xml:space="preserve"> Body Armor (KMS-19-3/L) - Level IIIA bulletproof performance, referring to NIJ Standard 0101.06: Ballistic Resistance of Body Armor  - front and back of the backing material  - fix it firmly with 50mm wide strap  - shooting distance is 5m  - fire 6 rounds</t>
  </si>
  <si>
    <t xml:space="preserve"> CONSTRUCTION OF SAYAPOT DRAINAGE CANAL					 BALILI , MANKAYAN, BENGUET					 NO.	DESCRIPTION	QTY	UNIT	UNIT COST	AMOUNT 1	2"X3"X10' LUMBER STAGING	315	BD FT	 52.50 	 16,537.50  2	1/4" THICK, MARINE PLYWOOD	20	PCS	 470.00 	 9,400.00  3	ASSORTED COMMON NAILS	</t>
  </si>
  <si>
    <t xml:space="preserve"> NOTICE TO THE PUBLIC  REQUEST FOR QUOTATION                                                AMP SVP-S 20-07-0380 The University of the Philippines, System (UPS) hereby informs the public that it will be procuring the following item/s through Small Value Pr</t>
  </si>
  <si>
    <t xml:space="preserve"> PR. NO.		        DESCRIPTION	                                         ESTIMATED AMOUNT 000007908	   	Various IT Supplies			                 PhP        62,692.55 NOTE:  Please call Mr. Chryss Antonio at 8552-4344 for the complete lists of requirements.</t>
  </si>
  <si>
    <t xml:space="preserve"> 1	Anti-Rabies Vaccine	48 vials</t>
  </si>
  <si>
    <t xml:space="preserve"> Purchase and delivery of Communication and ICT Equipment to be used in the MDRRMO,  Concepcion, Tarlac Approved Budget for the Contract : P 123,000.00 Source of Fund : Capital Outlay 2020 - MDRRMO Deadline for submission, receipt and opening of bids shall</t>
  </si>
  <si>
    <t xml:space="preserve"> RFQ-2020-191		 			 1.	1	unit	Truck 2.2C Dropside M/T 			Model Year 2020 			No. of Cylinders: 4 			Fuel: Diesel 			2.8 ISF Cummins Engine 			2.8 Liter or 2800 cc engine 			12 footer cab-chassis the longest 4 wheeler tire in the market today 			Euro III com</t>
  </si>
  <si>
    <t xml:space="preserve"> 100	BOX	AMLODIPINE 5MG TABLET x 100's	93.75	 9,375.00  100	BOX	AMLODIPINE 10MG TABLET x 100's	112.50	 11,250.00  560	BOX	LOSARTAN 50MG TABLET x 100's	250.00	 140,000.00  152	BOX	GLICLAZIDE 80MG TABLET x 100's	407.50	 61,940.00  100	BOX	MEFENAMIC ACID 500M</t>
  </si>
  <si>
    <t xml:space="preserve"> To purchase farm inputs for the implementation of the CPAR project with silage production in Solana, Cagayan: 336 Bags  Corn (hybrid: Sweet Pearl) 30 Bags Urea (46-0-0) 20 Bags Ammonium Phosphate (16-20-0) 100 Bags Organic Fertilizer</t>
  </si>
  <si>
    <t xml:space="preserve"> CARDIAC MONITOR WITH CARNOGRAPH &amp; IBP TECHNICAL SPECIFICATIONS: 	PHYSICAL SPECIFICATIONS 	The machine is intended for the continuous or intermittent monitoring of human physiological parameters. 	The machine shall provide display, storage and analysis of </t>
  </si>
  <si>
    <t xml:space="preserve"> Wawangpulo Elementary School is in need of Learning Pocket printing, Learning Pockets for SPED, KINDER and Grades One to Grade Six with approved budget of 172,137.60</t>
  </si>
  <si>
    <t xml:space="preserve"> REQUEST FOR QUOTATION (RFQ) SUPPLY AND DELIVERY OF ULTRA SHORT THROW SMART LASER 4K UHD PROJECTOR UNDER EMB-PAB RFQ NO. EMB-PAB-SHOPPING-G-088-7-03-2020  PR NO. 2020-0564 1.	The Department of Environment and Natural Resources – Environmental Management Bu</t>
  </si>
  <si>
    <t xml:space="preserve"> Request for Quotation The Bureau of Fisheries and Aquatic Resources, Regional Office No. 5, Fabrica, Bula, Camarines Sur is requesting from prospective suppliers to submit quotation for the Supply and Delivery of Office Supplies intended for FishCORAL Off</t>
  </si>
  <si>
    <t xml:space="preserve"> OPTIMUM TONER CART. OPT-F500A BLACK OPTIMUM TONER CART. OPT-F501A CYAN OPTIMUM TONER CART. OPT.-F502A YELLOW OPTIMUM TONER CART. OPT.-F503A MAGENTA</t>
  </si>
  <si>
    <t xml:space="preserve"> Item No.	Unit	Description	Qty 1	pcs	Engine Support	2 2	pcs	Fan Belt	2 3	ea	Air Filter	1 4	ea	Oil Filter	1 5	ea	Fuel Filter	1 6	pair	Wiper Blade	1 7	pcs	Radiator Hose	2 8	gals	Radiator Coolant	2 9	kls	Freon Gas	2 10	ea	Fuel Filter	1 11	ea	Air Cleaner Eleme</t>
  </si>
  <si>
    <t xml:space="preserve"> Amount of Bid Docs 2,000.00 To all suppliers, Bid Documents are available at BAC Office on July 9, 2020 Please qoute your Lowest Price; Item No. Quantity Unit Description I 7.67 cu.m. Concrete Works II 1. lot Grills &amp; Gate II 9.00 gal Painting Works Openi</t>
  </si>
  <si>
    <t xml:space="preserve"> gold, silver and bronze medals for students award</t>
  </si>
  <si>
    <t xml:space="preserve"> PR#	2020-07-0335 HRDS	 1	lot	Various Medical Supplies and Peripherals:	 165,600.00 	 15	unit	Aneroid Sphygmomanometer Arm Blood Stethoscope Monitor Measure Device		 15	unit	Blood Glusoce Meter Sugar Tester with 50pcs test strips lancets		 15	unit	Non-Cont</t>
  </si>
  <si>
    <t xml:space="preserve"> Name of  Procuring Entity : DPWH Isabela 4th DEO			 Request for Quotation /(PR No.)	:	RFQ-2020-0017	/	Various PR # Requested on				Date	:	July 03, 2020		 Standard Form/Title: REQUEST FOR QUOTATION			 Office/End-User	:	Isabela 4th DEO		 								 Please quo</t>
  </si>
  <si>
    <t xml:space="preserve"> Please download associated components</t>
  </si>
  <si>
    <t xml:space="preserve"> RFQ 2020-117 PROJECT		:	LBP BOLINAO BRANCH RENOVATION (NEW UNIT) IMPLEMENTOR		: 	LBP RESOURCES AND DEVELOPMENT CORPORATION OWNER			:	LAND BANK OF THE PHILIPPINES	 REQUEST FOR QUOTATION FOR	:	SUPPLY OF ELECTRICAL MATERIALS    DATE / TIME OF SUBMISSION		:	O</t>
  </si>
  <si>
    <t xml:space="preserve"> To be used for the implementation of Off-season Onion Production in Nueva Vizcaya 25 Bgas 14-14-14 (complete fertilizer) 25 Bags 21-0-0 (ammonium sulfate) 25 Bags 46-0-0 (urea) 100 Bags Organic Fertilizer</t>
  </si>
  <si>
    <t xml:space="preserve"> Procurement of Office Supplies 150 ream - Paper multicopy Legal Size 120 ream - Paper multicopy A4 size 50 pc - Correction Tape 40 pc - Sign Pen 5 pc - Stamp Pad felt 10 pc - Stamp pad ink 3 cart - Toner Cart(HP85A)</t>
  </si>
  <si>
    <t xml:space="preserve"> 3pcs Hard Drive 1TB 1pc Voice Recorder 2pcs Cork Board 4pcs Web Camera for Desktop 2pcs USB 32gb 5pcs Internet Network LAN Adapter 40pcs Load Cards Terms and Conditions: 1.	The RFQ form must be fully accomplished. If an item is not available, type/write N</t>
  </si>
  <si>
    <t xml:space="preserve"> L.S. Improvement of Water System (2 sets Intake Tank (1.50 x 1.50)</t>
  </si>
  <si>
    <t xml:space="preserve"> 235 cu.m. aggregate base coarse labor shall be undertaken by the bayanihan of the barangay</t>
  </si>
  <si>
    <t xml:space="preserve"> PGM-BAC reserves the right to reject any or all quotations to waive formality therein and to accept offers as may be considered advantageous to the government. The BAC Chairperson Boac, Marinduque</t>
  </si>
  <si>
    <t xml:space="preserve"> PR. NO.		         DESCRIPTION     	                                         ESTIMATED AMOUNT 000009393	   	2 pcs. Module/2 Port Stacking		                 PhP        218,546.00 			        2 pcs. Module/2 Port 10G SFP+ NOTE: Please call Mr. Chryss Antonio </t>
  </si>
  <si>
    <t xml:space="preserve"> 18 pcs.  Mobile Load (Globe) - 500's 50 pcs. Mobile Load (Globe) - 300's 200 pcs. Mobile Load (Globe) - 100's 5 pcs. Mobile Load (Smart) - 500's 17 pcs. Mobile Load (Smart) - 300's 84 pcs. Mobile Load (Smarte) - 100's</t>
  </si>
  <si>
    <t xml:space="preserve"> Item No.	Unit	Description	Qty 1	tins	Paint latex (flat) white	10 2	bags	Skim coat white	10 3	mts	Abrassive sand paper nr 100	6 4	tins	Paint latex (gloss) white	9 5	doz	Abrassive sand paper nr 290	10 6	ltrs	Acri color assorted	6 7	gals	Paint enamel (flatwa</t>
  </si>
  <si>
    <t xml:space="preserve"> Learning Packets per Grade Level SPED (40 pupils x 95 pages) Kinder (200 pupils x 45 pages) Grade 1 (218 pupils x 240 pages) Grade 2 (232 pupils x 289 pages) Grade 3 (215 pupils x 295 pages) Grade 4 (212 pupils x 276 pages) Grade 5 (210 pupils x 261 pages</t>
  </si>
  <si>
    <t xml:space="preserve"> Republic of the Philippines									 REGION IX      									 PROVINCE OF ZAMBOANGA DEL SUR									 Pagadian City     									 BIDS AND AWARDS COMMITTEE  									 Provincial Capitol, Pagadian City									 									 INVITATION FOR SUBMISSION OF QUOTATI</t>
  </si>
  <si>
    <t xml:space="preserve"> PLEASE SEE ATTACHED PDF RFQ FOR YOUR QUOTATION. THANK YOU!</t>
  </si>
  <si>
    <t xml:space="preserve"> Re-posting of Bids specifically for Lot 3 and Lot 4 only. Procurement of Catering Services  for the 3rd Level Training Enumeration for the 2020 Census of Population and Housing (CPH) Lot No.    Unit	Item Description/Particular	     Quantity        No. Of </t>
  </si>
  <si>
    <t xml:space="preserve"> Tarpaulin</t>
  </si>
  <si>
    <t xml:space="preserve"> Food (lunch) for 450 participants on July 13-17,2020 at Bohol priority towns. Caterer with good standing shall only be entertained and preferably within locality. You may send your quotation to this email address or submit it to the office.</t>
  </si>
  <si>
    <t xml:space="preserve"> Republic of the Philippines PROVINCE OF BOHOL Municipality of Dagohoy Barangay San Miguel INVITATION TO BID FOR THE PURCHASE OF PREPAREDNESS MATERIALS/SUPPLIES FOR CALAMITY OF SAN MIGUEL, DAGOHOY, BOHOL    1.	The Barangay of San Miguel, Dagohoy, Bohol int</t>
  </si>
  <si>
    <t xml:space="preserve"> July 4, 2020 Name of Project:	PROCUREMENT AND DELIVERY OF OFFICE SUPPLIES FOR THIRD QUARTER. Sir/Madame: Please quote your lowest price for the following item enumerated below, taking into consideration the following: 1.	The Approved Budget for the Contra</t>
  </si>
  <si>
    <t xml:space="preserve"> Item No.	Unit	Description	Qty 1	1	Catering Service of OG3 PA (Attached is the terms and conditions)	1 * * * * * * * * * * * * * * * * * * * * * * * * NOTHING FOLLOWS * * * * * * * * * * * * * * * * * * * * * * * *</t>
  </si>
  <si>
    <t xml:space="preserve"> The City Government of Santiago invites interested parties to submit price quotation for the “SUPPLY AND DELIVERY OF FLOOR MOUNTED AIRCON FOR ACCOUNTING OFFICE USE“ City Hall, Santiago City, details as follows: ABC: Php  135,660.00 Contract Duration: 14 c</t>
  </si>
  <si>
    <t xml:space="preserve"> Republika ng Pilipinas BAYAN NG CORTES Surigao del Sur BIDS AND AWARDS COMMITTEE 						           July 4, 2020 INVITATION TO BID FOR   Rehabilitation of Barangay Farm to Market Roads Osawan-Tigao to Burgos, Cortes Surigao del Sur 	The Local Government Uni</t>
  </si>
  <si>
    <t xml:space="preserve"> 1 unit Data Server and UPS Specifications :  - PowerEdge R440  - Intel Xeon Silver 4210 2.2G, 10C/20T, 9.6GT/s, 13.75M Cache, Turbo, HT (85W) DDR4-2400  -32gb (2 x 16GB) RDIMM, 2666MT/s, Dual Rank  Dual-Port 1GbE On-Board LOM PERC H730P  RAID Controller, </t>
  </si>
  <si>
    <t xml:space="preserve"> Supply and Delivery of One (1) Lot Oil and Spare parts for operation and maintenance of Rescue Speedboat. Please quote your lowest price on Supply and Delivery of One (1) Lot Oil and Spare parts for operation and maintenance of Rescue Speedboat, listed be</t>
  </si>
  <si>
    <t xml:space="preserve"> REQUEST FOR PROPOSAL Date: July 3, 2020							 RFP No.: 2020 – 113 Name of Company:________________________________________________________ Office Address:___________________________________________________________ Business Permit No.:	___________________</t>
  </si>
  <si>
    <t xml:space="preserve"> 1 6 BOTS LISS  2 12 BOTS ANTI HUMAN GLOBULIN ( AHG)  3 10 BXS H-PYLORI  4 10 BXS TROP-I</t>
  </si>
  <si>
    <t xml:space="preserve"> The Local Government Unit of Aglipay through 20% Municipal Development Fund (MDF) CY 2020  intends to apply the sum of One Million Four Hundred Thirty Seven Thousand Three Hundred Forty Two Pesos and 47/100 (Php 1, 437,342.47) being the Approved Budget fo</t>
  </si>
  <si>
    <t xml:space="preserve"> The City Government of Santiago invites interested parties to submit price quotation for the “SUPPLY AND DELIVERY OF AGRICULTURAL SUPPLIES FOR MUSHROOM PRODUCTION“ City Hall, Santiago City, details as follows: ABC: Php  62,200.00 Contract Duration: 14 cal</t>
  </si>
  <si>
    <t xml:space="preserve"> QTY---------UNIT-----ITEMS 1--------------lot--------Mobilization/Demobilization 1-------------unit-------Guardhouse 1-------------unit-------Project Sign Board 1-------------unit-------Project Concrete Marker 444----------Lot--------Earth Works 37-------</t>
  </si>
  <si>
    <t xml:space="preserve"> INVITATION TO BID The DPWH Bukidnon 1st District Engineering Office, Malaybalay City, through its Bids and Awards Committee (BAC), invites contractors to submit bids for the following Contracts:   			 3	Contract ID 	:	20KA0094 (Readvertisement) 	Contract </t>
  </si>
  <si>
    <t xml:space="preserve"> Diesel</t>
  </si>
  <si>
    <t xml:space="preserve"> as per attached RFQ</t>
  </si>
  <si>
    <t xml:space="preserve"> Approved Budget for the Contract: Php 3,647,420.00 Estimated Budget Contract Duration/ Delivery Period: 30 Calendar Days SCHEDULE of ACTIVITIES 1. Issuance of Bid Documents: July 4 – 27, 2020 before bid opening 2. Pre-bid Conference: July 13, 2020, 09:00 </t>
  </si>
  <si>
    <t xml:space="preserve"> Construction Materials for the Improvement/Construction of Multipurpose Hall Brgy. Tagbino</t>
  </si>
  <si>
    <t xml:space="preserve"> Rental of 1 unit Backhoe for 50 hours</t>
  </si>
  <si>
    <t xml:space="preserve"> CONSTRUCTION MATERIALS To supply materials for the construction of DA-CVRC Annex (DA-Logo &amp; Youth Garden) Irrigation System</t>
  </si>
  <si>
    <t xml:space="preserve"> INVITATION TO BID The DPWH Bukidnon 1st District Engineering Office, Malaybalay City, through its Bids and Awards Committee (BAC), invites contractors to submit bids for the following Contracts:   			 2	Contract ID 	:	20KA0093 (Readvertisement) 	Contract </t>
  </si>
  <si>
    <t xml:space="preserve"> 1 3 CASE Sterrad Cassette Nx 5's/ case 10133  2 1 case Sterrad Chemical Indicator Tape 6 roll/ box 14202  3 1 box Sterrad Chemical indicator strip 1000's/box 14100  4 1 case Cyclesure Biological indicator 30's/case 14324  5 1 roll Sterrad roll/ w/chem ind</t>
  </si>
  <si>
    <t xml:space="preserve"> Please see attached RFQ for complete details.</t>
  </si>
  <si>
    <t xml:space="preserve"> Engineering Office Qty.	Unit	Description 12	 CU.M 	 FILLING MATERIALS  469	 PCS 	 4" CHB  109	 BAGS 	 PORTLAND CEMENT 7	 CU.M 	 SAND  72	 PCS 	 10MM DEF. BAR  6	 KGS  	 TIE WIRE  4	 CU.M 	 GRAVEL  6	 PCS 	 2 X 2 X 12 GOOD LUMBER  18	 PCS 	 2 X 3 X 12 COCO</t>
  </si>
  <si>
    <t xml:space="preserve"> Republic of the Philippines Province of Quezon Municipality of Atimonan Barangay Zone II Project Reference No:  2020-23 Name of the Project:  Replacement and Maintenance of Streetlights Location of the Project: Barangay Zone II  Atimonan, Quezon REQUEST F</t>
  </si>
  <si>
    <t xml:space="preserve"> 1 2 units (2.10m x 1.00m) Shop-made Rapid Forming Steel Door with Jamb and Hinges  2 1 unit 2.10m x 0.60m PVC Door with Jamb and Hinges  3 3 units Door Knob, 400 Polo US6</t>
  </si>
  <si>
    <t xml:space="preserve"> Republika ng Pilipinas BAYAN NG CORTES Surigao del Sur BIDS AND AWARDS COMMITTEE 						           July 4, 2020 INVITATION TO BID FOR    Purchase of Other Accessories and Supply and Repair of L300 Vehicle Services 	The Local Government Unit of Cortes throu</t>
  </si>
  <si>
    <t xml:space="preserve"> 1.	The Municipal Government of Burgos, Ilocos Norte, through the Nutrition Development Program, CY 2020 intends to apply the sum of PhP109,998.00 being the Approved Budget for the Contract (ABC) to payments under the contract for Purchase of Baby Cereals </t>
  </si>
  <si>
    <t xml:space="preserve"> ITEM NO.	UNIT		QTY		DESCRIPTION		 							 1	 units 		2		Blackmagic Design URSA Mini 4K Digital Cinema Camera (EF Mount)		 2	 unit 		1		 Blackmagic Design URSA Power Supply 		 3	 units 		2		 Blackmagic Design Gold Mount Battery Plate for URSA Mini 		 4	 un</t>
  </si>
  <si>
    <t xml:space="preserve"> Waterworks Materials for Rehabilitation &amp; Improvement of Various Municipal Waterworks System</t>
  </si>
  <si>
    <t xml:space="preserve"> Republic of the Philippines City of Manila Office of the Barangay Chairman The Barangay 219, Zone 20, District 2, Manila Through its Bid and Awards Committee (BAC), Invites all supplier with Certificate of Accreditation duly approved by the City Council o</t>
  </si>
  <si>
    <t xml:space="preserve"> Republic of the Philippines Province of Quezon Municipality of Atimonan Barangay Zone II Project Reference No:  2020-22 Name of the Project:  5% BDRRM Fund 2020 Location of the Project: Barangay Zone II  Atimonan, Quezon REQUEST FOR QUOTATION-SHOPPING (Se</t>
  </si>
  <si>
    <t xml:space="preserve"> 1	RoadPod VT 5900 Plus Automatic traffic Classifier (ATC)	2	unit  2	Center Lane Flap (canvass)	                                              12	pc. 3	Vent (End) Plug	                                                              16	pc. 4	Std. Road Nail (70</t>
  </si>
  <si>
    <t xml:space="preserve"> Unit 	Item Description	Quantity 		 load	Sand and Gravel-(mixed)	5 bags	Cement	85 pcs	CHB 2x4x8	130 pcs	Steel Bars (10mm)	45 pcs	Steel Bars (9mm)	8 kg	Tie Wire	4 kg	Assorted CWN	14 pcs	Tiles	50 length	PVC Hose	2</t>
  </si>
  <si>
    <t xml:space="preserve"> 1 Assy Radiator (6 tube), APS All items must be brand new.</t>
  </si>
  <si>
    <t xml:space="preserve"> RFQ 2020-118 PROJECT		:	LBP DAGUPAN BRANCH RENOVATION (NEW UNIT) IMPLEMENTOR		: 	LBP RESOURCES AND DEVELOPMENT CORPORATION OWNER			:	LAND BANK OF THE PHILIPPINES	 REQUEST FOR QUOTATION FOR	:	SUPPLY OF ELECTRICAL MATERIALS    DATE / TIME OF SUBMISSION		:	O</t>
  </si>
  <si>
    <t xml:space="preserve"> 1 unit 5 HP Single Phase 220V 3450 rpm 60 Hz 4 inch diameter with control box</t>
  </si>
  <si>
    <t xml:space="preserve"> ITEM NO.	QUANTITY	UNIT	DESCRIPTION 1	         200	               Liters	Gasoline 2	       1000	               Liters	Diesel</t>
  </si>
  <si>
    <t xml:space="preserve"> Engineering Office Qty.	Unit	Description 12	 CU.M 	 FILLING MATERIALS  469	 PCS 	 4" CHB  109	 BAGS 	 PORTLAND CEMENT 7	 CU.M 	 SAND  72	 PCS 	 10MM DEF. BAR  6 	 KGS  	 TIE WIRE  4	 CU.M 	 GRAVEL  6	 PCS 	 2 X 2 X 12 GOOD LUMBER  18	 PCS 	 2 X 3 X 12 COC</t>
  </si>
  <si>
    <t xml:space="preserve"> SUPPLY AND INSTALLATION OF CCTV  1. DVR 8 CHANNEL 2MP 1a. 5 units Indoor /Outdoor CCTV 2mp Analog Device Video only 1b. DVR 8 Channel Analog Device  2. 1 HDD 2TB Survelance Class  3. 1 Outpot Monitor 21"   4. Coaxial Cable 300m/roll RG6+ Messenger Wire  5</t>
  </si>
  <si>
    <t xml:space="preserve"> July 4, 2020 Name of Project:	PROCUREMENT AND DELIVERY OF JANITORIAL SUPPLIES FOR THIRD QUARTER. Sir/Madame: Please quote your lowest price for the following item enumerated below, taking into consideration the following: 1.	The Approved Budget for the Co</t>
  </si>
  <si>
    <t xml:space="preserve"> INVITATION TO BID The DPWH Bukidnon 1st District Engineering Office, Malaybalay City, through its Bids and Awards Committee (BAC), invites contractors to submit bids for the following Contracts:   1	Contract ID 	:	20KA0092 (Readvertisement) 	Contract Name</t>
  </si>
  <si>
    <t xml:space="preserve"> ONE (1) LOT 1. CI Tee Reduce #10" x 2" , (M/M)    - 4 pcs 2. CI Tee Reduce #8" x 2" , (M/M)      - 3 pcs 3. CI Tee Reduce #6" x 2" , (M/M)      - 10 pcs 4. CI Tee Reduce #4" x 2" , (M/M)      - 3 pcs 5. CI Gate Valve #6" w/ BN&amp;G, (F/F)  - 1 pc x-x-x-x- no</t>
  </si>
  <si>
    <t xml:space="preserve"> Bot	0.9% Sodium Chloride, 1L	15000	45.00	675,000.00</t>
  </si>
  <si>
    <t xml:space="preserve"> 20 bot. Dishwashing Liquid 250ml 20 bot. Insecticide spray 500ml 20 roll Garbage Bags - big 20 roll Garbage Bags 20"x30" white 5 gal. Disinfectant Concentrated 30 pcs. Face Mask KN95 10 box Disposable Face Mask Good Quality 50pcs/bx 4 pc Soap Case with St</t>
  </si>
  <si>
    <t xml:space="preserve"> The City Government of Santiago invites interested parties to submit price quotation for the “SUPPLY AND DELIVERY OF STICKER FOR INFORMATION DISSEMINATION TO COMBAT COVID 19“ City Hall, Santiago City, details as follows: ABC: Php  133,594.50 Contract Dura</t>
  </si>
  <si>
    <t xml:space="preserve"> REQUEST FOR QUOTATION Date:	   JULY_3, 2020 RFQ No.	   JP20-024 PR No.       PD2006-22-124 					   To All Eligible Suppliers/Bidders  Please quote your lowest price inclusive of VAT on the item/s listed below, subject to the Terms and Conditions of this R</t>
  </si>
  <si>
    <t xml:space="preserve"> INVITATION TO BID The DPWH Bukidnon 1st District Engineering Office, Malaybalay City, through its Bids and Awards Committee (BAC), invites contractors to submit bids for the following Contracts:   			 4	Contract ID 	:	20KA0096 (Readvertisement) 	Contract </t>
  </si>
  <si>
    <t xml:space="preserve"> DESCRIPTION: RYZEN 3 2200G A320 MOTHERBOARD 8GB DDR4 RAM 500GB SATA HDD 700W POWER SUPPLY  KEYBOARD, MOUSE, MOUSE PAD WEBCAM 18.5 LED MONITOR AUTOMATIC VOLTAGE REGULATOR 4  PCS.  32GB FLASH DRIVE 1  PC.    SWITCH HUB 16PORT</t>
  </si>
  <si>
    <t xml:space="preserve"> purchasing food packs</t>
  </si>
  <si>
    <t xml:space="preserve"> DEADLINE OF SUBMISSION AND OPENING OF BIDS: JULY 22, 2020, 1:00 PM AT THE MUNICIPAL BAC SECRETARIAT OFFICE, IMBATUG, BAUNGON, BUKIDNON.</t>
  </si>
  <si>
    <t xml:space="preserve"> Construction Materials for Rehabilitation of Multipurpose Hall, Brgy. Macapso</t>
  </si>
  <si>
    <t xml:space="preserve"> The City Government of Santiago invites interested parties to submit price quotation for the “SUPPLY AND DELIVERY OF OFFICE EQUIPMENT FOR CITY AGRICULTURE OFFICE USE“ City Hall, Santiago City, details as follows: ABC: Php  120,492.00 Contract Duration: 14</t>
  </si>
  <si>
    <t xml:space="preserve"> Construction Materials for Rehabilitation of Multipurpose Hall, Brgy. Pinucauan</t>
  </si>
  <si>
    <t xml:space="preserve"> BAC RESOLUTION NO. 361-2020 “A RESOLUTION RECOMMENDING “NEGOTIATED - SMALL VALUE PROCUREMENT” FOR THE VARIOUS PURCHASE REQUESTS (PR’s) FROM VARIOUS OFFICES OF THE CITY OF CABADBARAN” 	 NO.	PR NO.	END-USER	PARTICULARS	AMOUNT 1	1398	CAO	CATERING SERVICES	2,</t>
  </si>
  <si>
    <t xml:space="preserve"> Waterworks Materials Rehabilitation/Improvement &amp; Maintenance of Various Municipal Waterworks System</t>
  </si>
  <si>
    <t xml:space="preserve"> Tab	Cefuroxime 500mg (as Axetil) tablet, Oral	9000 	11.86	106,740.00 tab	Lansoprazole, 30mg MR	1000	        32.00	32,000.00 Tab	Levothyroxine (as Sodium), 50mcg	2000  	4.62	  9,240.00 Cap	Phenytoin Sodium, 100mg	3000	      250.00	750,000.00 Tab	Rosuvastat</t>
  </si>
  <si>
    <t xml:space="preserve"> Lease of  Venue, Accommodation for the Conduct of the Third Level Training on 2020 Census of Population and Housing (CPH) on July 20-25, 2020                                           "ACCOMMODATION                                                         </t>
  </si>
  <si>
    <t xml:space="preserve"> Purchase and delivery of Materials for the repair and maintenance of Public Market Office and Toilet, Concepcion, Tarlac Approved Budget for the Contract : P 60,753.00 Source of fund : MOOE 2020-Municipal Mayor's Office Deadline for submission, receipt an</t>
  </si>
  <si>
    <t xml:space="preserve"> unit	Original Multi-Stage Submersible deep well 	1	unit 	pump, constructed of (DIN W-Nr 1:4801) stainless 		 	steel shaft, bowls and impellers complete with 		 	cable guard and built in check valve coupled to 		 	(USA) 7.5ph, 3 phase, 230 volts, 60hz., 		</t>
  </si>
  <si>
    <t xml:space="preserve"> Republic of the Philippines Province of Albay Municipality of Sto. Domingo Bids and Awards Committee ITEM B. Office Supplies                       PR Number                              Department                                  ABC 1.	100-2020-07-0308 	</t>
  </si>
  <si>
    <t xml:space="preserve"> ________________ 										                       Date  The BAC Chairperson SDO – DepEd Oriental Mindoro Sta.Isabel, Calapan City REQUEST FOR QUOTATION OF PRICE Sir/Madame: After having carefully read and accepted your general conditions and in considerat</t>
  </si>
  <si>
    <t xml:space="preserve"> These materials is for the installation of Streetlights of different barangays 327 units goose neck with bulb</t>
  </si>
  <si>
    <t xml:space="preserve"> puchasing needs to repair Brgy. Vehicle</t>
  </si>
  <si>
    <t xml:space="preserve"> Ethernet 10Gb 2-port 562SFP+ Adapter Quantity: One (1) unit Amount: Php 56,000.00 Data rate	Two (2) ports, each at 20 Gb/s full duplex; 40 Gb/s aggregate bi-directional theoretical bandwidth Onboard memory	256MB Bus type	PCI Express 3.0 at 8 GT/s, x8 Form</t>
  </si>
  <si>
    <t xml:space="preserve"> 1 1 box Syringe - 3ml , 100pcs  2 1 box Syringe - 5ml, 100pcs  3 2 box Insulin syringe  4 12 boxes Working gloves - 100pcs  5 6 box Surgical gloves - size 7, 50's  6 50 boxes Surgical mask  7 5 pcs Ice/cold pack - Medium  8 5 pcs Ice/cold pack - Large  9 </t>
  </si>
  <si>
    <t xml:space="preserve"> 1 4 pcs Adjustible Wrench #18  2 4 pcs Adjustible Wrench #15  3 4 pcs Adjustible Wrench #12  4 2 pcs Chain Block, 5 tons  5 2 units Crocodile Jack, 5 tons  6 5 sets Ear Muff, EP-81  7 1 unit Hand Drill  8 1 kit Hydraulic Accumulator, 400 bar (Nitrogen Cha</t>
  </si>
  <si>
    <t xml:space="preserve"> IMPROVEMENT OF MANKAYAN LANDMARK @ ABATAN					 GUINAOANG , MANKAYAN, BENGUET					 NO.	DESCRIPTION	QTY	UNIT	UNIT COST	AMOUNT 1	GA 16 FLAT SHEET	4	PCS	 1,123.50 	 4,494.00  2	STAINLESS STELL LETTERING (20" HEIGHT X 12" WIDTH X 2" THICKNESS)	23	PCS	 3,424.00</t>
  </si>
  <si>
    <t xml:space="preserve"> SUPPLY AND INSTALLATION OF WATER PUMP WITH 80 FT. 1 INCH PIPING, AND PRESSURE TANK, AND WATER RESERVE TANK EPOXY SEALING WITH POWER SUPPLY 65 FT. OF WIRE AWG THHN #10		 2HP WATER PUMP - GOULDS	2	UNIT STAINLESS PRESSURE TANK TYPE-1000 LITERS/ 264 GALS	1	PC</t>
  </si>
  <si>
    <t xml:space="preserve"> Republic of the Philippines Province of Albay Municipality of Sto. Domingo Bids and Awards Committee Request for Quotation: 07-01-2020 	The LGU- Sto. Domingo, Albay through its Bids and Awards Committee (BAC) invites Suppliers/Manufacturer/Distributors fo</t>
  </si>
  <si>
    <t xml:space="preserve"> purchasing Electrical Supplies</t>
  </si>
  <si>
    <t xml:space="preserve"> Air Purifier 3 Units Deodorizing filter, clean indicator sign, built-in dust and odor sensor</t>
  </si>
  <si>
    <t xml:space="preserve"> 2	Pack	Laminating Film Short 9	Ream	Book Paper Short 8	Bottle	Epson Ink 664 (Black, Cyan, Magenta, Yellow) 8	Ream	Book Paper Short 120	Pieces	Folder Short 4	Bottles	Epson Ink 664 (Black, Cyan, Magenta, Yellow) 1	Roll	Plastic Cover Thick 5	Pieces	Broom (Ta</t>
  </si>
  <si>
    <t xml:space="preserve"> Item No.	Unit	Description	Qty 1	Tbes	Prophylaxis Paste	20 2	Sets	Dycal (Export)	3 3	Pcks	Surgical Gauze 2x2x2	25 4	Pcks	Suction Tip /Saliva Ejector	8 5	Pcks	Polishing Strip	5 6	Rlls	Absorbent Cotton 400grms	10 7	Btls	Orahex Oral Antiseptic (Forte) 500ml	1</t>
  </si>
  <si>
    <t xml:space="preserve"> The City Government of Santiago invites interested parties to submit price quotation for the “SUPPLY AND DELIVERY OF SMART TELEVISION FOR CITY HALL LOBBY USE“ City Hall, Santiago City, details as follows: ABC: Php  61,000.00 Contract Duration: 14 calendar</t>
  </si>
  <si>
    <t xml:space="preserve"> 30 bot. Anti Dengue Chemicals 1 liters for fogging and misting</t>
  </si>
  <si>
    <t xml:space="preserve"> Installation of Water System Development Program (Level 2)</t>
  </si>
  <si>
    <t xml:space="preserve"> QUANTITY                TYPE 170 PCS.           POLO SHIRT WITH DESIGN (prescribed by the LFNHS)</t>
  </si>
  <si>
    <t xml:space="preserve"> Republic of the Philippines Province of Isabela LOCAL GOVERNMENT UNIT OF BENITO SOLIVEN INVITATION TO BID FOR THE PROCUREMENT OF 4 CYLINDER DIESEL ENGINE ASSEMBLY WITH TRANSMISSION 1.	The Municipal Government of Benito Soliven, intends to apply the sum of</t>
  </si>
  <si>
    <t xml:space="preserve"> 3 unit Orbit fan 3 pcs. flash drive 16 gb 2 ream stationary long 2 ream stationary short 20 pcs. signpen 5 box ballpen 99 pcs folder long 99 pcs. folder short 10 pcs. marker pen 10 cart computer ink hp 21 8 cart computer ink hp 22 12 ream coupon bond long</t>
  </si>
  <si>
    <t xml:space="preserve"> REQUEST FOR QUOTATION The Bureau of Jail Management and Penology — National Headquarters (BJMPNHQ), through its Bids and Awards Committee, intends to procure Subscription of Videoconferencing Application Solution which will be undertaken in accordance wit</t>
  </si>
  <si>
    <t xml:space="preserve"> Item No.	Unit	Description	Qty 1	bags	Cement	90 2	pcs	CHB 4	2000 3	T/L	Sand	5 4	T/L	Gravel	5 5	pcs	10mm CRB	150 6	pcs	2 x 2 x 8 good lumber	85 7	kgs	Tie Wire #16	10 8	pcs	1/4 x 3 x 20 Tubular	150 9	pcs	1/4 x 2 x 20 Tubular	85 10	kgs	Welding Rod	20 11	pcs	1</t>
  </si>
  <si>
    <t xml:space="preserve"> 1 2 units Wireless Computer Mouse  2 2 units Computer Mouse with Wire  3 6 kilos Nylon #120 - Mower  4 50 pcs Soft Broom - Baguio  5 30 pcs Toilet brush with handle and container  6 100 pcs Detergent Soap - Long Bar  7 125 packs Detergent Soap - Powder 50</t>
  </si>
  <si>
    <t xml:space="preserve"> Item No.	Unit	Description	Qty 1	box	Continous Form 2ply 280mmx241mm carbonless Specifications 101	10 2	box	Continous Form 2ply 280mmx241mm carbonless Specifications 102	10 3	piece	Cutter Knife	30 4	piece	Data Folder	60 5	box	Fastener metal 70mm	30 6	piece</t>
  </si>
  <si>
    <t xml:space="preserve"> 1 1 pc Timing Chain (Single Chain), Crank Shaft to Suction Valve  2 1 set Piston (4pcs) (APS)  3 1 pc Sensor (from Transmission)  4 1 set Propeller (Front Drive)  5 4 sets Piston Ring (Std.)  6 1 pc Clutch Sleeve Cylinder (Std.)  7 4 pcs Injector (APS)  8</t>
  </si>
  <si>
    <t xml:space="preserve"> Approved Budget for the Contract: Php 2,000,000.00 Estimated Budget Contract Duration/ Delivery Period: 3 MONTHS SCHEDULE of ACTIVITIES 1. Issuance of Bid Documents: July 4 – 27, 2020 before bid opening 2. Pre-bid Conference: July 13, 2020, 09:00 AM at NI</t>
  </si>
  <si>
    <t xml:space="preserve"> ONE LOT Brand New Submersible Motor #8"dia, 60Hp, 460 c, 3 phase (sand fighter) and coupled with brand new Submersible Pump #8" dia SP125(QF210-3 stages) @ TDH=75 mtrs. with Q=40lps or its equivalent with consumable materials: 1.  Splicing Kit 82-A2N (3M)</t>
  </si>
  <si>
    <t xml:space="preserve"> Livelihood Seeding Program- Negosyo Serbisyo sa Barangay (Livelihood Package)	 	 worth P5,000.00 per beneficiary (package). Pack individually in uniform laundry hamper. 	Package to include any of the following items:	 	 pack	3 in 1 coffee, 28g, 10's		 pc </t>
  </si>
  <si>
    <t xml:space="preserve"> 1   unit      Printer L5190 4 in 1               -	Fax               -	Scan               -	Print ( Legal)               -	Wifi Connected 1 unit      Computer Desktop                Processor   – Intel Core i5 – 7400                                      c</t>
  </si>
  <si>
    <t xml:space="preserve"> 1 unit Daycare Center</t>
  </si>
  <si>
    <t xml:space="preserve"> Sir/Madam:																																						 																																						 Please quote your government price/s including delivery charges, VAT or other applicable taxes, and other incidental expenses for the goods listed in Annex A.  Failure</t>
  </si>
  <si>
    <t xml:space="preserve"> Republic of the Philippines SILAY CITY GOVERNMENT Zamora Street Silay City, Negros Occidental Telefax No. (034) 495-3746 	Control  Reference Number : GOODS#0132, ITB#0135,  PR#0140: SCG-2020 Name of the Project: Purchase of Desktop Computer to be  used fo</t>
  </si>
  <si>
    <t xml:space="preserve"> REQUEST FOR QUOTATION The Local Government Unit of General Santos City thru its Bids and Awards Committee invites interested suppliers for N20-07-081 REPAIR AND INSTALLATION OF FRONT GLASS  amounting  to  P 59,278.00.  Please visit or call Bids and Awards</t>
  </si>
  <si>
    <t xml:space="preserve"> sport equipments</t>
  </si>
  <si>
    <t xml:space="preserve"> 500	tablet	Aciclovir 400 mg 5000	tablet	Allopurinol 100 mg 6000	tablet	Aluminum Hydroxide +  Magnesium  Hydroxide 200 mg + 100 mgTablet 500	Syrup	AlMag Syrup 5000	tablet	Amoxicillin 500 mg 100	capsule	Butamirate Citrate 1000	tablet	Carvedilol 6. 25 mg 800</t>
  </si>
  <si>
    <t xml:space="preserve"> CFL LED 18 WATTS	50	PCS CONVINIENCE OUTLET 2 SOCKETS	6	PCS CONVINIENCE OUTLET 2 SOCKETS	6	PCS CUTTING DISK	5	PCS ELBOW TEE PVC	6	PCS ELECTRICAL TAPE BIG  0.16MM X 19MM X 16M	6	PCS FAUCET 	15	PCS GRINDING DISK	15	PCS LIHA #80	12	PCS LIHA #100	12	PCS LIHA #</t>
  </si>
  <si>
    <t xml:space="preserve"> REQUEST TO SUBMIT SEALED QUOTATION The TARLAC AGRICULTURAL UNIVERSITY, through its Bids and Awards Committee (BAC), invites all suppliers and dealers to submit sealed quotation for the Contract Reference # 2020-RFQ-028 GOODS “PURCHASE OF TONER FOR DEVELOP</t>
  </si>
  <si>
    <t xml:space="preserve"> 1.	The MUNICIPALITY OF GUINAYANGAN, QUEZON, through  the  General Fund  intends to apply the sum of  One Hundred Seventy Two Thousand Five Hundred  Pesos  (P  172,500.00) being the Approved Budget for the Contract (ABC) to payments under the contract for </t>
  </si>
  <si>
    <t xml:space="preserve"> 1	1.00	UNIT	AIRCONDITIONING UNIT 			with Installation 			Specification 			3HP 			Split Type 			Inverter</t>
  </si>
  <si>
    <t xml:space="preserve"> Item No.	Unit	Description	Qty 1	ea	60amp Circuit Breaker	1 2	Pcs	15amp Circuit breaker	7 3	Pcs	30amp Circuit breaker	10 4	ea	LED Bulb 9w/ 220v	40 5	set	3 gang Switch	3 6	set	2 gang Switch	3 7	pc	20mm Moldex	1 8	pcs	Nr 4mm2 THHN	2 9	pcs	3-gang switch plate</t>
  </si>
  <si>
    <t xml:space="preserve"> 07072020-104 NOTICE FOR NEGOTIATED PROCUREMENT Publication: July 4, 2020 Closing: July 7, 2020 Name of Project	Purchase of various equipment for High Angle Search and Rescue Operations Approved Budget for the Contract	 ₱240,000.00 Contract Period:	15 days</t>
  </si>
  <si>
    <t xml:space="preserve"> 1 1,000 LTRS DIESEL  2 250 LTRS PREMIUM  3 1 LOT OIL &amp; LUBRICANTS Terms &amp; Condition: 1. PAYMENT WILL BE BASED ON ACTUAL PUMP PRICE 2. PAYMENT WILL BE MADE PER QUINCENA</t>
  </si>
  <si>
    <t xml:space="preserve"> 1 lot	- Supply, Delivery and Installation of Plastic  Protective Sheets on 25mm Aluminum Square Tube Framing for the Front-liners at the following Landbank Branches/Units: 		  Landbank Tubod Branch       - 45,524.00  		  Landbank Kapatagn Branch  -  28,30</t>
  </si>
  <si>
    <t xml:space="preserve"> REPUBLIC OF THE PHILIPPINES MUNICIPALITY OF LUBAO INVITATION TO BID FOR THE SUPPLY AND INSTALLATION OF 28 CCTV FOR 12 LOCATIONS  AT LUBAO, PAMPANGA 1.	The Municipality of Lubao (MOL) through the authorized appropriation under 2020 SUPPLEMENTAL NO.1 intend</t>
  </si>
  <si>
    <t xml:space="preserve"> Item No.	Unit	Description	Qty 1	pcs	2 x 4 x 1.50mm Tubular Bar	24 2	pcs	2 x 2 x 1.50mm Tubular Bar	44 3	pcs	Expansion Bolt 1/2 x6	85 4	kls	Welding Rod	61 5	pcs	Cutting Disk	10 6	pcs	Grinding Disk	13 7	bd ft	Coco Lumber	507 8	kls	CW Nails	10 9	ln ft	Solid </t>
  </si>
  <si>
    <t xml:space="preserve"> quantity                 type/description 1500 reams            groundwood long 70gsm</t>
  </si>
  <si>
    <t xml:space="preserve"> Item No.	Unit	Description	Qty 1	bottle	Bread spread 700 ml Specifications 101	30 2	box	Tea Yellow Label 2gms 25s Specifications 102	30 3	box	Tea Clear Green 2gms 50s	30 4	pack	Creamy Latte 30g	30 5	can	Pineapple juice Heart Smart 240ml	200 6	box	Bottled W</t>
  </si>
  <si>
    <t xml:space="preserve"> Const. Supplies &amp; Materials for the Impvt./Rehab of Banton Port Terminal Bldg. Item	Quantity	Unit of	Item Description	 No.		Issue		 				 1	330	bgs	Portland Cement 40 kg	 2	27	cu.m.	Sand, screened	 3	17	cu.m.	Gravel	 4	6	cu.m.	Sand	 5	8	cu.m.	Fine Sand	 6	</t>
  </si>
  <si>
    <t xml:space="preserve"> 1. The Approved Budget for the Contract (ABC) Eighty Thousand Pesos (80,000.00) Only. 2. Price quotation should be inclusive of the 5% Final VAT and expanded withholding tax (EWT) of 2%. 3. Evaluation of bids will be conducted on a “per item” basis. 4. De</t>
  </si>
  <si>
    <t xml:space="preserve"> Office: City General Services Office						 				Charge to: Other Maintenance and Operating Expenses						 				ABC:  Php300,000.00						 										 										 1	1	lot		Appraisal Services					7,000.00	 				A) Appraisal covering the land only of the following</t>
  </si>
  <si>
    <t xml:space="preserve"> Civil works that include concrete work</t>
  </si>
  <si>
    <t xml:space="preserve"> Please submit a bid based on the attached RFQ. If you are a new supplier please submit your Mayor's Permit, PhilGEPS Cert, Income Tax/Business Tax Return, Omnibus Sworn Statement.  If you have not renewed please submit updated copies of these documents.</t>
  </si>
  <si>
    <t xml:space="preserve"> 1 unit Basketball Board/Ring</t>
  </si>
  <si>
    <t xml:space="preserve"> Republic of the Philippines Province of Quezon Municipality of Atimonan Barangay Tinandog Project Reference No:  2020-12 Name of the Project: Purchase of Medicine Location of the Project: Barangay Tinandog  Atimonan, Quezon REQUEST FOR QUOTATION-SHOPPING </t>
  </si>
  <si>
    <t xml:space="preserve"> INVITATION TO BID ON THE SUPPLY AND DELIVERY OF  CONSOLIDATED ICT EQUIPMENT, IT SUPPLIES AND PHOTOCOPIER (SUB-LOT) FOR 2ND QUARTER OF BUKIDNON STATE UNIVERSITY 1.	The Bukidnon State University through the Bids and Awards Committee &amp; Budget Approved by the</t>
  </si>
  <si>
    <t xml:space="preserve"> Tab	Carbamazepine, 200mg	1000 	2.25	  2,250.00 Tab	Cilostazol, 100mg	400	25.00	10,000.00 Tab	Levodopa + Carbidopa, 250mg + 25mg	1000	  35.77	35,770.00 Bot	Lidocaine Spray 10%, 50ml, Dental	4	2,410.00	9,640.00</t>
  </si>
  <si>
    <t xml:space="preserve"> Republic of the Philippines Province of Southern Leyte Municipality of Tomas Oppus Invitation to Bid  PROCUREMENT OF MATERIALS FOR INSTALLATION OF WATER PIPE LINES 1.	The Barangay Local Government Unit, San Antonio, Tomas Oppus, Southern Leyte, through th</t>
  </si>
  <si>
    <t xml:space="preserve"> Hiring of Abaca Manufacturing Company for SMART Materials - Pre-cast Concrete Total Approved Budget for Contract = Php 300,000.00</t>
  </si>
  <si>
    <t xml:space="preserve"> QTY.	UNIT	ARTICLES AND DESCRIPTION 500	bots	Alcoholn 70% 500ml 90	doz	Ballpen (red) 1200	pcs	Bond paper (Long) 25	bots	Dishwashing Liquid 800ml 50	pcs	File box with cover (big size) 5000	pcs	Folder (long) 200	box	Plastic Paper Fastener  30	unit	Puncher (H</t>
  </si>
  <si>
    <t xml:space="preserve"> Please see attached RFQ. ABC: 175,000.00</t>
  </si>
  <si>
    <t xml:space="preserve"> materials for Installation of Street Lights</t>
  </si>
  <si>
    <t xml:space="preserve"> Please submit bid based on the attached RFQ. If you are a new supplier please submit your Mayor's Permit, PhilGEPS Cert, Income Tax/Business Tax Return, Omnibus Sworn Statement.  If you have not renewed please submit updated copies of these documents.</t>
  </si>
  <si>
    <t xml:space="preserve"> INVITATION TO BID ON THE SUPPLY, DELIVERY AND INSTALLATION OF  1 LOT LED WALL AND THEATER ACCESSORIES FOR THE MINI-THEATER  OF BUKIDNON STATE UNIVERSITY 1.	The Bukidnon State University through the Bids and Awards Committee &amp; Budget Approved by the Board </t>
  </si>
  <si>
    <t xml:space="preserve"> Electrical Supplies (pls. see attached RFQ)</t>
  </si>
  <si>
    <t xml:space="preserve"> 07072020-105 NOTICE FOR NEGOTIATED PROCUREMENT Publication: July 4, 2020 Closing: July 7, 2020 Name of Project	Purchase of disinfectant for 44 TODA of Vigan and TUPAD Beneficiaries Approved Budget for the Contract	 ₱480,000.00 Contract Period:	5 days Item</t>
  </si>
  <si>
    <t xml:space="preserve"> REQUEST FOR QUOTATION										 SUPPLY AND DELIVERY OF CHEMICALS AND FILTERING 										 	The Request for Quatation Must be Email at the bpibac@yahoo.com 									 SMALL VALUE 										 INSTRUCTION:									              	 1.	Supplies are required to re</t>
  </si>
  <si>
    <t xml:space="preserve"> PROCUREMENT OF SUPPLY AND DELIVERY OF TWO (2) UNITS WINDOW-TYPE AIR-CONDITIONER WITH INVERTER (SHOPPING)</t>
  </si>
  <si>
    <t xml:space="preserve"> pfs/amp	Influenza Polyvalent Vaccine 0.5ml suspension in pre-filled syringe or ampule (Adult)	100	570.00	57,000.00 vial	Pneumococcal Polysaccharide Vaccine 25mcg/0.5ml	100	1,700.00	170,000.00</t>
  </si>
  <si>
    <t xml:space="preserve"> 382 Packs Upland Kangkong 355 Packs Okra</t>
  </si>
  <si>
    <t xml:space="preserve"> materials for rehabilitation of public address system</t>
  </si>
  <si>
    <t xml:space="preserve"> Republic of the Philippines DEPARTMENT OF PUBLIC WORKS AND HIGHWAYS ILOILO 1st  DISTRICT ENGINEERING OFFICE REGIONAL OFFICE VI Fort San Pedro, Iloilo City INVITATION TO BID  The Department of Public Works and Highways, Iloilo 1st District Engineering Offi</t>
  </si>
  <si>
    <t xml:space="preserve"> INVITATION TO BID SUPPLY AND DELIVERY OF TWO (2) UNITS MOTOR VEHICLE (PATROL CAR), PNP, SFADS The Municipal Government of San Francisco, Agusan del Sur, through the BIDS and AWARDS COMMITTEE (BAC) intends to apply the sum of FOUR MILLION  PESOS (Php 4,000</t>
  </si>
  <si>
    <t xml:space="preserve"> 5 PCS ICOM IC-G86 VHF 7 WATTS TRANCIVER 200 CHANNEL W/ NTC LICENSE</t>
  </si>
  <si>
    <t xml:space="preserve"> 1	Automotive Diesel Fuel							1	lot	183,116.37 										 	NOTE: Terms and Condition 									 	1. The supplier shall start to serve within three (3) days upon receipt of the advice									 	By  from the project engineer until the project is completed.	</t>
  </si>
  <si>
    <t xml:space="preserve"> PROCUREMENT OF SUPPLY AND DELIVERY OF ONE(1) UNIT 7.2KVA GENERATOR SET (SHOPPING)</t>
  </si>
  <si>
    <t xml:space="preserve"> 1 4 PCS UNIFI UAP-AC-PRO W/ POE ADAPTER  2 50 PCS RJ45  3 50 PCS RJ10  4 5 PCS USB WIFI ADAPTER WIRELESS DONGLE RTZ8187B -APPLICABLE FOR WINDOWS 7 AND UPDATED OPERATING SYSTEM   5 PCS CORDED TELEPHONE -WITH PRODUCT WARRANTY</t>
  </si>
  <si>
    <t xml:space="preserve"> Meals and Snacks for the Front liners</t>
  </si>
  <si>
    <t xml:space="preserve"> Lot 1 - Const. Materials									 1	Portland Cement 							48	bags	260.00 	Terms  &amp; Condition:									 	*The materials  shall be  for pick up from the supplier  within 5									 	 working days from the receipt  of a written advice by  the project							</t>
  </si>
  <si>
    <t xml:space="preserve"> Supply and Delivery of Construction Materials re: Construction of Makeshift Classroom of Maomawan Integrated School</t>
  </si>
  <si>
    <t xml:space="preserve"> 1. Clarin National High School, through the General Appropriations Act intends to apply the sum of One Hundred Thirty Five Thousand Pesos only (Php135,000.00) being the approved budget of contract (ABC) to payments under the contract procurement and deliv</t>
  </si>
  <si>
    <t xml:space="preserve"> 1.	The Local Government Unit of Maslog, Eastern Samar now invites bids for the Concreting of Timber Bridge #5 (Phase II) @ Poblacion 02, Maslog, Eastern Samar with the following scope of works: Demolition of Dilapidated Concrete Pavement, Earth Works, Sub</t>
  </si>
  <si>
    <t xml:space="preserve"> Please see the attached Request for Quotation</t>
  </si>
  <si>
    <t xml:space="preserve"> Please Download Attachment Invitation to Bid.</t>
  </si>
  <si>
    <t xml:space="preserve"> 1 480 PCS DIAZEPAM 5MG/ML, 2ML AMPULE  2 215 PCS EPHIDRINE 50MG/ML, 1ML AMPULE  3 135 PCS FENTANYL CITRATE 50MCG/ML, 2ML AMPULE  4 90 PCS KETAMINE HCL 50MG/ML, 10ML VIAL  5 500 PCS MIDAZOLAM 5MG/ML, 2ML AMPULE  6 515 PCS MORPHINE 10MG.ML, 1ML AMPULE  7 40</t>
  </si>
  <si>
    <t xml:space="preserve"> INVITATION TO BID 	The Philippine National Police (PNP) Civil Security Group (CSG) through its Bids and Awards Committee (BAC) now invites all interested parties to apply for eligibility and to bid for the support and supply of the Items to Bid for the fo</t>
  </si>
  <si>
    <t xml:space="preserve"> This project includes: Good for 20 persons, at WPU-PPC Campus Menu: Rice, 2 to 3 viands, desserts, water &amp; fruit juice Day 1: Lunch, PM Snacks &amp; Dinner Day 2: Lunch, PM Snacks &amp; Dinner Day 3: Lunch, PM Snacks &amp; Dinner Day 4: Lunch, PM Snacks &amp; Dinner Day </t>
  </si>
  <si>
    <t xml:space="preserve"> NOTICE TO BIDDERS The Department of Public Works and Highways (DPWH), through the Bids and Awards Committee (BAC) of the DPWH - Dinagat Islands District Engineering Office, San Jose, Dinagat Islands hereby notifies the following suppliers / bidders classi</t>
  </si>
  <si>
    <t xml:space="preserve"> PLEASE SEE ATTACHED REQUEST FOR QUOTATION AND PLEASE ACCOMPLISH THE REQUIRED ATTACHMENTS FOR MORE INFORMATION</t>
  </si>
  <si>
    <t xml:space="preserve"> for FDMO-FMU use.</t>
  </si>
  <si>
    <t xml:space="preserve"> 1 5 rolls Automative Wire No. 10  2 5 rolls Automative Wire No. 12  3 5 rolls Automative Wire No. 14  4 6 rolls Automative Wire No. 16  5 10 rolls Automative Wire No. 18  6 80 pcs Battery Terminal, Brass  7 1 roll Bronze Rod  8 10 boxes Bulb, Single Conta</t>
  </si>
  <si>
    <t xml:space="preserve"> 1 unit Conference Table with top glass Size: 120cm x 240cm Materiual: High Quality Impoirted Seater: 8 8 units Swivel Chair High Back To be used at the AFD Division Manager's Conference Room</t>
  </si>
  <si>
    <t xml:space="preserve"> The LOCAL GOVERNMENT UNIT of Maslog, Eastern Samar, through the MOOE/POPS intends to apply the sum of One Million Three Hundred Thousand Pesos (1,300,000.00) being the Approved Budget Cost (ABC) to payments under the contract for the Procurement of CCTV C</t>
  </si>
  <si>
    <t xml:space="preserve"> Electrical Materials &amp; Supplies (see attached documents)</t>
  </si>
  <si>
    <t xml:space="preserve"> see attached request for quotation form.</t>
  </si>
  <si>
    <t xml:space="preserve"> 2.	The LGU-Alegria now invites bids for: ITEM NO. 	 QUANTITY 	 UNIT 	DESCRIPTION 101(1)	     1.00	         Ls.	        Removable of Structures and Obstruction 102	         1,226.96	        Cu.m        Roadway Excavation 103	            42.53	        Cu.m	</t>
  </si>
  <si>
    <t xml:space="preserve"> SUPPLY AND DELIVERY OF LABOR AND PARTS FOR THE REPAIR AND MAINTENANCE OF VEHICLE - RPAO ABC= Php90,000.00 Item	Purchaser’s Specifications / Description 1	Labor and  Parts for the Repair and Maintenance of Vehicle SGJ - 440			 	Labor:			 	General Engine Ov</t>
  </si>
  <si>
    <t xml:space="preserve"> 10500 RPTAR</t>
  </si>
  <si>
    <t xml:space="preserve"> TRANSPO SERVICES</t>
  </si>
  <si>
    <t xml:space="preserve"> 2020 14TH PUBLIC BIDDING: CENTRAL OXYGEN SUPPLIES FOR 2020 2ND SEMESTER CONSUMPTION</t>
  </si>
  <si>
    <t xml:space="preserve"> A4  white paper, 60 to 70 gsm,  single page  with sorting and stapled.</t>
  </si>
  <si>
    <t xml:space="preserve"> ITEM NO.	ITEM &amp; DESCRIPTION						QTY.	UNIT 1	Supply and Delivery of Petroleum, Oil and Lubricant (POL)  for CY 2020						1	year 	*****Nothing Follows*****							 								 								 								 	Supply and Delivery of Pertorleum, Oil and Lubricant (POL) for CY</t>
  </si>
  <si>
    <t xml:space="preserve"> Limestone Diesel</t>
  </si>
  <si>
    <t xml:space="preserve"> Learning Packets  Kinder - 5535 copies Grade 1- 31200 copies Grade 2- 46240 copies Grade 3- 38350 copies Grade 4- 34776 copies Grade 5- 37584 copies Grade 6- 38880 copies Paper size: A4 bond paper 70gsm Stapled and with sorting Printing not back to back</t>
  </si>
  <si>
    <t xml:space="preserve"> 1lot - Supply, Delivery and Installation of Plastic  Protective Sheets on 25mm Aluminum Square Tube Framing for the Front-liners at the following Landbank Branches/units:	 		Landbank Iligan City Branch 	 - 19,320.00  		Landbank Maigo Branch 	         - 28</t>
  </si>
  <si>
    <t xml:space="preserve"> NAME OF PROJECT/PROJECT DESCRIPTION: Production of a packaged and thematic high quality Department of Tourism Regional Office 1 (DOT RO1) tourism promotional and marketing audio visual videos that portrays or captures the persevering Ilocano spirit of ind</t>
  </si>
  <si>
    <t xml:space="preserve"> The Bureau of Fisheries and Aquatic Resources Region XI now invites bids for the Supply and Delivery of Milkfish Fingerlings (Garungan) for the Marine Fish Cages in Region XI. 1 LOT -      125,000 pieces bangus fingerlings (4" to 5") Allocation per area: </t>
  </si>
  <si>
    <t xml:space="preserve"> SUPPLY AND DELIVERY OF OFFICE SUPPLIES - SMD ABC= Php82,042.00 Item	Purchaser’s Specifications / Description 1	Tracing paper         - Use for architectural and engineering plans/drawings         - Provide high quality images / sketches of drawings when p</t>
  </si>
  <si>
    <t xml:space="preserve"> 10 unit Office Tables 10 units Chairs</t>
  </si>
  <si>
    <t xml:space="preserve"> 1 lot Printing and delivery of Wall Calendar with Metal Hanger Hook Pages: 12 pages (1month/page) Size: 18inches x 24inches Paperstock:bookpaper #40 Color: Full Color all pages Process: 4-color printing offset-Calendar template (soft copy) to be provided </t>
  </si>
  <si>
    <t xml:space="preserve"> Dear Sir/Madam Please quote your lowest net price/s on the item/s listed below, giving full detailed description of your offer. Submit your quotation in accordance with Item No.1 of the General Condition printed at the back, together with all samples, dra</t>
  </si>
  <si>
    <t xml:space="preserve"> 2 units	Chlorinator Metering Pump complete with        	   check valve, foot valve and 3 meters hose 	 	Max Capacity:   2.28L/hr 	Max Discharge Pressure : 1.0 Mpa 	Stroke:   0-300 SPM 	Power: 16W; AC 220V; 50/60 Hz; 1 Phase; 	            IPGS; Indoor Type</t>
  </si>
  <si>
    <t xml:space="preserve"> INSTALLATION AND LABOR OF PARTS AND ACCESSORIES FOR (HILUX - P6 G677)	 1 	 LOT 	 320,000.00  			 Diesel Engine Oil -SAE 40 (Fully Synthetic)	 28 	 liters 	 Battery (375LN3-MF)	 1 	 pc 	 Brake Pad	 1 	 set 	 Brake Shoe	 1 	 set 	 Fuel Filter	 1 	 pc 	 Oil </t>
  </si>
  <si>
    <t xml:space="preserve"> Adult Wheelchair Pedia Wheelchair</t>
  </si>
  <si>
    <t xml:space="preserve"> please see attached specifications</t>
  </si>
  <si>
    <t xml:space="preserve"> Republic of the Philippines Province of Quezon Municipality of Atimonan INVITATION FOR ELIGIBILITY AND TO BID 	The Local Government Unit of Atimonan thru the Bids and Awards Committee (BAC) invites interested suppliers/contractors to apply for eligibility</t>
  </si>
  <si>
    <t xml:space="preserve"> Please see attached RFQ. ABC: 115,000.00</t>
  </si>
  <si>
    <t xml:space="preserve"> Republic of the Philippines DEPARTMENT OF PUBLIC WORKS AND HIGHWAYS QUIRINO DISTRICT ENGINEERING OFFICE Regional Office II Cabarroguis, Quirino REQUEST FOR EXPRESSION OF INTEREST 1.	The Department of Public Works and Highways-Quirino District Engineering </t>
  </si>
  <si>
    <t xml:space="preserve"> MALACAPAS 03-2020 - installation of LED solar powered streetlights</t>
  </si>
  <si>
    <t xml:space="preserve"> Internet Service for Satellite Campuses (monthly subscription)       	 1	Sarmiento Campus (50mbps)	1 2	Bustos Campus (50mbps)	1 3	Hagonoy Campus (50mbps)	1 4	Meneses Campus (50mbps)	1</t>
  </si>
  <si>
    <t xml:space="preserve"> 2.	The LGU-ALEGRIA] now invites bids for: Item No.	Quantity	Unit	     Item Description 506	         6.00	cu.m 	Masonry Works 1027	484	        Sq.m	Cement Plaster Finished @ (For flooring,Rooftop, Water proofing) 1003	207.40	Sq.m	Carpentry, And Joinery Wor</t>
  </si>
  <si>
    <t xml:space="preserve"> Specification:   Grundfos submersible deep well pump, stainless steel construction, rated to deliver minimum of 20 LPS   X 70 - 90 meters TDH driven by Franklin (USA) 30 HP SUBMERSIBLE MOTOR, 220 Volts, 3 Phasse, 60 Hz</t>
  </si>
  <si>
    <t xml:space="preserve"> Title: Procurement of 120 Pax Meal(2) and Snack(2) under P.R No. 1144-2020- City Human Resource Management Office. Total ABC: Php 62,400.00 (INSTRUCTION AS TO THE REQUIRED FORM: For your price quotation, please use the attached Request for Quotation (RFQ)</t>
  </si>
  <si>
    <t xml:space="preserve"> Printing of learning packets See details in RFQ Requirments 1. Request for Quotation (pls. download the RFQ) 2. PhilGeps Reg. Cert. Number 3. Business Permit/ License 4. Mayor's Business Permit 5. Income Business Tax Return 6. Omnibus Sworn Statement</t>
  </si>
  <si>
    <t xml:space="preserve"> Title: Procurement of General Merchandise under P.R Nos. 2375-2020 and 2379-2020- City Social Development Office-1Lot. Total ABC: Php 215,097.00 (INSTRUCTION AS TO THE REQUIRED FORM: For your price quotation, please use the attached Request for Quotation </t>
  </si>
  <si>
    <t xml:space="preserve"> The Provincial Bids and Awards Committee (PBAC) invites all PhilGEPS registered suppliers to quote the items listed below: 1	unit	1	Base Radio Base Radio (compatible with XiR P6600i series hand held Radio)		   GENERAL SPECIFICATION		 Channel Capacity: 160</t>
  </si>
  <si>
    <t xml:space="preserve"> SIR/MA'AM" Please quote your lowest possible prices for the articles described in the attached document.</t>
  </si>
  <si>
    <t xml:space="preserve"> installation of street lights</t>
  </si>
  <si>
    <t xml:space="preserve"> NOTICE TO THE PUBLIC REQUEST FOR PROPOSAL Purchase Request No: PUR20-06-0515 The Philippine General Hospital hereby informs the public that it will be procuring the following item/s through Small Value Procurement:	 1	8	piece	Tire, 205x65xR15 94V		P	5,136</t>
  </si>
  <si>
    <t xml:space="preserve"> Canvass No: LU-2020-07		 							 Republic of the Philippines							 PHILIPPINE STATISTICS AUTHORITY - RSSO 1							 							 REQUEST FOR QUOTATION							 The Philippine Statistics Authority (PSA) through its Regional Bids and Awards Committee (RBAC) will u</t>
  </si>
  <si>
    <t xml:space="preserve"> Republic of the Philippines CITY GOVERNMENT OF LA CARLOTA BIDS AND AWARDS COMMITTEE OFFICE TEL. NO.  735-1370                                                                                                      	               	 INVITATION TO BID FOR THE </t>
  </si>
  <si>
    <t xml:space="preserve"> The Local Government Unit of Maslog, Eastern Samar now invites bids for the Upgrading of Racai Street @ Poblacion 02, Maslog, Eastern Samar with the following scope of works: Site preparation/layout, Retaining wall (column/footing, brace, wall footing, CH</t>
  </si>
  <si>
    <t xml:space="preserve"> IT SUPPLIES	 1 	 LOT  	 17,000.00  COMPUTER ANTI-VIRUS/INTERNER SECURITY, 5 IN 1	 2 	 PCS 	 MS OFFICE 2013	 2 	 PCS 	 			 COMBUTER INK	1	 PRINTER INK HP# 680 BLACK	27	PCS	 PRINTER INK HP# 680 COLOR	27	PCS	 PRINTER INK HP# 678 BLACK	27	PCS	 PRINTER INK HP#</t>
  </si>
  <si>
    <t xml:space="preserve"> CONSTRUCTION PROJECT</t>
  </si>
  <si>
    <t xml:space="preserve"> NOTICE TO THE PUBLIC REQUEST FOR PROPOSAL Purchase Request No: PUR20-06- 0512/  PUR20-06- 0506  The Philippine General Hospital hereby informs the public that it will be procuring the following item/s through Small Value Procurement:		 		PUR20-06- 0512 - </t>
  </si>
  <si>
    <t xml:space="preserve"> Title: Procurement of 50 Piece Pot, Cooking etc. under P.R No. 2376-2020- City Social Development Office. Total ABC: Php 74,553.50 (INSTRUCTION AS TO THE REQUIRED FORM: For your price quotation, please use the attached Request for Quotation (RFQ) Form and</t>
  </si>
  <si>
    <t xml:space="preserve"> Specification 1. Paper Size: A4 size 2. Paper Quality: White Paper, 70gsm 3. Single page printing with Sorting 4. soft bound with cover page 5. contact duration: 15 Calendar Days</t>
  </si>
  <si>
    <t xml:space="preserve"> Technical Specifications: •	Standard Electronic Typewriter •	15 inches’ carriage •	Dimension: 48x40x13</t>
  </si>
  <si>
    <t xml:space="preserve"> 100-2x3x10 - Coco Lumber, 200 bdft &amp; 37 other line items</t>
  </si>
  <si>
    <t xml:space="preserve"> Republic of the Philippines DEPARTMENT OF PUBLIC WORKS AND HIGHWAYS PANGASINAN 2ND  DISTRICT ENGINEERING OFFICE  REGIONAL OFFICE I Alvear St., Lingayen, Pangasinan INVITATION TO BID The DPWH Pangasinan 2nd District Engineering Office, through its Bids and</t>
  </si>
  <si>
    <t xml:space="preserve"> INSTALLATION OF CULVERT, RIPRAPPING , GUARD RAILS AND REHABILITATION OF OPEN CANAL</t>
  </si>
  <si>
    <t xml:space="preserve"> Complete Construction of 2 Units (9.50m x 23.00m) Two Storey, Four Classroom School Building with Micropile Foundation mostly built with concrete masonry, with PWD ramp with handrails, parapet wall on concrete gutter and complete with electrical works, sa</t>
  </si>
  <si>
    <t xml:space="preserve"> The LOCAL GOVERNMENT UNIT of Maslog, Eastern Samar, through an Appropriation Ordinance No. 07, series of 2020 intends to apply the sum of Five Hundred Thousand Pesos (500,000.00) being the Approved Budget Cost (ABC) to payments under the contract for the </t>
  </si>
  <si>
    <t xml:space="preserve"> 2.	The LGU-ALEGRIA now invites bids for: Item No.	Quantity	Unit	    Item Description 1	           1           set	   Gemstone processing machine Specification:            1.Slabbing Machine      Motor:1/2HP single phase,220 VAC, 60Hz Diamond wheel cutter:</t>
  </si>
  <si>
    <t xml:space="preserve"> Purchase of Construction materials</t>
  </si>
  <si>
    <t xml:space="preserve"> Republic of the Philippines DEPARTMENT OF PUBLIC WORKS AND HIGHWAYS PANGASINAN 2ND  DISTRICT ENGINEERING OFFICE  REGIONAL OFFICE I Alvear St., Lingayen, Pangasinan INVITATION TO BID FOR  20GAH0008: Supply and Delivery of Pavement Marking Thermoplastic for</t>
  </si>
  <si>
    <t xml:space="preserve"> Supply and delivery of *12 can Spray Paint (Assorted Color): Php 1,200.00 *15 pair Safety Shoes (Assorted Sizes): Php 135,000.00 *15 pcs Safety Vest CP Net Type with Office Logo (Reflectorized): Php 4,500.00 *84 pcs T-Shirt Long Sleeve Survey Jersey with </t>
  </si>
  <si>
    <t xml:space="preserve"> Republic of the Philippines DEPARTMENT OF PUBLIC WORKS AND HIGHWAYS PANGASINAN 2ND  DISTRICT ENGINEERING OFFICE  REGIONAL OFFICE I Alvear St., Lingayen, Pangasinan INVITATION TO BID FOR  20GAH0005: Supply and Delivery of Pavement Road Marking Applicator a</t>
  </si>
  <si>
    <t xml:space="preserve"> onstruction of concrete water Tank @ Sitio Aguada San Teodoro, Mabini, Batangas</t>
  </si>
  <si>
    <t xml:space="preserve"> Purchase of Office Supplies and consumables</t>
  </si>
  <si>
    <t xml:space="preserve"> Concreting of Pathway @ Sitio Panay, San Teodoro, Mabini, Batangas</t>
  </si>
  <si>
    <t xml:space="preserve"> Please see attached Terms of Reference/ Technical Specifications</t>
  </si>
  <si>
    <t xml:space="preserve"> Procurement of Mini-Sound ( Public Address)</t>
  </si>
  <si>
    <t xml:space="preserve"> Technical Specifications: •	Exterior Size: 14.66" H x 19.15" W x 14.38" D •	Capacity:0.63 Cubic Feet •	Weight: Approximately 101 lbs</t>
  </si>
  <si>
    <t xml:space="preserve"> Republic of the Philippines DEPARTMENT OF PUBLIC WORKS AND HIGHWAYS PANGASINAN 2ND  DISTRICT ENGINEERING OFFICE  REGIONAL OFFICE I Alvear St., Lingayen, Pangasinan INVITATION TO BID FOR  20GAH0007: Supply and Delivery of 400MT Asphalt Premix for use in Pr</t>
  </si>
  <si>
    <t xml:space="preserve"> Republic of the Philippines DEPARTMENT OF PUBLIC WORKS AND HIGHWAYS PANGASINAN 2ND  DISTRICT ENGINEERING OFFICE  REGIONAL OFFICE I Alvear St., Lingayen, Pangasinan INVITATION TO BID FOR  20GAH0006: Supply and Delivery of Fuel for use in the maintenance of</t>
  </si>
  <si>
    <t xml:space="preserve"> pls submit quotation as per attached RFQ</t>
  </si>
  <si>
    <t xml:space="preserve"> 1.	In view of the two (2) failed biddings, the Technological University of the Philippines-Manila Campus through its Bids and Award Committee (BAC), invites interested bidders to participate in the negotiation for the “Procurement of Passenger Van” with a</t>
  </si>
  <si>
    <t xml:space="preserve"> INVITATION TO BID  	 The Department of Public Works and Highways-National Capital Region (DPWH-NCR), through  its Bids and Awards Committee (BAC), invites contractors to submit bids for the hereunder Contract: 	  	        Contract ID	20O00004 Contract Nam</t>
  </si>
  <si>
    <t xml:space="preserve"> Details at the engineering office</t>
  </si>
  <si>
    <t xml:space="preserve"> Please submit price quotation as per attached RFQ</t>
  </si>
  <si>
    <t xml:space="preserve"> INVITATION TO APPLY FOR ELIGIBILITY AND TO BID THE MUNICIPALITY OF CAIBIRAN, BILIRAN IS INVITING ALL INTERESTED BIDDERS ON ITS FORTHCOMING PUBLIC BIDDING FOR: Project Title 	        : Acquisition of Modular Tent Location	                : LGU, Caibiran,Bi</t>
  </si>
  <si>
    <t xml:space="preserve"> Quantity	Unit		Item Description 			 130	pcs		Advocacy T-shirts (dry fit-sublimation with Ethnic Design) Note: You may see the design thru bit.ly/2ZzElmZ</t>
  </si>
  <si>
    <t xml:space="preserve"> Technical Specifications: •	Scan speed up to 80 ipm •	1200 DPI scanning, Auto Document Feeder •	Network connectivity</t>
  </si>
  <si>
    <t xml:space="preserve"> 1 1,472 lts. Diesel  2 750 ltrs Gasoline  3 10 ltrs Brake Fluid  4 25 ltrs Oil for Diesel Engine  5 25 ltrs Oil for Diesel Engine -Synthetic  6 20 ltrs Oil for Gasoline Engine  7 1 pc Fuel Filter Genuine 23390  8 1 pc Oil Filter Genuine 90915 Remarks : FO</t>
  </si>
  <si>
    <t xml:space="preserve"> 1 1 set Brake Pad, L/R  2 1 set Brake Shoe, L/R  3 1 set Spark Guide (4 pcs.)  4 1 pc Hand Brake Cable  5 1 pc Output Oil Seal  6 6 pcs Suspension Rubber Bushing  7 1 assy Rack End  8 2 pcs Rack End Rubber Booths  9 16 pcs Body Rubber Bushing  10 1 pc Tra</t>
  </si>
  <si>
    <t xml:space="preserve"> Specification: 1. Paper Size: A4 size 2. Paper Quality: White Paper 70gsm 3. Single Page printing with Sorting 4. Soft bound with cover page 5. Contract duratuin: 15 Calendar Days</t>
  </si>
  <si>
    <t xml:space="preserve"> 1 4 PCS TIRE (245/70 R15) AT  2 1 PC RH TAIL LIGHT  3 1 PC FRONT WINDSHIELD  4 1 PC CROSS JOINT  5 1 PC CENTER BEARING  6 1 PAX LABOR COST PULL OUT &amp; REPLACE PROFILLER CROSS JOINT, CENTER BEARING &amp; TAIL LIGHT 7  1 PAX LABOR COST FRONT WHEEL ALIGNMENT &amp; BA</t>
  </si>
  <si>
    <t xml:space="preserve"> 1 2 cyl. TANK, Nitrogen Gas, Refill  2 22 cyl. TANK, Industrial Oxygen, Refill  16 cyl. TANK, Acetylene, Refill All items must be brand new.</t>
  </si>
  <si>
    <t xml:space="preserve"> Quantity	Unit		Item Description 			 1	unit		Laptop Unit Specification: CPU: Intel Core i5-9300H Processor 2.40 GHz 8M Cache, up to 4.10 GHz HDD: 1TB HDD RAM: 8GB DDR4 2400 Graphics: 4GB Nvidia GTX 1650 Screen: 15.6"" FHD (1920 x 1080, 220 nits), 45% color</t>
  </si>
  <si>
    <t xml:space="preserve"> The Provincial Bids and Awards Committee (PBAC) invites all PhilGEPS registered suppliers to quote the items listed: 6	pcs	Tent, Heavy Duty, Water Proof, Good for 2-3 persons 25 	sets	Convertible Pants with Topper and Long Sleeves 2	pcs	Camping Shelter   </t>
  </si>
  <si>
    <t xml:space="preserve"> 7 GALSS DISINFECTANT ACTIVE INGREDIENTS PER LITER: 1.) DIDECYL-DIMETHYL-AMMONIUM CHLORIDE-10% 2.) GLUTARALDEHYDE-4% 3.) FORMADEHYDE-3.5% 4.) ISOPROPANOL-99%-5% 5.) GLYXIAL-3% 6.) OTHERS-74.5%</t>
  </si>
  <si>
    <t xml:space="preserve"> Labor and materials:     - For De-silting and Clearing of Matab-ang River (dako), Zone15 with a length of 6.0 kms, Talisay City</t>
  </si>
  <si>
    <t xml:space="preserve"> Please refer to Terms of Reference (TOR) attached</t>
  </si>
  <si>
    <t xml:space="preserve"> Basak Elementary School, First Quarter and Second Quarter Purchasing of School and Office Supplies.</t>
  </si>
  <si>
    <t xml:space="preserve"> 1 1 pc. Aircon Evaporator  2 1 pc. Aircon Compressor  3 1 pc. Profeler Spline  4 1 pc. Wiper Motor  5 2 pcs. Wiper Blade  6 1 set Brake Pad (Front)  7 1 pc. Brake Pad Kit  8 1 set Brake Shoe Lining (Back)  9 1 pc. Horn  10 1 pc. Valve Cover  11 1 pc. Airc</t>
  </si>
  <si>
    <t xml:space="preserve"> The SANGGUNIANG BARANGAY OF BARANGAY LUYOS, TANAUAN CITY, BATANGAS, through the Barangay Operating Budget 2020 intends to apply the sum of Thirty Thousand  Pesos Only (Php 30,000.00 ) being the Approved Budget of the Contract (ABC) to payment under the Pr</t>
  </si>
  <si>
    <t xml:space="preserve"> 2 socket Modular Relay Pack, 2 ea &amp; 13 other line items</t>
  </si>
  <si>
    <t xml:space="preserve"> Kindly refer to the uploaded RFQ &amp; TOR in the Associated Components, or proceed to https://philguarantee.gov.ph/procurements/requests-and-invitations/2020-2/ For inquiries, please contact Atty. Ronces Anne Reyes-De Leon at 8-897-3292. When emailing your q</t>
  </si>
  <si>
    <t xml:space="preserve"> UNIVERSITY OF THE PHILIPPINES BAGUIO																					 Governor Pack Road, Baguio City, Benguet, CAR																					 VAT Reg. TIN: 000-864-006-00007																					 																					 Request for Quotation																					 SHUTTLE SERV</t>
  </si>
  <si>
    <t xml:space="preserve"> Republic of the Philippines PROVINCE OF ZAMBOANGA DEL SUR Municipality of Dimataling BIDS AND AWARD COMMITTEE TOTAL BID PRICE : __________________ This Request for Proposal is subject for Terms and Condition below: ****************************************</t>
  </si>
  <si>
    <t xml:space="preserve"> BIDS AND AWARDS COMMITTEE Tel. # (049) 501-1611 July 6, 2020 INVITATION TO BID The Municipal Government of Sta. Maria, Laguna through its Bids and Award Committee (BAC), invites suppliers/manufacturers/distributors to apply for eligibility and to bid for </t>
  </si>
  <si>
    <t xml:space="preserve"> Sir/Ma'am: Please quote your lowest possible prices for the articles described in the attached document.</t>
  </si>
  <si>
    <t xml:space="preserve"> Rehabilitation of brgy. road Sitio Guitisan, San Teodoro, Mabini, Batangas</t>
  </si>
  <si>
    <t xml:space="preserve"> Flu Vaccine for 95 persons</t>
  </si>
  <si>
    <t xml:space="preserve"> REQUEST FOR QUOTATION July 2, 2020 _______________________________ _______________________________ _______________________________ Gentlemen: Please quote for us your lowest price on the item(s) listed below: ITEM/S 					UNIT PRICE 		TOTAL PRICE 18 carts.</t>
  </si>
  <si>
    <t xml:space="preserve"> Excavation/Backfilling of Dikes with Compacting</t>
  </si>
  <si>
    <t xml:space="preserve"> 1 4 units Brake Chamber, Rear, APS  2 2 units Brake Chamber, Front, APS  3 4 units Repair Kit- Relay Value, APS  4 1 unit Dryer Repair Kit, APS  5 2 units Air Dryer Filter, APS  6 3 units Brake Chamber Assembly, APS All items must be brand new. Remarks : </t>
  </si>
  <si>
    <t xml:space="preserve"> SUPPLY AND DELIVERY OF OFFICE SUPPLIES - SMD ABC= Php360,811.97 Item	Purchaser’s Specifications / Description	 1	Record book, 300 pages, size: 214mm x 278mm min		20	‘book 2	Record book,  500 pages, size: 214mm x 278mm min		20	book 3	Toilet tissue paper, 2</t>
  </si>
  <si>
    <t xml:space="preserve"> REQUEST FOR QUOTATION July 2, 2020 _______________________________ _______________________________ _______________________________ Gentlemen: Please quote for us your lowest price on the item(s) listed below: ITEM/S 					UNIT PRICE 		TOTAL PRICE 15 carts.</t>
  </si>
  <si>
    <t xml:space="preserve"> 1 2,697 ltrs DIESEL  2 83 ltrs GASOLINE Remarks : TERMS AND CONDITIONS 1 Payments will be based on actual pump price. 2 The supplier must preferably be the nearest station from the requisitioning office. 3 Billing shall be made weekly. 4 The requisitionin</t>
  </si>
  <si>
    <t xml:space="preserve"> Labor and Materials:  - De-silting and Clearing of Imbang River at Brgy. Dos Hermanas with a Length of 5.5 kms., Talisay City</t>
  </si>
  <si>
    <t xml:space="preserve"> 1 6,000 ltrs DIESEL  2 100 ltrs GASOLINE Remarks : TERMS AND CONDITIONS 1 Payments will be based on actual pump price. 2 The supplier must preferably be the nearest station from the requisitioning office. 3 Billing shall be made weekly. 4 The requisitioni</t>
  </si>
  <si>
    <t xml:space="preserve"> Printing &amp; binding of Learning Packets per year Level  Soft Binding w/ front page printing, A4, 70gsm    Learning Packets for Gr. 7 -  243 pages  x  600 students  Learning Packets for Gr. 8 -  252 pages  x  650 students  Learning Packets for Gr. 9        </t>
  </si>
  <si>
    <t xml:space="preserve"> REPAIR/REHABILITATION OF TECH4ED BUILDING</t>
  </si>
  <si>
    <t xml:space="preserve"> I. General Requirements a. Mobilization / Demobilization b. Temporary Facilities c. Safety and Health II. Earthworks a. Structure Excavation b. Gravel Fill III. Plain and Reinforced Concrete a. Concrete Footing       Footing and Column      Beams      Thi</t>
  </si>
  <si>
    <t xml:space="preserve"> QUANTITY 	UNIT 	DESCRIPTION	UNIT COST 20              	unit   	Cellular Phone	9,500.00</t>
  </si>
  <si>
    <t xml:space="preserve"> 1	1	Unit	Digital Mixer X AIR XR18 for iPad/Andriod  			Tablets with Wi-Fi and USB Recorder 2	2	Unit	XSW 2-865-A VOCAL MICROPHONE w/ 			E865 Capsule &amp; Rackmount Kit 3	1	Unit	HD Camera w/Tripod/30M HDMI w/ HDMI 			MicroHDMI Converter / HDMI Matrix  			Switc</t>
  </si>
  <si>
    <t xml:space="preserve"> Republika ng Pilipinas BAYAN NG CORTES Surigao del Sur BIDS AND AWARDS COMMITTEE 						           July 4, 2020 INVITATION TO BID FOR    Revised POW  of Construction of Material Recovery Facility 	The Local Government Unit of Cortes through LGU PR. No.  40</t>
  </si>
  <si>
    <t xml:space="preserve"> Republic of the Philippines									 Province of Batangas									 Municipality of Sto. Tomas									 Barangay SAN JOSE									 									 									 INVITATION TO BID									 									 The Barangay Government of San Jose, Sto. Tomas, Batangas through it</t>
  </si>
  <si>
    <t xml:space="preserve"> 833 pcs. - Booklet   For Senior Citizens use in the City of Talisay</t>
  </si>
  <si>
    <t xml:space="preserve"> QUANTITY	UNIT 	DESCRIPTION                            	UNIT COST 2,247	sacks	Rice                                          	5,169,100.00                       		Meals for LSI, APOR &amp; ROF           	1,125,000.00</t>
  </si>
  <si>
    <t xml:space="preserve"> 1	6	Unit	Stainless Steel Upright  2 Doors Combi Freezer &amp; Chiller, Cooling System : Air Cooled, Temperature Range (Chiller): + 2 degrees Celsius  to 8 Dgrees Celsius , Temperature Range (Freezer) : -10 Degrees Celsius to - 18 Degrees Celsius, Compressor (</t>
  </si>
  <si>
    <t xml:space="preserve"> Construction of Multi-Purpose Hall Covered Walk</t>
  </si>
  <si>
    <t xml:space="preserve"> Construction of Rainwater Collection System (RWCS), 19 UNITS (STEEL TANK)</t>
  </si>
  <si>
    <t xml:space="preserve"> 1 PC BRANDED LAPTOP -CORE i5 LATEST PROCESSOR -INTEL MH175 CHIPSET -INTEL HD GRAPHICS 620 -8GB DDR4 RAM -MEMORY EXPANDABLE:UP TO 32GB -SSD STORAGE TYPE -SSD/eMMC:512GB,1TB-HDD -DISPLAY SIZE : 14 INCHES -RESOLUTION : 1920X1080 -LED, IPS PANEL TYPE -BATTERY</t>
  </si>
  <si>
    <t xml:space="preserve"> 1 10 m MESH WIRE 1"X1"  2 2 UNIT PLATFORM TROLLEY, DURABLE, 300KG CAP  3 7 ROLL ORCHID NET FOR SCREENHOUSE, BLACK, 5FTX40M  4 20 m GARDEN HOSE, HEAVY DUTY</t>
  </si>
  <si>
    <t xml:space="preserve"> Construction of 17.00m x 28.00m Multi-Purpose Bldg. Phase I (14 columns and 14 column footings).</t>
  </si>
  <si>
    <t xml:space="preserve"> Concreting of Road (Sta. 0+000 to Sta. 0+926), Net length = 1.852 L.Km or 0.926 Km</t>
  </si>
  <si>
    <t xml:space="preserve"> 1 150 PCS ATROPINE SULFATE 250MCG/ML AMPULE  2 135 PCS ADRENALINE AMPULE  3 1,000 PCS ALUMINUM + MAGNESIUM HYDROXIDE TABLET  4 86 BOT ASCORBIC ACID + ZINC DROPS 15ML  5 25 BOT ASCORBIC ACID + TAURINE + LYSINE SYRUP 60ML  6 36 BOT BUTAMIRATE CITRATE 7.5MG/</t>
  </si>
  <si>
    <t xml:space="preserve"> 1	unit	1	Portable Stadiometer (SECA 217) anvd Weighing Set Up with adapter 2	unit	1	Platform Beam Balance with attached Height Rod, Specifications : Mechanical column scale / eye level beam and attached height rod 22o kg capacity, non fading and engraved </t>
  </si>
  <si>
    <t xml:space="preserve"> 6	roll     TAPE, ELECTRICAL, 18mmx16M min 3	load    Sand and Gravel 4	bag	  Cement 30	Unit 	  wood 300	Meter  Extension Wire 56	Piece	  Padlock 1800	Piece	  Hollow Blocks 252	bag	  Cement 54	Piece	  Galvanized Iron 184	gallon  Paint 31	kg	  Nails 45	Piece</t>
  </si>
  <si>
    <t xml:space="preserve"> Supply &amp; Delivery of airsoft guns 01D CO G06-2020 Kindly see attached file. Thank you!</t>
  </si>
  <si>
    <t xml:space="preserve"> 300	bottle     ALCOHOL, ethyl, 68%-7% scented 26	Pack	     CARTOLINA, assorted colors 72	Ream     PAPER , Multi- Purpose (COPY) A4, 70 gsm 60	Ream     PAPER , Multi- Purpose (COPY) Legal, 70 gsm 132	Pack	     TOILET TISSUE PAPER 2 ply sheets 150 pulls 28	</t>
  </si>
  <si>
    <t xml:space="preserve"> Labor and Materials:  - De-Silting and Clearing of Bubog Creek at Brgy., Bubog, Otella Creek at Brgy. Efigenio Lizares and Burgos Creek at Zone 3,5,4,4-A, 12 with a length of 4.040 kms., Talisay City</t>
  </si>
  <si>
    <t xml:space="preserve"> 1 8,159 ltrs Diesel  2 824 ltrs Gasoline Remarks : TERMS AND CONSDITION: 1. Payment will be based on actual pump price. 2. The Supplier must preferably be the nearest station from the requisitioning office. 3. Billing shall be made weekly. 4. The requisit</t>
  </si>
  <si>
    <t xml:space="preserve"> 1 2,942 ltrs Diesel  2 297 ltrs Gasoline Remarks : TERMS AND CONSDITION: 1. Payment will be based on actual pump price. 2. The Supplier must preferably be the nearest station from the requisitioning office. 3. Billing shall be made weekly. 4. The requisit</t>
  </si>
  <si>
    <t xml:space="preserve"> PROCUREMENT OF OFFICE EQUIPMENT, PROJECT MMK, PROJECT G-NEWS.COM, BALIK SIGLA SA MAPEH (MUSIC, PE, HEALTH) AND PROCUREMENT FOR BRIGADA PLUS AND ADOPT-A-SCHOOL PROGRAM</t>
  </si>
  <si>
    <t xml:space="preserve"> Variable Frequency Device Panel Board (see attached documents)</t>
  </si>
  <si>
    <t xml:space="preserve"> Construction of Roofing of Brgy. Multi-Purpose Hall For further information for the bill materials, Programs Works or any requests for additional  information concerning this bidding shall be directed to the Bids and Awards Committee.</t>
  </si>
  <si>
    <t xml:space="preserve"> Install, Wiring, Connecting &amp; Commissioning of CCTV</t>
  </si>
  <si>
    <t xml:space="preserve"> Elevated 2-storey R.C. Design Structure</t>
  </si>
  <si>
    <t xml:space="preserve"> Food Chemistry, Microbiology &amp; Quality Assurance  1	9	unit	Laboratory Center table  with REAGENT RACK with sink &amp; faucet at one end; with drawers, cabinet, leg room; with electrical socket Dimensions: 4000mm(L)x1100mm(W)x900mm(H)Frame: steel structure Cab</t>
  </si>
  <si>
    <t xml:space="preserve"> The SANGGUNIANG BARANGAY OF BARANGAY POBLACION IV, TANAUAN CITY, BATANGAS, through the Barangay Operating Budget 2020 intends to apply the sum of Fifty Thousand  Pesos Only (Php 50,000.00) being the Approved Budget of the Contract (ABC) to payment under t</t>
  </si>
  <si>
    <t xml:space="preserve"> DHM Coffee Shop 1	11	unit	Coffee Table: HPL Finish with Steel Leg Base with a Diameter of 750 mm 2	20	unit	"Sofa: 1 seater, gemelina frame, upholstery body with retro legs, dimesion (993mmW x 800mmD x 880mmH) 18 inches deep by 18 inches wide 3	13	unit	"Ro</t>
  </si>
  <si>
    <t xml:space="preserve"> 1The Local Government Unit of Maslog, Eastern Samar now invites bids for the Repair of Municipal Hall, Maslog, Eastern Samar with the following scope of works: Demolition of Damage Part, Fabrication/Installation of Steel Frame, Re-touch of Roofing/Ceiling</t>
  </si>
  <si>
    <t xml:space="preserve"> 1 set Brigance Early Childhood Screen III - K &amp; 1         Plus: Data Sheets (15 Triplicate data sheets/pad)         Kindergarten - 10 pads         First Grade - 10 pads 1 set Brigance Early Childhood Development Inventory         2 Volumes, Plus: Record B</t>
  </si>
  <si>
    <t xml:space="preserve"> Refer to attached RFQ</t>
  </si>
  <si>
    <t xml:space="preserve"> Refer to RFQ</t>
  </si>
  <si>
    <t xml:space="preserve"> Repainting of school ground and the other facility for school</t>
  </si>
  <si>
    <t xml:space="preserve"> Purchase of Brand New Ambulance MINIMAL SPECIFICATIONS: Fuel Type: Diesel Engine Displacement : Not to exceed 3000cc No. of cylinder : 4 Transmission : 6 speed MT MINIMAL INCLUSIONS: Dehumidifier with nasal cannula Ambubag with resuscitator, adult &amp; pedia</t>
  </si>
  <si>
    <t xml:space="preserve"> SUPPLY AND DELIVERY OF VARIOUS SUPPLIES Note: Attached your latest Philgeps certificate or pls indicate your philgeps registration number. pls. send sealed bids c/o Mr. Nepomuceno SA. Reyes, Jr. or Mr. Edem Abonitalla at 3/f General Services Division or f</t>
  </si>
  <si>
    <t xml:space="preserve"> 1) 50 pcs. - Ballpen 2) 8 box - dishwashing paste 3) 40 REAMS - BOOK PAPER (SHORT) SUBS. 20 4) 60 REAMS - BOOK PAPER (LONG) SUBS 20 5) 6 ROLL - SCOTCH TAPE (1 INCH) 6) 6 KLS. - DETERGENT POWDER 7) 10 CANS - AIR FRESHNER 8) 1 PAIR - FLASH DRIVE 9) 2 PCS. -</t>
  </si>
  <si>
    <t xml:space="preserve"> 1	1	Unit	Outdoor/Indoor Led Wall (Movable or fix type) 12x18)</t>
  </si>
  <si>
    <t xml:space="preserve"> Procurement of sixteen (16) units of  printers for UniFAST Office use  Qty: 16 units Specifications: Printer:  Print, Scan, Copy and Fax Print Speed: Draft, A4 (Black / Colour): Up to 33 ppm / 15 ppm, ISO 24734, A4 Simplex (Black / Colour): Up to 10 ipm /</t>
  </si>
  <si>
    <t xml:space="preserve"> 1) 155 reams- Bond Paper long S20 2) 80 reams - Bond Paper A4 3) 20 doz. - tissue paper 12's 4) 30 btls. - alcohol 250 ml.. 70a% 5) 1 pc. - cd rom 6) 2 pack - folder long 100's 7) 6 pcs. - battery 2A 8) 10 box - expanded fastener 9) 150 pcs. - correction </t>
  </si>
  <si>
    <t xml:space="preserve"> MATERIALS FOR CONSTRUCTION</t>
  </si>
  <si>
    <t xml:space="preserve"> LOT A									 1	Unleaded Gasoline							1	lot	34,639.59 	Terms &amp; conditions:									 										 	1. The supplier shall start to serve within three (3) days upon receipt of the advice									 	           from the project engineer until the project is co</t>
  </si>
  <si>
    <t xml:space="preserve"> The Department of Agriculture invites interested suppliers to submit quotations/proposals for the hereunder requirement: NON-PS: ICT EQUIPMENT	 1	piece	Scanner, A1/D-Size	PhP380,000.00 			 		GRANDTotal	PhP380,000.00 INSTRUCTIONS: 1.	Only sealed canvass sh</t>
  </si>
  <si>
    <t xml:space="preserve"> BIDS AND AWARDS COMMITTEE – SECURITY PLANT COMPLEX INVITATION TO BID 1.	The Bangko Sentral ng Pilipinas (BSP), through its Bids and Awards Committee-Security Plant Complex (BAC-SPC), invites Bidders to apply for eligibility and to bid for the hereunder re</t>
  </si>
  <si>
    <t xml:space="preserve"> INVITATION TO BID FOR LABORATORY EQUIPMENT 1.	The Industrial Technology Development Institute, through ITDI-GIA: “Upgrading and Enhancing the Capacity of PTD in Packaging, Research and Innovation” intends to apply the sum of Two Million Nine Hundred Thous</t>
  </si>
  <si>
    <t xml:space="preserve"> Department Of Education National Capital Region Division of Taguig and Pateros KAPT. EDDIE T. REYES INTEGRATED SCHOOL Phase 2, Brgy. Pinagsama, Taguig City    REQUEST FOR QUOTATION   DEPED – Kapitan Eddie T. Reyes Integrated School through its Maintenance</t>
  </si>
  <si>
    <t xml:space="preserve"> Please download the attached documents or you may visit our website @prc.gov.ph</t>
  </si>
  <si>
    <t xml:space="preserve"> For Backhoe /Loader, JCB #3 &amp; 6  4   pcs   Tires, size: 16.9 x 28, 12 ply 2   set    Hydraulic Pressure Hose, boom up 6   pcs    Bucket tooth with bolts &amp; nuts 1   set    Hydraulic pressure hose, backhoe side, bucket w-w-w-w-w-w-w-w-w-w-w-w-w-w-w-w-w-w-w-</t>
  </si>
  <si>
    <t xml:space="preserve"> INVITATION TO BID FOR LABORATORY EQUIPMENT 1.	The Industrial Technology Development Institute, through ITDI-GIA: “Upgrading and Enhancing the Capacity of PTD in Packaging, Research and Innovation” intends to apply the sum of Forty Million Pesos (P40,00,00</t>
  </si>
  <si>
    <t xml:space="preserve"> QTY.	UNIT	ARTICLES AND DESCRIPTION 		FOOD AND ACCOMODATION 		BATCH 1 (JULY 9-11, 2020) 22	pax	Day 1 - 2 Meals (Lunch, Dinner) &amp; 2 Snacks w/ Lodging 22	pax	Day 2 - 3 Meals (Breakfast, Lunch, Dinner) &amp; 2 Snacks w/ Lodging 22	pax	Day 3 - 1 Meal (Breakfast) 	</t>
  </si>
  <si>
    <t xml:space="preserve"> LETTER OF INVITATION (Negotiated Procurement - Small Value Procurement) July 03, 2020 Dear Sir/Ma’am: Greetings! This is to invite you as our prospective bidder to submit proposal and participate for the project, “Purchase and Delivery of Vertical LCD Ele</t>
  </si>
  <si>
    <t xml:space="preserve"> 1 unit  LED TV 55" 1 unit Chest Freezer (142 liters) w-w-w-w-w-w-w-w-w-w-w-w-w-w</t>
  </si>
  <si>
    <t xml:space="preserve"> Delivery must be on time with 3 days grace period. Failure of delivery will payback 1% per day of the total amount purchased.</t>
  </si>
  <si>
    <t xml:space="preserve"> SUPPLY AND DELIVERY OF OFFICE SUPPLIES - CDD PAMBCS ABC= Php200,657.30 Item/ Description Drum cartridge, DocuCentre S2011		4	‘pcs. Toner cartridge, DocuCentre S2011		8	‘pcs. Ink cartridge (Laserjet 19A-CF219A for Laser Jet Pro M102a)		8	‘pcs. Cartridge (6</t>
  </si>
  <si>
    <t xml:space="preserve"> LETTER OF INVITATION (Negotiated Procurement - Small Value Procurement) July 03, 2020 Dear Sir/Ma’am: Greetings! This is to invite you as our prospective bidder to submit proposal and participate for the project, “Purchase and Delivery of Essential Suppli</t>
  </si>
  <si>
    <t xml:space="preserve"> Attached herewith is the Request for Proposal and Bid Docs including Terms of Reference.</t>
  </si>
  <si>
    <t xml:space="preserve"> Various Sporting Goods See attached link under OTHER INFORMATION BOX</t>
  </si>
  <si>
    <t xml:space="preserve"> Various Furniture’s See attached link under OTHER INFORMATION BOX</t>
  </si>
  <si>
    <t xml:space="preserve"> Attached herewith is the Request for Proposal and Bid Documents including Terms of Reference.</t>
  </si>
  <si>
    <t xml:space="preserve"> REMOVAL WORKS	 1	Removal of Existing Main Glass Door at Flores Hall (4 sets) and Hostel Main (2 sets) see plan for location	1 lot AUTOMATED DOOR SYSTEM	 2	12mm thk Tempered Glass with Automatic Door system accessories and installation at Flores Hall at Ho</t>
  </si>
  <si>
    <t xml:space="preserve"> Sanitizing Tray with Mat 2x2 6 sets 1850 11100 Face Shield 6 pcs 150 900 Disposable Face Mask 50's 3 boxes 1100 3300 PPE Suit with Hood-good quality 4 pcs 3500 14000 70% Ethyl/Isoprophyl Alcohol 500ml 41 bottles 105 4305 70% Ethly/Isoprophyl Alcohol 10 ga</t>
  </si>
  <si>
    <t xml:space="preserve"> thermal scanner 5pcs.4500 22500 Automatic Sensor Hand Disinfection Touches Wall-Mounted Mist Spray Hand Cleaner Machine 2pcs. 2500 5000 Portable Handwashing Machine 6 units 6500 39000</t>
  </si>
  <si>
    <t xml:space="preserve"> ANTIQUE 44	pax	TRAINING TEAM 8	pax	3 full day board and lodging w/ 3meals  and 2 snacks  		with following inclusion: 		Meals &amp; Snacks: 3 buffet meals with 2 snacks daily 		*Meal provision to start A.M snacks on the 1st day &amp; to end Breakfast Snacks w/ fre</t>
  </si>
  <si>
    <t xml:space="preserve"> LED MONITOR INFORMATION BOARD 4x5 PRESSURIZED DISINFECTANT</t>
  </si>
  <si>
    <t xml:space="preserve"> SEE ATTACHMENT</t>
  </si>
  <si>
    <t xml:space="preserve"> QTY.	UNIT	ARTICLES AND DESCRIPTION 160	pax	ILOILO &amp; GUIMARAS 25	pax	TRAINING TEAM 		3 full day board and lodging w/ 3meals  and 2 snacks  		with following inclusion: 		Meals &amp; Snacks: 3 buffet meals with 2 snacks daily 		*Meal provision to start A.M snack</t>
  </si>
  <si>
    <t xml:space="preserve"> Grade 1-Learning Modules 1	1000	       copies		Reading - English 2	3698	       copies		Pagbasa - Filipino 3	32640      copies	        SLK - Math 				                                       Grade 2-Learning Modules 4	64000	copies		SLK- Englilsh 				        </t>
  </si>
  <si>
    <t xml:space="preserve"> INVITATION TO BID FOR INFORMATION TECHNOLOGY EQUIPMENT 1.	The Industrial Technology Development Institute, through General Appropriations Act (GAA) “ITDI IT Capability Enhancement (ICT Equipment)” intends to apply the sum of Seventeen Million Six Hundred </t>
  </si>
  <si>
    <t xml:space="preserve"> Procurement of Construction Materials for Additional Electrical Installation of Street Lights, Barangay Mimbunga, Gingoog City.</t>
  </si>
  <si>
    <t xml:space="preserve"> LETTER OF INVITATION (Negotiated Procurement - Small Value Procurement) July 3, 2020 _____________________________ _____________________________ _____________________________ _____________________________ Dear Sir/Ma’am: Greetings! This is to invite you a</t>
  </si>
  <si>
    <t xml:space="preserve"> Procurement of Medical Supplies Lot 1</t>
  </si>
  <si>
    <t xml:space="preserve"> Procurement of Tuberculosis Personal Protective Equipment</t>
  </si>
  <si>
    <t xml:space="preserve"> Computer Ink-Clored/Black 36 bootles 385 13860 Bond paper-long 162 ream 210 34020 Bond paper-A4 162 ream 195 31590 USB/Flashdrive 16Gb 31 pcs 495 15345</t>
  </si>
  <si>
    <t xml:space="preserve"> Procurement of Personal Protective Equipment</t>
  </si>
  <si>
    <t xml:space="preserve"> BIDS AND AWARDS COMMITTEE (BAC) INVITATION TO BID The Department of Science and Technology (DOST), Regional Office No. IX, through its Bids and Awards Committee (BAC), invites qualified bidder to apply for eligibility and to bid for the “ Office Equipment</t>
  </si>
  <si>
    <t xml:space="preserve"> Republic  of  the  Philippines  Province  of  Marinduque MUNICIPALITY  OF  GASAN INVITATION TO BID FOR  PURCHASE OF  FOOD COMMODITIES  FOR SUPPLEMENTARY FEEDING 1.	The Municipality of Gasan, through  General Fund CY 2020, Trust Liabilities and  Gender and</t>
  </si>
  <si>
    <t xml:space="preserve"> 1	110	piece		ADDING MACHINE TAPE  (2 1/4) 2	1	unit		ADDING MACHINE (DR 120TM 12 Digits) 3	165	piece		Arch File Legal 3"1 4	11	piece		ARCH FILE Lever Long (Blue) 5	9	box		BALLPEN, RETRACTABLE BLACK 12/box 6	1	box		BALLPEN, RETRACTABLE BLUE 12/box 7	102	box</t>
  </si>
  <si>
    <t xml:space="preserve"> Repair/rehabilittaion of pathway</t>
  </si>
  <si>
    <t xml:space="preserve"> Availability of canvass until July 06, 2020; 8:00 - 12:00 noon Dropping of canvass will be on July 06, 2020, 12:00 noon The Mandaue City Government through its Bids and Awards Committee (BAC), invites eligible suppliers/ provide quote the lowest price on </t>
  </si>
  <si>
    <t xml:space="preserve"> I. Excavation:    A. LABOR:            1 Foreman  4 days            4 Laborers  4 days                           Direct Cost            15% O.C.M.            10% Profit             5% V.A.T. II. C.H.B. Laying, Plastering and Canal Cover             Canal </t>
  </si>
  <si>
    <t xml:space="preserve"> Thirty (30) sets Solar Kit See attached link under OTHER INFORMATION BOX</t>
  </si>
  <si>
    <t xml:space="preserve"> Various Air-condition See attached link under OTHER INFORMATION BOX</t>
  </si>
  <si>
    <t xml:space="preserve"> Construction of drainage canal P-3</t>
  </si>
  <si>
    <t xml:space="preserve"> 6 pcs G.I. Tubular 2" x 2" x 1.5mm 2 bxs Welding Rod 5 pcs Flat bar 2" x 3/16" 1 lot Stairs tempered Glass with Complete Accessories 1190 bd.ft. Assorted Good lumber (2" thick Narra Wood step) 5 kls Assorted nails 360 pcs Wood Screw 10 gals Wood Glue 6 ga</t>
  </si>
  <si>
    <t xml:space="preserve"> Procurement of Medical Supplies Lot 2</t>
  </si>
  <si>
    <t xml:space="preserve"> 1	Labelling pen (S)			10	piece	800.00					 2	Labelling pen (M)			10	piece	1,000.00					 3	Distilled Water 6L			20	bottle	2,800.00					 4	Bleach (250ml)			12	bottle	480.00					 5	Flat shader brush #12			10	piece	1,200.00					 6	Flat shader brush #8			10	pi</t>
  </si>
  <si>
    <t xml:space="preserve"> CITY GOVERNMENT OF PASIG INVITATION TO BID The City Government of Pasig thru the Bids and Awards Committee (BAC) invites interested suppliers / contractors to apply for eligibility screening and if subsequently found eligible to bid for the procurement of</t>
  </si>
  <si>
    <t xml:space="preserve"> Various Appliance  See attached link under OTHER INFORMATION BOX</t>
  </si>
  <si>
    <t xml:space="preserve"> Cash Advance request for  Cawayan E/S-     P122,440.16 Cash Advance request for Pangyan E/S-       P  65,000.00 Cash Advance request for Lorenzo E/S-        P  60,000.00 Total Amount                                              P244,440.16</t>
  </si>
  <si>
    <t xml:space="preserve"> 5 units Hand Held Radio See attached complete specification</t>
  </si>
  <si>
    <t xml:space="preserve"> ASPHALT CEMENT &amp; EMULSIFIED ASPHALT      Asphalt Cement 60/70      ---------------------------------------------------------------  15 drums      Emulsified Asphalt SS-1      --------------------------------------------------------------  5 drums - All en</t>
  </si>
  <si>
    <t xml:space="preserve"> POLY ALUMINUM CHLORIDE  (PAC) Powder     ----------------------------------------------  50 bags    29% - 30% Alumina Content    White Powder Note: Must submit 100 grams sample during opening of bids. - All entries must be typewritten. - Delivery Period: </t>
  </si>
  <si>
    <t xml:space="preserve"> Please quote your lowest price inclusive of VAT on the item listed below subject for term and conditions of this RFQ and submit your quotation duly signed by your representative not later than July 6, 2020 You may Contact our bac committee:  Hennie Jane O</t>
  </si>
  <si>
    <t xml:space="preserve"> Rehabilitation of drainage canal</t>
  </si>
  <si>
    <t xml:space="preserve"> 1) Construction of Bridge at Sta. Cruz (Bgy. Sta. Cruz) 2) Road Concreting at Beberon (Bgy. Beberon) 3) Road Improvement at Pamukid (Bgy. Pamukid)</t>
  </si>
  <si>
    <t xml:space="preserve"> Procurement of General Equipment Package Lot 3</t>
  </si>
  <si>
    <t xml:space="preserve"> Request for Quotation Date:  ______________ Quotation No.______ Company Name	: _________________________________________(1) Address	           	: _________________________________________(2) VAT-TIN		:__________________________________________(3) Please q</t>
  </si>
  <si>
    <t xml:space="preserve"> Procurement of General Equipment Package Lot 2</t>
  </si>
  <si>
    <t xml:space="preserve"> For Flexible Learning use. Republic of the Philippines Technical Education and Skills Development Authority PROVINCE OF BILIRAN Cabucgayan National School of Arts and Trades Libertad, Cabucgayan, Biliran Email Address: tesdacnsat@yahoo.com Please quote yo</t>
  </si>
  <si>
    <t xml:space="preserve"> Solar Light – High quality solar energy components 60 watts high lumens LED lighting for more than 10 hrs-triple waterproof ABS plastic materials body prevent vast in rain.</t>
  </si>
  <si>
    <t xml:space="preserve"> Procurement of General Equipment Package Lot 1</t>
  </si>
  <si>
    <t xml:space="preserve"> Procurement of Qualitative Fit Test Kit for N95</t>
  </si>
  <si>
    <t xml:space="preserve"> Procurement of Disinfection Equipment Package</t>
  </si>
  <si>
    <t xml:space="preserve"> Long Bond Paper, A 4 Bond Paper, Ink Refill (Black), Ink Refill (Magenta), Ink Refill (Cyan), Ink Refill ( Yellow)</t>
  </si>
  <si>
    <t xml:space="preserve"> Repair of Vertical Type Steam Boiler					 1	Repair of Smokestacks of Boiler			1	unit	60,000.00 2	Scaling of Boiler			1	UNIT	120,000.00 3	Replacement of Firing Sensor			1	UNIT	15,000.00 4	Replacement of Burner Controller			1	UNIT	25,000.00 						 						 	T</t>
  </si>
  <si>
    <t xml:space="preserve"> CANON MF735 TONER			8	set	144,000.00 CRG046-CY - Cyan					 CRG046-MG - Magenta					 CRG046-YE - Yellow					 CRG046-BK - Black					 					 Total					144,000.00</t>
  </si>
  <si>
    <t xml:space="preserve"> 1	GG Net			6	rolls	30,000.00 2	Monofilament #200			10	kgs	4,000.00 3	Monofilament #100			15	kgs	4,500.00 4	Wooden Stakes			100	pcs	15,000.00 5	Styro box (medium)			10	pcs	3,000.00 						 						 	Total					56,500.00</t>
  </si>
  <si>
    <t xml:space="preserve"> INVITATION TO BID Completion of Manpower Development Center at Purok Doña Soledad Phase 1-East, Brgy. Labangal The Local Government Unit of Barangay Labangal, General Santos City, through the Barangay Fund, intends to apply the sum Two Hundred Eighty Thre</t>
  </si>
  <si>
    <t xml:space="preserve"> Procurement of Fetal Doppler</t>
  </si>
  <si>
    <t xml:space="preserve"> 1	Shoes			20	pair	10,000.00 2	Jogging pants &amp; shirt (good quality)			20	set	30,000.00 3	face towel			20	pcs	2,000.00 4	Weighing scale (flat)			1	pc	2,000.00 5	badminton			2	sets	6,000.00 						 						 	Total					50,000.00</t>
  </si>
  <si>
    <t xml:space="preserve"> Republic of the Philippines Province of Iloilo BIDS AND AWARDS COMMITTEE INVITATION TO BID Purchase of Construction Supplies and Materials Bid No. AGR-20-0594-B-Rebid 1. The Iloilo Provincial Government, through the    General Fund 2020 intends to apply t</t>
  </si>
  <si>
    <t xml:space="preserve"> 1) Rehabilitation of Road at Rizal-Beberon 2) Road Concreting at San Joaquin 3) Road Opening at Alianza - San Joaquin with Box Culvert 4) Road Opening at Buenavista - Lupi</t>
  </si>
  <si>
    <t xml:space="preserve"> FOR NFA REGIONAL OFFICE 02</t>
  </si>
  <si>
    <t xml:space="preserve"> Procurement of General Equipment Package Lot 4</t>
  </si>
  <si>
    <t xml:space="preserve"> The Department of Agriculture-RFO 3, invites interested suppliers to submit quotations/proposals for the hereunder requirement, to wit: Seeds (LOT 1 - P71,850.00)	 3	pouch	Okra, OPV, 1kg/pouch	 5	can	        Squash, OPV, thick flesh, matures at 85-90 days</t>
  </si>
  <si>
    <t xml:space="preserve"> INVITATION TO BID Completion of Manpower Development Center at Purok Bulaong Phase 2, Brgy. Labangal The Local Government Unit of Barangay Labangal, General Santos City, through the Barangay Fund, intends to apply the sum One Hundred Twenty Thousand Eight</t>
  </si>
  <si>
    <t xml:space="preserve"> INVITATION TO BID (GENERAL SANTOS CITY AREA ONLY) Purchase of 249PCS CUSTOMIZED POLO SHIRTS W/ EMBROIDERED BRGY. LOGO The Local Government Unit of Barangay Labangal, General Santos City, through the Barangay Fund, intends to apply the sum of One Hundred F</t>
  </si>
  <si>
    <t xml:space="preserve"> INVITATION TO BID Purchase of 1 Unit 3TR FLOOR MOUNTED AIRCON The Local Government Unit of Barangay Labangal, General Santos City, through the Barangay Fund, intends to apply the sum of Ninety Thousand Pesos Only (P90,000.00) being the Approved Budget for</t>
  </si>
  <si>
    <t xml:space="preserve"> Procurement of Medical Instrument Package</t>
  </si>
  <si>
    <t xml:space="preserve"> Diesel- 4,000 liters</t>
  </si>
  <si>
    <t xml:space="preserve"> 75mmØ C.I. Sleeve Type Flexible Coupling, (PVC) 75mm Ø C.I. Body Gate Valve, PN16, M/M 75mmØ x 75mmØ C.I. Tee, M/M 50mmØ x 50mmØ C.I. Tee, M/M Flexible Coupling (PE) 75mmØ C.I. Mechanical End Cap 150mmØ x 6.00m PVC Pipe 150mmØ C.I. Valve Box Cover w/o Tel</t>
  </si>
  <si>
    <t xml:space="preserve"> Procurement of General Equipment Package Lot 6</t>
  </si>
  <si>
    <t xml:space="preserve"> Republic of the Philippines BIDS AND AWARDS COMMITTEE Province of Iloilo Invitation to Bid Purchase of Office Supplies Bid No.ADH-20-0303-B 1. The Iloilo Provincial Government, through the 2020 GENERAL FUNDS intends to apply the sum of THREE HUNDRED EIGHT</t>
  </si>
  <si>
    <t xml:space="preserve"> Republic of the Philippines BIDS AND AWARDS COMMITTEE Province of Iloilo Invitation to Bid Purchase of Laboratory Supplies Bid No.ADH-20-0299-B(REBID) 1. The Iloilo Provincial Government, through the 2020 GENERAL FUNDS intends to apply the sum of ONE HUND</t>
  </si>
  <si>
    <t xml:space="preserve"> Republic of the Philippines Province of Cotabato Municipality of Mlang BIDS AND AWARDS COMMITTEE INVITATION TO BID            The Municipal Government of M’LANG intends to apply the sum of  FIVE HUNDRED THOUSAND PESOS ONLY (P500,000.00) being the Approved</t>
  </si>
  <si>
    <t xml:space="preserve"> Republic of the Philippines BIDS AND AWARDS COMMITTEE Province of Iloilo Invitation to Bid Purchase of Medical Supplies Bid No.ADH-20-0210-B 1. The Iloilo Provincial Government, through the 2020 GENERAL FUNDS intends to apply the sum of ONE MILLION FIVE H</t>
  </si>
  <si>
    <t xml:space="preserve"> The Department of Agriculture-RFO 3, invites interested suppliers to submit quotations/proposals for the hereunder requirement, to wit: Animal/Farm Supplies/Supplements	 45	bag	        Rice Bran, D1 (50 kg/bag)	 20	bag	        Goat Grower Pellet	 20	bottl</t>
  </si>
  <si>
    <t xml:space="preserve"> Republic of the Philippines BIDS AND AWARDS COMMITTEE Province of Iloilo Invitation to Bid Purchase of Medical Supplies Bid No.ADH-20-0209-B 1. The Iloilo Provincial Government, through the 2020 GENERAL FUNDS intends to apply the sum of NINE HUNDRED FIFTY</t>
  </si>
  <si>
    <t xml:space="preserve"> Procurement of General Equipment Package Lot 5</t>
  </si>
  <si>
    <t xml:space="preserve"> Procurement of Laboratory Equipment Lot 1</t>
  </si>
  <si>
    <t xml:space="preserve"> Procurement of Hepa Filter</t>
  </si>
  <si>
    <t xml:space="preserve"> 1.	The Local Government Unit of Las Nieves, through the Budget for the Contract approved by the Sanggunian (MDRRMF-TF) intends to apply the sum of one million and nine hundred thousand pesos only (Php 1,900,000.00), being the Approved Budget for the Contr</t>
  </si>
  <si>
    <t xml:space="preserve"> 1.	The Local Government Unit of Las Nieves, through the Budget for the Contract approved by the Sanggunian (MDRRMF-TF) intends to apply the sum of two million two hundred and fifty thousand pesos only (Php 2,250,000.00), being the Approved Budget for the </t>
  </si>
  <si>
    <t xml:space="preserve"> The Department of Agriculture-RFO 3, invites interested suppliers to submit quotations/proposals for the hereunder requirement, to wit: Animal Supplies	 250	pack	Milk replacer for goats (1kg/pack)	 Feeds	 24	bag	Rice Bran, D1, 50 kg/bag	 16	bag	Copra Meal</t>
  </si>
  <si>
    <t xml:space="preserve"> Republic of the Philippines CITY OF PANABO Province of Davao del Norte BIDS AND AWARDS COMMITTEE -o0o- INVITATION TO BID  SUPPLY OF OUTBOARD MACHINE 1.	The City of Panabo, through CMO-CDRRMO/TRUST FUND 03-CALAMITY FUND 2018 intends to apply the sum of Fiv</t>
  </si>
  <si>
    <t xml:space="preserve"> Procurement of Laboratory Equipment Lot 2</t>
  </si>
  <si>
    <t xml:space="preserve"> Procurement of Special Equipment Package Lot 1</t>
  </si>
  <si>
    <t xml:space="preserve"> Procurement of Special Equipment Package Lot 4</t>
  </si>
  <si>
    <t xml:space="preserve"> Procurement of Special Equipment Package Lot 3</t>
  </si>
  <si>
    <t xml:space="preserve"> Procurement of Newborn Hearing Screening Test Kit</t>
  </si>
  <si>
    <t xml:space="preserve"> Procurement of Special Equipment Package Lot 2</t>
  </si>
  <si>
    <t xml:space="preserve"> Contract Name: Improvement/Rehabilitation of Local Road Contract Location: Catmon, Santa Maria, Bulacan Source of Fund: General Fund Approved Budget for the Contract (ABC): Php 1,800,000.00 Contract Duration: 45 calendar days Cost of Bidding Documents: Ph</t>
  </si>
  <si>
    <t xml:space="preserve"> Republic of the Philippines Province of Cavite City of General Trias Invitation to Bid for  Project Reference No. INFR-20-019– CONSTRUCTION OF BRIDGE (LENGTH 55.00 m) PHASE II, CONNECTING BARANGAY SANTIAGO TO BARANGAY BUENAVISTA I, CITY OF GEN. TRIAS, CAV</t>
  </si>
  <si>
    <t xml:space="preserve"> Republic of the Philippines BIDS AND AWARDS COMMITTEE Province of Iloilo Invitation to Bid Purchase of Drugs and Medicines Bid No.ADH-20-0208-B 1. The Iloilo Provincial Government, through the 2020 GENERAL FUNDS intends to apply the sum of ONE MILLION TWO</t>
  </si>
  <si>
    <t xml:space="preserve"> Contract Name: Improvement/Rehabilitation of Local Road Contract Location: Silangan, Santa Maria, Bulacan Source of Fund: General Fund Approved Budget for the Contract (ABC): Php 2,000,000.00 Contract Duration: 45 calendar days Cost of Bidding Documents: </t>
  </si>
  <si>
    <t xml:space="preserve"> Contract Name: Improvement/Rehabilitation of Local Road Contract Location: San Vicente, Santa Maria, Bulacan Source of Fund: General Fund Approved Budget for the Contract (ABC): Php 3,000,000.00 Contract Duration: 45 calendar days Cost of Bidding Document</t>
  </si>
  <si>
    <t xml:space="preserve"> P.R. No. 076-2020 1.	2 unit Brand new Multi Tilling Machine (main implements: Rotavator, Deep, Plow, Paddle Wheel, Ditcher, Auger Blade and Paddy Cultivator) Specifications:  CHV Air Cooled Gasoline Engine, Dimensions: 197 x 80 x 107 cm 75 kg net weight, </t>
  </si>
  <si>
    <t xml:space="preserve"> Republic of the Philippines CITY OF PANABO Province of Davao del Norte BIDS AND AWARDS COMMITTEE -o0o- INVITATION TO BID  SUPPLY OF RICE 1.	The City of Panabo, through PNP/OTHER MOE-MOOE 2020 intends to apply the sum of One Hundred Eighty Seven Thousand P</t>
  </si>
  <si>
    <t xml:space="preserve"> Quantity       Unit of Issue       Item Description      1                   lot               Supply of materials, labor and equipment NAME OF PROJECT/LOCATION - Widening of road at Barangay Sinala, Bauan, Batangas CONTRACT REF. NO. – BInfr-2020-09 DESCR</t>
  </si>
  <si>
    <t xml:space="preserve"> (Office tables and chairs) P.R. No. 75-2020 1. 1 pc. 1.6 m Wooden Black Table with detachable 6 drawers and lock (Executive table) 2. 1 pc. 1.4 m Wooden Black Table with 3 drawers and lock 3. 2 pcs 120 cm Wooden Black Table with 3 drawers and lock 4. 1 pc</t>
  </si>
  <si>
    <t xml:space="preserve"> Quantity       Unit of Issue       Item Description      1                   lot               Supply of materials, labor and equipment NAME OF PROJECT/LOCATION - Concreting of road at Barangay Alagao, Bauan, Batangas CONTRACT REF. NO. – BInfr-2020-08 DES</t>
  </si>
  <si>
    <t xml:space="preserve"> Republic of the Philippines DEPARTMENT OF PUBLIC WORKS AND HIGHWAYS ANTIQUE  DISTRICT ENGINEERING OFFICE REGIONAL OFFICE VI San Jose, Antique INVITATION TO BID  The Department of Public Works and Highways, Antique District Engineering Office, San Jose, An</t>
  </si>
  <si>
    <t xml:space="preserve"> Quantity       Unit of Issue       Item Description      1                   lot               Supply of materials, labor and equipment NAME OF PROJECT/LOCATION - Rehabilitation &amp; improvement of barangay waterwork system at Barangay San Pablo, Bauan, Bata</t>
  </si>
  <si>
    <t xml:space="preserve"> Republic of the Philippines Province of Camarines Sur MUNICIPALITY OF LAGONOY BIDS AND AWARDS COMMITTEE INVITATION TO BID/REQUEST FOR EXPRESSION OF INTEREST The Municipal Government of Lagonoy, through its Bids &amp; Awards Committee (BAC) invites suppliers/ </t>
  </si>
  <si>
    <t xml:space="preserve"> NBC-0220-083</t>
  </si>
  <si>
    <t xml:space="preserve"> LOT 1:	Meals, Snacks, and Accommodation for two (2) days consisting of menu servings as follows:			 28	pax	Breakfast, AM Snacks, Lunch, PM Snacks, Dinner, Accommodation (DAY 1)			 28	pax	Breakfast, AM Snacks, Lunch, PM Snacks (DAY 2)	 		LOT 2:	Meals, Snac</t>
  </si>
  <si>
    <t xml:space="preserve"> 150 boxes Amlodipine 5mg 150 boxes Amlodipine 10mg 150 boxes losartan 50mg 100 boxes metformin 500mg</t>
  </si>
  <si>
    <t xml:space="preserve"> For procurement of goods for the construction of canal along Precilo Bawingan to Moises Domepnas at Patiacan, Quirino, Ilocos Sur</t>
  </si>
  <si>
    <t xml:space="preserve"> LOT 1:	Meals, Snacks, and Accommodation for two (2) days consisting of menu servings as follows:			 8	pax	Breakfast, AM Snacks, Lunch, PM Snacks, Dinner, Accommodation (DAY 1)			 8	pax	Breakfast, AM Snacks, Lunch, PM Snacks (DAY 2)	 	LOT 2:	Meals, Snacks,</t>
  </si>
  <si>
    <t xml:space="preserve"> LOT 1:	Meals, Snacks, and Accommodation for two (2) days consisting of menu servings as follows:			 30	pax	Breakfast, AM Snacks, Lunch, PM Snacks, Dinner, Accommodation (DAY 1)			 30	pax	Breakfast, AM Snacks, Lunch, PM Snacks (DAY 2)			 		 	LOT 2:	Meals, </t>
  </si>
  <si>
    <t xml:space="preserve"> The Technical Education and Skills Development Authority (TESDA) Ilocos Sur, through the Procurement Division, will undertake a small value procurement in Construction of Flag Pole and Tables in Provincial Training Center - Candon City, in accordance with</t>
  </si>
  <si>
    <t xml:space="preserve"> Republic of the Philippines CITY OF PANABO Province of Davao del Norte BIDS AND AWARDS COMMITTEE -o0o- INVITATION TO BID  SUPPLY OF SCHOOL SUPPLIES 1.	The City of Panabo, through CSWDO/OTHER SUPPLIES &amp; MATERIALS EXPENSES FOR TULOY ARAL AT KAAGAPAY SA PAG-</t>
  </si>
  <si>
    <t xml:space="preserve"> ABC:  74,900.00                                                                                   Quantity          Unit Cost          Total Cost 1st Batch:  10-14 August 2020 (5 days) No. of pax : 21                                                       </t>
  </si>
  <si>
    <t xml:space="preserve"> 1.	The Department of Public Works and Highways Regional Office XI, Davao City, through its Bids and Awards Committee (BAC), invites bidders to submit bids for the Infra projects funded under GAA FY 2020, to wit: Contract ID 	:	20L00057 Contract Name/Locat</t>
  </si>
  <si>
    <t xml:space="preserve"> ABC:   105,350.00                                                                                                            Quantity         Unit Cost         Total Cost Siniloan: 1st Batch:  10-14 August 2020 (5 days) No. of pax : 19                    </t>
  </si>
  <si>
    <t xml:space="preserve"> Republic of the Philippines BATANGAS STATE UNIVERSITY Batangas City REQUEST FOR QUOTATION "Procurement of Software and equipment to be use as additional resources for laboratory and research activities in various courses of the Straight Bachelors-Master(S</t>
  </si>
  <si>
    <t xml:space="preserve"> Development of Seaweed-based Bioplastic					 1	Sodium Metabisulfare Food Grade 			1	kilo	1,100.00 2	Hydrochloric acid Food Grade			1	liter	10,000.00 3	Glycerine Food Grade			3	liter	3,000.00 4	Sodium Hydroxide Food Grade			1	kilo	10,000.00 5	Starch Food G</t>
  </si>
  <si>
    <t xml:space="preserve"> Invitation to Bid for the Rehabilitation of Solar Streetlights, Cory Aquino Boulevard, Camarines Norte 1.	TheProvincial Government of Camarines Norte, through the General Fund 2020intends to apply the sum of Four MillionEight Hundred Sixty-One Thousand Fi</t>
  </si>
  <si>
    <t xml:space="preserve"> Invitation to Bid</t>
  </si>
  <si>
    <t xml:space="preserve"> The Technical Education and Skills Development Authority (TESDA) Ilocos Sur, through the Procurement Division, will undertake a small value procurement in Construction of Lavatories in Provincial Training Center - Candon City, in accordance with Section 5</t>
  </si>
  <si>
    <t xml:space="preserve"> various</t>
  </si>
  <si>
    <t xml:space="preserve"> Contract Name: Supply and Delivery of Various Medicines Contract Location: Municipal Health Office, Santa Maria, Bulacan Source of Fund: General Fund Approved Budget for the Contract (ABC): Php 4,987,565.70 Contract Duration: 15 calendar days Cost of Bidd</t>
  </si>
  <si>
    <t xml:space="preserve"> Contract Name: Improvement of Multi-Purpose Covered Court Contract Location: Sta. Cruz, Santa Maria, Bulacan Source of Fund: General Fund Approved Budget for the Contract (ABC): Php 2,000,000.00 Contract Duration: 60 calendar days Cost of Bidding Document</t>
  </si>
  <si>
    <t xml:space="preserve"> INVITATION TO BID The Department of Public Works &amp; Highways thru its Bids and Awards Committee for Goods, through GAA 2020, intends to apply the sum of One Hundred Forty Nine Million Eight Hundred Thirty Three Thousand Three Hundred Thirty Three and 54/10</t>
  </si>
  <si>
    <t xml:space="preserve"> PR No. 20061132 – Supply and Delivery of Police, Military&amp; Security Equipment for CNPJ Security Supplies Use 	 1.	The Provincial Government of Camarines Norte, through the General Fund-Capital Outlay CY 2020intends to apply the sum of One Million Five Hun</t>
  </si>
  <si>
    <t xml:space="preserve"> 1. MASONRY WORKS 2. STEEL WORKS</t>
  </si>
  <si>
    <t xml:space="preserve"> ABC:  136,500.00                                                                              Quantity          Unit Cost       Total Cost 1st Batch:  10-14 August 2020 (5 days) No. of pax : 37                                                          185 </t>
  </si>
  <si>
    <t xml:space="preserve"> Invitation for Negotiated Procurement CONSTRUCTION OF TWO STOREY TANOD OUTPOST (PHASE 1) ITB No.: 2019-009-001- NEGOTIATED PROCUREMENT (Sec.53.1) 1. The Brangay Maddarulug Norte of Enrile,Cagayan intends to apply the sum of Three Hundred Fifty thousand  P</t>
  </si>
  <si>
    <t xml:space="preserve"> 1) Construction of Drainage at Bonifacio (Bgy. Bonifacio) 2) Nabunguan (Nabuungan) Road Widening (Bgy. Bocal) 3) Road Improvement at Poblacion (Bgys. Bonifacio, Del Pilar)</t>
  </si>
  <si>
    <t xml:space="preserve"> Republic of the Philippines DEPARTMENT OF PUBLIC WORKS AND HIGHWAYS CAGAYAN 2ND DISTRICT ENGINEERING OFFICE Regional Office II Abulug, Cagayan July 1, 2020 INVITATION TO BID  The Cagayan 2nd District Engineering Office, Abulug, Cagayan, through its Bids a</t>
  </si>
  <si>
    <t xml:space="preserve"> 1.	The Department of Public Works and Highways Regional Office XI, Davao City, through its Bids and Awards Committee (BAC), invites bidders to submit bids for the Infra projects funded under GAA FY 2020, to wit: Contract ID 	:	20L00142 Contract Name/Locat</t>
  </si>
  <si>
    <t xml:space="preserve"> Contract Name: Construction of Drainage Canal Contract Location: Buenavista, Santa Maria, Bulacan Source of Fund: General Fund Approved Budget for the Contract (ABC): Php 1,200,000.00 Contract Duration: 45 calendar days Cost of Bidding Documents: Php 3,00</t>
  </si>
  <si>
    <t xml:space="preserve"> Contract Name: Construction of Drainage Canal Contract Location: Poblacion, Santa Maria, Bulacan Source of Fund: General Fund Approved Budget for the Contract (ABC): Php 1,500,000.00 Contract Duration: 60 calendar days Cost of Bidding Documents: Php 3,000</t>
  </si>
  <si>
    <t xml:space="preserve"> Consultancy Services: Speaker/Consultant for 9 days		 		 Qualifications:		 Atleast a doctoral degree holder or a candidate for a doctoral degree		 Knowledgeable on Whole Brain Learning System		 Has an Experience being a consultant/speaker on outcome-based</t>
  </si>
  <si>
    <t xml:space="preserve"> Municipality of Claver				Project Reference Number: _______________ 						Name of the Project: ___________________ 						Location of the Project:_________________ Standard Form Number: SF- GOOD-60 Revised: May 24, 2004 Standard Form Title: REQUEST FOR QUO</t>
  </si>
  <si>
    <t xml:space="preserve"> Various Construction Supplies</t>
  </si>
  <si>
    <t xml:space="preserve"> INVITATION TO BID  FOR  Construction of Main Canals, LMC, RMC, Lateral A, Lateral B &amp; Appurtenant Structures and Access  of NIOGPOLO COMMUNAL IRRIGATION SYSTEM &amp; KIANODAN COMMUNAL IRRIGATION SYSTEM Maguing, Lanao del Sur Contract Ref. No.: CW-LDS-INREMP-2</t>
  </si>
  <si>
    <t xml:space="preserve"> See attached.</t>
  </si>
  <si>
    <t xml:space="preserve"> Procurement of materials for the Installation of Combat wire at perimeter Fence and electrical supplies for the Lightnings and electricity of offices and tower at tarlac Provinvial Jail Installation of combat wires Lightning and electrical at TPJ offices </t>
  </si>
  <si>
    <t xml:space="preserve"> Republic of the Philippines National Irrigation Administration (PAMBANSANG PANGASIWAAN NG PATUBIG) Regional Office No. 13 CARAGA AGUSAN DEL NORTE SURIGAO DEL NORTE AND DINAGAT ISLANDS Irrigation Management Office Office Address      : Ambago, Butuan  City</t>
  </si>
  <si>
    <t xml:space="preserve"> 1. The CITY GOVERNMENT OF CALAMBA through the LDRRM Fund intends to apply the sum of PHP 3,500,000.00 being the Approved Budget for the Contract (ABC) to payments under the contract for: G-2020-390 Supply and Delivery of Emergency Rescue Truck with Rubber</t>
  </si>
  <si>
    <t xml:space="preserve"> INVITATION TO BID  FOR  Construction of Diversion Dams, Main Canals, Lateral A, Lateral B, Lateral B-1 &amp; Appurtenant Structures and Access Roads  of MAPANTAO COMMUNAL IRRIGATION SYSTEM MAPANTAO-LUBO COMMUNAL IRRIGATION SYSTEM BARARAY COMMUNAL IRRIGATION S</t>
  </si>
  <si>
    <t xml:space="preserve"> Contract Name: Purchase of Two (2) Units Garbage Truck Contract Location: LGU - Santa Maria, Bulacan Source of Fund: General Fund Approved Budget for the Contract (ABC): Php 2,400,000.00 Contract Duration: 15 calendar days Cost of Bidding Documents: Php 3</t>
  </si>
  <si>
    <t xml:space="preserve"> 1. The CITY GOVERNMENT OF CALAMBA through the Special Education Fund intends to apply the sum of PHP 11,463,210.00 being the Approved Budget for the Contract (ABC) to payments under the contract for: G-2020-408 Supply and Delivery of Furniture &amp; Fixtures </t>
  </si>
  <si>
    <t xml:space="preserve"> OPENING OF BIDS IN DSWD FOR IX ZAMBOANGA CITY , DELIVERY IN DSWD FO IX ZC PROC.  FOR THE FF.: 9,400	Set	Eating Utensils	 		Table Spoon 	 		Fork 	 		Plate w/ 3 COMPARTMENT 	 		Bowl 	 		Drinking Tumbler	 		Specification:	 			 1. Table Spoon:Stainless, Not e</t>
  </si>
  <si>
    <t xml:space="preserve"> INVITATION TO BID  FOR  Construction of Main Canals, LMC, RMC, Lateral A, Lateral B, Lateral C, Lateral D &amp; Appurtenant Structures  of PANGADAPUN COMMUNAL IRRIGATION SYSTEM GAMOT COMMUNAL IRRIGATION SYSTEM KARIGONGAN COMMUNAL IRRIGATION SYSTEM &amp; KILUGAY C</t>
  </si>
  <si>
    <t xml:space="preserve"> INVITATION TO BID (ITB)  Procuring Entity : BARANGAY LOCAL GOVERNMENT UNIT BARANGAY LIMBA, LA PAZ, LEYTE Title of Project : ROAD CONCRETING  Approved Budget of the Contract (AB) : Php 200,000.00 Area of Delivery : BARANGAY LIMBA, LA PAZ, LEYTE  Descriptio</t>
  </si>
  <si>
    <t xml:space="preserve"> Republic of the Philippines Department of Education Region VI – Western Visayas  Division of Aklan District of Banga POLOCATE ELEMENTARY SCHOOL Polocate, Banga Aklan 	 REQUEST FOR QUOTATION (RFQ) Project No: DepED-RO6-D1-CONSTRUCTION MATERIALS-001-2020 Th</t>
  </si>
  <si>
    <t xml:space="preserve"> BIDS AND AWARDS COMMITTEE (BAC) Email address: bacregion2@yahoo.com Telefax No.: (078) 304-0560 INVITATION TO BID ITB No.: 2020-07-25 The Department of Agriculture – Regional Field Office No. 02 (DA-RFO 02) through its Bids and Awards Committee (BAC) invi</t>
  </si>
  <si>
    <t xml:space="preserve"> Republic of the Philippines Province of Cagayan LOCAL GOVERNMENT UNIT-MUNICIPALITY SOLANA, 3503 BIDS AND AWARDS COMMITTEE (BAC Invitation for submission of price quotation Rehabilitation of Municipal Gymnasium SVP # 2020-14 1.	The Municipal Government of </t>
  </si>
  <si>
    <t xml:space="preserve"> Conctract ID No.      :	19K00461 Conctract Name       : 	Construction of Brgy. Bubong Camalig FMR, Brgy. Bubing Camalig, Marantao, Lanao del Sur Conctract Location 	:	Lanao del Sur Scope of Work 	:	Road Concreting Appropriation          :	PHP 5,000,000.00</t>
  </si>
  <si>
    <t xml:space="preserve"> Contract Name: Improvement of Multi-Purpose Covered Court Contract Location: Guyong, Santa Maria, Bulacan Source of Fund: General Fund Approved Budget for the Contract (ABC): Php 2,000,000.00 Contract Duration: 60 calendar days Cost of Bidding Documents: </t>
  </si>
  <si>
    <t xml:space="preserve"> OPENING OF BIDS IN DSWD FIELD OFFICE IX, ZAMBOANGA CITY,, DELIVERY IN DSWD FO IX ZC PROCUREMENT FOR THE FF.: 188	SET	COOKING UTENSILS FOR BANGUN FEEDING IN 3 PROVINCES OF ARMM (BASILAN, SULU AND TAWI-TAWI)	 		 CASSEROLE/KALDERO	 		Specification:	 		Materi</t>
  </si>
  <si>
    <t xml:space="preserve"> Learners Packet for Junior High School Students (Learning Modules) of SFMNHS for SY 2020-2021</t>
  </si>
  <si>
    <t xml:space="preserve"> NOTICE TO THE PUBLIC REQUEST FOR PROPOSAL Purchase Request No: PUR20-06-0523 The Philippine General Hospital hereby informs the public that it will be procuring the following item/s through Small Value Procurement:			 	  400 pc Disposable non-woven isolat</t>
  </si>
  <si>
    <t xml:space="preserve"> Purchase of Flood Light Location: Brgy. Malaruhatan Budget: 49,500.00 Source of Fund: SK Fund</t>
  </si>
  <si>
    <t xml:space="preserve"> 1. The CITY GOVERNMENT OF CALAMBA through the General Fund intends to apply the sum of PHP 2,897,820.00 being the Approved Budget for the Contract (ABC) to payments under the contract for: G-2020-413 Supply and Installation of Modular Partition City Human</t>
  </si>
  <si>
    <t xml:space="preserve"> PROCUREMENT OF IT EQUIPMENT FOR IMPROVEMENT OF NETWORK SECURITY, CONNECTIVITY, AND LAN OF VARIOUS UTLITY SYSTEM AND SPARE EQUIPMENT FOR WIRELESS CONNECTIONS OF ACWD MAIN AND POGO OFFICES 2 UNITS WEB SMART SWITCH (24 Port, Non-PoE, UBNT-US-24 compatible wi</t>
  </si>
  <si>
    <t xml:space="preserve"> National Power Corporation INVITATION TO BID PUBLIC BIDDING 2020-0150 1.	The NATIONAL POWER CORPORATION (NPC), through       its        approved       Corporate Budget of CY 2020 intends to apply   the   sum   of (Please see schedule below) being the Appr</t>
  </si>
  <si>
    <t xml:space="preserve"> Good day! The SBAC of IPONAN ELEMENTARY SCHOOL would like to invite any eligible suppliers to fill out the Request for Price Quotation to wit;         SCHOOL OFFICE SUPPLIES - Budget (Php 91,000.00) Line Item Nos 1-23               COVID-RESPONSE ITEMS - </t>
  </si>
  <si>
    <t xml:space="preserve"> Republic of the Philippines BIDS AND AWARDS COMMITTEE Province of Iloilo Invitation to Bid PURCHASE OF MEDICAL EQUIPMENT Bid No. SDH-20-0771-B 1. The Iloilo Provincial Government, through the 2019, 20% IRA intends to apply the sum of ONE HUNDRED TWO THOUS</t>
  </si>
  <si>
    <t xml:space="preserve"> Republic of the Philippines BIDS AND AWARDS COMMITTEE Province of Iloilo Invitation to Bid PURCHASE OF MEDICAL EQUIPMENT Bid No. SDH-20-0770-B 1. The Iloilo Provincial Government, through the 2019, 20% IRA intends to apply the sum of THIRTY-SIX THOUSAND P</t>
  </si>
  <si>
    <t xml:space="preserve"> Republic of the Philippines BIDS AND AWARDS COMMITTEE Province of Iloilo Invitation to Bid PURCHASE OF MEDICAL EQUIPMENT Bid No. SDH-20-0769-B 1. The Iloilo Provincial Government, through the 2019, 20% IRA intends to apply the sum of SEVENTY-FIVE THOUSAND</t>
  </si>
  <si>
    <t xml:space="preserve"> 1. The CITY GOVERNMENT OF CALAMBA through the Special Education Fund intends to apply the sum of PHP 6,334,830.00 being the Approved Budget for the Contract (ABC) to payments under the contract for: G-2020-389 Supply and Delivery of I.T. Equipment City Sc</t>
  </si>
  <si>
    <t xml:space="preserve"> PURCHASE OF SUPPLIES FOR THE REPAIR AND MAINTENANCE OF WATER SYSTEM</t>
  </si>
  <si>
    <t xml:space="preserve"> Supply of Labor, Materials and Equipment for the Laying including Tapping of New Two (2) Units Water Line of the Hospital to the Provincial Water Works Main Line with Two (2) Inches in Diameter Pipe at La Torre Junction and Retrieval of Old Pipe</t>
  </si>
  <si>
    <t xml:space="preserve"> Contract Name: Construction of Drainage Canal Contract Location: San Vicente, Santa Maria, Bulacan Source of Fund: General Fund Approved Budget for the Contract (ABC): Php 3,000,000.00 Contract Duration: 75 calendar days Cost of Bidding Documents: Php 3,0</t>
  </si>
  <si>
    <t xml:space="preserve"> Contract Name: Construction of Drainage Canal Contract Location: Bulac, Santa Maria, Bulacan Source of Fund: General Fund Approved Budget for the Contract (ABC): Php 3,000,000.00 Contract Duration: 75 calendar days Cost of Bidding Documents: Php 3,000.00</t>
  </si>
  <si>
    <t xml:space="preserve"> ABC:    78,750.00                                                                                         Quantity     Unit Cost         Total Cost Luisiana: 1st Batch:  10-14 August 2020 (5 days) No. of pax : 20                                           </t>
  </si>
  <si>
    <t xml:space="preserve"> ABC:   92,750.00                                                                              Quantity         Unit Cost          Total Cost Magdalena 1st Batch:  10-14 August 2020 (5 days) No. of pax : 26                                                  </t>
  </si>
  <si>
    <t xml:space="preserve"> Contract Name: Improvement/Rehabilitation of Local Road Contract Location: Main Road, Mag-asawang Sapa, Santa Maria, Bulacan Source of Fund: General Fund Approved Budget for the Contract (ABC): Php 1,500,000.00 Contract Duration: 30 calendar days Cost of </t>
  </si>
  <si>
    <t xml:space="preserve"> Contract Name: Construction of Drainage Canal Contract Location: Mag-asawang Sapa, Santa Maria, Bulacan Source of Fund: General Fund Approved Budget for the Contract (ABC): Php 2,000,000.00 Contract Duration: 60 calendar days Cost of Bidding Documents: Ph</t>
  </si>
  <si>
    <t xml:space="preserve"> ABC:   87,500.00                                                                        Quantity                 Unit Cost              Total Cost Pakil 1st Batch:  10-14 August 2020 (5 days) No. of pax : 24                                                </t>
  </si>
  <si>
    <t xml:space="preserve"> ABC: 107,100.00                                                                                  Quantity          Unit Cost         Total Cost 1st Batch:  10-14 August 2020 (5 days) No. of pax : 20                                                         </t>
  </si>
  <si>
    <t xml:space="preserve"> Lot A - School Supplies</t>
  </si>
  <si>
    <t xml:space="preserve"> Contract Name: Improvement/Rehabilitation of Local Road Contract Location: J. Barcial St., Mag-asawang Sapa, Santa Maria, Bulacan Source of Fund: General Fund Approved Budget for the Contract (ABC): Php 1,500,000.00 Contract Duration: 45 calendar days Cos</t>
  </si>
  <si>
    <t xml:space="preserve"> A) REQUEST FOR QUOTATION 1. 20 pcs 1” x 2” x 10’ Wd. S4S kd. Tang. 2. 1 kg 1” Finishing Nail  3. 1 kg 2” Finishing Nail 4. 1 ¼ kg 2” Common wire nails 5. 2 ½ kg 3” Common wire nails 6. ½ kg 3” Concrete nails 7. 56 pcs 2” x 4” x 12’ Wd. S4S Kd. Tang. 8. 3 </t>
  </si>
  <si>
    <t xml:space="preserve"> Republic of the Philippines Cordillera Administrative Region Province of Kalinga B A L B A L A N BARANGAY POBLACION Invitation to Apply for Eligibility and to Bid for the REHABILITATION OF POBLACION WATER WORKS SYSTEM, POBLACION, BALBALAN, KALINGA PROVINC</t>
  </si>
  <si>
    <t xml:space="preserve"> The National Center for Mental Health (NCMH) is inviting all Phil-GEPS registered to apply the Invitation to Bid for the Public Re-Bidding for Supply and Delivery of Office Supplies and Forms CY 2020. (Please see List of Item for Complete Technical Specif</t>
  </si>
  <si>
    <t xml:space="preserve"> The National Center for Mental Health (NCMH) is inviting all Phil-GEPS registered to apply the Invitation to Bid for the Public Re-Bidding for Supply and Delivery of Office Tables and Chairs (Pavilion 2) CY 2019. (Please see List of Item for Complete Tech</t>
  </si>
  <si>
    <t xml:space="preserve"> pls see attached RFQ</t>
  </si>
  <si>
    <t xml:space="preserve"> Republic of the Philippines City of Las Piñas -o0o- BIDS AND AWARDS COMMITTEE INVITATION TO APPLY FOR ELIGIBILITY AND TO BID 	The City of Las Piñas, through its Bids and Awards Committee (BAC) invites interested contractors registered with and classified </t>
  </si>
  <si>
    <t xml:space="preserve"> ***Please see attached</t>
  </si>
  <si>
    <t xml:space="preserve"> Procurement of Ultrasound Machine 4D</t>
  </si>
  <si>
    <t xml:space="preserve"> REQUEST FOR EXPRESSION OF INTEREST FOR Subsurface Exploration/Geotechnical Survey of Proposed FY @2021 Bridges Projects, Bataan 1st District,  ID No. 20CSCA0001                  1.	The DPWH-Bataan  1st  District Engineering Office, through the  FY-2020 Pr</t>
  </si>
  <si>
    <t xml:space="preserve"> Republic of the Philippines BIDS AND AWARDS COMMITTEE Province of Iloilo Invitation to Bid Purchase of Housekeeping Supplies Bid No.ADH-20-0304-B 1. The Iloilo Provincial Government, through the 2020 GENERAL FUNDS intends to apply the sum of SEVEN HUNDRED</t>
  </si>
  <si>
    <t xml:space="preserve"> Procurement of Radiologic Package</t>
  </si>
  <si>
    <t xml:space="preserve"> Republic of the Philippines CITY OF PANABO Province of Davao del Norte BIDS AND AWARDS COMMITTEE -o0o- INVITATION TO BID  SUPPLY OF CONSTRUCTION MATERIALS 1.	The City of Panabo, through CEEMDO-MARKET/REHABILITATION OF QUEZON ST. CORNER QUIRINO ST TO J.P. </t>
  </si>
  <si>
    <t xml:space="preserve"> LOT 1:	Meals, Snacks, and Accommodation for two (2) days consisting of menu servings as follows:			 20	pax	Breakfast, AM Snacks, Lunch, PM Snacks, Dinner, Accommodation (DAY 1)			 20	pax	Breakfast, AM Snacks, Lunch, PM Snacks (DAY 2)			 			 		 	LOT 2:	Mea</t>
  </si>
  <si>
    <t xml:space="preserve"> Republic of the Philippines							 PROVINCE OF ZAMBOANGA SIBUGAY							 Municipality of Talusan							 -7012-							 							 							 MUNICIPAL BIDS AND AWARDS  COMMITTEE							 REQUEST FOR QUOTATION							 SMALL VALUE PROCUREMENT							 NOTICE TO THE PUBL</t>
  </si>
  <si>
    <t xml:space="preserve"> No.	"ITEM DESCRIPTION  (ITEM NAME &amp; TECHNICAL SPECIFICATIONS)"	QTY.	UNIT	UNIT COST	APPROVED BUDGET OF CONTRACT (ABC)	 						 	Thorough disinfection of DENR-NCR	1	lot	₱100,000.00	 Php100,000.00 	 	NEC building  - 2,000 sqm.				  	 - Basic Clean &amp; Disinfect</t>
  </si>
  <si>
    <t xml:space="preserve"> Republic of the Philippines CITY OF PANABO Province of Davao del Norte BIDS AND AWARDS COMMITTEE -o0o- INVITATION TO BID  SUPPLY OF INTEGRATED EARLY WARNING SYSTEM-PHASE 1 1.	The City of Panabo, through CDRRMC/DISASTER MITIGATION-70% CDRRMF 2020 intends t</t>
  </si>
  <si>
    <t xml:space="preserve"> see attached file</t>
  </si>
  <si>
    <t xml:space="preserve"> Calibration of Laboratory Equipments					 1	Calibration of pH meter			1	set	14,000.00 2	Calibration of Top loading balance			1	set	14,000.00 3	Calibration of Viscometer			1	set	14,000.00 4	Calibration of Water bath			1	set	14,000.00 5	Calibration of Oven	</t>
  </si>
  <si>
    <t xml:space="preserve"> QTY.	UNIT	ARTICLES AND DESCRIPTION 169	pax	NEGROS OCCIDENTAL 8 classes  32	pax	TRAINING TEAM 8 classes  		3 full days board and lodging w/ 3 meals and 2 snacks 		with the following inclusions: 		Meals and Snacks: 3 Buffet meals with 2 Snacks daily 		*Meal</t>
  </si>
  <si>
    <t xml:space="preserve"> Procurement of Procurement of Rescue Utility Vehicle-Bongo and XRM Motor Vehicle, Barangay San Luis, Gingoog City</t>
  </si>
  <si>
    <t xml:space="preserve"> Description of Work Item No. 1   Cow Building with drainage canal and septic vault Item No. 2   Silage Banker with Tent Item No. 3   Water System with pressurized motor Item No. 4   Chipping Building Item No. 5   Construction of Gate, Fence and Back filli</t>
  </si>
  <si>
    <t xml:space="preserve"> ITEM	QUANTITY	UNIT	A R T I C L E S 									 1	4	units	LED Lights50 watts w/ casing									 2	4	rolls	Electrical wire #12 Stranded									 3	20	pcs	Electrical tape big									 4	25	pcs	LED Lights 23 watts									 5	2	units	Nebulizer									 6	2	units</t>
  </si>
  <si>
    <t xml:space="preserve"> No.	"ITEM DESCRIPTION  (ITEM NAME &amp; TECHNICAL SPECIFICATIONS)"	QTY.	UNIT	UNIT COST	APPROVED BUDGET OF CONTRACT (ABC)	 						 1	ABC Dry Chemical Fire Extinguisher 6lbs	2	pcs	₱2,250.00	 Php4,500.00 	 2	Automatic Emergency Light	4	pcs	₱2,875.00	 Php11,500.00</t>
  </si>
  <si>
    <t xml:space="preserve"> Please see attached Bidding Documents</t>
  </si>
  <si>
    <t xml:space="preserve"> 1.	The Bureau of Jail Management and Penology Regional Office CALABARZON (BJMPRO-CALABARZON) through the General Appropriation Act GAA2020   intends to apply the sum of One Million Five Hundred Thousand Pesos (Php1,500,000.00) being the Approved Budget fo</t>
  </si>
  <si>
    <t xml:space="preserve"> Amphibious Excavator ** Hydraulically  Extendable / Standard 2.4m boom / 1.2m stick /  0.13m3 bucket / polymer track cleat / 9.500kg Floating capacity / 0.09kg/cm3 Ground pressure / Diesel engine/9.5rpm Swing Speed/Max track length: 5.870mm / Track length</t>
  </si>
  <si>
    <t xml:space="preserve"> 1 lot Vehicle Rental-750 bags capacity wing truck (with laborers to load and unload seeds (20kg/bag) &gt; From PhilRice Isabela and various municipalities of Isabela to Tabuk City, Kalinga, Cagayan &gt;&gt;PhilRice-205 bags &gt;&gt;San Mateo-1400 bags &gt;&gt;San Mariano-830 </t>
  </si>
  <si>
    <t xml:space="preserve"> Procurement of service provider for the sanitation and disinfection services in HEDC Building twice a month for six (6) months from July to December 2020  Period Coverage: Six (6) Months 1.0 Scope of Works: Sanitation and disinfection requirements: 1.1.	T</t>
  </si>
  <si>
    <t xml:space="preserve"> Procurement of O2 Equipment Lot</t>
  </si>
  <si>
    <t xml:space="preserve"> Please quote hereunder your lowest possible price for the Supply, installation, and configuration of Video Conference Equipment for DTI’s audio/video conference rooms. For more specifications and for the sample please see attached Request for Quotation fo</t>
  </si>
  <si>
    <t xml:space="preserve"> 1	35	units		Welding Machine Inverter 2	50	units		Sewing Machine 3	140	pcs		Hammer 4	140	pcs		Pliers 5	140	pcs		Cutters 6	140	pcs		Long Nose 7	140	units		Multi Tester 8	140	pcs		Soldering Iron 9	140	pcs		Tool Box 10	140	units		Cross-cut saw 11	140	pcs		Tri</t>
  </si>
  <si>
    <t xml:space="preserve"> Item No.	Unit	Description	Qty 1	bottle	Alcohol 500ml	12 2	box	Assorted Drinks 240 x 24 cans	31 3	piece	Bathroom Deodorizer	10 4	pack	Bathroom Tissue 3 ply 12 rolls	18 5	pack	Biscuit 10s	62 6	pack	Brown Sugar 1kg	57 7	piece	Led Bulb 13W	10 8	pack	Candies 4</t>
  </si>
  <si>
    <t xml:space="preserve"> 1 LOT INSTALLATION OF GLASS PARTION USING PCW FRAME P.TUBE 1/2 WITH CLEAR GLASS 1/4" 1 PC 30H X 27 3/4W X 41 3/4L WITH COUNTER 1 PC 30H X 27 3/4W X 41 3/4L WITH COUNTER 1 PC 30H X 22 7/8W X 58 7/8L WITH COUNTER pls. send sealed bids c/o Ms. MARISTELA REBA</t>
  </si>
  <si>
    <t xml:space="preserve"> Hiring of Consultant for the Market Study &amp; Product  Development of Abaca Waste Pre-cast Concrete from July 15 to December 31, 2020 Total Approved Budget for Contract = Php 300,000.00</t>
  </si>
  <si>
    <t xml:space="preserve"> DEPARTMENT OF EDUCATION Region XI SCHOOLS DIVISION OF MATI CITY City of Mati  Tel No.: (087) 388-4527 REQUEST FOR QUOTATION  Date: July 3, 2020 RFQ No.: 2020-05-118 Name of Business: ____________________________________________________ Address: __________</t>
  </si>
  <si>
    <t xml:space="preserve"> PR NO.		PARTICULARS			APPROVED BUDGET COST		FUND SOURCE	 								 300-20-06-011		Supply &amp; delivery of Vehicle-Motorcycle			102,212.00		General Fund	 							 	 STOCK NO.	UNIT	ITEM DESCRIPTION				QTY	UNIT COST	TOTAL COST 1	unit	Motorcycle				1	 102,212.00 	</t>
  </si>
  <si>
    <t xml:space="preserve"> Please see attached RFQ. ABC: 85,000.00</t>
  </si>
  <si>
    <t xml:space="preserve"> INVITATION TO BID ON THE SUPPLY, DELIVERY AND INSTALLATION OF  1 LOT INTERNET SUBSCRIPTION OF BUKIDNON STATE UNIVERSITY 1.	The Bukidnon State University through the Bids and Awards Committee &amp; Budget Approved by the Board of Regents 2020 [Fund 164] intend</t>
  </si>
  <si>
    <t xml:space="preserve"> ANNEX A” 		 Price Quotation Form Date:____________________ The BAC Chairperson PMMA Complex, San Narciso, Zambales Sir/Madam: After having carefully read and accepted the terms and conditions in the Request for Quotation, hereunder is our quotation/s for </t>
  </si>
  <si>
    <t xml:space="preserve"> Delivery and supply of Electrical Lighting and Convenience Outlet (1 lot) Please see and accomplish the attached Request for Quotation (RFQ) and Bill of Quantities (BOQ) Price quotation must be inclusive of EWT &amp; VAT Approved Budget of the Contract (ABC):</t>
  </si>
  <si>
    <t xml:space="preserve"> Hiring of Manufacturing Company to produce Bakong Bioplastic Compound Pellets, with the following terms and condition: 1. Capable of producing 100 kgs (+-10%) of bakong bio- plastic pellets with good tensile strength, flexural strength and flexural modulu</t>
  </si>
  <si>
    <t xml:space="preserve"> Construction of 4 units Community Stage</t>
  </si>
  <si>
    <t xml:space="preserve"> PROCUREMENT OF MEDICAL SUPPLIES &amp; PARAPHERNALIA</t>
  </si>
  <si>
    <t xml:space="preserve"> JOSE B. LINGAD MEMORIAL REGIONAL HOSPITAL City of San Fernando, Pampanga Tel. No. (045) 961-3921 Date: July 04, 2020 No. 2020 – 07 - 211-S REQUEST FOR QUOTATION (Name of Agency) (Address) Sir/Madam: Please quote your lowest price on the item/s listed belo</t>
  </si>
  <si>
    <t xml:space="preserve"> Republic of the Philippines Province of Cagayan Municipality of Solana -oOo- BIDS AND AWARDS COMMITTEE (BAC) Invitation for submission of price quotation Purchase and installation of Roll up Blinds 1.	The Municipal Government of Solana, through the Genera</t>
  </si>
  <si>
    <t xml:space="preserve"> Rehabilitation of multi-purpose hall.</t>
  </si>
  <si>
    <t xml:space="preserve"> Please quote your lowest price inclusive of VAT on the items listed below subject for the terms and conditions of the RFQ and submit your quotation duly signed by the representative not later than July 8 2020, At this award committee: Hennie Jane O. Allab</t>
  </si>
  <si>
    <t xml:space="preserve"> Republic of the Philippines Province of Cagayan Municipality of Solana -oOo- BIDS AND AWARDS COMMITTEE (BAC) Invitation for submission of price quotation Procurement and installation of closed circuit television (cctv) PNP &amp; BFP Stations 1.	The Municipal </t>
  </si>
  <si>
    <t xml:space="preserve"> Construction of health center.</t>
  </si>
  <si>
    <t xml:space="preserve"> OFFICE OF THE BIDS AND AWARDS COMMITTEE INVITATION TO BID NO. 92-20 Name of Project: Procurement of Hardware Materials used for Construction of Slaughterhouse @ Brgy. Honrado Socorro, SDN Source of Funds: Mun. 20% Development Fund The Municipality of Soco</t>
  </si>
  <si>
    <t xml:space="preserve"> Construction of pathway.</t>
  </si>
  <si>
    <t xml:space="preserve"> Republic of the Philippines  Province of Eastern Samar Municipality of Salcedo Barangay 03, Poblacion INVITATION TO BID FOR THE  CONSTRUCTION OF BARANGAY STREET LIGHTS 1.	The Barangay 03, Poblacion, through the Barangay development fund 2020/Municipal aid</t>
  </si>
  <si>
    <t xml:space="preserve"> please download associated components</t>
  </si>
  <si>
    <t xml:space="preserve"> Rehabilitation of health center.</t>
  </si>
  <si>
    <t xml:space="preserve"> The National Center for Mental Health (NCMH) is inviting all Phil-GEPS registered to apply the Invitation to Bid for the Public Bidding for Supply and Delivery of Psychological Testing Forms and Booklets (Lot) CY 2019. (Please see List of Item for Complet</t>
  </si>
  <si>
    <t xml:space="preserve"> 1 Set Locked Proximal Tibial Plate (L Plate) Locked Proximal Tibial Plate (T Plate) Multiple Kwires (3-4), Cortical Locking Screws Cancellous Screws, 200cc Synthetic Bone Graft Large Fragment Set 1 Set Titanium Recon Nail Locking Screws 1 Set Tibia Lockin</t>
  </si>
  <si>
    <t xml:space="preserve"> Republic of the Philippines BARANGAY SAN CARLOS OFFICE OF THE PUNONG BARANGAY BIDS AND AWARDS COMMITTEE INVITATION TO BID The Barangay Government of BARANGAY SAN CARLOS through its Bids and Awards Committee (BAC), invites suppliers/manufacturers/distribut</t>
  </si>
  <si>
    <t xml:space="preserve"> 41 Sacks - Powdered Milk (Spray Process, Grade A, Nonfat Dry Milk, Made from Pasteurized Milk)                  @ 25kg/sack 50 Bags - Cellophane (for 1 kilo, durable, thick)</t>
  </si>
  <si>
    <t xml:space="preserve"> Earthworks Concreting works Rebar works Form works Masonry works Steel works Roofing works Plumbing works Painting works Tile works</t>
  </si>
  <si>
    <t xml:space="preserve"> Procurement of Printers for Modules worth Php34,000.00</t>
  </si>
  <si>
    <t xml:space="preserve"> Printing, Sorting and Binding of Learning Packets Paper Quality: A4, 70GSM Grade 7 Learner's Packets    (403 Students x 271 pages)= 109,213 pages Grade 8 Learner's Packets    (440 Students x 280 pages)= 123,200 pages Grade 9 Learner's Packets    (419 Stud</t>
  </si>
  <si>
    <t xml:space="preserve"> Formworks Concreting works Masonry works Steel works Roofing works Plumbing Painting Tile works Water Filter</t>
  </si>
  <si>
    <t xml:space="preserve"> Provision of Printer For Modules worth Php17,000.00</t>
  </si>
  <si>
    <t xml:space="preserve"> Provision of Office Supplies worth Php16,600.00</t>
  </si>
  <si>
    <t xml:space="preserve"> Construction of pathway</t>
  </si>
  <si>
    <t xml:space="preserve"> Construction of footbridge</t>
  </si>
  <si>
    <t xml:space="preserve"> Estimation of the Effect of the COVID-19 Pandemic on Preventable Maternal Deaths and Unplanned Pregnancy thru a Research Institution Duration July to September 2020 (See attached Term of Reference TOR) Please attach quotation with the ff: 1. Curriculum Vi</t>
  </si>
  <si>
    <t xml:space="preserve"> Construction of footbridge.</t>
  </si>
  <si>
    <t xml:space="preserve"> Procurement of Office Supplies worth Php39,000.00</t>
  </si>
  <si>
    <t xml:space="preserve"> Technical Consultant for the Documentation and Development of the Manual of Operation for the Registry of Barangay Inhabitants and Migrants (RBIM) Duration July to November 2020 (See attached Term of Reference TOR) Please attach quotation with the ff: 1. </t>
  </si>
  <si>
    <t xml:space="preserve"> Rehabilitation of day care center.</t>
  </si>
  <si>
    <t xml:space="preserve"> Construction of pathway and footbridge.</t>
  </si>
  <si>
    <t xml:space="preserve"> 80 pcs. Face shield (adjustable) 500 pcs.. Face Shield  15 boxes Face Mask (surgical) 350 Face Mask (N-95) 5 boxes Disposable Latex Gloves 6 sets Foot Bath 4 gals. Hand Soap (Liquid) 20 packs Tissue Paper 4 Disinfectant (Sodium Hypochlorite) 20 gals. Alco</t>
  </si>
  <si>
    <t xml:space="preserve"> 20 BAGS CEMENT 18 GAL. LATEX PAINT 18 GAL QDE PAINT  1 GAL. THINNER 7 PCS. PAINT BRUSH</t>
  </si>
  <si>
    <t xml:space="preserve"> OFFICE OF THE BIDS AND AWARDS COMMITTEE INVITATION TO BID NO. 99-20 Name of Project: Procurement of Tarpaulin used for Construction of Brgy. Road @ P-1 Brgy. Dona Helene, Socorro, SDN Source of Funds: LGU 20% Development Fund The Municipality of Socorro t</t>
  </si>
  <si>
    <t xml:space="preserve"> 1 pc	Circuit Breaker, 3-Phase, 400A GE 600 m	Cable 125mm2 10 pcs	G.I. pipe 3”Ø 15 sets	Insulated Rack 3-Phase (for 125mm2 cable)</t>
  </si>
  <si>
    <t xml:space="preserve"> OFFICE OF THE BIDS AND AWARDS COMMITTEE INVITATION TO BID NO. 98-20 Name of Project: Procurement of Hardware Materials used for Construction of Brgy. Road @ P-1 Brgy. Dona Helene, Socorro, SDN Source of Funds: LGU 20% Development Fund The Municipality of </t>
  </si>
  <si>
    <t xml:space="preserve"> OFFICE OF THE BIDS AND AWARDS COMMITTEE INVITATION TO BID NO. 97-20 Name of Project: Procurement of Lumber &amp; Aggregates used for Construction of Brgy. Road @ P-1 Brgy. Dona Helene, Socorro, SDN Source of Funds: LGU 20% Development Fund The Municipality of</t>
  </si>
  <si>
    <t xml:space="preserve"> OFFICE OF THE BIDS AND AWARDS COMMITTEE INVITATION TO BID NO. 95-20 Name of Project: Procurement of Hardware Materials used for Construction of P-1 Brgy. Street @ Brgy. Del Pilar, Socorro, SDN Source of Funds: LGU 20% Development Fund The Municipality of </t>
  </si>
  <si>
    <t xml:space="preserve"> OFFICE OF THE BIDS AND AWARDS COMMITTEE INVITATION TO BID NO. 94-20 Name of Project: Procurement of Lumber &amp; Aggregates used for Construction of P-1 Brgy. Street @ Brgy. Del Pilar, Socorro, SDN Source of Funds: LGU 20% Development Fund The Municipality of</t>
  </si>
  <si>
    <t xml:space="preserve"> 3 PCS. MARINE PLYWOOD 1/2 10 BAGS CEMENT 2 PCS. MARINE PLYWOOD 3/4 2 KL NAIL #1 2 KL NAIL #2 2 KL NAIL #3 100 PCS JEALOUSY BLADES 15 PAIRS JEALOSY FRAME 8 PCS CORROGATED SHEET 4 CAN VULCASEAL 4 PCS DOORKNOB 6 PCS ORDINARY PLYWOOD 18 PCS FASHIA BOARD</t>
  </si>
  <si>
    <t xml:space="preserve"> CONSTRUCTION PROJECTS</t>
  </si>
  <si>
    <t xml:space="preserve"> REQUEST FOR QUOTATION												 SUPPLY AND DELIVERY OF OFFICE SUPPLIES												 SMALL VALUE PROCUREMENT												 												 INSTRUCTION:										              		 	1.	Supplies are required to read the instructions and fill all the blanks properl</t>
  </si>
  <si>
    <t xml:space="preserve"> *CONSTRUCTION OF MULTI-PURPOSE BUILDING SPL I - PROVISION FOR SAFETY AND HEALTH       1.0 LOT SPL II -  SIGNAGES             1.0 LOT I - CONCRETE WORKS          1.20 CU.M II - STEEL WORKS               421.80 KGS III - MASONRY WORKS         24.50 SQ.M IV </t>
  </si>
  <si>
    <t xml:space="preserve"> OFFICE OF THE BIDS AND AWARDS COMMITTEE INVITATION TO BID NO. 96-20 Name of Project: Procurement of Tarpaulin used for Construction of P-1 Brgy. Street @ Brgy. Del Pilar, Socorro, SDN Source of Funds: LGU 20% Development Fund The Municipality of Socorro t</t>
  </si>
  <si>
    <t xml:space="preserve"> Description   OFFICE OF THE BIDS AND AWARDS COMMITTEE INVITATION TO BID NO. 93-20 Name of Project: Procurement of Billboard used for Construction of Slaughterhouse @ Brgy. Honrado Socorro, SDN Source of Funds: Mun. 20% Development Fund The Municipality of</t>
  </si>
  <si>
    <t xml:space="preserve"> 16 BARS DETERGENT BAR 16 SACHET DETERGENT POWDER</t>
  </si>
  <si>
    <t xml:space="preserve"> PROJECT TITLE :CONCRETING OF ROAD AT SITIO LOURDES SOURCE OF FUND : BDF 2019 ABC (PhP) :1,000,000.00 PROJECT DURATION :60 Minimum Equipment Requirements: 1 unit Backhoe with Dozer 1 unit bar cutter 1 unit concrete saw 1 unit set of beam mold 1 unit Road R</t>
  </si>
  <si>
    <t xml:space="preserve"> Republic of the Philippines PROVINCE OF ZAMBOANGA DEL SUR MUNICIPALITY OF LAKE WOOD REQUEST FOR QUOTATION The Local Government Unit of  Lake Wood, Zamboanga del Sur, through its Executive Services, will undertake a Small Value Procurement of Office Equipm</t>
  </si>
  <si>
    <t xml:space="preserve"> Invitation to Bid for Road Concreting  No. 2020-002 1. The Barangay Dicarma, through the Annual Budget 2020(General Fund) Approved by the Sanggunian intends to apply the sum of Three Hundred Thousand Pesos  (Php 473,830.00 ) being the Approved Budget for </t>
  </si>
  <si>
    <t xml:space="preserve"> PURCHASE OF 1 UNIT DESKTOP COMPUTER INTEL CORE I5 PROCESSOR 8GB RAM 120GB SSD 1TB HDD INTEL MOTHERBOARD TRUE RATED PSU MOUSE/KEYBOARD LED MONITOR UPS</t>
  </si>
  <si>
    <t xml:space="preserve"> Republic of the Philippines DEPARTMENT OF PUBLIC WORKS AND HIGHWAYS OFFICE OF THE DISTRICT ENGINEER Cavite II District Engineering Office Mangas II, Alfonso, Cavite INVITATION TO BID  The DPWH – Cavite II District Engineering Office, through its Bids and </t>
  </si>
  <si>
    <t xml:space="preserve"> Hauling of nine (9) units 100KVA Wagner Distribution Transformers from Amparo PS to Stage 1 Camp 6 Pumping Station Weight: ±600.0 kgs Hauling of two (2) sets Peerless Horizontal Split Case Booster Pump coupled with 160HP Induction Motor from Stage 2 Pula </t>
  </si>
  <si>
    <t xml:space="preserve"> Agricultural Training Institute Regional Training Center, MiMaRoPa (ATI-RTC-MiMaRoPa) invites interested bidders/suppliers to submit quotation/proposals for the here under requirement: Seminar on Organic Vegetable Production (7 Batches) Baco 2 Batches Nau</t>
  </si>
  <si>
    <t xml:space="preserve"> Concreting of Walkway Location : Purok 1 Brgy Binubusan Lian, Batangas Budget : 383,000.00</t>
  </si>
  <si>
    <t xml:space="preserve"> Concreting of Road Location: Purok 1, Brgy Binubusan Budget: 271,527.20</t>
  </si>
  <si>
    <t xml:space="preserve"> Invitation to Bid for Installation of Streetlights  No. 2020-003 1. The Barangay Sumacab Sur, through the Annual Budget 2020(General Fund) Approved by the Sanggunian intends to apply the sum of One Hundred Thousand Pesos  (Php 100,000.00 ) being the Appro</t>
  </si>
  <si>
    <t xml:space="preserve"> Engine...................................DOHC GASOLINE - DAM 15 R  (16valve, 4 cylinder) Displacement..........................1,498 cc/ 110HP / 6000RPM Transmission...........................5 speed manual Fuel type.................................Gasoli</t>
  </si>
  <si>
    <t xml:space="preserve"> Request for Quotation			Date:		 			Quotation No.:		 2020-07-045-Jul  Company Name 					 					 Address					 					 	Please quote your lowest price on the items listed below, subject to the General Conditions ln the last				 page stating the shortest time of</t>
  </si>
  <si>
    <t xml:space="preserve"> 1	Lot	Infrared Calibrator, ABC 80,000.00/lot 		&gt;Blackbody Calibration Source, Portable Design				 		&gt;calibrated from ambient +10 to 400°C(Ambient +20 to 752 degrees				 		°F), Portable Miniature Design				 		&gt;Built-in Digital 1/32 DIN Temperature Controll</t>
  </si>
  <si>
    <t xml:space="preserve"> 1.	16	piece/s	Epson Ink (T6642c) 2.	16	piece/s	Epson Ink (T6643m) 3.	15	piece/s	Epson Ink (T6641Blk) 4.	15	piece/s	Epson Ink (T6644y) 5.	8	piece/s	85 A Laserjet HP P1102 6.	9	piece/s	Canon ip2770 ink 810 7.	7	piece/s	Canon ip2770 ink 811</t>
  </si>
  <si>
    <t xml:space="preserve"> Agricultural Training Institute Regional Training Center, MiMaRoPa (ATI-RTC-MiMaRoPa) invites interested bidders/suppliers to submit quotation/proposals for the here under requirement: Extension Initiatives focused in marginalized groups/special concern(T</t>
  </si>
  <si>
    <t xml:space="preserve"> Please submit your quotation on or before July 9, 2020, 8:00am to 5:00pm at Procurement Management Division, Cultural Center of the Philippines, CCP Complex, Roxas Bouelevard, Pasay City or email us at rechie.abada@yahoo.com.</t>
  </si>
  <si>
    <t xml:space="preserve"> REQUEST FOR QUOTATION FOR THE PROJECT REPAIR AND REHABILITATION OF SDO PATHWALK (LEFT WING) PR. No.:		RFQ No.	2020-0629-I02 PR DATE:	June 24, 2020	PhilGEPS Ref. No.	 End-User:	SDO Pasay City	Closing Date:	July 8, 2020 ABC:	Php 409, 871.86	Time:	12:00 p.m.</t>
  </si>
  <si>
    <t xml:space="preserve"> REQUEST FOR QUOTATION FOR REPAINTING OF SDO CONFERENCE ROOM PR. No.:	2020-07-I01	RFQ No.	2020-07-I01 PR DATE:	June 24, 2020	PhilGEPS Ref. No.	 End-User:	SDO Pasay City	Closing Date:	July 8, 2020 ABC:	Php 110,982.18	Time:	12:00 p.m. Sir/Madam: 	1. Please q</t>
  </si>
  <si>
    <t xml:space="preserve"> 4 box/12pcs Ballpen 12's per box-Black 4 box/12pcs Ballpen 12's per box-Blue 2 box/12pcs Ballpen 12's per box-Green 2 box/12pcs Ballpen Hi-Glider Color 0.5-Black 2 box/12 pcs Ballpen Hi-Glider Color0.5-Blue</t>
  </si>
  <si>
    <t xml:space="preserve"> Labor and materials in the procurement of 150 pcs PPE-long sleeve with hood- 90,000.00 No.	Scope of Work	Quantity	Unit_Cost	ABC 1.	 PPE- Long sleeve with hood (customized)	150	600.00	90,000.00 	Color: Gold and Sacramento Green			 	Size:Small- 40pcs., Medi</t>
  </si>
  <si>
    <t xml:space="preserve"> Republic of the Philippines BATANGAS STATE UNIVERSITY Batangas City REQUEST FOR QUOTATION "Procurement of 396 sets of Wooden Classroom Chairs with Tablet for CEAFA Main I and II for use of Freshmen Engineering for AY 2019-2020"  1. The Batangas State Univ</t>
  </si>
  <si>
    <t xml:space="preserve"> 1 unit DESKTOP (ALL IN ONE)     10th Gen Intel Core i5-1035G1     NVIDIA Geforce     MX130,     12GB DDR4     512GB SSD     802.11ac WIFI     Wireless Keyboard and \mouse     Windows 10 Home</t>
  </si>
  <si>
    <t xml:space="preserve"> Coco lumber 2x3x12 (1860 bd.ft.)		Pcs	310 Coco lumber 2x2x12 (144 bd.ft.)		Pcs	36</t>
  </si>
  <si>
    <t xml:space="preserve"> 2	 pcs. 	of	Leaf Spring Primary 2	 pcs. 	of	Leaf Spring Secondary 12	 pcs. 	of	Leaf Spring Bushing 4	 pcs. 	of	Stabilizer Link Bushing 2	 pcs. 	of	Stabilizer Bar Bushing 1	 pc. 	of	Differential Pinion Oil Seal 2	 pcs. 	of	Caliper Bracket Assembly LH and R</t>
  </si>
  <si>
    <t xml:space="preserve"> INVITATION TO BID FOR SUPPLY/DELIVERY OF CONSTRUCTION MATERIALS FOR REPAIR/REHABILITATION OF CHECKGATE # 2 &amp; CANALIZATION WORKS OF YABO FRANCIA CIS, Milaor, Camarines Sur (REBID 2) 1.	The  National Irrigation Administration-Camarines Sur Irrigation Manage</t>
  </si>
  <si>
    <t xml:space="preserve"> Republic of the Philippines BIDS AND AWARDS COMMITTEE Province of Iloilo Invitation to Bid Purchase of Laboratory Supplies Bid No. FRT-20-0275-B 1. The Iloilo Provincial Government, through the GENERAL FUND 2020 intends to apply the sum of FOUR HUNDRED TW</t>
  </si>
  <si>
    <t xml:space="preserve"> 2020 18th Public Bidding: Procurement of Laboratory Supplies &amp; Respiratory Therapy Supplies for 2nd Semester Consumption</t>
  </si>
  <si>
    <t xml:space="preserve"> Republic of the Philippines DEPARTMENT OF PUBLIC WORKS AND HIGHWAYS OFFICE OF THE DISTRICT ENGINEER Cavite II District Engineering Office Mangas II, Alfonso, Cavite Tel. No. (046) 412-9513 / (046) 409-0213 INVITATION TO BID The Department of Public Works </t>
  </si>
  <si>
    <t xml:space="preserve"> Boulders		                        Cu.m	30 Gravel					Cu.m	11 Sand 					Cu.m	6</t>
  </si>
  <si>
    <t xml:space="preserve"> Tire 17.5x25 w/flap &amp; inner tube		        Sets	4 Headlight bulb, 24V					Pcs	1 Tall light bulb, 24V					Pcs	4 Brake fluid (900ml)					Bot	6 Grease					                Qtrs	6 ATF					                        ltrs	6</t>
  </si>
  <si>
    <t xml:space="preserve"> Waste Water Analysis for  8 locations at PhilRice CES Motorpool, Hybrid, Haz Watse Pond, FTIC pond, Near basketball court, Titanic, Director's Area and Future Rice) Test for: BOD, TSS, Oil and Grease, Nitrate, Phosphate, Surfactants, Fecal Coliform, and A</t>
  </si>
  <si>
    <t xml:space="preserve"> 1	Set	Bagger Concrete Mixer Heavy Duty, ABC 70,000.00/set 2	Set	Portable Drill, ABC 5,000.00/set RFQ#06-0681</t>
  </si>
  <si>
    <t xml:space="preserve"> To continue the DepEd educational program</t>
  </si>
  <si>
    <t xml:space="preserve"> Republic of the Philippines Bangsamoro Autonomous Region in Muslim Mindanao Provincial Government of Maguindanao BIDS AND AWARDS COMMITTEE REQUEST FOR QUOTATION The PROVINCIAL GOVERNMENT OF MAGUINDANAO – Office of the Provincial Governor invites all inter</t>
  </si>
  <si>
    <t xml:space="preserve"> PROCUREMENT OF CONSTRUCTION MATERIALS AND SUPPLIES FOR THE CONCRETING OF HITOOG BRGY. ROAD.</t>
  </si>
  <si>
    <t xml:space="preserve"> 20 REAMS BOOK PAPER SUBS 20 L 20 REAMS BOOK PAPER SUBS 20 S 16 BOT. ELMER'S GLUE 4 BOT EPSON INK 16 PCS DOUBLE ADHESSIVE TAPE 16 PCS. SCOTCH TAPE</t>
  </si>
  <si>
    <t xml:space="preserve"> 200 pcs RSB, 10mm x 6m etc... PEO</t>
  </si>
  <si>
    <t xml:space="preserve"> Small Value Procurement . . .</t>
  </si>
  <si>
    <t xml:space="preserve"> INVITATION TO BID FOR SUPPLY AND DELIVERY OF CONSTRUCTION MATERIALS FOR THE CONSTRUCTION AND REPAIR OF IA TRAINING CENTER AND STORAGE AT PULA BANSUD RIS PB# MOMARO-024-2020 1.	The NIA-MOMARO Irrigation Management Office, through the Corporate Operating Bu</t>
  </si>
  <si>
    <t xml:space="preserve"> SPL - 1 Mobilization SPL-2  General Requirements 100 Clearing 103 Structural Excavation 105 Subgrade Preparation 200 Aggregates subbase 201 Aggregates BAse Coarse 311 PCCP 405 Structural Concrete  500 Pipe Culvert SPL - 3 CSPMC Cabinet</t>
  </si>
  <si>
    <t xml:space="preserve"> 1   unit   Water Dispenser - Hot and Cold 2   pcs.   Executive Chair 2   pcs.   Waiting Chair (Stainless Heavy Duty) 2   pcs.   Office Table 1   unit   Flat Screen 32" TV</t>
  </si>
  <si>
    <t xml:space="preserve"> New SEC Flag Size: 3’ x 5’ Material: Satin Double Background Background/Face: Double Sewn Design See attachment for the design Interested suppliers are required to submit the following documents: 1.	Mayor’s/Business Permit 2.	PhilGEPS Registration Number </t>
  </si>
  <si>
    <t xml:space="preserve"> Please see attached PR for specifications</t>
  </si>
  <si>
    <t xml:space="preserve"> Implementation of the above-mention projects  which includes labor ang materials base on approved plans and program of works.</t>
  </si>
  <si>
    <t xml:space="preserve"> Monoblock Chairs</t>
  </si>
  <si>
    <t xml:space="preserve"> Back Horn		                                        Pc	1 Oil filter					                Pcs	2 Fuel filter					                Pc	1 Battery 15P, 12V					Pcs	2 Tire 10.00x20 w/flap &amp; inner tube		Pcs	6 Side mirror					        Pcs	2 Brake fluid (900ml)				    </t>
  </si>
  <si>
    <t xml:space="preserve"> Republic of the Philippines Province of Negros Oriental City of Bais Barangay: CAMBUILAO        BIDS AND AWARD COMMITTEE INVITATION TO APPLY FOR ELIGIBILITY AND TO RE-BID 	The Barangay Government of Barangay__ Cambuilao       , Bais City invites intereste</t>
  </si>
  <si>
    <t xml:space="preserve"> Logistics Services (Hauling and Trucking) Door to Port 1 unit Toyota Hiace Commuter Van  Origin: DepEd Central Office Complex, Meralco Avenue, Pasig City Destination: Cebu Port</t>
  </si>
  <si>
    <t xml:space="preserve"> 15 sacks Rice-Newly Milled 35 trays Fresh Eggs 20 packs Hotdog with Cheese regular size 10 kls Dried Fish (Bulad) Bakid Medium Size 10 kls Fresh Fish-Marot Medium Size</t>
  </si>
  <si>
    <t xml:space="preserve"> Please see attached RFQ for more details. For concern/query you may contact us at BAC.SDOBenguet@gmai.com from Mondays to Fridays (8:00AM to 5:00PM) except holidays.</t>
  </si>
  <si>
    <t xml:space="preserve"> The Barangay Accusilian, Tuao Cagayan through its SK Fund intends to apply the sum of   Php 69,982.46  being the Approved Budget for the Contract (ABC) to payments under the contract for  Procurement of Materials for the Installation of Waiting Shed (2 Un</t>
  </si>
  <si>
    <t xml:space="preserve"> Grocery Packs 5Ganta Rice 2Kilos White Sugar 1 pack Coffee 2 Bottles Bleaching Soap(Zonrox)</t>
  </si>
  <si>
    <t xml:space="preserve"> Goggles, mist-free reusable polycarbonate lenses soft and light weight fit to wearing the corrective glasses, impact/ chemical/fluid resistant	75	PC	 Gown, surgical sterile disposable long sleeves extra large water proof, velcro neck, two strips knitted c</t>
  </si>
  <si>
    <t xml:space="preserve"> PROCUREMENT OF HARDWARE AND CONSTRUCTION SUPPLIES FOT THE CONSTRUCTION OF MULTI-PURPOSE BLDG. PHASE IX (CONTINUATION OF ITEM IV OF WHOLE POW) AT BRGY. TIGBAO, MATALOM, LEYTE.</t>
  </si>
  <si>
    <t xml:space="preserve"> Procurement ID/Contract I.D.: 20CN0155 Contract Name: Construction of Multi-Purpose Building Contract Location: Brgy. Dibaraybay, Dinalungan, Aurora Brief Description: Civil, Mechanical, Electrical and Sanitary/Plumbing Works; Earthworks, Plain and Reinfo</t>
  </si>
  <si>
    <t xml:space="preserve"> Procurement ID/Contract I.D.: 20CN0156 Contract Name: Retrofitting/Strengthening of Permanent Bridge – Aguang Br. (B03015LZ) Contract Location: along Baler – Casiguran Rd (Baler – Dinadiawan) Brief Description: Bridge Construction Approved Budget for the </t>
  </si>
  <si>
    <t xml:space="preserve"> 1 unit Floor Mounted Aircondition - 3.0 TR Floor Standing Airconditioner - Energy Saving Compressor - 3D Air Delivery System - LED Display - Sleep Mode - Auto On/Off Timer - High Efficiency Air Filter - With on-site Installation</t>
  </si>
  <si>
    <t xml:space="preserve"> 10	Piece	Laryngoscope bulb holder, ABC 2,000.00/pc 200	Box	Disposable needle G.21 100pcs/box, ABC 350.00/box 100	Roll	Plaster 1", ABC 150.00/roll 200	Roll	Plaster 2", ABC 250.00/roll 300	Roll	Plaster 3", ABC 350.00/rol 300	Roll	Plaster 4", ABC 350.00/roll</t>
  </si>
  <si>
    <t xml:space="preserve"> INVITATION TO APPLY FOR ELIGIBILITY AND TO BID THE MUNICIPALITY OF CAIBIRAN, BILIRAN IS INVITING ALL INTERESTED BIDDERS ON ITS FORTHCOMING PUBLIC BIDDING FOR: Project Title 	: Acquisition of Laptop (for Engineering Design) Location	        : Office of the</t>
  </si>
  <si>
    <t xml:space="preserve"> Emergency Medical  Kit	20	set Specifications:		 Forcep		 Mayo Scissor		 Needle Holder		 Chromic 2.0 Round (1 dozen)		 Chromic 2.0 Cutting (1 dozen)		 BP Apparatus with Stetoscope		 Thermometer Digital		 Pulse Oxymeter		 Medical Bag</t>
  </si>
  <si>
    <t xml:space="preserve"> THE NATIONAL IRRIGATION ADMINISTRATION-SCIMO, THROUGH THE FUND 501 HAS THE APPROVED BUDGET FOR THE CONTRACT (ABC) AMOUNTING SEVENTY THOUSAND SEVEN HUNDRED PESOS ONLY (70,700.00).  QUOTATION RECEIVED IN EXCESS OF THE ABC SHALL BE AUTOMATICALLY REJECTED. IN</t>
  </si>
  <si>
    <t xml:space="preserve"> 75 pcs DISPOSABLE GROUNDING PAD</t>
  </si>
  <si>
    <t xml:space="preserve"> Double lumen tube s.28, disposable single pack sterile 	3	PC Double lumen tube s.35, disposable single pack sterile 	3	PC Double lumen tube s.37, disposable single pack sterile 	3	PC</t>
  </si>
  <si>
    <t xml:space="preserve"> INVITATION TO BID FOR THE PROCUREMENT OF CONSTRUCTION MATERIALS FOR MULTI-PURPOSE BUILDING TOILET (4 UNITS ROOMS) 1.	The Barangay Datu Panas of Buug, through the General Fund  intends to apply the sum of Two Hundred Eighteen Thousand  Two Hundred Ten Peso</t>
  </si>
  <si>
    <t xml:space="preserve"> One (1) unit HIGH VOLUME LOW  Specification: **Moror: 0.55 HP/ 220/ -250V/ 1 Phase/ 300W **Fan Diameter: 12' (3.7m) **Fan Weight: 40kg **Max Speed: 76 RPM **Sound at Max Speed: 35dbA **Warranty: 5 years INSTALLATION : Fan Mounting and Assembly **Fan Termi</t>
  </si>
  <si>
    <t xml:space="preserve"> Qty.	Unit of	Item Description				 	Issue				 100	pcs		Ballpen, Black- HBW			 60	pcs		Ballpen, retractable, black			 10	pcs		Battery "AA", energizer			 10	pcs		Battery "AAA", energizer 4's			 2	reams	Bond Paper 8.5x 13, sub 16 (white)			 1	reams	Bond Paper</t>
  </si>
  <si>
    <t xml:space="preserve"> Republic of the Philippines DEPARTMENT OF PUBLIC WORKS AND HIGHWAYS BOHOL III DISTRICT ENGINEERING OFFICE REGIONAL OFFICE VII Guindulman, Bohol INVITATION TO BID FOR GOODS July 01, 2020 The Department of Public Works and Highways-Bohol 3rd District Engine</t>
  </si>
  <si>
    <t xml:space="preserve"> COVER ALL SUIT (WASHABLE, MICROFIBER &amp; WATER RESISTANT W/ CAP AND SHOE COVER)          60 SET 70% ISOPROPYL ALCOHOL  500 ML                                                                                             1500 BOT MULTIVITAMINS + VIT C + ZINC  </t>
  </si>
  <si>
    <t xml:space="preserve"> See attached main document.</t>
  </si>
  <si>
    <t xml:space="preserve"> INVITATION TO APPLY FOR ELIGIBILITY AND TO BID THE BIDS AND AWARD COMMITTEE OF THE MUNICIPALITY OF CAIBIRAN, BILIRAN IS INVITING ALL INTERESTED BIDDERS ON ITS FORTHCOMING PUBLIC BIDDING FOR: Project Title	: Acquisition of Tubeless Tire Delivery Period	: 2</t>
  </si>
  <si>
    <t xml:space="preserve"> 1	Processor		1	pc 	 - 6 Core			 	 - 6 Threads			 	 - 2.90 - 3.20 Base Frequency			 	 - With Integrated Graphics			 	 - LGA 1151 Socket Compatible			 2	Motherboard		1	pc 	 - LGA1151 Socket			 	 - Supports DDR4 Memory			 	 - 4 DIMM Slots			 	 - Micro ATX Fo</t>
  </si>
  <si>
    <t xml:space="preserve"> The Barangay Alabug, Tuao Cagayan through its MUNICIPAL AID Fund intends to apply the sum of Php 58,448.00 being the Approved Budget for the Contract (ABC) to payments under the contract for Procurement of Materials for the Installation of Street Lights (</t>
  </si>
  <si>
    <t xml:space="preserve"> REQUEST FOR QUOTATION											 SUPPLY AND DELIVERY OF LAPTOP COMPUTERS											 SMALL VALUE PROCUREMENT 											 											 INSTRUCTION:										              	 	1.	Supplies are required to read the instructions and fill all the blanks properly.	</t>
  </si>
  <si>
    <t xml:space="preserve"> 500	Box	Disposable Syringe 3cc, ABC 400.00/box 500	Box	Disposable Syringe 5cc, ABC 600.00/box 500	Box	Disposable Syringe 10cc, ABC 400.00/box 250	Box	Disposable Syringe 20cc, ABC 400.00/box 199	Box	Disposable Syringe 50cc, ABC 1,000.00/box RFQ#06-0690</t>
  </si>
  <si>
    <t xml:space="preserve"> School Supplies(teachers), office supplies, CNR/feeding program and construction materials</t>
  </si>
  <si>
    <t xml:space="preserve"> Lead Gown with Thyroid 0.25mmPb L=43.30 inch W=23.6 inch Sizes: XXXL 2 pcs XXL 2 pcs XL 8 pcs L 5 pcs M 3 pcs S 1 pc</t>
  </si>
  <si>
    <t xml:space="preserve"> ITEMS: 25 BX AMOXICILLIN 500MG TAB BOX/100'S 25 BTL AMOXICILLIN DROPS 35 BTL CEFALEXIN 500MG TAB BOX/100'S 20 BTL CEFALEXIN DROPS 25 BX MEFENAMIC ACID 500MG BOX/100'S 20 AMP MAGNESIUM SULFATE 20ML 30 AMP METHELORGOMETRINE AMP 200 AMP OXYTOCIN 5 BT PARACET</t>
  </si>
  <si>
    <t xml:space="preserve"> SUPPLY AND DELIVERY OF WOODEN ARMCHAIRS</t>
  </si>
  <si>
    <t xml:space="preserve"> PR No. 2020-02-001 Procurement of Security Services for Day and Night Shift of DPWH-Ifugao Second District Engineering Office Main Office,Potia Sub-Office &amp; Banaue Satellite Office/Resthouse for 9 months</t>
  </si>
  <si>
    <t xml:space="preserve"> REQUEST FOR QUOTATION 1.	The Bangko Sentral ng Pilipinas requests quotations for the hereunder requirement: Name of the Requirement/Brief Description	:	Supply and Delivery of 540 Liters Hand Cleaner, as per                                  BSP Technical S</t>
  </si>
  <si>
    <t xml:space="preserve"> 261-Supply and Delivery of Meals and Snacks, Office and ICT supplies for the Conduct of Webinar Writeshop of SDSSU Tandag Campus Lot A - Meals &amp; Snacks @ 60,000.00 Lot B - Office Supplies @ 3,600.00 Lot C - ICT Supplies @ 4,000.00</t>
  </si>
  <si>
    <t xml:space="preserve"> 8	Set	Computer Set, ABC 45,000.00/set 		Specifications:				 		Processor Core: I5 9TH GEN				 		Graphics Card:  N/A				 		Memory: 8GB RAM				 		Hard Drive Capacity: 1TB 				 		Operating System: Windows 10 PRO GENUINE				 		Monitor: 19"				 		w/ minumum 1 y</t>
  </si>
  <si>
    <t xml:space="preserve"> Regional Health Field Office No. VII				 	DON EMILIO DEL VALLE MEMORIAL HOSPITAL				 	BOOD, UBAY, BOHOL				 	 (038) 518-8027, (038) 518-8309; 7 (038) 518-8301; * devmh_ubay@yahoo.com				 	“PHILHEALTH ACCREDITED HEALTHCARE PROVIDER”				 					 ITEMS FOR BID</t>
  </si>
  <si>
    <t xml:space="preserve"> SUPPLY AND DELIVERY OF SUPPLIES FOR ICTC</t>
  </si>
  <si>
    <t xml:space="preserve"> 1.	The Local Government Unit of Balangiga, through the Annual Budget for 20203 intends to apply the sum of Four Hundred Nineteen Thousand Five Hundred Pesos (Php 419,500.00) being the Approved Budget for the Contract (ABC) to payments under the contract f</t>
  </si>
  <si>
    <t xml:space="preserve"> A. EARTHWORKS: 1 L.S. MOBILIZATION &amp; DEMOBILIZATION 1350 SQ.M. CLEARING AND GRUBBING 30 CU.M REMOVAL OF STRUCTURES AND OBSTRUCTION 255 CU.M STRUCTURE EXCAVATION 692 CU.M EMBANKMENT B. SUB BASE &amp; BASE COURSES: 1350 SQ.M. SUB-GRADE PREPARATION 288 CU.M SUB-</t>
  </si>
  <si>
    <t xml:space="preserve"> 726 pax Snacks 726 pax Lunch</t>
  </si>
  <si>
    <t xml:space="preserve"> Please refer to the attached Request for Quotation. Thank you.</t>
  </si>
  <si>
    <t xml:space="preserve"> 2,233 liter Diesel 10 pail Engine Oil 40 5 pail Hydraulic Oil 10 1 pail Grease</t>
  </si>
  <si>
    <t xml:space="preserve"> The Barangay Alabiao, Tuao Cagayan through its Provincial Government Fund intends to apply the sum of             Php 53,183.00  being the Approved Budget for the Contract (ABC) to payments under the contract for  Procurement of Materials for Installation</t>
  </si>
  <si>
    <t xml:space="preserve"> For information and posting purposes.  The procuring entity will send RFQs to suppliers of known qualifications. (Section 52 of Revised IRR of RA 9184)</t>
  </si>
  <si>
    <t xml:space="preserve"> The Office on Halls of Justice Sta. Maria, Bulacan of the Supreme Court, through the Procurement Section, invites interested suppliers to quote for the price/s of the item/s listed in the attached document (PLEASE DOWNLOAD) Please also provide "Eligibilit</t>
  </si>
  <si>
    <t xml:space="preserve"> ITEMS: 5 UNITS TIRE(TOYOTA HI-LUX) 265/65 R18 2 SETS BRAKE PAD 1 SET BRAKE SHOE</t>
  </si>
  <si>
    <t xml:space="preserve"> The DENR-PENRO Negros Occidental intends to procure One (1) Unit Unmanned Aerial Vehicle (Drone) with Smart Controller for Official Use of Mount Kanlaon Natural Park Personnel with the following specifications; Sensor: 1/2.3″ CMOS. Pixels: 12 million. Len</t>
  </si>
  <si>
    <t xml:space="preserve"> TWO (2) UNITS 3-TR FLOOR MOUNTED INVERTER AIR CONDITIONER-------P 182,800.00 Specification: **Remote Control **Self Diagnosis **Sleep Mode **Auto Swing **LED Display **Slim Type ONE (1) UNIT 1.5 HP WALL MOUNTED SUPER INVERTER (SPLIT TYPE) -----P 32,500.00</t>
  </si>
  <si>
    <t xml:space="preserve"> 1  lot    SUPPLY AND INSTALLATION OF COMBI BLINDS Specifications: 100% polyester; Thickness:   62mm mesh. 19mm Plea Sat Type; Color: Beige;  Old PPD Room:                               536.00  sq. ft. Old Language Laboratory:               416.00  sq. ft.</t>
  </si>
  <si>
    <t xml:space="preserve"> Procurement of Various Laboratory Supplies. Interested bidders can download the attached file for complete specifications and requirements. Please send your quotation thru this email: caysiebagsit.ritm@gmail.com Note: Kindly make our PR# as a subject of y</t>
  </si>
  <si>
    <t xml:space="preserve"> HARDWARE MATERIALS FOR FABRICATION OF STEEL FRAMED TABLES</t>
  </si>
  <si>
    <t xml:space="preserve"> Please see attached Request for Quotation. ---------------------PGO--------------------</t>
  </si>
  <si>
    <t xml:space="preserve"> 1 set Desktop 3in1 TP01-0109D DT PC Intel Core i7-9700F Processor (12m Cache, up to 4.70Ghz) 1TB 7200 rpm SATA, 128 GB PCIe NVMe M.2 SSD  Windows 10 23.8" Monitor 2-year warranty 1 set Desktop 3in1 Intel Core i3-8100 Processor 4GB DDr4 2666MHz Memory 1TB </t>
  </si>
  <si>
    <t xml:space="preserve"> The Barangay Mungo, Tuao Cagayan through its 20% BARANGAY DEV'T Fund intends to apply the sum of Php 99,668.44 being the Approved Budget for the Contract (ABC) to payments under the contract for Installation of Street Lights (20 UNITS). Bids received in e</t>
  </si>
  <si>
    <t xml:space="preserve"> PURPOSE: FOR DES USE. REPLACEMENT PURCHASE FROM P.R.# 2020-01-1140, FOR RE-POSTING DUE TO CURRENT MARKET PRICE Fax your Price Quotation at Tel. Fax#: 426-30-45 / 927-64-26 local 2561 or Email at bacveterans@gmail.com. Please indicate the brand name and co</t>
  </si>
  <si>
    <t xml:space="preserve"> Details at the engineering or mpdc office</t>
  </si>
  <si>
    <t xml:space="preserve"> Republic of the Philippines MUNICIPALITY OF BUENAVISTA INVITATION TO BID FOR SUPPLY AND DELIVERY OF MATERIALS FOR IMPROVEMENT OF WATERWORKS SYSTEM (BRGY. BAGTINGON)   1.	The Local Government Unit of Buenavista, Marinduque through the fund from 20% Develop</t>
  </si>
  <si>
    <t xml:space="preserve"> Panel board, 20-B surface type, (bolt-on)		        Pc	1 Main distribution panel, 4-B surface type, bolt-on		Pc	1 Circuit breaker, 100A					                Pcs	5 Circuit breaker, 30A					                Pcs	19 TW wire 50mm					                        Mtrs	</t>
  </si>
  <si>
    <t xml:space="preserve"> Item Description                 Pages x No. of Pupils            Total Quantity Learning Packets SPED              95  x 74                       =        7,030 Learning Packets  Kinder            45 x 249                      =      11,205    Learning P</t>
  </si>
  <si>
    <t xml:space="preserve"> Unit Price           Total 240              BTL         Ink Epson L350/l360, T6641  BLACK              246.00              59,040.00 180              BTL         Ink Epson L350/L360, T6642, CYAN               279.00             50,220.00 180             B</t>
  </si>
  <si>
    <t xml:space="preserve"> One (1) Lot Calibration of Various Medical Equipment, as per BSP Specifications and Terms of Reference</t>
  </si>
  <si>
    <t xml:space="preserve"> Negotiated Procurement (Sec.53.9)</t>
  </si>
  <si>
    <t xml:space="preserve"> Please see attached PR for specification</t>
  </si>
  <si>
    <t xml:space="preserve"> Republic of the Philippines									 PROVINCE OF CAGAYAN									 Municipality of Peñablanca									 									 REQUEST FOR QUOTATION									 									 Company Name: 			Quotation No.						 Address:			Date						 TIN Number: 			PR No.						 Tel/Fax: 			Mod</t>
  </si>
  <si>
    <t xml:space="preserve"> NEGOTIATED PROCUREMENT FOR PRINTING OF DEPED FORMS AND TARPAULIN AMOUNTING PHP 22,000.00</t>
  </si>
  <si>
    <t xml:space="preserve"> PURPOSE: FOR THREE (3) MONTHS DOP CONSUMPTION Fax your Price Quotation at Tel. Fax#: 426-30-45 / 927-64-26 local 2561 or Email at bacveterans@gmail.com. Please indicate the brand name and complete specifications.</t>
  </si>
  <si>
    <t xml:space="preserve"> The Office on Halls of Justice (Boac, Marinduque) of the Supreme Court, through the Procurement Section, invites interested suppliers to quote for the price/s of the item/s listed in the attached document (PLEASE DOWNLOAD) Please also provide "Eligibility</t>
  </si>
  <si>
    <t xml:space="preserve"> Republic of the Philippines          City of Dumaguete Bids and Awards Committee INVITATION TO BID FOR PURCHASE REQUEST OF 127 BAGS PORTLAND CEMENT 40 KGS AND OTHER ITEMS 	The City of Dumaguete thru its BIDS AND AWARDS COMMITTEE (BAC), invites all interes</t>
  </si>
  <si>
    <t xml:space="preserve"> Stock No.	Item description					                       QTY	Unit 1	Alcohol 70% ethyl 3.78 liters					       30	gals. 2	Disinfectant Concertrate 3.78 liters					5	gals. 3	Hand Sanitizers/Antibacterial Sanitizer 3.78 liters			10	gals. 4	Liquid Hand Soap 3.78 </t>
  </si>
  <si>
    <t xml:space="preserve"> The DENR-PENRO Negros Occidental intends to procure Three (3) Units Smart Television for official use of Mount Kanlaon with the following specifications: -4K TV, SMART TV, Flat, HDR -55” - Crystal Processor 4k -Quad-core Processor -Resolution (Pixel) 3840</t>
  </si>
  <si>
    <t xml:space="preserve"> Republic of the Philippines          City of Dumaguete Bids and Awards Committee INVITATION TO BID FOR PURCHASE REQUEST OF 353 BOX ASCORBIC 500MG TABLET 100’S AND OTHER ITEMS 	The City of Dumaguete thru its BIDS AND AWARDS COMMITTEE (BAC), invites all int</t>
  </si>
  <si>
    <t xml:space="preserve"> BIDS AND AWARDS COMMITTEE REQUEST FOR QUOTATTION The Barangay Osukan of Labason, Z.N., invites all interested registered supplier to submit quotation for the Purchase of One (1) Unit 125 Dual Sport Motorcycle for Barangay Osukan: Approved Budget for the C</t>
  </si>
  <si>
    <t xml:space="preserve"> REQUEST FOR QUOTATION The Municipality of Allacapan, through its Bids and Awards Committee (BAC), invites suppliers/distributors/contractors to SUBMIT QUOTATION for the hereunder project: Name of Contract :Purchase of 1 unit assembled desktop unit,1 unit </t>
  </si>
  <si>
    <t xml:space="preserve"> 1	Ethyl Alcohol 70% solution 1 gallon			        11 gallon	7,150.00 2	Isoprophyl Alcohol 70% solution 1 gallon			10 gallon	6,070.00 3	Face mask-Surgical disposable 3-ply			          5,000 pc	140,000.00 4	N95 Face Mask NIOSH			                        30 PC	</t>
  </si>
  <si>
    <t xml:space="preserve"> Please see attached Request for Quotation. ----------------------PGO---------------------</t>
  </si>
  <si>
    <t xml:space="preserve"> Reference No. PR # 20-03-0392                                                       PRICE QUOTATION FORM (BID FORM) Sealed Bids shall be dropped in the BIDDERS BOX on or before 2:00 P.M.  July 07, 2020    placed at the office of the Chairman of the Colleg</t>
  </si>
  <si>
    <t xml:space="preserve"> supply and delivery of construction materials</t>
  </si>
  <si>
    <t xml:space="preserve"> INVITATION TO BID July 2, 2020 1.	The Provincial Government of Davao Occidental, through its Bids and Awards Committee (BAC), invites all suppliers to apply to bid for the following goods: Bids received in excess of the ABC shall be automatically rejected</t>
  </si>
  <si>
    <t xml:space="preserve"> REMINDERS: (1) SUBMISSION OF REQUEST FOR QUOTATION SHALL BE ON A SEALED ENVELOPE. THE FLAP OF THE ENVELOPE MUST BE SIGNED. THE DETAILS THAT SHOULD BE REFLECTED IN THE ENVELOPE ARE THE FOLLOWING:  a) RQ NUMBER;  b) COMPANY NAME;  c) REQUESTING UNIT; and  d</t>
  </si>
  <si>
    <t xml:space="preserve"> TITLE: PROCUREMENT OF OFFICE SUPPLIES			 DEPARTMENT: SANGGUNIANG BAYAN (OFFICE OF THE VICE MAYOR)			 			 ITEM NO.	QTY	UNIT	ITEM DESCRIPTION 1	100	rms	coupon bond long 2	50	rms	coupon bond short 3	100	pcs	brown envelope 4	5	pcs	filing tray 3 layers 5	5	set</t>
  </si>
  <si>
    <t xml:space="preserve"> Page 1 of 9 REQUEST FOR QUOTATION (RFQ) SUPPLY AND DELIVERY OF VARIOUS CALIBRATION STANDARDS UNDER EMB-ERLSD-ENVIRONMENTAL LABORATORY SERVICES SECTION (ELSS) ORGANICS AND ORGANICS LABORATORY UNIT RFQ NO. EMB-S-ERLSD-ELSS-OLU CALIBRATION STANDARDS 2020-054</t>
  </si>
  <si>
    <t xml:space="preserve"> 07-02-2020		 			 1.	1	unit	Ambulance (FB BODY WITH DUAL AIRCON) 			Features and Specification: 		Engine:	Model Type : 2.2L 4-Inline 16Valve DOHC Intercooled 			Turbocharged, Diesel - EURO 4 (4N14) 			Fuel system: Electronic Common Rail Direct Injection 		</t>
  </si>
  <si>
    <t xml:space="preserve"> Invitation to Bid  The Surallah Water District now invites interested bidders to participate in the bidding of the herein described project, as follows: Name of Project	:	CONSTRUCTION OF ONE (1) PRODUCTION WELL WITH 150m DEPTH X 200mm Ø CASING. Location	:</t>
  </si>
  <si>
    <t xml:space="preserve"> Please see attached Request for Quotation. ---------------------PGO---------------------</t>
  </si>
  <si>
    <t xml:space="preserve"> Meals &amp; Snacks for 30 pax Meals - breakfast, lunch &amp; Dinner at 450/pax/day Snack - AM &amp; PM at 150/pax/day</t>
  </si>
  <si>
    <t xml:space="preserve"> 100	pax	Pm snacks chicken  salad sandwich with hips, ice tea and dinner (fried chicken, lumpiang shanghai, tufo, pancit, sweet potato, plain rice, caramel bar and bottled water)</t>
  </si>
  <si>
    <t xml:space="preserve"> PURPOSE: FOR USE IN ANESTHESIA MACHINE W/ VAPORIZER. Fax your Price Quotation at Tel. Fax#: 426-30-45 / 927-64-26 local 2561 or Email at bacveterans@gmail.com. Please indicate the brand name and complete specifications.</t>
  </si>
  <si>
    <t xml:space="preserve"> Replacement and Repair of Compressor One (1) unit Compressor Motor 5TR -----------------------P 36,000.00 Two (2) units Compressor Motor 3Tr ( 25,500.00 x 2 )---    51,000.00 One (1) unit Compressor Motor 2HP ----------------------    12,500.00</t>
  </si>
  <si>
    <t xml:space="preserve"> Procurement of 1 Lot Water treatment Supplies, etc.</t>
  </si>
  <si>
    <t xml:space="preserve"> 20 BOX SARDINES (RED) 20 BOX SARDINAS (GREEN) 25 BOX MEATLOF 30 BOX CARNE NORTE 15 BOX SAUSAGE</t>
  </si>
  <si>
    <t xml:space="preserve"> Republic of the Philippines PROVINCE OF NORTHERN SAMAR Municipality of Lavezares -oOo- INVITATION TO APPLY FOR ELIGIBILITY AND TO BID 		The Local Government Unit of Lavezares, Province of Northern Samar invites bidders/ 	contractors to apply for eligibili</t>
  </si>
  <si>
    <t xml:space="preserve"> 30 sacks of Certified Seed NSIC-RC-222</t>
  </si>
  <si>
    <t xml:space="preserve"> SUPPLY AND INSTALLATION OF FORTY EIGHT (48) PCS FINE BUBBLE AERATION DIFFUSER SPECS: DISK DIAMETER: 10 INCHES RATED TO DELIVER 1-2.5 CFM SIZE: 3/4" MALE CONNECTION *MUST CONDUCT SITE INSPECTION BEFORE SUBMITTING QUOTATION **SUBMITTED QUOTATIONS WITHOUT CO</t>
  </si>
  <si>
    <t xml:space="preserve"> TIRE SET FOR TOYOTA HILUX AND FORD RANGER</t>
  </si>
  <si>
    <t xml:space="preserve"> Catering Services for the conduct of Training Workshop on Enhancement of Manual of Operation and Strategic Plan for Pantabangan-Carranglan Watershed Forest Reserve(PCWFR) on July 15-17, 2020</t>
  </si>
  <si>
    <t xml:space="preserve"> 1.	15	canister/s	Urinary Reagent strips (4 Parameters) 2.	1000	piece/s	Stool Container(Wide-Mouthed;with screw cap, 			with spatula;50ml capacity) 3.	2	bottle/s	Disinfectant spray (Lysol, 510grams) 4.	1	bottle/s	Concentrated Disinfectant Solution (Lysol) </t>
  </si>
  <si>
    <t xml:space="preserve"> FOR LGU STREET LIGHTS USE</t>
  </si>
  <si>
    <t xml:space="preserve"> Materials for the installation of protective plastic with wooden frame.</t>
  </si>
  <si>
    <t xml:space="preserve"> INVITATION TO BID FOR PROCUREMENT OF MATERIALS AND RENTAL OF EQUIPMENT FOR CONSTRUCTION OF COVERED COURT 1.	The Barangay San Isidro, through the 20% Barangay Development Fund intends to apply the sum of Seven Hundred Forty-Seven Thousand Six Hundred Seven</t>
  </si>
  <si>
    <t xml:space="preserve"> Standard Form Number: SFGOOD60 Revised on: May 24, 2004 Standard Form Title: Request for Quotation Date:  July 2, 2020 Quotation No. 20-06-0390 Purchase Request No. 20-05-586 __________________________ Company Name ___________________________ Address Plea</t>
  </si>
  <si>
    <t xml:space="preserve"> See Associated Component for Specification and RFQ. Send your quotation to: trc.malinao@gmail.com Please include the Copy of 1. Tin Number 2. Business / Mayors Permit 3. Philgeps Certification 4. DTI/ SEC Registration</t>
  </si>
  <si>
    <t xml:space="preserve"> CONCRETING OF ACCESS ROAD I. ITEM-201 AGGREGATE BASE COURSE (Thk.=.15m. II. ITEM-311 PCCP (Thk.=.15m.) CONCRETING OF CATWALK WITH RIP-RAP AT P-4 I. EXCAVATION II.ELEVATED CATWALK (Thk.=.10m.) WITH RIPRAP A. RUBBLE FOUNDATION B/ GROUTED RIPRAP C. CONCRETE </t>
  </si>
  <si>
    <t xml:space="preserve"> PURCHASE OF MEDICINES QTY     ITEM DESCRIPTION        50	amlodiphine 5mg 100s	         tab 288	ascorbic acid 100mg/ml 15ml	drops 288	ascorbic acid 100mg/ml 5ml	syrup 50	ascorbic acid 500mg 60ml	        capsule 25	cefalexine 500mg 100s	        capsule 25	c</t>
  </si>
  <si>
    <t xml:space="preserve"> 1.	The Municipal Government of Talisayan, through the 70% OF 5% MDRR 2019  intends to apply the sum of P2,000,000.00 being the Approved Budget for the Contract (ABC) to payments under the PURCHASE of RESCUE VEHICLE, Talisayan, Mis. Or.. Bids received in e</t>
  </si>
  <si>
    <t xml:space="preserve"> 1 Unit Risograph Machine  Convenient USB PC Connectivity Print Resolution 300dpi X 300dpi Scan Resolution 300 dpi X 300dpi Print Speed: 60 ,80, 100sheets per minute (3 steps variable) Enlargement- (154%, 129%, 121%) Reduction- (94%, 78%, 65%, 61%) Ink Sup</t>
  </si>
  <si>
    <t xml:space="preserve"> PROCUREMENT OF DPWH SECURITY SERVICES REQUIREMENT OF SIX (6) SECURITY PERSONNEL FOR DEPLOYMENT TO DPWH – BULACAN 1ST DISTRICT ENGINEERING OFFICE TIKAY, CITY OF MALOLOS, BULACAN - Contract ID No. 20GSCC02. The Department of Public Works and Highways (DPWH)</t>
  </si>
  <si>
    <t xml:space="preserve"> ELECTRICAL MATERIALS USED FOR REPLACEMENT OF OLD LINES AT WHARF</t>
  </si>
  <si>
    <t xml:space="preserve"> 1	Food and Catering Service July 13, 2020 , Zamboanga del Sur * Breakfast,AM Snacks, Lunch, P.M. Snacks			 40 pax	 28,000.00  	"Note: Package should include the following: • Food Must be buffet service not assisted buffet • Free Wi-fi internet Access • Fr</t>
  </si>
  <si>
    <t xml:space="preserve"> assorted customized PSHS-BRC medals</t>
  </si>
  <si>
    <t xml:space="preserve"> Procurement of 1 Lot Water Treatment Supplies, etc.</t>
  </si>
  <si>
    <t xml:space="preserve"> 20	Piece	BP Cuff Adult Universal, ABC 200.00/pc 25	Piece	BP Cuff adult Bionics, ABC 200.00/pc 15	Piece	CPAP mask non vented medium, ABC 4,200.00/pc 15	Piece	CPAP mask non vented small, ABC 4,200.00/pc 15	Piece	CPAP mask vented medium, ABC 5,500.00/pc 20	P</t>
  </si>
  <si>
    <t xml:space="preserve"> Materials for the installation of CHRMD partition wall, executive building, new city hall, Guinobatan, Calapan City</t>
  </si>
  <si>
    <t xml:space="preserve"> 4pcs. PFI 102 Matte Black 2pcs. PFI 102 Magenta 2pcs. PFI 102 Black 2pcs. PFI 102 Yellow 2pcs. PFI 102 Cyan Kindy submit your quotation on or before July 9, 2020, 8:00am to 5:00pm at Procurement Management Division, Cultural Center of the Philippines, CCP</t>
  </si>
  <si>
    <t xml:space="preserve"> Invitation to Quote The Philippine Charity Sweepstakes Office thru the Procurement Division, General Services Dept. announces the purchase and procurement of the above listed item/s.  All interested suppliers may secure the standard sealed quotation/canva</t>
  </si>
  <si>
    <t xml:space="preserve"> Materials for the construction of CHUSD warehouse</t>
  </si>
  <si>
    <t xml:space="preserve"> Printer (3 in 1) Bondpaper ( Long) Ink (Black) Ink (Colored)</t>
  </si>
  <si>
    <t xml:space="preserve"> Cost of acquisition of PPEs to be used by medical workers</t>
  </si>
  <si>
    <t xml:space="preserve"> NEGOTIATED PROCUREMENT FOR HYGIENE KIT AMOUNTING PHP 65,000.00</t>
  </si>
  <si>
    <t xml:space="preserve"> REQUEST FOR QUOTATION											 SUPPLY AND DELIVERY OF FURNITURE AND FIXTURES EQUIPMENT											 Small Value Procurement											 											 INSTRUCTION:										              	 	1.	Supplies are required to read the instructions and fill all the bl</t>
  </si>
  <si>
    <t xml:space="preserve"> 330 pcs Load Card (E-Load)</t>
  </si>
  <si>
    <t xml:space="preserve"> NEGOTIATED PROCUREMENT FOR REFILL OF FIRE EXTINGUISHER AMOUNTING PHP 16,000.00</t>
  </si>
  <si>
    <t xml:space="preserve"> PROJECT:  CONCRETING OF ROAD PHASE 1 &amp; 2 LOCATION: BARANGAY SAN ISIDRO, CONCEPCION, TARLAC APPROVED BUDGET FOR THE CONTRACT: PHP 127,336.30 SOURCE OF FUND: 20% BDF The contract to be performed by the successful bidder shall be specified in the Technical Q</t>
  </si>
  <si>
    <t xml:space="preserve"> 1 unit Transmission JAck (1.5 ton) &amp; other item, OCPS - for Motorpool use</t>
  </si>
  <si>
    <t xml:space="preserve"> MUNICIPALITY OF PANIQUI Province of Tarlac	Project Reference Number : I-2020-017 Name of the Project           : Concreting of Local Access Road Location of the Project     : Bonboneg 2nd, Brgy. Sinigpit, Paniqui, Tarlac Standard Form Number: SF-INFR-05 R</t>
  </si>
  <si>
    <t xml:space="preserve"> Toner Cart: HP CB542A, Yellow  ............................................ Two (2) cart........ P2,984.80/cart Toner Cart: HP CE543A, Magenta .......................................... Two (2) cart........ P2,984.80/cart Toner Cart: HP Laserjet Pro M254n</t>
  </si>
  <si>
    <t xml:space="preserve"> PROCUREMENT AND INSTALLATION OF SUBMERSIBLE PUMP AND MOTOR AT QUIBUAR I PRODUCTION PLANT SPECIFICATIONS: 1 UNIT SUBMERSIBLE MOTOR: 50HP; 440V-480v, 3-PHASE, 60HZ 1 UNIT SUBMERSIBLE PUMP: SP125-3-AA; 6" INPUT NOTES: 1. Price quotations must be valid for a </t>
  </si>
  <si>
    <t xml:space="preserve"> EXCAVATION/BACKFILL CONCRETE WORKS STEEL WORKS MILL WORKS (SOLAR LIGHT) PAINTING WORKS</t>
  </si>
  <si>
    <t xml:space="preserve"> PR#20-06-0343 ABC 350,000.00 Supply, Delivery, Installation and Commissioning of Chlorine Gas Leak Detector and Neutralizing System for Macaguiling Pumping Station. See attached Specifications, Terms and Conditions INSTRUCTIONS/ NOTES TO BIDDERS: 1.	Pleas</t>
  </si>
  <si>
    <t xml:space="preserve"> Project billboard Mobilization &amp; Demobilization ROADWORKS   804  Embankment   506  Stone Masonry</t>
  </si>
  <si>
    <t xml:space="preserve"> MUNICIPALITY OF PANIQUI Province of Tarlac	Project Reference Number : I-2020-018 Name of the Project           : Construction of Two (2) Storey Multi-Purpose Bldg. Location of the Project     : Brgy. Cabayaoasan, Paniqui, Tarlac Standard Form Number: SF-I</t>
  </si>
  <si>
    <t xml:space="preserve"> 1.	Bids received in excess of the ABC shall be automatically rejected during the Bid Opening. Interested Bidders may obtain further information from PN BAC in the given address below from 8:00 AM to 5:00 PM, Monday to Friday. 2.	Issuance of Bidding Docume</t>
  </si>
  <si>
    <t xml:space="preserve"> 4 sets Ink Maintenance Tank for printer Surecolor T5270 (EPSON) 1 pc. Ink catridge for printer Surecolor T5270 (EPSON) 350ml. - CYAN  1 pc. Ink catridge for printer Surecolor T5270 (EPSON) 350ml. - YELLOW 1 pc. Ink catridge for printer Surecolor T5270 (EP</t>
  </si>
  <si>
    <t xml:space="preserve"> Purchase and delivery of washable face mask to be distributed to city residents</t>
  </si>
  <si>
    <t xml:space="preserve"> The Municipal Government of Aloguinsan invites prospective bidders to bid for the project Purchase and Delivery of 1 Unit 6-Wheeler Garbage Compact Truck. Source of Fund: GENERAL FUND FY 2020 ABC: Php 5,000,000.00 The complete schedule of activities will </t>
  </si>
  <si>
    <t xml:space="preserve"> Procurement of 1 Lot Laboratory Supplies and materials</t>
  </si>
  <si>
    <t xml:space="preserve"> Materials for the rehabilitation of SP Session Hall</t>
  </si>
  <si>
    <t xml:space="preserve"> INVITATION TO BID SECOND POSTING The municipal government of Romblon through its Bids and Awards Committee (BAC) invites PhilGEPS registered suppliers to apply to bid for the Maintenance of Mun. Fish Port and Calabogo Landing Center.</t>
  </si>
  <si>
    <t xml:space="preserve"> Republic of the Philippines PROVINCE OF SURIGAO DEL SUR MUNICIPALITY OF CARRASCAL OFFICE OF MUNICIPAL BIDS AND AWARDS COMMITTEE The Local Government Unit of Carrascal through its Bids &amp; Awards Committee invites sealed bids from eligible bidders with appli</t>
  </si>
  <si>
    <t xml:space="preserve"> Lot C - Medical supply</t>
  </si>
  <si>
    <t xml:space="preserve"> 1. SCAFFOLDINGS 2. PAINTING</t>
  </si>
  <si>
    <t xml:space="preserve"> Subgrade Preparation Aggregate Base Course PCC Pavement Warning &amp; Hazard Signs Construction Health &amp; Safety Billboard</t>
  </si>
  <si>
    <t xml:space="preserve"> INVITATION TO BID SECOND POSTING The municipal government of Romblon through its Bids and Awards Committee (BAC) invites PhilGEPS registered suppliers to apply to bid for the GRINDING MACHINE.</t>
  </si>
  <si>
    <t xml:space="preserve"> Request for Quotation (RFQ) Request for Quotation No.: 2020-07-093-GS Date Published: July 2, 2020 Closing Date: July 8, 2020 at 10:00 AM, PST (refer to BAC Office Wall Clock) Opening of Quotation: July 8, 2020 at 10:30 AM, PST Title of the Projects: Proc</t>
  </si>
  <si>
    <t xml:space="preserve"> REQUEST FOR QUOTATION											 SUPPLY AND DELIVERY OF EXECUTIVE CHAIR											 Small Value Procurement											 											 INSTRUCTION:										              	 	1.	Supplies are required to read the instructions and fill all the blanks properly.			</t>
  </si>
  <si>
    <t xml:space="preserve"> Act. 65x- Bridge Repainting along Maingaran Bridge 1, Maingaran Bridge 2, Usab Bridge, Asid Bridge, Tugbo Bridge, Cancahorao Bridge, Lipata Bridge, Sagawsawan Bridge, Mabato-bato Bridge &amp; Agoro Bridge</t>
  </si>
  <si>
    <t xml:space="preserve"> Item  No.	Product Name Description /Specifications		QTY	Approved Budget for the Contract	 1Food and Catering Service July 13, 2020 , Zamboanga del norte * Breakfast,AM Snacks, Lunch, P.M. Snacks			                                                     40 pa</t>
  </si>
  <si>
    <t xml:space="preserve"> PR#20-02-0040 ABC 378,000.00 1 set - 3D Ground Scanner Pro Specifications: -Tablet Computer -Tablet PC Charger -Lithium Ion Battery -Lithium Ion Battery Charger -Eight Sensors Hidden in Jacket -Sensor Carrying Vest  -Electromagnetic interference – 50m -Sc</t>
  </si>
  <si>
    <t xml:space="preserve"> OFFICE SUPPLIES: 1.  31 boxes bookpaper, long, subs. 20, 5’s 2.  11 boxes bookpaer, subs. 20, 5’s 3.  5 boxes ballpen, black, 50’s, matrix 4.  50 pcs correction tape, 5mmx10 5.  15 bottles Epson refill ink, #064 black 6.  10 bottles Epson refill ink,  #06</t>
  </si>
  <si>
    <t xml:space="preserve"> REQUEST FOR QUOTATION											 SUPPLY AND DELIVERY OF SAMPLE GRINDER MILL											 SMALL VALUE PROCUREMENT											 											 INSTRUCTION:										              	 	1.	Supplies are required to read the instructions and fill all the blanks properly</t>
  </si>
  <si>
    <t xml:space="preserve"> ECG Cable •	compatible with ECG machine model: SE-1 and SE-3	4	set ECG Chest Electrode Bulb (adult) •	rubber suction bulb •	1box = 6 bulbs •	electrodes are fitting to all varieties of ECG cable and lead wire	1	set ECG Chest Electrode Bulb (pedia) •	rubber</t>
  </si>
  <si>
    <t xml:space="preserve"> 1	4 PCS	2 TB EXTERNAL HARDRIVE 2	5 PCS	64GB USB 3	2 PCS	CRIMPING TOOLS (COMPUTER) 4	1 SET 	SCREW DRIVER 5	2 PCS	LAN TESTER 6	10 PCS	BATTERY, AA 7	10 PCS	BATTERY, AAA 8	3 PCS	22” LED IPS 75 HZ FRAMELESS VGS HDMI MONITOR 9	10 PCS	DUCT TAPE, 2” 10	5 PCS	500 </t>
  </si>
  <si>
    <t xml:space="preserve"> NEGOTIATED PROCUREMENT FOR PMATERIALS FOR REPAIR AND INSTALLATION OF WATER STORAGE AMOUNTING PHP 10,000.00</t>
  </si>
  <si>
    <t xml:space="preserve"> 1.	The Municipal Government of El Nido, through the General Fund intends to apply the sum of One Million Two Hundred Sixty One Thousand Five Hundred Thirty Five Pesos and Eighty Centavos (₱ 1,261,535.80) being the Approved Budget for the Contract (ABC) to</t>
  </si>
  <si>
    <t xml:space="preserve"> Republic of the Philippines  Province of Leyte                                                               MUNICIPALITY OF PALO 	NOTICE OF POSTING @ PHILGEPS WEBSITE	                                                                                       </t>
  </si>
  <si>
    <t xml:space="preserve"> Procurement of 1 Lot Meals and Snacks (4 Sessions for the month of August 2020)</t>
  </si>
  <si>
    <t xml:space="preserve"> 2 BTL INSECTICIDE (BAYGON) 8 BTL ISOPROPHYL  ALCOHOL (75%) 2 BTL STAMP PAD INK 2 BOX CARBON FILM (LONG) 1 PACK CARTOLINA 1 BOX CONTINUOUS FORM, 3 PLY 8 PCS NOTE PAD, 3 X 3" 9 RMS PAPER, MULTICOPY PAPER 9 RMS PAPER, MULTICOPY PAPER A4 9 RMS PAPER, MULTICOP</t>
  </si>
  <si>
    <t xml:space="preserve"> Fuel hose		                        Pc	1 Tire 12.00x20				Sets	10 Grease     				Qtrs	6</t>
  </si>
  <si>
    <t xml:space="preserve"> 2 units Megaphone</t>
  </si>
  <si>
    <t xml:space="preserve"> BIDS AND AWARDS COMMITTEE INVITATION TO SUBMIT PRICE QUOTATIONS SMALL VALUE PROCUREMENT No. 066-2020                                                                 The METRO ROXAS WATER DISTRICT (MRWD), through its Bids and Awards Committee (BAC), invite</t>
  </si>
  <si>
    <t xml:space="preserve"> Rpr &amp; Maint Motor Vehicles</t>
  </si>
  <si>
    <t xml:space="preserve"> 600  tanks  of Medical Oxygen, standard refill for use in Western Leyte Provincial Hospital. w-w-w-w-w-w-w-w-w-w-w-w-w</t>
  </si>
  <si>
    <t xml:space="preserve"> REQUEST FOR QUOTATION (RFQ) The MO  through the Bids and Awards Committee (BAC) of the Municipality of Banaybanay, Davao Oriental hereby notifies and invites you to submit your quotation/bid for the hereunder proposed project/request, viz: KASALAN NG BAYA</t>
  </si>
  <si>
    <t xml:space="preserve"> Hardware &amp; Construction Materials</t>
  </si>
  <si>
    <t xml:space="preserve"> 3/4 marine plywood 1/4x1x1x6m angle bar welding Rod Bolt 3/16x1w/ nuts and washers 60x60 tiles counter sink faucet  HDPE Pipe 1/2 Compression type threaded coupling 1/2 Epoxy (ITR) Epoxy Primer PVC pipe 1/2 PVC Threaded Elbow 1/2 PVC Elbow 1/2 PVC Elbow 1</t>
  </si>
  <si>
    <t xml:space="preserve"> Republic of the Philippines Municipality of Tabuelan Invitation to Bid  The Philippine Government Electronic Procurement System Office – Procurement Service invites PhilGEPS registered suppliers to bid for the hereunder items Attached: Bidding will be con</t>
  </si>
  <si>
    <t xml:space="preserve"> Department of Education Region VI-Western Visayas Division of Cadiz City Mabini National High School INVITATION TO BID FOR THE PROCUREMENT OF UNINTERRUPTED POWER SUPPLY (UPS) - MNHS 2020 1.	The Mabini National High School  of Cadiz City, through the Schoo</t>
  </si>
  <si>
    <t xml:space="preserve"> Equipment Rental 1 unit Backhoe (0.80 cu.m.) for 24hours 1 unit Lowbed Trailer (mob/Demob) ABC = P96,400.00</t>
  </si>
  <si>
    <t xml:space="preserve"> 2  station  Lumpsum Services for airing information dissemination on "National Heritage Month" for the period of May 1-30, 2020 (8:00 am - 8:30am) - daily  AM STATION 2  station  Lumpsum Services for airing information dissemination on "National Heritage </t>
  </si>
  <si>
    <t xml:space="preserve"> Page 1 of 7 REQUEST FOR QUOTATION (RFQ) SUPPLY AND DELIVERY OF CHEMICALS FOR ORGANICS ANALYSES UNDER EMB-ERLSD-ENVIRONMENTAL LABORATORY SERVICES SECTION RFQ NO. EMB-S-ERLSD-ELSS-OLU CHEMICALS 2020-0546 1. The Department of Environment and Natural Resource</t>
  </si>
  <si>
    <t xml:space="preserve"> OFFICE OF THE BIDS AND AWARDS COMMITTEE INVITATION TO BID NO. 101-20 Name of Project: Procurement of Lumber &amp; Aggregates used for Construction of Brgy. Road (phase II) @ Brgy. Pamosaingan, Socorro, SDN Source of Funds: LGU 20% Development Fund The Municip</t>
  </si>
  <si>
    <t xml:space="preserve"> 103 pcs Water meter ½" dia with anti back flow</t>
  </si>
  <si>
    <t xml:space="preserve"> The procuring entity shall draw up a list of at least three (3) suppliers of known qualifications which will be invited to submit proposals. (Section 53.9.1 of Revised IRR of RA 9184)</t>
  </si>
  <si>
    <t xml:space="preserve"> Pls. quote the items listed below: 1.  Rubber Gloves )painted)  -  200 pairs 2.  Face Mask  -  2 bxs. 3.  Ethyl Alcohol  -  3 gals. 4.  Rubber Boots  -  20 pairs 5.  Empty Sacks (50 kilos capacity)  -  1,000 pcs. 6.  Rain Coat  -  15 pcs. NOTE:           </t>
  </si>
  <si>
    <t xml:space="preserve"> INVITATION TO BID NO. GOODS-029-2020 The Provincial Government of Bataan, through the General Fund029 intends to apply the below listed procurement w/ corresponding Approved Budget of the Contract (ABC). Bids received in excess of the ABC shall be automat</t>
  </si>
  <si>
    <t xml:space="preserve"> REQUEST TO SUBMIT PROPOSAL FOR GENERAL BODY REPAIR AND GENERAL BODY REPAINTING WITH UNDER CHASSIS PAINTING OF RIMS OF MOTOR VEHICLE WITH PLATE NUMBER SKX991 FOR USE OF  DA- RFO 5 AT APPROVED BUDGET FOR THE CONTRACT AMOUNTING TO ONE HUNDRED EIGHTY FIVE THO</t>
  </si>
  <si>
    <t xml:space="preserve"> Purchase of Diesel for Service Vehicles assigned in the Planning &amp; Design Section</t>
  </si>
  <si>
    <t xml:space="preserve"> 1	Food and Catering Service July 13, 2020 , Zamboanga Sibugay * Breakfast,AM Snacks, Lunch, P.M. Snacks 			 30 pax	 21,000.00  	 "Note: Package should include the following: • Food Must be buffet service not assisted buffet • Free Wi-fi internet Access • </t>
  </si>
  <si>
    <t xml:space="preserve"> 2,500 gals Purified drinking Water w/ free used of hot  &amp; cold dispenser</t>
  </si>
  <si>
    <t xml:space="preserve"> TITLE: PROCUREMENT OF OFFICE EQUIPMENT 			 DEPARTMENT: MUNICIPAL PLANNING AND DEVELOPMENT OFFICE			 			 ITEM NO.	QTY	UNIT	ITEM DESCRIPTION 1	1	unit	Laptop 			Netro 5, 15.6 inches IPS display w/  			1920 x 1080 resolution at 141 ipi, 			AMD RYZEN 5 3550H  </t>
  </si>
  <si>
    <t xml:space="preserve"> Materials for the rehab of slope protection. Tawagan</t>
  </si>
  <si>
    <t xml:space="preserve"> 1. EXCAVATION WORKS 2. FABRICATION AND INSTALLATION OF STEEL POST     INCLUDING CONCRETE FOOTING 3. INSTALLATION OF SOLAR STREET LIGHS (60watts)</t>
  </si>
  <si>
    <t xml:space="preserve"> INVITATION TO BID SECOND POSTING The municipal government of Romblon through its Bids and Awards Committee (BAC) invites PhilGEPS registered suppliers to apply to bid for the Materials for Improvement of Ginablan Bird Sanctuary and Mangroves.</t>
  </si>
  <si>
    <t xml:space="preserve"> Training Expense</t>
  </si>
  <si>
    <t xml:space="preserve"> Procurement of 1 Lot Meals and snacks 2 days Seminar on Violence Against Women (VAW)</t>
  </si>
  <si>
    <t xml:space="preserve"> PROCUREMENT OF VARIOUS MATERIALS FOR ALL	 LGU OWNED PHYSICAL FACILITIES 2020</t>
  </si>
  <si>
    <t xml:space="preserve"> Laptop Specifications: Intel core i5 1.8Ghz Processor Interbal HD Graphics 8gb Memory, 128gb Solid State Drive 13.3 Led Backlit Glossy Wide Screen Display External HDD</t>
  </si>
  <si>
    <t xml:space="preserve"> Sir/Madam:																																		 																																		 Please quote your government price/s including delivery charges, VAT or other applicable taxes, and other incidental expenses for the goods listed in Annex A.  Failure to indi</t>
  </si>
  <si>
    <t xml:space="preserve"> 2.00 unit Printing Machine (Digital Duplicator w/ PC Connectivity Print Speed: minimum 100 prints per minute Print Resolution: 300 x 300 dpi Connectivity: USB/PC connectivity ready Minimum ink supply: 800ml Minimum Master Supply: 200 cuts Minimum Paper Fe</t>
  </si>
  <si>
    <t xml:space="preserve"> Republic of the Philippines MUNICIPALITY OF BUENAVISTA INVITATION TO RE-BID FOR CONSTRUCTION OF LIVELIHOOD &amp; ENTERPRENEUR CENTER  1.	The Local Government Unit of Buenavista, Marinduque through the fund from the 20% DF CY 2020 intends to apply the sum of S</t>
  </si>
  <si>
    <t xml:space="preserve"> Republic of the Philippines MUNICIPALITY OF BUENAVISTA INVITATION TO BID FOR SUPPLY AND DELIVERY OF MATERIALS FOR IMPROVEMENT OF WATERWORKS SYSTEM (BRGY. LIPATA-TUNGIB)   1.	The Local Government Unit of Buenavista, Marinduque through the fund from 20% Dev</t>
  </si>
  <si>
    <t xml:space="preserve"> 1.  1 unit Copier Machine      Ecosys M2640idw/L      - Digital Copier with Network Printing, Color Scanning and Network Fax      - Resolution of 600 x 600 dpi, Fast 1200 dpi and Fine 1200 dpi      - Standard Memory Capacity 512 MB to Maximum 1536 MB Memo</t>
  </si>
  <si>
    <t xml:space="preserve"> Clearing and Grubbing Removal of Obstruction Subgrade Preparation Aggregate Base Course PCC Pavement, Plain Warning &amp; Hazard Signs Including Bollards Construction Safety and Health Billboard</t>
  </si>
  <si>
    <t xml:space="preserve"> Labor only</t>
  </si>
  <si>
    <t xml:space="preserve"> The DPWH-Ilocos Sur 1st District Engineering Office, through its Bids and Awards Committee (BAC), invites contractors to submit bids for the following Contract:   Contract ID: 20AC0057   Contract Name: Construction of Seawal at Paratong, Sta. Catalina, Il</t>
  </si>
  <si>
    <t xml:space="preserve"> Republic of the Philippines     Province of Oriental Mindoro Barangay Maragooc  Gloria, Oriental Mindoro INVITATION TO BID ITB No. 2020-001  SUPPLY AND DELIVERY OF HARDWARE MATERIALS FOR CONSTRUCTION OF BARANGAY HEALTH STATION BUILDING 1. The Barangay  Ma</t>
  </si>
  <si>
    <t xml:space="preserve"> NEGOTIATED PROCUREMENT FOR MATERIALS FOR REPAIR AND INSTALLATION OF ELECTRICAL FACILITIES AMOUNTING PHP 25,000.00</t>
  </si>
  <si>
    <t xml:space="preserve"> REQUEST TO SUBMIT PROPOSAL FOR LABOR AND MATERIALS FOR THE INSTALLATION OF STRUCTURED NETWORK CABLING AT THE NEW OFFICE OF THE REGULATORY DIVISION AT APPROVED BUDGET FOR THE CONTRACT AMOUNTING TO SIXTY THOUSAND PESOS (₱ 60,000.00) PURSUANT TO ALTERNATIVE </t>
  </si>
  <si>
    <t xml:space="preserve"> 1.	The Municipal Government of El Nido, through the General Fund intends to apply the sum of One Million Pesos (P 1,000,000.00) being the Approved Budget for the Contract (ABC) to payments for Repair and Maintenance of Drainage Canal at Brgy. Corong Coron</t>
  </si>
  <si>
    <t xml:space="preserve"> 1. The City Government of Bacoor, Cavite, through the City Ordinance No. CO 562019 intends to apply the sum of ONE HUNDRED TWENTY FIVE THOUSAND  PESOS AND ZERO CENT (PhP125,000.00) being the total Approved Budget for the Contract (ABC) for all lots indica</t>
  </si>
  <si>
    <t xml:space="preserve"> 201  sack	 Rice (25kg/sack)</t>
  </si>
  <si>
    <t xml:space="preserve"> Telephone Mobile Expenses</t>
  </si>
  <si>
    <t xml:space="preserve"> Procurement of Data Folder               300pcs - Made of Chipboard - with Lever Arch File Mechanism and Taglia Lock - for Legal Size Document - Color : Blue</t>
  </si>
  <si>
    <t xml:space="preserve"> PROCUREMENT OF OFFICE &amp; JANITORIAL SUPPLIES FY 2020</t>
  </si>
  <si>
    <t xml:space="preserve"> Republic of the Philippines			 Province of Guimaras			 Municipality of Jordan			 BIDS AWARDS COMMITTEE			 			  			2-Jul-20 			 Invitation of Bid No.20-041 (Re-bid) 			 			 Sealed bids, in triplicate subject to the coordination herein below specified will </t>
  </si>
  <si>
    <t xml:space="preserve"> INVITATION TO QUOTE Date:  July 02, 2020 1.	The Provincial Government of Davao del Sur, through its Bids and Awards Committee (BAC), invites all interested bidders/suppliers to quote for the following goods under Alternative Methods of Procurement ([Shopp</t>
  </si>
  <si>
    <t xml:space="preserve"> 1.  1 unit Projector      Lumens: 4000      Resolution (native): wx6a 1280x800      Throw ratio: 1.72      Contrast: 20,000      Technology: DLP      Hdmi inputs: 2      Lamp life (est.): 1500      White screen w/ tripod included 2.  1 unit Full duplex mi</t>
  </si>
  <si>
    <t xml:space="preserve"> PURPOSE: FOR MAINTENANCE USE OF ELECTRIC UNIT. (FOR THE MONTH OF JAN. JUNE, 2020) Fax your Price Quotation at Tel. Fax#: 426-30-45 / 927-64-26 local 2561 or Email at bacveterans@gmail.com. Please indicate the brand name and complete specifications.</t>
  </si>
  <si>
    <t xml:space="preserve"> Procurement of Laboratory Supplies for the Use of Rural Health Unit, Tagudin, Ilocos Sur Attachment: Request for Quotation, Purchase Request</t>
  </si>
  <si>
    <t xml:space="preserve"> Purchase and delivery of IT equipment to be used by CHUSD</t>
  </si>
  <si>
    <t xml:space="preserve"> TITLE: PROCUREMENT OF EQUIPMENT (GRASS CUTTER)			 DEPARTMENT: OFFICE OF THE MAYOR			 			 ITEM NO.	QTY	UNIT	ITEM DESCRIPTION 1	10	units	Grass Cutter (Heavy Duty) 			 ABC: PHP. 95,000.00</t>
  </si>
  <si>
    <t xml:space="preserve"> PROCUREMENT OF SCHOOL  BAGS WITH SCHOOL KITS</t>
  </si>
  <si>
    <t xml:space="preserve"> 240	Bags	Cement, Portland 		 		 		 		Requirements: 		1. Mayor’s/Business Permit 		2. PhilGEPS Registration Number</t>
  </si>
  <si>
    <t xml:space="preserve"> Hiring of Assisting Professional on Enterprise Development for official use of FMP of DENR-PENRO Nueva Ecija</t>
  </si>
  <si>
    <t xml:space="preserve"> For Road Protection of the Barangay</t>
  </si>
  <si>
    <t xml:space="preserve"> Marine plywood		                        Shts	8 Enamel paint (white)		                Gals	2 Paint thinner					Bots	4 Paint brush 4					Pc	1 LP hinges 3x3					Pairs	2 Staple wire #1					Box	2 CWN 4”				                Kls	8 CWN 3”					        Kls	6 CWN 1”	</t>
  </si>
  <si>
    <t xml:space="preserve"> Republic of the Philippines Province of Pangasinan Municipality of Bugallon OFFICE OF THE BIDS AND AWARDS COMMITTEE INVITATION TO BID The Barangay Laguit Padilla of the Municipality of Bugallon, Pangasinan, through its Bids and Awards Committee (BAC), inv</t>
  </si>
  <si>
    <t xml:space="preserve"> Procurement of 1 Lot Construction materials and supplies</t>
  </si>
  <si>
    <t xml:space="preserve"> PR#20-06-0305 ABC 75,000.00 50 kgs. Welding Electrodes 1100B 3.2MM 1/8” AWS E6011 Mechanical Properties: Tensile Strength, psi = 68,000-78000 Yield Point, psi= 55,000-68,000 Elongation in 2”% = 22-27 Ch-V impact value 0’ C. FT. LBS = 75 Joules INSTRUCTION</t>
  </si>
  <si>
    <t xml:space="preserve"> Procurement of 1 Lot Books for Colegio de Iligan</t>
  </si>
  <si>
    <t xml:space="preserve"> Procurement of Conference Name Plate Holder Double Sided</t>
  </si>
  <si>
    <t xml:space="preserve"> 500	ream		bond paper long (sub. 20)			 50	ream		bond paper short (sub. 20)			 500	ream		mimeo paper (sub. 20) white wove			 500	pcs.		folder long (Ordinary )			 200	pcs.		ordinary long plastic envelop			 200	pcs.		long brown envelop (paper)			 15	pack		le</t>
  </si>
  <si>
    <t xml:space="preserve"> BIDS AND AWARDS COMMITTEE INVITATION TO SUBMIT PRICE QUOTATIONS SMALL VALUE PROCUREMENT No. 067-2020                                                                 The METRO ROXAS WATER DISTRICT (MRWD), through its Bids and Awards Committee (BAC), invite</t>
  </si>
  <si>
    <t xml:space="preserve"> Pls. quote the items listed below: 1.  Portland Cement  -  80 bags 2.  Screened Sand  -  15 cu.m. 3.  Peasize Gravel  -  30 cu.m. 4.  1.7 kgs. Temperature Bars  -  80 pcs. 5.  1.2 kgs. Temperature Bars  -  30 pcs. 6.  No. 18 G.I. Tie Wire  -  10 kls. 7.  </t>
  </si>
  <si>
    <t xml:space="preserve"> Qty.	Unit of	Item Description			 	Issue					 18	pcs		Air Freshener			 22	pcs		Bathroom tissue 2-ply			 18	pcs		Bath soap, family size			 2	pcs		Broom boyboy			 2	pcs		Broom tingting			 6	pcs		Car Freshener			 6	pcs		Detergent powder soap 550 grams			 20	p</t>
  </si>
  <si>
    <t xml:space="preserve"> ABC:   610,050.00                                                                                 Quantity            Unit Cost        Total Cost 1st Batch:  10-14 August 2020 (5 days) No. of pax : 110                                                      </t>
  </si>
  <si>
    <t xml:space="preserve"> The MUNICIPALITY OF CALINTAAN, through the 20% Development Fund intends to apply the sum of Five Hundred Eighty Five Thousand Pesos Only (Php585,000.00) being the Approved Budget for the Contract (ABC) to payment  under the contract for the Construction o</t>
  </si>
  <si>
    <t xml:space="preserve"> 1.	The Municipal Government of El Nido, through the General Fund intends to apply the sum of Three Million Two Hundred Twenty Two Thousand Pesos (P 3,220,000.00) being the Approved Budget for the Contract (ABC) to payments for Construction of Storm Draina</t>
  </si>
  <si>
    <t xml:space="preserve"> Provision of Labor, Materials and Equipment for the Installation of Solar Streetlights in Brgy. Sapsap, Pastrana, Leyte in accordance with the plan and specifications: SCOPE OF WORK: * Structure Excavation - - - - - - - - - - - - - &gt; 702.00 cu.m * Reinfor</t>
  </si>
  <si>
    <t xml:space="preserve"> REQUEST FOR QUOTATION											 SUPPLY AND DELIVERY OF PHOTOCOPYING MACHINE											 SMALL VALUE PROCUREMENT											 											 INSTRUCTION:										              	 	1.	Supplies are required to read the instructions and fill all the blanks properl</t>
  </si>
  <si>
    <t xml:space="preserve"> I. Fabrication and installation of Perimeter Fence</t>
  </si>
  <si>
    <t xml:space="preserve"> NEGOTIATED PROCUREMENT FOR REPAIR AND MAINTENANCE OF OFFICE AND ICT EQUIPMENT/ ELECTRICAL MATERIALS AMOUNTING PHP 10,500.00</t>
  </si>
  <si>
    <t xml:space="preserve"> Republic of the Philippines			 Province of Guimaras			 Municipality of Jordan			 BIDS AWARDS COMMITTEE			 			  			2-Jul-20 			 Invitation of Bid No.20-042 (Re-bid) 			 			 Sealed bids, in triplicate subject to the coordination herein below specified will </t>
  </si>
  <si>
    <t xml:space="preserve"> Republic of the Philippines			 Province of Guimaras			 Municipality of Jordan			 BIDS AWARDS COMMITTEE			 			  			2-Jul-20 			 Invitation of Bid No.20-043			 			 Sealed bids, in triplicate subject to the coordination herein below specified will be receive</t>
  </si>
  <si>
    <t xml:space="preserve"> - 1 UNIT 1400 X 1800 RICE &amp; CORN MILL BUILDING</t>
  </si>
  <si>
    <t xml:space="preserve"> Supply and Delivery of 29,000 pcs Plastic Bags for Currency Notes, as per BSP Technical Specifications and Terms and Conditions</t>
  </si>
  <si>
    <t xml:space="preserve"> general merchandise</t>
  </si>
  <si>
    <t xml:space="preserve"> Meals and venue for the conduct of Capability Building Training for OFWs (2 Batches) on July 13-15 and 16-18, 2020 at Cotabato City. &gt; 2 Snacks/1 Meal</t>
  </si>
  <si>
    <t xml:space="preserve"> The NFRDI, through its Bids and Awards Committee (BAC) intends to procure PVC Cards and ribbon for I.D. in accordance with Section 53. (Small Value ) of the Revised Implementing Rules Regulations of R.A.9184: TECHNICAL SPECIFICATIONS QUANTITY UNIT ABC 	Th</t>
  </si>
  <si>
    <t xml:space="preserve"> Supply and Delivery of; STOCK NO.	UNIT	ITEM DESCRIPTION				QTY 1	units	LAPTOP COMPUTERS				1 		Specifications:				 		Operating System : Windows 10 				 		Processor : Intel Core i7-8565U Processor 1.80GHz 8M Cache, up to 4.60 GHz				 		Graphics : 2GB NVIDI</t>
  </si>
  <si>
    <t xml:space="preserve"> Bid Bulletin 07-2020 02 JULY 2020 INVITATION TO BID FOR PROCUREMENT OF 8 LAPTOP UNITS, 1 HIGH-END VIDEO EDITING LAPTOP AND 20 DESKTOP UNITS Issued pursuant to Sec. 22.5 of the IRR of R.A. 9184 to clarify and/or amend certain provisions in the Bidding Docu</t>
  </si>
  <si>
    <t xml:space="preserve"> Republic of the Philippines PROVINCE OF ZAMBOANGA DEL NORTE BIDS AND AWARDS COMMITTEE (BAC) BAC Conference Room, Capitol Building, Brgy. Estaka Tel. # (065) 212-6492 Telefax # (065) 212-6492 	                                                               </t>
  </si>
  <si>
    <t xml:space="preserve"> Republic of the Philippines			 Province of Guimaras			 Municipality of Jordan			 BIDS AWARDS COMMITTEE			 			  			1-Jul-20 			 Invitation of Bid No.20-044			 			 Sealed bids, in triplicate subject to the coordination herein below specified will be receive</t>
  </si>
  <si>
    <t xml:space="preserve"> Republic of the Philippines Province of Negros Occidental Bids &amp; Awards Committee Bacolod City INVITATION TO BID  The Provincial Government of Negros Occidental through its Bids and Awards Committee [BAC] invites interested bidders to apply for eligibilit</t>
  </si>
  <si>
    <t xml:space="preserve"> PURPOSE: FOR MAINTENANCE USE OF AC/REF. UNIT. (FOR THE MONTH OF JAN.-JUNE, 2020) Fax your Price Quotation at Tel. Fax#: 426-30-45 / 927-64-26 local 2561 or Email at bacveterans@gmail.com. Please indicate the brand name and complete specifications.</t>
  </si>
  <si>
    <t xml:space="preserve"> INTERESTED BIDDERS MAY OBTAIN FURTHER INFORMATION THRU THE BAC SECRETARIAT WITH THE TELEPHONE NO. 324-4499</t>
  </si>
  <si>
    <t xml:space="preserve"> 1. 3,000 ltrs Diesel Fuel Note: the price/s quoted by the supplier shall be valid for a period of seven (7) calendar days from the date of the quotation, and the item/s shall be delivered to the procuring entity regardless of an increase or decrease in th</t>
  </si>
  <si>
    <t xml:space="preserve"> REQUEST FOR QUOTATION											 FREIGHT CARGO											 SMALL VALUE PROCUREMENT											 											 INSTRUCTION:										              	 	1.	Supplies are required to read the instructions and fill all the blanks properly.									 	2.	The supplier m</t>
  </si>
  <si>
    <t xml:space="preserve"> Republic of the Philippines Province of Cagayan Municipality of Claveria BARANGAY CENTRO VII INVITATION TO BID  Barangay Centro VII,  Claveria, Cagayan intends to apply the sum of  One  Hundred Ten Thousand   Pesos (Php410,000.00), being the Approved Budg</t>
  </si>
  <si>
    <t xml:space="preserve"> BIDS AND AWARDS COMMITTEE INVITATION TO SUBMIT PRICE QUOTATIONS SMALL VALUE PROCUREMENT No. 068-2020                                                                 The METRO ROXAS WATER DISTRICT (MRWD), through its Bids and Awards Committee (BAC), invite</t>
  </si>
  <si>
    <t xml:space="preserve"> Provision of Labor, Materials and Equipment for the Construction of Basketball Court's Perimeter Fence in Brgy. Bunacan, Calubian, Leyte in accordance with the plan and specifications : SCOPE OF WORK: * Removal of Structure and Obstruction - &gt;   1.00 L.S.</t>
  </si>
  <si>
    <t xml:space="preserve"> OFFICE OF THE BIDS AND AWARDS COMMITTEE INVITATION TO BID NO. 102-20 Name of Project: Procurement of Hardware Materials used for Construction of Brgy. Road (phase II) @ Brgy. Pamosaingan, Socorro, SDN Source of Funds: LGU 20% Development Fund The Municipa</t>
  </si>
  <si>
    <t xml:space="preserve"> The  Municipal  Government    of   San   Mariano, Isabela  intends  to  apply  the  sum  of Seven Hundred Ninety One Thousand Eight Hundred Ninety Nine Pesos  &amp; Fifty-One Centavos (Php. 791,899.51) being the Approved Budget for the Contract (ABC) chargeab</t>
  </si>
  <si>
    <t xml:space="preserve"> Republic of the Philippines Province of Aklan Municipality of Kalibo INVITATION TO BID for the PURCHASE OF TACTICAL OPERATIONS RESPONSE VEHICLE The Municipality of Kalibo, through the General Fund, intends to apply the sum of One Million Eight Hundred Tho</t>
  </si>
  <si>
    <t xml:space="preserve"> Republic of the Philippines										 BIDS AND AWARDS COMMITTEE										 Baguio City										 (074) 300-6537/ (074)442-8795										 BID FORM										 CP No. 2020-33 Re-Bidding									July 2, 2020	 Circular Proposal No.									Date Prepared	 							</t>
  </si>
  <si>
    <t xml:space="preserve"> INVITATION TO BID The LGU-Milagrosa, Carmona, Cavite, through its Bids and Awards Committee (BAC), invites contractors registered with and classified by the Philippine Contractors Accreditation Board (PCAB) to apply eligibility and if found eligible, to b</t>
  </si>
  <si>
    <t xml:space="preserve"> Republic of the Philippines Province of Negros Oriental City of Bais Barangay: __I_       _ BIDS AND AWARD COMMITTEE INVITATION TO APPLY FOR ELIGIBILITY AND TO BID 	The Barangay Government of Barangay__ I         , Bais City invites interested suppliers t</t>
  </si>
  <si>
    <t xml:space="preserve"> Please be informed that clerical correction of scope of work and resetting the schedule of procurement activities for Construction of Multi-Purpose Open Gym, which was inadvertently indicated and published in the PhilGEPS.  a.) Clerical Correction of Scop</t>
  </si>
  <si>
    <t xml:space="preserve"> To provide labor and materials for the calibration of the equipment</t>
  </si>
  <si>
    <t xml:space="preserve"> 9 heads	 Cattle Heifer, 2-3 years old, not less than 280 kg. in weight Upgraded brahman with eartag, negative test in Surra and Tuberculosis , and vaccinated with Anti-hemorrhagic septicemia it should come from BAI Accredited Farm Includes transport and d</t>
  </si>
  <si>
    <t xml:space="preserve"> Purchase of Hardware Supplies and Materials Requirements: 1   pc   GI Pipe 2"s40   23 2   pc   Tubular 1 1/2 x 1 1/2   113 3   pc    L Bar 1 1/2  140 4   pc    Tubular 2"x2"  19 5   pc    Colored Roof  (Rib Type) 4"x 7"    162 6   roll   Steel Matting 6'x</t>
  </si>
  <si>
    <t xml:space="preserve"> Component 1: Certified Rice Production			 Fertilizer		30	Bags 			  Component 2: Vegetable Production			 Squash, suprema F1		20	Sachet Pole sitao, sandigan		20	Sachet Hot pepper, django		20	Sachet Sili, labuyo		20	Sachet Garden hose, rubber, class A		3	Sac</t>
  </si>
  <si>
    <t xml:space="preserve"> NEGOTIATED PROCUREMENT FOR MATERIALS FOR THE IMPROVEMENT OF CLASSROOM WINDOW GRILLS AMOUNTING PHP 30,000.00</t>
  </si>
  <si>
    <t xml:space="preserve"> See Phil. Bidding Documents, Bill of Quantities and Checklist hereto attached.</t>
  </si>
  <si>
    <t xml:space="preserve"> The DPWH-Ilocos Sur 1st District Engineering Office, through its Bids and Awards Committee (BAC), invites contractors to submit bids for the following Contract:   Contract ID: 20AC0058   Contract Name: Construction of Seawall at Paratong Sitio Mindanao, S</t>
  </si>
  <si>
    <t xml:space="preserve"> INVITATION TO BID PROCUREMENT OF CONSTRUCTION MATERIALS FOR CONCREING OF MUNICIPAL ROAD AT NGILEB, ALFONSO LISTA, IFUGAO 1.	The Local Government Unit Alfonso Lista, Ifugao through the 20% Development Fund 2020 intends to apply the sum of One Million Two H</t>
  </si>
  <si>
    <t xml:space="preserve"> OFFICE OF THE BIDS AND AWARDS COMMITTEE INVITATION TO BID NO. 102-20 Name of Project: Procurement of Tarpaulin used for Construction of Brgy. Road (phase II) @ Brgy. Pamosaingan, Socorro, SDN Source of Funds: LGU 20% Development Fund The Municipality of S</t>
  </si>
  <si>
    <t xml:space="preserve"> Purchase of Materials for Act. 63x- Resurfacing of Unpaved Shoulder for Rectification of Low Shoulder; Act. 41x- Emergency Projects- Bridge for the Replacement/Repair of Damage Deck Slab and Act. 66x- Selective Replacement of Concrete Pavement for the Rec</t>
  </si>
  <si>
    <t xml:space="preserve"> Republic of the Philippines Province of Guimaras Municipality of Jordan  Invitation to Bid for Solar Electrification Project at Rizal and Poblacion, Jordan, Guimaras Invitation to Bid No. 20-045 1.	The Municipal Government of Jordan, through the 2019 % De</t>
  </si>
  <si>
    <t xml:space="preserve"> Republic of the Philippines										 BIDS AND AWARDS COMMITTEE										 Baguio City										 (074) 300-6537/ (074)442-8795										 BID FORM										 CP No. 2020-34 Re-Bidding									July 2, 2020	 Circular Proposal No.									Date Prepared	 							</t>
  </si>
  <si>
    <t xml:space="preserve"> purchase of office supplies and device to be utilized by Bids and Awards Committee</t>
  </si>
  <si>
    <t xml:space="preserve"> please see attached BOQ</t>
  </si>
  <si>
    <t xml:space="preserve"> 1	FORM COMPUTER CONTINUOUS, 1 PLY, 11 X 14-7/8, 2000 SHEETS/BOX; SPEC: SUBS 20, WHITE BOND WITH PERFORATION, PLAIN W/OUT GRAY LINES	30 box		Php 1,447.50	 2	FORM COMPUTER CONTINUOUS, 2 PLY, 11 X 14-7/8; 1000 SETS/BOX, SPECS: SUBS 20, WHITE BOND WITH PERFOR</t>
  </si>
  <si>
    <t xml:space="preserve"> NEGOTIATED PROCUREMENT FOR PCONSTRUCTION OF HANDWASHING AND TOOTHBRUSHING FACILITIES AMOUNTING PHP 30,000.00</t>
  </si>
  <si>
    <t xml:space="preserve"> Gigli wire, saw fine 400mm with unbraided monofilament	50	PC Kelly pad w/ inflator, rubberized, washable	13	PC Ligating clips, sterile, single pack for use with open and endoscopic single clip applier	15	PC</t>
  </si>
  <si>
    <t xml:space="preserve"> The East Avenue Medical Center through its Hospital Bids and Awards Committee (BAC) through the Hospital Income 2020 invites suppliers / manufacturers / distributors for the bidding of the following projects for CY 2020. Interested Bidders shall pay a non</t>
  </si>
  <si>
    <t xml:space="preserve"> Republic of the Philippines Province of Cagayan Municipality of Sanchez Mira BIDS AND AWARDS COMMITTEE INVITATION TO BID CONTINUATION OF DRAINAGE CANAL PULIDO ST., CENTRO 2, SANCHEZ MIRA, CAGAYAN ITB-2020-12-INFRA 1.	The LGU-Sanchez Mira through its Munic</t>
  </si>
  <si>
    <t xml:space="preserve"> TERMS and CONDITIONS : 1. All entries must be typewritten or legibly written. 2. Delivery period within 10 days upon receipt of the approved  unded Purchase Order (P.O). Administrative penalties pursuant to Sec. 69  of  the  Revised IRR-RA 9184 shall be i</t>
  </si>
  <si>
    <t xml:space="preserve"> Republic of the Philippines PROVINCE OF ZAMBOANGA SIBUGAY Municipality of Roseller T. Lim OFFICE OF THE BAC CHAIRMAN Barangay Balansag     INVITATION TO BID 						July 2, 2020 To All Interested Bidders: Notice is hereby served that sealed bid be received </t>
  </si>
  <si>
    <t xml:space="preserve"> OFFICE OF THE BIDS AND AWARDS COMMITTEE INVITATION TO BID NO. 103-20 Name of Project: Procurement of Tarpaulin used for Repair/ Improvement of Tourism Hub / Waiting Area @ Brgy. Navarro, Socorro, SDN Source of Funds: 20% Development Fund The Municipality </t>
  </si>
  <si>
    <t xml:space="preserve"> PHOTOCOPIER •	Multi-Functional:A5-A3 copier-printer-scanner •	Printing &amp; Copying Speed:16 copies per minute •	Built-in electronic sorting function; •	Paper Input Capacity:Tray 1:250 sheets (universal paper cassette):size A5 – A3 •	Print System:Laser,Paper</t>
  </si>
  <si>
    <t xml:space="preserve"> Item	Quantity	Unit	ARTICLES					 Estimated Unit Cost  								 1	2	pcs	 Air Filter Element					 1,980.00  2	3	liter	 ATF Fluid					 380.00  3	1	pcs	 Battery 12 Volts 11 Plates (Maintenance Free)					 8,300.00  4	2	liter	 Brake Fluid					 350.00  5	1	set	 </t>
  </si>
  <si>
    <t xml:space="preserve"> Pulse Oximeter</t>
  </si>
  <si>
    <t xml:space="preserve"> 1	BATTERY ALKALINE, SIZE AAA	14 pc		Php 50.00 	 2(3)	BINDER PRINTOUT FOR 138 COLUMNS	55 set		46.00	 3(4)	BOOK RECORD, 500 PAGES, SMYTHE SEWN	3 pc		98.00	 4(5)	BOX PRINCETON WITH COVER	12 pc		346.00	 5(6)	BOX PRINCETON, WITHOUT COVER	12 pc		243.00	 6(10)	C</t>
  </si>
  <si>
    <t xml:space="preserve"> 900   pieces    USB/OTG 16GB</t>
  </si>
  <si>
    <t xml:space="preserve"> 120	Lh	Bar, Deformed, 10mm dia. x 6.0m 		 340	Lh	Bar, Deformed, 12mm dia. x 6.0m 		 60	Lh	Bar, Deformed, 16mm dia. x 6.0m 		 50	Pcs	Wire, Tie #16 		 30	Pcs	Blade, Hacksaw, 24 TPI 		 20	Pcs	Raincoat, Puncho Type, Large 		 75	Pcs	Raincoat, Puncho Type, Medi</t>
  </si>
  <si>
    <t xml:space="preserve"> Firnish of 1-unit Video Camera DSLR</t>
  </si>
  <si>
    <t xml:space="preserve"> 1.	The Municipal Government of El Nido, through the General Fund intends to apply the sum of  Five Hundred Seventy Nine Thousand Nine Hundred Twenty Five Pesos (₱ 579,925.00) being the Approved Budget for the Contract (ABC) to payments for the here under </t>
  </si>
  <si>
    <t xml:space="preserve"> ITEM/SCOPE OF WORK	COST ESTIMATES 	QTY.	UNIT	UNIT COST	TOTAL COST/ABC A.	 ADDITIVE WORKS: I.Lighting Fixtures and Accessories a. 2x9 Watts Lighting Fixture with Mirrorized  Aluminum Reflector ------------------------------------5.00-----pcs.---2,400.00---</t>
  </si>
  <si>
    <t xml:space="preserve"> The Judicial and BAR Council, of the Supreme Court, through the Procurement Section, invites interested suppliers to quote for the price/s of the item/s listed in the attached document (PLEASE DOWNLOAD) Please also provide "Eligibility Documents, Annex A"</t>
  </si>
  <si>
    <t xml:space="preserve"> 36	pcs	foot bath mat 19x29 plastic with 3m mat 23	pcs	thermal scanner (accurate: 0.2 (0.4) 36	bxs	Surgical Mask 3 ply 36	bxs	Surgical gloves (Nitrile powder free) 100	pcs	Face shield anti-fog, ultra-clear PET shield 100	pcs	bath soap 135g</t>
  </si>
  <si>
    <t xml:space="preserve"> 2  units  Electric Stand Fan              MODEL: F-405LB              Description 16" size, Black &amp; Gray color 1   unit   55 Smart TV UHD               55 UHD 200 with sub woofer and wall bracket w-w-w-w-w-w-w-w-w-w-w-w-w-w-w-w-w-w-w-w-w-w</t>
  </si>
  <si>
    <t xml:space="preserve"> Order/Download and fill up attach Request foe Quotation and submit to the BAC Office on/before closing date</t>
  </si>
  <si>
    <t xml:space="preserve"> Tire 10.00x20		                        Sets	6 Cross joint					Pcs	2 Brake fluid (900ml)				Bots	6 Grease					        qtrs	6</t>
  </si>
  <si>
    <t xml:space="preserve"> for use of Isuzu Dumptruck (H3-6592)				 1		Wheel Bearing Front/Rear			4 	pcs. 2		Hub Oil Seal			4 	pcs. 3		Starter Assy.			1 	assy. 4		Wheel Cylinder Assy.			4 	assy. 						 		for use of Road Roller (Z18-270)				 5		Tires  750 x R15			4 	set 6		Hydraulic</t>
  </si>
  <si>
    <t xml:space="preserve"> Subgrade Preparation  Aggregate Base Course PCC Pavement Construction Safety and Health Warning &amp; Hazard Signs Billboard</t>
  </si>
  <si>
    <t xml:space="preserve"> - DRIVEN BY 4DR5 DIESEL ENGINE - ELECTRIC START - COMMERCIAL CORN MILL - SINGLE PASS RICE MILL</t>
  </si>
  <si>
    <t xml:space="preserve"> DIESEL FUEL.</t>
  </si>
  <si>
    <t xml:space="preserve"> Republic of the Philippines Province of Occidental Mindoro Municipality of Sta. Cruz INVITATION TO BID The Municipality of Sta. Cruz, through its Bids and Awards Committee (BAC), invites once again qualified suppliers to bid for the implementation of here</t>
  </si>
  <si>
    <t xml:space="preserve"> LOT A									 1	Unleaded Gasoline							1	lot	12,436.28 	Terms &amp; conditions:									 										 	1. The supplier shall start to serve within three (3) days upon receipt of the advice									 	           from the project engineer until the project is co</t>
  </si>
  <si>
    <t xml:space="preserve"> The Department of Agriculture-RFO 3, invites interested suppliers to submit quotations/proposals for the hereunder requirement, to wit: ITEM NO.	QTY.	UNIT	ITEMS &amp; DESCRIPTION		UNIT PRICE	TOTAL AMOUNT	BRAND/MODEL 							 	357	vial	Antirabies Vaccines				 	</t>
  </si>
  <si>
    <t xml:space="preserve"> OPENING OF BIDS IN DSWD FO IX ZAMBOANGA CITY, DELIVERY IN DSWD FO IX ZC, PROCUREMENT FOR THE FF.: 2 SERVICES -SITE ENGINEER FOR THE MONTH OF AUGUST TO DECEMBER 2020 (2 CENTERS: RSCC AND HOME FOR WOMEN) *****************************************************</t>
  </si>
  <si>
    <t xml:space="preserve"> Muscovy/mallard ducks "pullet", ready to lay, atleast 4 months old		130	Heads Drake		26	Heads</t>
  </si>
  <si>
    <t xml:space="preserve"> Republic of the Philippines Province of Bohol Municipality of Ubay INVITATION TO BID FOR SUPPLY AND DELIVERY OF OFFICE EQUIPMENTS 1.	The Municipality of Ubay, through the Annual Budget C.Y. 2020 (SEF Fund) intends to apply the sum of Nine Hundred Ninety S</t>
  </si>
  <si>
    <t xml:space="preserve"> Republic of the Philippines MUNICIPALITY OF BUENAVISTA INVITATION TO BID FOR SUPPLY AND DELIVERY OF AIRCON FOR MUNICIPAL AGRICULTURE OFFICE   1.	The Local Government Unit of Buenavista, Marinduque through the fund from Capital Outlay intends to apply the </t>
  </si>
  <si>
    <t xml:space="preserve"> PENETRATING OIL 16 OZ, 63 CANS (RE-BID)</t>
  </si>
  <si>
    <t xml:space="preserve"> 4  station  Lumpsum Services for Live Coverage on "Independence Day Celebration" for the period of June 12, 2020 (8:00 am - 8:30am) - daily  FM STATION 2  station  Lumpsum Services for Live Coverage on "Independence Day Celebration" for the period of June</t>
  </si>
  <si>
    <t xml:space="preserve"> NEGOTIATED PROCUREMENT FOR MATERIALS FOR REPAIR OF WATERLINES AMOUNTING PHP 10,000.00</t>
  </si>
  <si>
    <t xml:space="preserve"> ITEMS: 300 PAX MEALS(1 DAY) 600 PAX SNACKS (AM/PM)</t>
  </si>
  <si>
    <t xml:space="preserve"> Item	Quantity	Unit	ARTICLES					 Estimated Unit Cost  								 1	20	pcs	 Toner for Printer					 8,250.00</t>
  </si>
  <si>
    <t xml:space="preserve"> Please see associated components</t>
  </si>
  <si>
    <t xml:space="preserve"> Republic of the Philippines Province of Aklan Municipality of Kalibo INVITATION TO BID (Rebidding) for the PURCHASE OF 1-UNIT MINI VAN W/ ROOF RACK The Municipality of Kalibo, through the General Fund, intends to apply the sum of Three Hundred Twenty Seve</t>
  </si>
  <si>
    <t xml:space="preserve"> 1.	The Municipal Government of El Nido, through the General Fund intends to apply the sum of Five  Hundred Ten Thousand Pesos (₱ 510,000.00) being the Approved Budget for the Contract (ABC) to payments for the here under Procurement and Delivery of Anti-R</t>
  </si>
  <si>
    <t xml:space="preserve"> 1.	The Municipal Government of El Nido, through the General Fund intends to apply the sum of Seven Hundred Thousand Pesos (₱ 700,000.00) being the Approved Budget for the Contract (ABC) to payments for the  Procurement of Fuel, Oil and Lubricant for MEO o</t>
  </si>
  <si>
    <t xml:space="preserve"> 1	FORM OFFICIAL RECEIPTS, CARBONLESS, PADDED, 50 SETS/PAD, 3SHEETS/SET	100 pad		Php 800.00</t>
  </si>
  <si>
    <t xml:space="preserve"> 2  station  Lumpsum Services for Airing Information Dissemination on City City's Development News Program " Padajon Paglambo Surigao" for the period of April 1 - June 29, 2020 (10:00 am - 10:30am) -(MWF - AM STATION) X-X-XX-X- NOTE: replacement copy for t</t>
  </si>
  <si>
    <t xml:space="preserve"> 2	Un	Caliper, Digital 		 20	Un	Wheel Borrow, Heavy Duty 		 1	Un	Jack Hammer, Portable 		 1	Un	Generator Set, Portable 		 1	Un	Steel Forms, 48 in. dia. with 3 setter (Pipe Culvert) 		 1	Un	Concrete Mixer, 1-bagger with Diesel Engine, 10 HP 		 		 		Requirem</t>
  </si>
  <si>
    <t xml:space="preserve"> Procurement of 5650 rds Ctg Cal 40 ball &amp; 3 other LI</t>
  </si>
  <si>
    <t xml:space="preserve"> NEGOTIATED PROCUREMENT FOR PRINTER AMOUNTING PHP 14,500.00</t>
  </si>
  <si>
    <t xml:space="preserve"> OFFICE OF THE BIDS AND AWARDS COMMITTEE INVITATION TO BID NO. 104-20 Name of Project: Procurement of Lumber &amp; Aggregates used for Repair/ Improvement of Tourism Hub / Waiting Area @ Brgy. Navarro, Socorro, SDN Source of Funds: 20% Development Fund The Mun</t>
  </si>
  <si>
    <t xml:space="preserve"> A) REQUEST FOR QUOTATION 1. 10,000 pcs Automobile Headlight RFID TAG ULTRA HIGH FREQUENCY RFID TAG (UHF RFID TAG) Waterproof Sunscreen Anti Tear 99mm x 12mm B) USE COMPANY LETTERHEAD FOR YOUR QUOTATION &amp; ADDRESS TO: DIR. JAMES JUPER B. AGUILAR Head, Procu</t>
  </si>
  <si>
    <t xml:space="preserve"> ITEMS: 3028.69 LTRS  DIESEL FUEL</t>
  </si>
  <si>
    <t xml:space="preserve"> 8 unit - HD Pro Webcam, Widescreen Video Calling and Recording, 1080p, USB ●Full HD 1080p video calling (up to 1920 x 1080 pixels) with the latest version of Skype for Windows ●720p HD video calling (up to 1280 x 720 pixels) with supported clients. Full H</t>
  </si>
  <si>
    <t xml:space="preserve"> VARIOUS MEDICAL EQUIPMENT</t>
  </si>
  <si>
    <t xml:space="preserve"> Republic of the Philippines Province of Zambales MUNICIPALITY OF PALAUIG -0- BID AND AWARD COMMITTEE REQUEST FOR EXPRESSION OF INTEREST Consultant on Political Affairs PALG NO. 03-2020 1.	The LOCAL GOVERNMENT UNIT OF PALAUIG, through its Bids and Awards C</t>
  </si>
  <si>
    <t xml:space="preserve"> Interested bidders are requested to be pre-qualified and to bid for the supply of labor and materials for the construction of water treatment facility in brangay Dapdap</t>
  </si>
  <si>
    <t xml:space="preserve"> 1	 Automotive Diesel Fuel 							1	lot	726,600.00 										 										 	Terms &amp; Conditions :									 										 	1.The supplier  shall start  to serve within 3 days upon receipt  of 									 	the advice  by  the project engineer until the project is co</t>
  </si>
  <si>
    <t xml:space="preserve"> 20 UNIT/S CATHETER, PEDIATRIC, 15Fx37CM DOUBLE CUFF, STRAIGHT CATHETER 20 UNIT/S CATHETER, ADULT, 15Fx63CM DOUBLE CUFF, STRAIGHT COILED 15 UNIT/S CATHETER, NEONATAL, 15Fx31CM DOUBLE CUFF, STRAIGHT CATHETER NOTE: ALL NEW SUPPLIER ARE REQUIRED TO SUBMIT THE</t>
  </si>
  <si>
    <t xml:space="preserve"> EXCAVATION FOR CHB LAYING PLASTERING FLOORING FOR 13 M LONG W/ 3 STEP RISER</t>
  </si>
  <si>
    <t xml:space="preserve"> plastic chairs, executive chairs, computer printer,etc..(1lot)</t>
  </si>
  <si>
    <t xml:space="preserve"> Diesel Gasoline</t>
  </si>
  <si>
    <t xml:space="preserve"> REPUBLIC OF THE PHILIPPINES DEPARTMENT OF PUBLIC WORKS AND HIGHWAYS CAMARINES SUR 3RD DISTRICT ENGINEERING OFFICE REGIONAL OFFICE V BARAS, CANAMAN INVITATION TO BID The DPWH – Camarines Sur 3rd District Engineering Office, through its Bids and Awards Comm</t>
  </si>
  <si>
    <t xml:space="preserve"> Face Masks ( disposable) Alcohol ( 500 ml) Thermal Scanner Liquid Soap Footbath Gloves</t>
  </si>
  <si>
    <t xml:space="preserve"> 1. The Mindanao State University - Tawi-Tawi College of Technology and Oceanography (MSU-TCTO), through the GAA 2020, intends to apply the sum of Nine Hundred Fifty-Two Thousand Seven Hundred Fifty Pesos only (PhP 952,750.00) being Approved Budget of Cont</t>
  </si>
  <si>
    <t xml:space="preserve"> Item	QTY.	UNIT	PARTICULARS / DESCRIPTION AND SPECIFICATIONS		APPROVED	UNIT PRICE	 NO.					UNIT COST		 1			 Monday, July 13, 2020 				 	375	 pax 	 AM Snacks 		 80.00 		 			 Lasagna, Fresh Juice 				 	375	 pax 	 Lunch 		 180.00 		 			 Buttered fish with swe</t>
  </si>
  <si>
    <t xml:space="preserve"> 1	2	Unit	"Airconditioning Unit 5 Tonner Airconditioning Unit, Floor Mounted, Inverter type, Auto Air Swing, 20% higher Airflow, Energy Saving, Smaller Footprint Cooling Capacity: 30,900-58,600 kJ/Hr Power Consumption:2,000-5,200 Watts Energy Efficiency Ra</t>
  </si>
  <si>
    <t xml:space="preserve"> OFFICE OF THE BIDS AND AWARDS COMMITTEE INVITATION TO BID NO. 105-20 Name of Project: Procurement of Hardware Materials used for Repair/ Improvement of Tourism Hub / Waiting Area @ Brgy. Navarro, Socorro, SDN Source of Funds: 20% Development Fund The Muni</t>
  </si>
  <si>
    <t xml:space="preserve"> A) REQUEST FOR QUOTATION 1. 1,000 pcs ID WITH BEEP FUNCTIONALITY (PRE-PRINTED CARDS) Material: Poly Vinyl Chloride Card (Offset) Printing: Full color front and back Size: CR80 (Round in Four Corners, Conforming to ANSI &amp; ISO Specification) 0.76mm MIFARE D</t>
  </si>
  <si>
    <t xml:space="preserve"> One Set of Public Address</t>
  </si>
  <si>
    <t xml:space="preserve"> 1 unit Main Assembly with Main Pump Coupling Note: Please refer to attached photos for specifications</t>
  </si>
  <si>
    <t xml:space="preserve"> Republic of the Philippines Province of Nueva Vizcaya MUNICIPALITY OF BAGABAG INVITATION TO BID  PURCHASE and DELIVERY of various VACCINE, BIOLOGICS and VETERINARY EQUIPMENTS  LGU, Bagabag, Nueva Vizcaya 1.	The Local Government Unit of Bagabag, through 20</t>
  </si>
  <si>
    <t xml:space="preserve"> 4,000	vials	CEFUROXIME 750MG 1,500	amps	CITICOLINE 1gm/4ml 1,500	vials	DEXAMETHASONE 8mg/2ml 1,000	amps	DICLOFENAC Sodium 75mg/3ml 1,000	amps	HYDRALAZINE 20mg/ml 500	vials	HYDROCORTISONE 250mg 1,500	amps	HYOSCINE N-BUTHYLBROMIDE 20mg/ml 1,000	vials	OMEPRA</t>
  </si>
  <si>
    <t xml:space="preserve"> Invitation to Bid for the  BACKFILLING OF MUNICIPAL LOT @ BUGALLON PROPER, RAMON, ISABELA 1.	The LGU-RAMON, ISABELA, through the Budget for the contract approved by the Sanggunian intends to apply the sum of Php4,700,000.00 being the Approved Budget for t</t>
  </si>
  <si>
    <t xml:space="preserve"> 1 Unit Laptop Computer OS: Windows 10 Pro Processor: Intel Core i7, 1.8 GHz quadcore with turbo boost and 6MB cache Graphics: 2 GB Video Memory: 2GB Display: 14" Memory: 8GB / 16GB 2133 MHz LPDDR3 Storage: 1 TB</t>
  </si>
  <si>
    <t xml:space="preserve"> 1.	The Municipal Government of El Nido, through the General Fund and 5% of 45% CRM ETDF intends to apply the sum of Two Hundred Twenty Three Thousand Pesos (₱ 223,000.00) being the Approved Budget for the Contract (ABC) to payments for the Procurement and</t>
  </si>
  <si>
    <t xml:space="preserve"> Republic of the Philippines Province of Southern Leyte MUNICIPALITY OF LIMASAWA -o0o- Bids and Awards Committee Invitation to Bid for the Supply of Agricultural Seeds for the Implementation of the Yolanda Rehabilitation and Reconstruction Program (YRRP) o</t>
  </si>
  <si>
    <t xml:space="preserve"> OPENING OF BIDS IN DSWD FO IX ZAMBOANGA CITY, DELIVERY IN DSWD FO IX ZC, PROCUREMENT FOR THE FF.: 2 SERVICES- DRAFTSMEN  FOR THE MONTH OF AUGUST TO DECEMBER 2020 ***************************************************************** PURPOSE: SERVICE PROVIDER F</t>
  </si>
  <si>
    <t xml:space="preserve"> Procurement of 1 Lot Soil Exploration/Investigation Services for the Construction of Pasalubong Center, this city</t>
  </si>
  <si>
    <t xml:space="preserve"> LOT A									 1	Unleaded Gasoline							1	lot	22,750.00 	Terms &amp; conditions:									 										 	1. The supplier shall start to serve within three (3) days upon receipt of the advice									 	           from the project engineer until the project is co</t>
  </si>
  <si>
    <t xml:space="preserve"> Republic of the Philippines Zamboanga Peninsula Department of Health Basilan General Hospital Isabela City, Basilan 7300 Invitation to Bid for the PROPOSED PROCUREMENT FOR UPGRADING OF ELECTRICAL SYSTEM FROM 100KVA-SINGLE PHASE TO 750KVA-3 PHASE 1. The Ba</t>
  </si>
  <si>
    <t xml:space="preserve"> SUPPLY AND DELIVERY OF SUPPLIES/MATERIALS FOR REPAIR AND MAINTENANCE OF PMWS (PURCHASE OF ALTERNATE/RESERVE PUMP): 1.  2 sets 4” submersible pump (pump head) 5HP, 3.7 kw 60Hz, control box for submersible motor, 5hp, 3.7kw, 230v 3.7kw, 1ph, 60Hz</t>
  </si>
  <si>
    <t xml:space="preserve"> ITEMS 20 pcs Air Cleaner 20 pcs Oil Filter 034 10 pcs Oil Filter 306 10 pcs Oil Filter 10 pcs Rock End 4WD 4 pcs Rock End L300 4 pcs Rock End 555 6 pcs Velocity Stick BRG 5 Pcs Velocity Oil Seal 6 pcs Velocity Bearing Outer 20 pcs Rubber Cap</t>
  </si>
  <si>
    <t xml:space="preserve"> 1	Unit	Desktop Computer w/ Accessories:  		Intel Core i7 CPU                 GIGABYTE H310MH 20 BOARD                 8GB 2400 DIMM RAM                 120GB SSD+500GB HDD Storage                 Viewsonic 21.5” Monitor                 Odyssey W/700W PSU </t>
  </si>
  <si>
    <t xml:space="preserve"> Republic of the Philippines Department of Health CENTRAL OFFICE BIDS AND AWARDS COMMITTEE Name of the Procuring Entity:  Department of Health Name of the Project: Procurement of Fire Extinguisher-Refill Delivery Site: Philippine Blood Center, Lung Center </t>
  </si>
  <si>
    <t xml:space="preserve"> 1	Automotive Diesel Fuel							1	Lot	55,800.00 2	Unleaded Gasoline							1	Lot	11,520.00 										 	NOTE: Terms and Conditions									 	1. The supplier start to serve within 3 days upon receipt of the 									 	advice by the project engineer until the </t>
  </si>
  <si>
    <t xml:space="preserve"> 1	LOT	SUPPLY AND DELIVERY OF 1,000 PCS SCHOOL CHAIR WITH ARM AND BOOK TRAY 		WITH THE FOLLOWING SPECIFICATIONS: 		-MADE OF SOLID WOOD SEAT AND BACK, SLOTTED WITH SOLID WOOD WRITING  		 TABLE AT 625MM X 250MM, VARNISHED AND PAINTED BLACK BI PIPE FRAME  		 </t>
  </si>
  <si>
    <t xml:space="preserve"> 3 LI</t>
  </si>
  <si>
    <t xml:space="preserve"> Republic of the Philippines									 Province of Batangas									 City of Sto. Tomas									 Barangay SAN PEDRO									 									 									 INVITATION TO BID									 									 The Barangay Government of San Pedro, City of Tomas, Batangas through its B</t>
  </si>
  <si>
    <t xml:space="preserve"> Republic of the Philippines CITY GOVERNMENT OF ORMOC  2nd /F New Ormoc City Hall Bldg.,Ormoc City Tel # (053) 255-2054 &amp; 560-8050 Local # 1126, 1127 &amp; 1123	      RFQ 6-____________ Invitation to Quote (Small Value Procurement)         In accordance with S</t>
  </si>
  <si>
    <t xml:space="preserve"> Republic of the Philippines Province of Pangasinan MUNICIPALITY OF LINGAYEN BARANGAY WAWA Invitation to Bid for the Purchase/installation of CCTV Camera at Barangay Wawa, Lingayen, Pangasinan  The Barangay Wawa, through the  Capital Outlay  intends to app</t>
  </si>
  <si>
    <t xml:space="preserve"> Republic of the Philippines Province of Zambales MUNICIPALITY OF PALAUIG -0- BID AND AWARD COMMITTEE REQUEST FOR EXPRESSION OF INTEREST Consultant on Legal Affairs PALG NO. 04-2020 1.	The LOCAL GOVERNMENT UNIT OF PALAUIG, through its Bids and Awards Commi</t>
  </si>
  <si>
    <t xml:space="preserve"> Republic of the Philippines								 Province of Cebu								 Municipality of Alcantara								 								 								 Standard Form Number:			SF-INFR-05					 Revised on:								 								 INVITATION TO APPLY FOR ELIGIBILITY AND TO BID								 								 The Munic</t>
  </si>
  <si>
    <t xml:space="preserve"> 1.	The Municipal Government of El Nido, through the General Fund intends to apply the sum of Six Hundred Thousand Pesos (₱ 600,000.00) being the Approved Budget for the Contract (ABC) to payments for the  Procurement of Fuel, Oil and Lubricant for MEO of </t>
  </si>
  <si>
    <t xml:space="preserve"> SAFETY SHOES - 140 PAIRS           GOGGLES -         200 PCS.</t>
  </si>
  <si>
    <t xml:space="preserve"> Republic of the Philippines Province of Occidental Mindoro Municipality of Sta. Cruz INVITATION TO BID The Municipality of Sta. Cruz, through it Bids and Awards Committee (BAC), invites once again qualified suppliers/dealers to bid for the furnishing and </t>
  </si>
  <si>
    <t xml:space="preserve"> OPENING OF BIDS IN DSWD FO IX ZAMBOANGA CITY, DELIVERY IN DSWD FO IX ZC, PROCUREMENT FOR THE FF.: 2 SERVICES -   ELECTRICAL  ENGINEER FOR THE MONTH OF AUGUST TO DECEMBER 2020 ***************************************************************** PURPOSE: SERVI</t>
  </si>
  <si>
    <t xml:space="preserve"> The Bids and Awards Committee of the Environmental Management Bureau-IX now invites eligible bidders to submit their quotations for Supply and Delivery of Vehicle Tires  All quotations must be typed or written and duly signed by the authorized representat</t>
  </si>
  <si>
    <t xml:space="preserve"> Republic of the Philippines CITY GOVERNMENT OF ORMOC  2nd /F New Ormoc City Hall Bldg.,Ormoc City Tel # (053) 255-2054 &amp; 560-8050 Local # 1126, 1127 &amp; 1123	      RFQ 5-____________ Invitation to Quote (Small Value Procurement)         In accordance with S</t>
  </si>
  <si>
    <t xml:space="preserve"> Please see attached RFQ and Terms of Reference (6 pages total)</t>
  </si>
  <si>
    <t xml:space="preserve"> 10 UNIT/S KIDNEY BIOPSY GUN, BARD MAX CORE DISPOSABLE CORE BIOPSY INSTRUMENT GAUGE: 18g NEEDLE LENGTH: 16cm LENGTH OF SAMPLE NOTCH: 1.8cm PENETRATION DEPTH: 22cm NOTE: ALL NEW SUPPLIER ARE REQUIRED TO SUBMIT THE FOLLOWING DOCUMENT. 1. DTI Registration 2. </t>
  </si>
  <si>
    <t xml:space="preserve"> NEGOTIATED PROCUREMENT FOR MAINTENANCE OF COMFORT ROOMS AMOUNTING PHP 5,000.00</t>
  </si>
  <si>
    <t xml:space="preserve"> 900 BAGS Chicken Layer Grower Crumble (50 kilos) 300 BAGS Chicken Pre-Layer Crumble (50 kilos) 1500 BAGS Chicken Layer 1 Crumble (50 kilos Terms and Conditions: a. Feeds delivered should be in good condition. b. Feeds should be delivered at thirty (30) Fa</t>
  </si>
  <si>
    <t xml:space="preserve"> This project entails purchase of tires and batteries for use at Mayor's Office.</t>
  </si>
  <si>
    <t xml:space="preserve"> Sir/ Ma'am: Please quote your lowest possible prices for the articles described in the attached document.</t>
  </si>
  <si>
    <t xml:space="preserve"> Rehab of Tanod Outpost</t>
  </si>
  <si>
    <t xml:space="preserve"> RFQ-TFB-12-2020 Republic of the Philippines Province of Davao Oriental CITY OF MATI BIDS AND AWARDS COMMITTEE (Local Funding Source) REQUEST FOR QUOTATION (Negotiated Procurement – Two Failed Biddings) 		 Name of Company:	 Address:	 Telephone No.:	 Please</t>
  </si>
  <si>
    <t xml:space="preserve"> 90	bxs	Dengue Rapid Test 90	packs	Microtainer 0.5ml, Lavander Top 8	bttls	Anti Human Globulin 8	bttls	LISS 8	kits	SGPT 8	kits	SGOT 8	sets	Anti A &amp; B, Typing Sera 5	vls	Anti D, RH, Typing 10ml 50	bttls	Urine Strips 4 Parameter 4	bxs	Total Cholesteral 60	tu</t>
  </si>
  <si>
    <t xml:space="preserve"> Republic of the Philippines CITY GOVERNMENT OF ORMOC  2nd /F New Ormoc City Hall Bldg.,Ormoc City Tel # (053) 255-2054 &amp; 560-8050 Local # 1126, 1127 &amp; 1123	      RFQ 8-_______ Invitation to Quote (Small Value Procurement)         In accordance with Sectio</t>
  </si>
  <si>
    <t xml:space="preserve"> Republic of the Philippines									 DEPARTMENT OF PUBLIC WORKS &amp; HIGHWAYS									 CAMARINES SUR 3RD   									 DISTRICT ENGINEERING OFFICE									 Regional Office V									 Baras, Canaman									 									 Name of Procuring Entry: DPWH-Cam. Sur III	</t>
  </si>
  <si>
    <t xml:space="preserve"> A) REQUEST FOR QUOTATION 1. 1 lot FC-10-W06HD-934-02-12 FortiWeb-600D 24 x 7 Standard Bundle Renewal Includes: Advanced Hardware Replacement (NBD), Firmware and General Upgrades, 24x7 Support, Antivirus FortiWeb Security Service, &amp; IP Reputation for 7 Mon</t>
  </si>
  <si>
    <t xml:space="preserve"> 1 unit 3 tonner floor mounted airconditioner box type including installation good quality</t>
  </si>
  <si>
    <t xml:space="preserve"> 1800	vls	Ampicillin vial 500mg 900	vls	Ampicillin vial 250mg 75	amps	Bupivacaine HCL 0.05% heavy , spinal (SENSORCAINE) 1500	vials	Ceftriaxone 1g 36	bxs	Captopril tab 25mg x 100's 150	amps	Hydralazine amp. 20mg/ml 1 ml x 50's 25	vls	Lidocaine vial 2% 50ml</t>
  </si>
  <si>
    <t xml:space="preserve"> 1.	The Municipal Government of El Nido, through the General Fund, intends to apply the sum of Three Hundred Thirty Six Thousand Four Hundred Pesos (₱ 336,400.00) being the Approved Budget for the Contract (ABC) to payments for the Procurement and Delivery</t>
  </si>
  <si>
    <t xml:space="preserve"> Vehicle Hire for the Conduct of Vulnerability and Risk Assessment and Geohazard Map Updating in the Municipalities of Lidlida and Galimuyod, Ilocos Sur on the following dates: Lidlida, Ilocos Sur - July 6-10, 13-14, 2020 (7 days) Galimuyod, Ilocos Sur – J</t>
  </si>
  <si>
    <t xml:space="preserve"> 95 GALLONS ACRYLIC SEMI GLOSS LATEX (INTERNATIONAL ORANGE) &amp; 9 ETC.</t>
  </si>
  <si>
    <t xml:space="preserve"> 500 BOOKLETS - DELIVERY RECEIPTS FOR DIESEL PUM 1/4/OS DUPLICATE         500 PCS. - BINCARD</t>
  </si>
  <si>
    <t xml:space="preserve"> ITEM 1	Snacks -50.00Php per snack x 2(AM/PM) x 5 Days	          100	pax ITEM 2	Lunch – 150.00Php per meal x 5 Days 	                          100	pax ITEM 3	Packed Breakfast &amp; Dinner (Island Barangay Participants)		 	        150 per meal x 5 days	        </t>
  </si>
  <si>
    <t xml:space="preserve"> see attached document</t>
  </si>
  <si>
    <t xml:space="preserve"> One Set of (3) Three Channel CCTV</t>
  </si>
  <si>
    <t xml:space="preserve"> To provide labor, materials and tools for the Supply and Installation of Wall Mount Inverter Split Type Air Conditioning Units of FM Radio Station</t>
  </si>
  <si>
    <t xml:space="preserve"> Steering Packing Seal Fan Belt (10pk1330) Tire with Tube and Flap (23.5 x 25)</t>
  </si>
  <si>
    <t xml:space="preserve"> Construction of Paritition Wall(interior), Cover of Left Side Truss, Finishng Left Side Wall, Fabrication/Installation of Steel Grills for Main Entrance, Repair of Kitchen Sink, Painting Works, Installation of Ceiling Moulding.</t>
  </si>
  <si>
    <t xml:space="preserve"> INVITATION TO BID									 									 The  BARANGAY GOVERNMENT OF DON RICARDO G. MACIAS, SINDANGAN ZAMBOANGA DEL NORTE, through its Bids and Awards Committee (BAC), hereby invites suppliers/manufacturers/ distributors/contractors to apply for eligibility a</t>
  </si>
  <si>
    <t xml:space="preserve"> 1. The City Government of Marawi, intends to apply the sum of One Million Three Hundred Eighty Four Thousand Five Hundred Pesos (Php 1,384,500.00) being the Approved Budget for the Contract (ABC) to payments under the contract for the Supply and Delivery </t>
  </si>
  <si>
    <t xml:space="preserve"> 4	Pcs	Tires, Tubeless (185R14C) Front, 8 ply 4	Pcs	Tires, Tubeless (155R13C) Rear, 8 ply 2	Pcs	Filter, Fuel FC #329 2	Pcs	Filter, Oil # 506 Primary 1	Pc	Filter, Oil # 304 Secondary 1	Pc	Relay, Flasher, 12V 2	Bx	Bulb, Auto 24 Single Contact 2	Bx	Bulb, Auto</t>
  </si>
  <si>
    <t xml:space="preserve"> Republic of the Philippines OFFICE OF THE PUNONG BARANGAY 	Barangay Buenavista	 Municipality of Tudela Province of Misamis Occidental INVITATION TO BID The Office of the Punong Barangay of Barangay Buenavista through its Bids and Awards Committee [BAC], i</t>
  </si>
  <si>
    <t xml:space="preserve"> The Technical Education and Skills Development Authority (TESDA) Ilocos Sur, through the Procurement Division, will undertake a small value procurement in Construction and Painting of Tool Cabinets in Provincial Training Center - Candon City, in accordanc</t>
  </si>
  <si>
    <t xml:space="preserve"> ITEM NO.	ITEM DESCRIPTION	QUANTITY 1	Angle  Bar 2” x 2” x ¼ m. (6.0m std)	28 pcs 2	Angle Bar 1 ½ “ x 1 ½” x ¼” m. (6.0m std)	26 pcs 3	Angle Bar 1” x !” x 1/8”m. (6.0m std)	4 pcs 4	C-Purlins 2”x  3´x 6.m. (std)	23 pcs 5	Flat Bar 1” x 1/8” x 6m *std)	5 pcs </t>
  </si>
  <si>
    <t xml:space="preserve"> Republic of the Philippines 		      Province of Laguna MUNICIPAL GOVERNMENT OF PANGIL BIDS AND AWARDS COMMITTEE Nat’l Rd. Brgy. San Jose, Pangil, Laguna 	Tel.Nos.  (049)557-0284 &amp; 557-3139		 	 INVITATION TO APPLY FOR ELIGIBILITY AND TO BID The Municipalit</t>
  </si>
  <si>
    <t xml:space="preserve"> EXCAVATION OF THE AREA TO BE CONCRETED  GRAVEL BEDDING AND CONCRETING OF SLAB PAINTING OF TENNIS COURT AREA AND LINES</t>
  </si>
  <si>
    <t xml:space="preserve"> For the improvement of ground perimeter of New R and D Building: 20 loads Garden Soil with Spreading (10cu.m. / load) 900 pcs. 6" CHB</t>
  </si>
  <si>
    <t xml:space="preserve"> see attached Purchase Request</t>
  </si>
  <si>
    <t xml:space="preserve"> Republic of the Philippines PROVINCE OF SURIGAO DEL NORTE MUNICIPALITY OF DEL CARMEN INVITATION TO BID The Local Government Unit of the Municipality of Del Carmen, Province of Surigao del Norte, through its Bids and Awards Committee (BAC), invites contrac</t>
  </si>
  <si>
    <t xml:space="preserve"> ALCOHOLS BROOMS DETERGENT POWDERS TOILET CLEANERS MOP HANDLE SURGICAL GLOVES HAND SOAP FOOTBATH BLEACH *PLEASE SEE ATTACHED INVITATION FOR QUOTATION</t>
  </si>
  <si>
    <t xml:space="preserve"> Please see attached PR</t>
  </si>
  <si>
    <t xml:space="preserve"> 27	pcs	FLOOD LIGHTS LED SMD HI- BAY UFO (300) WATTS xxxxxxxxxxxxxxxxxxxxxxxxxxxxx</t>
  </si>
  <si>
    <t xml:space="preserve"> Pls. see attached file.</t>
  </si>
  <si>
    <t xml:space="preserve"> Republic of the Philippines						 City Government of Davao						 						 INVITATION TO BID						 for Infrastructure Projects SVP03-2020						 						 The City Government of Davao now invites bidders for the project/s under SVP03-2020 as listed below.   The </t>
  </si>
  <si>
    <t xml:space="preserve"> ITEM 1	Timber round post (5” dia. X 14”)	8	pcs 2	Door Jamb (2”x5”x17’ – 3pcs.)	42.5	bd.ft. 3	Window Jamb (2”x5”x14’) – 12 pcs	140	bd.ft. 4	Window Jamb (2”x5”x12’) – 1 pc	10	bd.ft. 5	Studs and Door Frame, 2”x2”x8’ – 60 bdls. 	160	bd.ft 6	Wall Cabinet Frame</t>
  </si>
  <si>
    <t xml:space="preserve"> Page 1 of 8 REQUEST FOR QUOTATION (RFQ) SUPPLY AND DELIVERY OF LABORATORY CONSUMABLES UNDER EMB-ERLSD-ENVIRONMENTAL LABORATORY SERVICES SECTION (ELSS) INORGANICS AND ORGANICS LABORATORY UNIT RFQ NO. EMB-S-ERLSD-ELSS LABORATORY CONSUMABLES 2020-0545 1. The</t>
  </si>
  <si>
    <t xml:space="preserve"> Specifications: 222 bags Corn Seeds</t>
  </si>
  <si>
    <t xml:space="preserve"> Lot 1	Office Conference Equipment &amp; Accessories for Session Hall  	 	the audio system of the SP Session Hall  2	pc	All-in-one Rechargeable PA Solution  	 	 - Battery: lithium-ion rechargeable, 6-hour play time  	 	 - Max SPL: 118dB(peak)  	 	 - Bass: 8" L</t>
  </si>
  <si>
    <t xml:space="preserve"> Scope of Works: -	Construction of one unit, two (2) – Storey, 8 CL School Building (9.50m x 46.00m) complete with ceiling works, electrical works, plumbing works, painting works, provision of fire safety cabinets, construction of one unit septic vault, ti</t>
  </si>
  <si>
    <t xml:space="preserve"> Pls. see attached file</t>
  </si>
  <si>
    <t xml:space="preserve"> Specifications: 713 bags Portland Cement; 38 cu.m. Washed Sand (Silway Source); 75 cu.m. Screened Gravel (Maribulan Source); 468 bd.ft. 39 pcs – 2” x 6” x 12’ Coco Lumber; 60 bd.ft. 15 pcs – 2” x 2” x 12’ Coco Lumber; 11 kgs. Assorted CWN; 16 lengths 12mm</t>
  </si>
  <si>
    <t xml:space="preserve"> 1.	The Municipal Government of El Nido, through the General Fund intends to apply the sum of Two  Hundred Forty Nine Thousand Nine Hundred Eighty Pesos (₱ 249,980.00) being the Approved Budget for the Contract (ABC) to payments for the here under Procurem</t>
  </si>
  <si>
    <t xml:space="preserve"> The DPWH-Ilocos Sur 1st District Engineering Office, through its Bids and Awards Committee (BAC), invites contractors to submit bids for the following Contract:   Contract ID: 20AC0061   Contract Name: Construction of Seawall, Sitio Mindanao, Barangay Par</t>
  </si>
  <si>
    <t xml:space="preserve"> Supply of Furniture and Fixtures for various offices at New Cit Hall Bldg Phase I</t>
  </si>
  <si>
    <t xml:space="preserve"> I. Office Supplies						 1		Refillable Ink			114 	unit		 2		Toner Cartridge (OKI) ES7170MFP			10 	unit		 3		Logbook (300 sheets)			12 	pcs.		 4		Special Ring Binder (for Maintenance Report)			12 	pcs.		 5		Bond Paper (8.5"x13")			80 	reams		 6		Bond Paper</t>
  </si>
  <si>
    <t xml:space="preserve"> Specifications: *Engine-Fuel Type: Diesel; Engine Size/Displacement: 2,1488; No. of Cylinders: 4; Maximum Torque (Nm): 356; Maximum Power (ps): 129 *Engine &amp; Transmission – Fuel Type: Diesel; No. of Cylinders: 4; Engine Size/Displacement: 2,488; Maximum P</t>
  </si>
  <si>
    <t xml:space="preserve"> Specifications: *GVW Rating: 4,950 kg. *Engine: Diesel, 4-cylinder, Turbo-Intercooled, Euro-4 Complaint, Overhead Valve, Electronic Common Rail, Direct Injection Type 136 PS @ 2,500 RPM; Piston Displacement of 4.0 liters; Equipped with Catalytic Converter</t>
  </si>
  <si>
    <t xml:space="preserve"> Please see attached file . . . .</t>
  </si>
  <si>
    <t xml:space="preserve"> Standard Form Number: SF-GOOD-60   Revised on: May 24, 2004 Standard Form Title: Request for Quotation Date: Quotation ______________________________ (name of Company) ______________________________ (address/Tel. #) Please quote your lowest price on the i</t>
  </si>
  <si>
    <t xml:space="preserve"> 50	pcs	RSB x 25mm 150	pcs	RSB x 20mm 50	pcs	RSB x 12mm 500	bft	Cocolumber 2x3x10 200	bags Cement 6	elf	Sand 6	elf	Gravel 1	box	CWNail#4 1	box	CWNail#3 1	box	CWNail#2</t>
  </si>
  <si>
    <t xml:space="preserve"> A. Repainting of Roof and Directory	 B. Construction of School Wash Stand C. Repair of School Gutters D. Repainting of School Gutters E. LAC Sessions	 F. Payment for Load Card/Internet Connection	 G. Office Supplies	 H. Students and Teachers Supplies</t>
  </si>
  <si>
    <t xml:space="preserve"> BOOKS AND MAGAZINES</t>
  </si>
  <si>
    <t xml:space="preserve"> Sanitation Office (SKD 923) 4 pcs. 7.00 x 16 GT (Rough) 2 pcs. 7.00 x 16 GT (Fine) Engineering Office (SKM 597) 4 pcs. 7.50 x 15 GT (Rough) 2 pcs. 7.50 x 15 GT (Fine)</t>
  </si>
  <si>
    <t xml:space="preserve"> Additional Load (Php700 per month) JANUARY FEBRUARY MARCH APRIL MAY JUNE JULY AUGUST SEPTEMBER OCTOBER NOVEMBER DECEMBER</t>
  </si>
  <si>
    <t xml:space="preserve"> SUPPLY, DELIVERY AND INSTALLATION OF TYPHOON-RESILIENT VERTICAL INDOOR FARMING SYSTEM AT ASCOT BAZAL CAMPUS</t>
  </si>
  <si>
    <t xml:space="preserve"> REQUEST FOR QUOTATION RFQ NO. /DATE	:	FAD2020-07-125 / 07-02-2020 PRO./ DATE		:	LAB2020-06-180 /06/16/2020 The DENR-Environmental Management Bureau XI (EMB-XI) through its Laboratory Unit-Environmental Monitoring and Enforcement Division will undertake a </t>
  </si>
  <si>
    <t xml:space="preserve"> OPENING OF BIDS IN DSWD FO IX ZAMBOANGA CITY, DELIVERY IN DSWD FO IX ZC, PROCUREMENT FOR THE FF.: 2 SERVICES -SITE ENGINEER FOR THE MONTH OF AUGUST TO DECEMBER 2020 (HFE AND PCDP) ***************************************************************** PURPOSE: </t>
  </si>
  <si>
    <t xml:space="preserve"> MUNICIPAL HEALTH OFFICE – 1 unit laptop 3sf314-41G-R9QL (silver)14 IPS Ryzen 5 3500U/4GB/1TB/2 GB Radeon Win10 MSWDO 1. 1 set COMPUTER with desktop Intel Core TM i3 2. 1 unit PRINTER INK TANK PRINTER Print speeds up to 10ipm for black and 5.0ipm Mun. Agri</t>
  </si>
  <si>
    <t xml:space="preserve"> INVITATION TO APPLY FOR ELIGIBILITY AND TO BID The Municipality of San Pablo Province of Zamboanga del Sur, through its Bids and Awards Committee (BAC), invites all interested suppliers/manufacturers/distributors/contractors to apply for eligibility and t</t>
  </si>
  <si>
    <t xml:space="preserve"> Const/improvement of women Multi-purpose center</t>
  </si>
  <si>
    <t xml:space="preserve"> INVITATION TO BID The City of Bayawan, through its Bids and Awards Committee (BAC), invites suppliers/manufacturers/distributors/contractors to bid for the hereunder projects: 	Lot No. I		ICT EQUIPMENT					 1	3	sets	Computer Server					 			Form factor: 2U</t>
  </si>
  <si>
    <t xml:space="preserve"> 1. 480 Bdft 2x2x12 Good Lumber                                       120 Pcs. 2. 144 Bdft 2x3x12 Good Lumber                                       24 Pcs. 3. 1/4x4x4 Marine Plywood                                                33 Pcs. 4. #4" Common Wire </t>
  </si>
  <si>
    <t xml:space="preserve"> Supply And Delivery of Various Groceries to be used for National Disability Prevention and rehabilitation Week of Person with Disability, Brooke’s Point, Palawan</t>
  </si>
  <si>
    <t xml:space="preserve"> Supply And Delivery of Fuel (lot #3) Labor (Lot #5) for Proposed Road Concreting from Old Highway Sta. 00+350 to Sta. 00+760m leading to Kilala Elem. School, Bgy. Malis, Brooke’s Point, Palawan Lot #3 Fuel: 818,525.00 Lot #5 Labor: 737,110.74</t>
  </si>
  <si>
    <t xml:space="preserve"> RFQ No. 2020__   										         Date___________ REQUEST FOR QUOTATION SUPPLY AND DELIVERY OF PHOTOCOPYING MACHINE FOR THE OFFICE OF THE VICE MAYOR /SANGGUNIANG BAYAN, PINAMALAYAN ORIENTAL MINDORO The Municipal Government of Pinamalayan hereinafter ref</t>
  </si>
  <si>
    <t xml:space="preserve"> Republic of the Philippines DEPARTMENT OF PUBLIC WORKS AND HIGHWAYS CAMARINES SUR 3RD  DISTRICT ENGINEERING OFFICE REGIONAL OFFICE V Baras, Canaman   I N V I T A T I O N  TO  B I D 	                                      The Department of Public Works and </t>
  </si>
  <si>
    <t xml:space="preserve"> Republic of the Philippines BATANGAS STATE UNIVERSITY Batangas City REQUEST FOR QUOTATION "Procurement of Drugs and Medicine for Medical and Dental Services" 1. The Batangas State University (BatState U) through the Bids and Awards Committee invites inter</t>
  </si>
  <si>
    <t xml:space="preserve"> 1	unit	Printer with scanner (long &amp; short) 2	set	Computer ink  1	unit	AVR 5	pcs	Computer mouse (USB type)</t>
  </si>
  <si>
    <t xml:space="preserve"> 1	unit	Laser Jet Multi-function printer 		Specifications: 		Function: Print, scan, fax, email 		Fast Print Speed: print up to 40 pages per minute with this wireless laser printer. First page out in as fast                        as 5.4 seconds 		First pri</t>
  </si>
  <si>
    <t xml:space="preserve"> VARIOUS SPARE PARTS</t>
  </si>
  <si>
    <t xml:space="preserve"> Supply and Delivery of Heavy Equipment Spare Parts to be used for Municipal Heavy Equipment, Brooke’s Point, Palawan</t>
  </si>
  <si>
    <t xml:space="preserve"> Republic of the Philippines                                                       Province of Pangasinan                                            MUNICIPALITY OF LINGAYEN Invitation to Bid for the Purchase of one (1) unit six-wheeler mini dump truck for</t>
  </si>
  <si>
    <t xml:space="preserve"> TO REQUEST FOR SERVICES OF SUBDIVISION/ SEGREGATION, BOUNDARY AND/OR											 RELOCATION SURVEY OF OLT/CA PROPERTIES UNDER SURVEY MODULE NO.											 LOT 7-CSI-2020(NL)									23.1045	HECTARES	P LOCATION: LIBMANAN &amp; SIPOCOT CAMAMARINES SUR											</t>
  </si>
  <si>
    <t xml:space="preserve"> Republic of the Philippines BARANGAY SABANG Lipa City OFFICE OF THE PUNONG BARANGAY BIDS AND AWARDS COMMITTEE INVITATION TO BID The Barangay Government of BARANGAY SABANG, through its Bids and Awards Committee ( BAC ), invites suppliers/manufacturers/dist</t>
  </si>
  <si>
    <t xml:space="preserve"> 1	Plastic Elbow 1/2 ppnlc	 1,000.00  2	Plastic Tee 1/2 ppnlc	 100.00  3	Male Adoptor 1/2 ppnlc	 1,000.00</t>
  </si>
  <si>
    <t xml:space="preserve"> Item  No.	Product Name Description /Specifications		QTY	Approved Budget for the Contract	 1	Angle bar, 3/16" x 1" x 20'			                       10 lt	        6,000.00		 2	Angle bar, 3/16" x 2"x20'			                       10 lt	        9,000.00		 3	Hacks</t>
  </si>
  <si>
    <t xml:space="preserve"> ITEM: 15 pcs Tires(205/65R15)							 15 pcs Tires(7.00-16)							 10 pcs Tires(8.25-16)							    PURPOSE: FOR STOCKING												 ABC:  PHP 327,500.00 DELIVERY SCHEDULE: 10 CALENDAR DAYS</t>
  </si>
  <si>
    <t xml:space="preserve"> Car Rental/ Service Vehicle</t>
  </si>
  <si>
    <t xml:space="preserve"> Grass cutter</t>
  </si>
  <si>
    <t xml:space="preserve"> Supply And Delivery of Fuel (lot #3) Labor (Lot #4) for Proposed Road Concreting from National Highway Sta. 00+400 to Sta. 00+990m leading to Tagpirara Elem. School, Bgy. Saraza, Brooke’s Point, Palawan Lot #3 Fuel: 350,250.00 Lot #4 Labor: 582,149.21</t>
  </si>
  <si>
    <t xml:space="preserve"> 1	8	gals	Enamel Paint (Baguio Green) 2	6	pcs	Baby Roller 3	5	pcs	1/2" Paint Brush 4	2	sets	Jalou Plus Luningning 46 1/2 x 78 5	2	sets	Jalou Plus Luningning 46 1/2 x 49 6	9	pairs	3" x 3" Door Hinge 7	4	pairs	Flush Type Door (0.80 x 2.10m) 8	4	pcs	2" x 4" D</t>
  </si>
  <si>
    <t xml:space="preserve"> Purchase of Office Supplies and Consumables as indicated in the School Improvement Plan</t>
  </si>
  <si>
    <t xml:space="preserve"> Car Rental / Service Vehicle</t>
  </si>
  <si>
    <t xml:space="preserve"> Creation of LGU Paniqui Website, Municipal Government of Paniqui, Tarlac</t>
  </si>
  <si>
    <t xml:space="preserve"> 1. Please see attached Request for Quotation Form for details 2. RFQ Form can also be downloaded at www.ilocossur.gov.ph 3. Please read the General Instructions to Bidders at the attached RFQ Form</t>
  </si>
  <si>
    <t xml:space="preserve"> Improvement with 48.78 mtrs Mechanical Drilling and replacement of Riser Pipe</t>
  </si>
  <si>
    <t xml:space="preserve"> REQUEST FOR QUOTATION PROJECT TITLE:	COMMONLY-USED SUPPLIES INSTRUCTIONS:	 ___	ADDITIONAL INSTRUCTIONS ATTACHED 			         ___	NO ADDITIONAL INSTRUCTIONS 1.	Fax / Email / Submit your quote or regret (with reasons thereof) using the PNOC issued BID FORM; </t>
  </si>
  <si>
    <t xml:space="preserve"> 1	Piece	All Steel Cabinet w/ 4 layers w/ lock, ABC 12,000.00/pc 1	Box	Steel Cabinet w/ 4 drawers w/ lock, ABC 8,000.00/box 2	Piece	Metal Wardrobe Cabinet, ABC 12,000.00/pc 3	Piece	3 Door Metal Wardrobe cabinet, ABC 12,000.00/pc RFQ#06-0700R</t>
  </si>
  <si>
    <t xml:space="preserve"> 1.	The Local Government Unit (LGU) of Aroroy, through its Annual Budget 2020 to apply the sum of Php 300,000.00 being the Approved Budget for the Contract (ABC) to payments under the contract for Supply and Delivery of Books and Other References for AMC. </t>
  </si>
  <si>
    <t xml:space="preserve"> General Cleaning of Nine (9) Unit Computer Deskop</t>
  </si>
  <si>
    <t xml:space="preserve"> Supply and Delivery of Fitting &amp; Valves (Lot #1) for the use of Water System Office, Brooke’s Point, Palawan</t>
  </si>
  <si>
    <t xml:space="preserve"> The DPWH-Ilocos Sur 1st District Engineering Office, through its Bids and Awards Committee (BAC), invites contractors to submit bids for the following Contract:   Contract ID: 20AC0103   Contract Name: Construction of Classrooms, Two (2) Storey, Six (6) C</t>
  </si>
  <si>
    <t xml:space="preserve"> please download rfq and store furnish in the associated component</t>
  </si>
  <si>
    <t xml:space="preserve"> Republic of the Philippines 	Province of Pangasinan 	Municipality of Infanta 	Barangay Cato 	BIDS AND AWARDS COMMITTEE 	 Invitation to Bid for CONSTRUCTION OF DRAINAGE CANAL WITH CONCRETE COVER @ SITIO SABANG-PUROK 4, BRGY. CATO, INFANTA, PANGASINAN 1.	Th</t>
  </si>
  <si>
    <t xml:space="preserve"> ITEM I EXCAVATION ITEM II CONCRETE WORKS</t>
  </si>
  <si>
    <t xml:space="preserve"> Please quote your lowest price on the item(s) listed, subject to the Terms and Conditions stated below and submit your quotations duly signed by your representative not later than 9:00AM of July 8, 2020 in a sealed envelope to the Office of the BAC Secret</t>
  </si>
  <si>
    <t xml:space="preserve"> Various Customized Linens and Towels  10  PC Bed Sheet single colored printed w/ GSIS Logo as per sample  150  PC Towel, Bath, Std. Size 100% Cotton, White w/ GSIS Logo  -In accordance with the Technical Specifications  ABC: Php 61,310.00  NOTE: Please si</t>
  </si>
  <si>
    <t xml:space="preserve"> QUANTITY    UNIT         DESCRIPTION 20                pcs           Corr. G.I sheet (single rib 8 ft)color roof 6                  pcs           Flashing 16                pcs          C-Purlins (2"x3"x1 1/2") 5                 kgs            Welding rod</t>
  </si>
  <si>
    <t xml:space="preserve"> Republic of the Philippines Province of Leyte Municipality of Inopacan Barangay Cabulisan INVITATION TO BID FOR  THE SUPPLY OF MATERIALS FOR THE CONSTRUCTION OF EVACUATION CENTER 1.	The Barangay Cabulisan, Inopacan, Leyte, through the 20% Barangay Develop</t>
  </si>
  <si>
    <t xml:space="preserve"> Procurement of Office Furniture and Equipment for NC Kalawit Launching 2 units Office Table @ PhP7,000/unit = PhP 14,000.00    Material: Wooden    Drawer: 4 drawers (With Center Drawer)    Size: 1.2m (L1200mm x W600mm x H750mm) 2 units Office Chair  (Juni</t>
  </si>
  <si>
    <t xml:space="preserve"> REQUEST FOR PROPOSAL The Philippine Postal Corporation invites qualified Consultant to participate in the sealed quotation for the: Item No.	QTY	UNIT	ARTICLE	PhP	UNIT PRICE 1	6	months	Tax Consultancy Services	PhP	48,000.00 			for the months of July to Dec</t>
  </si>
  <si>
    <t xml:space="preserve"> Labor and materials</t>
  </si>
  <si>
    <t xml:space="preserve"> QTY	UNIT	ITEM DESCRIPTION					 14	units	ELECTRIC ULTRA LOW VOLUME (MISTING MACHINE)					 		Power : 1400 W					 		Fog Diameter : 5-50 Microns					 		Range : 8-10m					 		Capacity : 12L					 		Voltage : 220V					 		Portable / Knapsack					 		Disibfectant So</t>
  </si>
  <si>
    <t xml:space="preserve"> Fertilizers</t>
  </si>
  <si>
    <t xml:space="preserve"> Public Bidding</t>
  </si>
  <si>
    <t xml:space="preserve"> Medicines</t>
  </si>
  <si>
    <t xml:space="preserve"> Classification:  DRAINAGE Source of Fund: BDF 2019 Length of Box Culvert:         5.00 meters Width of Box Culvert:           1.90 meters Length of Stone Masonry:   20.00 meters</t>
  </si>
  <si>
    <t xml:space="preserve"> I. CONSTRUCTION OF CANAL LINING W/ CONCRETE COVER A. MATERIALS: 1,050 pcs CHB # 4 160 bags PORTLAND CEMENT 12 cu. m. WHITE SAND 7 cu.m. GRAVEL 117 pcs RSB 10mmØ x 6m 2 rolls G.I. TIE WIRE # 16 100 bd. ft. CUCULUMBER 7 pcs. ORDINARY PLYWOOD, 1/4" x 4' x 8'</t>
  </si>
  <si>
    <t xml:space="preserve"> A) REQUEST FOR QUOTATION 1. 1 License Therefore™ Workgroup Edition – additional 5 Named User pack 2. 1 License Therefore™ Capture Client license 3. 103 License Therefore™ software assurance - 1 CSS Point (Note: With Renewal of existing software assurance </t>
  </si>
  <si>
    <t xml:space="preserve"> PLEASE SEE ATTACHED FILE OF INVITATION TO BID</t>
  </si>
  <si>
    <t xml:space="preserve"> Republic of the Philippines Province of Compostela Valley Municipality of Monkayo -o0o- INVITATION TO BID FOR THE PROCUREMENT OF IT EQUIPMENT FOR VARIOUS OFFICES  The Municipality of Monkayo, through the GENERL FUND intends to apply the sum of SIXTY THOUS</t>
  </si>
  <si>
    <t xml:space="preserve"> Various Const. Materials comprises with:								Lot 1	 1	 Portland Cement							541	bags	260.00 	Terms  &amp; Condition:									 	* The materials shall be  for pick up from the supplier within  5  working									 	days from the  reciept of a written advice </t>
  </si>
  <si>
    <t xml:space="preserve"> Hiring of Consultancy Services for the Development of Revised Guidebook on Child Participation in the Philippines Bidders should submit their Intent/s on or before the end of posting period. Please refer to the Terms of Reference as attached for reference</t>
  </si>
  <si>
    <t xml:space="preserve"> 10M X10M</t>
  </si>
  <si>
    <t xml:space="preserve"> CONSTRUCTION OF CANAL LINING W/ CONCRETE COVER A. MATERIALS: 1,159 pcs CHB # 4 175 bags PORTLAND CEMENT 12 cu. m. WHITE SAND 8 cu.m. GRAVEL 130 pcs RSB 10mmØ x 6m 2 rolls G.I. TIE WIRE # 16 100 bd. ft. CUCULUMBER 7 pcs. ORDINARY PLYWOOD, 1/4" x 4' x 8' 6 </t>
  </si>
  <si>
    <t xml:space="preserve"> PURPOSE: FOR MAINTENANCE USE OF PLUMBING UNIT. (FOR THE MONTH OF JAN.-JUNE, 2020) Fax your Price Quotation at Tel. Fax#: 426-30-45 / 927-64-26 local 2561 or Email at bacveterans@gmail.com. Please indicate the brand name and complete specifications.</t>
  </si>
  <si>
    <t xml:space="preserve"> Republic of the Philippines DEPARTMENT OF PUBLIC WORKS AND HIGHWAYS NUEVA ECIJA 2ND DISTRICT ENGINEERING OFFICE REGIONAL OFFICE III San Isidro, Cabanatuan City INVITATION TO BID The   DPWH- Nueva Ecija 2nd District Engineering Office, through its Bids and</t>
  </si>
  <si>
    <t xml:space="preserve"> Aircon Repair/Cleaning</t>
  </si>
  <si>
    <t xml:space="preserve"> Republic of the Philippines Province of Southern Leyte MUNICIPALITY OF LIMASAWA -o0o- Bids and Awards Committee Invitation to Bid for the Construction of Bio-Organic Laboratory Building and Construction of Vermi Shed  Cabulihan, Limasawa Southern Leyte  1</t>
  </si>
  <si>
    <t xml:space="preserve"> IMPROVEMENT OF ALLIG FMR @ BANGSIL-COLUMNA SECTION IMPROVEMENT OF ALLIG FMR @ COLUMNA-ARTIZON SECTION IMPROVEMENT OF SAN JOSE FMR</t>
  </si>
  <si>
    <t xml:space="preserve"> Animal Zoological Supplies</t>
  </si>
  <si>
    <t xml:space="preserve"> Certified Rice Seeds</t>
  </si>
  <si>
    <t xml:space="preserve"> Number: 	Quantity: 	 Supply and delivery of Corn Seeds under the Procurement and Distribution of Corn Seeds Project			 	410	bag		OPV WHITE CORN SEEDS,  20 kgs/bag		1,500.00	615,000.00 										 							Minimum Specification:			 							a. Passed BPI-NSQCS </t>
  </si>
  <si>
    <t xml:space="preserve"> 16 sets    700 x 16 Tire with Flap and Tube  4  pcs.    700 x 16 Tire 4   sets      8.25 x 16 Tire with Flap and Tube</t>
  </si>
  <si>
    <t xml:space="preserve"> Republic of the Philippines DEPARTMENT OF PUBLIC WORKS AND HIGHWAYS CAMARINES SUR SECOND DISTRICT ENGINEERING OFFICE Regional Office V Baras, Canaman, Camarines Sur INVITATION TO BID FOR  20FE0137 – CONSTRUCTION OF CLASSROOMS, STA. CRUZ ES, SAN FERNANDO, </t>
  </si>
  <si>
    <t xml:space="preserve"> PARTICULAR                          NO. OF UNITS/ QUANTITY           UNIT COST         TOTAL COST Duplicator with black and white copier                   2 units                          158,000.00             316,000.00 Duolicator Ink CV Black          </t>
  </si>
  <si>
    <t xml:space="preserve"> Republic of the Philippines BIDS AND AWARDS COMMITTEE Municipality of Bulusan Reference Number: PG-20-07-013 July 3, 2020 REQUEST FOR QUOTATION The Local Government of Bulusan, through its Bids and Awards Committee (BAC), requests suppliers/manufacturers/</t>
  </si>
  <si>
    <t xml:space="preserve"> 52	CU.M.	AGGREGATE BASE COURSE 459	BAGS	PORTLAND CEMENT 51	CU.M.	GRAVEL 26	CU.M.	SAND 200	BD.FT.	2 X 6 FORM LUMBER</t>
  </si>
  <si>
    <t xml:space="preserve"> PLEASE SEE ATTACHED DOCUMENT</t>
  </si>
  <si>
    <t xml:space="preserve"> 3 UNIT DISINFECTION SPRAYER, KNAPSACK, 16-18KL, 3KG. 66 GAL DISINFECTION SOLUTION (HYDROGEN PEROXIDE CONCENTRATED) 12 PC CLOTH MASK, WASHABLE WITH MULTIPLE LAYER FABRIC 264 PC GLOVES, NATURAL LATEX, POWDER FREE, NON-STERILE 5 PC COVERALL, WASHABLE, POLYCO</t>
  </si>
  <si>
    <t xml:space="preserve"> Submission of RFQ = July 10, 2020, 9:00am at Municipal Hall, Casiguran, Sorsogon</t>
  </si>
  <si>
    <t xml:space="preserve"> REPUBLIC OF THE PHILIPPINES CITY OF MANILA OFFICE OF THE BARANGAY COUNCIL INVITATION TO BID SUBMISSION AND OPENING OF BID WILL BE ON JULY 10, 2020 AT 8 AM THE BARANGAY 90 ZONE 7 DISTRICT 1 MANILA THROUGH ITS BID AND AWARD COMMITTEE (BAC) INVITES ALL QUALI</t>
  </si>
  <si>
    <t xml:space="preserve"> Request for Quotation: RFQ-2007-610 1.  655 heads Meals and snacks</t>
  </si>
  <si>
    <t xml:space="preserve"> Procurement of 1 Lot, 1 Set Overhauling Gasket, etc.</t>
  </si>
  <si>
    <t xml:space="preserve"> Delivery and Supply of Construction Materials for the Proposed Barangay Day Care Renovation</t>
  </si>
  <si>
    <t xml:space="preserve"> Please see attached Invitation to Bid and Technical Specification</t>
  </si>
  <si>
    <t xml:space="preserve"> Republic of the Philippines MUNICIPALITY OF BUENAVISTA INVITATION TO BID FOR SUPPLY AND DELIVERY OF OFFICE SUPPLIES FOR MUNICIPAL MAYOR (HR), VICE-MAYOR, SB LEGISLATIVE, MUNICIPAL FIRE STATION AND LOCAL CIVIL REGISTRAR OFFICE    1.	The Local Government Un</t>
  </si>
  <si>
    <t xml:space="preserve"> Republic of the Philippines DEPARTMENT OF PUBLIC WORKS AND HIGHWAYS CAMARINES SUR SECOND DISTRICT ENGINEERING OFFICE Regional Office V Baras, Canaman, Camarines Sur INVITATION TO BID FOR  20FE0140 – CONSTRUCTION OF CLASSROOMS, CALAWAT ES, PAMPLONA, CAMARI</t>
  </si>
  <si>
    <t xml:space="preserve"> SNACKS</t>
  </si>
  <si>
    <t xml:space="preserve"> Republic of the Philippines Province of Davao de Oro Municipality of Monkayo -o0o- INVITATION TO BID FOR THE PROCUREMENT OF CATERING SERVICES  The Municipality of Monkayo, through the GENERL FUND intends to apply the sum of NINETY FIVE THOUSAND PESOS ONLY</t>
  </si>
  <si>
    <t xml:space="preserve"> B.9	Mobilization/Demobiliazation	lot	all	21,138.60 105(1)	Subgrade Preparation (Common Material)	292	sq.m.	5,402.00 201	Aggregate Base Coarse (100mmthk)	29	sq.m.	54,519.13 311(1)a	PVC Pavement Plain-Conventional Method, 200mm thk	292	sq.m.	417,440.28 SPL </t>
  </si>
  <si>
    <t xml:space="preserve"> DRUGS AND MEDICINE</t>
  </si>
  <si>
    <t xml:space="preserve"> Republic of the Philippines DEPARTMENT OF PUBLIC WORKS AND HIGHWAYS CAMARINES SUR SECOND DISTRICT ENGINEERING OFFICE Regional Office V Baras, Canaman, Camarines Sur INVITATION TO BID FOR  20FE0139 – CONSTRUCTION OF CLASSROOMS, BICAL ES, SAN FERNANDO, CAMA</t>
  </si>
  <si>
    <t xml:space="preserve"> City Government of La Carlota								          Standard Form Number: SF-GOOD-59 Revised on: May 24, 2004 Standard Form Title: REQUEST FOR QUOTATION 												Date: ______________												              Quotation No.________ Company Name Address 	Pleas</t>
  </si>
  <si>
    <t xml:space="preserve"> CHECKLIST ON COMPLIANCE WITH SAFETY AND HEALTH 20 REAMS PAGE 1 20 REAMS PAGE 2 10 REAMS HEALTH CHECKLIST A4 10 REAMS WAIR FORM 10 REAMS DESIGNATION ON SAFETY OFFICE A4 70 REAMS WORK SAFETY AND HEALTH PROGRAM (7 PAGES 10 REAMS PER PAGE)</t>
  </si>
  <si>
    <t xml:space="preserve"> The works includes: Excavation of footings for columns and walls, concreting of all footings, columns, beams, stairs, ground and second floor slabs, filling of CHB for walls and partitions at ground and second floor, metal works for roofing framing, truss</t>
  </si>
  <si>
    <t xml:space="preserve"> THE OFFICE OF THE CITY VICE MAYOR, SAN CARLOS CITY, PANGASINAN IS IN NEED OF 1 UNIT LAPTOP COMPUTER. SPECS: INTEL CORE i7-975H, 8GB DDR4 RAM 250GB SSD+250GB HDD, INTEL HD630+GTX 1650 GRAPHICS CARD BAG AND CHARGER WITH OS WINDOWS 10 HOME SL WITH MICRO SOFT</t>
  </si>
  <si>
    <t xml:space="preserve"> Republic of the Philippines DEPARTMENT OF PUBLIC WORKS AND HIGHWAYS CAMARINES SUR SECOND DISTRICT ENGINEERING OFFICE Regional Office V Baras, Canaman, Camarines Sur INVITATION TO BID FOR  20FE0141 – CONSTRUCTION OF CLASSROOMS, SAN RAMON ES, PAMPLONA, CAMA</t>
  </si>
  <si>
    <t xml:space="preserve"> Invitation to Bid No. 2020-02 Republic of the Philippines Batangas City Invitation to Bid for the Purchase of Generator for the use of Barangay San Miguel, Batangas City. The Barangay Government through the Office of the Brgy. Chairman intends to apply th</t>
  </si>
  <si>
    <t xml:space="preserve"> ITEM NO. 	ITEM DESCRIPTION					QTY.	UNIT	"ABC PER  ITEM" 								 1	2 in 1 Notebook/ Tablet					12	unit	27,000.00 	A 10.1 inch detachable 2-in-1 Notebook that perfectly 							 	combines laptop performance with table freedom. 							 	Feature-rich yet sma</t>
  </si>
  <si>
    <t xml:space="preserve"> Construction Materials								LOT 1	 1	Portland Cement							421	bags.	260.00 	Various Construction Materials								LOT 2	 2	Washed Sand							28	cu.m.	800.00 3	Gravel, Passing 2" Ø sieve							46	cu.m.	900.00 	Various Construction Materials								LOT 3</t>
  </si>
  <si>
    <t xml:space="preserve"> The DPWH-Ilocos Sur 1st District Engineering Office, through its Bids and Awards Committee (BAC), invites contractors to submit bids for the following Contract:   Contract ID: 20AC0104   Contract Name: Construction of Classrooms, Two (2) Storey, Four (4) </t>
  </si>
  <si>
    <t xml:space="preserve"> 2020 18TH PUBLIC BIDDING:  LABORATORY AND RESPIRATORY THERAPY SUPPLIES FOR 2020 2ND SEMESTER CONSUMPTION</t>
  </si>
  <si>
    <t xml:space="preserve"> Th repair and rehabilitation of Maramag Message Center is part of the overall thrust of the national government to establish the Digital Transformation Centers. Digital Transformation Centers are physical venues where ICT trainings can be accessed by prof</t>
  </si>
  <si>
    <t xml:space="preserve"> Republic of the Philippines DR. EMILIO B. ESPINOSA, SR. MEMORIAL STATE COLLEGE  OF AGRICULTURE AND TECHNOLOGY (Masbate State College) http:www.debesmscat.edu.ph Cabitan, Mandaon, Masbate Sir/Madam; The DEBESMSCAT invites suppliers to submit quotations or </t>
  </si>
  <si>
    <t xml:space="preserve"> Request for Quotation: RFQ-2007-615    Supply and delivery of various spare parts</t>
  </si>
  <si>
    <t xml:space="preserve"> Supply/Delivery of Construction Accessories</t>
  </si>
  <si>
    <t xml:space="preserve"> ITEM      UNIT      QTY     DESCRIPTION</t>
  </si>
  <si>
    <t xml:space="preserve"> To All Eligible Suppliers/Contractors: Please quote your lowest price inclusive of VAT on the items listed in the RFQ Form (please see and download attachment in the Associated Components), subject to the Terms and Conditions of this Request for Quotation</t>
  </si>
  <si>
    <t xml:space="preserve"> Republic of the Philippines			 			                         Department of Agriculture			 			               BUREAU OF FISHERIES AND AQUATIC RESOURCES			 			Fisheries Regional Office No. 10			 			Macabalan, Cagayan de Oro City			 			TIN – 000-550-823-017			 </t>
  </si>
  <si>
    <t xml:space="preserve"> Furniture and Fixtures</t>
  </si>
  <si>
    <t xml:space="preserve"> Republic of the Philippines Province of Pangasinan Municipality of Infanta Barangay Bayambang BIDS AND AWARDS COMMITTEE INVITATION TO BID FOR: PURCHASE OF ONE (1) UNIT MOTOR VEHICLE, BRGY. BAYAMBANG, INFANTA, PANGASINAN 1.	The Bayambang Barangay Council, </t>
  </si>
  <si>
    <t xml:space="preserve"> A) REQUEST FOR QUOTATION 1. 100 gallons Fabric Conditioner 4 liter/gallon, concentrate 2. 15 cases Disinfectant Spray 510 grms/can, 12 can/case 3. 10 cases Steelwool for floor polishing 200 grms/ream, 25 ream/case 4. 10 cases Furniture polish 330 ml, 24 c</t>
  </si>
  <si>
    <t xml:space="preserve"> REQUEST FOR QUOTATION The City Government of San Jose del Monte, through its Bids and Awards Committee (BAC) Invites Suppliers/Manufacturers/Distributors to Bid for hereunder procurement: RFQ No.	PR No.	PROJECT TITLE	Requesting Office	Approved Budget for </t>
  </si>
  <si>
    <t xml:space="preserve"> LOT 1										 1	Portland Cement							374	bags	260.00 										 	Terms &amp; Conditions:									 	● The materials shall be for pick up from the supplier within 10 working 									 	days from the receipt of a written advice by the project engineer.							</t>
  </si>
  <si>
    <t xml:space="preserve"> ELECTRIC SEWING MACHINE - 10PCS</t>
  </si>
  <si>
    <t xml:space="preserve"> 1. The Total Approved Budget for the Contract (ABC) is Three Hundred Sixty Five Thousand Two Hundred Twenty Pesos (Php 365,220.00). 2. Price quotation/s should be inclusive of tax obligations. 3. Evaluation of bids will be conducted either on a “per item”</t>
  </si>
  <si>
    <t xml:space="preserve"> QUANTITY UNIT DESCRIPTION 350 vial Depomedroxyprogesterone acetate 150mg/ml ethinyl estradiol+ 400 pad levonorgestrel 30mcg/150mcg 100 pc elastic bandage 2in 10 vial lidocaine 20mg/ml 50ml 100 pc 5cc syringe 1 roll gauze 10 pc plaster 1 gal povidone iodin</t>
  </si>
  <si>
    <t xml:space="preserve"> Republic of the Philippines Province of Cagayan Municipality of Sanchez Mira BIDS AND AWARDS COMMITTEE INVITATION TO BID REHAB/IMPROVEMENT OF BRIDGE AT KALINGKINGAN-MARZAN, SANCHEZ MIRA, CAGAYAN ITB-2020-13-INFRA 1.	The LGU-Sanchez Mira through its Munici</t>
  </si>
  <si>
    <t xml:space="preserve"> LOT 2									 1	Fine Aggregate (Sand)							200	cu.m.	1,100.00 2	Crushed Aggregate (Gravel)							100	cu.m.	1,200.00 3	Uncrushed Aggregate (Ord. Gravel)							200	cu.m.	1,000.00 	 Terms &amp; Conditions: Any of the materials shall be delivered by the supplie</t>
  </si>
  <si>
    <t xml:space="preserve"> INVITATION TO BID for the following Projects: Repair/Maintenance of Don Ruben Drainage along Dinagat-Loreto Road, Brgy. Don Ruben, San Jose, Dinagat Islands Repair/Maintenance of Navarro Bridge II Revetment along Dinagat-Loreto Road, Brgy. Navarro, Tubajo</t>
  </si>
  <si>
    <t xml:space="preserve"> 52	CU.M.	AGGREGATE BASE COURSE		 459	BAGS	PORTLAND CEMENT		 51	CU.M.	GRAVEL		 26	CU.M.	SAND		 200	BD.FT.	2 X 6 FORM LUMBER</t>
  </si>
  <si>
    <t xml:space="preserve"> Invitation to Bid The LGU of Hindang, Leyte through its Bids and Awards Committee (BAC) invites the PhilGEPS registered suppliers to apply to bid for the Supply and Delivery of various materials. Specifications: 1.	1	 unit 	Printed Tarpaulin (8ft. X 8ft.)</t>
  </si>
  <si>
    <t xml:space="preserve"> THE OFFICE OF THE CITY VETERINARIAN’S OFFICE SAN CARLOS CITY, PANGASINAN IS IN NEED OF 100 LITERS ALBENDAZOLE (DEWORMER) FOR LARGE ANIMALS</t>
  </si>
  <si>
    <t xml:space="preserve"> Plastic Chairs</t>
  </si>
  <si>
    <t xml:space="preserve"> PLEASE SEE ATTACHED FILE.</t>
  </si>
  <si>
    <t xml:space="preserve"> STRAIGHT CONTRACT: 1 lot Provision/Installation of Cubicles for Consultation of Suspected Covid-19 Patients PART A – GENERAL REQUIREMENTS A.1. 1 each Project Billboard/Signboard A.2.  1 lot Construction Safety and Health (Signage and Barricades) A.3.  1 l</t>
  </si>
  <si>
    <t xml:space="preserve"> Requirements: 1. Accomplished RFQ/Quotation Form 2. Philgeps Registration 3. Mayor's Permit 4. Omnibus Sworn Statement Submission of Priced quotation/s - on or before July 8, 2020 @ the HRM Office, 2nd Floor, Bontoc Municipal Capitol, Poblacion, Bontoc, M</t>
  </si>
  <si>
    <t xml:space="preserve"> ITEM DESCRIPTION Supply and Delivery  37 sacks of long grain, well-milled rice (50 kgs/sack) The sacks of rice will be delivered in NCIP V-CSPO, Camarines Sur</t>
  </si>
  <si>
    <t xml:space="preserve"> 300 pack of coffee 3x1 Assorted &amp; 2 others</t>
  </si>
  <si>
    <t xml:space="preserve"> A) REQUEST FOR QUOTATION 1. 10 units All-in-one Touchscreen Monitors •Processor: Intel Core i5-9400T (1.SGHz up to 3.4Ghz max turbo frequency 9MB cache 6 cores •Memory: SGB DDR4 2666 SODIM •Storage: 512GB SSD M.2 2280 NVmE TLC •Graphics: AMO R530 2GB GD5 </t>
  </si>
  <si>
    <t xml:space="preserve"> Page 1 of 7 REQUEST FOR QUOTATION (RFQ) PREVENTIVE MAINTENANCE, VALIDATION, AND DECONTAMINATION OF ONE (1) BIOLOGICAL SAFETY CABINET (S/N: 2017-T10148) UNDER EMB-ERLSD-ELSS-ECMU RFQ NO. EMB-SVP-ERLSD-ECMU BSC PM 2020-0625 1. The Department of Environment </t>
  </si>
  <si>
    <t xml:space="preserve"> One (1) Lot 1. PE Tubing SDR 11 #1/2" dia @ 300mtrs/roll per meter sequence numbering on pipes  = 21,000 mts 2. PE Tubing SDR 11 #3/4" dia @ 150mtrs/roll per meter sequence numbering on pipes  = 1,500 mts 3. PE Tubing SDR 11 #1" dia @ 100mtrs/roll per met</t>
  </si>
  <si>
    <t xml:space="preserve"> please see attached Invitation to Offer for Negotiated Procurement</t>
  </si>
  <si>
    <t xml:space="preserve"> Corazon Locsin Montelibano Memorial Regional Hospital, through its Bids and Awards Committee, intends to procure CSR SUPPLIES (PR#20-06-70609), which will be undertaken in accordance with Section 53.9 of the Revised Implementing Rules and Regulations of R</t>
  </si>
  <si>
    <t xml:space="preserve"> Procurement for the Repair and Maintenance Expense re: Upgrade and Replacement of NCs Laptops HDD 18 pcs. Solid State Drive (SSD) @ PhP 6,000/pc.= PhP 108,000.00 Capacity: 500GB 2.5" Internal SATA III 6GB/S 860 Solid State Drive Sequential Read Speed: Up </t>
  </si>
  <si>
    <t xml:space="preserve"> CONSTRUCTION OF WAITING AREA @ ATM BUILDING MUNICIPAL HALL COMPOUND, FLORA, APAYAO</t>
  </si>
  <si>
    <t xml:space="preserve"> Live Animals</t>
  </si>
  <si>
    <t xml:space="preserve"> Republic of the Philippines Province of Davao de Oro Municipality of Monkayo -o0o- INVITATION TO BID FOR THE PROCUREMENT OF CONSTRUCTION MATERIALS FOR REPAIR OF PUBLIC MARKET  The Municipality of Monkayo, through the GENERL FUND intends to apply the sum o</t>
  </si>
  <si>
    <t xml:space="preserve"> 1	Bondpaper, legal size, subs. 24 for laser printing, 80 gsm					104	reams	250.00 2	Bondpaper, A4 size, subs. 24 for laser printing, 80 gsm					104	reams	240.00 3	Bond paper, letter size, subs. 24 for laser printing,80 gsm					104	reams	230.00 4	Record Bo</t>
  </si>
  <si>
    <t xml:space="preserve"> A) REQUEST FOR QUOTATION  1. 1 Lot PALO ALTO 3020 RENEWAL (until December 31, 2020) •TP, Renewal, PA3020 •PANDB URL, Renewal, PA3020 •Pntr. Premium Support, Renewal, PA3020 •Wildfire subscription, PA-3020 •GlobalProtect subscription, PA-3020 •Support (unt</t>
  </si>
  <si>
    <t xml:space="preserve"> 6 PCS-11.00 X 20 MINING LUG</t>
  </si>
  <si>
    <t xml:space="preserve"> Republic of the Philippines DEPARTMENT OF PUBLIC WORKS AND HIGHWAYS CAMARINES SUR SECOND DISTRICT ENGINEERING OFFICE Regional Office V Baras, Canaman, Camarines Sur INVITATION TO BID FOR  20FE0142 – CONSTRUCTION OF CLASSROOMS, HUBO ES, PASACAO, CAMARINES </t>
  </si>
  <si>
    <t xml:space="preserve"> 1	Unleaded							1 								 	1. price qoutation Should be Made in Liters							 	2. Fuel Escalation Clause							 	 - if the price Goes up							 	Volume Goes down							 	 -if the Price Goes Down							 	Volume Goes up							 Project Name:		For Use In th</t>
  </si>
  <si>
    <t xml:space="preserve"> 130 PCS</t>
  </si>
  <si>
    <t xml:space="preserve"> 1. The Total Approved Budget for the Contract (ABC) is Nine Hundred Thirty Eight Thousand Three Hundred Ten Pesos (Php 938,310.00). 2. Price quotation/s should be inclusive of tax obligations. 3. Evaluation of bids will be conducted either on a “per item”</t>
  </si>
  <si>
    <t xml:space="preserve"> 24” x 24” SEC Brass Seal 3 Units Size: 24” x 24” Thickness: 1/6” Material: Brass Text/Logo: Engraved/Embossed Backing Material: ¾” wood Buildup Sidings: ¾” 18” x 18” SEC Brass Seal 26 Units Size: 18” x 18” Thickness: 1/6” Material: Brass Text/Logo: Engrav</t>
  </si>
  <si>
    <t xml:space="preserve"> Republic of the Philippines DEPARTMENT OF PUBLIC WORKS AND HIGHWAYS CAGAYAN 2ND DISTRICT ENGINEERING OFFICE Regional Office II Abulug, Cagayan July 2, 2020 INVITATION TO BID  The Cagayan 2nd District Engineering Office, Abulug, Cagayan, through its Bids a</t>
  </si>
  <si>
    <t xml:space="preserve"> Stock No.   Item Description       QTY.    UNIT 1.Water Pump       1        Assy. 2. Cutting Edge      1       Set. 3. End Bit              1        Set. 4. Plow Bolt 5/8" x 2 ½" NC    30     Pcs. 5. Battery 12V 21 Plates     2     Pcs. 6. Tires 17.5 x 25</t>
  </si>
  <si>
    <t xml:space="preserve"> Corazon Locsin Montelibano Memorial Regional Hospital, through its Bids and Awards Committee, intends to procure CSR SUPPLIES (PR#20-06-70616), which will be undertaken in accordance with Section 53.9 of the Revised Implementing Rules and Regulations of R</t>
  </si>
  <si>
    <t xml:space="preserve"> TANJAY WATER DISTRICT Water District Development Sector Project INVITATION FOR BIDS (Open Competitive Bidding – National) Date:	03July 2020 Loan No. and Title:	3389-PHI: Water District Development Sector Project Contract No. and Title:	WDDSP-TWD-OCB-CW03d</t>
  </si>
  <si>
    <t xml:space="preserve"> Request for Quotation: RFQ-2007-609  1. 85 pcs. Wreath</t>
  </si>
  <si>
    <t xml:space="preserve"> The Municipality of Gen. Mariano Alvarez, Cavite, through its Bids and Awards Committee (BAC), invites suppliers / manufacturers /distributors /contractors to apply for eligibility and to bid for the hereunder project:									 									 									 Name of</t>
  </si>
  <si>
    <t xml:space="preserve"> AIRCON SPECS:							1	unit	75,000.00 SPLIT type, Ceiling Mounted, 3 Tr.									 Cooling Capacity: 37,980 Kj/H Rated Current: 17.0 A									 Rated power: 3880 W, EER: 9.8 kj/hW									 indoor unit: Airflow (HI,MI,LO) 1804/1571/1384 m3/H									 unit Di</t>
  </si>
  <si>
    <t xml:space="preserve"> Air Condition Unit, Floor Mounted, 3 tons, Inverter Type and Installation</t>
  </si>
  <si>
    <t xml:space="preserve"> CONSTRUCTION OF YOUTH HOME CARE/REFORMATORY CENTER WITH COMPLETE ITEM OF WORKS</t>
  </si>
  <si>
    <t xml:space="preserve"> The supplies will be used for the class opening.</t>
  </si>
  <si>
    <t xml:space="preserve"> TITLE: PROCUREMENT OF OFFICE EQUIPMENT FOR INTEGRITY MONITORING AND ENFORCEMENT GROUP (IMEG)			 DEPARTMENT: OFFICE OF THE MAYOR			 			 ITEM NO.	QTY	UNIT	ITEM DESCRIPTION 1	4	units	Office Tables 2	1	unit	Computer Desktop w/ Printer 			CPU: corei3, corei5 	</t>
  </si>
  <si>
    <t xml:space="preserve"> IMPROVEMENT OF EXISTING DRUG REHABILITATION CENTER WITH COMPLETE ITEM OF WORKS</t>
  </si>
  <si>
    <t xml:space="preserve"> 1	Alcohol, 68%-72% ethanol(ethyl)							50	btls	95.00 2	Baby powder, 25grams							25	btls	25.00 3	Bleaching liquid, 1liter/btl							40	btls	45.20 4	Broom, soft(tambo)							10	pcs	185.00 5	Broom, stick(tingting)							15	pcs	38.80 6	Chlorine powder					</t>
  </si>
  <si>
    <t xml:space="preserve"> Corazon Locsin Montelibano Memorial Regional Hospital, through its Bids and Awards Committee, intends to procure BEEF (UNOD), which will be undertaken in accordance with Section 53.9 of the Revised Implementing Rules and Regulations of Republic Act No. 91</t>
  </si>
  <si>
    <t xml:space="preserve"> to Furnish labor and materials for the Printing and Binding  of						 "Booklet on R.A. 9262".						 						 Details:						 no. Of Pieces: 930						 Price/Booklet: 107.50						 no. Of Pages: 81						 Size:5.3 x 8.2", Folded						 Cover: book paper ( B/W)			</t>
  </si>
  <si>
    <t xml:space="preserve"> ITEM: 50 kgs 1/4" Rubber Gasket 							 22 pcs 100mmØ(4"Ø) Rubber Gasket O-Ring							 50 pcs 150mmØ(6"Ø) Rubber Gasket O-Ring							 10 pcs 200mmØ(8"Ø) Rubber Gasket O-Ring							 6 pcs 300mmØ(12"Ø) Rubber Gasket O-Ring							 4 pcs 400mmØ(16"Ø) Rubber G</t>
  </si>
  <si>
    <t xml:space="preserve"> Procurement of Construction Materials &amp; Supply 1. 14 pcs 1  1/2" dia X 6.0m.G.I. Pipe Sch.40 2. 27 pcs 1"  dia X 6.0m.G.I. Pipe Sch.40 3. 22 pcs 1" x 1" x 6m. X  3/16 Angle Bar 4. 1 box Welding Rod 5. 1 pc Cut-off Blade  14" 6. 2 pcs GrindingStone 7. 10 p</t>
  </si>
  <si>
    <t xml:space="preserve"> Technical Specifications Flatbed Specifications Type:	A4 sheet-fed , one-pass duplex scanner  Scanning Method:	Fixed carriage and moving document Optical Sensor	4-line colour CCD Light Source	White LED Optical Resolution	600 dpi x 600 dpi Output Resolutio</t>
  </si>
  <si>
    <t xml:space="preserve"> SECURITY PLANT COMPLEX       Department of General Services       Procurement Division 1ST RFQ EXTENSION 1.	The Bangko Sentral ng Pilipinas requests quotations for the hereunder requirement: Name of the Requirement/Brief Description	:  	Supply and Deliver</t>
  </si>
  <si>
    <t xml:space="preserve"> purchasing and delivery of the ff: 1 2 3 4</t>
  </si>
  <si>
    <t xml:space="preserve"> Republic of the Philippines Province of Palawan Municipality of Balabac BIDS AND AWARDS COMMITTEE INVITATION TO BID 1.The Municipal Government  of Balabac, through 20% MDF 2020 intends to apply the sum of  One Million Four Hundred Ninety Four Thousand Eig</t>
  </si>
  <si>
    <t xml:space="preserve"> Request for Quotation: RFQ-2007-617 1. 240 heads  Meals and Snacks ( 4 days)</t>
  </si>
  <si>
    <t xml:space="preserve"> Please see attached RFQ for more details. For more queries/concerns, please contact us through Mr. Wilbert Gondales: wilbert.gondales@deped.gov.ph For interested suppliers, please contact BAC.SDOBenguet@gmail.com or wilbert.gondales@deped.gov.ph for RFQ. </t>
  </si>
  <si>
    <t xml:space="preserve"> THE OFFICE OF THE CITY MAYOR, SAN CARLOS CITY PANGASINAN IS IN NEED OF THE FOLLOWING FOR USED AT PUBLIC ORDER &amp; SAFETY OFFICE: 50 PAIRS RUBBER BOOTS 68 PC RAINCOAT</t>
  </si>
  <si>
    <t xml:space="preserve"> A) REQUEST FOR QUOTATION 1. 40 ltrs Acri-color raw sienna 2. 12 ltrs Acri-color toluidine red 3. 60 pails Semi-gloss latex, white, odorless 4. 12 gals QDE chocolate brown 5. 4 gals Paint thinner 6. 8 bags Skimcoat, 20 kg 7. 90 meters Floor Sander #100 8. </t>
  </si>
  <si>
    <t xml:space="preserve"> ARTICLE AND DESCRIPTION											 															 ITEM	QTY.	UNIT						CEILING 					UNIT PRICE		TOTAL  								PRICE							 															 				Office: City Personnel Office  				PR No. 827							 				Charge to:  Printing &amp; Publication Expenses				OBR No.</t>
  </si>
  <si>
    <t xml:space="preserve"> SCOPE  of WORKS - L300 (SJT-190)                                                                                     Parts:  1     set      Upper Shaft kit   2      pc.     Lower Suspension Bushing                   Caster Bushing 2 big                   </t>
  </si>
  <si>
    <t xml:space="preserve"> Please see attached Invitation to Bid and Technical Specifications</t>
  </si>
  <si>
    <t xml:space="preserve"> Other Supplies</t>
  </si>
  <si>
    <t xml:space="preserve"> Titling and Surveying of Lot  1,714.29 Square meter</t>
  </si>
  <si>
    <t xml:space="preserve"> 1	BP Apparatus							15	pcs	2,500.00 2	Elastic Bandage 3"							20	rolls	40.00 3	Elastic bandage 4"							20	rolls	40.00 4	Elastic Bandage 6"							20	rolls	40.00 5	Foley bag Catheter, Fr. 14							100	pcs	90.00 6	Foley bag Catheter, Fr. 16							100	pcs	</t>
  </si>
  <si>
    <t xml:space="preserve"> Department of Public Works and Highways									 DEPARTMENT OF PUBLIC WORKS AND HIGHWAYS									 BATANGAS II 									 DISTRICT ENGINEERING OFFICE									 REGIONAL OFFICE IV A									 "Kumintang Ilaya, Batangas City "									 									 NOTICE NO. 2020</t>
  </si>
  <si>
    <t xml:space="preserve"> 1	Insect Spray, 600 ml, Scented, water based							108	bot	450.00 2	trash can							5	pcs	285.00 3	Alcohol 500ml							16	bot	110.00 4	car air Re-Fresher							25	can	235.00 5	Air Freshener 320ml							25	can	220.00 6	Diswashing Liquid (250ml/bot)							1</t>
  </si>
  <si>
    <t xml:space="preserve"> 3000 sets - Health &amp; Hygiene Kit                 -2 Surgical Mask                 -60 ml Alcohol Spray                 -100 ml Hand Sanitizer                 -100 ml Hand Soap w/ Antibac                  (with FDA &amp; DOH Approval) 5 packs - Surgical Dispos</t>
  </si>
  <si>
    <t xml:space="preserve"> Alcohol 70%, Tissue Paper and White Flower</t>
  </si>
  <si>
    <t xml:space="preserve"> Republic of the Philippines Province of Palawan Municipality of Balabac BIDS AND AWARDS COMMITTEE INVITATION TO BID 1.The Municipal Government  of Balabac, through 20% MDF 2020 intends to apply the sum of Four Hundred Forty Seven Thousand Six Hundred Fort</t>
  </si>
  <si>
    <t xml:space="preserve"> REQUEST FOR QUOTATION The Philippine Statistics Authority (PSA) through its Bids and Awards Committee (BAC) will apply Small Value Procurement as mode of procurement for the Repair and Maintenance of Mitsubishi Adventure Vehicle- Replacement of Air Condit</t>
  </si>
  <si>
    <t xml:space="preserve"> INVITATION TO BID FOR THE SUPPLY AND DELIVERY OF FARM MACHINERIES AND EQUIPMENT (FMEs) FOR THE PROJET BENEFICIARY ARBO OF NCOT UNDER CLIMATE RESILIENT FARM PRODUCTIVITY SUPPORT PROJECTS Bid Reference Number:  002-2020 Approved Budget for the Contract: P2,</t>
  </si>
  <si>
    <t xml:space="preserve"> Procurement of 1 Lot Vehicle Parts, etc.</t>
  </si>
  <si>
    <t xml:space="preserve"> Section I Republic of the Philippines Province of Sarangani Municipality of Maitum OFFICE OF BIDS AND AWARDS COMMITTEE Invitation to Bid for Vehicle Parts and Ac cessories for Repair and Maintenance of Light Vehicle The Local Government of Maitum, through</t>
  </si>
  <si>
    <t xml:space="preserve"> Lot 1 - Const. Materials									 1	Portland Cement 							590	bags	260.00 	 Terms &amp; Conditions :									 	*The materials  shall be  for pick up from the supplier 									 	within  5 working days from the receipt  of  a written advice 									 	by the </t>
  </si>
  <si>
    <t xml:space="preserve"> Gasoline, Oil &amp; Lubricants</t>
  </si>
  <si>
    <t xml:space="preserve"> Republic of the Philippines					 DEPARTMENT OF ENVIRONMENT AND NATURAL RESOURCES					 PROVINCIAL ENVIRONMENT AND NATURAL RESOURCES OFFICE					  Bliss Site, Kalibo, Aklan					 Tel. No. 268-4102					 					 REQUEST FOR QUOTATION					 					 					 					 Compan</t>
  </si>
  <si>
    <t xml:space="preserve"> Republic of the Philippines Province of Palawan Municipality of Balabac BIDS AND AWARDS COMMITTEE INVITATION TO BID 1.The Municipal Government  of Balabac, through 20% MDF 2020 intends to apply the sum of Three Hundred Ninety Eight Thousand Seven Hundred </t>
  </si>
  <si>
    <t xml:space="preserve"> Repair &amp; Maint. of MAO Office Equipment</t>
  </si>
  <si>
    <t xml:space="preserve"> ITEM DESCRIPTIONS: PROVISION OF FOODS/SNACKS July 14, 2020 AM Snack, Lunch, and PM Snack for 50 pax July 15, 2020 AM Snacks, Lunch and PM Snack for 50 pax July 23, 2020 AM Snacks, Lunch and PM Snacks for 50 pax July 24, 2020 AM Snacks, Lunch and PM Snacks</t>
  </si>
  <si>
    <t xml:space="preserve"> PROJECT: CONCRETING OF BARANGAY ROAD LOCATION: BARANGAY SAN NICOLAS POBLACION, CONCEPCION, TARLAC APPROVED BUDGET FOR THE CONTRACT: PHP 225,610.00 SOURCE OF FUND: 20% BDF The contract to be performed by the successful bidder shall be specified in the Tech</t>
  </si>
  <si>
    <t xml:space="preserve"> 1	Trophies -Small							115	pcs	350.00 2	Trophies - Medium							111	pcs	450.00 3	Trophies - large							110	pcs	590.00 4	Plastic Chairs With Back Support w/o arm							181	pcs	499.00 5	Medals							101	pcs	45.00 										 Project Name:		for use in the O</t>
  </si>
  <si>
    <t xml:space="preserve"> 36	BAGS 	PORTLAND CEMENT		 4	CU.M.	GRAVEL		 2	CU.M.	SAND		 48	PCS.	        10mmΦ X 6.0m DSB		 1	KG	        G.I. TIE WIRE 		 1	PC. 	        2"Φ X 6.0m G.I. PIPE S-40		 2	PCS.	        1 1/4"Φ X 6.0m G.I. PIPE S-40		 2	KGS	        WELDING ROD		 2	LITERS	PAIN</t>
  </si>
  <si>
    <t xml:space="preserve"> fittings for new connection and repairs</t>
  </si>
  <si>
    <t xml:space="preserve"> (Please also see attached.) INVITATION TO BID Supply, Delivery and Testing of Rice Reapers (PHilMech-RCEF-20-06-06) 1. The Philippine Center for Postharvest Development and Mechanization (PHilMech) through its FY 2019 &amp; FY 2020 Rice Competitive Enhancemen</t>
  </si>
  <si>
    <t xml:space="preserve"> Items and Description Procurement of  LABORATORY  Supplies (RE-AGENT )RE : African Swine Fever  Disease Control and  Prevention in Region XI. 1. Optical Plate 10plate/Pack 2. Optical Film 25 covers/pack 3. 10 μL Filtered tips, 10 racks,  96tips/rack 4. 20</t>
  </si>
  <si>
    <t xml:space="preserve"> to purchase office equipment and accessories</t>
  </si>
  <si>
    <t xml:space="preserve"> REQUEST FOR QUOTATION RFQ No. 2020-0280 The CITY GOVERNMENT OF CABANATUAN through its Bid and Awards Committee (BAC), will undertake Small Value Procurement for the SUPPLY AND DELIVERY OF OFFICE FURNITURE AND TENT in accordance with Section 53.9 of the Re</t>
  </si>
  <si>
    <t xml:space="preserve"> 27853-001	TABLE  PLASTIC  RECTANGULAR	210	PIECE	2,301.00	483,210.00 SPECIFICATIONS: 1. Rectangular monoblocks plastic table 2. Can be dismantled 3. Dimension is 30 inches x 48 inches with 30inch height 4. Granite beige in color 5. Materials shall be made </t>
  </si>
  <si>
    <t xml:space="preserve"> kindly see attached file for your reference.</t>
  </si>
  <si>
    <t xml:space="preserve"> 13 UNIT/S LAZY BOY Specifications: Full air bed leather soft upholstery. Ultra air gel leather soft padded arm rest All metal reliever mechanism Dimension: W82xD92x95cm Back rest is adjustable NOTE: ALL NEW SUPPLIER ARE REQUIRED TO SUBMIT THE FOLLOWING DO</t>
  </si>
  <si>
    <t xml:space="preserve"> INVITATION FOR PRICE QUOTATION Date:  03 July 2020 For The Repair And Repainting Of Slope Protection At Both Ends Of Runway Of Naga Airport The Civil Aviation Authority of the Philippines (CAAP), Area Center V, Legazpi Airport intends to  apply  the  esti</t>
  </si>
  <si>
    <t xml:space="preserve"> Improvement of Office Building (Motorpool) Corr G.I Sheets #12 10 pcs Tubular 2x6 24 pcs C-Purlins 2x4 7 pcs Gypsum Board 8 pcs Metal Furring 8 Pcs Carrying Channel 6 pcs Wall Angle 7 pcs Tecksrew 500 pcs Blind Rivets 3 Box Fixed Glass 20 Sq.ft  Paint Bru</t>
  </si>
  <si>
    <t xml:space="preserve"> (Please also see attached.) INVITATION TO BID Supply, Delivery and Testing of Mechanical Rice Transplanters (PHilMech-RCEF-20-06-05) 1. The Philippine Center for Postharvest Development and Mechanization (PHilMech) through its FY 2019 &amp; FY 2020 Rice Compe</t>
  </si>
  <si>
    <t xml:space="preserve"> 50 CV (cases) - Jumbo tissue, 2-ply, 200m (12 roll/case), 90mm min. diameter                    nothing follows</t>
  </si>
  <si>
    <t xml:space="preserve"> ITEM 1	2” x 2” x 12’ Coco Lumber (40 pcs)	170	bd.ft 2	2” x 3” x 12’ Coco Lumber (15 pcs)	90	Bd.ft 3	¼” thk. Ordinary Plywood	20	sheet 4	4” thk. CHB	400	Pcs 5	2” dia. Stainless Steel Pipe	25	length 6	Cement	196	bags 7	Ceramic Toilet Paper Holder	1	pc 8	C.W</t>
  </si>
  <si>
    <t xml:space="preserve"> 1	Toner Cartridge, HP CF 283A							30	pcs	2,700.00 2	Toner Cartridge, RTC 2380							18	pcs	2,700.00 	With Additional Requirements:									 	*Free Service unit printer ( Should be automatically Replaced if Destroyed)									 	*Free Service Maintenance	</t>
  </si>
  <si>
    <t xml:space="preserve"> Republic of the Philippines PROVINCE OF NUEVA VIZCAYA Municipality of Aritao BARANGAY COMON BIDS AND AWARDS COMMITTEE ITB-DAY CARE CENTER II-20-07-001 INVITATION TO BID FOR CONSTRUCTION OF DAY CARE CENTER II (COMPLETION) At Purok Gasajas, Comon,  Aritao, </t>
  </si>
  <si>
    <t xml:space="preserve"> Date: July 2, 2020  Quotation No.: 2020-053 REQUEST FOR QUOTATION The Municipal Government of Victoria, through the Bids and Awards Committee, will undertake Small Value Procurement for the “Provision of materials for handwashing area for DepEd Elementary</t>
  </si>
  <si>
    <t xml:space="preserve"> Photocopy of Various Documents</t>
  </si>
  <si>
    <t xml:space="preserve"> INVITATION TO APPLY FOR ELIGIBILITY AND TO BID The Municipal Government of Piñan, Zamboanga del Norte through its Bids and Awards Committee (BAC), invites legitimate suppliers/dealers  to apply for eligibility and if found eligible, to bid for the hereund</t>
  </si>
  <si>
    <t xml:space="preserve"> INVITATION TO BID SUPPLY, DELIVERY AND INSTALLATION OF MATERIALS FOR MODULAR WORKSTATION INCLUDING ELECTRICAL WORKS AND FURNITURE FOR THE RENOVATION OF THE FINANCIAL MANAGEMENT DEPARTMENT OFFICE ITB NO. BS-002-2020 1.	The National Irrigation Administratio</t>
  </si>
  <si>
    <t xml:space="preserve"> Republic of the Philippines CITY OF PANABO Province of Davao del Norte BIDS AND AWARDS COMMITTEE -o0o- REQUEST FOR QUOTATION 1.	 The City of Panabo, through CAGRO – AGRICULTURAL INDUCE FOR DIST. /CALAMITY FUND 2018 intends to apply the sum of Three Hundre</t>
  </si>
  <si>
    <t xml:space="preserve"> Republic of the Philippines DEPARTMENT OF PUBLIC WORKS AND HIGHWAYS CAMARINES SUR 2ND DISTRICT ENGINEERING OFFICE Regional Office V Baras, Canaman, Camarines Sur INVITATION TO BID FOR  20FE0143 – CONSTRUCTION OF CLASSROOMS, PAMUKID NATIONAL HIGH SCHOOL, S</t>
  </si>
  <si>
    <t xml:space="preserve"> REQUEST FOR EXPRESSION OF INTEREST FOR 1.	Contract Id No.:	:	20CSCG001 	Contract Name:	:	Conduct of Parcellary Survey for the Proposed Bypass Roads on Various Municipalities of the 3rd and 4th Legislative Districts of Pampanga  	Contract Location:	:	Apali</t>
  </si>
  <si>
    <t xml:space="preserve"> Invitation to Bid for the Construction/Rehab of Barangay Water System The Municipality of San Francisco, Surigao del Norte, through the 20% Development Fund of CY 2020 intends to apply the sum of Two Million Five Hundred Thousand Pesos (P 2,500,000.00) be</t>
  </si>
  <si>
    <t xml:space="preserve"> BARANGAY GOVERNMENT UNIT OF CABADIANGAN Revised on: July 29, 2005 INVITATION TO APPLY FOR ELIGIBILITY AND TO BID The Barangay Government Unit of Cabadiangan, Kadingilan, Bukidnon, through the Bids and Award Committee (BAC), invites suppliers/manufactures/</t>
  </si>
  <si>
    <t xml:space="preserve"> Project: REPAIR MAINTENANCE OF MUNICIPAL VEHICLE  Location: Laurel, Batangas ABC: PHP 115,000.00 Description: Turbo Replacement (set) including Labor/Installation</t>
  </si>
  <si>
    <t xml:space="preserve"> Republic of the Philippines Province of Leyte Municipality of Hilongos Barangay IMELDA REQUEST FOR QUOTATION  JULY 3, 2020          Date               ______________________ _______________________ _______________________ _________________________________</t>
  </si>
  <si>
    <t xml:space="preserve"> 1. DELIVERY IS SEVEN DAYS UPON RECEIVE OF P.O.</t>
  </si>
  <si>
    <t xml:space="preserve"> OFFICE OF THE BIDS AND AWARDS COMMITTEE INVITATION TO BID NO. 106-20 Name of Project: Procurement of Stone Tile Roofing used for Repair/ Improvement of Tourism Hub / Waiting Area @ Brgy. Navarro, Socorro, SDN Source of Funds: 20% Development Fund The Muni</t>
  </si>
  <si>
    <t xml:space="preserve"> lot 1 - Const. Materials									 1	Portland Cement 							1,032	bags	260.00 	 Terms &amp; Conditions :									 	*The materials  shall be  for pick up from the supplier 									 	within  5 working days from the receipt  of  a written advice 									 	by th</t>
  </si>
  <si>
    <t xml:space="preserve"> Hydraulic Extrication Equipment (Brand new), 1 set (1) High Pressure Power Unit	 Motor: 4 stroke at least not lower than 3.1HP, petrol Pump: 3 stage radial piston		 Running Time: Ca. 180 min.		 (1) Spreader			 Max. spreading opening : 607mm	 Max. pulling </t>
  </si>
  <si>
    <t xml:space="preserve"> 1	Trophies  - Small							151	pcs	360.00 2	Trophies - medium							80	pcs	450.00 3	Trophies -large							90	pcs	590.00 4	Plastic Chairs With back Support w/o Arm							43	pcs	500.00 5	Medals							37	pcs	40.00 Project Name:		for use  in the Office Of the </t>
  </si>
  <si>
    <t xml:space="preserve"> Republic of the Philippines BIDS AND AWARDS COMMITTEE Province of Iloilo Invitation to Bid Purchase of Medical Equipment Bid No. FRT-20-0732-B 1. The Iloilo Provincial Government, through the Supplemental Budget #2 2017, intends to apply the sum of EIGHT </t>
  </si>
  <si>
    <t xml:space="preserve"> Republic of the Philippines Province of Davao de Oro Municipality of Monkayo -o0o- INVITATION TO BID FOR THE PROCUREMENT OF LABOR &amp; MATERIALS FOR THE PROJECT OF RETROFITTING OF MDRRMC BUILDING (PHASE 1), POBLACION, MONKAYO, DAVAO DE ORO The Municipality o</t>
  </si>
  <si>
    <t xml:space="preserve"> Republic of the Philippines Province of Antique Municipality of Valderrama OFFICE OF THE BIDS AND AWARDS COMMITTEE  		 INVITATION TO BID The Local Government Unit of Valderrama, Antique through its Bids and Awards Committee (BAC), invites suppliers to app</t>
  </si>
  <si>
    <t xml:space="preserve"> Please see the attached Documents.</t>
  </si>
  <si>
    <t xml:space="preserve"> QTY   UNIT    DESCRIPTION 50     PCS      LED LIGHTS BULB 18WATTS 10     PCS      RUBBER SOCKET 3       PCS      ELECTRICAL TAPE</t>
  </si>
  <si>
    <t xml:space="preserve"> City Treasurer's Office P.R. No. : 2020-06-2672 Date: 06/23/2020 15,000.00 Thermal printer Interface: USB/ETHERNET Print Speed: 150-250 mm/s Dot Density: &gt;200 dpi Cutter: Auto Cutter Roll Paper Width: 58mm-80mm 1 unit 1 60,000.00 Printer Print Method: Imp</t>
  </si>
  <si>
    <t xml:space="preserve"> Construction of Gazeebo Roof Shingles 6 Bundle Tubular 2x6 16 pcs Tubular 2x4 8 pcs Deco Stone 30 Sq.M 12mm Deformed Bars 45 pcs 10mm Deformed Bars 20 pcs Plywood 5 pcs Cement 20 Bags Sand 3 CU.M Gravel 4 CU.M Forms 1 Lot Common Wire Nail 5 Kgs</t>
  </si>
  <si>
    <t xml:space="preserve"> Infrared Thermometer,Facial Shield, Automatic Electronic Blood Pressure Monitor,Rugs, Liquid Hand Soaps, Clean Disposable Gloves, Chlorine, Disposable Face Mask, Alcohol (70%)</t>
  </si>
  <si>
    <t xml:space="preserve"> 1. The Total Approved Budget for the Contract (ABC) is Seventy Thousand Pesos (Php 70,000.00). 2. Price quotation/s should be inclusive of tax obligations. 3. Evaluation of bids will be conducted either on a “per item” or “lot” basis. 4. Delivery/completi</t>
  </si>
  <si>
    <t xml:space="preserve"> 1	bondpaper long subs 20							10	ream	260.00 2	bond paper short 							10	ream	230.00 3	carbon paper legal size 							1	box	700.00 4	continuous paper 1 ply short							1	box	800.00 5	continuous paper 2 ply short							2	box	850.00 6	computer ink black c</t>
  </si>
  <si>
    <t xml:space="preserve"> Corazon Locsin Montelibano Memorial Regional Hospital, through its Bids and Awards Committee, intends to procure PORK (BONELESS, LESS FAT), which will be undertaken in accordance with Section 53.9 of the Revised Implementing Rules and Regulations of Repub</t>
  </si>
  <si>
    <t xml:space="preserve"> 30 sheets. Corr. G.I Sheets 3'x10' GA.22 4 quarts. Vulcaseal</t>
  </si>
  <si>
    <t xml:space="preserve"> Republic of the Philippines Province of Compostela Valley Municipality of Monkayo -o0o- INVITATION TO BID FOR THE PROCUREMENT OF FOOD SUPPLIES FOR NUTRITION PROGRAM (2nd Sem.)  The Municipality of Monkayo, through the GENERL FUND intends to apply the sum </t>
  </si>
  <si>
    <t xml:space="preserve"> PROCESSING Video Processing        4:2:2(Y/Pb/Pr), 8bits(internal Processing: 480/59.94p when set to NTSC, 576/50p when set to PAL) Audio Processing Sampling Rate: 24 bits/48kHz, 2ch INPUT FORMATS HDMI Video (INPUT 1 - 3) requires 720x480/59.94(when set t</t>
  </si>
  <si>
    <t xml:space="preserve"> INVITATION TO BID IB No. BAC II 2020 – 007 PROCUREMENT OF 2020 QUADRIVALENT INFLUENZA VACCINE (INACTIVATED TYPES A AND B, SUBVIRION) 2020 SOUTHERN HEMISPHERE STRAINS, in INDIVIDUAL SYRINGES 1.	The Baguio General Hospital &amp; Medical Center (BGHMC) through t</t>
  </si>
  <si>
    <t xml:space="preserve"> See attached</t>
  </si>
  <si>
    <t xml:space="preserve"> 1	Automotive Diesel Fuel							1	Lot	23,649.81 2	Unleaded Gasoline							1	Lot	26,600.00 										 	NOTE: Terms and Conditions									 	1. The supplier start to serve within 3 days upon receipt of the advice by									 	 the project engineer until the </t>
  </si>
  <si>
    <t xml:space="preserve"> Republic of the Philippines DEPARTMENT OF PUBLIC WORKS AND HIGHWAYS CAMARINES SUR SECOND DISTRICT ENGINEERING OFFICE Regional Office V Baras, Canaman, Camarines Sur INVITATION TO BID FOR  20FE0138 – CONSTRUCTION OF CLASSROOMS, ALIANZA ES, SAN FERNANDO, CA</t>
  </si>
  <si>
    <t xml:space="preserve"> Procurement of Desktop, Laptop, Fire Extinguisher, Multi Function Printer, Dome Type Camera, Patch Panel, Floor Mounted Air Conditioning Unit, Computer Cubicles &amp; Chairs, Switch Hub, WiFi Router, Smart LED TV, Welding Machine, Cultivator &amp; Shredder for th</t>
  </si>
  <si>
    <t xml:space="preserve"> 500	Piece	Straight Catheter Fr.16, ABC 40.00/pc 250	Box	Disposable Syringe 20cc w/active retractable needle G.21, ABC 500.00/box 150	Box	Disposable Syringe 50cc w/active retractable needle G.21, ABC 1,000.00/box RFQ#06-0699R</t>
  </si>
  <si>
    <t xml:space="preserve"> OKRA 1KG. 5 PACK POLE SITAO 1 KG. 4 PACK EGGPLANT 50 GRAMS 10 CAN SQUASH 250 GRAMS 2 CAN AMPALAYA 100 FRAMS 5 CAN TOMATO 25 GRAMS 4 CAN SWEET PEPPER 25 GRAMS 4 CAN CUCUMBER 250 GRAMS  4 CAN PATOLA 250 GRAMS 4 CAN UPO 50 GRAMS 4 CAN BAGUIO BEANS 2 CAN</t>
  </si>
  <si>
    <t xml:space="preserve"> INVITATION TO BID The __DEPARTMENT OF PUBLIC WORKS AND HIGHWAYS - DISTRICT ENGINEER’S OFFICE ZAMBOANGA CITY__, through its Bids and Awards Committee (BAC), invites contractors to submit bids for the following Contract: Contract ID: 20JA0087 Contract Name:</t>
  </si>
  <si>
    <t xml:space="preserve"> ISO CONSULTANCY SERVICES FOR QMS 9001:2015 RE-CERTIFICATION AUDIT (Please see attached Job Description and Responsibilities and Qualification)</t>
  </si>
  <si>
    <t xml:space="preserve"> Republic of the Philippines PROVINCE OF NUEVA VIZCAYA Municipality of Alfonso Castañeda  BIDS &amp; AWARDS COMMITTEE FOR GOODS &amp; SERVICES REQUEST FOR QUOTATION RFQ Number: 2020-07-04 The Local Government of Alfonso Castañeda through its Bids and Awards Comm</t>
  </si>
  <si>
    <t xml:space="preserve"> Fan Belt</t>
  </si>
  <si>
    <t xml:space="preserve"> Please find the attached documents</t>
  </si>
  <si>
    <t xml:space="preserve"> 1500	pcs.	Egg 60	pcs.	Egg Tray 720	kls	Hot dog 1kg 13	packs	Ham 250g 37	packs	Cooked Ham 250g 720	pcs.	Corned Beef 150g  48's 720	pcs.	Beef loaf 150g 48's 1000	pcs.	Sardines 155g 100's 720	pcs.	Instant Noodles 72's 384	pcs.	Canned Tuna 48's  110g. 96	pcs.</t>
  </si>
  <si>
    <t xml:space="preserve"> Republic of the Philippines PROVINCE OF NUEVA VIZCAYA Municipality of Aritao BARANGAY COMON BIDS AND AWARDS COMMITTEE ITB-INNER ROAD-20-07-002 INVITATION TO BID FOR CONSTRUCTION OF BARANGAY INNER ROAD At Barangay, Comon,  Aritao, Nueva Vizcaya The Baranga</t>
  </si>
  <si>
    <t xml:space="preserve"> UVC Medical Trolley 2 arm 1.30W/OF Ultraviolet Germicidal Lamp; each  arm has 2 lamps, the 30Wx4 has 2 arms, the  30Wx2 has 1 arm 2.Adjustable arms from 30-180 degree angle 3.Carbon steel body 4. Lamp box 5.Infrared sensor (point towards room 6.Control Pa</t>
  </si>
  <si>
    <t xml:space="preserve"> 2 SET/S ORAL SURGICAL AEROSOL SUCTION SYSTEM C-AS, (HVAC) Specification: Voltage/Frequency: 220V, 50/60 Hz Output Power: 500W Hose Length: 1.75m Suction: 6000Pa UV Intensity: 250-270nm Filter Level: H13 Product Size: 12.8Kg 28x28x50cm Package Size: 16Kg 4</t>
  </si>
  <si>
    <t xml:space="preserve"> Invitation to Bid For One (1) Lot Supply, Delivery and Installation of Office Furniture at LANBBANK Buendia Branch 1.	The LAND BANK OF THE PHILIPPINES (LANDBANK), through its Corporate Budget for the contract approved by the Board of Directors for 2019 in</t>
  </si>
  <si>
    <t xml:space="preserve"> INVITATION TO BID The Department of Public Works and Highways - Pampanga 1st District Engineering Office, through its Bids and Awards Committee (BAC), invites interested accredited/registered Suppliers/Bidders with the Government Electronic Procurement Sy</t>
  </si>
  <si>
    <t xml:space="preserve"> REQUEST FOR QUOTATION (RFQ) Supply and Delivery of various Computer Peripherals The Commission on Filipinos Overseas invites PhilGEPS registered supplier to apply for the eligibility and to quote the lowest price for the Supply and Delivery of various Com</t>
  </si>
  <si>
    <t xml:space="preserve"> Supply and Delivery of Lidocaine 10%, 50 mL Spray ( as hydrochloride) QTY 65  UNIT BOTTLE  Lidocaine 10%, 50 mL Spray ( as hydrochloride) ABC: 2300 -----------------------------------------------------------------------------------------------------------</t>
  </si>
  <si>
    <t xml:space="preserve"> Republic of the Philippines PROVINCE OF ZAMBOANGA DEL NORTE BIDS AND AWARDS COMMITTEE (BAC) BAC Conference Room, 2nd  Floor ZNCEC, Dipolog City Tel. # (065) 212-6492 Telefax # (065) 212-6492 	                                                               </t>
  </si>
  <si>
    <t xml:space="preserve"> Purchase of Medical/Dental Supplies</t>
  </si>
  <si>
    <t xml:space="preserve"> INVITATION FOR PRICE QUOTATION Date:  03 July 2020 For The Resealing Of Seismic Joints And Cracks On The Apron Of Naga Airport The Civil Aviation Authority of the Philippines (CAAP), Area Center V, Legazpi Airport intends to  apply  the  estimated  amount</t>
  </si>
  <si>
    <t xml:space="preserve"> For replacement of the defective unit being used by Mr. Nelson Magallanes</t>
  </si>
  <si>
    <t xml:space="preserve"> QUANTITY UNIT DESCRIPTION 2 unit Laptop-Specification:15" screen, 8GB RAM, Quad core CPU 2GB MX130 VIDEO CARD 1TB HDD 1 unit computer printer-Print, Scan, copy with ADF compact integrated  tank design,print speed up to 15ipm for                           </t>
  </si>
  <si>
    <t xml:space="preserve"> Please see attached Request for Quotation. ----------------------PGO--------------------</t>
  </si>
  <si>
    <t xml:space="preserve"> Procurement of 45 pcs. Vest Uniform with Cap</t>
  </si>
  <si>
    <t xml:space="preserve"> Republic of the Philippines Province of Palawan Municipality of Balabac BIDS AND AWARDS COMMITTEE INVITATION TO BID 1.The Municipal Government  of Balabac, through 20% MDF 2020 intends to apply the sum of Three Hundred Thirty Five Thousand Six Hundred Sev</t>
  </si>
  <si>
    <t xml:space="preserve"> REQUEST FOR QUOTATION SUPPLY AND DELIVERY OF NETWORK CABLES AND CONNECTORS  FOR THE PROCUREMENT SERVICE AMP-014-20 (SVP) Sir/Madam: Please quote your best proposal for the item/s described below using the Price Proposal Form (see Annex "A" of the Request </t>
  </si>
  <si>
    <t xml:space="preserve"> TITLE: PROCUREMENT OF SUPPLIES AND MATERIALS FOR REPAIR AND MAINTENANCE OF MUNICIPAL AMBULANCE SAA-2031			 DEPARTMENT: MUNICIPAL HEALTH OFFICE			 			 ITEM NO.	QTY	UNIT	ITEM DESCRIPTION 1	4	sets	tire 185 x R14 2	2	pcs	hub bearing 3	1	pcs	door bearing right</t>
  </si>
  <si>
    <t xml:space="preserve"> Lot 1 - Const. Materials									 1	Portland Cement 							10	bags	260.00 	Terms  &amp; Conditions;									 	*The materials  shall be  for pick up from the supplier 									 	within  5 working days from the receipt  of  a written advice 									 	by the pr</t>
  </si>
  <si>
    <t xml:space="preserve"> Portland Cement, 40kg , 200bags Sand, 500 sack Gravel, 500 sack 10mm dia. x 6.0m rebar std. No.16 tying wire, 20kls CWNails, assorted, 20kls 1/2" x 4' x 8' phenolic, 8pcs</t>
  </si>
  <si>
    <t xml:space="preserve"> REPUBLIC OF THE PHILIPPINES DEPARTMENT OF PUBLIC WORKS AND HIGHWAYS OFFICE OF THE DISTRICT ENGINEER CAVITE 1ST DISTRICT ENGINEERING OFFICE BRGY. DE OCAMPO, TRECE MARTIRES CITY, CAVITE INVITATION TO BID FOR PURCHASING OF HEAVY EQUIPMENT FOR THE USE OF THE </t>
  </si>
  <si>
    <t xml:space="preserve"> Republic of the Philippines BIDS AND AWARDS COMMITTEE Province of Iloilo Invitation to Bid Purchase of Medical Equipment Bid No. FRT-20-0733-B 1. The Iloilo Provincial Government, through the 20% IRA 2016 intends to apply the sum of ONE HUNDRED THOUSAND P</t>
  </si>
  <si>
    <t xml:space="preserve"> Food for 25 participants with complete meal menu and with morning and afternoon snacks on July 14-16,2020 at BES Gabi, Ubay, Bohol. Caterer with good standing shall only be entertained and preferably within locality. You may send your quotation to this em</t>
  </si>
  <si>
    <t xml:space="preserve"> 1 LOT LOGISTIC SERVICE (HAULING AND TRUCKING/PASSENGER VAN SHIPMENT) DOOR TO PORT OF 1 UNIT TOYOTA HI-ACE COMMUTER VAN ORIGIN: DEPED-CENTRAL OFFICE COMPLEX, MERALCO AVENUE, PASIG CITY, MANILA DESTINATION: DUMAGUETE CITY PORT INCLUSIONS: *SERVICE SHALL BE </t>
  </si>
  <si>
    <t xml:space="preserve"> OFFICE OF THE BIDS AND AWARDS COMMITTEE INVITATION TO BID NO. 107-20 Name of Project: Supply &amp; Installation of Wooden Doors &amp; Aluminum Glass Window used for Repair/ Improvement of Tourism Hub / Waiting Area @ Brgy. Navarro, Socorro, SDN Source of Funds: 2</t>
  </si>
  <si>
    <t xml:space="preserve"> Please see attached Invitation to Bid and Bill of Quantities</t>
  </si>
  <si>
    <t xml:space="preserve"> Agisoft Software application for various mapping purposes.</t>
  </si>
  <si>
    <t xml:space="preserve"> INVITATION TO BID The DPWH-Regional Office No. III,  through  its  Bids  and  Awards  Committee  (BAC),  invites contractors to submit bids for the Contract below: Procurement ID/Contract ID:    20C00051 Contract Name:      Construction of the DENR-Enviro</t>
  </si>
  <si>
    <t xml:space="preserve"> 3 UNIT PRINTER 5in1 3 UNITS PRINTER 3in1 5 SETS INK 2 UNITS i5 LAPTOP</t>
  </si>
  <si>
    <t xml:space="preserve"> Page 1 of 7 REQUEST FOR QUOTATION (RFQ) SUPPLY AND DELIVERY OF 15 UNITS THERMOMETER/ALARM/TIMER UNDER EMB-ERLSD-ELSS-ORGANICS LABORATORY UNIT RFQ NO. EMB-S-ERLSD-ELSS THERMOMETER 2020-0163 1. The Department of Environment and Natural Resources – Environme</t>
  </si>
  <si>
    <t xml:space="preserve"> 90	PCS.	        50W LED ALPHALAX BULB		 6	ROLLS	3.5mm² TW Cu WIRE		 90	PCS	        TUMBLER SWITCH		 36	ROLLS	ELECTRICAL TAPE</t>
  </si>
  <si>
    <t xml:space="preserve"> BODE Eurodispenser 1 autoclave, elbow activated for hand disinfectants, wash lotions and skin care lotions with rapid pump exchange various designs obtainable rapid filling simple to operate</t>
  </si>
  <si>
    <t xml:space="preserve"> *7 Units	Desktop Microphone Type: Goosneck Polar Pattern: Uni-Directional Plug Type: USB Plug and Play for Windows/ Mac Computer Windows 7/8/10 compatible Max OSX (10.4.11 or higher) compatible Fully adjustable gooseneck Noise cancelling *7 Units	Desktop </t>
  </si>
  <si>
    <t xml:space="preserve"> Republic of the Philippines PROVINCE OF ZAMBALES IBA BIDS AND AWARDS COMMITTEE Invitation to Bid for the Package V: Construction of Multi-Purpose Hall, Barangay Nagbunga; Construction of Drainage Canal, Barangay San Nicolas and Construction of Lanipan Bri</t>
  </si>
  <si>
    <t xml:space="preserve"> 20GAE0009: Supply and Delivery of Laboratory Equipment/Apparatus and Replacement of Old Equipment/Apparatus for the Improvement of DPWH La Union First District Engineering Office Laboratory (Phase II), Lingsat, San Fernando City, La Union Republic of the </t>
  </si>
  <si>
    <t xml:space="preserve"> TITLE: SUPPLY AND INSTALLATION OF AIRCON 2.5HP INVERTER SPLIT TYPE  LOCATION: BRGY. RAJAH SOLIMAN, BUTUAN CITY ABC: PHP116,000.00 SOURCE OF FUNDS: BRGY. IRA FUND DESCRIPTION: SUPPLY AND INSTALLATION OF AIRCON 2.5HP INVERTER SPLIT TYPE</t>
  </si>
  <si>
    <t xml:space="preserve"> Republic of the Philippines Province of zamboanga Sibugay Municipality of Olutanga 7014 JULY 2, 2020 NOTICE TO THE PUBLIC INVITIATION TO APPLY FOR ELIGIBILITY AND TO BID All interested bidders are invited to Pre-qualify and participate in sealed bidding f</t>
  </si>
  <si>
    <t xml:space="preserve"> 1	Heavy Duty/ Ultra Rugged Cellphones to be used for 		7	unit	 ________________		 280,000.00 	__________ 	communication and meter reading with following specifications:							 	&gt;Walkie-Talkie function							 	&gt;Latest Android OS							 	&gt;Drop factor of 1.2</t>
  </si>
  <si>
    <t xml:space="preserve"> 1 unit laptop     Intel Core i7     Hard Disk 512 GB SSD     4GB Memory     LG 14” LED Screen Monitor     NVIDIA GEFORCE MX250 2 GB Video Card 2 sets Microsoft Office Home and Student 2019 3 sets WIFI Adaptor 1 unit 1.8m 4 outlet universal outlet</t>
  </si>
  <si>
    <t xml:space="preserve"> INVITATION TO BID The DPWH-Regional Office No. III,  through  its  Bids  and  Awards  Committee  (BAC),  invites contractors to submit bids for the Contract below: Procurement ID/Contract ID:    20C00050 Contract Name:      Rehabilitation of Pampanga Rive</t>
  </si>
  <si>
    <t xml:space="preserve"> QTY  UNIT  DESCRIPTION 14	doz	Body Soap 28	doz	Shampoo 80	tube	Tooth Paste 74grams (Happee) 80	pcs	Tooth Brush 80	bot.	Zonrox Original (250ml) 60	bot.	Zonrox Color Safe (900ml.) 3	doz	Hand Towel (Colored) 12' 30	pcs	Pillow Case w/ Zipper 10	pcs	Pillow 30	</t>
  </si>
  <si>
    <t xml:space="preserve"> OFFICE OF THE BIDS AND AWARDS COMMITTEE INVITATION TO BID NO. 108-20 Name of Project: Supply &amp; Installation of Signage used for Repair/ Improvement of Tourism Hub / Waiting Area @ Brgy. Navarro, Socorro, SDN Source of Funds: 20% Development Fund The Munic</t>
  </si>
  <si>
    <t xml:space="preserve"> Installation of Fixed Glass with Swing Door Supply and Installation 1 Lot Fixed Glass with swing door, sliding door and counter window aluminum frame analok using 1/4" thick clear glass table sheilds 24x24x48x1/2 clear glass 1/4 top glass 24"x48"</t>
  </si>
  <si>
    <t xml:space="preserve"> Republic of the Philippines Province of Antique Municipality of Valderrama OFFICE OF THE BIDS AND AWARDS COMMITTEE  			 INVITATION TO BID The Local Government Unit of Valderrama, Antique through its Bids and Awards Committee (BAC), invites suppliers to ap</t>
  </si>
  <si>
    <t xml:space="preserve"> Republic of the Philippines PROVINCE OF NUEVA VIZCAYA Municipality of Alfonso Castañeda  BIDS &amp; AWARDS COMMITTEE FOR GOODS &amp; SERVICES REQUEST FOR QUOTATION RFQ Number: 2020-07-05 The Local Government of Alfonso Castañeda through its Bids and Awards Comm</t>
  </si>
  <si>
    <t xml:space="preserve"> 1. The Mindanao State University - Tawi-Tawi College of Technology and Oceanography (MSU-TCTO), through the Trust Fund, intends to apply the sum of Eighty Thousand Pesos only (PhP 80,000.00) being Approved Budget of Contract to payments under the contract</t>
  </si>
  <si>
    <t xml:space="preserve"> I. SPL - 1 Mobilization/Demobilization Civil/Structural Works Architectural Works Plumbing Works Electrical Works II. GenSet with Synchronizing Panel (300 KVA)</t>
  </si>
  <si>
    <t xml:space="preserve"> Republic of the Philippines Province of Pangasinan Municipality of Infanta Barangay Bayambang BIDS AND AWARDS COMMITTEE INVITATION TO BID FOR: SUPPLY &amp; DELIVERY OF MATERIALS FOR THE CONSTRUCTION OF DRAINAGE CANAL @ PUROK 1, BRGY. BAYAMBANG, INFANTA, PANGA</t>
  </si>
  <si>
    <t xml:space="preserve"> Republic of the Philippines Province of Iloilo  BIDS AND AWARDS COMMITTEE REQUEST FOR QUOTATION Quotation No.SDH-20-0420-NP (SV) Reference PR No.SDH-20-0420 July 02, 2020 _________________________ _________________________ _________________________ (Suppl</t>
  </si>
  <si>
    <t xml:space="preserve"> 1  set  Transmission Assembly (foton)</t>
  </si>
  <si>
    <t xml:space="preserve"> 1	Electric Concrete Breaker		1	unit	 ________________		 105,400.00 	__________ 	Minimum Specifications:							 	Rated input power: 1700-1800 W							 	Single impact energy: 30-40 J							 	Contact force: 140 N							 	A weighted emission sound pressure le</t>
  </si>
  <si>
    <t xml:space="preserve"> Supply and Delivery of the following Rechargeable Batteries (4 items), as per BSP Technical Specifications and Terms and Conditions</t>
  </si>
  <si>
    <t xml:space="preserve"> Painting, ceiling repair installation of window screens and replacement of door and doorknob and rehabilitation of ramp.</t>
  </si>
  <si>
    <t xml:space="preserve"> Invitation to Bid for  “CONSTRUCTION and MAINTENANCE OF LOCAL ROAD. The Barangay Government of Poblacion, Puerto Galera, through the Approved Budget for FY 2020 intends to apply the sum of  Three Hundred  Thousand Pesos  ,being the Approved Budget for the</t>
  </si>
  <si>
    <t xml:space="preserve"> Repainting, ceiling repair, installation of window screens and replacement of door and doorknob and replacement of led bulbs and jalousie window blades</t>
  </si>
  <si>
    <t xml:space="preserve"> Republic of the Philippines BIDS AND AWARDS COMMITTEE Cadiz City      BID DOCUMENTS for the CONCRETING OF MULTI-PURPOSE BUILDING (PHASE II) @ BRGY. PROPER, BRGY. ZONE 4, CADIZ CITY (1) BIDS AND AWARDS COMMITTEE  Cadiz City   INVITATION TO BID/REQUEST FOR </t>
  </si>
  <si>
    <t xml:space="preserve"> Works includes extension of existing roof framing and roffing with dimensions of 24m x 4.5 m 1" thk plastering works for 12 units beams and 14 units columns with a total surface area of 279.80 sq. m. is included. The complete list of activities is listed </t>
  </si>
  <si>
    <t xml:space="preserve"> CONTRACT OF LABOR SERVICES FOR THE RENOVATION/CONSTRUCTION OF AGTA MUSEUM IN PALAUI ISLAND, SAN VICENTE, STA. ANA, CAGAYAN CHARGED UNDER THE PARA EL MAR PRIZE WFP FUND</t>
  </si>
  <si>
    <t xml:space="preserve"> Rehabilitation of road</t>
  </si>
  <si>
    <t xml:space="preserve"> Republic of the Philippines Province of Palawan Municipality of Balabac BIDS AND AWARDS COMMITTEE INVITATION TO BID 1.The Municipal Government  of Balabac, through 20% DF 2020 intends to apply the sum of Four Hundred Ninety Seven Thousand Three Hundred Si</t>
  </si>
  <si>
    <t xml:space="preserve"> A. PROVISION OF POWER HOUSE - 1 lot B. INSTALLATION OF PRIMARY LINE SOURCE AND ACCESSORIES - 1 lot Materials I. Primary Line and Accessories II. Secondary Power Line Cable and Accessories III. Power Transformer, Primary Metering Accessories Labor I. Pole </t>
  </si>
  <si>
    <t xml:space="preserve"> TITLE: PROCUREMENT OF LABORATORY EQUIPMENT			 DEPARTMENT: MUNICIPAL HEALTH OFFICE			 			 ITEM NO.	QTY	UNIT	ITEM DESCRIPTION 1	2	bots	mindray m32 cfl lyse 2018040801 47-2020 2	2	bxs	mindray m32 diluent 20l 2019012601 3	3	sets	mindray b30 control b1119 2520</t>
  </si>
  <si>
    <t xml:space="preserve"> 1	15	bot	Alcohol, ethyl, 68%-70%, scented, 500ml 2	10	pad	Notepad, stick on, 50mm x 76 mm (2"x 3") min 3	10	pad	Notepad, stick on, 76mm x 100 mm (3"x 4") min 4	10	pad	Notepad, stick on, 76mm x 76 mm (3"x 3") min 5	20	pack	Toilet Tissue Paper 2-plys sheets</t>
  </si>
  <si>
    <t xml:space="preserve"> INVITATION TO BID for the SUPPLY AND DELIVERY OF CONSTRUCTION MATERIALS FOR IMPROVEMENT OF MULTI-PURPOSE HALL 1. The BARANGAY SAN JOAQUIN of Capoocan, Leyte, through its 20% Development Fund intends to apply the sum of ONE HUNDRED THIRTY ON THOUSAND EIGHT</t>
  </si>
  <si>
    <t xml:space="preserve"> Tarpaulin 1pc.</t>
  </si>
  <si>
    <t xml:space="preserve"> 2 pcs Bushida with concrete pot &amp; stand (big) 4 pcs Fox tail with concrete pot &amp; stand (medium) 4 pcs Spiral, fukien tea (big) 6 pcs Round, fukien tea (medium) 7 pcs Round fukien tea (small) 10 pcs Red, bottle brush (medium) 25 pcs Dwarf, santan maki 25 p</t>
  </si>
  <si>
    <t xml:space="preserve"> 1 PC. MINI DUMPTRUCK</t>
  </si>
  <si>
    <t xml:space="preserve"> REPUBLIC OF THE PHILIPPINES																																							 Province of Davao del Sur																																							 MUNICIPALITY OF SANTA CRUZ																																							 -- oOo --																																							 								</t>
  </si>
  <si>
    <t xml:space="preserve"> Republic of the Philippines Province of Palawan Municipality of Balabac BIDS AND AWARDS COMMITTEE INVITATION TO BID 1.The Municipal Government  of Balabac, through MOOE 2020 intends to apply the sum of One Million Pesos Only only (PHP 1,000,000.00) being </t>
  </si>
  <si>
    <t xml:space="preserve"> Title:Procurement of 3 unit Computer Desktop,etc. under P.R.No. 2173-2020-5% City Disaster Risk Reduction and Management Fund(Continuing)-2nd Bidding. Total ABC: Php 2,100,000.00 For representative/s of interested bidders  who wish to attend the Pre-Biddi</t>
  </si>
  <si>
    <t xml:space="preserve"> INVITATION TO BID SUPPLY AND DELIVERY OF ELEVEN (11) UNITS LAPTOP AND TWO (2) UNITS DESKTOP, SANGGUNIANG BAYAN, SFADS The Municipal Government of San Francisco, Agusan del Sur, through the BIDS and AWARDS COMMITTEE (BAC) intends to apply the sum of THREE </t>
  </si>
  <si>
    <t xml:space="preserve"> Linggo ng kabataan activities</t>
  </si>
  <si>
    <t xml:space="preserve"> Bid Documents Fee P 5,000.00 Submission and receipt of Bids/ Opening of Bids Date: July 23, 2020 Time: 10:00 AM Venue: Conference Room, Municipal Hall Bldg., Laur, Nueva Ecija Items Descriptions and Specifications: 1-UNIT WATER TANKER (BRAND NEW) Specific</t>
  </si>
  <si>
    <t xml:space="preserve"> JOB ORDER: Furnishing of Labor, Materials and Equipment Rental for the Proposed Construction of Multi-Purpose Building (Exposition Building), Airport Road, Legazpi City *** please see attached schedule of BAC activities</t>
  </si>
  <si>
    <t xml:space="preserve"> Republic of the Philippines Province of Davao del Sur MUNICIPALITY OF STA.CRUZ INVITATION TO BID  PROCUREMENT OF DIESOLINE FOR COVID OPERATIONS AND OTHER DRRM RELATED ACTIVITIES -2ND POSTING (ITB No. 20-Goods-2020) 1.	The Local Government Unit of Sta. Cru</t>
  </si>
  <si>
    <t xml:space="preserve"> Republic of the Philippines BIDS AND AWARDS COMMITTEE Cadiz City      BID DOCUMENTS for the CONCRETING OF BARANGAY ROAD FROM BANGGA PEPITO TO SO. ALIMATOC PUBLIC CEMETERY (PHASE II) @ BRGY. C.S. VILLACIN,  CADIZ CITY (1) BIDS AND AWARDS COMMITTEE  Cadiz C</t>
  </si>
  <si>
    <t xml:space="preserve"> National Power Corporation INVITATION TO BID PUBLIC BIDDING 2020-0152 1.	The NATIONAL POWER CORPORATION (NPC), through       its        approved       Corporate Budget of CY 2020 intends to apply   the   sum   of (Please see schedule below) being the Appr</t>
  </si>
  <si>
    <t xml:space="preserve"> Repainting, Ceiling repair, installation of window screens and replacement of door and doorknob and replacement of led bulbs</t>
  </si>
  <si>
    <t xml:space="preserve"> Republic of the Philippines DEPARTMENT OF PUBLIC WORKS AND HIGHWAYS LA UNION 2ND DISTRICT ENGINEERING OFFICE REGIONAL OFFICE I Natividad, Naguilian, La Union INVITATION FOR ELIGIBILITY SCREENING AND TO BID (For Small Value Procurement) SEALED BIDS, subjec</t>
  </si>
  <si>
    <t xml:space="preserve"> 1. The Mindanao State University - Tawi-Tawi College of Technology and Oceanography (MSU-TCTO), through the GAA 2020, intends to apply the sum of Ninety-Four Thousand Five Hundred Pesos only (PhP 94,500.00) being Approved Budget of Contract to payments un</t>
  </si>
  <si>
    <t xml:space="preserve"> 1.	55” TV  with bracket and installation	2 units 2.	HDMI Cable M/M	3 units 	(see attached picture)</t>
  </si>
  <si>
    <t xml:space="preserve"> INVITATION FOR SUBMISSION OF QUOTATION The Doña Hortencia Salas Benedicto National High School - Senior High School through the Bids and Awards Committee (BAC), hereby invites all interested contractors registered with Philippine Government electronic Pro</t>
  </si>
  <si>
    <t xml:space="preserve"> Concreting of multi-purpose pavement (pavilion)</t>
  </si>
  <si>
    <t xml:space="preserve"> Supply and Delivery of Mechanical and Flange Type Valves for MMWD Water Sources. FOB Masbate 150 mm swing check valve PN40 with counter weight flange type	4	unit 150 mm Gate Valve Flange type PN40	4	unit 150mm  mechanical Gate Valve PN16	1	unit 200 mm uni</t>
  </si>
  <si>
    <t xml:space="preserve"> SK Council Management procurement for supplies and equipment,</t>
  </si>
  <si>
    <t xml:space="preserve"> INVITATION TO BID FOR  Supplies &amp; Delivery of  Materials   CONSTRUCTION OF SOLAR STREETLIGHTS Poblacion Zone V , Villasis, Pangasinan 1.	The Local Government  of  Poblacion  Zone V, Villasis,  Pangasinan, intends to apply the sum  of (P77,167.79}  being t</t>
  </si>
  <si>
    <t xml:space="preserve"> Project Signage Demolition/Removal of Existing Pavement, Section A Installation of Shear Key on the Existing Pavement Selected Backfill Materials Aggregate Base Course Portland Cement Concrete Pavement (PCCP) Reinforced Concrete Pipe (RCPs) Grouted Riprap</t>
  </si>
  <si>
    <t xml:space="preserve"> Republic of the Philippines	Republic of the Philippines								 	Department of Transportation and Communications								 	CIVIL AVIATION AUTHORITY OF THE PHILIPPINES								 	Area Center II, Tuguegarao Airport								 									 									 Request for Price</t>
  </si>
  <si>
    <t xml:space="preserve"> Republic of the Philippines Province of Palawan Municipality of Balabac BIDS AND AWARDS COMMITTEE INVITATION TO BID 1.The Municipal Government  of Balabac, through MOOE 2020 intends to apply the sum of One Million Two Hundred Thousand only (PHP 1,200,000.</t>
  </si>
  <si>
    <t xml:space="preserve"> The Department of Agriculture-RFO 3, invites interested suppliers to submit quotations/proposals for the hereunder requirement, to wit: ITEM NO.	QTY.	UNIT	ITEMS &amp; DESCRIPTION		UNIT PRICE	TOTAL AMOUNT	BRAND/MODEL 							 			PFSENSE Server Rack				 	2	unit	</t>
  </si>
  <si>
    <t xml:space="preserve"> INVITATION TO BID FOR CONSTRUCTION OF VEGETABLE SECTION AREA AT PUBLIC MARKET</t>
  </si>
  <si>
    <t xml:space="preserve"> WATER SUPPLY I - Earthworks             		=	1.00 lot II - Formworks and Scaffolds      =        1.00 lot III-Intake Box                           =         4.45 cu.m IV- Pipe Transmission                 =        1.00 lot V- Painting Works                </t>
  </si>
  <si>
    <t xml:space="preserve"> LOT A									 1	Unleaded Gasoline							1	lot	23,955.30 	Terms &amp; conditions:									 										 	1. The supplier shall start to serve within three (3) days upon receipt of the advice									 	           from the project engineer until the project is co</t>
  </si>
  <si>
    <t xml:space="preserve"> Construction Materials</t>
  </si>
  <si>
    <t xml:space="preserve"> Republic of the Philippines BIDS AND AWARDS COMMITTEE Cadiz City      BID DOCUMENTS for the CONCRETING OF BARANGAY ROAD (PHASE II) @ TIGLAWIGAN RELOCATION SITE, BRGY. TIGLAWIGAN, CADIZ CITY (1) BIDS AND AWARDS COMMITTEE  Cadiz City   INVITATION TO BID/REQ</t>
  </si>
  <si>
    <t xml:space="preserve"> Supply and Delivery of Compressor Motor 66LRA for ceiling mounted ACU (including labor and materials) For replacement of grounded 66 LRA compressor motor for ceiling mounted installed at Room 302, annex I Bldg. (302-CM-2TR) former room of J. Gaerlan Requi</t>
  </si>
  <si>
    <t xml:space="preserve"> 2 units Aircon Split type 1.5 HP inverter         1 unit Aircon Split type 2HP inverter 1 unit Smart TV UHD 43” 1 unit Refrigirator 6cu.ft inverter 1 unit Display Cabinet</t>
  </si>
  <si>
    <t xml:space="preserve"> 100 cavans Milled rice (50kgs/bag) NOTE: Please attach legal documents and updated PhilGEPS Certificate, failure to submit your bid documents will not be considered for the opening by the BAC. Please refer to RA 9184-GPPB Revised IRR Series of 2016 Append</t>
  </si>
  <si>
    <t xml:space="preserve"> Bid Documents Fee P 5,000.00 Submission and receipt of Bids/ Opening of Bids Date: July 23, 2020 Time: 10:00 AM Venue: Conference Room, Municipal Hall Bldg., Laur, Nueva Ecija Items Descriptions and Specifications: 1-UNIT GRADER (BRAND NEW) Specifications</t>
  </si>
  <si>
    <t xml:space="preserve"> December 2010 Republic of the Philippines Province of Palawan Municipality of Balabac BIDS AND AWARDS COMMITTEE INVITATION TO BID 1.The Municipal Government  of Balabac, through MOOE 2020 intends to apply the sum of Two Million Pesos Only only (PHP 2,000,</t>
  </si>
  <si>
    <t xml:space="preserve"> INVITATION TO BID- FOR IMPROVEMENT OF WATWER SYSTEM CONSTRUCTION OF 8- UNITS OF COMMON BASIN 15 CALENDAR WORKING DAYS DIMENSION / LENGHT: 0.60M X 1.80M X 2.40M SCOPE OF WORK TO BE DONE I. DISTRIBUTION OF P.E HOSE 65.20 % 162,250.00 II. CONSTRUCTION OF 8- </t>
  </si>
  <si>
    <t xml:space="preserve"> ITEM DESCRIPTIONS: Day 1 AM Snacks, Lunch and PM Snacks (75 pax) Day 2 AM Snacks, Lunch and PM Snacks (75 pax) Day 3 AM Snacks, Lunch and PM Snacks (75 pax) Day 4 AM Snacks, Lunch and PM Snacks (75 pax) Day 5 AM Snacks, Lunch and PM Snacks (75 pax) Purpos</t>
  </si>
  <si>
    <t xml:space="preserve"> Installation of Fixed Glass with Swing Door and Counter Window (Registrar Office) Supply and Installation: Fixed Window Glass with Swing Door and Counter WIndow Aluminum frame analok Using 1/4" Thick Bronze Glass</t>
  </si>
  <si>
    <t xml:space="preserve"> ONE JOB CONTRACT (LABOR AND MATERIALS)</t>
  </si>
  <si>
    <t xml:space="preserve"> Republic of the Philippines Province of Davao de Oro Municipality of Monkayo -o0o- INVITATION TO BID FOR THE PROCUREMENT OF CONSTRUCTION MATERIALS FOR THE REPAIR OF DAMAGE WATER CONNECTION  The Municipality of Monkayo, through the GENERAL FUND intends to </t>
  </si>
  <si>
    <t xml:space="preserve"> Republic of the Philippines PROVINCE OF CAMARINES SUR BIDS AND AWARDS COMMITTEE 									    	                      ITB No.034-07-2020 INVITATION TO BID 	The Provincial Government of Camarines Sur (PGCS) through its Bids and Awards Committee (BAC) invites</t>
  </si>
  <si>
    <t xml:space="preserve"> 170 PCS. FLU VACCINE</t>
  </si>
  <si>
    <t xml:space="preserve"> INVITATION TO BID FOR CONSTRUCTION OF TWO UNITS PUBLIC TOILET</t>
  </si>
  <si>
    <t xml:space="preserve"> Supply and Delivery of Doorknob, Heavy Duty QTY 150  UNIT Piece Door Knob, Heavy Duty ABC: 450 --------------------------------------------------------------------------------------------------------------------------------- **Please submit the following </t>
  </si>
  <si>
    <t xml:space="preserve"> Painting, ceiling repair installation of window screens and replacement of door and doorknob and replacement of window blades</t>
  </si>
  <si>
    <t xml:space="preserve"> SUPPLY AND DELIVERY OF FUEL, OIL &amp; LUBRICANTS</t>
  </si>
  <si>
    <t xml:space="preserve"> INVITATION TO BID									 									 The LOCAL GOVERNMENT UNIT OF SINDANGAN, through its Bids and Awards Committee (BAC), hereby invites suppliers/manufacturers/ distributors/contractors to apply for eligibility and to bid for the hereunder project.						</t>
  </si>
  <si>
    <t xml:space="preserve"> ABC: 271, 800.00 Unit             Items                                                      Quantity   Unit Cost    Total Cost cartridge	Printer Ink HP 680 Color	                            20	 495.00 	   9,900.00  cartridge	Printer Ink HP 680 Black	    </t>
  </si>
  <si>
    <t xml:space="preserve"> INVITATION TO BID The DPWH Regional Office IX, Veterans Avenue Extension, Tetuan, Zamboanga City, through its Bids and Awards Committee (BAC), invites contractors to submit bids for the following Contract: Contract ID	:	20J00204 Contract Name	:	Repair/Mai</t>
  </si>
  <si>
    <t xml:space="preserve"> LOT A									 1	Unleaded Gasoline							1	lot	20,800.00 	Terms &amp; conditions:									 										 	1. The supplier shall start to serve within three (3) days upon receipt of the advice									 	           from the project engineer until the project is co</t>
  </si>
  <si>
    <t xml:space="preserve"> INVITATION TO BID The DPWH Regional Office IX, Veterans Avenue Extension, Tetuan, Zamboanga City, through its Bids and Awards Committee (BAC), invites contractors to submit bids for the following Contract: Contract ID	:	20J00205 Contract Name	:	Concreting</t>
  </si>
  <si>
    <t xml:space="preserve"> Ref. No: GOODS-2020-05 Republic of the Philippines Province of Southern Leyte MUNICIPALITY OF MACROHON INVITATION  TO BID FOR THE SUPPLY AND DELIVERY OF MOTOR VEHICLE     The  Municipality  of  Macrohon , through  the Supplemental Budget No.1 CY 2020 inte</t>
  </si>
  <si>
    <t xml:space="preserve"> PHILIPPINE DEPOSIT INSURANCE CORPORATION Makati City INVITATION TO BID PROCUREMENT OF CORPORATE BUDGET SYSTEM 1.	The Philippine Deposit Insurance Corporation (PDIC), through its 2020-2021 Corporate Operating Budget, intends to apply the sum of Php 18,750,</t>
  </si>
  <si>
    <t xml:space="preserve"> 20 tanks Fire Extinguisher, Refill 10lbs. 2 tanks HCFC Fire Extinguisher, Refill 10lbs.</t>
  </si>
  <si>
    <t xml:space="preserve"> Republic of the Philippines Province of Davao de Oro Municipality of Monkayo -o0o- INVITATION TO BID FOR THE PROCUREMENT OF FUEL FOR MOBILIZATION OF VARIOUS OFFICES  The Municipality of Monkayo, through the GENERL FUND intends to apply the sum of ONE HUND</t>
  </si>
  <si>
    <t xml:space="preserve"> Rehabilitation/improvement of flood control project</t>
  </si>
  <si>
    <t xml:space="preserve"> Purchase of office equipment and fixtures of Ajuy PNP</t>
  </si>
  <si>
    <t xml:space="preserve"> INVITATION TO BID The Municipality of San Mateo, through its Bids and Awards Committee (BAC), invites suppliers, manufacturers, distributors, contractors registered with the BAC in the Municipality of San Mateo, to apply for eligibility and if found eligi</t>
  </si>
  <si>
    <t xml:space="preserve"> The Bids and Awards Committee hereby invites all qualified bidders for the Purchase and Delivery of Rescue and Safety Equipments for the Municipal Disaster Risk Reduction and Management Office of LGU-Mayorga, Leyte. Prospective Bidders must have experienc</t>
  </si>
  <si>
    <t xml:space="preserve"> Spare Parts</t>
  </si>
  <si>
    <t xml:space="preserve"> Republic of the Philippines DEPARTMENT OF PUBLIC WORKS AND HIGHWAYS LA UNION SECOND DISTRICT ENGINEERING OFFICE REGIONAL OFFICE I Natividad, Naguilian, La Union INVITATION FOR ELIGIBILITY SCREENING AND TO BID (For Small Value Procurement) SEALED BIDS, sub</t>
  </si>
  <si>
    <t xml:space="preserve"> INVITATION TO BID:  2020-22  “SUPPLY AND DELIVERY OF PAYAO ACCESSORIES AND  7.5HP MARINE DIESEL ENGINE AND 5.5HP MARINE GASOLINE ENGINE FOR THE CONSTRUCTION OF FRP BOATS IN THE PROVINCE OF ANTIQUE.” 1.	The Bureau of Fisheries and Aquatic Resources (BFAR) </t>
  </si>
  <si>
    <t xml:space="preserve"> Please quote your lowest price on the item/s listed below, subject to the General Conditions on 						 the last page, stating the shortest time of delivery and submit your quotation duly signed by your 						 representative not later than   ______________</t>
  </si>
  <si>
    <t xml:space="preserve"> DEVELOPMENT OF TOURISM SPOT</t>
  </si>
  <si>
    <t xml:space="preserve"> REQUEST FOR QUOTATION  The National Irrigation Administration (NIA), through its Administrative Service (AS), will undertake Shopping  in accordance with Section 52.1  annex “H” page 138 in accordance with the CY 2016 Revised Implementing Rules and Regula</t>
  </si>
  <si>
    <t xml:space="preserve"> 450-cu.m-Road Rehabilitation, Resurfacing, Stock Filling, Hauling, Spreading &amp; compacting (0.15mX6.0mX800m) 5.04-sq.m-Billboard (1.8x2.4m)</t>
  </si>
  <si>
    <t xml:space="preserve"> 28 sets Water heater (A.O SMIT 220V-240V, 2000 Watts)</t>
  </si>
  <si>
    <t xml:space="preserve"> INVITATION TO BID The Barangay 5-Poblacion of Malilipot, Albay through the Bids and Awards Committee (BAC) invites suppliers to bid for the hereunder contract: Name of Contract: Procurement of Labor and Materials for the Construction of Line Canal at Bara</t>
  </si>
  <si>
    <t xml:space="preserve"> Installation of solar street lighting system</t>
  </si>
  <si>
    <t xml:space="preserve"> INVITATION TO BID The DPWH Regional Office IX, Veterans Avenue Extension, Tetuan, Zamboanga City, through its Bids and Awards Committee (BAC), invites contractors to submit bids for the following Contract: Contract ID	:	20J00207 Contract Name	:	Concreting</t>
  </si>
  <si>
    <t xml:space="preserve"> 8- pcs	Tubular Steel, 2x2" 20 ft.	 8- pcs	Steel Matting Fence, 8x4"	 1- bag	Cement	 10- bag	Bistay Sand	 1- gal.	Enamel Paint	 6- pcs	Heavy duty Bar Hinges</t>
  </si>
  <si>
    <t xml:space="preserve"> Office Supplies Expenses Other Supplies and Materials Expenses ICT Office Supplies Expenses 		 Semi-Expendable Machinery 		 and Equipment Expenses-		 Office Equipment 		 Semi-Expendable Machinery 		 and Equipment Expenses-		 Other Machinery and Equipment	</t>
  </si>
  <si>
    <t xml:space="preserve"> 150-cu.m-Road Rehabilitation, Resurfacing, stock pilling, hauling, spreading &amp; compacting (0.10mX5.0mX200m) 5.04-sq.m-Billboard (1.2mX2.4m)</t>
  </si>
  <si>
    <t xml:space="preserve"> 6800 Liters Diesel 56 Liters Oil #40</t>
  </si>
  <si>
    <t xml:space="preserve"> TERMS OF REFERENCE/ SCOPE OF WORK/PROJECT PROPOSAL AIP NO. 9000-000-2-3-25-002-000-010 I. TITLE  CONSULTANCY ON HOUSING CONCERNS  II. RATIONALE The City of Malabon is in need of an able consultant with years of experience in housing concerns to recommend </t>
  </si>
  <si>
    <t xml:space="preserve"> Procurement of  ICT Supplies 1.	Memory Card, Class 10, 64g 2.	Network Cable, Cat 6, 20m each 3.	GPU IC and CHIPSET IC - (parts for the repair of Laptop) PLEASE SEE ASSOCIATED COMPONENTS FOR MORE DETAILS.</t>
  </si>
  <si>
    <t xml:space="preserve"> Preparation of ISO 9001:2015 Year 2020 Surveillance Audit on August 19, 2020 (See attached Purchase Request for more detailed information.)</t>
  </si>
  <si>
    <t xml:space="preserve"> lot 1 - Const. Materials									 1	Portland Cement 							939	bags	260.00 	 Terms &amp; Conditions :									 	*The materials  shall be  for pick up from the supplier 									 	within  5 working days from the receipt  of  a written advice 									 	by the </t>
  </si>
  <si>
    <t xml:space="preserve"> REQUEST FOR QUOTATION (RFQ) SUPPLY AND DELIVERY OF LABORATORY STANDARDS UNDER EMB-ERLSD-ENVIRONMENTAL LABORATORY SERVICES SECTION (ELSS) INORGANICS LABORATORY UNIT RFQ NO. EMB-S-ERLSD-ELSS LABORATORY STANDARDS 2020-0487 1.	The Department of Environment an</t>
  </si>
  <si>
    <t xml:space="preserve"> To extend provision of water service - GAD</t>
  </si>
  <si>
    <t xml:space="preserve"> SUPPLY AND DELIVERY OF MATERIALS</t>
  </si>
  <si>
    <t xml:space="preserve"> Hauling Services for the Municipal Waste Materials from different Mainland Barangay.</t>
  </si>
  <si>
    <t xml:space="preserve"> 20 pcs 10 lbs  Fire Extinguisher 10 pcs 20 lbs Fire Extinguisher 2 pcs  50lbs  Fire Extinguisher wheel type 10 pcs Extinguisher ball</t>
  </si>
  <si>
    <t xml:space="preserve"> 3 piece Lightning Arrester (11-36 KV Series)Polymer</t>
  </si>
  <si>
    <t xml:space="preserve"> Lot 1										 1	Portland Cement							1,215	bags	260.00 	Terms and Conditions:									 	The materials shall be for pick up from the supplier within 5 working 									 	days  from the receipt of a written advice by the project engineer.									 	The s</t>
  </si>
  <si>
    <t xml:space="preserve"> Republic of the Philippines Province of Siquijor Municipality of Enrique Villanueva INVITATION TO BID FOR Procurement of Materials for the Rehabilitation/Improvement of Municipal Roads 1.	The Local Government Unit of Enrique Villanueva, through the 20% De</t>
  </si>
  <si>
    <t xml:space="preserve"> 38 Kit COVID-19 Anti-Body Rapid Test Kits(Innovita) 10 Unit Electric Stand Fan, Industrial 4 Folding Bed, Single 17 Shower Curtain, Plastic 60" W(White) 2 Hand Washing Station, Foot Pressed, Galvanized Sink 1 Plumbing System Installation Materials at Hand</t>
  </si>
  <si>
    <t xml:space="preserve"> Procurement of LPG Cooking Gas 50kgs/cylinder (for the month of August 2020) (with detailed preventive maintenance of NDU gas pipe line)</t>
  </si>
  <si>
    <t xml:space="preserve"> Items and Description Labor and Materials for Printing and Production of the Following: Lot I -Tarpaulin Printing for the Implementation of R&amp;D  projects. 1. 1.5 x 2 sq.ft.  2. 2 x5 sq.ft  3. 2x3  sq.ft.  4. 2x4  sq.ft.  5. 3x4  sq.ft.  6. 3x6  sq.ft.  7.</t>
  </si>
  <si>
    <t xml:space="preserve"> The Bids and Awards Committee hereby invites all qualified contractors for the Construction/Installation of Jetmatic Pumps at Various Barangays of Mayorga, Leyte. For more details kindly visit the Office of the BAC Chairperson.</t>
  </si>
  <si>
    <t xml:space="preserve"> 2- pcs Hammer 2- pcs Saw 1- pair Shredder 2- unit Fire Extinguisher 1- unit Cart 1- unit Wheel Barrow 1- unit Soil Thermometer 1- unit pH meter 10- set Rain boots 10- pcs Rubber Gloves 10- pcs Apron 5- box Hairnet 5- box Hand Shovel 5- box Bolo 10- pcs Pa</t>
  </si>
  <si>
    <t xml:space="preserve"> INVITATION TO BID The DPWH Regional Office IX, Veterans Avenue Extension, Tetuan, Zamboanga City, through its Bids and Awards Committee (BAC), invites contractors to submit bids for the following Contract: Contract ID	:	20J00209 Contract Name	:	Concreting</t>
  </si>
  <si>
    <t xml:space="preserve"> Ref. No: GOODS-2020-06 Republic of the Philippines Province of Southern Leyte MUNICIPALITY OF MACROHON INVITATION  TO BID FOR THE SUPPLY AND DELIVERY OF BREEDER STOCKS: GOAT AND NATIVE CHICKEN     The  Municipality  of  Macrohon , through  the Trust Fund-</t>
  </si>
  <si>
    <t xml:space="preserve"> 1.	Rolled Carpet	                 27.21 m2 2.	Blinds with Installation         1 lot •	26.33 x 4 m2 •	25.83 x 1 m2 •	37.00 x 1 m2</t>
  </si>
  <si>
    <t xml:space="preserve"> Republic of the Philippines CITY OF MALABON Metropolitan Manila OFFICE OF THE CITY MAYOR TERMS OF REFERENCE / SCOPE OF WORK/ PROJECT PROPOSAL AIP NO. 9000-000-2-3-25-002-000-010 I.TITLE CONSULTANCY SERVICES ON INFRASTRUCTURE AND PUBLIC WORKS II. RATIONALE</t>
  </si>
  <si>
    <t xml:space="preserve"> ONE (1) UNIT BRAND NEW 40 KVA STANDBY GENERATOR, SILENT TYPE, DIESEL GENERATOR, 460VAC, 3 PHASE, 50 amps @ 460VAC, 60 Hz, 1800 RPM, Soundproof ENGINE: 4 CYLINDER, IN-LINE ENGINE BUILD, TURBOCHARGED-RADIATOR COOLED, 6 LITER PER HOUR CONSUMPTION @ 100% LOAD</t>
  </si>
  <si>
    <t xml:space="preserve"> 1	Lot	Customized flags 1	17	Piece	"DA Flag Size: 6ft x 3ft Material: Satin Logo Height: 16 inches Width: 18 inches KAGAWARAN NG PAGSASAKA Length - 39 inches Height - 2.2 inches Font Type - Sans Serif (Bold) DEPARTMENT OF AGRICULTURE Length - 41 inches Hei</t>
  </si>
  <si>
    <t xml:space="preserve"> Republic of the Philippines Province of Capiz Municipality of Mambusao REQUEST FOR QUOTATION BIDS AND AWARDS COMMITTEE 	        JULY 3, 2020      Date    	Please quote your lowest price on the items listed below, subject to the general conditions stated h</t>
  </si>
  <si>
    <t xml:space="preserve"> Invitation to Bid Supply and Delivery of Various Vehicles for Resource Generation and Management Service (RGMS) 1. The Department of Trade and Industry, through the Rural Agro-Enterprise Partnership for Inclusive Development and Growth (RAPID Growth) Loan</t>
  </si>
  <si>
    <t xml:space="preserve"> 2 SETS H.P. PAVILION TPO1-0110D icore 5 2 pcs. UPS APC BX650 LI-MS 1 PC. EPSON L1455 A3 WIFI DUPLEX ALL IN ONE PRINTER 2 PCS. EPSON L5190 WIFI ALL IN ONE INK TANK 1 PCS. COMPUTER CHAIR 1 PC. COMPUTER TABLE 1 PC. STEEL SLIDING CABINET</t>
  </si>
  <si>
    <t xml:space="preserve"> Cargo Truck (10T, 270 Hp)</t>
  </si>
  <si>
    <t xml:space="preserve"> 10 kg Welding Rod, 6012 10 kg Welding Rod, 6011 4 piece G.I. Nipple, 3" Diameter Length, 6" 20 piece Cutting Disc, 4" Diameter, Thin 3 piece Gate Valve, 3" Diameter</t>
  </si>
  <si>
    <t xml:space="preserve"> see attached philippine bidding documents, bill of quantities, and checklist.</t>
  </si>
  <si>
    <t xml:space="preserve"> Medical Supplies for RHU LGU Cabagan Cabagan, Isabela</t>
  </si>
  <si>
    <t xml:space="preserve"> INVITATION TO BID The DPWH Regional Office IX, Veterans Avenue Extension, Tetuan, Zamboanga City, through its Bids and Awards Committee (BAC), invites contractors to submit bids for the following Contract: Contract ID	:	20J00206 Contract Name	:	Concreting</t>
  </si>
  <si>
    <t xml:space="preserve"> INVITATION TO BID The DPWH Regional Office IX, Veterans Avenue Extension, Tetuan, Zamboanga City, through its Bids and Awards Committee (BAC), invites contractors to submit bids for the following Contract: Contract ID	:	20J00212 Contract Name	:	Concreting</t>
  </si>
  <si>
    <t xml:space="preserve"> 600 Liters Unleaded 2800 Liters Diesel</t>
  </si>
  <si>
    <t xml:space="preserve"> Republic of the Philippines PROVINCE OF NUEVA VIZCAYA Municipality of Alfonso Castañeda  BIDS &amp; AWARDS COMMITTEE FOR GOODS &amp; SERVICES REQUEST FOR QUOTATION RFQ Number: 2020-07-06 The Local Government of Alfonso Castañeda through its Bids and Awards Comm</t>
  </si>
  <si>
    <t xml:space="preserve"> REPAIR OF MUNICIPAL GYMNASIUM</t>
  </si>
  <si>
    <t xml:space="preserve"> Section I. Invitation to Bid INVITATION TO BID  DA8-Goods-2020-43 (PR No. NLP 20-05-14-0249) 1.	The Department of Agriculture-Regional Field Office No. 8, through the NLP 2020 intends to apply the sum of Five Million Six Hundred Thousand Pesos Only (P5,60</t>
  </si>
  <si>
    <t xml:space="preserve"> 300	PCS	G.I. TEE REDUCER 1" x 3/4"	 50	PCS	G.I CROSS TEE NO. 2"	 50	PCS	G.I  TEE NO. 2"	 300	PCS	G.I. NIPPLE NO. 1" x 2"	 100	PCS	G.I. NIPPLE NO. 1" x 5"	 50	PCS	G.I. NIPPLE NO. 1" x 10"	 50	PCS	G.I. NIPPLE NO. 2" x 4"	 50	PCS	G.I. NIPPLE NO. 2" x 10"	 50</t>
  </si>
  <si>
    <t xml:space="preserve"> The Barangay Government of Bayuyan, President Roxas, Capiz, through the 20% Development Fund, intends to apply the sum of One Hundred Thirty Four Thousand Fifty Pesos (Php 134,050.00) being the Approved Budget for the Contract (ABC) to payments under the </t>
  </si>
  <si>
    <t xml:space="preserve"> 1 set PFN short 1 set PHLP</t>
  </si>
  <si>
    <t xml:space="preserve"> Lot 1									 1	8' X 8' Tarpaulin w/ print &amp; eyelet							1.00	sht.	1,050.00 2	Assorted CW Nails (1-1/2", 2",  3",  4")							 11.50 	kgs.	70.00 3	36 - 16mmØ" x 6.0m Def. Bars, G - 33							 340.92 	kgs.	50.50 4	Asphalt Sealant							50	Lit.	45.00 5	Grea</t>
  </si>
  <si>
    <t xml:space="preserve"> REQUEST FOR QUOTATION The Municipality of Allacapan, through its Bids and Awards Committee (BAC), invites suppliers/distributors/contractors to SUBMIT QUOTATION for the hereunder project: Name of Contract :Purchase of Spareparts for DT Forward(1,2 and 3) </t>
  </si>
  <si>
    <t xml:space="preserve"> INVITATION TO BID The DPWH Regional Office IX, Veterans Avenue Extension, Tetuan, Zamboanga City, through its Bids and Awards Committee (BAC), invites contractors to submit bids for the following Contract: Contract ID	:	20J00211 Contract Name	:	Concreting</t>
  </si>
  <si>
    <t xml:space="preserve"> Republic of the Philippines Province of Laguna Municipality of Pangil Barangay San Jose, Pangil, Laguna OFFICE OF THE BIDS AND AWARDS COMMITTEE INVITATION FOR NEGOTIATED PROCUREMENT CONSTRUCTION OF CONCRETE ROAD OF MUNICIPAL CEMETERY BRGY. SULIB. CONCRETI</t>
  </si>
  <si>
    <t xml:space="preserve"> A) REQUEST FOR QUOTATION 1. 1,150 pcs. OP ID Cards with Biometric Capability Inclusive of Technical Services and Free Use of Printing Machine ID Specifications: 1. Contactless Smart Card 2. Ultra High Definition Thermal Retransfer Printing Technology 3. P</t>
  </si>
  <si>
    <t xml:space="preserve"> 1	FRONT LOAD COMBO WASHER-DRYER	1 unit 	Specifications:	 	Washing Capacity: 10.5kg	 	Drying Capacity: 6 kg	 	Spin Speed: 1400 rpm	 	Motor: Digital Inverter	 	Drum Type: Diamond Drum	 	Panel Display: LED	 	Warranty: 11-Year Warranty on Motor</t>
  </si>
  <si>
    <t xml:space="preserve"> 1 set DFLP 1 pc 7mm Cancellous Screw 2 set Bone Cement w/ Gentamicin</t>
  </si>
  <si>
    <t xml:space="preserve"> 29-UNITS COMPACT WATER PROOF PROFESSIONAL RADIO WITH 1500mW         12-UNITS COMPACT WATER PROOF PROFESSIONAL RADIO WITH 1500 mW</t>
  </si>
  <si>
    <t xml:space="preserve"> 1 piece Electric Fan Assy 1 piece Fright Charge  1 piece 24v Double Contact bulb 1 piece Fuse (Mini 15A) 1 piece Fuse (Mini 20A) 30 Liter Refrigeration Lubricant (capella Oil) 1 piece Halogen Bulb (Circuit 12v) 1 piece Peanut Bulb (12v) 8 Liters Extended </t>
  </si>
  <si>
    <t xml:space="preserve"> Supply And Delivery of Fuel (lot #3) Labor (Lot #5) for Proposed Road Concreting from National Highway Sta. 00+015 to Sta. 00+246m leading to Maasin National Highway, Bgy. Maasin, Brooke’s Point, Palawan Lot #3 Fuel: 320,550.00 Lot #4 Labor: 373,847.85</t>
  </si>
  <si>
    <t xml:space="preserve"> NOTICE OF PROCUREMENT OF GOODS THROUGH ALTERNATIVE METHOD OF PROCUREMENT Notice is given that Duty Free Philippines Corporation (DFPC) with address at  New Fiestamall, Columbia Center, Sucat, Paranaque City will procure through NEGOTIATED PROCUREMENT   th</t>
  </si>
  <si>
    <t xml:space="preserve"> Procurement of Commercial Rice, 50kgs/bag</t>
  </si>
  <si>
    <t xml:space="preserve"> Unit 	            Item Description			                                  Qnty. 				 				 	            GRADE		No. of Pupils        No. of PAGES	 				 pages	    SPED	       11	                     95	                   1,045 pages	    Kinder	      345	       </t>
  </si>
  <si>
    <t xml:space="preserve"> SPRING SOURCE PIPELINES 46	pcs	110mm Upvc pipe s-8 W/ RR			 10	pcs	90mm Upvc pipe s-8 W/ RR			 3	pcs	3" G.I. Pipe Sch. 40 W/ HEAVY DUTY COUPLINGS			 3	pcs	4" G.I. Pipe Sch. 40 W/ HEAVY DUTY COUPLINGS			  FITTINGS AND APPURTENANCES 1	pcs	100mm X 100mm x 10</t>
  </si>
  <si>
    <t xml:space="preserve"> For the supply and delivery of the following: 5	roll	Rubberized Disinfection Mat			 		(Carpet Ribbed Matting)			 		Size: 6ft x 60ft			 		Color: Gray</t>
  </si>
  <si>
    <t xml:space="preserve"> 1.	The Local Government Unit (LGU) of Aroroy, through its Annual Budget 2020 to apply the sum of Php 300,000.00 being the Approved Budget for the Contract (ABC) to payments under the contract for Procurement of Consultancy Services for Preparation of Envi</t>
  </si>
  <si>
    <t xml:space="preserve"> Toner, Samsung MLT D205L</t>
  </si>
  <si>
    <t xml:space="preserve"> Title:Procurement of 1,000 Vial Rabies Vaccine(10 Dose/Vial),etc. under P.R.No. 1408-2020-Office of the City Veterinarian. Total ABC: Php 1,595,798.00 For representative/s of interested bidders who wish to attend the Pre-Bidding Conference, please bring t</t>
  </si>
  <si>
    <t xml:space="preserve"> Department of Health Central Luzon Center for Health Development MARIVELES MENTAL WELLNESS AND GENERAL HOSPITAL Mariveles, Bataan BAC Office, BAC Secretariat (047) 633-4992 procurement@mmh.gov.ph INVITATION TO BID  RE-BIDDING OF MEDICAL SUPPLIES 2020 2020</t>
  </si>
  <si>
    <t xml:space="preserve"> Republic  of  the  Philippines  Province  of  Marinduque MUNICIPALITY  OF  GASAN INVITATION TO BID FOR  THE REPAIR OF FLOOD CONTROL 1.	The Municipality of Gasan, through MDRRMFIP CY 2020, Disaster Prevention and Mitigation intends to apply the sum of  Thr</t>
  </si>
  <si>
    <t xml:space="preserve"> A) REQUEST FOR QUOTATION 1. 5 pails Flat Latex, white 2. 16 pails Semi-gloss Latex, white 3. 20 kilos Patching Compound 4. 4 pcs Paint Roller 9” cotton w/ tray 5. 4 pcs Paint Brush 4”  Note: Delivery Period: Fifteen (15) Calendar days B) USE COMPANY LETTE</t>
  </si>
  <si>
    <t xml:space="preserve"> INVITATION TO BID The DPWH Regional Office IX, Veterans Avenue Extension, Tetuan, Zamboanga City, through its Bids and Awards Committee (BAC), invites contractors to submit bids for the following Contract: Contract ID	:	20J00213 Contract Name	:	Concreting</t>
  </si>
  <si>
    <t xml:space="preserve"> 16 pcs Pedicle Screws 2 set Crosslink</t>
  </si>
  <si>
    <t xml:space="preserve"> 1 set Arthroscopic ACL Reconstruction</t>
  </si>
  <si>
    <t xml:space="preserve"> INVITATION TO BID ITB NO. 2020-06-0201 The Procuring Entity through its Bids and Awards Committee (BAC), invites eligible Construction suppliers to apply for eligibility and to bid for the hereunder project: Name of Project: Supply and Delivery of Supplie</t>
  </si>
  <si>
    <t xml:space="preserve"> REQUEST FOR QUOTATION The Ministry of Public Works -Maguindanao 2nd Engineering Office through its Bids and Awards Committee (BAC), will undertake a Small Value Procurement for the “Supply and Delivery of Office Supplies” in accordance with Section 53.9 o</t>
  </si>
  <si>
    <t xml:space="preserve"> [Republic of the Philippines] Province of Pangasinan Municipality of Natividad INVITATION TO BID FOR TITLE: Purchase of Various Office Equipment and Materials for Sangguniang Bayan and Vice Mayor’s Office Approved budget for the Contract: P460,299.00 The </t>
  </si>
  <si>
    <t xml:space="preserve"> 1 set THA Ceramic on Ceramic</t>
  </si>
  <si>
    <t xml:space="preserve"> 235	Bg	Cement, Portland 		 		 		 		Requirements: 		1. Mayor’s/Business Permit 		2. PhilGEPS Registration Number</t>
  </si>
  <si>
    <t xml:space="preserve"> Republic of the Philippines BIDS AND AWARDS COMMITTEE 9017 Población, El Salvador City Misamis Oriental  INVITATION TO BID for the PROCUREMENT OF FERTILIZER, CORN SEEDS AND SPRAYER  DISTRIBUTION TO FARMERS 1. 	The LGU-El Salvador City, Misamis Oriental, t</t>
  </si>
  <si>
    <t xml:space="preserve"> BRAND NEW MULTI-PURPOSE VEHICLE WITH					 REAR FB BODY AND DUAL AIRCON					 MANUAL TRANSMISSION					  COLOR: White					 					 Engine Type:  Diesel, 2.2L Euro 4 Compliant,					 	turbocharged &amp; intercooled 16-Valve DOHC				 Fuel System: Electronic Common Ra</t>
  </si>
  <si>
    <t xml:space="preserve"> Unit     Qty       Item sets     3          Mag Wheels 15x7 Van Edition Black</t>
  </si>
  <si>
    <t xml:space="preserve"> B.9	Mobilization/Demobiliazation	lot	all	21,000.00 102(2)b	Roadway Excavation (Surplus Common)	146	cu.m.	24,382.00 103(1)a	Structure Excavation (Common Soil)	11	cu.m.	3,553.00 105(1)	Subgrade Preparation (Common Material)	360	sq.m.	6,480.00 201	Aggregate </t>
  </si>
  <si>
    <t xml:space="preserve"> RFQ and Notice of Procurement for PR No. 2020-06-0012 - Procurement of Disinfectant and Surgical Mask for use in the DPWH Regional Office No. III</t>
  </si>
  <si>
    <t xml:space="preserve"> Description INVITATION TO BID / REQUEST FOR EXPRESSION OF INTEREST The Municipality of Allacapan, through its Bids and Awards Committee (BAC), invites suppliers/distributors/contractors to apply for eligibility and to bid for the hereunder project: Name o</t>
  </si>
  <si>
    <t xml:space="preserve"> For information dissemination on Corn programs / projects / activities</t>
  </si>
  <si>
    <t xml:space="preserve"> A) REQUEST FOR QUOTATION 1. 6 pcs 1.5mm x 1” x 2” x 6 mtrs – Tubular Steel 2. 16 pcs 1.5mm x 2” x 2” x 6 mtrs – Tubular Steel  3. 20 kg Welding Rod 6013 1/8” 4. 1 box Blind rivets 1/8 Ø ½” 5. 30 pcs Cutting Disc 4"Ø 6. 10 pcs Grinding Disc 4”Ø 7. 12 pcs 2</t>
  </si>
  <si>
    <t xml:space="preserve"> 1 set Retrograde IM Nail Femur Tension Band Wiring 2 set 0.62 K-wire 1 set Cerclage wire</t>
  </si>
  <si>
    <t xml:space="preserve"> Invitation to Bid 1.	The Municipality of Manay, through the General Fundintends to apply the sum of Five Hundred Thousand Pesos( 500,000.00 ) being the Approved Budget for the Contract (ABC) to payments under the contract for the Supply and Delivery of Fu</t>
  </si>
  <si>
    <t xml:space="preserve"> Rehabilitation/improvement of multi-purpose hall</t>
  </si>
  <si>
    <t xml:space="preserve"> Absorbable haemostat (oxidized regenerated cellulose 3”x4”	100	PC	 Absorbent hemostatic sponge approximately 7cm x 15cm, 1cm, 10’s sterile	4	Box	 Gauze antiseptic dressing with soft paraffin and 0.5% chlorhexidine acetate 10cm x 10cm, single pack, sterile</t>
  </si>
  <si>
    <t xml:space="preserve"> Proposed Rehabilitation/Improvement of BPSO Headquarters at Dr. San Juan St.</t>
  </si>
  <si>
    <t xml:space="preserve"> REFORESTATION PLAN WITHIN MISAMIS OCCIDENTAL SCOPE OF WORKS: 1. Gathering of primary and secondary data 2. Analysis of data and report writing 3. Working on the finalization of plan/packaging and initial deliberation with the PENRO/CENRO TWG and Technical</t>
  </si>
  <si>
    <t xml:space="preserve"> Republic of the Philippines PROVINCE OF ISABELA Ilagan REQUEST FOR QUOTATION (RFQ) FOR CONSTRUCTION PROJECT NEGOTIATED PROCUREMENT-TWO FAILED BIDDINGS 									July 03, 2020 1.	In view of the two (2) failed biddings, The Provincial Government of Isabela, </t>
  </si>
  <si>
    <t xml:space="preserve"> TABLES AND CHAIRS</t>
  </si>
  <si>
    <t xml:space="preserve"> Republic of the Philippines Province of Batangas CITY OF TANAUAN INVITATION TO BID Description 1)	The City Government of Tanauan, through the General Fund intends to apply the sum of PHP 2,137,500.00 being the Approved Budget for the Contract (ABC) to pay</t>
  </si>
  <si>
    <t xml:space="preserve"> Republic  of  the  Philippines  Province  of  Marinduque MUNICIPALITY  OF  GASAN INVITATION TO BID FOR  THE CONSTRUCTION  OF 63 CU.M. FOOD COURT DRAINAGE AND SEPTIC TANK 1.	The Municipality of Gasan, through  20% Development Fund Continuing Appropriation,</t>
  </si>
  <si>
    <t xml:space="preserve"> FOR THE MONTH OF JULY 2020:					 2000	L	diesel					 1000	L	gasoline					 300	L	unleaded					 20	L	diesel oil (regular)					 14	L	diesel oil (synthetic)					 15	L	gasoline oil (regular)					 7	L	gasoline oil (synthetic)					 5	L	SAE 15W 40					 8	L	Coolant</t>
  </si>
  <si>
    <t xml:space="preserve"> Items and Description Procurement of Various Boots 1. Field Boots Thigh high, size: EUR 36-46; PVC Material; wear- resistance 2. Rice Paddy Boots (8”), heavy duty, rubberized thigh high length 3. Rubber Boots for Women (Size 9”) heavy duty 4. Rubber Boots</t>
  </si>
  <si>
    <t xml:space="preserve"> The Barangay Government of Barangay MABINI, Tanauan City, Batangas through the Bids and Awards Committee (BAC) invites Suppliers/Contractors to apply for eligibility and if subsequently found eligible, to bid for the projects described hereunder, viz: Pro</t>
  </si>
  <si>
    <t xml:space="preserve"> Laryngoscope with blades with Stainless Steel MacIntosh Fiber-Optic Laryngoscope Blades; Green Standard (ISO 7376); Fiber Optic Halogen handle in AC/DC modes; Bright, white  Halogen illumination for clear, color-corrected view; Knurled finish ensure durab</t>
  </si>
  <si>
    <t xml:space="preserve"> Republic of the Philippines CITY OF PANABO Province of Davao del Norte BIDS AND AWARDS COMMITTEE -o0o- INVITATION TO BID  SUPPLY OF CONSTRUCTION MATERIALS 1.	The City of Panabo, through CEO/ REPAIR &amp; MAINTENANCE-INFRASTRUCTURE ASSETS (STREET LIGHT) 2ND QU</t>
  </si>
  <si>
    <t xml:space="preserve"> Supply and Delivery of Various Dietary Supplies and Materials aluminum foil, 12" x 300ft	piece	500	2	1,000.00 cling wrap, 12" x 300ft	piece	300	35	10,500.00 Handsafe gloves, 100's	pack	40	50	2,000.00 Handsafe gloves, 100's	pack	40	50	2,000.00 dishwashing </t>
  </si>
  <si>
    <t xml:space="preserve"> REQUEST FOR EXPRESSION OF INTEREST The National Capital Region (NCR) - North Sector Regional Office of the National Housing Authority (NHA), through Corporate Receipts approved by the NHA Board for the year 2020, intends to invite collection service provi</t>
  </si>
  <si>
    <t xml:space="preserve"> 1 set Proximal Femoral Nail (Long)</t>
  </si>
  <si>
    <t xml:space="preserve"> BRAND NEW PICKUP VEHICLE 4X4, 2.8L DIESEL,					      MANUAL TRANSMISSION					  COLOR: preferrably White					 ENGINE:					      2.8-3.0L Diesel, 4 Cylinder, 16-Valve, Double					           Overhead Camshaft, Variable Nozzle Turbo					           with Interc</t>
  </si>
  <si>
    <t xml:space="preserve"> 4 set K-wire 1 set Variable Angle Volar Locking Plate</t>
  </si>
  <si>
    <t xml:space="preserve"> SUPPLY AND DELIVERY OF TONER CARTRIDGE (40 CARTS), HP285A (HP85A) BLACK</t>
  </si>
  <si>
    <t xml:space="preserve"> Department of Public Works and Highways Contract ID	:	20MH0109 Contract Name	:	Repair/Maintenance of Drainage along Isulan Jct.- Sen. Ninoy Aquino Road (K1829+897 - K1830+247)  Contract Location	:	Bagumbayan, Sultan Kudarat Department of Public Works and </t>
  </si>
  <si>
    <t xml:space="preserve"> *For any inquiries, please look for Ms. Menchie Jamorabo. Contact details: Telefax : 8-733 4861/71 Email: menchie.jamorabo@pms.gov.ph Corrugated Box, heavy duty, die cut, telescopic design with print on both sides, PRESIDENTIAL MANAGEMENT STAFF size: 735 </t>
  </si>
  <si>
    <t xml:space="preserve"> A) REQUEST FOR QUOTATION 1. 1 lot FC-10-02H01-247-02-12 FortiDDoS-200B 24x7 FortiCare Includes: Advanced Hardware Replacement, Firmware and General Upgrades, 24x7 Comprehensive Support for 6 Months covering July 1, 2020 – December 31, 2020 B) USE COMPANY </t>
  </si>
  <si>
    <t xml:space="preserve"> RFQ-GS-20200622-05 Interested Suppliers are invited to submit Price Quotation for the above listed item. The official LANDBANK Request for Quotation Form may be obtained from MS. JAM FABELLA (tel no.: 85512200 locals 2452, 24539; email address: jamfabella</t>
  </si>
  <si>
    <t xml:space="preserve"> INVITATION TO BID 				          (Re-Advertisement) The __DPWH-2nd District Engineering Office, Labason, Zamboanga del Norte  , through its Bids and Awards Committee (BAC), invites contractors to submit bids for the following Contract:      Contract ID: 20</t>
  </si>
  <si>
    <t xml:space="preserve"> PLEASE SEE ATTACHED TOR AND SPECIFICATIONS</t>
  </si>
  <si>
    <t xml:space="preserve"> Line Item 1 	McDonald Jar (9 liter water capacity)	21 pcs 	Water Heater 1.5KW (=or &gt; 3 gallon)	7 unit 	Electric Breaker 20A	7 unit 	Ball valve PPC (water heater capacity)	28 pcs 	Ball valve PVC (cold water)	28 pcs 	PVC blue Pipe 1/2	28 pcs 	PVC Elbow 1/2	</t>
  </si>
  <si>
    <t xml:space="preserve"> Republic of the Philippines BIDS AND AWARDS COMMITTEE FOR THE PROCUREMENT OF GOODS City of Puerto Princesa Barangay Sta. Monica INVITATION TO BID (Procurement of Goods) PR No. 2020-06-032 Date: June 18, 2020 Procuring/Funding Office/Department: Barangay S</t>
  </si>
  <si>
    <t xml:space="preserve"> INVITATION TO BID FOR  2nd Invitation for the Supply and Delivery of Manual and Self-Propelled Forklift 1.	The Department of Agriculture Regional Field Office No. 5, through the General Appropriation Act (GAA) for CY 2020-Corn Program intends to apply the</t>
  </si>
  <si>
    <t xml:space="preserve"> [Republic of the Philippines] Province of Pangasinan Municipality of Natividad INVITATION TO BID FOR TITLE: Purchase of Various Office Supplies and Materials for Sangguniang Bayan and Vice Mayor’s Office Approved budget for the Contract: P217,038.94 The [</t>
  </si>
  <si>
    <t xml:space="preserve"> PROC-RFQ-00	 										 REPUBLIC OF THE PHILIPPINES										 PRESIDENTIAL BROADCAST STAFF-RTVM										 MALACANANG, MANILA										 										 REQUEST FOR QUOTATION										 TEL: 734-5681										 										 Name of Company							Approved Budget for </t>
  </si>
  <si>
    <t xml:space="preserve"> Republic of the Philippines CITY OF PANABO Province of Davao del Norte BIDS AND AWARDS COMMITTEE -o0o- REQUEST FOR QUOTATION 1.	 The City of Panabo, through VARIOUS OFFICES 2ND QUARTER MOOE 2020 – intends to apply the sum of Three Hundred Ninety-Nine Thou</t>
  </si>
  <si>
    <t xml:space="preserve"> 1 set THA (Cementless)</t>
  </si>
  <si>
    <t xml:space="preserve"> INVITATION TO BID FOR  Procurement and Delivery of Various Goods 1.	The Philippine Science High School – CAR Campus (PSHS-CARC), through the R.A. No. 11465 (FY 2020 GAA) intends to apply the sum of ONE MILLION THREE HUNDRED NINE THOUSAND AND NINE HUNDRED </t>
  </si>
  <si>
    <t xml:space="preserve"> INVITATION TO BID (Re-Advertisement) The __DPWH-2nd District Engineering Office, Labason, Zamboanga del Norte  , through its Bids and Awards Committee (BAC), invites contractors to submit bids for the following Contract:      Contract ID: 20JC0083       C</t>
  </si>
  <si>
    <t xml:space="preserve"> INVITATION TO BID FOR  2nd Invitation for the Supply and Delivery of 4 units Multiple Extracting Machine 1.	The Department of Agriculture Regional Field Office No. 5, through the General Appropriation Act (GAA) for CY 2020-HVCDP intends to apply the sum o</t>
  </si>
  <si>
    <t xml:space="preserve"> Supply &amp; Delivery of Meals and Snacks to be used for the State of the Municipality Address on July 9, 2020, Municipality of Bongabong, Oriental Mindoro</t>
  </si>
  <si>
    <t xml:space="preserve"> Item No.	QTY.	UNIT	DESCRIPTION/SPECIFICATION OF ARTICLES	ABC	 				Unit	Total 1	2	bot	Anesthesia, Topical, Benzocaine 20% Gel, 30 grams	 350.00 	700.00 2	2	bot	Anesthesia, Topical, Xylocaine 10% Spray, 50 ml	 2,000.00 	4,000.00 3	40	box	Anesthesia, Lidocai</t>
  </si>
  <si>
    <t xml:space="preserve"> SUPPLY, DELIVERY &amp; INSTALLATION OF 20 UNITS CABINET- OPEN STEEL SHELVES FOR SSS ZAMBOANGA BRANCH SPECIFICATIONS:    -  SIZE: 545mm (W) x 1830mm (D) x 1830mm (H)    -  MATERIAL: STEEL    - 4 LAYERS FOR QUERIES &amp; FURTHER DETAILS:     YOU MAY CONTACT MS. GRA</t>
  </si>
  <si>
    <t xml:space="preserve"> 1 set Proximal Femoral Nail, (Long)</t>
  </si>
  <si>
    <t xml:space="preserve"> Delivery of construction materials</t>
  </si>
  <si>
    <t xml:space="preserve"> 1 set DTLP Lateral  2 set 1/3 Tubular Plate 1 set Fowler Regular Plate 2 pcs 4.5 Cannulated Screw w/ washer</t>
  </si>
  <si>
    <t xml:space="preserve"> Unit 	Item Description	QTY 		 Multipurpose Building Pcs	Roller shades Combi 55" x 99"	12 Pcs	Roller shades Combi 59" x 72"	14 Pc	Roller shades Combi 43" x 72"	1 Pc	Roller shades Combi 43" x 87"	1 Pcs	Roller shades Combi 59" x 87"	9  New Admin ICT Office, </t>
  </si>
  <si>
    <t xml:space="preserve"> Line Item No. 1	         Solar panel board, 200 watts capacity each	20 pcs 	Solar panel board, 150 watts capacity each	25 pcs 	Rechargeable Seal Lead_Acid Maintenance free Battery (Solar battery), 12V 100AH/20HR 50 pcs 	Solar power Inverter transformer ty</t>
  </si>
  <si>
    <t xml:space="preserve"> 3 kilos po rice per household</t>
  </si>
  <si>
    <t xml:space="preserve"> 135  RM Paper Bond 11 x 17, 70gsm, Subs 20  -In accordance with the Technical Specifications  ABC: Php 57,510.00  NOTE: Please sign all pages of the Technical Specifications and submit it together with your quotation. If selected as the winning bidder, yo</t>
  </si>
  <si>
    <t xml:space="preserve"> 1 set Distal Humeral Lock Plate (Dual Plate)</t>
  </si>
  <si>
    <t xml:space="preserve"> The Municipality of Limay, through its Bids and Awards Committee (BAC) invites registered suppliers to apply for eligibility and if found eligible, to bid for the hereunder project/contract: Project/Contract:   SUPPLY AND INSTALLATION OF ONE (SET) VENTILA</t>
  </si>
  <si>
    <t xml:space="preserve"> Item no.	Qty	Unit	Item Description's			Est. Unit	Estimated 						Cost	Cost 							 1	2	UNITS	ASUS Laptop				 							 							 							 							 							 							 							 							 TOTAL AMOUNT REQUESTED							 -    							 Purpose:	Two (2) units of Laptop to be </t>
  </si>
  <si>
    <t xml:space="preserve"> Republic of the Philippines PROVINCE OF ZAMBOANGA SIBUGAY Municipality of Roseller T. Lim    INVITATION TO BID 						July 02, 2020 	 To All Interested Bidders: Notice is hereby served that sealed bid be received for public bidding under the harmonious pro</t>
  </si>
  <si>
    <t xml:space="preserve"> RFQ-GS-20200622-03 Interested Suppliers are invited to submit Price Quotation for the above listed item. The official LANDBANK Request for Quotation Form may be obtained from Mr. RUEL MARCA (tel no.: 85512200 locals 2290, 2979; email address: dudonmarca@g</t>
  </si>
  <si>
    <t xml:space="preserve"> SEE ATTACHED</t>
  </si>
  <si>
    <t xml:space="preserve"> A) REQUEST FOR QUOTATION 1. 10 Unit Flatbed Document Scanner Scan Function: Scanner Type: Flatbed colour image scanner Sensor Type: CIS Light Source: LED Optical Resolution: 1,200 x 1,200 dp Output Resolution: 50 – 1,200 dpi (in 1 dpi increments) Scanner </t>
  </si>
  <si>
    <t xml:space="preserve"> Location : Legazpi City, Albay Scope of Work : Repair/ Rehabilitation of Existing Roofing</t>
  </si>
  <si>
    <t xml:space="preserve"> Page 1 of 7 REQUEST FOR QUOTATION (RFQ) SUPPLY AND DELIVERY OF LABORATORY ITEMS UNDER EMB-ERLSD-ESRS RFQ NO. EMB-S-ERLSD-ESRS LABORATORY ITEMS 2020-0506 1. The Department of Environment and Natural Resources – Environmental Management Bureau (DENR-EMB) he</t>
  </si>
  <si>
    <t xml:space="preserve"> Qty.    Unit    Description 1         unit   Airconditioning Unit (Split Type) 2.5 HP with installation</t>
  </si>
  <si>
    <t xml:space="preserve"> Repair/maintenance of water system</t>
  </si>
  <si>
    <t xml:space="preserve"> Location : Legazpi City, Albay Scope of Work : Repair/ Rehabilitation of Electrical System</t>
  </si>
  <si>
    <t xml:space="preserve"> 5 units prepaid, internet broad band</t>
  </si>
  <si>
    <t xml:space="preserve"> Please see attached scope of works for more detailed instruction. All interested supplier may submit their sealed quotations together with the following documentary requirements: 1. Current Mayor's / business permit 2. Omnibus Sworn Statement 3. Income/ B</t>
  </si>
  <si>
    <t xml:space="preserve"> BARANGAY ROAD CONCRETING  - 264 SQ.M.</t>
  </si>
  <si>
    <t xml:space="preserve"> The SANGGUNIANG BARANGAY OF BARANGAY BOOT, TANAUAN CITY, BATANGAS, through the Barangay Operating Budget 2020 intends to apply the sum of Forty Nine Thousand One Hundred Eighty Two Pesos &amp; 50/100 Only (Php 49,182.50) being the Approved Budget of the Contr</t>
  </si>
  <si>
    <t xml:space="preserve"> Republic of the Philippines DEPARTMENT OF AGRARIAN REFORM Sarangani Province REQUEST FOR QUOTATION The Department of Agrarian Reform (DAR), through its Bids and Awards Committee (BAC), will undertake procurement of Vehicle Tires, Battery and various parts</t>
  </si>
  <si>
    <t xml:space="preserve"> Name of the Procuring Entity: LGU LILA					Project Reference Number    : 02-0066-20			 								 					Name of the Project             :			Rental of Accomodation for Frontliners								 								 								 					Location of the Project         :			LGU-Lila				</t>
  </si>
  <si>
    <t xml:space="preserve"> Supply and Delivery of Various Food Supplies for the Month of September 2020 all purpose cream, 250ml	piece	70	70	4,900.00 brown sugar, washed, 1kg/pack	kilogram	60	120	7,200.00 catsup, banana	gallon	200	2	400.00 cheese, 440grams	bar	160	20	3,200.00 Chees</t>
  </si>
  <si>
    <t xml:space="preserve"> The Barangay Government of Barangay GONZALES, Tanauan City, Batangas through the Bids and Awards Committee (BAC) invites Suppliers/Contractors to apply for eligibility and if subsequently found eligible, to bid for the projects described hereunder, viz: N</t>
  </si>
  <si>
    <t xml:space="preserve"> Scope of Work: 1. Construction of Concrete Fence Est. Length = 70m. Est. Height = 7.5m A. Excavation/Clearing B. CHB Fence (Plastered) C. Hauling Cost</t>
  </si>
  <si>
    <t xml:space="preserve"> Purchase of medical equipment</t>
  </si>
  <si>
    <t xml:space="preserve"> REQUEST FOR QUOTATION SUPPLY AND DELIVERY OF HANDHELD RADIOS  FOR THE PROCUREMENT SERVICE AMP-015-20 (SVP) Sir/Madam: Please quote your best proposal for the item/s described below using the Price Proposal Form (see Annex "A" of the Request for Quotation)</t>
  </si>
  <si>
    <t xml:space="preserve"> Construction/ Repair/ Rehabilitation/ Improvement of Various Infrastructure Including Local Projects - Rehabilitation of Multi-Purpose Building (Day Care Center for Health, Nutrition and Sanitation Office and Evacuation Center), Baguio City Contract Locat</t>
  </si>
  <si>
    <t xml:space="preserve"> 1. Sublimation Customized Polo Shirt (with CMU Logo)                    30 pcs.  2. Office Curtains (Curtain window: modern, velvet)                         2 sets</t>
  </si>
  <si>
    <t xml:space="preserve"> Barangay Road Concreting  - 187.00 sq.m.</t>
  </si>
  <si>
    <t xml:space="preserve"> Republic of the Philippines DEPARTMENT OF AGRARIAN REFORM Sarangani Province REQUEST FOR QUOTATION The Department of Agrarian Reform (DAR), through its Bids and Awards Committee (BAC), will undertake procurement of various common supplies for DARPO SP use</t>
  </si>
  <si>
    <t xml:space="preserve"> RFQ-GS-20200625-02 Interested Suppliers are invited to submit Price Quotation for the above listed item. The official LANDBANK Request for Quotation Form may be obtained from MS. NADIA ILETO (tel no.: 85512200 locals 2979, 2290; email address: nadiaileto_</t>
  </si>
  <si>
    <t xml:space="preserve"> 1. Turtle Engine (8 horse power-diesel engine)                                1 unit 2. Backless Turtle Body w/o Engine (width:44 inches, length:52 inches                          2 units 3. Turtle Engine (air-cooled diesel) max. output 7.4kw/3600 min, hi</t>
  </si>
  <si>
    <t xml:space="preserve"> INVITATION TO BID IB 2020-078 The Philippine Children’s Medical Center, through GAA 2019/2020 intends to apply the sum of Four Hundred Ninety-Six Million Pesos (Php496,000,00.00) being the Approved Budget for the Contract (ABC) to payment under the contra</t>
  </si>
  <si>
    <t xml:space="preserve"> Construction/ Repair/ Rehabilitation/ Improvement of Various Infrastructure Including Local Projects - Rehabilitation of Multi-Purpose Building (Senior Citizens' Center), Baguio City Contract Location :	Irisan, Baguio City Approved Budget for the Contract</t>
  </si>
  <si>
    <t xml:space="preserve"> Pocket Wifi (2 sets)                              12 pcs</t>
  </si>
  <si>
    <t xml:space="preserve"> To undertake the conversion of CHD Office into Covid-19 Testing Laboratory</t>
  </si>
  <si>
    <t xml:space="preserve"> Supply &amp; Delivery of Meals and Snacks to be used for Launching of Balik Probinsya, Bagong Pag -asa Program on July 8, 2020</t>
  </si>
  <si>
    <t xml:space="preserve"> INVITATION TO BID The Municipality of Pagsanjan, through its Bids and Awards Committee (BAC), interested contractors registered to apply for eligibility and if found eligible, to bid for the hereunder contract: 	 Name of Contract: 	Procurement of Gasoline</t>
  </si>
  <si>
    <t xml:space="preserve"> 1. The CITY GOVERNMENT OF CALAMBA through the General Fund intends to apply the sum of PHP 3,225,612.00 being the Approved Budget for the Contract (ABC) to payments under the contract for: G-2020-391 Repair &amp; Maintenance of Cistern/Pump Room &amp; Control Pan</t>
  </si>
  <si>
    <t xml:space="preserve"> Other Supplies and Materials</t>
  </si>
  <si>
    <t xml:space="preserve"> BARANGAY ROAD REPAIR FROM SITIO NATAS-AN TO BARRIO PROPER  - 300.00sq.m.</t>
  </si>
  <si>
    <t xml:space="preserve"> The Barangay Government of Darasa, Tanauan City through the Bids and Awards Committee(BAC) invites Suppliers/Contractors to apply for the eligibility and if subsequently found eligible to bid for the supply of materials for the project described here unde</t>
  </si>
  <si>
    <t xml:space="preserve"> ROAD CONCRETING   - 4m x 0.15m x 22m.</t>
  </si>
  <si>
    <t xml:space="preserve"> Republic of the Philippines REGION IX PROVINCE OF ZAMBOANGA DEL SUR Pagadian City Provincial Capitol, Pagadian City INVITATION TO APPLY FOR ELIGIBILITY AND TO BID The Provincial Government of Zamboanga del Sur, through its Bids and Awards Committee (BAC),</t>
  </si>
  <si>
    <t xml:space="preserve"> 1	pc	Crank Shaft 1	pc	Cylinder Resleeving reboring 1	pcs	Main Hounting and Caps Line boring 1	pc	Cylinder Block 1	pcs	Valve Refaling 1	pcs	Valve Guide Replaced 1	pcs	Valve Seat refacing 		Saddle B-up 		Supply Parts</t>
  </si>
  <si>
    <t xml:space="preserve"> 257 BAGS OF COMPLETE 14-14-14 (50 KILOS) 257 BAGS OF UREA 46-0-0 257 BAGS OF POTASH 0-0=60</t>
  </si>
  <si>
    <t xml:space="preserve"> INVITATION TO BID The Municipality of Pagsanjan, through its Bids and Awards Committee (BAC), interested contractors registered to apply for eligibility and if found eligible, to bid for the hereunder contract: 	 Name of Contract: 	Procurement of Rescue E</t>
  </si>
  <si>
    <t xml:space="preserve"> INSTALLATION OF SUBMERSIBLE PUMP, SUCTION PIPE AND WIRINGS:		 (LABOR &amp; MATERIALS)		 Specifications:		 2.0 hp Submersible Pump, Pecil Type, 210ft		 Dynamic Head, Single Phase, coupled,		 w/ "US Quality" Electric Motor, 3450RPM, 220V,		 60 cycles, canned ty</t>
  </si>
  <si>
    <t xml:space="preserve"> Construction/ Repair/ Rehabilitation/ Improvement of Various Infrastructure Including Local Projects - Rehabilitation of Road at Barangay Irisan and Pinsao Proper, Baguio City Contract Location :	Irisan and Pinsao Proper, Baguio City Approved Budget for t</t>
  </si>
  <si>
    <t xml:space="preserve"> Convex Mirror 32”  2 piece   Blower Reversable  1 piece  Pressure Washer  1 piece  Glass Cabinet  1 piece LED Cabinet Spot Light Fitting Self Adhesive  4 piece</t>
  </si>
  <si>
    <t xml:space="preserve"> Construction of Barangay Nursery</t>
  </si>
  <si>
    <t xml:space="preserve"> RFQ-GS-20200623-04 Interested Suppliers are invited to submit Price Quotation for the above listed item. The official LANDBANK Request for Quotation Form may be obtained from Ms. ARVIE ESTRELLA (tel no.: 85512200 locals 2452, 2453; email address: avestrel</t>
  </si>
  <si>
    <t xml:space="preserve"> Food Supplies</t>
  </si>
  <si>
    <t xml:space="preserve"> 1. The CITY GOVERNMENT OF CALAMBA through the Special Education Fund intends to apply the sum of PHP 32,990,936.84 being the Approved Budget for the Contract (ABC) to payments under the contract for: I-2020-012 Construction of 4-Sty 20 Cl. School Building</t>
  </si>
  <si>
    <t xml:space="preserve"> Please see attached Health Protocol before proceeding to USTP-Claveria.  Invitation to Bid for the Renovation of 2-Storey 4-Rooms President’s Cottage     Contract ID No. 	:	INFR-001-20 Contract Location	:	USTP-Claveria, Moscat, Claveria, Misamis Oriental </t>
  </si>
  <si>
    <t xml:space="preserve"> Local Government Unit of Palo Barangay Guindapunan Invitation to Bid for Construction/ Installation of 9 Units of Solar Double Arms LED Street Lights (100 Led) 2020-07-01 1.	The Local Government Unit of Palo, Barangay Guindapunan through the 20% Developme</t>
  </si>
  <si>
    <t xml:space="preserve"> INVITATION TO BID  for the following Projects: Repair/Maintenance of DPWH Building Motorpool Dinagat Islands District Engineering Office San Jose, Dinagat Islands The Department of Public Works and Highways, DPWH Dinagat Islands District Engineering Offic</t>
  </si>
  <si>
    <t xml:space="preserve"> Rehabilitation of Seven (7) Purok Reading Center</t>
  </si>
  <si>
    <t xml:space="preserve"> Republic of the Philippines Province of Leyte Municipality of Hilongos Barangay Marangog INVITATION TO BID FOR THE PROCUREMENT OF WATER SYSTEM 1. The Barangay Marangog of Hilongos,Leyte through 20% LDF 2020 intends to apply the sum THREE HUNDRED TWENTY TW</t>
  </si>
  <si>
    <t xml:space="preserve"> Request for Quotation (Negotiated Procurement-Sec. 53.1 of RIRR of RA 9184)                                                                             The Iligan City Government Bids and Awards Committee(BAC) Posted Request for Quotation for the SUPPLY A</t>
  </si>
  <si>
    <t xml:space="preserve"> 1. The Mindanao State University - Tawi-Tawi College of Technology and Oceanography (MSU-TCTO), through the TRUST FUND, intends to apply the sum of Nine Hundred Ninety-Nine Thousand Nine Hundred Ninety-One and 54/100 pesos only (PhP 999,991.54) being appr</t>
  </si>
  <si>
    <t xml:space="preserve"> RE-INVITATION TO BID The DPWH Davao Occidental District Engineering Office, Buhangin, Malita, Davao Occidental, through its Bids and Awards Committee (BAC), invites contractors to submit bids for the following Contract: Procurement ID / Contract ID	:	20LE</t>
  </si>
  <si>
    <t xml:space="preserve"> pls see attached docs</t>
  </si>
  <si>
    <t xml:space="preserve"> REQUEST FOR QUOTATION (RFQ) PREVENTIVE MAINTENANCE AND CALIBRATION SERVICES OF ONE (1) UNIT NIC MERCURY ANALYZER MA-3000 (S/N:13740229) WITH SUPPLY AND DELIVERY OF SPAREPARTS UNDER EMB-ERLSD-ELSS–ECMU RFQ NO. EMB-ERLSD-SVP-NIC MA-3000 PM 2020-0515 1.	The </t>
  </si>
  <si>
    <t xml:space="preserve"> 1 UNT - Photocopier Machine (per attached BSP specifications)</t>
  </si>
  <si>
    <t xml:space="preserve"> RFQ-GS-20200626-02 Interested Suppliers are invited to submit Price Quotation for the above listed item. The official LANDBANK Request for Quotation Form may be obtained from MS. ANJ EMETERIO (tel no.: 84057234; email address: mqemeterio@gmail.com). The d</t>
  </si>
  <si>
    <t xml:space="preserve"> 1.	The Local Government Unit of Enrique Villanueva, through the 2019 LGSF AM Fund   intends to apply the sum of Php 2,199,640.64  being the Approved Budget for the Contract (ABC) to payments under the contract for Rehabilitation/Improvement of Level II Wa</t>
  </si>
  <si>
    <t xml:space="preserve"> This projects observes the following: 1. Concreting works 2. Rebar Works 3. Form Works 4. Plumbing works</t>
  </si>
  <si>
    <t xml:space="preserve"> Rental of One (1) unit Service Vehicle for Pag-IBIG Fund San Pablo City Branch   Pag-IBIG Fund Calamba Business Center National Highway, Brgy. Halang, Calamba City SCOPE OF SERVICE PROJECT: 	Provision for the Rental of motor service vehicles to be used by</t>
  </si>
  <si>
    <t xml:space="preserve"> 1. The CITY GOVERNMENT OF CALAMBA through the General Fund intends to apply the sum of PHP 2,560,320.00 being the Approved Budget for the Contract (ABC) to payments under the contract for: G-2020-393 Supply and Delivery of Rice Office of the City Mayor, C</t>
  </si>
  <si>
    <t xml:space="preserve"> Pls see attached docs</t>
  </si>
  <si>
    <t xml:space="preserve"> RFQ FOR THE CONSTRUCTION MATERIALS ONLY FOR THE PROJECT FOR THE FOLLOWING SITIO'S SITIO PALANAS SITIO SUBOK SITIO CENTRO</t>
  </si>
  <si>
    <t xml:space="preserve"> Invitation to Bid Procurement of Service Provider for Shuttle Services for CHED Employees for Three (3) Months 1.	The Commission on Higher Education, through the CHED – Fund 101 GAA for FY 2020 intends to apply the sum of Five Million Five Hundred Twenty </t>
  </si>
  <si>
    <t xml:space="preserve"> INVITATION TO BID FOR the Procurement of Assorted Laboratory Supplies with Ref# 2020-06-06 1.	The FOOD AND NUTRITION RESEARCH INSTITUTE, through the “Identification of Nutritional Disorder-Related Genes among Adult Respondents of the Expanded National Nut</t>
  </si>
  <si>
    <t xml:space="preserve"> 4 units- Bill Counting MAchine (per attached BSP specifications)</t>
  </si>
  <si>
    <t xml:space="preserve"> 1. The CITY GOVERNMENT OF CALAMBA through the General Fund intends to apply the sum of PHP 4,999,995.63 being the Approved Budget for the Contract (ABC) to payments under the contract for: I-2020-016 Construction of Senior Citizen Building Villa Palao, Ba</t>
  </si>
  <si>
    <t xml:space="preserve"> INVITATION TO BID FOR the Procurement of Assorted Technical and Scientific Equipment – Ref. # 2020-06-05 1.	The FOOD AND NUTRITION RESEARCH INSTITUTE, through the “DOST-GIA Project entitled “Exposure Assessment of Food Chemical Contamination in Metro Mani</t>
  </si>
  <si>
    <t xml:space="preserve"> INVITATION TO BID  PROCUREMENT  OF ONE  (1) UNIT  BRAND NEW NON- REFRIGERATED CLOSE MEAT DELIVERY VAN   (2ND CALL) GS 2020 -006-018 1.	The City Government of Sorsogon    intends to apply the sum of   One   Million   Seven  Hundred      Thousand      Pesos</t>
  </si>
  <si>
    <t xml:space="preserve"> POWER TOOL KIT COMPLETE POWER/ELECTRICAL KIT</t>
  </si>
  <si>
    <t xml:space="preserve"> INSULATING VARNISH, RED</t>
  </si>
  <si>
    <t xml:space="preserve"> 1. The CITY GOVERNMENT OF CALAMBA through the General Fund intends to apply the sum of PHP 4,999,847.24 being the Approved Budget for the Contract (ABC) to payments under the contract for: I-2020-017 Concreting of Road Kapayapaan Road, Barangay Canlubang,</t>
  </si>
  <si>
    <t xml:space="preserve"> The Roxas City Government, through the GOP-2020 intends to apply the total amount of Two Million Seven Hundred Thirty-six Thousand Five Hundred Pesos (Php 2,736,500.00) being the Approved Budget for the Contract (ABC) to payments under the contract for Pu</t>
  </si>
  <si>
    <t xml:space="preserve"> Purchase of Office Supplies and Other Materials</t>
  </si>
  <si>
    <t xml:space="preserve"> GENERAL SERVICES OF 13 FIRE EXTINGUISHERS AND OTHER ACTIVITIES</t>
  </si>
  <si>
    <t xml:space="preserve"> Geotechnical Investigation of various Road Sections and By-Pass/Diversion Road Projects</t>
  </si>
  <si>
    <t xml:space="preserve"> INVITATION TO BID (CW 2020-007-022)   The CITY GOVERNMENT OF SORSOGON, through its Bids and Awards Committee (BAC), invites suppliers/contractors to apply for eligibility and to bid for the hereunder project:  Name of Project		:	CONSTRUCTION OF CITY TOURI</t>
  </si>
  <si>
    <t xml:space="preserve"> Republic of the Philippines Province of Cagayan Municipality Of Ballesteros BARANGAY SAN JUAN INVITATION TO BID FOR “Procurement of Various Materials for the Improvement of Multi-Purpose Building” 1.	The Barangay Government of San Juan, Ballesteros, throu</t>
  </si>
  <si>
    <t xml:space="preserve"> GRAVELLING OF POWER CHANNEL ACCESS ROAD RIGHT SIDE PORTION FACING UPSTREAM WITH A TOTAL VOLUME OF 310 CU. M.</t>
  </si>
  <si>
    <t xml:space="preserve"> ENVELOPE, EXPANDED, LONG WITH TIE, COLORED GARTERIZED &amp; 16 OTHER ITEMS</t>
  </si>
  <si>
    <t xml:space="preserve"> The Roxas City Government, through the GOP-2020 intends to apply the total amount of Two Hundred Twenty Thousand Pesos (P 220,000.00) being the Aggregate Approved Budget for the Contract (ABC) to payments under the contract for Public Bidding of 2 Lots fo</t>
  </si>
  <si>
    <t xml:space="preserve"> Republic of the Philippines 		NATIONAL FOOD AUTHORITY 	                                  Regional Office VII, Cebu City    INVITATION TO BID 2020 CAPITAL OUTLAY PROJECT OF NFA REGION VII   The NATIONAL FOOD AUTHORITY, through its Corporate Budget for 2020</t>
  </si>
  <si>
    <t xml:space="preserve"> DEVELOPER PART #DV 116 (FOR MINOLTA BIZHUB 215) &amp; 7 OTHER ITEMS</t>
  </si>
  <si>
    <t xml:space="preserve"> Unit 	            Item Description 	                  Quantity  pages	Kinder - 301 + 5% (16) x 45	        14,265.00  pages	Grade 1 - 302 + 5% (16) x 240	        76,320.00  pages	Grade 2 - 340 + 5% (17) x 289	      103,173.00  pages	Grade 3 - 239 + 5% (12)</t>
  </si>
  <si>
    <t xml:space="preserve"> Assorted Construction Materials</t>
  </si>
  <si>
    <t xml:space="preserve"> CLIPBOARD #120 &amp; 9 OTHER ITEMS</t>
  </si>
  <si>
    <t xml:space="preserve"> Republic of the Philippines Province of Northern Samar MUNICIPALITY OF LOPE DE VEGA -oo0oo- BIDS AND AWARDS COMMITTEE INVITATION TO BID  The Bids and Awards Committee of the Municipality of Lope de Vega hereby invites accredited business entities to bid f</t>
  </si>
  <si>
    <t xml:space="preserve"> FABRICATION AND INSTALLATION OF THE CONCRETE PERMANENT MONUMENT AT THE BOUNDARY OF PULANGI IV HEP PERIPHERY</t>
  </si>
  <si>
    <t xml:space="preserve"> Shredder and Chipper Machine</t>
  </si>
  <si>
    <t xml:space="preserve"> Supply of "Plants and seedlings for botanical garden</t>
  </si>
  <si>
    <t xml:space="preserve"> Labor and materials for 630 LM pipe laying at Calumpang Cerca, Indang, Cavite, including demolition and restoration of concrete pavement. Please see attached request for quotation for complete details</t>
  </si>
  <si>
    <t xml:space="preserve"> PIN, TAPERED 10 X 70 WITH INTERNAL THREAD</t>
  </si>
  <si>
    <t xml:space="preserve"> 1. The CITY GOVERNMENT OF CALAMBA through the General Fund intends to apply the sum of PHP 2,010,960.00 being the Approved Budget for the Contract (ABC) to payments under the contract for: G-2020-392 Supply and Delivery of Cleaning Materials, Rainboots &amp; </t>
  </si>
  <si>
    <t xml:space="preserve"> The Barangay Officials and its Bids and Awards Committee (BAC), Invites Eligible Bidders to Bid the hereunder projects: Name of Project: Construction of Pathways Sitio Bandera Location: Barangay San Francisco, Isabel, Leyte Approved: Php 100,000.00</t>
  </si>
  <si>
    <t xml:space="preserve"> REQUEST FOR SEALED QUOTATION The Philippine Postal Corporation invites qualified Contractor to participate in the sealed quotation for the: Item No.	QTY	UNIT	ARTICLE	PhP	UNIT PRICE 1	1	lot	Supply of labor and materials for the Proposed Repair/Improvement </t>
  </si>
  <si>
    <t xml:space="preserve"> Republic of the Philippines Province of Cavite CITY OF IMUS ooOoo SPECIAL BIDS AND AWARDS COMMITTEE 	 ________________________________________ INVITATION TO BID The City Government of Imus, Province of Cavite through its Bid and Awards Committee (BAC) inv</t>
  </si>
  <si>
    <t xml:space="preserve"> Various Production Equipment and Accessories    3  UNI Video Lights, Portable, LED with battery pack (NP970/960)  1  UNI Powered Studio Monitors  1  UNI USB MIDI Controller  1  PC 6-Inch Clamp On Microphone Pop Filter with Flexible Gooseneck and Metal Sta</t>
  </si>
  <si>
    <t xml:space="preserve"> Republic of the Philippines PROVINCE OF NUEVA ECIJA City of Palayan -o0o- Invitation to Bid for  CONSTRUCTION OF MULTI-PURPOSE FACILITIES July 3, 2020 1.	The Provincial Government of Nueva Ecija (PGNE), through the Special Educational Fund (SEF) intends t</t>
  </si>
  <si>
    <t xml:space="preserve"> Learners Packet (Learning Modules) for SHS Students of SFMNHS for SY 2020-2021</t>
  </si>
  <si>
    <t xml:space="preserve"> INVITATION TO BID FOR  SUPPLY AND DELIVERY OF SEVEN (7) UNITS DIGITAL PRINTING/DUPLICATING  MACHINE FOR VARIOUS COLLEGES (FOR  INSTRUCTIONAL DELIVERY VIA FLEXIBLE  LEARNING MODALITIES) 1.	The SAMAR STATE UNIVERSITY, through the IGF-Use of Income FY 2020 i</t>
  </si>
  <si>
    <t xml:space="preserve"> The Environmental Management Bureau 10 through the GAA NDRRM FUND (Calamity Fund 2020) intends to apply the sum of [Thirty-Four Million Pesos Only]. (Php 34,000,000.00) being the Approved Budget for the Contract (ABC) to payments under the contract for De</t>
  </si>
  <si>
    <t xml:space="preserve"> Republic of the Philippines Province of Cavite CITY OF IMUS ooOoo BIDS AND AWARDS COMMITTEE ________________________________________ INVITATION TO BID The City Government of Imus, Province of Cavite through its Bid and Awards Committee (BAC) invites bidde</t>
  </si>
  <si>
    <t xml:space="preserve"> THERMAL PAPER, TYPE 1, UPP- 110S ( 110mm X 20m )    200  ROLLS PLEASE ATTACH THE FOLLOWING DOCUMENTS: 1. MAYOR'S PERMIT 2. UPDATED TAX CLEARANCE 3. DTI/SEC CERTIFICATE 4. PHILGEPS CERTIFICATE</t>
  </si>
  <si>
    <t xml:space="preserve"> INVITATION TO BID FOR  SUPPLY AND DELIVERY OF ONE (1) SET  PRINTING PRESS SET-UP 1.	The SAMAR STATE UNIVERSITY, through the IGF-Use of Income FY 2020 intends to apply the sum of Four Million Five Hundred Thousand Pesos (PhP4,500,000.00) being the Approved</t>
  </si>
  <si>
    <t xml:space="preserve"> INVITATION TO BID The DPWH Davao Occidental District Engineering Office, Buhangin, Malita, Davao Occidental, through its Bids and Awards Committee (BAC), invites contractors to submit bids for the following Contract: Procurement ID / Contract ID	:	20LE012</t>
  </si>
  <si>
    <t xml:space="preserve"> Please see attached Request for Quotation.</t>
  </si>
  <si>
    <t xml:space="preserve"> Page 1 of 8 REQUEST FOR QUOTATION (RFQ) SUPPLY AND DELIVERY OF LABORATORY CONSUMABLES UNDER EMB-ERLSD-ENVIRONMENTAL LABORATORY SERVICES SECTION (ELSS) INORGANICS LABORATORY UNIT RFQ NO. EMB-S-ERLSD-ELSS LABORATORY CONSUMABLES 2020-0542 1. The Department o</t>
  </si>
  <si>
    <t xml:space="preserve"> INVITATION TO BID FOR THE SUPPLY and  DELIVERY of  NUTRITIONAL SUPPLEMENTS 1.  The Cagayan Valley Medical Center (CVMC), intends to apply the sum Two Million Seven Hundred Twenty Two Thousand Pesos (Php   2,722,000.00 ) being the Approved Budget for the C</t>
  </si>
  <si>
    <t xml:space="preserve"> Parcellary Survey of various Road Section Net L=42.671 km</t>
  </si>
  <si>
    <t xml:space="preserve"> INVITATION TO BID FOR SWM GARBAGE COMPACTOR TRUCK 1. The Municipal Government of Hinoba-an, through the CY 2020 Supplemental Budget No. 1, intends to apply the sum of One Million Five Hundred Thousand Pesos (P1,500,000.00) being the Approved Budget for th</t>
  </si>
  <si>
    <t xml:space="preserve"> INVITATION TO SUBMIT PRICE QUOTATION The Nueva Ecija University of Science and Technology (NEUST) through the Bids and Awards Committee (BAC), hereby invites all interested supplier registered with the Philippine Government Electronic Procurement System (</t>
  </si>
  <si>
    <t xml:space="preserve"> Republic of the Philippines PROVINCE OF ZAMBOANGA SIBUGAY Municipality of Payao Barangay Binangonan REQUEST FOR QUOTATION ALTERNATIVE METHOD OF PROCUREMENT THRU NEGOTIATED PROCUREMENT-SMALL VALUE (Sec. 53.9 of RA 9184) Date: July 2, 2020 PR-2020-07-002 TO</t>
  </si>
  <si>
    <t xml:space="preserve"> The Roxas City Government, through the GOP-2020 intends to apply the total amount of Forty One Thousand Seven Hundred Pesos (PhP 41,700.00) being the Approved Budget for the Contract (ABC) to payments under the contract for Public Bidding for the Supply a</t>
  </si>
  <si>
    <t xml:space="preserve"> Purchase of One (1) Unit Multi-Cab for Solid Waste Collection  - Type of unit:			:Reconditioned Pick-up Type 2wd w/ Canopy	 Engine			:4Stroke, 3 cylinder Gasoline, 	 			   Newly Overhauled radiator w/ coolant	 Displacement			:660cc	 Fuel System			:Carbure</t>
  </si>
  <si>
    <t xml:space="preserve"> Page 1 of 7 REQUEST FOR QUOTATION (RFQ) SUPPLY AND DELIVERY OF LABORATORY CHEMICALS UNDER EMB-ERLSD-ENVIRONMENTAL LABORATORY SERVICES SECTION (ELSS) ORGANICS LABORATORY UNIT RFQ NO. EMB-S-ERLSD-ELSS LABORATORY CHEMICALS 2020-0486 1. The Department of Envi</t>
  </si>
  <si>
    <t xml:space="preserve"> Republic of the Philippines Province of Cagayan Municipality Of Ballesteros BARANGAY SAN JUAN INVITATION TO BID FOR “Procurement of Various Materials for the Construction of One (1) Unit Palay Shed” 1.	The Barangay Government of San Juan, Ballesteros, thr</t>
  </si>
  <si>
    <t xml:space="preserve"> Republic of the Philippines PROVINCE OF ZAMBOANGA SIBUGAY Municipality of Payao Barangay Poblacion REQUEST FOR QUOTATION ALTERNATIVE METHOD OF PROCUREMENT THRU NEGOTIATED PROCUREMENT-SMALL VALUE (Sec. 53.9 of RA 9184) Date: July 2, 2020 PR-2020-07-002 TO </t>
  </si>
  <si>
    <t xml:space="preserve"> For further information, please refer to: Mrs. Maria Flora T. Pandes or Mrs. Herbie B. De Lemios Department of Education-Division of Camarines Norte F. Pimentel Avenue, Barangay II, Daet, Camarines Norte Telephone number: 054-440-4464 Cellphone number: 09</t>
  </si>
  <si>
    <t xml:space="preserve"> BIDS AND AWARDS COMMITTEE (BAC) INVITATION TO BID The Department of Science and Technology (DOST), Regional Office No. IX, through its Bids and Awards Committee (BAC), invites qualified bidder to apply for eligibility and to bid for the “ ICT Equipment”: </t>
  </si>
  <si>
    <t xml:space="preserve"> Plumbing works and replacement of water pipes</t>
  </si>
  <si>
    <t xml:space="preserve"> Republic of the Philippines Province of Kalinga TABUK CITY OHS COMMITTEE ON BIDS AND AWARDS INVITATION TO BID FOR THE PROCUREMENT OF DRUGS AND MEDICINES (DANGEROUS DRUGS) 1. The PROVINCIAL GOVERNMENT OF KALINGA, through the General Fund Annual Budget 2020</t>
  </si>
  <si>
    <t xml:space="preserve"> Please refer to attached Invitation to Bid and other documents for the details of item to bid.</t>
  </si>
  <si>
    <t xml:space="preserve"> REMOVAL OF ACCUMULATED SEDIMENTS OF CANAL AT DAM AREA WITH A TOTAL DISTANCE OF 180 METERS AND COMPLETE CLEARING, CUTTING AND UPROOTING OF SHRUBS AROUND EMERGENCY SPILLWAY AREA WITH AN ESTIMATED AREA OF 5.500 SQ. M.</t>
  </si>
  <si>
    <t xml:space="preserve"> INVITATION TO BID  FOR  Construction of Diversion Dam, LMC (Sta. 0+000 – 1+200), RMC (Sta. 0+000 – 0+770), Lat. A (Sta. 0+000 – 0+240) &amp; Appurtenant Structures, and Access Roads  of DULAY COMMUNAL IRRIGATION SYSTEM Marawi, Lanao del Sur Contract Ref. No.:</t>
  </si>
  <si>
    <t xml:space="preserve"> Please refer to attached Invitation to Bid and other bidding documents.</t>
  </si>
  <si>
    <t xml:space="preserve"> Republic of the Philippines Province of Aklan Municipality of Ibajay Barangay Unat  INVITATION TO BID “PURCHASE OF CONSTRUCTION MATERIALS &amp; SUPPLIES FOR THE CONSTRUCTION OF WATER SUPPLY SYSTEM UBC – 2020-001 The BARANGAY COUNCIL OF UNAT, through the Finan</t>
  </si>
  <si>
    <t xml:space="preserve"> Concreting of barangay road @ brgy Paranum, Lal-lo, Cagayan</t>
  </si>
  <si>
    <t xml:space="preserve"> A4 LETTERHEAD</t>
  </si>
  <si>
    <t xml:space="preserve"> Kamatis (100g/ tin) ----- 4 tin Talong (100g/ tin) ----- 4 tin Siling panigang (100g/ tin) ----- 4 tin Siling maanghang (100g/ tin) ----- 4 tin Ampalaya (250g/ tin) -----4 tin Okra (1kg/ bag) ----- 4 bags Pole sitao (1kg/ bag) ----- 4 bags Bush sitao (1kg</t>
  </si>
  <si>
    <t xml:space="preserve"> NOTICE TO THE PUBLIC  REQUEST FOR QUOTATION                                            AMP SVP-S 20-07-0094B	              The University of the Philippines, System (UPS) hereby informs the public that it will be procuring the following item/s through Sma</t>
  </si>
  <si>
    <t xml:space="preserve"> IEC Materials ----- 2,000 Pcs.</t>
  </si>
  <si>
    <t xml:space="preserve"> Republic of the Philippines BANGSAMORO AUTONOMOUS REGION IN MUSLIM MINDANAO Province  of  Lanao  del  Sur REQUEST FOR QUOTATION The Provincial Government of  Lanao del Sur through its  Bids and Awards Committee (BAC) invites accredited  suppliers  for the</t>
  </si>
  <si>
    <t xml:space="preserve"> ITEM	QUANTITY	UNIT	A R T I C L E S 									 1	6	units	CCTV Camera Outdoor									 2	6	rolls	RG 6									 3	3	pcs	Power Supply									 4	15	pcs	BNC Connector									 5	15	pcs	Refill of Fire Extinguisher 10lbs									 6	5	rms	Bondpaper Sub 20 long				</t>
  </si>
  <si>
    <t xml:space="preserve"> The Department of Agriculture-RFO 3, invites interested suppliers/ bidders to submit bid proposal(s) for the hereunder requirement, to wit: 5 units  CORN HUSKER-SHELLER	 SPECIFICATION:	 Capacity: 	3.0 Tons/Hour (Minimum) Type:	              open, single c</t>
  </si>
  <si>
    <t xml:space="preserve"> NOTICE TO THE PUBLIC REQUEST FOR QUOTATION                                                AMP SVP-D NO: 20-07-0299B	              The University of the Philippines, Diliman (UPD) hereby informs the public that it will be procuring the following item/s thr</t>
  </si>
  <si>
    <t xml:space="preserve"> 1. 296 PIECES WRITING PAD 80s 2. 94 PIECES INTERMEDIATE PAPER 80s 3. 296 PIECES NOTEBOOK WRITING 80s 4. 94 PIECES NOTEBOOK COMPOSITION 80s 5. 209 PIECES BALLPEN 6. 181 PIECES PENCIL #2 7. 1 PIECE DIGITAL CAMERA 03000 BODY WITH 18-55mm KIT LENS 8. 80 METER</t>
  </si>
  <si>
    <t xml:space="preserve"> Construction of footbridge @ Brgy. Paranum, Lal-lo, Cagayan</t>
  </si>
  <si>
    <t xml:space="preserve"> Purchase of Health &amp; Sanitation Materials/Supplies &amp; Equipment to be used in the opening of classes</t>
  </si>
  <si>
    <t xml:space="preserve"> Improvement of Day Care Center @ Sta. Maria, Lal-lo, Cagayan</t>
  </si>
  <si>
    <t xml:space="preserve"> INVITATION TO BID FOR THE Upgrading of Local Access Road in Poblacion (Concreting of Atilano St. to Paragas St. to Lopez Jaena St.) – Construction of line canal with concrete cover 1. The Local Government Unit of Margosatubig, Zamboanga del Sur, intends t</t>
  </si>
  <si>
    <t xml:space="preserve"> PRINTER TONER</t>
  </si>
  <si>
    <t xml:space="preserve"> Pio Valenzuela Elementary School located at Palasan Valenzuela City is in need of suppliers who can print, sort and arrange the pupil's Learning Packet / Module. Please see the attached Approved Purchase Request. Details will be as follows: Learning Packe</t>
  </si>
  <si>
    <t xml:space="preserve"> INSTALLATION OF STREETLIGHTS @ BRGY. DALAYA, LAL-LO, CAGAYAN</t>
  </si>
  <si>
    <t xml:space="preserve"> The Environmental Management Bureau 10 through the GAA NDRRM FUND (Calamity Fund 2020) intends to apply the sum of [One Million Four Hundred Forty Thousand Pesos Only (php 1,440,000.00] being the Approved Budget for the Contract (ABC) to payments under th</t>
  </si>
  <si>
    <t xml:space="preserve"> It includes: De-clogging and Clearing of Drainage System; Disposal of Dredge Materials; and Billboards.</t>
  </si>
  <si>
    <t xml:space="preserve"> IMPROVEMENT OF MULTI-PURPOSE BUILDING @ BRGY. BANGAG, LAL-LO, CAGAYAN</t>
  </si>
  <si>
    <t xml:space="preserve"> INVITATION TO BID FOR  SUPPLY AND DELIVERY OF IT EQUIPMENT &amp; SUPPLIES FOR FACULTY AND STUDENTS OF VARIOUS COLLEGES (FOR INSTRUCTIONAL DELIVERY VIA FLEXIBLE LEARNING MODALITIES) 1.	The SAMAR STATE UNIVERSITY, through the IGF-Use of Income FY 2020 intends t</t>
  </si>
  <si>
    <t xml:space="preserve"> It includes: 94,080.00 Liters of Diesel and 28,168.00 liters of Premium (Ron 91)</t>
  </si>
  <si>
    <t xml:space="preserve"> INVITATION TO BID FOR  Supply and Delivery of Lot 1- Airvent Type Greenhouse with Anteroom and Supply, Delivery and Installation of Pre-Fabricated Rain Shelter, Lot 2- Split Type Aircon, Lot 3-Steel Upright 4 Doors Chiller and Lot 4-Gasoline Generator  1.</t>
  </si>
  <si>
    <t xml:space="preserve"> REQUEST FOR SEALED QUOTATION The Philippine Postal Corporation invites qualified Manufacturers/suppliers to participate in the sealed quotation for the: Item No.	QTY	UNIT	ARTICLE	PhP	UNIT PRICE 1	45	pcs.	Push Cart (Pls. See attached plans)		18,000.00 			 </t>
  </si>
  <si>
    <t xml:space="preserve"> Intrested bidders are requested to pre-qualified and to bid for the supply of Labor and materials for the project</t>
  </si>
  <si>
    <t xml:space="preserve"> Republic of the Philippines CITY GOVERNMENT OF ORMOC  2nd /F New Ormoc City Hall Bldg.,Ormoc City Tel # (053) 255-2054 &amp; 560-8050 Local # 1126, 1127 &amp; 1123	      RFQ 7-____________ Invitation to Quote (Small Value Procurement)         In accordance with S</t>
  </si>
  <si>
    <t xml:space="preserve"> The Barangay Officials and its Bids and Awards Committee (BAC), Invites Eligible Bidders to Bid the hereunder projects: Name of Project: Construction of Pathways Sitio Palawan Location: Barangay San Francisco, Isabel, Leyte Approved: Php 100,000.00</t>
  </si>
  <si>
    <t xml:space="preserve"> MATERIALS  No.	ITEM DESCRIPTION        	  UNIT 	QUANTITY 1	PVC pipe 1/2 orange 	          pcs	              15 2	PVC elbow 1/2 plain	          pcs	              70 3	PVC tee 1/2	                  pcs	              70 4	PVC coupling 1/2 w/ thread	  pcs	   </t>
  </si>
  <si>
    <t xml:space="preserve"> REQUEST FOR SEALED QUOTATION 	 The Philippine Postal Corporation invites qualified Contractor to participate in the sealed quotation for the: Item No.	QTY	UNIT	ARTICLE	PhP	UNIT PRICE 1	1	lot	Supply of labor and materials for the Proposed Repair/Improvemen</t>
  </si>
  <si>
    <t xml:space="preserve"> Color: Black PE 100/80 ISO series in accordance with PNS ISO 4427:2002 Poutside Diameter (mm)	160 Nominal Size (inch)		6 Length			6 PE 80 SDR 11		( PN 12.50) Nominal Pressure		185 Psi Thickness (mm)		14.60 x-x-x-x-x-x-x-x-x-x-x</t>
  </si>
  <si>
    <t xml:space="preserve"> OPENING OF BIDS IN DSWD FO IX ZAMBOANGA CITY, DELIVERY IN DSWD FO IX ZC, PROCUREMENT FOR THE FF.: 1 SERVICE -ARCHITECT FOR THE MONTH OF AUGUST TO DECEMBER 2020 ******************************************************************************** PURPOSE: SERVI</t>
  </si>
  <si>
    <t xml:space="preserve"> Item	Quantity	Unit	ARTICLES					 Estimated Unit Cost  								 1	2	unit	 BUBBLE CPAP for NEO-NATAL					 410,000.00  			* 100% reusable and cleanable					 			* Complete all in one CPAP treatment and monitoring					 			* Integrated gas mixing, humidificatio</t>
  </si>
  <si>
    <t xml:space="preserve"> NOTICE OF ELIGIBILITY AND SHORTLISTING 1.	The Department of Tourism (hereinafter called “Procuring Entity” has received financing (hereinafter called “funds”) from General Appropriations Act 2020 (hereinafter called the “Funding Source”) toward the cost o</t>
  </si>
  <si>
    <t xml:space="preserve"> Republic of the Philippines Province of Guimaras OFFICE OF THE BIDS AND AWARDS COMMITTEE INVITATION TO BID FOR    SUPPLY AND DELIVERY OF MEDICAL EQUIPMENT Bid Ref. No. 2020-06-333 Re-Bid 1.	The Province of Guimaras , through the 107-05-110 Capital Outlay </t>
  </si>
  <si>
    <t xml:space="preserve"> FIRST QUARTER PROCUREMENT 2020</t>
  </si>
  <si>
    <t xml:space="preserve"> 1. The Municipality of Nabas, Aklan through its local budget approved by the Sanggunian, intends to apply the sum of Three Hundred Seventy Thousand One Hundred Fifty Eight Pesos and 80/100 only (P 370,158.80) being the Approved Budget for the Contract (AB</t>
  </si>
  <si>
    <t xml:space="preserve"> Request for Expression of Interest (REOI)  for the  GEOTECHNICAL AND GEOLOGICAL SURVEY (SOIL BORING EXPLORATION) OF VARIOUS BUILDINGS IN LA UNION 1.	The DPWH-Regional Office I through SR2020-02-0022685 intends to apply the sum of Five Million Three Hundre</t>
  </si>
  <si>
    <t xml:space="preserve"> FABRICATION &amp; INST. OF GIRDER STRINGER FOR WOODEN BLEACHER, STAIR &amp; RISER @ SALAWAGAN COVERED COURT</t>
  </si>
  <si>
    <t xml:space="preserve"> Procurement of Fluids</t>
  </si>
  <si>
    <t xml:space="preserve"> PLS. SEE ATTACHED DETAILS</t>
  </si>
  <si>
    <t xml:space="preserve"> Procurement of air coolers</t>
  </si>
  <si>
    <t xml:space="preserve"> PROCUREMENT OF GOODS- Vitamin C plus</t>
  </si>
  <si>
    <t xml:space="preserve"> The DPWH-Ilocos Sur 1st District Engineering Office, through its Bids and Awards Committee (BAC), invites contractors to submit bids for the following Contract:   Contract ID: 20AC0060   Contract Name: Construction of Seawall at Paratong-Subec, Sta. Catal</t>
  </si>
  <si>
    <t xml:space="preserve"> Please adhere to all the dates/deadlines specified in the Request for Expression of Interest.</t>
  </si>
  <si>
    <t xml:space="preserve"> Please adhere to the dates/deadlines specified in the Request for Expression of Interest.</t>
  </si>
  <si>
    <t xml:space="preserve"> INVITATION TO BID FOR THE SUPPLY AND DELIVERY OF MEDICAL AND LABORATORY SUPPLIES   1.	The City of Iloilo, through the LDRRMF CY 2020 intends to apply the sum of Two Million Seven Hundred Thirty-Three Thousand Three Hundred Ninety-One Pesos (P2,733,391.00)</t>
  </si>
  <si>
    <t xml:space="preserve"> Invitation to Bid  For the Construction/Rehabilitation of Existing Drainage System at Brgy. Tabucan, Mandurriao, Iloilo City 1.	The City of Iloilo, through the 20% Development Fund, CY2019 intends to apply the sum of Five Hundred Thousand Pesos (Php 500,0</t>
  </si>
  <si>
    <t xml:space="preserve"> Invitation to Bid  For the Construction/Rehabilitation of Existing Drainage System at Brgy. Taft North, Mandurriao, Iloilo City 1.	The City of Iloilo, through the 20% Development Fund, CY2019 intends to apply the sum of Five Hundred Thousand Pesos (Php 50</t>
  </si>
  <si>
    <t xml:space="preserve"> Invitation to Bid  For the Rehabilitation of All Gabaldon Building at Hibao-an Elementary School, Mandurriao, Iloilo City 1.	The City of Iloilo, through the SEF Capital Outlay, SB No. 2, CY2019 intends to apply the sum of One Hundred Fifty Thousand Pesos </t>
  </si>
  <si>
    <t xml:space="preserve"> Procurement of Supplies</t>
  </si>
  <si>
    <t xml:space="preserve"> INVITATION TO BID FOR THE SUPPLY AND DELIVERY OF FIELD SUPPLIES   1.	The City of Iloilo, through the General Fund intends to apply the sum of Eighty-Two Thousand Four Hundred Forty Pesos (P82,440.00) being the Approved Budget for the Contract (ABC) to pay</t>
  </si>
  <si>
    <t xml:space="preserve"> INVITATION TO BID FOR THE SUPPLY AND DELIVERY OF STEEL CABINET   1.	The City of Iloilo, through the Capital Outlay intends to apply the sum of Eighty-Two Thousand Nine Hundred Sixty-Nine Pesos Eighty Centavos (P82,969.80) being the Approved Budget for the</t>
  </si>
  <si>
    <t xml:space="preserve"> INVITATION TO BID FOR THE SUPPLY AND DELIVERY OF TOOTHBRUSH   1.	The City of Iloilo, through the General Fund intends to apply the sum of Eighty-Two Thousand Four Hundred Seventy-Seven Pesos (P82,477.00) being the Approved Budget for the Contract (ABC) to</t>
  </si>
  <si>
    <t xml:space="preserve"> INVITATION TO BID FOR THE SUPPLY AND DELIVERY OF OFFICE SUPPLIES   1.	The City of Iloilo, through the SEF Budget CY 2020 intends to apply the sum of One Million Five Hundred One Thousand Seven Hundred Sixty Pesos (P1,501,760.00) being the Approved Budget </t>
  </si>
  <si>
    <t xml:space="preserve"> Materials Only: 1. 41  pcs CHB 4" 2. 600 pcs CHB 6" 3. 65 bags Portland Cement 4. 9 cu.m. Sand 5. 37 pcs 10mm diameter DRSB 6. 3 kls. Tie wire 7. 2 roll Flexible hose,1/2" 8. 13 pcs PVC Utility box,2"x4" 9. 17 pcs PVC Junction Box,4"x4" with cover 10. 4 s</t>
  </si>
  <si>
    <t xml:space="preserve"> INVITATION TO BID FOR THE SUPPLY AND DELIVERY OF VARIOUS EQUIPMENTS   1.	The City of Iloilo, through the Supplemental Budget No. 4 CY 2019 intends to apply the sum of Two Hundred Seventy-Three Thousand Eight Hundred Sixty Pesos (P273,860.00) being the App</t>
  </si>
  <si>
    <t xml:space="preserve"> INVITATION TO BID FOR  SUPPLY &amp; DELIVERY OF VARIOUS CONSTRUCTION MATERIALS FOR THE CONSTRUCTION OF HEALTH CENTER EXTENSION  BRGY. PUELAY, VILLASIS, PANGASINAN 1.	The Local Government of Villasis, Pangasinan, thru 20% devt Fund, intends to apply the sum of</t>
  </si>
  <si>
    <t xml:space="preserve"> City Government of Manila INVITATION TO BID  NO. 2020-06-104 Preventive Maintenance Services for Various Hospital Equipment for 2020 1. The City Government of Manila, through the General Fund CY 2020 –Repair and Maintenance-Machinery and Equipment intends</t>
  </si>
  <si>
    <t xml:space="preserve"> SCOPE OF WORK: &gt;Initial Massive Treatment and Follow-up Treatment A. Termite Treatment Structural 1. Cordoning Method 2. Slab Injection 3. Termite Queen Removal 4. Soil Treatment 5. Wood Drenching 6. Spot Treatment B. Non-Structural 1. Wet and Air Space S</t>
  </si>
  <si>
    <t xml:space="preserve"> 1. The Municipality of Nabas, Aklan through its local budget approved by the Sanggunian, intends to apply the sum of One Hundred Fifty Thousand Pesos and 00/100 only (P 150,000.00) being the Approved Budget for the Contract (ABC) to payment under the cont</t>
  </si>
  <si>
    <t xml:space="preserve"> REQUEST FOR QUOTATION Price Quotation No.: CSWD-SSVP-RFQ2020-06-003 The Castillejos Water District through its Bids &amp; Awards Committee will undertake a procurement transaction for the SUPPLY AND DELIVERY OF FLOW METERS FOR REPLACEMENT OF MALFUNCTIONING UN</t>
  </si>
  <si>
    <t xml:space="preserve"> Republic of the Philippines Province of Romblon MUNICIPALITY OF ALCANTARA -o0o- Invitation to Bid for   CONSTRUCTION OF SAN ROQUE RIVER CONTROL San Roque, Alcantara, Romblon The Municipal Government of Alcantara, Romblon through the  20% Development Fund </t>
  </si>
  <si>
    <t xml:space="preserve"> Republic of the Philippines Province of Romblon MUNICIPALITY OF ALCANTARA -o0o- Invitation to Bid for   REHABILITATION OF MADALAG RIVER CONTROL Madalag, Alcantara, Romblon The Municipal Government of Alcantara, Romblon through the  20% Development Fund 20</t>
  </si>
  <si>
    <t xml:space="preserve"> Republic of the Philippines Province of South Cotabato Municipality of Surallah BIDS AND AWARDS COMMITTEE Tel. No. (083) 2383-262 INVITATION TO BID FOR THE PROVISION OF MATERIALS &amp; LABOR FOR DRILLING WORKS OF POTABALE WATER SUPPLY (PWS) AT LIBERTAD NATION</t>
  </si>
  <si>
    <t xml:space="preserve"> INVITATION TO BID June 29, 2020 The Eastern Visayas Regional Medical Center, through its Bids and Awards Committee (BAC A) invites suppliers/manufacturers/distributors to bid for the hereunder project:  Item/Description	Approved Budget for the Contract (A</t>
  </si>
  <si>
    <t xml:space="preserve"> INVITATION TO BID IB No. GS-2020 – 058-A Construction Materials and Supplies for use in the Construction of Water System at Brgy. Burbuli, Baco, Oriental Mindoro/ Brgy. Poblacion Baco, Oriental Mindoro/ Brgy. Panggalaan, Calapan City/ Brgy. Pambisan Malak</t>
  </si>
  <si>
    <t xml:space="preserve"> INVITATION TO BID IB No. GS-2020 – 084 Vehicle Parts and Accessories for use of Various Provincial Equipment 1. The  Provincial  Government  of  Oriental  Mindoro  (PGOM)  through  the  General Fund intends  to  apply  the  sum  of  Three Million Six Hund</t>
  </si>
  <si>
    <t xml:space="preserve"> Invitation to Bid  For the Construction/Rehabilitation of Existing Drainage System at Brgy. Kahirupan, City Proper, Iloilo City 1.	The City of Iloilo, through the 20% Development Fund, CY2019 intends to apply the sum of Five Hundred Thousand Pesos (Php 50</t>
  </si>
  <si>
    <t xml:space="preserve"> Cleaner toilet bowl</t>
  </si>
  <si>
    <t xml:space="preserve"> Republic of the Philippines PROVINCE OF NUEVA VIZCAYA Municipality of Alfonso Castañeda  BIDS &amp; AWARDS COMMITTEE FOR GOODS &amp; SERVICES Invitation to Bid for  Supply &amp; Delivery of Hardware and Construction Supplies 1.	The Local Government of Alfonso Casta</t>
  </si>
  <si>
    <t xml:space="preserve"> Procurement of 1 unit Vehicle</t>
  </si>
  <si>
    <t xml:space="preserve"> Additional CHB  0.40mx33.20m   Additional beam &amp; Column   Steel works (Partial Grills 18m only)</t>
  </si>
  <si>
    <t xml:space="preserve"> 28 pcs. wheelchair &gt; solid rubber spoke wheels does not become folding for convinient storage &gt; with padded arm rest, leg support and foot plates &gt; canvas cloth upholstery seat and back rest for added comfort, free ventilation &gt; net weight of 19kg, 19" wi</t>
  </si>
  <si>
    <t xml:space="preserve"> 1. Construction of six (6) footings and six (6) columns at 1.5 m      2. Construction of grade beams</t>
  </si>
  <si>
    <t xml:space="preserve"> The Municipality of Limay, through its Bids and Awards Committee (BAC) invites registered contractors to apply for eligibility and if found eligible, to bid for the hereunder project/contract: Project/Contract:   CONSTRUCTION OF COVERED CANAL AT JUAN REYE</t>
  </si>
  <si>
    <t xml:space="preserve"> INVITATION TO BID FOR  SUPPLY &amp; DELIVERY OF VARIOUS CONSTRUCTION MATERIALS FOR THE CONSTRUCTION OF BARRACA MULTI-PURPOSE HALL PHASE IV, BRGY. BARRACA, VILLASIS, PANGASINAN 1.	The Local Government of Villasis, Pangasinan, thru 20% Devt Fund, intends to app</t>
  </si>
  <si>
    <t xml:space="preserve"> 1 unit Wooden Session Table 11 pieces Wooden Chairs 4 pieces of Sofa Bed</t>
  </si>
  <si>
    <t xml:space="preserve"> 1.	The Local Government Unit (LGU) of Sta. Teresita , Cagayan, through the General Fund  intends to apply the sum of TWO HUNDRED THOUSAND &amp; 00/100  PESOS (P200,000.00) being the Approved Budget for the Contract (ABC) to payments under the contract for the</t>
  </si>
  <si>
    <t xml:space="preserve"> PR No. 				AF 2020-06-039							 											 	Please quote your lowest price on the item/s listed below, subject to the General Conditions, 										 stating the shortest time of delivery and submit your quotation duly signed by  your authorized 								</t>
  </si>
  <si>
    <t xml:space="preserve"> Republic of the Philippines DEPARTMENT OF PUBLIC WORKS AND HIGHWAYS ISABELA 1ST DISTRICT ENGINEERING OFFICE REGIONAL OFFICE II City of Ilagan, Isabela INVITATION TO BID The DPWH-lsabela lst District Engineering Office, City of Ilagan, lsabela, through the</t>
  </si>
  <si>
    <t xml:space="preserve"> PR No. 				AF 2020-06-037							 											 	Please quote your lowest price on the item/s listed below, subject to the General Conditions, 										 stating the shortest time of delivery and submit your quotation duly signed by  your authorized 								</t>
  </si>
  <si>
    <t xml:space="preserve"> NOTICE TO THE PUBLIC  REQUEST FOR QUOTATION                                                 AMP SVP-S NO: 20-06-0159D	              The University of the Philippines, System (UPS) hereby informs the public that it will be procuring the following item/s th</t>
  </si>
  <si>
    <t xml:space="preserve"> PR No. 				AF 2020-06-036							 											 	Please quote your lowest price on the item/s listed below, subject to the General Conditions, 										 stating the shortest time of delivery and submit your quotation duly signed by  your authorized 								</t>
  </si>
  <si>
    <t xml:space="preserve"> INVITATION TO BID FOR  Procurement of 13,518 Liters of Fuel (Diesel) The Municipality of Banaybanay, through the 2020 Annual Budget intends to apply the sum of Five Hundred Sixty-Seven Thousand Seven Hundred Fifty-Six Pesos (Php 567,756.00) being the Appr</t>
  </si>
  <si>
    <t xml:space="preserve"> Republic of the Philippines Province of Negros Occidental City of Sagay BIDS AND AWARDS COMMITTEE Tel. No. 4540196, Telefax 4880187 www.sagay-city.com.ph bacsagaycity@yahoo.com INVITATION TO BID The City of Sagay, through its Bids and Awards Committee (BA</t>
  </si>
  <si>
    <t xml:space="preserve"> PR No. 				AF 2020-06-038							 											 	Please quote your lowest price on the item/s listed below, subject to the General Conditions, 										 stating the shortest time of delivery and submit your quotation duly signed by  your authorized 								</t>
  </si>
  <si>
    <t xml:space="preserve"> 1.	The Municipality of Esperanza, through the Municipal Fund intends to apply the sum of Seven Hundred Thousand Pesos (Php 700,000.00) being the Approved Budget for the Contract (ABC) to payments under the contract for Improvement of SB Building Phase II </t>
  </si>
  <si>
    <t xml:space="preserve"> 1.	The National Historical Commission of the Philippines (NHCP), through the General Appropriations Act 2020 (GAA) intends to apply the sum of Php 1,599,131.45 being the Approved Budget for the Contract (ABC) to payments under the contract for: Maintenanc</t>
  </si>
  <si>
    <t xml:space="preserve"> 1.	The National Historical Commission of the Philippines (NHCP), through the General Appropriations Act 2020 (GAA) intends to apply the sum of Php 999,298.04 being the Approved Budget for the Contract (ABC) to payments under the contract for: Maintenance </t>
  </si>
  <si>
    <t xml:space="preserve"> 2 Units - Hire for Van; for Five (5) months - (August to December 2020)</t>
  </si>
  <si>
    <t xml:space="preserve"> 1135335 pages Specs:  1. A4 Size  2. Bookbinded  3. Sorting   4. white paper 70gsm  5.one page only not back to back</t>
  </si>
  <si>
    <t xml:space="preserve"> PR No. 				AF 2020-06-033								 												 	Please quote your lowest price on the item/s listed below, subject to the General Conditions, 											 stating the shortest time of delivery and submit your quotation duly signed by  your authorized 					</t>
  </si>
  <si>
    <t xml:space="preserve"> Purchase of four(4) units of ambulance</t>
  </si>
  <si>
    <t xml:space="preserve"> Approved Budget: Php 75,000.00 Notepad (Corporate) - 1500 pcs  UNIT PRICE - 50.00 TOTAL COST - 75,000.00 please see attached design</t>
  </si>
  <si>
    <t xml:space="preserve"> See Program of Works ACTIVITIES SCHEDULE 1. Posting on Philgeps; - July 1 to July 7, 2020 2. Issuance of Bid Documents: July 4, 2020 3.Submission/Opening of Bids: - July 16, 2020 at 11:00 A.M. at Sablig Barangay Hall 4. Evaluation of Bids: - July 16, 2020</t>
  </si>
  <si>
    <t xml:space="preserve"> Request for Expression of Interest (REOI)  for the  CONSULTANCY SERVICES FOR THE CONDUCT OF FEASIBILITY STUDY OF PROPOSED CONSTRUCTION OF BY-PASSES/DIVERSION ROADS, BANI-BOLINAO BYPASS ROAD (REGION I) 1.	The DPWH-Regional Office I through Preliminary Deta</t>
  </si>
  <si>
    <t xml:space="preserve"> Procurement of one unit desktop and other ICT equipment and supplies.</t>
  </si>
  <si>
    <t xml:space="preserve"> Republic of the Philippines										 BIDS AND AWARDS COMMITTEE										 Province of Iloilo										 										 INVITATION TO BID										 Purchase and Delivery of Construction Materials for the Construction of Water System in Camambugan Elementary Sch</t>
  </si>
  <si>
    <t xml:space="preserve">                                                                   MS. NGUYEN THI MAI THANH Director Golden Jade Trading Service Co., Ltd. 13D, Phan Chu Trinh Street Ward 02, Binh Thanh District Ho Chi Minh City, Vietnam Dear Ms. Nguyen Thi Mai Thanh: 1.	T</t>
  </si>
  <si>
    <t xml:space="preserve"> 1 unit temperature humidity meter - 20,000 1 unit moisture meter - 25,000 1 unit grain moisture meter - 50,000</t>
  </si>
  <si>
    <t xml:space="preserve"> PR No. 				AF 2020-06-034							 											 	Please quote your lowest price on the item/s listed below, subject to the General Conditions, 										 stating the shortest time of delivery and submit your quotation duly signed by  your authorized 								</t>
  </si>
  <si>
    <t xml:space="preserve"> July 1, 2020                                                                        	             Solicitation No.: RFQ2020-07-01 REQUEST FOR QUOTATION The Fertilizer and Pesticide Authority, through its Bids and Awards Committee (BAC), invites interested</t>
  </si>
  <si>
    <t xml:space="preserve"> I. Construction Materials / Hand Tools						 1		Sand			60 	cu.m		 2		Cement			160 	bags		 3		1/2  Hose with 2ply			100 	m		 4		0.80x2.10 Flush Door			6 	pcs.		 5		DSB 10mm			600 	kgs.		 6		DSB 12mm			600 	kgs.		 7		DSB 16mm			600 	kgs.		 8		CHB ordinary (</t>
  </si>
  <si>
    <t xml:space="preserve"> SUPPLY AND DELIVERY OF FURNITURES AND FIXTURES: 1.  1 unit aircon, window type, 1hp 9000 ki/h 2.  2 pcs office table 3.  2 pcs office chairs 4.  50 pcs monoblock chairs</t>
  </si>
  <si>
    <t xml:space="preserve"> OPENING OF BIDS IN DSWD FO IX ZAMBOANGA CITY, DELIVERY IN DSWD FO IX ZC, PROCUREMENT FOR THE FF.: 2 SERVICE -SITE ENGINEER FOR THE MONTH OF AUGUST TO DECEMBER 2020  (AVRC III AND DSWD FO IX) ****************************************************************</t>
  </si>
  <si>
    <t xml:space="preserve"> This Notice of Negotiated pertains to the Procurement and Delivery of Mini-Dump Truck of the Municipal Government of El Nido, Palawan with approved budget contract of One Million Five Hundred  Thousand Pesos (₱ 1,500,000.00). The Municipal Government of E</t>
  </si>
  <si>
    <t xml:space="preserve"> 2 GUARDS, LICENSED SECURITY GUARDS, 24 HOURS SHIFT 1 GUARD, LICENSED SECURITY GUARD, 12 HOURS DUTY</t>
  </si>
  <si>
    <t xml:space="preserve"> Reflectorized Thermoplastic Pavement Markings 								 1		Reflectorized Thermoplastic Paint (white)			146 	bags		 2		Reflectorized Thermoplastic Paint (yellow)			25 	bags		 		-x-x-x-x-x-x-x-x-x-x-x-x-x-x</t>
  </si>
  <si>
    <t xml:space="preserve"> Republic of the Philippines								 Province of Negros Occidental								 Municipality of La Castellana								 Bids and Awards Committee								 								 INVITATION TO APPLY FOR ELIGIBILITY AND TO BID								 								 Name of Project: 		CONCRETING OF BAR</t>
  </si>
  <si>
    <t xml:space="preserve"> request for quotation-furniture</t>
  </si>
  <si>
    <t xml:space="preserve"> Garbage Can Zinc plated steel L-44, W-44, H-93 cm</t>
  </si>
  <si>
    <t xml:space="preserve"> INVITATION TO BID     20-081 Name of Project	:	Brand New Pick-Up for Laguna Traffic Management Office (LTMO) Operations Division  Location	:	Sta. Cruz, Laguna   Brief Description	:	2.4 Diesel, 4 Cylinder, 16-Valve; Notice of Award to be Issued Approved Bu</t>
  </si>
  <si>
    <t xml:space="preserve"> INVITATION TO BID      20-080 Name of Project	:	Air Conditioning Units for Legislative Building (New Sangguniang Panlalawigan Building) Location	:	Sta. Cruz, Laguna  Brief Description	:	Various Air Conditioning Units Approved Budget For the Contract	:	6,0</t>
  </si>
  <si>
    <t xml:space="preserve"> I. Replacement of old corrugated        gi sheets and fascia board      1. Materials      8ft gi corrugated sheets                                          pcs              5              420                2100     4x8'x1/2" hardieflex                   </t>
  </si>
  <si>
    <t xml:space="preserve"> Republic of the Philippines												 City of San Carlos												 Negros Occidental												 												 			INVITATION TO BID							FOR SALE	 			PURCHASE REQUEST NO: 1-20-06-0760			P 1,330.00	 Sealed bids for quotation of prices will be received </t>
  </si>
  <si>
    <t xml:space="preserve"> Republic of the Philippines												 City of San Carlos												 Negros Occidental												 												 			INVITATION TO BID							FOR SALE	 			PURCHASE REQUEST NO: 31-20-06-0728			P 1,966.00	 Sealed bids for quotation of prices will be received</t>
  </si>
  <si>
    <t xml:space="preserve"> INVITATION TO BID FOR  SUPPLY &amp; DELIVERY OF VARIOUS CONSTRUCTION MATERIALS FOR THE CONCRETING OF FARM TO MARKET ROAD WITH CONSTRUCTION OF CHB LINED CANAL &amp; INSTALLATION OF 24” RC PIPES FOR CROSS DRAINAGE SYSTEM  TONDO LOOP ROAD, BRGY. UNZAD, VILLASIS, PAN</t>
  </si>
  <si>
    <t xml:space="preserve"> INVITATION TO BID     20-082 Name of Project	:	Pick-Up Rescue Vehicle for Emergency Response Operations of Provincial Disaster Risk Reduction Management Office (PDRRMO)  Location	:	Sta. Cruz, Laguna   Brief Description	:	2.4L Diesel, 4-Cylinder, 16-Valve;</t>
  </si>
  <si>
    <t xml:space="preserve"> Construction of Senior Citizen PWD Office, Cataggaman Viejo, Tuguegarao City</t>
  </si>
  <si>
    <t xml:space="preserve"> Cross bearing etc.  NOTE:To all suppliers bid documents and BAC Resolution 2020-029 are available at BAC Office and LGU website.</t>
  </si>
  <si>
    <t xml:space="preserve"> 1	pcs	Drum Cartridge DCSS2020						4 2	pcs	Drum Cartridge DCSS2020, Black						10 3	pcs	Drum Cartridge DCSS2020, Magenta						10 4	pcs	Drum Cartridge DCSS2020, Yellow						10 5	pcs	Drum Cartridge DCSS2020, Cyan						10 6	pcs	Drum Cartridge DCS2320						2 </t>
  </si>
  <si>
    <t xml:space="preserve"> Republic of the Philippines Province of Leyte MUNICIPALITY OF CAPOOCAN -oOo- CAPOOCAN BIDS AND AWARD COMMITTEE INVITATION TO BID  for SUPPLY AND DELIVERY OF GARBAGE COMPACTOR &amp; DROP SIDE TRUCK (BRAND NEW) 1.	The MUNICIPALITY of Capoocan, Leyte, through th</t>
  </si>
  <si>
    <t xml:space="preserve"> Shopping . . . .</t>
  </si>
  <si>
    <t xml:space="preserve"> Purchase of materials for Rehabilitation of Barangay Hall at Brgy. Ubang, Capalonga, Cam. Norte</t>
  </si>
  <si>
    <t xml:space="preserve"> - CONCRETING OF 48 LN.M ROAD - INSTALLATION OF 90 LN.M LINE CANAL - INSTALLATION OF GROUTED RIPRAP - INSTALLATION OF GABION</t>
  </si>
  <si>
    <t xml:space="preserve"> Subdivision of Lot 108 PLS-080-000088 Brgy. Sto. Nino, San Juan, Southern Leyte	3	lots Preparation of parcilliary plan with vicinity map of lot of 2554-C, PSP-032010-D (Cemetery Lot)	1	lot</t>
  </si>
  <si>
    <t xml:space="preserve"> INVITATION TO APPLY FOR ELIGIBILITY AND TO BID            THE BARANGAY LOCAL GOVERNMENT UNIT  OF PALALIAN,KALAWIT,ZAMBOANGA DEL NORTE,through its Bids and Awards Committee ( BAC),invites suppliers/manufacturers/distributors to bid for the hereunder projec</t>
  </si>
  <si>
    <t xml:space="preserve"> The National Commission on Indigenous Peoples through its Bids and Awards Committee (BAC), will undertake procurement of civil works for the Construction of Indigenous Peoples Education (IPEd) Center in Betwagan, Sadanga, Mountain Province with an approve</t>
  </si>
  <si>
    <t xml:space="preserve"> One (1) Job Contract Furnishing Bedding for Isolation Area of PUI/PUP</t>
  </si>
  <si>
    <t xml:space="preserve"> Please see attached RFQ.</t>
  </si>
  <si>
    <t xml:space="preserve"> Republic of the Philippines Province of Pangasinan Municipality of Natividad BTO CALAPUGAN INVITATION TO BID FOR (CONSTRUCTION OF FEMALE TOILET AND LAVATORY AT THE BARANGAY HALL IN BARANGAY CALAPUGAN, NATIVIDAD, PANGASINAN   The [BTO CALAPUGAN], through t</t>
  </si>
  <si>
    <t xml:space="preserve"> see attached bidding documents</t>
  </si>
  <si>
    <t xml:space="preserve"> SPECIFICATIONS: * PASSENGER TYPE * EIGHT (8) SEATER * GASOLINE FUEL * 3 CYLINDER * 4X2 TRANSMISSION * 1 YEAR FREE LTO REGISTRATION * WITH CAR STEREO * WITH BLINKER * WITH BRGY. LOGO * COLOR RED * SCRUM</t>
  </si>
  <si>
    <t xml:space="preserve"> 1         UNIT           LAPTOP                                 42,258.89             42,258.89                             -INTEL CORE i5                             -4GB RAM DDR4                                         -1TB SATA HDD + 2566 B NUME SSD   </t>
  </si>
  <si>
    <t xml:space="preserve"> 10 PCS 1/4X4X8 PLYWOOD (TWO USES) 410 BD.FT. COCO LUMBER (HREE USES) FOR FORMS 5 KGS COMMON WIRE NAILS 55 PCS 16MM DIA RSB 12 PCS 12MM DIA. RSB 80 PCS 10MM DIA RSB 18 KGS #16 TIE WIRE 5 KGS HACKSAW 153 BAGS PORTLAND CEMENT 18 CU.M GRAVEL 9 CU.M SAND 19 PC</t>
  </si>
  <si>
    <t xml:space="preserve"> Reference No. PR # 20-06-0791 PRICE QUOTATION FORM (BID FORM) Sealed Bids shall be dropped in the BIDDERS BOX on or before 2:00 P.M.  July 07, 2020    placed at the office of the Chairman of the College BAC. Thereafter, the Bidder's Box shall be sealed un</t>
  </si>
  <si>
    <t xml:space="preserve"> Bicol Regional Training and Teaching Hospital Legazpi City INVITATION TO BID FOR  Treatment, Storage and Disposal of Hazardous Wastes IB No.06-2020 1.	The Bicol Regional Training and Teaching Hospital (BRTTH), through the 2020 Hospital Income  intends to </t>
  </si>
  <si>
    <t xml:space="preserve"> Republic of the Philippines Bangsamoro Autonomous Region in Muslim Mindanao MINISTRY OF AGRICULTURE, FISHERIES AND AGRARIAN REFORM BARMM Compound, Gov. Gutierrez Ave., RH-7, Cotabato City, Philippines, 9600 REQUEST FOR SUBMISSION OF PRICE QUOTATION RFQ No</t>
  </si>
  <si>
    <t xml:space="preserve"> BIDS AND AWARDS COMMITTEE Office of the Chairman Request for Quotation Date:                                                                                 Quotation No.:         PR # 2020-06-271 __________________________________ _______________________</t>
  </si>
  <si>
    <t xml:space="preserve"> - 1 - SET      SOFA BED (DOUBLE) WITH CUSHION  - 1 - PC        WOODEN CABINET (DIMENSION:  H= 6 ft., L=6 ft., W=16 inches WITH NATURAL VARNISH,                      MADE OF GMELINA WOOD)   - 1 - PC        CABINET WITH GLASS COVER (DIMENSION: 440mm L x 280</t>
  </si>
  <si>
    <t xml:space="preserve"> Republic of the Philippines Province of Leyte MUNICIPALITY OF CAPOOCAN -oOo- CAPOOCAN BIDS AND AWARD COMMITTEE INVITATION TO BID  for SUPPLY AND DELIVERY OF FURNITURES AND FIXTURES (OFFICE TABLES &amp; CHAIRS) 1.	The MUNICIPALITY of Capoocan, Leyte, through t</t>
  </si>
  <si>
    <t xml:space="preserve"> Supply and Delivery of Construction Material for the Construction of makeshift building at Tabayon National High School, Brgy. Tabayo, Jose Abad Santos, Davao Occidental.</t>
  </si>
  <si>
    <t xml:space="preserve"> REQUEST FOR QUOTATION 	The Caraga State University-Cabadbaran Campus, through its Bids and Awards Committee (BAC), will undertake a Shopping-Ordinary/Regular Office Supplies for the project: PROCUREMENT ON SUPPLY AND DELIVERY OF VARIOUS OFFICE SUPPLIES (1</t>
  </si>
  <si>
    <t xml:space="preserve"> Republic of the Philippines BIDS AND AWARDS COMMITTEE Province of Iloilo Invitation to Bid Purchase of Medical Supplies Bid No.ADH-20-0302-B 1. The Iloilo Provincial Government, through the 2020 GENERAL FUNDS intends to apply the sum of SIX HUNDRED EIGHTY</t>
  </si>
  <si>
    <t xml:space="preserve"> Republic of the Philippines Province of Batangas Municipality of San Juan BIDS AND AWARDS COMMITTEE INVITATION TO APPLY FOR ELIGIBILITY AND TO BID THE LOCAL  GOVERNMENT UNIT OF BRGY. BULSA, SAN JUAN, BATANGAS, through its Bids and Awards Committee(BAC), i</t>
  </si>
  <si>
    <t xml:space="preserve"> Republic of the Philippines Province of Southern Leyte Municipality of San Juan BIDS AND AWARDS COMMITTEE INVITATION TO BID 								Date:	June 30, 2020						                Contract no:    MSJ-2020-20 The LGU of the Municipality of San Juan, Southern Leyt</t>
  </si>
  <si>
    <t xml:space="preserve"> NOTICE TO THE PUBLIC  REQUEST FOR QUOTATION                                                 AMP SVP-D NO: 20-03-0304A	              The University of the Philippines, Diliman (UPD) hereby informs the public that it will be procuring the following item/s t</t>
  </si>
  <si>
    <t xml:space="preserve"> Invitation to Bid The National Housing Authority (NHA), through the Corporate Budget approved by the NHA Board for the year 2020 intends to apply the sum of the Approved Budget for the Contract (ABC) to payments for the following contract: Ref. No. : R13-</t>
  </si>
  <si>
    <t xml:space="preserve"> Republic of the Philippines Province of Leyte MUNICIPALITY OF CAPOOCAN -oOo- CAPOOCAN BIDS AND AWARD COMMITTEE INVITATION TO BID  for SUPPLY AND DELIVERY OF DISASTER RESPONSE &amp; RESCUE EQUIPMENT 1.	The MUNICIPALITY of Capoocan, Leyte, through the MDRRM FUN</t>
  </si>
  <si>
    <t xml:space="preserve"> Please refer to the attached document.</t>
  </si>
  <si>
    <t xml:space="preserve"> 1	Tire-265/65 R17 10H(A/T-Steel Belted Radial					-5-	pcs 	Tubeless</t>
  </si>
  <si>
    <t xml:space="preserve"> 48 SACKS 50KGS/SACK</t>
  </si>
  <si>
    <t xml:space="preserve"> 2 unit Air conditioning unit, split type, 2HP inverter including installation &amp; 1 other</t>
  </si>
  <si>
    <t xml:space="preserve"> City Government of Manila INVITATION TO BID NO. 2020-06-101 Procurement of Various Hospital Equipment 1.	The City Government of Manila, through the Lotto Fund CY 2020 intends to apply the sum of Thirty Five Million Pesos (Php35,000,000.00) being the Appro</t>
  </si>
  <si>
    <t xml:space="preserve"> Concreting of Sugpang Street, Barangay Caburan Big, Jose Abad Santos, Davao Occidental.</t>
  </si>
  <si>
    <t xml:space="preserve"> 12 pcs. Indoor CCTV 2MP Camera &amp; others including labor</t>
  </si>
  <si>
    <t xml:space="preserve"> 15 unit UPS 650VA</t>
  </si>
  <si>
    <t xml:space="preserve"> DAY 1- ARRIVAL	 120	cover	Lunch	 ₱250.00  120	cover	PM Snacks	 ₱100.00  120	cover	Dinner	 ₱250.00  104	pax	Lodging	 ₱500.00  3	pax	Lodging (deluxe Room)	 ₱4,500.00  		DAY 2 TO DAY 4	 360	cover	Breakfast	 ₱150.00  360	cover	AM Snacks	 ₱100.00  360	cover	Lu</t>
  </si>
  <si>
    <t xml:space="preserve"> City Government of Manila INVITATION TO BID NO. 2020-06-103 Procurement of five (5) units ECG Machine and two (2) units Infant Incubator 1.	The City Government of Manila, through the Lotto Fund CY 2020 intends to apply the sum of Three Million Four Hundre</t>
  </si>
  <si>
    <t xml:space="preserve"> Republic of the Philippines												 City of San Carlos												 Negros Occidental												 												 			INVITATION TO BID							FOR SALE	 			PURCHASE REQUEST NO: 1-20-05-0602			P 4,350.00	 Sealed bids for quotation of prices will be received </t>
  </si>
  <si>
    <t xml:space="preserve"> REQUEST FOR QUOTATION PR No.		1041-2020-0646		RFQ No. 2020-057 PR Date:	06/30/2020 ABC:		P 190,000.00 Sir/Madam: 	Please quote your lowest price on the item/s listed below subject to the General Conditions on the last page, stating the shortest time of de</t>
  </si>
  <si>
    <t xml:space="preserve"> 4 units Wheel Meter (single Wheel) &amp; 2 others</t>
  </si>
  <si>
    <t xml:space="preserve"> 24 PCS INTEGRATED BULK CONTAINER (IBC)             DIMENSION 1M X 1M X 1M             VOLUME 1 CUM             COLOR WHITE W/ STEEL FRAME</t>
  </si>
  <si>
    <t xml:space="preserve"> 10 kit Low Flux Treatment and others</t>
  </si>
  <si>
    <t xml:space="preserve"> 200 gal. Alcohol 70%, 4L</t>
  </si>
  <si>
    <t xml:space="preserve"> Name of Project: IMPROVEMENT OF NURSING RESEARCH OFFICE ABC: 397,393.33 LOCATION: Bontoc Campus, Bontoc , Mountain Province Contract Duration: 30CD Fund source:101 Bid document fee: 500</t>
  </si>
  <si>
    <t xml:space="preserve"> Construction of 13-units 2.0 cu.m. cylindrical Rain Water Collector System</t>
  </si>
  <si>
    <t xml:space="preserve"> Republic of the Philippines Province of Leyte MUNICIPALITY OF CAPOOCAN -oOo- CAPOOCAN BIDS AND AWARD COMMITTEE INVITATION TO BID  for SUPPLY AND DELIVERY OF ICT EQUIPMENTS FOR VARIOUS OFFICES 1.	The MUNICIPALITY of Capoocan, Leyte, through the PWD FUND SA</t>
  </si>
  <si>
    <t xml:space="preserve"> 1 set Executive Table with drawer and cabinet &amp; 2 others</t>
  </si>
  <si>
    <t xml:space="preserve"> See attachment/s.</t>
  </si>
  <si>
    <t xml:space="preserve"> Republic of the Philippines Province of Davao Oriental City of Mati BIDS &amp; AWARDS COMMITTEE INVITATION TO BID LOT Procurement of SPAREPARTS for the Use Mitsubishi Estrada of PCSU SOURCE OF FUND: OLF [1999M-200-5-02-99-990] 1.	The Provincial Government of </t>
  </si>
  <si>
    <t xml:space="preserve"> City Government of Manila INVITATION TO BID NO. 2020-06-98 Supply and Installation of one (1) unit CT Scan 128 Slices 1.	The City Government of Manila, through the CY 2020 – PAGCOR Trust Fund intends to apply the sum of Sixty-Six Million Pesos Only (Php66</t>
  </si>
  <si>
    <t xml:space="preserve"> Republic of the Philippines Province of Davao Oriental City of Mati BIDS &amp; AWARDS COMMITTEE INVITATION TO BID LOT Procurement of OFFICE EQUIPMENT for the Use of Brgy. Buso, City of Mati, Davao Oriental SOURCE OF FUND: OLF [1999Z4B-5-02-14-030] 1.	The Prov</t>
  </si>
  <si>
    <t xml:space="preserve"> 1 unit Laptop Computer, Intel Core i5@2.0Ghz,win10 HP, HDD 1TB, 8GB DDR4 w/mouse &amp; bag &amp; 2 others</t>
  </si>
  <si>
    <t xml:space="preserve"> 150 pc. Ballpen &amp; 25 others</t>
  </si>
  <si>
    <t xml:space="preserve"> 1 LS Ten smith with alignment &amp; 3 others</t>
  </si>
  <si>
    <t xml:space="preserve"> Supply and Delivery of One (1) Unit Brand New 4x2 Pick Up (Japanese/European/American Standard)</t>
  </si>
  <si>
    <t xml:space="preserve"> - 1 -  SET    WOODEN CABINETS (FOR RO)                    (Dimension: 1 main cabinet - 22cm L x 45cm W x 140cm H (10cm footing), 12 (4x3) compartment                     cabinet with sliding door painted with chocolate brown; 4 side cabinets – 160cm L x 4</t>
  </si>
  <si>
    <t xml:space="preserve"> One Job Contract Furnishing Medicine</t>
  </si>
  <si>
    <t xml:space="preserve"> City Government of Manila INVITATION TO BID NO. 2020-06-100 Procurement of one (1) Ophthalmic Operating Microscope and two (2) units ECG Machine 1.	The City Government of Manila, through the PAGCOR Trust Fund CY 2020 intends to apply the sum of Twenty Two</t>
  </si>
  <si>
    <t xml:space="preserve"> Procurement of Various Supplies in response to Covid-19 with allocated amount of P20,000.00</t>
  </si>
  <si>
    <t xml:space="preserve"> INVITATION TO BID The Northern Negros State College of Science and Technology at Old Sagay, Sagay City, Negros Occidental through its Bids and Awards Committee (BAC), invites bidders to apply for eligibility and if found eligible, to bid for the hereunder</t>
  </si>
  <si>
    <t xml:space="preserve"> - 2 -  UNITS    AIRCON 2HP SPLIT TYPE WALL INVERTER MOUNTED WITH INSTALLATION                        (W/IN 10ft W/OUT BRACKET)  - 1 -  UNIT     AIRCON FLOOR MOUNTED 3 TONS (NON-INVERTER)  - 1 -  UNIT     CONDENSER MICROPHONE, LARGE DIAPHRAGM WITH FREQUENC</t>
  </si>
  <si>
    <t xml:space="preserve"> REPUBLIC OF THE PHILIPPINES MUNICIPALITY OF LUBAO INVITATION TO BID FOR THE PROCUREMENT OF FERTILIZER FOR LUBAO FARMERS 1.	The Municipality of Lubao (MOL) through the authorized appropriation under GENERAL FUND intends to apply the sum of  FOUR MILLION SE</t>
  </si>
  <si>
    <t xml:space="preserve"> 1	Transfer Belt Assembly					-6-	pcs 2	Drum Cartridge Assembly					-8-	pcs</t>
  </si>
  <si>
    <t xml:space="preserve"> 62 ream Book Paper Sub 20-short</t>
  </si>
  <si>
    <t xml:space="preserve"> Republic of the Philippines Province of Leyte MUNICIPALITY OF CAPOOCAN -oOo- CAPOOCAN BIDS AND AWARD COMMITTEE INVITATION TO BID  for SUPPLY AND DELIVERY OF FEMALE CARABAO 1.	The MUNICIPALITY of Capoocan, Leyte, through the BUB-LGSF NAPC FUND intends to a</t>
  </si>
  <si>
    <t xml:space="preserve"> INVITATION TO BID FOR THE PROVISION OF LABOR, MATERIALS, EQUIPMENT RENTALS AND OTHER INCIDENTALS NEEDED FOR THE REHABILITATION AND ENHANCEMENT OF MULTIPURPOSE BUILDING AT DA-PREC, SUAL, PANGASINAN 1.	The Department of Agriculture Regional Field Office 1 (</t>
  </si>
  <si>
    <t xml:space="preserve"> Request for Quotation All interested suppliers are requested to submit their quotations on the items listed in the attached Request for Quotation.</t>
  </si>
  <si>
    <t xml:space="preserve"> 1	Diesel Fuel					-10,000-	ltrs</t>
  </si>
  <si>
    <t xml:space="preserve"> 1,666.50 cu. m. Anapog Binder (Excluding Hauling Cost)</t>
  </si>
  <si>
    <t xml:space="preserve"> Republic of the Philippines Province of Davao Oriental City of Mati BIDS &amp; AWARDS COMMITTEE INVITATION TO BID LOT Procurement of MATERIALS for Use in the Rehabilitation of Multi-Purpose Hall at Brgy. Dahican, City of Mati, Davao Oriental SOURCE OF FUND: 2</t>
  </si>
  <si>
    <t xml:space="preserve"> Republic of the Philippines Province of Davao Oriental City of Mati BIDS &amp; AWARDS COMMITTEE INVITATION TO BID LOT Procurement of MATERIALS for Use in the Repair and Maintenance of PEO Building (Phase 1), at Capitol Compound, Brgy. Central, City of Mati, D</t>
  </si>
  <si>
    <t xml:space="preserve"> City Government of Manila INVITATION TO BID NO. 2020-06-102 Supply and Installation of one (1) unit Digital Radiography Machine 1.	The City Government of Manila, through the CY 2020 – LOTTO Fund intends to apply the sum of Twenty-One Million Pesos Only (P</t>
  </si>
  <si>
    <t xml:space="preserve"> 5 set Desktop Computers w/specs.</t>
  </si>
  <si>
    <t xml:space="preserve"> 50	BOTTLES	Alcohol 70% Solution 500 mL 20	PCS.	DETERGENT BLEACH 10	PCS	Disnifectant Spray 170 g 10	BOX	FACIAL TISSUE 10	ROLL	TISSUE ROLL 20	REAM	BOND PAPER  LONG 20	REAM	BOND PAPER A4 50	PCS.	FOLDER EXPANDABLE,GREEN,LONG 45	SET	PRINTER Ink 003 SET (BLACK,</t>
  </si>
  <si>
    <t xml:space="preserve"> 1   unit   Laptop Specification CPU – core i5 Processor model :i5-7300HQ GPU model:NIVIDIA with 3GBGDDR5 GDDR5 VRAM GeForce GTX 1050 RAM:8GB Storage type: HDD +SSD/eMMC, SSHD HDD:1TB SSD/eMMC: 128GB, 256GB, 512GB Connectivity: HDMI, USB3.0, Bluetooth, Car</t>
  </si>
  <si>
    <t xml:space="preserve"> 30 box Ascorbic Acid Tab x 100's &amp; 30 others</t>
  </si>
  <si>
    <t xml:space="preserve"> City Government of Manila INVITATION TO BID NO. 2020-06-99 Supply and Installation of one (1) unit Ultrasound Machine (General Use) 1.	The City Government of Manila, through the CY 2020 – PAGCOR Trust Fund intends to apply the sum of Five Million Pesos On</t>
  </si>
  <si>
    <t xml:space="preserve"> Republic of the Philippines Province of Davao Oriental City of Mati BIDS &amp; AWARDS COMMITTEE INVITATION TO BID LOT Procurement of MEDICAL FLUIDS for the Use of DOPH LUPON SOURCE OF FUND: GENERAL FUND [4421-200A-200-5-02-03-070-01] 1.	The Provincial Governm</t>
  </si>
  <si>
    <t xml:space="preserve"> 1 set Brake Pad &amp; 17 others</t>
  </si>
  <si>
    <t xml:space="preserve"> Republic of the Philippines PROVINCE OF PAMPANGA City of San Fernando INVITATION TO BID NO. 2020-21 IG - BAC INVITATION TO BID FOR PURCHASE REQUEST NO. 20-1449, 20-1448, 20-1430, 20-1432, 20-1429, 20-1551, 20-1456, 20-0135, 20-0137, 20-0139, 20-0589 and 2</t>
  </si>
  <si>
    <t xml:space="preserve"> Republic of the Philippines Province of Davao Oriental City of Mati BIDS &amp; AWARDS COMMITTEE INVITATION TO BID Procurement of One (1) Unit 4x4 DOUBLE CAB UTILITY VEHICLE in Support to Pagkain at Kita SAVE Program SOURCE OF FUND: OLFP [1999OA-300-1-07-06-01</t>
  </si>
  <si>
    <t xml:space="preserve"> Janitorial Services , BSP Legazpi Branch</t>
  </si>
  <si>
    <t xml:space="preserve"> 2 box Anti A/ Anti B/ Anti D Control/Reverse Diluent (400 cassettes/box) &amp; 4 others</t>
  </si>
  <si>
    <t xml:space="preserve"> I. Price Quotation Form (Please see attached file @ Associated Components). TCT Number - T-779459 Registered owner - ANALIZA O. MAGLIAN m/to Efren Maglian Location - National Highway, Macabling, Sta. Rosa, Laguna Lot area - 1000 square meters II. Payment </t>
  </si>
  <si>
    <t xml:space="preserve"> Republic of the Philippines Province of Davao Oriental City of Mati BIDS &amp; AWARDS COMMITTEE INVITATION TO BID LOT Procurement of SPAREPARTS for Use in Mitsubishi L300 Ambulance of DOPH LUPON SOURCE OF FUND: GENERAL FUND [4421-200A-200-5-02-13-060-01] 1.	T</t>
  </si>
  <si>
    <t xml:space="preserve"> INVITATION TO BID FOR THE PROVISION OF LABOR, MATERIALS, EQUIPMENT RENTALS AND OTHER INCIDENTALS NEEDED FOR THE REHABILITATION AND ENHANCEMENT OF ADMINISTRATIVE BUILDING AT DA-PREC, SUAL, PANGASINAN 1.	The Department of Agriculture Regional Field Office 1</t>
  </si>
  <si>
    <t xml:space="preserve"> The LGU-San Andres, Quezon Request for Quotation for the Purchase of Construction Materials for Water system at the Sanitary Landfill, Municipality of San Andres, Quezon</t>
  </si>
  <si>
    <t xml:space="preserve"> Republic of the Philippines BULACAN STATE UNIVERSITY City of Malolos, Bulacan ________________________________________ INVITATION TO BID FOR  Re-bidding Supply and Delivery of Tablet Pro for IQAO (BulSU-BAC-G-2020-22) The BULACAN STATE UNIVERSITY (BulSU),</t>
  </si>
  <si>
    <t xml:space="preserve"> INVITATION TO BID NO. 2020-CW-07 The       DPWH-QUEZON III DISTRICT ENGINEERING OFFICE, Catanauan, Quezon, through its Bids and Awards Committee (BAC), invites contractors to submit bids for the following Contracts: 1.	Procurement ID/Contract ID: 20DM0069</t>
  </si>
  <si>
    <t xml:space="preserve"> this serves at second posting for the second bidding of this project</t>
  </si>
  <si>
    <t xml:space="preserve"> INVITATION TO BID FOR THE PROVISION OF LABOR, MATERIALS, EQUIPMENT RENTALS AND OTHER INCIDENTALS NEEDED FOR THE RECONSTRUCTION OF PERIMETER FENCE WITH GATE AT DA-INREC, DINGRAS, ILOCOS NORTE 1.	The Department of Agriculture Regional Field Office 1 (DA RFO</t>
  </si>
  <si>
    <t xml:space="preserve"> (PLEASE SEE ALSO ATTACHED. INVITATION TO BID Supply, Delivery and Testing of Four-Wheel Tractors  (PHilMech-RCEF-20-06-01) 1. The Philippine Center for Postharvest Development and Mechanization (PHilMech) through its FY 2019 &amp; FY 2020 Rice Competitive Enh</t>
  </si>
  <si>
    <t xml:space="preserve"> Republic of the Philippines CITY GOVERNMENT OF SAN FERNANDO Barangay Langcuas Email: brgy_langcuas_csf@yahoo.com.ph INVITATION TO BID FOR  Construction of Roofing Multi-Purpose Hall Alley, Barangay Langcuas City of San Fernando 1.	The Barangay Langcuas, t</t>
  </si>
  <si>
    <t xml:space="preserve"> please see attached. INVITATION TO BID Supply, Delivery and Testing of Rice Combine Harvesters (PHilMech-RCEF-20-06-07) 1. The Philippine Center for Postharvest Development and Mechanization (PHilMech) through its FY 2019 &amp; FY 2020 Rice Competitive Enhanc</t>
  </si>
  <si>
    <t xml:space="preserve"> INVITATION TO BID NO. 2020-CW-07 The       DPWH-QUEZON III DISTRICT ENGINEERING OFFICE, Catanauan, Quezon, through its Bids and Awards Committee (BAC), invites contractors to submit bids for the following Contracts: 2.	Procurement ID/Contract ID: 20DM0070</t>
  </si>
  <si>
    <t xml:space="preserve"> OPENING OF BIDS IN DSWD FO IX ZAMBOANGA CITY					 DELIVERY IN DSWD FO IX ZC					 PROCUREMENT FOR THE FF.:					 1 LOT OFFICE SUPPLIES					 30	PCS.	FRAME CERTIFICATE A4 SIZE			 2	UNIT	PRINTER WITH LEGAL SIZE SCANNER-GOOD QUALITY			 1	PCS.	COMPACT DIGITAL WI</t>
  </si>
  <si>
    <t xml:space="preserve"> OPENING OF BIDS IN DSWD FO IX ZAMBOANGA CITY					 DELIVERY IN DSWD-SWADT-LILOY ZAMBOANGA DEL NORTE					 PROCUREMENT FOR THE FF.:					 1 LOT OFFICE SUPPLIES					 242	REAMS	LONG BOND PAPER S-20, 500 PER SHEETS PER REAM			 101	REAMS	SHORT BOND PAPER S--20, 5</t>
  </si>
  <si>
    <t xml:space="preserve"> Purchase of medical supplies and equipment 9 gallon of alcohol 500 pcs. Of  face mask (cloth like) 9 gallon of chlorine 2 sets of personal protective equipment  (PPE)</t>
  </si>
  <si>
    <t xml:space="preserve"> OPENING OF BIDS IN DSWD FO IX, ZAMBOANGA CITY,		 DELIVERY IN DSWD FO IX ZAMBOANGA CITY		 PROCUREMENT FOR THE FF.:		 		 1 LOT FOOD SUPPLIES		 32	SACKS	RICE  (COMMERCIAL) FORTIFIED IRON 84	PACK	MILK POWDER (900 GRAMS/PACK) 250	CARTOON	JUICE IN CAP, READY TO</t>
  </si>
  <si>
    <t xml:space="preserve"> OPENING OF BIDS IN DSWD FO IX ZAMBOANGA CITY				 DELIVERY IN DSWD FO IX ZC				 PROCUREMENT FOR THE FF.:				 1 LOT OFFICE SUPPLIES				 30	BTL.	ALCOHOL, ETHYL, 68%-70%, SCENTED, 500 ML. COLORLESS, CLEAN LIQUID		 100	PCS	CORRECTION TAPE, ROLLER TYPE , FILM B</t>
  </si>
  <si>
    <t xml:space="preserve"> 2 unit Desktop Computer,intel core i3@2.0Ghz, win 10HP, HDD 1TB, 8GB DDR4 with keyboard, mouse, AVR &amp; UPS, monitor 18" 5 inch</t>
  </si>
  <si>
    <t xml:space="preserve"> Republic of the Philippines City of manila OFFICE OF THE BARANGAY COUNCIL BIDS AND AWARDS COMMITTEE INVITATION TO APPLY FOR ELIGIBILITY AND TO BID APPROVED BUDGET FOR THE CONTRACT: 655,000.00 PROCUREMENT OF: Office supplies and equipment</t>
  </si>
  <si>
    <t xml:space="preserve"> DRUGS AND MEDICINES					 Eye drops for tired, itchy, red , burning watery eyes	5	bottles Band aid strips			4	boxes Nifedipine				20	pcs Kremil -S				100	pcs Omeprasol 40mg		30	pcs Biogesic				100	pcs Lazartan				100	pcs Mefenamic Acid 500mg		100	pcs  Digi</t>
  </si>
  <si>
    <t xml:space="preserve"> barangay malatap is to purchase laptop for the barangay sec and treasurer's easy access to work.</t>
  </si>
  <si>
    <t xml:space="preserve"> see atttached RFQ</t>
  </si>
  <si>
    <t xml:space="preserve"> OPENING OF BIDS IN DSWD FO IX ZAMBOANGA CITY						 DELIVERY IN DSWD FO IX ZC						 PROCUREMENT FOR THE FF.:						 						 470	PCS	4X3 TARPAULIN (FDS ON AIR AND PANTAWID ACT)				 1000	PCS	ADVOCACY 4PS T-SHIRT				 ********************************************</t>
  </si>
  <si>
    <t xml:space="preserve"> OFFICE SUPPLIES					 Ink Epson black				10	bottles Ink Epson colored			10	bottles</t>
  </si>
  <si>
    <t xml:space="preserve"> GENERAL MERCHANDISE					 APRONS			20	pcs CAN OPENER              2	pcs ICE BUCKET		4	pcs NAIL CUTTER		12	pcs WELDING GLOVES	4	pairs STEAMER			1	set</t>
  </si>
  <si>
    <t xml:space="preserve"> for purok 6 barangay malatap is having an improvement of their farm to market road. cement               331bags washed sand       44 cubic crushed gravel g-1  20cubic apple size gravel     20cubic</t>
  </si>
  <si>
    <t xml:space="preserve"> barangay malatap labo will be improving their farm to market road purok1  cement             160bags washed sand      18cubic crushed gravel g-1    18cubic apple size gravel       12 cubic</t>
  </si>
  <si>
    <t xml:space="preserve"> for this project of barangay malatap labo is doing a water system improvement for purok 1,4 and 7... they are in need of the following items: cement                                        80bags washed sand                              10 cubic crushed gr</t>
  </si>
  <si>
    <t xml:space="preserve"> GENERAL MERCHANDISE					 DOOR MAT				50	pcs TOILET BOWL CLEANER 		12	pcs TISSUE PAPER				24	pcs</t>
  </si>
  <si>
    <t xml:space="preserve"> barangay malatap labo is in need of projector for their barangay's use during assemblies and or seminars that will be conducted at the vicinity.</t>
  </si>
  <si>
    <t xml:space="preserve"> GROCERY ITEMS					 flour				1	sack Oil				1	gal Sugar White		2	kls Sugar brown		2	kls Egg 				5	trays</t>
  </si>
  <si>
    <t xml:space="preserve"> INVITATION TO BID FOR THE Procurement of HYBRID RICE SEEDS (*1,357 bags @ 15 kgs/bag of NSIC Rc 132H (Mestiso 6) and NSIC Rc 540H (Mestiso 97) and *769 bags @ 15 kgs/bag of NSIC Rc 548H (Mestiso 101) 1. The Department of Agriculture-Regional Field Office </t>
  </si>
  <si>
    <t xml:space="preserve"> PLEASE SEE PLANS &amp; SPECIFICATION</t>
  </si>
  <si>
    <t xml:space="preserve"> Department of Social Welfare and Development Field Office VI M.H. del Pilar St., Iloilo City INVITATION TO BID FOR THE PROCUREMENT OF VARIOUS WELFARE GOODS AS RAW MATERIALS FOR FAMILY FOOD PACKS PRODUCTION OF DRMD FOR CY2020 (1st Posting) 1. The Departmen</t>
  </si>
  <si>
    <t xml:space="preserve"> PLEASE SEE PLANS &amp; SPECIFICATIONS</t>
  </si>
  <si>
    <t xml:space="preserve"> LABORATORY SUPPLIES AND EQUIPMENTS					 Magnet horse shoe		10	pcs Iodine solution			1	bottle Benedict solution		1	bottle Magnetic board			5	pcs Alka zelter tablet		10	pcs Aluminum strip			2	packs ammeter			        1	unit Bar magnet			5	unit Coil spring			</t>
  </si>
  <si>
    <t xml:space="preserve"> MUSICAL INSTRUMENTS					 Organ 				1	unit Acoustic guitar			1	unit whistle				5	pcs</t>
  </si>
  <si>
    <t xml:space="preserve"> GENERAL MERCHANDISE					 J&amp;J Virgo superwhite		1	gal Mesh 120				5	yards Mesh 100				5	yards J&amp;J Virgo Black			2	pcs J&amp;J Virgo Red			2	pcs J&amp;J Virgo Blue			2	pcs J&amp;J Virgo Yellow			2	pcs</t>
  </si>
  <si>
    <t xml:space="preserve"> HARDWARE AND CONSTRUCTION SUPPLIES					 Enamel paint white				1	gal Enamel Green Tinting oil 80mL		1	pc Marine Plywood 1/2				4	pcs Marine plywood 1/4				2	pcs</t>
  </si>
  <si>
    <t xml:space="preserve"> 1 Conference table (12 seaters) 3 Office Table with chair &amp; glass 1 Division Cabinet with glass 1 table</t>
  </si>
  <si>
    <t xml:space="preserve"> 300 pc. Ballpen, ordinary, black &amp; 3 others</t>
  </si>
  <si>
    <t xml:space="preserve"> 500 pc. CD-R 700mb &amp; 4 others</t>
  </si>
  <si>
    <t xml:space="preserve"> 500 supp Bisacodyl 10mg suppository &amp; 14 others</t>
  </si>
  <si>
    <t xml:space="preserve"> 100 amp Phenytoin 50mg/ml &amp; 2 others</t>
  </si>
  <si>
    <t xml:space="preserve"> Procurement of Janitorial and Medical Supplies</t>
  </si>
  <si>
    <t xml:space="preserve"> Uninterruptible Power Supply Smart-UPS 3000VA 230V Output:  Output Power Capacity and Max configurable power (watts): 2700watts  Output connections: (2) IEC 320 C19(battery backup) (2) IEC Jumpers (battery backup) (8) IEC 320 C13 (battery backup) Input: N</t>
  </si>
  <si>
    <t xml:space="preserve"> Procurement of construction supplies for the month of May</t>
  </si>
  <si>
    <t xml:space="preserve"> 6 LNM 36" RCCP  36 LNM 24" RCCP  12 BAGS PORTLAND CEMENT  12 CUM BOULDERS  8 CUM WASHED SAND</t>
  </si>
  <si>
    <t xml:space="preserve"> 1 5 BOT. ALCOHOL - 500ml 2 5 CAN/S DISINFECTANT SPRAY - 170G</t>
  </si>
  <si>
    <t xml:space="preserve"> Description Item	Qty	Specifications 1.	Rice	500 bags	R40, 5kg per bag 2.	Canned Corned Beef	500 pcs.	150g, 100% pure beef 3.	Chocolate Drink	250 pcs.	8-35g per envelope 4.	Powdered Milk	500 pcs.	150g 5.	Pancake	500 box	500g per box 6.	Canned Tuna	1000 pcs</t>
  </si>
  <si>
    <t xml:space="preserve"> 1 3 CART. TONER - LBP 230DN CANON 2 3 CART. TONER - LBP 2900 3 4 PC/S INK - EPSON - BLACK T6641 4 4 PC/S INK - EPSON - MAGENTA T6643 5 4 PC/S INK - EPSON - CYAN T6642 6 4 PC/S INK - EPSON - YELLOW T6644 7 2 PC/S FLASH DISK - ( OTG ) 8 2 PC/S MOUSE - USB 9</t>
  </si>
  <si>
    <t xml:space="preserve"> DISINFECTANT SPRAY				 •	Kills fungi, bacteria and viruses		 •	Sanitizes surfaces				100	BOTTLE DISINFECTANT WIPES				 •	ready-to-use presoaked disinfectant wipes	 •	Kills fungi, bacteria and viruses			10	PACKS LIQUID DISINFECTANT				 •	EPA approved disin</t>
  </si>
  <si>
    <t xml:space="preserve"> 2 gals Acrylic paint, Kawasaki green 6 qrts acrylic Paint,white 6 qrts Acrylic paint,Flat Black 7 qrts Acrylic Paint, Top Coat,Clear 7 qrts Acrylic Paint,Epoxy Primer, Gray</t>
  </si>
  <si>
    <t xml:space="preserve"> Republic of the Philippines Province of Bohol Municipality of Duero BIDS AND AWARDS COMMITTEE Section 1. INVITATION TO BID The Municipality of Duero, Bohol, through its Bids and Awards Committee (BAC), invites suppliers/manufacturers/distributors to apply</t>
  </si>
  <si>
    <t xml:space="preserve"> Republic of the Philippines Province of Nueva Vizcaya BIDS AND AWARDS COMMITTTEE (GOODS) BAC OFFICE, Provincial Capitol, Bayombong, Nueva Vizcaya 	 		Negotiated Procurement (2nd Failure of Bidding) 2nd REQUEST FOR QUOTATION (RFQ)  For the Procurement of O</t>
  </si>
  <si>
    <t xml:space="preserve"> Name of the Procuring Entity                                                                  					        Project Reference Number 								Name of the Project 									Location of the Project Standard Form Number: SF-GOOD-05 Revised on July 28, 2004 INVI</t>
  </si>
  <si>
    <t xml:space="preserve"> Alcohol 70%</t>
  </si>
  <si>
    <t xml:space="preserve"> Procurement of office supplies and consumables for the month of April-July</t>
  </si>
  <si>
    <t xml:space="preserve"> Kindly refer to the attached Bid Documents</t>
  </si>
  <si>
    <t xml:space="preserve"> Installation of 14 units road lighting fixture HPS 150 watts with ignitor, capacitor, ballast with tapered steel post 3"x6"x20ft x 1/8" thick bracket type SBT 1 1/2" X 48 x 1/8"</t>
  </si>
  <si>
    <t xml:space="preserve"> Construction of 57.20 Lm with 4 seater concrete bleachers.</t>
  </si>
  <si>
    <t xml:space="preserve"> Republic of the Philippines PROVINCE OF NUEVA VIZCAYA Municipality of Alfonso Castañeda  BIDS &amp; AWARDS COMMITTEE FOR GOODS &amp; SERVICES REQUEST FOR QUOTATION RFQ Number: 2020-07-03 The Local Government of Alfonso Castañeda through its Bids and Awards Comm</t>
  </si>
  <si>
    <t xml:space="preserve"> STEEL CABINET 	9	PIECE -	4 Layer Vertical Filing Cabinet		 -	Powder coated metal, full extension drawer with plastic divider and central lock		 PLEASE ATTACH THE FOLLOWING DOCUMENTS: 1.	TAX CLEARANCE 2.	MAYOR’S PERMIT 3.	SEC CERT. / DTI PERMIT 4.	PHILGEPS</t>
  </si>
  <si>
    <t xml:space="preserve"> Republic of the Philippines MUNICIPALITY OF MACABEBE Province of Pampanga INVITATION TO BID FOR Air Conditioners 1.	The Municipality of Macabebe, through the 2020 Municipal Budget intends to apply the sum of Four Hundred Seventy-Five Thousand Pesos (Php 4</t>
  </si>
  <si>
    <t xml:space="preserve"> PROCUREMENT OF ONE (1) LOT OFFICE SUPPLIES &amp; EQUIPMENT 1.  BONDPAPER, Letter Size 8 1/2 X 11, subs. 20 - 200 REAMS 2.  FOLDER, Expanded, Plastic, Hard Bound, Legal Size, Color: Blue - 250 PIECES 3.  FOLDER, Expanded, Plastic, Hard Bound, Legal Size, Color</t>
  </si>
  <si>
    <t xml:space="preserve"> 1 Unit 1.7 x 1.82 Fix and Sliding Window with 1/4" thick tainted glass with aluminum analok frame 4 Unit 2.44 x 1.82 Fix and Sliding Window with 1/4" thick tainted glass with aluminum analok frame 1 Unit 0.94 x 2.05 Fix  &amp; Window with 1/4" thick tainted g</t>
  </si>
  <si>
    <t xml:space="preserve"> LGU-AL-32-2020 CONSTRUCTION OF CONCRETE BRIDGE PHASE-II BRGY. HAMPIPILA ABUYOG, LEYTE</t>
  </si>
  <si>
    <t xml:space="preserve"> 2 UNIT CHAIR - Executive</t>
  </si>
  <si>
    <t xml:space="preserve"> Republic of the Philippines Province of Surigao del Sur Municipality of Tago ---ooo0ooo--- Invitation to Bid Completion of Tago Multi-purpose Hall (Phase II) Project ID No. TAG-SDS-060-2020 The Local Government Unit of Tago, Surigao del Sur invites sealed</t>
  </si>
  <si>
    <t xml:space="preserve"> 1 6 PC/S MARKER PEN - PERMANENT, BROAD POINT, BLACK 2 10 PC/S PEN - SIGN 0.5 RED 3 2 BTL/S INK - REFILL FOR PERMANENT MARKER, BLACK 4 8 ROLL/S TAPE - MASKING #2 5 1 PACK/S CABLE TIE - . 6 5 BOX PAPER CLAMP - BIG 7 6 BOX/S PAPER CLAMP - SMALL-ASSTD. COLOR </t>
  </si>
  <si>
    <t xml:space="preserve"> INVITATION TO BID LGU-El Salvador City, Misamis Oriental through its BAC, invites interested bidders to apply for eligibility and if found eligible to bid for the contract: 1. Contract ID No. : ITB No. 2020-06-061/Project ID No. 19-009-20% Name of Project</t>
  </si>
  <si>
    <t xml:space="preserve"> INVITATION TO BID LGU-El Salvador City, Misamis Oriental through its BAC, invites interested bidders to apply for eligibility and if found eligible to bid for the contract: 1. Contract ID No. : ITB No. 2020-06-060/Project ID No. 19-009-20% Name of Project</t>
  </si>
  <si>
    <t xml:space="preserve"> Furnishing of labor, materials and equipment for the Repair of Perimeter Fence of Cemetery at Tomolin</t>
  </si>
  <si>
    <t xml:space="preserve"> Name of Project: CONSTRUCTION OF RAMP AT THE FRONTAGE OF SCHOOL CLINIC ABC: 110,000.00 Location: Bontoc Campus, Bontoc ,Mountain Province Contract Duration: 15CD Bid document fee:500</t>
  </si>
  <si>
    <t xml:space="preserve"> July 1, 2020 REQUEST FOR QUOTATION (RFQ) DRYBATH 1.	The Batangas Medical Center hereinafter referred to as the “Purchaser” now request for submission of price proposal for the procurement of the aforesaid item described in the Technical Specifications. 2.</t>
  </si>
  <si>
    <t xml:space="preserve"> LOCAL GOVERNMENT UNIT OF NAGUILIAN , ISABELA INVITATION TO BID FOR the PURCHASE OF ONE (1) UNIT BRAND NEW HYDRAULIC EXCAVATOR 1.	The Local Government Unit of Naguilian, Isabela, through the Loan proceeds from the Land Bank of the Philippines intends to ap</t>
  </si>
  <si>
    <t xml:space="preserve"> INVITATION TO BID The City of Bayawan, through its Bids and Awards Committee (BAC), invites suppliers/manufacturers/distributors/contractors to bid for the hereunder projects: 	Lot No. I		BRANDNEW SERVICE VEHICLE					 1	1	unit	Service Vehicle (Brand New)	</t>
  </si>
  <si>
    <t xml:space="preserve"> 100 pack Lenin Paper Long 20 pack Photo Paper (A4 Glossy) 24 pc correction tape roll type 4 pcs. Flash Drive 16GB 3 pcs. Flash Drive 32GB 18 pcs. sign pen (red) 30 pcs sign pen (blue) 24 pcs sign pen (black) 18 pcs. sign pen (violet) 48 pcs. Ballpen Black</t>
  </si>
  <si>
    <t xml:space="preserve"> 1 5 PC/S CLIPBOARD - WOODEN-LONG SIZE 2 2 PAIR/S SCISSORS - ORDINARY 15CM (6") 3 1 BOX BALLPEN - BLACK ORDINARY 50'S 4 2 PC/S CUTTER - W/ PLASTIC &amp; METAL CASE,BIG 5 12 PC/S FOLDER - BROWN ( LONG SIZE ) 6 24 PC/S FOLDER - EXPANDING LONG GREEN 7 3 PC/S RULE</t>
  </si>
  <si>
    <t xml:space="preserve"> Construction/Rehabilitation of Water Supply /Septage and Sewerage/Rainwater Collectors System-Rain Water Collectors in Public Facilities</t>
  </si>
  <si>
    <t xml:space="preserve"> as per (electronic) file attached:</t>
  </si>
  <si>
    <t xml:space="preserve"> INVITATION TO BID FOR THE   SUPPLY AND DELIVERY OF CONSTRUCTION MATERIALS FOR THE  REHABILITATION OF CARROMATA WATER SYSTEM,  CARROMATA, SAN MIGUEL, SURIGAO DEL SUR 1. The  Local Government Unit of San Miguel through the  Bids and Awards Committee (BAC) i</t>
  </si>
  <si>
    <t xml:space="preserve"> For the use of the Sagguniang Kabataan Office 1 unit Laptop with complete accessories</t>
  </si>
  <si>
    <t xml:space="preserve"> 6 pcs. 10.00-20 Miler</t>
  </si>
  <si>
    <t xml:space="preserve"> INVITATION TO BID  REHABILITATION OF BASKETBALL COURT AT OPAL ST.  LOS BAÑOS SUBD. BARANGAY BATONG MALAKE, LOS BAÑOS, LAGUNA 1.	The BRGY. BATONG MALAKE, through the 20% Barangay Development Fund intends to apply the sum of ONE HUNDRED SIXTEEN THOUSAND NIN</t>
  </si>
  <si>
    <t xml:space="preserve"> Construction of landfill fence 128m with 5m gate and soil covering of 0.9 hectare landfill.</t>
  </si>
  <si>
    <t xml:space="preserve"> - PLUMBING SUPPLIES &amp; MATERIALS - FITTINGS</t>
  </si>
  <si>
    <t xml:space="preserve"> 133 vials rabies vaccine (10ml) disposable syringe 3ml (100's) disposable syringe 5ml (100's) alcohol 70% isoprophyl 500 ml</t>
  </si>
  <si>
    <t xml:space="preserve"> Republic of the Philippines Province of Nueva Vizcaya BIDS AND AWARDS COMMITTEE (BAC-Goods) BAC OFFICE, Provincial Capitol, Bayombong, Nueva Vizcaya 	 REQUEST FOR QUOTATION (RFQ)  For the Procurement of Filing Cabinet, Office Table, etc. For the Provincia</t>
  </si>
  <si>
    <t xml:space="preserve"> Republic of the Philippines								 Department of Education								 R4B MiMaRoPa								 Division Of Occidental Mindoro								 PEDRO T. MENDIOLA SR., MEMORIAL NATIONAL HIGH SCHOOL								 National Road, Bagong Sikat, San Jose, Occidental Mindoro								 </t>
  </si>
  <si>
    <t xml:space="preserve"> July 1, 2020 REQUEST FOR QUOTATION (RFQ) VORTEX 1.	The Batangas Medical Center hereinafter referred to as the “Purchaser” now request for submission of price proposal for the procurement of the aforesaid item described in the Technical Specifications. 2.	</t>
  </si>
  <si>
    <t xml:space="preserve"> PROJECT: PURCHASE OF VARIOUS PRINTING FORMS LOCATION: RHU-RIZAL, NUEVA ECIJA SOURCE OF FUND: HCI TRUST FUND ABC: PHP 53,000.00</t>
  </si>
  <si>
    <t xml:space="preserve"> To All Eligible Suppliers; Please quote your lowest price on the item listed below, subject to the General Condition stated herein and submit the same to the Office of the BAC-Secretariat on or before July 20, 2020 at 10:00 O'clock in the morning SGD.) WU</t>
  </si>
  <si>
    <t xml:space="preserve"> Dual Capability Drone with Smart Controller Fly More Kit</t>
  </si>
  <si>
    <t xml:space="preserve"> Republic of the Philippines DEPARTMENT OF PUBLIC WORKS AND HIGHWAYS SARANGANI  DISTRICT ENGINEERING OFFICE REGIONAL OFFICE XII Alabel, Sarangani Province   INVITATION TO BID  for The DPWH-Sarangani District Engineering Office, Alabel Sarangani Province, t</t>
  </si>
  <si>
    <t xml:space="preserve"> Completion of Drainage System including other improvement,</t>
  </si>
  <si>
    <t xml:space="preserve"> Portland Cement, Gravel &amp; Sand, Red Cement, CHB, Hacksaw Blade, Bit. Conc. Surface Coarse (FDLRC, Bit. Tack Coat G.I tie Wire, RMC, Base Coarse, Deformed Bars</t>
  </si>
  <si>
    <t xml:space="preserve"> Rehabilitation of Road including Drainage,</t>
  </si>
  <si>
    <t xml:space="preserve"> 100 box	Gloves, nitirle, powder-free, medium size	  100 box	Gloves, nitirle, powder-free, large size	  General Conditions: 1. All entries must be typewritten or in print. 2. Price validity shall be for a period of 90 calendar days. 3. Indicate the referen</t>
  </si>
  <si>
    <t xml:space="preserve"> Chlorine Powdered Soap 25kls/Box</t>
  </si>
  <si>
    <t xml:space="preserve"> PROVISION OF SUPPLIES FOR COVID-19 200 boxes   Surgical Mask 100 pcs       Hand washing soap (Large, pump) 100 gal        70% Isopropyl Alcohol 120 pcs       Customized Face Shield for SDO Biliran</t>
  </si>
  <si>
    <t xml:space="preserve"> This project is dealing of Brgy. Cogorin Ilaya, Lopez, Quezon</t>
  </si>
  <si>
    <t xml:space="preserve"> Concreting of Road</t>
  </si>
  <si>
    <t xml:space="preserve"> July 1, 2020 REQUEST FOR QUOTATION (RFQ) PRINTER 3-IN-1, COLORED  1.	The Batangas Medical Center hereinafter referred to as the “Purchaser” now request for submission of price proposal for the procurement of the aforesaid item described in the Technical S</t>
  </si>
  <si>
    <t xml:space="preserve"> 1 1 PC/S INK - EPSON - BLACK T6641 2 1 PC/S INK - EPSON - MAGENTA T6643 3 1 PC/S INK - EPSON - CYAN T6642 4 1 PC/S INK - EPSON - YELLOW T6644 5 4 REAM/S PAPER - BOOK LEGAL,216MMX330MM(8-1/2"X13"),MIN OF 70GSM 6 3 REAM/S PAPER - BOOK SUBS.20 SHORT ( 8 1/2"</t>
  </si>
  <si>
    <t xml:space="preserve"> 32 bdft 2x2x8 COCO FORM (12) PCS.  4 CUM WASHED SAND  26 BAGS PORTLAND CEMENT  12 PCS. SAHARA CEMENT  2 PCS. 2" G.I GATE VALVE  3 PCS. 2" X 0.30M G.I. THREADED NIPPLE  2 PCS. 2" X 0.20M THREADED NIPPLE  17 PCS. 10,, DRB  9 KLS #16 TIE WIRE  3 ROLLS TAPELO</t>
  </si>
  <si>
    <t xml:space="preserve"> l.	The MUNICIPALITY OF GUINAYANGAN, QUEZON, through  the  2020 C.O.    intends to apply the sum of  One Hundred Sixty Nine Thousand Four Hundred Ninety  Pesos                      (P 169,490.00) being the Approved Budget for the Contract (ABC) to payments</t>
  </si>
  <si>
    <t xml:space="preserve"> - FOR INSTALLATION OF WOODEN ROOM PARTITION &amp; DEEPWEEL CONSTRUCTION - POBLACION, SIAYAN, ZAMBO. DEL NORTE</t>
  </si>
  <si>
    <t xml:space="preserve"> Republic of the Philippines CITY OF IRIGA BIDS AND AWARDS COMMITTEE June 22, 2020 REQUEST FOR QUOTATION 1. The City of Iriga through the Bids and Awards Committee (BAC) now invites contractors, registered with and classified by the Philippine Contractors </t>
  </si>
  <si>
    <t xml:space="preserve"> To conduct free flu vaccination for the constituents of Barangay Silangan I.</t>
  </si>
  <si>
    <t xml:space="preserve"> Public Bidding See Attachments</t>
  </si>
  <si>
    <t xml:space="preserve"> 50	ream	Bondpaper short sub 20 100	pc	Folder long 20	pc	Glue 25	pc	Scotch tape 2" 50	box	Paper fastener 35	box	Paper clip large 35	box	Binder clip medium 35	box	Binder clip large 100	pc	Brown envelope long 5	roll	Nylon (tansi) 100	pc	Mailing envelop 25	pc</t>
  </si>
  <si>
    <t xml:space="preserve"> 30 btls hemorrhagic septcernia vaccine 100 ml 20 lts dewormers tricablendazole 2 pcs fiber glass syringe 10ml 24 pc hypodermic needle gauge 16x1" 24 pcs hypodermic needle gauge 18x1.5"</t>
  </si>
  <si>
    <t xml:space="preserve"> 1 UNIT WHEEL LOADER (BRAND NEW) -	6 CYLINDER DIESEL eNGINE -	-3.0cm. Bucket Capacity -	5000 Kg. rated Operating Load -	162 KW rated power -	3.15-3.56 m dump clearance -	5.5m working Height max -	23.5 x 25 x16 PR Tire Size  -	With complete accessories 1 un</t>
  </si>
  <si>
    <t xml:space="preserve"> Invitation to Bid No. 2020-02 Republic of the Philippines Batangas City Invitation to Bid for the Purchase of Various Medicines for the use of Barangay Mahacot Kanluran, Batangas City. The Barangay Government through the Office of the Brgy. Chairman inten</t>
  </si>
  <si>
    <t xml:space="preserve"> Name of Project	:          Supply of Manpower, Materials, Tools   and                                     Engineering Supervision  in the Replacement of Eighteen (18)                                     Units  Capacitor Bank. Location	           Power Sub</t>
  </si>
  <si>
    <t xml:space="preserve"> 1 4 REAM/S PAPER - BOOK SUBS.20 SHORT ( 8 1/2"X11" ) 2 2 REAM/S PAPER - BOOK LEGAL,216MMX330MM(8-1/2"X13"),MIN OF 70GSM 3 2 PC/S INK - EPSON - YELLOW T6644 4 2 PC/S INK - EPSON - CYAN T6642 5 2 PC/S INK - EPSON - MAGENTA T6643 6 2 PC/S INK - EPSON - BLACK</t>
  </si>
  <si>
    <t xml:space="preserve"> 200      PCS        RAPID TEST KIT          199,800.00                                             TOTAL:    199,800.00</t>
  </si>
  <si>
    <t xml:space="preserve"> Supply and Delivery of Office Accessories</t>
  </si>
  <si>
    <t xml:space="preserve"> 5 units Motor Vehicle Municipality of Norzagaray, Bulacan</t>
  </si>
  <si>
    <t xml:space="preserve"> Please see attached specification.</t>
  </si>
  <si>
    <t xml:space="preserve"> ONE LOT OF RECONDITIONED RESCUE VEHICLE/AMBULANCE WITH RESCUE AND PROTECTIVE EQUIPMENT The complete list of activities is listed below: 1. Issuance of bid documents: July 02 to July 22, 2020 2. Bid Opening: July 22, 2020 3. Bid Evaluation: July 23, 2020 4</t>
  </si>
  <si>
    <t xml:space="preserve"> Invitation to Bid for the Supply and Delivery of various Medical Supplies for the use of Brgy. Soro-Soro Ibaba, Batangas City</t>
  </si>
  <si>
    <t xml:space="preserve"> 12 carts. Kyocera Toner TK-479 6 carts. Kyocera Toner TK-1147</t>
  </si>
  <si>
    <t xml:space="preserve"> Construction  of Multi-Purpose Building,</t>
  </si>
  <si>
    <t xml:space="preserve"> 1.	The MUNICIPALITY OF GUINAYANGAN, QUEZON, through  the  2020 MOOE  intends to apply the sum of  One Hundred Eighty One Thousand Six Hundred Fifteen  Pesos                 (P 181,615.00) being the Approved Budget for the Contract (ABC) to payments under </t>
  </si>
  <si>
    <t xml:space="preserve"> 1 unit Television 55 inches Smart LED 1 unit Television 50 inches Smart LED 1 unit Television 45 inches Smart LED 2 units Television 40 inches Smart LED</t>
  </si>
  <si>
    <t xml:space="preserve"> 1	HDPE Pipe ½ x 300m ( Blue)- Local	        15	Rolls 2	Brass Replacement Piece1/2” HD -Local	400	Pcs. 3	GI Elbow3/4”HD - Local	                        400	Pcs. 4	GI St. Elbow ¾” HD - Local                  	300	Pcs. 5	GI Elbow ½” HD - Local               </t>
  </si>
  <si>
    <t xml:space="preserve"> Republic of the Philippines Province of Albay Municipality of Rapu-Rapu Barangay Mananao   INVITATION TO BID FOR THE 20% EDF CY 2020 PROJECTS 1.	The Barangay Local Government Unit of Mananao, Rapu-Rapu, Albay, through the Budget for the Contract Approved </t>
  </si>
  <si>
    <t xml:space="preserve"> 1000 pcs. 9mm DSB 160 bags Cement 40 kls. Tie Wire 10 cu.m. Sand</t>
  </si>
  <si>
    <t xml:space="preserve"> Republic of the Philippines							 Province of Bohol							 Municipality of Batuan							 							 ABSTRACT OF BID/BILL OF QUANTITIES							 ____________________________							 ____________________________							 ____________________________							 							</t>
  </si>
  <si>
    <t xml:space="preserve"> REPUBLIC OF THE PHILIPPINES  Region XII  Province of Cotabato  Municipality of Midsayap  LOCAL GOVERNMENT OF MIDSAYAP  BIDS &amp; AWARDS COMMITTEE  _____________________________________________________________________________________    REQUEST FOR QUOTATION </t>
  </si>
  <si>
    <t xml:space="preserve"> 1. 145 bags Portaland Cement  2, 20 Cu.m W. sand  3. 15 Cu.m Clean Gravel  4. 20 pcs 2x6x12 Matwood  5. 2 kgs 3'C.nail  6. 8 pcs 10mm dia. DSB  7. 20 Cu.m Agg.base Coarse</t>
  </si>
  <si>
    <t xml:space="preserve"> ALCOHOL, 70% SOLUTION	35	BOT BALLPEN, RETRACTABLE BLACK	30	PCS BINDER CLIP, METAL CLAMP, 3 INCHES, 1DOZ/BOX	20	BOX BINDER CLIP, METAL CLAMP, 2 INCHES, 1DOZ/BOX	20	BOX BOND PAPER, A4, 5REAM/BOX	30	BOX CD RW	20	PCS CORRECTION TAPE	30	PCS DISINFECTANT SPRAY	</t>
  </si>
  <si>
    <t xml:space="preserve"> PROJECT: PURCHASE OF 100 SETS LED STREET LIGHTS WITH INSTALLATION 30W STREETLIGHTS ARM 8FT W/ BOLT &amp; NUT STRAP MACHINE BOLT W/ INSULATOR PHOTOCEL EXTREME LOCATION: BARANGAY SANTIAGO, CONCEPCION, TARLAC APPROVED BUDGET FOR THE CONTRACT: PHP 1,250,000.00 SO</t>
  </si>
  <si>
    <t xml:space="preserve"> REQUEST FOR QUOTATION (RFQ) The Philippine Ports Authority, PMO- Zamboanga del Norte, through its Bids and Awards Committee will undertake Negotiated Procurement – Sec.53.9 Small Value Procurement for the following procurement as part of Approved Semi Exp</t>
  </si>
  <si>
    <t xml:space="preserve"> July 1, 2020 REQUEST FOR QUOTATION (RFQ) CENTRIFUGE (96 PLATE PLACER) 1.	The Batangas Medical Center hereinafter referred to as the “Purchaser” now request for submission of price proposal for the procurement of the aforesaid item described in the Technic</t>
  </si>
  <si>
    <t xml:space="preserve"> 1.	The MUNICIPALITY OF GUINAYANGAN, QUEZON, through  the  2020 MOOE  intends to apply the sum of  Eighty Six Thousand Two Hundred Twenty Five  Pesos (P 86,225.00) being the Approved Budget for the Contract (ABC) to payments under the contract for Supply a</t>
  </si>
  <si>
    <t xml:space="preserve"> Republic of the Philippines BIDS AND AWARDS COMMITTEE Municipality of Irosin Reference Number: BAC-0046-2020								 July 1, 2020 REQUEST FOR QUOTATION The Local Government Unit of Irosin, through its Bids &amp; Awards Committee (BAC), requests suppliers/manu</t>
  </si>
  <si>
    <t xml:space="preserve"> Republic of the Philippines Province of Negros Occidental Municipality of Ilog Invitation to bid for sale Amount:Php 5,000 Re-bid, Purchase of Multi-Purpose Vehicle for the use of Ilog Rural Health Unit. Ilog, Negros Occidental MULTI-PURPOSE VEHICLE	 (Fou</t>
  </si>
  <si>
    <t xml:space="preserve"> Construction of 14.0m x 11.0m 2 Classroom Gabaldon-Type School Building</t>
  </si>
  <si>
    <t xml:space="preserve"> 12 meters Cloth (twine textile) 43 pcs Lesson Plan 1 Champ bag (laptop bag) 1 unit Air Pot ( 5liters) 1 dish drainer 2 dozen dinner plate 1 dozen cup and saucer 20 pcs. curtain 4 pcs Tarpaulin (4"X8") 1 pc. Tarpaulin  (8" X 12")</t>
  </si>
  <si>
    <t xml:space="preserve"> Construction of Reinforced Concrete Deck  Grider Bridge, Phase II Manihala, B ansud Oriental Mindoro Construction of Bridge, concrete railing(double),abbutment, and approach of bridge (riprap only) Embankment counterpart by LGU</t>
  </si>
  <si>
    <t xml:space="preserve"> National Irrigation Administration Iloilo-Guimaras Irrigation Management Office			 Tacas, Jaro, Iloilo City    Tel./Fax No. (033) 3202500                                                                                                            INVITATION</t>
  </si>
  <si>
    <t xml:space="preserve"> 1 MOTOR VEHICLE TO BE USED IN VICE MAYOR'S OFFICE General Specifications Overall Length: atleast 260mm -4600mm Overall Width: atleast 1695mm Overall Height:atleast 1895 mm- 1955 mm Wheelbase: atleast 2350mm -240 mm Ground Clerance: atleast 195 mm-200 mm M</t>
  </si>
  <si>
    <t xml:space="preserve"> Republic of the Philippines PROVINCE OF NUEVA VIZCAYA Municipality of Alfonso Castañeda  BIDS &amp; AWARDS COMMITTEE FOR GOODS &amp; SERVICES Invitation to Bid for  Supply &amp; Delivery of Materials for Installation &amp; Upgrade of Street Lights 1.	The Local Governme</t>
  </si>
  <si>
    <t xml:space="preserve"> Hematology Analyzer for Rosales Health Unit use.</t>
  </si>
  <si>
    <t xml:space="preserve"> 1 unit DESK TOP specification: CORE i3 intel h110 motherboard 8 gb memory  1 tb hdd 18" monitor, dvd room with accessories (2 sound boxes, mouse pad) with CAMERA</t>
  </si>
  <si>
    <t xml:space="preserve"> - ROAD REHABILITATION FROM NATIONAL HIGHWAY TO ECOLOGICAL SOLID WASTE MANAGEMENT</t>
  </si>
  <si>
    <t xml:space="preserve"> - Salcedo, B ansud Oriental Mindoro Concretig of Sto Nino. Barangay Roads Length+540L.m., Width = 4m Thickness=200mm (8”) w/1.5 m shoulder both sides</t>
  </si>
  <si>
    <t xml:space="preserve"> July 1, 2020 REQUEST FOR QUOTATION (RFQ) MINIFUGE 1.	The Batangas Medical Center hereinafter referred to as the “Purchaser” now request for submission of price proposal for the procurement of the aforesaid item described in the Technical Specifications. 2</t>
  </si>
  <si>
    <t xml:space="preserve"> 1 1 CART. TONER - LBP 230DN CANON 2 3 REAM/S PAPER - BOOK LEGAL,216MMX330MM(8-1/2"X13"),MIN OF 70GSM 3 2 PC/S INK - EPSON - BLACK T6641 4 2 PC/S INK - EPSON - YELLOW T6644 5 2 PC/S INK - EPSON - CYAN T6642 6 2 PC/S INK - EPSON - MAGENTA T6643 7 2 BOT. ALC</t>
  </si>
  <si>
    <t xml:space="preserve"> Procurement of Window TYpe Airconditioner w/ Installation</t>
  </si>
  <si>
    <t xml:space="preserve"> INVITATION TO BID  The DPWH, Negros Occidental 2nd District Engineering Office, Binalbagan, Negros Occidental, through its Bids and Awards Committee (BAC), invites contractors to submit bids for the following Contract: 1.	CONTRACT ID	:   20GL0092 Contract</t>
  </si>
  <si>
    <t xml:space="preserve"> INVITATION TO BID  The DPWH, Negros Occidental 2nd District Engineering Office, Binalbagan, Negros Occidental, through its Bids and Awards Committee (BAC), invites contractors to submit bids for the following Contract: CONTRACT ID	:   20GL0093 Contract Na</t>
  </si>
  <si>
    <t xml:space="preserve"> Please see attached RFQ # 20-694-1 Submit the HARDCOPY of your SIGNED and SEALED quotation together with your UPDATED ELIGIBILITY requirement on or before the closing date of this opportunity. For more information, please contact Ma'am Nanette M. Rosales </t>
  </si>
  <si>
    <t xml:space="preserve"> Republic of the Philippines Sangguniang Barangay of Ilayang Polo  Bids and Awards Committee Barangay Ilayang Polo, Pagbilao,Quezon INVITATION TO APPLY FOR ELIGIBILITY Date: July 01, 2020 The Sangguniang Barangay of Ilayang Polo, Pagbilao,Quezon through it</t>
  </si>
  <si>
    <t xml:space="preserve"> Department of Trade and Industry CONSTRUCTION INDUSTRY AUTHORITY OF THE PHILIPPINES 5/F Executive Bldg. Center, Sen. Gil Puyat Ave. Cor. Makati Ave., Makati City BIDS AND AWARDS COMMITTEE REQUEST FOR QUOTATION The Construction Industry Authority of the Ph</t>
  </si>
  <si>
    <t xml:space="preserve"> 2 pack Lenin Paper (short) 10 pcs. Cartolina (US cartolina) 2 box Paper clip (giant) 12 Reams Bond Paper (short) 12 Reams Bond Paper (A4)  10 Reams Bond Paper (long) 2 Rolls Laminating Plastic (9") 5 bot. EPSON ink Black 3 bot. EPSON Ink Magenta 4 bot. EP</t>
  </si>
  <si>
    <t xml:space="preserve"> Please quote your lowest price for the following items enumerated below, with the following Terms and Conditions: 1.	All entries must be written legibly. 2.	Price validity shall be for a period of 120 calendar days. 3.	Evaluation of the quoted price will </t>
  </si>
  <si>
    <t xml:space="preserve"> Installation of Public Address System</t>
  </si>
  <si>
    <t xml:space="preserve"> ITB Materials for Rehabilitation of Health Center 1000   pcs  Ceramic Tiles    20   bgs  Portland Cement    20   bgs  Adhesive Cement    50   bgs  Tile Grout     1    ld     Fine Aggregates (MDT)</t>
  </si>
  <si>
    <t xml:space="preserve"> Information Technology- 1.2sets-Cpmputer w/printer Specs: Intel Core i5-7400 7th Gen. 2.2units-Laptop Specs: AMD Ryzen 73700U (2.3 GHz base clock 2h) 3.2 units Cellphone Specs:6.2inch, 64mp,12gb ram,4600mAh 4.1 unit-Cellphone Specs:6.4inch,64mp,4gb/6gb ra</t>
  </si>
  <si>
    <t xml:space="preserve"> Various Equipment and medicines</t>
  </si>
  <si>
    <t xml:space="preserve"> Republic of the Philippines City Government of Cotabato BIDS AND AWARDS COMMITTEE Cotabato City INVITATION TO BID FOR THE Purchase of Catering Services 1.	The City Government of Cotabato, through  Gender and Development  Fund 2020   intends to apply the s</t>
  </si>
  <si>
    <t xml:space="preserve"> 1. 100 bags Porland Cement  2. 15 cu.m Washed Sand  3.20 cu. m Aggregate Base Gravel  4. 20 cu.m Clean gravel  5. 20 pcs 2x6x12 Matwood  6.2 kgs 3' Com. nail  7. 8 pcs 10mm dia. DSB</t>
  </si>
  <si>
    <t xml:space="preserve"> UNIT     ITEM DESCRIPTION     QTY pcs       0.40mm spanish gutter (pre-painted)   25 box       rivets      2 lit         roof sealant     2 gal       paint brush 4"    2 unit      2.5 HP window type aircon     2 bd. ft.   50 pcs 2" x 2" x 12" lumber    20</t>
  </si>
  <si>
    <t xml:space="preserve"> 5 pcs C.I. Sleeve type coupling 2" x 200mm 5 pcs.C.I. Sleeve type coupling 3" x 200mm 2 pcs.C.I. Sleeve type coupling 6" x 200mm 2 pcs.C.I. Sleeve type coupling 8" x 200mm 10 pcs.C.I. Mechanical End Cap 2" 5 pcs. C.I. Mechanical End Cap 3" 2 pcs. C.I. Mec</t>
  </si>
  <si>
    <t xml:space="preserve"> Supply and Delivery of various Consturction Supply</t>
  </si>
  <si>
    <t xml:space="preserve"> Provision of Food (meals &amp; snacks) ABC:151,200.00 	60 pax 1 meal &amp; 1 snack  for 7 meetings (420 pax) -	June- December 2020 -	Buffet style -	With flowing coffee  -	Water dispenser -	With standby waiter  -	Delivered on site 	Venue: DA-RFO XII, Koronadal Cit</t>
  </si>
  <si>
    <t xml:space="preserve"> Hard helmet (orange) with safety goggles 13 pcs Emergency management team rescuers vest color: blue sizes: small,medium,large,extra large 14 pcs Extrication gloves sizes: medium,large 12 pcs Sublimated dry fit long sleeve  sizes: small,medium,large,extra </t>
  </si>
  <si>
    <t xml:space="preserve"> CITY GOVERNMENT OF ZAMBOANGA		Purchase Request No.:	100-20-01-0186/January 8, 2020 Bids and Awards Committee  Villalobos St., Zamboanga City		Office of the:	CHO 		Amount:	P 1,452,000.00 SF-GOOD-60	 REQUEST FOR QUOTATION (53.1 “Two Failed Biddings”)       </t>
  </si>
  <si>
    <t xml:space="preserve"> Republic of the Philippines Province of Pangasinan Municipality of Infanta Barangay Patima BIDS AND AWARDS COMMITTEE INVITATION TO BID FOR SUPPLY AND DELIVERY OF MATERIALS FOR THE CONSTRUCTION OF LINE CANAL IN MAPA STREET @ SITIO PANDAYAN, BRGY. PATIMA, I</t>
  </si>
  <si>
    <t xml:space="preserve"> 2 unit Web Cam (logitech C270) 2 unit Municipal Dry Seal 3 unit Desk Top speaker (black) 2 unit Blue tooth Microphone</t>
  </si>
  <si>
    <t xml:space="preserve"> 1 set, Desktop Computer with Monitor - processor:  Intel Core i5-7400, 3.0 GHz, - 6MB cache, 4 cores, Kabylake 7th Gen - chipset-intelᴿ H110; memory-4G DDR4 (up to 32GB of dual channel DDR4) - Hard Disk Drive 1TB HDD 7200RPM; Optical Drive-16X DVD-super m</t>
  </si>
  <si>
    <t xml:space="preserve"> please see attached document...</t>
  </si>
  <si>
    <t xml:space="preserve"> Republic of the Philippines PROVINCE OF ALBAY Municipality of Rapu-Rapu INVITATION TO BID FOR  Purchase of Drugs and Medicines 1.	The Barangay Local  Government of Pagcolbon, Rapu-Rapu, Albay, through the Budget of contract approved by the Barangay Sanggu</t>
  </si>
  <si>
    <t xml:space="preserve"> CITY GOVERNMENT OF ZAMBOANGA		Purchase Request No.:	100-20-02-0594/February 21, 2020 Bids and Awards Committee  Villalobos St., Zamboanga City		Office of the:	CGSO-CITY AGRICULTURIST 		Amount:	P 300,000.00 SF-GOOD-60 REQUEST FOR QUOTATION (53.9 Small Valu</t>
  </si>
  <si>
    <t xml:space="preserve"> - CONSTRUCTION OF MULTI-PURPOSE DRYING PAVEMENT  - SERIAC, SIAYAN, ZAMBO. DEL NORTE</t>
  </si>
  <si>
    <t xml:space="preserve"> RDTD-2020-02-0128 (re-canvass) Cling wrap, 500m 5 roll Duct Tape, 48mm, x 30-40 m 3 roll Envelope Bag, polyfine materials w zipper 60 pcs Envelope, expanding plastic (L) 10 pcs Filling Box, Data File, 2 in 1, Legal, blue color 5 pcs Folder, Sliding plasti</t>
  </si>
  <si>
    <t xml:space="preserve"> INVITATION TO BID: BID REFERENCE NO.: 2020-20 “SUPPLY, DELIVERY AND INSTALLATION OF TONERS WITH FREE USE OF MULTIFUNCTION PRINTERS FOR THE USE OF VARIOUS OFFICES IN BFAR CENTRAL OFFICE  FOR ONE (1) YEAR” The Bureau of Fisheries and Aquatic Resources (BFAR</t>
  </si>
  <si>
    <t xml:space="preserve"> Item No. 	QTY	Unit	Items and Description	 ABC 				 1	1	lot	Repair/Improvement of COA Office	 50,034.43  			*** Nothing Follows ***	 -    				 -    				 -    				 -    				 -    				 -    TOTAL				 50,034.43</t>
  </si>
  <si>
    <t xml:space="preserve"> 1. 4,000 ltrs Diesel Fuel Note: the price/s quoted by the supplier shall be valid for a period of seven (7) calendar days from the date of the quotation, and the item/s shall be delivered to the procuring entity regardless of an increase or decrease in th</t>
  </si>
  <si>
    <t xml:space="preserve"> Republika ng Pilipinas PAMAHALAANG LUNGSOD NG TACLOBAN (City Government of Tacloban) Kanhuraw Hill, Tacloban City 6500 Bids and Awards Committee INVITATION TO SUBMIT PRICE QUOTATIONS FOR THE NEGOTIATED PROCUREMENT (Small Value Procurement) OF PRINTING SER</t>
  </si>
  <si>
    <t xml:space="preserve"> Republic of the Philippines PROVINCE OF PANGASINAN BIDS AND AWARD COMMITTEE (BAC) Brgy. Capaoay, San Jacinto, Pangasinan Mobile No. 09453394700 INVITATION TO BID The Barangay Capaoay, San Jacinto, Pangasinan, though its Bids and Award Committee (BAC), inv</t>
  </si>
  <si>
    <t xml:space="preserve"> Republic of the Philippines Province of Negros Occidental Municipality of Ilog Invitation to bid for sale Amount: Php 1,000 Purchase of Quadrivalent flu vaccine for the Ilog employees FLU Vaccination. Ilog, Neg. Occ.</t>
  </si>
  <si>
    <t xml:space="preserve"> To conduct free flu vaccination for the residents of Barangay Ligtong III.</t>
  </si>
  <si>
    <t xml:space="preserve"> The DAR Regional Office I invites registered Suppliers to quote the best offer for the above-mentioned activity. Please submit your quotation using the attached DAR Request for Quotation (RFQ) duly signed through sealed envelope not later than July 10, 20</t>
  </si>
  <si>
    <t xml:space="preserve"> CITY GOVERNMENT OF ZAMBOANGA		Purchase Request No.:	100-20-02-0426-1/February 18, 2020 Bids and Awards Committee  Villalobos St., Zamboanga City		Office of the:	CGSO-CEO 		Amount:	P 160,000.00 SF-GOOD-60	 REQUEST FOR QUOTATION (53.9 Small Value Procuremen</t>
  </si>
  <si>
    <t xml:space="preserve"> The Department of Tourism – Region V (DOT-Region V) will undertake a Negotiated Procurement (SMALL VALUE PROCUREMENT) under Section 53.9 of the 2016 Revised Implementing Rules and Regulations (IRR) of Republic Act (R.A.) No. 9184, for the procurement of t</t>
  </si>
  <si>
    <t xml:space="preserve"> Item No.	Item Description		Quantity	Unit of Issue	Estimated Unit Cost (₱)	Total Estimated Cost (₱) 						 						 1	Herbicide		27	kg	1000.00	 27,000.00  2	Insecticide		50	kg	1000.00	 50,000.00  3	Fungicide		52	kg	1000.00	 52,000.00  4	Molluscicide		15	kg	1</t>
  </si>
  <si>
    <t xml:space="preserve"> Consulting Services for the Sub-Soil Exploration  for FY-2021 Bridges &amp; Building Projects</t>
  </si>
  <si>
    <t xml:space="preserve"> Invitation to Bid for the Supply and Delivery of various Medicine for the use of Brgy. Tabangao Dao, Batangas City</t>
  </si>
  <si>
    <t xml:space="preserve"> Republic of the Philippines DEPARTMENT OF PUBLIC WORKS AND HIGHWAYS MASBATE 1st  DISTRICT ENGINEERING OFFICE REGIONAL OFFICE V San Fernando, Masbate Control No. 2020 - 005                                 July 2, 2020 INVITATION TO BID The Department of Pu</t>
  </si>
  <si>
    <t xml:space="preserve"> 150 length uPVC Pipe 6" x 6m with rubber gasket</t>
  </si>
  <si>
    <t xml:space="preserve"> Printing of Identification Cards for LGU Employees				 1	Post Card Size Employees ID (Back to Back)			350	Pieces 2	Wallet Size Teslin Employees ID			                350	Pieces</t>
  </si>
  <si>
    <t xml:space="preserve"> 1	set	Distribution Transformer,  Brand new, 25KVA Input voltage: 7620 / 13200Y Output voltage: 120/140 Insulation: not less than 2000MΩ Core Loss (Silicon Steel Core): less than 82 watts Core Loss (Amorphous Metal Core): less than 17 watts Winding Loss: l</t>
  </si>
  <si>
    <t xml:space="preserve"> CITY GOVERNMENT OF ZAMBOANGA		Purchase Request No.:	100-20-05-0963/May 11, 2020 Bids and Awards Committee  Villalobos St., Zamboanga City		Office of the:	CGSO-CHRMO 		Amount:	P 65,000.00 SF-GOOD-60	 REQUEST FOR QUOTATION (53.9 Small Value Procurement)    </t>
  </si>
  <si>
    <t xml:space="preserve"> Procurement of Laptop use for COA office.</t>
  </si>
  <si>
    <t xml:space="preserve"> Provision of Food (meals &amp; snacks) for 3 batches ABC:52,500.00 	50 pax  1 meals &amp; 2 snacks  -	Packed meals  -	Delivered on site 	(during the conduct of FFS on CRA Practices of the Learning Groups  in support to the Mainstreaming CRA Project Of DA-RFO 12 o</t>
  </si>
  <si>
    <t xml:space="preserve"> LCD PROJECTOR ----------------------- 1 UNIT     Specs:               Model : EB-2065 XGA 3LCD Projector             3 x brighter colours and reliable performance" 3LCD, 3-chip technology             look for both high colour brightness and high white bri</t>
  </si>
  <si>
    <t xml:space="preserve"> Provision of one hour block time program every Monday and Wednesday (11:00am-12:00nn) for the months of July and August 2020, 6 spots per day program plugging plus program teaser, intro and extro covering the whole province of Camarins Norte.</t>
  </si>
  <si>
    <t xml:space="preserve"> INVITATION TO BID FOR THE SUPPLY AND DELIVERY OF  LABORATORY MACHINE AND SUPPLIES 1.	The Bureau of Animal Industry, through the General Appropriations Act FY 2020 intends to apply the sum of Thirty-Four Million Two Hundred Fifty-Eight Thousand Pesos      </t>
  </si>
  <si>
    <t xml:space="preserve"> Republic of the Philippines PROVINCE OF ALBAY 				   Municipality of Rapu-Rapu                                                          Barangay Pagcolbon Invitation to Bid for  Construction of Pathway 1.	The Barangay Local Government Units of Pagcolbon, </t>
  </si>
  <si>
    <t xml:space="preserve"> Republic of the Philippines Bangsamoro Autonomous Region in Muslim Mindanao Provincial Government of Maguindanao BIDS AND AWARDS COMMITTEE Buluan, Maguindanao INVITATION TO BID FOR SUPPLY AND DELIVERY OF GROCERY KIT  1.	The Provincial Government of Maguin</t>
  </si>
  <si>
    <t xml:space="preserve"> Republic of the Philippines Province of Guimaras OFFICE OF THE BIDS AND AWARDS COMMITTEE Invitation to Bid for  One Job Supply of Materials and  Labor for the Construction of (Construction of a Rainwater Cathcment Facility)at Exisitng Green Restrooms in B</t>
  </si>
  <si>
    <t xml:space="preserve"> LGU SAN FERNANDO Standard Form Number: SF-GOOD-05 Revised on: July 28, 2004 INVITATION TO APPLY FOR ELIGIBILITY AND TO BID The LGU-SAN FERNANDO, ROMBLON through its Bids and Awards Committee (BAC), invites suppliers/manufacturers/distributors/contractors </t>
  </si>
  <si>
    <t xml:space="preserve"> Republic of the Philippines Province of Abra MUNICIPALITY OF LUBA OFFICE OF THE BIDS AND AWARDS COMMITTEE REQUEST FOR QUOTATION PROCUREMENT OF 1 UNIT JUMPER TYPE MOTOR CYCLE FOR MUNICIPAL DISASTER RISK REDUCTION AND MANAGEMENT OFFICE Please quote your low</t>
  </si>
  <si>
    <t xml:space="preserve"> Provision of Food &amp; Accommodation for 2 days ABC:132,000.00 	1st day 	60 pax  3 meals &amp; 2 snacks and Accommodation 	2nd day 	60 pax  1 meals &amp; 2 snacks  	(during the Hands On Training on HALAL Food Processing and Value-Adding on August 2020 at Sultan Kuda</t>
  </si>
  <si>
    <t xml:space="preserve"> CITY GOVERNMENT OF ZAMBOANGA		Purchase Request No.:	100-20-03-0763/March 10, 2020 Bids and Awards Committee  Villalobos St., Zamboanga City		Office of the:	CGSO-CHO 		Amount:	P 152,752.00 SF-GOOD-60	 REQUEST FOR QUOTATION (53.9 Small Value Procurement)   </t>
  </si>
  <si>
    <t xml:space="preserve"> 1 4 REAM/S PAPER - BOOK LEGAL,216MMX330MM(8-1/2"X13"),MIN OF 70GSM 2 3 REAM/S PAPER - BOOK SUBS.20 SHORT ( 8 1/2"X11" ) 3 1 CART. TONER - LBP 6230dn Canon 4 3 BOX/S PVC COVER - LONG-8 1/2"X13"</t>
  </si>
  <si>
    <t xml:space="preserve"> Airconditioning and Airconditioning System- 1. Split Type Basic Inverter 2.0Hp - Desmantling - Supply - Delivery &amp; Installation</t>
  </si>
  <si>
    <t xml:space="preserve"> BIDS AND AWARDS COMMITTEE Office of the Chairman Request for Quotation Date:                                                                                 Quotation No.:     PR # 2020-06-242 __________________________________ ___________________________</t>
  </si>
  <si>
    <t xml:space="preserve"> INVITATION TO BID  The DPWH, Negros Occidental 2nd District Engineering Office, Binalbagan, Negros Occidental, through its Bids and Awards Committee (BAC), invites contractors to submit bids for the following Contract: CONTRACT ID	:   20GL0094 Contract Na</t>
  </si>
  <si>
    <t xml:space="preserve"> The DPWH-Ilocos Sur 1st District Engineering Office, through its Bids and Awards Committee (BAC), invites contractors to submit bids for the following Contract:   Contract ID: 20AC0053   Contract Name: Construction of Tamurong Seawall, Brgy. Tamurong, Sta</t>
  </si>
  <si>
    <t xml:space="preserve"> Supply &amp; Delivery of Forage Chopper ABC:200,000.00 	1 unit Forage Chopper -	Diesel Engine , 10HP minimum, air-cooled single cylinder engine -	Continuous power at least 85% of the rated power -	Specific  fuel consumption : 280g/kwhr, maximum -	Input capaci</t>
  </si>
  <si>
    <t xml:space="preserve"> Supply &amp; Delivery of Training Supplies ABC:95,934.00 	5 packs disposable hairnet, 100 pcs/pack  	200 pcs Apron Plain White 	5 pcs disposable gloves plastic, 100 pcs/pack 	3 pcs stainless steel knife 	4 pcs chopping board 	5 pcs stainless steel strainer bo</t>
  </si>
  <si>
    <t xml:space="preserve"> Municipality of Sta. Maria Province of Davao Occidental Republic of the Philippines INVITATION TO BID CONSTRUCTION OF SIX (6) UNITS RESIDENTIAL BUILDING LGU SUB-DIVISION, BRGY. SAN AGUSTIN, STA. MARIA, DAVAO OCCIDENTAL 1. The Local Government Unit of Sta.</t>
  </si>
  <si>
    <t xml:space="preserve"> CITY GOVERNMENT OF ZAMBOANGA		Purchase Request No.:	100-20-03-0765/March 10, 2020 Bids and Awards Committee  Villalobos St., Zamboanga City		Office of the:	CGSO-CHO 		Amount:	P 54,900.00 SF-GOOD-60	 REQUEST FOR QUOTATION (53.9 Small Value Procurement)    </t>
  </si>
  <si>
    <t xml:space="preserve"> Republika ng Pilipinas PAMAHALAANG LUNGSOD NG TACLOBAN (City Government of Tacloban) Kanhuraw Hill, Tacloban City 6500 Tel. Nos.  325-4053 BIDS AND AWARDS COMMITTEE 	INVITATION TO SUBMIT PRICE QUOTATIONS 1st Posting BIDSTAC # SB 029-2020 (7079331). 	     </t>
  </si>
  <si>
    <t xml:space="preserve"> INVITATION TO BID FOR THE SUPPLY AND DELIVERY                        OF LABORATORY EQUIPMENT 1.	The Bureau of Animal Industry, through the General Appropriations Act FY 2020 intends to apply the sum of One Million Two Hundred Thousand Pesos (P 1,200,000.0</t>
  </si>
  <si>
    <t xml:space="preserve"> Furnish of 6 units Laptop Computer (16RAM, 1TB Internal Memory)</t>
  </si>
  <si>
    <t xml:space="preserve"> reproduction of ALS learning materials with specs: a. Foldcote no.12 with lamination (UV printing) 4 colors (cover) b. A4-80 gsm (BP) full colors inside pages c. saddle stitch  Note: with free delivery Attached is the request for quotation (RFQ) Intereste</t>
  </si>
  <si>
    <t xml:space="preserve"> Provision of Food (meals &amp; snacks) for 10 sites ABC:105,000.00 	300 pax  1 meals &amp; 2 snacks  for 10 sites -	30 pax/site -	Packed meals  -	Delivered on site 	(during the conduct of  Retooling Course for Bantay Peste Training July 2020, REGION-WIDE) Note: B</t>
  </si>
  <si>
    <t xml:space="preserve"> Republic of the Philippines Bangsamoro Autonomous Region in Muslim Mindanao Provincial Government of Maguindanao BIDS AND AWARDS COMMITTEE Buluan, Maguindanao INVITATION TO BID FOR SUPPLY AND DELIVERY OF DIGNITY KIT  1.	The Provincial Government of Maguin</t>
  </si>
  <si>
    <t xml:space="preserve"> CITY GOVERNMENT OF ZAMBOANGA		Purchase Request No.:	100-20-03-0736/March 6, 2020 Bids and Awards Committee  Villalobos St., Zamboanga City		Office of the:	CITY ADMINISTRATOR-SLAUGHERHOUSE 		Amount:	P 253,950.00 SF-GOOD-60	 REQUEST FOR QUOTATION (53.9 Smal</t>
  </si>
  <si>
    <t xml:space="preserve"> SIGNAGE EARTHWORKS MASONRY WORKS REINFORCING STEEL BARS FORM WORKS CONCRETE WORKS STRUCTURAL STEEL FRAME ROOF AND CLADDING ELECTRICAL WORKS</t>
  </si>
  <si>
    <t xml:space="preserve"> Provision of one hour block time program every Monday and Wednesday (11:00am-12:00nn) for the months of July and August 2020, 6 spots per day program plugging plus program teaser, intro and extro covering the whole province of Camarins Sur.</t>
  </si>
  <si>
    <t xml:space="preserve"> Invitation to Bid The National Housing Authority (NHA), through the Corporate Budget approved by the NHA Board for the year 2020 intends to apply the sum of the Approved Budget for the Contract (ABC) to payments for the following contract: Ref. No : R13-2</t>
  </si>
  <si>
    <t xml:space="preserve"> 1. gasoline  2.FGA.12 Valve ,660 cc. 3. manual , 4 wheel Drive (4x4) 4. Fabricated Budy (FB) 5. 16 Seaters  6. tires - !65 x 65x13</t>
  </si>
  <si>
    <t xml:space="preserve"> The City Government of Paranaque, through its Bids and Awards Committee (BAC), is inviting all eligible suppliers to submit a Quotation for the supply of; 1. 20 pcs. - Wheelbarrow - 100 kilo capacity 2. 50 pcs. - Shovel - 1kg. size 21 x 30 x 100cm head 3.</t>
  </si>
  <si>
    <t xml:space="preserve"> Improvement of Pallua Elementary Gymnasium (Pallua Elementary School, Pallua Sur, Tuguegarao City)</t>
  </si>
  <si>
    <t xml:space="preserve"> Republic of the Philippines Province of Pangasinan Municipality of Infanta Barangay Patima BIDS AND AWARDS COMMITTEE INVITATION TO BID FOR SUPPLY AND DELIVERY OF MATERIALS FOR THE CONSTRUCTION OF LINE CANAL IN MANUEL STREET @ SITIO PANDAYAN, BRGY. PATIMA,</t>
  </si>
  <si>
    <t xml:space="preserve"> The Municipality of Lacub intends to procure 4 pcs 20.5x25 loader tire for the municipal loader repair and maintenance with abc of PHP 280,000.00</t>
  </si>
  <si>
    <t xml:space="preserve"> Republic of the Philippines Province of Sultan Kudarat Municipality of Columbio BIDS AND AWARD COMMITTEE July 01, 2020 INVITATION TO BID The Municipal Government of Columbio through the Bids and Awards Committee (BAC) is inviting supplier for the Provisio</t>
  </si>
  <si>
    <t xml:space="preserve"> Republic of the Philippines PROVINCE OF MARINDUQUE Capitol Boac, Marinduque OFFICE OF BIDS AND AWARDS COMMITTEE Invitation to Bid  (REBIDDING) Furnishing labor, materials and equipment rental for the Rehab./Improvement of  Waterworks System, Brgy. Bagong </t>
  </si>
  <si>
    <t xml:space="preserve"> Unit       Qty             Items pcs       125             Centenarian Advocacy Polo Shirt *polo shirt *logo back left side pcs       50               Centenarian Advocacy Shirt *t-shirt *logo back left side pcs       1                Centenarian Advocacy</t>
  </si>
  <si>
    <t xml:space="preserve"> ID  ID Lace with Print ID Jacket</t>
  </si>
  <si>
    <t xml:space="preserve"> CITY GOVERNMENT OF ZAMBOANGA		Purchase Request No.:	100-20-03-0665/March 5, 2020 Bids and Awards Committee  Villalobos St., Zamboanga City		Office of the:	CGSO-STOCKS 		Amount:	P 132,053.50 SF-GOOD-60	 REQUEST FOR QUOTATION (53.9 Small Value Procurement) </t>
  </si>
  <si>
    <t xml:space="preserve"> Construction  Project (Renovation/Repair of Roofing @ New Municipal Building</t>
  </si>
  <si>
    <t xml:space="preserve"> FURNISH OF 13 UNITS GEOTAGGING DEVICE</t>
  </si>
  <si>
    <t xml:space="preserve"> Republic of the Philippines JOSE RIZAL MEMORIAL STATE UNIVERSITY KATIPUNAN CAMPUS Katipunan, Zamboanga del Norte Invitation to Bid: Purchase of Information Technology Parts &amp; Accessories &amp; Perip 1)	The Jose Rizal Memorial State University-Katipunan Campus</t>
  </si>
  <si>
    <t xml:space="preserve"> INVITATION TO BID FOR Repair of Sideslope Protection &amp; Drainage Canal along EPZA By Pass Road (SO1349LZ) Right Side, Mariveles, Bataan, KO159+(-022) - KO159+000 w/ exception The DPWH-Bataan 2nd District Engineering Office, through its Bids and Awards Comm</t>
  </si>
  <si>
    <t xml:space="preserve"> CONSTRUCTION OF POTABLE WATER SYSTEM LEVEL I COMPOSE OF 6 units water Pump with pump house and tapstand,1000 liters capacity steel water tank  with painting</t>
  </si>
  <si>
    <t xml:space="preserve"> Supply &amp; Delivery of Transformer	 ABC:90,000.00 1 unit Transformer 50 KVA   -	Rated voltage: 6/6.3/10/13.8KV -	output voltage: 0.22/0.38/0.4 KV, frequency 50/60 HHz -	coilstructure: toroidal, coil no. Two widing, -	phase: single -	material: copper 	Delive</t>
  </si>
  <si>
    <t xml:space="preserve"> Provide Labor &amp; Materials for RP Vehicle Repair (Plate # SAA-5044) ABC:156,460.00 6 bot  Engine Oil 1 bot oil filter 1 pc fuel filter 1 pc air filter 3 pcs gear oil 90 4 pcs gear oil 140 2 pcs brake fluid 1 pc clutch booster 1 pc clutch leave cylinder 1 p</t>
  </si>
  <si>
    <t xml:space="preserve"> Installation of Street Lights (National Road, Libag Sur-Gosi Norte, Tuguegarao City)</t>
  </si>
  <si>
    <t xml:space="preserve"> Notes on the Invitation to Bid The Invitation to Bid provides information that enables potential Bidders to decide whether to participate in the procurement at hand. The Invitation to Bid shall be: (a) Advertised at least once in a newspaper of general na</t>
  </si>
  <si>
    <t xml:space="preserve"> Republic of the Philippines PROVINCE OF MARINDUQUE Capitol Boac, Marinduque OFFICE OF BIDS AND AWARDS COMMITTEE Invitation to Bid  (REBIDDING) Furnishing labor, materials and equipment for the Improvement of Brgy. Waterworks System at Brgy. Pili, Boac, Ma</t>
  </si>
  <si>
    <t xml:space="preserve"> CITY GOVERNMENT OF ZAMBOANGA		Purchase Request No.:	100-20-05-0961/May 11, 2020 Bids and Awards Committee  Villalobos St., Zamboanga City		Office of the:	CGSO-CHRMO 		Amount:	P 200,000.00 SF-GOOD-60	 REQUEST FOR QUOTATION (53.9 Small Value Procurement)   </t>
  </si>
  <si>
    <t xml:space="preserve"> CITY GOVERNMENT OF ZAMBOANGA		Purchase Request No.:	100-20-03-0801/March 11, 2020 Bids and Awards Committee  Villalobos St., Zamboanga City		Office of the:	CGSO-CITY ASSESSOR 		Amount:	P 200,000.00 SF-GOOD-60	 REQUEST FOR QUOTATION (53.9 Small Value Procu</t>
  </si>
  <si>
    <t xml:space="preserve"> The Provincial Government of Samar invites all interested registered suppliers to submit in person or authorized representative quotation for- 				 1.	1	unit	Computer Desktop i5-9400 8 GB DDR4 2666 MHz UDIMM 1 TB 3.5-inch 7200 RPM 128 GB M.2 2280 Solid St</t>
  </si>
  <si>
    <t xml:space="preserve"> Purchase of DRRM Response and Mitigation Supplies for COVID 19 For SDO Personnel Official Use</t>
  </si>
  <si>
    <t xml:space="preserve"> Republic of the Philippines PROVINCE OF SURIGAO DEL SUR Municipality of Carrascal   Barangay Dahican INVITATION FOR BIDS                      The Barangay Dahican through its Bids and Awards Committee invites sealed bids from eligible contractor with appl</t>
  </si>
  <si>
    <t xml:space="preserve"> Office Supplies for Sanggunian Bayan Members</t>
  </si>
  <si>
    <t xml:space="preserve"> Various Medical Equipment, Medicine &amp; Medical Supplies</t>
  </si>
  <si>
    <t xml:space="preserve"> The Department of Education, Division of Butuan City, Through its Bids and Awards Committee, Requests for Quotation for the Concreting of Parking Area at DepEd Office Division of Butuan City</t>
  </si>
  <si>
    <t xml:space="preserve"> CITY GOVERNMENT OF ZAMBOANGA		Purchase Request No.:	100-20-03-0795/March 11, 2020 Bids and Awards Committee  Villalobos St., Zamboanga City		Office of the:	CGSO 		Amount:	P 512,700.00 SF-GOOD-60	 REQUEST FOR QUOTATION (53.9 Small Value Procurement)       </t>
  </si>
  <si>
    <t xml:space="preserve"> Item No.	Item Description	Quantity	Unit of Issue	Estimated Unit Cost (₱)	Total Estimated Cost (₱) 					 1	Onion Seeds (Red Bulb Onion) @ 400 grams	20	cans	 2,500.00 	 50,000.00  					 	Varietal Characteristics				 	 - It must be high yielding variety				 </t>
  </si>
  <si>
    <t xml:space="preserve"> Provision of Food  for 4 batches ABC:63,000.00 140 pax 1 meal &amp; 2 snacks  -	35  pax/batch -	4 batches -	Tentative date: June- November, 2020 -	propose venue:  DA- Balindog RES, Kidapawan City 	(during the conduct of  Regular Quarterly Meeting of DA-BRES, </t>
  </si>
  <si>
    <t xml:space="preserve"> 1 4 ROLL/S BINDING - SPIRAL 1.5" 2 4 ROLL/S BINDING - SPIRAL 2" 3 5 ROLL/S BINDING - SPIRAL 2.5" 4 3 REAM/S PAPER - BOOK LEGAL,216MMX330MM(8-1/2"X13"),MIN OF 70GSM 5 30 PC/S PAPER - MANILA</t>
  </si>
  <si>
    <t xml:space="preserve"> CITY GOVERNMENT OF ZAMBOANGA		Purchase Request No.:	100-20-03-0692/March 5, 2020 Bids and Awards Committee  Villalobos St., Zamboanga City		Office of the:	CGSO-STOCKS 		Amount:	P 692,418.00 SF-GOOD-60	 REQUEST FOR QUOTATION (53.9 Small Value Procurement) </t>
  </si>
  <si>
    <t xml:space="preserve"> REPUBLIC OF THE PHILIPPINES		 			                   PROVINCE OF SIQUIJOR		 					 			                MUNICIPALITY OF SIQUIJOR		 			                 REQUEST FOR QUOTATION		 					 			                                                                       Date</t>
  </si>
  <si>
    <t xml:space="preserve"> Republic of the Philippines JOSE RIZAL MEMORIAL STATE UNIVERSITY KATIPUNAN CAMPUS Katipunan, Zamboanga del Norte Invitation to Bid: Purchase of Office Supplies 1)	The Jose Rizal Memorial State University-Katipunan Campus, Katipunan, Zamboanga del Norte th</t>
  </si>
  <si>
    <t xml:space="preserve"> Removal of Existing Concrete Pavement, subgrade preparation, aggregate sub-base course, Portland  cement concrete pavement, mobilization/demobilization, project billboard (4’x 8’ –COA template, construction safety &amp; health</t>
  </si>
  <si>
    <t xml:space="preserve"> CITY GOVERNMENT OF ZAMBOANGA		Purchase Request No.:	100-20-03-0802/March 11, 2020 Bids and Awards Committee  Villalobos St., Zamboanga City		Office of the:	CGSO 		Amount:	P 964,061.00 SF-GOOD-60	 REQUEST FOR QUOTATION (53.9 Small Value Procurement)       </t>
  </si>
  <si>
    <t xml:space="preserve"> CITY GOVERNMENT OF ZAMBOANGA		Purchase Request No.:	100-20-03-0746/March 9, 2020 Bids and Awards Committee  Villalobos St., Zamboanga City		Office of the:	CGSO-STOCKS 		Amount:	P 308,450.40 SF-GOOD-60	 REQUEST FOR QUOTATION (53.9 Small Value Procurement) </t>
  </si>
  <si>
    <t xml:space="preserve"> Republic of the Philippines Province of Sultan Kudarat Municipality of Columbio BIDS AND AWARD COMMITTEE July 1, 2020 INVITATION TO BID The Municipal Government of Columbio through the Bids and Awards Committee (BAC) is inviting supplier of Materials for </t>
  </si>
  <si>
    <t xml:space="preserve"> 1. Replacement of worn-out roofing &amp; bended accessories (100%) 2. Replacement of worn-out wood roof framing (20%) &amp; ceiling joists (50%) and ceiling boards &amp; fascia boards (100%) 3. Replacement of worn-out door 4. Replacement of old/broken electrical fixt</t>
  </si>
  <si>
    <t xml:space="preserve"> 3LCD projections technology, Split S Screen</t>
  </si>
  <si>
    <t xml:space="preserve"> 1. 65 bags cement 2. 6 pcs GI sheet 12ft 3. 10 kgs #16 tie wire 4. 20 kls assorted nails 5. 6 pcs 1/2"x4 ordinary flywood 6. 32 pcs 1/4" fiber cement board 7. 154.57 kgs 12mm x 6m RSB 8. 4 pcs ridge roll 9. 2 kgs roof nail 10. 2 pcs aluminum frame 11. 185</t>
  </si>
  <si>
    <t xml:space="preserve"> Republic of the Philippines DEPARTMENT OF PUBLIC WORKS AND HIGHWAYS OFFICE OF THE DISTRICT ENGINEER Aklan District Engineering Office Toting Reyes St., Kalibo, Aklan The Department of Public Works and Highways (DPWH), Aklan District EngineeringOffice, Kal</t>
  </si>
  <si>
    <t xml:space="preserve"> - HARDWARE SUPPLIES &amp; MATERIALS - FOR REPAIR/ MAINTENANCE OF WATER SYSTEM, LEVEL III &amp; II</t>
  </si>
  <si>
    <t xml:space="preserve"> Supply &amp; Delivery of Various Supplies ABC:169,500.00 53  sets Vacutainer Gel and Clot Activator   	With needle and needle adaptor (EDTA),  	12x75mm, 4ml, plastic and violet top color 60 pcs Pig snare, holder (10cm), handle (15cm), loop (1m) 	Delivery peri</t>
  </si>
  <si>
    <t xml:space="preserve"> Reference No. PR # 20-06-0792 PRICE QUOTATION FORM (BID FORM) Sealed Bids shall be dropped in the BIDDERS BOX on or before 2:00 P.M.  July 07, 2020    placed at the office of the Chairman of the College BAC. Thereafter, the Bidder's Box shall be sealed un</t>
  </si>
  <si>
    <t xml:space="preserve"> Republic of the Philippines PROVINCE OF MARINDUQUE Capitol Boac, Marinduque OFFICE OF BIDS AND AWARDS COMMITTEE Invitation to Bid  (REBIDDING) Furnishing labor, materials and equipment rental for the Rehabilitation/Improvement of  Brgy. Waterworks System </t>
  </si>
  <si>
    <t xml:space="preserve"> 1	22	units	FOLDING BED with Foam, Single 			*********** Nothing - Follows ***********</t>
  </si>
  <si>
    <t xml:space="preserve"> Land Development (Larion Bajo, Tuguegarao City)</t>
  </si>
  <si>
    <t xml:space="preserve"> Construction of  Drainage System,</t>
  </si>
  <si>
    <t xml:space="preserve"> Repair/rehabilitation of pathway</t>
  </si>
  <si>
    <t xml:space="preserve"> INVITATION TO BID   THE BARANGAY BIALONG THROUGH ITS BIDS AND AWARDS COMMITTEE (BAC) INVITES PHILGEPS REGISTERED SUPPLIERS TO APPLY TO BID FOR THE SUPPLY AND DELIVERY OF VARIOUS MATERIALS FOR PROPOSED MATERIALS RECOVERY FACILITY. I. CONCRETE WORKS    1. F</t>
  </si>
  <si>
    <t xml:space="preserve"> For the use of the Sagguniang kabataan as Frontliners for CORONA Virus Pandemic 1 unit Thermal scanner 2 boxes Disposable face mask</t>
  </si>
  <si>
    <t xml:space="preserve"> 70 BAGS PORTLAND CEMENT SCREENED SAND 3/4 GRAVEL 12MM DEFORMED BAR 2"X6"X10' GOOD LUMBER ASSORTED COMMON NAILS</t>
  </si>
  <si>
    <t xml:space="preserve"> NBC-0220-118</t>
  </si>
  <si>
    <t xml:space="preserve"> Republic of the Philippines				 Province of Bohol				 Municipality of Batuan				 				 ABSTRACT OF BID/BILL OF QUANTITIES				 ____________________________				 ____________________________				 ____________________________				 				  Sealed proposals,plainly </t>
  </si>
  <si>
    <t xml:space="preserve"> - VARIOUS OFFICE SUPPLIES Invitation to Bid for Supply &amp; Delivery of PROCUREMENT OF SK OFFICE SUPPLIES 1.	The Sangguniang Kabataan of Barangay Cupang Antipolo City, through SK General Fund of 2020 Annual Budget intends to apply the sum of ONE HUNDRED THOU</t>
  </si>
  <si>
    <t xml:space="preserve"> GENERAL MERCHANDISE					 Seedling tray				10	pcs Floor wax big				5	cans Polybag Big				5	pcs 24x72” mirror				1	pc</t>
  </si>
  <si>
    <t xml:space="preserve"> Invitation to Bid The LGU Alangalang, through its Bids and Awards Committee (BAC), invites prospective bidders to apply for eligibility and to bid for the hereunder project: Name of Project :  SERVICES ON TAX MAPPING WITH CADASTRAL MAP OVERLAY WITH DRONE </t>
  </si>
  <si>
    <t xml:space="preserve"> 1 job Installation of Glass Division at BAC office Conference Room (Pls. see attached Plan)</t>
  </si>
  <si>
    <t xml:space="preserve"> 1 set Overhauling Gasket 1 pc Oil Filter 1 pc Fuel Filter 1 pc Air Cleaner Filter 1 set Piston ring (STD)</t>
  </si>
  <si>
    <t xml:space="preserve"> A. Concreting of Road B. Concreting of Road</t>
  </si>
  <si>
    <t xml:space="preserve"> CITY GOVERNMENT OF ZAMBOANGA		Purchase Request No.:	100-20-03-0845/March 17, 2020 Bids and Awards Committee  Villalobos St., Zamboanga City		Office of the:	CGSO-STOCKS 		Amount:	P 78,780.00 SF-GOOD-60	 REQUEST FOR QUOTATION (53.9 Small Value Procurement) </t>
  </si>
  <si>
    <t xml:space="preserve"> Item No.		Qty			Unit			Description																	 																									 1		150			pcs			Acrylic Business Plate(12.6 cm x 23 cm)																	 2		500			pcs			Vinyl Sticker (1.5 cm x 7 cm )</t>
  </si>
  <si>
    <t xml:space="preserve"> Supply &amp; Delivery of Laboratory Supplies ABC:121,625.00 	300  packs oat meal (instant) 1 kg/pack -	1.5 years operation  from the data of delivery -	Original Flavor (plain) 	2,200  packs  Gulaman Bar (2 bars/pack) -	White /transparent  50	rolls  Cotton (bi</t>
  </si>
  <si>
    <t xml:space="preserve"> Republic of the Philippines PROVINCE OF MARINDUQUE Capitol Boac, Marinduque OFFICE OF BIDS AND AWARDS COMMITTEE Invitation to Bid  (REBIDDING) Furnishing labor, materials and equipment rental for the Construction of Waterworks System Phase 1, Brgy. Mongpo</t>
  </si>
  <si>
    <t xml:space="preserve"> Delivery of materials for Construction of San Vicente Water Supply System.</t>
  </si>
  <si>
    <t xml:space="preserve"> Supply &amp; Delivery of  Laboratory  Supplies (for molecular test (polymerase chain reaction for African Swine fever) ABC:73,100.00 	2 lot VP 72 forward primer, 25bp, 200nmol, desalted 	2 lot VP 72 reverse primer, 20 bp, 200nmol, desalted 	2 lot VP 72 probe </t>
  </si>
  <si>
    <t xml:space="preserve"> Module # 1.  San Remigio, Libertad and San Isidro- No. of Has. 744.8086 - ABC Php3,175,856.20 Interested Bidders must submit their eligibility documents on or before July 9, 2020 at 9:00 am at the office of the DARRO XI-BAC Secretariat, Km.12 Catalunan Pe</t>
  </si>
  <si>
    <t xml:space="preserve"> 1.00 each Project Billboard (8'x8') 1.00 l.s. MObilization and Demobilization 1454.13 sq.m. Clearing and Grubbing (with Stripping) 1762.00 cu.m. Roadway Excavation (Surplus Common) 27.00 cu.m. Structure Excavation (soft rock) 84.00 cu.m. Pipe culverts and</t>
  </si>
  <si>
    <t xml:space="preserve"> Republic of the Philippines CITY GOVERNMENT OF SAN FERNANDO Barangay SAOAY Email: brgy_saoay_csflu@yahoo.com.ph INVITATION TO BID FOR  Rehabilitation of Barangay Hall Barangay Saoay, City of San Fernando 1.	The Barangay Saoay through the Barangay Fund int</t>
  </si>
  <si>
    <t xml:space="preserve"> CITY GOVERNMENT OF ZAMBOANGA		Purchase Request No.:	100-20-03-0741/March 9, 2020 Bids and Awards Committee  Villalobos St., Zamboanga City		Office of the:	CGSO-STOCKS 		Amount:	P 228,810.00 SF-GOOD-60	 REQUEST FOR QUOTATION (53.9 Small Value Procurement) </t>
  </si>
  <si>
    <t xml:space="preserve"> Supply &amp; Delivery of Animals ABC:120,000.00 6 head  Gilt (Pig)  -	High breed -	8 mos. Old -	100-120 kgs 		 10 head  Native Chicken   -	Roaster -	 ready to breed 90 head  Native Chicken  -	Hen  -	Ready to breed 1 head  Goat (Buck) -	Ready to breed 	Deliver</t>
  </si>
  <si>
    <t xml:space="preserve"> CITY GOVERNMENT OF ZAMBOANGA		Purchase Request No.:	100-20-03-0838/March 17, 2020 Bids and Awards Committee  Villalobos St., Zamboanga City		Office of the:	CGSO-STOCKS 		Amount:	P 171,140.00 SF-GOOD-60	 REQUEST FOR QUOTATION (53.9 Small Value Procurement)</t>
  </si>
  <si>
    <t xml:space="preserve"> Removal of actual structure/obstruction, structural excavation (common soil), subgrade preparation (common material), aggregate sub-base course, PCCP, reinforcing steel bar, grade 40 (minor structure), structural concrete class “A” (minor structure), grou</t>
  </si>
  <si>
    <t xml:space="preserve"> Unit      Qty              Items pcs       5                 Pocket wiFi Openline -share 4G LTE speed up to 150Mbps downloads and 50Mbps uploads -selectable 2.4Ghz dual band WiFi -support up to 15 WiFi devices -internal 2000Mah battery up to 10m hours of </t>
  </si>
  <si>
    <t xml:space="preserve"> Supply &amp; Delivery of Fuel, Oil and Lubricants for use in operation and maintenance of Service Vehicles, Heavy/Light Equipment &amp; Power Generators , for the month of July, August &amp; September, 2020(3rd Quarter)</t>
  </si>
  <si>
    <t xml:space="preserve"> 120 DAYS SUPPLEMENTAL FEEDING PROGRAM ( RICE, VIAND, FISH, CHICKEN, VEGETABLES &amp; OTHER GROCERY ITEMS), MNAO, MAPANAS, N. SAMAR 30	Sacks	Native Rice		 1	Sack 	Flour		 240	trays	Eggs		 300	Packs	Powdered Milk		 100	Kls.	Squash		 400	Kls.	Fresh Dressed Chick</t>
  </si>
  <si>
    <t xml:space="preserve"> Construction of 149.75 sq.m. Two storey Multi-Purpose Building (Phase I).</t>
  </si>
  <si>
    <t xml:space="preserve"> 3 Tonner Floor Mounted Airconditioner with 3 meters length installation Split Type Inverter Airconditioner with 3 meters length materials and installation w/ circuit breaker</t>
  </si>
  <si>
    <t xml:space="preserve"> INVITATION TO BID FOR Concreting of Shoulder &amp; Slope Protection (1st &amp; 2nd APP) of various National Bridges along Gov. J.J. Linao Road (SO4822LZ), Bagac, Bataan, KO148+807 - KO155+095 w/ exception The DPWH-Bataan 2nd District Engineering Office, through i</t>
  </si>
  <si>
    <t xml:space="preserve"> Republic of the Philippines BATANGAS STATE UNIVERSITY Batangas City REQUEST FOR QUOTATION "Procurement of service for the disposal of hazardous waste at BatstateU Main Campus I" 1. The Batangas State University (BatState U) through the Bids and Awards Com</t>
  </si>
  <si>
    <t xml:space="preserve"> Republic of the Philippines PROVINCE OF MARINDUQUE Capitol Boac, Marinduque OFFICE OF BIDS AND AWARDS COMMITTEE Invitation to Bid  (REBIDDING) Furnishing labor, materials and equipment for the Construction of Gender Sensitive Toilet Facilities at Mogpog C</t>
  </si>
  <si>
    <t xml:space="preserve"> 10	PCS	C PARLINS #3 10	PCS	C PARLINS #4 5	PCS	GI 4S 3/4 X 8 5	PCS	GI F/W 3/4 X 3/4 5	PCS	GI NVT 3/4 3	PAX	LABOR CONSTRUCTION 250	PCS	TEX SCREW #2 10	PCS	FAUCET 10	PCS	LED BULB - 5 WATTS 1	PAIL	PAINT, LATEXT, SEMI-GLOSS, WHITE, 16L</t>
  </si>
  <si>
    <t xml:space="preserve"> Supply &amp; Delivery of Common Office Supplies ABC:112,000.00 20 cart Ink Cart for Canon printer CL-88 black 20 cart Ink Cart for Canon printer CL-88 colored 10 cart Toner for Canon printer LBP 303 10 cart Toner for HP Printer , HP 85A 10 cart Toner for Phot</t>
  </si>
  <si>
    <t xml:space="preserve"> Republic of the Philippines Province of Guimaras OFFICE OF THE BIDS AND AWARDS COMMITTEE INVITATION TO BID FOR    SUPPLY AND DELIVERY OF MEDICAL OXYGEN Bid Ref. No. 2020-06-381 1.	The Province of Guimaras , through the Revolving Fund  intends to apply the</t>
  </si>
  <si>
    <t xml:space="preserve"> Republic of the Philippines PROVINCE OF PANGASINAN BIDS AND AWARD COMMITTEE (BAC) Brgy. Macayug, San Jacinto, Pangasinan Mobile No. 09357953300 INVITATION TO BID The Barangay  Macayug, San Jacinto, Pangasinan, though its Bids and Award Committee (BAC), in</t>
  </si>
  <si>
    <t xml:space="preserve"> 1 Set -	OVERHAULING GASKET               1 Set -	PISTON RING .25                        4 Pc. -	PISTON, STANDARD 1 Set -	PISTON PIN BUSHING 1 Set -	CON ROD BEARING, STANDARD 1 Set -	MAIN BEARING, STANDARD 1 Set -	SLEEVE 1 Pc -	WATER PUMP 1 Pc -	TIMING BEL</t>
  </si>
  <si>
    <t xml:space="preserve"> Description Please quote the best price(s) of the item(s) listed in page two (2) hereof under the following terms and conditions: 1. The price quotations shall be listed opposite the pertinent items enumerated. 2. The quotation/proposal shall be submitted</t>
  </si>
  <si>
    <t xml:space="preserve"> Date of Bidding: July 9, 2020 @ 10:00 A.M. Amount: P300,000 Source of Funds: Annual Budget 2020 Venue: Brgy. Hall of Brgy. Onate De Leon, Mandurriao, Iloilo City</t>
  </si>
  <si>
    <t xml:space="preserve"> Republic of the Philippines PROVINCE OF AGUSAN DEL SUR Municipality of San Luis OFFICE OF BIDS &amp; AWARDS COMMITTEE REQUEST FOR QUOTATION The Municipal Government of San Luis, Agusan del Sur, through its Bids and Awards Committee will undertake a Small Valu</t>
  </si>
  <si>
    <t xml:space="preserve"> 500KVA(400KW) Diesel Generator Set</t>
  </si>
  <si>
    <t xml:space="preserve"> July 1, 2020 REQUEST FOR QUOTATION (RFQ) LAMINAR HOOD 1.	The Batangas Medical Center hereinafter referred to as the “Purchaser” now request for submission of price proposal for the procurement of the aforesaid item described in the Technical Specification</t>
  </si>
  <si>
    <t xml:space="preserve"> July 1, 2020 REQUEST FOR QUOTATION (RFQ) MICROCENTRIFUGE 1.	The Batangas Medical Center hereinafter referred to as the “Purchaser” now request for submission of price proposal for the procurement of the aforesaid item described in the Technical Specificat</t>
  </si>
  <si>
    <t xml:space="preserve"> 1. Replacement of worn-out wood roof framing (waiting area) 2. Replacement of worn-out fence (waiting area) 3. Installation of roof insulation (waiting area) 4. Replacement of worn-out roofing, bended accessories &amp; downspouts (waiting area) 5. Installatio</t>
  </si>
  <si>
    <t xml:space="preserve"> Car Batteries Composing of: 3SM Car Battery, Maintenance free (regular polarity) 3SM Car &amp; Bus Battery, Maintenance free (Reverse polarity) DIN 66 Car Battery, Maintenance free 2SM Car Battery, Maintenance free (regular polarity) At least 2019 manufacture</t>
  </si>
  <si>
    <t xml:space="preserve"> Request for quotation for the procurement of construction materials for the improvement of water system at Sitio Dipasaleng, Dilasag, Aurora.</t>
  </si>
  <si>
    <t xml:space="preserve"> Provision of Fuel Consumption &amp; Lubricants ABC:52,950.00 696 liters  Diesel  330 liters Gasoline 	 	Delivery period: 30 days 	Delivery site: DA- Tupi RES RFO 12,  Bololmala, Tupi South Cotabato  Note: Bidders must quote in all items (by lot) in a Sealed E</t>
  </si>
  <si>
    <t xml:space="preserve"> 41	 bag 	 Portland Cement  6	cu.m	Mixed Aggregates</t>
  </si>
  <si>
    <t xml:space="preserve"> Computer Laptop ----------------------- 2 units   Specs:    - Intel Core i5-1021OU Processor (6M Cache, uo to 4.10 GHz)    - Graphics - NIVIDIA GeForce MX230 with 2GB of dedicated GDDR5 VRAM    - Memory - 4GB of single channel, onboard DDR4 system memory </t>
  </si>
  <si>
    <t xml:space="preserve"> 1. Replacement of Worn-out roofing and bended accessories (100%) 2. Replacement of worn-out wood framing (10%) &amp; ceiling joists (50%) and ceiling boards &amp; fascia boards (100%) 3. Replacement of worn-out door @ CR 4. Replacement of old/broken electrical fi</t>
  </si>
  <si>
    <t xml:space="preserve"> Republic of the Philippines Province of Misamis Occidental Municipality of Plaridel INVITATION TO APPLY FOR ELIGIBILITY AND TO BID 	 	The Local Government Unit, LGU-Plaridel, Misamis Occidental, through the CY2019 Performance Challenge Fund (PCF) of the D</t>
  </si>
  <si>
    <t xml:space="preserve"> Republic of the Philippines DEPARTMENT OF PUBLIC WORKS AND HIGHWAYS SURIGAO DEL NORTE 1st  DISTRICT ENGINEERING OFFICE REGIONAL OFFICE XIII 			       Dapa, Siargao Island, Surigao del Norte INVITATION TO BID The Department of Public Works and Highways Sur</t>
  </si>
  <si>
    <t xml:space="preserve"> City Government of La Carlota								          Standard Form Number: SF-GOOD-59 Revised on: May 24, 2004 Standard Form Title: REQUEST FOR QUOTATION 												Date: ______________ 												Quotation No.________ Company Name Address 	Please quote your </t>
  </si>
  <si>
    <t xml:space="preserve"> 1.	The Bureau of Fire Protection Caraga Regional Office, through the General Appropriation Act CY 2020 intends to apply the sum of Seven Million Three Hundred Twenty Thousand Nine Hundred Sixty-Eight Pesos and 20/100 (Php 7,320,968.20) being the Approved </t>
  </si>
  <si>
    <t xml:space="preserve"> Specs: 8  pcs  GI pipe #2 S-40 8  pcs  GI coupling #2 2  bxs  Tapelon tape #1 1  set   Water pump 1 1/2 HP saer 8  pcs  PPR pipe #1 3  pcs  Ball valve #1 1  pc   Swing valve #1 HD 1  pc   Foot valve #1 HD 1  pc   GI tee #1 5  pcs  Nipple 1x3" 2  pcs  Nipp</t>
  </si>
  <si>
    <t xml:space="preserve"> Republic of the Philippines Province of Pangasinan MUNICIPALITY OF LINGAYEN Invitation to Bid for the Purchase of Gas Refill (Liquefied Petroleum Gas) for the month of August 2020-December 2020 at Slaughterhouse, Barangay Domalandan West, Lingayen, Pangas</t>
  </si>
  <si>
    <t xml:space="preserve"> ITEMNO. 	ITEM  &amp; DESCRIPTION	QTY.	UOM 			 1_ _ _ _ _Mechanical Sleeve Type Coupling 3"Ꝋ _ _ _20   pcs 2_ _ _ _ _Gate Valve 3" Ꝋ _ _ _ _ _ _ _ _ _ _ _ _ _ _2	 pcs 3_ _ _ _ _Blue VPVC Pipe 75mm "Ꝋ _ _ _ _ _ _ _ _ _3	pcs</t>
  </si>
  <si>
    <t xml:space="preserve"> Provision of labor and materials for the repair and installation of existing fabricated greenhouse frame as Vineyard Tunnel at ATI RTC V, San Agustin, Pili, Camarines Sur.</t>
  </si>
  <si>
    <t xml:space="preserve"> Provision of Food &amp; Accommodation for 2 days ABC:102,500.00 	1st day 	50 pax 2 meals &amp;2 snacks  with Accommodation    	2nd day 	50 pax 2 meals &amp;2 snacks    (during  the conduct of R &amp;D Pre-Agency in House Review on June-July 2020 at KIDAPAWAN CITY) Note: </t>
  </si>
  <si>
    <t xml:space="preserve"> Module # 1. Davao City  No. of Has. 700.00      ABC Php 2,660,000.00 Interested Bidders must submit their eligibility documents on or before July 9, 2020 at 9:00 am at the office of the DARRO XI-BAC Secretariat, Km. 12 Catalunan Pequeno, Davao City. Appli</t>
  </si>
  <si>
    <t xml:space="preserve"> NOTICE OF NEGOTIATED PROCUREMENT (Two Failed Biddings) TO ALL INTERESTED BIDDERS We are pleased to invite you in our negotiation conference for the project requirements “To hire contractor to provide materials, labor and equipment for three (3) Infrastruc</t>
  </si>
  <si>
    <t xml:space="preserve"> I.	PROJECT:	Personal Protective Equipment for DOT VI Personnel II.	BACKGROUND  :   The Department of Tourism  shall ensure that minimum health  and safety standard protocols are observed by the employees at all times in the workplace and official field as</t>
  </si>
  <si>
    <t xml:space="preserve"> 1. Concreting 2. Installation of Flush Door 3. Steel Railing 4. Formworks 5. Rental of Equipment (5 days operation) 6. Floor Finish 7. Painting 1.	All quotations submitted to the City Government of Parañaque are considered as offer. In the event that the </t>
  </si>
  <si>
    <t xml:space="preserve"> Supply &amp; Delivery of Other Supplies ABC:58,000.00 30 pcs  Customized Jacket  with Embroidered Logo 80 pcs Customized T-shirt with Embroidered Logo 	100% cotton 	Class A Cloth  	Delivery period: 30 days 	Delivery site: DA- Amas RES, Kidapawan City Note: Bi</t>
  </si>
  <si>
    <t xml:space="preserve"> body repair body repaint change oil check transmission bushing replacement 4 tires 2 bearing 1 break pad 2 oil seal 2 spindle loack 1 wind shield 1 door glass window</t>
  </si>
  <si>
    <t xml:space="preserve"> RQF</t>
  </si>
  <si>
    <t xml:space="preserve"> NOTICE OF NEGOTIATED PROCUREMENT (Two Failed Biddings) TO ALL INTERESTED BIDDERS We are pleased to invite you in our negotiation conference for the project requirements requirement To hire contractor to provide materials, labor and equipment for five (5) </t>
  </si>
  <si>
    <t xml:space="preserve"> SUPPLY AND DELIVERY OF DRUGS AND MEDICINES					 					 					 No.	ITEM DESCRIPTION/SPECIFICATION	UOM	QUANTITY	UNIT COST	TOTAL COST 					 					 	Supply and Delivery of Anesthetics (IV/IM)/ Inhalation				 					 Lot 1					 1	Bupivacaine Heavy 4mL 0.5% with 0.8</t>
  </si>
  <si>
    <t xml:space="preserve"> Refrigerator Inverter, 2 Door 10.7 cu. ft. 6 Seater Dining Set (Tables and Chairs) Office Chair 2 HP Window Type Aircon</t>
  </si>
  <si>
    <t xml:space="preserve"> July 1, 2020 REQUEST FOR QUOTATION (RFQ) PCR HOOD (TABLE TOP) 1.	The Batangas Medical Center hereinafter referred to as the “Purchaser” now request for submission of price proposal for the procurement of the aforesaid item described in the Technical Speci</t>
  </si>
  <si>
    <t xml:space="preserve"> Provision of Food (meals &amp; snacks) ABC:50,000.00 	Mid Year Assessment 	50 pax 1 meal &amp; 2 snacks    	Year End Assessment 	50 pax 1 meal &amp; 2 snacks    	Proposed Venue: Provincial Capitol, Isulan, Sultan Kudarat 	Proposed Date: July-December 2020 (during  th</t>
  </si>
  <si>
    <t xml:space="preserve"> Republic of the Philippines Province of Cagayan Municipality of Sanchez Mira BIDS AND AWARDS COMMITTEE INVITATION TO BID SUPPLY AND DELIVERY OF DRUGS AND MEDICINES FOR USE AT THE MUNICIPAL HEALTH OFFICE, LGU, SANCHEZ MIRA, CAGAYAN ITB-2020-10-Goods 1.	The</t>
  </si>
  <si>
    <t xml:space="preserve"> Gate Motor, 2,500kg Capacity Control Board, RUA2/A</t>
  </si>
  <si>
    <t xml:space="preserve"> 1. 1,260 ltrs Diesel Note: the price/s quoted by the supplier shall be valid for a period of seven (7) calendar days from the date of the quotation, and the item/s shall be delivered to the procuring entity regardless of an increase or decrease in the pre</t>
  </si>
  <si>
    <t xml:space="preserve"> INVITATION TO BID Bid No. B-95-2020  1.	The Provincial Government of Negros Oriental through Responsibility Center: 1011 / Account Code: 50203010, intends to apply the sum of Five Hundred Ninety-Five Thousand One Hundred Ninety-Three Pesos (Php 595,193.00</t>
  </si>
  <si>
    <t xml:space="preserve"> Republic of the Philippines BATANGAS STATE UNIVERSITY Batangas City REQUEST FOR QUOTATION "Procurement of equipments for CTE and CIT Department of Batangas State U Rosario Campus" 1. The Batangas State University (BatState U) through the Bids and Awards C</t>
  </si>
  <si>
    <t xml:space="preserve"> Use in Cebu City Medical Center-College of Nursing.</t>
  </si>
  <si>
    <t xml:space="preserve"> RFQ No. 20-06-068 Purchase of Face Recognition with fever detection, UPS and Automatic Alcohol Dispenser</t>
  </si>
  <si>
    <t xml:space="preserve"> Republic of the Philippines PROVINCE OF PANGASINAN BIDS AND AWARD COMMITTEE (BAC) Brgy. Bolo , San Jacinto, Pangasinan Mobile No. 09074012418 INVITATION TO BID The Barangay  Bolo, San Jacinto, Pangasinan, though its Bids and Award Committee (BAC), invites</t>
  </si>
  <si>
    <t xml:space="preserve"> Motorized Roll Up Door</t>
  </si>
  <si>
    <t xml:space="preserve"> Interested suppliers are required to submit the following requirements: (1) valid Mayor’s/Business  Permit; (2) PhilGEPS Registration Number; (3) Income/Business Tax Return; (4) Omnibus Sworn  Statement; (5) Performance Security; (6) Registration Certific</t>
  </si>
  <si>
    <t xml:space="preserve"> Computer Desktop w/ Printer ----------------------- 2 units   Specs:      - Intel Core i7      - Windows 10</t>
  </si>
  <si>
    <t xml:space="preserve"> For use of DMD</t>
  </si>
  <si>
    <t xml:space="preserve"> Canvas Bag (Katsa Type) Estimate Dimension: H=15 inches; L=12 inches; W=4 inches Personalized Print Design</t>
  </si>
  <si>
    <t xml:space="preserve"> Provision of Van Rentals ABC:55,000.00 	10 units VAN  RENTALS -	General Santos City to Region XII Areas  -	10 VANS  -	Inclusive of fuel and driver 	(during the Various ADPO Training and Workshop (Field Tour or Site Visit) Note: Bidders must quote in all i</t>
  </si>
  <si>
    <t xml:space="preserve"> Provide labor &amp; materials for parts replacement of Nissan Frontier- SGA 519 ABC:63,598.00 	1 lot Materials -	Replacement of battery/Car Stereo/speakers 	  	1 lot Labor -	Check up electrical system of the unit, replace defective bulbs, Wiring, fuses and so</t>
  </si>
  <si>
    <t xml:space="preserve"> Re-certification Audit for ISO 9001:2015 Quality Management System (QMS) Scope of re-certification: Supply of Water Services in the Municipality of Kabacan Exclusion: Clause 8.3 Design and Development Locations:  1. Main Office: Rizal Avenue, Kabacan, Cot</t>
  </si>
  <si>
    <t xml:space="preserve"> INVITATION TO BID Bid No. B-97-2020  1.	The Provincial Government of Negros Oriental, through Responsibility Center: 1918-039(19), intends to apply the sum of Two Million Nine Hundred Forty Thousand Pesos (Php 2,940,000.00) being the Approved Budget for t</t>
  </si>
  <si>
    <t xml:space="preserve"> Request for Quotation RFQ No.		SVP-024-2020 MR No.		10753 Requisition No. 	CORPLAN.06.12.2020 Posting Date:         	July 2, 2020 Deadline for Submission:		July 8, 2020 at 9:00 AM Opening Date:	July 8, 2020 at 10:00 AM 	 TO:	Name of Supplier:_____________</t>
  </si>
  <si>
    <t xml:space="preserve"> INVITATION TO BID Bid No. B-96-2020  1.	The Provincial Government of Negros Oriental, through Responsibility Center: 9998-015(19), intends to apply the sum of Two Million Nine Hundred Forty Thousand Pesos (Php 2,940,000.00) being the Approved Budget for t</t>
  </si>
  <si>
    <t xml:space="preserve"> Republic of the Philippines																					 BIDS AND AWARDS COMMITTEE																					 Dagupan City																					 																					 																					 Request for Quotation (RFQ)																					 																					 Procuremen</t>
  </si>
  <si>
    <t xml:space="preserve"> INVITATION TO BID Bid No. B-98-2020 1.	The Provincial Government of Negros Oriental, through Source of Fund: 1) 1918-019(18); 2) 9998-011(19), intends to apply the sum of One Million Nine Hundred Sixty Thousand Pesos (Php 1,960,000.00) being the Approved </t>
  </si>
  <si>
    <t xml:space="preserve"> LOT - I Auto Diesel   38,000.00	liters	Auto Diesel   		Total of Lot - I  P1,748,000.00 		 		LOT - II Premium Gasoline 8,000	liters	Premium Gasoline 		Total of Lot - II  P464,000.00 		GRAND TOTAL AMOUNT  P2,212,000.00</t>
  </si>
  <si>
    <t xml:space="preserve"> Department of Public Works and Highways OFFICE OF THE REGIONAL DIRECTOR DPWH Regional Office VII South Road Properties, Cebu City  NOTICE OF PROCUREMENT OF CONSULTING SERVICES THROUGH NEGOTIATED PROCUREMENT July 01, 2020 Notice is hereby given that the De</t>
  </si>
  <si>
    <t xml:space="preserve"> for use of Director office</t>
  </si>
  <si>
    <t xml:space="preserve"> DESCRIPTION            UNIT     QUANTITY         PRICE    TOTAL   Bond Paper A4	        ream 	1040	          200.00 	 208,000.00  Stapler Big	           pc  	20	          384.00 	 7,680.00  Staple Wire #35  	 box 	        100	           59.50 	  5,950.00 </t>
  </si>
  <si>
    <t xml:space="preserve"> SUPPLY AND DELIVERY OF ANTI-DENGUE KITS FOR SCHOOL CHILDREN (ANTI- MOSQUITO REPELLANT LOTION - CLEAR POUCH) - Order of payment for Bid Docs will be available at GSD-Head Office @ 10th Floor Makati City Hall Bldg. 2.  Look for Mr. Reden Villanueva. - A  co</t>
  </si>
  <si>
    <t xml:space="preserve"> 50 bags of Urea (46-0-0) 30 bags of Complete (14-14-14) 20 bags of Ammonium Phosphate (16-20-0)</t>
  </si>
  <si>
    <t xml:space="preserve"> Please quote your lowest price inclusive of VAT on the item/s listed below,subject to the terms and conditions of this RFQ,and submit your quotation duly signed by your representative not later than July 7,2020,at Uwisan Elementary School,Uwisan Calamba C</t>
  </si>
  <si>
    <t xml:space="preserve"> To purchase office supplies for Barangay Kalawaan, Pasig City</t>
  </si>
  <si>
    <t xml:space="preserve"> Provide labor &amp; materials for parts replacement of Toyota, Hi-Lux SGX 411 ABC:58,006.00 	1 lot Materials -	Replacement of battery, tensioner bearing,    Body bolt, Idler bearing and wheel bearings  	1 lot Labor -	Mechanical works, installation of plastic </t>
  </si>
  <si>
    <t xml:space="preserve"> G.I Sheet Corr 12ft	127	pcs G.I Sheet Corr 10ft	64	pcs G.I Sheet Corr 7ft	15    	pcs Umbrella Nails	25	kls G.I Gutter	20	pcs G.I Plain Sheets	32	pcs Fiber Board Cement 	32	pcs Blind Rivets 5/32	1	box 2x2 Tubular	5	pcs Flush Door	1	unit Vulca Seal	4	ltrs D</t>
  </si>
  <si>
    <t xml:space="preserve"> Republic of the Philippines Province of Guimaras OFFICE OF THE BIDS AND AWARDS COMMITTEE INVITATION TO BID FOR    SUPPLY AND DELIVERY OF MEDICAL SUPPLIES Bid Ref. No. 2020-06-369 1.	The Province of Guimaras , through the Medical, Dental &amp; Laboratory Expen</t>
  </si>
  <si>
    <t xml:space="preserve"> MUNICIPALITY OF PANIQUI Province of Tarlac	Project Reference Number : I-2020-015 Name of the Project           : Construction of Two (2) Storey Multi-Purpose Bldg. Location of the Project     : Brgy. Patalan, Paniqui, Tarlac Standard Form Number: SF-INFR-</t>
  </si>
  <si>
    <t xml:space="preserve"> Laptop Computer -------------------- 1 unit   Specs:           - Core 15           - 8gb Memory           - 1TB Hard Drive           - Complete accessories</t>
  </si>
  <si>
    <t xml:space="preserve"> To purchase supplies &amp; materials for uniforms of Security Force of Barangay Kalawaan, Pasig City</t>
  </si>
  <si>
    <t xml:space="preserve"> For the use of DFM &amp; OPS</t>
  </si>
  <si>
    <t xml:space="preserve"> Republic of the Philippines Province of Oriental Mindoro MUNICIPALITY OF NAUJAN BIDS &amp; AWARDS COMMITTEE INVITATION TO BID CONSTRUCTION OF MULTI- PURPOSE HALL AT BARANGAY STA. ISABEL, NAUJAN, ORIENTAL MINDORO 1.	The Municipal Government of Naujan – Bids an</t>
  </si>
  <si>
    <t xml:space="preserve"> Invitation to Bid The Barangay Camangaan, Municipality of San Nicolas Pangasinan through its Bids and Award Committee(BAC), invites contractors registered with and classfied by the Philgeps to apply for the eligibility and if found eligible, to bid for th</t>
  </si>
  <si>
    <t xml:space="preserve"> 1	bx	CELL-DYN Control (Ruby) 12	bxs	CELL-DYN DILUENT SHEATH 4	bxs	CELL-DYN WBC LYSE 		GRAND TOTAL AMOUNT  P382,672.00</t>
  </si>
  <si>
    <t xml:space="preserve"> 1	20 PCS	STAINLESS MILK PAILS W/O COVER 10L CAP 2	10 PCS	STAINLESS MILK PAILS W/O COVER 15L CAP</t>
  </si>
  <si>
    <t xml:space="preserve"> CONSTRUCTION OF HEALTH ISOLATION FACILITIES FOR COVID - 19</t>
  </si>
  <si>
    <t xml:space="preserve"> 1. Cacao Seedling (grafted, pencil-size, seedling, UFIQ Var, H:12"-24" --------   500 pc. 2. Banana Corm -------------------------------------------------------------------- 1,800 pc.</t>
  </si>
  <si>
    <t xml:space="preserve"> 20	bxs.	Rimula R1 40 cc/sc, 4x4l A240 20	bxs.	Rimula R1 30 cc/SC 4x4L A240 10	bxs.	Spirax S2 G90 4x4L A240 15	bxs.	Spirax S2 G140 4x4L A240 5	bxs.	Spirax S1 ATF Tasa 12 x 1L 10	bxs.	Advance SX@ 2T Triple 12 x1L A236 20	bxs.	Rimula R3 10W CF 4x4L A050 10	b</t>
  </si>
  <si>
    <t xml:space="preserve"> Hiring of Consultancy to Conduct the Mid-Term (MTR) of the 3rd National Plan of Action for Children (NPAC) and Philippine Plan of Action to End Violence Against Children (PPAEVAC) Bidders should submit their Intent/s on or before the end of posting period</t>
  </si>
  <si>
    <t xml:space="preserve"> For Administrative Support Program.</t>
  </si>
  <si>
    <t xml:space="preserve"> SUPPLY AND DELIVERY OF CUSTOMIZED WASHABLE/REUSABLE CLOTH FACE MASKS WITH POUCH FOR ALL CITY EMPLOYEES - Order of payment for Bid Docs will be available at GSD-Head Office @ 10th Floor Makati City Hall Bldg. 2.  Look for Mr. Reden Villanueva. - A  complet</t>
  </si>
  <si>
    <t xml:space="preserve"> SUPPLY AND DELIVERY OF FOOD SUPPLIES FOR FOOD ASSISTANCE, NUTRI-BATA PROJECT, MAKATI YOUTH HOME AND SOCIAL DEVELOPMENT CENTER - Order of payment for Bid Docs will be available at GSD-Head Office @ 10th Floor Makati City Hall Bldg. 2.  Look for Mr. Reden V</t>
  </si>
  <si>
    <t xml:space="preserve"> PR NO. 20-03-364			 1	1	Unit	REAGENT REFRIGERATOR WITH AVR	423,129.33	423,129.33 			&gt;Upright 		 			&gt; Capacity: 23.3 cu. Ft. (659L) - minimum requirement.		 			&gt; Auto Volt		 			&gt; Forced Air Circulation		 			&gt; Heat-Free defrost		 			&gt; Single door, self clos</t>
  </si>
  <si>
    <t xml:space="preserve"> LGU – Sierra Bullones     					  Contractor Reference Number 	                                                                                                 								         Name of the Contract    								        Location of the Contract Standard Form </t>
  </si>
  <si>
    <t xml:space="preserve"> INVITATION TO BID Bid No. B-99-2020 1.	The Provincial Government of Negros Oriental, through Source of Fund: 1) 1999-169(19); 2) 4999-052(19); 3) 1999-194(17); 4) 1999-321(16); 5) 1918-023(19), intends to apply the sum of Fourteen Million Fourteen Thousan</t>
  </si>
  <si>
    <t xml:space="preserve"> see attached associated component documents</t>
  </si>
  <si>
    <t xml:space="preserve"> Improvement of Weather Division Male &amp; Female Quarters  Supply, Delivery &amp; Installation of Laminated Walls with Hard Wood doors. Pls. see attached scope of works Price Validity 120 days Price VAT inclusive and all other government taxes  Delivery Date:  1</t>
  </si>
  <si>
    <t xml:space="preserve"> Procurement of 3 Printers</t>
  </si>
  <si>
    <t xml:space="preserve"> SUPPLY, DELIVERY AND INSTALLATION OF FURNITURE AND FIXTURES FOR THE OFFICE OF THE MAYOR - Order of payment for Bid Docs will be available at GSD-Head Office @ 10th Floor Makati City Hall Bldg. 2.  Look for Mr. Reden Villanueva. - A  complete set of Biddin</t>
  </si>
  <si>
    <t xml:space="preserve"> MATERIALS AND LABOR COST</t>
  </si>
  <si>
    <t xml:space="preserve"> MUNICIPALITY OF PANIQUI Province of Tarlac	Project Reference Number : I-2020-016 Name of the Project           : Construction of Two (2) Storey Multi-Purpose Bldg. Location of the Project     : Brgy. San Juan De Milla, Paniqui, Tarlac Standard Form Number</t>
  </si>
  <si>
    <t xml:space="preserve"> 1       set      8-channel 2MP, 2TB HDD Monitor with installation services 3       set      4-channel 2MP, 2TB HDD Monitor with installation services</t>
  </si>
  <si>
    <t xml:space="preserve"> For use of Dept. of Psychiatry</t>
  </si>
  <si>
    <t xml:space="preserve"> 14	pail	Gloss Latex Paint 10	pail	Flat latex White 6	gal	Paint Thinner 4	gal	Quick Dry Enamel (Choco Brown) 10	pcs	Mesh Tape 2" 3	ltrs	Stikwell Glue 10	yard	Floor sanding paper #100 50	pcs	Water proof #150 50	pcs	Water proof #240 2	bags	Patching Compound </t>
  </si>
  <si>
    <t xml:space="preserve"> 20-10235 2000 pcs Pillow Case 22.5 x 31</t>
  </si>
  <si>
    <t xml:space="preserve"> Supply of Road Maintenance Materials</t>
  </si>
  <si>
    <t xml:space="preserve"> Medical Check up including: CBC  Urinalysis  X-ray  ECG  Total Cholesterol Blood count chemistry (FBS, Triglyceride, HDL, LDL, VLDL, Blood Uric Acid (BUA), Creatinine, SGPT/ALT)  for 67 Junior High School teachers and 27 Senior High School Teachers</t>
  </si>
  <si>
    <t xml:space="preserve"> SUPPLY AND DELIVERY OF BIODEGRADABLE BAGS FOR DES FIELD PERSONNEL - Order of payment for Bid Docs will be available at GSD-Head Office @ 10th Floor Makati City Hall Bldg. 2.  Look for Mr. Reden Villanueva. - A  complete set of Bidding Documents will be av</t>
  </si>
  <si>
    <t xml:space="preserve"> Republic of the Philippines City of Cadiz Bids and Awards Committee BID FORM 							 Atty. Reggie C. Placido Chairman  Bids and Awards Committee Sir: 	 	After having carefully read and accepted the conditions in the Invitation to Bid, I/We quote you on th</t>
  </si>
  <si>
    <t xml:space="preserve"> IMPROVEMENT OF PATHWALK/WAITING SHED @ SCES, BRGY. STO. CRISTO CSJDM BUL.</t>
  </si>
  <si>
    <t xml:space="preserve"> For one(1) lot Project DESCRIPTION  A.	Waterproofing works at Roof Deck (2coats) A.1 Polyurethane/Rubberized Waterproofing membrane A.2 Surface Cleaning and Preparation A.3 Miscellaneous and other accessories B.	Masonry Wall B.1 Portland Cement B.2 Fine S</t>
  </si>
  <si>
    <t xml:space="preserve"> Supply and Delivery of Various Office, Janitorial and Disinfectant Supplies and Materials for Vice- Mayor’s Office, Sangguniang Bayan Office and SB Secretary’s Office  (3rd Quarter)</t>
  </si>
  <si>
    <t xml:space="preserve"> TERMITE ERADICATION AND PREVENTIVE PROGRAM FOR MAKATI CITY HALL OLD BUILDING, MAKATI POST OFFICE AND VARIOUS DAY CARE CENTERS AT DISTRICT I AND II, MAKATI CITY - Order of payment for Bid Docs will be available at GSD-Head Office @ 10th Floor Makati City H</t>
  </si>
  <si>
    <t xml:space="preserve"> SAN PABLO CITY WATER DISTRICT							 San Pablo City							 Telefax: (049) 503-0075 Email Address: spcwd_bac@yahoo.com							 							 REQUEST FOR PRICE QUOTATION							 June 29, 2020							 AGD - 099 - 0							 Contract No. 2020-147							 REFERENCE 		PR N</t>
  </si>
  <si>
    <t xml:space="preserve"> Awarding is per lot</t>
  </si>
  <si>
    <t xml:space="preserve"> Vehicles repair and Maintenance</t>
  </si>
  <si>
    <t xml:space="preserve"> #6 Aluminum Wire (Poly Acc) stranded, 300 mtrs/roll  Secondary Rack, HD 1/2Ø x 8" Machine Bolt w/ Nut and Washer 1 1/2Ø RSC Pipe 1 1/2Ø Service Entrance Cap #6/7 THHN Cu. Wire Electrical Tape #16 GI Wire</t>
  </si>
  <si>
    <t xml:space="preserve"> 2 UNIT TRASH BIN, TRANSPARENT</t>
  </si>
  <si>
    <t xml:space="preserve"> Reference No. PR # 20-06-0793 PRICE QUOTATION FORM (BID FORM) Sealed Bids shall be dropped in the BIDDERS BOX on or before 2:00 P.M.  July 07, 2020    placed at the office of the Chairman of the College BAC. Thereafter, the Bidder's Box shall be sealed un</t>
  </si>
  <si>
    <t xml:space="preserve"> Procurement ofSupplies for Reproduction of Learning Modules</t>
  </si>
  <si>
    <t xml:space="preserve"> Cellphone Iphone 8 ---------------------------- 1 pc. Specs:   Display: 4.7 inch 750x133g pixels   Camera : 12MP 2160P   RAM : 296 Ram Apple AllBionic   CPU: Hexa-core (2xmonsoon + 4x mistral)   Memory: 65GB 2GB, 256GB 2GB Nvme Cellphone A50S ------------</t>
  </si>
  <si>
    <t xml:space="preserve"> Republic of the Philippines PROVINCE OF ZAMBOANGA DEL SUR Municipality of Dimataling BIDS AND AWARD COMMITTEE Reference Number : PR-193-100-2020 Date: July 1, 2020 Project Title/P.R. # : PROCUREMENT OF SHUTTLE BUS FOR GOVERNMENT VEHICLE Approved Budget of</t>
  </si>
  <si>
    <t xml:space="preserve"> Republic of the Philippines PROVINCE OF PANGASINAN BIDS AND AWARD COMMITTEE (BAC) Brgy. Awai, San Jacinto, Pangasinan Mobile No. 09299615836 INVITATION TO BID The Barangay Awai, San Jacinto, Pangasinan, though its Bids and Award Committee (BAC), invites s</t>
  </si>
  <si>
    <t xml:space="preserve"> SUPPLY OF MATERIALS</t>
  </si>
  <si>
    <t xml:space="preserve"> PR#20-06-0336 ABC 54,601.00 1 kilo CW Nail 1” 2 kilos CW Nail 3” 63 length Deformed Bar, 10mmØ x 6m, 3.47 to 3.92 kg.wt. 12 length Deformed Bar, 12mmØ x 6m, 5.01 to 5.65 kg.wt. 22 pcs. Expansion Bolt, 3/8Ø x 2-1/4” 3 kilos GI Tie Wire #16 10 pcs. Hacksaw </t>
  </si>
  <si>
    <t xml:space="preserve"> PLEASE SEE ATTACHED ASSOCIATED COMPONENT</t>
  </si>
  <si>
    <t xml:space="preserve"> Republic of the Philippines Province of Leyte MUNICIPALITY OF PALO Invitation to Bid for the Repair of Roofing at the PNP Building, MTC-PWD’s Building and Covered Road for Tabo in Barangay Guindapunan and Cavite East, Palo, Leyte Job Request No. 20-06-115</t>
  </si>
  <si>
    <t xml:space="preserve"> Procurement of Materials for Repair of Handwashing Facility</t>
  </si>
  <si>
    <t xml:space="preserve"> All particulars relative to the procurement process and contract implementation shall be governed by the pertinent provision of R.A 9184 and its Revised Implementing Rules and Regulations. Quotation Forms are now available at the BAC-Secretariat and upon </t>
  </si>
  <si>
    <t xml:space="preserve"> IMPROVEMENT OF MULTI-PURPOSE HALL , BARANGAY ABO-ABO 1. The Local Government Unit of Mauban through the 20% DEVELOPMENT FUND-8751/1-07-10-030, 2020 intends to apply the sum of Seven hundred twenty six thousand eight hundred ninety nine pesos and ninety th</t>
  </si>
  <si>
    <t xml:space="preserve"> 2020 16th Public Bidding for Procurement  of IT Supplies and Equipment</t>
  </si>
  <si>
    <t xml:space="preserve"> CONCRETING OF BRGY. ROAD @ SKYLINE VILLAGE</t>
  </si>
  <si>
    <t xml:space="preserve"> SUPPLY AND DELIVERY OF ELECTRICAL AND PAINTING MATERIALS FOR THE PREVENTIVE MAINTENANCE OF ALL MAKATI CITY GOVERNMENT EXISTING STREET LIGHTS WITHIN DISTRICT I AND II, MAKATI CITY THROUGH AN ORDERING AGREEMENT - Order of payment for Bid Docs will be availa</t>
  </si>
  <si>
    <t xml:space="preserve"> The Central Bicol State University of Agriculture (CBSUA) announces that the aforesaid project will be procured through the Alternative Mode of Negotiated Procurement specified in Section 53.9 (Small Value Procurement) of the 2016 Revised Implementing Rul</t>
  </si>
  <si>
    <t xml:space="preserve"> ( Materials for the Prevention and Sanitary measures of COVID - 19</t>
  </si>
  <si>
    <t xml:space="preserve"> Repair and maintenance of rescue vehicles</t>
  </si>
  <si>
    <t xml:space="preserve"> 1. The total approved budget for the contract for the SUPPLY AND DELIVERY OF POLY ALUMINUM CHLORIDE is PhP 468,750.00 2. Price quotations must include all taxes, duties, and/or levies payable and must be valid for 30 days. 3. Suppliers must specify the BR</t>
  </si>
  <si>
    <t xml:space="preserve"> Grade 7 Modules - 264,225 Grade 8 Modules - 268,800 Grade 9 Modules- 269,780 Grade 10 Modules- 253,809 Total no. of pages:   1,056,614 Other Descriptions: 1. Paper size A4 2. Paper quality white 3. 70 gsm 4. Stapled at left side.</t>
  </si>
  <si>
    <t xml:space="preserve"> CONCRETING OF BRGY. ROAD @ SITO GITNA/TIALO, BRGY. STO. CRISTO CSJDM BUL.</t>
  </si>
  <si>
    <t xml:space="preserve"> INVITATION TO BID FOR NEGOTIATED PROCUREMENT SUPPLY AND DELIVERY OF ONE (1) UNIT MOTOR VEHICLE (PASSENGER VAN) 1.	The National Economic and Development Authority (NEDA) Regional Office XII, through the FY 2020 GENERAL APPROPRIATIONS ACT (GAA)  intends to </t>
  </si>
  <si>
    <t xml:space="preserve"> 112 BOXES 3-PLY SURGICAL MASK (50 PCS/BOX) 4 BOXES ALCOHOL EHTYL 70% SOLUTION (4 GALLONS/BOX) SUPPLIES FOR THE USED OF FMD STAFF FOR 3RD QUARTER</t>
  </si>
  <si>
    <t xml:space="preserve"> The Local  Government   Unit  of General  Santos  City, through  the  GENERAL FUND CY 2020  intends  to apply  the sum of seventy four thousand two hundred ten and xx / 100 Pesos Only (74,210.00)   being  the Approved  Budget  for the Contract   (ABC) to </t>
  </si>
  <si>
    <t xml:space="preserve"> 5 UNIT AIRCON, 3TR, FLOOR MOUNTED</t>
  </si>
  <si>
    <t xml:space="preserve"> WIDENING OF ROAD @ SITIO BACOOD/TDS, BRGY. STO. CRISTO CSJDM BULACAN</t>
  </si>
  <si>
    <t xml:space="preserve"> Republic of the Philippines City of Dapitan BIDS AND AWARDS COMMITTEE 						June 26, 2020 NOTICE FOR NEGOTIATED - SMALL VALUE PROCUREMENT 	The City Government of Dapitan through the Bids and Awards Committee (BAC) would like to inform PhilGEPS registered </t>
  </si>
  <si>
    <t xml:space="preserve"> FAB./INSTALLATION OF ST. LIGHTS (18UNITS) BRGY. WIDE, BRGY. STO. CRISTO CSJDM BULACAN</t>
  </si>
  <si>
    <t xml:space="preserve"> 3 AIRCON UNIT, 2HP, SPLIT TYPE, INVERTER</t>
  </si>
  <si>
    <t xml:space="preserve"> Purchase of the materials for the Construction of Drainage Canal of Barangay 21 Gingoog City Misamis Oriental.</t>
  </si>
  <si>
    <t xml:space="preserve"> The Local  Government   Unit  of General  Santos  City, through  the  GENERAL FUND CY 2020  intends  to apply  the sum of five hundred twenty five thousand one hundred fifty and 39 / 100 Pesos Only (525,150.39)   being  the Approved  Budget  for the Contr</t>
  </si>
  <si>
    <t xml:space="preserve"> Republic of the Philippines MUNICIPALITY OF SANTA CRUZ Province of Marinduque BARANGAY MAHARLIKA Office of the Bids and Awards INVITATION TO BID FOR  PURCHASE OF XEROX MACHINE (ITB No.: 2020-003) 1.	The Barangay Maharlika, Sta. Cruz, Marinduque, through t</t>
  </si>
  <si>
    <t xml:space="preserve"> Republic of the Philippines MUNICIPALITY OF SANTA CRUZ Province of Marinduque BARANGAY MAHARLIKA Office of the Bids and Awards INVITATION TO BID FOR  Purchase &amp; Installation of Solar Panel (ITB No.: 2020-003) 1.	The Barangay Maharlika, Sta. Cruz, Marinduq</t>
  </si>
  <si>
    <t xml:space="preserve"> Republic of the Philippines MUNICIPALITY OF SANTA CRUZ Province of Marinduque BARANGAY MAHARLIKA Office of the Bids and Awards INVITATION TO BID FOR  Purchase of Air-condition with Inverter (ITB No.: 2020-002) 1.	The Barangay Maharlika, Sta. Cruz, Marindu</t>
  </si>
  <si>
    <t xml:space="preserve"> Procurement of Materials for the Construction of Drainage Barangay Matatag Phase-1				 ABC: 700,000.00				 				 18	cu.m	Gravel 2' dia.		 27	pcs	Culvert 36" dia.		 64	cu.m.	Earthfill		 78	pcs	12mm dia. X 6.0 def bar		 244	bags	Portland Cement		 26	cu.m.	Ri</t>
  </si>
  <si>
    <t xml:space="preserve"> SUPPLY AND DELIVERY OF OFFICE EQUIPMENT AND SUPPLIES FOR VARIOUS DEPARTMENTS/OFFICES OF THE CITY GOVERNMENT OF MAKATI - Order of payment for Bid Docs will be available at GSD-Head Office @ 10th Floor Makati City Hall Bldg. 2.  Look for Mr. Reden Villanuev</t>
  </si>
  <si>
    <t xml:space="preserve"> July 1, 2020 REQUEST FOR QUOTATION (RFQ) BIOLOGICAL SAFETY CABINET CLASS II 1.	The Batangas Medical Center hereinafter referred to as the “Purchaser” now request for submission of price proposal for the procurement of the aforesaid item described in the T</t>
  </si>
  <si>
    <t xml:space="preserve"> Contract Location: FIRST DISTRICT OF ALBAY Brief Description: Construction of School Building Source of Funds	: GAA 2020 DPWH OUTSIDE INFRA The BAC is conducting the public bidding for this Contract in accordance with RA 9184 and its Implementing Rules an</t>
  </si>
  <si>
    <t xml:space="preserve"> OFFICE SUPPLIES PURCHASED</t>
  </si>
  <si>
    <t xml:space="preserve"> SPECIAL RICE, 50KGS/SACK</t>
  </si>
  <si>
    <t xml:space="preserve"> The DENR-PENRO Negros Occidental intends to procure Six (6) Units of Branded, Off-Road and not exceeding 200 cc  Motorcycle for official use of PENRO Negros Occidental Enforcement Team.</t>
  </si>
  <si>
    <t xml:space="preserve"> 1 20 BTL/S GLASS CLEANER - 500ML.-ORANGE SCENT 2 20 BAR/S DETERGENT - BAR 3 30 BTL/S FABRIC SOFTENER - 1000ML 4 35 PC/S BROOM - SOFT- THICK W/ WOODEN HANDLE 5 20 PC/S MOP - HANDLE,PLASTIC 6 15 PC/S MOP - HEAD,THREADED 7 13 GAL/S BLEACHING SOLUTION 8 10 CA</t>
  </si>
  <si>
    <t xml:space="preserve"> 1 UNIT DEHUMIDIFIER, BIG</t>
  </si>
  <si>
    <t xml:space="preserve"> VHF HANDHELD RADIO ICON IC-V80 w/ Battery Pack, Battery Charger, Rubber Duckie Antenna and Belt Clip SN- 60257111-1        60257114-2        60257115-9        60276216-0</t>
  </si>
  <si>
    <t xml:space="preserve"> Procurement of Materials for the Construction of Madrasa Sitio Lipag, Cabobo, Lamitan City				 ABC: 550,000.00				 				 300	bags	Cement		 30	cu.m.	Riversand		 6	cu.m.	Gravel 1"		 21	pcs.	12mm dia x 6.0 def. bar		 150	pcs.	10mm dia. X 6.0		 500	bd.ft.	Form</t>
  </si>
  <si>
    <t xml:space="preserve"> 1 7 REAM/S PAPER - BOOK LEGAL,216MMX330MM(8-1/2"X13"),MIN OF 70GSM 2 10 PACK/S PAPER - BOARD LONG (WHITE) 10'S 3 5 PC/S CORRECTION TAPE - W/ CASE 4 4 PC/S INK - EPSON - CYAN T6642 5 4 PC/S INK - EPSON - MAGENTA T6643 6 4 PC/S INK - EPSON - YELLOW T6644 7 </t>
  </si>
  <si>
    <t xml:space="preserve"> Cementing of the Floor Area near the Entrance/Exit and Repair of Gate of Maypajo High School</t>
  </si>
  <si>
    <t xml:space="preserve"> See attached RFQ</t>
  </si>
  <si>
    <t xml:space="preserve"> 1 4 BOX/S BALLPEN - RETRACTABLE (BLACK) 12'S 2 10 REAM/S PAPER - BOOK LEGAL,216MMX330MM(8-1/2"X13"),MIN OF 70GSM 3 10 REAM/S PAPER - BOOK SUBS.20 SHORT ( 8 1/2"X11" ) 4 6 PC/S RECORD BOOK - 500 PAGES,215MM X 275MM,55GSM,SMYTHE SEWN,W/ OFFICIAL RECORD BOOK</t>
  </si>
  <si>
    <t xml:space="preserve"> REQUEST FOR QUOTATION 	 Stock No. Unit  Item  Description     Qty. 1	Box	Rapid Diagnostic Test (RDT Kits)	300 2	Box	Red Top Test Tube (Plain Red Top)	2 3	Box	Pippetor (to be used for RDT)	1 x-x-x-nothing follows-x-x-x</t>
  </si>
  <si>
    <t xml:space="preserve"> DIESEL</t>
  </si>
  <si>
    <t xml:space="preserve"> OUTSOURCING OF IMAGING SERVICES FOR VULNERABLE GROUPS THROUGH AN ORDERING AGREEMENT - Order of payment for Bid Docs will be available at GSD-Head Office @ 10th Floor Makati City Hall Bldg. 2.  Look for Mr. Reden Villanueva. - A  complete set of Bidding Do</t>
  </si>
  <si>
    <t xml:space="preserve"> Purchase of Medicines and Medical supplies to be used by Women about to give birth in Ajuy Birthing Center</t>
  </si>
  <si>
    <t xml:space="preserve"> 1 5 REAM/S PAPER - BOOK LEGAL,216MMX330MM(8-1/2"X13"),MIN OF 70GSM 2 3 REAM/S PAPER - MIMEO, GW, (NEWSPRINT) LEGAL, 216MMx330MM (8-1/2"x13"), 60GSM 3 1 ROLL LAMINATING FILM - 3" WIDE, 250MIC. 4 1 PC/S MAGAZINE ORGANIZER 5 6 PAD/S STICK NOTE PAD - (2" X 2"</t>
  </si>
  <si>
    <t xml:space="preserve"> PB NO. 2020-046		 			 1.	1	lot	Proposed additional Riprapping of Sampalok Lake Coast and Improvement of Sampalok Lake Coastal Habitat at San Pablo City. 			By: Contract 			 	Deadline for Submission of Bids: July 23, 2020 10:00 am</t>
  </si>
  <si>
    <t xml:space="preserve"> 2 UNIT DESKTOP COMPUTER - . - PC22 1TB-8GB, Intel Core i5-9400 Coffee Lake 6-Core 2.90 GHz LGA 1151 (300 series) 65W. CPU Package Computer Set with Keyboard, Mouse &amp; Mousepad (1 set)</t>
  </si>
  <si>
    <t xml:space="preserve"> 1 UNIT DESKTOP COMPUTER - . - PC22 1TB-8GB, Intel Core i5-9400 Coffee Lake 6-Core 2.90 GHz LGA 1151 (300 series) 65W. CPU Package Computer Set with Keyboard, Mouse &amp; Mousepad (1 set)</t>
  </si>
  <si>
    <t xml:space="preserve"> Paraphernalia for Brgy Police Force, Traffic Officers, BSF Volunteers</t>
  </si>
  <si>
    <t xml:space="preserve"> PROJECT BILLBOARD - 1.00 lot SITE WORKS - 1.00 s.m.  INTAKE BOX/COLLECTION BOX - 1.00 unit RESERVOIR - 10.94 cu.m. PIPELINE WORKS - 620.00 l.m. COMMUNAL TAPSTAND (SINGLE FAUCET) - 3.00 units CSPMC Cabinet - 1.00 unit</t>
  </si>
  <si>
    <t xml:space="preserve"> 1 10 REAM/S PAPER - BOND,PG,SHORT 8 1/2X11" 2 8 REAM/S PAPER - BOOK LEGAL,216MMX330MM(8-1/2"X13"),MIN OF 70GSM 3 3 BOX BALLPEN - BLACK ORDINARY 50'S 4 5 ROLL/S DOUBLE SIDED TAPE - #2 5 4 ROLL/S TAPE - TRANSPARENT, 48MM (2") WIDTH, USABLE LENGHT OF 50M 6 4</t>
  </si>
  <si>
    <t xml:space="preserve"> Purchase of various spareparts and repair of Municipal Pick-up Toyota Hi-Lux (Old)</t>
  </si>
  <si>
    <t xml:space="preserve"> July 1, 2020 REQUEST FOR QUOTATION (RFQ) PCR RACK FOR 96 TUBES AND MICROTUBE RACK 1.	The Batangas Medical Center hereinafter referred to as the “Purchaser” now request for submission of price proposal for the procurement of the aforesaid item described in</t>
  </si>
  <si>
    <t xml:space="preserve"> Republic of the Philippines Province of Agusan del Norte Municipality of Magallanes BIDS AND AWARDS COMMITTEE INVITATION TO BID The Municipality of Magallanes through its Bids and Awards Committee (BAC), invites potential and interested bidders to apply f</t>
  </si>
  <si>
    <t xml:space="preserve"> 1. 12 BAGS CEMENT  2. 4 PCS 10MM DSB 3. 1 PC 1/4"  THK. MARINE PLYWOOD 4. 1 PAIR 3" X 3" LOOSE PIN HINGES 5. 8 PAIRS 12 BLADES ALUMINUM JALOUSIE FRAME 6. 96 PCS 1/4" X 4" X 23" 4/8 SMOKE GLASS JALOUSIE 7. 1 SET DOOR KNOB 8. 5 PCS 1/4" THK. FIBER CEMENT 9.</t>
  </si>
  <si>
    <t xml:space="preserve"> The DENR-PENRO Negros Occidental intends to procure Three (3) Units of Unmanned Aerial Vehicle (Drone) for Official Use of National Greening Program (NGP) personnel in surveillance and video documentation purposes. Specifications: 1. Aircraft Weight (Batt</t>
  </si>
  <si>
    <t xml:space="preserve"> The Local  Government   Unit  of General  Santos  City, through  the  GENERAL FUND CY 2020  intends  to apply  the sum of two hundred twenty nine thousand fifty two and xx / 100 Pesos Only (229,052.00)   being  the Approved  Budget  for the Contract   (AB</t>
  </si>
  <si>
    <t xml:space="preserve"> Purchase of supplies and materials for 2nd qtr</t>
  </si>
  <si>
    <t xml:space="preserve"> 1 5 REAM/S PAPER - BOND,PG,LEGAL,216MMX330MM(8-1/2"X13") 70 GSM 2 5 REAM/S PAPER - MULTI-PURPOSE (ASSORTED COLOR) -A4 3 7 PCS DOCUMENT KEEPER - W/ COVER,LONG AND THICK-BLUE 4 20 PC/S CORRECTION TAPE - W/ CASE 5 10 ROLL/S TAPE - TRANSPARENT, 12MM (0.5") WI</t>
  </si>
  <si>
    <t xml:space="preserve"> Purchase of Fire extinguishers and refill</t>
  </si>
  <si>
    <t xml:space="preserve"> 1 1 GAL/S ACID - MURIATIC 2 10 BTL/S DISINFECTANT SPRAY - LIQUID- 250ML 3 6 BAR/S DETERGENT - BAR 4 6 PC/S GLOVES - WORKING #7,LEATHERETTE</t>
  </si>
  <si>
    <t xml:space="preserve"> 1. 1 LOT - ID SUPPLIES - 472,200.00 he Complete Schedule of Activities are Listed as Fallows: 1. Submission of Letter of Intent &amp; Issuance of Bid Documents - July 8-19, 2020 @ 8:00am - 5:00pm 2. Opening of Bids - July 22, 2020 @ 09:00am @ Mun. Conference </t>
  </si>
  <si>
    <t xml:space="preserve"> 2000 pcs Sanitary Gloves 1500 pcs Dust Mask 120 pcs Boots - good quality 120 pcs Rain Coat -  good quality</t>
  </si>
  <si>
    <t xml:space="preserve"> Purchase of supplies &amp; materials for burial assistance</t>
  </si>
  <si>
    <t xml:space="preserve"> Rehabilitation/Improvement of HE and TLE Room in Maypajo High School</t>
  </si>
  <si>
    <t xml:space="preserve"> Purhase of office supplies and materials for 2nd QTR</t>
  </si>
  <si>
    <t xml:space="preserve"> 1 2 UNIT PRINTER - . - Colored Single-Function Printer with Cartridge CISS and Elite Premium Dye Inks 2 1 UNIT PRINTER - . - A3+ Single Function Colored Printer with built-in Ink Tank System</t>
  </si>
  <si>
    <t xml:space="preserve"> Procurement of Materials for the Construction of Madrasa Sitio Magsagad, Barangay Baas, Lamitan City				 ABC: 550,000.00				 				 300	bags	Cement		 30	cu.m.	Riversand		 6	cu.m.	Gravel 1"		 21	pcs.	12mm dia x 6.0 def. bar		 150	pcs.	10mm dia. X 6.0		 500	b</t>
  </si>
  <si>
    <t xml:space="preserve"> School and Office Supplies 2020</t>
  </si>
  <si>
    <t xml:space="preserve"> 1 UNIT PRINTER - . - Print Resolution 5760 x 1440 DPI - Color Print Inkjet Printer - Print Speed: Black 33 PPM-Color 15 PPM - Paper size: 10 x 15 cm -13x18cm - 9x13cm letter (80 1/2 x 11inc)</t>
  </si>
  <si>
    <t xml:space="preserve"> 1420 pcs ABC my practice book (writing) 2500 pcs ECCD Checklist 120 pcs Big Story Book (Colored and Big Pictures) 12 sets Bible Story Book (My Bible Friend)</t>
  </si>
  <si>
    <t xml:space="preserve"> Republic of the Philippines Province of Camarines Sur Municipality of Del Gallego Barangay Government of Mabini INVITATION TO BID The Barangay Government of Mabini, Del Gallego, Camarines Sur, through 20% BEDF 2020 intends to apply the sum of Two Hundred </t>
  </si>
  <si>
    <t xml:space="preserve"> NOTICE FOR NEGOTIATED PROCUREMENT (Small Value Procurement – Sec 53.9 of the Revised IRR of 9184) Reference No. 20-06-146 Procuring Entity: MUNICIPALITY OF LILIW, LAGUNA Title: Supply and Delivery of Vaccines for Anti-Rabies Vaccination Area of Delivery: </t>
  </si>
  <si>
    <t xml:space="preserve"> Invitation to Bid for Construction of Kayapa Fire Station 1.	The Bureau of Fire Protection Regional Office 2, through the Special Account General Fund (SAGF2020) intends to apply the sum of Seven Million Three Hundred Twenty Thousand Nine Hundred Sixty Ei</t>
  </si>
  <si>
    <t xml:space="preserve"> VARIOUS FOOD STUFF</t>
  </si>
  <si>
    <t xml:space="preserve"> Title: Procurement of 90 Kilogram Rice, etc. under P.R.No. 1531-2020-City Social Welfare Development Office. Total ABC: Php 722,598.00 (INSTRUCTION AS TO THE REQUIRED FORM: For your price quotation, please use the attached Request for Quotation (RFQ) Form</t>
  </si>
  <si>
    <t xml:space="preserve"> PROVINCE OF PANGASINAN BIDS AND AWARD COMMITTEE (BAC) Brgy. San Vicente , San Jacinto, Pangasinan Mobile No. 09384559325 INVITATION TO BID The Barangay  San Vicente, San Jacinto, Pangasinan, though its Bids and Award Committee (BAC), invites suppliers/con</t>
  </si>
  <si>
    <t xml:space="preserve"> Invitation to Bid for Construction of Alfonso Castañeda Fire Station 1.	The Bureau of Fire Protection Regional Office 2, through the Special Account General Fund (SAGF2020) intends to apply the sum of Seven Million Three Hundred Twenty Thousand Nine Hundr</t>
  </si>
  <si>
    <t xml:space="preserve"> July 1, 2020 REQUEST FOR QUOTATION (RFQ) AIR COOLER 1.	The Batangas Medical Center hereinafter referred to as the “Purchaser” now request for submission of price proposal for the procurement of the aforesaid item described in the Technical Specifications.</t>
  </si>
  <si>
    <t xml:space="preserve"> 1 UNIT PRINTER - . - printer, scanner and xerox with CISS - photocopy size: Upto short and A4 only - Print size: upto Legal or long</t>
  </si>
  <si>
    <t xml:space="preserve"> Production of Modules</t>
  </si>
  <si>
    <t xml:space="preserve"> INVITATION TO BID FOR THE PROCUREMENT OF MATERIALS FOR THE IMPROVEMENT OF MULTI-PURPOSE HALL OF BARANGAY DAPDAP, TIGBAUAN, ILOILO</t>
  </si>
  <si>
    <t xml:space="preserve"> Item No.	Scope of Work	 		 403	REINFORCING STEEL	 900	REINFORCE CONCRETE	 414	FORMS &amp; FALSEWORKS	 704	MASONRY WORKS	 103(1)a	Structure Excavation	 1027	PLASTERING WORKS	 1010	WINDOW	 500(1)	ROOFING WORKS	 ITEM B.5:	PROJECT BILLBOARD</t>
  </si>
  <si>
    <t xml:space="preserve"> 1. 42.67 BD.FT 4'X4"X8' COCO LUMBER 2. 32 BD.FT 4"X4"X6' COCO LUMBER 3. 180 BD.FT 2"X5"X8'COCO LUMBER 4. 32 BD.FT 2'X4"X12' COCO LUMBER 5. 90 BD.FT 2"X3"X10' COCO LUMBER 6. 310.33 BD.FT 2"X2"X8' COCO LUMBER 7. 6 BD.FT 2"X4"X8' COCO LUMBER 8. 19 PCS 4"X8" </t>
  </si>
  <si>
    <t xml:space="preserve"> 1,500 gallons  ALCOHOL, Isopropyl, 70%  (3.785 liters per gallon)</t>
  </si>
  <si>
    <t xml:space="preserve"> 1 UNIT PRINTER - . - Color Print,Inkjet Printer - Print Resolution 5760 x1440 DPI - Print Speed: Black 33 PPM-Color 15 PPM - Paper Size: 10 x15cm-13 x18cm - 9x13cm A4 Letter ( 80 1/2x11 in )</t>
  </si>
  <si>
    <t xml:space="preserve"> 1 UNIT PRINTER - . - wifi all in-one Ink Tank Printer w/ ADF - Compact Intehrated Tank design - High yield ink bottles - Spill free, error-free refilling - Print, Scan, Copy Fax w/ ADF</t>
  </si>
  <si>
    <t xml:space="preserve"> Item I- EARTH WORKS II- REINFORCING STEEL BARS III- STRUCTURAL CONCRETE IV- PLUMBING WORKS</t>
  </si>
  <si>
    <t xml:space="preserve"> LEGISLATIVE OFFICE - 15,945.00					 1	2.00	pc	Brother Ink DCP T300 black					 2	2.00	pc	Brother Ink DCP T300 cyan					 3	2.00	pc	Brother Ink DCP T300 yellow					 4	2.00	pc	Brother Ink DCP T300 magenta					 5	5.00	pc	CD Rewriteable 700MB with case					 6	5</t>
  </si>
  <si>
    <t xml:space="preserve"> The DENR intends to Procure Three (3) Units Monitor for Drone Remote Controller for Official use of PENRO Negros Occidental with the following Specifications: Camera	12 MP Performance	Apple A10 Fusion Display	7.9" (20.07 cm) Operating System	iOS v11.2 or </t>
  </si>
  <si>
    <t xml:space="preserve"> Rehabilitation of Street Lights of Barangay Tiris, Gubat, Sorsogon.</t>
  </si>
  <si>
    <t xml:space="preserve"> OFFICE SUPPLIES LEGISLATIVE OFFICE - 30,281.00							 1	8.00	pack	Battery Dry cell  size AA 2s							 2	5.00	pack	Battery Dry cell  size AAA 4s							 3	15.00	rm	Hard Copy Subs. 20, long							 4	5.00	rm	Hard Copy Subs. 20, medium							 5	15.00	rm	Bookpa</t>
  </si>
  <si>
    <t xml:space="preserve"> 2 pcs. Hand held-M3 OX10 (NWSCBP)-Mobile Device with-3.8G Network, Wifi(IEEE802.11a/b/g/n),Scanner(ID), Camera (3.2MP), BT Class II v2.0+EDR &amp; AGPS,3.5" QVGA TFT LCD Colour Touch Screen, Microsoft® Windows Embedded CE 6.0, Coretex-A8 833Mhz,256MB/1GB,M3 U</t>
  </si>
  <si>
    <t xml:space="preserve"> *Please see attached Purchase Request for the complete specifications Prospective bidders should have completed a similar contract with a value of at least 50% of the ABC. The BAC will use non-discretionary pass/fail criteria in the eligibility check/scre</t>
  </si>
  <si>
    <t xml:space="preserve"> 5	pcs	11mm thk. Marine plywood 37	pcs	2"x3"x12' 545 Good lumber (kiln dry) 3	kgs	Assprted C.W. Nails 1	kg	Concrete Nails 10	pcs	18mm thk mrine plywood 2	pcs	5mm thk marine plywood 35	pcs	2"x2"x12' 545 Good lumber (kiln dry) 3	gals	Wood preservatives (clea</t>
  </si>
  <si>
    <t xml:space="preserve"> The Local  Government   Unit  of General  Santos  City, through  the  GENERAL FUND CY 2020  intends  to apply  the sum of one hundred thirty six thousand and xx / 100 Pesos Only (136,000.00)   being  the Approved  Budget  for the Contract   (ABC) to payme</t>
  </si>
  <si>
    <t xml:space="preserve"> office supplies</t>
  </si>
  <si>
    <t xml:space="preserve"> 1 100 PC/S TISSUE PAPER 2 4 CAN/S DISHWASHING LIQUID - 200ML W/ ANTI-BACTERIAL FORMULA 3 3 BTL/S GLASS CLEANER - 500ML.-ORANGE SCENT</t>
  </si>
  <si>
    <t xml:space="preserve"> Supply and Delivery of 240 cubic meter earth fill (Madrigal) for use in the establishment of the ATIng UMA Mini Garden and Vineyard Tunnel at ATI RTC V San Agustin, Pili, Cam. Sur</t>
  </si>
  <si>
    <t xml:space="preserve"> Republic of the Philippines Province of Pangasinan MUNICIPALITY OF LINGAYEN Invitation to Bid    1. The Local Government Unit of Lingayen, through the Trust Fund – Performance Challenge Fund CY 2019  intends to apply the sum of  Two Million Three Hundred </t>
  </si>
  <si>
    <t xml:space="preserve"> July 1, 2020 REQUEST FOR QUOTATION (RFQ) TUBERCULIN, PURIFIED PROTEIN DERIVATIVE AND IPRATROPIUM + SALBUTAMOL MDI 1.	The Batangas Medical Center hereinafter referred to as the “Purchaser” now request for submission of price proposal for the procurement of</t>
  </si>
  <si>
    <t xml:space="preserve"> The Local  Government   Unit  of General  Santos  City, through  the  TRUST FUND CY 2020  intends  to apply  the sum of three hundred fifty two thousand four hundred and xx / 100 Pesos Only (352,400.00)   being  the Approved  Budget  for the Contract   (A</t>
  </si>
  <si>
    <t xml:space="preserve"> Invitation to Bid Barangay 894, Zone 99, District VI through its Bids and Awards Committee (BAC), invites all suppliers duly accredited and approved by the City Council of Manila to bid for the hereunder projects: 1	set	Solar Panel 1	set	Computer 1	unit	M</t>
  </si>
  <si>
    <t xml:space="preserve"> 2	sets	2.10m (h) 1.00m (w) Anodized aluminum framed door w/ ¼"thk. Clear glass 1	set	2.15m (h) x 1.54m (w) Anodized aluminum framed partition w/ ¼"thk. Clear glass 2	sets	2.15m (h) x 1.33m (w) Anodized aluminum framed partition w/ ¼"thk. Clear glass 1	set</t>
  </si>
  <si>
    <t xml:space="preserve"> 1 50 REAM/S PAPER - BOND,PG,LEGAL,216MMX330MM(8-1/2"X13") 70 GSM 2 50 REAM/S PAPER - BOND,PG,A4,210MMX297MM,70GSM. 3 50 REAM/S PAPER - BOND,PG,SHORT 8 1/2X11" 4 1 BOX BALLPEN - BLACK ORDINARY 50'S 5 3 PC/S MOUSE - PAD 6 6 PC/S CORRECTION FLUID - 15ML 7 2 </t>
  </si>
  <si>
    <t xml:space="preserve"> Republic of the Philippines Province of Camarines Sur Municipality of Del Gallego Barangay Government of Mabini INVITATION TO BID The Barangay Government of MabiniDel Gallego, Camarines Sur, through 20% BEDF 2020 intends to apply the sum of Twenty Seven T</t>
  </si>
  <si>
    <t xml:space="preserve"> Dual Drum Composter Length 120 cm. width 100 cm, height 160 cm, power 1 HP, Capacity 100 kg/batch Multi-purpose shredder (For biodegradable &amp; Glass) * Length 61 cm, width 72 cm, height 122 cm, power 5 HP (electric) with extra blade and screen Plastic Shre</t>
  </si>
  <si>
    <t xml:space="preserve"> The Local  Government   Unit  of General  Santos  City, through  the  GENERAL FUND CY 0202  intends  to apply  the sum of one hundred eleven thousand one hundred fifty and xx / 100 Pesos Only (111,150.00)   being  the Approved  Budget  for the Contract   </t>
  </si>
  <si>
    <t xml:space="preserve"> 1 SET/S DESKTOP COMPUTER - WITH COMPLETE ACCESSORIES - Intel core i3,3.0GHz minimum processor speed - H110 Motherboard w/ VGA Port - 4GB-8GB DDR - 22" LED Monitor - DVD ROM - Tower case w/ power supply - USB Optical mouse - USB keyboard</t>
  </si>
  <si>
    <t xml:space="preserve"> Republic of the Philippines Province of Cagayan Municipality of Sanchez Mira BIDS AND AWARDS COMMITTEE INVITATION TO BID CONSTRUCTION OF TWO BARREL BOX CULVERT/WITH 2 SPAN PAVEMENT AT BARANGAY MARZAN, SANCHEZ MIRA, CAGAYAN ITB-2020-11-INFRA 1.	The LGU-San</t>
  </si>
  <si>
    <t xml:space="preserve"> Bidding will be conducted through open competitive bidding procedures as specified in the Implementing Rules and Regulation (IRR) of Republic Act No. 9184 (R.A. 9184), otherwise known as the Government Procurement Reform Act.</t>
  </si>
  <si>
    <t xml:space="preserve"> For the procurement of Training Expenses of MG Personnel</t>
  </si>
  <si>
    <t xml:space="preserve"> REQUEST FOR QUOTATION Please quote your price on the job/item listed below, subject to the Specification and Terms and Conditions provided herein, stating the shortest time of delivery and submit your quotation in the bid box located at the Procurement Se</t>
  </si>
  <si>
    <t xml:space="preserve"> The DENR-PENRO Negros Occidental intend to procure Eight (8) Units Geotagging Equipment/ Global Positioning System (GPS) for official use of PENRO Negros Occidental Personnel with the following specifications: Rugged GPS/GLONASS with 8 Megapixel Camera an</t>
  </si>
  <si>
    <t xml:space="preserve"> The Public Information Office of the Supreme Court, through the Procurement Section, invites interested suppliers to quote for the price/s of the item/s listed in the attached document (PLEASE DOWNLOAD) Please also provide "Eligibility Documents, Annex A"</t>
  </si>
  <si>
    <t xml:space="preserve"> Republic of the Philippines Province of Rizal  MUNICIPALITY OF BARAS TIN- 000-648-388 BIDS AND AWARDS COMMITTEE INVITATION TO BID 	The Municipality of Baras  Bids and Awards Committee (BAC), is inviting qualified bidders to apply for eligibility and to bi</t>
  </si>
  <si>
    <t xml:space="preserve"> 1. 2.5 CU.M GRAVEL 2. 1 CU.M SAND</t>
  </si>
  <si>
    <t xml:space="preserve"> SEE ATTACHED PR</t>
  </si>
  <si>
    <t xml:space="preserve"> 7500 liters diesoline, 500 liters gasoline</t>
  </si>
  <si>
    <t xml:space="preserve"> 49 reams Bond Paper sub. 20 long 49 Reams Bond Paper sub. 20 short 1 unit Electrical Adding machine 12 digit (casio) 6 pcs. computer ink (black 003 EPSON Black, Cyan, Yellow, Magenta) 6 pcs. Computer Ink ( L 3110 Black,Cyan,Yellow, Magenta) 6 pcs. Compute</t>
  </si>
  <si>
    <t xml:space="preserve"> 1 50 PC/S CORRECTION TAPE - W/ CASE 2 2 PC/S USB FLASH DRIVE - 16 GB 3 5 BTL/S GLUE - 130G 4 1 PC/S GLUE GUN - BIG (HEAVY DUTY) 5 5 PC/S MOUSE - USB 6 3 UNIT/S MULTI- TRAY - 3 LAYERS- METAL 7 30 PC/S PENCIL WOODEN 8 20 PACKS PAPER - PHOTO A4 SIZE 200GMS 2</t>
  </si>
  <si>
    <t xml:space="preserve"> construction materials and supplies</t>
  </si>
  <si>
    <t xml:space="preserve"> 1	unit	Ambulance 		 Engine Model: 2.8L, 1GD-FTV 		 Type: CRDI 		 Engine Displacement: 2.755 cc 		 Maximum Output: 176hp @3,400 rpm 		 Maximum Toque: 420Nm @ 1,400 - 2,600 rpm 		 Emission Standard: Euro-4 		 Fuel Tank Capacity: 70 liters 		 Transmission: 6</t>
  </si>
  <si>
    <t xml:space="preserve"> For the repair and maintenance-Watercrafts of PNP MG</t>
  </si>
  <si>
    <t xml:space="preserve"> REQUEST FOR EXPRESSION OF INTEREST (REI) FOR CONDUCT OF SOIL TESTING/EXPLORATION FOR MULTI-STOREY SCHOOL BUILDINGS AND PRELIMINARY DETAILED ENGINEERING (PDE) CY 2020 BASIC EDUCATIONAL FACILITIES FUND (NEW CONSTRUCTION OF CLASSROOMS) DPWH, BINITINAN ES, BA</t>
  </si>
  <si>
    <t xml:space="preserve"> 520 boxes Vitamin C-Sodium Ascorbate, 500mg.                 - 100tablet/capsule per box</t>
  </si>
  <si>
    <t xml:space="preserve"> Please see attached Request for Quotation for More Details. For concern/query you may contact us through: BAC.SDOBenguet@gmail.com from Mondays to Fridays (8:00AM to 5:00PM)</t>
  </si>
  <si>
    <t xml:space="preserve"> For the supply and delivery of the following: 15	pc	Shelving/Racking System			 45	pc	Mobile Pedestal			 45	pc	Office Chair, High Back			 45	pc	Table, freestanding</t>
  </si>
  <si>
    <t xml:space="preserve"> 1 4 REAM/S PAPER - BOND,PG,LEGAL,216MMX330MM(8-1/2"X13") 70 GSM 2 3 REAM/S PAPER - BOOK A4,210MMX297MM,MIN OF 70GSM 3 1 ROLL/S TAPE - MASKING #1 4 2 PC/S CUTTER - W/ PLASTIC &amp; METAL CASE,BIG 5 1 REAM/S FOLDER - LONG BROWN 6 1 BOT/S INK - CANON-GI-790-BLAC</t>
  </si>
  <si>
    <t xml:space="preserve"> 1 2 PC/S STAMPING PAD - LARGE 2 2 PC/S RUBBER STAMP - MACHINE CUT - PMT Validated 3 2 BOX/S PVC COVER - LONG-8 1/2"X13" - Transparent 4 2 BOX PVC COVER - A4 SIZE 5 1 CART. TONER - LBP 2900 6 6 REAM/S PAPER - BOOK LEGAL,216MMX330MM(8-1/2"X13"),MIN OF 70GSM</t>
  </si>
  <si>
    <t xml:space="preserve"> REQUEST FOR QUOTATION The Municipality of Allacapan, through its Bids and Awards Committee (BAC), invites suppliers/distributors/contractors to SUBMIT QUOTATION for the hereunder project: Name of Contract : Purchase of 1 set desktop computer,1 unit netboo</t>
  </si>
  <si>
    <t xml:space="preserve"> Const. Supplies &amp; Materials for the Continuation of Rehab of Brgy. Road to Rangkayan Item No.	Quantity	Unit	Description			 1	220	bags	Portland Cement 40kg			 2	21	cu.m.	Sand			 3	25	cu.m.	Gravel			 4	96	bd.ft.	16pcs. 1 x 6 x 12 Coco Lumber			 5	4	kgs	CWN,</t>
  </si>
  <si>
    <t xml:space="preserve"> Labor and Materials: Water System Location: Brgy. Samay, Ragay, Camarines Sur      *Excavation works      * Masonry      * Plumbing/ Pipe laying      * Hauling -nothing follows-</t>
  </si>
  <si>
    <t xml:space="preserve"> 1. 106.67 BD.FT 2"X2"X8' COCO LUMBER 2. 160 BD.FT 2"X3"X8' COCO LUMBER</t>
  </si>
  <si>
    <t xml:space="preserve"> 1     Rubberized Reflectorized Traffic Paint White (16 ltrs/pail)     83     pail x-x-x</t>
  </si>
  <si>
    <t xml:space="preserve"> The Local  Government   Unit  of General  Santos  City, through  the  GENERAL FUND CY 2020  intends  to apply  the sum of seven hundred thirty thousand four hundred forty one and xx / 100 Pesos Only (730,441.00)   being  the Approved  Budget  for the Cont</t>
  </si>
  <si>
    <t xml:space="preserve"> 1 20 GAL/S PAINT - Primer 2 5 GAL/S PAINT REDUCER - . 3 10 GAL/S CAST - . 4 7 GAL/S LACQUER THINNER - . 5 15 CAN/S PAINT - LATEX COLOR (THALU GREEN) 6 15 CAN/S PAINT - LATEX COLOR (THALU BLUE) 7 15 CAN/S PAINT - LATEX COLOR (HANSA YELLOW) 8 10 PC/S PAINT </t>
  </si>
  <si>
    <t xml:space="preserve"> 1 UNIT WELDING MACHINE - PORTABLE - 300A COPPER</t>
  </si>
  <si>
    <t xml:space="preserve"> Labor and Materiald for the Repair of Rescue Vehicle (ISUZU IVAN) Scope of works: BODY REPAIR  - alignmenr from light post  - alignment, repair front windshield frame  - repair damage right fender  - replacement all uppholstery cover  - replacement of str</t>
  </si>
  <si>
    <t xml:space="preserve"> The Local  Government   Unit  of General  Santos  City, through  the  GENERAL FUND CY 2020  intends  to apply  the sum of ninety five thousand four hundred fifty eight and xx / 100 Pesos Only (95,458.00)   being  the Approved  Budget  for the Contract   (</t>
  </si>
  <si>
    <t xml:space="preserve"> The National Irrigation Administration-Regional Office 12, Villarica, Midsayap, Cotabato, through the Fund 501 has the Approved Budget for the Contract (ABC) amounting to SIXTY FIVE THOUSAND THIRTY EIGHT PESOS &amp; 36/100 (P 65,038.36). Quotation received in</t>
  </si>
  <si>
    <t xml:space="preserve"> 15 pcs Water Tank 1500L (P.E.)</t>
  </si>
  <si>
    <t xml:space="preserve"> 1 625 HILL/S LAWAAN SEEDLINGS - . - Length: 1 ft. 2 625 HILL/S NARRA SEEDLINGS - . - Length: 1 ft. 3 625 HILL/S BAGRAS SEEDLINGS - . - Length: 1 ft. 4 625 HILL/S MANSANITAS SEEDLINGS - . - Length: 1 ft. 5 333 HILL/S PINE TREE - . - 233 Hills Banguet Pine </t>
  </si>
  <si>
    <t xml:space="preserve"> Please submit your quotation for the following items on or before 5:00PM on Jul 13, 2020. ITEM D E S C R I P T I O N QTY. UNIT 1 Air Conditioner, Split Type (1 HP, includes unit installation(INVERTER) 2 unit Awarding is in LUMP-SUM basis, however, the sup</t>
  </si>
  <si>
    <t xml:space="preserve"> PUCHASE OF MATERIALS AND SUPPLIES FOR THE CONSTRUCTION OF SITIO LUMAMBAO PATHWAY - PHASE V1</t>
  </si>
  <si>
    <t xml:space="preserve"> 1. 10.3 CU.M SAND 2. 8.5 CU.M GRAVEL 3. 629 PCS 4" CONCRETE HOLLOW BLOCKS</t>
  </si>
  <si>
    <t xml:space="preserve"> Department of Public Works and Highways Contract ID: 	20NA0063 (Re-ad) Title: 	Repair/Maintenance of Cabadbaran Revetment, Brgy. 3 Poblacion (Downstream L/S), Cabadbaran City, Agusan del Norte  (Sta. 0+000 - Sta. 0+041; Sta. 0+102 - Sta. 0+122) Location:	</t>
  </si>
  <si>
    <t xml:space="preserve"> The LOCAL GOVERNMENT UNIT OF DAO (LGU-Dao), through its Bids and Awards Committee (BAC), invites contractors to apply for eligibility and bid for the project hereunder described: Name of Project		: Purchase of One (1) Unit Backhoe Excavator with Hydraulic</t>
  </si>
  <si>
    <t xml:space="preserve"> 1	LAPTOP  AMD dual-core, processor A4-9120E, with 15.6-inch intel Acer HD Graphics LCD, equipped with 64-bit windows 10 operating system. It runs at 2 GHz with 8gb of RAM and 1600 MHz of RAM speed, with 1000 gb HDD  		12 units  	USB – 16GB 		 	AMD Radeon </t>
  </si>
  <si>
    <t xml:space="preserve"> 10	kls	   Sitao 10	kls	   Okra smooth green 30	grams  Sili 40	grams  Talong 10	kls	   Kangkong 10	kls	   Kamatis 20	grams  Upo 20	grams  Squash 10	grams  Patola</t>
  </si>
  <si>
    <t xml:space="preserve"> OPENING OF BIDS IN DSWD FO IX ZAMBOANGA CITY				 DELIVERY IN DSWD-PCDP MAMPANG ZAMBOANGA CITY				 PROCUREMENT FOR THE FF.:				 				 				 1 LOT AWARD FOR MEDICAL SUPPLIES				 				 50 box DISPOSABLE MASK, 3 PLY LAYER				 50 pc N-95 FACE MASK				 5 box HAIR </t>
  </si>
  <si>
    <t xml:space="preserve"> 1 350 PC/S CERAMIC FLOOR TILES - white-30cmx30cm 2 4 PC/S DIAMOND CUTTER DISC - #4 3 6 KG/S TILE GROUT - 2KG. 4 6 PC/S CUTTING DISK - 4" steel 1mm thk 5 2 PC/S SAW BLADE - 4"-115mmx23mmx22mm 6 8 PC/S FAUCET - plastic 7 6 MTR/S WIRE SCREEN - 1/8 THK/MESH 8</t>
  </si>
  <si>
    <t xml:space="preserve"> 1 10 PC/S MARKER PEN - PERMANENT, BROAD POINT, BLACK 2 5 PC/S MARKER PEN - PERMANENT, FINE POINT, BLACK 3 10 REAM/S PAPER - MULTI-PURPOSE (ASSORTED COLOR) -A4 4 7 ROLL/S TAPE - MASKING #2 5 10 PC/S BOOK - END ( LARGE STEEL) 6 50 PC/S PAPER - MANILA 7 5 BT</t>
  </si>
  <si>
    <t xml:space="preserve"> SURVEILLANCE EQUIPMENT</t>
  </si>
  <si>
    <t xml:space="preserve"> Supply and Delivery of Food Supplies for MSWD Office.</t>
  </si>
  <si>
    <t xml:space="preserve"> INVITATION TO BID SUPPLY &amp; DELIVERY OF AIRCONDITIONING UNIT Reference No.: GDS-20-069 The MUNICIPAL GOVERNMENT OF DARAGA, through the Municipal Annual Budget, intends to apply the sum of Two Hundred Fifty-Five Thousand Pesos (P255,000.00)  being the Appro</t>
  </si>
  <si>
    <t xml:space="preserve"> see attached Request for Quotation &amp; Specification</t>
  </si>
  <si>
    <t xml:space="preserve"> Supply and Delivery of Materials for the Native Chicken Production of SDSSU San Miguel Campus Please see attached Request for Quotation (RFQ) Lot A- P   91,577.76                 Lot F - P 18,000.00 Lot B- P 194,610.00                 Lot G -P  43,000.00 </t>
  </si>
  <si>
    <t xml:space="preserve"> Prospective Bidders should have experience in undertaking similar project within the last 5 years with an amount of at least   25% of the proposed project for bidding. Partial bidding is not allowed. The eligibility checks/screening   as well as the Preli</t>
  </si>
  <si>
    <t xml:space="preserve"> For the office supplies expenses of MG Personnel</t>
  </si>
  <si>
    <t xml:space="preserve"> materials for Purchase and Installation of CCTV Camera</t>
  </si>
  <si>
    <t xml:space="preserve"> 204 bags cement 13 cu.m. Gravel 15 cu. m. Sand 1435 pcs 4"thk CHB 62 pcs 12mm0 RSB 190 pcs 10mm0 RSB 28 kg #16 Tie wire 360  bdft Coco lumber 12 pcs O. Plywood 1/4" 8 kg Assorted CW Nail 2 pcs Hacksaw Blade 2 pcs Construction pail 14 pcs G.I. pipe 1 1/4" </t>
  </si>
  <si>
    <t xml:space="preserve"> 1 UNIT WATER DISPENSER - HOT &amp; COLD</t>
  </si>
  <si>
    <t xml:space="preserve"> Please submit your quotation for the following items on or before 5:00PM on Jul 07, 2020. ITEM D E S C R I P T I O N QTY. UNIT  1 Instrument, Clamp Meter, Digital Type 2 pc Technical Specification Requirements: AC/DC clamp meter/digital multimeter of the </t>
  </si>
  <si>
    <t xml:space="preserve"> 850	bags	Portland cement 50	cu.m. ¾" Crushed Gravel 75	cu.m. Sand 700	pcs.	10mm Ø x 6m DSB 175	pcs.	8mm Ø x 6m DSB 25	pc.	Hacksaw Blade 100	kgs.	#16 Tie Wire 225	pcs.	¼"  Marine plywood 700	pcs.	2" x 2" x 12', Coco-lumber 715	pcs.	2" x 3" x 12', Coco-lumb</t>
  </si>
  <si>
    <t xml:space="preserve"> Republic of the Philippines MUNICIPALITY OF BUENAVISTA INVITATION TO BID FOR SUPPLY AND DELIVERY OF OFFICE SUPPLIES FOR MUNICIPAL MAYOR, MSWD, DILG AND MUNICIPAL ASSESSOR’S OFFICE    1.	The Local Government Unit of Buenavista, Marinduque through the fund </t>
  </si>
  <si>
    <t xml:space="preserve"> see attached Request for Quotation</t>
  </si>
  <si>
    <t xml:space="preserve"> 1 1 BOX/S STRANDED WIRE - 2.0mm2 THHN - 150mtrs 2 10 PC/S PVC ELECTRICAL ORANGE PIPE - 1/2'' DIA. 3 10 PC/S ELECTRICAL TAPE - BIG 4 2 PC/S DRILL BIT - # 3/16" ( Masonry ) 5 4 PAIRS GLOVES - RUBBER-BIG ( ASSTD. SIZE ) 6 15 PC/S HACKSAW BLADE - HEAVY DUTY 7</t>
  </si>
  <si>
    <t xml:space="preserve"> qimprovt mp.bldg    7.50 3.00    22.5 m2</t>
  </si>
  <si>
    <t xml:space="preserve"> Grade 11 - 200,007  Grade 12 - 93,045 Total Pages: 293,052  Other Discirption: 1.Paper size A4 2. Paper Quality White 3. 70 gsm 4. Stapled at left side</t>
  </si>
  <si>
    <t xml:space="preserve"> Republic of the Philippines Province of La Union Municipality of Luna BARANGAY SALCEDO BIDS AND AWARDS COMMITTEE INVITATION TO BID for REHABILITATION OF MULTI-PURPOSE HALL AT SALCEDO, LUNA, LA UNION 1.	The Barangay Government of Salcedo, Luna, La Union th</t>
  </si>
  <si>
    <t xml:space="preserve"> ITEM NO	 DESCRIPTION						QTY	UNIT 								 	PR # MO-200-2020-05-112							 								 1	Bulb 23 Watts						40	pcs. 2	Potocel						40	pcs. 3	Receptacle						15	pcs. 4	Vulcaseal						2	pcs. 5	Electrical Tape						15	pcs. 6	PDX Wire # 14						1	pc. 7	Dome Ref</t>
  </si>
  <si>
    <t xml:space="preserve"> 1. 124 BAGS CEMENT 2. 11 PCS 16MM DSB 3. 107 PCS 10MM DSB 4. 5.5 KGS #16 TIE WIRE 5. 1 METER SAND SCREEN 6. 5 PCS 1/4" THK MARINE PLYWOOD 7. 3 KGS 4" CWN 8. 3 KGS 3" CWN 9. 2 KGS 1-1/2" CWN 10. 31 PCS 1/4"X1-1/2"X1-1/2" ANGLE BAR 11. 27 PCS 1/4"X1"X1" ANG</t>
  </si>
  <si>
    <t xml:space="preserve"> 500 pcs 12 watts led bulb Day Lights</t>
  </si>
  <si>
    <t xml:space="preserve"> PROCUREMENT OFFICE												 Email ad: tonychavezbac1@yahoo.com.ph												 TELEFAX: (055) 2093122												 												 									P. R. No.:	20-06-130		 									RFQ Date:	02-Jul-20		 									ABC:	 ₱164,950.00 		 												 REQUEST FOR PRICE QU</t>
  </si>
  <si>
    <t xml:space="preserve"> PROCUREMENT OFFICE												 Email ad: tonychavezbac1@yahoo.com.ph												 TELEFAX: (055) 2093122												 												 									P. R. No.:	20-06-132		 									RFQ Date:	02-Jul-20		 									ABC:	 ₱200,000.00 		 												 REQUEST FOR PRICE QU</t>
  </si>
  <si>
    <t xml:space="preserve"> PLEASE SEE ATTACHED RFQ.</t>
  </si>
  <si>
    <t xml:space="preserve"> Reference No. PR # 20-06-0794 PRICE QUOTATION FORM (BID FORM) Sealed Bids shall be dropped in the BIDDERS BOX on or before 2:00 P.M.  July 07, 2020    placed at the office of the Chairman of the College BAC. Thereafter, the Bidder's Box shall be sealed un</t>
  </si>
  <si>
    <t xml:space="preserve"> MEDICAL SUPPLIES FOR CVAC SA BARANGAY PROGRAM LGU Cabagan Cabagan, Isabela</t>
  </si>
  <si>
    <t xml:space="preserve"> 1	unit	4 layer steel cabinet (black)</t>
  </si>
  <si>
    <t xml:space="preserve"> P.R NO. 100-2020-05-0322 REPAIR OF TOYOTA HILUX SJC 535</t>
  </si>
  <si>
    <t xml:space="preserve"> Republic of the Philippines Province of Leyte Municipality of Inopacan Barangay De los Santos INVITATION TO BID FOR  THE SUPPLY OF MATERIALS FOR THE CONSTRUCTION OF MULTI-PURPOSE BLDG. PHASE 2 1.	The Barangay De los Santos, Inopacan, Leyte, under the 20% </t>
  </si>
  <si>
    <t xml:space="preserve"> Item	QTY.	UOM	PARTICULARS / DESCRIPTION AND SPECIFICATIONS		APPROVED	BRAND NAME	UNIT PRICE NO.					UNIT COST		 1	20	unit	Folding Plastic Table 2.5x6		6,000.00		 			(20-units-COB)				 							 2	20	unit	Training Tables 6ft, 1829 x W 762 X H 743 mm		3,500.00</t>
  </si>
  <si>
    <t xml:space="preserve"> ITEM NO	 DESCRIPTION						QTY	UNIT 								 	PR # MO-200-2020-05-114							 1	Desktop Computer w/ Complete set Of Accessories						1	Unit 	Printer L3110, Keyboards,UPS Watts 500-600,							 	Mouse and Mouse Pad							 	Speaker ALTEC and Computer table				</t>
  </si>
  <si>
    <t xml:space="preserve"> 1  set  Conference Table, 12 seaters with 12 pcs. high back chairs,            hardwood, color dark brown Specifications: Table height - 31 inches width  - 39 inches length - 132 inches 12 pcs.  Chairs height (back) - 43 inches width            - 18 inche</t>
  </si>
  <si>
    <t xml:space="preserve"> Local Government Unit of Cordon, Isabela INVITATION TO BID FOR  LOT  1- Procurement of 2-units Brand New six (6) wheeler mini dump truck 4x2 drive standard size, Lot 2- Procurement of 1-unit Brand new six (6) wheeler garbage dump truck (forward dump truck</t>
  </si>
  <si>
    <t xml:space="preserve"> SUPPLIES TANOD PURCHASED</t>
  </si>
  <si>
    <t xml:space="preserve"> Portland Cement, 40kg, 420 bags Sand, 33 cu.m. Gravel, 49 cu.m. 12mm dia. x 6.0m rebar std, 10pcs 30pcs 2"x6"x12' cocolumber, 360bd/ft CWNails, 4kls Shovel, 4pcs</t>
  </si>
  <si>
    <t xml:space="preserve"> 2 UNITS 1.5 HP AIR CONDITIONER</t>
  </si>
  <si>
    <t xml:space="preserve"> construction of waiting shed</t>
  </si>
  <si>
    <t xml:space="preserve"> Republic of the Philippines City of San Fernando Barangay Hall, Barangay Ilocanos Norte Invitation to Bid 	 Rehabilitation of Covered Court Barangay Ilocanos Norte, City of San Fernando 1.	The Barangay Government of Ilocanos Norte through the Development </t>
  </si>
  <si>
    <t xml:space="preserve"> Republic of the Philippines          City of Dumaguete Bids and Awards Committee INVITATION TO BID FOR PURCHASE REQUEST OF 12 SACK RICE AND OTHER ITEMS 	The City of Dumaguete thru its BIDS AND AWARDS COMMITTEE (BAC), invites all interested manufacturers, </t>
  </si>
  <si>
    <t xml:space="preserve"> Structural Concrete (ramp &amp; concrete bleacher), Structural Concrete (Columns @ Roof Deck Stair) 20.68Mpa, 28 days, Structural Concrete (Suspended Slab) 20.68Mpa, 28 days (roof deck), Structural Concrete (Beams/Girders) 20.68Mpa, 28 days (roof deck), Reinf</t>
  </si>
  <si>
    <t xml:space="preserve"> The National Mapping and Resource Information Authority, Bids and Awards Committee (NAMRIA BAC) invites interested SUPPLIERS/DEALERS &amp; CONTRACTORS for the following project/s: Supply and Delivery of CARIS Project Chart Composer Software... must be able to</t>
  </si>
  <si>
    <t xml:space="preserve"> 1	The DPWH, ZN 3rd Engineering District, Segabe, Piñan, Zamboanga del Norte, through the CY 2020 PDE Funds intends to apply the sum of FOUR HUNDRED TWENTY FOUR THOUSAND SEVEN HUNDRED SIXTY NINE PESOS AND THIRTY NINE CENTAVOS (Php 424,769.39) being the App</t>
  </si>
  <si>
    <t xml:space="preserve"> Republic of the Philippines Province of Quezon Municipality of Guinayangan Barangay Government of Dancalan Central INVITATION TO BID Date: July 1, 2020 1.	The Barangay Government of  Dancalan Central  intends to apply the sum Seventy Thousand Three hundre</t>
  </si>
  <si>
    <t xml:space="preserve"> Republic of the Philippines National Kidney and Transplant Institute Bids and Awards Committee East Avenue, Quezon City 1100 981-0300 / 981-0400 local 1157 http://www.nkti.gov.ph/	 NOTICE OF PROCUREMENT OPPORTUNITY (SMALL VALUE PROCUREMENT) 1.The NATIONAL</t>
  </si>
  <si>
    <t xml:space="preserve"> CLARK DEVELOPMENT CORPORATION Clark Freeport Zone, Philippines NOTICE TO CONDUCT NEGOTIATED PROCUREMENT ASPHALT OVERLAY AT C.P. ROMULO STREET The Clark Development Corporation (CDC), through the CDC Corporate Budget for CY 2020, intends to apply the sum o</t>
  </si>
  <si>
    <t xml:space="preserve"> Please submit your quotation for the following items on or before 5:00PM on Jul 13, 2020. ITEM D E S C R I P T I O N QTY. UNIT  1 Electrical, Flexible Conduit Pipe, uPVC, 20mmØ (½``) 600 mtr 2 Electrical, Wire, PDX, # 12 (2.0mm) 700 mtr 3 Electrical, Wire</t>
  </si>
  <si>
    <t xml:space="preserve"> 1 UNIT AIRCONDITIONING - . - Split Type Wall Mounted - 2.5 HP, Inverter - Free Installation - Labor &amp; Materials up to 20ft. piping/wiring (standard free installation up to 10ft., plus 10ft. additional excess piping/wiring.)</t>
  </si>
  <si>
    <t xml:space="preserve"> For the food supplies expenses of MG Personnel</t>
  </si>
  <si>
    <t xml:space="preserve"> 60	pcs	hollowblocks 1	cubic	gravel 2	cubic	sand 15	pcs	cement 15	pcs	DSB 10mm 25	pcs	cutting disc 1 1/2	kls	tire wire 20	pcs	welding rod 1	pc	welding gloves 150	pcs	brix 2x3 2	pcs	plywood 1/4 10	pcs	cocolumber 1	pc	flatbar 1 1/2  1/2	kls	CWN 1 1/2"  1/2	k</t>
  </si>
  <si>
    <t xml:space="preserve"> 645 BAG/S PORTLAND CEMENT - with delivery at Municipal Warehouse - Type-1</t>
  </si>
  <si>
    <t xml:space="preserve"> INVITATION TO BID The Municipal Government of Gumaca, through its Bids and Awards Committee (BAC), invites suppliers/ manufacturers/ distributors/ contractors, to bid for the hereunder contract: Name of Contract		:	PURCHASE OF COMPLETE FERTILIZER FOR RICE</t>
  </si>
  <si>
    <t xml:space="preserve"> Assorted Medicines  Medical equipment</t>
  </si>
  <si>
    <t xml:space="preserve"> PHIVIDEC INDUSTRIAL AUTHORITY	 MCT Complex, Tagoloan, Mis. Oriental	 Tel Nos: (08822) 740245, (088) 5670-315	 email add:  	procurement@piamo.gov.ph 	 Standard Form Number: SF-GOOD-60	 Revised on: May 24, 2004	Oct-16 Standard Form Title:  REQUEST FOR QUOTA</t>
  </si>
  <si>
    <t xml:space="preserve"> Supply and Delivery of Equipment, Furniture and Other Supplies for Guidance Office Use of SDSSU San Miguel Campus Lot A- P 20,000.00 Lot B-    32,000.00 Lot C-     4,600.00 Lot D-    13,000.00 Lot E-     19,000.00 Lot F-      7,410.00</t>
  </si>
  <si>
    <t xml:space="preserve"> Department of Public Works and Highways Contract ID:	20NA0065 (Re-ad) Title: 	Repair/Maintenance of Baleguian Flood Control (Tamping Creek), Brgy. Baleguian, Jabonga, Agusan del Norte (Sta. 0+050 - Sta. 0+132) Location:	Jabonga, Agusan del Norte _________</t>
  </si>
  <si>
    <t xml:space="preserve"> BROTHER PRINTER ......................</t>
  </si>
  <si>
    <t xml:space="preserve"> DIESOLINE</t>
  </si>
  <si>
    <t xml:space="preserve"> 1	The DPWH, ZN 3rd Engineering District, Segabe, Piñan, Zamboanga del Norte, through the CY 2020 PDE Funds intends to apply the sum of ONE MILLION ONE HUNDRED NINETY NINE THOUSAND SEVEN HUNDRED NINETY TWO PESOS AND SEVENTY SEVEN CENTAVOS (Php 1,199,792.77</t>
  </si>
  <si>
    <t xml:space="preserve"> Local Government Unit of Cordon Invitation to Bid for Lot 1- Construction of Multi-Purpose Building at barangay Gayong, Cordon, Isabela, Lot 2- Construction of Multi-Purpose Building at barangay Magsaysay, Cordon, Isabela and for Lot 3- Rehabilitation &amp; I</t>
  </si>
  <si>
    <t xml:space="preserve"> ILOCOS NORTE 1ST DISTRICT ENGINEERING OFFICE Airport Ave. Brgy. Cavit, Laoag City, Ilocos Norte INVITATION TO BID The DPWH - Ilocos Norte 1st District Engineering Office, through its Bids and Awards Committee (BAC), invites contractors to submit bids for </t>
  </si>
  <si>
    <t xml:space="preserve"> For the Medical, Dental and Laboratory Supplies Expenses of MG Personnel</t>
  </si>
  <si>
    <t xml:space="preserve"> Republic of the Philippines Province of Rizal MUNICIPALITY OF BARAS BIDS AND AWARDS COMMITTEE July 1, 2020 INVITATION TO BID COST OF SUPPLY, DELIVERY AND INSTALLATION OF SOLAR STREET LIGHT AT SOUTHVILLE 9, BARANGAY PINUGAY, BARAS, RIZAL 1.	The Municipalit</t>
  </si>
  <si>
    <t xml:space="preserve"> 1.	The Municipality of San Antonio, Zambales, through the 2019 Performance Challenge Fund, intends to apply the sum of Two Million Three Hundred Thousand Pesos (PhP 2, 300, 000.00) being the Approved Budget for the Contract (ABC) to payments under the con</t>
  </si>
  <si>
    <t xml:space="preserve"> Please submit your quotation for the following items on or before 5:00PM on Jul 13, 2020. ITEM D E S C R I P T I O N QTY. UNIT  1 Bolt, with Nut, Hot Dip Galvanized, 5/8``Ø x 3`` (16mmØ x 75mm) 326 pc 2 Bolt, with Nut, Hot Dip Galvanized, ¾``Ø x 3`` (20mm</t>
  </si>
  <si>
    <t xml:space="preserve"> PURCHASE OF PIPE AND PIPE LAYING - PHASE III</t>
  </si>
  <si>
    <t xml:space="preserve"> Republic of the Philippines Province of Leyte MUNICIPALITY OF HILONGOS 	 Invitation to Bid  1.	The  Local Government Unit of Hilongos  through its Bids and Awards Committee (BAC), hereby invites Domestic Contractors registered with and classified by the P</t>
  </si>
  <si>
    <t xml:space="preserve"> Submersible Motor &amp; Pump 1Hp 3"O, 1pc Submersible Cable #14, 3 wires, 85meters Control Panel, 1Hp, 1pc G.I. pipe 1 1/4 x 6meters S.40, 14pcs GI coupling 1 1/4, 13 pcs Swing valve 1 1/4, 1pc GI Elbow 1 1/4, 1pc water hose SDR6 1", 5rolls coupling "1, 10pcs</t>
  </si>
  <si>
    <t xml:space="preserve"> construction</t>
  </si>
  <si>
    <t xml:space="preserve"> PLEASE SEE ATTACHED INVITATION TO BID FOR THE PROJECT DESCRIPTION.</t>
  </si>
  <si>
    <t xml:space="preserve"> Republic of the Philippines			 Province of Negros Oriental			 Municipality of Amlan			 BIDS AND AWARDS COMMITTEE			 			 INVITATION TO BID			 			 The Municipality of Amlan, Negros Oriental invites all interested bidders/suppliers  to a competitive bidding </t>
  </si>
  <si>
    <t xml:space="preserve"> Please submit your quotation for the following items on or before 5:00PM on Jul 07, 2020. ITEM D E S C R I P T I O N QTY. UNIT  1 Gravel, G1 70 m³ 2 Gravel, ¾ (Crushed) 120 m³ Awarding is in LUMP-SUM basis, however, the supplier is required to indicate it</t>
  </si>
  <si>
    <t xml:space="preserve"> 2 pcs coupling 33750-42310 2 pcs PIN, Spring 05411-00640 2 pcs O-ring 04811-00480 2 pcs O- ring 04816-00420 1 pcs shaft, Bevel Gear 3 CO91-42260 2 pcs Sea Oil 3C091-44120 1 pc O-ring 035533-44292 1 pcs Seal 3C095-43780 6 pcs engine oil (21.40L) 2 pcs oil </t>
  </si>
  <si>
    <t xml:space="preserve"> SEE ATTACHE DOCUMENT</t>
  </si>
  <si>
    <t xml:space="preserve"> 1 6 PC/S INK - EPSON - BLACK T6641 2 2 PC/S INK - EPSON - CYAN T6642 3 2 PC/S INK - EPSON - MAGENTA T6643 4 2 PC/S INK - EPSON - YELLOW T6644 5 3 PC/S STAPLE WIRE - #35 6 8 BTL/S ALCOHOL - RUBBING, 70% ETHYL, 500ML 7 1 ROLL/S CELLOPHANE - FOR COVER ( TABL</t>
  </si>
  <si>
    <t xml:space="preserve"> ITEM NO	 DESCRIPTION						QTY	UNIT 								 	PR # MO-200-2020-06-117							 1	1 1/2" P.E Pipe Ordinary						6	rolls 2	1/2" P.E. Pipe Ordinary						1	roll. 3	1" Ø P.E. Pipe (Ord)						2	rolls. 4	Cement						98	bags 5	10mmØ x 6.0m Def. Bar Std.						30	leng</t>
  </si>
  <si>
    <t xml:space="preserve"> 5	packs	Pipette Tips, Yellow 10-100uL (1000pcs/pack) 2	box	Pasteur Pipette, plastic 1 mL 2	box	Pasteur Pipette, plastic 3 mL 3	bottle	Sodium Chloride, 500g,  Analytical Grade General Conditions: 1. All entries must be typewritten or in print. 2. Price val</t>
  </si>
  <si>
    <t xml:space="preserve"> MATERIALS (900 REINFORCED CONCRETE) NAME AND SPECIFICATION	UNIT 	QUANTITY	UNIT COST	AMOUNT Portland Cement,40 kgs Type 1- bags            27		     270.00	    7,290.00 Screened sand 			cu.m	     2 		     1,200.00	   2,400.00 Screened Gravel		cu.m	     4		 </t>
  </si>
  <si>
    <t xml:space="preserve"> Republic of the Philippines Province of Sultan Kudarat Municipality of Columbio BIDS AND AWARD COMMITTEE July 1, 2020 INVITATION TO BID The Municipal Government of Columbio through the Bids and Awards Committee (BAC) is inviting supplier for the Provision</t>
  </si>
  <si>
    <t xml:space="preserve"> Title:Procurement of 150 Pax Meal(1) and Snack(2) without Venue under P.R No. 2530-2020 -City Planning and Development Office. Total ABC: Php 67,500.00 (INSTRUCTION AS TO THE REQUIRED FORM: For your price quotation, please use the attached Request for Quo</t>
  </si>
  <si>
    <t xml:space="preserve"> 1 30 SHT/S PLYWOOD - ORDINARY 10.0mm.,4'x8' 2 2 KG/S NAILS - CONCRETE # 4" 3 2 KG/S NAILS - CONCRETE #3" 4 30 KG/S. CWN - #4" 5 20 KG/S. CWN - #2 1/2" 6 6 KG/S. CWN - #1" 7 10 ROLL/S NYLON STRING - . 8 20 LGHT/S G.I. PIPE - #1 1/2"x6.0m.,Sch.20 9 3 LGTH/S</t>
  </si>
  <si>
    <t xml:space="preserve"> materials for Concreting of Barangay Road</t>
  </si>
  <si>
    <t xml:space="preserve"> 1	unit	Aircon Compressor 		Model: 2K28S3R236A 		1PH 60 Hz 208/230V 		LRA49 R22 1	unit	Aicon Compressor 		Model: 50R 572V 		280/230 - 60 Hz 		LRA51 R22</t>
  </si>
  <si>
    <t xml:space="preserve"> For the supply and delivery of the following: 23	pc	Tablet Computer			 		Quad Core 2.0Ghz, 8.0" WXGA, 32GB (up to 512 GB) + 2GB RAM, 8MP Rear + 2MP Front Cam,                  5100mah, Android Pie</t>
  </si>
  <si>
    <t xml:space="preserve"> 1 1 BOX BALLPEN - BLUE ORDINARY 50'S 2 1 REAM/S CERTIFICATE PAPER - A4 SIZE 3 24 PC/S BALLPEN - BP-S FINE, BLACK 4 1 PACK/S BATTERY - RECHARGEABLE SIZE AAA @ 2'S/PACK 5 5 REAM/S PAPER - BOND-SUBS.16,LONG (8 1/2"X13") 6 4 REAM/S PAPER - BOND,PG,A4,210MMX29</t>
  </si>
  <si>
    <t xml:space="preserve"> Rpr &amp; Maint Transportation Equip-Motor Vehicles</t>
  </si>
  <si>
    <t xml:space="preserve"> Republic of the Philippines						 	Province of Nueva Ecija						 	CITY OF GAPAN						 	Km.92, Maharlika Highway, Bayanihan, Gapan City						 	 - - - - o0o - - - - 						 	BIDS AND AWARDS COMMITTEE						 							 	REQUEST FOR QUOTATION						 							 	The Ci</t>
  </si>
  <si>
    <t xml:space="preserve"> Prospective bidders should have experience in undertaking a similar project within the last two (2) years within an amount of at least 50% of the proposed project for bidding. The Eligibility Check/Screening as well as the Preliminary Examination of Bids </t>
  </si>
  <si>
    <t xml:space="preserve"> REQUEST FOR QUOTATIONS The Philippine Council for Health Research and Development (PCHRD), through its Bids and Awards Committee (BAC), requests PhilGEPS registered suppliers to submit quotations for the Subscriptions and Licensed software with a total ap</t>
  </si>
  <si>
    <t xml:space="preserve"> One Job-Contract Furnishing PPEs</t>
  </si>
  <si>
    <t xml:space="preserve"> Department of Public Works and Highways Contract ID:	20NA0075 Title: 	Rehabilitation/ Reconstruction of Roads with Slips, Slope Collapse, and Landslide - Primary Roads, BCIR, K1265+373.3 - K1265+471.30 (R/S), K1265+507.70 - K1265+675.30 (L/S), K1265+725.3</t>
  </si>
  <si>
    <t xml:space="preserve"> Semi Expendable Machinery &amp; Equip-Sports Equip</t>
  </si>
  <si>
    <t xml:space="preserve"> Republic of the Philippines          City of Dumaguete Bids and Awards Committee INVITATION TO BID FOR PURCHASE REQUEST OF 1 UNIT LAPTOP COMPUTER-CPU-I3 AND OTHER ITEMS 	The City of Dumaguete thru its BIDS AND AWARDS COMMITTEE (BAC), invites all intereste</t>
  </si>
  <si>
    <t xml:space="preserve"> PLEASE SEE ATTACHED...</t>
  </si>
  <si>
    <t xml:space="preserve"> Republic of the Philippines Province of Surigao del Sur Municipality of Tago BARANGAY JUBANG Invitation to Apply for Eligibility and to Bid INVITATION TO BID FOR THE PURCHASE OF CONSTRUCTION MATERIALS FOR COMPLETION HEALTH CENTER OF BRGY. JUBANG, TAGO,  S</t>
  </si>
  <si>
    <t xml:space="preserve"> Rehabilitation/Improvement of FMR Macarcarmay Pongdasan FMR PCCP/Stone Masonry</t>
  </si>
  <si>
    <t xml:space="preserve"> Republic of the Philippines City of Dapitan BIDS AND AWARDS COMMITTEE 						July 01, 2020 NOTICE FOR NEGOTIATED - SMALL VALUE PROCUREMENT 	The City Government of Dapitan through the Bids and Awards Committee (BAC) would like to inform PhilGEPS registered </t>
  </si>
  <si>
    <t xml:space="preserve"> Supply &amp; delivery of construction materials for the repair &amp; maintenance of various infrastructure project, various brgys., Rosario, Batangas.</t>
  </si>
  <si>
    <t xml:space="preserve"> Please submit your quotation for the following items on or before 5:00PM on Jul 13, 2020. ITEM D E S C R I P T I O N QTY. UNIT  1 Cement, Type 1 (Portland) 850 bag 2 Sand, Screened 80 m³ Awarding is in LUMP-SUM basis, however, the supplier is required to </t>
  </si>
  <si>
    <t xml:space="preserve"> Republic of the Philippines Province of Surigao del Sur Municipality of Tago BARANGAY VICTORIA Invitation to Apply for Eligibility and to Bid INVITATION TO BID FOR THE PURCHASE OF CONSTRUCTION MATERIALS &amp; SUPPLIES FOR THE COMPLETION OF BRGY EVACUATION  CE</t>
  </si>
  <si>
    <t xml:space="preserve"> Republic of the Philippines Province of Sultan Kudarat Municipality of Columbio BIDS AND AWARD COMMITTEE July 1, 2020 INVITATION TO BID The Municipal Government of Columbio through the Bids and Awards Committee (BAC) is inviting supplier of materials for </t>
  </si>
  <si>
    <t xml:space="preserve"> The Municipality of Sta. Cruz through its Bids and Awards Committee (BAC), invites suppliers to apply for eligibility and if found eligible, to bid for the hereunder contract:        Name of Project	:Purchase of Xerox Machine &amp; Toner ABC			: Php506,260.00</t>
  </si>
  <si>
    <t xml:space="preserve"> Construction Supplies</t>
  </si>
  <si>
    <t xml:space="preserve"> PLEASE SEE ATTACHED ASSOCIATED COMPONENTS</t>
  </si>
  <si>
    <t xml:space="preserve"> Supply and delivery of the following: 36	pc	4" PVC Pipe orange S600			 64	pc	4" PVC tee			 64	pc	4" PVC clean out			 64	pc	4" PVC coupling			 128	pc	1/2" PVC male adapter			 128	pc	1/2" PVC female adapter			 96	pc	1/2" PVC pipe			 96	pc	1/2" PVC tee pipe	</t>
  </si>
  <si>
    <t xml:space="preserve"> Republic of the Philippines Province of Albay Municipality of Rapu-Rapu Barangay Tinopan INVITATION TO BID FOR THE CONSTRUCTION/REHABILITATION OF BREAKWATER 1.	The Barangay Local Government Unit of Tinopan, Rapu-Rapu, Albay, through the Budget for the Con</t>
  </si>
  <si>
    <t xml:space="preserve"> Republic of the Philippines Province of Surigao del Sur Municipality of Tago BARANGAY UNABAN Invitation to Apply for Eligibility and to Bid INVITATION TO BID FOR THE PURCHASE OF CONSTRUCTION MATERIALS &amp; SUPPLIES FOR REHABILITATION OF BRGY. HALL OF BRGY.  </t>
  </si>
  <si>
    <t xml:space="preserve"> For modules reproduction</t>
  </si>
  <si>
    <t xml:space="preserve"> Republic of the Philippines CITY OF MALABON Metro Manila BIDS AND AWARDS COMMITTEE I N V I T A T I O N     T O     B I D PROPOSED REPAIR AND MAINTENANCE OF VARIOUS SCHOOL FACILITIES  AT CITY OF MALABON UNIVERSITY, LOCATED AT PAMPANO ST.,  KAUNLARAN VILLAG</t>
  </si>
  <si>
    <t xml:space="preserve"> Republic of the Philippines          City of Dumaguete Bids and Awards Committee INVITATION TO BID FOR JOB ORDER OF LUMPSUM 	The City of Dumaguete thru its BIDS AND AWARDS COMMITTEE (BAC), invites all interested manufacturers, suppliers, dealers and/or di</t>
  </si>
  <si>
    <t xml:space="preserve"> For the Repair and Maintenance of Watercrafts of PNP MG</t>
  </si>
  <si>
    <t xml:space="preserve"> Supply of labor and materials for the repair of Isuzu Pick-up w/ plate number SFD 362 assigned at NSPRDC, Brgy. Lagalag, Tiaong, Quezon Qty.	Unit	Item/Description				ABC 						 1	unit	SCOPE OF WORK:			       100,000.00 	 		General Body				 		Body Painting</t>
  </si>
  <si>
    <t xml:space="preserve"> INVITATION TO BID FOR THE PROCUREMENT OF MATERIALS FOR THE IMPROVEMENT OF BENCH PAVEMENT OF MULTI-PURPOSE BUILDING OF BARANGAY DAPDAP, TIGBAUAN, ILOILO</t>
  </si>
  <si>
    <t xml:space="preserve"> Republic of the Philippines Province of zamboanga Sibugay Municipality of Olutanga 7014 JULY 1, 2020 NOTICE TO THE PUBLIC INVITIATION TO APPLY FOR ELIGIBILITY AND TO BID All interested bidders are invited to Pre-qualify and participate in sealed bidding f</t>
  </si>
  <si>
    <t xml:space="preserve"> Republic of the Philippines Province of Cagayan Municipality of Baggao INVITATION TO BID FOR THE PROCUREMENT OF CIVIL WORKS The LOCAL GOVERNMENT UNIT OF BAGGAO, CAGAYAN, through 5-06-04-030-02 (20% DF) SB #01-2019 intends to apply the sum of Nine Hundred </t>
  </si>
  <si>
    <t xml:space="preserve"> 308.00 pcs.    Ceramic Floor Tiles, 40 cm x 40 cm 4.00 pcs.   Stair Nozing, 2" x 8, PVC 3.00 sack   Tile Adhesive (25 kgs. content) 42.00 bags  Portland Cement 130.00 pcs.   4" CHB 34.00 bags  Black River Sand 68.00 pack Black River Sand, screened 3.00 pa</t>
  </si>
  <si>
    <t xml:space="preserve"> Republic of the Philippines CITY OF MALABON Metro Manila BIDS AND AWARDS COMMITTEE I N V I T A T I O N     T O     B I D PRINTING SERVICES, SUPPLY AND DELIVERY OF PLASTIC ENVELOPES  AND PHOTOCOPIER MACHINE FOR THE PROJECT “HOME-BASED  LEARNING THROUGH MOD</t>
  </si>
  <si>
    <t xml:space="preserve"> The National Irrigation Administration-Regional Office 12, Villarica, Midsayap, Cotabato, through the Fund 501 has the Approved Budget for the Contract (ABC) amounting to ONE HUNDRED FORTY NINE THOUSAND PESOS ONLY(P 149,000). Quotation received in excess </t>
  </si>
  <si>
    <t xml:space="preserve"> Supply &amp; delivery of construction materials for the Construction of 3-units Spillway, Brgy. San Isidro, Rosario, Batangas</t>
  </si>
  <si>
    <t xml:space="preserve"> For the supply and delivery of: 20	colony	Native Bees (Stingless Bees) 			 Note:			 To be delivered at NFRRDC, Milagros, Masbate</t>
  </si>
  <si>
    <t xml:space="preserve"> 1 2 REAM/S CERTIFICATE PAPER - A4 SIZE 2 20 PACK/S PAPER - BOARD LONG (WHITE) 10'S 3 10 REAM/S PAPER - BOND COLORED LONG-YELLOW</t>
  </si>
  <si>
    <t xml:space="preserve"> SEE ATTACHED DOCUMENT</t>
  </si>
  <si>
    <t xml:space="preserve"> 30 bottle Computer Refill Ink T6641 Black 70ml 30 bottle Computer Refill Ink T6642 Cyan 70ml 30 bottle Computer Refill Ink T6643 Magenta 70ml 30 bottle Computer Refill Ink T6644 Yellow 70ml 10 pcs. Computer Ribbon Cartridge LX300 5 pcs. Computer Ribbon Ca</t>
  </si>
  <si>
    <t xml:space="preserve"> Good Lumber (2x5x10), 32pcs Good Lumber (2x5x17), 4pcs Good Lumber (2x5x20), 8pcs Good Lumber (2x5x9), 16pcs Good Lumber (2x5x8), 8pcs Good Lumber (2x5x7), 8pcs Good Lumber (2x5x6), 16pcs Good Lumber (2x5x4), 16pcs Good Lumber (2x3x12), 100pcs Good Lumber</t>
  </si>
  <si>
    <t xml:space="preserve"> 1 60 PC/S CORRECTION TAPE - W/ CASE 2 30 REAM/S PAPER - BOND,PG,A4,210MMX297MM,70GSM. 3 20 REAM/S PAPER - BOND,PG,LEGAL,216MMX330MM(8-1/2"X13") 70 GSM 4 2 BOT/S INK - EPSON-L5190 (eco ink) CYAN 5 2 BOT/S INK - EPSON-L5190 ( eco ink)MAGENTA 6 2 BOT/S INK -</t>
  </si>
  <si>
    <t xml:space="preserve"> Purchase of Construction Supplies to be used at Mun. Building, LGU - San Miguel, Catanduanes: Ordinary Plywood 3/4, marine Plywood 1/4, Concrete Nail 2 1/2, Flatwall Enamel B/S, Flat latex B/S.</t>
  </si>
  <si>
    <t xml:space="preserve"> Republic of the Philippines Province of Rizal MUNICIPALITY OF BARAS BIDS AND AWARDS COMMITTEE July 1, 2020 INVITATION TO BID COST OF SUPPLY, DELIVERY AND INSTALLATION OF CCTV CAMERA AT SOUTHVILLE 9, BARANGAY PINUGAY, BARAS, RIZAL 1.	The Municipality of Ba</t>
  </si>
  <si>
    <t xml:space="preserve"> Supply and Delivery of Hardware Materials for the Re-Piping of Water System of SDSSU San Miguel Campus  Please see attached Request for Quotation (RFQ) Lot A- P 426,660.00 Lot B-   191,997.00</t>
  </si>
  <si>
    <t xml:space="preserve"> SCOPE OF WORK (PHASE 1) Scope of work covers supply of labor, engineering services, tools and equipment, test measuring devices and other associated materials required to properly conduct the following: -Lay outing, founding concreting, mounting and insta</t>
  </si>
  <si>
    <t xml:space="preserve"> Rehabilitation/Improvement of FRM Macarcarmay Cosili FMR PCCP/Stone Masonry</t>
  </si>
  <si>
    <t xml:space="preserve"> RFQ 2020-094 PROJECT		:	LBP ROXAS BOULEVARD BRANCH RENOVATION  IMPLEMENTOR		: 	LBP RESOURCES AND DEVELOPMENT CORPORATION OWNER			:	LAND BANK OF THE PHILIPPINES	 REQUEST FOR QUOTATION FOR	:	SUPPLY OF CONCRETE CORING DATE / TIME OF SUBMISSION		:	ON OR BEFOR</t>
  </si>
  <si>
    <t xml:space="preserve"> CLARK DEVELOPMENT CORPORATION Clark Freeport Zone, Philippines NOTICE TO CONDUCT NEGOTIATED PROCUREMENT ELEVATOR AT CLARK MUSEUM (CIVIL WORKS) The Clark Development Corporation (CDC), through the CDC Corporate Budget for CY 2020, intends to apply the sum </t>
  </si>
  <si>
    <t xml:space="preserve"> 1 2 REAM/S BOOK - PAPER. A3 2 10 PACK/S BATTERY - SIZE AA @ 4'S/PACK 3 5 BOX/S FASTENER - PAPER, VINYL COATED, 50 SETS/BOX</t>
  </si>
  <si>
    <t xml:space="preserve"> Supply and delivery of Pirani Gauge for use to measure vacuum pressure during freeze-drying operation of vaccine production at VVBPL Qty.	Unit	                        Item/Description				ABC 						 1	unit     PIRANI GAUGE, TPR 010, BG G02 250 (old type)  </t>
  </si>
  <si>
    <t xml:space="preserve"> REQUEST FOR QUOTATION Purchase of Plumbing / Electrical Supplies and Materials for the Water / Electrical Supply of Bucit The Bicol University, through the Corporate Budget for the contract approved by the Board of Regents intends to apply the sum of One </t>
  </si>
  <si>
    <t xml:space="preserve"> Rehabilitation/Improvement of FRM Sagap FMR PCCP/Stone Masory/Excavation</t>
  </si>
  <si>
    <t xml:space="preserve"> Republic of the Philippines Province of Iloilo Municipality of Lambunao Brgy. Alugmawa Barangay Office of the Bids &amp; Awards Committee INVITATION TO BID Name of Project: Purchase of Materials for the Road Concreting of Farm to Market Road Location: Brgy. A</t>
  </si>
  <si>
    <t xml:space="preserve"> Republic of the Philippines Province of Albay Municipality of Rapu-Rapu Barangay Tinopan INVITATION TO BID FOR THE INSTALLATION OF SOLAR POWERED STREET LIGHTS (PUROK 1-3) 1.	The Barangay Local Government Unit of Tinopan, Rapu-Rapu, Albay, through the GAD </t>
  </si>
  <si>
    <t xml:space="preserve"> For reproduction of learning modules</t>
  </si>
  <si>
    <t xml:space="preserve"> Republic of the Philippines DEPARTMENT OF PUBLIC WORKS &amp; HIGHWAYS AGUSAN DEL NORTE DISTRICT ENGINEERING OFICE Regional Office XII J. Rosales Avenue, Butuan City INVITATION TO BID FOR  PROCUREMENT OF SURVEYING INSTRUMENT (UNMANNED AERIAL VEHICLE/SYSTEM (UA</t>
  </si>
  <si>
    <t xml:space="preserve"> INVITATION TO BID The Department of Public Works and Highways - Pampanga 1st District Engineering Office, through its Bids and Awards Committee (BAC), invites contractors to submit bids for the following Contract: 1.	 Procurement ID/Contract ID	:	20CG0200</t>
  </si>
  <si>
    <t xml:space="preserve"> Rehabilitation/Improvement of FMR Bangbangar-Calaba  Embankment/Gabions</t>
  </si>
  <si>
    <t xml:space="preserve"> Installation of Solar Streetlights at Brgy. Palaris, Asingan, Pangasinan. Pre-Bid Conference: July 10, 2020 at 9:30 A.M. at the Conference Room Submission/Receipt/Opening of Bids :  July 22, 2020 at 9:30 AM at the Conference Room of the Municipal Hall of </t>
  </si>
  <si>
    <t xml:space="preserve"> 1 5 REAM/S PAPER - BOND,PG,A4,210MMX297MM,70GSM. 2 10 REAM/S PAPER - BOND,PG,LEGAL,216MMX330MM(8-1/2"X13") 70 GSM 3 2 PC/S INK - EPSON - BLACK T6641</t>
  </si>
  <si>
    <t xml:space="preserve"> REQUEST FOR QUOTATION For Negotiated Procurement thru Small Value Procurement under Sec. 53.9 of the 2016 Revised IRR of RA 9184 Quotation No.:  2020-07-224 Date: July 1, 2020 PR No.: 20-06-232 PR Date: June 22, 2020 The Metropolitan Tuguegarao Water Dist</t>
  </si>
  <si>
    <t xml:space="preserve"> CONST. OF FENCING (7SPAN OF 3MTRS) @ SCES, BRGY. STO. CRISTO CSJDM, BULACAN</t>
  </si>
  <si>
    <t xml:space="preserve"> INVITATION TO BID (ITB)  Procuring Entity : BARANGAY LOCAL GOVERNMENT UNIT BARANGAY TARUGAN, LA PAZ, LEYTE Title of Project : ROAD CONCRETING  Approved Budget of the Contract (AB) : Php 320,000.00 Area of Delivery : BARANGAY TARUGAN, LA PAZ, LEYTE  Descri</t>
  </si>
  <si>
    <t xml:space="preserve"> Rehabilitation/Improvement of FMR Sagap FMR PCCP/Stone Masonry/Excavation</t>
  </si>
  <si>
    <t xml:space="preserve"> 1 10 PC/S DATA FILE BOX - W/ COVER (GREEN) 2 2 BOX/S FASTENER - PAPER, VINYL COATED, 50 SETS/BOX 3 1 BOX BALLPEN - BLACK ORDINARY 50</t>
  </si>
  <si>
    <t xml:space="preserve"> The DPWH-Ilocos Sur 1st District Engineering Office, through its Bids and Awards Committee (BAC), invites contractors to submit bids for the following Contract:   Contract ID: 20AC0055   Contract Name: Construction of Road From Brgy. Cuta – Brgy. Tamag, V</t>
  </si>
  <si>
    <t xml:space="preserve"> Unit              Item Description               Quantity Set               Lunch Set (BPA-Free)            54 piece            Yoga Mat                              54</t>
  </si>
  <si>
    <t xml:space="preserve"> Construction of perimeter fence at Barangay Poblacion West, Sta. Maria, Pangasinan 158,362.40 A. MATERIALS B. LABOR C. HAULING D. OTHER SERVICES FOR MORE DETAILS CONTACT: Grace N. Cayaban Bac Treasurer Bids and Awards Committee Poblacion West Barangay Cou</t>
  </si>
  <si>
    <t xml:space="preserve"> Republic of the Philippines Department of Education NATIONAL CAPITAL REGION SCHOOLS DIVISION OF PASAY CITY REQUEST FOR QUOTATION FOR THE PROJECT DELIVERY OF HYGIENE MATERIALS AND EQUIPMENT PR. No.:	2020-07-G01	RFQ No.	2020-07-G01 PR DATE:	June 24, 2020	Ph</t>
  </si>
  <si>
    <t xml:space="preserve"> Supply and delivery of drugs and medicines for maintenance and treatment of various diseases.</t>
  </si>
  <si>
    <t xml:space="preserve"> For supply and delivery of the following: 25	Head	Native Goat			 3		Male			 22		Female			 		Specification:			 		5-7 month old			 		Ready to breed			 Note:			 To be delivered at BARMM</t>
  </si>
  <si>
    <t xml:space="preserve"> The DPWH-Ilocos Sur 1st District Engineering Office, through its Bids and Awards Committee (BAC), invites contractors to submit bids for the following Contract:   Contract ID: 20AC0054   Contract Name: Concreting of Roads, Brgy. Poblacion East, San Ildefo</t>
  </si>
  <si>
    <t xml:space="preserve"> 1 7 REAM/S PAPER - BOND,PG,A4,210MMX297MM,70GSM. 2 6 REAM/S PAPER - BOND,PG,LEGAL,216MMX330MM(8-1/2"X13") 70 GSM 3 1 BOX BALLPEN - BLACK ORDINARY 50'S 4 6 TUBE/S MECHANICAL PENCIL 5 1 BOX/S PENCIL - WOODEN NO.482 6 2 REAM/S BOOK - PAPER. A3 7 2 PC/S STAIN</t>
  </si>
  <si>
    <t xml:space="preserve"> REQUEST TO SUBMIT PROPOSAL FOR THE SUPPLY AND DELIVERY OF LOT 1- OFFICE SUPPLIES AND LOT 2- OTHER SUPPLIES AND MATERIALS FOR USE IN THE IMPLEMENTATION OF CORN PROGRAM WITH APPROVED BUDGET FOR THE CONTRACT AMOUNTING TO THREE HUNDRED SIXTY SEVEN THOUSAND FI</t>
  </si>
  <si>
    <t xml:space="preserve"> Rehabilitation/Improvement of FMR San Antonio Box Culvert</t>
  </si>
  <si>
    <t xml:space="preserve"> Invitation to Bid for Concreting of Access Road to Pilar Barangay Hall 1.	The Municipality of Diplahan, through the Local Funds FY 20202 intends to apply the sum of Four Hundred Thousand Pesos (Php. 400,000.00) being the Approved Budget for the Contract (</t>
  </si>
  <si>
    <t xml:space="preserve"> Repair &amp; Maintenance Other Structures</t>
  </si>
  <si>
    <t xml:space="preserve"> 1 unit - DSLR Camera 800 D DSLR 18 - 55 IS STM KIT 24.2 MP APS - C CMOS SENSOR 3.0" 1.04m - Dot Vari - Angle Touch Screen Full HD 1080p Videp recording at 60fps Built - In Wifi with NFC, Bluetooth HDR Movie and Time - Lapse Movie EF - S 18 - 55 mmm f/4-5.</t>
  </si>
  <si>
    <t xml:space="preserve"> Construction of Concrete Covered Canal Actividad Economia St., and Benesa Road( Zone 1 and Zone 2) From Capitulacion St. to Creek</t>
  </si>
  <si>
    <t xml:space="preserve"> Republic of the Philippines Cordillera Administrative Region Province of Kalinga B A L B A L A N MUNICIPALITY OF BALBALAN Invitation to Apply for Eligibility and to Bid for the CONSTRUCTION OF BALBALAN BRGY. HALL PROTECTION WALL, BALBALAN PROPER, BALBALAN</t>
  </si>
  <si>
    <t xml:space="preserve"> Purchase of construction supplies by alternative mode of procurement through shopping</t>
  </si>
  <si>
    <t xml:space="preserve"> Republic of the Philippines          City of Dumaguete Bids and Awards Committee INVITATION TO BID FOR PURCHASE REQUEST OF 5 BOT XYLAZINE 100MG/ML 10% INJECTION AND OTHER ITEMS 	The City of Dumaguete thru its BIDS AND AWARDS COMMITTEE (BAC), invites all i</t>
  </si>
  <si>
    <t xml:space="preserve"> 1 BOT/S ALCOHOL - 70% SOL. 500ML 10 2 BTL/S GLUE - 130G 3 3 PC/S FOLDER - BROWN ( LONG SIZE ) 200 4 BOX/S FASTENER - PAPER, PLASTIC, 50 SETS/BOX 10 5 TUBE/S MECHANICAL PENCIL - LEAD, 0.5 (FOR STEADLER) 2 6 PC/S MASKING TAPE - # 1" 6 7 PC/S RIBBON- REFILL </t>
  </si>
  <si>
    <t xml:space="preserve"> kindly see attached file for your reference</t>
  </si>
  <si>
    <t xml:space="preserve"> PLS. DOWNLOAD RFQ</t>
  </si>
  <si>
    <t xml:space="preserve"> 1. The DEPARTMENT OF EDUCATION NORTH COTABATO DIVISION, through the Government of the Philippines intends to apply the sum of NINE HUNDRED THOUSAND EIGHT HUNDRED FIFTY SEVEN PESOS AND 70/100 (PhP 900,857.70) being the Approved Budget for the Contract (ABC</t>
  </si>
  <si>
    <t xml:space="preserve"> Republic of the Philippines City of Cagayan de Oro BIDS AND AWARDS COMMITTEE Invitation to Bid  for Completion of City Hospital - Tablon (Phase II); SN 133 - 2020 ` 1.	The City Government of Cagayan de Oro, through the Current Appropriation, Annual Budget</t>
  </si>
  <si>
    <t xml:space="preserve"> 1 unit - RISO DIGITAL DUPLICATOR SPECIFICATION: MASTER MAKING/PRINTING METHODS: High-speed digital master-making/Fully automatic printing ORIGINAL TYPE: Book or sheet MASTER MAKING TIME*1: Quick Master Making mode Approx. 17 seconds (Letter, short-edge fe</t>
  </si>
  <si>
    <t xml:space="preserve"> 500 pcs Corrugated Package Boxes  Size: 4x6x6 General Conditions: 1. All entries must be typewritten or in print. 2. Price validity shall be for a period of 90 calendar days. 3. Indicate the reference number on SUBJECT LINE when sending email   Please EMA</t>
  </si>
  <si>
    <t xml:space="preserve"> Please quote your lowest price on the item(s)  listed below, subject to the Terms and Condition Stated												 below and submit your quotation duly signed by your representative not later than 10:30 A.M. of   July 10, 												 2020 at the return e</t>
  </si>
  <si>
    <t xml:space="preserve"> NOTICE TO THE PUBLIC REQUEST FOR PROPOSAL Purchase Request No: PUR19-10-1204 The Philippine General Hospital hereby informs the public that it will be procuring the following item/s through Small Value Procurement: SUPPLY,DELIVERY,TESTING AND COMMISSIONIN</t>
  </si>
  <si>
    <t xml:space="preserve"> Republic of the Philippines PROVINCE OF PANGASINAN BIDS AND AWARD COMMITTEE (BAC) Brgy. Sto Tomas, San Jacinto, Pangasinan Mobile No. 09194587337 INVITATION TO BID The Barangay Sto. Tomas, San Jacinto, Pangasinan, though its Bids and Award Committee (BAC)</t>
  </si>
  <si>
    <t xml:space="preserve"> Republic of the Philippines Province of Cagayan Municipality of Sta. Teresita BARANGAY ARIDOWEN INVITATION TO BID FOR THE SUPPLY AND DELIVERY OF MATERIALS AND LABOR FOR THE CONTINUATION OF MULTIPURPOSE BUILDING UNDER ITB No. CW003-2020 The LGU Aridowen, S</t>
  </si>
  <si>
    <t xml:space="preserve"> Standard Form Number: SFGOOD60 Revised on: May 24, 2004 Standard Form Title: Request for Quotation Date:  July 1, 2020 Quotation No. 20-07-0397 Purchase Request No. 20-06-813 __________________________ Company Name ___________________________ Address Plea</t>
  </si>
  <si>
    <t xml:space="preserve"> Purchase of school supplies by alternative mode of procurement though shopping</t>
  </si>
  <si>
    <t xml:space="preserve"> Supply and delivery of the following: 160	head	NATIVE CHICKEN			 16		Male			 144		Female			 Note:			 To be delivered at BARMM</t>
  </si>
  <si>
    <t xml:space="preserve"> 1 Lot Purchase and Delivery of Cellcards of SB for the month of July</t>
  </si>
  <si>
    <t xml:space="preserve"> Construction of Box Culvert along Mayor's Boulevard, Asingan, Pangasinan. Pre-Bid Conference: July 10, 2020 at 9:30 A.M. at the Conference Room Submission/Receipt/Opening of Bids :  July 22, 2020 at 9:30 AM at the Conference Room of the Municipal Hall of </t>
  </si>
  <si>
    <t xml:space="preserve"> Republic of the Philippines Province of Pangasinan MUNICIPALITY OF LINGAYEN Invitation to Bid    1. The Local Government Unit of Lingayen, through the Calamity Fund   intends to apply the sum of  One Million Three Hundred Thousand  Pesos Only   (P1,300,00</t>
  </si>
  <si>
    <t xml:space="preserve"> For Supply and delivery of: 300	kg	COWPEA	 		 Note:			 To be delivered at NSPRDC, Tiaong, Quezon</t>
  </si>
  <si>
    <t xml:space="preserve"> Republic of the Philippines MUNICIPALITY OF BUENAVISTA INVITATION TO BID FOR SUPPLY AND DELIVERY OF FURNITURE AND FIXTURE FOR LOCAL CIVIL REGISTRAR OFFICE, OFFICE EQUIPMENT FOR MUNICIPAL ASSESSOR’S OFFICE, TIRES FOR MDRRM OFFICE AND SOUND PROOFING FOR RAD</t>
  </si>
  <si>
    <t xml:space="preserve"> Procurement of Office Supplies and Consumables for use in various offices, DPWH, Negros Occidental 3rd District Engineering Office, Kabankalan City. 1.	The DPWH Negros Occidental 3rd District Engineering Office, Kabankalan City through the FY 2020 EAO int</t>
  </si>
  <si>
    <t xml:space="preserve"> The Municipality of Limay, through its Bids and Awards Committee (BAC) invites registered contractors to apply for eligibility and if found eligible, to bid for the hereunder project/contract: Project/Contract:     REPAIR AND RE-PAINTING OF DUALE ELEMENTA</t>
  </si>
  <si>
    <t xml:space="preserve"> MASONRY WORKS (CHB front wall partition,floor tiling,outside flooring and finishing)	 CHB (4"x8"x16")	 PORTLAND CEMENT	 SAND	 GRAVEL	 10MMØ  REBARS	 TIE WIRE	 TILES (24X24)	 TILE GROUT	 CARPENTRY WORKS (Installation of Door Jamb and Door)	 DOOR JAMB 2X4X1</t>
  </si>
  <si>
    <t xml:space="preserve"> 15 boxs IV Cannula g.22(100's/box) 20 boxs IV Cannula g.24(100's/box)</t>
  </si>
  <si>
    <t xml:space="preserve"> CONCRETING OF PATHWALK @ AMIHAN VILLE, BRGY. STO. CRISTO CSJDM BULACAN</t>
  </si>
  <si>
    <t xml:space="preserve"> Tubular 2 x 3 x 1.5	                 = 25 pcs. Welding Rod 	                         = 10 kls. Roofing 20ft. X 110cm x 0.5mm	 = 10 pcs. Tex Screw 2"	                         = 500 pcs. Plain Sheet #26 4 x 8 	         = 14 pcs. Vulcaseal 	                 </t>
  </si>
  <si>
    <t xml:space="preserve"> REQUEST FOR QUOTATION Purchase of Laboratory Equipment for use of BSFT  The Bicol University, through the Corporate Budget for the contract approved by the Board of Regents intends to apply the sum of Two Hundred Sixty Thousand Pesos Only (Php 260,000.00)</t>
  </si>
  <si>
    <t xml:space="preserve"> contruction of tent with lona</t>
  </si>
  <si>
    <t xml:space="preserve"> Supply and Delivery of Filling Materials for the Parking Lot of Mini Auditorium of SDSSU Lianga Campus  Please see attached Request for Quotation (RFQ)</t>
  </si>
  <si>
    <t xml:space="preserve"> Procurement of the following printer inks: 20 sets Epson ink 664	 20 sets Epson ink 003	 10 bottles BT-D60BK ink</t>
  </si>
  <si>
    <t xml:space="preserve"> Construction of Concrete Covered Canal Penarrubia St. &amp; Villamor Manzano St. to Gonzales st. to creek</t>
  </si>
  <si>
    <t xml:space="preserve"> Construction of Concrete Covered Canal Penarrubia St.( Zone 4)Actividad Economia  to Mckinley)</t>
  </si>
  <si>
    <t xml:space="preserve"> Department of Health							 Project Reference Number-2020-002 Cagayan Valley - Center for Health Development			Location of the Project – Tuguegarao City 						                                           REQUEST FOR QUOTATION    							                     </t>
  </si>
  <si>
    <t xml:space="preserve"> Production and Printing Services (Customized Face Mask)  For official use of INREMP Staff and People’s Organization implementing the project as preventive measures of the COVID-19 Pandemic and information dissemination for the INREM Project Customized Fac</t>
  </si>
  <si>
    <t xml:space="preserve"> Republic of the Philippines          City of Dumaguete Bids and Awards Committee INVITATION TO BID FOR PURCHASE REQUEST OF 50 BAGS CEMENT AND OTHER ITEMS 	The City of Dumaguete thru its BIDS AND AWARDS COMMITTEE (BAC), invites all interested manufacturers</t>
  </si>
  <si>
    <t xml:space="preserve"> For the supply and delivery of: 500	KG	OPV CORN			 					 Note: 			 To be delivered at NSPRDC, Tianong, Quezon</t>
  </si>
  <si>
    <t xml:space="preserve"> The Philippine Crop Insurance Corporation (PCIC) invites interested suppliers to send quotation for the “Supply and Delivery of Desktop Computers” with the following specifications: Desktop Processor: 8th Generation Intel CoreTM i7, 3.2GHz or higher Cache</t>
  </si>
  <si>
    <t xml:space="preserve"> Rehab of Day Care Center</t>
  </si>
  <si>
    <t xml:space="preserve"> Construction of Concrete Covered Canal Paz St., Zone 5, Bangued, Abra</t>
  </si>
  <si>
    <t xml:space="preserve"> Supply and delivery of Personal Protective Equipment (PPE) for distribution to staff, resource persons and livestock raisers during the distribution and installation of biogas digesters and other related activities of the Manila Bay Clean-up, Rehabilitati</t>
  </si>
  <si>
    <t xml:space="preserve"> Labor and Materials Construction of Residual Containment Area at Brgy. Agrupacion -nothing follows-</t>
  </si>
  <si>
    <t xml:space="preserve"> Construction of Farm to Market Road at Zone 2, Brgy. San Vicente East, Asingan, Pangasinan. Pre-Bid Conference: July 10, 2020 at 9:30 A.M. at the Conference Room Submission/Receipt/Opening of Bids :  July 22, 2020 at 9:30 AM at the Conference Room of the </t>
  </si>
  <si>
    <t xml:space="preserve"> 1 Year Security Services, ABC 19, 920,658.80/year *95 Security Guards* Please see attached ITB</t>
  </si>
  <si>
    <t xml:space="preserve"> ITEM     QUANTITY       UNIT OF                        ITEM DESCRIPTION               ESTIMATED        ESTIMATED                                     ISSUE                                                                     UNIT COST            COST     1 </t>
  </si>
  <si>
    <t xml:space="preserve"> Republic of the Philippines Province of Pangasinan Bids and Awards Committee Municipality of Calasiao INVITATION TO BID  PURCHASE OF VARIOUS MEDICINES AND MEDICAL SUPPLIES FOR  PHILHEALTH BENEFICIARIES AT CALASIAO, PANGASINAN 1.	The Municipality of Calasi</t>
  </si>
  <si>
    <t xml:space="preserve"> (PLEASE SEE ATTACHED ASSOCIATED COMPONENT) please send Request for Quotation  -  philgepsprocurement19@gmail.com Contact Person:	FREDERICK VILLAS (711-69-73)  300 	tablets	Calcium Carbonate + Cholecalciferol (Vitamin D3) Oral: Equivalent to 600mg Elementa</t>
  </si>
  <si>
    <t xml:space="preserve"> PLS SEE ATTACHED FILE</t>
  </si>
  <si>
    <t xml:space="preserve"> 1. Domestic Refrigerator, 8 cubic, one door = 2 unit @ 14,950.00 2. Evaporative air cooler for the vaccine room, 100 watts = 3 units @ 10,000.00 power, 3 speed power airflow, multifunctional cooler, 10 liters water tank capacity, with LCD display and  tem</t>
  </si>
  <si>
    <t xml:space="preserve"> PURCHASE OF MATERIALS AND RENTAL OF EQUIPMENT FOR THE CONSTRUCTION OF MULTI PURPOSE BUILDING</t>
  </si>
  <si>
    <t xml:space="preserve"> Republic of the Philippines Province of Negros Oriental Municipality of Santa Catalina Bids and Awards Committee ITB NO.: 2020-07-02-017 INVITATION TO BID FOR THE SUPPLY AND DELIVERY OF  EVACUATION MODULAR TENT 1.	The Municipality of Santa Catalina, Negro</t>
  </si>
  <si>
    <t xml:space="preserve"> Republic of the Philippines Province of Cagayan Municipality of Sta. Teresita BARANGAY ARIDOWEN INVITATION TO BID FOR THE SUPPLY AND DELIVERY OF MATERIALS AND LABOR FOR THE CONTINUATION OF MULTIPURPOSE CENTER UNDER ITB No. CW002-2020 The LGU Aridowen, Sta</t>
  </si>
  <si>
    <t xml:space="preserve"> The Pag-IBIG FUND TECHNICAL AND ADMINISTRATIVE SUPPORT FOR BICOL REGION intends to apply the sum of EIGHT HUNDRED THIRTY-NINE THOUSAND PESOS &amp; 0/100 ONLY (Php 839,000.00) being the Approved Budget for the Contract (ABC) as payment for VARIOUS IT EQUIPMENT</t>
  </si>
  <si>
    <t xml:space="preserve"> 7000 pouch Detergent Powder 65grams/pouch 20 pcs Toilet Cake Deodorant gel 1000 pouch Fabric Conditioner 27ml/pouch 25 pcs Scouring pad economy without foam 125 pcs Face mask washable for adults</t>
  </si>
  <si>
    <t xml:space="preserve"> CEILING WORKS (removal,repair &amp; replacement)	 HARDIFLEX (3.5mmx2.4mmx1.2m)	 DOUBLE FURRING CHANNEL (12mmx38mmx5.05m)	 CARRYING CHANNEL 12mmx38mmx3.0m	 WALL ANGLE 25mmx25mmx3.0m	 W-CLIP (double)	 BLIND RIVETS 1/8X3/8 (4-4)	 EXPANSION SHIELD 3/8"	 THREADED </t>
  </si>
  <si>
    <t xml:space="preserve"> Republic of the Philippines Province of  Romblon Municipality of  Magdiwang Barangay Dulangan -oOo- INVITATION TO BID 	COMPLETION OF BARANGAY HALL - PHASE V	 Project ID No.001-2020                                                                           </t>
  </si>
  <si>
    <t xml:space="preserve"> 135    gal      70% Alcohol 135    gal      Liquid Disinfectant 67      pcs.    Stainless foot bath 150    pcs.    Doormat 450    pcs.    Safeguard (big)</t>
  </si>
  <si>
    <t xml:space="preserve"> PROJECT: CONCRETING OF BARANGAY ROAD LOCATION: BARANGAY TELABANCA, CONCEPCION, TARLAC APPROVED BUDGET FOR THE CONTRACT: PHP 458,298.00 SOURCE OF FUND: CAPITAL OUTLAY The contract to be performed by the successful bidder shall be specified in the Technical</t>
  </si>
  <si>
    <t xml:space="preserve"> July 1, 2020 REQUEST FOR QUOTATION (RFQ) CLEAR-LOCK MICROTUBES  1.	The Batangas Medical Center hereinafter referred to as the “Purchaser” now request for submission of price proposal for the procurement of the aforesaid item described in the Technical Spe</t>
  </si>
  <si>
    <t xml:space="preserve"> 1 UNIT/S RESCUE VEHICLE - DUMPTRUCK  - 8 Cyclinder diesel engine - 12 cubic meter dumpbox capacity/ 10 wheelers 6x6 - with free print of the following municipal logo and word MDRRMC in the front - with GSIS insurance and LTO Registration - 1 year warranty</t>
  </si>
  <si>
    <t xml:space="preserve"> Amount of Bid Docs 3,000.00 To all suppliers, Bid Documents are available at BAC Office on July 9, 2020 Please qoute your Lowest Price; Item No. Quantity Unit Description I 1.00 lot Protection, Security &amp; Signages II 1.00 lot Trusses &amp; Roofing Works Openi</t>
  </si>
  <si>
    <t xml:space="preserve"> 1.	In view of the Two (2) failed public biddings conducted for the Procurement and Delivery of Supplies and Materials for the 2020 Census of Population and Housing (CPH), the Philippine Statistics Authority – Regional Statistical Services Office III throu</t>
  </si>
  <si>
    <t xml:space="preserve"> The Department of Agriculture invites interested suppliers to submit quotations/proposals for the hereunder requirement: Printing and Production of the National Convergence Initiative for Sustainable Rural Development (NCI-SRD) Envelope and Folder to be u</t>
  </si>
  <si>
    <t xml:space="preserve"> 2 units 2.5 Window Type Air condition</t>
  </si>
  <si>
    <t xml:space="preserve"> The Local  Government   Unit  of General  Santos  City, through  the  GENERAL FUND CY 2020  intends  to apply  the sum of twenty nine thousand three hundred sixty three and 68 / 100 Pesos Only (29,363.68)   being  the Approved  Budget  for the Contract   </t>
  </si>
  <si>
    <t xml:space="preserve"> Improvement of Pathways along NRRES, L. Millan and P. Ramos St., Brgy. Poblacion West, Asingan, Pangasinan. Pre-Bid Conference: July 10, 2020 at 9:30 A.M. at the Conference Room Submission/Receipt/Opening of Bids :  July 22, 2020 at 9:30 AM at the Confere</t>
  </si>
  <si>
    <t xml:space="preserve"> Digital duplicator with USB/PC Connectivity:  minimum 100ppm, 300x300 dpi, min. 800 ink supply, master supply:200 cuts, min. 1000 sheets paper feed tray, min. 800 sheets receiving tray  6  lots Digital Multifunction 3 in 1 Copiers (print,scan,copy): Print</t>
  </si>
  <si>
    <t xml:space="preserve"> Prevention kit for Covid19</t>
  </si>
  <si>
    <t xml:space="preserve"> Construction of Concrete Covered Canal Santiago St(Zone 4 and Zone 2) (From Actividad Economia to Creek)</t>
  </si>
  <si>
    <t xml:space="preserve"> Construction of Drainage System with total length of 231.0 lm open canal with steel grating, with length of 215.0 l.m. cross drainage with length of 16.0 l.m.</t>
  </si>
  <si>
    <t xml:space="preserve"> The rehabilitation of the SK Office for a more conducive workplace and an accommodating place for the youth of Calinan.</t>
  </si>
  <si>
    <t xml:space="preserve"> Repair &amp; Maintenance of Buildings</t>
  </si>
  <si>
    <t xml:space="preserve"> July 1, 2020 REQUEST FOR QUOTATION (RFQ) PIPETTE AND PIPETTE STAND 1.	The Batangas Medical Center hereinafter referred to as the “Purchaser” now request for submission of price proposal for the procurement of the aforesaid item described in the Technical </t>
  </si>
  <si>
    <t xml:space="preserve"> Procurement of All In One Printer - 10 units Printing Method-Micro Piezo Printhead Nozzle Configuration-180 Nozzle Black, 59 Nozzles per Color Minimum Droplet Size-3 pl Ink Technology-Dye Ink Printing Resolution-5,760 x 1,440 DPI Functions-Print, Scan, Co</t>
  </si>
  <si>
    <t xml:space="preserve"> Bill of Quantities Contract Name			:	Tinsmithry Works  Location of the Contract		: 	Himaya, El Salvador City Funding Source			:	20% Local Development Fund – Materials Recovery Facilities Duration				:	Twelve (12) Calendar Days BOQ Reference No. 		:	2020-0</t>
  </si>
  <si>
    <t xml:space="preserve"> Construction of Concrete Covered Canal Rizal St.,( Zone 5 )(From Zamora St. to Gonzales St. to creek)</t>
  </si>
  <si>
    <t xml:space="preserve"> 200 pcs. Snacks during Safe Motherhood 100 pcs. Meals &amp; Snacks during Buntis Congress 100 pcs. Snacks During SYHD Activities</t>
  </si>
  <si>
    <t xml:space="preserve"> ITEM DESCRIPTION	Quantity (QTY)	 			 			 1	Stainless Lavatory Sink with Fitting	pc	12 2	Control Floor Foot Pedal Valve with Faucet	pc	12 3	2” Stainless Steel Tube Pipe	pc	6 4	Welding Rod	box	2 5	1” Stainless Steel Tube Pipe	pc	5 6	½” PVP Pipe	pc	10 7	½”  </t>
  </si>
  <si>
    <t xml:space="preserve"> RIP RAPPING OF CREEK BANK @ BARANGAY STO. CRISTO CSJDM, BULACAN</t>
  </si>
  <si>
    <t xml:space="preserve"> Proposed Construction of Stone Masonry Sitio Pilay, Banacao, Bangued, Abra</t>
  </si>
  <si>
    <t xml:space="preserve"> Republic of the Philippines Cordillera Administrative Region Province of Kalinga B A L B A L A N MUNICIPALITY OF BALBALAN Invitation to Apply for Eligibility and to Bid for the CONTINUATION FOR THE CONSTRUCTION OF LOWER POBLACION ACCESS ROAD (PHASE III), </t>
  </si>
  <si>
    <t xml:space="preserve"> To provide meals and snacks during the conduct of Joint Technical Review for the Updated Isabela PCIP</t>
  </si>
  <si>
    <t xml:space="preserve"> Republic of the Philippines Department of Education NATIONAL CAPITAL REGION SCHOOLS DIVISION OF PASAY CITY REQUEST FOR QUOTATION FOR THE PROJECT DELIVERY OF ROLL-UP BLINDS DOUBLE H02-OO4 AND VERTICAL BLINDS PR. No.:	2020-07-G02	RFQ No.	2020-07-G02 PR DATE</t>
  </si>
  <si>
    <t xml:space="preserve"> 3,125 ltrs Diesel</t>
  </si>
  <si>
    <t xml:space="preserve"> 3,125 ltrs. Diesel</t>
  </si>
  <si>
    <t xml:space="preserve"> 2200	mtrs	Tolda Marayuma 120	pcs 	G.I. Pipe #3/4 sch 40 100	pcs 	G.I. Pipe #1/2 sch 40 60	kls	Welding Rod 20	pcs 	Cutting Disc 40	pcs 	Hacksaw Blade 20	ltr	Red Oxide 20	pcs 	Paint Brush #2 100	pcs 	12mm</t>
  </si>
  <si>
    <t xml:space="preserve"> 800 PCS. TOILET BOWL X X X X X X X X X X X X X X X X</t>
  </si>
  <si>
    <t xml:space="preserve"> Please see the attached file. Thank you.</t>
  </si>
  <si>
    <t xml:space="preserve"> ITEM No.	Description	 Quantity 	Unit 			 I	Excavation	 5.18 	cu.m. II	Formworks	 1.00 	ls III	Structural Concrete	 11.84 	cu.m. IV	Reinforcing Steel Bar-Grade 40	 1,100.00 	kg.</t>
  </si>
  <si>
    <t xml:space="preserve"> Republic of the Philippines Cordillera Administrative Region Province of Kalinga B A L B A L A N MUNICIPALITY OF BALBALAN Invitation to Apply for Eligibility and to Bid for the CONSTRUCTION OF BALETE WATER WORKS SYSTEM (PHASE I), BALANTOY, BALBALAN, KALIN</t>
  </si>
  <si>
    <t xml:space="preserve"> Nabulo, Catubig, N. Samar through the 20%  BDF C.Y. 2020 intends to apply the sum of Sixty-six   Thousand Nine Hundred  Seven Pesos (Php 66,907.00) being the Approved Budget for the Street Cementing (Phase II). Quotation received in excess of the CWSR  sh</t>
  </si>
  <si>
    <t xml:space="preserve"> Please see attached RFQ and Specifications</t>
  </si>
  <si>
    <t xml:space="preserve"> I. CSHP	 II. Road Preparation	 	a. Equipment 	b. Materials III. Portland Cenent Concrete Pavement	 IV. Equipment	 Labor</t>
  </si>
  <si>
    <t xml:space="preserve"> Republic of the Philippines          City of Dumaguete Bids and Awards Committee INVITATION TO BID FOR PURCHASE REQUEST OF 2 ROLLS ELECTRICAL WIRE #14 THHN (BLACK) AND OTHER ITEMS 	The City of Dumaguete thru its BIDS AND AWARDS COMMITTEE (BAC), invites al</t>
  </si>
  <si>
    <t xml:space="preserve"> 1 UNIT --- SPLIT TYPE AIRCON 3.0 HP --- PHP 98,875 FTKC71QVM (INDOOR) RKC71QVM (OUTDOOR)</t>
  </si>
  <si>
    <t xml:space="preserve"> Republika ng Pilipinas PAMAHALAANG LUNGSOD NG TACLOBAN (City Government of Tacloban) 1.	BIDS AND AWARDS COMMITTEE INVITATION TO BID (July 02, 2020) 20-011(1) 7080745 The City Government of Tacloban thru the NGAs-DBM LGSF-Other Financial Assistance to LGUs</t>
  </si>
  <si>
    <t xml:space="preserve"> 1	unit	Mapping-Grade Handheld Geohazard Processing Equipment with ArcPad 		Specifications 		Integrated 3.75G cellular Data, Text and Voice Capability 		8 Megapixels Camera with Geotagging and Dual LED Flash 		Bluettoth v2.1 with Enhanced Data Rate 		Wi-Fi</t>
  </si>
  <si>
    <t xml:space="preserve"> Republic of the Philippines Province of  Misamis Oriental Local Government Unit of Claveria INVITATION TO BID FOR  Procurement of Materials for flooring of  Multi-purpose  Building  at Madaguing  1.	The Local Government Unit of Claveria, through the budge</t>
  </si>
  <si>
    <t xml:space="preserve"> To purchase for Brgy. use</t>
  </si>
  <si>
    <t xml:space="preserve"> 1	Paracetamol 100 mg/ml, Oral Drops							80	bot	50.00 2	Omeprazole 40 mg vial							200	vial	85.00 3	Ampicillin 250 mg vial							180	vial	30.00 4	Aspirin 80 mg tab							100	tab	5.00 5	Cefalexin 500 mg capsule							500	caps	12.00 6	Cefotaxime 1 gm vial</t>
  </si>
  <si>
    <t xml:space="preserve"> ITEM NO	 DESCRIPTION						QTY	UNIT 								 	PR # MEO-300-2020-01-08							 	LABOR &amp; MATERIALS							 								 	ROAD CONCRETING							 1	MOBILIZATION &amp; DEMOBILIZATION						1	I.s 2	SURPLUS COMMON EXCAVATION						461.80	cu.m 3	SUB-GRADE PREPARATION						208</t>
  </si>
  <si>
    <t xml:space="preserve"> Republic of the Philippines Department of Trade and Industry – Romblon Provincial Office Ground Floor LFH Building, JP Laurel St., Dapawan, Odiongan, Romblon 5505                                 REQUEST FOR QUOTATION (RFQ) Supply and Delivery of 7 Sets of</t>
  </si>
  <si>
    <t xml:space="preserve"> Unit	Description	Quantity ream	 Bondpaper, long, s20	120 box	 Ballpen, Blue	10 box	 Ballpen, Black	10 pc	 Brown envelope, long	200 pc	 Brown envelope, short	75 pc	 Correction tape	25 pc	 Double sided tape	10 pc	 Expanded folder, long, assorted	147 pc	 Exp</t>
  </si>
  <si>
    <t xml:space="preserve"> supply and delivery of purchased of food packs distribution</t>
  </si>
  <si>
    <t xml:space="preserve"> 1	185	bags	Portland Cement			 2	5.2	cu.m.	Gravel 3/4			 3	17.6	cu.m.	Sand			 4	10	pcs.	3" dia. X 3m PVC			 5	6	pcs.	2" dia. X 3m PVC			 6	8	pcs.	3" x 2" WYE PVC			 7	16	pcs.	2" dia. PVC Elbow			 8	8	pcs.	2" dia. P-Trap			 9	2	pcs.	2" dia. 45 deg. Elbow PV</t>
  </si>
  <si>
    <t xml:space="preserve"> 2 units Desktop                       Intel Core 17-9700(3.0ghz)                       16 GB RAM                       Gigabyte B365m                       ITB HDD+120GB SSD                       Palit GT 1030                       23.5" FHD Monitor      </t>
  </si>
  <si>
    <t xml:space="preserve"> L  = 216 m      W = 0.70m   D = 070m</t>
  </si>
  <si>
    <t xml:space="preserve"> 40	gals	 Alcohol 120	boxes Surgical mask</t>
  </si>
  <si>
    <t xml:space="preserve"> Construction of Solar Drinking Station in Various Barangays, Asingan, Pangasinan. Pre-Bid Conference: July 10, 2020 at 9:30 A.M. at the Conference Room Submission/Receipt/Opening of Bids :  July 22, 2020 at 9:30 AM at the Conference Room of the Municipal </t>
  </si>
  <si>
    <t xml:space="preserve"> Republic of the Philippines Province of Batangas Municipality of San Juan BIDS AND AWARDS COMMITTEE INVITATION TO APPLY FOR ELIGIBILITY AND TO BID THE LOCAL  GOVERNMENT UNIT OF BRGY. IMELDA, SAN JUAN, BATANGAS, through its Bids and Awards Committee(BAC), </t>
  </si>
  <si>
    <t xml:space="preserve"> Invitation to Bid for Concreting of Pilar – Sitio Talisay Road 1.	The Municipality of Diplahan, through the Local Funds FY 20202 intends to apply the sum of One Million Five Hundred Thousand Pesos Only (Php. 1,500,000.00) being the Approved Budget for the</t>
  </si>
  <si>
    <t xml:space="preserve"> Concreting of  Alley Roads</t>
  </si>
  <si>
    <t xml:space="preserve"> CONCRETING OF PAVEMENT @ BRGY. STO. CRISTO, CSJDM BULACAN</t>
  </si>
  <si>
    <t xml:space="preserve"> Continuation Development Center</t>
  </si>
  <si>
    <t xml:space="preserve"> Other Supplies &amp; Materials Expenses</t>
  </si>
  <si>
    <t xml:space="preserve"> July 1, 2020 REQUEST FOR QUOTATION (RFQ) CRYOTUBE (500 PIECES/BAG) 1.	The Batangas Medical Center hereinafter referred to as the “Purchaser” now request for submission of price proposal for the procurement of the aforesaid item described in the Technical </t>
  </si>
  <si>
    <t xml:space="preserve"> WDR Ir Dome Camera Network units 13 * 7mm-35mm 5x Zoom * Lens 5x Zoom 8MP 8MP WDR IR Mini Bullet Network Camera units 19 * 1/1.8" 8Megapixel progressive scan CMOS * H. 265&amp;H.264 dual-stream encoding * 25/30 fps @ 8MP (3840x2160) * WDR (120dB), Day/Night (</t>
  </si>
  <si>
    <t xml:space="preserve"> Purified Drinking water (5 Liters) Staggered Delivery 40-50 gallons per month ***depending on the availability of empty bottle Location:  Bldg H UP Ayala Technohub Commonwealth Quezon City Payment Terms: 30 days from the receipt of invoice (monthly) Gener</t>
  </si>
  <si>
    <t xml:space="preserve"> Purchase of materials for the Repair and Maintenance of Power Spray.</t>
  </si>
  <si>
    <t xml:space="preserve"> Republic of the Philippines          City of Dumaguete Bids and Awards Committee INVITATION TO BID FOR PURCHASE REQUEST OF 13 CU.M SAND STD. SPECS AND OTHER ITEMS 	The City of Dumaguete thru its BIDS AND AWARDS COMMITTEE (BAC), invites all interested manu</t>
  </si>
  <si>
    <t xml:space="preserve"> I. Mobilization II. CSHP III. Porject Billboard IV. Masonry Works V. Roof Framing VI. Plumbing Works VII. Carpentry Works VIII. Forms and Scaffolding IX. External X. Windows XI. Painting Works Labor</t>
  </si>
  <si>
    <t xml:space="preserve"> Renovation/Improvement of Existing Material Recovery Facility (MRF) at Brgy. Bantog, Asingan, Pangasinan. Pre-Bid Conference: July 10, 2020 at 9:30 A.M. at the Conference Room Submission/Receipt/Opening of Bids :  July 22, 2020 at 9:30 AM at the Conferenc</t>
  </si>
  <si>
    <t xml:space="preserve"> Chromatography Paper 3mm 46 x 57 mm (pack of 100)  1st staggered: 2 packs within 6 weeks upon receipt of PO;  2nd staggered: 1 pack-  2 months after receipt of 1st delivery General Conditions: 1. All entries must be typewritten or in print. 2. Price valid</t>
  </si>
  <si>
    <t xml:space="preserve"> Procurement of Computer Set - 4 units Mid-ATX Casing 700W PSU 200GE  3.2GHz Processor Socket AM4 700W Power Supply (Bundle with Casing) 500GB 7200RPM SATA Hard Disk Drive USB Keyboard and Mouse S2H Mother Board 4G DDR4 PC2666Mhz KVR26N 19S8/4 Single 18.5 </t>
  </si>
  <si>
    <t xml:space="preserve"> Repair of Electric Safety Breaker in New Admin. Building.</t>
  </si>
  <si>
    <t xml:space="preserve"> Republic of the Philippines Province of Cagayan Municipality of Sta. Teresita BARANGAY ARIDOWEN INVITATION TO BID FOR THE SUPPLY AND DELIVERY OF MATERIALS AND LABOR FOR THE CONTINUATION OF WATER SYSTEM UNDER ITB No. CW004-2020 The LGU Aridowen, Sta. Teres</t>
  </si>
  <si>
    <t xml:space="preserve"> Please quote your lowest price inclusive of VAT and freight/delivery charges on the item/s listed below, subject to the terms and conditions of this RFQ, and submit your quotation duly signed by your authorized representative not later than July 8, 2020 a</t>
  </si>
  <si>
    <t xml:space="preserve"> I. Mobilization	 II. CSHP	 III. Road Preparation	 	a. Equipment 	b. Materials IV. Portland Cement	 V. Equipment	 Labor</t>
  </si>
  <si>
    <t xml:space="preserve"> FOR MAINTENANCE OF VEHICLE (CLOSE VAN)</t>
  </si>
  <si>
    <t xml:space="preserve"> Republic of the Philippines MUNICIPALITY OF BUENAVISTA INVITATION TO BID FOR FABRICATION OF CABINETS AND SHELVES AT MUNICIPAL HEALTH OFFICE    1.	The Local Government Unit of Buenavista, Marinduque through the fund from the Maternal Care Package CY 2020 i</t>
  </si>
  <si>
    <t xml:space="preserve"> PARTICULARS	DATE Pre-bid Conference @ BAC Conference Room, GSO, 1st floor, New Capitol Blg, Pigcarangan, Tubod,LDN.	July 16,  2020 @ 10:00 AM Deadline for Submission of Eligibility requirements and bidding documents for bid opening (all bids must be place</t>
  </si>
  <si>
    <t xml:space="preserve"> ten wheeler truck</t>
  </si>
  <si>
    <t xml:space="preserve"> Procurement of the following consumables: 100 reams Bond paper A4 size, 70gsm, 500pcs/ream	 20 boxes Ballpen, black, blue (Ordinary), 12pcs/box	 10 packs	White Folder,14pt. 8.5"x13" size, 100pcs/pack	 10 packs White Folder, 14pt. A4 size, 100pcs/pack	 40 </t>
  </si>
  <si>
    <t xml:space="preserve"> 20CSE012: Consulting Services for the Conduct of Environmental Impact Assessment (EIA), Preparation of Environmental Impact Assessment Statement (EIS) and Application of Environmental Compliance Certificate (ECC) of Widening of Calapan South Road (CSR) fr</t>
  </si>
  <si>
    <t xml:space="preserve"> ITEM No.	Description	 Quantity 	Unit 			 803(1)a	Structure Excavation(Common Soil, Manual Excavation)	 19.87 	cu.m. 804(1)a	Embankment from Structure Excavation	 17.10 	cu.m. 804(1)b	Embankment from Common Borrow by Equipment	 38.19 	cu.m. 804(4)	Gravel F</t>
  </si>
  <si>
    <t xml:space="preserve"> One(1) Job Contract Furnishing Materials</t>
  </si>
  <si>
    <t xml:space="preserve"> 20ID0076 	Supply/Delivery with Installation of Internally Illuminated (Solar) Pavement Levelled Marker/Stud,Flush Type,Type GI05                Bi-Directional, along Palo-Carigara-Ormoc Road,K0942+(-935)-K0942+100 &amp; K0973+700-K0975+000	Pavement Levelled/ </t>
  </si>
  <si>
    <t xml:space="preserve"> REQUEST FOR QUOTATION The Municipality of Allacapan, through its Bids and Awards Committee (BAC), invites suppliers/distributors/contractors to SUBMIT QUOTATION for the hereunder project: Name of Contract :Purchase of 1 unit laptop, 1 printer and 1 monito</t>
  </si>
  <si>
    <t xml:space="preserve"> INVITATION TO BID FOR THE  PROCUREMENT OF SERVICES – PUBLICATION OF PLANS AND PROGRAMS OF MAYOR LANI MERCADO REVILLA AND THE CITY GOVERNMENT OF BACOOR (BATCH 2) - CIO 1.	The City Government of Bacoor, Cavite, through the General Fund Year 2020 intends to </t>
  </si>
  <si>
    <t xml:space="preserve"> ITEM UNIT DESCRIPTION QNTY</t>
  </si>
  <si>
    <t xml:space="preserve"> Description REQUEST FOR QUOTATION The Municipality of Allacapan, through its Bids and Awards Committee (BAC), invites suppliers/distributors/contractors to submit quotation for the hereunder project: Name of Contract : Purchase of One (1) Unit non-inverte</t>
  </si>
  <si>
    <t xml:space="preserve"> Republic of the Philippines  Province of Northern Samar Municipality of Mondragon The Local Goverment Unit (LGU), through the Bids and Award Committee (BAC), invites contractors /manufacturers / distributors to apply for eligibility and to submit quotatio</t>
  </si>
  <si>
    <t xml:space="preserve"> 1	1 UNIT	AUTOMATIC VERTICAL FORM FILL SEAL MACHINE Sealer Type: Center Seal Fill Volume: 50-200 grms/ml Product: liquid &amp; powder Bag Size: L(80-280mm) x W(40-200mm) Speed: 10-35 packs/min Power: 220V, 1ph/1.8 kW</t>
  </si>
  <si>
    <t xml:space="preserve"> Procurement of Sixty Two (62) Pcs White Board Marker &amp; 18 LI</t>
  </si>
  <si>
    <t xml:space="preserve"> BIDS AND AWARDS COMMITTEE (BAC) Email address: bacregion2@yahoo.com Telefax No.: (078) 304-0560 INVITATION TO BID ITB No.: 2020-07-24 The Department of Agriculture – Regional Field Office No. 02 (DA-RFO 02) through its Bids and Awards Committee (BAC) invi</t>
  </si>
  <si>
    <t xml:space="preserve"> INVITATION FOR SUBMISSION OF QUOTATION (SMALL VALUE PROCUREMENT) 	The local Government Unit of Can-avid, through is Bid and Awards Committee (BAC). Invites suppliers to apply for eligibility, to bid for the hereunder contract: Name of Contract:  	Repair a</t>
  </si>
  <si>
    <t xml:space="preserve"> Semi Expendable Machinery &amp; Equip-Books</t>
  </si>
  <si>
    <t xml:space="preserve"> Republic of the Philippines							 DEPARTMENT OF PUBLIC WORKS AND HIGHWAYS							 PANGASINAN IV							 DISTRICT ENGINEERING OFFICE							 REGIONAL OFFICE I							 Tuliao, Sta. Barbara, Pangasinan							 Name of Procuring Entity: PANGASINAN IV DISTRICT ENG</t>
  </si>
  <si>
    <t xml:space="preserve"> Office supplies and equipment</t>
  </si>
  <si>
    <t xml:space="preserve"> 1.  500 ltrs  Diesel 2.  600  ltrs  Gasoline x-x-x-x-x</t>
  </si>
  <si>
    <t xml:space="preserve"> PURCHASE AND DELIVERY OF MATERIALS FOR THE CONSTRUCTION OF TAMBUNAC MP BUILDING (COVERED GYM) PHASE IV, BRGY. TAMBUNAC DINGLE, ILOILO</t>
  </si>
  <si>
    <t xml:space="preserve"> Republic of the Philippines Province of Cagayan Municipality of Solana -oOo- BIDS AND AWARDS COMMITTEE (BAC) Invitation to Bid for Improvement of Sampaguita Public Market (Comfort Room) Sampaguita, Solana, Cagayan 1.	The Municipal Government of Solana, th</t>
  </si>
  <si>
    <t xml:space="preserve"> Republic of the Philippines DEPARTMENT OF PUBLIC WORKS AND HIGHWAYS CAMARINES SUR SECOND DISTRICT ENGINEERING OFFICE Regional Office V Baras, Canaman, Camarines Sur INVITATION TO BID FOR  20FE0132 – CONSTRUCTION OF CLASSROOMS, CAIMA ES, LIBMANAN, CAMARINE</t>
  </si>
  <si>
    <t xml:space="preserve"> ITEM NO.	ITEM DESCRIPTION							QTY.	UNIT	ESTIMATED COST              1	To Furnish Labor and Materials for Repair and Waterproofing of				1	lot	280,000.00 	Roofs at Aqua Center Gym in the Amount of ………..									 										 Project Name:		To Furnish Labor</t>
  </si>
  <si>
    <t xml:space="preserve"> Spl-1 Excavation Spl-2 Concrete Works (Ramp) Masonry Works Spl-3 (Smoothed finished) Spl-4 Railings Spl-5 Painting Works Spl-6 Tiles Works Spl-7 Elecrical Works</t>
  </si>
  <si>
    <t xml:space="preserve"> PROCUREMENT OF ANIMAL / ZOOLOGICAL SUPPLIES</t>
  </si>
  <si>
    <t xml:space="preserve"> Republic of the Philippines PROVINCE OF PAMPANGA City of San Fernando INVITATION TO BID NO. 2020-22 IG-BAC INVITATION TO BID FOR PURCHASE REQUEST NO. 20-0716 The Provincial Government of Pampanga (“Province”) intends to apply the following sums from the f</t>
  </si>
  <si>
    <t xml:space="preserve"> I.SITE CLEARING &amp; LAYOUT  II.IMPOUNDED TANK A.STRUCTURE EXCAVATION B.FILLING MATERIALS III.CONCRETE WORKS OF IMPOUNDED TANK CW-1.STRUCTURAL CONCRETE CW-2.FILLING MATERIALS CW-3.FORMWORKS CW-4PLUMBINGWORKS IV.TRANSMISSION LINE V.BILLBOARD CONSTRUCTION VI.F</t>
  </si>
  <si>
    <t xml:space="preserve"> Food assistance to 30 barangays of this Municipality</t>
  </si>
  <si>
    <t xml:space="preserve"> 20ID0077 	Supply and Installation of Thermoplastic Pavement Markings along Bagahupi-Babatngon-Sta. Cruz-Barugo-Carigara Rd.K0935+(-076)-K0938+700 	Traffic Engineering and Management System (inc. Road Safety Devices)	1,022,154.82	SR2020-04-004858  	94 CD	5</t>
  </si>
  <si>
    <t xml:space="preserve"> Procurement of Long Bondpaper -  870 reams 500 sheets per ream Multipurpose, Legal Size, 70 gsm Acid Free Dust Free Trouble Free Eco-friendly Non-Glare/Eye Friendly Door to Door Delivery</t>
  </si>
  <si>
    <t xml:space="preserve"> Amount of Bid Docs 2,000.00 To all suppliers, Bid Documents are available at BAC Office on July 9, 2020 Please qoute your Lowest Price; Item No. Quantity Unit Description 1	5	boxes	Cord Clamp 2	12	rolls	        Gauze (Big) 3	30	boxes	Syringe 3cc 4	2	boxes</t>
  </si>
  <si>
    <t xml:space="preserve"> PROJECT: PROPOSED ROOFING OF  STAGE LOCATION: BARANGAY DUNGAN APPROVED BUDGET FOR THE CONTRACT: PHP 148,888.00 SOURCE OF FUND: 10% SK FUND The contract to be performed by the successful bidder shall be specified in the Technical Quotation Form of the Bid </t>
  </si>
  <si>
    <t xml:space="preserve"> TITLE: PROCUREMENT OF OFFICE SUPPLIES AND EQUIPMENT			 DEPARTMENT: MUNICIPAL PLANNING AND DEVELOPMENT OFFICE			 			 ITEM NO.	QTY	UNIT	ITEM DESCRIPTION 1	9	pcs	Epson 003 ink 65 ml black 2	9	pcs	Epson 003 ink 65 ml magenta 3	9	pcs	Epson 003 ink 65 ml cyan 4</t>
  </si>
  <si>
    <t xml:space="preserve"> Republic of the Philippines Province of Cagayan Municipality of Sta. Teresita BARANGAY ARIDOWEN INVITATION TO BID FOR THE SUPPLY AND DELIVERY OF MATERIALS AND LABOR FOR THE REHAB/IMPROV. OF DRAINAGE CANAL UNDER ITB No. CW006-2020 The LGU Aridowen, Sta. Te</t>
  </si>
  <si>
    <t xml:space="preserve"> Republic of the Philippines Province of Northern Samar Municipality of Mondragon The Local Goverment Unit (LGU), through the Bids and Award Committee (BAC), invites contractors /manufacturers / distributors to apply for eligibility and to submit quotation</t>
  </si>
  <si>
    <t xml:space="preserve"> A) REQUEST FOR QUOTATION 1. 4 units Backpack MISTBLOWERS  Note: Delivery Period: Ten (10) Calendar days B) USE COMPANY LETTERHEAD FOR YOUR QUOTATION &amp; ADDRESS TO: DIR. JAMES JUPER B. AGUILAR Head, Procurement Unit Office of the President M-123 Mabini Hall</t>
  </si>
  <si>
    <t xml:space="preserve"> Description REQUEST FOR QUOTATION The Municipality of Allacapan, through its Bids and Awards Committee (BAC), invites suppliers/distributors/contractors to submit quotation for the hereunder project: Name of Contract : Purchase of One (1) Unit split type </t>
  </si>
  <si>
    <t xml:space="preserve"> Location				: Opol, Misamis Oriental		 Total Approved Budget for the  Contract (ABC)	: Three Hundred Ninety Nine Thousand Thirteen Pesos and 59/100 Only (Php 399,013.59) Delivery Period				: 30 Calendar Days</t>
  </si>
  <si>
    <t xml:space="preserve"> The National Irrigation Administration-Regional Office 12, Villarica, Midsayap, Cotabato, through the Fund 501 has the Approved Budget for the Contract (ABC) amounting to EIGHTY TWO THOUSAND PESOS (P 82,000). Quotation received in excess of the ABC shall </t>
  </si>
  <si>
    <t xml:space="preserve"> 1	Drug Testing Kits							1,097	pcs	79.00 Project Name:		for use in the Office Of the Governor/Augmentation to Support Aftercare reintegration (CSAR) Program for Drug Surrenderers							 Place of Delivery:		Provincial Governor's Office							 ABC:P86,663.</t>
  </si>
  <si>
    <t xml:space="preserve"> 4 rolls HDPE PIPE 2''                                                       3 rolls HDPE PIPE 1'' 60 mtrs HDPE PIPE 3/4''                                              555 mtrs HDPE PIPE 1/2'' 4 pcs PE MALE ADAPTOR 1/2''                                    </t>
  </si>
  <si>
    <t xml:space="preserve"> 4	gals	QDE white 1	gal	Red lead primer 4	gal	Gloss latex 2	gal	Paint thinner 0.25	lit	Lamp black (acri color) 5	pcs	Spatula 5	pcs	Baby roller 5	pcs	Paint brush 2" 23	pcs	Sanding paper 2	gals	Flat latex</t>
  </si>
  <si>
    <t xml:space="preserve"> Republic of the Philippines DEPARTMENT OF PUBLIC WORKS AND HIGHWAYS CAMARINES SUR SECOND DISTRICT ENGINEERING OFFICE Regional Office V Baras, Canaman, Camarines Sur INVITATION TO BID FOR  20FE0133 – CONSTRUCTION OF CLASSROOMS, VILLA SOCORRO ES, LIBMANAN, </t>
  </si>
  <si>
    <t xml:space="preserve"> Training Expense-</t>
  </si>
  <si>
    <t xml:space="preserve"> REQUEST FOR QUOTATION											 											 RFQ No.		SVP 20-0563				Date				May 06, 2020	 PR Reference		100-20-04-056				Implementing Office				City Admin Office	 Closing Date and Time					May 14, 2020		,5PM				 Designated Places of Submission (Bid Box D</t>
  </si>
  <si>
    <t xml:space="preserve"> PROCUREMENT OF ONE HUNDRED SIXTY (160) BAGS OF RICE (25 KILOS)</t>
  </si>
  <si>
    <t xml:space="preserve"> ALBAY 3RD DISTRICT ENGINEERING OFFICE																																																									 Paulog, Ligao City																																																									 																																																									 																										</t>
  </si>
  <si>
    <t xml:space="preserve"> 1	40	pails	Flat Latex 			 2	50	bags	Skim Coat			 3	32	pails	Gloss White			 4	40	pcs.	Roller 7"			 5	55	pcs.	Paint Brush 2"			 6	60	pcs.	Sandpaper #100			 7	60	pcs.	Sandpaper #120			 8	20	gal.	Concrete Neutralizer			 9	15	pcs.	Spatula			 10	48	ltr.	Raw Sie</t>
  </si>
  <si>
    <t xml:space="preserve"> 1 Lot Supply and Delivery of  of IT Equipment IT Equipment for the BSU-International Relation Office (IRO) ABC: 294,300.00  2 unit Laptops brand new , 4 cores, 6 threads; screen sizeof 13.3 inches maximum   1 unit Desktop brand new, 4  cores, 6 threads; s</t>
  </si>
  <si>
    <t xml:space="preserve"> INVITATION FOR SUBMISSION OF QUOTATION (SMALL VALUE PROCUREMENT) 	The local Government Unit of Can-avid, through is Bid and Awards Committee (BAC). Invites suppliers to apply for eligibility, to bid for the hereunder contract: Name of Contract:  	Office S</t>
  </si>
  <si>
    <t xml:space="preserve"> INVITATION TO BID FOR THE  PROCUREMENT OF SERVICES – PRINTING AND PUBLICATION OF NEWSLETTER RELEASES OF THE CITY GOVERNMENT OF BACOOR VARIOUS PROGRAMS AND ACTIVITIES OR 3RD QUARTER - CIO 1.	The City Government of Bacoor, Cavite, through the General Fund Y</t>
  </si>
  <si>
    <t xml:space="preserve"> Procurement of the following janitorial supplies: 5 sets High quality mop, 2 bucket with Side Press Wringer, 5 liters Capacity.	 24 pcs. Doormat	 10 pcs. Dishwashing liquid 800ml	 10 cans Car gel freshener, can, 70g	 36 bottles Disinfectant spray 500ml	  </t>
  </si>
  <si>
    <t xml:space="preserve"> INVITATION TO BID FOR THE PROCUREMENT OF MATERIALS FOR THE REHABILITATION OF FLOORING OF MULTI PURPOSE BUILDING OF BARANGAY DAPDAP, TIGBAUAN, ILOILO</t>
  </si>
  <si>
    <t xml:space="preserve"> 45      pcs        Battery Pack 7.4V         1,000.00          45,000.00 3        pcs        Battery Pack                2,000.00            6,000.00                                                                     Total:  51,000.00</t>
  </si>
  <si>
    <t xml:space="preserve"> Republic of the Philippines CENTRAL BICOL STATE UNIVERSITY OF AGRICULTURE-SIPOCOT Impig, Sipocot, Camarines Sur INVITATION TO BID FOR Supply and Delivery of I.T Equipment and Peripherals (Second Publication) 1.	The CENTRAL BICOL STATE UNIVERSITY OF AGRICU</t>
  </si>
  <si>
    <t xml:space="preserve"> REPUBLIC OF THE PHILIPPINES LOCAL GOVERNMENT UNIT OF BAROY BAROY LANAO DEL NORTE INVITATION TO BID SUPPLY, DELIVERY WITH INSTALLATION TWO (2) UNITS FLOOR MOUNTED AIRCON (5 TONNER) CENTER HALL ITB NO. 2020-06-277 The Procuring Entity LGU BAROY through its </t>
  </si>
  <si>
    <t xml:space="preserve"> Republic of the Philippines Province of Cagayan Municipality of Solana -oOo- BIDS AND AWARDS COMMITTEE (BAC) Invitation to Bid for Rehabilitation of farm to market road Dassun, Solana, Cagayan 1.	The Municipal Government of Solana, through General Fund-20</t>
  </si>
  <si>
    <t xml:space="preserve"> QTY   UNIT      DESCRIPTION                          FIRE TRUCK 1	unit	     Clutch Booster Assy 		         MTS L300-NR7311 1	pc	     Fuel Filter 1	pc	     Clutch Disc 1	pc	     Caloper Bolt 		         DUMP TRUCK 2	pcs	     Tire 750 x 16#8597 		         AM</t>
  </si>
  <si>
    <t xml:space="preserve"> 1	pc	Panel box 4 branches 1	pc	Circuit breaker 100 ampheres 1	pc	Circuit breaker 60 ampheres 1	pc	Circuit breaker 30 ampheres 1	pc	Circuit breaker 15 ampheres 1	box	THHN wire #14 8	pcs	LED bulb 12 watts 2	pcs	LED foglight 70 watts 5	pcs	Receptacle 4 x 4 5</t>
  </si>
  <si>
    <t xml:space="preserve"> Republic of the Philippines Province of Cagayan Municipality of Sta. Teresita BARANGAY ARIDOWEN INVITATION TO BID FOR THE SUPPLY AND DELIVERY OF MATERIALS AND LABOR FOR THE CONSTRUCTION OF BARANGAY MARKER UNDER ITB No. CW005-2020 The LGU Aridowen, Sta. Te</t>
  </si>
  <si>
    <t xml:space="preserve"> Storage Facility Rental August to December 2020</t>
  </si>
  <si>
    <t xml:space="preserve"> Bicol Medical Center Concepcion Pequeña, Naga City, 4400 (0998-247-0239/0906-256-9238          E-mail Address: bmc.bacoffice@gmail.com INIVITATION TO BID PROCUREMENT OF HOSPITAL BEDS  TB No. 2020-18 1.	The BICOL MEDICAL CENTER, through INCOME/HFEP 2019/SA</t>
  </si>
  <si>
    <t xml:space="preserve"> 2	units	System Unit 		ROG Strix GL10CS-PH002D 		 - intel Core i5 9400 		 - 2.9GHZ up to 4.1GHz 		 - 8GB DDR4 Memory 		 - NVIDIA GeForce GT1030 2GB 1HDMI, 1DVI 		 - 1TB Hardrive + 128GB M.2 SSD 		 - wifi/bluetooth 		 - windows 10 OS 		 - Mouse &amp; keyboard 3</t>
  </si>
  <si>
    <t xml:space="preserve"> 3       shts         steel plate 6mm             13,575.00          40,725.00 1       shts         steel palte 4mm             11,500.00          11,500.00 1       box         welding rod #12             4,850.00            4,850.00 1       length      c-</t>
  </si>
  <si>
    <t xml:space="preserve"> Republic of the Philippines Cordillera Administrative Region Province of Kalinga B A L B A L A N MUNICIPALITY OF BALBALAN Invitation to Apply for Eligibility and to Bid for the REHABILITATION OF GAWAAN SUSPENSION FOOTBRIDGE, SALTAN, GAWAAN, BALBALAN, KALI</t>
  </si>
  <si>
    <t xml:space="preserve"> PROCUREMENT OF ASSORTED ITEMS FOR MEALS AND SNACKS DURING THE REGULAR MEETING OF THE MUNICIPAL OFFICIALS AND DEPUTY MAYORS</t>
  </si>
  <si>
    <t xml:space="preserve"> TONER BROTHER MFC-L5900DW Printer Ink Toner Cartridge 1.	Black 2.	Cyan 3.	Magenta 4.	Yellow Specifications: •	Brand: HP •	Model: 416A Printer Ink Toner Cartridge 1.	Black 2.	Cyan 3.	Magenta 4.	Yellow Specifications: •	Brand: HP •	Model: 410A</t>
  </si>
  <si>
    <t xml:space="preserve"> To purchase for brgy. use</t>
  </si>
  <si>
    <t xml:space="preserve"> PROCUREMENT OF OFFICE EQUIPMENT FOR THE LOCAL GOVERNMENT UNIT COMPUTERIZATION PROGRAM</t>
  </si>
  <si>
    <t xml:space="preserve"> Water Dispenser 1 Unit Pls. submit your quotation thru email:  mi_lynsn@yahoo.com x-x-x-x-x-x-x-x-x-x-x-x-x-x-x-x-x Total ABC  (in PhP)  6,500.00</t>
  </si>
  <si>
    <t xml:space="preserve"> TITLE: PROCUREMENT OF VEHICLE ACCESSORIES			 DEPARTMENT: GENERAL SERVICES OFFICE			 			 ITEM NO.	QTY	UNIT	ITEM DESCRIPTION 1	2	pcs	3SM ENGINEERING GRADE REFLECTIVE SHEETING 			FOR TWO (2) UNITS AMBULANCE 			 ABC: 85,600.00</t>
  </si>
  <si>
    <t xml:space="preserve"> 556 packs Battery, Dry Cell, AAA (2pcs. per Blister pack)</t>
  </si>
  <si>
    <t xml:space="preserve"> Installation and distribution of pipes.</t>
  </si>
  <si>
    <t xml:space="preserve"> 4 unit     Digital Duplicator  Specifications: Master Making/Printing Methods	        High-speed digital master-making/Fully automatic printing	 Original Type	                                Book or sheet                           Quick Master        - Ap</t>
  </si>
  <si>
    <t xml:space="preserve"> RCC pipes (910mm Ø)		pcs	14</t>
  </si>
  <si>
    <t xml:space="preserve"> Republic of the Philippines DEPARTMENT OF PUBLIC WORKS AND HIGHWAYS CAMARINES SUR SECOND DISTRICT ENGINEERING OFFICE Regional Office V Baras, Canaman, Camarines Sur INVITATION TO BID FOR  20FE0135 – CONSTRUCTION OF CLASSROOMS, GÑARAN ES, SAN FERNANDO, CAM</t>
  </si>
  <si>
    <t xml:space="preserve"> epublic of the Philippines Province of Leyte MUNICIPALITY OF TABANGO Invitation to Bid for Local Access Road Upgrading   Brgy. Gimarco, Tabango, Leyte 1.	The Local Government of Tabango, through the 2019 LGSF-AM (Trust Fund)   intends to apply the sum of </t>
  </si>
  <si>
    <t xml:space="preserve"> Project Construction</t>
  </si>
  <si>
    <t xml:space="preserve"> Republic of the Philippines Province of South Cotabato City of Koronadal BIDS AND AWARDS COMMITTEE Invitation to Bid for the Construction of Lined Canal, Purok Bagong Sikat, Brgy. General Paulino Santos (GPS), City of Koronadal 1.	The City Government of K</t>
  </si>
  <si>
    <t xml:space="preserve"> Republic of the Philippines Province of Misamis Occidental Municipality of Plaridel INVITATION TO APPLY FOR ELIGIBILITY AND TO BID 	 	The Local Government Unit, LGU-Plaridel, Misamis Occidental, through its Bids and Awards Committee (BAC), invites supplie</t>
  </si>
  <si>
    <t xml:space="preserve"> Republic of the Philippines Province of Cagayan Municipality of Solana -o0o- BIDS AND AWARDS COMMITTEE (BAC) INVITATION TO BID FOR  Supply and delivery of rescue equipment’s -LDRRMO-LGU Solana, Cagayan 1.	The Municipal Government of Solana, through the Ge</t>
  </si>
  <si>
    <t xml:space="preserve"> PURCHASE AND DELIVERY OF MATERIALS FOR THE CONSTRUCTION OF ALEGRIA MP BUILDING (COVERED GYM) PHASE III, BRGY. ALEGRIA DINGLE, ILOILO</t>
  </si>
  <si>
    <t xml:space="preserve"> WIFI Duplex All-in-One Ink Tank Computer Printer with ADF.									 SPECIFICATIONS:									 Printer Type:   Print, Scan, Copy with ADF									 PRINTING METHOD									 Print Method:  Precision Core Print head									 Minimum Ink Droplet Volume:  3.3 pl</t>
  </si>
  <si>
    <t xml:space="preserve"> Republic of the Philippines Cordillera Administrative Region Province of Kalinga B A L B A L A N MUNICIPALITY OF BALBALAN Invitation to Apply for Eligibility and to Bid for REPLACEMENT OF KACHILAN SLAB-FOOT-BRIDGE (POSA), POBLACION, KACHILAN, BALBALAN, KA</t>
  </si>
  <si>
    <t xml:space="preserve"> Construction of evacuation center</t>
  </si>
  <si>
    <t xml:space="preserve"> Spl-1 - Clearing and Grubbing 105 - Subgrade Preparation 200 - Agg. Sub Base course, 0.10m. thk. 311 - PCC Pavement, (0.15m. thk.)</t>
  </si>
  <si>
    <t xml:space="preserve"> Consulting Services for Technical Benchmarks for Gifts, Decors and Handicrafts Industries namely: Gift Items, Decors, Housewares, Natural Fibers, and Fashion and Accessories                                                   Identify the process and define</t>
  </si>
  <si>
    <t xml:space="preserve"> Republic of the Philippines DEPARTMENT OF PUBLIC WORKS AND HIGHWAYS CAMARINES SUR SECOND DISTRICT ENGINEERING OFFICE Regional Office V Baras, Canaman, Camarines Sur INVITATION TO BID FOR  20FE0134 – CONSTRUCTION OF CLASSROOMS, PINAMASAGAN NATIONAL HIGH SC</t>
  </si>
  <si>
    <t xml:space="preserve"> 1 lot Provincial  of NIP Polo shirt, T-shirt with print Including labor And Materials as 							1	lot	100,250.00 per Sample									 									 Sizes:POLO Shirt Men's Size (4 color)									 2XL = 1 pc									 XL  = 3 pcs									 L  =14 pcs									 M = </t>
  </si>
  <si>
    <t xml:space="preserve"> Republic of the Philippines DEPARTMENT OF PUBLIC WORKS AND HIGHWAYS SURIGAO DEL SUR II DISTRICT ENGINEERING OFFICE REGIONAL OFFICE XIII Bislig City INVITATION TO BID The Department of Public Works and Highways (DPWH), Surigao del Sur 2nd District Engineer</t>
  </si>
  <si>
    <t xml:space="preserve"> Republic of the Philippines DEPARTMENT OF PUBLIC WORKS AND HIGHWAYS CAMARINES SUR SECOND DISTRICT ENGINEERING OFFICE Regional Office V Baras, Canaman, Camarines Sur INVITATION TO BID FOR  20FE0136 – CONSTRUCTION OF CLASSROOMS, CALASCAGAS PS, SAN FERNANDO,</t>
  </si>
  <si>
    <t xml:space="preserve"> REQUEST FOR QUOTATION														 														 RFQ No.		NP 20 - 0755				Date				7/1/2020				 PR Reference		100-20-05.033.1				Implementing Office				CSWDO				 Closing Date and Time						July 07, 2020 @ 5:00 P.M.								 Designated Places of Submission</t>
  </si>
  <si>
    <t xml:space="preserve"> 1.	Contract ID No.	: 20GAD0006  	Contract Name/	: Supply and delivery of materials for the Repair and Maintenance 	Location	 along Jct. Santiago-Banayoyo-Lidlidda-San Emilio-Quirino Road  	Brief Description of  Goods to be Procured	:   		 ITEM NO.	PARTICU</t>
  </si>
  <si>
    <t xml:space="preserve"> Republic of the Philippines Cordillera Administrative Region Province of Kalinga B A L B A L A N MUNICIPALITY OF BALBALAN Invitation to Apply for Eligibility and to Bid for the CONSTRUCTION OF MULTI-PURPOSE HALL (PHASE I), TALALANG, BALBALAN, KALINGA PROV</t>
  </si>
  <si>
    <t xml:space="preserve"> -3 SM/2 SM - Supplier must have facility within Region 1 *Staggered Delivery</t>
  </si>
  <si>
    <t xml:space="preserve"> For the supply and delivery of the following: 200	set 	PPE Laboratory Gown Set (includes: goggles, gloves, shoe cover, coverall, surgical gown, face mask                  and head cap)			 		Small - 10 set			 		Medium - 60 set			 		Large - 70 set			 		Extr</t>
  </si>
  <si>
    <t xml:space="preserve"> Supply and Delivery of Tire 8 pcs 255/70 R15 108S for Isuzu Dmax  Pls. submit your quotation thru email:  mi_lynsn@yahoo.com Note:  Price Validity 120 days            Price VAT Inclusive and all other government taxes Delivery Date:  15 days x-x-x-x-x-x-x</t>
  </si>
  <si>
    <t xml:space="preserve"> 1.	Contract ID: 20EI0183 Contract Name: Repair/Maintenance of DPWH Building Main Building – Various Offices (Construction, Maintenance, Procurement, Office of the District Engineer, Finance &amp; Accounting), Southern Mindoro, District Engineering Office,  Lo</t>
  </si>
  <si>
    <t xml:space="preserve"> Repair &amp; Maintenance ICT Equipment</t>
  </si>
  <si>
    <t xml:space="preserve"> Rehabilitation/repair of 27 units existing streetlights globe type at sitio Urbano, Hi-way West, Provincial, Kabilang Ilog &amp; KM 8 &amp; installation of additional 3 units streetlights at sitio Corehousing</t>
  </si>
  <si>
    <t xml:space="preserve"> 1	Povidone Iodine Oral, 120ml							50	bot	200.00 2	Disposable bib Dry pack							40	pack	400.40 3	Examination Gloves							60	box	400.53 4	Face mask (earlope)							40	box	300.00 5	Disp. Water Plastic Glass 8oz							50	box	110.00 6	Absorbent Cotton Ball</t>
  </si>
  <si>
    <t xml:space="preserve"> 70 set Bedding - bed sheet</t>
  </si>
  <si>
    <t xml:space="preserve"> Procurement Materials for the Fabrication &amp; Installation of Roof Canopy for Cultural Center</t>
  </si>
  <si>
    <t xml:space="preserve"> Consulting Services for Technical Benchmarks for Furniture Industries namely: Wood, Metals, Outdoor Furniture, Upholstered and Veneer Identify the process and define the technology or equipment requirement based on the size of the company (Micro, Small an</t>
  </si>
  <si>
    <t xml:space="preserve"> delivey of 16 sets</t>
  </si>
  <si>
    <t xml:space="preserve"> 1.	The OFFICE OF CIVIL DEFENSE, through the OCD CY 2019 – Capital Outlay (Continuing Approprations), intends to apply the sum of Two Million Five Hundred Forty-Five Thousand, Nine Hundred Twenty Pesos (PHP 2,545,920.00) being the Approved Budget for the C</t>
  </si>
  <si>
    <t xml:space="preserve"> 165  REAMS  BOND PAPER LONG SIZE (SUBSTANCE 30) 96  PCS  PRINTER INK BLACK - 003 65ML 47  PCS  PRINTER INK MAGENTA - 003 65ML 47  PCS  PRINTER INK CYAN - 003 65ML 47  PCS  PRINTER INK YELLOW - 003 65ML Note: LOT PRICE</t>
  </si>
  <si>
    <t xml:space="preserve"> Republic of the Philippines MUNICIPALITY OF ECHAGUE Province of Isabela INVITATION TO BID FOR  PROCUREMENT OF  BABY  KITS (MATERNAL HEALTH AND CHILD CARE)  1.	The Local Government Unit , through  the  GENERAL   FUND  Of  2020   intends to apply the sum of</t>
  </si>
  <si>
    <t xml:space="preserve"> REQUEST FOR QUOTATION The National Meat Inspection Service (NMIS) through the Bids and Awards Committee (BAC) is inviting interested parties to submit proposal/quotation for the here under project: Name of Project:    	Supply and Delivery of Infrared Ther</t>
  </si>
  <si>
    <t xml:space="preserve"> I. REMOVAL OF EXISTING STRUCTURE II. STEEL WORKS/PAINTING III. SPL. CONSTRUCTION SAFETY  &amp; HEALTH</t>
  </si>
  <si>
    <t xml:space="preserve"> Republic of the Philippines Cordillera Administrative Region Province of Kalinga B A L B A L A N MUNICIPALITY OF BALBALAN Invitation to Apply for Eligibility and to Bid for the REHABILITATION OF PASINGAN WATER WORK SYSTEM, POSWOY, BALBALAN, KALINGA PROVIN</t>
  </si>
  <si>
    <t xml:space="preserve"> INVITATION TO BID The Municipal Government of La Trinidad through the Bids and Awards Committee (BAC) invites contractors to bid for the hereunder project: Contract Reference No.: POW - 8751 - 2020 - BKL - 04 Name of Project: Improvement of Concrete Pavem</t>
  </si>
  <si>
    <t xml:space="preserve"> ITEM No. 	DESCRIPTION	UNIT	QUANTITY 1	Tire 185x14R-Steel	piece	4 2	Oil Filter	piece	2 3	Brake Pad	set	2 4	Center Post	piece	2 5	Idler Post	piece	1 6	Shifting Cable	set	1 7	Air Cleaner Element 	piece	2 8	Bulb, Headlight	piece	2 9	Wiper Blade	set	1 10	Cross</t>
  </si>
  <si>
    <t xml:space="preserve"> Consulting Services for Technical Benchmarks for Metals and Engineering Industries namely: High Precision Machining (Tool and Die and Automotive Parts, Agricultural Machine Parts, Food Processing Equipment; Machine Shop; and Welding and Fabrication;      </t>
  </si>
  <si>
    <t xml:space="preserve"> RESOLUTION RECOMMENDING THE USE OF NEGOTIATED PROCUREMENT (SMALL VALUE PROCUREMENT) FOR THE DETAILED ENGINEERING DESIGN FOR THE CONSTRUCTION OF MULTI-PURPOSE BUILDING AT BRGY. OLD ZANIGA, MANDALUYONG CITY. RESOLUTION NO. MM1DEO-CS-2020-07-001 WHEREAS, the</t>
  </si>
  <si>
    <t xml:space="preserve"> Republic of the Philippines Province of South Cotabato City of Koronadal BIDS AND AWARDS COMMITTEE Invitation to Bid for the Completion of Provincial Road Gap @ Upper Ladol, Brgy. Assumption, City of Koronadal 1.	The City Government of Koronadal, through </t>
  </si>
  <si>
    <t xml:space="preserve"> PROCUREMENT OF LABOR AND MATERIALS FOR INSTALLATION OF CARPET AT ACWD SERVER ROOM/COA ROOM SPECIFICATIONS: CARPET SIZE: 48 SQ. M.  COLOR: GRAY NOTES: 1. Price quotations must be valid for a period of thirty (30) calendar days from the date of submission. </t>
  </si>
  <si>
    <t xml:space="preserve"> Spl-1 - Excavation Spl-2 - Concrete Works Spl-3 - Roof and Roof Framing</t>
  </si>
  <si>
    <t xml:space="preserve"> 1. Olanzapine 10 mg ODT tab x 30 blister pack per box	= 688	boxes @ 	330.00 expiration date should be two (2) years upon delivery	 		 2. Quetiapine 200mg tablet x 30 blister pack per box	= 300	boxes	@ 555.00 expiration date should be two (2) years upon de</t>
  </si>
  <si>
    <t xml:space="preserve"> 73,853 persons - Malabon E-Learning Managament System System Features: -Student, Parent Guardian and Teachers Information  -Grading  -Virtual Classroom  -Management of Class section subjects, exams and schedules  -Others 1 lot - Data Communication Operati</t>
  </si>
  <si>
    <t xml:space="preserve"> INVITATION TO BID The Municipal Government of La Trinidad through the Bids and Awards Committee (BAC) invites contractors to bid for the hereunder project: Contract Reference No.: POW - 8751 - 2020 - LBS - 01 Name of Project: Improvement of FMR near Simeo</t>
  </si>
  <si>
    <t xml:space="preserve"> REQUEST FOR QUOTATION										 												 										Date: 	2-Jul-20	 										RFQ No.: 	2020-07-001	 												 		Name of Company:        										 		Address :   										 												 		Business Permit No.:    										 		TIN No.:       								</t>
  </si>
  <si>
    <t xml:space="preserve"> Battery   6 Unit 3SMF Free Maintenance Battery  1 Unit 2SM Free Maintenance, Short Head Type Terminal for Toyota Hi-Lux 2018 Model Pls. submit your quotation thru email:  mi_lynsn@yahoo.com Note:  Price Validity 120 days            Price VAT Inclusive and</t>
  </si>
  <si>
    <t xml:space="preserve"> 3 units - Computer set core i7 , 8GB DDR4 RAM,HDD 1TR 4-UNITS - L6170 PRINTER</t>
  </si>
  <si>
    <t xml:space="preserve"> Republic of the Philippines Province of Leyte MUNICIPALITY OF TABANGO Invitation to Bid for Expansion of Evacuation Center   Brgy. Poblacion, Tabango, Leyte 1.	The Local Government of Tabango, through the 2019 LGSF-AM (Trust Fund)   intends to apply the s</t>
  </si>
  <si>
    <t xml:space="preserve"> This project covers the Construction of Two (2) Story Emergency Operation Center Building.</t>
  </si>
  <si>
    <t xml:space="preserve"> Request for Expression of Interest For Detailed Engineering Design for the Construction of Multi-Purpose Building Eastern Police District, Brgy. Corazon De Jesus, San Juan City The Metro Manila 1st District Engineering Office-NCR-DPWH through the Governme</t>
  </si>
  <si>
    <t xml:space="preserve"> Procurement Materials for the Installation of 10 unit Solar Lamp Post</t>
  </si>
  <si>
    <t xml:space="preserve"> To All Eligible Bidders; Please quote your lowest price on the item listed below, subject to the General Conditions stated herein and submit the same to the Office of the BAC-Secretariat on or before July 20, 2020 at 10:00 o'clock in the morning. (SGD) WU</t>
  </si>
  <si>
    <t xml:space="preserve"> 2' PE Pipe SDR 11 - 40 rolls</t>
  </si>
  <si>
    <t xml:space="preserve"> Arrival	 1	50	cover	Dinner	 ₱250.00  2	50	pax	Lodging	 ₱450.00  			Day 1	 3	80	cover	Breakfast	 ₱150.00  4	80	cover	AM Snacks	 ₱100.00  5	80	cover	Lunch	 ₱250.00  6	80	cover	PM Snacks	 ₱100.00  7	80	cover	Dinner	 ₱250.00  8	60	pax	Lodging	 ₱450.00  9	1	da</t>
  </si>
  <si>
    <t xml:space="preserve"> Construction of Public Alley Date of Bidding : July 15, 2020 Venue:  Barangay Hall Barangay Compania Central Molo Iloilo City</t>
  </si>
  <si>
    <t xml:space="preserve"> Processor: Quad Core 1.3 GHz, Memory: 2 GB, Display Size: 8 Inches, Display Type: IPS LCD Display, Display Resolution: 800 x 1280 Pixels, Storage: 32 GB, Camera: Front and Rear, Network: 4G LTE (Optional, Prefered), Wi-Fi 802.11 b/g/n, Bluetooth, Interfac</t>
  </si>
  <si>
    <t xml:space="preserve"> Supply and Delivery of 16,000 grams Tertiary Butyl Peroxy Benzoate, as per BSP Technical Specifications and Terms and Conditions</t>
  </si>
  <si>
    <t xml:space="preserve"> REQUEST FOR QUOTATION The National Meat Inspection Service (NMIS) through the Bids and Awards Committee (BAC) is inviting interested parties to submit proposal/quotation for the here under project: Name of Project:    	Supply and Delivery of Sampling Para</t>
  </si>
  <si>
    <t xml:space="preserve"> Project: PURCHASE AND DELIVERY OF IT EQUIPMENT AND ACCESSORIES Location: Laurel, Batangas ABC: 329,000.00 Advertisement	July 2-9, 2020	 Pre-bid Conference	-	 Submission of Letter of Intent	July 2-14, 2020	 Issuance of Bid Documents	July 2-14, 2020	 Deadli</t>
  </si>
  <si>
    <t xml:space="preserve"> REQUEST FOR QUOTATION The National Meat Inspection Service (NMIS) through the Bids and Awards Committee (BAC) is inviting interested parties to submit proposal/quotation for the here under project: Name of Project:    	Supply and Delivery of Laboratory Su</t>
  </si>
  <si>
    <t xml:space="preserve"> Portland cement		Bags	193 16mm Ø x6.00 DSB		Pcs	4 10mm Ø x6.00 DSB		Pcs	41 CWN 3”				Kls	5 CWN 2 ½ 				Kls	1 Hacksaw blade			Pcs	4 12mm Øx6.00m DSB		Pcs	24 Marine plywood ¼ 		Pcs	4 CWN 4”				Kls	4 CWN 1”	                        Kls	1 PVC pipe 2”	         </t>
  </si>
  <si>
    <t xml:space="preserve"> Please see attached Purchase Request (PR) for the specifications.</t>
  </si>
  <si>
    <t xml:space="preserve"> Purchase of filing cabinet for the important documents in Barangay Hall.</t>
  </si>
  <si>
    <t xml:space="preserve"> See attachment..</t>
  </si>
  <si>
    <t xml:space="preserve"> Mayor's Office	--------------------------------------------	 183,950.00  SB Office	--------------------------------------------------	 118,495.00  MDRRM	--------------------------------------------------	   38,170.00  HRMO	--------------------------------</t>
  </si>
  <si>
    <t xml:space="preserve"> ITEM No. 	DESCRIPTION	UNIT	QUANTITY 1	Portland Cement 	bag	12 2	1/4" Marine Plywood	pcs	1 3	10mm dia RSB x 6m	pcs	15 4	#16 Tie Wire	kg	2 5	Assorted CWN	kg	5 6	Flat Latex Paint 	gal	1 7	Gloss Latex Paint 	gal	1 8	Tinting Color	pint	1 9	Paint Brush	pcs	1 10</t>
  </si>
  <si>
    <t xml:space="preserve"> UPPS 900 watts /1500VA (Pro BX1500M) Specification :  * Output  :  1500VA /900W                  * Input :120 VAC @ 60Hz + 3 Hz * 10x Total NEMA 5-15R Outlets            * 5 x Battery Back-up &amp;  surge outlets *5 x Surge-Only Outlets                       </t>
  </si>
  <si>
    <t xml:space="preserve"> Republic of the Philippines Cordillera Administrative Region Province of Kalinga B A L B A L A N MUNICIPALITY OF BALBALAN Invitation to Apply for Eligibility and to Bid for the CONTINUATION OF TANAP – CANAO FOOTPATH (PHASE II), MABACA, BALBALAN, KALINGA P</t>
  </si>
  <si>
    <t xml:space="preserve"> 14  unit beds</t>
  </si>
  <si>
    <t xml:space="preserve"> Republic of the Philippines Province of Ilocos Norte MUNICIPALITY OF CURRIMAO INVITATION TO BID FOR  PURCHASE OF CELLCARDS 1.	The Municipality of Currimao intends to apply the sum of [Two Hundred Six Thousand Pesos (P206,000.00)] being the Approved Budget</t>
  </si>
  <si>
    <t xml:space="preserve"> INVITATION TO BID The Municipal Government of La Trinidad through the Bids and Awards Committee (BAC) invites contractors to bid for the hereunder project: Contract Reference No.: POW - 8751 - 2020 - PCO - 02 Name of Project: Construction of Box Culvert P</t>
  </si>
  <si>
    <t xml:space="preserve"> 11 - Units - Pallet Lifter Manual, heavy duty hydraulic hand pallet jacks truck, at least 6600 lb load capacity, 48" to 50" height, 27" width x 54" to 60" length fork; with super polyurethane on steel wheel; with working life of at least 7 years; warranty</t>
  </si>
  <si>
    <t xml:space="preserve"> Republic of the Philippines Province of South Cotabato City of Koronadal BIDS AND AWARDS COMMITTEE INVITATION TO BID FOR THE  Procurement for the Supply and Delivery of Construction Materials for the Various Projects of the City Government of Koronadal – </t>
  </si>
  <si>
    <t xml:space="preserve"> 4 pcs. 7.50 X 15 tire with tube pick uo vehicle 2 pcs. 11 plates battery (pick up) maintenance free 2 pcs. DID chain 428/L130 2 pcs. 90/90-19 tire with tube XR 125 2 pcs. 110/90-17 tire with tube XR 125 2 pcs. # 16 Engine Sprocket XR 125 2 pcs. #49 Rear S</t>
  </si>
  <si>
    <t xml:space="preserve"> Corazon Locsin Montelibano Memorial Regional Hospital, through its Bids and Awards Committee, intends to procure ELECTRICAL SUPPLIES (PR#20-04-70398), which will be undertaken in accordance with Section 53.9 of the Revised Implementing Rules and Regulatio</t>
  </si>
  <si>
    <t xml:space="preserve"> 4	UNITS  LAPTOP RAM	 SPECS:		 * 16GB 		 		 4	UNITS  LAPTOP HARD DRIVE	 SPECS:		 * 1TB SDD 3.5 SATA		 		 * Compatible with Dell Inspiron 15 (5000 series)		 * Free Installation to 4 units Dell Inspiron 15 (5000 series) assigned to COA ROIX RTU Personnel</t>
  </si>
  <si>
    <t xml:space="preserve"> 1. The City Government of Bacoor, Cavite, through the City Ordinance No. CO 562019 intends to apply the sum of ONE HUNDRED FIFTY  THOUSAND  PESOS AND ZERO CENT (PhP150,000.00) being the total Approved Budget for the Contract (ABC) for all lots indicated i</t>
  </si>
  <si>
    <t xml:space="preserve"> Augmentation Bantay Bayan Outpost</t>
  </si>
  <si>
    <t xml:space="preserve"> A) REQUEST FOR QUOTATION 1. 550 SQ.FT. Supply and installation of block-out combi blinds window coverings (19-panels) Specifications: 100% Polyester; Thickness: Solid 0.38mm / mesh 0.09mm; Dark Brown  Note: Verify Actual Measurements Submit Mock-up B) USE</t>
  </si>
  <si>
    <t xml:space="preserve"> 1. The City Government of Bacoor, Cavite, through the City Ordinance No. CO 562019 intends to apply the sum of ONE HUNDRED NINETY EIGHT THOUSAND  PESOS AND ZERO CENT (PhP198,000.00) being the total Approved Budget for the Contract (ABC) for all lots indic</t>
  </si>
  <si>
    <t xml:space="preserve"> Name of Project: Improvement of Third Floor (RCPC) of Livestock Building Location of Project: CIARC, Dontogan, Baguio City</t>
  </si>
  <si>
    <t xml:space="preserve"> Printing, Supply and Delivery of Brochures: 10,000 sets I. Technical Specifications: • Size: A4 • Two side printing with matte lamination • With trifold, collation, and die cutting • Paper: CS2 120 gsm and 250 gsm for folder II. Materials to print: • Pate</t>
  </si>
  <si>
    <t xml:space="preserve"> INVITATION TO BID IB No. 2020-21-A CONSTRUCTION OF COVERED WALKWAY AT TRANSPORT TERMINAL 1.	The Local Government Unit of Oton, through General Fund-Support Fund Budget, intends to apply the sum of One Million Two Hundred Ninety-Six Thousand Three Hundred </t>
  </si>
  <si>
    <t xml:space="preserve"> Republic of the Philippines Province of South Cotabato BIDS AND AWARDS COMMITTEE Purok Maligaya, Brgy. Caloocan, Koronadal City RE-INVITATION TO BID FOR THE SUPPLY AND DELIVERY OF 84 LOADS OF SAND AND GRAVEL DIRTY MIX (14 CU.M./LOAD) WITH PROHIBITION OF S</t>
  </si>
  <si>
    <t xml:space="preserve"> Various items.</t>
  </si>
  <si>
    <t xml:space="preserve"> 1	Data Folder made with chipboard taglia lock 2 Hole	500 pcs</t>
  </si>
  <si>
    <t xml:space="preserve"> Republic of the Philippines Province of Leyte MUNICIPALITY OF TABANGO Invitation to Bid for Improvement/Rehabilitation of Evacuation Center Brgy. Sta Rosa, Tabango, Leyte 1.	The Local Government of Tabango, through the 2019 LGSF-AM (Trust Fund)   intends </t>
  </si>
  <si>
    <t xml:space="preserve"> The Local Government Unit of Casiguran, Sorsogon intends to apply the sum of Php  1,014,505.00  being the Approved Budget for the Contract to payments for the contract under the 2020 General Fund, Supply &amp; Delivery of Construction Materials for the Constr</t>
  </si>
  <si>
    <t xml:space="preserve"> CONSTRUCTION/REHABILITATION OF LOCAL ROADS @ BARANGAY SAMBAT, SAN PASCUAL, BATANGAS</t>
  </si>
  <si>
    <t xml:space="preserve"> Corazon Locsin Montelibano Memorial Regional Hospital, through its Bids and Awards Committee, intends to procure PLUMBING SUPPLIES (PR#20-04-70393), which will be undertaken in accordance with Section 53.9 of the Revised Implementing Rules and Regulations</t>
  </si>
  <si>
    <t xml:space="preserve"> Submission of Proposal shall be on July 15,2020 @ 1:00PM at Municipal Hall Building Anda Pangasinan.</t>
  </si>
  <si>
    <t xml:space="preserve"> Purchase of BP Apparatus for barangay Health Center.</t>
  </si>
  <si>
    <t xml:space="preserve"> 1. The City Government of Bacoor, Cavite, through the City Ordinance No. CO 562019 intends to apply the sum of ONE HUNDRED  THOUSAND  PESOS AND ZERO CENT (PhP100,000.00) being the total Approved Budget for the Contract (ABC) for all lots indicated in BDS </t>
  </si>
  <si>
    <t xml:space="preserve"> Submission of Proposal shall be on July 15,2020 @1:00PM at Municipal Hall Building Anda Pangasinan.</t>
  </si>
  <si>
    <t xml:space="preserve"> Supply and Delivery of Various Filters for 400 KVA Generator Set, FOB Masbate.</t>
  </si>
  <si>
    <t xml:space="preserve"> Republic of the Philippines Province of South Cotabato City of Koronadal BIDS AND AWARDS COMMITTEE INVITATION TO BID FOR THE  Procurement for the Supply &amp; Delivery of Two (2) Units Brand New Four (4) Wheeled Vehicles for City Accounting Office &amp; City Plan</t>
  </si>
  <si>
    <t xml:space="preserve"> CONSTRUCTION OF FLOOD CONTROL SYSTEM @ PUROK 4 BAYANAN, SAN PASCUAL, BATANGAS</t>
  </si>
  <si>
    <t xml:space="preserve"> Traffic Citation Tickets Triplicate Carbonless 50's/booklet</t>
  </si>
  <si>
    <t xml:space="preserve"> Arrival	 50	cover	Dinner	 ₱250.00  50	pax	Lodging	 ₱450.00  		Day 1	 80	cover	Breakfast	 ₱150.00  80	cover	AM Snacks	 ₱100.00  80	cover	Lunch	 ₱250.00  80	cover	PM Snacks	 ₱100.00  80	cover	Dinner	 ₱250.00  60	pax	Lodging	 ₱450.00  1	day	Hall Rental	 ₱2,0</t>
  </si>
  <si>
    <t xml:space="preserve"> Joaquin Elementary School Office Supplies</t>
  </si>
  <si>
    <t xml:space="preserve"> REQUEST FOR EXPRESSION OF INTEREST (REI)   Contract ID No.  :  20CSM004 Contract Name   : Feasibility Study of Maligang-Tudok-T'boli Road, T'boli South Cotabato and Kiamba, Sarangani Location: T'boli South Cotabato and Kiamba, Sarangani 	 1.	The Departmen</t>
  </si>
  <si>
    <t xml:space="preserve"> REQUEST FOR EXPRESSION OF INTEREST (REI)   Contract ID No.  :  20CSM005 Contract Name   : Sub-Surface Exploration of the proposed five (5) bridges:  a) Banga-Tupi-Malungo Road (Tupi-Malungon Section) Package A b) Jct. NHW (Marbel-Makar Road) Kipalbig-Malt</t>
  </si>
  <si>
    <t xml:space="preserve"> 1. The City Government of Bacoor, Cavite, through the City Ordinance No. CO 562019 intends to apply the sum of TWO HUNDRED FORTY NINE THOUSAND SIX HUNDRED THIRTY TWO PESOS AND ZERO CENT (PhP249,632.00) being the total Approved Budget for the Contract (ABC</t>
  </si>
  <si>
    <t xml:space="preserve"> 1.	The Local Government Unit of Tuao, Cagayan  through General Fund  intends to  apply the sum of  Php 216,480.00   being the Approved Budget for the Contract (ABC) to payments under the contract for PURCHASE AND DELIVERY OF OFFICE EQUIPMENT. Bids receive</t>
  </si>
  <si>
    <t xml:space="preserve"> REQUEST FOR EXPRESSION OF INTEREST (REI)   Contract ID No.  :  20CSM006 Contract Name   : Sub-Surface Exploration of the proposed seven (7) bridges:  a) Tacurong East By-Pass Road from Brgy. San Antonio – D’Ledema-San Pablo connecting to Brgy. Kalandagan </t>
  </si>
  <si>
    <t xml:space="preserve"> The Department of Agriculture invites interested suppliers to submit quotations/proposals for the hereunder requirement: ICT EQUIPMENT: PORTABLE EXTERNAL SSD 	 3	unit	Portable External SSD	Php108,000.00 		Please see attached Technical Specification	 		GRA</t>
  </si>
  <si>
    <t xml:space="preserve"> The Philippine National Police (PNP) Health Service (HS) invites all PhilGEPS-accredited suppliers to apply for eligibility and to bid for the Procurement of Drugs &amp; Medicines. Approved Budget for Contract: Php3,000,000.00 Bid Documents shall be available</t>
  </si>
  <si>
    <t xml:space="preserve"> Construction/ Repair/ Rehabilitation/ Improvement of Various Infrastructure Including Local Projects – Rehabilitation of Balenben Road at Purok 9A, Balenben, Baguio City Contract Location :	Baguio City Approved Budget for the Contract :	Php1,960,000.00 Sc</t>
  </si>
  <si>
    <t xml:space="preserve"> The LGU--San Andres, Quezon is Requesting for Quotation for the Purchase of Construction Materials used for Fabrication of Wooden Mosquito Frames of LGU-San Andres, Quezon.</t>
  </si>
  <si>
    <t xml:space="preserve"> The Department of Agriculture invites interested suppliers to submit quotations/proposals for the hereunder requirement: ICT EQUIPMENT	 1	lot	RFID	PhP200,000.00 		-	Please see attached Technical Specification	 		GRAND TOTAL	PhP200,000.00 INSTRUCTIONS:  1.</t>
  </si>
  <si>
    <t xml:space="preserve"> Republic of Philippines Province of Quezon MUNICIPALITY OF REAL -oOo- BIDS AND AWARDS COMMITTEE INVITATION TO BID FOR  CONSTRUCTION OF SPILLWAY AT PUROK LAGYO, BRGY. LUBAYAT, REAL, QUEZON 1.	The Municipal Government of Real, Quezon, through the 20% Munici</t>
  </si>
  <si>
    <t xml:space="preserve"> VITAMINS 100 BOXES</t>
  </si>
  <si>
    <t xml:space="preserve"> 8	units	"Paper Shredder -21L, shreeding capacity at least 6 sheets of paper load, fast shredding, with protective mechanism"	 ₱7,500.00  4	units	Water Dispenser hot and cold, free standing water dispenser, bottom load: with pump, with child safety lock pr</t>
  </si>
  <si>
    <t xml:space="preserve"> The DPWH-Ilocos Norte Second District Engineering Office, through its Bids and Awards Committee (BAC), invites contractors to submit bids for the Contract: Procurement ID/Contract ID: 20AB0131 Contract Name/Location: CONSTRUCTION OF TWO (2) STOREY-SIX (6)</t>
  </si>
  <si>
    <t xml:space="preserve"> BIDS AND AWARDS COMMITTEE Office of the Chairman Request for Quotation Date:                                                                                 Quotation No.:         PR # 2020-07-279 __________________________________ _______________________</t>
  </si>
  <si>
    <t xml:space="preserve"> The Department of Agriculture invites interested suppliers to submit quotations/proposals for the hereunder requirement: Supply and Delivery of Anniversary Polo Shirts Provision for the Secretary	 600	pcs	-	Polo Shirt 		-	Materials: 72% cotton, 28% polyes</t>
  </si>
  <si>
    <t xml:space="preserve"> The Philippine National Police (PNP) Health Service (HS) invites all PhilGEPS-accredited suppliers to apply for eligibility and to bid for the Procurement of Medical, Dental &amp; Laboratory Supplies. Approved Budget for Contract: Php3,891,013.12 Bid Document</t>
  </si>
  <si>
    <t xml:space="preserve"> 1.	42” Full HD LED TV w/ bracket and Installation	1 unit 2.	65” SMART TV	               1unit 3.	Executive Chair	               1 unit 4.	Filing Cabinet Lateral	       3 unit 	(see attached picture)</t>
  </si>
  <si>
    <t xml:space="preserve"> Supply and Delivery of Materials for the Provision of Potable Water System.</t>
  </si>
  <si>
    <t xml:space="preserve"> Republic of the Philippines DEPARTMENT OF PUBLIC WORKS AND HIGHWAYS ILOILO 1st  DISTRICT ENGINEERING OFFICE Fort San Pedro Road, Iloilo City INVITATION TO BID FOR: 20GGF0020 – Procurement of Construction Materials for use in Repair/Maintenance of National</t>
  </si>
  <si>
    <t xml:space="preserve"> 1.	The Municipality of San Antonio, Zambales, through SB Resolution No. 20-045, intends to apply the sum of Four Million Six Hundred Forty Seven Thousand Eight Hundred Eighty Nine Pesos and Seventy Centavos (PhP 4, 647, 889.70) being the Approved Budget f</t>
  </si>
  <si>
    <t xml:space="preserve"> The DPWH-Ilocos Norte Second District Engineering Office, through its Bids and Awards Committee (BAC), invites contractors to submit bids for the Contract: Procurement ID/Contract ID: 20AB0130 Contract Name/Location: CONSTRUCTION OF TWO (2) STOREY-SIX (6)</t>
  </si>
  <si>
    <t xml:space="preserve"> INVITATION TO BID FOR THE  Procurement for the Supply and Delivery of 11,100 Sets Educational School Supplies for Public School Grades 1-3 Students of the City-REBID. 1.	The City Government of Koronadal, through the ANNUAL BUDGET 2020, intends to apply th</t>
  </si>
  <si>
    <t xml:space="preserve"> Republic of the Philippines PROVINCE OF CAMIGUIN Mambajao, Camiguin BIDS AND AWARDS COMMITTEE (BAC) INVITATION TO BID  The Provincial Government of Camiguin through its Bids and Awards Committee (BAC) invites all interested and qualified bidders/suppliers</t>
  </si>
  <si>
    <t xml:space="preserve"> Republic of the Philippines Province of Leyte MUNICIPALITY OF TABANGO Invitation to Bid for Brgy. Campokpok, Tabango, Leyte 1.	The Local Government of Tabango, through the 2019 LGSF-AM (Trust Fund)   intends to apply the sum of One Million Pesos Only (Php</t>
  </si>
  <si>
    <t xml:space="preserve"> Qty	Unit	Articles 240	 pcs 	Elbow 1" 320	 pcs 	Tee 1" 40	 pcs 	PVC Cover 4" 40	 pcs 	PVC Pipe 4"X 12" 40	 pcs 	SOLVENT CEMENT 50CC 40	 pcs 	3/4 " PVC Pipe(10ft) 160	 pcs 	3/4 " Elbow 80	 pcs 	1" PVC Pipe(10 ft) 		XXXXXXXXXXXXX</t>
  </si>
  <si>
    <t xml:space="preserve"> Republic of the Philippines Province of South Cotabato City of Koronadal BIDS AND AWARDS COMMITTEE INVITATION TO BID FOR THE  Procurement for the Supply and Delivery of 11,653 Sets Educational School Supplies for Public School Grades 4-6 Students of the C</t>
  </si>
  <si>
    <t xml:space="preserve"> Republic of the Philippines Province of Laguna MUNICIPALITY OF LUISIANA Invitation to Bid for Construction of Class “AA” Slaughter House with Holding Pen at Barangay San Pedro, Luisiana, Laguna 1.	The Municipal Government of Luisiana, Laguna, through the </t>
  </si>
  <si>
    <t xml:space="preserve"> ITEM No. 	DESCRIPTION	UNIT	QUANTITY 1	Portland Cement 	bag	94 2	Tile Adhesive	bag	6 3	Fine Aggregates (Baggao Quarry)	cu.m	16 4	10mm dia x 6.0m std RSB	pc	75 5	#16 Annealed Tie Wire	kg	5 6	1/4" Marine Plywood (double face)	pc	12 7	Assorted CWN	kg	8 8	4" x</t>
  </si>
  <si>
    <t xml:space="preserve"> RICE - 95 SACKS</t>
  </si>
  <si>
    <t xml:space="preserve"> 1. The City Government of Bacoor, Cavite, through the City Ordinance No. CO 562019 intends to apply the sum of TWO HUNDRED FORTY SIX THOUSAND NINE HUNDRED SIX PESOS AND ZERO CENT (PhP246,906.00) being the total Approved Budget for the Contract (ABC) for a</t>
  </si>
  <si>
    <t xml:space="preserve"> Republic of the Philippines MUNICIPALITY OF BOLINAO Province of Pangasinan PROPOSED REHABILITATION OF PICOCOBUAN WHARF 1.	The LOCAL GOVERNMENT UNIT OF BOLINAO, PANGASINAN through the 20% Development Fundintends to apply an amount of Seven Million Seven Hu</t>
  </si>
  <si>
    <t xml:space="preserve"> 1	Push Cart Big	                   1 unit 2	UTP Cable Cat6	                   2 box 3	Tester                                  1 pc 4	Crimping Tool	                  4 pair 5	Wipe Out Dirt and Stain Remover 250g	6 can 6	Duct Tape Size 2” 25m / roll        </t>
  </si>
  <si>
    <t xml:space="preserve"> Printed Forms use for at Accounting Office</t>
  </si>
  <si>
    <t xml:space="preserve"> Corazon Locsin Montelibano Memorial Regional Hospital, through its Bids and Awards Committee, intends to procure BANANA (PR#20-06-70560), which will be undertaken in accordance with Section 53.9 of the Revised Implementing Rules and Regulations of Republi</t>
  </si>
  <si>
    <t xml:space="preserve"> Republic of Philippines Province of Quezon MUNICIPALITY OF REAL -oOo- BIDS AND AWARDS COMMITTEE INVITATION TO BID FOR  FLOOD CONTROL PROJECT AT POBLACION 61 &amp; POBLACION 1, REAL, QUEZON 1.	The Municipal Government of Real, Quezon, through the 20% Municipal</t>
  </si>
  <si>
    <t xml:space="preserve"> Quantity	Unit	Articles  pcs 	150	TISSUE  pcs 	50	LIQUID SOAP, 500ML  pcs 	100	BAR SOAP  sachet 	100	DETERGENT POWDER, 500grams  pcs 	50	GLASS CLEANER, 500ML  pcs 	50	TOILET BOWL CLEANER 500ML  pcs 	50	MOP  pcs 	200	RAGS  pcs 	100	DISHWASHING LIQUID, 250ml</t>
  </si>
  <si>
    <t xml:space="preserve"> Please see attached file (RFQ-20-07-0502/0501/0504) for reference.</t>
  </si>
  <si>
    <t xml:space="preserve"> Submission of Proposal Shall be on July 15, 2020 @ 1:00PM at Municipal Hall Building Anda Pangasinan.</t>
  </si>
  <si>
    <t xml:space="preserve"> Contract Name: Completion of Motorpool- Bulanao Campus Contract ID Number: IB_CivilWorks_2020-07-035 Location of the Contract: KSU Main Campus, National Highway, Purok 6, Bulanao, Tabuk City, Kalinga Lot and Reference: One Lot - Completion of Motorpool- B</t>
  </si>
  <si>
    <t xml:space="preserve"> The DPWH-Ilocos Norte Second District Engineering Office, through its Bids and Awards Committee (BAC), invites contractors to submit bids for the Contract: Procurement ID/Contract ID: 20AB0133 Contract Name/Location: CONSTRUCTION OF TWO (2) STOREY-SIX (6)</t>
  </si>
  <si>
    <t xml:space="preserve"> Republic of the Philippines Province of Leyte MUNICIPALITY OF TABANGO Invitation to Bid for Improvement/Rehabilitation of Evacuation Center Brgy. Manlawaan, Tabango, Leyte 1.	The Local Government of Tabango, through the 2019 LGSF-AM (Trust Fund)   intends</t>
  </si>
  <si>
    <t xml:space="preserve"> The National Irrigation Administration-Regional Office 12, Villarica, Midsayap, Cotabato, through the Fund 501 has the Approved Budget for the Contract (ABC) amounting to SEVENTY FOUR THOUSAND THREE HUNDRED THIRTY PESOS ONLY (P 74,330.00). Quotation recei</t>
  </si>
  <si>
    <t xml:space="preserve"> One (1) Geological Pocket Transit (Compass) One (1) Handheld GPS</t>
  </si>
  <si>
    <t xml:space="preserve"> The DPWH-Ilocos Norte Second District Engineering Office, through its Bids and Awards Committee (BAC), invites contractors to submit bids for the Contract: Procurement ID/Contract ID: 20AB0132 Contract Name/Location: CONSTRUCTION OF TWO (2) STOREY-SIX (6)</t>
  </si>
  <si>
    <t xml:space="preserve"> Construction/ Repair/ Rehabilitation/ Improvement of Various Infrastructure Including Local Projects – Construction of Concrete Road along Pedro Fuentes St., Dominican Mirador, Baguio City Contract Location :	Baguio City Approved Budget for the Contract :</t>
  </si>
  <si>
    <t xml:space="preserve"> Representation Expenses</t>
  </si>
  <si>
    <t xml:space="preserve"> INVITATION OF BID The Municipality of Anda, Pangasinan, through its Bids and Awards Committee, invites bidder/suppliers to submit their Bid for the hereunder contract; Name of Contract: DELIVERY OF MIXED GRAVEL FOR STOCK PILLING FOR MAINTENANCE OF ROADS L</t>
  </si>
  <si>
    <t xml:space="preserve"> INVITATION TO BID 1.	The Department of Public Works and Highways, through its Bids and Awards Committee (BAC) invites Suppliers to submit bids for the following contract: 1.	Contract ID	20GM0008 Contract Name &amp; Location	PROCUREMENT OF DRYDOCKING AND REPAI</t>
  </si>
  <si>
    <t xml:space="preserve"> Construction/ Repair/ Rehabilitation/ Improvement of Various Infrastructure Including Local Projects – Widening of Roads Including Drainages and Canals along Purok 2 and 3, Crystal Cave, Baguio City Contract Location :	Baguio City Approved Budget for the </t>
  </si>
  <si>
    <t xml:space="preserve"> REPUBLIC OF THE PHILIPPINES DEPARTMENT OF PUBLIC WORKS AND HIGHWAYS ILOILO 4TH DISTRICT ENGINEERING OFFICE STA. BARBARA, ILOILO TEL. NO. 523 - 4557 FAX NO. 523 - 9340 BIDDING DOCUMENTS FOR PROCUREMENT ID/CONTRACT ID: 20GI0100 CONTRACT NAME:   CONSTRUCTION</t>
  </si>
  <si>
    <t xml:space="preserve"> The DPWH-Ilocos Sur 1st District Engineering Office, through its Bids and Awards Committee (BAC), invites contractors to submit bids for the following Contract:   Contract ID: 20AC0056   Contract Name: Construction of Revetment Wall, Barangay Quibit-quibi</t>
  </si>
  <si>
    <t xml:space="preserve"> NATIONAL TRANSMISSION CORPORATION RESOURCE MANAGEMENT SERVICES GROUP TransCo Annex Bldg., Diliman, Quezon City Tel. No. 902-1521/Fax No. 914-6209 SUPPLIER’S TECHNICAL/PRICE QUOTATION FORM (NEGOTIATED PROCUREMENT: SMALL VALUE PROCUREMENT) REFERENCE NO.:  M</t>
  </si>
  <si>
    <t xml:space="preserve"> Republic of the Philippines Province of Leyte Municipality of Palo BARANGAY CAVITE EAST Invitation to Bid for Fabrication of Concrete Canal Cover  at Brgy. Cavite East,Palo, Leyte Job Request No. 2020-06-01 1.	The Barangay of Cavite East, Palo, Leyte, thr</t>
  </si>
  <si>
    <t xml:space="preserve"> Republic of the Philippines					 DEPARTMENT OF PUBLIC WORKS AND HIGHWAYS					 BUTUAN CITY DISTRICT ENGINEERING OFFICE					 REGIONAL OFFICE XIII					 Butuan City, Agusan del Norte					   Tel. Nos. 342-5331  Fax No. 225-2022					 Name of Procuring Entity: D</t>
  </si>
  <si>
    <t xml:space="preserve"> 2ND INVITATION TO BID The Municipal Government of La Trinidad through the Bids and Awards Committee (BAC) invites contractors to bid for the hereunder project: Contract Reference No.: POW - 8751 - 2020 - PBN - 04 Name of Project: Construction of Drainage </t>
  </si>
  <si>
    <t xml:space="preserve"> Republic of the Philippines Province of South Cotabato City of Koronadal BIDS AND AWARDS COMMITTEE INVITATION TO BID FOR THE  Procurement for the Supply and Delivery of One (1) Unit Four Wheeled Vehicle (Pick-Up) for CSU Operations, City of Koronadal - RE</t>
  </si>
  <si>
    <t xml:space="preserve"> Republic of Philippines Province of Quezon MUNICIPALITY OF REAL -oOo- BIDS AND AWARDS COMMITTEE INVITATION TO BID FOR  SUPPLY &amp; DELIVERY OF THREE (3) UNITS OF MOTORCYCLE FOR OPERATIONS OF TRAFFIC MANAGEMENT TEAM 1.	The Municipal Government of Real, Quezon</t>
  </si>
  <si>
    <t xml:space="preserve"> INVITATION TO BID 1.	The Department of Public Works and Highways, through its Bids and Awards Committee (BAC) invites Suppliers to submit bids for the following contract: 2.	Contract ID	20GM0009 Contract Name &amp; Location	SUPPLY AND DELIVERY OF DREDGE EQUIP</t>
  </si>
  <si>
    <t xml:space="preserve"> Installation of 9 units of Streetlights</t>
  </si>
  <si>
    <t xml:space="preserve"> Please see attached RFQ. ABC: 70,000.00</t>
  </si>
  <si>
    <t xml:space="preserve"> 1	pc.	Transmission Assy. 1	pc	Clutch Sleeve Assy. 1	pc	Silicon 1	gal	Gep. 140 oil 1	pc	Electrical tape 3	pcs	Bulb 2	gal.	Engine Oil Delo gold 1	pc	Oil Filter 1	pc	Fuel Filter 1	pc	Wheel Cylinder 		kerosene 		Labor 1	pc	Down transmission assy. For replaced</t>
  </si>
  <si>
    <t xml:space="preserve"> Declogging of canal of seven (7) barangay sitios</t>
  </si>
  <si>
    <t xml:space="preserve"> Please see attached RFQ. ABC: 122,000.00</t>
  </si>
  <si>
    <t xml:space="preserve"> Republic of Philippines Province of Quezon MUNICIPALITY OF REAL -oOo- BIDS AND AWARDS COMMITTEE INVITATION TO BID FOR  SUPPLY &amp; DELIVERY OF TWO (2) UNITS OF SMART TELEVISION FOR MEETINGS, CONFERENCES AND PRESENTATIONS 1.	The Municipal Government of Real, </t>
  </si>
  <si>
    <t xml:space="preserve"> Please see attached file (RFQ-20-07-0503) for reference.</t>
  </si>
  <si>
    <t xml:space="preserve"> 5   units   Exterior Tire 195 x 15 x 8 ply tubeless, radial 1   unit     Battery 12 volts, 13 plates Maintenance Free 2   unit     Battery 12 volts, 9 plates Maintenance Free (For Generator 75KVA) w-w-w-w-w-w-w-w-w-w-w-w-w-w-w-w-w-w-w-w-w-w</t>
  </si>
  <si>
    <t xml:space="preserve"> Section I. Invitation to Bid FOR THE UPLB-RES-032-07-20  SUPPLY AND DELIVERY OF BRANDED AND BRAND NEW VEHICLES FOR CEAT-AMTEC 1.	The UNIVERSITY OF THE PHILIPPINES LOS BAÑOS (UPLB), through the GOP (LB03050001-C0002301; N824932) intends to apply the sum of</t>
  </si>
  <si>
    <t xml:space="preserve"> ITEM 1	2” x 2” x 8’ Good Lumber	25	Pcs. ITEM 2	2” x 2” x 12’ Good Lumber	25	Pcs. ITEM 3	Nylon #120      	                3	Kgs. ITEM 4	CW Nails # 2 ½” , 3” , 4”    20	Kgs  ITEM 5	Mixed Sand and Gravel	20	Cu. M. ITEM 6	16mm dia. Def. bars	        18	length</t>
  </si>
  <si>
    <t xml:space="preserve"> Invitation to Bid for the  Construction of Campus Perimeter Fence (Phase 1) (19-09-0292-Bilar) 1.	The Bohol Island State University - Bilar Campus, through the GoP-GAA 2020 intends to apply the sum of Five Million Five Hundred Thousand Pesos only         </t>
  </si>
  <si>
    <t xml:space="preserve"> 25   Pcs.  Door knobs, Heavy Duty 15   Pcs.  Marine Plywood 1/4" x 4 x 8 15   Pcs.  Plywood ordinary 1/4" x 4 x 8 100 Pcs.  CFL 18 watts, 30   Pcs.  Incandescent bulbs 100watts w-w-w-w-w-w-w-w-w-w-w-w-w-w-w-w</t>
  </si>
  <si>
    <t xml:space="preserve"> Republic of the Philippines Province of Albay Municipality of Sto. Domingo Bids and Awards Committee 	 Invitation to Apply for Eligibility and to Bid: 07-01-2020 	The LGU- Sto. Domingo, Albay through its Bids and Awards Committee (BAC) invites Suppliers/M</t>
  </si>
  <si>
    <t xml:space="preserve"> Procurement of supply and delivery of Molasses and vermicast 30	Container	Molasses 20 liters/container 65	Bag	Vermicast 50 kilograms/bag PR# 2020-1043</t>
  </si>
  <si>
    <t xml:space="preserve"> Request for Quotation RFQ No.		SVP-025-2020 MR No.		10752 Requisition No. 	CORPLAN.06.11.2020 Posting Date:         	July 2, 2020 Deadline for Submission:		July 8, 2020 at 9:00 AM Opening Date:	July 8, 2020 at 10:00 AM 	 TO:	Name of Supplier:_____________</t>
  </si>
  <si>
    <t xml:space="preserve"> 1.  The Department of National Defense/Armed Forces of the Philippines (DND/AFP), through the General Appropriations Act (GAA) intends to apply the sum of Two Billion Nine Hundred Fifty-Three Million Twenty-One Thousand Two Hundred Fifty-Two and 81/100 Pe</t>
  </si>
  <si>
    <t xml:space="preserve"> (Please see attached.) INVITATION TO BID Supply, Delivery and Testing of Rice Precision Seeders  (PHilMech-RCEF-20-06-04) 1. The Philippine Center for Postharvest Development and Mechanization (PHilMech) through its FY 2019  &amp; FY 2020 Rice Competitive Enh</t>
  </si>
  <si>
    <t xml:space="preserve"> REPUBLIC OF THE PHILIPPINES PROVINCE OF CEBU MUNICIPALITY OF PINAMUNGAJAN CONSTRUCTION OF BASKETBALL COURT IN SITIO LAGBANGON BRGY. ANISLAG (with Fabrication &amp; Installation of 1 pair goals, boards &amp; rings) 1.	The MUNICIPALITY OF PINAMUNGAJAN, through the </t>
  </si>
  <si>
    <t xml:space="preserve"> (Please see also attached.) INVITATION TO BID Supply, Delivery and Testing of Float Assisted Walking-Type Agricultural Tractors (PHilMech RCEF 20-06-03) 1. The Philippine Center for Postharvest Development and Mechanization (PHilMech) through its FY 2019 </t>
  </si>
  <si>
    <t xml:space="preserve"> REQUEST FOR QUOTATION (RFQ) Supply and Delivery of Air Purifiers use to manage public health Pandemic for CFO Manila Office The Commission on Filipinos Overseas invites PhilGEPS registered supplier to apply for the eligibility and to quote the lowest pric</t>
  </si>
  <si>
    <t xml:space="preserve"> REPUBLIC OF THE PHILIPPINES PROVINCE OF CEBU MUNICIPALITY OF PINAMUNGAJAN Invitation to Bid for : CONSTRUCTION OF BASKETBALL COURT  (with Fabrication &amp; Installation of 1 pair goals, boards &amp; rings), Sitio Rattan, Brgy. Sacsac 1.The MUNICIPALITY OF PINAMUN</t>
  </si>
  <si>
    <t xml:space="preserve"> PLEASE REFER TO THE ATTACHMENT</t>
  </si>
  <si>
    <t xml:space="preserve"> BIDS AND AWARDS COMMITTEE – HEAD OFFICE INVITATION TO BID 1.	The Bangko Sentral ng Pilipinas (BSP), through its Bids and Awards Committee – Head Office (BAC-HO), invites bidders to apply for eligibility and to bid for the hereunder requirement: Name of Re</t>
  </si>
  <si>
    <t xml:space="preserve"> INVITATION TO BID 1.	The Department of Public Works and Highways, through its Bids and Awards Committee (BAC) invites Suppliers to submit bids for the following contract: 2.	Contract ID	20GM0010 Contract Name &amp; Location	PROCUREMENT OF SHOP TOOLS AND EQUIP</t>
  </si>
  <si>
    <t xml:space="preserve"> Drainage Canal: Length=104.00m; Width=0.70m; Depth=0.50m</t>
  </si>
  <si>
    <t xml:space="preserve"> REQUEST FOR QUOTATION  Procurement of Office Supplies for Development and Validation of Learning Resource Materials using Different Flexible Learning Options (Project PPE-Portfolio Predicated on Exemplar)-1st Quarter 800 reams Bond Paper A4, Substance 20 </t>
  </si>
  <si>
    <t xml:space="preserve"> Section I. Invitation to Bid FOR THE UPLB-RES-028-07-20  SUPPLY AND DELIVERY OF BRANDED AND BRAND NEW ENGINEERING AND LABORATORY TESTING EQUIPMENT FOR CEAT-AMTEC 1.	The UNIVERSITY OF THE PHILIPPINES LOS BAÑOS (UPLB), through the GOP (LB03050001-C0002486: </t>
  </si>
  <si>
    <t xml:space="preserve"> 1. The City Government of Bacoor, Cavite, through the City Ordinance No. CO 562019 intends to apply the sum of TWO HUNDRED  THOUSAND  PESOS AND ZERO CENT (PhP200,000.00) being the total Approved Budget for the Contract (ABC) for all lots indicated in BDS </t>
  </si>
  <si>
    <t xml:space="preserve"> I.TILE WORKS II.STEEL WORKS III.FENCING WORKS A.EXCAVATION B.CONCRETE WORKS C.FORMWORKS D.REINFORCEMENT BARS E.MASONRY WORKS F.STEEL WORKS</t>
  </si>
  <si>
    <t xml:space="preserve"> Office Supplies Expense</t>
  </si>
  <si>
    <t xml:space="preserve"> REPUBLIC OF THE PHILIPPINES PROVINCE OF CEBU MUNICIPALITY OF PINAMUNGAJAN Invitation to Bid for:  INSTALLATION OF CULVERTS &amp; RATIONALIZATION OF DRAINAGE CANAL IN BARANGAY GUIMBAWIAN 1.The MUNICIPALITY OF PINAMUNGAJAN, through the GENERAL FUND  intends to </t>
  </si>
  <si>
    <t xml:space="preserve"> REQUEST FOR QUOTATION (RFQ) Supply, Delivery and Installation of Outdoor LED Monitor for CFO The Commission on Filipinos Overseas invites PhilGEPS registered supplier to apply for the eligibility and to quote the lowest price for the Supply, Delivery and </t>
  </si>
  <si>
    <t xml:space="preserve"> RFQ for Layer Feeds(crumble) AND booster feeds(mash/crumble) please see attached file...</t>
  </si>
  <si>
    <t xml:space="preserve"> 2 SETS - COMPUTER SET AMD A4 , 4GB DDR4, 120GB SSD, 1TBHDD,WINDOWS 10 2 SETS- PRINTER L3110 ALL IN 1 INK</t>
  </si>
  <si>
    <t xml:space="preserve"> Number: 	Quantity: 	Unit	PPMP_Code	PPMP_Code1	PPMP_Code2	PPMP_Remarks	Particulars	StockNo	Unit_Cost	Estimated_Cost 							SUPPLY AND DELIVERY OF CORN SEEDS			 										 1	35	BAG					HYBRID YELLOW CORN (Genetically Modified) @ 9 kgs/bag, two stack traits </t>
  </si>
  <si>
    <t xml:space="preserve"> Please see attached Request for Quotation (RFQ)</t>
  </si>
  <si>
    <t xml:space="preserve"> Storage Box</t>
  </si>
  <si>
    <t xml:space="preserve"> REQUEST FOR QUOTATION (RFQ) Supply and Delivery various Video Streaming Equipment use by CFO The Commission on Filipinos Overseas invites PhilGEPS registered supplier to apply for the eligibility and to quote the lowest price for the Supply and Delivery v</t>
  </si>
  <si>
    <t xml:space="preserve"> Extension of Kitchen and Laundry Area at 3-Bedroom Single-Detached (Formerly Espiritu's Unit) at PhilRice Central Experiment Station (PR#2020-06-1296) SCOPE OF WORKS AND FEATURES		 		TOTAL AREA = ±7.44 sq.m 		SITE WORKS 	_	Excavation Work 		FLOOR FINISH 	</t>
  </si>
  <si>
    <t xml:space="preserve"> Rental of truck to haul white sand to be used as filler to the newly built Porac PNP Station located at Brgy Jalung Porac Pampanga 55 Trips Rental Truck</t>
  </si>
  <si>
    <t xml:space="preserve"> VEHICLE MAINTENANCE (URVAN)</t>
  </si>
  <si>
    <t xml:space="preserve"> RFQ-GS-20200127-04(2) Interested Suppliers are invited to submit Price Quotation for the above listed item. The official LANDBANK Request for Quotation Form may be obtained from MS. CHARM FLORIDO (tel no. 85512200 locals 2452, 2453; email address: charm.f</t>
  </si>
  <si>
    <t xml:space="preserve"> Consulting Services  for Technical Benchmarks on Food Processing Industries namely: Meat Processing, Baked Products, Fruit Processing, Dried Fish Processing, and Cacao Processing; Identify the process and define the technology or equipment requirement bas</t>
  </si>
  <si>
    <t xml:space="preserve"> Qty	Unit	 Articles / Description 				 26	unit 	Solar Panel , 20watts				 26	unit 	Charge controller with USB 5 amp.				 26	pc	Battery 20 AH				 26	pc	DC bulb 5 watts 12volts				 26	pc	DC bulb 3 watts 12volts				 26	set	Wires and connectors				 ......pleas</t>
  </si>
  <si>
    <t xml:space="preserve"> Republic of the Philippines PROVINCE OF BUKIDNON Municipality of Don Carlos PROCUREMENT UNIT                 RA-11469 – THE BAYANIHAN TO HEAL AS ONE ACT REQUEST FOR QUOTATION 									 							Date:  							RFQ No.		                                        </t>
  </si>
  <si>
    <t xml:space="preserve"> RFQ-GS-20200615-01 Interested Suppliers are invited to submit Price Quotation for the above listed item. The official LANDBANK Request for Quotation Form may be obtained from MS. LUBELLE LUMABAS (email address: landbank2290@gmail.com). The deadline for th</t>
  </si>
  <si>
    <t xml:space="preserve"> PRINTING OF LEARNERS MODULE FOR SENIOR HIGH SCHOOL 541,742 PAGES</t>
  </si>
  <si>
    <t xml:space="preserve"> Republic of the Philippines MUNICIPALITY OF BUENAVISTA INVITATION TO BID FOR SUPPLY AND DELIVERY OF MATERIALS FOR INSTALLATION OF SOLAR PANEL AT OPERATION CENTER AND REPAIR AND INSTALLATION OF VHF REPEATER TOWER    1.	The Local Government Unit of Buenavis</t>
  </si>
  <si>
    <t xml:space="preserve"> the projevt improvement of drainage system consists of cleaning &amp; grabbing with an area of 318 m2 structure excavation volume= 199 m3. cofferdam stone masonry rubble concrete class "B" in place V= 131 m3 boulder fill &amp; filler in place V= 136 m3 Embankment</t>
  </si>
  <si>
    <t xml:space="preserve"> 1.     The Department of National Defense/Armed Forces of the Philippines (DND/AFP), through the General Appropriations Act (GAA) intends to apply the sum of One Hundred Three Million Six Hundred Eighty-Eight Thousand Five Hundred Eighty-Three and 13/100 </t>
  </si>
  <si>
    <t xml:space="preserve"> INVITATION TO BID FOR THE SUPPLY AND DELIVERY OF ELECTRICAL SUPPLIES FOR THE MAINTENANCE OF TANAUAN PUBLIC PLAZA, PUBLIC MARKET, SLAUGHTER HOUSE AND MUNICIPAL BUILDINGS, TO WIT: PLEASE SEE ATTACHED SPECIFICATIONS: 1. The Local Government Unit of Tanauan, </t>
  </si>
  <si>
    <t xml:space="preserve"> Republic of the Philippines Province of Laguna MUNICIPALITY OF LUISIANA INVITATION TO BID FOR   Fabrication and Installation of Equipment for Luisiana Class "AA" Slaughter House 1.	The Municipal Government of Luisiana, Laguna, through the Local Government</t>
  </si>
  <si>
    <t xml:space="preserve"> Removal of existing structure excavation works concrete works with a volume of 57.60 m3. Installation/Fabrication of steel gratings with a total length of 480 l.m barricades and safety measures then hauling &amp; disposal of spoils.</t>
  </si>
  <si>
    <t xml:space="preserve"> RFQ-GS-20200206-06(2) Interested Suppliers are invited to submit Price Quotation for the above listed item. The official LANDBANK Request for Quotation Form may be obtained from MS. CHARM FLORIDO (tel no. 85512200 locals 2452, 2453; email address: charm.f</t>
  </si>
  <si>
    <t xml:space="preserve"> Province of Negros Occidental Bids &amp; Awards Committee Bacolod City INVITATION TO BID  The Provincial Government of Negros Occidental through its Bids and Awards Committee [BAC] invites interested bidders to apply for eligibility and to bid, for the follow</t>
  </si>
  <si>
    <t xml:space="preserve"> Project consist of the removal of existing streetlights installation of new electrical wires and circuit breaker installation of Q2 units 120 watts led streetlights with brackets.</t>
  </si>
  <si>
    <t xml:space="preserve"> Republic of the Philippines Department of Education Region VI – Western Visayas DIVISION OF AKLAN Numancia, Aklan REQUEST FOR QUOTATION (RFQ) Project No: DepED-RO6-D1-SGOD(DRRM)-049-2020 The Department of Education Division of Aklan, through its Bids and </t>
  </si>
  <si>
    <t xml:space="preserve"> Improvement of Drainage system open canal with steel grating with length of 200.0 l.m. RCPC 450mm (18") with length of 10.0 l.m. construction of manhole, 3 units PCC Pavement.</t>
  </si>
  <si>
    <t xml:space="preserve"> Improvement of Drainage System with total length of 209.0 l.m.</t>
  </si>
  <si>
    <t xml:space="preserve"> Invitation to Bid The LGU Alangalang, through its Bids and Awards Committee (BAC), invites prospective bidders to apply for eligibility and to bid for the hereunder project: Name of Project  :   FLOOD CONTROL PROJECT FOR BRGY. STO. NINO, ALANGALANG, LEYTE</t>
  </si>
  <si>
    <t xml:space="preserve"> INVITATION TO BID FOR THE SUPPLY AND DELIVERY OF FOOD AND BEVERAGES FOR CASINO CUSTOMERS, PLAYERS AND GUESTS FOR THREE (3) YEARS FOR RONQUILLO SATELLITE UNDER ITB NO. PB20-06-035COR The Philippine Amusement and Gaming Corporation (PAGCOR) is inviting all </t>
  </si>
  <si>
    <t xml:space="preserve"> Republic of the Philippines Department of Education Region VI – Western Visayas DIVISION OF AKLAN Numancia, Aklan REQUEST FOR QUOTATION (RFQ) Project No: DepED-RO6-D1-OSDS(ACCOUNTING)-048-2020 The Department of Education Division of Aklan, through its Bid</t>
  </si>
  <si>
    <t xml:space="preserve"> Procurement of supply and delivery of POCKET WIFI 14	Piece	Pocket Wifi •	4G LTE supported with up to 150 MBps download and 50 Mbps upload speed •	Supports up to devices simultaneously •	With screen display for traffic statistics, W-Fi status, user number,</t>
  </si>
  <si>
    <t xml:space="preserve"> Maintenance of Municipal Equipement at Motorpool 1 Drum ATF Drum 1 Drum Hyudraulic Oil 10</t>
  </si>
  <si>
    <t xml:space="preserve"> RFQ-GS-20200610-01 Interested Suppliers are invited to submit Price Quotation for the above listed item. The official LANDBANK Request for Quotation Form may be obtained from MS. KIM STO. TOMAS (tel no. 85512200 locals 2452, 2453; email address: kimjoyang</t>
  </si>
  <si>
    <t xml:space="preserve"> Contract ID: 20KF0122 Contract Name: Repair/Maintenance of DOTR Building LTO Building 1st East Contract Location: Tubod, Iligan City Brief Description: Other General Requirements, Earthworks, Civil Works, Finishings, Electricals Approved Budget for the Co</t>
  </si>
  <si>
    <t xml:space="preserve"> Construction of Temporary Learning Space Including Realignment to other Schools affected by Typhoon Ursula	 Temporary Learning Space	 10 units of Temporary Learning Space for: •	Gen. Macarthur National Agricultural School (GMNAS) – 2 Units •	Magsaysay ES,</t>
  </si>
  <si>
    <t xml:space="preserve"> Republic of the Philippines  PROVINCE OF SURIGAO DEL SUR  		MUNICIPALITY OF CARRASCAL	 Barangay Adlay INVITATION FOR BIDS The Barangay Adlay through its Bids and Awards Committee invites sealed bids from eligible supplier for Construction Materials with a</t>
  </si>
  <si>
    <t xml:space="preserve"> 1 pc clutch disk Isuzu Hi Lander Labor</t>
  </si>
  <si>
    <t xml:space="preserve"> 1	1	Lot	Supply and Delivery of Steel Cabinet ₱225,000.00 			Item Description: 	15	Units	Steel Cabinet Specifications: 4 Drawers, Vertical, Heavy duty Roller Metal Guide, automatic lock, recessed handle Gauge #22 and color gray powder oven baked finish Dim</t>
  </si>
  <si>
    <t xml:space="preserve"> The Local Goverment Unit (LGU), through the Bids and Award Committee (BAC), invites contractors /manufacturers / distributors to apply for eligibility and to submit quotations for the here under:        Name of Project	:   REPAIR OF ROOFING FOR MUNICIPAL </t>
  </si>
  <si>
    <t xml:space="preserve"> 1.  The Department of National Defense/Armed Forces of the Philippines (DND/AFP), through the General Appropriations Act (GAA) intends to apply the sum of One Billion Four Hundred Seventeen Million Seven Hundred Forty-Three Thousand Five Hundred Sixty-Sev</t>
  </si>
  <si>
    <t xml:space="preserve"> Construction of Covered Pathwalk with a total length of 41.60 m.</t>
  </si>
  <si>
    <t xml:space="preserve"> INVITATION TO BID The DPWH, Masbate 3rd District Engineering Office, Dimasalang, Masbate through its Bids and Awards Committee (BAC), invites contractors to submit bids for the following Contract: Procurement ID/ Contract ID:	20FJ0035 Contract Name:	Const</t>
  </si>
  <si>
    <t xml:space="preserve"> please see attached file For further information, please refer to: Mr. Marlon Balitaon Telefax No. 837-8113 loc 318 / 837-2071 loc 2293 Email address: marl_balitaon@yahoo.com</t>
  </si>
  <si>
    <t xml:space="preserve"> Procurement of Toner for use in the office of DPWH Iloilo 2nd DEO, Balabag, Dumangas, Iloilo</t>
  </si>
  <si>
    <t xml:space="preserve"> INVITATION TO BID The DPWH, Masbate 3rd District Engineering Office, Dimasalang, Masbate through its Bids and Awards Committee (BAC), invites contractors to submit bids for the following Contract: Procurement ID/ Contract ID:	20FJ0036 Contract Name:	Const</t>
  </si>
  <si>
    <t xml:space="preserve"> Construction of Cross Drain Box Type at Poblacion, Manicahan ABC: 183,000.00 Duration: 8 Calendar Days Scope of Work: Item 103: Structural Excavation- Q=14.39 cu.m, L=8.20 ln.m Item 404: Reinforcing Steel- Q=556.682 kls. Item 405: Structural Concrete: Q=7</t>
  </si>
  <si>
    <t xml:space="preserve"> INVITATION TO BID FOR THE SUPPLY AND DELIVERY OF PVC MAT (HEAVY DUTY), TO WIT: PLEASE SEE ATTACHED SPECIFICATIONS: 1. The Local Government Unit of Tanauan, Leyte through General Fund intends to apply the sum of ONE HUNDRED SIXTY THOUSAND PESOS ONLY (Php 1</t>
  </si>
  <si>
    <t xml:space="preserve"> Military, Police &amp; Traffic Supplies</t>
  </si>
  <si>
    <t xml:space="preserve"> 1	Un	Brand New Vehicle, Van type 15 pax capacity, Diesel Engine, 		4v cylinder with no less than 2,950cc displacement, Maximum 		output at least 135PS at 3,400 RPM, Common Rail, Turbo 		charge Intercooler, with tank capacity of no less than 70 liters 		wi</t>
  </si>
  <si>
    <t xml:space="preserve"> Rehabilitation of admin building with an area of 144 m2. It includes concrete works, masonry , rebar roofing &amp; tinsmitting carpentry,tileworks, doors &amp; windows, electrical &amp; painting works.</t>
  </si>
  <si>
    <t xml:space="preserve"> 225 PCS TOILET BOWLS</t>
  </si>
  <si>
    <t xml:space="preserve"> INVITATION TO BID The DPWH, Masbate 3rd District Engineering Office, Dimasalang, Masbate through its Bids and Awards Committee (BAC), invites contractors to submit bids for the following Contract: Procurement ID/ Contract ID:	20FJ0034 Contract Name:	Const</t>
  </si>
  <si>
    <t xml:space="preserve"> Contract ID: 20KF0123 Contract Name: Repair/Rehabilitation of DENR Building Main Building at Brgy. Tubod, Iligan City Contract Location: Tubod, Iligan City Brief Description: Other General Requirements (Volume II), Earthworks (Volume III), Plain and Reinf</t>
  </si>
  <si>
    <t xml:space="preserve"> 125	Set	Learner's Kit 1	Pc	Stretcher 1	pc	Radio Phone 1	Pcs	Back Saw 1	Tank	Fire Extinguisher (small) 10 L 1	Unit	Aluminum Ladder 1	roll	Rope</t>
  </si>
  <si>
    <t xml:space="preserve"> Purchase of Various Drugs and Medicines for Barangay Bolbok, Batangas City</t>
  </si>
  <si>
    <t xml:space="preserve"> Construction of concrete revetment with a total length of 117.0 l.m.</t>
  </si>
  <si>
    <t xml:space="preserve"> Contract ID: 20KF0124 Contract Name: Repair/Maintenance of DOJ Building-Hall of Justice, Tubod, Iligan City Contract Location: Tubod, Iligan City Brief Description: Facilities for the Engineer, Other General Requirements, Civil, Mechanical, Electrical and</t>
  </si>
  <si>
    <t xml:space="preserve"> Purchase of Medical Supplies for Barangay Bolbok health workers and front liners.</t>
  </si>
  <si>
    <t xml:space="preserve"> INVITATION TO BID A.	The Department of Public Works and Highways-Metro Manila 1 District Engineering Office, Westbank Road, Manggahan Floodway, Rosario, Pasig City through its Bids and Awards Committee (BAC), invites contractors to submit bids for the fol</t>
  </si>
  <si>
    <t xml:space="preserve"> 1	1	Lot	Supply and Delivery of Office Supplies  			Item Description: 	140	Pcs	SIGN PEN, BLUE, liquid/gel ink, 0.5mm needle tip 	140	Pcs	SIGN PEN, BLACK, liquid/gel ink, 0.5mm needle tip 	14	Pack	BATTERY, dry cell, AAA, 2 pieces per blister pack 	14	Roll	T</t>
  </si>
  <si>
    <t xml:space="preserve"> a. KADTACAN SLAB BRIDGE - P 90,000.00 b. REHABILITATION OF KARANAG FOOTPATH - P 58,178.94 c. CONSTRUCTION OF FANGTIN IRRIGATION - P 300,000.00</t>
  </si>
  <si>
    <t xml:space="preserve"> Purchase of 10 Units of Cell Phone</t>
  </si>
  <si>
    <t xml:space="preserve"> P.R NO. 100-2020-06-0344 REPAIR OF GARBAGE COMPACTOR</t>
  </si>
  <si>
    <t xml:space="preserve"> INK CART EPSON C13 T6641 BLACK INK CART EPSON C13 T6642 CYAN INK CART EPSON C13 T6643 MAGENTA INK CART EPSON C13 T6644 YELLOW CORRECTION FLUID PEN TYPE  Bookpaper long, 18 1/2 in. x 13 MASKING TAPE 1 inch FOLDER 14PTS ORDINARY LONG WITH PLASTIC COVER FOLD</t>
  </si>
  <si>
    <t xml:space="preserve"> a. CONTINUATION OF FALEKKONG IRRIGATION CANAL - P 171,712.87 b. CONSTRUCTION OF SURNGUNA INTAKE TANK - P 92,000.00 c. CONSTRUCTION OF KUDCHO-PARTOG DRAINAGE CANAL - P 158,700.65 d. LAMMAG PATHWAY - P 71,712.88 e. REHABILITATION OF CHAP-AY-FAANG-SUYO PATHW</t>
  </si>
  <si>
    <t xml:space="preserve"> GRASSCUTTER COMMON NAIL #2 COMMON NAIL #3 COMMON NAIL  #1 1/2 CONCRETE NAIL #3 GROUT PAINT BRUSH #1 PAINT BRUSH #2 PAINT THINNER QDE PAINT GREEN ROLLLER BRUSH #8 VULCA ZEAL LATEX GLOSS</t>
  </si>
  <si>
    <t xml:space="preserve"> Flash Drive, 16GB capacity Inkcart EPSON C13T664100 (T6641,black) Inkcart EPSON C13T664100 (T6641,cyan) Inkcart EPSON C13T664100 (T6641,yellow) Inkcart EPSON C13T664100 (T6641,magenta) Bookpaper long 8 1/2 x  13in., subs.20 Bookpaper A4 subs.20 BOOKPAPER </t>
  </si>
  <si>
    <t xml:space="preserve"> P.R NO. 100-2020-06-0332 INFORMATION TECHNOLOGY AND ACCESSORIES USE FOR RHU 1</t>
  </si>
  <si>
    <t xml:space="preserve"> REQUEST FOR QUOTATION The Bureau of Jail Management and Penology — National Headquarters (BJMPNHQ), through its Bids and Awards Committee, intends to procure Supply and Delivery of Various Government Forms which will be undertaken in accordance with the 2</t>
  </si>
  <si>
    <t xml:space="preserve"> INVITATION TO BID FOR  SUPPLY AND DELIVERY OF VARIOUS OFFICE EQUIPMENT OF THE LGU LAOANG 1.	The Local Government Unit of Laoang, through the General Fund and Trust Fund   intends to apply the sum of One Million Eight Hundred Twenty One Thousand Five Hundr</t>
  </si>
  <si>
    <t xml:space="preserve"> REQUEST FOR QUOTATION The Bureau of Jail Management and Penology — National Headquarters (BJMPNHQ), through its Bids and Awards Committee, intends to procure Provision of Redundancy Direct Internet Connection Service Connection to BJMP National Headquarte</t>
  </si>
  <si>
    <t xml:space="preserve"> RFQ-GS-20200622-02 Interested Suppliers are invited to submit Price Quotation for the above listed item. The official LANDBANK Request for Quotation Form may be obtained from MS. CHARM FLORIDO (tel no. 85512200 locals 2290, 2979; email address: dudonmarca</t>
  </si>
  <si>
    <t xml:space="preserve"> See Program of Works ACTIVITIES SCHEDULE 1. Posting on Philgeps:- July 2 to July 7, 2020 2. Issuance of Bids Documents: - July 7, 2020 3. Submision/opening of of Bids - July 17, 2020 at 11:00 at Sablig Barangay Hall 4. Evaluation of Bids;- July 19, 2020 5</t>
  </si>
  <si>
    <t xml:space="preserve"> Republic of the Philippines PROVINCE OF SAMAR Catbalogan -o0o- Standard Form Number: SF-INFRA-05 Revised on: July 29, 2004 INVITATION TO  BID The Provincial Government of Samar, through its Bids and Awards Committee (BAC), invites contractors registered w</t>
  </si>
  <si>
    <t xml:space="preserve"> LATEX GLOSS CEMENT  CHB NO 4 CONCRETE HOLLOW BLOCK GRAVEL SAND LATEX PAINT GARDEN HOSE COCOLUMBER 2X4X10 COCOLUMBER 2X2X12 COCOLUMBER 2X3X12 DOORKNOB 5 PIN TUMBLER CYLINDER 3 NICKLE PLATED BRASS KEYS BOX SET 60MM/70MM FAUCET GOOD LUMBER 2X2X12 GOOD LUMBER</t>
  </si>
  <si>
    <t xml:space="preserve"> Single Phase Primary Line Construction, Transformer and Metering Installation for Streetlights, Poblacion, Sta. Catalina, Ilocos Sur</t>
  </si>
  <si>
    <t xml:space="preserve"> Republic of the Philippines National Capital Region Division of Taguig and Pateros District of Cluster IX KAPT. JOSE CARDONES MEMORIAL ELEM. SCHOOL Kapt. Jose Cardones Memorial Elem. School REQUEST FOR QUOTATION DepED – Kapt. Jose Cardones Memorial Elem. </t>
  </si>
  <si>
    <t xml:space="preserve"> Republic of the Philippines Province of Cotabato Municipality of Arakan Barangay Tumanding BIDS AND AWARDS COMMITTEE INVITATION TO BID FOR  Water System Development for Centro A&amp;B 1.	The Barangay Government Unit of Tumanding, through the TRUST      FUND  </t>
  </si>
  <si>
    <t xml:space="preserve"> Please see ASSOCIATED COMPONENTS for details</t>
  </si>
  <si>
    <t xml:space="preserve"> Repainting of School Building</t>
  </si>
  <si>
    <t xml:space="preserve"> 1.	The Power Sector Assets and Liabilities Management (PSALM) Corporation, through the 2020 Corporate Operating Budget, intends to apply the sum being the Approved Budget for the Contract (ABC) to payment for the project listed below. Bids received in exc</t>
  </si>
  <si>
    <t xml:space="preserve"> Supply and Delivery of Rescue Equipment and Paraphernalias, Sta. Catalina, Ilocos Sur</t>
  </si>
  <si>
    <t xml:space="preserve"> GEOTECHNICAL INVESTIGATION AND TOPOGRAPHICAL SURVEY FOR THE CONSTRUCTIONS OF 100TCC WAREHOUSE IN NFA LOT BAGUER, LIBUNGAN, NORTH COTABATO</t>
  </si>
  <si>
    <t xml:space="preserve"> Procurement of 160 Drums Asphalt Cement Pen. Grade 60/70 (200 Liters/Drum) for Use in the Repair/Maintenance of Paved Road along Various National Roads of DPWH Iloilo 2nd DEO, Balabag, Dumangas, Iloilo</t>
  </si>
  <si>
    <t xml:space="preserve"> 426	cu.m.	Common Borrow Materials (delivered to site)			 426	cu.m.	Aggregate Sub-Base Course Materials (delivered to site)			 426	cu.m.	Aggregate Base Course Materials (delivered to site)			 1624	cu.m.	Rock Boulders (class 2 &amp; 3 rocks) (delivered to site)</t>
  </si>
  <si>
    <t xml:space="preserve"> a. CONTINUATION OF CHUPAC-KALEO FOOTBRIDGE (MAIN) - P 747,673.95 b. CONSTRUCTION OF TINANGFIAN IRRIGATION SYSTEM - P 200,000.00</t>
  </si>
  <si>
    <t xml:space="preserve"> FIANAT FOOTPATH WITH FOOTBRIDGE</t>
  </si>
  <si>
    <t xml:space="preserve"> Electrical supplies</t>
  </si>
  <si>
    <t xml:space="preserve"> INVITATION TO BID  FOR  PURCHASE OF DREDGING EQUIPMENTS IN REGIONAL OFFICE NO. IV-A, EDSA, QUEZON CITY Contract ID No. 20GD00004 The Department of Public Works and Highways (DPWH), Regional Office No. IV-A thru its Bids and Awards Committee (BAC), through</t>
  </si>
  <si>
    <t xml:space="preserve"> Repair and Improved School Fencing</t>
  </si>
  <si>
    <t xml:space="preserve"> Item No./ 	Unit of Measure/Article(s)/Description(s)/Approved Budget for the Contract (ABC),  VAT inclusive 1/One (1) Lot/Service Maintenance for the Fire Suppression System (FM-200) at the IT Data Center and PABX Room, BSP Head Office, as per BSP Terms o</t>
  </si>
  <si>
    <t xml:space="preserve"> 2 box THW Wire #8 Stranded, 1 box THW Wire #10 Stranded and others</t>
  </si>
  <si>
    <t xml:space="preserve"> 1.	The Power Sector Assets and Liabilities Management (PSALM) Corporation, through the 2020 Corporate Operating Budget, intends to apply the sum being the Approved Budget for the Contract (ABC) to payment for  the project listed below. Bids received in ex</t>
  </si>
  <si>
    <t xml:space="preserve"> 1 LOT - Digital Event Production, PR, Marketing and Branding Service for DTI-7 Online Programs - (48 sessions of Digital Conferences, Trainings and Workshops ).   Webinar Concept Development  Webinar Creative Branding  Webinar Marketing and PR  &gt; Traditio</t>
  </si>
  <si>
    <t xml:space="preserve"> CONSTRUCTION OF EVACUATION CENTER, JUNCTION, PINUKPUK</t>
  </si>
  <si>
    <t xml:space="preserve"> The Department of Agriculture-RFO 3, invites interested suppliers/ bidders to submit bid proposal(s) for the hereunder requirement, to wit: 1 unit Hauling Truck Specification: Maximum Output Power: 163.0 Horsepower @ 3,400 rpm Engine Displacement: 2,500 c</t>
  </si>
  <si>
    <t xml:space="preserve"> Republic of the Philippines City of Manila BIDS AND AWARDS COMMITTEE DESCRIPTION: 129   sacks   Rice  10   kilos     Rice   8   packs    Snado Plastic Bag REQUESTING OFFICER/END USER :  Barangay  848, Zone 92, District 6, Manila APPROVED BUDGET FOR THE CO</t>
  </si>
  <si>
    <t xml:space="preserve"> For Intructional, office works and operational maintenance of nala elementary school</t>
  </si>
  <si>
    <t xml:space="preserve"> Republic of the Philippines Province of Cotabato Municipality of Arakan Barangay Kulaman Valley BIDS AND AWARDS COMMITTEE INVITATION TO BID FOR  Rehabilitation of Multi-purpose Bldg. ( Barangay Hall) 1.	The Barangay Government Unit of Kulaman Valley, thro</t>
  </si>
  <si>
    <t xml:space="preserve"> Name of the Requirement/ Brief Description	:	One (1) lot – Workshop on International Standard on Assurance Engagements (ISAE 3000), as per BSP Terms of Reference Approved Budget for the Contract (ABC)	:	Php992,000.00, VAT inclusive  (Quotations/Proposals </t>
  </si>
  <si>
    <t xml:space="preserve"> Request for Quotation RFQ No.		SVP-027-2020 MR No.		10882 Requisition No. 	CN-20-50 Posting Date:         	July 2, 2020 Deadline for Submission:		July 8, 2020 at 9:00 AM Opening Date:	July 8, 2020 at 10:00 AM 	 TO:	Name of Supplier:_______________________</t>
  </si>
  <si>
    <t xml:space="preserve"> INVITATION TO BID “PUBLIC BIDDING FOR THEANNUAL SUBSCRIPTION AND PREVENTIVE MAINTENANCE OF SECURITY FIREWALL INFRASTRUCTURE FOR THE OFFICE OF THE OMBUDSMAN” 1.	The Office of the Ombudsman through the General Appropriations Act for CY 2020 intends to apply</t>
  </si>
  <si>
    <t xml:space="preserve"> To provide Labor and materials for the Local Access Road Upgrading - Brgy. Hampton to Brgy Palambrag Pre-bid Conference: July 10, 2020 @ 9:00AM, venue: Engineer's Office Opening of Bids - July 28, 2020, 10:00AM Other Information: Letter of Intent must be </t>
  </si>
  <si>
    <t xml:space="preserve"> Invitation to Bid FOR THE UPLB-I-022-07-20 SUPPLY, DELIVERY, INSTALLATION, TESTING AND COMMISSIONING OF BRANDED AND BRAND NEW STANDBY GENERATOR SET FOR CAFS-PHTRC 1.	The UNIVERSITY OF THE PHILIPPINES LOS BAÑOS (UPLB), through the GOP (FC: 8265200) intends</t>
  </si>
  <si>
    <t xml:space="preserve"> Contract ID No. 20OH0087 Re-ads Contract Name :  Convergence  and  Special  Support Program - Construction/ Improvement  of  Various Infrastructure in support of National Security - Construction of Typhoon Shelter Hangar for Rotary Aircraft, Colonel Jesus</t>
  </si>
  <si>
    <t xml:space="preserve"> Quantity	Unit	Item and Description 5	bag	0-0-60,  Muriate of Potash 7	bag	0-18-0, Solophos 30	bag	14-14-14, Complete Fertilizer 1	bag	16-20-0, Ammonium Phosphate 37	bag	21-0-0, Ammonium Sulfate 13	bag	46-0-0, Urea 8	bottle	Herbicide, Active Ing.: Mecocrop</t>
  </si>
  <si>
    <t xml:space="preserve"> CONSTRUCTION OF FLOOD CONTROL, RIVERSIDE, JUNCTION, PINUKPUK</t>
  </si>
  <si>
    <t xml:space="preserve"> Request for Quotation RFQ No.		SVP-026-2020 MR. No.		06711 Requisition No.	HA-002-20 Posting Date:         	July 2, 2020 Deadline for Submission:		July 8, 2020 at 9:00 AM Opening Date:	July 8, 2020 at 10:00 AM TO:	Name of Supplier:_______________________ </t>
  </si>
  <si>
    <t xml:space="preserve"> 1 set Titanium Miniplates and Screws Maxilo-Facial and others.</t>
  </si>
  <si>
    <t xml:space="preserve"> Complete Construction of 2 Storey 4 Classroom School Building (Stairwall 5m width, Steel Casement Window at Rear Portion with Security Grilles for the Front Jalousie Window, Fire Protection System, Overhead Tank and Cistern)</t>
  </si>
  <si>
    <t xml:space="preserve"> BARANGAY CENTRAL SIGNAL BIDS AND AWARDS COMMITTEE -- Advertisement/Posting of Invitation to Bid ------ July 2, 2020 -- Issuance and Availability of Bid Documents ----- July 2, 2020 -- Deadline for Submission -------------------------- July 9, 2020 @ 3PM -</t>
  </si>
  <si>
    <t xml:space="preserve"> Complete Construction of 1 Storey 2 Classroom with Handwashing Facility</t>
  </si>
  <si>
    <t xml:space="preserve"> 200 pcs. Administrtion set Adult (Macroset) 300 pcs. Bloodset 800 pcs. IV Cannula G26</t>
  </si>
  <si>
    <t xml:space="preserve"> Polo shirt with embroidered logo of masaganang ani, mataas na kita and ATI ----- 150 Pcs.</t>
  </si>
  <si>
    <t xml:space="preserve"> Description   The Department of Agriculture-RFO 3, invites interested suppliers to submit quotations/proposals for the hereunder requirement, to wit: 40	bottle	"Alcohol, 70% Ethly, 500ml  "	 40	pack	"Toilet Tissue, 12 rolls per pack  "	 20	bottle	"Dishwas</t>
  </si>
  <si>
    <t xml:space="preserve"> Consultancy Service for Research Institution/Individual Consultant to conduct Further Analysis of 2018 National Migration Survey on the Intra and Inter Regional Trends and Patterns of Migration Duration July to August 2020 (See attached Term of Reference </t>
  </si>
  <si>
    <t xml:space="preserve"> 1	Unit	Fabricated Wood Medicine Cabinet  		2 Columns; 7 Layers with Varnish and Transparent 1/8 inch thick sliding glass 		H=2.15m; L=1.35m; W=0.30m 1	Unit	Fabricated Wood Medicine Cabinet  		2 Columns; 7 Layers with Varnish and Transparent 1/8 inch thick</t>
  </si>
  <si>
    <t xml:space="preserve"> PROCUREMENT OF THE FOLLOWING SERVICES: CONCRETING OF 0.10 METER THK, 0.60 METER WIDTH, 194.0 LINEAR METERS PATHWALK. A. MATERIALS B. LABOR C. HAULING D. OTHER SERVICES FOR MORE DETAILS VISIT THE BARANGAY</t>
  </si>
  <si>
    <t xml:space="preserve"> Rehabilitation of Evacuation Center including  1. Concreting works  2. Masonry Wall 3. Tinnery Works 4. Windows 5. Carpentry Works 6. Tile Works.</t>
  </si>
  <si>
    <t xml:space="preserve"> Republic of the Philippines Province of Leyte MUNICIPALITY OF CAPOOCAN -oOo- CAPOOCAN BIDS AND AWARD COMMITTEE INVITATION TO BID  for SUPPLY AND DELIVERY OF MOTORCYCLES 1.	The MUNICIPALITY of Capoocan, Leyte, through the SB &amp; MAO CAPITAL OUTLAY intends to</t>
  </si>
  <si>
    <t xml:space="preserve"> 1. 1 unit ROG G15 Zephyrus GA 502IV-AZ023T 15.6inches FHD 240Hz Ryzen 7 4800H 16GB/1TB/6GB RTX 2060/Win 10 2. 1 unit Netbook 155-DU0044TX 15.6-in. FHD,IPS,AG, Intel core i7 8565u/8gb/2tb gfmx 130/Win 10</t>
  </si>
  <si>
    <t xml:space="preserve"> Republic of the Philippines Province of Guimaras OFFICE OF THE BIDS AND AWARDS COMMITTEE INVITATION TO BID FOR    SUPPLY AND DELIVERY OF OFFICE EQUIPMENT Bid Ref. No. 2020-03-173 Re-bid 1.	The Province of Guimaras , through the Office Equipment Outlay (1-</t>
  </si>
  <si>
    <t xml:space="preserve"> Laptop i8 Smart LED TV 40" Photocopier Conference Table Office Chair Split Type Aircon (2.5 horsepower) Gazebo Tent Metal Filing Cabinet</t>
  </si>
  <si>
    <t xml:space="preserve"> INVITATION TO BID FOR PROCUREMENT OF OFFICE SUPPLIES AND CONSUMABLES  1.	The Philippine Science High School-Bicol Region Campus, through the General Appropriations Act FY 2020 intends to apply the total amount of FIVE HUNDRED SEVENTY-FIVE THOUSAND FIVE HU</t>
  </si>
  <si>
    <t xml:space="preserve"> GOA (by set) Belt Supplementary Uniform (Tshirt w/ print) 4 sets x 30 pax Shoes Cap Flashlight Hand Cuffs Tear Gas Raincoat Bota</t>
  </si>
  <si>
    <t xml:space="preserve"> Attached herewith the Request for Proposal and Terms of Reference</t>
  </si>
  <si>
    <t xml:space="preserve"> OPENING OF BIDS IN DSWD FO IX, ZAMBOANGA CITY,							 DELIVERY IN DSWD FO IX ZAMBOANGA CITY							 PROCUREMENT FOR THE FF.:							 							 10	UNIT	EVAPORATIVE AIR COOLER HEAVY DUTY					 5	UNIT	KITCHEN CABINET , 4 LAYER STAINLESS					 15	UNIT	HOT AND COLD </t>
  </si>
  <si>
    <t xml:space="preserve"> INVITATION TO BID for the Procurement of Infrastructure Projects            1.	The City Government of Puerto Princesa (CGPP), through Appropriation Ordinance No. 6-2019 (Supplemental Budget No. 3 for CY 2019/Fund Source: Borrowings – Loan at Land Bank of </t>
  </si>
  <si>
    <t xml:space="preserve"> Patrol (Multi-cab) Single Motor Patrol Tricycle</t>
  </si>
  <si>
    <t xml:space="preserve"> PROCUREMENT OF CONSTRUCTION MATERIALS FOR THE IMPROVEMENT/REBLOCKING/ OF LOCAL ROAD</t>
  </si>
  <si>
    <t xml:space="preserve"> T-shirt with logo of Masaganang Ani Mataas na kita and ATI ----- 120 Pcs. Long Sleeves (Makapal), Cotton ----- 120 Pcs. Boots ----- 120 Pcs. Hat, Cloth ----- 120 Pcs. Gloves ----- 120 Pcs. Socks, Long, Black ----- 120 Pcs.</t>
  </si>
  <si>
    <t xml:space="preserve"> Request for Quotation RFQ No.		SVP-028-2020 MR No.		10883 Requisition No. 	CN-20-49 Posting Date:         	July 2, 2020 Deadline for Submission:		July 8, 2020 at 9:00 AM Opening Date:	July 8, 2020 at 10:00 AM 	 TO:	Name of Supplier:_______________________</t>
  </si>
  <si>
    <t xml:space="preserve"> 1	Set	SIREN, sentry e-6 model, 124Db @ 10ft, 5  selectable alarm tones, made in USA, delivery and                   installation at the municipal building 		 3	Sets	SIREN, blue and red light, attaching mechanism, control mechanism, microphone 		Length = 1</t>
  </si>
  <si>
    <t xml:space="preserve"> Amount of Bid Docs 5,000.00 To all suppliers, Bid Documents are available at BAC Office on July 9, 2020 Please qoute your Lowest Price; Item No. Description Quantity Unit SPL Mobilization / Demobilization 1.00 LS A. EARTHWORKS 100(1) Clearing &amp; Grubbing 2</t>
  </si>
  <si>
    <t xml:space="preserve"> The Municipality of Tanza, Cavite, through its Bids and Awards Committee (BAC), invites suppliers/manufacturers/distributor/contractors to apply for eligibility and to bid for the hereunder project: 	Name of Project	: SUPPLY AND DELIVERY OF UNIFORM FOR MU</t>
  </si>
  <si>
    <t xml:space="preserve"> Consultancy Service for Research Institution/Individual Consultant to conduct the Further Analysis of the 2018 National Migration Survey on the Trends and Patterns of Migration Duration July to August 2020 (See attached Term of Reference TOR) Please attac</t>
  </si>
  <si>
    <t xml:space="preserve"> INVITATION TO BID FOR PROCUREMENT OF ICT EQUIPMENT (SUPPLY AND DELIVERY) 1.	The Philippine Science High School-Bicol Region Campus, through the General Appropriations Act FY 2020 intends to apply the total amount of Two Million Two Hundred Eighteen Thousa</t>
  </si>
  <si>
    <t xml:space="preserve"> NOTICE OF PROCUREMENT  (For Posting Purposes in the PhilGEPS and DPWH websites)  19CSZ016- Capacity Development of DPWH Staff in Tunnel Operation and Maintenance and Preparation of Tender Documents for Procurement of Services for the Operation and Mainten</t>
  </si>
  <si>
    <t xml:space="preserve"> Supply and delivery of 3 sets Brand New Desktop Computer w/ complete accessories and 2 sets Printer, WIFI Integrated Ink Tank of the Mayor's Office, San Enrique, Iloilo. Approved Budget for the Contract: Php. 147, 000.00 1. 3 sets Brand New Desktop Comput</t>
  </si>
  <si>
    <t xml:space="preserve"> CONSTRUCTION OF ABOWOK BANK PROTECTION, JUNCTION, PINUKPUK</t>
  </si>
  <si>
    <t xml:space="preserve"> Amount of Bid Docs 5,000.00 To all suppliers, Bid Documents are available at BAC Office on July 9, 2020 Please qoute your Lowest Price; Item No. Quantity Unit Description I 1.00 lot Site Clearing, Excavation Works Signage II 87.72 cu.m. Concrete Works III</t>
  </si>
  <si>
    <t xml:space="preserve"> The Municipality of Tanza, Cavite, through its Bids and Awards Committee (BAC), invites suppliers/manufacturers/distributor/contractors to apply for eligibility and to bid for the hereunder project: 	Name of Project	: SUPPLY AND DELIVERY OF MEDICINES FOR </t>
  </si>
  <si>
    <t xml:space="preserve"> Republic of the Philippines Province of Iloilo BIDS AND AWARDS COMMITTEE INVITATION TO BID Purchase of Office Equipment Bid No.AGR-20-0128-B 1. The Iloilo Provincial Government, through the 2020 GENERAL FUND intends to apply the sum of THREE HUNDRED NINET</t>
  </si>
  <si>
    <t xml:space="preserve"> Procurement ID/Contract ID: 				20CA0058 Contract Name: 	Construction of Two (2) Storey-Eight (8) Classroom School Building, Layac Elementary School Contract Location:	Dinalupihan, Bataan Brief Description:	Construction of  Two (2) Storey Eight (8) Classr</t>
  </si>
  <si>
    <t xml:space="preserve"> Procurement ID/Contract ID: 				20CA0057 Contract Name: 	Construction of Two (2) Storey-Four (4) Classroom School Building, Bayan-Bayanan Elementary School Contract Location:	Dinalupihan, Bataan Brief Description:	Construction of  Two (2) Storey Four (4) </t>
  </si>
  <si>
    <t xml:space="preserve"> Procurement ID/Contract ID: 				20CA0056 Contract Name: 	Construction/Repair/Rehabilitation/Improvement of Various Infrastructure including Local Projects- Buildings and Other Structures- Multi-Purpose/Facilities-Construction of Multi-Purpose Building, Br</t>
  </si>
  <si>
    <t xml:space="preserve"> Repainting of wall exterior face of Municipal Government bldg.: Repair of second floor exterior ceiling and waterproofing of second floor roof deck and pre-painted roofings.</t>
  </si>
  <si>
    <t xml:space="preserve"> Poultry house</t>
  </si>
  <si>
    <t xml:space="preserve"> Amount of Bid Docs 2,000.00 To all suppliers, Bid Documents are available at BAC Office on July 9, 2020 Please qoute your Lowest Price; Item No. Quantity Unit Description I 1.00 lot Site Works II 1.00 lot Form Works &amp; Scaffolding III 1.00 lot Masonry Work</t>
  </si>
  <si>
    <t xml:space="preserve"> Amount of Bid Docs 10,000.00 To all suppliers, Bid Documents are available at BAC Office on July 9, 2020 Please qoute your Lowest Price; tem No. Description Quantity Unit SPL Mobilization / Demobilization 1.00 LS A. EARTHWORKS 101 Removal of Existing Stru</t>
  </si>
  <si>
    <t xml:space="preserve"> 1.	The Municipality of Caraga, through the Resolution No. 42 Series of 2018 intends to apply the sum of Two Hundred Fifty Five Thousand Seven Hundred Thirty Eight Pesos  (255,738.00) being the Approved Budget for the Contract (ABC) to payments under the c</t>
  </si>
  <si>
    <t xml:space="preserve"> 1.	The Municipality of Caraga, through the Gender and Development Fund  2020 intends to apply the sum of One Million Four Hundred Ninety Nine Thousand Nine Hundred Ninety Nine &amp; 79/100  (1,499,999.79) being the Approved Budget for the Contract (ABC) to pa</t>
  </si>
  <si>
    <t xml:space="preserve"> Invitation to Bid for the  Renovation/Improvement of Various Offices (Office Cubicles) 1.	The JH Cerilles State College, through the Trust Fund- Capital Outlay 2020 invites PhilGEPS registered suppliers to bid for Improvement and Installation of Fabric wi</t>
  </si>
  <si>
    <t xml:space="preserve"> Republic of the Philippines									 Province of Iloilo									 BIDS AND AWARDS COMMITTEE									 									 INVITATION TO BID									 Purchase of Food Packs									 Bid No. PHO-20-0749-B									 									 1	The Iloilo Provincial Government, through t</t>
  </si>
  <si>
    <t xml:space="preserve"> 1.	The Municipality of Caraga, through the Gender and Development Fund  2019 intends to apply the sum of Six Hundred Ninety Nine Thousand Nine Hundred Ninety Nine &amp; 43/100  (699,999.43) being the Approved Budget for the Contract (ABC) to payments under th</t>
  </si>
  <si>
    <t xml:space="preserve"> Republic of the Philippines Province of Guimaras OFFICE OF THE BIDS AND AWARDS COMMITTEE INVITATION TO BID FOR    SUPPLY AND DELIVERY OF LABORATORY SUPPLIES Bid Ref. No. 2020-06-366 1.	The Province of Guimaras , through the (5-02-03-080 Laboratory Expense</t>
  </si>
  <si>
    <t xml:space="preserve"> Building</t>
  </si>
  <si>
    <t xml:space="preserve"> The Schools Division of Calapan City invites suppliers/ bidders for the delivery of the following: Unit        Quantity       Description set              59            Disinfection sprayer, knapsack, 16-18L liters          118           Disinfectant Solu</t>
  </si>
  <si>
    <t xml:space="preserve"> CTL Classroom Rewiring</t>
  </si>
  <si>
    <t xml:space="preserve"> Republic of the Philippines Province of Guimaras OFFICE OF THE BIDS AND AWARDS COMMITTEE INVITATION TO BID FOR    SUPPLY AND DELIVERY OF DIESOLINE Bid Ref. No. 2020-03-166 Re-bid 1.	The Province of Guimaras , through the General Fund (Fuel, Oil &amp; Lubrican</t>
  </si>
  <si>
    <t xml:space="preserve"> INVITATION TO BID The Provincial Government of Palawan through its Bids and Awards Committee (BAC) invites suppliers/manufacturers/ distributors/contractors to apply for eligibility and to bid for the hereunder project. Name of the Project       : Procure</t>
  </si>
  <si>
    <t xml:space="preserve"> Republic of the Philippines PROVINCE OF NUEVA VIZCAYA Municipality of Alfonso Castañeda  BIDS AND AWARDS COMMITTEE FOR INFRASTRUCTURE PROJECTS CONCRETING OF PUROK 6B ROAD (LUBLUB) 1.	The Local Government of Alfonso Castañeda, through the 20% Development</t>
  </si>
  <si>
    <t xml:space="preserve"> Republic of the Philippines Province of Iloilo Municipality of Lemery Invitation to Bid 1.	The Barangay  Milan,  Lemery, Iloilo, through  20% Development Fund 2019 intends to apply the sum of  One Hundred Thousand  Pesos ( 100,000.00 ) being the Approved </t>
  </si>
  <si>
    <t xml:space="preserve"> INVITATION TO BID (RE-BID) The Provincial Government of Palawan through its Bids and Awards Committee (BAC) invites suppliers/manufacturers/ distributors/contractors to apply for eligibility and to bid for the hereunder project. Name of the Project       </t>
  </si>
  <si>
    <t xml:space="preserve"> Republic of the Philippines Province of Guimaras OFFICE OF THE BIDS AND AWARDS COMMITTEE INVITATION TO BID FOR    SUPPLY AND DELIVERY OF VEHICLE PARTS AND ACCESSORIES Bid Ref. No. 2020-06-361 1.	The Province of Guimaras , through the Repairs and Maintenan</t>
  </si>
  <si>
    <t xml:space="preserve"> Republic of the Philippines Province of Guimaras OFFICE OF THE BIDS AND AWARDS COMMITTEE INVITATION TO BID FOR    SUPPLY AND DELIVERY OF DIESEL Bid Ref. No. 2020-02-119 Re-bid 1.	The Province of Guimaras , through the Gasoline, Oil &amp; Lubricants Expenses i</t>
  </si>
  <si>
    <t xml:space="preserve"> Republic of the Philippines Province of Cebu Municipality of Dalaguete DALAGUETE BIDS AND AWARDS COMMITTEE INVITATION TO BID (Procurement of Goods) 	 The MUNICIPAL GOVERNMENT OF DALAGUETE, CEBU (MGD) invites all legitimate and interested suppliers/traders</t>
  </si>
  <si>
    <t xml:space="preserve"> Supply and Delivery of Diesel Fuel for Graveling of 2 kilometers Barangay Roads 1. The Barangay Government of Linao Matalam Cotabato Province, through the Budget Approved by the Sanggunian intends to apply the sum of Two Hundred Thousand Pesos (Php200,000</t>
  </si>
  <si>
    <t xml:space="preserve"> Purchase of Materials for Construction of Signages</t>
  </si>
  <si>
    <t xml:space="preserve"> 1.	The Provincial Government of Batanes, through the Sustainable Eco-Tourism Development Fee under Trust Fund Account intends to apply the sum of One Hundred Ninety-One Thousand Six Hundred Twenty-Five Pesos Only (₱ 191,625.00), being the Approved Budget </t>
  </si>
  <si>
    <t xml:space="preserve"> Republic of the Philippines DEPARTMENT OF PUBLIC WORKS AND HIGHWAYS OFFICE OF THE DISTRICT ENGINEER Benguet 1st District Engineering Office Wangal, La Trinidad, Benguet Telefax No. (074) 422 6163            June 29, 2020 INVITATION TO BID FOR Supply and D</t>
  </si>
  <si>
    <t xml:space="preserve"> Republic of the Philippines Province of Guimaras OFFICE OF THE BIDS AND AWARDS COMMITTEE INVITATION TO BID FOR    SUPPLY AND DELIVERY OF DOG FOOD AND SUPPLIES Bid Ref. No. 2020-06-376 1.	The Province of Guimaras , through the SPA- Peace and Order Support </t>
  </si>
  <si>
    <t xml:space="preserve"> Republic of the Philippines Province of Cavite City of General Trias Invitation to Bid for  Project Reference No. INFR-20-015– CONSTRUCTION OF SIXTY-FIVE (65) UNITS HOUSING AT BARANGAY SANTIAGO, CITY OF GEN. TRIAS, CAVITE 1.	The City Government Unit of Ge</t>
  </si>
  <si>
    <t xml:space="preserve"> 1.	The Municipality of Caraga, through the BIDS AND AWARDS COMMITTEE intends to apply the sum of Two Hundred Seventy Eight Thousand Five Hundred Pesos (PhP 278,500.00) being the Approved Budget for the Contract (ABC) to payments under the contract for Sup</t>
  </si>
  <si>
    <t xml:space="preserve"> 1.	The Municipality of Caraga, through the BIDS AND AWARDS COMMITTEE intends to apply the sum of Two Hundred Ninety One Thousand Seven Hundred Fifty One Pesos (PhP 291,751.00) being the Approved Budget for the Contract (ABC) to payments under the contract</t>
  </si>
  <si>
    <t xml:space="preserve"> 1.	The Municipality of Caraga, through the 20% LGDF 2020 intends to apply the sum of Three Hundred Thousand  Pesos  (300,000.00) being the Approved Budget for the Contract (ABC) to payments under the contract for the  Construction of Multi-purpose Drying </t>
  </si>
  <si>
    <t xml:space="preserve"> 1.	The Municipality of Caraga, through the 20% LGDF 2020 intends to apply the sum of Two Hundred Fifty Thousand  Pesos  (250,000.00) being the Approved Budget for the Contract (ABC) to payments under the contract for the  Construction of Drinking and Hand</t>
  </si>
  <si>
    <t xml:space="preserve"> 1.	The Municipality of Caraga, through the 20% LGDF 2018 intends to apply the sum of Three Hundred Thousand  Pesos  (300,000.00) being the Approved Budget for the Contract (ABC) to payments under the contract for the  Construction of Livestock Breeding De</t>
  </si>
  <si>
    <t xml:space="preserve"> Plumbing Repairs of the CTL Classroom</t>
  </si>
  <si>
    <t xml:space="preserve"> Republic of the Philippines Province of Sarangani Municipality of Malapatan INVITATION TO BID  	 2020-B1-06-016        PROCUREMENT OF MATERIALS FOR WATER SYSTEM MAINTENANCE, MALAPATAN, SARANGANI PROVINCE 1.	The Local Government Unit of Malapatan, through </t>
  </si>
  <si>
    <t xml:space="preserve"> Republic of the Philippines Province of Sarangani Municipality of Malapatan INVITATION TO BID  	 2020-B2-06-018 CONCRETING OF ROAD AT PUROK PROPER, BARANGAY KINAM, MALAPATAN, SARANGANI PROVINCE  1.	The Local Government Unit of Malapatan, through the 20% A</t>
  </si>
  <si>
    <t xml:space="preserve"> Republic of the Philippines PROVINCE OF ZAMBOANGA DEL NORTE Municipality of Godod BARANGAY LOMOGOM INVITATION TO BID FOR PROPOSED COVERED COURT PORTABLE FENCE Lomogom, Godod, Zamboanga del Norte 1.	The Barangay Local Government Unit of Lomogom, Godod, ZAm</t>
  </si>
  <si>
    <t xml:space="preserve"> Republic of the Philippines Province of Sarangani Municipality of Malapatan INVITATION TO BID  	 2020-B2-06-017 CONSTRUCTION OF FOOTBRIDGE AT BARANGAY KIHAN, MALAPATAN, SARANGANI PROVINCE  1.	The Local Government Unit of Malapatan, through the 20% AIP CY </t>
  </si>
  <si>
    <t xml:space="preserve"> Republic of the Philippines PROVINCE OF ZAMBOANGA DEL NORTE Municipality of Godod BARANGAY LOMOGOM INVITATION TO BID FOR PROPOSED STREET LIGHT EXTENSION Lomogom, Godod, Zamboanga del Norte 1.	The Barangay Local Government Unit of Lomogom, Godod, ZAmboanga</t>
  </si>
  <si>
    <t xml:space="preserve"> Republic of the Philippines Province of Guimaras OFFICE OF THE BIDS AND AWARDS COMMITTEE INVITATION TO BID FOR    SUPPLY AND DELIVERY OF DIESEL AND GASOLINE Bid Ref. No. 2020-03-149 Re-bid 1.	The Province of Guimaras , through the 2020 Regular Budget- Fue</t>
  </si>
  <si>
    <t xml:space="preserve"> Republic of the Philippines Province of Guimaras OFFICE OF THE BIDS AND AWARDS COMMITTEE INVITATION TO BID FOR    SUPPLY AND DELIVERY OF DIESEL Bid Ref. No. 2020-03-148 Re-bid 1.	The Province of Guimaras , through the Fuel &amp; Oil Expenses (5-02-13-090) int</t>
  </si>
  <si>
    <t xml:space="preserve"> Republic of the Philippines Province of Guimaras OFFICE OF THE BIDS AND AWARDS COMMITTEE INVITATION TO BID FOR    SUPPLY AND DELIVERY OF ISOLATION TRANSFORMER Bid Ref. No. 2020-06-370 1.	The Province of Guimaras , through the Medical Equipment Outlay (1-0</t>
  </si>
  <si>
    <t xml:space="preserve"> Republic of the Philippines Province of Nueva Vizcaya MUNICIPALITY OF BAYOMBONG BARANGAY LA TORRE NORTH -o0o- BIDS AND AWARDS COMMITTEE INVITATION TO BID  CONSTRUCTION OF 45 L.M CHB LINE CANAL ALONG ESQUEDA STREET (sta.0+000-0+045) PUROK 4, PHASE 1   (PR </t>
  </si>
  <si>
    <t xml:space="preserve"> Procurement ID/Contract ID: 				20CA0059 Contract Name: 	Construction of Four (4)  Storey-Sixteen (16) Classroom School Building, Nagbalayong National High School Contract Location:	Morong, Bataan Brief Description:	Construction of  Two (2) Storey Sixteen</t>
  </si>
  <si>
    <t xml:space="preserve"> Republic of the Philippines Province of Guimaras OFFICE OF THE BIDS AND AWARDS COMMITTEE INVITATION TO BID FOR    SUPPLY AND DELIVERY OF LABORATORY SUPPLIES Bid Ref. No. 2020-06-367 1.	The Province of Guimaras , through the (5-02-03-080) Laboratory Expens</t>
  </si>
  <si>
    <t xml:space="preserve"> PROCUREMENT OF THE FOLLOWING SERVICES: MOTORCYCLE: FRAME WITH BACKBONE FRONT TIRE 3.00 x 17 IGNITION TYPE DC-CDI ENGINE TYPE 4 STROKE, SINGLE OVERHEAD CAMSHAFT, BORE x STROKE 1 CYLINDER, DISPLACEMENT 176.6 cc, FRONT SUSPENSION TELESCOPIC FORK FUEL CAPACIT</t>
  </si>
  <si>
    <t xml:space="preserve"> 1.	The Municipality of Caraga, through the 20% LGDF 2020 intends to apply the sum of Three Hundred Fifty Thousand  Pesos  (350,000.00) being the Approved Budget for the Contract (ABC) to payments under the contract for the  Completion of SAn Antonio Multi</t>
  </si>
  <si>
    <t xml:space="preserve"> FINANCIAL PROPOSAL																								 NEGOTIATED PROCUREMENT																								 DUE TO TWO-FAILED BIDDINGS																								 																								 	Company Name 			:																				 	Address                			:																				 	</t>
  </si>
  <si>
    <t xml:space="preserve"> Republic of the Philippines PROVINCE OF NUEVA VIZCAYA Municipality of Alfonso Castañeda  BIDS AND AWARDS COMMITTEE FOR INFRASTRUCTURE PROJECTS CONCRETING OF PUROK 3 ROAD (LUBLUB) 1.	The Local Government of Alfonso Castañeda, through the 20% Development </t>
  </si>
  <si>
    <t xml:space="preserve"> LENGTH = 11 METERS WIDTH = 6.0 METERS I. CONCRETE, MASONRY AND PLASTERING FORMS &amp; SCAFFOLDS II. CEILING WORK INCLUDING EAVES III. ROOFING MATERIALS IV. ELECTRICAL WORKS V. DOORS, WINDOWS, GRILLS &amp; STAIR RAILINGS VI. TILE WORKS AT SECOND FLOOR VII. PAINTIN</t>
  </si>
  <si>
    <t xml:space="preserve"> Republic of the Philippines Province of Guimaras OFFICE OF THE BIDS AND AWARDS COMMITTEE INVITATION TO BID FOR    SUPPLY AND DELIVERY OF DRUGS AND MEDICINES Bid Ref. No. 2020-06-372 1.	The Province of Guimaras , through the General Fund- Drugs and Medicio</t>
  </si>
  <si>
    <t xml:space="preserve"> LENGTH = 250 LINEAL METERS WIDTH = 4.0 METERS THICKNESS = 0.15 METERS VOLUME = 1000.00 SQ.M.</t>
  </si>
  <si>
    <t xml:space="preserve"> Repair/Renovation and Extension of PVAO Field Service Extension Office Building located at NOLCOM, Camp. Gen. Servillano Aquino, Brgy. San Miguel, Tarlac City</t>
  </si>
  <si>
    <t xml:space="preserve"> Please submit the following documents: A. PhilGEPS Certificate of Registration and Membership in accordance with Section 8.5.2 of the IRR B. Mayor's Permit C. Latest Income and Tax Returns D. Omnibus Sworn Statement 50	box	Earloop Surgical Face Mask 10	bo</t>
  </si>
  <si>
    <t xml:space="preserve"> LENGTH = 100 LINEAL METER WIDTH = 4.0 METERS THICKNESS = 0.15 METERS VOLUME = 60 CU.M.</t>
  </si>
  <si>
    <t xml:space="preserve"> Section I. Invitation to Bid Republic of the Philippines Province of Zambales MUNICIPALITY OF SAN FELIPE Invitation to Bid for the Concreting of Various Streets (Phase IV) ITB NO: SFZ-INFRA 2020-005 1.	The Municipality of San Felipe, Zambales, through the</t>
  </si>
  <si>
    <t xml:space="preserve"> Contract I.D. No.: 20GCE0009 Contract Name: Procurement of Security Services for use of DPWH, Nueva Ecija 1st District Engineering Office  Contract Location: DPWH, Nueva Ecija 1st D.E.O., La Torre, Talavera, Nueva Ecija  Approved Budget for the Contract: </t>
  </si>
  <si>
    <t xml:space="preserve"> LENGTH = 100 LINEAL METERS WIDTH = 4.0 METERS THICKNESS = 0.15 METERS VOLUME = 60 CU.M.</t>
  </si>
  <si>
    <t xml:space="preserve"> LENGTH = 100 LINEAL METERS WIDTH = 3.0 METERS THICKNESS = 0.15 METERS VOLUME = 45 CU.M.</t>
  </si>
  <si>
    <t xml:space="preserve"> LENGTH = 16.00 METERS WIDTH = 7.20 METERS I. EARTHWORKS II. REINFORCING STEEL BARS III. SCAFFOLDING AND FORMWORKS IV. CONCRETE WORKS V. MASONRY &amp; PLASTERING WORKS VI. TILE WORKS VII. STEEL WORKS &amp; ROOF FRAMING VIII. CARPENTRY WORKS IX. PAINTING WORKS X. R</t>
  </si>
  <si>
    <t xml:space="preserve"> Republic of the Philippines Province of Guimaras OFFICE OF THE BIDS AND AWARDS COMMITTEE INVITATION TO BID FOR    SUPPLY AND DELIVERY OF STAINLESS CHAIR, MONOBLOCK CHAIR AND COMPUTER TABLE Bid Ref. No. 2020-06-371 1.	The Province of Guimaras , through the</t>
  </si>
  <si>
    <t xml:space="preserve"> Republic of the Philippines Province of Guimaras OFFICE OF THE BIDS AND AWARDS COMMITTEE INVITATION TO BID FOR    SUPPLY AND DELIVERY OF TIRE Bid Ref. No. 2020-06-375 1.	The Province of Guimaras , through the Repair &amp; Maintenance- Transpo. Equipment (5021</t>
  </si>
  <si>
    <t xml:space="preserve"> LENGTH = 210 LINEAL METERS WIDTH = 6.0 METERS THICKNESS = 0.15 METERS AREA = 1260.00 SQ.M.</t>
  </si>
  <si>
    <t xml:space="preserve"> 1	Portland Cement (Type 1)				193	bags 2	Washed Sand				10	cu.m. 3	Washed Gravel				18	cu.m. 4	12mmØx6.00m Reinforcing Steel Bar				8	length 5	1.5mmx2"x8" C-Purlins				4	length</t>
  </si>
  <si>
    <t xml:space="preserve"> Identification cards Package Deal 1 regular size PVC type 1 big size PVC type with casing and digital printed lace To be used by the education staff for identification purposes.</t>
  </si>
  <si>
    <t xml:space="preserve"> LENGTH = 250 LINEAL METERS WIDTH = 4.0 METERS THICKNESS = 0.15 METERS AREA = 1000.00 SQ.M.</t>
  </si>
  <si>
    <t xml:space="preserve"> Republic of the Philippines Province of Guimaras OFFICE OF THE BIDS AND AWARDS COMMITTEE INVITATION TO BID FOR    SUPPLY AND DELIVERY OF DRUGS AND MEDICINES Bid Ref. No. 2020-06-368 1.	The Province of Guimaras , through the Medical, Dental &amp; Laboratory Ex</t>
  </si>
  <si>
    <t xml:space="preserve"> LENGTH = 150 LINEAL METERS WIDTH = 5.0 METERS THICKNESS = 0.20 METERS AREA = 750.00 SQ.M. I. PCCP II. AGGREGATE SUB-BASE COURSE VOLUME = 150 CU.M.</t>
  </si>
  <si>
    <t xml:space="preserve"> Purchase of Laboratory Supplies for Dr. Florentino C. Doble Memorial Hospital (formerly Kainomayan Primary Hospital) for laboratory testing of CBC, Blood Chemistry, and Serum Electrolytes, Botolan,Zambales</t>
  </si>
  <si>
    <t xml:space="preserve"> Supply and Delivery of Various CI Saddle Clamp for Potable Water The Metro Midsayap Water District (MMWD) gives notice that  quotations are invited for the Supply and Delivery of various CI Saddle Clamp for Potable Water 100 pcs - CI Saddle Clamp, 2" x ¾"</t>
  </si>
  <si>
    <t xml:space="preserve"> LENGTH = 200 LINEAL METERS WIDTH = 3.50 METERS THICKNESS = 0.15 METERS AREA = 700.00 SQ.M.</t>
  </si>
  <si>
    <t xml:space="preserve"> LENGTH = 200 LINEAL METERS WIDTH = 3.50 METERS THICKNESS = 0.15 METERS AREA = 700 SQ.M.</t>
  </si>
  <si>
    <t xml:space="preserve"> LENGTH = 200 LINEAL METERS WIDTH = 3.20 METERS THICKNESS = 0.15 METERS VOLUME = 96 CU.M.</t>
  </si>
  <si>
    <t xml:space="preserve"> Please submit the following documents: A. PhilGEPS Certificate of Registration and Membership in accordance with Section 8.5.2 of the IRR B. Mayor's Permit C. Latest Income and Tax Returns D. Omnibus Sworn Statement 100 set SARS-CoV-2 Antibody Test (Later</t>
  </si>
  <si>
    <t xml:space="preserve"> Diesel Grease Trekker Oil filter ATF Coolant Brake fluid x-x-x-x-x-x-x-x-x-x-x-x</t>
  </si>
  <si>
    <t xml:space="preserve"> LENGTH = 100 LINEAL METERS WIDTH = 5.00 METERS THICKNESS = 0.20 METERS AREA = 500.00 SQ.M. I. PCCP II. AGGREGATE SUB-BASE COURSE VOLUME = 50 CU.M.</t>
  </si>
  <si>
    <t xml:space="preserve"> 1.	The Municipal Government of Placer, through the Budget for the contract approved by the respective Sanggunian-  General Fund CY 2020 intends to apply the sum of Two Million Two Hundred Thousand Pesos (₱ 2,200,000.00) being the Approved Budget for the C</t>
  </si>
  <si>
    <t xml:space="preserve"> AIRCON - 1 UNIT BOND PAPER (A4)- 30 BOXES BOND PAPER (LONG) - 30 BOXES BOND PAPER (SHORT) - 30 BOXES BROWN ENVELOPE (LONG) 100"s - 30 BOXES BROWN ENVELOPE (SHORT) 100"s - 25 BOXES CLEAR TAPE - 30 PACKS CORRECTION FLUID - 25 PCS FASTENER PLASTIC - 20 BOXES</t>
  </si>
  <si>
    <t xml:space="preserve"> LENGTH = 135 LINEAL METERS WIDTH = 4.0 METERS THICKNESS = 0.15 METERS AREA = 540 SQ.M.</t>
  </si>
  <si>
    <t xml:space="preserve"> PROVINCE OF BOHOL  Municipality of Pres. Carlos P. Garcia Tel. No. 519-2010 INVITATION TO APPLY FOR ELIGIBILITY AND TO BID The LGU-Pres. C. P. Garcia, through its Bids and Awards Committee (BAC), invites suppliers/manufacturers/distributors/contractors to</t>
  </si>
  <si>
    <t xml:space="preserve"> The Metro Midsayap Water District (MMWD) now invites competitive bidding to the Suppliers for the hereunder contract: Name of Contract: Supply and Delivery of 1,718 Lengths of uPVC Pipes, Class 100 With Sizes Ranging from 2" to 4" ID Approved Budget for t</t>
  </si>
  <si>
    <t xml:space="preserve"> Supply, delivery and installation of water pump of Daet-Talisay RIS, Daet, Camarines Norte</t>
  </si>
  <si>
    <t xml:space="preserve"> BRAND NEW 25KVA ISUZU GENERATOR SET  -3PH,230V,60HZ,1800RPM  -ENCLOSED TYPE WITH STAMFORD TECHNOLOGY ALTERNATOR</t>
  </si>
  <si>
    <t xml:space="preserve"> Portland cement Sand Gravel 10mm dia.x 6.0m Reinforcing steel bars 16GI Tie Wire Marine Plywood 12mm thk.-  3 uses Good Lumber 2x2x10 Assorted CWN x-x-x-x-x-x-x-x-x-x-x-x-x-x-x-x-x-x-x-x-x-x-x</t>
  </si>
  <si>
    <t xml:space="preserve"> 2ND INVITATION TO BID FOR THE PROCUREMENT OF VARIOUS IT EQUIPMENT AND ACCESSORIES FOR BUSINESS ONE-STOP SHOP CENTER (BOSS CENTER),  CITY OF ALAMINOS, PANGASINAN 1.	The CITY GOVERNMENT OF ALAMINOS, PANGASINAN, through its Special Purpose Appropriation inte</t>
  </si>
  <si>
    <t xml:space="preserve"> Asphalt Cement Penetration Grade 60/70 Fine Aggregates x-x-x-x-x-x-x-x-x-x-x-x-x-x-x-x-x</t>
  </si>
  <si>
    <t xml:space="preserve"> Asphalt Cement Penetration Grade 60/70 Coarse Aggregate Fine Aggregates</t>
  </si>
  <si>
    <t xml:space="preserve"> Diesel Brake fluid Gear Oil Grease  Engine oil Fuel Filter Oil filter x-x-x-x-x-x-x-x-x-x</t>
  </si>
  <si>
    <t xml:space="preserve"> Assorted Books Bond Paper Printer Ink (Per bottle) Computer set Computer tables &amp; chairs Bookshelf Printers</t>
  </si>
  <si>
    <t xml:space="preserve"> MATERIALS 13 pcs GI pipe #20 25 pcs LED security lights 1000 mts #6 service drop wire 25 pcs flat bar 2 box THHN #12 100 pcs 1/2 x 2 bolt &amp; knot 35 bags portland cement 2 cu.m. 3/4 crushed gravel 3 cu.m. albay sand 50 pcs LED bulb 9 watts 25 pcs 2x2x12 co</t>
  </si>
  <si>
    <t xml:space="preserve"> Section I. Invitation to Bid   Provincial Government of Isabela SUPPLY, DELIVERY AND INSTALLATION OF SOLAR POWERED IRRIGATION SYSTEM IN THE TWO (2) SITES OF PROVINCIAL PLANT NURSERY The Provincial Government of Isabela, through the PGI FUND intends to app</t>
  </si>
  <si>
    <t xml:space="preserve"> Republic of the Philippines Province of Negros Oriental MUNICIPALITY OF BACONG REQUEST FOR EXPRESSION OF INTEREST FOR SURVEYING SERVICES FOR THE PROPOSED DEVELOPMENT OF BACONG INTERNATIONAL AIRPORT BacongRFQ 2020-06 1.	The [Municipality of Bacong], throug</t>
  </si>
  <si>
    <t xml:space="preserve"> LENGTH = 100 LINEAL METERS WIDTH = 5.0 METERS THICKNESS = 0.15 METERS VOLUME = 75 CU.M.</t>
  </si>
  <si>
    <t xml:space="preserve"> INVITATION TO APPLY FOR ELIGIBILITY AND TO BID THE LOCAL GOVERNMENT UNIT OF BARANGAY SAN JOSE, KALAWIT, ZAMBOANGA DEL NORTE, through its Bids and Awards Committee (BAC), invites suppliers/manufacturers/distributors to bid for the hereunder project: NAME O</t>
  </si>
  <si>
    <t xml:space="preserve"> Extension wire Paint (white/gray/silver) Brush (2", 3", 4") Wood (2x2x10) Plyboard (3/4") Nail (1", 2", 3") Rollers Plywood (1/4") Office table Executive chair Drawer Working table Chair Aircon w/ installation Wall fan Ceiling fan Computer table Cabinet S</t>
  </si>
  <si>
    <t xml:space="preserve"> Republic of the Philippines Province of Leyte Municipality of Hilongos BARANGAY MARANGOG REQUEST FOR QUOTATION _____________ Date  _______________________ _______________________  ______________________                                Please quote your low</t>
  </si>
  <si>
    <t xml:space="preserve"> LENGTH = 11 METERS WIDTH = 7.20 METERS I. CONCRETE, MASONRY AND PLASTERING FORMS &amp; SCAFFOLDS II. CEILING WORKS III. ROOFING MATERIALS IV. ELECTRICAL WORKS V. DOORS, WINDOWS &amp; STAIR RAILINGS VI. TILE WORKS AT SECOND FLOOR VII. PLUMBING WORKS VIII. PAINTING</t>
  </si>
  <si>
    <t xml:space="preserve"> Republic of the Philippines Province of Negros Oriental MUNICIPALITY OF BACONG REQUEST FOR EXPRESSION OF INTEREST FOR CONSULTANCY SERVICES FOR THE APPRAISAL OF LAND AND IMPROVEMENT OF THE PROPOSED DEVELOPMENT OF BACONG INTERNATIONAL AIRPORT BacongRFQ 2020</t>
  </si>
  <si>
    <t xml:space="preserve"> Provision of IT equipment and software</t>
  </si>
  <si>
    <t xml:space="preserve"> 1	w1-1.70m.x1.70m. Aluminum Analok Frame					2	sets 	Sliding Door						 2	w2-1.70m.x1.70m. Aluminum Analok Frame					5	sets 	Fixed Window						 3	w3-1.35m.x1.70m. Aluminum Analok Frame					1	set 	FixedWindow</t>
  </si>
  <si>
    <t xml:space="preserve"> Rehab of sledge trail Maconacon-Ballayangon West</t>
  </si>
  <si>
    <t xml:space="preserve"> Republic of the Philippines Province of Romblon MUNICIPALITY OF MAGDIWANG INVITATION TO BID PURCHASE OF FURNITURE AND FIXTURES Project ID No. 2020-18 June 29, 2020 The Municipality of Magdiwang, Romblon, through its Gen. Fund 2020 intends to apply the sum</t>
  </si>
  <si>
    <t xml:space="preserve"> Contract Location: FIRST DISTRICT OF ALBAY Brief Description: Concreting of Farm to Market Roads Source of Funds: GAA 2020 DPWH OUTSIDE INFRA The BAC is conducting the public bidding for this Contract in accordance with RA 9184 and its Implementing Rules </t>
  </si>
  <si>
    <t xml:space="preserve"> BIDS AND AWARDS COMMITTEE – INFORMATION TECHNOLOGY INFRASTRUCTURE AND OTHER RELATED COMPONENTS INVITATION TO BID 1.	The Bangko Sentral ng Pilipinas (BSP), through its Bids and Awards Committee – Information Technology, Infrastructure and Other Related Com</t>
  </si>
  <si>
    <t xml:space="preserve"> Purchase of Bucket Truck Boom for the use of Barangay Bagumbuhay</t>
  </si>
  <si>
    <t xml:space="preserve"> BLGU-STALUCIA-AL-01-2020 CONCRETING OF BARANGAY ROAD PHASE II</t>
  </si>
  <si>
    <t xml:space="preserve"> Supply and Delivery of Tires for Stake Truck H2-367</t>
  </si>
  <si>
    <t xml:space="preserve"> Supply and Delivery of Emulsified Asphalt (SS-1)</t>
  </si>
  <si>
    <t xml:space="preserve"> Supply and Delivery of Asphalt Sealant</t>
  </si>
  <si>
    <t xml:space="preserve"> Supply and Delivery of Emulsified Asphalt (SS-1) and Asphalt Sealant</t>
  </si>
  <si>
    <t xml:space="preserve"> Renovation/rehabilitation of Omar Municipal Hall at Lahing-Lahing, Omar, Sulu</t>
  </si>
  <si>
    <t xml:space="preserve"> Supply and Delivery of Materials for use in Survey Activities</t>
  </si>
  <si>
    <t xml:space="preserve"> Republic of the Philippines						 Province of Bukidnon						 Municipality of Lantapan						 						 INVITATION TO BID FOR THE PROCUREMENT OF SOUND 						 SYSTEM, OFFICE FURNITURES &amp; EQUIPMENT (2ND BID)						 						 1	The Local Government Unit of Lantapan t</t>
  </si>
  <si>
    <t xml:space="preserve"> Supply and Delivery of Various Maintenance Tools</t>
  </si>
  <si>
    <t xml:space="preserve"> Face towels (small) Medical kit (medical scissors, sterile gauze, medical tape, sterile gloves, povidone-iodine, alcohol) Tarpaulin 3 in 1 Children Kids Outdoor Indoor Swing Slide Basketball Set Indoor Inflatable playpen Play mat (rubber) Air Condition Do</t>
  </si>
  <si>
    <t xml:space="preserve"> Supply and Delivery of Lubricants and Parts for Various Service Vehicle</t>
  </si>
  <si>
    <t xml:space="preserve"> Proposed Road Concreting Copradia, Zone 6, San Felipe Naga City</t>
  </si>
  <si>
    <t xml:space="preserve"> I. CONCRETE PEDESTAL                      QTY- 6M3 MATERIALS: 6      M3        WASHED GRAVEL 4      M3        WASH SAND 50    BAGS    PORTLAND CEMENT 36    PCS.     10MM x 6M RSB 30    PCS.     8MM X 6M RSB 4      KLS.     #16 TIE WIRE 4      PCS.     HAC</t>
  </si>
  <si>
    <t xml:space="preserve"> Invitation to Bid The Municipal Government of Liliw, Laguna, through its Bids and Awards Committee (BAC), invites bidders top bid for the hereunder project: Name of Project: Supply and Delivery of Office Supplies for different offices in this Municipality</t>
  </si>
  <si>
    <t xml:space="preserve"> MATERIALS 300 bags cement 120 pack sahara cement REINFORCED STEEL 50 pcs 16mm RSB 100 pcs 12mm RSB 300 pcs 10mm RSB 75 pcs 8mm RSB 25 cu.m. 3/4 crushed gravel 25 cu.m. albay sand 20 pcs 1/4 marine plywood 250 pcs 2x3x12 coco lumber 120 pcs 2x2x12 coco lum</t>
  </si>
  <si>
    <t xml:space="preserve"> Republic of the Philippines Region XII Province of Cotabato CITY OF KIDAPAWAN BIDS AND AWARDS COMMITTEE Invitation to Bid 						  		           Date: July 1, 2020 1.	The City Government of Kidapawan, through the 20% EDF CY 2020 SB#1 /AO#20-001   intends to</t>
  </si>
  <si>
    <t xml:space="preserve"> 12 PCS 1/4 PLYWOOD 4 PCS 1 PLYWOOD 1 KG #4 CONCRETE NAILS 1 KG #4 NAIL 1 KG #3 NAIL 1 KG #1 NAIL 1/2 KG #2 NAIL 15 M STRANDED WIRE 3 M MALE PLUG  1 ROLL ELECTRICAL TAPE 1 LENGTH G.I. PIPE 1/2" 1 PC 12 MM ROUND BAR 4 UNITS CEILING FAN  4 ROLLS WALL PAPER 1</t>
  </si>
  <si>
    <t xml:space="preserve"> Republic of the Philippines Province of Guimaras OFFICE OF THE BIDS AND AWARDS COMMITTEE INVITATION TO BID FOR    SUPPLY AND DELIVERY OF MEDICAL SUPPLIES Bid Ref. No. 2020-06-360 1.	The Province of Guimaras , through the Medical, Dental &amp; Laboratory Expen</t>
  </si>
  <si>
    <t xml:space="preserve"> Specifications Engine: Euro II Emission Standard Engine Displacement: 9.726L Max Output power (Hp/rpm): 371hp (273kw) at 2200rpm according to DIN Max Torque (N/m/rpm): 15000Nm at 1100-1600rpm Brake: Dual Circuit Compressed air brake Steering:ZF8098 Hydrau</t>
  </si>
  <si>
    <t xml:space="preserve"> 1. ALL ENTRIES MUST BE COMPLETELY FILLED UP IN PRINT. NO DATA PROVIDED ON UNIT PRICES &amp; TOTAL PRICES SHALL CONSIDER THE BID AS "NON-RESPONSIVE" , THUS, DISQUALIFIED. A DASH(-) OR A ZERO (0) INDICATED IN THE SPACE PROVIDED FOR UNIT PRICES PER ITEM SHALL BE</t>
  </si>
  <si>
    <t xml:space="preserve"> Four (4) Units Cabinet</t>
  </si>
  <si>
    <t xml:space="preserve"> BID TENDER The Bids and Awards Committee Province of Iloilo 	In connection with your Invitation to Bid  No. SPO-20-0762-B scheduled on July 8, 2020, I/We proposed to furnish and deliver in confirmation with the terms and conditions, and specifications of </t>
  </si>
  <si>
    <t xml:space="preserve"> 1.	The Municipality of Caraga, through the Gender and Development Fund  2019 intends to apply the sum of Four Hundred Ninety Nine Thousand Nine Hundred Ninety Eight &amp;89/100  (499,998.89) being the Approved Budget for the Contract (ABC) to payments under t</t>
  </si>
  <si>
    <t xml:space="preserve"> Procurement ID/Contract ID: 				20CA0055 Contract Name: 	Concreting of Sitio Grego to Sitio Pinagpatayan Barangay Calaylayan FMR, Barangay Calaylayan Contract Location:	Abucay, Bataan Brief Description:	Concreting of  Road Approved Budget for the Contract</t>
  </si>
  <si>
    <t xml:space="preserve"> 1.	The Municipality of Caraga, through the GAD CY 2015-2020 &amp; 20% LGDF 2018 intends to apply the sum of Eight Hundred Forty Six Thousand One Hundred Forty Nine &amp; 10/100 (846,146.10) being the Approved Budget for the Contract (ABC) to payments under the co</t>
  </si>
  <si>
    <t xml:space="preserve"> Republic of the Philippines Province of Bukidnon MUNICIPALITY OF PANGANTUCAN TIN 099-000-631-170 OFFICE OF THE MUNICIPAL MAYOR Bids and Awards Committee (BAC) Cell # 09261024636  Email us: munpangantucanbukidnon@yahoo.com  or visit www.philgeps.net REQUES</t>
  </si>
  <si>
    <t xml:space="preserve"> See attached rfq</t>
  </si>
  <si>
    <t xml:space="preserve"> 1.	The Provincial Government of Batanes, through the Provincial Appropriations Ordinance No. 03 series of 2019 (20% Development Fund) intends to apply the sum of One Million Pesos Only (₱ 1,000,000.00), being the Approved Budget for the Contract (ABC) to </t>
  </si>
  <si>
    <t xml:space="preserve"> REQUEST FOR QUOTATION For Shopping Procurement under Sec. 52 of the Revised IRR of RA 9184 Quotation No.:  2020-06-219 Date: June 30, 2020 PR No.: 20-06-235 (i.1, &amp; 3-11) PR Date: June 22, 2020 The Metropolitan Tuguegarao Water District (MTWD) is pleased </t>
  </si>
  <si>
    <t xml:space="preserve"> Continuation of river bank protection</t>
  </si>
  <si>
    <t xml:space="preserve"> INVITATION TO BID FOR THE SALE OF UNSERVICEABLE PROPERTY OF DENR RIV-A (CALABARZON) LOCATED AT DENR RIV-A, BRGY. MAYAPA, CALAMBA, LAGUNA "AS IS WHERE IS BASIS" 1.	The Department of Environment and Natural Resources Region IV-A now invites bids for the sal</t>
  </si>
  <si>
    <t xml:space="preserve"> Construction of Slope Protection Wall V =5.50 cu.m. Concreting of Pavement L = 33.60 m/ w = 22.40 m / t = 0.15 m 201 Aggregate Base Coarse V = 70.56 cu.m. compacted volume/ V = 84.67 cu.m. loose volume Portland Cement Concrete Pavement V = 112.90 cu.m./ A</t>
  </si>
  <si>
    <t xml:space="preserve"> BID TENDER The Bids and Awards Committee Province of Iloilo 	In connection with your Invitation to Bid  No. SPO-20-0761-B  scheduled on July 8, 2020. I/We proposed to furnish and deliver in confirmation with the terms and conditions , and specifications o</t>
  </si>
  <si>
    <t xml:space="preserve"> Furnishing of tools, labor, equipment and other necessary documents for the completion of the above  project. The Works consist of: SPL A MOBILIZATION AND DEMOBILIZATION 100 CLEARING AND GRUBBING 102-A EXCAVATION (UNCLASSIFIED MATERIALS) 102-B EXCAVATION </t>
  </si>
  <si>
    <t xml:space="preserve"> Supply of Labor and Materials for Roofing Works  (See attached PoW)</t>
  </si>
  <si>
    <t xml:space="preserve"> INVITATION TO BID FOR THE  PURCHASE OF ONE (1) UNIT BRAND NEW CRAWLER EXCAVATOR WITH BREAKER LINE AND BUCKET CAPACITY OF 0.50 CU.M. 1.	The Municipal Government of San Sebastian, through the General Fund-20% EDF FY 2019 (Continuing Appropriation) intends t</t>
  </si>
  <si>
    <t xml:space="preserve"> PLEASE SEE ATTACHED REQUEST FOR QUOTATION IN THE ASSOCIATED COMPONENTS</t>
  </si>
  <si>
    <t xml:space="preserve"> Republic of the Philippines BARANGAY SAN LUCAS OFFICE OF THE PUNONG BARANGAY BIDS AND AWARDS COMMITTEE INVITATION TO BID The Barangay Government of BARANGAY SAN LUCAS through its Bids and Awards Committee (BAC), invites suppliers/manufacturers/distributor</t>
  </si>
  <si>
    <t xml:space="preserve"> City Engineer's Office P.R. No. : 2020-03-1944 Date: 03/17/2020 1 15 roll 1 1/4" dia. PE pipes, SDR-11, 60m 80,280.00 2 15 roll 1" dia" PE pipes SDR 11, 100m 84,000.00 3 15 roll 3/4" PE pipes SDR 11, 150m 77,670.00 4 10 roll 1/2" PE pipes SDR 11, 150m 32,</t>
  </si>
  <si>
    <t xml:space="preserve"> Republic of the Philippines Province of Sarangani Municipality of Malapatan INVITATION TO BID  	 2020-B1-06-019        PROCUREMENT OF GOODS AND SERVICES FOR REPAIRMENT OF RP VEHICLE ISUZU ALTERRA SHE-440, MALAPATAN, SARANGANI PROVINCE 1.	The Local Governm</t>
  </si>
  <si>
    <t xml:space="preserve"> Republic of the Philippines			 Province of Surigao del Norte			 Municipality of Gigaquit			 			 OFFICE OF THE BIDS AND AWARDS COMMITTEE (BAC)			 			 Date:June 30,2020			 			 INVITATION TO APPLY FOR ELIGIBILITY AND TO BID			 			 A. Construction of FMR-Brgy</t>
  </si>
  <si>
    <t xml:space="preserve"> LOCATION:  SITIO RANGTAY SITIO CAVITE SITIO PURAW</t>
  </si>
  <si>
    <t xml:space="preserve"> INVITATION TO APPLY FOR ELIGIBILITY AND TO BID The local Government Unit of Can-avid, through is Bid and Awards Committee (BAC). Invites suppliers to apply for eligibility, to bid for the hereunder contract: Name of Contract: 	PURCHASE AND DELIVERY OF HAR</t>
  </si>
  <si>
    <t xml:space="preserve"> Furnishing of tools, labor, equipment and other necessary documents for the completion of the above project. The Work Consist of: SPL 1 PROJECT BILLBOARD I. HAULING OF MATERIALS II. FOOTBRIDGE III. GROUTED RIPRAP Invitation to Re-Bid for the COMPLETION OF</t>
  </si>
  <si>
    <t xml:space="preserve"> 1 UNIT SOUND SYSTEM, FOR INDOOR USE, 12 CHANNEL ANALOG MIXER, 2X 15" SPEAKER, 750W @ 4.0 OHMS POWER AMPLIFIER, WITH 2 SETS WIRELESS MICROPHONES, 2 UNITS WIRED DYNAMIC MICROPHONE, 2 UNITS MICROPHONE STAND, DVD PLAYER, EQUIPMENT RACK AND WIRES, CABLES AND C</t>
  </si>
  <si>
    <t xml:space="preserve"> Please quote your lowest price on the SUPPLY AND DELIVERY OF FUEL AND LUBRICANTS FOR VICE MAYOR’S OFFICE  as specified below and submit your quotation duly signed by your representative not later than 2pm of                  JULY 8, 2020 				 					 						</t>
  </si>
  <si>
    <t xml:space="preserve"> Including LTO Registration 					 With rain gutter/visor, tint, floor mats, seat covers, set of tools,  WARRANTY					 ENGINE:					 Type: 4 cylinder In-line, DOHC 16 valve, variable nozzle turbo (VNT) with front mounted intercooler					 Maximum Output (Hp/R</t>
  </si>
  <si>
    <t xml:space="preserve"> ITEM      UNIT      QTY       DESCRIPTION</t>
  </si>
  <si>
    <t xml:space="preserve"> Republic of the Philippines PROVINCIAL GOVERNMENT OF EASTERN SAMAR Capitol Building, Borongan, Eastern Samar, 6800 Tel No. (055)-560-8312 E-mail Address: esamar.bac@gmail.com BIDS AND AWARDS COMMITTEE (BAC) INVITATION TO BID FOR OPENING OF ROAD, BRGY. CAN</t>
  </si>
  <si>
    <t xml:space="preserve"> City Engineer's Office P.R. No. : 2020-05-2430 Date: 05/27/2020 1 3.57 cu m I. EARTHWORKS 6,516.46 2 7.41 cu m II. CONCRETE WORKS 140,802.60 3 .97 sq m III. MASONRY WORKS 6,541.53 4 60.09 sq m IV. WALL &amp; DOOR 255,955.16 5 1 lot V. ELECTRICAL WORKS 7,363.7</t>
  </si>
  <si>
    <t xml:space="preserve"> Republic of the Philippines DEPARTMENT OF HEALTH DR. JOSE RIZAL MEMORIAL HOSPITAL Lawaan, Dapitan City Telefax; (065) 213-6421 Website: www.djrmh.doh.gov.ph Email: dohdjrmh@gmail.com BIDS AND AWARDS COMMITTEE INVITATION TO BID PROCUREMENT OF IT EQUIPMENT </t>
  </si>
  <si>
    <t xml:space="preserve"> City Engineer's Office P.R. No. : 2020-05-2377 Date: 05/13/2020 1 13.84 cu.m I. Excavation 27,733.15 2 1.8 cu.m II. Concrete Works 35,067.44 3 24.6 sq.m III. Masonry Works with Plastering 37,851.28 4 1 unit IV. PE Water Tank and Pipeline 275,827.13 5 1 lo</t>
  </si>
  <si>
    <t xml:space="preserve"> PHILIPPINE BIDDING DOCUMENTS (As Harmonized with Development Partners) RE BIDDING - MATERIALS AND APPARATUS NEEDED IN THE CMS CENTRALIZE MONITORING SYSTEM BIDDING Government of the Republic of the Philippines TABLE OF CONTENTS SECTION I. INVITATION TO BID</t>
  </si>
  <si>
    <t xml:space="preserve"> Furnishing of tools, labor, equipment and other necessary documents for the completion of the above project. The Work consist of: 103 EMBANKMENT 404 REINFORCING STEEL 405 STRUCTURAL CONCRETE 505 GROUTED RIPRAP SPL A BILLBOARD/TARPAULIN Invitation to Re- B</t>
  </si>
  <si>
    <t xml:space="preserve"> City Engineer's Office P.R. No. : 2020-05-2404 Date: 05/20/2020 1 28.14 cu.m. I. Hardearth excavation 7,768.61 2 80.4 sq.m. II. Sub-grade preparation 7,962.01 3 12.06 cu.m. III. Aggregate Base Coarse 30,137.58 4 80.4 sq.m. IV. PCCP 213,988.62 5 12 ln.m. V</t>
  </si>
  <si>
    <t xml:space="preserve"> PURCHASE OF ONE (1) UNIT BRAND NEW 4X4 MINI DUMPTRUCK WITH 5-6 CU.M. CAPACITY  1.	The Municipal Government of San Sebastian, through the General Fund-20% EDF FY 2019 (Continuing Appropriation) intends to apply the sum of TWO MILLION FIVE HUNDRED THOUSAND </t>
  </si>
  <si>
    <t xml:space="preserve"> 3 roll - service drop wire #6 371 meters - service drop wire # 6 30 pcs. - secondary rock single w/spool 3 boxes - phelps dodge THHN 12 10 pcs. - Armak elec. tape B. xxxxxx</t>
  </si>
  <si>
    <t xml:space="preserve"> PHO-NC-2020-129 REQUEST FOR QUOTATION FOR THE PROCUREMENT OF VARIOUS IT SOFTWARE, EQUIPMENT, AND MATERIALS FOR IHOMIS PROVISION OF INTERNET SECURITY, VARIOUS OFFICE IT EQUIPMENT, GMPH, TALIBON, BOHOL COST OF CANVASS: P 400.00</t>
  </si>
  <si>
    <t xml:space="preserve"> REPUBLIC OF THE PHILIPPINES PROVINCE OF NEGROS OCCIDENTAL MUNICIPALITY OF MOISES PADILLA Barangay Montilla Bids and Awards Committee June 30, 2020 INVITATION TO BID FOR THE REPAIR &amp; MAINTENANCE OF WATER SUPPLY SYSTEM 1.	The Barangay of Montilla through th</t>
  </si>
  <si>
    <t xml:space="preserve"> 1	420	bags	Portland Cement	 2	330	pcs.	10mm dia. X 6m RSB	 3	30	pcs.	16mm dia. X 6m RSB	 4	1,000	pcs.	5" CHB	 5	55	kgs.	#16 Tie Wire	 6	5	pcs.	1/4" thk Phenolic Plywood	 7	4	kgs.	Assorted CWN	 8	200	bd.ft.	Lumber	 X X X X X X X X X X X X X X X X X X X</t>
  </si>
  <si>
    <t xml:space="preserve"> LOCATION: SITIO MORO I. EXCAVATION WORKS II. MASONRY WORKS SPL CONSTRUCTION SAFETY &amp; HEALTH</t>
  </si>
  <si>
    <t xml:space="preserve"> Republic of the Philippines Province of Misamis Oriental Municipality of Initao Invitation to Bid  CONCRETING OF TUBIGAN-BOBUTAN FARM-TO-MARKET ROAD  1.	The Municipal Government of Initao, Misamis Oriental, through Trust Fund intends to apply the sum of F</t>
  </si>
  <si>
    <t xml:space="preserve"> Republic of the Philippines PROVINCIAL GOVERNMENT OF EASTERN SAMAR Capitol Building, Borongan, Eastern Samar, 6800 Tel No. (055)-560-8312 E-mail Address: esamar.bac@gmail.com BIDS AND AWARDS COMMITTEE (BAC) INVITATION TO BID FOR THE  PROCUREMENT OF BROADC</t>
  </si>
  <si>
    <t xml:space="preserve"> The Barangay Malalinta, Tuao Cagayan through its 20% Barangay Dev't Fund intends to apply the sum of                   Php 54,954.00  being the Approved Budget for the Contract (ABC) to payments under the contract for  Procurement of Materials for the Con</t>
  </si>
  <si>
    <t xml:space="preserve"> I      SURFACE LEVELING II     STRUCTURE EXCAVATION III    FORM WORKS AND SCAFFOLDING IV    CONCRETE WORKS "CLASS A" V     REINFORCING STEEL BARS VI   STEEL TRUSSES VII  INSTALLATION OF C-PURLINS VIII PAINTING OF TRUSSES AND PURLINS (TWO COATING) IX   TIN</t>
  </si>
  <si>
    <t xml:space="preserve"> 1	Portland Cement			95	bags 2	 Sand			4	cu.m. 3	Gravel			8	cu.m. 4	Form Good Lumber - 4 Usage			350	bd. Ft. 5	75mm diameter G.I. Pipe			525	m 6	G.I. Flat Bar 1 1/2" x 1/8"			875	kg. 7	G.I. Bolts w/ Nuts &amp; Washer , 5mm diameter			525	pcs. 8	G.I. Bolts w/ N</t>
  </si>
  <si>
    <t xml:space="preserve"> INVITATION TO RE-BID FOR Motor Vehicle  (Name of Project)    1.	The CITY GOVERNMENT OF ZAMBOANGA, through the AB FY 2019 intends to apply for re-bid the sum of ONE MILLION SEVEN HUNDRED THOUSAND PESOS (P1,700,000.00) ONLY being the Approved Budget for the</t>
  </si>
  <si>
    <t xml:space="preserve"> NOTICE OF ALTERNATIVE METHODS OF PROCUREMENT Notice is hereby given that this office will conduct Small Value Procurement in accordance with Section 53.9 of the Revised Implementing Rules and Regulations of RA 9184. Contractors/Suppliers/ Consultants of k</t>
  </si>
  <si>
    <t xml:space="preserve"> Clinical Laboratory use LGU Cabagan Cabagan, Isabela</t>
  </si>
  <si>
    <t xml:space="preserve"> A. WASH AREA I. REMOVAL OF STRUCTURE a) Labor II. MASONRY &amp; TILE WORKS a) Materials b) Labor c) Equipment Rental B. WATER SYSTEM a) Materials b) Labor c) Equipment Rental C. ELECTRICAL a) Materials b) Labor SPL. CONSTRUCTION SAFETY &amp; HEALTH</t>
  </si>
  <si>
    <t xml:space="preserve"> Steel Fibered Movable Basketball Board</t>
  </si>
  <si>
    <t xml:space="preserve"> RRepublic of the Philippines Province of Palawan Municipality of Dumaran dum_bacsecretariat@yahoo.com BIDS AND AWARDS COMMITTEE INVITATION TO BID 1.	The Municipal Government of Dumaran, Palawan, through its 20% Development Fund intends to apply the sum of</t>
  </si>
  <si>
    <t xml:space="preserve"> Construction of Laying House at Barangay Bangon, Aroroy, Masbate</t>
  </si>
  <si>
    <t xml:space="preserve"> The TARLAC AGRICULTURAL UNIVERSITY, through its Bids and Awards Committee (BAC), invites all suppliers and dealers to submit sealed quotation for the “PURCHASE OF MESH NETS TO BE USED IN THE CONSTRUCTION OF NETHOUSES FOR THE DA-ACEF PROJECT". 40 roll 32 x</t>
  </si>
  <si>
    <t xml:space="preserve"> Republic of the Philippines														 PROVINCE OF ZAMBOANGA SIBUGAY														 Municipality of Payao														 														 INVITATION TO BID														 										PR2020-06-29-075				 The Local Government Unit of Payao, Zamboanga Sibugay, </t>
  </si>
  <si>
    <t xml:space="preserve"> INVITATION TO RE-BID FOR Motor Vehicle  (Name of Project)    1.	The CITY GOVERNMENT OF ZAMBOANGA, through the AB FY 2017 / SB# 01 FY 2019 intends to apply for re-bid the sum of ONE MILLION FIVE HUNDRED THOUSAND PESOS (P1,500,000.00) ONLY being the Approve</t>
  </si>
  <si>
    <t xml:space="preserve"> Supply &amp; Delivery of Printing Supplies @ NIA CBIMO Maddarulug, Solana, Cagayan</t>
  </si>
  <si>
    <t xml:space="preserve"> Republic of the Philippines Province of Batanes	 MUNICIPALITY OF BASCO               INVITATION FOR NEGOTIATED PROCUREMENT  Project Reference No. : 100-3-03-20% DF (PY) Name of Project	      : Inst. &amp; Maint. of Streetlighting System Location of Project	Ba</t>
  </si>
  <si>
    <t xml:space="preserve"> Republic of the Philippines National Kidney and Transplant Institute Bids and Awards Committee East Avenue, Quezon City 1100 981-0300 / 981-0400 local 1157 http://www.nkti.gov.ph/	 INVITATION TO BID for the ITB No. 20-052 ONE (1) LOT SUPPLY AND DELIVERY O</t>
  </si>
  <si>
    <t xml:space="preserve"> Republic of the Philippines														 PROVINCE OF ZAMBOANGA SIBUGAY														 Municipality of Payao														 														 INVITATION TO BID														 										PR2020-06-29-074				 The Local Government Unit of Payao, Zamboanga Sibugay, </t>
  </si>
  <si>
    <t xml:space="preserve"> Republic of the Philippines Province of Cotabato Municipality of Arakan BIDS AND AWARDS COMMITTEE INVITATION TO BID FOR  CONCRETING OF MUNICIPAL STREET  ( MIGUEL TUBLE ST-  T. NOMBREDA ST.) 1.	The Local Government Unit of Arakan, through the GENERAL   FUN</t>
  </si>
  <si>
    <t xml:space="preserve"> Republic of the Philippines Province of Agusan del Norte Municipality of Carmen OFFICE OF THE BIDS AND AWARDS COMMITTEE INVITATION TO BID  The Local Government of Carmen, through its Bids and Awards Committee (BAC) invites Suppliers/Manufactures/Distribut</t>
  </si>
  <si>
    <t xml:space="preserve"> Supply and Delivery of Fuels at NIA ZRIS, Lasam &amp; Gattaran, Cagayan</t>
  </si>
  <si>
    <t xml:space="preserve"> PEO-NC-2020-0341 REQUEST FOR QUOTATION FOR THE PROCUREMENT OF AGGREGATE SUBBASE COURSE (ANAPOG) FOR THE MAINTENANCE OF VARIOUS PROVINCIAL ROADS FOR PROJECT MANAGEMENT DIVISION (PMD) III - SET 1 COST OF CANVASS: P 400.00</t>
  </si>
  <si>
    <t xml:space="preserve"> Assorted Construction Materials &amp; Supplies</t>
  </si>
  <si>
    <t xml:space="preserve"> INVITATION TO RE-BID FOR Technical and Scientific Equipment  (Name of Project)    1.	The CITY GOVERNMENT OF ZAMBOANGA, through the AB FY 2020 intends to apply for re-bid the sum of ONE MILLION THREE HUNDRED FORTY THOUSAND PESOS (P1,340,000.00) ONLY being </t>
  </si>
  <si>
    <t xml:space="preserve"> Republic of the Philippines Province of Palawan Municipality of Dumaran dum_bacsecretariat@yahoo.com BIDS AND AWARDS COMMITTEE INVITATION TO BID 1.	The Municipal Government of Dumaran, Palawan, through its 20% Development Fund intends to apply the sum of </t>
  </si>
  <si>
    <t xml:space="preserve"> Republic of the Philippines Province of Camiguin MUNICIPALITY OF MAMBAJAO INVITATION TO BID / REQUEST FOR EXPRESSION OF INTEREST The Municipal Government of Mambajao, Camiguin through the Bids and Awards Committee (BAC) invites all duly qualified bidders/</t>
  </si>
  <si>
    <t xml:space="preserve"> Republic of the Philippines Province of Batanes	 MUNICIPALITY OF BASCO               INVITATION FOR NEGOTIATED PROCUREMENT  Project Reference No. : 100-3-03-Various Offices Name of Project	      : Office Supplies (Batch 2) Location of Project	Basco, Batan</t>
  </si>
  <si>
    <t xml:space="preserve"> Unit 	Item Description	Quantity 		 pcs.	C Purlen 2 x 3 3/16 x 6m	11 pcs.	1 1/2 Angle Bar	22 pcs.	Round Bar	20 pcs.	Angle Bar #2	10 gal.	Red Lead Paints	1 kls.	Welding Rod	4 pcs.	G I Pipe	4 pcs.	G I Sheet	8 bag	Cement	6 pcs.	Screw	30 pcs.	CHB 	50 cu.m	Sand</t>
  </si>
  <si>
    <t xml:space="preserve"> OPA-RASS-NC-2020-0344 REQUEST FOR QUOTATION FOR THE PROCUREMENT OF PVC PIPES, PVC PIPE CLEAN OUT SET, PVC ELBOW, AND PVC PIPE SOLVENT FOR THE ESTABLISHMENT OF SMALL FARM RESERVOIR AS SOIL AND WATER CONSERVATION STRUCTURES AND FOR IRRIGATION PURPOSES TO IM</t>
  </si>
  <si>
    <t xml:space="preserve"> Republic of the Philippines DEPARTMENT OF HEALTH DR. JOSE RIZAL MEMORIAL HOSPITAL Lawaan, Dapitan City Telefax; (065) 213-6421 Website: www.djrmh.doh.gov.ph Email: dohdjrmh@gmail.com BIDS AND AWARDS COMMITTEE INVITATION TO BID PROCUREMENT OF DRUGS AND MED</t>
  </si>
  <si>
    <t xml:space="preserve"> Purchase of Anti- Rabies vaccine for RHU I use, Botolan, Zambales</t>
  </si>
  <si>
    <t xml:space="preserve"> INVITATION TO RE-BID FOR Spare Parts – Other Transportation Equipment  (Name of Project)    1.	The CITY GOVERNMENT OF ZAMBOANGA, through the General Fund intends to apply for re-bid the sum of ONE MILLION TWO HUNDRED SEVENTY THOUSAND FIVE HUNDRED PESOS (P</t>
  </si>
  <si>
    <t xml:space="preserve"> 15 Pcs Dust Mop 25 Pcs Floor Wiper 25 Pcs Window Wiper 100 Pcs Anti Slip Mat Rubber, Heavy Duty 100 Pcs Trash Bin (Swing 50-60 Liter) 100 Pcs Trash Bin (Swing 40-50 Liter) 10 Units Mop Squeezer 10 Pcs Wet Floor Caution Sign 1 Unit Floor polisher (Heavy Du</t>
  </si>
  <si>
    <t xml:space="preserve"> The Barangay Malalinta, Tuao Cagayan through its Provincial Aid fund intends to apply the sum of Php 73.385.00 being the Approved Budget for the Contract (ABC) to payments under the contract for Procurement of Materials for Installation of the Solar Stree</t>
  </si>
  <si>
    <t xml:space="preserve"> (PLEASE SEE ATTACHED ASSOCIATED COMPONENT) please send Request for Quotation  -  philgepsprocurement19@gmail.com Contact Person: JILLSHARON JIMENEZ (711-69-73) 100	gal	70% Isoprophyl Alcohol	 			 		REQUIREMENTS: 3 sets Individual sealed Quotation. (per En</t>
  </si>
  <si>
    <t xml:space="preserve"> Supply and Delivery of Vehicle Spare Parts at NIA CBIMO Maddarulug, Solana, Cagayan</t>
  </si>
  <si>
    <t xml:space="preserve"> Good Day! We post the list of materials that amounting the some of P 113, 915.00 for the second time public bidding for this project of the Barangay. 131 bags cement 74 pcs 16mmᴓ steel bar 72 pcs 12mmᴓsteel bar 18 pcs 10mmᴓsteel bar 18 pcs ¼ ordinary Plyw</t>
  </si>
  <si>
    <t xml:space="preserve"> PEO-NC-2020-0343 REQUEST FOR QUOTATION FOR THE PROCUREMENT OF AGGREGATE SUBBASE COURSE (ANAPOG) FOR THE MAINTENANCE OF VARIOUS PROVINCIAL ROADS FOR PROJECT MANAGEMENT DIVISION (PMD) III - SET 2 COST OF CANVASS: P 400.00</t>
  </si>
  <si>
    <t xml:space="preserve"> 1	Aggregate Sub-Base Course(River Sourced)			381	cu.m. 2	Boga			127	cu.m. 3	Crushed Rock G-1			254	cu.m. 4	Portland Cement 			2723	bags 5	Gravel			272	cu.m. 6	Sand			136	cu.m. 7	RSB 16mmx6m			85	pcs 8	Round Bar 16mmx6m			36	pcs 9	RSB, 12mmx6m			56	pcs 10	</t>
  </si>
  <si>
    <t xml:space="preserve"> INVITATION TO BID FOR SUPPLY, DELIVERY AND INSTALLATION OF LOCAL NETWORK INFRASTRUCTURE FOR DSWD FIELD OFFICES —  ITB NO. GOP/20-DSWD-043 — (PR NO. 01-20001-PR-2020-03-00126) 1. The Department of Social Welfare and Development (DSWD), through the DSWD Fun</t>
  </si>
  <si>
    <t xml:space="preserve"> INVITATION TO BID FOR  Procurement of Goods [Medicines] The   City Government of Tagbilaran,   through the Appropriation Ordinance No. 19-05 for FY 2020, intends to apply the sum of Eight Hundred Ninety One Thousand Six Hundred Sixty Pesos and Seventy Cen</t>
  </si>
  <si>
    <t xml:space="preserve"> Safety precaution materials against Covid-19 of Barangay 5, Lucena City</t>
  </si>
  <si>
    <t xml:space="preserve"> Republic of the Philippines Province of Davao Oriental CITY OF MATI REQUEST FOR QUOTATION 			 Date:	25 JUNE 2020 RFQ No.:	0834-2020 Name of Company: __________________________________________________________________________________________________________</t>
  </si>
  <si>
    <t xml:space="preserve"> 1	Aggregate Sub-Base Course(River Sourced)			125	cu.m. 2	Boga			42	cu.m. 3	Crushed Rock G-1			83	cu.m. 4	Portland Cement 			891	bags 5	Gravel			89	cu.m. 6	Sand			45	cu.m. 7	RSB 16mmx6m			30	pcs 8	Round Bar 16mmx6m			13	pcs 9	RSB, 12mmx6m			22	pcs 10	C-Pur</t>
  </si>
  <si>
    <t xml:space="preserve"> The Local  Government   Unit  of General  Santos  City, through  the  GENERAL FUND CY 2020  intends  to apply  the sum of eight thousand six hundred forty and xx / 100 Pesos Only (8,640.00)   being  the Approved  Budget  for the Contract   (ABC) to paymen</t>
  </si>
  <si>
    <t xml:space="preserve"> Republic of the Philippines													 BUTUAN CITY WATER DISTRICT													 Gov. Jose A. Rosales Avenue, Butuan City													 Tel. Nos. 143 (Hotline) 342-3145/46 (Bayantel)													 Fax No. 341-4298													 				REQUEST FOR PRICE QUOTATIO</t>
  </si>
  <si>
    <t xml:space="preserve"> Republic of the Philippines Province of Davao Oriental CITY OF MATI REQUEST FOR QUOTATION 			 Date:	25 JUNE 2020 RFQ No.:	0838-2020 Name of Company: __________________________________________________________________________________________________________</t>
  </si>
  <si>
    <t xml:space="preserve"> PB NO. 2020-044		 			 1.	6	gal/s	Cidex Metricide 2.	20	pc/s	Epidural Catheter g.18 3.	200	bx/s	Examination Gloves medium 4.	300	bx/s	Facemask Disp. 3ply w. Earloop 5.	5	pack/s	Foot Cover Disp. 50's 6.	30	pc/s	Hair cap disposable 7.	1	bx/s	Insyte g 24 8.	1</t>
  </si>
  <si>
    <t xml:space="preserve"> Republic of the Philippines Province of Leyte Municipality of Palompon Palompon, Leyte  								  BIDS AND AWARDS COMMITTEE		RPQ No.	2020-0707-025	   						Date	01-July-2020	   						PR No.	20-02	  						Date	6/29/2020	 To: 	 	Origin	 	   	 			   	 			   </t>
  </si>
  <si>
    <t xml:space="preserve"> OPV-2020-0176 PR2020-0458 INVITATION TO BID FOR THE PROCUREMENT OF VARIOUS OFFICE EQUIPMENT, FURNITURE AND FIXTURES FOR OFFICE USE AT THE OFFICE OF THE PROVINCIAL VETERINARIAN ABC: P 1,623,100.00 COST OF BID DOCUMENTS: P 5,000.00 ADVERTISEMENT PERIOD: JUL</t>
  </si>
  <si>
    <t xml:space="preserve"> The National Food Authority (NFA), Southern Tagalog Regional Office (Region IV), through the NFA Corporate Operating Budget for 2020, intends to apply the sum of One Million Eight Hundred Thousand Four Hundred Twenty-Four Pesos (P1,818,424.00) being the A</t>
  </si>
  <si>
    <t xml:space="preserve"> Republic of the Philippines														 PROVINCE OF ZAMBOANGA SIBUGAY														 Municipality of Payao														 														 INVITATION TO BID														 										PR2020-06-29-079				 The Local Government Unit of Payao, Zamboanga Sibugay, </t>
  </si>
  <si>
    <t xml:space="preserve"> 50 sacks Palit Bigas Program Rice (50kilos) Premium</t>
  </si>
  <si>
    <t xml:space="preserve"> Procurement of Construction Supplies and Materials</t>
  </si>
  <si>
    <t xml:space="preserve"> Republic of the Philippines														 PROVINCE OF ZAMBOANGA SIBUGAY														 Municipality of Payao														 														 INVITATION TO BID														 										PR2020-06-29-078				 The Local Government Unit of Payao, Zamboanga Sibugay, </t>
  </si>
  <si>
    <t xml:space="preserve"> TERMS and CONDITIONS:					 1. All entries must be typewritten or legibly written.					 2. Delivery period within Fifteen (15) working days upon receipt of the approved funded Purchase (P.O.). Administrative penalties pursuant to Sec. 69 of the Revised IRR</t>
  </si>
  <si>
    <t xml:space="preserve"> Republic of the Philippines Province of Misamis Oriental Municipality of Initao Invitation to Bid  CONCRETING OF NANGKAON-TALAGUSOK FARM-TO-MARKET ROAD  1.	The Municipal Government of Initao, Misamis Oriental, through Trust Fund intends to apply the sum o</t>
  </si>
  <si>
    <t xml:space="preserve"> PB NO. 2020-045		 			 1.	1	lot	Proposed concreting of road at Brgy. Santiago I, San Pablo City. 			By: Contract 			 	Deadline for Submission of Bids: July 22, 2020 1:00 pm</t>
  </si>
  <si>
    <t xml:space="preserve"> INVITATION TO BID FOR Fuel, Oil and Lubricants Expenses  (Name of Project)    1.	The CITY GOVERNMENT OF ZAMBOANGA, through the General Fund intends to apply the sum of ONE MILLION FOUR HUNDRED FIFTY TWO THOUSAND PESOS (P1,452,000.00) ONLY being the Approv</t>
  </si>
  <si>
    <t xml:space="preserve"> 1	Laptop	1 unit 	Specifications:	 	· Display	 	14” LED Screen (or higher)	 	1920 x 1080 FHD Resolution	 	IPS	 	· Processor	 	Intel Core i7 – 8th Gen (or higher)	 	· Memory	 	8 GB DDR4 (or higher)	 	· Storage Drive   	 	1 TB 7200 RPM Sata HDD	 	· Optical D</t>
  </si>
  <si>
    <t xml:space="preserve"> The Municipality of Limay, through its Bids and Awards Committee (BAC) invites registered contractors to apply for eligibility and if found eligible, to bid for the hereunder project/contract: Project/Contract:     REPAIR AND RE-PAINTING OF KINARAGAN ELEM</t>
  </si>
  <si>
    <t xml:space="preserve"> &gt; The Municipality of San Quintin Abra now invites bids for the CONSTRUCTION/REHABILITATION OF MULTI PURPOSE HALL AT POBLACION, SAN QUINTIN, ABRA with the following items: I	Progess Photo					 l.s. 	 1.00  II	BUILT/ASSEMBLE OF BLEACHER					 l.s 	 1.00  II</t>
  </si>
  <si>
    <t xml:space="preserve"> The Barangay Government of Badiangon, President Roxas, Capiz, through the 20% Development Fund (2020), intends to apply the sum of Three Hundred Ninety One Thousand Pesos (Php 391,000.00) being the Approved Budget for the Contract (ABC) to payments under </t>
  </si>
  <si>
    <t xml:space="preserve"> Republic of the Philippines National Kidney and Transplant Institute Bids and Awards Committee East Avenue, Quezon City 1100 981-0300 / 981-0400 local 1157 http://www.nkti.gov.ph/	 INVITATION TO BID for the ITB No. 20-053 SUPPLY AND DELIVERY OF LABOR, TOO</t>
  </si>
  <si>
    <t xml:space="preserve"> Republic of the Philippines Province of Eastern Samar Municipality of Maydolong Invitation to Bid Procurement of Infrastructure Projects for Implementation of Various Municipal Development Projects III 1.	The Municipal Government of Maydolong, Eastern Sam</t>
  </si>
  <si>
    <t xml:space="preserve"> INVITATION TO APPLY FOR ELIGIBILITY AND TO BID FOR THE EQUIPMENT, TOOLS AND RAW MATERIALS FOR DOLE INTEGRATED LIVELIHOOD PROGRAM – STARTER KIT PROJECT. EQUIPMENT, TOOLS AND RAW MATERIALS FOR THE FOLLOWING PROJECTS - NO. OF BENEFICIARIES 1. BREAD AND PASTR</t>
  </si>
  <si>
    <t xml:space="preserve"> Repainting, Ceiling repair, Installation of window screens and replacement of door and door and doorknob and replacement of led bulbs and jalousie window blades</t>
  </si>
  <si>
    <t xml:space="preserve"> INVITATION TO BID FOR Fuel, Oil and Lubricants Expenses  (Name of Project)    1.	The CITY GOVERNMENT OF ZAMBOANGA, through the General Fund intends to apply the sum of ONE MILLION EIGHT HUNDRED TWENTY SIX THOUSAND SEVEN HUNDRED PESOS (P1,826,700.00) ONLY </t>
  </si>
  <si>
    <t xml:space="preserve"> Sliding Glass Door Cabinet with computer table Height : 2.55m Width: 3m Thickness: 0.60m</t>
  </si>
  <si>
    <t xml:space="preserve"> Republic of the Philippines MUNICIPALITY OF CATARMAN Province of Northern Samar 	-ooOoo- BIDS &amp; AWARDS COMMITTEE INVITATION TO BID 	The Local Government of Catarman, Northern Samar invites interested parties/contractors to Apply for Eligibility and to Bid</t>
  </si>
  <si>
    <t xml:space="preserve"> Outsourcing of Physico Chemical and Heavy Metal and 	 Microbiological Analyses for Industrial Wastes Samples (June-July 2020)	 25	samples	PH	 25	samples	Total Suspended Solid	 25	samples	Color	 20	samples	Biochemical Oxygen Demand	 20	samples	Oil and Grea</t>
  </si>
  <si>
    <t xml:space="preserve"> PROJECT: BARANGAY STAGE LOCATION: BARANGAY MINANE, CONCEPCION, TARLAC APPROVED BUDGET FOR THE CONTRACT: PHP 248,601.00 SOURCE OF FUND: 20% BDF The contract to be performed by the successful bidder shall be specified in the Technical Quotation Form of the </t>
  </si>
  <si>
    <t xml:space="preserve"> Laptop</t>
  </si>
  <si>
    <t xml:space="preserve"> INVITATION TO BID FOR Drugs and Medicines  (Name of Project)    1.	The CITY GOVERNMENT OF ZAMBOANGA, through the General Fund intends to apply the sum of TWO MILLION FOUR HUNDRED SEVENTY FIVE THOUSAND NINE HUNDRED PESOS (P2,475,900.00) ONLY being the Appr</t>
  </si>
  <si>
    <t xml:space="preserve"> Republic of the Philippines Department of Education Region VI – Western Visayas Division of Aklan TAMALAGON INTEGRATED SCHOOL Tamalagon, Tangalan, Aklan 	 REQUEST FOR QUOTATION (RFQ) Project No: DepED-RO6-D1-TIS-SUPPORT INSTRUCTIONAL &amp; LEARNERS MATERIALS </t>
  </si>
  <si>
    <t xml:space="preserve"> Supply and delivery of 150 pcs Blaan dictionary - for IPED Implementing schools</t>
  </si>
  <si>
    <t xml:space="preserve"> Republic of the Philippines Province of Davao Del Sur Municipality of Padada BARANGAY UPPER MALINAO  Bids and Awards Committee June 30, 2020 PURCHASE OF (1) ONE UNIT SECOND HAND VEHICLE - VAN, PICK-UP TYPE 1.	The Barangay Government Unit of Upper Malinao,</t>
  </si>
  <si>
    <t xml:space="preserve"> See attached RFQ-KCS</t>
  </si>
  <si>
    <t xml:space="preserve"> 60 SETS FABRICATED PARTITION IN ANALOK TUBULAR FRAME (1.80M X 2.40M) WITH ORDINARY PLYWOOD 1/2'THK. (PAINTED) ACRYLIC GLASS 1/4 THK.</t>
  </si>
  <si>
    <t xml:space="preserve"> Sir/Madam:																																						 																																						 Please quote your government price/s including delivery charges, VAT or other applicable taxes, and other incidental expenses for the goods listed in Annex A.  Also, f</t>
  </si>
  <si>
    <t xml:space="preserve"> REQUEST FOR QUOTATION (In accordance with Section 53.9 of Revised-IRR of RA 9184) 	The Municipal Government of Paracale, Camarines Norte invited all legitimate contractors/suppliers to submit quotation for the hereunder list Goods and/or Services on or be</t>
  </si>
  <si>
    <t xml:space="preserve"> (PLEASE SEE ATTACHED ASSOCIATED COMPONENT) please send Request for Quotation  -  philgepsprocurement19@gmail.com Contact Person: FREDERICK VILLAS (711-69-73) 250	pc	BALLPEN WITH FLASHDRIVE, brandnew, customized ballpen with removable 8GB Flashdisk ( NRL-S</t>
  </si>
  <si>
    <t xml:space="preserve"> Republic of the Philippines										 Province of Misamis Oriental										 CITY OF EL SALVADOR										 										 REQUEST FOR QUOTATION										 										 								No.	2020-06-626	 										 										 										 										 	Please quote your price </t>
  </si>
  <si>
    <t xml:space="preserve"> 5,000.00 Heads Mallard Ducks Ready-to-Lay</t>
  </si>
  <si>
    <t xml:space="preserve"> Supply and Delivery of Diesel at NIA IAAPIS Baculud Amulung Cagayan</t>
  </si>
  <si>
    <t xml:space="preserve"> Invitation to Bid for  SUPPLY &amp; DELIVERY OF MATERIALS FOR THE CONSTRUCTION OF BAGSAKAN CENTER @ BRGY. WEST KILIKILI, WAO, LANAO DEL SUR ---------------------------------------------------------------------------------------------------------------- ITB NO</t>
  </si>
  <si>
    <t xml:space="preserve"> AIRCONDITIONER</t>
  </si>
  <si>
    <t xml:space="preserve"> Tile works Painting Ceiling Electrical  Plumbing</t>
  </si>
  <si>
    <t xml:space="preserve"> Portland Cement Steel round bar 12mm CW Nails #4 Washed Stone 3/4 Washed sand</t>
  </si>
  <si>
    <t xml:space="preserve"> INVITATION TO BID FOR I.T. Supplies  (Name of Project)    1.	The CITY GOVERNMENT OF ZAMBOANGA, through the General Fund intends to apply the sum of TWO MILLION TWO HUNDRED TWENTY FIVE THOUSAND TWO HUNDRED FIVE &amp; 60/100 PESOS (P2,225,205.60) ONLY being the</t>
  </si>
  <si>
    <t xml:space="preserve"> Invitation to Bid for Purchase of Four (4) units Airconditioning Units for Various Offices 4 units of 2.5hp wall mounted split-type aircon inverter with actual piping (90ft per unit) Source of Fund: Capital Outlay Nonrefundable fee for bidding documents: </t>
  </si>
  <si>
    <t xml:space="preserve"> PROCUREMENT TERMS AND CONDITIONS						 						 1. The Total Approved Budget for the Contract (ABC) is One Hundred Ninety Three Thousand Six Hundred Pesos (193,600.00)						 2.  Price Quotation should be inclusive of tax obligation.						 3. Evaluation of b</t>
  </si>
  <si>
    <t xml:space="preserve"> Republic of the Philippines														 PROVINCE OF ZAMBOANGA SIBUGAY														 Municipality of Payao														 														 INVITATION TO BID														 										PR2020-06-29-081				 The Local Government Unit of Payao, Zamboanga Sibugay, </t>
  </si>
  <si>
    <t xml:space="preserve"> 18 reams Coupon Bond Long 14 reams Coupon Bond Short 18 reams Coupon Bond A4 8 pieces Document Files 3 boxes Ball pen / Sign Pen 50 pieces Folder Long 4 boxes Pencil 2 pad Yellow Paper 17 bottles Computer Ink Refill Colored 15 bottles Computer Ink refill </t>
  </si>
  <si>
    <t xml:space="preserve"> materials for Installation of Street Lighting Facilities</t>
  </si>
  <si>
    <t xml:space="preserve"> PGBH-C-NC-2020-095 PR2020-111 REQUEST FOR QUOTATION FOR THE PROCUREMENT OF MEALS DURING BID OPENING FOR BAC MEMBERS AND BAC SECRETARIAT STAFF COST OF CANVASS: P 150.00</t>
  </si>
  <si>
    <t xml:space="preserve"> PHOTOCOPIER</t>
  </si>
  <si>
    <t xml:space="preserve"> 243 pcs Lanzones Longkong 243 pcs Lanzones Duco 243 pcs Durian 243 pcs Rambutan 243 pcs C. Pomelo</t>
  </si>
  <si>
    <t xml:space="preserve"> Repainting, ceiling repair, installation of window screens and replacement of door and doorkob</t>
  </si>
  <si>
    <t xml:space="preserve"> TRAINING EXPENSE</t>
  </si>
  <si>
    <t xml:space="preserve"> Description Republic of the Philippines Danao City Brgy.Sandayong Norte INVITATION to APPLY for ELIGIBILITY and to BID Multicab for Brgy.Sandayong Norte,Danao City The Brgy.Sandayong Norte, tends to apply the sum of Php260,000.00 being Approved Budget for</t>
  </si>
  <si>
    <t xml:space="preserve"> 1,464.00       paxs         meals          150.00           219,600.00 970.00          paxs         snacks          30.00             29,100.00                                                                Total:   248,700.00</t>
  </si>
  <si>
    <t xml:space="preserve"> 180 packs meals 360 packs snacks</t>
  </si>
  <si>
    <t xml:space="preserve"> Prospective bidders should possess a valid PCAB license applicable to the contract, have completed a similar contract with a value of at least 50% of the ABC. The BAC will use non-discretionary pass/fail criteria in the eligibility check/screening as well</t>
  </si>
  <si>
    <t xml:space="preserve"> Name of Project : Cambaguio SIP Location : Bais City, Negros Oriental Contract No. : NOSO-LMC-SIP-22-2020 Brief Description : Construction of Intake and Pipeline Approved Budget for the Contract : P 4,585,700.60 Estimated Contract Duration : 180 calendar </t>
  </si>
  <si>
    <t xml:space="preserve"> Barangay Sta. Lucia Municipality of Dolores, Quezon INVITATION TO BID FOR CONSTRUCTION OF MINI PARK W/ REHABILITATION OF STREET LIGHT The LGU, through  the General  Fund ( 20% DF)–intends to apply the sum of  One Hundred Twenty Five Thousand and Six Hundr</t>
  </si>
  <si>
    <t xml:space="preserve"> 2 set DESKTOP ASUS FX10CP-PH004T Intel Core i5-8400 Processor Motherboard 8gb DDR4 RAM/TB HDD DVD Super MultiDrive NIVIDIA GTX 1050 2G Graphics Mouse &amp; Keyboard Windows 10, ASUS 21.5 LED Monitor 2 unit UPS-AWP-AIDE 650 2 unit AVR Secure Brand 2 unit Print</t>
  </si>
  <si>
    <t xml:space="preserve"> Contract ID       :      20CSPA001 Contract Name  :      DETAILED ENGINEERING DESIGN OF ABRA COLISEUM AND  CONVENTION CENTER Location           :      La Paz, Abra The DPWH-Abra District Engineering Office reserves the right to accept or reject any bid an</t>
  </si>
  <si>
    <t xml:space="preserve"> Procurement of 1 Lot Office Supplies</t>
  </si>
  <si>
    <t xml:space="preserve"> Communication Expenses 100	pcs	Mobile prepaid card, Globe 300 50	pcs	Mobile prepaid card, Smart 300 		 ************* End users:	SWRRD																				 Deadline for submission of bids:  July 8, 2020  at  12:00pm																					 																				</t>
  </si>
  <si>
    <t xml:space="preserve"> Repainting, repair of ramp, replacement of CR door, installation of electrical connection and replacement of glass jalousie blades</t>
  </si>
  <si>
    <t xml:space="preserve"> INVITATION TO BID FOR Other Transportation Equipment  (Name of Project)    1.	The CITY GOVERNMENT OF ZAMBOANGA, through the SB# 01 FY 2019 intends to apply the sum of EIGHT MILLION PESOS (P8,000,000.00) ONLY being the Approved Budget for the Contract (ABC</t>
  </si>
  <si>
    <t xml:space="preserve"> Tile works Painting Ceiling Electrical Plumbing</t>
  </si>
  <si>
    <t xml:space="preserve"> CONDUCT OF SOIL TESTING/EXPLORATION FOR THE PROPOSED BRIDGE WIDENING, BADOC BR. (B00564LZ), QUIAOIT BR. (B00571LZ),  ALONG MANILA NORTH ROAD, CABARUAN BR. (B02770LZ), QUIOM BR. (B02768LZ) ALONG BATAC-PINILI VIA MAIPALIG ROAD AND GALPAC BR. (B00555LZ) ALON</t>
  </si>
  <si>
    <t xml:space="preserve"> ITB No. 2020-78 July 1, 2020 Republic of the Philippines Province of Davao Oriental CITY OF MATI INVITATION TO BID LAND DEVELOPMENT - NEW PUNTAVILLE Name of Project 1.	The City Government of Mati, through the 20% Local Development Fund intends to apply th</t>
  </si>
  <si>
    <t xml:space="preserve"> INVITATION TO BID FOR Information and Communication Technology Equipment  (Name of Project)    1.	The CITY GOVERNMENT OF ZAMBOANGA, through the AB FY 2020 intends to apply the sum of ONE MILLION TWO HUNDRED NINETY EIGHT THOUSAND PESOS (P1,298,000.00) ONLY</t>
  </si>
  <si>
    <t xml:space="preserve"> Republic of the Philippines Department of Education Region VI – Western Visayas District of Makato Makato Integrated School DIVISION OF AKLAN Makato, Aklan REQUEST FOR QUOTATION (RFQ) Project No: DepED-RO6-D1-CONSTRUCTIONMATERIALS-001-2019 The Department </t>
  </si>
  <si>
    <t xml:space="preserve"> Procurement of 1 Lot Heavy Equipment Parts and Supplies of various  heavy equipment (Dresser Payloader 515C; Volvo Prime Mover with Trailer; Dump Truck 6 Wheeler; Komatsu Pay Loader WA320; Galion Motor Grader 830B; Isuzu Mini Dump Truck SGC 781; Isuzu Dum</t>
  </si>
  <si>
    <t xml:space="preserve"> Republic of the Philippines  Province of Southern Leyte Municipality of Macrohon BARANGAY FLORDELIZ INVITATION TO BID FOR THE REHABILITATION OF HEALTH CENTER /FLORDELIZ, MACROHON, SOUTHERN LEYTE The  Barangay Flordeliz,MAcrohon,Southern Leyte through the </t>
  </si>
  <si>
    <t xml:space="preserve"> Republic of the Philippines					 Province of Bukidnon					 Municipality of Lantapan					 					 INVITATION TO BID FOR THE PURCHASE OF MOTORCYCLES FOR BARANGAYS (1ST BID)					 					 1	The Local Government Unit of Lantapan through the General Fund for CY 202</t>
  </si>
  <si>
    <t xml:space="preserve"> Republic of the Philippines Province of Southern Leyte Municipality of San Juan 					Barangay San Jose BIDS AND AWARD COMMITTEE INVITATION TO BID FOR  Supply &amp; Delivery of  Vehicles The Brgy. San Jose of San Juan, Southern Leyte through the Province Finan</t>
  </si>
  <si>
    <t xml:space="preserve"> Brief Description/Specification: “SUPPLY AND DELIVERY OF VEHICLE PARTS AND VEHICLE OIL” for the repair and maintenance of government vehicle, Army Jeep in the Office of the Sangguniang Bayan Members.   Approved Budget For The Contract:  Php 69,940.00 Esti</t>
  </si>
  <si>
    <t xml:space="preserve"> I. ITEM 101: REMOVAL OF STRUCTURE II. REPAIR OF STAIR III. ELECTRICAL WORKS IV. KITCHEN LAVATORY V. CEILING WORKS VI. PAINTING WORKS VII. CONSTRUCTION SAFETY &amp; HEALTH</t>
  </si>
  <si>
    <t xml:space="preserve"> To Conduct Verification/Subdivision survey and provide complete docucments as provided in the Survey Return for submittal at LMS-DENR, to wit: 1. Original subdivision plan plotted in the LMB form no. GSD-C-1 2. Lot data computations, original and duplicat</t>
  </si>
  <si>
    <t xml:space="preserve"> Labotory Outsourcing 12	samples	 Complete Chemical Analysis for Soil Samples  	  	  *********** End users:	Laboratory																				 Deadline for submission of bids:  July 8, 2020  at  12:00pm																					 																					 Please attach/</t>
  </si>
  <si>
    <t xml:space="preserve"> CONDUCT OF SOIL TESTING/EXPLORATION FOR THE PROPOSED FLOOD CONTROL PROJECTS, DINGRAS, PAOAY, BADOC, BANNA, CITY OF BATAC, SOLSONA, MARCOS &amp; NUEVA ERA, ILOCOS NORTE 1.	The Department of Public Works and Highways, Ilocos Norte 2nd District Engineering Offic</t>
  </si>
  <si>
    <t xml:space="preserve"> Contract ID:	20DL0225 Contract Name:	CONVERGENCE AND SPECIAL SUPPORT PROGRAM, CONSTRUCTION/ IMPROVEMENT OF VARIOUS INFRASTRUCTURE IN SUPPORT OF NATIONAL SECURITY 1. ACCESS ROAD LEADING TO 85TH INFANTRY BATTALION MABUNGA-CASASAHAN ILAYA, GUMACA, QUEZON	 Co</t>
  </si>
  <si>
    <t xml:space="preserve"> Republic of the Philippines DEPARTMENT OF PUBLIC WORKS AND HIGHWAYS Zamboanga Sibugay 2nd DISTRICT ENGINEERING OFFICE REGIONAL OFFICE IX Ipil Zamboanga Sibugay INVITATION TO BID Date: June 30, 2020  The Zamboanga Sibugay 2nd District Engineering Office, t</t>
  </si>
  <si>
    <t xml:space="preserve"> 1	pc.	2"x4"x21 ft Analoc type Rectangular Aluminum tube						 1	pc.	½"x4'x8' -Marine Plywood						 1	tube	Sealant						 2	sheet	¼" Thick x 1.2m x 1.8m x 1.8m Clear Glass						 5	sheet	½ x2"x3' Cork board						 1	set	Glass Clip						 1	set	Glass lock						</t>
  </si>
  <si>
    <t xml:space="preserve"> REQUEST FOR QUOTATION# Please quote your price on the job/item listed below, subject to the Specification and Terms and Conditions provided herein, stating the shortest time of delivery and submit your quotation in the bid box located at the Procurement S</t>
  </si>
  <si>
    <t xml:space="preserve"> 1	20	pcs	GI pipe 2'' supreme	 2	20		GI pipe 1/2'' 	 3	5		GI coupling reducer 1/2 x 3/8	 4	4		Cylinder Champion	 5	5		Tee 2x1 1/4 GI	 6	5		Nipple 1x1/ 4x12	 7	5		Bushing reducer 2x3/4	 8	5		Bushing reducer 2x1/4</t>
  </si>
  <si>
    <t xml:space="preserve"> 2020 17TH PUBLIC BIDDING for PROCUREMENT OF MEDICAL IMAGING SUPPLIES FOR 2020 2ND SEMESTER CONSUMPTION</t>
  </si>
  <si>
    <t xml:space="preserve"> CONDUCT OF SOIL TESTING/EXPLORATION FOR THE PROPOSED SLOPE PROTECTION, ILOCOS NORTE-ABRA RD - K0527+330 - K0527+ 358,  K0532+275 - K0532+290, K0533+175 - K0533+191, K0533+324 - K0533+332, K0534+824 - K0534+844, K0529+000 - K0529+600, BATAC-ESPIRITU (BANNA</t>
  </si>
  <si>
    <t xml:space="preserve"> Republic of the Philippines BARANGAY NAGPALANGAN BIDS AND AWARDS COMMITTEE Binmaley, Pangasinan INVITATION TO BID The Barangay NAGPALANGAN, Bimaley, Pangasinan through its Bids and Award Committee (BAC), invites supplier to apply for eligibility and to bi</t>
  </si>
  <si>
    <t xml:space="preserve"> 1 1/2"X60.0 MTS. SDR 13.6 HDPE Pipe ---------20 rolls</t>
  </si>
  <si>
    <t xml:space="preserve"> Title:Procurement of 1 Pakyaw Remote Sensing Services for Groundwater Availability Exploration(GEO-Resistivity Survey) under 0700-2020-OCA-Support to Quality Corn Development(Trust Fund) Total ABC: Php 100,000.00 (INSTRUCTION AS TO THE REQUIRED FORM: For </t>
  </si>
  <si>
    <t xml:space="preserve"> 1 unit           1 tonner floor type aircon 2 units          1 hp window type aircon 1 unit            7 cubic ft refrigerator, 2 door and inverter type Nothing Follows ***</t>
  </si>
  <si>
    <t xml:space="preserve"> Contract ID:	20DL0226 Contract Name:	CONVERGENCE AND SPECIAL SUPPORT PROGRAM, CONSTRUCTION/ IMPROVEMENT OF ACCESS ROADS LEADING TO DECLARED TOURISM DESTINATIONS 4. ACCESS ROAD LEADING TO LAMESANG BATO, CALAUAG, QUEZON	 	 Contract Location:	CALAUAG, QUEZON</t>
  </si>
  <si>
    <t xml:space="preserve"> NOTICE TO THE PUBLIC REQUEST FOR PROPOSAL Purchase Request No: PUR20-04-0318 The Philippine General Hospital hereby informs the public that it will be procuring the following item/s through Small Value Procurement: The Philippine General Hospital hereby i</t>
  </si>
  <si>
    <t xml:space="preserve"> NOTICE TO THE PUBLIC REQUEST FOR PROPOSAL Purchase Request No: PUR20-06-0475 The Philippine General Hospital hereby informs the public that it will be procuring the following item/s through Small Value Procurement: 1.	22 pcs.		SPO2 EXTENSION CABLE, brand </t>
  </si>
  <si>
    <t xml:space="preserve"> Various Equipment &amp; Supplies</t>
  </si>
  <si>
    <t xml:space="preserve"> Republic of the Philippines PROVINCE OF BUKIDNON Municipality of Sumilao Barangay San Vicente INVITATION TO BID ITB NO. GS-2020-01 PROCUREMENT OF CONSTRUCTION MATERIAL FOR THE COMPLETION OF MULTI-PURPOSE HALL- BARANGAY SAN VICENTE June 30, 2020 1.	The Bar</t>
  </si>
  <si>
    <t xml:space="preserve"> i. Construction of Comfort Room (Day Care Center A)- - - - - - - - - - - - 14,998.00 ii. Construction of Canopy (Phase II)- - - - - - - - - - - - - - - - - - - - - - - 20,858.00 iii. Construction of Public Comfort Room (Cemetery) - - - - - - - - - - - - -</t>
  </si>
  <si>
    <t xml:space="preserve"> NOTICE TO THE PUBLIC REQUEST FOR PROPOSAL Purchase Request No: PUR20-06-0488 The Philippine General Hospital hereby informs the public that it will be procuring the following item/s through Small Value Procurement: 			Supply and Delivery:			 1.	60 pcs.		T</t>
  </si>
  <si>
    <t xml:space="preserve"> 1			Ceiling eaves (spandrel)	 2			Paints	 3			Tiles	 4			Ceiling	 5	1	set	Panel door</t>
  </si>
  <si>
    <t xml:space="preserve"> 1 unit Monitor-43’’ Inc Devant Smart TV 1 unit DVR- Hikvision digital video recorder MODEL DS-7261HQHI-K2 UP TO 4MP 12 unit Camera-Hikvision COLOR CAMERA MODEL DS-2CE56HOT-ITMF 5MP Dome Camera 1 unit Power Supply- 20a Arrow/Multi-way w/ case 300  mtrs Cab</t>
  </si>
  <si>
    <t xml:space="preserve"> •	Split Type Airconditioner (Basic)     -     2 units         KSW-18R5CA        2.0HP     •	Window Type Airconditioner (Basic)  - 2 units         CW-SC184EPH         2.0HP</t>
  </si>
  <si>
    <t xml:space="preserve"> 30	pack	Pepper (100g per pack) 129	pc	Peppper Seedling 30	pack	Eggplant (100g per pack) 225	pc	Eggplant seedling 30	pack	Tomato (100g per pack) 225	pack	Tomato Seedling 15	pc	Kalabasa (250g per pack) 36	pack	Kalabasa Seedling 15	pc	Patola (250g per pack) </t>
  </si>
  <si>
    <t xml:space="preserve"> Republic of the Philippines														 PROVINCE OF ZAMBOANGA SIBUGAY														 Municipality of Payao														 														 INVITATION TO BID														 										PR2020-06-29-084				 The Local Government Unit of Payao, Zamboanga Sibugay, </t>
  </si>
  <si>
    <t xml:space="preserve"> Construction of 4sty-16cl (2 Science Laboratory workshop, 2 ICT Laboratory workshop &amp; 4 Regular workshop) with site adaptation and demolition</t>
  </si>
  <si>
    <t xml:space="preserve"> 4	box	Electrical Wire # 12 AWG, 3.5mm stranded, 150 meter/box 2	box	Electrical Wire # 12 AWG, 8 mm stranded, 100 meter/box 2	pcs	Circuit breaker with housing, 15 amperes 2	pcs	Circuit breaker with housing, 30 amperes 2	pcs	Circuit breaker with housing, 60</t>
  </si>
  <si>
    <t xml:space="preserve"> Concreting of FMR</t>
  </si>
  <si>
    <t xml:space="preserve"> Municipality of Looc Invitation to Bid for Construction of One Classroom in Brgy. Tabao-Ambil 1.	The Municipality of Looc, through the CCO intends to apply the sum of Php 1,150,000.00 being the Approved Budget for the Contract (ABC) to payments under the </t>
  </si>
  <si>
    <t xml:space="preserve"> Prepaid Cards 282	pcs	Smart (300) 282	pcs	Globe (300) ************ End users:	OAP																				 Deadline for submission of bids:  July 8, 2020  at  12:00pm																					 																					 Please attach/submit the following documents with </t>
  </si>
  <si>
    <t xml:space="preserve"> RPQ</t>
  </si>
  <si>
    <t xml:space="preserve"> 15	Box	Ballpen (Color Black) 12's 15	Box	Ballpen (Color Blue) 12's 15	Box	Ballpen (Color Red) 12's 10	Box	Binder Clips 12's 100	Ream	Bondpaper Long Size GSM 70  100	Ream	Bondpaper Short Size GSM 70  30	Ream	Bond Paper GSM 80 Long Size 30	Ream	Bond Paper G</t>
  </si>
  <si>
    <t xml:space="preserve"> Republic of the Philippines JOSE RIZAL MEMORIAL STATE UNIVERSITY KATIPUNAN CAMPUS Katipunan, Zamboanga del Norte Invitation to Bid: Purchase of Animal Feeds 1)	The Jose Rizal Memorial State University-Katipunan Campus, Katipunan, Zamboanga del Norte throu</t>
  </si>
  <si>
    <t xml:space="preserve"> 4 x 4; Double Cab, Manual Transmission Specs: - 6-Speed Manual Transmission - Displacement - 2497cc - Torque (kgf-m/rpm)16.8/2400 - Power (ps/pm) 130/3800 - Valve System - DOHC (4 valve/cyl) - Lenght - 4855mm - Width - 1740mm - Height - 1995mm - Wheel Bas</t>
  </si>
  <si>
    <t xml:space="preserve"> Invitation to Bid for the 2nd Public Bidding: Construction of Covered Path Walk, Kitchen and Laundry Area for AVRC III The Department of Social Welfare and Development (DSWD) Field Office IX, through the 2020 General Appropriation Act intends to apply the</t>
  </si>
  <si>
    <t xml:space="preserve"> Supply and delivery of labor and materials for the repair of GID Warehouse covering the replacement of damaged GI sheet roofings, gutters, flashing, ridge, skylights and rotary ventilators</t>
  </si>
  <si>
    <t xml:space="preserve"> I. WALL PLASTERING II. FLOORING/FLOOR TILES III. DOORS / WINDOWS W/ GRILLS IV. ELECTRICAL WORKS V. CEILING VI. COMFORT ROOMS VII. LAVATORY WITH TILES VIII. PLUMBING WORKS IX. SEPTIC TANK X. PAINTING WORKS XI. STAIRS</t>
  </si>
  <si>
    <t xml:space="preserve"> INVITATION TO BID                                   FOR THE PROCUREMENT OF SECURITY SERVICES FOR                          ADMINISTRATIVE CENTER AND CAGAYAN DE ORO CITY POST OFFICE 	The Philippine Postal Corporation, through the CY 2020 Corporate Budget ap</t>
  </si>
  <si>
    <t xml:space="preserve"> Repainting, replacement of door and doorknob, installation of window screen, and installation of electrical connection</t>
  </si>
  <si>
    <t xml:space="preserve"> INVITATION TO BID IB NO. CW 2020 –  102 Infrastructure Project (Phase II) for Oriental Mindoro Rehabilitation and Recovery Center,  Brgy. Ilaya, Calapan City, Oriental Mindro 1.  The Provincial Government of Oriental Mindoro (PGOM) through the DOH Trust F</t>
  </si>
  <si>
    <t xml:space="preserve"> Republic of the Philippines Province of Ifugao Municipality of Hingyon  Bids and Awards Committee  INVITATION TO BID Publication No. 014 – 2020 (SECOND POSTING – SUPPLY AND DELIVERY OF ONE (01) UNIT NPL-322+ PRISMLESS TOTAL STATION FOR THE MUNICIPAL ASSES</t>
  </si>
  <si>
    <t xml:space="preserve"> Purchase of Medical Supplies for the use of Ospital ng Lungsod ng San Jose Del Monte</t>
  </si>
  <si>
    <t xml:space="preserve"> 45	pc	Seedling tray (104 holes) 9	pc	Garden hose (100 meters) 12	pc	Garden Rake 12	pc	Shovel 12	pc	Hand shovel 12	pc	Garden hoe 6	pc	Knapsack Sprayer (16L) 6	pc	Plastic Drum (200 L) 6	pc	Plastic Mulch (400meters) 12	pc	Sticky Traps (10pcs-15cmx30cm) 15	pc</t>
  </si>
  <si>
    <t xml:space="preserve"> REPAIR &amp; IMPROVEMENT OF SCHOOL CLINIC</t>
  </si>
  <si>
    <t xml:space="preserve"> INVITATION TO BID REPUBLIC OF THE PHILIPPINES CITY OF GOVERNMENT OF NAVOTAS BARANGAY SAN RAFAEL VILLAGE   BIDS AND AWARDS COMMITTEE 1.The Sangguniang BaraNGAY San Rafael Village, through its Bids and Awards Committee intends to  apply the sun of One Hundr</t>
  </si>
  <si>
    <t xml:space="preserve"> Republic of the Philippines PROVINCE OF ZAMBOANGA DEL SUR Municipality of Dumalinao Barangay Bibilik BIDS AND AWARDS COMMITTEE INVITATION TO APPLY FOR ELIGIBILITY AND TO BID The Local Government Unit of Bibilik, Dumalinao, Zamboanga del Sur, through its B</t>
  </si>
  <si>
    <t xml:space="preserve"> Republic of the Philippines Province of Guimaras OFFICE OF THE BIDS AND AWARDS COMMITTEE INVITATION TO BID FOR    SUPPLY AND DELIVERY OF OFFICE EQUIPMENT Bid Ref. No. 2020-06-377 1.	The Province of Guimaras , through the Capital Outlay 2020  intends to ap</t>
  </si>
  <si>
    <t xml:space="preserve"> 5	kilo	G.I Wire # 16 10	kilo	G.I Wire # 14 3	kilo	Garden Hose, 1/2 inch diameter, 90 meter per roll, braided flexible hose, heavy duty 2	roll	Garden Hose, 1/2 inch diameter, 60 meter per roll, braided flexible hose, heavy duty 10	pcs	Meter Stick,  hardwor</t>
  </si>
  <si>
    <t xml:space="preserve"> Supply and Delivery of Split-Type Air Conditioning Unit intended for LGU Manito all in accordance with the bill of quantities and specifications. 2.0 HP, Power Supply- 1ph 230v 60hz, Capacity-21,960 KJ/hr, Power Input-1,800W (240-2100), EER-122KJ/hr (180-</t>
  </si>
  <si>
    <t xml:space="preserve"> Republic of the Philippines Province of Pangasinan Municipality of Bugallon OFFICE OF THE BIDS AND AWARDS COMMITTEE INVITATION TO BID The Barangay Angarian of the Municipality of Bugallon, Pangasinan, through its Bids and Awards Committee (BAC), invites c</t>
  </si>
  <si>
    <t xml:space="preserve"> INVITATION TO BID Construction Materials (Rehabilitation of Multi-Purpose Hall) Project No: 2020-003 The Brgy. Council Aningalan, San Remigio, through the 20% Dev’t. Fund 2nd Qtr. CY 2020 intends to apply the sum of Seventy-Two Thousand Six Hundred Fifty </t>
  </si>
  <si>
    <t xml:space="preserve"> REQUEST FOR QUOTATION 	The Caraga State University-Cabadbaran Campus, through its Bids and Awards Committee (BAC), will undertake a Negotiated Procurement (Small Value Procurement) for the project: PROCUREMENT ON SUPPLY AND DELIVERY OF CONSTRUCTION MATERI</t>
  </si>
  <si>
    <t xml:space="preserve"> REQUEST FOR QUOTATION 	The Caraga State University-Cabadbaran Campus, through its Bids and Awards Committee (BAC), will undertake a Shopping-Ordinary/Regular Office Supplies for the project: PROCUREMENT ON SUPPLY AND DELIVERY OF VARIOUS OFFICE SUPPLIES (C</t>
  </si>
  <si>
    <t xml:space="preserve"> Republic of the Philippines PROVINCE OF ZAMBOANGA DEL SUR Municipality of Dumalinao BIDS AND AWARDS COMMITTEE INVITATION TO APPLY FOR ELIGIBILITY AND TO BID The Local Government Unit of Dumalinao, Zamboanga del Sur, through its Bids and Awards Committee (</t>
  </si>
  <si>
    <t xml:space="preserve"> INK CART, HP F6V26AA (HP680) BLACK                       35 CART INK CART, HP F6V27AA (HP680) TRI-COLOR                25 CART</t>
  </si>
  <si>
    <t xml:space="preserve"> 1.  2,000 pcs. Galvanized Tricycle Plate 5"x9" 2.  2,000 pcs. Printable Vinyl Sticker 5"x9" 3.  3,500 pcs Printable Vinyl Sticker 2cmx4cm    ---------------Nothing Follows--------------- Purpose: Renewal of Plates for Tricycle Franchise End-User: TFLRU</t>
  </si>
  <si>
    <t xml:space="preserve"> SEE PR &amp; POW</t>
  </si>
  <si>
    <t xml:space="preserve"> please download the ITB and its other supporting documents in the associated component</t>
  </si>
  <si>
    <t xml:space="preserve"> •	Drone   -     2 Units         Maximum takeoff weight-2.00lb/907g         Maximum horizontal speed: 44.7 mph/72km/h         Maximum ascent speed: 16.4 ft/s/5 m/s         Maximum descent speed: 9.8 ft/s/3 m/s         Maximum wind resistance: 23.6 mph/38 k</t>
  </si>
  <si>
    <t xml:space="preserve"> Republic of the Philippines														 PROVINCE OF ZAMBOANGA SIBUGAY														 Municipality of Payao														 														 INVITATION TO BID														 										PR2020-06-29-083				 The Local Government Unit of Payao, Zamboanga Sibugay, </t>
  </si>
  <si>
    <t xml:space="preserve"> REQUEST FOR QUOTATION 	The Caraga State University-Cabadbaran Campus, through its Bids and Awards Committee (BAC), will undertake a Negotiated Procurement (Small Value Procurement) for the project: SUPPLY, DELIVERY AND INSTALLATION OF CSUCC ELECTRONICS SW</t>
  </si>
  <si>
    <t xml:space="preserve"> the specification is available at the Bids and Awards Committee Secretariat MPDC-2nd Floor, Lasam Municipal Town Hall Centro 02, Lasam, Cagayan</t>
  </si>
  <si>
    <t xml:space="preserve"> 1.          1000        pcs         AEROPIONEER LITERARY FOLIO                                           Five by Seven inches ( 5"x 7"" )                                           Full Color                                            Paper: Glossy        </t>
  </si>
  <si>
    <t xml:space="preserve"> Contract ID:	20DL0227 Contract Name:	CONVERGENCE AND SPECIAL SUPPORT PROGRAM, CONSTRUCTION/ IMPROVEMENT OF ACCESS ROADS LEADING TO TRADES, INDUSTRIES AND ECONOMIC ZONES 5. ACCESS ROADS IN SUPPORT OF HANDICRAFTS, FOODS, COCONUT PROCESSING AND OTHER AGRI-BA</t>
  </si>
  <si>
    <t xml:space="preserve"> 4	units	Computer, Laptop with the following specifications: 		Processor: Intel Core i5-1035G1 Processor (6M Cache, up to 3.60 		GHz); Memory: 8 GB DDR4-2666 SDRAM (1x8 GB); Storage: 1TB 		5400 rpm SATA; 128 GB GB M.2 SSD; OS: Windows 10; Battery: 		3-cell</t>
  </si>
  <si>
    <t xml:space="preserve"> AGRICULTURAL AND FIELD SUPPLIES 200	pcs	Sacks, Plastic, 37"x21" 50 kilos capacity, color white 50	pcs	Plastic Trays, 400x300x110mm (LXWXH) Color - Red 100	pack	Plastic Bag, Clear size, 12 x18" Polypropylene, Thickness 0.03mm, 100s 100	pack	Plastic Bag, Cl</t>
  </si>
  <si>
    <t xml:space="preserve"> PROCUREMENT TERMS AND CONDITIONS						 						 1. The Total Approved Budget for the Contract (ABC) is One Hundred Eighty Six Thousand Six Hundred Eighty Pesos (186,680.00)						 2.  Price Quotation should be inclusive of tax obligation.						 3. Evaluation</t>
  </si>
  <si>
    <t xml:space="preserve"> 10	pcs	Caster  Wheel 2" diameter with break					 360	pcs	Wood screw 1/8 x 3/4"					 1800	pcs	2" Teckscrew (wooden)					 10	pcs	.05 m Ridge Roll (blue)					 10	pcs	1/4" x 2" Flat Bar					 200	pcs	1 1/2 Teckscrew metal					 8	pcs	Elasto Seal					 20	pcs	San</t>
  </si>
  <si>
    <t xml:space="preserve"> Republic of the Philippines					 Province of Bukidnon					 Municipality of Lantapan					 					 INVITATION TO BID FOR THE REHABILITATION					 OF BARANGAY ROADS OF 14 BARANGAYS [2ND BID]					 					 1	The Local Government Unit of Lantapan through the 20% LDF</t>
  </si>
  <si>
    <t xml:space="preserve"> Supply and Delivery of Surveying Instruments at NIA CBIMO HEad Office Maddarulug, Solana, Cagayan</t>
  </si>
  <si>
    <t xml:space="preserve"> Paint 4 pail white (16 liters); Gloss 3 liter Green 3 liter Brown 3 liter Blue 3 liter Red 4 unit Black Metal Sheet  Flat Sheet 4 piece 4x8 6 piece 3x8 Cocolumber 10 piece Dos por Dos (10 ft.) 15 piece Dos por tres (10 ft.) Nails 10 kilo De Tres 10 kilo D</t>
  </si>
  <si>
    <t xml:space="preserve"> See Attached Documents</t>
  </si>
  <si>
    <t xml:space="preserve"> Republic of the Philippines														 PROVINCE OF ZAMBOANGA SIBUGAY														 Municipality of Payao														 														 INVITATION TO BID														 										PR2020-06-29-080				 The Local Government Unit of Payao, Zamboanga Sibugay, </t>
  </si>
  <si>
    <t xml:space="preserve"> REPUBLIC OF THE PHILIPPINES		 			          PROVINCE OF SIQUIJOR		 					 			        MUNICIPALITY OF SIQUIJOR		 			         REQUEST FOR QUOTATION		 					 			                                                          Date:  	29-Jun-20	 _______________________</t>
  </si>
  <si>
    <t xml:space="preserve"> 30 sacks Rice (50 kilos) Natural 150 kilo Molasses  16 liters Container 5 pcs. Clay pot 3 pcs. LPG Gas with Tank 10 pcs. LPG Gas</t>
  </si>
  <si>
    <t xml:space="preserve"> Name of Project : Calasgaan SIP Location : Bais City, Negros Oriental Contract No. : NOSO-LMC-SIP-21-2020 Brief Description : Construction of Diversion Works, Canal and Canal Structures Approved Budget for the Contract : P 4,633,209.52 Estimated Contract </t>
  </si>
  <si>
    <t xml:space="preserve"> ICT EQUIPMENT</t>
  </si>
  <si>
    <t xml:space="preserve"> Republic of the Philippines														 PROVINCE OF ZAMBOANGA SIBUGAY														 Municipality of Payao														 														 INVITATION TO BID														 										PR2020-06-29-076				 The Local Government Unit of Payao, Zamboanga Sibugay, </t>
  </si>
  <si>
    <t xml:space="preserve"> Republic of the Philippines Province of Davao Oriental CITY OF MATI REQUEST FOR QUOTATION 			 Date:	25 JUNE 2020 RFQ No.:	0831-2020 Name of Company: __________________________________________________________________________________________________________</t>
  </si>
  <si>
    <t xml:space="preserve"> Supply and Delivery of Various Building Materials, (11 Items) as per BSP Technical Specifications and Terms and Conditions: Specifications and Terms and Conditions: Item 1:   100 pcs. Handle, Cabinet, 3” Item 2:     5 pcs. Wheel, Diamond, 180mm (7-1/8) x </t>
  </si>
  <si>
    <t xml:space="preserve"> Repainting, Extension of ramp, repair of CR door, installation of electrical connection and replacement of main door</t>
  </si>
  <si>
    <t xml:space="preserve"> Purchase of Powdered Milk for Adults &amp; Kids</t>
  </si>
  <si>
    <t xml:space="preserve"> SUPPLY AND DELIVERY OF CONSTRUCTION MATERIALS</t>
  </si>
  <si>
    <t xml:space="preserve"> 70 Pack Coffee &amp; Eleven (11) LI</t>
  </si>
  <si>
    <t xml:space="preserve"> Republic of the Philippines DEPARTMENT OF PUBLIC WORKS AND HIGHWAYS NUEVA ECIJA 2ND DISTRICT ENGINEERING OFFICE REGIONAL OFFICE III San Isidro, Cabanatuan City INVITATION TO BID  1.	The DPWH-Nueva Ecija 2nd District Engineering Office, through its Bids an</t>
  </si>
  <si>
    <t xml:space="preserve"> Bid-opening-July 9,2020 at 2:00 p.m.</t>
  </si>
  <si>
    <t xml:space="preserve"> The City Government of Malolos, through its BIDS and AWARDS COMMITTEE (BAC) Invites Suppliers/Manufacturers/Distributors to Bid for hereunder procurement:  PR No. : GSO-2020-06-872 Name of Project : PURCHASE OF 1,803 UNITS OF ICT EQUIPMENT (LAPTOP) FOR TH</t>
  </si>
  <si>
    <t xml:space="preserve"> Republic of the Philippines Province of Palawan  Municipal Government of Cuyo BIDS AND AWARDS COMMITTEE Email Address: baccuyopalawan@gmail.com INVITATION TO BID  STRAIGHT CONTRACT FOR THE CONSTRUCTION AND REHABILITATION OF BANCAL SLOPE PROTECTION, PUROK </t>
  </si>
  <si>
    <t xml:space="preserve"> Furnishing &amp; delivery of construction materials , labor, tools and equipment and other incidentals only. Schedule of Activities: Issuance of Bid Documents - July 1-22, 2020 Pre-Bid Conference - July 9, 2020; 1:00 p.m. Submission of Bids - on or before Jul</t>
  </si>
  <si>
    <t xml:space="preserve"> 399  bags   Cement 36  Cu.m.   Gravels 24  Cu. M.   Sand 10   pcs    RSB 12mm 48   Cu.m  ASBC 180    Bd.ft.  Cco lumber 2 x6 x10 5    kls   CWN #3 2   kls   CWN #2 1/2</t>
  </si>
  <si>
    <t xml:space="preserve"> Invitation to Bid for the 2nd Public Bidding: Construction of Water Tower in PCDP, HFW, RSCC, and Upgrade of Water System in HE The Department of Social Welfare and Development (DSWD) Field Office IX, through the 2020 General Appropriation Act intends to </t>
  </si>
  <si>
    <t xml:space="preserve"> The Barangay Government of Dagupan, Allacapan Cagayan, through its Bids and Awards Committee (BAC) will invites interested entities to submit their bidding documents for the following details: Name of Project: Construction of Comfort Room Source of Fund: </t>
  </si>
  <si>
    <t xml:space="preserve"> REPAIR &amp; MAINTENANCE BUILDING</t>
  </si>
  <si>
    <t xml:space="preserve"> for the maintenance of barangay road.</t>
  </si>
  <si>
    <t xml:space="preserve"> PHO-SC-2020-003 PR2020-168 REQUEST FOR QUOTATION FOR THE PROCUREMENT OF IV FLUIDS AND STERILE WATER FOR EMERGENCY USE OPERATIONS OF PRES. CARLOS P. GARCIA MUNICIPAL HOSPITAL COST OF CANVASS: P 150.00</t>
  </si>
  <si>
    <t xml:space="preserve"> Contract ID:	20DL0229 Contract Name:	ORGANIZATIONAL OUTCOME 2 : PROTECT LIVES AND PROPERTIES AGAINST MAJOR FLOODS, FLOOD MANAGEMENT PROGRAM, CONSTRUCTION/ MAINTENANCE OF FLOOD MITIGATION STRUCTURES AND DRAINAGE SYSTEMS 13. REHABILITATION OF FLOOD CONTROL </t>
  </si>
  <si>
    <t xml:space="preserve"> PURCHASE OF VARIOUS FORM FOR INVENTORY PURPOSES OF GSO</t>
  </si>
  <si>
    <t xml:space="preserve"> aircon</t>
  </si>
  <si>
    <t xml:space="preserve"> See associated components</t>
  </si>
  <si>
    <t xml:space="preserve"> Contract ID:	20DL0228 Contract Name:	ORGANIZATIONAL OUTCOME 2 : PROTECT LIVES AND PROPERTIES AGAINST MAJOR FLOODS, FLOOD MANAGEMENT PROGRAM, CONSTRUCTION/ MAINTENANCE OF FLOOD MITIGATION STRUCTURES AND DRAINAGE SYSTEMS 6. CONSTRUCTION OF FLOOD CONTROL STR</t>
  </si>
  <si>
    <t xml:space="preserve"> MOBILIZATION/DEMOBILIZATION FORM WORKS MASONRY WORKS</t>
  </si>
  <si>
    <t xml:space="preserve"> INVITATION TO REBID FOR THE PROCUREMENT OF SUPPLY &amp; DELIVERY OF BANANA PLANTLET      1.	The Department of Agriculture Regional Field Office 6 through the General Appropriations Act (GAA) of 2020 intends to apply the sum of One Million Eight Hundred Twenty</t>
  </si>
  <si>
    <t xml:space="preserve"> The Municipality of Bay, through the GOP – 20% Economic Development Fund (EDF) intends to apply the sum of One Million Pesos Only (PHP 1,000,000.00) being the Approved Budget for the Contract (ABC) to payments under the contract for the Delivery of labor </t>
  </si>
  <si>
    <t xml:space="preserve"> Network Devices and Installation Service 1. LRT224 Dual WAN, Business Gigabit VPN Router..........................................1 unit 2. LAPAAC1750 Business, AC1750 Dual Band Access Point ...............................3 units 3. Wireless Router, LRT22</t>
  </si>
  <si>
    <t xml:space="preserve"> Republic of the Philippines JOSE RIZAL MEMORIAL STATE UNIVERSITY KATIPUNAN CAMPUS Katipunan, Zamboanga del Norte Invitation to Bid: Purchase of Office Equipment 1)	The Jose Rizal Memorial State University-Katipunan Campus, Katipunan, Zamboanga del Norte t</t>
  </si>
  <si>
    <t xml:space="preserve"> OPENING OF BIDS IN DSWD FO IX, ZAMBOANGA CITY,										 DELIVERY IN SINDANGAN ZAMBOANGA DEL NORTE										 PROCUREMENT FOR THE FF.:										 										 7	MONTH	OFFICE RENTAL COMMERCIAL OFFICE SPACE WITH FLOOR AREA OF MORE OR LESS 170 sqm. EFFICIENT WAT</t>
  </si>
  <si>
    <t xml:space="preserve"> Republic of the Philippines Department of Education National Capital Region Schools Division Office - Taguig City and Pateros SILANGAN ELEMENTARY SCHOOL Telephone Nos. (02) 478-9458          JUNE 30, 2020                                     BIDS AND AWARD</t>
  </si>
  <si>
    <t xml:space="preserve"> 6    pcs   Solar Street light (Big Light) 6    Post Bracket 12   Pcs   Metal Post Clamp 6    set    Post Light Schedule 402" 11   pcs    G.I.  Pipe #2   Sched. 40</t>
  </si>
  <si>
    <t xml:space="preserve"> To All Eligible Suppliers/Contractors:  Please quote your lowest price inclusive of VAT on the items listed in the RFQ Form (please see and download attachment in the Associated Components), subject to the Terms and Conditions of this Request for Quotatio</t>
  </si>
  <si>
    <t xml:space="preserve"> Materials only:  5 cu.m.  Embankment materials  4 cu.m.  Gravel Bedding  215 kgs  Steel bar 10mm  25 kgs  Tie wire  40 bags Cement   2 cu.m. Sand  619 pcs  CHB 4"  14 bags  Cement   2 cu.m.  Sand  63 bags Cement   7 cu.m. Gravel   4 cu.m.  Sand 133 bd.ft.</t>
  </si>
  <si>
    <t xml:space="preserve"> PHO-SC-2020-004 PR2020-175 REQUEST FOR QUOTATION FOR THE PROCUREMENT OF IV FLUIDS FOR PATIENTS USE AT CONG. SIMEON G. TORIBIO MEMORIAL HOSPITAL, CARMEN, BOHOL COST OF CANVASS: P 150.00</t>
  </si>
  <si>
    <t xml:space="preserve"> 1. The National Irrigation Administration (NIA), Regional Irrigation Office No.7, through the Small Reservoir Irrigation Project (SRIP) 2020 intends to apply the sum of Two Million Four Hundred Twenty Nine Thousand Four Hundred Eighty Nine Pesos (P 2,429,</t>
  </si>
  <si>
    <t xml:space="preserve"> See associated component</t>
  </si>
  <si>
    <t xml:space="preserve"> Supply and Delivery of Hardware Materials for the Installation of Radio Tower and Antenna and Relocation of Radio Station</t>
  </si>
  <si>
    <t xml:space="preserve"> ARTICLE AND DESCRIPTION                  										 ITEM	QTY	UNIT						CEILING 		UNIT PRICE			TOTAL  								PRICE					 			Office:  City General Services Office 										 			Charge to: Office Supplies Expenses					PR No. 814					 			ABC: Php269,983.70			</t>
  </si>
  <si>
    <t xml:space="preserve"> LGU-AL-31-2020 CONSTRUCTION/OPENING OF BARANGAY ROAD WITH RIPRAP BRGY. CADAC-AN ABUYOG, LEYTE</t>
  </si>
  <si>
    <t xml:space="preserve"> Item Number	Description	Qty	UNIT	Total 1	CENTRIFUGAL PUMP 2HP	2	UNIT	90,000.00</t>
  </si>
  <si>
    <t xml:space="preserve"> PHO-NC-2020-127 PR2020-174 REQUEST FOR QUOTATION FOR THE PROCUREMENT OF CERTIFICATE FOR GALLONERS (11"x14" FRAMES INCLUSIVE OF THE CERTIFICATE) FOR THE USE OF THE NATIONAL VOLUNTARY BLOOD SERVICES PROGRAM, PHO COST OF CANVASS: P 250.00</t>
  </si>
  <si>
    <t xml:space="preserve"> Republic of the Philippines Province of Negros Occidental MUNICIPALITY OF HINOBA-AN Bids and Awards Committee E-mail: municipality_hinobaan@yahoo.com INVITATION TO BID The Municipality of  Hinoba-an, Negros Occidental through its Bids and Awards Committee</t>
  </si>
  <si>
    <t xml:space="preserve"> FOR COMPLETION OF MULTIPURPOSE BUILDING III</t>
  </si>
  <si>
    <t xml:space="preserve"> Republic of the Philippines JOSE RIZAL MEMORIAL STATE UNIVERSITY KATIPUNAN CAMPUS Katipunan, Zamboanga del Norte Invitation to Bid: Purchase of Agricultural Chemicals 1)	The Jose Rizal Memorial State University-Katipunan Campus, Katipunan, Zamboanga del N</t>
  </si>
  <si>
    <t xml:space="preserve"> Quantity       Unit            Description   732           copy            Manila Bulletin (January 01-March 31,2020)    732           copy            Balita (January 01-March 32, 2020)       366           copy            Philippine Star (January 01-March</t>
  </si>
  <si>
    <t xml:space="preserve"> 1. Construction of 665m Community Access Road Carriageway (4m width x 0.20m thickness) and 1.0m Road Shoudering __________________________________________________________________________________________ Prospective Bidders shall submit a Letter of Intent </t>
  </si>
  <si>
    <t xml:space="preserve"> PHO-SC-2020-005 PR2020-177 REQUEST FOR QUOTATION FOR THE PROCUREMENT OF DRUGS AND MEDICINES FOR PATIENTS USE AT CONG. SIMEON G. TORIBIO MEMORIAL HOSPITAL, CARMEN, BOHOL COST OF CANVASS: P 150.00</t>
  </si>
  <si>
    <t xml:space="preserve"> 1	Pocket WIFI (4G/ LTE) 		7	units 2	 P 500.00 Prepaid Card Load (Expiration date of Prepaid Cards Should not be earlier than November 2021)		399	pcs</t>
  </si>
  <si>
    <t xml:space="preserve"> 3,448.37 liters - Diesel 1,041.66 liters - Gasoline</t>
  </si>
  <si>
    <t xml:space="preserve"> To promote health and wellness to all teaching, non-teaching personnel and learners for the prevention of COVID-19 Alcohol 70% 500 ml, Thermal Scanner Heavy Duty, Surgical Face Mask, Face Shield, Rubber Gloves, KN 95 Mask, Hand Sanitizer 500ml, Safe Guard</t>
  </si>
  <si>
    <t xml:space="preserve"> Amount of Bid Docs 2,000.00 To all suppliers, Bid Documents are available at BAC Office on July 9, 2020 Please qoute your Lowest Price; Item No. Quantity Unit Description I 28.88 cu.m. Concrete Works II 1.00 lot Painting Works Opening of Bid shall be on J</t>
  </si>
  <si>
    <t xml:space="preserve"> Brief Description: Rehabilitation/Improvement of Road  which involves project billboard/signage, temporary facility, safety &amp; health, mobilization and demobilization, barricades, A. Rehabilitation of Road (RNR); Breaking of existing dilapidated concrete p</t>
  </si>
  <si>
    <t xml:space="preserve"> 3rd Level Training on 2020 CPH on August 3 - 8, 2020 (6 Days) Breakfast AM Snacks Lunch PM Snacks Dinner *Free Flowing of Coffee *Other offers, pls. specify fpr 112 pax</t>
  </si>
  <si>
    <t xml:space="preserve"> INVITATION FOR SUBMISSION OF QUOTATION (SMALL VALUE PROCUREMENT) 	The local Government Unit of Can-avid, through is Bid and Awards Committee (BAC). Invites suppliers to apply for eligibility, to bid for the hereunder contract: Name of Contract:  	Computer</t>
  </si>
  <si>
    <t xml:space="preserve"> INVITATION TO BID FOR THE  DOCUMENTATION AND REGISTRATION OF MUNICIPAL CEMETERY INCLUDING SITE DEVELOPMENT PLAN The Local Government Unit of Del Gallego, Camarines Sur, through the Supplemental Budget No. 2 s. of 2015 Documentation/Transfer/Registration o</t>
  </si>
  <si>
    <t xml:space="preserve"> FOR CONSTRUCTION OF PUROK 5A MULTIPURPOSE CENTER</t>
  </si>
  <si>
    <t xml:space="preserve"> Invitation to Bid The LGU Alangalang, through its Bids and Awards Committee (BAC), invites prospective bidders to apply for eligibility and to bid for the hereunder project: Name of Project   	: COMPLETION OF CIVIC CETER    Location                 	:  LG</t>
  </si>
  <si>
    <t xml:space="preserve"> 1.Meals and AM &amp; PM Snacks on August 17 - 21, 2020 (5 Days) for 69 pax 2. Meals and AM &amp; PM Snacks on August 22, 2020  (1 Day) for 14 pax *Free Flowing of Coffee *Other offers, pls. specify __________________ __________________</t>
  </si>
  <si>
    <t xml:space="preserve"> Brief Description: Rehabilitation/Improvement of Gymnasium which involves project billboard/signage, safety &amp; health, temporary facility, reinforced concrete slab, tile works, grilles, and fire safety Equipment to be used:  Concrete Bagger Mixer and Concr</t>
  </si>
  <si>
    <t xml:space="preserve"> INVITATION TO BID PURCHASE OF SUPPLIES AND MATERIALS TO BE USED DURING RESPONSE OPERATIONS OF CDRRMO The City Government of San Jose del Monte, Bulacan, thru its Bids and Awards Committee (BAC), through the Sangguniang Panlungsod (SP) Appropriation Ordina</t>
  </si>
  <si>
    <t xml:space="preserve"> Republic of the Philippines Province of Iloilo Municipality of Ajuy Barangay of Lanjagan BIDS AND AWARD COMMITTEE INVITATION TO BID 	The Barangay of Lanjagan, Ajuy, Iloilo invites Accredited Supplier to apply for eligibility and to bid for the Constructio</t>
  </si>
  <si>
    <t xml:space="preserve"> Brief Description: Construction of School Building which involves project billboard/signage, safety &amp; health, temporary facility, A. School Building; layout and excavation, embankment (loose volume), soil poisoning and termite control, reinforcing steel b</t>
  </si>
  <si>
    <t xml:space="preserve"> OPENING OF BIDS IN DSWD FO IX, ZAMBOANGA CITY,					 DELIVERY IN DSWD FO IX ZAMBOANGA CITY					 PROCUREMENT FOR THE FF.:					 					 12 PCS.- 12 VOLTS BATTERY 11 PLATE ADVANCE -GOOD QUALITY MAINTENANCE FREE **************************************************</t>
  </si>
  <si>
    <t xml:space="preserve"> 4th level Training on 2020 CPH in the Mun. of Asuncion 1.Meals and AM &amp; PM Snacks       on  August 17 – 21, 2020     (5 Days) for 71 pax 2. Meals and AM &amp; PM Snacks  on August 22, 2020 (1 Day) for 15 pax *Free Flowing of Coffee *Other offers, pls. specify</t>
  </si>
  <si>
    <t xml:space="preserve"> The DPWH-North Manila District Engineering Office, through its Bids and Awards Committee (BAC) invites contractors to submit bids for the following Contract: 1.	  Contract I.D. No. 20OE0207   Contract Name: Installation of Road Safety Devices on MC Arthur</t>
  </si>
  <si>
    <t xml:space="preserve"> PHO-NC-2020-128 PR2020-176 REQUEST FOR QUOTATION FOR THE PROCUREMENT OF ANTI-RABIES SERUM AND PURIFIED RABIES VACCINE FOR PATIENTS USE AT CONG. SIMEON G. TORIBIO MEMORIAL HOSPITAL, CARMEN, BOHOL COST OF CANVASS: P 400.00</t>
  </si>
  <si>
    <t xml:space="preserve"> Purchase of Materials for Construction of Stairway in Hagdan Coast Way</t>
  </si>
  <si>
    <t xml:space="preserve"> Brief Description: Construction/Rehabilitation/Improvement of Multi-Purpose Pavement which involves barricades, removal of existing concrete pavement, excavation,  sub-grade preparation, aggregate sub base course, portland cement concrete pavement, road s</t>
  </si>
  <si>
    <t xml:space="preserve"> Construction materials and Supplies</t>
  </si>
  <si>
    <t xml:space="preserve"> PROCUREMENT TERMS AND CONDITIONS						 						 1. The Total Approved Budget for the Contract (ABC) is One Hundred Twenty Thousand Three Hundred Seventy &amp; 25/100 Only						     (Php. 120,370.25) 						 2.  Price Quotation should be inclusive of tax obligati</t>
  </si>
  <si>
    <t xml:space="preserve"> BEMO-NC-2020-0342 REQUEST FOR QUOTATION FOR THE PROCUREMENT OF LABOR, MATERIALS, AND EQUIPMENT FOR THE CONSTRUCTION OF NURSERY AND VERMI SHED HOUSES AT BIO-DIVERSITY COMPLEX, ROXAS, BILAR, BOHOL COST OF CANVASS: P 400.00</t>
  </si>
  <si>
    <t xml:space="preserve"> Republic of the Philippines														 PROVINCE OF ZAMBOANGA SIBUGAY														 Municipality of Payao														 														 INVITATION TO BID														 										PR2020-06-29-082				 The Local Government Unit of Payao, Zamboanga Sibugay, </t>
  </si>
  <si>
    <t xml:space="preserve"> Republic of the Philippines Province of Iloilo Municipality of Lambunao Office of the Bids &amp; Awards Committee INVITATION TO BID/ REQUEST FOR PRICE QUOTATION Name of Project: Purchase of Generator Set to for the use of Municipal Slaughterhouse Location: La</t>
  </si>
  <si>
    <t xml:space="preserve"> Republic of the Philippines Province of Iloilo Municipality of Ajuy Barangay of Progreso BIDS AND AWARD COMMITTEE INVITATION TO BID 	The Barangay of Progreso, Ajuy, Iloilo invites Accredited Supplier to apply for eligibility and to bid for the Covering of</t>
  </si>
  <si>
    <t xml:space="preserve"> 2,325.58 liters - Diesel 520.83  liters   - Gasoline</t>
  </si>
  <si>
    <t xml:space="preserve"> Furnishing &amp; delivery of construction materials , labor, tools and equipment and other incidentals only. Schedule of Activities: Issuance of Bid Documents - July 1-22, 2020 Submission of Bids - on or before July 22, 2020; 1:00 p.m. Bid Opening - July 22, </t>
  </si>
  <si>
    <t xml:space="preserve"> Quantity            Unit              Item Description    400                pcs           3/16 Ordinary Plywood</t>
  </si>
  <si>
    <t xml:space="preserve"> INVITATION TO BID PURCHASE OF HEAVY DUTY PAYLOADER EQUIPMENT TO BE USED DURING RESPONSE, CLEARING &amp; DISASTER OPERATIONS OF CDRRMO The City Government of San Jose del Monte, Bulacan, thru its Bids and Awards Committee (BAC), through the Sangguniang Panlung</t>
  </si>
  <si>
    <t xml:space="preserve"> Brief Description: Construction of Day Care Center which involves hauling of materials, layout and excavation, embankment, soil poisoning and termite control, reinforcing steel bars, structural concrete, carpentry works, masonry works, doors &amp; windows, wi</t>
  </si>
  <si>
    <t xml:space="preserve"> Brief Description: Construction of Waiting Shed with Steel Bench at Sta. Barbara Elementary School, Sta. Barbara (Revised 2) / Improvement of PS Zamboanga Sub- Depot Building at Zone IV (Revised)  which involves layout and excavation, filling materials, r</t>
  </si>
  <si>
    <t xml:space="preserve"> Republic of the Philippines Province of Leyte Municipality of Hilongos INVITATION TO BID FOR THE PURCHASE OF 15 TELEVISION SETS AS PART OF THE E-LEARNING PROGRAM OF THE DISTRICT FOR THE 15 GRADE 1 CLASSES 1.  The Local Government Unit of Hilongos, through</t>
  </si>
  <si>
    <t xml:space="preserve"> Republic of the Philippines DEPARTMENT OF PUBLIC WORKS AND HIGHWAYS CAMARINES SUR 5TH   DISTRICT ENGINEERING OFFICE REGIONAL OFFICE V Sta. Teresita, Baao, Camarines Sur Request for Expression of Interest (REOI) Contract ID No.	20CSFN0001 Contract Name	Con</t>
  </si>
  <si>
    <t xml:space="preserve"> Republic of the Philippines Dagupan City BIDS AND AWARDS COMMITTEE INVITATION TO BID For the Procurement of Ten (10) units mobile phones for office use (PR no.: 2020-00760-035) 1.	The City Government of Dagupan, through the 2020 Approved ANNUAL BUDGET int</t>
  </si>
  <si>
    <t xml:space="preserve"> Flood Control</t>
  </si>
  <si>
    <t xml:space="preserve"> 1.Meals and AM &amp; PM Snacks on   August 17 - 21, 2020 for 40 pax (5 Days) 2. Meals and AM &amp; PM Snacks  on  August 22, 2020  (1 Day) for 10 pax *Free Flowing of Coffee *Other offers, pls. specify</t>
  </si>
  <si>
    <t xml:space="preserve"> CONSTRUCTION OF GATE</t>
  </si>
  <si>
    <t xml:space="preserve"> INVITATION TO BID COMPLETION OF SAN RAFAEL HIGH SCHOOL BUILDING (CONSTRUCTION OF COMFORT ROOM), BRGY. SAN RAFAEL III, CITY OF SAN JOSE DEL MONTE, BULACAN The City Government of San Jose del Monte, Bulacan, thru its Bids and Awards Committee (BAC), through</t>
  </si>
  <si>
    <t xml:space="preserve"> Please download PDF @ associated components for  more information * LOT BIDDING*</t>
  </si>
  <si>
    <t xml:space="preserve"> MATERIALS AND EQUIPMENT FOR SCHOOL NETWORK MANAGEMENT</t>
  </si>
  <si>
    <t xml:space="preserve"> Republic of the Philippines Province of Iloilo Municipality of Ajuy Barangay of Agbobolo BIDS AND AWARD COMMITTEE INVITATION TO BID 	The Barangay of Agbobolo, Ajuy, Iloilo invites Accredited Supplier to apply for eligibility and to bid for the Constructio</t>
  </si>
  <si>
    <t xml:space="preserve"> ARTICLES 					      QTY	         UNIT 	 Computer Set  							1unit 	 Specs: 								 	 Intel Core i5 - 7500 3.40ghz 6m (Kaby Lake) 								 	 Mobo: h170 D3H LGA 1151 								 	 Memory: 8Gb DDR4 Hyer X 								 	 12Gb SSD 								 	 HDD WD Black 500Gb sat </t>
  </si>
  <si>
    <t xml:space="preserve"> Invitation to Bid for the Embankment in PCDP Compound The Department of Social Welfare and Development (DSWD) Field Office IX, through the 2020 General Appropriation Act intends to apply the sum of Six Hundred Sixteen Thousand Six Hundred Seventy-Four Pes</t>
  </si>
  <si>
    <t xml:space="preserve"> INVITATION TO BID PURCHASE OF VARIOUS EQUIPMENTS TO BE USED DURING RESPONSE OPERATIONS OF CDRRMO  The City Government of San Jose del Monte, Bulacan, thru its Bids and Awards Committee (BAC), through the Sangguniang Panlungsod (SP) Appropriation Ordinance</t>
  </si>
  <si>
    <t xml:space="preserve"> Brief Description: Installation of Streetlights which involves project billboard/signage, safety &amp; health, temporary facility, A. Solar Foundation; layout and excavation, reinforcing steel bars, structural concreted, B. Solar Streetlight and Electrical Wo</t>
  </si>
  <si>
    <t xml:space="preserve"> The PHILIPPINE SCIENCE HIGH SCHOOL - MIMAROPA REGION CAMPUS (PSHS-MRC) intends to apply the sum of ONE HUNDRED FORTY-SIX THOUSAND NINE HUNDRED NINETY SEVEN PESOS (Php146,997.00) being the Approved Budget for the Contract (ABC) to pay for the contract for </t>
  </si>
  <si>
    <t xml:space="preserve"> 1.Meals and AM &amp; PM Snacks on August 17 – 21, 2020 (5 Days) for 221 pax 2. Meals and AM &amp; PM Snacks on August 22, 2020  (1 Day) for 39 pax *Free Flowing of Coffee *Other offers, pls. specify __________________</t>
  </si>
  <si>
    <t xml:space="preserve"> Republic of the Philippines Province of Southern Leyte MUNICIPALITY OF SAINT BERNARD BIDS AND AWARDS COMMITTEE INVITATION TO BID FOR CONSTRUCTION OF ESWM PROCESSING PLANT PHASE 2 BAC-SBSL-MEO-2020-13 1.	The Municipality of Saint Bernard, Southern Leyte, t</t>
  </si>
  <si>
    <t xml:space="preserve"> Please download PDF @ associated components for more information * LOT BIDDING*</t>
  </si>
  <si>
    <t xml:space="preserve"> REQUEST FOR EXPRESSION OF INTEREST FOR  SUBDIVISION SURVEY OF COLLECTIVE CLOA 1. The DEPARTMENT OF AGRARIAN REFORM, through the GOVERNMENT APPROPRIATIONS ACT 2020 intends to apply the sum of TWO MILLION ONE HUNDRED EIGTHY EIGHT THOUSAND PESOS (Php. 2,188,</t>
  </si>
  <si>
    <t xml:space="preserve"> 1.Meals and AM &amp; PM Snacks on August 17 – 21, 2020 (5 Days) for 46 pax 2. Meals and AM &amp; PM Snacks on August 22, 2020  (1 Day) for 11 pax *Free Flowing of Coffee *Other offers, pls. specify __________________</t>
  </si>
  <si>
    <t xml:space="preserve"> INVITATION TO BID FOR Repair and Maintenance – Infrastructure Assets – Power Supply Systems  (Name of Project)    1.	The CITY GOVERNMENT OF ZAMBOANGA, through the General Fund intends to apply the sum of ONE MILLION NINETY SIX THOUSAND FIVE HUNDRED PESOS </t>
  </si>
  <si>
    <t xml:space="preserve"> Construction of school building</t>
  </si>
  <si>
    <t xml:space="preserve"> INVITATION TO BID The Municipal Government of Laoac, Pangasinan through its Bids and Awards Committee (BAC), invites suppliers/ manufacturers/distributors/contractors to bid for the hereunder contract/s: Name of Project	: INSTALLATION AND REHABILITATION O</t>
  </si>
  <si>
    <t xml:space="preserve"> INVITATION TO BID The Municipal Government of Laoac, Pangasinan through its Bids and Awards Committee (BAC), invites suppliers/ manufacturers/distributors/contractors to bid for the hereunder contract/s: Name of Project	: PROCUREMENT OF 2 SETS OF DESKTOP </t>
  </si>
  <si>
    <t xml:space="preserve"> INVITATION TO BID PURCHASE OF ANTI-RABIES VACCINE FOR THE USE OF OSPITAL NG LUNGSOD NG SAN JOSE DEL MONTE The City Government of San Jose del Monte, Bulacan, thru its Bids and Awards Committee (BAC), through the Sangguniang Panlungsod (SP) Appropriation O</t>
  </si>
  <si>
    <t xml:space="preserve"> Brief Description: Construction of Open Stage and Comfort Room hauling of materials, layout and excavation, embankment, soil poisoning and termite control, reinforcing steel bars, structural concrete, carpentry works, masonry works, doors and windows,  pl</t>
  </si>
  <si>
    <t xml:space="preserve"> Please see attached file for reference.</t>
  </si>
  <si>
    <t xml:space="preserve"> CONCRETING OF FMR SAN VICENTE - AN ANONAS ROAD, BRGY. SAN VICENTE, SAN MANUEL, PANGASINAN</t>
  </si>
  <si>
    <t xml:space="preserve"> INVITATION TO BID PURCHASE OF HIV MOBILE CLINIC FOR THE USE OF HIV –AIDS PROGRAM OF CITY HEALTH OFFICE The City Government of San Jose del Monte, Bulacan, thru its Bids and Awards Committee (BAC), through the Sangguniang Panlungsod (SP) Appropriation Ordi</t>
  </si>
  <si>
    <t xml:space="preserve"> Request for Quotation (RFQ) Request for Quotation No.: 2020-06-091-GS Date Published: June 30, 2020 Closing Date: July 8, 2020 at 10:00 AM, PST (refer to BAC Office Wall Clock) Opening of Quotation: July 8, 2020 at 10:30 AM, PST Title of the Projects: Pro</t>
  </si>
  <si>
    <t xml:space="preserve"> Brief Description: Construction/Rehabilitation/Improvement of Fence  which involves project billboard/signage, safety &amp; health, temporary facility, demolition works, A.Const. of Fence; layout and excavation, reinforcing steel bar, structural concrete,maso</t>
  </si>
  <si>
    <t xml:space="preserve"> INVITATION TO BID PURCHASE OF VARIOUS MEDICAL SUPPLIES AND MATERIALS TO BE USED DURING RESPONSE OPERATIONS OF CDRRMO The City Government of San Jose del Monte, Bulacan, thru its Bids and Awards Committee (BAC), through the Sangguniang Panlungsod (SP) Appr</t>
  </si>
  <si>
    <t xml:space="preserve"> Republic of the Philippines Bangsamoro Autonomous Region in Muslim Mindanao Provincial Government of Maguindanao BIDS AND AWARDS COMMITTEE Buluan, Maguindanao SUPPLY AND DELIVERY OF PROTECTIVE EQUIPMENT (PPE’S), HYGIENE KIT AND VITAMINS FOR THE MUSLIM REL</t>
  </si>
  <si>
    <t xml:space="preserve"> Republic of the Philippines Bangsamoro Autonomous Region in Muslim Mindanao Provincial Government of Maguindanao BIDS AND AWARDS COMMITTEE Buluan, Maguindanao INVITATION TO BID FOR SUPPLY AND DELIVERY OF PROTECTIVE EQUIPMENT (PPE’S), HYGIENE KIT AND VITAM</t>
  </si>
  <si>
    <t xml:space="preserve"> 1. Meals and AM &amp; PM Snacks on August 10-14, 2020 (5 Days) for 88 pax 2. Meals and AM &amp; PM Snacks on August 15, 2020 (1 Day) for 17 pax *Free Flowing of Coffee *Other offers, pls. specify __________________ __________________</t>
  </si>
  <si>
    <t xml:space="preserve"> QUANTITY-----UNIT-----ITEM 1---------------Ls--------Mobilization &amp; Demobilization  2,760----------sq.m.----Clearing &amp; Grubbing 800-----------cu.m------Aggregate Sub-base Coarse 3,250---------cu.m------Roadway Excavation  2,300---------cu.m------PCC pAVEM</t>
  </si>
  <si>
    <t xml:space="preserve"> INVITATION TO BID PURCHASE OF I.V. FLUIDS FOR THE USE OF OSPITAL NG LUNGSOD NG SAN JOSE DEL MONTE The City Government of San Jose del Monte, Bulacan, thru its Bids and Awards Committee (BAC), through the Sangguniang Panlungsod (SP) Appropriation Ordinance</t>
  </si>
  <si>
    <t xml:space="preserve"> Republic of the Philippines MUNICIPALITY OF ECHAGUE Province of Isabela INVITATION TO BID FOR  THE  PROCUREMENT OF  BUSINESS PLATES  AND TRICYCLE STICKERS 1.	The Local Government Unit , through  the  GENERAL   FUND  Of  2020  intends to apply the sum of  </t>
  </si>
  <si>
    <t xml:space="preserve"> 1.Meals and AM &amp; PM Snacks on August 10 - 14, 2020 (5 Days) for 137 pax 2. Meals and AM &amp; PM Snacks on August 15, 2020 (1 Day) for 25 pax *Free Flowing of Coffee *Other offers, pls. specify __________________ ________________</t>
  </si>
  <si>
    <t xml:space="preserve"> usb flash drive 32 gb          Newsprint 60gsm , legal size          Correction Tape 5mm          Envelope, mailing,white, 80gsm (-5%)          Flag  (Philippine Flag)          Folder, tagboard, long          Paper multicopy, legal size, 70 gsm           </t>
  </si>
  <si>
    <t xml:space="preserve"> Republic of the Philippines Province of Leyte Municipality of Hilongos INVITATION TO BID FOR THE PURCHASE OF 3 IN 1 PRINTER FOR THE EBEIS ROOM OF CONCEPCION CENTRAL SCHOOL 1.  The Local Government Unit of Hilongos, through SEF-CURRENT APPROPRIATION intend</t>
  </si>
  <si>
    <t xml:space="preserve"> Item Description        Quantity     Unit Portland Cement      5     bags Washed Sand       1 cum Mix Gravel 3/4"-1 size     1      cum Deformed Steel Bar 10mm   14 pcs GI Wire No. 16 4 kgs Marine Plywood 1/2 Thick Good lumber  2 bundles CW nail #1 1/2   </t>
  </si>
  <si>
    <t xml:space="preserve"> INVITATION TO BID PURCHASE OF LABORATORY REAGENT FOR THE USE OF OSPITAL NG LUNGSOD NG SAN JOSE DEL MONTE The City Government of San Jose del Monte, Bulacan, thru its Bids and Awards Committee (BAC), through the Sangguniang Panlungsod (SP) Appropriation Or</t>
  </si>
  <si>
    <t xml:space="preserve"> 1	Ascorbic Acid (Vitamin C) 100 mg/5 mL, 60 mL Syrup (144 bottles/box) 2	Ascorbic Acid Tablet 500mg  (100 tab/box) 3	Atorvastatin 20mg tablet (100 tablet/box) 4	Cefalexin 125mg/5ml in 60ml bottle  (144 bottles/box) 5	Cefalexin 500mg capsule (100capsule/bo</t>
  </si>
  <si>
    <t xml:space="preserve"> 666 pcs. MEALS AND SNACKS</t>
  </si>
  <si>
    <t xml:space="preserve"> INVITATION TO BID SUPPLY AND DELIVERY OF FUEL (DIESEL AND GASOLINE) FOR PNP PATROL VEHICLES 1.	The Local Government Unit of Cabadbaran City through the PEACE &amp; ORDER FUND intends to apply the sum of THREE HUNDRED THIRTY-FIVE THOUSAND EIGHT HUNDRED PESOS O</t>
  </si>
  <si>
    <t xml:space="preserve"> 1.Meals and AM &amp; PM Snacks      on August 10 - 14, 2020   (5 Days) for 87 pax 2.Meals and AM &amp; PM Snacks      on August 15, 2020 (1 Day) for 17 pax *Free Flowing of Coffee *Other offers, pls. specify __________________ __________________</t>
  </si>
  <si>
    <t xml:space="preserve"> 17 pcs Rechargeable Flashlights 1 roll Nylon Rope #24 1 set BP apparatus with stethoscope (heavy duty) 1 unit nebulizer 1 unit megaphone (rechargeable) 1 set First aid kit 3 gals Alcohol 70% with moisturizer 1 pc Tent Maruyama 20 x 30 1 unit Therml scanne</t>
  </si>
  <si>
    <t xml:space="preserve"> Brief Description: Construction of Fence which involves project billboatd/signage, safety &amp; health, temporary facility, A. Const. of Fence; layout &amp; excavation, reinforcing steel bars, structural concrete, masonry works, painting works , B. Const. of Main</t>
  </si>
  <si>
    <t xml:space="preserve"> Invitation to Bid for Improvement of Health Center The Barangay Sta. Cruz, Diplahan, Zamboanga Sibugay, through the Barangay Funds intends to apply the sum of Two Hundred Thousand Pesos Only (Php. 200,000.00) being the Approved Budget for the Contract (AB</t>
  </si>
  <si>
    <t xml:space="preserve"> Description   Republic of the Philippines Province of Negros Occidental MUNICIPALITY OF HINOBA-AN Bids and Awards Committee ooOoo REQUEST FOR QUOTATION Date : June 30, 2020 RFQ # : 926 Please quote your lowest price on the item (s) below, subject to the c</t>
  </si>
  <si>
    <t xml:space="preserve"> REHABILITATION OF STAGE AT SAN ROQUE ELEMENTARY SCHOOL BARANGAY SAN ROQUE</t>
  </si>
  <si>
    <t xml:space="preserve"> 100 pads, CTG Tracing Paper - 150mm x 90mm - compatible to Star5000D</t>
  </si>
  <si>
    <t xml:space="preserve"> Request for Quotation (RFQ) Request for Quotation No.: 2020-06-092-GS Date Published: June 30, 2020 Closing Date: July 8, 2020 at 10:00 AM, PST (refer to BAC Office Wall Clock) Opening of Quotation: July 8, 2020 at 10:30 AM, PST Title of the Projects: Pro</t>
  </si>
  <si>
    <t xml:space="preserve"> INVITATION TO BID PURCHASE OF VARIOUS MEDICINES FOR THE USE OF CITY HEALTH CENTERS The City Government of San Jose del Monte, Bulacan, thru its Bids and Awards Committee (BAC), through the Sangguniang Panlungsod (SP) Appropriation Ordinance of 2020, inten</t>
  </si>
  <si>
    <t xml:space="preserve"> 20-06-217 Procurement of Various Drugs and Medicines</t>
  </si>
  <si>
    <t xml:space="preserve"> INVITATION TO BID COMPLETION OF MULAWIN HIGH SCHOOL BUILDING, (CONSTRUCTION OF COMFORT ROOM), BRGY. FRANCISCO HOMES- MULAWIN, CITY OF SAN JOSE DEL MONTE, BULACAN The City Government of San Jose del Monte, Bulacan, thru its Bids and Awards Committee (BAC),</t>
  </si>
  <si>
    <t xml:space="preserve"> 1.Meals and AM &amp; PM Snacks on    August  10 - 14, 2020  (5 Days) for 41 pax 2. Meals and AM &amp; PM Snacks on August 15, 2020  (1 Day) for 10 pax *Free Flowing of Coffee *Other offers, pls. specify __________________ __________________</t>
  </si>
  <si>
    <t xml:space="preserve"> Republic of the Philippines Batangas City Invitation to Apply for Eligibility and to Bid The Barangay Government of Barangay San Miguel, Batangas City intends to apply the sum of One Hundred Two Thousand Pesos Only (Php 102,000.00) broken down as follow: </t>
  </si>
  <si>
    <t xml:space="preserve"> Vehicle Parts</t>
  </si>
  <si>
    <t xml:space="preserve"> Please download PDF @associated for more information * LOT BIDDING*</t>
  </si>
  <si>
    <t xml:space="preserve"> Supply of labor, chemicals, equipment including the technical supervision necessary for the disinfection  services of LLDA Green Building located at National Ecology Center, East Avenue, Diliman Quezon City which includes the following areas: Common Area,</t>
  </si>
  <si>
    <t xml:space="preserve"> The Municipal Government of Aloguinsan invites prospective bidders to bid for the project Supply and Delivery of Tires for LGU Vehicles . Source of Fund: General Fund FY 2020 ABC: Php 749,000.00 The complete schedule of activities will be as follows: 1. S</t>
  </si>
  <si>
    <t xml:space="preserve"> Supply and Delivery of CM for the improvement of Pangawan-Balangabang and Tidang Village-Amelong Road, Kayapa NV</t>
  </si>
  <si>
    <t xml:space="preserve"> Road Concreting  - 4m x 0.20m x 22</t>
  </si>
  <si>
    <t xml:space="preserve"> INVITATION TO BID SUPPLY AND DELIVERY OF CORN SEEDS (HYBRID) FOR CORN PRODUCTION PROGRAM 1.	The Local Government Unit of Cabadbaran City through the GENERAL FUND intends to apply the sum of THREE HUNDRED THIRTEEN THOUSAND FIVE HUNDRED PESOS ONLY (P 313,50</t>
  </si>
  <si>
    <t xml:space="preserve"> ARTICLE AND DESCRIPTION                  										 ITEM	QTY	UNIT						CEILING 		UNIT PRICE			TOTAL  								PRICE					 			Office:  City General Services Office					PR No. 848					 			Charge to: Information and Technology Equipment					OBR No. 100-2006-05</t>
  </si>
  <si>
    <t xml:space="preserve"> INVITATION TO BID PURCHASE OF ANTIBACTERIAL DRUGS AND MEDICINES FOR THE USE OF OSPITAL NG LUNGSOD NG SAN JOSE DEL MONTE The City Government of San Jose del Monte, Bulacan, thru its Bids and Awards Committee (BAC), through the Sangguniang Panlungsod (SP) A</t>
  </si>
  <si>
    <t xml:space="preserve"> PIPELINES 15 pcs 160MM UPVC PIPE S-10 W/ RR 8 pcs 6" Dia. G.I. PIPE STANDARD SCHEDULE 40 WITH COUPLINGS FITTINGS AND APPURTENANCES 8 pcs 150MM X 45 DEG. C.I. BEND M/M W/ BNG FOR G.I. 1 pc   150MM GATE VALVE F/F w/ BNG 2 pcs 150MM FLANGE ADAPTOR F/M W/ BNG</t>
  </si>
  <si>
    <t xml:space="preserve"> 1  unit  Air conditioner, Floor Standing Type, Inverter, 3 tonners            Free 10 ft. Copper Tube, including Installation 1  unit  Air conditioner, Split Type, Inverter, 2 HP            Free 10 ft. Copper Tube, including Installation 2  unit  Water Di</t>
  </si>
  <si>
    <t xml:space="preserve"> 330-pax-Lunch and snacks</t>
  </si>
  <si>
    <t xml:space="preserve"> Republic of the Philippines Bangsamoro Autonomous Region in Muslim Mindanao Provincial Government of Maguindanao BIDS AND AWARDS COMMITTEE Buluan, Maguindanao SUPPLY AND DELIVERY OF PROTECTIVE EQUIPMENT (PPE’S), HYGIENE KIT AND VITAMINS (SUPPORT OF AFP) 1</t>
  </si>
  <si>
    <t xml:space="preserve"> INVITATION TO BID NO. GOODS-030-2020 The Provincial Government of Bataan, through the General Fund030 intends to apply the below listed procurement w/ corresponding Approved Budget of the Contract (ABC). Bids received in excess of the ABC shall be automat</t>
  </si>
  <si>
    <t xml:space="preserve"> Disinfection Sprayer- 65 units Description :   -  16L Battery/Manual (2in1) Knapsack Sprayer</t>
  </si>
  <si>
    <t xml:space="preserve"> For complete details please see attached file.</t>
  </si>
  <si>
    <t xml:space="preserve"> RAIN BOOTS &amp; RAINCOATS FOR BARANGAY TANODS</t>
  </si>
  <si>
    <t xml:space="preserve"> Notice is given that the North Manila Engineering District Will Conduct an Alternative Method of Procurement Thru Small Value Procurement in accordance with Section 53.9 of the Revised Implementing Rules and Regulation of RA 9184. Contractors/Suppliers of</t>
  </si>
  <si>
    <t xml:space="preserve"> Brief Description: Site Development which involves project billboard/signage, temporary facility, safety &amp; health, mobilization and demobilization, barricades, subgrade preparation, aggregate subbase course (compacted volume), portland cement  concrete pa</t>
  </si>
  <si>
    <t xml:space="preserve"> INVITATION TO BID SUPPLY AND DELIVERY OF IT EQUIPMENTS (COMPUTER, LAPTOP, PRINTER) FOR VARIOUS OFFICES 1.	The Local Government Unit of Cabadbaran City through the GENERAL FUND intends to apply the sum of TWO HUNDRED SEVENTY-ONE THOUSAND PESOS ONLY (P 271,</t>
  </si>
  <si>
    <t xml:space="preserve"> Municipality of Looc Invitation to Bid for Construction of Covered Court in Tabao-Ambil 1.	The Municipality of Looc, through the OM/CO Supple 2 intends to apply the sum of Php 6,500,000.00 being the Approved Budget for the Contract (ABC) to payments under</t>
  </si>
  <si>
    <t xml:space="preserve"> Laboratory Supplies</t>
  </si>
  <si>
    <t xml:space="preserve"> MUNICIPAL GOVERNMENT OF LAZI						             	  Project Reference Number: _________________  	              	  Name of the Project: Construction of Guardhouse 		    		 in Simacolong Standard Form Number:  SF-GOOD-05					                                 </t>
  </si>
  <si>
    <t xml:space="preserve"> 1.Meals and AM &amp; PM Snacks on  August  24 - 28, 2020  (5 Days)  for 315 poax 2. Meals and AM &amp; PM Snacks on August 29, 2020  (1 Day) for 54 pax *Free Flowing of Coffee *Other offers, pls. specify __________________ __________________</t>
  </si>
  <si>
    <t xml:space="preserve"> 32"</t>
  </si>
  <si>
    <t xml:space="preserve"> INVITATION TO BID PURCHASE OF EMERGENCY VEHICLE TO BE USED DURING RESPONSE OPERATIONS OF CDRRMO The City Government of San Jose del Monte, Bulacan, thru its Bids and Awards Committee (BAC), through the Sangguniang Panlungsod (SP) Appropriation Ordinance o</t>
  </si>
  <si>
    <t xml:space="preserve"> 1.Meals and AM &amp; PM Snacks on April 20 – April 24, 2020 (5 Days) for 45 pax 2. Meals and AM &amp; PM Snacks on April 25, 2020 (1 Day) for 8 pax *Free Flowing of Coffee *Other offers, pls. specify __________________ __________________</t>
  </si>
  <si>
    <t xml:space="preserve"> 1.Meals and AM &amp; PM Snacks on April 20 – April 24, 2020 (5 Days) for 62 pax 2. Meals and AM &amp; PM Snacks on April 25, 2020 (1 Day) for 12 pax *Free Flowing of Coffee *Other offers, pls. specify __________________ __________________</t>
  </si>
  <si>
    <t xml:space="preserve"> Brief Description: Concreting of Road which involves barricades, removal of existing concrete pavement, excavation, sub-grade preparation, aggregate sub base course (compacted volume), portland cement concrete pavement, road shouldering (loose volume), pr</t>
  </si>
  <si>
    <t xml:space="preserve"> The Bureau of Customs (BOC) through the authorized appropriations under the CY 2020 General Appropriations Act intends to apply the sum of  Three Million Five Hundred Thousand Pesos (Php3,500,000.00) being the Approved Budget for the Contract (ABC) to pay</t>
  </si>
  <si>
    <t xml:space="preserve"> ROAD CONCRETING  - 4m x 0.15m x 30m</t>
  </si>
  <si>
    <t xml:space="preserve"> Including installation</t>
  </si>
  <si>
    <t xml:space="preserve"> Brief Description: Construction of Covered Walk which involves lay-out and excavation, reinforcing steel bars, structural concrete, steel works, roofing works, painting works, temporary facility, safety &amp; health and project billboard/signage. Amount of Bi</t>
  </si>
  <si>
    <t xml:space="preserve"> Construction Materials for July 2020 (sand, gravel, cement, CBH#4 and the like)</t>
  </si>
  <si>
    <t xml:space="preserve"> Brief Description: Improvement of Slope Protection which involves excavation, reinforcing steel, structural concrete, rubble concrete, concrete piles (Cast-In-Place), project billboard/signage, safety &amp; health and temporary facility. Equipment to be used:</t>
  </si>
  <si>
    <t xml:space="preserve"> ROAD CONCRETING    - 4M X 0.20m x 22m</t>
  </si>
  <si>
    <t xml:space="preserve"> INVITATION TO BID SUPPLY AND DELIVERY OF THREE (3) UNITS SINGLE MOTORCYCLE W/ ACCESSORIES FOR VARIOUS OFFICES 1.	The Local Government Unit of Cabadbaran City through the GENERAL FUND intends to apply the sum of TWO HUNDRED SEVENTY THOUSAND PESOS ONLY (P 2</t>
  </si>
  <si>
    <t xml:space="preserve"> 1 unit Computer Desk Top with PRINTER, Computer table and Chair Specification: Processor 9th Egn. CORE i3 Memory 8GB, DDR 4 Storage SSD 512GB LED Monitor 19 inches Printer 3 in 1 functionality 1 Unit LCD/DLP Multi-media Projector with Tripod, ceiling wall</t>
  </si>
  <si>
    <t xml:space="preserve"> 1 LOT of: 1 Unit RJ10 (500-800watts) Portable Speaker w/ built-in wheels and extension Handlles  Battery Powered 								  2 Ways Speaker/100watts peak 								  3 channel mixer inegrated 								  Bluetooth Music Streaming  								  2 Band EQ + Reverb E</t>
  </si>
  <si>
    <t xml:space="preserve"> 2 Pre-Starter 4 Pre-Starter 12 Starter 42 Grower 41 Finisher</t>
  </si>
  <si>
    <t xml:space="preserve"> Republic of the Philippines PROVINCIAL GOVERNMENT OF EASTERN SAMAR Capitol Building, Borongan, Eastern Samar, 6800 Tel No. (055)-560-8312 E-mail Address: esamar.bac@gmail.com BIDS AND AWARDS COMMITTEE (BAC) INVITATION TO BID FOR THE  PROCUREMENT OF COMPAC</t>
  </si>
  <si>
    <t xml:space="preserve"> 1 UNIT SOUND SYSTEM, LAPEL MICROPHONE: CLEAR AUDIO UNIT AND LOW HANDLING NOISE, FREQUENCY RANGE; 20 Hz- 20 KHz, OMNIDIRECTIONAL-PICK UP FROM ALL SIDES EQUALLY . 1 UNIT SOUND SYSTEM, PUBLIC ADDRESS SYSTEM; PORTABLE microphone/line input: electronically bal</t>
  </si>
  <si>
    <t xml:space="preserve"> One (1) Unit Printer w/ Scanner</t>
  </si>
  <si>
    <t xml:space="preserve"> Sound System</t>
  </si>
  <si>
    <t xml:space="preserve"> 1.  1 set Computer Set      Intel Core i5      Processor      8GB Memory      1TB HDD      2GB DDR3 NVIDIA GT 710      DVDRW with Monitor 23" 2.  1 unit Computer Table &amp; Chair 3.  1 unit Printer 3 in 1      Wifi ready    ---------------Nothing Follows----</t>
  </si>
  <si>
    <t xml:space="preserve"> 1 unit Vaccine Refrigerator KDH</t>
  </si>
  <si>
    <t xml:space="preserve"> INVITATION TO BID FOR  Procurement of One Unit Brand New Pick-Up Type Vehicle The Municipality of Banaybanay, through the 2020 Annual Budget intends to apply the sum of One Million Two Hundred Fifty Thousand Pesos (Php 1,250,000.00) being the Approved Bud</t>
  </si>
  <si>
    <t xml:space="preserve"> Republic of the Philippines     Province of Oriental Mindoro Gloria, Oriental Mindoro BARANGAY PAPANDUNGIN INVITATION TO BID ITB No. 2020-001  SUPPLY AND DELIVERY OF HARDWARE MATERIALS FOR THE CONSTRUCTION OF BRGY. HEALTH STATION BUILDING 1. The Barangay </t>
  </si>
  <si>
    <t xml:space="preserve"> X-RAY MACHINE (QUANTUM BRAND FROM USA) SCOPE  PREVENTIVE MAINTENANCE SERVICE: -ADJUSTMENT ABD KUBRICATION OF MECHANICAL PARTS ON THE X-RAY SYSTEM MECHANISM -CHECK –UP OF HIGH VOLTAGE GENERATOR HIGH TENSION CABLES,X-RAY TUBE AND REPLACEMENT OF HIGH VOLTAGE</t>
  </si>
  <si>
    <t xml:space="preserve"> Republic of the Philippines DEPARTMENT OF PUBLIC WORKS AND HIGHWAYS SARANGANI 	DISTRICT ENGINEERING OFFICE	 REGIONAL OFFICE XII Alabel, Sarangani Province INVITATION TO BID FOR 1.	20GME0047 –	Lease of One (1) Unit Service Vehicle for Eleven (11)  days for</t>
  </si>
  <si>
    <t xml:space="preserve"> (PLEASE SEE ATTACHED ASSOCIATED COMPONENT) please send Request for Quotation  - msbslh14@gmail.com Contact Person:	MHELET BEÑALES (711-69-73) 200	bots	Ink for Epson T6641 black	 100	bots	Ink for Epson T6642 Cyan	 100	bots	Ink for Epson T6643 Magenta	 100	</t>
  </si>
  <si>
    <t xml:space="preserve"> INVITATION TO BID PURCHASE OF VARIOUS NUTRI-MILK/ OATS PRODUCTS FOR THE FEEDING SUPPLEMENTATION PROGRAM OF THE CITY HEALTH OFFICE The City Government of San Jose del Monte, Bulacan, thru its Bids and Awards Committee (BAC), through the Sangguniang Panlung</t>
  </si>
  <si>
    <t xml:space="preserve"> INVITATION TO BID SUPPLY AND DELIVERY OF AIR CONDITIONING UNITS (FLOOR MOUNTED AND WINDOW-TYPE) FOR VARIOUS OFFICES 1.	The Local Government Unit of Cabadbaran City through the GENERAL FUND intends to apply the sum of TWO HUNDRED THIRTY-SIX THOUSAND PESOS </t>
  </si>
  <si>
    <t xml:space="preserve"> Photocopying Machine</t>
  </si>
  <si>
    <t xml:space="preserve"> The Philippine Rural Development Project- Regional Project Coordination Office XI hereunder referred to as the End-User now requests interested applicants to submit Expression of Interest for the Hiring of the following position for the period July 16, 20</t>
  </si>
  <si>
    <t xml:space="preserve"> ROAD CONCRETING  - 4m x 0.20m x 22m</t>
  </si>
  <si>
    <t xml:space="preserve"> 1.Meals and AM &amp; PM Snacks on April 20 – April 24, 2020 (5 Days) for 45 pax 2. Meals and AM &amp; PM Snacks on April 25, 2020 (1 Day) for 15 pax *Free Flowing of Coffee *Other offers, pls. specify __________________ __________________</t>
  </si>
  <si>
    <t xml:space="preserve"> By Contact.</t>
  </si>
  <si>
    <t xml:space="preserve"> Please quote your lowest price on the SUPPLY AND DELIVERY OF MATERIALS FOR THE CONSTRUCTION OF COAST GUARD AUXILIARY OFFICE AT GREEN ISLAND as specified below and submit your quotation duly signed by your representative not later than 2pm of  JULY 8, 2020</t>
  </si>
  <si>
    <t xml:space="preserve"> Procurement of Various Office Equipment</t>
  </si>
  <si>
    <t xml:space="preserve"> Repair of Damaged walls, construction of concrete columns, replacement of partition wall to folding wall, replacement of main doors &amp; CR doors and Painting of Interior and exterior wallings.</t>
  </si>
  <si>
    <t xml:space="preserve"> Request for Quotation City Agriculture Office Repair &amp; Maintenance - Machinery &amp; Equipment (Agricultural &amp; Fishery) P 82,590.00</t>
  </si>
  <si>
    <t xml:space="preserve"> Republic of the Philippines Province of Leyte Municipality of Hilongos BARANGAY PA-A REQUEST FOR QUOTATION _____________ Date  _______________________ _______________________                                Please quote your lowest price on the items/liste</t>
  </si>
  <si>
    <t xml:space="preserve"> HEALTH AND SAFETY MATERIALS AND EQUIPMENT</t>
  </si>
  <si>
    <t xml:space="preserve"> The Local Government Unit of Santa Fe, Nueva Vizcaya, through its Bids &amp; Awards Committee invites contractors to bid for the following project: Contract Name: Procurement of Base Radio and Antenna Tower (Supply, delivery, engineering and programming inclu</t>
  </si>
  <si>
    <t xml:space="preserve"> PROCUREMENT OF THE FOLLOWING SERVICES: CONCRETING OF 0.15 METER THK, 2.50 METERS WIDTH, 34.0 LINEAR METERS LOCAL ROAD ZONE 4-A. A. MATERIALS B. LABOR C. OTHER SERVICES FOR MORE DETAILS VISIT THE BARANGAY</t>
  </si>
  <si>
    <t xml:space="preserve"> INVITATION TO BID FOR  Procurement of Goods [Supply and Installation of Close Circuit Television Security] (REBID) The   City Government of Tagbilaran,   through the Appropriation Ordinance No. 19-05 for FY 2020, intends to apply the sum of Nine Hundred E</t>
  </si>
  <si>
    <t xml:space="preserve"> June 30, 2020 	 INVITATION TO BID Reference No. 7077407 / Solicitation No. 2020/06/065 	The City Government of Tagum invites interested Bidders/Suppliers to submit for eligibility and to bid for the following: MATERIALS FOR CONSTRUCTION OF MULTI-PURPOSE C</t>
  </si>
  <si>
    <t xml:space="preserve"> The Department of Environment and Natural Resources (DENR) XII PENRO Cotabato, Kidapawan City, through its Bids and Awards Committee (BAC), invites all prospective bidders to apply for eligibility and subsequently bid for: 1. Name of Project: SUPPLY OF IC</t>
  </si>
  <si>
    <t xml:space="preserve"> Construction of Drainage Canal, Cabittaogan, SCIS</t>
  </si>
  <si>
    <t xml:space="preserve"> Republic of the Philippines Province of Leyte MUNICIPALITY OF CAPOOCAN -oOo- CAPOOCAN BIDS AND AWARD COMMITTEE INVITATION TO BID  for SUPPLY AND DELIVERY OF ICT EQUIPMENTS FOR DEPED 1.	The MUNICIPALITY of Capoocan, Leyte, through the SPECIAL EDUCATION FUN</t>
  </si>
  <si>
    <t xml:space="preserve"> Section I. Invitation to Bid Notes on the Invitation to Bid The Invitation to Bid provides information that enables potential Bidders to decide whether to participate in the procurement at hand. The Invitation to Bid shall be: (a) Posted continuously in t</t>
  </si>
  <si>
    <t xml:space="preserve"> CONSTRUCTION OF TWO LAYER OPEN CANAL @ BLK. 219 PUROK 10</t>
  </si>
  <si>
    <t xml:space="preserve"> 1.	The Provincial Government of Batanes, through the 5% Calamity Fund intends to apply the sum of Five Million Eight Hundred Twenty Thousand Pesos Only (₱ 5,820,000.00), being the Approved Budget for the Contract (ABC) to payments under the contract for S</t>
  </si>
  <si>
    <t xml:space="preserve"> Republic of the Philippines Province of Leyte MUNICIPALITY OF CAPOOCAN -oOo- CAPOOCAN BIDS AND AWARD COMMITTEE INVITATION TO BID  for SUPPLY AND DELIVERY OF DRUGS AND MEDICINES (MHO) 1.	The MUNICIPALITY of Capoocan, Leyte, through the MHO ANNUAL BUDGET OF</t>
  </si>
  <si>
    <t xml:space="preserve"> The Department of Agriculture-RFO 3, invites interested suppliers/ bidders to submit bid proposal(s) for the hereunder requirement, to wit: 2 units Hauling Truck Specification: Maximum Output Power: 163.0 Horsepower @ 3,400 rpm Engine Displacement: 2500 c</t>
  </si>
  <si>
    <t xml:space="preserve"> Supply and delivery of Pipettor/Pipette Controller for viral vaccine production laboratory use Qty.	Unit	Item/Description				ABC 						 2	units	Pipettor/Pipette Controller 				 61,120.00  		Specifications:				 		Ergonomic Design: 6.7 oz (190g) 2-button in</t>
  </si>
  <si>
    <t xml:space="preserve"> 15	heads	live pig @ 110 kls live weight per head 300	kls	colored chicken 100	kls	hotdog 100	kls	tilapia (3 in 1 pcs/kilo) 100	kls	dressed chicken 50	kls	dried fish (Tulis) 200	kls	potato 100	kls	Baguio beans 10	gantas	dried beans (white) 10	gantas	mongo 1</t>
  </si>
  <si>
    <t xml:space="preserve"> Installation of Artesian Well</t>
  </si>
  <si>
    <t xml:space="preserve"> 20CSE011: Consulting Services for the Conduct of Environmental Impact Assessment (EIA), Preparation of Environmental Impact Assessment Statement (EIS) and Application of Environmental Compliance Certificate (ECC) of Widening of Calapan North Road (CNR) fr</t>
  </si>
  <si>
    <t xml:space="preserve"> 1.	BACKGROUND AND RATIONALE OF THE PROJECT The outbreak of the COVID-19 has greatly affected the tourism industry globally. It has not only interrupted tourism activities but also stalled the industry’s contribution to the country’s economic growth. More </t>
  </si>
  <si>
    <t xml:space="preserve"> I.  Objective and Scope of Works Objective: •	To provide preventive maintenance and reduce the possibility of a system breakdown before it actually occurs. •	To maintain a fresh, healthy and comfortable working environment for building occupants Scope of </t>
  </si>
  <si>
    <t xml:space="preserve"> INVITATION TO BID FOR  SUPPLY AND DELIVERY OF ONE (1) PACKAGE TRUCK WITH SOLID WASTE MACHINERIES (SOLID WASTE ON WHEELS) 6 WHEELER 1.	The Local Government Unit of Laoang, through the 20% EDF ( intends to apply the sum of Ten Million (Php10, 000,000.00) be</t>
  </si>
  <si>
    <t xml:space="preserve"> ITEM NO.	ITEM &amp; DESCRIPTION				                               	QTY.	         UoM 1	Lift Cylinder packing seal kit -Loader						        2	kit 2	Bucket Cylinder packing seal kit -Loader						2	kit 3	Stabilizer Cylinder packing seal Kit-Backhoe						2	kit 4	</t>
  </si>
  <si>
    <t xml:space="preserve"> July 1, 2020 REQUEST FOR QUOTATION (RFQ) CRYO-STORAGE RACK IN HINGED BOX 1.	The Batangas Medical Center hereinafter referred to as the “Purchaser” now request for submission of price proposal for the procurement of the aforesaid item described in the Tech</t>
  </si>
  <si>
    <t xml:space="preserve"> For the Other Supplies and Materials Expenses of MG Personnel</t>
  </si>
  <si>
    <t xml:space="preserve"> Construction Projects</t>
  </si>
  <si>
    <t xml:space="preserve"> Republic of the Philippines     Province of Oriental Mindoro Gloria, Oriental Mindoro BARANGAY STA. MARIA INVITATION TO BID ITB No. 2020-001  SUPPLY AND DELIVERY OF HARDWARE MATERIALS FOR THE CONSTRUCTION OF BRGY. HEALTH STATION BUILDING 1. The Barangay S</t>
  </si>
  <si>
    <t xml:space="preserve"> PROCUREMENT OF THE FOLLOWING SERVICES: CONCRETING OF 0.10 METER THK, 0.60 METER WIDTH, 194.0 LINEAR METERS PATHWALK. A. MATERIALS B. LABOR C. OTHER SERVICES FOR MORE DETAILS VISIT THE BARANGAY</t>
  </si>
  <si>
    <t xml:space="preserve"> OTG DUAL DRIVE FOR ANDROID SMART PHONES 16GB USB/OTG ULTRA DUAL 300 PCS</t>
  </si>
  <si>
    <t xml:space="preserve"> The Municipality of Limay, through its Bids and Awards Committee (BAC) invites registered contractors to apply for eligibility and if found eligible, to bid for the hereunder project/contract: Project/Contract:    RENOVATION AND REPAIR WORKS AT LIMAY ELEM</t>
  </si>
  <si>
    <t xml:space="preserve"> Republic of the Philippines Province of Quezon Municipality of Guinayangan Barangay Government of Capuluan Tulon INVITATION TO BID Date: July 1, 2020 1.	The Barangay Government of  Capuluan Tulon  intends to apply the sum Two hundred ninety six thousand t</t>
  </si>
  <si>
    <t xml:space="preserve"> Republic of the Philippines Province of Cagayan Municipality of Sta. Teresita BARANGAY ARIDOWEN INVITATION TO BID FOR THE SUPPLY AND DELIVERY OF MATERIALS AND LABOR FOR THE MAINTENCA OF TANOD OUTPOST UNDER ITB No. CW001-2020 The LGU Aridowen, Sta. Teresit</t>
  </si>
  <si>
    <t xml:space="preserve"> VARIOUS SCHOOLS OF MALITA, DAVAO OCCIDENTAL</t>
  </si>
  <si>
    <t xml:space="preserve"> - The Municipality of Baliguian, request for quotation for the Procurement of office supplies and consumables. - The Estimated Budget Cost is Seven Hundred Seventeen Thousand Eighty Four Pesos and Fifty Centavos (Php717,084.50). - Interested suppliers/bid</t>
  </si>
  <si>
    <t xml:space="preserve"> Section I. Invitation to Bid Republic of the Philippines Province of Benguet MUNICIPALITY OF BOKOD INVITATION TO BID FOR DILP PROJECT PRODUCTION OF MEAT &amp; EGGS OF NATIVE CHICKEN AND DUCK (LIVELIHOOD ENHANCEMENT FOR BARANGAY BOBOK-BISAL) 1.	The MUNICIPALIT</t>
  </si>
  <si>
    <t xml:space="preserve"> See attached document, print Bid Notice Abstract and download ITB No. GOODS-20-116.</t>
  </si>
  <si>
    <t xml:space="preserve"> Leather Seat Cover Tail Light Cover Head Light Cover Door Handle Cover Bed Liner Deck Cover Lift Window Sun Visor Rubber Floor Mats Fender Flare Slim Steering Wheel Cover Bumper Cover (front) Dash Cam x-x-x-x-x-x-x-x-x-x-x-x-x-x-x-</t>
  </si>
  <si>
    <t xml:space="preserve"> INVITATION TO BID IB NO. GS-2020-03 Office Supplies and Consumables 1.	The Municipality of Baco  through Office Supplies from various office  intends  to  apply the sum of  the  Goods  for  Php 312,984.00 being the Approved Budget for the Contract (ABC) t</t>
  </si>
  <si>
    <t xml:space="preserve"> Republic of the Philippines National Kidney and Transplant Institute Bids and Awards Committee East Avenue, Quezon City 1100 981-0300 / 981-0400 local 1157 http://www.nkti.gov.ph/	 INVITATION TO BID for the ITB No. 20-057 ONE (1) LOT SUPPLY AND DELIVERY O</t>
  </si>
  <si>
    <t xml:space="preserve"> Brief Description: Construction of Fence which involves project billboard/signage, safety &amp; health, temporary facility, A. Const. of Fence A; layout and excavation, reinforcing steel bar, structural concrete, masonry works, grille works, painting works, B</t>
  </si>
  <si>
    <t xml:space="preserve"> CATERING SERVICES</t>
  </si>
  <si>
    <t xml:space="preserve"> The Bureau of Customs (BOC), through its Port of Zamboanga, will undertake Procurement thru Shopping for the Supply and Delivery of Various Office Supplies, in accordance with the Revised Implementing Rules and Regulations of Republic Act No. 9184. The de</t>
  </si>
  <si>
    <t xml:space="preserve"> Repainting of Bantay bayan HQ</t>
  </si>
  <si>
    <t xml:space="preserve"> REQUEST TO SUBMIT PROPOSAL FOR SUPPLY, DELIVERY AND INSTALLATION OF      2 UNITS SPLIT TYPE AIRCON FOR THE USE IN THE OFFICE OF RTD FOR OPERATIONS AND OFFICE OF RICE AND CORN PROGRAM FOCAL PERSON UNDER RICE PROGRAM 2020 AT APPROVED BUDGET FOR THE CONTRACT</t>
  </si>
  <si>
    <t xml:space="preserve"> REQUEST TO SUBMIT PROPOSAL FOR THE PRINTING OF DA RFU-5 ANNUAL REPORT 2019 FOR DISTRIBUTION TO TARGET CLIENT AT APPROVED BUDGET FOR THE CONTRACT AMOUNTING TO ONE HUNDRED SEVENTY-FIVE THOUSAND PESOS (PHP175,000.00) PURSUANT TO ALTERNATIVE METHOD OF PROCURE</t>
  </si>
  <si>
    <t xml:space="preserve"> CONSTRUCTION OF 2-STOREY SCHOOL BUILDING GENERAL LUNA CENTRAL ELEM. SCHOOL, MUN. OF GENERAL LUNA, SURIGAO DEL NORTE Brief Description:	The project will involve the Construction of 2-Storey School Building with the following scope of works: Facilities for </t>
  </si>
  <si>
    <t xml:space="preserve"> Portland cement river sand gravel deformed bars concrete nails marine plywood form lumber form lumber cw nails tie wire</t>
  </si>
  <si>
    <t xml:space="preserve"> Brief Description: Construction of Slope Protection which involves excavation, reinforcing steel bar, structural concrete, rubble concrete, concrete piles (Cast-In-Place), project billboard/signage, safety &amp; health and temporary facility. A.	Equipment to </t>
  </si>
  <si>
    <t xml:space="preserve"> Republic of the Philippines Province of Cagayan Municipality of Baggao INVITATION TO BID FOR THE PROCUREMENT OF GOODS The LOCAL GOVERNMENT UNIT OF BAGGAO, CAGAYAN, through the 01-001-5-02-03-090 intends to apply the sum of One Million Seven Hundred Ninety</t>
  </si>
  <si>
    <t xml:space="preserve"> Department of Public Works and Highways  Regional Office VI, Fort San Pedro, Iloilo City INVITATION TO BID  The Department of Public Works and Highways, Regional Office VI, through its Bids and Awards Committee (BAC), invites suppliers to submit bids for </t>
  </si>
  <si>
    <t xml:space="preserve"> June 30, 2020 	 INVITATION TO BID Reference No. 7077493 / Solicitation No. 2020/06/066 	The City Government of Tagum invites interested Bidders/Suppliers to submit for eligibility and to bid for the following: MATERIALS FOR CONSTRUCTION OF MULTI-PURPOSE C</t>
  </si>
  <si>
    <t xml:space="preserve"> Please see attached PR.</t>
  </si>
  <si>
    <t xml:space="preserve"> To be delivered at: PhilHealth Regional Office IX BGIDC Corporate Center Governor Lim Avenue Zamboanga City Please use the attached RFQ when submitting your quotation</t>
  </si>
  <si>
    <t xml:space="preserve"> CSC-CO  BIDS AND AWARDS COMMITTEE                                          CSC-ITB No.  2020-_08_               (Proc. of Laptops &amp; Printers)                                                                  June 29, 2020    INVITATION TO BID  (Mode of Pro</t>
  </si>
  <si>
    <t xml:space="preserve"> INVITATION TO BID The Department of Public Works and Highways (DPWH), Cavite 3rd District Engineering Office, Carmona, Cavite through its Bids and Awards Committee (BAC), invites contractors to submit bids for the following Contract: 1. Contract I.D. No.:</t>
  </si>
  <si>
    <t xml:space="preserve"> PROCUREMENT TERMS AND CONDITIONS						 						 1. The Total Approved Budget for the Contract (ABC) is Seventy Thousand Pesos Only (70,000.00)						 2.  Price Quotation should be inclusive of tax obligation.						 3. Evaluation of bids will be conducted on </t>
  </si>
  <si>
    <t xml:space="preserve"> Republic of the Philippines PROVINCE OF NUEVA VIZCAYA Municipality of Alfonso Castañeda  BIDS &amp; AWARDS COMMITTEE FOR GOODS &amp; SERVICES REQUEST FOR QUOTATION RFQ Number: 2020-07-01 The Local Government of Alfonso Castañeda through its Bids and Awards Comm</t>
  </si>
  <si>
    <t xml:space="preserve"> Bicol Regional Training and Teaching Hospital Legazpi City INVITATION TO BID FOR  Procurement of Medical Equipment for NICU (Care for Small Babies) IB No. 07-2020 1.	The Bicol Regional Training and Teaching Hospital (BRTTH) through the 2020 Hospital Incom</t>
  </si>
  <si>
    <t xml:space="preserve"> See Philippine Bidding Documents, Bill of Quantities and Checklist hereto attached.</t>
  </si>
  <si>
    <t xml:space="preserve"> REPAIR AND MAINTENANCE OF CLASSROOM</t>
  </si>
  <si>
    <t xml:space="preserve"> Republic of the Philippines Province of Guimaras OFFICE OF THE BIDS AND AWARDS COMMITTEE INVITATION TO BID FOR    SUPPLY AND DELIVERY OF JANITORIAL SUPPLIES  Bid Ref. No. 2020-06-331 1.	The Province of Guimaras , through the Other Supplies and Materials E</t>
  </si>
  <si>
    <t xml:space="preserve"> By Contract.</t>
  </si>
  <si>
    <t xml:space="preserve"> SIGNAGE DISCHARGE PIPELINES AND APPURTENANCES REHABILITATION OF WATER DISTRIBUTION PIPELINES SYSTEM INCLUDING FLUSHING &amp; DISINFECTION</t>
  </si>
  <si>
    <t xml:space="preserve"> Republic of the Philippines Province of Cagayan Municipality of Baggao INVITATION TO BID FOR THE PROCUREMENT OF GOODS The LOCAL GOVERNMENT UNIT OF BAGGAO, CAGAYAN, through the 01-011-5-02-03-070 &amp; 01-011-5-02-03-080 intends to apply the sum of Three Hundr</t>
  </si>
  <si>
    <t xml:space="preserve"> Republic of the Philippines Province of Guimaras OFFICE OF THE BIDS AND AWARDS COMMITTEE INVITATION TO BID FOR    SUPPLY AND DELIVERY OF TIRE Bid Ref. No. 2020-06-364 1.	The Province of Guimaras , through the Repairs &amp; Maintenance Transportation Equipment</t>
  </si>
  <si>
    <t xml:space="preserve"> CONSTRUCTION OF NURSES QUARTER AND DOCTOR'S QUARTER STA. CRUZ, MUNICIPALITY OF PLACER, SURIGAO DEL NORTE Brief Description:    The project will involve the following scope of works: General Requirements, Earthworks, Concrete Works, Reinforcing Steel Bars,</t>
  </si>
  <si>
    <t xml:space="preserve"> ACCOMMODATION  Target Date: 2nd week of July 15 rooms twin bed (deluxe type of room with complimentary breakfast) Preferred Hotel in Baguio: The Manor (Camp John Hay) and/or The Lemonet Baguio. Note: Health and Safety Guidelines including Protocols shall </t>
  </si>
  <si>
    <t xml:space="preserve"> Section I. Invitation to Bid Republic of the Philippines Province of Davao del Norte MUNICIPALITY OF TALAINGOD 								1 July, 2020 Invitation to Bid for CONSTRUCTION OF STAR WOMEN’S BUILDING (@ Sto. Niño,Talaingod, DdN 1.	The Local Government Unit of Tal</t>
  </si>
  <si>
    <t xml:space="preserve"> SUPPLY OF LABOR AND MATERIALS FOR THE REHABILITATION OF APDC TOILETS AND SEPTIC TANK, DRAINAGES SYSTEM AND WATER LINES AT APDS, MARULAS VALENZUELA CITY 1.	The Bureau of Animal Industry, through the National Livestock Program, Approved Annual Procurement P</t>
  </si>
  <si>
    <t xml:space="preserve"> Brief Description: Construction of Fence which involves project billboard/signage, safety &amp; health, temporary facility, A. Const. of Fence; layout &amp; excavation, reinforcing steel bar, structural concrete, masonry works, painting works and barbed wire work</t>
  </si>
  <si>
    <t xml:space="preserve"> CSC-CO  BIDS AND AWARDS COMMITTEE                                                CSC-ITB No.  2020 - 09                 (Proc. of Anti-Virus Licenses)                                                                     June  29, 2020     INVITATION TO BID</t>
  </si>
  <si>
    <t xml:space="preserve"> Republic of the Philippines PROVINCE OF NUEVA VIZCAYA Municipality of Alfonso Castañeda  BIDS &amp; AWARDS COMMITTEE FOR GOODS &amp; SERVICES REQUEST FOR QUOTATION RFQ Number: 2020-07-02 The Local Government of Alfonso Castañeda through its Bids and Awards Comm</t>
  </si>
  <si>
    <t xml:space="preserve"> Republic of the Philippines CITY OF BAIS BIDS AND AWARDS COMMITTEE NOTICE OF AWARD This is to certify that the following item was awarded to Newborn Screening Center – Central Visayas Eversley Child Sanitarium and General Hospital (Outpatient Department B</t>
  </si>
  <si>
    <t xml:space="preserve"> Republic of the Philippines Province of Leyte Municipality of Hilongos Barangay LAMAK REQUEST FOR QUOTATION  JUNE 30, 2020          Date               ______________________ _______________________ _______________________ _________________________________</t>
  </si>
  <si>
    <t xml:space="preserve"> 01 JULY 2020 INVITATION TO BID FOR THE SUPPLY AND DELIVERY OF DRUGS AND MEDICINES FOR  CALOOCAN CITY MEDICAL CENTER 	 	 1.	The City of Caloocan, through the General Fund of the 2020  Annual City Budget approved under Sangguniang Panlungsod Ordinance No. 0</t>
  </si>
  <si>
    <t xml:space="preserve"> MUNICIPAL GOVERNMENT OF LAZI						               Project Reference Number: _________________  	               Name of the Project: Construction of Kitchen in the 		Municipal Evacuation Center (Social Center) with 		Necessary Fixtures Standard Form Number:</t>
  </si>
  <si>
    <t xml:space="preserve"> INVITATION TO BID  FOR SUPPLY AND DELIVERY OF MEDICAL SUPPLIES. 1.	The Local Government Unit of Murcia, Negros Occidental, through the LGU-TRUSTFUND 2020, intends to apply the sum of One Hundred Sixteen Thousand Four Hundred Pesos (Php 116,400.00) being t</t>
  </si>
  <si>
    <t xml:space="preserve"> Section I. Invitation to Bid Republic of the Philippines Province of Davao del Norte MUNICIPALITY OF TALAINGOD 								1 July, 2020 Invitation to Bid for CONSTRUCTION AND REHABILITATION OF DRAINAGE CANAL (@ Piggery Area, Sto. Niño,Talaingod, DdN 1.	The Lo</t>
  </si>
  <si>
    <t xml:space="preserve"> Brief Description: Construction of Fence which involves project billboard/signage, safety &amp; health, temporary facility, A. Const. of Fence A; demolition works,layout and excavation, reinforcing steel bar, structural concrete, masonry works, grille works, </t>
  </si>
  <si>
    <t xml:space="preserve"> Republic of the Philippines DIGOS WATER DISTRICT (DWD) Rizal Avenue, Digos City INVITATION TO BID FOR THE PROCUREMENT OF VARIOUS WATER METERS, CLASS B AND MATERIALS FOR NEW SERVICE CONNECTIONS 1.	The Digos Water District, through the Corporate Budget for </t>
  </si>
  <si>
    <t xml:space="preserve"> Item No.	Unit	DESCRIPTION				Weight 						 1	Pcs.	Dressed Chicken (145 Pcs.)				260.71</t>
  </si>
  <si>
    <t xml:space="preserve"> 10 pcs Folder Long, Merit 10 pcs Folder Short, Merit 10 Pc Brown Envelope Long 10 ream Bondpaper premium Long 10 ream Bondpaper premium grade A4 10 pc Sign Pen Blue 10 pc Sign Pen Black 4 pc Correction Tape 3 btl Computer Ink-EPSON 664 (Magenta) 3 btl Com</t>
  </si>
  <si>
    <t xml:space="preserve"> Window Type Aircon of Barangay Cotta, Lucena City</t>
  </si>
  <si>
    <t xml:space="preserve"> INVITATION TO BID Date: June 30, 2020 1.	The Provincial Government of Davao del Sur, through its Bids and Awards Committee (BAC), invites all potential bidders/suppliers to apply to bid for the following goods. Bids received in excess of the ABC shall be </t>
  </si>
  <si>
    <t xml:space="preserve"> REPAIR AND MAINTENANCE OF WATER SUPPLY</t>
  </si>
  <si>
    <t xml:space="preserve"> 750 pcs. KIDDIE Tooth Brush  750 pcs KIDDIE Tooth paste 25ml 150 pcs Germicidal Soap (60 grams)   2 pc. FACE SHIELD (Flexi Glass) 2 pc. Medical Googles 25 box Lidocaine 2% 1.8 ml (Dental Anesthesia) 8 box Dental Needle (Gauge 27 short) 5 bot. Povidone Iod</t>
  </si>
  <si>
    <t xml:space="preserve"> Brief Description: Construction of Fence which involves project billboard/signage, safety &amp; health, temporary facility, A. Const. of Fence, demolition works, layout and excavation, reinforcing steel bars, structural concrete, masonry works, grille works, </t>
  </si>
  <si>
    <t xml:space="preserve"> Republic of the Philippines Province of Quezon Town of Lucban Barangay Kulapi ESTIMATED COST OF PROPOSED WORK One Bagger Concrete Mixer - 1 Subgrade Preparation - 248 sq.m Aggregate Base Course - 37.20 cu.m          Portland Cement Concrete Pavement 150mm</t>
  </si>
  <si>
    <t xml:space="preserve"> MUNICIPAL GOVERNMENT OF LAZI						                     Project Reference Number: ____________                       Name of the Project: Drugs and Medicines               Expenses (First Quarter)             Standard Form Number:  SF-GOOD-05						        </t>
  </si>
  <si>
    <t xml:space="preserve"> Section I. Invitation to Bid Republic of the Philippines Province of Davao del Norte Municipality of Talaingod 1 July, 2020 INVITATION TO BID FOR CONSTRUCTION MATERIALS (ROAD REHABILITATION-From Sitio Kaylawan, Sto. Nino and Central Baugan, Palma Gil, Tal</t>
  </si>
  <si>
    <t xml:space="preserve"> CSC-CO  BIDS AND AWARDS COMMITTEE    								                               CSC-ITB No.  2020 - 10  (Proc. of Primary Internet Services)      June 29, 2020   INVITATION TO BID  (Mode of Procurement:   Public Bidding) The Civil Service Commission (CSC), th</t>
  </si>
  <si>
    <t xml:space="preserve"> INVITATION TO BID FOR PURCHASE OF PROPERTY, PLANT &amp; EQUIPMENT (PPE), SEMI-EXPENDABLE EQUIPMENT (ICT EQUIPMENT) AND FURNITURE AND FIXTURES TO BE USED BY VARIOUS OFFICES/PROGRAMS OF DSWD FO III FOR THE 1ST SEMESTER OF 2020   1.	The DEPARTMENT OF SOCIAL WELF</t>
  </si>
  <si>
    <t xml:space="preserve"> Republic of the Philippines DEPARTMENT OF PUBLIC WORKS AND HIGHWAYS SARANGANI DISTRICT ENGINERING OFFICE REGIONAL OFFICE XII Alabel, Sarangani Province 					 					 SHOPPING 					 The Department of Public Works and Highways-Sarangani District Engineering O</t>
  </si>
  <si>
    <t xml:space="preserve"> various item per Purchase Request</t>
  </si>
  <si>
    <t xml:space="preserve"> GUIDELINES FOR SHOPPING AND SMALL VALUE PROCUREMENT 1. SCOPE AND PURPOSE These Guidelines shall prescribe the general procedures for procurement through: a. Shopping of readily available off-the-shelf goods, or ordinary/regular equipment under Section 52.</t>
  </si>
  <si>
    <t xml:space="preserve"> Republic of the Philippines Province of Guimaras OFFICE OF THE BIDS AND AWARDS COMMITTEE INVITATION TO BID FOR    SUPPLY AND DELIVERY OF GENERAL MERCHANDISE Bid Ref. No. 2020-06-379 1.	The Province of Guimaras , through the 2020 Regular Budget- Special Pu</t>
  </si>
  <si>
    <t xml:space="preserve"> INVITATION FOR PRICE QUOTATION Date:  30 June 2020 For The Provision Of Runway Markers And Markings At Bulan Airport – 2nd SVP The Civil Aviation Authority of the Philippines (CAAP), Area Center V, Legazpi Airport intends to apply the estimated amount   o</t>
  </si>
  <si>
    <t xml:space="preserve"> Republic of the Philippines DEPARTMENT OF PUBLIC WORKS AND HIGHWAYS SARANGANI DISTRICT ENGINEERING OFFICE REGIONAL OFFICE XII Sarangani District Engineering Office Alabel Sarangani Province 	 DIRECT CONTRACTING The Department of Public Works and Highways-</t>
  </si>
  <si>
    <t xml:space="preserve"> 1200	heads	"CHICKEN -layer type -ready to lay -at least 18 weeks old -with BAI required test -with 14 days holding period (feeds and all incidental expenses covered)"	 ₱500.00  Delivery Site Apayao: 200 heads Abra: 200 heads Ifugao: 200 heads Benguet: 200</t>
  </si>
  <si>
    <t xml:space="preserve"> See attached document, print Bid Notice Abstract and download ITB No. GOODS-20-117.</t>
  </si>
  <si>
    <t xml:space="preserve"> - CONCRETING OF 175.00 LN.M. MUNICIPAL ROAD</t>
  </si>
  <si>
    <t xml:space="preserve"> Purchase of Sports Equipment for the Youth</t>
  </si>
  <si>
    <t xml:space="preserve"> I. Mobilization II. CSHP III. Road PReparatiom     A. Equipment     B. Materials IV. Portland Cement V. Equipment Labor</t>
  </si>
  <si>
    <t xml:space="preserve"> REQUEST FOR QUOTATION STOCK NO. UNIT ITEM DESCRIPTION                           QTY. 01              PCS  MINI TABLES                                      15 02              PCS  BIG TABLES (HEAVY DUTY)                   3 03              PCS  PLASTIC PAL</t>
  </si>
  <si>
    <t xml:space="preserve"> MUNICIPAL GOVERNMENT OF LAZI						           Project Reference Number: ________________            Name of the Project: Purchase of Tools, PPE                         Handheld Radios and Other Communication Eqpt. Standard Form Number:  SF-GOOD-05						   </t>
  </si>
  <si>
    <t xml:space="preserve"> 1. 1 unit Scanner, A5 to A3, 11 x 17, photocopy, print with Pedestral/Table 2. 1 unit Desk Top Computer Core i5 -HDD 1 TBH - Core i5 Processor -Motherboard with audio, video and LAN -4GB DDR4 Memory -500GB Hard Disk Drive -22" LCD Digital Colored monitor </t>
  </si>
  <si>
    <t xml:space="preserve"> Please call or email posted address for Bid Documents.</t>
  </si>
  <si>
    <t xml:space="preserve"> Materials for the Improvement of Waterworks System</t>
  </si>
  <si>
    <t xml:space="preserve"> Std. Form No.: SF-05	 										Revised on: July 28, 2005	 											 Republic of the Philippines											 City Government of Ormoc											 2nd /F New Ormoc City Hall Bldg., Ormoc City											      Tel. # (053) 255-2054  &amp; 560-8050 											   </t>
  </si>
  <si>
    <t xml:space="preserve"> Purchase and delivery of Personal Protective Equipment - Face Shield to be distributed to frontliners</t>
  </si>
  <si>
    <t xml:space="preserve"> INVITATION TO BID The DPWH, Masbate 3rd District Engineering Office, Dimasalang, Masbate through its Bids and Awards Committee (BAC), invites contractors to submit bids for the following Contract: Procurement ID/ Contract ID:	20FJ0029 Contract Name:	Const</t>
  </si>
  <si>
    <t xml:space="preserve"> Brief Description: Improvement of Farm-to-Market Road which involves hauling of materials, sub-grade preparation, aggregate sub base course (compacted volume), portland cement concrete pavement, road shouldering (compacted volume), project billboard/signa</t>
  </si>
  <si>
    <t xml:space="preserve"> INVITATION TO BID (GOODS) The Municipality of Sibonga, through the General Fund intends to apply the sum of Eight hundred seventy thousand seven hundred seventy-five pesos only (870,775.00) being the Approved Budget for the Contract (ABC) to payment under</t>
  </si>
  <si>
    <t xml:space="preserve"> The DPWH-North Manila District Engineering Office, through its Bids and Awards Committee (BAC) for Goods, invites Suppliers to submit bids for the following Contract: 2.	Contract I.D. No: 20GOE0022 Contract Name 	: Procurement of Supply and Delivery of Ma</t>
  </si>
  <si>
    <t xml:space="preserve"> FABRICATION OF THE FOLLOWING: 		 FOOD LANDING COUNTER WITH UNDERSHELF,STAILESS  2	UNIT L-1800mm W-710mm H863mm 	 PREPARATION TABLE WITH BOTTOM SHELF, STAINLESS    2	UNIT L-1900mm W-710mm H-863mm 	 MOBILE WORKTABLE WITH BOTTOM SHELF, STAINLESS   2	UNIT L-1</t>
  </si>
  <si>
    <t xml:space="preserve"> Republika ng Pilipinas								 NATIONAL IRRIGATION ADMINISTRATION								 Pambansang Pangasiwaan ng Patubig								 Negros Occidental Irrigation Management Office								 Celis St. Bago City, Negros Occidental								 (034) 461-0494, (034) 454-2033							</t>
  </si>
  <si>
    <t xml:space="preserve"> 2	units	ALL IN ONE COMPUTER			 40,000.00   	 	Specifications: 			    		23.8 inch Monitor, 16GB RAM, 240G SSD, DDR4, 1920x1080 HD Graphics, Windows 10,  Includes: USB Mouse*1, USB Keyboard*1, BUILT-IN Stereo SPEAKER AVR 			 					 		                        </t>
  </si>
  <si>
    <t xml:space="preserve"> 10 UNITS CELLPHONE Specifications: Display - 6.5 MOLED capacitive touchscreen w/ at least 1080x2340 pixel OS - Android, at least 9.0 version Memory - at least 128GB 8GB  RAM internal memory and memory card slot Main camera - at least 48MP (wide) &amp; 8MP (ul</t>
  </si>
  <si>
    <t xml:space="preserve"> The DPWH-North Manila District Engineering Office, through its Bids and Awards Committee (BAC) for Goods, invites Suppliers to submit bids for the following Contract: 1.	Contract I.D. No: 20GOE0021 Contract Name 	: Procurement of Painting Materials to be </t>
  </si>
  <si>
    <t xml:space="preserve"> INVITATION FOR PRICE QUOTATION Date:  30 June 2020 For The Provision Of Runway Markers And Markings At Bacon Airport – 2nd SVP The Civil Aviation Authority of the Philippines (CAAP), Area Center V, Legazpi Airport intends to apply the estimated amount   o</t>
  </si>
  <si>
    <t xml:space="preserve"> Please quote your lowest price inclusive of VAT on the item/s listed below, subject to the Terms and Conditions of this RFQ, and submit your sealed quotation and other requirements duly signed by your representative not later than 10:00am of July 07, 2020</t>
  </si>
  <si>
    <t xml:space="preserve"> various items (as per Purchase Request)</t>
  </si>
  <si>
    <t xml:space="preserve"> PLS. SEE ATTACHMENT</t>
  </si>
  <si>
    <t xml:space="preserve"> SEE ATTACHED DOCUMENT.</t>
  </si>
  <si>
    <t xml:space="preserve"> INVITATION TO BID  Purchase &amp; Delivery of Various Medical Supplies for DCMMH (Re-bid) July 1, 2020 1.	The Provincial Government of Sarangani, through the AB CY 2020 intends to apply the sum of One Million Two Hundred Ten Thousand Four Hundred Forty Pesos </t>
  </si>
  <si>
    <t xml:space="preserve"> The City Government of Ligao through its Bids and Awards Committee (BAC), now invites bids for the herein project: Name of Contract        :  Opening of sitio Boundary to sitio Pasto Road Location                       : Balanac,  Ligao City Brief Descrip</t>
  </si>
  <si>
    <t xml:space="preserve"> INVITATION TO BID The DPWH, Masbate 3rd District Engineering Office, Dimasalang, Masbate through its Bids and Awards Committee (BAC), invites contractors to submit bids for the following Contract: Procurement ID/ Contract ID:	20FJ0030 Contract Name:	Const</t>
  </si>
  <si>
    <t xml:space="preserve"> - CONCRETING OF 80.00 LN.M MUNICIPAL ROAD - INSTALLATION OF 72.00 LN.M GI PIPE GUARD RAIL</t>
  </si>
  <si>
    <t xml:space="preserve"> Supply of services in the Structural Design and Analysis of the following :			 450,000.00  1 . Seven-Storey ICTC Building 			    2. CBAA Building 			    The Scope of works are;			 1. Establish locations of columns and beams.			 2. Make sketch of floor pla</t>
  </si>
  <si>
    <t xml:space="preserve"> 1 unit Brand New four-wheel Drive, 6 speed Automatic Transmission, engine displacement of 2,775 cc equipped with a turbo diesel engine, euro IV complaint compact truck, with a low-sided open cargo hauler, a passenger cab (crew cab type) accommodating two </t>
  </si>
  <si>
    <t xml:space="preserve"> 01 JULY 2020 INVITATION TO BID FOR THE SUPPLY AND DELIVERY OF TECATHERAPY MACHINE FOR  CALOOCAN CITY MEDICAL CENTER 	 	 1.	The City of Caloocan, through the Trust Fund of the 2020  Annual City Budget approved under Sangguniang Panlungsod Ordinance No. 081</t>
  </si>
  <si>
    <t xml:space="preserve"> I. Mobilization II. Demolition III. CSHP IV. Line Canal (L=82.4) V. Steel Grating VI. Equipment Labor</t>
  </si>
  <si>
    <t xml:space="preserve"> 20	carts	Ink Cart, Brother LC563K, Black		 15	carts	Ink Cart, Brother LC563K, Cyan		 15	carts	Ink Cart, Brother LC563K, Magenta		 15	carts	Ink Cart, Brother LC563K, Yellow		 5	carts	Canon RMC: K10404 12 ML (Black) (35)		 5	carts	Canon RMC: K10404 12 ML (C</t>
  </si>
  <si>
    <t xml:space="preserve"> 10	cart	Ink cartridge, canon PGI-35, black	 ₱1,000.00  10	cart	Ink cartridge, canon PGI-36 color	 ₱1,500.00  10	cart	Ink cartridge, canon PGI-47-black	 ₱550.00  10	cart	Ink cartridge, canon CL-57s, colored	 ₱900.00  3	cart	Ink cartridge, HP,black	 ₱2,000.</t>
  </si>
  <si>
    <t xml:space="preserve"> 01 JULY 2020 INVITATION TO BID FOR THE SUPPLY AND DELIVERY OF HIGH SPEED BLACK INKJET PRINTING MACHINES  FOR DIVISION OF CITY SCHOOLS 	 	 1.	The City of Caloocan, through the Special Education Fund and included in the 2020 Annual City School Board Budget </t>
  </si>
  <si>
    <t xml:space="preserve"> Expenses to be used for the virtual workshop and sports clinic 2020</t>
  </si>
  <si>
    <t xml:space="preserve"> (PLEASE SEE ATTACHED ASSOCIATED COMPONENT) please send Request for Quotation  -  mbslh14@gmail.com Contact Person:	MHELET BEÑALES (711-69-73) 1	lot	Provision and Installation of Double - Leaf Metal Flush Door with Viewing Glass	 1	lot	Provision and Instal</t>
  </si>
  <si>
    <t xml:space="preserve"> various item as per Purchase Request</t>
  </si>
  <si>
    <t xml:space="preserve"> I. Mobilization II. CSHP III. Project Billboard IV. Masonry Works V. Roof Framing VI. Plumbing Works VII. Carpentry Works VIII. Forms and Scaffolding IX. Electrical X. Windows XI. Painting Works Labor</t>
  </si>
  <si>
    <t xml:space="preserve"> Interested bidders may obtain further information of the bidding documents from the BAC Secretariat of Barangay Jona, Tubungan, Iloilo during working days starting July 1 - 7, 2020 from 8:00 a.m. to 5:00 p.m. or thru 09061879020</t>
  </si>
  <si>
    <t xml:space="preserve"> 1.) 1 LOT SUPPLY OF LABOR AND MATERIALS FOR THE CONSTRUCTION OF ATM BOOTH. * LOCATION : AJUY LGU, SPECIFICALLY AT THE AJUY GYM, REAL STREET, POBLACION AJUY ILOILO X X X X X X X X X X X X X X X X X X X NOTHING FOLLOWS X X X X X X X X X X X X X X X X X X X </t>
  </si>
  <si>
    <t xml:space="preserve"> Republic of the Philippines     Province  of Surigao del Sur   TAGBINA, SURIGAO DEL SUR    BIDS AND AWARDS COMMITTEE INVITATION TO BID FOR THE  Completion of Slaughter House LOCATION:  Brgy.  Poblacion, Tagbina, Surigao del Sur The municipality of Tagbina</t>
  </si>
  <si>
    <t xml:space="preserve"> Please see attached documents for your reference.</t>
  </si>
  <si>
    <t xml:space="preserve"> INVITATION TO BID  Purchase &amp; Delivery of Various Medical Supplies  for PVET  July 1, 2020 1.	The Provincial Government of Sarangani, through the Trust Fund  Unexpended LDRRMF 2019 intends to apply the sum of One Million One Hundred Seventy Nine Thousand </t>
  </si>
  <si>
    <t xml:space="preserve"> 1.	1	unit/s	Utility Van 			Type: 			In-line 4 cylinder, 16 valves (DOHC) with turbocharger 			Engine Size / Displacement: Not exceeding 3,000cc 			No. of Cylinders: 4 			No. of valves: 16 			Bore x stroke: 92.0 x 10.6 			Compression Ratio: 15:6:1 			Maxim</t>
  </si>
  <si>
    <t xml:space="preserve"> Purchase and delivery of brand new modern jeepney to be used by the City Government of Calapan</t>
  </si>
  <si>
    <t xml:space="preserve"> REACH-IN FREEZER, UPRIGHT, STAINLESS STEEL, 4 DOORS, APPROXIMATELY 40 CU. FT.             2 UNIT	 UPRIGHT REACH-IN CHILLER, APPROXIMATELY 40 CU. FT.., 2 GLASS DOOR DISPLAY WITH ROLLERS	2	unit CHEST TYPE, FREEZER, 29 CU. FT., SOLID TOP	 2	unit PLEASE ATTAC</t>
  </si>
  <si>
    <t xml:space="preserve"> INVITATION TO BID The DPWH, Masbate 3rd District Engineering Office, Dimasalang, Masbate through its Bids and Awards Committee (BAC), invites contractors to submit bids for the following Contract: Procurement ID/ Contract ID:	20FJ0031 Contract Name:	Const</t>
  </si>
  <si>
    <t xml:space="preserve"> REQUEST FOR QUOTATION STOCK NO.   UNIT     ITEM DESCRIPTION                      QTY. 01                PCS.    ALUMINUM (Medium Size)              30 02                ROLL   Plastic Cellophane (For Door Cover  3 03                PCS     Trash Bin  (Med</t>
  </si>
  <si>
    <t xml:space="preserve"> The City Government of Ligao through its Bids and Awards Committee (BAC), now invites bids for the herein project: Name of Contract        :  Opening of sitio Abibling  Road Location                       : Tiongson,  Ligao City Brief Description         </t>
  </si>
  <si>
    <t xml:space="preserve"> Qty	Unit	Item Description 1	unit	Labor and Materials (Garbage Truck) 		(Replacement of Idler, Track roller, Sprocket, adjuster)</t>
  </si>
  <si>
    <t xml:space="preserve"> MUNICIPAL GOVERNMENT OF LAZI						                      Project Reference Number: ____________                        Name of the Project: Procurement of Fully-                  Equipped Rescue Vehicle             Standard Form Number:  SF-GOOD-05						  </t>
  </si>
  <si>
    <t xml:space="preserve"> Improvement/Renovation of Municipal Hall</t>
  </si>
  <si>
    <t xml:space="preserve"> Expenses for MPA Assessment of FMO</t>
  </si>
  <si>
    <t xml:space="preserve"> SOURCE OF FUNDS: 20% BIDDING DATE &amp; TIME: JULY 8, 2020- 1:00 P.M</t>
  </si>
  <si>
    <t xml:space="preserve"> 1 Unit Brand New four-wheel drive automatic transmission, engine displacement of 1,500 cc to 2,000 cc equipped with a bi-turbo diesel engine, euro IV complaint compact truck with a low-sided open cargo hauler, a passenger cab (crew cab type) accommodation</t>
  </si>
  <si>
    <t xml:space="preserve"> 1. The APO Production Unit, Inc., through the Approved Annual Procurement Plan (APP) for CY 2020 intends to apply the sum of Six Million Pesos (PhP 6,000,000.00) being the Approved Budget for the Contract (ABC) to payments under the contract for the Lease</t>
  </si>
  <si>
    <t xml:space="preserve"> 1. The APO Production Unit, Inc., through the Approved Annual Procurement Plan (APP) for CY 2020 intends to apply the sum of Nine Million Pesos (PhP 9,000,000.00) being the Approved Budget for the Contract (ABC) to payments under the contract for the Leas</t>
  </si>
  <si>
    <t xml:space="preserve"> repainting of mlti-purpose bldg</t>
  </si>
  <si>
    <t xml:space="preserve"> 1 unit Aircon (SPLIT TYPE) 2.0 HP w/ Installation\ 1 unit Aircon (WINDOW TYPE) 1.5 HP</t>
  </si>
  <si>
    <t xml:space="preserve"> INVITATION TO BID FOR SUPPLY, DELIVERY, INSTALLATION AND COMMISSIONING OF FIREWALL APPLIANCE FOR THE USE OF TIEZA (TWO (2) YEARS LICENSE SUBSCRIPTION) Invitation to Bid No. 20-06-0001 In line with the government’s directive to ensure safety and to prevent</t>
  </si>
  <si>
    <t xml:space="preserve"> I - Earth Works     a.  Excavation Labor     b.  Backfill Labor     c.  Onfill-Flooring at Toilets/Electrical Room     d.  Gravel Bedding (2" thick) - Flooring at Toiletss/Electrical II - Formworks and Scaffoldings: (Lumpsum) III - Concrete Works        a</t>
  </si>
  <si>
    <t xml:space="preserve"> 1 job        Repair and align R/H fender,rear &amp; front door, rear side cab siding rear bumber and step board 1 piece     R/H Tail Ligh 1 job        Painting and whole body</t>
  </si>
  <si>
    <t xml:space="preserve"> Republic of the Philippines Province of Camarines Sur MUNICIPALITY OF CALABANGA  -oOo- BIDS AND AWARDS COMMITTEE INVITATION TO BID  The LGU CALABANGA, through its Bids and Awards Committee (BAC), invites PhilGEPS-registered suppliers to apply for eligibil</t>
  </si>
  <si>
    <t xml:space="preserve"> 1.	The PSHS Central Luzon Campus, through the GAA 2017 intends to apply the sum of FORTY-THREE MILLION SEVEN HUNDRED SEVENTY-NINE THOUSAND NINE HUNDRED SIXTEEN PESOS AND TWENTY-SIX CENTAVOS (PHP 43,779,916.26) being the Approved Budget for the Contract (A</t>
  </si>
  <si>
    <t xml:space="preserve"> Procurement of drugs and medicines to be use at MHO for the 2nd quarter of 2020</t>
  </si>
  <si>
    <t xml:space="preserve"> INVITATION TO BID FOR (GOODS &amp; SERVICES)       20GJC0216 – Equipment Rental: 12.5 days Cargo truck/Delivery Truck etc.                            Repair/Maintenance of Road Safety Facilities along National Roads,                           Installation of </t>
  </si>
  <si>
    <t xml:space="preserve"> Purchase and delivery of supplies and materials of Calapan Public Market</t>
  </si>
  <si>
    <t xml:space="preserve"> Materials for the repair/rehab of streetlights at Biga</t>
  </si>
  <si>
    <t xml:space="preserve"> 2 units Water Tank Truck (4 cubic) A. Detailed Specification Driver Form: 4 x 2; Side of Driving: Left B.Dimension Wheelbase 3360mm Overall Dimension 6080 x 2020 x 2400 mm Cargo Body Internal 3300 x 1680 x 1080 mm Front/Near Suspension Length 1095/1625 mm</t>
  </si>
  <si>
    <t xml:space="preserve"> INVITATION FOR PRICE QUOTATION Date:  30 June 2020 For The  Supply, Delivery, Installation, Testing, And Commissioning Of Airconditioning Units At CAAP Legazpi Airport The Civil Aviation Authority of the Philippines (CAAP) intends to apply the estimated a</t>
  </si>
  <si>
    <t xml:space="preserve"> INVITATION TO BID  Purchase &amp; Delivery of One (1) Unit Service Utility Vehicle for PGO-PSG  July 1, 2020 1.	The Provincial Government of Sarangani, through the AB CY 2020 intends to apply the sum of One Million Five Hundred Thousand Pesos Only (P 1,500,00</t>
  </si>
  <si>
    <t xml:space="preserve"> INVITATION FOR SUBMISSION OF QUOTATION (SMALL VALUE PROCUREMENT) 	The local Government Unit of Can-avid, through is Bid and Awards Committee (BAC). Invites suppliers to apply for eligibility, to bid for the hereunder contract: Name of Contract:  	Use for </t>
  </si>
  <si>
    <t xml:space="preserve"> Bidding for delivery of drugs and medicines to be distributed to different barangays</t>
  </si>
  <si>
    <t xml:space="preserve"> 100	sets	Needle, G16, stainless, hypodermic, 12 pcs/set, 0.5 inch	 ₱200.00  100	sets	Needle, G16, stainless, hypodermic, 12 pcs/set, 1.5 inch	 ₱200.00  100	sets	Needle, G18, stainless, hypodermic, 12 pcs/set, 0.5 inch	 ₱200.00  100	sets	Needle, G18, stain</t>
  </si>
  <si>
    <t xml:space="preserve"> INVITATION TO QUOTE Date:  June 30, 2020 1.	The Provincial Government of Davao del Sur, through its Bids and Awards Committee (BAC), invites all interested bidders/suppliers to quote for the following goods under Alternative Methods of Procurement (Small </t>
  </si>
  <si>
    <t xml:space="preserve"> Republic of the Philippines Province of Davao de Oro MUNICIPALITY OF COMPOSTELA BIDS AND AWARDS COMMITTEE CP#: 0998-571-7569 INVITATION TO BID FOR  Procurement of Spare Parts for Construction and Heavy Equipment (2nd Qtr) - MOTORPOOL ITB NO. 2020-06-032, </t>
  </si>
  <si>
    <t xml:space="preserve"> 1	lot	Supply, Delivery and Installation of Railings @ Gate 2				 						 		15 CD to complete				 						 		Technical Personnel Required:				 		4 Skilled				 						 		Scope:				 		1. Steel Works				 		2. Masonry Works				 		3. False Works</t>
  </si>
  <si>
    <t xml:space="preserve"> 200 pcs. school bag (kiddie bag) 200 pads Paper (grade 1) 200 pcs eraser  200 boxes crayons (secondary colors) 2 boxes Pencils (100 pc/box) 2 boxes Sharpener (100 pcs/box)</t>
  </si>
  <si>
    <t xml:space="preserve"> Provision of Potable Water System: 1. Upper Brgy. Carahayan = P 350,000.00 2. Upper Brgy. Tabayaon =   P 350,000.00</t>
  </si>
  <si>
    <t xml:space="preserve"> Purchase and delivery of Evacuation Modular Tent for Isolation Areas</t>
  </si>
  <si>
    <t xml:space="preserve"> Improvement/Construction of Old Public Market (Public Market Roof Extension)</t>
  </si>
  <si>
    <t xml:space="preserve"> Republic of the Philippines Province of Bukidnon MUNICIPALITY OF PANGANTUCAN TIN 099-000-631-170 OFFICE OF THE MUNICIPAL MAYOR Bids and Awards Committee (BAC) Cell # 09261024636  Email us: munpangantucanbukidnon@yahoo.com  or visit www.philgeps.net INVITA</t>
  </si>
  <si>
    <t xml:space="preserve"> INVITATION TO BID FOR (GOODS &amp; SERVICES)       20GJC0217 – Equipment Rental: 11.25 days Cargo Truck/Delivery Truck etc.                             Repair/Maintenance of Road Safety Facilities along National Roads,                                Installat</t>
  </si>
  <si>
    <t xml:space="preserve"> Construction</t>
  </si>
  <si>
    <t xml:space="preserve"> Materials for nursery construction at Calapan City Sanitary Landfill</t>
  </si>
  <si>
    <t xml:space="preserve"> The DPWH-Ilocos Norte Second District Engineering Office, through its Bids and Awards Committee (BAC), invites contractors to submit bids for the Contract: Procurement ID/Contract ID: 20AB0122 Contract Name/Location: CONSTRUCTION OF TWO (2) STOREY - FOUR </t>
  </si>
  <si>
    <t xml:space="preserve"> REQUEST FOR QUOTATION STOCK NO.    UNIT    ITEM DESCRIPTION   QTY. 01                 liter     DIESEL/FUEL           1,850 x-x-x-x-x-x-NOTHING FOLLOWS-x-x-x-x-x-x FRANCISCO I. CORPUZ, JR. BAC CHAIRMAN</t>
  </si>
  <si>
    <t xml:space="preserve"> SUPPLY AND DELIVERY OF MATERIALS FOR CONCRETING OF ROAD (Improvement) in Pansacola Street, Barangay Bagong Bayan, Mauban, Quezon. 1.	The Local Government Unit of Mauban through the GENERAL FUND/20% DEVELOPMENT FUND-8751/1-07-03-010, 2020 intends to apply </t>
  </si>
  <si>
    <t xml:space="preserve"> 3	set	 Jalousie frame 15 blades 5	pcs.	 Plywood Marine 1/4 5	pcs.	 Good Lumber 2x2x12 6	pcs.	 Good lumber 2x5x10 9	pcs.	Good Lumber 2x4x12 2	kilo	common nail  1 1/2 " 2	kilo	common nail  2 " 2	kilo	common nail  2.5" 2	kilo	concrete nail 6	pcs.	  paint rol</t>
  </si>
  <si>
    <t xml:space="preserve"> Concreting of Municipal Streets: 1. Yuba Street, Caburan Small, Jose Abad Santos, Davao Occidental - Phase II = P 3,000,000.00 2. Juan Opong, Sitio Pag-asa, Caburan Small, Jose Abad Santos, Davao Occidental = P 2,000,000.00</t>
  </si>
  <si>
    <t xml:space="preserve"> 1 unit Garbage Compactor (with Specifications)</t>
  </si>
  <si>
    <t xml:space="preserve"> I - Earth Works        a.  Excavation Labor     b.  Gravel Bedding (4" thick) II - Concrete Works       a.  Column Footing       b.  Concrete Pedestal       c.  Slab on Fill (Pavement Reconcreting) III - Steel Works       a.  Steel Column/Roof Framing IV </t>
  </si>
  <si>
    <t xml:space="preserve"> PROCUREMENT OF PREPAID LOAD CARDS (PROCUREMENT CONTRACT NO. 2020-PCOO-I-001)  This was postponed due to COVID-19 and the Bids and Awards Committee decided to resume with the procurement process.</t>
  </si>
  <si>
    <t xml:space="preserve"> The DPWH-Ilocos Norte Second District Engineering Office, through its Bids and Awards Committee (BAC), invites contractors to submit bids for the Contract: Procurement ID/Contract ID: 20AB0123 Contract Name/Location: CONSTRUCTION OF ONE (1) STOREY - FOUR </t>
  </si>
  <si>
    <t xml:space="preserve"> REPAIR/MAINTENANCE OF HEAVY EQUIPMENT</t>
  </si>
  <si>
    <t xml:space="preserve"> Republic of the Philippines                   Department of Health	       CENTRAL OFFICE BIDS AND AWARDS COMMITTEE  INVITATION TO BID FOR THE  PROCUREMENT OF SERVER FOR THE EPIDEMIOLOGY BUREAU (EB) EMERGENCY OPERATION CENTER (EOC) SYSTEM  IB NO. 2020-227 </t>
  </si>
  <si>
    <t xml:space="preserve"> 2 units Printer specification: Compatible printing long and short with scanner and photocopier</t>
  </si>
  <si>
    <t xml:space="preserve"> ILGLASS AUTOMATED DOOR LOCK SYSTEM RFID CARD RFID KEYCHAIN</t>
  </si>
  <si>
    <t xml:space="preserve"> Concreting of (35mx4mx.15m) concrete pavement</t>
  </si>
  <si>
    <t xml:space="preserve"> ITEM NO.	Unit of issue	ITEM &amp;DESCRIPTION	Brand &amp; Model	QTY.	 1	pcs	Coconut brisk broom		30	 2	pcs	Mosquito Sprayer		4	 3	gals	Mosquito Spray		2	 4	gals	Muriatic acid		15	 5	tins	Battery Solution		15	 6	kls	Powder Soap		12	 7	bars	Soap		10	 8	gal	Disinfect</t>
  </si>
  <si>
    <t xml:space="preserve"> The DPWH-Ilocos Norte Second District Engineering Office, through its Bids and Awards Committee (BAC), invites contractors to submit bids for the Contract: Procurement ID/Contract ID: 20AB0124 Contract Name/Location: CONCRETING OF SITIO KAPPIA TO SITIO MU</t>
  </si>
  <si>
    <t xml:space="preserve"> Republic of the Philippines 		Province of Laguna MUNICIPAL GOVERNMENT OF PANGIL BIDS AND AWARDS COMMITTEE Nat’l. Rd. Brgy. San Jose, Pangil, Laguna Tel Nos.  (049)557-0284 &amp; 557-3139 NOTICE TO BIDDER 	Sealed proposal plainly marked bidding for the Photo C</t>
  </si>
  <si>
    <t xml:space="preserve"> Construction of Multi-purpose Buildings/Feeding Centers (P 200,000 each): 1.   Cayaponga Elementary School 2.   Faustino Labiton Sr. Elementary School, Brgy. Carahayan 3.   JASCES, Brgy. Caburan Small 4.   Mangile Elementary School 5.   San Felipe Element</t>
  </si>
  <si>
    <t xml:space="preserve"> Repair &amp; Maintenance of Other Structure</t>
  </si>
  <si>
    <t xml:space="preserve"> Construction of (30mx2.8mx1.60m) concrete bleacher</t>
  </si>
  <si>
    <t xml:space="preserve"> INVITATION TO BID The Barangay Quinastillojan of Tabaco City through the Bids and Awards Committee (BAC) invites suppliers to bid for the hereunder contract: Name of Contract: Construction of Pathways Location: Barangay Quinastillojan, Tabaco City Descrip</t>
  </si>
  <si>
    <t xml:space="preserve"> Construction of Additional One (1) Span of Multi-Purpose Open Space at Purok Saranay, Poblacion, Kabacan, Cotabato for the benefits of the people.</t>
  </si>
  <si>
    <t xml:space="preserve"> Vehicle Parts, Accessories &amp; Labor Cost</t>
  </si>
  <si>
    <t xml:space="preserve"> Purchase of construction materials and supplies for the Improvement of Water System project of Barangay Monte Dujali, San Isidro, Davao del Norte.</t>
  </si>
  <si>
    <t xml:space="preserve"> Linear construction Length - 335 Ln. M. Pavement Width - 4m. No. of days - 93 working days Equipment / manpower: 1 Civil Engineer 1 Foreman 14 Laborers 4 skilled workers 1 unit Road Grader 1 unit Backhoe 1 unit Dumptruck 1 unit Payloader 1 unit Concrete T</t>
  </si>
  <si>
    <t xml:space="preserve"> 8 pcs Pumpboat Cases 7 pcs Engine 10 HP 2 pcs Engine 16 HP</t>
  </si>
  <si>
    <t xml:space="preserve"> SUZUKI FB TYPE  SCRUM W/ AIRCON</t>
  </si>
  <si>
    <t xml:space="preserve"> SUPPLY AND DELIVERY OF COMPUTER 	 SPECIFICATIONS 	 Computer  Desktop, Bundle (GeForce GTX 1080t; or higher, Intel Core i9 (Quad Core, 4.0 GHz), 32GB RAM or  higher,  750W Gold Rated Power Supply, 512GB SSD+ 2TB HDD, Licensed Windows 10 OS and MS Office 20</t>
  </si>
  <si>
    <t xml:space="preserve"> The DPWH-Ilocos Norte Second District Engineering Office, through its Bids and Awards Committee (BAC), invites contractors to submit bids for the Contract: Procurement ID/Contract ID: 20AB0125 Contract Name/Location: CONCRETING OF BRGY. POBLACION 1-PANGIL</t>
  </si>
  <si>
    <t xml:space="preserve"> Procurement of Various Supplies in response to COVID 19 pandemic.</t>
  </si>
  <si>
    <t xml:space="preserve"> OPENING OF BIDS IN DSWD FO IX ZAMBOANGA CITY DELIVERY IN DSWD FO IX, ZC PROCUREMENT FOR THE FF.: 		 		 2	unit	LARGE GROUP CONFERENCE CAMERA (SEE ATTACHED SPECS AT ASSOCIATED COMPONENT) 2	unit	COMPUTER SPEAKER  FOR VEDIO CONFERENCING (SEE ATTACHED SPECS AT</t>
  </si>
  <si>
    <t xml:space="preserve"> The Municipality of San Mariano, Isabela invite bidders to participate in this procurement, Supply and Delivery of One Lot Heavy Equipment Approved Budget: Php.16,640,604.36 Specification:  A.	One (1) Unit Brand New Payloader -	Operating Weight: 17 tons -</t>
  </si>
  <si>
    <t xml:space="preserve"> 1 lot</t>
  </si>
  <si>
    <t xml:space="preserve"> RAPID TEST KIT	400	SETS 		 			 TO BE USED IN DETECTING EMPLOYEES POSSIBLY INFECTED WITH THE CORONA VIRUS DISEASE 2019 (COVID 19)</t>
  </si>
  <si>
    <t xml:space="preserve"> 01 JULY 2020 INVITATION TO BID FOR THE SUPPLY AND DELIVERY OF RISOGRAPH PRINTING INKS AND  CONSUMABLES  FOR DIVISION OF CITY SCHOOLS 	 	 1.	The City of Caloocan, through the Special Education Fund and included in the 2020 Annual City School Board Budget a</t>
  </si>
  <si>
    <t xml:space="preserve"> Section I. Invitation to Bid Republic of the Philippines Province of Davao del Norte MUNICIPALITY OF TALAINGOD 								1 July, 2020 Invitation to Bid for CONSTRUCTION OF SAFE CLOSURE AND REHABILITATION OF OPEN DUMPSITE (@ Tibi-Tibi, Sto. Niño,Talaingod, D</t>
  </si>
  <si>
    <t xml:space="preserve"> INVITATION TO BID FOR (GOODS &amp; SERVICES)       20GJC0218 – Equipment Rental: 5.93 days One Bagger Mixer etc. Repair/Maintenance of                              Road Safety Facilities along National Roads, Instllation of Guardrails along                   </t>
  </si>
  <si>
    <t xml:space="preserve"> 34	meter	 THHN wire #14 25	meter	 PDX wire # 14( ) 3	pc	 electrical tape (big) 2	set	 junction  box  2	box	 electrical staple wire #1 5	pc	 socket 2	set	 Outlet( 2 gang) 2	pc	 LED bulb  11 watts 3	pc	 Pvc receptacle 4x4 1	set	 circuit breaker (20 amp.) 3	</t>
  </si>
  <si>
    <t xml:space="preserve"> Republic of the Philippines Province of Cagayan Municipality of Baggao INVITATION TO BID FOR THE PROCUREMENT OF CIVIL WORKS The LOCAL GOVERNMENT UNIT OF BAGGAO, CAGAYAN, through 5-06-04-030-02 (20% DF) SB #01-2019 intends to apply the sum of Seven Hundred</t>
  </si>
  <si>
    <t xml:space="preserve"> 25	paxs	Meals 25	paxs	Meals 25	paxs	Meals 25	paxs	Meals 25	paxs	Meals 25	paxs	Meals 25	paxs	Meals 25	paxs	Meals 25	paxs	Meals 25	paxs	Meals 25	paxs	Meals 25	paxs	Meals 25	paxs	Meals 25	paxs	Meals 25	paxs	Meals 25	paxs	Meals 25	paxs	Meals 25	paxs	Meals 25	</t>
  </si>
  <si>
    <t xml:space="preserve"> ARTICLE AND DESCRIPTION                  										 ITEM	QTY	UNIT						CEILING 		UNIT PRICE			TOTAL  								PRICE					 			Office:  City General Services Office					PR No. 851					 			Charge to: Machineries and Equipment-Office Equipment					OBR No. 100-2</t>
  </si>
  <si>
    <t xml:space="preserve"> Item Number	Description	Qty	UNIT	Total 1	PARACETAMOL SYRUP  250 mg   6o ml	20	PCS	740.00 2	PARACETAMOL DROPS 30 ml	20	PCS	700.00 3	PARACETAMOL TABLETS	15	BOX	1,005.00 4	ASCORBIC VITAL C 500 mg CAPSULE 	10	BOX	7,500.00 5	AMOXICILLIN 125 mg	20	PCS	585.00 6	</t>
  </si>
  <si>
    <t xml:space="preserve"> See attached document</t>
  </si>
  <si>
    <t xml:space="preserve"> INVITATION TO BID The DPWH, Masbate 3rd District Engineering Office, Dimasalang, Masbate through its Bids and Awards Committee (BAC), invites contractors to submit bids for the following Contract: Procurement ID/ Contract ID:	20FJ0033 Contract Name:	Const</t>
  </si>
  <si>
    <t xml:space="preserve"> City Administrator's Office P.R. No. : 2020-06-2565 Date: 06/18/2020 Date: 90,000.00 LAPTOP: AMD RYZEN 7 4800HS (8-CORES 16-THREADS) | G15 GA502IU-AZ077T | 15.6" FULL HD IPS 240HZ DISPLAY | 8GB DDR4 2666MHZ | 512GB PCI-E 2 SSD | NVIDIA GTX 1660TI 6GB GDDR</t>
  </si>
  <si>
    <t xml:space="preserve"> PROCUREMENT AND DELIVERY OF  ONE (1) UNIT AMBULANCE  The LOCAL GOVERNMENT UNIT OF PANDAN, ANTIQUE, through the Capital Outlay intends to apply the total sum of One Million Eight Hundred Thousand Pesos Only (Php 1,800,000.00), being the Approved Budget for</t>
  </si>
  <si>
    <t xml:space="preserve"> 50 Pcs CARD (Smart Buddy) 500 53 Pcs CARD (Talk n' Text ) 300 40 Pcs CARD  (Globe) 500 3 Pcs CARD (Talk n' Text) 300</t>
  </si>
  <si>
    <t xml:space="preserve"> Zamboanga Sibugay 1st District Engineering Office Brgy. Kauswagan, Diplahan, Zamboanga Sibugay INVITATION TO BID (June 30, 2020) The Zamboanga Sibugay 1st District Engineering Office, through its Bids and Awards Committee (BAC), invites contractors to sub</t>
  </si>
  <si>
    <t xml:space="preserve"> Republic of the Philippines Province of Albay Municipality of Sto. Domingo Bids and Awards Committee 	 Invitation to Apply for Eligibility and to Bid: 06-02-2020 	The LGU- Sto. Domingo, Albay through its Bids and Awards Committee (BAC) invites Suppliers/M</t>
  </si>
  <si>
    <t xml:space="preserve"> Purchase of construction materials and supplies for the Improvement of Multi-purpose Building project of Barangay Monte Dujali, San Isidro, Davao del Norte.</t>
  </si>
  <si>
    <t xml:space="preserve"> Republic of the Philippines                   Department of Health	       CENTRAL OFFICE BIDS AND AWARDS COMMITTEE  INVITATION TO BID FOR THE REHABILITATION OF DEPARTMENT OF HEALTH (DOH) CAMPUS WIDE NETWORK IB NO. 2020-228 1.	The Department of Health (DOH</t>
  </si>
  <si>
    <t xml:space="preserve"> INVITATION FOR PRICE QUOTATION Date:  30 June 2020 For The  Supply And Delivery Of Range Finder For SMO Of Legazpi Airport   The Civil Aviation Authority of the Philippines (CAAP) intends to apply the estimated amount   of   Seventy Five Thousand Five Hun</t>
  </si>
  <si>
    <t xml:space="preserve"> Please see attached for details or you may visit the DND website at: https://www.dnd.gov.ph/transparency/procurement/dnd-properbids-and-awards-committee.html</t>
  </si>
  <si>
    <t xml:space="preserve"> INVITATION TO BID The DPWH, Masbate 3rd District Engineering Office, Dimasalang, Masbate through its Bids and Awards Committee (BAC), invites contractors to submit bids for the following Contract: Procurement ID/ Contract ID:	20FJ0032 Contract Name:	Const</t>
  </si>
  <si>
    <t xml:space="preserve"> Rehabilitation of Old City Hall Building (Comfort Room) I. Item SPL: Rehabilitation of Old City Hall Building (Comfort Room)</t>
  </si>
  <si>
    <t xml:space="preserve"> labor for construction</t>
  </si>
  <si>
    <t xml:space="preserve"> ITEM NO.	Unit of issue	ITEM &amp;DESCRIPTION	Brand &amp; Model	QTY.	 1	copy	Investigating Oceanography/2nd ed/Keith Sverdrup &amp; Raphael Kudela/2017		1	 2	copy	Design for Safety/Louis Gullo &amp; Jack Dixon/2018		1	 3	copy	Operation and Control of Renewable Energy Syst</t>
  </si>
  <si>
    <t xml:space="preserve"> Purchase of materials for students to use during classes.</t>
  </si>
  <si>
    <t xml:space="preserve"> Rehabilitation of Drainage Canal along Purok Sunrise, Saranay, Bonifacio St. Phase 1 of Poblacion, Kabacan,Cotabato</t>
  </si>
  <si>
    <t xml:space="preserve"> Republic of the Philippines Province of Nueva Vizcaya BIDS AND AWARDS COMMITTEE (BAC-GOODS) BAC OFFICE, Provincial Capitol, Bayombong, Nueva Vizcaya Tel. No. (078) 392-2650 	 INVITATION TO BID FOR THE SUPPLY AND DELIVERY OF ONE (1) UNIT DEFIBRILLATOR WITH</t>
  </si>
  <si>
    <t xml:space="preserve"> Invitation to Bid For Two (2) Years Subscription of Dark Fiber Facility 1.	The LAND BANK OF THE PHILIPPINES (LANDBANK), through its Corporate Budget for the contract approved by the Board of Directors for 2019intends to apply the total sum of Six Million </t>
  </si>
  <si>
    <t xml:space="preserve"> The DPWH-Ilocos Norte Second District Engineering Office, through its Bids and Awards Committee (BAC), invites contractors to submit bids for the Contract: Procurement ID/Contract ID: 20AB0128 Contract Name/Location: CONCRETING OF SITIO BUGA TO SITIO BING</t>
  </si>
  <si>
    <t xml:space="preserve"> 1.Invitation to Bid. 2.Please see attached file.</t>
  </si>
  <si>
    <t xml:space="preserve"> Republic of the Philippines PROVINCE OF BUKDINON Malaybalay City OFFICE OF THE PROVINCIAL GOVERNOR Bids and Awards Committee INVITATION TO BID FOR THE “SUPPLY AND DELIVERY OF WATER HAND PUMP” ITB No. 2020-163 June 30, 2020 1.	The Provincial Government of </t>
  </si>
  <si>
    <t xml:space="preserve"> Rehabilitation of Drainage Canal along Bonifacio St. Phase II, Poblacion, Kabacan, Cotabato</t>
  </si>
  <si>
    <t xml:space="preserve"> I CARPENTRY WORKS</t>
  </si>
  <si>
    <t xml:space="preserve"> 1 unit vehicle</t>
  </si>
  <si>
    <t xml:space="preserve"> Invitation to Bid for the Exploratory Deepwell Drilling, Installation of Electro-Mechanical Equipment and Power Supply, Construction of Pump House and Fence and Pipelaying of 100mm u.P.V.C. Transmission Pipelines in Barangay Lipay, Villasis, Pangasinan 1.</t>
  </si>
  <si>
    <t xml:space="preserve"> I. Window II. Masonry Works</t>
  </si>
  <si>
    <t xml:space="preserve"> The DPWH-Ilocos Norte Second District Engineering Office, through its Bids and Awards Committee (BAC), invites contractors to submit bids for the Contract: Procurement ID/Contract ID: 20AB0127 Contract Name/Location: CONCRETING OF SITIO BUGA TO CURRIMAO R</t>
  </si>
  <si>
    <t xml:space="preserve"> Linear Construction Length - 267 Ln. m. Pavement width - 5.00 m.  No. of days - 55 working days Equipment / manpower requirements: 1 civil Engineer 1 Foreman 14 Laborers 4 skilled workers 1 unit Road Grader 1 unit Backhoe 1 unit Dumptruck 1 unit Payloader</t>
  </si>
  <si>
    <t xml:space="preserve"> Repair and Maintenance of Road Safety Facilities includes Miscellaneous Structures.</t>
  </si>
  <si>
    <t xml:space="preserve"> Request for Quotation			Date:		 			Quotation No.:		 2020-06-042-June  Company Name 					 					 Address					 					 	Please quote your lowest price on the items listed below, subject to the General Conditions ln the last				 page stating the shortest time o</t>
  </si>
  <si>
    <t xml:space="preserve"> Item I Removal of Damage G.I Roofing Item II Roofing System Item III Painting</t>
  </si>
  <si>
    <t xml:space="preserve"> BID BULLETIN REVISION OF BILL OF QUANTITIES</t>
  </si>
  <si>
    <t xml:space="preserve"> The DPWH-Ilocos Norte Second District Engineering Office, through its Bids and Awards Committee (BAC), invites contractors to submit bids for the Contract: Procurement ID/Contract ID: 20AB0126 Contract Name/Location: CONCRETING OF BUROK BARANIW, BRGY. PAR</t>
  </si>
  <si>
    <t xml:space="preserve"> DepEd, Division of Sorsogon										 Standard Form Number: SF-GOOD-60										 Revised on: May 24, 2004										 REQUEST FOR QUOTATION										 										 						Date:				 						Quotation No.:		20-06-090-_____		 										 										 										 							</t>
  </si>
  <si>
    <t xml:space="preserve"> STREET LIGHTING  - 7 post</t>
  </si>
  <si>
    <t xml:space="preserve"> Repair / Rehabilitation of Slope Protection 		 Cost of Bidding Documents: Php 5,000.00					 Source of Funds: Maintenance Fund 101 CY 2020 The significant times and deadlines of procurement activities are shown below: 1. Issuance of Bidding Documents	Deadl</t>
  </si>
  <si>
    <t xml:space="preserve"> The DPWH-Ilocos Norte Second District Engineering Office, through its Bids and Awards Committee (BAC), invites contractors to submit bids for the Contract: Procurement ID/Contract ID: 20AB0129 Contract Name/Location: CONCRETING OF SITIO USAT, BRGY. BOMITO</t>
  </si>
  <si>
    <t xml:space="preserve"> PROCUREMENT OF CONSTRUCTION MATERIALS FOR THE REHABILITATION/IMPROVEMENT OF DISTRIBUTION PIPES</t>
  </si>
  <si>
    <t xml:space="preserve"> Day 1-7: Breakfast, Lunch, Dinner</t>
  </si>
  <si>
    <t xml:space="preserve"> Unit 	Item Description	Quantity 		 ream	Bondpaper (multiply sub.20 80gsm,size 210x297 mm)	65 ream	Bondpaper (multiply sub.20 80gsm,size 8 1/2 x 13 )	55 pcs.	Signed Pen Black liquid gel ink 0.5mm needle tip	100 box	Fastener	5 doz.	Folder ( Long )	30 pcs.	I</t>
  </si>
  <si>
    <t xml:space="preserve"> FRONT LOAD WASHING MACHINE •	WASHER WITH DRYER •	INVERTER MOTOR •	DISPLAY: TOUCH LED •	CAPACITY: 8Kg and ABOVE	                1	UNIT WATER DISPENSER •	HOT AND COLD WATER DISPENSER	1	UNIT SENSOR ACTIVATED TRASH BIN •	TOUCHLESS INFRARED MOTION SENSOR	5	PIE</t>
  </si>
  <si>
    <t xml:space="preserve"> Republic of the Philippines CITY GOVERNMENT OF ORMOC  2nd /F New Ormoc City Hall Bldg.,Ormoc City Tel # (053) 255-2054 &amp; 560-8050 Local # 1126, 1127 &amp; 1123	      37-________________________ INVITATION TO BID         The City Government of Ormoc, through t</t>
  </si>
  <si>
    <t xml:space="preserve"> Notice of Procurement &amp; RFQ for 2020-06-0013 dated June 29, 2020	Procurement of Automatic Temperature Induction and Disinfection AIO (All-in-One) Machine for use in the DPWH Regional Office No. III	PHP 240,000.00</t>
  </si>
  <si>
    <t xml:space="preserve"> Computer Laptop: Intel Core i5 - 102 IOU processor Colored Printer: with ADF; Print, scan, copy and wifi</t>
  </si>
  <si>
    <t xml:space="preserve"> INVITATION TO APPLY FOR ELIGIBILITY AND TO BID The City of San Juan, Metro Manila, through its Bids and Awards Committee (BAC), invites interested parties to apply for an Eligibility and if found eligible to bid for the – Name of Project Supply and Delive</t>
  </si>
  <si>
    <t xml:space="preserve"> Commonly Used Office supplies</t>
  </si>
  <si>
    <t xml:space="preserve"> Item No.    Qty. Unit     Description 1. 8 pcs. 3mm x 1 1/2 Angle Bar 2. 12 pcs. 5mm x 1 1/2 Angle Bar 3. 4 pcs. 5mm x 1 Angle Bar 4. 7 pcs. G.I pipe #1x S40 5. 3 pcs. G.I pipe #2x S40 6. 13 pcs. 16mm RSB 7. 23 pcs. 12mm RSB 8. 31 pcs. 10 mmRSB 9. 5 box w</t>
  </si>
  <si>
    <t xml:space="preserve"> Invitation to Bid for the PIPELAYING OF 100MM PARALLEL PIPELINES IN BACAG WEST-HIGHWAY in Barangay Bacag West, Villasis, Pangasinan 1.	The VILLASIS WATER DISTRICT, through the 2020 CORPORATE BUDGET APPROVED BY THE GOVERNING BOARDS intends to apply the sum</t>
  </si>
  <si>
    <t xml:space="preserve"> Materials Description	Quantity	Unit SC Booklet Medicine	444	Pcs. SC Booklet Groceries and Prime Commodities	444	Pcs. PWD Booklet Medicine	444	Pcs.</t>
  </si>
  <si>
    <t xml:space="preserve"> INVITATION TO APPLY FOR ELIGIBILITY AND TO BID The City of San Juan, Metro Manila, through its Bids and Awards Committee (BAC), invites interested parties to apply for an Eligibility and if found eligible to bid for the – Name of Project One (1) Lot – Sup</t>
  </si>
  <si>
    <t xml:space="preserve"> INVITATION TO BID         The Local Government Unit of Camaligan, Cam. Sur, through its Bids &amp; Awards Committee (BAC), invites contractors to submit bids for the following contract: Contract Name:  CONSTRUCTION OF MRF MULTI-PURPOSE BUILDING (Covered Court</t>
  </si>
  <si>
    <t xml:space="preserve"> One (1) - Supply of labor, tools and materials (Supply of Labor, Tools and Materials for (6) Months Operation and Basic Maintenance Servicing (OBMS) of the Electro-Mechanical System of BSP Cebu Regional Office per BSP Terms of Reference)           nothing</t>
  </si>
  <si>
    <t xml:space="preserve"> Proposed Earthfilling Bagong Sirang near Obias Residence San Felipe, Naga City</t>
  </si>
  <si>
    <t xml:space="preserve"> Improvement of Multi-Purpose Building @ Brgy Manibaug Pasig, Porac, Pampanga Rib Type Roof 26' 8 pcs CHB 4" 1000 pcs Portland Cement 60 bags 2x5x16 Lumber 10 ocs 2x3x16 Lumber 32 pcs 2x2x12 Lumber 50 pcs Plywood Marine 1/4 20 pcs 10mm Deformed Bars 30 pcs</t>
  </si>
  <si>
    <t xml:space="preserve"> Notice of Procurement and RFQ for 2020-06-0011 - Procurement of Tires for Service Vehicle, Toyota Hi-Ace, Conduction Sticker No. YW 5708, DPWH No. H1-5833</t>
  </si>
  <si>
    <t xml:space="preserve"> Solar Street Light</t>
  </si>
  <si>
    <t xml:space="preserve"> DELIVERY OF SUPPLIES AND MATERIALS FOR GRAVELING OF FMR AND CONCRETING OF FMR PUROK 3 OF BARANGAY PLARIDEL</t>
  </si>
  <si>
    <t xml:space="preserve"> 2 units COVID-19 swabbing booth</t>
  </si>
  <si>
    <t xml:space="preserve"> l.	The MUNICIPALITY OF GUINAYANGAN, QUEZON, through  the  2020 C.O.    intends to apply the sum of  One Hundred Twenty Four Thousand Eighty Two  Pesos                      (P 124,082.00) being the Approved Budget for the Contract (ABC) to payments under t</t>
  </si>
  <si>
    <t xml:space="preserve"> Republic of the Philippines Region IX, Zamboanga Peninsula   PROVINCE OF ZAMBOANGA DEL SUR  Municipality of Guipos -oOo- INVITATION TO BID  PROCUREMENT OF SPAREPARTS FOR 6D17 FUSO FIGHTER DUMPTRUCK AND 6D15 MITSUBISHI DUMPTRUCK 1.	The Municipality of Guip</t>
  </si>
  <si>
    <t xml:space="preserve"> Interconnection of Pipelines at Poblacion Pump Station VI-Interior Roads of Poblacion</t>
  </si>
  <si>
    <t xml:space="preserve"> INVITATION TO APPLY FOR ELIGIBILITY AND TO BID The City of San Juan, Metro Manila, through its Bids and Awards Committee (BAC), invites interested parties to apply for an Eligibility and if found eligible to bid for the – Name of Project  Ordering agreeme</t>
  </si>
  <si>
    <t xml:space="preserve"> DELIVERY OF SUPPLIES AND MATERIALS GRAVELLING OF FMR, CONCRETING OF FMR AND INSTALLATION RCPC OF PUROK 4 BARANGAY PLARIDEL, STA. ELENA, CAMARINES NORTE</t>
  </si>
  <si>
    <t xml:space="preserve"> I - Steel Works      a.  Main Framing &amp; Roof Framing      b.  Equipment Rental II - Carpentry Works      a.  Counter Table &amp; Fascia Board III - Roofing and Accessories IV - Painting Works</t>
  </si>
  <si>
    <t xml:space="preserve"> INVITATION TO BID The Barangay San Isidro-Iraya of Malilipot, Albay through the Bids and Awards Committee (BAC) invites suppliers to bid for the hereunder contract: Name of Contract: Procurement of Materials for the Fencing of Barangay Health Center Locat</t>
  </si>
  <si>
    <t xml:space="preserve"> I. Specifications (Please see attached file @ Associated Components). II. Payment upon 100% completion of project. III. A penalty of one-tenth of one percent (0.001) of the total value of the product(s)/goods purchased shall be deducted for each day of de</t>
  </si>
  <si>
    <t xml:space="preserve"> Invitation to Bid The Manila International Airport Authority, through its Bids and Awards Committee (BAC), invites contractors to apply for eligibility and if found eligible, to bid for the hereunder contract:  Name of Contract                            </t>
  </si>
  <si>
    <t xml:space="preserve"> Proposed Earthfilling Bagong Sirang (Poro) San Felipe, Naga City</t>
  </si>
  <si>
    <t xml:space="preserve"> SUPPLY AND DELIVERY OF MICRONUTRIENT POWDER FOR THE IMPLEMENTATION OF SUPPLEMENTARY FEEDING PROGRAM DURING COMMUNITY QUARANTINE (9TH CYCLE CONTINUATION) PROJECT ID NO: DSWD4B-2020-012   1.	The Department of Social Welfare and Development MIMAROPA Region t</t>
  </si>
  <si>
    <t xml:space="preserve"> Republic of the Philippines RIZAL PROVINCIAL GOVERNMENT Antipolo City INVITATION TO BID  PURCHASE OF UTILITY VEHICLE The Rizal Provincial Government, through the General Fund intends to apply the sum of ₱3,450,000.00 as the Approved Budget for the Contrac</t>
  </si>
  <si>
    <t xml:space="preserve"> Proposed Pathwalk Puring Gamosa, Copradia, Zone 6 San Felipe, Naga City</t>
  </si>
  <si>
    <t xml:space="preserve"> Please quote your price(s) inclusive of VA T on the items listed below, subject to the Terms and Conditions of this RFQ, and submit your Quotation duly signed by your representative not later than July 10, 2020 at Bids and Awards Committee for goods at Ki</t>
  </si>
  <si>
    <t xml:space="preserve"> l.	The MUNICIPALITY OF GUINAYANGAN, QUEZON, through  the  2020 C.O.    intends to apply the sum of  One Hundred Sixty  Two Thousand Three Hundred Ten  Pesos                      (P 162,310.00) being the Approved Budget for the Contract (ABC) to payments u</t>
  </si>
  <si>
    <t xml:space="preserve"> The City Government of Ligao through its Bids and Awards Committee (BAC), now invites bids for the herein project: Name of Contract        :  Opening of Tuburan-Calzada-Bonga FMR Phase II Location                       : Tuburan,  Ligao City Brief Descrip</t>
  </si>
  <si>
    <t xml:space="preserve"> i. Luna Public Market Security Surveillance System ----------------------	178,000.00 ii. Legislative Building  Security Surveillance System --------------------	136,000.00 iii. Rural Health Unit  Security Surveillance System ---------------------	160,000.</t>
  </si>
  <si>
    <t xml:space="preserve"> Proposed Road Reblocking Custodio St. Bagong Sirang San Felipe, Naga City</t>
  </si>
  <si>
    <t xml:space="preserve"> REQUEST FOR QUOTATION Name of Procuring Entity:	BARANGAY SAN ISIDRO-IRAYA, MALILIPOT, ALBAY Purchase Request No:		PR No. 2020-___- ___ Mode of Procurement:	NP Small Value Procurement Name of Contract: Purchase of Construction Materials for the Repair of D</t>
  </si>
  <si>
    <t xml:space="preserve"> Linear Construction: Length - 600 meters Width - 5 meters No. of days - 49 calendar days Equipment requirements: 1 unit Backhoe 1 unit Payloader 1 unit Low bed trailer 2 units Dumptruck 1 unit Road Grader 1 unit Vibratory Roller 1 unit Water tank Batching</t>
  </si>
  <si>
    <t xml:space="preserve"> VEHICLE (Ambulance) Engine Specification: model 1GD-FTV- 2.8 Diesel M/T Engine tech 4 cylinders, in line type Type 16 valve DOHC Displacement 2,755 cc Maximum output 176/3400 Maximum tourque 420/1400-2600 Bore and stroke 92.0 x 103.6 Compression ratio 15.</t>
  </si>
  <si>
    <t xml:space="preserve"> l.	The MUNICIPALITY OF GUINAYANGAN, QUEZON, through  the  2020 C.O.    intends to apply the sum of  Forty Six Thousand Six Hundred Ninety  Pesos   (P 46,690.00) being the Approved Budget for the Contract (ABC) to payments under the contract for Supply and</t>
  </si>
  <si>
    <t xml:space="preserve"> l.	The MUNICIPALITY OF GUINAYANGAN, QUEZON, through  the  2020 C.O.    intends to apply the sum of  Eighty Seven Thousand Pesos  (P 87,000.00) being the Approved Budget for the Contract (ABC) to payments under the contract for Supply and Delivery of Const</t>
  </si>
  <si>
    <t xml:space="preserve"> Relief Kit(face towel,powdered milk,vitamins,soap)</t>
  </si>
  <si>
    <t xml:space="preserve"> 1.	The Mindanao State University-Tawi-Tawi College of Technology and Oceanography (MSU-TCTO), through the General Appropriations Act (GAA) 2020  intends to apply the sum of One Million Six Hundred Thousand Pesos and  0/100 Centavos (PhP1,600,000.00) being</t>
  </si>
  <si>
    <t xml:space="preserve"> Supply and Delivery of 21,300 Sets of Training Supplies and Materials in the Province of Bohol with the following inclusions per set: •	2 bottles of 150mL Antiseptic Disinfectant Alcohol •	2 bottles of 250mL Multi-Purpose Bleach (Disinfectant) •	1 pc. of </t>
  </si>
  <si>
    <t xml:space="preserve"> l.	The MUNICIPALITY OF GUINAYANGAN, QUEZON, through  the  2020 C.O.    intends to apply the sum of  Sixty Two Thousand Two Hundred Fifty Pesos  (P 62,250.00) being the Approved Budget for the Contract (ABC) to payments under the contract for Supply and De</t>
  </si>
  <si>
    <t xml:space="preserve"> Improvement of Barangay Health Center</t>
  </si>
  <si>
    <t xml:space="preserve"> 1	set	Continuous Printer 2	bottle	Epson L220 ink refill Black  2	bottle	Epson L220 ink refill Yellow 2	bottle	Epson L220 ink refill Magenta  2	bottle	Epson L220 ink refill Cyan 10	ream	Book Paper (Sub 20 short) 3	pouch	Laminating Film (short) 10	piece	Bro</t>
  </si>
  <si>
    <t xml:space="preserve"> INVITATION TO APPLY FOR ELIGIBILITY AND TO BID The City of San Juan, Metro Manila, through its Bids and Awards Committee (BAC), invites interested parties to apply for an Eligibility and if found eligible to bid for the – Name of Project One (1) lot – Sup</t>
  </si>
  <si>
    <t xml:space="preserve"> ITB No. 2020-79 July 1, 2020 Republic of the Philippines Province of Davao Oriental CITY OF MATI INVITATION TO BID CONSTRUCTION OF ONE TOWN ONE PRODUCT (OTOP) AND ORGANIC TRADING PORT (OTP) Name of Project 1.	The City Government of Mati, through the 20% L</t>
  </si>
  <si>
    <t xml:space="preserve"> G.I PIPE 2 ½’’ S 40 14 PCS	 	LED BULB 16 WATTS 70PCS	 	G,I PIPE ¾’S 40 14PCS	 	10 MM STEEL BAR 30PCS	 	9 MM STEEL BAR 30PCS	 	4X4 RECEPTACLE 95PCS	 	G.I. SHEET GAUGE 18 2PCS	 	3/16 X 1 FLAT BAR 10PCS	 	ELECTRIC TAPE BIG 5PCS	 	STRANDED WIRE #14 3BOXES	 	3</t>
  </si>
  <si>
    <t xml:space="preserve"> I. Specifications (Please see attached files @ Associated Components). II. Payment upon 100% completion of project. 10% Performance Security shall be deducted and will be refunded to the supplier after One (1) year of completion of the project. III. Penal</t>
  </si>
  <si>
    <t xml:space="preserve"> 172 bags Bangus feeds grower 30 bags Fry mash 5 bags Shrimp feeds (starter) 35 bags Shrimp feeds (grower) 10 bags Shrimp feeds (finisher)</t>
  </si>
  <si>
    <t xml:space="preserve"> INVITATION TO BID FOR THE REBIDDING OF SUPPLY AND DELIVERY OF VARIOUS LABORATORY SUPPLIES AND CONSUMABLES (32 items) 1.	The Department of Agriculture Regional Field Office 1 (DA RFO-1), through the GAA FY 2020 intends to apply the sum of Six Hundred Twent</t>
  </si>
  <si>
    <t xml:space="preserve"> STREET LIGHTING  - 5 POST</t>
  </si>
  <si>
    <t xml:space="preserve"> Please quote your lowest price on the SUPPLY AND DELIVERY OF TIRES  FOR  MONTERO OF VICE-MAYOR’S OFFICE  as specified below and submit your quotation duly signed by your representative not later than 2pm of       JULY 8, 2020 				 					 								    LEONOR</t>
  </si>
  <si>
    <t xml:space="preserve"> 8	Unit 	Photocopier 		General 		•Warm Up time: 31 Seconds 		•First Output speed:8.8 seconds 		• Continous Output Speed: 20 pages per minute 		• Weight: 33.5 kg 		Scan 		• File Format: TIF,JPEG,PDF 		• Scan to: Email/Folder (Option) 		Copier 		• Copying Pr</t>
  </si>
  <si>
    <t xml:space="preserve"> l.	The MUNICIPALITY OF GUINAYANGAN, QUEZON, through  the  2020 C.O.    intends to apply the sum of  Two Hundred Twelve Thousand Three Hundred Twenty  Pesos                   (P 212,320.00) being the Approved Budget for the Contract (ABC) to payments under</t>
  </si>
  <si>
    <t xml:space="preserve"> INVITATION TO BID FOR NMC &amp; PASUQUIN EXTENSION RIS, PACKAGE 3; REMAINING WORKS ; CLIMATE CHANGE ADAPTATION WORKS (CCAW) FUND; CY 2019 REFERENCE NO. INIMO-2020-06-041 1.	The National Irrigation Administration –Ilocos Norte Irrigation Management Office, thr</t>
  </si>
  <si>
    <t xml:space="preserve"> Supply and delivery of labor and materials for the repair of FLGC Warehouse covering the replacement of damaged canopy roofings, provision of new main gate, concreting and installation of concrete fence and repair of perimeter fence with barbed wire.</t>
  </si>
  <si>
    <t xml:space="preserve"> 1	bottle	Epson L220 ink refill Black  1	bottle	Epson L220 ink refill Yellow 1	bottle	Epson L220 ink refill Magenta  1	bottle	Epson L220 ink refill Cyan 6	ream	Book Paper (Sub 20 long) 1	box	Staple Wire no.35 1	pc	External hard drive 1tb 1	pc	Bluetooth tro</t>
  </si>
  <si>
    <t xml:space="preserve"> Eco bag with print used for Womens Welfare Program</t>
  </si>
  <si>
    <t xml:space="preserve"> Printing Services for the 2020 CPH</t>
  </si>
  <si>
    <t xml:space="preserve"> OPENING OF BIDS IN DSWD FO IX ZAMBOANGA CITY												 DELIVERY IN DSWD FO IX ZC												 PROCUREMENT FOR THE FF.												 																									 24 can AIR FRESHENER, aerosol, 280ml/150g min, in can, shrink wrapped, assorted scents												</t>
  </si>
  <si>
    <t xml:space="preserve"> LABORATORY CHEMICALS AND SUPPLIES (3 items) 1.	The Department of Agriculture Regional Field Office 1 (DA RFO-1), through the GAA FY 2020 intends to apply the sum of Thirty-Six Thousand Four Hundred Pesos (PhP36,400.00) being the Approved Budget for the Co</t>
  </si>
  <si>
    <t xml:space="preserve"> 1	set	biometric finger scanner</t>
  </si>
  <si>
    <t xml:space="preserve"> LOT 1		ABC= 2,597,200.00 1	51,944	Liter	Diesel Fuel 			 			•Winning supplier shall install at the General Services one (1) unit tank for diesel and fuel with total capacity of 16,000 liters and one (1) unit fuel pump for free us of the end-user for the du</t>
  </si>
  <si>
    <t xml:space="preserve"> Republic of the Philippines PROVINCE OF BOHOL  Municipality of Pres. Carlos P. Garcia Tel. No. 519-2010 INVITATION TO APPLY FOR ELIGIBILITY AND TO BID The LGU-Pres. C. P. Garcia, through its Bids and Awards Committee (BAC), invites suppliers/manufacturers</t>
  </si>
  <si>
    <t xml:space="preserve"> Republic of the Philippines DEPARTMENT OF PUBLIC WORKS AND HIGHWAYS NORTHERN SAMAR FIRST  DISTRICT ENGINEERING OFFICE REGIONAL OFFICE VIII Catarman, N. Samar INVITATION TO APPLY FOR ELIGIBILITY AND TO BID The DPWH Northern Samar 1st District Engineering O</t>
  </si>
  <si>
    <t xml:space="preserve"> REPUBLIC OF THE PHILIPPINES PROVINCE OF CEBU MUNICIPALITY OF PINAMUNGAJAN Invitation to Bid for : CONSTRUCTION OF NEW MUNICIPAL CEMETERY 						 1. The MUNICIPALITY OF PINAMUNGAJAN, through the GENERAL FUND  intends to apply the sum of  FOUR  MILLION PESOS</t>
  </si>
  <si>
    <t xml:space="preserve"> Please download attached file in the associated component area for the list of supplies/materials and scope of work.</t>
  </si>
  <si>
    <t xml:space="preserve"> Province of Agusan del Sur Municipality of Rosario Barangay Sta. Cruz Invitation to Bid for CONSTRUCTION OF TRIBAL CENTER 1. The Barangay Sta. Cruz Local Government Unit, through the Government of the Philippines, General Appropriation Act 2018 intends to</t>
  </si>
  <si>
    <t xml:space="preserve"> Black with PSA name and 2020 CPH Logo, 14"x12" Landscape Format and covered in leatherette with Plastic Stopper</t>
  </si>
  <si>
    <t xml:space="preserve"> 10 units LCD PROJECTOR TECHNOLOGY Projection System 3LCD Technology LCD Panel 0.55 inch with D7 IMAGE Colour Light Output 3,200 lumen-2,240 lumen (economy) In accordance with IDMS15.4 White Light Output 3,200 lumen - 2,240 lumen (economy) In accordance wi</t>
  </si>
  <si>
    <t xml:space="preserve"> Pencil Eraser Sharpener Notebook Whiteboard Marker Masking Tape Permanent Marker Corrugated Box Packaging Tape Plastic Twine Wrapping Paper Shoelace Ballpen  A4 Bond Paper Letter Bond Paper F4 Bond Paper Ink/Toner Duplo Ink Master Roll</t>
  </si>
  <si>
    <t xml:space="preserve"> QUARTERLY PREVENTIVE MAINTENANCE SERVICES OF CLOSED CIRCUIT TELEVISION (CCTV) FOR 3rd AND 4th QUARTERS AT VARIOUS SSS BRANCH OFFICES UNDER LUZON CENTRAL 2 DIVISION (SSS Angeles, Baliuag, Bocaue, Malolos, Meycauayan, Olongapo &amp; Pampanga Branch Offices) *Pl</t>
  </si>
  <si>
    <t xml:space="preserve"> R/M</t>
  </si>
  <si>
    <t xml:space="preserve"> Particulars: 18280 liters Diesel Please download the linkage below For the complete bidding documents.</t>
  </si>
  <si>
    <t xml:space="preserve"> Maintenance, Repair and Rehabilitation of Infrastructure Facilities and Other Related Activities - Public Buildings: Repair/ Maintenance of DOJ Building National Bureau Investigation Office Building North Drive, Baguio City Contract Location :	Baguio City</t>
  </si>
  <si>
    <t xml:space="preserve"> The DPWH Neg. Occ. 4th District Engineering Office, Bago City, Neg. Occ., through its Bids and Awards Committee (BAC), invites contractors to submit bids for the following Contracts: 2.	Contract ID No.:       	20GN0093 	Contract Name:  	Concreting of Brgy</t>
  </si>
  <si>
    <t xml:space="preserve"> Request for Qoutation The Municipality of Sta. Rita now invites Suppliers to submit Bids for the CATERING SERVICES FOR THE DISTRIBUTION OF FARMERS ASSISTANCE. The Approved Budget Cost is One Hundred Thousand Pesos (Php100,000.00). Said prospective supplie</t>
  </si>
  <si>
    <t xml:space="preserve"> Internet Subscription Expenses</t>
  </si>
  <si>
    <t xml:space="preserve"> The DPWH Neg. Occ. 4th District Engineering Office, Bago City, Neg. Occ., through its Bids and Awards Committee (BAC), invites contractors to submit bids for the following Contracts: 1.	Contract ID No.:       	20GN0092 	Contract Name:  	Concreting of Brgy</t>
  </si>
  <si>
    <t xml:space="preserve"> NATIONAL FOOD AUTHORITY Siquijor Provincial Office Larena, Siquijor REQUEST FOR QUOTATION SMALL VALUE PROCUREMENT  Ref: Small Value Procurement Invitation No. 2020-06-001 2020 REPAIR OF PERIMETER FENCE(PHASE I) OF  NFA COMPOUND, LARENA, SIQUIJOR NOTICE IS</t>
  </si>
  <si>
    <t xml:space="preserve"> Supply and Delivery of 3,612 sets of Peerless Box for Pag-IBIG Fund Specifications: Box Dimension: 0.31m x 0.38m x 0.25m (12” x 15” x 10”) Logo: 3.0” x 3.0” Box No.: 1.5” x 4.0” Period Covered: 1.5” x 4.0” Record Title: 1.5” x 11.5” Creation Date: 1.5” x </t>
  </si>
  <si>
    <t xml:space="preserve"> Project Name : Supply and Delivery of Personal Care Products School Year 2020 - 2021  Approved Budget of Contract ( ABC ) : Php 57,085.00 Area of Delivery : Gulod Elementary School, Gulod, Cabuyao City, Laguna Date of Submission and Opening of Quotation :</t>
  </si>
  <si>
    <t xml:space="preserve"> Project Name : Supply and Delivery of Medical /Medical Instrument School Year 2020 - 2021  Approved Budget of Contract ( ABC ) : Php 4,850.00 Area of Delivery : Gulod Elementary School, Gulod, Cabuyao City, Laguna Date of Submission and Opening of Quotati</t>
  </si>
  <si>
    <t xml:space="preserve"> GRAVEL 90 CUBIC M.	 	ALBAY SAND 72 CUBIC M.	 	POZOLAN CEMENT 720 BAGS	 	C-PURLINS (2X4X6X1.5) 10 PCS</t>
  </si>
  <si>
    <t xml:space="preserve"> Republic of the Philippines Province of Albay Municipality of Rapu-Rapu Barangay Buenavista INVITATION TO BID FOR THE 20% EDF CY 2019 PROJECTS 1.	The Barangay Local Government Unit of Buenavista, Rapu-Rapu, Albay, through the Budget for the Contract Appro</t>
  </si>
  <si>
    <t xml:space="preserve"> Republic of the Philippines Province of Albay Municipality of Rapu-Rapu Barangay Malobago INVITATION TO BID FOR THE CONSTRUCTION OF SEAWALL PHASE 1 1.	The Barangay Local Government Unit of Malobago, Rapu-Rapu, Albay, through the Budget for the Contract Ap</t>
  </si>
  <si>
    <t xml:space="preserve"> 65 bags Portland Cement 200 pcs. CHB 4'' 8 cu.m. washed Sand 6 cu.m. washed gravel 1 set 1.0m x 2.0m door (Frame w/ G.I Pipe) 8 pcs. glass block 40 pcs. 10mm dia. x 6.0m RSB 12 pcs. 16mm dia. x 6.0m RSB 30 pcs. 2''x3''x12' form lumber 10 kls. #16 tie wire</t>
  </si>
  <si>
    <t xml:space="preserve"> Deadline of Submission of Quotation: July 8, 2020, 2:00 PM Opening of Quotation: July 8, 2020, 3:00 PM at the BAC Office</t>
  </si>
  <si>
    <t xml:space="preserve"> 1. 1 unit 6’ x 8’ Tarpaulin Printing ( Project Billboard) 2. 2 unit 2’ x 6’ Tarpaulin Printing ( Warning Sign Board) 3. 10 pcs. 2 x 2 x 10 Good Lumber – 33.33 bd.ft. 4. 6 pcs. 2 x 3 x 10 Good Lumber – 30.00 bd.ft 5. 34 pcs. 2 x 2 x 10 Good Lumber ( for bo</t>
  </si>
  <si>
    <t xml:space="preserve"> INVITATION TO BID for PURCHASE OF ONE (1)   RESCUE VEHICLE (MULTICAB) WITH ESSENTIAL RESCUE EQUIPMENT The Municipality of Tingloy, through the LDRRMF FUND  intends to apply the sum of FOUR HUNDRED THOUSAND PESOS (PHP 400,000.00) being the Approved Budget </t>
  </si>
  <si>
    <t xml:space="preserve"> INVITATION TO BID for PURCHASE OF ONE (1)    FIRETRUCK ( MULTICAB) WITH FIRE RESCUE EQUIPMENT 1.The Municipality of Tingloy, through the LDRRMF FUND  intends to apply the sum of FIVE HUNDRED THOUSAND PESOS (PHP 500,000.00) being the Approved Budget for th</t>
  </si>
  <si>
    <t xml:space="preserve"> GENERAL MERCHANDISE					 STAND fan standard for office	2	units Welding rod J38.12 E6013		4	boxes Industrial fan 				1	unit Welding rod for stainless special	2	boxes</t>
  </si>
  <si>
    <t xml:space="preserve"> Republic of the Philippines        NATIONAL FOOD AUTHORITY                 Cebu Provincial Office Banilad, Cebu City                     REQUEST FOR QUOTATION RE-NEGOTIATED Procurement SMALL VALUE PROCUREMENT  Ref: Small Value Procurement Invitation No. 2</t>
  </si>
  <si>
    <t xml:space="preserve"> The Barangay 76 Zone 10, through its Bids and Awards Committee (BAC) invites suppliers/manufacturers/distributors/contractors to apply and submit sealed bids for Proposed Construction of Concrete Pedestal, Supply and Installation of Lighting Facilities Ph</t>
  </si>
  <si>
    <t xml:space="preserve"> Philippine Science High School – Central Luzon Campus (PSHS-CLC) wishes to invite proponent for the Procurement for the Provision of Calibration Services of Various Science Laboratory Equipment for SY 2020-2021 of PSHS-CLC with ABC of Seventy-Five Thousan</t>
  </si>
  <si>
    <t xml:space="preserve"> 4 pcs. 1 1/2'' dia. G.I Pipe S40 1 pc. Pipe wrench 36'' 1 pc. Pipe chain wrench 36'' 4 pcs. 1 1/2'' dia. G.I Coupling  1 pail Chlorine 1 roll 1/2 dia. P.E pipe</t>
  </si>
  <si>
    <t xml:space="preserve"> INVITATION TO BID for PURCHASE OF ONE (1)   MULTIPURPOSE (MULTICAB)  VEHICLE  1.The Municipality of Tingloy, through the LDRRMF FUND  intends to apply the sum of THREE HUNDRED THOUSAND PESOS (PHP 300,000.00) being the Approved Budget for the Contract (ABC</t>
  </si>
  <si>
    <t xml:space="preserve"> Purchase of Paint</t>
  </si>
  <si>
    <t xml:space="preserve"> Installation of 14 units solar streetlights at various sitios</t>
  </si>
  <si>
    <t xml:space="preserve"> A12 300Mbps Repeater Range Extender	7 pcs Uninterruptible power supply (UPS)	7 pcs Smart TV 32"	4 pcs Printer Scan legal paper, Refill Tank System, Wifi, Mobile-Print, ADF Print, Scan and Copy with Built-in Wireless Borderless Printing	10 pcs 500GB Hard D</t>
  </si>
  <si>
    <t xml:space="preserve"> DPWH, Isabela City District Engineering Office Tabuk, Isabela City, Basilan Province INVITATION TO BID The DPWH Isabela City District Engineering Office, through its Bids and Awards Committee (BAC), invites contractors to submit bids for the following Con</t>
  </si>
  <si>
    <t xml:space="preserve"> 10  PC   INK, EPSON L3110, CYAN 10  PC   INK, EPSON L3110, MAGENTA 10  PC   INK, EPSON L3310, YELLOW 30  PC   INK, EPSON T664, BLACK 20  SET INK, EPSONT664, CYAN, MAGENTA, YELLOW   5  PC  TONER CARTRIDGE, HP 85A   2  PC  TONER CARTRIDGE, SAMSUNG, CLT-K404</t>
  </si>
  <si>
    <t xml:space="preserve"> 1000 pcs Rapid Covid Testing Kit</t>
  </si>
  <si>
    <t xml:space="preserve"> Republic of the Philippines										 Department of Public Works and Highways										 Quezon 1st District Engineering Office										 Brgy. Abang, Lucban, Quezon										 	Name of procuring Entity :					 Request for Quotation (P.R. No.)  :			2020-06-1</t>
  </si>
  <si>
    <t xml:space="preserve"> 5 rolls P,E Pipe 1'' dia. 5 pcs. 1'' dia. Union patente 3 pcs. 1 1/2'' x 1'' dia. Elbow reducer 3 pcs. 1'' dia. Elbow 4 unit jecmatic pump 2 pcs. pitcher pump 3 pcs. foot valve 4 pcs. 1 1/4'' dia. Check valve 4 pcs. 1'' dia. check valve 2 pcs. pipe wrench</t>
  </si>
  <si>
    <t xml:space="preserve"> Purchase of Rescue Equipment</t>
  </si>
  <si>
    <t xml:space="preserve"> JOSE B. LINGAD MEMORIAL REGIONAL HOSPITAL City of San Fernando, Pampanga Tel. No. (045) 961-3921 Date: July 01, 2020 No. 2020 – 07 - 206-S REQUEST FOR QUOTATION (Name of Agency) (Address) Sir/Madam: Please quote your lowest price on the item/s listed belo</t>
  </si>
  <si>
    <t xml:space="preserve"> Republic of the Philippines Office of the Municipal Mayor BIDS AND AWARDS COMMITTEE Sual, Pangasinan Invitation to Bid for PROCUREMENT OF OFFICE SUPPLIES AND EQUIPMENT (MPDO) Sual, Pangasinan 1.	The Municipal Government of Sual, Pangasinan, through the 20</t>
  </si>
  <si>
    <t xml:space="preserve"> JOSE B. LINGAD MEMORIAL REGIONAL HOSPITAL City of San Fernando, Pampanga Tel. No. (045) 961-3921 Date: July 01, 2020 No. 2020 – 07 - 205-S REQUEST FOR QUOTATION (Name of Agency) (Address) Sir/Madam: Please quote your lowest price on the item/s listed belo</t>
  </si>
  <si>
    <t xml:space="preserve"> RGMO			 TRACTOR (MF 445) 			 1	kit	2	Tie Rod End 2	kit	2	Rack End 3	pcs	2	Packing Seal 4	pcs	2	Dust Steal 			 TRACTOR (MF 460 4WD)			 1	kit	2	Steering Arm (Tierod End) 2	set	1	Fuel Pump Assy 3	pcs	2	Quick Release Valve 4	pc	1	Crankshaft Oil Seal (Front) 5</t>
  </si>
  <si>
    <t xml:space="preserve"> HARDWARE AND CONSTRUCTION SUPPLIES	 				 SQUARE BAR for grills          20	pcs FLAT BAR				 10	pcs Marine plywood 1/4		40	pcs Coco lumber 2x2x10		40	pcs</t>
  </si>
  <si>
    <t xml:space="preserve"> PROCUREMENT OF CELL PHONE WITH SPECS OF 500 MAH BATTERY , 3 GB RAM + 32 GB ROM, QUAL  COMM. OCTA CORE PROCESSOR, 6.35 INCHES HALO FULL VIEW DISPLAY, FINGER PRINT SCANNING. FOR FURTHER DETAILS VISIT THE BARANGAY</t>
  </si>
  <si>
    <t xml:space="preserve"> Repair of the University Homestay 1	30	pcs	Ordinary Corrugated Color Roofing (green),0.4 mm thkx6mx1.0m effective width 2	10	pcs	Plain Sheet Color Rooofing (Green),0.4 mm thk x 1.2m x 2.4m 3	30	pcs	Spanish Gutter Color Roofing (green),0.4 mm thk x 2.4m 4	</t>
  </si>
  <si>
    <t xml:space="preserve"> Province of Agusan del Sur Municipality of Rosario Barangay Maligaya Invitation to Bid for CONSTRUCTION OF TRIBAL CENTER 1.	The Barangay Maligaya Local Government Unit, through the Government of the Philippines, General Appropriation Act 2018 intends to a</t>
  </si>
  <si>
    <t xml:space="preserve"> RGMO - RV SUDARIA			 1	Unit 	 10 	54LED 3W 3in1 RGB Full Color Led par light 2	Unit 	1	Guitar Amplifier (Power:85 watts Drivers:12" Custom Driver + Switchable HF horn Inputs: Normal &amp; High, CD Input: Yes (mini Jack)/No Headphone Socket,Switchable compress</t>
  </si>
  <si>
    <t xml:space="preserve"> Republic of the Philippines MUNICIPALITY OF BUNAWAN, AGUSAN DEL SUR Invitation to Bid/ Instruction to Bidders PURCHASE OF ORGANIC FERTILIZER – GRANULES USE TO SUPPORT TO ORGANIC AGRICULTURE PROGRAM July 01, 2020 1.	The Municipality of Bunawan, now invite </t>
  </si>
  <si>
    <t xml:space="preserve"> SPECIFICATION: 10units SCOPE OF WORK: I- Steel Post II- Electrical III- Concrete Works IV- Painting</t>
  </si>
  <si>
    <t xml:space="preserve"> Republic of the Philippines Province of Sarangani Municipality of Malapatan INVITATION TO BID  	 2020-B1-06-020        PROCUREMENT OF MATERIALS FOR REHABILITATION OF CRISIS INTERVENTION CENTER BUILDING, MUNICIPAL SITE, BARANGAY POBLACION, MALAPATAN, SARAN</t>
  </si>
  <si>
    <t xml:space="preserve"> Republic of the Philippines MUNICIPALITY OF BUNAWAN, AGUSAN DEL SUR Invitation to Bid/ Instruction to Bidders PURCHASE OF ORGANIC FOLIAR FERTILIZER USE TO SUPPORT TO ORGANIC AGRICULTURE PROGRAM July 01, 2020 1.	The Municipality of Bunawan, now invite bids</t>
  </si>
  <si>
    <t xml:space="preserve"> SMALL VALUE PROCUREMENT (REQUEST FOR QUOTATION/PROPOSALS) July 1, 2020 The Bureau of Jail Management and Penology National Capital Region, through its Bids and Awards Committee (BAC), invites suppliers/ manufacturers/distributors/contractors to quote the </t>
  </si>
  <si>
    <t xml:space="preserve"> Republic of the Philippines MUNICIPALITY OF BUNAWAN, AGUSAN DEL SUR Invitation to Bid/ Instruction to Bidders PURCHASE OF RICE PLANTER USE TO SUPPORT RICE PRODUCTION FOR THE MUNICIPALITY OF BUNAWAN July 01, 2020 1.	The Municipality of Bunawan, now invite </t>
  </si>
  <si>
    <t xml:space="preserve"> The DPWH Nueva Ecija 1st DEO, through its Bids and Awards Committee (BAC), invites contractors to submit bids for the following contract:			 				 	20CE0234: Construction of Multi-Purpose Building with Covered Court, Zaragoza, Nueva Ecija			 				 				 	CON</t>
  </si>
  <si>
    <t xml:space="preserve"> Republic of the Philippines Province of Leyte Municipality of Mahaplag BARANGAY CAMPIN Invitation to bid for the Procurement of Materials for the Road Reblocking 1. The Barangay Campin of Mahaplag, Leyte, through the 20% EDF intends to apply the sum of Ph</t>
  </si>
  <si>
    <t xml:space="preserve"> Republic of the Philippines Province of Leyte Municipality of Mahaplag BARANGAY SAN ISIDRO Invitation to bid for the Procurement of Materials for the Construction of Multi - Purpose Building (Phase I) 1. The Barangay San Isidro of Mahaplag, Leyte, through</t>
  </si>
  <si>
    <t xml:space="preserve"> Please see attached Bid Documents</t>
  </si>
  <si>
    <t xml:space="preserve"> The DPWH Nueva Ecija 1st DEO, through its Bids and Awards Committee (BAC), invites contractors to submit bids for the following contract:			 				 	20CE0236: Replacement of Permanent Weak Bridges Amawinan Br. (B01981LZ) along Daang Maharlika (LZ)			 				 	</t>
  </si>
  <si>
    <t xml:space="preserve"> 1	set	1	Supply and Installation of 50KVA Silent Type 			Generator Set with ATS and Canopy 			220V @60Hz, Prime KVA: 50KVA 			Standby KVA: 55KVA, Phase:3,RPM:1500 			Engine: Diesel Turbo, Dimension 			LXWXH 2350mmx900mmx1150mm 			Weight -1 Ton, Tank Capaci</t>
  </si>
  <si>
    <t xml:space="preserve"> The DPWH Nueva Ecija 1st DEO, through its Bids and Awards Committee (BAC), invites contractors to submit bids for the following contract:			 				 	20CE0235: Widening of Permanent Bridges Manicla Br. (B01968LZ) along Daang Maharlika (LZ)			 				 				 	CONT</t>
  </si>
  <si>
    <t xml:space="preserve"> SOURCE OF FUND: MOOE 2020 ITEMS: 1. SCHOOL BAGS = 750pcs 2. WRITING NOTEBOOK = 4,000pcs 3. SPRING NOTEBOOK = 4,000pcs 4. PENCIL = 600pcs 5. BALLPEN = 500pcs 6. GRADE 1 PAPER = 300pad 7. GRADE 2 PAPER = 200pad 8. GRADE 3 PAPER = 200pad 9. GRADE 4 PAPER = 2</t>
  </si>
  <si>
    <t xml:space="preserve"> The DPWH Nueva Ecija 1st DEO, through its Bids and Awards Committee (BAC), invites contractors to submit bids for the following contract:			 				 	20CE0233: Construction of Multi-Purpose Building (Phase 1), Brgy. Saint John, Guimba, Nueva Ecija			 				 		</t>
  </si>
  <si>
    <t xml:space="preserve"> 4,000 Sacks -  Transportation, Labor, Hauling NFA Rice  -  Food Assistance Re-COVID 19 Pandemic Amount Approved: 140,000.00 Source of Fund: General</t>
  </si>
  <si>
    <t xml:space="preserve"> Republic of the Philippines DEPARTMENT OF PUBLIC WORKS AND HIGHWAYS BATANGAS III DISTRICT ENGINEERING OFFICE REGIONAL OFFICE IV-A J. Gonzales St., Barangay 4, Tanauan City REQUEST FOR EXPRESSION OF INTEREST (CONSL-2020-01) for the 20CSDD01 - Consultancy S</t>
  </si>
  <si>
    <t xml:space="preserve"> contractors to quote the lowest government price for hereunder project Name of the Project	Procurement of COVID-19 Response Items (Surgical Face Masks and Surgical Gloves) for BJMP-NCR Approved Budget for the Contract	 Three Hundred Eighty Five Thousand F</t>
  </si>
  <si>
    <t xml:space="preserve"> 1.	The Municipal Government of Placer, through the Budget for the contract approved by the respective Sanggunian-  General Fund CY 2020 intends to apply the sum of One Million Four Hundred Thirty Thousand pesos (P 1,430,000.00) being the Approved Budget f</t>
  </si>
  <si>
    <t xml:space="preserve"> Procurement of Semi-Expandable Equipment to be used in Installing the Water System of the School...</t>
  </si>
  <si>
    <t xml:space="preserve"> Republic of the Philippines Province of Leyte Municipality of Kananga BARANGAY LIM-AO 1.	The Barangay Government of Lim-ao, Kananga, Leyte, through its BIDS AND AWARDS COMMITTEE (BAC),through the DOE ER 1-94 Fund intends to apply the sum of One Million Si</t>
  </si>
  <si>
    <t xml:space="preserve"> INVITATION TO BID  PURCHASE OF MEDICINE LGU-GIGMOTO, CATANDUANES 		 June 30, 2020 1.	The Municipal Government of Gigmoto, through CY 2020 General Fund intends to apply the sum of Seven Hundred Ninety Nine Thousand Seven Hundred Sixty Pesos (Php799,760.00)</t>
  </si>
  <si>
    <t xml:space="preserve"> Procurement of Semi-Expandable Equipment to be used in modular learning...</t>
  </si>
  <si>
    <t xml:space="preserve"> Communication load</t>
  </si>
  <si>
    <t xml:space="preserve"> INVITATION TO BID  REHABILITATION OF POBLACION WATER SYSTEM LGU-GIGMOTO, CATANDUANES 		 June 30, 2020 1.	The Municipal Government of Gigmoto, through CY 2020 20% EDF intends to apply the sum of Seven Hundred Sixty Two Thousand Two Hundred Eighty Four Peso</t>
  </si>
  <si>
    <t xml:space="preserve"> REPLACEMENT OF LED BULB &amp; EXPANSION OF STREET LIGHT 10 rolls THHN wire #12 5 rolls Electrical Tape (Big) 85 pcs. LED Bulb 9 watts 2 pcs. 1 1/4;; dia. G.I Pipe s40 1 set Panel board 4 branches 1 set double throw 30 amp. 60 pcs. receptacle 2x2 15 pcs. PVC p</t>
  </si>
  <si>
    <t xml:space="preserve"> OASP-DENIS A. TAN			 1	set	2	Desktop Computer, i5 with RAM &amp; HD 1 TB 			(All in One with office software, UPS &amp; AVR) 2	unit	1	Laptop Computer, i7 Touchscreen 			Specifications: Intel Core i5; Windows 10; 4GB RAM; 1TB HDD; 2GB Graphics; 12 HD LED Screen; 2</t>
  </si>
  <si>
    <t xml:space="preserve"> Specification: 12 units Scope of Work: I- Steel Post II- Electrical III- Concrete Works</t>
  </si>
  <si>
    <t xml:space="preserve"> Supply and Delivery of the following DRRM Rescue Vehicles: 1. 6 units DRRM Rescue Vehicle, pick-up body type, 4x4 Manual Transmission with the following specifications: Model 2020, colors Silver Metallic, Gray Metallic, Crimson Spark Red, Orange Metallic,</t>
  </si>
  <si>
    <t xml:space="preserve"> Republic of the Philippines DEPARTMENT OF PUBLIC WORKS AND HIGHWAYS BATANGAS III DISTRICT ENGINEERING OFFICE REGIONAL OFFICE IV-A J. Gonzales St., Barangay 4, Tanauan City REQUEST FOR EXPRESSION OF INTEREST (CONSL-2020-02) for the 20CSDD02 - Consultancy S</t>
  </si>
  <si>
    <t xml:space="preserve"> ITEM    DESCRIPTION                                 QTY.        UNIT I.         EXCAVATION           II.        LIGHTING POST &amp; INSTALLATION             OF WIRING &amp; LIGHTING                  50    LN.M</t>
  </si>
  <si>
    <t xml:space="preserve"> Standard Form Number: SF-GOOD-05 Revised on: July 28, 2004        INVITATION TO APPLY FOR ELIGIBILITY AND TO BID The LOCAL GOVERNMENT UNIT OF UNISAN, QUEZON, through its Bids and Awards Committee (BAC), invites suppliers/ manufacturers/distributors/contra</t>
  </si>
  <si>
    <t xml:space="preserve"> Please see attached Terms of Reference</t>
  </si>
  <si>
    <t xml:space="preserve"> Republic of the Philippines Province of Bohol MUNICIPALITY OF TUBIGON Invitation to Bid for: Procurement of Construction Materials &amp; Supplies Name of Project:  Construcion of Barangay Tanod Outpost. 1. The Barangay of Macaas.  through the Surplus 2019 (Su</t>
  </si>
  <si>
    <t xml:space="preserve"> Purchase of Various School Supplies such as Printer, Bond paper A4 size, ink black and colored: Lot 1   May  Purchase of Various Office Supplies                 2,000.00 Lot 2 June Purchase of Various Office Supplies                 72,200.00 Lot 3 July P</t>
  </si>
  <si>
    <t xml:space="preserve"> 1.	The Municipal Government of Placer, through the Budgte for the contract approved by the respective Sanggunian-  General Fund CY 2020 intends to apply the sum of Two Million One Hundred Forty Two Thousand pesos (P 2,142,000.00) being the Approved Budget</t>
  </si>
  <si>
    <t xml:space="preserve"> Procurement of supplies to be used in modular learning...</t>
  </si>
  <si>
    <t xml:space="preserve"> INVITATION TO BID FOR  (ITB NO. 2020-032) TPB SECURITY SERVICES FOR SIX (6) – MONTH CONTRACT PERIOD for 2020 1.	The Tourism Promotion Board (TPB), through the Corporate Budget FY2020 intends to apply the sum of Two Million Nine Hundred Eighty-Seven Thousa</t>
  </si>
  <si>
    <t xml:space="preserve"> Installation of Street Lights</t>
  </si>
  <si>
    <t xml:space="preserve"> HARDWARE AND CONSTRUCTION SUPPLIES		 			 Door Knob				                        4	pcs SQUARE BAR FOR GRILLS				20	pcs FLAT BAR				                        5	pcs Welding Rod J38.12 E6013 FOR GRILLS	1	box</t>
  </si>
  <si>
    <t xml:space="preserve"> Section I. Invitation to Bid Republic of the Philippines Province of Samar Municipality of Motiong Invitation to Bid for the Procurement of Infrastructure for the CONSTRUCTION OF CONCRETE PATHWALK FROM BRGY. CANATUAN TO BRGY. PAMAMAS-AN 1.	The Municipal G</t>
  </si>
  <si>
    <t xml:space="preserve"> Republic of the Philippines PROVINCE OF NUEVA ECIJA City of Palayan INVITATION TO BID FOR  SUPPLY AND DELIVERY OF DIESEL July 1, 2020 1.	The Provincial Government of Nueva Ecija (PGNE), through the General Fund intends to apply the sum of Fourteen Million</t>
  </si>
  <si>
    <t xml:space="preserve"> Republic of the Philippines BARANGAY BAGONG POOK OFFICE OF THE PUNONG BARANGAY BIDS AND AWARDS COMMITTEE INVITATION TO BID The Barangay Government of BARANGAY BAGONG POOK through its Bids and Awards Committee (BAC), invites suppliers/manufacturers/distrib</t>
  </si>
  <si>
    <t xml:space="preserve"> Supply and Delivery of LOT I 450 cu.m. Common Borrow: Php 202,500.00 Total Amount: Php 202,500.00</t>
  </si>
  <si>
    <t xml:space="preserve"> Republic of the Philippines Province of Leyte Municipality of Kananga BARANGAY LIM-AO 1.	The Barangay Government of Lim-ao, Kananga, Leyte, through its BIDS AND AWARDS COMMITTEE (BAC),through the Supplemental Budget No. 3 (General Fund) (Retained Earnings</t>
  </si>
  <si>
    <t xml:space="preserve"> ITEM NO.	UNIT		QTY		DESCRIPTION		 							 1	 lot 		1.00		Amenities		 2	 lot 		1.00		 Mobilization 		 3	 cu.m. 		60.75		 Structural Excavation 		 4	 cu.m. 		82.00		 Concrete Works 		 5	 sq.m. 		154.00		 Masonry Works 		 6	 lot 		1.00		 Structural Steel &amp;  </t>
  </si>
  <si>
    <t xml:space="preserve"> REPUBLIC OF THE PHILIPPINES PROVINCE OF EASTERN SAMAR MUNICIPALITY OF LAWAAN REQUEST FOR QUOTATION PR No.: RFQ No.: PR Date: PhilGEPS Reference No. : End-User : Closing Date: ABC:234,000.00 Time: Sir/Madam: Please quote your lowest price on the items/s li</t>
  </si>
  <si>
    <t xml:space="preserve"> INVITATION TO BID (for the Procurement of Goods)           1.	The City Government of Puerto Princesa (CGPP), through its General Appropriations Ordinance No. 1-2018 (General Fund FY 2019), intends to apply the sum, corresponds as the Approved Budget for t</t>
  </si>
  <si>
    <t xml:space="preserve"> OFFICE SUPPLIES AND DEVICES					  3 in 1 Printer Epson			1	unit Epson Black ink				2	bottles</t>
  </si>
  <si>
    <t xml:space="preserve"> BARANGAY CENTRAL SIGNAL BIDS AND AWARDS COMMITTEE -- Advertisement/Posting of Invitation to Bid ------ July 1, 2020 -- Issuance and Availability of Bid Documents ----- July 1, 2020 -- Deadline for Submission -------------------------- July 8, 2020 @ 3PM -</t>
  </si>
  <si>
    <t xml:space="preserve"> ITEM NO.	UNIT		QTY		DESCRIPTION		 							 					COMMON OFFICE SUPPLIES		 1	 piece 		300		Assorted Pad Paper, Grade 1 - 6 Intermediate 80 leaves		 2	 can 		1		Air Freshener, California scent, car shaldan		 3	 box 		3		Acetate film, clear, A4 size 100pcs/box</t>
  </si>
  <si>
    <t xml:space="preserve"> GENERAL MERCHANDISE		 			 Tarpaulin for Brigada Eskwela				2	pcs Engraving machine pen type, metal wood plastic glass, electric mini grinder for medals		1	unit Emergency light rechargeable heavy duty		1	unit</t>
  </si>
  <si>
    <t xml:space="preserve"> Procurement of Various Supplies in response for the COVID 19 Pandemic...</t>
  </si>
  <si>
    <t xml:space="preserve"> Republic of the Philippines  Province of Nueva Ecija City Government of Palayan INVITATION TO BID FOR THE CONCRETING OF MILITAR ROAD @ BRGY. MILITAR PALAYAN CITY 1.	The City Government of Palayan, through the 20% Development Fund for 2020 intends to apply</t>
  </si>
  <si>
    <t xml:space="preserve"> Republic of the Philippines Province of Bohol MUNICIPALITY OF TUBIGON Invitation to Bid for: Procurement of Photocopier/Printer Machine Name of Project:  Purchase/Acquisition of one (1) Photocopier/Printer Machine 1. The Barangay of Macaas.  through the S</t>
  </si>
  <si>
    <t xml:space="preserve"> OFFICE SUPPLIES 					 Plastic File Case big			18	pcs Pentel pen black				18	pcs Pentel pen blue				18	pcs Ink pentel black				18	pcs Ink pentel pen blue			18	pcs  Correction tape 8m			18	pcs Dater stamp with stamp pad	18	sets Colored chalk				18	boxes Man</t>
  </si>
  <si>
    <t xml:space="preserve"> GENERAL MERCHANDISE					 Firefly Bulb 100wtts			3	pcs Door Knob				        4	pcs Mop Ordinary				5	pcs Curtain Rod Stainless			8	pcs Heavy Duty lock Standard size	8	pcs</t>
  </si>
  <si>
    <t xml:space="preserve"> COVID 19 supply</t>
  </si>
  <si>
    <t xml:space="preserve"> Republic of the Philippines Province of Bohol MUNICIPALITY OF TUBIGON Invitation to Bid for: Procurement of Airconditioning Unit Name of Project:  Purchase/Acquisition of one (1) Airconditioning Unit 1. The Barangay of Macaas.  through the Provincial Fina</t>
  </si>
  <si>
    <t xml:space="preserve"> PURCHASE OF SALA SET FOR THE USE OF BARANGAY BAGUMBUHAY</t>
  </si>
  <si>
    <t xml:space="preserve"> Section I. Invitation to Bid Republic of the Philippines Province of Samar Municipality of Motiong Invitation to Bid for the Procurement of Infrastructure for the CONSTRUCTION OF CONCRETE PATHWALK FROM BRGY. MALOBAGO TO BRGY. BARAYONG 1.	The Municipal Gov</t>
  </si>
  <si>
    <t xml:space="preserve"> GENERAL MERCHANDISE		 			 Face Mask with AUTO DARKENING LENS	8	pcs C-Clamp standard				2	pcs Pull push rule big				5	pcs Level hose 15meters				1	pc Hand riveter				        5	pcs  Rivets for gutter				2	boxes Electric drill				        1	unit POLY BAG 11X1</t>
  </si>
  <si>
    <t xml:space="preserve"> PURCHASE OF SPLIT TYPE AIRCONDITIONING UNIT TO BE INSTALL AT THE CONFERENCE HALL OF BARANGAY BAGUMBUHAY</t>
  </si>
  <si>
    <t xml:space="preserve"> Republic of the Philippines PROVINCE OF SOUTHERN LEYTE Maasin City Invitation to Bid for the Completion of 0.40 Km PCCP Poblacion District 2 Circumferential Road Poblacion District 2, Silago, Southern Leyte Contact ID # - 2020-07-21-053CW 1.	The Provincia</t>
  </si>
  <si>
    <t xml:space="preserve"> \Republic of the Philippines PROVINCE OF SOUTHERN LEYTE Maasin City Invitation to Bid for the Concreting of 400m. Road Barangay Hinagtungan, Silago, Southern Leyte Contact ID # - 2020-07-21-052CW 1.	The Provincial Government of Southern Leyte, through the</t>
  </si>
  <si>
    <t xml:space="preserve"> Republic of the Philippines Province of Sarangani Municipality of Malapatan INVITATION TO BID  	 2020-B1-03-007        PROCUREMENT OF ONE (1) UNIT FIRETRUCK FOR BUREAU OF FIRE PROTECTION, MALAPATAN, SARANGANI PROVINCE 1.	The Local Government Unit of Malap</t>
  </si>
  <si>
    <t xml:space="preserve"> Republic of the Philippines Province of Agusan del Sur Municipality of Trento BIDS &amp; AWARDS COMMITTEE INVITATION TO BID  FOR THE BUB-RICE PROCESSING COMPLEX RPC, Poblacion, Trento, Agusan del Sur 1.	The Municipality of Trento, through the Trust Fund inten</t>
  </si>
  <si>
    <t xml:space="preserve"> HARDWARE SUPPLIES 					 wall paint				        16	gallons Roller brush				10	pcs Blackboard paint green		8	liters Paint brush 4"				10	pcs Paint brush 2"				10	pcs</t>
  </si>
  <si>
    <t xml:space="preserve"> 1. The Mindanao State University - Tawi-Tawi College of Technology and Oceanography (MSU-TCTO), through the TRUST FUND, intends to apply the sum of Nine Hundred Twenty-One Thousand Ninety and 50/100 pesos only (PhP 921,090.50) being approved Budget for th</t>
  </si>
  <si>
    <t xml:space="preserve"> Installation of 19(nineteen) units additional streetlights CFL Lightning Fixture (FIAMMA Single) with LED Bulb 15watts and 2x2-1/2x4.5 mtrs ht. g.i post at Looban, bokal, centro, calawang and corehousing</t>
  </si>
  <si>
    <t xml:space="preserve"> INVITATION TO BID FOR PURCHASE OF EMERGENCY RESCUE VEHICLE 1.	The Municipality of Ubay, through the Annual Budget C.Y. 2020 (5% MDRRM FUND) intends to apply the sum of ONE MILLION FIVE HUNDRED PESOS (Php1,500,000.00) being the Approved Budget for the Cont</t>
  </si>
  <si>
    <t xml:space="preserve"> GOODS</t>
  </si>
  <si>
    <t xml:space="preserve"> MODEL: 2015-2019 ENGINE TYPE: 4 CYLINDERS IN LINE, 4 STROKE, WATER COOLING DISPLACEMENT: 4.334 L RATED POWER: 110KW @ 2600rpm BORE STROKE: 112*110mm COMPRESSION RATIO: 18.5: 1 FUEL CONSUMPTION: 225g/kwh -110% LOAD ENGINE SIZE: L*W*H: 771mmX687mmX790mm</t>
  </si>
  <si>
    <t xml:space="preserve"> Conduct of Geo-Resistivity Survey/Scanning of Proposed well sites and to determine ground water level.</t>
  </si>
  <si>
    <t xml:space="preserve"> INSTALLATION OF  FLOOR TILES IN CANTEEN AREA WORTH 325,161.63</t>
  </si>
  <si>
    <t xml:space="preserve"> Contract ID No. :	20CSPH02 Project:	Geotechnical Investigation for Slope Protection Projects along Various Road Sections and Construction of Bridge in Mountain Province for FY 2021 Location:	Various Road Section in Mountain Province Objectives:	Geotechnic</t>
  </si>
  <si>
    <t xml:space="preserve"> Contract ID No. :	20CSPH01 Project:	Geotechnical Investigation for Slope Protection Projects along Various Road Sections in Mountain Province for FY 2020 Location:	Various Road Section in Mountain Province Objectives:	To provide important data necessary i</t>
  </si>
  <si>
    <t xml:space="preserve"> Republic of the Philippines PROVINCE OF SOUTHERN LEYTE Maasin City Invitation to Bid for the Construction of Cambite River ccontrol Barangay Cambite, Tomas Oppus, Southern Leyte Contact ID # - 2020-07-21-054CW 1.	The Provincial Government of Southern Leyt</t>
  </si>
  <si>
    <t xml:space="preserve"> ENGINE AND TRANSMISSION:  2.4L Diesle 2393cc displacement 4 - Cylinder, 16 - Valve DOHC Variable Nozzle Turbo with Front Mounted Intercooler, 6- Speed M/T.                                                                                                CHAS</t>
  </si>
  <si>
    <t xml:space="preserve"> 1 PC DIGITAL DRY BATH (230 V (EU/UK), stainless steel chamber and aluminum block ofter rapid and even heating of up to 24 x 1.5 ml microcentrifuge tubes, CE approved</t>
  </si>
  <si>
    <t xml:space="preserve"> 1.	The Cotabato Irrigation Management Office, through the GAA fund CY 2020 intends to apply the sum of Two Million Five Hundred Seventy Six Thousand Three Hundred Eighty Pesos Only (P 2,576,380.00)  being the  Approved Budget for the Contract (ABC) to pay</t>
  </si>
  <si>
    <t xml:space="preserve"> Procurement of Construction Materials for the Repair and Improvement of Barangay Hall and Repair and Improvement of Barangay Stage, Barangay Kalipay, Gingoog City</t>
  </si>
  <si>
    <t xml:space="preserve"> The MUNICIPALITY OF AGUTAYA, through its Bids and Awards Committee (BAC), invites eligible suppliers/contractors to bid for the hereunder project: Project		:	 	 Requesting Office/End-user	:	MUNICIPALITY OF AGUTAYA Approved Budget for	 	 the Contract (ABC)</t>
  </si>
  <si>
    <t xml:space="preserve"> Procurement of Construction Materials for Water Works System, Barangay Dinawehan, Gingoog City</t>
  </si>
  <si>
    <t xml:space="preserve"> Procurement of Various Supplies used for Repair and Renovation of Water System Facilities</t>
  </si>
  <si>
    <t xml:space="preserve"> CONSTRUCTION OF 3.M X 3M RESERVOIR AND INSTALLATION OF 2000 I.m 22 rolls 2'' dia. P.E Pipe 20 pcs. 2'' dia. Union Patente 2 pcs. 2'' dia. gate valve 10 rolls 2'' dia. elbow 48 bags Portland cement 3 cu.m. washed sand  6 cu.m. washed gravel 12 pcs. 1/4'' t</t>
  </si>
  <si>
    <t xml:space="preserve"> ELECTRIFICATION</t>
  </si>
  <si>
    <t xml:space="preserve"> INVITATION TO BID The Local Government Unit of Loboc, Bohol, Barangay Villaflor through its Bids and Awards Committee (BAC), invites Contractors registered within and classified by the Philippine Contractors Accreditation Board (PCAB) to apply for eligibi</t>
  </si>
  <si>
    <t xml:space="preserve"> Republic of the Philippines Province of Bohol Municipality of Loon OFFICE OF THE BIDS AND AWARDS COMMITTEE Request for Expression of Interest CONSULTING SERVICES FOR SONAR SURVEY Contract No.: CS2020-01 1.	The Local Government Unit of Loon, Bohol, through</t>
  </si>
  <si>
    <t xml:space="preserve"> OPENING OF BIDS IN ZAMBOANGA CITY, DELIVERY IN HOME FOR WOMEN PROCUREMENT FOR THE FF,:							 							 1 unit WEIGHING SCALE WITH HEIGHT AND WEIGHT DETECTOR							 1 unit ANDROID BLOOD PRESSURE APPARATUS WITH WHEEL							 2 unit MEDICAL FOOT STOOL DOUBLE		</t>
  </si>
  <si>
    <t xml:space="preserve"> Section I. Invitation to Bid Republic of the Philippines Province of Samar Municipality of Motiong Invitation to Bid for the Procurement of Infrastructure for the CONSTRUCTION OF CONCRETE PATHWALK FROM PUROK 8 BRGY. CALAPI TO MAYDAJA (SARAO) 1.	The Munici</t>
  </si>
  <si>
    <t xml:space="preserve"> Republic of the Philippines PROVINCE OF SOUTHERN LEYTE Maasin City Invitation to Bid for the Completion of Food Terminal Capitol Site, Maasin City, Southern Leyte Contact ID # - 2020-07-21-056CW 1.	The Provincial Government of Southern Leyte, through the </t>
  </si>
  <si>
    <t xml:space="preserve"> Republic of the Philippines PROVINCE OF SOUTHERN LEYTE Maasin City Invitation to Bid for the Construction of Records, Medicine &amp; Supply Storage Room PHSO, Dongon, Maasin City, Southern Leyte Contact ID # - 2020-07-21-057CW 1.	The Provincial Government of </t>
  </si>
  <si>
    <t xml:space="preserve"> Republic of the Philippines PROVINCE OF SOUTHERN LEYTE Maasin City Invitation to Bid for the Completion of Multi-Purpose Livelihood &amp; Training Center/Covered Court Barangay Imelda, Silago, Southern Leyte Contact ID # - 2020-07-21-055CW 1.	The Provincial G</t>
  </si>
  <si>
    <t xml:space="preserve"> C O R R E C T E D C O P Y H E A D Q U A R T E R S P H I L I P P I N E   A R M Y OFFICE OF THE PHILIPPINE ARMY BIDS AND AWARDS COMMITTEE 1 Fort Andres Bonifacio, Metro Manila ITB 006-20									29 June 2020 Invitation to Bid The Armed Forces of the Philipp</t>
  </si>
  <si>
    <t xml:space="preserve"> STRUCTURE EXCAVATION,GROUTED RIPRAP,EMBANKMENT,MANUAL HAULING SERVICES</t>
  </si>
  <si>
    <t xml:space="preserve"> INVITATION TO BID IB No. 18,   S. 2020 The Municipality of General Nakar, Quezon through the Approved Appropriation Ordinance No. 2019-29  appropriating funds for the Annual Budget CY 2020 intends to apply the sum of Five Hundred Thousand Pesos   (PhP500,</t>
  </si>
  <si>
    <t xml:space="preserve"> Republic of the Philippines Province of Guimaras OFFICE OF THE BIDS AND AWARDS COMMITTEE Invitation to Bid for  One Job Supply of Materials and  Labor for the Construction of Agri-Fishery center Bid Ref. No. 2020-06-362 1.	The Provincial Government of Gui</t>
  </si>
  <si>
    <t xml:space="preserve"> INVITATION TO BID IB No. 17,   S. 2020 The Municipality of General Nakar, Quezon through the Approved Appropriation Ordinance No. 2019-29  appropriating funds for the Annual Budget CY 2020 intends to apply the sum of  One Million Pesos  (PhP1,000,000.00) </t>
  </si>
  <si>
    <t xml:space="preserve"> 1.	The Inter-Country Adoption Board (ICAB), through the GOP-2020 intends to apply the sum of 4,700,000.00 (Four Million, Seven Hundred Thousand Pesos Only VAT Inclusive) being the Approved Budget for the Contract (ABC) to payments under the contract for M</t>
  </si>
  <si>
    <t xml:space="preserve"> Invitation to Bid for PR No. 20061189 – Supply and Delivery of One (1) unit Emergency Vehicle 	 1.	The Provincial Government of Camarines Norte, through the LDRRMF Special Trust Fund CY 2020intends to apply the sum of One Million Five Hundred Thousand Pes</t>
  </si>
  <si>
    <t xml:space="preserve"> Republic of the Philippines PROVINCE OF SOUTHERN LEYTE Maasin City Invitation to Bid for the Procurement of Air condition with Installation, Camera with complete Accessories &amp; Computer Set   Contract ID # 2020-07-21-384PG 1.	The Provincial Government of S</t>
  </si>
  <si>
    <t xml:space="preserve"> INVITATION TO BID IB No. 19,   S. 2020 The Municipality of General Nakar, Quezon through the Approved Appropriation Ordinance No. 2019-29  appropriating funds for the Annual Budget CY 2020 intends to apply the sum of  One Million Five Hundred Thousand Pes</t>
  </si>
  <si>
    <t xml:space="preserve"> Please submit your quotation for the following items on or before 5:00PM on Jul 10, 2020. ITEM D E S C R I P T I O N QTY. UNIT  1 Jewelry, Bracelet, Gold (Men) (18Karat) 2 pc 2 Jewelry, Bracelet, Gold (Women) (18Karat) 1 pc Awarding is in LUMP-SUM basis, </t>
  </si>
  <si>
    <t xml:space="preserve"> Republic of the Philippines PROVINCE OF SOUTHERN LEYTE Maasin City Invitation to Bid for the Procurement of Various Office Supplies, Aluminum Ladder &amp; Furnitures   Contract ID # 2020-07-21-383PG 1.	The Provincial Government of Southern Leyte through the P</t>
  </si>
  <si>
    <t xml:space="preserve"> June 26, 2020 INVITATION TO BID  The Department of Public Works and Highways, Mindoro Occidental District Engineering Office, Mamburao, Occidental Mindoro, through its Bids and Award Committee (BAC), invites contractors to submit bids for the following Co</t>
  </si>
  <si>
    <t xml:space="preserve"> Motorcycle with sidecars</t>
  </si>
  <si>
    <t xml:space="preserve"> 1	3	pcs	Flow Meter 4”Ø (100 mm) Water Temperature = &lt; 50°C Working Pressure = &gt; IMP Overload Flow (Qs) = 120 m³/h Nominal Flow (Qp) = 60 m³/h Transitional Flow (Qt) = 12 m³/h Minimum Flow (Qmin) = 1.8 m³/h Minimum Reading = 0.01 m³ Maximum Reading = 99999</t>
  </si>
  <si>
    <t xml:space="preserve"> L=92LM;  W=1M;  T=0.15M</t>
  </si>
  <si>
    <t xml:space="preserve"> 1. The Mindanao State University - Tawi-Tawi College of Technology and Oceanography (MSU-TCTO), through the Trust Fund, intends to apply the sum of Two Hundred Ten Thousand Pesos only (PhP 210,000.00) being Approved Budget of Contract to payments under th</t>
  </si>
  <si>
    <t xml:space="preserve"> Raincoat Heavy Duty etc. NOTE:To all suppliers bid documents  and BAC Resolution 2020-029 are available at BAC Office and LGU website.</t>
  </si>
  <si>
    <t xml:space="preserve"> Portland Cement etc.  NOTE:To all suppliers bid documents and BAC Resolution 2020-029 are avaible at BAC Office and LGU website.</t>
  </si>
  <si>
    <t xml:space="preserve"> The Barangay Calabanit through its Bid and awards Committee (BAC) invites qualified dealers, Distributors and Suppliers to apply for eligibility and to bid for the following; SCHEDULE OF ACTIVITIES ------ All interested bidders are invited to attend the P</t>
  </si>
  <si>
    <t xml:space="preserve"> INVITATION TO BID FOR THE  CONSTRUCTION OF SPILLWAY  (SITIO KALAMPINAY, EL NIDO, PALAWAN) 1.	The Provincial Government of Palawan, through its 20% Development Fund (OBR No. 300-20-06-07382) account intends to apply the sum of One Million Seven Hundred Nin</t>
  </si>
  <si>
    <t xml:space="preserve"> The Bids and Awards Committee								 Province of Iloilo								 								      In connection with your Invitation to Bid No. PEO-20-0618 B (Rebid) scheduled on July 7, 2020, I/we proposed to furnish and deliver in conformity with the terms and conditions,</t>
  </si>
  <si>
    <t xml:space="preserve"> Republic of the Philippines Province of Surigao del Norte Municipality of Claver BIDS AND AWARDS COMMITTEE INVITATION TO BID The Municipality of Claver, Surigao del Norte through its Bids and Awards Committee (BAC), now invites manufactures/supplies/distr</t>
  </si>
  <si>
    <t xml:space="preserve"> ITEM      UNIT      QTY      DESCRIPTION</t>
  </si>
  <si>
    <t xml:space="preserve"> Undertake construction of Drainage along Hornachos Street, Poblacion Ilawod, Cuartero, Capiz</t>
  </si>
  <si>
    <t xml:space="preserve"> INVITATION TO BID FOR THE  CONSTRUCTION/REHABILITATION OF RCBC WITH SLOPE PROTECTION (NATIONAL HIGHWAY-TABUD ROAD, BGY. PANITIAN, QUEZON, PALAWAN) 1.	The Provincial Government of Palawan, through its 20% Development Fund (OBR No. 300-20-06-07380) account </t>
  </si>
  <si>
    <t xml:space="preserve"> ENGINE MODEL - YC4D140-48 EMISSION STANDARD - EURO IV FUEL  -  DIESEL (TURBO INTER COOLER) STROKE VOLUME(ml) - 4214 RATED POWER (kw/hp) - 103/140 TORQUE (N.m)/ (r/min)  - 450/2800 MAX SPEED (km/h)         - 80 TRANSMISSION     - 653H,6 forwards &amp; 1 revers</t>
  </si>
  <si>
    <t xml:space="preserve"> INVITATION TO BID  SUPPLY, DELIVERY, INSTALLATION, CONFIGURATION, MIGRATION, AND TESTING OF ADDITIONAL SERVERS FOR BTMS INFRASTRUCTURE 1.	The Department of Budget and Management (DBM), through the authorized appropriations under the FY 2019 General Approp</t>
  </si>
  <si>
    <t xml:space="preserve"> Republic of the Philippines DEPARTMENT OF PUBLIC WORKS AND HIGHWAYS CAPIZ 2ND DISTRICT ENGINEERING OFFICE REGIONAL OFFICE VI Dumalag, Capiz REQUEST FOR EXPRESSION OF INTEREST (REOI) FOR I.      Contract ID: 20GP003CS          Contract Name: 	Consulting Se</t>
  </si>
  <si>
    <t xml:space="preserve"> Republic of the Philippines PROVINCE OF NUEVA VIZCAYA Municipality of Alfonso Castañeda  BIDS AND AWARDS COMMITTEE FOR INFRASTRUCTURE PROJECTS CONCRETING OF PUROK 2 ROAD-BATU (LUBLUB) 1.	The Local Government of Alfonso Castañeda, through the 20% Develop</t>
  </si>
  <si>
    <t xml:space="preserve"> To undertake works for Maintenance of Farm to Market Road</t>
  </si>
  <si>
    <t xml:space="preserve"> A Republic of the Philippines BIDS AND AWARDS COMMITTEE Dagupan City Invitation to Bid   for PROPOSED DEVELOPMENT OF OPEN – AIR AUDITORIUM GROUNDS TONDALIGAN BLUE BEACH, BONUAN GUESET, DAGUPAN CITY 1.	The City Government of Dagupan, through the TRUST FUND</t>
  </si>
  <si>
    <t xml:space="preserve"> SUPPLIES AND EQUIPMENT</t>
  </si>
  <si>
    <t xml:space="preserve"> The LOCAL GOVERNMENT UNIT of Maslog, Eastern Samar, through an Appropriation Ordinance No. 07 intends to apply the sum of One Hundred Twenty Eight Thousand Four Hundred Fifty Pesos (Php128,450.00) being the Approved Budget Cost (ABC) to payments under the</t>
  </si>
  <si>
    <t xml:space="preserve"> Republic of the Philippines PROVINCE OF NUEVA VIZCAYA Municipality of Alfonso Castañeda  BIDS AND AWARDS COMMITTEE FOR INFRASTRUCTURE PROJECTS CONCRETING OF PUROK 2 ROAD (LUBLUB) 1.	The Local Government of Alfonso Castañeda, through the 20% Development </t>
  </si>
  <si>
    <t xml:space="preserve"> Republic of the Philippines PROVINCE OF SOUTHERN LEYTE Maasin City Invitation to Bid for the Procurement of Publication of SP Ordinance  Contract ID # 2020-07-21-387PG 1.	The Provincial Government of Southern Leyte through the OSP– Printing and Publicatio</t>
  </si>
  <si>
    <t xml:space="preserve"> Republic of the Philippines DEPARTMENT OF PUBLIC WORKS AND HIGHWAYS CAPIZ 2ND DISTRICT ENGINEERING OFFICE REGIONAL OFFICE VI Dumalag, Capiz REQUEST FOR EXPRESSION OF INTEREST (REOI) FOR I.      Contract ID: 20GP002CS          Contract Name: 	Consulting Se</t>
  </si>
  <si>
    <t xml:space="preserve"> Delivery and supply of Construction materials for const. of Multipurpose building as to wit: Item		Unit of		 Number	Qty.	Issue	Item Description	 					 1	180	BAGS	PORTLAND CEMENT		 2	35	CU.M	WASH SAND		 3	10	CU.M	GRAVEL "YY"		 4	100	bdft.	2"X2" X 12 FT. Co</t>
  </si>
  <si>
    <t xml:space="preserve"> INVITATION TO BID The Municipal Government of San Narciso, Quezon through its Bids and Award Committee (BAC), invites registered suppliers with DTI, Mayor’s Permit and PhilGEPS, if found eligible, to bid or the hereunder contract: Name of Contract : 	Addi</t>
  </si>
  <si>
    <t xml:space="preserve"> INVITATION TO BID The Municipal Government of San Narciso, Quezon through its Bids and Award Committee (BAC), invites registered suppliers with DTI, Mayor’s Permit and PhilGEPS, if found eligible, to bid or the hereunder contract: Name of Contract : 	Supp</t>
  </si>
  <si>
    <t xml:space="preserve"> SPECS: * Transformer Type EFI * 12 Valve * 4WD * Siren &amp; Blinker * Full Steel Canopy with Passenger Set Back to Back Type * Logo &amp; Body Sticker * Mags Wheel * Brand New Tires &amp; Battery * Jack with handle * Tire Wrench * Spare Tire * 1-year LTO registratio</t>
  </si>
  <si>
    <t xml:space="preserve"> Republic of the Philippines PROVINCE OF SOUTHERN LEYTE Maasin City Invitation to Bid for the Procurement of Spare parts and Services  Contract ID # 2020-07-21-386PG 1.	The Provincial Government of Southern Leyte through the OVG– Repair and Maintenance –Tr</t>
  </si>
  <si>
    <t xml:space="preserve"> INVITATION TO BID  ADDITIONAL NETWORK COMPONENTS FOR  BTMS INFRASTRUCTURE 1.	The Department of Budget and Management (DBM), through the authorized appropriations under the FY 2019 General Appropriations Act, intends to apply the sum of Twenty Five Million</t>
  </si>
  <si>
    <t xml:space="preserve"> INVITATION TO BID FOR THE SUPPLY AND DELIVERY OF AIRCON UNITS AND OTHER OFFICE EQUIPMENT TO BE USED FOR THE DARFO 3 SOCIO ECONOMIC PRODUCTION IN MARKETING- 2nd Posting PB-2020-184-012 1. The Pampanga State Agricultural University, through Fund 184, intend</t>
  </si>
  <si>
    <t xml:space="preserve"> 115 cavans Rice (25kgs) 1725 cans Sardines 1725 cans Tuna 115 pcs Soap 345 sachet Toothpaste 345 pcs Biscuit 690 pcs sachet Coffee (3 in 1) 1725 pcs Noodles 1725 pcs Cereal Drink 345 pcs Eco Bag Other Information FOR INFORMATION PURPOSES ONLY MODE OF PROC</t>
  </si>
  <si>
    <t xml:space="preserve"> Republic of the Phillipines Province of Sultan Kudarat City of Tacurong Barangay Poblacion                                                              INVITATION TO BID 			                                                                                  </t>
  </si>
  <si>
    <t xml:space="preserve"> Republic of the Philippines BIDS AND AWARDS COMMITTEE Province of Iloilo Invitation to Bid Purchase of Weighing Scale Bid No. AGR-20-0767-B 1. The Iloilo Provincial Government, through the GENERAL FUND 2020 intends to apply the sum of ONE HUNDRED FIFTY TH</t>
  </si>
  <si>
    <t xml:space="preserve"> 1.The MUNICIPALITY OF PATEROS through the 2020 GENERAL FUND intends to apply the sum of Two Million Nine Hundred Thousand Pesos (PhP2,900,000.00) being the Approved Budget for the Contract (ABC) to payments under the contract for the above-mentioned procu</t>
  </si>
  <si>
    <t xml:space="preserve"> INVITATION TO BID FOR THE  CONSTRUCTION/REHABILITATION OF HOSPITAL BUILDINGS AND FACILITIES-QUEZON MEDICARE HOSPITAL, PHASE III   (MUNICIPALITY OF QUEZON, PALAWAN) 1.	The Provincial Government of Palawan, through its 20% Development Fund (OBR No. 300-15-0</t>
  </si>
  <si>
    <t xml:space="preserve"> INVITATION TO BID FOR THE  CONSTRUCTION OF ONE (1) BARREL RCBC LEADING TO BORAC PORT  (BGY. BORAC, CORON, PALAWAN) 1.	The Provincial Government of Palawan, through its 20% Development Fund (OBR No. 300-20-06-07383) account intends to apply the sum of Thre</t>
  </si>
  <si>
    <t xml:space="preserve"> Undertake Construction of Drainage along Hijosa Street, Poblacion Ilawod, Cuartero, Capiz</t>
  </si>
  <si>
    <t xml:space="preserve"> Republic of the Philippines PROVINCE OF NUEVA VIZCAYA Municipality of Alfonso Castañeda  BIDS AND AWARDS COMMITTEE FOR INFRASTRUCTURE PROJECTS CONCRETING OF JUNCTION ROAD - LIPUGA ROAD 1.	The Local Government of Alfonso Castañeda, through the 20% Develo</t>
  </si>
  <si>
    <t xml:space="preserve"> INVITATION TO BID FOR THE  CONSTRUCTION OF THREE (3) BARREL RCBC  (BGY. MINARA, ROXAS, PALAWAN) 1.	The Provincial Government of Palawan, through its 20% Development Fund (OBR No. 300-20-06-07622) account intends to apply the sum of Four Million Five Hundr</t>
  </si>
  <si>
    <t xml:space="preserve"> INVITATION TO BID FOR  CONSTRUCTION OF CANAL LINING AT BARANGAY AGUADO, TRECE MARTIRES CITY 1.	The City Government of Trece Martires, through the Continuing of 20% Development Fund  (2019 )approved by the Sangguniang Panlungsod intends to apply the sum of</t>
  </si>
  <si>
    <t xml:space="preserve"> INVITATION TO BID FOR  CONSTRUCTION OF CANAL LININGS AT TRES CRUSES ROAD( GOLDCREST VILLAS) BRGY. SAN AGUSTIN, TMC 1.	The City Government of Trece Martires, through the Continuing of 20% Development Fund  (2018 )approved by the Sangguniang Panlungsod inte</t>
  </si>
  <si>
    <t xml:space="preserve"> INVITATION TO BID FOR THE  CONSTRUCTION OF HANGING BRIDGE (SAN JUAN, ABORLAN, PALAWAN) 1.	The Provincial Government of Palawan, through its 20% Development Fund (OBR No. 300-20-06-07384) account intends to apply the sum of Three Million Five Hundred Two T</t>
  </si>
  <si>
    <t xml:space="preserve"> INVITATION TO BID FOR THE CONSTRUCTION OF COMFORT ROOM AT PSAU GATE 2 -2nd Posting PB-2020-184-011 1. The Pampanga State Agricultural University, through Fund 184, intends to apply the sum of P200,013.06 being the Approved Budget for the Contract (ABC) to</t>
  </si>
  <si>
    <t xml:space="preserve"> Republic of the Philippines Region XII Province of Cotabato City of Kidapawan OFFICE OF THE BIDS AND AWARD COMMITTEE June 30, 2020 INVITATION TO BID FOR  SUPPLY, DELIVERY AND INSTALLATION OF SPLIT TYPE AIRCON FOR THE USE OF THE LIGA NG MGA BARANGAY OFFICE</t>
  </si>
  <si>
    <t xml:space="preserve"> Republic of the Philippines PROVINCE OF NUEVA VIZCAYA Municipality of Alfonso Castañeda  BIDS AND AWARDS COMMITTEE FOR INFRASTRUCTURE PROJECTS CONCRETING OF MARIKIT EAST CIRCUMFERENTIAL ROAD 1.	The Local Government of Alfonso Castañeda, through the 20% </t>
  </si>
  <si>
    <t xml:space="preserve"> Republic of the Philippines Region XII Province of Cotabato City of Kidapawan OFFICE OF THE BIDS AND AWARD COMMITTEE June 30, 2020 INVITATION TO BID FOR  SUPPLY AND DELIVERY OF VETERINARY SUPPLIES AND ANIMAL FEEDS TO BE USED FOR THE ANIMAL HEALTH SERVICES</t>
  </si>
  <si>
    <t xml:space="preserve"> Republic of the Philippines PROVINCE OF SOUTHERN LEYTE Maasin City Invitation to Bid for the Procurement of Various Vehicle Spareparts  Contract ID # 2020-07-21-385PG 1.	The Provincial Government of Southern Leyte through the OSP– Repair and Maintenance –</t>
  </si>
  <si>
    <t xml:space="preserve"> Republic of the Philippines PROVINCE OF SOUTHERN LEYTE Maasin City Invitation to Bid for the Procurement of Premium Gasoline  Contract ID # 2020-07-21-388PG 1.	The Provincial Government of Southern Leyte through the PGO– Fuel,Oil and Lubricants Expenses i</t>
  </si>
  <si>
    <t xml:space="preserve"> The LOCAL GOVERNMENT UNIT of Maslog, Eastern Samar, through an Appropriation Ordinance No. 07 intends to apply the sum of One Hundred Seventy Five Thousand Twenty Six Pesos (Php175,026.00) being the Approved Budget Cost (ABC) to payments under the contrac</t>
  </si>
  <si>
    <t xml:space="preserve"> Republic of the Philippines PROVINCE OF SOUTHERN LEYTE Maasin City Invitation to Bid for the Procurement of One (1) Unit Rescue Vehicle  Contract ID # 2020-07-21-398PG 1.	The Provincial Government of Southern Leyte through the PDRRMO – Disaster Response a</t>
  </si>
  <si>
    <t xml:space="preserve"> Republic of the Philippines DEPARTMENT OF PUBLIC WORKS AND HIGHWAYS CAPIZ 2ND DISTRICT ENGINEERING OFFICE REGIONAL OFFICE VI Dumalag, Capiz REQUEST FOR EXPRESSION OF INTEREST (REOI) FOR I.      Contract ID: 20GP001CS          Contract Name: 	Consulting Se</t>
  </si>
  <si>
    <t xml:space="preserve"> Republic of the Philippines PROVINCE OF SOUTHERN LEYTE Maasin City Invitation to Bid for the Procurement of Banana Cardava Plantlets  Contract ID # 2020-07-21-395PG 1.	The Provincial Government of Southern Leyte through the PAGSO - Other Maintenance and O</t>
  </si>
  <si>
    <t xml:space="preserve"> Republic of the Philippines PROVINCE OF SOUTHERN LEYTE Maasin City Invitation to Bid for the Procurement of Various Office Supplies  Contract ID # 2020-07-21-394PG 1.	The Provincial Government of Southern Leyte through the PHSO– Office Supplies Expenses i</t>
  </si>
  <si>
    <t xml:space="preserve"> INVITATION TO BID FOR  SUPPLY AND DELIVERY OF GIANT BAMBOO 1.	The City Government of Trece Martires, through the 20% DEVELOPMENT FUND CURRENT   intends to apply the sum of TWO MILLION PESOS ONLY   ( Php 2,000,000.00 )  being the Approved Budget for the Co</t>
  </si>
  <si>
    <t xml:space="preserve"> ROAD CONCRETING Item No.	Description 	Unit	Quantity PART A 	GENERAL REQUIREMENTS		 a	Const.Safety and Health Program	LS	 1.00  b	Project Billboard	Unit	 1.00  c	Mobilization/Demobilization	Lot	 1.00  PART B 			 105	Subgrade Preparation	sq.m.	 1,310.00  20</t>
  </si>
  <si>
    <t xml:space="preserve"> CONSTRUCTION OF DRAINAGE WITH SIDEWALK Item No.	Description 	Unit	Quantity PART A 	GENERAL REQUIREMENTS		 a	Const.Safety and Health Program	Lot	 1.00  b	Project Billboard	Unit	 1.00  c	Mobilization/Demobilization	Lumpsum	 1.00  PART B 			 I	Removal of Exi</t>
  </si>
  <si>
    <t xml:space="preserve"> Republic of the Philippines Region XII Province of Cotabato City of Kidapawan OFFICE OF THE BIDS AND AWARD COMMITTEE June 30, 2020 INVITATION TO BID FOR  SUPPLY AND DELIVERY OF OFFICE AND JANITORIAL SUPPLIES FOR THE USE OF BAC AND CHRMO, KIDAPAWAN CITY Th</t>
  </si>
  <si>
    <t xml:space="preserve"> Republic of the Philippines PROVINCE OF SOUTHERN LEYTE Maasin City Invitation to Bid for the Procurement of Various Housekeeping Supplies and Office Supplies  Contract ID # 2020-07-21-389PG 1.	The Provincial Government of Southern Leyte through the PEO–Mo</t>
  </si>
  <si>
    <t xml:space="preserve"> Republic of the Philippines PROVINCE OF SOUTHERN LEYTE Maasin City Invitation to Bid for the Procurement of Various Office Supplies  Contract ID # 2020-07-21-402PG 1.	The Provincial Government of Southern Leyte through the SDH – Office Supplies Expenses i</t>
  </si>
  <si>
    <t xml:space="preserve"> Republic of the Philippines PROVINCE OF SOUTHERN LEYTE Maasin City Invitation to Bid for the Procurement of Various Laboratory Supplies  Contract ID # 2020-07-21-401PG 1.	The Provincial Government of Southern Leyte through the SDH Medical, Dental and Labo</t>
  </si>
  <si>
    <t xml:space="preserve"> Republic of the Philippines PROVINCE OF SOUTHERN LEYTE Maasin City Invitation to Bid for the Procurement of Vehicle Spare parts  Contract ID # 2020-07-21-393PG 1.	The Provincial Government of Southern Leyte through the PGO– Repair and Maintenance –Transpo</t>
  </si>
  <si>
    <t xml:space="preserve"> Republic of the Philippines PROVINCE OF SOUTHERN LEYTE Maasin City Invitation to Bid for the Procurement of One (1) Unit Digital Photocopier  Contract ID # 2020-07-21-392PG 1.	The Provincial Government of Southern Leyte through the SDH-Information and Com</t>
  </si>
  <si>
    <t xml:space="preserve"> Republic of the Philippines PROVINCE OF SOUTHERN LEYTE Maasin City Invitation to Bid for the Procurement of Various Office Supplies  Contract ID # 2020-07-21-390PG 1.	The Provincial Government of Southern Leyte through the PSWDO– Office Supplies Expenses </t>
  </si>
  <si>
    <t xml:space="preserve"> Republic of the Philippines PROVINCE OF SOUTHERN LEYTE Maasin City Invitation to Bid for the Procurement of Window grills  Contract ID # 2020-07-21-403PG 1.	The Provincial Government of Southern Leyte through the SLPL Repair and Maintenance Expenses inten</t>
  </si>
  <si>
    <t xml:space="preserve"> Republic of the Philippines PROVINCE OF SOUTHERN LEYTE Maasin City Invitation to Bid for the Procurement of Various Office Supplies  Contract ID # 2020-07-21-396PG 1.	The Provincial Government of Southern Leyte through the PAGSO Office Supplies Expenses i</t>
  </si>
  <si>
    <t xml:space="preserve"> The LOCAL GOVERNMENT UNIT of Maslog, Eastern Samar, through an Appropriation Ordinance No. 07 intends to apply the sum of Two Hundred Thirty Four Thousand Nine Hundred Ten Pesos (Php234,910.00) being the Approved Budget Cost (ABC) to payments under the co</t>
  </si>
  <si>
    <t xml:space="preserve"> INVITATION TO BID  PR NO. 2020-05-58 – PURCHASE OF ICT EQUIPMENT FOR OFFICIAL USE OF DENR-CAR, PENRO MOUNTAIN PROVINCE  The Department of Environment and Natural Resources- PENRO Mountain Province, through its Bids and Awards Committee (BAC) for Goods, in</t>
  </si>
  <si>
    <t xml:space="preserve"> The Local Government Unit of Maslog, Eastern Samar now invites bids for the Retrofitting of Suspension Bridge I @ Maslog, Eastern Samar with the following scope of works: Dismantle of Damage Part, Repair of Steel Frame (Girts/Girder, Floor Joist, Cross Br</t>
  </si>
  <si>
    <t xml:space="preserve"> Item	Qty.	A R T I C L E S				 1		OTHER PROPERTY PLANT &amp; EQUIPMENT				 2	1 lot	CCTV camera w/IR, siamese wire				 3		UTP wire,power supply, F&amp;M connector				 4		balun, bracket				 5</t>
  </si>
  <si>
    <t xml:space="preserve"> Republic of the Philippines													 City of San Carlos													 Negros Occidental													 									                  			REBIDDING	 INVITATION TO BID											FOR SALE	 			PURCHASE REQUEST NO: 1-20-03-0487				P 150.00	 Sealed bids for quotat</t>
  </si>
  <si>
    <t xml:space="preserve"> Republic of the Philippines PROVINCE OF SOUTHERN LEYTE Maasin City Invitation to Bid for the Procurement of Various Vehicle Spare parts  Contract ID # 2020-07-21-391PG 1.	The Provincial Government of Southern Leyte through the PGO – Repair and Maintenance</t>
  </si>
  <si>
    <t xml:space="preserve"> Invitation to Bid for THE  Installation of RAIN WATER HARVESTER 1.The Barangay Local Government Unit of Barangay Caigangan, through the PAMANA-IP CDD intends to apply the sum on a per lot basis being the Approved Budget for the Contract (ABC) to payments </t>
  </si>
  <si>
    <t xml:space="preserve"> FOR SALE	 Lot 	Amount	 1	P 1,450.00	 2	P 300.00	 3	P 150.00	 4	P 150.00	 5	P 150.00	 6	P 150.00	 7	P 150.00	 8	P 150.00	 Republic of the Philippines												 City of San Carlos												 Negros Occidental												 												 			INVITATION TO BID</t>
  </si>
  <si>
    <t xml:space="preserve"> Republic of the Philippines												 City of San Carlos												 Negros Occidental												 												 			INVITATION TO BID							FOR SALE	 			PURCHASE REQUEST NO: 1-20-06-0680			P 36,250.00	 Sealed bids for quotation of prices will be received</t>
  </si>
  <si>
    <t xml:space="preserve"> ROAD REHABILITATION Item No.	Description 	Unit	Quantity PART A 	GENERAL REQUIREMENTS		 a	Const.Safety and Health Program	LS	 1.00  b	Project Billboard	Unit	 1.00  c	Mobilization/Demobilization	Lot	 1.00  PART B 			 105	Subgrade Preparation	sq.m.	 950.00  </t>
  </si>
  <si>
    <t xml:space="preserve"> Republic of the Philippines													 City of San Carlos													 Negros Occidental													 										                 		REBIDDING	 INVITATION TO BID											FOR SALE	 			PURCHASE REQUEST NO: 1-20-03-0482				P 150.00	 Sealed bids for quotati</t>
  </si>
  <si>
    <t xml:space="preserve"> Republic of the Philippines                                                                      PROVINCE OF ISABELA                                                                    Municipality of Dinapigue                                              </t>
  </si>
  <si>
    <t xml:space="preserve"> Republic of the Philippines												 City of San Carlos												 Negros Occidental												 												 			INVITATION TO BID							FOR SALE	 			PURCHASE REQUEST NO: 18-20-06-0646			P 4,745.00	 Sealed bids for quotation of prices will be received</t>
  </si>
  <si>
    <t xml:space="preserve"> Republic of the Philippines													 City of San Carlos													 Negros Occidental													 													 INVITATION TO BID											FOR SALE	 			PURCHASE REQUEST NO: 1-20-06-0699				P 300.00	 Sealed bids for quotation of prices will be recei</t>
  </si>
  <si>
    <t xml:space="preserve"> Republic of the Philippines													 City of San Carlos													 Negros Occidental													 													 INVITATION TO BID											FOR SALE	 			PURCHASE REQUEST NO: 1-20-06-0683				P 150.00	 Sealed bids for quotation of prices will be recei</t>
  </si>
  <si>
    <t xml:space="preserve"> Invitation to Bid for CONSTRUCTION OF TRIBAL CENTER 1.The Barangay Santa Emelia Local Government Unit, through the Government of the Philippines, General Appropriation Act 2118 intends to apply the sum of Three Million One Hundred Seven Thousand Seven Hun</t>
  </si>
  <si>
    <t xml:space="preserve"> Republic of the Philippines													 City of San Carlos													 Negros Occidental													 										                   		REBIDDING	 INVITATION TO BID											FOR SALE	 			PURCHASE REQUEST NO: 1-20-06-0649				P 150.00	 Sealed bids for quota</t>
  </si>
  <si>
    <t xml:space="preserve"> Republic of the Philippines													 City of San Carlos													 Negros Occidental													 													 INVITATION TO BID											FOR SALE	 			PURCHASE REQUEST NO: 1-20-06-0732				P 150.00	 Sealed bids for quotation of prices will be recei</t>
  </si>
  <si>
    <t xml:space="preserve"> Republic of the Philippines													 City of San Carlos													 Negros Occidental													 													 INVITATION TO BID											FOR SALE	 			PURCHASE REQUEST NO: 9-20-06-0739				P 991.00	 Sealed bids for quotation of prices will be recei</t>
  </si>
  <si>
    <t xml:space="preserve"> Printing and Publication</t>
  </si>
  <si>
    <t xml:space="preserve"> Republic of the Philippines													 City of San Carlos													 Negros Occidental													 										                   		REBIDDING	 INVITATION TO BID											FOR SALE	 			PURCHASE REQUEST NO: 401-20-03-0453				P 500.00	 Sealed bids for quo</t>
  </si>
  <si>
    <t xml:space="preserve"> Republic of the Philippines												 City of San Carlos												 Negros Occidental												 												 			INVITATION TO BID							FOR SALE	 			PURCHASE REQUEST NO: 1-20-06-0681			P 2,667.00	 Sealed bids for quotation of prices will be received </t>
  </si>
  <si>
    <t xml:space="preserve"> Republic of the Philippines													 City of San Carlos													 Negros Occidental													 									                    			REBIDDING	 INVITATION TO BID											FOR SALE	 			PURCHASE REQUEST NO: 1-20-04-0532				P 150.00	 Sealed bids for quot</t>
  </si>
  <si>
    <t xml:space="preserve"> Republic of the Philippines													 City of San Carlos													 Negros Occidental													 													 INVITATION TO BID											FOR SALE	 			PURCHASE REQUEST NO: 9-20-06-0695				P 997.00	 Sealed bids for quotation of prices will be recei</t>
  </si>
  <si>
    <t xml:space="preserve"> Purchase of Computer Sets</t>
  </si>
  <si>
    <t xml:space="preserve"> Republic of the Philippines													 City of San Carlos													 Negros Occidental													 													 INVITATION TO BID											FOR SALE	 			PURCHASE REQUEST NO: 9-20-06-0734				P 300.00	 Sealed bids for quotation of prices will be recei</t>
  </si>
  <si>
    <t xml:space="preserve"> Republic of the Philippines													 City of San Carlos													 Negros Occidental													 									                     			REBIDDING	 INVITATION TO BID											FOR SALE	 			PURCHASE REQUEST NO: 1-20-06-0659				P 300.00	 Sealed bids for quo</t>
  </si>
  <si>
    <t xml:space="preserve"> Republic of the Philippines													 City of San Carlos													 Negros Occidental													 													 INVITATION TO BID											FOR SALE	 			PURCHASE REQUEST NO: 9-20-06-0740				P 150.00	 Sealed bids for quotation of prices will be recei</t>
  </si>
  <si>
    <t xml:space="preserve"> Republic of the Philippines													 City of San Carlos													 Negros Occidental													 										                  		REBIDDING	 INVITATION TO BID											FOR SALE	 			PURCHASE REQUEST NO: 1-20-03-0497				P 150.00	 Sealed bids for quotat</t>
  </si>
  <si>
    <t xml:space="preserve"> Republic of the Philippines													 City of San Carlos													 Negros Occidental													 													 INVITATION TO BID											FOR SALE	 			PURCHASE REQUEST NO: 9-20-06-0676				P 733.00	 Sealed bids for quotation of prices will be recei</t>
  </si>
  <si>
    <t xml:space="preserve"> Republic of the Philippines													 City of San Carlos													 Negros Occidental													 									                      			REBIDDING	 INVITATION TO BID											FOR SALE	 			PURCHASE REQUEST NO: 9-20-04-0533				P 150.00	 Sealed bids for qu</t>
  </si>
  <si>
    <t xml:space="preserve"> Republic of the Philippines													 City of San Carlos													 Negros Occidental													 													 INVITATION TO BID											FOR SALE	 			PURCHASE REQUEST NO: 4-20-06-0643				P 150.00	 Sealed bids for quotation of prices will be recei</t>
  </si>
  <si>
    <t xml:space="preserve"> The LOCAL GOVERNMENT UNIT of Maslog, Eastern Samar, through the 20% EDF of 2020 intends to apply the sum of Seven Hundred Fifty One Thousand Three Hundred Sixty One Pesos (Php751,361.00) being the Approved Budget Cost (ABC) to payments under the contract </t>
  </si>
  <si>
    <t xml:space="preserve"> Republic of the Philippines													 City of San Carlos													 Negros Occidental													 													 INVITATION TO BID											FOR SALE	 			PURCHASE REQUEST NO: 1-20-06-0733				P 150.00	 Sealed bids for quotation of prices will be recei</t>
  </si>
  <si>
    <t xml:space="preserve"> Procurement of Equipment</t>
  </si>
  <si>
    <t xml:space="preserve"> Republic of the Philippines													 City of San Carlos													 Negros Occidental													 													 INVITATION TO BID											FOR SALE	 			PURCHASE REQUEST NO: 9-20-03-0415				P 150.00	 Sealed bids for quotation of prices will be recei</t>
  </si>
  <si>
    <t xml:space="preserve"> The DPWH Nueva Ecija 1st DEO, through its Bids and Awards Committee (BAC), invites contractors to submit bids for the following contract:			 				 	20CE0231: Asset Preservation – Preventive Maintenance – Secondary Roads - Bongabon – Rizal – Aurora Rd K0153</t>
  </si>
  <si>
    <t xml:space="preserve"> Procurement of Furniture &amp; Fixtures</t>
  </si>
  <si>
    <t xml:space="preserve"> INVITATION TO BID FOR THE FURNISHING OF LABOR AND MATERIALS FOR THE CONCRETING OF BARANGAY ROAD OF BARANGAY BARROC, TIGBAUAN, ILOILO</t>
  </si>
  <si>
    <t xml:space="preserve"> Bidding will be conducted through open competitive bidding procedures using a non-discretionary “pass/fail” criterion as specified in the Implementing Rules and Regulations (IRR) of Republic Act (RA) 9184, otherwise known as the “Government Procurement Re</t>
  </si>
  <si>
    <t xml:space="preserve"> Supply and delivery of construction materials for the Installation of Street Lights.</t>
  </si>
  <si>
    <t xml:space="preserve"> INVITATION TO APPLY FOR ELIGIBILITY AND TO BID The Municipality of RONDA, through its Bids &amp; Awards Committee (BAC), invites contractors registered with and classified by the Philippine Contractors Accreditation Board (PCAB) to apply for eligibility and i</t>
  </si>
  <si>
    <t xml:space="preserve"> (FORM NO. 014 – INVITATION TO APPLY FOR ELIGIBILITY AND TO BID) Republic of the Philippines Sangguniang Barangay of TUBIGAN Barangay TUBIGAN, Unisan, Quezon INVITATION TO APPLY FOR ELIGIBILITY AND TO BID Date			:  					 The Sangguniang Barangay TUBIGAN, t</t>
  </si>
  <si>
    <t xml:space="preserve"> PURCHASED OF BRGY PATROL CAR ( MOTORCYCLE W/ SIDECAR)</t>
  </si>
  <si>
    <t xml:space="preserve"> INVITATION TO BID FOR THE FURNISHING OF LABOR AND MATERIALS FOR THE CONSTRUCTION OF DRAINAGE CANAL OF BARANGAY NAMOCON, TIGBAUAN, ILOILO</t>
  </si>
  <si>
    <t xml:space="preserve"> THE PROCURING ENTITY THROUGH ITS BIDS AND AWARDS COMMITTEE INVITES SUPPLIER TO QUOTE FOR THE HEREUNDER PROJECT/PROGRAM: IMPROVEMENT OF BARANGAY STREETLIGHT - 20% EDF 2019 ITEMS DESCRIPTION	ABC/UNIT	QTY	UNIT 1 Various Electrical Materials (Electrical): 1 L</t>
  </si>
  <si>
    <t xml:space="preserve"> Republic of the Philippines                                       Province of Leyte                            MUNICIPALITY OF ALBUERA                     OFFICE OF THE MUNICIPAL MAYOR OFFICE OF THE BIDS AND AWARDS COMMITTEE INVITATION TO BID 	The Local G</t>
  </si>
  <si>
    <t xml:space="preserve"> The DPWH Nueva Ecija 1st DEO, through its Bids and Awards Committee (BAC), invites contractors to submit bids for the following contract:			 				 	20CE0230: Network Development – Construction of By-Pass and Diversion Roads - San Roque – Bacayao Road, Guim</t>
  </si>
  <si>
    <t xml:space="preserve"> The Local Government Unit of Santa Fe, Nueva Vizcaya, through its Bids &amp; Awards Committee invites contractors to bid for the following project: Contract Name:  Construction of Flood Control (Malico) Contract Location: Santa Fe, Nueva Vizcaya Approve Budge</t>
  </si>
  <si>
    <t xml:space="preserve"> Provision of meals and snacks</t>
  </si>
  <si>
    <t xml:space="preserve"> INVITATION TO BID FOR THE FURNISHING OF LABOR AND MATERIALS FOR THE IMPROVEMENT OF MULTI-PURPOSE HALL OF BARANGAY PAMUL-OGAN, CABATUAN, ILOILO</t>
  </si>
  <si>
    <t xml:space="preserve"> 1. 10 pcs Auto Bulb 24 volts (double big) 2. 10 pcs Auto Bulb 24 volts (single big) 3. 10 pcs Auto Bulb 24 volts (double small) 4. 10 pcs Auto Bulb 24 volts (single small) 5. 10 pcs Auto Bulb 12 volts (double big) 6. 10 pcs Auto Bulb 12 volts (single big)</t>
  </si>
  <si>
    <t xml:space="preserve"> THE PROCURING ENTITY THROUGH ITS BIDS AND AWARDS COMMITTEE INVITES SUPPLIER TO QUOTE FOR THE HEREUNDER PROJECT/PROGRAM: CONSTRUCTION OF RIP RAP - 20% EDF 2019 ITEMS DESCRIPTION	ABC/UNIT	QTY UNIT 1 Various Construction Materials (aggregates): 1 Lot. 45 cu.</t>
  </si>
  <si>
    <t xml:space="preserve"> The DPWH Nueva Ecija 1st DEO, through its Bids and Awards Committee (BAC), invites contractors to submit bids for the following contract:			 				 	20CE0232: Asset Preservation – Rehabilitation/Reconstruction/Upgrading of Damaged Paved Roads – Primary Road</t>
  </si>
  <si>
    <t xml:space="preserve"> MG-LGD20-002..FUEL, GASOLINE, DIESEL ABC : P4,680,000.00 PLACE OF DELIVERY : MINGEN CENTRAL WAREHOUSE DITUCALAN, ILIGAN CITY AMOUNT OF BID DOCUMENTS : P 5,000.00</t>
  </si>
  <si>
    <t xml:space="preserve"> Construction of Bridge</t>
  </si>
  <si>
    <t xml:space="preserve"> Provision of food supplies</t>
  </si>
  <si>
    <t xml:space="preserve"> FOR CONSTRUCTION OF SAFETY WALKS-IN</t>
  </si>
  <si>
    <t xml:space="preserve"> Supply and Delivery of Equipments</t>
  </si>
  <si>
    <t xml:space="preserve"> Bid-Opening-July 21, 2020 at 2:00 p.m. at Municipal Conference Room</t>
  </si>
  <si>
    <t xml:space="preserve"> 6   pcs.      Printer-EPSON 5190 50   pcs.    Printer-EPSON L3110</t>
  </si>
  <si>
    <t xml:space="preserve"> I. MATERIALS: 21 PCS. SOLAR POWERED LIGHTING FIXTURE WITH 10 WATTS LED LAMP 11 PCS. G.I. PIPE 2" 6 PCS. G.I. PIPE 1 1/2" 10 PCS. RSB mmØ x 6m 4 KGS. G.I. TIE WIRE #16 5 KGS. WELDING ROD 2 CU.M. WHITE SAND 1.5 CU.M. GRAVEL 14 BAGS PORTLAND CEMENT 16 PCS. C</t>
  </si>
  <si>
    <t xml:space="preserve"> Supply and Delivery and Installation of Airconditioning Unit</t>
  </si>
  <si>
    <t xml:space="preserve"> A. REMOVAL OF EXISTING GARDEN, PLANT BOX, AND COCO TREE B. PLANT BOX (85m.) 1. WALL FOOTING (Thk. = 0.10m.) 2. MASONRY WORK 3. REINFORCING BARS C. LANDSCAPING (L=85m.,W=0.50m.,D-0.38m.)</t>
  </si>
  <si>
    <t xml:space="preserve"> construction supplies and materials, labor</t>
  </si>
  <si>
    <t xml:space="preserve"> Pls. quote the items listed below: 1. Safety Breaker with aircon outlet  -  2 pcs. 2. 3 Gang Outlet  -  12 pcs. 3. Male Plug  -  4 pcs. 4. Mounted Awilen  -  1 pc. 5. Ceiling Receptacle  -  1 pc. 6. Insulation Foam  -  1 roll 7. Rubber Socket  -  6 pcs. 8</t>
  </si>
  <si>
    <t xml:space="preserve"> PROPOSED SOLAR STREET LIGHTING</t>
  </si>
  <si>
    <t xml:space="preserve"> 2 units Brand New Patrol Van Back to Back: Seating Capacity:21,Engine:2.6L naturally aspirated 4 cylinder SOHC 8-valve,diesel engine steering type: rack and pinion steering gear w power assist, minimum turning radius:5m, 5 speed manual transmission,FR &amp; R</t>
  </si>
  <si>
    <t xml:space="preserve"> 6' CI LIne valve 6' Sleeve 4' Sleeve 3' CI Cleeve 2" PE Connector 2" PE Adoptor 1 x 1/2 PE Connector  1" PE connector  1 P:E Adoptor  3/4 PE connector 3/4 PE adoptor 1/2 PE connector 1/2 Adoptor 1 x 3/4 Corporation Stop</t>
  </si>
  <si>
    <t xml:space="preserve"> Republic of the Philippines Province of Davao del Sur Municipality of Matanao BARANGAY DONGANPEKONG -oOo- INVITATION TO BID The Barangay Government Unit of Donganpekong, Matanao, Davao del Sur, through its Bids and Awards Committee (BAC), invites supplier</t>
  </si>
  <si>
    <t xml:space="preserve"> Estimated Unit Cost                        Estimated Amount 1000 liters Diesel Fuel                              55.00                                             55,000.00 200  liters  Oil                                         200.00                   </t>
  </si>
  <si>
    <t xml:space="preserve"> Materials: -100- bags - Portland Cement -200- pcs. - RSB, 12mmØ x 6.0m -20- pcs. - RSB, 10mmØ x 6.0m -40- kgs. - G.I. Tie Wire # 16 -150- pcs. - Good Lumber (50mm x 50mm x 3.0m) -178- cu.m. - White Sand -56- cu.m. Crushed Gravel 3/4"Ø -50- pcs. - Ordinary</t>
  </si>
  <si>
    <t xml:space="preserve"> REPAIR OF 36 UNITS CCTV CAMERAS AND INSTALLATION OF 7 UNITS CCTV CAMERAS</t>
  </si>
  <si>
    <t xml:space="preserve"> Construction of Multi – Purpose Building</t>
  </si>
  <si>
    <t xml:space="preserve"> 2 units Brand New Motorcycle: Specifications: dimension:2150*835*1332 mm, wheelbase: 1415mm,seat height:840mm,curb weight:213kg, max load:150kg,tire size:front-120/70-ZR17, Rear-160/60-ZR17,brake system:anti lock braking system,engine type:in line 2 cycli</t>
  </si>
  <si>
    <t xml:space="preserve"> Republic of the Philippines Province of Cotabato Municipality of Aleosan Invitation to Bid  SUPPLY AND DELIVERY OF PORTABLE MICROBIOLOGICAL TEST FOR WATER                                                                                                     </t>
  </si>
  <si>
    <t xml:space="preserve"> UPGRADING OF LEVEL III WATER SUPPLY SYSTEM (PHASE IV)</t>
  </si>
  <si>
    <t xml:space="preserve"> UNIVERSITY OF THE PHILIPPINES BAGUIO																				 Governor Pack Road, Baguio City, Benguet, CAR																				 VAT Reg. TIN: 000-864-006-00007																				 																				 																				 Request for Quotation																	</t>
  </si>
  <si>
    <t xml:space="preserve"> Republic of the Philippines Province of Bohol Municipality of Ubay INVITATION TO BID FOR PURCHASE OF MEAT VAN VEHICLE 1.	The Municipality of Ubay, through the Annual Budget C.Y. 2020 (Capital Outlay) intends to apply the sum of ONE MILLION FIVE HUNDRED PE</t>
  </si>
  <si>
    <t xml:space="preserve"> Materials only: -15- drums - Bituminous Tack Coat (Cationic Rapid Setting, CRS-2) -20- drums - Penetration Asphalt, 60/70</t>
  </si>
  <si>
    <t xml:space="preserve"> 2 units Compact Passenger Van: Specifications: Overall Dimension(LxWxH)(mm):4344x1690x2030 Cargo Bed Dimension (LxWxH)(mm):2605x1690 x1705, displacement:1462cc,valvetrain:DOHC 16 valve, cylinder layout:Inline 4,Aspiration: naturally aspirated,MPI, Fuel Ty</t>
  </si>
  <si>
    <t xml:space="preserve"> Construction of Deep well, Purok Narra, Barangay Isabang Lucena City</t>
  </si>
  <si>
    <t xml:space="preserve"> 85 pc Spine board with holes around the stretcher for convenient transportation, on head end there is a space to fix head immobilizer, floats in water, equipped with three safety belts, with spider strap, load capacity of 160 kg. size of 184x45x6cm, color</t>
  </si>
  <si>
    <t xml:space="preserve"> Description Please quote your price inclusive of VAT on the item/s listed below, subject to the Terms and conditions of the RFQ, and submit your quotation duly signed by your representative not later than July 7, 2020 at CGSO for Goods. Upon receipt of at</t>
  </si>
  <si>
    <t xml:space="preserve"> Section 1. INVITATION to BID (IB) No. 2020-013 The Municipality of Cabiao, Nueva Ecija, through its Bids and Awards Committee (BAC), invites suppliers/manufacturers/distributors to apply for eligibility and to bid if found eligible, to bid for the followi</t>
  </si>
  <si>
    <t xml:space="preserve"> Republic of the Philippines  City of Canlaon Office of the Bids and Awards Committee  INVITATION TO BID FOR the Construction of Brgy. Multi-purpose Building The Local Government of Canlaon City, through AIP 2019. Intends to apply the sum Three Hundred Fou</t>
  </si>
  <si>
    <t xml:space="preserve"> MG-TSE20-018..METER MULTIFUNCTION CAN MEASURE VOLTAGE, CURRENT, ACTIVE POWER ABC  : P 1,500,000.00 PLACE OF DELIVERY : CMTSD WAREHOUSE DITUCALAN, ILIGAN CITY AMOUNT OF BID DOCUMENTS : P 3,000.00</t>
  </si>
  <si>
    <t xml:space="preserve"> June 29, 2020 1.	The Barangay of Tukucan through the Bids and Awards Committee advertised an Invitation to bid for the Cocoy – Natpugan Road Improvement funded under 20% BLDF 2020 with an Approved Budget for the Contract (ABC) of One Hundred Forty-eight T</t>
  </si>
  <si>
    <t xml:space="preserve"> Republic of the Philippines DEPARTMENT OF PUBLIC WORKS AND HIGHWAYS NEGROS OCCIDENTAL 1ST DISTRICT ENGINEERING OFFICE Region VI Matab-ang, Talisay City, Negros Occidental INVITATION TO BID The DPWH, Negros Occidental 1st District Engineering Office, Matab</t>
  </si>
  <si>
    <t xml:space="preserve"> Location: Poblacion I, Moncada, Tarlac Minimum Requirements: 1. Direct Injection Four-Stroke Common Rail Diesel, 2.8 Liter Diesel, 4 Cylinder In-Line, 16 valve, Double Overhead Camshaft (DOHC), Turbo Charged, 2. Dimension : At least (L x W x H) 4,735 x 1,</t>
  </si>
  <si>
    <t xml:space="preserve"> I. SLOPE PROTECTION  A. EXCAVATION B. RUBBLE FOUNDATION C. GROUTED RIP-RAP II. EMBANKMENT III. ITEM-311 PCCP (Thk.=0.15m.)</t>
  </si>
  <si>
    <t xml:space="preserve"> Rehabilitation of Paved Road</t>
  </si>
  <si>
    <t xml:space="preserve"> 24 Sets of camera with Siamese Cable DVR 32 inches Monitor Power supply HDD BNC Jack male and female DC Female and male jack U box and Bracket U. Clip Services and parts warranty</t>
  </si>
  <si>
    <t xml:space="preserve"> June 29, 2020 INVITATION TO BID  Reference No. 7073345 /Solicitation No.20-24 The City Government of Tagum invites interested Bidders/Suppliers to bid for the following: Name of Contract         :  CONSTRUCTION MATERIALS &amp; SUPPLIES FOR THE USE OF CMO - CO</t>
  </si>
  <si>
    <t xml:space="preserve"> Materials: -100- M.T. - Bituminous Concrete Surface Coarse Furnishing Only (F)</t>
  </si>
  <si>
    <t xml:space="preserve"> Project Description I. Installation of Thermal and Sound Proofing II. Installation of Audio System III. Installation of Ventilation System IV. Installation of Gel Coated- Colored Fiber Glass Stadium Seats V. Plumbing Works VI. Installation of Modular Part</t>
  </si>
  <si>
    <t xml:space="preserve"> Materials: -300- bags - Thermoplastic Paint White (25 kgs./bag.)</t>
  </si>
  <si>
    <t xml:space="preserve"> MG-TSE20-022..SWITCH, ISOLATION, METERING PROTECTION SYSTEM ABC  : P 2,000,000.00 PLACE OF DELIVERY : CMTSD WAREHOUSE DITUCALAN, ILIGAN CITY AMOUNT OF BID DOCUMENTS : P 3,000.00</t>
  </si>
  <si>
    <t xml:space="preserve"> Portland Cement, 40kg., 420 bags Gravel, 48.2 cu.m. 12mm dia. x 6.0m rebar std. 30-pcs 2"x8"x12' cocolumber, 480 bd/ft CWNails, assorted, 3kls shovel, 4pcs</t>
  </si>
  <si>
    <t xml:space="preserve"> Republic of the Philippines										 Cordillera Administrative Region										 Provincial Government of Kalinga										 										 BIDS AND AWARDS COMMITTEE										 										 Invitation to Bid										 										 1.	The Provincial Government of KA</t>
  </si>
  <si>
    <t xml:space="preserve"> Republic of the Philippines  Province of Samar Municipality of Jiabong Invitation to Bid  Emergency Purchase to Prevent Spread of Covid 19 (PRN2020-4-112) Jiab-2020-1B The Municipal Government of Jiabong, Samar, through LGU OF JIABONG   intends to apply t</t>
  </si>
  <si>
    <t xml:space="preserve"> RFQ-TFB-10-2020 Republic of the Philippines Province of Davao Oriental CITY OF MATI BIDS AND AWARDS COMMITTEE (Local Funding Source) REQUEST FOR QUOTATION (Negotiated Procurement – Two Failed Biddings) 		 Name of Company:	 Address:	 Telephone No.:	 Please</t>
  </si>
  <si>
    <t xml:space="preserve"> I. REMOVAL OF EXISTING DAMAGED LINED CANAL II. DESILTING AND EXCAVATION III. REINFORCING STEEL BARS IV. STRUCTURAL CONCRETE</t>
  </si>
  <si>
    <t xml:space="preserve"> INVITATION TO APPLY FOR ELIGIBILITY AND TO BID (IAEB)   The Municipality of Molave, Zamboanga del Sur, through its General Appropriations, invites suppliers/distributors to apply for eligibility and to bid for the hereunder project:   Name of Project     </t>
  </si>
  <si>
    <t xml:space="preserve"> 1 &amp; 1/2 PE pipe SDR9 -60 mtrs Roll 1 &amp; 1/2 PE connector 1" PE pipe SDR 9 -90 mtrs roll 1 PE Connector 3/4 PE PIpe SDR 9 90 mters  3/4 PE connector</t>
  </si>
  <si>
    <t xml:space="preserve"> Materials: -100- bags - Thermoplastic Paint Yellow (25 kgs./bag.)</t>
  </si>
  <si>
    <t xml:space="preserve"> 20 bd.ft. 12L-1x2x10 Good Lumber 2.67 bd.ft 2L-1x2x8 Good Lumber 25 bd.ft. 5L 2x3x10 Good Lumber 48 bd.ft 12L 2x3x8 Good Lumber 133.33 bd.ft 50L-2x2x8 Good Lumber</t>
  </si>
  <si>
    <t xml:space="preserve"> Republic of the Philippines Region XII Province of Cotabato City of Kidapawan OFFICE OF THE BIDS AND AWARD COMMITTEE June 30, 2020 INVITATION TO BID FOR  SUPPLY AND DELIVERY OF OFFICE AND JANITORIAL SUPPLIES FOR THE VARIOUS OFFICES(SP OFFICE, MAYOR’S OFFI</t>
  </si>
  <si>
    <t xml:space="preserve"> Materials: -300- pails - Bituminous Cold Mix in pail</t>
  </si>
  <si>
    <t xml:space="preserve"> 1 unit Brand New Pick Up: Specifications: Overall Dimension (LWH)(mm): 4314*1809*1648 Kerb Weight (kg): 1258 GVW (kg): 1720 Wheelbase (mm): 3096 Wheel track (mm): Front: 1526, Rear: 1536 Rear leg room (mm): 926 Rear head room (mm): 995 Min. turning Radius</t>
  </si>
  <si>
    <t xml:space="preserve"> This project entails labor and materials for the construction of Multi-Purpose Bldg. Phase I at Brgy. Behia, Magallanes, Sorsogon funded by BDF 2020.</t>
  </si>
  <si>
    <t xml:space="preserve"> June 29, 2020 1.	The Barangay of Tukucan through the Bids and Awards Committee advertised an Invitation to bid for the Amdalagan – Binag-il Road Improvement funded under 20% BLDF 2020 with an Approved Budget for the Contract (ABC) of One Hundred Forty-sev</t>
  </si>
  <si>
    <t xml:space="preserve"> MG-TSE20-021..PROTECTION RELAY, DIGITAL ABC : P 2,500,000.00 PLACE OF DELIVERY  : CMTSD WAREHOUSE DITUCALAN, ILIGAN CITY AMOUNT OF BID DOCUMENTS : P 3,000.00</t>
  </si>
  <si>
    <t xml:space="preserve"> JOB ORDER: Provision for Catering Services, good for  30 pax for the Conduct of CY 2020 Program Level  3rd Quarter Assessment on September 28, 29 &amp; 30, 2020 at DA-RFO 8, Tacloban City. No.	Scope of Work	Quantity	Unit_Cost	ABC 	Menu:			 Day 1	AM Snack: Cho</t>
  </si>
  <si>
    <t xml:space="preserve"> JOB ORDER: Provision of Catering Services, good for  30 pax for the Conduct of CY 2020 Program Level  Fourth Quarter Assessment on November 25, 26 &amp; 27, 2020 at DA-RFO 8, Tacloban City. No.	Scope of Work	Quantity	Unit_Cost	ABC 	Menu			 Day 1	AM Snacks: Su</t>
  </si>
  <si>
    <t xml:space="preserve"> Republic of the Philippines DEPARTMENT OF HEALTH DR. JOSE RIZAL MEMORIAL HOSPITAL Lawaan, Dapitan City Telefax; (065) 213-6421 Website: www.djrmh.doh.gov.ph Email: dohdjrmh@gmail.com BIDS AND AWARDS COMMITTEE INVITATION TO BID PROCUREMENT OF MOTOR VEHICLE</t>
  </si>
  <si>
    <t xml:space="preserve"> Prospective bidders should have experience in undertaking a similar project within the last two (2) years with an amount of at least 50% of the proposed project for bidding and have key personnel and equipment (owned, leased or under purchase) available f</t>
  </si>
  <si>
    <t xml:space="preserve"> Preventive Maintenance of Road: Asphalt Overlay</t>
  </si>
  <si>
    <t xml:space="preserve"> Republic of the Philippines Province of Lanao del Norte MUNICIPALITY OF MAIGO INVITATION TO BID The LGU-MAIGO, Lanao del Norte, through its Bids and Awards Committee (BAC) invites suppliers/manufacturers/distributors/contractors to apply for eligibility a</t>
  </si>
  <si>
    <t xml:space="preserve"> Invitation to Bid 								 June 29, 2020 1.	The Barangay of Tukucan through the Bids and Awards Committee advertised an Invitation to bid for the Palintaang – Kulili Road Improvement funded under 20% BLDF 2020 with an Approved Budget for the Contract (ABC</t>
  </si>
  <si>
    <t xml:space="preserve"> Meals and snacks good for 25 heads including room accommodation and meeting facilities (seminar hall)</t>
  </si>
  <si>
    <t xml:space="preserve"> Republic of the Philippines Province of Negros Occidental Municipality of Pontevedra BIDS AND AWARDS COMMITTEE INVITATION TO BID 	The Brgy. Canroma, Pontevedra, Negros Occidental through its Bids and Awards Committee (BAC), invites all prospective bidders</t>
  </si>
  <si>
    <t xml:space="preserve"> See attached Request for Quotation.</t>
  </si>
  <si>
    <t xml:space="preserve"> Republic of the Philippines Province of Ifugao BIDS AND AWARDS COMMITTEE Banaue, Ifugao Invitation to Bid for Street Lighting Publication No. INF-2020-003 1.	The Municipal Government of Banaue, through the Local Government Fund (LGU) 2020 intends to apply</t>
  </si>
  <si>
    <t xml:space="preserve"> RFQ-TFB-11-2020 Republic of the Philippines Province of Davao Oriental CITY OF MATI BIDS AND AWARDS COMMITTEE (Local Funding Source) REQUEST FOR QUOTATION (Negotiated Procurement – Two Failed Biddings) 		 Name of Company:	 Address:	 Telephone No.:	 Please</t>
  </si>
  <si>
    <t xml:space="preserve"> Republic of the Philippines BIDS AND AWARDS COMMITTEE Brgy. #5 DAVILA Pasuquin, Ilocos Norte REQUEST FOR QUOTATION ________________________                                                           DATE: _________________                     Name of Suppl</t>
  </si>
  <si>
    <t xml:space="preserve"> WE INVITE INTERESTED BIDDERS TO QUOTE FOR 1 UNIT VACUUM PACK SEALER NEEDED BY THE BUREAU OF PLANT INDUSTRY-LA GRANJA NATIONAL CROP RESEARCH, DEVELOPMENT AND PRODUCTION SUPPORT CENTER, LA GRANJA LA CARLOTA CITY NEGROS OCCIDENTAL . REQUEST FOR QUOTATION/CAN</t>
  </si>
  <si>
    <t xml:space="preserve"> Republic of the Philippines  Province of Samar Municipality of Jiabong Invitation to Bid  Emergency Purchase to Prevent Spread of Covid 19 (PRN2020-4-113) Jiab-2020-2B The Municipal Government of Jiabong, Samar, through LGU OF JIABONG   intends to apply t</t>
  </si>
  <si>
    <t xml:space="preserve"> Ink for Printer WF-C5790 (Eco-Friendly) -6- pcs. - Black C13T948100 -6- pcs. - Cyan C13T948200 -6- pcs. - Magenta C13T948300 -6- pcs. - Yellow C13T948400</t>
  </si>
  <si>
    <t xml:space="preserve"> MG-TSE20-032..REHAB/REPAIR OF VARIOUS DEFECTIVE LOW/MEDIUM/HIGH VOLTAGE EQUIPMENT ABC  : P 1,021,500.00 PLACE OF DELIVERY : CMTSD WAREHOUSE DITUCALAN, ILIGAN CITY AMOUNT OF BID DOCUMENTS : P 3,000.00</t>
  </si>
  <si>
    <t xml:space="preserve"> -50- rolls - Mylar Film, 24 x 20, 75 Microns</t>
  </si>
  <si>
    <t xml:space="preserve"> PR.No. ____________________ Republic of the Philippines Region XII Province of Cotabato Municipality of Aleosan  OFFICE OF BIDS AND AWARDS COMMITTEE REQUEST FOR QUOTATION __________________________ Name of Company __________________________ Address 	The L</t>
  </si>
  <si>
    <t xml:space="preserve"> Invitation to Bid 								 June 29, 2020 1.	The Barangay Local Government Unit of Poblacion through the Bids and Awards Committee advertised an Invitation to bid for the Tupaan – Bileng Road Construction funded under 20% BLDF – 2020 with an Approved Budge</t>
  </si>
  <si>
    <t xml:space="preserve"> 8-Units-GADGET for GGET (Gadget for Good Governance with Enhanced Technology) Specifications: Type: Booklet Connection: Wifi, WiFi + Cellular OS: Android OS ver.: Android 9.0 PIE, One UI CPU: Octa-core CPU Speed: 2x 1.8GHz Cortex-A73 &amp; 6x 1.6GHz Cortex-A5</t>
  </si>
  <si>
    <t xml:space="preserve"> Supply and Delivery of Office Furnitures intended for LGU Manito Albay as listed in the bill of quantities and specifications.</t>
  </si>
  <si>
    <t xml:space="preserve"> Date:	 					 COMPANY NAME: _________________________________					 LOCATION: _______________________________________					 					 					 REQUEST FOR QUOTATION					 					 Gentlemen/Madam:					 					      Please quote your lowest price on the item/s listed belo</t>
  </si>
  <si>
    <t xml:space="preserve"> LOCAL GOVERNMENT OF TITAY				Project Reference Number Province of Zamboanga Sibugay					Name of the Project:     Location of the Project:  Standard Form Number:	 Revised on: July 29, 2004 INVITATION TO BID The Municipality of Titay, Zamboanga Sibugay, thr</t>
  </si>
  <si>
    <t xml:space="preserve"> Republic of the Philippines Department of Justice BUREAU OF CORRECTIONS SAN RAMON PRISON AND PENAL FARM Zamboanga City Request for Quotation The San Ramon Prison And Penal Farm, through its Bids and Awards Committee, request your lowest quotation of Compu</t>
  </si>
  <si>
    <t xml:space="preserve"> 20PCS DOOR KNOB AND 19 LINE ITEMS</t>
  </si>
  <si>
    <t xml:space="preserve"> 60	Piece	Data Storage, CD-R with case 12	roll	Bidning Tape, 2-1/2", yellow 12	roll	Bidning Tape,2-1/2", Blue 2	pack	Glassine Bag,16 x 7 cm 1	Unit	Reversible Whiteboard with aluminum satnd with wheels 2 sides white dry erase or marker board with aliminum f</t>
  </si>
  <si>
    <t xml:space="preserve"> Republic of the Philippines PROVINCE OF AGUSAN DEL SUR Municipality of San Luis Invitation to Bid ============================================ Construction of Municipal Slaughterhouse (Phase-1) 1.	The Municipal Government of San Luis, Agusan del Sur, rese</t>
  </si>
  <si>
    <t xml:space="preserve"> June 29, 2020 INVITATION TO BID  Reference No. 7073570 /Solicitation No.20-24 The City Government of Tagum invites interested Bidders/Suppliers to bid for the following: Name of Contract         :  CONSTRUCTION MATERIALS &amp; SUPPLIES FOR THE USE OF CMO – CO</t>
  </si>
  <si>
    <t xml:space="preserve"> 4 units Brand Aluminum Van: Specifications: Wheelbase(mm):3308,emission standard:Euro IV engine power(kw):85,displacement:2771, overall dimension(mm):5995*1980*2700 cabin:1730mm,sigle cabin,tiltable, Van specs material:aluminum, van size: 4150*1880*1800mm</t>
  </si>
  <si>
    <t xml:space="preserve"> *Construction of 5m by 10m MRF Building with a total area of 50 sq.m. Use of 4" G.I Pipe for Column, cyclone wire for walling with 2 layers of 4"CHB from floor level. *One (1) unit Plastic and Glass Bottle Shredder/Pulverizer-Grinder- Output: 100kg/hr; Mo</t>
  </si>
  <si>
    <t xml:space="preserve"> The Kasiglahan Village Elementary School through its Bids and Awards Committee will undertake a Small Value Procurement /Negotiated Procurement (emergency cases) for the “Supply and delivery of office supplies for the month of May 2020 for Kasiglahan Vill</t>
  </si>
  <si>
    <t xml:space="preserve"> REPUBLIC OF THE PHILIPPINES  CITY OF ILOILO BIDS AND AWARDS COMMITTEE Office of the BAC Secretariat, 7th Floor, Iloilo City Hall, Plaza Libertad, Iloilo City 5000 Philippines Tel No.:  033-333-111 loc. 730		E-mail: bac.iloilocity@gmail.com REQUEST FOR QUO</t>
  </si>
  <si>
    <t xml:space="preserve"> E-Billboard and Bulletin Board Maintenance</t>
  </si>
  <si>
    <t xml:space="preserve"> REPUBLIC OF THE PHILIPPINES PROVINCE OF SIQUIJOR MUNICIPALITY OF MARIA BARANGAY LOCAL GOVERNMENT UNIT OF LOGUCAN INVITATION TO BID FOR PROCUREMENT OF VARIOUS PLUMBING MATERIALS-LOGUCAN/LOG-0001G-2020 1.	The Barangay Local Government Unit of Logucan of the</t>
  </si>
  <si>
    <t xml:space="preserve"> Republic of the Philippines PROVINCE OF ZAMBOANGA SIBUGAY Municipality of Mabuhay OFFICE OF THE BAC CHAIRMAN INVITATION TO BID June 30, 2020  To all interested Bidders; Notice is hereby served that sealed bid be received for public bidding under the harmo</t>
  </si>
  <si>
    <t xml:space="preserve"> Please see attach documents</t>
  </si>
  <si>
    <t xml:space="preserve"> JOB ORDER: Supply labor and materials for the Repair of plant Nursery Shed (Net Shade) at Babatngon Experiment Station, Brgy. Bagong Silang, Babatngon, Leyte. No.	Scope of Work	Quantity	Unit_Cost	ABC Spcl I	SIGNBOARD/ BILLBOARD     SQ.FT.	32	140.11	 I.	SI</t>
  </si>
  <si>
    <t xml:space="preserve"> 42	roll	Nylon String,Tansi (1kg/roll) 60	piece	Plastic Sack,20kg cap 1735	piece	Net Bag, 19" x 26", with nylon string 600	piece	Net Bag, 6" x 8", with nylon string 30	piece	Net Bag, 8" x 12", with nylon string 55	piece	Plastic bottle sprayer,50ml cap 80	r</t>
  </si>
  <si>
    <t xml:space="preserve"> Supply and Delivery of IT and Office Equipment intended for LGU Manito Albay all in accordance with the approved bill of quantities and specifications.</t>
  </si>
  <si>
    <t xml:space="preserve"> Document Box Customized Extra Heavy Duty File Folder</t>
  </si>
  <si>
    <t xml:space="preserve"> Republic of the Philippines City of Canlaon OFFICE OF THE BIDS AND AWARDS COMMITTEE Invitation to Bid for the CONSTRUCTION OF BUNTIS LOUNGE The City Government of Canlaon City, through Ordinance No. 78, S-2018 intends to apply the sum of  Nine Hundred Sev</t>
  </si>
  <si>
    <t xml:space="preserve"> Various Drugs And Medicines</t>
  </si>
  <si>
    <t xml:space="preserve"> Province of Iloilo Municipality of New Lucena    New Lucena, Iloilo 							         June 30, 2020    INVITATION TO BID FOR THE SUPPLY AND DELIVERY OF MATERIALS FOR THE REPAIR AND MAINTENANCE OF STREET LIGHT,MUNICIPAL HALL BLDG. &amp; PUBLIC PLACES, NEW LUCENA</t>
  </si>
  <si>
    <t xml:space="preserve"> Republic of the Philippines  Province of Samar Municipality of Jiabong Invitation to Bid  Emergency Purchase to Prevent Spread of Covid 19 (PRN2020-4-116) Jiab-2020-5B The Municipal Government of Jiabong, Samar, through LGU OF JIABONG   intends to apply t</t>
  </si>
  <si>
    <t xml:space="preserve"> see attached docs</t>
  </si>
  <si>
    <t xml:space="preserve"> 24.00 	cu.m	Gravel river mixed  221.00 	bags	Portland Cement  25.00 	cu.m	3/4" dia. Washed Gravel  13.00 	cu.m	Screened Sand  133.33 	bd.ft	16pcs- 2"x6"x12' Forms  2.00 	kls	#3 CW Nail  63.96 	kls	12pcs- 12mm dia. DSB  2.00 	pcs	Hacksaw Blade</t>
  </si>
  <si>
    <t xml:space="preserve"> Republic of the Philippines Province of Nueva Vizcaya BIDS AND AWARDS COMMITTEE (BAC-Goods) BAC OFFICE, Provincial Capitol, Bayombong, Nueva Vizcaya Tel. No. 078-392-2062 	 INVITATION TO BID FOR THE SUPPLY AND DELIVERY OF ANIMAL FEEDS  AND VETERINARY SUPP</t>
  </si>
  <si>
    <t xml:space="preserve"> Republic of the Philippines Province of Capiz Municipality of Maayon OFFICE OF THE BIDS AND AWARDS COMMITTEE INVITATION TO BID  The Municipality of Maayon, Province of Capiz, through its Bids and Awards Committee (BAC), invites suppliers to apply for elig</t>
  </si>
  <si>
    <t xml:space="preserve"> Supply and Delivery of One (1) Lot Vegetable Seeds for Agricultural and Fishery Modernization Program of LGU-Coron (Re-Bid). INVITATION TO BID  1.	 The Municipal Government of Coron, through the 2020 Annual Municipal Budget intends to apply the sum of THR</t>
  </si>
  <si>
    <t xml:space="preserve"> BUILDING I-	Earth works                                 =        144.08 cu.m II-    Formworks and Scaffolds      	=	    3,800.00 bd.ft. III-	Reinforced Conc. Works              =	    50.00 cu.m. IV-	Masonry Works(include Septic Tank) =     124.80 sq.m. V-</t>
  </si>
  <si>
    <t xml:space="preserve"> MG-TSE20-024..TESTER, INSULATION AT 10 KV ABC  : P 1,200,000.00 PLACE OF DELIVERY : CMTSD WAREHOUSE DITUCALAN, ILIGAN CITY AMOUNT OF BID DOCUMENTS : P3,000.00</t>
  </si>
  <si>
    <t xml:space="preserve"> Republic of the Philippines Province of Nueva Vizcaya BIDS AND AWARDS COMMITTEE (BAC-Goods) BAC OFFICE, Provincial Capitol, Bayombong, Nueva Vizcaya Tel. No. 078-392-2062 	 INVITATION TO BID FOR THE SUPPLY AND DELIVERY OF CONSTRUCTION MATERIALS  FOR THE  </t>
  </si>
  <si>
    <t xml:space="preserve"> Repair and Maintenance of Breastfeeding Room for Lactating Mothers</t>
  </si>
  <si>
    <t xml:space="preserve"> Weighing Scale (10 kgs)													4	unit Nail 2"													20	kilo Nail 1"													20	kilo Paint (QDE semigloss white 8, Roof Green 4, FW Enamel - white 8)													20	gal Bolo													25	pc Knapsack Sprayer (Stainless 16 lits. Cap.)							</t>
  </si>
  <si>
    <t xml:space="preserve"> Invitation to Bid 								 June 29, 2020 1.	The Barangay of Gumhang through the Bids and Awards Committee advertised an Invitation to bid for the Balukok Water System Construction funded under 20% BLDF 2020 with an Approved Budget for the Contract (ABC) o</t>
  </si>
  <si>
    <t xml:space="preserve"> Republic of the Philippines  Province of Samar Municipality of Jiabong Invitation to Bid  Emergency Purchase to Prevent Spread of Covid 19 (PRN2020-4-115) Jiab-2020-4B The Municipal Government of Jiabong, Samar, through LGU OF JIABONG   intends to apply t</t>
  </si>
  <si>
    <t xml:space="preserve"> Purchase of ID Card Printer with given specifications</t>
  </si>
  <si>
    <t xml:space="preserve"> 1. Brand new Motorcycle with Registration and Insurance 3 Units      Capacity: 124.45cc      Power: 12@8500 (ps@RPM)      Torque: 1.1kg-m@ 6000NM@RPM)      Engine: 4 Stroke, Air Cooled 4-valved, single cylinder,SOCH, FI</t>
  </si>
  <si>
    <t xml:space="preserve"> June 29, 2020 INVITATION TO BID  Reference No. 7073532 /Solicitation No.20-24 The City Government of Tagum invites interested Bidders/Suppliers to bid for the following: Name of Contract         :  120 UNITS OF LAPTOP COMPUTER FOR THE USE OF DEPED       -</t>
  </si>
  <si>
    <t xml:space="preserve"> 40.00 	cu.m	Gravel river mixed  221.00 	bags	Portland Cement  40.00 	cu.m	3/4" dia. Washed Gravel  20.00 	cu.m	Screened Sand  192.00 	bd.ft	16pcs- 2"x6"x12' Forms  3.00 	rolls	Nylon #20 (30 lm)  3.00 	kls	#3 CW Nail  95.94 	kls	18pcs- 12mm dia. DSB  1.00 </t>
  </si>
  <si>
    <t xml:space="preserve"> Alcohol, Isopropyl 70%, 500ml Green											60	bots Air Freshener, aerosol, 280ml/150g min										25	can Bathroom Deodorizing 													27	pcs Bathroom Soap Regular Size White 100G JB										27	pcs Battery, Dry cell, AA, 1.5 volts, alkaline						</t>
  </si>
  <si>
    <t xml:space="preserve"> 3 UNITS COMPUTER DESKTOP SPECIFICATION:  	Intel 9th Gen Core i5- 9400 2.9 GHz  	8GB DDR 4 Memory  	128 GB SSD + 1TB Hard Disk Drive  	Super Multi DVD Drive  	NVIDIA GEForce GT1030 2GB  	Built – in Bluetooth &amp; Wifi  	23.6” Full HD Monitor  	All – in One Ca</t>
  </si>
  <si>
    <t xml:space="preserve"> 10 roll Cling Film, Fermosa etc... DMDH</t>
  </si>
  <si>
    <t xml:space="preserve"> Asepto Syringe 50ml													20	pc Adult Diaper large 10's													20	pack Examination Gloves Medium 50's													20	box Disposable Syringe 10ml 100's													10	box Elastic Bandage 3" 12's													6	pcs Elastic Bandage 4" 12's									</t>
  </si>
  <si>
    <t xml:space="preserve"> SEE PROGRAM OF WORK FOE DETAILS</t>
  </si>
  <si>
    <t xml:space="preserve"> Invitation to Bid to all Supplier/Contractor duly accredited by CITY Council of Manila to supply and deliver the Following items provided hereunder, to wit; Item	Qty.	Unit	Articles 			 1.	4	rms	Bond Paper A4 2	3	rms	Bond Paper,Short  3	4	rms	Bond Paper, L</t>
  </si>
  <si>
    <t xml:space="preserve"> See attached file........</t>
  </si>
  <si>
    <t xml:space="preserve"> 12 gals Herbicide (Round Up) 1 gals 2-4 herbicide 2 unit 16 Litters Sprayer (Knapsack) Taiwan made 2 kls nylon #3.50 mm (Monoline rope)</t>
  </si>
  <si>
    <t xml:space="preserve"> Republic of the Philippines  Province of Samar Municipality of Jiabong Invitation to Bid  To Purchase of Computer Package RHU Office Jiab-2020-6B The Municipal Government of Jiabong, Samar, through LGU OF JIABONG   intends to apply the sum of SIXTY FIVE T</t>
  </si>
  <si>
    <t xml:space="preserve"> Republic of the Philippines Office of the Municipal Mayor BIDS AND AWARDS COMMITTEE Sual, Pangasinan Invitation to Bid for PROCUREMENT OF OFFICE SUPPLIES AND EQUIPMENT (Sual, Pangasinan) 1.	The Municipal Government of Sual, Pangasinan, through the 2020 Lo</t>
  </si>
  <si>
    <t xml:space="preserve"> I.PLUMBING WORKS</t>
  </si>
  <si>
    <t xml:space="preserve"> Republic of the Philippines Province of Nueva Vizcaya BIDS AND AWARDS COMMITTEE (BAC-Goods) BAC OFFICE, Provincial Capitol, Bayombong, Nueva Vizcaya Tel. No. 078-392-2062 	 2ND INVITATION TO BID FOR THE SUPPLY AND DELIVERY OF AGRICULTURAL MACHINERY AND SU</t>
  </si>
  <si>
    <t xml:space="preserve"> Invitation to Bid 								 June 29, 2020 1.	The Barangay of Wangwang through the Bids and Awards Committee advertised an Invitation to bid for the Package 01: A. Bawi – Lebeng Concrete Pathway Extension, B. Ambuyeng CIS Improvement, C. Gaday – Huyukto FMR</t>
  </si>
  <si>
    <t xml:space="preserve"> Purchased Construction Material for 120 meters open canal channel</t>
  </si>
  <si>
    <t xml:space="preserve"> SEE PROGRAM OF WORK FOR DETAILS</t>
  </si>
  <si>
    <t xml:space="preserve"> Republic of the Philippines Cordillera Administrative Region PROVINCIAL GOVERNMENT OF ABRA Bangued INVITATION TO BID FOR  PURCHASE OF VEGETABLE PRODUCTION MATERIALS AND EQUIPMENT 1.	The PROVINCIAL GOVERNMENT OF ABRA, through the Budget for the Contract Ap</t>
  </si>
  <si>
    <t xml:space="preserve"> Name of Project	        : 	PURCHASE OF SOFTWARE AND VARIOUS EQUIPMENTS OF DENR-PENRO PALAWAN Place of Delivery	:	PENRO Office, Bgy. Sta. Monica, Puerto Princesa City Brief Description	:	Supply and Delivery of: 		                       LOT 1:  One (1) unit</t>
  </si>
  <si>
    <t xml:space="preserve"> 2 Unit Water Tank etc.. DMDH</t>
  </si>
  <si>
    <t xml:space="preserve"> JOB ORDER: Supply labor and materials for the Repair Scion Grove Perimeter Fence at Babatngon Experiment Station, Brgy. Bagong Silang, Babatngon, Leyte. No.	Scope of Work	Quantity	Unit_Cost	ABC Spcl I.	SIGNBOARD/ BILLBOARD     SQ.FT.	32	140.11	 I.	SITEWOR</t>
  </si>
  <si>
    <t xml:space="preserve"> Construction of Concrete Road</t>
  </si>
  <si>
    <t xml:space="preserve"> The Municipal Government of Pilar, through the General Fund intends to apply the sum of Fifteen Million Pesos (P/15,000,000.00) being the Approved Budget for the COntract (ABC) to payments under the contract for the Rehabilitation of Municipal Building, M</t>
  </si>
  <si>
    <t xml:space="preserve"> Invitation to Apply for Eligibility and to Bid The Barangay Government of Barangay Cuta, Batangas City intends to apply the sum of One Hundred Fifty Thousand Pesos Only (Php 150,000.00) broken down as follow: ITEM Brief Description SUB-ABC Lot 1 PURCHASE </t>
  </si>
  <si>
    <t xml:space="preserve"> DIESEL													1,485	liters Terms of Reference:														 *Billing Based on Actual Consumption														 *Fuel will be delivered as requested														 *Payment will be made on quarterly basis</t>
  </si>
  <si>
    <t xml:space="preserve"> MUNICIPALITY OF BADOC BIDS AND AWARDS COMMITTEE INVITATION TO BID FOR THE Sustaining the Implementation of Privatized Segregated Collection of Solid Wastes, Operation and Management of Materials Recovery Facility. Bid Reference BAC 2020-G-06-010 Approved </t>
  </si>
  <si>
    <t xml:space="preserve"> 250 packs Eggplant Seeds (OPV), 50g														 250 packs Okra Seeds (OPV)														 250 packs Stringbean Seeds (OPV)														 150 packs Tomato (OPV)														 150 packs Hot Pepper (OPV)														 150 packs Pechay														 15 kgs U</t>
  </si>
  <si>
    <t xml:space="preserve"> 2 Unit Desktop Computer etc.. DMDH</t>
  </si>
  <si>
    <t xml:space="preserve"> ITEM	ITEM  DESCRIPTION	QTY	UNIT NO.			 1	Notice of Deliquency of Real Properties	15	pads 2	Warrant of Levy	10	pads 3	Proof of Service	10	pads 4	Notice of Sale	10	pads 5	Sworn Statement 	10	pads 6	Notice of Levy	10	pads 7	Report of Sale 	10	pads 8	Notice o</t>
  </si>
  <si>
    <t xml:space="preserve"> 1. The National Irrigation Administration (NIA), Regional Irrigation Office No.7, through the Small Reservoir Irrigation Project (SRIP) 2020 intends to apply the sum of Fourty Six Million Fifty Six Thousand Three Hundred Fifteen Pesos and 78/100 (P 46,056</t>
  </si>
  <si>
    <t xml:space="preserve"> 1. 1 unit 3.0T3 Floor Standing Aircon  Non-Inverter System Remote control Breaker and installation</t>
  </si>
  <si>
    <t xml:space="preserve"> 24,400   ltrs   Diesel   1,000   ltrs   Silver   1,000   ltrs   Premium       40    btls  Brake fluid, 200ML</t>
  </si>
  <si>
    <t xml:space="preserve"> Surveying instrument-infrastructure multi-purpose design system- integrated RTK GNSS  hardware and software with training RTK GNSS Static base (448 channel or more) GNSS Technology simultaneous tracking of all visible satellite signals Support Signal: GPS</t>
  </si>
  <si>
    <t xml:space="preserve"> 1. The National Irrigation Administration (NIA), Regional Irrigation Office No.7, through the Small Reservoir Irrigation Project (SRIP) 2020 intends to apply the sum of Thirty Eight Million Four Hundred Sixty Three Thousand Three Hundred Twenty Pesos and </t>
  </si>
  <si>
    <t xml:space="preserve"> Disp. Syringe 1 cc 100's/box	30	box Disp. Syringe 3 cc 100's/box	30	box Disp. Syringe 5 cc 100's/box	30	box Digital Thermometer	25	pc ECG Paper 112MM x 2, 5,S	10	box Surgical Facemask 50's	40	box Facemask N95	20	pc Heplock	370	pc IV Cannula g-18	200	pcs I</t>
  </si>
  <si>
    <t xml:space="preserve"> Food Processing equipment</t>
  </si>
  <si>
    <t xml:space="preserve"> Please see attached associated components for the Technical Specifications and download the Complete Bidding Documents through linkage below.</t>
  </si>
  <si>
    <t xml:space="preserve"> Project Billboard,  Emulsified Asphalt,  Bituminous Concrete Surface Course,  Traffic Management Prospective Bidders must have completed a contract similar to the project with the amount of at least 50% of the ABC. Bidding will be conducted through open c</t>
  </si>
  <si>
    <t xml:space="preserve"> Number: 	Quantity: 	 1	4	pcs.		Battery	Motolite Maintenance free		8,000.00	32,000.00 2	5	pcs		Fuel Filter	(for Toyota Hi-Ace Van)		1,300.00	6,500.00 3	5	pcs.		Fuel Filter	(Avanza) for gasoline		1,300.00	6,500.00 4	10	pcs.		Oil Filter	(for Toyota Hi-Ace Va</t>
  </si>
  <si>
    <t xml:space="preserve"> Republic of the Philippines  Province of Samar Municipality of Jiabong Invitation to Bid  Emergency Purchase to Prevent Spread of Covid 19 (PRN2020-4-114) Jiab-2020-3B The Municipal Government of Jiabong, Samar, through LGU OF JIABONG   intends to apply t</t>
  </si>
  <si>
    <t xml:space="preserve"> Number: 	Quantity: 	 1	30	box		Plastic Storage Box	Big, 165 Liters Capcity		2,000.00	60,000.00 No.	TermsAndConditions 1.	Participating bidders on items with more than P50,000.00 must submit its PhilGEPS Registration; 2.	Deliver brand new items; 3.	Bid pri</t>
  </si>
  <si>
    <t xml:space="preserve"> Description: Please quote your lowest price inclusive of VAT on the item/s listed below, subject to the Terms and Conditions of this RFQ, and submit your quotation duly signed by your representative not later than December 26, 2018 at Bids and Awards Comm</t>
  </si>
  <si>
    <t xml:space="preserve"> 1. The Municipal Government of Sta. Cruz, through its 20% Municipal Development Fund intends to apply the sum of Two Million Ninety Nine Thousand Nine Hundred Eighty Seven Pesos and 71/100 (P2,099,987.71) being the Approved Budget for the Contract (ABC) t</t>
  </si>
  <si>
    <t xml:space="preserve"> Drum (Xerox Machine) Toner (Xerox Machine)</t>
  </si>
  <si>
    <t xml:space="preserve"> Improvement of Multi-Purpose Covered Court &amp; Evacuation Center location: brgy. Malaruhatan Lian, batangas Budget: 924,000.00 Source of Fund : 20% Development Fund</t>
  </si>
  <si>
    <t xml:space="preserve"> Additional details available at the BAC office upon request and purchased of bidding documents</t>
  </si>
  <si>
    <t xml:space="preserve"> 50PCS. ELECTRIC BULB, 4PCS. OFFICE TABLES AND CONSTRUCTION OF BOW-LARD (HARBOR POST)</t>
  </si>
  <si>
    <t xml:space="preserve"> Construction of Flood Mitigation Structure</t>
  </si>
  <si>
    <t xml:space="preserve"> Trainer's Kit for the 2020 CPH 2nd, 3rd &amp; 4th Training</t>
  </si>
  <si>
    <t xml:space="preserve"> Purchased Construction Materials and Supplies for Rehab. of Health Center</t>
  </si>
  <si>
    <t xml:space="preserve"> Republic of the Philippines PROVINCE OF SOUTHERN LEYTE Maasin City Invitation to Bid for the Procurement of Various Tire Wheel  Contract ID # 2020-07-21-404PG 1.	The Provincial Government of Southern Leyte through the PEO’EQUIP, PDH, PAGSO &amp; PHSO Repairs </t>
  </si>
  <si>
    <t xml:space="preserve"> 1 Lot Purchase and Delivery of 11 Units of Laptop for the Sangguniang Bayan Office</t>
  </si>
  <si>
    <t xml:space="preserve"> Brgy. Capehan Project Billboard,  Safety and Health,  Demolition/Disposal of Waste,  Drainage Canal 1,  Drainage Canal 2,  Canal Cover &amp; Driveway,  Box Culvert,  Form Works Brgy. Balete Project Billboard,  Safety and Health,  Demolition/Disposal of Waste,</t>
  </si>
  <si>
    <t xml:space="preserve"> Invitation to  Bid for the Materials for Road Concreting at Purok 4 The Barangay Concepcion, Hilongos, Leyte through its Bids and Awards Committee (BAC) invites the PhilGEPS registered suppliers to apply to bid for the Supply and Delivery for Materials fo</t>
  </si>
  <si>
    <t xml:space="preserve"> Republic of the Philippines													 City of San Carlos													 Negros Occidental													 													 INVITATION TO BID											FOR SALE	 			PURCHASE REQUEST NO: 1-20-06-0763				P 150.00	 Sealed bids for quotation of prices will be recei</t>
  </si>
  <si>
    <t xml:space="preserve"> INVITATION TO BID The DPWH Regional Office IX, Veterans Avenue Extension, Tetuan, Zamboanga City, through its Bids and Awards Committee (BAC), invites contractors to submit bids for the following Contract: Contract ID	:	20J00197 Contract Name	:	Constructi</t>
  </si>
  <si>
    <t xml:space="preserve"> Republic of the Philippines Province of Lanao del Norte Municipality of Tubod BARANGAY PUALAS BIDS AND AWARDS COMMITTEE INVITATION TO BID PURCHASE AND INSTALLATION OF WATER PIPE LINES FOR BARANGAY WATER SYSTEM Barangay Pualas, Tubod, Lanao del Norte  (ITB</t>
  </si>
  <si>
    <t xml:space="preserve"> PR. No. 73-2020 (LDRRMO) 1.	2	gal	Engine Oil 2.	1	pc	Flushing Oil 3.	5	gal	Coolant 4.	2	pcs	BS 265/65R17 5.	1	pc	Brake Pad DB-2380 6.	1	lit	Brake Fluid PR. No. 74-2020 (LDRRMO) 1.	1	pc	FOTON Filter EO-193430000008 2.	1	pc	Cylinder Head Gasket 3.	1	pc	Alte</t>
  </si>
  <si>
    <t xml:space="preserve"> 1 lot water pump assembly 2 pcs engine oil filter 2 pails engine oil 2 sets maintenance free battery 1 lot Labor</t>
  </si>
  <si>
    <t xml:space="preserve"> 1	unit	 Digital Camera w/ Accessories					 		Mirrorless Digital Camera 					 		Description:					 		• 24.1MP (APS-C) CMOS Sensor					 		• 2.36m-Dot OLED Electronic Viewfinder 					 		• 3.0"1.04m-Dot Vari-Angle Touchscreen					 		• UHD 4K and HD 720p120 Vid</t>
  </si>
  <si>
    <t xml:space="preserve"> CONSTRUCTION OF FLOOD CONTROL SYSTEM @ SITIO AYALA, POBLACION SAN PASCUAL, BATANGAS</t>
  </si>
  <si>
    <t xml:space="preserve"> Diazepam 10mg/2mL ampule										20	amp Ephedrine 50mg/ml amp											10	amp Haloperidol 50mg ampule											10	amp Ketamine 50mg													5	vial Morphine Sulfate 10mg ampule 										10	amp Nalbuphine 10mg												10	amp Phenytoin 50mg							</t>
  </si>
  <si>
    <t xml:space="preserve"> ITEM	ITEM  DESCRIPTION	QTY	UNIT NO.			 1	Tying Wire	3	kgs. 2	Portland Cement	20	bags 3	RSB 10mm	15	pcs. 4	RSB 9mm	25	pcs. 5	Sand and Gravel	1	truckload 6	Fine sand	1	truckload 7	G.I Sheet 12'	8	pcs. 8	G.I Sheet 8'	8	pcs. 9	Good Lumber 4" x 4" x 6'	4	pcs. </t>
  </si>
  <si>
    <t xml:space="preserve"> 4 pcs Solid State Drive (SSD) internal drive 500GB 1 pc Solid State Drive (SSD) External drive 500GB 2 pcs hard Disk SATA internal drive 1TB 2 pcs Memory DDR3 4GB 2 pc Power Supply 650 watts ( with two 6- pin connector)</t>
  </si>
  <si>
    <t xml:space="preserve"> INVITATION TO BID FOR THE DELIVERY OF SEA URCHIN JUVENILES  (ITB No. 2020-04-1) 1. The Bureau of Fisheries and Aquatic Resources-Regional Fisheries Office I (BFAR RFO I), through the General Appropriations Act of 2020 (GAA 2020) intends to apply the sum o</t>
  </si>
  <si>
    <t xml:space="preserve"> Invitation to Bid for the Procurement of Materials for the Construction of Drainage Canal, Barangay Garitan, Tagudin, Ilocos Sur 1.	Barangay Garitan of Tagudin, Ilocos Sur, thru its Bids and Awards Committee intends to apply the sum of Seventy Three Thous</t>
  </si>
  <si>
    <t xml:space="preserve"> Procurement of Livelihood Supplies and Materials</t>
  </si>
  <si>
    <t xml:space="preserve"> Republic of the Philippines Province of Batangas Municipality of Lemery  INVITATION TO BID FOR THE Purchase of office equipments for Community Learning Center and various schools 1.	The MUNICIPALITY OF LEMERY, through the Local School Board Resolution No.</t>
  </si>
  <si>
    <t xml:space="preserve"> Supply and Delivery of Materials, Labor and Construction/Improvement of Multi-Purpose Building at Barangay Lajala, Coron, Palawan. Invitation to Bid  1.	The Municipal Government of Coron, Palawan, through the 2020 Annual Municipal Budget intends to apply </t>
  </si>
  <si>
    <t xml:space="preserve"> INVITATION TO BID FOR  INSTALLATON OF STREETLIGHTS IN STRATEGIC AREA OF VARIOUS BARANGAY. A. Construction/ Installation of Solar Powered Streetlights at Brgy.   Lallana, TMC B. Installation of LED Streelights at West Plains- Saluysoy Road, Brgy. San Agust</t>
  </si>
  <si>
    <t xml:space="preserve"> Hauling of hazardous waste DMDH</t>
  </si>
  <si>
    <t xml:space="preserve"> Maintenance of St Lights</t>
  </si>
  <si>
    <t xml:space="preserve"> Supplies And equipments for Barangay use in prevention of covid-19 Opening of Bids July 7 10am tuesday at Barangay Hall</t>
  </si>
  <si>
    <t xml:space="preserve"> INVITATION TO BID The DPWH Regional Office IX, Veterans Avenue Extension, Tetuan, Zamboanga City, through its Bids and Awards Committee (BAC), invites contractors to submit bids for the following Contract: Contract ID	:	20J00202 Contract Name	:	Constructi</t>
  </si>
  <si>
    <t xml:space="preserve"> ITEM NO. DESCRIPTION UNIT QUANTITY 1 SITE PREPARATION &amp; EXCAVATION CU.M 12.00 11 GROUTED RIPRAP, CONCRETE &amp; R.S.B CU.M 7.12 111 FORM SCAFOLDING BDFT 151.7 1v transhipment and manual hauling lot 1 Tabuk hardware-project site</t>
  </si>
  <si>
    <t xml:space="preserve"> Description: concreting of Brgy. Road-Road Improvement 1. Cement - 633 bags 2. SAG - 122.58 cu.m 3. RSB - 12mmx6m - 27 pcs. 4. # 18 G.I Wire - 6 kilos 5. 50 pcs - 2x6x12" coco lumber 6. CW nails assorted - 8 kls</t>
  </si>
  <si>
    <t xml:space="preserve"> 6 set Brake Lining,14 Holes 3 sets Brake Lining Front (6 Holes &amp; 8 Holes 800 pcs Aluminum Revits 1 set Brake Pad 1 set Brake Shoe 1 set Wiper blade</t>
  </si>
  <si>
    <t xml:space="preserve"> INVITATION TO BID The DPWH Regional Office IX, Veterans Avenue Extension, Tetuan, Zamboanga City, through its Bids and Awards Committee (BAC), invites contractors to submit bids for the following Contract: Contract ID	:	20J00201 Contract Name	:	Constructi</t>
  </si>
  <si>
    <t xml:space="preserve"> Republic of the Philippines Province of Lanao del Norte Municipality of Tubod BARANGAY PUALAS BIDS AND AWARDS COMMITTEE INVITATION TO BID PURCHASE AND INSTALLATION OF 1 SET BASKETBALL BOARD Barangay Pualas, Tubod, Lanao del Norte  (ITB-2020-REL-002)  Appr</t>
  </si>
  <si>
    <t xml:space="preserve"> Number: 	Quantity: 	 1	3	units	Tripod for Projector		3,000.00	9,000.00 							Specification:			 							"•	Universal projector"			 							"•	Top plate size :290x390mm"			 							"•	Height adjustable, from 550mm (min) to 1380mm (max)"			 							"•	Rotate by</t>
  </si>
  <si>
    <t xml:space="preserve"> INVITATION TO BID The DPWH Regional Office IX, Veterans Avenue Extension, Tetuan, Zamboanga City, through its Bids and Awards Committee (BAC), invites contractors to submit bids for the following Contract: Contract ID	:	20J00200 Contract Name	:	Constructi</t>
  </si>
  <si>
    <t xml:space="preserve"> Republic of the Philippines Province of Lanao del Norte Municipality of Tubod OFFICE OF THE BIDS AND AWARDS COMMITTEE INVITATION TO BID CONSTRUCTION OF MALINGAO BIRTHING FACILITY  Barangay Malingao, Tubod, Lanao del Norte  (ITB-2020-JDL-007) Approved Budg</t>
  </si>
  <si>
    <t xml:space="preserve"> Republic of the Philippines Province of Lanao del Norte Municipality of Tubod BARANGAY PUALAS BIDS AND AWARDS COMMITTEE INVITATION TO BID CONCRETING OF FARM TO MARKET ROAD Purok 3 &amp; 4, Barangay Pualas, Tubod, Lanao del Norte  (ITB-2020-REL-003)  Approved </t>
  </si>
  <si>
    <t xml:space="preserve"> INVITATION TO BID FOR THE PROPOSED MAINTENANCE OFFICE WITH ELEVATED WATER TANK AT LUCAP PARK, BRGY. LUCAP, CITY OF ALAMINOS, PANGASINAN 1.	The CITY GOVERNMENT OF ALAMINOS, PANGASINAN through its Development Fund (DF) intends to apply an amount of Seven Hu</t>
  </si>
  <si>
    <t xml:space="preserve"> INVITATION TO BID The DPWH Regional Office IX, Veterans Avenue Extension, Tetuan, Zamboanga City, through its Bids and Awards Committee (BAC), invites contractors to submit bids for the following Contract: Contract ID	:	20J00203 Contract Name	:	Repair Mai</t>
  </si>
  <si>
    <t xml:space="preserve"> Repair / Rehabilitation of Handwashing Facility located at K to 12 Building inside Tipas Elementary School Main.</t>
  </si>
  <si>
    <t xml:space="preserve"> The Barangay Government of Barangay POB. 5, Tanauan City, Batangas through the Bids and Awards Committee (BAC) invites Suppliers/Contractors to apply for eligibility and if subsequently found eligible, to bid for the projects described hereunder, viz: Nam</t>
  </si>
  <si>
    <t xml:space="preserve"> ITEM DESCRIPTION UNIT QUANTITY 1 Excavation works sq.m 9.00 11 Scalfing, form bdft 282 111 concrete works cu.m 102.00  1V R.S.B Works kgs 1623.84 V Transhipment and manual hauling Tabuk-Road end lot 1</t>
  </si>
  <si>
    <t xml:space="preserve"> PURCHASE OF 2,200 PCS. HOUSE PLATE NUMBERING AT BRGY. STO. ANGEL, SAN PABLO CITY</t>
  </si>
  <si>
    <t xml:space="preserve"> 1 unit overhead projector 1 unit 3-in-1 printer 1 unit desktop computer 1 lot office tables and chairs</t>
  </si>
  <si>
    <t xml:space="preserve"> Republic of the Philippines Cordillera Administrative Region Provincial Local Government Unit of Ifugao BIDS AND AWARDS COMMITTEE - INFRA 3rd Floor PEO Bldg., Capitol Compound Lagawe, Ifugao Email Ad.: bacifugao@gmail.com INVITATION TO BID  		NCB Publicat</t>
  </si>
  <si>
    <t xml:space="preserve"> The work includes Common Excavation, Gravel Bedding, Concrete Works, Reinforcing Steel Bars, Form Works, Grouted Riprap and Backfilling, Construction Safety and Health with 2 sets informative sign and Billboard</t>
  </si>
  <si>
    <t xml:space="preserve"> Republic of the Philippines 		Province of Bulacan Municipality of Bocaue INVITATION TO BID FOR PURCHASE OF VEHICLE FOR THE USE OF  BOCAUE POLICE 1	The Municipality of Bocaue, through the Annual Appropriation 2020 intends to apply the sum of One Million Ni</t>
  </si>
  <si>
    <t xml:space="preserve"> The work includes Common Excavation, Gravel Bedding, Concrete Works, Reinforcing Steel Bars, Form works, Grouted Riprap and Backfilling, Construction safety and Health with 2 sets informative sign and billboard.</t>
  </si>
  <si>
    <t xml:space="preserve"> Republic of the Philippines Province of Dinagat Islands MUNICIPALITY OF TUBAJON Tubajon, Dinagat Islands    BIDS AND AWARDS COMMITTEE    INVITATION TO BID  FOR     CONSTRUCTION OF MULTI-PURPOSE BUILDING TUBAJON, DINAGAT ISLANDS ( INFRA 2020 - 0 13 )    1.</t>
  </si>
  <si>
    <t xml:space="preserve"> Zamboanga Sibugay 1st District Engineering Office Brgy. Kauswagan, Diplahan, Zamboanga Sibugay 	 INVITATION TO BID (June 29, 2020) The Zamboanga Sibugay 1st District Engineering Office, through its Bids and Awards Committee (BAC), invites contractors to s</t>
  </si>
  <si>
    <t xml:space="preserve"> Supply and Delivery of CM for the construction of of Barangay Health Station @ Pinayag</t>
  </si>
  <si>
    <t xml:space="preserve"> SURIGAO STATE COLLEGE OF TECHNOLOGY Surigao City INVITATION TO BID FOR LIBRARY ONLINE DATABASES AND REFERENCES 1.	The Surigao State College of Technology, through the General Appropriations Act (GAA) 2020 intends to apply the sum of Thirteen Million Four </t>
  </si>
  <si>
    <t xml:space="preserve"> CONSTRUCTION OF COVERED CANAL - TRAMO SILANGAN AND MP CONTI RD.</t>
  </si>
  <si>
    <t xml:space="preserve"> The works includes for Purok 1, Brgy. Sinanglanan-Includes excavation, formworks, concrete works, reinforcing steel works, smooth cement finishing (5mm thick) construction health and safety with 2 sets informative sign and billboard. For Purok7, brgy. San</t>
  </si>
  <si>
    <t xml:space="preserve"> Republic of the Philippines 		Province of Bulacan Municipality of Bocaue INVITATION TO BID FOR PURCHASE OF  SERVICE VEHICLE FOR GOVERNMENT USE OF THE MUNICIPALITY  OF BOCAUE 1	The Municipality of Bocaue, through the Annual Appropriation 2020 intends to ap</t>
  </si>
  <si>
    <t xml:space="preserve"> Republic of the Philippines DEPARTMENT OF HEALTH DR. JOSE RIZAL MEMORIAL HOSPITAL Lawaan, Dapitan City Telefax; (065) 213-6421 Website: www.djrmh.doh.gov.ph Email: dohdjrmh@gmail.com BIDS AND AWARDS COMMITTEE INVITATION TO BID PROCUREMENT FOR THE PROPOSED</t>
  </si>
  <si>
    <t xml:space="preserve"> Concreting of road with length of 52 meters width of 5 meters with 20cm thickness in Diliman II, San Rafael, Bualcan</t>
  </si>
  <si>
    <t xml:space="preserve"> Brgy. Balibago I Project Billboard,  Sub-Grade Preparation,  Aggregate Base Course,  PCCP (0.15m thk) Brgy. Salapungan Project Billboard,  Structure Excavation,  Masonry Works,  Removal of Existing Concrete Pavement,  Sub Grade Preparation,  Aggregate Bas</t>
  </si>
  <si>
    <t xml:space="preserve"> Desilting of creek by equipment in Caingin, San Rafael, Bulacan</t>
  </si>
  <si>
    <t xml:space="preserve"> CONSTRUCTION/REHABILITATION/IMPROVEMENT OF LOCAL GOVERNMENT-OWNED POTABLE WATER SUPPLY SYSTEM @ BARANGAY KAINGIN, SAN PASCUAL, BATANGAS</t>
  </si>
  <si>
    <t xml:space="preserve"> Procurement of goods and appropriate medicine to the response measures relative due to the contagion of the Corona Virus Disease (COVID-19)</t>
  </si>
  <si>
    <t xml:space="preserve"> The work includes for Purok 4, Brgy. Linabo-includes excavation, formworks, concrete works, reinforcing steel works, smooth cement finishing (5mm thick), construction health and safety with 2 sets informative sign and billboard. for Purok 8, Brgy. Linabo-</t>
  </si>
  <si>
    <t xml:space="preserve"> Procurement of fire extinguisher</t>
  </si>
  <si>
    <t xml:space="preserve"> CONSTRUCTION/REHABILITATION/IMPROVEMENT OF LOCAL GOVERNMENT-OWNED POTABLE WATER SUPPLY SYSTEM @ BARANGAY RESPLANDOR, SAN PASCUAL, BATANGAS</t>
  </si>
  <si>
    <t xml:space="preserve"> Construction of Flood Mitigation Facility</t>
  </si>
  <si>
    <t xml:space="preserve"> Concreting of roads with total length of 388 meters (116mL, 5mW; 37mL, 3.5mW; 90mL, 3.5mW and 145mL, 4mW) with thickness of 0.20m in San Roque, San Rafael, Bulacan</t>
  </si>
  <si>
    <t xml:space="preserve"> INVITATION TO BID Date: June 29, 2020 1.	The Provincial Government of Davao del Sur, through its Bids and Awards Committee (BAC), invites all potential bidders/suppliers to apply to bid for the following goods. Bids received in excess of the ABC shall be </t>
  </si>
  <si>
    <t xml:space="preserve"> INVITATION TO BID FOR  Supplies &amp; Delivery of  Materials   PURCHASE  OF  MULTI-PURPOSE TRUCK Unzad ,  Villasis, Pangasinan 1.	The Local Government of  Unzad, Villasis,  Pangasinan, intends to apply the sum  of (P1,490,000.00)  being the Approved Budget fo</t>
  </si>
  <si>
    <t xml:space="preserve"> INVITATION TO BID The DPWH Regional Office IX, Veterans Avenue Extension, Tetuan, Zamboanga City, through its Bids and Awards Committee (BAC), invites contractors to submit bids for the following Contract: Contract ID	:	20J00198 Contract Name	:	Rehabilita</t>
  </si>
  <si>
    <t xml:space="preserve"> INVITATION TO BID The DPWH Regional Office IX, Veterans Avenue Extension, Tetuan, Zamboanga City, through its Bids and Awards Committee (BAC), invites contractors to submit bids for the following Contract: Contract ID	:	20J00199 Contract Name	:	Buildings </t>
  </si>
  <si>
    <t xml:space="preserve"> 208 bags Portland Cement 12 cu.m Screened Sand 31 cu.m Screened Gravel (incd. Gravel Bedding) 26 drums Clean Water 2053 pcs 4" thk CHB (250psi)</t>
  </si>
  <si>
    <t xml:space="preserve"> INVITATION TO APPLY FOR ELIGIBILITY AND TO BID 	The local Government Unit of Can-avid, through is Bid and Awards Committee (BAC). Invites suppliers to apply for eligibility, to bid for the hereunder contract: Name of Contract:      CONCRETING OF MAYOR ALE</t>
  </si>
  <si>
    <t xml:space="preserve"> Project Billboard,  Safety and Health,  Sub-Grade Preparation,  Aggregate Base Course,  PCCP (0.20m thk) Prospective Bidders must have completed a contract similar to the project with the amount of at least 50% of the ABC. Bidding will be conducted throug</t>
  </si>
  <si>
    <t xml:space="preserve"> Republic of the Philippines Batangas City Invitation to Apply for Eligibility and to Bid The Barangay Government of Barangay Cumba, Batangas City intends to apply the sum of Two Hundred Thousand Pesos Only (Php 200,000.00) broken down as follow: ITEM Brie</t>
  </si>
  <si>
    <t xml:space="preserve"> Brgy. Alvindia Project Billboard,  Sub-Grade Preparation,  Aggregate Base Course,  PCCP (0.15m thk) Brgy. Balibago II Project Billboard,  Sub-Grade Preparation,  Aggregate Base Course,  PCCP (0.20m thk) Prospective Bidders must have completed a contract s</t>
  </si>
  <si>
    <t xml:space="preserve"> Purchased Fuel, Oil, Lubricant , Diesel and Construction Materials for Road Maintenance of Public Cemetery.</t>
  </si>
  <si>
    <t xml:space="preserve"> The work includes excavation, formworks, concrete works, reinforcing steel works, smooth cement finishing (5mm thick), construction health and safety with 2 sets informative sign and billboard.</t>
  </si>
  <si>
    <t xml:space="preserve"> Tires (Tubeless Tires 245/65R17)				5	pcs</t>
  </si>
  <si>
    <t xml:space="preserve"> The project will covers a geo-resistivity survey and conduct a water drilling works at 250ft. below ground surface with submission of water log report. Thus, if water is found sufficient, it includes installation of well casing with appurtenances and 1.5h</t>
  </si>
  <si>
    <t xml:space="preserve"> Brgy. Balanti Project Billboard,  Safety and Health,  Sub-Grade Preparation,  Aggregate Base Course,  PCCP (0.20m thk) Brgy. San Jose de Urquico Project Billboard,  Safety and Health,  Sub-Grade Preparation,  Aggregate Base Course,  PCCP (0.20m thk) Prosp</t>
  </si>
  <si>
    <t xml:space="preserve"> Republic of the Philippines PROVINCE OF BUKDINON Malaybalay City OFFICE OF THE PROVINCIAL GOVERNOR Bids and Awards Committee INVITATION TO BID FOR THE “SUPPLY AND DELIVERY OF AGRICULTURAL SUPPLIES, SEEDS, SEEDLINGS AND FERTILIZERS” ITB No. 2020-160 June 2</t>
  </si>
  <si>
    <t xml:space="preserve"> Item No.	Unit	DESCRIPTION				Qty 						 1	Pcs.	NEW PORT NEW CAR AIR FRESHENER 				2 2	Pc.	TIRE BLACK 270ml				1 3	Pc.	BOTCH RELAY				1 4	Pc.	VSI 120MC				1 5	Pcs.	AIR FRESHENER LEMON/ORANGE				2 6	Gal	DELO GOLD				1 7	Ltrs.	DELO GOLD				2 8	Pc.	OIL FILTER</t>
  </si>
  <si>
    <t xml:space="preserve"> Republic of the Philippines Province of Bohol Municipality of Getafe Bids and Awards Committee Poblacion, Getafe, Bohol INVITATION TO BID (1st   Public Bidding) 	The Barangay Poblacion ,Getafe, Province of Bohol through its Bids and Awards Committee (BAC)</t>
  </si>
  <si>
    <t xml:space="preserve"> Purchased of laptop computer with printer</t>
  </si>
  <si>
    <t xml:space="preserve"> Procurement of CW-Improvement of SLF (Phase I), Construction of SLF Protection @ Tidang Village</t>
  </si>
  <si>
    <t xml:space="preserve"> Supply and Delivery of CM for the improvement of CIS Soriano and Lopez Residence @ Baan KNV</t>
  </si>
  <si>
    <t xml:space="preserve"> Section I. Invitation to Bid Republic of the Philippines Province of Sultan Kudarat Municipality of Bagumbayan OFFICE OF THE BIDS AND AWARDS COMMITTEE Bagumbayan, Sultan Kudarat INVITATION TO BID FOR THE PROCUREMENT OF VARIOUS CONSTRUCTION MATERIALS FOR T</t>
  </si>
  <si>
    <t xml:space="preserve"> Item No.	Unit	DESCRIPTION				Qty 						 1	Set	Computer Set				1.00 		Intel Core i3 8100				 		Compatible motherboard				 		4gb DDR4 memory				 		240gb SSD				 		1TB internal hard Drive				 		ATX casing w/ FSU				 		USB Keyboard &amp; USB Mouse w/ Pad				 		AV</t>
  </si>
  <si>
    <t xml:space="preserve"> * TWO-HOUR FIRE PROTECTION * DUAL COMBINATION &amp; KEY LOCK PROTECTION * DOUBLE STEEL WALL CONSTRUCTION * 3 LIVE/ 1 DEAD LOCKING DOOR BOLTS * INCLUDES 1 EMERGENCY ACCESS KEY * 2 REMOVABLE/ADJUSTABLE SHELF * LOCKING INTERIOR DRAWER * HEAVY DUTY STEEL CASTinER</t>
  </si>
  <si>
    <t xml:space="preserve"> INVITATION TO APPLY FOR ELIGIBILITY AND BID								 								 								 The Barangay Amerang Maasin,Iloilo  through  its  Bids and Awards Committee (BAC), invites suppliers/								  manufacturers/distributors/ contractors to apply for eligibility and to bi</t>
  </si>
  <si>
    <t xml:space="preserve"> EQUIPPED WITH MODEL 4N14 2.2L 4 IN LINE SOHC EURO4 COMMON RAIL DIRECT INJECTION DIESEL ENGINE, MAXIMUM POWER 99PS@3,500 RPM,  MAXIMUM TORQUE 200 N-M @1500 RPM, 2-DOOR, 4260 MM OVERALL LENGTH 1695 MM OVERALL WIDTH,  1895 MM OVERALL HEIGHT, 195 GROUND CLEAR</t>
  </si>
  <si>
    <t xml:space="preserve"> -Transport Van -Dual Aircon -2.3L to 2.6L  -EURO 4 Diesel Engine</t>
  </si>
  <si>
    <t xml:space="preserve"> 1.	The Municipality of Baliguian, implementing partner of the Department of the Interior and Local Government, now invites bids for the Concreting/Rehabilitation of Tan-awan to Guimotan Access Road, Baliguian, Zamboanga del Norte.  2.	Bidding will be cond</t>
  </si>
  <si>
    <t xml:space="preserve"> Construction of elevated pathway Phase I at Dasmariñas,  Bonuan Gueset, Dag.   City</t>
  </si>
  <si>
    <t xml:space="preserve"> Invitation to Bid ITB-SSS-Goods-2020-019 SUPPLY, DELIVERY &amp; INSTALLATION OF FIFTY-SEVEN (57) UNITS TELLERING ALARM SYSTEM FOR VARIOUS SSS BRANCH OFFICES Approved Budget for the Contract (ABC)    :       P1,920,758.22 Source of Fund                        </t>
  </si>
  <si>
    <t xml:space="preserve"> Republic of the Philippines BIDS AND AWARDS COMMITTEE Dagupan City Invitation to Bid  for PROPOSED CONSTRUCTION OF BASE WI-FI RADIO ANTENNA VIDEO TRANSCEIVER COMMUNICATION FOR CCTV TRAFFIC MONITORING SYSTEM AND INSTALLATION OF PERIMETER SECURITY CAMERA IN</t>
  </si>
  <si>
    <t xml:space="preserve"> The Maragondon Water District- #18 Col Riel St. Pob;acion 2A Maragondon, Cavite, through its Administrative Department- Engineering and Construction Division will undertake a Negotiated Procurement- Small value procurement 9Sec. 53.9) for water service co</t>
  </si>
  <si>
    <t xml:space="preserve"> Republic of the Philippines Province of Sultan Kudarat Municipality of Bagumbayan OFFICE OF THE BIDS AND AWARDS COMMITTEE Bagumbayan, Sultan Kudarat INVITATION TO BID FOR THE PROCUREMENT OF 1 UNIT SELF-LOADING PRIME MOVER (SURPLUS) 1.	The Municipal Govern</t>
  </si>
  <si>
    <t xml:space="preserve"> Republic of the Philippines PROVINCE OF SOUTHERN LEYTE Maasin City Invitation to Bid for the Procurement of Consulting Services    Contract ID # 2020-07-21-405PG 1.	The Provincial Government of Southern Leyte through the PGO Consulting Services Expenses i</t>
  </si>
  <si>
    <t xml:space="preserve"> Supply and Delivery of CM-for the improvement of Besong-Amelong Labeng Road</t>
  </si>
  <si>
    <t xml:space="preserve"> Title:Procurement of 1 Package Improvement of City Accountants Office under P.R.Nos. 2561-2020-Office of the City Accountant Total ABC: Php 69,023.00 (INSTRUCTION AS TO THE REQUIRED FORM: For your price quotation, please use the attached Request for Quota</t>
  </si>
  <si>
    <t xml:space="preserve"> Republic of the Philippines National Irrigation Administration LOWER AGNO RIVER IRRIGATION SYSTEM IMPROVEMENT PROJECT Tomana East, Rosales, Pangasinan INVITATION TO BID FOR THE CONSTRUCTION OF TRAPEZOIDAL CONCRETE CANAL LINING (STA. 9+998-STA. 10+545) OF </t>
  </si>
  <si>
    <t xml:space="preserve"> A Republic of the Philippines BIDS AND AWARDS COMMITTEE Dagupan City Invitation to Bid  for PROPOSED UPGRADING OF PCC PAVEMENT AND DRAINAGE SYSTEM AT BARANGAY HERRERO-PEREZ (INFRONT OF CHO AND RED CROSS), DAGUPAN CITY - PHASE I 1.	The City Government of D</t>
  </si>
  <si>
    <t xml:space="preserve"> Supply of Civil Works for Construction of Lipata Brgy. Health Station, Brgy. Lipata, Barotac Viejo, Iloilo</t>
  </si>
  <si>
    <t xml:space="preserve"> Republic of the Philippines Province of Sarangani BIDS AND AWARD COMMITTEE Municipality of Maasim INVITATION TO APPLY FOR ELIGIBILITY AND TO BID 	The Municipal Government of Maasim invites suppliers to apply for eligibility and to bid for the supply and d</t>
  </si>
  <si>
    <t xml:space="preserve"> Construction of Pavement Dasmariñas, Phase II</t>
  </si>
  <si>
    <t xml:space="preserve"> DEPARTMENT OF PUBLIC WORKS AND HIGHWAYS Contract ID: 20CSIB08 Contract Name: SUBSURFACE SOIL EXPLORATION WORKS FOR PROPOSED REHABILITATION/CONSTRUCTION OF 2-STOREY QUALITY ASSURANCE SECTION AND MAINTENANCE BUILDING. Contract Location: EASTERN SAMAR  Repub</t>
  </si>
  <si>
    <t xml:space="preserve"> A Republic of the Philippines BIDS AND AWARDS COMMITTEE Dagupan City Invitation to Bid  for PROPOSED UPGRADING OF PCC PAVEMENT AND DRAINAGE SYSTEM AT GALVAN ST., BARANGAY IV, DAGUPAN CITY 1.	The City Government of Dagupan, through the 2019 CONTINUING APPR</t>
  </si>
  <si>
    <t xml:space="preserve"> Purchased  1 unit Motor Vehicle(Bao-Bao) for Disaster &amp; Emergency Response</t>
  </si>
  <si>
    <t xml:space="preserve"> PLEASE SEE ATTACHED PURCHASE REQUISITION &amp; TERMS OF REFERENCE FOR DETAILS</t>
  </si>
  <si>
    <t xml:space="preserve"> PASSO 200-20-05-05728														 Bond Paper short 8x11 subs 20									27	reams Paper A3													2	reams Pencil, Mechanical, push type for .5mm lead							20	pcs Pencil #2 medium EF 482										10	boxes Lead Pencil refill #0.5											30	pcs PAS</t>
  </si>
  <si>
    <t xml:space="preserve"> Item No.	Unit	DESCRIPTION				Qty 						 1	Pc.	Ladder 5''				1</t>
  </si>
  <si>
    <t xml:space="preserve"> The Amai Pakpak Medical Center (APMC) Bids and Awards Committee invites contractors registered with and classified by the Philippine Contractors Accreditation Board (PCAB) – Small B to apply for Prospective Builders should possess a valid Small B PCAB Lic</t>
  </si>
  <si>
    <t xml:space="preserve"> Sacks (2000pcs), Seedlings (500pcks), Soil (100sacks), Pot (200pcs)</t>
  </si>
  <si>
    <t xml:space="preserve"> -HANDHELD RADIO TRANSCEIVER  -2-WAY</t>
  </si>
  <si>
    <t xml:space="preserve"> Republic of the Philippines Province of Batangas Municipality of Lemery  INVITATION TO BID FOR THE Purchase of disaster equipment (cutter and spreader portable) 1.	The MUNICIPALITY OF LEMERY, through the Annual Budget CY 2020-70% of 5% Calamity Fund-Capit</t>
  </si>
  <si>
    <t xml:space="preserve"> 1   set   Computer Desktop With the following specifications:  -Core i3 Processor; 480GB SSD; 1TB HDD; 16GB RAM;   DVD Writer Casing; Monitor 18.5; Windows 10;   Keyboard and Mouse; UPS and AVR 1  unit  Computer Printer, 3-in-1 with continuous ink/ refill</t>
  </si>
  <si>
    <t xml:space="preserve"> Number: 	Quantity: 	 1	2250	kg		Ginger Rizome	a. two percent (2%)  weight mortality allowance b. Rhizome  should  be mature(10 months old),dry,clean and  free from  soil particles  and other  inert materials,c. Rhizome  should be disinfected  by washing  </t>
  </si>
  <si>
    <t xml:space="preserve"> Fencing of 589m lot perimeter using concrete precast post and barbed wire in Coral na Bato, San Rafael, Bulacan</t>
  </si>
  <si>
    <t xml:space="preserve"> Fine Sand, 100 cu.m. Gravel, 30 cu.m.</t>
  </si>
  <si>
    <t xml:space="preserve"> Tires for Garbage Truck Hi-Lux L300 Starex Invitation to bid For Tires 1. The Barangay Government of Dalig, Antipolo City, through the General Fund intends to apply the sum of Five Hundred Thousand Pesos Only (P500,000.00) being Approved Budget for the Co</t>
  </si>
  <si>
    <t xml:space="preserve"> Procurement of Meals and Beverages Php 180,00.00</t>
  </si>
  <si>
    <t xml:space="preserve"> Layout and Preparation, Rebarworks, Masonry Works, Concreting works, Equipments, Formworks</t>
  </si>
  <si>
    <t xml:space="preserve"> Republic of the Philippines CITY OF BAIS BIDS AND AWARDS COMMITTEE NOTICE FOR NEGOTIATED PROCUREMENT (53.1) In view of the failure of the second bidding scheduled last June 9, 2020, the Bids and Awards Committee (BAC) passed Resolution No. 27 series of 20</t>
  </si>
  <si>
    <t xml:space="preserve"> Revised on: July 28, 2004                                   INVITATION TO APPLY FOR ELIGIBILITY AND TO BID                        The Local Government Unit of Catanauan, Quezon, through its Bids and Awards Committee (BAC), invites suppliers/manufacturers/</t>
  </si>
  <si>
    <t xml:space="preserve"> Purchased Construction Materials of Storage Facility</t>
  </si>
  <si>
    <t xml:space="preserve"> Section I. Invitation to Bid   Provincial Government of Isabela SUPPLY AND DELIVERY OF VAN, 2.8L, DIESEL, 4 CYLINDER DOHC, M/T, WITH 3 YEARS LTO REGISTRATION The Provincial Government of Isabela, through the PGI FUND intends to apply the sum of One Millio</t>
  </si>
  <si>
    <t xml:space="preserve"> 1.    11776    LITERS   DIESEL APPROVED BUDGET FOR THE CONTRACT: PHP 482,816.00 LOCATION OF THE CONTRACT: BATARAZA, PALAWAN DURATION OF THE CONTRACT: 7 DAYS SCHEDULE OF ACTIVITIES: POSTING AND ISSUANCE OF BIDS: JUNE 29-JULY 14, 2020 PRE-BID CONFERENCE : D</t>
  </si>
  <si>
    <t xml:space="preserve"> Please see attached terms of reference.</t>
  </si>
  <si>
    <t xml:space="preserve"> 1.    4,000  LITERS    DIESEL APPROVED BUDGET FOR THE CONTRACT: PHP 220,000.00 LOCATION OF THE CONTRACT: BATARAZA, PALAWAN DURATION OF THE CONTRACT: 7 DAYS SCHEDULE OF ACTIVITIES: POSTING AND ISSUANCE OF BIDS: JUNE 29-JULY 14, 2020 PRE-BID CONFERENCE : DE</t>
  </si>
  <si>
    <t xml:space="preserve"> Supply of Civil Works for the Renovation/Repair of San Miguel Brgy. Health Station, Brgy. San Miguel, Barotac Viejo, Iloilo</t>
  </si>
  <si>
    <t xml:space="preserve"> Repair/Replacement of Dilapidated Roofings, Sidings and Support at Agro-Industrial Building, Barangay Bersamin, Alcala, Pangasinan</t>
  </si>
  <si>
    <t xml:space="preserve"> Procurement of Snacks and Drinks Php 50,000.00</t>
  </si>
  <si>
    <t xml:space="preserve"> 210 L.M. a. Excavation Works 32 pcs. b. Pipelaying 3"Ø x 6m 3 units c. Installation of Fittings 210 L.M. d. Final Backfill with compaction 20 L.M. e. Demolition of concrete driveways &amp; road shoulders 3-6 thick 30 meters f. Installation of HDPE Pipe 3"Ø x </t>
  </si>
  <si>
    <t xml:space="preserve"> INVITATION TO BID The City of Bayawan, through its Bids and Awards Committee (BAC), invites suppliers/manufacturers/distributors/contractors to bid for the hereunder projects: 	Lot No. I		MEDICAL, DENTAL AND LABORATORY SUPPLIES					 1	2	sets	ABD Typing Se</t>
  </si>
  <si>
    <t xml:space="preserve"> 1	8	PCS	UPPER ARM BUSHING 2	32	GALS	OIL 40 3	32	LITERS	ATF 4	32	PCS	FLUSHING OIL  5	8	PCS	CONNECTING ROD BEARING 6	98	LITERS	COOLANT 7	8	PCS	SHOCK ABSORBER FRONT 8	8	PCS	SHOCK ABSORBER REAR 9	8	PCS	FREON RECHARGING 10	8	PCS	CLUTCH DISC 11	150	LITERS	GEAR </t>
  </si>
  <si>
    <t xml:space="preserve"> Construction of Covered Court/ Evacuation Center at Barangay San Vicente, Alcala, Pangasinan</t>
  </si>
  <si>
    <t xml:space="preserve"> Republic of the Philippines Province of Batanes MUNICIPALITY OF SABTANG -oOo- BIDS AND AWARDS COMMITTEE INVITATION TO APPLY FOR ELIGIBILITY AND TO BID The LGU-Sabtang has allocated funds from 20% Development Fund – 2018 PGB which is intended for the payme</t>
  </si>
  <si>
    <t xml:space="preserve"> PLEASE SEE ATTACHED PURCHASE REQUISITION AND TERMS OF REFERENCE FOR DETAILS.</t>
  </si>
  <si>
    <t xml:space="preserve"> INVITATION TO BID FOR Expansion of Students Athletic Ground (Lot 2-Savings)                 The CAMARINES SUR POLYTECHNIC COLLEGES, through the GAA (Savings)  intends to apply the sum of Eight Hundred Twenty Nine Thousand Two Hundred Thirty Pesos &amp; 15/100</t>
  </si>
  <si>
    <t xml:space="preserve"> Formworks &amp; Scaffolding                          LS              LS    Demolition of Existing Roofing  Roof Framing &amp; Roof Beams                      LS              LS  Reinforced Concrete Footing   (at Stage -1st floor &amp; 2nd floor)                cu.m  </t>
  </si>
  <si>
    <t xml:space="preserve"> Description Republic of the Philippines Danao City Brgy.Sta.Rosa INVITATION to APPLY for ELIGIBILITY and to BID Road Concreting @ Brgy.Sta.Rosa,Danao City The Brgy.Sta.Rosa, tends to apply the sum of Php177,614.00 being Approved Budget for the Contract (A</t>
  </si>
  <si>
    <t xml:space="preserve"> Republic of the Philippines Province of Samar  Municipality of Jiabong INVITATION TO BID FOR  Emergency Purchase in response to covid 19 Mayor’s Office 47A Jiab-2020-47A 1.	The Municipal Government of Jiabong, Samar, intends to apply the sum of SIXTY FOUR</t>
  </si>
  <si>
    <t xml:space="preserve"> 1.   Diesel 5,466.66 Liters</t>
  </si>
  <si>
    <t xml:space="preserve"> DIESEL HYDRAULIC OIL 68 15W 40 ENGINE OIL TRANSMISSION OIL 140 GREASE</t>
  </si>
  <si>
    <t xml:space="preserve"> Procurement of Lechon Php108,00.00</t>
  </si>
  <si>
    <t xml:space="preserve"> PLEASE SEE ATTACHED PURCHASE REQUISITION AND TERMS OF REFERENCE FOR DETAILS</t>
  </si>
  <si>
    <t xml:space="preserve"> REPUBLIC  OF  THE  PHILIPPINES    Province  of   Cavite   Municipality  of  Carmona   Barangay 14 – BANCAL INVITATION TO BID The LGU – Bancal, Carmona, Cavite, through its Bids and Awards Committee (BAC), invites repair shops to apply to bid fo the hereun</t>
  </si>
  <si>
    <t xml:space="preserve"> 1.      10714.28   LITERS   DIESEL APPROVED BUDGET FOR THE CONTRACT: PHP 599,999.68 LOCATION OF THE CONTRACT: BATARAZA, PALAWAN DURATION OF THE CONTRACT: 7 DAYS SCHEDULE OF ACTIVITIES: POSTING AND ISSUANCE OF BIDS: JUNE 29-JULY 14, 2020 PRE-BID CONFERENCE</t>
  </si>
  <si>
    <t xml:space="preserve"> The City Government of Tagum, through its Bids and Awards Committee (BAC) hereby invites all interested PhilGEPS registered suppliers to submit bids for the procurement of goods. Bids received in excess of the ABC shall be automatically rejected at bid op</t>
  </si>
  <si>
    <t xml:space="preserve"> Improvement of Mechanical Dryer (Concrete Pavement) at Agro-Industrial Building, Barangay Bersamin, Alcala, Pangasinan</t>
  </si>
  <si>
    <t xml:space="preserve"> June 29, 2020 INVITATION TO BID FOR PURCHASE OF MEDICINE SUPPLIES FOR THE RURAL HEALTH UNIT The Municipality of Magallanes, Cavite, through the Budget for the Contract approved by the Sangguniang Bayan intends to apply the sum of Two Hundred Forty Nine Th</t>
  </si>
  <si>
    <t xml:space="preserve"> Republic of the Philippines PROVINCE OF ZAMBOANGA DEL SUR Municipality of Tabina -o0o- BIDS AND AWARDS COMMITTEE INVITATION TO BID  IMPROVEMENT OF DAY CARE CENTER 1.	The Barangay Local Government of Malim,Tabina, Zamboanga del Sur, through the 20%-BDF int</t>
  </si>
  <si>
    <t xml:space="preserve"> Concrete Paving of Farm-to-Market Road at Barangay Atainan, Alcala, Pangasinan</t>
  </si>
  <si>
    <t xml:space="preserve"> Service Vehicle (AUV) -with Engine Displacement not exceeding 2800cc - Diesel Fed -4 Cylinder</t>
  </si>
  <si>
    <t xml:space="preserve"> PHILIPPINE BIDDING DOCUMENTS (As Harmonized with Development Partners) FOR ENHANCEMENT OF CACAO PRODUCTION THRU PROVISION OF FERTILIZER SUBSIDY BIDDING Government of the Republic of the Philippines TABLE OF CONTENTS SECTION I. INVITATION TO BID……………………………</t>
  </si>
  <si>
    <t xml:space="preserve"> PROJECT	:	TOURIST PHILCare KIT SPECIFICATIONS: 1. 15,000 pcs. WASHABLE FACEMASK (Yakan, Hinablon, Abel, Binakul, Ikat and Abra weave cloth) ●	size – 8”  x  5” ●	Material: Yakan, Hinablon, Inabel, Binakul, Ikat and Abra weave cloth ●	3 layers facemask fabr</t>
  </si>
  <si>
    <t xml:space="preserve"> To reproduce sufficient materials for students</t>
  </si>
  <si>
    <t xml:space="preserve"> 1	Cutting Edge, 232-70-12143		2	pcs. 2	End Bit, 232-70-52192		2	pcs. 3	Bolt, 232-70-12450		18	pcs. 4	Bolt, 232-70-12460		4	pcs. 5	Nut, 232-70-12480		22	pcs. 6	Washer, 01643-31645		22	pcs. 7	Guide, 232-70-12420		2	pcs. 8	Guide, 232-70-12430		2	pcs. 9	Air C</t>
  </si>
  <si>
    <t xml:space="preserve"> INVITATION TO BID The __DEPARTMENT OF PUBLIC WORKS AND HIGHWAYS - DISTRICT ENGINEER’S OFFICE ZAMBOANGA CITY__, through its Bids and Awards Committee (BAC), invites contractors to submit bids for the following Contract: Contract ID: 20JA0085  Contract Name</t>
  </si>
  <si>
    <t xml:space="preserve"> Number: 	Quantity: 	 1	17.49	set		Window Blinds 125 x 130		250.00	4,372.50 2	34.55	set		Window Blinds 247 x 130		250.00	8,637.50 3	67.84	set		Window Blinds 485 x 130		250.00	16,960.00 4	68.68	set		Window Blinds 491 x 130		250.00	17,170.00 5	68.26	set		Win</t>
  </si>
  <si>
    <t xml:space="preserve"> The Municipality of Limay, through its Bids and Awards Committee (BAC) invites registered contractors to apply for eligibility and if found eligible, to bid for the hereunder project/contract: Project/Contract:  SUPPLY AND DELIVERY OF LAPTOPS FOR TEACHERS</t>
  </si>
  <si>
    <t xml:space="preserve"> wooden sala set (sofa, 2 chairs, center table)</t>
  </si>
  <si>
    <t xml:space="preserve"> 35 pcs. uPVC Pipe 3"Ø x 6m C-100 2 pcs. C.I. Sleeve Type Coupling 3"Ø 1 pc. C.I. Elbow 3"Ø 1 Roll HDPE Pipe 3"Ø x 50 meters</t>
  </si>
  <si>
    <t xml:space="preserve"> ENGINE ASSEMBLY FOR DUMPTRUCK GD15 - SURPLUS</t>
  </si>
  <si>
    <t xml:space="preserve"> Republic of the Philippines PROVINCE OF BUKDINON Malaybalay City OFFICE OF THE PROVINCIAL GOVERNOR Bids and Awards Committee INVITATION TO BID FOR THE “SUPPLY AND DELIVERY OF ONE LOT OFFICE SUPPLIES” ITB No. 2020-152A June 29, 2020 1.	The Provincial Gover</t>
  </si>
  <si>
    <t xml:space="preserve"> Concrete Paving of Farm-to-Market Road at Barangay Kisikis, Alcala, Pangasinan</t>
  </si>
  <si>
    <t xml:space="preserve"> Republic of the Philippines Province of Batanes	 MUNICIPALITY OF BASCO               		INVITATION TO BID FOR THE PROCUREMENT OF FUEL, OIL AND LUBRICANT 1.	The Municipal Local Government Unit of Basco, through the General Fund  intends to apply the sum of </t>
  </si>
  <si>
    <t xml:space="preserve"> Repair/Rehabilitation of Ceiling (Planning Office, Budget Office, Accounting Office, MSWDO Office, 1st Floor Hallway &amp; Municipal Trial Circuit Office) at Municipal &amp; Legislative Building, Barangay Poblacion East, Alcala, Pangasinan.</t>
  </si>
  <si>
    <t xml:space="preserve"> The Local  Government   Unit  of General  Santos  City, through  the  GENERAL FUND CY 2020  intends  to apply  the sum of fifty six thousand and xx / 100 Pesos Only (56,000.00)   being  the Approved  Budget  for the Contract   (ABC) to payments  under  th</t>
  </si>
  <si>
    <t xml:space="preserve"> Purchased of 4 sets Branded Desktop, 4 pieces Licensed MS Office, 3 pieces Licensed OS and 5 Units Uninterrupted Power Supply (UPS)</t>
  </si>
  <si>
    <t xml:space="preserve"> June 29, 2020 INVITATION TO BID FOR RIPRAPPING AT BRGY. POBLACION 5, MAGALLANES, CAVITE The Municipality of Magallanes, Cavite, through the Budget for the Contract approved by the Sangguniang Bayan intends to apply the sum of Four Hundred Ninety Seven Tho</t>
  </si>
  <si>
    <t xml:space="preserve"> Procurement of Fireworks Display Php100,000.00</t>
  </si>
  <si>
    <t xml:space="preserve"> 75	 meters	Stretchable cloth printed 25	 meters	Stretchable cloth plain 100	meters	Alphagena cloth printed 50	meters	Alphagena cloth plain 100	meters	Polyster cloth printed 60width 60	 yards	Teturon cloth plain white 50	meters	Polyster cloth plain 60width</t>
  </si>
  <si>
    <t xml:space="preserve"> The PRDP-RPCO through the Department of Agriculture Regional Field Office 3 is hereby invited suppliers to submit quotations/proposals from the here-under requirements, to wit: 		Office Supplies to be used at RPCO3 I-SUPPORT Office 25	ream	Bond Paper (sub</t>
  </si>
  <si>
    <t xml:space="preserve"> PHILIPPINE BIDDING DOCUMENTS (As Harmonized with Development Partners) FOR ENHANCEMENT OF CACAO PRODUCTION THRU PROVISION OF ACCREDITED VARIETY OF CACAO GRAFTED PLANTING MATERIALS BIDDING Government of the Republic of the Philippines TABLE OF CONTENTS SEC</t>
  </si>
  <si>
    <t xml:space="preserve"> Concrete Paving of Farm-to-Market Road at Barangay San Pedro Ili, Alcala, Pangasinan.</t>
  </si>
  <si>
    <t xml:space="preserve"> 1.    45   SETS   FOLDED TABLE AND CHAIRS                           (6 SEATER TABLE &amp; CHAIR) APPROVED BUDGET FOR THE CONTRACT: PHP 499,500.00 LOCATION OF THE CONTRACT: BATARAZA, PALAWAN DURATION OF THE CONTRACT: 7 DAYS SCHEDULE OF ACTIVITIES: POSTING AND </t>
  </si>
  <si>
    <t xml:space="preserve"> Materials for the Construction of Additional Hand-washing Facility and Foot Baths</t>
  </si>
  <si>
    <t xml:space="preserve"> 1	98	pcs	macaroni pasta (1kl) 2	230	pcs	milk(evap) 3	200	doz.	coffee 3 n 1 4	1400	bags	assorted biscuits 5	60	case	corned beef 6	600	pair	sllippers 7	60	pcs	noodles 8	60	pcs	mineral water 50ml 90	60	case	c2 solo 10	500	kls	brown sugar 11	1500	pcs	nescafe </t>
  </si>
  <si>
    <t xml:space="preserve"> 10	 box	DBX1 #12 needle 10	 box	DBX1 #14 needle 10	 box	DBX1 #16 needle 10	box	DPX1 #12 needle 10	box	DPX1 #14 needle 24	pairs	Square ruller and curve ruller (wooden) 43	 pcs	Wooden ruller 12 inches 48	boxes	Pencil mongol #1,2,3 30	boxes	Tailor chalk asso</t>
  </si>
  <si>
    <t xml:space="preserve"> Republic of the Philippines Province of Albay Municipality of Rapu-Rapu Barangay Sagrada INVITATION TO BID FOR THE CONSTRUCTION OF PATHWAY 1.	The Barangay Local Government Unit of Sagrada, Rapu-Rapu, Albay, through the Budget for the Contract Approved by </t>
  </si>
  <si>
    <t xml:space="preserve"> Republic of the Philippines Province of Albay Municipality of Rapu-Rapu Barangay Dap-Dap INVITATION TO BID FOR THE CONSTRUCTION OF FOOTBRIDGE – PUROK 1 1.	The Barangay Local Government Unit of Dap-Dap, Rapu-Rapu, Albay, through the Budget for the Contract</t>
  </si>
  <si>
    <t xml:space="preserve"> For Toyota Innova SLB-190 4 pcs. Tubeless Tire (205/65R 15) Specifications: * Branded * Tire Width - 205mm * Load Index/ Maximum Load -  91/615 kgs * Speed Index/ Maximum Speed - H210 km/h w-w-w-w-w-w-w-w-w-w-w-w-w-w-w-w-w-w-w</t>
  </si>
  <si>
    <t xml:space="preserve"> Republic of the Philippines Province of Albay Municipality of Rapu-Rapu Barangay Sagrada INVITATION TO BID FOR THE INSTALLATION OF SOLAR POWERED STREET LIGHTS 1.	The Barangay Local Government Unit of Sagrada, Rapu-Rapu, Albay, through the Budget for the C</t>
  </si>
  <si>
    <t xml:space="preserve"> Republic of the Philippines PROVINCE OF ZAMBOANGA DEL SUR Municipality of Tabina -o0o- BIDS AND AWARDS COMMITTEE INVITATION TO BID  CONSTRUCTION OF BARANGAY HALL PHASE 1 1.	The Barangay Local Government of Malim,Tabina, Zamboanga del Sur, through the 20%-</t>
  </si>
  <si>
    <t xml:space="preserve"> The DepEd Division of Cabuyao (Southville 1 Elementary School) invites registered supplier to quote the best offer for the item/s. Submit your quotation duly signed by duly representative not later than July 8, 2020. The quotation may be submitted manuall</t>
  </si>
  <si>
    <t xml:space="preserve"> June 29, 2020 INVITATION TO BID FOR PURCHASE OF RICE FOR BASURA PALIT BIGAS PROGRAM The Municipality of Magallanes, Cavite, through the Budget for the Contract approved by the Sangguniang Bayan intends to apply the sum of Two Hundred Eight Thousand Pesos </t>
  </si>
  <si>
    <t xml:space="preserve"> Republic of the Philippines Province of Batanes	 MUNICIPALITY OF BASCO               		INVITATION TO BID FOR THE PROCUREMENT OF Supplies for Communicable Disease, Medical and Laboratory Supplies of the Municipal Health Office and Supplies for the Home Car</t>
  </si>
  <si>
    <t xml:space="preserve"> Republic of the Philippines Province of Batanes	 MUNICIPALITY OF BASCO               		INVITATION TO BID FOR THE PROCUREMENT OF MATERIALS FOR THE REHABILITATION OF ROAD BETWEEN BSC AND BFAR 1.	The Municipal Local Government Unit of Basco, through the Gene</t>
  </si>
  <si>
    <t xml:space="preserve"> June 29, 2020 INVITATION TO BID  Reference No. 7074671 /Solicitation No.20-24 The City Government of Tagum invites interested Bidders/Suppliers to bid for the following: Name of Contract         :  CONSTRUCTION MATERIALS &amp; SUPPLIES FOR THE USE OF CMO – EN</t>
  </si>
  <si>
    <t xml:space="preserve"> The Ministry of Human Settlements and Development (MHSD) a locally funded agency, intends to Request for Quotation (RFQ) for the sum of Two Hundred Seventy Eight Thousand Six Hundred Seventy-Seven Pesos and 16/100(₽278,677.16) being the Approved Budget fo</t>
  </si>
  <si>
    <t xml:space="preserve"> Bid Documents Fee P 5,000.00 Submission and receipt of Bids/ Opening of Bids Date: July 21, 2020 Time: 10:00 AM Venue: Conference Room, Municipal Hall Bldg., Laur, Nueva Ecija 1 unit Rescue Vehicle Specifications: 2.2 - 3.0 Li. Diesel Engine 	Euro 4 	5 Sp</t>
  </si>
  <si>
    <t xml:space="preserve"> Republic of the Philippines Province of Batangas Municipality of San Juan BIDS AND AWARDS COMMITTEE INVITATION TO APPLY FOR ELIGIBILITY AND TO BID THE LOCAL  GOVERNMENT UNIT OF BRGY. JANAO-JANAO, SAN JUAN, BATANGAS, through its Bids and Awards Committee(B</t>
  </si>
  <si>
    <t xml:space="preserve"> Water truck</t>
  </si>
  <si>
    <t xml:space="preserve"> For Animal Bite Treatment Center Use</t>
  </si>
  <si>
    <t xml:space="preserve"> Section I. Invitation to Bid   Provincial Government of Isabela SUPPLY AND DELIVERY OF PICK-UP, 4X4, 2.4L, DIESEL, 4 CYLINDER DOHC, M/T WITH 3 YEARS LTO REGISTRATION The Provincial Government of Isabela, through the PGI FUND intends to apply the sum of On</t>
  </si>
  <si>
    <t xml:space="preserve"> Republic of the Philippines Region XII Province of Cotabato City of Kidapawan OFFICE OF THE BIDS AND AWARD COMMITTEE June 30, 2020 INVITATION TO BID FOR  SUPPLY AND DELIVERY OF APPLIANCES NEEDED FOR THE PANGKABUHAYAN STARTER KITS BENEFICIARIES OF THE CITY</t>
  </si>
  <si>
    <t xml:space="preserve"> Number: 	Quantity: 	 							Supply and Delivery of Goods				 1	 5	btl		INEO + 258 TONER, Black	TN324		9,260.00	46,300.00 2	5	btl		INEO + 258 TONER, Cyan	TN324		16,510.00	82,550.00 3	5	btl		INEO + 258 TONER, Magenta	TN324		16,510.00	82,550.00 4	5	btl		INEO</t>
  </si>
  <si>
    <t xml:space="preserve"> Republic of the Philippines Province of Batanes	 MUNICIPALITY OF BASCO               		INVITATION TO BID FOR THE PROCUREMENT OF TOOLS AND EQUIPMENT OF THE MUNICIPAL WATERWORKS SYSTEM 1.	The Municipal Local Government Unit of Basco, through the General Fun</t>
  </si>
  <si>
    <t xml:space="preserve"> One (1) job Furnishing of Labor and Materials for the Construction of Drainage and Sidewalk- Southbound Terminal at Brgy. Tabucan, Dumangas, Iloilo</t>
  </si>
  <si>
    <t xml:space="preserve"> 7	pcs	SAFE VAULT 		SPECS: 		Height (mm/inch): 302.7/11.9 		Width (mm/inch): 381/15 		Depth (mm/inch): 310/12.2 		Weight (kgs.): 14 		Color: black 		Other features: 		Concealed emergency manual key lock 		Open and close by using keypad 		Complimentary moun</t>
  </si>
  <si>
    <t xml:space="preserve"> CONTRACT COST:	 	 1.	m²	53.18	ENTERIOR FINISHING AT COMFORT ROOMS		32,620.86 2.			TILING		 2.1	m²	144.59	OFFICE SPACE		221,285.28 2.2	m²	34.4	CORRIDOR AND STAIRS		67,111.67 2.3			COMFORT ROOMS		 2.3.1	m²	72.12	WALL &amp; PARTITION (H= 2.0m)		92,931.94 2.3.2	m</t>
  </si>
  <si>
    <t xml:space="preserve"> One (1) job Furnishing of Labor and Materials for the Construction of Slope Protection at Brgy. Tabucan, Dumangas, Iloilo</t>
  </si>
  <si>
    <t xml:space="preserve"> The DPWH-Ilocos Sur 1st District Engineering Office, through its Bids and Awards Committee (BAC), invites contractors to submit bids for the following Contract:   Contract ID: 20AC0101   Contract Name: Construction of Classrooms, Four (4) Storey, Twelve (</t>
  </si>
  <si>
    <t xml:space="preserve"> INVITATION TO BID 1.	The Bangko Sentral ng Pilipinas (BSP), through its Bids and Awards Committee-Security Plant Complex (BAC-SPC), invites Bidders to apply for eligibility and to bid for the hereunder requirement: Name of Requirement/Brief Description:  </t>
  </si>
  <si>
    <t xml:space="preserve"> Republika ng Pilipinas										 National Irrigation Administration										 (Pambansang Pangasiwaan ng Patubig)										 REGION XI										 Irrigation Management Office- Davao de Oro										 										 										 										 										 										 			</t>
  </si>
  <si>
    <t xml:space="preserve"> Supply and Delivery of 45 Toner Cartridges HP CE505A with free use of corresponding HP Laserjet Printer</t>
  </si>
  <si>
    <t xml:space="preserve"> Concreting of 0.15m x 3.0m x 80.0 m long road Materials/Description: 1. Cement - 306 bags 2. SAG - 59.38 cu.m 3. Gravel Bidding - 12.00 cu.m 4. 40 pcs- 2x6x12' coco lumber  5. CW Nails assorted - 6.0 kilos</t>
  </si>
  <si>
    <t xml:space="preserve"> Republic of the Philippines Province of Batanes	 MUNICIPALITY OF BASCO               		INVITATION TO BID FOR THE PROCUREMENT OF OFFICE SUPPLIES OF BASCO CENTRAL SCHOOL, TUKON BARRIO SCHOOL AND DIPTAN ELEMENTARY SCHOOL 1.	The Municipal Local Government Uni</t>
  </si>
  <si>
    <t xml:space="preserve"> Republic of the Philippines Province of Bohol Municipality of Getafe Bids and Awards Committee BUYOG, Getafe, Bohol INVITATION TO BID (1st   Public Bidding) 	The Barangay Buyog ,Getafe, Province of Bohol through its Bids and Awards Committee (BAC), invite</t>
  </si>
  <si>
    <t xml:space="preserve"> Gasoline 													1,500	liters Diesel													4,265	liters</t>
  </si>
  <si>
    <t xml:space="preserve"> Republic of the Philippines PROVINCE OF ALBAY 				   Municipality of Rapu-Rapu                                                          Barangay Poblacion Invitation to Bid for  Maintenance &amp; Improvement of Day Care Center 1.	The Barangay Local Government</t>
  </si>
  <si>
    <t xml:space="preserve"> Air Safety Valve etc.  NOTE:To all suppliers bid documents and BAC Resolution 2020-029 are available at BAC Office and LGU website.</t>
  </si>
  <si>
    <t xml:space="preserve"> ARTICLE AND DESCRIPTION										 ITEM	QTY.	UNIT						CEILING 			UNIT PRICE			TOTAL  								PRICE						 				Office: Office of the City Accountant				PR No. 415						 				Charge to: Printing and Publication Expenses 				OBR No. 100-2002-01201						 				 A</t>
  </si>
  <si>
    <t xml:space="preserve"> Republic of the Philippines Province of South Cotabato BIDS AND AWARDS COMMITTEE Capitol Compound Alunan Avenue, Koronadal City Tel. No. (083)228-9951 INVITATIONS TO PAKYAW CONTRACT GROUPS The Province of South Cotabato is inviting Pakyaw Groups (Labor) t</t>
  </si>
  <si>
    <t xml:space="preserve"> Please see attached file for terms of reference.</t>
  </si>
  <si>
    <t xml:space="preserve"> Republic of the Philippines Province of Zambales MUNICIPALITY OF MASINLOC OFFICE OF THE BIDS AND AWARDS COMMITTEE INVITATION TO BID The Municipality of Masinloc, Province of Zambales, through its Bids and Awards Committee (BAC), invites suppliers/Manufact</t>
  </si>
  <si>
    <t xml:space="preserve"> 1	60	PCS	(E.O.)  ELECTRICAL PIPE 2 1/2 75mm 2	2	PCS	(E.O.)  ELECTRICAL PVC MTA 2 1/2 3	2	PCS	(S) RSC ENTRANCE CAP 2 1/2 4	20	ROLLS	(A) ELECTRICAL TAPE (L) BLADE 5	4	PCS	US SOLDERESS CONNECTOR 2B 350mcm 6	1	CAN	€ SOLVENT CEMENT 400CC 7	180	MTRS	(COL) THHW </t>
  </si>
  <si>
    <t xml:space="preserve"> Piston Assy. etc.  NOTE:To all suppliers bid documents and BAC Resolution 2020-029 are available at BAC Office and LGU website.</t>
  </si>
  <si>
    <t xml:space="preserve"> DEPARTMENT OF PUBLIC WORKS AND HIGHWAYS Ifugao Second District Engineering Office Aguinaldo, Ifugao INVITATION TO BID The DPWH- Ifugao Second District Engineering Office Aguinaldo, Ifugao, through its Bids and Awards Committee (BAC), invites contractors t</t>
  </si>
  <si>
    <t xml:space="preserve"> One (1) job Furnishing of Labor and Materials for the Improvement of Task Force Puerto at Brgy. Sapao, Dumangas, Iloilo</t>
  </si>
  <si>
    <t xml:space="preserve"> Air Filter Element # 17801-OC010									2	pc Alternator pulley # 27415-30010									1	pc Ball Joint, Upper (L &amp; R)											1	pc Brake pad # PD47135											1	pc Clutch disc #													1	pc Electrical tape, big												7	set Oil filter # 90915-</t>
  </si>
  <si>
    <t xml:space="preserve"> Republic of the Philippines Province of Eastern Samar Municipality of Mercedes OFFICE OF THE BIDS AND AWARDS COMMITTEE (BAC) INVITATION TO BID # INFRA-2020-008  Invitation to Bid for the Proposed Construction/Establishing of Municipal Recovery Facility (M</t>
  </si>
  <si>
    <t xml:space="preserve"> Republic of the Philippines Province of Southern Leyte Municipality of Tomas Oppus Invitation to Bid  PROCUREMENT OF MATERIALS FOR CONSTRUCTION OF COVERED COURT 1.	The Barangay Government of Higoso-an, Tomas Oppus, Southern Leyte, through the 20% General </t>
  </si>
  <si>
    <t xml:space="preserve"> Description Republic of the Philippines Danao City Brgy.Sta.Rosa INVITATION to APPLY for ELIGIBILITY and to BID Improvement of Multipurpose Hall @ Brgy.Sta.Rosa,Danao City The Brgy.Sta.Rosa, tends to apply the sum of Php132,370.00 being Approved Budget fo</t>
  </si>
  <si>
    <t xml:space="preserve"> Republic of the Philippines Province of Batanes	 MUNICIPALITY OF BASCO               		INVITATION TO BID FOR THE PROCUREMENT OF MATERIALS FOR THE REPAIR OF MUNICIPAL BUILDING GROUND FLOOR-HALLWAY 1.	The Municipal Local Government Unit of Basco, through th</t>
  </si>
  <si>
    <t xml:space="preserve"> Republic of the Philippines PROVINCE OF SOUTHERN LEYTE Maasin City Invitation to Bid for the Procurement of One (1) Unit Service Vehicle    Contract ID # 2020-07-21-406PG 1.	The Provincial Government of Southern Leyte through the PSWDO Motor Vehicles Expe</t>
  </si>
  <si>
    <t xml:space="preserve"> INVITATION TO BID: BID REF. NO.: 2020-21 “SUPPLY AND DELIVERY OF VARIOUS PARTS AND LABOR OF DA-BFAR MCS PATROL VESSELS.” 		 1.	The Bureau of Fisheries and Aquatic Resources (BFAR) of the Department of Agriculture, through the General Appropriations Act fo</t>
  </si>
  <si>
    <t xml:space="preserve"> June 29, 2020 INVITATION TO BID  Reference No. 7074783 /Solicitation No.20-24 The City Government of Tagum invites interested Bidders/Suppliers to bid for the following: Name of Contract         :  CONSTRUCTION MATERIALS &amp; SUPPLIES FOR THE USE OF CMO – CO</t>
  </si>
  <si>
    <t xml:space="preserve"> The Local  Government   Unit  of General  Santos  City, through  the  GENERAL FUND CY 2020  intends  to apply  the sum of seventy eight thousand seven hundred fifty and xx / 100 Pesos Only (78,750.00)   being  the Approved  Budget  for the Contract   (ABC</t>
  </si>
  <si>
    <t xml:space="preserve"> printer with continous ink with photo copier with scanner</t>
  </si>
  <si>
    <t xml:space="preserve"> Republic of the Philippines Province of Ifugao Municipal Government of Hingyon BIDS AND AWARDS COMMITTEE – INFRA Invitation to Bid Publication No. 013 – 2020                                                          (FIRST POSTING) June 29, 2020 The Munici</t>
  </si>
  <si>
    <t xml:space="preserve"> Supply and delivery of supplies and materials for National School Building Inventory SY 2019-2020</t>
  </si>
  <si>
    <t xml:space="preserve"> The Local  Government   Unit  of General  Santos  City, through  the  GENERAL FUND CY 2020  intends  to apply  the sum of eight thousand eight hundred and xx / 100 Pesos Only (8,800.00)   being  the Approved  Budget  for the Contract   (ABC) to payments  </t>
  </si>
  <si>
    <t xml:space="preserve"> Vehicles-Motor Vehicle</t>
  </si>
  <si>
    <t xml:space="preserve"> Republic of the Philippines PROVINCE OF ALBAY 				   Municipality of Rapu-Rapu                                                          Barangay Poblacion Invitation to Bid for  Purchase of Drugs and Medicines 1.	The Barangay Local Government Units of Pob</t>
  </si>
  <si>
    <t xml:space="preserve"> Republic of the Philippines Municipality of Taytay Barangay Pularaquen NOTICE TO BIDDERS 1.	CONSTRUCTION OF MULTI – PURPOSE HALL (PHASE 1) Item#	Description			     QTY.		UNIT	 1.	Nylon String #100				2		clip 2.	CWN 3”					        2		kgs 3.	16mm dia x 6m, </t>
  </si>
  <si>
    <t xml:space="preserve"> Republic of the Philippines Province of Albay Municipality of Rapu-Rapu Barangay Tinocawan INVITATION TO BID FOR THE  REHABILITATION OF WATER SYSTEM 1.	The Barangay Local Government Unit of Tinocawan, Rapu-Rapu, Albay, through the Budget for the Contract </t>
  </si>
  <si>
    <t xml:space="preserve"> Invitation to Bid All prospective bidders are invited to bid on the above items. The Municipality of Boac reserves the right to accept or reject any bid, to annul the bidding process, and to reject all bids at any time prior to contract award, without the</t>
  </si>
  <si>
    <t xml:space="preserve"> DIESEL													6,950	liter UNLEADED												3,200	liter TERMS OF REFERENCE:														 (Monthly billing based on actual consumption)														 * Fuel will be delivered as Requested														 * Payment will be made on Quarterly basis</t>
  </si>
  <si>
    <t xml:space="preserve"> TIAONG WATER DISTRICT Invitation to Bid for  Procurement of Well Drilling Project at Brgy. Ayusan 2  1.	The Tiaong Water District, intends to apply the sum of P 2,117,955.00 being the Approved Budget for the Contract (ABC) to payments under the contract f</t>
  </si>
  <si>
    <t xml:space="preserve"> The Local  Government   Unit  of General  Santos  City, through  the  GENERAL FUND CY 2020  intends  to apply  the sum of seventy seven thousand five hundred and xx / 100 Pesos Only (77,500.00)   being  the Approved  Budget  for the Contract   (ABC) to pa</t>
  </si>
  <si>
    <t xml:space="preserve"> Information Technology-Computer Desktop</t>
  </si>
  <si>
    <t xml:space="preserve"> 6BOXES NESCAFEE COFFEE @ 100G(30/BX) 300PCKS BEAR BRAND 320G 300 KLS BROWN SUGAR WASHED 12BOXES CORNED BEEF 48 TNS 12 BOXES SAUSAGE 48TNS 12BOXES MEATLOAF 48TNS 20 BOXES LUCKY ME NOODLES 72 PACKS 10 PACKS SANDO BAG 100PCS 300PCS ECO BAG</t>
  </si>
  <si>
    <t xml:space="preserve"> Invitation to Bid to all Supplier/Contractor duly accredited by the city Council of Manila to supply  and deliver the Following items provided hereunder ,to wit;  proItem	Quantity	Unit	Description 			 1	10	ream	Bondpaper short 2	10	ream 	Bondpaper long 3	</t>
  </si>
  <si>
    <t xml:space="preserve"> Republic of the Philippines Province of Albay Municipality of Rapu-Rapu Barangay Tinocawan INVITATION TO BID FOR THE REHABILITATION OF MULTI-PURPOSE BUILDING 1.	The Barangay Local Government Unit of Tinocawan, Rapu-Rapu, Albay, through the Budget for the </t>
  </si>
  <si>
    <t xml:space="preserve"> 1	SOUND SYSTEM FOR SPORTS COMPLEX		 	1	UNIT	PRE-AMP MIXER 16 CHANNELS WITH HARD CASE 	8	UNITS	POWER SPEAKER 15"WITH STAND 	3	SETS	WIREL;ESS MICROPHONE 	4	ROLL	MIC CABLE STEREO 100M 	40	PAIR	XLR CONNECTOR 	1	UNIT	AUDIO DIGITAL PLAYER 2	SOUND SYSTEM MULTI P</t>
  </si>
  <si>
    <t xml:space="preserve"> Construction of Brgy Multi-Purpose Hall (Phase II) See Program of Works Plans and Programs upon submission of LOI</t>
  </si>
  <si>
    <t xml:space="preserve"> Republic of the Philippines Province of Negros Oriental City of Guihulngan Bids and Awards Committee INVITATION TO BID (ITB No. PB2020-049) The  City of  Guihulngan, through its Bids and Awards Committee (BAC), invites suppliers/ manufacturers/ distributo</t>
  </si>
  <si>
    <t xml:space="preserve"> Fuel-Diesel,Gasoline</t>
  </si>
  <si>
    <t xml:space="preserve"> The Local  Government   Unit  of General  Santos  City, through  the  GENERAL FUND CY 2020  intends  to apply  the sum of eight hundred seven thousand five hundred and xx / 100 Pesos Only (807,500.00)   being  the Approved  Budget  for the Contract   (ABC</t>
  </si>
  <si>
    <t xml:space="preserve"> Republic of the Philippines										 Province of Bohol										 Municipality of Buenavista										 										 Barangay DAIT									 INVITATION TO APPLY FOR ELIGIBILITY AND TO BID										 										 The Barangay Local Government Unit of  DAIT,  Buen</t>
  </si>
  <si>
    <t xml:space="preserve"> REQUEST FOR QUOTATION The Bureau of Customs (BOC) – Port of Limay, through its General fund, will undertake Small Value Construction Services for the Renovation of the Customer Care Center (CCC) in accordance with the Revised Implementing Rules and Regula</t>
  </si>
  <si>
    <t xml:space="preserve"> Vehicle Parts &amp; Accessories-Tire Set,HD SAE 10W,etc....</t>
  </si>
  <si>
    <t xml:space="preserve"> Sticker for Ambulance with Installation								25	pcs  - vinyl sticker 23cm X 31cm/ Full colors														  - attached layout of sticker name of the ff:														  - PALAWAN RESCUE 165														  - 2 AGENCY LOGO OF PALAWAN RESCUE 165											</t>
  </si>
  <si>
    <t xml:space="preserve"> ITEM NO. QTY UNIT  DESCRIPTION 1.  11 ROLLS 2"DIAX60M PE PIPE SDR 11 2.  10 PCS 2"DIA PE TO PE PIPE CONNECTOR 3.  1 PC 2"DIA PE FEMALE CONNECTOR 4.  1 PC 2"DIA PE ELBOW 5. 25 ROLLS TAPELON TAOE BIG</t>
  </si>
  <si>
    <t xml:space="preserve"> The Local  Government   Unit  of General  Santos  City, through  the  GENERAL FUND CY 2020  intends  to apply  the sum of nineteen thousand four hundred sixty and xx / 100 Pesos Only (19,460.00)   being  the Approved  Budget  for the Contract   (ABC) to p</t>
  </si>
  <si>
    <t xml:space="preserve"> The Local  Government   Unit  of General  Santos  City, through  the  DRRM FUND CY 2020  intends  to apply  the sum of nine hundred eighty six thousand eight hundred sixty and xx / 100 Pesos Only (986,860.00)   being  the Approved  Budget  for the Contrac</t>
  </si>
  <si>
    <t xml:space="preserve"> Office Equipment-Glass wall partition/cubicle</t>
  </si>
  <si>
    <t xml:space="preserve"> 30 reams bond paper short 30 reams bond paper long 2 ream long folder white 2 reams long folder red 5 bottles printer ink black 6 bottles printer ink colored 2 pcs flash drive 16 gb 1 box binder clip 2 pcs correction pen 1 piece keyboard 1 box push pin 1 </t>
  </si>
  <si>
    <t xml:space="preserve"> Republic of the Philippines  Province of Samar Municipality of Jiabong Invitation to Bid  CONSTRUCTION OF MULTI-PURPOSE HALL BRGY VICTORY Jiab-2020-1C The Municipal Government of Jiabong, Samar, through LGU OF JIABONG   intends to apply the sum of ONE HUN</t>
  </si>
  <si>
    <t xml:space="preserve"> Republic of the Philippines Region X Province of Lanao del Norte Gov. Arsenio A. Quibranza Provincial Government Center Invitation to Bid for the CONSTRUCTION OF FLOOD CONTROL AND MITIGATION STRUCTURE (BURIASAN BRIDGE OF MALABANG-MASIBAY-MAITOMAIG PROVINC</t>
  </si>
  <si>
    <t xml:space="preserve"> 1.	The OROQUIETA CITY WATER DISTRICT, through the Corporate Approved Budget 2020 intends to apply the sum of Eight Hundred Fifty Eight Thousand Seven Hundred Fifteen Pesos &amp; 00/100 (Php 858,715.00) being the Approved Budget for the Contract (ABC) to payme</t>
  </si>
  <si>
    <t xml:space="preserve"> Construction of Hanging Bridge at Brgy. Mataywanak, Tuy 1.	Bids received in excess of the ABC shall be automatically rejected at bid opening. 2.	Bidders should have completed a contract similar to the Project. The description of an eligible bidder is cont</t>
  </si>
  <si>
    <t xml:space="preserve"> 20% EDF CY 2020 Rehabilitation of Water System - P 105,000.00 Schedule of Activities 1. Submission &amp; Receipt of Bids / Bid Opening - July 21, 2020 @ 10:00 AM 2. Bid Evaluation - July 22, 2020 3. Post Qualification - July 23, 2020 4. Approval of Resolution</t>
  </si>
  <si>
    <t xml:space="preserve"> 20% EDF CY 2020 1. Rehab &amp; Repair of Barangay Road - 107,634.00 2. Rehab &amp; Repair of Pathwalk - P 105,000.00 3. Construction of Line Canal - P 105,000.00 Schedule of Activities 1. Submission &amp; Receipt of Bids / Bid Opening - July 21, 2020 @ 3:00 PM 2. Bid</t>
  </si>
  <si>
    <t xml:space="preserve"> Procurement of water connection and fittings to be used in the rehabilitation of water system at Malolos</t>
  </si>
  <si>
    <t xml:space="preserve"> 1 unit Brand Tractor with Mower: Specifications: Drive Type: 4x4 Capacity of fuel tank (L): 150 Rated speed (r/min): 2300 Engine power (kw): 66.2 Lowest fuel consumption (g/kwh): ≤ 242 Clutch: Clutch PTO Speed (rpm): PTO Speed (rpm) Gearshift: 8F+4R/16F+8</t>
  </si>
  <si>
    <t xml:space="preserve"> Construction of Spillway and Riprapping of road sides, A – 66.00sqm, T-0.15m 1.	Bids received in excess of the ABC shall be automatically rejected at bid opening. 2.	Bidders should have completed a contract similar to the Project. The description of an el</t>
  </si>
  <si>
    <t xml:space="preserve"> Republic of the Philippines Province of Negros Oriental City of Guihulngan Bids and Awards Committee INVITATION TO BID (ITB No. PB2020-050) The  City of  Guihulngan, through its Bids and Awards Committee (BAC), invites suppliers/ manufacturers/ distributo</t>
  </si>
  <si>
    <t xml:space="preserve"> SCOPE OF WORKS: EMBANKMENT  CONCRETE SLAB FLOORING  CHB FILLING  PLASTERING (INTERIOR) RAMP RAILINGS FAB. NOTE: SEE ATTACHED PLAN &amp; SPECIFICATIONS</t>
  </si>
  <si>
    <t xml:space="preserve"> Republic of the Philippines					 MUNICIPALITY OF MARIHATAG					 SURIGAO DEL SUR					 	oOo-				 Bids and Awards Committee					 					 REQUEST FOR QUOTATION					 					 		       Date: June 29, 2020			 		       Quotation No.396-2020			 ________________________</t>
  </si>
  <si>
    <t xml:space="preserve"> Procurement of One (1) Unit Ambulance for the Use of Rural Health Unit, LGU-Tagudin, Ilocos Sur 1.	The Local Government Unit of Tagudin, Ilocos Sur, thru its Bids and Awards Committee intends to apply the sum of Two Million One Hundred Thousand Pesos (Php</t>
  </si>
  <si>
    <t xml:space="preserve"> Republic of the Philippines										 Province of Bohol										 Municipality of Buenavista										 										 Barangay CANTOMOGCAD									 INVITATION TO APPLY FOR ELIGIBILITY AND TO BID										 										 The Barangay Local Government Unit of  CANT</t>
  </si>
  <si>
    <t xml:space="preserve"> The Local  Government   Unit  of General  Santos  City, through  the  GENERAL FUND CY 2020  intends  to apply  the sum of four hundred thousand and xx / 100 Pesos Only (400,000.00)   being  the Approved  Budget  for the Contract   (ABC) to payments  under</t>
  </si>
  <si>
    <t xml:space="preserve"> June 29, 2020 	 INVITATION TO BID Reference No. 7074940 / Solicitation No. 2020/06/062 	The City Government of Tagum invites interested Bidders/Suppliers to submit for eligibility and to bid for the following: MATERIALS FOR CONSTRUCTION OF MULTI-PURPOSE C</t>
  </si>
  <si>
    <t xml:space="preserve"> Removal and Installation of Floor Tiles (30cm x 30cm) 120 sqm, and repair of Doors, Windows, Plumbing and Electrical Fixtures 1.	Bids received in excess of the ABC shall be automatically rejected at bid opening. 2.	Bidders should have completed a contract</t>
  </si>
  <si>
    <t xml:space="preserve"> materials for Construction of 9 Units Led Streetlights</t>
  </si>
  <si>
    <t xml:space="preserve"> Invitation to Bid Public Competitive Bidding for the Supply and Delivery of Various Mental Health Medicines of the Department of Health – Re-Bid  (Project Ref. No. BAC-PO/GOODS 2020-06-008)</t>
  </si>
  <si>
    <t xml:space="preserve"> ITEM NO. P.R. No. :CMO-City Disaster Risk and Reduction Management Council 2020-06-2568 Date: 06/19/2020 Date: 19,950.00Ascorbic Acid, 500mg, tablet, 100'sbox571 31,350.00Multivitamins+iron, cap 100'sbox572 23,370.00Paracetamol, 600mg tablet, 100'sbox573</t>
  </si>
  <si>
    <t xml:space="preserve"> Generator set Model: 6GF-LDE 7500 Rated Power: 6.5 KW Maximum Power: 7.0 KW Voltage:220 V/60DHz Engine:192 F Stroke: 4 strokes Air cooled diesel Electric/Manual Start with AVR silent type</t>
  </si>
  <si>
    <t xml:space="preserve"> 240 SQ.M. CONSTRUCTION OF CONCRETE PAVEMENT (W=2m, L=120m, THK=0.10m)</t>
  </si>
  <si>
    <t xml:space="preserve"> Item No.	Unit	DESCRIPTION				Qty 						 1		To Hire Auto-Mechanic for the Repair of the				 		Municipal Government Vehicle (Strada L200,				 		Dumptruck &amp; Ambulance)</t>
  </si>
  <si>
    <t xml:space="preserve"> L.S. REPAIR/REHABILITATION OF MULTI-PURPOSE HALL (doors &amp; windows, concrete slab roofing (water proofing), electrical &amp; paintings)</t>
  </si>
  <si>
    <t xml:space="preserve"> The DPWH-Lanao del Norte 1st District Engineering Office, through the following Approved Budget Cost (ABC):  1.	Php 1,487,640.00 – Reference No. 20GKG0033 (PR No. 20-06-033) Bid received in excess of the ABC for each lot shall be automatically rejected at</t>
  </si>
  <si>
    <t xml:space="preserve"> Republic of the Philippines Province of Albay Municipality of Rapu-Rapu Barangay Masaga INVITATION TO BID FOR THE 20% EDF CY 2020 PROJECTS 1.	The Barangay Local Government Unit of Villahermosa, Rapu-Rapu, Albay, through the Budget for the Contract Approve</t>
  </si>
  <si>
    <t xml:space="preserve"> REPUBLIC OF THE PHILIPPINES PROVINCE OF EASTERN SAMAR MUNICIPALITY OF LAWAAN REQUEST FOR QUOTATION PR No.: RFQ No.: PR Date: PhilGEPS Reference No. : End-User : Closing Date: ABC:166,432.00 Time: Sir/Madam: Please quote your lowest price on the items/s li</t>
  </si>
  <si>
    <t xml:space="preserve"> 1. Deformed Steel Bar                                   93 pcs. 10mn dia 2. Tie Wire No. 16                                         4 kg 3. Cement                                                    45.29 bags 4. Sand                                       </t>
  </si>
  <si>
    <t xml:space="preserve"> PROJECT: CONCRETING OF ROAD  LOCATION: BARANGAY STA. MONICA, CONCEPCION, TARLAC APPROVED BUDGET FOR THE CONTRACT: PHP 816,870.00 SOURCE OF FUND: 20% BDF The contract to be performed by the successful bidder shall be specified in the Technical Quotation Fo</t>
  </si>
  <si>
    <t xml:space="preserve"> Labor and Materials Improvement of Multi-Purpose Hall</t>
  </si>
  <si>
    <t xml:space="preserve"> MOTOR CYCLE BIKE-XRM 125 DUAL SPORT</t>
  </si>
  <si>
    <t xml:space="preserve"> As per attached RFQ</t>
  </si>
  <si>
    <t xml:space="preserve"> Negotiated Procurement pursuant to Section 53.9 (Small Value Procurement) of the Revised Implementing Rules and Regulations (IRR) of Republic Act No. 9184 (RA 9184), which took effect on September 2, 2009. Sir/Madam:				      Please quote your government </t>
  </si>
  <si>
    <t xml:space="preserve"> Republic of the Philippines  Province of Samar Municipality of Jiabong Invitation to Bid  Improvement of concrete pavement and construction of drainage canal brgy Malobago Jiab-2020-2C The Municipal Government of Jiabong, Samar, through LGU OF JIABONG   i</t>
  </si>
  <si>
    <t xml:space="preserve"> ITEM NO. P.R. No. :City Engineer's Office 2020-03-2047 Date: 03/27/2020 Date: 280,000.00 Computer Set Desktop - processor core i7 9th Gen,Gigabyte MBoard, 8gb RAM 1TB hard disk, LED monitor 18.5",ATX case w/ PSU, DVD Writer, mouse, keyboard, speaker, UPS </t>
  </si>
  <si>
    <t xml:space="preserve"> Supply and Delivery of Ordinary Earth Filling Materials at Cagba, Tugbo, Masbate City, Masbate</t>
  </si>
  <si>
    <t xml:space="preserve"> Surgical brush with betadine soap									50	pc Smack Gown													24	pc Cotton Strand Suture 											5	pc Chromic 0, round												72	pc Chromic 0, cutting												72	pc Chromic 2-0, round with round needle									600	pc Chromic 2-0, cuttin</t>
  </si>
  <si>
    <t xml:space="preserve"> June 29, 2020 	 INVITATION TO BID Reference No. 7075065 / Solicitation No. 2020/06/062 	The City Government of Tagum invites interested Bidders/Suppliers to submit for eligibility and to bid for the following: MATERIALS FOR REHABILITATION/CONSTRUCTION OF </t>
  </si>
  <si>
    <t xml:space="preserve"> 1.	The Municipal Government of Coron, Palawan, through the 2020 Annual Municipal Budget intends to apply the sum of Three Hundred Fifty Thousand Pesos (PhP350,000.00) being the Approved Budget for the Contract (ABC) to payments under the contract for Supp</t>
  </si>
  <si>
    <t xml:space="preserve"> Description The LGU-MAYANTOC, through its Bids and awards committee (BAC) invites contractors registered with and classified by the PHILGEPS to apply for the eligibility and found eligible, to bid for the here under contract: 	 NAME OF PROJECT:PURCHASE &amp; </t>
  </si>
  <si>
    <t xml:space="preserve"> Item No.	Unit	DESCRIPTION				Qty 						 1	Pc.	Tables (Office Table)				2</t>
  </si>
  <si>
    <t xml:space="preserve"> INVITATION TO BID The Department of Public Works and Highways - Pampanga 1st District Engineering Office, through its Bids and Awards Committee (BAC), invites contractors to submit bids for the following Contract: 1.	 Procurement ID/Contract ID	:	20CG0178</t>
  </si>
  <si>
    <t xml:space="preserve"> Bicol Medical Center Concepcion Pequeña, Naga City, 4400 (0998-247-0239/0906-256-9238          E-mail Address: bmc.bacoffice@gmail.com INIVITATION TO BID PROCUREMENT OF ORTHO INSTRUMENTS &amp; EQUIPMENT ITB No. 2020-17 1.	The BICOL MEDICAL CENTER, through SA-</t>
  </si>
  <si>
    <t xml:space="preserve"> The Municipality of Limay, through its Bids and Awards Committee (BAC) invites registered contractors to apply for eligibility and if found eligible, to bid for the hereunder project/contract: Project/Contract:     CONSTRUCTION OF TWO (2) STOREY, FOUR (4)</t>
  </si>
  <si>
    <t xml:space="preserve"> Republic of the Philippines DEPARTMENT OF PUBLIC WORKS AND HIGHWAYS CAMARINES SUR SECOND DISTRICT ENGINEERING OFFICE Regional Office V Baras, Canaman, Camarines Sur INVITATION TO BID FOR  20FE0129 – CONSTRUCTION OF CLASSROOMS, ODOC ES, LIBMANAN, CAMARINES</t>
  </si>
  <si>
    <t xml:space="preserve"> Republic of the Philippines Province of Nueva Vizcaya Municipality of Bagabag BARANGAY PANIKI INVITATION TO BID: SUPPLY AND DELIVERY OF MATERIALS AND LABOR  FOR THE IMPROVEMENT  OF MT. KELLEB ROAD (FTM)  Paniki ,  Bagabag, Nueva Vizcaya 1.	The Local Gover</t>
  </si>
  <si>
    <t xml:space="preserve"> Inkjet, Photo glossy paper, A4, 20's									19	pack Steel Document Tray, 3 layers										3	pcs Toner Kit TK 1147 (Kyocera)										7	tube PVC Cover Long 225 mic											6	pack PVC Binding Film, Legal, 217 mm x 331 mm, 100's						6	pack Arch File lon</t>
  </si>
  <si>
    <t xml:space="preserve"> Republic of the Philippines DEPARTMENT OF PUBLIC WORKS AND HIGHWAYS DAVAO DEL NORTE DISTRICT ENGINEERING OFFICE Region XI Tagum City Page 1 of 5 DPWH-INFRA-04-2016 INVITATION TO BID No. 2020-016 The Department of Public Works and Highways -Davao del Norte</t>
  </si>
  <si>
    <t xml:space="preserve"> SCOPE OF WORKS: I. EARTHWORKS: II. FORMS &amp; SCAFFOLDING: III. CARPENTRY WORKS: IV.  CONCRETE, MASONRY WORKS &amp; STEEL REINF.:  V.   ROOFING WORKS &amp; STEEL TRUSS FABRICATION  VI. TILE WORKS: VII. SPECIAL ITEM(ACCESSORIES) VIII. PLUMBING WORKS:  IX.   PAITING W</t>
  </si>
  <si>
    <t xml:space="preserve"> Republic of the Philippines					 Province of Bukidnon					 Municipality of Lantapan					 					 INVITATION TO BID FOR THE CONCRETING OF					 BARANGAY ROADS AT P3 BALILA (2nd Bid)					 					 1	The Local Government Unit of Lantapan through the 20% LDF for CY</t>
  </si>
  <si>
    <t xml:space="preserve"> 25	bags	Feeds, starter, 50kg.bag	 ₱1,600.00  25	bags	Feeds, grower, 50kg/bag	 ₱1,600.00  25	bags	Corn Grits, 50kg/bag	 ₱1,300.00  25	pieces	Chicken Feeder, plastic, lightweight, durable, hanging	 ₱200.00  20	sachet	Multivitamins, powder for chicken, 5g/sa</t>
  </si>
  <si>
    <t xml:space="preserve"> Brand Approved Budget Contract per Item Name and Description of the Article / sUnitQTY.ITEM NO. P.R. No. :City Social Welfare and Development Office 2020-03-1989 Date: 03/23/2020 Date: 200,000.00 LAPTOP (WITH COMPLETE ACCESSORIES PLUS CARRYING CASE) SPECI</t>
  </si>
  <si>
    <t xml:space="preserve"> Section I. Invitation to Bid Republic of the Philippines Province of Bukidnon MUNICIPALITY OF TALAKAG Invitation to Bid for Procurement of Construction Materials  (For Construction of RCA, Basak, Dagundalahon, Lantud, Lirongan, San Rafael, Liguron) 1.	The</t>
  </si>
  <si>
    <t xml:space="preserve"> 1 job Furnishing of Labor and Materials of Cold Storage Doors</t>
  </si>
  <si>
    <t xml:space="preserve"> MEALS AT THE ISOLATION UNIT</t>
  </si>
  <si>
    <t xml:space="preserve"> Disp. Syringe 1 cc 100's/box									30	box Disp. Syringe 3 cc 100's/box									30	box Disp. Syringe 5 cc 100's/box									30	box Digital Thermometer 											25	pc ECG Paper  112MM x 2, 5's										10	box Surgical Facemask 50's										40	box Facem</t>
  </si>
  <si>
    <t xml:space="preserve"> INVITATION TO BID SUPPLY, DELIVERY, INSTALLATION, TESTING AND COMMISSIONING OF SOLID WASTE MANAGEMENT EQUIPMENT CONSISTING OF FIVE (5) LOTS OF BRAND-NEW SET OF PLASTIC RECYCLING EQUIPMENT WITH BRAND NEW PLASTIC CHAIR MOLDS FOR THE DEPARTMENT OF ENVIRONMEN</t>
  </si>
  <si>
    <t xml:space="preserve"> 203 sacks of Rice (in % kilos packs or 10 kilos pack per sack</t>
  </si>
  <si>
    <t xml:space="preserve"> Specifications: 1. Light Type: Indoor Ceiling Lights; 2. Light Features: 3-way, Color-Changing, Dimmable; 3. Energy Saving; and 4. Model: Ceiling Light Fan. Note:  a. Supplier must provide pertinent documents such as PhilGEPS registration, Mayor's Permit,</t>
  </si>
  <si>
    <t xml:space="preserve"> IMPROVMENT OF DIALYSIS ROOM, OBS, PALIWAS, OBANDO, BULACAN</t>
  </si>
  <si>
    <t xml:space="preserve"> 20% EDF CY 2020 Repair &amp; Maintenance of Multi-Purpose Bldg. - P 70,000.00 Schedule of Activities 1. Submission &amp; Receipt of Bids / Bid Opening - July 21, 2020 @ 3:00 PM 2. Bid Evaluation - July 22, 2020 3. Post Qualification - July 23, 2020 4. Approval of</t>
  </si>
  <si>
    <t xml:space="preserve"> INVITATION TO BID FOR THE SUPPLY &amp; DELIVERY OF FOOD SUBSIDY FOR INMATES OF MUNTINLUPA CITY 1.	The City Government of Muntinlupa, through its duly-approved Executive Budget for 2020 intends to apply the sum of Four Million Three Hundred Twenty Seven Thousa</t>
  </si>
  <si>
    <t xml:space="preserve"> Republic of the Philippines					 MUNICIPALITY OF MARIHATAG					 SURIGAO DEL SUR					 	oOo-				 Bids and Awards Committee					 					 REQUEST FOR QUOTATION					 					 		       Date: June 29, 2020			 		       Quotation No.363-2020			 ________________________</t>
  </si>
  <si>
    <t xml:space="preserve"> UPGRADING/CONCRETING OF ROAD M. SANTIAGO ST. (J.P. RIZAL-RHU-MARKET SECTION)</t>
  </si>
  <si>
    <t xml:space="preserve"> INVITATION TO BID FOR THE SUPPLY &amp; DELIVERY OF  VARIOUS MATERIALS FOR CONSOLIDATED PROJECT AT DIST. 1 &amp; 2, MUNTINLUPA CITY 1.	The City Government of Muntinlupa, through its duly-approved Executive Budget for 2020 intends to apply the sum of One Million Th</t>
  </si>
  <si>
    <t xml:space="preserve"> SUPPLY AND DELIVERY OF GINGER RHIZOMES</t>
  </si>
  <si>
    <t xml:space="preserve"> June 29, 2020 	 INVITATION TO BID Reference No.  7075177 / Solicitation No. 2020/06/064 	The City Government of Tagum invites interested Bidders/Suppliers to submit for eligibility and to bid for the following: MATERIALS FOR REHABILITATION/CONSTRUCTION OF</t>
  </si>
  <si>
    <t xml:space="preserve"> 1 unit Mechanical compression crimping tool 1 unit Ratchet type wire puller with come along wire grip</t>
  </si>
  <si>
    <t xml:space="preserve"> Republic of the Philippines Department of Justice BUREAU OF CORRECTIONS SAN RAMON PRISON AND PENAL FARM Zamboanga City Request for Quotation The San Ramon Prison And Penal Farm, through its Bids and Awards Committee, request your lowest quotation of Const</t>
  </si>
  <si>
    <t xml:space="preserve"> CONSTRUCTION/ IMPROVEMENT OF MULTI-PURPOSE BUILDING, POBLACION, MAWAB, DAVAO DE ORO- Purchase Request No.2020-06-106</t>
  </si>
  <si>
    <t xml:space="preserve"> Republic of the Philippines Province of Nueva Vizcaya Municipality of Bagabag BARANGAY PANIKI INVITATION TO BID: SUPPLY AND DELIVERY OF MATERIALS AND LABOR  FOR THE  CONSTRUCTION OF DRAIANAGE CANAL ALONG PROVINCIAL ROAD OF PUROK 3 BARANGAY PANIKI BAGABAG </t>
  </si>
  <si>
    <t xml:space="preserve"> 1 job Fabrication of hand Brake Flanged hub 1 job Fabrication of propeller Flanged Hub 1 pc Ball Bearing 6305 1 set carbon Brush 2 mtrs Fuel Filter</t>
  </si>
  <si>
    <t xml:space="preserve"> Republic of the Philippines Municipality of Nabunturan Barangay Anislagan Invitation to Bid for CONSTRUCTION OF BARAY  INDOANAN SANG KATIGMAN NANG MANSAKA 1. The Barangay Council of Anislagan, Nabunturan Davao de Oro, through the  Department of Social Wel</t>
  </si>
  <si>
    <t xml:space="preserve"> 20% EDF CY 2020 Construction of Barangay Road-Purok 1 - P 100,000.00 Construction of Barangay Road-Purok 1 - p 200,000.00 Schedule of Activities 1. Submission &amp; Receipt of Bids / Bid Opening - July 21, 2020 @ 10:00 AM 2. Bid Evaluation - July 22, 2020 3. </t>
  </si>
  <si>
    <t xml:space="preserve"> SUPPLY AND DELIVERY OF HARDWARE MATERIALS</t>
  </si>
  <si>
    <t xml:space="preserve"> REHABILITATION OF MDRRMO OPERATION CENTER             ( GARRAGE)- Purchase Request No.2020-06-108</t>
  </si>
  <si>
    <t xml:space="preserve"> Republic of the Philippines Province of Samar BIDS AND AWARD COMMITTEE Negotiated Procurement SUPPLY AND DELIVERY OF Electrical and Plumbing Supplies  Solicitation No. 110012022019 			            Source of Fund. Trust Fund Approved Budget for the Contract</t>
  </si>
  <si>
    <t xml:space="preserve"> 20% EDF CY 2020 Construction of River Dike - P 154,831.00 Schedule of Activities 1. Submission &amp; Receipt of Bids / Bid Opening - July 21, 2020 @ 3:00 PM 2. Bid Evaluation - July 22, 2020 3. Post Qualification - July 23, 2020 4. Approval of Resolution/Issu</t>
  </si>
  <si>
    <t xml:space="preserve"> Complete Construction of (9.50m x 32.0m) Two (2) Storey; Six Classroom School Building mostly built with concrete masonry, with PWD ramp with handrails, parapet wall on concrete gutter and complete with electrical works, sanitary/plumbing works, ventilati</t>
  </si>
  <si>
    <t xml:space="preserve"> Republic of the Philippines DEPARTMENT OF PUBLIC WORKS AND HIGHWAYS CAMARINES SUR SECOND DISTRICT ENGINEERING OFFICE Regional Office V Baras, Canaman, Camarines Sur INVITATION TO BID FOR  20FE0130 – CONSTRUCTION OF CLASSROOMS, SALVACION ES, LIBMANAN, CAMA</t>
  </si>
  <si>
    <t xml:space="preserve"> INVITATION TO BID FOR  1.	The Municipal Government of Coron, Palawan, through the 2020 Annual Municipal Budget intends to apply the sum of One Million Two Hundred Thousand Pesos (PhP1,200,000.00) being the Approved Budget for the Contract (ABC) to payment</t>
  </si>
  <si>
    <t xml:space="preserve"> INVITATION TO BID  No. 2020-016 The Department of Public Works and Highways -Davao del Norte District Engineering Office, Tagum City, Davao del Norte, through its Bids and Awards Committee (BAC), invites contractors to submit bids for the following Contra</t>
  </si>
  <si>
    <t xml:space="preserve"> PURCHASE OF TIRE FOR REPAIR AND MAINTENANCE OF  GRADER MG 331- Purchase Request No.2020-06-137</t>
  </si>
  <si>
    <t xml:space="preserve"> Republic of the Philippines Province of Isabela MUNICIPALITY OF DELFIN ALBANO delfinalbano_gc@yahoo.com/gcdelfinalbanoisabela@yahoo.com BIDS AND AWARDS COMMITTEE Invitation to Bid for the Repair/Renovation of Delfin Albano Memorial Hospital BID REFFERENCE</t>
  </si>
  <si>
    <t xml:space="preserve"> Republic of the Philippines DEPARTMENT OF PUBLIC WORKS AND HIGHWAYS REGIONAL OFFICE VIII Baras, Palo, Leyte    INVITATION TO BID No. 2020-06-003 June 26, 2020 1.	The Department of Public Works and Highways Regional Office VIII, Baras, Palo, Leyte, through</t>
  </si>
  <si>
    <t xml:space="preserve"> Republic of the Philippines  DEPARTMENT OF PUBLIC WORKS AND HIGHWAYS MISAMIS ORIENTAL 2nd DISTRICT ENGINEERING OFFICE Region X Balase Street, El Salvador City INVITATION TO BID The Misamis Oriental 2nd District Engineering Office, through its Bids and Awa</t>
  </si>
  <si>
    <t xml:space="preserve"> Invitation to Bid for the Upgrading of Brgy. Dulangan Road 1.	The Municipal Government of Puerto Galera, through the DILG-LGSF-AM FY 2020 intends to apply the sum of Four Million Seven Hundred Ninety-Nine Thousand Seventy-Four Pesos &amp; Sixty-Nine Centavos </t>
  </si>
  <si>
    <t xml:space="preserve"> HOSPITAL BEDS           4 PCS</t>
  </si>
  <si>
    <t xml:space="preserve"> 1	Lot	Supply of labor and materials in the Installation Office Partitions with Accessories, CON Lounge, 4/f ETC Building.			 405,750.00  		 			 		Note: Please see attached Scope of Work and Working Drawings sheets A1 &amp; A2			 		 	 		 		Estimated number of </t>
  </si>
  <si>
    <t xml:space="preserve"> ITEM NO. P.R. No. :City Engineer's Office 2020-03-1991 Date: 03/23/2020 Date: 44,160.0012mm thk x 4ft x 8ft M.S. Plateplate31 2,944.003mm thk x 1 1/2'' x 1 1/2'' x 6m Angle barpcs52 1,217.70welding rodkgs113 2,242.30acetylene  (content only)set1</t>
  </si>
  <si>
    <t xml:space="preserve"> LCWD-2020-052 dtd. 06-24-20 20 KVA Generator Set     LCWD Warehouse INVITATION TO BID FOR 20 KVA Generator Set PR No. &amp; Date : 2020-063 dated June 11, 2020 Reference No. &amp; Date : __________ 		 1.	The LEGAZPI CITY WATER DISTRICT, through the 2020 Corporate</t>
  </si>
  <si>
    <t xml:space="preserve"> Republic of the Philippines Province of Isabela MUNICIPALITY OF DELFIN ALBANO delfinalbano_gc@yahoo.com/gcdelfinalbanoisabela@yahoo.com BIDS AND AWARDS COMMITTEE Invitation to Bid for the Repair/Renovation of Rural Health Unit Building BID REFFERENCE NO.:</t>
  </si>
  <si>
    <t xml:space="preserve"> INVITATION TO BID IB NO: 2020-07-20 (14) PROCUREMENT OF MEDICAL EQUIPMENT FOR OPERATING ROOM 1. 	The Caraga Regional Hospital (CRH), through the General Appropriation Act /  HEALTH FACILITIES ENHANCEMENT PROGRAM (HFEP) 2020 intends to apply the sum of FOU</t>
  </si>
  <si>
    <t xml:space="preserve"> 20% EDF CY 2020 Installation of Solar Power System - P 154,831.00 Schedule of Activities 1. Submission &amp; Receipt of Bids / Bid Opening - July 21, 2020 @ 10:00 AM 2. Bid Evaluation - July 22, 2020 3. Post Qualification - July 23, 2020 4. Approval of Resolu</t>
  </si>
  <si>
    <t xml:space="preserve"> Republic of the Philippines					 Province of Bukidnon					 Municipality of Lantapan					 					 INVITATION TO BID FOR THE SUPPLY &amp; INSTALLATION OF STREET					 LIGHTS IN VARIOUS PUROKS, BARANGAYS AND SITIOS [1ST BID]					 					 1	The Local Government Unit o</t>
  </si>
  <si>
    <t xml:space="preserve"> 431 Bags Cement 21 cu.m. Sand 42 cu.m. Gravel 485 pcs. 10mm Ø def. bars 40 pcs. Marine Plywood ¼” 2 pcs. Marine Plywood ½” 2000 bdft. 500-2” x 3” x8’ Coco Lumber 20 kls. C.W. Nails #4” 3 kls C.W. Nails #3” 5 kls. C.W. Nails #1 ½” 30 kls. Tie Wire #16 12 p</t>
  </si>
  <si>
    <t xml:space="preserve"> PURCHASE OF BASED  DISASTER AND EMERGENCY MONITORING  SYSTEM (CCTV AND PUBLIC ADDRESS SYSTEM)- Purchase Request No.2020-06-127</t>
  </si>
  <si>
    <t xml:space="preserve"> Republic of the Philippines DEPARTMENT OF PUBLIC WORKS AND HIGHWAYS CAMARINES SUR SECOND DISTRICT ENGINEERING OFFICE Regional Office V Baras, Canaman, Camarines Sur INVITATION TO BID FOR  20FE0131 – CONSTRUCTION OF CLASSROOMS, BAGAMELON ES, LIBMANAN, CAMA</t>
  </si>
  <si>
    <t xml:space="preserve"> Republic of the Philippines Province of Bulacan Municipality of Angat 			 INVITATION TO BID The Municipality of Angat, through the Bids and Awards Committee (BAC), invites suppliers/manufacturers/distributors/contractors to apply for eligibility and to Bi</t>
  </si>
  <si>
    <t xml:space="preserve"> The Local  Government   Unit  of General  Santos  City, through  the  GENERAL FUND CY 2020  intends  to apply  the sum of three hundred twenty five thousand nine hundred and xx / 100 Pesos Only (325,900.00)   being  the Approved  Budget  for the Contract </t>
  </si>
  <si>
    <t xml:space="preserve"> INVITATION TO BID SUPPLY, DELIVERY, INSTALLATION, TESTING AND COMMISSIONING OF EIGHT (8) LOTS SOLID WASTE MANAGEMENT EQUIPMENT CONSISTING OF BRAND NEW BIODEGRADABLE WASTE SHREDDER AND BRAND NEW COMPOSTER FOR THE DEPARTMENT OF ENVIRONMENT AND NATURAL RESOU</t>
  </si>
  <si>
    <t xml:space="preserve"> Supply and Delivery -One (1) Unit Farm Tractor with complete accessories: &gt; Engine-Horse power:36 &gt; Direct Injection, vertical, water-cooled 4-cylinder &gt; Displacement: 1647 (100 47)CC &gt; bORE x sTROKE: 87X 92 4MM &gt; Transmission: Gear shift,8 forward and Re</t>
  </si>
  <si>
    <t xml:space="preserve"> Invitation to Bid to all Supplier/Contractor duly a Accredited by the City Council of Manila to Supply and deliver the Following items provided hereunder, to wit; 4	rms	Bond Paper A4 4	rms	Bond Paper, Short 4	rms	Bond Paper,Long 5	pcs	Envelope w/garter 20</t>
  </si>
  <si>
    <t xml:space="preserve"> Brand Approved Budget Contract per Item Name and Description of the Article / sUnitQTY.ITEM NO. P.R. No. :City Administrator's Office 2020-05-2302 Date: 05/07/2020 Date: 80,000.00 CAMERA: High-End ; Mirrorless EOS M200 FULL SPECIFICATIONS and FEATURES Foc</t>
  </si>
  <si>
    <t xml:space="preserve"> SEE SPECIFICATIONS</t>
  </si>
  <si>
    <t xml:space="preserve"> (see bidding documents and other supporting papers in the associated component for further project details)</t>
  </si>
  <si>
    <t xml:space="preserve"> BAC RESOLUTION NO. 313-2020</t>
  </si>
  <si>
    <t xml:space="preserve"> I. Excavation,Hauling,Chipping of Concrete,Clearing &amp; lay-out. II. CHB Laying w/ Plaster Finish III. Concrete Works IV. Iron and Steel Works. V. Progress Photograph</t>
  </si>
  <si>
    <t xml:space="preserve"> Republic of the Philippines Province of Samar BIDS AND AWARD COMMITTEE Negotiated Procurement SUPPLY AND DELIVERY OF Medical Equipment  Solicitation No. 110012032019 			            Source of Fund. Trust Fund Approved Budget for the Contract:  PhP546,000.0</t>
  </si>
  <si>
    <t xml:space="preserve"> Invitation to Bid CY 2020 QRF REPAIR AND REHABILITATION OF CLASSROOMS LOT 2 – USON ES, CAIBIRAN DISTRICT 2 (2020 QRF REPAIR – Lot 2-5CL) 1.	The DepEd, SDO-Biliran through the CY 2020 QRF – Repair and Rehabilitation of Classrooms  intends to apply the sum </t>
  </si>
  <si>
    <t xml:space="preserve"> Invitation to Bid CY 2020 QRF REPAIR AND REHABILITATION OF CLASSROOMS LOT 1 – CANILA ES, BILIRAN DISTRICT (2020 QRF REPAIR – Lot 1-3CL) 1.	The DepEd, SDO-Biliran through the CY 2020 QRF – Repair and Rehabilitation of Classrooms  intends to apply the sum o</t>
  </si>
  <si>
    <t xml:space="preserve"> SUBMERSIBLE PUMP AND MOTOR SET, 40 HP Complete with motor controls, submersible cable, column pipes, discharge elbow, discharge piping to include flow meter, valves and fittings and other accessories and appurtenances as specified herein.  One (1) unit o</t>
  </si>
  <si>
    <t xml:space="preserve"> Republic of the Philippines Batangas City Invitation to Apply for Eligibility and to Bid The Barangay Government of Barangay Libjo, Batangas City intends to apply the sum of One Hundred Fifty Thousand Pesos Only (Php 150,000.00) broken down as follow: ITE</t>
  </si>
  <si>
    <t xml:space="preserve"> Republic of the Philippines Province of Davao Oriental City of Mati BIDS &amp; AWARDS COMMITTEE INVITATION TO BID Procurement BY LOT of Various Filters, Oil and Lubricants for Use of 79 Units Light and Heavy Equipment SOURCE OF FUND: 20% LGDF [8000A-300-1-07-</t>
  </si>
  <si>
    <t xml:space="preserve"> 20% EDF CY 2020 Construction of Pathwalk - Purok 1 - P 406,415.00 Schedule of Activities 1. Submission &amp; Receipt of Bids / Bid Opening - July 21, 2020 @ 10:00 AM 2. Bid Evaluation - July 22, 2020 3. Post Qualification - July 23, 2020 4. Approval of Resolu</t>
  </si>
  <si>
    <t xml:space="preserve"> Brand Approved Budget Contract per Item Name and Description of the Article / sUnitQTY.ITEM NO. P.R. No. :City Mayor's Office 2020-06-2490 Date: 06/15/2020 Date: 110,000.00 LAPTOP (WITH COMPLETE ACCESSORIES PLUS CARRYING CASE) Specification: Intel Core i7</t>
  </si>
  <si>
    <t xml:space="preserve"> Section I. Invitation to Bid Republic of the Philippines Province of Bukidnon MUNICIPALITY OF TALAKAG Invitation to Bid for  Construction of Potable Deepwell Water Supply   Phase II – Market Site, San Isidro 1.	The Municipality of Talakag, through the 8-9</t>
  </si>
  <si>
    <t xml:space="preserve"> Continuation of Rehab of St. Agustin Road Item No.	Quantity	Unit	Description			 1	200	bags	Portland Cement 40kg			 2	21	cu.m.	Sand			 3	25	cu.m.	Gravel			 4	96	bd.ft.	16pcs. 1 x 6 x 12 Coco Lumber			 5	10	kgs	CWN, #2</t>
  </si>
  <si>
    <t xml:space="preserve"> The Local  Government   Unit  of General  Santos  City, through  the  GENERAL FUND CY 2020  intends  to apply  the sum of two hundred forty eight thousand nine hundred five and xx / 100 Pesos Only (248,905.00)   being  the Approved  Budget  for the Contra</t>
  </si>
  <si>
    <t xml:space="preserve"> 20GID0021	PR No.: 20-02-0014 Dated 02/12/2020	Supply and Delivery of Bituminous Asphalt Mix (Item 310) for use in the Maintenance of National Roads and Bridges within the District    	985,600.00	15 CD Mode of Procurement: Alternative Method of Procurement</t>
  </si>
  <si>
    <t xml:space="preserve"> Republic of the Philippines						 Province of Bukidnon						 Municipality of Lantapan						 						 INVITATION TO BID FOR THE SUPPLY &amp; INSTALLATION OF STREET LIGHTS						 AT POBLACION, BALILA HIGHWAY ROAD AND P-3 &amp; P-5 BALILA (1ST BID)						 						 1	The L</t>
  </si>
  <si>
    <t xml:space="preserve"> 500	heads	"Chicks, range, 350-400grams,1 month old Delivery Site: 300 heads for KALINGA 200 heads for BAGUIO CITY"	 ₱175.00</t>
  </si>
  <si>
    <t xml:space="preserve"> Republic of the Philippines													 City of San Carlos													 Negros Occidental													 													 INVITATION TO BID											FOR SALE	 			PURCHASE REQUEST NO: 1-20-06-0748				P 995.00	 Sealed bids for quotation of prices will be recei</t>
  </si>
  <si>
    <t xml:space="preserve"> ITEM NO. P.R. No. :City Veterinary Office 2020-04-2119 Date: 04/03/2020 Date: 20,000.00 PRINTER, Multifunction Printer LaserJet Pro MFP M227fdw, Print, copy, scan, fax, wireless Print speed letter: Up to 30 ppm (black) Auto duplex printing; 250-sheet inpu</t>
  </si>
  <si>
    <t xml:space="preserve"> The Local  Government   Unit  of General  Santos  City, through  the  GENERAL FUND CY 2020  intends  to apply  the sum of twenty five thousand and xx / 100 Pesos Only (25,000.00)   being  the Approved  Budget  for the Contract   (ABC) to payments  under  </t>
  </si>
  <si>
    <t xml:space="preserve"> 1	Lot	Supply  of labor and materials in the Renovation of CSM Library, 3/F CSM Building			 344,600.00  		 			 		Note: Please see attached Scope of Work and Working Drawings sheets A1 &amp; A5. &amp; E1 to E2.			 		 	 		 		Estimated number of Days of Completion: 3</t>
  </si>
  <si>
    <t xml:space="preserve"> Invitation to Bid ITB-SSS-Goods-2020-020 VARIOUS PROJECTS AT SSS BRANCH OFFICES Approved Budget for the Contract (ABC)     : Lot 1 -  Rehabilitation of Fire Detection and Alarm System of SSS Baguio Branch P 1,868,445.32 Lot 2 -  Total Replacement of the S</t>
  </si>
  <si>
    <t xml:space="preserve"> INVITATION TO BID SUPPLY AND DELIVERY OF ONE (1) UNIT DB COMPRESSOR FOR RESPONSE OPERATIONS – 2ND BIDDING 1.	The Local Government Unit of Cabadbaran City through the DRRM FUND intends to apply the sum of TWO HUNDRED FORTY-SEVEN THOUSAND FOUR HUNDRED FIFTY</t>
  </si>
  <si>
    <t xml:space="preserve"> ITEM NO. P.R. No. :City General Services Office 2020-03-1801 Date: 03/10/2020 Date: 9,920.00Portland Cementbags321 2,400.00washed coarsed sandcu.m.22 5,200.00washed gravelcu.m.43 2,304.0012mmx6m,deformed barlenghts84 7,164.0010mmx6m,deformed barlenghts365</t>
  </si>
  <si>
    <t xml:space="preserve"> The Barangay San Gabriel Council, through the approved budget for the year 2020, intends to apply the sum of P 854,409.60 being the approved budget (as 20% Development Funds) for the contract to payments under the contract for the SUPPLY, DELIVERY AND INS</t>
  </si>
  <si>
    <t xml:space="preserve"> Brand Approved Budget Contract per Item Name and Description of the Article / sUnitQTY.ITEM NO. P.R. No. :CADO-Economic Enterprise Unit 2020-05-2378 Date: 05/13/2020 Date: 4,545.00roofing paint, whitegals51 4,407.75epoxy metal primer, graygals52 13,466.25</t>
  </si>
  <si>
    <t xml:space="preserve"> Invitation to Bid CY 2020 QRF REPAIR AND REHABILITATION OF CLASSROOMS LOT 3 – ACABAN ES, CULABA DISTRICT  (2020 QRF REPAIR – Lot 3) 1.	The DepEd, SDO-Biliran through the CY 2020 QRF – Repair and Rehabilitation of Classrooms  intends to apply the sum of ON</t>
  </si>
  <si>
    <t xml:space="preserve"> 1. 360 Bd.ft. Lumber, 2x2x12 (90pcs) 2. 360 Bd.ft. Lumber, 2x3x12 (60pcs)</t>
  </si>
  <si>
    <t xml:space="preserve"> Revised on: July 28, 2004 INVITATION TO APPLY FOR ELIGIBILITY AND TO BID The Local Government Unit of Catanauan, Quezon, through its Bids and Awards Committee (BAC), invites suppliers/manufacturers/distributors/contractors to apply for eligibility and to </t>
  </si>
  <si>
    <t xml:space="preserve"> 1.	420	bags.	Cement 2.	240	lgth.	DRB, 12mmDiax6m 3.	10	pcs.	Hacksaw Blade 4.	15	kls.	Tie Wire GI #16” 5.	12	kls.	CW Nails #4”</t>
  </si>
  <si>
    <t xml:space="preserve"> Description The LGU-MAYANTOC, through its Bids and awards committee (BAC) invites contractors registered with and classified by the PHILGEPS to apply for the eligibility and found eligible, to bid for the here under contract: 	 NAME OF PROJECT:REPAIR OF T</t>
  </si>
  <si>
    <t xml:space="preserve"> Republic of the Philippines					 Province of Bukidnon					 Municipality of Lantapan					 					 INVITATION TO BID FOR THE ROAD CONCRETING AT					 MUNICIPAL MARKET EXTENSION (1st Bid)					 					 1	The Local Government Unit of Lantapan through the Trust Fund</t>
  </si>
  <si>
    <t xml:space="preserve"> INVITATION TO BID FOR THE  SUPPLY &amp; DELIVERY OF ID CARD PRINTER &amp; ACCESSORIES OFFICE OF THE MUNICIPAL MAYOR, BUENAVISTA, QUEZON 1.	The Municipal Government of Buenavista, Quezon, through its General Fund intends to apply the sum of One Hundred Eighty One </t>
  </si>
  <si>
    <t xml:space="preserve"> 220	box	Face mask, earloop, 50s, premium series, medical grade, bacterial filtration efficiency (BFE) is greater than 99%, 3-ply, latex free, fluid resistant	 ₱604.00   200	box	Gloves, nitrile latex, blue, large, powder-free 100s	 ₱250.50  200	box	Gloves,</t>
  </si>
  <si>
    <t xml:space="preserve"> 1	Lot	Supply of labor and materials in the Renovation of OVCAF Conference Room, 2/F Administration Building. 			 269,000.00  		 			 		Note: Please see attached Scope of Work and Working Drawings sheets A1 &amp; A5.			 		 	 		 		Estimated number of Days of Com</t>
  </si>
  <si>
    <t xml:space="preserve"> Brand Approved Budget Contract per Item Name and Description of the Article / sUnitQTY.ITEM NO. P.R. No. :City Engineer's Office 2020-02-1448 Date: 02/05/2020 Date: 4,961.25Portland Cementbags151 1,300.00Washed Coarse Sandcu.m12 2,800.00Washed Gravelcu.m2</t>
  </si>
  <si>
    <t xml:space="preserve"> SUPPLY AND DELIVERY OF MATERIALS AND SUPPLIES FOR THE  INSTALLATION OF SPORTS FACILITIES  1.	The MUNICIPALITY OF BAYABAS, through the 20% Development  Fund 2020 and its Continuing Appropriation intends to apply the sum of One Hundred Sixteen Thousand Thre</t>
  </si>
  <si>
    <t xml:space="preserve"> 1. 400 ltrs. Diesel</t>
  </si>
  <si>
    <t xml:space="preserve"> INVITATION TO BID Bid No. B-92-2020(*REBIDDING)  1.	The Provincial Government of Negros Oriental now invites bids for the rebidding of the following requirements, viz: 	Project Name:	Source of Fund:	ABC: Project Name 1	Six (6) Lots Construction Materials </t>
  </si>
  <si>
    <t xml:space="preserve"> INVITATION TO BID SUPPLY AND DELIVERY OF 68 UNITS TRIBIKE WITH ACCESSORIES – 2ND BIDDING 1.	The Local Government Unit of Cabadbaran City through the GENERAL FUND (CAPITAL OUTLAY-EPMD) intends to apply the sum of ONE MILLION FOUR HUNDRED NINETY-SIX THOUSAN</t>
  </si>
  <si>
    <t xml:space="preserve"> ITEMS OF WORK INCLUDES: - SITE PREPARATION (LEVELING, EXCAVATION) - FORMWORKS - CONCRETE FOOT TRAIL - HANDRAILS - REPAIR OF HANGING BRIDGE - MANUAL HAULING</t>
  </si>
  <si>
    <t xml:space="preserve"> Republic of the Philippines								 Province of Negros Occidental								 Municipality of La Castellana								 Bids and Awards Committee								 								 INVITATION TO APPLY FOR ELIGIBILITY AND TO BID								 								 Name of Project: 		PROPOSED BARANGAY</t>
  </si>
  <si>
    <t xml:space="preserve"> Republic of the Philippnes				 PROVINCE OF APAYAO	PROVINCE OF APAYAO			 Provincial Government Center	Provincial Government Center, San Isidro Sur			 San Isidro Sur, Luna, Apayao	LUNA, APAYAO			 				 PROVINCIAL BIDS AND AWARD COMMITTEE-INFRA				 				 INVIT</t>
  </si>
  <si>
    <t xml:space="preserve"> Invitation to Bid for CONSTRUCTIONOF POWER HOUSE WITH TRANSFORMER PAD  ITB No.: 2020-004 1.	The DOH-Treatment and Rehabilitation Center-Bataan, through the Trust Receipt from DDB intends to apply the sum of Four Million Three Hundred Ninety-One Thousand P</t>
  </si>
  <si>
    <t xml:space="preserve"> INVITATION TO BID SUPPLY AND DELIVERY OF GARBAGE BINS FOR WASTE SEGREGATION / DISPOSAL PROGRAM – 2ND BIDDING 1.	The Local Government Unit of Cabadbaran City through the GENERAL FUND intends to apply the sum of ONE MILLION PESOS ONLY (P 1,000,000.00) being</t>
  </si>
  <si>
    <t xml:space="preserve"> Invitation to Bid CY 2020 QRF REPAIR AND REHABILITATION OF CLASSROOMS LOT 5 – LARRAZABAL ES, NAVAL DISTRICT 3  (2020 QRF REPAIR – Lot 5-7CL) 1.	The DepEd, SDO-Biliran through the CY 2020 QRF – Repair and Rehabilitation of Classrooms  intends to apply the </t>
  </si>
  <si>
    <t xml:space="preserve"> ITEM OF WORKS TO BE DONE INCLUDES: -Site Preparation (leveling, excavation) -Reinforcing Steel Works -Formworks -Reinforced Concrete Canal -Structural Concrete (Parapet wall included) -Grouted Riprap -Concrete Shoulder</t>
  </si>
  <si>
    <t xml:space="preserve"> 58	cover	Dinner- pork sinigang, vegetables, rice and dessert	 ₱250.00  58	pax	Lodging	 ₱450.00  116	cover	Breakfast- longganisa, scrambled egg, fried rice, banana, brewed coffee	 ₱150.00  116	cover	AM Snacks- sanwich &amp; buko juice	 ₱100.00  116	cover	Lunch</t>
  </si>
  <si>
    <t xml:space="preserve"> 7	trips	"Vehicle Rentals -4 seaters, good for off road use Inclusive of fuel, toll fee and driver's meal and accommodation Inclusive of comprehensive insurance coverage (CIC),  and Auto Passenger Insurance Coverage (APIC). Schedule: Day 1: Baguio City to </t>
  </si>
  <si>
    <t xml:space="preserve"> Invitation to Bid CY 2020 QRF REPAIR AND REHABILITATION OF CLASSROOMS LOT 6 – CALUMPANG ES, NAVAL DISTRICT 2  (2020 QRF REPAIR – Lot 6-3CL) 1.	The DepEd, SDO-Biliran through the CY 2020 QRF – Repair and Rehabilitation of Classrooms  intends to apply the s</t>
  </si>
  <si>
    <t xml:space="preserve"> Water Treatment Facility (including installation)</t>
  </si>
  <si>
    <t xml:space="preserve"> INVITATION TO BID FOR THE  SUPPLY &amp; DELIVERY OF OVEN FOR URARO COOKIES PRODUCTION OFFICE OF THE MUNICIPAL MAYOR, BUENAVISTA, QUEZON 1.	The Municipal Government of Buenavista, Quezon, through its 2019 20% Development Fund – Livelihood Program  intends to a</t>
  </si>
  <si>
    <t xml:space="preserve"> Rehabilitation, Modification and Improvement of Villamor Campus Covered Court 1.	The Philippine State College of Aeronautics, through the Corporate Budget for the contract approved by governing Boards, intends to apply the sum of Five Million Pesos (PhP 5</t>
  </si>
  <si>
    <t xml:space="preserve"> RE-INVITATION TO BID  No. 2020-007 The Department of Public Works and Highways -Davao del Norte District Engineering Office, Tagum City, Davao del Norte, through its Bids and Awards Committee (BAC), invites contractors to submit bids for the following Con</t>
  </si>
  <si>
    <t xml:space="preserve"> 3 rd quarter Supplies and Materials for ORD use</t>
  </si>
  <si>
    <t xml:space="preserve"> Brand Approved Budget Contract per Item Name and Description of the Article / sUnitQTY.ITEM NO. P.R. No. :City Engineer's Office 2020-03-1590 Date: 03/02/2020 Date: 17,280.002"X2"X12" gemelina - 90 pcsbd.ft.3601 12,723.205mm marine plywoodsht282 161.301" </t>
  </si>
  <si>
    <t xml:space="preserve"> REQUEST FOR EXPRESSION OF INTEREST (REI) FOR 20CSCE006 - CONSULTING SERVICES FOR THE CONDUCT OF SOIL/GEOTECHNICAL INVESTIGATION FOR THE PROPOSED CONSTRUCTION/REHABILITATION/REPLACEMENT OF VARIOUS BRIDGE PROJECTS 1. The Department of Public Works and Highw</t>
  </si>
  <si>
    <t xml:space="preserve"> Invitation to Bid CY 2020 QRF REPAIR AND REHABILITATION OF CLASSROOMS LOT 4 – UNGALE I ES, KAWAYAN DISTRICT 2  (2020 QRF REPAIR – Lot 4-12CL) 1.	The DepEd, SDO-Biliran through the CY 2020 QRF – Repair and Rehabilitation of Classrooms  intends to apply the</t>
  </si>
  <si>
    <t xml:space="preserve"> SUPPLY AND DELIVERY OF MATERIALS AND SUPPLIES FOR THE  ESTABLISHMENT OF SANKTWARYO PARK/MANGROVE WALKWAYS AND COTTAGE  1.	The MUNICIPALITY OF BAYABAS, through the 20% Development  Fund 2020 intends to apply the sum of Two Hundred Fifty Four Thousand Seven</t>
  </si>
  <si>
    <t xml:space="preserve"> Request for Expression of Interest  REI-SSS-Consulting-2020-003 CONDUCT OF THE 2020 NATIONWIDE DETAILED SURVEY FOR SSS   1.	The Social Security System (SSS), through the Approved 2020 Corporate Operating Budget - MOOE with Code (PAP) 174 of the 2020 Appro</t>
  </si>
  <si>
    <t xml:space="preserve"> 25	pcs	LM 317 Voltage Regulator					 25	pcs	7805 Voltage Regulator					 25	pcs	7812 Voltage Regulator					 50	pcs	Ceramic capacitor , 0.1 µF					 50	pcs	Fixed Ceramic Cement Resistor  ( 1      , 1 w)					 50	pcs	Electrolytic Capacitor , 1000 µF / 25 volts</t>
  </si>
  <si>
    <t xml:space="preserve"> Republiuc of the Philippnes				 PROVINCE OF APAYAO	PROVINCE OF APAYAO			 Provincial Government Center	Provincial Government Center, San Isidro Sur			 San Isidro Sur, Luna, Apayao	LUNA, APAYAO			 				 PROVINCIAL BIDS AND AWARD COMMITTEE-INFRA				 				 INVI</t>
  </si>
  <si>
    <t xml:space="preserve"> Republic of the Philippines Province of Davao Oriental City of Mati BIDS &amp; AWARDS COMMITTEE INVITATION TO BID LOT Procurement of MEDICAL SUPPLIES for the Use of DOPMC SOURCE OF FUND: GENERAL FUND [4421F-200-5-02-03-080] 1.	The Provincial Government of Dav</t>
  </si>
  <si>
    <t xml:space="preserve"> ITEM          DESCRIPTION                        QTY.             UNIT I.              CLEARING                            47.85            SQ.M II.             CONCRETING                        18                 METERS</t>
  </si>
  <si>
    <t xml:space="preserve"> 1. 228 bags Cement 2. 64 Lgth. Deformed Round Bar, 12mmDiax6m 3. 116 Lgth Deformed Round Bar, 10mmDiax6m 4. 18 Kls. Tie Wire, GI #16” 5. 12 Pcs. Hacksaw Blade 6. 20 Kls. Common Wire Nails #4” 7. 20 Kls. Common Wire Nails #3” 8. 5 Kls. Common Wire Nails #1</t>
  </si>
  <si>
    <t xml:space="preserve"> Brand Approved Budget Contract per Item Name and Description of the Article / sUnitQTY.ITEM NO. P.R. No. :City Engineer's Office 2020-05-2405 Date: 05/20/2020 Date: 27,596.80Portland Cementbag881 8,400.00Washed coarse sandcu.m.72 11,050.00Washed gravelcu.</t>
  </si>
  <si>
    <t xml:space="preserve"> Republic of the Philippines Province of Nueva Vizcaya Municipality of Bagabag BARANGAY PANIKI INVITATION TO BID: SUPPLY AND DELIVERY OF MATERIALS AND LABOR  FOR THE  Construction of Drainage Canal Along Provincial Road In front of Paniki High School Panik</t>
  </si>
  <si>
    <t xml:space="preserve"> 1. 900 ltrs. Diesel 2. 80 ltrs. Gasoline</t>
  </si>
  <si>
    <t xml:space="preserve"> Invitation to Bid for the Upgrading of Brgy. Balatero Road 1.	The Municipal Government of Puerto Galera, through the DILG-LGSF-AM FY 2020 intends to apply the sum of Three Million Nine Hundred Ninety Thousand Nine Hundred Twenty-Five Pesos &amp; Thirty One Ce</t>
  </si>
  <si>
    <t xml:space="preserve"> 1.	1	unit/s	Drone (Inspire 2) 2.	1	unit/s	Gimbal Camera (Zenmuse X5S) 3.	4	unit/s	Inspire 2 PART 05 TB50 Intelligent Flight Battery 			5.2K Video Support for High End Professional 4.	1	unit/s	Inspire Carrying Case 5.	1	unit/s	Battery Station, Cedence Remo</t>
  </si>
  <si>
    <t xml:space="preserve"> 54	cover	Dinner- pork sinigang, vegetables, rice and dessert	 ₱250.00  54	pax	Lodging	 ₱450.00  108	cover	Breakfast- longganisa, scrambled egg, fried rice, banana, brewed coffee	 ₱150.00  108	cover	AM Snacks- sanwich &amp; buko juice	 ₱100.00  108	cover	Lunch</t>
  </si>
  <si>
    <t xml:space="preserve"> ITEM          DESCRIPTION                             QTY.                 UNIT I.               CLEARING                                 47.85                SQ.M II.              CONCRETING                             20                    MTRS.</t>
  </si>
  <si>
    <t xml:space="preserve"> SUPPLY AND DELIVERY OF MATERIALS AND SUPPLIES FOR THE  IMPROVEMENT OF PUBLIC MARKET 1.	The MUNICIPALITY OF BAYABAS, through the 20% Development  Fund 2020 intends to apply the sum of Two  Hundred Fifteen Thousand Four Hundred Forty Two Pesos (Php 215,442.</t>
  </si>
  <si>
    <t xml:space="preserve"> Procurement of Vehicle Car Accessories    RFQ No. 440</t>
  </si>
  <si>
    <t xml:space="preserve"> PURCHASE OF FUEL ( DIESEL AND GASOLINE) FOR ALL GOVERNMENT VEHICLE USE- Purchase Request No.2020-06-110</t>
  </si>
  <si>
    <t xml:space="preserve"> Republic of the Philippines SILAY CITY GOVERNMENT Zamora Street Silay City, Negros Occidental Telefax No. (034) 495-3746 	Control  Reference Number : GOODS#0131, ITB#0134,  PR#0413: SCG-2020 Name of the Project: Purchase of BRAND NEW GARBAGE COMPACTOR TRU</t>
  </si>
  <si>
    <t xml:space="preserve"> INVITATION TO BID FOR THE  SUPPLY/DELIVERY &amp; REPRODUCTION OF DISTANCE LEARNING MATERIALS DEPED-BUENAVISTA DISTRICT I &amp; II, BUENAVISTA, QUEZON 1.	The Municipal Government of Buenavista, Quezon, through its Special Education Fund intends to apply the sum of</t>
  </si>
  <si>
    <t xml:space="preserve"> Republic of the Philippines Province of Misamis Occidental MUNICIPALITY OF CALAMBA INVITATION TO BID FOR PURCHASE OF ONE (1) UNIT BRAND NEW 6 WHEELERS GARBAGE COMPACTOR  	June 30, 2020 1.	The Municipality of Calamba, Misamis Occidental, through the 2019  </t>
  </si>
  <si>
    <t xml:space="preserve"> Republic of the Philippines					 Province of Bukidnon					 Municipality of Lantapan					 					 INVITATION TO BID FOR THE CONSTRUCTION OF POTABLE WATER					 SYSTEM (PHASE 2) AT BASAC &amp; KIBANGAY (1ST BID)					 					 1	The Local Government Unit of Lantapan t</t>
  </si>
  <si>
    <t xml:space="preserve"> Labor and Materials for the Construction of Toilet for Disable (Female Rest Room with PWD Railings) at Municipal Hall San Nicolas Poblacion, Concepcion, Tarlac Approved Budget for the Contract : P 280,795.68 Source of Fund : MOOE 2020 - Municipal Mayor Th</t>
  </si>
  <si>
    <t xml:space="preserve"> 1	Lot	Supply of labor and materials in the Renovation of Comfort Room and Pantry at Registrar's Office, G/F Admin Building. 			 99,700.00  		 			 		Note: Please see attached Scope Work and  Working Drawings sheets A1 to  A6 P1 and E1..			 		 	 		 		Estima</t>
  </si>
  <si>
    <t xml:space="preserve"> 1.	The Department of Agriculture (DA) – Central Office, through the GAA CY2020 intends to apply the sum of One Million Nine Hundred Twenty-One Thousand Pesos (PhP1,921,000.00) being the Approved Budget for the Contract (ABC) to payments under the contract</t>
  </si>
  <si>
    <t xml:space="preserve"> 350	pcs	9W LED Bulb, 6500K, 806Lm, Daylight, E27, 1500Hrs.			 110.00  225	pcs	18W LED Flourescent Tube (T8) with LED starter			 200.00  25	pcs	6W Square recessed type slim LED panel			 400.00  25	pcs	6W Circular recessed type slim LED panel			 400.00  75	</t>
  </si>
  <si>
    <t xml:space="preserve"> Labor and Materials for the General Improvement of Legislative Building, Concepcion, Tarlac Approved Budget for the Contract : P 1,356,471.75 Source of Fund : MOOE 2020 - SB OFFICE The contract to be performed by the successful bidder shall be specified i</t>
  </si>
  <si>
    <t xml:space="preserve"> 66	cover	Dinner- pork sinigang, vegetables, rice and dessert	 ₱250.00  66	pax	Lodging	 ₱450.00  132	cover	Breakfast- longganisa, scrambled egg, fried rice, banana, brewed coffee	 ₱150.00  132	cover	AM Snacks- sanwich &amp; buko juice	 ₱100.00  132	cover	Lunch</t>
  </si>
  <si>
    <t xml:space="preserve"> Republic of the Philippines DEPARTMENT OF PUBLIC WORKS AND HIGHWAYS BATANGAS II  DISTRICT ENGINEERING OFFICE REGIONAL OFFICE IV-A Kumintang Ilaya, Batangas City INVITATION TO BID For Local Infrastructure Program – Construction of Multi-Purpose Building (P</t>
  </si>
  <si>
    <t xml:space="preserve"> 2020 Census of Population and Housing Projector Projector Technology: RGB liquid crystal shutter projector system White Light Output (Normal/Eco): 3,600lm / 2,235lm Colour Light Output: 3,600lm USB Interface: USB Type A: 1 (for USB Memory, USB Document Ca</t>
  </si>
  <si>
    <t xml:space="preserve"> 50	pcs	DSB 12mmØ x 6m			 200.00  50	pcs	DSB 10mmØ x 6m			 135.00  50	pcs	Angle Bar 3mm dia x 25mm x 6m			 300.00  20	pcs	Angle Bar 5mm dia x 25mm x 6m			 630.00  50	pcs	Square Bar 10mm x 6m 			 210.00  50	pcs	Flat Bar 3mm x 25mm x 6m			 360.00  30	pcs	G.I</t>
  </si>
  <si>
    <t xml:space="preserve"> SUPPLY AND DELIVERY OF MATERIALS AND SUPPLIES FOR THE  IMPROVEMENT OF OVERLAND TERMINAL (TRICYCLE PARKING AREA) 1.	The MUNICIPALITY OF BAYABAS, through the 20% Development  Fund 2020 intends to apply the sum of One Hundred Eighty Six Thousand Seven Hundre</t>
  </si>
  <si>
    <t xml:space="preserve"> 20% EDF CY 2020 Improvement of Multi-Purpose Hall - P 300,000.00 Schedule of Activities 1. Submission &amp; Receipt of Bids / Bid Opening - July 21, 2020 @ 10:00 AM 2. Bid Evaluation - July 22, 2020 3. Post Qualification - July 23, 2020 4. Approval of Resolut</t>
  </si>
  <si>
    <t xml:space="preserve"> Annual Budget CY 2020 20% EDF CY 2020 PROJECTS Construction of Pathwalk - Purok 5 - P 76,753.00 Construction of Pathwalk Purok 4 going to Cabangan - P 153,508.00 Construction of Pathwalk - Purok 2 - P 76,753.00 Construction of Footbridge - Purok 5 - P 76,</t>
  </si>
  <si>
    <t xml:space="preserve"> 75	pcs	Marine Plywood, 3/4" thk x 4' x 8'			 1,400.00  40	pcs	Marine Plywood, 12mm thk x 1.2 x 2.4			 900.00  60	pcs	Marine Plywood, 5mm thk x 1.2 x 2.4			 450.00  30	pcs	Good Lumber, 2" x 2" x 8'			 110.00  20	pcs	Good Lumber, 2" x 6" x 8'			 320.00  10	</t>
  </si>
  <si>
    <t xml:space="preserve"> Proposed Replacement of Roof and Gutter of Building – B 1.	The Philippine State College of Aeronautics, through the Corporate Budget for the contract approved by governing Boards, intends to apply the sum of Two Million Five Hundred Thousand Pesos (PhP 2,</t>
  </si>
  <si>
    <t xml:space="preserve"> 102 Sub grade Preparation,200 Aggregate Sub-Base Coarse</t>
  </si>
  <si>
    <t xml:space="preserve"> Republic of the Philippines Province of Albay Municipality of Rapu-Rapu Barangay Linao INVITATION TO BID FOR THE 20% EDF CY 2020 PROJECTS 1.	The Barangay Local Government Unit of Linao, Rapu-Rapu, Albay, through the Budget for the Contract Approved by the</t>
  </si>
  <si>
    <t xml:space="preserve"> INVITATION TO BID FOR PROCUREMENT OF  FLAT PANEL DETECTOR (WIRELESS) 1.	The Quirino Memorial Medical Center, through theSAA #2020-03-0379- HFEP CAPITAL OUTLAYintends to apply the sum of FIFTEEN MILLIONTWO HUNDRED THOUSAND PESOSONLY (PHP15,200,000.00) bein</t>
  </si>
  <si>
    <t xml:space="preserve"> Procurement of Workbooks for Day Care Children</t>
  </si>
  <si>
    <t xml:space="preserve"> Supply &amp; Delivery of Construction Materials for the Construction of Material Recovery Facility, Brgy. Caraudan, Janiuay, Iloilo Item Number	Description	Quantity 1	2” x 2” x 10’ Rough Lumber	170 bd.ft. 2	4” C.W Nails	4 kgs. 3	1/8” Nylon String	2 rolls 4	Po</t>
  </si>
  <si>
    <t xml:space="preserve"> 12	units	Desktop Computer, Desktop PC Intel Core i7 Memory 8GB, Hard Disk 1 TB, Video Card SDDr4 2GB, Monitor 21.5", Motherboard Chipset H310, Power Supply 500w, Mouse, Keyboard and AVR			 52,500.00  3	units	Desktop PC set specifications CPU Intel Core i7</t>
  </si>
  <si>
    <t xml:space="preserve"> reproduction of learners materials supplies of ink for modules folders</t>
  </si>
  <si>
    <t xml:space="preserve"> 1. The Provincial Government of Misamis Occidental, through the General Funds 20203 intends to apply the sum of Two Million Two Hundred Seventy-nine Thousand Twentythree Pesos and 16/100 (Php. 2,279,023.16) being the Approved Budget for the Contract (ABC)</t>
  </si>
  <si>
    <t xml:space="preserve"> The Philippine Nuclear Research Institute (PNRI), through the Bids and Awards Committee (BAC), invites interested bidders to bid for hereunder project: Name of Project: Upgrading of NART Building (CY 2020) 	 Location of the Project	PNRI Compound, Commonwe</t>
  </si>
  <si>
    <t xml:space="preserve"> Vicente Sotto Memorial Medical Center B Rodriguez Street, Cebu City INVITATION TO BID The Vicente Sotto Memorial Medical Center, through its Bids and Awards Committee (BAC) invites contractors   suppliers, manufacturers to bid for the hereunder project.  </t>
  </si>
  <si>
    <t xml:space="preserve"> (ITB-29-2020) REQUEST TO SUBMIT QUOTATION OR PROPOSAL FOR THE LABOR AND MATERIALS FOR THE REPAIR OF 4-UNITS GOAT HOUSE AT MBS, ASID MASBATE AT APPROVED BUDGET FOR THE CONTRACT AMOUNTING TO ONE HUNDRED EIGHTY THOUSAND PESOS (PHP180,000.00) PURSUANT TO ALTE</t>
  </si>
  <si>
    <t xml:space="preserve"> 50	tubes	Waterproofing roof sealant, 250g			 150.00  50	sets	Cylindrical Door Knob, Brass, heavy duty			 1,100.00  50	pcs	Drawer Lock, Chrome			 70.00  10	pcs	Padlock, 40mm, heavy duty			 350.00  50	pcs	Concealed hinges, full overlay			 60.00  50	pcs	Conc</t>
  </si>
  <si>
    <t xml:space="preserve"> REPUBLIC OF THE PHILIPPINES CITY GOVERNMENT OF OROQUIETA BIDS AND AWARD COMMITTEE City Hall , Oroquieta City                                                                                                                                                   </t>
  </si>
  <si>
    <t xml:space="preserve"> INVITATION TO BID FOR PROCUREMENT OF  INFANT RADIANT WARMER WITH RESUSCITATOR 1.	The Quirino Memorial Medical Center, through the SAA #2020-03-0379- HFEP CAPITAL OUTLAY intends to apply the sum of ONE MILLION FIVE HUNDRED THOUSAND PESOSONLY (PHP1,500,000.</t>
  </si>
  <si>
    <t xml:space="preserve"> ITEM NO. P.R. No. :City Engineer's Office 2020-03-1591 Date: 03/02/2020 Date: 13,632.00 5mm Marine Plywoodsheets301 6,720.0035 pcs - 2"x2"x12' gemelina lumberbd.ft.1402 203.554" CW Nailskg33 93.002 1/2" CW Nialskg14 161.301" CW Nailskls.25 5,222.000.90m x</t>
  </si>
  <si>
    <t xml:space="preserve"> REPUBLIC OF THE PHILIPPINES CITY GOVERNMENT OF OROQUIETA BIDS AND AWARD COMMITTEE City Hall, Oroquieta City                                                                                                                       June 29, 2020                </t>
  </si>
  <si>
    <t xml:space="preserve"> 1. The Provincial Government of Misamis Occidental, through the General Funds 20203 intends to apply the sum of One Million Nine Hundred Ninety-eight Thousand Two Hundred Forty-seven Pesos and 49/100 (Php. 1,998,247.49) being the Approved Budget for the C</t>
  </si>
  <si>
    <t xml:space="preserve"> Republic of the Philippines PROVINCE OF ALBAY 				   Municipality of Rapu-Rapu                                                          Barangay Binosawan Invitation to Bid for  Construction of Break Water 1.	The Barangay Local Government Units of Binosaw</t>
  </si>
  <si>
    <t xml:space="preserve"> 2.	Contract ID: 20EI0182 Contract Name: Construction of Evacuation Center, Barangay San Juan,  Location: Bongabong, Oriental Mindoro Brief Description: Construction of 1 unit Building.  Approved Budget for the Contract (ABC): PhP 34,740,000.00 Source of F</t>
  </si>
  <si>
    <t xml:space="preserve"> Occupational Safety and Health Program Removal of cables and steel mattings Installation of new cables Fabrication/Installation of new steel mattings Concrete Works</t>
  </si>
  <si>
    <t xml:space="preserve"> Republic of the Philippines Province of North Cotabato Municipality of Pres. Roxas OFFICE OF THE BIDS AND AWARDS COMMITTEE INVITATION TO BID The Local Government Unit of President Roxas, thru Bids and Awards Committee (BAC) hereby invites interested Bidde</t>
  </si>
  <si>
    <t xml:space="preserve"> 70	cover	Dinner- pork sinigang, vegetables, rice and dessert	 ₱250.00  70	pax	Lodging	 ₱450.00  140	cover	Breakfast- longganisa, scrambled egg, fried rice, banana, brewed coffee	 ₱150.00  140	cover	AM Snacks- sanwich &amp; buko juice	 ₱100.00  140	cover	Lunch</t>
  </si>
  <si>
    <t xml:space="preserve"> Quantity	Particulars	Estimated Unit Price (Php)	Estimated. Total Amount (Php) LOT                           993,200.00.                      993,200.00 TPB needs services of an experienced ICT Company for the Virtual Event Platform to create, capture and </t>
  </si>
  <si>
    <t xml:space="preserve"> Republic of the Philippines Province of Albay Municipality of Rapu-Rapu Barangay Manila INVITATION TO BID FOR THE REHABILITATION OF SEAWALL 1.	The Barangay Local Government Unit of Manila, Rapu-Rapu, Albay, through the Budget of the contract approved by t</t>
  </si>
  <si>
    <t xml:space="preserve"> 1.) 1 LOT SUPPLY OF LABOR AND MATERIALS FOR THE CONSTRUCTION OF ATM BOOTH. * LOCATION : SAN DIONISIO LGU, SPECIFICALLY AT THE MUNIPALITY BUILDING PREMISES, J.M BASA STREET SAN DIONISIO, ILOILO. X X X X X X X X X X X X X X X X X X X X  NOTHING FOLLOWS X X </t>
  </si>
  <si>
    <t xml:space="preserve"> 6	units	Service Vehicle 		Specification 		Engine Type: 4 Cylinder in-line Diesel Engine w/ Turbo Intercooler 		Displacement: 1900cc 		Max, Output: 150/3600 (PS/RPM) 		Max, Torque: 350/1800-2600 (kg-m/rpm) 		Fuel System: 6 Speed Automatic Transmission 		Fu</t>
  </si>
  <si>
    <t xml:space="preserve"> Invitation to Bid CY 2020 QRF REPAIR AND REHABILITATION OF CLASSROOMS LOT 7 – KAWAYAN NHS, KAWAYAN DISTRICT 1  (2020 QRF REPAIR – Lot 7-17CL) 1.	The DepEd, SDO-Biliran through the CY 2020 QRF – Repair and Rehabilitation of Classrooms  intends to apply the</t>
  </si>
  <si>
    <t xml:space="preserve"> 1. The GAMU WATER DISTRICT, through the Loan from the Local Water Utilities Administration (LWUA) intends to apply the sum of Six Million Nine Hundred Thirty Three Thousand One Hundred Pesos (Php 6,933,100.00) being the Approved Budget for the Contract (A</t>
  </si>
  <si>
    <t xml:space="preserve"> INVITATION TO BID: IMPROVEMENT OF EXISTING OLD BARANGAY MULTI-PURPOSE HALL (PHASE 1) Villaros, Bagabag, Nueva Vizcaya 1.	The Local Government Unit of Barangay Villaros intends to apply the sum of ONE HUNDRED  THOUSAND PESOS being the approved Budget for t</t>
  </si>
  <si>
    <t xml:space="preserve"> INVITATION TO BID FOR PROCUREMENT OF  INSTALLATION AND COMMISSIONING OF OPERATING TABLE 1.	The Quirino Memorial Medical Center, through theSAA #2020-03-0379- HFEP CAPITAL OUTLAYintends to apply the sum of ELEVEN MILLION PESOS ONLY (PHP11,000,000.00) being</t>
  </si>
  <si>
    <t xml:space="preserve"> ITEM NO. P.R. No. :City Engineer's Office 2020-02-1455 Date: 02/06/2020 Date: 30,380.00Portland Cementbag981 6,000.00washed coarsed sandcu m52 2,400.00washed fine sandcu m23 13,000.00washed gravelcu m104 48,960.0012mm x 6m deformed barlength1705 507.0016m</t>
  </si>
  <si>
    <t xml:space="preserve"> INVITATION TO BID 1)	The DPWH- Davao City District Engineering Office through its Bids and Awards Committee (BAC), invites contractors to submit bids for the following contract; 1. Procurement ID /          Contract ID No.	:	20LB0182     Contract Name	:	C</t>
  </si>
  <si>
    <t xml:space="preserve"> Republic of the Philippines						 City Government of Davao						 						 INVITATION TO BID						 for Infrastructure Projects B14-2020						 						 The City Government of Davao now invites bidders for the project/s under B14-2020 as listed below.   The pros</t>
  </si>
  <si>
    <t xml:space="preserve"> INVITATION TO BID FOR                                    PROCUREMENT OF VEHICLE RENTAL SERVICES WITH                               PROVISION FOR DRIVER FOR THE PERIOD  OF 5 MONTHS 1.	The Philippine Rice Research Institute, Isabela Branch, through the Corp</t>
  </si>
  <si>
    <t xml:space="preserve"> Republic of the Philippines Province of Albay Municipality of Rapu-Rapu Barangay Bogtong INVITATION TO BID FOR THE 20% EDF CY 2020 PROJECTS 1.	The Barangay Local Government Unit of Bogtong, Rapu-Rapu, Albay, through the Budget for the Contract Approved by</t>
  </si>
  <si>
    <t xml:space="preserve"> 1	unit	Clevenger trap (for oils lighter than water), Teflon valve, BorosilicateGlass, at least 5mL capacity, Graduated, 24/40 joints			 10,000.00  1	unit	Reversed Phase Analytical Coluimn C18 3um, size 4.6X250mm, Base Material:  High Purity ES Silica Gel,</t>
  </si>
  <si>
    <t xml:space="preserve"> The Central Philippines State University intends to apply the sum of Twenty-five Million Nine Hundred Thirty-five Thousand Pesos only (PhP25,935,000.00) being the Approved Budget for the Contract (ABC) to payments under the contract for the Supply and Del</t>
  </si>
  <si>
    <t xml:space="preserve"> Module Reproduction 2020</t>
  </si>
  <si>
    <t xml:space="preserve"> QUOTATION - SEALED CANVASS: Please submit the accomplished OFFICIAL CANVASS FORM before the closing date at PPMD 2nd flr. SSS Main Bldg., East Ave., Quezon City. Submit in Sealed Envelope address to Ms. HYDEE R. RAQUID – Department Manager III, Procuremen</t>
  </si>
  <si>
    <t xml:space="preserve"> OPENING OF BIDS IN DSWD FO IX ZAMBOANGA CITY, DELIVERY IN HOME FOR WOMAN ZC PROCUREMENT FOR THE FF.:			 			 1 LOT GROCERY ITEMS/FOOD SUPPLIES			 			 50 packs All Purpose Cream 250ml			 50 packs Baking powder 100g			 10 cases Beef loaf 250g			 50 packs bih</t>
  </si>
  <si>
    <t xml:space="preserve"> 1000	caps	Mefenamic  Acid, 500mg			 33.50  100	rolls	Elastic Bandage, 2 x 6			 25.00  100	rolls	Elastic Bandage, 4 x 5			 35.00  500	sachet 	Acetylcysteine			 45.00  200	pcs	Lactobacillus Reuteri DSM 17938			 35.00  1000	tabs	Hyoscine - N - Butylbromide		</t>
  </si>
  <si>
    <t xml:space="preserve"> INVITATION TO BID: 1. Project Title: Repair/Rehabilitation of Comfort Rooms At 3rd Floor, North And West Wing, Academic Bldg. 2. Approved Budget for the Contract: Php 1,509,556.47 3. Pre-bid Conference: on July 8, 2020 1:00 p.m. at Bulwagang Balagtas, 4th</t>
  </si>
  <si>
    <t xml:space="preserve"> Republic of the Philippines Province of Albay Municipality of Rapu-Rapu Barangay Bogtong INVITATION TO BID FOR THE INSTALLATION OF SOLAR POWERED STREET LIGHTS 1.	The Barangay Local Government Unit of Bogtong, Rapu-Rapu, Albay, through the Budget for the C</t>
  </si>
  <si>
    <t xml:space="preserve"> INVITATION TO BID FOR PROCUREMENT OF  HIGH DEFINITION ENDOSCOPY SYSTEM 1.	The Quirino Memorial Medical Center, through the SAA #2020-03-0379- HFEP CAPITAL OUTLAY intends to apply the sum of TWENTY MILLION PESOSONLY (PHP20,000,000.00) being the Approved Bu</t>
  </si>
  <si>
    <t xml:space="preserve"> INVITATION TO BID IB 2020-077 The Philippine Children’s Medical Center, through GAA intends to apply the sum of One Million Two Hundred Thousand Pesos (Php 1,200,000.00) being the Approved Budget for the Contract (ABC) to payment under the contract for th</t>
  </si>
  <si>
    <t xml:space="preserve"> 10	pcs	Universal Diamon Cutting Disc, 4-1/2" Ø			 210.00  5	pcs	Cutting Disc for steel, 4-1/2" Ø			 80.00  15	pcs	Grinding stone, 4-1/2" Ø x 1/4" thk.			 220.00  3	pcs	Welding Helmet			 350.00  6	pcs	Welding electrode holder, 300A			 280.00  3	pairs	Weldi</t>
  </si>
  <si>
    <t xml:space="preserve"> INVITATION TO BID: 1.  Project Title:  Repair/Rehabilitation of Comfort Rooms At Ground Floor Charlie Del Rosario 2.  Approved Budget for the Contract:  Php 1,958,914.14 3.  Pre-bid Conference: on July 8, 2020 1:00 p.m. at Bulwagang Balagtas, 4th Floor, N</t>
  </si>
  <si>
    <t xml:space="preserve"> Republic of the Philippines Province of South Cotabato BIDS AND AWARDS COMMITTEE Capitol Compound Alunan Avenue, Koronadal City Tel. Fax No.: (083) 228-9951/228-8570 RE-INVITATION TO BID FOR THE SUPPLY AND DELIVERY OF 141 PACKS COFFEE, 3 IN 1 COFFEE MIX, </t>
  </si>
  <si>
    <t xml:space="preserve"> INVITATION TO BID FOR Procurement and Delivery of ICT and Office Equipment 1.	The Iloilo State College of Fisheries-San Enrique Campus, through the Corporate Budget for the Contract Approved by the Governing Boards 2020 intends to apply the sum of ONE MIL</t>
  </si>
  <si>
    <t xml:space="preserve"> Republic of the Philippines Province of Batangas MUNICIPALITY OF ALITAGTAG INVITATION TO BID FOR PURCHASE OF LABORATORY AND RADIOLOGIC SUPPLIES FOR THE USE OF RURAL HEALTH UNIT AT ALITAGTAG, BATANGAS 	The Municipal Government of Alitagtag through General </t>
  </si>
  <si>
    <t xml:space="preserve"> Republic of the Philippines DEPARTMENT OF PUBLIC WORKS AND HIGHWAYS BATANGAS II  DISTRICT ENGINEERING OFFICE REGIONAL OFFICE IV-A Kumintang Ilaya, Batangas City INVITATION TO BID For Construction/Repair/Rehabilitation/Improvement of Various Infrastructure</t>
  </si>
  <si>
    <t xml:space="preserve"> 1.	The BUREAU OF JAIL MANAGEMENT AND PENOLOGY, through the GENERAL APPROPRIATIONS ACT FY 2020 intends to apply the sum of   being the Approved Budget for the Contract (ABC) to payments under the contract for each lot/item. Bids received in excess of the A</t>
  </si>
  <si>
    <t xml:space="preserve"> 1	bot	Hexane, anyhydrous, 95% 2L			 21,021.92  1	bot	Quercetin, ≥95% (HPLC) solid, Q4951-10g			 6,881.84  1	bot	Folin &amp; Ciocalteu's phenol reagent, F9252-500ML, 500 mL bottle			 21,661.10  1	bot	Galic acid monohydrates, ACS reagent, ≥98.0%, 100 grams, 398</t>
  </si>
  <si>
    <t xml:space="preserve"> Republic of the Philippines DEPARTMENT OF PUBLIC WORKS AND HIGHWAYS BATANGAS II  DISTRICT ENGINEERING OFFICE REGIONAL OFFICE IV-A Kumintang Ilaya, Batangas City INVITATION TO BID For Local Infrastructure Program – Construction of the Lobo Municipal Hall P</t>
  </si>
  <si>
    <t xml:space="preserve"> 1	unit	PHOTOCOPIER			 82,000.00  		COPIER SPECS:			 		Printing and Copying Speed:   A4 ukp to 22 ppm, A3 up to 8 ppm			 		Printing System:   Laser			 		Paper Feeder:   Max. 1,350 sheets			 		Multi-bypass:   100 sheets			 		Power:   220-240V, 50/60Hz			 		</t>
  </si>
  <si>
    <t xml:space="preserve"> The Philippine Nuclear Research Institute (PNRI), through the Bids and Awards Committee (BAC), invites interested bidders to bid for hereunder project: Name of Project: Procurement of One (1) Lot Generator Set and Housing System Location of the Project	PN</t>
  </si>
  <si>
    <t xml:space="preserve"> Reproduction of Test Papers 1st &amp; 2nd Quarter 2020 of VES</t>
  </si>
  <si>
    <t xml:space="preserve"> gasoline supplies for lawn mower</t>
  </si>
  <si>
    <t xml:space="preserve"> Republic of the Philippines Province of Albay Municipality of Rapu-Rapu Barangay Linao INVITATION TO BID FOR THE CONSTRUCTION OF 3 UNITS JETMATIC PUMP 1.	The Barangay Local Government Unit of Linao, Rapu-Rapu, Albay, through the Budget for the Contract Ap</t>
  </si>
  <si>
    <t xml:space="preserve"> Please see attached file for the Philippine Bidding Documents</t>
  </si>
  <si>
    <t xml:space="preserve"> Procurement of Various Supplies/Medical supplies in Response to COVID19</t>
  </si>
  <si>
    <t xml:space="preserve"> 662 pcs 600mmx600mm granite tiles 17 lngths tile trim (stainless) 10 leths stair nosing (stainles) 16 bags tile grout 145 bags portland cement 12 bags adhesive cement 12 cum river washed sand 1 mtr sand sieve screen 1 pcs 4"0 diamont tile cutting disc</t>
  </si>
  <si>
    <t xml:space="preserve"> The Municipality of General Luna, Quezon, through its Bids and Awards Committee (BAC), invites contractors registered with and classified by the Philippine Contractors Accreditation Board (PCAB) to apply for the eligibility and to bid: Name of Contract	: </t>
  </si>
  <si>
    <t xml:space="preserve"> Procurement of CONSTRUCTION SUPPLIES description* Please quote your lowest price on the items /package listed below, subject to the General Conditions starting the shortest possible time of delivery and submit your quotation duly signed by your representa</t>
  </si>
  <si>
    <t xml:space="preserve"> Improvement of Municipal Cemetery (Road Concreting), Janiuay Municipal Cemetery, Janiuay, Iloilo Item No.	DESCRIPTION	Qty.	Unit A.1.1(3)	Construction of Field Office &amp; Bunkhouse 	1	L.s. B.5	Project Billboard/Signboard (COA)	2	Each SPL-1	Mobilization/Demob</t>
  </si>
  <si>
    <t xml:space="preserve"> REPUBLIC OF THE PHILIPPINES CALUMPIT WATER DISTRICT BIDS AND AWARDS COMMITTEE EOD Office., CWD Bldg., M. Serrano St.,Corazon, Calumpit, Bulacan Tel. Nos. 044- 913 0079/ Telefax: 202 5125 INVITATION TO BID FOR THE SUPPLY AND DELIVERY OF VARIOUS CONSTRUCTIO</t>
  </si>
  <si>
    <t xml:space="preserve"> 1.	Contract ID: 20EI0181 Contract Name: Construction of Evacuation Center, Barangay Poblacion,  Location: Bulalacao, Oriental Mindoro Brief Description: Construction of 1 unit Building.  Approved Budget for the Contract (ABC): PhP 34,740,000.00 Source of </t>
  </si>
  <si>
    <t xml:space="preserve"> Invitation to Bid No. PB2020-01 Procurement of Security Services (5 Guards) 1.	The West Visayas State University-Lambunao Campus, through its Income (F164 2020)  intends to apply the sum of TWO HUNDRED EIGHTY EIGHT THOUSAND NINE HUNDRED SIXTEEN PESOS AND </t>
  </si>
  <si>
    <t xml:space="preserve"> ITEM 200 (PALSABANGON SOURCE)</t>
  </si>
  <si>
    <t xml:space="preserve"> JOSE B. LINGAD MEMORIAL REGIONAL HOSPITAL City of San Fernando, Pampanga Tel. No. (045) 961-3921 Date: June 30, 2020 No. 2020 – 06 - 204-S REQUEST FOR QUOTATION (Name of Agency) (Address) Sir/Madam: Please quote your lowest price on the item/s listed belo</t>
  </si>
  <si>
    <t xml:space="preserve"> 1	bd. Ft	SCAFFOLDING AND FORM WORKS	 		Materials	 	pcs	1/4" Marine Plywood	       	pcs	1/2" Marine Plywood	  	bd.ft	Assorted Good Lumber	  			 2		EMBANKMENT	 		Materials	 	cu.m	Filling Materials	  			 3		MASONRY WORKS	 		Materials	 	pcs	150mm CHB	  	bags	</t>
  </si>
  <si>
    <t xml:space="preserve"> Procurement office supplies for modular Learning</t>
  </si>
  <si>
    <t xml:space="preserve"> Stone Masonry</t>
  </si>
  <si>
    <t xml:space="preserve"> JOSE B. LINGAD MEMORIAL REGIONAL HOSPITAL City of San Fernando, Pampanga Tel. No. (045) 961-3921 Date: June 30, 2020 No. 2020 – 06 - 202-S REQUEST FOR QUOTATION (Name of Agency) (Address) Sir/Madam: Please quote your lowest price on the item/s listed belo</t>
  </si>
  <si>
    <t xml:space="preserve"> Local Government Unit of Magsaysay  2020-06-0005  Procurement of Civil Works  Magsaysay, Lanao del Norte Standard Form Number: SF GOOD – 05 Revised on July 28, 2004 INVITATION TO APPLY FOR ELIGIBILITY AND TO BID The Local Government Unit of Magsaysay, thr</t>
  </si>
  <si>
    <t xml:space="preserve"> National Power Corporation INVITATION TO BID PUBLIC BIDDING 2020-0145 1.	The NATIONAL POWER CORPORATION (NPC), through       its        approved       Corporate Budget of CY 2020 intends to apply   the   sum   of (Please see schedule below) being the Appr</t>
  </si>
  <si>
    <t xml:space="preserve"> (see bidding documents and other supporting documents in the associated component for further project details)</t>
  </si>
  <si>
    <t xml:space="preserve"> Invitation to Bid for the Improvement of Multipurpose Building 1.	The Local Government Unit of Manticao intends to apply the sum of P 209,671	being the Approved Budget for the Contract (ABC) to payments under the contract. Bids received in excess of the A</t>
  </si>
  <si>
    <t xml:space="preserve"> 1. 2 pcs. stainless foot-operated portable sinks/wash station (double) 2. 6 pcs. disinfectant mat with anti-slip tray 3. 6 pcs. stainless foot pedal alcohol sanitizer holder 4. 1 lot garden water hose, 1/2 size, 150 meters 5. 50 pcs. trash bins, plastic s</t>
  </si>
  <si>
    <t xml:space="preserve"> Republic of the Philippines Province of Surigao del Sur MUNICIPALITY OF BAYABAS INVITATION TO BID FOR CONSTRUCTION OF RIVER WALL 1.	The Local Government of Bayabas, through its Local Government Support Fund-Financial Assistance (LGSF-FA) 2019 intends to a</t>
  </si>
  <si>
    <t xml:space="preserve"> 1  pcs  210x90 swing Door 2  pcs  130 x 130 sliding window 1 pcs 90 x 100 sliding window 32  bags cement 28 pcs RSB 9mm 126 pcs  60 x 60 tiles 5   pcs   Tiles Adhessive 5  kls  Tie Wire 3  kls  Concrete Nail 6 kls CWN #3 3  kls  CWN #2 300  bd.ft  2x2x10 </t>
  </si>
  <si>
    <t xml:space="preserve"> INVITATION TO BID FOR THE PROCUREMENT OF SCIENCE LABORATORY FURNITURE AND FIXTURES IN THE ADVANCED SCIENCE AND TECHNOLOGY BUILDING OF PSHS CALABARZON REGION CAMPUS/GOODS-2020-03 1.	The Philippine Science High School-CALABARZON Region Campus (PSHS-CALABARZ</t>
  </si>
  <si>
    <t xml:space="preserve"> Invitation to Bid for Construction of Drainage Canal, Poblacion 1.	The Local Government Unit of Manticao intends to apply the sum of P 193,271.00	being the Approved Budget for the Contract (ABC) to payments under the contract. Bids received in excess of t</t>
  </si>
  <si>
    <t xml:space="preserve"> Republic of the Philippines Province of South Cotabato BIDS AND AWARDS COMMITTEE Capitol Compound Alunan Avenue, Koronadal City Tel. Fax No.: (083) 228-9951/228-8570 RE-INVITATION TO BID FOR 1 LOT JOB ORDER, DISASSEMBLY, ASSEMBLY &amp; COMMISSIONING OF EX 04 </t>
  </si>
  <si>
    <t xml:space="preserve"> Name of the Procuring Entity 					Project Reference No.                              				 					      Name of the Project:  Purchase of Various Materials for the Maintenance of Waterworks System				 									 				              Location of the Project :Looc</t>
  </si>
  <si>
    <t xml:space="preserve"> Invitation to Bid for the procurement of Water Meter  1.	The Local Government Unit of Manticao intends to apply the sum of P 110, 000 being the Approved Budget for the Contract (ABC) to payments under the contract. Bids received in excess of the ABC shall</t>
  </si>
  <si>
    <t xml:space="preserve"> INVITATION TO BID: 1. Project Title: Completion  of  Multi-Purpose  Building and  Sports  Development Facility, Phase  3,  Mabini  Campus,  Sta.  Mesa,  Manila 2. Approved Budget for the Contract: Php 18,998,224.54 3. Pre-bid Conference: on July 9, 2020, </t>
  </si>
  <si>
    <t xml:space="preserve"> Invitation to Bid for the for Construction of Demo Farm Training Center  1.	The Local Government Unit of Manticao intends to apply the sum of P 721,956	being the Approved Budget for the Contract (ABC) to payments under the contract. Bids received in exces</t>
  </si>
  <si>
    <t xml:space="preserve"> JOSE B. LINGAD MEMORIAL REGIONAL HOSPITAL City of San Fernando, Pampanga Tel. No. (045) 961-3921 Date: June 30, 2020 No. 2020 – 06 - 200-S REQUEST FOR QUOTATION (Name of Agency) (Address) Sir/Madam: Please quote your lowest price on the item/s listed belo</t>
  </si>
  <si>
    <t xml:space="preserve"> Procurement of Various Medical Supplies/Response Items for COVID-19</t>
  </si>
  <si>
    <t xml:space="preserve"> Procurement of Semi-Expandable Equipment for modular Learning</t>
  </si>
  <si>
    <t xml:space="preserve"> Solar Power for Public Market  1.	The Local Government Unit of Manticao intends to apply the sum of P 520,000 being the Approved Budget for the Contract (ABC) to payments under the contract. Bids received in excess of the ABC shall be automatically reject</t>
  </si>
  <si>
    <t xml:space="preserve"> 1.)	  1 	 - Unit 	 - Motor Vehicle (Passenger Van) 			Engine: 2.80 Diesel Manual Transmission, 4 cylinders 			Displacement: 2.755cc 			Maximum Output: 176/3,400 			Fuel Tank Capacity: 70L 			Emission Standard: EURO 4 			Tires: 235/65 R16 			Seating Capaci</t>
  </si>
  <si>
    <t xml:space="preserve"> The SANGGUNIANG KABATAAN of Barangay San Gabriel Council, through the approved budget for the year 2020, intends to apply the sum of P 220,504.80 being the approved budget (as SK Funds ) for the contract to payments under the contract for the ADDITIONAL S</t>
  </si>
  <si>
    <t xml:space="preserve"> Republic of the Philippines Province of Surigao del Sur MUNICIPALITY OF BAYABAS INVITATION TO BID FOR CONSTRUCTION OF RIVER WALL , 1.	The Local Government of Bayabas, through its Local Government Support Fund-Financial Assistance (LGSF-FA) 2019 intends to</t>
  </si>
  <si>
    <t xml:space="preserve"> Occuptional Safety and Health Program Roadway Excavation</t>
  </si>
  <si>
    <t xml:space="preserve"> (ITB-28-2020) REQUEST TO SUBMIT QUOTATION OR PROPOSAL FOR THE VIDEO PRODUCTION OF DA-RFO 5 BANNER PROGRAM FOR INFORMATION ADVOCACY/CAMPAIGN AT APPROVED BUDGET FOR THE CONTRACT AMOUNTING TO THREE HUNDRED THOUSAND PESOS (PHP300,000.00) PURSUANT TO ALTERNATI</t>
  </si>
  <si>
    <t xml:space="preserve"> Invitation to Bid for Paniangan Road Concreting at Purok 5 1.	The Local Government Unit of Manticao intends to apply the sum of P 157,885	being the Approved Budget for the Contract (ABC) to payments under the contract. Bids received in excess of the ABC s</t>
  </si>
  <si>
    <t xml:space="preserve"> Portland Cement Concrete Pavement Stone Masonry</t>
  </si>
  <si>
    <t xml:space="preserve"> Republic of the Philippines PROVINCE OF QUIRINO Cabarroguis -oOo- BIDS AND AWARDS COMMITTEE INVITATION TO BID FOR  (Re-advertised) Improvement of Grandstands Contract No. PB-CW-2020-014 							June 30, 2020 1.	The Bids and Awards Committee (BAC) of the Pr</t>
  </si>
  <si>
    <t xml:space="preserve"> INVITATION TO BID: 1. Project Title: Construction of Academic and Office Building Phase I,  PUP  Rizal  Campus,  S.H.  Loyola  Street,  Sampaloc,  Manila  (Using  a  Design  and Build  Scheme) 2. Approved Budget for the Contract: Php 69,682,190.00 3. Pre-</t>
  </si>
  <si>
    <t xml:space="preserve"> Fix Glass; Glass Door; Sliding Door; Window Glass; Aircon</t>
  </si>
  <si>
    <t xml:space="preserve"> INVITATION TO BID FOR  Supply and Delivery of Android Tablets for Use at  Kolehiyo ng Lungsod ng Lipa  1.	The City Government of Lipa, through the Trust Fund (TF) of Kolehiyo ng Lungsod ng Lipa and General Fund (GF) of 2020 intends to apply the sum of For</t>
  </si>
  <si>
    <t xml:space="preserve"> JOSE B. LINGAD MEMORIAL REGIONAL HOSPITAL City of San Fernando, Pampanga Tel. No. (045) 961-3921 Date: June 30, 2020 No. 2020 – 06 - 203-S REQUEST FOR QUOTATION (Name of Agency) (Address) Sir/Madam: Please quote your lowest price on the item/s listed belo</t>
  </si>
  <si>
    <t xml:space="preserve"> 30 JUNE 2020 INVITATION TO BID FOR THE SUPPLY AND DELIVERY OF OFFICE, JANITORIAL AND ELECTRICAL SUPPLIES AND DEVICES  FOR VARIOUS OFFICES OF THE CITY GOVERNMENT (@CALOOCAN CITY HALL, 8TH ST. COR. 8TH AVE. GRACE PARK, CALOOCAN CITY) 	 	 1.	The City of Calo</t>
  </si>
  <si>
    <t xml:space="preserve"> Local Government Unit of Magsaysay  2020-06-0007  Procurement of Civil Works  Magsaysay, Lanao del Norte Standard Form Number: SF GOOD – 05 Revised on July 28, 2004 INVITATION TO APPLY FOR ELIGIBILITY AND TO BID The Local Government Unit of Magsaysay, thr</t>
  </si>
  <si>
    <t xml:space="preserve"> INVITATION TO BID FOR  Supply and Delivery of Laptops for Use at  Kolehiyo ng Lungsod ng Lipa  1.	The City Government of Lipa, through the Trust Fund (TF) of 2020 intends to apply the sum of   One Million Six Hundred Eighty-Eight Thousand Four Hundred Pes</t>
  </si>
  <si>
    <t xml:space="preserve"> Note: Please download the attached Request for Quotation which also the Terms of Reference, Bill of Quanties, Drawings/Plans and sample forms from the associated components found in this notice. Sir/Madam: Please  quote  your  lowest  price,  inclusive  o</t>
  </si>
  <si>
    <t xml:space="preserve"> Republic of the Philippines  Province of Cotabato Municipality of Arakan OFFICE OF THE BIDS &amp; AWARD COMMITTEE Invitation to Bid for Construction Of 1-Unit Tribal Hall 1.	The Barangay Government of Katipunan, through the Trust Fund intends to apply the sum</t>
  </si>
  <si>
    <t xml:space="preserve"> Invitation to Bid for Road Concreting at Purok 4, Pagawan 1.	The Local Government Unit of Manticao intends to apply the sum of P 118,617	being the Approved Budget for the Contract (ABC) to payments under the contract. Bids received in excess of the ABC sh</t>
  </si>
  <si>
    <t xml:space="preserve"> Invitation to Bid for Concreting of Cemetery Road 1.	The Local Government Unit of Manticao intends to apply the sum of P 367,415	being the Approved Budget for the Contract (ABC) to payments under the contract. Bids received in excess of the ABC shall be a</t>
  </si>
  <si>
    <t xml:space="preserve"> *Bids received in excess of the ABC shall be automatically rejected at bid opening. 2. The City Government through the Bids and Awards Committee (BAC) hereby invites all interested PhilGEPS registered contractors, and bidders to submit proposals and bids </t>
  </si>
  <si>
    <t xml:space="preserve"> Name of the Procuring Entity 					Project Reference No.                              				 					      Name of the Project:  Supply and Delivery of Aluminum Glass Sliding Door and Window to be used for the Repair of Feeder Port Terminal				 									 						</t>
  </si>
  <si>
    <t xml:space="preserve"> Republic of the Philippines DEPARTMENT OF PUBLIC WORKS AND HIGHWAYS BATANGAS II  DISTRICT ENGINEERING OFFICE REGIONAL OFFICE IV-A Kumintang Ilaya, Batangas City INVITATION TO BID For Local Infrastructure Program – Construction of Multi-Purpose Covered Cou</t>
  </si>
  <si>
    <t xml:space="preserve"> INVITATION TO BID FOR THE PURCHASE OF COMPUTERS AND COMPUTER PERIPHERALS/GOODS-2020-04 1.	The Philippine Science High School - CALABARZON Region Campus (PSHS-CALABARZONRC), through the General Appropriations Act of 2020 intends to apply the sum of Two Mil</t>
  </si>
  <si>
    <t xml:space="preserve"> 1. 192 Bd.ft. Lumber, 2x4x12 (24pcs.)</t>
  </si>
  <si>
    <t xml:space="preserve"> 2	units	"Vehicle Rentals 1. Seating Capacity: 12 2.Type: vehicle for off-road 3.Inclusive of fuel, toll fee and driver's meal and accommodation 4. Inclusive of comprehensive insurance coverage (CIC),  and Auto Passenger Insurance Coverage (APIC). "	 ₱50,0</t>
  </si>
  <si>
    <t xml:space="preserve"> The DPWH – Bulacan First District Engineering Office, through its Bids and Awards Committee (BAC), invites contractors to submit bids for the following Contract: Contract ID: 20CC0258 Contract Name: Construction of four storey twelve classroom – Mapulang </t>
  </si>
  <si>
    <t xml:space="preserve"> Local Government Unit of Magsaysay  2020-06-0006  Procurement of Civil Works  Magsaysay, Lanao del Norte Standard Form Number: SF GOOD – 05 Revised on July 28, 2004 INVITATION TO APPLY FOR ELIGIBILITY AND TO BID The Local Government Unit of Magsaysay, thr</t>
  </si>
  <si>
    <t xml:space="preserve"> SDR Pipes</t>
  </si>
  <si>
    <t xml:space="preserve"> (see bidding documents and other supporting papers in the associated component for further details)</t>
  </si>
  <si>
    <t xml:space="preserve"> Invitation to Bid for Road Concreting at Bagares Street  1.	The Local Government Unit of Manticao intends to apply the sum of P 333,265.00	being the Approved Budget for the Contract (ABC) to payments under the contract. Bids received in excess of the ABC </t>
  </si>
  <si>
    <t xml:space="preserve"> 30 JUNE 2020 INVITATION TO BID FOR THE SUPPLY AND DELIVERY OF OFFICE, JANITORIAL AND ELECTRICAL SUPPLIES AND DEVICES  FOR CALOOCAN CITY MEDICAL CENTER (@A.MABINI ST., CALOOCAN CITY) 	 	 1.	The City of Caloocan, through the General Fund of the 2020  Annual</t>
  </si>
  <si>
    <t xml:space="preserve"> CONCRETING OF ROAD @ BLK. 12 EXTENSION</t>
  </si>
  <si>
    <t xml:space="preserve"> The DPWH – Bulacan First District Engineering Office, through its Bids and Awards Committee (BAC), invites contractors to submit bids for the following Contract: Contract ID: 20CC0257 Contract Name: Construction of two storey four classroom – Borol 2nd El</t>
  </si>
  <si>
    <t xml:space="preserve"> Invitation to Bid for Road Concreting at Purok 2, Patag 1.	The Local Government Unit of Manticao intends to apply the sum of P 1,508,601.00 being the Approved Budget for the Contract (ABC) to payments under the contract. Bids received in excess of the ABC</t>
  </si>
  <si>
    <t xml:space="preserve"> INVITATION TO BID FOR  Provision of One (1) Year Subscription of Active Cloud-Based Learning Management System for Use at Kolehiyo ng Lungsod ng Lipa  1.	The City Government of Lipa, through the Trust Fund (TF) 2020 intends to apply the sum of Five Millio</t>
  </si>
  <si>
    <t xml:space="preserve"> Structure Excavation  Structural Concrete Reinforcing Steel Formworks &amp; Falseworks  100mm CHB Prepainted Metal Sheets Painting Works (Metal Painting) Metal Structures</t>
  </si>
  <si>
    <t xml:space="preserve"> 1	unit	Desktop Computer			 20,000.00  		System Unit Only			 		Quad Core or equivalent CPU mainboard with onboard graphics 4gb RAM to 8gb RAM (maximum capacity applicable within given budget) 1 TB hard drive tower casing			 1	unit	Notebook/Laptop Computer </t>
  </si>
  <si>
    <t xml:space="preserve"> INVITATION TO BID The Municipal Government of San Narciso, Quezon through its Bids and Award Committee (BAC), invites registered suppliers with DTI, Mayor’s Permit and PhilGEPS, if found eligible, to bid or the hereunder contract: Name of Contract : 	Inst</t>
  </si>
  <si>
    <t xml:space="preserve"> INVITATION TO BID FOR THE PROVISION OF LABOR, MATERIALS, EQUIPMENT AND OTHER INCIDENTALS NEEDED FOR THE IMPROVEMENT OF BUBUOS CAPURICTAN DIVERSION DAM (DD) AT BRGY. BUBUOS, SOLSONA, ILOCOS NORTE   1. The Department of Agriculture Regional Field Office 1 (</t>
  </si>
  <si>
    <t xml:space="preserve"> 1.	The Local Government Unit of Manticao intends to apply the sum of P 1,200,000 being the Approved Budget for the Contract (ABC) to payments under the contract. Bids received in excess of the ABC shall be automatically rejected at the bid opening. 2.	The</t>
  </si>
  <si>
    <t xml:space="preserve"> RFQ FOR CONSTRUCTION MATERIALS ONLY</t>
  </si>
  <si>
    <t xml:space="preserve"> INVITATION TO BID The Local Government Unit of Gitagum through its Bids and Awards Committee (BAC), Invites Suppliers/Manufacturers/Distributors/Contractors to apply for eligibility and to bid for the hereunder project:  Name of Project                   </t>
  </si>
  <si>
    <t xml:space="preserve"> Name of  Procuring Entity : DPWH Isabela 4th DEO		 Request for Quatation /(PR No.)		: RFQ-2020-0015	/	2020-06-0038 Requested on				Date		:June 29, 2020		 Standard Form/Title: REQUEST FOR QUOTATION		 Office/End-User		:Planning &amp; Design Section		 								 P</t>
  </si>
  <si>
    <t xml:space="preserve"> 1,000    CU.M.      ITEM 201 (SUPPLY AND DELIVERY ON SITE)</t>
  </si>
  <si>
    <t xml:space="preserve"> Name of  Procuring Entity : DPWH Isabela 4th DEO			 Request for Quatation /(PR No.)	:	RFQ-2020-0016	/	2020-06-0040 Requested on				Date	:	June 29, 2020		 Standard Form/Title: REQUEST FOR QUOTATION	 Office/End-User	:	ISABELA 4TH DEO		 								 Please qoute</t>
  </si>
  <si>
    <t xml:space="preserve"> Please see attached Request for Quotation and Terms and Conditions</t>
  </si>
  <si>
    <t xml:space="preserve"> INVITATION TO BID The Local Government Unit of Gitagum through its Bids and Awards Committee (BAC), Invites Contractors registered with and classified by the Philippine Contractors Accreditation Board (PCAB) to bid for the hereunder Contract.  Name of Pro</t>
  </si>
  <si>
    <t xml:space="preserve"> Name of  Procuring Entity : DPWH Isabela 4th DEO				 Request for Quatation /(PR No.)	:	RFQ-2020-0013	/	2020-06-0039 Requested on				Date	:	June 29, 2020		 Standard Form/Title: REQUEST FOR QUOTATION		 Office/End-User		:Isabela 4th DEO		 								 Please qou</t>
  </si>
  <si>
    <t xml:space="preserve"> Clearing &amp; Grubbing  Structure Excavation  Embankment (from borrow) Structural Concrete  Reinforcing Steel Formworks &amp; Falseworks  Fabricated Metal Roofing Accessories  Prepainted Metal Sheets  Cement Plaster Finish Painting Works (Metal Painting) Masonry</t>
  </si>
  <si>
    <t xml:space="preserve"> Name of  Procuring Entity : DPWH Isabela 4th DEO		 Request for Quatation /(PR No.)	:	RFQ-2020-0014	/	2020-06-0028 Requested on				Date		:June 29, 2020		 Standard Form/Title: REQUEST FOR QUOTATION			' Office/End-User		:Isabela 4th DEO		 								 	Please qo</t>
  </si>
  <si>
    <t xml:space="preserve"> Name of  Procuring Entity : DPWH Isabela 4th DEO				 Request for Quatation /(PR No.)	:	RFQ-2020-0011	/	2020-06-0031 Requested on	Date	:	June 29, 2020		 Standard Form/Title: REQUEST FOR QUOTATION				 Office/End-User		:Isabela 4th DEO		 								 Please qout</t>
  </si>
  <si>
    <t xml:space="preserve"> Purchase of 3 units Risograph Machines GENERAL SPECIFICATIONS: 1. Up to B4 paper size accommodation 2. Maximum speed of 130 copies per minute 3. DPI image resolution 600 x 600 dpi 4. Enlargement/ reduction Feature 5. Built-in Computer Interface 6. Direct </t>
  </si>
  <si>
    <t xml:space="preserve"> RFQ FOR CONSTRUCTION MATERIALS</t>
  </si>
  <si>
    <t xml:space="preserve"> INVITATION TO BID The municipality of Piagapo through the Bids and Awards Committee (BAC) invites accredited  suppliers for the items stated below: 1.  Project Reference No. :  2020-007- Supply and delivery of construction materials for the construction o</t>
  </si>
  <si>
    <t xml:space="preserve"> Please download the attached bidding document for more info about the project. For further information, please refer to: Mrs. Maria Flora T. Pandes or Mrs. Herbie B. De Lemios Department of Education-Division of Camarines Norte F. Pimentel Avenue, Baranga</t>
  </si>
  <si>
    <t xml:space="preserve"> Installation &amp; Maintenance of Streetlights                       P 76, 276.13</t>
  </si>
  <si>
    <t xml:space="preserve"> Republic of the Philippines Bangsamoro Autonomous Region in Muslim Mindanao Provincial Government of Maguindanao BIDS AND AWARDS COMMITTEE INVITATION TO BID FOR CONSTRUCTION OF COVERED COURT’S STAGE – BRGY. GANASI 1. The Provincial Government of Maguindan</t>
  </si>
  <si>
    <t xml:space="preserve"> Republic of the Philippines Bangsamoro Autonomous Region in Muslim Mindanao Provincial Government of Maguindanao BIDS AND AWARDS COMMITTEE INVITATION TO BID FOR CONSTRUCTION OF COVERED COURT - BRGY. KATIDTUAN 1. The Provincial Government of Maguindanao, t</t>
  </si>
  <si>
    <t xml:space="preserve"> The Zamboanga State College of Marine Sciences and Technology (ZSCMST), through its Bids and Awards Committee, is inviting PhilGeps registered suppliers to apply for eligibility and to submit bids for the items mentioned hereunder: B-038-2020  PROCUREMENT</t>
  </si>
  <si>
    <t xml:space="preserve"> Purchase of  materials for rehabilitation of school multi-purpose hall</t>
  </si>
  <si>
    <t xml:space="preserve"> I. SITEWORKS A. EXCAVATION B. GRAVEL BED II. CONCRETE WORKS A. STRUCTURAL CONCRETE B. REINFORCING BARS III. SCAFFOLDING BARS IV. STEEL WORKS</t>
  </si>
  <si>
    <t xml:space="preserve"> Quantity		Unit Issue			Item Description 16			length			RSB 16mm 13			length			RSB 10mm 2			kilos				Tie Wire #6 25			bags				Cement 1			cubic				Sand (Washed) 1			cubic				Gravel (Washed) 38			pieces			Lumber 2 x 2 8 2			pieces			Marine Plywood 5mmx4x8 2 	</t>
  </si>
  <si>
    <t xml:space="preserve"> I. TILE WORKS</t>
  </si>
  <si>
    <t xml:space="preserve"> For SHN-958 Toyota Hiu-acw 2   sets   Brake Pad 4   gals   Engine Oil 5   ltrs.   Coolant 4   ltrs.   Brake Fluid 4   pcs.   Oil Filter 4   pcs.    Air Filter 4   pcs.   Fuel Filter For SKS-237 Toyota Innova 4   pcs.   Wiper Blade 4   gals.   Engine Oil 2</t>
  </si>
  <si>
    <t xml:space="preserve"> Improvement of hand washing facility Qty.	Unit	Agency Specification	                           Bidders Specification 3	roll	Improvement of hand washing facility	    1"  pe pipe 25	pcs		                                                    2 reducer 1/3x1 9	</t>
  </si>
  <si>
    <t xml:space="preserve"> 1.	The Local Government Unit of Manticao intends to apply the sum of P 8, 548,249.78 being the Approved Budget for the Contract (ABC) to payments under the contract. Bids received in excess of the ABC shall be automatically rejected at the bid opening. 2.</t>
  </si>
  <si>
    <t xml:space="preserve"> AS PER APPROVED REQUISITION</t>
  </si>
  <si>
    <t xml:space="preserve"> Republic of the Philippines CITY GOVERNMENT OF ANTIPOLO Antipolo City INVITATION TO BID For the Supply &amp; Delivery of Drugs &amp; Medicines, Fluids &amp; Electrolytes The City Government of Antipolo, through the General Fund intends to apply the sum of P 22,640,90</t>
  </si>
  <si>
    <t xml:space="preserve"> Republic of the Philippines Bangsamoro Autonomous Region in Muslim Mindanao Provincial Government of Maguindanao BIDS AND AWARDS COMMITTEE INVITATION TO BID FOR CONSTRUCTION OF COVERED COURT – TUKA ELEMENTARY SCHOOL 1. The Provincial Government of Maguind</t>
  </si>
  <si>
    <t xml:space="preserve"> Republic of the Philippines Department of Health Western Visayas Center for Health Development  INVITATION TO BID FOR  Procurement of Hygiene Kit and Collapsible Water Drinking Container IB No. 2020-045 1.	The Department of Health- Western Visayas Center </t>
  </si>
  <si>
    <t xml:space="preserve"> Invitation to Bid for Day Care Center at Poblacion  1.	The Local Government Unit of Manticao intends to apply the sum of P 762,116.00 	being the Approved Budget for the Contract (ABC) to payments under the contract. Bids received in excess of the ABC shal</t>
  </si>
  <si>
    <t xml:space="preserve"> Supplies to be used in modular learning for Printer QTY	Unit	Bidders Specifications 4	pcs	Printer</t>
  </si>
  <si>
    <t xml:space="preserve"> Purchase of contactless handwashing facility</t>
  </si>
  <si>
    <t xml:space="preserve"> Republic of the Philippines Department of Health Western Visayas Center for Health Development  INVITATION TO BID FOR  Purchase of IT Supplies, Peripherals and Equipment IB NO.2020-042 1.	The Department of Health-Western Visayas Center for Health Developm</t>
  </si>
  <si>
    <t xml:space="preserve"> Republic of the Philippines Department of Health Western Visayas Center for Health Development  INVITATION TO BID FOR  Photography and Videography Services 				IB NO.2020-041 1.	The Department of Health- Western Visayas Center for Health Development, thro</t>
  </si>
  <si>
    <t xml:space="preserve"> Republic of the Philippines Department of Health Western Visayas Center for Health Development  INVITATION TO BID FOR  Rental of LED Wall and Audio System IB NO.2020-040 1.	The Department of Health- Western Visayas Center for Health Development, through t</t>
  </si>
  <si>
    <t xml:space="preserve"> INVITATION TO BID: 1. Project Title: Repair/Rehabilitation of Building and Structure (Improvement of Physical Planning and Development Office, Bids and Awards Committee &amp; Procurement Management Office) 2. Approved Budget for the Contract: Php 1,403,855.73</t>
  </si>
  <si>
    <t xml:space="preserve"> Invitation to Bid No.: 06-2020-05 Date: June 29, 2020 1. The Malaybalay City Water District, through the 2020 Corporate Budget for the contract approved by the Malaybalay City Water District Board of Directors intends to apply the sum of 738,200.00 being </t>
  </si>
  <si>
    <t xml:space="preserve"> CONCRETING OF ROAD</t>
  </si>
  <si>
    <t xml:space="preserve"> ROAD CONCRETING Item No.	Description 	Unit	Quantity PART A 	GENERAL REQUIREMENTS		 a	Const.Safety and Health Program	LS	 1.00  b	Project Billboard	Unit	 1.00  c	Mobilization/Demobilization	Lot	 1.00  PART B 			 I	Subgrade Preparation	sq.m.	 1,434.00  II	A</t>
  </si>
  <si>
    <t xml:space="preserve"> Republic of the Philippines Department of Health Western Visayas Center for Health Development  INVITATION TO BID FOR  Purchase of IT Software IB NO.2020-046 1.	The Department of Health-Western Visayas Center for Health Development through the GOP/Sub-All</t>
  </si>
  <si>
    <t xml:space="preserve"> Republic of the Philippines Department of Health Western Visayas Center for Health Development  INVITATION TO BID FOR  TV Plugging IB NO.2020-044 1.	The Department of Health- Western Visayas Center for Health Development, through the GOP/Sub-Allotment Fun</t>
  </si>
  <si>
    <t xml:space="preserve"> Republic of the Philippines Department of Health Western Visayas Center for Health Development  INVITATION TO BID FOR  Radio Plugging IB NO.2020-048 1.	The Department of Health- Western Visayas Center for Health Development, through the GOP/Sub-Allotment </t>
  </si>
  <si>
    <t xml:space="preserve"> 1. The  Municipality  of   Laua-an,  Antique   intends  to  apply  the  sum   of One Hundred Ninety Nine Thousand Nine Hundred Seventy One Pesos &amp; 24/100 Only (Php199,971.24) being the Approved  Budget  for the  Contract  (ABC) to payments under the contr</t>
  </si>
  <si>
    <t xml:space="preserve"> CONSTRUCTION OF REST ROOMS Item No.	Description 	Unit	Quantity PART A 	GENERAL REQUIREMENTS		 a	Const.Safety and Health Program	Lot	 1.00  b	Project Billboard	Unit	 1.00  PART B 			 I	Excavation Works, Uncommon	cu.m.	 48.00  II	Gravel Bedding	cu.m.	 5.50 </t>
  </si>
  <si>
    <t xml:space="preserve"> a. CONTRACT ID: RIZAL-17JULY2020-2 b. NAME OF PROJECT: Construction of Water System Level III &amp; Upgrading of Electrical Sevice Entrance at Sapang Elementary School, Brgy. Sapang, Binangonan, Rizal c. LOCATION: Brgy. Sapang, Binangonan, Rizal  d. BRIEF DES</t>
  </si>
  <si>
    <t xml:space="preserve"> I.			CONTRACT COST:		 1.0			DIRECT COST:	 	 1.1			EXCAVATION OF HOLES, ERECTION OF STEEL POLE &amp; RESTORATION OF EXCAVATED MATERIALS		29,000.00 1.2			SOLAR LAMP ACCESSORIES		697,148.00 2.0			INDIRECT COST:		 1.			OCM		18,153.70 2.			PROFIT		72,614.80 3.			T</t>
  </si>
  <si>
    <t xml:space="preserve"> a. CONTRACT ID: RIZAL-17JULY2020-7 b. NAME OF PROJECT: Asphalt Overlaying/Concrete Reblocking (portion) of J.P. Burgos St., Sitio Sambungan, Brgy. Bagumbong, Jalajala, Rizal c. LOCATION: Brgy. Bagumbong, Jalajala, Rizal d. BRIEF DESCRIPTION: Road improvem</t>
  </si>
  <si>
    <t xml:space="preserve"> ICT Products please refer to the Line-Item</t>
  </si>
  <si>
    <t xml:space="preserve"> a. CONTRACT ID: RIZAL-17JULY2020-5 b. NAME OF PROJECT: Construction of Fence, Riprap &amp; Concreting of School Ground at Taytay Senior High School, Brgy. Dolores, Taytay, Rizal c. LOCATION: Brgy. Dolores, Taytay, Rizal d. BRIEF DESCRIPTION: Construction of F</t>
  </si>
  <si>
    <t xml:space="preserve"> a. CONTRACT ID: RIZAL-17JULY2020-4 b. NAME OF PROJECT: Construction of 15x30m Ynares Multi-Purpose Covered Court at Taytay Senior High School, Brgy. Dolores, Taytay, Rizal c. LOCATION: Brgy. Dolores, Taytay, Rizal d. BRIEF DESCRIPTION: Construction of Yna</t>
  </si>
  <si>
    <t xml:space="preserve"> Project 2020-16: Purchase of 225mm dia. uPVC Pipes Series 8, Fixed Seal Approved Budget of the Contract: Php 1,479,974.98 Delivery Schedule: 45 Calendar Days</t>
  </si>
  <si>
    <t xml:space="preserve"> a. CONTRACT ID: RIZAL-17JULY2020-3 b. NAME OF PROJECT: Upgrading of Maria Clara St. (B. Pag-Asa - Rizal Avenue), Brgy. Sta. Ana &amp; Brgy. San Isidro, Taytay, Rizal c. LOCATION: Brgy. Sta. Ana &amp; Brgy. San Isidro, Taytay, Rizal  d. BRIEF DESCRIPTION: Road imp</t>
  </si>
  <si>
    <t xml:space="preserve"> a. CONTRACT ID: RIZAL-17JULY2020-1 b. NAME OF PROJECT: Construction of Elevated Water Tank, Installation of Water Distribution Lines &amp; Construction of Artesian Well at Brgy. Bombong &amp; Brgy. Rayap, Binangonan, Rizal a)  Construction of 4,000 gallons Elevat</t>
  </si>
  <si>
    <t xml:space="preserve"> 1. The Municipality of Laua-an, Antique intends to apply the sum of One Hundred Ninety Nine Thousand Nine Hundred Seventy One Pesos &amp; 24/100 Only (Php199,971.24) being the Approved Budget for the Contract (ABC) to payments under the contract Purchase of F</t>
  </si>
  <si>
    <t xml:space="preserve"> Republic of the Philippines Department of Health Western Visayas Center for Health Development  INVITATION TO BID FOR  Purchase of New Power Distribution Transformers for new DOH Building IB NO.2020-052 1.	The Department of Health-Western Visayas Center f</t>
  </si>
  <si>
    <t xml:space="preserve"> SEE ATTACHED DOCUMENTS</t>
  </si>
  <si>
    <t xml:space="preserve"> Republic of the Philippines Department of Health Western Visayas Center for Health Development  INVITATION TO BID FOR  Purchase of Oil Proof Performance Sprayer IB NO.2020-051 1.	The Department of Health-Western Visayas Center for Health Development throu</t>
  </si>
  <si>
    <t xml:space="preserve"> Republic of the Philippines Department of Health Western Visayas Center for Health Development  INVITATION TO BID FOR  Procurement of Emergency Newborn Kits IB No. 2020-054 1.	The Department of Health- Western Visayas Center for Health Development, throug</t>
  </si>
  <si>
    <t xml:space="preserve"> Republic of the Philippines Department of Health Western Visayas Center for Health Development  INVITATION TO BID FOR  Purchase of IT Consumables IB NO.2020-053 1.	The Department of Health-Western Visayas Center for Health Development through the GOP/Sub-</t>
  </si>
  <si>
    <t xml:space="preserve"> Description:		 			Road Section Length:   68 L.m		 			Roadway Width:  6.0 L.m		 			Pavement Width: 5.0 L.m 		 			Surface type:  PCCP Item 311		 			Thickness: 0.15 m.		 			CONTRACT COST		 	LOT 	1	SPECIAL ITEM- GENERAL CONDITIONS		 	LOT 	1	A. Mobilization an</t>
  </si>
  <si>
    <t xml:space="preserve"> Republic of the Philippines Department of Health Western Visayas -Center for Health Development  INVITATION TO BID FOR  Freight and Handling Services IB No. 2020-050 1.	The Department of Health Western Visayas Center for Health Development, through the 20</t>
  </si>
  <si>
    <t xml:space="preserve"> a. CONTRACT ID: RIZAL-17JULY2020-6 b. NAME OF PROJECT: Construction of 2-Storey Ynares Multi-Purpose Building at Palmera 1, Brgy. Dolores, Taytay, Rizal c. LOCATION: Brgy. Dolores, Taytay, Rizal  d. BRIEF DESCRIPTION: Construction of Ynares Multi-Purpose </t>
  </si>
  <si>
    <t xml:space="preserve"> I. SUBBASE &amp; BASE COURSE II. CONCRETE WORKS III. FORMWORKS</t>
  </si>
  <si>
    <t xml:space="preserve"> SPECIFICATIONS: Displacement: 2,480 to 2,500cc Type: 4-Cylinder, DOHC, Variable Turbo Charger with Intercooler Maximum Power: 185-195PS/3,500-3,600rpm Fuel: Diesel Fuel System: Common Rail Direct Injection Transmission:  6-Speed MT Wheels: 255/65 R17 Allo</t>
  </si>
  <si>
    <t xml:space="preserve"> Invitation to Bid for the Supply and Delivery of CCTV Camera for the use of Brgy. Dumantay, Batangas City</t>
  </si>
  <si>
    <t xml:space="preserve"> a. CONTRACT ID: RIZAL-17JULY2020-8 b. NAME OF PROJECT: Construction / Extension of Jalajala Municipal Building, Brgy. First District, Jalajala, Rizal c. LOCATION: Brgy. First District, Jalajala, Rizal  d. BRIEF DESCRIPTION: Construction of Building. e. MA</t>
  </si>
  <si>
    <t xml:space="preserve"> a. CONTRACT ID: RIZAL-17JULY2020-17 b. NAME OF PROJECT: Construction of Ynares Multi-Purpose Covered Court (Rafter Type) at Carissa Homes East-1, Brgy. Bagumbayan, Teresa, Rizal c. LOCATION: Brgy. Bagumbayan, Teresa, Rizal d. BRIEF DESCRIPTION: Constructi</t>
  </si>
  <si>
    <t xml:space="preserve"> A. Thermoplastic Kneader		 Type: Mechanical (double/single pot system)		 Dimension: 1800mm x 700 mm x 2060		 weight: 350 kgs		 Pot Capacity: 200kgs.		 Stirring Rotating Blades: 6 blades		 Driving System: Mechanical Gear Box		 Heat Source: LPG cylinder		 L</t>
  </si>
  <si>
    <t xml:space="preserve"> INVITATION TO QUOTE SUPPLY AND DELIVERY OF ONE (1) UNIT FORWARD TRUCK, ONE (1) UNIT CLOSED VAN AND ONE (1) UNIT REEFER VAN FOR USE IN THE IMPLEMENTATION OF CAMARINES NORTE PINEAPPLE TRADING AND PROCESSING PROJECT Solicitation No.:  PRDP-IR-R005-CAN-002-00</t>
  </si>
  <si>
    <t xml:space="preserve"> PLEASE SEE ATTACHED INVITATION TO BID</t>
  </si>
  <si>
    <t xml:space="preserve"> Invitation to Bid for the Supply and Delivery of various Medicine for the use of Brgy. San Jose Sico, Batangas City</t>
  </si>
  <si>
    <t xml:space="preserve"> The National Irrigation Administration-Regional Office XII, through the GAA Fund CY2019 and CY2020 intends to apply the sum of TWO MILLION SEVEN HUNDRED THOUSAND TEN PESOS &amp; 50/100 (P 2,700,010.50) being the Approved Budget for the Contract (ABC) to payme</t>
  </si>
  <si>
    <t xml:space="preserve"> a. CONTRACT ID: RIZAL-17JULY2020-15 b. NAME OF PROJECT: Repair/Repainting of Ynares School Bldg. at Virgilio B. Melendres Elem. School, Brgy. Takungan, Pililla, Rizal c. LOCATION: Brgy. Takungan, Pililla, Rizal  d. BRIEF DESCRIPTION: Improvement of Ynares</t>
  </si>
  <si>
    <t xml:space="preserve"> a. CONTRACT ID: RIZAL-17JULY2020-16 b. NAME OF PROJECT: Asphalt overlaying of Various Roads at Bancom Life Homes, Brgy. Gulod Malaya, San Mateo, Rizal c. LOCATION: Brgy. Gulod Malaya, San Mateo, Rizal d. BRIEF DESCRIPTION: Road improvement. e. MAJOR ITEM </t>
  </si>
  <si>
    <t xml:space="preserve"> a. CONTRACT ID: RIZAL-17JULY2020-13 b. NAME OF PROJECT: Asphalt Overlaying and Concrete Reblocking (portion) of Sitio Lipat-Lipat Road, Brgy. Hulo, Pililla, Rizal c. LOCATION: Brgy. Hulo, Pililla, Rizal d. BRIEF DESCRIPTION: Road improvement. e. MAJOR ITE</t>
  </si>
  <si>
    <t xml:space="preserve"> a. CONTRACT ID: RIZAL-17JULY2020-12 b. NAME OF PROJECT: Asphalt Overlaying and Concrete Reblocking (portion) of Sitio Ligua Road,  Brgy.  Hulo, Pililla, Rizal c. LOCATION: Brgy.  Hulo,  Pililla, Rizal  d. BRIEF DESCRIPTION: Road improvement. e. MAJOR ITEM</t>
  </si>
  <si>
    <t xml:space="preserve"> a. CONTRACT ID: RIZAL-17JULY2020-11 b. NAME OF PROJECT: Asphalt Overlaying and Concrete Reblocking (portion) of Sitio Bulacan 1 Road, Brgy. Bagumbayan, Pililla, Rizal c. LOCATION: Brgy. Bagumbayan, Pililla, Rizal d. BRIEF DESCRIPTION: Road improvement.  e</t>
  </si>
  <si>
    <t xml:space="preserve"> DEPARTMENTOF SOCIAL WELFARE AND DEVELOPMENT Regional  Office No. 10, Masterson Avenue, Upper Carmen, Cagayan de Oro City INVITATION TO BID FOR Rebidding of Purchase and Delivery of Supplies for Bahay Silungan use 1.	The Department of Social Welfare and De</t>
  </si>
  <si>
    <t xml:space="preserve"> PLEASE SEE PURCHASE REQUEST AND REQUEST FOR QUOTATION FOR SPECIFICATIONS</t>
  </si>
  <si>
    <t xml:space="preserve"> Rehabilitation of Post-Harvest Facility (Warehouse-tiles and painting works &amp; Solar Dryer-plastering of surface)</t>
  </si>
  <si>
    <t xml:space="preserve"> OFFICE SUPPLIES AND MATERIALS</t>
  </si>
  <si>
    <t xml:space="preserve"> a. CONTRACT ID: RIZAL-17JULY2020-10 b. NAME OF PROJECT: Construction of Stone Masonry Headwall (portion) of Wawa Boulevard, Brgy. Wawa, Pililla, Rizal c. LOCATION: Brgy. Wawa, Pililla, Rizal d. BRIEF DESCRIPTION: Slope protection. e. MAJOR ITEM OF WORK: S</t>
  </si>
  <si>
    <t xml:space="preserve"> Installation of 3-Phase Primary Line Extension with Transformer and Electrical Accessories</t>
  </si>
  <si>
    <t xml:space="preserve"> Republic of the Philippines Bangsamoro Autonomous Region in Muslim Mindanao Provincial Government of Maguindanao BIDS AND AWARDS COMMITTEE INVITATION TO BID FOR CONSTRUCTION OF POTABLE WATER SYSTEM – TINUNGKASAN 1. The Provincial Government of Maguindanao</t>
  </si>
  <si>
    <t xml:space="preserve"> a. CONTRACT ID: RIZAL-17JULY2020-14 b. NAME OF PROJECT: Asphalt Overlaying and Concrete Reblocking (portion) of P. Oleta St., Brgy. Wawa, Pililla, Rizal c. LOCATION: Brgy. Wawa, Pililla, Rizal  d. BRIEF DESCRIPTION: Road improvement. e. MAJOR ITEM OF WORK</t>
  </si>
  <si>
    <t xml:space="preserve"> SHOPPING AS MODE OF PROCUREMENT FOR SCHOOL AND OFFICE SUPPLIES OF SAN ANDRES ES FOR THE  FIRST QUARTER OF THE CALENDAR YEAR 2020</t>
  </si>
  <si>
    <t xml:space="preserve"> a. CONTRACT ID: RIZAL-17JULY2020-9 b. NAME OF PROJECT: Improvement / Concreting (portion) of Road at Sitio Yapak, Brgy. Lagundi, Morong, Rizal c. LOCATION: Brgy. Lagundi, Morong, Rizal d. BRIEF DESCRIPTION: Road improvement. e. MAJOR ITEM OF WORK: PCC Pav</t>
  </si>
  <si>
    <t xml:space="preserve"> INVITATION TO BID FOR Procurement of Various Surgical Sutures for CY 2020 IB NO: 2020-022 The Western Visayas Medical Center, throughInternally Generated Fund-Hospital Income/FY 2020 GAA, in the amount of Ten Million Six Hundred Twenty Seven Thousand One </t>
  </si>
  <si>
    <t xml:space="preserve"> Supplies to be used in modular learning for office supplies Unit	Bidders Specifications ream	Bondpaper ( Long) pcs	Ink (Black) pcs	Ink (Colored)</t>
  </si>
  <si>
    <t xml:space="preserve"> 30 JUNE 2020 INVITATION TO BID FOR THE SUPPLY AND DELIVERY OF OFFICE AND IT EQUIPMENT AND FURNITURE  FOR  VARIOUS OFFICES OF THE CITY GOVERNMENT 	 	 1.	The City of Caloocan, through the General Fund of the 2020  Annual City Budget approved under Sanggunia</t>
  </si>
  <si>
    <t xml:space="preserve"> Republic of the Philippines PROVINCE OF QUIRINO Cabarroguis -oOo- BIDS AND AWARDS COMMITTEE INVITATION TO BID FOR  Electrification of Cattle Breeding Center Contract No. PB-CW-2020-025 							June 30, 2020 1.	The Bids and Awards Committee (BAC) of the Pro</t>
  </si>
  <si>
    <t xml:space="preserve"> alcohol face mask cotton paracetamol amoxicillin 500mg mefenamic 500mg loperamide dicycloverine metronidazole vitamin c betadine citirizine saredon amlodepen 10mg</t>
  </si>
  <si>
    <t xml:space="preserve"> Republic of the Philippines PROVINCE OF NUEVA VIZCAYA Invitation to Bid for the  IMPROVEMENT OF NV BENGUET JCT.-KAYAPA CENTRAL-KAYAPA PROPER ROAD Located at Kayapa, Nueva Vizcaya  1.	The Provincial Government of Nueva Vizcaya, through the 20% Development </t>
  </si>
  <si>
    <t xml:space="preserve"> 50 pcs Plastic Chair big</t>
  </si>
  <si>
    <t xml:space="preserve"> PROVINCE OF NUEVA VIZCAYA Invitation to Bid for the  IMPROVEMENT OF CVR BATU-STO. DOMINGO-MANAMTAM ROAD Located at Bambang, Nueva Vizcaya  1.	The Provincial Government of Nueva Vizcaya, through the 20% Development Fund 2020 intends to apply the sum of Fou</t>
  </si>
  <si>
    <t xml:space="preserve"> IMPROVEMENT OF STREETLIGHTS @ BLK. 11, BLK. 12 &amp; BLK. 9</t>
  </si>
  <si>
    <t xml:space="preserve"> L=92LM;  W=1M,  T=0.15M</t>
  </si>
  <si>
    <t xml:space="preserve"> ENGINE:		 4-cylinder, in-line, direct injection, turbocharged and		 intercooled diesel engine; volume displacement= 4.1-4.3 liters;		 power output: 95-100kW @ 2,800 rpm; torque: ≥ 380N-m @ 		 1,400 - 1,800 rpm		 WEIGHT AND DIMENSION:		 gross vehicle weigh</t>
  </si>
  <si>
    <t xml:space="preserve"> 50 pcs Plastic Chair small</t>
  </si>
  <si>
    <t xml:space="preserve"> Republic of the Philippines PROVINCE OF NUEVA VIZCAYA Invitation to Bid for the  IMPROVEMENT OF GANAO-BIRUK ROAD Located at Dupax del Sur, Nueva Vizcaya  1.	The Provincial Government of Nueva Vizcaya, through the 20% Development Fund 2020 intends to apply</t>
  </si>
  <si>
    <t xml:space="preserve"> INVITATION TO BID FOR Supply of Materials and Installation of Office Partitions (Goods 2020-29) 1.	The LOCAL GOVERNMENT UNIT OF SAN MATEO, ISABELA (LGU-SMI), through its Bids and Awards Committee  intends to apply the sum of FOUR HUNDRED THOUSAND TWO HUND</t>
  </si>
  <si>
    <t xml:space="preserve"> Republic of the Philippines Municipality of Taytay Taytay, Palawan NOTICE TO BIDDERS Item # Qty Unit Description Amount 1.    3132   bags    Portland Cement  2.       20    pcs      2'' x 6'' x 20' x 1.5mm C-purlins  3.       10    kgs     3'' CW Nails  4</t>
  </si>
  <si>
    <t xml:space="preserve"> PURCHASE OF MATERIALS FOR THE CONSTRUCTION OF WOMEN'S BUILDING PHASE IV</t>
  </si>
  <si>
    <t xml:space="preserve"> PURCHASE OF MATERIALS FOR THE REHABILITATION OF SCHOOL MULTI-PURPOSE HALL</t>
  </si>
  <si>
    <t xml:space="preserve"> The Local Government Unit of, through the  DRRM Fund 70% for Preparation &amp; Mitigation CY 2020 intends to apply the sum of One Million Eighty Nine Thousand Nine Hundred Fifty (Php 1,089,950.00)  pesos only being the Approved Budget for the Contract (ABC) t</t>
  </si>
  <si>
    <t xml:space="preserve"> 35	 set 	15 watts LED Bulb 35	 pc 	4" dia PVC Receptacle 190	m	2.0mm2 THW Wire Stranded  255	m	#6 Duplxe Wire  2	roll	Electrical Tape (Big)</t>
  </si>
  <si>
    <t xml:space="preserve"> INVITATION TO BID FOR Supply &amp; Delivery of Jetmatic Pumps and Toilet Bowls (Goods 2020-34) 1.	The LOCAL GOVERNMENT UNIT OF SAN MATEO, ISABELA (LGU-SMI), through its Bids and Awards Committee  intends to apply the sum of SIX HUNDRED EIGHTY THOUSAND PESOS (</t>
  </si>
  <si>
    <t xml:space="preserve"> Republic of the Philippines Province of Davao De Oro MUNICIPALITY OF COMPOSTELA BIDS AND AWARDS COMMITTEE (BAC) Invitation to Bid for Installation of Water Tank/Concrete Reservoir at NHA, San Antonio Barangay Maparat (ITB NO. 2020-06-031 - BID NO. 001) 1.</t>
  </si>
  <si>
    <t xml:space="preserve"> ITEM #	QTY.	UNIT	ARTICLES AND DESCRIPTION				 1	200	heads	 Hen (ready to lay)				 2	40	heads	Head of Rooster				 3	1500	kgs.	Cracked Corn (good quality)				 4	1500	kgs.	Pellets (good quality)				 			x-x-x-x-x</t>
  </si>
  <si>
    <t xml:space="preserve"> Laptop/Computer</t>
  </si>
  <si>
    <t xml:space="preserve"> Supply &amp; Delivery of the following items: 28 lengths 12mmx6.0m deff steel bar 15 lengths 10mmx6.0m deff steel bar 20 cu.m. Washed Sand &amp; Gravel 80 bags Portland Cement 4 Kgs #4 CW Nails 5 Kgs #16 GI Tie Wire  14 sheets 8ft. x ga.24 Corr. GI sheet 2 sheets</t>
  </si>
  <si>
    <t xml:space="preserve"> Republic of the Philippines PROVINCE OF NUEVA VIZCAYA 2nd Invitation to Bid for the  CONSTRUCTION OF CUTAR FARMERS ASSOCIATION CIS Located at Aritao, Nueva Vizcaya  1.	The Provincial Government of Nueva Vizcaya, through the 2020 20% Development Fund inten</t>
  </si>
  <si>
    <t xml:space="preserve"> Republic of the Philippines PROVINCE OF NUEVA VIZCAYA Invitation to Bid for the  IMPROVEMENT OF DRAINAGE SYSTEM AT DEH Located at DEH, Diadi, Nueva Vizcaya  1.	The Provincial Government of Nueva Vizcaya, through the PGSO-(5-02-13-030) Infrastructure Asset</t>
  </si>
  <si>
    <t xml:space="preserve"> Republic of the Philippines PROVINCE OF NUEVA VIZCAYA Invitation to Bid for the  IMPROVEMENT OF OYAO-GANAO ROAD Located at Dupax del Norte and Dupax del Sur, Nueva Vizcaya  1.	The Provincial Government of Nueva Vizcaya, through the 20% Development Fund 20</t>
  </si>
  <si>
    <t xml:space="preserve"> Republic of the Philippines                       EASTERN VISAYAS STATE UNIVERSITY                                                                              Tacloban City                     										 BIDS AND AWARDS COMMITTEE INVITATION TO BID  SUPPL</t>
  </si>
  <si>
    <t xml:space="preserve"> ILOCOS NORTE 1ST DISTRICT ENGINEERING OFFICE Airport Ave. Brgy. Cavit, Laoag City, Ilocos Norte INVITATION TO BID The DPWH - Ilocos Norte 1st District Engineering Office, through its Bids and Awards Committee (BAC), invites contractors to submit bids fo0r</t>
  </si>
  <si>
    <t xml:space="preserve"> Republic of the Philippines Department of Health Western Visayas Center for Health Development  INVITATION TO BID FOR  Purchase of Bond Paper IB NO.2020-049 1.	The Department of Health-Western Visayas Center for Health Development through the GOP/Sub-Allo</t>
  </si>
  <si>
    <t xml:space="preserve"> 1st BIDDING The Barangay Government of Capacuan, Paracale, Camarines Norte invites all legitimate suppliers/bidders to submit their quotation for the project of Barangay Capacuan, Paracale, Camarines Norte. 1. Barangay Used 	2	pc        	Laptop 	1	pc		Pri</t>
  </si>
  <si>
    <t xml:space="preserve"> 1. 30800 ltr - Diesel 2. 200 ltr - Hydraulic oil 10w 3. 300 ltr - Engine oil 15w-40 4. 200 ltr - Engine oil 40 5. 50 ltr - Gear oil #90 6. 100 ltr - Gear oil #140 7. 60 ltr - Break fluid 8. 60 ltr. - Coolant 9. 20 kg - Grease</t>
  </si>
  <si>
    <t xml:space="preserve"> 1 unit of Aircon of Health Center</t>
  </si>
  <si>
    <t xml:space="preserve"> Republic of the Philippines Province of Ifugao Municipality of Asipulo BIDS AND AWARDS COMMITTEE INVITATION TO BID INFRASTRUCTURE PROJECTS The Municipal Government of Asipulo, through the Mun. Development Fund/Municipal Calamity Fund of 2020 intends to ap</t>
  </si>
  <si>
    <t xml:space="preserve"> Republic of the Philippines Municipality of Taytay Taytay, Palawan NOTICE TO BIDDERS Item # Qty Unit Description Amount 1. 1 Unit Construction of Multi-Purpose Hall (Barangay San Jose, Taytay, Palawan) The two envelope system of procurement shall be obser</t>
  </si>
  <si>
    <t xml:space="preserve"> INVITATION TO BID FOR SUPPLY AND DELIVERY OF VARIOUS LABORATORY SUPPLIES 1.	The Department of Agriculture Regional Field Office IX, through the GAA 2020 - (Support to Operations (STO) 2020) intends to apply the sum of ONE MILLION ONE HUNDRED NINETY-SIX TH</t>
  </si>
  <si>
    <t xml:space="preserve"> 1st POSTING 	 The Barangay Government of Capacuan, Paracale, Camarines Norte invites all legitimate suppliers to submit their quotation for the project of Barangay Capacuan, Paracale, Camarines Norte. BARANGAY HEALTH CENTER USED 	1	pc        		Refrigerato</t>
  </si>
  <si>
    <t xml:space="preserve"> Please see attached file. . . .</t>
  </si>
  <si>
    <t xml:space="preserve"> INVITATION TO BID The Municipal Government of Gumaca, through its Bids and Awards Committee (BAC), invites suppliers/ manufacturers/ distributors/ contractors, to bid for the hereunder contract: Name of Contract		:	PURCHASE OF DISASTER RESPONSE VEHICLE (D</t>
  </si>
  <si>
    <t xml:space="preserve"> BIDS AND AWARDS COMMITTEE REQUEST FOR QUOTATION The Barangay Unit of Lawagan, Labason, Z.N., invites all interested registered supplier to submit quotation for the Purchase of Construction Materials for the Comfort Room Phase - I at Lawagan, Labason, ZN: </t>
  </si>
  <si>
    <t xml:space="preserve"> Section I. Invitation to Bid   Provincial Government of Isabela SUPPLY AND DELIVERY OF 153 UNITS MINI DUMP TRUCK, ENGINE DISPLACEMENT: 2.7L, 4 X 2, 4 CYLINDER, 109HP, EURO 4 ENGINE, WITH 3 YEARS LTO REGISTRATION The Provincial Government of Isabela, throu</t>
  </si>
  <si>
    <t xml:space="preserve"> The Municipal Government of Atok, Benguet now invites bids for MDF CLUSTER 13-2020 PROJECTS AT CALIKING AND TOPDAC, ATOK, BENGUET with the following Clustered Projects: 1.	CONSTRUCTION OF PAVEMENT ALONG BELIS ROAD AT CALIKING WITH AN ABC OF P500,000.00; A</t>
  </si>
  <si>
    <t xml:space="preserve"> Procurement of Supply and Delivery of Office  Supplies &amp; Equipment 		Fuji Xerox DocuCentre 2320 2		Drum Cartridge 13		Toner PR# 2020-1002</t>
  </si>
  <si>
    <t xml:space="preserve"> Republic of the Philippines Municipality of Taytay Taytay, Palawan NOTICE TO BIDDERS Item # Qty Unit Description Amount 1. 1 Unit Construction of Multi-Purpose Hall (Barangay Liminangcong, Taytay, Palawan) The two envelope system of procurement shall be o</t>
  </si>
  <si>
    <t xml:space="preserve"> INVITATION TO BID  IB-2020-011-GOODS-FCSMO Repair of Three (3) Units Sinamics Variable Frequency Drive of Pump No. 5, 7, and 8 of Taguig Pumping Station 1.	The Metropolitan Manila Development Authority (“MMDA”), through the RA 11465 GENERAL APPROPRIATIONS</t>
  </si>
  <si>
    <t xml:space="preserve"> Please see attached Invitation to Bid for details</t>
  </si>
  <si>
    <t xml:space="preserve"> Standard Form Number: SF-GOODS-60 Revised on May 2004 PR. Number: 2020-010 RFQ No.: 2020-06-010 PR Date: June 22. 2020 Philgeps Ref. No. 2019-025 2020-010 End User: Municipality of Paombong Closing Date: July 29, 2020. ABC: P 1,932,484.20 Time: 1:30 PM Si</t>
  </si>
  <si>
    <t xml:space="preserve"> Republic of the Philippines PROVINCE OF NUEVA VIZCAYA Invitation to Bid for the  IMPROVEMENT OF MAKATBENG-KIMBUTAN-BELANCE ROAD Located at Dupax del Sur, Nueva Vizcaya  1.	The Provincial Government of Nueva Vizcaya, through the 20% Development Fund 2020 i</t>
  </si>
  <si>
    <t xml:space="preserve"> Project Title: TPB CORPORATE TOTE BAG Specifications: Size Bag : 14” (width) x 16.5” (height) x 3.5” (base &amp; side thickness) Handle : 3.30cm width x 27” length Weave cloth accent: 11.00cm (w) x 18”(h), both sides Material : Bull twill black with 210D lini</t>
  </si>
  <si>
    <t xml:space="preserve"> ITB NO.: 2020-E001 INVITATION TO BID FOR SUPPLY, DELIVERY and INSTALLATION OF  ONE (1) UNIT HOSPITAL BED ELEVATOR 1.	The PHILIPPINE ORTHOPEDIC CENTER (POC), through Hospital Income CY 2020, intends to apply the sum of  TEN MILLION PESOS (PhP 10,000,000.00</t>
  </si>
  <si>
    <t xml:space="preserve"> INVITATION TO BID FOR Supply &amp; Delivery of Starter Kits for DOLE Program Beneficiaries (Goods 2020-35) 1.	The LOCAL GOVERNMENT UNIT OF SAN MATEO, ISABELA (LGU-SMI), through its Bids and Awards Committee  intends to apply the sum of FIVE HUNDRED FORTY-SIX </t>
  </si>
  <si>
    <t xml:space="preserve"> Printing of Quarantine Passes w/ Layout 40,000 pcs 4.25 x 5x25 inches Foldcote 10 paper</t>
  </si>
  <si>
    <t xml:space="preserve"> The Municipal Government of Atok, Benguet now invites bids for MDF CLUSTER 14-2020 PROJECTS AT CATTUBO, ATOK, BENGUET with the following Clustered Projects: 1.	CONSTRUCTION OF CONCRETE PAVEMENT AT BITO-BOTIAO ROAD WITH AN ABC OF P800,000.00;  2.	CONSTRUCT</t>
  </si>
  <si>
    <t xml:space="preserve"> Intel Core i7 - 1051OU, 15.6FHD/8GB/2TB/MX 130 2GB/ MISC NO ODD Win 10/ac/bt/Silver/2/2/0</t>
  </si>
  <si>
    <t xml:space="preserve"> The Municipal Government of Atok, Benguet now invites bids for MDRRMF CLUSTER 4-2020 PROJECTS AT CATTUBO, CALIKING AND PAOAY, ATOK, BENGUET with the following Clustered Projects: 1.	REHABILITATION OF DRAINAGE CANAL AT BONGLO, PAOAY WITH AN ABC OF P150,000</t>
  </si>
  <si>
    <t xml:space="preserve"> Construction of two (2) production wells in brgy. Nakar and brgy. Centro 2, San guillermo, Isabela with 83 meters depth.</t>
  </si>
  <si>
    <t xml:space="preserve"> INVITATION TO BID FOR THE SUPPLY, INSTALLATION AND DELIVERY OF EQUIPMENT FOR THE NEWLY CONSTRUCTED PSAU INNOVATION CENTER- 2nd Posting PB-2020-101-009 1. The Pampanga State Agricultural University, through Fund 101, intends to apply the sum of P2,240,000.</t>
  </si>
  <si>
    <t xml:space="preserve"> FOR DENGUE PREVENTION USE LGU Cabagan Cabagan, Isabela</t>
  </si>
  <si>
    <t xml:space="preserve"> Republic of the Philippines Cordillera Administrative Region PROVINCIAL GOVERNMENT OF ABRA Bangued Invitation to Bid for  UPGRADING OF BITUEN-LACUB ROAD 1.	The Provincial Government of Abra, through the Government of the Philippines funded under the Condi</t>
  </si>
  <si>
    <t xml:space="preserve"> Purchase of Pocket Wifi with Sim and Load 200 pcs Pocket Wifi with Sim and Load can connect up to 5 devices simultaneously</t>
  </si>
  <si>
    <t xml:space="preserve"> No	Item &amp; Description	Unit	Qty	Unit Cost	 Bidders Quote per Unit 	 Total Bidders Quote   1	PAPER, MULTICOPY, 70gsm, legal	ream 	100			 2	PAPER, Multi-Purpose (COPY) A4, 70 gsm	ream 	10			 3	TOILET TISSUE PAPER 2-plys sheets, 150 pulls	pack	20			 4	GLUE, a</t>
  </si>
  <si>
    <t xml:space="preserve"> INVITATION TO BID NO. 003-06-2020 PROCUREMENT OF THE FIBER OPTIC INTERNET ENTERPRISE CONNECTION TO UPGRADE DEPED REGION XI OFFICE INTERNET NETWORK The Department of Education Region XI, through GAA 2020 Funds  intends to apply the sum of  Five Hundred Six</t>
  </si>
  <si>
    <t xml:space="preserve"> wash gravel wash sand portland cement 10mm rsb hacksaw tie wire 3/8 x4x8 ord. plywood 2x2x12 coco lumber common nails no. 3 2 1/2 common nails 1 1/2 common nails 4x8x16 chb angle bar 1/4x1.5xx1.5x20 angle bar 3/16x1x1x20 c purlins 12mmx3x20 welding rod ro</t>
  </si>
  <si>
    <t xml:space="preserve"> Republika ng Pilipinas PAMAHALAANG LUNGSOD NG TACLOBAN (City Government of Tacloban) Kanhuraw Hill, Tacloban City 6500 BIDS AND AWARDS COMMITTEE INVITATION TO BID  REF #044-06-2020 (JUNE 29, 2020) PR# 2020- DATED 01-09-2020 7071961 The Procuring Entity th</t>
  </si>
  <si>
    <t xml:space="preserve"> Invitation to Bid for the Consultancy Services for the Training Needs Assessment, Design, Development and Pilot Implementation of Training Programs on MSMEs Resiliency for the Creative Industries Sector: Film (with development of PTTC trainers) 1.	The Phi</t>
  </si>
  <si>
    <t xml:space="preserve"> INVITATION TO BID FOR PROCUREMENT OF MATERIALS FOR CONSTRUCTION OF VAWC OFFICE 1.	The Barangay Macabayao, through the 20% Barangay Development Fund intends to apply the sum of Seventy-Four Thousand Nine Hundred Eighty Pesos Only (Php74,980.00) being the A</t>
  </si>
  <si>
    <t xml:space="preserve"> INVITATION TO BID FOR THE PROCUREMENT OF SUPPLY &amp; DELIVERY OF ORGANIC FERTILIZER     1.	The Department of Agriculture Regional Field Office 6 through the General Appropriations Act (GAA) of 2020 intends to apply the sum of One Million Nine Hundred Seventy</t>
  </si>
  <si>
    <t xml:space="preserve"> INVITATION TO BID 						 for the                                                                                                                                                                                  Supply and Delivery of various Construction M</t>
  </si>
  <si>
    <t xml:space="preserve"> Printer Epson L3110 6 units epson ink 003</t>
  </si>
  <si>
    <t xml:space="preserve"> One Job furnishing Labor and Materials for the Rehabilitation / Construction of Drainage System</t>
  </si>
  <si>
    <t xml:space="preserve"> Republic of the Philippines Cordillera Administrative Region PROVINCIAL GOVERNMENT OF ABRA Bangued Invitation to Bid for  UPGRADING OF AGUIBO-MALIBCONG ROAD 1.	The Provincial Government of Abra, through the Government of the Philippines funded under the C</t>
  </si>
  <si>
    <t xml:space="preserve"> INVITATION TO BID FOR THE PROCUREMENT OF SUPPLY &amp; DELIVERY OF PRINTING OF IEC MATERIALS      1.	The Department of Agriculture Regional Field Office 6 through the General Appropriations Act (GAA) of 2020 intends to apply the sum of One Million Five Hundred</t>
  </si>
  <si>
    <t xml:space="preserve"> Item No.	Unit	Qty.	Description of Articles				 1	unit	1	X-RAY MACHINE WITH CR SYSTEM (BRAND NEW)				 			GENERATOR				 			  - Power Rating: 32 kW 				 			  - Line Power: 230V to 480V3, ±10% (Frequency: 50/60Hz)				 			   - mA Range: 10 to 500				 			   - k</t>
  </si>
  <si>
    <t xml:space="preserve"> INVITATION TO BID  IB-2020-012-GOODS-MIS Supply and Delivery of Additional Requirements for Innovative Document 1.	The Metropolitan Manila Development Authority (“MMDA”), through the 2019 LOCAL FUND  2020 Regular 2019  CONTINUING  intends to apply the sum</t>
  </si>
  <si>
    <t xml:space="preserve"> Improvement and Installation of the communication &amp; Internet System of the PMO-CRPIP NOTE: Jobber shall provide all materials, apparatus, equipment &amp; all other incidentals necessary in the scope of works. -Jobber shall be responsible of any necessary docu</t>
  </si>
  <si>
    <t xml:space="preserve"> 105(1) subgrade preparation  201      aggregate base course  311(1) PCC pavement plain  SPL-1   warning &amp; hazard signs  SPL-2   const. health &amp; safety  SPL-3   billboard</t>
  </si>
  <si>
    <t xml:space="preserve"> Invitation to Bid for the Consultancy Services for the Training Needs Assessment, Design, Development and Pilot Implementation of Training Programs on MSMEs Resiliency for the Lifestyle Sector: Clothing (with development of PTTC trainers) 1.	The Philippin</t>
  </si>
  <si>
    <t xml:space="preserve"> Invitation to Bid for the Consultancy Services for the Training Needs Assessment, Design, Development and Pilot Implementation of Training Programs on MSMEs Resiliency for the Creative Industries Sector: Animation (with development of PTTC trainers) 1.	Th</t>
  </si>
  <si>
    <t xml:space="preserve"> I N V I T A T I O N   T O   B I D 2020 - 119 June 29, 2020 1.	The Provincial Government of Tarlac through the TPH - Drugs and Medicines Expenses intends to apply the sum of Five Million One Hundred Seventy-Three Thousand Five Hundred Twenty-Seven Pesos an</t>
  </si>
  <si>
    <t xml:space="preserve"> INVITATION TO APPLY FOR ELIGIBILITY AND TO BID THE BIDS AND AWARD COMMITTEE OF THE MUNICIPALITY OF CAIBIRAN, BILIRAN IS INVITING ALL INTERESTED BIDDERS ON ITS FORTHCOMING PUBLIC BIDDING FOR: Project Title	: Acquisition of Air Conditioner Delivery Period	:</t>
  </si>
  <si>
    <t xml:space="preserve"> Invitation to Bid for the Consultancy Services for the Training Needs Assessment, Design, Development and Pilot Implementation of Training Programs on MSMEs Resiliency for the Food Manufacturing Sector: Processed Meat Products (with development of PTTC tr</t>
  </si>
  <si>
    <t xml:space="preserve"> See Attach File</t>
  </si>
  <si>
    <t xml:space="preserve"> Name of Projects: Construction of Retaining Wall @ Zumigui Creek -----------------	498,625.80 Location: Brgy. Zumigui	 	 Drainage Excavation along Lappa Creek ---------------------------	972,772.51 Location: Luna, Apayao</t>
  </si>
  <si>
    <t xml:space="preserve"> Invitation to Bid for the Consultancy Services for the Training Needs Assessment, Design, Development and Pilot Implementation of Training Programs on MSMEs Resiliency for the Creative Industries Sector: Gaming (with development of PTTC trainers) 1.	The P</t>
  </si>
  <si>
    <t xml:space="preserve"> CONSTRUCTION OF DRAINAGE WITH SIDEWALK Item No.	Description 	Unit	Quantity PART A 	GENERAL REQUIREMENTS		 a	Const.Safety and Health Program	Lot	 1.00  b	Project Billboard	Unit	 1.00  c	Mobilization/Demobilization	LS	 1.00  PART B 			 101	Removal of Existi</t>
  </si>
  <si>
    <t xml:space="preserve"> Please Download Attachments: 1.  Bidding Documents (Instructions to Bidders) 2.  Invitation to Bid (ITB/Bid Form) 3.  Schedule of BAC Activities for the Project (Bid Bulletin)</t>
  </si>
  <si>
    <t xml:space="preserve"> Invitation to Bid for the Consultancy Services for the Training Needs Assessment, Design, Development and Pilot Implementation of Training Programs on MSMEs Resiliency for the Food Manufacturing Sector: Processed Marine Products (with development of PTTC </t>
  </si>
  <si>
    <t xml:space="preserve"> Project Title:	New Construction of Level II Potable Water Supply System						 Location:	Cluster A-Acacia, San Isidro, Magsaysay, Davao del Sur						 Mode of Implementation:		By Contract					 Period of Implementation:		150 Calendar Days					 							 						</t>
  </si>
  <si>
    <t xml:space="preserve"> Project Title:	Installation of Complete CCTV Lines with Internet (2nd Publication)						 Location:	Magsaysay, Davao del Sur						 Contract Duration:		30 CD					 							 							 							 BILL OF QUANTITIES							 							 ITEM #	DESCRIPTION			UNIT	QTY.	UNIT </t>
  </si>
  <si>
    <t xml:space="preserve"> IMPVT/CONCRETING OF ROAD Item No.	Description 	Unit	Quantity PART A 	GENERAL REQUIREMENTS		 a	Const.Safety and Health Program	LS	 1.00  b	Project Billboard	Unit	 1.00  c	Mobilization/Demobilization	LS	 1.00  PART B 			 I	Item 500 -RCCP	l.m.	 42.00  II	Sto</t>
  </si>
  <si>
    <t xml:space="preserve"> Supply and Delivery 150	PC	Ballpen, superfine point, black 36	PC	Clip, Foldback  2", black (3 boxes/12 pcs per box) 60	PC	Correction Tape 3000	PC	Folder, file, for legal size paper 24	BT	Glue, Non-toxic, clear 380	REM	Paper Bond, A4, white, subs. 20 60	PC</t>
  </si>
  <si>
    <t xml:space="preserve"> MINI DUMP TRUCK, (Brand new), 4 Cylinders inline, water cooling,CDRI,15” Tire, inclusive of GSIS Insurance and LTO Registration</t>
  </si>
  <si>
    <t xml:space="preserve"> 352	     bags	       Portland cement	                                         28	     pcs	       9 mm dia x 6 m def bars 3.0 kgs	                 350       pcs	       4"x8"x16" CHB	                                         2	    kgs	       No. 16 G.I. Wire</t>
  </si>
  <si>
    <t xml:space="preserve"> Project Title:	Concreting of Farm to Market Road From Poblacion to Sitio Akasya, San Miguel						 Location:	Poblacion to Sitio Akasya, San Miguel, Magsaysay, Davao del Sur						 Road Length:		 676.66 lin.m. 					 Roadway Width:		 10m 					 Road Carriagewa</t>
  </si>
  <si>
    <t xml:space="preserve"> Installation of System with Complete Parts at Accessories</t>
  </si>
  <si>
    <t xml:space="preserve"> PLEASE SEE ATTACHED ITB.</t>
  </si>
  <si>
    <t xml:space="preserve"> Construction of Covered Court Stage with the following scope of works: 1.Earthworks 2.Concrete Works 3.Masonry 4.Electrical 5. Tile Works 6. Plumbing 7.Doors 8. Painting 9. Form and scaffolding</t>
  </si>
  <si>
    <t xml:space="preserve"> 105   subgrade preparation  201   aggregate base course  311   PCC pavement plain  SPL-1 warning &amp; hazard signs  SPL-2 const. health &amp; safety  SPL-3 billboard</t>
  </si>
  <si>
    <t xml:space="preserve"> 47	        bags	   Portland Cement 7	        cu.m	   Washed Screened Sand &amp; Gravel 62	        pcs	    12 mm dia x 6m def bars 32	        pcs	    9 mm dia x 6m def bars 10	       kgs	    No, 16 Tie Wire 100	        bd.ft     20 pcs - 2" x 2" x 10' Form Lum</t>
  </si>
  <si>
    <t xml:space="preserve"> I N V I T A T I O N   T O   B I D 2020 - 120 June 29, 2020 1.	The Provincial Government of Tarlac through the Trust Fund intends to apply the sum of Three Million Eight Hundred Twenty-Three Thousand Four Hundred Sixty-Six Pesos and 50/100 (PhP 3,823,466.5</t>
  </si>
  <si>
    <t xml:space="preserve"> 10 pcs Folding beds (heavy duty) 2 pcs Thermal scanner digital 1 set Bp apparatus with stethoscope (ALPK2) 1 set Medical Kit 1 gal Alcohol 70% with moiusturizer 10 pcs Handsoap 10 pcs Hand Sanitizer 1 pc Tent 20 x 30 maruyama 2 pcs Nylon rope #18</t>
  </si>
  <si>
    <t xml:space="preserve"> Project Title:	Construction of Double Barrel Box Culvert						 Location:	Glamang, Magsaysay, Davao del Sur						 Dimension:	3m x 3m x 10m						 Mode of Implementation:		By Contract					 Period of Implementation:		135 Calendar Days 					 							 BILL OF QU</t>
  </si>
  <si>
    <t xml:space="preserve"> SEE ATTACH FILE</t>
  </si>
  <si>
    <t xml:space="preserve"> Purchase of Herbicide and Nylon #300</t>
  </si>
  <si>
    <t xml:space="preserve"> Republic of the Philippines DEPARTMENT OF PUBLIC WORKS AND HIGHWAYS ILOILO 1st  DISTRICT ENGINEERING OFFICE Fort San Pedro Road, Iloilo City INVITATION TO BID FOR: 20GGF0019 – Procurement of Consumables/Spare parts of various printers for use in the Plann</t>
  </si>
  <si>
    <t xml:space="preserve"> Republic of the Philippines DEPARTMENT OF PUBLIC WORKS AND HIGHWAYS ILOILO 1st  DISTRICT ENGINEERING OFFICE Fort San Pedro Road, Iloilo City INVITATION TO BID FOR: 20GGF0018 – Procurement of various Office Supplies for use in the Planning and Design secti</t>
  </si>
  <si>
    <t xml:space="preserve"> Republic of the Philippines                   Department of Health	       CENTRAL OFFICE BIDS AND AWARDS COMMITTEE  INVITATION TO BID FOR THE PROCUREMENT OF MALARIA TEST KIT (ANTIGEN ASSAY) WITH MACHINE TIE-UP  IB NO. 2020-226 1.	The Department of Health </t>
  </si>
  <si>
    <t xml:space="preserve"> INVITATION TO BID FOR PROVISION OF MULTI-YEAR CONTRACT FOR THE PROCUREMENT OF FUEL FOR DSWD VEHICLES USING FLEET CARD DISTRIBUTOR/ CREDIT FACILITY FOR CY 2020-2022 Second (2nd) Posting —  ITB NO. GOP/20-DSWD-033-A— (PR NO. 01-20001-PR-2020-04-00098, 20200</t>
  </si>
  <si>
    <t xml:space="preserve"> I N V I T A T I O N   T O   B I D 2020 - 125 June 29, 2020 1.	The Provincial Government of Tarlac through the 20% DF - Infra Projects intends to apply the sum of Two Million Five Hundred Thousand Pesos Only (PhP 2,500,000.00) being the Approved Budget for</t>
  </si>
  <si>
    <t xml:space="preserve"> Republic of the Philippines Province of Surigao del Sur MUNICIPALITY OF CANTILAN OFFICE OF THE BIDS AND AWARDS COMMITTEE INVITATION TO BID The Municipality of Cantilan allocates fund from Special Trust Fund (LDRRMF) for the Supply of Labor &amp; Materials for</t>
  </si>
  <si>
    <t xml:space="preserve"> Republic of the Philippines Province of Surigao del Sur MUNICIPALITY OF CANTILAN OFFICE OF THE BIDS AND AWARDS COMMITTEE INVITATION TO BID The Municipality of Cantilan allocates fund from LDRRMO for the Supply &amp; Delivery of Two Units Rescue Vehicle. NAME </t>
  </si>
  <si>
    <t xml:space="preserve"> 1,620 Pails Aluminum Sulfate, (Solid/Lumps) 17% W/W AI2O3 with maximum 10%  Impurities, 50 kg./bag (contained/sealed In plastic), average size: (solid/lump):25-30mm</t>
  </si>
  <si>
    <t xml:space="preserve"> I N V I T A T I O N   T O   B I D 2020 - 124 June 29, 2020 1.	The Provincial Government of Tarlac through the 20% DF - Infra Projects intends to apply the sum of Three Million Pesos Only (PhP 3,000,000.00) being the Approved Budget for the Contract (ABC) </t>
  </si>
  <si>
    <t xml:space="preserve"> One Job furnishing labor and materials for the improvement / construction of Multi Purpose Hall</t>
  </si>
  <si>
    <t xml:space="preserve"> I N V I T A T I O N   T O   B I D 2020 - 123 June 29, 2020 1.	The Provincial Government of Tarlac through the 20% DF '20 - Improvement of Centro - Diwa intends to apply the sum of Three Million Six Hundred Twenty-One Thousand Five Hundred Fifty-Six Pesos </t>
  </si>
  <si>
    <t xml:space="preserve"> Republic of the Philippines Department of Health	 CENTRAL OFFICE BIDS AND AWARDS COMMITTEE  INVITATION TO BID FOR THE  PROCUREMENT OF NVBSP COLLATERALS IB NO. 2020-218 1.	The Department of Health (DOH), through the General Appropriations Act of 2020 and C</t>
  </si>
  <si>
    <t xml:space="preserve"> Republic of the Philippines DEPARTMENT OF PUBLIC WORKS AND HIGHWAYS ILOILO 1st  DISTRICT ENGINEERING OFFICE Fort San Pedro Road, Iloilo City INVITATION TO BID FOR: 20GGF0017 – Procurement of Oxygen (content only) and Acetylene (content only) for use in th</t>
  </si>
  <si>
    <t xml:space="preserve"> Supply of materials for the Construction of Public Comfort Room for Evacuation Center (Phase II)</t>
  </si>
  <si>
    <t xml:space="preserve"> pls see attached</t>
  </si>
  <si>
    <t xml:space="preserve"> 3RD QUARTER - 12,000.00 PESOS 4TH QUARTER - 12,000.00 PESOS</t>
  </si>
  <si>
    <t xml:space="preserve"> I N V I T A T I O N   T O   B I D 2020 - 129 June 29, 2020 1.	The Provincial Government of Tarlac through the 20% DF '20 - Improvement of IT Park and Dormitory intends to apply the sum of Two Hundred Thousand Nine Hundred Ninety-Nine Pesos and 73/100 (PhP</t>
  </si>
  <si>
    <t xml:space="preserve"> DESCRIPTION HP Elitebook 840 G6  •	Processor / Chipset:	Intel Core i7 (8th Gen) 8665U / 1.9 GHz •	RAM:	32GB •	Storage:	512 GB SSD - (M.2 2280) PCIe - NVM Express (NVMe) •	Software:		Windows PRO •	 Resolution:		1920 x 1080 pixels 2. DESKTOP COMPUTER i7  HP</t>
  </si>
  <si>
    <t xml:space="preserve"> Tablet Specs. -WiFi Ready -3G or 4G -7" Display Screen (1024 x 600) -Camera -GPS Chip (not assisted GPS through the Net) -at least Dual Core Processor or Higher -Android 4.1 or Higher -USB (to connect with the computer) -Li-ion 4000 Mah Battery (1200 hrs.</t>
  </si>
  <si>
    <t xml:space="preserve"> Republic of the Philippines Province of Surigao del Sur MUNICIPALITY OF CANTILAN OFFICE OF THE BIDS AND AWARDS COMMITTEE INVITATION TO BID The Municipality of Cantilan allocates fund from MMK Award for the Supply &amp; Delivery of Bangus Fingerlings. NAME OF </t>
  </si>
  <si>
    <t xml:space="preserve"> I N V I T A T I O N   T O   B I D 2020 - 126 June 29, 2020 1.	The Provincial Government of Tarlac through the 20% DF - Infra Projects intends to apply the sum of Two Million Three Hundred Thousand Pesos Only (PhP 2,300,000.00) being the Approved Budget fo</t>
  </si>
  <si>
    <t xml:space="preserve"> Construction of Bleacher, Roof and Fabrication of 1unit Movable Basketball Goal and 1 unit Hanging Basketball Goal and Const. Of Comfort Rooms (Male &amp; Female)</t>
  </si>
  <si>
    <t xml:space="preserve"> One (1) Lot Preventive Maintenance of the Radio Communication System for BSP Head Office and Security Plant Complex, as per BSP Terms of Reference Contract Duration: Shall commence on the date stipulated in the Notice to Proceed to be issued by the Securi</t>
  </si>
  <si>
    <t xml:space="preserve"> Invitation to Bid for CONSTRUCTION OF PATHWAY  1.	The Barangay Bacay II Local Government Unit, through the Government of the Philippines, General Appropriation Act 2018 intends to apply the sum of Seven Hundred Thousand Sixty Three  Eight Hundred Eighty E</t>
  </si>
  <si>
    <t xml:space="preserve"> I N V I T A T I O N   T O   B I D 2020 - 122 June 29, 2020 1.	The Provincial Government of Tarlac through the 20% DF '20 - Improvement of IT Center intends to apply the sum of Forty-Six Million Four Hundred Seventy-Nine Thousand Four Hundred Seventy-One P</t>
  </si>
  <si>
    <t xml:space="preserve"> Republic of the Philippines Cordillera Administrative Region PROVINCIAL GOVERNMENT OF ABRA Bangued Invitation to Bid for  IMPROVEMENT OF BUCAY-MANABO ROAD 1.	The Provincial Government of Abra, through the Budget for the Contract Approved by the Sanggunian</t>
  </si>
  <si>
    <t xml:space="preserve"> Aggregate Subbase Course  (For Intermittent Reblocking) Materials Only</t>
  </si>
  <si>
    <t xml:space="preserve"> Invitation to Bid for CONSTRUCTION OF TRIBAL CENTER 1. The Barangay Sawagan Local Government Unit, through the Government of the Philippines, General Appropriation Act 2018 intends to apply the sum of Three Million One Hundred Sixty Two Thousand Seven Hun</t>
  </si>
  <si>
    <t xml:space="preserve"> INVITATION TO BID The Local Government Unit of Jasaan, Jasaan, Misamis Oriental, through the 20% Development Fund (DF) intends to apply the sum of One Million Five Hundred Thousand Pesos and 00/100 (P1,500,000.00) being the Approved Budget for the Contrac</t>
  </si>
  <si>
    <t xml:space="preserve"> Invitation to Bid for CONSTRUCTION OF CHILD DEVELOPMENT CENTER 1.	The Barangay La Fortuna Local Government Unit, through the Government of the Philippines, General Appropriation Act 2018 intends to apply the sum of Two Million Two Hundred Fifty Three Thou</t>
  </si>
  <si>
    <t xml:space="preserve"> Invitation to Bid for CONSTRUCTION OF TRIBAL CENTER 1. The Barangay Don Mateo Local Government Unit, through the Government of the Philippines, General Appropriation Act 2018 intends to apply the sum of Three Million One Hundred Thirty Six Thousand Six Hu</t>
  </si>
  <si>
    <t xml:space="preserve"> I N V I T A T I O N   T O   B I D 2020 - 128 June 29, 2020 1.	The Provincial Government of Tarlac through the 20% DF '20 - Improvement of Concepcion District Hospital intends to apply the sum of Three Hundred Fifty Thousand Six Hundred Fifty-One Pesos and</t>
  </si>
  <si>
    <t xml:space="preserve"> INVITATION TO BID FOR  Construction of Multi-Purpose Building Phase-II (Procurement of Construction Materials) 1.	The Barangay Government of Napangan through the 2020 – 20% Barangay Development Fund intends to apply the sum of two hundred twenty thousand </t>
  </si>
  <si>
    <t xml:space="preserve"> FOR THIRD QUARTER - 1,800.00 FOR FOURTH QUARTER - 1,800.00</t>
  </si>
  <si>
    <t xml:space="preserve"> Section I. Invitation to Bid Republic of the Philippines PROVINCE OF CAGAYAN Municipality of Peñablanca PROVINCIAL BIDS AND AWARDS COMMITTEE INVITATION TO BID FOR  Supply and Delivery of Various Brand New Tires 1.	The Provincial Government of Cagayan, thr</t>
  </si>
  <si>
    <t xml:space="preserve"> 1.	The Quezon (Bukidnon) Water District (QBWD), through the Corporate Operating Budget CY 2020 intends to apply the sum of Twenty Three Million Seventy Four Thousand Two Hundred Forty Pesos &amp; 20/100  (Php 23,074,240.20) being the Approved Budget for the C</t>
  </si>
  <si>
    <t xml:space="preserve"> INVITATION TO BID The Local Government Unit of Jasaan, Jasaan, Misamis Oriental, through the GF – Mayor’s Office (Representation Expenses) intends to apply the sum of Two Million Nine Hundred Fifty Three Thousand One Hundred Forty Four Pesos and 60/100 (P</t>
  </si>
  <si>
    <t xml:space="preserve"> Republic of the Philippines City of Manila Office of the Barangay Chairman The Barangay 699, Zone 76, District 5, Manila Through its Bid and Awards Committee (BAC), Invites all supplier with Certificate of Accreditation duly approved by the City Council o</t>
  </si>
  <si>
    <t xml:space="preserve"> Purchase of Emulsified Asphalt SS-1, Bituminous Concrete Surface Course, Thermoplastic Paint (White), Glass Beads, Primer, LPG (50kg), LPG (11kg) and Calsumine</t>
  </si>
  <si>
    <t xml:space="preserve"> Republic of the Philippines Province of Palawan Municipality of Roxas   BIDS AND AWARDS COMMITTEE INVITATION TO BID  FOR THE CONSTRUCTION OF MULTI-PURPOSE COVERED HALL AT MATALANGAO ELEMENTARY SCHOOL, CANDELARIA ELEMENTARY SCHOOL AND NEW CUYO ELEMENTARY S</t>
  </si>
  <si>
    <t xml:space="preserve"> Republic of the Philippines Province of Palawan Municipality of Roxas BIDS AND AWARDS COMMITTEE INVITATION TO BID FOR THE SUPPLY AND DELIVERY OF MATERIALS FOR THE REHABILITATION OF SHARED FACILITY AT SITIO CALAETEN, BARANGAY MALCAMPO, ROXAS, PALAWAN The L</t>
  </si>
  <si>
    <t xml:space="preserve"> (SUPPLY AND INSTALLATION OF ELECTRICAL CONNECTION, HARDWARE &amp; ACCESSORIES FOR THE OPERATION OF MUNICIPAL LANDFILL)</t>
  </si>
  <si>
    <t xml:space="preserve"> INVITATION TO BID FOR THE SUPPLY, DELIVERY AND INSTALLATION OF AIRCON UNITS AT THE GS BUILDING-2nd Posting PB-2020-184-010 1. The Pampanga State Agricultural University, through Fund 184, intends to apply the sum of P773,000.00 being the Approved Budget f</t>
  </si>
  <si>
    <t xml:space="preserve"> Republic of the Philippines PROVINCE OF ZAMBALES IBA BIDS AND AWARDS COMMITTEE Invitation to Bid for the Package IV: Construction of Multi-Purpose Hall with Comfort Rooms for Male, Female and PWDs and Solar Panel Roofing and Construction of Water System w</t>
  </si>
  <si>
    <t xml:space="preserve"> Republic of the Philippines Province of Palawan Municipality of Roxas BIDS AND AWARDS COMMITTEE INVITATION TO BID FOR THE SUPPLY AND DELIVERY OF TIRES FOR VARIOUS VEHICLES The Local Government Unit of Roxas, Palawan, through the 2020 Annual Budget intends</t>
  </si>
  <si>
    <t xml:space="preserve"> Republic of the Philippines Province of Occidental Mindoro MUNICIPALITY OF PALUAN Invitation to Bid for Rehabilitation of Multi-Purpose Hall/Tinangra  1.	The Local Government Unit of  Barangay IX-Tubili, Paluan, Occidental Mindoro  intends to apply the su</t>
  </si>
  <si>
    <t xml:space="preserve"> I N V I T A T I O N   T O   B I D 2020 – 121 June 29, 2020 1.	The Provincial Government of Tarlac through the PGO - Capital Outlay - Motor Vehicles intends to apply the sum of One Million Six Thousand One Hundred Twenty-Eight Pesos Only (PhP 1,006,128.00)</t>
  </si>
  <si>
    <t xml:space="preserve"> REPUBLIC OF THE PHILIPPINES National Office, Diliman, Quezon City             June 24, 2020 INVITATION TO BID 1.	The Bureau of Internal Revenue – National Office (BIR-NO), through the General Appropriations Act (GAA) FY 2020, intends to apply the sum of t</t>
  </si>
  <si>
    <t xml:space="preserve"> The Municipal Government of Atok, Benguet now invites bids for PROCUREMENT OF ONE (1) UNIT PASSENGER VAN FOR THE OFFICIAL USE OF MUNICIPAL OFFICIALS AND EMPLOYEES, ATOK, BENGUET with the following description: ONE (1) UNIT PASSENGER VAN (For general urban</t>
  </si>
  <si>
    <t xml:space="preserve"> Republic of the Philippines Province of Palawan Municipality of Roxas BIDS AND AWARDS COMMITTEE INVITATION TO BID FOR THE SUPPLY AND DELIVERY OF MATERIALS FOR THE INSTALLATION OF WATER TANKS AND LATRINES FOR EVACUATION CENTERS IN ROXAS, PALAWAN The Local </t>
  </si>
  <si>
    <t xml:space="preserve"> INVITATION TO BID FOR THE PROCUREMENT OF SUPPLY &amp; DELIVERY OF NSIC APPROVED HYBRID RICE SEEDS     1.	The Department of Agriculture Regional Field Office 6 through the General Appropriations Act (GAA) of 2020 intends to apply the sum of Eleven Million Peso</t>
  </si>
  <si>
    <t xml:space="preserve"> Republic of the Philippines DEPARTMENT OF PUBLIC WORKS AND HIGHWAYS QUEZON I  District Engineering Office 					     Regional Office IV-A        Lucban, Quezon INVITATION TO BID The  Department  of  Public  Works  and  Highways (DPWH), Quezon 1st District </t>
  </si>
  <si>
    <t xml:space="preserve"> INVITATION TO BID  IB-2020-014-GOODS-FCSMO Supply and Delivery of Tool Box for use in the Repair and Maintenance of Various Pumping Station 1.	The Metropolitan Manila Development Authority (“MMDA”), through the RA 11465 GENERAL APPROPRIATIONS ACT Regular </t>
  </si>
  <si>
    <t xml:space="preserve"> Diesoline, Gasoline and other Petroleum Products</t>
  </si>
  <si>
    <t xml:space="preserve"> BELEN		 Doors &amp; Windows	16.74	Sq.m. Ceiling Repair	5.18	Sq.m. Tile works	30.67	Sq.m. Water Supply Systems	1	lot BUNGRO		 Works area enclosure (extension)	9.60	Sq.m. Miscellaneous works	1	lot BUSIING		 Window grills with aluminum expanded screen	14.49	Sq.m</t>
  </si>
  <si>
    <t xml:space="preserve"> Republic of the Philippines Province of Ilocos Sur Municipality of San Juan Barangay Lira OFFICE OF THE BIDS AND AWARDS COMMITTEE INVITATION TO APPLY FOR ELIGIBILITY AND TO BID The Barangay Lira,San Juan,Ilocos Sur through the Bids and Awards Committee(BA</t>
  </si>
  <si>
    <t xml:space="preserve"> INVITATION TO BID  IB-2020-013-GOODS-PRFS Supply of Fiberglass Reinforced Plastic Pontoon with Polycarbonate Canopy for the use of Escolta-Pasig River Ferry 1.	The Metropolitan Manila Development Authority (“MMDA”), through the 2019 LOCAL FUND  2020 Regul</t>
  </si>
  <si>
    <t xml:space="preserve"> Projectors,Computer printers, Desktop Computers, Laptop Computer, Sound System, Table microphone</t>
  </si>
  <si>
    <t xml:space="preserve"> Air-conditioner, Ceiling Fan, Outdoor LED Screen, Outdoor Drinking Water</t>
  </si>
  <si>
    <t xml:space="preserve"> 48-50 meters long concrete footbridge</t>
  </si>
  <si>
    <t xml:space="preserve"> REQUEST FOR EXPRESSION OF INTEREST (REI) FOR 20CSCE005-CONSULTING SERVICES FOR THE CONDUCT OF a.) PARCELLARY SURVEY b.) DETAILED ENGINEERING SURVEY c.)STRUCTURAL/UTILITY/FACILITIES SURVEY d.)MONUMENTING e.)RESEARCH WORKS for the CONSTRUCTION OF RIZAL BY-P</t>
  </si>
  <si>
    <t xml:space="preserve"> Please refer to attached Invitation to Bid (ITB) for complete details. The Project Sites are: For Lots 1-4: Davao Herbal Processing Plant, J.P. Laurel Ave, Bajada, Davao City For Lots 5-9: Cagayan Valley Herbal Processing Plant, Carig, Tuguegarao City</t>
  </si>
  <si>
    <t xml:space="preserve"> Assorted Plants, soil, fertilizer, garden supplies</t>
  </si>
  <si>
    <t xml:space="preserve"> Republic of the Philippines Province of Ilocos Sur Municipality of San Juan Barangay Lira  OFFICE OF THE BIDS AND AWARDS COMMITTEE INVITATION TO APPLY FOR ELIGIBILITY AND TO BID The Barangay Lira,San Juan,Ilocos Sur through the Bids and Awards Committee(B</t>
  </si>
  <si>
    <t xml:space="preserve"> Republic of the Philippines BARANGAY DAGATAN OFFICE OF THE PUNONG BARANGAY BIDS AND AWARDS COMMITTEE INVITATION TO BID The Barangay Government of BARANGAY DAGATAN through its Bids and Awards Committee (BAC), invites suppliers/manufacturers/distributors to</t>
  </si>
  <si>
    <t xml:space="preserve"> Conference table and chairs</t>
  </si>
  <si>
    <t xml:space="preserve"> Republic of the Philippines Province of Ilocos Sur Municipality of San Juan Barangay Sabangan OFFICE OF THE BIDS AND AWARDS COMMITTEE INVITATION TO APPLY FOR ELIGIBILITY AND TO BID The Barangay Sabangan,San Juan,Ilocos Sur through the Bids and Awards Comm</t>
  </si>
  <si>
    <t xml:space="preserve"> Supplies and Materials for Livelihood/Entrepreneurship Activities</t>
  </si>
  <si>
    <t xml:space="preserve"> 220		Pcs	60x60 Floor Tiles 19		Pcs	Tile Adhesive 5		Pcs	Tile Grout	 25		Pcs	Marine Plywood 1/4 105		Pcs	Good Lumber 2x2x12 5		Kls	CWN 2"	 10		Kls	CWN 3"	 2		Kls	CWN 1½"	 3		Kls	Concrete Nail 37		Pcs	Coco Lumber 2x3x12 120		bags	Cement	 8		cu m	Sand	 92		P</t>
  </si>
  <si>
    <t xml:space="preserve"> Test Paper 3rd Quarter - 4, 039.00 4th Quarter - 4, 039.00  total amount of 8,078.00 Pesos</t>
  </si>
  <si>
    <t xml:space="preserve"> Republic of the Philippines Province of Romblon MUNICIPALITY OF ALCANTARA -o0o- Invitation to Bid for   CONSTRUCTION OF TUGDAN SEAWALL Tugdan, Alcantara, Romblon The Municipal Government of Alcantara, Romblon through the  20% Annual Development Fund 2020 </t>
  </si>
  <si>
    <t xml:space="preserve"> CONSTRUCTION OF ONE UNIT - TWO CLASSROOM  SCHOOL BUILDING 1.	The Barangay Sisimon Local Government Unit, through the Government of the Philippines, General Appropriation Act 2018 intends to apply the sum of Three Million Eight Hundred Sixty Four Thousand </t>
  </si>
  <si>
    <t xml:space="preserve"> Republic of the Philippines Municipality of Taytay Taytay, Palawan NOTICE TO BIDDERS Item # Qty Unit Description Amount 1.    1    Unit    Construction of Multi-Purpose Hall (So. Malinao, Bgy. Libertad, Taytay, Palawan) The two envelope system of procurem</t>
  </si>
  <si>
    <t xml:space="preserve"> BARANGAY GOVERNMENT OF NABAG-O City of Valencia INVITATION TO BID FOR  SUPPLY AND DELIVERY OF MATERIALS FOR THE IMPROVEMENT OF PUBLIC CEMETERY (TOILET) 1.	The BARANGAY GOVERNMENT OF NABAG-O, through the 2019 &amp; 2020 Annual Budget  intends to apply the sum </t>
  </si>
  <si>
    <t xml:space="preserve"> BARANGAY GOVERNMENT OF NABAG-O City of Valencia INVITATION TO BID FOR  SUPPLY AND DELIVERY OF 2 UNITS 3 TONNER FLOOR STANDING AIRCONDITIONER 1.	The BARANGAY GOVERNMENT OF NABAG-O, through the 2020 Annual Budget  intends to apply the sum of One hundred fif</t>
  </si>
  <si>
    <t xml:space="preserve"> 100 pcs Folder Long 100 pcs Folder short 2 boxes fastener 2boxes staple wire #35 2 dozens ballpen black 1 dozen ballpen red 3 pcs broom 6 cans tycoon 10 pcs record book - 500pages 16 pcs columnar 18/20 column 2 pcs scissor 1 pc puncher 1 pc plastic tape h</t>
  </si>
  <si>
    <t xml:space="preserve"> Republic of the Philippines PROVINCE OF NUEVA VIZCAYA Invitation to Bid for the  IMPROVEMENT OF DIFFUDAY-BONIFACIO ROAD Located at Quezon, Nueva Vizcaya  1.	The Provincial Government of Nueva Vizcaya, through the 20% Development Fund 2020 intends to apply</t>
  </si>
  <si>
    <t xml:space="preserve"> Procurement of supply and delivery of Agricultural Supplies/Seeds 447	bags	NSIC Approved OPV White Glutinous Corn Seeds @ 20 kilograms per bag *Date of harvest not earlier than June, 2020 •	With Seed Tag specified the following: Lot number, Germination ra</t>
  </si>
  <si>
    <t xml:space="preserve"> I	Site Clearing lay-out &amp; Staking	800	Sq.m. II	Excavation	136.35	Cu.m. III	Perimeter fence	20.00	l.m IV	Portland Cement Concrete pavement with base course aggregate, reinforcement and forms	68.586	Cu.m. V	Drainage canal	110.00	l.m. VI	Steel grating canal </t>
  </si>
  <si>
    <t xml:space="preserve"> 2,000 bags cement &amp; 50 drums asphalt, cold mix FOR PEO</t>
  </si>
  <si>
    <t xml:space="preserve"> Invitation to Bid FOR THE UPLB-I-020-07-20 SUPPLY, DELIVERY, INSTALLATION, TESTING AND COMMISSIONING OF FIVE (5) AIRCONDITIONING UNITS AND TWO (2) UNITS AIR CURTAIN FOR OICA 1.	The UNIVERSITY OF THE PHILIPPINES LOS BAÑOS (UPLB), through the GOP (RCC: LB03</t>
  </si>
  <si>
    <t xml:space="preserve"> REQUEST FOR EXPRESSION OF INTEREST (REOI) FOR CONSULTING SERVICES  19CSK00057 – Cluster - Consultancy Services for the Conduct of Feasibility Study for Region X Priority Road Infrastructure Projects-26 (REXPRIP-26), Total Length = 56.62 km:  a.) Quezon By</t>
  </si>
  <si>
    <t xml:space="preserve"> PURCHASE OF MATERIALS FOR THE CONSTRUCTION OF OSCA BUILDING PHASE VIII</t>
  </si>
  <si>
    <t xml:space="preserve"> Construction materials and other office supplies.</t>
  </si>
  <si>
    <t xml:space="preserve"> NAME OF PROJECT:  Fabrication/Installation of Floating Dock (Pontoon)                         LOCATION OF THE PROJECT:   Dancalan, Donsol, Sorsogon PROJECT REFERENCE NO     GOODS-PB-2020-005 Approved Budget for the Contract (ABC): ₱ 5,988,000.00 1	488	Pcs</t>
  </si>
  <si>
    <t xml:space="preserve"> Cleaning Supplies and Materials</t>
  </si>
  <si>
    <t xml:space="preserve"> Section I. Invitation to Bid   Republic of the Philippines CITY GOVERNMENT OF SAN FERNANDO Barangay Pupus Email: brgy_puspus_csf@yahoo.com.ph INVITATION TO BID FOR  Rehabilitation of Health Center Barangay Puspus, City of San Fernando 1.	The Barangay Pusp</t>
  </si>
  <si>
    <t xml:space="preserve"> NAME OF PROJECT:  Fabrication, Accession of Furniture and Fixtures                        LOCATION OF THE PROJECT:  Donsol, Sorsogon PROJECT REFERENCE NO     GOODS-PB-2020-006 Approved Budget for the Contract (ABC): ₱ 995,000.00 1	7	set	Office Table with </t>
  </si>
  <si>
    <t xml:space="preserve"> Republic of the Philippines CITY GOVERNMENT OF SAN FERNANDO Barangay II Email: brgy_two_csf@yahoo.com.ph INVITATION TO BID FOR  PROCUREMENT AND DELIVERY OF ONE (1) UNIT BRAND NEW MOTORCYCLE 1.	The Barangay II, through the Barangay Fund intends to apply th</t>
  </si>
  <si>
    <t xml:space="preserve"> Republic of the Philippines  Barangay 617, Zone 61, District VI, Manila Bids and Awards Committee INVITATION TO BID Barangay 617, Zone 61, District VI, Manila through its Bids and Awards Committee (BAC), Invites all Suppliers Contractors to bid the here u</t>
  </si>
  <si>
    <t xml:space="preserve"> Republika ng Pilipinas PAMAHALAANG LUNGSOD NG TACLOBAN (City Government of Tacloban) BIDS AND AWARDS COMMITTEE INVITATION TO BID (June 29, 2020) 20-017 7073140 The City Government of Tacloban thru the Special Education Fund-Current Appropriation, intends </t>
  </si>
  <si>
    <t xml:space="preserve"> SCOPE OF WORKS: I. FORMS &amp; SCAFFOLDING: II. CARPENTRY WORKS: (CEILING WORKS, KITCHEN CABINET,      BUILT IN CABINET 3 DOORS III. CONCRETE, MASONRY WORKS (KITCHEN SINK        SEPTIC TANK &amp; CATCH BASIN IV.  TILE WORKS: V.   SPECIAL ITEM (ACCESSORIES) VI.  P</t>
  </si>
  <si>
    <t xml:space="preserve"> NAME OF PROJECT:  Procurement of Personal Protective Equipment for MDRRMO                          LOCATION OF THE PROJECT:   LGU-Donsol, Sorsogon PROJECT REFERENCE NO     GOODS-PB-2020-004 Approved Budget for the Contract (ABC): ₱ 342,000.00 1	piece	18	T</t>
  </si>
  <si>
    <t xml:space="preserve"> Republic of the Philippines CITY GOVERNMENT OF SAN FERNANDO Barangay Pagadaraon Email: barangay_pagdaraoan_csf_lu_2019@yahoo.com INVITATION TO BID FOR  Rehabilitation of Multi-Purpose Hall Barangay Pagdaraoan, City of San Fernando 1.	The Barangay Pagdarao</t>
  </si>
  <si>
    <t xml:space="preserve"> Republic of the Philippines City of Dapitan BIDS AND AWARDS COMMITTEE INVITATION TO BID June 25, 2020 	 The City Government of Dapitan, through its Bids and Awards Committee (BAC), invites interested parties to apply for eligibility and, if found eligible</t>
  </si>
  <si>
    <t xml:space="preserve"> ~~~~~~~~~~~~~~~~~~~~~~~~~~~~~~~~~~~~~~~~~~~~~~~~~~~~~~~~~~~ 	20		CUM		SAND   = _____________________________________________________________ 	10		CUM		GRAVEL  = _____________________________________________________________				 	1,700	PCS.		HOLLOW BLOCKS #</t>
  </si>
  <si>
    <t xml:space="preserve"> Republic of the Philippines Municipality of Taytay Taytay, Palawan NOTICE TO BIDDERS Item # Qty Unit Description Amount 1. 1 Unit Construction of Multi-Purpose Hall (So. Nalbot, Bgy. Poblacion, Taytay, Palawan) The two envelope system of procurement shall</t>
  </si>
  <si>
    <t xml:space="preserve"> Procurement ID/Contract ID		:  20 IK 0098     Contract Name				:  Construction of Modified Design with Parapet of 4-strorey, Twenty (20)     Classroom School Building project     Contract Location			:  Catbalogan II Central Elementary School, Catbalogan C</t>
  </si>
  <si>
    <t xml:space="preserve"> Republic of the Philippines Province of Masbate Municipality of Claveria Construction of One (1) Storey, 474 Square  Meters DRRM Building  The MLGU-Claveria, Masbate, through the General Fundintends to apply the sum of Nine Million Four Hundred Sixty Five</t>
  </si>
  <si>
    <t xml:space="preserve"> ALT/GPT: 5x50ml AST/GOT: 5x50ml Chemistry Calibrator: 5x5ml Cholesterol: HDL/LDL Calibrator 1x1ml Triglycerides: 10x50ml Urea/BUN UV: 5x50ml Cotton Balls: 300's Syringe: disposable 1cc, G-25 x 5/8" Examination Gloves: Small Examination Gloves: Large Face </t>
  </si>
  <si>
    <t xml:space="preserve"> Multivitamins+Iron syrup: 60ml Amoxicillin tab: 500mg 100's Amoxicillin: cap 500mg 100s Amoxicillin Drops: 100mg/1.5ml 60ml Amoxicillin: susp 250mg/5ml 60ml Anti-Tetanus Serum: 1500 iu ampoule Azithromycin Dihydrate: 500mg 100's Benzathine Penicillin vial</t>
  </si>
  <si>
    <t xml:space="preserve"> ============================================================= 	8		PCS		SOLAR LAMP WITH PANEL BOARD   = -------------------------------------------------------------------------------------------------- 	6	 	LENGTH		GI PIPE #2   = -------------------------</t>
  </si>
  <si>
    <t xml:space="preserve"> ALT/SGPT: Automated 5x40+5x10ml AST/SGOT: Automated 5x10ml+5x10ml BUN: Automated 5x40+5x10ml Calibrator: 5x5ml 5Cotton Balls: 300's Dengue NS1Ag+Ab Combo: 10's Diestro Trilevel Control: - Diluent: 20 liter E-Z Cleanser: 100ml Face Mask: 50s Glucose Strips</t>
  </si>
  <si>
    <t xml:space="preserve"> The Bids and Awards Committee (BAC) of Luis UyChiat Elementary School invites interested bidders of 2020 Procurement of Supplies to be used for Modular Learning.  Procurement of Supplies Months Covered: August-December 2020 Approved Budget of Contract: 79</t>
  </si>
  <si>
    <t xml:space="preserve"> Notice of Eligibility and Short Listing MR. RAYMOND DIZON Managing Director IPG Mediabrands Phils., Inc. 29F The Trade and Financial Tower 7th Avenue corner 32nd Street Global City, Taguig City MR. HERMAN Z. ONGKIKO President and Chief Operating Officer O</t>
  </si>
  <si>
    <t xml:space="preserve"> INVITATION TO BID The Department of Public Works and Highways-National Capital Region-Metro Manila 3rd District Engineering Office, through its Bids and Awards Committee (BAC), invites contractors to apply to bid for the following contract/s:     Contract</t>
  </si>
  <si>
    <t xml:space="preserve"> Republic of the Philippines City of Dapitan BIDS AND AWARDS COMMITTEE INVITATION TO BID June 26, 2020 	 The City Government of Dapitan, through its Bids and Awards Committee (BAC), invites interested parties to apply for eligibility and, if found eligible</t>
  </si>
  <si>
    <t xml:space="preserve"> INVITATION TO BID The DPWH Bukidnon 1st District Engineering Office, Malaybalay City, through its Bids and Awards Committee (BAC), invites contractors to submit bids for the following Contracts:   3	Contract ID 	:	20KA0099 (Readvertisement) 	Contract Name</t>
  </si>
  <si>
    <t xml:space="preserve"> INVITATION TO BID The DPWH Bukidnon 1st District Engineering Office, Malaybalay City, through its Bids and Awards Committee (BAC), invites contractors to submit bids for the following Contracts:   			 2	Contract ID 	:	20KA0098 (Readvertisement) 	Contract </t>
  </si>
  <si>
    <t xml:space="preserve"> INVITATION TO BID The DPWH Bukidnon 1st District Engineering Office, Malaybalay City, through its Bids and Awards Committee (BAC), invites contractors to submit bids for the following Contracts:   1	Contract ID 	:	20KA0097 (Readvertisement) 	Contract Name</t>
  </si>
  <si>
    <t xml:space="preserve"> Frequency range VHF: 136 –174 MHz UHF: 440 – 470 MHz 16 channels</t>
  </si>
  <si>
    <t xml:space="preserve"> Republic of the Philippines PROVINCE OF BUKDINON 	Malaybalay City	 OFFICE OF THE PROVINCIAL GOVERNOR Bids and Awards Committee REQUEST FOR BID PROPOSAL THROUGH NEGOTIATED PROCUREMENT (SECTION 53.2 – EMERGENCY CASES) SUPPLY AND DELIVERY OF LABORATORY AND H</t>
  </si>
  <si>
    <t xml:space="preserve"> PROCUREMENT OF ONE (1) UNIT SURPLUS DUMP TRUCK</t>
  </si>
  <si>
    <t xml:space="preserve"> INVITATION TO BID The Department of Public Works and Highways-National Capital Region-Metro Manila 3rd District Engineering Office, through its Bids and Awards Committee (BAC), invites contractors to apply to bid for the following contract/s:   Contract I</t>
  </si>
  <si>
    <t xml:space="preserve"> INVITATION TO BID FOR INSTALLATION AND UPGRADE OF NORSU ICT DATABASE CENTER INFRASTRUCTURE FOR NORSU MAIN CAMPUSES I &amp; II Project Reference No.: GOOD2020-05-05 1. The Negros Oriental State University (NORSU) Campuses and the Bids and Awards Committee (BAC</t>
  </si>
  <si>
    <t xml:space="preserve"> Construction of 37.80 linear meter x 1.35 meter fence with plastering at one side only</t>
  </si>
  <si>
    <t xml:space="preserve"> Halogen bulb: 10W 6V Glucose: BSA 10x50ml Urea/BUN UV: 5x50ml Cotton Balls: 300's Diestro ISE Calibrator Pack: - Diestro Sodium Conditioner: - Diestro Trilevel Control: - Syringe: disposable 1cc G25x5/8 100's Examination Gloves: Small Examination Gloves: </t>
  </si>
  <si>
    <t xml:space="preserve"> PROCUREMENT OF ONE (1) UNIT SURPLUS ELF TRUCK (16 FT)</t>
  </si>
  <si>
    <t xml:space="preserve"> Qty	Unit		Description	 8 	pcs 	Council Table with Drawer			                 Size 100cm x 50cm x 75cm                 Color Black Walnut 1	pc	Punong Barangay’s Table			 		Conference Desk with BigOver Hole 		Wing Management, with 2 open Drawers, 		Size: 100</t>
  </si>
  <si>
    <t xml:space="preserve"> Republic of the Philippines         CITY GOVERNMENT OF TACURONG Alunan Highway, Tacurong City Sultan Kudarat BIDS AND AWARDS COMMITTEE                  Tel nos. (064) 562-0128 / Telefax no. (064) 477 - 0138         www.tacurong.gov.ph                     </t>
  </si>
  <si>
    <t xml:space="preserve"> Construction 52.0 linear meter x4.0 wide barangay road</t>
  </si>
  <si>
    <t xml:space="preserve"> Item Description INTERNET SUBSCRIPTION Connection Type: Fiber Optics             Must be leased-line, enterprise or corporate Bandwidth: can reach up to 300mbps CIR (guaranteed speed): 10mbps Contract Period: June to December 2020 (7 months) PLEASE SEE AS</t>
  </si>
  <si>
    <t xml:space="preserve"> Quadrivalent pre-filled syringe</t>
  </si>
  <si>
    <t xml:space="preserve"> Republika ng Pilipinas PAMAHALAANG LUNGSOD NG TACLOBAN (City Government of Tacloban) Kanhuraw Hill, Tacloban City 6500 BIDS AND AWARDS COMMITTEE INVITATION TO BID  REF #038(1)-06-2020 (JUNE 29, 2020) PR# 2020-621 DATED 05-21-2020 7073198 The Procuring Ent</t>
  </si>
  <si>
    <t xml:space="preserve"> Republic of the Philippines Region XII Province of Cotabato BIDS AND AWARDS COMMITTEE Amas, Kidapawan City INVITATION TO BID FOR Supply &amp; Delivery of Medical Supplies for Dr. Amado Diaz Provincial Foundation Hospital, Midsayap, Cotabato. (PB-20-341) 1.	Th</t>
  </si>
  <si>
    <t xml:space="preserve"> PR NO. 0793 - 20                 Republic of the Philippines         CITY GOVERNMENT OF TACURONG Alunan Highway, Tacurong City Sultan Kudarat BIDS AND AWARDS COMMITTEE                  Tel nos. (064) 562-0128 / Telefax no. (064) 477 - 0138         www.tac</t>
  </si>
  <si>
    <t xml:space="preserve"> Republic of the Philippines Region XII Province of Cotabato BIDS AND AWARDS COMMITTEE Amas, Kidapawan City INVITATION TO BID FOR Supply &amp; Delivery of Engineering Laboratory Equipment for Provincial Engineer’s Office, Amas, Kidapawan City. (PB-20-211) 1.	T</t>
  </si>
  <si>
    <t xml:space="preserve"> CONSTRUCTION OF ONE UNIT - TWO CLASSROOM  SCHOOL BUILDING 1.	The Barangay Awao Local Government Unit, through the Government of the Philippines, General Appropriation Act 2018 intends to apply the sum of Three Million Eight Hundred Fifty Seven Thousand Si</t>
  </si>
  <si>
    <t xml:space="preserve"> INVITATION FOR NEGOTIATED PROCUREMENT FOR Procurement of Laboratory Equipment for the Aviation Maintenance Department of the College of Industrial Technology NORSU Main Campus (Negotiated) Project Reference No.: GOOD2020-00-02 1. In view of the Two (2) fa</t>
  </si>
  <si>
    <t xml:space="preserve"> INVITATION TO APPLY FOR ELIGIBILITY AND TO BID Project Title: REHBILITATION OF WATER SYSTEM Project Location: Paddaoan, Conner, Apayao Project ID No.: 20MGU-044 The Local Government Unit of CONNER, through the LDRRMF 5% 2018 intends to apply the sum of Tw</t>
  </si>
  <si>
    <t xml:space="preserve"> Equipment 1 Backhoe  1 Road Roller  1 Concrete Mixer 1 bagger  1 Concrete Saw  1 Concrete Vibrator  14 Steel forms Description  101 Removal of Structures and Obstructions 104 Embankment  105 Subgrade Preparation  201 Aggregate Base Course  311 PCC Pavemen</t>
  </si>
  <si>
    <t xml:space="preserve"> MUNICIPALITY OF ABRA DE ILOG Name of Procuring Entity						 Contract Reference Number Goods No. 27-2020 Name of Contract: Supply and Delivery of Materials for the Construction of Barangay Multi-Purpose Hall  Location Brgy. Sta. Maria, ADIOM Republic of th</t>
  </si>
  <si>
    <t xml:space="preserve"> INVITATION TO APPLY FOR ELIGIBILITY AND TO BID Project Title: IMROVEMENT OF MANAG TO SIMUD FMR Project Location: Manag, Conner, Apayao Project ID No.: 20MGU-043 The Local Government Unit of CONNER, through the 2020 20% DF intends to apply the sum of Four </t>
  </si>
  <si>
    <t xml:space="preserve"> INVITATION TO APPLY FOR ELIGIBILITY AND TO BID Project Title: IMPROVEMENT OF MULTI-PURPOSE BUILDING (GYMNASIUM) Project Location: Caglayan, Conner, Apayao Project ID No.: 20MGU-037 The Local Government Unit of CONNER, through the 2020 20% DF intends to ap</t>
  </si>
  <si>
    <t xml:space="preserve"> Supply and delivery of the following Information and Communication Equipment’s for the SK E-LEARNING CENTER to wit; •	7 Sets of Complete Package of Computers with Webcam and Headphone (AMD RyzenTM 3 3200G with RadeonTM Vega 8 Graphics, Gigabyte A320M-S2H </t>
  </si>
  <si>
    <t xml:space="preserve"> INVITATION TO  BID # 017-2020    The Municipal Government  of Aguilar, through its Bids and Awards Committee (BAC) invites suppliers/ manufacturers/contractors to bid for the hereunder project:.    Name of the Project: PURCHASE OF SPRAY CHEMICALS FOR MOSQ</t>
  </si>
  <si>
    <t xml:space="preserve"> Republic of the Philippines Italian Assistance to the Agrarian Reform Community Development Support Program (IARCDSP) Invitation to Bid for the  Expansion of Potable Water System Level II 1.The Government of the Philippines (GoP) has availed a loan from t</t>
  </si>
  <si>
    <t xml:space="preserve"> Invitation to Bid No.: 2020-06-05 Date: June 26, 2020 INVITATION TO BID 2nd PUBLIC BIDDING FOR LOT 1 OF THE PROCUREMENT OF  RANDOM ACCESS MEMORY AND VARIOUS DATA STORAGE DEVICES  1.	The National Economic and Development Authority (NEDA) intends to apply t</t>
  </si>
  <si>
    <t xml:space="preserve"> Republic of the Philippines DEPARTMENT OF PUBLIC WORKS AND HIGHWAYS  OFFICE OF THE DISTRICT ENGINEER Cavite 1 st  District Engineering Office   Brgy. De Ocampo, Trece Martires City    INVITATION TO BID    The Department of Public Works and Highways (DPWH)</t>
  </si>
  <si>
    <t xml:space="preserve"> Republic of the Philippines Region XII Province of Cotabato BIDS AND AWARDS COMMITTEE Amas, Kidapawan City INVITATION TO BID FOR Supply &amp; Delivery of Swine for distribution to qualified beneficiaries provincewide. (PB-20-047) 1.	The Provincial Government </t>
  </si>
  <si>
    <t xml:space="preserve"> INVITATION TO BID Supply &amp; Delivery of One (1) Unit Type II Wide Body Rescue Ambulance with complete accessories CDRRMO, Marawi City Contract ID No. 20-MC-CO-01 ABC: Php 3,000,000.00 June 27, 2020 1. The City Government of Marawi, intends to apply the sum</t>
  </si>
  <si>
    <t xml:space="preserve"> Supply, Delivery and Configuration of Unified Threat Management Devices for all (CTU External Campuses with the following technical specifications: HARDWARE SPECIFICATIONS:  Processor : Intel Core i3 Dual Core 6100 @ 3.7GHz Form Factor : 1U Memory : 12 GB</t>
  </si>
  <si>
    <t xml:space="preserve"> Supply, Deliver, Provision, Configuration of CTU Online Platform Subscription across all university campuses with the following technical specifications:  CLOUD HOSTING SPECIFICATIONS:  Cloud Hosting Facility that has dedicated servers capable of 30,000 m</t>
  </si>
  <si>
    <t xml:space="preserve"> Purchase of Supplies for Electrical Supplies   – P 92,000.00</t>
  </si>
  <si>
    <t xml:space="preserve"> Republic of the Philippines Province of Batangas Municipality of San Juan BIDS AND AWARDS COMMITTEE INVITATION TO APPLY FOR ELIGIBILITY AND TO BID THE LOCAL  GOVERNMENT UNIT OF BRGY. COLOCONTO, SAN JUAN, BATANGAS, through its Bids and Awards Committee(BAC</t>
  </si>
  <si>
    <t xml:space="preserve"> I. CONCRETE &amp; MASONRY WORKS</t>
  </si>
  <si>
    <t xml:space="preserve"> INVITATION TO APPLY FOR ELIGIBILITY AND TO BID Project Title: REHABILITATION OF MUTI-PURPOSE DRYING PAVEMENT AT PUROK 3 MANAG E/S Project Location: Manag, Conner, Apayao Project ID No.: 20MGU-042 The Local Government Unit of CONNER, through the 2020 20% D</t>
  </si>
  <si>
    <t xml:space="preserve"> SCOPE OF WORKS:            I.         MOBILIZATION           II.        TEMPORARY FACILITIES (Camp House)            III.       FORMS &amp; SCAFFOLDINGS            IV.        SITEWORKS/EXCAVATION            V.        CONCRETE WORKS           VI.        MASONR</t>
  </si>
  <si>
    <t xml:space="preserve"> Refer the Approved NAPOLCOM Res. Specification  on 30 Rds Aluminum Magazine for M-16 Rifle</t>
  </si>
  <si>
    <t xml:space="preserve"> Republic of the Philippines ISABELA STATE UNIVERSITY City of Ilagan, Isabela FOR SUPPLY, DELIVERY, TESTING AND DEMONSTRATION OF CIVIL ENGINEERING LABORATORY EQUIPMENT 1. The ISABELA STATE UNIVERSITY – City of Ilagan Campus, through the General Appropriati</t>
  </si>
  <si>
    <t xml:space="preserve"> 41 sets COMPUTER DESKTOP BUNDLE, Intel Core i9-9900K Processor please refer to ITB for the complete specifications.  ABC per unit P81,000.00 1 set COMPUTER DESKTOP SERVER BUNDLE, Intel Xeon E-2134 16BG UDIMM please refer to ITB for the complete specificat</t>
  </si>
  <si>
    <t xml:space="preserve"> DESCRIPTION: 5.0 MP Main Camera 4.3 aspect radio screen LTE ready 1.2 GHZ Quad core CPU 2.0 GB RAM, 32-64 GB Memory 4200 mAh battery Full Pone Functionality Wifi, Bluetooth with accessory  (Power Bank 20 mAh)</t>
  </si>
  <si>
    <t xml:space="preserve"> Purchase of Supply for 1 (unit) Garbage Truck   -  P  2,000,000.00</t>
  </si>
  <si>
    <t xml:space="preserve"> ITB 2020-11 1.	The SUGAR REGULATORY ADMINISTRATION, through the SRA Corporate Operating Budget 2020 intends to apply the sum of Sixteen Million Eight Hundred Seventy-Nine Thousand Three Hundred Pesos (₱16,879,300.00) being the Approved Budget for the Cont</t>
  </si>
  <si>
    <t xml:space="preserve"> Lot.</t>
  </si>
  <si>
    <t xml:space="preserve"> Gasoline</t>
  </si>
  <si>
    <t xml:space="preserve"> 30	jar	ALCOHOL, ethyl, 68-70% scented,500ml (5mL) 1	pc	Apple HDM1 cable 4	box	BALLPEN black, 0.5 (20's/box) 4	box	BALLPEN blue, 0.5 (20's box) 45	pcs	BALLPEN, Ballpoint Ret Rx5 Bkblrd 0.5 15	box	BALLPEN, Black Retractable Ballpen, Pen Thickness 0.5 mm, 20</t>
  </si>
  <si>
    <t xml:space="preserve"> Republic of the Philippines Province of Leyte Municipality of Hilongos INVITATION TO BID FOR THE PROCUREMENT OF MATERIALS FOR THE REPAIR/MAINTENANCE OF PARKS, PLAZAS &amp; MONUMENTS 1.  The Local Government Unit of Hilongos, through GENERAL FUND-CURRENT APPRO</t>
  </si>
  <si>
    <t xml:space="preserve"> Republic of the Philippines ISABELA STATE UNIVERSITY City of Ilagan, Isabela FOR SUPPLY, DELIVERY, TESTING AND DEMONSTRATION OF ELECTRICAL ENGINEERING LABORATORY EQUIPMENT The ISABELA STATE UNIVERSITY – City of Ilagan Campus, through the General Appropria</t>
  </si>
  <si>
    <t xml:space="preserve"> Republic of the Philippines                CITY GOVERNMENT OF TACURONG Alunan Highway, Tacurong City Sultan Kudarat BIDS AND AWARDS COMMITTEE                  Tel nos. (064) 562-0128 / Telefax no. (064) 477 - 0138      www.tacurong.gov.ph                 </t>
  </si>
  <si>
    <t xml:space="preserve"> SEE ATTACHED INVITATION TO BID, BIDDING DOCUMENTS, CHECKLISTS, STANDARD BIDDING FORMS AND PLANS</t>
  </si>
  <si>
    <t xml:space="preserve"> REQUEST FOR QUOTATION TERMS OF PAYMENT:   30 DAYS PRICE VALIDITY:        120 DAYS</t>
  </si>
  <si>
    <t xml:space="preserve"> Republic of the Philippines Department of Public Works and Highways Pampanga 3rd District Engineering Office San Francisco Street, Brgy. Pampang, Angeles City Region III Telephone Nos. (045) 323-5782 / 887-5249 DPWH-INFR-04-2016 INVITATION TO BID The DPWH</t>
  </si>
  <si>
    <t xml:space="preserve"> 1. Name of Project: Purchase of One (1) Unit Ambulance/Emergency Medical Transport  Brief Description: Purchase of One (1) Unit Ambulance/Emergency Medical Transport with the following specifications and features: Displacement : 2488 cc Engine Type : Inli</t>
  </si>
  <si>
    <t xml:space="preserve"> BIDS AND AWARDS COMMITTEE INVITATION TO BID The Local Government Unit of Labason, Z.N., invites all interested registered supplier to submit quotation for the Purchase of IT Equipments for the Different Schools at Labason District ,Labason,ZN : Approved B</t>
  </si>
  <si>
    <t xml:space="preserve"> Construction of Concrete/Timber footbridge, width=2.40m, length=40.00m I. 84.00 L.M. Columns (pre-cast) II. 10.00 cu.m Capping, Girder &amp; Transom III. 9,226.67 bd. ft. Plank Floor &amp; Running Board IV. 60.00 bd. ft Stone Masonry V. 3,367.50 bd. ft. Railguard</t>
  </si>
  <si>
    <t xml:space="preserve"> new van type vehicle - power steering - power window - A1 engine condition - airconditioned - tire wrench and mechanical jack - spare tire - with LTO Registration - (1) one year warranty - Barangay Matina Crossing 74-A Logo decal sticker (front &amp; back &amp; s</t>
  </si>
  <si>
    <t xml:space="preserve"> See attached bidding documents</t>
  </si>
  <si>
    <t xml:space="preserve"> DELIVERY OF MINI-DUMPTRUCK OF BARANGAY MANUAL, KIBLAWAN, DAVAO DEL SUR</t>
  </si>
  <si>
    <t xml:space="preserve"> Pls. quote the item listed below: 1.  Smart TV  -  1 unit      best quality      43 inches 2.  Aircon  -  1 unit      2 hp, window type      best quality NOTE:                      Opening of Bids will be on July 7, 2020 @ 1:00 pm</t>
  </si>
  <si>
    <t xml:space="preserve"> See Attached Document.</t>
  </si>
  <si>
    <t xml:space="preserve"> Republic of the Philippines Province of Benguet MUNICIPALITY OF BOKOD BIDS AND AWARDS COMMITTEE INVITATION TO BID FOR PROCUREMENT OF MICRO-INFRA PROJECTS CLUSTER 07-2020 (MDF 2020), NAWAL &amp; TIKEY, BOKOD, BENGUET 1.	The MUNICIPALITY OF BOKOD, through the  </t>
  </si>
  <si>
    <t xml:space="preserve"> Republic of the Philippines								 Province of Benguet								 Municipality of Buguias								 BIDS AND AWARDS COMMITTEE								 								 			Purchase Request Number:				Date:	 			Name of the Project:				Quotation No:	 			Location of the Project:				OBR #</t>
  </si>
  <si>
    <t xml:space="preserve"> From: 	The Bids and Awards Committee 	Poblacion, Bokod, Benguet Date:  June 24, 2020 A PROPOSAL &amp; NOTICE FOR NEGOTIATED PROCUREMENT DIRECTED TO:  AG CHUNGALAN CONSTRUCTION 		 	    POLO ENGINEERING &amp; CONSTRUCTION 	         SHERFELIAS CONSTRUCTION Reference</t>
  </si>
  <si>
    <t xml:space="preserve"> removal of existing structure - 16.54 sq.m. concrete works - 0.20 cu.m. steel works - 1.00 lot</t>
  </si>
  <si>
    <t xml:space="preserve"> REPUBLIC OF THE PHILIPPINES PROVINCE OF ILOCOS SUR MUNICIPALITY OF SANTA BRGY. BASUG INVITATION TO BID PURCHASE OF MOTOR VEHICLE PHP70,000.00 LOT DESCRIPTION QTY. UNIT MOTOR VEHICLE 1</t>
  </si>
  <si>
    <t xml:space="preserve"> Republic of the Philippines Province of Leyte Municipality of Hilongos INVITATION TO BID FOR THE PURCHASE OF FURNITURE &amp; FIXTURES 1.  The Local Government Unit of Hilongos, through GENERAL FUND-CURRENT APPROPRIATION intends to apply the sum EIGHTY FIVE TH</t>
  </si>
  <si>
    <t xml:space="preserve"> Republic of the Philippines Province of Southern Leyte Municipality of Silago BIDS AND AWARDS COMMITTEE INVITATION TO BID FOR  PROCUREMENT OF FARM INPUTS FOR FILP PROGRAM 1.   The Local Government Unit of Silago, Province of Southern Leyte, through the FI</t>
  </si>
  <si>
    <t xml:space="preserve"> Republic of the Philippines Province of Leyte Municipality of Hilongos INVITATION TO BID FOR THE PROCUREMENT OF MATERIALS FOR THE ROAD CONCRETING OF BRGY. OWAK 1.  The Local Government Unit of Hilongos, through GENERAL FUND-CONTINUING APPROPRIATION-SUPPLE</t>
  </si>
  <si>
    <t xml:space="preserve"> REPUBLIC OF THE PHILIPPINES PROVINCE OF ILOCOS SUR MUNICIPALITY OF SANTA BARANGAY CALONGBUYAN INVITATION TO BID PURCHASE OF MOTOR VEHICLE PHP70,000.00 LOT DESCRIPTION QTY. UNIT MOTOR VEHICLE 1</t>
  </si>
  <si>
    <t xml:space="preserve"> Republic of the Philippines PROVINCE OF NUEVA VIZCAYA Invitation to Bid for the  CONSTRUCTION OF NALAY-AN PIS Located at Ambaguio, Nueva Vizcaya  1.	The Provincial Government of Nueva Vizcaya, through the 20% Development Fund 2020 intends to apply the sum</t>
  </si>
  <si>
    <t xml:space="preserve"> Republic of the Philippines Province of Leyte Municipality of Hilongos INVITATION TO BID FOR THE PROCUREMENT OF OFFICE SUPPLIES 1.  The Local Government Unit of Hilongos, through GENERAL FUND-CURRENT APPROPRIATION- intends to apply the sum FORTY NINE THOU</t>
  </si>
  <si>
    <t xml:space="preserve"> Portland Cement Sand (Approved Source) 12mmØ Def. Bars 24pcs - 2" x 6" x 10' Coco Lumber 3" C.W. Nails 3/4" Gravel (Approved Source) max size</t>
  </si>
  <si>
    <t xml:space="preserve"> 1.	The Municipality of Tayug, Pangasinan through the Bids and Awards Committee intends to apply the sum of Five Million Pesos (Php5,000,000.00) being the Approved Budget for the Contract (ABC) to payments under the contract for Installation/Rehabilitation</t>
  </si>
  <si>
    <t xml:space="preserve"> RFQ No. 20-06-056 - Purchase of Office Supplies for the 1st and 2nd Quarter</t>
  </si>
  <si>
    <t xml:space="preserve"> See attached Bidding Documents</t>
  </si>
  <si>
    <t xml:space="preserve"> Republic of the Philippines BIDS AND AWARDS COMMITTEE 9017 Población, El Salvador City Misamis Oriental  Email: bac.elsalvadorcity@gmail.com INVITATION TO BID for the PROCUREMENT OF TRACTOR IMPLEMENT HARROW AND DISCPLOW FOR AGRICULTURE OFFICE 	 The LGU-El</t>
  </si>
  <si>
    <t xml:space="preserve"> Republic of the Philippines Province of Camarines Sur MUNICIPALITY OF BAAO INVITATION TO BID FOR THE INSTALLATION OF STREETLIGHTS ALONG DIVERSION ROAD 1. The LOCAL GOVERNMENT UNIT OF BAAO, through the Budget for the contract approved by the Sanggunian 201</t>
  </si>
  <si>
    <t xml:space="preserve"> INVITATION TO BID The Municipality of Candoni, through its Bids and Awards Committee (BAC), invites suppliers/manufacturers/distributor/contractors to apply for eligibility and to bid for the hereunder project: Name of Project	:  CONSTRUCTION OF SLOPE PRO</t>
  </si>
  <si>
    <t xml:space="preserve"> ITEM       DESCRIPTION                           QTY.            UNIT I.            Removal of Forms/Clearing         235.83       sq.m. II.           Concrete Works                             5           sets III.          Doors &amp; Windows               </t>
  </si>
  <si>
    <t xml:space="preserve"> ADDITIONAL CHB PARTITION CEILING ELECTRICAL ( ROUGHING IN, PARTIAL FIXTURES)</t>
  </si>
  <si>
    <t xml:space="preserve"> 1 lot Provision of Food &amp; venue for 60 persons in the Joint Local Finance Committee, Department Heads &amp; Leyte Economics Team Coordination Meeting on July 13, 20-20 @ Candahug, Palo, Leyte.  Inclusives: Use of Basic Sound System with  two microphones and P</t>
  </si>
  <si>
    <t xml:space="preserve"> 1.The Brgy. Pondang, through the LGSF-DBM intends to apply the sum of Two Hundred Fifty Thousand Pesos Only (P250,000.00) being the Approved Budget for the Contract (ABC) to payments under the contract for Construction &amp; Repair of Brgy. Road. Bids receive</t>
  </si>
  <si>
    <t xml:space="preserve"> T-shirts with Tarpaulin</t>
  </si>
  <si>
    <t xml:space="preserve"> REQUEST FOR QUOTATION The Local Government Unit of Molave, through its Bids and Awards Committee, will undertake a Small Value Procurement for the Purchase of Various Electrical Supplies to be Used for the Rehabilitation of Street Lights at Mabini Street </t>
  </si>
  <si>
    <t xml:space="preserve"> Hardware Materials</t>
  </si>
  <si>
    <t xml:space="preserve"> PROVINCIAL GOVERNMENT OF ISABELA Invitation to Bid for  Renovation of Provincial Treasurer’s Office,  Alibagu, City of Ilagan, Isabela  1.	The Provincial Government of  Isabela, through the PGI Fund intends to apply the sum of Two Million Nine Hundred Nin</t>
  </si>
  <si>
    <t xml:space="preserve"> Cartridge Ball for Caliber 5.56 M16 Rifle</t>
  </si>
  <si>
    <t xml:space="preserve"> INVITATION TO BID The Department of Public Works and Highways (DPWH) Camarines Sur 5th, District Engineering Office, Camarines Sur, through its Bids and Awards Committee (BAC), invites contractors to submit bids for the following contract(s): Contract ID </t>
  </si>
  <si>
    <t xml:space="preserve"> PLEASE SEE ATTACHED PR, TOR AND BIDDING DOCUMENTS FOR DETAILS</t>
  </si>
  <si>
    <t xml:space="preserve"> SUPPLY AND DELIVERY OF GENERAL PLANT EQUIPMENT (GPE) FOR JP RIZAL DPP</t>
  </si>
  <si>
    <t xml:space="preserve"> Module # 1 - Pantukan   No. of Has.-357.0252 -ABC Php1,071,075.60. Module # 2 - Mabini, Maco, Mawab and Nabunturan -No. of Has. 314.7457- ABC Php930,672.00 Module # 3 - Compostela, Laak and New Bataan -No. of Has.-298.6689 -ABC Php928,488.00 Module # 4 - </t>
  </si>
  <si>
    <t xml:space="preserve"> Republic of the Philippines SILAY CITY GOVERNMENT Zamora Street Silay City, Negros Occidental Telefax No. (034) 495-3746 	Control  Reference Number : GOODS#0082, ITB#0083,  PR#0245: SCG-2020 Name of the Project: Purchase of Medical Supplies for use of GAD</t>
  </si>
  <si>
    <t xml:space="preserve"> Portland Cement Sand (Approved Source) Gravel (Approved Source) 3/8" Marine Plywood 50pcs - 2" x 3" x 10' Coco Lumber 50pcs - 2" x 2" x 10' Coco Lumber Rust Converter 3" Paint Brush Assorted C.W. Nails</t>
  </si>
  <si>
    <t xml:space="preserve"> 570	vials	Pneumococcal Conjugate Vaccine 		 Polyvalent 		13-valent (adsorbed) 		0.5ml suspension for IM injection 		Single dose, pre-filled syringe 		 		 		Note: Delivery of vaccine only</t>
  </si>
  <si>
    <t xml:space="preserve"> Republic of the Philippines SILAY CITY GOVERNMENT Zamora Street Silay City, Negros Occidental Telefax No. (034) 495-3746 	Control  Reference Number : GOODS#0125, ITB#0127,  PR#0343: SCG-2020 Name of the Project: Purchase of Laptop to be used of the Secret</t>
  </si>
  <si>
    <t xml:space="preserve"> Republic of the Philippines SILAY CITY GOVERNMENT Zamora Street Silay City, Negros Occidental Telefax No. (034) 495-3746 	Control  Reference Number : GOODS#0128, ITB#0131,  PR#0390: SCG-2020 Name of the Project: Purchase of Construction Materials and Supp</t>
  </si>
  <si>
    <t xml:space="preserve"> One (1) unit Floor Mounted Motor Controller VFD Type 90kw w/ enclosure see attached complete specifications</t>
  </si>
  <si>
    <t xml:space="preserve"> Please quote your lowest price on the item(s)  listed below, subject to the Terms and Condition Stated												 below and submit your quotation duly signed by your representative not later than 10:30 A.M. of   July 07 												 2020 at the return en</t>
  </si>
  <si>
    <t xml:space="preserve"> 1 unit Computer set with high specs</t>
  </si>
  <si>
    <t xml:space="preserve"> Angle Bar   2x 1/4 STD       120 PC Square Bar  12mm             240 pc Welding Rod                       15 kilo Epoxy Primer                      4 gal Epoxy Thinner                     4 gal Paint Brush                         5 pc Cutting Disc        </t>
  </si>
  <si>
    <t xml:space="preserve"> Pls. quote the item listed below: 1.  Food Accommodation (Meals &amp; 2 Snacks)  -  700 pax NOTE:                      Opening of Bids will be on July 7, 2020 @ 1:00 pm</t>
  </si>
  <si>
    <t xml:space="preserve"> 4 pcs. Ring Flange, 250mm diameter see attached specifications</t>
  </si>
  <si>
    <t xml:space="preserve"> INVITATION TO BID PROVISION OF SECURITY SERVICES Reference No.: GDS-20-063 The MUNICIPAL GOVERNMENT OF DARAGA, through the Municipal Annual Budget, intends to apply the sum of  Three Hundred Six Thousand Pesos (P306,000.00)  being the Approved Budget for </t>
  </si>
  <si>
    <t xml:space="preserve"> INVITATION TO BID PROCUREMENT OF MEDICAL EQUIPMENT IB NO. 2020-07-21 (07) 1.	The Department of Health Cagayan Valley Center for Health Development, through the GOP-General Appropriations Act 2020 intends to apply the lump sum of Eighteen Million Six Hundr</t>
  </si>
  <si>
    <t xml:space="preserve"> Office Supplies &amp; Office Equipment</t>
  </si>
  <si>
    <t xml:space="preserve"> 1.	The Sultan Kudarat Water District, through the Corporate Budget Approved by the Governing Board  intends to apply the sum of P 4,087,785.51 being the total Approved Budget for the Contract (ABC) to payments under the contract. Bids received in excess o</t>
  </si>
  <si>
    <t xml:space="preserve"> 140 cylinders 68kgs. Liquid Chlorine see attached complete specifications</t>
  </si>
  <si>
    <t xml:space="preserve"> INVITATION TO BID The __DPWH-Lanao del Norte 1st District Engineering Office, through its Bids and Awards Committee (BAC), invites contractors to submit bids for the project funded under Department of Agriculture Regular Funding CY 2020: 1.	Contract ID: 2</t>
  </si>
  <si>
    <t xml:space="preserve"> Republic of the Philippines Province of Oriental Mindoro MUNICIPALITY OF PINAMALAYAN OFFICE OF THE BIDS AND AWARDS COMMITTEE Invitation to Bid ITB-2020-21 1.  The Municipal Government of Pinamalayan, Oriental Mindoro, through the authorized appropriations</t>
  </si>
  <si>
    <t xml:space="preserve"> Food Commodities</t>
  </si>
  <si>
    <t xml:space="preserve"> Republic of the Philippines Province of Oriental Mindoro MUNICIPALITY OF PINAMALAYAN OFFICE OF THE BIDS AND AWARDS COMMITTEE Invitation to Bid ITB-2020-23 1.  The Municipal Government of Pinamalayan, Oriental Mindoro, through the authorized appropriations</t>
  </si>
  <si>
    <t xml:space="preserve"> 300	PCS	TOILET BOWL (FLUSH TYPE) PORCELAIN WITH OUT COVER</t>
  </si>
  <si>
    <t xml:space="preserve"> ITB No. 2020 – 77 June 26, 2020 Republic of the Philippines Province of Davao Oriental CITY OF MATI INVITATION TO BID PROCUREMENT OF CACAO PROCESSING EQUIPMENT Name of Project 1.	The City Government of Mati, through the 20% Local Development Fund intends </t>
  </si>
  <si>
    <t xml:space="preserve"> 3	Piece	Alligator Forceps 50	Box	Clean Gloves Powdered Large 100's 50	Box	Clean Gloves Powdered Medium 100's 50	Box	Clean Gloves Powdered Small 100's 10	Kilo 	Detergent Powder (Surf and the like) 10	Bottle	Disinfecting Spray 538g (Lysol and the like) 10	G</t>
  </si>
  <si>
    <t xml:space="preserve"> Scope of Works: 1. Drilling of Borehole 10" diameter or less 30 ft 2. Installation of well casing 6" diameter B.I Pipe sch. 40 3. Installation of Gravel Packing 4. Installation of 7.5 Submersible Pump 5. Installation of Control Panel and Control Box Note:</t>
  </si>
  <si>
    <t xml:space="preserve"> ITEM NO  QTY UNIT DESCRIPTION 1.  160 BOX  MATERNAL MILK 375G/BOX 2.  160 CANS BISCUIT @850 GRMS/CAN   3.  5,200 TABS  PRENATAL MULTI VITAMINS CAPSULE</t>
  </si>
  <si>
    <t xml:space="preserve"> SUPPLY AND DELIVERY OF AIRCONDITIONING UNIT, INVERTER TYPE.</t>
  </si>
  <si>
    <t xml:space="preserve"> Republic of the Philippines Province of Oriental Mindoro MUNICIPALITY OF PINAMALAYAN OFFICE OF THE BIDS AND AWARDS COMMITTEE Invitation to Bid ITB-2020-19 1.  The Municipal Government of Pinamalayan, Oriental Mindoro, through the authorized appropriations</t>
  </si>
  <si>
    <t xml:space="preserve"> 1	lot	Construction of Mayor's Office Building 		Scope of Work: 		Concrete Works 		Masonry Works 		Backfilling 		Reinforcing Steel 		Metal Structures 		Pre-Painted Metal Sheets 		Inside Ceiling and Walling Board 		Outside Ceiling Works 		Door and Window Wo</t>
  </si>
  <si>
    <t xml:space="preserve"> Negotiation for the Procurement of Various Drugs and Medicines covering seventy-two (72) items</t>
  </si>
  <si>
    <t xml:space="preserve"> INVITATION TO BID The Department of Public Works and Highways (DPWH), Cavite 3rd District Engineering Office, Carmona, Cavite through its Bids and Awards Committee (BAC), invites contractors to submit bids for the following Contract:   2. Contract I.D. No</t>
  </si>
  <si>
    <t xml:space="preserve"> PLEASE SEE ATTACHED FILE OF INVITATION BID</t>
  </si>
  <si>
    <t xml:space="preserve"> Republic of the Philippines Province of Oriental Mindoro MUNICIPALITY OF PINAMALAYAN OFFICE OF THE BIDS AND AWARDS COMMITTEE Invitation to Bid ITB-2020-20 1.  The Municipal Government of Pinamalayan, Oriental Mindoro, through the authorized appropriations</t>
  </si>
  <si>
    <t xml:space="preserve"> 1.	The Local Government Unit of Tukuran, ZDS, through the Local Funds intends to apply the sum of Php 191,795.50 being the Approved Budget for the Contract (ABC) to payments under the contract PURCHASE OF MATERIALS FOR IMPROVEMENT OF LGU BEACH. Bids recei</t>
  </si>
  <si>
    <t xml:space="preserve"> Department of Education Region VI-Western Visayas Division of Cadiz City Cadiz East Elementary School II INVITATION TO BID FOR THE ADDITIONAL OFFICE SUPPLIES FOR 2020 1.	The Cadiz East Elementary School II of Cadiz City, through the Schools MOOE Fund CY 2</t>
  </si>
  <si>
    <t xml:space="preserve"> INVITATION TO BID The Department of Public Works and Highways (DPWH), Cavite 3rd District Engineering Office, Carmona, Cavite through its Bids and Awards Committee (BAC), invites contractors to submit bids for the following Contract: 3. Contract I.D. No.:</t>
  </si>
  <si>
    <t xml:space="preserve"> 30   ream   Bond Paper, short size 6     pcs.    Ink Cartridge, HP 704 black 6     pcs.    Ink Cartridge, HP 704 colored 12   pcs.    Ink Cartridge, Canon 810 black 6     pcs.    Ink Cartridge, HP 680 black 3     pcs.    Ink Cartridge, HP 680 colored 6   </t>
  </si>
  <si>
    <t xml:space="preserve"> Construction of 3.80mx6.50m Multi-Purpose Building</t>
  </si>
  <si>
    <t xml:space="preserve"> CONSTRUCTION SUPPLIES FOR THE RENOVATION OF OLD BRGY HALL TURN INTO WOMEN AND CHILDREN BUILDING PHASE II AT BARANGAY TABONTABON,SIBAGAT,AGUSAN DEL SUR</t>
  </si>
  <si>
    <t xml:space="preserve"> 2	Box 	Ambu Bag Mask (Neonate) 20	Bottle	Antibacterial Liquid Hand Soap 1L 50	Box	Chromic Suture 3-0 12's (cutting) 100	Box	Clean Gloves Powdered Large 100's 100	Box	Clean Gloves Powdered Medium 100's 5	Box	Cord Clamp 100's (White/nude) 50	Box	D5LR 1L 12'</t>
  </si>
  <si>
    <t xml:space="preserve"> PROJECT: PURCHASE OF 1 UNIT BARANGAY PATROL VEHICLE LOCATION: BARANGAY TELABANCA, CONCEPCION, TARLAC APPROVED BUDGET FOR THE CONTRACT: PHP 1,100,000.00 SOURCE OF FUND: CAPITAL OUTLAY The contract to be performed by the successful bidder shall be specified</t>
  </si>
  <si>
    <t xml:space="preserve"> SUPPLIES AND MATERIALS FOR ORGANIC AGRICULTURE PRODUCTION NC II, RAC SERVICING NC II, SMAW NC I, SMAW NC II AND DRIVING NC II</t>
  </si>
  <si>
    <t xml:space="preserve"> EONSTRUCTION MATERIALS &amp; SUPPLIES FOR THE CONSTRUCTION OF MANPOWER/YOUTH DEVELOPMENT CENTER,PHASE XIII AT BARANGAY TABONTABON,SIBAGAT,AGUSAN DEL SUR</t>
  </si>
  <si>
    <t xml:space="preserve"> Submersible Motor, 75hp, 60Hz, 3-phase 440 volts</t>
  </si>
  <si>
    <t xml:space="preserve"> Republic of the Philippines PROVINCE OF AGUSAN DEL SUR Municipality of Sta. Josefa Invitation to Bid for   SJADS INFRA 20-04: ESTABLISHMENT OF ECO-PARK  (SCRAPING AND EMBANKMENT) 				                         June 27, 2020 1.	The Municipality of Sta. Josef</t>
  </si>
  <si>
    <t xml:space="preserve"> INVITATION TO BID The Department of Public Works and Highways (DPWH), Cavite 3rd District Engineering Office, Carmona, Cavite through its Bids and Awards Committee (BAC), invites contractors to submit bids for the following Contract: 5. Contract I.D. No.:</t>
  </si>
  <si>
    <t xml:space="preserve"> CIVIL WORKS</t>
  </si>
  <si>
    <t xml:space="preserve"> 1.	The Local Government Unit of Tukuran, ZDS, through the Local Funds intends to apply the sum of Php 250,000.00 being the Approved Budget for the Contract (ABC) to payments under the contract PURCHASE OF WEIGHING SCALE FOR PREGNANT AND LACTATING WOMEN. B</t>
  </si>
  <si>
    <t xml:space="preserve"> SUPPLIES AND MATERIALS FOR BREAD AND PASTRY PRODUCTION NC II AND COOKERY NC II</t>
  </si>
  <si>
    <t xml:space="preserve"> TERMS OF REFERENCE FOR STRUCTURED CABLING											 											 1 .	General Requirements										 	1.1.	All cabling must be permanently labelled at both ends in accordance with labeling scheme as									 		per TIA/EIA-6065-A.									 	1.2.	All Copper </t>
  </si>
  <si>
    <t xml:space="preserve"> INVITATION TO BID The Department of Public Works and Highways (DPWH), Cavite 3rd District Engineering Office, Carmona, Cavite through its Bids and Awards Committee (BAC), invites contractors to submit bids for the following Contract: 6. Contract I.D. No.:</t>
  </si>
  <si>
    <t xml:space="preserve"> INVITATION TO BID The Department of Public Works and Highways (DPWH), Cavite 3rd District Engineering Office, Carmona, Cavite through its Bids and Awards Committee (BAC), invites contractors to submit bids for the following Contract: 7. Contract I.D. No.:</t>
  </si>
  <si>
    <t xml:space="preserve"> INVITATION TO BID The Department of Public Works and Highways (DPWH), Cavite 3rd District Engineering Office, Carmona, Cavite through its Bids and Awards Committee (BAC), invites contractors to submit bids for the following Contract: 4. Contract I.D. No.:</t>
  </si>
  <si>
    <t xml:space="preserve"> CONSTRUCTION OF FIVE-STOREY COLLEGE OF EDUCATION LABORATORY BUILDING (Phase II) MSU-IIT PROPERTY, Hinaplanon, Iligan City 1.	The MSU-Iligan Institute of Technology, through the GAA funds Year 2020 intends to apply the sum of SEVENTY FIVE MILLION PESOS ONL</t>
  </si>
  <si>
    <t xml:space="preserve"> Republic of the Philippines PROVINCE OF AGUSAN DEL SUR Municipality of Sta. Josefa Invitation to Bid for   SJADS INFRA 20-06: CONSTRUCTION OF LATRINE FOR DESIGNATED EVACUATION CENTER 				                         June 27, 2020 1.	The Municipality of Sta. J</t>
  </si>
  <si>
    <t xml:space="preserve"> INVITATION TO BID The Department of Public Works and Highways (DPWH), Cavite 3rd District Engineering Office, Carmona, Cavite through its Bids and Awards Committee (BAC), invites contractors to submit bids for the following Contract: 10. Contract I.D. No.</t>
  </si>
  <si>
    <t xml:space="preserve"> Contract for the Rehabilitation of Riverbank, P3A, Tagaytay, Barangay Bobongon, Santo Tomas, Davao del Norte The Municipality of Santo Tomas, through LDRRM Fund CY 2020 intends to apply the sum of P’ 2,698,001.13 being the Approved Budget for the Contract</t>
  </si>
  <si>
    <t xml:space="preserve"> INVITATION TO BID The Department of Public Works and Highways (DPWH), Cavite 3rd District Engineering Office, Carmona, Cavite through its Bids and Awards Committee (BAC), invites contractors to submit bids for the following Contract: 11. Contract I.D. No.</t>
  </si>
  <si>
    <t xml:space="preserve"> 2 UNIT LAPTOP : INTEL i7 7th Gen Processor 1 unit LAPTOP: INTEL i3 9th Gen Processor 2 unit GEOTAGGING DEVICE: REALME 6PRO 1 unit LAPTOP :i7 7th Gen Processor 1 unit PRINTER</t>
  </si>
  <si>
    <t xml:space="preserve"> The Western Mindanao State University, through its Bids and Awards Committee (BAC), is inviting PhilGEPS registered suppliers to apply for eligibility and to submit bids for the item mentioned hereunder:  1.)	2	Units	Steel Filing Cabinet 			specification:</t>
  </si>
  <si>
    <t xml:space="preserve"> Item No.	Quantity	Unit of Issue	Item Description 1	2	units	Grass Cutter 2	2	units	Head Immobilizer 3	2	Pcs.	Movable Table  4	5	Pcs.	Shredder Water Rescue Fins 5	5	Pcs.	Googles A148 Snorkeling Breather Pipe Mask  6	3	units	Megaphone 7	4	Pcs.	Utility Box Wh</t>
  </si>
  <si>
    <t xml:space="preserve"> SEE ATTACH FILE.</t>
  </si>
  <si>
    <t xml:space="preserve"> INVITATION TO APPLY FOR ELIGIBILITY AND TO BID The Barangay Local Government Unit of Bati-awan, Taft E. Samar, through its Bid and Awards Committee (BAC). Invites suppliers to apply for eligibility, to bid for the hereunder contract: Name of Contract: PUR</t>
  </si>
  <si>
    <t xml:space="preserve"> INVITATION TO BID The Department of Public Works and Highways (DPWH), Cavite 3rd District Engineering Office, Carmona, Cavite through its Bids and Awards Committee (BAC), invites contractors to submit bids for the following Contract: 9. Contract I.D. No.:</t>
  </si>
  <si>
    <t xml:space="preserve"> INVITATION TO BID FOR THE  SUPPLY AND DELIVERY OF BRASS WATER METER 1.	The Metropolitan Tuguegarao Water District through the Corporate Budget for the Year 2020  intends to apply the sum of Eight Million Six Hundred Seventy Four Thousand Pesos (P 8,674,00</t>
  </si>
  <si>
    <t xml:space="preserve"> BIDS AND AWARDS COMMITTEE – SECURITY PLANT COMPLEX INVITATION TO BID 1. The Bangko Sentral ng Pilipinas (BSP), through its Bids and Awards Committee – Security Plant Complex (BAC-SPC), invites Bidders to apply for eligibility and to bid for the hereunder </t>
  </si>
  <si>
    <t xml:space="preserve"> Re-Bidding for the Supply, Installation and Commissioning of One (1) Unit Earthquake Recording Instrument (ERI)</t>
  </si>
  <si>
    <t xml:space="preserve"> INVITATION TO BID FOR THE  SUPPLY, DELIVERY, INSTALLATION, PROGRAMMING, TESTING AND COMMISSIONING OF EQUIPMENT AND APPURTENANCES FOR THE UPGRADING OF INLINE BOOSTER FOR LARION BAJO PUMPING STATION 1.	The Metropolitan Tuguegarao Water District through the </t>
  </si>
  <si>
    <t xml:space="preserve"> INSTRUCTION TO BIDDERS (ITB) A. General 1. Scope of Bid 1.1 The Procuring Entity, as defined in the BDS, invites bids for the construction of the Works under the proposed Contract, as described in the BDS. The name and ID of the Contract are stated in the</t>
  </si>
  <si>
    <t xml:space="preserve"> INVITATION TO BID FOR Procurement of Medical and Laboratory Supplies 1. The Ospital ng Palawan, through the Trust Fund for CY 2020 intends to apply the sum of Twenty-Nine Million Two Hundred Fifty-Nine Thousand One Hundred Ninety- Nine Pesos and 10/100 Ce</t>
  </si>
  <si>
    <t xml:space="preserve"> Section I. Invitation to Bid Republic of the Philippines Province of Davao del Norte MUNICIPALITY OF TALAINGOD 								27 June, 2020 Invitation to Bid for CONSTRUCTION OF NATIONAL CHILD DEVELOPMENT CENTER (@Purok 4B, Sto. Niño,Talaingod, DdN 1.	The Local </t>
  </si>
  <si>
    <t xml:space="preserve"> SUPPLY AND DELIVERY OF SPARE PARTS FOR VEHICLES.</t>
  </si>
  <si>
    <t xml:space="preserve"> BACKGROUND: Pursuant to Revenue Administrative Order 4 – 2019 dated June 18, 2019, prescribing the splitting of Revenue Region No. 7 – Quezon City to Revenue Region No. 7A – Quezon City and Revenue Region No. 7B – East NCR, redefining its area of jurisdic</t>
  </si>
  <si>
    <t xml:space="preserve"> Repair and Rehabilitation of Hand-washing Facilities with a floor area of 16 sq meter with roof and 10 faucets.</t>
  </si>
  <si>
    <t xml:space="preserve"> INVITATION TO BID The Municipal Government of La Trinidad through the Bids and Awards Committee (BAC) invites contractors to bid for the hereunder project: Contract Reference No.: POW - 8751 - 2020 - PCO - 06 Name of Project: Rehabilitation of Municipal B</t>
  </si>
  <si>
    <t xml:space="preserve"> APPLICATIONS: SHEDDING OF THIN WASTE PLASTICS INCLUDING SANDO BAGS AND LAMINATED PACKING MATERIALS SPECIFICATIONS: BLADE HARDENED STEEL STATIONARY BLADES:2 ROTATING BLADES:2 ROTATING SHAFT: 7.5 CM DIAMETER SHREDEDER PRIMARY SUPPORT/ENCLOSURE: MS PLATE APP</t>
  </si>
  <si>
    <t xml:space="preserve"> Republic of the Philippines DEPARTMENT OF PUBLIC WORKS AND HIGHWAYS BATANGAS III DISTRICT ENGINEERING OFFICE REGIONAL OFFICE IV-A J. Gonzales St., Barangay 4, Tanauan City INVITATION TO BID (CW-2020-037) The DPWH–Batangas III District Engineering Office, </t>
  </si>
  <si>
    <t xml:space="preserve"> Section I. Invitation to Bid Republic of the Philippines Province of Davao del Norte Municipality of Talaingod 27 June, 2020 INVITATION TO BID FOR CHEMICALS, FERTILIZERS, FARM TOOLS &amp; EQUIPMENT AND SEEDLINGS/CORM (OPLAN AHON SA KAHIRAPAN-BANANA PRODUCTION</t>
  </si>
  <si>
    <t xml:space="preserve"> SUPPLY AND DELIVERY OF MATERIALS/SUPPLIES INTENDED FOR OPERATION AND MAINTENANCE USE</t>
  </si>
  <si>
    <t xml:space="preserve"> The Western Mindanao State University, through its Bids and Awards Committee (BAC), is inviting PhilGEPS registered suppliers to apply for eligibility and to submit bids for the item mentioned hereunder:  1.)	42	Units	Computer Table 			* keyboard sliding </t>
  </si>
  <si>
    <t xml:space="preserve"> Repair/Rehabilitation of Roads Damaged by Taal Volcano Eruption</t>
  </si>
  <si>
    <t xml:space="preserve"> INVITATION TO BID The Municipality of Mutia through its Bids and  Awards Committee Invites  contractors to apply for eligibility and to bid for the project reflected hereunder; NAME OF PROJECT	:  Purchase of IT Equipment [MDRRMO] LOCATION   :  Mutia, Zamb</t>
  </si>
  <si>
    <t xml:space="preserve"> Please download ITB in the Associated Components</t>
  </si>
  <si>
    <t xml:space="preserve"> The Western Mindanao State University, through its Bids and Awards Committee (BAC), is inviting PhilGEPS registered suppliers to apply for eligibility and to submit bids for the item mentioned hereunder:  1.)	18	Gallons	Enamel Paint - chocolate brown 			 </t>
  </si>
  <si>
    <t xml:space="preserve"> The Western Mindanao State University, through its Bids and Awards Committee (BAC), is inviting PhilGEPS registered suppliers to apply for eligibility and to submit bids for the item mentioned hereunder:  1.)	4	Bottles	Printer Ink (Brother DCP J100-LC539X</t>
  </si>
  <si>
    <t xml:space="preserve"> Structural Improvement of Public Buildings and Construction of Evacuation Center</t>
  </si>
  <si>
    <t xml:space="preserve"> Contract ID: 20-DO-0085 Contract Name: Repair/Rehabilitation of Flood Control Structure at Malaya, Pililla, Rizal Contract Location	: Pililla, Rizal Brief Description	: Repair/Rehabilitation of Flood Control Structure Approved Budget for the Contract (ABC</t>
  </si>
  <si>
    <t xml:space="preserve"> Republic of the Philippines PROVINCE OF AGUSAN DEL SUR Municipality of Sta. Josefa Invitation to Bid for   SJADS GOODS 20-11: PROCUREMENT OF IT EQUIPMENT 					   June 27, 2020 1.	The Municipality of Sta. Josefa through the following; a.	CY 2019 Non Office</t>
  </si>
  <si>
    <t xml:space="preserve"> Rehabilitation of Drainage System</t>
  </si>
  <si>
    <t xml:space="preserve"> Repair / Maintenance of Public Building</t>
  </si>
  <si>
    <t xml:space="preserve"> Repair / Maintenance of Multi-Purpose Building</t>
  </si>
  <si>
    <t xml:space="preserve"> SUPPLY AND DELIVERY OF MATERIALS/SUPPLIES FOR OPERATION AND MAINTENANCE USE.</t>
  </si>
  <si>
    <t xml:space="preserve"> Contract ID: 20-DO-0084 Contract Name: Repair/Rehabilitation of Slope Protection along Nagsandig to Sampad, Brgy. Nagsandig &amp; Brgy. Sampad, Cardona, Rizal Contract Location	: Cardona, Rizal Brief Description	: Repair/Rehabilitation of Slope Protection App</t>
  </si>
  <si>
    <t xml:space="preserve"> The Western Mindanao State University, through its Bids and Awards Committee (BAC), is inviting PhilGEPS registered suppliers to apply for eligibility and to submit bids for the item mentioned hereunder:  1.)	10	Units	Abney Hand Level 			5 case 1/4" long </t>
  </si>
  <si>
    <t xml:space="preserve"> INVITATION TO BID SUPPLY AND DELIVERY  OF ADDITIONAL SUPPLIES AND MATERIALS  FOR THE 2020 CENSUS OF POPULATION AND HOUSING (2020 CPH) 1.	The Philippine Statistics Authority – Regional Statistical Services Office II  (PSA-RSSO II), through the Fiscal Year </t>
  </si>
  <si>
    <t xml:space="preserve"> Construction of Multi-Purpose Building</t>
  </si>
  <si>
    <t xml:space="preserve"> Rehabilitation / Major Repair of Multi-Purpose Building</t>
  </si>
  <si>
    <t xml:space="preserve"> The Western Mindanao State University, through its Bids and Awards Committee (BAC), is inviting PhilGEPS registered suppliers to apply for eligibility and to submit bids for the item mentioned hereunder:  1.)	1	Unit	Laptop 			Specifications: 			Processor:</t>
  </si>
  <si>
    <t xml:space="preserve"> INVITATION TO BID  for  Upgrading of Poblacion-Cabalaoangan-Guiling Road, Rosales, Pangasinan Solicitation No. PANG-2020-0791 1.	The Provincial Government of Pangasinan, through the DILG-CMGP intends to apply the sum of Forty-Three Million Two Hundred Fif</t>
  </si>
  <si>
    <t xml:space="preserve"> INVITATION TO BID  for  Upgrading of Urdaneta – Asingan via Calepaan Road, Urdaneta &amp; Asingan, Pangasinan Solicitation No. PANG-2020-0790 1.	The Provincial Government of Pangasinan, through the DILG-CMGP intends to apply the sum of Sixty-Nine Million Eigh</t>
  </si>
  <si>
    <t xml:space="preserve"> The Western Mindanao State University, through its Bids and Awards Committee (BAC), is inviting PhilGEPS registered suppliers to apply for eligibility and to submit bids for the item mentioned hereunder:  1.)	1	Unit	LCD Projector 			Specifications: 			* P</t>
  </si>
  <si>
    <t xml:space="preserve"> INVITATION TO BID IB NO. CW 2020 –  101 Construction of Capitol in the South at Bagumbayan, Roxas, Oriental Mindoro 1.  The Provincial Government of Oriental Mindoro (PGOM) through the General Fund – SB # 2 intends to apply the sum of Thirty Four Million </t>
  </si>
  <si>
    <t xml:space="preserve"> Republic of the Philippines PROVINCE OF NUEVA VIZCAYA Invitation to Bid for the  IMPROVEMENT OF PAPAYA-CABINUANGAN-RUNRUNO ROAD Located at Kasibu, Nueva Vizcaya  1.	The Provincial Government of Nueva Vizcaya, through the 2020 20% Development Fund intends </t>
  </si>
  <si>
    <t xml:space="preserve"> 124.80 cm (7.62) cubic inch Single cylinder, four stroke 9.40 HP (6.9) @ 75000 RPM 10.40 mm (1.1kgf-m or 7.7 ft lbs) @ 5000 rpm 52.4 *57.9 mm (2.1 * 2.3 inches)</t>
  </si>
  <si>
    <t xml:space="preserve"> IB 2020-07-009 POC Procurement of Oxygen Cylinder 1800 PSI and Installation of Oxygen Manifold with Oxygen Pipe-in 2020-09</t>
  </si>
  <si>
    <t xml:space="preserve"> REQUEST FOR EXPRESSION OF INTEREST (REI) FOR THE CONSULTANCY SERVICES FOR THE GEOTECHNICAL INVESTIGATION OF CY 2020 PROJECTS 1.	The Department of Public Works and Highways, Rizal 1st District Engineering Office, through the RA 11465 REGULAR CURRENT, inten</t>
  </si>
  <si>
    <t xml:space="preserve"> Office and IT Equipment</t>
  </si>
  <si>
    <t xml:space="preserve"> Republic of the Philippines Province of Nueva Vizcaya Municipality of Bambang -oOo- INVITATION TO BID The Local Government Unit of Bambang, through the General Fund, intends to apply the sum of ONE MILLION TWO HUNDRED FORTY SIX THOUSAND SIX HUNDRED SEVENT</t>
  </si>
  <si>
    <t xml:space="preserve"> Attached herewith is the Request for Proposal and Terms of Reference.</t>
  </si>
  <si>
    <t xml:space="preserve"> Item I:  Hog Line 1 set Scalding Vat -5mm thick SS grade 304 full welded construction with 50mm dia. SS drain gate valve, lifter and counter weight -includes furnace construction with fire bricks insulation and 250mm dia. heat resistant chimney 1.5 meters</t>
  </si>
  <si>
    <t xml:space="preserve"> Attached herewith the Request for proposal and Terms of Reference.</t>
  </si>
  <si>
    <t xml:space="preserve"> 20CSE008: Consulting Services for the Conduct of Feasibility Study of the Proposed Coron-Culion Bridge, Palawan</t>
  </si>
  <si>
    <t xml:space="preserve"> Attahced herewith the Request for Proposal and Terms of Reference.</t>
  </si>
  <si>
    <t xml:space="preserve"> The Western Mindanao State University, through its Bids and Awards Committee (BAC), is inviting PhilGEPS registered suppliers to apply for eligibility and to submit bids for the item mentioned hereunder:  1.)	1	Unit	Steel Filing Cabinet 			* 4 drawers, ve</t>
  </si>
  <si>
    <t xml:space="preserve"> 1.Super Carry Van 2. Yr. Model 2018 3. 5 doors 4. Passenger capacity-9 including driver 5. Milleage Reaching-not to exceed 8,000 Kms. 6. Fully loaded- Pioneer car stereo and 4 speakers                      - Aricon front and rear                      - he</t>
  </si>
  <si>
    <t xml:space="preserve"> Republic of the Philippines Province of Misamis Occidental MUNICIPALITY OF CALAMBA   INVITATION TO BID FOR THE CONCRETING OF SILOY-MAMALAD ROAD 	June 27, 2020 1.	The Local Government Unit of Calamba, Misamis Occidental, through the 20% Development Fund-20</t>
  </si>
  <si>
    <t xml:space="preserve"> Republic of the Philippines PROVINCE OF AGUSAN DEL SUR Municipality of Sta. Josefa Invitation to Bid for   SJADS GOODS 20-10: PROCUREMENT OF SPAREPARTS FOR HEAVY EQUIPMENT 					   June 27, 2020 1.	The Municipality of Sta. Josefa through the authorized app</t>
  </si>
  <si>
    <t xml:space="preserve"> 1. The Lobo Water District through the Corporate Budget for the contract approved by the governing Boards 3 intends to apply the sum of One Million Two Hundred Ninety Eight Thousand Pesos (Php 1,298,000.00) being the Approved Budget for the Contract (ABC)</t>
  </si>
  <si>
    <t xml:space="preserve"> Republic of the Philippines 	Cebu Normal University 	Osmeña Blvd. Cebu City, 6000 Philippines                                 Office of the Bids and Awards Committee                                         Telephone No.: (+63 32) 254 1452 local 141 or 125</t>
  </si>
  <si>
    <t xml:space="preserve"> Municipality of Danao 						 Project Reference Number 			 : 	 2020-001 		  Name of Procuring Entity 						 Name of Project 			 : 	 Improvement/Opening of Brgy. Access Road San Carlos 		  StandardForm Number : SF -GOOD -60 						 Location of the Project   </t>
  </si>
  <si>
    <t xml:space="preserve"> INVITATION TO BID  for  Construction of Material Recovery Facilities at Lingayen District Hospital, Lingayen, Pangasinan Solicitation No. PANG-2020-0792 1.	The Provincial Government of Pangasinan, through the Maintenance/improvement of Various Hospitals i</t>
  </si>
  <si>
    <t xml:space="preserve"> BIDS AND AWARDS COMMITTEE INVITATION FOR NEGOTIATED PROCUREMENT (TWO FAILED BIDDINGS)  IB NO. 2020-057/ RJVF Supply and Delivery 1,200 head Free Range Chicken- Male and 6,000 head Free Range Chicken- Female In view of the two (2) failed biddings, the Depa</t>
  </si>
  <si>
    <t xml:space="preserve"> Contract ID: 20-DO-0086 Contract Name	: Construction/Rehabilitation of Water Supply/Septage and Sewerage/ Rain Water Collectors – Rain Water Collectors in Public Facilities – Construction of Rain Water Collectors at Rodriguez, Rizal Contract Location	: Ro</t>
  </si>
  <si>
    <t xml:space="preserve"> The Western Mindanao State University, through its Bids and Awards Committee (BAC), is inviting PhilGEPS registered suppliers to apply for eligibility and to submit bids for the item mentioned hereunder:  1.)	15	Pieces	Flash Drive  - 16GB 			 2.)	3	Pieces</t>
  </si>
  <si>
    <t xml:space="preserve"> 1. The CITY GOVERNMENT OF CALAMBA through the LDRRM Fund intends to apply the sum of PHP 9,599,999.36 being the Approved Budget for the Contract (ABC) to payments under the contract for: G-2020-369 Supply and Delivery of Advance Life Support Ambulance Loc</t>
  </si>
  <si>
    <t xml:space="preserve"> IB 2020-07-010 PLPG Procurement of LPG 50 Kgs 2020-10</t>
  </si>
  <si>
    <t xml:space="preserve"> 1. The CITY GOVERNMENT OF CALAMBA through the General Fund intends to apply the sum of PHP 3,360,000.00 being the Approved Budget for the Contract (ABC) to payments under the contract for: G-2020-281 Supply and Delivery of Rice Office of the City Mayor, C</t>
  </si>
  <si>
    <t xml:space="preserve"> 1. The CITY GOVERNMENT OF CALAMBA through the General Fund intends to apply the sum of PHP 3,444,000.00 being the Approved Budget for the Contract (ABC) to payments under the contract for: G-2020-280 Supply and Delivery of Rice &amp; Personalized Sacks Office</t>
  </si>
  <si>
    <t xml:space="preserve"> 1. The CITY GOVERNMENT OF CALAMBA through the Special Education Fund intends to apply the sum of PHP 2,232,000.00 being the Approved Budget for the Contract (ABC) to payments under the contract for: G-2020-210 Supply and Delivery of Portable Pressure Wash</t>
  </si>
  <si>
    <t xml:space="preserve"> 1. The CITY GOVERNMENT OF CALAMBA through the Special Education Fund intends to apply the sum of PHP 19,997,004.00 being the Approved Budget for the Contract (ABC) to payments under the contract for: G-2020-197 Supply and Delivery of School Supplies City </t>
  </si>
  <si>
    <t xml:space="preserve"> Invitation to Bid for the Construction of Three Classroom, Brgy. Poblacion, Sta. Elena, Camarines Norte 1.	TheProvincial Government of Camarines Norte, through the General Fund CY 2020intends to apply the sum of Four MillionFour Hundred Ninety-Five Thousa</t>
  </si>
  <si>
    <t xml:space="preserve"> 1. The CITY GOVERNMENT OF CALAMBA through the Special Education Fund intends to apply the sum of PHP 3,450,000.00 being the Approved Budget for the Contract (ABC) to payments under the contract for: G-2020-387 Supply and Delivery of Generator City Schools</t>
  </si>
  <si>
    <t xml:space="preserve"> Republic of the Philippines Province of Leyte Municipality of Pastrana BARANGAY LANAUAN INVITATION TO BID RENOVATION OF HEALTH CENTER  I.  SIGNBOARD II. EXCAVATION &amp; DEMOLITION   - .832cu.m III.MASSONRY WORKS - 29sq.m IV. CEILING WORKS    - 32sq.m V.  DOO</t>
  </si>
  <si>
    <t xml:space="preserve"> Republic of the Philippines Province of Bukidnon Municipality of Damulog OFFICE OF THE BIDS AND AWARDS COMMITTEE INVITATION TO BID FOR CONCRETING OF MUNICIPAL STREETS (Jct. Jose Rizal St to Gregorio del Pilar St. to Jct. Manlabao St.) AT POBLACION, DAMULO</t>
  </si>
  <si>
    <t xml:space="preserve"> 2.	Contract ID:  Brief Description: Repair/Rehab. Of scoured Shoulder with Slope Protection of 46.00 ln.m.   Approved Budget for the Contract (ABC): PhP 664,612.34 Source of Funds: GAA FY - 2020 Contract Duration: 30 calendar days Bid Document Amount: PhP</t>
  </si>
  <si>
    <t xml:space="preserve"> 1.	Contract ID: 20EI0179 Contract Name: Repair/Rehab. Of Scoured Shoulder with Slope Protection along CSR K0164+800 – K0164+860, Brgy. Manaul,  Location: Mansalay, Oriental Mindoro Brief Description: Repair/Rehab. Of scoured Shoulder with Slope Protection</t>
  </si>
  <si>
    <t xml:space="preserve"> Invitation to Bid for the  Fabrication  and Setting/Deployment of Concrete Artificial Reef 1.The Bureau of Fisheries and Aquatic Resources- Regional Fisheries Office I (BFAR-RFO I), through the General Appropriation Act of 2020 (GAA 2020) intends to apply</t>
  </si>
  <si>
    <t xml:space="preserve"> 1. The CITY GOVERNMENT OF CALAMBA through the General Fund intends to apply the sum of PHP 7,530,411.00 being the Approved Budget for the Contract (ABC) to payments under the contract for: G-2020-322 Supply and Delivery of Drugs and Medicines City Health </t>
  </si>
  <si>
    <t xml:space="preserve"> Republic of the Philippines Province of Cagayan Municipality of Piat -o0o- OFFICE OF THE BIDS AND AWARDS COMMITTEE (BAC) INVITATION TO BID FOR PROCUREMENT OF FERTILIZER                                       The Local Government Unit of Piat, through a sha</t>
  </si>
  <si>
    <t xml:space="preserve"> SUPPLY AND DELIVERY OF MATERIALS AND SUPPLIES INTENDED FOR OPERATION AND MAINTENANCE.</t>
  </si>
  <si>
    <t xml:space="preserve"> SUPPLY AND DELIVERY OF MATERIALS/SUPPLIES FOR OPERATION USE.</t>
  </si>
  <si>
    <t xml:space="preserve"> Republic of the Philippines PROVINCE OF AGUSAN DEL SUR Municipality of Sta. Josefa Invitation to Bid for   SJADS INFRA 20-05: COMPLETION OF MOTORPOOL 				                         June 27, 2020 1.	The Municipality of Sta. Josefa through the authorized appr</t>
  </si>
  <si>
    <t xml:space="preserve"> 1. The CITY GOVERNMENT OF CALAMBA through the General Fund intends to apply the sum of PHP 2,914,240.00 being the Approved Budget for the Contract (ABC) to payments under the contract for: G-2019-1080 Supply and Delivery of Pick-Up Patrol Vehicle Public O</t>
  </si>
  <si>
    <t xml:space="preserve"> INVITATION TO BID  for  Supply and Delivery of Various Construction Materials and Agricultural Equipment at Different Barangays within the 4th District of Pangasinan  Solicitation No. PANG-2020-0794 1.	The Provincial Government of Pangasinan, through the </t>
  </si>
  <si>
    <t xml:space="preserve"> BARANGAY USE</t>
  </si>
  <si>
    <t xml:space="preserve"> 1.	The Capiz Provincial Government, through the GOP–2020 intends to apply the total amount of Two Million Pesos (Php 2,000,000.00) being the total aggregated Approved Budget for the Contract (ABC) to payments under the contract of Public Bidding for the S</t>
  </si>
  <si>
    <t xml:space="preserve"> PROCUREMENT OF SLIPPERS (SANDAL TYPE) FOR AGE 6-12 YEARS The MUNICIPALITY OF AGUTAYA, through its Bids and Awards Committee (BAC), invites eligible suppliers/contractors to bid for the hereunder project: Project		:	 	 Requesting Office/End-user	:	MUNICIPA</t>
  </si>
  <si>
    <t xml:space="preserve"> Republic of the Philippines          City of Dumaguete Bids and Awards Committee INVITATION TO BID FOR PURCHASE REQUEST OF 1 ROLL #14 THW WIRE-BLACK AND OTHER ITEMS 	The City of Dumaguete thru its BIDS AND AWARDS COMMITTEE (BAC), invites all interested ma</t>
  </si>
  <si>
    <t xml:space="preserve"> PARTICULARS	DATE Pre-bid Conference @ BAC Conference Room, GSO, 1st floor, New Capitol Blg, Pigcarangan, Tubod,LDN.	July 9,  2020 @ 10:00 AM Deadline for Submission of Eligibility requirements and bidding documents for bid opening (all bids must be placed</t>
  </si>
  <si>
    <t xml:space="preserve"> INVITATION TO BID  for  Supply and Delivery of 832 MT Asphalt Pre-Mix and 36 drums Emulsified Asphalt at PGO, Lingayen, Pangasinan (for use in the Asphalting/Blocktopping of Lingayen-San Carlos Road Dike at Lingayen, Pangasinan) Solicitation No. PANG-2020</t>
  </si>
  <si>
    <t xml:space="preserve"> Contract ID:      20HL0111 Contract Name: Repair/Maintenance of Flood Control &amp; Drainage Structures: Datag 1                         River Control Upstream "A"  Contract Location:  Datag, Siaton, Negros Oriental Scope of Works:  Construction of River Cont</t>
  </si>
  <si>
    <t xml:space="preserve"> Contract ID:      20HL0110 Contract Name: Repair and Maintenance of Road Safety Facilities - Installation of                         New Traffic Signs along Dumaguete South Road, Dumaguete City-                        Valencia-Bacong Road, Sta. Catalina-P</t>
  </si>
  <si>
    <t xml:space="preserve"> Republic of the Philippines PROVINCE OF ZAMBALES IBA BIDS AND AWARDS COMMITTEE Invitation to Bid for the Completion of 10 Classroom Two-Storey School Building with Multi-Purpose Covered Court Phase 1, Amungan High School, Iba 1.	The Province of Zambales, </t>
  </si>
  <si>
    <t xml:space="preserve"> INVITATION TO BID Date: June 26, 2020 1.	The Provincial Government of Davao del Sur, through its Bids and Awards Committee (BAC), invites all potential bidders/suppliers to apply to bid for the following goods. Bids received in excess of the ABC shall be </t>
  </si>
  <si>
    <t xml:space="preserve"> Invitation to Bid for the Construction of Multi-Purpose Building, Brgy. Dogongan, Daet, Camarines Norte 1.	TheProvincial Government of Camarines Norte, through the Aid to BarangayCY 2020intends to apply the sum of Two MillionFour Hundred Ninety-FourThousa</t>
  </si>
  <si>
    <t xml:space="preserve"> Republic of the Philippines                                           Province of Leyte     MUNICIPALITY OF ALBUERA       OFFICE OF THE BIDS AND AWARDS COMMITTEE INVITATION TO BID 	The Local Government Unit of Albuera, Leyte through its Bids and Awards Co</t>
  </si>
  <si>
    <t xml:space="preserve"> 1. The CITY GOVERNMENT OF CALAMBA through the General Fund intends to apply the sum of PHP 2,424,000.00 being the Approved Budget for the Contract (ABC) to payments under the contract for: G-2020-370 Supply and Delivery of Wheelchair Office of the City Ma</t>
  </si>
  <si>
    <t xml:space="preserve"> Republic of the Philippines Department of Health WESTERN VISAYAS SANITARIUM Santa Barbara, Iloilo INVITATION TO BID FOR Procurement of Various Office Supplies,  Customized Logbooks &amp; Forms and ICT Consumables IB No. 2020-06-012-G The Western Visayas Sanit</t>
  </si>
  <si>
    <t xml:space="preserve"> 1. The CITY GOVERNMENT OF CALAMBA through the General Fund intends to apply the sum of PHP 1,717,416.00 being the Approved Budget for the Contract (ABC) to payments under the contract for: G-2020-361 Labor &amp; Materials for the Repair &amp; Maintenance of Water</t>
  </si>
  <si>
    <t xml:space="preserve"> 1. The CITY GOVERNMENT OF CALAMBA through the General Fund intends to apply the sum of PHP 1,276,500.00 being the Approved Budget for the Contract (ABC) to payments under the contract for: G-2020-283 Supply and Delivery of Medical Equipment City Health Se</t>
  </si>
  <si>
    <t xml:space="preserve"> 1. The CITY GOVERNMENT OF CALAMBA through the GAD Fund intends to apply the sum of PHP 3,805,574.40 being the Approved Budget for the Contract (ABC) to payments under the contract for: G-2020-372 Supply and Delivery of Agricultural Inputs: Organic Swine P</t>
  </si>
  <si>
    <t xml:space="preserve"> 1. The CITY GOVERNMENT OF CALAMBA through the LGD Fund intends to apply the sum of PHP 2,094,000.00 being the Approved Budget for the Contract (ABC) to payments under the contract for: G-2020-371 Supply and Delivery of Blood Bank Refrigerator &amp; Plasma Fre</t>
  </si>
  <si>
    <t xml:space="preserve"> INVITATION TO BID The Department of Public Works and Highways (DPWH), Cavite 3rd District Engineering Office, Carmona, Cavite through its Bids and Awards Committee (BAC), invites contractors to submit bids for the following Contract: 8. Contract I.D. No.:</t>
  </si>
  <si>
    <t xml:space="preserve"> The DPWH Nueva Ecija 1st DEO, through its Bids and Awards Committee (BAC), invites contractors to submit bids for the following contract:			 				 	20CE0216: Construction of 2STY4CL, Cabaruan ES, Guimba, Nueva Ecija			 				 				 	CONTRACT DURATION: _______</t>
  </si>
  <si>
    <t xml:space="preserve"> The DPWH Nueva Ecija 1st DEO, through its Bids and Awards Committee (BAC), invites contractors to submit bids for the following contract:			 				 	20CE0215: Construction of 2STY6CL, Concepcion ES, Santo Domingo, Nueva Ecija			 				 				 	CONTRACT DURATION</t>
  </si>
  <si>
    <t xml:space="preserve"> INVITATION TO BID  for  Construction of Provincial Youth Development Center at Lingayen, Pangasinan Solicitation No. PANG-2020-0798 1.	The Provincial Government of Pangasinan, through the PCF-DILG/Community Development Fund intends to apply the sum of Sev</t>
  </si>
  <si>
    <t xml:space="preserve"> Item                    QTY                    Unit                             Item Description   # 1                         14                      rolls                    HDPE pipe 63mm o SDR-11 (60/roll) 2                         13                 </t>
  </si>
  <si>
    <t xml:space="preserve"> Contract for the Concreting of Road Section at Purok 16, Bulahan, San Isidro, Barangay Tibal-og, Santo Tomas, Davao del Norte The Municipality of Santo Tomas, through 20% MDF CY 2020 intends to apply the sum of P’ 2,999,141.66 being the Approved Budget fo</t>
  </si>
  <si>
    <t xml:space="preserve"> The DPWH Nueva Ecija 1st DEO, through its Bids and Awards Committee (BAC), invites contractors to submit bids for the following contract:			 				 	20CE0214: Construction of 2STY6CL, Don Emiliano Soriano ES, Aliaga, Nueva Ecija			 				 				 	CONTRACT DURAT</t>
  </si>
  <si>
    <t xml:space="preserve"> The DPWH Nueva Ecija 1st DEO, through its Bids and Awards Committee (BAC), invites contractors to submit bids for the following contract:			 				 	20CE0212: Construction of 2STY8CL, Minabuyok ES, Talavera, Nueva Ecija			 				 				 	CONTRACT DURATION: ____</t>
  </si>
  <si>
    <t xml:space="preserve"> various Emergency and First Aid Kits</t>
  </si>
  <si>
    <t xml:space="preserve"> 1.	200		pcs.		Plastic Envelope w/ handle	 2.	1600		pcs.		Notebooks	 3.	200		pcs.		Pencil	 4.	400		pcs.		Ballpen	 5.	200		pcs.		Sharpener	 6.	200		pcs.		Ruler	 7.	200		pcs.		Eraser	 8.	100		pcs.		Pad Paper (Grade 1-4)	 9.	50		pcs.		Intermediate Pad Paper	 </t>
  </si>
  <si>
    <t xml:space="preserve"> The DPWH Nueva Ecija 1st DEO, through its Bids and Awards Committee (BAC), invites contractors to submit bids for the following contract:			 				 	20CE0210: Construction of 2STY6CL, Mamandil PS, Talavera, Nueva Ecija			 				 				 	CONTRACT DURATION: _____</t>
  </si>
  <si>
    <t xml:space="preserve"> various Office Supplies</t>
  </si>
  <si>
    <t xml:space="preserve"> Invitation to Bid SUPPLY AND DELIVERY OF CONSTRUCTION  MATERIALS FOR THE RENOVATION OF TRAINING CENTER (PHASE II) ITB No. R4B-20-06-08 1.The NIA MIMAROPA Regional Office, through the General Appropriations Act of 2020 intends to apply the sum of Two Milli</t>
  </si>
  <si>
    <t xml:space="preserve"> 1.	The Mindanao State University-Tawi-Tawi College of Technology and Oceanography (MSU-TCTO), through the MSU-TCTO TRUST FUND   intends to apply the sum of One Million Five Hundred Pesos and  0/100 Centavos (PhP1,500,000.00) being the Approved Budget for </t>
  </si>
  <si>
    <t xml:space="preserve"> Ext. Length 120 mts Width 1.5 mts</t>
  </si>
  <si>
    <t xml:space="preserve"> 30 PC's. 90 watts Automatic solar street lights with remote control 30 PC's. Facricated G.I.post  for solar panel ànd led bulbs</t>
  </si>
  <si>
    <t xml:space="preserve"> SITE CLEARING AND GRUBBING SURPLUS COMMON EXCAVATION SUBGRADE PREPARATION AGGREGATE BASE COURSE PCC PAVEMENT WARNING &amp; HAZARD SIGNS INCLUDING BOLLARDS CONSTRUCTION SAFETY AND HEALTH 4' x 8' Tarpaulin on 5mm thk. Marine Plywood with Helivitica Font (70dpi)</t>
  </si>
  <si>
    <t xml:space="preserve"> Repair/Rehabilitation of Barangay Hall</t>
  </si>
  <si>
    <t xml:space="preserve"> The Department of Public Works and Highways, Nueva Ecija 1st District Engineering Office thru its Bids and Awards Committee (BAC) hereby notifies the following contractors classified by and registered with the Philippine Contractors Accreditation Board (P</t>
  </si>
  <si>
    <t xml:space="preserve"> The DPWH Nueva Ecija 1st DEO, through its Bids and Awards Committee (BAC), invites contractors to submit bids for the following contract:			 				 	20CE0213: Construction of 2STY6CL, Collado ES, Talavera, Nueva Ecija			 				 				 	CONTRACT DURATION: ______</t>
  </si>
  <si>
    <t xml:space="preserve"> The DPWH Nueva Ecija 1st DEO, through its Bids and Awards Committee (BAC), invites contractors to submit bids for the following contract:			 				 	20CE0224: Repair/Maintenance of Collapsed Slope Protection, Cadaclan Bridge 2, along Pantabangan - Canili - </t>
  </si>
  <si>
    <t xml:space="preserve"> 1.	The Mindanao State University-Tawi-Tawi College of Technology and Oceanography (MSU-TCTO), through the MSU-TCTO Trust Fund,  intends to apply the sum of One Million Seven Hundred Twenty-one Thousand Four Hundred Four Pesos and 67/100 Centavos (PhP 1,72</t>
  </si>
  <si>
    <t xml:space="preserve"> The DPWH Nueva Ecija 1st DEO, through its Bids and Awards Committee (BAC), invites contractors to submit bids for the following contract:			 				 	20CE0223: Construction of 1STY2CL, Camanggahan ES, Carranglan, Nueva Ecija			 				 				 	CONTRACT DURATION: </t>
  </si>
  <si>
    <t xml:space="preserve"> The DPWH Nueva Ecija 1st DEO, through its Bids and Awards Committee (BAC), invites contractors to submit bids for the following contract:			 				 	20CE0222: Construction of 1STY2CL, Salvacion 2nd ES, Lupao, Nueva Ecija			 				 				 	CONTRACT DURATION: ___</t>
  </si>
  <si>
    <t xml:space="preserve"> Republic of the Philippines DEPARTMENT OF PUBLIC WORKS AND HIGHWAYS OFFICE OF THE DISTRICT ENGINEER Aklan District Engineering Office Toting Reyes St., Kalibo, Aklan Re-Invitation The Department of Public Works and Highways (DPWH), Aklan District Engineer</t>
  </si>
  <si>
    <t xml:space="preserve"> The DPWH Nueva Ecija 1st DEO, through its Bids and Awards Committee (BAC), invites contractors to submit bids for the following contract:			 				 	20CE0211: Construction of 2STY6CL, Homestead I ES, Talavera, Nueva Ecija			 				 				 	CONTRACT DURATION: __</t>
  </si>
  <si>
    <t xml:space="preserve"> Payment for electrical expenses</t>
  </si>
  <si>
    <t xml:space="preserve"> Republic of the Philippines Province of Compostela Valley Municipality of Monkayo -o0o- INVITATION TO BID FOR THE PROCUREMENT OF LABOR &amp; MATERIALS FOR THE PROJECT OF REHABILITATION/IMPROVEMENT OF DRY MARKET @ BLOCK-1 BUILDING BLOCK 1, MARKET SITE, POBLACI</t>
  </si>
  <si>
    <t xml:space="preserve"> The Local Government Unit of the Island Garden City of Samal, through the 20% Dev’t. Funds intends to apply the sum of One Million Eight Hundred Sixty Nine Thousand Four Hundred Sixty Three Pesos and Seventy Two Centavos (₱1,869,463.72) being the Approved</t>
  </si>
  <si>
    <t xml:space="preserve"> Item Description	                                   Quantity	                                              Unit a.	Project Billboard                                 	1	                                              unit b.	Clearing and Grubbing of Source P</t>
  </si>
  <si>
    <t xml:space="preserve"> MUNICIPALITY OF BORBON DESCRIPTION 576 BOTTLES PARACETAMOL 250 MG SYRUP 288 BOTTLES CLOXACILLIN 250 MG SUSPENSION 20 BOXES/100 CLOXACILLIN 500MG CAPSULE 288 BOTTLES 250 MG SUSPENSION 5 BOXES/100 MEFENAMIC 500MG CAP 40 BOXES/100 AMOXICILLIN 500MG CAP 144 B</t>
  </si>
  <si>
    <t xml:space="preserve"> Diesel Fuel		ltrs	6,680</t>
  </si>
  <si>
    <t xml:space="preserve"> June 25, 2020 	 	INVITATION TO BID		 			 	The City Government of Pasig through Ordinance No. 21 Series 2019 dated November 7, 2019 		 duly approved by the Sanggunian Panglungsod appropriated funds in the sum as enumerated 			 below being the Approved Budg</t>
  </si>
  <si>
    <t xml:space="preserve"> Republic of the Philippines        Province of Leyte     MUNICIPALITY OF ALBUERA       OFFICE OF THE BIDS AND AWARDS COMMITTEE INVITATION TO BID 	The Local Government Unit of Albuera, Leyte through its Bids and Awards Committee invites interested supplier</t>
  </si>
  <si>
    <t xml:space="preserve"> The Local Government Unit of the Island Garden City of Samal through the Special Education Fund – 2020 AB intends to apply the sum of One Million Four Hundred Eighteen Thousand Four Hundred Eighty Six Pesos and Thirty One Centavos (₱1,418,486.31) being th</t>
  </si>
  <si>
    <t xml:space="preserve"> The Local Government Unit of the Island Garden City of Samal, through the Supplemental Budget#1 (2020) intends to apply the sum of Nine Hundred Seventy Seven Thousand Six Hundred Forty Nine Pesos and Twenty Three Centavos (₱977,649.23) being the Approved </t>
  </si>
  <si>
    <t xml:space="preserve"> The Local Government Unit of the Island Garden City of Samal, through the CDRRMC (Trust Fund): Continuing GF intends to apply the sum of One Million Three Hundred Five Thousand One Hundred Seven Pesos and Sixty One Centavos (₱1,305,107.61) being the Appro</t>
  </si>
  <si>
    <t xml:space="preserve"> The Local Government Unit of the Island Garden City of Samal through the 20% Development Funds (2020) intends to apply the sum of Four Million Seven Hundred Ninety Four Thousand Two Hundred Sixty One Pesos and Thirty Four Centavos (₱4,794,261.34) being th</t>
  </si>
  <si>
    <t xml:space="preserve"> Billboard; Clearing &amp; Excavation; Covered Canal; Safety &amp; Health (Construction Health and Safety Requirement); Equipment Requirement: Cargo/service truck; concrete mixer (1 bagger); Truck with water tank; bar cutter; bar bender; 36 w.d.</t>
  </si>
  <si>
    <t xml:space="preserve"> Billboard; Clearing and Excavation; Structural Concrete (Class A); RSB (Grade 40); Grouted Riprap (Class A); Backfill; PCC Pavement (200 mm Thick); Safety &amp; Health (Construction Health and Safety Requirement); Equipment Requirement: One bagger mixer; Conc</t>
  </si>
  <si>
    <t xml:space="preserve"> INVITATION TO BID  for  Supply and Delivery of 837 MT Asphalt Pre-Mix and 36 drums Emulsified Asphalt at PGO, Lingayen, Pangasinan (for use in the Asphalting of Lingayen-San Carlos Road Dike at San Carlos City, Pangasinan) Solicitation No. PANG-2020-0793 </t>
  </si>
  <si>
    <t xml:space="preserve"> the specification is available at the Bids and Awards Secretariat MPDC-2nd Floor, Lasam Municipal Town Hall Centro 02, Lasam, Cagayan</t>
  </si>
  <si>
    <t xml:space="preserve"> STRUCTURAL STEEL ROOF TRUSS (RAFTERS) STRUCTURAL STEEL (PURLINS) STRUCTURAL STEEL (FASCIA) METAL STRUCTURE ACCESSORIES (ANCHOR BOLT) METAL STRUCTURE ACCESSORIES (SAG ROD) METAL STRUCTURE ACCESSORIES (TURNBUCKLE) METAL STRUCTURE ACCESSORIES (CROSSBRACING) </t>
  </si>
  <si>
    <t xml:space="preserve"> The Local Government Unit of the Island Garden City of Samal, through the 20% Development Fund (SB#1) intends to apply the sum of One Million Four Hundred Seventy Four Thousand Thirty Three Pesos and Six Centavos (₱1,474,033.06) being the Approved Budget </t>
  </si>
  <si>
    <t xml:space="preserve"> Republic of the Philippines Province of Compostela Valley Municipality of Monkayo -o0o- INVITATION TO BID FOR THE PROCUREMENT OF LABOR &amp; MATERIALS FOR THE PROJECT OF CONSTRUCTION OF MULTI-PURPOSE HALL-BABAG, MONKAYO, DAVAO DE ORO The Municipality of Monka</t>
  </si>
  <si>
    <t xml:space="preserve"> Billboard; Site Works; Forms and Falseworks; Reinforcing Steel; Structural Concrete;  Safety &amp; Health (Construction Health and Safety Requirement);  Equipment Requirement: Dump truck; bar bender; bar cutter; 21 w.d.</t>
  </si>
  <si>
    <t xml:space="preserve"> 30 MM SQ.</t>
  </si>
  <si>
    <t xml:space="preserve"> The DPWH Nueva Ecija 1st DEO, through its Bids and Awards Committee (BAC), invites contractors to submit bids for the following contract:			 				 	20CE0225: Repair/Maintenance of River Bank Protection along Rio Chico River, Brgy. Mapangpang, Lupao, Nueva </t>
  </si>
  <si>
    <t xml:space="preserve"> Aircondition 2 horse power, window type		unit	2</t>
  </si>
  <si>
    <t xml:space="preserve"> The Local Government Unit of the Island Garden City of Samal, through the 20%Dev’t. Fund(SB#01)  intends to apply the sum of One Million Eighty Two Thousand Three Hundred Seventy Nine Pesos and Eighty Nine Centavos only (₱1,082,379.89) being the Approved </t>
  </si>
  <si>
    <t xml:space="preserve"> Billboard; Clearing and Excavation(Manual); Guardrails; Structural Concrete; Painting Works; Manual Hauling; Safety &amp; Health (Construction Health and safety Requirement); Equipment Requirement: Cargo/service truck; generator (diesel or gasoline); welding </t>
  </si>
  <si>
    <t xml:space="preserve"> The Local Government Unit of the Island Garden City of Samal, through the Supplemental Budget#1 (2020) intends to apply the sum of Two Million Eight Hundred Ninety Seven Thousand Nine Hundred Eighty Eight Pesos and Sixty Centavos (₱2,897,988.60) being the</t>
  </si>
  <si>
    <t xml:space="preserve"> FLOOR STANDING, INVERTER TYPE</t>
  </si>
  <si>
    <t xml:space="preserve"> CLEARING AND/OR GRUBBING EXCAVATION CURB AND GUTTER CEILING WORKS DOORS ROOFING PAINTING WORKS PROJECT BILLBOARD OTHERS( PLUMBING AND ELECTRICAL ACCESORIES)</t>
  </si>
  <si>
    <t xml:space="preserve"> Republic of the Philippines Province of Compostela Valley Municipality of Monkayo -o0o- INVITATION TO BID FOR THE PROCUREMENT OF LABOR &amp; MATERIALS FOR THE PROJECT OF CONSTRUCTION OF MULTI-PURPOSE HALL-UPPER ULIP, MONKAYO, DAVAO DE ORO The Municipality of </t>
  </si>
  <si>
    <t xml:space="preserve"> The Local Government Unit of the Island Garden City of Samal, through the 20% Development Fund intends to apply the sum of One Million Nine Hundred Thirty Two Thousand Nine Hundred Thirteen Pesos and Thirty Seven Centavos (₱1,932,913.37) being the Approve</t>
  </si>
  <si>
    <t xml:space="preserve"> Billboard; Dismantling of dilapidated pathway; site clearing &amp; excavation works; Railings; Concrete  Works; Manual Hauling of Materials;  Safety &amp; Health (Construction Health and safety Requirement); Equipment Requirement: Electric Jack Hammer; cargo/serv</t>
  </si>
  <si>
    <t xml:space="preserve"> Communication Load Globe and Smart</t>
  </si>
  <si>
    <t xml:space="preserve"> Procurement supply and Delivery of 1 unit 4 x 2 AT Pick Up Location: LGU-Balingasag SB Office, Peoples Palace, Balingasag, Misamis Oriental</t>
  </si>
  <si>
    <t xml:space="preserve"> Republic of the Philippines Province of Samar Municipality of Sta. Rita The Municipality of Sta. Rita, through Municipal Agriculture Office MOOE fund intends to apply the sum of TWO MILLION FIVE HUNDRED THOUSAND PESOS (Php2,500,000.00) ONLY being the Appr</t>
  </si>
  <si>
    <t xml:space="preserve"> Republic of the Philippines Province of Samar Municipality of Sta. Rita The Municipality of Sta. Rita, through Municipal Agriculture Office MOOE fund intends to apply the sum of TWO MILLION PESOS (Php2,000,000.00) ONLY being the Approved Budget for the Co</t>
  </si>
  <si>
    <t xml:space="preserve"> umbrella nails assorted paint</t>
  </si>
  <si>
    <t xml:space="preserve"> The Local Government Unit of the Island Garden City of Samal, through the 20% Development Fund (2020) intends to apply the sum of One Million Nine Hundred Twenty Two Thousand Four Hundred Twenty Pesos and Seventy Four  Centavos (₱1,922,420.74) being the A</t>
  </si>
  <si>
    <t xml:space="preserve"> Laptop 15.6" (Core i7 / 8 gb ram DDR4 Windows 10 / 1 TB HDD</t>
  </si>
  <si>
    <t xml:space="preserve"> Billboard; Safety &amp; Health (Construction Health and safety Requirement); Clearing and Site Preparation; Reinforcing Steel Bars; Concrete Works; Equipment Requirement: one bagger concrete mixer; dump truck; speed cutter; bar bender; 15 w.d</t>
  </si>
  <si>
    <t xml:space="preserve"> bond paper printer ink folders</t>
  </si>
  <si>
    <t xml:space="preserve"> The Municipality of Limay, through its Bids and Awards Committee (BAC) invites registered suppliers to apply for eligibility and if found eligible, to bid for the hereunder project/contract: Project/Contract:     PROCUREMENT OF ONE (1) SET THERMOPLASTIC R</t>
  </si>
  <si>
    <t xml:space="preserve"> The LOCAL GOVERNMENT UNIT OF ISLAND GARDEN CITY OF SAMAL, ), through the 20% Development Fund under the account code 1-07-03-040  intends to apply the sum of Seven Hundred Forty Three Thousand Three Hundred Ninety Six Pesos Only (Php743,396.00) being the </t>
  </si>
  <si>
    <t xml:space="preserve"> Republic of the Philippines Province of Compostela Valley Municipality of Monkayo -o0o- Invitation to Bid for The Procurement of Labor &amp; Materials for The Project of Rehabilitation/ Improvement of Evacuation Center 1- Poblacion, Monkayo, Davao De Oro The </t>
  </si>
  <si>
    <t xml:space="preserve"> The Municipality of Limay, through its Bids and Awards Committee (BAC) invites registered contractors to apply for eligibility and if found eligible, to bid for the hereunder project/contract: Project/Contract:    PROCUREMENT OF ONE (1) UNIT LIFTING PLATF</t>
  </si>
  <si>
    <t xml:space="preserve"> INVITATION TO REBID FOR SUPPLY AND DELIVERY OF MATERIALS FOR REPLACEMENT AND EXPANSION OF PIPELINES 1.	The Balingasag Water District, through the Balingasag Water District Fund of 2020 intends to apply the following being the Approved Budget for the Contr</t>
  </si>
  <si>
    <t xml:space="preserve"> Republic of the Philippines          City of Dumaguete Bids and Awards Committee INVITATION TO BID FOR PURCHASE REQUEST OF 5 CU.M SAND STD. AND SPECS OTHER ITEMS 	The City of Dumaguete thru its BIDS AND AWARDS COMMITTEE (BAC), invites all interested manuf</t>
  </si>
  <si>
    <t xml:space="preserve"> Billboard; Clearing and Excavation; PCCP (pathway);Structural Concrete; Grouted Riprap; Installation of Railings;  Safety &amp; Health (Construction Health and safety Requirement); Equipment Requirement: Welding machine; Speed Cutter; Cargo Truck; 22 w.d.</t>
  </si>
  <si>
    <t xml:space="preserve"> Clearing and Grubbing; Structural Excavation; Reinforcing Steel Bar; Structural Concrete-Class A; Grouted Riprap; Billboard; Manual Hauling of Materials; Transportation;    Safety &amp; Health (Construction Health and safety Requirement); Equipment Requiremen</t>
  </si>
  <si>
    <t xml:space="preserve"> Republic of the Philippines BOHOL ISLAND STATE UNIVERSITY Main Campus, Tagbilaran City INVITATION TO BID FOR “RE-BIDDING: SUPPLY AND DELIVERY OF IT PARTS AND ACCESSORIES (PR NO. 2020-02-0120, 2020-02-0312, 2020-02-0203, 2020-02-0337, 2020-01-0034, 2020-01</t>
  </si>
  <si>
    <t xml:space="preserve"> The Local Government Unit of the Island Garden City of Samal, through the 20% Development Fund (2020) intends to apply the sum of Eight Hundred Fifty Nine Thousand Six Hundred Seventy Pesos (₱859,670.00) being the Approved Budget for the Contract (ABC) to</t>
  </si>
  <si>
    <t xml:space="preserve"> Republic of the Philippines Province of Davao del Sur MUNICIPALITY OF MATANAO -oOo- INVITATION TO BID The Local Government Unit of Matanao, Davao del Sur, through its Bids and Awards Committee (BAC), invites interested ISO certified suppliers/distributors</t>
  </si>
  <si>
    <t xml:space="preserve"> Republic of the Philippines DEPARTMENT OF PUBLIC WORKS AND HIGHWAYS Region X OFFICE OF THE REGIONAL DIRECTOR Engineers’ Hill, Bulua, Cagayan de Oro City INVITATION TO BID FOR CONTRACT ID NO. 20GSK00013– SUPPLY &amp; DELIVERY OF DESKTOP COMPUTER &amp; LASER PROJEC</t>
  </si>
  <si>
    <t xml:space="preserve"> INVITATION TO BID FOR THE “PROPOSED CONSTRUCTION/REHABILITATION OF DRAINAGE SYSTEM PHASE II (SOUTH SIDE) ALONG OGATIS STREET, LA CARLOTA CITY” The CITY GOVERNMENT OF LA CARLOTA, through the Capital Outlay intends to apply the sum of One Million Sixty Eigh</t>
  </si>
  <si>
    <t xml:space="preserve"> The LOCAL GOVERNMENT UNIT OF ISLAND GARDEN CITY OF SAMAL, ), through the 20%  Development Fund under the account code 1-07-03-040  intends to apply the sum of Eight Hundred Eighty-Five Thousand Nine Hundred Thirteen Pesos and Twenty- Centavos (Php885,913.</t>
  </si>
  <si>
    <t xml:space="preserve"> Date of Bidding: July 16,2020   Time of Bidding:   10:00 a.m   Place of Bidding: Multi-Purpose Hall, Brgy. Agbatuan,Anilao,Iloilo   MATERIALS: 16 CU.M.    BASE COURSE 235 BAGS  CEMENT 15 CU.M.    SAND 27 CU.M.   GRAVEL CRUSHED (G.I MAX. SIZE) 10 PCS.    R</t>
  </si>
  <si>
    <t xml:space="preserve"> The LOCAL GOVERNMENT UNIT OF ISLAND GARDEN CITY OF SAMAL, ), through the 20%  Development Fund under the account code 1-07-03-040  intends to apply the sum of One Million Thirty-Nine thousand Eighty Pesos and Forty Centavos Only (Php1,039,080.40) being th</t>
  </si>
  <si>
    <t xml:space="preserve"> Republic of the Philippines Province of Davao del Sur MUNICIPALITY OF MATANAO -oOo- INVITATION TO BID The Local Government Unit of Matanao, Davao del Sur, through its Bids and Awards Committee (BAC), invites interested suppliers/distributors to apply for </t>
  </si>
  <si>
    <t xml:space="preserve"> INVITATION TO BID COMPLETION OF MULTI PURPOSE HALL CUM EVACUATION CENTER 1.	The Local Government Unit of Cabadbaran City through the 20% DEVELOPMENT FUND OF 2019 SUPPLEMENTAL BUDGET NO. 2  intends to apply the sum of  TWO MILLION ONE HUNDRED SIXTY-EIGHT T</t>
  </si>
  <si>
    <t xml:space="preserve"> INVITATION TO BID FOR PURCHASE OF FOOD AND NON-FOOD ITEMS FOR STOCKPILE OF FAMILY FOOD PACKS (FFP)   1.	The DEPARTMENT OF SOCIAL WELFARE AND DEVELOPMENT FIELD OFFICE III through its Bids and Awards Committee and the DRMD intends to apply the sum of LOT NO</t>
  </si>
  <si>
    <t xml:space="preserve"> 1. 1 LOT - CONSTRUCTION MATERIALS - 599,382.00 he Complete Schedule of Activities are Listed as Fallows: 1. Submission of Letter of Intent &amp; Issuance of Bid Documents - July 3-15, 2020 @ 8:00am - 5:00pm 2. Opening of Bids - July 16, 2020 @ 09:00am @ Mun. </t>
  </si>
  <si>
    <t xml:space="preserve"> The LOCAL GOVERNMENT UNIT OF ISLAND GARDEN CITY OF SAMAL, ), through the 20% Development Fund under the account code 1-07-03-050  intends to apply the sum of Two Million Eight Hundred Ninety-Four Thousand Seven Hundred Fifty-Five (2,894,755.00) being the </t>
  </si>
  <si>
    <t xml:space="preserve"> The Philippine Statistics Authority – Misamis Oriental Branch , (PSA-Mis. Or.) through its Technical Working Group (TWG ), will undertake an Alternative Mode of Procurement through Negotiated Procurement -for the items stated below,  in accordance with Se</t>
  </si>
  <si>
    <t xml:space="preserve"> INVITATION TO BID  for  Construction of Two (2) Storey Multi-Purpose Building (for BSP Eastern Pangasinan Council) at Urdaneta City, Pangasinan Solicitation No. PANG-2020-0800 1.	The Provincial Government of Pangasinan, through the Community Development F</t>
  </si>
  <si>
    <t xml:space="preserve"> Bidding Date and Time: July 3, 2020 1:00 p.m.</t>
  </si>
  <si>
    <t xml:space="preserve"> Republic of the Philippines			 			Department of Agriculture			 			         BUREAU OF FISHERIES AND AQUATIC RESOURCES			 			Fisheries Regional Office No. 10			 			Macabalan, Cagayan de Oro City			 			TIN – 000-550-823-017			 _______________________________</t>
  </si>
  <si>
    <t xml:space="preserve"> 1.  Open type collapsible tent, 3mtrs x 3mtrs with maruyama cover with print of barangay logo.  Heavy duty G.I.       pipe frame. 2.  Same as number one except 3mtrs x 6 mtrs. 3.  High strength Automatic Loading Ambulance Trolley Stretcher.  Lightweight a</t>
  </si>
  <si>
    <t xml:space="preserve"> Provision of Security Services From March 1- December 31, 2020</t>
  </si>
  <si>
    <t xml:space="preserve"> INVITATION TO BID  for  Supply and Delivery of One (1) unit Vehicle at Provincial Health Office (for the I Love Pangasinan Kalusugan Karavan) Solicitation No. PANG-2020-801 1.	The Provincial Government of Pangasinan, through the PHO-Maintenance and Other </t>
  </si>
  <si>
    <t xml:space="preserve"> The Local Government Unit of the Island Garden City of Samal, through the 20% Development Fund (2020) intends to apply the sum of Nine Hundred Fifty Thousand Nine Hundred Fifty Five Pesos and Fifty Nine Centavos (₱950,955.59) being the Approved Budget for</t>
  </si>
  <si>
    <t xml:space="preserve"> To undertake the upgrading of Sewer Treatment Plant (in accordance to DAO 2016-08)</t>
  </si>
  <si>
    <t xml:space="preserve"> Purchase of CCTV which includes 5 cameras and its accessories</t>
  </si>
  <si>
    <t xml:space="preserve"> The LOCAL GOVERNMENT UNIT OF ISLAND GARDEN CITY OF SAMAL, ), through the 20% Development Fund under the account code 1-07-03-050  intends to apply the sum of Eight Hundred Fifty-Nine Thousand One Hundred Pesos and Forty Five Centavos (PhP859,100.45) being</t>
  </si>
  <si>
    <t xml:space="preserve"> CONSTRUCTION OF CONCRETE CANAL  OVER @ BRGY. CROSSING, SAN ISIDRO, LEYTE Construction of 44 ln. m. x 1.2 m. wide x 0.1 m. thick concrete canal cover at the back of JFKMS.</t>
  </si>
  <si>
    <t xml:space="preserve"> Billboard; Clearing and Excavation Works; Construction of Watertank (RSB, Formworks, manual hauling of materials); Installation of HDPE Pipe;  Safety &amp; Health (Construction Health and safety Requirement); Equipment Requirement: Cargo/service truck; bar cu</t>
  </si>
  <si>
    <t xml:space="preserve"> Republic of the Philippines  City of Canlaon Office of the Bids and Awards Committee  INVITATION TO BID FOR the Improvement of Brgy. Multi-purpose Building The Local Government of Canlaon City, through AIP 2018. Intends to apply the sum Two Hundred Ninety</t>
  </si>
  <si>
    <t xml:space="preserve"> ITB</t>
  </si>
  <si>
    <t xml:space="preserve"> Procurement of Books (Lot 1: Procurement of Printed Books; Lot 2: Procurement of e-Books)</t>
  </si>
  <si>
    <t xml:space="preserve"> Republic of the Philippines DEPARTMENT OF PUBLIC WORKS &amp; HIGHWAYS LEYTE THIRD ENGINEERING DISTRICT REGIONAL OFFICE VIII Villaba, Leyte Telefax No. (053) 552-9266 Email Add: dpwh_leyte3@yahoo.com INVITATION TO BID  June 17, 2020 The Department of Public Wo</t>
  </si>
  <si>
    <t xml:space="preserve"> The Municipality of General Mariano Alvarez, Cavite (GMA, Cavite), invites sealed bids from interested Bidders for the Purchase of 1Unit Brand New Vehicle details stated as follows: 1.	PURCHASE OF 1 UNIT BRANDVEHICLE – ABC Php 980,000.00 1	2	Units	BRAND N</t>
  </si>
  <si>
    <t xml:space="preserve"> - The Barangay Lumay, call for quotation for the procurement of 1 set pre-fab, fiber glass board with complete accessories. - The Estimated Budget Cost is One Hundred Fifty Thousand Pesos (Php150,000.00). - Interested bidders may obtain further informatio</t>
  </si>
  <si>
    <t xml:space="preserve"> INVITATION TO BID FOR THE PROCUREMENT OF ICT EQUIPMENT and offic supplies 1.	The Local Government Unit of Buug, through the General Fund  intends to apply the sum of Two Million Six Hundred Forty Thousand Pesos only ( 2,640,000.00) being the Approved Budg</t>
  </si>
  <si>
    <t xml:space="preserve"> Estimated Expenditures for Lot A - Php 1,070,180.00        Item Description	       Quantity                	Unit a.		uPVC pipe 75 mm θ series-8 w/ rubber ring blue	320	Pcs. b.		uPVC pipe 100 mm θ series-8 w/ rubber ring blue	4	Pcs. c.		uPVC straight coupl</t>
  </si>
  <si>
    <t xml:space="preserve"> INVITATION TO BID Supply of Labor, Tools and Equipment for the Drilling of One (1) Unit Exploratory/Production Well at Arcon, Tumauini, Isabela 1. The TUMAUINI WATER DISTRICT (TWD), through the Corporate Operating Budget (COB) for the contract approved by</t>
  </si>
  <si>
    <t xml:space="preserve"> Republic of the Philippines DEPARTMENT OF SOCIAL WELFARE AND DEVELOPMENT Field Office XI Ramon Magsaysay Ave. cor. Damaso Suazo St., Davao City Telefax (082) 226-2857 / 227-1964 / 2278746 e-mail: fo11@dswd.gov.ph Website:http://www.dswd.gov.ph INVITATION </t>
  </si>
  <si>
    <t xml:space="preserve"> Repair/Rehabilitation of Students Comfort Room</t>
  </si>
  <si>
    <t xml:space="preserve"> Construction of 50 ln. m. x 0.1 m. thick concrete pathway</t>
  </si>
  <si>
    <t xml:space="preserve"> Bars; Concrete Works; Forms and Falseworks; Manual Hauling of Materials; Safety &amp; Health (Construction Health and safety Requirement); Equipment Requirement: Cargo Service Truck; Speed Cutter; Bar bender; Electric Jack Hammer; Safety Shoes; Safety Helmet;</t>
  </si>
  <si>
    <t xml:space="preserve"> The Local Government Unit of the Island Garden City of Samal through the 20% Development Fund intends to apply the sum of Nine Hundred Forty Eight Thousand One Hundred Forty Six Pesos and Seventy Centavos (₱948,146.70) being the Approved Budget for the Co</t>
  </si>
  <si>
    <t xml:space="preserve"> Installation of Skyline; Installation of G.I. Pipes/Fittings; Construction of 8’x8’x8’ Distribution Tank; billboard;  Safety &amp; Health (Construction Health and safety Requirement); Equipment Requirement: Chain Block; Pipe Threader; pipe wrench; bar cutter;</t>
  </si>
  <si>
    <t xml:space="preserve"> Republic of the Philippines Province of Occidental Mindoro Municipality of Sta. Cruz INVITATION TO BID The Municipality of Sta. Cruz, through its Bids and Awards Committee (BAC), invites qualified contractors to bid for the construction of hereunder progr</t>
  </si>
  <si>
    <t xml:space="preserve"> This project is own and govern by Barangay Nemeño, Josefina, Zamboanga del Sur.</t>
  </si>
  <si>
    <t xml:space="preserve"> Billboard; Dismantling of dilapidated pathway; site clearing and excavation works; railings; concrete works; grouted riprap;  Safety &amp; Health (Construction Health and safety Requirement); Manual Hauling of Materials; Equipment Requirement: Cargo/service t</t>
  </si>
  <si>
    <t xml:space="preserve"> Billboard; Structure Excavation; Grouted Riprap (class A); PCC Pavement (Plain); Curb &amp; Gutter (Cast in place);  Safety &amp; Health (Construction Health and Safety Requirement);  equipment requirement: one bagger mixer; cargo/service truck; Water truck; conc</t>
  </si>
  <si>
    <t xml:space="preserve"> 1  Desktop Computer, core i7 (as per MS specification) - 8 units 1 Desktop Computer, core i5 (as per MS specification) - 1 unit</t>
  </si>
  <si>
    <t xml:space="preserve"> Purchase request submitted by Nora Meneses 1	 1	 set	 AUTOCLAVABLE PIPETTORS    Set includes: •	2 units     0.2 – 2.0ul •	1 unit       1.0 – 10.0ul •	1 unit       2.0 – 20.0ul •	1 unit       10.0 – 100.0ul •	1 unit       20.0 – 200.0ul •	1 unit       100.</t>
  </si>
  <si>
    <t xml:space="preserve"> 1.	The Municipality of Baliguian, now invites bids for the Construction of PNP Perimeter Fence with Drainage at PNP Station, Poblacion, Baliguian, Zamboanga del Norte.  2.	Bidding will be conducted in accordance with relevant procedures for open competiti</t>
  </si>
  <si>
    <t xml:space="preserve"> INVITATION TO BID FOR Procurement of Technical Scientific Laboratory Equipment for CAFF and CNPAHS at NORSU Pamplona and Main Campuses (Batch 1) GOOD2020-00-03(a) 1. The Negros Oriental State University (NORSU) and the Bids and Awards Committee (BAC), thr</t>
  </si>
  <si>
    <t xml:space="preserve"> Date of Bidding : July 16,2020    Time of Bidding : 11: am    Place of Bidding:  Multi-Purpose Hall, Brgy. Agbatuan,Anilao,Iloilo    MATERIALS:  24 BAGS  CEMENT  2   CU.M   SAND  3   CU.M   GRAVEL  29 PCS.    RSB-10MMØX6M 24  PCS.    RSB- 9MMØX6M 8    KGS</t>
  </si>
  <si>
    <t xml:space="preserve"> Construction materials and supplies</t>
  </si>
  <si>
    <t xml:space="preserve"> REQUEST FOR QUOTATION Date	:	June 23, 2020 Project Title	:	Supply and Delivery of One (1) Lot Various Printing Consumables  ITB No.             	:	FB20-02-004CORa-06 Brief Description 	:	Supply and Delivery of Ink Cartridge for existing PAGCOR HP Designje</t>
  </si>
  <si>
    <t xml:space="preserve"> Purchase request submitted by Rimmon T. Armones 1	 1	 unit	 DIGITAL WATER BATH **Note: (see detailed specifications) ABC is Php 100,000.00</t>
  </si>
  <si>
    <t xml:space="preserve"> The Municipality of Baliwag, through its Bids and Awards Committee (BAC), invites contractors to apply for eligibility and to bid the here ender project: Name of Project	:	PRINTING OF LOCALIZED BOOKS FOR BALIWAG 				NORTH AND SOUTH DISTRICT 	 Location		:	</t>
  </si>
  <si>
    <t xml:space="preserve"> The Local Government Unit of the Island Garden City of Samal, through the General Funds CY 2020 intends to apply the sum of Four Million Pesos only (₱4,000,000.00) being the Approved Budget for the Contract (ABC) to payments under the contract for Purchas</t>
  </si>
  <si>
    <t xml:space="preserve"> Billboard; Replacement of dilapidated canal (RSB); Construction of Concrete Canal (RSB, Structural Concrete); Plastering of Existing Canal; Grouted riprap;  Safety &amp; Health (Construction Health and safety Requirement); Equipment Requirement: Bar cutter; b</t>
  </si>
  <si>
    <t xml:space="preserve"> Billboard; Structure  Excavation; RSB; Structural Concrete;  Safety &amp; Health (Construction Health and safety Requirement); Equipment Requirement: Bar cutter; Bar Bender; Dumptruck; 19 w.d.</t>
  </si>
  <si>
    <t xml:space="preserve"> Billboard; Clearing and Grubbing; Structural Concrete Class A (Intake tank) (1.3x1.3x1.3); Structural Concrete Class A(Anchor Deadman-6 units); Installation of Pipeline and skyline cable; Manual Hauling; Safety &amp; Health (Construction Health and safety Req</t>
  </si>
  <si>
    <t xml:space="preserve"> Description   Construction Works (Perimeter Fence, Guard House, Power House and Storage Room Interested bidder may visit PENRO SK Office at Old Capitol Compound, Kalawag II, Isulan, Sultan Kudarat</t>
  </si>
  <si>
    <t xml:space="preserve"> Invitation to Bid Date: June 25, 2020 IB NO.: G-109-20	 Description: Supply/Delivery of 6 units Multicab Full Body Type Specification: Engine Displacement: 660cc to 1000cc, Manual Transmission Seating capacity: 11-13 persons 4 wheel drive 3 cylinders Fuel</t>
  </si>
  <si>
    <t xml:space="preserve"> Billboard; Structure Excavation; RSB Works; Structural Concrete; Grouted Riprap (Class A); Embankment; Safety &amp; Health (Construction Health and safety Requirement);  Equipment Requirement: Dump truck; backhoe; backhoe with breaker; bar cutter; bar bender;</t>
  </si>
  <si>
    <t xml:space="preserve"> Billboard; Clearing &amp; Excavation; Canal; Canal cover (Steel Grating); PCCP;  Safety &amp; Health (Construction Health and safety Requirement); Equipment Requirement: Concrete cutter; Jack Hammer; Dump truck; Cargo truck/dumptruck; bar bender; bar cutter; conc</t>
  </si>
  <si>
    <t xml:space="preserve"> The Energy Regulatory Commission (ERC), through the General Appropriations Act of 2020 intends to apply the sum of One Million Pesos (PhP1,000,000.00) being the Approved Budget for the Contract of the Unified Threat Management (UTM) License Renewal and Su</t>
  </si>
  <si>
    <t xml:space="preserve"> Republic of the Philippines DEPARTMENT OF PUBLIC WORKS AND HIGHWAYS Region X OFFICE OF THE REGIONAL DIRECTOR Engineers’ Hill, Bulua, Cagayan de Oro City INVITATION TO BID FOR CONTRACT ID NO. 19GSK00052– SUPPLY &amp; INSTALLATION OF MOBILE COLUMN LIFT, POST LI</t>
  </si>
  <si>
    <t xml:space="preserve"> Republic of the Philippines DEPARTMENT OF PUBLIC WORKS AND HIGHWAYS Region X OFFICE OF THE REGIONAL DIRECTOR Engineers’ Hill, Bulua, Cagayan de Oro City RE-INVITATION TO BID FOR CONTRACT ID NO. 20GSK00009 – SUPPLY AND DELIVERY OF OFFICE SUPPLIES &amp; CONSUMA</t>
  </si>
  <si>
    <t xml:space="preserve"> 1.	The Local Government Unit of Las Nieves, through the Budget for the Contract approved by the Sanggunian intends to apply the sum of one million one hundred seventy five thousand four hundred and fifty pesos only (Php 1,175,450.00) for Lot 1 and fifty t</t>
  </si>
  <si>
    <t xml:space="preserve"> Republic of the Philippines Province of Batangas Municipality of San Juan BIDS AND AWARDS COMMITTEE INVITATION TO BID THE LOCAL GOVERNMENT UNIT OF SAN JUAN, BATANGAS, through its Bids and Awards Committee (BAC), invites registered PhilGEPS suppliers/distr</t>
  </si>
  <si>
    <t xml:space="preserve"> Purchase request submitted by Nora Meneses 1 unit	 LAMINAR FLOW HOOD 1 unit	 FUME HOOD ABC is Php 400,000.00</t>
  </si>
  <si>
    <t xml:space="preserve"> Republic of the Philippines PROVINCE OF NUEVA VIZCAYA Invitation to Bid for the  CONCRETING OF BANGANAN-TUCANON-TABUENG ROAD Located at Aritao, Nueva Vizcaya  1.	The Provincial Government of Nueva Vizcaya, through the 2020 20% Development Fund intends to </t>
  </si>
  <si>
    <t xml:space="preserve"> Billboard; Subgrade preparation (unclassified materials); Portland cement concrete pavement; grouted riprap; curb and gutter; construction of cross drainage; concrete barrier; widening blocks;  Safety &amp; Health (Construction Health and Safety Requirement);</t>
  </si>
  <si>
    <t xml:space="preserve"> Contract Reference Number: 007034-2020-01 Name of Project and Location: Drainage at Zone 5 Bgy. Abella Approved Budget for the Contract  (ABC): 2,014,900.00 Contract Duration (calendar days): 120 Equipment Required: jackhammer with compressor,  concrete c</t>
  </si>
  <si>
    <t xml:space="preserve"> Republic of the Philippines PROVINCE OF NUEVA VIZCAYA Invitation to Bid for the  CONSTRUCTION OF COLINTINAFTMR Located at Imugan, Sta. Fe, Nueva Vizcaya  1.	The Provincial Government of Nueva Vizcaya, through the 2020 20% Development Fund intends to apply</t>
  </si>
  <si>
    <t xml:space="preserve"> The City Government of Naga, through the Medical Supplies Account of Naga City Hospital (NCH), intends to apply the sum of Two Million Nine Hundred Eighty Nine Thousand Six Hundred Eighty (P 2,989,680.00) Pesos being the Approved Budget for the Contract (</t>
  </si>
  <si>
    <t xml:space="preserve"> Contract Reference Number: 007017-2020-01 Name of Project and Location: Covered Court at Sabang High School, Bgy. Sabang Approved Budget for the Contract  (ABC): 4,191,600.00 Contract Duration (calendar days): 200 Equipment Required: concrete mixer, cutti</t>
  </si>
  <si>
    <t xml:space="preserve"> please download the ITB and its other documents in the associated component</t>
  </si>
  <si>
    <t xml:space="preserve"> 1. 20GEI0019 - Furnishing and Delivery of Materials for use in the Concrete and Asphalt Pavement along CSR KM123+000-KM193+000 (Intermittent Section),  Contract Location: Bongabong-Bulalacao, Oriental Mindoro Approved Budget for the Contract (ABC):  P 2,0</t>
  </si>
  <si>
    <t xml:space="preserve"> Purchase request submitted by Rimmon Armones 1 unit	 FLAT ROTARY SHAKER ABC is Php 200,000.00</t>
  </si>
  <si>
    <t xml:space="preserve"> 1.	The West Visayas State University Medical Center, through Use of Income Fund (2020) intends to apply  the sum of  ONE MILLION SIX HUNDRED EIGHTY THREE THOUSAND TWO HUNDRED THIRTY PESOS ONLY (PhP 1,683,230.00) being the Approved Budget for the Contract </t>
  </si>
  <si>
    <t xml:space="preserve"> Billboard; Structure Excavation; Grouted Riprap (Class A); Embankment;  Safety &amp; Health (Construction Health and safety Requirement); Equipment Requirement: Water Truck; Dump Truck; Backhoe (0.80cum); One Bagger Mixer; Cargo Service Truck; Safety Shoes; S</t>
  </si>
  <si>
    <t xml:space="preserve"> Republic of the Philippines PROVINCE OF NUEVA VIZCAYA Invitation to Bid for the  CONCRETING OF KINACAO-KURASAY-KINALABASA ROAD Located at Bagabag, Nueva Vizcaya  1.	The Provincial Government of Nueva Vizcaya, through the 2020 20% Development Fund intends </t>
  </si>
  <si>
    <t xml:space="preserve"> INVITATION TO BID Supply of Labor, Tools and Equipment for the Drilling of One (1) Unit Exploratory/Production Well at Fermeldy, Tumauini, Isabela 1. The TUMAUINI WATER DISTRICT (TWD), through the Corporate Operating Budget (COB) for the contract approved</t>
  </si>
  <si>
    <t xml:space="preserve"> Purchase request submitted by Nelsie Grace Gela  1 unit	 ACID STORAGE CABINET ABC is Php 300,000.00</t>
  </si>
  <si>
    <t xml:space="preserve"> Republic of the Philippines PROVINCE OF NUEVA VIZCAYA Invitation to Bid for the  CONCRETING OF UNAON-STA. LUCIA ROAD Located at Bagabag, Nueva Vizcaya  1.	The Provincial Government of Nueva Vizcaya, through the 2020 20% Development Fund intends to apply t</t>
  </si>
  <si>
    <t xml:space="preserve"> Specifications:  Fuel Type : Diesel  No. of Cylinders: 4  Engine Size/Displacement: 2,488-3,000  Max. Power (Ps):129  Engine Type(VGS): 3  Transmission Type: 5-speed manual WITH ACCESSORIES:  Folder Stretcher  Spine Board  Wall Mounted Blood Pressure Appa</t>
  </si>
  <si>
    <t xml:space="preserve"> UNIT	  DESCRIPTION		QUANTITY	 I.	MASONRY/CONCRETE  WORKS:			 	Qty.= 1 lot			 				 pcs	CHB #6		        7461	   pcs	CHB #4		          660	   bag (s)	Cement		1823	  cu.m	Sand		146	   cu.m	Gravel		117	  pcs	16mmØ Deformed Bar		509	   pcs	12mmØ Deformed Bar		1</t>
  </si>
  <si>
    <t xml:space="preserve"> 2 unit Uninterruptible Power Supply (UPS) built in AVR			 	 550 w, 230 V, universal and IEC sockets	 		 1 set Desktop Computer			 	"Intel® Core i3-8100 3.6Ghz processor 8th Generation         Intel® B360 Express Chipset         4 GB DDR4 2666MHz (Up to 32</t>
  </si>
  <si>
    <t xml:space="preserve"> Republic of the Philippines PROVINCE OF NUEVA VIZCAYA Invitation to Bid for the  CONCRETING OF CALDAAN-MONGKOL-MAPAINA ROAD Located at Solano, Nueva Vizcaya  1.	The Provincial Government of Nueva Vizcaya, through the 2020 20% Development Fund intends to a</t>
  </si>
  <si>
    <t xml:space="preserve"> Republic of the Philippines PROVINCE OF NUEVA VIZCAYA Invitation to Bid for the  CONSTRUCTION/IMPROVEMENT OF PUROK 5 POBLACION FTMR Located at Diadi, Nueva Vizcaya  1.	The Provincial Government of Nueva Vizcaya, through the 2020 20% Development Fund inten</t>
  </si>
  <si>
    <t xml:space="preserve"> The Municipality of Baliwag, through its Bids and Awards Committee (BAC), invites contractors to apply for eligibility and to bid the here ender project: Name of Project	:	PROCUREMENT OF ACTIVITY BOOK FOR  				KINDERGARTEN OF BALIWAG NORTH AND SOUTH 				D</t>
  </si>
  <si>
    <t xml:space="preserve"> supply &amp; delivery of construction materials</t>
  </si>
  <si>
    <t xml:space="preserve"> Procurement of diesel fuel for the branch generator set (2020 Provision)</t>
  </si>
  <si>
    <t xml:space="preserve"> Republic of the Philippines PROVINCE OF NUEVA VIZCAYA 2nd Invitation to Bid for the  CONSTRUCTION/IMPROVEMENT OF SITIO CAINO FTMR Located at Banila, Dupax del Sur, Nueva Vizcaya  1.	The Provincial Government of Nueva Vizcaya, through the 2020 20% Developm</t>
  </si>
  <si>
    <t xml:space="preserve"> Republic of the Philippines PROVINCE OF NUEVA VIZCAYA Invitation to Bid for the  IMPROVEMENT OF CVR BAMBANG-SALINAS-SAN FABIAN-PINGKIAN ROAD Located at Kayapa, Nueva Vizcaya  1.	The Provincial Government of Nueva Vizcaya, through the 2020 20% Development </t>
  </si>
  <si>
    <t xml:space="preserve"> 1.	The Provincial Government of Antique, through the General Fund intends to apply the sum of Two Million Nine Hundred Forty Six Thousand Sixty Three Pesos &amp; 60/100 (Php 2, 946, 063.60) being the Approved Budget for the Contract (ABC) to payments under th</t>
  </si>
  <si>
    <t xml:space="preserve"> 10	ream	Accounting form 10	bot.	Alcohol,ethyl,70%, scented, 250ml 121	bottle	Alcohol,ethyl,70%, scented, 500ml 138	pc	Ballpen 5	box	Ballpen, black 20	pc	Ballpen, black, blue &amp; red 2	box	Ballpen, blue 25	pc	Ballpen, green 5	pc	Ballpen, my-gel, 0.5 blue 1	b</t>
  </si>
  <si>
    <t xml:space="preserve"> The Metro Iloilo Water District (MIWD), through its Bids and Awards Committee (BAC), invites Suppliers / Manufacturers / Contractors to bid for Four (4) units Laptop Computers with Wireless Mouse as per attached Request for Quotation (RFQ) under Purchase </t>
  </si>
  <si>
    <t xml:space="preserve"> No. of Person: Five (5) Persons Contract Duration: 12 Months (January-December 2020) General ABC for 12 Months: 637,820.04 Qualification of Personnel: - Not more than 55 years old - At least high school graduate - With good moral character - Non-PUI/PUM's</t>
  </si>
  <si>
    <t xml:space="preserve"> Location:  Pob. East,Tungngod, Cudog, Luta, Ponghal ABC: Php 1,250,000.00 Cost of Bid Docs: 5,000.00 The Procurement Schedules are as following: 1. Deadline of buying of Bid Docs: July 8, 2020 @ 5:00 PM 2. Deadline for submission of Bid Docs: July 9, 2020</t>
  </si>
  <si>
    <t xml:space="preserve"> Purchase request submitted by Ma. Theresa Alejandrino	 1 unit	 pH METER ABC is Php 60,000.00</t>
  </si>
  <si>
    <t xml:space="preserve"> Procurement of transport and hauling services for the proper disposal of shredded banknote</t>
  </si>
  <si>
    <t xml:space="preserve"> UNIT	  DESCRIPTION		QUANTITY 	CONCRETING &amp; MASONRY WORKS		 cu.m	Cement		619 cu.m	Sand 		48 cu.m	Gravel		40 pc (s)	10mm Dia x 6.0m Corrugated Round Bar		1541 pc (s)	12mm Dia x 6.0m Corrugated Round Bar		10 pc (s)	20mm Dia x 6.0m Corrugated Round Bar		237 p</t>
  </si>
  <si>
    <t xml:space="preserve"> Rebidding of Improvement of Nueva Fuerza Water System</t>
  </si>
  <si>
    <t xml:space="preserve"> PROJECT REFERENCE NO. CWD 25-2020 INVITATION TO BID FOR  Supply and Delivery of Chlorine Dioxide (Liquid Solution) (Rebidding) Item No.	Item Description	Qty.	Unit	Unit Cost	Total Amount 1	Chlorine Dioxide (Liquid Solution)	181	Sets  (A &amp; B Components	6,00</t>
  </si>
  <si>
    <t xml:space="preserve"> Purchase request submitted by Ma. Theresa Alejandrino  1 unit	 ELECTRIC STERILIZER ABC is Php 150,000.00</t>
  </si>
  <si>
    <t xml:space="preserve"> Number: 	Quantity: 	Unit	PPMP_Code	PPMP_Code1	PPMP_Code2	PPMP_Remarks	Particulars	StockNo	Unit_Cost	Estimated_Cost 							Supply and Delivery of  Heavy Duty Plastic Pallets			 							.			 1	40	unit					Heavy Duty Plastic Pallets		4,400.00	176,000.00 					</t>
  </si>
  <si>
    <t xml:space="preserve"> Republic of the Philippines          City of Dumaguete Bids and Awards Committee INVITATION TO BID FOR PURCHASE REQUEST OF 8 PACK WATER PROOFING COMPOUND OTHER ITEMS 	The City of Dumaguete thru its BIDS AND AWARDS COMMITTEE (BAC), invites all interested m</t>
  </si>
  <si>
    <t xml:space="preserve"> Construction Materials.</t>
  </si>
  <si>
    <t xml:space="preserve"> Location:  Burnay/Caba/ Pullaan/Pob. South/Pob. West/Dulao/Abinuan ABC: Php 1,250,000.00 Cost of Bid Docs: 5,000.00 The Procurement Schedules are as following: 1. Deadline of buying of Bid Docs: July 8, 2020 @ 5:00 PM 2. Deadline for submission of Bid Doc</t>
  </si>
  <si>
    <t xml:space="preserve"> Furnishing of Materials, Labor &amp; Equipment Scope of Work: SCPL-Item 1  1.00 l.s.  Provision of field Officer for Engineers SCPL-Item 2  1.00  l.s. Construction Safety and Health Program SCPL-Item 3  96.00  sq.ft  Project Billboard SCPL-Item 4  1.00 l.s.  </t>
  </si>
  <si>
    <t xml:space="preserve"> Supply and Delivery of ICT Supplies 3rd Quarter. ABC=28,419.12</t>
  </si>
  <si>
    <t xml:space="preserve"> Supply and Delivery of 1,800 Pcs of Transparent Hygiene Kit Pouch for Students ABC=75,300.00</t>
  </si>
  <si>
    <t xml:space="preserve"> Location: LGU-Lagawe ABC: Php 549,000.00 Cost of Bid Docs: 1,000.00 The Procurement Schedules are as following: 1. Deadline of buying of Bid Docs: July 8, 2020 @ 5:00 PM 2. Deadline for submission of Bid Docs: July 9, 2020 @ 9:00 AM 3. Opening of Bids:  J</t>
  </si>
  <si>
    <t xml:space="preserve"> Republic of the Philippines Department of Health Central Luzon Center for Health Development Talavera General Hospital Talavera, Nueva Ecija    ISO QMS Certified INVITATION TO BID  Supply and Delivery of Various Medical, Laboratory, Dental and Radiology E</t>
  </si>
  <si>
    <t xml:space="preserve"> Supply and Delivery of Cleaning and Disinfecting Products for 3rd Quarter ABC=8,000</t>
  </si>
  <si>
    <t xml:space="preserve"> Concreting of Montay Road at Brgy. Montay, Libungan, Cotabato</t>
  </si>
  <si>
    <t xml:space="preserve"> UNIT	  DESCRIPTION		QUANTITY SPL- 1	LINE CANAL INCL. LAY-BY		 	QTY.= 100.00 l.m		 	L= 100m 	W= 1.20m	 			 	I. Materials		 pcs	RCPC 36"Ø (0.90m)		95 pcs	CHB 4"		900 bags	Cement		80 pcs	10mmØ x 6.0m RSB		112 cu.m	Sand		8 cu.m	Gravel		5 kgs	G.I Tie Wire #16	</t>
  </si>
  <si>
    <t xml:space="preserve"> Led Road Lighting Fixture 30 watts Daylight model FSL1030DL	40 sets Led Road Lighting Fixture 50 watts Daylight model FSL1050DL	25 sets Photocell Control 6 Ampere	5 pcs Compact Fluorescent Lamp (CFL) 10 Watts	50 pcs Electrical Tape (Big)	21 pcs PVC Pipe ¾</t>
  </si>
  <si>
    <t xml:space="preserve"> Main Motherboard	1 pc Main Processor	1 pc RGB 64GB DDR4 DRAM 3200MHZ	1 pc 2TB M.2 SSD	1 pc DVD Burner with M-Disk	1 pc Computer Case	1 pc True Rated Power Supply	1 pc Gaming Keyboard/Mouse Combo RGB	1 pc 18.5” LED Monitor with Universal Rack Monitor Mount</t>
  </si>
  <si>
    <t xml:space="preserve"> Concreting of Batiocan - Demapaco Road at Brgy. Batiocan, Libungan, Cotabato</t>
  </si>
  <si>
    <t xml:space="preserve"> Republic of the Philippines Department of Education Region V SCHOOLS DIVISION OFFICE OF CAMARINES SUR Office of the Bids and Awards Committee INVITATION TO BID FOR:   SUPPLY AND DELIVERY OF IT SUPPLIES &amp; EQUIPMENT AND OFFICE SUPPLIES FOR THE DIVISION OFFI</t>
  </si>
  <si>
    <t xml:space="preserve"> Furnishing of Materials, Labor &amp; Equipment SCOPE OF WORK: SCPL-Item 1  1.00  l.s.  Provision of Field Officer for Engineers SCPL-Item 2  1.00  l.s.  Construction Safety and Health Program SCPL-Item 3  96.00  sq.ft  Project Billboard SCPL-Item 4  1.00 l.s.</t>
  </si>
  <si>
    <t xml:space="preserve"> INVITATION TO BID Sealed proposal in ink typewritten one (1) copy will be received fro bonafide contractors on July 10, 2020 at 11:00 AM at Barangay Hall, Barangay Abar 1st, this city on which date, time and place the bid will publicly opened in the prese</t>
  </si>
  <si>
    <t xml:space="preserve"> PROJECT REFERENCE NO. CWD 27-2020 Invitation to Bid for Supply of Labor and Materials for the Restoration Works at Different Areas located in Calamba City (Rebidding) Item No.	Item Description	Qty.	Unit	Unit Cost	Total Amount 1	Supply of Labor and Materia</t>
  </si>
  <si>
    <t xml:space="preserve"> 1.	The Municipality of Impasugong, through the 20% - Construction of Residual Containment Facility – Sanitary Landfill intends to apply the sum of Two Million Five Hundred Thousand Pesos (PhP2,500,000.00) being the Approved Budget for the Contract (ABC) t</t>
  </si>
  <si>
    <t xml:space="preserve"> The Municipality of Baliwag, through its Bids and Awards Committee (BAC), invites contractors to apply for eligibility and to bid the here ender project: Name of Project	:	SUPPLY AND DELIVERY OF WOODEN ARMCHAIRS 				FOR BALIWAG POLYTECHNIC COLLEGE 	 Locat</t>
  </si>
  <si>
    <t xml:space="preserve"> NEW INSTALLATION OF LIGHTING FIXTURES STARTING FROM BARANGAY AMBOLONG TO PALAY</t>
  </si>
  <si>
    <t xml:space="preserve"> Invitation to Bid for IMPROVEMENT OF ACCOUNTING OFFICE, A.G. SAMONTE HALL BUILDING, UPLB, COLLEGE, LAGUNA rebid 1.	The U.P. LOS BAÑOS, through the GOP through UPLB Reprogrammed Funds intends to apply the sum of ₱9,694,545.45 being the Approved Budget for </t>
  </si>
  <si>
    <t xml:space="preserve"> Establishment of Traffic Warning Signs Along National Roads, Provincial Roads &amp; Municipal Roads @ Buenavista, Agusan del Norte Buenavista, Agusan del Norte Project Category: Fabrication / Installation Project Description: Fabrication/Installation of Traff</t>
  </si>
  <si>
    <t xml:space="preserve"> 200 AGGREGATE SUB-BASE COARSE</t>
  </si>
  <si>
    <t xml:space="preserve"> INFRASTRUCTURE WORKS FOR THE ROAD CONCRETING OF BARANGAY ROAD AT BARANGAY NAJANDIG,ZAMBOANGUITA, NEGROS ORIENTAL</t>
  </si>
  <si>
    <t xml:space="preserve"> INVITATION TO BID FOR THE SUPPLY OF SECURITY SERVICES FOR 2020-2021  1.	The Philippine Crop Insurance Corporation (PCIC), through the PCIC Corporate Operating Budget for 2020 approved by the Board intends to apply the sum of ONE MILLION TWO HUNDRED TWELVE</t>
  </si>
  <si>
    <t xml:space="preserve"> 1	lot	     Licensed Statistical Package for the Social Science with Plagiarism Detector and Grammarly (1 year subscription)			 		          General Description:			 			Statistics base module		 			  1. Descriptive statistics		 			  2. Test to predict numeric</t>
  </si>
  <si>
    <t xml:space="preserve"> ALBAY 3RD DISTRICT ENGINEERING OFFICE																																						 Paulog, Ligao City																																						 																																						 																																						 INVITATION TO BID																											</t>
  </si>
  <si>
    <t xml:space="preserve"> Prepainted Metal Roofing Sheets GA. 26 Long Span, Fabricated Metal Roofing Accessory (Ridge/Hip Rolls / Flashing/Counted Flashing Nallery Roll), Fabricated Metal Roofing Accessory (Gutter), Ceiling Works, Conduit Boxes and Fittings (Conduit Works/Conduit </t>
  </si>
  <si>
    <t xml:space="preserve"> NEW INSTALLATION OF LIGHTING FIXTURES AT BARANGAY MANDONG</t>
  </si>
  <si>
    <t xml:space="preserve"> INVITATION TO BID FOR THE PROCUREMENT OF FUEL AND OIL (2nd and 3rd Quarter of 2020) 1.	The Local Government Unit of Buug, through the General Fund  intends to apply the sum of Two Million Four Hundred Forty Two Thousand NIne Hundred Seventy  Pesos only ( </t>
  </si>
  <si>
    <t xml:space="preserve"> I	SURFACE COURSE (Bituminouse Tack Coat)		 a	Emulsified Asphalt SS-1 (Bitumul)	6	drum 			 II	SURFACE COURSE (Bituminous Concrete Surface Course)		 a	FDLRC AC/MIX (Grading E)		 	Bituminous Concrete Surface Course	127	m.t b 	EQUIPMENT (INCLUDED)		 	Asphalt </t>
  </si>
  <si>
    <t xml:space="preserve"> 1. Contract ID:	20ND0066         Contract Name:	REPAIR/MAINTENANCE OF DPWH BLDG. MULTI-PURPOSE HALL BUTUAN CITY DISTRICT ENGINEERING OFFICE         Contract Location:	R. Palma Street , Butuan City         Brief Description:	Repair and Maintenance of  Two </t>
  </si>
  <si>
    <t xml:space="preserve"> Republic of the Philippines 	CITY OF SAN PEDRO Province of Laguna BIDS AND AWARDS COMMITTEE INVITATION TO APPLY FOR ELIGIBILITY AND TO BID PR NO. 0498 1.	The City Government of San Pedro, Laguna through the 2020 LSB Budget Approved by the Sangguniang Pang</t>
  </si>
  <si>
    <t xml:space="preserve"> Republic of the Philippines Province of Negros Occidental CITY OF TALISAY INVITATION TO BID  Road Construction with Drainage System (widening of Magsaysay Road from Heaven’s Gate Cemetery onwards east) located at Magsaysay Street, Talisay City  1.	The Cit</t>
  </si>
  <si>
    <t xml:space="preserve"> Republic of the Philippines Province of Surigao del Sur Municipality of Lanuza INVITATION TO BID  PROCUREMENT OF SMART TV FOR SCHOOL INSTRUCTIONAL MATERIALS FOR TEACHING AND LEARNING 1.	The Local Government Unit of Lanuza, through the Special Education Fu</t>
  </si>
  <si>
    <t xml:space="preserve"> INVITATION TO BID FOR THE CONSTRUCTION OF IRRIGATION FACILITIES Lower Akki, Adams, Ilocos Norte 1.	The Municipal Government of Adams, through funds from the 20% Municipal Development Fund intends to apply the sum of P299,522.46 being the Approved Budget f</t>
  </si>
  <si>
    <t xml:space="preserve"> INFRASTRUCTURE WORKS FOR THE ROAD CONCRETING OF BARANGAY ROAD AT BARANGAY MAYABON, ZAMBOANGUITA, NEGROS ORIENTAL</t>
  </si>
  <si>
    <t xml:space="preserve"> Construction of Access Road at Sitio Kalangitan, Brgy. Cutcut II, Capas, Tarlac</t>
  </si>
  <si>
    <t xml:space="preserve"> INVITATION TO BID Sealed proposal in ink typewritten one (1) copy will be received fro bonafide contractors on July 7, 2020 at 11:00 AM at Barangay Hall, Barangay Abar 1st, this city on which date, time and place the bid will publicly opened in the presen</t>
  </si>
  <si>
    <t xml:space="preserve"> INFRASTRUCTURE WORKS FOR THE ROAD CONCRETING OF BARANGAY ROAD AT BARANGAY LUTOBAN, ZAMBOANGUITA, NEGROS ORIENTAL</t>
  </si>
  <si>
    <t xml:space="preserve"> Republic of the Philippines BOHOL ISLAND STATE UNIVERSITY Main Campus, Tagbilaran City INVITATION TO BID FOR RE-BIDDING: LOT 1- SUPPLY AND DELIVERY OF LABORATORY EQUIPMENT FOR FOOD TECHNOLOGY INSTRUCTION (PR NO. 2020-02-0292) LOT 2- SUPPLY AND DELIVERY OF</t>
  </si>
  <si>
    <t xml:space="preserve"> Please see attached ITB</t>
  </si>
  <si>
    <t xml:space="preserve"> Republic of the Philippines 	CITY OF SAN PEDRO Province of Laguna BIDS AND AWARDS COMMITTEE INVITATION TO APPLY FOR ELIGIBILITY AND TO BID PR NO. 0499 1.	The City Government of San Pedro, Laguna through the 2020 LSB Budget Approved by the Sangguniang Pang</t>
  </si>
  <si>
    <t xml:space="preserve"> Republic of the Philippines Province of Cagayan Tuguegarao City Invitation to Bid for  Construction of Farmer’s Dormitory Building and Construction of PVET Admin Building, Zitanga, Ballesteros, Cagayan 1.	The Provincial Government of Cagayan, through the </t>
  </si>
  <si>
    <t xml:space="preserve"> Purchase request submitted by Nelsie Grace Gela  1 unit	 BENCHTOP pH METER ABC is Php 50,000.00</t>
  </si>
  <si>
    <t xml:space="preserve"> 42,075 liters Diesel Fuel</t>
  </si>
  <si>
    <t xml:space="preserve"> INVITATION TO BID FOR THE PROCUREMENT OF Cellcards 1.	The Local Government Unit of Buug, through the General Fund  intends to apply the sum of Two Hundred Twelve Thousand Five Hundred Twelve Pesos only ( 222,512.00) being the Approved Budget for the Contr</t>
  </si>
  <si>
    <t xml:space="preserve"> UNIT	  DESCRIPTION		QUANTITY	 SPL-1	CLEARING OF OTHER OBSTRUCTIONS/STRUCTURE  EXCAVATION			 	Qty.= 1.00    lot			 I.	Labor incl. Equipment Rental			 				 				 DIRECT COST  				 				 INDIRECT COST  			 OCM(15%ofDirect Cost) 	 			Profit(10%of Direct Cost)	 </t>
  </si>
  <si>
    <t xml:space="preserve"> INVITATION TO BID FOR THE SUPPLY OF JANITORIAL SERVICES FOR 2020-2021  1.	The Philippine Crop Insurance Corporation (PCIC), through the PCIC Corporate Operating Budget for 2020 approved by the Board intends to apply the sum of ONE MILLION TWO HUNDRED TWEL</t>
  </si>
  <si>
    <t xml:space="preserve"> 23 items of office supplies</t>
  </si>
  <si>
    <t xml:space="preserve"> INVITATION TO APPLY FOR ELIGIBILITY AND TO BID  One (1) Lot Lease and Rental of Property   ITB No. 2020-06-007 P.R. No. 2020-05-167 1.	The Mines and Geosciences Bureau, through the General Appropriations Act (GAA) for CY 2020 intends to apply the sum corr</t>
  </si>
  <si>
    <t xml:space="preserve"> PCCP 0.20m x 5.00m x 165.00m</t>
  </si>
  <si>
    <t xml:space="preserve"> Supply and delivery of Materials for the Repair/Maintenance (Joints &amp; Cracks Sealing and Pothole Patching)</t>
  </si>
  <si>
    <t xml:space="preserve"> DETAILED ESTIMATES OF UNIT COST 											 FOR VARIOUS ITEMS/SUB-ITEMS											 											 PROJECT TITLE: REHABILITATION OF MUNICIPAL ROAD, SITIO IBABA TO TULAY, MAAHAS, LOS BANOS, LAGUNA 											 LOCATION: MAAHAS, LOS BANOS, LAGUNA					 P 1,383,13</t>
  </si>
  <si>
    <t xml:space="preserve"> Female, 2 - 10 years old</t>
  </si>
  <si>
    <t xml:space="preserve"> Republic of the Philippines PROVINCE OF NUEVA VIZCAYA Invitation to Bid for the  CONSTRUCTION OF BARANGAY LIPUGA CIS Located at Alfonso Castañeda, Nueva Vizcaya  1.	The Provincial Government of Nueva Vizcaya, through the 2020 20% Development Fund intends </t>
  </si>
  <si>
    <t xml:space="preserve"> Republic of the Philippines Province of Cagayan Tuguegarao City Invitation to Bid for  Construction of Material Recovery Facility (Cluster 1) 1.	The Provincial Government of Cagayan, through the Trust Fund intends to apply the sum of P 1,190,427.92  being</t>
  </si>
  <si>
    <t xml:space="preserve"> Republic of the Philippines Province of Negros Occidental CITY OF TALISAY INVITATION TO BID  Construction of Water Lines &amp; Reservoirs located at Barangay Cabatangan, Talisay City  1.	The City of Talisay, through the 20% ADF 2020 intends to apply the sum o</t>
  </si>
  <si>
    <t xml:space="preserve"> BIDS AND AWARDS COMMITTEE FDA-BAC Ref. No. ITB No. 2020-004-RFO/CTQAL INVITATION TO BIDS PROVISION OF SECURITY SERVICES FOR FDA-REGIONAL FIELD OFFICES AND CEBU TESTING  AND QUALITY ASSURANCE LABORATORY 1.	The Food and Drug Administration (FDA) - Field Reg</t>
  </si>
  <si>
    <t xml:space="preserve"> Procurement of consumables for Brother HL-L6400DW printers</t>
  </si>
  <si>
    <t xml:space="preserve"> SCOOP OF WORK 1.WIDENING AND EARTHFIL AT LOW PORTION OF THE ROAD 2.SPOT GRAVELLING OF THE REHABILITATE STREET 3.COMPACTION AT EARTHFIL PORTION OF THE ROAD WIDENING OF ROAD  A. RENTALS (OPERATED) B. MATERIALS  TOTAL COST 100.000.00</t>
  </si>
  <si>
    <t xml:space="preserve"> Various shirts &amp; personal protective equipment's</t>
  </si>
  <si>
    <t xml:space="preserve"> 1. The Local Government Unit of San Andres, Quezon through its 20% Development Fund intends to apply the sum of Two Hundred Seventy Four Thousand and One  Hundred Twenty Pesos (Php 274,120.00) only being the Approved Budget for the Contract (ABC) to payme</t>
  </si>
  <si>
    <t xml:space="preserve"> Republic of the Philippines Province of Sarangani Municipality of Alabel oooOooo INVITATION TO BID FOR PROCUREMENT OF ONE (1) UNIT RESCUE VEHICLE 2.2 L 4x4 Manual Transmission 1.The Municipality of Alabel, through the Disaster Response &amp; Rescue Equipment </t>
  </si>
  <si>
    <t xml:space="preserve"> Republic of the Philippines Province of Cagayan Tuguegarao City Invitation to Bid for Concreting of Santiago- San Isidro, Claveria, Cagayan  1.	The Provincial Government of Cagayan, through the NTLB intends to apply the sum of  P 2,997,131.29 being the Ap</t>
  </si>
  <si>
    <t xml:space="preserve"> INVITATION TO BID FOR The Department of Public Works and Highways Camarines Sur 5TH, District Engineering Office through its Bids and Awards Committee (BAC) for Goods, invites suppliers to submit bids for the following Contract: Contract ID No. 20GFN0009 </t>
  </si>
  <si>
    <t xml:space="preserve"> INVITATION TO BID FOR THE CONSTRUCTION OF IRRIGATION FACILITIES Lower Akki, Adams, Ilocos Norte 1.	The Municipal Government of Adams, through funds from the 20% Municipal Development Fund intends to apply the sum of P249,772.95 being the Approved Budget f</t>
  </si>
  <si>
    <t xml:space="preserve"> Republic of the Philippines Province of Cagayan Tuguegarao City Invitation to Bid for Sanchez Mira District Hospital Perimeter Fence San Andres , Sanchez Mira, Cagayan  1.	The Provincial Government of Cagayan, through the General Fund SB #1Cy2019 intends </t>
  </si>
  <si>
    <t xml:space="preserve"> Invitation to Bid The National Housing Authority (NHA), through the Corporate Budget approved by the NHA Board for CY 2020 intends to apply the sum of the Approved Budget for the Contract (ABC) to payments for the PROCUREMENT OF ADDITIONAL FULLY DEVELOPED</t>
  </si>
  <si>
    <t xml:space="preserve"> INVITATION TO BID The Philippine Children’s Medical Center, through GAA/HFEP (DOH) CY 2019 intends to apply the sum of One Million Pesos  (Php1,000,000.00) being the Approved Budget for the Contract (ABC) to payment under the contract for the following pr</t>
  </si>
  <si>
    <t xml:space="preserve"> Office equipments</t>
  </si>
  <si>
    <t xml:space="preserve"> NEW INSTALLATION OF LIGHTING FIXTURES STARTING FROM BARANGAY MAN-UP, BATAN TO BARANGAY MAN-UP , ALTAVAS BOUNDARY</t>
  </si>
  <si>
    <t xml:space="preserve"> Section I. Invitation to Bid                                             	Republic of the Philippines                                             Municipality of Kalayaan                                             Province of Palawan 	Bids and Awards Com</t>
  </si>
  <si>
    <t xml:space="preserve"> Republic of the Philippines          City of Dumaguete Bids and Awards Committee INVITATION TO BID FOR PURCHASE REQUEST OF 37 CU.M SAND (STD. SPECS) AND OTHER ITEMS 	The City of Dumaguete thru its BIDS AND AWARDS COMMITTEE (BAC), invites all interested ma</t>
  </si>
  <si>
    <t xml:space="preserve"> Supply and Delivery of Steel Ladder (Pilipino Bldg.) Materials. (Hardware supplies 3Q)  ABC=36,150.00</t>
  </si>
  <si>
    <t xml:space="preserve"> Republic of the Philippines Province of Cagayan Tuguegarao City Invitation to Bid for General Repair and Rehabilitation of Baggao District Hospital , Baggao Cagayan  1.	The Provincial Government of Cagayan, through the General Fund Cy2019 intends to apply</t>
  </si>
  <si>
    <t xml:space="preserve"> Republic of the Philippines Province of Oriental Mindoro MUNICIPALITY OF PINAMALAYAN OFFICE OF THE BIDS AND AWARDS COMMITTEE Invitation to Bid ITB-2020-16 1.  The Municipal Government of Pinamalayan, Oriental Mindoro, through the authorized appropriations</t>
  </si>
  <si>
    <t xml:space="preserve"> Contract ID:       20GHL0002 Contract Name:  Supply and delivery of 100 drums Penetration Asphalt 60/70 and three  (3) other items for use in the correction of minor scaling/raveling, potholes,  alligator cracks, shoving along DSR, DCVBR, SCPTR, BKR and B</t>
  </si>
  <si>
    <t xml:space="preserve"> Department of Education							 Region VI-Western Visayas							 DIVISION OF CADIZ CITY							 VILLACIN NATIONAL HIGH SCHOOL							 Cadiz City							 BUDGETARY REQUIREMENTS							 PROGRAM TITLE:		CONDUCT MEETING WITH THE PTA &amp; STAKEHOLDERS ,QUARTERLY CADR </t>
  </si>
  <si>
    <t xml:space="preserve"> Republic of the Philippines Province of Pangasinan MUNICIPALITY OF MANAOAG -o0o- INVITATION TO BID The LGU Manaoag, Pangasinan, through its Bids and Awards Committee (BAC), invites all interested Phil-GEPS registered suppliers/manufacturers/distributors/c</t>
  </si>
  <si>
    <t xml:space="preserve"> Republic of the Philippines Province of South Cotabato BIDS AND AWARDS COMMITTEE Salada Street, Poblacion Tupi, South Cotabato Tel. Fax No.: (083) 226-1045 INVITATION TO BID FOR THE SUPPLY AND DELIVERY OF CONSTRUCTION MATERIALS FOR THE CONCRETING OF POBLA</t>
  </si>
  <si>
    <t xml:space="preserve"> Republic of the Philippines Province of Cagayan Tuguegarao City Invitation to Bid for Construction of TFLC Building Sanchez Mira, Cagayan  1.	The Provincial Government of Cagayan, through the General Fund intends to apply the sum of P 4,999,662.30 being t</t>
  </si>
  <si>
    <t xml:space="preserve"> Republic of the Philippines Province of Quezon MUNICIPALITY OF PANUKULAN * * * Invitation to Bid for REPAIR / IMPROVEMENT OF RHU, TB DOTS BUILDING 1.	The Local Government Unit of Panukulan, Quezon  through the  General Fund 2020(Supplemental)  intends to </t>
  </si>
  <si>
    <t xml:space="preserve"> Republic of the Philippines MINDANAO STATE UNIVERSITY General Santos City INVITATION TO BID FOR THE PROCUREMENT OF EQUIPMENT/ITEMS FOR TUNA RESEARCH PROGRAM 1.	The Mindanao State University – General Santos City (MSU-GSC), through the DOST-PCAARRD Fund in</t>
  </si>
  <si>
    <t xml:space="preserve"> Supply and Delivery of Office Supplies for 3QR 2020 ABC=40,065.65</t>
  </si>
  <si>
    <t xml:space="preserve"> Republic of the Philippines Province of Cagayan Tuguegarao City Invitation to Bid for Construction of Public Market Afusing Daga, Alcala, Cagayan 1.	The Provincial Government of Cagayan, through the General Fund CY 2019 NTLB intends to apply the sum of  P</t>
  </si>
  <si>
    <t xml:space="preserve"> SUPPLY AND DELIVERY OF MATERIALS AND FITTINGS (GOODS-2020-005) - REBID 1.	The Government of the Philippines, through the Puerto Princesa City Water District  intends to apply the sum of Three Million One Hundred Seventy-Five Thousand Two Hundred Sixty-Fiv</t>
  </si>
  <si>
    <t xml:space="preserve"> 1.The Local Government Unit of San Andres, Quezon through its General Fund intends to apply the sum of Seven Hundred Ninety Three Thousand and Nine Hundred Sixty Eight Pesos (Php 793,968.00) only being the Approved Budget for the Contract (ABC) to payment</t>
  </si>
  <si>
    <t xml:space="preserve"> Republic of the Philippines Province of Cagayan Tuguegarao City Invitation to Bid for Alcala Municipal Hospital Construction of Laundry Area, Ambulance Bay, Bantay Waiting Area, Isolation Room, Covered Walk, Septic Tank and Power House   1.	The Provincial</t>
  </si>
  <si>
    <t xml:space="preserve"> Rehabilitation/Improvement of Multi-Purpose Building (El Nido Municipal Complex and Covered Court)</t>
  </si>
  <si>
    <t xml:space="preserve"> Republic of the Philippines Province of Cagayan Tuguegarao City Invitation to Bid for Construction of Semi Private Room Building Lasam District Hospital, Lasam, Cagayan 1.	The Provincial Government of Cagayan, through the General Fund CY 2019 intends to a</t>
  </si>
  <si>
    <t xml:space="preserve"> Invitation to Bid for IMPROVEMENT OF PANUKULAN WATER SYSTEM (Construction of Additional Water Source) 1.	The Local Government Unit of Panukulan, Quezon  through the  20% MDF  intends to apply the sum of Five Hundred Seventy Three Thousand Six Hundred Twen</t>
  </si>
  <si>
    <t xml:space="preserve"> Republic of the Philippines Province of Cagayan Tuguegarao City Invitation to Bid for  Cluster 8 Concreting of Gaggabutan West Barangay Road Rizal, Cagayan and Concreting of Poblacion Barangay Road Rizal, Cagayan  1.	The Provincial Government of Cagayan, </t>
  </si>
  <si>
    <t xml:space="preserve"> Purchase of equipments</t>
  </si>
  <si>
    <t xml:space="preserve"> INVITATION TO BID FOR THE PROCUREMENT OF Construction Materials for the Construction of Drainage Canal Open Type 1.	The Barangay Bliss of Buug, through the General Fund  intends to apply the sum of One Hundred Two Thousand Seven Hundred Ninety Six Pesos o</t>
  </si>
  <si>
    <t xml:space="preserve"> PLS. SEE ATTACHED PURCHASE REQUISITION, TERMS OF REFERENCE &amp; BID DOCS FOR DETAILS</t>
  </si>
  <si>
    <t xml:space="preserve"> Republic of the Philippines Province of Cagayan Tuguegarao City Invitation to Bid for  Construction of Material Recovery Facility (Cluster 2) 1.	The Provincial Government of Cagayan, through the Trust Fund intends to apply the sum of P 1,488,034.90  being</t>
  </si>
  <si>
    <t xml:space="preserve"> NEW INSTALLATION OF LIGHTING FIXTURES AT BARANGAY LUPIT TO BARANGAY MAN-UP</t>
  </si>
  <si>
    <t xml:space="preserve"> 420 LI</t>
  </si>
  <si>
    <t xml:space="preserve"> INVITATION TO BID FOR The Department of Public Works and Highways Camarines Sur 5TH, District Engineering Office through its Bids and Awards Committee (BAC) for Goods, invites suppliers to submit bids for the following Contract: Contract ID No. 20GFN0011 </t>
  </si>
  <si>
    <t xml:space="preserve"> PLS. SEE ATTACHED PURCHASE REQUISITION, TERMS OF REFERENCE &amp; BID DOCUMENTS FOR DETAILS.</t>
  </si>
  <si>
    <t xml:space="preserve"> Supply and Delivery of Steel Fence Materials (Hardware Supplies (3rd Quarter) ABC=121,300</t>
  </si>
  <si>
    <t xml:space="preserve"> PLS. SEE ATTACHED PR, TOR &amp; BID DOCS FOR DETAILS.</t>
  </si>
  <si>
    <t xml:space="preserve"> INVITATION TO BID FOR The Department of Public Works and Highways Camarines Sur 5TH, District Engineering Office through its Bids and Awards Committee (BAC) for Goods, invites suppliers to submit bids for the following Contract: Contract ID No. 20GFN0010 </t>
  </si>
  <si>
    <t xml:space="preserve"> INVITATION FOR NEGOTIATED PROCUREMENT  Provision of Courier Services 1.	In view of two (2) failed public biddings, the Department of Budget and Management-Bids and Awards Committee (DBM-BAC) invites interested bidders to participate in the negotiation for</t>
  </si>
  <si>
    <t xml:space="preserve"> Republic of the Philippines							 Province of Negros Occidental							 Municipality of La Castellana							 Bids and Awards Committee							 							 INVITATION TO APPLY FOR ELIGIBILITY AND TO BID							 							 Name of Project: 		PROPOSED DECOMPOSER SHED</t>
  </si>
  <si>
    <t xml:space="preserve"> PLS. SEE ATTACHE PR, TOR, &amp; BID DOC FOR DETAILS.</t>
  </si>
  <si>
    <t xml:space="preserve"> 210 	pcs	16mm dia def bar	 1,200 	pcs	10mm dia def bar	 75 	kls	Tie Wire	 35 	pcs	Marine Plywood x 1/2	 4 	kls	Nylon #30	 50 	kls	Common Nail x 3	 1,150 	bags	Portland Cement	 75 	kls	Common Nail x 2 1/2	 75 	kls	Common Nail x 4	 10 	kls	Common Nail x 1 1</t>
  </si>
  <si>
    <t xml:space="preserve"> SUPPLY AND DELIVERY OF VALVES, RUBBER EXPANSION JOINT, AND PRESSURE GAUGE (GOODS-2020-006) - REBID 1.	The Government of the Philippines, through the Puerto Princesa City Water District  intends to apply the sum of  Three Million Seven Hundred Seventy Thou</t>
  </si>
  <si>
    <t xml:space="preserve"> Supply and Delivery of snacks for training participants (Junior High Teachers) on the use of online -offline Software Applications in making Instructional and supplemental materials for new normal delivery of Instruction for SY 2020-2021. ABC=21,670.00</t>
  </si>
  <si>
    <t xml:space="preserve"> INVITATION TO BID FOR Procurement of Information Communication Technology (ICT) Laboratory Equipment for CEA and CIT at NORSU Main Campus (Batch 1) GOOD2020-00-02(a) 1. The Negros Oriental State University (NORSU) and the Bids and Awards Committee (BAC), </t>
  </si>
  <si>
    <t xml:space="preserve"> Republic of the Philippines Province of Oriental Mindoro MUNICIPALITY OF PINAMALAYAN OFFICE OF THE BIDS AND AWARDS COMMITTEE Invitation to Bid ITB-2020-17 1.  The Municipal Government of Pinamalayan, Oriental Mindoro, through the authorized appropriations</t>
  </si>
  <si>
    <t xml:space="preserve"> Invitation to Bid for the Road Concreting to Central MRF (Phase 2) 1.	The LGU-Salcedo, through the Local Development  Fund  intends to apply the sum of  Six  Million Two Hundred Thirty Three  Thousand Pesos only (Php 2,079,967.00)  being the Approved Budg</t>
  </si>
  <si>
    <t xml:space="preserve"> Local Government Unit of Irosin						                                            GOOD-20-2020                 Supply &amp; Delivery of Hardware/Materials  as Assistance to Various Schools-Local School Board Irosin, Sorsogon Standard Form Number: SF-GOOD-05 Re</t>
  </si>
  <si>
    <t xml:space="preserve"> Republic of the Philippines Province of Cagayan Tuguegarao City Invitation to Bid for Construction / Repair/ Rehab of Vice Governor’s Office, Capitol Hills Peñblanca, Cagayan 1.	The Provincial Government of Cagayan, through the AIP 2020 intends to apply t</t>
  </si>
  <si>
    <t xml:space="preserve"> 0.15m x 5.0m x 220.00ln.m. PCCP 0.15m x 4.0m x 120.00ln.m. PCCP 0.10m x 3.0m x 90.00ln.m. PCCP 0.10m x 2.40m x 48.00ln.m. PCCP 37.15 cu.m. Grouted Riprap</t>
  </si>
  <si>
    <t xml:space="preserve"> Republic of the Philippines Province of Isabela LOCAL GOVERNMENT UNIT OF BENITO SOLIVEN INVITATION TO BID FOR THE PROCUREMENT OF 6-CYLINDER TURBO DIESEL ENGINE INLINE INJECTION FOR GRADER 1.	The Municipal Government of Benito Soliven, intends to apply the</t>
  </si>
  <si>
    <t xml:space="preserve"> Republic of the Philippines Province of South Cotabato Municipality of Sto. Niño BARANGAY POBLACION BIDS AND AWARDS COMMITTEE (BAC) Invitation to Bid 1. The Barangay Local Government of  Poblacion, Sto. Niño, through its Bids and Awards Committee (BAC) in</t>
  </si>
  <si>
    <t xml:space="preserve"> 1	lot	     Architectural Design of a Proposed Construction of 2-Storey Midwifery Building	 		             Specifications:	 		               A Proposed Construction of Php12M 2-Storey Midwifery Building	 			*2 Classrooms ground floor with comfort room 			*</t>
  </si>
  <si>
    <t xml:space="preserve"> Republic of the Philippines Province of Cagayan Tuguegarao City Invitation to Bid for Construction of School Multi – Purpose Building Don Mariano High School, Gattaran, Cagayan  1.	The Provincial Government of Cagayan, through the NTLB intends to apply th</t>
  </si>
  <si>
    <t xml:space="preserve"> 2. Contract ID:	20ND0067         Contract Name:	Construction of Multi-Purpose Building, Brgy. Poblacion, Las Nieves, Agusan del Norte         Contract Location:	Brgy. Tiniwisan, Butuan City         Brief Description:	Repair and Maintenance of  Two  Storey</t>
  </si>
  <si>
    <t xml:space="preserve"> PLS. SEE ATTACHED PR, TOR &amp; BID DOCS. FOR DETAILS</t>
  </si>
  <si>
    <t xml:space="preserve"> Invitation to Bid for PROPOSED GEN-SET HOUSE AND TRANSFORMER ENCLOSURE WITH FIELD STAFF FACILITY, UPLB CAMPUS, COLLEGE, LAGUNA 1.	The U.P. LOS BAÑOS, through the GOP through UPLB Trust Funds intends to apply the sum of ₱5,562,179.76 being the Approved Bud</t>
  </si>
  <si>
    <t xml:space="preserve"> INVITATION TO BID June 25, 2020 The DPWH-Quirino District Engineering Office, through its Bids and Awards Committee (BAC), invites contractors to submit bids for the following Contract: 1	Contract I.D.  	:	20BK0147 	Name of Project	:	Repair/Maintenance al</t>
  </si>
  <si>
    <t xml:space="preserve"> 20CSE009 -  Consulting Services for the Conduct of Environmental Impact Assessment (EIA), Preparation of Environmental Impact Assessment Statement (EIS) and Application of Environmental Compliance Certificate (ECC) of Widening of Palawan Circumferential R</t>
  </si>
  <si>
    <t xml:space="preserve"> Supply/Delivery of Technical and Scientific Equipment</t>
  </si>
  <si>
    <t xml:space="preserve"> Republic of the Philippines Province of Cagayan Tuguegarao City Invitation to Bid for Construction of School Multi – Purpose Building Gattaran National Trade School, Gattaran, Cagayan  1.	The Provincial Government of Cagayan, through the NTLB intends to a</t>
  </si>
  <si>
    <t xml:space="preserve"> Please download ITB and Checklist in the Associated Components.</t>
  </si>
  <si>
    <t xml:space="preserve"> Public Competitive Bidding for the Supply and Delivery of Various Cancer Medicines of the Department of Health</t>
  </si>
  <si>
    <t xml:space="preserve"> cleaning materials</t>
  </si>
  <si>
    <t xml:space="preserve"> School Watchman Services</t>
  </si>
  <si>
    <t xml:space="preserve"> Purchase of Meterials for Construction of Seven (7) Purok Centers</t>
  </si>
  <si>
    <t xml:space="preserve"> 20CSE010 – Consulting Services for the Conduct of Environmental Impact Assessment (EIA), Preparation of Environmental Impact Assessment Statement (EIS) and Application of Environmental Compliance Certificate (ECC) of Widening of Tablas Circumferential Roa</t>
  </si>
  <si>
    <t xml:space="preserve"> Republic of the Philippines DEPARTMENT OF PUBLIC WORKS AND HIGHWAYS BATANGAS II  DISTRICT ENGINEERING OFFICE REGIONAL OFFICE IV-A Kumintang Ilaya, Batangas City INVITATION TO BID For Local Infrastructure Program – Rehabilitation of Road along San Isidro -</t>
  </si>
  <si>
    <t xml:space="preserve"> REPUBLIC OF THE PHILIPPINES DEPARTMENT OF PUBLIC WORKS AND HIGHWAYS ILOILO 4TH DISTRICT ENGINEERING OFFICE STA. BARBARA, ILOILO TEL. NO. 523 - 4557 FAX NO. 523 - 9340 BIDDING DOCUMENTS FOR PROCUREMENT ID/CONTRACT ID: 	20GI0099 CONTRACT NAME:   CONSTRUCTIO</t>
  </si>
  <si>
    <t xml:space="preserve"> Purchase of Materials for Road Concreting</t>
  </si>
  <si>
    <t xml:space="preserve"> Republic of the Philippines DEPARTMENT OF PUBLIC WORKS AND HIGHWAYS CAMARINES NORTE  DISTRICT ENGINEERING OFFICE REGIONAL OFFICE V Daet, Camarines Norte INVITATION TO BID 	 The Department of Public Works and Highways, Camarines Norte District Engineering </t>
  </si>
  <si>
    <t xml:space="preserve"> Republic of the Philippines DEPARTMENT OF PUBLIC WORKS AND HIGHWAYS BATANGAS II  DISTRICT ENGINEERING OFFICE REGIONAL OFFICE IV-A Kumintang Ilaya, Batangas City INVITATION TO BID For Local Infrastructure Program – Construction of Multi-Purpose Building, S</t>
  </si>
  <si>
    <t xml:space="preserve"> Invitation to Bid for Repainting Multi Purpose Hall &amp; Daycare Center  No. 2020-001 1. The Barangay Magyapyap Sur, through the Annual Budget 2020(General Fund) Approved by the Sanggunian intends to apply the sum of One Hundred Fifty Thousand Pesos  (Php 13</t>
  </si>
  <si>
    <t xml:space="preserve"> medical supplies and equipment</t>
  </si>
  <si>
    <t xml:space="preserve"> Republic of the Philippines DEPARTMENT OF PUBLIC WORKS AND HIGHWAYS BATANGAS II  DISTRICT ENGINEERING OFFICE REGIONAL OFFICE IV-A Kumintang Ilaya, Batangas City INVITATION TO BID For Local Infrastructure Program – Construction/Rehabilitation of Flood Cont</t>
  </si>
  <si>
    <t xml:space="preserve"> Use of the Gymnasium</t>
  </si>
  <si>
    <t xml:space="preserve"> Please submit your quotation in a close and sealed envelop and mail in this address: Agricultural Training Institute Regional Training Center III Gov't Complex, San Ramon, Dinalupihan, Bataan C/O Supply Management Unit. or Email us on atiregion3_supply@ya</t>
  </si>
  <si>
    <t xml:space="preserve"> SUPPLY TOOLS, LABOR AND MATERIALS FOR THE REPLACEMENT OF SIX (6) SELECTED FIBER GLASS SKYLIGHT DOME AT POWERHOUSE</t>
  </si>
  <si>
    <t xml:space="preserve"> Republic of the Philippines DEPARTMENT OF PUBLIC WORKS AND HIGHWAYS BATANGAS III DISTRICT ENGINEERING OFFICE REGIONAL OFFICE IV-A J. Gonzales St., Barangay 4, Tanauan City INVITATION TO BID (CW-2020-036) The DPWH–Batangas III District Engineering Office, </t>
  </si>
  <si>
    <t xml:space="preserve"> ELECTRONIC MODULE FOR UNIT 1, 2 &amp; 3, HMI FOR EXCITATION SYSTEM AT CONTROL ROOM</t>
  </si>
  <si>
    <t xml:space="preserve"> Republic of the Philippines Province of Ilocos Norte Municipality of Paoay BIDS AND AWARDS COMMITTEE INVITATION TO BID 2020-016 Invitation to Bid for the Purchase of kitchen utensils and other materials for the use at the Evacuation Center 1.	The Municipa</t>
  </si>
  <si>
    <t xml:space="preserve"> Resograph machine  Specification will be attached on the bidding documents</t>
  </si>
  <si>
    <t xml:space="preserve"> Republic of the Philippines Province of Ilocos Norte Municipality of Paoay BIDS AND AWARDS COMMITTEE INVITATION TO BID 2020-015 Invitation to Bid for the Purchase of goods for the stock pile of the Municipality 1.	The Municipal Government of Paoay, Ilocos</t>
  </si>
  <si>
    <t xml:space="preserve"> Use of Custodial Care Program</t>
  </si>
  <si>
    <t xml:space="preserve"> Republic of the Philippines Office of the Municipal Mayor BIDS AND AWARDS COMMITTEE Sual, Pangasinan Invitation to Bid for PROCUREMENT OF OFFICE EQUIPMENT (DepED – Sual District Office) 1.	The Municipal Government of Sual, Pangasinan, through the Special </t>
  </si>
  <si>
    <t xml:space="preserve"> Republic of the Philippines DEPARTMENT OF PUBLIC WORKS AND HIGHWAYS SULTAN KUDARAT 2ND DISTRICT ENGINEERING OFFICE REGION XII Lebak, Sultan Kudarat INVITATION TO BID FOR SUPPLY/DELIVERY OF TONER CARTRIDGE FOR USE OF ADMINISTRATIVE SECTION (RECORDS MANAGEM</t>
  </si>
  <si>
    <t xml:space="preserve"> Republic of the Philippines DEPARTMENT OF PUBLIC WORKS AND HIGHWAYS SULTAN KUDARAT 2ND DISTRICT ENGINEERING OFFICE REGION XII Lebak, Sultan Kudarat INVITATION TO BID FOR SUPPLY/DELIVERY OF CONSTRUCTION MATERIALS FOR THE MAINTENANCE/IMPROVEMENT OF DPWH BUI</t>
  </si>
  <si>
    <t xml:space="preserve"> Tiglawigan Elementary School are inviting bidders to bid for the Materials for Repair and Provision of Additional Hand washing Facilities amounting of 25,325.00</t>
  </si>
  <si>
    <t xml:space="preserve"> Republic of the Philippines CITY OF LAPU-LAPU BIDS AND AWARDS COMMITTEE Invitation to Bid FOR THE PROCUREMENT of MEDICINES &amp; MEDICAL SUPPLIES The City of Lapu-Lapu through the MOOE FUND 9998-5-02-03-080 intends to apply the sum of One Million Two Hundred </t>
  </si>
  <si>
    <t xml:space="preserve"> Republic of the Philippines DEPARTMENT OF PUBLIC WORKS AND HIGHWAYS SULTAN KUDARAT 2ND DISTRICT ENGINEERING OFFICE REGION XII Lebak, Sultan Kudarat INVITATION TO BID FOR SUPPLY/DELIVERY OF SENIOR EXECUTIVE CHAIR FOR USE OF ASSISTANT DISTRICT ENGINEER’S OF</t>
  </si>
  <si>
    <t xml:space="preserve"> Republic of the Philippines DEPARTMENT OF PUBLIC WORKS AND HIGHWAYS SULTAN KUDARAT 2ND DISTRICT ENGINEERING OFFICE REGION XII Lebak, Sultan Kudarat INVITATION TO BID FOR SUPPLY/DELIVERY OF DIESEL FUEL FOR USE OF ASSISTANT DISTRICT ENGINEER’S OFFICE, DPWH </t>
  </si>
  <si>
    <t xml:space="preserve"> HIGH PRESSURE PISTON PUMP ASSY,  MOTOR WITH PUMP ASSEMBLY (3 UNITS), HIGH PRESSURE</t>
  </si>
  <si>
    <t xml:space="preserve"> HOSE, HYDRAULIC</t>
  </si>
  <si>
    <t xml:space="preserve"> Republic of the Philippines DEPARTMENT OF PUBLIC WORKS AND HIGHWAYS SULTAN KUDARAT 2ND DISTRICT ENGINEERING OFFICE REGION XII Lebak, Sultan Kudarat INVITATION TO BID FOR SUPPLY/DELIVERY OF MAINTENANCE TOOLS/EQUIPMENTS FOR USE OF ROUTINE/ROADSIDE MAINTENAN</t>
  </si>
  <si>
    <t xml:space="preserve"> NON-RETURN VALVE, VALVE, NON-RETURN, STEEL</t>
  </si>
  <si>
    <t xml:space="preserve"> TRANSFORMER OIL SHELL DIALA B FOR TAKE-OFF TRANSFORMER</t>
  </si>
  <si>
    <t xml:space="preserve"> TO SUPPLY LABOR, MATERIALS, TOOLS, EQUIPMENT, CONSUMABLES &amp; TECHNICAL SUPERVISION FOR THE REPLACEMENT OF OLD TUBES OF SHELL &amp; TUBES HEAT EXCHANGER</t>
  </si>
  <si>
    <t xml:space="preserve"> Republic of the Philippines DEPARTMENT OF PUBLIC WORKS AND HIGHWAYS SULTAN KUDARAT 2ND DISTRICT ENGINEERING OFFICE REGION XII Lebak, Sultan Kudarat INVITATION TO BID FOR SUPPLY/DELIVERY OF AGGREGATE BASE COURSE FOR THE RESURFACING OF UNPAVED SHOULDER ALON</t>
  </si>
  <si>
    <t xml:space="preserve"> INVITATION TO BID FOR 1 LOT REHABILITATION OF WATER SUPPLY SYSTEM OF BARANGAY TAGPANGI, CAGAYAN DE ORO CITY 1.	The Cagayan de Oro City Water District, through the COWD Approved Budget for 2019 under LGU 6 Million Fund Allocation intends to apply the sum o</t>
  </si>
  <si>
    <t xml:space="preserve"> Use  of the Gymnasium</t>
  </si>
  <si>
    <t xml:space="preserve"> Supply of Fuel &amp; Lubricants</t>
  </si>
  <si>
    <t xml:space="preserve"> Quantity	Unit	Item Description	 1.00	lot	Construction &amp; Occupational Health	 300.00	cu.m.	Excavation 	 480.00	cu.m.	Stone Masonry</t>
  </si>
  <si>
    <t xml:space="preserve"> Brief Description of the Project		 Quantity	Unit	Item Description 1.00	lot	Construction &amp; Occupational Health 800.00	sq.m	Mobilization &amp; Site Clearing 732.00	sq.m	Sub-Grade Preparation  73.20 	cu.m.	Aggregate Sub-Base Course  73.20 	cu.m.	Aggregate Base C</t>
  </si>
  <si>
    <t xml:space="preserve"> Republic of the Philippines Office of the Municipal Mayor BIDS AND AWARDS COMMITTEE Sual, Pangasinan Invitation to Bid for PROCUREMENT OF FURNITURES, FIXTURES, &amp; CONSTRUCTION SUPPLIES (Sual, Pangasinan) 1.	The Municipal Government of Sual, Pangasinan, thr</t>
  </si>
  <si>
    <t xml:space="preserve"> Use of the different Deparments of the College</t>
  </si>
  <si>
    <t xml:space="preserve"> INVITATION TO BID  1.	The Davao City Water District (DCWD), through the DCWD 2020 Corporate Budget intends to apply the sum indicated below being the Approved Budget for the Contract (ABC) to payments under the contracts as shown below. Bids received in e</t>
  </si>
  <si>
    <t xml:space="preserve"> DPWH – La Union First District Engineering Office Lingsat, San Fernando City, La Union INVITATION TO BID The DPWH – La Union First District Engineering Office, through its Bids and Awards Committee (BAC), invites contractors to submit bids for the followi</t>
  </si>
  <si>
    <t xml:space="preserve"> Tiglawigan Elementary School are inviting bidders to bid for the Replacement of Water Tank amounting of 7,000.00</t>
  </si>
  <si>
    <t xml:space="preserve"> Tiglawigan Elementary School are inviting bidders to bid for the Provision of Fire Alarm amounting of 2,000.00</t>
  </si>
  <si>
    <t xml:space="preserve"> Republic of the Philippines DEPARTMENT OF PUBLIC WORKS AND HIGHWAYS SULTAN KUDARAT 2ND DISTRICT ENGINEERING OFFICE REGION XII Lebak, Sultan Kudarat INVITATION TO BID FOR SUPPLY/DELIVERY OF DIESEL FUEL FOR USE OF FINANCE SECTION, SULTAN KUDARAT 2ND DISTRIC</t>
  </si>
  <si>
    <t xml:space="preserve"> Tiglawigan Elementary School are inviting bidders to bid for the Communication Load amounting of 8,000.00</t>
  </si>
  <si>
    <t xml:space="preserve"> SUPPLY OF MATERIALS, TOOLS, EQUIPMENT, LABOR AND INCLUDING TECHNICAL EXPERTISE FR THE RESTORATION TO NORMAL OPERATING CONDITION OF 30 TR CENTRALIZED AIR CONDITION UNIT</t>
  </si>
  <si>
    <t xml:space="preserve"> Republic of the Philippines CITY OF LAPU-LAPU BIDS AND AWARDS COMMITTEE Invitation to Bid FOR THE PROCUREMENT of 1,000 VIALS PURIFIED VERO CELL RABIES VACCINE The City of Lapu-Lapu through the MOOE FUND 4411-5-02-03-070-2 intends to apply the sum of One M</t>
  </si>
  <si>
    <t xml:space="preserve"> Republic of the Philippines DEPARTMENT OF PUBLIC WORKS AND HIGHWAYS SULTAN KUDARAT 2ND DISTRICT ENGINEERING OFFICE REGION XII Lebak, Sultan Kudarat INVITATION TO BID FOR SUPPLY/DELIVERY OF UPS (UNTERRUPTIBLE POWER SUPPLY) FOR USE OF FINANCE SECTION, SULTA</t>
  </si>
  <si>
    <t xml:space="preserve"> Department of Education Region VI-Western Visayas Division of Cadiz City Alimatoc Elementary School INVITATION TO BID FOR THE PROVISION OF MEDICAL SUPPLIES FOR 2020 1.	The Alimatoc Elementary School of Cadiz City, through the Schools MOOE Fund CY 2020  in</t>
  </si>
  <si>
    <t xml:space="preserve"> Republic of the Philippines Province of Isabela LOCAL GOVERNMENT UNIT OF BENITO SOLIVEN INVITATION TO BID FOR THE PROCUREMENT OF 6-CYLINDER DIESEL ENGINE FOR DUMP TRUCK 1.	The Municipal Government of Benito Soliven, intends to apply the sum of Two Hundred</t>
  </si>
  <si>
    <t xml:space="preserve"> RE-CONDITIONED (CLASS A1) SIX WHEELER FIRE TRUCK  1. FEATURES: A. Engine:  4HG1-734629 / 4 Cylinders Engine 115 Horsepower   B. Torque: 404.M (41.0 Kg-m) RPM: 1,500 – 2,600  C. Transmission: 5 speed manual Cubic Meter: 4,570cc  D. Double Body Cab (COWL)  </t>
  </si>
  <si>
    <t xml:space="preserve"> see associated components for downloadable Bidding Documents</t>
  </si>
  <si>
    <t xml:space="preserve"> Department of Education Region VI-Western Visayas Division of Cadiz City Alimatoc Elementary School INVITATION TO BID FOR PROCUREMENT OF  2 SETS of 3 in 1 PRINTER FOR 2020 1.	The Alimatoc Elementary School of Cadiz City, through the Schools MOOE Fund CY 2</t>
  </si>
  <si>
    <t xml:space="preserve"> see associated components for downloadable ITB 2020-005</t>
  </si>
  <si>
    <t xml:space="preserve"> Parcellary Survey for the Construction of Various Roads and Bridges.</t>
  </si>
  <si>
    <t xml:space="preserve"> The Western Mindanao State University, through its Bids and Awards Committee (BAC), is inviting PhilGEPS registered suppliers to apply for eligibility and to submit bids for the item mentioned hereunder:  1.)	9	Units	Steel Filing Cabinet 			* 2 drawers, v</t>
  </si>
  <si>
    <t xml:space="preserve"> Republic of the Philippines CITY OF LAPU-LAPU BIDS AND AWARDS COMMITTEE 2nd Invitation to Bid FOR THE PROCUREMENT of OFFICE SUPPLIES The City of Lapu-Lapu through the MOOE 1061-5-02-03-010 intends to apply the sum of One Million Eight  Hundred Twenty-Six </t>
  </si>
  <si>
    <t xml:space="preserve"> The Western Mindanao State University, through its Bids and Awards Committee (BAC), is inviting PhilGEPS registered suppliers to apply for eligibility and to submit bids for the item mentioned hereunder:  1.)	20	Spools	Calculator Ribbon 			* for existing </t>
  </si>
  <si>
    <t xml:space="preserve"> The Western Mindanao State University, through its Bids and Awards Committee (BAC), is inviting PhilGEPS registered suppliers to apply for eligibility and to submit bids for the item mentioned hereunder:  1.)	45	Bottles	Amoxicillin 			250mg/5ml, powder fo</t>
  </si>
  <si>
    <t xml:space="preserve"> INVITATION TO BID 1.	The Davao City Water District (DCWD), through the Term Loan with the Development Bank of the Philippines for Package 1-2 and DCWD 2020 Corporate Operating Budget for Package 3, intends to apply the sum indicated below being the Approv</t>
  </si>
  <si>
    <t xml:space="preserve"> Project Location: Poblacion, Luna, Apayao Scope of Work: i. Removal of Obstruction ii. Excavation iii. Steel Works iv. Concrete Works v. Masonry vi. Scaffoldings vii. Forms viii. Doors &amp; Windows, PWD Railings &amp; Tabular Rail Guard ix. Plastering (Ground Fl</t>
  </si>
  <si>
    <t xml:space="preserve"> Republic of the Philippines DEPARTMENT OF PUBLIC WORKS AND HIGHWAYS SULTAN KUDARAT 2ND DISTRICT ENGINEERING OFFICE REGION XII Lebak, Sultan Kudarat INVITATION TO BID FOR SUPPLY/DELIVERY OF OFFICE SUPPLIES FOR USE OF FINANCE SECTION, DPWH SULTAN KUDARAT 2N</t>
  </si>
  <si>
    <t xml:space="preserve"> INVITATION TO BID FOR  (ITB NO. 2020-028) PROCUREMENT OF SEVENTY – FIVE (75) LAPTOP UNITS FOR TOURISM PROMOTIONS BOARD EMPLOYEES 1.	The Tourism Promotions Board (TPB), through the 2020 Corporate Operating Budget (COB)   intends to apply the sum of Five Mi</t>
  </si>
  <si>
    <t xml:space="preserve"> Name of Projects: Improvement of Road	------------------------------------------------ 485,467.20 Location: Purok Liwliwa Brgy San Isidro Sur	 	 Road Opening at Purok Bougainvilla and Purok Sinamar -----------485,708.40 Location: Brgy. Turod	 	 Opening an</t>
  </si>
  <si>
    <t xml:space="preserve"> The Western Mindanao State University, through its Bids and Awards Committee (BAC), is inviting PhilGEPS registered suppliers to apply for eligibility and to submit bids for the item mentioned hereunder:  1.)	3	Units	AVR 			* 1500VA Servo Type 			* AVR Ul</t>
  </si>
  <si>
    <t xml:space="preserve"> Republic of the Philippines                                                                  Municipality of Tagoloan                                                          PROVINCE OF MISAMIS ORIENTAL                                                    </t>
  </si>
  <si>
    <t xml:space="preserve"> Republic of the Philippines                                                     PROVINCE OF MISAMIS ORIENTAL                                                             Municipality of Tagoloan                                                              </t>
  </si>
  <si>
    <t xml:space="preserve"> The Western Mindanao State University, through its Bids and Awards Committee (BAC), is inviting PhilGEPS registered suppliers to apply for eligibility and to submit bids for the item mentioned hereunder:  1.)	7	Units	Push Cart Trolley 			* with 360 degree</t>
  </si>
  <si>
    <t xml:space="preserve"> Republic of the Philippines City of Cagayan de Oro BIDS AND AWARDS COMMITTEE  INVITATION TO BID  FOR  Supply and Delivery of Medical, Dental and Labarotary Supplies (Lot No. and Lot No. 2); PR No. 20-1412 dated 29 May 2020; SN 130 - 2020 1.	The City Gover</t>
  </si>
  <si>
    <t xml:space="preserve"> The Western Mindanao State University, through its Bids and Awards Committee (BAC), is inviting PhilGEPS registered suppliers to apply for eligibility and to submit bids for the item mentioned hereunder:  1.)	90	Cans	Insecticide, aerosol type, net content</t>
  </si>
  <si>
    <t xml:space="preserve"> The Western Mindanao State University, through its Bids and Awards Committee (BAC), is inviting PhilGEPS registered suppliers to apply for eligibility and to submit bids for the item mentioned hereunder:  1.)	4	Units	Aircondition 			Specification: 			* wi</t>
  </si>
  <si>
    <t xml:space="preserve"> The Western Mindanao State University, through its Bids and Awards Committee (BAC), is inviting PhilGEPS registered suppliers to apply for eligibility and to submit bids for the item mentioned hereunder:  1.)	2	Units	Computer Table 			* keyboard sliding d</t>
  </si>
  <si>
    <t xml:space="preserve"> The Western Mindanao State University, through its Bids and Awards Committee (BAC), is inviting PhilGEPS registered suppliers to apply for eligibility and to submit bids for the item mentioned hereunder:  1.)	14	Units	Steel Filing Cabinet 			Specification</t>
  </si>
  <si>
    <t xml:space="preserve"> The Western Mindanao State University, through its Bids and Awards Committee (BAC), is inviting PhilGEPS registered suppliers to apply for eligibility and to submit bids for the item mentioned hereunder:  1.)	3	Cartridges	Printer Ink Cartridge for Compute</t>
  </si>
  <si>
    <t xml:space="preserve"> Republic of the Philippines DEPARTMENT OF PUBLIC WORKS AND HIGHWAYS OFFICE OF THE REGIONAL DIRECTOR Regional Office No. IV-A EDSA, Quezon City June 22, 2020 Mr. BENIGNO T. PAUCO Managing Partner / CEO KEY ENGINNERS, CO. Unit 217, Grand Emerald Tower, Emer</t>
  </si>
  <si>
    <t xml:space="preserve"> ITEM       QTY     UNIT        DESCRIPTION 1              1        pc           ID MAKER 2              664     pcs         RF ID Cards 3              3         rolls       ID MAKER COLOR RIBBON  4              4        rolls        ID MAKER-RETRANSFER FI</t>
  </si>
  <si>
    <t xml:space="preserve"> INVITATION TO BID 	 The Department of Education, Division of Bukidnon Intends to apply the sum of ONE MILLION TWENTY THOUSAND SEVEN HUNDRED THIRTY THREE AND 13 (Php. 1,020,733.13) being the Approved Budget for the Contract (ABC) to payments under the cont</t>
  </si>
  <si>
    <t xml:space="preserve"> Parcellary Survey for the Construction of Various Roads and Bridges</t>
  </si>
  <si>
    <t xml:space="preserve"> Republic of the Philippines                                                                        Municipality of Tagoloan                                                                 PROVINCE OF MISAMIS ORIENTAL                                       </t>
  </si>
  <si>
    <t xml:space="preserve"> Republic of the Philippines                                                             Municipality of Tagoloan                                                     PROVINCE OF MISAMIS ORIENTAL                                                              </t>
  </si>
  <si>
    <t xml:space="preserve"> INVITATION TO BID IB No. 16,   S. 2020 The Municipality of General Nakar, Quezon through the Approved Appropriation Ordinance No. 2019-29  appropriating funds for the Annual Budget CY 2020 intends to apply the sum of  Six Million  Five Hundred Thousand  P</t>
  </si>
  <si>
    <t xml:space="preserve"> 1.Municipality of Amadeo through its GEN FUND intends to apply the sum of Php 170,693.50 being the Approved Budget Ceiling for the PURCHASE OF JANITORIAL SUPPLIES TO BE USED BY DIFFERENT OFFICES Quotation received in excess of the ABC shall be automatical</t>
  </si>
  <si>
    <t xml:space="preserve"> 1.Municipality of Amadeo through its GEN FUND intends to apply the sum of Php 794,182.00 being the Approved Budget Ceiling for the PURCHASE OF OFFICE SUPPLIES TO BE USED BY DIFFERENT OFFICES Quotation received in excess of the ABC shall be automatically r</t>
  </si>
  <si>
    <t xml:space="preserve"> 1.Municipality of Amadeo through its GEN FUND intends to apply the sum of Php 290,996.90 being the Approved Budget Ceiling for the FABRICATION AND INSTALLATION OF BARANGAY DAGATAN STREETLIGHTING LOCATED @ BRGY. DAGATAN, AMADEO, CAVITE Quotation received i</t>
  </si>
  <si>
    <t xml:space="preserve"> Republika ng Pilipinas PAMAHALAANG LUNGSOD NG TACLOBAN (City Government of Tacloban) Kanhuraw Hill, Tacloban City 6500 BIDS AND AWARDS COMMITTEE INVITATION TO BID  REF #042-06-2020 (JUNE 25, 2020) PR# 2020-681 DATED 06-09-2020 7060270 The Procuring Entity</t>
  </si>
  <si>
    <t xml:space="preserve"> 1.Municipality of Amadeo through its GEN FUND intends to apply the sum of Php 272,950.00 being the Approved Budget Ceiling for the PURCHASE OF BUSINESS PLATES, 2020 STICKER AND TODA STICKER FOR THE USE OF BPLO Quotation received in excess of the ABC shall</t>
  </si>
  <si>
    <t xml:space="preserve"> 1.	The Department of Public Works and Highways Regional Office XI, Davao City, through its Bids and Awards Committee (BAC), invites bidders to submit bids for the Infra projects funded under GAA FY 2020, to wit: Contract ID 	:	20L00159 Contract Name/Locat</t>
  </si>
  <si>
    <t xml:space="preserve"> 1.	The Department of Public Works and Highways Regional Office XI, Davao City, through its Bids and Awards Committee (BAC), invites bidders to submit bids for the Infra projects funded under GAA FY 2020, to wit: Contract ID 	:	20L00157 \Contract Name/Loca</t>
  </si>
  <si>
    <t xml:space="preserve"> 1.Municipality of Amadeo through its GEN FUND intends to apply the sum of Php 284,750.00 being the Approved Budget Ceiling for the INSTALLATION OF CCTV CAMERA @ VARIOUS BARANGAY LOCATED @ AMADEO, CAVITE Quotation received in excess of the ABC shall be aut</t>
  </si>
  <si>
    <t xml:space="preserve"> 1.	The Department of Public Works and Highways Regional Office XI, Davao City, through its Bids and Awards Committee (BAC), invites bidders to submit bids for the Infra projects funded under GAA FY 2020, to wit: Contract ID 	:	20L00155 Contract Name/Locat</t>
  </si>
  <si>
    <t xml:space="preserve"> 1.	The Department of Public Works and Highways Regional Office XI, Davao City, through its Bids and Awards Committee (BAC), invites bidders to submit bids for the Infra projects funded under GAA FY 2020, to wit: Contract ID 	:	20L00165 Contract Name/Locat</t>
  </si>
  <si>
    <t xml:space="preserve"> 1.	The Department of Public Works and Highways Regional Office XI, Davao City, through its Bids and Awards Committee (BAC), invites bidders to submit bids for the Infra projects funded under GAA FY 2020, to wit: Contract ID 	:	20L00156 Contract Name/Locat</t>
  </si>
  <si>
    <t xml:space="preserve"> Republic of the Philippines City of Cagayan de Oro BIDS AND AWARDS COMMITTEE  INVITATION TO BID  FOR  Supply and Delivery of Various Office Supplies; PR No. 20-1432 dated 11 June 2020; SN 131 - 2020 1.	The City Government of Cagayan de Oro, through the Ge</t>
  </si>
  <si>
    <t xml:space="preserve"> Availability in Cargo Bed Sizes in length      :   10 ft long Color options                                            :   any color except white Valves                                                     :    8 Gearbox details                            </t>
  </si>
  <si>
    <t xml:space="preserve"> Construction of Rainwater Collection System (RWCS)</t>
  </si>
  <si>
    <t xml:space="preserve"> The DPWH, Negros Occidental 3rd District Engineering Office, Kabankalan City, Negros Occidental, through its Bids and Awards Committee (BAC), invites contractors to submit bids for the following contract: 1. Contract ID		:	20GM0063 (Re-bidding) Contract N</t>
  </si>
  <si>
    <t xml:space="preserve"> Repair/Maintenance of DPWH Building Super Area (Storage Room)</t>
  </si>
  <si>
    <t xml:space="preserve"> 1.Municipality of Amadeo through its GEN FUND intends to apply the sum of Php 618,000.00 being the Approved Budget Ceiling for the PURCHASE OF IT EQUIPMENTS TO BE USED BY LGU-AMADEO Quotation received in excess of the ABC shall be automatically rejected. </t>
  </si>
  <si>
    <t xml:space="preserve"> Repainting of Concrete Bridges</t>
  </si>
  <si>
    <t xml:space="preserve"> 1.Municipality of Amadeo through its GEN FUND intends to apply the sum of Php 675,473.14 being the Approved Budget Ceiling for the CONCRETING OF TALYER ROAD LOCATED @ BRGY. SALABAN, AMADEO, CAVITE Quotation received in excess of the ABC shall be automatic</t>
  </si>
  <si>
    <t xml:space="preserve"> 1.	The Department of Public Works and Highways Regional Office XI, Davao City, through its Bids and Awards Committee (BAC), invites bidders to submit bids for the Infra projects funded under GAA FY 2020, to wit: Contract ID 	:	20L00163 Contract Name/Locat</t>
  </si>
  <si>
    <t xml:space="preserve"> 1.Municipality of Amadeo through its GEN FUND intends to apply the sum of Php 1,999,850.00 being the Approved Budget Ceiling for the PURCHASE OF MEDICINE TO BE USED BY RHU Quotation received in excess of the ABC shall be automatically rejected. 2. BAC of </t>
  </si>
  <si>
    <t xml:space="preserve"> 1.	The Department of Public Works and Highways Regional Office XI, Davao City, through its Bids and Awards Committee (BAC), invites bidders to submit bids for the Infra projects funded under GAA FY 2020, to wit: Contract ID 	:	20L00164 Contract Name/Locat</t>
  </si>
  <si>
    <t xml:space="preserve"> 1.	The Department of Public Works and Highways Regional Office XI, Davao City, through its Bids and Awards Committee (BAC), invites bidders to submit bids for the Infra projects funded under GAA FY 2020, to wit: Contract ID 	:	20L00162 Contract Name/Locat</t>
  </si>
  <si>
    <t xml:space="preserve"> INVITATION TO BID IB-2020-104-INFRA Drainage Improvement / Declogging along R-10, Pacheco St. and Vicinity, Tondo, District I, Manila City 1.	The Metropolitan Manila Development Authority, through the 2020 General Appropriations Act (GAA)intends to apply </t>
  </si>
  <si>
    <t xml:space="preserve"> The DPWH, Negros Occidental 3rd District Engineering Office, Kabankalan City, Negros Occidental, through its Bids and Awards Committee (BAC), invites contractors to submit bids for the following contract: 1. Contract ID		:	20GM0080 Contract Name	:	Upgradi</t>
  </si>
  <si>
    <t xml:space="preserve"> 1.	The Department of Public Works and Highways Regional Office XI, Davao City, through its Bids and Awards Committee (BAC), invites bidders to submit bids for the Infra projects funded under GAA FY 2020, to wit:   Contract ID 	:	20L00158 Contract Name/Loc</t>
  </si>
  <si>
    <t xml:space="preserve"> 1.	The Department of Public Works and Highways Regional Office XI, Davao City, through its Bids and Awards Committee (BAC), invites bidders to submit bids for the Infra projects funded under GAA FY 2020, to wit: Contract ID 	:	20L00166 Contract Name/Locat</t>
  </si>
  <si>
    <t xml:space="preserve"> INVITATION TO BID IB-2020-106-INFRA Dredging of Maricaban Creek, at the Back of Magallanes Village, Makati City and Villamor Barangay 183 Pasay City 1.	The Metropolitan Manila Development Authority, through the 2020 General Appropriations Act (GAA)intends</t>
  </si>
  <si>
    <t xml:space="preserve"> INVITATION TO BID IB-2020-103-INFRA Drainage Improvement / Declogging along J. Luna St., H. Lopez Blvd., C-2 Road and Vicinity, Tondo, District II, Manila 1.	The Metropolitan Manila Development Authority, through the 2020 General Appropriations Act (GAA)i</t>
  </si>
  <si>
    <t xml:space="preserve"> INVITATION TO BID IB-2020-102-INFRA Drainage Improvement and Concreting at Barangay BagongSilangan, District II, Quezon City 1.	The Metropolitan Manila Development Authority, through the 2020 General Appropriations Act (GAA)intends to apply the sum of Thi</t>
  </si>
  <si>
    <t xml:space="preserve"> INVITATION TO BID IB-2020-105-INFRA Improvement of Malabon-Tullahan River, Muzon-Concepcion,  Malabon City 1.	The Metropolitan Manila Development Authority, through the 2020 General Appropriations Act (GAA)intends to apply the sum of NineMillion, NineHund</t>
  </si>
  <si>
    <t xml:space="preserve"> INVITATION TO BID IB-2020-101-INFRA Drainage Improvement and Concreting at Barangay Vasra, District I, Quezon City 1.	The Metropolitan Manila Development Authority, through the 2020 General Appropriations Act (GAA)intends to apply the sum of FiveMillion, </t>
  </si>
  <si>
    <t xml:space="preserve"> INVITATION TO BID IB-2020-100-INFRA Drainage Improvement and Concreting at Barangay Sauyo, District VI, Quezon City 1.	The Metropolitan Manila Development Authority, through the 2020 General Appropriations Act (GAA)intends to apply the sum of EightMillion</t>
  </si>
  <si>
    <t xml:space="preserve"> INVITATION TO BID IB-2020-099-INFRA Drainage Improvement along Esperanza St. and Vicinities, District II, Valenzuela City 1.	The Metropolitan Manila Development Authority, through the 2020 General Appropriations Act (GAA)intends to apply the sum of Thirte</t>
  </si>
  <si>
    <t xml:space="preserve"> Invitation to Bid  For the Construction of Four (4) Storey Sixteen (16) Classroom Building at Lapaz National High School, Lapaz, Iloilo City 1.	The City of Iloilo, through the SEF Capital Outlay, CY2019 intends to apply the sum of Forty Five Million Pesos</t>
  </si>
  <si>
    <t xml:space="preserve"> INVITATION TO BID IB-2020-098-INFRA Improvement / Deepening of Estero De Concordia, Pandacan,  District VI, Manila 1.	The Metropolitan Manila Development Authority, through the 2020 General Appropriations Act (GAA)intends to apply the sum of ThirteenMilli</t>
  </si>
  <si>
    <t xml:space="preserve"> Republic of the Philippines Province of Batangas Municipality of San Nicolas Invitation to Bid for the Purchase of Dump Truck to be used in Solid Waste Management 1.	The MUNICIPALITY OF SAN NICOLAS through the Continuing Appropriation – 20% Dev. Fund inte</t>
  </si>
  <si>
    <t xml:space="preserve"> INVITATION TO BID IB-2020-096-INFRA        Drainage Improvement along C5, District II, Makati City 1.	The Metropolitan Manila Development Authority, through the 2020 General Appropriations Act (GAA)intends to apply the sum of FiveMillion, NineHundredEight</t>
  </si>
  <si>
    <t xml:space="preserve"> Aggregates 1178 cu.m aggregates</t>
  </si>
  <si>
    <t xml:space="preserve"> Repair/Maintenance of DPWH Building, Langogan Resthouse</t>
  </si>
  <si>
    <t xml:space="preserve"> Invitation to Bid  For the Construction/Rehabilitation/Improvement of Multi-Purpose Hall at Brgy. Rizal Pala-Pala I, City Proper, Iloilo City 1.	The City of Iloilo, through the 20% Development Fund, CY2019 – P500,000.00; 20% Development Fund, CY2020 – P 2</t>
  </si>
  <si>
    <t xml:space="preserve"> The Western Mindanao State University, through its Bids and Awards Committee (BAC), is inviting PhilGEPS registered suppliers to apply for eligibility and to submit bids for the item mentioned hereunder:  1.)	150	Boxes	Acrinol - 50 strips/box 2.)	50	Bottl</t>
  </si>
  <si>
    <t xml:space="preserve"> Invitation to Bid  For the Construction/Rehabilitation of Existing Drainage System at Brgy. Pali-Benedicto, Mandurriao, Iloilo City 1.	The City of Iloilo, through the 20% Development Fund, CY2019 intends to apply the sum of Three Million Pesos (Php 3,000,</t>
  </si>
  <si>
    <t xml:space="preserve"> QTY	UNIT	ITEM DESCRIPTION 		 		"(FOTON VIEW AMBULANCE - SAA 6353)  Office of the Municipal Health Officer"  2.00 	pc	Ball Joint Lower  2.00 	pc	Ball Joint Upper  1.00 	l	Automatic Transmission Fluid  1.00 	pc	Battery 2SM 		Labor : 		Replacement of Ball Jo</t>
  </si>
  <si>
    <t xml:space="preserve"> 1.Municipality of Amadeo through its GEN FUND intends to apply the sum of Php 461,900.00 being the Approved Budget Ceiling for the PURCHASE OF OFFICE EQUIPMENT TO BE USED BY DIFFERENT OFFICES  Quotation received in excess of the ABC shall be automatically</t>
  </si>
  <si>
    <t xml:space="preserve"> 1.Municipality of Amadeo through its GEN FUND intends to apply the sum of Php 474,001.00 being the Approved Budget Ceiling for the PURCHASE OF IT EQUIPMENTS TO BE USED BY DIFFERENT OFFICES Quotation received in excess of the ABC shall be automatically rej</t>
  </si>
  <si>
    <t xml:space="preserve"> Invitation to Bid  For the Construction/Rehabilitation of Existing Drainage System at Brgy. Tacas, Jaro, Iloilo City 1.	The City of Iloilo, through the 20% Development Fund, CY2018 intends to apply the sum of One Million Pesos (Php 1,000,000.00) being the</t>
  </si>
  <si>
    <t xml:space="preserve"> Invitation to Bid  For the Construction/Rehabilitation/Improvement of Multi-Purpose Hall at Brgy. Bakhaw, Mandurriao, Iloilo City 1.	The City of Iloilo, through the 20% Development Fund, CY2020  intends to apply the sum of One Million Three Hundred Thousa</t>
  </si>
  <si>
    <t xml:space="preserve"> 1.Municipality of Amadeo through its GEN FUND intends to apply the sum of Php 434,600.00 being the Approved Budget Ceiling for the PURCHASE OF FURNITURE AND FIXTURES TO BE USED BY DIFFERENT OFFICES Quotation received in excess of the ABC shall be automati</t>
  </si>
  <si>
    <t xml:space="preserve"> 1.Municipality of Amadeo through its GEN FUND intends to apply the sum of Php 192,000.00 being the Approved Budget Ceiling for the PURCHASE OF AUDIO AND VISUAL EQUIPMENT TO BE USED BY DIFFERENT OFFICES Quotation received in excess of the ABC shall be auto</t>
  </si>
  <si>
    <t xml:space="preserve"> 2 LENGTHS GI PIPE, ETC. FOR THE ESTABLISHMENT OF 1 RCA AT SITIO BACLISE, BARANGAY ANGAS, STA. JOSEFA, ADS</t>
  </si>
  <si>
    <t xml:space="preserve"> Please see attached docs.</t>
  </si>
  <si>
    <t xml:space="preserve"> INVITATION TO BID IB-2020-097-INFRA Rehabilitation / Improvement and Maintenance of Drainage System along Beata St., and Vicinity, Pandacan, District VI, Manila City 1.	The Metropolitan Manila Development Authority, through the 2020 General Appropriations</t>
  </si>
  <si>
    <t xml:space="preserve"> Invitation to Bid  For the Rehabilitation of All Gabaldon Building at Montes I Elementary School, City Proper, Iloilo City 1.	The City of Iloilo, through the SEF Capital Outlay, SB No. 2 Fund, CY2019  intends to apply the sum of Seven Million Pesos (Php 7</t>
  </si>
  <si>
    <t xml:space="preserve"> 1515 SQM. HIGH DESITY POLYETHYLENE (HDPE) LINER) PROCUREMENT AND PROVISION OF HDPE LINER FOR THE CONTRUCTION OF  MINERAL PROCESSING PLANT TAILINGS POND LINING OF CMPZ</t>
  </si>
  <si>
    <t xml:space="preserve"> Republic of the Philippines DEPARTMENT OF PUBLIC WORKS &amp; HIGHWAYS LEYTE THIRD ENGINEERING DISTRICT REGIONAL OFFICE VIII Villaba, Leyte Telefax No. (053) 552-9266 Email Add: dpwh_leyte3@yahoo.com INVITATION TO BID June 17, 2020 1.	The DPWH Third Leyte Engi</t>
  </si>
  <si>
    <t xml:space="preserve"> 2 lengths GI Pipe etc.</t>
  </si>
  <si>
    <t xml:space="preserve"> Invitation to Bid  For the Fabrication and Installation of Grills in Classrooms of PAGCOR Building and Four (4) Storey BEEF Building at Iloilo City National High School, Molo, Iloilo City 1.	The City of Iloilo, through the SEF, CY2018  intends to apply th</t>
  </si>
  <si>
    <t xml:space="preserve"> Republic of the Philippines Province of Cavite Municipality of Naic BIDS AND AWARDS COMMITTEE PB-2020-06-037 INVITATION TO  BID  FABRICATION OF TABLES AND CABINETS OF DIFFERENT OFFICES, NAIC, CAVITE 1.         The Municipal Government of Naic through  202</t>
  </si>
  <si>
    <t xml:space="preserve"> 2 UNITS ECO SEPTIC TANK) PROVISION AND INSTALLATION OF ECO-SEPTIC TANK FOR 10 HOUSEHOLDS IN BRGY. LA FLORA, TALACOGON. ADS</t>
  </si>
  <si>
    <t xml:space="preserve"> Republic of the Philippines Province of Cavite Municipality of Naic BIDS AND AWARDS COMMITTEE PB-2020-06-036 INVITATION TO  BID  REPAIR/MAINTENANCE OF PUBLIC ELEMENTARY SCHOOLS, NAIC, CAVITE 1.         The Municipal Government of Naic through  2020 SEF FU</t>
  </si>
  <si>
    <t xml:space="preserve"> Republic of the Philippines Province of Cavite Municipality of Naic BIDS AND AWARDS COMMITTEE PB-2020-06-035 INVITATION TO  BID  CONSTRUCTION OF PERIMETER FENCE AT SCHOOL GROUNDS AT HILLVIEW ROYALE  BRGY. TIMALAN BALSAHAN, NAIC, CAVITE 1.         The Muni</t>
  </si>
  <si>
    <t xml:space="preserve"> 1.	The Development Bank of the Philippines (DBP) intends to apply the sum of Two Hundred One    Million Three Hundred Ninety-Eight Thousand Nine Hundred Sixty -Two and 47/100 Pesos                             (P201,398,962.47) as the Approved Budget for t</t>
  </si>
  <si>
    <t xml:space="preserve"> Republic of the Philippines Province of Cavite Municipality of Naic BIDS AND AWARDS COMMITTEE PB-2020-06-034 INVITATION TO  BID  CONCRETING OF ROAD (PHASE 3) AT DUMPSITE  BRGY. SABANG, NAIC, CAVITE 1.         The Municipal Government of Naic through  2019</t>
  </si>
  <si>
    <t xml:space="preserve"> The Western Mindanao State University, through its Bids and Awards Committee (BAC), is inviting PhilGEPS registered suppliers to apply for eligibility and to submit bids for the item mentioned hereunder:  1.)	200	Reams	Book Paper - subs. 20, 8.5" x 11" 2.</t>
  </si>
  <si>
    <t xml:space="preserve"> MULTI PURPOSE  VEHICLE           1 UNIT Overall (LxWxH) Maximum of: 4,435mm x 1,695mm x 1,705mm Wheelbase  :  Maximum 2,700mm: Size 16in; Wheel Type: Alloy Engine Type:    1.5 Gasoline Displacement:   1,499cc Maximum Output: 102hp@6,000rpm Maximum Torque:</t>
  </si>
  <si>
    <t xml:space="preserve"> Republic of the Philippines Province of Negros Occidental CITY OF VICTORIAS BIDS AND AWARDS COMMITTEE Reference No: Vict-eps20-029 INVITATION TO BID  CONSTRUCTION OF VETERINARY CLINIC AT CPSU CAMPUS, BARANGAY XIV, VICTORIAS CITY The City of Victorias, thr</t>
  </si>
  <si>
    <t xml:space="preserve"> Invitation to Bid  For the Construction/Rehabilitation of Existing Drainage System at Brgy. Navais, Mandurriao, Iloilo City 1.	The City of Iloilo, through the 20% Development Fund, CY2019 intends to apply the sum of Two Million Pesos (Php 2,000,000.00) be</t>
  </si>
  <si>
    <t xml:space="preserve"> 2 Lengths GI Pipe, etc.</t>
  </si>
  <si>
    <t xml:space="preserve"> Invitation to Bid  For the Rehabilitation/Construction of Roads at Brgy. Bakhaw, Mandurriao, Iloilo City 1.	The City of Iloilo, through the 20% Development Fund, CY2019 intends to apply the sum of Two Million Pesos (Php 2,000,000.00) being the Approved Bu</t>
  </si>
  <si>
    <t xml:space="preserve"> 1665 cu.m aggregates</t>
  </si>
  <si>
    <t xml:space="preserve"> COVERED COURT FLOORING QTY	UNIT	DESCRIPTION	UNIT COST	TOTAL COST 1 CONCRETE SLAB 456	Bag	Cement		 40	Cu.m	Washed Sand		 80	Cu. m	Washed Gravel		 II. WALLING 10	Bag	Cement		 2	Cu.m	Washed Sand		 4	Cu.m	Washed Gravel		 III. MASONRY WORK 296	PCS	CHB		 25	Bag</t>
  </si>
  <si>
    <t xml:space="preserve"> Invitation to Bid  For the Repair of Classroom at Melchor L. Nava National High School, Calaparan, Arevalo, Iloilo City 1.	The City of Iloilo, through the SEF Capital Outlay, CY2019 – P 10,000,000.00; SEF Capital Outlay, CY2020 – P 1,000,000.00 intends to</t>
  </si>
  <si>
    <t xml:space="preserve"> Invitation to Bid No. NSCV2020-03 RE-BIDDING- PROCUREMENT OF 1 LOT VARIOUS LABORATORY REAGENTS 1.	The West Visayas State University Medical Center, through its NSCV Fund 2020 intends to apply the sum of SIX HUNDRED EIGHT THOUSAND PESOS (PhP 608,000.00) ON</t>
  </si>
  <si>
    <t xml:space="preserve"> INVITATION TO BID IB-2020-095-INFRA        Drainage Improvement along Kalayaan Avenue, District II, Makati City 1.	The Metropolitan Manila Development Authority, through the 2020 General Appropriations Act (GAA)intends to apply the sum of SevenMillion, Fo</t>
  </si>
  <si>
    <t xml:space="preserve"> DIGITAL RADIOGRAPHIC SYSTEM SPECIFICATION DIGITAL RADIOGRAPHY DETECTOR: Scintillator Type:Cesium lodide (CsI) Pixel Pitch: 140 um Field of View: 14x17 inch  Effective area: 356.72x428.4 mm Resolution:2536x3048 Grayscale:14 bit Spatial Resolution: 3.5 lp/m</t>
  </si>
  <si>
    <t xml:space="preserve"> ----------ANTHROPOMORPHIC PHANTOM    Features Patient positioning: -	Shoulders rotate full 360 degrees in the sagittal plane, approx. 180 degrees to side-ways. -	Elbows bend up to approx. 90 degrees. -	Hip joints rotate forward up to 90 degrees, then rota</t>
  </si>
  <si>
    <t xml:space="preserve"> 1.Municipality of Amadeo through its GEN FUND intends to apply the sum of Php 117,509.00 being the Approved Budget Ceiling for the PURCHASE OF MEDICAL SUPPLIES TO BE USED BY RHU Quotation received in excess of the ABC shall be automatically rejected. 2. B</t>
  </si>
  <si>
    <t xml:space="preserve"> 1.	The Department of Public Works and Highways Regional Office XI, Davao City, through its Bids and Awards Committee (BAC), invites bidders to submit bids for the Infra projects funded under GAA FY 2020, to wit: Contract ID 	:	20L00161 Contract Name/Locat</t>
  </si>
  <si>
    <t xml:space="preserve"> Invitation to Bid  For the Construction/Rehabilitation/Improvement of Multi-Purpose Hall at Brgy. Rizal , Lapaz, Iloilo City 1.	The City of Iloilo, through the 20% Development Fund, CY2020 – P 3,000,000.00; 20% Development Fund, CY2019 – P 500,000.00 inte</t>
  </si>
  <si>
    <t xml:space="preserve"> 1.Municipality of Amadeo through its GEN FUND intends to apply the sum of Php 122,525.00 being the Approved Budget Ceiling for the PROCUREMENT AND RESTORATION OF RADIO COMMUNICATION Quotation received in excess of the ABC shall be automatically rejected. </t>
  </si>
  <si>
    <t xml:space="preserve"> Republic of the Philippines City of Cagayan de Oro BIDS AND AWARDS COMMITTEE INVITATION TO BID  FOR  SUPPLY AND DELIVERY OF DIESEL AND UNLEADED GASOLINE INCLUDING INSTALLATION OF PETROLEUM UNDERGROUND STORAGE TANKS AND FUEL DISPENSERS; PR NO. 20-1431 DATE</t>
  </si>
  <si>
    <t xml:space="preserve"> 1.Municipality of Amadeo through its GEN FUND intends to apply the sum of Php 630,413.06 being the Approved Budget Ceiling for the IMPROVEMENT OF AMADEO POLICE STATION LOCATED @ AMADEO, CAVITE Quotation received in excess of the ABC shall be automatically</t>
  </si>
  <si>
    <t xml:space="preserve"> 1.Municipality of Amadeo through its GEN FUND intends to apply the sum of Php 290,999.03 being the Approved Budget Ceiling for the CONSTRUCTION OF CANAL LINING LOCATED @ BRGY. #7, AMADEO, CAVITE Quotation received in excess of the ABC shall be automatical</t>
  </si>
  <si>
    <t xml:space="preserve"> 1.	The Department of Public Works and Highways Regional Office XI, Davao City, through its Bids and Awards Committee (BAC), invites bidders to submit bids for the Infra projects funded under GAA FY 2020, to wit: Contract ID 	:	20L00138 Contract Name/Locat</t>
  </si>
  <si>
    <t xml:space="preserve"> Republic of the Philippines Cordillera Administrative Region PROVINCIAL GOVERNMENT OF ABRA Bangued INVITATION TO BID FOR  PURCHASE OF SOIL AMELIORANT 1.	The PROVINCIAL GOVERNMENT OF ABRA, through the Budget for the Contract Approbed by the Sangguniang Pan</t>
  </si>
  <si>
    <t xml:space="preserve"> 1.	The Department of Public Works and Highways Regional Office XI, Davao City, through its Bids and Awards Committee (BAC), invites bidders to submit bids for the Infra projects funded under GAA FY 2020, to wit: Contract ID 	:	20L00146 Contract Name/Locat</t>
  </si>
  <si>
    <t xml:space="preserve"> Republic of the Philippines Cordillera Administrative Region PROVINCIAL GOVERNMENT OF ABRA Bangued INVITATION TO BID FOR  PURCHASE OF POST HARVEST AND FARM MACHINERY EQUIPMENT 1.	The PROVINCIAL GOVERNMENT OF ABRA, through the Budget for the Contract Appro</t>
  </si>
  <si>
    <t xml:space="preserve"> 1.	The Department of Public Works and Highways Regional Office XI, Davao City, through its Bids and Awards Committee (BAC), invites bidders to submit bids for the Infra projects funded under GAA FY 2020, to wit: Contract ID 	:	20L00160 Contract Name/Locat</t>
  </si>
  <si>
    <t xml:space="preserve"> Republic of the Philippines Cordillera Administrative Region PROVINCIAL GOVERNMENT OF ABRA Bangued Invitation to Bid for  REHABILITATION OF BITUEN-LACUB ROAD 1.	The Provincial Government of Abra, through the Budget for the Contract Approved by the Sanggun</t>
  </si>
  <si>
    <t xml:space="preserve"> Delivery and Supply of Construction Materials</t>
  </si>
  <si>
    <t xml:space="preserve"> Republic of the Philippines NATIONAL POLICE COMMISSION PHILIPPINE NATIONAL POLICE INTELLIGENCE GROUP Camp BGen Rafael T Crame, Quezon City INVITATION TO BID 1. The PNP Intelligence Group Bids and Awards Committee (PNP IG-BAC) based on the approved GAA FY </t>
  </si>
  <si>
    <t xml:space="preserve"> Republic of the Philippines NATIONAL POLICE COMMISSION PHILIPPINE NATIONAL POLICE  INTELLIGENCE GROUP Camp BGen Rafael T Crame, Quezon City INVITATION TO BID 1. The PNP Intelligence Group Bids and Awards Committee (PNP IG-BAC) based on the approved GAA FY</t>
  </si>
  <si>
    <t xml:space="preserve"> Const. of Slope Protection</t>
  </si>
  <si>
    <t xml:space="preserve"> Republic of the Philippines Cordillera Administrative Region PROVINCIAL GOVERNMENT OF ABRA Bangued Invitation to Bid for  CONSTRUCTION OF MULTI-PURPOSE COVERED PAVEMENT 1.	The Provincial Government of Abra, through the Budget for the Contract Approved by </t>
  </si>
  <si>
    <t xml:space="preserve"> CONSTRUCTION OF POTABLE WATER SYSTEM LEVEL II WITH 1 UNIT 2X2X2 30M CONCRETE RESERVOIR AND 4 UNITS COMMUNAL FAUCET.</t>
  </si>
  <si>
    <t xml:space="preserve"> Republic of the Philippines Province of Negros Occidental Municipality of Isabela INVITATION TO BID FOR THE  Purchase of One (1) Unit Manlift Truck, Isabela, Negros Occidental. 1. The MUNICIPALITY OF ISABELA, through the Supplemental Budget #1 CY2020 – in</t>
  </si>
  <si>
    <t xml:space="preserve"> https://drive.google.com/file/d/1wryrsz7M4MR2due6Pz6mlvuYFzSU0aIa/view?usp=drivesdk use the link to view the bidding documents The Armed Forces of the Philippines (AFP), through the GHQ Bids and Awards Committee 1 (GHQ BAC 1), invites suppliers, manufactu</t>
  </si>
  <si>
    <t xml:space="preserve"> Republic of the Philippines Province of Davao del Sur Municipality of Padada June 24, 2020 BIDS AND AWARDS COMMITTEE INVITATION TO BID Expansion of Drainage Sytem @ Lapu-Lapu Street Brgy. Quirino District and Harada Butai, Padada, Daao del Sur  1.	The Loc</t>
  </si>
  <si>
    <t xml:space="preserve"> Bid-Opening-July 14, 2020 at 2:00 p.m at Municipal Conference Room</t>
  </si>
  <si>
    <t xml:space="preserve"> 164	sacks	Rice for consumption of AFP</t>
  </si>
  <si>
    <t xml:space="preserve"> Republic of the Philippines	 Province of Bohol	 Municipality of Buenavista	 INVITATION TO APPLY FOR ELIGIBILITY AND TO BID	 The Barangay Local Government Unit of Buenavista, Bohol, through its Bids and Awards Committee (BAC), invites suppliers/manufacture</t>
  </si>
  <si>
    <t xml:space="preserve"> Bid-Opening-July 14, 2020 at 2:00 p.m. at Municipal Conference Room</t>
  </si>
  <si>
    <t xml:space="preserve"> Republic of the Philippines Province of Negros Occidental Municipality of Isabela INVITATION TO BID FOR THE  Purchase of One (1) Unit Dump Truck, Isabela, Negros Occidental. 1. The MUNICIPALITY OF ISABELA, through the 20% Dev. Fund &amp; Supplemental Budget #</t>
  </si>
  <si>
    <t xml:space="preserve"> Republic of the Philippines Province of Negros Occidental Municipality of Isabela INVITATION TO BID FOR THE  Purchase of One (1) Unit 4WD Double Cab/Multi-Purpose Vehicle, Isabela, Negros Occidental. 1. The MUNICIPALITY OF ISABELA, through the Capital Out</t>
  </si>
  <si>
    <t xml:space="preserve"> PROJECT SIGNAGE RETAINING WALL CONSTRUCTION     A. EXCAVATION FOR FOOTING     B. REINFORCED CONCRETE WORKS     C. MASONRY WORKS     D. FORMWORKS THREE-CHAMBERED SEDIMENT/SEWERAGE TANK (3.0M X 2.0m x 4.0m deep each) PIPE CULVERT AND DRAIN EXCAVATION REMOVA</t>
  </si>
  <si>
    <t xml:space="preserve"> The Barangay Cogon – Talicud Island, Kaputian District of the Island Garden City of Samal through the 20% Development Funds CY 2019  intends to apply the sum of Two Hundred Thirty Two Thousand Eight Hundred Thirty Five Pesos and Ninety Five Centavos Only </t>
  </si>
  <si>
    <t xml:space="preserve"> 1.Municipality of Amadeo through its GEN FUND intends to apply the sum of Php 199,898.00 being the Approved Budget Ceiling for the PURCHASE OF FORMS TO BE USED BY ASSESSOR'S OFFICE  Quotation received in excess of the ABC shall be automatically rejected. </t>
  </si>
  <si>
    <t xml:space="preserve"> Republic of the Philippines  City of Toledo -oOo- BIDS AND AWARDS COMMITTEE ITB No. G12-03-2020 INVITATION TO BID FOR: Purchase Request of Hospital Equipments for Toledo City Hospital (DOH Standard) 1.	The City Government of Toledo under the 20% Dev’t. Fu</t>
  </si>
  <si>
    <t xml:space="preserve"> this serves as second posting for the second bidding of brgy bagong silang 3 labo project.</t>
  </si>
  <si>
    <t xml:space="preserve"> 1.Municipality of Amadeo through its GEN FUND intends to apply the sum of Php 100,000.00 being the Approved Budget Ceiling for the PURCHASE OF WHEEL CLAMP TO BE USED FOR BALIK KALSADA PROGRAM OF PNP Quotation received in excess of the ABC shall be automat</t>
  </si>
  <si>
    <t xml:space="preserve"> Republic of the Philippines Province of Ilocos Sur Vigan City INVITATION TO BID FOR  Security Services for the Provincial Government of Ilocos Sur 1.	The Provincial Government of Ilocos Sur, through the GF-Security Services intends to apply the sum of PhP</t>
  </si>
  <si>
    <t xml:space="preserve"> Republic of the Philippines  City of Toledo -oOo- BIDS AND AWARDS COMMITTEE ITB No. G11-03-2020 INVITATION TO BID FOR: Purchase Request of Medical Equipments for Toledo City Hospital (DOH Standard) 1.	The City Government of Toledo under the 20% Dev’t. Fun</t>
  </si>
  <si>
    <t xml:space="preserve"> 1-unit-Service Van; brand new; white					           Overall Dimensions: 5,265 x 1,950 x 1,990 mm; Wheelbase:					           3,860mm; Seating Capacity: 12; Engine Type: 4 Cylinders,					           In-line Type 16-Valve DOHC; Engine Displacement: 2,755cc			</t>
  </si>
  <si>
    <t xml:space="preserve"> Please see attached purchase request</t>
  </si>
  <si>
    <t xml:space="preserve"> Republic of the Philippines ANGELES CITY WATER DISTRICT Pampang Road, Brgy. Lourdes Northwest, Angeles City   (045) 458-0384; (045) 458-0382; (045) 458-0372  (045)322-6422; (045)458-0371, Fax No.: (045)322-6926 E-mail address:  angelescitywd@gmail.com Web</t>
  </si>
  <si>
    <t xml:space="preserve"> Republic of the Philippines Province of Ilocos Sur Vigan City INVITATION TO BID FOR  Tobacco Farmers/Cooperatives' Hybrid Corn Seed Subsidy for Alternative Farming Livelihood Project 1.	The Provincial Government of Ilocos Sur, through the Special Budget N</t>
  </si>
  <si>
    <t xml:space="preserve"> https://drive.google.com/file/d/1BwSSTulHH8CGtc_u-6hnBtCgqD7LU8DD/view?usp=drivesdk use link to view the bidding documents The Armed Forces of the Philippines (AFP), through the GHQ Bids and Awards Committee 1 (GHQ BAC 1), invites suppliers, manufacturers</t>
  </si>
  <si>
    <t xml:space="preserve"> Republic of the Philippines Department of Health DAVAO REGIONAL MEDICAL CENTER Apokon, Tagum City BIDS AND AWARDS COMMITTEE INVITATION TO BID FOR THE SUPPLY, DELIVERY, INSTALLATION and COMMISSIONING of BRAND NEW DIGITAL RADIOGRAPHY/FLUOROSCOPY X-RAY MACHI</t>
  </si>
  <si>
    <t xml:space="preserve"> CONSTRUCTION materials for the repair of Tanod Outpost</t>
  </si>
  <si>
    <t xml:space="preserve"> 909		pcs	Mono block Chair</t>
  </si>
  <si>
    <t xml:space="preserve"> 3926 cu.m. Aggregates</t>
  </si>
  <si>
    <t xml:space="preserve"> MUNICIPALITY OF BORBON DESCRIPTION: 60 VIALS VAXIRAB N SOLUTION FOR INJECTION 25 VIALS EQUIRAB SOLUTION FOR INJECTION</t>
  </si>
  <si>
    <t xml:space="preserve"> Republic of the Philippines DEPARTMENT OF PUBLIC WORKS AND HIGHWAYS EASTERN SAMAR DISTRICT ENGINEERING OFFICE REGIONAL OFFICE VIII Borongan City, Eastern Samar INVITATION TO BID The Department of Public Works and Highways Eastern Samar District Engineerin</t>
  </si>
  <si>
    <t xml:space="preserve"> Republic of the Philippines Province of Davao Del Sur Municipality of Padada INVITATION TO BID June 24, 2020 SUPPLY AND DELIVERY OF VARIOUS CONSTRUCTION MATERIALS FOR THE EXPANSION OF CONCRETE DRAINAGE CANAL (U TYPEDRANAGE SYSTEM) 1.	The Local Government </t>
  </si>
  <si>
    <t xml:space="preserve"> 1.	The Municipal Government of Placer, through the Budget for the contract approved by the respective Sanggunian-  General Fund CY 2020 intends to apply the sum of One Million Five Hundred Thousand Pesos (₱ 1,500,000.00) being the Approved Budget for the </t>
  </si>
  <si>
    <t xml:space="preserve"> purchase of materials &amp; installation of Solar streetlights of the Barangay</t>
  </si>
  <si>
    <t xml:space="preserve"> INVITATION TO BID SUPPLY AND DELIVERY OF CONSTRUCTION MATERIALS FOR BARANGAY STREETLIGHTS, PISAAN, SAN FRANCISCO, AGUSAN DEL SUR The Barangay Local Government Unit of Pisaan, San Francisco, Agusan del Sur, through through the BIDS and AWARDS COMMITTEE (BA</t>
  </si>
  <si>
    <t xml:space="preserve"> Republic of the Philippines MUNICIPALITY OF QUEZON Province of Quezon INVITATION TO BID Date	: June 29, 2020 The Municipality of Quezon, through its Bids and Awards Committee (BAC), invites supplier/manufactures/distributors/contractors to apply for eligi</t>
  </si>
  <si>
    <t xml:space="preserve"> Continuation of Barangay hall rehabilitation at P-2 Camote, Barangay Maon, Butuan City.</t>
  </si>
  <si>
    <t xml:space="preserve"> Repair of Stage (roofing) &amp; Basketball court (flooring)</t>
  </si>
  <si>
    <t xml:space="preserve"> INVITATION TO BID June 24, 2020 1.	The Provincial Government of Davao Occidental, through its Bids and Awards Committee (BAC), invites all suppliers to apply to bid for the following goods: Bids received in excess of the ABC shall be automatically rejecte</t>
  </si>
  <si>
    <t xml:space="preserve"> INVITATION TO BID Bid No. B-91-2020 1.	The Provincial Government of Negros Oriental, through Responsibility Center: 9998-055(20), intends to apply the sum of Six Million Three Hundred Seventy Thousand Pesos (Php 6,370,000.00) being the Approved Budget for</t>
  </si>
  <si>
    <t xml:space="preserve"> 1.	The Municipality of Impasugong, through the 8-90-00 20% (2016 &amp; below) Rehabilitation &amp; Preservation of Cultural and Historical Sites intends to apply the sum of One Million Eight Hundred Thousand Pesos (PhP1,800,000.00) being the Approved Budget for t</t>
  </si>
  <si>
    <t xml:space="preserve"> Republic of the Philippines Province of Davao Del Sur Municipality of Padada INVITATION TO BID June 23, 2020 SUPPLY AND DELIVERY OF VARIOUS CONSTRUCTION MATERIALS FOR ROAD REHABILITATION OF RIZAL STREET, NCO DIST. PADADA, DAVAO DEL SUR 1.	The Local Govern</t>
  </si>
  <si>
    <t xml:space="preserve"> PROJECT NAME : REBLOCKING OF MUNICIPAL ROAD AND RECONSTRUCTION OF SLOPE PROTECTION PROJECT LOCATION : BRGY CALERO, JOSE PANGANIBAN, CAMARINES NORTE ABC : PHP 400,000.00 DURATION : 74 DAYS SOURCE OF FUND : 20% CDF 2020</t>
  </si>
  <si>
    <t xml:space="preserve"> Construction of Multi-Purpose Building (New Building Phase I), Ugac Sur, Tuguegarao City</t>
  </si>
  <si>
    <t xml:space="preserve"> Republic of the Philippines DEPARTMENT OF PUBLIC WORKS AND HIGHWAYS THIRD LEYTE ENGINEERING DISTRICT OFFICE Regional Office VIII Villaba, Leyte NOTICE OF POSTING @ PHILGEPS / DPWH WEBSITE / BULLETIN BOARD  June 22, 2020 The DPWH Leyte Third Engineering Di</t>
  </si>
  <si>
    <t xml:space="preserve"> Supply and Delivery of One (1) Unit Multi Cab (Rebuilt/Reconditioned), Ugac Sur, Tuguegarao City</t>
  </si>
  <si>
    <t xml:space="preserve"> Republic of the Philippines City of Toledo -oOo- BIDS AND AWARDS COMMITTEE ITB  No. I31-03-2020 INVITATION TO BID FOR: Proposed Opening/Improvement of Toledo City Hospital Circumferential Road @ Brgy. Poblacion, Toledo City 1.	The City Government of Toled</t>
  </si>
  <si>
    <t xml:space="preserve"> INVITATION TO BID The Nueva Ecija University of Science and Technology through its Bids and Awards Committee (BAC), invites entities to bid for the hereunder projects: 	 Name of Project: ELECTRO-MECHANICAL AND INDUSTRIAL MOTOR CONTROL TRAINING SYSTEM Loca</t>
  </si>
  <si>
    <t xml:space="preserve"> Contract ID: 20PL0122 Contract Name: Concreting of Brgy. Wagud to Brgy. Ballayangon FMR, Brgy. Wagud and Brgy. Ballayangon, Pinukpuk, Kalinga Contract Location: Pinukpuk, Kalinga Brief Description: Construction of 848m x 5.0m x 0.23m thk PCCP Approved Bud</t>
  </si>
  <si>
    <t xml:space="preserve"> 110		pcs	Ballpen (Black) 				 15		pcs	Ballpen (Blue)				 4		packs	Battery AAA , 3pcs/pack				 103		reams	Bond Paper (A4) 80gsm Multicopy				 17		reams	Bond Paper (Legal) 80 gsm Multicopy				 2		reams	Bond Paper (Letter) 80gsm Multicopy				 2		reams	Bond P</t>
  </si>
  <si>
    <t xml:space="preserve"> PURCHASE OF GOODS FOR THE WATER SUPPLY OF THE BARANGAY</t>
  </si>
  <si>
    <t xml:space="preserve"> Republic of the Philippines  Province of Isabela  Municipality of Jones    INVITATION TO BID FOR   Supply of Materials, Labor and Equipment for the Concreting and Continuation of Bridge Approach with Stone Masonry and Guard Railings at Dicamay I, Jones, I</t>
  </si>
  <si>
    <t xml:space="preserve"> Republic of the Philippines CITY OF MALABON Metro Manila BIDS AND AWARDS COMMITTEE I N V I T A T I O N     T O     B I D PROPOSED GREENING AND BEAUTIFICATION OF LETRE CENTER ISLAND, SIDEWALK AND EASEMENT, LOCATED AT BRGY. TONSUYA, CITY OF MALABON 1.	The C</t>
  </si>
  <si>
    <t xml:space="preserve"> INVITATION TO BID CONSTRUCTION OF SANITARY LANDFILL, CATEGORY 1 SANTOL, LA UNION 1.	The Municipal Government of Santol, La Union through the MDF-2020 intends to apply the sum of THREE MILLION PESOS (Php3,000,000.00) being the Approved Budget for the Contr</t>
  </si>
  <si>
    <t xml:space="preserve"> Barangay Apalit Floridablanca Pampanga</t>
  </si>
  <si>
    <t xml:space="preserve"> &gt; The Municipality of San Quintin Abra now invites bids for the REHABILITATION / IMPROVEMENT OF POBLACION AND MAUSOC FARM TO MARKET ROAD  with the following items: 100(1)	CLEARING &amp; GRUBBING with STRIPPING	sq.m.	1,455.00 102(2)a.	ROADWAY EXCAVATION (SURPL</t>
  </si>
  <si>
    <t xml:space="preserve"> ITEM NO.      ITEM OF WORK                                                           UNIT        QUANTITY      1            STREET LIGHTS POSTS WITH CONCRETE PEDESTAL        UNIT             6      2            ELECTRICAL WIRES                            </t>
  </si>
  <si>
    <t xml:space="preserve"> The Local Government Unit – Quinapondan, Eastern Samar, through its Bids &amp; Awards Committee (BAC ), intends to apply the sum of One Million Pesos (Php. 1,000,000.00) under Annual Budget Appropriation Ordinance, series of 2020, being the Approved Budget fo</t>
  </si>
  <si>
    <t xml:space="preserve"> Republic of the Philippines Department of Education Region VI – Western Visayas TANGALAN NATIONAL HIGH SCHOOL Tondog, Tanglan, Aklan 	 REQUEST FOR QUOTATION (RFQ) Project No: DepED-RO6-D1- “TNHS” PURCHASE OF TRANSFORMER FOR JUNIOR HIGH SCHOOL (GAD)-001-20</t>
  </si>
  <si>
    <t xml:space="preserve"> I. Steel and Roofing Works ( includes trusses and pre-painted long span roof) II. Masonry Works with plastering</t>
  </si>
  <si>
    <t xml:space="preserve"> Contract ID: 20PL0123 Contract Name: Concreting of Brgy. Magnao FMR, Brgy. Magnao, Tabuk City, Kalinga Contract Location: Tabuk City, Kalinga Brief Description: Construction of 1,184m x 5.0m x 0.23m thk PCCP Approved Budget for the Contract (ABC): PhP 11,</t>
  </si>
  <si>
    <t xml:space="preserve"> Republic of the Philippines PROVINCE OF NORTHERN SAMAR BIDS AND AWARDS COMMITTEE Catarman Invitation to Bid NS-06-25-20-02 Construction of Access Road at Allen Transport Terminal Allen, Northern Samar 1.	The Provincial Government of Northern Samar, throug</t>
  </si>
  <si>
    <t xml:space="preserve"> Republic of the Philippines Province of Bohol MUNICIPALITY OF SAN MIGUEL Invitation to Bid for Improvement/Concreting of Access Road   1.	The Local Government Unit of San Miguel, Bohol through the 20% Development Fund intends to apply the sum of One Milli</t>
  </si>
  <si>
    <t xml:space="preserve"> 60		pc	2'' X 3'' X 12' Coco Lumber				 108		pc	2'' X 3'' X 10' Coco Lumber				 6		roll	Nylon # 16				 16		kilo	1 1/2'' CWN				 6		kilo	4'' CWN				 1		gal	Soil Poisoning 				 27		cu.m	 Washed Gravel 3/4				 246		bag	Portland Cement 				 19		cu.m	Washed San</t>
  </si>
  <si>
    <t xml:space="preserve"> I UNIT 4D56 ENGINE WITH TRANSMISSION 1 UNIT RADIATOR 4 ROWS 1 UNIT COOLER (TURBO) 2 PCS ENGINE SUPPORT 2 PCS CABLE (SHIFTING)</t>
  </si>
  <si>
    <t xml:space="preserve"> INVITATION TO BID FOR CONCRETING OF IRRIGATION SERVICE ROAD IN DARAMUANGAN NORTE  (INFRA 2020-12) 1.	The LOCAL GOVERNMENT UNIT OF SAN MATEO, ISABELA (LGU-SMI), through its Bids and Awards Committee  intends to apply the sum of ONE MILLION SIXTY SIX THOUSA</t>
  </si>
  <si>
    <t xml:space="preserve"> Republic of the Philippines City of Toledo -oOo- BIDS AND AWARDS COMMITTEE ITB  No. I28-03-2020 INVITATION TO BID FOR: Proposed Road Rehabilitation/Improvement @ Sitio Dakit, Brgy. Cambang-ug, Toledo City 1.	The City Government of Toledo under the 20% Dev</t>
  </si>
  <si>
    <t xml:space="preserve"> Republic of the Philippines  Province of Isabela  Municipality of Jones    INVITATION TO BID FOR   Supply of Materials, Labor and Equipment for the Rehabilitation/Construction of  Sports Complex Solicitation No.: Infra-2020-09   		The Municipality of Jone</t>
  </si>
  <si>
    <t xml:space="preserve"> INVITATION TO BID The Nueva Ecija University of Science and Technology through its Bids and Awards Committee (BAC), invites entities to bid for the hereunder projects: 	 Name of Project: UNIVERSAL REFRIGERATION TRAINING SYSTEM Location: College of Industr</t>
  </si>
  <si>
    <t xml:space="preserve"> Supply, Delivery and Configuration of LTE CPE Broadband Device for CTU Flexible Learning System (FLS) with Globe Telecom Network with the following details:  •	Broadband Modem Capable of 4G/LTE SIM •	Must have at least 2 External Antenna support •	With US</t>
  </si>
  <si>
    <t xml:space="preserve"> Various Construction Materials and Supplies  (attached request for quotation)</t>
  </si>
  <si>
    <t xml:space="preserve"> NOTICE OF NEGOTIATED PROCUREMENT (Two Failed Biddings) TO ALL INTERESTED BIDDERS We are pleased to invite you in our negotiation conference for the project requirements requirement To hire contractor to provide materials, labor and equipment for two (2) I</t>
  </si>
  <si>
    <t xml:space="preserve"> 1	set	Digital Repeater  	 	Dual Mode (DMR/Analog) Repeater System with  	 	Repeater Unit, Power Supplies, Tower, Antennas, Cables,  	 	Lightning Surge Protectors, Connectors/ Adapters,   	 	Repeater Cabinet/ Enclosure, Other Accessories, System  	 	Design</t>
  </si>
  <si>
    <t xml:space="preserve"> 2		unit	CONTAINER VAN (Class B Usable Twenty Footer Container Van.)</t>
  </si>
  <si>
    <t xml:space="preserve"> BARANGAY MULTI PURPOSE CENTER CONSTRUCTION FOR VILLA ELIOT AT VILLA ELIOT, PATNONGON, ANTIQUE</t>
  </si>
  <si>
    <t xml:space="preserve"> Republic of the Philippines Province of Quezon Municipality of Macalelon Invitation to Bid for the  ROAD UPGRADING/CONCRETE PAVING P. HERRERA FMR Reference No. 2020-06-312-ME 										June 25, 2020 1.	The LGU - Macalelon, Quezon intends to apply the sum </t>
  </si>
  <si>
    <t xml:space="preserve"> Republic of the Philippines City of Toledo -oOo- BIDS AND AWARDS COMMITTEE ITB  No. I30-03-2020 INVITATION TO BID FOR: Proposed Road Opening (Hospital-Hinulawan Road)Brgy. Poblacion, Toledo City (L=162.00m.;W=15.00m.) 1.	The City Government of Toledo unde</t>
  </si>
  <si>
    <t xml:space="preserve"> food services</t>
  </si>
  <si>
    <t xml:space="preserve"> TWO (2) UNITS MULTI-PURPOSE VEHICLE</t>
  </si>
  <si>
    <t xml:space="preserve"> Procurement of ICT Equipment includes Laptop, I5, with license OS, 4Gb RAM, 1Tb Hdd and Interactive Board with internet port and stand Bid Docs Amount - 2,500.00 Php Pre Bid - July 1, 2020 , 1:30 PM, Quality Assurance Center Submission of Bids - July 13, </t>
  </si>
  <si>
    <t xml:space="preserve"> purchase</t>
  </si>
  <si>
    <t xml:space="preserve"> Republic of the Philippines PROVINCE OF SURIGAO DEL SUR Municipality of Carrascal Barangay Caglayag INVITATION FOR BIDS                      The Barangay Caglayag through its Bids and Awards Committee invites sealed bids from eligible supplier for Constru</t>
  </si>
  <si>
    <t xml:space="preserve"> Republic of the Philippines City of Cagayan de Oro BIDS AND AWARDS COMMITTEE Invitation to Bid  for Proposed Bahay Pag-asa Building (Phase II-A) - (Maitum, Upper Puerto); SN 129 - 2020 ` 1.	The City Government of Cagayan de Oro, through the Trust Fund - D</t>
  </si>
  <si>
    <t xml:space="preserve"> Republic of the Philippines PROVINCE OF CAMIGUIN Mambajao, Camiguin  BIDS AND AWARDS COMMITTEE (BAC) INVITATION TO BID The Provincial Government of Camiguin through its Bids and Awards Committee (BAC) invites all interested and qualified contractors to ap</t>
  </si>
  <si>
    <t xml:space="preserve"> Republic of the Philippines PROVINCE OF BUKIDNON Municipality of Sumilao INVITATION TO BID ITB NO. GS-2020-30 PROCUREMENT OF CONSTRUCTION MATERIALS FOR THE CONSTRUCTION OF SOLAR DRIER AT UPPER PUROK 2- POBLACION, SUMILAO, BUKIDNON June 24, 2020 1.	The Loc</t>
  </si>
  <si>
    <t xml:space="preserve"> Procurement ID/Contract I.D.: 20CN0101 Contract Name: Construction of Municipal Slaughterhouse Contract Location: Baler, Aurora  Brief Description: Earthwork, Civil, Mechanical, Electrical and Sanitary/Plumbing Works; Earthwork, Plain and Reinforced Concr</t>
  </si>
  <si>
    <t xml:space="preserve"> Lot 2 Supply &amp; Delivery of IT Equipment for the use of Procurement Unit</t>
  </si>
  <si>
    <t xml:space="preserve"> Procurement ID/Contract I.D.: 20CN0154 Contract Name: Network Development Program, Off-Carriageway Improvement – Secondary Roads Contract Location: Baler – Casiguran Road (Dinadiawan – Casiguran Section), K0322+404 – K0323+617, K0332+000 – K0333+725, K033</t>
  </si>
  <si>
    <t xml:space="preserve"> L   = 200.00m    W  = 1.00 m   T  = 0.15m TOTAL MATERIALS =  P 142, 426.00 TOTAL LABOR =  P 49, 774.00 Bagger Equipment  = P 7,800.00</t>
  </si>
  <si>
    <t xml:space="preserve"> The project includes: 1. Project Billboard 2. Roadway Excavation 3. Sub-Grade Preparation 4. Aggregate Base Course 5. PCCP 6. RCPC</t>
  </si>
  <si>
    <t xml:space="preserve"> WORKS CONSIST OF GENERAL REQUIREMENTS, MOBILIZATION/DEMOBILIZATION, DEMOLITION/REMOVAL OF EXISTING STRUCTURE, COMMON STRUCTURE EXCAVATION, CONCRETE WORKS (COLUMN FOOTING &amp; WALL FOOTING, COLUMN BEAMS, SLAB, STAIR, RAMP &amp; STIFFENER), STEEL WORKS (COLUMN FOO</t>
  </si>
  <si>
    <t xml:space="preserve"> Republic of the Philippines Province of Oriental Mindoro MUNICIPALITY OF SAN TEODORO INVITATION TO BID FOR THE  CONSTRUCTION OF LINED CANAL No. 2020-09 June 24, 2020 1.The Municipality of San Teodoro intends to apply the sum of One Million, One Hundred Ni</t>
  </si>
  <si>
    <t xml:space="preserve"> Procurement ID/Contract I.D.: 20CN0153 Contract Name: Asset Preservation Program – Rehabilitation/Reconstruction/Upgrading of Damaged Paved Roads – Secondary Roads Contract Location: Baler-Casiguran Rd (Baler-Dinadiawan) - K0232+609 - K0232+773, K0239+773</t>
  </si>
  <si>
    <t xml:space="preserve"> Local Government Unit -VINCENZO SAGUN              Invitation to Bid for [Installation of Street Lighting System, Vincenzo Sagun ZDS] 1.	The Local Government Unit – Vincenzo Sagun Zamboanga del Sur, through the 20% EDF  intends to apply the sum of Two Mil</t>
  </si>
  <si>
    <t xml:space="preserve"> CARLOS HILADO MEMORIAL STATE COLLEGE 		BIDS AND AWARDS COMMITTEE Talisay City, Negros Occidental Telefax Nos. (034) 712-8404 INVITATION TO BID  FOR THE PROCUREMENT OF VARIOUS CONSUMABLES FOR PRINTERS AND PHOTOCOPIER OF THE FOUR (4) CAMPUSES (2ND PUBLICATI</t>
  </si>
  <si>
    <t xml:space="preserve"> Republic of the Philippines Bohol Island State University-Calape Campus Calape, Bohol Invitation to Bid for the Procurement of I.T. Equipment  PRN- 614-2020 1.	The Bohol Island State University Calape Campus,  through the Special Trust Fund (STF) 2020  in</t>
  </si>
  <si>
    <t xml:space="preserve"> Supply of Fuel of various DPWH Vehicles &amp; other Equipment for the 3rd Quarter CY 2020</t>
  </si>
  <si>
    <t xml:space="preserve"> Fabrication and Installation of Stainless Steel Demonstration Tables and Sink for Food Laboratory with Floor Area: Kitchen 1: 8mtrs and 62cm     x 4m and 53.5cm Sink: 5m and 13cm x 60cm x 57cm Kitchen 2: 8mtrs x 4mtrs and 52.5cm Sink: 3m and 66cm x 60.5 c</t>
  </si>
  <si>
    <t xml:space="preserve"> Republic of the Philippines Province of Quezon Municipality of San Francisco   BIDS &amp; AWARDS COMMITTEE INVITATION TO APPLY FOR ELIGIBILITY AND TO BID     The Municipality of San Francisco through 20% Development Fund intends to apply the sum of Five Hundr</t>
  </si>
  <si>
    <t xml:space="preserve"> MUNICIPALITY OF BORBON DESCRIPTION: 10,440 PACKS SQUASH MALUNGGGAY 24G PACK                       NUTRILOVE INSTANT DRY CEREAL (348) CHILDREN X 30 DAYS) 10,440 PACKS MILKY BANANA AND OATS 24G OPACK                      NUTRILOVE INSTANT DRY CEREAL  (348 C</t>
  </si>
  <si>
    <t xml:space="preserve"> Republic of the Philippines Province of Quezon Municipality of San Francisco   BIDS &amp; AWARDS COMMITTEE INVITATION TO APPLY FOR ELIGIBILITY AND TO BID     The Municipality of San Francisco through 20% Development Fund intends to apply the sum of One Millio</t>
  </si>
  <si>
    <t xml:space="preserve"> INVITATION TO BID FOR THE IMPROVEMENT/CONCRETING OF CADLIT ROAD Brgy. Cadlit, Buenavista, Quezon 1.	The Municipal Government of Buenavista, Quezon, through the 20% Development  Fund intends to apply the sum of One Million Seven Hundred Three Thousand Six </t>
  </si>
  <si>
    <t xml:space="preserve"> Republic of the Philippines Bohol Island State University-Calape Campus Calape, Bohol Invitation to Bid for the Procurement of Office Supplies for Instructional Materials PRN- 615-2020 1.	The Bohol Island State University Calape Campus,  through the Speci</t>
  </si>
  <si>
    <t xml:space="preserve"> CONSTRUCTION OF TWO-STOREY, 6 CLASSROOMS SCHOOL BUILDING</t>
  </si>
  <si>
    <t xml:space="preserve"> INVITATION TO BID FOR SUPPLY AND DELIVERY OF VARIOUS WATER SERVICE CONNECTION MATERIALS FOR INSTALLATION OF 75MM DIA. UPVC DISTRIBUTION LINE FOR EXPANSION PROJECTS AT KALIBO, BANGA &amp; NEW WASHINGTON AREAS 1.	The METRO KALIBO WATER DISTRICT, through the Cor</t>
  </si>
  <si>
    <t xml:space="preserve"> INVITATION TO BID  Purchase &amp; Delivery of Various Medical, Dental &amp; Laboratory Supplies for Maitum MH (Re-bid) June 25, 2020 1.	The Provincial Government of Sarangani, through the Trust Fund – Philhealth Collection  intends to apply the sum of Two Hundred</t>
  </si>
  <si>
    <t xml:space="preserve"> Republic of the Philippines Province of Leyte MUNICIPALITY OF HILONGOS Invitation to Bid  1.	The  Local Government Unit of Hilongos  through its Bids and Awards Committee (BAC), hereby invites Domestic Contractors registered with and classified by the Phi</t>
  </si>
  <si>
    <t xml:space="preserve"> Republic of the Philippines Office of the Punong Barangay BIDS AND AWARDS COMMITTEE Callitong, Burgos, Ilocos Sur INVITATION TO BID The Barangay Government of Callitong, Burgos, Ilocos Sur, through its Bids and Awards Committee (BAC) invites bids for the </t>
  </si>
  <si>
    <t xml:space="preserve"> Bicol Medical Center Concepcion Pequeña, Naga City, 4400 (0998-247-0239/0906-256-9238          E-mail Address: bmc.bacoffice@gmail.com INIVITATION TO BID PROCUREMENT OF CARDIAC SURGERY INSTRUMENTS ITB No. 2020-15 1.	The BICOL MEDICAL CENTER, through INCOM</t>
  </si>
  <si>
    <t xml:space="preserve"> 1st Quarter Supply ( BUSCO CES) 2020</t>
  </si>
  <si>
    <t xml:space="preserve"> REPAIR AND MAINTENANCE OF BARANGAY HALL OF BRGY. MAPULO</t>
  </si>
  <si>
    <t xml:space="preserve"> INVITATION TO BID FOR THE IMPROVEMENT/CONCRETING OF CAWA-CABONG ROAD Brgy. Cawa-Cabong, Buenavista, Quezon 1.	The Municipal Government of Buenavista, Quezon, through the 20% Development  Fund intends to apply the sum of One Million Pesos (P1,000,000.00) b</t>
  </si>
  <si>
    <t xml:space="preserve"> Please download and then print the attached Invitation to Bid (ITB) for more details and for your reference. To view this attachment, just click “ORDER” opposite the ASSOCIATED COMPONENTS. TOTAL APPROVED BUDGET FOR THE CONTRACT (ABC): ₱2,000,000.00</t>
  </si>
  <si>
    <t xml:space="preserve"> Date of Bidding: July 10,2020 Time of Bidding: 10:00 a.m Place of Bidding: Multi-Purpose Hall,Brgy.Sto.Rosario,Anilao,Iloilo 72 heads Piglets ( at least at the average of 10-12 kgs body weight)</t>
  </si>
  <si>
    <t xml:space="preserve"> 5,000 pcs. BIRTHDAY CAKE</t>
  </si>
  <si>
    <t xml:space="preserve"> Installation and Implementation of pre-developed and customized Application Systems for establishment of centralized Data Banking System Website for International Connection of the City Government of Dipolog(Electronic Government Application Systems) -Pha</t>
  </si>
  <si>
    <t xml:space="preserve"> please download bidding documents</t>
  </si>
  <si>
    <t xml:space="preserve"> Please download and then print the attached Invitation to Bid (ITB) for more details and for your reference. To view this attachment, just click “ORDER” opposite the ASSOCIATED COMPONENTS. TOTAL APPROVED BUDGET FOR THE CONTRACT (ABC): ₱500,000.00</t>
  </si>
  <si>
    <t xml:space="preserve"> CONSTRUCTION OF 2-STOREY 4-CLASSROOMS AND 1-STOREY, 2-CL. CLASSROOMS SCHOOL BUILDINGS</t>
  </si>
  <si>
    <t xml:space="preserve"> INVITATION TO BID  1.	The DPWH-Samar First District Engineering Office, Calbayog City , through the Sub-Allotment Advice No. SR2020-02-000836 intends to apply the sum of Four Million Six Hundred Twenty Three Thousand Five Hundred Pesos (4,623,500.00)  Onl</t>
  </si>
  <si>
    <t xml:space="preserve"> 1.	The Provincial Government of Davao del Norte, through General Fund Annual Budget CY 2020 hereby invites all interested PhilGEPS registered suppliers to submit bids for the procurement of goods. Bids received in excess of the ABC shall be automatically </t>
  </si>
  <si>
    <t xml:space="preserve"> The Local  Government   Unit  of General  Santos  City, through  the  GENERAL FUND CY 2020  intends  to apply  the sum of one million two hundred eighty one thousand four hundred ten and 80 / 100 Pesos Only (1,281,410.80)   being  the Approved  Budget  fo</t>
  </si>
  <si>
    <t xml:space="preserve"> I. GENERAL REQUIREMENTS 1 LOT  II. EARTHWORKS 124.00 SQ.M. III. CONCRETE WORKS (INCLUDES RAMP ON FILL) 34.70 CU.M. IV. FORMWORKS 130.33 SQ.M. V. REINFORCING STEEL BARS 2,751.66 KG. VI. MASONRY WORKS (PLANT BOX) 223.32 SQ.M. VII. DOORS AND WINDOWS 1 LOT VI</t>
  </si>
  <si>
    <t xml:space="preserve"> INVITATION TO BID FOR THE IMPROVEMENT/CONCRETING OF SITIO YABAAN ROAD Brgy. Maligaya, Buenavista, Quezon 1.	The Municipal Government of Buenavista, Quezon, through the 20% Development  Fund intends to apply the sum of One Million Five Hundred Pesos (P1,50</t>
  </si>
  <si>
    <t xml:space="preserve"> The Local  Government   Unit  of General  Santos  City, through  the  GENERAL FUND CY 2020  intends  to apply  the sum of two hundred sixty thousand and xx / 100 Pesos Only (260,000.00)   being  the Approved  Budget  for the Contract   (ABC) to payments  </t>
  </si>
  <si>
    <t xml:space="preserve"> INVITATION TO BID FOR THE INITIAL CONSTRUCTION OF STANDARD DAY CARE CENTER Brgy. Masaya, Buenavista, Quezon 1.	The Municipal Government of Buenavista, Quezon through the 20% Development Fund and LCPC Fund intends to apply the sum of Five Hundred Thousand </t>
  </si>
  <si>
    <t xml:space="preserve"> The Local  Government   Unit  of General  Santos  City, through  the  GENERAL FUND CY 2020  intends  to apply  the sum of one hundred eight thousand four hundred and xx / 100 Pesos Only (108,400.00)   being  the Approved  Budget  for the Contract   (ABC) </t>
  </si>
  <si>
    <t xml:space="preserve"> The Local  Government   Unit  of General  Santos  City, through  the  GENERAL FUND CY 2020  intends  to apply  the sum of three hundred thousand and xx / 100 Pesos Only (300,000.00)   being  the Approved  Budget  for the Contract   (ABC) to payments  unde</t>
  </si>
  <si>
    <t xml:space="preserve"> The Local  Government   Unit  of General  Santos  City, through  the  GENERAL FUND CY 2020  intends  to apply  the sum of thirty five thousand and xx / 100 Pesos Only (35,000.00)   being  the Approved  Budget  for the Contract   (ABC) to payments  under  </t>
  </si>
  <si>
    <t xml:space="preserve"> HOP-QR-PRO-005 Republic of the Philippines Department of Health DAVAO REGIONAL MEDICAL CENTER Apokon, Tagum City BIDS AND AWARDS COMMITTEE INVITATION TO BID FOR THE SUPPLY &amp; DELIVERY OF PHACOEMULSIFICATION-VITRECTOMY MACHINE 1.	The Davao Regional Medical </t>
  </si>
  <si>
    <t xml:space="preserve"> Printing of Tarpaulin (COVID-19 Advocacy) 2 pcs printing of 8X6 Feet COVID-19 Advocacy Tarpaulin</t>
  </si>
  <si>
    <t xml:space="preserve"> item no.       quantity         unit              description  1.                    10             pcs.          electrical tape  2.                    100           pcs.          LED Bulb 9 watts  3.                    50             pcs.          recep</t>
  </si>
  <si>
    <t xml:space="preserve"> Order/download attached Invitation to Bid and print-out Abstract of bids from Philgeps.</t>
  </si>
  <si>
    <t xml:space="preserve"> 1		unit		BRAND NEW SIX WHEELER MEAT VAN TRUCK 	 					- 4X2, Non Refrigerated Aluminum Van Back Door Type, 4 cylinder in  					line, water cooled Turbo-intercooler, common rail direct injection, Diesel 					Engine w/ Engine Power ranges from 170HP to 190HP</t>
  </si>
  <si>
    <t xml:space="preserve"> I. PURCHASE OF MATERIALS AND INSTALLATION OF LIGHTS 1 LOT</t>
  </si>
  <si>
    <t xml:space="preserve"> The Local  Government   Unit  of General  Santos  City, through  the  GENERAL FUND CY 2020  intends  to apply  the sum of two hundred forty four thousand eight hundred twenty five and xx / 100 Pesos Only (244,825.00)   being  the Approved  Budget  for the</t>
  </si>
  <si>
    <t xml:space="preserve"> Contract ID: 20GKK0032 Contract Name: Supply and Delivery of Fuel to be used by DPWH-MOFDEO Service Vehicle and Equipment of All Section Contract Location: DPWH-MOFDEO, Gingoog City Brief Description of Goods to be procured: Gasoline and Diesoline Approve</t>
  </si>
  <si>
    <t xml:space="preserve"> OPENING OF BIDS IN DSWD FO IX DELIVERY IN HOME FOR WOMEN MAMPANG ZC		 PROCUREMENT FOR THE FF.: 1 LOT PERSONAL APPARELS		 125	PCS	JOGGING PANTS 125	PCS	SANDO FOR GIRLS (ASST. SIZES S-XXL) 125	PCS	PAJAMA TERNO (ASST. SIZES S, M, L, XL, XXL) 100	DOZEN	UNDERW</t>
  </si>
  <si>
    <t xml:space="preserve"> INVITATION TO BID FOR THE INITIAL CONSTRUCTION OF STANDARD DAY CARE CENTER Brgy. San Pablo, Buenavista, Quezon 1.	The Municipal Government of Buenavista, Quezon through the 20% Development Fund intends to apply the sum of Five Hundred Thousand Pesos (P500</t>
  </si>
  <si>
    <t xml:space="preserve"> Republika ng Pilipinas BAYAN NG CORTES Surigao del Sur BIDS AND AWARDS COMMITTEE 						           June 25, 2020 INVITATION TO BID FOR Equipment to be use in the Computerization Program (RPTAS) Phase 1    	The Local Government Unit of Cortes through LGU PR</t>
  </si>
  <si>
    <t xml:space="preserve"> INVITATION TO BID  FOR THE Supply and Delivery of Various Drugs and Medicines I.B. No. 2020 - 0028 							 1. The LGU-Cabanatuan City, through the General Fund FY 2020 intends to apply the sum of One Million Five Hundred Fifty Thousand Four Hundred Ten Pe</t>
  </si>
  <si>
    <t xml:space="preserve"> INVITATION TO BID FOR THE PURCHASE OF PURCHASE OF ONE (1) UNIT AMBULANCE FOR THE USE OF LGU-HINIGARAN, NEGROS OCCIDENTAL 1.	The Local Government Unit of Hinigaran, through  Capital Outlay (Office of the Municipal Mayor)  intends to apply the sum of P 1,90</t>
  </si>
  <si>
    <t xml:space="preserve"> The Local  Government   Unit  of General  Santos  City, through  the  GENERAL FUND CY 2020  intends  to apply  the sum of one hundred forty thousand and xx / 100 Pesos Only (140,000.00)   being  the Approved  Budget  for the Contract   (ABC) to payments  </t>
  </si>
  <si>
    <t xml:space="preserve"> The Local  Government   Unit  of General  Santos  City, through  the  GENERAL FUND CY 2020  intends  to apply  the sum of one million two hundred eighty eight thousand one hundred seventy three and xx / 100 Pesos Only (1,288,173.00)   being  the Approved </t>
  </si>
  <si>
    <t xml:space="preserve"> PES Purchase of Office Supplies 2020-Supplemental for ABC Php 162,000.00 600	reams	Bond paper, Long Size	 35	bot	Ink  (Black) for Epson L003	 35	bot	Ink  (Magenta) for Epson L003	 30	bot	Ink (Cyan) for Epson L003	 30	bot	Ink (Yellow) for Epson L003</t>
  </si>
  <si>
    <t xml:space="preserve"> 2 units of Epson printer to be used for the reproduction of Modules.</t>
  </si>
  <si>
    <t xml:space="preserve"> Supply and Delivery of Materials to be used in Military, Police, and Security Equipment.</t>
  </si>
  <si>
    <t xml:space="preserve"> QTY	UNIT	ITEM DESCRIPTION 		  92.29 	sq.m.	Siteworks  171.76 	sq.m.	Scaffolding &amp; Formworks  3,692.72 	kg/s	Steel Reinforcement Works  28.30 	cu.m.	Concrete Works  244.95 	sq.m.	Masonry Works  113.70 	sq.m.	Roof &amp; Roof Framing Works  12.81 	sq.m.	Fabricat</t>
  </si>
  <si>
    <t xml:space="preserve"> The Local  Government   Unit  of General  Santos  City, through  the  DEPED SEF  CY 2020  intends  to apply  the sum of five million nine hundred eighty eight thousand and xx / 100 Pesos Only (5,988,000.00)   being  the Approved  Budget  for the Contract </t>
  </si>
  <si>
    <t xml:space="preserve"> Pansoy, Sogod, Cebu						Contract Ref. No.-01P-2020 Construction of Two (2) Storey Multi Purpose Building, Pansoy, Sogod, Cebu 		 Standard Form Number: SF-INFR-05 Revised on: July 29, 2004 INVITATION TO BID   The Pansoy, Sogod, Cebu  through its Bids and </t>
  </si>
  <si>
    <t xml:space="preserve"> The Local  Government   Unit  of General  Santos  City, through  the  GENERAL FUND CY 2020  intends  to apply  the sum of one million five hundred forty eight thousand three hundred fourteen and xx / 100 Pesos Only (1,548,314.00)   being  the Approved  Bu</t>
  </si>
  <si>
    <t xml:space="preserve"> Ref. Nos./PR Nos./Description: INFRA2020-AG2-007 Supply of Labor and Materials for Repair of Employees Housing Quarter Two (2) Units at NPC Compound, Pawak, Saguiaran, Lanao del Sur and MRSQ, Maria Cristina, Iligan City Repair of Housing No. 12-B-Duplex (</t>
  </si>
  <si>
    <t xml:space="preserve"> Republic of the Philippines Province of Ilocos Sur Municipality of Santa Barangay Calungboyan Invitation to Bid Construction of Multi-Purpose Hall Php 247,016.60 A. Materials lot description qty bag cement 50 cu.m gravel  9 cu.m sand    9 pcs 2x4x12 Good </t>
  </si>
  <si>
    <t xml:space="preserve"> The Local  Government   Unit  of General  Santos  City, through  the  GENERAL FUND CY 2020  intends  to apply  the sum of two million five hundred three thousand one hundred twenty and xx / 100 Pesos Only (2,503,120.00)   being  the Approved  Budget  for </t>
  </si>
  <si>
    <t xml:space="preserve"> Republic of the Philippines Department of Health DAVAO REGIONAL MEDICAL CENTER Apokon, Tagum City BIDS AND AWARDS COMMITTEE INVITATION TO BID FOR THE SUPPLY &amp; DELIVERY OF MEDICAL EQUIPMENT &amp; INSTRUMENTS FOR ORTHOPEDIC USE 1.	The Davao Regional Medical Cen</t>
  </si>
  <si>
    <t xml:space="preserve"> Date of Bidding: July 10, 2020 Time of Bidding: 9:00 a.m Place of Bidding: Multi-Purpose Hall, Brgy. San Carlos,Anilao,Iloilo MATERIALS: 154	bags	Cement			 15	cu.m	Sand			 24	cu.m	Gravel			 188	pcs	RSB -12mmØx6m			 114	pcs	Rough Lumber 2"x2"x8"			 5	pcs	H</t>
  </si>
  <si>
    <t xml:space="preserve"> QTY	UNIT	ITEM DESCRIPTION 		  20.13 	cu.m.	Concrete Works  139.24 	sq.m.	Masonry Works  124.80 	sq.m.	Roofing Works  14.00 	set/s	Installation of Doors  8.00 	sq.m.	Installation of Windows  1.00 	l.s.	Plumbing Works  1.00 	l.s.	Electrical Works  72.96 	sq</t>
  </si>
  <si>
    <t xml:space="preserve"> Concreting of Access Road to Police and Health Station Aggregate Base Course	 360.00 	 cu.m.  Portland Cement Concrete Pavement	 655.32 	 cu.m.  Structural Concrete	 39.00 	 cu.m.  Formworks	 840.00 	 sq.m  Sub-Project Billboard	 1.00 	 Unit</t>
  </si>
  <si>
    <t xml:space="preserve"> The Local  Government   Unit  of General  Santos  City, through  the  GENERAL FUND CY 2020  intends  to apply  the sum of one million four hundred thirty thousand and xx / 100 Pesos Only (1,430,000.00)   being  the Approved  Budget  for the Contract   (AB</t>
  </si>
  <si>
    <t xml:space="preserve"> Republic of the Philippines MUNICIPALITY OF MARIHATAG SURIGAO DEL SUR Bids and Awards Committee   INVITATION TO BID      COMPLETION OF VIEW DECK TREEPARK                                                                                                      </t>
  </si>
  <si>
    <t xml:space="preserve"> The Local  Government   Unit  of General  Santos  City, through  the  GENERAL FUND CY 2020  intends  to apply  the sum of four million five hundred fifty four thousand three hundred fifteen and xx / 100 Pesos Only (4,554,315.00)   being  the Approved  Bud</t>
  </si>
  <si>
    <t xml:space="preserve"> purchase of  assorted Medical supplies, Health products and PPE's  chargeable to school MOOE's</t>
  </si>
  <si>
    <t xml:space="preserve"> REPAIR/REHABILITATION</t>
  </si>
  <si>
    <t xml:space="preserve"> The Local  Government   Unit  of General  Santos  City, through  the  GENERAL FUND CY 2020  intends  to apply  the sum of four million three hundred ninety one thousand four hundred fifty and xx / 100 Pesos Only (4,391,450.00)   being  the Approved  Budge</t>
  </si>
  <si>
    <t xml:space="preserve"> INVITATION TO BID The DPWH-Tarlac 1st District Engineering Office, through its Bids and Awards Committee (BAC), invites contractors to submit bids for the following Contract: 			 a.	Procurement ID/Contract ID 	: 	20CJ0154  	Contract Name 	: 	Repair/ Maint</t>
  </si>
  <si>
    <t xml:space="preserve"> QTY	UNIT	ITEM DESCRIPTION 		  1.00 	l.s.	Mobilization/Demobilization  22.00 	unit/s	Construction of Manhole with Cover  118.00 	pc/s	Reinforced Concrete Pipe Culvert Laying  70.00 	lmtr	Construction of Line Canal I  170.00 	lmtr	Construction of Line Canal</t>
  </si>
  <si>
    <t xml:space="preserve"> INVITATION TO BID  FOR THE Supply and Delivery of Anti Rabies Vaccine I.B. No. 2020 - 0031 							 1. The LGU-Cabanatuan City, through the General Fund FY 2020 intends to apply the sum of One Million Seven Hundred Ninety-Five Thousand Five Hundred Pesos (</t>
  </si>
  <si>
    <t xml:space="preserve"> TO : ALL BIDDERS WHAT : Schedule for the bid; WHEN : July 15, 2020 @ 9:00 A.M. WHERE : Multi-Purpose Hall, 2nd Floor, Left Wing, Bogo City Hall, Cayang, Bogo City, Cebu Attention: All Bidders 1) You are required to bring Universal Serial Bus (USB) Flash D</t>
  </si>
  <si>
    <t xml:space="preserve"> Date of Bidding: July 10,2020 Time of Bidding: 10:00 a.m Place of Bidding: Multi-Purpose Hall,Brgy. San Carlos,Anilao,Iloilo MATERIALS: 65	bags	Cement			 12	cu.m	Sand and gravel mixed			 44	pcs	RSB -9mmØx6m			 27	pcs	RSB -10mmØx6m			 6	pcs	Ordinary Plywoo</t>
  </si>
  <si>
    <t xml:space="preserve"> The Municipality of Tanza, Cavite, through its Bids and Awards Committee (BAC), invites suppliers/manufacturers/distributor/contractors to apply for eligibility and to bid for the hereunder project: 	Name of Project	: PROCUREMENT OF TWO (2) UNITS SPORTS U</t>
  </si>
  <si>
    <t xml:space="preserve"> INVITATION TO BID (CW-06-2020-021) The Department of Public Works and Highways (DPWH)-Batangas IV District Engineering Office, Marawoy, Lipa City, Batangas, through its Bids and Awards Committee (BAC), invites contractors to bid for the contract listed be</t>
  </si>
  <si>
    <t xml:space="preserve"> INVITATION TO BID FOR THE SUPPLY, DELIVERY AND INSTALLATION OF EQUIPMENT FOR THE BIOACTIVE EXTRACTS PROJECT- Dual Channel Flash Chromatograph The University of the Philippines Mindanao, through the GAA 2019, intends to apply the sum of Three Million Eight</t>
  </si>
  <si>
    <t xml:space="preserve"> Fabrication and installation of concrete road right-of-way markers.</t>
  </si>
  <si>
    <t xml:space="preserve"> MUNICIPALITY OF QUEZON Province of Quezon INVITATION TO BID Date	: June 29, 2020 The Municipality of Quezon, through its Bids and Awards Committee (BAC), invites supplier/manufactures/distributors/contractors to apply for eligibility and to bid for the he</t>
  </si>
  <si>
    <t xml:space="preserve"> Item			 No.	Qty	Unit	            Items/Description 			 1	7,225	cu m	Common borrow Item 104</t>
  </si>
  <si>
    <t xml:space="preserve"> Republic of the Philippines Department of Public Works and Highways DAVAO ORIENTAL FIRST DISTRICT ENGINEERING OFFICE REGION XI Lucod, Baganga, Davao Oriental INVITATION TO BID ITB No. 2020-036 1.	The Department of Public Works and Highways Davao Oriental </t>
  </si>
  <si>
    <t xml:space="preserve"> INVITATION TO BID  FOR THE Supply and Delivery of Medical Supplies I.B. No. 2020 - 0029 							 1. The LGU-Cabanatuan City, through the General Fund FY 2020 intends to apply the sum of One Million Three Hundred Thirty-Seven Thousand Six Hundred Thirty Pes</t>
  </si>
  <si>
    <t xml:space="preserve"> Republic of the Philippines PROVINCE OF PAMPANGA City of San Fernando INVITATION TO BID NO. 2020-19 MEDIC-BAC INVITATION TO BID FOR PURCHASE REQUEST NO. 20-1488 and 20-1487 The Provincial Government of Pampanga (“Province”) intends to apply the following </t>
  </si>
  <si>
    <t xml:space="preserve"> General Requirements	1	lot Earthworks	124	sq.m. Concreting Works (includes ramp on fill)	34.7	cu.m. Formworks	130.33	sq.m. Reinforcing Steel Bars	 2,751.66 	kgs. Masonry Works (with plant boxes)	223.32	sq.m. Doors &amp; Windows	 1.00 	lot Steel Works	 2,690.0</t>
  </si>
  <si>
    <t xml:space="preserve"> The Local  Government   Unit  of General  Santos  City, through  the  GENERAL FUND CY 2020  intends  to apply  the sum of three million eight hundred ninety four thousand one hundred five and 88 / 100 Pesos Only (3,894,105.88)   being  the Approved  Budge</t>
  </si>
  <si>
    <t xml:space="preserve"> Republic of the Philippines DEPARTMENT OF HEALTH WESTERN VISAYAS Center for Health Development INVITATION TO BID FOR THE  Rebidding of Drugs and Medicines,  IB No. SB-2020-013 1.	The Department of Health – WV CHD, through the PHM CONAP 2019, CONAP SA-2019</t>
  </si>
  <si>
    <t xml:space="preserve"> 1.	The Municipality of Daram, through the General Fund-2020 intends to apply the sum of One Million Pesos (P1,000,000.00) being the Approved Budget for the Contract (ABC) to payments under the contract for the Supply and Delivery of 500pcs. Toilet Bowl an</t>
  </si>
  <si>
    <t xml:space="preserve"> Republic of the Philippines Province of Surigao del Sur Municipality of Tago ---ooo0ooo--- Invitation to Bid Improvement of Gamut Public Market and Parking Area  Project ID No. TAG-SDS-058-2020 The Local Government Unit of Tago, Surigao del Sur invites se</t>
  </si>
  <si>
    <t xml:space="preserve"> INVITATION TO BID  FOR THE Supply and Delivery of Drugs and Medicines I.B. No. 2020 - 0032 							 1. The LGU-Cabanatuan City, through the General Fund FY 2020 intends to apply the sum of One Million Five Hundred Eighty-Six Thousand One Hundred Twelve Pes</t>
  </si>
  <si>
    <t xml:space="preserve"> The Municipality of Tanza, Cavite, through its Bids and Awards Committee (BAC), invites suppliers/manufacturers/distributor/contractors to apply for eligibility and to bid for the hereunder project: 	Name of Project	: PROCUREMENT OF TWO (2) UNITS PASSENGE</t>
  </si>
  <si>
    <t xml:space="preserve"> Republic of the Philippines PROVINCE OF CAMIGUIN Mambajao, Camiguin BIDS AND AWARDS COMMITTEE (BAC) INVITATION TO BID The Provincial Government of Camiguin through its Bids and Awards Committee (BAC) invites all interested and qualified bidders/suppliers </t>
  </si>
  <si>
    <t xml:space="preserve"> INVITATION TO BID The DPWH Isabela 4th District Engineering Office through its Bids and Awards Committee (BAC), invites contractors to submit bids for the following Contract: Procurement ID / Contract ID			: 20BH0143 Contract Name/                        </t>
  </si>
  <si>
    <t xml:space="preserve"> Invitation to Bid   Procurement of WORKS:  Construction of NEAP Communal Comfort Room 1.	The Department of Education Regional Office No.2, through the NEAP-R Funds   intends to apply the sum of One Million Four Hundred Seventy Four Thousand Five Hundred F</t>
  </si>
  <si>
    <t xml:space="preserve"> Invitation to Bid 1.	The MUNICIPAL GOVERNMENT OF SAN VICENTE, PALAWAN, through the 20% Development Fund CY 2020 intends to apply the sum of  ONE MILLION NINE HUNDRED FIVE THOUSAND PESOS (Php 1,905,000.00) being the Approved Budget for the Contract (ABC) t</t>
  </si>
  <si>
    <t xml:space="preserve"> Republicof the Philippines PROVINCEOFAGUSAN DEL SUR Municipality of San Luis Barangay MURITULA Invitation to Bid SUPPLY AND DELIVERY OF HARDWARE MATERIALS FOR THE CONST. OF MULTI-PURPOSE BLDG. 1. The Barangay government of Muritula, San Luis, Agusan del S</t>
  </si>
  <si>
    <t xml:space="preserve"> Municipality of Dolores, Quezon INVITATION TO BID FOR THE IMPROVEMENT OF PUBLIC CEMETERY (VETERANS), BRGY. BAYANIHAN, DOLORES, QUEZON The LGU, through  the General Fund (20% DF)  –intends to apply the sum of  One Million Two  Hundred  Twenty Six Thousand </t>
  </si>
  <si>
    <t xml:space="preserve"> ALBAY 3RD DISTRICT ENGINEERING OFFICE																											 Paulog, Ligao City																											 																											 INVITATION TO BID																											 																											 The DPWH - Albay 3rd District Engineering O</t>
  </si>
  <si>
    <t xml:space="preserve"> Republic of the Philippines Province of Cotabato Municipality of Antipas BIDS AND AWARDS COMMITTEE INVITATION TO BID FOR Supply and Delivery of Goods for Integrated Community Food Production 1.	The Municipal Government of Antipas, through the Trust Fund i</t>
  </si>
  <si>
    <t xml:space="preserve"> 1. The Provincial Government of Davao del Norte, through 20% DF CY 2019, 20% DF CY 2020 and 20% DF (Peace and Order Program), intends to apply the sum of Nine Million Three Hundred Ninety Six Thousand One Hundred Eighty Four and 22/100 Pesos (Php 9,396,18</t>
  </si>
  <si>
    <t xml:space="preserve"> Republic of the Philippines Province of Surigao del Sur Municipality of Tago ---ooo0ooo--- Invitation to Bid Construction of Operation Center Building (MDRRMO) Project ID No. TAG-SDS-059-2020 The Local Government Unit of Tago, Surigao del Sur invites seal</t>
  </si>
  <si>
    <t xml:space="preserve"> Supply, Delivery &amp; Installation of 11-unit Aircon for the New Mayor's Office &amp; Executive Hall 7 units Ceiling Mounted Aircon 4HP 1 unit Split Type Aircon 1HP 3 units Floor Standing Aircon 3TR Installation, Chipping Restoration and Start Up &amp; Commissioning</t>
  </si>
  <si>
    <t xml:space="preserve"> Zone 5 c/o Romano Compound Barangay Abella, Naga City</t>
  </si>
  <si>
    <t xml:space="preserve"> Movable Stage</t>
  </si>
  <si>
    <t xml:space="preserve"> Date of Bidding: July 10,2020 Time of Bidding: 11:00 a.m Place of Bidding: Multi-Purpose Hall,Brgy.Sto,Rosario,Anilao,Iloilo 36 SACKS HOG STARTER (59KG/SACK) 36 SACKS X4.8 HOG GROWER (50KG/SACK) 36 SACKS FINISHER (50KG/SACK) DEWORMER AND VITAMINS: 36 BOTT</t>
  </si>
  <si>
    <t xml:space="preserve"> Republic of the Philippines DEPARTMENT OF HEALTH WESTERN VISAYAS Center for Health Development INVITATION TO BID FOR THE  Procurement of NAAT – LAMP Reagents and Consumables, IB No. SB-2020-022 1.	The Department of Health – WV CHD, through the SAA-20-04-0</t>
  </si>
  <si>
    <t xml:space="preserve"> INVITATION TO BID   Procurement of Goods:  SUPPLY and DELIVERY of Various Office Equipment for the newly constructed ELC Extension Building 1.	The Department of Education, Regional Office 02, through the NEAP-R Funds   intends to apply the sum of One Mill</t>
  </si>
  <si>
    <t xml:space="preserve"> INVITATION TO BID Purchase and Delivery of Cell Cards for the Month of July to December 2020  ITB 2020-06-035(GOODS) 1. 	The Municipality of Tuba, through the Budget for the contract approved by the Sangguniang Bayan for CY 2020 intends to apply the sum o</t>
  </si>
  <si>
    <t xml:space="preserve"> REPUBLIC OF THE PHILIPPINES   DEPARTMENT OF AGRARIAN REFORM   Tunay na Pagbabago sa Repormang Agraryo Project Reference No. NO-2020-012 INVITATION TO BID  “Procurement of Farm Machineries and Equipment  For Major Crop Based Block Farm Productivity for DAR</t>
  </si>
  <si>
    <t xml:space="preserve"> INVITATION TO BID FOR  “Procurement of Various Semi-Expendables” 1.	The DOH-Treatment and Rehabilitation Center-Bataan, through the General Appropriation Act intends to apply the sum of Five Hundred Fifty Thousand Seventy-two pesos and 20/100 Only (Php 55</t>
  </si>
  <si>
    <t xml:space="preserve"> Republic of the Philippines DEPARTMENT OF PUBLIC WORKS AND HIGHWAYS LAGUNA I  DISTRICT ENGINEERING OFFICE REGIONAL OFFICE NO. IV-A Santa Cruz, Laguna 									June 24, 2020 NOTICE OF PROCUREMENT THROUGH ALTERNATIVE METHOD 	Notice is given that the DPWH-La</t>
  </si>
  <si>
    <t xml:space="preserve"> MODULE 1 = Tarragona, Caraga, Banganga, Cateel and Boston- No. of Hectares 194.7063 ABC Php739,884.02 MODULE 2 = Manay  -  No. of Hectares 366.2068 ABC Php1,391,585.94 MODULE 3 = Banaybanay, Gov. Generoso and Lupon -No. of Hectares -225.4345 ABC Php856,65</t>
  </si>
  <si>
    <t xml:space="preserve"> INVITATION TO BID (RE-BID) A.	The DPWH, Negros Oriental 1st District Engineering Office, Tinaogan, Bindoy, Negros Oriental now invites contractors to apply to bid for the contract(s); Contract ID # 		20HJ0119 Contract Name 	Repair and Rehabilitation of In</t>
  </si>
  <si>
    <t xml:space="preserve"> Republic of the Philippines Province of Surigao del Sur Municipality of Tago ---ooo0ooo--- Invitation to Bid Installation of Street Light from Crossing Victoria – Purisima Road section w/ center Island  Project ID No. TAG-SDS-061-2020 The Local Government</t>
  </si>
  <si>
    <t xml:space="preserve"> Republika ng Pilipinas PAMAHALAANG LUNGSOD NG TACLOBAN (City Government of Tacloban) Kanhuraw Hill, Tacloban City 6500 BIDS AND AWARDS COMMITTEE INVITATION TO BID  REF #043-06-2020 (JUNE 25, 2020) PR# 2020-696 DATED 06-15-2020 7066468 The Procuring Entity</t>
  </si>
  <si>
    <t xml:space="preserve"> Republic of the Philippines Province of Cebu Municipality of Malabuyoc BIDS AND AWARDS COMMITTEE INVITATION TO APPLY FOR ELIGIBILITY AND TO BID Advertisement No. 2020-4 The Municipality of Malabuyoc, through its Bids and Awards Committee (BAC), invites co</t>
  </si>
  <si>
    <t xml:space="preserve"> REPUBLIC OF THE PHILIPPINES   DEPARTMENT OF AGRARIAN REFORM   Tunay na Pagbabago sa Repormang Agraryo Project Reference No. NO-2020-011 INVITATION TO BID  “Procurement of Farm Machineries and Equipment  For Major Crop Based Block Farm Productivity for DAR</t>
  </si>
  <si>
    <t xml:space="preserve"> 1. The Polomolok Water District now invites Bids from MANUFACTURERS/SUPPLIERS &amp; ELIGIBLE BIDDERS for the Supply, Delivery and Commissioning of Generator Sets and Automatic Transfer Switch for PS No. 9 and No 9A with an approved budget amounting to PhP 950</t>
  </si>
  <si>
    <t xml:space="preserve"> National Power Corporation INVITATION TO BID PUBLIC BIDDING 2020-0138 1.	The NATIONAL POWER CORPORATION (NPC), through       its        approved       Corporate Budget of CY 2020 intends to apply   the   sum   of (Please see schedule below) being the Appr</t>
  </si>
  <si>
    <t xml:space="preserve"> Ref.No./PR No./Description:  INFRA2020-AG6-008/MG-A7C20-016/A6 Construction of Concrete Barrier Below Access Road Area, Agus 6/7 HEPC, Fuentes, Maria Cristina, Iligan City 1. Clearing and Site Preparation  2. Earthworks  3. Reinforcement Steel Works DSB  </t>
  </si>
  <si>
    <t xml:space="preserve"> INVITATION TO BID The Department of Public Works and Highways - Pampanga 1st District Engineering Office, through its Bids and Awards Committee (BAC), invites contractors to submit bids for the following Contract: 1.	 Procurement ID/Contract ID	:	20CG0158</t>
  </si>
  <si>
    <t xml:space="preserve"> COMPLETION OF OTOP CENTER- SINAIT, I. SUR I	Painting Works II	Tile Works III.	Ceiling Works SPL	Construction Safety &amp; Health IMPROVEMENT OF MULTI-PURPOSE BUILDING- Brgys. Calanutian, Zapat, Tubigay, Ricudo, Binacud &amp; Masadag, Sinait, Ilocos Sur I	Painting</t>
  </si>
  <si>
    <t xml:space="preserve"> Republic of the Philippines Province of Cebu Municipality of Malabuyoc BIDS AND AWARDS COMMITTEE INVITATION TO APPLY FOR ELIGIBILITY AND TO BID Advertisement No. 2020-5 The Municipality of Malabuyoc, through its Bids and Awards Committee (BAC), invites co</t>
  </si>
  <si>
    <t xml:space="preserve"> LOT NO.          PROPERTY LOCATION                                     CLOA NO                AREA (HA)  LOT NO. 1                    BRGY. HINAGOYONAN, CATUBIG, N. SAMAR     O-CLOA-1634          12.6450      2436                       BRGY. ANONGO, CATUB</t>
  </si>
  <si>
    <t xml:space="preserve"> INVITATION TO BID FOR THE  PURCHASE OF UNIFORM FOR CENRO PERSONNEL - CENRO 1.	The City Government of Bacoor, Cavite, through the General Fund Year 2020 intends to apply the sum of EIGHT HUNDRED THOUSAND PESOS AND ZERO CENTAVO (PhP800,000.00) being the App</t>
  </si>
  <si>
    <t xml:space="preserve"> MUNICIPALITY OF BORBON DESCRIPTION: 2000 Tabs Lithium Carbonate 450mg tab 6000 Tabs Biperiden 2mg tab 1000 Tabs Chlorpromazine 100mg Tab 1000 Tabs Clozapine 100mg Tab 2000 Tabs Haloperidol 5mg Tab 100 Boxes Olanzapine 10mg Tab 500 Tabs Quetiapine 200mg Ta</t>
  </si>
  <si>
    <t xml:space="preserve"> Purchase of Laptop.   Specifications:       - S145-14IKB 81VB001UPH I3-7020, 8GB, 512GB SSD, MX110, WIN 10</t>
  </si>
  <si>
    <t xml:space="preserve"> Republic of the Philippines Province of Leyte BRGY. BALUCANAD, CAPOOCAN, LEYTE -oOo- BIDS AND AWARD COMMITTEE INVITATION TO BID  FOR THE PROCUREMENT OF EMRGENCY RESPONSE VEHICLE 1.	The Brgy. Balucanad Capoocan, Leyte, through the Brgy. 20% Development Fun</t>
  </si>
  <si>
    <t xml:space="preserve"> Republic of the Philippines DEPARTMENT OF PUBLIC WORKS AND HIGHWAYS CAMARINES NORTE DISTRICT ENGINEERING OFFICE REGIONAL OFFICE V Daet, Camarines Norte INVITATION TO BID The Department of Public Works and Highways Camarines Norte District Engineering Offi</t>
  </si>
  <si>
    <t xml:space="preserve"> Republic of the Philippines City of Gapan Province of Nueva Ecija ------------------------------------------------------------------------------ Invitation to Bid for the Supply and Delivery of One (1) Unit Service Ambulance 1.	The City Government of Gapa</t>
  </si>
  <si>
    <t xml:space="preserve"> SUPPLY &amp; INSTALLATION OF INDUSTRIAL CEILING FAN</t>
  </si>
  <si>
    <t xml:space="preserve"> 10	T/L	SI (ELF) 110	BAGS	CEMENT 5	KLS	CONCRETE NAIL 15	PCS	TUBULAR 1.5 X 1 X 1 5	ROLLS	FISHING CORD 12	TIN	RUBBERIZED PAINT 6	TIN	LATEX PAINT 4	LTRS	TINTING ACRYCOLOR PAINT 5	PCS	PAINT BRUSH #2 6	PCS	ROLLER PAINT #7 1	PACKS	RAGS 5	ROLLS	MASKING TAPE #1</t>
  </si>
  <si>
    <t xml:space="preserve"> Republic of the Philippines PROVINCE OF PAMPANGA City of San Fernando INVITATION TO BID NO. 2020-20 IG-BAC INVITATION TO BID FOR PURCHASE REQUEST NO. 20-0661 and 20-0852 The Provincial Government of Pampanga (“Province”) intends to apply the following sum</t>
  </si>
  <si>
    <t xml:space="preserve"> INVITATION TO BID The DPWH Isabela 4th District Engineering Office through its Bids and Awards Committee (BAC), invites contractors to submit bids for the following Contract: Procurement ID / Contract ID			: 20BH0145 Contract Name/                        </t>
  </si>
  <si>
    <t xml:space="preserve"> INVITATION TO BID  ITB NO: 07-06-2020 CIVIL WORKS   The Local Government Unit of Maramag, Bukidnon has a loan package from Land Bank of the Philippines intended to finance for infrastructure development within the municipality. The Local Government Unit o</t>
  </si>
  <si>
    <t xml:space="preserve"> 1.	The OFFICE OF CIVIL DEFENSE, through the GAA OCD (Quick Response Fund) FY 2020, intends to apply the sum of Seven Million Nine Hundred Twenty Thousand Pesos (PHP7,920,000.00) being the Approved Budget for the Contract (ABC) to payments under the contra</t>
  </si>
  <si>
    <t xml:space="preserve"> TO CONSTRUCT STONE MASONRY SLOPE PROTECTION</t>
  </si>
  <si>
    <t xml:space="preserve"> TO CONSTRUCT BOX CULVERT IRRIGATION CANAL</t>
  </si>
  <si>
    <t xml:space="preserve"> INVITATION TO BID  ITB NO: 07-03-2020 CIVIL WORKS The Local Government Unit of Maramag, Bukidnon has a loan package from Land Bank of the Philippines intended to finance for infrastructure development within the municipality.  The Local Government Unit of</t>
  </si>
  <si>
    <t xml:space="preserve"> HOP-QR-PRO-005 Republic of the Philippines Department of Health DAVAO REGIONAL MEDICAL CENTER Apokon, Tagum City BIDS AND AWARDS COMMITTEE INVITATION TO BID FOR THE SUPPLY &amp; DELIVERY OF MEDICAL EQUIPMENT FOR NEURO-SPINE SURGERY USE 1.	The Davao Regional M</t>
  </si>
  <si>
    <t xml:space="preserve"> INVITATION TO BID									 									 The BARANGAY GOVERNMENT UNIT OF MOTIBOT, SINDANGAN, ZAMBOANGA DEL NORTE, through its Bids and Awards Committee (BAC), hereby invites suppliers/manufacturers/ distributors/contractors to apply for eligibility and to bid</t>
  </si>
  <si>
    <t xml:space="preserve"> INVITATION TO BID  ITB NO: 07-04-2020 CIVIL WORKS   The Local Government Unit of Maramag, Bukidnon has a loan package from Land Bank of the Philippines intended to finance for infrastructure development within the municipality. The Local Government Unit o</t>
  </si>
  <si>
    <t xml:space="preserve"> Contract Labor and Materials for the Construction of Concrete Reservoir - BLGU Kaligutan, Laak, Davao De Oro with an ABC of Php. 549,800.00. Note: For further details of the said project, please see/contact Hon. Annalie F. Langomez - Punong Barangay of Ka</t>
  </si>
  <si>
    <t xml:space="preserve"> Invitation to Bid Republic of the Philippines City of Olongapo -0- BIDS AND AWARDS COMMITTEE BAC Office 3rd Floor  Olongapo City Hall  Web: www.olongapocity.gov.ph INVITATION TO BID FOR  OC-67(DEPED-02) 20 GD PROCUREMENT FOR THE SUPPLY AND DELIVERY OF IT </t>
  </si>
  <si>
    <t xml:space="preserve"> Bicol Medical Center Concepcion Pequeña, Naga City, 4400 (0998-247-0239/0906-256-9238          E-mail Address: bmc.bacoffice@gmail.com INIVITATION TO BID PROCUREMENT OF HEPA FILTER MACHINES (1 Lot) ITB No. 2020-16 1.	The BICOL MEDICAL CENTER, through SA-Q</t>
  </si>
  <si>
    <t xml:space="preserve"> Republic of the Philippines DEPARTMENT OF HEALTH WESTERN VISAYAS Center for Health Development INVITATION TO BID FOR THE  Procurement of Drugs Medicines for Botika ng Bayan IB No. SB-2020-024 1.	The Department of Health – WV CHD, through the 2019 NCPAM CO</t>
  </si>
  <si>
    <t xml:space="preserve"> IMPROVEMENT OF RHU II</t>
  </si>
  <si>
    <t xml:space="preserve"> INVITATION TO BID  ITB NO: 07-05-2020 CIVIL WORKS The Local Government Unit of Maramag, Bukidnon has a loan package from Land Bank of the Philippines intended to finance for infrastructure development within the municipality.  The Local Government Unit of</t>
  </si>
  <si>
    <t xml:space="preserve"> Please download the attached file (Associated Components) for the Bid Document.</t>
  </si>
  <si>
    <t xml:space="preserve"> INVITATION TO BID FOR  CONSTRUCTION OF CABUYAO CITY HOSPITAL PHASE 2 (SITE DEVELOPMENT) 1.	The CITY OF CABUYAO, through the 2020 Continuing Fund Annual City Budget intends to apply the sum of Thirty-one Million Seven Hundred Eight Thousand Four Hundred Se</t>
  </si>
  <si>
    <t xml:space="preserve"> TO CONSTRUCT PCCP,STONE MASONRY AND RC BOX CULVERT</t>
  </si>
  <si>
    <t xml:space="preserve"> INVITATION TO BID FOR THE PROCUREMENT AND DELIVERY OF FUEL TO SUPPORT OPERATIONAL REQUIREMENTS  FOR COVID-19 AND OTHER ACTIVITIES FOR 2ND SEMESTER (RHQ, CAVITE, LAGUNA AND RIZAL) OF BFP REGION IV-A FOR CY 2020</t>
  </si>
  <si>
    <t xml:space="preserve"> To deliver and install 1 large electro mechanical siren  Specifications: sound rating:123 ±2dB(A) 1M(Wide ranged),electric motor:1.5Kw 220-240V AC,50/60Hz,Output Frequency:444/533±20Hz,Single or Multi Tone, with 60 cm*60cm*200cm Metal Housing</t>
  </si>
  <si>
    <t xml:space="preserve"> Construction of Slaughterhouse Phase II -Brgy. Macabiag, Sinait, Ilocos Sur I.	Excavation for Structure II.	Embankment III.	Concrete Works IV.	Masonry &amp; Plastering Works V.	Steel Trusses &amp; Roofing Works VI.	Plumbing Works VII.	Septic Tank VIII.	Electrical</t>
  </si>
  <si>
    <t xml:space="preserve"> 1.	The OFFICE OF CIVIL DEFENSE, through the OCD CY 2019 – Capital Outlay (Continuing Appropration), intends to apply the sum of Fifty Eight Million Six Hundred Fifty Seven Thousand Five Hundred Fifty Three Pesos (PHP58,657,553.00) being the Approved Budge</t>
  </si>
  <si>
    <t xml:space="preserve"> INVITATION TO BID FOR     ITB NO. 07-08-2020- GOODS                                       The Local Government Unit – Maramag, Bukidnon through the BIDS AND AWARDS COMMITTEE  (BAC) now invites bids for the herein mentioned project: Name of Project        </t>
  </si>
  <si>
    <t xml:space="preserve"> INVITATION TO BID FOR  ROAD REHABILITATION (ASPHALT OVERLAY &amp; RE-BLOCKING) AT BRGY.BANLIC 1.	The CITY OF CABUYAO, through the 2020 General Fund Annual City Budget intends to apply the sum of Nine Million Four Hundred Sixty-one Thousand Seventy-five Pesos </t>
  </si>
  <si>
    <t xml:space="preserve"> (FORM NO. 014 – INVITATION TO APPLY FOR ELIGIBILITY AND TO BID) Republic of the Philippines Sangguniang Barangay of PUNTA Barangay PUNTA, Unisan, Quezon INVITATION TO APPLY FOR ELIGIBILITY AND TO BID Date			:  					 The Sangguniang Barangay PUNTA, through</t>
  </si>
  <si>
    <t xml:space="preserve"> MUNICIPALITY OF BORBON DESCRIPTION: 200 BOTTLES D5LR 200 BOTTLES D5NSS 20 PACKS COTTON (ABSORBENT COTTON WOOL) 400GRAMS 300 PIECES CORD CLAMP 50 PACKS OS 4X4 50 PACKS OS 2X2 50 BOTTLES ISOPROPYL ALCOHOL 500 ML (ETHYL ALCOHOL 70%) 10 BOXES PLASTER 3 M HYPO</t>
  </si>
  <si>
    <t xml:space="preserve"> HOP-QR-PRO-005 Republic of the Philippines Department of Health DAVAO REGIONAL MEDICAL CENTER Apokon, Tagum City BIDS AND AWARDS COMMITTEE INVITATION TO BID FOR THE PROCUREMENT OF ABG REAGENTS AND PROVISION OF ANALYZER 1.	The Davao Regional Medical Center</t>
  </si>
  <si>
    <t xml:space="preserve"> Construction of Canal and Pathway at Padilla Compound</t>
  </si>
  <si>
    <t xml:space="preserve"> Republic  of  the  Philippines  Province  of  Marinduque MUNICIPALITY  OF  GASAN INVITATION TO  BID  FOR THE CONSTRUCTION OF 45 L.M.  PERMANENT CONCRETE BRIDGE 1.	The Municipality of Gasan, through  Assistance to Municipalities (AM) CY 2019, Local Bridge </t>
  </si>
  <si>
    <t xml:space="preserve"> The Local Government Unit of Brgy. Batug, MacArthur, Leyte, through the PF/A intends to apply the sum of Two hundred sixty thousand Pesos (Php 260,000.00) being the Approved Budget for the Contract (ABC) to payments under the contract for the Construction</t>
  </si>
  <si>
    <t xml:space="preserve"> INVITATION TO BID IB NO. 2020– 058/ JJL SUPPLY AND DELIVERY OF INORGANIC FERTILIZERS 		 1.	Department of Agriculture, Regional Field Office-10, through the Rice Program Funds CY 2020 intends to apply the sum of  Bid Lot 1: Twenty Four Million Two Hundred </t>
  </si>
  <si>
    <t xml:space="preserve"> CONSTRUCTION OF ACCESS ROAD</t>
  </si>
  <si>
    <t xml:space="preserve"> INVITATION TO BID IB NO. 2020 – 059/ JJL SUPPLY AND DELIVERY OF 298 BAGS HYBRID CORN SEEDS (Yellow) GMO 		 1.	Department of Agriculture, Regional Field Office-10, through the Corn Program Funds CY 2020 intends to apply the sum of One Million One Hundred N</t>
  </si>
  <si>
    <t xml:space="preserve"> For Rehabilitation of Barangay Roads(Alegre, Eman and Tubod) Please see attached ITB and RFQ</t>
  </si>
  <si>
    <t xml:space="preserve"> (see bidding documents in the associated component for further project details)</t>
  </si>
  <si>
    <t xml:space="preserve"> INVITATION TO BID  ITB NO: 07-02-2020 CIVIL WORKS The Local Government Unit of Maramag, Bukidnon has a loan package from Land Bank of the Philippines intended to finance for infrastructure development within the municipality. The Local Government Unit of </t>
  </si>
  <si>
    <t xml:space="preserve"> INVITATION TO BID FOR the Procurement of OUTSOURCING OF MANPOWER SERVICES FOR CY 2020 – Ref. # 2020-06-04 1.	The FOOD AND NUTRITION RESEARCH INSTITUTE, through the “GAA 2020- LFP, Expanded NNS”  intends to apply the sum of Thirty Five Million Two Hundred </t>
  </si>
  <si>
    <t xml:space="preserve"> 1.	The Development Bank of the Philippines, through the Corporate Budget approved by the governing Board for CY 2020 intends to apply the sum of Twenty-Eight Million Eight Hundred Thousand Pesos &amp; 00/00 (PhP28,800,000.00) for three years (or PhP9,600,000.</t>
  </si>
  <si>
    <t xml:space="preserve"> Description   1.	The Development Bank of the Philippines, through the Corporate Budget approved by the Board for CY 2020 intends to apply the sum of One Hundred Sixty-Eight Million Four Hundred Forty-Four Thousand Five Hundred Pesos &amp; 00/100 (Php168,444,5</t>
  </si>
  <si>
    <t xml:space="preserve"> INVITATION TO BID FOR THE CONSTRUCTION OF ROAD Basog, Adams, Ilocos Norte 1.	The Municipal Government of Adams, through funds from the LGSF-Other Financial Assistance intends to apply the sum of P1,499,934.92 being the Approved Budget for the Contract (AB</t>
  </si>
  <si>
    <t xml:space="preserve"> Republic of the Philippines 	CITY OF SAN PEDRO Province of Laguna BIDS AND AWARDS COMMITTEE INVITATION TO APPLY FOR ELIGIBILITY AND TO BID PR NO. 0473 1.	The City Government of San Pedro, Laguna through the 2020 Budget Approved by the Sangguniang Panglung</t>
  </si>
  <si>
    <t xml:space="preserve"> BIDS AND AWARDS COMMITTEE – HEAD OFFICE INVITATION TO BID 1. The Bangko Sentral ng Pilipinas (BSP), through its Bids and Awards Committee – Head Office (BAC-HO), invites bidders to apply for eligibility and to bid for the hereunder requirement: Name of Re</t>
  </si>
  <si>
    <t xml:space="preserve"> 1. Construction of Perimeter Fence 2. Construction of Wheel Bath 3. Construction of entrance and exit gates of Livestock Section DA RIARC Area 4. Expansion on Native Chicken House 5. Construction of Goat House Brgy. Alcate, Victoria, Oriental Mindoro</t>
  </si>
  <si>
    <t xml:space="preserve"> 52 units double cubicle with mobile cabinet with 2 unit chairs</t>
  </si>
  <si>
    <t xml:space="preserve"> LOT 11: 9,256 BAGS COMPLETE FERTILIZER (14-14-14) DELIVERED IN MUNICIPALITIES: OCCIDENTAL MINDORO - 9,256</t>
  </si>
  <si>
    <t xml:space="preserve"> 1.	The Securities and Exchange Commission (SEC), through the authorized appropriations under the FY 2020 Supplemental Annual Procurement Plan 2020-1 (SAPP), intends to apply the sum of Three Million Pesos (Php 3,000,000.00) being the Approved Budget for t</t>
  </si>
  <si>
    <t xml:space="preserve"> Republic of the Philippines Department of Public Works and Highways REGIONAL OFFICE VIII Baras, Palo, Leyte INVITATION TO BID June 24, 2020 1.	The DPWH Regional Office VIII, Baras, Palo, Leyte through its Bids and Awards Committee (BAC), invites contracto</t>
  </si>
  <si>
    <t xml:space="preserve"> Purchase of materials used for repair and renovation of water system facilities.</t>
  </si>
  <si>
    <t xml:space="preserve"> 56,827 BAGS - LOT 1: UREA FERTILIZER (46-0-0) @ 50KG/BAG GRANULES/PRILLED DELIVERED IN MUNICIPALITIES: OCCIDENTAL MINDORO - 16,461 ORIENTAL MINDORO - 37,448 ROMBLON - 1,432 MARINDUQUE - 1,486</t>
  </si>
  <si>
    <t xml:space="preserve"> Purchase of supplies for modules to be given to pupils for their reference in school.</t>
  </si>
  <si>
    <t xml:space="preserve"> Republic of the Philippines Province of Isabela LOCAL GOVERNMENT UNIT OF BENITO SOLIVEN INVITATION TO BID FOR THE PROCUREMENT OF MEDICAL SUPPLIES FOR THE CONDUCTION OF PATIENTS 1.	The Municipal Government of Benito Soliven, intends to apply the sum of One</t>
  </si>
  <si>
    <t xml:space="preserve"> Materials for the repair of 3 Door WatSan Comfort Room.</t>
  </si>
  <si>
    <t xml:space="preserve"> QUANTITY	UNIT 	DESCRIPTION                                        	UNIT COST SEEDS 3            	cans     	Calabaza Hybrid Suprema (50gms)         	2,265.00 3          	cans         	Water Melon Hybrid Sweet 18 (150 gms.)	3,405.00 20      	cans     	Eggpl</t>
  </si>
  <si>
    <t xml:space="preserve"> VEHICLE</t>
  </si>
  <si>
    <t xml:space="preserve"> Republic of the Philippines Province of Isabela LOCAL GOVERNMENT UNIT OF BENITO SOLIVEN INVITATION TO BID FOR THE REHABILITATION OF PUBLIC MARKET 1.	The Municipal Government of Benito Soliven, intends to apply the sum of Four Million Nine Hundred Ninety N</t>
  </si>
  <si>
    <t xml:space="preserve"> QUANTITY 	UNIT 	DESCRIPTION                                                     	UNIT COST MUNICIPAL ENGINEERING OFFICE                               		IT Equipment                                                     	40,000.00 MENRO                      </t>
  </si>
  <si>
    <t xml:space="preserve"> INVITATION TO BID FOR THE SUPPLY AND DELIVERY OF SIX (6) UNITS BRAND NEW PICK-UP TRUCKS FOR THE SUBIC-CLARK RAILWAY PROJECT 1.	The BASES CONVERSION AND DEVELOPMENT AUTHORITY (hereinafter referred to as BCDA) through the FY 2019 General Appropriations Act </t>
  </si>
  <si>
    <t xml:space="preserve"> QUANTITY 	UNIT 	DESCRIPTION                   	UNIT COST MAO                              		Tire                                	6,400.00                           		Interior                      	2,400.00                               		Battery          </t>
  </si>
  <si>
    <t xml:space="preserve"> VARIOUS SUPPLIES AND MATERIALS</t>
  </si>
  <si>
    <t xml:space="preserve"> It includes: Dismantling/Chipping Works and Restoration; Supply and Installation of Airconditioning Units and Fan Coil Units; Fabrication and Installation of ACCU Steel Frames and Electrical Installation.</t>
  </si>
  <si>
    <t xml:space="preserve"> MUNICIPAL AGRICULTURE OFFICE Serbisyong Panghayopan                    	30,000.00 Training in Organic Agriculture Technology	20,000.00 MDRRM OFFICE MDRRMC Meeting                                                                   	20,000.00 Procurement of </t>
  </si>
  <si>
    <t xml:space="preserve"> INVITATION TO BID FOR HEALTH CARE SERVICE PROVIDER FOR THE  BASES CONVERSION AND DEVELOPMENT AUTHORITY (BCDA) 1.	The Bases Conversion and Development Authority (BCDA), through its Corporate Operating Budget intends to apply the sum of FIVE MILLION FOUR HU</t>
  </si>
  <si>
    <t xml:space="preserve"> Purchase of supplies for pupils to be used for the opening of school year.</t>
  </si>
  <si>
    <t xml:space="preserve"> Please see attached ITB and RFQ for Specifications</t>
  </si>
  <si>
    <t xml:space="preserve"> Purchase of supplies to be used in printing modules to be given to pupils for their lesson.</t>
  </si>
  <si>
    <t xml:space="preserve"> QUANTITY 	UNIT         	DESCRIPTION                             	UNIT COST MUNICIPAL AGRICULTURE OFFICE                                  		Four Drawer Steer Cabinet (MAO)	35,000.00                                 		Office Table (MAO)                     	</t>
  </si>
  <si>
    <t xml:space="preserve"> INVITATION TO BID  ITB NO: 07-07-2020 CIVIL WORKS   The Local Government Unit of Maramag, Bukidnon has a loan package from Land Bank of the Philippines intended to finance for infrastructure development within the municipality. The Local Government Unit o</t>
  </si>
  <si>
    <t xml:space="preserve"> TO CONSTRUCT PCCP WITH STONE MASONRY AND CANAL</t>
  </si>
  <si>
    <t xml:space="preserve"> Department of Public Works and Highways (DPWH)												 													 	Contract ID		:	20GFB04									 	Contract Name		:	Purchase of Construction Materials for use in the Repair and Maintenance of National Road along Daang Maharlika, K0 513+(-544) - K0</t>
  </si>
  <si>
    <t xml:space="preserve"> The Municipality of Malangas, through the Bids and Award Committee (BAC), invites suppliers/manufactures/distributors/contractors to bid for the hereunder contract: Name of Project	: RENOVATION/RETROFITTING OF PUBLIC MARKET BUILDING- PHASE 1 –DESIGN AND B</t>
  </si>
  <si>
    <t xml:space="preserve"> Republic of the Philippines City of Gapan Province of Nueva Ecija -------------------------------------------------------------------------- Invitation to Bid for the Upgrading and Rehabilitation of Damaged Paved Roads and Drainage Canal 1.	The City Gover</t>
  </si>
  <si>
    <t xml:space="preserve"> Department of Education Region VI-Western Visayas Division of Cadiz City  Mabini National High School Invitation to Bid for Various Repairs and Maintenance of the School’s Infrastructures 1.	The Mabini National High School, through the school’s MOOE 2020 </t>
  </si>
  <si>
    <t xml:space="preserve"> Construction of Multi-Purpose Hall (Phase I) Rental of Equipment</t>
  </si>
  <si>
    <t xml:space="preserve"> Contract Labor and Materials for the Construction of Concrete Reservoir located at Sitio 27 - BLGU Kaligutan, Laak, Davao De Oro with an ABC of Php. 550,000.00</t>
  </si>
  <si>
    <t xml:space="preserve"> INVITATION TO BID The DPWH Isabela 4th District Engineering Office through its Bids and Awards Committee (BAC), invites contractors to submit bids for the following Contract: Procurement ID / Contract ID			: 20BH0144 Contract Name/                        </t>
  </si>
  <si>
    <t xml:space="preserve"> INVITATION TO BID FOR THE PROCUREMENT AND DELIVERY OF FUEL TO SUPPORT OPERATIONAL REQUIREMENTS  FOR COVID-19 AND OTHER ACTIVITIES FOR 2ND SEMESTER (BATANGAS AND QUEZON) OF BFP REGION IV-A FOR CY 2020</t>
  </si>
  <si>
    <t xml:space="preserve"> 1. AMPALAYA Vegetable Seeds, 3,510 pack 2. EGGPLANT Vegetable Seeds, 1,404 pack 3. SRING BEANS Vegetable Seeds, 702 pack 4. TOMATO Vegetable Seeds, 1,404 pack 5. FERTILIZER, Complete, 140 Sack 6. FERTILIZER, Urea, 140 Sack 7. PESTICIDES, 250ml 702 btls. 8</t>
  </si>
  <si>
    <t xml:space="preserve"> Republic of the Philippines DEPARTMENT OF HEALTH WESTERN VISAYAS Center for Health Development INVITATION TO BID FOR THE  Procurement of Drugs and Medicines for Outreach Activities, IB No. SB-2020-023 1.	The Department of Health – WV CHD, through the PHM </t>
  </si>
  <si>
    <t xml:space="preserve"> Food Supplies Expenses</t>
  </si>
  <si>
    <t xml:space="preserve"> INVITATION TO BID  ITB NO: 07-01-2020 CIVIL WORKS   The Local Government Unit of Maramag, Bukidnon has a loan package from Land Bank of the Philippines intended to finance for infrastructure development within the municipality. The Local Government Unit o</t>
  </si>
  <si>
    <t xml:space="preserve"> Republic of the Philippines BOHOL ISLAND STATE UNIVERSITY Main Campus, Tagbilaran City INVITATION TO BID FOR THE RE-BIDDING OF LOT 1: SUPPLY, DELIVERY AND INSTALLATION OF GARMENTS TECHNOLOGY EQUIPMENT FOR CTE EXTENSION PROGRAM (PR NO. 2020-02-0281) LOT 2:</t>
  </si>
  <si>
    <t xml:space="preserve"> Other Supplies and Materials Expenses</t>
  </si>
  <si>
    <t xml:space="preserve"> REHABILITATION (Concreting) OF ACCESS ROAD LEADING TO TWS WATER SOURCE</t>
  </si>
  <si>
    <t xml:space="preserve"> Medical, Dental &amp; Laboratory Supplies</t>
  </si>
  <si>
    <t xml:space="preserve"> Office Supplies Expenses</t>
  </si>
  <si>
    <t xml:space="preserve"> Republic of the Philippines PROVINCE OF AGUSAN DEL SUR Municipality of Sta. Josefa Invitation to Bid for   SJADS GOODS 20-09: PROCUREMENT OF PRUNING SHEAR AND FERTILIZER 					   June 24, 2020 1.	The Municipality of Sta. Josefa through the authorized appro</t>
  </si>
  <si>
    <t xml:space="preserve"> Republic of the Philippines Province of Cebu Municipality of Malabuyoc BIDS AND AWARDS COMMITTEE INVITATION TO APPLY FOR ELIGIBILITY AND TO BID Advertisement No. 2020-6 The Municipality of Malabuyoc, through its Bids and Awards Committee (BAC), invites co</t>
  </si>
  <si>
    <t xml:space="preserve"> INVITATION TO BID 1.	The Province of Cebu through the 2020 General Fund, intends to apply the sum of FIFTY- TWO MILLION NINE HUNDRED THIRTY-TWO THOUSAND PESOS AND 00/100 (Php52,932,000.00) being the Approved Budget for the Contract (ABC) to payments under</t>
  </si>
  <si>
    <t xml:space="preserve"> INVITATION TO BID 1.	The Province of Cebu through the 2020 General Fund, intends to apply the sum of TWENTY- THREE MILLION SIX HUNDRED ELEVEN THOUSAND EIGHT HUNDRED PESOS AND 00/100 (Php23,611,800.00) being the Approved Budget for the Contract (ABC) to pa</t>
  </si>
  <si>
    <t xml:space="preserve"> Upgrading of Wire in Junior High School</t>
  </si>
  <si>
    <t xml:space="preserve"> Republic of the Philippines Province of Oriental Mindoro MUNICIPALITY OF NAUJAN BIDS AND AWARDS COMMITTEE INVITATION TO BID SUPPLY AND DELIVERY OF TWO (2) UNITS BRAND NEW DUMP TRUCK TO BE USED IN THE OFFICE OF THE MUNICIPAL ENGINEER, NAUJAN, ORIENTAL MIND</t>
  </si>
  <si>
    <t xml:space="preserve"> INVITATION TO BID 1.	The Province of Cebu through the 2020 General Fund, intends to apply the sum of THIRTEEN MILLION THIRTY THOUSAND EIGHT HUNDRED PESOS AND 00/100 (Php13,030,800.00) being the Approved Budget for the Contract (ABC) to payments under the </t>
  </si>
  <si>
    <t xml:space="preserve"> Republic of the Philippines PROVINCE OF AGUSAN DEL SUR Municipality of Sta. Josefa Invitation to Bid for   SJADS INFRA 20-03: CONSTRUCTION OF MUNICIPAL MRF (RCA) 				                         June 24, 2020 1.	The Municipality of Sta. Josefa through the aut</t>
  </si>
  <si>
    <t xml:space="preserve"> Item Description...........................................Quantity............................................Unit of Issue Motor Vehicle...................................................1.......................................................Unit Speci</t>
  </si>
  <si>
    <t xml:space="preserve"> Republic of the Philippines Province of Pangasinan Municipality of Bugallon OFFICE OF THE BIDS AND AWARDS COMMITTEE INVITATION TO BID The Municipality of Bugallon, Pangasinan, through its Bids and Awards Committee (BAC), invites contractors to bid for her</t>
  </si>
  <si>
    <t xml:space="preserve"> Republic of the Philippines PROVINCE OF AGUSAN DEL SUR Municipality of Sta. Josefa Invitation to Bid for   SJADS GOODS 20-08: PROCUREMENT OF PATIENT TRANSPORTATION VEHICLE  (VAN TYPE 18 SEATERS) 					   June 24, 2020 1.	The Municipality of Sta. Josefa thr</t>
  </si>
  <si>
    <t xml:space="preserve"> 20CSM00101 - GEOTECHNICAL SUB SURFACE EXPLORATION: PACKAGE No. 2020-01, MLANG AND TULUNAN, NORTH COTABATO</t>
  </si>
  <si>
    <t xml:space="preserve"> Republic of the Philippines DEPARTMENT OF PUBLIC WORKS AND HIGHWAYS BATANGAS III DISTRICT ENGINEERING OFFICE REGIONAL OFFICE IV-A J. Gonzales St., Barangay 4, Tanauan City RE-INVITATION TO BID (GS-2020-006) The Department of Public Works and Highways (DPW</t>
  </si>
  <si>
    <t xml:space="preserve"> Brgy Amambucale appropriate an amount for the construction of two waiting sheds  located at two different area of the brgy.</t>
  </si>
  <si>
    <t xml:space="preserve"> The Brgy Council of Brgy. Amambucale agreed to Install 3 Jetmatic Pumps in different areas of the Brgy.</t>
  </si>
  <si>
    <t xml:space="preserve"> Construction of concrete reservoir, 1 intake  box, installation of transmission and  distribution lines and construction of gate  valve and public faucet</t>
  </si>
  <si>
    <t xml:space="preserve"> 1.	The Securities and Exchange Commission (SEC), through the authorized appropriations under the FY 2020 Supplemental Annual Procurement Plan 2020-1 (SAPP), intends to apply the sum of Six Million Pesos (Php 6,000,000.00) being the Approved Budget for the</t>
  </si>
  <si>
    <t xml:space="preserve"> PB NO. 2020-042		 			 1.	1	lot	Enhancement of ICT Infrastructure with internet connectivity of SDO-San Pablo City. 			Lot 1: Enhancement 			• Structured Cabling 			• Data Center with servers and storage 			• Network Security 			• Office computing and othe</t>
  </si>
  <si>
    <t xml:space="preserve"> INVITATION TO BID FOR Procurement of Infra (Road Concreting of Saco St. ( Sta. 00+000 – Sta. 00+212.11 ) The Barangay Manga of Tagbilaran, through the Cont. Appropriation Ordinance No. 2015-003, 2018-001 Annual Budget and Supplemental Budget 2019-001, int</t>
  </si>
  <si>
    <t xml:space="preserve"> Republic of the Philippines Province of Eastern Samar MUNICIPALITY OF GIPORLOS Office of the Municipal Mayor ________________________________________ Invitation to Bid for Rehabilitation of Local Access Road (Portion) and Construction of Multi-Purpose Bui</t>
  </si>
  <si>
    <t xml:space="preserve"> Smart Mobile Load card worth 700.00 every month from August to December</t>
  </si>
  <si>
    <t xml:space="preserve"> Supply &amp; Delivery of materials for the const. of 163Ln.m open channel drainage system at Purok 04, Malapat, Cordon, Isabela.</t>
  </si>
  <si>
    <t xml:space="preserve"> Supply, Delivery and Configuration of LTE CPE Broadband Device for CTU Flexible Learning System (FLS) with Smart/PLDT Telecom Network with the following: •	Broadband Modem Capable of 4G/LTE SIM •	Must have at least 2 External Antenna support •	With USB, R</t>
  </si>
  <si>
    <t xml:space="preserve"> INVITATION TO BID  FOR THE Supply and Installation of Hospital Information Management System I.B. No. 2020 - 0030 1.	The LGU - Cabanatuan City, through the General Fund, FY 2020 intends to apply the sum of Three Million Pesos (₱3,000,000.00) being the App</t>
  </si>
  <si>
    <t xml:space="preserve"> 1.	The Securities and Exchange Commission (SEC), through the authorized appropriations under the FY 2020 Supplemental Annual Procurement Plan 2020-1 (SAPP), intends to apply the sum of Five Million Four Hundred Thousand Pesos (Php 5,400,000.00) being the </t>
  </si>
  <si>
    <t xml:space="preserve"> Republic of the Philippines CITY OF BAIS BIDS AND AWARDS COMMITTEE INVITATION TO APPLY FOR ELIGIBILITY AND TO BID 	The City Government of Bais invites interested bidders to apply for eligibility and to bid for Repair &amp; Maintenance-Infrastructure Assets a.</t>
  </si>
  <si>
    <t xml:space="preserve"> Republic of the Philippines CITY OF BAIS BIDS AND AWARDS COMMITTEE INVITATION TO APPLY FOR ELIGIBILITY AND TO BID 	The City Government of Bais invites interested bidders to apply for eligibility and to bid for Construction of Workshop/Warehouse @ Motorpoo</t>
  </si>
  <si>
    <t xml:space="preserve"> Location: Brgy. Caguyao, Bislig, Surigao del Sur Brgy. Cabgan, Hinatuan, Surigao del Sur Sitio Labao, Loyola, Hinatuan, Surigao del Sur Sitio Rizal, Loyola, Hinatuan, Surigao del Sur Brgy. Manyayay,Lianga, Surigao del Sur Sitio Maribujok, Valencia, Lingig</t>
  </si>
  <si>
    <t xml:space="preserve"> Republic of the Philippines CITY OF BAIS BIDS AND AWARDS COMMITTEE INVITATION TO APPLY FOR ELIGIBILITY AND TO BID 	The City Government of Bais invites interested bidders to apply for eligibility and to bid for Repair and Maintenance – Infrastructure Asset</t>
  </si>
  <si>
    <t xml:space="preserve"> Please download attached documents for complete details of the project.</t>
  </si>
  <si>
    <t xml:space="preserve"> Republic of the Philippines CITY OF BAIS BIDS AND AWARDS COMMITTEE INVITATION TO APPLY FOR ELIGIBILITY AND TO BID 	The City Government of Bais invites interested bidders to apply for eligibility and to bid for Fencing &amp; Site Development of New Cemetery, v</t>
  </si>
  <si>
    <t xml:space="preserve"> Republic of the Philippines CITY OF BAIS BIDS AND AWARDS COMMITTEE INVITATION TO APPLY FOR ELIGIBILITY AND TO BID 	The City Government of Bais invites interested bidders to apply for eligibility and to bid for Repair &amp; Maintenance-Infrastructure Assets (f</t>
  </si>
  <si>
    <t xml:space="preserve"> Republic of the Philippines CITY OF BAIS BIDS AND AWARDS COMMITTEE INVITATION TO APPLY FOR ELIGIBILITY AND TO BID 	The City Government of Bais invites interested bidders to apply for eligibility and to bid for Construction of Footbridge at Lower Lico, Bar</t>
  </si>
  <si>
    <t xml:space="preserve"> One job Furnishing labor and Materials for the Installation of Brgy. Solar Street Lights (Phase2), Brgy. Poblacion Banate, Iloilo (42 units Post and Lighting)</t>
  </si>
  <si>
    <t xml:space="preserve"> Republic of the Philippines CITY OF BAIS BIDS AND AWARDS COMMITTEE INVITATION TO APPLY FOR ELIGIBILITY AND TO BID 	The City Government of Bais invites interested bidders to apply for eligibility and to bid for Repair and Resealing of City Streets and Loca</t>
  </si>
  <si>
    <t xml:space="preserve"> Republic of the Philippines PROVINCE OF BUKIDNON Municipality of Sumilao INVITATION TO BID ITB NO. GS-2020-29 PROCUREMENT OF INFORMATION TECHNOLOGY (IT) EQUIPMENT June 24, 2020 1.	The Local Government Unit of  Sumilao, intends to apply the sum of Four Hun</t>
  </si>
  <si>
    <t xml:space="preserve"> Republic of the Philippines CITY OF BAIS BIDS AND AWARDS COMMITTEE INVITATION TO APPLY FOR ELIGIBILITY AND TO RE-BID 	The City Government of Bais invites interested bidders to apply for eligibility and to bid for Rehabilitation of Daycare Center @ Brgy. M</t>
  </si>
  <si>
    <t xml:space="preserve"> Republic of the Philippines CITY OF BAIS BIDS AND AWARDS COMMITTEE INVITATION TO APPLY FOR ELIGIBILITY AND TO REBID 	The City Government of Bais invites interested bidders to apply for eligibility and to bid for Construction of Footbridge @ Brgy. Dansulan</t>
  </si>
  <si>
    <t xml:space="preserve"> Republic of the Philippines CITY OF BAIS BIDS AND AWARDS COMMITTEE INVITATION TO APPLY FOR ELIGIBILITY AND TO BID 	The City Government of Bais invites interested bidders to apply for eligibility and to bid for Construction of One Nutri-Ward/Halfway House </t>
  </si>
  <si>
    <t xml:space="preserve"> Republic of the Philippines BIDS AND AWARDS COMMITTEE Province of Iloilo Invitation to Bid PURCHASE OF MEDICAL EQUIPMENT Bid No. SDH-20-0734-B 1. The Iloilo Provincial Government, through the SUPPLEMENTAL BUDGET NO.2 intends to apply the sum of NINETY THO</t>
  </si>
  <si>
    <t xml:space="preserve"> INVITATION TO BID 1.	The Province of Cebu through the 2020 General Fund, intends to apply the sum of ONE MILLION PESOS AND 00/100 (Php1,000,000.00) being the Approved Budget for the Contract (ABC) to payments under the contract for the CONSTRUCTION OF PUB</t>
  </si>
  <si>
    <t xml:space="preserve"> Construction of 5.00m X 87.50m  X 0.20m PCCP; 2.00m X  34.30m X 0.20m PCCP to  include 2-1.5m X 12.00m  Concrete Retaining Wall, Box  Culvert and CHB Retaining Wall</t>
  </si>
  <si>
    <t xml:space="preserve"> Republic of the Philippines CITY OF BAIS BIDS AND AWARDS COMMITTEE INVITATION TO APPLY FOR ELIGIBILITY AND TO RE-BID 	The City Government of Bais invites interested bidders to apply for eligibility and to bid for Slope Protection along Farm to Market Road</t>
  </si>
  <si>
    <t xml:space="preserve"> Republic of the Philippines BIDS AND AWARDS COMMITTEE Province of Iloilo Invitation to Bid PURCHASE OF MEDICAL EQUIPMENT Bid No. SDH-20-0735-B 1. The Iloilo Provincial Government, through the 2019, 20% IRA intends to apply the sum of ONE HUNDRED NINETY-TW</t>
  </si>
  <si>
    <t xml:space="preserve"> 1.5 HP Pressurized Car Wash Water Pump Kit/set (including motor &amp; pressurized hose nozzle and token)	5	units Air Chuck 	2	pieces Air Compressor (¼ HP)	2	units 3rd class Flour	1	sack All Purpose Flour 	7	 sacks  Balut (raw)	6	trays Cake Flour	1	sack Calume</t>
  </si>
  <si>
    <t xml:space="preserve"> Republic of the Philippines CITY OF BAIS BIDS AND AWARDS COMMITTEE INVITATION TO APPLY FOR ELIGIBILITY AND TO BID 	The City Government of Bais invites interested bidders to apply for eligibility and to bid for Repair and Maintenance (Building &amp; Other Stru</t>
  </si>
  <si>
    <t xml:space="preserve"> Republic of the Philippines CITY OF BAIS BIDS AND AWARDS COMMITTEE INVITATION TO APPLY FOR ELIGIBILITY AND TO RE-BID 	The City Government of Bais invites interested bidders to apply for eligibility and to bid for Improvement of Bais City Tourism Office, B</t>
  </si>
  <si>
    <t xml:space="preserve"> INVITATION TO BID 1.	The Province of Cebu through the 2020 General Fund, intends to apply the sum of TEN MILLION EIGHT HUNDRED THOUSAND PESOS AND 00/100 (Php10,800,000.00) being the Approved Budget for the Contract (ABC) to payments under the contract for</t>
  </si>
  <si>
    <t xml:space="preserve"> INVITATION TO BID 1.	THOUSAND PESOS AND 00/100 (Php55,200,000.00) being the Approved Budget for the Contract (ABC) to payments under the contract for the CONCRETING/IMPROVEMENT OF AWAYAN-CAN-ASUJAN-PIT-OS ROAD SECTION, CARCAR CITY, CEBU. Bids received in </t>
  </si>
  <si>
    <t xml:space="preserve"> Republic of the Philippines CITY OF BAIS BIDS AND AWARDS COMMITTEE INVITATION TO APPLY FOR ELIGIBILITY AND TO BID 	The City Government of Bais invites interested bidders to apply for eligibility and to bid for Water Supply Development @ Brgy. Mabunao, viz</t>
  </si>
  <si>
    <t xml:space="preserve"> INVITATION TO BID 1.	The Province of Cebu through the 2020 General Fund, intends to apply the sum of FORTY-ONE MILLION NINE HUNDRED TEN THOUSAND SIX HUNDRED PESOS AND 00/100 (Php41,910,600.00) being the Approved Budget for the Contract (ABC) to payments u</t>
  </si>
  <si>
    <t xml:space="preserve"> Item Description..............................................................Quantity...............................Unit of Issue Mobile Multi-Purpose Shredder with Diesel Engine......................1..........................................Unit Capaci</t>
  </si>
  <si>
    <t xml:space="preserve"> INVITATION TO BID 1.	The Province of Cebu through the 2020 General Fund, intends to apply the sum of FOUR MILLION EIGHT THOUSAND PESOS AND 00/100 (Php4,008,000.00) being the Approved Budget for the Contract (ABC) to payments under the contract for the CON</t>
  </si>
  <si>
    <t xml:space="preserve"> INVITATION TO BID 1.	The Province of Cebu through the 2020 General Fund, intends to apply the sum of ELEVEN MILLION ONE HUNDRED TWENTY-TWO THOUSAND EIGHT HUNDRED PESOS AND 00/100 (Php11,122,800.00) being the Approved Budget for the Contract (ABC) to payme</t>
  </si>
  <si>
    <t xml:space="preserve"> Republic of the Philippines DEPARTMENT OF PUBLIC WORKS AND HIGHWAYS CAMARINES SUR 1st DISTRICT ENGINEERING OFFICE REGIONAL OFFICE V Baras, Canaman, Camarines Sur INVITATION TO BID The      DPWH -Camarines Sur 1st DEO, through its Bids and Awards Committee</t>
  </si>
  <si>
    <t xml:space="preserve"> INVITATION TO BID ITB  No. 080-Goods-2020 The City Government of Surigao, through its Bids and Awards Committee (BAC), invites suppliers to bid for the following: Name of Contract	:  Purchase &amp; Delivery of Brand New Standby Power Generator  			   100 KVA </t>
  </si>
  <si>
    <t xml:space="preserve"> INVITATION TO BID 1.	The Province of Cebu through the 2020 General Fund, intends to apply the sum of FIFTY-FIVE MILLION TWO HUNDRED THOUSAND PESOS AND 00/100 (Php55,200,000.00) being the Approved Budget for the Contract (ABC) to payments under the contrac</t>
  </si>
  <si>
    <t xml:space="preserve"> Bicol Medical Center Concepcion Pequeña, Naga City, 4400 (0998-247-0239/0906-256-9238          E-mail Address: bmc.bacoffice@gmail.com INIVITATION TO BID Supply, Delivery, Installation &amp; Commissioning  of 12 units Modular Patient Monitor  (1 Lot) ITB No. </t>
  </si>
  <si>
    <t xml:space="preserve"> Contract ID:	20DL0222 Contract Name:	CY 2020 BASIC EDUCATION FACILITIES FUND, CONSTRUCTION OF CLASSROOMS  2STY4CL DOÑA AURORA ES, CALAUAG, QUEZON Contract Location:	CALAUAG, QUEZON Brief Description:		CONSTRUCTION OF CLASSROOMS Approved Budget for the Con</t>
  </si>
  <si>
    <t xml:space="preserve"> INVITATION TO BID 1.	The Province of Cebu through the 2020 General Fund, intends to apply the sum of FORTY-EIGHT MILLION PESOS AND 00/100 (Php48,000,000.00) being the Approved Budget for the Contract (ABC) to payments under the contract for the CONCRETING</t>
  </si>
  <si>
    <t xml:space="preserve"> Contract ID:	20DL0220 Contract Name:	CY 2020 BASIC EDUCATION FACILITIES FUND, CONSTRUCTION OF CLASSROOMS  2STY4CL ATIMONAN CES, ATIMONAN, QUEZON 	 Contract Location:	ATIMONAN, QUEZON Brief Description:		CONSTRUCTION OF CLASSROOMS Approved Budget for the C</t>
  </si>
  <si>
    <t xml:space="preserve"> INVITATION TO BID FOR THE Procurement of 6 units of Branded Desktop Computer (with complete accessories)  1. The Department of Agriculture-Regional Field Office 7, through the GAA 2020 intends to apply the sum of Five Hundred Ten Thousand Pesos (₱ 510,000</t>
  </si>
  <si>
    <t xml:space="preserve"> Republic of the Philippines CITY OF BAIS BIDS AND AWARDS COMMITTEE INVITATION TO APPLY FOR ELIGIBILITY AND TO BID 	The City Government of Bais invites interested bidders to apply for eligibility and to bid for Const,/Improv./Rehab. of Drainage System, a. </t>
  </si>
  <si>
    <t xml:space="preserve"> Republic of the Philippines CITY OF BAIS BIDS AND AWARDS COMMITTEE INVITATION TO APPLY FOR ELIGIBILITY AND TO BID 	The City Government of Bais invites interested bidders to apply for eligibility and to bid for rehabilitation of Day Care Center @ Brgy. Kat</t>
  </si>
  <si>
    <t xml:space="preserve"> Contract ID:	20DL0221 Contract Name:	CY 2020 BASIC EDUCATION FACILITIES FUND, CONSTRUCTION OF CLASSROOMS  2STY6CL CARIDAD IBABA ES, ATIMONAN, QUEZON Contract Location:	ATIMONAN, QUEZON Brief Description:		CONSTRUCTION OF CLASSROOMS Approved Budget for the</t>
  </si>
  <si>
    <t xml:space="preserve"> REQUEST FOR EXPRESSION OF INTEREST (REOI) Hiring of Consultancy Services (Individual Consultant) Solicitation No. SIC-98-2020-PRDP-RPCO1 EPC: Php720,000.00 1. 	The Government of the Philippines has received a loan from the World Bank towards the cost of t</t>
  </si>
  <si>
    <t xml:space="preserve"> Road Concreting 					 Cost of Bidding Documents: Php 25,000.00					 Source of Funds: GAA FY 2020 (D.A. Fund) The significant times and deadlines of procurement activities are shown below: 1. Issuance of Bidding Documents	Deadline: June 22 – July 8, 2020, </t>
  </si>
  <si>
    <t xml:space="preserve"> REQUEST FOR EXPRESSION OF INTEREST (REOI) Hiring of Consultancy Services (Individual Consultant) Solicitation No. SIC-97-2020-PRDP-RPCO1 EPC: Php240,000.00 1. 	The Government of the Philippines has received a loan from the World Bank towards the cost of t</t>
  </si>
  <si>
    <t xml:space="preserve"> MODULE PRINTING JHS FOR THEIR HANDOUTS</t>
  </si>
  <si>
    <t xml:space="preserve"> MODULE PRINTING SHS FOR STUDENTS HANDOUTS</t>
  </si>
  <si>
    <t xml:space="preserve"> item  100 CLEARING AND CRUBBING         101 REMOVAL OF STRUCTURES &amp; OBSTRUCTIONS         103 STRUCTURE EXCAVATION         105 SUB GRADE PREPARATION         201 AGGREGATE BASE COARSE         311 PORTLAND CEMENT CONCRETE PAVEMENT         500 STORM DRAINS   </t>
  </si>
  <si>
    <t xml:space="preserve"> INVITATION TO BID for PROCUREMENT OF DESIGN, SUPPLY, INSTALLATION, AND COMMISSIONING OF CINEMA EQUIPMENT AND AUDIO SYSTEMS, ACOUSTIC TREATMENT AND THEATRE CURTAINS FOR THE METROPOLITAN THEATRE 1.	The NATIONAL COMMISSION FOR CULTURE AND THE ARTS (NCCA), th</t>
  </si>
  <si>
    <t xml:space="preserve"> Please see attached canvass (RFQ) form/TOR for complete specifications.</t>
  </si>
  <si>
    <t xml:space="preserve"> = 71.5 LN.M x 0.40M x 0.40M CHB Drainage - w/Steel Grating Cover Removal of Existing Structures  Structure Excavation (Common Soil) Foundation Fill Lined Canal Steel Grating  = 9.0 Pipe Culverts, 610mm dia. (24" Ø) Pipe Culverts, 610mm dia. (24" Ø)</t>
  </si>
  <si>
    <t xml:space="preserve"> REQUEST FOR EXPRESSION OF INTEREST (REOI) Hiring of Consultancy Services (Individual Consultant) Solicitation No. SIC-96-2020-PRDP-RPCO1 EPC: Php210,000.00 1. 	The Government of the Philippines has received a loan from the World Bank towards the cost of t</t>
  </si>
  <si>
    <t xml:space="preserve"> Flood Control 	 	 		 		 Cost of Bidding Documents: Php 5,000.00					 Source of Funds: Maintenance Fund 101 CY 2020 The significant times and deadlines of procurement activities are shown below: 1. Issuance of Bidding Documents	Deadline: June 22 – July 8, </t>
  </si>
  <si>
    <t xml:space="preserve"> Republic of the Philippines CITY OF BAIS BIDS AND AWARDS COMMITTEE INVITATION TO APPLY FOR ELIGIBILITY AND TO BID 	The City Government of Bais invites interested bidders to apply for eligibility and to bid for Rehabilitation of Daycare Centers @ Brgy. Can</t>
  </si>
  <si>
    <t xml:space="preserve"> CONTRACT COST:		 1.	LOT	1	ADDITION OF CONCRETE HOLLOW BLOCK WALL (ALL SIDE)		126,363.32 2.	LOT	1	CONCRETE COLUMN/POST EXTENSION &amp; ADDITION AND CONCRETE BEAM (ALL SIDE) 50,947.59 3.	LOT	1	FORMS AND SCAFFOLDING (ALL SIDE)		81,839.84 4.	LOT	1	PLASTERING (SMO</t>
  </si>
  <si>
    <t xml:space="preserve"> Issuance of Bid Documents Starts: June 24, 2020 Cost of Bid Document: Php 6,000.00 Venue of Dropping and Opening Bids: BAC Conference Room, Leyte SMED Center, Provincial Capitol Grounds, Tacloban City</t>
  </si>
  <si>
    <t xml:space="preserve"> CONTRACT COST:		 1.			INSTALLATION OF FRONT GATE		35,059.92 2.	LOT	1	INSTALLATION OF VENTS (3 SIDES) AND BUILT-UP BEAM AT WESTERN SIDE		273,868.91 3.			PAINTING		 3.1	LOT	1	VENTS, CYCLONED WIRE FENCE ON G.I PIPE FRAMING, GATES &amp; BUILT-UP FRAME BEAM/STIFFE</t>
  </si>
  <si>
    <t xml:space="preserve"> Issuance of Bid Documents Starts: June 24, 2020 Cost of Bid Document: Php 5,000.00 Venue of Dropping and Opening Bids: BAC Conference Room, Leyte SMED Center, Provincial Capitol Grounds, Tacloban City</t>
  </si>
  <si>
    <t xml:space="preserve"> Issuance of Bid Documents Starts: June 24, 2020 Cost of Bid Document: Php 5,500.00 Venue of Dropping and Opening Bids: BAC Conference Room, Leyte SMED Center, Provincial Capitol Grounds, Tacloban City</t>
  </si>
  <si>
    <t xml:space="preserve"> 28,000 liters Fuel - Diesel 2,500 liters Fuel - Gasoline *********************************** Purpose: for maintenance of Garbage Trucks, Services Vehicles &amp; Heavy Equipments @ Office of the City General Services.</t>
  </si>
  <si>
    <t xml:space="preserve"> Issuance of Bid Documents Starts: June 24, 2020 Cost of Bid Document: Php 7,000.00 Venue of Dropping and Opening Bids: BAC Conference Room, Leyte SMED Center, Provincial Capitol Grounds, Tacloban City</t>
  </si>
  <si>
    <t xml:space="preserve"> INVITATION TO BID REHABILITATION OF CABADBARAN DISTRICT HOSPITAL (REHAB / REPAIR / IMPROVEMENT OF CDH) 1.	The Local Government Unit of Cabadbaran City through the 20% DEVELOPMENT FUND intends to apply the sum of  TEN MILLION PESOS ONLY (P 10,000,000.00) b</t>
  </si>
  <si>
    <t xml:space="preserve"> Chicken cut, thigh Chicken cut, breast Chicken cut, wings Chicken cut, drumstick Eggs, large Hotdog, regular size with cheese</t>
  </si>
  <si>
    <t xml:space="preserve"> Issuance of Bid Documents Starts: June 24, 2020 Cost of Bid Document: Php 9,500.00 Venue of Dropping and Opening Bids: BAC Conference Room, Leyte SMED Center, Provincial Capitol Grounds, Tacloban City</t>
  </si>
  <si>
    <t xml:space="preserve"> Issuance of Bid Documents Starts: June 24, 2020 Cost of Bid Document: Php 10,000.00 Venue of Dropping and Opening Bids: BAC Conference Room, Leyte SMED Center, Provincial Capitol Grounds, Tacloban City</t>
  </si>
  <si>
    <t xml:space="preserve"> Republic of the Philippines PROVINCE OF NORTHERN SAMAR BIDS AND AWARDS COMMITTEE Catarman Purchase of Fishing Gears and Other Fishing Paraphernalia for Subsidized Assistance Project Provincial Agriculture Office Province of Northern Samar  NS-06-24-20-02 </t>
  </si>
  <si>
    <t xml:space="preserve"> 50.0 LN.M. x 0.75M x 0.65M CHB Drainage Open Canal  Removal of Existing Structures  Structure Excavation (Common Soil) Foundation Fill Lined Canal</t>
  </si>
  <si>
    <t xml:space="preserve"> [Republic of the Philippines] Province of Pangasinan Municipality of Natividad INVITATION TO BID FOR TITLE: Construction/Rehabilitation of Local Access Road  Location: Brgy. Batchelor West, Natividad, Pangasinan Approved Budget of the Contract: Php2,300,0</t>
  </si>
  <si>
    <t xml:space="preserve"> Contract ID. No.     	:  20GOH0004 Contract Name		: Proposed  Purchase of Uniforms for Maintenance Workers along                                   Various National Roads within SMDEO Jurisdiction Purchase Request No. : 2020-01-015 Approved Budget for the </t>
  </si>
  <si>
    <t xml:space="preserve"> Republic of the Philippines PROVINCE OF NORTHERN SAMAR BIDS AND AWARDS COMMITTEE Catarman Purchase of Two (2) Units E – Trike – Barangay Patrol Electronic Vehicle Civil Security Office Catarman, Northern Samar    NS-06-24-20-01 1.	The Provincial Governmen</t>
  </si>
  <si>
    <t xml:space="preserve"> Issuance of Bid Documents Starts: June 24, 2020 Cost of Bid Document: Php 20,000.00 Venue of Dropping and Opening Bids: BAC Conference Room, Leyte SMED Center, Provincial Capitol Grounds, Tacloban City</t>
  </si>
  <si>
    <t xml:space="preserve"> PURCHASE OF THE MATERIALS FOR THE INSTALLATION OF PANEL STREET LIGHTS OF BARANGAY MINSAPINIT GINGOOG CITY MISAMIS ORIENTAL.</t>
  </si>
  <si>
    <t xml:space="preserve"> Concreting of 40mx2.5mx.15m</t>
  </si>
  <si>
    <t xml:space="preserve"> QTY  UNI DESCRIPTION CLEARING &amp; BRUSHING 1.00 lot Lumpsum-Laborworks LABOR OCM CP VAT EXCAVATION WORKS 45.0 CU.M. 1.00 lot Lumpsum-Laborworks LABOR OCM CP VAT CONCRETE WORKS 850.00 pcs. #4 CHB 12.00 cu.m. Gravel 6.00 cu.m. Sand 82.00 bags Portland Cement </t>
  </si>
  <si>
    <t xml:space="preserve"> INVITATION TO BID The municipal government of Romblon through its Bids and Awards Committee (BAC) invites PhilGEPS registered suppliers to apply to bid for the Rehabilitation of LGU Owned Potable Water System.</t>
  </si>
  <si>
    <t xml:space="preserve"> 5 pcs 7-5 x R15 Tire Heavy Duty</t>
  </si>
  <si>
    <t xml:space="preserve"> Municipality of Looc Invitation to Bid for Construction of Seawall (between Guitna and Bonbon) P-I 1.	The Municipality of Looc, through the Trust Fund-DRRMF intends to apply the sum of Php 2,670,000.00 being the Approved Budget for the Contract (ABC) to p</t>
  </si>
  <si>
    <t xml:space="preserve"> Republic of the Philippines Province of Agusan del Norte Municipality of Remedios T. Romualdez Invitation to Bid SUPPLY AND DELIVERY OF CONSTRUCTION MATERIALS AND SUPPLIES FOR THE CONSTRUCTION OF ADDITIONAL AIR VENTILATION 1. The Municipality of Remedios </t>
  </si>
  <si>
    <t xml:space="preserve"> Invitation to bid for COMPLETION OF DORMITORY AND CAFETERIA OF FARM TECHNOLOGY TRAINING CENTER FOR PAMPLONA CAMPUS INFRA2020-00-02 1. The Negros Oriental State University (NORSU), through the General Appropriation Act (GAA) FY 2020 intends to apply the su</t>
  </si>
  <si>
    <t xml:space="preserve"> Supply and Delivery of CM for the construction of tire path @ Kellet -Ba-neng phase II</t>
  </si>
  <si>
    <t xml:space="preserve"> Issuance of Bid Documents Starts: June 24, 2020 Cost of Bid Document: Php 3,500.00 Venue of Dropping and Opening Bids: BAC Conference Room, Leyte SMED Center, Provincial Capitol Grounds, Tacloban City</t>
  </si>
  <si>
    <t xml:space="preserve"> 27.5ft.X 34ft.</t>
  </si>
  <si>
    <t xml:space="preserve"> 6 rolls  Speaker Wire # 16 6 kls.  Nylon #300 50 mtrs  Nylon Rope #10 5 rolls Electrical Tape</t>
  </si>
  <si>
    <t xml:space="preserve"> REHABILITATION OF DAMAGED ROADS/BRIDGES/SLOPE PROTECTION OF BRIDGE APPROACHES/ OTHER STRUCTURES Municipality of Mainit, Malimono and San Francisco, Surigao del Norte Brief Description:    The project will involve the following scope of works: Repair of Di</t>
  </si>
  <si>
    <t xml:space="preserve"> Republic of the Philippines PROVINCE OF NORTHERN SAMAR BIDS AND AWARDS COMMITTEE Catarman Invitation to Bid NS-06-24-20-04 Repair/Improvement of Portion of PSWDO Building &amp; Construction of 1 Unit 3-Chamber Septic Vault Brgy. Dalakit, Catarman, Northern Sa</t>
  </si>
  <si>
    <t xml:space="preserve"> Catering Services and Accommodation (40 pax) (3 Days) 6 Snacks and 7 Meals Start: AM Snacks End: PM Snacks Location: Brgy. Malitubog, Bao, &amp; Polayagan of Alamada &amp; Brgy. Malagap of Banisilan, Cotabato</t>
  </si>
  <si>
    <t xml:space="preserve"> To Contract for the Supply of Materials, Labor, and Equipments for the Project: SUPPLY AND ISTALLATION OF FIRE DETECTION, ALARM AND SUPPRESSION FOR THREE (3) STOREY NEW MUNICIPAL HALL BLDG., I.D. No. KIA-SAR-20-001, AMOUNTING TO SIX HUNDRED FORTY FIVE THO</t>
  </si>
  <si>
    <t xml:space="preserve"> Equipment for materials movement.</t>
  </si>
  <si>
    <t xml:space="preserve"> Supply and delivery of various medicines for Birthing Facility, RHU, Zumarraga, Samar</t>
  </si>
  <si>
    <t xml:space="preserve"> 1.    18      bots.      Hemorrhagic Septicemia 2.    95      ltrs.        Albendazole (de-wormer) 3.    400    vials       Anti-rabies 4.    10      boxes     Norfloxacine 20 grams 5.    5        boxes     Cotrimoxazole 6.    3        boxes     Amoxicill</t>
  </si>
  <si>
    <t xml:space="preserve"> Issuance of Bid Documents Starts: June 24, 2020 Cost of Bid Document: Php 19,000.00 Venue of Dropping and Opening Bids: BAC Conference Room, Leyte SMED Center, Provincial Capitol Grounds, Tacloban City</t>
  </si>
  <si>
    <t xml:space="preserve"> CHAMP Support Program.</t>
  </si>
  <si>
    <t xml:space="preserve"> Provision of FArm Inputs =        Php 164,000.00 Provision of FArm Machineries =Php 280,000.00                                          _________________                                               Php 444,000.00</t>
  </si>
  <si>
    <t xml:space="preserve"> LABORATORY REAGENTS AND SUPPLY FAMILY PLANNING 2020 HYPERTENSIVE AND DIABETIC CLUB MEETING 2020 NATIONAL TUBERCULOSIS PROGRAM\FACILITY BASED DELIVERY</t>
  </si>
  <si>
    <t xml:space="preserve"> Concreting of 120mx2mx.15m</t>
  </si>
  <si>
    <t xml:space="preserve"> QTY  UNIT  DESCRIPTION 5143.72 liters Diesel Fuel</t>
  </si>
  <si>
    <t xml:space="preserve"> See attached document, print Bid Notice Abstract and download ITB No. GOODS-20-115.</t>
  </si>
  <si>
    <t xml:space="preserve"> Procurement ID/Contract I.D.: 20CN0067 Contract Name: Construction of Slope Protection Along A. Castañeda – Ma. Aurora San Luis Road Contract Location: (K0198+120 – K0198+171.84), Aurora  Brief Description: Drainage and Slope Protection Structures Approve</t>
  </si>
  <si>
    <t xml:space="preserve"> Please see attached RFQ. You may also visit our website at www.jhmc.com.ph for more procurement opportunities. Thank you.</t>
  </si>
  <si>
    <t xml:space="preserve"> Republic of the Philippines  Province of Cebu Municipality of Boljoon INVITATION TO BID FOR the Procurement of Medicines 1.	The Municipality of Boljoon, through the 40-40 Drugs and Medicines   in the amount of One million Four hundred Eighteen thousand  T</t>
  </si>
  <si>
    <t xml:space="preserve"> INVITATION TO BID Republic of the Philippines MUNICIPALITY OF KITCHARAO Province of Agusan del Norte BIDS AND AWARDS COMMITTEE INVITATION TO BID FOR JALIOBONG CLUSTER ACCESS ROAD CONCRETING PHASE I 	The Municipal Government of Kitcharao now invites bids f</t>
  </si>
  <si>
    <t xml:space="preserve"> Republic of the Philippines Philippine Rural Development Project INVITATION TO QUOTE (ITQ) Construction of Two (2) - Storey Processing Building with Warehouse in Support to the Geonet Production and Marketing Enterprises PRDP ID No.: PRDP-IR-R013-SDN-002-</t>
  </si>
  <si>
    <t xml:space="preserve"> For more inquiries please contact Engr. Joseph Heraldo BAC Chairman BAC Office Barangay Talisoy Jomalig Quezon 09463286983</t>
  </si>
  <si>
    <t xml:space="preserve"> Republic of the Philippines Department of Health CENTER FOR HEALTH DEVELOPMENT CALABARZON QMMC Compound, Project 4, Quezon City  Trunkline: 8-249-2000 Email Address: bacsec.doh4a@gmail.com INVITATION TO BID  1.	The DOH CENTER FOR HEALTH DEVELOPMENT CALABA</t>
  </si>
  <si>
    <t xml:space="preserve"> No.	"ITEM DESCRIPTION  (ITEM NAME &amp; TECHNICAL SPECIFICATIONS)"	QTY.	UNIT	UNIT COST	APPROVED BUDGET OF CONTRACT (ABC)	 						 	Facilitator, Documentor and Writer for	1	lot	₱100,000.00	 Php100,000.00 	 	the multi-stakeholder processes to fine-				    	 	tun</t>
  </si>
  <si>
    <t xml:space="preserve"> Procurement ID/Contract I.D.: 20CN0066 Contract Name: Construction of Slope Protection along Madela – Dinadiawan Road Contract Location: K0410+100 – K0410+146, Aurora  Brief Description: Drainage and Slope Protection Structures Approved Budget for the Con</t>
  </si>
  <si>
    <t xml:space="preserve"> 7 Units Ambulance Vehicle Specification: Vehicle: Full sized van Condition: brandnew body Type: passenger van converter to ambulance engine: 3.0L5-speed Manual Transmission Fuel: diesel Color: white 3years LTO Registration airconditioning: Dual aircon war</t>
  </si>
  <si>
    <t xml:space="preserve"> Public Bidding Description of work to be done : Part A : Sub-base and Base Course Part B : Surface Courses</t>
  </si>
  <si>
    <t xml:space="preserve"> I. REMOVAL OF EXISTING STRUCTURE 1 LOT II. EXCAVATION WORKS 3.84 CU.M. III. CONCRETE WORKS (FOOTING, COLUMN, LENTIL BEAM &amp; BEAM) 4.64 CU.M. IV. MASONRY WORKS: (ADDITIONAL FILING OF CHB) 22.80 SQ.M. V. FABRICATION OF STEEL GATE 1 LOT VI. PAINTING WORKS (IN</t>
  </si>
  <si>
    <t xml:space="preserve"> 175mx 2mx.15m Concrete Pavement</t>
  </si>
  <si>
    <t xml:space="preserve"> Staking &amp; Formworks  Earth Works Concrete Works Steel Works</t>
  </si>
  <si>
    <t xml:space="preserve"> INVITATION TO BID Republic of the Philippines MUNICIPALITY OF KITCHARAO Province of Agusan del Norte BIDS AND AWARDS COMMITTEE INVITATION TO BID FOR MOTORPOOL CONSTRUCTION PHASE I 	The Municipal Government of Kitcharao now invites bids for Motorpool Const</t>
  </si>
  <si>
    <t xml:space="preserve"> Republic of the Philippines Province of Leyte Municipality of Hilongos INVITATION TO RE-BID FOR THE PROCUREMENT OF ANTI-RABIES VACCINE 1.  The Local Government Unit of Hilongos, through GENERAL FUND-CURRENT APPROPRIATION intends to apply the sum TWO HUNDR</t>
  </si>
  <si>
    <t xml:space="preserve"> Contract ID:	20DL0224 Contract Name:	CY 2020 BASIC EDUCATION FACILITIES FUND, CONSTRUCTION OF CLASSROOMS  2STY6CL STO. NIÑO ILAYA NHS, LOPEZ, QUEZON 					 Contract Location:	LOPEZ, QUEZON Brief Description:		CONSTRUCTION OF CLASSROOMS Approved Budget for </t>
  </si>
  <si>
    <t xml:space="preserve"> WIDTH=1.4m, THICKNESS=0.10m, WITH INSTALLATION OF 30m DRAINAGE</t>
  </si>
  <si>
    <t xml:space="preserve"> DRUGS AND MEDICINE SUPPLY SMOKING CESSATION CLINIC 2020 NATIONAL TUBERCULOSIS PROGRAM ANTE-NATAL CARE DOH LICENSING 2020</t>
  </si>
  <si>
    <t xml:space="preserve"> Construction Materials &amp; Supplies</t>
  </si>
  <si>
    <t xml:space="preserve"> 7.50mX6.00m</t>
  </si>
  <si>
    <t xml:space="preserve"> Contract ID:	20DL0223 Contract Name:	CY 2020 BASIC EDUCATION FACILITIES FUND, CONSTRUCTION OF CLASSROOMS  2STY4CL MUNICIPAL SECTOR ES, CALAUAG, QUEZON	 Contract Location:	CALAUAG, QUEZON Brief Description:		CONSTRUCTION OF CLASSROOMS Approved Budget for t</t>
  </si>
  <si>
    <t xml:space="preserve"> 1 unit service vehicle Vehicle specification: vehicle : Full sized van Condition : Brandnew Body type : commuter van engine : 3.0L 5-speed manual transmission fuel: diesel aircondioning : dual aircon color : white with : 3years LTO Registration warranty :</t>
  </si>
  <si>
    <t xml:space="preserve"> Concreting of 75mx3mx.15m</t>
  </si>
  <si>
    <t xml:space="preserve"> I. REMOVAL OF RAILINGS 1 LOT II. EXCAVATION WORKS 1.69 CU.M. III. FILLING MATERIALS 19.32 CU.M. IV. CONCRETE WORKS (FOOTING, COLUMN, TIEBEAM, FLOORING &amp; PATHWAY) 3.27 CU.M. V. MASONRY WORKS (CHB MORTAR, FINISHING OUTSIDE ONLY) 8.91 SQ.M. VI. ROOFING WORKS</t>
  </si>
  <si>
    <t xml:space="preserve"> 2 units Multi-Shredder Pulveriser Machine</t>
  </si>
  <si>
    <t xml:space="preserve"> Procurement ID/Contract I.D.: 20CN0070 Contract Name: Construction of Slope Protection Along Baler – Casiguran Road (Dinadiawan – Casiguran Section) Contract Location: K0292+910 – K0292+988, Aurora Brief Description: Drainage and Slope Protection Structur</t>
  </si>
  <si>
    <t xml:space="preserve"> Concreting of 45mx3mx.15m</t>
  </si>
  <si>
    <t xml:space="preserve"> 1	260	bags	Portland Cement 2	32	cu.m.	Screened Gravel 3	16	cu.m.	Washed Sand 4	222	pcs	10mmΦx 6m RSB 5	10	kls.	#16 Tie Wire 6	30	pcs.	2"x4"x10' Cocolumber 7	10	pcs.	2"x3"x10' Cocolumber 8	3	kls.	4" CW Nails</t>
  </si>
  <si>
    <t xml:space="preserve"> 50sqm.x.15m Concrete pavement</t>
  </si>
  <si>
    <t xml:space="preserve"> Republic of the Philippines                                                        Province of Batangas                                                   Nasugbu, Batangas                                                                                    </t>
  </si>
  <si>
    <t xml:space="preserve"> SUPPLY AND DELIVERY OF VARIOUS IT EQUIPMENT'S FOR LGU OFFICES: 1. 4 UNITS LAPTOP COMPUTER X SERIES (Intel Core i7 1051OU, 14" FHD IPS 4G 512GB) 2. 4 UNITS LAPTOP COMPUTER X SERIES ( Intel Core i5 - 8265U, 14" Wide Screen, 15.6 HD, 4GB, 1TB mx230 2GDS) 3. </t>
  </si>
  <si>
    <t xml:space="preserve"> Procurement ID/Contract I.D.: 20CN0124 Contract Name: Slope Protection along Nueva Ecija – Aurora Road Contract Location: K0176+200 – K0176+360 Brief Description: Drainage and Slope Protection Structures Approved Budget for the Contract (ABC): Php 99,000,</t>
  </si>
  <si>
    <t xml:space="preserve"> Concreting of 80mx2mx.15m</t>
  </si>
  <si>
    <t xml:space="preserve"> Republic of the Philippines BOHOL ISLAND STATE UNIVERSITY Main Campus, Tagbilaran City INVITATION TO BID FOR SUPPLY AND DELIVERY OF ARM CHAIRS AND SALA SETS (PR NO. 2020-02-0376, 2020-02-0240, 2020-02-0371) 1.	The Bohol Island State University – Main Camp</t>
  </si>
  <si>
    <t xml:space="preserve"> Procurement ID/Contract I.D.: 20CN0123 Contract Name: Construction of Slope Protection along Baler - Casiguran Road (Dinadiawan-Casiguran Section) Contract Location: K0297+060 – K0297+143, K0297+190 – K0297+300, Casigura, Aurora Brief Description: Drainag</t>
  </si>
  <si>
    <t xml:space="preserve"> Procurement ID/Contract I.D.: 20CN0075 Contract Name: Construction of Slope Protection along Nueva Ecija – Aurora Road Contract Location: K0204+325 – K0204+386, Aurora Brief Description: Drainage and Slope Protection Structures Approved Budget for the Con</t>
  </si>
  <si>
    <t xml:space="preserve"> Procurement ID/Contract I.D.: 20CN0073 Contract Name: Construction of Slope Protection along Nueva Ecija – Aurora Road Contract Location: K0212+155 – K0212+203, Aurora Brief Description: Drainage and Slope Protection Structures Approved Budget for the Con</t>
  </si>
  <si>
    <t xml:space="preserve"> Lot 1 (MSWDO/KALAHI IT Equipment, Php115,000.00) a. 1 unit Desktop Computer (corei5,HDD 1TB, SA480GBSSD, Windows 10) b. 1 unit Printer (Compact Integrated Tank design, Wifi/Wifi Direct, Print, Scan, Copy, Fax with ADF) c. 1 unit LapTop Computer (corei5, 4</t>
  </si>
  <si>
    <t xml:space="preserve"> Spareparts and Oil Lubricants for Municipal Vehicles</t>
  </si>
  <si>
    <t xml:space="preserve"> Procurement ID/Contract I.D.: 20CN0071 Contract Name: Construction of Slope Protection Along Baler – Casiguran Road (Dinadiawan – Casiguran Section) Contract Location: (K0302+490 – K0302+570), Casiguran, Aurora Brief Description: Drainage and Slope Protec</t>
  </si>
  <si>
    <t xml:space="preserve"> Veterinary Medical Supplies</t>
  </si>
  <si>
    <t xml:space="preserve"> Procurement ID/Contract I.D.: 20CN0072 Contract Name: Construction of Slope Protection along Nueva Ecija – Aurora Road Contract Location: K0171+150 – K0171+195.52, Aurora Brief Description: Drainage and Slope Protection Structures Approved Budget for the </t>
  </si>
  <si>
    <t xml:space="preserve"> 2,100 PCS 4" CHB 36 PCS 9 MM RSB 50 PCS 10MM RSB 98 BAGS PORTLAND CEMENT  8 KLS TIE WIRE  4 CU.M RIVER SAND 8 CU.M MIXED AGGREGATES</t>
  </si>
  <si>
    <t xml:space="preserve"> Republic of the Philippines Province of Oriental Mindoro MUNICIPALITY OF NAUJAN BIDS AND AWARDS COMMITTEE INVITATION TO BID SUPPLY AND DELIVERY OF MATERIALS TO BE USED IN THE CONCRETING OF ROADS IN DIFFERENT BARANGAYS, NAUJAN, ORIENTAL MINDORO 1.	The Muni</t>
  </si>
  <si>
    <t xml:space="preserve"> 1 unit service vehicle (Patient Transport Vehicle) Vehicle specification: vehicle : Full sized van Condition : Brandnew Body type : commuter van engine : 3.0L 5-speed manual transmission fuel: diesel aircondioning : dual aircon color : white with : 3years</t>
  </si>
  <si>
    <t xml:space="preserve"> Issuance of Bid Documents Starts: May 8, 2020 Cost of Bid Document: Php 3,500.00 Venue of Dropping and Opening Bids: BAC Conference Room, Leyte SMED Center, Provincial Capitol Grounds, Tacloban City</t>
  </si>
  <si>
    <t xml:space="preserve"> INVITATION TO BID (CW-06-2020-020) The Department of Public Works and Highways (DPWH)-Batangas IV District Engineering Office, Marawoy, Lipa City, Batangas, through its Bids and Awards Committee (BAC), invites contractors to bid for the contract listed be</t>
  </si>
  <si>
    <t xml:space="preserve"> Republic of the Philippines Province of Southern Leyte MUNICIPALITY OF LIMASAWA -o0o- Bids and Awards Committee Invitation to Bid for the Procurement  of Information Technology (IT) Equipment of the Municipality of Limasawa, Southern Leyte 1.	The Local Go</t>
  </si>
  <si>
    <t xml:space="preserve"> Procurement ID/Contract I.D.: 20CN0069 Contract Name: Construction of Slope Protection Along Baler – Casiguran Road (Baler – Dinadiawan Section) Contract Location: (K0259+735 – K0259+775), Casiguran, Aurora Brief Description: Drainage and Slope Protection</t>
  </si>
  <si>
    <t xml:space="preserve"> Purchase of electrical supplies</t>
  </si>
  <si>
    <t xml:space="preserve"> SUPPLY AND DELIVERY OF SCHOOL EQUIPMENT FOR USE IN IMPLEMENTATION OF NEW LEARNING AND TEACHING METHODS UNDER NEW NORMAL CONDITION (DUE TO COVID-19 PANDEMIC) IN ALL PUBLIC ELEMENTARY AND HIGH SCHOOL IN MAUBAN. 1.      The Local Government Unit of Mauban th</t>
  </si>
  <si>
    <t xml:space="preserve"> 10    set   LAPTOP</t>
  </si>
  <si>
    <t xml:space="preserve"> UNIT	  DESCRIPTION		QUANTITY 105	Subgrade Preparation		 	A = 230m x 5.2m		 	Qty.= 1196 sq.m		 I- Equipment Rental:			 	1 Road Grader for 4 hours		 	1 Road Roller  for 4 hours		 			 II- Labor:			 	1 Foreman  for 0.5 day(s)		 	2 Laborers  for 0.5 day(s)		 	</t>
  </si>
  <si>
    <t xml:space="preserve"> Gasoline and Diesel</t>
  </si>
  <si>
    <t xml:space="preserve"> 299-contnr-Diesel Fuel (32L/Container) 17-L-Brake Fluid 1-pail-Grease 2-barrel-Oil 10 1-barrel-Gear Oil 1-barrel-Oil 40 4-units-Tire w/ flup 100x20 (Dumptruck) 20-units-Tire w/ flup 8.25x20 (Dumptruck)</t>
  </si>
  <si>
    <t xml:space="preserve"> Procurement ID/Contract I.D.: 20CN0074 Contract Name: Construction of Slope Protection along Nueva Ecija – Aurora Road Contract Location: K0196+230 – K0196+277, Aurora Brief Description: Drainage and Slope Protection Structures Approved Budget for the Con</t>
  </si>
  <si>
    <t xml:space="preserve"> 76         rolls        Adding Machine Tape 272       reams     Bond Paper (Long) S20 232       reams     Bond Paper (Short) S20 272       pcs         Brown Envelope long 196       pcs         Brown Envelope short 1560     pcs         Daily Time Record (D</t>
  </si>
  <si>
    <t xml:space="preserve"> Engine: Model - YC6J220-46 Rate Power (KW/rmp)- 162/2500 Maximum Torque (Nm/rmp) - 760/1400-1700 6 - Cylinder in line, 6,494 liter Clutch: 395A diaphragm spring clutch, single plate Gearbox: HW90510C 10 Speed Manual control Braking System: Type: Airbrake </t>
  </si>
  <si>
    <t xml:space="preserve"> INVITATION TO APPLY FOR ELIGIBILITY AND TO BID-2020-06 The SANGGUNIANG KABATAAN OF BOLO, LABRADOR, PANGASINAN the Bids and Awards Committee (BAC) invites contractors registered with and classified by the Philippine Contractors Accreditation Board (PCAB) t</t>
  </si>
  <si>
    <t xml:space="preserve"> Location : Legazpi City, Albay Scope of Work : Painting Works of Existing Façade, Left and Right Elevations and Poles including Pedestals</t>
  </si>
  <si>
    <t xml:space="preserve"> Name of Contract: Construction of the Tanjay City Evacuation Center (Phase III) IAC Classification: Small "B" for Buildings PCAB Category "D" Duration: 120 Calendar Days Approved Budget for the Contract: Php 2,000,000.00 xxxxxxxxxxxxxxxx</t>
  </si>
  <si>
    <t xml:space="preserve"> Republic of the Philippines DEPARTMENT OF PUBLIC WORKS AND HIGHWAYS MISAMIS ORIENTAL 1st DISTRICT ENGINEERING OFFICE REGIONAL OFFICE X Gingoog City, Misamis Oriental INVITATION TO BID	 The Department of Public Works and Highways Misamis Oriental First Dis</t>
  </si>
  <si>
    <t xml:space="preserve"> Concreting of 65mx3mx.15m</t>
  </si>
  <si>
    <t xml:space="preserve"> Machinery and Equipment</t>
  </si>
  <si>
    <t xml:space="preserve"> 1. 1020 Unit - Monthly Preventive Maintenance of CCTV Cameras (120units x 12months) 2. 4 unit - CCTV Outdoor PTZ Dome, 5MP, 30x LENs, 150M</t>
  </si>
  <si>
    <t xml:space="preserve"> Slope Protection (Binagasbasan, Paraiso) at Sitio Binagasbasan Brgy. paraiso, San Miguel, Catanduanes. Scope of Works: Excavation of Foundation Structure, Concrete Foundation, Stone Masonry, Selected Backfill-Aggregate Base Coarse, Item No. A.1.1(3) Const</t>
  </si>
  <si>
    <t xml:space="preserve"> I. Mobilzation II. CSHP III. Road Preparation A. Equipment B. Materials IV Portland Cement Concrete Pavement V. Equipment</t>
  </si>
  <si>
    <t xml:space="preserve"> Issuance of Bid Documents Starts: June 24, 2020 Cost of Bid Document: Php 3,000.00 Venue of Dropping and Opening Bids: BAC Conference Room, Leyte SMED Center, Provincial Capitol Grounds, Tacloban City</t>
  </si>
  <si>
    <t xml:space="preserve"> Sub grade Preparation, Aggregate Sub-base Course Concrete Class ‘A’, PCCP, Embankment, Excavation for Structure</t>
  </si>
  <si>
    <t xml:space="preserve"> 4-m3-Excavation 3.5-m3-Column &amp; Column Footing 3.3-m3-Wall Footing &amp; walling 10.80-m2-Flooring 128.48-m2-Roof Framing Installation &amp; Repair 128.48-m2-Ceiling Installation Garage 1 Repair (160.50 Sq. m) 20-m3-excavation 6.59-m3-Pedestal Column &amp; Column Foo</t>
  </si>
  <si>
    <t xml:space="preserve"> Aggregate Sub-base Course, Structure Excavation, Cleaning and  Reconditioning, Demolition/Removal of Existing Damage Concrete Class ‘A’, Reinforcing Steel Bar, Forms &amp; Scaffoldings</t>
  </si>
  <si>
    <t xml:space="preserve"> Name of Contract: Additional Backfilling and Construction of Retaining Wall (Ripraps) of Slaughterhouse Premises, Sitio Asiotes, Barangay Polo IAC Classification: Small "B" for Buildings PCAB Category "D" Duration: 210 Calendar Days Approved Budget for th</t>
  </si>
  <si>
    <t xml:space="preserve"> Issuance of Bid Documents Starts: June 24, 2020 Cost of Bid Document: Php 2,500.00 Venue of Dropping and Opening Bids: BAC Conference Room, Leyte SMED Center, Provincial Capitol Grounds, Tacloban City</t>
  </si>
  <si>
    <t xml:space="preserve"> Republic of the Philippines Department of Public Works and Highways Pampanga 3rd District Engineering Office San Francisco Street, Brgy. Pampang, Angeles City Region III Telephone Nos. (045) 323-5782 / 887-5249 INVITATION TO BID CONTRACT ID NO. – 20GCI000</t>
  </si>
  <si>
    <t xml:space="preserve"> The Municipality of Limay, through its Bids and Awards Committee (BAC) invites registered contractors to apply for eligibility and if found eligible, to bid for the hereunder project/contract: Project/Contract:     REPAINTING OF ROOF, INTERIOR &amp; EXTERIOR </t>
  </si>
  <si>
    <t xml:space="preserve"> Concreting of Farm to Market Road (Tobrehon Road Section) at Brgy. Tobrehon, San Miguel, Catanduanes. Scope of Works: Concrete Works (Class "A"), Prep. of Road Bed, Aggregate Base Coarse, Bunk House &amp; Signage. Source of Fund: 20% EDF- 2020    	Prospective</t>
  </si>
  <si>
    <t xml:space="preserve"> Improvement of One (1) Unit 2 storey-7.5m x 88.5m Municipal Public Market (slab, wall &amp; roofing)</t>
  </si>
  <si>
    <t xml:space="preserve"> INVITATION TO BID The DPWH-Regional Office No. III,  through  its  Bids  and  Awards  Committee  (BAC) for Goods,  invites suppliers to submit bids for the Contract below:          Contract ID:    19GC00091 Contract Name:      Procurement of Reflectorized</t>
  </si>
  <si>
    <t xml:space="preserve"> 1. 35500 ltr - Diesel 2. 200 ltr - Hydraulic oil 10w 3. 600 ltr - Engine oil 15w-40 4. 200 ltr - Engine oil 40 5. 40 ltr - Gear oil #90 6. 300 ltr - Gear oil #140 7. 60 ltr - Break fluid 8. 60 ltr. - Coolant 9. 40 kg - Grease</t>
  </si>
  <si>
    <t xml:space="preserve"> Supply of Autodelfia Neonatal Kit/Solutions/Reagents (Rebid). Delivery Terms: 1st Staggered Delivery: 30% of the quantity to be delivered within 6 weeks upon receipt of approved Purchased Order. 2nd Staggered Delivery: 30% of the quantity to be delivered </t>
  </si>
  <si>
    <t xml:space="preserve"> Multi-Jet Water Meter 15mm dia. (Class B) Specifications: Magnetically driven sealed register with dome shaped lens; 6 number rollers for high totalizing capacity, 3 dial pointers for meter accuracy below 50ml, testing, central pointer for leak detection </t>
  </si>
  <si>
    <t xml:space="preserve"> REPUBLIC OF THE PHILIPPINES PROVINCE OF LEYTE MUNICIPALITY OF PASTRANA -oOo- INVITATION TO BID CONSTRUCTION OF CLOSURE OF OPEN DUMPSITE THE MUNICIPALITY OF PASTRANA, INTENDS TO APPLY THE SUM OF TWO MILLION FIVE HUNDRED THOUSAND PESOS (P2,500,000.00 ) bein</t>
  </si>
  <si>
    <t xml:space="preserve"> Republic of the Philippines UNIVERSITY OF NORTHERN PHILIPPINES Tamag, Vigan City 2700 Ilocos Sur INVITATION TO BID FOR I.T. EQUIPMENT  1.	The University of Northern Philippines, through the Use of Income, 2020 intends to apply the sum of ₱ 2,000,000.00 be</t>
  </si>
  <si>
    <t xml:space="preserve"> The Municipality of San Mariano, Isabela invite bidders to participate in this procurement, Supply And  Delivery of Food Supplies for Indigent Family. Approved Budget Contract: Php 486,000.00 Bids must be duly received on or before July 13, 2020 at 10:30 </t>
  </si>
  <si>
    <t xml:space="preserve"> Structure Excavation, Subgrade Preparation, Aggregate Sub-base Course Concrete Class ‘A’, PCCP, Reinforcing Steel Bar (Drainage Canal), Excavation for Structure, Forms &amp; Scaffoldings</t>
  </si>
  <si>
    <t xml:space="preserve"> Republic of the Philippines UNIVERSITY OF NORTHERN PHILIPPINES Tamag, Vigan City 2700 Ilocos Sur INVITATION TO BID FOR OFFICE SUPPLIES, JANITORIAL AND CONSUMABLE SUPPLIES  1.	The University of Northern Philippines, through the Regular Fund and Use of Inco</t>
  </si>
  <si>
    <t xml:space="preserve"> Republic of the Philippines Province of Southern Leyte MUNICIPALITY OF LIMASAWA -o0o- Bids and Awards Committee Invitation to Bid for the Procurement of 5 units Collapsible Tent of the Municipality of Limasawa, Southern Leyte  1.	The Local Government Unit</t>
  </si>
  <si>
    <t xml:space="preserve"> 1.	The Municipality of Impasugong, through the 20% DF – Rehabilitation of Multi-Purpose Halls – Cawayan intends to apply the sum of One Million Pesos (PhP1,000,000.00) being the Approved Budget for the Contract (ABC) to payments under the contract for PR </t>
  </si>
  <si>
    <t xml:space="preserve"> Invitation to Bid for  Construction of Local Access Road in Brgy. Cogon The Municipal Government of Lezo through the Assistance to Municipalities 2019  intends to apply the sum of Four Million Pesos Only (PhP4, 000, 000.00)  being the Approved Budget for </t>
  </si>
  <si>
    <t xml:space="preserve"> 1	3	unit	ACU- SPLIT TYPE 1.5HP W/ INSTALLATION	 2	1	unit	PHOTOCOPY MACHINE	 3	3	unit	INDUSTRIAL FAN	 4	1	unit	SHREDDER	 5	3	unit	STAND FAN	 6	1	unit	DOCUMENT SCANNER	 7	4	unit	LAPTOP	 8	1	unit	PORTABLE SCANNER	 9	1	unit	HI FI STEREO W/ AMPLIFIER W/ USB	 1</t>
  </si>
  <si>
    <t xml:space="preserve"> Issuance of Bid Documents Starts: May 8, 2020 Cost of Bid Document: Php 2,500.00 Venue of Dropping and Opening Bids: BAC Conference Room, Leyte SMED Center, Provincial Capitol Grounds, Tacloban City</t>
  </si>
  <si>
    <t xml:space="preserve"> Completion of Barangay Evacuation Center at Brgy. Katipunan, San Miguel, Catanduanes. Scope of Works: Demolition/Chipping of Concrete, Concrete Works, Masonry Works, rebar Works, Forms/False Works &amp; Stairs. Source of Fund: 20% EDF- 2020    	Prospective bi</t>
  </si>
  <si>
    <t xml:space="preserve"> 20M00080-Repair/Maintenance of DPWH Building (former Utility Building), DPWH Region 12 Compound, Corner Alunan-Mabini Street, Koronadal City, South Cotabato</t>
  </si>
  <si>
    <t xml:space="preserve"> SERVICES; HEALTH AND ACCIDENT INSURANCE FOR BARANGAY PEACEKEEPNG ACTION TEAM (BPATs) 1.	1.	The Local Government Unit of Mauban through the GENERAL FUND-1011/5-02-99-990, 2020 intends to apply the sum of Five Hundred Thousand Pesos (Php 500,000.00) being t</t>
  </si>
  <si>
    <t xml:space="preserve"> Republic of the Philippines CARAGA Administrative Region PROVINCE OF DINAGAT ISLANDS San Jose, Dinagat Islands BIDS AND AWARDS COMMITTEE INVITATION TO BID FOR  SUPPLY AND DELIVERY OF ONE (1) UNIT BRAND NEW 4X4 PICK-UP 1.	The Provincial Government of Dinag</t>
  </si>
  <si>
    <t xml:space="preserve"> Item No.	Unit	DESCRIPTION				Qty 						 1	Unit	Data Cabinet 42RU with Accessories				1 2	Units	LED TV 50 inches				1 3	Units	NVR 16 Channels with 8TB HDD				1 4	Pairs	Media Converter 20KMS, Single Mode, Single Fiber				6 5	Unit	Manageable Switch with 16 E</t>
  </si>
  <si>
    <t xml:space="preserve"> Supply of High Performance Liquid Chromatography (HPLC) Analyzer •	HPLC Principle for the Screening of hemoglobin in newborns on dried blood spots •	Fully automated system •	Ability to identify hemoglobins S, F, A, C, D and E as well as the ability to det</t>
  </si>
  <si>
    <t xml:space="preserve"> The Barangay Government of Concepcion Pequeña, Naga City intends to apply for the sum of Eight Hundred Thousand Pesos (Php 800,000.00) to payments under the contract for the proposed Pathwalk/Covered Drainage at Zone 4A, Saint Claire, Concepcion Pequeña, </t>
  </si>
  <si>
    <t xml:space="preserve"> DRUGS &amp; MEDICINES - MHO (20-06-0946) 1	576	drops	Paracetamol, 100mg/ml drops, 15ml 2	288	bottle	Paracetamol, 125mg/5ml, 60ml 3	144	bottle	Paracetamol, 250mg/5ml, 60ml 4	5000	tab	Paracetamol, 500mg/tab 5	1500	tab	Cetrizine, 10mg/tab 6	432	syrup	Cetrizine, </t>
  </si>
  <si>
    <t xml:space="preserve"> PURCHASE OF HOT ASPHALT 60/70 FOR MAINTENANCE SECTION, CDOC END DEO, MACABALAN, CAGAYAN DE ORO CITY</t>
  </si>
  <si>
    <t xml:space="preserve"> Issuance of Bid Documents Starts: June 24, 2020 Cost of Bid Document: Php 2,000.00  Venue of Dropping and Opening Bids: BAC Conference Room, Leyte SMED Center, Provincial Capitol Grounds, Tacloban City</t>
  </si>
  <si>
    <t xml:space="preserve"> Construction of Drainage at Brgy. District III, San Miguel, Catanduanes. Scope of Works: Demolition, Excavation, Rubbles Concrete, Stone Masonry, Plastering (0.05 M thk.), RCPC, Backfill, Forms/false Works. Source of Fund: 20% EDF- 2020    	Prospective bi</t>
  </si>
  <si>
    <t xml:space="preserve"> Department of Public Works and Highways (DPWH) Contract ID: 20G00102 Contract Name: Construction/Rehabilitation of Water Supply/Septage and Sewerage/Rain Water Collectors – Rainwater Collector in Public Facilities in Region VI – Ten (10) units at NEGROS O</t>
  </si>
  <si>
    <t xml:space="preserve"> CABLE CONTROL</t>
  </si>
  <si>
    <t xml:space="preserve"> The ZAMBOANGA CITY STATE POLYTECHNIC COLLEGE through its Bids and Awards Committee (BAC) is inviting PHILGEPS registered suppliers to apply for eligibility and to submit bids for the items listed below: 1.	(6 pcs.) Terminal lugs, copper, crimp type, long </t>
  </si>
  <si>
    <t xml:space="preserve"> LOT 10: 4,885 BAGS - CERTIFIED PALAY SEEDS INC. OF TRANSPORT COST VARIETIES: PSB Rc18, NSIC Rc160, Rc216, Rc218, Rc402 DELIVERED IN MUNICIPALITIES: ROMBLON - 2,885 MARINDUQUE - 2,000</t>
  </si>
  <si>
    <t xml:space="preserve"> Issuance of Bid Documents Starts: June 24, 2020 Cost of Bid Document: Php 2,000.00 Venue of Dropping and Opening Bids: BAC Conference Room, Leyte SMED Center, Provincial Capitol Grounds, Tacloban City</t>
  </si>
  <si>
    <t xml:space="preserve"> Philgeps: Procurement of Laid paper and Notepad for the Office of the Solicitor General  ITEMS - Specifications - Quantity:  1. Laid Paper - 8.5" x 11", 90 gsm, Cream, 500's/pack - 40 boxes 2. Notepad - 3 inch x 3 inch,  stick-on, 100 sheets/pad - 500 pad</t>
  </si>
  <si>
    <t xml:space="preserve"> SAFETY SHOES</t>
  </si>
  <si>
    <t xml:space="preserve"> Republic of the Philippines Province of Bukidnon MUNICIPALITY OF LIBONA INVITATION TO BID 	The Local Government Unit of libona, through its Bids and Awards Committee (BAC) invites Suppliers/manufacturers/distributors/contractors with to apply for eligibil</t>
  </si>
  <si>
    <t xml:space="preserve"> 1.	The Barangay Tomado, Aleosan, Cotabato, through the DSWD KALAHI CIDSS PAMANA IP CDD intends to apply the sum of ONE MILLION EIGHT HUNDRED THREE THOUSAND PESOS ONLY (P1,803,000.00) being the Approved Budget for the Contract (ABC) to payments under the c</t>
  </si>
  <si>
    <t xml:space="preserve"> 2,016 heads - Ready to Lay Chicken (pullet) Lohman layer or Dekalb Layer Age: Not less than 5 months Minimum bodyweight 1-1.5 kilogram upon delivery Tested free from Avian Influenza and NewCastle Disease Must not possess physical defects or undesirable ch</t>
  </si>
  <si>
    <t xml:space="preserve"> Brand New Passenger Van 18-Seater with the following specifications: YD25 DDTi 2.5L 4 cylinder, DOHC, 16 Valves, Variable Turbocharger (VGS), 5-Speed M/T (Dash-mounted), Common Rail Direct Injection, 2488cc, 129Ps/3,200rpm, 356Nm/ 1,400-2,000 rpm, Front-T</t>
  </si>
  <si>
    <t xml:space="preserve"> LOT 7: 83 HEADS CARABAO (HEIFER) - MINIMUM OF 20 UP TO 24 MONTHS - MINIMUM BODYWEIGHT OF 200 KG. UPON DELIVERY - VACCINATED W/ HEMORRHAGIC SEPTICEMIA AT LEAST 2 WEEKS PRIOR TO SHIPMENT - TESTED FREE FROM BRUCELLOSIS, TUBERCULOSIS &amp; SURRA - MUST NOT POSSES</t>
  </si>
  <si>
    <t xml:space="preserve"> Republic of the Philippines DEPARTMENT OF PUBLIC WORKS AND HIGHWAYS PANGASINAN 1ST DISTRICT ENGINEERING OFFICE REGIONAL OFFICE I Alaminos City, Pangasinan INVITATION TO BID 1.	The DPWH Pangasinan 1st District Engineering Office, through its Bids and Award</t>
  </si>
  <si>
    <t xml:space="preserve"> INVITATION TO BID  The Local Government Unit of Don Victoriano, through its Bids and Awards Committee (BAC), invites suppliers/contractors to apply for eligibility and to bid for the hereunder project: Name of Project:			Construction of Motorpool Phase-I	</t>
  </si>
  <si>
    <t xml:space="preserve"> INVITATION TO BID  IB-2020-005-GOODS-TEC Supply and Delivery of Materials for the Application of Traffic Lane Markings on Various Locations within Metro Manila 1.	The Metropolitan Manila Development Authority (“MMDA”), through the 2019 Local Fund 2020 Reg</t>
  </si>
  <si>
    <t xml:space="preserve"> BIDS AND AWARDS COMMITTEE (BAC) Email address: bacregion2@yahoo.com Telefax No.: (078) 304-0560 INVITATION TO BID ITB No.: 2020-06-23 The Department of Agriculture – Regional Field Office No. 02 (DA-RFO 02) through its Bids and Awards Committee (BAC) invi</t>
  </si>
  <si>
    <t xml:space="preserve"> 826 boxes - Bacillus thuringesis subsp. Aizawai (500grams) 943 bottles - Chlorfluazuron (500ml)  1,428 bottles - Chloratranilipole (250ml) 578 bottles - Spinetoram (250ml) Delivery Breakdown: Barcenaga, Naujan, Oriental Mindoro 451 boxes - Bacillus thurin</t>
  </si>
  <si>
    <t xml:space="preserve"> Republic of the Philippines BIDS AND AWARDS COMMITTEE Province of Iloilo Invitation to Bid Purchase of  I.V. FLUIDS Bid No. JCH-20-0224-B 1. The Iloilo Provincial Government, through the GENERAL FUND 2020 intends to apply the sum of ONE MILLION ONE HUNDRE</t>
  </si>
  <si>
    <t xml:space="preserve"> INVITATION TO BID  IB-2020-006-GOODS-TEC Supply and Delivery of Thermoplastic Pavement Marking Materials for the Periodic Maintenance of Existing Truck Lanes and Motorcycle Lanes at Various Locations within Metro Manila 1.	The Metropolitan Manila Developm</t>
  </si>
  <si>
    <t xml:space="preserve"> Construction of Masonry Drainage, Along National Highway, Namabbalan Norte, Tuguegarao City, Cagayan</t>
  </si>
  <si>
    <t xml:space="preserve"> Republic of the Philippines Province of Romblon MUNICIPALITY OF ALCANTARA -o0o- Invitation to Bid for   PROCUREMENT OF INFORMATION AND COMMUNICATION TECHNOLOGY EQUIPMENT (ICT) Poblacion, Alcantara, Romblon The Municipal Government of Alcantara, Romblon th</t>
  </si>
  <si>
    <t xml:space="preserve"> INVITATION TO BID  IB-2020-008-GOODS-TEC Supply and Delivery of Materials for the In-House Installation of Traffic Signal Facilities as per Request of Various LGUs 1.	The Metropolitan Manila Development Authority (“MMDA”), through the  RA 11465 GENERAL AP</t>
  </si>
  <si>
    <t xml:space="preserve"> The City Government of Malolos, through its BIDS and AWARDS COMMITTEE (BAC) Invites Suppliers/Manufacturers/Distributors to Bid for hereunder procurement:  Name of Project : PURCHASE OF 1,150 CERTIFIED SEEDS (40 KGS/BAG) Requesting Office : CITY AGRICULTU</t>
  </si>
  <si>
    <t xml:space="preserve"> LOT 9: UPGRADED GOAT - 467 HEADS - 374 HEADS DOES OF DOCILE FEMININE APPEARANCE - 93 HEADS BUCKS OF STURDY MASCULINE APPEARANCE - SOURCED FROM BAI ACCREDITED GOAT MULTIPLIER FARM - AGE 12-18 MONTHS OLD - MINIMUM OF BODYWEIGHT OF 20 KG. UPON DELIVERY - TES</t>
  </si>
  <si>
    <t xml:space="preserve"> Republic of the Philippines DEPARTMENT OF PUBLIC WORKS AND HIGHWAYS CAGAYAN THIRD DISTRICT ENGINEERING OFFICE REGION II Tuguegarao City The DPWH-CAGAYAN THIRD DISTRICT ENGINEERING OFFICE, through the CY 2020 - BEFF intends to apply the sum of P18,353,729.</t>
  </si>
  <si>
    <t xml:space="preserve"> ARGON GAS &amp; 2 other items</t>
  </si>
  <si>
    <t xml:space="preserve"> Republic of the Philippines BIDS AND AWARDS COMMITTEE Province of Iloilo Invitation to Bid Purchase of  MEDICAL EQUIPMENT Bid No. JCH-20-0306-B 1. The Iloilo Provincial Government, through the 20% IRA 2019 intends to apply the sum of TWO HUNDRED FOUR THOU</t>
  </si>
  <si>
    <t xml:space="preserve"> INVITATION TO BID  IB-2020-007-GOODS-PIO Procurement of one (1) lot Blowing and Percussion Instruments for the use of MMDA Band – Public Affairs Office 1.	The Metropolitan Manila Development Authority (“MMDA”), through the 2019 Local Fund 2020 Regular 201</t>
  </si>
  <si>
    <t xml:space="preserve"> MULTI TESTER MULTIMEDIA</t>
  </si>
  <si>
    <t xml:space="preserve"> Repair of Multi-Purpose Center at Sitio Binagasbasan, and Brgy. Paraiso, San Miguel, Catanduanes. Scope of Works:  Repair of Multi-Purpose Center @ Paraiso: Demolition (roof/roof framings, beams) and chipping of concrete, Foundation Excavation, Concrete W</t>
  </si>
  <si>
    <t xml:space="preserve"> I. MATERIALS 1 LOT II. LABOR  LUMPSUM III. ENERGY DEPOSIT (INSTALLATION &amp; INSPECTION FEE) LUMPSUM</t>
  </si>
  <si>
    <t xml:space="preserve"> 5,800 LITERS - LOT 4: MICRONUTRIENT FERTILIZER/ SOIL FERTILIZER ORGANIC, SEAWEED-BASED LIQUID COMPONENT OF N P K AND AT LEAST 12 TRACE ELEMENTS GROWTH HORMONES OF AUXINS, GIBBERELLINS &amp; CYTOKININS INCLUSIVE OF TECHNOLOGY BRIEFING DELIVERED IN MUNICIPALITI</t>
  </si>
  <si>
    <t xml:space="preserve"> INVITATION TO BID: 1.  Project Title:  Procurement of Reference Books and Instructional Materials for College of Engineering Library 2.  Approved Budget for the Contract:  Php 1,812,055.45 3.  Pre-bid Conference: June 2, 2020, Dr. Pablo T. Mateo Conferenc</t>
  </si>
  <si>
    <t xml:space="preserve"> Republic of the Philippines Province of Surigao del Sur Municipality of Lanuza INVITATION TO BID  PROCUREMENT OF ONE (1) UNIT PATIENT TRANSPORT VEHICLE 1.	The Local Government of Lanuza, Surigao del Sur has availed grant funds from the Local Government Su</t>
  </si>
  <si>
    <t xml:space="preserve"> Procurement ID/Contract I.D.: 20CN0125 Contract Name: Slope Protection along Nueva Ecija – Aurora Road Contract Location: K0184+800 – K0184+880, K0184+980 – K0185+090 Brief Description: Drainage and Slope Protection Structures Approved Budget for the Cont</t>
  </si>
  <si>
    <t xml:space="preserve"> Republic of the Philippines PROVINCE OF ZAMBOANGA DEL NORTE Municipality of Sibutad BIDS AND AWARDS COMMITTEE 					                                                                                                                    June 24, 2020 INVITATION</t>
  </si>
  <si>
    <t xml:space="preserve"> Procurement ID/Contract I.D.: 20CN0068 Contract Name: Construction of Slope Protection Along A. Castañeda – Ma. Aurora San Luis Road Contract Location: (K0211+175 – K0211+310), Aurora  Brief Description: Drainage and Slope Protection Structures Approved B</t>
  </si>
  <si>
    <t xml:space="preserve"> LOT 8: 379 HEADS SWINE (GILT) - CROSSBRED OF LARGE WHITE AND LANDRACE - NOT LESS THAN 6 MONTHS OF AGE - MINIMUM BODYWEIGHT OF 60 KG. UPON DELIVERY - VACCINATED AGAINST HOG CHOLERA AND SWINE INFLUENZA - TESTED FOR PRRS, BRUCELLOSIS &amp; LEPTOSPIROSIS - FEMINI</t>
  </si>
  <si>
    <t xml:space="preserve"> Department of Public Works and Highways (DPWH) Contract ID: 20G00103 Contract Name: Construction/Rehabilitation of Water Supply/Septage and Sewerage/Rain Water Collectors – Rainwater Collector in Public Facilities in Region VI – Nine (9) units at ILOILO A</t>
  </si>
  <si>
    <t xml:space="preserve"> ABC AMOUNT      Php 100,000.00</t>
  </si>
  <si>
    <t xml:space="preserve"> INVITATION TO BID LGU-El Salvador City, Misamis Oriental through its BAC, invites interested bidders to apply for eligibility and if found eligible to bid for the contract: 1.	Contract ID No.	:	ITB No. 2020-06-053/Project ID No. 20-012-20% Name of Project</t>
  </si>
  <si>
    <t xml:space="preserve"> CONSTRUCTION OF ONE ROOM AT NARRA BARANGAY HEALTH CENTER, BRGY. NARRA, SAN MANUEL, PANGASINAN</t>
  </si>
  <si>
    <t xml:space="preserve"> Procurement ID/Contract I.D.: 20CN0126 Contract Name: Slope Protection along Nueva Ecija – Aurora Road Contract Location: (K0190+740 – K0190+890), (K0191+211 – K0191+260) Brief Description: Drainage and Slope Protection Structures Approved Budget for the </t>
  </si>
  <si>
    <t xml:space="preserve"> Issuance of Bid Documents Starts: June 24, 2020 Cost of Bid Document: Php 4,500.00 Venue of Dropping and Opening Bids: BAC Conference Room, Leyte SMED Center, Provincial Capitol Grounds, Tacloban City</t>
  </si>
  <si>
    <t xml:space="preserve"> 275sqm.x.15m Concrete Pavement</t>
  </si>
  <si>
    <t xml:space="preserve"> I. REMOVAL OF DELAPIDATED MATERIALS (ROOF, CEILING, TILES &amp; WATER CLOSET) 1 LOT II. ROOFING WORKS (REPLACEMENT DAMAGE PORTION ONLY) 4.08 CU.M. III. CEILING WORKS REPAIR 6.95 SQ.M. IV. TILE WORKS 40.07 SQ.M. V. C.R. FIXTURES 1 LOT VI. PARTATION WALL ( DOUB</t>
  </si>
  <si>
    <t xml:space="preserve"> Provision of quality service to the constituents through availability of office supplies, equipment, uniforms, other supplies and the refurbishing of Barangay Poblacion SK Office.</t>
  </si>
  <si>
    <t xml:space="preserve"> 1.	The Municipality of Esperanza, intends to apply the sum of  Two Hundred Four Thousand Three Hundred One Pesos (Php405,801.00) being the Approved Budget for the Contract (ABC) to payments under the contract for Supply and Delivery of  Animal Feeds, Drug</t>
  </si>
  <si>
    <t xml:space="preserve"> The Zamboanga del Norte 3rd District Engineering Office, through its Bids and Awards Committee (BAC), invites contractors to submit bids for the Contract:												 												 Contract ID:				20JD0109								 Contract Name:				Construction of 1 Unit T</t>
  </si>
  <si>
    <t xml:space="preserve"> Republic of the Philippines Province of Surigao del Sur Municipality of Lanuza Invitation to Bid for a Contract to Concreting of Road Infront of Municipal Hall 1.	The Local Government of Lanuza, Surigao del Sur has an available fund from 20% Local Develop</t>
  </si>
  <si>
    <t xml:space="preserve"> Republic of the Philippines DEPARTMENT OF PUBLIC WORKS AND HIGHWAYS CAGAYAN THIRD DISTRICT ENGINEERING OFFICE REGION II Tuguegarao City The DPWH-CAGAYAN THIRD DISTRICT ENGINEERING OFFICE, through the CY 2020 - BEFF intends to apply the sum of P14,984,179.</t>
  </si>
  <si>
    <t xml:space="preserve"> TIRES</t>
  </si>
  <si>
    <t xml:space="preserve"> FLUID &amp; 5 other items</t>
  </si>
  <si>
    <t xml:space="preserve"> Delivery Breakdown: Abra de Ilog, Occidental Mindoro - 15 units Magsaysay, Occidental Mindoro - 6 units  Sta. Cruz, Occidental Mindoro - 2 units Rizal, Occidental Mindoro - 8 units San Jose, Occidental Mindoro - 4 units</t>
  </si>
  <si>
    <t xml:space="preserve"> Republic of the Philippines DEPARTMENT OF PUBLIC WORKS AND HIGHWAYS CAGAYAN THIRD DISTRICT ENGINEERING OFFICE REGION II Tuguegarao City The DPWH-CAGAYAN THIRD DISTRICT ENGINEERING OFFICE, through the CY 2020 - BEFF intends to apply the sum of P15,271,813.</t>
  </si>
  <si>
    <t xml:space="preserve"> SAPALAN RIP CY 2020 PACKAGE 7:   Construction of 1-unit Sapalan Main Office Building</t>
  </si>
  <si>
    <t xml:space="preserve"> 2 lots I. Plastic Crate II. Plastic Bag</t>
  </si>
  <si>
    <t xml:space="preserve"> PURCHASE INDOOR CCTV  HIKVISION CAMERA 2MP FOR BRGY. NEW VISAYAS NOTE: Please see attached link below on Other Information for more reference.</t>
  </si>
  <si>
    <t xml:space="preserve"> Republic of the Philippines DEPARTMENT OF PUBLIC WORKS AND HIGHWAYS CAGAYAN THIRD DISTRICT ENGINEERING OFFICE REGION II Tuguegarao City The DPWH-CAGAYAN THIRD DISTRICT ENGINEERING OFFICE, through the CY 2020 - BEFF intends to apply the sum of P14,412,667.</t>
  </si>
  <si>
    <t xml:space="preserve"> Project Description:		 			Type: Reinforced Boulder Dike		 			Length: 68 l.m.		 			Height: 4.10 l.m. (from River Bed)	 	 			CONTRACT COST:		 1.			SPECIAL ITEM-GENERAL CONDITION		 1.1	LOT	1	Mobilization/Demobilization		8,000.00 1.2	LOT	1	Temporary Facility </t>
  </si>
  <si>
    <t xml:space="preserve"> INVITATION TO BID (National Competitive Bidding) The BFAR XIII, through its Bids and Awards Committee (BAC), invites eligible suppliers to bid for the hereunder contracts: Project Title: Supply and Delivery of Information Communication Technology (ICT) Eq</t>
  </si>
  <si>
    <t xml:space="preserve"> 1.	The West Visayas State University Medical Center, through its Use of Income Fund 2020 intends to apply the sum of TWO MILLION PESOS (PhP 2,000,000.00) ONLY being the Approved Budget for the Contract (ABC) to payments under the contract for the Procurem</t>
  </si>
  <si>
    <t xml:space="preserve"> Specs: Perimeter Fence: Length: 110.mts. height: 3.00 mts The significant times and deadlines of procurement activities are shown below:  Activities	Schedule 1. Receipt of LOIs from Prospective Bidders	June 24-30,2020 2. Issuance of Bidding Documents	July</t>
  </si>
  <si>
    <t xml:space="preserve"> Republic of the Philippines DEPARTMENT OF PUBLIC WORKS AND HIGHWAYS CAGAYAN THIRD DISTRICT ENGINEERING OFFICE REGION II Tuguegarao City The DPWH-CAGAYAN THIRD DISTRICT ENGINEERING OFFICE, through the CY 2020 - BEFF intends to apply the sum of P14,512,667.</t>
  </si>
  <si>
    <t xml:space="preserve"> SUPPLY AND DELIVERY OF COCO PEAT FOR OFFICIAL USE OF MECHANIZED AND MODERNIZED FOREST NURSERY (MMFN) AT TRP, SAN JUAN DE VALDEZ, SAN JOSE, TARLAC</t>
  </si>
  <si>
    <t xml:space="preserve"> BRAKE PADS/SHOE</t>
  </si>
  <si>
    <t xml:space="preserve"> 15 CU.M. DEMOLITION OF EXISTING STRUCTURE 398.2 KGS REBARS 40 SQ.M. FORMWORKS &amp; SCAFFOLDINGS 5.3 CU.M. CONCRETE WORKS 1 I.S ELECTRICAL WORKS 710 SQ.M. CEILING WORKS 718.2 SQ.M. PAINTING WORKS (CEILING) 1 LOT RAILINGS 194 SQ.M. ROOFING SYSTEM</t>
  </si>
  <si>
    <t xml:space="preserve"> INVITATION TO BID  IB-2020-009-GOODS-REG Procurement of Ten (10) units AED Plus Defibrillator with Complete set Accessories for the use of Road Emergency Group 1.	The Metropolitan Manila Development Authority (“MMDA”), through the  2019 LOCAL FUND 2020 Re</t>
  </si>
  <si>
    <t xml:space="preserve"> Delivery Breakdown: RIARC, Alcate, Victoria, Oriental Mindoro</t>
  </si>
  <si>
    <t xml:space="preserve"> Provincial Health Office Agusan del Norte</t>
  </si>
  <si>
    <t xml:space="preserve"> Issuance of Bid Documents Starts: June 24, 2020 Cost of Bid Document: Php 1,500.00 Venue of Dropping and Opening Bids: BAC Conference Room, Leyte SMED Center, Provincial Capitol Grounds, Tacloban City</t>
  </si>
  <si>
    <t xml:space="preserve"> Issuance of Bid Documents Starts: May 8, 2020 Cost of Bid Document: Php 1,500.00 Venue of Dropping and Opening Bids: BAC Conference Room, Leyte SMED Center, Provincial Capitol Grounds, Tacloban City</t>
  </si>
  <si>
    <t xml:space="preserve"> AIR FILTER &amp; 2 other items</t>
  </si>
  <si>
    <t xml:space="preserve"> PURCHASE OF ONE (1) UNIT MUNICIPAL VEHICLE (Sports Utility Vehicle), Banate, Iloilo Specifications: *engine displacement: 2, 488cc *number of Cylinder : 4 cylinder *fuel: diesel *other specifications: -power steering -6SRS airbags -7-speed automatic trans</t>
  </si>
  <si>
    <t xml:space="preserve"> 1458.93 cu.m Pipeline Excavation 6871.7  Lm  Installation ofPipelines &amp; Fittings 90.00  cu.m  Sand Bedding 1635.68  cu.m Backfilling and Compaction  5.00 units Blow Off Valve Assembly &amp; Air Release Valve 16.00  units Installation of Stubout 2.00  units Si</t>
  </si>
  <si>
    <t xml:space="preserve"> The DPWH-Ilocos Norte Second District Engineering Office, through its Bids and Awards Committee (BAC), invites contractors to submit bids for the Contract: Procurement ID/Contract ID: 20AB0121 Contract Name/Location: REPAIR/ REHABILITATION OF SLOPE PROTEC</t>
  </si>
  <si>
    <t xml:space="preserve"> SWITCH 16 PORTS</t>
  </si>
  <si>
    <t xml:space="preserve"> Republic of the Philippines Province of South Cotabato BIDS AND AWARDS COMMITTEE Salada Street, Poblacion Tupi, South Cotabato Tel. Fax No.: (083) 226-1045 INVITATION TO BID FOR THE SUPPLY AND DELIVERY OF ONE (1) UNIT ASIAN UTILITY VEHICLE (AUV) (RE-BID) </t>
  </si>
  <si>
    <t xml:space="preserve"> Invitation to Bid for  CY 2020 Quick Response Fund /Rehabilitation of Classrooms (Cluster 3 – Masipit ES, Tawagan ES) 1.	The Department of Education (DepED) Schools Division of Calapan City, through the CY 2020 Quick Response Fund Repair/Rehabilitation of</t>
  </si>
  <si>
    <t xml:space="preserve"> PAINT ASSORTED COLORS for automotive</t>
  </si>
  <si>
    <t xml:space="preserve"> Rehabilitation of Water System at Brgy. Pagsangahan, San Miguel, Catanduanes. Scope of Works:  1. 4,000L Water Tank: Staking layout &amp; False Works, Excavation of Footing &amp; Site, Backfill, Concrete Works for footing &amp; Slab, masonry Works, Plastering (one fa</t>
  </si>
  <si>
    <t xml:space="preserve"> Construction of One (1) Unit 16m x 28.0 mMulti-Purpose/Evacuation Center</t>
  </si>
  <si>
    <t xml:space="preserve"> PURCHASE OUTDOOR CCTV HIKVISION OUTDOOR CCTV HEAVY DUTY FOR BRGY. NEW VISAYAS NOTE: PLEASE SEE ATTACHED LINK BELOW ON OTHER INFORMATION FOR MORE REFERENCE</t>
  </si>
  <si>
    <t xml:space="preserve"> Name of Project:      1. Construction of Road Improvement of CM Recto &amp; Española Ave. with Solar Light  		           Component Phase IV  Location:                      Brgy., Cabinuangan,New Bataan, Davao De Oro Brief Description:                         </t>
  </si>
  <si>
    <t xml:space="preserve"> Rehabilitation of Water System at Brgy. Balatohan, San Miguel, Catanduanes. Scope of Works:  1. 4,000L Water Tank: Staking Layout &amp; False Works, Excavation of Footing &amp; Site, Backfill, Concrete Works for Footing &amp; Slab, Masonry Works, Plastering (one face</t>
  </si>
  <si>
    <t xml:space="preserve"> SUPPLY &amp; DELIVERY OF MATERIALS</t>
  </si>
  <si>
    <t xml:space="preserve"> Extension/Construction of SLR Covered Court as Evacuation Center</t>
  </si>
  <si>
    <t xml:space="preserve"> Invitation to Bid for  CY 2020 Quick Response Fund /Rehabilitation of Classrooms (Cluster 4 – Suqui ES, Guinobatan ES &amp; N. Aboboto MS) 1.	The Department of Education (DepED) Schools Division of Calapan City, through the CY 2020 Quick Response Fund Repair/</t>
  </si>
  <si>
    <t xml:space="preserve"> DEPARTMENT OF PUBLIC WORKS AND HIGHWAYS CAGAYAN THIRD DISTRICT ENGINEERING OFFICE REGION II Tuguegarao City The DPWH-CAGAYAN THIRD DISTRICT ENGINEERING OFFICE, through the CY 2020 - BEFF intends to apply the sum of P14,212,667.20 being the Approved Budget</t>
  </si>
  <si>
    <t xml:space="preserve"> various general medicines</t>
  </si>
  <si>
    <t xml:space="preserve"> TALAYAN RIS EXTENSION PROJECT CY 2020: Construction of 2.6 km lined canal at sta. 1+600 to sta. 4+200 Lateral B Extension, 5-units Canal Structures and 2.6km Service Road with Road Surfacing at sta. 1+600 to sta. 4+200 Lateral B Extension.</t>
  </si>
  <si>
    <t xml:space="preserve"> FOR THE DETAILS, YOU CAN SEND YOUR INQUIRY THRU EMAIL.  FOR THE SITE INSPECTION, YOU CAN DIRECTLY CONTACT: MR. R.L. VEGA, Jr., Division Manager-Agus 7 HEP</t>
  </si>
  <si>
    <t xml:space="preserve"> CUTTING DISC &amp; 1 other item</t>
  </si>
  <si>
    <t xml:space="preserve"> LASER</t>
  </si>
  <si>
    <t xml:space="preserve"> Republic of the Philippines MUNICIPALITY OF BUNAWAN, AGUSAN DEL SUR Invitation to Bid/ Instruction to Bidders PURCHASE OF DOUBLE ARM STEEL TAPERED LAMP POST FOR REHABILITATION/ IMPROVEMENT OF CENTER ISLAND AND STREET LIGHT, SAN TEODORO, BUNAWAN, AGUSAN DE</t>
  </si>
  <si>
    <t xml:space="preserve"> Republic of the Philippines Province of Sultan Kudarat Municipality of Sen. Ninoy Aquino BIDS AND AWARDS COMMITTEE INVITATION TO BID FOR Acquisition of One (1) Unit 4x4 Brand New Rescue Vehicle 1. The Municipal Government of Senator Ninoy Aquino, through </t>
  </si>
  <si>
    <t xml:space="preserve"> MAIN DOCUMENT</t>
  </si>
  <si>
    <t xml:space="preserve"> Issuance of Bid Documents Starts: June 24, 2020 Cost of Bid Document: Php 1,000.00 Venue of Dropping and Opening Bids: BAC Conference Room, Leyte SMED Center, Provincial Capitol Grounds, Tacloban City</t>
  </si>
  <si>
    <t xml:space="preserve"> Various Maintenance Medicines</t>
  </si>
  <si>
    <t xml:space="preserve"> The Philippine Statistics Authority – Regional Statistical Services Office XIII (PSA-RSSO XIII), through the 2020 General Appropriations Act (General Fund) intends to apply the sum of SEVEN MILLION TWO THOUSAND ONE HUNDRED PESOS ONLY (PhP 7,002,100.00) be</t>
  </si>
  <si>
    <t xml:space="preserve"> Purchase of one (1) unit Multi-purpose vehicle for conversion into a rescue vehicle, equipped with the necessary equipment and apparatus.</t>
  </si>
  <si>
    <t xml:space="preserve"> Republic of the Philippines Province of Ilocos Norte MUNICIPALITY OF PINILI INVITATION TO BID FOR  “SUPPLY OF FERTILIZER” 1.	The Municipality of Pinili, Ilocos Norte through the RA 7171  intends to apply the sum SEVEN MILLION THREE HUNDRED FORTY THREE THO</t>
  </si>
  <si>
    <t xml:space="preserve"> Republic of the Philippines DEPARTMENT OF PUBLIC WORKS AND HIGHWAYS PANGASINAN IV DISTRICT ENGINEERING OFFICE REGIONAL OFFICE I Tuliao, Sta. Barbara, Pangasinan Invitation to Bid for  Construction of Two (2) Storey Six (6) Classroom School Building, Balit</t>
  </si>
  <si>
    <t xml:space="preserve"> INVITATION TO BID: 1. Project Title: Procurement of Reference Books and Instructional Materials for PUP Branches and Campuses 2. Approved Budget for the Contract: Php 3,996,727.93 3. Pre-bid Conference: June 2, 2020, 10:00 a.m. Dr. Pablo T. Mateo Conferen</t>
  </si>
  <si>
    <t xml:space="preserve"> Project Billboard Structure Excavation (Common Soil) Embankment from Structure Excavation Gravel Bedding Structural Concrete RSB Formworks &amp; Scaffoldings Masonry Wooden Doors Fixed and Windows Plain Cement Plaster Finish Railings/Handrails Tile Works Conc</t>
  </si>
  <si>
    <t xml:space="preserve"> Republic of the Philippines Province of Nueva Vizcaya BIDS AND AWARDS COMMITTEE (BAC-Goods) BAC OFFICE, Provincial Capitol, Bayombong, Nueva Vizcaya Tel. No. 078-392-2062 	 2ND INVITATION TO BID FOR THE SUPPLY AND DELIVERY OF VETERINARY MEDICAL SUPPLIES (</t>
  </si>
  <si>
    <t xml:space="preserve"> The Municipality of Limay, through its Bids and Awards Committee (BAC) invites registered suppliers to apply for eligibility and if found eligible, to bid for the hereunder project/contract: Project/Contract:     SUPPLY AND DELIVERY OF HOUSEHOLD PLATES Lo</t>
  </si>
  <si>
    <t xml:space="preserve"> Republic of the Philippines CARAGA Administrative Region PROVINCE OF DINAGAT ISLANDS San Jose, Dinagat Islands BIDS AND AWARDS COMMITTEE INVITATION TO BID FOR  SUPPLY AND DELIVERY OF ONE (1) UNIT BRAND NEW 4X2 SUV 1.	The Provincial Government of Dinagat I</t>
  </si>
  <si>
    <t xml:space="preserve"> One job furnishing labor and materials for the CONSTRUCTION OF BULLETIN BOARD AND SIGNAGES, BANATE, ILOILO</t>
  </si>
  <si>
    <t xml:space="preserve"> `Republic of the Philippines DEPARTMENT OF PUBLIC WORKS AND HIGHWAYS LAGUNA I  DISTRICT ENGINEERING OFFICE REGIONAL OFFICE NO. IV-A 	Santa Cruz, Laguna	            Invitation to Bid The Department of Public Works and Highways- Laguna I District Engineerin</t>
  </si>
  <si>
    <t xml:space="preserve"> Republic of the Philippines Province of Aklan Municipality of Kalibo INVITATION TO BID FOR THE CONSTRUCTION OF TWO-STOREY  FOUR CLASSROOM SCHOOL BUILDING (PHASE 1) The Municipality of Kalibo, through the General Fund 2020, intends to apply the sum of One </t>
  </si>
  <si>
    <t xml:space="preserve"> Republic of the Philippines DEPARTMENT OF PUBLIC WORKS AND HIGHWAYS CAMARINES SUR 2ND DISTRICT ENGINEERING OFFICE Regional Office V Baras, Canaman, Camarines Sur INVITATION TO BID FOR  20FE0127 – CONSTRUCTION OF CLASSROOMS, SAN JUAN NATIONAL HIGH SCHOOL, </t>
  </si>
  <si>
    <t xml:space="preserve"> Improvement of MPP Training Center cum mess Hall to be used for isolation facility during Pandemic</t>
  </si>
  <si>
    <t xml:space="preserve"> FEASIBILITY STUDY (F/S) ON THE SOLID WASTE MANAGEMENT FACILITY (LGU SANITARY LANDFILL) FOR THE FOUR (4) LOCAL GOVERNMENT UNIT-CLUSTERS (LGU-CLUSTERS) OF LANUZA AND SAN AGUSTIN IN SURIGAO DEL SUR, DINAGAT IN THE PROVINCE OF DINAGAT ISLANDS AND VERUELA IN A</t>
  </si>
  <si>
    <t xml:space="preserve"> REQUEST FOR QUOTATIONS Procurement of  Volt Meter Data Logger Note:  Please see attached document for complete specifications. REMINDERS: 1.) Pls. see associated components for the attached approved canvass form for complete specifications. 2.) Only the a</t>
  </si>
  <si>
    <t xml:space="preserve"> Invitation to Bid No. 2020-PB-05 FOR Engagement of Mailing Service of PRO IVA for CY 2020 1.	The PhilHealth Regional Office IVA (PRO-IVA), through the Corporate Operating Budget (COB) 2020 and Approved Budget for the Contract (ABC) intends to apply the su</t>
  </si>
  <si>
    <t xml:space="preserve"> BIDS AND AWARDS COMMITTEE INVITATION TO BID (ITB) The LOCAL GOVERNMENT UNIT OF BILIRAN, through its BIDS AND AWARDS COMMITTEE (BAC) invites Bidders/Suppliers to bid for the Construction of the following: 1.	URBAN GREENING/LANDSCAPING					Php 2,025,533.50 </t>
  </si>
  <si>
    <t xml:space="preserve"> Rehabilitation/Improvement of Two (2) Storey 8 Classroom Academic Building (Phase II) LSPU Siniloan Campus, Siniloan, Laguna”, A = 10.5 mtrs x 40.05 mtrs.,  work includes the following: Finishing Works, Ceiling, Electrical Rehabilitation and Installation,</t>
  </si>
  <si>
    <t xml:space="preserve"> Republic of the Philippines CARAGA Administrative Region PROVINCE OF DINAGAT ISLANDS San Jose, Dinagat Islands BIDS AND AWARDS COMMITTEE INVITATION TO BID FOR  SUPPLY AND DELIVERY OF INORGANIC FERTILIZER 1.	The Provincial Government of Dinagat Islands, th</t>
  </si>
  <si>
    <t xml:space="preserve"> BIDS AND AWARDS COMMITTEE INVITATION TO BID (ITB) The LOCAL GOVERNMENT UNIT OF BILIRAN, through its BIDS AND AWARDS COMMITTEE (BAC) invites Bidders/Suppliers to bid for the Construction of the following: 1.	REHAB OF BREAK WATER/SEAWALL					Php 3,119,303.4</t>
  </si>
  <si>
    <t xml:space="preserve"> Item No. 	Item Description					QTY.	Unit	Unit Price	Total Price 1	Digital / Analog Repaeater					1	lot		 	Specifications:								 	136-174Mhz, digital repeater system with built-in power supply, NTC license/engineering plan (1ch duplex), with the followin</t>
  </si>
  <si>
    <t xml:space="preserve"> Contract for the Improvement of Water System, Barangay Bobongon, Santo Tomas The Municipality of Santo Tomas, through Supplemental Budget #3 CY 2020 intends to apply the sum of P’ 14,999,975.17  being the Approved Budget for the Contract (ABC) to payments</t>
  </si>
  <si>
    <t xml:space="preserve"> Republic of the Philippines Province of Lanao del Norte Municipality of Tubod OFFICE OF THE BIDS AND AWARDS COMMITTEE INVITATION TO BID CONSTRUCTION/DEVELOPMENT OF SANITARY LANDFILL   Barangay Tubaran, Tubod, Lanao del Norte  (ITB-2020-JDL-006) Approved B</t>
  </si>
  <si>
    <t xml:space="preserve"> INVITATION TO BID 	 The Municipality of Liloan, Southern Leyte through its Bids and Awards Committee (BAC), invites suppliers/manufacturers/distributors/contractors to bid for the: 1.	Procurement of Electrical Fixtures and Accessories Location:  Poblacion</t>
  </si>
  <si>
    <t xml:space="preserve"> INVITATION TO BID LGU-El Salvador City, Misamis Oriental through its BAC, invites interested bidders to apply for eligibility and if found eligible to bid for the contract: 1.	Contract ID No.	:	ITB No. 2020-06-055/Project ID No. 19-007-20% &amp; 20-011-20% Na</t>
  </si>
  <si>
    <t xml:space="preserve"> Republic of the Philippines DEPARTMENT OF PUBLIC WORKS AND HIGHWAYS CAMARINES SUR 2ND DISTRICT ENGINEERING OFFICE Regional Office V Baras, Canaman, Camarines Sur INVITATION TO BID FOR  20FE0128 – CONSTRUCTION OF CLASSROOMS, MANTALISAY ES, LIBMANAN, CAMARI</t>
  </si>
  <si>
    <t xml:space="preserve"> Extension of Building 2</t>
  </si>
  <si>
    <t xml:space="preserve"> DOST Region 02 is inviting bidders to submit their lowest price(s) on the services needed. Please read the instructions below. INSTRUCTIONS: 1. Bidders are required to read the instructions and fill out the blanks properly. Prospective suppliers are requi</t>
  </si>
  <si>
    <t xml:space="preserve"> MUNICIPALITY OF BORBON LOCATION: BARANGAY TABUNAN TO BARANGAY BAGACAY DESCRIPTION: OTHER GENERAL REQUIREMENTS = 348,233.37 EARTHWORKS = 1,083,274.65 SUB BASE AND BASE COURSE = 1,016,140.08 SURFACE COURSES = 7,438,369.05 DRAINAGE AND SLOPE PROTECTION = 113</t>
  </si>
  <si>
    <t xml:space="preserve"> INVITATION TO BID FOR THE PROCUREMENT OF JANITORIAL SERVICES FOR SIX (6) MONTHS  (ITB NO. 2020-029) 1.	The Tourism Promotions Board (TPB), through the Corporate Budget FY 2020, intends to apply the sum of  Two Million Fifty-Two Thousand Six Hundred Sevent</t>
  </si>
  <si>
    <t xml:space="preserve"> Invitation to Bid PROCUREMENT OF MOVING SERVICES  (PEZA-HO-2020-01) 1.	The Philippine Economic Zone Authority (PEZA), through its Corporate Operating Budget for CY 2020 intends to apply the sum of P2,000,000.00 being the Approved Budget for the Contract (</t>
  </si>
  <si>
    <t xml:space="preserve"> Please see attached associated components.</t>
  </si>
  <si>
    <t xml:space="preserve"> Please see Invitation to Bid and Bidding Documents attached to Associated Components. Lot 1 - Polo Shirts and Bags Lot 2 - Customized/Souvenir Items Lot 3 - Reproduction of Primer, Comics, Manuals, Training Workbook, and Administrative Forms Lot 4 - Tarpa</t>
  </si>
  <si>
    <t xml:space="preserve"> REQUEST FOR QUOTATIONS Supply and Delivery of Waterbath Note:  Please see attached document for complete specifications. REMINDERS: 1.) Pls. see associated components for the attached approved canvass form for complete specifications. 2.) Only the approve</t>
  </si>
  <si>
    <t xml:space="preserve"> Road Opening</t>
  </si>
  <si>
    <t xml:space="preserve"> INVITATION TO BID FOR PROVISION OF MULTI-YEAR CONTRACT FOR  SUBSCRIPTION TO A WATER TESTING AND ANALYSIS FOR THE WATER SUPPLY OF DSWD-CENTRAL OFFICE FOR CY 2020-2022 —  ITB NO. GOP/20-DSWD-040— (PR No. 01-20001-PR-2020-05-00031, 2020050120 and 2020050121)</t>
  </si>
  <si>
    <t xml:space="preserve"> Republic of the Philippines Province of Eastern Samar Municipality of Mercedes OFFICE OF THE BIDS AND AWARDS COMMITTEE (BAC) INVITATION TO BID # INFRA-2020- 007  INVITATION TO BID FOR THE PROPOSED BRGY. SUNG-AN &amp; BRGY. SAN JOSE ECO-PARK DEVELOPMENT (PHASE</t>
  </si>
  <si>
    <t xml:space="preserve"> I N V I T A T I O N   T O   B I D  The Visayas State University through its Bids and Awards Committee (BAC), invites suppliers/manufacturers/distributors to apply for eligibility and to bid for the hereunder project: Name of Project		 :  Supply and Delive</t>
  </si>
  <si>
    <t xml:space="preserve"> CONSTRUCTION SUPERVISION AND MANAGEMENT CONSULTANCYSERVICES FOR THE TWO (2) STOREY OFFICE BUILDING WITH RECORDS ROOM AND WAREHOUSE LOCATED RGC COMPOUND, CARIG SUR, TUGUEGARAO CITY 1.	The Metropolitan Tuguegarao Water District, through the Corporate Budget</t>
  </si>
  <si>
    <t xml:space="preserve"> BIDS AND AWARDS COMMITTEE INVITATION TO BID (ITB) The LOCAL GOVERNMENT UNIT OF BILIRAN, through its BIDS AND AWARDS COMMITTEE (BAC) invites Bidders/Suppliers to bid for the Purchase of the following: 1.	PURCHASE AND DELIVERY OF CASSAVA GRATER AND DRESSER	</t>
  </si>
  <si>
    <t xml:space="preserve"> I N V I T A T I O N   T O   B I D  The Visayas State University (VSU) through its Bids and Awards Committee (BAC) invites contractors to bid for the hereunder project: Name of Project 	:  Renovation of University Students Services Office (INFRA-20-07) Loc</t>
  </si>
  <si>
    <t xml:space="preserve"> REQUEST FOR QUOTATIONS Procurement of Various Swimming Pool Supplies Note:  Please see attached document for complete specifications. REMINDERS: 1.) Pls. see associated components for the attached approved canvass form for complete specifications. 2.) Onl</t>
  </si>
  <si>
    <t xml:space="preserve"> REQUEST FOR QUOTATIONS Supply and Delivery of Incubator Note:  Please see attached document for complete specifications. REMINDERS: 1.) Pls. see associated components for the attached approved canvass form for complete specifications. 2.) Only the approve</t>
  </si>
  <si>
    <t xml:space="preserve"> Republic of the Philippines Province of Nueva Vizcaya BIDS AND AWARDS COMMITTEE (BAC-Goods) BAC OFFICE, Provincial Capitol, Bayombong, Nueva Vizcaya Tel. No. 078-392-2062 	 2ND INVITATION TO BID FOR THE SUPPLY AND DELIVERY OF CONSTRUCTION MATERIALS    FOR</t>
  </si>
  <si>
    <t xml:space="preserve"> CONCRETING OF BRGY. FMR</t>
  </si>
  <si>
    <t xml:space="preserve"> Republic of the Philippines CARAGA Administrative Region PROVINCE OF DINAGAT ISLANDS San Jose, Dinagat Islands BIDS AND AWARDS COMMITTEE INVITATION TO BID FOR  SUPPLY AND DELIVERY OF AGRICULTURAL &amp; FISHERY MACHINERIES AND EQUIPMENT 1.	The Provincial Gover</t>
  </si>
  <si>
    <t xml:space="preserve"> ` Republic of the Philippines DEPARTMENT OF PUBLIC WORKS AND HIGHWAYS LAGUNA I  DISTRICT ENGINEERING OFFICE REGIONAL OFFICE NO. IV-A 	Santa Cruz, Laguna	            Invitation to Bid The Department of Public Works and Highways- Laguna I District Engineeri</t>
  </si>
  <si>
    <t xml:space="preserve"> Invitation to Bid No. 2020-PB-06 FOR Supply and Delivery of Various Furniture for PRO IVA 1.	The PhilHealth Regional Office IVA (PRO-IVA), through the Corporate Operating Budget (COB) 2020 and Approved Budget for the Contract (ABC) intends to apply the su</t>
  </si>
  <si>
    <t xml:space="preserve"> The Metro Kalibo Water District, through the Bids and Awards Committee (BAC), will undertake Negotiated Procurement (Small Value Procurement) for the SUPPLY &amp; DELIVERY OF TWENTY-FIVE (25) PAILS CALCIUM HYPOCHLORITE GRANULES (45KGS. /PAIL, 70% CHLORINE CON</t>
  </si>
  <si>
    <t xml:space="preserve"> Invitation to Bid Republic of the Philippines Philippine Rural Development Project Invitation to Bid for the Supply and Delivery of Ten (10) Heads Pregnant Holstein X Jersey Heifers Crosses (50:50) Loan No. 8421-PH PRDP-IR-R04A-BTG-003-TAN-001-2017 June 2</t>
  </si>
  <si>
    <t xml:space="preserve"> One job furnishing labor and materials for the CONSTRUCTION OF THREE (3) – UNITS FARMER CENTERS AT BRGY. MERCED, BRGY.CARMELO &amp; BRGY.LIBERTAD, BANATE, ILOILO</t>
  </si>
  <si>
    <t xml:space="preserve"> INVITATION TO BID FOR Procurement of Infra [Fabrication and Installation of City Traffic Signage with Post (400 units)] The City Government of Tagbilaran, through the AO No. 19-05 for FY 2020, intends to apply the sum of One Million Five Hundred Ninety Ni</t>
  </si>
  <si>
    <t xml:space="preserve"> REQUEST FOR QUOTATIONS Supply and Delivery of Heating Mantle Note:  Please see attached document for complete specifications. REMINDERS: 1.) Pls. see associated components for the attached approved canvass form for complete specifications. 2.) Only the ap</t>
  </si>
  <si>
    <t xml:space="preserve"> 1.            The Local Government Unit of Pasil,  through the 2020 Supplemental Budget (MLGU 2019 Savings-General Fund)-Appropriation Ordinance No. 04-2020 , intends to apply the sum of Four Hundred Fifty Thousand Pesos Only (₱ 450,000.00) being the Appr</t>
  </si>
  <si>
    <t xml:space="preserve"> 1.	The Province of Cebu through the 2020 General Fund, intends to apply the sum of TWENTY MILLION PESOS AND 00/100 (Php20,000,000.00) being the Approved Budget for the Contract (ABC) to payments under the contract for the CONCRETING/IMPROVEMENT OF YATI- T</t>
  </si>
  <si>
    <t xml:space="preserve"> INVITATION TO BID FOR THE Procurement of 20 units of Laptop  1. The Department of Agriculture-Regional Field Office 7, through the GAA 2020 intends to apply the sum of Nine Hundred Ninety Thousand Pesos (₱ 990,000.00) being the Approved Budget for the Con</t>
  </si>
  <si>
    <t xml:space="preserve"> INVITATION TO BID 1.	The Province of Cebu through the 2020 General Fund, intends to apply the sum of TWELVE MILLION PESOS AND 00/100 (Php12,000,000.00) being the Approved Budget for the Contract (ABC) to payments under the contract for the CONCRETING/IMPR</t>
  </si>
  <si>
    <t xml:space="preserve"> INVITATION TO BID 1.	The Province of Cebu through the 2020 General Fund, intends to apply the sum of TWENTY-EIGHT MILLION SIX HUNDRED TWENTY THOUSAND PESOS AND 00/100 (Php28,620,000.00) being the Approved Budget for the Contract (ABC) to payments under th</t>
  </si>
  <si>
    <t xml:space="preserve"> INVITATION TO BID DREDGING OF CREEK 	The Local Government Unit of Rizal, Cagayan intends to apply the sum of FIVE HUNDRED THOUSAND PESOS(P500,000.00) being the Approved Budget for the Contract (ABC) for the DREDGING OF CREEK from Mayor’s Office (Donation </t>
  </si>
  <si>
    <t xml:space="preserve"> Const. of one (1)public building.</t>
  </si>
  <si>
    <t xml:space="preserve"> BIDS AND AWARDS COMMITTEE INVITATION TO BID (ITB) The LOCAL GOVERNMENT UNIT OF BILIRAN, through its BIDS AND AWARDS COMMITTEE (BAC) invites Bidders/Suppliers to bid for the Purchase of the following: 1.	PURCHASE AND DELIVERY OF WATER PIPES			 	Php 253,740</t>
  </si>
  <si>
    <t xml:space="preserve"> Republic of the Philippines Province of Quezon Municipality of Macalelon Invitation to Bid for the  LOCAL ACCESS ROAD-ROAD UPGRADING (CONCRETE PAVING OF BARANGAY AMONTAY FMR) Reference No. 2020-06-314-ME 										June 25, 2020 1.	The LGU-Macalelon, Quezo</t>
  </si>
  <si>
    <t xml:space="preserve"> Bicol Medical Center Concepcion Pequeña, Naga City, 4400 (0998-247-0239/0906-256-9238          E-mail Address: bmc.bacoffice@gmail.com INIVITATION TO BID PROCUREMENT OF ELECTRICAL/PLUMBING/CARPENTRY/PAINTING SUPPLIES ITB No. 2020-14 1.	The BICOL MEDICAL C</t>
  </si>
  <si>
    <t xml:space="preserve"> The project includes:  1. Project Billboard 2. Sub-grade Preparation 3. Embankment 4. Aggregate Base Course 5. PCCP</t>
  </si>
  <si>
    <t xml:space="preserve"> Republic of the Philippines CITY OF BAIS BIDS AND AWARDS COMMITTEE INVITATION TO APPLY FOR ELIGIBILITY AND TO BID 	The City Government of Bais invites interested bidders to apply for eligibility and to bid for Installation of Street Lighting System at Str</t>
  </si>
  <si>
    <t xml:space="preserve"> BIDS AND AWARDS COMMITTEE INVITATION FOR NEGOTIATIONS (TWO-FAILED BIDDINGS) 1.	 3M PHILIPPINES INC.      2.    LEXICON PRESS, INC.          3.   FORMS INTERNATIONAL                         Taguig City                          Quezon City                  </t>
  </si>
  <si>
    <t xml:space="preserve"> INVITATION TO BID 1.	The Province of Cebu through the 2020 General Fund, intends to apply the sum of THIRTY-ONE MILLION THREE HUNDRED EIGHTY THOUSAND PESOS AND 00/100 (Php31,380,000.00) being the Approved Budget for the Contract (ABC) to payments under th</t>
  </si>
  <si>
    <t xml:space="preserve"> Republic of the Philippines CITY OF BAIS BIDS AND AWARDS COMMITTEE INVITATION TO APPLY FOR ELIGIBILITY AND TO BID 	The City Government of Bais invites interested bidders to apply for eligibility and to bid for Rehabilitation of Daycare Centers @ Brgy. Bas</t>
  </si>
  <si>
    <t xml:space="preserve"> ENGINE AND SPECIFICATIONS                                                         1GD-FTV-4 Cylinders, In-line Type, 16 -Valve DOHC, 2,755 cc, 176/3,400 Ps/Rpm, 420/1,400-2,600Nm/Rpm, 92.0x103.6mm, 15.6:1 compression ratio, Common Rail Type Fuel System, E</t>
  </si>
  <si>
    <t xml:space="preserve"> PCCP (full width), Retaining Wall and Slope Protection</t>
  </si>
  <si>
    <t xml:space="preserve"> PCCP (full width)</t>
  </si>
  <si>
    <t xml:space="preserve"> Grouted Riprap, PCCP (full width), Road Opening</t>
  </si>
  <si>
    <t xml:space="preserve"> REQUEST FOR QUOTATIONS Supply and Delivery of Distillation Set-up Note:  Please see attached document for complete specifications. REMINDERS: 1.) Pls. see associated components for the attached approved canvass form for complete specifications. 2.) Only t</t>
  </si>
  <si>
    <t xml:space="preserve"> Improvement of Water tank, Installation of G.I Pipe with Skyline and Anchor, Laying of Hose.</t>
  </si>
  <si>
    <t xml:space="preserve"> PCCP (Full Width)</t>
  </si>
  <si>
    <t xml:space="preserve"> I. INTRODUCTION Marcopper Mining Corporation (MMC) is a Philippine mining company incorporated in 1964 wherein Canada-based Placer Dome, Inc. has a 39.9% shareholding. Placer Dome acquired that interest after an association with the exploration of the min</t>
  </si>
  <si>
    <t xml:space="preserve"> Construction of Intake tank, Laying of HDPE Hose w/ Skyline and Anchor.</t>
  </si>
  <si>
    <t xml:space="preserve"> Concreting of Footpath</t>
  </si>
  <si>
    <t xml:space="preserve"> Concreting of Ground, Concrete Canal, Steel Grills</t>
  </si>
  <si>
    <t xml:space="preserve"> Construction of Ramp w/ Railings, Drainage Canal, Concrete Pavement &amp; Steel Gate</t>
  </si>
  <si>
    <t xml:space="preserve"> REQUEST FOR QUOTATION Supply, Delivery and Installation of Furniture and Fixtures for Workstation of OVPRE-PCAARRD-IP-TBM SUSTAIN Project 1. The Cavite State University (CvSU) invites interested firms/suppliers to submit quotation for the project “Supply,</t>
  </si>
  <si>
    <t xml:space="preserve"> Concreting of Ground</t>
  </si>
  <si>
    <t xml:space="preserve"> Section I. Invitation to Bid SUPPLY OF LABOR, EQUIPMENT AND RESTORATION MATERIALS FOR THE INSTALLATION, TESTING AND COMMISSIONING OF 300MM DIA. AND 150MM DIA. TRANSMISSION LINE ALONG MAIN AVENUE, SAN GABRIEL, TUGUEGARAO CITY PHASE 4 1.	The Metropolitan Tu</t>
  </si>
  <si>
    <t xml:space="preserve"> PCCP (Full width)</t>
  </si>
  <si>
    <t xml:space="preserve"> Diesel and Oil and Lubricants (attached request for quotation)</t>
  </si>
  <si>
    <t xml:space="preserve"> Apalit Floridablanca Pampanga</t>
  </si>
  <si>
    <t xml:space="preserve"> Retaining Wall</t>
  </si>
  <si>
    <t xml:space="preserve"> PCCP (tirepath)</t>
  </si>
  <si>
    <t xml:space="preserve"> INVITATION TO BID  The Local Government Unit of Don Victoriano, through its Bids and Awards Committee (BAC), invites suppliers/contractors to apply for eligibility and to bid for the hereunder project: Name of Project:			Proposed Material Recovery Facilit</t>
  </si>
  <si>
    <t xml:space="preserve"> PCCP (Tirepath)</t>
  </si>
  <si>
    <t xml:space="preserve"> Grouted Riprap, PCCP</t>
  </si>
  <si>
    <t xml:space="preserve"> PCCP</t>
  </si>
  <si>
    <t xml:space="preserve"> OPENING OF BIDS IN DSWD FO IX ZAMBOANGA CITY		 DELIVERY IN RSCC-DSWD, MAMPANG ZAMBAONGA CITY		 PROCUREMENT FOR THE FF.:		 		 1 LOT  FURNITURE AND FIXTURE		 3	SET	SALA SET 3	PCS	CHANDELIER 12	PCS	FRAMES 10	UNIT	WOODEN PARTITION 3	UNIT	FURNITURE REVOLVING B</t>
  </si>
  <si>
    <t xml:space="preserve"> PROJECT TITLE : CONSTRUCTION OF MULTI-PURPOSE BUILDING (GEN SET HOUSING - PHASE I) PROJECT LOCATION : BRGY NORTH POBLACION, JOSE PANGANIBAN, CAMARINES NORTE DURATION : 80 DAYS ABC : 500,000.00 SOURCE OF FUND 20% CDF 2020</t>
  </si>
  <si>
    <t xml:space="preserve"> Embankment, Road Clearing, Grouted Riprap, PCCP (Tirepath)</t>
  </si>
  <si>
    <t xml:space="preserve"> INVITATION TO BID SUPPLY, DELIVERY, INSTALLATION, TESTING,  APPLICATIONS TRAINING, AND COMMISSIONING OF  VARIOUS MEDICAL EQUIPMENT (Batch 3)  FOR GOV. CELESTINO GALLARES MEMORIAL HOSPITAL  1.	The Gov. Celestino Gallares Memorial Hospital, through Hospital</t>
  </si>
  <si>
    <t xml:space="preserve"> 1 Generator Set 100 KVA Generator Set (Silent type) Manual Transmission Switch (MTS) Copper Wires 120mm dia. 2 1/2 RSC Pipes Housing (Control room) xxxxxxxxxxxxxxxxxxxxxxxxxxxxxxxxxxxxxxxxxxx Nothing follows xxxxxxxxxxxxxxxxxxxxxxxxxxxxxxxxxxxxxxxx</t>
  </si>
  <si>
    <t xml:space="preserve"> PCCP (full width and tirepath)</t>
  </si>
  <si>
    <t xml:space="preserve"> Please see attachment</t>
  </si>
  <si>
    <t xml:space="preserve"> BARANGAY TANZA 2 BIDS AND AWARDS COMMITTEE Barangay Tanza 2,  Navotas City 									Date: Company Name: Adress: Contact Nos. 	Please quote your lowest price on the item/s listed below, subject to the general conditions on the last page, starting the short</t>
  </si>
  <si>
    <t xml:space="preserve"> PROJECT TITLE : CONCRETING OF ACCESS ROAD (BRGY STA ELENA) PROJECT LOCATION : BRGY STA ELENA, JOSE PANGANIBAN, CAMARINES NORTE ABC : 400,000.00 DURATION : 71 DAYS SOURCE OF FUND : 20% CDF 2020</t>
  </si>
  <si>
    <t xml:space="preserve"> BIDS AND AWARDS COMMITTEE INVITATION TO BID 	The City Government of Valenzuela, through its Bids and Award Committee (BAC), invites interested suppliers, to apply for eligibility and to bid for the hereunder listed project to wit:      Project Reference N</t>
  </si>
  <si>
    <t xml:space="preserve"> Grouted Riprap</t>
  </si>
  <si>
    <t xml:space="preserve"> INSTALLATION OF SOLAR STREET LIGHTS</t>
  </si>
  <si>
    <t xml:space="preserve"> Brgy Apalit Floridablanca Pampanga</t>
  </si>
  <si>
    <t xml:space="preserve"> MUNICIPALITY OF PANIQUI Province of Tarlac 	Project Reference Number : G-2020-005 Name of the Project           : Supply &amp; Delivery of various Medicine, Medical, Dental &amp; Laboratory  Supplies for RHU-I, RHU-II and PGH Location of the Project     :  LGU, P</t>
  </si>
  <si>
    <t xml:space="preserve"> Demolition, Installation of Doors and windows, Floor Tiles and Repainting</t>
  </si>
  <si>
    <t xml:space="preserve"> Republic of the Philippines Province of Oriental Mindoro  MUNICIPALITY OF NAUJAN BIDS AND AWARDS COMMITTEE INVITATION TO BID SUPPLY AND DELIVERY OF TWO (2) UNITS EMERGENCY TRANSPORT VEHICLE TO BE USED IN THE OFFICE OF THE MUNICIPAL MAYOR, NAUJAN, ORIENTAL</t>
  </si>
  <si>
    <t xml:space="preserve"> Republic of the Philippines PROVINCE OF ZAMBOANGA SIBUGAY Municipality of Buug BIDS AND AWARDS COMMITTEE Invitation to Bid for Procurement of Construction Materials for the Concreting of Pathway 1.	The  Barangay Villacastor of Buug, through the 20 % Devel</t>
  </si>
  <si>
    <t xml:space="preserve"> Please download the attached documents or you may visit our website @www.prc.gov.ph</t>
  </si>
  <si>
    <t xml:space="preserve"> Invitation to Bid for the Proposed Construction of Level 1 Potable Water Supply System  (Barangay Abaton, Burabud, Cagdarao, Cahayagan, Langob, Mualbual, Napotiocan, Oleras, Dona Luisa( Onay), Pangdan, Talisay and Vigo) 1.	The Local Government Unit of Lao</t>
  </si>
  <si>
    <t xml:space="preserve"> Extension of Canal Wall, Grouted Riprap, Drainage Canal</t>
  </si>
  <si>
    <t xml:space="preserve"> INVITATION TO BID The City Vigan, through its Bids and Awards Committee (BAC), invites suppliers/manufacturers/distributors/contractors to apply for eligibility and to bid for the hereunder project: Name of Project:	Supply, Delivery and Installation of Br</t>
  </si>
  <si>
    <t xml:space="preserve"> PCCP, Grouted Riprap, Cross Drain with Grills &amp; Railings</t>
  </si>
  <si>
    <t xml:space="preserve"> The DPWH-North Manila District Engineering Office, through its Bids and Awards Committee (BAC) invites contractors to submit bids for the following Contract: 1.	  Contract I.D. No. 20OE0202   Contract Name: Completion of Four (4) Storey Eight (8) Classroo</t>
  </si>
  <si>
    <t xml:space="preserve"> Open, Closed with Steel Grills Drainage Canal</t>
  </si>
  <si>
    <t xml:space="preserve"> Roadway Excavation &amp; Grouted Riprap</t>
  </si>
  <si>
    <t xml:space="preserve"> Road Rerouting, Grouted Riprap and Embankment</t>
  </si>
  <si>
    <t xml:space="preserve"> The DPWH-North Manila District Engineering Office, through its Bids and Awards Committee (BAC) invites contractors to submit bids for the following Contract: 2.	  Contract I.D. No. 20OE0203   Contract Name: Construction of Four (4) Storey Twelve (12) Clas</t>
  </si>
  <si>
    <t xml:space="preserve"> Contract ID: 			20GO0102 Contract Name: 	71X-Special Maintenance (Installation of Road Safety Facilities Along Bacolod City National Roads), Bacolod City Contract Location:		Bacolod City, Negros Occidental Brief Description: 	Installation of road safety f</t>
  </si>
  <si>
    <t xml:space="preserve"> REPLACEMENT OF CEILING WITH PAINTING</t>
  </si>
  <si>
    <t xml:space="preserve"> Republic of the Philippines BIDS AND AWARDS COMMITTEE Province of Iloilo Invitation to Bid PURCHASE OF MEDICAL OXYGEN Bid No. IPH-20-0166-B 1. The Iloilo Provincial Government, through the GENERAL FUND 2020 intends to apply the sum of ONE MILLION NINETY N</t>
  </si>
  <si>
    <t xml:space="preserve"> INVITATION TO BID FOR the Procurement of Microwave Digestion System 968f – Ref. # 2020-06-03 1.	The FOOD AND NUTRITION RESEARCH INSTITUTE, through the “DOST-GIA Project entitled “Exposure Assessment of Food Chemical Contamination in Metro Manila: A Pilot </t>
  </si>
  <si>
    <t xml:space="preserve"> INVITATION TO BID The Department of Education (DepEd), Division of Pagadian City through the 2019 Government Appropriations Act (GAA), intends to apply the sum of Seven Hundred Forty-Seven Thousand Seven Hundred Pesos Only and 00/100 (P 747,700.00) being </t>
  </si>
  <si>
    <t xml:space="preserve"> I. MOBILIZATION II. OCCUPATIONAL HEALTH III. PROJECT BILLBOARD IV. SITE WORKS      A. CLEARING &amp; LAYOUT      B. STRUCTURAL EXCAVATION      C. EMBANKMENT      D. SOIL POISONING V. CONCRETE WORKS VI. REINFORCING STEEL BARS VII. FORM WORKS &amp; SCAFFOLDING VIII</t>
  </si>
  <si>
    <t xml:space="preserve"> INVITATION TO BID FOR THE COMPLETION OF EVACUATION CENTER ANHS, ACES, Adams, Ilocos Norte 1.	The Municipal Government of Adams, through funds from the 20% Development Fund intends to apply the sum of P519,435.70 being the Approved Budget for the Contract </t>
  </si>
  <si>
    <t xml:space="preserve"> Drainage Canal</t>
  </si>
  <si>
    <t xml:space="preserve"> INVITATION TO BID FOR THE CONSTRUCTION OF SOLAR DRYER Maligligay, Adams, Ilocos Norte 1.	The Municipal Government of Adams, through funds from the 20% Municipal Development Fund CY 2020 intends to apply the sum of P532,343.53 being the Approved Budget for</t>
  </si>
  <si>
    <t xml:space="preserve"> Republic of the Philippines Province of Nueva Vizcaya BIDS AND AWARDS COMMITTEE (BAC-Goods) BAC OFFICE, Provincial Capitol, Bayombong, Nueva Vizcaya Tel. No. 078-392-2062 	 INVITATION TO BID FOR THE SUPPLY &amp; DELIVERY OF DESKTOP COMPUTERS, LAPTOP, ETC. FOR</t>
  </si>
  <si>
    <t xml:space="preserve"> Republic of the Philippines Province of Quezon Municipality of Atimonan Barangay Zone IV Poblacion INVITATION FOR ELIGIBILITY AND TO BID 	The Barangay Zone IV Poblacion of Atimonan thru the Bids and Awards Committee (BAC) invites interested suppliers/cont</t>
  </si>
  <si>
    <t xml:space="preserve"> Handrails</t>
  </si>
  <si>
    <t xml:space="preserve"> Republic of the Philippines Province of Nueva Vizcaya BIDS AND AWARDS COMMITTEE (BAC-Goods) BAC OFFICE, Provincial Capitol, Bayombong, Nueva Vizcaya Tel. No. 078-392-2062 	 INVITATION TO BID FOR THE SUPPLY AND DELIVERY OF RABIES VACCINE,  HOG CHOLERA VACC</t>
  </si>
  <si>
    <t xml:space="preserve"> Department of Education Region VI-Western Visayas Division of Cadiz City Alimatoc Elementary School INVITATION TO BID FOR THE PROVISION OF MEDICAL AND DENTAL PROJECT WINS SUPPLIES 1.	The Alimatoc Elementary School of Cadiz City, through the Schools MOOE F</t>
  </si>
  <si>
    <t xml:space="preserve"> INVITATION TO BID (for the Procurement of Goods)           1.	The City Government of Puerto Princesa (CGPP), through its General Appropriations Ordinance No. 1-2019 (General Fund FY 2020), intends to apply the sum, corresponds as the Approved Budget for t</t>
  </si>
  <si>
    <t xml:space="preserve"> The DPWH-North Manila District Engineering Office, through its Bids and Awards Committee (BAC) invites contractors to submit bids for the following Contract: 5.	  Contract I.D. No. 20OE0206   Contract Name: Construction of Four (4) Storey Twenty (20) Clas</t>
  </si>
  <si>
    <t xml:space="preserve"> Department of Education Region VI-Western Visayas Division of Cadiz City Alimatoc Elementary School INVITATION TO BID PROCUREMENT FOR INTERNET CONNECTION OF ALIMATOC ELEMENTARY SCHOOL FOR 2020 1.	The Alimatoc Elementary School of Cadiz City, through the S</t>
  </si>
  <si>
    <t xml:space="preserve"> 1. The Department of Transportation (DOTr) through the 2020 GAA Locally Funded Projects intends to apply the sum of Nineteen Million Seven Hundred Sixty-One Thousand Four Hundred Thirty Pesos and Forty Centavos (Php 19,761,430.40) being the Approved Budge</t>
  </si>
  <si>
    <t xml:space="preserve"> Department of Education Region VI-Western Visayas Division of Cadiz City Alimatoc Elementary School INVITATION TO BID PROCUREMENT FOR IMPROVEMENT OF HAND WASHING AREA OF ALIMATOC ELEMENTARY SCHOOL FOR 2020 1.	The Alimatoc Elementary School of Cadiz City, </t>
  </si>
  <si>
    <t xml:space="preserve"> The DPWH-North Manila District Engineering Office, through its Bids and Awards Committee (BAC) invites contractors to submit bids for the following Contract: 3.	  Contract I.D. No. 20OE0204   Contract Name: Construction of Four (4) Storey Twelve (12) Clas</t>
  </si>
  <si>
    <t xml:space="preserve"> 1.1 Conduct Ocular Inspection 1.2 Field Verification of Lots</t>
  </si>
  <si>
    <t xml:space="preserve"> INVITATION TO BID FOR Establishment of Sari-sari Store and General Merchandising 1.	The Municipality of San Jose, through the Barangay Fund   intends to apply the sum of Two Hundred Seventy Seven Thousand Four Hundred Ninety Nine Pesos and 81/100 Only (₱ </t>
  </si>
  <si>
    <t xml:space="preserve"> WORK DESCRIPTION:                  a. Mechanical Aspect (Kapingkong Dam Rehabilitation Including Replacement of Steel Gates at Main Canal)					 	 a.1 Barrage Gate (Dam)			                               10	units 	 a.2 Intake Gates (Dam)			                 </t>
  </si>
  <si>
    <t xml:space="preserve"> Republic of the Philippines Province of Ilocos Norte MUNICIPALITY OF ADAMS BIDS AND AWARDS COMMITTEE Cp nos.:09563902369, 09088956069  email address : mannegdege@yahoo.com June 23, 2020 INVITATION TO BID PURCHASE OF ONE (1) UNIT BRAND NEW AMBULANCE 1.	The</t>
  </si>
  <si>
    <t xml:space="preserve"> Repair of Barangay Hall</t>
  </si>
  <si>
    <t xml:space="preserve"> OPENING OF BIDS IN DSWD FO  IX ZAMBOANGA CITY		 DELIVERY IN HOME FOR WOMEN-DSWD, MAMPANG  ZC		 PROCUREMENT FOR THE FF,:	 1 LOT PERSONAL EFFECTS		 		 250	PCS.	BATH SOAP 135g 250	PCS.	SHAMPOO 200ml 250	PCS.	TOOTHPASTE 150ml. 250	PCS.	DEODORANT 25 ml. 250	PA</t>
  </si>
  <si>
    <t xml:space="preserve"> Section I. Invitation to Bid Supply and Delivery of Labor and Materials, and Provision of Service for the Renovation of the DTI-CITE 2020 1.The Department of Trade and Industry, through the General Appropriations Act for CY 2020, intends to apply the sum </t>
  </si>
  <si>
    <t xml:space="preserve"> GENERAL HEADQUARTERS ARMED FORCES OF THE PHILIPPINES GHQ BIDS AND AWARDS COMMITTEE 3 Camp General Emilio Aguinaldo, Quezon City INVITATION TO BID Retrofitting of GHQ Building (5th Rebidding) (GB3-PB-002-19)  1.	The Armed Forces of the Philippines (AFP), t</t>
  </si>
  <si>
    <t xml:space="preserve"> Department of Education Region VI-Western Visayas Division of Cadiz City Alimatoc Elementary School INVITATION TO BID FOR THE PROVISION OF SUPPLIES AND MATERIALS FOR MODULE REPRODUCTION 1.	The Alimatoc Elementary School of Cadiz City, through the Schools </t>
  </si>
  <si>
    <t xml:space="preserve"> 1.	The General Mariano Alvarez Water District (GMAWD), through the GMAWD General Fund, intends to apply the sum of TWO MILLION SEVEN HUNDRED TWENTY NINE THOUSAND PESOS (Php2,729,000.00) being the Approved Budget for the Contract (ABC) to payments under th</t>
  </si>
  <si>
    <t xml:space="preserve"> OPENING OF BIDS IN DSWD FO  IX ZAMBOANGA CITY		 DELIVERY IN HOME FOR WOMEN MAMPANG ZC		 PROCUREMENT FOR THE FF,:		 		 1 LOT  VEGETABLE SUPPLIES		 		 120	kls	Ampalaya 80	kls	Baguio beans 60	pcs	Banana Blossom 120	kls	Broccoli 80	kls	Bell pepper 150	kls	Cab</t>
  </si>
  <si>
    <t xml:space="preserve"> for the construction of the Drainage and Pathwalk at Looban 1 Bayawas St. Zone 4, Abella, Naga City</t>
  </si>
  <si>
    <t xml:space="preserve"> City Government of Manila INVITATION TO BID  NO. 2020-06-94 Procurement of Various Office Supplies 1.	The City Government of Manila, through the General Fund CY 2020 – Office Supplies Expenses  intends to apply the sum of  One Million Four Hundred Seventy</t>
  </si>
  <si>
    <t xml:space="preserve"> City Government of Manila INVITATION TO BID  NO. 2020-06-93 Procurement of Various Printed Materials 1.	The City Government of Manila, through the General Fund CY 2020 – Printing and Publication Expenses intends to apply the sum of One Million Three Hundr</t>
  </si>
  <si>
    <t xml:space="preserve"> Republic of the Philippines Province of Agusan del Sur Municipality of Trento BIDS &amp; AWARDS COMMITTEE INVITATION TO BID  FOR THE CONCRETING OF BARANGAY ROAD PHASE 2 Brgy., San Isidro, Trento, Agusan del Sur 1.	The Municipality of Trento, through the 20% B</t>
  </si>
  <si>
    <t xml:space="preserve"> Attaching herewith RFP &amp; TOR</t>
  </si>
  <si>
    <t xml:space="preserve"> Attached herewith the RFP &amp; TOR</t>
  </si>
  <si>
    <t xml:space="preserve"> 20F00107 - Local Program – National Roads and Bridges – National Roads – Local Infrastructure Program – Rehabilitation/Reconstruction of National Roads with Slips, Slope Collapsed and Landslide Andaya Highway, Ragay, Camarines Sur, Del Gallego and Ragay, </t>
  </si>
  <si>
    <t xml:space="preserve"> INVITATION TO BID FOR Purchase of 4x4 Service Vehicle for Monitoring of GAD Programs and Services 1.	The Municipality of San Jose, through the 2019 Annual Budget under the Gender and Development Fund (Capital Outlay)   intends to apply the sum of One Mill</t>
  </si>
  <si>
    <t xml:space="preserve"> Republic of the Philippines Province of Iloilo Municipality of Lemery Invitation to Bid 1.	The Barangay  Poblacion South East Zone,  Lemery, Iloilo, through  Provincial Aid intends to apply the sum of  Three million Pesos ( 3,000,000.00 ) being the Approv</t>
  </si>
  <si>
    <t xml:space="preserve"> Republic of the Philippines  Province of Samar Municipality of Jiabong Invitation to Bid  For the Installation of 50 KVA Trasnformer Jiab-2020-32A The Municipal Government of Jiabong, Samar, through LGU OF JIABONG   intends to apply the sum of Two Hundred</t>
  </si>
  <si>
    <t xml:space="preserve"> Republic of the Philippines                                                    BARANGAY CITY HEIGHTS                                                        General Santos City                      								             INVITATION TO APPLY FOR ELIGIBILITY A</t>
  </si>
  <si>
    <t xml:space="preserve"> Republic of the Philippines  Province of Samar Municipality of Jiabong Invitation to Bid  Emergency Purchase in Response to Covid19 DSWD Office Jiab-2020-31A The Municipal Government of Jiabong, Samar, through LGU OF JIABONG   intends to apply the sum of </t>
  </si>
  <si>
    <t xml:space="preserve"> Republic of the Philippines  Province of Samar Municipality of Jiabong Invitation to Bid  Emergency Purchase in Response to Covid19 DSWD Office Jiab-2020-30A The Municipal Government of Jiabong, Samar, through LGU OF JIABONG   intends to apply the sum of </t>
  </si>
  <si>
    <t xml:space="preserve"> Republic of the Philippines Province of Agusan del Sur Municipality of Trento BIDS &amp; AWARDS COMMITTEE INVITATION TO BID FOR  Supply/Delivery of One (1) Unit Police Patrol Car (20-06-0617) 1.	The Local Government Unit of Trento through the Peace and Order </t>
  </si>
  <si>
    <t xml:space="preserve"> Republic of the Philippines  Province of Samar Municipality of Jiabong Invitation to Bid  Emergency Purchase in Response to Covid19 Mayor’s Office Jiab-2020-29A The Municipal Government of Jiabong, Samar, through LGU OF JIABONG   intends to apply the sum </t>
  </si>
  <si>
    <t xml:space="preserve"> Invitation to Bid  for the  Repair and Improvement of  Rockefeller Housing Units #4 &amp; #5 at PhilRice Central Experiment Station under PB Infra 20-02-03 1.The Philippine Rice Research Institute, through the Corporate Fund Budget for 2020 intends to apply t</t>
  </si>
  <si>
    <t xml:space="preserve"> 1,418        PAXS            MEALS               150.00             212,700.00 906           PAXS            SNACKS              30.00              27,188.00                                                                         TOTAL: 239,880.00</t>
  </si>
  <si>
    <t xml:space="preserve"> 55 units Brand New Amplifiers -Max. power output:  500W -Bluetooth -USB / SD Port -FM Tuner -Built-in Chime -3 Microphone input -3 Auxiliary input -1 Line output -6 Individual zone control -4Ω/8Ω/16Ω/70V/100V (with parts and service warranty, free install</t>
  </si>
  <si>
    <t xml:space="preserve"> Description	          No.	 Payloader	                   1	 Dump Truck	           1	 Water Truck	           1	 Transit Mixer	           1	 Concrete Vibrator	   1	 Field Engineer	           1	 Construction Foreman   1	 Skilled Worker	           5	 Laborer	 </t>
  </si>
  <si>
    <t xml:space="preserve"> Republic of the Philippines DEPARTMENT OF HEALTH ZAMBOANGA PENINSULA - CENTER FOR HEALTH DEVELOPMENT  Upper Calarian, Zamboanga City 7000 Phone : (062) 983-0314, (062) 983-0146, Fax : (062)   991-3380 Email : dohchdzp@yahoo.com, Web : www.doh.gov.ph Contr</t>
  </si>
  <si>
    <t xml:space="preserve"> INVITATION TO BID     20-079 Name of Project	:	Disaster Response and Rescue Equipment for Emergency Response Operations of the Provincial Disaster Risk Reduction Management Office (PDRRMO) Location	:	Sta. Cruz, Laguna  Brief Description	:	Various Disaster</t>
  </si>
  <si>
    <t xml:space="preserve"> Republic of the Philippines DEPARTMENT OF HEALTH ZAMBOANGA PENINSULA - CENTER FOR HEALTH DEVELOPMENT  Upper Calarian, Zamboanga City 7000 Phone: (062) 983-0314, (062) 983-0146, Fax : (062)   991-3380 Email : dohchdzp@yahoo.com, Web : www.doh.gov.ph Contra</t>
  </si>
  <si>
    <t xml:space="preserve"> Republic of the Philippines  Province of Samar Municipality of Jiabong Invitation to Bid  Emergency Purchase in Response to Covid19 RHU Office Jiab-2020-28A The Municipal Government of Jiabong, Samar, through LGU OF JIABONG   intends to apply the sum of F</t>
  </si>
  <si>
    <t xml:space="preserve"> Construction of City Health Office-Phase III NOTE:To all suppliers bid documents and BAC Resolution No. 2020-029 are available at BAC Office and LGU website.</t>
  </si>
  <si>
    <t xml:space="preserve"> Republic of the Philippines Province of Samar  Municipality of Jiabong INVITATION TO BID FOR  EMERGENCY PURCHASE IN RESPONSE TO COVID19 RHU office Jiab-2020-27A 1.	The Municipal Government of Jiabong, Samar, intends to apply the sum of TWO MILLION PESOS (</t>
  </si>
  <si>
    <t xml:space="preserve"> PB NO. 2020-041		 			Garbage Truck 1.	6	units	SFC407 Euro 4 4x2 Dropside Vehicle 			GVW 4,450kgs 			Payload 2,800 kgs 			Engine: Tat 497sp tcic 4 cyclinder turbo intercooled crdi diesel engine 			5 speed transmission 			Body dimension: 10ft x 6ft x 16in 	</t>
  </si>
  <si>
    <t xml:space="preserve"> ECG MACHINE WITH THERMAL PAPER</t>
  </si>
  <si>
    <t xml:space="preserve"> Invitation to Bid CONSTRUCTION OF RIVERBANK STABILIZATION-REVETMENT Valladolid, Loboc, Bohol 1.	The LGU-Loboc through the Bids and Awards Committee (BAC) would like to invite interested bidders registered with and classified by the Philippine Contractors </t>
  </si>
  <si>
    <t xml:space="preserve"> INVITATION TO BID FOR THE CONSTRUCTION OF SEWAGE TREATMENT PLANT (EL NIDO COMMUNITY HOSPITAL, EL NIDO, PALAWAN) 1.	The Provincial Government of Palawan, through its 20% Development Fund (OBR No. 300-20-06-07371) account intends to apply the sum of Thee Mi</t>
  </si>
  <si>
    <t xml:space="preserve"> 1. The Authority of the Freeport Area of Bataan (AFAB) through its Bids and Awards Committee (BAC) invites suppliers to apply for eligibility and to participate in the bidding for the above-mentioned project in accordance with the Revised Implementing Rul</t>
  </si>
  <si>
    <t xml:space="preserve"> INVITATION TO BID FOR THE CONSTRUCTION OF SEWAGE TREATMENT PLANT (BATARAZA DISTRICT HOSPITAL BATARZA, PALAWAN) 1.	The Provincial Government of Palawan, through its 20% Development Fund (OBR No. 300-20-06-07369) account intends to apply the sum of Thee Mil</t>
  </si>
  <si>
    <t xml:space="preserve"> PB NO. 2020-040		 			 1.	1	lot	Proposed repair/rehabilitation of road including construction of drainage at Brgy. San Gabriel, San Pablo City. 			By: Contract 			 	Deadline for Submission of Bids: July 13, 2020 10:00 Am</t>
  </si>
  <si>
    <t xml:space="preserve"> The DPWH Neg. Occ. 4th District Engineering Office, Bago City, Neg. Occ., through its Bids and Awards Committee (BAC), invites contractors to submit bids for the following Contracts: 1.	Contract ID No.:       	20GN0091 	Contract Name:  	Repair/Maintenance</t>
  </si>
  <si>
    <t xml:space="preserve"> Bicol Medical Center Concepcion Pequeña, Naga City, 4400 0998-247-0239/0906-256-9238  E-mail Address: bmc.bacoffice@gmail.com INIVITATION TO BID PROCUREMENT OF ENT EQUIPMENT &amp; INSTRUMENTS ITB No. 2020-12 1. The BICOL MEDICAL CENTER, through SA-CO HFEP 20</t>
  </si>
  <si>
    <t xml:space="preserve"> Bicol Medical Center Concepcion Pequeña, Naga City, 4400 0998-247-0239/0906-256-9238  E-mail Address: bmc.bacoffice@gmail.com INIVITATION TO BID PROCUREMENT OF ONE (1) UNIT 2D-ECHO MACHINE ITB No. 2020-11 1. The BICOL MEDICAL CENTER, through INCOME inten</t>
  </si>
  <si>
    <t xml:space="preserve"> *** PLEASE FIND ATTACHED FILE *** ~nothing follows~</t>
  </si>
  <si>
    <t xml:space="preserve"> INVITATION TO BID FOR THE  INSTALLATION OF TRANSFORMER WITH METERING ACCESSORIES AND MAIN CABLE AT CUYO DISTRICT HOSPITAL (MUNICIPALITY OF CUYO, PALAWAN) 1.	The Provincial Government of Palawan, through its 20% Development Fund (OBR No. 300-20-06-07368) a</t>
  </si>
  <si>
    <t xml:space="preserve"> INVITATION TO BID FOR THE  CONSTRUCTION OF PERIMETER FENCE IN QUEZON MEDICARE HOSPITAL (MUNICIPALITY OF QUEZON, PALAWAN) 1.	The Provincial Government of Palawan, through its 20% Development Fund (OBR No. 300-20-06-07367) account intends to apply the sum o</t>
  </si>
  <si>
    <t xml:space="preserve"> INVITATION TO BID FOR THE CONSTRUCTION OF SEWAGE TREATMENT PLANT (NARRA MUNICIPAL HOSPITAL, NARRA, PALAWAN) 1.	The Provincial Government of Palawan, through its 20% Development Fund (OBR No. 300-20-06-07370) account intends to apply the sum of Thee Millio</t>
  </si>
  <si>
    <t xml:space="preserve"> The National Center for Mental Health (NCMH) is inviting all Phil-GEPS registered to apply the Invitation to Bid for PEST CONTROL OUTSOURCING SERVICE CY 2020. (Complete Specifications are indicated in the Techinical specification / Terms of Reference). 	 </t>
  </si>
  <si>
    <t xml:space="preserve"> CONSTRUCTION</t>
  </si>
  <si>
    <t xml:space="preserve"> Republic of the Philippines PROVINCE OF NEGROS ORIENTAL Municipality of Basay Office of the Municipal Engineer/BAC Chairman INVITATION TO BID 	The Municipality of Basay, Negros Oriental thru its Bids and Awards Committee (BAC) invites interested suppliers</t>
  </si>
  <si>
    <t xml:space="preserve"> 15 units streetlights</t>
  </si>
  <si>
    <t xml:space="preserve"> INVITATION TO BID 1.	The Santa Maria Water District (SMWD) intends to apply the sum of ONE MILLION THREE HUNDRED TWENTY THOUSAND PESOS (P1,320,000.00) being the Approved Budget for the Contract (ABC) to payments under the contract for the “Supply and Deli</t>
  </si>
  <si>
    <t xml:space="preserve"> Acquisition of Municipal Equipment for Engineering Office (other Machinery and Equipment) LOT 1 - ACQUISITION OF MUNICIPAL EQUIPMENT FOR ENGINEERING OFFICE LOT 2 - Other Machinery and Equipment **PLEASE REFER TO THE ATTACHED PURCHASE REQUEST AT THE ASSOCI</t>
  </si>
  <si>
    <t xml:space="preserve"> INVITATION TO BID IB NO: 2020-07-16 (13) PROCUREMENT OF 3 UNITS OF ELECTRICAL DISTRIBUTION TRANSFORMER, 100 KVA 1. 	The Caraga Regional Hospital (CRH), through the General Appropriation Act /  HEALTH FACILITIES ENHANCEMENT PROGRAM (HFEP)   intends to appl</t>
  </si>
  <si>
    <t xml:space="preserve"> Republic of the Philippines CARAGA Administrative Region PROVINCE OF DINAGAT ISLANDS San Jose, Dinagat Islands Bids AND AWARDS COMMITTEE Invitation to Bid  Project Name: 	CONSTRUCTION OF POTABLE WATER SYSTEM, (Sitio Melody, Sitio Payo-Payo, Sitio Katipuna</t>
  </si>
  <si>
    <t xml:space="preserve"> Republic of the Philippines CARAGA Administrative Region PROVINCE OF DINAGAT ISLANDS San Jose, Dinagat Islands Bids AND AWARDS COMMITTEE Invitation to Bid  Project Name: 	CONSTRUCTION OF POTABLE WATER SYSTEM, SERING, BASILISA Location: Brgy. Sering, Basil</t>
  </si>
  <si>
    <t xml:space="preserve"> Republic of the Philippines Department of Education Region V SCHOOLS DIVISION OFFICE OF CAMARINES SUR 	 INVITATION TO BID Project No.: 2020-06-02 The Department of Education (DepED) Schools Division Office of Camarines Sur, through the OSEC-5-20-0208, int</t>
  </si>
  <si>
    <t xml:space="preserve"> INVITATION TO BID 1.	The Santa Maria Water District (SMWD) intends to apply the sum of TWO MILLION NINE HUNDRED FIFTY THOUSAND PESOS (P2,950,000.00) being the Approved Budget for the Contract (ABC) to payments under the contract for the “Supply and Delive</t>
  </si>
  <si>
    <t xml:space="preserve"> Republic of the Philippines CARAGA Administrative Region PROVINCE OF DINAGAT ISLANDS San Jose, Dinagat Islands Bids AND AWARDS COMMITTEE Invitation to Bid  Project Name: 	CONCRETING OF ACCESS ROAD, PUROK 1 TO PUROK 4, LLAMERA, LIBJO Location: Brgy. Llamer</t>
  </si>
  <si>
    <t xml:space="preserve"> Republic of the Philippines CARAGA Administrative Region PROVINCE OF DINAGAT ISLANDS San Jose, Dinagat Islands Bids AND AWARDS COMMITTEE Invitation to Bid  Project Name: 	CONCRETING OF PROVINCIAL ROAD (PAMOQS SECTION) Location: Libjo, Dinagat Islands 1.	T</t>
  </si>
  <si>
    <t xml:space="preserve"> INVITATION TO BID (INFRA) The Municipality of Sibonga through the General Fund intends to apply the sum of One million nine hundred ninety-nine thousand nine hundred ninety-nine &amp; 33/100 pesos only (1,999,999.33) being the Approved Budget for the Contract</t>
  </si>
  <si>
    <t xml:space="preserve"> Republic of the Philippines CARAGA Administrative Region PROVINCE OF DINAGAT ISLANDS San Jose, Dinagat Islands Bids AND AWARDS COMMITTEE Invitation to Bid  Project Name: 	CONCRETING OF ROAD LEADING TO WOMEN AND CHILDREN CRISIS AND DEVELOPMENT CENTER (WCCD</t>
  </si>
  <si>
    <t xml:space="preserve"> Republic of the Philippines CARAGA Administrative Region PROVINCE OF DINAGAT ISLANDS San Jose, Dinagat Islands Bids AND AWARDS COMMITTEE Invitation to Bid  Project Name: 	CONSTRUCTION OF POTABLE WATER SYSTEM, NEW NAZARETH, BASILISA Location: Brgy. New Naz</t>
  </si>
  <si>
    <t xml:space="preserve"> Republic of the Philippines Province of Davao de Oro BIDS AND AWARDS COMMITTE Cabidianan, Nabunturan, Davao de Oro ITB No. 20-023 June 17, 2020 INVITATION TO BID  FOR  THE Procurement of the following service vehicles 1.) Seven (7) units crossover utility</t>
  </si>
  <si>
    <t xml:space="preserve"> OPENING OF BIDS IN DSWD FO  IX ZAMBOANGA CITY		 DELIVERY IN HOME FOR WOMEN MAMPANG ZC		 PROCUREMENT FOR THE FF,: 		 1 LOT FROZEN GOODS 		 90	kls	Chicken Liver 200	packs	Chicken Lumpia 500g 180	packs	Chicken Nuggets 500g 180	packs	Chorizo (beef/chicken) 18</t>
  </si>
  <si>
    <t xml:space="preserve"> Submission of Quotation on a sealed envelope submit it to  UPLB BAC Secretariat SPMO Rambutan, Road. Telephone No. (049) 544-0382 or Email at bacsec.rq@gmail.com</t>
  </si>
  <si>
    <t xml:space="preserve"> 34mx24m</t>
  </si>
  <si>
    <t xml:space="preserve"> INVITATION TO BID  Purchase &amp; Delivery of One (1) Unit Service Utility Vehicle for PGO  June 23, 2020 1.	The Provincial Government of Sarangani, through the AB CY 2020 intends to apply the sum of One Million Seven Hundred Thousand Pesos Only (P 1,700,000.</t>
  </si>
  <si>
    <t xml:space="preserve"> The National Center for Mental Health (NCMH) is inviting all Phil-GEPS registered to apply the Invitation to Bid for RENTAL / LEASE OF 180 UNITS OF DESKTOP COMPUTERS (6 MONTHS) CY 2020. (Complete Specifications are indicated in the Techinical specificatio</t>
  </si>
  <si>
    <t xml:space="preserve"> The Energy Regulatory Commission (ERC), through the General Appropriations Act of 2020 intends to apply the sum of One Hundred Thousand Pesos (PhP100,000.00) being the Approved Budget for the Contract of the TrendMicro Interscan Messaging Security License</t>
  </si>
  <si>
    <t xml:space="preserve"> Republic of the Philippines  City of Canlaon Office of the Bids and Awards Committee  INVITATION TO BID FOR the Procurement of one unit Emergency Rescue Vehicle The Local Government of Canlaon City, through LDRRMO. Intends to apply the sum Two Million Six</t>
  </si>
  <si>
    <t xml:space="preserve"> The DPWH-North Manila District Engineering Office, through its Bids and Awards Committee (BAC) invites contractors to submit bids for the following Contract: 4.	  Contract I.D. No. 20OE0205   Contract Name: Construction of Four (4) Storey Sixteen (16) Cla</t>
  </si>
  <si>
    <t xml:space="preserve"> The Subic Bay Metropolitan Authority, through the Corporate Budget for the contract approved by the governing board for 2020 intends to apply the sum of Two Million Fifty-One Thousand Three Hundred Sixty-Six Pesos and Twenty-Five Centavos Only (PHP 2,051,</t>
  </si>
  <si>
    <t xml:space="preserve"> INVITATION TO BID FOR THE CONSTRUCTION OF BARANGAY HEALTH STATION (BARANGAY LOS ANGELES, MAGSAYSAY, PALAWAN) 1.	The Provincial Government of Palawan, through its 20% Development Fund (OBR No. 300-20-06-07372) account intends to apply the sum of Two Millio</t>
  </si>
  <si>
    <t xml:space="preserve"> 1 UNIT/S VEHICLE - PICK-UP - BLACK - 4X4 - AUTOMATIC TRANSMISSION - 2.2L-2.5L DIESEL ENGINE - 4 CYLINDER - WITH THE FOLLOWING - 01. LTO REGISTRATION ( 3 YRS. ) - 02.COMPREHENSIVE INSURANCE ( 1 YR. ) - 03.GLASS TINT - 04.FLOOR MAT - 05. SEAT COVER - 06. BE</t>
  </si>
  <si>
    <t xml:space="preserve"> Construction of Rainwater Collector System</t>
  </si>
  <si>
    <t xml:space="preserve"> INVITATION TO BID CONCRETING OF PUROK 1, MALTANA ROAD Identification No.  TAMP-PB-INFRA-07-2020 1.	The Municipality of Tampakan, through the 20% MDF CY 2020/8918-300-1-07-10-020 intends to apply the sum of One Million Five Hundred Thousand Pesos (1,500,00</t>
  </si>
  <si>
    <t xml:space="preserve"> GLOBAL NAVIGATION SATELLITE SYSTEM (GNSS SATELLITE SIGNALS TRACKED SIMULTANEOUSLY TECHNICAL SPECIFICATION)	NIA-SKIMO Compound, Isulan, Sultan Kudarat Channels: 220 channels, GPS: Simultaneous L1 C/A, L2C,L2E, L2E,L5	 GLONASS: Simultaneous L1 C/A, L2C/A (G</t>
  </si>
  <si>
    <t xml:space="preserve"> Republic of the Philippines Cordillera Administrative Region Province of Kalinga B A L B A L A N Invitation to Apply for Eligibility and to Bid for the CONTINUATION FOR THE CONCRETING OF THE ACCESS ROAD TO SANITARY LANDFILL, BALANTOY, BALBALAN, KALINGA 1.</t>
  </si>
  <si>
    <t xml:space="preserve"> Republic of the Philippines  Province of Samar Municipality of Jiabong Invitation to Bid  Emergency Purchase in Response to Covid19 MDRRM Office Jiab-2020-35A The Municipal Government of Jiabong, Samar, through LGU OF JIABONG   intends to apply the sum of</t>
  </si>
  <si>
    <t xml:space="preserve"> Repair/Maintenance/Rehabilitation of Building</t>
  </si>
  <si>
    <t xml:space="preserve"> Republic of the Philippines  Province of Samar Municipality of Jiabong Invitation to Bid  Emergency Purchase in Response to Covid19 DSWD Office Jiab-2020-34A The Municipal Government of Jiabong, Samar, through LGU OF JIABONG   intends to apply the sum of </t>
  </si>
  <si>
    <t xml:space="preserve"> Municipality of Dumanjug, Cebu through the SB Resolution No. 2018-136 Series of 2018  intends to apply the sum of TWO MILLION PESOS (2,000,000.00)  being the Approved Budget for the Contract (ABC) to payments under the contract for GOODS 2020-06-0005 Purc</t>
  </si>
  <si>
    <t xml:space="preserve"> toner Black, Epson 9731 etc.</t>
  </si>
  <si>
    <t xml:space="preserve"> INVITATION TO BID FOR PROCUREMENT OF 400 PIECES WATER METER FOR NEW CONNECTION AND CHANGE METER 1.	The Bani Water District, through the Corporate Budget for the year 2020  intends to apply the sum of Five Hundred Sixty Thousand Pesos (Php 560,000.00) bein</t>
  </si>
  <si>
    <t xml:space="preserve"> INVITATION TO BID FOR THE CONSTRUCTION OF BARANGAY HEALTH STATION (BARANGAY LAGAORIAO, CUYO, PALAWAN) 1.	The Provincial Government of Palawan, through its 20% Development Fund (OBR No. 300-20-06-07373) account intends to apply the sum of Two Million Three</t>
  </si>
  <si>
    <t xml:space="preserve"> INVITATION TO BID IMPROVEMENT OF DRAINAGE SYSTEM AT GUIJO ROAD Identification No.  TAMP-PB-INFRA-06-2020 1.	The Municipality of Tampakan, through the 20% MDF CY 2018/8918-300-1-07-10-020 intends to apply the sum of Five Hundred Thousand Pesos (500,000.00)</t>
  </si>
  <si>
    <t xml:space="preserve"> The Subic Bay Metropolitan Authority, through the Corporate Budget for the contract approved by the Governing Board for 2020 intends to apply the sum of Three Million Five Hundred Thousand Pesos (Php 3,500,000.00) Exclusive of VAT and other taxes being th</t>
  </si>
  <si>
    <t xml:space="preserve"> Republic of the Philippines  City of Canlaon Office of the Bids and Awards Committee  INVITATION TO BID FOR the Procurement of Sound System Equipment The Local Government of Canlaon City, through AIP 2020. Intends to apply the sum One Hundred Fifty Seven </t>
  </si>
  <si>
    <t xml:space="preserve"> Procurement and Delivery of Construction Supplies and Materials for the Construction of  Drainage Location: Sitio Cala-cala, Cogon, Balingasag, Misamis Oriental</t>
  </si>
  <si>
    <t xml:space="preserve"> FURNISHING OF LABOR AND MATERIALS FOR THE REPAIR OF AGUS 6      NATURE'S PARK SPRING WATERPIPE     SCOPE OF WORKS: 1. CONDUCT SITE INSPECTION. 2. INSTALLATION OF STEEL CABLE WIRE. 3. INSTALLATION OF HDPE PIPE 2.5"  4. TAPPING USING PIPE HDPE FITTINGS 5. T</t>
  </si>
  <si>
    <t xml:space="preserve"> Republic of the Philippines  Province of Samar Municipality of Jiabong Invitation to Bid  Emergency Purchase in Response to Covid19 Vice-Mayor’s Office Jiab-2020-36A The Municipal Government of Jiabong, Samar, through LGU OF JIABONG   intends to apply the</t>
  </si>
  <si>
    <t xml:space="preserve"> delivery of materials, installation and other scope of work</t>
  </si>
  <si>
    <t xml:space="preserve"> Procurement and Delivery of Construction Supplies and Materials for the Concreting of Cesar-Calawag Road Location: Cesar-Calawag, Balingasag, Misamis Oriental</t>
  </si>
  <si>
    <t xml:space="preserve"> Invitation to Rebid for the Supply &amp; Delivery of Materials for the  Concrete Pavement and Repair of Drainage Canal –  Puerto Galera National High School 1.	The Municipal Government of Puerto Galera, through the LGU – Gender &amp; Development (GAD) Fund FY 202</t>
  </si>
  <si>
    <t xml:space="preserve"> Healthy Lifestyle (Provision of Total Blood Chemistry to all LGU Employee **PLEASE REFER TO THE ATTACHED PURCHASE REQUEST AT THE ASSOCIATED COMPONENTS SECTION FOR FURTHER DETAILS.</t>
  </si>
  <si>
    <t xml:space="preserve"> Republic of the Philippines  City of Canlaon Office of the Bids and Awards Committee  INVITATION TO BID FOR the Improvement of Brgy. Multi-purpose Building The Local Government of Canlaon City, through AIP 2020. Intends to apply the sum One Million Four H</t>
  </si>
  <si>
    <t xml:space="preserve"> Republic of the Philippines  Province of Iloilo Municipality of New Lucena                                                                                                               June 23, 2020                                                         </t>
  </si>
  <si>
    <t xml:space="preserve"> Municipality of  Sogod, Cebu					Contract Ref. No.-0005-2020 Proposed Road Concreting in Sitio Ocao - Brgy. Takay, Sogod, Cebu 		 Standard Form Number: SF-INFR-05 Revised on: July 29, 2004 INVITATION TO BID The Municipality of Sogod  through its Bids and </t>
  </si>
  <si>
    <t xml:space="preserve"> Procurement and Delivery of Construction Supplies and Materials for the Concreting of San Isidro-Kibalus Road Location: Sitio Kibalus, Barangay San Isidro, Balingasag, Misamis Oriental</t>
  </si>
  <si>
    <t xml:space="preserve"> Republic of the Philippines MUNICIPALITY OF ECHAGUE Province of Isabela INVITATION TO BID FOR  EXPENSES   ON  UGNAYAN SA BARANGAY; SPECIAL LAW MEDICAL AND DENTAL MISSION, TRAINING SEMINAR  OF BARANGAY TANOD,MONTHLY MEETING OF ADAC/MADAC/BARANGAY VISITATIO</t>
  </si>
  <si>
    <t xml:space="preserve"> INVITATION TO BID FOR THE  REHABILITATION OF MAGBABADIL BRIDGE I (BGY. MABINI, ABORLAN, PALAWAN) 1.	The Provincial Government of Palawan, through its 20% Development Fund (OBR No. 300-20-06-07376) account intends to apply the sum of Three Million One Hund</t>
  </si>
  <si>
    <t xml:space="preserve"> INVITATION TO BID 1.	The Santa Maria Water District (SMWD) through the Corporate Operating Budget for the year 2020 intends to apply the sum of TWO MILLION SEVENTY-TWO THOUSAND ONE HUNDRED SEVENTY-FIVE PESOS (P 2,072,175.00) being the Approved Budget for </t>
  </si>
  <si>
    <t xml:space="preserve"> Municipality of  Sogod, Cebu					Contract Ref. No.-0004-2020 Proposed Road Concreting in Sitio Bontilao, Liki, Sogod, Cebu 		 Standard Form Number: SF-INFR-05 Revised on: July 29, 2004 INVITATION TO BID The Municipality of Sogod  through its Bids and Awar</t>
  </si>
  <si>
    <t xml:space="preserve"> Republic of the Philippines  Province of Samar Municipality of Jiabong Invitation to Bid  Emergency Purchase in Response to Covid19 DSWD Office Jiab-2020-33A The Municipal Government of Jiabong, Samar, through LGU OF JIABONG   intends to apply the sum of </t>
  </si>
  <si>
    <t xml:space="preserve"> INVITATION TO BID FOR THE SUPPLY, DELIVERY, INSTALLATION AND COMMISSIONING OF VARIOUS MEDICAL EQUIPMENT (HFEP) (IB NO. 2020-GOODS-015-01-0623) 1.	The ILOCOS TRAINING AND REGIONAL MEDICAL CENTER (ITRMC), through the GAA, FY 2020 (HFEP Fund), intends to app</t>
  </si>
  <si>
    <t xml:space="preserve"> PURCHASE AND DELIVERY OF EQUIPMENT FOR IMPLEMENTATION OF DA-BAR PROMOTION OF RECOMMENDED RICE VARIETIES PROJECT **PLEASE REFER TO THE ATTACHED PURCHASE REQUEST AT THE ASSOCIATED COMPONENTS SECTION FOR FURTHER DETAILS.</t>
  </si>
  <si>
    <t xml:space="preserve"> Republic of the Philippines MUNICIPALITY OF ECHAGUE Province of Isabela INVITATION TO BID FOR  REPRESENTATION EXPENSES OF THE MAY0R 1.	The Local Government Unit , through  the  GENERAL   FUND  Of  2020   intends to apply the sum of  EIGHT MILLION PESOS (P</t>
  </si>
  <si>
    <t xml:space="preserve"> Invitation to Bid ITB-SSS-Goods-2020-017 ACQUISITION OF PROCUREMENT AND INVENTORY MANAGEMENT SYSTEM (SUPPLY, DELIVERY, INSTALLATION AND CONFIGURATION INTO OPERATIONAL STATE)  Approved Budget for the Contract (ABC)          : ABC = ₱ 20,620,000.00 Broken d</t>
  </si>
  <si>
    <t xml:space="preserve"> Department of Education Region VI-Western Visayas Division of Cadiz City Mabini National High School NOTICE FOR NEGOTIATED PROCUREMENT OF PROGRAMMING EQUIPMENT AND MATERIALS 1.	Mabini National High School, Division of Cadiz City, through the Schools MOOE </t>
  </si>
  <si>
    <t xml:space="preserve"> Benguet First District Engineering Office La Trinidad, Benguet              June 22, 2020    RE – INVITATION TO BID The Benguet First District Engineering Office, through its Bids and Awards Committee (BAC), invites contractors to submit bids for the foll</t>
  </si>
  <si>
    <t xml:space="preserve"> Ccncreting of Road</t>
  </si>
  <si>
    <t xml:space="preserve"> 1st  INVITATION TO BID The Local Government Unit of Rizal, Kalinga, through the Bids and Wards Committee, invites Suppliers to submit bids for the contract Contract Number: 2020-06-11 Project Title: Procurement of Vehicles for Vice Mayor’s Office Project </t>
  </si>
  <si>
    <t xml:space="preserve"> INVITATION TO BID  1.	The National Printing Office, through the Revolving Fund 2020 intends to apply the sum of ₱3,950,000.00 being the Approved Budget for the Contract (ABC) to payments under the contract for the Procurement of Supply, Delivery &amp; Install</t>
  </si>
  <si>
    <t xml:space="preserve"> 3KVA Generator Set	                3units Chain Block (3tons Capacity)	1unit Volt Cutter (small)	                1unit Static Kern Mantie Rope (11mm)	100m Seat Harness	                         4sets C-Collar (for adults)	                 4pcs Oxygen Tank </t>
  </si>
  <si>
    <t xml:space="preserve"> 6 units Additional CCTV Camera 5mp 4 units Antenna 1 unit 43" Monitor</t>
  </si>
  <si>
    <t xml:space="preserve"> 8 CCTV Camera, HD, Nigth Vision, Motion Detection, 16 - Channel DVR with 1 TB Hard Drive with complete accessories</t>
  </si>
  <si>
    <t xml:space="preserve"> 1.	The Mabini Water District through its Internal Cash Generation (ICG) intends to apply the sum of One Million Seven Hundred One Thousand Six Hundred Twenty Five Pesos Only (P 1,701,625.00) being the Approved Budget for the Contract (ABC) to payment unde</t>
  </si>
  <si>
    <t xml:space="preserve"> 1 unit - Photocopier Machine</t>
  </si>
  <si>
    <t xml:space="preserve"> 10 units - Handheld Radio with Charger 1 unit - Repeater</t>
  </si>
  <si>
    <t xml:space="preserve"> 10 units - Handheld Radio with Charger</t>
  </si>
  <si>
    <t xml:space="preserve"> Municipality of  Sogod, Cebu					Contract Ref. No.-0006-2020 Proposed Road Concreting in Pansoy - Mohon Barangay Road - Sitio Mangadlao Section, Sogod, Cebu 		 Standard Form Number: SF-INFR-05 Revised on: July 29, 2004 INVITATION TO BID The Municipality o</t>
  </si>
  <si>
    <t xml:space="preserve"> INVITATION TO BID FOR THE CONSTRUCTION OF TWO (2) BARREL RCBC W/ CONCRETE SLOPE PROTECTION (BGY. MAGSAYSAY, MUNICIPALITY OF DUMARAN, PALAWAN) 1.	The Provincial Government of Palawan, through its 20% Development Fund (OBR No. 300-20-06-07381) account inten</t>
  </si>
  <si>
    <t xml:space="preserve"> CITY ENGINEER'S OFFICE/ MOTORPOOL DIVISION 1 1 Unit/s Brand new counterbalance forklift with power output at least  110 hp minimum, gross vehicle weight at least 12,300 kg minimum at 2,000 rpm minimum, Diesel engine, 6 cylinders minimum, inline, direct in</t>
  </si>
  <si>
    <t xml:space="preserve"> Republic of the Philippines Province of Palawan Municipality of Roxas BIDS AND AWARDS COMMITTEE INVITATION TO BID FOR THE SUPPLY AND DELIVERY OF FUEL, OIL AND LUBRICANTS FOR THE REHABILITATION/ IMPROVEMENT OF LOCAL ROADS, MUNICIPAL WIDE ROXAS, PALAWAN The</t>
  </si>
  <si>
    <t xml:space="preserve"> INVITATION TO BID Upgrading of Lampitak Potable Water System Identification No. TAMP-PB-GOODS-06-2020 1.	The Local Government of Tampakan, through the 20% MDF 2017/3911-300-1-07-10-020 intends to apply the sum of Five Hundred Forty Eight Thousand Four Hun</t>
  </si>
  <si>
    <t xml:space="preserve"> Department of Education Region VI-Western Visayas Division of Cadiz City Mabini National High School INVITATION TO BID FOR THE PROCUREMENT OF OFFICE SUPPLIES FOR MODULAR LEARNING MNHS-SHS 2020 1.	The Mabini National High School  of Cadiz City, through the</t>
  </si>
  <si>
    <t xml:space="preserve"> INVITATION TO BID FOR THE CONCRETING OF MAGARA BGY. ROAD PHASE II (MUNICIPALITY OF ROXAS, PALAWAN) 1.	The Provincial Government of Palawan, through its 20% Development Fund (OBR No. 300-20-06-07378) account intends to apply the sum of Three Million Two Hu</t>
  </si>
  <si>
    <t xml:space="preserve"> ITEM 	ITEM &amp;  DESCRIPTION	QUANTITY 		 		 1	Base Course ( Dakal-Dakal)	30 cu.m. 2	2"x 2" x 8'  Coco Lumber	30 pcs. 3	3/4" x 4' x 8' Ordinary Plywood	4 pcs. 4	Assorted C.W. Nails	2 kls. 5	# 16 Tie Wire	3 kls. 6	Concrete Ready Mixed (3,000 psi)	44 cu.m. 7	Po</t>
  </si>
  <si>
    <t xml:space="preserve"> the specification is available at the Bids and Awards Secretariat MPDC-2nd-Floor, Lasam Municipal Town Hall Centro 02, Lasam, Cagayan</t>
  </si>
  <si>
    <t xml:space="preserve"> Municipality of Danao 						 Project Reference Number 			 : 	 2020-001 		  Name of Procuring Entity 						 Name of Project 			 : 	 Rehabilitation of Barangay Road 		  StandardForm Number : SF -GOOD -60 						 Location of the Project                   			 </t>
  </si>
  <si>
    <t xml:space="preserve"> Tractor Maintenance 5	PAIL 	Diesel Engine Oil w-40 (18 ltrs /pail) 5	pail 	Hydraulic Oil (18 ltrs/pail) 2	pail 	Grease (18 ltrs/pail) 3	pail	Gear Oil 90(18ltrs /pail) 2	pcs	Fuel Filter Primary (as per sample) 2	pcs	Fuel Filter Secondary (as per sample) 6	</t>
  </si>
  <si>
    <t xml:space="preserve"> Item	Quantity	Unit	Item Description 1	31	       Rolls	HDPE Hose (1”, Class A Royale) 2	4	      Rolls	HDPE Hose (1/2”, Class A Royale) 3	24	      Rolls	HDPE Hose (2”, Class A Royale) 4	3	      Unit	Water Pump ( Diesel, 7HP, with complete Accessories) 5	2	 </t>
  </si>
  <si>
    <t xml:space="preserve"> For 15 Units Cellular Phones (TouchScreen)</t>
  </si>
  <si>
    <t xml:space="preserve"> ITEM 	ITEM &amp;  DESCRIPTION	QUANTITY NO.		 	Streetlight Post	 1	12mm RSB	18 length 2	9mm RSB	10 length 3	#16 G.I. Tie Wire	5 kgs. 4	1/4 anchor bolt w/ nut and washer	24 pcs. 5	3"Ø G.S. Pipe Sched. 40	3 length 6	2"Ø G.S. Pipe Sched. 40	4 length 7	1/2"Ø G.S. </t>
  </si>
  <si>
    <t xml:space="preserve"> CCDO 1 1 Unit/s Motor Vehicle (4 wheels), Brand new, Van Type and latest  model, 2.2L Diesel, 5-speed manual.   Please see attached file/document on associated components or BAC website www.davaocityportal.com (BAC posting) for the complete descriptions, </t>
  </si>
  <si>
    <t xml:space="preserve"> Earthworks, Sub-base Course, Surface Course, Drainage &amp; Slope Protection Structures, Miscellaneous</t>
  </si>
  <si>
    <t xml:space="preserve"> Republic of the Philippines PROVINCE OF ZAMBOANGA DEL NORTE Municipality of Godod BARANGAY RAMBON INVITATION TO BID FOR PROPOSED WATER SUPPLY REHABILITATION Rambon, Godod, Zamboanga del Norte 1.	The Barangay Local Government Unit of Rambon, Godod, ZAmboan</t>
  </si>
  <si>
    <t xml:space="preserve"> The City Government of Malolos, through its BIDS and AWARDS COMMITTEE (BAC) Invites Suppliers/Manufacturers/Distributors to Bid for hereunder procurement:  PR No. : GSO-2020-03-459 Name of Project : PURCHASE OF 5 UNITS MINI DUMP TRUCK 6                   </t>
  </si>
  <si>
    <t xml:space="preserve"> Invitation to Bid 1.	The Barangay Government of Tanza 2 through the 2020 BDRRM Fund,intend to apply the amount of  Ninety Thousand Pesos Only  (words)  Php 90,000.00 as the Approved Budget for the Contract (ABC) for the payment under the contract for the </t>
  </si>
  <si>
    <t xml:space="preserve"> 1  unit Printer 3 in 1            Printer Up to A3 	Colored 	Print Resolution up to 5760 x 440 dpi  	Print Speed up to 15ipm 	Refill Tank System Ink 1 unit	Desktop with Table 	CPU 3.0 Hz Intel Core i7 	Memory 8gb DBR44 1.066m Hz 	HD 4870 x 2512MB 2 gb nvi</t>
  </si>
  <si>
    <t xml:space="preserve"> Standard Form Number: SF-INFR-05 Revised on: July 28, 2004        INVITATION TO APPLY FOR ELIGIBILITY AND TO BID The Municipal Local Government Unit of Saguday, Quirino through its Bids and Awards Committee (BAC), invites contractors to apply for eligibil</t>
  </si>
  <si>
    <t xml:space="preserve"> 2,200     cu.m.  Common Borrow    800        cu.m.  Base Course</t>
  </si>
  <si>
    <t xml:space="preserve"> Road Widening, Retaining Wall and PCCP</t>
  </si>
  <si>
    <t xml:space="preserve"> CITY MAYOR'S OFFICE 1 1 Unit Vehicle, brand new Pick-Up Type, 3.0L Four Wheel Drive (4x4) Diesel Engine, A/T Transmission with Aircon, Color White.   Please see attached file/document on associated components or BAC website www.davaocityportal.com (BAC po</t>
  </si>
  <si>
    <t xml:space="preserve"> PES Various Office Supplies available at PS 2020 with the alloted budget of Php 40,000.00 QTY	Unit	Agency Specification		Bidders Specification	 20	ream	paper multi copy, 80 gsm size 216mm x 330			 15	ream	paper multi copy A4 70gsm			 2	pc	Record book 300 </t>
  </si>
  <si>
    <t xml:space="preserve"> Republic of the Philippines MUNICIPALITY OF ECHAGUE Province of Isabela INVITATION TO BID FOR  THE  PURCHASE OF RAPID ELECTRIC VEHICLE CHARGER (FOR  E-TRIKE) 1.	The Local Government Unit , through  the  DOST FUND ( Grant)  intends to apply the sum of  ONE</t>
  </si>
  <si>
    <t xml:space="preserve"> INVITATION TO BID FOR THE Provision of Internet Service and Domestic Multi-Protocol Label Switching Services for Bicol University 1.	The BICOL UNIVERSITY, through the General Appropriations Act/Corporate Budget for the contract approved by the Board of Re</t>
  </si>
  <si>
    <t xml:space="preserve"> CITY MAYOR'S OFFICE 1 1000 Pieces Lechon (Baboy), Whole, 20 Kgs. Live Weight  2 10 Pieces Lechon (Baka), Whole, 50 Kgs. Live Weight  Terms and Condition: 1. Payment- Per Statement 2. All quoted prices shall be inclusive of VAT   Please see attached file/d</t>
  </si>
  <si>
    <t xml:space="preserve"> 18 assy. Pen light 18-watts LED Lamp 1,081 bags Portland Cement type-1p 11 bags Skimcoat 98 bags Tile Adhesive Cement 7 box 1/8 Blind Revits at 1000 pcs/box 1 box Welding Rod Stainless Steel 1 box #14 THW Stranded 1 box #12 THW Stranded 1 box Stiple Wire </t>
  </si>
  <si>
    <t xml:space="preserve"> INVITATION TO BID for SALVACION-UNION CIS 1.	The National Irrigation Administration- Irrigation Management Office Davao de Oro, through the GAA –CARP-IC  fund 2020 Force Account Works intends to apply the sum of  One Million Five Hundred Sixty Eight Thous</t>
  </si>
  <si>
    <t xml:space="preserve"> OFFICE OF THE CITY MAYOR 1 8900 Sack/s Rice, 50 kilos per sack, V160/7 tonner  2 4600 Box/es Sardines, in tomato sauce, 155g., 100s per box Terms and Conditions: 1. The bidder must have atleast 3 storage facilities within Davao City that can accommodate t</t>
  </si>
  <si>
    <t xml:space="preserve"> Name of Project	:	Procurement of Drugs &amp; Medicines Location		:	MHARSMC, Mindog, Maningcol, Ozamiz City Brief Description	:	Drugs &amp; Medicines 2020 Approved Budget for the Contract	:	Php 12,540,885.93 total or corporate budget (please refer to the list  			</t>
  </si>
  <si>
    <t xml:space="preserve"> EXCAVATION, BOX CULVERT</t>
  </si>
  <si>
    <t xml:space="preserve"> ITEM 	ITEM &amp;  DESCRIPTION	QUANTITY NO.		 1	Cement	112 bags 2	Sand 	7 cu.m. 3	Gravel	4 cu.m.  4	12mm x 6.0 RSB	8 pcs. 5	10mm x 6.0 RSB	8 pcs. 6	9mm x 6.0 RSB	80 pcs. 7	Tie Wire	12 kls. 8	4" CHB	880 kls. 9	Hacksaw Blade	6 liters 10	Assorted CW Nails	6 liter</t>
  </si>
  <si>
    <t xml:space="preserve"> Republic of the Philippines  Province of Samar Municipality of Jiabong Invitation to Bid  Emergency Purchase in Response to Covid19 RHU Office Jiab-2020-37A The Municipal Government of Jiabong, Samar, through LGU OF JIABONG   intends to apply the sum of S</t>
  </si>
  <si>
    <t xml:space="preserve"> Republic of the Philippines Province of Romblon MUNICIPALITY OF ALCANTARA -oOo- INVITATION TO BID FOR PURCHASE OF TOILET BOWL (UNDER SUSTAINABLE SANITATION PROGRAM)        Poblacion,  Alcantara, Romblon The Local Government Unit of Alcantara, Romblon, thr</t>
  </si>
  <si>
    <t xml:space="preserve"> June 22, 2020 INVITATION TO BID  Reference No. 7059944 /Solicitation No.20-23 The City Government of Tagum invites interested Bidders/Suppliers to bid for the following: Name of Contract         :  FURNITURE &amp; FIXTURE FOR THE USE OF CMO - TAGUM NEW POLICE</t>
  </si>
  <si>
    <t xml:space="preserve"> ITEM 	ITEM &amp;  DESCRIPTION	QUANTITY NO.		 	EXCAVATION/ BACKFILL	 1	Filling Materials	7 cu.m. 		 	PCCP( PORTLAND CEMENT CONCRETE PAVEMENT)	 2	Portland Cement	360 bags 3	Washed Sand	20 cu.m 4	3/4" Gravel	40 cu.m. 5	12mm RSB	225 length 6	#16 Tie Wire	20 kgs.</t>
  </si>
  <si>
    <t xml:space="preserve"> 30 boxes PDX wire#14 38 Pcs. Rubber Receptacle 38 pcs. electrical bulb 15 W 20 rls. electrical tape 38 pcs. ball insulator</t>
  </si>
  <si>
    <t xml:space="preserve"> For Construction of IP Housing (Materials)</t>
  </si>
  <si>
    <t xml:space="preserve"> INVITATION TO BID Streetlighting Project Along Provincial Road Identification No. TAMP-PB-GOODS-05-2020 1.	The Local Government of Tampakan, through the 20% MDF 2020/8918-3001-07-03-050 intends to apply the sum of Seven Hundred Thirty Eight Thousand Five </t>
  </si>
  <si>
    <t xml:space="preserve"> 6,428  pcs Cacao Planting Materials (Asesual) 1,500  bags  Soil Enhancer (Chicken Dung)</t>
  </si>
  <si>
    <t xml:space="preserve"> CONSTRUCTION OF 7.15M X 9.15M SCHOOL BUILDING</t>
  </si>
  <si>
    <t xml:space="preserve"> For Construction of IP Housing (Labor)</t>
  </si>
  <si>
    <t xml:space="preserve"> for RHU Consultation LGU Cabagan Cabagan, Isabela</t>
  </si>
  <si>
    <t xml:space="preserve"> ITB No. 2020-76 June 23, 2020 Republic of the Philippines Province of Davao Oriental CITY OF MATI INVITATION TO BID CONSTRUCTION OF MATI CREEK VERDANT WALL Name of Project 1.	The City Government of Mati, through the 20% Local Development Fund intends to a</t>
  </si>
  <si>
    <t xml:space="preserve"> Earthworks, Sub-base and Base Course, Surface Course, Bridge Construction, Slope Protection Structures, Miscellaneous</t>
  </si>
  <si>
    <t xml:space="preserve"> for CCTV Cameras with Installation and Services</t>
  </si>
  <si>
    <t xml:space="preserve"> Repair/Maintenance of Building</t>
  </si>
  <si>
    <t xml:space="preserve"> The Subic Bay Metropolitan Authority, through the Corporate Budget for the contract approved by the governing board for 2020 intends to apply the sum of Two Million Eight Hundred Thousand Pesos (Php2,800,000.00) Exclusive of VAT and other taxes being the </t>
  </si>
  <si>
    <t xml:space="preserve"> INVITATION TO BID FOR SUPPLY AND DELIVERY OF WORKSTATION COMPUTERS  FOR DSWD-UCT NPMO —  ITB NO. GOP/19-DSWD-059-A — (PR NO. 01-20001-PR-2019-11-00121) 1.	The Department of Social Welfare and Development (DSWD), through the DSWD Funds, intends to apply th</t>
  </si>
  <si>
    <t xml:space="preserve"> For further details, please see attached Program of Works in the associated components.</t>
  </si>
  <si>
    <t xml:space="preserve"> Invitation to Rebid for the Supply &amp; Delivery of Materials for the  Construction of Washing Area and Kitchen and Installation of Portable Handwashing Facility 1.	The Municipal Government of Puerto Galera, through the 30% QRF-MDRRM Fund intends to apply th</t>
  </si>
  <si>
    <t xml:space="preserve"> Contract I.D. No.: 20GCE0007 Contract Name: Procurement of Materials for use in the Activity 309 - Other Traffic Services (Centerline and Laneline Repainting) and in the Repair and Maintenance of Various National Roads Contract Location: DPWH Nueva Ecija </t>
  </si>
  <si>
    <t xml:space="preserve"> ITEM 	ITEM &amp;  DESCRIPTION	QUANTITY NO.		 1	2"x6" C- Purlins (Raffer)	6 pcs. 2	2"x4" c- Purlin ( Scollar Cleats)	2 pcs. 3	2"x3" C- Purlins ( Purlins)	18 pcs. 4	10mm x6.0 Plain Bar ( Sag Rod)	8 pcs. 5	1/4"x2-1/2"&lt; Bar ( Wedge Plate)	1 pc. 6	Welding Rod	5 kl</t>
  </si>
  <si>
    <t xml:space="preserve"> Item No.	Scope of Work	Quantity	Unit	Total Estimated Cost I	Const. of Water System		 II	Inst. Of 3707 lm distribution line	3707	Lm	 III	35 units cluster assembly	35	Units	 IV	Repair of intake box	1	Lot	 V	Civil Structures			 VI	Pipe Support Riprap	1	Lot	 </t>
  </si>
  <si>
    <t xml:space="preserve"> Construction of Two – Storey Six (6) Classroom PAGCOR Design School Building at Panitan NHS, Panitan, Capiz Affected by Typhoon Yolanda (Rebid)</t>
  </si>
  <si>
    <t xml:space="preserve"> BAC1-20-006 SUPPLY AND DELIVERY OF VARIOUS CONSTRUCTION SUPPLIES - PABX –  FOR 2020                                                      INVITATION  TO BID 1. The University of the Philippines Manila through its Bids and Awards Committee I (BAC 1), invite</t>
  </si>
  <si>
    <t xml:space="preserve"> ITEM 	ITEM &amp;  DESCRIPTION	QUANTITY NO.		 1	1/4"x2"x2" Angle Bar	23 pcs. 2	3/16"x11/2"x11/2" Angle Bar	13 pcs. 3	3/16"x11/4"11/4" Angle Bar ( Cross Brace)	21 pcs. 4	12mmØ x 6m. Plain Bar ( Cross Tension)	8 pcs. 5	2"x3" C -Purlins (1.5)	34 pcs. 6	10mmØ X 6M</t>
  </si>
  <si>
    <t xml:space="preserve"> Portland Cement	220 Bags Sand	11 Cu. M Gravel ¾”	22 Cu. M Reinforcement Steel Bar 16mm	130 Pcs Reinforcement Steel Bar 10mm	146 Pcs Tying Wire # 16	20 Kilos 2” X 3” X 10 Coco Lumber	30 Pcs ½” ordinary Plywood	8 Pcs Common Wire Nails	14 Kilos Concrete Nail</t>
  </si>
  <si>
    <t xml:space="preserve"> Watchman Services (March 2020-Dec.2020)</t>
  </si>
  <si>
    <t xml:space="preserve"> INVITATION TO BID The Municipality of San Mateo, through its Bids and Awards Committee (BAC), invites suppliers, registered with the BAC in the Municipality of San Mateo, to apply for eligibility and if found eligible, to bid for the hereunder listed proj</t>
  </si>
  <si>
    <t xml:space="preserve"> LAPTOP USE AT THE OFFICE OF THE MUNICIPAL CIVIL REGISTRAR **PLEASE REFER TO THE ATTACHED PURCHASE REQUEST AT THE ASSOCIATED COMPONENTS SECTION FOR FURTHER DETAILS.</t>
  </si>
  <si>
    <t xml:space="preserve"> ITEM 	ITEM &amp;  DESCRIPTION	QUANTITY NO.		 1	Item 200	9 cu.m. 2	Portland Cement Type I	270 bags 3	Fine Aggregates	22 cu.m. 4	Coarse Aggregates	22 cu.m. 5	12mmØ 6m. Deformed Steel Bar	59 pcs. 6	10mmØ x 6m. Deformed Steel Bar	272 pcs. 7	16mmØ x7m. Deformed St</t>
  </si>
  <si>
    <t xml:space="preserve"> Republic of the Philippines Province of Masbate MUNICIPALITY OF CATAINGAN BARANGAY VILLAPOGADO   			                                                                                              JULY 23, 2020 INVITATION TO APPLY FOR ELIGIBILITY AND TO BID </t>
  </si>
  <si>
    <t xml:space="preserve"> The City Government of Malolos, through its BIDS and AWARDS COMMITTEE (BAC) Invites Suppliers/Manufacturers/Distributors to Bid for hereunder procurement:  PR No. : GSO-2020-05-657 Name of Project : SUPPLY AND DELIVERY OF 600 CAVANS WELL                  </t>
  </si>
  <si>
    <t xml:space="preserve"> CITY ENGINEER'S OFFICE/ MOTORPOOL DIVISION -- Spare Parts for Hyundai 6-Wheeler Dump Truck HD160 with Plate No. SKG-825 -- Spare Parts for Komatsu D65EX-15 Bulldozer with Equipment No. A2010-002L   Please see attached file/document on associated component</t>
  </si>
  <si>
    <t xml:space="preserve"> Invitation to Rebid for the Supply &amp; Delivery of Materials for the  Repair of School Building – Villaflor Elementary School 1.	The Municipal Government of Puerto Galera, through the LGU – Gender &amp; Development (GAD) Fund FY 2020  intends to apply the sum o</t>
  </si>
  <si>
    <t xml:space="preserve"> INVITATION TO BID  FOR THE Supply and Delivery of Various Spare Parts for Heavy Equipment I.B. No. 2020 - 0024 1.	The LGU - Cabanatuan City, through the General Fund, FY 2020 intends to apply the sum of Seven Million Nine Hundred Fifty-Three Thousand Four</t>
  </si>
  <si>
    <t xml:space="preserve"> Republic of the Philippines Province of Zamboanga del Sur MUNICIPALITY OF SOMINOT Barangay Poblacion -o0o- JUNE 04, 2020 INVITATION FOR NEGOTIATED PROCUREMENT  (TWO FAILED BIDDINGS) PURCHASE OF MATERIALS FOR THE INSTALLATION OF 48” RCCP AT RIZAL STREET In</t>
  </si>
  <si>
    <t xml:space="preserve"> Republic of the Philippines Province of Bukidnon Municipality of Cabanglasan -o0o- ___________________________________________________________________________ INVITATION TO BID FOR PURCHASE OF MATERIALS FOR CONSTRUCTION OF MULTIPURPOSE PAVEMENT PHASE I 1.</t>
  </si>
  <si>
    <t xml:space="preserve"> CITY HEALTH OFFICE -- ASSORTED LABORATORY REAGENTS AND CHEMICALS -- TERMS AND CONDITIONS : Technical Documents Required for the Purchase of Medical Supplies, Laboratory Supplies and other Laboratory Reagents for Medical Laboratory Examination of the City </t>
  </si>
  <si>
    <t xml:space="preserve"> Construction of Local Road Access- Brgy. Calabaca, Capalonga, Cam. Norte</t>
  </si>
  <si>
    <t xml:space="preserve"> Republic of the Philippines Province of Bukidnon Municipality of Cabanglasan -o0o- ___________________________________________________________________________ INVITATION TO BID FOR PURCHASE OF MINI DUMPTRUCK PB-2020-01 1.	The Local Government Unit of Caba</t>
  </si>
  <si>
    <t xml:space="preserve"> INVITATION TO BID 	 The Department of Public Works and Highways-Cebu 4th District Engineering Office, through its Bids and Awards Committee (BAC), invites contractors to submit bids for the Contract: 1.	Contract ID 		:	20HG0176 Contract Name           :  </t>
  </si>
  <si>
    <t xml:space="preserve"> 538 cubic meter (sand and gravel) road graveling of various barangay roads of Sta. filomena, Dipolog City</t>
  </si>
  <si>
    <t xml:space="preserve"> Republic of the Philippines Province of Leyte Municipality of Tolosa BARANGAY POBLACION INVITATION TO BID FOR  Supply and Installation of Solar Streetlights at Brgy. Poblacion, Tolosa, Leyte  Job Request No. 20-06-01 1.	The Barangay of Poblacion, Tolosa, </t>
  </si>
  <si>
    <t xml:space="preserve"> Republic of the Philippines   Province of Laguna             Municipality of Calauan 		ITB No.  2020-01 BIDS AND AWARDS COMMITTEE INVITATION TO BID  1.	 The Municipal Government of Calauan, Laguna intends to apply the sum of FOUR MILLION PESOS (Php4,000,0</t>
  </si>
  <si>
    <t xml:space="preserve"> Please download Bidding Documents IB 2020 – 052 Procurement of 42 set CD4 Machine Control (Rebid) Bidding Document fee: 500.00 The pre - bid conference is open to interested bidders. You may be qualified to submit your bidding documents during the public </t>
  </si>
  <si>
    <t xml:space="preserve"> INVITATION TO BID FOR THE PROCUREMENT OF SUPPLY &amp; DELIVERY OF 64 HEADS CATTLE (TYPHOON URSULA)      1.	The Department of Agriculture Regional Field Office 6 through the General Appropriations Act (GAA) of 2020 intends to apply the sum of Three Million Fif</t>
  </si>
  <si>
    <t xml:space="preserve"> INVITATION TO BID FOR THE PROCUREMENT OF SUPPLY &amp; DELIVERY OF NATIVE CHICKEN (TYPHOON URSULA)     1.	The Department of Agriculture Regional Field Office 6 through the General Appropriations Act (GAA) of 2020 intends to apply the sum of Three Million One H</t>
  </si>
  <si>
    <t xml:space="preserve"> 441 cu.m Fine Aggregates 674 cu.m Coarse Aggregates</t>
  </si>
  <si>
    <t xml:space="preserve"> Bids received in excess of the ABC for each project shall be automatically rejected at bid opening. Prospective bidders should have undertaken a similar project within three (3) years from the date of bidding. Bidding will be conducted through open compet</t>
  </si>
  <si>
    <t xml:space="preserve"> Republic of the Philippines Province of Bohol Municipality of San Miguel INVITATION TO BID FOR  SUPPLY AND DELIVERY OF SPARE PARTS OF MUNICIPAL ROAD GRADER AND BULLDOZER  1.	The Local Government Unit of San Miguel, Bohol, through the 5-02-13-060 intends t</t>
  </si>
  <si>
    <t xml:space="preserve"> Please download Bidding Documents IB 2020 – 051 Procurement of 46,700 bottles Rifampicin 200mg/5ml (REBID) Bidding Document fee: 10,000.00 The pre - bid conference is open to interested bidders. You may be qualified to submit your bidding documents during</t>
  </si>
  <si>
    <t xml:space="preserve"> INVITATION TO BID FOR THE PROCUREMENT OF SUPPLY &amp; DELIVERY OF PIGLETS (TYPHOON URSULA)     1.	The Department of Agriculture Regional Field Office 6 through the General Appropriations Act (GAA) of 2020 intends to apply the sum of Two Million Two Hundred Si</t>
  </si>
  <si>
    <t xml:space="preserve"> Republic of the Philippines Province of Capiz Municipality of Mambusao Barangay Bunga Invitation to Bid for a One (1) Job Order for the Supply of Labor and Materials for Construction of Perimeter Fence at Brgy. Bunga, Mambusao, Capiz   The Municipality of</t>
  </si>
  <si>
    <t xml:space="preserve"> INVITATION TO BID FOR THE PROCUREMENT OF SUPPLY &amp; DELIVERY OF GOAT (TYPHOON URSULA)     1.	The Department of Agriculture Regional Field Office 6 through the General Appropriations Act (GAA) of 2020 intends to apply the sum of Six Million Eight Hundred For</t>
  </si>
  <si>
    <t xml:space="preserve"> CITY GOVERNMENT OF DAVAO -- ASSORTED OFFICE SUPPLIES AND MATERIALS --   Please see attached file/document on associated components or BAC website www.davaocityportal.com (BAC posting) for the complete descriptions, terms of conditions and terms of referen</t>
  </si>
  <si>
    <t xml:space="preserve"> ITEM 	ITEM &amp;  DESCRIPTION	QUANTITY NO.		 1	Item 200	9 cu.m 2	Portland Cement Type 1	66 bags 3	Fine Aggregates	3 cu.m. 4	Coarse Aggregates	4 cu.m. 5	12mm.x  6.0m. Deformed Bars	120 pcs. 6	#16 Tie Wire	8 kls. 7	4" CHB ( No Bearing Load)	700 pcs. 8	0.30x 1.0</t>
  </si>
  <si>
    <t xml:space="preserve"> Republic of the Philippines Province of Cotabato Municipality of Antipas BIDS AND AWARDS COMMITTEE INVITATION TO BID FOR Supply and Delivery of School Equipment 1.	The Municipal Government of Antipas, through the Budget approved by the Sanggunian intends </t>
  </si>
  <si>
    <t xml:space="preserve"> CITY GOVERNMENT OF DAVAO -- ASSORTED COMPUTER SUPPLIES AND MATERIALS --   Please see attached file/document on associated components or BAC website www.davaocityportal.com (BAC posting) for the complete descriptions, terms of conditions and terms of refer</t>
  </si>
  <si>
    <t xml:space="preserve"> Republic of the Philippines DEPARTMENT OF PUBLIC WORKS AND HIGHWAYS LANAO DEL NORTE 1st  DISTRICT ENGINEERING OFFICE REGION X 0054 Seminary Drive, Del Carmen, Iligan City INVITATION TO BID FOR THE PROCUREMENT OF GOODS/SUPPLIES FOR THE   FOLLOWING PROJECT </t>
  </si>
  <si>
    <t xml:space="preserve"> BAC1-20-008 SUPPLY AND DELIVERY OF VARIOUS CONSTRUCTION SUPPLIES - MECHANICAL/CMGVS FOR 2020                                                            INVITATION  TO BID 1. The University of the Philippines Manila through its Bids and Awards Committee I </t>
  </si>
  <si>
    <t xml:space="preserve"> Please download Bidding Documents IB 2020 – 055 Procurement of 1,091 cannister Effervescent Chlorine Tablet 1.7 g Bidding Document fee: 5,000.00 The pre - bid conference is open to interested bidders. You may be qualified to submit your bidding documents </t>
  </si>
  <si>
    <t xml:space="preserve"> Mohon, Sogod, Cebu						Contract Ref. No.-01M-2020 Fabrication &amp; Installation of Basketball Goal at Mohon Sports Complex, Mohon, Sogod, Cebu 		 Standard Form Number: SF-INFR-05 Revised on: July 29, 2004 INVITATION TO BID The Mohon, Sogod, Cebu  through it</t>
  </si>
  <si>
    <t xml:space="preserve"> Republic of the Philippines Province of Ilocos Sur MUNICIPALITY OF MAGSINGAL Office of the Bids and Awards    Committee INVITATION TO BID FOR THE CONSTRUCTION OF PAGSANAAN SUR POST HARVEST FACILITY The Municipality of Magsingal, through its Bids and Award</t>
  </si>
  <si>
    <t xml:space="preserve"> INVITATION TO BID Construction of Administrative Office at Palo National High School Identification No. TAMP-PB-GOODS-07-2020 1.	The Local Government of Tampakan, through the 20% MDF 2018/8918-300-1-07-10-020 intends to apply the sum of Two Hundred Ninete</t>
  </si>
  <si>
    <t xml:space="preserve"> INVITATION TO APPLY FOR ELIGIBILITY AND TO BID  One (1) Lot Laboratory Equipment   ITB No. 2020-06-006 P.R. No. 2020-06-171 1.	The Mines and Geosciences Bureau, through the General Appropriations Act (GAA) for CY 2020 intends to apply the sum correspondin</t>
  </si>
  <si>
    <t xml:space="preserve"> LABOR AND MATERIALS FOR THE CONSTRUCTION OF MUNICIPAL WAREHOUSE AT POBLACION,BADIAN,CEBU</t>
  </si>
  <si>
    <t xml:space="preserve"> 50 BOT ACICLOVER 200MG/5ML SUSP.,60ML SUSP. 50 BOT. ALCOHOL, ETHYL 70% SOLUTION 40 BOX ALUMINUM MAGNESIUM 200MG TABLET 30 BOT. ALUMINUM MAGNESIUM 200 MG/ 5ML SUSP, 60ML 20 BOX AMLODIPINE 5MG OR 10MG TABLET 48 BOX AMOXICILLIN 500MG CAPSULE 100 BOT. AMOXICI</t>
  </si>
  <si>
    <t xml:space="preserve"> Complete Construction of (9.50mx23.00m) Two Storey; Four Classroom School Building Mostly Built With Concrete And Masonry, with PWD Ramp with handrails, parapet wall on concrete gutter and complete and electrical works, Sanitary/ Plumbing Works, ventilati</t>
  </si>
  <si>
    <t xml:space="preserve"> INVITATION TO APPLY FOR ELIGIBILITY AND TO BID  One (1) Lot Provision for Security Services for 2020 (August-December)   ITB No. 2020-06-004 P.R. No. 2020-06-172 1.	The Mines and Geosciences Bureau, through the General Appropriations Act (GAA) for CY 2020</t>
  </si>
  <si>
    <t xml:space="preserve"> Bid-Opening-July 14,2020 at 2:00 p.m. at Municipal Conference Room</t>
  </si>
  <si>
    <t xml:space="preserve"> 1.	The DENR-Environmental Management Bureau Region 2, through the ESWM Fund (Fund 101) CY 2020 intends to apply the sum of Two Million Two Hundred Thousand Pesos (P2,200,000.00) the contract for Procurement Of Professional Consulting Service For The Condu</t>
  </si>
  <si>
    <t xml:space="preserve"> The Municipal Government of Bayog, Zamboanga del Sur thru its Bids and Awards Committee (BAC) invites all interested bidders for the “EVENT MANAGEMENT - VENUE RENTAL, FOOD AND ACCOMMODATION” for the Three-Days Seminar Workshop on Gender and Development an</t>
  </si>
  <si>
    <t xml:space="preserve"> INVITATION TO APPLY FOR ELIGIBILITY AND TO BID  One (1) Lot Information Technology   ITB No. 2020-06-005 P.R. No. 2020-03-158 1.	The Mines and Geosciences Bureau, through the General Appropriations Act (GAA) for CY 2020 intends to apply the sum correspond</t>
  </si>
  <si>
    <t xml:space="preserve"> CITY ENGINEER'S OFFICE/ MOTORPOOL DIVISION -- ASSORTED OIL AND LUBRICANTS --   Please see attached file/document on associated components or BAC website www.davaocityportal.com (BAC posting) for the complete descriptions, terms of conditions and terms of </t>
  </si>
  <si>
    <t xml:space="preserve"> Lot 1 1 Unit HAND TRACTOR Specification 1.Two Wheel Hand Tractor w/ Trailer 2.. Prime Mover: 10-12HP Diesel Engine 3. Trailer Capacity: 1ton,  4. With Mud Guard, with Belt Guard or Cover, with Rubber Hand Grip,  5. Transmission with reverse and forward.  </t>
  </si>
  <si>
    <t xml:space="preserve"> BAC1-20-008 SUPPLY AND DELIVERY OF VARIOUS CONSTRUCTION SUPPLIES - PAINTING  FOR 2020                                                            INVITATION  TO BID 1. The University of the Philippines Manila through its Bids and Awards Committee I (BAC 1)</t>
  </si>
  <si>
    <t xml:space="preserve"> 8 unit Visitor Chair 8 pcs. Filing Cabinet (4 layer metal) 24 pcs. Back pack 75 pcs. Plaque (medium)</t>
  </si>
  <si>
    <t xml:space="preserve"> Please download Bidding Documents IB 2020 – 054 Procurement of 1,700 pcs. Etonogestrel Subdermal Implant Bidding Document fee: 5,000.00 The pre - bid conference is open to interested bidders. You may be qualified to submit your bidding documents during th</t>
  </si>
  <si>
    <t xml:space="preserve"> CITY VET. OFFICE -- ASSORTED  VETERINARY DRUGS AND MEDICINES --   Please see attached file/document on associated components or BAC website www.davaocityportal.com (BAC posting) for the complete descriptions, terms of conditions and terms of references.  </t>
  </si>
  <si>
    <t xml:space="preserve"> INVITATION  TO BID 1. The University of the Philippines Manila through its Bids and Awards Committee I (BAC 1), invites suppliers/manufacturers/distributors/contractors to apply for eligibility and to bid for the hereunder project:  Name of Project      :</t>
  </si>
  <si>
    <t xml:space="preserve"> Please download Bidding Documents IB 2020 – 053 Procurement of 600 bottles Immersion Oil Bidding Document fee: 1,000.00 The pre - bid conference is open to interested bidders. You may be qualified to submit your bidding documents during the public bidding</t>
  </si>
  <si>
    <t xml:space="preserve"> CY 2019 Repair/Rehabilitation of Department of Education Regional Office VI, Duran Street, Iloilo City (Rebid)</t>
  </si>
  <si>
    <t xml:space="preserve"> Republic of the Philippines Province of Surigao del Sur Municipality of Lanuza Barangay Bunga INVITATION TO BID  PROCUREMENT OF HARDWARE MATERIALS FOR REHABILITATION OF EXISTING BUSANAMCO RATTAN PROCESSING CENTER AT BARANGAY BUNGA, LANUZA, SURIGAO DEL SUR</t>
  </si>
  <si>
    <t xml:space="preserve"> 147 bags Premium Cement 12 pcs. 12mm dia, X 20' std def. bar 24 pcs. 10mm dia. X 20' std def. bar 11 kls. # 16 tie wire 1 pc. 1/2 thk. Ordinary Plywood 10 kls. #4 common wire nails 10 kls. #3 common wire nails 1 kl. #1-1/2 common wire nails 350 pcs. 4x8x1</t>
  </si>
  <si>
    <t xml:space="preserve"> Republic of the Philippines Province of Eastern Samar Municipality of Mercedes OFFICE OF THE BIDS AND AWARDS COMMITTEE (BAC) INVITATION TO BID # INFRA-2020- 004  INVITATION TO BID FOR THE PROPOSED REHABILITATION OF MUNICIPAL ROADS (Provincial Road with MO</t>
  </si>
  <si>
    <t xml:space="preserve"> ITEM 	ITEM &amp;  DESCRIPTION	QUANTITY NO.		 1	Portland Cement	23 bags 2	Screened Gravel	3 cu.m 3	Mixing Sand	2 cu.m. 4	2"x2"x10' Coco Lumber	15 pcs. 5	1/2"x4'x8' Ord. Plywood	2 sht. 6	No. 16 Tie Wire	3 kls. 7	C.W. Nails 4"	3 kls. 8	10mmØ x 6m RSB	12 pcs. 9	1</t>
  </si>
  <si>
    <t xml:space="preserve"> CITY ENGINEER'S OFFICE 1 40 Metric Hot Asphalt 60/70 (Items must be in ISO Tank) 2 100 Drum/s Emulsified asphalt (bitamol), SS1 3 20 Metric Hot Asphalt 60/70 (Items must be in ISO Tank)    Please see attached file/document on associated components or BAC </t>
  </si>
  <si>
    <t xml:space="preserve"> Republic of the Philippines Province of Palawan Municipality of Roxas BIDS AND AWARDS COMMITTEE INVITATION TO BID FOR THE SUPPLY AND DELIVERY OF OFFICE SUPPLIES, FURNITURE AND EQUIPMENT FOR LGU-ROXAS, PALAWAN The Local Government Unit of Roxas, Palawan, t</t>
  </si>
  <si>
    <t xml:space="preserve"> CITY HEALTH OFFICE -- Assorted Air Conditioners --   Please see attached file/document on associated components or BAC website www.davaocityportal.com (BAC posting) for the complete descriptions, terms of conditions and terms of references.   Bidding will</t>
  </si>
  <si>
    <t xml:space="preserve"> INVITATION TO BID FOR THE PROCUREMENT OF SUPPLY &amp; DELIVERY OF 56 HEADS CARACOWS (TYPHOON URSULA)     1.	The Department of Agriculture Regional Field Office 6 through the General Appropriations Act (GAA) of 2020 intends to apply the sum of Two Million Four</t>
  </si>
  <si>
    <t xml:space="preserve"> ITEM 	ITEM &amp;  DESCRIPTION	QUANTITY NO.		 		 1	Boulders	46 pcs. 2	Cement	172 bags 3	Sand	11 cu.m. 4	2"x2"x10' G.L.	45 pcs. 5	Gravel	7 cu.m. 6	10mm.Dia. X 6.0 RSB	62 pcs. 7	2" PVC Pipe	30 pcs. 8	# 16 Tie Wire	6 kls. 9	Filling Soil	60 cu.m. 10	Asst'd. C. W. </t>
  </si>
  <si>
    <t xml:space="preserve"> CITY ENGINEER'S OFFICE -- Assorted Metals --   Please see attached file/document on associated components or BAC website www.davaocityportal.com (BAC posting) for the complete descriptions, terms of conditions and terms of references.   Bidding will be co</t>
  </si>
  <si>
    <t xml:space="preserve"> Department of Education Region VI-Western Visayas Division of Cadiz City Mabini National High School INVITATION TO BID FOR THE PROCUREMENT OF OFFICE SUPPLIES FOR MODULAR LEARNING MNHS-JHS 2020 1.	The Mabini National High School  of Cadiz City, through the</t>
  </si>
  <si>
    <t xml:space="preserve"> Invitation to Bid for the Construction of Multi-Purpose Hall Barangay Dulangan 1.	The Municipal Government of Puerto Galera, through the 20% Development Fund FY 2020 intends to apply the sum of Two Million Four Hundred Ninety-Nine Thousand Nine Hundred Si</t>
  </si>
  <si>
    <t xml:space="preserve"> Please download Bidding Documents IB 2020 – 056 Procurement of 433 pcs. Advocacy Jacket, reversible Bidding Document fee: 5,000.00 The pre - bid conference is open to interested bidders. You may be qualified to submit your bidding documents during the pub</t>
  </si>
  <si>
    <t xml:space="preserve"> Contract ID:	20GFH0012 Contract Name:	SUPPLY AND DELIVERY OF SPARE PARTS FOR USE IN THE REPLACEMENT OF WORN-OUT PARTS OF SERVICE VEHICLE ASSIGNED  IN THE DPWH-PLANNING &amp; DESIGN SECTION, VIRAC, CATANDUANES (PR#20-05-021 DATED 5/26/2020) Contract Location:	</t>
  </si>
  <si>
    <t xml:space="preserve"> Section I. Invitation to Bid Republic of the Philippines Philippine Rural Development Project Invitation to Bid for the  Construction of Mango Processing Center  ID No. PRDP-IR-RO03-NUE-035-PAL-001-2019-R1 Loan No. 8816-PH   June 23, 2020 1.	The Governmen</t>
  </si>
  <si>
    <t xml:space="preserve"> Submission of Quotation on a sealed envelope submit it to  UPLB BAC Secretariat SPMO Rambutan, Road. Telephone No. (049) 544-0382</t>
  </si>
  <si>
    <t xml:space="preserve"> The Government of the Philippines (GOP) has received a loan from World Bank towards the cost of Philippine Rural Development Project, and it intends to apply part of the proceeds of this Loan to payments for the procurement of office supplies intended for</t>
  </si>
  <si>
    <t xml:space="preserve"> Kindly see attached file for your reference.</t>
  </si>
  <si>
    <t xml:space="preserve"> Republic of the Philippines Province of Ilocos Sur MUNICIPALITY OF MAGSINGAL Office of the Bids and Awards    Committee INVITATION TO BID FOR THE CONSTRUCTION OF SLOPE PROTECTION AT MANZANTE BEACH ROAD ADJACENT TO FARMLANDS The Municipality of Magsingal, </t>
  </si>
  <si>
    <t xml:space="preserve"> TO AVOID FLU AND OTHER ILLNESS IN THE BARANGAY</t>
  </si>
  <si>
    <t xml:space="preserve"> The Municipality of Limay, through its Bids and Awards Committee (BAC) invites registered contractors to apply for eligibility and if found eligible, to bid for the hereunder project/contract: Project/Contract:     REHABILITATION OF FENCE (SOUTH SIDE) AT </t>
  </si>
  <si>
    <t xml:space="preserve"> Note: Please download the complete bidding documents, including the Bid of Quantities and Plans/Drawings from the associated components found in this notice. The NATIONAL FOOD AUTHORITY, through its Capital Outlay for 2020 intends to apply the sum of  TWO</t>
  </si>
  <si>
    <t xml:space="preserve"> INVITATION FOR NEGOTIATED PROCUREMENT FOR VARIOUS MEDICAL EQUIPMENT: 1.	In View of the two failed biddings, the Department of Health Center for Health Development I, through the Continuing Appropriations (CONAP) 2019 invites interested bidders to particip</t>
  </si>
  <si>
    <t xml:space="preserve"> LABOR AND MATERIALS FOR THE CONSTRUCTION OF MUNICIPAL AGRICULTURE OFFICE AT POBALCION,BADIAN,CEBU</t>
  </si>
  <si>
    <t xml:space="preserve"> INVITATION TO BID FOR  SUPPLY, DELIVERY, INSTALLATION, TESTING AND COMMISSIONING OF MEDICAL EQUIPMENT FOR FY2020</t>
  </si>
  <si>
    <t xml:space="preserve"> CONTRACT ID: 20GL00008; P.R. No. 2020-05-057 DATED 05/26/2020 CONTRACT LOCATION: U.P. MINDANAO MULTI-PURPOSE HUMAN KINETICS BUILDING, BAGO OSHIRO, DAVAO CITY CONTRACT DESCRIPTION: PROCUREMENT OF VARIOUS CONSTRUCTION SUPPLIES &amp; MATERIALS, FOR USE IN THE CO</t>
  </si>
  <si>
    <t xml:space="preserve"> Please download Bidding Documents IB 2020 – 058 Procurement of 528,635 cap. Cefalexin 500mg capsule Bidding Document fee: 5,000.00 The pre - bid conference is open to interested bidders. You may be qualified to submit your bidding documents during the pub</t>
  </si>
  <si>
    <t xml:space="preserve"> Contract ID:	20GFH0014 Contract Name:	SUPPLY AND DELIVERY OF TIRES FOR USE IN THE OPERATION OF SERVICE VEHICLE NISSAN NAVARA FI-X700, NISSAN NAVARA FI-X440, ALTERA NJQ-720 AND TOYOTA HI-LUX POA 227, DPWH SAN ISIDRO VILLAGE, VIRAC, CATANDUANES (PR#20-06-03</t>
  </si>
  <si>
    <t xml:space="preserve"> Republic of the Philippines  Province of Samar Municipality of Jiabong Invitation to Bid  Emergency Purchase in Response to Covid19 Mayor’s Office Jiab-2020-41A The Municipal Government of Jiabong, Samar, through LGU OF JIABONG   intends to apply the sum </t>
  </si>
  <si>
    <t xml:space="preserve"> INSTALLATION OF ELECTRICAL LINES FOR WATER WORKS SYSTEM AT SITIO CENTRO, BRGY. MAPULO</t>
  </si>
  <si>
    <t xml:space="preserve"> Please download Bidding Documents IB 2020 – 059 Procurement of Various Drugs/Medicines to be used during emergencies and disasters Bidding Document fee: 5,000.00 The pre - bid conference is open to interested bidders. You may be qualified to submit your b</t>
  </si>
  <si>
    <t xml:space="preserve"> Republic of the Philippines Department of Health Central Luzon Center for Health Development Talavera General Hospital Talavera, Nueva Ecija ISO QMS Certified INVITATION TO BID  Re-Bidding of Supply and Delivery of Various Medical and Hospital Supplies fo</t>
  </si>
  <si>
    <t xml:space="preserve"> INVITATION TO BID The Department of Public Works and Highways - Pampanga 1st District Engineering Office, through its Bids and Awards Committee (BAC), invites contractors to submit bids for the following Contract: 1.	 Procurement ID/Contract ID	:	20CG0142</t>
  </si>
  <si>
    <t xml:space="preserve"> Republic of the Philippines  Province of Samar Municipality of Jiabong Invitation to Bid  Emergency Purchase in Response to Covid19 DSWD Office Jiab-2020-39Af The Municipal Government of Jiabong, Samar, through LGU OF JIABONG   intends to apply the sum of</t>
  </si>
  <si>
    <t xml:space="preserve"> Contract ID:	20GFH0013 Contract Name:	SUPPLY AND DELIVERY OF LUBRICANTS &amp; SPARE PARTS/MAINTENANCE OF SPARE PARTS FOR USE IN THE OPERATION OF ISUZU DMAX H1-5515, L300 VAN HI-6548, TOYOTA HI-LUX (POA 217) AND TOYOTA HI-LUX (PON 974) ASSIGNED IN CONSTRUCTION</t>
  </si>
  <si>
    <t xml:space="preserve"> Please see Invitation to Bid and Bidding Documents attached to Associated Components.O</t>
  </si>
  <si>
    <t xml:space="preserve"> Republic of the Philippines Province of Surigao del Sur MUNICIPALITY OF BAROBO INVITATION TO BID The Municipality of Barobo, through its Bids and Awards Committee (BAC), invites suppliers/bidders to Bid for the Supply and Delivery of  Construction Materia</t>
  </si>
  <si>
    <t xml:space="preserve"> INVITATION TO BID FOR THE  Supply &amp; Delivery of  Construction Equipment for   Sibuguey Valley Irrigation System BAYOG, ZAMBOANGA DEL SUR 1.	The National Irrigation Administration – Zamboanga Sibugay Irrigation Management Office, Region 9, through the RREN</t>
  </si>
  <si>
    <t xml:space="preserve"> Standard Form Number: SF-INFR-05 Revised on: July 28, 2004          INVITATION TO APPLY FOR ELIGIBILITY AND TO BID The Municipal Local Government Unit of Saguday, Quirino through its Bids and Awards Committee (BAC), invites contractors to apply for eligib</t>
  </si>
  <si>
    <t xml:space="preserve"> Republic of the Philippines DEPARTMENT OF PUBLIC WORKS AND HIGHWAYS LAGUNA I  DISTRICT ENGINEERING OFFICE REGIONAL OFFICE NO. IV-A Santa Cruz, Laguna 									June 22, 2020 NOTICE OF PROCUREMENT THROUGH ALTERNATIVE METHOD 	Notice is given that the DPWH-La</t>
  </si>
  <si>
    <t xml:space="preserve"> The Subic Bay Metropolitan Authority, through the Corporate Budget for the contract approved by the governing board for 2020 intends to apply the sum of Seventy Million Pesos (PHP 70,000,000.00) VAT Exclusive being the Approved Budget for the Contract (AB</t>
  </si>
  <si>
    <t xml:space="preserve"> IN FRONT OF GRACEVILLE ELEMENTARY SCHOOL ZONE V BRGY. GRACEVILLE CSJDM, BULACAN</t>
  </si>
  <si>
    <t xml:space="preserve"> CONTRACT ID: 19-12-272 2ND REBID Contract Name: PROCUREMENT OF VARIOUS LABORATORY REAGENTS, MEDICAL DEVICES, DENTAL SUPPLIES AND INSTRUMENTS Approved Budget for the Contract (ABC) : Php 971,750.00 1. The DOH-Zamboanga Peninsula - Center for Health Develop</t>
  </si>
  <si>
    <t xml:space="preserve"> INVITATION TO NEGOTIATED FOR THE  Supply &amp; Delivery of Trash Racks and Intake Gates for Gandiangan SIP IMELDA, ZAMBOANGA SIBUGAY 1.	The National Irrigation Administration – Zamboanga Sibugay Irrigation Management Office, Region 9, through the CARP-IC inte</t>
  </si>
  <si>
    <t xml:space="preserve"> INVITATION TO BID CONSTRUCTION OF VARIOUS INFRASTRUCTURE PROJECTS FOR THE CITY OF NAVOTAS UNDER OTHER INFRASTRUCTURE ASSETS The City Government of Navotas, through its Bids and Awards Committee, will hold a Public Bidding for the CONSTRUCTION OF VARIOUS I</t>
  </si>
  <si>
    <t xml:space="preserve"> ITEM 	ITEM &amp;  DESCRIPTION	QUANTITY NO.		 1	Portland Cement	155 bags 2	Sand	11 cu.m. 3	Gravel	13 cu.m. 4	4"x8"x16" CHB	396 pcs. 5	10mmØ RSB	220 pcs. 6	12mm x 6.0 m Ø RSB	32 pcs. 7	1/2"x4'x8' Marine Plywood	3 pcs. 8	#16 Tie Wire	24 kgs. 9	2"x4"x8' Good Lumb</t>
  </si>
  <si>
    <t xml:space="preserve"> Purchase of Spare parts and motor vehicles.</t>
  </si>
  <si>
    <t xml:space="preserve"> AGD-074-0 Republic of the Philippines SAN PABLO CITY WATER DISTRICT Maharlika Highway, Brgy. San Gabriel, San Pablo City Telefax. No. (049) 503-0075 INVITATION TO BID  RE-BID: Supply and Delivery of Five Thousand Five Hundred (5,500) Ltrs. Gasoline and   </t>
  </si>
  <si>
    <t xml:space="preserve"> INVITATION TO BID FOR  Supply and Delivery of Laptops to be Used by  Department of Education 1.	The City Government of Lipa, through the Special Education Fund (SEF) of 2020 intends to apply the sum of   One Hundred Fifteen Million Eight Hundred Thousand </t>
  </si>
  <si>
    <t xml:space="preserve"> 1.	The Local Government Unit of Aroroy, through its Annual Budget (MDRRMF) intends to apply the sum of Php 1,000,000.00 being the Approved Budget for the Contract (ABC) to payments under the contract for Riprapping at Government Center (Phase II).  Bids r</t>
  </si>
  <si>
    <t xml:space="preserve"> MONTHLY ALLOTTED BUDGET  PHP. 15,000.00 x 2 Personnel (10 months) January to February  July to December</t>
  </si>
  <si>
    <t xml:space="preserve"> Construction/Rehabilitation of Water Supply/Septage and Sewerage/Rain Water Collectors include Earthworks; Plain and Reinforced Concrete Work; Finishings and Other Civil Works; and Mechanical.</t>
  </si>
  <si>
    <t xml:space="preserve"> Complete Construction of (9.50m x 23.00m) Two Storey; Four Classroom School Building mostly built with concrete and masonry, with PWD ramp with handrails, parapet wall on concrete gutter and complete electrical works, sanitary/plumbing works, ventilation,</t>
  </si>
  <si>
    <t xml:space="preserve"> 1.	The Local Government Unit of Aroroy, through its Annual Budget (MDRRMF) intends to apply the sum of Php 1,000,000.00 being the Approved Budget for the Contract (ABC) to payments under the contract for Riprapping of Ambolong Creek.  Bids received in exc</t>
  </si>
  <si>
    <t xml:space="preserve"> 14 Units LAPTOP, INTEL CORE i5-7200 to be used for full Implementation of Basic Education for DEPED Rizal Binangonan Sub-Office</t>
  </si>
  <si>
    <t xml:space="preserve"> DELA COSTA HOMES III BRGY. GRACEVILLE CSJDM, BULACAN</t>
  </si>
  <si>
    <t xml:space="preserve"> 1 set CCTV system - 6 cameras HDCVI 1080p 1 unit 24" LED TV 2 sets CCTV System - 16 cameras HDCVI - 1080p 1 unit 40" LED TV</t>
  </si>
  <si>
    <t xml:space="preserve"> INVITATION TO REBID FOR THE PROCUREMENT OF SUPPLY &amp; DELIVERY OF VARIOUS FERTILIZERS      1.	The Department of Agriculture Regional Field Office 6 through the General Appropriations Act (GAA) of 2020 intends to apply the sum of Eight Million Nine Hundred T</t>
  </si>
  <si>
    <t xml:space="preserve"> 1.The Brgy.  Buenavista, through the LGSF-DBM intends to apply the sum of One Million Pesos Only (P1,000,000.00) being the Approved Budget for the Contract (ABC) to payments under the contract for Construction of Seawall. Bids received in excess of the AB</t>
  </si>
  <si>
    <t xml:space="preserve"> Please see attached Bidding Documents in the Associated Components. Thank you very much</t>
  </si>
  <si>
    <t xml:space="preserve"> Purchase of CCTV Equipments and Its Accessories.</t>
  </si>
  <si>
    <t xml:space="preserve"> ALBAY 3RD DISTRICT ENGINEERING OFFICE																										 Paulog, Ligao City																										 																										 																										 INVITATION TO BID																										 																										 																					</t>
  </si>
  <si>
    <t xml:space="preserve"> REQUEST FOR EXPRESSION OF INTEREST FOR THE CONDUCT  OF SURFACE AND SUBSURFACE GEOLOGICAL AND GEOTECHNICAL INVESTIGATION OF  OCAMPO  SRIP (REBID), OCAMPO, CAMARINES SUR 1.	 The National Irrigation Administration RO V, Naga City, through the GAA/FSDE CY 201</t>
  </si>
  <si>
    <t xml:space="preserve"> Republic of the Philippines  Province of Samar Municipality of Jiabong Invitation to Bid  Emergency Purchase in Response to Covid19 MDRRM Office Jiab-2020-40A The Municipal Government of Jiabong, Samar, through LGU OF JIABONG   intends to apply the sum of</t>
  </si>
  <si>
    <t xml:space="preserve"> Republic of the Philippines  Province of Samar Municipality of Jiabong Invitation to Bid  Emergency Purchase in Response to Covid19 Mayor’s Office Jiab-2020-42A The Municipal Government of Jiabong, Samar, through LGU OF JIABONG   intends to apply the sum </t>
  </si>
  <si>
    <t xml:space="preserve"> PROCUREMENT AND DELIVERY OF ICT EQUIPMENT FOR TOURISM OFFICE, MENR OFFICE &amp; OMM-SLAUGHTERHOUSE LOT 1 - LCD PROJECTOR WITH WHITE SCREEN (TOURISM OFFICE) LOT 2 - ICT EQUIPMENT FOR MENRO (LAPTOP) LOT 3 - ICT EQUIPMENT FOR OMM-SLAUGHTERHOUSE (LAPTOP) **PLEASE</t>
  </si>
  <si>
    <t xml:space="preserve"> INVITATION TO BID  FOR THE Supply and Delivery of Laboratory Supplies I.B. No. 2020 - 0026 							 1. The LGU-Cabanatuan City, through the General Fund FY 2020 intends to apply the sum of Two Million Three Hundred Twenty Thousand Three Hundred Ninety Peso</t>
  </si>
  <si>
    <t xml:space="preserve"> INVITATION TO BID  FOR THE Supply and Delivery of Tires and Batteries I.B. No. 2020 - 0027 1.	The LGU - Cabanatuan City, through the General Fund, FY 2020 intends to apply the sum of Seventeen Million Five Hundred Twenty-Six Thousand Seven Hundred Pesos (</t>
  </si>
  <si>
    <t xml:space="preserve"> Republic of the Philippines DEPARTMENT OF PUBLIC WORKS AND HIGHWAYS MOUNTAIN PROVINCE SECOND DISTRICT ENGINEERING OFFICE CORDILLERA ADMINISTRATIVE REGION DENR Compound, Poblacion Paracelis, Mountain Province INVITATION TO BID FOR 20GPM006 - PURCHASE OF CO</t>
  </si>
  <si>
    <t xml:space="preserve"> INVITATION TO RE-BID 1.	The Local Government Unit of Bayombong  - through the GENERAL FUND intends to apply the sum of ONE MILION SIXTY ONE THOUSAND ONE HUNDRED SIXTY EIGHT  PESOS AND 95/100 (P1,061,168.95) being the Approved Budget for the Contract (ABC)</t>
  </si>
  <si>
    <t xml:space="preserve"> Project Location: Brgy. Nagtrigoan, Pinili, Ilocos Norte Project Description: Construction of slope protection along spillway laying of handlaid riprap at upstream apron of the dam and concrete canal lining Scope of work to be done: Description	Qty	Unit 1</t>
  </si>
  <si>
    <t xml:space="preserve"> Purchase of Office Equipment Supplies and Consumables for admin and faculty use.</t>
  </si>
  <si>
    <t xml:space="preserve"> Project Location: Brgy. Bungro, Pinili, Ilocos Norte Project Description: Improvement of Ogee Dam, retaining wall and grouted riprap. Addition of concrete piers, provision of steel gate with sluice ways and outlet works. Scope of work to be done: Descript</t>
  </si>
  <si>
    <t xml:space="preserve"> Invitation to Bid for The Construction of Community Activity Center (Negotiated) Brgy. Tinindugan, Libertad, Antique The Local Government of Libertad, Antique, through the MDF 2018 intends to apply the sum of Two Million Two Hundred Thousand Pesos (PhP 2,</t>
  </si>
  <si>
    <t xml:space="preserve"> Removal of Structures and Obstructions  Forms and Scaffolds  Painting Works (Concrete) Painting Works (Metal Painting) Metal Structures</t>
  </si>
  <si>
    <t xml:space="preserve"> VILLA SAN JOSE BRGY. GRACEVILLE, CSJDM, BULACAN</t>
  </si>
  <si>
    <t xml:space="preserve"> Project Location: Brgy. Samac, San Nicolas, Ilocos Norte Project Description: Rehabilitation/Improvement of earth canal to concrete canal lining, excavation and spillway and marker Scope of work to be done: Description	Qty	Unit 1.	Mobilization and Demobil</t>
  </si>
  <si>
    <t xml:space="preserve"> Page 1 of 3 Invitation to Bid 20GFC0011-15 Republic of the Philippines DEPARTMENT OF PUBLIC WORKS AND HIGHWAYS CAMARINES NORTE DISTRICT ENGINEERING OFFICE REGIONAL OFFICE V Daet, Camarines Norte INVITATION TO BID The Department of Public Works and Highway</t>
  </si>
  <si>
    <t xml:space="preserve"> Page 1 of 3 INVITATION TO BID FOR THE REPAIR OF POST-HARVEST FACILITIES BUILDING IN NAVAL, BILIRAN Section I Invitation to Bid Page 2 of 3 INVITATION TO BID FOR THE REPAIR OF POST-HARVEST FACILITIES BUILDING IN NAVAL, BILIRAN Republic of the Philippines N</t>
  </si>
  <si>
    <t xml:space="preserve"> bottle		Ascorbic acid 100 mg/5 ml syrup, 60 ml/bottle			72	 box		Ascorbic acid 500 mg tablet, 100 tablets/bottle			10	 bottle		Multivitamins drops, 15 ml/bottle			40	 bottle		Multivitamins syrup, 60 ml/bottle			72	 box		Multivitamis capsule, 100 capsule/b</t>
  </si>
  <si>
    <t xml:space="preserve"> Republic of the Philippines DEPARTMENT OF PUBLIC WORKS AND HIGHWAYS REGIONAL OFFICE VIII Baras, Palo, Leyte    INVITATION TO BID No. 2020-06-002 June 19, 2020 1.	The Department of Public Works and Highways Regional Office VIII, Baras, Palo, Leyte, through</t>
  </si>
  <si>
    <t xml:space="preserve"> Republic of the Philippines Province of Northern Samar MUNICIPALITY OF LOPE DE VEGA Lope De Vega, Northern Samar Invitation to Bid CONSTRUCTION OF MRF Barangay Bonifacio, Lope De Vega, Northern Samar  The Local Government Unit – Lope De Vega, Northern Sam</t>
  </si>
  <si>
    <t xml:space="preserve"> Section I. Invitation to Bid SUPPLY OF LABOR, EQUIPMENT AND RESTORATION MATERIALS FOR THE INSTALLATION, TESTING AND COMMISSIONING OF 250MM DIA. TRANSMISSION LINE ALONG AMULUNG SOLANA ROAD, CENTRO, SOLANA, CAGAYAN (CALAMAGUI UPGRADING PHASE 2)  1. The Metr</t>
  </si>
  <si>
    <t xml:space="preserve"> 1.The City of Koronadal Water District, through the Corporate Fund 2020 intends to apply the sum of One Million Four Hundred Thousand Pesos (Php 1,400,000.00) only, being the Approved Budget for the Contract (ABC) to payments under the contract for Supply</t>
  </si>
  <si>
    <t xml:space="preserve"> 1.The City of Koronadal Water District, through the Corporate Fund 2020 intends to apply the sum indicated below being the Approved Budget for the Contract (ABC) as payment for the 1st year only to the PROVISION OF TWO-YEAR CONTRACT SECURITY SERVICES. Bid</t>
  </si>
  <si>
    <t xml:space="preserve"> INVITATION TO BID FOR THE REBIDDING ON THE PROVISION OF LABOR, MATERIALS, EQUIPMENT AND OTHER INCIDENTALS NEEDED FOR THE IMPROVEMENT OF NAGPATPATAN CANAL LINING AT BRGY. NAGPATPATAN, SOLSONA, ILOCOS NORTE 1.	The Department of Agriculture Regional Field Of</t>
  </si>
  <si>
    <t xml:space="preserve"> Pls see attached</t>
  </si>
  <si>
    <t xml:space="preserve"> Republic of the Philippines Province of Northern Samar MUNICIPALITY OF LOPE DE VEGA Lope De Vega, Northern Samar Invitation to Bid PROCUREMENT OF MATERIALS FOR THE CONSTRUCTION OF 26 UNITS SANITARY LATRINE Barangay Bonifacio, Lope De Vega, Northern Samar </t>
  </si>
  <si>
    <t xml:space="preserve"> Municipality of Looc Invitation to Bid for Construction of Bulacan Birthing Facility 1.	The Municipality of Looc, through the LDF intends to apply the sum of Php 1,800,000.00 being the Approved Budget for the Contract (ABC) to payments under the contract </t>
  </si>
  <si>
    <t xml:space="preserve"> INVITATION TO BID  FOR THE Supply and Delivery of Various Drugs and Medicines I.B. No. 2020 - 0023 							 1. The LGU-Cabanatuan City, through the General Fund FY 2020 intends to apply the sum of One Million One Hundred Thirty-Nine Thousand Six Hundred Th</t>
  </si>
  <si>
    <t xml:space="preserve"> 1.The City of Koronadal Water District, through the Corporate Fund 2020 intends to apply the sum of Two Million Six Hundred Ten Thousand Pesos, (Php 2,610,000.00) only, being the Approved Budget for the Contract (ABC) to payments under the contract for Su</t>
  </si>
  <si>
    <t xml:space="preserve"> PART A- Installation of lighting		 Amglobe 4"	 30.00 	pcs Receptacle Outlet 2"x2"	 30.00 	pcs LeD bulb 90 Watts	 30.00 	pcs G.I.Pipe 1¼	 15.00 	pcs 2.0mm sq. THW Wire	 300.00 	mts 3.5mm sq. THW Wire	 2,000.00 	mts PVC Pipe 20mm	 320.00 	pcs PVC Solvent 20</t>
  </si>
  <si>
    <t xml:space="preserve"> INVITATION TO BID 1. The University of the Philippines Manila through its Bids and Awards Committee I (BAC 1), invites suppliers/manufacturers/distributors/contractors to apply for eligibility and to bid for the hereunder project: Name of Project : Supply</t>
  </si>
  <si>
    <t xml:space="preserve"> 1.The City of Koronadal Water District, through the Corporate Fund 2020 intends to apply the sum of Two Million One Hundred Nine Thousand Four Hundred Eighty Four Pesos (Php 2,109,484.00), being the Approved Budget for the Contract (ABC) to payments under</t>
  </si>
  <si>
    <t xml:space="preserve"> INVITATION TO BID FOR Procurement of Various PPE and Laparatomy Packs for COVID-19 Patients Use IB NO: 2020-021 The Western Visayas Medical Center, through Agency Fund-GAA/SAA, in the amount of Two Million Seven Hundred Twenty Six Thousand Five Hundred Pe</t>
  </si>
  <si>
    <t xml:space="preserve"> 1.The City of Koronadal Water District, through the Corporate Fund 2020 intends to apply the sum of Four Million Five Hundred Seventy Thousand Seven Hundred Thirty One Pesos (Php 4,570,731.00), being the Approved Budget for the Contract (ABC) to payments </t>
  </si>
  <si>
    <t xml:space="preserve"> INVITATION TO BID: 1.  Project Title:  Supply, Delivery and Installation of Air Conditioning Units Lot 1: Window Type Air Conditioning Units Lot 2: Split Type Air Conditioning Units 2.  Approved Budget for the Contract:  Php 2,060,000.00 Lot 1: 768,000.00</t>
  </si>
  <si>
    <t xml:space="preserve"> The DPWH – Bulacan First District Engineering Office, through its Bids and Awards Committee (BAC), invites contractors to submit bids for the following Contract: Contract ID: 20CC0256 Contract Name: Concreting of Brgy. Tarcan FMR Contract Location: Brgy. </t>
  </si>
  <si>
    <t xml:space="preserve"> The DPWH – Bulacan First District Engineering Office, through its Bids and Awards Committee (BAC), invites contractors to submit bids for the following Contract: Contract ID: 20CC0255 Contract Name: Construction of three storey six classroom – Batia Eleme</t>
  </si>
  <si>
    <t xml:space="preserve"> The DPWH – Bulacan First District Engineering Office, through its Bids and Awards Committee (BAC), invites contractors to submit bids for the following Contract: Contract ID: 20CC0170 Contract Name: Upgrading of Barangay Road, Brgy. Sta. Ines Contract Loc</t>
  </si>
  <si>
    <t xml:space="preserve"> TOTAL MATERIALS = P 40,510.00 LUMP SUM LABOR = P 59,490.00</t>
  </si>
  <si>
    <t xml:space="preserve"> INVITATION TO BID FOR THE PROCUREMENT OF SUPPLY AND INSTALLATION OF VARIOUS EQUIPMENT AND FACILITIES The LOCAL WATER UTILITIES ADMINISTRATION has received a Loan from the Asian Development Bank toward the cost of the Water District Development Sector Proj</t>
  </si>
  <si>
    <t xml:space="preserve"> The DPWH – Bulacan First District Engineering Office, through its Bids and Awards Committee (BAC), invites contractors to submit bids for the following Contract: Contract ID: 20CC0199 Contract Name: Construction of Flood Control Structure along Bocaue Riv</t>
  </si>
  <si>
    <t xml:space="preserve"> INVITATION TO BID   Hire of Vehicle for Various DSWD-CAR Activities to All Provinces of Cordillera Administrative Region (CAR) from August to December 2020   (ITB 2020-DSWD-CAR-16) 1.	The Department of Social Welfare and Development - Cordillera Administr</t>
  </si>
  <si>
    <t xml:space="preserve"> Section I. Invitation to Bid SUPPLY OF LABOR, EQUIPMENT AND RESTORATION MATERIALS FOR THE INSTALLATION, TESTING AND COMMISSIONING OF 250MM DIA. TRANSMISSION LINE ALONG AMULUNG SOLANA ROAD, BASI, SOLANA, CAGAYAN (CALAMAGUI UPGRADING PHASE 3) 1.	The Metropo</t>
  </si>
  <si>
    <t xml:space="preserve"> Republic of the Philippines City of Lipa  INVITATION TO BID FOR  Supply and Delivery of Tablets to be Used by Department of Education 1.	The City Government of Lipa, through the Special Education Fund (SEF) of 2020 intends to apply the sum of Twenty-Eight</t>
  </si>
  <si>
    <t xml:space="preserve"> 1.	The Department of Social Welfare and Development (DSWD), through the DSWD Funds, intends to apply the sum of Four Million Two Hundred Thousand Pesos (PHP 4,200,000.00), being the Approved Budget for the Contract (ABC) to payments under the contract for</t>
  </si>
  <si>
    <t xml:space="preserve"> REQUEST FOR EXPRESSION OF INTEREST    DESIGN AND DEVELOPMENT OF THE INTRAMUROS ADMINISTRATION INTEGRATED INFORMATION SYSTEM Project No. 2020-01 1.	The INTRAMUROS ADMINISTRATION, through the General Appropriations Act of CY 2020 intends to apply the sum of</t>
  </si>
  <si>
    <t xml:space="preserve"> fb type vehicle  Engine : 2.2 diesel engine  with spare tire  Registration with insurance  with tire wrench and jack  Brandnew</t>
  </si>
  <si>
    <t xml:space="preserve"> 1 1 /2 x 100 ft fire hose with brass coupling ( double jacket ) 4 pcs  1 1/2 x 50 ft fire hose with brass coupling double jacket 2 pcs  40mm pistol grip nozzle QLD6.0 mpa regulating range 2.5- 5 5-6-5-8L/ sec Range :3.3m 1 pc  Fireman suit with complete a</t>
  </si>
  <si>
    <t xml:space="preserve"> INVITATION TO BID FOR  Procurement of Ambulance 1.	The Municipal Government of Cavinti, Laguna, through the DOE Electrification Fund intends to apply the sum of One Million Nine Hundred Ten Thousand  Pesos Only (Php 1,910,000.00) being the Approved Budget</t>
  </si>
  <si>
    <t xml:space="preserve"> Republic of the Philippines DEPARTMENT OF PUBLIC WORKS AND HIGHWAYS BATANGAS II  DISTRICT ENGINEERING OFFICE REGIONAL OFFICE IV-A Kumintang Ilaya, Batangas City INVITATION TO BID For Concreting of Brgy. San Jose Sico FMR, Brgy. San Jose Sico, Batangas Cit</t>
  </si>
  <si>
    <t xml:space="preserve"> Republic of the Philippines Province of Northern Samar MUNICIPALITY OF LOPE DE VEGA Lope De Vega, Northern Samar Invitation to Bid REHABILITATION OF WATER SYSTEM Barangay Bonifacio, Lope De Vega, Northern Samar  The Local Government Unit – Lope De Vega, N</t>
  </si>
  <si>
    <t xml:space="preserve"> Republic of the Philippines DEPARTMENT OF PUBLIC WORKS AND HIGHWAYS BATANGAS II  DISTRICT ENGINEERING OFFICE REGIONAL OFFICE IV-A Kumintang Ilaya, Batangas City INVITATION TO BID For Concreting of Brgy. San Vicente FMR, Brgy. San Vicente, Bauan, Batangas </t>
  </si>
  <si>
    <t xml:space="preserve"> Construction of Water Tank located at Sitio lower Malubog , Cebu City Amount 514,000.00</t>
  </si>
  <si>
    <t xml:space="preserve"> Republic of the Philippines Province of Iloilo Municipality of Carles BARANGAY ABONG INVITATION TO BID 1.0 The Barangay Local Government Unit of Abong, Carles, Province of Iloilo through its Grant from the Office of the Provincial Governor intends to appl</t>
  </si>
  <si>
    <t xml:space="preserve"> Invitation to Bid for Construction of Drainage Canal  No. 2020-001 1. The Barangay San Juan Accfa, through the Annual Budget 2020(General Fund) Approved by the Sanggunian intends to apply the sum of One Hundred Thirty Thousand Five Hundred Eigthy One Peso</t>
  </si>
  <si>
    <t xml:space="preserve"> Republic of the Philippines DEPARTMENT OF PUBLIC WORKS AND HIGHWAYS BATANGAS II  DISTRICT ENGINEERING OFFICE REGIONAL OFFICE IV-A Kumintang Ilaya, Batangas City INVITATION TO BID For Concreting of Brgy. Tulo FMR, Brgy. Tulo, Batangas City, Batangas 1.	The</t>
  </si>
  <si>
    <t xml:space="preserve"> Republic of the Philippines Bangsamoro Autonomous Region in Muslim Mindanao Provincial Government of Maguindanao BIDS AND AWARDS COMMITTEE INVITATION TO BID FOR CONSTRUCTION OF MULTI PURPOSE BUILDING – BRGY. MATAYA 1. The Provincial Government of Maguinda</t>
  </si>
  <si>
    <t xml:space="preserve"> Republic of the Philippines Bangsamoro Autonomous Region in Muslim Mindanao Provincial Government of Maguindanao BIDS AND AWARDS COMMITTEE INVITATION TO BID FOR CONSTRUCTION OF MULTI PURPOSE BUILDING – BRGY. NARRA 1. The Provincial Government of Maguindan</t>
  </si>
  <si>
    <t xml:space="preserve"> Republic of the Philippines Bangsamoro Autonomous Region in Muslim Mindanao Provincial Government of Maguindanao BIDS AND AWARDS COMMITTEE INVITATION TO BID FOR CONSTRUCTION OF MULTI PURPOSE BUILDING – BRGY. CROSSING SIMUAY 1. The Provincial Government of</t>
  </si>
  <si>
    <t xml:space="preserve"> Dumping Fee for 7,142 (m3) of Municipal Waste</t>
  </si>
  <si>
    <t xml:space="preserve"> The DPWH-North Manila District Engineering Office, through its Bids and Awards Committee (BAC) for Goods, invites Suppliers to submit bids for the following Contract: 1.	Contract I.D. No: 20GOE0013 Contract Name 	: Procurement / Acquisition of Portable We</t>
  </si>
  <si>
    <t xml:space="preserve"> Republic of the Philippines Bangsamoro Autonomous Region in Muslim Mindanao Provincial Government of Maguindanao BIDS AND AWARDS COMMITTEE INVITATION TO BID FOR CONSTRUCTION OF MULTI PURPOSE BUILDING – BRGY. BANATIN 1. The Provincial Government of Maguind</t>
  </si>
  <si>
    <t xml:space="preserve"> Republic of the Philippines Bangsamoro Autonomous Region in Muslim Mindanao Provincial Government of Maguindanao BIDS AND AWARDS COMMITTEE INVITATION TO BID FOR CONSTRUCTION OF MULTI PURPOSE BUILDING – BRGY. LADIA 1. The Provincial Government of Maguindan</t>
  </si>
  <si>
    <t xml:space="preserve"> Republic of the Philippines DEPARTMENT OF PUBLIC WORKS AND HIGHWAYS MARINDUQUE DISTRICT ENGINEERING OFFICE Region IV-B, MIMAROPA  Boac, Marinduque INVITATION TO BID  The DPWH-Marinduque District Engineering Office, Boac, Marinduque, through its Bids and A</t>
  </si>
  <si>
    <t xml:space="preserve"> SCOPE OF WORK: CLEARING AND GRUBBING, STRUCTURAL EXCAVATION, REINFORCING STEEL BARS, FORMWORKS, STRUCTURAL CONCRETE, STONE MASONRY</t>
  </si>
  <si>
    <t xml:space="preserve"> SCOPE OF WORK: CLEARING AND GRUBBING, SUBGRADE PREPARATION, AGGREGATE BASE COARSE, PCCP, EMBANKMENT, STONE MASONRY</t>
  </si>
  <si>
    <t xml:space="preserve"> Republic of the Philippines MUNICIPALITY OF BUNAWAN, AGUSAN DEL SUR Invitation to Bid/ Instruction to Bidders CONSTRUCTION OF PROPOSED SLAUGHTERHOUSE – SAN TEODORO June 23, 2020 1.	The Municipality of Bunawan, now invite bids for Construction of Proposed </t>
  </si>
  <si>
    <t xml:space="preserve"> SCOPE OF WORK: CLEARING AND GRUBBING, STRUCTURAL EXCAVATION, REINFORCING STEEL BARS, FORMWORKS, STRUCTURAL CONCRETE</t>
  </si>
  <si>
    <t xml:space="preserve"> INVITATION TO BID No. IB-2020-VII-13-01 The Municipality of Sibalom through its Bids &amp; Awards Committee (BAC), invites bidders/contractors to apply for eligibility and to bid for the hereunder project: Project           	 		:	Office Supplies Inks  &amp; Toner</t>
  </si>
  <si>
    <t xml:space="preserve"> Republic of the Philippines Bangsamoro Autonomous Region in Muslim Mindanao Provincial Government of Maguindanao BIDS AND AWARDS COMMITTEE INVITATION TO BID FOR CONSTRUCTION OF MULTI PURPOSE BUILDING – BRGY. GANG 1. The Provincial Government of Maguindana</t>
  </si>
  <si>
    <t xml:space="preserve"> Republic of the Philippines Department of the Interior and Local Government BUREAU OF FIRE PROTECTION 10 OFFICE OF THE REGIONAL DIRECTOR Maharlika Bldg., Gumamela Extn. Carmen, Cagayan de Oro City Tel/Fax No. (088) 880-7534 Email Add: bfprbac10@yahoo.com </t>
  </si>
  <si>
    <t xml:space="preserve"> Republic of the Philippines PROVINCE OF NUEVA VIZCAYA Municipality of Alfonso Castañeda  BIDS AND AWARDS COMMITTEE FOR INFRASTRUCTURE PROJECTS COMPLETION OF ALFONSO CASTAÑEDA RURAL HEALTH UNIT BUILDING 1.	The Local Government of Alfonso Castañeda, throu</t>
  </si>
  <si>
    <t xml:space="preserve"> This project involves the improvement of 108 lnm cable bridge at barangay Mabongto, Lubuagan. SCOPE OF WORKS ARE AS FOLLOWS: DEMOLITION OF WORKS PROJECT LAY-OUT PORTAL "A" (EXCAVATION FOR STRUCTURES, EMBANKMENT, rsb, STRUCTURAL CONCRETE, FORMWORKS) DEADMA</t>
  </si>
  <si>
    <t xml:space="preserve"> Improvement/Upgrading of FMR 146.38 l.m. x 5m. x 0.23m thk. and other scope of works to be done</t>
  </si>
  <si>
    <t xml:space="preserve"> Republic of the Philippines Region XII Province of Cotabato City of Kidapawan OFFICE OF THE BIDS AND AWARD COMMITTEE                                June 22, 2020 INVITATION TO BID FOR  SUPPLY AND DELIVERY OF DUMP TRUCKS FOR THE USE OF THE CITY GOVERNMENT </t>
  </si>
  <si>
    <t xml:space="preserve"> Invitation to Bid REPAIRS OF THE INFORMATION TECHNOLOGY (FELIPE AGONCILLO) BLDG., ORGANIC CENTER (MRF BLDG.) AND 2-STOREY LABORATORY (PEDRO PATERNO) BLDG.  AT OMSC LABANGAN DAMAGED BY TYPHOON URSULA (B-8661-20-13) 1.	The OCCIDENTAL MINDORO STATE COLLEGE (</t>
  </si>
  <si>
    <t xml:space="preserve"> Republic of the Philippines Region XII Province of Cotabato City of Kidapawan OFFICE OF THE BIDS AND AWARD COMMITTEE                               June 22, 2020 INVITATION TO BID FOR  PURCHASE OF HEAVY EQUIPMENT FOR THE LIVE STOCK DEVELOPMENT OF CITY GOVE</t>
  </si>
  <si>
    <t xml:space="preserve"> Office Supplies for Learners Module  173 ream Bond Paper A4 Size   2 pcs Printer 3 in 1 10 bottle ink Black 9 Bottle ink colored</t>
  </si>
  <si>
    <t xml:space="preserve"> 1	unit	Multi Cultivator Machine 		Engine 10 hp 		Air Cooled Four stroke 		Transmission: Gear Type 		2 Forward &amp; 2 Reverse (high &amp; low) 		Implement &amp; Accessories 		One Pair Iron Wheel 		One Pair Deep Tilling Knives 		One Piece Deep Trench forming Knife</t>
  </si>
  <si>
    <t xml:space="preserve"> INVITATION TO BID No. IB-2020-VII-13-02 The Municipality of Sibalom through its Bids &amp; Awards Committee (BAC), invites bidders/contractors to apply for eligibility and to bid for the hereunder project: Project           	 	:	 Farm to Market Road (Various </t>
  </si>
  <si>
    <t xml:space="preserve"> Package 1 of 1: Supply of Services and Materials for the Printing and Delivery of 2021 DCWD Wall Calendars - 240,000 sets Medium Size (17" x 22”) and 10,000 sets Large Size (22” x 34")</t>
  </si>
  <si>
    <t xml:space="preserve"> Department of Education Region VI-Western Visayas Division of Cadiz City Mabini National High School INVITATION TO BID FOR PROCUREMENT OF INTERNET LOAD MNHS-SHS 2020 1.	The Mabini National High School  of Cadiz City, through the Schools MOOE Fund CY 2020 </t>
  </si>
  <si>
    <t xml:space="preserve"> 1 pc. Korg Kross Organ (kross-61) 1 set Cymbals (1 ride, 1 crash, 1 set hi hat/clappers) 1 pc. Camera EOS 200D II         SPECIFICATION:               Approx. 122.4mm x 92.6mm x 69.8mm               24.1 megapixel APS-C CMOS sensor               Wi-fi / B</t>
  </si>
  <si>
    <t xml:space="preserve"> Engine Type: Mono-cylindric, forced air cooled,2 stroke engine, Max HP:4.6HP, Air Filter: Dry Type, paper element, Ignition System: Electronic, Starter System: Auto Retractable, Fuel Tank Capacity:2L, Product Mix Capacity:6L, Flow Rate, Max: 2.5L/Min, Hor</t>
  </si>
  <si>
    <t xml:space="preserve"> Republic of the Philippines Bangsamoro Autonomous Region in Muslim Mindanao Provincial Government of Maguindanao BIDS AND AWARDS COMMITTEE INVITATION TO BID FOR OPENING OF FARM TO MARKET ROAD AT BRGY. PINGGUIAMAN 1. The Provincial Government of Maguindana</t>
  </si>
  <si>
    <t xml:space="preserve"> Gigabit Passive Optical Network (GPON) 1 1 set 16 Ports GPON Optical Line Terminal (OLT) open platfform and compatible with any brand of ONU or ONT with web management interface and telnet/CLI management standard 19 inches rack mount size with 4 1GE (SFP)</t>
  </si>
  <si>
    <t xml:space="preserve"> 1.	The Municipal Government of El Nido, through the Supplemental Budget No.3-Fertilizer Subsidy To Farmers Non-Office intends to apply the sum of Four Million Four Hundred Sixteen Thousand Pesos (₱ 4,416,000.00) being the Approved Budget for the Contract </t>
  </si>
  <si>
    <t xml:space="preserve"> Republic of the Philippines Province of Quezon MUNICIPALITY OF UNISAN Invitation to Bid for CONSTRUCTION/REHABILITATION OF CONCRETE PAVEMENT, BRGY. LAPU-LAPU, UNISAN, QUEZON 1.	The LOCAL GOVERNMENT UNIT OF UNISAN, QUEZON, through the 20% MDF CY 2020 inten</t>
  </si>
  <si>
    <t xml:space="preserve"> Republic of the Philippines Region XII Province of Cotabato City of Kidapawan OFFICE OF THE BIDS AND AWARD COMMITTEE                              June 22, 2020 INVITATION TO BID FOR  SUPPLY AND DELIVERY OF HEAVY EQUIPMENT FOR THE USE OF THE CITY GOVERNMEN</t>
  </si>
  <si>
    <t xml:space="preserve"> INVITATION FOR NEGOTIATED PROCUREMENT FOR THE FOLLOWING INFRASTRUCTURE PROJECTS: 1.	In View of the two failed biddings, the Department of Health Center for Health Development I, through the Continuing Appropriations (CONAP) 2019 invites interested bidders</t>
  </si>
  <si>
    <t xml:space="preserve"> 1 unit Brand New Combined Rice Harvester SPECIFICATIONS: Engine: Water Cooled, 4 Cycle, 4 Cylinder, Vertical Diesel Engine (with turbo charger) Displacement: 2.430-2.450 liters Output: 50-51kw at 2,650-2,700rpm Fuel Capacity: 80-90 liters Travel Section: </t>
  </si>
  <si>
    <t xml:space="preserve"> for Spare Parts for Various Vehicles</t>
  </si>
  <si>
    <t xml:space="preserve"> For Medicines</t>
  </si>
  <si>
    <t xml:space="preserve"> SPECIFICATIONS: Model &amp; Type: 2.5-liter 4 In-line DOHC 16 Valve Variable Turbocharged Diesel Engine Displacement: 2,450cc – 2,500cc Max. Power: 125 to 130hp/3,200 to 3,500rpm Max Torque: 350 to 360 N-m/1,350 to 2,000rpm Fuel System: Common Rail Direct Inj</t>
  </si>
  <si>
    <t xml:space="preserve"> SPECIFICATIONS: Type: 4 Cylinder, 16 Valve DOHC Variable, Nozzle Turbo with Front Mounted Intercooler Displacement: 2,390cc - 2,400cc Max. Output: 140-150/3,400-3,500hp/rpm Transmission: 5 Speed Manual Fuel/Fuel System: Diesel/Direct Injection Common Rail</t>
  </si>
  <si>
    <t xml:space="preserve"> 1.	The City Government of Sipalay, through the 2020 Budget Appropriation approved by the Sanggunian Panlungsod intends to apply the sum of Three Million Six Hundred Thirty Thousand Pesos (P 3,630,000.00) only being the Approved Budget for the Contract (AB</t>
  </si>
  <si>
    <t xml:space="preserve"> 164	bot	Isopropyl Alchol 70% 4	box	Micropore Tape 65	roll	Cotton 400 gms. 2	box	Tongue Depressor 33	can	Insecticide Spray (500ml) 65	can	Disinfectant spray  42	can	Disinfectant Concentrate 500 ml  18	can	Air Freshener Spray (500 ml) 42	box	Laundry Bar 12	</t>
  </si>
  <si>
    <t xml:space="preserve"> INVITATION TO BID 22 June 2020 The municipality of Sampaloc through its Bids and Awards Committee (BAC) invites suppliers/manufacturers/distributors/contractors to apply for eligibility to bid for the hereunder project: Name of Project	:	OPENING OF BARANG</t>
  </si>
  <si>
    <t xml:space="preserve"> Republic of the Philippines Region X PROVINCE OF LANAO DEL NORTE Municipality of Linamon -oOo- BIDS AND AWARDS COMMITTEE (BAC) INVITATION TO BID FOR SUPPLY AND DELIVERY OF CONSTRUCTION MATERIALS FOR THE PROPOSED ROAD CONCRETING (PHASE 1) AT POBLACION, LIN</t>
  </si>
  <si>
    <t xml:space="preserve"> 1. 12 bxs. Nylon Suture 3-0 18”  45cm 26mm PS 24’s Polyamide 6, Blue Monofilament non-absorbable 2. 6 bxs. Nylon Suture 4-0 18”  45cm 19mm PS-2 24’s Polyamide 6, Blue Monofilament non-absorbable 3. 2 bxs. Polypropylene 2-0 36”  90cm 26mm SH 36’s Blue M</t>
  </si>
  <si>
    <t xml:space="preserve"> 230	box	Paracetamol 500 mgs/tab (100's) 700	bot	Paracetamol 250mgs/5ml syrup (60ml) 500	bot	Paracetamol 100mgs/ml drops (15 ml) 250	bot	Paracetamol 125mgs/5ml syrup (60ml) 70	box	Amoxicillin 500mgs/cap. (100's) 36	box	Amoxicillin 250mgs/cap (100's) 600	bo</t>
  </si>
  <si>
    <t xml:space="preserve"> Contract ID No.	: 20K00353     Contract Name	: Construction of 2-Lane PCCP Pantar (Lanao del Norte)-Marawi City (Lanao del Sur) Road     Contract Location	: Lanao del Sur     Scope of Work	: Const. of Conc. Road     Appropriation		: Php. 221,926,429.00   </t>
  </si>
  <si>
    <t xml:space="preserve"> 6	boxes Sterile Gloves 50	boxes Non-Sterile Gloves 50	bot	70% Isoprophyl Alcohol  10	bot	Laundry Bleach 1 li 10	bot	Disinfectant Concentrate 500 ml 10	can	Disinfectant  Spray 20	kls	Detergent Powder 10	bar	Hand Soap  10	bot	Hand Sanitizer 10	roll	Cotton 4</t>
  </si>
  <si>
    <t xml:space="preserve"> Republic of the Philippines Region XII Province of Cotabato Municipality of Antipas Barangay Luhong  BIDS AND AWARDS COMMITTEE INVITATION TO BID FOR MOBILE RICE MILL 1.	The Barangay Local Government Unit of Luhong, through the KC PAMANA IP-CDD, 2017 inten</t>
  </si>
  <si>
    <t xml:space="preserve"> Republic of the Philippines                   Department of Health	       CENTRAL OFFICE BIDS AND AWARDS COMMITTEE  INVITATION TO BID FOR THE  PROCUREMENT OF HIV RAPID DIAGNOSTIC TEST-2   (FOR rHIVda CONFIRMATION) RE-BID IB NO. 2020-208-A 1.	The Departmen</t>
  </si>
  <si>
    <t xml:space="preserve"> 1	unit	Air Cooled Compact Fire 		Fighting Pump Specification: DIMENSION (mm): 731 x 652 x 709 DRY WEIGHT (kg): 85 PUMP TYPE: High Pressure One Stage Turbine Pump ENGINE TYPE: Water Cooled Two-Cycle Gasoline Engine COOLING SYSTEM: WATER COOLED TYPE NO OF C</t>
  </si>
  <si>
    <t xml:space="preserve"> Department of Education Region VI-Western Visayas Division of Cadiz City Mabini National High School NOTICE FOR NEGOTIATED PROCUREMENT OF INTERNET MODEM 2020 1.	Mabini National High School, Division of Cadiz City, through the Schools MOOE and HRTD Fund CY</t>
  </si>
  <si>
    <t xml:space="preserve"> 1315	bags	Certified Seeds</t>
  </si>
  <si>
    <t xml:space="preserve"> Republic of the Philippines Province of Davao de Oro BIDS AND AWARDS COMMITTEE Cabidianan,Nabunturan, Davao de Oro Invitation to Bid for  Road and Bridge Improvement of Alegria - Panag - Camanlangan (Fatima and Camanlangan Section) (Concreting of 3.392kms</t>
  </si>
  <si>
    <t xml:space="preserve"> I.	BILLBOARD and SIGNAGE…………………………………………………………….1.00 SET  II.	SITE CLEARING AND PREPARATION……………………………………………………………1.00 LOT III.	EARTHWORKS…………………………………………………………….20.56 CU.M. IV.	REINFORCING STEEL BARS…………………………………………………………….1,935.13 KGS. V.	CONCRETE WORKS</t>
  </si>
  <si>
    <t xml:space="preserve"> MUNICIPALITY OF BADOC BIDS AND AWARDS COMMITTEE INVITATION TO BID FOR THE Procurement of Garbage Compactor (5 cum capacity) Bid Reference BAC 2020-06-008 Approved Budget for the Contract: P 4,000,000.00 1.	The Municipality of Badoc intends to apply the su</t>
  </si>
  <si>
    <t xml:space="preserve"> Supply and delivery of various materials for the Proposed Improvement of Day Care Center, Brgy. San Antonio, San Enrique, Iloilo. Approved Budget for the Contract: Php. 82,100.00 Source of Fund: 20% Development Fund</t>
  </si>
  <si>
    <t xml:space="preserve"> I. SITE CLEARING AND LAND PREPARATION (PARKING LOT)...............................................674.00 SQ.M. II. DEMOLITION WORKS.......................................................1.00 LOT III. EXCAVATION.............................................</t>
  </si>
  <si>
    <t xml:space="preserve"> 1.	The Western Visayas Medical Center, through the Regular Fund and Collection of Income, intends to apply the sum of PhP 3,875,000.00 Philippine Currency being the Approved Budget for the Contract (ABC) to payments under the contract for IB No. GS 2020-0</t>
  </si>
  <si>
    <t xml:space="preserve"> MUNICIPALITY OF BADOC BIDS AND AWARDS COMMITTEE INVITATION TO BID FOR THE Procurement of Multi-Purpose Shredder (200-300 kls/hr capacity). Bid Reference BAC 2020-06-007 Approved Budget for the Contract: P 1,200,000.00 1.	The Municipality of Badoc intends </t>
  </si>
  <si>
    <t xml:space="preserve"> Section I. Invitation to Bid Republic of the Philippines PROVINCE OF CAGAYAN Municipality of Peñablanca PROVINCIAL BIDS AND AWARDS COMMITTEE INVITATION TO BID FOR  Procurement and Implementation of Personnel Management Information with Centralized Payroll</t>
  </si>
  <si>
    <t xml:space="preserve"> Ref. No./PR No. : INFRA2020-CDD-001/MG-COM20-002 Description:        REPAIR/REHABILITATION OF WHARF WITH INTEGRATED ELEVATION 702 masl MARKER at                           Barangay Maindig, Binidayan, Lanao del Sur Pre- Bid Conference:  June 29, 2020 at 9:</t>
  </si>
  <si>
    <t xml:space="preserve"> Republic of the Philippines Province of Davao de Oro BIDS AND AWARDS COMMITTEE Cabidianan,Nabunturan, Davao de Oro Invitation to Bid for  Improvement of Hijo - Dumlan - Libay-libay - Sangab - Limbo Provincial Road (New Visayas - Sangab Section) (Concretin</t>
  </si>
  <si>
    <t xml:space="preserve"> Republic of the Philippines Province of Davao de Oro BIDS AND AWARDS COMMITTEE Cabidianan,Nabunturan, Davao de Oro Invitation to Bid for  Improvement of Gabi - Cabacungan - Sto. Niño Provincial Road (Cabacungan Section) (Concreting of 2.47kms. road, insta</t>
  </si>
  <si>
    <t xml:space="preserve"> Repair of Main Gate (Front Gate) &amp; Construction of Fence	 Fence Area = 160.52 sq.m; Gate Area = 15.64 sq.m; Road Shoulder = 1.932 cu m 1	ls	        I. DEMOLITION 176.16 cu m	II. CONCRETE AND MASONRY 22.57 sq.m	III. STEEL WORKS 28.8	sq.m	        IV. PAINTI</t>
  </si>
  <si>
    <t xml:space="preserve"> I. R.C. WORKS: Volume = 15.538 cu m II. MASONRY WORKS: Area = 124.65 sq.m III. FLOORING: Volume = 7.425 cu m IV. ROOFING &amp; ROOF FRAMING: Area = 14.4 m x 8.65 m = 124.56 sq.m V. DOORS: Qty = 1 ls</t>
  </si>
  <si>
    <t xml:space="preserve"> Contract ID No.	: 20K00352     Contract Name	: Reconstruction/ Rehabilitation of Bridge along Barangay Road at Kurmatan Matampay     Contract Location	: Lanao del Sur     Scope of Work	: Reconst./Rehab. of Bridge     Appropriation		: Php. 40,000,000.00   </t>
  </si>
  <si>
    <t xml:space="preserve"> 1	ls I. DEMOLITION WORKS 2.46	cu m	II. R.C. WORKS 34.84 sq m III. CHB WALL 13.73 sq m IV. FLOORING  1	ls V. FORMWORKS 46.54 sq m VI. ROOFING AND ROOF FRAMING 1	ls	VII. ELECTRICAL WORKS 1	ls	VIII. PAINTING WORKS 1	ls	IX. DOORS</t>
  </si>
  <si>
    <t xml:space="preserve"> Order/download attached Invitation to Bid and print-out Abstract of Bids from Philgeps.</t>
  </si>
  <si>
    <t xml:space="preserve"> Republic of the Philippines Province of Davao de Oro BIDS AND AWARDS COMMITTEE Cabidianan, Nabunturan, Davao de Oro Invitation to Bid for the Construction of Water System at Liwanag Center, Brgy. Libasan, Nabunturan-Rebid 1.	The Provincial Government of D</t>
  </si>
  <si>
    <t xml:space="preserve"> 293.25	cu m	I. SITE WORKS 293.25	sq.m	II. CONCRETE AND MASONRY WORKS 1	cu m	III. FORMWORKS 1	ls	IV. STEEL WORKS 82.8	sq.m	V. ROOFING WORKS 1	ls	VI. FINISHING WORKS 1	ls	VII. ELECTRICAL WORKS 1	ls	VIII. PLUMBING WORKS</t>
  </si>
  <si>
    <t xml:space="preserve"> Republic of the Philippines Province of Masbate MUNICIPALITY OF CATAINGAN BARANGAY GAHIT   			                                                                                              JUNE 22, 2020 INVITATION TO APPLY FOR ELIGIBILITY AND TO BID The BA</t>
  </si>
  <si>
    <t xml:space="preserve"> Republic of the Philippines Department of Public Works and Highways OFFICE OF THE DISTRICT ENGINEER 		Camarines Sur 4th  District Engineering Office (Formerly; Camarines Sur 3rd DEO) Caraycayon, Tigaon, Camarines Sur Tel. #(054)881-01-07 INVITATION TO BID</t>
  </si>
  <si>
    <t xml:space="preserve"> CONSTRUCTION OF HANGING BRIDGE PHASE II SAN PABLO, MUNICIPALITY OF SISON, SURIGAO DEL NORTE Brief Description:      The project will involve Construction of Hanging Bridge (Phase II) with the following scope of works: Suspension cables, tension rods, road</t>
  </si>
  <si>
    <t xml:space="preserve"> Invitation to Bid The National Housing Authority (NHA), through the Corporate Budget approved by the NHA Board for CY 2020 intends to apply the sum of the Approved Budget for the Contract (ABC) to payments for the PROCUREMENT OF FULLY DEVELOPED LOTS AND C</t>
  </si>
  <si>
    <t xml:space="preserve"> Purchase of Various Medicines for RHU  *see attached file for the list of medicines</t>
  </si>
  <si>
    <t xml:space="preserve"> Weather proof speakers and all the accessories connected therewith</t>
  </si>
  <si>
    <t xml:space="preserve"> 1	each	Project Billboard 1	mo	Occupational Safety &amp; Health Program 8	pcs	Removal of Trees 91.94 cu m Embankment from Borrow, Common Soil 590	sq.m	Sub-grade Preparation 348	cu m	Aggregate Base Course 454	sq.m	Portland Cement Concrete Pavement 		(unreinforc</t>
  </si>
  <si>
    <t xml:space="preserve"> 1. 1 unit Brand new Tractor Head, 6x4 10 wheeler, 4 cycle vertical 6 cylinder in-line overhead valve, water-cooled direct injection turbo charged intercooled diesel engine, 350 -375 PS @ 2,100 rpm maximum output, 1,500 – 1,600 Nm @ 1,500 rpm maximum torqu</t>
  </si>
  <si>
    <t xml:space="preserve"> Contract ID:	20FH0085 Contract Name:	LOCAL ROADS AND BRIDGES-LOCAL ROADS-CONSTRUCTION/REHABILITATION/IMPROVEMENT OF BRGY. DUGUI TOO TO DUGUI WALA, VIRAC, CATANDUANES Contract Location:	VIRAC, CATANDUANES Scope of Work:	REHABILITATION/IMPROVEMENT OF 2,258.</t>
  </si>
  <si>
    <t xml:space="preserve"> Ref.No./PR No./Description: INFRA2020-CDD-002/MG-COM20-003/Construction of Wharf with Integrated Elevation 702 masl. Marker at Brgy. Taliogon, Ganassi, Lanao del Sur Pre-Bid Conference:  June 29, 2020 at 9:30 AM Bid Submission/Opening:  July 13, 2020 at 9</t>
  </si>
  <si>
    <t xml:space="preserve"> SEE ATTACHED FILE</t>
  </si>
  <si>
    <t xml:space="preserve"> INVITATION TO BID 1.	The Bangko Sentral ng Pilipinas (BSP), through its Bids and Awards Committee-Security Plant Complex (BAC-SPC), invites Bidders to apply for eligibility and to bid for the hereunder requirements: Name of Requirement/Brief Description	A</t>
  </si>
  <si>
    <t xml:space="preserve"> this project consist of delivery of materials, construction projects and other scope of work based on program of work and detailed engineering design</t>
  </si>
  <si>
    <t xml:space="preserve"> Republic of the Philippines Region X PROVINCE OF LANAO DEL NORTE Municipality of Linamon -oOo- BIDS AND AWARDS COMMITTEE (BAC) INVITATION TO BID FOR SUPPLY AND DELIVERY OF CONSTRUCTION MATERIALS FOR THE PROPOSED TWO-STOREY MULTI-PURPOSE BUILDING (PHASE 1)</t>
  </si>
  <si>
    <t xml:space="preserve"> NEGOTIATED PROCUREMENT  FOR THE  Fabrication and Delivery of  Prisoner’s Vehicle (PR-2020-9999-0185) 1.	  In view of the two (2) failed biddings, the City Government of Mandaue invites interested bidders to participate in the negotiation for Fabrication a</t>
  </si>
  <si>
    <t xml:space="preserve"> Republic of the Philippines Province of Bukidnon MUNICIPALITY OF KIBAWE O0o0o Bids and Awards Committee INVITATION TO BID June 19, 2020 The Local Government of Kibawe, Kibawe, Bukidnon through its Bids and Awards Committee (BAC), invites contractor’s regi</t>
  </si>
  <si>
    <t xml:space="preserve"> 2	units	Power Tiller 		Engine 10 hp 		Air Cooled Four stroke 		Transmission: Gear Type 		2 Forward &amp; 2 Reverse (high &amp; low) 2	units	STW Motor 5HP</t>
  </si>
  <si>
    <t xml:space="preserve"> Department of Health TONDO MEDICAL CENTER ISO 9001:2008 Certified Philhealth Accredited “Health care within your reach”  BIDS AND AWARDS COMMITTEE INVITATION TO BID   1.	The Tondo Medical Center (TMC), through the Genral Appropriations Act (GAA) intends t</t>
  </si>
  <si>
    <t xml:space="preserve"> Purchase of Various Medicines for RHU *see attached file for the lists of medicines</t>
  </si>
  <si>
    <t xml:space="preserve"> I. Electrical Works Labor OCM/CP/VAT</t>
  </si>
  <si>
    <t xml:space="preserve"> Section I. Invitation to Bid Republic of the Philippines PROVINCE OF ZAMBOANGA SIBUGAY Capitol Building, Ipil Heights, Ipil, Zamboanga Sibugay Invitation to Bid (REBID) for  Improvement of Barangay Health Center at Brgy. Ipil Heights, Ipil, Zamboanga Sibu</t>
  </si>
  <si>
    <t xml:space="preserve"> I. Electrical Works Labor OCM/CP/VAt</t>
  </si>
  <si>
    <t xml:space="preserve"> Section I. Invitation to Bid Republic of the Philippines PROVINCE OF ZAMBOANGA SIBUGAY Capitol Building, Ipil Heights, Ipil, Zamboanga Sibugay Invitation to Bid (REBID) for  Construction of Water System (Drilling) @ Brgy. Tilasan Roseller R.T. Lim, Zamboa</t>
  </si>
  <si>
    <t xml:space="preserve"> Republic of the Philippines CITY OF PANABO Province of Davao del Norte BIDS AND AWARDS COMMITTEE -o0o- INVITATION TO BID  SUPPLY OF 1 UNIT BRAND NEW MOBILE X-RAY MACHINE TRUCK 1.	The City of Panabo, through CMO/MEDICAL EQUIPMENT-COVID 19 PPA’S UNDER BGCM </t>
  </si>
  <si>
    <t xml:space="preserve"> Section I. Invitation to Bid Republic of the Philippines PROVINCE OF ZAMBOANGA SIBUGAY Capitol Building, Ipil Heights, Ipil, Zamboanga Sibugay Invitation to Bid for  Concreting of Tomitom Brgy. Road @ Brgy. Tomitom, Ipil, Zamboanga Sibugay 1.	The Province</t>
  </si>
  <si>
    <t xml:space="preserve"> Section I. Invitation to Bid Republic of the Philippines PROVINCE OF ZAMBOANGA SIBUGAY Capitol Building, Ipil Heights, Ipil, Zamboanga Sibugay Invitation to Bid for  Construction of Water System (Drilling) @ Brgy. Tupilac, R.T. Lim, Zamboanga Sibugay 1.	T</t>
  </si>
  <si>
    <t xml:space="preserve"> Section I. Invitation to Bid Republic of the Philippines PROVINCE OF ZAMBOANGA SIBUGAY Capitol Building, Ipil Heights, Ipil, Zamboanga Sibugay Invitation to Bid for  Construction of Multi-Purpose Building @ Lindang, Diplahan, Zamboanga Sibugay 1.	The Prov</t>
  </si>
  <si>
    <t xml:space="preserve"> Republic of the Philippines Region X PROVINCE OF LANAO DEL NORTE Municipality of Linamon -oOo- BIDS AND AWARDS COMMITTEE (BAC) INVITATION TO BID FOR LABOR AND MATERIALS FOR THE CONSTRUCTION OF TINAGO FALLS DEVELOPMENT PROJECT (MULTI-PURPOSE HALL) PHASE 2 </t>
  </si>
  <si>
    <t xml:space="preserve"> Republic of the Philippines Department of Health WESTERN VISAYAS SANITARIUM Santa Barbara, Iloilo INVITATION TO BID FOR Procurement of Various Drugs and Medicines IB No. 2020-06-011-G The Western Visayas Sanitarium, through its Bids and Awards Committee (</t>
  </si>
  <si>
    <t xml:space="preserve"> Section I. Invitation to Bid Republic of the Philippines PROVINCE OF ZAMBOANGA SIBUGAY Capitol Building, Ipil Heights, Ipil, Zamboanga Sibugay Invitation to Bid for  Construction of Foot Bridge at Brgy. Gandaan - Brgy. Galas, Olutanga, Zamboanga Sibugay 1</t>
  </si>
  <si>
    <t xml:space="preserve"> Section I. Invitation to Bid Republic of the Philippines PROVINCE OF ZAMBOANGA SIBUGAY Capitol Building, Ipil Heights, Ipil, Zamboanga Sibugay Invitation to Bid for  Construction of Mangrove Boardwalk @ Brgy. Buluan, Ipil, Zamboanga Sibugay 1.	The Provinc</t>
  </si>
  <si>
    <t xml:space="preserve"> Section I. Invitation to Bid Republic of the Philippines PROVINCE OF ZAMBOANGA SIBUGAY Capitol Building, Ipil Heights, Ipil, Zamboanga Sibugay Invitation to Bid for  Construction of Brgy Evacuation Center @ Brgy. Casacon, R.T. Lim, Zamboanga Sibugay 1.	Th</t>
  </si>
  <si>
    <t xml:space="preserve"> Contract ID:	20FH0087 Contract Name:	CONSTRUCTION OF FOUR (4) STOREY SIXTEEN (16) CLASSROOM – TWO (2) UNITS (7X18) SCIENCE LABORATORY, TWO (2) UNITS (7X18) ICT LABORATORY AND FOUR (4) UNITS (7X18) REGULAR WORKSHOP SCHOOL BUILDING, GIGMOTO RURAL DEVELOPMEN</t>
  </si>
  <si>
    <t xml:space="preserve"> Construction of Sheet Pile/Galvanized Iron Pipe Foot Bridge. See Program of Works, Structural Drawings and Bill of Quantities upon payment of bidding documents Minimum Required Equipment: 1. Welding Machine 2. Cut-off Machine 3. Backhoe 4. Dump Truck 5. 1</t>
  </si>
  <si>
    <t xml:space="preserve"> Section I. Invitation to Bid Republic of the Philippines PROVINCE OF ZAMBOANGA SIBUGAY Capitol Building, Ipil Heights, Ipil, Zamboanga Sibugay Invitation to Bid for  Construction of Boat / Fish Landing (Phase I) @ Brgy. Buluan, Ipil, Zamboanga Sibugay 1.	</t>
  </si>
  <si>
    <t xml:space="preserve"> Republic of the Philippines Bangsamoro Autonomous Region in Muslim Mindanao Provincial Government of Maguindanao BIDS AND AWARDS COMMITTEE INVITATION TO BID FOR CONSTRUCTION OF MULTI PURPOSE BUILDING – BRGY. CENTRAL LANGCONG 1. The Provincial Government o</t>
  </si>
  <si>
    <t xml:space="preserve"> Construction of Multi-Purposed Building (Tourism Information and Assistance Center) @ Brgy Sapang Uwak, Porac, Pampanga</t>
  </si>
  <si>
    <t xml:space="preserve"> Republic of the Philippines Bangsamoro Autonomous Region in Muslim Mindanao Provincial Government of Maguindanao BIDS AND AWARDS COMMITTEE INVITATION TO BID FOR CONSTRUCTION OF MULTI PURPOSE BUILDING – BRGY. MINABAY 1. The Provincial Government of Maguind</t>
  </si>
  <si>
    <t xml:space="preserve"> Republic of the Philippines Bangsamoro Autonomous Region in Muslim Mindanao Provincial Government of Maguindanao BIDS AND AWARDS COMMITTEE INVITATION TO BID FOR CONSTRUCTION OF MULTI PURPOSE BUILDING – BRGY. DARUGAO 1. The Provincial Government of Maguind</t>
  </si>
  <si>
    <t xml:space="preserve"> Livelihood Assistance to Tricycle Drivers</t>
  </si>
  <si>
    <t xml:space="preserve"> Republic of the Philippines Bangsamoro Autonomous Region in Muslim Mindanao Provincial Government of Maguindanao BIDS AND AWARDS COMMITTEE INVITATION TO BID FOR CONSTRUCTION OF MULTI PURPOSE BUILDING – BRGY. BUGCASAN NORTE 1. The Provincial Government of </t>
  </si>
  <si>
    <t xml:space="preserve"> Republic of the Philippines Province of South Cotabato City of Koronadal BIDS AND AWARDS COMMITTEE Invitation to Bid for the Repair of Lined Canal, Agan Road, Brgy. Sta.Cruz, City of Koronadal 1.	The City Government of Koronadal, through its, CALAMITY FUN</t>
  </si>
  <si>
    <t xml:space="preserve"> Republic of the Philippines Bangsamoro Autonomous Region in Muslim Mindanao Provincial Government of Maguindanao BIDS AND AWARDS COMMITTEE INVITATION TO BID FOR CONSTRUCTION OF MULTI PURPOSE BUILDING – BRGY. SAPAD 1. The Provincial Government of Maguindan</t>
  </si>
  <si>
    <t xml:space="preserve"> ITB No. 2020-010 (SHORT OF AWARD) 1.	The SUGAR REGULATORY ADMINISTRATION, through the SRA Corporate Operating Budget 2020 intends to apply the sum of Thirteen Million Four Hundred Fifty-Two Thousand Pesos (₱13,452,000.00) being the total Approved Budget f</t>
  </si>
  <si>
    <t xml:space="preserve"> Section I. Invitation to Bid Republic of the Philippines PROVINCE OF ZAMBOANGA SIBUGAY Capitol Building, Ipil Heights, Ipil, Zamboanga Sibugay Invitation to Bid for  Construction of Water System (Drilling) @ Brgy. San Pedro, Tungawan, Zamboanga Sibugay 1.</t>
  </si>
  <si>
    <t xml:space="preserve"> Republic of the Philippines  PROVINCE OF SURIGAO DEL SUR  		MUNICIPALITY OF CARRASCAL	 Barangay Bon-ot INVITATION FOR BIDS The Barangay Bon-ot through its Bids and Awards Committee invites sealed bids from eligible supplier of Construction Materials and S</t>
  </si>
  <si>
    <t xml:space="preserve"> Republic of the Philippines Bangsamoro Autonomous Region in Muslim Mindanao Provincial Government of Maguindanao BIDS AND AWARDS COMMITTEE INVITATION TO BID FOR CONSTRUCTION OF MULTI PURPOSE BUILDING – BRGY. NANGI 1. The Provincial Government of Maguindan</t>
  </si>
  <si>
    <t xml:space="preserve"> Republic of the Philippines     Province of South Cotabato     City of Koronadal     BIDS AND AWARDS COMMITTEE INVITATION TO BID FOR THE  Procurement for the Supply and Delivery of Thirteen (13) Units Duplicating Machine for DepEd City Division, City of K</t>
  </si>
  <si>
    <t xml:space="preserve"> Republic of the Philippines     Province of South Cotabato     City of Koronadal     BIDS AND AWARDS COMMITTEE INVITATION TO BID FOR THE  Procurement for the Supply and Delivery of Various Construction Materials Lot 1, 2 &amp; 3, City of Koronadal 1.	The City</t>
  </si>
  <si>
    <t xml:space="preserve"> Invitation to Bid for Construction of Multi-Purpose Hall for Livelihood for the Barangay Lim-ao Resettlement Site Home Owners Association, Brgy.Lim-ao, Kananga, Leyte 1.	The Barangay Government of Lim-ao, Kananga, Leyte, through its BIDS AND AWARDS COMMIT</t>
  </si>
  <si>
    <t xml:space="preserve"> 638 bags Portland Cement 71 cu.m Gravel 35.5 cu.m Washed Sand 15 pcs. 12mm DRB 15 kgs. Asphalt Sealant 15 cu.m Aggregate Sub Base Coarse Form Works  14 pcs. 2 x 6 x 12 coco 5 kgs. CW Nails #4 Rental Equipment  8 days rental Concrete Bagger Mixer</t>
  </si>
  <si>
    <t xml:space="preserve"> Republic of the Philippines     Province of South Cotabato     City of Koronadal     BIDS AND AWARDS COMMITTEE INVITATION TO BID FOR THE  Procurement for the Supply and Delivery of 40 Units Laptop Computers for DepEd City Division, City of Koronadal 1.	Th</t>
  </si>
  <si>
    <t xml:space="preserve"> Republic of the Philippines Province of Bataan MUNICIPALITY OF ORION Bids and Awards Committee 20ITB-INF-02-00040 Invitation to Bid for Labor and Materials for the Construction of Office Cabinet and Pantry at New RHU, Wawa, Orion, Bataan 1.	The Municipali</t>
  </si>
  <si>
    <t xml:space="preserve"> Section I. Invitation to Bid Republic of the Philippines PROVINCE OF ZAMBOANGA SIBUGAY Capitol Building, Ipil Heights, Ipil, Zamboanga Sibugay Invitation to Bid for  Construction of Multi-Purpose Building @ Brgy. New Canaan, Titay, Zamboanga Sibugay 1.	Th</t>
  </si>
  <si>
    <t xml:space="preserve"> Republic of the Philippines Province of South Cotabato City of Koronadal BIDS AND AWARDS COMMITTEE INVITATION TO BID FOR THE  Procurement for the Supply and Delivery of 200 Units Printer (3 in 1) for DepEd City Division, City of Koronadal 1.	The City Gove</t>
  </si>
  <si>
    <t xml:space="preserve"> Polo shirt, tactical pants,raincoat,rainboots etc..(1lot)</t>
  </si>
  <si>
    <t xml:space="preserve"> CCTV units and all the accessories connected therewith...(1lot)</t>
  </si>
  <si>
    <t xml:space="preserve"> Invitation to Bid: Warehouse Handling (And Allied) Services for Grains for NFA Region VIII for CY 2020 Page 1 Republic of the Philippines NATIONAL FOOD AUTHORITY EASTERN VISAYAS REGIONAL OFFICE (REGION VIII) Pawing, Palo, Leyte TeleFax No. (053) 323-4240 </t>
  </si>
  <si>
    <t xml:space="preserve"> Livelihood Assistance to Farmers in the form of Fertilizer</t>
  </si>
  <si>
    <t xml:space="preserve"> Rehabilitation of Local Access Road, Subec, Sta. Catalina, Ilocos Sur</t>
  </si>
  <si>
    <t xml:space="preserve"> Republic of the Philippines Department of Justice Bureau of Corrections DAVAO PRISON AND PENAL FARM B. E. Dujali, Davao del Norte Section I. Invitation to Bid   INVITATION TO BID FOR SUPPLY AND DELIVERY OF FUEL FOR CY 2020 1.	The Davao Prison and Penal Fa</t>
  </si>
  <si>
    <t xml:space="preserve"> Construction of Sanitary Toilet &amp; Hygiene Facility, Poblacion, Sta. Catalina, Ilocos Sur</t>
  </si>
  <si>
    <t xml:space="preserve"> Brgy. San Miguel, Danao, Bohol  						 Project Reference Number 			 : 	 2020-001 		  Name of Procuring Entity 						 Name of Project 			 : 	 Construction of Deep Wells Potable Water 5 Sitio's (Quarry, Apalili, Centro, Hantud &amp; Kagisukan) 		  StandardForm </t>
  </si>
  <si>
    <t xml:space="preserve"> INVITATION TO BID 1. The University of the Philippines Manila through its Bids and Awards Committee I (BAC 1), invites suppliers/manufacturers/distributors/contractors to apply for eligibility and to bid for the hereunder project: Name of Project : SUPPLY</t>
  </si>
  <si>
    <t xml:space="preserve"> INVITATION TO BID FOR  Procurement of Dump Truck 1.	The Municipal Government of Cavinti, Laguna, through the DOE Electrification Fund intends to apply the sum of Three Million Nine Hundred Seventy  Thousand  Pesos Only (Php 3,970,000.00) being the Approve</t>
  </si>
  <si>
    <t xml:space="preserve"> Invitation to Bid for the  Construction of Concrete Bridge  (2.0m x 40.0 ln.m. bridge with railings, 2.0m x 6.0 ln.m. x 0.15 thick PCCP  extended along the concrete bridge) Barangay Gibatangan, Laoang, N. Samar  1.	The Local Government Unit of Laoang, thr</t>
  </si>
  <si>
    <t xml:space="preserve"> Section I. Invitation to Bid Republic of the Philippines PROVINCE OF CAGAYAN Municipality of Peñablanca PROVINCIAL BIDS AND AWARDS COMMITTEE INVITATION TO BID FOR  Provision of Security Services to the various District Hospitals of the Provincial Governme</t>
  </si>
  <si>
    <t xml:space="preserve"> Contract Ref. No.:	20200619-01-G Name of Contract:	Procurement of Water Filter and Purifier for Child Development Center Location:	LGU-MABALACAT CITY Republic of the PHILIPPINES Province of PAMPANGA Municipality of MABALACAT INVITATION TO APPLY FOR ELIGIB</t>
  </si>
  <si>
    <t xml:space="preserve"> Invitation to Bid 1.	The Commission on Higher Education (CHED), through the General Appropriations Act Fiscal Year 2020  intends to apply the sum of Three Million Two Hundred Thousand Pesos (PHP 3,200,000.00) being the Approved Budget for the Contract (AB</t>
  </si>
  <si>
    <t xml:space="preserve"> Contract Ref. No.:	20200214-02-G Name of Contract:	Procurement of Drugs and Medicines to be used by Central Pharmacy  Location:	LGU-MABALACAT CITY Republic of the PHILIPPINES Province of PAMPANGA Municipality of MABALACAT INVITATION TO APPLY FOR ELIGIBILI</t>
  </si>
  <si>
    <t xml:space="preserve"> Contract Ref. No.:	20200205-01-G Name of Contract:	Procurement of Various Janitorial and Other Maintenance Supplies for the use of the Departments of LGU- Mabalacat City Location:	LGU-MABALACAT CITY Republic of the PHILIPPINES Province of PAMPANGA Municip</t>
  </si>
  <si>
    <t xml:space="preserve"> Garbage Collection at Brgy. Bel-Air for CY 2020 		Period of Contract: August to December 31, 2020 		Schedule of Pick-up: 		a. Two (2) 10 Wheeler dump trucks daily ( 7 days a week) 		   For Bel-Air Village 1,2, 3 and 4 		   2 DT's @ P8,500.00 net of VAT 		</t>
  </si>
  <si>
    <t xml:space="preserve"> 1.	The Department of Social Welfare and Development (DSWD), through the Administrative Service – Building and Grounds Management Division (AS-BGMD) -  Department of Social Welfare and Development Funds, intends to apply the sum of One Million Three Hundre</t>
  </si>
  <si>
    <t xml:space="preserve"> Republic of the Philippines Bangsamoro Autonomous Region in Muslim Mindanao Province of Maguindanao MUNICIPALITY OF DATU ABDULLAH SANGKI BIDS AND AWARDS COMMITTE   Talisawa, Datu Abdullah Sangki, Maguindanao   INVITATION TO BID The Local Government Unit o</t>
  </si>
  <si>
    <t xml:space="preserve"> Republic of the Philippines Province of Leyte Municipality of Kananga BIDS AND AWARDS COMMITTEE Invitation to Bid for CONSTRUCTION OF STAGE AT RIZAL NATIONAL HIGH SCHOOL, BRGY. RIZAL, KANANGA, LEYTE - REPOST 1.	The Municipality of Kananga through the Spec</t>
  </si>
  <si>
    <t xml:space="preserve"> Republic of the Philippines Region X PROVINCE OF LANAO DEL NORTE Municipality of Linamon -oOo- BIDS AND AWARDS COMMITTEE (BAC) INVITATION TO BID FOR LABOR AND MATERIALS FOR THE IMPROVEMENT/ENHANCEMENT OF HISTORICAL SITES  Project Identification No. LIN-LD</t>
  </si>
  <si>
    <t xml:space="preserve"> Item	                          Quantity	                        ABC     ALM-300DN                         	362 units	                3,475,200.00     ALM 320DN	                        318 units	                3,863,700.00                                 </t>
  </si>
  <si>
    <t xml:space="preserve"> Invitation to Bid Republic of the Philippines TANZA WATER DISTRICT A .Soriano Highway, Tanza, Cavite 4108 Tel. No. (046) 484-18-13 / 505-2906 1. The Tanza Water District through the Corporate Funds of 2020 intends to apply the sum of Two Million Five Hund</t>
  </si>
  <si>
    <t xml:space="preserve"> Please see attached documents for more details.</t>
  </si>
  <si>
    <t xml:space="preserve"> Department of Agriculture		 BUREAU OF PLANT INDUSTRY 692 San Andres Street Malate, Manila, Philippines E-mail Address: bpibac@yahoo.com Tel. No.: (02) 8526-7859, (02) 8691-0736 | Website: bpi.da.gov.ph SOLICITATION NO.: ITB PR NO. 0545-20BAC  INVITATION T</t>
  </si>
  <si>
    <t xml:space="preserve"> 1.	The Government Service Insurance System (GSIS) through the GSIS Corporate Operating Budget for CY 2020 intends to apply the sum of Five Million Pesos (Php5,000,000.00) being the Approved Budget for the Contract (ABC) to payments under the contract for </t>
  </si>
  <si>
    <t xml:space="preserve"> MUNICIPALITY OF BALETE BIDS AND AWARDS COMMITTEE THE MUNICIPALITY OF BALETE THRU BIDS AND AWARDS COMMITTEE INVITES ALL SUPPLIERS/BIDDERS/CONTRACTORS TO APPLY FOR ELIGIBILITY SCREENING AND IF SUBSEQUENTLY FOUND ELIGIBLE FOR THE PROCUREMENT REQUEST FOR THE </t>
  </si>
  <si>
    <t xml:space="preserve"> MEDICINES: 1) 2 boxes  Albendazole 400mg 100s/box 2) 30 boxes Aluminum Magnesium Hydroxide tablet, 100s/box 3) 7 boxes Amlodipine 10mg tablet, 100s/box 4) 576 bots Amoxicillin 100ml drops 5) 576 bots Amoxicillin 250/5 syrup 6) 200 boxes Amoxicillin 500mg </t>
  </si>
  <si>
    <t xml:space="preserve"> Invitation to Bid Supply and Delivery of Vehicle for National Capital Regional Office 1. The Department of Trade and Industry, through the General Appropriations Act for CY 2020, intends to apply the sum of One Million Four Hundred Thousand Pesos (Php 1,4</t>
  </si>
  <si>
    <t xml:space="preserve"> The Department of Agriculture-RFO 3, invites interested suppliers/ bidders to submit bid proposal(s) for the hereunder requirement, to wit: 2,000 bottles  Organic Pesticides	 Specification: Neem Oil Insect Growth Regulator Safe to Beneficial Insect OCCP C</t>
  </si>
  <si>
    <t xml:space="preserve"> Republic of the Philippines                                                              PROVINCE OF ISABELA                                                            Municipality of Dinapigue                                      INVITATION TO APPLY FOR </t>
  </si>
  <si>
    <t xml:space="preserve"> Republic of the Philippines Province of Palawan Municipality of Narra INVITATION TO BID 1.	The Municipal Government of Narra, through Bids and Awards Committee intends to apply the sum of EIGHT HUNDRED FIFTY-TWO THOUSAND FIVE HUNDRED PESOS (PHP 852,500.00</t>
  </si>
  <si>
    <t xml:space="preserve"> Republic of the Philippines Province of Palawan Municipality of Narra INVITATION TO BID 1.	The Municipal Government of Narra, through Bids and Awards Committee intends to apply the sum of THREE HUNDRED TWENTY-TWO THOUSAND NINE HUNDRED FIVE PESOS (PHP 322,</t>
  </si>
  <si>
    <t xml:space="preserve"> Republic of the Philippines Province of Palawan Municipality of Narra INVITATION TO BID 1.	The Municipal Government of Narra, through Bids and Awards Committee intends to apply the sum of THREE HUNDRED THOUSAND EIGHT HUNDRED SIXTY-FIVE PESOS (PHP 300,865.</t>
  </si>
  <si>
    <t xml:space="preserve"> INVITATION TO BID IB-2020-091-INFRA Design and Construction of Housing Facilities for Waste Granulator and Brick Making Equipment at Vitas Pumping Station, Tondo, Manila 1.	The Metropolitan Manila Development Authority, through the 2020 General Appropriat</t>
  </si>
  <si>
    <t xml:space="preserve"> Republic of the Philippines Province of Palawan Municipality of Narra INVITATION TO BID 1.	The Municipal Government of Narra, through Bids and Awards Committee intends to apply the sum of NINE HUNDRED TWENTY-FOUR THOUSAND AND FOUR PESOS ONLY (PHP 924,004.</t>
  </si>
  <si>
    <t xml:space="preserve"> 1.The Local Government Unit of the Municipality of Magsaysay, through LBP Loan intends to apply the sum of Twenty Million Nine-hundred Thousand Pesos (P 20,900,000.00) being the Approved Budget for the Contract (ABC) to payment under the Acquisition of He</t>
  </si>
  <si>
    <t xml:space="preserve"> Invitation to Bid for  Rehabilitation and Improvement of Bacnotan-San Gabriel Road (San Juan Section), San Juan, La Union 1.	The Provincial Government of La Union, through the RA7171 intends to apply the sum of ₱3,900,010.79 being the Approved Budget for </t>
  </si>
  <si>
    <t xml:space="preserve"> INVITATION TO BID   PURCHASE OF ONE (1) UNIT PATROL CAR OF BRGY. CALUMPANG, GEN. SANTOS CITY The Local Government Unit of Barangay Calumpang, GSC, through the 20% LDRRMF and Brgy. Disaster and Risk Reduction Fund intents to apply the sum of One Million Si</t>
  </si>
  <si>
    <t xml:space="preserve"> INVITATION TO BID The DPWH Isabela 4th District Engineering Office through its Bids and Awards Committee (BAC), invites contractors to submit bids for the following Contract: ys Cost of Bidding Documents			: Php 25,000.00 Procurement ID / Contract ID			: </t>
  </si>
  <si>
    <t xml:space="preserve"> PURCHASE AND DELIVERY OF MACHINERY AND EQUIPMENT FOR OMM-OPERATION OF SLAUGHTERHOUSE **PLEASE REFER TO THE ATTACHED PURCHASE REQUEST AT THE ASSOCIATED COMPONENTS SECTION FOR FURTHER DETAILS</t>
  </si>
  <si>
    <t xml:space="preserve"> INVITATION TO BID FOR THE SUPPLY, DELIVERY AND INSTALLATION OF OFFICE FURNITURES AND FIXTURES 1.	The Provincial Government of La Union (PGLU), through the PGLU Annual Budget CY 2020 intends to apply the sum of One Million Two Hundred Sixty-Four Thousand T</t>
  </si>
  <si>
    <t xml:space="preserve"> Republic of the Philippines Bangsamoro Autonomous Region in Muslim Mindanao OFFICE OF THE SPECIAL BIDS AND AWARDS COMMITTEE Provincial Capitol, Buluan, Maguindanao 	 INVITATION TO BID The Local Government Unit of Maguindanao, through its Special Bids and </t>
  </si>
  <si>
    <t xml:space="preserve"> INVITATION TO BID FOR THE COLLECTION, TRANSPORTATION, TREATMENT AND PROPER DISPOSAL OF HAZARDOUS AND TOXIC HEALTH CARE WASTES GENERATED USING NON-BURN TECHNOLOGYFORTHE 5 DISTRICT HOSPITALS 1.	The Provincial Government of La Union (PGLU), through the PGLU </t>
  </si>
  <si>
    <t xml:space="preserve"> INVITATION TO BID IB NO: 2020-07-13 (11) PROCUREMENT OF LABORATORY EQUIPMENT 1. 	The Caraga Regional Hospital (CRH), through the General Appropriations Act /  HEALTH FACILITIES ENHANCEMENT PROGRAM (HFEP)   intends to apply the sum of  FOUR MILLION FOUR HU</t>
  </si>
  <si>
    <t xml:space="preserve"> Republic of the Philippines Province of Isabela LOCAL GOVERNMENT UNIT OF BENITO SOLIVEN INVITATION TO BID FOR THE ROAD CONCRETING AT BARANGAY BALLIAO 1.	The Municipal Government of Benito Soliven, intends to apply the sum of Five Million Pesos (P5,000,000</t>
  </si>
  <si>
    <t xml:space="preserve"> Republic of the Philippines Province of Isabela LOCAL GOVERNMENT UNIT OF BENITO SOLIVEN INVITATION TO BID FOR THE CONCRETING OF CORE LOCAL ACCESS ROAD OF BARANGAY VILLALUZ TO NEW MAGSAYSAY 1.	The Municipal Government of Benito Soliven, intends to apply th</t>
  </si>
  <si>
    <t xml:space="preserve"> INVITATION TO BID IB NO: 2020-07-15 (12) PROCUREMENT OF EXPENDABLE MEDICAL SUPPLIES (RE-BID) 1. 	The Caraga Regional Hospital (CRH), through the General Appropriations Act /  Hospital Income   intends to apply the sum of  FIVE MILLION SIX HUNDRED SIXTY SE</t>
  </si>
  <si>
    <t xml:space="preserve"> CONSTRUCTION OF PROTECTION DIKE – RIGHT SIDE DOWNSTREAM @ STA. 0+220 – 0+271.50</t>
  </si>
  <si>
    <t xml:space="preserve"> INVITATION TO APPLY FOR ELIGIBILITY AND TO BID 	The local Government Unit of Can-avid, through is Bid and Awards Committee (BAC). Invites suppliers to apply for eligibility, to bid for the hereunder contract: Name of Contract:      PURCHASE, DELIVERY &amp; IN</t>
  </si>
  <si>
    <t xml:space="preserve"> Invitation to Bid for SUPPLY AND DELIVERY OF VARIOUS OFFICE EQUIPMENT  FOR MDRRM OFFICE The Municipal Government of Looc, Romblon, through the AO-NO. 018-2019 Regular1 intends to apply the sum of Eighty Thousand Pesos Only (P 80,000.00) being the Approved</t>
  </si>
  <si>
    <t xml:space="preserve"> INVITATION TO BID FOR THE SUPPLY OF FUEL (GASOLINE AND DIESEL) - PART 2 1.	The Provincial Government of La Union (PGLU), through the PGLU Annual Budget CY 2020intends to apply the sum of Three Million One Hundred Seventy One Thousand Seven Hundred Forty P</t>
  </si>
  <si>
    <t xml:space="preserve"> Office Supplies and Materials</t>
  </si>
  <si>
    <t xml:space="preserve"> INVITATION TO BID IB-2020-093-INFRA Supply and Replacement of LED Solar Powered Streetlights along Quirino Highways 3.75 Kilometers (from Quezon City / Caloocan Boundary to Malaria St.) 1.	The Metropolitan Manila Development Authority, through the Local F</t>
  </si>
  <si>
    <t xml:space="preserve"> The Department of Agriculture-RFO 3, invites interested suppliers/ bidders to submit bid proposal(s) for the hereunder requirement, to wit: 4,000 FALL ARMY-LURE (PHEROMONE LURE) Composition: (Z)-9-Tetradecenyl Acetate 79.17% w/w to control Spodoptera frug</t>
  </si>
  <si>
    <t xml:space="preserve"> INVITATION TO BID IB-2020-092-INFRA Supply and Replacement of LED Streetlights at the following locations: Along Buendia Ave., (Taft Ave. to Tramo St.), Makati City along Mayor Ignacio Diaz St. (N. Domingo St. to EDSA), Quezon City along Dimasalang Road (</t>
  </si>
  <si>
    <t xml:space="preserve"> Description   Republic of the Philippines Danao City BIDS AND AWARDS COMMITTEE INVITATION to APPLY for ELIGIBILITY and to BID Supply and Delivery of Eighteen (18) Units Computer Laptop (SP) of the City GOVERNMENT OF DANAO The Local Government of Danao Cit</t>
  </si>
  <si>
    <t xml:space="preserve"> Description   Republic of the Philippines Danao City BIDS AND AWARDS COMMITTEE INVITATION to APPLY for ELIGIBILITY and to BID Supply and Delivery of Limestone for Embankment/Site Development/Construction of Motorpool Building at Barangay Cambanay, Danao C</t>
  </si>
  <si>
    <t xml:space="preserve"> 1. The ISABELA CITY WATER DISTRICT through the CORPORATE OPERATING BUDGET 2020 approved by the Board of Directors intends to apply the sum listed below being the Approved Budget for the Contract (ABC) to payments under the contract for each lot per P.R. N</t>
  </si>
  <si>
    <t xml:space="preserve"> Repair/Maintenance of Flood Control</t>
  </si>
  <si>
    <t xml:space="preserve"> Republic of the Philippines								 Province of Negros Occidental								 Municipality of La Castellana								 Bids and Awards Committee								 								 INVITATION TO APPLY FOR ELIGIBILITY AND TO BID								 								 Name of Project: 		IMPROVEMENT OF PA</t>
  </si>
  <si>
    <t xml:space="preserve"> Contract ID No.	: 20GAD005  	Contract Name/	: Purchase of Road/Traffic Warning Signs for use along Manila North   	Location	: Road, Tagudin-Santa Section (accident blackspot), K0313+(-103)- 			K0395+149) Brief Description of  Goods to be Procured	:  		 IT</t>
  </si>
  <si>
    <t xml:space="preserve"> Republic of the Philippines Province of Surigao del Sur MUNICIPALITY OF CANTILAN OFFICE OF THE BIDS AND AWARDS COMMITTEE INVITATION TO BID The Municipality of Cantilan allocates fund from 20% EDF for the Supply &amp; Delivery of Materials for Construction of </t>
  </si>
  <si>
    <t xml:space="preserve"> Item No.	Unit	Qty.	Description of Articles 1	Unit	1	L300 Cab and Chassis Euro 4 			2.2L Diesel 			5 speed Manual 			Overall Length:                                     mm 4,260 			Overall Width:                                      mm 1,695 			Overall Hei</t>
  </si>
  <si>
    <t xml:space="preserve"> Republic of the Philippines Province of Surigao del Sur MUNICIPALITY OF CANTILAN OFFICE OF THE BIDS AND AWARDS COMMITTEE INVITATION TO BID The Municipality of Cantilan allocates fund from 20% EDF 2020 for the Supply &amp; Delivery of Materials for Rehabilitat</t>
  </si>
  <si>
    <t xml:space="preserve"> INVITATION TO BID IB-2020-094-INFRA STREETLIGHTS PROJECT FOR BLACK SPOT LOCATIONS (GAD PROJECT) Along Aurora Blvd. / Marcos Highway (Katipunan Ave. To Marikina Bridge 1.20 Kilometers) 1.	The Metropolitan Manila Development Authority, through the Local Fun</t>
  </si>
  <si>
    <t xml:space="preserve"> INVITATION TO BID  SUPPLY AND DELIVERY  OF CORRUGATED   GI SHEET FOR THE IDENTIFIED PARTIALLY DAMAGED OF TYPHOON TISOY IN THE CITY OF SORSOGON (2ND CALL) GS 2020 -005-016 1.	The City Government of Sorsogon    intends to apply the sum of   Three  Million  </t>
  </si>
  <si>
    <t xml:space="preserve"> Republic of the Philippines Province of Surigao del Sur MUNICIPALITY OF CANTILAN OFFICE OF THE BIDS AND AWARDS COMMITTEE INVITATION TO BID The Municipality of Cantilan allocates fund from 20% EDF 2020 for the Supply &amp; Delivery of Materials for Installatio</t>
  </si>
  <si>
    <t xml:space="preserve"> Republic of the Philippines Province of Surigao del Sur MUNICIPALITY OF CANTILAN OFFICE OF THE BIDS AND AWARDS COMMITTEE INVITATION TO BID The Municipality of Cantilan allocates fund from 20% EDF 2020 for the Supply &amp; Delivery of Materials for Establishme</t>
  </si>
  <si>
    <t xml:space="preserve"> 1.	Contract ID No.	: 20GAD004  	Contract Name/	: Supply and Delivery of materials for the Repair and Maintenance   	Location	: along Tagudin-Cervantes Road         Brief Description of Goods to be Procured	:   		 ITEM NO.	PARTICULARS	QUANTITY	UNIT 1	Chevr</t>
  </si>
  <si>
    <t xml:space="preserve"> 1. Demolition/Excavation works 2. Reinforced Concrete Works 3. Form Works</t>
  </si>
  <si>
    <t xml:space="preserve"> INVITATION TO BID PURCHASE OF BARANGAY DISASTER RISK REDUCTION MANAGEMENT COMMITTEE (BDRRMC) RESCUE VEHICLE OF BRGY. SALVACION, PANABO CITY 1.	The Barangay Salvacion of Panabo City, through (RRSTF) REMOTE REGISTRY OF SPECIAL TRUST FUND intends to apply th</t>
  </si>
  <si>
    <t xml:space="preserve"> REQUEST FOR RFQ - SMAW SUPPLIES</t>
  </si>
  <si>
    <t xml:space="preserve"> Republic of the Philippines Province of Surigao del Sur MUNICIPALITY OF CANTILAN OFFICE OF THE BIDS AND AWARDS COMMITTEE INVITATION TO BID The Municipality of Cantilan allocates fund from Capital Outlay 2018 for the Supply &amp; Delivery of Materials for Fenc</t>
  </si>
  <si>
    <t xml:space="preserve"> Rehabilitation of Concrete Road</t>
  </si>
  <si>
    <t xml:space="preserve"> Republic of the Philippines Province of Surigao del Sur MUNICIPALITY OF CANTILAN OFFICE OF THE BIDS AND AWARDS COMMITTEE INVITATION TO BID The Municipality of Cantilan allocates fund from 20% EDF 2020 for the Supply &amp; Delivery of Agricultural Supplies for</t>
  </si>
  <si>
    <t xml:space="preserve"> The Department of Agriculture-RFO 3, invites interested suppliers/ bidders to submit bid proposal(s) for the hereunder requirement, to wit: 1,175 bottles SPINETORAM (250ml/bottle) Composition: Water: 832.2 g/L Dispersant: 30.8 g/L Other Inert: 93.6 g/L Re</t>
  </si>
  <si>
    <t xml:space="preserve"> (1 meal (pack lunch with 2 viands and cold beverage) and 2 snacks (packed AM/PM snacks with cold beverage) per day for 15 days activity with 16 participants) and an accommodation for the facilitators for 15days.</t>
  </si>
  <si>
    <t xml:space="preserve"> I. Construction Tools &amp; Paints (Bridges)							 1	Paint Latex Gloss (white)				99,000.00	100 		 2	Paint Latex Gloss (black)				99,000.00	100 		 3	Paint Latex Gloss (yellow)				99,000.00	100 		 4	Paint Rollers (152mm)				2,600.00	52 		 5	Brush Paint (101mm</t>
  </si>
  <si>
    <t xml:space="preserve"> Rehabilitation/ Major Repair of Multi – Purpose Building</t>
  </si>
  <si>
    <t xml:space="preserve"> Procurement of Comprehensive Maintenance Service Agreement for Virtualization Software (Project Reference No. 2020-PB-VMWARE-030-01) 1.	The Power Sector Assets and Liabilities Management (PSALM) Corporation, through the 2020 Corporate Operating Budget (fo</t>
  </si>
  <si>
    <t xml:space="preserve"> Republic of the Philippines DEPARTMENT OF SCIENCE AND TECHNOLOGY PHILIPPINE SCIENCE HIGH SCHOOL-SOCCSKSARGEN REGION CAMPUS Bids and Awards Committee INVITATION TO BID FOR THE INSTALLATION OF POWER,  DISTRIBUTION LINE AND COMMUNICATION SYSTEMS 1.	 The PHIL</t>
  </si>
  <si>
    <t xml:space="preserve"> Republic of the Philippines Province of Leyte Municipality of Kananga BIDS AND AWARDS COMMITTEE Invitation to Bid for CONSTRUCTION OF ADDITIONAL TOMBS / BONE VAULTS AT MUNICIPAL CEMETERY, BRGY. MONTEBELLO, KANANGA, LEYTE 1.	The Municipality of Kananga thr</t>
  </si>
  <si>
    <t xml:space="preserve"> (6-units of complete set Manual Sewing Machine and 2-units of Edging Sewing Machine; Starter Kits for 16 pax-L-Square Ruler, Hip-Curve Ruler, French Curve Ruler, Scissor, Tape Measure, Patterned paper, Tailored chalk, Pencil, Safety Pin, 12” Ruler Stainle</t>
  </si>
  <si>
    <t xml:space="preserve"> Construction of 4,000 Polyethelene Plastic Water Container</t>
  </si>
  <si>
    <t xml:space="preserve"> Republic of the Philippines Province of Leyte Municipality of Kananga BIDS AND AWARDS COMMITTEE INVITATION TO BID FOR PROCUREMENT OF ONE (1) UNIT MOTOR VEHICLE (PASSENGER VAN) 1.	The Municipality of Kananga, through the General Fund intends to apply the s</t>
  </si>
  <si>
    <t xml:space="preserve"> INVITATION TO BID The City Government of Pasay, through its Bids and Awards Committee (BAC) invites suppliers/manufacturers/distributors/contractors to apply and submit sealed bids for the supply and delivery of the following: Supply and delivery of Vario</t>
  </si>
  <si>
    <t xml:space="preserve"> Republic of the Philippines Province of Leyte Municipality of Kananga BIDS AND AWARDS COMMITTEE Invitation to Bid for CONCRETING OF ROADS MUNICIPAL WIDE AT  BRGY. POBLACION, KANANGA, LEYTE 1.	The Municipality of Kananga through the General Fund (GF) inten</t>
  </si>
  <si>
    <t xml:space="preserve"> The Municipal Government of Marilao hereby invites suppliers and distributors to apply for eligibility and to bid in accordance with IRR of R.A. 9970 for the supply of labor and materials in the amount of Php 1,400,000.00</t>
  </si>
  <si>
    <t xml:space="preserve"> Straight Contract for Construction of Multi-Purpose Building - Dialysis Center See attached link/Url under OTHER INFORMATION BOX</t>
  </si>
  <si>
    <t xml:space="preserve"> INVITATION TO BID FOR THE PROCUREMENT OF ONE (1) UNIT BOOM TRUCK W/ COMPLETE ACCESSORIES 1.The LGU-KALINGA, Kalinga Province through its Bids and Awards Committee (BAC) intends to apply the sum of a. Four Million Six Hundred Thousand pesos &amp; 00/100 (P 4,6</t>
  </si>
  <si>
    <t xml:space="preserve"> Contract for the Concreting of Road Section at Cosmos St. to Fd. Rd. #4, Phase 2 The Municipality of Santo Tomas, through Supplemental Budget #3 CY 2020 intends to apply the sum of P’ 1,799,783.48  being the Approved Budget for the Contract (ABC) to payme</t>
  </si>
  <si>
    <t xml:space="preserve"> The Municipal Government of Marilao hereby invites suppliers and distributors to apply for eligibility and to bid in accordance with IRR of R.A. 9970 for the supply of labor and materials in the amount of 5,000,000.00</t>
  </si>
  <si>
    <t xml:space="preserve"> Straight Contract for Installation of Street Lights (Phase 2) Along National Highway See attached link/Url under OTHER INFORMATION BOX</t>
  </si>
  <si>
    <t xml:space="preserve"> BDF Approved Project</t>
  </si>
  <si>
    <t xml:space="preserve"> 1 LOT - PROCUREMENT FOR DEPED RO8 CY 2020 GENERAL SUPPLIES UNIT	PARTICULARS	QTY. roll	ACETATE 1 can	AIR FRESHENER, aerosol, 280ml/150g min 100 bottle	ALCOHOL, ethyl 70%, SOLUTION, 500ml 600 piece	BALL POINT PEN, BLACK	834 piece	BALL POINT PEN, BLUE 	930 p</t>
  </si>
  <si>
    <t xml:space="preserve"> 1.	The Department of Social Welfare and Development (DSWD) – Pantawid Pamilyang Pilipino Program (hereinafter called “Procuring Entity”) has received financing (hereinafter called “funds”) from the Government of the Republic of the Philippines thru Pantaw</t>
  </si>
  <si>
    <t xml:space="preserve"> REQUEST FOR EXPRESSION OF INTEREST FOR  NATIONAL SURVEY ON THE AWARENESS OF PRIVATE FIRMS ON THE PHILIPPINE COMPETITION ACT AND THE PHILIPPINE COMPETITION COMMISSION 1.	The Philippine Competition Commission, through the 2020 General Appropriations Act int</t>
  </si>
  <si>
    <t xml:space="preserve"> 1.	The MUNICIPAL GOVERNMENT OF PALIMBANG through an appropriation from LDRRM Fund FY 2020 (5% of IRA) invites prospective and interested bidders for the project, to wit: 	 SUPPLY AND DELIVERY OF ONE (1) – UNIT RESCUE VEHICLE Solicitation Number: PB-2020-G</t>
  </si>
  <si>
    <t xml:space="preserve"> 1.	The LGU-Mallig, Isabela, through the Tobacco Excise Tax 2016 intends to apply the sum of Five Million Fifty-Seven Thousand Eight Hundred Ninety Four Pesos &amp; 40/100 Only (Php 5,057,894.40) being the Approved Budget for the Contract (ABC) to payments und</t>
  </si>
  <si>
    <t xml:space="preserve"> Rehabilitation/ Major Repair of Drainage Structure</t>
  </si>
  <si>
    <t xml:space="preserve"> Republic of the Philippines DEPARTMENT OF PUBLIC WORKS AND HIGHWAYS MASBATE 1st  DISTRICT ENGINEERING OFFICE REGIONAL OFFICE V San Fernando, Masbate Control No. 2020-05-001 								May 22, 2020 REQUEST FOR EXPERESSION OF INTEREST FOR THE: Contract ID:				</t>
  </si>
  <si>
    <t xml:space="preserve"> INVITATION TO BID The City Government of Pasay, through its Bids and Awards Committee (BAC) invites suppliers/manufacturers/distributors/contractors to apply and submit sealed bids for the supply and delivery of the following: Supply, delivery &amp; installat</t>
  </si>
  <si>
    <t xml:space="preserve"> INVITATION TO BID The City Government of Pasay, through its Bids and Awards Committee (BAC) invites suppliers/manufacturers/distributors/contractors to apply and submit sealed bids for the supply and delivery of the following: PREVENTIVE MAINTENANCE for o</t>
  </si>
  <si>
    <t xml:space="preserve"> INVITATION TO BID The City Government of Pasay, through its Bids and Awards Committee (BAC) invites suppliers/manufacturers/distributors/contractors to apply and submit sealed bids for the supply and delivery of the following: Proposed Construction of Fou</t>
  </si>
  <si>
    <t xml:space="preserve"> 5 brother ink-BT5000 cyan 4 brother ink-BT5000 magenta 6 brother ink - BT5000 yellow 5 brother ink - BT5000 black 4 brother Dcp - T710w ink black 2 brother dcp - t710w ink cyan 2 brother dcp- T710w ink magenta 2 brother dcp - T710w ink - yellow 14 comp in</t>
  </si>
  <si>
    <t xml:space="preserve"> 1. The Bureau of Fisheries and Aquatic Resources (BFAR) Regional Fisheries Office - MIMAROPA, Department of Agriculture invites interested bidders to participate in a public bidding for the above procurement project (“GOODS”) with an Approved Budget for t</t>
  </si>
  <si>
    <t xml:space="preserve"> Improvement of drainage system at purok San Marcus Barangay Centro (San Juan), Agdao District, Davao City worth One Hundred Fifty Thousand Pesos (Php150,000.00) Rehabilitation and Construction of Concrete Canal Cover for the Existing Concrete Canal from M</t>
  </si>
  <si>
    <t xml:space="preserve"> The Municipal Government of Marilao hereby invites suppliers and distributors to apply for eligibility and to bid in accordance with IRR of R.A. 9970 for the FILLING MATERIALS in the amount of Php 5,000,000.00</t>
  </si>
  <si>
    <t xml:space="preserve"> INVITATION TO BID NO. 20-57  SUPPLY &amp; DELIVERY OF WHEELED STRETCHER 1.	The Department of Health, Center for Health Development Bicol (DOH – CHD Bicol), through the 2020 General Appropriations Act intends to apply the sum of One Million Seven Hundred Thous</t>
  </si>
  <si>
    <t xml:space="preserve"> Republic of the Philippines DEPARTMENT OF PUBLIC WORKS AND HIGHWAYS LA UNION SECOND DISTRICT ENGINEERING OFFICE REGIONAL OFFICE I Natividad, Naguilian, La Union INVITATION TO BID The Department of Public Works and Highways LA UNION SECOND DISTRICT ENGINEE</t>
  </si>
  <si>
    <t xml:space="preserve"> 1.	The Department of Public Works and Highways Regional Office XI, Davao City, through its Bids and Awards Committee (BAC), invites bidders to submit bids for the Infra projects funded under GAA FY 2020, to wit: Contract ID 	:	20L00140 Contract Name/Locat</t>
  </si>
  <si>
    <t xml:space="preserve"> 1.	The Department of Public Works and Highways Regional Office XI, Davao City, through its Bids and Awards Committee (BAC), invites bidders to submit bids for the Infra projects funded under GAA FY 2020, to wit: Contract ID 	:	20L00043 Contract Name/Locat</t>
  </si>
  <si>
    <t xml:space="preserve"> Straight Contract for Water Project Level 3 See attached link under OTHER INFORMATION BOX</t>
  </si>
  <si>
    <t xml:space="preserve"> Straight Contract for Water Project Level 2 See attached link/Url under OTHER INFORMATION BOX</t>
  </si>
  <si>
    <t xml:space="preserve"> Straight Contract for Water Project Level 3 See attached link/Url under OTHER INFORMATION BOX</t>
  </si>
  <si>
    <t xml:space="preserve"> Straight Contract for Construction of Health Center See attached link/Url under OTHER INFORMATION BOX</t>
  </si>
  <si>
    <t xml:space="preserve"> Invitation to Bid for: Concreting of Sta. Maria Street to Bernardo Street at 100 meters at Brgy. Bato, Gamay, Northern Samar The BLGU Bato, Gamay, Northern Samar, through the 20% Development Fund of 2020 intends to apply the sum of P 426,434.55 being the </t>
  </si>
  <si>
    <t xml:space="preserve"> 1.	The Department of Public Works and Highways Regional Office XI, Davao City, through its Bids and Awards Committee (BAC), invites bidders to submit bids for the Infra projects funded under GAA FY 2020, to wit: Contract ID 	:	20L00137 Contract Name/Locat</t>
  </si>
  <si>
    <t xml:space="preserve"> Seven (7) units Motorcycles See attached link under OTHER INFORMATION BOX</t>
  </si>
  <si>
    <t xml:space="preserve"> Five (5) units Mini Dump truck - Surplus Reconditioned See attached link/Url under OTHER INFORMATION BOX</t>
  </si>
  <si>
    <t xml:space="preserve"> Contract Reference Number: 007099-2020-01 Name of Project and Location: Road Concreting (half-lane) and RCBC at Sta. Cruz HS Access Road, Bgy. Sta. Cruz Approved Budget for the Contract  (ABC): 3,630,400.00 Contract Duration (calendar days): 120	 Equipmen</t>
  </si>
  <si>
    <t xml:space="preserve"> INVITATION TO BID 20-53  SUPPLY, DELIVERY, AND INSTALLATION OF X-RAY MACHINE 1.	The Department of Health, Center for Health Development Bicol (DOH – CHD Bicol), through the 2020 General Appropriations Act intends to apply the sum of Four Million Five Hund</t>
  </si>
  <si>
    <t xml:space="preserve"> Contract Reference Number: 007116-2020-01 Name of Project and Location: Completion of Earthfilling and Rip-rap at Sta. Cruz HS Access Road, Bgy. Sta. Cruz Approved Budget for the Contract  (ABC): 2,850,500.00 Contract Duration (calendar days): 90	 Equipme</t>
  </si>
  <si>
    <t xml:space="preserve"> Contract Reference Number: 006976-0000-00 Name of Project and Location: Slope Protection and PCCP at Yabo River, Bgy. Carolina Approved Budget for the Contract  (ABC): P 2,211,800.00 Contract Duration (calendar days): 120	 Equipment Required: concrete mix</t>
  </si>
  <si>
    <t xml:space="preserve"> EARTHWORKS CONCRETE WORKS MASONRY WORKS ROOFING WORKS ELECTRICAL WORKS MECHANICAL WORKS SANITARY/PLUMBING WORKS</t>
  </si>
  <si>
    <t xml:space="preserve"> Contract Reference Number: 007026-2020-01 Name of Project and Location: Improvement of JMR Museum at J. Miranda Avenue corner Taal Avenue, Bgy. Concepcion Pequena Approved Budget for the Contract  (ABC): P 2,900,300.00	 Contract Duration (calendar days): </t>
  </si>
  <si>
    <t xml:space="preserve"> 1	set	Transmitter with complete accessories	 		    600watts FM Transmitter (Brand New)	 		       - RF Output Power : 0-600 watts 1w/step	 		       - Frequency Range : 87.5-108 Mhz, 100Khz/step	 		       - RF Output Connector : L29-Female	 		       - RF Ou</t>
  </si>
  <si>
    <t xml:space="preserve"> INVITATION TO BID CONCRETING OF LOCAL CORE ACCESS ROAD ALONG BARANGAY 3 TO BARANGAY STA. ANA, SFADS The Municipal Government of San Francisco, Agusan del Sur, through the BIDS and AWARDS COMMITTEE (BAC) intends to apply the sum of SEVEN MILLION, EIGHT HUN</t>
  </si>
  <si>
    <t xml:space="preserve"> INVITATION TO BID 20-52  SUPPLY &amp; DELIVERY OF OPERATING ROOM LED LIGHT, AND OPERATING ROOM TABLE 1.	The Department of Health, Center for Health Development Bicol (DOH – CHD Bicol), through the 2020 General Appropriations Act intends to apply the sum of On</t>
  </si>
  <si>
    <t xml:space="preserve"> INVITATION TO BID 20-56  SUPPLY &amp; DELIVERY OF INFANT INCUBATOR 1.	The Department of Health, Center for Health Development Bicol (DOH – CHD Bicol), through the 2020 General Appropriations Act intends to apply the sum of One Million One Hundred Forty Thousa</t>
  </si>
  <si>
    <t xml:space="preserve"> The Bids and Awards Committee of Barangay Miligan now invite bids for the above mentioned project. The pre-bid conference shall be opened to interested parties who have purchased the bidding documents on July 3, 2020, 2:00 P.M. at the Barangay Hall of Mil</t>
  </si>
  <si>
    <t xml:space="preserve"> The Energy Regulatory Commission (ERC), through the General Appropriations Act of 2020, intends to apply the sum of Seventy-Five Thousand Pesos (PhP75,000.00), being the Approved Budget for the Contract of the TrendMicro Portal Protect License Renewal, wi</t>
  </si>
  <si>
    <t xml:space="preserve"> Republic of the Philippines Province of Leyte Municipality of Kananga BIDS AND AWARDS COMMITTEE Invitation to Bid for CONSTRUCTION OF FLOOD CONTROL AND RETAINING WALL AT BRGY. MAHAWAN, KANANGA, LEYTE 1.	The Municipality of Kananga through the 5% DRRM FUND</t>
  </si>
  <si>
    <t xml:space="preserve"> INVITATION TO BID FOR THE SUPPLY OF FUEL  FOR THE THIRD QUARTER The Municipality of Isulan, through the 2020 GENERAL FUND  intends to apply the sum of ONE MILLION FIVE HUNDRED NINETY-FIVE THOUSAND NINE HUNDRED FIFTY-SEVEN PESOS &amp; 20/100 ONLY  (P1,595,957.</t>
  </si>
  <si>
    <t xml:space="preserve"> The Energy Regulatory Commission (ERC), through the General Appropriations Act of 2020, intends to apply the sum of Five Hundred Seventy Thousand Pesos (PhP570,000.00), being the Approved Budget for the Contract of the Kaspersky AV Renewal, with the follo</t>
  </si>
  <si>
    <t xml:space="preserve"> Construction  of Multi-Purpose Building</t>
  </si>
  <si>
    <t xml:space="preserve"> Drainage Improvement including Rehabilitation of Road</t>
  </si>
  <si>
    <t xml:space="preserve"> INVITATION TO BID NO. 20-41 SUPPLY &amp; DELIVERY OF IUD INSERTION SET 1.	The Department of Health, Center for Health Development Bicol (DOH – CHD Bicol), through the 2020 General Appropriations Act intends to apply the sum of One Million Sixty Five Thousand </t>
  </si>
  <si>
    <t xml:space="preserve"> ITEM            QUANTITY            UNIT                DESCRIPTION 102(2)             61.2                 CU.M               COMMON EXCAVATION 201                 61.2                  CU.M               AGGREGATE BASE COURSE 301                 306    </t>
  </si>
  <si>
    <t xml:space="preserve"> Construction of Multi-Purpose Building and other Improvement at Brgy. Talon 2, Las Pinas City</t>
  </si>
  <si>
    <t xml:space="preserve"> INVITATION TO BID 20-40  SUPPLY &amp; DELIVERY OF HOSPITAL EQUIPMENT AND FURNITURE 1.	The Department of Health, Center for Health Development Bicol (DOH – CHD Bicol), through the 2020 General Appropriations Act intends to apply the sum of Six Million Pesos (P</t>
  </si>
  <si>
    <t xml:space="preserve"> INVITATION TO BID 20-60  SUPPLY &amp; DELIVERY OF VARIOUS LABORATORY  AND DIAGNOSTIC EQUIPMENT 1.	The Department of Health, Center for Health Development Bicol (DOH – CHD Bicol), through the 2020 General Appropriations Act intends to apply the sum of Five Mil</t>
  </si>
  <si>
    <t xml:space="preserve"> Supply and Delivery of Oils and Lubricants</t>
  </si>
  <si>
    <t xml:space="preserve"> Supply and Delivery of Tires</t>
  </si>
  <si>
    <t xml:space="preserve"> Construction/Rehabilitation of Multi-Purpose Building,</t>
  </si>
  <si>
    <t xml:space="preserve"> please refer to attached documents</t>
  </si>
  <si>
    <t xml:space="preserve"> Please refer to attached documents.</t>
  </si>
  <si>
    <t xml:space="preserve"> INVITATION TO BID NO. 20-61  SUPPLY &amp; DELIVERY OF WEIGHING SCALE (ADULT AND INFANT) 1.	The Department of Health, Center for Health Development Bicol (DOH – CHD Bicol), through the 2020 General Appropriations Act intends to apply the sum of Three Million S</t>
  </si>
  <si>
    <t xml:space="preserve"> School Forms JHS for students grades anf files use</t>
  </si>
  <si>
    <t xml:space="preserve"> SUPPLY OF 5.10 DRUMS BITUMINOUS TACK COAT AND 298.41 M.T. BITUMINOUS CONCRETE SURFACE COURSE</t>
  </si>
  <si>
    <t xml:space="preserve"> Straight Contract for Rehabilitation of Covered Court See attached link/Url under OTHER INFORMATION BOX</t>
  </si>
  <si>
    <t xml:space="preserve"> Straight Contract for Improvement of Commission House See attached link/Url under OTHER INFORMATION BOX</t>
  </si>
  <si>
    <t xml:space="preserve"> INVITATION TO BID REPUBLIC OF THE PHILIPPINES CITY OF GOVERNMENT OF NAVOTAS BARANGAY SAN RAFAEL VILLAGE   BIDS AND AWARDS COMMITTEE 1.The Sangguniang BaraNGAY San Rafael Village, through its Bids and Awards Committee intends      to apply the sun of One H</t>
  </si>
  <si>
    <t xml:space="preserve"> Republic of the Philippines Province of Camarines Sur MUNICIPALITY OF BAAO INVITATION TO BID FOR THE SUPPLY AND DELIVERY OF CONSTRUCTION SUPPLIES FOR THE REHABILITATION OF MAYOR’S OFFICE PHASE 2 1. The LOCAL GOVERNMENT UNIT OF BAAO, through the Budget for</t>
  </si>
  <si>
    <t xml:space="preserve"> INVITATION TO BID for  Provision of Motor Vehicle, and Motorcycle (G-20-03-A) 1.	The Central Bicol State University of Agriculture (CBSUA), through the Unexpended Income 2019 Fund intends to apply the sum of Two Million Eight Hundred Eighty Thousand Pesos</t>
  </si>
  <si>
    <t xml:space="preserve"> INVITATION TO BID (Public Bidding) The BFAR 08, through its Bids and Awards Committee (BAC), invites eligible suppliers to bid for the hereunder contract:	 NAME OF CONTRACT: 20-05-0564 Supply and Delivery of Materials for Tilapia Culture in Fish Cage as L</t>
  </si>
  <si>
    <t xml:space="preserve"> Multivitamins+Iron syrup: 60ml Amoxicillin tab: 500mg 100's Anti-Tetanus Serum amp: 1,500 I.U Azithromycin Dihydrate: 500mg 3's Cefalexin cap: 500mg 100's Ciprofloxacin tab: 500mg 100s Clopidogrel tab: 75mg 100's Co-Amoxiclav tab: 625mg 20's Hepa B: Immun</t>
  </si>
  <si>
    <t xml:space="preserve"> 1	Item 310: Bituminous Concrete Surface				1,799,793.00	209.40		 	Coarse (FD)							 	-x-x-x-x-x-x-x-x-x-x-x-x-x-x							 			Grand Total:		1,799,793.00</t>
  </si>
  <si>
    <t xml:space="preserve"> INVITATION TO BID (Public Bidding) The BFAR 08, through its Bids and Awards Committee (BAC), invites eligible suppliers to bid for the hereunder contract:	 NAME OF CONTRACT: 20-04-0511 Supply and Delivery of Materials for the Intensive Tilapia Culture in </t>
  </si>
  <si>
    <t xml:space="preserve"> Straight Contract for Water Project See attached link/Url under OTHER INFORMATION BOX</t>
  </si>
  <si>
    <t xml:space="preserve"> Location  : Legazpi City, Albay Scope of Work : Repair/Maintenance of DILG Building NAPOLCOM RO-V Main Building Rawis, Legazpi City, Albay</t>
  </si>
  <si>
    <t xml:space="preserve"> INVITATION TO BID (Public Bidding) The BFAR 08, through its Bids and Awards Committee (BAC), invites eligible suppliers to bid for the hereunder contract:	 		 NAME OF CONTRACT: 20-03-0414 Supply and Delivery of Feeds and Fingerlings for Bangus Production </t>
  </si>
  <si>
    <t xml:space="preserve"> ITEM          DESCRIPTION                          QTY.       UNIT I.              Construction of Water System      2          units</t>
  </si>
  <si>
    <t xml:space="preserve"> Republic of the Philippines BIDS AND AWARD COMMITTEE Province of Batangas INVITATION TO BID The Provincial Government of Batangas, through its Bids and Awards Committee (BAC) invites all accredited contractors to bid on the following projects: NAME OF PRO</t>
  </si>
  <si>
    <t xml:space="preserve"> (REFLECTORIZED THERMOPLASTIC PAVEMENT MARKINGS)</t>
  </si>
  <si>
    <t xml:space="preserve"> Republic of the Philippines Province of Camarines Sur MUNICIPALITY OF BAAO INVITATION TO BID FOR THE PURCHASE OF BRANDNEW EMERGENCY TRANSPORT VEHICLE 1. The LOCAL GOVERNMENT UNIT OF BAAO, through the Budget for the contract approved by the Sanggunian 2020</t>
  </si>
  <si>
    <t xml:space="preserve"> Republic of the PhilippinesA1:R44C16A1:R31A1:R64A1:R75C16A1:R31A1:R76A1:R74A1:R75A1:R76A1:R75A1:R76						 Department of Environment and Natural Resources						 FORESTLAND MANAGEMENT PROJECT						 Province of Iloilo, Region VI						 						 BILL OF QUANTITI</t>
  </si>
  <si>
    <t xml:space="preserve"> INVITATION TO BID (Public Bidding) The BFAR 08, through its Bids and Awards Committee (BAC), invites eligible suppliers to bid for the hereunder contract:	 NAME OF CONTRACT: 20-04-0503 Supply and Delivery of Tilapia Feeds for Tilapia Culture Livelihood an</t>
  </si>
  <si>
    <t xml:space="preserve"> SUPPLY AND DELIVERY OF LABORATORY SUPPLIES (APHERESIS KIT FOR RED CELL-PLASMA EXCHANGE-APHERESIS KIT FOR PLATELET) -ORDER OF PAYMENT FOR BID DOCS WILL BE AVAILABLE AT GSD-HEAD OFFICE @ 10TH FLOOR MAKATI CITY HALL BLDG. 2. LOOK FOR MR. REDEN VILLANUEVA. A </t>
  </si>
  <si>
    <t xml:space="preserve"> Republic of the Philippines DEPARTMENT OF PUBLIC WORKS AND HIGHWAYS CAMARINES SUR 2ND DISTRICT ENGINEERING OFFICE Regional Office V Baras, Canaman, Camarines Sur INVITATION TO BID FOR  20FE0124 – CONSTRUCTION OF CLASSROOMS, PAMPLONA NHS, PAMPLONA, CAMARIN</t>
  </si>
  <si>
    <t xml:space="preserve"> INVITATION TO BID NO. 20-64 SUPPLY &amp; DELIVERY OF ULTRASOUND SCANNER MACHINE  WITH TRANS-VAGINAL PROBE 1.	The Department of Health, Center for Health Development Bicol (DOH – CHD Bicol), through the 2020 General Appropriations Act intends to apply the sum </t>
  </si>
  <si>
    <t xml:space="preserve"> ITEM: 142 bag/s  Portland Cement 40kg 8     cu.m.  Washed Sand 16   cu.m.  Coarsed Gravel 10   length/s 12mm.dia.x6m.Deformed Bars 100 bd.ft  10-2"x 6" x 10ft Coco Lumber 2     pc/s  Hacksaw Blade 8     kg/s  Assorted Nails 5     liters Asphalt Sealant</t>
  </si>
  <si>
    <t xml:space="preserve"> INVITATION TO BID CONSTRUCTION OF OYSTER MUSHROOM BUILDING (PHASE 1), MUNICIPAL AGRICULTURE’S OFFICE, BARANGAY 3, SFADS The Municipal Government of San Francisco, Agusan del Sur, through the BIDS and AWARDS COMMITTEE (BAC) intends to apply the sum of NINE</t>
  </si>
  <si>
    <t xml:space="preserve"> INVITATION TO BID FOR IMPROVEMENT OF MULTI-PURPOSE BUILDING – PANDAYAN (SLAUGHTERHOUSE) The Municipality of San Juan, through its Bids and Awards Committee (BAC), invites contractors to submit bids for the following Contract: Contract ID		:          	20-0</t>
  </si>
  <si>
    <t xml:space="preserve"> Invitation to Bid for  Construction of Rimos National High School Pavilion and Completion of School Perimeter Fence, Luna, La Union 1.	The Provincial Government of La Union, through the RA8240 intends to apply the sum of ₱1,755,000.00 being the Approved B</t>
  </si>
  <si>
    <t xml:space="preserve"> 3 unit MOTORCYCLE: Engine Type: 4-Stroke, 2 Valves, SOHC, Air-cooled Displacement:124cc-125cc min. Maximum Power: 9.13kw @ 8,000 rpm min. Maximum Torque: 11.50Nm (1.2kgf.m) 6,500 rpm min. Bore X Stroke: 57.30 x 57.84 (mm) Starting System: Electric &amp; Kick </t>
  </si>
  <si>
    <t xml:space="preserve"> INVITATION TO BID 20-43  SUPPLY AND DELIVERY OF DENTAL SET, AND DENTAL UNIT 1.	The Department of Health, Center for Health Development Bicol (DOH – CHD Bicol), through the 2020 General Appropriations Act intends to apply the sum of Four Million Three Hund</t>
  </si>
  <si>
    <t xml:space="preserve"> Republic of the Philippines						 Department of Environment and Natural Resources						 FORESTLAND MANAGEMENT PROJECT						 Province of Iloilo, Region VI						 						 BILL OF QUANTITIES						 Subproject Title/Name		Construction of Atimonan Irrigation and </t>
  </si>
  <si>
    <t xml:space="preserve"> INVITATION TO BID NO. 20-49  SUPPLY &amp; DELIVERY OF PHOTOTHERAPY UNIT 1.	The Department of Health, Center for Health Development Bicol (DOH – CHD Bicol), through the 2020 General Appropriations Act intends to apply the sum of One Million Five Hundred Thousa</t>
  </si>
  <si>
    <t xml:space="preserve"> Hygiene Kit Assistance for Senior Citizens</t>
  </si>
  <si>
    <t xml:space="preserve"> INVITATION TO BID 20-48  SUPPLY &amp; DELIVERY OF VARIOUS MEDICAL EQUIPMENT 1.	The Department of Health, Center for Health Development Bicol (DOH – CHD Bicol), through the 2020 General Appropriations Act intends to apply the sum of Five Million Seven Hundred </t>
  </si>
  <si>
    <t xml:space="preserve"> INVITATION TO BID NO. 20-35  SUPPLY &amp; DELIVERY OF VENTILATOR 1.	The Department of Health, Center for Health Development Bicol (DOH – CHD Bicol), through the 2020 General Appropriations Act intends to apply the sum of Two Million Seven Hundred Thousand Pes</t>
  </si>
  <si>
    <t xml:space="preserve"> Republic of the Philippines						 Department of Environment and Natural Resources						 FORESTLAND MANAGEMENT PROJECT						 Province of Iloilo, Region VI						 						 BILL OF QUANTITIES						 Subproject Title/Name		Construction of Caratagan Irrigation Pip</t>
  </si>
  <si>
    <t xml:space="preserve"> Republic of the Philippines						 Department of Environment and Natural Resources						 FORESTLAND MANAGEMENT PROJECT						 Province of Iloilo, Region VI						 						 SUBPROJECT PROGRAM OF WORK						 Subproject Title/Name		Construction of Canauillian Hang</t>
  </si>
  <si>
    <t xml:space="preserve"> Invitation to Bid for  Construction of Luna Farmers Trading Center, Luna, La Union 1.	The Provincial Government of La Union, through the RA7171 intends to apply the sum of ₱9,750,000.00 being the Approved Budget for the Contract (ABC) to payments under th</t>
  </si>
  <si>
    <t xml:space="preserve"> SUPPLY AND DELIVERY OF MEDICINES Municipal Health Office Balayan, Batangas</t>
  </si>
  <si>
    <t xml:space="preserve"> Name of Project: Purchase of 56 units Jet-type Pitcher  Location: Pura, Tarlac  ABC: Php150,000.00</t>
  </si>
  <si>
    <t xml:space="preserve"> Department of Education Region VI-Western Visayas Division of Cadiz City Mabini National High School 	NOTICE FOR NEGOTIATED PROCUREMENT OF ICT EQUIPMENT AND MATERIALS 1.	Mabini National High School, Division of Cadiz City, through the Schools MOOE and HRT</t>
  </si>
  <si>
    <t xml:space="preserve"> You may refer in the attached files for details.</t>
  </si>
  <si>
    <t xml:space="preserve"> INVITATION TO BID  FOR THE SUPPLY &amp; DELIVERY OF 2 SETS HIGH VOLUME LOW SPEED FAN The Municipality of Isulan, through the 2020 GENERAL FUND  intends to apply the sum of ONE MILLION PESOS ONLY (P1,000,000.00) being the total Approved Budget for the Contract</t>
  </si>
  <si>
    <t xml:space="preserve"> DENR-ENVIRONMENTAL MANAGEMENT BUREAU R3 INVITES ELIGIBLE SUPPLIERS TO QUOTE ON THE FF.: PROCUREMENT OF ONE (1) LOT PROFESSIONAL/ CONSULTING SERVICE FOR THE CONDUCT OF WATER POLLUTION LOAD ASSESSMENT FOR SEVEN (7) RIVERS IN REGION III REQUEST FOR EXPRESSIO</t>
  </si>
  <si>
    <t xml:space="preserve"> Invitation to Bid for  Construction of Pagdildilan Farm to Market Road, San Juan, La Union 1.	The Provincial Government of La Union, through the RA7171 intends to apply the sum of ₱2,924,897.55 being the Approved Budget for the Contract (ABC) to payments </t>
  </si>
  <si>
    <t xml:space="preserve"> ALBAY 3RD DISTRICT ENGINEERING OFFICE																										 Paulog, Ligao City																										 																										 																										 INVITATION TO BID																										 																										 The DPWH - Albay 3rd </t>
  </si>
  <si>
    <t xml:space="preserve"> REPUBLIC OF THE PHILIPPINES National Office, Diliman, Quezon City             June 19, 2020 INVITATION TO BID PUBLIC BIDDING NO.  2020-31 (GOODS)   1.	The   Bureau   of   Internal     Revenue – National Office (BIR-NO), through the General Appropriations </t>
  </si>
  <si>
    <t xml:space="preserve"> INVITATION TO BID CONTRACT ID: 20-06-088 Contract Name: PROCUREMENT OF VARIOUS DRUGS AND MEDICINES Approved Budget for the Contract (ABC) : Php 578,003.00 Cost of Bidding Document: 500.00 1. The DOH-Zamboanga Peninsula - Center for Health Development , th</t>
  </si>
  <si>
    <t xml:space="preserve"> The Municipality of Limay, through its Bids and Awards Committee (BAC) invites registered contractors to apply for eligibility and if found eligible, to bid for the hereunder project/contract: Project/Contract:     REHABILITATION OF FENCE (NORTH SIDE) AT </t>
  </si>
  <si>
    <t xml:space="preserve"> Contract Ref. No.:	20200619-02-G Name of Contract:	Procurement of Drugs and Medicines to be used by City Health Office Location:	LGU-MABALACAT CITY Republic of the PHILIPPINES Province of PAMPANGA Municipality of MABALACAT INVITATION TO APPLY FOR ELIGIBIL</t>
  </si>
  <si>
    <t xml:space="preserve"> Province of Bohol Municipality of San Miguel INVITATION TO BID FOR  SUPPLY AND DELIVERY OF DAY CARE PRE-SCHOOLER SUPPLIES  1.	The Local Government Unit of San Miguel, Bohol, through the 7999-46 and 1% Protection for Children intends to apply the sum of Th</t>
  </si>
  <si>
    <t xml:space="preserve"> INVITATION TO BID  FOR THE Repair and Maintenance of Various Heavy Equipment I.B. No. 2020 - 0025 1.	The LGU - Cabanatuan City, through the General Fund, FY 2020 intends to apply the sum of Five Million Four Hundred Sixty-Four Thousand One Hundred Ninety-</t>
  </si>
  <si>
    <t xml:space="preserve"> Barangay Cabid-an, East District		Project Reference Number: 2020-005 Sorsogon City			Name of the Project: CONSTRUCTION OF OPEN LINE CANAL Location of the Project		:	 Phase I Seabreeze Homes, BrgyCabid-an, East District, Sor. City 					Source of Funds:20%B</t>
  </si>
  <si>
    <t xml:space="preserve"> meter tape, 10 meter etc.</t>
  </si>
  <si>
    <t xml:space="preserve"> Please download Bidding Documents IB 2020 – 057 Procurement of 3,061 kits Hygiene Kit Bidding Document fee: 5,000.00 The pre - bid conference is open to interested bidders. You may be qualified to submit your bidding documents during the public bidding da</t>
  </si>
  <si>
    <t xml:space="preserve"> The Municipality of Malangas, through the Bids and Award Committee (BAC), invites suppliers/manufactures/distributors/contractors to bid for the hereunder contract: Name of Project : PROCUREMENT OF ONE (1) UNIT BRAND NEW AMBULANCE (RE-BID) SPECIFICATIONS </t>
  </si>
  <si>
    <t xml:space="preserve"> Invitation to Bid for the Construction of Brgy. S.M.H. Multi-Purpose Hall 1.	The Local Government Unit of Laoang, through the General Fund component of the SB approved Municipal Budget   intends to apply the sum of One Million Five Hundred Forty Three Tho</t>
  </si>
  <si>
    <t xml:space="preserve"> Procurement and Delivery of ICT and Office Equipment and Furniture and Fixture to Various Offices Lot 1 - Procurement of ICT Equipment for Budget Office (Laptop and Printer) Lot 2 - Procurement of Laptop Computer, A3 Printer, Filing Cabinet, Office Mobile</t>
  </si>
  <si>
    <t xml:space="preserve"> Republic of the Philippines Department of Health ZAMBOANGA PENINSULA-CENTER FOR HEALTH DEVELOPMENT  Upper Calarian, Zamboanga City 7000 Phone: (062) 983-0314, (062) 983-0146, Fax: (062) 991-3380 Email: dohchdzp@yahoo.com, Web: www.doh.gov.ph INVITATION TO</t>
  </si>
  <si>
    <t xml:space="preserve"> Submission of Quotation on a sealed envelope submit it to  UPLB BAC Secretariat SPMO Rambutan, Road. Telephone No. (049) 544-0382  or Email at bacsec.rq@gmail.com</t>
  </si>
  <si>
    <t xml:space="preserve"> The Municipal Government of Marilao hereby invites suppliers and distributors to apply for eligibility and to bid in accordance with IRR of R.A. 9970 for the HAULING, TRANSFER AND DISPOSAL OF SOLID WASTE in the amount of Php 15,200,000.00</t>
  </si>
  <si>
    <t xml:space="preserve"> MINI DUMP TRUCK Engine Type:   4-cylinder,In-line, 4-stroke,water cooled,direct injection,intercooler turbo,VE Pump                          Engine Displacement:     2.771cc;  Rated Power(kW/rpm:    76KW/3600RPM Horse Power:                   103PS:  ; Ma</t>
  </si>
  <si>
    <t xml:space="preserve"> Republic of the Philippines Department of Environment and Natural Resources ENVIRONMENTAL MANAGEMENT BUREAU Region VI, Iloilo City INVITATION TO BID FOR THE SUPPLY AND DELIVERY OF ICT SUPPLIES AND OTHER PERIPHERALS OF EMB REGION VI CY 2020 (RE-BID) ITB No</t>
  </si>
  <si>
    <t xml:space="preserve"> Republic of the Philippines Province of Agusan del Norte Municipality of Carmen Tel # 343-3801 OFFICE OF THE BIDS AND AWARDS COMMITTEE INVITATION TO BID The Local Government of Carmen, through its Bids and Awards Committee (BAC) invites Suppliers/Manufact</t>
  </si>
  <si>
    <t xml:space="preserve"> INVITATION TO BID FOR The Department of Public Works and Highways Camarines Sur 5TH, District Engineering Office through its Bids and Awards Committee (BAC) for Goods, invites suppliers to submit bids for the following Contract: Contract ID No. 20GFN0005 </t>
  </si>
  <si>
    <t xml:space="preserve"> INVITATION TO BID FOR The Department of Public Works and Highways Camarines Sur 5TH, District Engineering Office through its Bids and Awards Committee (BAC) for Goods, invites suppliers to submit bids for the following Contract: Contract ID No. 20GFN0008 </t>
  </si>
  <si>
    <t xml:space="preserve"> 3.	a)  Contract ID:	20OF0319 b)  Contract Name:	Construction of four (4) storey twelve (12) classroom School Building at Placido Del Mundo E/S, Q.C. c)  Contract Location:	Quezon City d)  Scope of Work:	Construction of Building e)  Approved Budget for the</t>
  </si>
  <si>
    <t xml:space="preserve"> SUPPLY AND DELIVERY OF WALL FANS FOR ALL PUBLIC ELEMENTARY AND SECONDARY SCHOOLS IN MAKATI CITY -ORDER OF PAYMENT FOR BID DOCS WILL BE AVAILABLE AT GSD-HEAD OFFICE @ 10TH FLOOR MAKATI CITY HALL BLDG. 2. LOOK FOR MR. REDEN VILLANUEVA. A COMPLETE SET OF BID</t>
  </si>
  <si>
    <t xml:space="preserve"> BUTUAN CITY WATER DISTRICT Gov. Jose A. Rosales Ave., Butuan City INVITATION TO BID  For Package 03 -2020: Vehicle Rental Services of Eighteen (18) Units Vehicle with Tracker (Global Positioning System) for the Year 2020 The BUTUAN CITY WATER DISTRICT thr</t>
  </si>
  <si>
    <t xml:space="preserve"> Republic of the Philippines Province of Camarines Norte Municipality of Mercedes BIDS AND AWARDS COMMITTEE Municipal Engineer’s Office, LGU - Mercedes, Camarines Norte INVITATION TO BID FOR PURCHASE OF ONE (1) UNIT BRAND NEW HIGH LEVEL MODEL AMBULANCE WIT</t>
  </si>
  <si>
    <t xml:space="preserve"> SUPPLY AND DELIVERY OF CUSTOMIZED WASHABLE/REUSABLE CLOTH FACE MASKS WITH POUCH FOR DISTRIBUTION TO ALL PUBLIC ELEMENTARY AND SECONDARY STUDENTS IN MAKATI CITY -ORDER OF PAYMENT FOR BID DOCS WILL BE AVAILABLE AT GSD-HEAD OFFICE @ 10TH FLOOR MAKATI CITY HA</t>
  </si>
  <si>
    <t xml:space="preserve"> INVITATION FOR NEGOTIATIONS  1.	The Technological University of the Philippines Visayas through Fund 164 FY2015 internally generated income per BOR Resolution No. 20, s. 2019 intends to apply the sum of One Million Two Hundred Thousand Pesos Only (Php1,20</t>
  </si>
  <si>
    <t xml:space="preserve"> INVITATION TO BID for Reproduction of Modules for SY 2020-2021 1.	The Pedro Pitogo Elementary School of Cadiz City, through the Schools MOOE Fund CY 2020  intends to apply the sum of Thirteen Thousand Six Hundred Fifty Pesos (Php. 13, 650) being the Appro</t>
  </si>
  <si>
    <t xml:space="preserve"> Republic of the Philippines  Province of Samar Municipality of Jiabong Invitation to Bid  Emergency Purchase in Response to Covid19 mayor’s Office Jiab-2020-38A The Municipal Government of Jiabong, Samar, through LGU OF JIABONG   intends to apply the sum </t>
  </si>
  <si>
    <t xml:space="preserve"> SUPPLY AND DELIVERY OF CUSTOMIZED ON-THE-GO (OTG) FLASHDRIVES FOR DISTRIBUTION TO ALL PUBLIC ELEMENTARY AND SECONDARY STUDENTS, TEACHERS AND TEACHING RELATED PERSONNEL IN MAKATI CITY -ORDER OF PAYMENT FOR BID DOCS WILL BE AVAILABLE AT GSD-HEAD OFFICE @ 10</t>
  </si>
  <si>
    <t xml:space="preserve"> 1.	a)  Contract ID:	20OF0317 b)  Contract Name:	Construction of four (4) storey sixteen (16) classroom School Building at Rosa L. Susano E/S, Q.C. c)  Contract Location:	Quezon City d)  Scope of Work:	Construction of Building e)  Approved Budget for the C</t>
  </si>
  <si>
    <t xml:space="preserve"> (Section I) Republic of the Philippines Department of Health CENTER FOR HEALTH DEVELOPMENT MIMAROPA Q.M.M.C. Compound, Project 4, Quezon City INVITATION TO BID  PUBLIC BIDDING FOR THE SUPPLY AND DELIVERY OF FAMILY PLANNING COMMODITIES  (LINE ITEMS)  The D</t>
  </si>
  <si>
    <t xml:space="preserve"> BIDS AND AWARDS COMMITTEE INVITATION TO BID  	The City Government of Valenzuela, through its Bids and Award Committee (BAC), invites contractors registered with the Philippine Contractors Accreditation Board (PCAB) to apply for eligibility and to bid for </t>
  </si>
  <si>
    <t xml:space="preserve"> INVITATION FOR NEGOTIATIONS  1.	The Technological University of the Philippines Visayas, through Fund 164 FY2015 internally generated income per BOR Resolution No. 20, s. 2019 intends to apply the sum of One Million Eight Hundred Thousand Pesos Only (Php1</t>
  </si>
  <si>
    <t xml:space="preserve"> Republic of the Philippines DEPARTMENT OF PUBLIC WORKS AND HIGHWAYS CAMARINES SUR 2ND DISTRICT ENGINEERING OFFICE Regional Office V Baras, Canaman, Camarines Sur INVITATION TO BID FOR  20FE0126 – CONSTRUCTION OF CLASSROOMS, MALITBOG ES, MINALABAC, CAMARIN</t>
  </si>
  <si>
    <t xml:space="preserve"> Article/Description            Qty       Unit                 TILES 60X60                  120        PCS.                      ADHESIVE                      10        SACKS               GROUTH                          5          KLS.                    </t>
  </si>
  <si>
    <t xml:space="preserve"> 7.	a)  Contract ID:	20OF0323 b)  Contract Name:	Construction of Multi-Purpose Building and Integrated Learning Facilities at Brgy. Santa Monica, Q.C. c)  Contract Location:	Quezon City d)  Scope of Work:	Construction of Building e)  Approved Budget for th</t>
  </si>
  <si>
    <t xml:space="preserve"> Article/Description             Qty       Unit                          CEMENT                              858       BAGS                    GRAVEL                                96        CU.M.             SAND                                   48      </t>
  </si>
  <si>
    <t xml:space="preserve"> Republic of the Philippines DEPARTMENT OF PUBLIC WORKS AND HIGHWAYS CAMARINES SUR 2ND DISTRICT ENGINEERING OFFICE Regional Office V Baras, Canaman, Camarines Sur INVITATION TO BID FOR  20FE0125 – CONSTRUCTION OF CLASSROOMS, TINANQUIHAN PS, LIBMANAN, CAMAR</t>
  </si>
  <si>
    <t xml:space="preserve"> 1 unit Multicab FEATURES: 4WD 12 VALVE, 660CC 3 CYLINDER MANUAL POWER STEERING SPECIFICATION: RECONDITION UNIT ENGINE RECONDITION URETHANE PAINT GENERAL UPHOLSTERY BRANDE NEW TIRE BRAND NEW MAGS BRAND NEW BATTERY AIR-CONDITION USB TYPE STEREO ROOF RAIL, T</t>
  </si>
  <si>
    <t xml:space="preserve"> INVITATION TO BID  Purchase &amp; Delivery of One (1) Unit Ambulance  for DCMMH June 23, 2020 1.	The Provincial Government of Sarangani, through the Trust Fund – Philhealth Collection  intends to apply the sum of Four Million Five Hundred Thousand Pesos Only </t>
  </si>
  <si>
    <t xml:space="preserve"> ISO VG68</t>
  </si>
  <si>
    <t xml:space="preserve"> &gt; The Municipality of San Quintin Abra now invites bids for the PURCHASE OF FARM INPUTS AND EQUIPMENTS with the following items: 1. WATER PUMP DIESEL 80PH (WITH VASE AND PUMP) - 56 UNITS 2. FARM HOSE 2" - 70 ROLLS 3. HAND TRACTOR (KULIGLIG) 12PH WITH COMP</t>
  </si>
  <si>
    <t xml:space="preserve"> INVITATION TO BID FOR THE SUPPLY, DELIVERY AND COMMISSIONING OF ENDOSCOPIC VIDEO INFORMATION SYSTEM WITH BUILT-IN NARROW BAND IMAGING SYSTEM 1.  The Cagayan Valley Medical Center (CVMC), intends to apply the sum Thirteen Million Pesos (Php   13,000,000.00</t>
  </si>
  <si>
    <t xml:space="preserve"> 2.	a)  Contract ID:	20OF0318 b)  Contract Name:	Construction of four (4) storey twelve (12) classroom School Building at Lucas R. Pascual E/S, Q.C. c)  Contract Location:	Quezon City d)  Scope of Work:	Construction of Building e)  Approved Budget for the </t>
  </si>
  <si>
    <t xml:space="preserve"> SUPPLY AND DELIVERY OF CONSTRUCTION MATERIALS FOR THE CONSTRUCTION OF VIEW DECK PHASE II CHARGE TO 20% EDF 2020</t>
  </si>
  <si>
    <t xml:space="preserve"> INVITATION TO BID CONSTRUCTION OF HAZARDOUS WASTE SEPTIC VAULT AT MUNICIPAL DUMPSITE, DAMILAG, BARANGAY PISAAN, SFADS The Municipal Government of San Francisco, Agusan del Sur, through the BIDS and AWARDS COMMITTEE (BAC) intends to apply the sum of FOUR H</t>
  </si>
  <si>
    <t xml:space="preserve"> SUPPLY AND DELIVERY OF CONSTRUCTION MATERIALS FOR THE REPAIR OF RADIO STATION BUILDING CHARGE TO NON OFFICE</t>
  </si>
  <si>
    <t xml:space="preserve"> Republic of the Philippines Department of Public Works and Highways OFFICE OF THE DISTRICT ENGINEER 		Camarines Sur 4th  District Engineering Office (Formerly: Camarines Sur 3rd DEO) REGION V Caraycayon, Tigaon, Camarines Sur Tel #(054) 881-0107 INVITATIO</t>
  </si>
  <si>
    <t xml:space="preserve"> WAREHOUSE HANDLING (AND ALLIED) SERVICES FOR NFA-NCR AND BATANES WAREHOUSES</t>
  </si>
  <si>
    <t xml:space="preserve"> Department of Public Works and Highways (DPWH) Contract ID: 20G00099 Contract Name: Repair/Maintenance of DPWH Buildings, Regional Office Location of the Contract: Fort San Pedro, Iloilo City ---------------------------------------------------------------</t>
  </si>
  <si>
    <t xml:space="preserve"> 6.	a)  Contract ID:	20OF0322 b)  Contract Name:	Construction of Multi-Purpose Building (Novaliches Convention and Sports Center), Phase I, Brgy. Fairview, Q.C. c)  Contract Location:	Quezon City d)  Scope of Work:	Construction of Building e)  Approved Bud</t>
  </si>
  <si>
    <t xml:space="preserve"> 5.	a)  Contract ID:	20OF0321 b)  Contract Name:	Construction/Rehabilitation of Multi-Purpose Building, Vargas Compound, Brgy. Culiat, Q.C. c)  Contract Location:	Quezon City d)  Scope of Work:	Construction/Rehabilitation of Building e)  Approved Budget fo</t>
  </si>
  <si>
    <t xml:space="preserve"> Revised on: July 28, 2004                                            INVITATION TO APPLY FOR ELIGIBILITY AND TO BID                        The Local Government Unit of Catanauan, Quezon, through its Bids and Awards Committee (BAC), invites suppliers/manuf</t>
  </si>
  <si>
    <t xml:space="preserve"> PRINTING/REPRODUCTION OF SELF-DIRECTED LEARNER'S MODULES FOR ALL PUBLIC ELEMENTARY AND SECONDARY SCHOOLS IN MAKATI CITY -ORDER OF PAYMENT FOR BID DOCS WILL BE AVAILABLE AT GSD-HEAD OFFICE @ 10TH FLOOR MAKATI CITY HALL BLDG. 2. LOOK FOR MR. REDEN VILLANUEV</t>
  </si>
  <si>
    <t xml:space="preserve"> 4.	a)  Contract ID:	20OF0320 b)  Contract Name:	Construction of Retaining Wall at Kaligayahan E/S, Q.C. c)  Contract Location:	Quezon City d)  Scope of Work:	Construction of Retaining Wall e)  Approved Budget for the Contract (ABC):  P 13,860,333.50 f)  C</t>
  </si>
  <si>
    <t xml:space="preserve"> Republic of the Philippines  Province of Nueva Ecija City Government of Palayan INVITATION TO BID FOR THE CONSTRUCTION MATERIALS FOR 7-UNITS HOUSING PROJECT  1.	The City Government of Palayan, through the Trust Fund for the year 2020 intends to apply the </t>
  </si>
  <si>
    <t xml:space="preserve"> INVITATION TO BID FOR The Department of Public Works and Highways Camarines Sur 5TH, District Engineering Office through its Bids and Awards Committee (BAC) for Goods, invites suppliers to submit bids for the following Contract: Contract ID No. 20GFN0007 </t>
  </si>
  <si>
    <t xml:space="preserve"> ITEM                       QTY                                  UNIT                                         ITEM DESCRIPTION 1                       27,188.77                             LITERS                                           DIESEL 2          </t>
  </si>
  <si>
    <t xml:space="preserve"> REPUBLIC OF THE PHILIPPINES 		                PROVINCE OF PALAWAN MUNICIPALITY OF LINAPACAN June 5, 2020 											  Date                                                                                                                                     </t>
  </si>
  <si>
    <t xml:space="preserve"> The Local Government Unit of Enrile through the 20% Development Fund 2020 intends to apply the sum TWO Million Five Hundred Thousand pesos (Php 2,500,000.00) being the Approved Budget for the Contract (ABC) to payments under the contract for the Improveme</t>
  </si>
  <si>
    <t xml:space="preserve"> INVITATION TO BID FOR The Department of Public Works and Highways Camarines Sur 5TH, District Engineering Office through its Bids and Awards Committee (BAC) for Goods, invites suppliers to submit bids for the following Contract: Contract ID No. 20GFN0006 </t>
  </si>
  <si>
    <t xml:space="preserve"> INVITATION TO BID for Procurement of Printer for 2020 1.	The Pedro Pitogo Elementary School of Cadiz City, through the Schools MOOE Fund CY 2020  intends to apply the sum of Seventeen Thousand Pesos (Php. 17,000.00) being the Approved Budget for the Contr</t>
  </si>
  <si>
    <t xml:space="preserve"> Department of Public Works and Highways (DPWH) Contract ID: 20G00101 Contract Name: Construction of Revetment Wall along Cangaranan River at Cangaranan Bridge (Abutment A), Bugasong, Antique Location of the Contract: Bugasong, Antique --------------------</t>
  </si>
  <si>
    <t xml:space="preserve"> LABOR ONLY</t>
  </si>
  <si>
    <t xml:space="preserve"> Republic of the Philippines  City of Canlaon Office of the Bids and Awards Committee  INVITATION TO BID FOR the Improvement of Multi-purpose Building The Local Government of Canlaon City, through AIP 2020. Intends to apply the sum Six Hundred Forty Three </t>
  </si>
  <si>
    <t xml:space="preserve"> Republic of the Philippines  City of Canlaon Office of the Bids and Awards Committee  INVITATION TO BID FOR the Improvement/Rehabilitation of Administrative Building The Local Government of Canlaon City, through AIP 2020. Intends to apply the sum Eight Hu</t>
  </si>
  <si>
    <t xml:space="preserve"> Republic of the Philippines  City of Canlaon Office of the Bids and Awards Committee  INVITATION TO BID FOR the Concreting of Pathway The Local Government of Canlaon City, through AIP 2020. Intends to apply the sum One Hundred Ninety Four Thousand Two Hun</t>
  </si>
  <si>
    <t xml:space="preserve"> PROCUREMENT OF MUNICIPAL CAB AND CHASIS EURO 4 VEHICLE WITH THE FOLLOWING SPECIFICATIONS 	 TYPE OF BODY	              COMMERCIAL VEHICLE ENGINE	                      Type (4N14)2.2L in-line 4                                        Turbocharged and Interco</t>
  </si>
  <si>
    <t xml:space="preserve"> DESKTOP COMPUTER Intel Core i7 7700 Kabylake 7th Gen CPU 8GB RAM 1TB SATA HDD 16x DVDWriter SATA ODD 2GB Dedicated Graphics Card Acer LED Monitor 21.5" Full HD USB Optical Mouse with Pad Standard Keyboard Internal Speaker Preinstalled with Windows 10 Prof</t>
  </si>
  <si>
    <t xml:space="preserve"> REPUBLIC OF THE PHILIPPINES 		                PROVINCE OF PALAWAN MUNICIPALITY OF LINAPACAN 	June 5, 2020 Invitation to Bid (ITB No. 30-20) 1.	The Municipal Government of Linapacan, Palawan through the Municipal Development Fund 2020 (20%) intends to appl</t>
  </si>
  <si>
    <t xml:space="preserve"> Department of Public Works and Highways (DPWH) Contract ID: 20G00100 Contract Name: Construction of Concrete Road – Barangay Comon – San Pedro Coastal Road leading to San Jose Port and Beaches, Resorts and Sunset Viewing, San Jose, Antique Location of the</t>
  </si>
  <si>
    <t xml:space="preserve"> Completion of Concrete Bridge</t>
  </si>
  <si>
    <t xml:space="preserve"> ARMED FORCES OF THE PHILIPPINES PHILIPPINE AIR FORCE OFFICE OF THE PAF BIDS AND AWARDS COMMITTEE Colonel Jesus Villamor Air Base, Pasay City Invitation to Bid The Armed Forces of the Philippines, through the PAF Bids and Awards Committee (PAFBAC), invites</t>
  </si>
  <si>
    <t xml:space="preserve"> The Philippine Nuclear Research Institute (PNRI), through the Bids and Awards Committee (BAC), invites interested bidders to bid for hereunder project: Name of Project:  Procurement of Desktop and Laptop Computers with Accessories - (Rebid) Location of th</t>
  </si>
  <si>
    <t xml:space="preserve"> 6	mos	Emergency Quick Response (Ambulance Rescue) 		 Period of Coverage: July 01 to December 31, 2020 		 		Coverage: 	1	24/7 Medical Advisory thru given Hotline 	2	Ambulance service within Barangay premises during an emergency 		 to be brought to any of t</t>
  </si>
  <si>
    <t xml:space="preserve"> Riprapping of Arman Creek at Purok Pikaw with an ABC of Php210,000.00 to be implemented at Brgy. Yabbi, this municipality. Please note that the project is for BLGU-Yabbi. Posting however is made by the LGU because the new administration of BLGU-Yabbi forg</t>
  </si>
  <si>
    <t xml:space="preserve"> The Local Government Unit of Quinapondan, Eastern Samar through the Department of Agriculture under the Bottoms Up Budgeting (BUB) Program  CY 2015 funds, has received an amount toward the cost of the Construction of Organic Fertilizer Production Center i</t>
  </si>
  <si>
    <t xml:space="preserve"> The Philippine Nuclear Research Institute (PNRI), through the Bids and Awards Committee (BAC), invites interested bidders to bid for hereunder project: Name of Project: Procurement of One (1) Unit Thimble-Type Ionization Chamber with Electrometer and Wate</t>
  </si>
  <si>
    <t xml:space="preserve"> INVITATION TO BID SUPPLY &amp; DELIVERY OF HEAVY DUTY SHREDDER WITH TRAILER Reference No.: GDS-20-056 The MUNICIPAL GOVERNMENT OF DARAGA, through the Municipal Annual Budget, intends to apply the sum of One Million Two Hundred Thousand Pesos  (P1,200,000.00) </t>
  </si>
  <si>
    <t xml:space="preserve"> UNIVERSITY OF THE PHILIPPINES MANILA The Health Sciences Center 8/F PGH Central Block Bldg,  Taft Avenue, Manila INVITATION TO BID PROPOSED SERVICE ENTRANCE COLLEGE OF MEDICINE UNIVERSITY OF THE PHILIPPINES MANILA 1.	The University of the Philippines Mani</t>
  </si>
  <si>
    <t xml:space="preserve"> 100 Bag Cement 303.28 Mtr. Metal Beam Guardrails (355mm) 152 Pcs Bolt, Nut &amp; Washer 5/8 '' dia. x 9'' 607 pcs. Bolt, Nut &amp; Washer 5/8 '' dia. x 1'' 142 Each Metal Guardrail End Piece 53 Pcs Galvanized Iron Pipes 152 mm dia 55 kg. Reinforcing Steel Bars, G</t>
  </si>
  <si>
    <t xml:space="preserve"> INVITATION TO BID The Department of Public Works and Highways, Iloilo 2nd District Engineering Office through its Bids and Awards Committee (BAC), invites contractors to submit bids for the following Contracts: Procurement ID/Contract ID No.:   20GG0177 C</t>
  </si>
  <si>
    <t xml:space="preserve"> Republic of the Philippines Province of Oriental Mindoro MUNICIPALITY OF NAUJAN BIDS &amp; AWARDS COMMITTEE INVITATION TO BID CONCRETING OF ROADS IN DIFFERENT BARANGAYS, NAUJAN, ORIENTAL MINDORO 1.	The Municipal Government of Naujan – Bids and Awards Committe</t>
  </si>
  <si>
    <t xml:space="preserve"> pipes and fittings, valves installation service connection and restoration and removal of concrete</t>
  </si>
  <si>
    <t xml:space="preserve"> ITEM NO.	UNIT		QTY		DESCRIPTION		 							 1	 meter 		100		Rescue rope, prusik cords (7mm x 100mm)		 					Polymide provided w/ the thermocore technology		 2	 pcs 		5		 Rescue 8 with horn, steel 		 					 Large sized figure eight descender,hot forced alloy 	</t>
  </si>
  <si>
    <t xml:space="preserve"> ITEM NO.	UNIT		QTY		DESCRIPTION		 							 1	 sq.m. 		 476.00 		Layout ans Staking		 2	 cu.m 		 240.60 		 Earth Works 		 3	 lot  		 1.00 		 Form Works and Scaffoldings 		 4	 kgs. 		 21,210.74 		 Reinforcing Steel 		 5	 cu.m 		 282.14 		 Reinforcing Concret</t>
  </si>
  <si>
    <t xml:space="preserve"> Department of Public Works and Highways Contract ID	:	20MH0108 Contract Name	:	Repair/Maintenance of River Bank Protection at Magon Bridge along Sen. Ninoy Aquino-Lebak-Kalamansig Road, K1881 + 940 Contract Location	:	Kalamansig, Sultan Kudarat Department</t>
  </si>
  <si>
    <t xml:space="preserve"> Department of Public Works and Highways Contract ID	:	20MH0107 Contract Name	:	Construction of Two(2)-Storey, Six(6)-Classrooms School Building at                    Sen. Ninoy Aquino National High School, Sen. Ninoy Aquino, Sultan Kudarat Contract Locati</t>
  </si>
  <si>
    <t xml:space="preserve"> Local Government Unit of Cordon, Isabela Invitation to Bid for Construction of Multi-Purpose Hall located  at LGU-Cordon, Isabela. 1.	The Local Government Unit, through the 20%EDF 2020 intends to apply the sum of Nine Million Three Hundred Ninety Nine Tho</t>
  </si>
  <si>
    <t xml:space="preserve"> Department of Public Works and Highways Contract ID	:	20MH0104 Contract Name	:	Construction of Two(2)-Storey, Six(6)-Classrooms School Building at Bagumbayan Central Elementary School, Bagumbayan, Sultan Kudarat Contract Location	:	Bagumbayan, Sultan Kuda</t>
  </si>
  <si>
    <t xml:space="preserve"> NOTICE TO THE PUBLIC  REQUEST FOR QUOTATION AMP SVP-D NO: 20-05-0290B	             	 The University of the Philippines, Diliman (UPD) hereby informs the public that it will be procuring the following item/s through Small Value Procurement:   Qty/Unit	Item</t>
  </si>
  <si>
    <t xml:space="preserve"> 1.	The LGU-Mallig, Isabela, through the Tobacco Excise Tax 2016 intends to apply the sum of Six Hundred Twenty-Five Thousand Five Hundred Forty-Eight Pesos &amp; 12/100 Only (Php 625,548.12) being the Approved Budget for the Contract (ABC) to payments under t</t>
  </si>
  <si>
    <t xml:space="preserve"> 1.	The LGU-Mallig, Isabela, through the Tobacco Excise Tax 2016 intends to apply the sum of Six Hundred Thousand Nine Hundred Four Pesos &amp; 93/100 Only                        (Php 600,904.93) being the Approved Budget for the Contract (ABC) to payments und</t>
  </si>
  <si>
    <t xml:space="preserve"> 2020 15TH PUBLIC BIDDING FOR PROCUREMENT OF MEDICAL EQUIPMENT</t>
  </si>
  <si>
    <t xml:space="preserve"> PROCUREMENT AND DELIVERY OF FEEDS FOR SAAD  PROGRAM CY 2020 LOT 1 Grower Crumble  @ 50 kg/bag Specifications: Crude Protein:  not less than 15.50% Crude Fat:  not less than 3% Crude Fiber:  not more than 6% Moisture:  Not more than 12% Calcium:  0.90 – 1.</t>
  </si>
  <si>
    <t xml:space="preserve"> Department of Public Works and Highways Contract ID	:	20MH0105 Contract Name	:	Construction of Two(2)-Storey, Six(6)-Classrooms School Building at Bagumbayan National High School, Bagumbayan, Sultan Kudarat Contract Location	:	Bagumbayan, Sultan Kudarat D</t>
  </si>
  <si>
    <t xml:space="preserve"> DESCRIPTION SUPPLY AND DELIVERY OF VERMICAST UNDER OAP  -	50kg per bag -	Total NPK : at least 2.5% -	Organic Matter: ≥20% -	Moisture Content: 30-35% -	Color: Brown to black -	Odor: No foul odor -	Supplier must have an existing Vermicast production facilit</t>
  </si>
  <si>
    <t xml:space="preserve"> 1.	The LGU-Mallig, Isabela, through the Tobacco Excise Tax 2016 intends to apply the sum of Nine Million Nine Hundred Forty-Nine Thousand Five Hundred Thirty-Four Pesos &amp; 06/100 Only (Php 9,949,534.06) being the Approved Budget for the Contract (ABC) to p</t>
  </si>
  <si>
    <t xml:space="preserve"> REBIDDING OF LOT 1: SUPPLY AND DELIVERY OF VARIOUS MEDICAL AND SURGICAL SUPPLIES (IB NO. 2020-GOODS-004R-02-0619) 1.	The ILOCOS TRAINING AND REGIONAL MEDICAL CENTER (ITRMC), through the Trust Fund- Income Collection, intends to apply the sum of SIX MILLIO</t>
  </si>
  <si>
    <t xml:space="preserve"> The Local Government Unit-Municipality of Malinao, Aklan through the 20% Development Fund, intends to apply the sum of One Million  Ninety Nine Thousand Three Hundred Sixty Four Pesos and 29/100 (Php1,099,364.29) as the Approved Budget for the Contract (A</t>
  </si>
  <si>
    <t xml:space="preserve"> Republic of the Philippines 		MUNICIPALITY OF LEYTE LEYTE -oOo- INVITATION TO BID FOR THE CONSTRUCTION OF FARM-TO-MARKET ROAD (STA.1+505-STA.1+575) (So. Lawad, Brgy. Poblacion, Leyte, Leyte) P.R No: LL-21-20 The Municipality of Leyte, through its Bids and</t>
  </si>
  <si>
    <t xml:space="preserve"> The Local Government Unit-Municipality of Malinao, Aklan through the 20% Development Fund, intends to apply the sum of Four Hundred Ninety Nine Thousand Nine Hundred Seventy Seven Pesos and 40/100 (Php499,977.40) as the Approved Budget for the Contract (A</t>
  </si>
  <si>
    <t xml:space="preserve"> 1-Unit Municipal Motor Pool Facility with Equipment, Concrete Perimeter Fence, Comfort Room, Smooth Finished Column, with Garage, with Lightnings, Water Facility and Convenient Outlet, with Chief Mechanic's Quarter and Provision of Basic Amenities with Ha</t>
  </si>
  <si>
    <t xml:space="preserve"> Proposed Construction of Malimono District Hospital Admin Building, Surigao del Norte</t>
  </si>
  <si>
    <t xml:space="preserve"> Republic of the Philippines 		MUNICIPALITY OF LEYTE LEYTE -oOo- INVITATION TO BID FOR THE CONSTRUCTION OF FARM-TO-MARKET ROAD (STA.1+575-STA.1+645) (So. Lawad, Brgy. Poblacion, Leyte, Leyte) P.R No: LL-22-20 The Municipality of Leyte, through its Bids and</t>
  </si>
  <si>
    <t xml:space="preserve"> Proposed Upgrading of  Bunawan District Hospital (Construction of Additional Ward Building), Bunawan District Hospital, Agusan del Sur</t>
  </si>
  <si>
    <t xml:space="preserve"> Proposed Construction of Cadaver Holding, Lianga District Hospital, Surigao del Sur</t>
  </si>
  <si>
    <t xml:space="preserve"> Proposed Upgrading of Nasipit District Hospital (Construction of Laundry Building and Repair Renovation of BEMONC Building)</t>
  </si>
  <si>
    <t xml:space="preserve"> Department of Public Works and Highways Contract ID	:	20MH0106 Contract Name	:	Construction of Two(2)-Storey, Six(6)-Classrooms School Building at Esperanza National High School, Esperanza, Sultan Kudarat Contract Location	:	Esperanza, Sultan Kudarat Depa</t>
  </si>
  <si>
    <t xml:space="preserve"> Contract ID                :    20CSEG01 Contract Name           :    Geotechnical Investigation for the Proposed  FY 2021                                      Infrastructure Program-Bridges Location of Contract    :    Replacement of Weak Bridge – Tanaba</t>
  </si>
  <si>
    <t xml:space="preserve"> Republic of the Philippines  Province of Aklan  MUNICIPALITY OF NABAS OFFICE OF THE BIDS AND AWARDS COMMITTEE INVITATION TO BID FOR THE PROCUREMENT OF MEDICINES/SUPPLEMENTS 1. The Municipality of Nabas, Aklan through its local budget approved by the Sangg</t>
  </si>
  <si>
    <t xml:space="preserve"> IB 2020-007-008 POSE Procurement of Office Supplies &amp; Equipment, Furnitures &amp; Fixtures 2020-08</t>
  </si>
  <si>
    <t xml:space="preserve"> Proposed Upgrading of Talacogon District Hospital (Construction of Isolation Building), Talacogon District Hospital, Agusan del Sur</t>
  </si>
  <si>
    <t xml:space="preserve"> 1	PASSENGER VAN   Service Vehicle 	ENGINE SPECIFICATIONS 	*Model: 1GD-FTV 	*Engine Technology: 4 cylinders, In-line Type 	*Type: 16-Valve DOHC 	*Displacement:   2,755 - 3,000 cc 	*Maximum Output: 176/3,400 Ps/Rpm 	*Maximum Torque: 450/1,600~2,400 Nm/Rpm 	</t>
  </si>
  <si>
    <t xml:space="preserve"> INCIDENT COMMAND CENTER (PHASE 2)</t>
  </si>
  <si>
    <t xml:space="preserve"> INVITATION TO BID REPAIR/RENOVATION OF SELECTED OFFICES/STAFF ROOMS, LABORATORIES AND FACILITIES OF THE ENVIRONMENT AND BIOTECHNOLOGY DIVISION (EBD) 1.	The INDUSTRIAL TECHNOLOGY DEVELOPMENT INSTITUTE, through the General Appropriations Act (GAA) Capital O</t>
  </si>
  <si>
    <t xml:space="preserve"> Procurement of HIV Test Kits</t>
  </si>
  <si>
    <t xml:space="preserve"> Republic of the Philippines DEPARTMENT OF PUBLIC WORKS AND HIGHWAYS SULTAN KUDARAT 2ND DISTRICT ENGINEERING OFFICE REGION XII Lebak, Sultan Kudarat INVITATION TO BID FOR RENTAL OF SERVICE VEHICLE FOR USE IN THE CONDUCT OF ENVIRONMENTAL IMPACT ASSESSMENT (</t>
  </si>
  <si>
    <t xml:space="preserve"> Republic of the Philippines Province of Cagayan Municipality of Baggao INVITATION TO BID FOR THE PROCUREMENT OF GOODS The Barangay Catugay, Baggao, Cagayan, through the 20% Barangay Development Fund CY 2018  intends to apply the sum of One Hundred Thousan</t>
  </si>
  <si>
    <t xml:space="preserve"> BEARING FRONT &amp; REAR (XR150) CLUTCH CABLE BRAKE SHOE DOUBLE FRONT &amp; REAR ROLLER CHAIN 428H TELESCOPIC MONO SHOCK ABSORBER HORN ENGINE SPROCKET W/CHAIN 16T REAR SPROCKET 48T FRONT FORK OIL SEAL ACCELERATOR CABLE/TORTLE CABLE RIM W/SPOKE FRONT &amp; REAR CYLIND</t>
  </si>
  <si>
    <t xml:space="preserve"> Republic of the Philippines Province of Cagayan Municipality of Baggao INVITATION TO BID FOR THE PROCUREMENT OF GOODS The Barangay Catugay, Baggao, Cagayan, through the Provincial Assistance intends to apply the sum of Ninety Five Thousand Three Hundred T</t>
  </si>
  <si>
    <t xml:space="preserve"> 1.	The LGU Mallig, Isabela, through the SBO Budget 2020 intends to apply the sum of One Million Three Hundred Thousand Pesos only (PhP 1,300,000.00) being the Approved Budget for the Contract (ABC) to payments under the contract for LGU-M-GOODS-05-20 Bids</t>
  </si>
  <si>
    <t xml:space="preserve"> INVITATION TO BID IB NO. CW 2020 –  091 Concreting of Road at Sta. Maria, Mansalay, Oriental Mindoro 1.  The Provincial Government of Oriental Mindoro (PGOM) through the 20% Development Fund – SB # 2 intends to apply the sum of One Million Four Hundred Se</t>
  </si>
  <si>
    <t xml:space="preserve"> INVITATION TO BID FOR BUAGAO SIP/REMAINING WORKS SMALL IRRIGATION PROJECTS FUND/CY 2019 REFERENCE NO. INIMO-2020-06-040 1.	The National Irrigation Administration –Ilocos Norte Irrigation Management Office, through the CY 2019 General Appropriations Act (G</t>
  </si>
  <si>
    <t xml:space="preserve"> Republic of the Philippines Province of Cagayan Municipality of Baggao INVITATION TO BID FOR THE PROCUREMENT OF GOODS The Barangay Catugay, Baggao, Cagayan, through the Provincial Assistance intends to apply the sum of Seventy Eight Thousand Thirty Four P</t>
  </si>
  <si>
    <t xml:space="preserve"> 1 UNIT DRONE  (MAVIC 2 ENTERPRISE DUAL) W/THERMAL SENSOR PA SPEAKER SYSTEM SPOTLIGHT  BEACON W/ACCESSORIES &amp; ONBOARD DATA STORAGE &amp; 64GB MEMO. CARD (COMPATIBLE TO THE UNIT) 2 ADD. BATTERIES  1 BATT CHARGING HUB 1 CAR CHARGER 1 SUB CONNECTOR 1 SOFT CASE  1</t>
  </si>
  <si>
    <t xml:space="preserve"> NOTICE TO THE PUBLIC  REQUEST FOR QUOTATION AMP SVP-D NO: 20-05-0269B	             	 The University of the Philippines, Diliman (UPD) hereby informs the public that it will be procuring the following item/s through Small Value Procurement:   Qty/Unit	Item</t>
  </si>
  <si>
    <t xml:space="preserve"> INVITATION TO BID IB NO. CW 2020 –  090 Completion of Evacuation Center at M. Adriatico, Gloria, Oriental Mindoro 1.  The Provincial Government of Oriental Mindoro (PGOM) through the 5% Local Disaster Risk Reduction Management Fund FY 2018 intends to appl</t>
  </si>
  <si>
    <t xml:space="preserve"> 1. The Municipality of Nabas, Aklan through its local budget approved by the Sanggunian, intends to apply the sum of One Million One Hundred eighty Four Thousand Eighty Pesos and 50/100 only (P 1,184,080.50) being the Approved Budget for the Contract (ABC</t>
  </si>
  <si>
    <t xml:space="preserve"> COMPUTER SYSTEM: 3 UNITUPS 3 UNIT AVR HEAVY DUTY 500VA 4 UNIT CPU: 2.9GHz, 4GB DDR4 MEMO., 240GB SSD + 500GB 2 UNIT PRINTER W/ SCANNER MULTI COLOR 1 UNIT 18.2" MONITOR 1 UNIT COMPUTER SET:FULL SET, MONITOR, KEY BOARD, MOUSE, CPU: 2.9GHz, 4GB DDR SSD +500G</t>
  </si>
  <si>
    <t xml:space="preserve"> SUPPLY &amp; INSTALLATION OF CCTV CAMERAS SPECS: 1SET 32CH POE NVR 10 SETS 2MP MINI BULLET IP CAMERA 8 SETS 4MP BULLET CAMERA 2 SETS 2 MP 30X ZOOM PTZIP CAMERA 4 SETS 50" UxD LED TV 5 SETS 5.6GHz TRANSMITTER ANTENNA 2 SETS 5.6GHz BASE STATION ANTENNA 2 SETS 5</t>
  </si>
  <si>
    <t xml:space="preserve"> TRAINING TABLE BEECH WOOD(2x4 FT, FOLDING) EXE. CHAIR W/ ARMREST &amp; BACKREST, GAS TYPE STEEL FILLING CABINET(4 LAYERS) W/ CENTRALIZED LOCK WHITE BOARD W/FRAME &amp; STAND  (4x8 ft) CORK BOARD W/ FRAME WALL MOUNT (3x5ft) STEEL RACK (5 LAYERS) 2 ft x 8ft x 6ft O</t>
  </si>
  <si>
    <t xml:space="preserve"> One (1) Job Furnishing Labor, Materials and Equipment for the Rehabilitation of Multi-Purpose Hall Phase II</t>
  </si>
  <si>
    <t xml:space="preserve"> INVITATION TO BID IB NO. CW 2020 –  093 Concreting of Road at Sitio Proper West II, Nag-iba II, Naujan Oriental Mindoro 1.  The Provincial Government of Oriental Mindoro (PGOM) through the 20% Development Fund CA 2019 intends to apply the sum of One Milli</t>
  </si>
  <si>
    <t xml:space="preserve"> Republic of the Philippines Province of Cagayan Tuguegarao City Invitation to Bid for Construction of PENRO Admin Building Nassiping, Gattaran, Cagayan  1.	The Provincial Government of Cagayan, through the SB #1 CY 2019 intends to apply the sum of P 4,999</t>
  </si>
  <si>
    <t xml:space="preserve"> ANTI RABBIES DRUGS MENTAL HEALTH DRUGS ANTI TETANUS DRUGS ANTI CHOLINERGIC/ANTACID ANTIBACTERIAL/ANTIBIOTICS EXTERNAL OINTMENT/DROPS AND ETC...................</t>
  </si>
  <si>
    <t xml:space="preserve"> INVITATION TO BID IB NO. CW 2020 –  096 Concreting of Road at Roma, Mansalay, Oiental Mindoro 1.  The Provincial Government of Oriental Mindoro (PGOM) through the 20% Development – SB # 2 intends to apply the sum of One Million Four Hundred Seventy Three </t>
  </si>
  <si>
    <t xml:space="preserve"> Please quote hereunder your lowest possible price for the Courier Service. For more specifications and for the sample please see attached Request for Quotation form and sample. Original Request for Quotation form will be available for pick-up or download </t>
  </si>
  <si>
    <t xml:space="preserve"> Republic of the Philippines Province of Cagayan Tuguegarao City Invitation to Bid for 1.0 km Boardwalk (Phase 01) 96 Spans x 3.00m ( Cagayan Eco Tourism Forest Park) Nassiping, Gattaran, Cagayan  1.	The Provincial Government of Cagayan, through the SB #1 </t>
  </si>
  <si>
    <t xml:space="preserve"> Construction of Slope Protection for 2 Storey 8 Classroom</t>
  </si>
  <si>
    <t xml:space="preserve"> INVITATION TO BID IB NO. CW 2020 –  094 Concreting of Road Leading to Parola at Brgy. San Jose, Roxas, Oriental Mindoro 1.  The Provincial Government of Oriental Mindoro (PGOM) through the 20% Development Fund CA 2019 intends to apply the sum of One Milli</t>
  </si>
  <si>
    <t xml:space="preserve"> 11 UNITS PORTABLE GENERATOR: 5,500 WATTS ELEC. STARTER W/BATTERY</t>
  </si>
  <si>
    <t xml:space="preserve"> INVITATION TO BID IB NO. CW 2020 –  095 Concreting of Road at Brgy. Mabuhay, Roxas, Or. Mindoro 1.  The Provincial Government of Oriental Mindoro (PGOM) through the 20% Development – SB # 2 intends to apply the sum of One Million Nine Hundred Forty One Th</t>
  </si>
  <si>
    <t xml:space="preserve"> Republic of the Philippines Province of Cagayan Tuguegarao City Invitation to Bid for Fence Repair, Entrance Arch, Gates and Signages Cagayan Farm School and Agri – Tourism Center, Anquiray, Amulung, Cagayan  1.	The Provincial Government of Cagayan, throu</t>
  </si>
  <si>
    <t xml:space="preserve"> INVITATION TO BID IB NO. CW 2020 –  092 Concreting of Balite-Pachoca-Lalud Road, Calapan City, Oriental Mindoro 1.  The Provincial Government of Oriental Mindoro (PGOM) through the 20% Development Fund CA 2019 intends to apply the sum of Three Million Nin</t>
  </si>
  <si>
    <t xml:space="preserve"> The City Government of Naga, through the Environmental/Sanitary Services of the Solid Waste Management Office (SWMO), intends to apply the sum of TWELVE MILLION SEVEN HUNDRED TWENTY TWO THOUSAND SIX HUNDRED SEVENTY (P 12,722,670.00) PESOS, being the Appro</t>
  </si>
  <si>
    <t xml:space="preserve"> INVITATION TO BID IB NO. CW 2020 –  089 Construction of Water System at Panikian, Naujan, Oriental Mindoro 1.  The Provincial Government of Oriental Mindoro (PGOM) through the 20% Development Fund CA 2019 intends to apply the sum of One Million Four Hundr</t>
  </si>
  <si>
    <t xml:space="preserve"> Republic of the Philippines Province of Batangas CITY OF TANAUAN INVITATION TO BID Description 1)	The City Government of Tanauan, through the General Fund intends to apply the sum of Php7,809,192.00 being the Approved Budget for the Contract (ABC) to paym</t>
  </si>
  <si>
    <t xml:space="preserve"> PB NO. 2020-039		 			 1.	1	lot	Proposed construction of line canal at Brgy. San Nicolas, San Pablo City. 			By: Contract 			 	Deadline for Submission of Bids: July 9, 2020 1:00 pm</t>
  </si>
  <si>
    <t xml:space="preserve"> DESKTOP COMPUTER W/COMPLETE ACCESS. COMP. TABLE &amp; CHAIR 23.8" LED MONITOR, SMART TV, CPU iCORE i5, 3.2GHz, 8GB RAM , 1TB W/ 2 UNITS SPEAKER, 1 UNIT UPS LAPTOP W/ COMP. ACCESS. i7 8GB RAM, 1TB HDD WINDOWS 10 OR MORE PROJECTOR TOUCH SCREEN W/COMPLETE ACCESS</t>
  </si>
  <si>
    <t xml:space="preserve"> ANTHRACITE COAL SILICA SAND</t>
  </si>
  <si>
    <t xml:space="preserve"> DIESEL  GASOLINE ATF BRAKE FLUID OIL 40 OIL TREATMENT OIL 30</t>
  </si>
  <si>
    <t xml:space="preserve"> PAIL W/COVER MODULAR TENT DRY BAG WHISTLE MUG (RESCUE LOGO PRINT) NAPKIN(FEMININE PAD) BATH SOAP 60G SHAMPOO 15ML TOOTHPASTE SCAHET SPOON FORK PLASTIC BAG LARGE&amp;MEDIUM LAUNDRY SOAP POWDER &amp; TWIN PACK LAUNDRY SAOP BAR HAMMOCK DISHWASHING LIQUID 100ML SERVI</t>
  </si>
  <si>
    <t xml:space="preserve"> PB NO. 2020-038		 			 1.	1	lot	Proposed concreting of road at Patria Village, Brgy. Del Remedio, San Pablo City. 			By: Contract 			 	Deadline for Submission of Bids: July 9, 2020 10:00 am</t>
  </si>
  <si>
    <t xml:space="preserve"> Procurement of HIV Supplies</t>
  </si>
  <si>
    <t xml:space="preserve"> National Power Corporation INVITATION TO BID PUBLIC BIDDING 2020-0130 1.	The NATIONAL POWER CORPORATION (NPC), through       its        approved       Corporate Budget of CY 2020 intends to apply   the   sum   of (Please see schedule below) being the Appr</t>
  </si>
  <si>
    <t xml:space="preserve"> PLASTIC SPINE BOARD(FOR KIDS) HELMET (JUNIOR) REFLECTORIZED VEST (FOR KIDS) FIRST AID KIT/BOX W/ 3 LAYERS RACK MEGAPHONE FIRE EXTINGUISHER CAMEL BACK WATER BAG PERSONAL PROTECTIVE GEARS (TACTICAL DRESS) MINI PORTABLE GENSET AUTOMATIC FIRE ALARM SYSTEM POW</t>
  </si>
  <si>
    <t xml:space="preserve"> Republic of the Philippines Province of Cagayan Municipality of Baggao INVITATION TO BID FOR THE PROCUREMENT OF GOODS The Barangay Dalin, Baggao, Cagayan, through the 20% Brgy. Development Fund CY 2019 intends to apply the sum of One Hundred Twenty Four T</t>
  </si>
  <si>
    <t xml:space="preserve"> Local Government Unit of Cordon Invitation to Bid for CONSTRUCTION OF BOX CULVERT DRAINAGE SYSTEM (OPEN CANAL) PHASE II. 1.	The Local Government Unit of Cordon, through the 5% DRRMF 2020 intends to apply the sum of ONE MILLION EIGHT HUNDRED THOUSAND  PESO</t>
  </si>
  <si>
    <t xml:space="preserve"> Republic of the Philippines  City of Canlaon Office of the Bids and Awards Committee  INVITATION TO BID FOR the Repair of Footbridge, Proper &amp; Sitio Banban The Local Government of Canlaon City, through AIP 2020. Intends to apply the sum One Hundred Forty </t>
  </si>
  <si>
    <t xml:space="preserve"> Republic of the Philippines Province of Oriental Mindoro MUNICIPALITY OF GLORIA Invitation to Bid ITB No. 2020-004   Bulaklakan Farm to Market Road (FMR) Concreting 1.	The Municipality of Gloria, through Annual Budget 2020 under the 20% Development Fund P</t>
  </si>
  <si>
    <t xml:space="preserve"> INVITATION TO BID FOR SUPPLY AND DELIVERY OF WATER METER OF VARIOUS SIZES FOR REPLENISHMENT OF STOCKS 1.	The METRO KALIBO WATER DISTRICT, through the Corporate Budget for the contract approved by the governing Boards for the year 2020 intends to apply the</t>
  </si>
  <si>
    <t xml:space="preserve"> The Local Government Unit of Aglipay through 20% Municipal Development Fund (MDF) CY 2018 3 intends to apply the sum of Six Hundred Seventy Thousand Nine Hundred Thirty Two Pesos and 97/100 (Php 670, 932.97) being the Approved Budget for the Contract (ABC</t>
  </si>
  <si>
    <t xml:space="preserve"> INVITATION TO BID  1.	The CITY GOVERNMENT OF CAUAYAN, ISABELA through the TRUST FUND intends to apply the sum of SEVEN MILLION PESOS (Php 7,000,000.00) being the Approved Budget for the Contract (ABC) to payments under the contract for the Supply and Deli</t>
  </si>
  <si>
    <t xml:space="preserve"> Republic of the Philippines Province of Cagayan Tuguegarao City Invitation to Bid for Construction of OPA Admin Building Anquiray, Amulung, Cagayan  1.	The Provincial Government of Cagayan, through the SB #1 CY2019 intends to apply the sum of P 4,999,510.</t>
  </si>
  <si>
    <t xml:space="preserve"> Name of  Project/Contract	:	EXPANSION OF EVACUATION CENTER  Location				:	POBLACION, Kasibu, Nueva Vizcaya Brief Description	:	Construction of 27 ln.m Concrete line canal, 60 ln.m, perimeter fence, 3 m x 2.19m Gate and 0.10m x 1.25m x 75.5m Reinforce conc</t>
  </si>
  <si>
    <t xml:space="preserve"> Name of  Project/Contract	:	LOCAL ACCESS ROAD  Location				:	PAQUET, Kasibu, Nueva Vizcaya Brief Description	:	Construction of 0.20m x 6m  x 465m PCCP Approved Budget  for the Contract (ABC)		:	P4,999,972.27 Source of Fund			:	DILG-TF LGSF ASSISTANCE TO M</t>
  </si>
  <si>
    <t xml:space="preserve"> Republic of the Philippines BIDS AND AWARDS COMMITTEE Province of Iloilo Invitation to Bid Purchase of Construction Materials Bid No. DIS-19-1554-B 1. The Iloilo Provincial Government, through the PDRRM FUND – Capital Outlay intends to apply the sum of ON</t>
  </si>
  <si>
    <t xml:space="preserve"> REPAIR / REPLACEMENT OF DEFECTIVE CCTV CAMERA AT AGUS 7 SPILLWAY</t>
  </si>
  <si>
    <t xml:space="preserve"> Republic of the Philippines Province of Cagayan Tuguegarao City Invitation to Bid for Construction of Multi Purpose Building Sub Capitol Bangag Lallo Cagayan 1.	The Provincial Government of Cagayan, through the SB #1 CY 2019 intends to apply the sum of P </t>
  </si>
  <si>
    <t xml:space="preserve"> Procurement of Medical Equipment (BHS Package)</t>
  </si>
  <si>
    <t xml:space="preserve"> Republic of the Philippines BIDS AND AWARDS COMMITTEE Province of Iloilo Invitation to Bid Purchase of Office Equipment Bid No. PPD-20-0661-B 1. The Iloilo Provincial Government, through the CAPITAL OUTLAY intends to apply the sum of THREE HUNDRED FOURTEE</t>
  </si>
  <si>
    <t xml:space="preserve"> Name of  Project/Contract	:	CONSTRUCTION OF COVERED COURT  Location				:	NANTAWAKAN, Kasibu, Nueva Vizcaya Brief Description	:	Construction of 18m x 30m Covered Court (Reinforced Concrete Footings, Columns and Beams, Steel Roof Framing (Two Trusses) Insta</t>
  </si>
  <si>
    <t xml:space="preserve"> INVITATION TO BID  1.	The CITY GOVERNMENT OF CAUAYAN, ISABELA through the TRUST FUND intends to apply the sum of ONE MILLION THREE HUNDRED THOUSAND PESOS (Php1,300,000.00) being the Approved Budget for the Contract (ABC) to payments under the contract for</t>
  </si>
  <si>
    <t xml:space="preserve"> Republic of the Philippines Province of Cagayan Tuguegarao City Invitation to Bid for Nassiping Eco Park Development Project Construction of Water System (Tanks and Distribution Lines) Nassiping, Gattaran, Cagayan 1.	The Provincial Government of Cagayan, </t>
  </si>
  <si>
    <t xml:space="preserve"> INVITATION TO BID IB NO. CW 2020 –  097 Concreting of Road at Wasig, Mansalay, Oriental Mindoro 1.  The Provincial Government of Oriental Mindoro (PGOM) through the 20% Development – SB # 2 intends to apply the sum of One Million Four Hundred Sixty Nine T</t>
  </si>
  <si>
    <t xml:space="preserve"> Republic of the Philippines Province of Cagayan Tuguegarao City Invitation to Bid for Construction of Second Floor of Cagayan Provincial Jail Grid Line A-G, 1-10, Tuguegarao City 1.	The Provincial Government of Cagayan, through the SB #1 CY-2019 intends t</t>
  </si>
  <si>
    <t xml:space="preserve"> Republic of the Philippines Province of Cagayan Tuguegarao City Invitation to Bid for Improvement of Multi Purpose Tuao Central Elementary School (Repair of Roof – School) Gymnasium  1.	The Provincial Government of Cagayan, through the AIP 2019 intends to</t>
  </si>
  <si>
    <t xml:space="preserve"> Republic of the Philippines Province of Cagayan Tuguegarao City Invitation to Bid for Concreting of Road Network with Line Drainage Tuao District Hospital, Tuao, Cagayan 1.	The Provincial Government of Cagayan, through the SG #1 intends to apply the sum o</t>
  </si>
  <si>
    <t xml:space="preserve"> Republic of the Philippines Province of Cagayan Tuguegarao City Invitation to Bid for Concreting of Culung – Bugnay Farm to Market Road at Tuao, Cagayan 1.	The Provincial Government of Cagayan, through the Trust Fund intends to apply the sum of P 35,995,5</t>
  </si>
  <si>
    <t xml:space="preserve"> Republic of the Philippines Province of Cagayan Tuguegarao City Invitation to Bid for Completion of Multi Purpose Building (Back of Aranz Granstand) Cagayan Sports Complex, Tuguegarao City  1.	The Provincial Government of Cagayan, through the AIP 2019 int</t>
  </si>
  <si>
    <t xml:space="preserve"> Republic of the Philippines Province of Cagayan Tuguegarao City Invitation to Bid for  Cluster 6 Anquiray Farm Tourism Development Project (Farm Service Area Network Development, Farm Utilities Development (Construction of Tanks and Pipelines), Farm Utili</t>
  </si>
  <si>
    <t xml:space="preserve"> Republic of the Philippines Province of Cagayan Tuguegarao City Invitation to Bid for Development of Eco Park at Cagayan Sports Complex, Tuguegarao City Cagayan 1.	The Provincial Government of Cagayan, through the G.F. CY 2019 intends to apply the sum of </t>
  </si>
  <si>
    <t xml:space="preserve"> INVITATION TO BID: BID REF. NO.: 2020-18 “DRYDOCKING AND REPAIR WORKS OF VARIOUS BFAR PATROL VESSELS.” 1.	The Bureau of Fisheries and Aquatic Resources (BFAR) of the Department of Agriculture, through the General Appropriations Act for 2020 intends to app</t>
  </si>
  <si>
    <t xml:space="preserve"> INVITATION TO BID  Purchase &amp; Delivery of One (1) Unit Service Utility Vehicle for PGSO  June 23, 2020 1.	The Provincial Government of Sarangani, through the AB CY 2020 intends to apply the sum of One Million Seven Hundred Thousand Pesos Only (P 1,700,000</t>
  </si>
  <si>
    <t xml:space="preserve"> Republic of the Philippines Province of Cagayan Tuguegarao City Invitation to Bid for  Cluster 3 a – (Dev’t of Ballesteros Agri – Eco Tourism Park Project) Animal Farm Development (Cagayan Breeding Farm) and Forage and Pasture Development Zitanga, Ballest</t>
  </si>
  <si>
    <t xml:space="preserve"> INVITATION TO BID NO. 20- 50 SUPPLY &amp; DELIVERY OF ECG MACHINE WITH ANALYZER 1.	The Department of Health, Center for Health Development Bicol (DOH – CHD Bicol), through the 2020 General Appropriations Act intends to apply the sum of One Million Four Hundre</t>
  </si>
  <si>
    <t xml:space="preserve"> MAINTENANCE OF CCTV CAMERAS</t>
  </si>
  <si>
    <t xml:space="preserve"> Republic of the Philippines Province of Benguet MUNICIPALITY OF BOKOD BIDS AND AWARDS COMMITTEE INVITATION TO BID FOR PROCUREMENT OF MICRO-INFRA PROJECTS CLUSTER 03-2020 (MDF 2019/2020), BILA &amp; BOBOK-BISAL, BOKOD, BENGUET 1.	The MUNICIPALITY OF BOKOD, thr</t>
  </si>
  <si>
    <t xml:space="preserve"> INVITATION TO BID FOR THE  SUPPLY AND DELIVERY OF ISOLATION GATE VALVES AND FITTINGS FOR AIR SCOURING IMPLEMENTATION 1.	The Dagupan City Water District, through the Budget 2020 intends to apply the sum of One Million Four Hundred Thirty Five Thousand Seve</t>
  </si>
  <si>
    <t xml:space="preserve"> INVITATION TO BID The City of Bayawan, through its Bids and Awards Committee (BAC), invites suppliers/manufacturers/distributors/contractors to bid for the hereunder projects: 	Lot No. I		CHEMICALS					 8	25	bags	Potash(Muriate of Potash)(0-0-60)	Potash(M</t>
  </si>
  <si>
    <t xml:space="preserve"> Republic of the Philippines Province of Eastern Samar Municipality of Balangkayan INVITATION TO BID FOR: CONSTRUCTION OF MEO BUILDING, PHASE 1 Abrigo St. Mun. Gov’t Center, Balangkayan, E. Samar June 19 - 25, 2020 The Municipal Government of Balangkayan, </t>
  </si>
  <si>
    <t xml:space="preserve"> Please see attached Bid Docs</t>
  </si>
  <si>
    <t xml:space="preserve"> REPAIR OF LEGISLATIVE OFFICE/BUILDING</t>
  </si>
  <si>
    <t xml:space="preserve"> 3 unit, Rice Cooker, 60-80 cups capacity 2 unit, Pressure Cooker, 8010 kg capacity 2 unit, Iron Cast Stove, 2 rings, 10-12" diameter gas operated</t>
  </si>
  <si>
    <t xml:space="preserve"> MACHINERIES &amp; EQUIPMENT</t>
  </si>
  <si>
    <t xml:space="preserve"> INVITATION TO BID The City of Bayawan, through its Bids and Awards Committee (BAC), invites suppliers/manufacturers/distributors/contractors to bid for the hereunder projects: Lot No. I		Oil and Lubricants	 				 1	18	drums	Oil, Hydrauli, SAE 10W					 2	12</t>
  </si>
  <si>
    <t xml:space="preserve"> Republic of the Philippines Province of Northern Samar BARANGAY LANDUSAN CAPUL, NORTHERN SAMAR BID AND AWARDS COMMITTEE INVITATION TO BID 2020-06-001 INF The BARANGAY LANDUSAN, CAPUL NORTHERN SAMAR through its BIDS AND AWARDS COMMITTEE (BAC), invites all </t>
  </si>
  <si>
    <t xml:space="preserve"> INVITATION TO BID (for the Procurement of Goods)           1.	The City Government of Puerto Princesa (CGPP), through its  General Appropriations Ordinance No. 1-2017 (General Fund FY 2018) intends to apply the sum, corresponds as the Approved Budget for t</t>
  </si>
  <si>
    <t xml:space="preserve"> Republic of the Philippines  City of Canlaon Office of the Bids and Awards Committee  INVITATION TO BID FOR the Rehabilitation of Water System The Local Government of Canlaon City, through AIP 2020. Intends to apply the sum Three Hundred Seven Thousand Fo</t>
  </si>
  <si>
    <t xml:space="preserve"> QUANTITY	UNIT 	DESCRIPTION                                        	UNIT COST EQUIPMENT 85          	Bags   	Palay ( White Seeds)                               	161,500.00 3      	Btls.       	Iron 100ml                                         	1,716.00 3 </t>
  </si>
  <si>
    <t xml:space="preserve"> BIDS AND AWARDS COMMITTEE (BAC) Email address: bacregion2@yahoo.com Telefax No.: (078) 304-0560 INVITATION TO BID ITB No.: 2020-06-22 The Department of Agriculture – Regional Field Office No. 02 (DA-RFO 02) through its Bids and Awards Committee (BAC) invi</t>
  </si>
  <si>
    <t xml:space="preserve"> ENGINE Type :                                  2.4L Diesel, 4-Cylinder, 16 Valve DOHC Variable                                            Nozzle Turbo with Front Mounted Intercooler Displacement:                      2,393  Transmission:                  </t>
  </si>
  <si>
    <t xml:space="preserve"> INVITATION TO BID NO. 20-54  SUPPLY &amp; DELIVERY OF DEFIBRILLATOR WITH MONITOR 1.	The Department of Health, Center for Health Development Bicol (DOH – CHD Bicol), through the 2020 General Appropriations Act intends to apply the sum of One Million Five Hundr</t>
  </si>
  <si>
    <t xml:space="preserve"> Location : Legazpi City, Albay Scope of Work : Repair/Maintenance of DPWH Building (Rediras Building) Albay II District Engineering Office, Airport Site, Legazpi City, Albay</t>
  </si>
  <si>
    <t xml:space="preserve"> 1 UNIT PURCHASE OF BRAND NEW 4X2 AT PICK-UP Minimum Specification:  Engine Size=2.4L - 2.5 L  Displacement : 2,300cc - 2,500cc Number of Cylinders: 4  Number of Values :16 Transmission Category: Automatic Transmission  Fuel Type: Diesel  Fuel Tank Capacit</t>
  </si>
  <si>
    <t xml:space="preserve"> INVITATION TO BID 20-39  SUPPLY &amp; DELIVERY OF EXAMINING TABLE WITH STIRRUPS 1.	The Department of Health, Center for Health Development Bicol (DOH – CHD Bicol), through the 2020 General Appropriations Act intends to apply the sum of Four Million Twenty Fiv</t>
  </si>
  <si>
    <t xml:space="preserve"> Republic of the Philippines Province of Benguet MUNICIPALITY OF BOKOD BIDS AND AWARDS COMMITTEE INVITATION TO BID FOR PROCUREMENT OF MICRO-INFRA PROJECTS CLUSTER 05-2020 (MDF 2020), PITO, BOKOD, BENGUET 1.	The MUNICIPALITY OF BOKOD, through the  MDF 2020 </t>
  </si>
  <si>
    <t xml:space="preserve"> Republic of the Philippines Department of Health CENTRAL OFFICE BIDS AND AWARDS COMMITTEE Name of the Procuring Entity:  Department of Health Name of the Project: Procurement of Watches Delivery Site: DOH-Central Office Warehouse, San Lazaro Compound Sta.</t>
  </si>
  <si>
    <t xml:space="preserve"> INVITATION TO BID NO. 20-42  SUPPLY &amp; DELIVERY OF MEDICAL EQUIPMENT/ INSTRUMENT PACKAGES 1.	The Department of Health, Center for Health Development Bicol (DOH – CHD Bicol), through the Government of the Philippines 2020 General Appropriations Act intends </t>
  </si>
  <si>
    <t xml:space="preserve"> Republic of the Philippines PROVINCE OF SIQUIJOR Capitol, Bldg., Pulangyuta, Siquijor, Siquijor INVITATION TO BID FOR Supply and Delivery of Drugs and Medicines 1.	The Province of Siquijor, through the IPHO Drugs and Medicines Expenses 3000-1-01-013 200-5</t>
  </si>
  <si>
    <t xml:space="preserve"> Location : Daraga, Albay Scope of Work : Repair/Maintenance of 16.00 l.m. Reinforced Concrete Dike</t>
  </si>
  <si>
    <t xml:space="preserve"> Supply and Delivery of Medical Supplies, Rescue Materials and Evacuation Facilities for DRRM Operations with an ABC of Php327,350.00, arranged in four (4) lots: LOT 1. Medical Supplies = 34,600.00 LOT 2. Uniform = 24,000.00 LOT 3. Rescue Equipment = 171,3</t>
  </si>
  <si>
    <t xml:space="preserve"> 1 sht Hardiflex  2 shts Marine Plywood # 1/4 (4x8) 3 shts Marine Plywood #1/2 (4x8)  4 shts Marine Plywood # 3/4 (4x8)  5 shts Corrogated GI sheets gauge 24  6 shts Plain GI Sheets  7 kl Umbrella Nails 8 gal Gloss Enamel Paint (white) 9 gal Flat Enamel Pa</t>
  </si>
  <si>
    <t xml:space="preserve"> 1.	The MUNICIPAL GOV’T. OF CORELLA, BOHOL, through the budget approved by the Sanggunian per Municipal Ordinance No. 2020-08 (Supplemental Budget No. 2 under the General Fund for CY 2020) intends to apply the sum of PHP 300,000.00 being the Approved Budge</t>
  </si>
  <si>
    <t xml:space="preserve"> Republic of the Philippines Province of Bukidnon City of Valencia Barangay Kahaponan Contract Reference No. 2020-07 06/18/2020 INVITATION TO BID FOR THE SUPPLY AND DELIVERY OF ANDROID PHONE FOR BARANGAY OFFICIALS OF KAHAPONAN, VALENCIA CITY, BUKIDNON 1. T</t>
  </si>
  <si>
    <t xml:space="preserve"> Republic of the Philippines Province of Oriental Mindoro Municipality of Bongabong Barangay Lisap Section I. Invitation to Bid 2020-001 SUPPLY AND DELIVERY OF CONSTRUCTION MATERIALS AND SUPPLIES FOR THE CONCRETING OF BARANGAY ROAD (SO. SIANGE) 1. The Bara</t>
  </si>
  <si>
    <t xml:space="preserve"> 851 heads Chicken (ready to lay) 49.5 bags Feeds (pdp) 50 kls. 82 heads Piglet (8-10 kls) 64 bags Feeds (starter) 123 bags Feeds (grower) 95 bags Feeds (finisher)</t>
  </si>
  <si>
    <t xml:space="preserve"> Biologic s</t>
  </si>
  <si>
    <t xml:space="preserve"> Installation of Solar Lighting, Concrete Works &amp; Project Marker</t>
  </si>
  <si>
    <t xml:space="preserve"> INVITATION TO BID NO. 20-63  SUPPLY &amp; DELIVERY OF AUTOCLAVE 1.	The Department of Health, Center for Health Development Bicol (DOH – CHD Bicol), through the 2019 General Appropriations Act intends to apply the sum of Four Million Five Hundred Thirty Thousa</t>
  </si>
  <si>
    <t xml:space="preserve"> INVITATION TO BID 20-47  SUPPLY &amp; DELIVERY OF DELIVERY LIGHT,  DELIVERY SET &amp; DELIVERY TABLE 1.	The Department of Health, Center for Health Development Bicol (DOH – CHD Bicol), through the 2020 General Appropriations Act intends to apply the sum of Three </t>
  </si>
  <si>
    <t xml:space="preserve"> Road Length = 579.00 l.m., PCCP (Width) = 4.0 m, Road Width = +/-6.0 m, Road thicknes = 0.20 m</t>
  </si>
  <si>
    <t xml:space="preserve"> Road length = 405.00 l.m., Road Width = 6.0 m, Road pavement = 4.0 m, Road thickness = 0.20 m, Grouted Rip-Rap = 340.00 cu.m</t>
  </si>
  <si>
    <t xml:space="preserve"> INVITATION TO BID NO. 20-45  SUPPLY &amp; DELIVERY OF FETAL DOPPLER AND FETAL MONITOR 1.	The Department of Health, Center for Health Development Bicol (DOH – CHD Bicol), through the 2020 General Appropriations Act intends to apply the sum of Four Million Thre</t>
  </si>
  <si>
    <t xml:space="preserve"> Contract ID	: 20-HE-0119 Contract Name	: Repair and Maintenance of Road Safety Facility – 1. Installation of Internally Illuminated (Solar) Pavement Levelled Marker/Stud Flush Type (Bi-Directional) along Natalio Bacalso Avenue at K0021+000-K0022+000 (with</t>
  </si>
  <si>
    <t xml:space="preserve"> Republic of the Philippines BOHOL ISLAND STATE UNIVERSITY Main Campus, Tagbilaran City INVITATION TO BID FOR SUPPLY AND DELIVERY OF HOTEL PROPERTY MANAGEMENT SOFTWARE (PR NO. 2020-03-0474) 1.	The Bohol Island State University – Main Campus, Tagbilaran Cit</t>
  </si>
  <si>
    <t xml:space="preserve"> INVITATION TO BID The Department of Public Works and Highways (DPWH), Laguna III District Engineering Office San Pablo City Region IV-A, through its Bids and Awards Committee (BAC), invites Contractors to submit bids for the following Contract: Contract I</t>
  </si>
  <si>
    <t xml:space="preserve"> Epson blank ink    8 bottles Epson ink cyan     3bottles Epson ink yellow   3bottles Epson ink magenta 3bottles ink brother t300 black 5pcs ink brother t300 cyan 3pcs ink brother t300 yellow 3pcs ink brother t300 magenta 3pcs specialty board    15packs fi</t>
  </si>
  <si>
    <t xml:space="preserve"> 50 bags cement 10 pcs 10 mm steel bar 10 pcs drum 200L HDPE open top 1 pc weighing scale 60kg 1 pcs weighing scale 10kg 6 pairs construction orange rubber coated gloves 2 box surgical mask 1 pc white board 4'x8' 3  pcs white board marker (flexoffice)</t>
  </si>
  <si>
    <t xml:space="preserve"> INVITATION TO APPLY FOR ELIGIBILITY AND TO BID 	The Municipality of Lingig, thru the Bids and Awards Committee invites interested suppliers, distributors and/or manufacturers to apply for eligibility and to bid for the supply and delivery of the following</t>
  </si>
  <si>
    <t xml:space="preserve"> Procurement of Labor for the Repair of Existing Facilities at Lowan2 -Php200,000.00</t>
  </si>
  <si>
    <t xml:space="preserve"> Repair/Maintenance of Big Mateo Bridge Revetment (Limits: K1622+217)</t>
  </si>
  <si>
    <t xml:space="preserve"> Sticker paper 40pcs Long folder 2reams fastener 20pcs correction tape 20pcs Epson ink CYMB 10bottles Paper clip big 15boxes broom soft 15pcs brromstick 15pcs detergent powder 30pouches disinfectant spray 15cans rags 20packs folder expandable 200pcs photop</t>
  </si>
  <si>
    <t xml:space="preserve"> 1.	The University of Rizal System, through the Fund 011 and 052 of 2020  intends to apply the sum of Seven Million Eight Hundred Nineteen Thousand One Hundred One Pesos and 44/100 Only (₱7,819,101.44) being the Approved Budget for the Contract (ABC) to pa</t>
  </si>
  <si>
    <t xml:space="preserve"> Republic of the Philippines Province of Benguet MUNICIPALITY OF BOKOD BIDS AND AWARDS COMMITTEE INVITATION TO BID FOR COMPLETION OF MULTI PURPOSE BUILDING AT PITO, BOKOD, BENGUET (MDF 2020) 1.	The MUNICIPALITY OF BOKOD, through the  MDF 2020  intends to a</t>
  </si>
  <si>
    <t xml:space="preserve"> Republic of the Philippines Province of Oriental Mindoro Municipality of Bongabong Barangay Lisap Section I. Invitation to Bid 2020-003 SUPPLY AND DELIVERY OF CONSTRUCTION MATERIALS AND SUPPLIES FOR THE CONCRETING OF BARANGAY ROAD (SO. ALYANON) 1. The Bar</t>
  </si>
  <si>
    <t xml:space="preserve"> Specification: 5ft x 2ft x 5 inches dimensions Panaflex/laser-cut acrylic Vinyl Sticker Metal frame, metal sheet Aluminum angle bar LED Electrical supplies Hardware and accessories 42 units to be delivered and installed in the following locations: Marindu</t>
  </si>
  <si>
    <t xml:space="preserve"> INVITATION TO BID  1.	The CITY GOVERNMENT OF CAUAYAN, ISABELA through the TRUST FUND (DA VEGETABLE SEED ASSISTANCE PROJECT) intends to apply the sum of TWO MILLION PESOS (PHP2,000,000.00) being the Approved Budget for the Contract (ABC) to payments under </t>
  </si>
  <si>
    <t xml:space="preserve"> 4 Cylinder Diesel Engine Manual Transmission Dual A/C</t>
  </si>
  <si>
    <t xml:space="preserve"> 4 Cylinder Diesel Engine Manual Transmission 4 Cu. Mtr. Capacity</t>
  </si>
  <si>
    <t xml:space="preserve"> Republic of the Philippines Department of the Interior and Local Government BUREAU OF FIRE PROTECTION  Regional Office 10 Maharlika Bldg., Gumamela Extension Carmen, Cagayan de Oro City Telfax Number: (088) 880-7534 Email: bfprbac10@yahoo.com INVITATION T</t>
  </si>
  <si>
    <t xml:space="preserve"> Republic of the Philippines Province of Ilocos Sur Municipality of Santa Brgy. BASUG Construction of Multi-Purpose Building Php 133,479.40 A. Materials lot description qty bags cement 30 cu.m sand 6 cu.m gravel 6 pcs 12 mm rsb 15 pcs 10mm rsb 15 pcs 2x2x1</t>
  </si>
  <si>
    <t xml:space="preserve"> Republic of the Philippines Province of Oriental Mindoro Municipality of Bongabong Barangay Lisap Section I. Invitation to Bid 2020-002 SUPPLY AND DELIVERY OF CONSTRUCTION MATERIALS AND SUPPLIES FOR THE INSTALLATION OF SOLAR STREETLIGHTS (SO. HINGIN I &amp; A</t>
  </si>
  <si>
    <t xml:space="preserve"> Retainer Fee for Medical and Dental Services for CY 2020. Doctor's Fee at Salcedo Velasquez Park Doctor's Fee at Bel-Air Clinic Dentist at Salcedo Velasquez Park Dentist at Bel-Air Clinic Nurse at Salcedo Velasquez Park Nurse at Bel-Air Clinic Dental Assi</t>
  </si>
  <si>
    <t xml:space="preserve"> Republic of the Philippines Province of Cotabato Municipality of Aleosan Invitation to Bid  SUPPLY, DELIVERY AND REPAIR OF SPAREPARTS OF HEAVY EQUIPMENT (VIBRATORY COMPACTOR), LGU ALEOSAN, COTABATO                                                          </t>
  </si>
  <si>
    <t xml:space="preserve"> ATTACH</t>
  </si>
  <si>
    <t xml:space="preserve"> 1.	The LGU - CORELLA, BOHOL, through the budget approved by the Sanggunian per Municipal Ordinance No. 2019-15 under 20% development fund intends to apply the sum of PHP 1,800,000.00 being the Approved Budget for the Contract (ABC) to payments under the c</t>
  </si>
  <si>
    <t xml:space="preserve"> INVITATION TO BID The Iligan City Government Bids and Awards Committee (BAC), invites contractors registered by the Philippine Contractors Accreditation Board (PCAB) to bid for the hereunder contract: Name of Project   : Construction of Tourism Multi-Purp</t>
  </si>
  <si>
    <t xml:space="preserve"> Construction/Rehabilitation of Water Supply/Septage and Sewerage/Rain Water Collectors</t>
  </si>
  <si>
    <t xml:space="preserve"> Republic of the Philippines Province of Negros Oriental Municipality of Sibulan OFFICE OF THE BIDS AND AWARDS COMMITTEE INVITATION TO APPLY FOR ELIGIBILITY AND TO BID The Municipality of Sibulan, Negros Oriental invites all interested suppliers for the PU</t>
  </si>
  <si>
    <t xml:space="preserve"> 6m x 6m</t>
  </si>
  <si>
    <t xml:space="preserve"> The Municipality of Lingig, thru the Bids and Awards Committee invites interested suppliers, distributors and/or manufacturers to apply for eligibility and to bid for the supply and delivery of the following:  1 LOT CONCRETING OF BARANGAY ACCESS ROAD (CRI</t>
  </si>
  <si>
    <t xml:space="preserve"> ATTACHED</t>
  </si>
  <si>
    <t xml:space="preserve"> 630lm</t>
  </si>
  <si>
    <t xml:space="preserve"> INVITATION TO BID 20-33 SUPPLY &amp; DELIVERY GENERATOR SET 1.	The Department of Health, Center for Health Development Bicol (DOH – CHD Bicol), through the 2020 General Appropriations Act intends to apply the sum of Seven  Million Five  Hundred  Thousand Peso</t>
  </si>
  <si>
    <t xml:space="preserve"> Invitation to Bid  1.	The CITY GOVERNMENT OF CAUAYAN CITY, ISABELA  through the 20% DEVELOPMENT FUND 2020  intends to apply the sum of  NINE MILLION SEVEN  HUNDRED FORTY SEVEN  THOUSAND NINE  HUNDRED THIRTY ONE PESOS &amp; NINETEEN CENTAVOS (Php9,747,931.19) </t>
  </si>
  <si>
    <t xml:space="preserve"> Republic of the Philippines Province of Ilocos Sur Municipality of Santa Barangay Calungboyan Construction of Solar Dryer  Php 147,000.00 A. Materials lot description qty cu.m filling materials  30 cu.m aggregate base course gravel 15 bags portland cement</t>
  </si>
  <si>
    <t xml:space="preserve"> The MUNICIPALITY OF GUINAYANGAN, QUEZON, through the  General Fund   intends to apply the sum of  Three Hundred Eighty Thousand   Pesos (P 380,000.00) being the Approved Budget for the Contract (ABC) to payments under the contract for  Supply &amp; Delivery o</t>
  </si>
  <si>
    <t xml:space="preserve"> 1.	The Municipality of Ubay, through the its bids and Awards Committee (BAC), Invites contractors to submit bids for the following contract: Contract ID No: 20INFR008 Contract Name: CONSTRUCTION OF UBAY OPEN MARKET STORE BAGSAKAN CENTER Contract Location:</t>
  </si>
  <si>
    <t xml:space="preserve"> Procurement of Airconditioner Php600,000.00</t>
  </si>
  <si>
    <t xml:space="preserve"> various items ( as per Purchase Request)</t>
  </si>
  <si>
    <t xml:space="preserve"> 1.	The Municipality of Guinayangan, Quezon through the 2019 &amp; 2020 MDF  intends to apply the sum of Three Million Eight Hundred Ninety Three Thousand Pesos (P 3,893,000.00) being the Approved Budget for the Contract (ABC) to payments under the contract fo</t>
  </si>
  <si>
    <t xml:space="preserve"> 1. 1500 tablets Cefuroxime 500mg/tablet 2. 1500 tablets Amoxicillin+Clavulanic Acid 625mg/tablet 3. 10 tubes Oxytetracycline+Polymycin B Sulfate(Teramycin Optic Ointment) 4. 100 boxes Vit. B Complex with Lyzine Capsule 5. 500 boxes Amoxicillin 500mg/ caps</t>
  </si>
  <si>
    <t xml:space="preserve"> Repair/Maintenance of DILG Building</t>
  </si>
  <si>
    <t xml:space="preserve"> INVITATION TO BID 20-55  SUPPLY &amp; DELIVERY OF DRESSING CART WITH DRESSING SET 1.	The Department of Health, Center for Health Development Bicol (DOH – CHD Bicol), through the 2020 General Appropriations Act intends to apply the sum of One Million Two Hundr</t>
  </si>
  <si>
    <t xml:space="preserve"> Republic of the Philippines Province of Benguet MUNICIPALITY OF BOKOD BIDS AND AWARDS COMMITTEE INVITATION TO BID FOR PROCUREMENT OF MICRO-INFRA PROJECTS CLUSTER 06-2020 (MDF 2020), KARAO, BOKOD, BENGUET 1.	The MUNICIPALITY OF BOKOD, through the  MDF 2020</t>
  </si>
  <si>
    <t xml:space="preserve"> DIESEL AND OIL AND LUBRICANT   (ATTACHED REQUEST FOR QUOTATION)</t>
  </si>
  <si>
    <t xml:space="preserve"> LOT 1 144 bots Co-amoxiclav 250mg/62.50mg susp 60ml 144 bots Cetirizine 10mg/ml drops 10ml 144 bots Cetirizine 5mg/5ml syrup 30ml 10 bxs Cetirizine 10mg tablet 100's 10 bxs Meclizine 25mg tablet 10 bxs Cotrimoxazole forte tablet 800mg/160mg 30 bxs Cotrimo</t>
  </si>
  <si>
    <t xml:space="preserve"> Procurement of Labor Cost for Demolition and Reconstruction of MPB (Wellness Center) Php353,600.00</t>
  </si>
  <si>
    <t xml:space="preserve"> Republic of the Philippines Municipality of Palompon  Barangay Rizal BIDS AND AWARD COMMITTEE Palompon. Leyte INVITATION TO APPLY FOR ELIGIBILITY AND TO BID N0. 2020-0707-001                                                                                 </t>
  </si>
  <si>
    <t xml:space="preserve"> Republic of the Philippines Municipality of Palompon  Barangay Central III BIDS AND AWARD COMMITTEE Palompon. Leyte INVITATION TO APPLY FOR ELIGIBILITY AND TO BID N0. 2020-0707-001                                                                           </t>
  </si>
  <si>
    <t xml:space="preserve"> Name of  Project/Contract	:	CONSTRUCTION OFMULTIPURPOSE BUILDING AND COVERED COURT Location				:	Papaya,  Kasibu, Nueva Vizcaya Brief Description	:	Fabrication and installation of steel roof framing (steel trusses) and Galva Steel Hi-Rib roofing materials</t>
  </si>
  <si>
    <t xml:space="preserve"> Name of  Project/Contract	:	LOCAL ACCESS ROAD  Location				:	TADJI, Kasibu, Nueva Vizcaya Brief Description	:	Construction of 0.20m x 5m x 345m and 0.20m x 7.33m x 20m PCCP, Installation of 36” RCPC with stone masonry Head Wall Approved Budget  for the Co</t>
  </si>
  <si>
    <t xml:space="preserve"> TO ALL ELLIGIBLE BIDDERS:       The Barangay Sudlon, Municipality of Molave, through the Bids and Award Committee now invite bids for the Construction of Waiting Shed at Purok Domingo in this barangay. Likewise, intends to apply the sum of Php62,479.00 th</t>
  </si>
  <si>
    <t xml:space="preserve"> Republic of the Philippines Province of Palawan Municipality of Narra INVITATION TO BID 1.	The Municipal Government of Narra, through Bids and Awards Committee intends to apply the sum of TWO HUNDRED THIRTY-EIGHT THOUSAND (PHP 238,000.00) being the Approv</t>
  </si>
  <si>
    <t xml:space="preserve"> INVITATION TO BID NO. 20-51 SUPPLY &amp; DELIVERY OF HOSPITAL BED 1.	The Department of Health, Center for Health Development Bicol (DOH – CHD Bicol), through the 2020 General Appropriations Act intends to apply the sum of Fifteen Million Three Hundred Forty T</t>
  </si>
  <si>
    <t xml:space="preserve"> INVITATION TO BID 	The DOH Central Luzon Center for Health Development through its Bids and Awards Committee (BAC), invites suppliers/manufacturers/distributors to bid for the hereunder project: Project	 Project Description	Approved Budget for the Contrac</t>
  </si>
  <si>
    <t xml:space="preserve"> Location : Legazpi City, Albay Scope of Work : Repair/Maintenance of 15.00 l.m. Reinforced Concrete Dike</t>
  </si>
  <si>
    <t xml:space="preserve"> Unit	Quantity Submersible Pump 3HP Single Phase	set	1 PE Pipe 1 1/2"Ø SDR11	roll	16 PE Coupling 1 1/2"Ø	pc	15 GI Pipe 1 1/4"Ø Suction Pipe	length	5 GI Pipe 4"Ø Casing	length	6 GI Coupling 1 1/4"Ø France Coupling	pc	4 GI Coupling 4"Ø	pc	5</t>
  </si>
  <si>
    <t xml:space="preserve"> Unit    Quantity Portland Cement	     bag	337 Washed Sand	             cum	18 Washed Gravel G-1	   cum	36 2"x4" 6m Steel Form	   length	10 10mmØ x 6m Corr Bar   length	208 Tie Wire#16	              kl	5</t>
  </si>
  <si>
    <t xml:space="preserve"> Republic of the Philippines DEPARTMENT OF PUBLIC WORKS AND HIGHWAYS NEGROS ORIENTAL 3RD  DISTRICT ENGINEERING OFFICE REGIONAL OFFICE VII Siaton, Negros Oriental REQUEST FOR EXPRESSION OF INTEREST (REOI) FOR I.	Contract ID: 20CSHL0001 Contract Name: Consul</t>
  </si>
  <si>
    <t xml:space="preserve"> Attached herewith Final RFP &amp; TOR</t>
  </si>
  <si>
    <t xml:space="preserve"> Request for Expression of Interest (REOI)  for the  GEOTECHNICAL AND GEOLOGICAL SURVEY (SOIL BORING EXPLORATION) OF VARIOUS BUILDINGS IN REGION I (PACKAGE 1) 1.	The DPWH-Regional Office I through SR2020-02-0022685 intends to apply the sum of Five Million </t>
  </si>
  <si>
    <t xml:space="preserve"> Multi Purpose Vehicle etc.  NOTE:To all suppliers bid documents and BAC Resolution  2020-029 are available at BAC Office and LGU website.</t>
  </si>
  <si>
    <t xml:space="preserve"> INVITATION TO BID FOR PROVISION OF MULTI-YEAR CONTRACT FOR THE HIRING OF SERVICE PROVIDER FOR TERMITE TREATMENT AND GENERAL PEST CONTROL OF DSWD CENTRAL OFFICE AND OTHER SATELLITE OFFICES                                                          FOR CY 202</t>
  </si>
  <si>
    <t xml:space="preserve"> Republic of the Philippines PROVINCE OF SIQUIJOR Capitol, Bldg., Pulangyuta, Siquijor, Siquijor INVITATION TO BID FOR Supply and Delivery of Laboratory Supplies 1.	The Province of Siquijor, through the IPHO Medical, Dental &amp; Laboratory Supplies Expenses  </t>
  </si>
  <si>
    <t xml:space="preserve"> Concreting</t>
  </si>
  <si>
    <t xml:space="preserve"> Intel Core i5 - 8250U Processor (6M Cache, up to 3.40GHz), 4GB of single-chanel, onboard DDR4 system memory, Upgradable up to 20GB of dual channel DDR System, ITB 2.5 inch 5400ROM, 15.6 in HD 1366 X 768 resolution, high - brightness 16.9 aspect ratio, ult</t>
  </si>
  <si>
    <t xml:space="preserve"> Republic of the Philippines Province of Benguet MUNICIPALITY OF BOKOD BIDS AND AWARDS COMMITTEE INVITATION TO BID FOR PROCUREMENT OF MICRO-INFRA PROJECTS CLUSTER 04-2020 (MDF 2020), DAKLAN, BOKOD, BENGUET 1.	The MUNICIPALITY OF BOKOD, through the  MDF 202</t>
  </si>
  <si>
    <t xml:space="preserve"> INVITATION TO BID The Surigao del Sur 1st District Engineering Office, Tandag City, through its Bids and Awards Committee (BAC), invites contractors to submit bids for the following Contract: CONTRACT ID	:	20NH0091 CONTRACT NAME	:	Construction of Multi-Pu</t>
  </si>
  <si>
    <t xml:space="preserve"> DEMOBILIZATION											 OCCUPATIONAL SAFETY &amp; HEALTH PROGRAM											 CONCRETE WORKS											 REINFORCING STEEL OF REINFORCED CONCRETE											 FORM WORKS &amp; FALSE WORK ONE STOREY)											 PLUMBING WORKS AND FIXTURES											 UN-GLAZED TILES		</t>
  </si>
  <si>
    <t xml:space="preserve"> INVITATION TO BID The Surigao del Sur 1st District Engineering Office, Tandag City, through its Bids and Awards Committee (BAC), invites contractors to submit bids for the following Contract: CONTRACT ID	:	20NH0075 (RE-AD) CONTRACT NAME	:	Rehabilitation o</t>
  </si>
  <si>
    <t xml:space="preserve"> Deodorizer to be used at different government facility</t>
  </si>
  <si>
    <t xml:space="preserve"> various medical and dental and laboratory supplies</t>
  </si>
  <si>
    <t xml:space="preserve"> Please see the attached Documents</t>
  </si>
  <si>
    <t xml:space="preserve"> Bond Paper (Long Sub. 20) to be used for production of learning modules, worksheets, activity and lesson exemplars</t>
  </si>
  <si>
    <t xml:space="preserve"> Risograph Machine to be used for production of learning modules, worksheets, activity and lesson exemplars</t>
  </si>
  <si>
    <t xml:space="preserve"> Grouted Riprap, Backfill</t>
  </si>
  <si>
    <t xml:space="preserve"> PCCP, Gate, Grouted Riprap, Tank</t>
  </si>
  <si>
    <t xml:space="preserve"> PCCP (tirepath) and Spillway</t>
  </si>
  <si>
    <t xml:space="preserve"> GYPSUM BOARD ON METAL FRAME CEILING 100mm CHB NON-LOAD BEARING  PORTLAND CEMENT CONCRETE PAVEMENT(UNREINFORCED) 200mm THK. STAINLESS RAILINGS SPANDREL STRUCTURAL CONCRETE FOR FOOTING TIE BEAM, COLUMN, SUSPENDED SLAB, GIRDER/BEAM (CLASS A) ALUMINUM GLASS W</t>
  </si>
  <si>
    <t xml:space="preserve"> Construction of Multi - Purpose Hall ( Phase I )</t>
  </si>
  <si>
    <t xml:space="preserve"> Request for Expression of Interest (REOI)  for the  GEOTECHNICAL AND GEOLOGICAL SURVEY (SOIL BORING EXPLORATION) OF VARIOUS BUILDINGS IN REGION I (PACKAGE 2) 1.	The DPWH-Regional Office I through SR2020-02-0022685 intends to apply the sum of Five Million </t>
  </si>
  <si>
    <t xml:space="preserve"> MOBILIZATION/ DEMOBILIZATION											 OCCUPATIONAL SAFETY AND HEALTH PROGRAM											 CONCRETE WORKS											 REINFORCING STEEL OF REINFORCED CONCRETE											 FORM WORKS &amp; FALSE WORK ONE STOREY)											 Fabricated Metal Roofing Accessory (Ridg</t>
  </si>
  <si>
    <t xml:space="preserve"> INVITATION TO BID IB No. GS-2020 – 074 Agricultural Products (Seeds, Seedlings, Plants…) for Distribution of Fruit tress high quality Planting Materials to qualified Organization/Association/Cooperators of different Municipalities under High Value Commerc</t>
  </si>
  <si>
    <t xml:space="preserve"> Republic of the Philippines MUNICIPALITY OF AGONCILLO Province of Batangas Tel. No. 043-210-2344 INVITATION TO BID The Municipal Government, through its Bids and Awards Committee (BAC), invites suppliers/manufacturers/distributors/contractors to apply for</t>
  </si>
  <si>
    <t xml:space="preserve"> Republic of the Philippines DEPARTMENT OF PUBLIC WORKS AND HIGHWAYS LAGUNA II DISTRICT ENGINEERING OFFICE REGIONAL OFFICE IV-A Brgy. Bambang, Los Baños, Laguna Invitation to Bid No. 2020 - 11 The Department of Public Works and Highways- Laguna II District</t>
  </si>
  <si>
    <t xml:space="preserve"> Ink, Master Roll and Rubber Roll, to be used for production of learning modules, worksheets, activity and lesson exemplars</t>
  </si>
  <si>
    <t xml:space="preserve"> INVITATION TO BID NO. 20-44 SUPPLY &amp; DELIVERY OF CARDIAC MONITOR WITH PULSE OXIMETER 1.	The Department of Health, Center for Health Development Bicol (DOH – CHD Bicol), through the 2020 General Appropriations Act intends to apply the sum of Two Million On</t>
  </si>
  <si>
    <t xml:space="preserve"> INVITATION TO BID IB No. GS-2020 – 073 Agricultural Products (Seeds, Seedlings, Plants…) for Distribution under Binhian sa Barangay and Mindoro Dinorado Rice Production Program-Agro Technology Resource and Management Services Division 1. The  Provincial  </t>
  </si>
  <si>
    <t xml:space="preserve"> Concrete Footpath</t>
  </si>
  <si>
    <t xml:space="preserve"> INVITATION TO BID The Surigao del Sur 1st District Engineering Office, Tandag City, through its Bids and Awards Committee (BAC), invites contractors to submit bids for the following Contract: CONTRACT ID	:	20NH0092 CONTRACT NAME	:	Construction/ Rehabilita</t>
  </si>
  <si>
    <t xml:space="preserve"> Construction of Stone Masonry</t>
  </si>
  <si>
    <t xml:space="preserve"> Concreting of 2.02 Lane Km.; Width=2.50m, Thk.=0.20m, Installation of 6” CHB Line Canal with Stiffener and 0.910m ø RCPC with Headwall</t>
  </si>
  <si>
    <t xml:space="preserve"> 1. The Polomolok Water District now invites Bids from MANUFACTURERS/SUPPLIERS &amp; ELIGIBLE BIDDERS for the Supply and Delivery of Assorted Gate Valves with an approved budget amounting to P 599,000.00. Issuance and availability of bidding documents will be </t>
  </si>
  <si>
    <t xml:space="preserve"> Primary Registration Household Registration Resident List ID Printing Integration Logistic Inventory Automation of Barangay Certifications Reports Website with Database integrated in RBI System   Logistic for Barangay Census (5 Staff in 60days) 5 mobile p</t>
  </si>
  <si>
    <t xml:space="preserve"> Republic of the Philippines Municipality of Taytay Barangay:Sandoval NOTICE TO BIDDERS 							 Item No.	Qty.		Unit of  Item		 Description		 				 1	       	50		sack 			 rice 			  2	      	10   		sack	       		 sugar			  3	       	520    	pcs	      		 g-tas</t>
  </si>
  <si>
    <t xml:space="preserve"> Republic of the Philippines Department of Education Region v SCHOOLS DIVISION OF SORSOGON Capitol Compound, Sorsogon City Invitation to Bid for REPAIR OF CLASSROOMS UNDER CY 2020 QUICK RESPONSE FUND (QRF)  (Lots 4,9, 11, 22 and 32 – Rebid) Project No.: 20</t>
  </si>
  <si>
    <t xml:space="preserve"> Invitation to Bid  1.	The CITY GOVERNMENT OF CAUAYAN CITY, ISABELA  through the TRUST FUND intends to apply the sum of  FOURTEEN MILLION FOUR HUNDRED SIXTEEN THOUSAND SEVEN HUNDRED SEVENTY THREE PESOS &amp; EIGHTY FOUR CENTAVOS (Php14,416,773.84)  being the A</t>
  </si>
  <si>
    <t xml:space="preserve"> Department of Education Region VI-Western Visayas Cadiz City Alimatoc Elementary School Invitation to BID for the Procurement of Improvement of Kindergarten Comfortroom 1.	The Alimatoc Elementary School, through the School’s MOOE 2020  intends to apply th</t>
  </si>
  <si>
    <t xml:space="preserve"> Tiglawigan Elementary School are inviting bidders to bid for the Materials for Module amounting of 67,975.00</t>
  </si>
  <si>
    <t xml:space="preserve"> 1 – unit CNC Router with 4th Axis 	-	ABC P1,100,000.00 Specifications: Working Area: 600x900x200mm Travelling Positioning Accuracy: +-0.01/300mm Repositioning Accuracy: +-0.03mm Table Surface: T-slot Extrusion with stainless water tank Frame:  Cast Steel </t>
  </si>
  <si>
    <t xml:space="preserve"> materials:    ceiling 1/4 MARINE PLYWOOD	9.00 BLIND RIVET 5/32 X 1/2	2.00 DRILL BIT 5/32	4.00 MASONRY DRILL BIT	1.00 CONCRETE NAIL #1	1.00 1X4X12 CORNEZA	2.00 1X4X8 CORNEZA	12.00 WALL ANGLE 10FT	74.00 .50 METAL FURRING	50.00 BLACK SCREW 1 1/2	150.00 BLACK</t>
  </si>
  <si>
    <t xml:space="preserve"> Republic of the Philippines Province of Isabela LOCAL GOVERNMENT UNIT OF BENITO SOLIVEN INVITATION TO BID FOR THE PROCUREMENT OF 4-CYLINDER DIESEL TURBO ENGINE FOR LOADER 9-IN-1 1.	The Municipal Government of Benito Soliven, intends to apply the sum of On</t>
  </si>
  <si>
    <t xml:space="preserve"> 1. The Polomolok Water District now invites Bids from MANUFACTURERS/SUPPLIERS &amp; ELIGIBLE BIDDERS for the Supply and Delivery of Assorted Service Connection Materials with an approved budget amounting to PhP 764,525.00. Issuance and availability of bidding</t>
  </si>
  <si>
    <t xml:space="preserve"> OIL HYDROTUR #46, 10 DRUMS, OIL LUBRICATION</t>
  </si>
  <si>
    <t xml:space="preserve"> Republic of the Philippines Office of the Municipal Mayor BIDS AND AWARDS COMMITTEE Sual, Pangasinan Invitation to Bid for PROCUREMENT OF AGRICULTURAL MACHINERY AND EQUIPMENT (Sual, Pangasinan) 1.	The Municipal Government of Sual, Pangasinan, through the </t>
  </si>
  <si>
    <t xml:space="preserve"> INVITATION TO BID PROCUREMENT OF THE ANNUAL SUBSCRIPTION OF  BCDA EMAIL SYSTEM 1.	The BASES CONVERSION AND DEVELOPMENT AUTHORITY (hereinafter referred to as BCDA) through the FY 2020 Corporate Operating Budget, intends to apply the sum of Pesos:  One Mill</t>
  </si>
  <si>
    <t xml:space="preserve"> Use for the different offices of the college for 3rd quarter of C.Y.2020</t>
  </si>
  <si>
    <t xml:space="preserve"> PLS. SEE ATTACHED PR, TOR &amp; BID DOCS FOR DETAILS</t>
  </si>
  <si>
    <t xml:space="preserve"> Tiglawigan Elementary School are inviting bidders to bid for the IEC on proper Hygiene and COVID-19 Precautionary Measures amounting of 7,000.00</t>
  </si>
  <si>
    <t xml:space="preserve"> SUPPLY, DELIVERY, TESTING AND COMMISSIONING OF ON-LINE MULTI-PARAMETER ANALYZER AND WATER LEVEL SENSOR (GOODS-2020-010) - REBID 	 1.	The Government of the Philippines, through the Puerto Princesa City Water District  intends to apply the sum of One Millio</t>
  </si>
  <si>
    <t xml:space="preserve"> XLPE WIRE FOR 13.8KV BURIAL TYPE POWER CABLE, EU / US</t>
  </si>
  <si>
    <t xml:space="preserve"> INVITATION TO BID FOR THE  PRINT, SUPPLY AND DELIVERY OF MTWD 2021 CALENDAR 1.	The Metropolitan Tuguegarao Water District through the Corporate Budget for the Year 2020  intends to apply the sum of One Million Pesos (P 1,000,000.00) being the Approved Bud</t>
  </si>
  <si>
    <t xml:space="preserve"> Republic of the Philippines Province of Davao del Sur MUNICIPALITY OF STA.CRUZ INVITATION TO BID  PROCUREMENT OF PUMPBOAT FOR TAGABULI BAY CRUISE-2ND POSTING (ITB No. 15-Goods-2020) 1.	The Local Government Unit of Sta. Cruz, Davao del Sur through the Gene</t>
  </si>
  <si>
    <t xml:space="preserve"> INVITATION TOBID FOR Procurement of Technology Laboratory Equipment for NORSU Bayawan- Sta. Catalina, Guihulngan and Main Campuses (Batch 1) GOOD2020-00-04(a) 1. The Negros Oriental State University (NORSU) and the Bids and Awards Committee (BAC), through</t>
  </si>
  <si>
    <t xml:space="preserve"> Other General Requirements, Earthworks, Plain and Reinforced Concrete Work, Finishing and Other Civil Works</t>
  </si>
  <si>
    <t xml:space="preserve"> Location:  LGU-Lagawe ABC: Php 95,000.00 Cost of Bid Docs: 500.00 The Procurement Schedules are as following: 1. Deadline of buying of Bid Docs: July 8, 2020 @ 5:00 PM 2. Deadline for submission of Bid Docs: July 9, 2020 @ 9:00 AM 3. Opening of Bids:  Jul</t>
  </si>
  <si>
    <t xml:space="preserve"> Supply and Delivery of Two-Way Radio for Security Guard ABC=4,000</t>
  </si>
  <si>
    <t xml:space="preserve"> Republic of the Philippines          City of Dumaguete Bids and Awards Committee INVITATION TO BID FOR PURCHASE REQUEST OF 20 BAGS TILE ADHESIVE 25 KGS/BAG OTHER ITEMS 	The City of Dumaguete thru its BIDS AND AWARDS COMMITTEE (BAC), invites all interested</t>
  </si>
  <si>
    <t xml:space="preserve"> ITB  The JH Cerilles State College, through the Trust Fund- MOOE 2020 intends to apply the sum of ONE MILLION TWO HUNDRED NINE THOUSAND SIX HUNDRED PESOS (PHP1,209,600.00) ONLY  being the Approved Budget for the Contract (ABC) to payments under the contra</t>
  </si>
  <si>
    <t xml:space="preserve"> Repair/Maintenance of Mauhang River Control, Downstream Left, Brgy. Sta. Cruz Section, sta. 0+432-sta. 0+532</t>
  </si>
  <si>
    <t xml:space="preserve"> Concreting of Katitisan - Gumaga Road at Brgy. Gumaga, Libungan, Cotabato</t>
  </si>
  <si>
    <t xml:space="preserve"> The Metro Iloilo Water District, through its Bids and Awards Committee (BAC), invites Suppliers / Manufacturers / Contractors to bid for Various Carpentry Materials as per attached Request for Quotation (RFQ) under Purchase Requisition (PR) No. 13811. App</t>
  </si>
  <si>
    <t xml:space="preserve"> The Zamboanga State College of Marine Sciences and Technology (ZSCMST), through its Bids and Awards Committee, is inviting PhilGeps registered suppliers to apply for eligibility and to submit bids for the items mentioned hereunder: B-037-2020 PROCUREMENT </t>
  </si>
  <si>
    <t xml:space="preserve"> Other General Requirements, Civil, Mechanical, Electrical &amp; Sanitary/Plumbing Works, Earthworks, Plain and Reinforced Concrete Work, Finishing and Other Civil Works, Electrical, Drainage and Slope Protection Structures</t>
  </si>
  <si>
    <t xml:space="preserve"> Purchase request submitted by Ma. Theresa Alejandrino 1 unit	 WATER BATH ABC is Php 150,000.00</t>
  </si>
  <si>
    <t xml:space="preserve"> Supply and Delivery of materials for 500m WINS facilities and electrical repair at room 39, 40, and 41. ABC=52,871.64</t>
  </si>
  <si>
    <t xml:space="preserve"> Purchase request submitted by Ma. Theresa Alejandrino  1 unit Acid Cabinet ABC is Php 300,000.00</t>
  </si>
  <si>
    <t xml:space="preserve"> Description   The Zamboanga State College of Marine Sciences and Technology (ZSCMST), through its Bids and Awards Committee, is inviting PhilGeps registered suppliers to apply for eligibility and to submit bids for the items mentioned hereunder: B-036-202</t>
  </si>
  <si>
    <t xml:space="preserve"> Location:  Tungngod/ Boliwong/ Abinuan/ Olilicon/ Cudog/ Tupaya/ Pob. West ABC: Php 1,100,000.00 Cost of Bid Docs: 5,000.00 The Procurement Schedules are as following: 1. Deadline of buying of Bid Docs: July 8, 2020 @ 5:00 PM 2. Deadline for submission of</t>
  </si>
  <si>
    <t xml:space="preserve"> Republic of the Philippines Department of Education Region V SCHOOLS DIVISION OFFICE OF CAMARINES SUR Office of the Bids and Awards Committee INVITATION TO BID FOR:   SUPPLY, DELIVERY AND INSTALLATION OF EQUIPMENT FOR SDO CAMARINES SUR IT SECTION (LOT 1-3</t>
  </si>
  <si>
    <t xml:space="preserve"> INVITATION TO BID SUPPLY AND DELIVERY OF TONERS, IMAGING AND  PHOTOCONDUCTOR KIT FOR MULTIFUNCTION  (COPIER, SCANNER, PRINTER) MACHINE AND LASER PRINTERS OF BIR-RR NO. 9B LAQUEMAR, SAN PABLO CITY  1.	The Bureau of Internal Revenue (BIR), Revenue Region No</t>
  </si>
  <si>
    <t xml:space="preserve"> Republic of the Philippines PROVINCE OF NUEVA VIZCAYA Invitation to Bid for the  CONCRETING OF JCT. NATIONAL BATU-BALINTUGON ROAD Located at Alfonso Castañeda, Nueva Vizcaya  1.	The Provincial Government of Nueva Vizcaya, through the 2020 20% Development </t>
  </si>
  <si>
    <t xml:space="preserve"> Republic of the Philippines PROVINCE OF NUEVA VIZCAYA Invitation to Bid for the  CONSTRUCTION/IMPROVEMENT OF TANDOK-LOCOS-KASERREK FTMR Located at Mabuslo, Bambang, Nueva Vizcaya  1.	The Provincial Government of Nueva Vizcaya, through the 2020 20% Develop</t>
  </si>
  <si>
    <t xml:space="preserve"> Procurement supply and Delivery of One (1) Set Rescue Boat with Outboard Motor Engine and Trailer Location: LGU-Balingasag, Peoples Palace Balingasag, Misamis Oriental</t>
  </si>
  <si>
    <t xml:space="preserve"> Republic of the Philippines Province of Compostela Valley Municipality of Monkayo -o0o- INVITATION TO BID FOR THE PROCUREMENT OF LABOR &amp; MATERIALS FOR THE PROJECT OF REHABILITATION OF DRY MARKET @ BLOCK-2 (PHASE 2) BLACK 2, MARKET SITE, POBLACION, MONKAYO</t>
  </si>
  <si>
    <t xml:space="preserve"> 4head carabao</t>
  </si>
  <si>
    <t xml:space="preserve"> Billboard; Excavation; Grouted Riprap (Class A); Reinforcing Steel Bar (Grade 40); Structural Concrete (Class A);  Safety &amp; Health (Construction Health and safety Requirement); Equipment Requirement: One Bagger Mixer; Concrete vibrator; Water Truck (16000</t>
  </si>
  <si>
    <t xml:space="preserve"> INVITATION TO BID June 24, 2020            Contract ID Number	:  20GIA006 P.R. Number		:  2020-03-0041 dated March 18, 2020 (GOODS) A B C			:  P 4,600,000.00 Contract Location	:  Naval, Province of Biliran Brief Description	:  Procurement of DPWH Equipmen</t>
  </si>
  <si>
    <t xml:space="preserve"> DISPERSANT</t>
  </si>
  <si>
    <t xml:space="preserve"> The Local Government Unit of the Island Garden City of Samal through the 20% Development Fund (2020) intends to apply the sum of One Million Four Hundred Twenty Nine Thousand Nine Hundred Fifty Eight Pesos and Sixty Five Centavos (₱1,429,958.65) being the</t>
  </si>
  <si>
    <t xml:space="preserve"> Republic of the Philippines Province of Batanes	 MUNICIPALITY OF BASCO               INVITATION FOR NEGOTIATED PROCUREMENT  Small Value Procurement Project Reference No. :100-3-01-011 Name of Project	      : Drugs and Medicines Location of Project   : MLG</t>
  </si>
  <si>
    <t xml:space="preserve"> Invitation to Bid ITB-SSS-Goods-2020-018 SUPPLY, DELIVERY, INSTALLATION INTO OPERATIONAL STATE, AND MAINTENANCE OF AN INVESTMENT MANAGEMENT SYSTEM (IMS) (RE-ADVERTISEMENT) Approved Budget for the Contract (ABC)    : ₱ 66,400,000.00 (inclusive of Value Add</t>
  </si>
  <si>
    <t xml:space="preserve"> The Local Government Unit of the Island Garden City of Samal, through the 20% Development Fund (SB#1) intends to apply the sum of One Million Nine Hundred Thirty Four Thousand Nine Hundred Sixteen Pesos and Twenty Nine Centavos (₱1,934,916.29) being the A</t>
  </si>
  <si>
    <t xml:space="preserve"> The Local Government Unit of the Island Garden City of Samal through the 20% Development Funds (2020) intends to apply the sum of Four Million Eight Hundred Forty Nine Thousand One Hundred Six Pesos and Twenty Two Centavos (₱4,849,106.22) being the Approv</t>
  </si>
  <si>
    <t xml:space="preserve"> CONCRETING: LENGTH : 236 METERS WIDTH : 1.0 METERS THICKNESS: 0.075 MTRS</t>
  </si>
  <si>
    <t xml:space="preserve"> The DPWH Nueva Ecija 1st DEO, through its Bids and Awards Committee (BAC), invites contractors to submit bids for the following contract:			 				 	20CE0221: Construction of 1STY2CL, Maragol IS, Science City of Muñoz, Nueva Ecija			 				 				 	CONTRACT DUR</t>
  </si>
  <si>
    <t xml:space="preserve"> The DPWH Nueva Ecija 1st DEO, through its Bids and Awards Committee (BAC), invites contractors to submit bids for the following contract:			 				 	20CE0219: Construction of 3STY15CL, Cuyapo CS, Cuyapo, Nueva Ecija			 				 				 	CONTRACT DURATION: ________</t>
  </si>
  <si>
    <t xml:space="preserve"> The DPWH Nueva Ecija 1st DEO, through its Bids and Awards Committee (BAC), invites contractors to submit bids for the following contract:			 				 	20CE0217: Construction of 2STY8CL, Guimba West CS, Guimba, Nueva Ecija			 				 				 	CONTRACT DURATION: ____</t>
  </si>
  <si>
    <t xml:space="preserve"> The Municipal Government of Luna, Isabela through its Bids and Awards Committee (BAC) invites contractors registered by the Philippine Contractors Accreditation Board (PCAB) to apply and bid for the hereunder project: Name of Project: REHABILITATION OF FA</t>
  </si>
  <si>
    <t xml:space="preserve"> Republic of the Philippines Province of Compostela Valley Municipality of Monkayo -o0o- INVITATION TO BID FOR THE PROCUREMENT OF LABOR &amp; MATERIALS FOR THE PROJECT OF MULTI-PURPOSE HALL IMPROVEMENT-BARANGAY OLAYCON, MONKAYO, DAVAO DE ORO  The Municipality </t>
  </si>
  <si>
    <t xml:space="preserve"> Republic of the Philippines DEPARTMENT OF PUBLIC WORKS AND HIGHWAYS CAPIZ 2ND DISTRICT ENGINEERING OFFICE REGIONAL OFFICE VI Dumalag, Capiz INVITATION TO BID The Department of Public Works and Highways, Capiz 2nd District Engineering Office, through its B</t>
  </si>
  <si>
    <t xml:space="preserve"> The DPWH Nueva Ecija 1st DEO, through its Bids and Awards Committee (BAC), invites contractors to submit bids for the following contract:			 				 	20CE0218: Construction of 2STY6CL, Doroteo R. Jose Elementary School, Cuyapo, Nueva Ecija			 				 				 	CONT</t>
  </si>
  <si>
    <t xml:space="preserve"> The Local Government Unit of the Island Garden City of Samal, through the Special Education Fund intends to apply the sum of One Million Four Hundred Forty Seven Thousand Pesos and Seventy Two Centavos (₱1,447,000.72) being the Approved Budget for the Con</t>
  </si>
  <si>
    <t xml:space="preserve"> Chicken Meat Production  for food sufficiency amidst the threat of Covid-19 Pandemic 5,000 head- one day old chick mixedbreed (immunized) 7 bag - chick booster 42 bag - broiler starter 5 bag - La Sota 650 sachet - Antibiotic (24 grms) 600 sachet - electro</t>
  </si>
  <si>
    <t xml:space="preserve"> Republic of the Philippines DEPARTMENT OF PUBLIC WORKS AND HIGHWAYS CAPIZ 2ND DISTRICT ENGINEERING OFFICE REGIONAL OFFICE VI Dumalag, Capiz INVITATION TO BID The Department of Public Works and Highways, Capiz 2nd District Engineering Office through its Bi</t>
  </si>
  <si>
    <t xml:space="preserve"> The DPWH Nueva Ecija 1st DEO, through its Bids and Awards Committee (BAC), invites contractors to submit bids for the following contract:			 				 	20CE0220: Construction of 2STY4CL, Muñoz National High School (Annex), Science City of Muñoz, Nueva Ecija			</t>
  </si>
  <si>
    <t xml:space="preserve"> I			Procurement &amp; Installation of Radio Antenna @ EOC (Repair &amp; Maintenance)							 	1.00	unit	Repair and Maintenance:							 			Solar MPPT, Charge Controller							 	1.00	unit	Programmamble, 30 amperes							 			Diamond BC-100, 18-174 mhz vhf high angle	</t>
  </si>
  <si>
    <t xml:space="preserve"> Item No.	Quantity	Unit of Issue	Item Description 1	              1	      unit	         Dump Truck 			Specs: Emission Standard                    :  EURO IV Fuel                                           :  Diesel (Turbo Intercooler) Stroke Volume (ml)    </t>
  </si>
  <si>
    <t xml:space="preserve"> 50  bags   Cement (Portland) 6    pcs     9mm Steel Bar 3    pcs     10mm Steel Bar 12  pcs     2 x 4 x 12 Coco Lumber 16  pcs     2 x 4 x 12 Coco Lumber 24  pcs     Corrugated Sheet 0.5 x 12 7    pcs     Marine Plywood 1/4 35  pcs     S4S 2 x 4 x 12 500 </t>
  </si>
  <si>
    <t xml:space="preserve"> PARTICULARS	DATE Pre-bid Conference @ BAC Conference Room, GSO, 1st floor, New Capitol Blg, Pigcarangan, Tubod,LDN.	July 9,  2020 @ 10:00 AM Deadline for Submission of Eligibility requirements and bidding documents for  bid opening (all bids must be place</t>
  </si>
  <si>
    <t xml:space="preserve"> Submersible pump assembly with stainless body bowls and impeller with a capacity of 55 cu. m./hr., 3-phase, 440 volts, 60 Hz, 3450 RPM</t>
  </si>
  <si>
    <t xml:space="preserve"> DRR Rescue, Emergency Equipment and Supplies	                    175,000.00  1	25.00	UNIT	Reflectorized Raincoat, Heavy Duty w/ Print (Poncho Type)							 2	1.00	UNIT	Rescue Basket							 3	1.00	UNIT	Rescue Rope, 12mm dia., 100 meters							 4	1.00	UNIT	A</t>
  </si>
  <si>
    <t xml:space="preserve"> Republic of the Philippines Province of Lanao del Norte MUNICIPALITY OF LALA BIDS AND AWARDS COMMITTEE                                                                                                                                                         </t>
  </si>
  <si>
    <t xml:space="preserve"> SUPPLY AND DELIVERY OF MATERIALS/SUPPLIES FOR EL NIDO DPP.</t>
  </si>
  <si>
    <t xml:space="preserve"> SUPPLY OF LABOR, TOOLS AND EQUIPMENT FOR PCB TESTING OF TRANSFORMER OIL</t>
  </si>
  <si>
    <t xml:space="preserve"> Constructionof Water Treatment House, Fencing of Existing Chlorine House &amp; Filtration House and Installation of Water Treatment Fixture</t>
  </si>
  <si>
    <t xml:space="preserve"> SUPPLY OF LABOR, TOOL AND EQUIPMENT FOR THE FABRICATION/MACHINING/RECONDITIONING OF PARTS AND AUXILLIARIES</t>
  </si>
  <si>
    <t xml:space="preserve"> INVITATION TO BID 20-62  SUPPLY &amp; DELIVERY OF CHEMISTRY ANALYZER;  AND HEMATOLOGY ANALYZER 1.	The Department of Health, Center for Health Development Bicol (DOH – CHD Bicol), through the 2020 General Appropriations Act intends to apply the sum of Twelve M</t>
  </si>
  <si>
    <t xml:space="preserve"> INVITATION TO BID   ADDITIONAL APPROPRIATION OF ROAD CONCRETING AT STO. DOMINGO ST., PUROK MALINAWON, BARANGAY CALUMPANG, GEN. SANTOS CITY The Local Government Unit of Barangay Calumpang, GSC, through the 20% Local Development Fund intents to apply the su</t>
  </si>
  <si>
    <t xml:space="preserve"> Construction of 1-Storey 2-Classroom School Building (with Toilet) with window grilles (9.5m x 18.0m plus corridor)</t>
  </si>
  <si>
    <t xml:space="preserve"> Scope of Works: 1. Pull out of old Riser Pipe 1/4 G.I Pipe and 3" Diameter G.I Pipe 2. Re Bore of Borehole by 5 " more or leaa 60 ft 3. Installation of well casing 4" PVC 4. Installation of Submersible Pump 5 hp single phase 5. Installation of Control Pan</t>
  </si>
  <si>
    <t xml:space="preserve"> Tree cutting and clearing, excavation, chipping of concrete, clearing &amp; wasting, canal cover, shoulder &amp; gutter and cross drain</t>
  </si>
  <si>
    <t xml:space="preserve"> Earthworks excavation, stone masonry works(88 lin.m), plastering, manual hauling of materials</t>
  </si>
  <si>
    <t xml:space="preserve"> 1. The Polomolok Water District now invites Bids from MANUFACTURERS/SUPPLIERS &amp; ELIGIBLE BIDDERS for the Supply and Delivery of GSM/SMS Data Logger (Flow and Pressure) and Accessories with an approved budget amounting to PhP 270,000.00. Issuance and avail</t>
  </si>
  <si>
    <t xml:space="preserve"> Republic of the Philippines DEPARTMENT OF PUBLIC WORKS AND HIGHWAYS OFFICE OF THE DISTRICT ENGINEER Biliran District Engineering Office Naval, Biliran Province INVITATION TO BID June 16, 2020 Contract ID Number	:  20GIA005 P.R. Number		:  2020-06-0057 dat</t>
  </si>
  <si>
    <t xml:space="preserve"> Earthworks excavation, stone masonry works, plastering, material carriage</t>
  </si>
  <si>
    <t xml:space="preserve"> Republic of the Philippines Province of Oriental Mindoro MUNICIPALITY OF PINAMALAYAN OFFICE OF THE BIDS AND AWARDS COMMITTEE Invitation to Bid ITB-2020-18 1.  The Municipal Government of Pinamalayan, Oriental Mindoro, through the authorized appropriations</t>
  </si>
  <si>
    <t xml:space="preserve"> 42	bags	CEMENT 12 	lenghts	10mm Ø DEF. BARS 9	kl.	GI TIE WIRE #16 12	sheets	1/4 THK. ORDINARY MARINE PLYWOOD 18	kls.	SAHARA 20	pcs.	16mm Ø DEF. BARS 49	pcs.	12MM Ø DEF. BARS 20	pcs.	10mm Ø DEF. BARS 15	kls.	CWN #4 8	kls.	CWN# 2 1/2" 1	kls.	CWN #1" 5	lengt</t>
  </si>
  <si>
    <t xml:space="preserve"> Negotiation for the Procurement of Various Medical and Surgical Supplies covering twenty-two (22) items</t>
  </si>
  <si>
    <t xml:space="preserve"> INVITATION TO BID 20-59  SUPPLY &amp; DELIVERY OF ELECTROLYTE ANALYZER 1.	The Department of Health, Center for Health Development Bicol (DOH – CHD Bicol), through the 2020 General Appropriations Act intends to apply the sum of One Million Two Hundred Fifty Th</t>
  </si>
  <si>
    <t xml:space="preserve"> Brief Description:Procurement of F &amp; B Concessionaire for CF-Bacolod Customers, Guests and Officers for a Period of Three (3) Years.  Contract Duration: Three (3) Years Contract from the date of receipt by the winning contractor of the Notice to Proceed. </t>
  </si>
  <si>
    <t xml:space="preserve"> Earthworks: excavation, manual hauling of materials, embankment(stone masonry), concrete topping &amp; plastering</t>
  </si>
  <si>
    <t xml:space="preserve"> ITEM NO.	QTY.	UNIT	SPECIFIC DESCRIPTION	     1	         95	 Pcs	150mm(6”)Ø x 6m uPVC Pipe with Rubber Ring (Series 8)		     2	         95	 Pcs	200mm(8”)Ø x 6m uPVC Pipe with Rubber Ring (Series 8)		     3	       240	 Pcs	250mm(10”)Ø x 6m uPVC Pipe with Ru</t>
  </si>
  <si>
    <t xml:space="preserve"> Invitation to Bid for  Supply and Delivery of Construction Materials for Mambusao RIS NIAACIMO-RRENIS-MAMBUSAO-GS08-20 1.	The National Irrigation Administration Aklan-Capiz Irrigation Management Office, Linabuan Sur, Banga, Aklan, through the General Appr</t>
  </si>
  <si>
    <t xml:space="preserve"> For Improvement/ Cleaning and Maintenance of Drainage Canal (Materials)</t>
  </si>
  <si>
    <t xml:space="preserve"> For Construction of Multi-purpose Building (DSWD)</t>
  </si>
  <si>
    <t xml:space="preserve"> Republic of the Philippines CITY GOVERNMENT OF ANTIPOLO Antipolo City INVITATION TO BID For the Supply &amp; Delivery of Medical Oxygen The City Government of Antipolo, through the General Fund intends to apply the sum of P 3,518,500.00 being the Approved Bud</t>
  </si>
  <si>
    <t xml:space="preserve"> Item I Excavation Item II Formworks Item III 2 Barrel RCBC (incl. wingwall, headwall &amp; apron) Item IV Embankment Item V Subgrade Preparation Item VI Portland Cement Concrete Pavement</t>
  </si>
  <si>
    <t xml:space="preserve"> Republic of the Philippines Province of Misamis Occidental MUNICIPALITY OF PANAON INVITATION TO BID FOR  PROCUREMENT OF ONE (1) UNIT K2500 DOUBLE CAB (Procurement of Goods) 									June 18, 2020 1.	The Municipality of Panaon, Misamis Occidental intends t</t>
  </si>
  <si>
    <t xml:space="preserve"> Up keeping and Maintenance of the Port Physical Facilities for a period of  Eleven (11) Months</t>
  </si>
  <si>
    <t xml:space="preserve"> for Construction of Multi-purpose Building Phase III</t>
  </si>
  <si>
    <t xml:space="preserve"> For Construction of Community Police Assistance Center (COMPAC)</t>
  </si>
  <si>
    <t xml:space="preserve"> For Concreting of 120 meters Unpaved road</t>
  </si>
  <si>
    <t xml:space="preserve"> Republic of the Philippines Province of Iloilo Municipality of Lemery Invitation to Bid for Purchase of Office Supplies 1.	The Municipality of Lemery, Iloilo, through the General Fund   intends to apply the sum of  One Million Twenty Nine Thousand Four Hu</t>
  </si>
  <si>
    <t xml:space="preserve"> 1 unit Submersible Pump Coupled with Submersible Motor w/ the ff. specs;       Pump: Q - 18 lps (300 GPM),      TDH - 135 ft,      NTP - 3",  Motor: Rating - 15 Hp,       Frequency - 60 HZ,      Eff. - 68%,       FS - 1.15,       Phasing – 3,      Voltage</t>
  </si>
  <si>
    <t xml:space="preserve"> INVITATION TO BID  Supply and Delivery of 245 bags Hybrid Palay Seeds for use in the Implementation  of  RRP-ALPAS Program under Rice Program 2020 1.	The Department of Agriculture Regional Field Office No. 5, through the General Appropriations Act (GAA) f</t>
  </si>
  <si>
    <t xml:space="preserve"> 2ND INVITATION TO BID  SUPPLY AND DELIVERY OF SEVEN (7) UNITS MECHANICAL RICE TRANSPLANTER UNDER 2020 RICE PROGRAM 1.	The Department of Agriculture Regional Field Office No. 5, through the General Appropriation Act  for CY 2020-Rice intends to apply the s</t>
  </si>
  <si>
    <t xml:space="preserve"> INVITATION TO BID (CW-06-2020-019) The Department of Public Works and Highways (DPWH)-Batangas IV District Engineering Office, Marawoy, Lipa City, Batangas, through its Bids and Awards Committee (BAC), invites contractors to bid for the contract listed be</t>
  </si>
  <si>
    <t xml:space="preserve"> ITEM NO.	UNIT		QTY		DESCRIPTION		 							 1	 ltr. 		35		Albendazole 15% (1liter)		 2	 bts. 		16		 Vitamin ADE (100ml/bottle) 		 3	 vials 		400		 Rabies Vaccine (10 doses/vial) 		 4	 amp 		12		 Ephinephrine 		 5	 pcs 		6821		 Dog tag/ Dog Collar 		 6	 pcs </t>
  </si>
  <si>
    <t xml:space="preserve"> Surface preparation, base coarse preparation, PCCP, gravel surface coarse(road shouldering)</t>
  </si>
  <si>
    <t xml:space="preserve"> Contract Name:	PURCHASE OF SPARE PARTS AND LABOR SERVICES: A.) For use on the repair of fuel system and replacement of worn out tires of HI-7377, Ford Everest 3.0, 2011 B.) For use of 141204 (HI-5871) and 024405 (HI-5606) C.) For replacement of defective </t>
  </si>
  <si>
    <t xml:space="preserve"> Procurement ID/ Contract ID:	20FJ0027 Contract Name:	Repair/ Maintenance of DPWH Building, Motorpool, Masbate III District Engineering Office                                                                  Contract Location:	Brgy. Balocawe, Dimasalang, M</t>
  </si>
  <si>
    <t xml:space="preserve"> RFQ-GS-20200616-01 Interested Suppliers are invited to submit Price Quotation for the above listed item. The official LANDBANK Request for Quotation Form may be obtained from MS. CHARM FLORIDO (email address: floridocharmaine@gmail.com). The deadline for </t>
  </si>
  <si>
    <t xml:space="preserve"> DESCRIPTION: One (1) Unit Dump Truck SPECIFICATIONS: 4 Cylinder Diesel Engine 4x4 (6 wheeler) 5 speed (Manual Transmission) 3.9 Liters (Turbo Intercooler) 8.25-16 &amp; 6.5-16 (Tire &amp; Rim) 8500 kg. Gross Vehicle Weight INCLUSIVE OF: 120 Ton Jack 1 Tire Wrench</t>
  </si>
  <si>
    <t xml:space="preserve"> Invitation to Bid for Construction Slope Protection (Lugsad Spring Including Intake Box) – Labor and Materials 1.	The Calabanga Water District, through the Corporate budget FY 2020 intends to apply the sum of Php2,000,000.00 being the Approved Budget for </t>
  </si>
  <si>
    <t xml:space="preserve"> LOCATION OF PROJECTt: Sapuan, Ambassador, Tublay, Benguet ABC: Php 2,000,000.00 EQUIPMENTS TO BE USED: *1 Transit Mixer *Concrete Vibrator *Backhoe *Dump Truck (5 cu.m.) SCOPE OF WORK TO BE DONE: ITEM 103(1)a Structure Excavation (Common soil) ITEM 105(1)</t>
  </si>
  <si>
    <t xml:space="preserve"> Item I Preparation of Base Item II Riprap Item III Concrete Paving</t>
  </si>
  <si>
    <t xml:space="preserve"> The BAC is conducting the public bidding for this contract pursuant to GPPB Circular 06-2019 dated July 17, 2019 (Guidelines on the Implementation of Early Procurement Activities) in relation to the provisions of the Republic Act 9184 and its Implementing</t>
  </si>
  <si>
    <t xml:space="preserve"> Equipment Rental for the Demolition and Reconstruction of MPB Php83,345.00</t>
  </si>
  <si>
    <t xml:space="preserve"> Republic of the Philippines Municipality of Bontoc Mountain Province Bids and Awards Committee INVITATION TO BID FOR SUPPLY AND DELIVERY OF OFFICE SUPPLIES, MATERIALS AND EQUIPMENT PB GOODS 2020-05/7054290 1.	The Municipal Government of Bontoc,Mountain Pr</t>
  </si>
  <si>
    <t xml:space="preserve"> Republic of the Philippines DEPARTMENT OF PUBLIC WORKS AND HIGHWAYS PANGASINAN IV DISTRICT ENGINEERING OFFICE REGIONAL OFFICE I Tuliao, Sta. Barbara, Pangasinan Invitation to Bid for  Construction of Four (4) Storey Eight (8) Classroom School Building, Pr</t>
  </si>
  <si>
    <t xml:space="preserve"> ITEM NO.	UNIT		QTY		DESCRIPTION		 							 					Clinical Laboratory Program		 					 Conduct of early diagnosis through Clinical Laboratory 		 					 examination 		 1	 bots 		12		 70% Isoprophyl Alcohol (1 liter) 		 2	 bxs 		16		 Face Mask 		 3	 bxs 		5		 Mi</t>
  </si>
  <si>
    <t xml:space="preserve"> For MMH Medicines</t>
  </si>
  <si>
    <t xml:space="preserve"> ITEM NO.	UNIT		QTY		DESCRIPTION		 							 					 BOTIKA NG BAYAN 		 					 Proper Dispensing and Monitoring of Prescribed Medicines 		 1	 bxs 		5		Acetylcysteine 200mg Sachet 100's		 2	 bxs 		10		 Acetylcysteine 600mg Effervescent 100's 		 3	 bxs 		25		 Alu</t>
  </si>
  <si>
    <t xml:space="preserve"> For Improvement / Cleaning and Maintenance of Drainage Canal (Labor)</t>
  </si>
  <si>
    <t xml:space="preserve"> ITEM NO. QTY UNIT DESCRIPTION 1.  580 PCS 4 THICK CHB 2.  48 BAGS CEMENT 3.  4.0 CU M WASH SAND 4.  30 LENGTH 10MM DEF BAR 5.  4 KILOS TIE WIRE # 16 6.  9 SHTS 1/4"X4'X8' B. I. PLATE 7.  16 LENGTH 1/4"X1"X1"X6.0M 8.  6 LENGTH  16MM DIAX6.0 DEF BAR 9.  8 P</t>
  </si>
  <si>
    <t xml:space="preserve"> ITEM NO.	UNIT		QTY		DESCRIPTION		 							 					Wood Vinegar Production		 1	 sacks 		80		 Coconut Shells 		 2	 pcs. 		500		 Empty Bottle(1.5) 		 3	 sacks 		100		 Wood Cuttings 		 4	 pcs. 		3		 Pail (Orocan) 		 5	 pcs. 		3		 Plywood Marine (1/2) 		 6	 bd.ft</t>
  </si>
  <si>
    <t xml:space="preserve"> Republic of the Philippines Province of Sarangani Municipality of Alabel oooOooo INVITATION TO BID FOR PROCUREMENT OF ONE (1) UNIT RESCUE VEHICLE 1.The Municipality of Alabel, through the 5% Calamity Fund for CY 2019 &amp; 2020[  Ibid.] intends to apply the s</t>
  </si>
  <si>
    <t xml:space="preserve"> For 4 Units Aircon Floor Standing 3HP with Installation</t>
  </si>
  <si>
    <t xml:space="preserve"> Project 2020-15: Purchase of Assorted Sizes uPVC Pipes S-8 &amp; S-10, Fixed Seal</t>
  </si>
  <si>
    <t xml:space="preserve"> INVITATION TO BID The DPWH-Bataan 2nd District Engineering Office, through its Bids and Awards Committee (BAC), invites contractors to submit bids for the following Contract: Contract ID	:	20CB0071 Contract Name	:	Construction of Two(2) Storey Four(4) Cla</t>
  </si>
  <si>
    <t xml:space="preserve"> Republic of the Philippines DEPARTMENT OF PUBLIC WORKS AND HIGHWAYS PANGASINAN IV DISTRICT ENGINEERING OFFICE REGIONAL OFFICE I Tuliao, Sta. Barbara, Pangasinan Invitation to Bid for  Construction of Four (4) Storey Eight (8) Classroom School Building, Bo</t>
  </si>
  <si>
    <t xml:space="preserve"> INVITATION TO BID  1.	The CITY GOVERNMENT OF CAUAYAN, ISABELA through the 20% ECONOMIC DEVELOPMENT FUND intends to apply the sum of TWO MILLION SIX HUNDRED FORTY THREE THOUSAND TWO HUNDRED SIXTY NINE PESOS (PHP2,643,269.00) being the Approved Budget for t</t>
  </si>
  <si>
    <t xml:space="preserve"> INVITATION TO APPLY FOR ELIGIBILITY AND TO BID (IAEB) June 19, 2020 The Municipality of Molave, Zamboanga del Sur, through its Bids and Awards Committee (BAC), invites interested bidders to apply for eligibility and to bid for the hereunder project: Contr</t>
  </si>
  <si>
    <t xml:space="preserve"> Item 1 (MPDC)	 12	pc	Ballpen, 145-B, black 12	pc	Ballpen, 145-B, blue 12	pc	Hi-techpoint V5, black 12	pc	Hi-techpoint V5, blue 25	pack	Board paper, long, cream 15	pack	Board paper, medium, cream 7	ream	Book paper, subs. 20 A4 (ultrawhite), 80gsm 15	ream	B</t>
  </si>
  <si>
    <t xml:space="preserve"> Republic of the Philippines Department of Environment and Natural Resources ENVIRONMENTAL MANAGEMENT BUREAU Region VI, Iloilo City INVITATION TO BID FOR THE SUPPLY AND DELIVERY OF ICT EQUIPMENT OF EMB REGION VI CY 2020 (RE-BID) ITB No. EMB-GOODS-NCB-2020-</t>
  </si>
  <si>
    <t xml:space="preserve"> INVITATION TO BID The DPWH-Bataan 2nd District Engineering Office, through its Bids and Awards Committee (BAC), invites contractors to submit bids for the following Contract: Contract ID	:	20CB0072 Contract Name	:	Construction of Two(2) Storey Four(4) Cla</t>
  </si>
  <si>
    <t xml:space="preserve"> CONTRACT NO.: BNLSL-LCB-34-2020 LOCATION: Tabion SIP, Leyte, Leyte SCOPE OF WORK: Construction of Diversion Works, Canal and Farm Level System APPROVED BUDGET FOR CONTRACT: Php 6,592,238.00 CONTRACT DURATION: 200 calendar days Bidding will be conducted in</t>
  </si>
  <si>
    <t xml:space="preserve"> INVITATION TO BID SUPPLY, DELIVERY, INSTALLATION, TESTING,  APPLICATIONS TRAINING, AND COMMISSIONING OF  VARIOUS MEDICAL EQUIPMENT (Batch 2)  FOR GOV. CELESTINO GALLARES MEMORIAL HOSPITAL  1.	The Gov. Celestino Gallares Memorial Hospital, through Hospital</t>
  </si>
  <si>
    <t xml:space="preserve"> INVITATION TO BID FOR THE SUPPLY, DELIVERY AND COMMISSIONING OF LITHOTRIPTOR SET FOR STONE SURGERIES 1.  The Cagayan Valley Medical Center (CVMC), intends to apply the sum Six Million Pesos (Php   6,000,000.00 ) being the Approved Budget for the Contract </t>
  </si>
  <si>
    <t xml:space="preserve"> INVITATION TO BID FOR THE PROVISION OF LABOR, MATERIALS, EQUIPMENT RENTALS AND OTHER INCIDENTALS NEEDED FOR THE RECONSTRUCTION OF (2 UNITS) GOAT HOUSE IN PREC-SUAL, PANGASINAN 1.	The Department of Agriculture Regional Field Office 1 (DA RFO-1), through th</t>
  </si>
  <si>
    <t xml:space="preserve"> For Medical Supplies for MMH</t>
  </si>
  <si>
    <t xml:space="preserve"> For Health Equipment,</t>
  </si>
  <si>
    <t xml:space="preserve"> Republic of the Philippines DEPARTMENT OF PUBLIC WORKS AND HIGHWAYS PANGASINAN IV DISTRICT ENGINEERING OFFICE REGIONAL OFFICE I Tuliao, Sta. Barbara, Pangasinan Invitation to Bid for  Construction of Two (2) Storey Six (6) Classroom School Building at Tul</t>
  </si>
  <si>
    <t xml:space="preserve"> Item I Demolition of Existing Structure Item II Subgrade Preparation Item III Masonry Works Item IV Fabrication &amp; Installation of Gate Item V Portland Cement Concrete Pavement</t>
  </si>
  <si>
    <t xml:space="preserve"> Republic of the Philippines DEPARTMENT OF PUBLIC WORKS AND HIGHWAYS PANGASINAN IV DISTRICT ENGINEERING OFFICE REGIONAL OFFICE I Tuliao, Sta. Barbara, Pangasinan Invitation to Bid for  Construction of Four (4) Storey, Eight (8) Classroom School Building, M</t>
  </si>
  <si>
    <t xml:space="preserve"> Please see the attached file.</t>
  </si>
  <si>
    <t xml:space="preserve"> For 400 pcs ARAD Water System</t>
  </si>
  <si>
    <t xml:space="preserve"> For Expansion/ Improvement of Level III Water System</t>
  </si>
  <si>
    <t xml:space="preserve"> 3 site Conduct of Enginnering Geological &amp; Geo-Hazard Assessment (EGGA) to be performed by a license Geologist as required in the issuance of Environmental Compliance Certificate (ECC) Talaingod : Sitio Mesolong, Sto. Nino Sitio Nasilaban. Palma Gil New C</t>
  </si>
  <si>
    <t xml:space="preserve"> TThe Local Government Unit of Bula is inviting interested PhilGEPS accredited contractors to apply for eligibility and to submit complete bid for the CONSTRUCTION OF STANDARD DAY CARE CENTER at Barangay Fabrica, Bula, Camarines Sur under the DSWDO CY 2020</t>
  </si>
  <si>
    <t xml:space="preserve"> For Construction of DRRM Operations Center Phase I</t>
  </si>
  <si>
    <t xml:space="preserve"> Brief Description:Procurement of Cafeteria Concessionaire for CF-Iloilo Employees for a Period of Two (2) Years  Contract Duration: Two (2) Years Contract from the date of receipt by the winning contractor of the Notice to Proceed.  Approved Budget for th</t>
  </si>
  <si>
    <t xml:space="preserve"> Invitation to Bid for  Supply and Delivery of Construction Materials for Tina II PCIP NIAACIMO-SIP-TINA II-GS07-20 1.	The National Irrigation Administration Aklan-Capiz Irrigation Management Office, Linabuan Sur, Banga, Aklan, through the General Appropri</t>
  </si>
  <si>
    <t xml:space="preserve"> RFQ-GS-20200616-05 Interested Suppliers are invited to submit Price Quotation for the above listed item. The official LANDBANK Request for Quotation Form may be obtained from MS. LUBELLE LUMABAS (email address: landbank2290@gmail.com; llumabas@mail.landba</t>
  </si>
  <si>
    <t xml:space="preserve"> Invitation to Bid Supply and Delivery of Toners and Inks, 1 Lot, for the Utilization of Pantawid Pamilya staff in RPMO, POO1, POO2, POO3, POO4 and Its municipalities 1.	The Department of Social Welfare and Development, Field Office 02, through the Governm</t>
  </si>
  <si>
    <t xml:space="preserve"> Sub-grade preparation, base coarse preparation, gravel surface coarse(shouldering), PCCP</t>
  </si>
  <si>
    <t xml:space="preserve"> Signage Earthworks (Excavation &amp; Back filling) Reinforcing Steel Bars Form Works Masonry Works w/ Plaster Concrete Works Structural Steel Frame Roof and Cladding, including down spout installation Electrical Works Drainage Canal with Steel Grating and Cat</t>
  </si>
  <si>
    <t xml:space="preserve"> see ITB attached</t>
  </si>
  <si>
    <t xml:space="preserve"> 1	REAR AXLE CASE ASSEMBLY (HOUSING)  2	CROSS JOINT (PROPELLER  SHAFT )  3	HUB BOLT -LEFT FRONT  4	HUB BOLT -RIGHT FRONT  5	HUB BOLT -LEFT REAR  6	HUB BOLT -RIGHT REAR  7	STARTER ASSEMBLY  8	SPRING CHAMBER ASSEMBLY  9	WIPER MOTOR  10	LEAF SPRING (FRONT )  </t>
  </si>
  <si>
    <t xml:space="preserve"> CONTRACT NO.: BNLSL-LCB-04A-2019 LOCATION: Sto. Niño CIP, Babatngon, Leyte SCOPE OF WORK: Construction of Canal System APPROVED BUDGET FOR CONTRACT: Php 2,114,998.40 CONTRACT DURATION: 60 calendar days Bidding will be conducted in accordance with relevant</t>
  </si>
  <si>
    <t xml:space="preserve"> SUPPLY, DELIVERY AND INSTALLATION OF 3-75KVA TRANSFORMERS INCLUDING ACCESSORIES I. GENERAL EXPENSES I.1 MOBILIZATION, DEMOBILIZATION AND CLEAN UP OF SITE II MAIN POWERLINE SYSTEM II.1 INSTALLATION OF POWERLINE SYSTEM INCLUDING TESTING AND COMMISSIONING OF</t>
  </si>
  <si>
    <t xml:space="preserve"> Invitation to Bid on the Supply &amp; Installation of Various Furniture,  Steel Signage &amp; Combi. Blinds at Health Services Building (Main Campus) 1.	The Bukidnon State University, through the INCOME 2020-Fund 164  intends to apply the sum of Three Million Pes</t>
  </si>
  <si>
    <t xml:space="preserve"> Excavation, grouted riprap, plastering</t>
  </si>
  <si>
    <t xml:space="preserve"> Republic of the Philippines Province of Ilocos Norte MUNICIPAL GOVERNMENT OF SOLSONA INVITATION TO BID FOR THE  IMPROVEMENT OF FARM TO MARKET ROADS SITIO TOLEDO &amp; CABATUAN, BRGY. BARCELONA, SOLSONA, ILOCOS NORTE 1.	The LGU-SOLSONA, through the RA 7171  in</t>
  </si>
  <si>
    <t xml:space="preserve"> 1 LOT	Hybrid Soil and Plant Laboratory (Chemistry and Biology) Equipment 							 Specifications/Inclusions:			 1 UNIT Interactive Projector - (Size 35.6 cm X 37.5 cmX 76.8 cm), (Weight- 12.7 kg), (Projector box- 51.6X 49.4X 57.9 cm, shipping weight- 14.5 </t>
  </si>
  <si>
    <t xml:space="preserve"> ITB No. 2020-75 June 19, 2020 Republic of the Philippines Province of Davao Oriental CITY OF MATI INVITATION TO BID CONSTRUCTION OF MULTI-PURPOSE BUILDING KAGITINGAN, MAGAY, BRGY. DON MARTIN MARUNDAN Name of Project 1.	The City Government of Mati, through</t>
  </si>
  <si>
    <t xml:space="preserve"> PROVINCIAL GOVERNMENT OF ISABELA Invitation to Bid for  Repair of Water Tank Flooring at Milagros Albano District Hospital, Cabagan, Isabela  1.	The Provincial Government of  Isabela, through the PGI Fund intends to apply the sum of One Hundred Six Thousa</t>
  </si>
  <si>
    <t xml:space="preserve"> 1. The Polomolok Water District now invites Bids from MANUFACTURERS/SUPPLIERS &amp; ELIGIBLE BIDDERS for the Supply and Delivery of Assorted Materials for the Establishment of District Metering Area with an approved budget amounting to PHP 430,000.00. Issuanc</t>
  </si>
  <si>
    <t xml:space="preserve"> 350	vials	Varicella-Zoster Vaccine Live 		   Specifications: 		19400 PFU/ 		.65ml Lyophilized powder for injection (SC), 		single dose glass vial containing lyophilized powder with  		prefilled syringe containing sterile diluent includes 		2 unattached ne</t>
  </si>
  <si>
    <t xml:space="preserve"> Republic of the Philippines Province of Ilocos Norte MUNICIPALITY OF PINILI INVITATION TO BID FOR “CONSTRUCTION OF BARANGAY HEALTH STATION AT BARANGAY BARBAR”  1.	The Municipality of Pinili, Ilocos Norte through the MDF 2019 intends to apply the sum TWO M</t>
  </si>
  <si>
    <t xml:space="preserve"> SECOND INVITATION TO BID  2nd Invitation for the Supply &amp; Delivery of Lot 3- 5 units Copier for use in the office and staff of RPMSO and PPMSO Sorsogon, Catanduanes and Masbate Special Area for Agricultural Development (SAAD) Program for FY 2020 1.	The De</t>
  </si>
  <si>
    <t xml:space="preserve"> PROVINCIAL GOVERNMENT OF ISABELA Invitation to Bid for  Construction of Mabantad Multi-purpose Hall Cauayan City, Isabela 1.	The Provincial Government of  Isabela, through the PGI Fund intends to apply the sum of Four Million Nine Hundred Ninety Nine Thou</t>
  </si>
  <si>
    <t xml:space="preserve"> Repair/Renovation of Service Stairwell including Demolition/Dismantling of Elevated Water Tank (Near Accounting Building)</t>
  </si>
  <si>
    <t xml:space="preserve"> INVITATION TO BID IB No. GS-2020 – 075 Hospital/Medical Equipment for use of OMSDH/ for the Covid &amp; Non Covid patients of OMSDH 1. The  Provincial  Government  of  Oriental  Mindoro  (PGOM)  through  the  20% Development Fund CA 2019 intends  to  apply  t</t>
  </si>
  <si>
    <t xml:space="preserve"> Improvement of Regional Comptrollership Division Office</t>
  </si>
  <si>
    <t xml:space="preserve"> Excavation, concrete works, masonry works, roofing &amp; railings, doors &amp; windows, toilet, kitchen, &amp; tiles, ceiling, septic tank &amp; canal, electrical, gate, pergola &amp; barrier, painting</t>
  </si>
  <si>
    <t xml:space="preserve"> Angle bar Rib Type, Long Span Roof Purlins Welding Rod Cement Tecscrew, etc</t>
  </si>
  <si>
    <t xml:space="preserve"> INVITATION TO BID The DPWH-Bataan 2nd District Engineering Office, through its Bids and Awards Committee (BAC), invites contractors to submit bids for the following Contract: Contract ID	:	20CB0077 Contract Name	:	Construction of Two(2) Storey Eight(8) Cl</t>
  </si>
  <si>
    <t xml:space="preserve"> INVITATION TO BID The DPWH-Bataan 2nd District Engineering Office, through its Bids and Awards Committee (BAC), invites contractors to submit bids for the following Contract: Contract ID	:	20CB0076 Contract Name	:	Construction of Three(3) Storey Six(6) Cl</t>
  </si>
  <si>
    <t xml:space="preserve"> INVITATION TO BID FOR THE PROVISION OF LABOR, MATERIALS, EQUIPMENT RENTALS AND OTHER INCIDENTALS NEEDED FOR THE REHABILITATION AND ENHANCEMENT OF DORMITORY BUILDING AT DA-PREC, SUAL, PANGASINAN 1.	The Department of Agriculture Regional Field Office 1 (DA </t>
  </si>
  <si>
    <t xml:space="preserve"> INVITATION TO BID FOR THE PROVISION OF LABOR, MATERIALS, EQUIPMENT RENTALS AND OTHER INCIDENTALS NEEDED FOR THE RECONSTRUCTION OF PERIMETER FENCE WITH GATE AT DA-PREC, SUAL, PANGASINAN 1.	The Department of Agriculture Regional Field Office 1 (DA RFO-1), t</t>
  </si>
  <si>
    <t xml:space="preserve"> Republic of the Philippines DEPARTMENT OF PUBLIC WORKS AND HIGHWAYS CAGAYAN 2ND DISTRICT ENGINEERING OFFICE Regional Office II Abulug, Cagayan INVITATION TO BID FOR  CLUSTER  NO. 2020-04-GOODS The DPWH -Cagayan 2nd District Engineering Office through the </t>
  </si>
  <si>
    <t xml:space="preserve"> INVITATION TO BID The DPWH-Bataan 2nd District Engineering Office, through its Bids and Awards Committee (BAC), invites contractors to submit bids for the following Contract: Contract ID	:	20CB0075 Contract Name	:	Construction of Two(2) Storey Four(4) Cla</t>
  </si>
  <si>
    <t xml:space="preserve"> Republic of the Philippines Province of Sarangani Municipality of Maitum Invitation to Bid for  Rehabilitation of Public Market  1.	The Local Government of Maitum, through 20% LDF – Infrastructure Development Project intends to apply the sum of Php 520,00</t>
  </si>
  <si>
    <t xml:space="preserve"> INVITATION TO BID FOR THE PROVISION OF LABOR, MATERIALS, EQUIPMENT RENTALS AND OTHER INCIDENTALS NEEDED FOR THE REHAB AND ENHANCEMENT OF FIELD OPERATIONS UNIT BUILDING AT DA-INREC STATION, BATAC CITY STATION, ILOCOS NORTE 1.	The Department of Agriculture </t>
  </si>
  <si>
    <t xml:space="preserve"> Various Construction Materials</t>
  </si>
  <si>
    <t xml:space="preserve"> Republic of the Philippines DEPARTMENT OF PUBLIC WORKS AND HIGHWAYS ILOILO 1st  DISTRICT ENGINEERING OFFICE Fort San Pedro Road, Iloilo City INVITATION TO BID (RE-BIDDING) 20GGF0014 – Procurement of five (5) pcs. Tires 255/70/R16 and one (1) pc. Aircon Fi</t>
  </si>
  <si>
    <t xml:space="preserve"> INVITATION TO BID The DPWH-Bataan 2nd District Engineering Office, through its Bids and Awards Committee (BAC), invites contractors to submit bids for the following Contract: Contract ID	:	20CB0074 Contract Name	:	Construction of Two(2) Storey Four(4) Cla</t>
  </si>
  <si>
    <t xml:space="preserve"> Republic of the Philippines Province of Sarangani Municipality of Maitum Invitation to Bid for  Construction of 3 Type Public Market Building No. 3-C 1.	The Local Government of Maitum, through 20% LDF 2020 intends to apply the sum of Php 7,600,000.00 bein</t>
  </si>
  <si>
    <t xml:space="preserve"> 22	cases	Powdered Milk 700g x 12 135	cases	Biscuit Cracker 25g x 15</t>
  </si>
  <si>
    <t xml:space="preserve"> Republic of the Philippines BIDS AND AWARDS COMMITTEE FOR THE PROCUREMENT OF GOODS City of Puerto Princesa Barangay Babuyan, Puerto Princesa City INVITATION TO BID (Procurement of Goods) Purchase Request #: 2020-06-02  Date: June 22, 2020 Procuring/Fundin</t>
  </si>
  <si>
    <t xml:space="preserve"> Assorted Oil Crude Oil</t>
  </si>
  <si>
    <t xml:space="preserve"> INVITATION TO BID The DPWH-Bataan 2nd District Engineering Office, through its Bids and Awards Committee (BAC), invites contractors to submit bids for the following Contract: Contract ID	:	20CB0073 Contract Name	:	Construction of Two(2) Storey Four(4) Cla</t>
  </si>
  <si>
    <t xml:space="preserve"> Renovation of Accounting Office</t>
  </si>
  <si>
    <t xml:space="preserve"> Republic of the Philippines PROVINCE OF AGUSAN DEL SUR Municipality of Loreto INVITATION TO BID FOR SPARE PARTS OF HEAVY EQUIPMENT UNDER MEO 1.	The Municipality of Loreto, through the GENERAL FUND intends to apply the sum of THREE HUNDRED FIFTEEN THOUSAND</t>
  </si>
  <si>
    <t xml:space="preserve"> See attached files</t>
  </si>
  <si>
    <t xml:space="preserve"> Republic of the Philippines PROVINCE OF AGUSAN DEL SUR Municipality of Loreto Invitation to Bid for  CONSTRUCTION OF CULTURAL AND RECREATION PARK 1.	The Municipality of Loreto, through the GENERAL FUND (GAD) intends to apply the sum of FIVE MILLION PESOS </t>
  </si>
  <si>
    <t xml:space="preserve"> Republic of the Philippines BIDS AND AWARDS COMMITTEE FOR THE PROCUREMENT OF GOODS City of Puerto Princesa Barangay Babuyan, Puerto Princesa City INVITATION TO BID (Procurement of Goods) Purchase Request #: 2020-06-01  Date: June 17, 2020 Procuring/Fundin</t>
  </si>
  <si>
    <t xml:space="preserve"> 103(1)	Structural Excavation		     6.48 	 cu.m.  500	Reinforced Concrete Culvert Pipes     6.00 	 LM  506)	Stone Masonry (RCCP Headwall)	     1.92 	 cu.m.  104(1)	Embankment			     130.00 	 cu.m.  105(1)	Sub-Grade Preparation	    1,760.00 	 sq.m.  201	Agg</t>
  </si>
  <si>
    <t xml:space="preserve"> INVITATION TO APPLY FOR ELIGIBILITY AND TO BID Project Title: IMPROVEMENT OF FAR-TO-MARKET ROAD @ SITIO APAYA, ALLANGIGAN Project Location: Allangigan, Conner, Apayao Project ID No.: 20MGU-041 The Local Government Unit of CONNER, through the 2020 20% DF i</t>
  </si>
  <si>
    <t xml:space="preserve"> Bids received in excess of the ABC shall be automatically rejected at bid opening. The bidders should have completed within ten (10) years from the date of submission and receipt of bids, a contract similar to the project. The description of an eligible b</t>
  </si>
  <si>
    <t xml:space="preserve"> INVITATION TO BID FOR PROCUREMENT OF MEDICAL EQUIPMENT UNDER HFEP 2020 1.	The Ospital ng Palawan, through HFEP GAA and Trust Fund intends to apply the sum of Forty Million Seven Thousand Eighty-One Pesos &amp; 95/100 (P40,007,081.95) being the Approved Budget</t>
  </si>
  <si>
    <t xml:space="preserve"> INVITATION TO BID  Supply &amp; Delivery of 7,179 liters Foliar Fertilizer for distribution to affected farmers of Typhoon Tisoy 1.	The Department of Agriculture Regional Field Office No. 5, through the General Appropriations Act (GAA) for TS Tisoy- intends t</t>
  </si>
  <si>
    <t xml:space="preserve"> INVITATION TO BID: BID REFERENCE NO.: 2020-19 “SUPPLY AND DELIVERY OF VARIOUS SCUBA DIVING GEARS FOR 10 UNITS 30m. MCS PATROL VESSELS, 4 UNITS OF 11m. MCS PATROL VESSELS, 2 UNITS MMOV, F/V TAMBAKOL AND MRG TECHNICIANS” 1. The Bureau of Fisheries and Aquat</t>
  </si>
  <si>
    <t xml:space="preserve"> The Municipality of Molave, Zamboanga del Sur, through its Bids and Awards Committee, invites suppliers/distributors to apply for eligibility and to bid for the rebidding of the hereunder project: Name of Project : PROCUREMENT OF VARIOUS HARDWARE AND CONS</t>
  </si>
  <si>
    <t xml:space="preserve"> INVITATION TO BID  Supply &amp; Delivery of 7,179 packs Plant Growth Enhancer for distribution to affected farmers of Typhoon Tisoy 1.	The Department of Agriculture Regional Field Office No. 5, through the General Appropriations Act (GAA) for TS Tisoy- intend</t>
  </si>
  <si>
    <t xml:space="preserve"> SEE ATTACHED FILES IN THE LINK ON "OTHER INFORMATION"</t>
  </si>
  <si>
    <t xml:space="preserve"> Procurement ID/ Contract ID:	20FJ0028 Contract Name:	Repair/ Maintenance of DPWH Building, Area Equipment Quarter, Airport Road, Brgy. Kalipay, Masbate City Contract Location:	Airport Road, Brgy. Kalipay, Masbate City Brief Description:	Repair/Maintenance</t>
  </si>
  <si>
    <t xml:space="preserve"> INVITATION TO BID The DPWH-Bataan 2nd District Engineering Office, through its Bids and Awards Committee (BAC), invites contractors to submit bids for the following Contract: Contract ID	:	20CB0078 Contract Name	:	Construction of Two(2) Storey Ten(10) Cla</t>
  </si>
  <si>
    <t xml:space="preserve"> INVITATION TO APPLY FOR ELIGIBILITY AND TO BID Project Title: CONSTRUCTION OF CALAOAN MULTI PURPOSE BUILDING BUILING (PHASE I) Project Location: Buluan, Conner, Apayao Project ID No.: 20MGU-039 The Local Government Unit of CONNER, through the Capital Outl</t>
  </si>
  <si>
    <t xml:space="preserve"> CONSTRUCTION OF SCHOOL BUILDING, CUM EVACUATION CENTER MALAYA HIGH SCHOOL Brgy. Malaya, Labo, Cams. Norte</t>
  </si>
  <si>
    <t xml:space="preserve"> INVITATION TO APPLY FOR ELIGIBILITY AND TO BID Project Title: CONSTRUCTION OF CONCRETE FENCE @ PADDIG ES (PHASE II) Project Location: Caglayan, Conner, Apayao Project ID No.: 20MGU-040 The Local Government Unit of CONNER, through the Capital Outlay Mayor’</t>
  </si>
  <si>
    <t xml:space="preserve"> CONSTRUCTION OF MUNICIPAL DRAINAGE Labo, Cams. Norte</t>
  </si>
  <si>
    <t xml:space="preserve"> CONCRETING OF PAVEMENT-BRGY. STA CRUZ Brgy. Sta. Cruz, Labo, Cams. Norte</t>
  </si>
  <si>
    <t xml:space="preserve"> Book Paper Ballpen Computer Continues Forms Correction Pen Correction Tape Columnar Book Cutter, Heavy Duty Tracing paper Folder, Long Folder, Expanded Paper Fastener Flash Drive Staple Wire Ink, Epson LogBook Mailing Envelop Sliding Folder, etc</t>
  </si>
  <si>
    <t xml:space="preserve"> 1.	The Dangerous Drugs Board, through the General Appropriation Act of 2020  intends to apply the sum of Ten Million Pesos (10,000,000.00) being the Approved Budget for the Contract (ABC) to payments under the contract for PROCUREMENT FOR INSTALLATION OF </t>
  </si>
  <si>
    <t xml:space="preserve"> CONCRETING OF BARANGAY ROAD BULHAO Brgy. Bulhao, Labo, Cams. Norte</t>
  </si>
  <si>
    <t xml:space="preserve"> a.) Ceiling Works (Q=1 lot.) b.)Tile Works (Q=1 lot.) c.) Painting Works (Q=1 lot) d.) Metal Works (Q= 1 lot) e.) CSHP (Q=1 lot)</t>
  </si>
  <si>
    <t xml:space="preserve"> a.) Project Signboard (Q=1 lot) b.) Mobilization/Demobilization (Q=1 lot c.) Construction Safety and Health Program (Q=1 lot) d.) Formworks &amp; wood works (Q-1 lot) e.) Steel Works (Q-1 lot) f.) Concrete Works (V=7,9585 cu.m.) g.) Masonry Works (Q= 1lot) h.</t>
  </si>
  <si>
    <t xml:space="preserve"> Construction of Pigcawayan Fire Station Building</t>
  </si>
  <si>
    <t xml:space="preserve"> Construction of Norala Fire Station Building</t>
  </si>
  <si>
    <t xml:space="preserve"> 1.	The Provincial Government of Misamis Occidental, through the General Funds 2020  intends to apply the sum of Twenty-two Million Three Hundred Thirty-two Thousand Three Hundred Forty-seven Pesos and 27/100 (Php. 22,332,347.27) being the Approved Budget </t>
  </si>
  <si>
    <t xml:space="preserve"> LOCATION OF PROJECT: Tabeyo, Ambassador, Tublay, Benguet ABC: 1,000,000.00 EQUIPMENTS TO BE USED: *1 Transit Mixer *Concrete Vibrator *Backhoe *Dump Truck (5 cu.m) SCOPE OF WORK TO BE DONE: ITEM 102(1) Roadway Excavation (C.E.) ITEM 105(1)a Sub Grade Prep</t>
  </si>
  <si>
    <t xml:space="preserve"> NOTICE OF PROCUREMENT (For Posting Purposes in the PhilGEPS and DPWH websites) Notice is hereby given that the Department of Public Works and Highways (DPWH)- Central Office is undertaking the procurement of Consulting Services for the Construction Superv</t>
  </si>
  <si>
    <t xml:space="preserve"> Republic of the Philippines Cordillera Administrative Region PROVINCIAL GOVERNMENT OF ABRA Bangued Invitation to Bid for  PROPOSED SOLAR POWERED IRRIGATION SYSTEM 1.	The Provincial Government of Abra, through the Budget for the Contract Approved by the Sa</t>
  </si>
  <si>
    <t xml:space="preserve"> Republic of the Philippines Cordillera Administrative Region PROVINCIAL GOVERNMENT OF ABRA Bangued INVITATION TO BID FOR  SUPPLY AND DELIVERY OF OFFICE AND JANITORIAL SUPPLIES &amp; CONSUMABLES 1.	The PROVINCIAL GOVERNMENT OF ABRA, through the Budget for the </t>
  </si>
  <si>
    <t xml:space="preserve"> 105(1)	Sub-Grade Preparation		 2,736.00 	 sq.m.  201	Aggregate Sub-Base Coarse		870.00 	 cu.m.  311	Portland Cement Concrete Pavement	1,710.00 	 sq.m.</t>
  </si>
  <si>
    <t xml:space="preserve"> 100	Clearing &amp; Grubbing				 112.00 	 cu.m.  102	Excavtion to Line and Grade		 75.59 	 LM  104(1)	Embankment				 750.00 	 cu.m.  105(1)	Sub-Grade Preparation		 3,210.32 	 sq.m.  201	Aggregate Sub-Base Coarse		 960.00 	 cu.m.  311	Portland Cement Concrete P</t>
  </si>
  <si>
    <t xml:space="preserve"> REPUBLIC OF THE PHILIPPINES 		                PROVINCE OF PALAWAN MUNICIPALITY OF LINAPACAN 	June 5, 2020 Invitation to Bid (ITB No. 10-20) 1.	The Municipal Government of Linapacan, Palawan through the MUNICIPAL DEVELOPMENT FUND  (20% MDF 2019) projects i</t>
  </si>
  <si>
    <t xml:space="preserve"> 103(1)	Structural Excavation			 7.56 	 cu.m.  500	Reinforced Concrete Culvert Pipes	 7.00 	 LM  506)	Stone Masonry (RCCP Headwall)		 1.92 	 cu.m.  105(1)	Sub-Grade Preparation	  1,200.00 	 sq.m.  201	Aggregate Sub-Base Coarse	     385.00 	 cu.m.  311	Port</t>
  </si>
  <si>
    <t xml:space="preserve"> 105(1)	Sub-Grade Preparation			 300.00 	 sq.m.  201	Aggregate Sub-Base Coarse			 25.00 	 cu.m.  311	Portland Cement Concrete Pavement		150.00 	 sq.m.</t>
  </si>
  <si>
    <t xml:space="preserve"> LOCATION OF PROJECT: Chagao, Daclan, Tublay, Benguet ABC: Php 2,100,000.00 EQUIPMENTS TO BE USED: *1 Transit Mixer *Concrete Vibrator *Backhoe *Dump Truck (5 cu.m.) SCOPE OF WORK TO BE DONE: ITEM 102(1)a Roadway Excavation (Common Soil) ITEM 104(1)a Excav</t>
  </si>
  <si>
    <t xml:space="preserve"> LOCATION OF PROJECT: Salaksak, Ambassador, Tublay, Benguet ABC: Php 1,000,000.00 EQUIPMENTS TO BE USED: *1 Transit Mixer *Concrete Vibrator *Backhoe *Dump Truck (5 cu.m.) SCOPE OF WORK TO BE DONE: ITEM 102(1) Roadway Excavation (C.E.) ITEM 105(1)a Sub Gra</t>
  </si>
  <si>
    <t xml:space="preserve"> a.) Excavation (Q=16.20cu.m.) b.)stone masonry (Q=85.50 cu.m.) c.) CSHP (Q=1 lot) d.) Handling of Materials (Q= 1 lot) e.) Project Signboard (Q=1 lot)</t>
  </si>
  <si>
    <t xml:space="preserve"> LOCATION OF PROJECT: Ambongdolan, Tublay, Benguet ABC: Php 1,500,000.00 EQUIPMENTS TO BE USED: *1 Transit Mixer *Concrete Vibrator *Backhoe *Dump Truck (5 cu.m.) SCOPE OF WORK TO BE DONE: ITEM 103(1)a Structure Excavation (Common Soil) ITEM 104 Embankment</t>
  </si>
  <si>
    <t xml:space="preserve"> TILES 24 TILES 12 HOLLOW BLOCKS PORTLAND CEMENT SAND SALANDRA (FINISHING) DEF BARS 9MM BOWL PAINT COCO LUMBER 2X3X12 (300 BFT) COMMON NAIL #1 COMMON NAIL #3 COMMON NAIL #4 TIE WIRE SLIDING WINDOW REFLECTIVE GLASS BRONZE SWING DOOR ALUMINUM w/ GLASS TILES </t>
  </si>
  <si>
    <t xml:space="preserve"> Contract ID No. 20OH0049 Re-ads Contract Name:  Local Program-Local Infrastructure Program-Flood Control and Drainage-Drainage / Protection Works-Rehabilitation of Estero with Footbridge, Estero Tripa de Gallina, Paco, Manila Contract Location: Manila Cit</t>
  </si>
  <si>
    <t xml:space="preserve"> 105(1)	Sub-Grade Preparation		 1,200.00 	 sq.m.  201	Aggregate Sub-Base Coarse		 225.00 	 cu.m.  311	Portland Cement Concrete Pavement	 488.00 	 sq.m.</t>
  </si>
  <si>
    <t xml:space="preserve"> General Items, Intake Sump, Delivery Pipeline, Power House &amp; Pumping Set, Solar Mounting Structure, Perimeter Fence, Project Marker &amp; Signboard, Mobilization/Demobilization</t>
  </si>
  <si>
    <t xml:space="preserve"> INVITATION TO BID ITB  No. 077-Goods-2020 The City Government of Surigao, through its Bids and Awards Committee (BAC), invites suppliers to bid for the following: Name of Contract	:  Purchase &amp; Delivery of Const. &amp; Electrical Supplies for the     project </t>
  </si>
  <si>
    <t xml:space="preserve"> Invitation to Bid Project No.: R6-D2-2020QRF-01A-SR Repair and Rehabilitation of Classrooms Damaged by Fire Incidents and Various Calamities and Construction of Slope Protection of School Buildings (CY 2020 Quick Response Fund) 1.	The Department of Educat</t>
  </si>
  <si>
    <t xml:space="preserve"> 1. The Mindanao State University – Tawi-Tawi College of Technology and Oceanography (MSU-TCTO), through 2020 General Appropriations Act (GAA) Budget, intends to apply the sum of Forty-Three Million Pesos and 00/100 (PhP 43,000,000.00) being the Approved B</t>
  </si>
  <si>
    <t xml:space="preserve"> Invitation to Bid For Three (3) Years Hardware Maintenance and License Subscription of Axway Secure Transport Server 1.	The LAND BANK OF THE PHILIPPINES (LANDBANK), through its Corporate Budget for the contract approved by the Board of Directors for 2020 </t>
  </si>
  <si>
    <t xml:space="preserve"> Invitation to Bid For One (1) Year Support and Maintenance of Single Back-up Systems Solution for Midrange and Enterprise Platforms 1.	The LAND BANK OF THE PHILIPPINES (LANDBANK), through its Corporate Budget for the contract approved by the Board of Dire</t>
  </si>
  <si>
    <t xml:space="preserve"> CONCRETING OF ACCESS ROAD -STA CRUZ Brgy. Sta. Cruz, Labo, Cams. Norte</t>
  </si>
  <si>
    <t xml:space="preserve"> Plastic bag Prospective bidders should have experience in undertaking a similar project within the last two(2) years with an amount of at least 50% for non-expendable supplies and 25% for expendable supplies of the project to be bid.  The eligibility chec</t>
  </si>
  <si>
    <t xml:space="preserve"> Republic of the Philippines Province of Cagayan LOCAL GOVERNMENT UNIT-MUNICIPALITY SOLANA, 3503 BIDS AND AWARDS COMMITTEE (BAC) Invitation to Bid for  Rehabilitation of Parug-parug Diversion Dam 1.	The Municipal Government of Solana, through Trust Fund  i</t>
  </si>
  <si>
    <t xml:space="preserve"> 700 SETS UPPER AND LOWER COMPLETE DENTURES 220 SETS UPPER COMPLETE DENTURES 240 SETS LOWER COMPLETE DENTURES 84 SETS UPPER REMOVABLE PARTIAL DENTURES 84 SETS LOWER REMOVABLE PARTIAL DENTURES SPECIFICATION: NEW ACE PONTICS &amp; RESIN-BASED DURACYL PINK</t>
  </si>
  <si>
    <t xml:space="preserve"> Various office supplies Prospective bidders should have experience in undertaking a similar project within the last two(2) years with an amount of at least 50% for non-expendable supplies and 25% for expendable supplies of the project to be bid.  The elig</t>
  </si>
  <si>
    <t xml:space="preserve"> INVITATION TO BID ITB  No. 076-Goods-2020 The City Government of Surigao, through its Bids and Awards Committee (BAC), invites suppliers to bid for the following: Name of Contract	:  Purchase of All New Pick-up     4 x 2 E 2.4L Diesel Manual Transmission </t>
  </si>
  <si>
    <t xml:space="preserve"> Re-roofing of Brgy. Hall</t>
  </si>
  <si>
    <t xml:space="preserve"> QTY	UNIT	ITEM DESCRIPTION 		 		Environmental Health Services  79.00 	pc/s	Insecticide Concentrate 1 Liter 		Specification: 		Metofluthrin 0.1% + Cyphenothrin 6% Piperonyl Butoxide 10% 		with Advance Evaporation Retardant Technology that maintains Droplet </t>
  </si>
  <si>
    <t xml:space="preserve"> INVITATION TO BID FOR THE SUPPLY AND DELIVERY OF 6-WHEELER TRUCK   1.	The City of Iloilo, through the Trust Fund CY2017 intends to apply the sum of Two Million Nine Hundred Thousand Pesos (P2,900,000.00) being the Approved Budget for the Contract (ABC) to</t>
  </si>
  <si>
    <t xml:space="preserve"> INVITATION TO BID FOR  The Procurement of Forty  (40) Units of  Pump  Irrigation  System  for Open Source ( PISOS)  1.	The Department of Agriculture-Regional Field Office 7, through the GAA 2020  intends to apply the sum of  Three Million  Six Hundred Tho</t>
  </si>
  <si>
    <t xml:space="preserve"> INVITATION TO BID FOR  The Procurement of One Hundred Eighty-Eight (188) Units Plow (Manual Cultivator Plow)  1.	The Department of Agriculture-Regional Field Office 7, through the GAA 2020  intends to apply the sum of Seven Hundred Fifty-Two Thousand Peso</t>
  </si>
  <si>
    <t xml:space="preserve"> INVITATION TO BID FOR  The Supply of Labor and Materials for the Construction of Cangkue Diversion Dam located at Brgy. Sto. Niño , Tanjay City, Negros Oriental 1.	The Department of Agriculture-Regional Field Office 7, through the GAA 2020  intends to app</t>
  </si>
  <si>
    <t xml:space="preserve"> Invitation to Bid Project No.: R6-D2-2020QRF-01I-SR Repair and Rehabilitation of Classrooms Damaged by Fire Incidents and Various Calamities and Construction of Slope Protection of School Buildings (CY 2020 Quick Response Fund) 1.	The Department of Educat</t>
  </si>
  <si>
    <t xml:space="preserve"> Invitation to Bid Project No.: R6-D2-2020QRF-01H-SR Repair and Rehabilitation of Classrooms Damaged by Fire Incidents and Various Calamities and Construction of Slope Protection of School Buildings under CY 2020 Quick Response Fund 1.	The Department of Ed</t>
  </si>
  <si>
    <t xml:space="preserve"> Invitation to Bid Project No.: R6-D2-2020QRF-01G-SR Repair and Rehabilitation of Classrooms Damaged by Fire Incidents and Various Calamities and Construction of Slope Protection of School Buildings under CY 2020 Quick Response Fund 1.	The Department of Ed</t>
  </si>
  <si>
    <t xml:space="preserve"> QTY	UNIT	ITEM DESCRIPTION 		  85.90 	sq.m.	Masonry Works  1.55 	cu.m.	Concrete Works  64.94 	sq.m.	Roofing Works</t>
  </si>
  <si>
    <t xml:space="preserve"> Invitation to Bid Project No.: R6-D2-2020QRF-01F-SR Repair and Rehabilitation of Classrooms Damaged by Fire Incidents and Various Calamities and Construction of Slope Protection of School Buildings (CY 2020 Quick Response Fund) 1.	The Department of Educat</t>
  </si>
  <si>
    <t xml:space="preserve"> Anti rabies vaccines Prospective bidders should have experience in undertaking a similar project within the last two(2) years with an amount of at least 50% for non-expendable supplies and 25% for expendable supplies of the project to be bid.  The eligibi</t>
  </si>
  <si>
    <t xml:space="preserve"> 2 UNITS	Type II Wide Body Ambulance 	 		with complete accessories	 		Brand New	 		Description:	 		Inline -4 Cylinder, DOHC, 16 Valves,	 		variable Turbocharger (VGS);	 		Common Rail Direct Injection	 		129PS Max Power;	 		356NM Max Torque;	 		16 Liter fil</t>
  </si>
  <si>
    <t xml:space="preserve"> QTY	UNIT	ITEM DESCRIPTION 		  1.00 	l.s.	Concrete and Masonry Works  32.18 	sq.m.	Ceiling Works  12.00 	sq.m.	Wall Partition  1.00 	set/s	Installation of Doors  1.00 	l.s.	Plumbing Works  1.00 	l.s.	Electrical Works  1.00 	l.s.	Fabrication/Installation of</t>
  </si>
  <si>
    <t xml:space="preserve"> Section I. Invitation to Bid Section II. Instructions to Bidders A.  General 1.	Scope of Bid 		 	1.1	The Procuring Entity as defined in the BDS, invites bids for the construction of Works, as described in Section VI- Specifications.  The name and identifi</t>
  </si>
  <si>
    <t xml:space="preserve"> Invitation to Bid Project No.: R6-D2-2020QRF-01E-SR Repair and Rehabilitation of Classrooms Damaged by Fire Incidents and Various Calamities and Construction of Slope Protection of School Buildings (CY 2020 Quick Response Fund) 1.	The Department of Educat</t>
  </si>
  <si>
    <t xml:space="preserve"> Construction and/ or Repair/ Rehabilitation of Multi-Purpose Building 6.00mx15.00mm Ground Floor Only; Ground Floor Area Only - 90.00sq.m at ground floor with canopy and sun breaker, doors and windows, ceiling, painting works for exterior and interior; ce</t>
  </si>
  <si>
    <t xml:space="preserve"> INVITATION TO BID FOR THE PROCUREMENT OF PSA SECURITY GUARD SERVICES FOR TWO (2) YEARS UNDER ITB NO.PB20-06-003ILO  The Philippine Amusement and Gaming Corporation (PAGCOR) is inviting all interested bidders in its forthcoming public bidding for Procureme</t>
  </si>
  <si>
    <t xml:space="preserve"> Invitation to Bid Project No.: R6-D2-2020QRF-01B-SR Repair and Rehabilitation of Classrooms Damaged by Fire Incidents and Various Calamities and Construction of Slope Protection of School Buildings (CY 2020 Quick Response Fund) 1.	The Department of Educat</t>
  </si>
  <si>
    <t xml:space="preserve"> see attached program of work</t>
  </si>
  <si>
    <t xml:space="preserve"> see attached program of works</t>
  </si>
  <si>
    <t xml:space="preserve"> Medical Oxygen etc NOTE:To all suppliers bid documents and BAC Resolution 2020-029 are available at BAC Office and LGU website.</t>
  </si>
  <si>
    <t xml:space="preserve"> Removal of Obstruction/Structure/Layout	1.00	lot Earthworks	80.00	cu.m. Reinforcing Steel Bar	5,516.74	kgs. Structural Concrete	42.41	cu.m. Roof Framing/Roofing	104.00	lot Masonry Works w/ Plastering	230.00	sq.m. Windows	19.08	sq.m. Electrical Works	1.00	</t>
  </si>
  <si>
    <t xml:space="preserve"> Procurement of Toilet Bowl</t>
  </si>
  <si>
    <t xml:space="preserve"> Construction of Drainage</t>
  </si>
  <si>
    <t xml:space="preserve"> Construction of concrete box culvert with embankment at Rafael Lacson Street (Slaughterhouse road)</t>
  </si>
  <si>
    <t xml:space="preserve"> Construction of MPB</t>
  </si>
  <si>
    <t xml:space="preserve"> Improvement /expansion of LGU Water System at Fatima (Purok 5) Liloy, Zamboanga del Norte 48 cu.m.  - Concrete Water Tank 4 sq m.    - Pumphouse 70 sq. m. - Fence 10 kva     - Transformer (including calibration and installation 1 set        - Chlorinator </t>
  </si>
  <si>
    <t xml:space="preserve"> INVITATION TO BID THE BARANGAY NEW LAWAAN THROUGH ITS BIDS AND AWARD COMMITTEE (BAC) INVITES PHILGEPS REGISTERED SUPPLIERS TO APPLY TO BID FOR THE SUPPLY AND DELIVERY OF VARIOUS MATERIALS FOR THE CONSTRUCTION OF 2 UNITS MATERIALS RECOVERY FACILITY. I. CON</t>
  </si>
  <si>
    <t xml:space="preserve"> INVITATION TO BID (Re-Bid) PNOC Exploration Corporation (PNOC EC), through its Bids and Awards Committee (BAC), invites bidders to apply for eligibility and to bid for the hereunder project: Project Name 	Engagement of Service Provider for Group Life and </t>
  </si>
  <si>
    <t xml:space="preserve"> Construction of Convention Center</t>
  </si>
  <si>
    <t xml:space="preserve"> INVITATION TO BID FOR  Procurement of Goods [Books] (Rebid) The   City Government of Tagbilaran,   through the Continuing Appropriation, intends to apply the sum of Three Million Three Hundred Sixty Seven Thousand Four Hundred Fifty Seven Pesos only (Php3</t>
  </si>
  <si>
    <t xml:space="preserve"> Republic of the Philippines PROVINCE OF NORTHERN SAMAR BIDS AND AWARDS COMMITTEE Catarman Procurement of Tires for Service Vehicles and Heavy Equipment Province of Northern Samar NS-06-17-20-06 1.	The Provincial Government of Northern Samar, through the S</t>
  </si>
  <si>
    <t xml:space="preserve"> Republic of the Philippines Province of South Cotabato BIDS AND AWARDS COMMITTEE City of Koronadal  INF-ITB 20-032 INVITATION TO BID  1.	The Provincial Government of South Cotabato, through the PEO-8751 20% LDF (8.6.1) intends to apply the sum of         </t>
  </si>
  <si>
    <t xml:space="preserve"> Item No.	  Description		Qty.		Unit 100(1) Clearing and Grubbing- 0.0467 ha. 102(2) Surplus Common Excavation 56.040 cu.m. 103(1)a Structure Excavation, common soil 29.40 cu.m. 104(2)a Embankment from Borrow(Common soil)-57.190 cu.m. 200(1) Aggregate Sub-b</t>
  </si>
  <si>
    <t xml:space="preserve"> INVITATION TO BID THE BARANGAY NEW LAWAAN THROUGH ITS BIDS AND AWARDS COMMITTEE (BAC) INVITES PHILGEPS REGISTERED SUPPLIERS TO APPLY TO BID FOR THE SUPPLY AND DELIVERY OF VARIOUS MATERIALS FOR ROAD REHABILITATION. AGGREGATE SUB-BASE COARSE</t>
  </si>
  <si>
    <t xml:space="preserve"> QTY	UNIT	ITEM DESCRIPTION 		  1.00 	l.s.	Clearing  240.00 	lmtr.	Construction of Line Canal</t>
  </si>
  <si>
    <t xml:space="preserve"> INVITATION TO BID FOR THE REBIDDING OF THE SUPPLY AND DELIVERY OF VARIOUS LABORATORY REAGENTS AND SUPPLIES (IB NO. 2020-GOODS-005R-02-0618Rep) 1.	The ILOCOS TRAINING AND REGIONAL MEDICAL CENTER (ITRMC), through the Trust Fund- Income Collection, intends t</t>
  </si>
  <si>
    <t xml:space="preserve"> Republic of the Philippines PROVINCE OF QUIRINO Cabarroguis -oOo- BIDS AND AWARDS COMMITTEE INVITATION TO BID FOR  Procurement of Various Medicines for COVID-19 Prevention Contract No. PB-GS-2020-007 							June 14, 2019 1.	The Bids and Awards Committee (</t>
  </si>
  <si>
    <t xml:space="preserve"> INVITATION TO BID NO. 20-27 SUPPLY &amp; DELIVERY OF I.T. EQUIPMENT, PERIPHERALS AND CONSUMABLES  1.	The Department of Health Center for Health Development Bicol (DOH CHD Bicol), through the GOP General Appropriation Act of 2020, intends to apply the sum of O</t>
  </si>
  <si>
    <t xml:space="preserve"> Republic of the Philippines DEPARTMENT OF PUBLIC WORKS AND HIGHWAYS MASBATE 1st  DISTRICT ENGINEERING OFFICE REGIONAL OFFICE V San Fernando, Masbate Control No. 2020 - 004 								June 18, 2020 INVITATION TO BID The Department of Public Works and Highways</t>
  </si>
  <si>
    <t xml:space="preserve"> INVITATION TO BID 20-38  SUPPLY &amp; DELIVERY OF ANESTHESIA MACHINE 1.	The Department of Health, Center for Health Development Bicol (DOH – CHD Bicol), through the 2020 General Appropriations Act intends to apply the sum of Three Million Seven Hundred Fifty </t>
  </si>
  <si>
    <t xml:space="preserve"> Description:		 			Road Canal Section Length: 260 L.m		 			Type:  Grouter Riprap		 			Depth: 0.08m		 			Width, Bottom: 0.60m		 			Top: 0.80m	 	 			CONTRACT COST:	 	 	LOT	1	SPECIAL-ITEM-GENERAL CONDITIONS		 	LOT	1	A. Mobilization and Demobilization		10,000.</t>
  </si>
  <si>
    <t xml:space="preserve"> Republic of the Philippines Province of South Cotabato BIDS AND AWARDS COMMITTEE City of Koronadal  INF-ITB 20-031 INVITATION TO BID  1.	The Provincial Government of South Cotabato, through the PEO-8751 20% LDF (8.4.4) intends to apply the sum of         </t>
  </si>
  <si>
    <t xml:space="preserve"> INVITATION TO BID Bid No. B-83-2020  1.	The Provincial Government of Negros Oriental, through Source of Fund: SP. Res. No. 1076-2017, AO 57 series of 2017, 20% DF, CY 2018; SP. Res. No. 846-2108,20%DF, AIP 2019, intends to apply the sum of Two Million Two</t>
  </si>
  <si>
    <t xml:space="preserve"> Quantity	Unit 	Description/Article 400	pc	Hollow Blocks 2	cu.m	Fine Sand 15	pc	10mm Rebars 10	pc	9mm Rebars 25	sack	Premium Cement 10	kl	Tie Wire 5	sheet	Marine Plywood 3/4 2	pc	Main Door 30	pc	Square bar 10mm 6	pc	Flat Bar 3/16x1 4	length	1.5mm C-Purlins</t>
  </si>
  <si>
    <t xml:space="preserve"> Purchase and Delivery of Office Supplies for CY 2020 Santa, Ilocos Sur</t>
  </si>
  <si>
    <t xml:space="preserve"> LOCATION OF PROJECT: Lower Coroz, Ambassador, Tublay, Benguet ABC: Php 2,000,000.00 EQUIPMENTS TO BE USED: *1 Transit Mixer *Concrete Vibrator *Backhoe *Dump Truck (5 cu.m.) SCOPE OF WORK TO BE DONE: ITEM 102(1) Roadway Excavation (C.E.) ITEM 105(1)a Sub </t>
  </si>
  <si>
    <t xml:space="preserve"> 4 units Brand New Ambulance: Cab/Bed Type-Standard Cab/High Deck-Long Wheelbase;21 Seating Capacity;2.6L Engine,Naturally Aspirated,4 cyl,SOHC,8-valve;Diesel Engine-Euro2 Compliant;2607cc Displacement;91.1x100mm Bore X Stroke;22.0:1 Compression Ratio;79/4</t>
  </si>
  <si>
    <t xml:space="preserve"> INVITATION TO BID 20-46  SUPPLY &amp; DELIVERY OF BLOOD CULTURE SENSITIVITY MACHINE 1.	The Department of Health, Center for Health Development Bicol (DOH – CHD Bicol), through the 2020 General Appropriations Act intends to apply the sum of One Million  Pesos </t>
  </si>
  <si>
    <t xml:space="preserve"> Republic of the Philippines PROVINCE OF NORTHERN SAMAR BIDS AND AWARDS COMMITTEE Catarman Invitation to Bid NS-06-17-20-09 Concreting of Salvacion-Balat Balud Farm to Market Road Bobon Northern Samar 1.	The Provincial Government of Northern Samar, through</t>
  </si>
  <si>
    <t xml:space="preserve"> 4 units Brand New Dump Truck 8x4: COMPLETE KERB MASS (kg): 8x4, GVW (kg): 8500, DIMENSIONS LWH (mm): 10400*2500*3600, FRONT/REAR OVERHANG (mm): 1525/2055, WHEELBASE (mm): 1800+3600+1400, MAX. SPEED (kmh): 88, MIN. TURNING CIRCLE: 17, MIN. GROUND CIRCLE: 3</t>
  </si>
  <si>
    <t xml:space="preserve"> Republic of the Philippines Province of Quezon Municipality of Perez Bids &amp; Awards Committee INVITATION TO BID FOR  Re-Blocking of Feeder Road with Canal Improvement, Brgy. Sangirin (Materials) 1.	The Municipal Government of Perez, Quezon through its 20% </t>
  </si>
  <si>
    <t xml:space="preserve"> Republic of the Philippines PROVINCE OF NORTHERN SAMAR BIDS AND AWARDS COMMITTEE Catarman Invitation to Bid NS-06-17-20-10 Street Concreting Brgy. Magsaysay Bobon Northern Samar 1.	The Provincial Government of Northern Samar, through SP Ordinance No. 21, </t>
  </si>
  <si>
    <t xml:space="preserve"> Materials for the Completion of Spring Development Project</t>
  </si>
  <si>
    <t xml:space="preserve"> SUPPLY &amp; DELIVERY OF LABORATORY REAGENTS  IB NO. 20-10 1.	The Department of Health, Center for Health Development Bicol, through the authorized appropriations under the GOP General Appropriation Act of 2020 intends to apply the sum of ONE MILLION FIVE HUN</t>
  </si>
  <si>
    <t xml:space="preserve"> Multicab              1 unit</t>
  </si>
  <si>
    <t xml:space="preserve"> Republic of the Philippines Municipality of Bontoc Mountain Province Bids and Awards Committee INVITATION TO BID FOR PURCHASE OF 1 UNIT MPV(MULTI-PURPOSE VEHICLE) 2.8L G DIESEL AT PB GOODS 2020-04/7050670 1.	The Municipal Government of Bontoc,Mountain Pro</t>
  </si>
  <si>
    <t xml:space="preserve"> (DOWNLOAD ATTACHMENT) Prospective bidders should have completed a similar contract with a value of at least 50% of the ABC. The BAC will use non-discretionary pass/fail criteria in the eligibility check/screening as well as the preliminary examination of </t>
  </si>
  <si>
    <t xml:space="preserve"> Republic of the Philippines Province of Davao del Sur Municipality of Malalag INVITATION TO BID FOR THE SUPPLY AND DELIVERY OF MATERIALS FOR THE CONSTRUCTION/REHAB. OF POTABLE WATERSYSTEM, IBO, MALALAG DAVAO DEL SUR 1.	The Local Government of Malalag, thr</t>
  </si>
  <si>
    <t xml:space="preserve"> Republic of the Philippines Province of Davao del Sur Municipality of Malalag INVITATION TO BID FOR THE SUPPLY AND DELIVERY OF ONE (1) UNIT FABRICATED PLASTIC AND CELLOPHANE PULVERIZER EQUIPMENT 1.	The Local Government of Malalag, through its Annual Budge</t>
  </si>
  <si>
    <t xml:space="preserve"> Structure Excavation, Gravel Bedding. Fill and Backfill, Reinforced concrete of 5 units footing and column, 2 units x 6 L.m. Roof Beam and 3 units x 6 L.m. Roof Beam and 3 units x 6 L.m. Tie Beam, Fabrication and Installation of 2 units Full Truss, Roof F</t>
  </si>
  <si>
    <t xml:space="preserve"> Republic of the Philippines Province of Quezon Municipality of Perez Bids &amp; Awards Committee INVITATION TO BID FOR  Improvement of Public Cemetery, Brgy. Sangirin (Materials) 1.	The Municipal Government of Perez, Quezon through its Local Fund intends to a</t>
  </si>
  <si>
    <t xml:space="preserve"> Construction of Masonry Drainage Structure, Along Soriano Street, Centro 11, Balzain East, Tuguegarao City</t>
  </si>
  <si>
    <t xml:space="preserve"> Republic of the Philippines Province of Quezon Municipality of Perez Bids &amp; Awards Committee INVITATION TO BID FOR  Concreting of Refazo Street Extension (Materials) 1.	The Municipal Government of Perez, Quezon through its 20% MDF intends to apply the sum</t>
  </si>
  <si>
    <t xml:space="preserve"> 1.	The Local Government Unit (LGU) of Caluya, Antique through the Municipal Annual Budget 2020 intends to apply the sum of Two Million Six Hundred Sixty-Five Thousand Four Hundred Pesos (Php2,665,400.00) only being the Approved Budget for the Contract (AB</t>
  </si>
  <si>
    <t xml:space="preserve"> 1.	The Local Government Unit (LGU) of Caluya, Antique, through the Municipal Annual Budget 2020 intends to apply the sum of Nine Million Nine Hundred Ninety-Nine Thousand Nine Hundred Eighty-Six Pesos (P9,999,986.00) only being the Approved Budget for the</t>
  </si>
  <si>
    <t xml:space="preserve"> Republic of the Philippines Province of Agusan del Norte Municipality of Remedios T. Romualdez BARANGAY TAGBONGABONG Invitation to Bid PROCUREMENT OF WATER SUPPLY ACCESSORIES AND MATERIALS FOR THE IMPROVEMENT OF WATER SYSTEM OF TAGBONGABONG 1. The BLGU Ta</t>
  </si>
  <si>
    <t xml:space="preserve"> Republic of the Philippines Province of Quezon Municipality of Perez Bids &amp; Awards Committee INVITATION TO BID FOR  Repair &amp; Maintenance of Machinery &amp; Equipment (Tools &amp; Parts- Ambulance, Nissan Van, Volvo Truck, Pay Loader) 1.	The Municipal Government o</t>
  </si>
  <si>
    <t xml:space="preserve"> INVITATION TO BID 20-32  SUPPLY &amp; DELIVERY OF ELECTROCAUTERY MACHINE WITH ARGON PLASMA COAGULATOR 1.	The Department of Health, Center for Health Development Bicol (DOH – CHD Bicol), through the 2020 General Appropriations Act intends to apply the sum of T</t>
  </si>
  <si>
    <t xml:space="preserve"> INVITATION TO BID FOR THE COMPLETION WORKS FOR THE SITE DEVELOPMENT &amp; CONSTRUCTION OF FLOOD CONTROL SYSTEM AT COLEGIO DE MUNTINLUPA, POSADAS AVE., BRGY. SUCAT, MUNTINLUPA CITY 1.	The City Government of Muntinlupa, through its duly-approved Supplemental Bu</t>
  </si>
  <si>
    <t xml:space="preserve"> A. Removal of Dilapidated concrete pavement, Roadway Excavation, Aggregate base course of Road and Shoulder and Concreting of 129 L.m. x 6.10 m x 0.20 m thk road. B. Removal of Existing Structure, Roadway Excavation, Backfilling, Foundation Fill, Aggregat</t>
  </si>
  <si>
    <t xml:space="preserve"> INVITATION TO BID FOR THE CONSTRUCTION OF MULTI-PURPOSE COVERED STAGE, BLEACHER, AND PERIMETER FENCE AT VILLA CAROLINA 2, BRGY. TUNASAN, MUNTINLUPA CITY 1.	The City Government of Muntinlupa, through its duly-approved Executive Budget for 2019 intends to a</t>
  </si>
  <si>
    <t xml:space="preserve"> Republic of the Philippines PROVINCE OF NORTHERN SAMAR BIDS AND AWARDS COMMITTEE Catarman Purchase of Rescue Ambulance for the PDRRMO  Province of Northern Samar NS-06-17-20-07 1.	The Provincial Government of Northern Samar, through the SP Ordinance No. 2</t>
  </si>
  <si>
    <t xml:space="preserve"> 115 pairs Uniform (Patrol Shirt and Pants) 115 pairs Patrol Shoes 9 pcs Tshirts with print (Ladies) 55 pcs Traffic Vest 55 pcs Traffic Gloves</t>
  </si>
  <si>
    <t xml:space="preserve"> Republic of the Philippines Province of Quezon Municipality of Perez Bids &amp; Awards Committee INVITATION TO BID FOR  Purchase of ICT Equipment  (Desktop, Laptop &amp; Printer) 1.	The Municipal Government of Perez, Quezon through its Local Fund intends to apply</t>
  </si>
  <si>
    <t xml:space="preserve"> INVITATION TO BID NO. 20-29 GENERAL OVERHAULING OF EXISTING GENERATOR SET AT BRDRL 1.	The Department of Health Center for Health Development Bicol (DOH CHD Bicol), through the GOP General Appropriation Act of 2020, intends to apply the sum of SEVEN HUNDRE</t>
  </si>
  <si>
    <t xml:space="preserve"> INVITATION TO BID NO. 20-36 REPRODUCTION &amp; DELIVERY OF BLOOD BAG LABER STICKER WITH PROVISION OF 1 UNIT BARCODE PRINTER 1.	The Department of Health Center for Health Development Bicol (DOH CHD Bicol), through the GOP General Appropriation Act of 2020, int</t>
  </si>
  <si>
    <t xml:space="preserve"> 45 units Laptop Specifications: -Intel core i3 7020U -4GB DDR4 -1TB HDD -AMD Radeon 530 2GB DDR5 -Windows 10 Home SL -14" HD -Card Reader -WebCam -WiFi -BT -LAN HDMI -HP 15.6" Value Backpack</t>
  </si>
  <si>
    <t xml:space="preserve"> INVITATION TO BID     20-078 Name of Project	:	Personal Protective Equipment (PPE) for Laguna Medical Center Location	:	Sta. Cruz, Laguna  Brief Description	:	Medical Grade Approved Budget For the Contract	:	1,500,000.00 Delivery Period 	:	10 Calendar Day</t>
  </si>
  <si>
    <t xml:space="preserve"> CARLOS HILADO MEMORIAL STATE COLLEGE BIDS AND AWARDS COMMITTEE Talisay City, Negros Occidental Telefax Nos. (034)712-8404 INVITATION TO BID  FOR PROPOSED DESIGN AND BUILD FOR THE CONSTRUCTION OF COVERED COURT (PHASE-1) – BINALBAGAN CAMPUS, BRGY. ENCLARO, </t>
  </si>
  <si>
    <t xml:space="preserve"> 2000 pcs Business Plates 1500 pcs/pairs Tricycle Plates</t>
  </si>
  <si>
    <t xml:space="preserve"> CARLOS HILADO MEMORIAL STATE COLLEGE BIDS AND AWARDS COMMITTEE Talisay City, Negros Occidental Telefax Nos. (034)712-8404 INVITATION TO BID  FOR ENHANCEMENT OF ENGINEERING AND TECHNOLOGY GREEN BUILDING (ETGB) ROOF SKIRTING (LABOR AND MATERIALS) – TALISAY </t>
  </si>
  <si>
    <t xml:space="preserve"> 1.	The MUNICIPAL GOVERNMENT OF PALIMBANG through an appropriation from Capital Outlay (Mayor’s Office) FY 2020 and Capital Outlay (Treasury Office) FY 2020 invites prospective and interested bidders for the project, to wit: 	 SUPPLY AND DELIVERY OF SIX (6</t>
  </si>
  <si>
    <t xml:space="preserve"> INVITATION TO BID FOR THE  PURCHASE OF TRAINING EQUIPMENT FOR LIVELIHOOD PROGRAM – CLDO 1.	The City Government of Bacoor, Cavite, through the General Fund Year 2020 intends to apply the sum of ONE MILLION SIX HUNDRED FIFTY THOUSAND PESOS AND ZERO CENTAVO </t>
  </si>
  <si>
    <t xml:space="preserve"> Republic of the Philippines Province of Davao del Sur Municipality of Malalag INVITATION TO BID FOR THE SUPPLY AND DELIVERY OF MATERIALS FOR ROAD CONCRETING, MSSD TO WET PUBLIC MARKET, POBLACION, MALALAG DAVAO DEL SUR 1.	The Local Government of Malalag, t</t>
  </si>
  <si>
    <t xml:space="preserve"> Construction of Masonry Drainage, Along Atal Street, Cataggaman Viejo, Tuguegarao City</t>
  </si>
  <si>
    <t xml:space="preserve"> Republic of the Philippines Province of Quezon Municipality of Perez Bids &amp; Awards Committee INVITATION TO BID FOR  Extension of Manlogon Street (Brgy. Bagong Silang) (Materials) 1.	The Municipal Government of Perez, Quezon through its 20% MDF intends to </t>
  </si>
  <si>
    <t xml:space="preserve"> Construction Projects-Construction of Manpower &amp; Training w/GSO Building City Hall Site, Brgy. Awasian, Tandag City</t>
  </si>
  <si>
    <t xml:space="preserve"> Republic of the Philippines Province of Davao del Sur Municipality of Malalag Barangay Mabini INVITATION TO BID FOR GOAT DISPERSAL LIVELIHOOD PROGRAM IN BARANGAY MABINI, MALALAG DAVAO DEL SUR 1.	The Barangay Mabini, through its Provincial Aid (Provincial </t>
  </si>
  <si>
    <t xml:space="preserve"> Republic of the Philippines PROVINCE OF MARINDUQUE Capitol Boac, Marinduque OFFICE OF BIDS AND AWARDS COMMITTEE INVITATION TO BID  Supplying  one (1) unit Brand New Asian/Cross Over Utility Vehicle (AUV/CUV) not exceeding 2500cc engine displacement, diese</t>
  </si>
  <si>
    <t xml:space="preserve"> Invitation to Bid 1.	The MUNICIPAL GOVERNMENT OF SAN VICENTE, PALAWAN, through the General Fund for CY 2020 intends to apply the sum of  FOUR HUNDRED SIXTY-ONE THOUSAND AND SEVENTY-FIVE PESOS (Php 461,075.00) being the Approved Budget for the Contract (AB</t>
  </si>
  <si>
    <t xml:space="preserve"> Invitation to Bid 1.	The MUNICIPAL GOVERNMENT OF SAN VICENTE, PALAWAN, through the General Fund for CY 2020 intends to apply the sum of  THREE HUNDRED SIXTY-THREE THOUSAND TWO HUNDRED SIXTY-ONE PESOS (Php 363,261.00) being the Approved Budget for the Cont</t>
  </si>
  <si>
    <t xml:space="preserve"> INVITATION TO BID 20-58  SUPPLY &amp; DELIVERY OF CERVICAL INSPECTION SET 1.	The Department of Health, Center for Health Development Bicol (DOH – CHD Bicol), through the 2020 General Appropriations Act intends to apply the sum of One Million Four Hundred Twen</t>
  </si>
  <si>
    <t xml:space="preserve"> INVITATION TO BID FOR THE SUPPLY &amp; DELIVERY OF VARIOUS MEDICAL SUPPLIES TO BE USED AT OSPITAL NG MUNTINLUPA 1.	The City Government of Muntinlupa, through its duly-approved Executive Budget for 2020 intends to apply the sum of  Three Million Three Hundred </t>
  </si>
  <si>
    <t xml:space="preserve"> INVITATION TO BID NO. 20-16 SUPPLY &amp; DELIVERY OF FOOD SUPPLIES (REBID) 1.	The Department of Health Center for Health Development Bicol (DOH CHD Bicol), through the GOP General Appropriation Act of 2020 intends to apply the sum of One Million Pesos Only (P</t>
  </si>
  <si>
    <t xml:space="preserve"> Invitation to Bid 1.	The MUNICIPAL GOVERNMENT OF SAN VICENTE, PALAWAN, through the General Fund for CY 2020 intends to apply the sum of  TWO HUNDRED FIFTY-SEVEN THOUSAND FOUR HUNDRED PESOS (Php 257,400.00) being the Approved Budget for the Contract (ABC) </t>
  </si>
  <si>
    <t xml:space="preserve"> INVITATION TO BID FOR THE SUPPLY &amp; DELIVERY OF SEVOFLURANE (WET FORMULATION) TO BE USED AT OSPITAL NG MUNTINLUPA 1.	The City Government of Muntinlupa, through its duly-approved Executive Budget for 2020 intends to apply the sum of Three Million Five Hundr</t>
  </si>
  <si>
    <t xml:space="preserve"> Republic of the Philippines Province of South Cotabato BIDS AND AWARDS COMMITTEE City of Koronadal  INF-ITB 20-035 INVITATION TO BID  1.	The Provincial Government of South Cotabato, through the PEO-8751 20% LDF (8.6.1) intends to apply the sum of         </t>
  </si>
  <si>
    <t xml:space="preserve"> IB NO. 20-37  SUPPLY &amp; DELIVERY OF DRUGS AND MEDICINES 1.	The Department of Health Center for Health Development Bicol (DOH CHD Bicol), through the GOP General Appropriation Act of 2020 intends to apply the sum of Two Million Eight Hundred Fifty-One Thous</t>
  </si>
  <si>
    <t xml:space="preserve"> Republic of the Philippines Province of South Cotabato BIDS AND AWARDS COMMITTEE City of Koronadal  INF-ITB 20-034 INVITATION TO BID  1.	The Provincial Government of South Cotabato, through the PEO-8751 20% LDF (8.6.1) intends to apply the sum of         </t>
  </si>
  <si>
    <t xml:space="preserve"> Republic of the Philippines Province of Quezon Municipality of Perez Bids &amp; Awards Committee INVITATION TO BID FOR  Supply &amp; Delivery of Medicines (Second Bidding) 1.	The Municipal Government of Perez, Quezon through its Trust Fund intends to apply the su</t>
  </si>
  <si>
    <t xml:space="preserve"> INVITATION TO BID FOR THE RENT OF PRINTER WITH CONTINUOUS INK TO BE USED AT OSPITAL NG MUNTINLUPA  1.	The City Government of Muntinlupa, through its duly-approved Executive Budget for 2020  intends to apply the sum of One Million Five Hundred Thousand Pes</t>
  </si>
  <si>
    <t xml:space="preserve"> Purchase and Delivery of Two (2) Units Laptop Computers and other Equipment and Accessories Santa, Ilocos Sur</t>
  </si>
  <si>
    <t xml:space="preserve"> Republic of the Philippines Province of South Cotabato BIDS AND AWARDS COMMITTEE City of Koronadal  INF-ITB 20-033 INVITATION TO BID  1.	The Provincial Government of South Cotabato, through the PEO-8751 20% LDF (8.6.1) intends to apply the sum of         </t>
  </si>
  <si>
    <t xml:space="preserve"> INVITATION TO BID PROCUREMENT OF VARIOUS GOODS IB NO. 2020-07-08 (06) 1.	The Department of Health Cagayan Valley Center for Health Development, through the GOP-General Appropriations Act 2020 intends to apply the lump sum of One Million One Hundred Twelve</t>
  </si>
  <si>
    <t xml:space="preserve"> Republic of the Philippines Province of Masbate MUNICIPALITY OF CATAINGAN BARANGAY PITOGO   			                                                                                               JUNE 18, 2020 INVITATION TO APPLY FOR ELIGIBILITY AND TO BID The </t>
  </si>
  <si>
    <t xml:space="preserve"> INVITATION TO BID FOR THE SUPPLY &amp; DELIVERY OF IV FLUIDS IN BAG TO BE USED AT OSPITAL NG MUNTINLUPA  1.	The City Government of Muntinlupa, through its duly-approved Executive Budget for 2020 intends to apply the sum of One Million Eight Hundred Forty Seve</t>
  </si>
  <si>
    <t xml:space="preserve"> Name of Project:Construction of 1 Unit 2 Classrooms at Sitio Sinaca, Barangay Anticala, Butuan City Location: Sitio, Sinaca, Barangay Anticala, Butuan City Duration: 115 calendar days Total ABC: Php 3,791,994.31 For representative/s of interested bidders </t>
  </si>
  <si>
    <t xml:space="preserve"> Removal of structure &amp; obstruction, Removal of Existing 24”Φ and 36"Φ RCPC drainage canal, Structure Excavation, Gravel Bedding and Construction of drainage canal with cover and manhole for every 3 meters @ left side = 196.64 l.m and @ right side = 43.11 </t>
  </si>
  <si>
    <t xml:space="preserve"> Republic of the Philippines PROVINCE OF NUEVA VIZCAYA Invitation to Bid for the  UPGRADING OF CVR BATU-MAGAPUY-PAITAN ROAD Located at Bayombong, Nueva Vizcaya  1.	The Provincial Government of Nueva Vizcaya, through the 2020 CMGP Program intends to apply t</t>
  </si>
  <si>
    <t xml:space="preserve"> The Department of Education, Schools Division Office of Albay, through the General Appropriations Act of 2020 intends to apply the sum of One Hundred Forty Eight Million One Hundred Seventy Thousand Two Hundred Nine Pesos &amp; 79/100 only (Php 148,170,209.79</t>
  </si>
  <si>
    <t xml:space="preserve"> Republic of the Philippines Province of Ilocos Norte MUNICIPALITY OF DINGRAS INVITATION TO BID FOR THE CONSTRUCTION OF PERIMETER FENCE AT MUNICIPAL ENGINEERED SANITARY LANDFILL (PHASE I) 1.	The Local Government Unit of Dingras, through the 20%Municipal De</t>
  </si>
  <si>
    <t xml:space="preserve"> Republic of the Philippines PROVINCE OF NUEVA VIZCAYA Invitation to Bid for the  UPGRADING OF DIFFUDAY-BONIFACIO ROAD Located at Quezon, Nueva Vizcaya  1.	The Provincial Government of Nueva Vizcaya, through the 2020 CMGP Program intends to apply the sum o</t>
  </si>
  <si>
    <t xml:space="preserve"> Republic of the Philippines Province of Masbate MUNICIPALITY OF CATAINGAN BARANGAY VILLAPOGADO   			                                                                                              JUNE 18, 2020 INVITATION TO APPLY FOR ELIGIBILITY AND TO BID </t>
  </si>
  <si>
    <t xml:space="preserve"> Name of Procuring Entity:		                        		                              Contract Reference No. LGU-Q-CWC-02-20 LOCAL GOVERNMENT UNIT                           		       Name of Contract: Improvement of Barangay Health Station  QUEZON, ISABELA 		</t>
  </si>
  <si>
    <t xml:space="preserve"> Republic of the Philippines Province of Leyte Municipality of Hilongos INVITATION TO BID FOR THE PURCHASE OF TOILET BOWLS 1.  The Local Government Unit of Hilongos, through GENERAL FUND-SUPPLEMENTAL BUDGET NO. 2020-05 intends to apply the sum SIX HUNDRED </t>
  </si>
  <si>
    <t xml:space="preserve"> Republic of the Philippines DEPARTMENT OF PUBLIC WORKS AND HIGHWAYS Region VII            South Road Properties (SRP), Cebu City                                        Contract ID	 : 20H00068 Contract Name   : Construction/Rehabilitation/Improvement of Fa</t>
  </si>
  <si>
    <t xml:space="preserve"> BID ACTIVITIES: PRE-BID CONFERENCE: JUNE 26, 2020@1:00PM ISSUANCE OF BID DOCUMENTS: JUNE 18, 2020 - JULY 10, 2020 OPENING OF BID DOCUMENTS: JULY 10, 2020@1:00PM A complete set of Bidding Documents may be acquired by interested Bidders on [June 18, 2020 – </t>
  </si>
  <si>
    <t xml:space="preserve"> Republic of the Philippines Province of Lanao del Norte Municipality of Tubod BARANGAY PINPIN BARANGAY PINPIN BIDS AND AWARDS COMMITTEE INVITATION TO BID BARANGAY ROAD REHABILITATION (FARM TO MARKET ROAD)   PUROK 5, 6 &amp; 7 SITIO CAMP 13, BRGY. PINPIN, TUBO</t>
  </si>
  <si>
    <t xml:space="preserve"> Procurement of One Unit Brand New SUV for LGU Operations</t>
  </si>
  <si>
    <t xml:space="preserve"> REPUBLIC OF THE PHILIPPINES 		                PROVINCE OF PALAWAN MUNICIPALITY OF LINAPACAN June 5, 2020 Invitation to Bid (ITB No. 23-20) 1.	The Municipal Government of Linapacan, Palawan through the General Fund intends to apply the sum of Two Hundred T</t>
  </si>
  <si>
    <t xml:space="preserve"> Republic of the Philippines Province of Ilocos Norte MUNICIPALITY OF DINGRAS INVITATION TO BID FOR THE CONSTRUCTION OF PERIMETER FENCE OF SLAUGHTERHOUSE (PHASE I) 1.	The Local Government Unit of Dingras, through the 20%Municipal Development Fund  intends </t>
  </si>
  <si>
    <t xml:space="preserve"> Republic of the Philippines Province of Aurora MUNICIPALITY OF MARIA AURORA Bids and Awards Committee INVITATION TO BID First Posting The Local Government Unit of Maria Aurora, through the Bid and Awards Committee (BAC), invites suppliers/interested party</t>
  </si>
  <si>
    <t xml:space="preserve"> Republic of the Philippines PROVINCE OF NUEVA VIZCAYA Invitation to Bid for the  UPGRADING OF JCT. NATIONAL BUA-BULALA-MUTA-MACABENGA ROAD Located at Kasibu, Nueva Vizcaya  1.	The Provincial Government of Nueva Vizcaya, through the 2020 CMGP Program inten</t>
  </si>
  <si>
    <t xml:space="preserve"> H E A D Q U A R T E R S P H I L I P P I N E   A R M Y OFFICE OF THE PHILIPPINE ARMY BIDS AND AWARDS COMMITTEE 1 Fort Andres Bonifacio, Metro Manila ITB 005-20									17 June 2020 Invitation to Bid The Armed Forces of the Philippines, through the Philippi</t>
  </si>
  <si>
    <t xml:space="preserve"> Invitation to Bid 1.	The MUNICIPAL GOVERNMENT OF SAN VICENTE, PALAWAN, through the GAD Fund 2019 intends to apply the sum of  TWO HUNDRED NINETY-EIGHT THOUSAND ONE HUNDRED SEVENTY-TWO PESOS (Php 298,172.00) being the Approved Budget for the Contract (ABC)</t>
  </si>
  <si>
    <t xml:space="preserve"> Republic of the Philippines PROVINCE OF MARINDUQUE Capitol Boac, Marinduque OFFICE OF BIDS AND AWARDS COMMITTEE INVITATION TO BID  Supplying  one (1) unit SWAT Patrol Vehicle, AUV or CUV, Manual Transmission, Diesel Fed, Displacement not exceeding 2500cc,</t>
  </si>
  <si>
    <t xml:space="preserve"> 1.	The Local Government Unit (LGU) of Caluya, Antique through the Municipal Annual Budget 2020 intends to apply the sum of Two Million Pesos (Php2,000,000.00) only being the Approved Budget for the Contract (ABC) to payments under the contract for Procure</t>
  </si>
  <si>
    <t xml:space="preserve"> Invitation to Bid 1.	The MUNICIPAL GOVERNMENT OF SAN VICENTE, PALAWAN, through the General Fund for CY 2020 intends to apply the sum of  ONE MILLION TWO HUNDRED TWENTY-SIX THOUSAND NINE HUNDRED THIRTY-FIVE PESOS AND TEN CENTAVOS (Php 1,226,935.10) being t</t>
  </si>
  <si>
    <t xml:space="preserve"> REPUBLIC OF THE PHILIPPINES 		                PROVINCE OF PALAWAN MUNICIPALITY OF LINAPACAN June 5, 2020 Invitation to Bid (ITB No. 26-20) 1.	The Municipal Government of Linapacan, Palawan through the GENDER AND DEVELOPMENT FUND (GAD 5%) projects intends </t>
  </si>
  <si>
    <t xml:space="preserve"> see attached program of works.</t>
  </si>
  <si>
    <t xml:space="preserve"> Qty.	Unit	Description 20 sets Glucose strip(25 strip/bot) 4 sets Hema quick wrigths stain (4x250ml) 12 bots urine strip 10 parameters 100pcs/bot 4 bots WBC Diluting fluid 1000ml/bot 1 box cover slip 100pcs/box 50 tubes Test tube 12x75ml 50 tubes Test tube</t>
  </si>
  <si>
    <t xml:space="preserve"> Excavation of 212 mtrs. Creek and Riprapping of Sidewall (Portion)</t>
  </si>
  <si>
    <t xml:space="preserve"> REPUBLIC OF THE PHILIPPINES 		                PROVINCE OF PALAWAN MUNICIPALITY OF LINAPACAN June 5, 2020 Invitation to Bid (ITB No. 25-20) 1.	The Municipal Government of Linapacan, Palawan through the GENDER AND DEVELOPMENT FUND (GAD 5%) projects intends </t>
  </si>
  <si>
    <t xml:space="preserve"> Republic of the Philippines Province of Ilocos Norte MUNICIPALITY OF DINGRAS INVITATION TO BID FOR THE CONSTRUCTION OF FLOOD CONTROL ALONG POBLACION AREAS (PHASE III) 1.	The Local Government Unit of Dingras, through the MDRRM Fund intends to apply the sum</t>
  </si>
  <si>
    <t xml:space="preserve"> Republic of the Philippines         Province of Leyte     MUNICIPALITY OF ALBUERA       OFFICE OF THE BIDS AND AWARDS COMMITTEE INVITATION TO BID 	The Local Government Unit of Albuera, Leyte through its Bids and Awards Committee invites interested supplie</t>
  </si>
  <si>
    <t xml:space="preserve"> Republic of the Philippines Province of Ilocos Norte MUNICIPALITY OF DINGRAS INVITATION TO BID FOR THE IMPROVEMENT/REHABILITATION OF FARM-TO-MARKET ROADS (REPAIR OF BRIDGE ABUTMENT/APPROACH)  1.	The Local Government Unit of Dingras, through the RA 7171 Fu</t>
  </si>
  <si>
    <t xml:space="preserve"> Fuels and Lubricants for Road Repair and Maintenance (attached request for quotation)</t>
  </si>
  <si>
    <t xml:space="preserve"> 1.	The Municipality of Daram, through the 20% DF-2020 intends to apply the sum of Nine Hundred Thousand Pesos Only (P900,000.00) being the Approved Budget for the Contract (ABC) to payments under the contract for Construction of Concrete Footbridge (Conne</t>
  </si>
  <si>
    <t xml:space="preserve"> INVITATION TO BID ON THE SUPPLY, DELIVERY AND INSTALLATION OF                                         1 LOT 645KVA GENERATOR SET OF BUKIDNON STATE UNIVERSITY 1.	The Bukidnon State University through the Bids and Awards Committee &amp; Budget Approved by the B</t>
  </si>
  <si>
    <t xml:space="preserve"> Republic of the Philippines Province of Iloilo Municipality of Lemery Invitation to Bid 1.	The Barangay  Capiǹahan,  Lemery, Iloilo, through  20% Development Fund 2018 &amp; 2020 intends to apply the sum of Four Hundred Seventy Seven Thousand Four Hundred Thi</t>
  </si>
  <si>
    <t xml:space="preserve"> Republic of the Philippines  City of Canlaon Office of the Bids and Awards Committee  INVITATION TO BID FOR the Construction of Water System The Local Government of Canlaon City, through AIP 2020. Intends to apply the sum Seventy Three Thousand Nine Hundr</t>
  </si>
  <si>
    <t xml:space="preserve"> Republic of the Philippines PROVINCE OF NUEVA VIZCAYA Invitation to Bid for the  CONCRETING OF BARESBES-BOLIWAO-INATUB ROAD Located at Quezon, Nueva Vizcaya  1.	The Provincial Government of Nueva Vizcaya, through the 2020 20% Development Fund intends to a</t>
  </si>
  <si>
    <t xml:space="preserve"> INVITATION TO BID 1)	The DPWH- Davao City District Engineering Office through its Bids and Awards Committee (BAC), invites contractors to submit bids for the following contract; 1. Procurement ID /          Contract ID No.	:	20LB0157     Contract Name	:	C</t>
  </si>
  <si>
    <t xml:space="preserve"> Concreting of 270 cu.m. road pavement</t>
  </si>
  <si>
    <t xml:space="preserve"> Republic of the Philippines PROVINCE OF NUEVA VIZCAYA 2nd Invitation to Bid for the  UPGRADING OF NVPH WATER SYSTEM Located at Bambang, Nueva Vizcaya  1.	The Provincial Government of Nueva Vizcaya, through the 2020 20% Development Fund intends to apply th</t>
  </si>
  <si>
    <t xml:space="preserve"> Furnishing and delivery of materials, labor, tools and equipment and other incidentals only. Schedule of Activities: Issuance of Bid Documents - June 18-July 8, 2020 Submission of Bids - on or before July 8, 2020; 1:00 p.m. Bid Opening - July 8, 2020; 1:0</t>
  </si>
  <si>
    <t xml:space="preserve"> 1.	The Municipality of Daram, through the 20% DF-2020 intends to apply the sum of Eight Hundred Thousand Pesos Only (P800,000.00) being the Approved Budget for the Contract (ABC) to payments under the contract for Installation of Water Rain Catchment. Bid</t>
  </si>
  <si>
    <t xml:space="preserve"> Fabrication and Installation of 88 Units Streetlights in Various Barangays of Dalima, Putol, Bolboc and Talon 1.	Bids received in excess of the ABC shall be automatically rejected at bid opening. 2.	Bidders should have completed a contract similar to the </t>
  </si>
  <si>
    <t xml:space="preserve"> INVITATION TO BID SUPPLY, DELIVERY, INSTALLATION, TESTING,  APPLICATIONS TRAINING, AND COMMISSIONING OF  VARIOUS MEDICAL EQUIPMENT (Batch 1) FOR GOV. CELESTINO GALLARES MEMORIAL HOSPITAL  1.	The Gov. Celestino Gallares Memorial Hospital, through Hospital </t>
  </si>
  <si>
    <t xml:space="preserve"> Republic of the Philippines Province of Ilocos Norte MUNICIPALITY OF DINGRAS INVITATION TO BID FOR THE MAINTENACE/IMPROVEMENT OF MUNICIPAL HALL (UPGRADING OF ELECTRICAL SYSTEM-PHASE II) 1.	The Local Government Unit of Dingras, through the General Fund int</t>
  </si>
  <si>
    <t xml:space="preserve"> Republic of the Philippines PROVINCE OF NUEVA VIZCAYA Invitation to Bid for the  CONCRETING OF JCT. NATIONAL-GALINTUJA-DELACTAN-MAGINO ROAD Located at Alfonso Catañeda, Nueva Vizcaya  1.	The Provincial Government of Nueva Vizcaya, through the 2020 20% Dev</t>
  </si>
  <si>
    <t xml:space="preserve"> Republic of the Philippines PROVINCE OF NUEVA VIZCAYA Invitation to Bid for the  CONCRETING OF JCT. CALAOCAN-DIFFUNCIAN ROAD Located at Quezon, Nueva Vizcaya  1.	The Provincial Government of Nueva Vizcaya, through the 2020 20% Development Fund intends to </t>
  </si>
  <si>
    <t xml:space="preserve"> Republic of the Philippines Province of Leyte Municipality of Hilongos INVITATION TO BID FOR THE PROCUREMENT OF MATERIALS FOR THE CONSTRUCTION OF K-9 HOUSE (ADDITIONAL WITH FENCE &amp; LIGHT) 1.  The Local Government Unit of Hilongos, through GENERAL FUND-SUP</t>
  </si>
  <si>
    <t xml:space="preserve"> 1. The Development Bank of the Philippines, through the Corporate Budget approved by the Board for CY 2020 intends to apply the sum of Six Million One Hundred Fifty Thousand Pesos (Php6,150,000.00) being the Approved Budget for the Contract (ABC) inclusiv</t>
  </si>
  <si>
    <t xml:space="preserve"> Furnishing and delivery of materials only. Schedule of Activities: Issuance of Bid Documents - June 18-July 8, 2020 Submission of Bids - on or before July 8, 2020; 1:00 p.m. Bid Opening - July 8, 2020; 1:00 p.m. Bid Evaluation - July 9, 2020: 10:00 a.m. P</t>
  </si>
  <si>
    <t xml:space="preserve"> REPUBLIC OF THE PHILIPPINES 		                PROVINCE OF PALAWAN MUNICIPALITY OF LINAPACAN June 5, 2020 Invitation to Bid (ITB No. 27-20) 1.	The Municipal Government of Linapacan, Palawan through 5% Fund 2018 projects intends to apply the sum One Hundred</t>
  </si>
  <si>
    <t xml:space="preserve"> Republic of the Philippines Province of Ilocos Norte MUNICIPALITY OF DINGRAS INVITATION TO BID FOR THE IMPROVEMENT/REHABILITATION OF FARM-TO-MARKET ROADS (PACKAGE 4) 1.	The Local Government Unit of Dingras, through the RA 7171 Fund 2019  intends to apply </t>
  </si>
  <si>
    <t xml:space="preserve"> REPUBLIC OF THE PHILIPPINES 		                PROVINCE OF PALAWAN MUNICIPALITY OF LINAPACAN June 5, 2020 Invitation to Bid (ITB No. 24-20) 1.	The Municipal Government of Linapacan, Palawan through the National Fund (Philhealth) projects intends to apply t</t>
  </si>
  <si>
    <t xml:space="preserve"> REPUBLIC OF THE PHILIPPINES 		                PROVINCE OF PALAWAN MUNICIPALITY OF LINAPACAN June 5, 2020 Invitation to Bid (ITB No. 28-20) 1.	The Municipal Government of Linapacan, Palawan through 5% Fund 2020 projects intends to apply the sum Three Hundr</t>
  </si>
  <si>
    <t xml:space="preserve"> INVITATION TO BID Bid No. B-85-2020  1.	The Provincial Government of Negros Oriental through Responsibility Center: 8751-01(20) / Account Code: 50213090, intends to apply the sum of Four Million Six Hundred Twenty-Three Thousand Six Hundred Fifty-Two Peso</t>
  </si>
  <si>
    <t xml:space="preserve"> Republic of the Philippines Province of Leyte Municipality of Hilongos INVITATION TO BID FOR THE PROCUREMENT OF WHEEL TYPE BACKHOE (BRAND NEW) 1.  The Local Government Unit of Hilongos, through GENERAL FUND-20% LDF-CONTINUING APPROPRIATION &amp; SUPPLEMENTAL </t>
  </si>
  <si>
    <t xml:space="preserve"> ONE UNIT PICK-UP VEHICLE not less than 2.8L but not more than 3.0L engine displacement 4x4 diesel, manual transmission, model 2020</t>
  </si>
  <si>
    <t xml:space="preserve"> Department of Social Welfare and Development Field Office VI M.H. del Pilar St., Iloilo City INVITATION TO BID FOR THE PROCUREMENT OF 60,088 CANS OF CANNED TUNA FLAKES AND 149,770 SACHETS OF POWDERED CEREAL DRINKS AS RAW MATERIALS FOR FAMILY FOOD PACKS PR</t>
  </si>
  <si>
    <t xml:space="preserve"> 2 UNITS - MOTORCYLE (CUSTOMIZED) Engine Type: Air cooled, 4-stroke, SOHC, 2-valve Cylinder: Single Cylinder Displacement: 125cm³ Engine Oil Cap: 0.84L Fuel Supply: Fuel injection Transmission Type: V-belt automatic Customize (Emergency QRT): -	Blinkers an</t>
  </si>
  <si>
    <t xml:space="preserve"> Municipal General Services Department 1. 1 unit UPS Power Supply, 1200VA, Load auto sensing and Abnormal Protection, fast charging 2. 1 unit Office Chair, mangerial, black, mesh back, adjustable height, Armrest, chrome legs 3. 1 unit Trolly Speakers -&lt;60 </t>
  </si>
  <si>
    <t xml:space="preserve"> Epson: 1.	3 Bottles Epson Ink BT003, black 2.	3 Bottles Epson Ink BT003, Cyan 3.	3 Bottles Epson Ink BT003, Magenta 4.	3 Bottles Epson Ink BT003, Yellow 5.	11 Bottles Epson Ink T7741, Black 6.	45 Bottles Epson Ink T6641, Black 7.	31 Bottles Epson Ink T664</t>
  </si>
  <si>
    <t xml:space="preserve"> ARPA-RADAR Simulator  (Full Mission Ship Bridge Simulator) with complete accessories  (1 Instructor Station and 6 Students Station) including installation and training orientation.      please see attachment for more references...</t>
  </si>
  <si>
    <t xml:space="preserve"> INVITATION TO BID Bid No. B-84-2020  1.	The Provincial Government of Negros Oriental, through Source of Fund: 1) 8918-047(20); 2) 8918-048(20); 3) 9998-037(20), intends to apply the sum of Thirteen Million Seven Hundred Twenty Thousand Pesos (Php 13,720,0</t>
  </si>
  <si>
    <t xml:space="preserve"> Procurement for various Information Technology Equipment -The project is subdivided into five lots -The submission of bids would be through the "Online Submission of Bids (OSB)" facility found at the ILS website at ils.dole.gov.ph</t>
  </si>
  <si>
    <t xml:space="preserve"> Supply and Delivery of Materials</t>
  </si>
  <si>
    <t xml:space="preserve"> -1,374.00- bags - Thermoplastic Paint White (25 kgs./bag) -153.00- bags - Thermoplastic Paint Yellow (25 kgs./bag) -208.00- bags - Glass Beads (pre-mix) -752.00- liters - Primer -21.00- pc. - G.I. Pipe Schedule 40 6m (76mmØ) -24.00- pcs. - Prohibitory/res</t>
  </si>
  <si>
    <t xml:space="preserve"> 1. The Provincial Government of Misamis Occidental, through the General Funds 2019 intends to apply the sum of Nine Million Pesos (Php. 9,000,000.00) being the Approved Budget for the Contract (ABC) to payments under the contract for PB-C-2020-05-620: Pro</t>
  </si>
  <si>
    <t xml:space="preserve"> Republic of the Philippines PROVINCE OF NORTHERN SAMAR BIDS AND AWARDS COMMITTEE Catarman Purchase of Biotek-M Dengue Package and Biotek-M Lamp Heater With Easyview LED Transilluminator for NSPH and District Hospitals Province of Northern Samar NS-06-17-2</t>
  </si>
  <si>
    <t xml:space="preserve"> Invitation to Bid Project No.: R6-D2-2020QRF-01D-SR Repair and Rehabilitation of Classrooms Damaged by Fire Incidents and Various Calamities and Construction of Slope Protection of School Buildings (CY 2020 Quick Response Fund) 1.	The Department of Educat</t>
  </si>
  <si>
    <t xml:space="preserve"> CONTRACT COST:		 1.			CONCRETING OF LUNA ST. ROAD SECTION TO PUBLIC MARKET (FROM COR. JOSE ROMERO DRIVE)		 			Work Description:		 			Surface type: Item 311 (PCCP)		 			Width: 6.0 l.m		 			thickness: 0.15m.		 			Road Section Length: 73 l.m	 	 	LOT	1	SPECIA</t>
  </si>
  <si>
    <t xml:space="preserve"> Invitation to Bid For Online Competency Assessment  1.	The LAND BANK OF THE PHILIPPINES (LANDBANK), through its Corporate Budget for the contract approved by the Board of Directors for 2020 intends to apply the total sum of One Million Three Hundred Thous</t>
  </si>
  <si>
    <t xml:space="preserve"> Invitation to Bid Project No.: R6-D2-2020QRF-01C-SR Repair and Rehabilitation of Classrooms Damaged by Fire Incidents and Various Calamities and Construction of Slope Protection of School Buildings (CY 2020 Quick Response Fund) 1.	The Department of Educat</t>
  </si>
  <si>
    <t xml:space="preserve"> Invitation to Bid For    One (1) Lot Supply, Delivery and Installation of Signages, Acrylic Frame Panels, ATM Sunshade, and Thru-The-Wall ATM Enclosure, including Dismantling of existing signages, when necessary, at Four (4) LANDBANK Branches 1.	The LAND </t>
  </si>
  <si>
    <t xml:space="preserve"> Invitation to Bid for the Completion of  Irrigation System    Sitio Dacuman, Brgy. Ipil, Surigao City ITB No. 078-Infra-2020    1.	The City Government of Surigao, intends to apply the sum of   One Million    Pesos (Php1,000,000.00)  being the Approved Bud</t>
  </si>
  <si>
    <t xml:space="preserve"> 800	PC	BED SHEET FLAT 60X90 WITH PRINT WHITE COTTON	 800	PC	BED SHEET FITTED 36X75 WITH PRINT WHITE COTTON	 400	PC	PATIENT GOWN, WHITE FOR ADULT W/ PRINT	 100	PC	OR GOWN OXFORD W/ PRINT AUTOCLAVABLE	 100	PC	DR GOWN OXFORD W/ PRINT	 800	PC	PILLOW CASE 16X2</t>
  </si>
  <si>
    <t xml:space="preserve"> Invitation to Bid for the Completion of  Irrigation System     Brgy. Trinidad, Surigao City ITB No. 079-Infra-2020    1.	The City Government of Surigao, intends to apply the sum of   Two Million    Pesos (Php2,000,000.00)  being the Approved Budget for th</t>
  </si>
  <si>
    <t xml:space="preserve"> various medical, dental and laboratory supplies Prospective bidders should have experience in undertaking a similar project within the last two(2) years with an amount of at least 50% for non-expendable supplies and 25% for expendable supplies of the proj</t>
  </si>
  <si>
    <t xml:space="preserve"> Construction of Magpet Fire Station Building</t>
  </si>
  <si>
    <t xml:space="preserve"> Republic of the Philippines PROVINCE OF AGUSAN DEL SUR Municipality of Loreto INVITATION TO BID FOR FOOD SUPPLIES FOR THE CONSUMPTION IN ESTABLISHMENT FOR MAINTENANCE OF INTEGRATED DEFENSE SYSTEM FOR MPOC 1.	The Municipality of Loreto, through the GENERAL</t>
  </si>
  <si>
    <t xml:space="preserve"> a.) 601 bags Complete Fertilizer (14-14-14) b.) 405 bags 16-20-0 c.)  848 bags Urea (46-0-0) d.) 69 bags 21-0-0-24S e.) 970 bags Organic Fertilizer (Siglat)</t>
  </si>
  <si>
    <t xml:space="preserve"> Descriptions: 120 pcs ceramic toilet bowls Large ordinary</t>
  </si>
  <si>
    <t xml:space="preserve"> 4000	TANKS	MEDICAL OXYGEN SPECIFICATION: PURITY: 99.6% TO 99.7% MOISTURE LESS THAN 5ppm ODOR: FREE 5.66 CU.M VOLUME: 5.66 CU.M 3000	TANKS	MEDICAL COMPRESSED AIR SPECIFICATION: OXYGEN CONTENT: 21% MOISTURE LESS THAN 5ppm ODOR: FREE VOLUME: 5.66 CU.M</t>
  </si>
  <si>
    <t xml:space="preserve"> Republic of the Philippines Province of Eastern Samar Municipality of Maydolong INVITATION TO BID FOR  Procurement of Rescue/Emergency Vehicle 1.	The Municipal Government of Maydolong, Eastern Samar, through the 2019 &amp; 2020 LDRRM Pre-Disaster Preparedness</t>
  </si>
  <si>
    <t xml:space="preserve"> Republic of the Philippines PROVINCE OF AGUSAN DEL SUR Municipality of Loreto INVITATION TO BID FOR CONSUMPTION OF MILITARY COMBAT/INTEL OPERATION (2ND QUARTER 2020) 1.	The Municipality of Loreto, through the GENERAL FUND intends to apply the sum of FOUR </t>
  </si>
  <si>
    <t xml:space="preserve"> Republic of the Philippines Province of Ilocos Sur Municipality of San Juan Barangay Sunggiam OFFICE OF THE BIDS AND AWARD COMMITTEE INVITATION TO APPLY FOR ELIGIBILITY AND TO BID The Barangay Sunggiam,San Juan,Ilocos Sur through the Bids and Awards Commi</t>
  </si>
  <si>
    <t xml:space="preserve"> 1 set of Sound System</t>
  </si>
  <si>
    <t xml:space="preserve"> Republic of the Philippines PROVINCE OF NUEVA VIZCAYA Invitation to Bid for the  CONSTRUCTION OF TUPLAC CIS Located at Dulli, Ambaguio, Nueva Vizcaya  1.	The Provincial Government of Nueva Vizcaya, through the 20% Development Fund 2020 intends to apply th</t>
  </si>
  <si>
    <t xml:space="preserve"> Republic of the Philippines Municipality of Taytay Taytay, Palawan NOTICE TO BIDDERS Item # Qty Unit Description Amount 1.    1     Lot    Water Service Connection Materials/Fitting  The two envelope system of procurement shall be observed, Bidding docume</t>
  </si>
  <si>
    <t xml:space="preserve"> INVITATION TO BID FOR PROCUREMENT OF MATERIALS AND RENTAL OF EQUIPMENT FOR RIPRAPPING/ ROAD SHOULDERING 1.	The Barangay Rizal, through the 20% Barangay Development Fund intends to apply the sum of One Hundred Eighty-Seven Thousand One Hundred Twenty-Five </t>
  </si>
  <si>
    <t xml:space="preserve"> Republic of the Philippines                  MUNICIPALITY OF MARIHATAG                 SURIGAO DEL SUR                                                 -o0o-        Bids and Awards Committee       INVITATION TO BID   SUPPLY AND DELIVERY OF AGRICULTURAL SUP</t>
  </si>
  <si>
    <t xml:space="preserve"> Complete Construction (9.59m x 23.00m) Two (2)  Storey; Four (4) Class Room School Building With Micropile Foundation Mostly built with concrete masonry, with PWD ramp with handrails, parapet wall on concrete gutter and complete with electrical works, san</t>
  </si>
  <si>
    <t xml:space="preserve"> details at engineering office</t>
  </si>
  <si>
    <t xml:space="preserve"> Republic of the Philippines PROVINCE OF NUEVA VIZCAYA Invitation to Bid for the  CONSTRUCTION/IMPROVEMENT OF PUROK 7, BUSILAC FTMR Located at Bayombong, Nueva Vizcaya  1.	The Provincial Government of Nueva Vizcaya, through the 20% Development Fund 2020 in</t>
  </si>
  <si>
    <t xml:space="preserve"> This project entails labor and materials for the construction of 1m x 100m x 0.10m concrete pathway at Brgy. Magsaysay, Magallanes, Sorsogon funded under BDF 2020.</t>
  </si>
  <si>
    <t xml:space="preserve"> Brand Approved Budget Contract per Item Name and Description of the Article / sUnitQTY.ITEM NO. P.R. No. :City Environment and Natural Resources Office 2020-03-1611 Date: 03/06/2020 Date: 60,000.00 BUSH CUTTER: mini 4 stroke engine, 35 cc displacement, 39</t>
  </si>
  <si>
    <t xml:space="preserve"> INVITATION TO BID The DPWH-Regional Office No. III,  through  its  Bids  and  Awards  Committee  (BAC),  invites contractors to submit bids for the Contract below:          Procurement ID/Contract ID:    20C00048 Contract Name:      Local Program – Local </t>
  </si>
  <si>
    <t xml:space="preserve"> Installation of railings with concreting at Barangay IV-C, San Pablo City</t>
  </si>
  <si>
    <t xml:space="preserve"> INVITATION TO APPLY FOR ELIGIBILITY AND TO BID Project Title: IMPROVEMENT OF SACPIL NATIONAL HIGH SCHOOL ACCESS ROAD Project Location: Sacpil, Conner, Apayao Project ID No.: 20MGU-038 The Local Government Unit of CONNER, through the 2020 20% DF intends to</t>
  </si>
  <si>
    <t xml:space="preserve"> Description The LGU-MAYANTOC, through its Bids and awards committee (BAC) invites contractors registered with and classified by the PHILGEPS to apply for the eligibility and found eligible, to bid for the here under contract: 	 NAME OF PROJECT:UPDATING OF</t>
  </si>
  <si>
    <t xml:space="preserve"> INVITATION TO BID FOR ENVIRONMENTAL MANAGEMENT BUREAU- REGION VII STANDARD SOURCE EMISSION TESTING EQUIPMENT 1.	The ENVIRONMENTAL MANAGEMENT BUREAU OF THE DEPARTMENT OF ENVIRONMENT AND NATURAL RESOURCES - REGION VII, Banilad Mandaue City , through the Gen</t>
  </si>
  <si>
    <t xml:space="preserve"> Republic of the Philippines MUNICIPALITY OF VILLANUEVA Province of Misamis Oriental Bids and Awards Committee INVITATION TO APPLY FOR ELIGIBILITY AND TO BID   The LGU of Villanueva, Misamis Oriental, through its Bids and Awards Committee (BAC), invites al</t>
  </si>
  <si>
    <t xml:space="preserve"> INVITATION TO BID LGU-El Salvador City, Misamis Oriental through its BAC, invites interested bidders to apply for eligibility and if found eligible to bid for the contract: 1.	Contract ID No.	:	ITB No. 2020-06-143 Name of Project	:	Procurement of one hund</t>
  </si>
  <si>
    <t xml:space="preserve"> 1	pc	4x4 Membrane Keypad			 100.00  1	pc	Smoke Sensor MQ2			 200.00  1	pc	Smoke Alarm			 1,000.00  1	pc	Temperature and Humidity Sensor			 100.00  1	pc	Smoke portable machine			 3,000.00  4	pcs	Digital Solenoid Valve			 300.00  1	pc	Soldering Iron tips Cl</t>
  </si>
  <si>
    <t xml:space="preserve"> INVITATION TO BID ON THE SUPPLY, DELIVERY AND INSTALLATION OF  1 LOT SKILLS LABORATORY EQUIPMENT FOR NEW NURSING LABORATORY  OF BUKIDNON STATE UNIVERSITY 1.	The Bukidnon State University through the Bids and Awards Committee &amp; Budget Approved by the Board</t>
  </si>
  <si>
    <t xml:space="preserve"> Office table (with 4 drawers)    1 Unit Mahogany Hardwood Lumber Dimension: Length: 60” Width: 35” Height: 30”	 Office table (with 2 drawers)    	10 Units Mahogany Hardwood Lumber Dimension: Length: 48” Width: 24” Height: 30”</t>
  </si>
  <si>
    <t xml:space="preserve"> Republic of the Philippines Province of Leyte Municipality of Hilongos INVITATION TO BID FOR THE PROCUREMENT OF FUEL, OIL AND  LUBRICANTS 1.  The Local Government Unit of Hilongos, through GENERAL FUND-SUPPLEMENTAL BUDGET NO. 2020-05 intends to apply the </t>
  </si>
  <si>
    <t xml:space="preserve"> Republic of the Philippines Province of Siquijor Municipality of Enrique Villanueva Barangay Pari-an Invitation to Bid for Construction of Barangay Pari-an Multi-Purpose Hall and its Facilities Phase 1 1.	The Local Government Unit of Barangay Pari-an, thr</t>
  </si>
  <si>
    <t xml:space="preserve"> Republic of the Philippines  City of Canlaon Office of the Bids and Awards Committee  INVITATION TO BID FOR the Land Scaping in-front of Multi-purpose Hall The Local Government of Canlaon City, through AIP 2020. Intends to apply the sum One Hundred Thirty</t>
  </si>
  <si>
    <t xml:space="preserve"> INVITATION TO BID ON THE SUPPLY AND DELIVERY OF  1 LOT CONSOLIDATED ICT PRINTING CONSUMABLES (MAIN CAMPUS)  OF BUKIDNON STATE UNIVERSITY 1.	The Bukidnon State University through the Bids and Awards Committee &amp; Budget Approved by the Board of Regents 2020 </t>
  </si>
  <si>
    <t xml:space="preserve"> ITEMS OF WORK INCLUDES: -Site Preparation/Clearing/Base Preparation -Concrete Footpath -Formworks -Structural Concrete -Excavation -Railings -Manual Hauling</t>
  </si>
  <si>
    <t xml:space="preserve"> Republic of the Philippines                                                                   PROVINCE OF SAMAR                                                                      INVITATION TO BID                                                         </t>
  </si>
  <si>
    <t xml:space="preserve"> Republic of the Philippines MUNICIPALITY OF VILLANUEVA Province of Misamis Oriental Bids and Awards Committee INVITATION TO APPLY FOR ELIGIBILITY AND TO BID  The LGU of Villanueva, Misamis Oriental, through its Bids and Awards Committee (BAC), invites all</t>
  </si>
  <si>
    <t xml:space="preserve"> Republic of the Philippines  City of Canlaon Office of the Bids and Awards Committee  INVITATION TO BID FOR the Procurement of one unit Mini-Ambulance The Local Government of Canlaon City, through Capital Outlay. intends to apply the sum Three Hundred Fif</t>
  </si>
  <si>
    <t xml:space="preserve"> One (1) job Furnishing of Labor and Materials for the Rehabilitation of Solid Waste Management Ecological Center at                      Brgy. Capaliz, Dumangas, Iloilo</t>
  </si>
  <si>
    <t xml:space="preserve"> Concreting of Road at Carmen Eco Tourism Park and Spring Resort</t>
  </si>
  <si>
    <t xml:space="preserve"> 1.	The Municipal Government of Mogpog, through the 2020 LDRRM Fund intends to apply the sum of FOUR MILLION NINE HUNDRED FIFTY THOUSAND PESOS being the Approved Budget for the Contract (ABC) to payments under the contract for Construction of MDRRM Office.</t>
  </si>
  <si>
    <t xml:space="preserve"> Description   A. Construction of Spring Box I Excavation Works II Reinforced Concrete Works III Formworks B. Conrete Apron C. Transmission Pipe D. Replacement of Distribution Pipes E. Hauling &amp; Transhipment of Materials</t>
  </si>
  <si>
    <t xml:space="preserve"> INVITATION TO BID ON THE SUPPLY, DELIVERY AND INSTALLATION OF  1 LOT HEAVY DUTY VARIABLE PERFECT BINDER WITH BUILT-IN AUTOMATIC/DIGITAL THICKNESS CALIPER AND FULLY AUTOMATIC LAMINATOR OF BUKIDNON STATE UNIVERSITY 1.	The Bukidnon State University through t</t>
  </si>
  <si>
    <t xml:space="preserve"> Republic of the Philippines Province of Leyte Municipality of Hilongos INVITATION TO BID FOR THE PROCUREMENT OF FUEL FOR OPERATION AND MAINTENANCE OF FARM TO MARKET ROAD (FMR)-CONCEPCION-BAGUMBAYAN-HAMPANGAN 1.  The Local Government Unit of Hilongos, thro</t>
  </si>
  <si>
    <t xml:space="preserve"> The DPWH-Regional Office I, through its Bids and Awards Committee (BAC), invites contractors to submit bids for the following Contract: Contract ID: 20A00070 Contract Name: Construction of By-pass and Diversion Roads, Laoag-San Nicolas Bypass Road (San Ni</t>
  </si>
  <si>
    <t xml:space="preserve"> Road Concreting</t>
  </si>
  <si>
    <t xml:space="preserve"> REPUBLIC OF THE PHILIPPINES CITY GOVERNMENT OF OROQUIETA BIDS AND AWARD COMMITTEE City Hall, Oroquieta City                                                                                                                       June 17, 2020                </t>
  </si>
  <si>
    <t xml:space="preserve"> Item No.    : 311 Portland Cement Concrete Pavement Design Mix :  1:2:4 Length       :  75.0 m Width         :   3.0 m Thickness    :   0.15 m Area            :  225.0 sq. m. Volume        :  33.75 cu. m.</t>
  </si>
  <si>
    <t xml:space="preserve"> 1.	The MUNICIPALITY OF GUINAYANGAN, QUEZON, through the  20% MDF Continuing Appropriation 2018 and 20 % MDF 2019 intends to apply the sum of  Four Million Pesos (P 4,000,000.00) being the Approved Budget for the Contract (ABC) to payments under the contra</t>
  </si>
  <si>
    <t xml:space="preserve"> INVITATION TO APPLY FOR ELIGIBILITY AND TO BID The MUNICIPALITY OF RONDA, through its Bids &amp; Awards Committee (BAC), Invites Suppliers registered with and classified by the DTI to Bid for the hereunder contract: Name of Contract	: Procurement of Relief/Se</t>
  </si>
  <si>
    <t xml:space="preserve"> Newspaper Publication Services for Republic Acts and Other Presidential Issuances for CY 2020 (Ordering Agreement) – 2nd Newspaper Requirement</t>
  </si>
  <si>
    <t xml:space="preserve"> NORTHWEST SAMAR STATE UNIVERSITY-MAIN CAMPUS          	             TELEFAX NOS. (055) 2093122 / 2091554			              Project Reference No. 20-06-123 Name of Project: Supply and Delivery of Laptop Computers for Main Campus Location of Project: NwSSU-Ma</t>
  </si>
  <si>
    <t xml:space="preserve"> INVITATION TO BID The DPWH Bukidnon 1st District Engineering Office, Malaybalay City, through its Bids and Awards Committee (BAC), invites contractors to submit bids for the following Contracts:   Contract ID 	:	20KA0143 Contract Name 	:	Reblocking of Dam</t>
  </si>
  <si>
    <t xml:space="preserve"> Republic of the Philippines Province of Bohol Municipality of Panglao INVITATION TO BID FOR REHABILITATION OF PERIMETER FENCE AT PANGLAO PUBLIC MARKET, POBLACION, PANGLAO, BOHOL 1.	The Municipality of Panglao, Bohol, through the 2019 Supplemental Budget N</t>
  </si>
  <si>
    <t xml:space="preserve"> Health Care Benefits of Commission on Appointments' employees for the year 2020-2021</t>
  </si>
  <si>
    <t xml:space="preserve"> ITEM: 100    HEADS    GOAT UPGRADED FEMALE</t>
  </si>
  <si>
    <t xml:space="preserve"> Supply and Delivery of 40 rolls AWG ACSR Duplex Wire #6 (1000m/roll) for Electrification Project Expansion of different Barangays, Brooke’s Point, Palawan</t>
  </si>
  <si>
    <t xml:space="preserve"> Republic of the Philippines PROVINCE OF MARINDUQUE Capitol Boac, Marinduque OFFICE OF BIDS AND AWARDS COMMITTEE INVITATION TO BID  Supplying various medical oxygen for use of the three (3) hospitals owned by the Marinduque Provincial Government, SCDH/TMH/</t>
  </si>
  <si>
    <t xml:space="preserve"> Installation of Solar Panel Street Lights, Along Zone 01, 02 &amp; 03, Centro 12, Balzain West, Tuguegarao City</t>
  </si>
  <si>
    <t xml:space="preserve"> Procurement of Two (2)  Units Brand New  Ambulance to be Utilized as Emergency Vehicle for Probable/Suspect and/or Confirmed COVID - 19 case  and for other Health and/or Emergency Related Activities @ RHU, LGU-Javier, Leyte.	 	 TERMS AND CONDITIONS :  * 1</t>
  </si>
  <si>
    <t xml:space="preserve"> Republic of the Philippines Province of Bohol Municipality of Panglao INVITATION TO BID FOR REHABILITATION/IMPROVEMENT OF PIPELINES OF PANGLAO WATERWORKS SYSTEM, PANGLAO, BOHOL 1.	The Municipality of Panglao, Bohol, through the 20% Development Fund 2017 i</t>
  </si>
  <si>
    <t xml:space="preserve"> Specification: Vehicle type: Dump Truck Dump box capacity: 5 cu.m. Engine: Diesel</t>
  </si>
  <si>
    <t xml:space="preserve"> Supply And Delivery of One (1) unit Meat Van (Brand New) and Two (2) units LED TV CCTV Monitor to be used for delivery of dressed meat from slaughter house to Public Market and Market Satey and Security Surveillance, Brooke’s Point, Palawan Lot #1 Meat Va</t>
  </si>
  <si>
    <t xml:space="preserve"> Invitation to Bid Republic of the Philippines City of Olongapo -0- BIDS AND AWARDS COMMITTEE BAC Office 3rd Floor  Olongapo City Hall  Web: www.olongapocity.gov.ph INVITATION TO BID FOR  OC-68(ESMO-06) 20 GD PROCUREMENT FOR THE SUPPLY AND DELIVERY OF NINE</t>
  </si>
  <si>
    <t xml:space="preserve"> Construction of 175 cu.m. capacity reservoir with chlorination house and perimeter fence</t>
  </si>
  <si>
    <t xml:space="preserve"> Republic of the Philippines Province of Oriental Mindoro MUNICIPALITY OF VICTORIA 												 INVITATION TO RE-BID Concreting of Farm to Market Road at Sitio Malamig, Barangay Leido, Victoria, Oriental Mindoro 1.The Municipal Government of Victoria, thro</t>
  </si>
  <si>
    <t xml:space="preserve"> I	135.00	CU.M	EXCAVATION WORKS		 II	1.00	LOT	FORM WORKS		 III	120.00	CU.M	EMBANKMENT WORKS		 IV	106.50	CU.M	CONCRETE WORKS W/ RSB</t>
  </si>
  <si>
    <t xml:space="preserve"> INVITATION TO BID Supply and Delivery of Chemicals for Use in the Management of Fall Army Worm under 2020 STO - QRF FAW The Department of Agriculture Regional Field Office No. 5, through the General Appropriation Act for CY 2020 – STO - QRF FAW intends to</t>
  </si>
  <si>
    <t xml:space="preserve"> REPUBLIC OF THE PHILIPPINES 		                PROVINCE OF PALAWAN MUNICIPALITY OF LINAPACAN June 5, 2020 Invitation to Bid (ITB No. 29-20) 1.	The Municipal Government of Linapacan, Palawan through 5% Fund 2020 projects intends to apply the sum Seventy Fiv</t>
  </si>
  <si>
    <t xml:space="preserve"> 1.	The MUNICIPAL GOVERNMENT OF PALIMBANG through an appropriation from LDRRMO Fund (5% OF IRA) FY 2020 invites prospective and interested bidders for the project, to wit: 	 SUPPLY AND DELIVERY OF ONE (1) UNIT MOBILE CLINIC BUS Solicitation Number: PB-2020</t>
  </si>
  <si>
    <t xml:space="preserve"> INVITATION TO BID Supply and Delivery of 6,000 Packs of Lure (Pheromone) for Use in the Management of Fall Army Worm under 2020 STO - QRF FAW The Department of Agriculture Regional Field Office No. 5, through the General Appropriation Act for CY 2020 – ST</t>
  </si>
  <si>
    <t xml:space="preserve"> Invitation to Bid Republic of the Philippines City of Olongapo -0- BIDS AND AWARDS COMMITTEE BAC Office 3rd Floor  Olongapo City Hall  Web: www.olongapocity.gov.ph INVITATION TO BID FOR  OC-66(GSO-04) 20 GD PROCUREMENT FOR THE SUPPLY AND DELIVERY OF VARIO</t>
  </si>
  <si>
    <t xml:space="preserve"> The DPWH-Regional Office I, through its Bids and Awards Committee (BAC), invites contractors to submit bids for the following Contract: Contract ID: 20A00021 Contract Name: Construction of By-Pass and Diversion Roads, Bauang-San Fernando-San Juan Bypass R</t>
  </si>
  <si>
    <t xml:space="preserve"> Republic of the Philippines PROVINCE OF MARINDUQUE Capitol Boac, Marinduque OFFICE OF BIDS AND AWARDS COMMITTEE INVITATION TO BID  Supplying various breeder animals to be dispersed to Marginalized farmers, solo parents, unemployed parents, parents with ch</t>
  </si>
  <si>
    <t xml:space="preserve"> Furnishing and delivery of materials, labor, tools and equipment and other incidentals only. Schedule of Activities: Issuance of Bid Documents - June 18-July 8, 2020 Pre-Bid Conference - June 25, 2020; 1:00 p.m. Submission of Bids - on or before July 8, 2</t>
  </si>
  <si>
    <t xml:space="preserve"> Republic of the Philippines PROVINCE OF MARINDUQUE Capitol Boac, Marinduque OFFICE OF BIDS AND AWARDS COMMITTEE INVITATION TO BID  Supplying various breeder animals to be dispersed to Solo Parents of Torrijos Municipality, Provincial Veterinary Office, Bo</t>
  </si>
  <si>
    <t xml:space="preserve"> Republic of the Philippines PROVINCE OF MARINDUQUE Capitol Boac, Marinduque OFFICE OF BIDS AND AWARDS COMMITTEE INVITATION TO BID  Supplying labor and materials on the installation of Local Area Network (LAN) at Marinduque Provincial Hospital ICT Division</t>
  </si>
  <si>
    <t xml:space="preserve"> INVITATION TO BID Supply and Delivery of 2,000 Bottles of Organic Neem Insecticide for Use in the Management of Fall Army Worm under 2020 STO - QRF FAW The Department of Agriculture Regional Field Office No. 5, through the General Appropriation Act for CY</t>
  </si>
  <si>
    <t xml:space="preserve"> Contract ID : 20CSMH02 Contract Name : Contract Location : 1. 2. 3. DISTRICT ENGINEERING OFFICE Region XII Lebak, Sultan Kudarat REQUEST FOR EXPRESSION OF INTEREST (REOI) FOR SUB-SURFACE EXPLORATION (SOIL EXPLORATION) OF SARMIENTO BR. (B00609MN) ALONG ISU</t>
  </si>
  <si>
    <t xml:space="preserve"> Contract ID : 20CSMH03 Contract Name : Contract Location : 1. 2. 3. The Department of Public Works and Highways - Sultan Kudarat 2nd District Engineering Office, Lebak, Sultan Kudarat, through the NEP/GAA 2020 intends to apply the sum of TWO HUNDRED FIFTY</t>
  </si>
  <si>
    <t xml:space="preserve"> BY CONTRACT I.	MOBILIZATION/DEMOBILIZATION II.	REMOVAL OF STRUCTURES AND OBSTRUCTION III.	EXCAVATION IV.	EMBANKMENT V.	REINFORCED CONCRETE VI.	MASONRY WORKS VII.	TILE WORKS VIII.	STEEL WORKS IX.	PRE-PAINTED METAL SHEET X.	PLUMBING WORKS XI.	ELECTRICAL WOR</t>
  </si>
  <si>
    <t xml:space="preserve"> Supply and Delivery of 16 rolls AWG ACSR Duplex Wire #2 (1000m/roll) to be used for expansion/installation of NEW Electrical Lines of different Barangays, Brooke’s Point, Palawan</t>
  </si>
  <si>
    <t xml:space="preserve"> Invitation to Bid for the Supply and Delivery of Livelihood Kits for Livelihood Seeding Program – Negosyo Serbisyo sa Barangay (LSP-NSB) Beneficiaries of Department of Trade and Industry in the Province of Isabela The Department of Trade and Industry Regi</t>
  </si>
  <si>
    <t xml:space="preserve"> Republic of the Philippines DEPARTMENT OF PUBLIC WORKS AND HIGHWAYS OFFICE OF THE REGIONAL DIRECTOR Regional Office No. IV-A EDSA, Quezon City INVITATION TO BID The Department of Public Works and Highways (DPWH) Regional Office No. IV-A, through its Bids </t>
  </si>
  <si>
    <t xml:space="preserve"> Republic of the Philippines BULACAN STATE UNIVERSITY City of Malolos, Bulacan ________________________________________ INVITATION TO BID FOR    Procurement of Security Services for Bulacan State University  (BulSU-BAC-G-2020-23) The BULACAN STATE UNIVERSI</t>
  </si>
  <si>
    <t xml:space="preserve"> Republic of the Philippines Province of Bohol Municipality of Panglao INVITATION TO BID FOR CONSTRUCTION OF CONCRETE PERIMETER FENCE WITH PLASTER BACK TO BACK AT TAWALA ELEMENTARY SCHOOL 1.	The Municipality of Panglao, Bohol, through the SEF - MOOE 2020 i</t>
  </si>
  <si>
    <t xml:space="preserve"> INVITATION TO BID ITB No. 2020 - 32 1.	The Dr. Jose Fabella Memorial Hospital, through its Hospital Income intends to apply the amount of Three Million Six Hundred Thirty-Six Thousand Pesos (Php 3,636,000.00) being the Approved Budget for the Contract (AB</t>
  </si>
  <si>
    <t xml:space="preserve"> Supply and Delivery of Responders Kit, 15 sets		 Contains			 Heavy Duty Spine board, with Spider Strap	 (1) Oxygen Tank with Regulator and cannula (1) Heavy Duty First Aid Bag- Back Pack Type (2) Armsling			 (2) Alcohol 150ml			 (2) Cotton 300 grams			 (1</t>
  </si>
  <si>
    <t xml:space="preserve"> 1.	The MUNICIPAL GOVERNMENT OF PALIMBANG through an appropriation from 20% DF FY 2020 invites prospective and interested bidders for the project, to wit: 	 CONSTRUCTION OF MULTI-PURPOSE BUILDING Solicitation Number: PB-2020-CW-021 	Municipal Hall, Palimb</t>
  </si>
  <si>
    <t xml:space="preserve"> INVITATION TO BID ON THE SUPPLY AND DELIVERY OF  CONSOLIDATED ICT EQUIPMENT, IT SUPPLIES AND PHOTOCOPIER (SUB-LOT) OF BUKIDNON STATE UNIVERSITY 1.	The Bukidnon State University through the Bids and Awards Committee &amp; Budget Approved by the Board of Regent</t>
  </si>
  <si>
    <t xml:space="preserve"> H E A D Q U A R T E R S 6TH INFANTRY (KAMPILAN) DIVISION, PHILIPPPINE ARMY 6ID SPECIAL BIDS AND AWARD COMMITTEE Camp BGen Gonzalo H Siongco, Awang Datu Odin, Sinsuat, Maguindanao Invitation to Bid The Philippines Army through 6ID Special Bids and Awards C</t>
  </si>
  <si>
    <t xml:space="preserve"> Supply and delivery at Municipal Hall. Schedule of Activities: Issuance of Bid Documents - June 18-July 8, 2020 Pre-Bid Conference - June 25, 2020; 1:00 p.m.  Submission of Bids - on or before July 8, 2020; 1:00 p.m. Bid Opening - July 8, 2020; 1:00 p.m. </t>
  </si>
  <si>
    <t xml:space="preserve"> Name of Project: CONSTRUCTION OF MDRRMO BUILDING Location: Municipal Compound, Barangay 8, Mamburao, Occidental Mindoro 1.	CLEARING, REMOVAL OF TREES AND TRUSS DEMOLITION All surface objects and all tress, stumps, roots and other protruding obstructions, </t>
  </si>
  <si>
    <t xml:space="preserve"> 1.	The MUNICIPAL GOVERNMENT OF PALIMBANG through an appropriation from Peace and Order and Public Safety Plan LDRRMO FUND (5% OF IRA) FY 2020 invites prospective and interested bidders for the project, to wit: 	 SUPPLY, DELIVERY, INSTALLATION AND COMMISSI</t>
  </si>
  <si>
    <t xml:space="preserve"> Supply and delivery at Municipal Hall. Schedule of Activities: Issuance of Bid Documents - June 18-July 8, 2020 Pre-Bid Conference - June 25, 2020; 1:00 p.m. Submission of Bids - on or before July 8, 2020; 1:00 p.m. Bid Opening - July 8, 2020; 1:00 p.m. B</t>
  </si>
  <si>
    <t xml:space="preserve"> ITEM: 2   UNITS    Four Wheeled Tractor                   Minimum Specifications:                   ENGINE:                   Rated Power: 50 – 55 HP                   Engine Speed: 2400 – 2500 rpm                   Type: 4 Stroke, Water Cooled,          </t>
  </si>
  <si>
    <t xml:space="preserve"> INVITATION TO BID The DPWH Zamboanga del Sur 2nd District Engineering Office, Poblacion, Guipos, Zamboanga del Sur, through its Bids and Awards Committee (BAC), invites contractors to submit bids for the following Contract: Contract ID	:	20JG0077 Contract</t>
  </si>
  <si>
    <t xml:space="preserve"> QTY	UNIT	ITEM DESCRIPTION 		 1	set	AFB Staining Set 1	pc.	Hematocrit Centrifuse 1	set	ABO Blood typing Anti-sera 1	set	Blood Cholesterol Test Kit 1	set	Uric Acid Test Kit 3	bots.	Uric Acid Strips 10	bots.	Glucose Strips (Glucosure) 1	set	Easy Touch Hemogl</t>
  </si>
  <si>
    <t xml:space="preserve"> Republic of the Philippines Province of Ilocos Norte MUNICIPALITY OF ADAMS BIDS AND AWARDS COMMITTEE Cp nos.:09088956069  email address : mannegdege@yahoo.com June 17, 2020 INVITATION TO BID IMPROVEMENT OF RHU BUILDING ( ISOLATION ROOM) 1.	The Municipal G</t>
  </si>
  <si>
    <t xml:space="preserve"> Contract ID : 20CSMH01 Contract Name : Contract Location : 1. 2. 3. DISTRICT ENGINEERING OFFICE Region XII Lebak, Sultan Kudarat REQUEST FOR EXPRESSION OF INTEREST (REOI) FOR SUB-SURFACE EXPLORATION (SOIL EXPLORATION) OF BRIDGES ALONG AWANG-UPI-LEBAK-KALA</t>
  </si>
  <si>
    <t xml:space="preserve"> pls refer to attached description</t>
  </si>
  <si>
    <t xml:space="preserve"> DESIGN AND BUILD FOR THE CONSTRUCTION OF NEW MANAPLA PUBLIC MARKET 1. The Municipality of Manapla, through Loan (Land Bank of the Philippines) intends to apply the total of One Hundred Twenty Five Million Pesos (P 125,000,000.00) being the Approved Budget</t>
  </si>
  <si>
    <t xml:space="preserve"> pls refer to attched description</t>
  </si>
  <si>
    <t xml:space="preserve"> INVITATION TO BID  	 The Department of Public Works and Highways-National Capital Region (DPWH-NCR) and Unified Project Management Office - Flood Control Management Cluster (UPMO-FCMC), through the NCR Bids and Awards Committee (NCR-BAC), invites contract</t>
  </si>
  <si>
    <t xml:space="preserve"> Invitation to Bid for: CONSTRUCTION OF MULTI-PURPOSE BUILDING FOR SOLID WASTE MANAGEMENT EQUIPMENT AND MOTOR VEHICLES AT BRGY. BURABOD, GAMAY, NORTHERN SAMAR The LGU Gamay, Northern Samar, through the DILG – GRANT Performance Challenge Fund 2019 intends t</t>
  </si>
  <si>
    <t xml:space="preserve"> Delivery and Supply of Abaca Stripping Machine Specification Engine:	                      8-12 HP (Diesel/Gasoline Engine) Model:	                      MMAS Type:	                      Portable, Two Pedals, Spindle Type Output Capacity:	      1.00 - 2.00</t>
  </si>
  <si>
    <t xml:space="preserve"> SCOPE OF WORKS: I	General Requirements	1.00	lot II	Earth Works	561.87	cu.m. III	Concrete Works	50.06	cu.m. IV	Masonry Works	662.57	sq.m. V	Steel Works	1.00	lot VI	Tinning Works	337.50	sq.m. VII	Plumbing Works	1.00	lot VIII	Doors and Windows	1.00	lot IX	Ti</t>
  </si>
  <si>
    <t xml:space="preserve"> Invitation to Bid for: REPAIR /REHABILITATION OF DAMAGED DRAINAGE FACILITY AT BRGY. CENTRAL, GAMAY, NORTHERN SAMAR The LGU Gamay, Northern Samar, through the 70% Disaster Fund 2020 intends to apply the sum of P 1,499,553.57 being the Approved Budget for t</t>
  </si>
  <si>
    <t xml:space="preserve"> INVITATION TO BID The DPWH Zamboanga del Sur 2nd District Engineering Office, Poblacion, Guipos, Zamboanga del Sur, through its Bids and Awards Committee (BAC), invites contractors to submit bids for the following Contract: Contract ID	:	20JG0076 Contract</t>
  </si>
  <si>
    <t xml:space="preserve"> INVITATION TO BID The DPWH Zamboanga del Sur 2nd District Engineering Office, Poblacion, Guipos, Zamboanga del Sur, through its Bids and Awards Committee (BAC), invites contractors to submit bids for the following Contract: Contract ID	:	20JG0086 Contract</t>
  </si>
  <si>
    <t xml:space="preserve"> INVITATION TO BID The DPWH Zamboanga del Sur 2nd District Engineering Office, Poblacion, Guipos, Zamboanga del Sur, through its Bids and Awards Committee (BAC), invites contractors to submit bids for the following Contract: Contract ID	:	20JG0084 Contract</t>
  </si>
  <si>
    <t xml:space="preserve"> INVITATION TO BID The DPWH Zamboanga del Sur 2nd District Engineering Office, Poblacion, Guipos, Zamboanga del Sur, through its Bids and Awards Committee (BAC), invites contractors to submit bids for the following Contract: Contract ID	:	20JG0083 Contract</t>
  </si>
  <si>
    <t xml:space="preserve"> INVITATION TO BID The DPWH Zamboanga del Sur 2nd District Engineering Office, Poblacion, Guipos, Zamboanga del Sur, through its Bids and Awards Committee (BAC), invites contractors to submit bids for the following Contract: Contract ID	:	20JG0082 Contract</t>
  </si>
  <si>
    <t xml:space="preserve"> INVITATION TO BID The DPWH Zamboanga del Sur 2nd District Engineering Office, Poblacion, Guipos, Zamboanga del Sur, through its Bids and Awards Committee (BAC), invites contractors to submit bids for the following Contract: Contract ID	:	20JG0081 Contract</t>
  </si>
  <si>
    <t xml:space="preserve"> INVITATION TO BID The DPWH Zamboanga del Sur 2nd District Engineering Office, Poblacion, Guipos, Zamboanga del Sur, through its Bids and Awards Committee (BAC), invites contractors to submit bids for the following Contract: Contract ID	:	20JG0080 Contract</t>
  </si>
  <si>
    <t xml:space="preserve"> INVITATION TO BID NO. 20-24 SUPPLY &amp; DELIVERY OF ADVOCACY MATERIALS (T-SHIRTS, BAGS, UMBRELLAS, ETC)  1.	The Department of Health Center for Health Development Bicol (DOH CHD Bicol), through the GOP General Appropriation Act of 2020 intends to apply the s</t>
  </si>
  <si>
    <t xml:space="preserve"> INVITATION TO BID The DPWH Zamboanga del Sur 2nd District Engineering Office, Poblacion, Guipos, Zamboanga del Sur, through its Bids and Awards Committee (BAC), invites contractors to submit bids for the following Contract: Contract ID	:	20JG0078 Contract</t>
  </si>
  <si>
    <t xml:space="preserve"> INVITATION TO BID The DPWH Zamboanga del Sur 2nd District Engineering Office, Poblacion, Guipos, Zamboanga del Sur, through its Bids and Awards Committee (BAC), invites contractors to submit bids for the following Contract: Contract ID	:	20JG0079 Contract</t>
  </si>
  <si>
    <t xml:space="preserve"> INVITATION TO BID (for the Procurement of Goods)           1.	The City Government of Puerto Princesa (CGPP), through its General Appropriations Ordinance No. 1-2019 (General Fund FY 2020) intends to apply the sum, corresponds as the Approved Budget for th</t>
  </si>
  <si>
    <t xml:space="preserve"> INVITATION TO BID The DPWH Zamboanga del Sur 2nd District Engineering Office, Poblacion, Guipos, Zamboanga del Sur, through its Bids and Awards Committee (BAC), invites contractors to submit bids for the following Contract: Contract ID	:	20JG0085 Contract</t>
  </si>
  <si>
    <t xml:space="preserve"> SCOPE OF WORKS: B.3	         Project Billboard &amp; Sign Board	2.00	each B.7	         Occupational Safety and Health Program	4.00	months	 801(1)	Removal of Structure &amp; Obstruction	1.00	l.s 803(1)a	Structure Excavation, Common Soil	30.00	cu.m. 804(1)b	Embankm</t>
  </si>
  <si>
    <t xml:space="preserve"> INVITATION TO REBID FOR THE PROCUREMENT OF SUPPLY &amp; DELIVERY OF ORGANIC AND INORGANIC INSECTICIDE (BY LOT)     1.	The Department of Agriculture Regional Field Office 6 through the General Appropriations Act (GAA) of 2020 intends to apply the sum of Five M</t>
  </si>
  <si>
    <t xml:space="preserve"> Republic of the Philippines PROVINCE OF SAMAR Municipality of Pinabacdao Barangay Bangon Invitation to Bid  Construction of Landmark Brgy. Bangon, Pinabacdao, Samar 1.	The BARANGAY LOCAL GOVERNMENT UNIT of Bangon, Pinabacdao, Samar, through the 2020 20% B</t>
  </si>
  <si>
    <t xml:space="preserve"> Republic of the Philippines PROVINCE OF SAMAR Municipality of Pinabacdao Barangay Bangon Invitation to Bid  Installation of 7-units Purok Signages Brgy. Bangon, Pinabacdao, Samar 1.	The BARANGAY LOCAL GOVERNMENT UNIT of Bangon, Pinabacdao, Samar, through </t>
  </si>
  <si>
    <t xml:space="preserve"> SCOPE OF WORKS: I	Installation of Signage	5.00	pcs. II	Site Preparation	2,550.00	sq.m. III	Back filling Works	2,100.00	cu.m. IV	Concrete Works	214.30	cu.m.</t>
  </si>
  <si>
    <t xml:space="preserve"> Republic of the Philippines BIDS AND AWARDS COMMITTEE Province of Iloilo Invitation to Bid PURCHASE OF AMBULANCE WITH COMPLETE MEDICAL EQUIPMENT Bid No. HMO-20-0354-B 1. The Iloilo Provincial Government, through the 20% IRA 2019 intends to apply the sum o</t>
  </si>
  <si>
    <t xml:space="preserve"> INVITATION TO BID FOR THE PROCUREMENT OF SUPPLY &amp; DELIVERY OF PHEROMONE LURE      1.	The Department of Agriculture Regional Field Office 6 through the General Appropriations Act (GAA) of 2020 intends to apply the sum of Three Million Five Hundred Fifteen </t>
  </si>
  <si>
    <t xml:space="preserve"> Republic of the Philippines BIDS AND AWARDS COMMITTEE Province of Iloilo Invitation to Bid PURCHASE OF I.V. FLUIDS Bid No. SDH-20-0364-B 1. The Iloilo Provincial Government, through the GENERAL FUND 2020 intends to apply the sum of ONE MILLION FIVE HUNDRE</t>
  </si>
  <si>
    <t xml:space="preserve"> Contract Period: One (1) year subscription period shall commence on the date stipulated in the Notice to Proceed to be issued by the BSP Institute. Bidders should have completed from Y2015 to present a contract similar to the requirement.  The Eligibility</t>
  </si>
  <si>
    <t xml:space="preserve"> INVITATION TO BID FOR THE Procurement of Various Chemical and Filtering Supplies (450 bottles Lambda Cyhalothrin (500ml/bot) et al..) 1. The Department of Agriculture-Regional Field Office 7, through the GAA 2020 intends to apply the sum of Four Million E</t>
  </si>
  <si>
    <t xml:space="preserve"> REQUEST FOR EXPRESSION OF INTEREST (REOI) FOR CONSULTING SERVICES  19CSK00041 – Consultancy Services for the Conduct of Geotechnical &amp; Geological Investigation and Survey Works for the Proposed Construction of Sabo Dam on Upper and Lower Dinanggasan River</t>
  </si>
  <si>
    <t xml:space="preserve"> Republic of the Philippines Province of Iloilo BIDS AND AWARDS COMMITTEE INVITATION TO BID Purchase of Kitchenware Bid No. AGR-20-0338-B 1. The Iloilo Provincial Government, through the   General Fund CY 2020 intends to apply the sum of ONE HUNDRED THOUSA</t>
  </si>
  <si>
    <t xml:space="preserve"> Delivery and Supply of Looms Specification: Dimension (LxWxH):	58x39x54 cm Accessories:	        with Sab-ongan/Warping Board, Kalinyasan/Spooling Wheel</t>
  </si>
  <si>
    <t xml:space="preserve"> INVITATION TO BID FOR THE Procurement of *3,600 packs of PHROMONE LURE (5 sachets/pack) 1. The Department of Agriculture-Regional Field Office 7, through the GAA 2020 intends to apply the sum of Two Million Three Hundred Forty Thousand Pesos (₱ 2,340,000.</t>
  </si>
  <si>
    <t xml:space="preserve"> INVITATION TO BID 2020-CS-06 The Department of Public Works and Highways QUEZON III DISTRICT ENGINEERING OFFICE, Catanauan, Quezon, through the FY2020 PDE FUND intends to apply the amount of ₱ ₱1,050,000.00 being the Approved Budget for the Contract (ABC)</t>
  </si>
  <si>
    <t xml:space="preserve"> Item I	-174.00 sq.m. Finishing and Other Interior Fit-Out Works Item II	-1.00 lot Provision of President’s Office Pantry Item III	-1.00 lot Provision of Toilet and Bath Fixtures Item IV	-1.00 lot Electrical Works</t>
  </si>
  <si>
    <t xml:space="preserve"> For the Project MODERNIZATION OF LABORATORY EQUIPMENT FOR BACHELOR OF SCIENCE IN ELECTRICAL ENGINEERING  Invitation to Bid No. 2020-007 1.	The Tarlac State University, through the Trust Fund (TF) intends to apply the sum of Ten Million Pesos (P 10,000,000</t>
  </si>
  <si>
    <t xml:space="preserve"> INVITATION TO BID FOR THE Procurement of *571 bottles of Azadirahtin (1 liter/bot. Organic Pesticide) and *100 boxes of Bacillus Thuringiensis (5 x 100 gram/box) 1. The Department of Agriculture-Regional Field Office 7, through the GAA 2020 intends to app</t>
  </si>
  <si>
    <t xml:space="preserve"> Procurement of Hydraulic Breaker and Hydraulic Grapple for use at EMD (PR No. 20-05-103 dated 5/29/2020), DPWH Regional Office No. V, Rawis, Legazpi City</t>
  </si>
  <si>
    <t xml:space="preserve"> Republic of the Philippines PROVINCE OF AKLAN Kalibo -oOo- BIDS AND AWARDS COMMITTEE (BAC) INVITATION TO BID 1.	The Provincial   Government   of   Aklan, through   20% IRA Development Fund CY 2020 intends   to   apply   the   sum   of  Four Million Eight </t>
  </si>
  <si>
    <t xml:space="preserve"> Republic of the Philippines Province of Sarangani Municipality of Malapatan INVITATION TO BID  	 2020-B1-02        PROCUREMENT OF MATERIALS FOR THE MAINTENANCE AND DEVELOPMENT OF HRIS SYSTEM, MALAPATAN, SARANGANI PROVINCE 1.	The Local Government Unit of M</t>
  </si>
  <si>
    <t xml:space="preserve"> Republic of the Philippines PROVINCE OF AKLAN Kalibo -oOo- BIDS AND AWARDS COMMITTEE (BAC) INVITATION TO BID 1.	The Provincial   Government   of   Aklan, through   20% IRA Development Fund CY 2020 intends   to   apply   the   sum   of  Two Million Four Hu</t>
  </si>
  <si>
    <t xml:space="preserve"> INVITATION TO BID The DPWH Zamboanga del Sur 2nd District Engineering Office, Poblacion, Guipos, Zamboanga del Sur, through its Bids and Awards Committee (BAC), invites contractors to submit bids for the following Contract: Contract ID	:	20JG0075 Contract</t>
  </si>
  <si>
    <t xml:space="preserve"> Republic of the Philippines BIDS AND AWARDS COMMITTEE Province of Iloilo Invitation to Bid PURCHASE OF DRUGS AND MEDICINES Bid No. SDH-20-0361-B 1. The Iloilo Provincial Government, through the GENERAL FUND 2020 intends to apply the sum of THREE MILLION O</t>
  </si>
  <si>
    <t xml:space="preserve"> Item Description........................................Quantity...............................Unit of Issue 4 x 2, Six Wheeler, Mounted with.....................1..........................................Unit 5.5 cu.m. Dump Truck Body GCM Rating: 16,000 </t>
  </si>
  <si>
    <t xml:space="preserve"> INVITATION TO BID FOR THE Procurement of 3,600 heads of Native Chicken 1. The Department of Agriculture-Regional Field Office 7, through the GAA 2020 intends to apply the sum of One Million Two Hundred Sixty Thousand Pesos (₱ 1,260,000.00) being the Appro</t>
  </si>
  <si>
    <t xml:space="preserve"> INVITATION TO BID FOR THE Procurement of Various Feeds 1.	The Department of Agriculture-Regional Field Office 7, through the GAA 2020  intends to apply the sum of One Million One Hundred Seventy Thousand Pesos (₱1,170,000.00) being the Approved Budget for</t>
  </si>
  <si>
    <t xml:space="preserve"> INVITATION TO BID FOR THE Procurement of Assorted Feeds 1.	The Department of Agriculture-Regional Field Office 7, through the GAA 2020  intends to apply the sum of One Million Four Hundred Fifty Two Thousand Pesos (₱1,452,000.00) being the Approved Budget</t>
  </si>
  <si>
    <t xml:space="preserve"> Republic of the Philippines Province of Sarangani Municipality of Malapatan INVITATION TO BID  	 2020-B1-06-014        PROCUREMENT OF OFFICE SUPPLIES FOR DIFFERENT OFFICES (1st – 2nd Quarter), MALAPATAN, SARANGANI PROVINCE 1.	The Local Government Unit of </t>
  </si>
  <si>
    <t xml:space="preserve"> Republic of the Philippines Province of Davao del Sur MUNICIPALITY OF STA.CRUZ INVITATION TO BID CONSTRUCTION OF RESIDUAL CONTAINMENT AREA (ITB No. 07-INFRA-2020) 1.	The Local Government Unit of Sta. Cruz, Davao del Sur through the General Funds for the Y</t>
  </si>
  <si>
    <t xml:space="preserve"> INVITATION TO BID FOR THE Procurement of Assorted Feeds 1.	1.	The Department of Agriculture-Regional Field Office 7, through the GAA 2020  intends to apply the sum of Seven Hundred Sixty Nine Thousand Two Hundred Fifty Pesos (₱ 769,250.00) being the Appro</t>
  </si>
  <si>
    <t xml:space="preserve"> 1.	The Municipality of Esperanza, through the Municipal &amp; Barangay Fund intends to apply the sum of Five Million One Hundred Thousand Pesos (Php5,100,000.00) being the Approved Budget for the Contract (ABC) to payments under the contract for Construction </t>
  </si>
  <si>
    <t xml:space="preserve"> Republic of the Philippines PROVINCE OF AKLAN Kalibo -oOo- BIDS AND AWARDS COMMITTEE (BAC) INVITATION TO BID 1.	The Provincial   Government   of   Aklan, through   20% IRA Development Fund CY 2019  intends   to   apply   the   sum   of  Two Million Eight </t>
  </si>
  <si>
    <t xml:space="preserve"> INVITATION TO BID (GOODS) The Municipality of Sibonga, through the Trust Fund intends to apply the sum of Two hundred thirty-six thousand seven hundred ten &amp; 50/100 pesos only (236,710.50) being the Approved Budget for the Contract (ABC) to payment under </t>
  </si>
  <si>
    <t xml:space="preserve"> INVITATION TO BID FOR THE Procurement of 100 rolls of Range Nets 1.	The Department of Agriculture-Regional Field Office 7, through the GAA 2020  intends to apply the sum of Five Hundred Fifty Thousand Pesos (₱ 550,000.00) being the Approved Budget for the</t>
  </si>
  <si>
    <t xml:space="preserve"> Republic of the Philippines PROVINCE OF AKLAN Kalibo -oOo- BIDS AND AWARDS COMMITTEE (BAC) INVITATION TO BID 1.	The Provincial   Government   of   Aklan, through   20% IRA Development Fund CY 2019  intends   to   apply   the   sum   of  One Million Pesos </t>
  </si>
  <si>
    <t xml:space="preserve"> Republic of the Philippines Province of Leyte MUNICIPALITY OF PALO Invitation to Bid for the Repair of Gazebo Building Canopy at the Municipal Hall Compound of Palo, Leyte Job Request No. 20-06-112 	 1.	The Municipality of Palo, Leyte, through the General</t>
  </si>
  <si>
    <t xml:space="preserve"> INVITATION TO BID FOR THE Procurement of 4,185 kilos of Ginger (Planting Materials) 1.	The Department of Agriculture-Regional Field Office 7, through the GAA 2020  intends to apply the sum of One Million Forty Six Thousand Two Hundred Fifty Pesos (₱ 1,046</t>
  </si>
  <si>
    <t xml:space="preserve"> Republic of the Philippines PROVINCE OF AKLAN Kalibo -oOo- BIDS AND AWARDS COMMITTEE (BAC) INVITATION TO BID 1.	The Provincial   Government   of   Aklan, through   5% LDRRM Fund CY 2019 intends   to   apply   the   sum   of  Two Million Pesos Only (Php 2,</t>
  </si>
  <si>
    <t xml:space="preserve"> Republic of the Philippines CITY GOVERNMENT OF ORMOC  2nd /F New Ormoc City Hall Bldg.,Ormoc City Tel # (053) 255-2054 &amp; 560-8050 Local # 1126, 1127 &amp; 1123	      36-________________________ INVITATION TO BID         The City Government of Ormoc, through t</t>
  </si>
  <si>
    <t xml:space="preserve"> SUPPLY AND DELIVERY OF 100 HEADS OF F1 MEAT TYPE HOGS FOR USE IN THE KADIWA NI ANI AT KITA FOR THE PROJECT: FINAL HANDS-ON TRAINING AND FOR TESDA ASSESSMENT  OF BATCH 11 AND 12 (PB 2020-02A) 1.	The NATIONAL TOBACCO ADMINISTRATION (NTA), through the 2020 C</t>
  </si>
  <si>
    <t xml:space="preserve"> Invitation to Bid 1.	The Barangay Government of Tanza 2 through the 2020 BDRRM FUND,intend to apply the amount of  Fifty Seven Thousand Eight Hundred Pesos  (words)  Php 57,800.00 as the Approved Budget for the Contract (ABC) for the payment under the con</t>
  </si>
  <si>
    <t xml:space="preserve"> INVITATION TO BID 	 Date: June 16, 2020 1.	The Provincial Government of Davao Occidental, through its Bids and Awards Committee (BAC), invites all potential contractors to apply to bid for the following infrastructure projects: IB NO.	Description	ABC	Sour</t>
  </si>
  <si>
    <t xml:space="preserve"> Republic of the Philippines PROVINCE OF BOHOL Municipality of Dagohoy INVITATION TO BID FOR THE CONCRETING OF FARM TO MARKET ROAD (SITIO 3-MARKET ROAD)    1.The Local Government Unit of Dagohoy, Bohol intends to apply the sum of Five Million Pesos (Php 5,</t>
  </si>
  <si>
    <t xml:space="preserve"> Invitation to Bid 1.	The Barangay Government of Tanza 2 through the 2020 CAPITAL OUTLAY, intend to apply the amount of  SEVENTY THOUSAND Pesos  (words)  Php 70,000.00 as the Approved Budget for the Contract (ABC) for the payment under the contract for the</t>
  </si>
  <si>
    <t xml:space="preserve"> INVITATION TO BID (GOODS) The Municipality of Sibonga, through the Trust Fund intends to apply the sum of Eight hundred ninety-one thousand five hundred seventy-five &amp; 85/100 pesos only (891,575.85) being the Approved Budget for the Contract (ABC) to paym</t>
  </si>
  <si>
    <t xml:space="preserve"> Location: Brgy. Calamay, Moncada, Tarlac Floor Area: 8.00 m x 7.80m Scope of Work to be Done: 1. Footing and Wall Footing 2.  Column 3. Beam 4. Flooring 5. CHB Wall and Partition 6. Doors and Windows 7. Ceiling 8. Roofing and Roof Framing 9. Kitchen Count</t>
  </si>
  <si>
    <t xml:space="preserve"> Republic of the Philippines Province of Sarangani Municipality of Malapatan INVITATION TO BID  	 2020-B1-002        PROCUREMENT OF OFICE EQUIPMENT FOR MUNICIPAL INFORMATION OFFICE, MALAPATAN, SARANGANI PROVINCE 1.	The Local Government Unit of Malapatan, t</t>
  </si>
  <si>
    <t xml:space="preserve"> The Municipality of Malangas, through the Bids and Award Committee (BAC), invites suppliers/manufactures/distributors/contractors to bid for the hereunder contract: Name of Project	: PROCUREMENT OF 1 SET BUTT FUSION MACHINE Technical Specification: 	230 V</t>
  </si>
  <si>
    <t xml:space="preserve"> 1.	The Municipality of Esperanza, through the Municipal &amp; Barangay Fund intends to apply the sum of Three Million Six Hundred Thousand Pesos (Php3,600,000.00) being the Approved Budget for the Contract (ABC) to payments under the contract for Construction</t>
  </si>
  <si>
    <t xml:space="preserve"> Items of Work: I. Site Preparation.......................................1 Lot II. Excavation, Foundation of Column and Wall Footing.........................1 Lot III. Carpentry and Welding Works, Installation of Steel Truss, Roofing &amp; Ceiling............</t>
  </si>
  <si>
    <t xml:space="preserve"> 1 unit Dump truck Specs: Engine            :  Euro 4 Displacement  : 3933cc Max. Power     : 150 ps @2900 rpm Max. Torque: 59 kg-m@ 1,600 rpm Turbo charger: Turbo charger Suspension Type: Semi-elliptic, laminated leaf spring w/shock absorber Fuel Tank Cap</t>
  </si>
  <si>
    <t xml:space="preserve"> Republic of the Philippines                                                        Province of Misamis Oriental                                                MUNICIPALITY OF KINOGUITAN                                           BIDS AND AWARDS COMMITTEE (</t>
  </si>
  <si>
    <t xml:space="preserve"> The DPWH, Negros Occidental 3rd District Engineering Office, Kabankalan City, Negros Occidental, through its Bids and Awards Committee (BAC), invites contractors to submit bids for the following contract: 1. Contract ID		:	20GM0064 (Re-bidding) Contract N</t>
  </si>
  <si>
    <t xml:space="preserve"> ITB No. 2020-74 June 17, 2020 Republic of the Philippines Province of Davao Oriental CITY OF MATI INVITATION TO BID ESTABLISHMENT OF STOCK ROOM FOR LIVESTOCK AND POULTRY MULTIPLIER FARM Name of Project 1.	The City Government of Mati, through the 20% Local</t>
  </si>
  <si>
    <t xml:space="preserve"> Procurement of Farm Machineries and Equipment - Php 970,000.00 7 HP DIESEL ENGINE PALAY THRESHER - 1 unit - Php 162,000 Irrigation Water Supply w/ Accesories 7HP engine pumps, horizontal water cooled, 4-cycle diesel engine; bore x stroke – 80 x 75 mm; dis</t>
  </si>
  <si>
    <t xml:space="preserve"> Work item includes Subgrade Preparation, Aggregate Sub-base Course, PCCP Class A, Concreting of Adjoining Premises and Grouted Rip rap (Slope Protection)</t>
  </si>
  <si>
    <t xml:space="preserve"> INVITATION TO BID FOR THE SUPPLY AND DELIVERY OF VARIOUS PHARMACEUTICAL DRUGS, MEDICINES AND CONTRAST MEDIA (NEGOTIATED PROCUREMENT- TWO FAILED BIDDING) (IB NO. 2020-GOODS-002NP-02-0617) 1.	The ILOCOS TRAINING AND REGIONAL MEDICAL CENTER (ITRMC), through </t>
  </si>
  <si>
    <t xml:space="preserve"> Repainting of Public Buildings. (Barangay Office, Public Market Building, Health Center, AL's Building and BPAT Outpost)</t>
  </si>
  <si>
    <t xml:space="preserve"> 450 liters Insecticide (Active ingredient-Luferurony Carbosulfan)</t>
  </si>
  <si>
    <t xml:space="preserve"> Invitation to Bid 1.	The Barangay Government of Tanza 2 through the 2020 BCPC Fund, intend to apply the amount One Hundred Four Thousand  Pesos  (words)  Php 104,000.00 as the Approved Budget for the Contract (ABC) for the payment under the contract for t</t>
  </si>
  <si>
    <t xml:space="preserve"> Republic of the Philippines        PROVINCE OF BUKIDNON             Don Carlos, Bukidnon Invitation to Bid for the Proposed Development of Municipal Cemetery in Norte, Don Carlos, Bukidnon – Phase II (Straight Contract) (Project Reference No. 006-027-2020</t>
  </si>
  <si>
    <t xml:space="preserve"> INVITATION TO BID FOR PURCHASE OF BOOKS / LEARNING MATERIALS FOR KINDERGARTEN PUPILS 1.	The Municipal Government of Sta. Maria through the Special Education Funds 2020 intends to apply the sum of Three Hundred Sixty One Thousand Pesos (₱361,000.00) being </t>
  </si>
  <si>
    <t xml:space="preserve"> INVITATION TO BID FOR PURCHASE OF BOOKS / LEARNING MATERIALS FOR CHILD DEVELOPMENT CENTER (DAYCARE PUPILS) 1.	The Municipal Government of Sta. Maria through the 20% Local Development Fund 2020 intends to apply the sum of One Million Nine Hundred Thousand </t>
  </si>
  <si>
    <t xml:space="preserve"> Republic of the Philippines        PROVINCE OF BUKIDNON             Don Carlos, Bukidnon Invitation to Bid for the Rehabilitation of Local Road – Perimeter Road along Public Market, Poblacion Sur, Don Carlos, Bukidnon (Straight Contract) (Project Referenc</t>
  </si>
  <si>
    <t xml:space="preserve"> Republic of the Philippines Province of Agusan del Norte Municipality of Remedios T. Romualdez Invitation to Bid PROCUREMENT OF RESCUE EQUIPMENT AND SUPPLIES  1. The Municipality of Remedios T. Romualdez, Agusan del Norte, through the 5% MDRRM Funds inten</t>
  </si>
  <si>
    <t xml:space="preserve"> INVITATION TO APPLY FOR ELIGIBILITY AND TO BID The  Municipality of Barobo , through its Bids and Awards Committee (BAC), invites contractors registered with and classified by the Philippine Contractors Accreditation Board (PCAB) to apply for eligibility </t>
  </si>
  <si>
    <t xml:space="preserve"> Republic of the Philippines Province of Bukidnon Municipality of Cabanglasan -o0o- ___________________________________________________________________________ INVITATION TO BID FOR  Purchase of Materials for Maintenance of Roads and Bridges at Cabanglasan</t>
  </si>
  <si>
    <t xml:space="preserve"> PVC ID PRINTER &amp; LAMINATOR -	Smart Card Printer -	Flipper (Back to Back Printing) -	Dual Side Printing  -	Card Feeding -	Full Color Ribbon with Black, Overlay and Black for Back Side -	Machine includes Colored Ribbon and 200 PVC Cards   Supplies included:</t>
  </si>
  <si>
    <t xml:space="preserve"> “Garbage Granulator”           CAPACITY: 5 Cu .Meter per Hour a)	Prime Mover:4D35 Diesel Engine                       (Remanufactured) b)	Granulating Chamber: 1”thk. X 70 Cm X 70 Cm X 1.2 Meter c)	BLADES: 19mm x 150mm x 575mm d)	Main Gear Box    : 20 Hp e</t>
  </si>
  <si>
    <t xml:space="preserve"> please download the ITB and its supporting documents in the associated component</t>
  </si>
  <si>
    <t xml:space="preserve"> INVITATION TO BID June 15, 2020 The Eastern Visayas Regional Medical Center, through its Bids and Awards Committee (BAC B) invites suppliers/manufacturers/distributors/contractors to bid for the hereunder project:  Procurement Activity	Approved Budget for</t>
  </si>
  <si>
    <t xml:space="preserve"> OPV-2020-0174 PR2020-0440 INVITATION TO BID FOR THE PROCUREMENT OF OFFICE FURNITURE AND FIXTURES FOR OFFICE USE AT OFFICE OF THE PROVINCIAL VETERINARIAN ABC: P 2,605,500.00 COST OF BID DOCUMENTS: P 5,000.00 ADVERTISEMENT PERIOD: JUNE 17 - JULY 8, 2020 PRE</t>
  </si>
  <si>
    <t xml:space="preserve"> Republic of the Philippines Province of Cotabato Municipality of Aleosan Invitation to Bid for the  CONSTRUCTION OF COMFORT ROOM BUILDING (PROGRESSIVE TYPE) AT ALEOSAN PUBLIC MARKET, LGU ALEOSAN, COT. 								June 15, 2020 		 1.	The Local Government Unit </t>
  </si>
  <si>
    <t xml:space="preserve"> concrete pavemernt 303 x 4 m x 4 x.10</t>
  </si>
  <si>
    <t xml:space="preserve"> Section I. Invitation to Bid Republic of the Philippines Province of Sultan Kudarat Municipality of Bagumbayan OFFICE OF THE BIDS AND AWARDS COMMITTEE Bagumbayan, Sultan Kudarat INVITATION TO BID FOR THE PROCUREMENT OF CONSTRUCTION MATERIALS FOR THE IMPRO</t>
  </si>
  <si>
    <t xml:space="preserve"> INVITATION TO APPLY FOR ELIGIBILITY AND TO BID THE MUNICIPALITY OF CAIBIRAN, BILIRAN IS INVITING ALL INTERESTED BIDDERS ON ITS FORTHCOMING PUBLIC BIDDING FOR: Project Title 	: Provision of Pedicab (Small Transport) Sewing Machine &amp; Motorboat Engines to Se</t>
  </si>
  <si>
    <t xml:space="preserve"> RFQ-GS-20200608-04 Interested Suppliers are invited to submit Price Quotation for the above listed item. The official LANDBANK Request for Quotation Form may be obtained from MR. RUEL MARCA (email address: ruelmarca@yahoo.com) . The deadline for the submi</t>
  </si>
  <si>
    <t xml:space="preserve"> Opening of Farm to Market Road Barangay Bucalag, Santa, Ilocos Sur</t>
  </si>
  <si>
    <t xml:space="preserve"> Procurement of FArm Machineries and Equipment-Php 4,000,000.00 35 HP 4WD Tractor - 4 units @ Php 1,000,000.00</t>
  </si>
  <si>
    <t xml:space="preserve"> Please see the attached document</t>
  </si>
  <si>
    <t xml:space="preserve"> Republic of the Philippines CITY OF SAN PEDRO Province of Laguna BIDS AND AWARDS COMMITTEE INVITATION TO BID The City Government of San Pedro Laguna through the 2020 Budget Approved by Sangguniang Panglungsod intends to apply the sum of Php 3,238,515.35 b</t>
  </si>
  <si>
    <t xml:space="preserve"> CONSTRUCTION OF NATIONAL CHILD DEVELOPMENT CENTER @ POBLACION, SAN ISIDRO, LEYTE. FOR THE DETAILED DESCRIPTION, PLEASE SEE ATTACHED FILE  (TECHNICAL REPORT PAGE1 AND PAGE2)</t>
  </si>
  <si>
    <t xml:space="preserve"> Republic of the Philippines Province of Bukidnon Municipality of Cabanglasan -o0o- ___________________________________________________________________________ INVITATION TO BID FOR  Purchase of Materials for Construction of Multi-Purpose Building U Canang</t>
  </si>
  <si>
    <t xml:space="preserve"> City Government of Manila INVITATION TO BID NO. 2020-06-90 Procurement of 77,000 pcs. Tablet 10” and 33,000 pcs. Tablet 8” 1.	The City Government of Manila, through the SEF Fund CY 2020 –intends to apply the sum of Six Hundred Fifty Three Million Four Hun</t>
  </si>
  <si>
    <t xml:space="preserve"> 1.	The Municipality of Daram, through the 20%-Development Fund-2020 intends to apply the sum of Two Million Two Hundred Thousand Pesos (P2,200,000.00) being the Approved Budget for the Contract (ABC) to payments under the contract for the Supply and Deliv</t>
  </si>
  <si>
    <t xml:space="preserve"> INVITATION TO BID FOR SUPPLY AND DELIVERY OF NINETY (90) CYLINDERS LIQUID GAS CHLORINE (68 KGS/CYLINDER) FOR WATER TREATMENT USE 1.	The METRO KALIBO WATER DISTRICT, through the Corporate Budget for the contract approved by the governing Boards for the yea</t>
  </si>
  <si>
    <t xml:space="preserve"> Republic of the Philippines Province of Bukidnon Municipality of Cabanglasan -o0o- ___________________________________________________________________________ INVITATION TO BID FOR  Purchase of Materials for Construction of Multi-Purpose Building C, Pobla</t>
  </si>
  <si>
    <t xml:space="preserve"> PEO-2020-0173 PR2020-0436 INVITATION TO BID FOR THE PROCUREMENT OF LABOR, MATERIALS, AND EQUIPMENT FOR THE REHABILITATION AND IMPROVEMENT OF PEO BUILDING (ELECTRICAL CONNECTION REVAMP, REPLACEMENT OF DOORS AND WINDOWS, CEILING AND PAINTING WORKS) AT NEW C</t>
  </si>
  <si>
    <t xml:space="preserve"> 1. The [Local Government Unit of Inopacan, Leyte], through the [Capital Outlay of the Municipal Engineering Office in the 2020 General Fund Supplemental Budget No. 1 as per Appropriation Ordinance No. 20-02 by the 14th Sangguniang Bayan of Inopacan, Leyte</t>
  </si>
  <si>
    <t xml:space="preserve"> Republic of the Philippines Province of Bukidnon Municipality of Cabanglasan -o0o- ___________________________________________________________________________ INVITATION TO BID FOR  Purchase of Materials for Construction of Multi-Purpose Building T Imbatu</t>
  </si>
  <si>
    <t xml:space="preserve"> Republic of the Philippines 	CITY OF SAN PEDRO Province of Laguna BIDS AND AWARDS COMMITTEE INVITATION TO APPLY FOR ELIGIBILITY AND TO BID PR NO. 0452 1.	The City Government of San Pedro, Laguna through the 2020 Budget Approved by the Sangguniang Panglung</t>
  </si>
  <si>
    <t xml:space="preserve"> Republic of the Philippines Province of Bukidnon Municipality of Cabanglasan -o0o- ___________________________________________________________________________ INVITATION TO BID FOR  Purchase of Diesel and Lubricants for Rehabilitation of Barangay Road, Hi</t>
  </si>
  <si>
    <t xml:space="preserve"> City Government of Manila INVITATION TO BID NO. 2020-06-91 Procurement of 11,000 pcs. Laptop 1.	The City Government of Manila, through the SEF Fund CY 2020 –intends to apply the sum of One Hundred  Sixty Five Million  Pesos Only (Php165,000,000.00) being </t>
  </si>
  <si>
    <t xml:space="preserve"> One (1) Year Internet Connection Service for the Six (6) Campuses of ISPSC 1. STA. MARIA CAMPUS (Main Campus) Particulars: *** 50 Mbps Dedicated Fiber Internet 2. Tagudin Campus Particulars: *** 30 Mbps Dedicated Fiber Internet 3. Narvacan, Santiago, Cand</t>
  </si>
  <si>
    <t xml:space="preserve"> Republic of the Philippines Province of Bukidnon Municipality of Cabanglasan -o0o- ___________________________________________________________________________ INVITATION TO BID FOR  Purchase of Materials for Construction of Multi-Purpose Building X Poblac</t>
  </si>
  <si>
    <t xml:space="preserve"> Republic of the Philippines Province of Iloilo Municipality of Lambunao Office of the Bids &amp; Awards Committee INVITATION TO BID/ REQUEST FOR PRICE QUOTATION Name of Project: Purchase of Ambulance (Hi-Roof) Location: Lambunao, Iloilo ABC: Php 2,200,000.00 </t>
  </si>
  <si>
    <t xml:space="preserve"> Republic of the Philippines Province of Bukidnon Municipality of Cabanglasan -o0o- ___________________________________________________________________________ INVITATION TO BID FOR  Purchase of Materials for Construction of Market Stalls (PhaseII) Market </t>
  </si>
  <si>
    <t xml:space="preserve"> I.	Invitation to Apply for Eligibility and to Bid Rebidding for the Repair and Renovation of Second Floor Bonifacio P. Sibayan Hall	 1. The Philippine Normal University, through Fund 101 intends to apply the sum of Ten Million Three Hundred Fifty-One Thou</t>
  </si>
  <si>
    <t xml:space="preserve"> THE BRGY. NBBS DAGAT-DAGATAN THRU BIDS AND AWARDS COMMITTEE, THROUGH THE CY 2020 ANNUAL BUDGET INTENDS TO APPLY THE SUM OF PHP. 512,233.79 BEING THE ABC TO PAYMENTS UNDER THE CONTRACT FOR LABOR &amp; MATERIALS FOR UPGRADING OF ALLEY WITH IMPROVEMENT OF DRAINA</t>
  </si>
  <si>
    <t xml:space="preserve"> 1.	The General Mariano Alvarez Water District (GMAWD), through the GMAWD General Fund, intends to apply the sum of FIVE MILLION NINE HUNDRED SIXTY THREE THOUSAND PESOS (Php5,963,000.00)  being the Approved Budget for the Contract (ABC) to payments under t</t>
  </si>
  <si>
    <t xml:space="preserve"> Republic of the Philippines Province of Bukidnon Municipality of Cabanglasan -o0o- ___________________________________________________________________________ INVITATION TO BID FOR  Purchase of Materials for Construction of Multi-Purpose Building P Poblac</t>
  </si>
  <si>
    <t xml:space="preserve"> Republic of the Philippines CITY OF SAN PEDRO Province of Laguna BIDS AND AWARDS COMMITTEE INVITATION TO BID The City Government of San Pedro Laguna through the 2020 CDC Budget Approved by Sangguniang Panglungsod intends to apply the sum of Php 1,499,966.</t>
  </si>
  <si>
    <t xml:space="preserve"> INVITATION TO  BID 17 June 2020 The municipality of Sampaloc through its Bids and Awards Committee (BAC) invites suppliers/manufacturers/distributors/contractors to apply for eligibility to bid for the hereunder project: Name of Project	:	CONSTRUCTION OF </t>
  </si>
  <si>
    <t xml:space="preserve"> Republic of the Philippines Province of Bukidnon Municipality of Cabanglasan -o0o- ___________________________________________________________________________ INVITATION TO BID FOR  Purchase of Materials for Construction of Multi-Purpose Building W (Perim</t>
  </si>
  <si>
    <t xml:space="preserve"> Materials for printing of Modules for SY 2020-2021</t>
  </si>
  <si>
    <t xml:space="preserve"> Republic of the Philippines PROVINCE OF ZAMBOANGA SIBUGAY Municipality of Talusan Barangay Poblacion INVITATION TO BID  (FOR BARANGAY POBLACION) 1.	The Barangay Local Government Unit of Poblacion Talusan Zamboanga Sibugay, through the 20% Development Fund</t>
  </si>
  <si>
    <t xml:space="preserve"> THE BRGY. NBBS DAGAT-DAGATAN THRU BIDS AND AWARDS COMMITTEE, THROUGH THE CY 2020 ANNUAL BUDGET INTENDS TO APPLY THE SUM OF PHP. 1,196,025.57 BEING THE ABC TO PAYMENTS UNDER THE CONTRACT FOR LABOR &amp; MATERIALS FOR UPGRADING OF ALLEY WITH IMPROVEMENT OF DRAI</t>
  </si>
  <si>
    <t xml:space="preserve"> Republic of the Philippines Province of Bukidnon Municipality of Cabanglasan -o0o- ___________________________________________________________________________ INVITATION TO BID FOR  Purchase of Materials for Construction of Multi-Purpose Building V (Perim</t>
  </si>
  <si>
    <t xml:space="preserve"> 1 unit backhoe specs: Engine Power: 40hp Emission : Stage EC Stage lllA Loader Bucket Capacity: 0.36 cu.m. Backhoe Bucket Capacity: 0.08 cu.m. Operating Weight: 4262kg Max. Dig Depth:3.05m Loader Load over Height: up to 2.65m</t>
  </si>
  <si>
    <t xml:space="preserve"> Republic of the Philippines Province of Bukidnon Municipality of Cabanglasan -o0o- ___________________________________________________________________________ INVITATION TO BID FOR  Purchase of Materials for Construction of Multi-Purpose Building Q(Perime</t>
  </si>
  <si>
    <t xml:space="preserve"> City Government of Manila INVITATION TO BID NO. 2020-06-92 Procurement of 286,000 pcs. Mobile Prepaid SIM Cards  1.	The City Government of Manila, through the SEF Fund CY 2020 –intends to apply the sum of Two Hundred Forty Three Million One Hundred Thousa</t>
  </si>
  <si>
    <t xml:space="preserve"> Republic of the Philippines CITY OF SAN PEDRO Province of Laguna BIDS AND AWARDS COMMITTEE INVITATION TO BID The City Government of San Pedro Laguna through the 2020 CDC Budget Approved by Sangguniang Panglungsod intends to apply the sum of Php 1,500,000.</t>
  </si>
  <si>
    <t xml:space="preserve"> INVITATION TO BID June 16, 2020 1.	The Provincial Government of Davao Occidental, through its Bids and Awards Committee (BAC), invites all suppliers to apply to bid for the following goods: Bids received in excess of the ABC shall be automatically rejecte</t>
  </si>
  <si>
    <t xml:space="preserve"> Opening of Farm to Market Road Barangay Mabilbila Sur, Santa, Ilocos Sur</t>
  </si>
  <si>
    <t xml:space="preserve"> CONSTRUCTION /INSTALLATION OF STREET LIGHTING SYSTEM @ GELERANG KAWAYAN</t>
  </si>
  <si>
    <t xml:space="preserve"> Republic of the Philippines Province of Negros Occidental Municipality of Binalbagan Telephone/ FAX Number: (034) 3888701 INVITATION TO BID The Municipality   of  Binalbagan, Negros Occidental, through its Bids and Awards Committee (BAC), invites supplier</t>
  </si>
  <si>
    <t xml:space="preserve"> Invitation to Bid for the Leachate Pond Completion at Sanitary Landfill 1.	The Local Government Unit of Manolo Fortich, through the General Fund intends to apply the sum of THREE MILLION FIVE HUNDRED THOUSAND PESOS (PhP 3,500,000.00) being the Approved Bu</t>
  </si>
  <si>
    <t xml:space="preserve"> 1. 2 units Corn Mill -Progressive type, capable of milling white corn for human food with slight switching port adjustment to immediately use for yellow corn milling for poultry and livestock Minimum Specifications: -Input Capacity:200kg-250kg/hr -Power S</t>
  </si>
  <si>
    <t xml:space="preserve"> Republic of the Philippines        PROVINCE OF BUKIDNON             Don Carlos, Bukidnon Invitation to Bid for the Rehabilitation of Multi-Purpose Building at Lake Pinamaloy Area  In Don Carlos, Bukidnon (Straight Contract) (Project Reference No. 006-025-</t>
  </si>
  <si>
    <t xml:space="preserve"> Republic of the Philippines        PROVINCE OF BUKIDNON             Don Carlos, Bukidnon Invitation to Bid for the Construction of Two-Storey Hall of Justice Building,  Don Carlos, Bukidnon – Phase II (Straight Contract) (Project Reference No. 006-024-202</t>
  </si>
  <si>
    <t xml:space="preserve"> Contract ID: 20CD0167      Contract Name:  Repair/Rehabilitation of Valenzuela-Obando-Meycauayan                                 Flood Control Structures along Palasan River (Panghulo to                                 Paliwas Sec.) Obando, Bulacan      C</t>
  </si>
  <si>
    <t xml:space="preserve"> The Barangay Government of Brgy. Sto. Nino, through its Bids and Awards Committee (BAC), intends to apply the sum of One Hundred Thirteen Thousand One Hundred Six Pesos and 20/100 (Php 113,106.20), under the 20% BDF of the approved Annual Budget CY 2020, </t>
  </si>
  <si>
    <t xml:space="preserve"> Invitation to Bid 1.	The Barangay Government of Tanza 2 through the 2019 Development Fund,intend to apply the amount of  Two Hundred Three Thousand Four Hundred Ninety Nine Pesos  (words)  Php 203,499.00 as the Approved Budget for the Contract (ABC) for t</t>
  </si>
  <si>
    <t xml:space="preserve"> Invitation to Bid 1.	The Barangay Government of Tanza 2 through the 2020 Development Fund,intend to apply the amount of  Two Hundred Three Thousand  Four Hundred Ninety Nine Pesos (words)  Php 2,467,893.00 as the Approved Budget for the Contract (ABC) for</t>
  </si>
  <si>
    <t xml:space="preserve"> Republic of the Philippines Province of Sarangani Municipality of Malapatan INVITATION TO BID  	 2020-B1-06-015        PROCUREMENT OF PNP RESPONSE VEHICLE, MALAPATAN, SARANGANI PROVINCE 1.	The Local Government Unit of Malapatan, through the 2018 LDRRMF in</t>
  </si>
  <si>
    <t xml:space="preserve"> Republic of the Philippines Department of Agriculture BUREAU OF FISHERIES AND AQUATIC RESOURCES Fisheries Regional Office No. 10 Macabalan, Cagayan de Oro City TIN – 000-550-823-017 INVITATION TO BID  The Bureau of Fisheries and Aquatic Resources Regional</t>
  </si>
  <si>
    <t xml:space="preserve"> Name of Project: Drilling of one (1) Deep Well through Percussion Drilling Method, 10" diameter, Depth - 100 meters, with the provision that in the event the desired 100 meters is not reached, bid shall automatically be reduced to accedptable amount appro</t>
  </si>
  <si>
    <t xml:space="preserve"> Republic of the Philippines Province of Nueva Vizcaya BIDS AND AWARDS COMMITTEE (BAC-Goods) BAC OFFICE, Provincial Capitol, Bayombong, Nueva Vizcaya Tel. No. 078-392-2062 	 INVITATION TO BID FOR THE SUPPLY AND DELIVERY OF VEHICLE PARTS (III) FOR   HEAVY E</t>
  </si>
  <si>
    <t xml:space="preserve"> Republic of the Philippines DEPARTMENT OF PUBLIC WORKS AND HIGHWAYS BATANGAS III DISTRICT ENGINEERING OFFICE REGIONAL OFFICE IV-A J. Gonzales St., Barangay 4, Tanauan City INVITATION TO BID (GS-2020-005) The Department of Public Works and Highways (DPWH),</t>
  </si>
  <si>
    <t xml:space="preserve"> Section I. Invitation to Bid Republic of the Philippines Province of Sultan Kudarat Municipality of Bagumbayan OFFICE OF THE BIDS AND AWARDS COMMITTEE Bagumbayan, Sultan Kudarat INVITATION TO BID FOR PROCUREMENT FOR THE 30,260 LITERS OF DIESOLINE FOR THE </t>
  </si>
  <si>
    <t xml:space="preserve"> Specifications can be viewed online by clicking the "Associated Components" section on this ITB. The Local Government Unit-Municipality of Malinao, Aklan through the Bids and Awards Committee, intends to apply the sum of One Million Four Hundred  Thousand</t>
  </si>
  <si>
    <t xml:space="preserve"> INVITATION TO BID FOR THE PROCUREMENT OF TWO (2) YEAR SUBSCRIPTION FOR TWO (2) LOTS OF MOBILE POSTPAID AND PREPAID PLAN FOR PAGCOR OFFICERS AND KEY PERSONNEL under ITB No. PB20-04-034COR The Philippine Amusement and Gaming Corporation (PAGCOR) is inviting</t>
  </si>
  <si>
    <t xml:space="preserve"> INVITATION TO BID FOR Other Supplies  (Name of Project)    1.	The CITY GOVERNMENT OF ZAMBOANGA, through the Trust Fund intends to apply the sum of ONE MILLION FIVE HUNDRED THOUSAND PESOS (P1,500,000.00) ONLY being the Approved Budget for the Contract (ABC</t>
  </si>
  <si>
    <t xml:space="preserve"> INVITATION TO BID CONSTRUCTION / ESTABLISHMENT OF TOURISM INFORMATION AND PASALUBONG CENTER 1.	The Local Government Unit of Cabadbaran City through the GF – CITY TOURISM PROGRAMS &amp; ACTIVITIES intends to apply the sum of  ONE MILLION ONE HUNDRED FIFTY-NINE</t>
  </si>
  <si>
    <t xml:space="preserve"> Republic of the Philippines PROVINCE OF ZAMBOANGA DEL NORTE Municipality of Sibutad BIDS AND AWARDS COMMITTEE 					                                                                                                                    June 17, 2020 INVITATION</t>
  </si>
  <si>
    <t xml:space="preserve"> INVITATION TO BID FOR Breeding Stocks  (Name of Project)    1.	The CITY GOVERNMENT OF ZAMBOANGA, through the AB FY 2020 intends to apply the sum of ONE MILLION THREE HUNDRED TWENTY THOUSAND PESOS (P1,320,000.00) ONLY being the Approved Budget for the Cont</t>
  </si>
  <si>
    <t xml:space="preserve"> Republic of the Philippines Province of Bukidnon Municipality of Cabanglasan -o0o- ___________________________________________________________________________ INVITATION TO BID FOR  Purchase of Materials for Pasalubong Center lot 1,2 PB-2020-23 1.	The Loc</t>
  </si>
  <si>
    <t xml:space="preserve"> Completion of Road Concreting at Sitio Ruston, San Antonio Ogbon to La Opinion, Sitio Ruston San Antonio Ogbon, Nabua, Camarines Sur</t>
  </si>
  <si>
    <t xml:space="preserve"> 1.	The Department of Public Works and Highways Regional Office XI, Davao City, through its Bids and Awards Committee (BAC), invites bidders to submit bids for the Infra projects funded under GAA FY 2020, to wit: Contract ID 	:	20L00148 Contract Name/Locat</t>
  </si>
  <si>
    <t xml:space="preserve"> Republic of the Philippines Province of Iloilo Municipality of Lambunao Office of the Bids &amp; Awards Committee INVITATION TO BID/ REQUEST FOR PRICE QUOTATION Name of Project: PUrchase of Materials for the Concreting of Municipal Streets (DELMES Access Road</t>
  </si>
  <si>
    <t xml:space="preserve"> Republic of the Philippines Province of Bukidnon Municipality of Cabanglasan -o0o- ___________________________________________________________________________ INVITATION TO BID FOR  Purchase of Solar Lights at Buso/P11 Poblacion/Jasaan/Salimbobonog Capino</t>
  </si>
  <si>
    <t xml:space="preserve"> 1.	The Department of Public Works and Highways Regional Office XI, Davao City, through its Bids and Awards Committee (BAC), invites bidders to submit bids for the Infra projects funded under GAA FY 2020, to wit: Contract ID 	:	20L00032 Contract Name/Locat</t>
  </si>
  <si>
    <t xml:space="preserve"> Work item includes Subgrade preparation, aggregate sub-base course, PCCP, embankment (filling of road shoulders) and rip rapping of existing RCP sides</t>
  </si>
  <si>
    <t xml:space="preserve"> INVITATION TO BID FOR Janitorial Supplies  (Name of Project)    1.	The CITY GOVERNMENT OF ZAMBOANGA, through the General Fund intends to apply the sum of ONE MILLION FIFTY THOUSAND SIX HUNDRED NINETY EIGHT PESOS (P1,050,698.00) ONLY being the Approved Bud</t>
  </si>
  <si>
    <t xml:space="preserve"> Concreting of Local Road Zone 5, Angustia, Nabua, Camarines Sur</t>
  </si>
  <si>
    <t xml:space="preserve"> 1	63	Cu. M.	Gravel for filling 2	480	bag	Portland Cement 3	30	Cu. M.	Gravel G#3/4 4	31	Cu. M.	Sand 5	2480	pcs	4” thick concrete hollow blocks 6	190	pcs	10mm diameter by 6.0m Rebars 7	137	pcs	12mm diameter by 6.0m Rebars 8	48	pcs	16mm diameter by 6.0m Reba</t>
  </si>
  <si>
    <t xml:space="preserve"> THE BRGY. NBBS DAGAT-DAGATAN THRU BIDS AND AWARDS COMMITTEE, THROUGH THE CY 2020 ANNUAL BUDGET INTENDS TO APPLY THE SUM OF PHP. 434,936.57 BEING THE ABC TO PAYMENTS UNDER THE CONTRACT FOR LABOR &amp; MATERIALS FOR UPGRADING OF ALLEY WITH IMPROVEMENT OF DRAINA</t>
  </si>
  <si>
    <t xml:space="preserve"> PHO-2020-038 PR2020-0150 INVITATION TO BID FOR THE PROCUREMENT OF BASIC LIFE SUPPORT AMBULANCE FOR THE USE IN CONG. SIMEON G. TORIBIO MEMORIAL HOSPITAL, CARMEN, BOHOL ABC: P 2,500,000.00 COST OF BID DOCUMENTS: P 5,000.00 ADVERTISEMENT PERIOD: JUNE 17 - JU</t>
  </si>
  <si>
    <t xml:space="preserve"> I N V I T A T I O N   T O   B I D 2020 - 103 June 17, 2020 1.	The Provincial Government of Tarlac through the 20% DF '19 Continuing - Improvement of Sewerage Treatment Plant at TPH intends to apply the sum of One Million Four Hundred Ninety-Nine Thousand </t>
  </si>
  <si>
    <t xml:space="preserve"> (IB NO. 2020DJG-001) The PhilHealth Regional Office VI, through the COB of CY 2020 intends to apply the sum of Two Million Seven Hundred Sixty Eight Thousand Seven Hundred Two Pesos and 15/100 only  (Php 2,768,702.15), being the Approved Budget for the Co</t>
  </si>
  <si>
    <t xml:space="preserve"> PLEASE SEE ATTACHED PR, TOR AND BID DOCUMENTS FOR DETAILS</t>
  </si>
  <si>
    <t xml:space="preserve"> INVITATION TO BID FOR PROCUREMENT OF EQUIPMENT FOR COE PHYSICS &amp; CHEMISTRY LABORATORY           The CAMARINES SUR POLYTECHNIC COLLEGES, through the GAA (2020) intends to apply the sum of One Million Five Hundred Twenty One Thousand Six Hundred Pesos (₱1,5</t>
  </si>
  <si>
    <t xml:space="preserve"> 1.	The Local Government Unit of  Tuao, Cagayan  through General Fund (Capital Outlay) 2020  intends to  apply the sum of  Php 399,000.00   being the Approved Budget for the Contract (ABC) to payments under  the contract for ACQUISITION OF 6 UNITS MOTORCYC</t>
  </si>
  <si>
    <t xml:space="preserve"> Scaffolding                                           LS              LS Plastering at Existing CHB Wall (Exterior and Interior)                          187.20       sq.m Tile Works, Height = 1.80m (Walling and Flooring)                           80.00  </t>
  </si>
  <si>
    <t xml:space="preserve"> INVITATION TO BID FOR Procurement of Reference Books &amp; Professional Journals (Lot 1-2) 	          The CAMARINES SUR POLYTECHNIC COLLEGES, through the College Income intends to apply the sum of the following listed below being the Approved Budget for the C</t>
  </si>
  <si>
    <t xml:space="preserve"> INVITATION TO BID FOR  Procurement of Goods [Water Meter and Others] (Rebid) The   City Government of Tagbilaran,   through the Continuing Appropriation, intends to apply the sum of One Million Four Hundred Twenty Eight Thousand Five Hundred Thirty Six Pe</t>
  </si>
  <si>
    <t xml:space="preserve"> I N V I T A T I O N   T O   B I D 2020 - 104 June 17, 2020 1.	The Provincial Government of Tarlac through the PENRO SB #1 2019 - Healthcare Waste Management Program at GOTMH intends to apply the sum of One Million Three Hundred Ninety-Nine Thousand Four H</t>
  </si>
  <si>
    <t xml:space="preserve"> Contract ID:	20FH0096 Contract Name:	REPAIR/MAINTENANCE OF DPWH BUILDING, MAIN OFFICE BUILDING, CATANDUANES DEO, VIRAC, CATANDUANES Contract Location:	CATANDUANES DEO, VIRAC, CATANDUANES Scope of Work:	REPAIR OF DPWH BUILDING Approved Budget for the Contr</t>
  </si>
  <si>
    <t xml:space="preserve"> Construction of Multi-Purpose Hall is funded thru Trust Fund. Please be guided by the following schedule: 1. Submission of Letter of Intent - June 25-26, 2020 2. Eligibility Screening - June 29, 2020 3. Issuance and Availability of Bidding Documents - Jun</t>
  </si>
  <si>
    <t xml:space="preserve"> Republic of the Philippines Province of Bukidnon Municipality of Cabanglasan -o0o- ___________________________________________________________________________ INVITATION TO BID FOR  Purchase of Materials for Construction Steel Goal at Pangian, Tagawili, B</t>
  </si>
  <si>
    <t xml:space="preserve"> Contract ID:	20GFH0011 Contract Name:	SUPPLY AND DELIVERY OF OFFICE EQUIPMENT FOR USE IN THE DPWH-DEO CATANDUANES, VIRAC, CATANDUANES (PR#20-06-025 DATED 6/8/2020) Contract Location:	VIRAC, CATANDUANES Scope of Work:	SUPPLY AND DELIVERY OF OFFICE EQUIPMEN</t>
  </si>
  <si>
    <t xml:space="preserve"> Republic of the Philippines D E P A R T M E N T  O F  H E A L T H PHILIPPINE CHILDREN’ S MEDICAL CENTER Quezon Avenue, Quezon City             588-9900 loc 361/355  Website: www.pcmc.gov.ph email: bac@pcmc.gov.ph INVITATION TO BID The Philippine Children’</t>
  </si>
  <si>
    <t xml:space="preserve"> concrete pavement 455 m x 4 m x .10 m</t>
  </si>
  <si>
    <t xml:space="preserve"> Republic of the Philippines DEPARTMENT OF PUBLIC WORKS AND HIGHWAYS REGIONAL OFFICE II Tuguegarao City, Cagayan  INVITATION TO BID The DPWH Regional Office No. 2 through the Bids and Awards Committee (BAC) invite contractors to bid for the project  :  Con</t>
  </si>
  <si>
    <t xml:space="preserve"> INVITATION TO BID FOR CIVIL WORKS June 16, 2020 1.	The Department of Public Works and Highways (DPWH), Bukidnon Second District Engineering Office, Pinamaloy, Don Carlos, Bukidnon through its Bids and Awards Committee BAC, invites contractors to submit bi</t>
  </si>
  <si>
    <t xml:space="preserve"> Concreting of Local Road at Barangay Angustia Going to Brgy. Salvacion Que Gatos, Nabua, Camarines Sur</t>
  </si>
  <si>
    <t xml:space="preserve"> 1.	The Local Government Unit of Tuao, Cagayan  through General Fund (Capital Outlay) 2020  intends to  apply the sum of  Php 540,000.00   being the Approved Budget for the Contract (ABC) to payments under  the contract for PURCHASE AND DELIVERY OF 2 UNITS</t>
  </si>
  <si>
    <t xml:space="preserve"> Republic of the Philippines DEPARTMENT OF PUBLIC WORKS AND HIGHWAYS REGIONAL OFFICE II Tuguegarao City, Cagayan INVITATION TO BID 1.	The Department of Public Works and Highways – Regional Office No. 02,, through the DPWH FY 2020 GAA intends to apply the A</t>
  </si>
  <si>
    <t xml:space="preserve"> INVITATION TO BID The Philippine Children’s Medical Center, through GAA/HFEP (DOH) CY 2019 intends to apply the sum of Seventeen Million One Hundred Twenty One Thousand Three Hundred Pesos (Php 17,121,300.00) being the Approved Budget for the Contract (AB</t>
  </si>
  <si>
    <t xml:space="preserve"> I. Lay-out/Staking - 1.00 lot II. Excavation / Back fill - 75.60 cu.m III. Steel Reinforcement - 10,937.63 kgs. IV. Concrete Pouring - 154.07 cu.m V. G.I Pipe Structure Frames - 1.00 lot VI. Roofing Works - 777.23 sq.m VII. Electrical Works - 76.00 In.m V</t>
  </si>
  <si>
    <t xml:space="preserve"> INVITATION TO BID FOR  Procurement of Goods [Operational Tent] (Rebid) The   City Government of Tagbilaran,   through the Appropriation Ordinance No. 19-05 for FY 2020, intends to apply the sum of Eight Million Pesos only (Php8,000,000.00)being the  Appro</t>
  </si>
  <si>
    <t xml:space="preserve"> Republic of the Philippines          City of Dumaguete Bids and Awards Committee INVITATION TO BID FOR THE JOB ORDER: EQUIPMENT RENTAL 	The City of Dumaguete thru its BIDS AND AWARDS COMMITTEE (BAC), invites all interested manufacturers, suppliers, dealer</t>
  </si>
  <si>
    <t xml:space="preserve"> The Local Government Unit – Quinapondan, Eastern Samar, through its Bids &amp; Awards Committee (BAC ), intends to apply the sum of Two Hundred Sixteen Thousand Seven Hundred Fifty Six pesos (216,756.00) under the approved Annual Budget Appropriation Ordinanc</t>
  </si>
  <si>
    <t xml:space="preserve"> 940 m x 4 m x .10 m</t>
  </si>
  <si>
    <t xml:space="preserve"> concrete pavement 667 m x 4 m x .10 m</t>
  </si>
  <si>
    <t xml:space="preserve"> Republic of the Philippines Province of Iloilo Municipality of Lambunao Office of the Bids &amp; Awards Committee INVITATION TO BID/ REQUEST FOR PRICE QUOTATION Name of Project: Purchase of Clinical Equipment for the use of Lambunao MHO-Laboratory Location: L</t>
  </si>
  <si>
    <t xml:space="preserve"> ONE (1) UNIT Brand New Electric Generator Set Silent type 100 KVA, 460 volts, 3 phase, 60 hz "Cummins diesel engine", RPM 1,800 class H insulation with complete accessories or its equivalent (Trailer Mounted) Control Panel: Digital control panel with disp</t>
  </si>
  <si>
    <t xml:space="preserve"> 455 m x 4 m x .10 m</t>
  </si>
  <si>
    <t xml:space="preserve"> concrete pavement 758 m x 4 m x .10 m</t>
  </si>
  <si>
    <t xml:space="preserve"> ITEM.	QTY	UNIT OF	DESCRIPTION NO.		ISSUE	 			 1	48	units	Printer 2	997	reams	Bond Paper A4  3	56	set	Ink(black,cyan,magenta,yellow)</t>
  </si>
  <si>
    <t xml:space="preserve"> INVITATION TO BID FOR DRILLING OF ONE (1) EXPLORATORY/PRODUCTION WELL AT BRGY. RAFAELA BARRERA (PROVISION OF WATER SUPPLY TO NHA PERMANENT RESETTLEMENT SITES HOUSING PROGRAM IN YOLANDA AFFECTED AREAS) FOR SAGAY WATER DISTRICT 1. The SAGAY WATER DISTRICT (</t>
  </si>
  <si>
    <t xml:space="preserve"> PLS. SEE ATTACHED PR, TOR, &amp; BID DOCS FOR DETAILS</t>
  </si>
  <si>
    <t xml:space="preserve"> Republic of the Philippines BOHOL ISLAND STATE UNIVERSITY Main Campus, Tagbilaran City INVITATION TO BID FOR PR NO. 2020-02-0277-MAIN-SUPPLY AND DELIVERY OF STEEL FILING CABINETS FOR  THE DIFFERENT OFFICES 1.	The Bohol Island State University – Main Campu</t>
  </si>
  <si>
    <t xml:space="preserve"> Republic of the Philippines BOHOL ISLAND STATE UNIVERSITY Main Campus, Tagbilaran City INVITATION TO BID FOR PR NO. 2020-06-0561-MAIN-SUPPLY AND DELIVERY OF INKS AND TONERS FOR EXISTING PRINTERS OF THE DIFFERENT BISU OFFICES 1.	The Bohol Island State Univ</t>
  </si>
  <si>
    <t xml:space="preserve"> PLS. SEE ATTACHED PURCHASE REQUISITION, TERMS OF REFERENCE &amp; BID DOCUMENTS FOR DETAILS</t>
  </si>
  <si>
    <t xml:space="preserve"> Informing the public that the 74617-  PHYSICAL &amp; CHEMICAL ANALYSIS OF PRODUCTION WELL (PW #11,13,14,15,16,17 BOVs #1,2,3,4,5, Consumer's Tap #1,2,3,4  Mandatory Parameters (Arsenic,Cadmium,Lead,Nitrate,Color (apparent),Turbidity,PH,Total Dissolved Solids,</t>
  </si>
  <si>
    <t xml:space="preserve"> CENTRAL OFFICE BIDS AND AWARDS COMMITTEE (COBAC) INVITATION TO BID PROCUREMENT OF DATABASE SERVER COBAC IB NO. 002 (G) S. 2020  1.	The Department of the Interior and Local Government (DILG), through the General Appropriations Act FY 2020, intends to apply</t>
  </si>
  <si>
    <t xml:space="preserve"> The Local Government Unit – Quinapondan, Eastern Samar, through its Bids &amp; Awards Committee (BAC ), intends to apply the sum of FOUR HUNDRED TWENTY NINE THOUSAND TWO HUNDRED FIFTY FOUR PESOS AND 63/100 (P429,254.63) under Annual Budget Appropriation Ordin</t>
  </si>
  <si>
    <t xml:space="preserve"> Nylon # 2 (30meters)- 12 roll CWN # 3 - 36 kgs CWN # 4 - 42 kgs Portland Cement - 1764 bags</t>
  </si>
  <si>
    <t xml:space="preserve"> 1.	The Local Government Unit of Las Nieves, through the Budget for the Contract approved by the Sanggunian (20% DF) intends to apply the sum of one million and five hundred thousand pesos only (Php 1,500,000.00), being the Approved Budget for the Contract</t>
  </si>
  <si>
    <t xml:space="preserve"> PLS. SEE ATTACHED PURCHASE REQUISITION,TERMS OF REFERENCE &amp; BID DOCUMENTS FOR DETAILS</t>
  </si>
  <si>
    <t xml:space="preserve"> INVITATION TO BID PROCUREMENT OF NFA - REGION I 2020 PESTICIDES REQUIREMENT  (LEFT-OUT LOTS) (REBIDDING) Project Reference No.: NFA-RO1-RBAC-2020-06-016 1.	The NATIONAL FOOD AUTHORITY (NFA) Regional Office 1 intends to apply the sum of PESOS: ONE MILLION </t>
  </si>
  <si>
    <t xml:space="preserve"> Republic of the Philippines Province of Cotabato Municipality of Aleosan Invitation to Bid  SUPPLY AND DELIVERY OF DEVICES AND EQUIPMENTS FOR MUNICIPAL BIRTHING HOME, ALEOSAN, COTABATO                                                                       </t>
  </si>
  <si>
    <t xml:space="preserve"> DP 160 - 3a, 50.0 LPS @ 84. mts, 6" dia NPT, SS316 submersible pump, coupled to 75.0 Hp, 460V, phase, 3 wires, 6" dia submersible motor 3C - 50mm2/#1.0 AWG submersible wire VFD motor controller Please see attached bidding documents for the details of the </t>
  </si>
  <si>
    <t xml:space="preserve"> Republic of the Philippines Province of Nueva Vizcaya BIDS AND AWARDS COMMITTEE (BAC-GOODS) BAC OFFICE, Provincial Capitol, Bayombong, Nueva Vizcaya Tel. No. (078) 392-2650 	 2ND INVITATION TO BID FOR THE SUPPLY AND DELIVERY OF HOSPITAL EQUIPMENT FOR THE </t>
  </si>
  <si>
    <t xml:space="preserve"> National Power Corporation INVITATION TO BID PUBLIC BIDDING 2020-0128 1.	The NATIONAL POWER CORPORATION (NPC), through       its        approved       Corporate Budget of CY 2020 intends to apply   the   sum   of (Please see schedule below) being the Appr</t>
  </si>
  <si>
    <t xml:space="preserve"> CENTRAL OFFICE BIDS AND AWARDS COMMITTEE (COBAC) Invitation to Bid PROCUREMENT OF VARIOUS VACCINES COBAC IB NO. 003 (G) S. 2020 The Department of the Interior and Local Government (DILG), through the General Appropriations Act FY 2020 intends to apply the</t>
  </si>
  <si>
    <t xml:space="preserve"> Republic of the Philippines Department of Public Works and Highways SULTAN KUDARAT 1st DISTRICT ENGINEERING OFFICE REGIONAL OFFICE  Isulan, Sultan Kudarat REQUEST FOR EXPRESSION OF INTEREST (REOI) Contract I.D No.	: 20CF0002 Contract Name	Geotechnical Sur</t>
  </si>
  <si>
    <t xml:space="preserve"> PARTICULAR		"APPROVED BUDGET FOR THE CONTRACT (ABC)  PH"	SOURCE OF FUND FOR 2020 NO.	ITEM DESCRIPTION		 1	Data Storage	 750,000.00 	GAA 2	Desktop Computer	 2,125,000.00 	 3	Notebook Computer	 1,600,000.00 	 4	Microsoft Office Pro 2019 	 500,000.00 	 5	Des</t>
  </si>
  <si>
    <t xml:space="preserve"> Please see attached file. Thanks!</t>
  </si>
  <si>
    <t xml:space="preserve"> (see bidding document in the associated component for further project details)</t>
  </si>
  <si>
    <t xml:space="preserve"> I N V I T A T I O N   T O   B I D 2020 - 111 June 17, 2020 1.	The Provincial Government of Tarlac through the Non Office - Repair and Maintenance - Infrastructure Projects intends to apply the sum of Five Million Two Hundred Ninety-Seven Thousand Pesos On</t>
  </si>
  <si>
    <t xml:space="preserve"> Description   The MINISTRY OF SOCIAL SERVICES AND DEVELOPMENT BARMM, intends to apply the sum of FOURTEEN MILLION AND THREE HUNDRED EIGHTY THOUSAND (P14,380,000.00) / PB-2020-001-1 being the Approved Budget for the Contract (ABC) to payments under the con</t>
  </si>
  <si>
    <t xml:space="preserve"> Contract ID No. 20OH0152 Contract Name :  Local Program - Local   Infrastructure  Program - Buildings  and  other  Structures - Multi-Purpose/Facilities-Construction/Rehabilitation of Various Multi-purpose Building, Baseco Port Area, Manila Contract Locat</t>
  </si>
  <si>
    <t xml:space="preserve"> I N V I T A T I O N   T O   B I D 2020 - 108 June 17, 2020 1.	The Provincial Government of Tarlac through the Trust Fund intends to apply the sum of Three Million Six Hundred Fifty-Three Thousand Seven Hundred Fifty-Six Pesos Only (PhP 3,653,756.00) being</t>
  </si>
  <si>
    <t xml:space="preserve"> INVITATION TO BID FOR Upgrading of BiPSU Electrical System (Main Campus &amp; Biliran Campus) 1.	The BILIRAN PROVINCE STATE UNIVERSITY (BiPSU), through the General Appropriations Act (GAA) 2020 intends to apply the sum of Nine Million Six Hundred Sixty Thousa</t>
  </si>
  <si>
    <t xml:space="preserve"> I N V I T A T I O N   T O   B I D 2020 - 110 June 17, 2020 1.	The Provincial Government of Tarlac through the Trust Fund intends to apply the sum of One Million One Hundred Eighty-Six Thousand Eight Pesos and 12/100 (PhP 1,186,008.12) being the Approved B</t>
  </si>
  <si>
    <t xml:space="preserve"> Republic of the Philippines DEPARTMENT OF PUBLIC WORKS AND HIGHWAYS OFFICE OF THE DISTRICT ENGINEER Bukidnon 1st District Engineering Office Malaybalay City INVITATION TO BID The Department of Public Works and Highways, Bukidnon 1st District Engineering o</t>
  </si>
  <si>
    <t xml:space="preserve"> Please see attached File Thank you</t>
  </si>
  <si>
    <t xml:space="preserve"> 66.0 LPS @ 65m TDH SS-316 submersible pump 4.0 LPS LPS @ 85m TDH pump, SS316 3.3 LPS @ 77m TDH  Please see attached bidding documents for the details of the project to be bid.</t>
  </si>
  <si>
    <t xml:space="preserve"> DP 160 - 3a, 50.0 LPS @ 67.6 mts, 6" dia NPT, SS316 submersible pump, coupled to 75.0 Hp, 460V, phase, 3 wires, 6" dia submersible motor 82-A3 splicing kit 3C - 50mm2/#1.0 AWG submersible wire VFD motor controller Please see attached bidding documents for</t>
  </si>
  <si>
    <t xml:space="preserve"> I N V I T A T I O N   T O   B I D 2020 - 109 June 17, 2020 1.	The Provincial Government of Tarlac through the PGO - Capital Outlay - ICT Equipment; PGO - Other MOE intends to apply the sum of Three Million Thirty-Seven Thousand Three Hundred Eighty-Six Pe</t>
  </si>
  <si>
    <t xml:space="preserve"> 10,000 Food Packs 	*3 kilograms rice (good quality) 	*3 cans sardines (155g) 	*1/2 kilogram pancit (pre-packed) 	*2 cans corned-beef (175g)</t>
  </si>
  <si>
    <t xml:space="preserve"> INVITATION TO BID The Iligan City Government Bids and Awards Committee (BAC), through General Fund 2020, intends to apply the sum of P 1,499,425.00 being the Approved Budget for the Contract (ABC) to payments under the Contract for Procurement of Medical </t>
  </si>
  <si>
    <t xml:space="preserve"> I N V I T A T I O N   T O   B I D 2020 - 107 June 17, 2020 1.	The Provincial Government of Tarlac, intends to apply the sum tabulated herein being the Approved Budget for the Contract (ABC) to payments under the contract of Procurement of Drugs and Medici</t>
  </si>
  <si>
    <t xml:space="preserve"> Procurement of Lynestrenol</t>
  </si>
  <si>
    <t xml:space="preserve"> Procurement of Male Condom</t>
  </si>
  <si>
    <t xml:space="preserve"> I N V I T A T I O N   T O   B I D 2020 - 106 June 17, 2020 1.	The Provincial Government of Tarlac through the Trust Fund intends to apply the sum of Four Million Two Hundred Fifty-Two Thousand Four Hundred Six Pesos Only (PhP 4,252,406.00) being the Appro</t>
  </si>
  <si>
    <t xml:space="preserve"> concrete pavement 1 km LM</t>
  </si>
  <si>
    <t xml:space="preserve"> 1 set Broad Band 1 set Laptop 1 set Desk Top 1 Unit Photo Copier w/ scanner 1 Unit Digit Camera (DSLR) 4 pcs External Memory 2 pcs External Drive 2 Unit Desk Top Computer 1 Unit Laptop Computer 1 Unit Printer 1 Unit Laptop 2 Units Printer FX 2175  1 Units</t>
  </si>
  <si>
    <t xml:space="preserve"> June 15, 2020 INVITATION TO BID  Reference No. 7031606 /Solicitation No.20-22 The City Government of Tagum invites interested Bidders/Suppliers to bid for the following: Name of Contract         :  SUPPLY AND INSTALLATION OF PANORAMIC/SCENIC ELEVATOR     </t>
  </si>
  <si>
    <t xml:space="preserve"> ITEM NO.	UNIT		QTY		DESCRIPTION		 							 1	 l.m 		 248.00 		Layout &amp; Staking		 2	 cu.m 		 954.78 		 Earth Works 		 3	 cu.m 		 99.80 		 Reinforcing Concrete 		 4	 lot 		 1.00 		 Reinforcing Steel 		 5	 sq.m 		 1,612.47 		 Masonry Works 		 6	 l.m 		 248.00</t>
  </si>
  <si>
    <t xml:space="preserve"> ITEM NO.	UNIT		QTY		DESCRIPTION		 							 1	 ltrs 		45010		Diesel 		 2	 gals 		152		 Oil #10 		 3	 gals 		75		 Oil #40 		 INVITATION TO BID The Municipality of Sablayan through its Bids and Awards Committee (BAC) invites all interested contractors to appl</t>
  </si>
  <si>
    <t xml:space="preserve"> I N V I T A T I O N   T O   B I D 2020 - 112 June 17, 2020 1.	The Provincial Government of Tarlac through the Non Office - Repair and Maintenance - Infrastructure Projects intends to apply the sum of One Million Six Hundred Seventy-Seven Thousand Five Hun</t>
  </si>
  <si>
    <t xml:space="preserve"> Consulting Services for Cabacanan Small Reservoir Irrigation Project-Detailed Engineering</t>
  </si>
  <si>
    <t xml:space="preserve"> ITEM NO.	UNIT		QTY		DESCRIPTION		 							 1	 serve 		500		Snacks set A (sandwich and water)		 2	 serve 		500		 Snacks set B (sandwich, noodles and water) 		 3	 serve 		350		 Meals set A (rice, meat and water) 		 4	 serve 		500		 Meals set B (meat,veg. fru</t>
  </si>
  <si>
    <t xml:space="preserve"> I N V I T A T I O N   T O   B I D 2020 - 117 June 17, 2020 1.	The Provincial Government of Tarlac through the SEF - Special Programs (Essential Health Care Program and Kits for Kids) intends to apply the sum of Two Million Seven Hundred Thousand Pesos Onl</t>
  </si>
  <si>
    <t xml:space="preserve"> See attached Terms of Reference</t>
  </si>
  <si>
    <t xml:space="preserve"> I N V I T A T I O N   T O   B I D 2020 - 116 June 17, 2020 1.	The Provincial Government of Tarlac through the SEF - Library on Wheels intends to apply the sum of Two Million Eight Hundred Eighty-Seven Thousand Two Hundred Pesos Only (PhP 2,887,200.00) bei</t>
  </si>
  <si>
    <t xml:space="preserve"> I N V I T A T I O N   T O   B I D 2020 - 114 June 17, 2020 1.	The Provincial Government of Tarlac through the TPH - Drugs and Medicines Expenses intends to apply the sum of Two Million Four Hundred Eighteen Thousand Seven Hundred Fifty Pesos Only (PhP 2,4</t>
  </si>
  <si>
    <t xml:space="preserve"> I N V I T A T I O N   T O   B I D 2020 - 118 June 17, 2020 1.	The Provincial Government of Tarlac, intends to apply the sum tabulated herein being the Approved Budget for the Contract (ABC) to payments under the contract of Implementation of Essential Hea</t>
  </si>
  <si>
    <t xml:space="preserve"> Republic of the Philippines Province of Nueva Vizcaya BIDS AND AWARDS COMMITTEE (BAC-Goods) BAC OFFICE, Provincial Capitol, Bayombong, Nueva Vizcaya Tel. No. 078-392-2062 	 INVITATION TO BID FOR THE SUPPLY &amp; DELIVERY OF DESKTOP COMPUTERS, LAPTOP, NETWORK </t>
  </si>
  <si>
    <t xml:space="preserve"> ITEM NO.	UNIT		QTY		DESCRIPTION		 							 1	 unit 		22		Siren		 					 Specs: 		 					 Requires: 220V AC power source 		 					 Specifications of JDW188 Electric Mechanical  		 					 Omnidirectional Warning Alarm Siren 		 					 SKU: 371948935_PH-843166671 	</t>
  </si>
  <si>
    <t xml:space="preserve"> CONTRACT ID: 19GL00111; P.R. No. 2020-06-061 DATED 06/04/2020 CONTRACT LOCATION: EQUIPMENT MANAGEMENT DIVISION, DPWH R.O. XI, PANACAN, DAVAO CITY CONTRACT DESCRIPTION: PROCUREMENT OF VARIOUS TIRES, FOR USE IN THE CORRECTIVE &amp; PREVENTIVE MAINTENANCE OF VAR</t>
  </si>
  <si>
    <t xml:space="preserve"> 125 KVA, 460, 3 phase, generator set, water colled, turbo diesel engine, open- type skid base mounted Please see attached bidding documents for the details of the project to be bid.</t>
  </si>
  <si>
    <t xml:space="preserve"> I N V I T A T I O N   T O   B I D 2020 - 105 June 17, 2020 1.	The Provincial Government of Tarlac through the Trust Fund intends to apply the sum of Seventeen Million Six Hundred Thirty-Eight Thousand One Hundred Sixty-Four Pesos and 50/100 (Php 17,638,16</t>
  </si>
  <si>
    <t xml:space="preserve"> I N V I T A T I O N   T O   B I D 2020 - 113 June 17, 2020 1.	The Provincial Government of Tarlac through the Trust Fund intends to apply the sum of Four Million Eight Hundred Thirty-Six Thousand Three Hundred Nine Pesos and 52/100 (PhP 4,836,309.52) bein</t>
  </si>
  <si>
    <t xml:space="preserve"> This project is own and govern by Barangay Bogo Calabat, Josefina, Zamboanga del Sur which they implement this rehab road from Duntolan to Barangay Nopulan and Purok 5 Crossing Boundary to Barangay Pitianan Misamis Occidental and has a distance of more th</t>
  </si>
  <si>
    <t xml:space="preserve"> Republic of the Philippines                   Department of Health	       CENTRAL OFFICE BIDS AND AWARDS COMMITTEE  INVITATION TO BID FOR THE  PROCUREMENT OF AUDIO VISUAL PRODUCTION SET-UP BUNDLE IB NO. 2020-217 1.	The Department of Health (DOH), through </t>
  </si>
  <si>
    <t xml:space="preserve"> PLS. SEE ATTACHED PURCHASE REQUISITION, TERMS OF REFERENCE, &amp; BID DOCS FOR DETAILS</t>
  </si>
  <si>
    <t xml:space="preserve"> PLS. SEE ATTACHED PURCHASE REQUISITION , TERMS OF REFERENCE &amp; BID DOCUMENTS FOR DETAILS</t>
  </si>
  <si>
    <t xml:space="preserve"> Republic of the Philippines BOHOL ISLAND STATE UNIVERSITY Main Campus, Tagbilaran City INVITATION TO BID FOR PR NO. 2020-02-0182-MAIN-SUPPLY AND DELIVERY OF STENOGRAPH MACHINE FOR STENOGRAPH LABORATORY OF CBAS 1.	The Bohol Island State University – Main C</t>
  </si>
  <si>
    <t xml:space="preserve"> CY 2020 Basic Educational Facilities Fund (BEFF) - Construction of 4 Storey, 8 Classrooms, San Vicente Elementary School, Camp 8, San Vicente, Baguio City Contract Location :	Baguio City Approved Budget for the Contract :	Php23,441,250.00 Scope of  work  </t>
  </si>
  <si>
    <t xml:space="preserve"> PLS. SEE ATTACHED PURCHASE REQUISITION, TERMS OF REFERENCE, BID DOCUMENTS FOR DETAILS</t>
  </si>
  <si>
    <t xml:space="preserve"> Republic of the Philippines PROVINCE OF SOUTHERN LEYTE Maasin City Invitation to Bid for the Procurement of Vehicle Spare Parts   Contract ID # 2020-07-07-331PG 1.	The Provincial Government of Southern Leyte through the OSP Repair &amp; Maintenance – Transpor</t>
  </si>
  <si>
    <t xml:space="preserve"> Republic of the Philippines PROVINCE OF SOUTHERN LEYTE Maasin City Invitation to Bid for the Construction of Ilihan Concrete Pavement Barangay Ilihan, Macrohon, Southern Leyte Contact ID # - 2020-07-07-049CW 1.	The Provincial Government of Southern Leyte,</t>
  </si>
  <si>
    <t xml:space="preserve"> Republic of the Philippines PROVINCE OF SOUTHERN LEYTE Maasin City Invitation to Bid for the Procurement of Vehicle Spare Parts &amp; Labor  Contract ID # 2020-07-07-332PG 1.	The Provincial Government of Southern Leyte through the OVG&amp; OSP Repair and Maintena</t>
  </si>
  <si>
    <t xml:space="preserve"> GEOTECHNICAL AND GEOLOGICAL SURVEY/ INVESTIGATIONS.</t>
  </si>
  <si>
    <t xml:space="preserve"> Republic of the Philippines Province of Agusan del Norte BIDS AND AWARDS COMMITTEE Capitol, Butuan City Invitation to Bid for Installation of Fire Sprinkler, Fire Detection and Alarm System,  Nasipit District Hospital, Nasipit, Agusan del Norte (REBID) Th</t>
  </si>
  <si>
    <t xml:space="preserve"> Republic of the Philippines PROVINCE OF SOUTHERN LEYTE Maasin City Invitation to Bid for the Concreting of Soro-Soro-Hanginan Barangay Road Maasin City, Southern Leyte Contact ID # - 2020-07-07-046CW 1.	The Provincial Government of Southern Leyte, through</t>
  </si>
  <si>
    <t xml:space="preserve"> I N V I T A T I O N   T O   B I D 2020 - 115 June 17, 2020 1.	The Provincial Government of Tarlac through the Non Office - Office Supplies Expenses intends to apply the sum of Four Million Four Hundred Eighty-Two Thousand One Hundred Eighty-Three Pesos On</t>
  </si>
  <si>
    <t xml:space="preserve"> Republic of the Philippines PROVINCE OF SOUTHERN LEYTE Maasin City Invitation to Bid for the Reblocking of St. Bernard Municipal Road Barangay Himatagon, St. Bernard, Southern Leyte Contact ID # - 2020-07-07-040CW 1.	The Provincial Government of Southern </t>
  </si>
  <si>
    <t xml:space="preserve"> Republic of the Philippines PROVINCE OF SOUTHERN LEYTE Maasin City Invitation to Bid for the Completion/Concreting of Barangay Road Barangay Lumbog, Hinunangan, Southern Leyte Contact ID # - 2020-07-07-039CW 1.	The Provincial Government of Southern Leyte,</t>
  </si>
  <si>
    <t xml:space="preserve"> Republic of the Philippines PROVINCE OF SOUTHERN LEYTE Maasin City Invitation to Bid for the Construction of San Ramon CHB Canal Barangay San Ramon, Bontoc, Southern Leyte Contact ID # - 2020-07-07-038CW 1.	The Provincial Government of Southern Leyte, thr</t>
  </si>
  <si>
    <t xml:space="preserve"> Republic of the Philippines PROVINCE OF SOUTHERN LEYTE Maasin City Invitation to Bid for the Concreting of Dagsa Barangay Road Barangay Dagsa, Sogod, Southern Leyte Contact ID # - 2020-07-07-047CW 1.	The Provincial Government of Southern Leyte, through th</t>
  </si>
  <si>
    <t xml:space="preserve"> Republic of the Philippines PROVINCE OF SOUTHERN LEYTE Maasin City Invitation to Bid for the Procurement of Catering Services &amp; Venue  Contract ID # 2020-07-07-333PG 1.	The Provincial Government of Southern Leyte through the PDRRMO Training expenses inten</t>
  </si>
  <si>
    <t xml:space="preserve"> Republic of the Philippines PROVINCE OF SOUTHERN LEYTE Maasin City Invitation to Bid for the Procurement of Greenhouse-Materials &amp; Installation  with complete Accessories &amp; Irrigation Facilities                                           Contract ID # 2020</t>
  </si>
  <si>
    <t xml:space="preserve"> Republic of the Philippines PROVINCE OF SOUTHERN LEYTE Maasin City Invitation to Bid for the Concreting of Pandan Road Barangay Pandan, Sogod, Southern Leyte Contact ID # - 2020-07-07-048CW 1.	The Provincial Government of Southern Leyte, through the 20% E</t>
  </si>
  <si>
    <t xml:space="preserve"> Republic of the Philippines PROVINCE OF SOUTHERN LEYTE Maasin City Invitation to Bid for the Procurement of Various Office Supplies  Contract ID # 2020-07-07-352PG 1.	The Provincial Government of Southern Leyte through the PGO– Office Supplies Expenses in</t>
  </si>
  <si>
    <t xml:space="preserve"> Republic of the Philippines PROVINCE OF SOUTHERN LEYTE Maasin City Invitation to Bid for the Procurement of 1 Unit Chest Type Freezer  Contract ID # 2020-07-07-353PG 1.	The Provincial Government of Southern Leyte through the ADH– Other Property, Platns an</t>
  </si>
  <si>
    <t xml:space="preserve"> Republic of the Philippines Province of Leyte Municipality of Palompon oOo BIDS &amp; AWARD COMMITTEE Invitation to Bid for  REHABILITATION/IMPROVEMENT OF VARIOUS BARANGAY ROAD (SAN ROQUE-CATIGAHAN-HINAGBUAN) 2020-0707-013 Project Identification No. 1.	The Lo</t>
  </si>
  <si>
    <t xml:space="preserve"> Republic of the Philippines PROVINCE OF SOUTHERN LEYTE Maasin City Invitation to Bid for the Procurement of Various Housekeeping Supplies  Contract ID # 2020-07-07-356PG 1.	The Provincial Government of Southern Leyte through the OVG– Other Supplies and Ma</t>
  </si>
  <si>
    <t xml:space="preserve"> Republic of the Philippines PROVINCE OF SOUTHERN LEYTE Maasin City Invitation to Bid for the Procurement of Various IT Equipment and Supplies  Contract ID # 2020-07-07-349PG 1.	The Provincial Government of Southern Leyte through the OVG–Information &amp; Comm</t>
  </si>
  <si>
    <t xml:space="preserve"> Republic of the Philippines PROVINCE OF SOUTHERN LEYTE Maasin City Invitation to Bid for the Procurement of Medical/Hospital Equipment    Contract ID # 2020-07-07-342PG 1.	The Provincial Government of Southern Leyte through the ADH Medical Equipment expen</t>
  </si>
  <si>
    <t xml:space="preserve"> Republic of the Philippines PROVINCE OF SOUTHERN LEYTE Maasin City Invitation to Bid for the Procurement of Housekeeping Supplies  Contract ID # 2020-07-07-347PG 1.	The Provincial Government of Southern Leyte through the PDH Other Supplies &amp; Materials exp</t>
  </si>
  <si>
    <t xml:space="preserve"> Republic of the Philippines PROVINCE OF SOUTHERN LEYTE Maasin City Invitation to Bid for the Procurement of Vehicle Spare Parts  Contract ID # 2020-07-07-346PG 1.	The Provincial Government of Southern Leyte through the OSP Repair and Maintenance – Transpo</t>
  </si>
  <si>
    <t xml:space="preserve"> I. SUBBASE @ BASE COURSE II. CONCRETE WORKS III. FORMWORKS</t>
  </si>
  <si>
    <t xml:space="preserve"> Republic of the Philippines PROVINCE OF SOUTHERN LEYTE Maasin City Invitation to Bid for the Procurement of Various IT Equipment  Contract ID # 2020-07-07-348PG 1.	The Provincial Government of Southern Leyte through the ADMIN, PSAO– Information and Commun</t>
  </si>
  <si>
    <t xml:space="preserve"> Republic of the Philippines PROVINCE OF SOUTHERN LEYTE Maasin City Invitation to Bid for the Procurement of Vehicle Spare Parts  Contract ID # 2020-07-07-344PG 1.	The Provincial Government of Southern Leyte through the SDH Repair and Maintenance – Transpo</t>
  </si>
  <si>
    <t xml:space="preserve"> Republic of the Philippines PROVINCE OF SOUTHERN LEYTE Maasin City Invitation to Bid for the Fabrication &amp; Installation of PAIASO Shelves Capitol Site, Asuncion, Maasin City, Southern Leyte Contact ID # - 2020-07-07-041CW 1.	The Provincial Government of S</t>
  </si>
  <si>
    <t xml:space="preserve"> Republic of the Philippines PROVINCE OF SOUTHERN LEYTE Maasin City Invitation to Bid for the Procurement of Engine Oil, Oil Filter &amp; Labor  Contract ID # 2020-07-07-345PG 1.	The Provincial Government of Southern Leyte through the PGO Repair and Maintenanc</t>
  </si>
  <si>
    <t xml:space="preserve"> Republic of the Philippines PROVINCE OF SOUTHERN LEYTE Maasin City Invitation to Bid for the Procurement of Catering Services                                           Contract ID # 2020-07-07-351PG 1.	The Provincial Government of Southern Leyte through t</t>
  </si>
  <si>
    <t xml:space="preserve"> STP at slaugther House</t>
  </si>
  <si>
    <t xml:space="preserve"> Republic of the Philippines PROVINCE OF SOUTHERN LEYTE Maasin City Invitation to Bid for the Procurement of IT and Office Equipment  Contract ID # 2020-07-07-358PG 1.	The Provincial Government of Southern Leyte through the PAIASO–Information &amp; Communicati</t>
  </si>
  <si>
    <t xml:space="preserve"> LGU-ALLEN, NORTHERN SAMAR                                               MUNICIPAL BIDS AND AWARDS COMMITTEE                                                                INVITATION TO BID 	The Municipal Government of Allen Northern Samar through its Bids</t>
  </si>
  <si>
    <t xml:space="preserve"> 365 sacks Noodles (BIHON) at 24 pack/sack 365 cases of Instant Noodles at 72 pieces per case 265 cases SARDINES (100 pcs./ case) 200 packs ECOBAG (size LARGE)</t>
  </si>
  <si>
    <t xml:space="preserve"> INVITATION TO BID FOR Procurement of Machinery &amp; Equipment for ESSU Can-Avid use PR#20-06-091   1.	The EASTERN SAMAR STATE UNIVERSITY, through the FY 2020 GAA, R.A No. 11465 intends to apply the sum of Three Million Pesos (Php3,000,000.00), [Lot Number On</t>
  </si>
  <si>
    <t xml:space="preserve"> Invitation to Bid “Acquisition of One (1) Unit Supply, Delivery and Installation of Gas Chromatography-Mass Spectrometry (GCMS)” 01.The National Bureau of Investigation, through the 2019 NBI Clearance Retention Fees pursuant to RA 10867 otherwise known as</t>
  </si>
  <si>
    <t xml:space="preserve"> INVITATION TO BID FOR IMPROVEMENT OF PUBLIC MARKET 1.	The Municipal Government of Sta. Maria through the 20% Local Development Fund 2020 intends to apply the sum of One Million Five Hundred Thousand Pesos (₱1,500,000.00) being the Approved Budget for the </t>
  </si>
  <si>
    <t xml:space="preserve"> Republic of the Philippines PROVINCE OF BUKIDNON Municipality of Sumilao INVITATION TO BID ITB NO. GS-2020-26 PROCUREMENT OF VARIOUS FRUITS SEEDLINGS FOR THE SUSTAINABLE LAND RESOURCE MANAGEMENT APPROACH (SLRMA) FOR AGRI-ENVIRONMENTAL DEVELOPMENT OF UPLAN</t>
  </si>
  <si>
    <t xml:space="preserve"> Specifications can be viewed online by clicking the "Associated Components" section on this ITB. The Local Government Unit-Municipality of Malinao, Aklan through the Bids and Awards Committee, intends to apply the sum of One Hundred Thirty Three Thousand </t>
  </si>
  <si>
    <t xml:space="preserve"> INVITATION TO BID IB No. GS-2020 – 048-A Hospital/Medical Equipment for the use of Naujan Community Hospital 1. The  Provincial  Government  of  Oriental  Mindoro  (PGOM)  through  the  General Fund intends  to  apply  the  sum  of  Two Million Eight Hund</t>
  </si>
  <si>
    <t xml:space="preserve"> The ZAMBOANGA CITY STATE POLYTECHNIC COLLEGE through its Bids and Awards Committee (BAC) is inviting PHILGEPS registered suppliers to apply for eligibility and to submit bids for the items listed below: Upgrading of Fiber Line with Wi-Fi and Voice Over IP</t>
  </si>
  <si>
    <t xml:space="preserve"> Invitation to Bid “Acquisition of One (1) Lot Supply and Delivery of Various Security Equipment” 01.The National Bureau of Investigation, through the 2019 NBI Clearance Retention Fees pursuant to RA 10867 otherwise known as the NBI Reorganization and Mode</t>
  </si>
  <si>
    <t xml:space="preserve"> Republic of the Philippines Province of South Cotabato BIDS AND AWARDS COMMITTEE Capitol Compound Alunan Avenue, Koronadal City Tel. Fax No.: (083) 228-9951/228-8570 INVITATION TO BID FOR THE SUPPLY AND DELIVERY OF 71 UNITS TELEVISION, LED, SMART TV 1.  T</t>
  </si>
  <si>
    <t xml:space="preserve"> 3,875 sacks of  RICE at 25 kgs. per sack</t>
  </si>
  <si>
    <t xml:space="preserve"> 1.	The Municipality of Guinayangan, Quezon through the 2020 C.O. intends to apply the sum of One Million Five Hundred Thirty Six Thousand Pesos  (P 1,536,000.00) being the Approved Budget for the Contract (ABC) to payments under the contract for the Concr</t>
  </si>
  <si>
    <t xml:space="preserve"> Republic of the Philippines PROVINCE OF SOUTHERN LEYTE Maasin City Invitation to Bid for the Procurement of Survey Equipment  Contract ID # 2020-07-07-375PG 1.	The Provincial Government of Southern Leyte through the PEO – Technical and Scientific Equipmen</t>
  </si>
  <si>
    <t xml:space="preserve"> 2,201 pieces 4" X 8" x 16" Concrete Hollow Block 97 CU.M. washed GRAVEL 78 CU.M. washed SAND</t>
  </si>
  <si>
    <t xml:space="preserve"> Republic of the Philippines PROVINCE OF SOUTHERN LEYTE Maasin City Invitation to Bid for the Procurement of Various Medicines and Vitamins  Contract ID # 2020-07-07-379PG 1.	The Provincial Government of Southern Leyte through the PHSO Donation Expenses in</t>
  </si>
  <si>
    <t xml:space="preserve"> 85 LENGTH 10 mm diameter X 6 meter DEF. BAR 23 LENGTH 12 mm diameter X 6 meter DEF BAR 5 pcs. 1.5 mm X 2" X 5" X 6.0 m C-purlins Rafter 14 pcs. 1.2 mm X 2" X 3" X 6.0 m Purlins 13 pcs. 1" X 6 m Flat BAr 31 pcs. double metal paring (joist) 10 pcs. double m</t>
  </si>
  <si>
    <t xml:space="preserve"> Section I. Invitation to Bid Republic of the Philippines Province of Bukidnon MUNICIPALITY OF TALAKAG Invitation to Bid for Procurement of Diesoline (For LGU Use) 1.	The Municipality of Talakag through the General Fund, CY 2020 intends to apply the sum of</t>
  </si>
  <si>
    <t xml:space="preserve"> INVITATION TO BID IB No. GS-2020 – 052-A Construction Materials and Supplies for Provision of Cement and Painting Materials to Various Schools Provincewide 1. The  Provincial  Government  of  Oriental  Mindoro  (PGOM)  through  the  Special Education Fund</t>
  </si>
  <si>
    <t xml:space="preserve"> INVITATION TO BID IB No. GS-2020 – 041-A Furniture to be used/installed in the executive building 1. The  Provincial  Government  of  Oriental  Mindoro  (PGOM)  through  the  General Fund intends  to  apply  the  sum  of  Two Million Four Hundred Thirty T</t>
  </si>
  <si>
    <t xml:space="preserve"> PB NO. 2020-036		 			Security Service for July 2020 to December 2020 1.	1	persons	OIC Security Guard x 18,796.54 x 6 months for 8 hours 2.	8	persons	Security Guards (Dayshift) x 17,796.54 x 6 months for 8 hours 2.	5	persons	Security Guards (Nightshift) x </t>
  </si>
  <si>
    <t xml:space="preserve"> Specifications can be viewed online by clicking the "Associated Components" section on this ITB. The Local Government Unit-Municipality of Malinao, Aklan through the Bids and Awards Committee, intends to apply the sum of Five Hundred  Thousand  Pesos and </t>
  </si>
  <si>
    <t xml:space="preserve"> CONSTRUCTION OF SIKLING FOOTBRIDGE BARANGAY LATANG</t>
  </si>
  <si>
    <t xml:space="preserve"> IMPROVEMENT OF MUNICIPAL IP HALL GROUND</t>
  </si>
  <si>
    <t xml:space="preserve"> Republic of the Philippines PROVINCE OF SOUTHERN LEYTE Maasin City Invitation to Bid for the Procurement of Various Machinery and Equipment  Contract ID # 2020-07-07-362PG 1.	The Provincial Government of Southern Leyte through the PESO– Other Machinery an</t>
  </si>
  <si>
    <t xml:space="preserve"> Republic of the Philippines Province of South Cotabato BIDS AND AWARDS COMMITTEE Capitol Compound Alunan Avenue, Koronadal City Tel. Fax No.: (083) 228-9951/228-8570 INVITATION TO BID FOR THE SUPPLY AND DELIVERY OF 7,000 BAGS CEMENT, PORTLAND, QUICK DRY &amp;</t>
  </si>
  <si>
    <t xml:space="preserve"> 1.The Local Government Unit of the Municipality of Magsaysay, through funding from the Conditional Augmentation Fund for Municipal Initiated Projects (CAFMIP)  intends to apply the sum of Three Million Pesos Only (3,000,000.00) being the Approved Budget f</t>
  </si>
  <si>
    <t xml:space="preserve"> 1.     	The Municipal Government of Veruela, by virtue of the AIP 2020 with the passage of SB Resolution No. 2019-151 is allocating  funds for the “Const. of Multi-purpose Hall at Brgy. Sisimon” amounting to PhP 4,500,000.00 (Four Million Five Hundred Tho</t>
  </si>
  <si>
    <t xml:space="preserve"> Const. of Multi-purpose Hall at Brgy. Sta. Cruz  Contract ID No. MPP-2020-02  			 1.     	The Municipal Government of Veruela, by virtue of the AIP 2020 with the passage of SB Resolution No. 2019-151 is allocating funds for the “Const. of Multi-purpose Ha</t>
  </si>
  <si>
    <t xml:space="preserve"> Republic of the Philippines Province of South Cotabato BIDS AND AWARDS COMMITTEE Capitol Compound Alunan Avenue, Koronadal City Tel. Fax No.: (083) 228-9951/228-8570 INVITATION TO BID FOR THE SUPPLY AND DELIVERY OF 5 DRUMS HYDRAULIC OIL, AW 68 &amp; ETC. 1.  </t>
  </si>
  <si>
    <t xml:space="preserve"> Republic of the Philippines PROVINCE OF SOUTHERN LEYTE Maasin City Invitation to Bid for the Procurement of Various Housekeeping Supplies  Contract ID # 2020-07-07-360PG 1.	The Provincial Government of Southern Leyte through the Admin– Other Supplies Expe</t>
  </si>
  <si>
    <t xml:space="preserve"> INVITATION TO BID IB No. GS-2020 – 071 Sporting Goods for distribution to Outstanding pupils and students in public and private schools in Oriental Mindoro 1. The  Provincial  Government  of  Oriental  Mindoro  (PGOM)  through  the  General Fund intends  </t>
  </si>
  <si>
    <t xml:space="preserve"> 18 assembly Pen Light 18 watt LED lamp 1,081 bags Portland Cement type 1p 11 bags skin coat 98 bags tile adhesive cement 7 boxes 1/8 blind rivets at 1,000 pcs. per box 1 box welding rod stainless steel 1 box #14 THW Stranded 1 box #12 THW Stranded  1 box </t>
  </si>
  <si>
    <t xml:space="preserve"> Republic of the Philippines City of Dapitan BIDS AND AWARDS COMMITTEE INVITATION TO BID June 15, 2020 	 The City Government of Dapitan, through its Bids and Awards Committee (BAC), invites interested parties to apply for eligibility and, if found eligible</t>
  </si>
  <si>
    <t xml:space="preserve"> CARLOS HILADO MEMORIAL STATE COLLEGE 		BIDS AND AWARDS COMMITTEE Talisay City, Negros Occidental Telefax Nos. (034) 712-8404 INVITATION TO BID  FOR THE PROCUREMENT OF VARIOUS EQUIPMENT AND FURNITURE AND FIXTURES FOR INSTRUCTIONAL USE OF BSHM – TALISAY CAM</t>
  </si>
  <si>
    <t xml:space="preserve"> Contract Duration: The service maintenance contract shall commence on the date stipulated in the Notice to Proceed to be issued by Facilities Management and Engineering Department (FMED) and shall end on 31 December 2020 Bidders should have completed from</t>
  </si>
  <si>
    <t xml:space="preserve"> INVITATION TO BID IB No. GS-2020 – 051-A Books, Maps and Other Publications for Distribution to all Barangays of Oriental Mindoro 1. The  Provincial  Government  of  Oriental  Mindoro  (PGOM)  through  the  General Fund  intends  to  apply  the  sum  of  </t>
  </si>
  <si>
    <t xml:space="preserve"> 1.The Local Government Unit of the Municipality of Magsaysay, through the 2020 Annual Budget approved by the Sanggunian intends to apply the sum of One Million Pesos (P 1,000,000.00) being the Approved Budget for the Contract (ABC) to payment under the  C</t>
  </si>
  <si>
    <t xml:space="preserve"> UNIVERSITY OF THE PHILIPPINES MANILA The Health Sciences Center 8/F PGH Central Block Bldg,  Taft Avenue, Manila INVITATION TO BID PROPOSED RENOVATION OF CAMPUS PLANNING  DEVELOPMENT AND MAINTENANCE OFFICE UNIVERSITY OF THE PHILIPPINES MANILA 1.	The Unive</t>
  </si>
  <si>
    <t xml:space="preserve"> 1.	The Local Government Unit of Baleno, Masbate, through the 2020 Economic Development Fund intends to apply the sum of Two Million Nine Hundred Fifty-nine Thousand Eight Hundred Forty-seven Pesos &amp; 63/100 (P 2,959,847.63 ) being the Approved Budget for t</t>
  </si>
  <si>
    <t xml:space="preserve"> CONSTRUCTION OF PROPER KALEO DRAINAGE</t>
  </si>
  <si>
    <t xml:space="preserve"> REFER TO ATTACHED ITB NO. 012 OF 2020</t>
  </si>
  <si>
    <t xml:space="preserve"> INVITATION TO APPLY FOR ELIGIBILITY AND TO BID FOR THE CONSTRUCTION OF EVACUATION CENTER (COMPLETION) @ MUNICIPAL COMPOUND, BURGOS, ISABELA DESCRIPTION OF WORK I.	GENERAL REQUIREMENTS - 1.00 lot	 II.	CEILING WORKS - 288.00 sq.m.	 III.	STEEL WORKS - 1.00 l</t>
  </si>
  <si>
    <t xml:space="preserve"> INVITATION TO APPLY FOR ELIGIBILITY AND TO BID FOR THE CONCRETING OF BURGOS – QUIRINO PROVINCIAL ROAD @ BURGOS, ISABELA DESCRIPTION OF WORK 101	(3) a2.  REMOVAL OF ACTUAL STRUCTURES/ OBSTRUCTION - 5429 SQ. M.	 105.  SUB GRADE PREPERATION - 8099 SQ. M.	 20</t>
  </si>
  <si>
    <t xml:space="preserve"> Republic of the Philippines PROVINCE OF SOUTHERN LEYTE Maasin City Invitation to Bid for the Procurement of Various Catering Services  Contract ID # 2020-07-07-365PG 1.	The Provincial Government of Southern Leyte through the OVG/OSP – Other Maintenance an</t>
  </si>
  <si>
    <t xml:space="preserve"> Republic of the Philippines PROVINCE OF SOUTHERN LEYTE Maasin City Invitation to Bid for the Procurement of Various Office Supplies  Contract ID # 2020-07-07-363PG 1.	The Provincial Government of Southern Leyte through the PAGSO– Office Supplies Expenses </t>
  </si>
  <si>
    <t xml:space="preserve"> INVITATION TO BID IB No. GS-2020 – 072 Vehicle for use of Bulalacao Community Hospital (BCH) 1. The  Provincial  Government  of  Oriental  Mindoro  (PGOM)  through  the  General Fund intends  to  apply  the  sum  of  Two Million Five Hundred Thousand Peso</t>
  </si>
  <si>
    <t xml:space="preserve"> REFER TO ATTACHED ITB NO. 011 OF 2020</t>
  </si>
  <si>
    <t xml:space="preserve"> PB NO. 2020-037		 			 1.	14	persons	Janitorial Service for July 2020 to December 2020 			14 Utility Worker x 17,325.03 x 6 months for 8 hrs. 			 	Deadline for Submission of Bids: July 7, 2020 10:00 am</t>
  </si>
  <si>
    <t xml:space="preserve"> 1 unit 	Dual-powered solar dryer</t>
  </si>
  <si>
    <t xml:space="preserve"> Republic of the Philippines PROVINCE OF SOUTHERN LEYTE Maasin City Invitation to Bid for the Procurement of Various Agricultural Supplies  Contract ID # 2020-07-07-367PG 1.	The Provincial Government of Southern Leyte through the PAGSO Other Maintenance an</t>
  </si>
  <si>
    <t xml:space="preserve"> 1 Set	Water Retort Chamber with Accessories 	 	(steam boiler and cooling tower)	 		 	A. Counter Pressure Retort ,2 - baskets capacity	 	  -  Horizontal type, Stainless Steel T304 type materials	 	  -  Dimensions: L220mm x Diameter 1200mm	 	  -  2" thick r</t>
  </si>
  <si>
    <t xml:space="preserve"> CONSUMABLE</t>
  </si>
  <si>
    <t xml:space="preserve"> 1.	The Local Government Unit of Baleno, Masbate, through the 2020 Economic Development Fund intends to apply the sum of One Million One Hundred Seventy-seven Thousand Two Hundred Ninety-six Pesos &amp; 74/100 (P 1,177,296.74 ) being the Approved Budget for th</t>
  </si>
  <si>
    <t xml:space="preserve"> 8 unit 	Automated rain guage	 	Components:	 	*One (1) unit tipping bucket with cable terminated via connector compatible	 	to datalogger	 	*One (1) unit solar panel (30 watts) with holder and brackets	 	*One(1) Controller Box Assembly inside shall store t</t>
  </si>
  <si>
    <t xml:space="preserve"> REFER TO ATTACHED ITB NO. 010 OF 2020</t>
  </si>
  <si>
    <t xml:space="preserve"> 39 unit 	Small smoke house - Height: 1 meter, Diameter 37.5 cm with 5 	 	     stainless steel trays and 4 tray holders, With glass view window,	 	     With thermostat; Stainless body, With stainless sliding firebed and	 	     firebed holder heat source, C</t>
  </si>
  <si>
    <t xml:space="preserve"> Republic of the Philippines PROVINCE OF SOUTHERN LEYTE Maasin City Invitation to Bid for the Procurement of Various Catering Services  Contract ID # 2020-07-07-376PG 1.	The Provincial Government of Southern Leyte through the PGO – Other Maintenance and Op</t>
  </si>
  <si>
    <t xml:space="preserve"> Republic of the Philippines PROVINCE OF SOUTHERN LEYTE Maasin City Invitation to Bid for the Procurement of Various IT Supplies   Contract ID # 2020-07-07-364PG 1.	The Provincial Government of Southern Leyte through the ADH – Other Supplies and Materials </t>
  </si>
  <si>
    <t xml:space="preserve"> SULTAN KUDARAT STATE UNIVERSITY  OFFICE OF BIDS AND AWARDS COMMITTEE 2ND FLOOR, ADMINISTRATION BUILDING ACCESS, EJC MONTILLA, TACURONG CITY INVITATION TO BID FOR Machinery &amp; Equipment Outlay for the Purchase of Various Equipment for the use of Science Lab</t>
  </si>
  <si>
    <t xml:space="preserve"> Construction of Mini-Library</t>
  </si>
  <si>
    <t xml:space="preserve"> Design and Build for the Construction of the Proposed Sewerage Treatment Plant of the Municipality of Coron. Invitation to Bid  1.The Municipal Government of Coron, Palawan, through the 2020 Annual Municipal Budget intends to apply the sum of FIFTEEN MILL</t>
  </si>
  <si>
    <t xml:space="preserve"> The Municipality of Tanza, Cavite, through its Bids and Awards Committee (BAC), invites contractors registered with and classified by the Philippine Contractors Accreditation Board (PCAB) to apply for eligibility and if found eligible, to bid for the here</t>
  </si>
  <si>
    <t xml:space="preserve"> The National Mapping and Resource Information Authority, Bids and Awards Committee (NAMRIA BAC) invites interested SUPPLIERS/DEALERS &amp; CONTRACTORS for the following project/s: Upgrading of Staboardside Main Engine of BRP Hydrographer Ventura. Kindly conta</t>
  </si>
  <si>
    <t xml:space="preserve"> 1	Unit 	Biology Table w/ End Sink, 10 Seaters 		Dimension: 		   3600mm L x 800mm W x 850mm H 		Table top: 		Molded resin top (acid resistant), one pc. 		Molded resin edge less and semi gloss finish. 		Base: Epoxy coated steel tubular base and frames with </t>
  </si>
  <si>
    <t xml:space="preserve"> Republic of the Philippines CENTRAL BICOL STATE UNIVERSITY OF AGRICULTURE Impig, Sipocot, Camarines Sur 4408 Website: www.cbsua.edu.ph INVITATION TO BID     CBSUA-SIP-INFRA-01-2020 Design and Build of 3-Storey Solar Powered Gender-Neutral Student Dormitor</t>
  </si>
  <si>
    <t xml:space="preserve"> Republic of the Philippines Province of Davao del Sur MUNICIPALITY OF STA.CRUZ INVITATION TO BID REHABILITATION / IMPROVEMENT OF POTABLE WATER SYSTEM – LEVEL II (ITB No. 06-INFRA-2020) 1.	The Local Government Unit of Sta. Cruz, Davao del Sur through the T</t>
  </si>
  <si>
    <t xml:space="preserve"> June 15, 2020 INVITATION TO BID  Reference No. 7046273 /Solicitation No.20-22 The City Government of Tagum invites interested Bidders/Suppliers to bid for the following: Name of Contract         :  CONSOLIDATED OFFICE SUPPLIES 2020 (2ND QUARTER)          </t>
  </si>
  <si>
    <t xml:space="preserve"> Republic of the Philippines PROVINCE OF SOUTHERN LEYTE Maasin City Invitation to Bid for the Procurement of Catering Services, Venue/Rental, Training Supplies &amp; Materials and Agricultural Supplies  Contract ID # 2020-07-07-370PG 1.	The Provincial Governme</t>
  </si>
  <si>
    <t xml:space="preserve"> 1 lot Additional 22 seaters for the existing H-Tech  "Hello-3" Digital Language Learning System A.22 units Students Unit Hello-3 Features 1.Digital flat switch panel. Spill proof. 2.Stereo sound reproduction and two track recording  L+R, L+L, R+R, LR+LR t</t>
  </si>
  <si>
    <t xml:space="preserve"> Republic of the Philippines                   Department of Health	       CENTRAL OFFICE BIDS AND AWARDS COMMITTEE  PROCUREMENT OF RED EVACUATED TUBE IB No. 2020- 189 1.	The Department of Health (DOH), through the General Appropriations Act of 2020 intend</t>
  </si>
  <si>
    <t xml:space="preserve"> Invitation to Quote The Philippine Charity Sweepstakes Office thru the Procurement Division, General Services Dept. announces the purchase and procurement of the above listed item/s. All interested suppliers may secure the standard sealed quotation/canvas</t>
  </si>
  <si>
    <t xml:space="preserve"> INVITATION TO BID FOR  1.	The Municipal Government of Coron, Palawan, through the 2020 Annual Municipal Budget intends to apply the sum of One Million Nine Hundred Twenty Seven Thousand Eight Hundred Twenty S Pesos (PhP1,927,827.00) being the Approved Bud</t>
  </si>
  <si>
    <t xml:space="preserve"> The detailed Bill of Materials is attached to the Bid Forms.</t>
  </si>
  <si>
    <t xml:space="preserve"> SULTAN KUDARAT STATE UNIVERSITY OFFICE OF BIDS AND AWARDS COMMITTEE 2ND FLOOR, ADMINISTRATION BUILDING ACCESS, EJC., MONTILLA, TACURONG CITY INVITATION TO BID FOR MACHINERY &amp; EQUIPMENT OUTLAY FOR THE PURCHASE OF VARIOUS EQUIPMENT FOR THE SCIENCE LABORATOR</t>
  </si>
  <si>
    <t xml:space="preserve"> Republic of the Philippines PROVINCE OF SOUTHERN LEYTE Maasin City Invitation to Bid for the Procurement of Various Catering Services &amp; Training Materials  Contract ID # 2020-07-07-369PG 1.	The Provincial Government of Southern Leyte through the PAGSO – O</t>
  </si>
  <si>
    <t xml:space="preserve"> Republic of the Philippines PROVINCE OF SOUTHERN LEYTE Maasin City Invitation to Bid for the Procurement of Window Blinds and Glass Sticker  Contract ID # 2020-07-07-366PG 1.	The Provincial Government of Southern Leyte through the OVG Other Supplies and M</t>
  </si>
  <si>
    <t xml:space="preserve"> PART A 801 (3) REMOVAL OF STRUCTURES AND OBSTRUCTION 1,359.77 SQ.M (Existing longspan Metal Sheet, Purlins sag rods, struts and sway braces ITEM 1047 STRUCTURAL STEEL 1047(2)b ROOF TRUSS (Retrofitting and Lifting of Existing Steel Trusses and Provision of</t>
  </si>
  <si>
    <t xml:space="preserve"> REQUEST FOR EXPRESSION OF INTEREST FOR DETAILED ENGINEERING  STUDY/DESIGN  OF WARAS  SRIP,  IRIGA CITY, CAMARINES SUR 1.	The National Irrigation Administration RO V, Naga City, through the GAA/FSDE CY 2019  intends to apply the sum of P 11,005,392.85  bei</t>
  </si>
  <si>
    <t xml:space="preserve"> Republic of the Philippines PROVINCE OF SOUTHERN LEYTE Maasin City Invitation to Bid for the Procurement of Fuel, Oil and Lubricant  Contract ID # 2020-07-07-372PG 1.	The Provincial Government of Southern Leyte through the PAGSO – Fuel, Oil and Lubricants</t>
  </si>
  <si>
    <t xml:space="preserve"> Republic of the Philippines                   Department of Health	       CENTRAL OFFICE BIDS AND AWARDS COMMITTEE  PROCUREMENT OF TROCLOSENE SODIUM IB No. 2020- 176 1.	The Department of Health (DOH), through the General Appropriations Act of 2020 intends</t>
  </si>
  <si>
    <t xml:space="preserve"> Republic of the Philippines PROVINCE OF SOUTHERN LEYTE Maasin City Invitation to Bid for the Procurement of Various Catering Services  Contract ID # 2020-07-07-371PG 1.	The Provincial Government of Southern Leyte through the PAGSO – Agricultural and Marin</t>
  </si>
  <si>
    <t xml:space="preserve"> Clearing and grubbing, Common excavation manual, Masonry works, Plastering, Installation of paving blocks,     Sub-grade preparation, Aggregate sub-base course, PCCP, COSH</t>
  </si>
  <si>
    <t xml:space="preserve"> 14	unit 	Chest type freezer/chiller - Chest type, Two door, 18 cu ft, Inverter 1	unit 	Ice cream machine - 304 stainless steel blade with adjustable scrapers,  		     ABS Housing, Air cooled,  304 stainless steel inner bowl, Large opening:  		     Allows </t>
  </si>
  <si>
    <t xml:space="preserve"> INVITATION TO BID FOR PROVISION OF MULTI-YEAR CONTRACT FOR THE HIRING OF SERVICE PROVIDER FOR PREVENTIVE MAINTENANCE OF THE PASSENGER ELEVATOR AT DSWD-CENTRAL OFFICE FOR CY 2020-2022 —  ITB NO. GOP/20-DSWD-041 — (PR NO. 01-20001-PR-2020-05-00030, 20200501</t>
  </si>
  <si>
    <t xml:space="preserve"> Riprapping</t>
  </si>
  <si>
    <t xml:space="preserve"> ROAD CONSTRUCTION WITH DRAINAGE CANAL AT PUROK 8A, BACACA, BARANGAY 19-B, POBLACION DISTRICT, DAVAO CITY ABC: 3,000,000.00 Location: Barangay 19-B, Davao City Fund Source: SARO-OSEC-19-0014429 Physical Target: Roads and Drainage</t>
  </si>
  <si>
    <t xml:space="preserve"> Name of Contract: Construction of Flood Control, Barangay San Jose (Additional Allocation) IAC Classification: Small "B" for Flood Control PCAB Category "D" Duration: 120 Calendar Days Approved Budget for the Contract: Php 2,000,000.00 xxxxxxxxxxxxxxxxxx</t>
  </si>
  <si>
    <t xml:space="preserve"> Clearing and grubbing, Structure Excavation, Safety and Health</t>
  </si>
  <si>
    <t xml:space="preserve"> INVITATION TO BID 1.	The Tondo Medical Center (TMC), through the General Appropriations Act/HFEP intends to apply the sum of Five Million Eight Hundred Eighty Thousand Philippine Pesos (PhP 5,880,000.00) being the Approved Budget for the Contract (ABC) to</t>
  </si>
  <si>
    <t xml:space="preserve"> Please download attached documents or visit our website @www.prc.gov.ph for more details.</t>
  </si>
  <si>
    <t xml:space="preserve"> Republic of the Philippines PROVINCE OF SOUTHERN LEYTE Maasin City Invitation to Bid for the Procurement of Various Housekeeping Supplies    Contract ID # 2020-07-07-377PG 1.	The Provincial Government of Southern Leyte through the PGO Other Supplies and M</t>
  </si>
  <si>
    <t xml:space="preserve"> ITB No. 2020 – 73 June 16, 2020 Republic of the Philippines Province of Davao Oriental CITY OF MATI INVITATION TO BID PROCUREMENT OF AIR-CONDITIONER (City Engineering Office) Name of Project 1.	The City Government of Mati, through the City Mayor’s Office </t>
  </si>
  <si>
    <t xml:space="preserve"> Republic of the Philippines PROVINCE OF SOUTHERN LEYTE Maasin City Invitation to Bid for the Procurement of Various Planting Materials and Fertilizers  Contract ID # 2020-07-07-374PG 1.	The Provincial Government of Southern Leyte through the PAGSO – Agric</t>
  </si>
  <si>
    <t xml:space="preserve"> 1 unit 	UV-Vis spectrophotometer - Benchtop type, double-beam, Compact  	 	     (space saver), Wavelength range of 190nm-1100nm, Path length must	 	     be 1 cm, and/or changeable with 1-10cm path, must include at least 2 	 	     cuvettes and all necessar</t>
  </si>
  <si>
    <t xml:space="preserve"> Clearing and grubbing, Excavation, RSB, Structural concrete, Construction Safety and Health</t>
  </si>
  <si>
    <t xml:space="preserve"> Clearing &amp; grubbing, Structure excavation, Stone masonry, Embankment fill, Removal of existing concrete pavement, Sub-grade preparation, Aggregate sub-base course, PCCP, RSB, Structural concrete, Construction Safety and Health</t>
  </si>
  <si>
    <t xml:space="preserve"> Department of Public Works and Highways Contract ID	:	20MH0085 Contract Name	:	Concreting of Upper Balayan to Kinadao, Barangay Badiangon, Palimbang, Sultan Kudarat Contract Location	:	Palimbang, Sultan Kudarat Department of Public Works and Highways Sult</t>
  </si>
  <si>
    <t xml:space="preserve"> Republic of the Philippines DEPARTMENT OF PUBLIC WORKS AND HIGHWAYS SULTAN KUDARAT 2ND DISTRICT ENGINEERING OFFICE REGION XII Lebak, Sultan Kudarat INVITATION TO BID FOR SUPPLY/DELIVERY OF TIRE AND BATTERY FOR USE OF SERVICE VEHICLE ASSIGNED AT THE PLANNI</t>
  </si>
  <si>
    <t xml:space="preserve"> Invitation to Bid  for  PROVSION OF 14 SECURITY SERVICES AT DPWH REGIONAL OFFICE NO. IV-A, EDSA, QUEZON CITY FOR   SIX (6) MONTHS  Contract ID No. 20GD00003 The Department of Public Works and Highways (DPWH), Regional Office No. IV-A thru its Bids and Awa</t>
  </si>
  <si>
    <t xml:space="preserve"> Advertisement/Posting of Invitation to Bid 16 June 2020 Issuance and Availability of Bid Documents 16 June to 06 July 2020 Pre-bid Conference 29 June 2020, 2:00 PM Last Day of Written Clarification 02 July 2020 Last Day of Issuance of Bid Bulletin 06 July</t>
  </si>
  <si>
    <t xml:space="preserve"> INVITATION TO BID FOR REPAIR AND IMPROVEMENT OF PERIMETER FENCE, SEPARATOR WALL, MAIN GATE AND PEDESTRIAN GATE 1.	The Bureau of Jail Management and Penology Region -7  through the GAA Fiscal Year 2020 Repair and Maintenance of Other Structure tends to app</t>
  </si>
  <si>
    <t xml:space="preserve"> BIDS AND AWARDS COMMITTEE – HEAD OFFICE INVITATION TO BID 1.	The Bangko Sentral ng Pilipinas (BSP), through its Bids and Awards Committee (BAC) – Head (HO), invites Bidders to apply for eligibility and to bid for the hereunder requirement: Name of Require</t>
  </si>
  <si>
    <t xml:space="preserve"> 5	amp	dexamethsone ampule 5	amp	diphenhydramine amp 5	amp	tranexamic amp 10	gals	alcohol 70% 100	pcs	face mask 5	boxes	ibuprofen 400mg tab 10	boxes	amoxicillin 500mg 11	boxes	celecoxib 200mg cap 50	boxes	azithromycin tab 5	boxes	cloxacillin 500mg cap 20	b</t>
  </si>
  <si>
    <t xml:space="preserve"> Advertisement/Posting of Invitation to Bid 16 June 2020 Issuance and Availability of Bid Documents 16 June to 06 July 2020 Pre-bid Conference 29 June 2020 10:00 AM Last Day of Written Clarification 02 July 2020 Last Day of Issuance of Bid Bulletin 06 July</t>
  </si>
  <si>
    <t xml:space="preserve"> Department of Public Works and Highways Contract ID	:	20MH0103 Contract Name	:	Concreting Local Road, Purok Narra, Brgy.Poblacion, Sultan Kudarat Contract Location	:	Lebak, Sultan Kudarat Department of Public Works and Highways Sultan Kudarat 2ndDistrict </t>
  </si>
  <si>
    <t xml:space="preserve"> Republic of the Philippines PROVINCE OF SOUTHERN LEYTE Maasin City Invitation to Bid for the Procurement of Various Catering Services, Venue &amp; Accommodation  Contract ID # 2020-07-07-382PG 1.	The Provincial Government of Southern Leyte through the PVET – </t>
  </si>
  <si>
    <t xml:space="preserve"> Republic of the Philippines Province of Iloilo Municipality of Pavia Invitation to Bid for the Purchase of  Brand New Motor Vehicle for the use of SB Office 1.	The Municipality of Pavia, Iloilo, through the General Fund Prior Year &amp; 2019 intends to apply </t>
  </si>
  <si>
    <t xml:space="preserve"> Republic of the Philippines PROVINCE OF SOUTHERN LEYTE Maasin City Invitation to Bid for the Procurement of One (1) Unit Motor Service Vehicle  Contract ID # 2020-07-07-381PG 1.	The Provincial Government of Southern Leyte through the PHSO – Motor Vehicle </t>
  </si>
  <si>
    <t xml:space="preserve"> Republic of the Philippines PROVINCE OF SOUTHERN LEYTE Maasin City Invitation to Bid for the Procurement of Various Brand New Aircondition with Installation    Contract ID # 2020-07-07-341PG 1.	The Provincial Government of Southern Leyte through the SOYMP</t>
  </si>
  <si>
    <t xml:space="preserve"> Republic of the Philippines PROVINCE OF SOUTHERN LEYTE Maasin City Invitation to Bid for the Procurement of Battery (12 Volts 9 Plates) - SOYMPH  Contract ID # 2020-07-07-380PG 1.	The Provincial Government of Southern Leyte through the SOYMPH – Repair and</t>
  </si>
  <si>
    <t xml:space="preserve"> Flue curing barn: Excavation works, Masonry works, Roofing works, Hangers, Door ventilation, Flue system, Construction safety and health</t>
  </si>
  <si>
    <t xml:space="preserve"> Plastic monobloc chairs with backrest (beige color)</t>
  </si>
  <si>
    <t xml:space="preserve"> INVITATION TO BID FOR (GOODS &amp; SERVICES) 	     20GJC0193 – 8 units Desktop Computer etc. To be used in Planning and Design Section.                          (PR # 20-05-181) 1. 	      The DPWH, 2nd District Engineering Office,Labason,Zamboanga del Norte, </t>
  </si>
  <si>
    <t xml:space="preserve"> Republic of the Philippines PROVINCE OF SOUTHERN LEYTE Maasin City Invitation to Bid for the Procurement of Various Food Stuff  Contract ID # 2020-07-07-378PG 1.	The Provincial Government of Southern Leyte through the PHSO – Other Maintenance and Operatin</t>
  </si>
  <si>
    <t xml:space="preserve"> Invitation to Bid for  Concreting &amp; Drainage Rehabilitation of J.M. Ceniza St., Looc, Mandaue City (21-2020) 1.	The City Government of Mandaue through the General Fund / Non-office (9999) Continuing Appropriation “Flood Control System” Approved by the San</t>
  </si>
  <si>
    <t xml:space="preserve"> National Power Corporation INVITATION TO BID PUBLIC BIDDING 2020-0126 1.	The NATIONAL POWER CORPORATION (NPC), through       its        approved       Corporate Budget of CY 2020 intends to apply   the   sum   of (Please see schedule below) being the Appr</t>
  </si>
  <si>
    <t xml:space="preserve"> Republic of the Philippines BIDS AND AWARDS COMMITTEE Province of Iloilo Invitation to Bid Purchase of Water Supply Accessories Bid No. AGR-20-0668-B 1. The Iloilo Provincial Government, through the GENERAL FUND 2020 intends to apply the sum of THREE MILL</t>
  </si>
  <si>
    <t xml:space="preserve"> CONSTRUCTION OF SAFIANGON-CHALLOS FOOTBRIDGE</t>
  </si>
  <si>
    <t xml:space="preserve"> CONSTRUCTION OF PESKONG DRAINAGE</t>
  </si>
  <si>
    <t xml:space="preserve"> INVITATION TO APPLY FOR ELIGIBILITY AND TO BID (IAEB)   The Municipality of Molave, Zamboanga del Sur, through its Bids and Awards Committee, invites suppliers/distributors to apply for eligibility and to bid for the hereunder project:   Name of Project  </t>
  </si>
  <si>
    <t xml:space="preserve"> ITEM OF WORKS: 1  GENERAL REQUIREMENTS 2  STRUCTURAL CONCRETE 3  STRUCTURAL STEEL 4  MASONRY WORKS 5  MOISTURE &amp; THERMAL PROTECTIONS 6  CARPENTRY WORKS 7  DOORS, WINDOWS &amp; PARTITIONS 8  IRON &amp; STAINLESS STEEL WORKS 9  ELECTRICAL WORKS 10  PLUMBING &amp; SANIT</t>
  </si>
  <si>
    <t xml:space="preserve"> CONSTRUCTION OF SA-ONG COVERED DRAINAGE</t>
  </si>
  <si>
    <t xml:space="preserve"> PROCUREMENT OF THE CONSTRUCTION  OF DOH REGIONAL OFFICE VI BUILDING, PHASE 2 DOH-REGIONAL OFFICE VI BRGY. BOLONG OESTE, STA. BARBARA, ILOILO IB NO.2020-06-001I 1.	The Department of Health, through the Health Facilities Enhancement Program (HFEP) of the De</t>
  </si>
  <si>
    <t xml:space="preserve"> Republic of the Philippines Province of Iloilo Municipality of Pavia Invitation to Bid for the Catering Services for Various Activities of the HRM Office and Mayor’s Office 1.	The Municipality of Pavia, Iloilo, through the General Fund 2020 intends to app</t>
  </si>
  <si>
    <t xml:space="preserve"> Description: Suzuki mini van Scrum cat eye 4x4 Manual transmission 12 valve Steering wheel All gauges working Body paint original 5 doors 600 cc Engine capacity Passenger capacity of 9 including driver Mags tires Fuel:Gas Accessories : fully loaded pionee</t>
  </si>
  <si>
    <t xml:space="preserve"> Republic of the Philippines Province of Iloilo Municipality of Pavia Invitation to Bid for the Improvement of School at Pandac Elementary School (Extension of Covered Court, Roofing and Ceiling of Classrooms) 1.	The Municipality of Pavia, Iloilo, through </t>
  </si>
  <si>
    <t xml:space="preserve"> Republic of the Philippines Province of Iloilo Municipality of Pavia Invitation to Bid for the Purchase of one (1) unit Fully Reconditioned Double Cab Fire Truck of the MDRRM Office 1.	The Municipality of Pavia, Iloilo, through the General Fund 2020 inten</t>
  </si>
  <si>
    <t xml:space="preserve"> Republic of the Philippines Province of Iloilo Municipality of Pavia Invitation to Bid for the Improvement of School at Aganan-Ungka Elementary School (Elevation of Classroom, Canteen and Pathways) 1.	The Municipality of Pavia, Iloilo, through the Special</t>
  </si>
  <si>
    <t xml:space="preserve"> BIDS AND AWARDS COMMITTEE – HEAD OFFICE INVITATION TO BID 1.	The Bangko Sentral ng Pilipinas (BSP), through its Bids and Awards Committee  – Head Office (BAC-HO), invites Bidders to apply for eligibility and to bid for the hereunder requirement: Name of R</t>
  </si>
  <si>
    <t xml:space="preserve"> Service Vehicles Engine: 2.8 Liter Diesel, 4 Cylinder in Line DOHC VAriable Nozzle Turbo with Front Mounted INtercooler 2,750cc - 2755cc, 171HP/3400rpm, 360Nm/1200-3405rpm, Direct Injection Common Rail, Fuel Tank: 55-65 Liters TRANSMISSION/SUSPENSION/BRAK</t>
  </si>
  <si>
    <t xml:space="preserve"> CONSTRUCTION/IMPROVEMENT/REHABILITATION</t>
  </si>
  <si>
    <t xml:space="preserve"> National Power Corporation INVITATION TO BID PUBLIC BIDDING 2020-0125 1.	The NATIONAL POWER CORPORATION (NPC), through       its        approved       Corporate Budget of CY 2020 intends to apply   the   sum   of (Please see schedule below) being the Appr</t>
  </si>
  <si>
    <t xml:space="preserve"> Removal of structure and obstruction, Structure excavation, Reinforcing steel bar, Structural concrete works, Masonry works w/ plastering, Electrical works, Roofing works, Installation of ACP</t>
  </si>
  <si>
    <t xml:space="preserve"> MARAMAG WATER DISTRICT  Drilling of One (1) Production Well    1. The Maramag Water District, through the LWUA–MWD JSA Fund, intends to apply the sum of Two Million Five Hundred Thousand Pesos Only (P 2,500,000.00) being the Approved Budget for the Contra</t>
  </si>
  <si>
    <t xml:space="preserve"> Section I. Invitation to Bid Republic of the Philippines Province of Romblon  Invitation to Bid for the  Concrete Paving of Poblacion-Jao-asan Provincial Road, Magdiwang, Romblon June 15, 2020  1.	The Province of Romblon through the ADP CY 2020 AIP Ref. C</t>
  </si>
  <si>
    <t xml:space="preserve"> Republic of the Philippines Department of Agriculture BUREAU OF PLANT INDUSTRY 692 San Andres Street Malate, Manila, Philippines E-mail Address: bpibac@yahoo.com Tel. No.: (02) 8526-7859, (02) 8691-0736 | Website: bpi.da.gov.ph SOLICITATION NO.: ITB PR NO</t>
  </si>
  <si>
    <t xml:space="preserve"> Section I. Invitation to Bid Republic of the Philippines Province of Romblon  Invitation to Bid for the  Repair of Sitio Tinap-an Bridge Brgy. Lanas, San Jose, Romblon June 15, 2020  1.	The Province of Romblon through the CY 2019 ADP Ref. Code 8000-1-01-0</t>
  </si>
  <si>
    <t xml:space="preserve"> Republic of the Philippines Province of Iloilo Municipality of Pavia Invitation to Bid for the Purchase of Furniture and Fixtures for Mayor’s Office and MENR Office 1.	The Municipality of Pavia, Iloilo, through the General Fund 2020 intends to apply the s</t>
  </si>
  <si>
    <t xml:space="preserve"> Section I. Invitation to Bid Republic of the Philippines Province of Romblon  Invitation to Bid for the  Completion of Cajidiocan Sports Complex Concrete Bleacher Cajidiocan, Romblon June 15, 2020 1.	The Province of Romblon through the CY 2019 ADP REF. CO</t>
  </si>
  <si>
    <t xml:space="preserve"> Section I. Invitation to Bid Republic of the Philippines Province of Romblon  Invitation to Bid for the  Construction of Maternity Half-Way House, San Jose District Hospital, Poblacion, San Jose, Romblon June 15, 2020 1.	The Province of Romblon through th</t>
  </si>
  <si>
    <t xml:space="preserve"> Section I. Invitation to Bid Republic of the Philippines Province of Romblon  Invitation to Bid for the  Concrete Paving of Provincial Road to Public Cemetery (Additional Fund), Looc, Romblon June 15, 2020  1.	The Province of Romblon through the SP Res. N</t>
  </si>
  <si>
    <t xml:space="preserve"> Section I. Invitation to Bid Republic of the Philippines Province of Romblon  Invitation to Bid for the  Repair of Sitio Sinongtan Bridge Brgy. Lanas, San Jose, Romblon June 15, 2020  1.	The Province of Romblon through the CY 2019 ADP Ref. Code 8000-1-01-</t>
  </si>
  <si>
    <t xml:space="preserve"> Republic of the Philippines Province of Iloilo Municipality of Pavia Invitation to Bid for the Improvement of School at Pagsanga-an Elementary School (Repair of Ceiling and Electrical Wiring in Library and Computer Room, Improvement of H.E. Room and Exten</t>
  </si>
  <si>
    <t xml:space="preserve"> Section I. Invitation to Bid Republic of the Philippines Province of Romblon  Invitation to Bid for the  Construction of Perimeter Fence (Phase I) for the Bureau of Jail Management and Penology (BJMP) Facility at Barangay Lonos (Sitio Wireless) Romblon, R</t>
  </si>
  <si>
    <t xml:space="preserve"> INVITATION TO BID FOR Procurement of Infra [Road Concreting of F. Dagohoy Circumferential Road (J.A. Clarin St. – C. Darunday St.)] The City Government of Tagbilaran, through the Continuing Appropriation, intends to apply the sum of Twenty Four Million Fo</t>
  </si>
  <si>
    <t xml:space="preserve"> Portland Cement Gravel Gravel Rough Lumber 2x4x12 CWN Assorted Mixing Water</t>
  </si>
  <si>
    <t xml:space="preserve"> 1.	The Department of Trade and Industry, through the Integrated Natural Resources and Environmental Management Project – Livelihood Enhancement Support 2 (INREMP-LES 2 ) under the Asian Development Bank (ADB) Funding intends to apply the sum of One Hundre</t>
  </si>
  <si>
    <t xml:space="preserve"> 1.	The Department of Trade and Industry, through the Integrated Natural Resources and Environmental Management Project – Livelihood Enhancement Support 2 (INREMP-LES 2) under Asian Development Bank (ADB) Funding intends to apply the sum of Seven Hundred S</t>
  </si>
  <si>
    <t xml:space="preserve"> 1.	The Department of Trade and Industry, through the Integrated Natural Resources and Environmental Management Project – Livelihood Enhancement Support 2 (INREMP-LES 2) under Asian Development Bank (ADB) Funding intends to apply the sum of Six Hundred Sev</t>
  </si>
  <si>
    <t xml:space="preserve"> Republic of the Philippines DEPARTMENT OF PUBLIC WORKS AND HIGHWAYS SULTAN KUDARAT 2ND DISTRICT ENGINEERING OFFICE REGION XII Lebak, Sultan Kudarat INVITATION TO BID FOR SUPPLY/DELIVERY OF DIESEL FUEL AND ENGINE OIL FOR USE OF SERVICE VEHICLE ASSIGNED AT </t>
  </si>
  <si>
    <t xml:space="preserve"> Section I. Invitation to Re-Bid Republic of the Philippines Province of Romblon  Invitation to Bid for the  Riprapping of Provincial Road Poblacion, Sta. Fe, Romblon June 15, 2020  1.	The Province of Romblon through the SP Res. No. 09-2019-60 dated Septem</t>
  </si>
  <si>
    <t xml:space="preserve"> Section I. Invitation to Bid Republic of the Philippines Province of Romblon  Invitation to Bid for the  Repair/Rehabilitation of Main Building and Completion of Wards at Tablas Island District Hospital (TIDH) San Agustin, Romblon June 15, 2020 1.	The Pro</t>
  </si>
  <si>
    <t xml:space="preserve"> 1.	The Department of Trade and Industry, through the Integrated Natural Resources and Environmental Management Project – Livelihood Enhancement Support 2 (INREMP-LES 2) under Asian Development Bank (ADB) Funding intends to apply the sum of Eighty Thousand</t>
  </si>
  <si>
    <t xml:space="preserve"> 1.	The Department of Trade and Industry, through the Integrated Natural Resources and Environmental Management Project – Livelihood Enhancement Support 2 (INREMP-LES 2) under Asian Development Bank (ADB) Funding intends to apply the sum of Seven Hundred N</t>
  </si>
  <si>
    <t xml:space="preserve"> 1.	The Department of Trade and Industry, through the Integrated Natural Resources and Environmental Management Project – Livelihood Enhancement Support 2 (INREMP-LES 2) under Asian Development Bank (ADB) Funding intends to apply the sum of Six Hundred Twe</t>
  </si>
  <si>
    <t xml:space="preserve"> 1.	The Department of Trade and Industry, through the Integrated Natural Resources and Environmental Management Project – Livelihood Enhancement Support 2 (INREMP-LES 2) under Asian Development Bank (ADB) Funding intends to apply the sum of Four Hundred Th</t>
  </si>
  <si>
    <t xml:space="preserve"> 1.	The Department of Trade and Industry, through the Integrated Natural Resources and Environmental Management Project – Livelihood Enhancement Support 2 (INREMP-LES 2 ) under the Asian Development Bank (ADB) Funding intends to apply the sum of Six Hundre</t>
  </si>
  <si>
    <t xml:space="preserve"> Republic of the Philippines Bangsamoro Autonomous Region in Muslim Mindanao Provincial Government of Maguindanao BIDS AND AWARDS COMMITTEE INVITATION TO BID FOR CONSTRUCTION OF PIGKALAGAN – MATENGEN ROAD 1. The Provincial Government of Maguindanao, throug</t>
  </si>
  <si>
    <t xml:space="preserve"> 1.	The Department of Trade and Industry, through the Integrated Natural Resources and Environmental Management Project – Livelihood Enhancement Support 2 (INREMP-LES 2 ) under the Asian Development Bank (ADB) Funding intends to apply the sum of Three Hund</t>
  </si>
  <si>
    <t xml:space="preserve"> 1.	The Department of Trade and Industry, through the Integrated Natural Resources and Environmental Management Project – Livelihood Enhancement Support 2 (INREMP-LES 2) under Asian Development Bank (ADB) Funding intends to apply the sum of One Hundred Twe</t>
  </si>
  <si>
    <t xml:space="preserve"> 1.	The Department of Trade and Industry, through the Integrated Natural Resources and Environmental Management Project – Livelihood Enhancement Support 2 (INREMP-LES 2) under Asian Development Bank (ADB) Funding intends to apply the sum of Two Hundred Eig</t>
  </si>
  <si>
    <t xml:space="preserve"> 1.	The Department of Trade and Industry, through the Integrated Natural Resources and Environmental Management Project – Livelihood Enhancement Support 2 (INREMP-LES 2) under Asian Development Bank (ADB) Funding intends to apply the sum of Ninety Thousand</t>
  </si>
  <si>
    <t xml:space="preserve"> Section I. Invitation to Bid Republic of the Philippines Province of Romblon  Invitation to Bid for the  Concrete Paving of Farm to Market Road, Gutivan, Cajidiocan, Romblon June 15, 2020  1.	The Province of Romblon through the ADP CY 2020 AIP Ref. Code 8</t>
  </si>
  <si>
    <t xml:space="preserve"> Section I. Invitation to Bid Republic of the Philippines Province of Romblon  Invitation to Bid for the  Completion of Food Court    Poblacion, Cajidiocan, Romblon June 15, 2020  1.	The Province of Romblon through the ADP CY 2020 AIP Ref. Code 8000-1-01-0</t>
  </si>
  <si>
    <t xml:space="preserve"> Republic of the Philippines Bangsamoro Autonomous Region in Muslim Mindanao Provincial Government of Maguindanao BIDS AND AWARDS COMMITTEE INVITATION TO BID FOR CONSTRUCTION OF TUDOK - PALAO ROAD 1. The Provincial Government of Maguindanao, through the An</t>
  </si>
  <si>
    <t xml:space="preserve"> 1.	The Department of Trade and Industry, through the Integrated Natural Resources and Environmental Management Project – Livelihood Enhancement Support 2 (INREMP-LES 2 ) under the Asian Development Bank (ADB) Funding intends to apply the sum of One Millio</t>
  </si>
  <si>
    <t xml:space="preserve"> INVITATION TO BID FOR THE CONTRACT ID: 20-06-084 Contract Name: SUPPLY, DELIVERY,INSTALLATION, TESTING AND COMMISSIONING OF VARIOUS MEDICAL EQUIPMENT Approved Budget for the Contract (ABC) : Php 10,840,000.00 Cost of Bidding Documents: Php 25,000.00 1. Th</t>
  </si>
  <si>
    <t xml:space="preserve"> Republic of the Philippines Bangsamoro Autonomous Region in Muslim Mindanao Provincial Government of Maguindanao BIDS AND AWARDS COMMITTEE INVITATION TO BID FOR CONSTRUCTION OF MAGNO – BRGY. RENTI ROAD 1. The Provincial Government of Maguindanao, through </t>
  </si>
  <si>
    <t xml:space="preserve"> Section I. Invitation to Re-Bid Republic of the Philippines Province of Romblon  Invitation to Bid for the  Repair/Improvement of Brgy. Water System Bachawan, San Agustin, Romblon June 15, 2020  1.	The Province of Romblon through the ADP CY 2020 AIP Ref. </t>
  </si>
  <si>
    <t xml:space="preserve"> Republic of the Philippines Bangsamoro Autonomous Region in Muslim Mindanao Provincial Government of Maguindanao BIDS AND AWARDS COMMITTEE INVITATION TO BID FOR CONSTRUCTION OF SENDITAN - SAMBOLAWAN ROAD 1. The Provincial Government of Maguindanao, throug</t>
  </si>
  <si>
    <t xml:space="preserve"> Section I. Invitation to Bid Republic of the Philippines Province of Romblon  Invitation to Bid for the  Concrete Paving of Farm to Market Road, Cambalo, Cajidiocan, Romblon June 15, 2020  1.	The Province of Romblon through the ADP CY 2020 AIP Ref. Code 8</t>
  </si>
  <si>
    <t xml:space="preserve"> Section I. Invitation to Re-Bid Republic of the Philippines Province of Romblon  Invitation to Bid for the  Site Development for Municipal Housing Project at Brgy. Poblacion San Agustin, Romblon June 15, 2020  1.	The Province of Romblon through the ADP CY</t>
  </si>
  <si>
    <t xml:space="preserve"> Section I. Invitation to Re-Bid Republic of the Philippines Province of Romblon  Invitation to Bid for the  Completion of Educ’l Facilities (Completion of Stage) at Tampayan Elementary School Magdiwang, Romblon June 15, 2020  1.	The Province of Romblon th</t>
  </si>
  <si>
    <t xml:space="preserve"> Section I. Invitation to Re-Bid Republic of the Philippines Province of Romblon  Invitation to Bid for the  Slope/Shore Protection of Barangay Pandan, Sta. Fe, Romblon June 15, 2020  1.	The Province of Romblon through the PDRRMP CY 2020 Ref. Code 3000-1-0</t>
  </si>
  <si>
    <t xml:space="preserve"> 1.	The Department of Trade and Industry, through the Integrated Natural Resources and Environmental Management Project – Livelihood Enhancement Support 2 (INREMP-LES 2) under Asian Development Bank (ADB) Funding intends to apply the sum of Three Hundred N</t>
  </si>
  <si>
    <t xml:space="preserve"> 1.	The Department of Trade and Industry, through the Integrated Natural Resources and Environmental Management Project – Livelihood Enhancement Support 2 (INREMP-LES 2) under Asian Development Bank (ADB) Funding intends to apply the sum of Six Hundred Eig</t>
  </si>
  <si>
    <t xml:space="preserve"> Republic of the Philippines Bangsamoro Autonomous Region in Muslim Mindanao Provincial Government of Maguindanao BIDS AND AWARDS COMMITTEE INVITATION TO BID FOR OPENING/REHABILITATION OF FARM TO MARKET ROAD 1. The Provincial Government of Maguindanao, thr</t>
  </si>
  <si>
    <t xml:space="preserve"> Section I. Invitation to Re-Bid Republic of the Philippines Province of Romblon  Invitation to Bid for the  Slope Protection at Sitio Bagulayag, Tubigon, Ferrol, Romblon June 15, 2020  1.	The Province of Romblon through the ADP CY 2020 AIP Ref. Code 8000-</t>
  </si>
  <si>
    <t xml:space="preserve"> Republic of the Philippines Bangsamoro Autonomous Region in Muslim Mindanao Provincial Government of Maguindanao BIDS AND AWARDS COMMITTEE INVITATION TO BID FOR CONCRETING OF REBUKEN ROAD – TESDA ROAD 1. The Provincial Government of Maguindanao, through t</t>
  </si>
  <si>
    <t xml:space="preserve"> INVITATION TO BID FOR THE REHABILITATION OF CAMBICANG MULTI-PURPOSE HALL, MARIGONDON, CAJIDIOCAN, ROMBLON 1.	The Municipal Government of Cajidiocan, Romblon through the 20% MDF CY-2019 intends to apply the sum of FOUR HUNDRED NINETY-NINE THOUSAND, NINE HU</t>
  </si>
  <si>
    <t xml:space="preserve"> INVITATION TO BID FOR THE REHABILITATION OF WATER SUPPLY SYSTEM LUMBANG WESTE, CAJIDIOCAN, ROMBLON 1.	The Municipal Government of Cajidiocan, Romblon through the 20% MDF CY-2019 intends to apply the sum of FIVE HUNDRED NINETY-NINE THOUSAND, NINE HUNDRED N</t>
  </si>
  <si>
    <t xml:space="preserve"> INVITATION TO BID 1. The University of the Philippines Manila through its Bids and Awards Committee I (BAC 1), invites suppliers/manufacturers/distributors/contractors to apply for eligibility and to bid for the hereunder project: Name of Project :  SUPPL</t>
  </si>
  <si>
    <t xml:space="preserve"> 1.	The Department of Trade and Industry, through the Integrated Natural Resources and Environmental Management Project – Livelihood Enhancement Support 2 (INREMP-LES 2) under Asian Development Bank (ADB) Funding intends to apply the sum of One Million Thr</t>
  </si>
  <si>
    <t xml:space="preserve"> INVITATION TO BID FOR THE REHABILITATION OF MULTI-PURPOSE HALL LUMBANG ESTE, CAJIDIOCAN, ROMBLON 1.	The Municipal Government of Cajidiocan, Romblon through the 20% MDF CY-2019 intends to apply the sum of FOUR HUNDRED NINETY-NINE THOUSAND, NINE HUNDRED NIN</t>
  </si>
  <si>
    <t xml:space="preserve"> INVITATION TO BID FOR THE CONSTRUCTION OF FMR-ILAYA MARIGONDON, CAJIDIOCAN, ROMBLON 1.	The Municipal Government of Cajidiocan, Romblon through the 20% MDF CY-2019 intends to apply the sum of SIX HUNDRED NINETY-NINE THOUSAND, NINE HUNDRED NINETY FIVE PESOS</t>
  </si>
  <si>
    <t xml:space="preserve"> Section I. Invitation to Re-Bid Republic of the Philippines Province of Romblon  Invitation to Bid for the  Construction of River Walk/Promenade, Poblacion, Madiwang, Romblon June 15, 2020 1.	The Province of Romblon through the ADP CY 2020 AIP Ref. Code 8</t>
  </si>
  <si>
    <t xml:space="preserve"> INVITATION TO BID FOR THE REHABILITATION OF MULTI-PURPOSE HALL LUMBANG WESTE, CAJIDIOCAN, ROMBLON 1.	The Municipal Government of Cajidiocan, Romblon through the 20% MDF CY-2019 intends to apply the sum of FOUR HUNDRED NINETY-NINE THOUSAND, NINE HUNDRED NI</t>
  </si>
  <si>
    <t xml:space="preserve"> INVITATION TO BID 1. The University of the Philippines Manila through its Bids and Awards Committee I (BAC 1), invites suppliers/manufacturers/distributors/contractors to apply for eligibility and to bid for the hereunder project: Name of Project : MANNIN</t>
  </si>
  <si>
    <t xml:space="preserve"> INVITATION TO BID FOR THE REHABILITATION OF MULTI-PURPOSE HALL, LICO, CAJIDIOCAN, ROMBLON 1.	The Municipal Government of Cajidiocan, Romblon through the 20% MDF CY-2019 intends to apply the sum of EIGHT HUNDRED NINETY-NINE THOUSAND, NINE HUNDRED NINETY SI</t>
  </si>
  <si>
    <t xml:space="preserve"> INVITATION TO BID 1. The University of the Philippines Manila through its Bids and Awards Committee I (BAC 1), invites suppliers/manufacturers/distributors/contractors to apply for eligibility and to bid for the hereunder project: Name of Project :  COMPR</t>
  </si>
  <si>
    <t xml:space="preserve"> Republic of the Philippines Region 10 – Northern Mindanao Province of Lanao del Norte MUNICIPALITY OF BALO-I Email: mlgubaloi.ldn@gmail.com Office of the Bids and Awards Committee Invitation to Bid 1.The Local Government Unit of Balo-i, Lanao del Norte, t</t>
  </si>
  <si>
    <t xml:space="preserve"> Name of Project : Furnishing of Construction Materials for Carol-an Dagyangaw SIP (CY 2019)  Location : Ayungon, Negros Oriental  Contract No. : NOSO-Goods-SIP-05-2020  Approved Budget for the Contract : 1,401,900.00  Estimated Contract Duration : 150 cal</t>
  </si>
  <si>
    <t xml:space="preserve"> Republic of the Philippines Province of Palawan Municipal Government of Quezon INVITATION FOR NEGOTIATED PROCUREMENT  PROCUREMENT OF OFFICE SUPPLIES FOR DIFFERENT OFFICES 1.	In view of three (3) failed public biddings, the Municipal Government of Quezon, </t>
  </si>
  <si>
    <t xml:space="preserve"> INVITATION TO BID FOR THE CONTRACT ID: 20-06-085 Contract Name: PROCUREMENT OF POLYETHYLENE NET / SCREEN Approved Budget for the Contract (ABC) : Php 1,674,792.00 Cost of Bidding Documents: Php 5,000.00 1. The Department of Health - ZAMBONAGA PENINSULA - </t>
  </si>
  <si>
    <t xml:space="preserve"> Supply and Delivery of 10pcs Water Resistant 2-way Radio with extra 2 pcs battery</t>
  </si>
  <si>
    <t xml:space="preserve"> Invitation to Bid for SUPPLY AND DELIVERY OF MATERIALS FOR REPAIR  OF AGRICULTURE OFFICE The Municipal Government of Looc, Romblon, through the AO NO 021-2020 Supplemental Appropriation intends to apply the sum of One Hundred Twenty-Two Thousand Two Hundr</t>
  </si>
  <si>
    <t xml:space="preserve"> Invitation to Bid for SUPPLY AND DELIVERY OF AIR CONDITIONER FOR SANGGUNIANG BAYAN OFFICE AND SESSION HALL The Municipal Government of Looc, Romblon, through the AO NO 021-2020 Supplemental Appropriation intends to apply the sum of One Hundred Fifty-Five </t>
  </si>
  <si>
    <t xml:space="preserve"> Invitation to Bid for  Retrofitting/Strengthening of Bridge 1 and Bridge 4, Caba and Naguilian, La Union 1.	The Provincial Government of La Union, through the Development Fund intends to apply the sum of ₱20,000,000.00 being the Approved Budget for the Co</t>
  </si>
  <si>
    <t xml:space="preserve"> Name of Project : Furnishing of Construction Materials for Carol-an Dagyangaw SIP  Location : Ayungon, Negros Oriental  Contract No. : NOSO-Goods-SIP-04-2020  Approved Budget for the Contract : P 1,183,800.00  Estimated Contract Duration : 150 calendar da</t>
  </si>
  <si>
    <t xml:space="preserve"> Invitation to Bid for SUPPLY AND DELIVERY OF MATERIALS FOR INSTALLATION  OF MUNICIPAL STREETLIGHTING SYSTEM The Municipal Government of Looc, Romblon, through the Appropriation Ordinance No. 018-2019 Regular intends to apply the sum of Four Hundred Fourte</t>
  </si>
  <si>
    <t xml:space="preserve"> 1 month CS and HP 41 cu.m. excavation 67.61 cu.m. concrete class A 2753.47 kgs reinforcing steel 1 ls form works and false works 663.52 l.m. pre-painted rib type roof 900 sq.m. painting works (metal surfaces) 25,535.05 kgs structural steel (roof framing)</t>
  </si>
  <si>
    <t xml:space="preserve"> .13 mo. CS and HP 133.50 sq.m. clearing and grubbing 106.80 cu.m. excavation 189.13 cu.m. stone masonry</t>
  </si>
  <si>
    <t xml:space="preserve"> 1 mo. CS and HP 101.17 sq.m. unglazed/glazed tiles (stainless letter) 58.76 sq.m. ceiling works 125.70 sq.m. structural steel (sidings cover and frame) 60 sq.m. painting works )metal surfaces/steel trusses)</t>
  </si>
  <si>
    <t xml:space="preserve"> Invitation to Bid for SUPPLY AND DELIVERY OF IT EQUIPMENT FOR RHU The Municipal Government of Looc, Romblon, through the AO NO 021-2020 Supplemental Appropriation intends to apply the sum of Seventy-Five Thousand Pesos Only (P 75,000.00) being the Approve</t>
  </si>
  <si>
    <t xml:space="preserve"> INVITATION TO BID  ACQUISITION OF FORENSIC TOOLS AND EQUIPMENT  FOR CYBERCRIME DIVISION (CCD)  ____________ (ITB No. 2020-06-0001) 1.	The National Bureau of Investigation (NBI), through the Trust Account - PAGCOR Fund intends to apply the sum of Three Mil</t>
  </si>
  <si>
    <t xml:space="preserve"> .40 mo. occupational safety and health prog 570 sq.m. scarifying of concrete pavement 114 cu.m. hauling of waste materials 760 sq.m. sub-grade preparation 76 cu.m. excavation 66.55 cu.m. aggregate base course 190 cu.m. stone masonry 760 sq.m. PCCP</t>
  </si>
  <si>
    <t xml:space="preserve"> Republic of the Philippines                                                                   PROVINCE OF SAMAR                                                                   2nd  INVITATION TO BID                                                       </t>
  </si>
  <si>
    <t xml:space="preserve"> 2028 bags 21-0-0 (ammonia)</t>
  </si>
  <si>
    <t xml:space="preserve"> Republic of the Philippines Central Visayas Region Province of Negros Oriental MUNICIPALITY OF SANTA CATALINA Bids and Awards Committee ITB NO.: 2020-07-02-016 INVITATION TO BID FOR THE SUPPLY AND DELIVERY OF OFFICE EQUIPMENT 1.	The Municipality of Santa </t>
  </si>
  <si>
    <t xml:space="preserve"> Republic of the Philippines                                                                   PROVINCE OF SAMAR                                                                    INVITATION TO BID                                                           </t>
  </si>
  <si>
    <t xml:space="preserve"> PURCHASE OF ONE(1) UNIT MINI-DUMP TRUCK SURPLUS ABC 850,000.00</t>
  </si>
  <si>
    <t xml:space="preserve"> Republic of the Philippines Central Visayas Region Province of Negros Oriental MUNICIPALITY OF SANTA CATALINA Bids and Awards Committee 	ITB NO.: 2020-07-02-015 INVITATION TO BID FOR THE SUPPLY AND DELIVERY OF MOTORCYCLE VEHICLES 1.	The Municipality of Sa</t>
  </si>
  <si>
    <t xml:space="preserve"> The Government of the Philippines (GOP) has received a loan from World Bank towards the cost of Philippine Rural Development Project, and it intends to apply part of the proceeds of this Loan to payments for the procurement of PRDP Vehicle Tires intended </t>
  </si>
  <si>
    <t xml:space="preserve"> Request for Expression of Interest (REOI)  for the  LIDAR DATA MAPPING AND PARCELLARY/ UTILITIES, FACILITIES/ TOPOGRAPHIC SURVEY FOR THE PROPOSED CONSTRUCTION OF MISSING LINK/NEW ROADS, SAN MANUEL (PANGASINAN)- ITOGON (BENGUET) ROAD 1.	The DPWH-Regional O</t>
  </si>
  <si>
    <t xml:space="preserve"> The San Jose City LGU, through its BAC, invites contractors registered and classified by the Philippine Contractors Accreditation Board(PCAB) to apply for eligibility and if found eligible, to bid for the hereunder contract: Name of Project: Concreting of</t>
  </si>
  <si>
    <t xml:space="preserve"> INVITATION TO BID FOR THE COMPLETION OF MULTI-PURPOSE HALL (CES), CAMBALO, CAJIDIOCAN, ROMBLON 1.	The Municipal Government of Cajidiocan, Romblon through the 20% MDF CY-2019 intends to apply the sum of FOUR HUNDRED NINETY-NINE THOUSAND, NINE HUNDRED NINET</t>
  </si>
  <si>
    <t xml:space="preserve"> Procurement ID/Contract I.D.: 20CN0149 Contract Name: Retrofitting/Strengthening of Permanent Bridge – Aguang Br. (B03015LZ) Contract Location: along Baler – Casiguran Rd (Baler – Dinadiawan) Brief Description: Bridge Construction Approved Budget for the </t>
  </si>
  <si>
    <t xml:space="preserve"> Request for Expression of Interest (REOI)  for the  LIDAR DATA MAPPING AND PARCELLARY/ UTILITIES, FACILITIES/ TOPOGRAPHIC SURVEY FOR THE PROPOSED CONSTRUCTION OF MISSING LINK/NEW ROADS, BOLINAO-DASOL COASTAL ROAD, PANGASINAN 1.	The DPWH-Regional Office I </t>
  </si>
  <si>
    <t xml:space="preserve"> INVITATION TO BID FOR THE Procurement of Various  Materials, Fuel and Lubricant for the Implementation of Road Rehabilitation Program  1.	The Municipality of Alabel, through the Annual Budget for CY 2020  intends to apply the sum of: Lot No. 	Description	</t>
  </si>
  <si>
    <t xml:space="preserve"> The Government of the Philippines (GOP) has received a loan from World Bank towards the cost of Philippine Rural Development Project, and it intends to apply part of the proceeds of this Loan to payments for the procurement of labor, materials and spare p</t>
  </si>
  <si>
    <t xml:space="preserve"> INVITATION TO BID 2020-CS-03 The Department of Public Works and Highways QUEZON III DISTRICT ENGINEERING OFFICE, Catanauan, Quezon, through the FY2020 PDE FUND intends to apply the amount of ₱ ₱2,500,000.00  being the Approved Budget for the Contract (ABC</t>
  </si>
  <si>
    <t xml:space="preserve"> 1.	The PhilHealth Regional Office VIII, through the Corporate Budget for COB 2020  intends to apply the sum of One Million Pesos (P1,000,000.00) being the Approved Budget for the Contract (ABC) to payments under the contract for PROCUREMENT OF GENUINE HP </t>
  </si>
  <si>
    <t xml:space="preserve"> The San Jose City LGU, through its BAC, invites contractors registered and classified by the Philippine Contractors Accreditation Board(PCAB) to apply for eligibility and if found eligible, to bid for the hereunder contract: Name of Project: Improvement o</t>
  </si>
  <si>
    <t xml:space="preserve"> INVITATION TO BID FOR  COMPRESSED AIR (RE-BID) ITB No. 2020-MS-101 The Jose R. Reyes Memorial Medical Center, through the General Appropriations Act 2020 intends to apply the sum of One Million Seven Hundred Nineteen Thousand Six Hundred  Twenty Pesos (Ph</t>
  </si>
  <si>
    <t xml:space="preserve"> Republic of the Philippines PROVINCE OF SAMAR Catbalogan -o0o- REQUEST FOR EXPRESSION OF INTEREST FOR THE PROCUREMENT OF INDEPENDENT CONSULTANT FOR THE CONSULTANCY SERVICES FOR THE FORMULATION OF MASTER DEVELOPMENT PLANS FOR BRGY. MERCEDES RECLAMATION PRO</t>
  </si>
  <si>
    <t xml:space="preserve"> INVITATION TO BID FOR THE CONSTRUCTION FOR COCONUT PROCESSING CENTER FOR LIVELIHOOD PHASE II, LUMBANG ESTE, CAJIDIOCAN, ROMBLON 1.	The Municipal Government of Cajidiocan, Romblon through the 20% MDF CY-2019 intends to apply the sum of SIX HUNDRED NINETY-N</t>
  </si>
  <si>
    <t xml:space="preserve"> Construction of 1 unit Rainwater Collector System</t>
  </si>
  <si>
    <t xml:space="preserve"> 20 sets Solar Lamp 60w 38mm dia GI s40 Bracket 50mm dia GI s40 Column With Anchorae Bar Stiffener And Concrete Footing Padestal @0.60m depth Labor included</t>
  </si>
  <si>
    <t xml:space="preserve"> Section I. Invitation to Bid Republic of the Philippines PROVINCE OF CAGAYAN Municipality of Peñablanca PROVINCIAL BIDS AND AWARDS COMMITTEE INVITATION TO BID FOR   Supply and Delivery of Two (2) Units Brand New Mini Bus, 4x2 M/T Diesel 1.	The Provincial </t>
  </si>
  <si>
    <t xml:space="preserve"> Section I. Invitation to Bid Republic of the Philippines PROVINCE OF CAGAYAN Municipality of Peñablanca PROVINCIAL BIDS AND AWARDS COMMITTEE INVITATION TO BID FOR  Supply, Delivery and Installation of 4 Units High Volume Low Speed Fan 1.	The Provincial Go</t>
  </si>
  <si>
    <t xml:space="preserve"> 184 LI</t>
  </si>
  <si>
    <t xml:space="preserve"> Supply and Delivery of Office Equipment &amp; I.T. Equipment.</t>
  </si>
  <si>
    <t xml:space="preserve"> "ROBOTICS KIT (complete with core and expansion sets) Specifications: (or equivalent) Display: 178×128 pixel Monochrome LCD Main Processor: TI Sitara AM1808 (ARM926EJ-S core) @300 MHz Main Memory: 64 MB RAM 16 MB Flash microSDHC Slot USB Host Port  WiFi O</t>
  </si>
  <si>
    <t xml:space="preserve"> INFRASTRUCTURE WORKS FOR THE CONSTRUCTION OF LINE CANAL AT BARANGAY CALANGO, ZAMBOANGUITA, NEGROS ORIENTAL</t>
  </si>
  <si>
    <t xml:space="preserve"> Construction of Multi Purpose Building 		 Cost of Bidding Documents: Php 25,000.00					 Source of Funds: GAA FY 2020 The significant times and deadlines of procurement activities are shown below: 1. Issuance of Bidding Documents	Deadline: June 15 – 29, 20</t>
  </si>
  <si>
    <t xml:space="preserve"> Section I. Invitation to Bid Republic of the Philippines PROVINCE OF CAGAYAN Municipality of Peñablanca PROVINCIAL BIDS AND AWARDS COMMITTEE INVITATION TO BID FOR  Supply and Delivery of One (1) Unit Brand New Big Bus, 6 Wheeler, Completely Build Unit (CB</t>
  </si>
  <si>
    <t xml:space="preserve"> Concreting of 200 meters length and 370 meters concrete pathway, 2 meters in width, 0.15 meter in thickness "class A".</t>
  </si>
  <si>
    <t xml:space="preserve"> June 11, 2020 1.	The Provincial Government of Davao del Sur, through its Special Bids and Awards Committee (SBAC), invites all potential bidders/contractors to apply to bid for the following project. Bids submitted in excess of the ABC shall be automatica</t>
  </si>
  <si>
    <t xml:space="preserve"> 20CSHN09 -Appraisal Services for Road-Right-of-Way Acquisition – Road Widening - Secondary Roads - Consolacion-Tayud-Liloan  Road - Chainage 1920 - Chainage 2823, Consolacion, Cebu Scope of Work		:	Appraisal Services</t>
  </si>
  <si>
    <t xml:space="preserve"> Purchase of 165 pails paint and 1,000 sacks cement.</t>
  </si>
  <si>
    <t xml:space="preserve"> Package I	 Abra        1. Bucay BHS	              1,980,000.00        2. San Miguel BHS	      500,000.00        3. Talogtog BHS	              500,000.00  Package II	 Abra       1. Luba RHU	                       1,000,000.00       2. Manabo RHU	          </t>
  </si>
  <si>
    <t xml:space="preserve"> Concreting of 320 meters length; 5 meters in width; 0.20 meters in thickness with one (1) line 910 mm dia. RCPC class "A" concrete mixtures.</t>
  </si>
  <si>
    <t xml:space="preserve"> Available upon request xxxxxxxxxxxxxxxxxxxxx</t>
  </si>
  <si>
    <t xml:space="preserve"> Republic of the Philippines PROVINCE OF NORTHERN SAMAR BIDS AND AWARDS COMMITTEE Catarman Purchase of 6 units Multicab and 3 Units Prisoner’s Van Province of Northern Samar NS-06-11-20 1.	The Provincial Government of Northern Samar, through the SP Ordinan</t>
  </si>
  <si>
    <t xml:space="preserve"> SOIL/ GEOTECHNICAL INVESTIGATION FOR THE PROPOSED CONSTRUCTION OF VARIOUS FLOOD CONTROL PROJECTS AND PROPOSED CONSTRUCTION OF BUILDING PROJECT WITHIN 5TH AND 6TH DISTRICT OF PANGASINAN</t>
  </si>
  <si>
    <t xml:space="preserve"> Republic of the Philippines CITY OF BAIS BIDS AND AWARDS COMMITTEE INVITATION TO APPLY FOR ELIGIBILITY AND TO BID 	The City Government of Bais invites interested bidders to apply for eligibility and to bid for Distribution to patients in various barangays</t>
  </si>
  <si>
    <t xml:space="preserve"> Republic of the Philippines Province of Ilocos Sur Municipality of Magsingal INVITATION TO BID FOR THE CONSTRUCTION OF WATER RESERVOIR OF BRGY. MACATCATUD, MAGSINGAL, I. SUR. 1. The Brgy. Macatcatud Magsingal, I. Sur intend to apple the sum of Two Hundred</t>
  </si>
  <si>
    <t xml:space="preserve"> Purchase of 20 units seafood stall.</t>
  </si>
  <si>
    <t xml:space="preserve"> Invitation to Bid for Construction of Multi-Purpose Pavement, Brgy.Lim-ao, Kananga, Leyte 1.	The Barangay Government of Lim-ao, Kananga, Leyte, through its BIDS AND AWARDS COMMITTEE (BAC),through the DOE ER 1-94 Fund intends to apply the sum of Four Milli</t>
  </si>
  <si>
    <t xml:space="preserve"> INVITATION TO BID The City of Bayawan, through its Bids and Awards Committee (BAC), invites suppliers/manufacturers/distributors/contractors to bid for the hereunder projects: Lot No. I		Integrated Water Supply (Pipes)		 			 1	2000		160mmØ x 6m UPVC Pipe,</t>
  </si>
  <si>
    <t xml:space="preserve"> Republic of the Philippines BOHOL ISLAND STATE UNIVERSITY Main Campus, Tagbilaran City INVITATION TO BID FOR PR NO. 2020-02-0192-MAIN-SUPPLY AND DELIVERY OF AUDIO AND VISUAL EQUIPMENT (TV SETS) FOR INSTRUCTIONAL PURPOSES OF CTAS 1.	The Bohol Island State </t>
  </si>
  <si>
    <t xml:space="preserve"> Republic of the Philippines BOHOL ISLAND STATE UNIVERSITY Main Campus, Tagbilaran City INVITATION TO BID FOR PR NO. 2020-02-0293-MAIN-SUPPLY, DELIVERY AND INSTALLATION OF LABORATORY EQUIPMENT FOR GARMENTS TECHNOLOGY INSTRUCTION FOR THE COLLEGE OF TEACHER </t>
  </si>
  <si>
    <t xml:space="preserve"> Invitation to Bid for  INFRA 2K20-46 REHABILITATION OF POB. LAKEWOOD – BAKING – DAGUM ROAD Lakewood, Zamboanga del Sur June 10, 2020 1.	The Provincial Government of Zamboanga del Sur, through the CONTINUING CAPITAL OUTLAY CY 2019 (SUPPLEMENTAL BUDGET #4 C</t>
  </si>
  <si>
    <t xml:space="preserve"> Concreting of 160 meters length; 5 meters in width; 0.20 meters in thickness class "A" concrete mixtures.</t>
  </si>
  <si>
    <t xml:space="preserve"> DENR-PENRO Davao de Oro Province INVITATION TO BID FOR THE PURCHASE OF ONE (1) 4X4 PICK-UP VEHICLE; 1.	The DENR-PENRO Davao de Oro, through the Department of Budget &amp; Management (GAA) intends to apply the sum of One Million Five Hundred Thousand Pesos P (</t>
  </si>
  <si>
    <t xml:space="preserve"> PR No. 20030903 – Supply and Delivery of Two (2) unitsTruck Dropside 6 Wheeler 1.	The Provincial Government of Camarines Norte, through the GF-Capital Outlay CY 2020intends to apply the sum of Three Million Six Hundred Thousand Pesos (P3,600,000.00) being</t>
  </si>
  <si>
    <t xml:space="preserve"> INVITATION TO BID Bid No. B-82-2020 (*REBIDDING) 1.	The Provincial Government of Negros Oriental now invites bids for the rebidding of the following requirements, viz: 	Project Name:	Source of Fund:	ABC: Project Name 1	Four (4) Lots Construction Materials</t>
  </si>
  <si>
    <t xml:space="preserve"> I.	INTRODUCTION: The Philippine Health Insurance Corporation (PHIC), a Government Owned and Controlled Corporation, formed by virtue of Republic No. 7875, also known as the National Health Insurance Act of 1995, an act instituting a National Health Insura</t>
  </si>
  <si>
    <t xml:space="preserve"> A.	OVERVIEW The Philippine Health Insurance Corporation is providing  this Terms of Reference (T.O.R) explicitly stipulating the space and technical requirements relative to the conduct of NEGOTIATED BIDDING FOR THE LEASE OF OFFICE SPACE FOR PHILHEALTH RE</t>
  </si>
  <si>
    <t xml:space="preserve"> (Section I) Republic of the Philippines Department of Health CENTER FOR HEALTH DEVELOPMENT MIMAROPA Q.M.M.C. Compound, Project 4, Quezon City INVITATION TO BID  RE – BIDDING FOR THE COMPLETION OF ROXAS RURAL HEALTH UNIT (TB DOTS AND BIRTHING FACILITY) &amp; S</t>
  </si>
  <si>
    <t xml:space="preserve"> Invitation to Bid for INFRA 2K20-41 REHAB. &amp; IMPROVEMENT OF ZAMBO. DEL SUR PROVINCIAL COLLEGE June 10, 2020 1.	The Provincial Government of Zamboanga del Sur, through the Supplemental Budget No. 1 CY 2020 and Capital Outlay CY 2020 intends to apply the su</t>
  </si>
  <si>
    <t xml:space="preserve"> Invitation to Bid for  INFRA 2K20-39 CONSTRUCTION OF DAGUM-MATALANG ROAD Lakewood, Zamboanga del Sur June 10, 2020 1.	The Provincial Government of Zamboanga del Sur, through the Capital Outlay CY 2020 intends to apply the sum of Nineteen Million Five Hund</t>
  </si>
  <si>
    <t xml:space="preserve"> Republic of the Philippines BOHOL ISLAND STATE UNIVERSITY Main Campus, Tagbilaran City INVITATION TO BID FOR PR NO. 2020-02-0384-MAIN-SUPPLY AND DELIVERY OF CHEQUE PAPER FOR REGISTRAR’S OFFICE 1.	The Bohol Island State University – Main Campus, Tagbilaran</t>
  </si>
  <si>
    <t xml:space="preserve"> Republic of the Philippines Province of Lanao del Norte Municipality of Tubod OFFICE OF THE BIDS AND AWARDS COMMITTEE INVITATION TO BID CONSTRUCTION AND INSTALLATION OF MUNICIPAL SOLAR STREET LIGHTING Poblacion, Tubod, Lanao del Norte  (ITB-2020-JDL-004) </t>
  </si>
  <si>
    <t xml:space="preserve"> A.	OVERVIEW The Philippine Health Insurance Corporation is issuing this Terms of Reference (T.O.R) expressly providing for the technical requirements relative to the conduct of NEGOTIATED BIDDING FOR THE LEASE OF OFFICE SPACE FOR PHILHEALTH REGIONAL OFFIC</t>
  </si>
  <si>
    <t xml:space="preserve"> Concreting of 130 meters length; 2 meters in width; 0.15 meters in thickness class "A" concrete mixtures.</t>
  </si>
  <si>
    <t xml:space="preserve"> Concreting of 250 meters length; 3.6 meters in width; 0.15 meters in thickness class "A" concrete mixtures.</t>
  </si>
  <si>
    <t xml:space="preserve"> Invitation to Bid for Improvement of Water System (Phase 2), Brgy.Lim-ao, Kananga, Leyte 1.	The Barangay Government of Lim-ao, Kananga, Leyte, through its BIDS AND AWARDS COMMITTEE (BAC),through the DOE ER 1-94 Fund intends to apply the sum of Six Million</t>
  </si>
  <si>
    <t xml:space="preserve"> 1.	The Dangerous Drugs Board, through the General Appropriation Act of 2020  intends to apply the sum of Four Million Pesos (Php 4,000,000.00) being the Approved Budget for the Contract (ABC) to payments under the contract for the Development and Deployme</t>
  </si>
  <si>
    <t xml:space="preserve"> The Bureau of Fisheries and Aquatic Resources (BFAR) of the Department of Agriculture, through the General Appropriations Act for 2020 intends to apply the sum of THIRTY TWO MILLION FIVE HUNDRED SEVENTY SEVEN EIGHT HUNDRED SEVENTY TWO AND 70/100 (Php 32,5</t>
  </si>
  <si>
    <t xml:space="preserve"> Request for Expression of Interest (REOI)  for the  CONSULTANCY SERVICES FOR THE CONDUCT OF FEASIBILITY STUDY OF PROPOSED CONSTRUCTION OF MISSING LINKS AND NEW ROADS NAGUILIAN-BAGULIN (LA UNION) - KAPANGAN (BENGUET) ROAD (REGION I) 1.	The DPWH-Regional Of</t>
  </si>
  <si>
    <t xml:space="preserve"> 303	cases	Powdered Milk 700kg x 12 125	bags.	Biscuit Cracker 24g x 15 3622	kls.	Brown Sugar (1/2 kl)</t>
  </si>
  <si>
    <t xml:space="preserve"> Republic of the Philippines Local Government Unit of General Santos City BIDS AND AWARDS COMMITTEE City Hall, General Santos City INVITATION TO APPLY FOR ELIGIBILITY AND TO BID FOR 20CW-GSC-022 ESTABLISHMENT OF ORGANIC TRADING POST CITY OF GENERAL SANTOS </t>
  </si>
  <si>
    <t xml:space="preserve"> Concreting of 210 meters length; 5 meters in width; 0.15 meters in thickness class "A" concrete mixtures.</t>
  </si>
  <si>
    <t xml:space="preserve"> REQUEST FOR EXPRESSION OF INTEREST (REI) FOR CONDUCT OF RELOCATION SURVEY OF ROAD-RIGHT-OF-WAY (RROW) OF MUNICIPALITIES OF KINOGUITAN, BALINGOAN AND TALISAYAN, ALL BARANGAYS ALONG BUTUAN-CAGAYAN DE ORO-ILIGAN ROAD (BCIR) WITHIN MUNICIPALITIES OF KINOGUITA</t>
  </si>
  <si>
    <t xml:space="preserve"> Section I.  REQUEST FOR EXPRESSION OF INTEREST CONSULTING SERVICES  FOR THE PREPARATION OF DETAILED  ARCHITECTURAL AND ENGINEERING DESIGN FOR THE PROPOSED CONSTRUCTION OF A MULTI-PURPOSE BUILDING  (BARANGAY HALL AND FIRE AND RESCUE BRIGADE HEADQUARTERS)  </t>
  </si>
  <si>
    <t xml:space="preserve"> National Power Corporation INVITATION TO BID PUBLIC BIDDING 2020-0114 1.	The NATIONAL POWER CORPORATION (NPC), through       its        approved       Corporate Budget of CY 2020 intends to apply   the   sum   of (Please see schedule below) being the Appr</t>
  </si>
  <si>
    <t xml:space="preserve"> INVITATION TO BID  1.	The National Printing Office, through the Revolving Fund 2020 intends to apply the sum of ₱2,000,000.00 being the Approved Budget for the Contract (ABC) to payment under the contract for the Procurement of Supply &amp; Delivery of White </t>
  </si>
  <si>
    <t xml:space="preserve"> REQUEST FOR QUOTATION 				 							Date:        June 1, 2020 							RFQ No.    DGPD20-003 							PR NO.      PD2003-12-084     To All Eligible Suppliers  Please quote your lowest price inclusive of VAT on the item/s listed below, subject to the Terms and C</t>
  </si>
  <si>
    <t xml:space="preserve"> Republic of the Philippines                   Department of Health	       CENTRAL OFFICE BIDS AND AWARDS COMMITTEE  INVITATION TO BID FOR THE  PROCUREMENT OF EXTERNAL HARD DISK IB NO. 2020-206 1.	The Department of Health (DOH), through the General Appropr</t>
  </si>
  <si>
    <t xml:space="preserve"> DESIGN AND BUILD FOR THE CONSTRUCTION OF 2-STOREY PASSENGER TERMINAL BUILDING AT MALATAPAY, BARANGAY MALUAY, ZAMBOANGUITA, NEGROS ORIENTAL</t>
  </si>
  <si>
    <t xml:space="preserve"> 2.00 units Project Billboard 506.87 cu.m Surplus Common Excavation 3,960.00 sq.m  Subgrade Preparation 740.03 cu.m Aggregate Sub Base Course  2,475.00 Portland Cement Concrete Pavement 87.00  cu.m Stone Masonry (Grouted Riprap) Equipment Needed: Backhoe,R</t>
  </si>
  <si>
    <t xml:space="preserve"> Contract ID: 20-DO-0083 Contract Name: Repair/Maintenance of Flood Control &amp; Drainage Structures along Manila East Road, Halayhayin Bridge, Pililla, Rizal Contract Location	: Pililla, Rizal Brief Description	: Repair/Maintenance of Flood Control &amp; Drainag</t>
  </si>
  <si>
    <t xml:space="preserve"> Diesel Fuel etc. NOTE:To all suppliers bid documents and BAC Resolution 2020-029 are available at  BAC Office and LGU website.</t>
  </si>
  <si>
    <t xml:space="preserve"> SEE ATTACHED INVITATION TO BID, CHECKLISTS, BIDDING DOCUMENTS, STANDARD BIDDING FORMS AND PLANS</t>
  </si>
  <si>
    <t xml:space="preserve"> 1.	The Davao del Norte State College through the Internally Generated Income, Tuition Fee  intends to apply the sum of Five Million Pesos Only (Php 5,000,000.00) being the Approved Budget for the Contract (ABC) to payment under the contract for the Purcha</t>
  </si>
  <si>
    <t xml:space="preserve"> INVITATION TO BID FOR THE Supply, Delivery, Installation and Commissioning of Air-Conditioning System for the Bureau of Quarantine PUBLIC BIDDING NO. 20-020-5 FUNDING SOURCE: General Appropriations Act of 2017 1.	The PROCUREMENT SERVICE invites PhilGEPS r</t>
  </si>
  <si>
    <t xml:space="preserve"> Invitation to Bid for  INFRA 2K20-50 CONCRETING OF ROAD FROM JOSEFINA TO BALINTAWAK, MARGOSATUBIG (PHASE I) Margosatubig, Zamboanga del Sur June 10, 2020 1.	The Provincial Government of Zamboanga del Sur, through the 20% EDF CY 2020 intends to apply the s</t>
  </si>
  <si>
    <t xml:space="preserve"> 1.	The Development Bank of the Philippines (DBP), through the Corporate Budget for CY 2020 intends to apply the sum of Two Million Five Hundred Thousand Pesos (Php2,500,000.00) inclusive of taxes/VAT being the Approved Budget for the Contract (ABC) to pay</t>
  </si>
  <si>
    <t xml:space="preserve"> Invitation to Bid For   Supply and Delivery of 11,360 bundles Clear Plastic Jacket for Savings, Signature Card  and 10,400 reams Whitewove Paper Mimeo 1.	The LAND BANK OF THE PHILIPPINES (LANDBANK), through its Corporate Budget for the contract approved b</t>
  </si>
  <si>
    <t xml:space="preserve"> INVITATION TO BID FOR PROCUREMENT OF DENTAL DIGITAL PANORAMIC X-RAY WITH COMPLETE ACCESORRIES AND INSTALLATION IB No. 2020-06-29 (12) 1.	The Adela Serra Ty Memorial Medical Center, through HFEP CY 2019  intends to apply the sum of Two Million Pesos Only (</t>
  </si>
  <si>
    <t xml:space="preserve"> I N V I T A T I O N   T O   B I D  The Visayas State University (VSU) through its Bids and Awards Committee (BAC) invites contractors to bid for the hereunder project: Name of Project 	:  Completion of Covered Court of VSU Villaba (INFRA-20-06) Location		</t>
  </si>
  <si>
    <t xml:space="preserve"> • 	15 units Evaporation Kettle for coco sap cooking/processing         Brand New kettle •	Double-jacketed closed evaporation kettle using 3mm thick stainless steel plate •	One Hundred (100) liters capacity •	Type 304 with one (1) vacuum pump driven by 200</t>
  </si>
  <si>
    <t xml:space="preserve"> The PHILIPPINE SCIENCE HIGH SCHOOL SOUTHERN MINDANAO CAMPUS through the General Appropriations Act (GAA) of 2020 intends to apply the sum of Two Million Three Hundred Seventy Five Thousand (P2,375,000.00) Pesos being the Approved Budget for the Contract (</t>
  </si>
  <si>
    <t xml:space="preserve"> Section I. Invitation to Bid Republic of the Philippines PROVINCE OF CAGAYAN Municipality of Peñablanca PROVINCIAL BIDS AND AWARDS COMMITTEE INVITATION TO BID FOR  Supply and Delivery of 40 Units Brand New Customized Police Patrol Vehicle 1.	The Provincia</t>
  </si>
  <si>
    <t xml:space="preserve"> Request for Expression of Interest (REOI) for the CONSULTANCY SERVICES FOR THE CONDUCT OF FEASIBILITY STUDY OF PROPOSED CONSTRUCTION OF MISSING LINKS AND NEW ROADS CERVANTES (ILOCOS SUR) - BESAO-SAGADA (MT. PROVINCE) ROAD VIA LAYLAYA (REGION I) 1. The DPW</t>
  </si>
  <si>
    <t xml:space="preserve"> I N V I T A T I O N  T O  B I D The Manila International Airport Authority, through its Bids and Awards Committee (BAC), invites interested parties to apply for eligibility and to bid for the hereunder service contract: 	 Name of Contract       :  	Purcha</t>
  </si>
  <si>
    <t xml:space="preserve"> Republic of the Philippines Department of Health	 CENTRAL OFFICE BIDS AND AWARDS COMMITTEE  INVITATION TO BID FOR THE  HIRING OF A SERVICE PROVIDER PARTICULARLY MEDIA AGENCY TO DEVELOP A MEDIA PLAN AND PROCURE MEDIA PLACEMENTS TO AMPLIFY THE DOH COVID-19 </t>
  </si>
  <si>
    <t xml:space="preserve"> Republic of the Philippines Province of Kalinga TABUK CITY OHS COMMITTEE ON BIDS AND AWARDS INVITATION TO BID FOR THE PROCUREMENT OF DRUGS AND MEDICINES 1. The PROVINCIAL GOVERNMENT OF KALINGA, through the General Fund Annual Budget 2020 Intends to apply </t>
  </si>
  <si>
    <t xml:space="preserve"> 1.	The Human Rights Violations Victims’ Memorial Commission, through the 2019 General Appropriations Act, intends to apply the sum of One Million Four-Hundred Thirty Thousand Pesos Only (Php 1,430,000.00)) being the Approved Budget for the Contract (ABC) </t>
  </si>
  <si>
    <t xml:space="preserve"> INVITATION TO BID FOR THE    CONTRACT ID: 19-10-208 REBID  Contract Name: SUPPLY, DELIVERY, TESTING AND COMMISSIONING OF BRAND NEW AMBULANCE (TYPE I)   Approved Budget for the Contract (ABC) : Php  82,500,000.00       Cost of Bidding Documents: Php 50,000</t>
  </si>
  <si>
    <t xml:space="preserve"> One (1) Lot Preventive Maintenance of Integrated Electronic Security System for BSP Head Office 2020, as per BSP Terms of Reference and Service Level Agreement Contract Duration: Duration shall start from the date stipulated in the Notice to Proceed to be</t>
  </si>
  <si>
    <t xml:space="preserve"> Submission of Quotation on a sealed envelope submit it to  UPLB BAC Secretariat SPMO Rambutan, Road. Telephone No. (049) 544-0382 or email at bacsec.rq@gmail.com</t>
  </si>
  <si>
    <t xml:space="preserve"> Concreting of Alley Road</t>
  </si>
  <si>
    <t xml:space="preserve"> Invitation to Bid 2020-004 SUPPLY AND DELIVERY OF ONE HUNDRED FIFTY (150) UNITS SMART TELEVISION The Government of the Philippines, through the Department of Education, Division of Surigao del Sur, intends to apply the sum of Two Million Two Hundred Forty</t>
  </si>
  <si>
    <t xml:space="preserve"> Department of Agriculture		 BUREAU OF PLANT INDUSTRY 692 San Andres Street Malate, Manila, Philippines E-mail Address: bpibac@yahoo.com Tel. No.: (02) 8526-7859, (02) 8691-0736 | Website: bpi.da.gov.ph SOLICITATION NO.: ITB PR NO. 0691-20BAC  INVITATION T</t>
  </si>
  <si>
    <t xml:space="preserve"> National Power Corporation INVITATION TO BID PUBLIC BIDDING 2020-0094 1.	National Power Corporation (NPC) has received financing from the European Union administered by World Bank toward the cost of the Access to Sustainable Energy Project (ASEP), Philipp</t>
  </si>
  <si>
    <t xml:space="preserve"> Invitation to Bid 2020-005 The Government of the Philippines, through the Department of Education, Division of Surigao del Sur, intends to apply the sum of Two Million One Hundred Sixty Four Thousand (Php 2,164,000.00) being the Approved Budget for the Co</t>
  </si>
  <si>
    <t xml:space="preserve"> Republic of the Philippines                   Department of Health	       CENTRAL OFFICE BIDS AND AWARDS COMMITTEE  INVITATION TO BID FOR  PROCUREMENT FOR THE EXPANSION OF EXISTING SOLID STATE DRIVE (SSD) IB NO. 2020-222 1.	The Department of Health (DOH),</t>
  </si>
  <si>
    <t xml:space="preserve"> SEE ATTACHED BIDDING DOCS, PLANS AND CHECKLIST</t>
  </si>
  <si>
    <t xml:space="preserve"> Republic of the Philippines PROVINCE OF SAMAR Catbalogan -o0o- REQUEST FOR EXPRESSION OF INTEREST FOR THE PROCUREMENT OF INDEPENDENT CONSULTANT FOR THE CONSULTANCY SERVICES FOR SAMAR URBAN DEVELOPMENT PLAN, CATBALOGAN, CITY 1.	The Provincial Government of</t>
  </si>
  <si>
    <t xml:space="preserve"> INVITATION TO BID FOR SUPPLY AND DELIVERY OF VARIOUS WATER SERVICE CONNECTION MATERIALS FOR 2ND QUARTER PROCUREMENT OF CY 2020 1.	The METRO KALIBO WATER DISTRICT, through the Corporate Budget for the contract approved by the governing Boards for the year </t>
  </si>
  <si>
    <t xml:space="preserve"> Concreting of Alley RoadC</t>
  </si>
  <si>
    <t xml:space="preserve"> Republic of the Philippines Department of Health Cagayan Valley Center for Health Development BATANES GENERAL HOSPITAL Basco, Batanes E-mail Address: bataneshospital@gmail.com INVITATION TO BID ITB NO. 2020-05 Procurement of Calibration Services 1.	The De</t>
  </si>
  <si>
    <t xml:space="preserve"> Lot 1  LCD Projector 5 Sets • 3LCD Technology, RGB liquid crystal shutter • White and Colour Brightness at 3,300lm • SVGA resolution, 800 x 600, 4:3 • High contrast ratio of 15,000:1 • Horizontal keystone slider • 10,000 hours lamp life in eco-mode • Opti</t>
  </si>
  <si>
    <t xml:space="preserve"> SUPPLY AND INSTALLATION OF CCTV CAMERA IN ADMIN AND ACADEMIC BUILDING - Order of payment for Bid Docs will be available at GSD-Head Office @ 10th Floor Makati City Hall Bldg. 2.  Look for Mr. Reden Villanueva. - A  complete set of Bidding Documents will b</t>
  </si>
  <si>
    <t xml:space="preserve"> Supply and Delivery of 60 heads Female Carabao: Specifications: 1 Must not be younger than 18 month not older than 200 kilograms 2. Must be apparently healthy and free from physical deformities 3. Vaccinated against hemosep and have been dewormed 4.Subjec</t>
  </si>
  <si>
    <t xml:space="preserve"> 20 W Solar Panel 5w LED Buld 10A Solar Charge Controller, Weatherproof, Dush Till Dawn 16ah Solar Battery  2"Post with Padestal 6" AMCO Globe</t>
  </si>
  <si>
    <t xml:space="preserve"> Department of Agriculture		 BUREAU OF PLANT INDUSTRY 692 San Andres Street Malate, Manila, Philippines E-mail Address: bpibac@yahoo.com Tel. No.: (02) 8526-7859, (02) 8691-0736 | Website: bpi.da.gov.ph SOLICITATION NO.: ITB PR NO. 0694-20BAC  INVITATION T</t>
  </si>
  <si>
    <t xml:space="preserve"> Piglets Hog Starter Hog Grower Hog Finisher Dewormer (Injectable Ivermection, 10 ml/bottle -3 ml/cycle for 2 heads (.3 bottle/cycle Vitamin B. Complaex (Injectable BEXAN SP20 ml/bottle)-8 ml/cycle for 2 heads (08 bottle/cycle)</t>
  </si>
  <si>
    <t xml:space="preserve"> PROPOSED CONSTRUCTION OF COLUMBARIUM COMPLEX LOCATED AT KALAYAAN AVENUE CORNER N. GARCIA STREET, BARANGAY VALENZUELA, MAKATI CITY - Order of payment for Bid Docs will be available at GSD-Head Office @ 10th Floor Makati City Hall Bldg. 2.  Look for Mr. Red</t>
  </si>
  <si>
    <t xml:space="preserve"> I N V I T A T I O N  T O  B I D The Manila International Airport Authority, through its Bids and Awards Committee (BAC), invites interested parties to apply for eligibility and to bid for the hereunder service contract: 	 Name of Contract       :  	Supply</t>
  </si>
  <si>
    <t xml:space="preserve"> Republic of the Philippines Province of Nueva Vizcaya BIDS AND AWARDS COMMITTEE (BAC-Goods) BAC OFFICE, Provincial Capitol, Bayombong, Nueva Vizcaya 	 REQUEST FOR QUOTATION (RFQ) For the Procurement of Construction Materials   For the Provincial Waterwork</t>
  </si>
  <si>
    <t xml:space="preserve"> tables and chairs, secretary at session hall</t>
  </si>
  <si>
    <t xml:space="preserve"> The DPWH Nueva Ecija 1st DEO, through its Bids and Awards Committee (BAC), invites contractors to submit bids for the following contract:			 				 	20CE0208: Replacement of Permanent Weak Bridges Amawinan Br. (B01981LZ) along Daang Maharlika (LZ)			 				 	</t>
  </si>
  <si>
    <t xml:space="preserve"> INVITATION TO RE-BID FOR THE  SUPPLY, DELIVERY, AND INSTALLATION OF FIRE SUPRESSION SYSTEM PR No. 27388-001 1.	The Metropolitan Cebu Water District, through the Corporate Budget of 2020 intends to apply the sum of: PR No.	Description	Qty.	Unit Price	Appro</t>
  </si>
  <si>
    <t xml:space="preserve"> The DPWH Nueva Ecija 1st DEO, through its Bids and Awards Committee (BAC), invites contractors to submit bids for the following contract:			 				 	20CE0207: Widening of Permanent Bridges Manicla Br. (B01968LZ) along Daang Maharlika (LZ)			 				 				 	CONT</t>
  </si>
  <si>
    <t xml:space="preserve"> Republic of the Philippines PROVINCE OF PAMPANGA City of San Fernando INVITATION TO BID NO. 2020-17 MEDIC-BAC INVITATION TO BID FOR PURCHASE REQUEST NO. 20-0843 The Provincial Government of Pampanga (“Province”) intends to apply the following sums from th</t>
  </si>
  <si>
    <t xml:space="preserve"> Issuance of Bid Documents Starts: June 3, 2020 Cost of Bid Document: Php 1,000.00 Venue of Dropping and Opening Bids: BAC Conference Room, Leyte SMED Center, Provincial Capitol Grounds, Tacloban City</t>
  </si>
  <si>
    <t xml:space="preserve"> Republic of the Philippines PROVINCE OF QUIRINO Cabarroguis -oOo- BIDS AND AWARDS COMMITTEE INVITATION TO BID FOR  Rehabilitation of Diffun – Liwayway - Sitio Pallutan Road Contract No. PB-CW-2020-018 							June 4, 2020 1.	The Bids and Awards Committee (</t>
  </si>
  <si>
    <t xml:space="preserve"> Republic of the Philippines PROVINCE OF QUIRINO Cabarroguis -oOo- BIDS AND AWARDS COMMITTEE INVITATION TO BID FOR  Rehabilitation of Maria Clara-San Isidro Road Contract No. PB-CW-2020-016 							June 4, 2020 1.	The Bids and Awards Committee (BAC) of the </t>
  </si>
  <si>
    <t xml:space="preserve"> Department of Agriculture		 BUREAU OF PLANT INDUSTRY 692 San Andres Street Malate, Manila, Philippines E-mail Address: bpibac@yahoo.com Tel. No.: (02) 8526-7859, (02) 8691-0736 | Website: bpi.da.gov.ph SOLICITATION NO.: ITB PR NO. 0605-20BAC  INVITATION T</t>
  </si>
  <si>
    <t xml:space="preserve"> Department of Agriculture		 BUREAU OF PLANT INDUSTRY 692 San Andres Street Malate, Manila, Philippines E-mail Address: bpibac@yahoo.com Tel. No.: (02) 8526-7859, (02) 8691-0736 | Website: bpi.da.gov.ph SOLICITATION NO.: ITB PR NO. 0604-20BAC  INVITATION T</t>
  </si>
  <si>
    <t xml:space="preserve"> INVITATION TO RE-BID FOR THE  SUPPLY AND DELIVERY OF COMPUTER NOTEBOOK PR Nos. 27619-001 to 27619-003 1.	The Metropolitan Cebu Water District, through the Corporate Budget of 2020 intends to apply the sum of: PR No.	Description	Qty.	Unit Price	Approved Bu</t>
  </si>
  <si>
    <t xml:space="preserve"> Department of Agriculture		 BUREAU OF PLANT INDUSTRY 692 San Andres Street Malate, Manila, Philippines E-mail Address: bpibac@yahoo.com Tel. No.: (02) 8526-7859, (02) 8691-0736 | Website: bpi.da.gov.ph SOLICITATION NO.: ITB PR NO. 3310-19BAC  INVITATION T</t>
  </si>
  <si>
    <t xml:space="preserve"> Department of Agriculture		 BUREAU OF PLANT INDUSTRY 692 San Andres Street Malate, Manila, Philippines E-mail Address: bpibac@yahoo.com Tel. No.: (02) 8526-7859, (02) 8691-0736 | Website: bpi.da.gov.ph SOLICITATION NO.: ITB PR NO. 0952-20BAC  INVITATION T</t>
  </si>
  <si>
    <t xml:space="preserve"> Department of Agriculture		 BUREAU OF PLANT INDUSTRY 692 San Andres Street Malate, Manila, Philippines E-mail Address: bpibac@yahoo.com Tel. No.: (02) 8526-7859, (02) 8691-0736 | Website: bpi.da.gov.ph SOLICITATION NO.: ITB PR NO. 0697-20BAC  INVITATION T</t>
  </si>
  <si>
    <t xml:space="preserve"> INVITATION TO RE-BID FOR THE  SUPPLY, DELIVERY, AND INSTALLATION OF LOCAL AREA NETWORK (LAN) STRUCTURED CABLING IN THE NEW MSSD BUILDING, TALAMBAN, CEBU CITY PR No. 27608-001 1.	The Metropolitan Cebu Water District, through the Corporate Budget of 2020 in</t>
  </si>
  <si>
    <t xml:space="preserve"> Republic of the Philippines Cordillera Administrative Region Province of Kalinga B A L B A L A N MUNICIPALITY OF BALBALAN Invitation to Apply for Eligibility and to Bid for the COMPLETION OF BUAYA BARANGAY HEALTH CLINIC, MAPITPITA,BUAYA, BALBALAN, KALINGA</t>
  </si>
  <si>
    <t xml:space="preserve"> INVITATION TO BID The DPWH Bukidnon 1st District Engineering Office, Malaybalay City, through its Bids and Awards Committee (BAC), invites contractors to submit bids for the following Contracts:   			 2	Contract ID 	:	20KA0136 	Contract Name 	:	Paving of </t>
  </si>
  <si>
    <t xml:space="preserve"> Republic of the Philippines                   Department of Health	       CENTRAL OFFICE BIDS AND AWARDS COMMITTEE  INVITATION TO BID FOR THE  PROCUREMENT OF DELTAMETHRIN – REBID  IB NO. 2020-172-A 1.	The Department of Health (DOH), through the General Ap</t>
  </si>
  <si>
    <t xml:space="preserve"> INVITATION TO BID June 2, 2020 CHINA GEZHOUBA GROUP CORPORATION LIMITED / CHINA GEZHOUBA GROUP MUNICIPAL ENGINEERING CORPORATION LIMITED (JV) Unit 916, High Street South Corporate Plaza Tower1, 26th Street corner 9th Ave., Bonifacio Global City, Taguig Ci</t>
  </si>
  <si>
    <t xml:space="preserve"> Department of Agriculture		 BUREAU OF PLANT INDUSTRY 692 San Andres Street Malate, Manila, Philippines E-mail Address: bpibac@yahoo.com Tel. No.: (02) 8526-7859, (02) 8691-0736 | Website: bpi.da.gov.ph SOLICITATION NO.: ITB PR NO. 0698-20BAC  INVITATION T</t>
  </si>
  <si>
    <t xml:space="preserve"> Invitation to Bid For Supply, Delivery, Installation and Configuration of Privileged Access Management (PAM) Solution  with Hardware Appliance with Three (3) Years Warranty  1.	The LAND BANK OF THE PHILIPPINES (LANDBANK), through its Corporate Budget for </t>
  </si>
  <si>
    <t xml:space="preserve"> Republic of the Philippines PROVINCE OF QUIRINO Cabarroguis -oOo- BIDS AND AWARDS COMMITTEE INVITATION TO BID FOR  Rehabilitation of Rizal – Villa Pascua Road Contract No. PB-CW-2020-017 							June 4, 2020 1.	The Bids and Awards Committee (BAC) of the Pr</t>
  </si>
  <si>
    <t xml:space="preserve"> Invitation to Bid For   One (1) Year Courier Services for LANDBANK Credit Cards, Statement of Accounts and Other Credit Card Related Parcels 1.	The LAND BANK OF THE PHILIPPINES (LANDBANK), through its Corporate Budget for the contract approved by the Boar</t>
  </si>
  <si>
    <t xml:space="preserve"> INVITATION TO BID June 2, 2020 CHINA STATE CONSTRUCTION ENGINEERING CORPORATION LIMITED / CHINA GEO ENGINEERING CORPORATION (JV) 12F Petron Megaplaza, 358 Gil Puyat Avenue, Makati City  Email address: liuwei@chinaconstruction.com SUBJECT	:	Contract Packag</t>
  </si>
  <si>
    <t xml:space="preserve"> Invitation to Bid for the Procurement of Various Equipment, Instruments and Furnitures for TANJAY WATER DISTRICT</t>
  </si>
  <si>
    <t xml:space="preserve"> Republic of the Philippines DEPARTMENT OF PUBLIC WORKS AND HIGHWAYS CENTRAL OFFICE Manila  INVITATION TO BID  	 For ORGANIZATIONAL OUTCOME 1: Ensure Safe and Reliable National Road System - Network Development Program, Construction of Missing Links/Roads </t>
  </si>
  <si>
    <t xml:space="preserve"> Republic of the Philippines DEPARTMENT OF PUBLIC WORKS AND HIGHWAYS CENTRAL OFFICE Manila Roads Management Cluster 1 (Bilateral), Unified Project Management Office 2nd Street, Port Area, Manila -------------------------------------------------------------</t>
  </si>
  <si>
    <t xml:space="preserve"> UPS TECHNICAL SPECIFICATIONS: POWER RATING: 3000 VA/ 2700W INPUT AC PARAMETERS: INPUT SOCKET: IEC 320-C20 OUTPUT SOCKET: (6) IEC 320-C13; (1) IEC320-C19 BATTERY PARAMETERS: QUANTITY X VOLTAGE X RATING (Ahr): 6 X 12 V X 9.0 ENVIRONMENTAL: AUDIBLE NOISE (Db</t>
  </si>
  <si>
    <t xml:space="preserve"> Request for Expression of Interest Consulting Service for the Support and Maintenance of the Business Name Registration System Next Generation (BNRSNextGEN) 1.	The Department of Trade and Industry, through the CY 2020 General Appropriations Act and/or con</t>
  </si>
  <si>
    <t xml:space="preserve"> REQUEST FOR EXPRESSION OF INTEREST FOR FEASIBILITY STUDY OF  BOSIGON  IRRIGATION PROJECT LABO, VINZONS &amp; PARACALE, CAMARINES NORTE 1.	 The National Irrigation Administration RO V, Naga City, through the GAA/FSDE CY 2018  intends to apply the sum of P 11,2</t>
  </si>
  <si>
    <t xml:space="preserve"> SPL MOBILIZATION/DEMOBILIZATION 1 LOT 102 SURPLUS COMMON EXCAVATION 800 CU.M 103 STRUCTURE EXCAVATION 150 CU.M 104 EMBANKMENT, FROM EXCAVATED SUITABLE MATERIAL 900 CU.M 105 SUBGRADE PREPARATION 6000 SQ.M 200 AGGREGATES SUB-BASE COARSE 1610 SQ.M 300 AGGREG</t>
  </si>
  <si>
    <t xml:space="preserve"> Republic of the Philippines DEPARTMENT OF PUBLIC WORKS AND HIGHWAYS CENTRAL OFFICE Manila  INVITATION TO BID  	 For ORGANIZATIONAL OUTCOME 1: Ensure Safe and Reliable National Road System - Network Development Program - Construction of Missing Links/New R</t>
  </si>
  <si>
    <t xml:space="preserve"> Republic of the Philippines DEPARTMENT OF PUBLIC WORKS AND HIGHWAYS CENTRAL OFFICE Manila  INVITATION TO BID  	 For ORGANIZATIONAL OUTCOME 1: Ensure Safe and Reliable National Road System - Network Development Program, Construction of Missing Links/New Ro</t>
  </si>
  <si>
    <t xml:space="preserve"> Republic of the Philippines DEPARTMENT OF PUBLIC WORKS &amp; HIGHWAYS OFFICE OF THE REGIONAL DIRECTOR Region III Sindalan, City of San Fernando, Pampanga INVITATION TO BID The DPWH-Regional Office No. III,  through  its  Bids  and  Awards  Committee  (BAC),  </t>
  </si>
  <si>
    <t xml:space="preserve"> RE -BID INVITATION TO BID 	 The Department of Public Works and Highways-Cebu 4th District Engineering Office, through its Bids and Awards Committee (BAC), invites contractors to submit bids for the Contract: 1.	Contract ID 		:	20HG0162 Contract Name      </t>
  </si>
  <si>
    <t xml:space="preserve"> Handheld Radios</t>
  </si>
  <si>
    <t xml:space="preserve"> 74424 - Procurement of Various Measuring Equipment Posting Date: May 28, 2020 Closing Date: June 11, 2020</t>
  </si>
  <si>
    <t xml:space="preserve"> SUPPLY/DELIVERY AND INSTALLATION OF COMPUTER DESKTOP</t>
  </si>
  <si>
    <t xml:space="preserve"> INVITATION TO BID The DPWH Bukidnon 1st District Engineering Office, Malaybalay City, through its Bids and Awards Committee (BAC), invites contractors to submit bids for the following Contracts:   			 6	Contract ID 	:	20KA0140 	Contract Name 	:	Paving of </t>
  </si>
  <si>
    <t xml:space="preserve"> Invitation to Bid For Supply and Delivery of 250 Units Gigabit Ethernet Switch 1.	The LAND BANK OF THE PHILIPPINES (LANDBANK), through its Corporate Budget for the contract approved by the Board of Directors for 2020 intends to apply the total sum of One </t>
  </si>
  <si>
    <t xml:space="preserve"> RE -BID INVITATION TO BID 	 The Department of Public Works and Highways-Cebu 4th District Engineering Office, through its Bids and Awards Committee (BAC), invites contractors to submit bids for the Contract: 1.	Contract ID 		:	20HG0161 Contract Name      </t>
  </si>
  <si>
    <t xml:space="preserve"> INVITATION TO BID The DPWH Bukidnon 1st District Engineering Office, Malaybalay City, through its Bids and Awards Committee (BAC), invites contractors to submit bids for the following Contracts:   			 5	Contract ID 	:	20KA0139 	Contract Name 	:	Road Widen</t>
  </si>
  <si>
    <t xml:space="preserve"> Procurement of Printing Services 3,300	Sq. ft	Printing of tarpaulin with the following specifications: Assorted sizes of tarpaulins Heavy duty with borders and eyelets For DA-WV programs, projects, promotions and activities PR# 2020-771</t>
  </si>
  <si>
    <t xml:space="preserve"> see attached bid docs</t>
  </si>
  <si>
    <t xml:space="preserve"> INVITATION TO BID The DPWH Bukidnon 1st District Engineering Office, Malaybalay City, through its Bids and Awards Committee (BAC), invites contractors to submit bids for the following Contracts:   			 7	Contract ID 	:	20KA0141 	Contract Name 	:	Paving of </t>
  </si>
  <si>
    <t xml:space="preserve"> INVITATION TO BID The DPWH Regional Office IX, Veterans Avenue Extension, Tetuan, Zamboanga City, through its Bids and Awards Committee (BAC), invites contractors to submit bids for the following Contract: Contract ID	:	20J00188 Contract Name	:	Constructi</t>
  </si>
  <si>
    <t xml:space="preserve"> INVITATION TO BID The DPWH Regional Office IX, Veterans Avenue Extension, Tetuan, Zamboanga City, through its Bids and Awards Committee (BAC), invites contractors to submit bids for the following Contract: Contract ID	:	20J00177 Contract Name	:	Constructi</t>
  </si>
  <si>
    <t xml:space="preserve"> INVITATION TO BID The DPWH Regional Office IX, Veterans Avenue Extension, Tetuan, Zamboanga City, through its Bids and Awards Committee (BAC), invites contractors to submit bids for the following Contract: Contract ID	:	20J00179 Contract Name	:	Constructi</t>
  </si>
  <si>
    <t xml:space="preserve"> INVITATION TO BID The DPWH Regional Office IX, Veterans Avenue Extension, Tetuan, Zamboanga City, through its Bids and Awards Committee (BAC), invites contractors to submit bids for the following Contract: Contract ID	:	20J00176 Contract Name	:	Constructi</t>
  </si>
  <si>
    <t xml:space="preserve"> INVITATION TO BID The DPWH Regional Office IX, Veterans Avenue Extension, Tetuan, Zamboanga City, through its Bids and Awards Committee (BAC), invites contractors to submit bids for the following Contract: Contract ID	:	20J00178 Contract Name	:	Constructi</t>
  </si>
  <si>
    <t xml:space="preserve"> Lot 1: One (1) Lot Application of Polyurethane Foam on all BSP Buildings of BSP Cebu RO (see attached Scope of Work and Specifications)                                                                Lot 2: One (1) Lot Application of Polyurethane Foam Insu</t>
  </si>
  <si>
    <t xml:space="preserve"> INVITATION TO BID The DPWH Bukidnon 1st District Engineering Office, Malaybalay City, through its Bids and Awards Committee (BAC), invites contractors to submit bids for the following Contracts:   1	Contract ID 	:	20KA0135 	Contract Name 	:	Road Widening </t>
  </si>
  <si>
    <t xml:space="preserve"> Invitation to Bid for Project No.: ITB 2020-Infra-006 1.	The Department of Education (DepEd) Division of Calamba City, intends to apply the sum of Two million seven hundred eighty-seven thousand seven hundred fifty-six pesos &amp; 08/100 only (Php.2,787,756.0</t>
  </si>
  <si>
    <t xml:space="preserve"> Invitation to Bid for Project No.: ITB 2020-Infra-005 1.	The Department of Education (DepEd) Division of Calamba City, intends to apply the sum of One million three hundred twenty-nine thousand four hundred twenty-eight pesos &amp; 01/100 only (Php.1,329,428.</t>
  </si>
  <si>
    <t xml:space="preserve"> Invitation to Bid for Project No.: ITB 2020-Infra-001 1.	The Department of Education (DepEd) Division of Calamba City, intends to apply the sum of Three million twenty-five thousand six hundred fifty-seven pesos &amp; 63/100 only (Php.3,025,657.63) being the </t>
  </si>
  <si>
    <t xml:space="preserve"> 20F00123 - OO1: Ensure Safe and Reliable National Road System – Bridge Program – Widening of Permanent Bridges – Pili Airport Br. (B00418LZ) along Pili Airport Road, Pili, Camarines Sur 3rd Legislative District</t>
  </si>
  <si>
    <t xml:space="preserve"> 1.	The Philippine Health Insurance Corporation, through the Corporate Operating Budget of CY 2020 intends to apply the sum of Fourteen Million Four Hundred Fifty Eight Pesos Three Hundred Thirty Three Pesos and Fifty Centavos (PhP14,458,333.50) for the fi</t>
  </si>
  <si>
    <t xml:space="preserve"> Invitation to Bid for Project No.: ITB 2020-Infra-003 1.	The Department of Education (DepEd) Division of Calamba City, intends to apply the sum of Two million three hundred forty thousand eight hundred one pesos &amp; 68/100 only (Php.2,340,801.68) being the </t>
  </si>
  <si>
    <t xml:space="preserve"> Department of Public Works and Highways OFFICE OF THE REGIONAL DIRECTOR DPWH Regional Office VII South Road Properties, Cebu City  Request for Expression of Interest for the Procurement of  Consultancy Services for the Detailed Engineering Design (DED) Ac</t>
  </si>
  <si>
    <t xml:space="preserve"> Invitation to Bid for Project No.: ITB 2020-Infra-002 1.	The Department of Education (DepEd) Division of Calamba City, intends to apply the sum of Two million six hundred six thousand nine hundred fifty-one pesos &amp; 31/100 only (Php.2,606,951.31) being the</t>
  </si>
  <si>
    <t xml:space="preserve"> REQUEST FOR EXPRESSION OF INTEREST (REOI) FOR CONSULTING SERVICES  19CSK00056 – Consulting Services for the Conduct of Soil Testing/Exploration for Bridge Projects - Geotechnical Investigation - Construction of Bridge, Cagayan de Oro Diversion Road, Jct. </t>
  </si>
  <si>
    <t xml:space="preserve"> Department of Public Works and Highways OFFICE OF THE REGIONAL DIRECTOR DPWH Regional Office VII South Road Properties, Cebu City  Request for Expression of Interest for the Procurement of Consultancy Services for the Detailed Engineering Design (DED) Act</t>
  </si>
  <si>
    <t xml:space="preserve"> Item/	                                                                                ABC Qty	Unit	Description	                                                                        Unit Cost 1	Lot	Water Quality Analysis	                                 </t>
  </si>
  <si>
    <t xml:space="preserve"> Invitation to Bid for Project No.: ITB 2020-Infra-004 1.	The Department of Education (DepEd) Division of Calamba City, intends to apply the sum of One million one hundred fourteen thousand seven hundred ninety-three pesos &amp; 99/100 only (Php.1,114,793.99) </t>
  </si>
  <si>
    <t xml:space="preserve"> Lot 1: One (1) Unit Motor Vehicle for BSP Bacolod Branch, as per attached specifications Lot 2: One (1) Unit Motor Vehicle for BSP Dumaguete Branch, as per attached specifications Lot 3: One (1) Unit Motor Vehicle for BSP Iloilo Branch, as per attached sp</t>
  </si>
  <si>
    <t xml:space="preserve"> The DPWH-Ilocos Sur 1st District Engineering Office, through its Bids and Awards Committee (BAC), invites contractors to submit bids for the following Contract:   Contract ID: 20AC0088   Contract Name: Construction of Multi-Purpose Building, Brgy. Bungro,</t>
  </si>
  <si>
    <t xml:space="preserve"> The DPWH-Ilocos Sur 1st District Engineering Office, through its Bids and Awards Committee (BAC), invites contractors to submit bids for the following Contract:   Contract ID: 20AC0091   Contract Name: Construction of Multi-Purpose Building, Brgy. San Vic</t>
  </si>
  <si>
    <t xml:space="preserve"> 1.	The Human Rights Violations Victims’ Memorial Commission, through the 2019 General Appropriations Act, intends to apply the sum of Three Million Five Hundred Thousand Pesos Only (Php 3,500,000.00) being the Approved Budget for the Contract (ABC) to pay</t>
  </si>
  <si>
    <t xml:space="preserve"> Invitation to Bid For Supply and Delivery of 600 Units Passbook Printer 1.	The LAND BANK OF THE PHILIPPINES (LANDBANK), through its Corporate Budget for the contract approved by the Board of Directors for 2019 intends to apply the total sum of Nine Millio</t>
  </si>
  <si>
    <t xml:space="preserve"> PROVISION OF WATCHMAN SERVICES FROM MARCH 1-DECEMBER 31, 2020</t>
  </si>
  <si>
    <t xml:space="preserve"> Invitation to Bid For One (1) Lot Supply, Delivery, Installation, Testing and Commissioning of Variable Refrigerant Flow (VRF) Air-Conditioning Units at LANDBANK Sta. Cruz Office Building 1.	The LAND BANK OF THE PHILIPPINES (LANDBANK), through its Corpora</t>
  </si>
  <si>
    <t xml:space="preserve"> The DPWH-Ilocos Sur 1st District Engineering Office, through its Bids and Awards Committee (BAC), invites contractors to submit bids for the following Contract:   Contract ID: 20AC0083   Contract Name: Construction of Flood Control Structure Along Mestizo</t>
  </si>
  <si>
    <t xml:space="preserve"> Invitation to Bid For One (1) Lot Supply and Delivery of 65,500 pcs. EMV VISA Debit Card with Personalization 1.	The LAND BANK OF THE PHILIPPINES (LANDBANK), through its Corporate Budget for the contract approved by the Board of Directors for 2020 intends</t>
  </si>
  <si>
    <t xml:space="preserve"> Request for Quotation The Bureau of Fisheries and Aquatic Resources, Regional Office No. 5, Fabrica, Bula, Camarines Sur is requesting from prospective suppliers to submit quotation for the Supply and Delivery of FSP Computer Equipment.   Quantity	Unit	It</t>
  </si>
  <si>
    <t xml:space="preserve"> The DPWH-Ilocos Sur 1st District Engineering Office, through its Bids and Awards Committee (BAC), invites contractors to submit bids for the following Contract:   Contract ID: 20AC0090   Contract Name: Constructionof Multi-Purpose Building, Magsingal, Ilo</t>
  </si>
  <si>
    <t xml:space="preserve"> Invitation to Bid For Additional License for the Existing Solarwinds Servers, Networks, Database and Application Monitoring Tool 1.	The LAND BANK OF THE PHILIPPINES (LANDBANK), through its Corporate Budget for the contract approved by the Board of Directo</t>
  </si>
  <si>
    <t xml:space="preserve"> The DPWH-Ilocos Sur 1st District Engineering Office, through its Bids and Awards Committee (BAC), invites contractors to submit bids for the following Contract:   Contract ID: 20AC0084   Contract Name: Construction of River Control Along Bical River, San </t>
  </si>
  <si>
    <t xml:space="preserve"> ALBAY 3RD DISTRICT ENGINEERING OFFICE																											 Paulog, Ligao City																											 																											 																											 INVITATION TO BID																											 																											 															</t>
  </si>
  <si>
    <t xml:space="preserve"> Invitation to Bid For   Supply and Delivery of 4,300 pieces Ribbon for EPSON Printer FX2190 and 440 pieces  Genuine Burroughs Black Multiline Print Inkjet Cartridge 1.	The LAND BANK OF THE PHILIPPINES (LANDBANK), through its Corporate Budget for the contr</t>
  </si>
  <si>
    <t xml:space="preserve"> The DPWH-Ilocos Sur 1st District Engineering Office, through its Bids and Awards Committee (BAC), invites contractors to submit bids for the following Contract:   Contract ID: 20AC0079   Contract Name: Construction of Don Dimas – Don Alejandro Road, Caoay</t>
  </si>
  <si>
    <t xml:space="preserve"> INVITATION TO BID The DPWH Regional Office IX, Veterans Avenue Extension, Tetuan, Zamboanga City, through its Bids and Awards Committee (BAC), invites contractors to submit bids for the following Contract: Contract ID	:	20J00181 Contract Name	:	Constructi</t>
  </si>
  <si>
    <t xml:space="preserve"> Republic of the Philippines SOUTHERN LEYTE STATE UNIVERSITY-TOMAS OPPUS San Isidro, Tomas Oppus, Southern Leyte Website: www.slsuonline.edu.ph Invitation to Bid for the  Supply, Delivery &amp; Installation of Science Laboratories and Research Facilities 1.	Th</t>
  </si>
  <si>
    <t xml:space="preserve"> INVITATION TO BID The DPWH Regional Office IX, Veterans Avenue Extension, Tetuan, Zamboanga City, through its Bids and Awards Committee (BAC), invites contractors to submit bids for the following Contract: Contract ID	:	20J00180 Contract Name	:	Constructi</t>
  </si>
  <si>
    <t xml:space="preserve"> Contract ID: 20CSIO13 Contract Name: Consultancy Services for the Feasibility Study of the Proposed Calbayog Coastal Diversion Road, Calbayog City, Western Samar	 Contract Location: Calbayog City, Samar Approved Budget for the Contract (ABC) = ₱ 19,578,99</t>
  </si>
  <si>
    <t xml:space="preserve"> 142.05 kgs 15L-16mm dia. Deformed Steel bar 1 kg #16 Tie Wire 1 pc Hacksaw Blade 5 cu.m Pre-Mixed Concrete 1 sheet Ordinary Plywood 1/2" thk</t>
  </si>
  <si>
    <t xml:space="preserve"> INVITATION TO BID The DPWH Regional Office IX, Veterans Avenue Extension, Tetuan, Zamboanga City, through its Bids and Awards Committee (BAC), invites contractors to submit bids for the following Contract: Contract ID	:	20J00182 Contract Name	:	Concreting</t>
  </si>
  <si>
    <t xml:space="preserve"> Contract ID: 20CSIO09 Contract Name: Consultancy Services for the Conduct of Feasibility Study of the Proposed Construction of Tacloban – Palo Diversion Road (Brgy. 89 San Jose, Brgy. 82, Marasbaras and Brgy. Calanipawan/Caibaan, Tacloban City – Brgy. Can</t>
  </si>
  <si>
    <t xml:space="preserve"> MA-A2H20-006..BATTERY BANK, STATION BATTERY, AGUS 1 HE PLANT ABC  : P 8,500,000.00 PLACE OF DELIVERY  : AGUS 1 HEP WAREHOUSE MARAWI CITY AMOUNT OF BID DOCUMENTS  : P 10,000.00</t>
  </si>
  <si>
    <t xml:space="preserve"> The DPWH-Ilocos Sur 1st District Engineering Office, through its Bids and Awards Committee (BAC), invites contractors to submit bids for the following Contract:   Contract ID: 20AC0087   Contract Name: Rehabilitation of Tamorong Road with Slope Protection</t>
  </si>
  <si>
    <t xml:space="preserve"> The DPWH-Ilocos Sur 1st District Engineering Office, through its Bids and Awards Committee (BAC), invites contractors to submit bids for the following Contract:   Contract ID: 20AC0071   Contract Name: Construction of Drainage Canal Along Barangay Road Go</t>
  </si>
  <si>
    <t xml:space="preserve"> ICT Spareparts 4	pc	RAM (8GB) 2	pc	Video Card (RTX 2080 8GB) 2	pc	Processor (i9-7900) 2	pc	Motherboard (X299LGa2066 Motherboard) 4	pc	Internal SSD (500GB) 4	pc	Power Supply 4	pc	Casing (full tower) 		 *********** End user: 	GSITD																		 Deadlin</t>
  </si>
  <si>
    <t xml:space="preserve"> 100	pcs	LongRun P3 Module  64 x 64 (Indoor LED Display) 6	unit	Uninterruptible Power Supply; Capacity 1500VA; INPUT: 230VAC; OUTPUT: ± 10% BATTERY 12 V/10 Ah x 2; Real Panel: 1. AC Input  2. Backup Output 3. Bypass Output  4.  USB Port  5.  RJ11 6.  Cooli</t>
  </si>
  <si>
    <t xml:space="preserve"> Contract ID: 20CSIO11 Contract Name: Consultancy Services for the Conduct of Feasibility study of the Proposed Tanauan Bypass Road, San Miguel – Santol – Tunga Road, Tolosa – San Victor – Tabontabon Road and Dapdap – Alangalang – Santa Cruz Road Contract </t>
  </si>
  <si>
    <t xml:space="preserve"> Invitation to Bid For   Three (3) Years ATM Cash Loading and First Level Maintenance (FLM) Services for  600 LANDBANK ATM Units 1.	The LAND BANK OF THE PHILIPPINES (LANDBANK), through its Corporate Budget for the contract approved by the Board of Director</t>
  </si>
  <si>
    <t xml:space="preserve"> PR # 2020-02-1005 4	units	LAPTOP 		Processor : Intel Core i5 		Display: 14' to 15.6" 		Display: Resolution: up to 1080p 		RAM: 4GB to 8GB 		Storage: 1Tb 		Video: Dedicated 2GB 		Operating System: Windows 1064bit 1	unit	LAPTOP 		Processor : Intel Core i7 	</t>
  </si>
  <si>
    <t xml:space="preserve"> BID TENDER The Bids and Awards Committee Province of Iloilo      In connection with your Invitation to Bid No. GSO-20-0202-B scheduled on April 3, 2020 I/we proposed to furnish and deliver in conformity with the terms and conditions, and specifications of</t>
  </si>
  <si>
    <t xml:space="preserve"> The DPWH-Ilocos Sur 1st District Engineering Office, through its Bids and Awards Committee (BAC), invites contractors to submit bids for the following Contract:   Contract ID: 20AC0078   Contract Name: Construction of Multi-Purpose Building (Covered Court</t>
  </si>
  <si>
    <t xml:space="preserve"> INVITATION TO BID PROCUREMENT OF OTHER SUPPLIES AND MATERIALS (SUPPLIES AND TOOLS ON SHIELDED METAL ARTS &amp; WELDING) FOR SAN ROQUE NHS (UNDER SCHOOLS DIVISION OFFICE) 	 The City Government of Navotas, through its Bids and Awards Committee, will hold a Publ</t>
  </si>
  <si>
    <t xml:space="preserve"> Medical Materials for the BSWM Clinic 6	btls	Dexamethasone 1 mg neomycin sulfate 3,500 iu, polymycin B sulfates 6,000 u (maxitrol eye drop 5ml) 6	btls	Antipyrine 54mg., benzocaline 14mg oxyquinoline sulfate 375mg (auralgan 10ml) 6	btls	Loratadine + Betame</t>
  </si>
  <si>
    <t xml:space="preserve"> The DPWH-Ilocos Sur 1st District Engineering Office, through its Bids and Awards Committee (BAC), invites contractors to submit bids for the following Contract:   Contract ID: 20AC0077   Contract Name: Construction of Multi-Purpose Building (Covered Court</t>
  </si>
  <si>
    <t xml:space="preserve"> INVITATION TO BID The DPWH Regional Office IX, Veterans Avenue Extension, Tetuan, Zamboanga City, through its Bids and Awards Committee (BAC), invites contractors to submit bids for the following Contract: Contract ID	:	20J00183 Contract Name	:	Constructi</t>
  </si>
  <si>
    <t xml:space="preserve"> 1 Lot Establishment of Video Wall Project for Security Operation Center (Physical and Cybersecurity) and Network Operation Center Please email us at opbacsec@malacanang.gov.ph to view the Actual Bidding Documents. Thank you.</t>
  </si>
  <si>
    <t xml:space="preserve"> Contract ID: 20-DO-0075 Contract Name: LOCAL PROGRAM - Local Infrastructure Program - Building and Other Structures - Multipurpose/Facilities - Construction of Multi-Purpose Building at Gen. Luna St. Brgy. Dulong Bayan 1, San Mateo, Rizal Contract Locatio</t>
  </si>
  <si>
    <t xml:space="preserve"> 1. The Department of Transportation (DOTr) through the 2020 GAA Locally Funded Projects intends to apply the sum of Seven Hundred Fifty-Nine Million Eighty Thousand Three Hundred Sixty-Seven Pesos and Thirteen Centavos (Php 759,080,367.13) being the Appro</t>
  </si>
  <si>
    <t xml:space="preserve"> The DPWH-Ilocos Sur 1st District Engineering Office, through its Bids and Awards Committee (BAC), invites contractors to submit bids for the following Contract:   Contract ID: 20AC0075   Contract Name: Construction of Multi-Purpose Building, Brgy. Fuerte,</t>
  </si>
  <si>
    <t xml:space="preserve"> The DPWH-Ilocos Sur 1st District Engineering Office, through its Bids and Awards Committee (BAC), invites contractors to submit bids for the following Contract:   Contract ID: 20AC0069   Contract Name: Construction of Multi-Purpose Building (Covered Court</t>
  </si>
  <si>
    <t xml:space="preserve"> Invitation to Bid For One (1) Lot Supply, Delivery and Installation of 50 Units Thru-The-Wall Cash Deposit Machine with Four (4) – Year Maintenance Package and Spare Parts   1.	The LAND BANK OF THE PHILIPPINES (LANDBANK), through its Corporate Budget for </t>
  </si>
  <si>
    <t xml:space="preserve"> The DPWH-Ilocos Sur 1st District Engineering Office, through its Bids and Awards Committee (BAC), invites contractors to submit bids for the following Contract:   Contract ID: 20AC0074   Contract Name: Construction of Multi-Purpose Building (Covered Court</t>
  </si>
  <si>
    <t xml:space="preserve"> 1 	lot	Strong Motion Accelerograph	 		23 pcs Strong Motion Accelerograph	 		-1x Fully tested 3-axis MEMS accelerograph	 		circuit board	 		-1x Vertical Earth motion monitoring sensor	 		("geophone", 4.5 Hz)	 		-1x Raspberry Pi single-board computer	 		-1x</t>
  </si>
  <si>
    <t xml:space="preserve"> Standard Form Number: SF-GOODS-05 Revised on:  July 28, 2004 INVITATION TO BID The University of the Philippines Cebu, through its Bids and Awards Committee (BAC), invites bidders to bid for the hereunder project: Name of Projects       :  Supply and Deli</t>
  </si>
  <si>
    <t xml:space="preserve"> CLARK DEVELOPMENT CORPORATION Clark Freeport Zone, Philippines INVITATION TO BID The Clark Development Corporation (CDC), through its Bids and Awards Committee (BAC), invites contractors registered with and classified by the Philippine Contractors Accredi</t>
  </si>
  <si>
    <t xml:space="preserve"> Republic of the Philippines National Kidney and Transplant Institute Bids and Awards Committee East Avenue, Quezon City 1100 981-0300 / 981-0400 local 1157 http://www.nkti.gov.ph/	 INVITATION TO BID for the ITB No. 20-049 ONE (1) LOT SUPPLY AND DELIVERY O</t>
  </si>
  <si>
    <t xml:space="preserve"> INVITATION TO BID FOR THE SUPPLY, DELIVERY, INSTALLATION, TESTING AND COMMISSIONING OF FIRE SUPPRESSION SYSTEM, 5-KW AIRCON, UPS, DOOR ACCESS CONTROL, TEMPERATURE AND HUMIDITY MONITORING SYSTEM, SERVER RACK AND RETROFITTING OF SERVER ROOM UNDER ITB NO. PB</t>
  </si>
  <si>
    <t xml:space="preserve"> Contract Location: TIWI, ALBAY Brief Description: REHABILITATION/RECONSTRUCTION OF ROAD SLIPS Source of Funds: GAA 2020 DPWH INFRA  The BAC is conducting the public bidding for this Contract in accordance with RA 9184 and its Implementing Rules and Regula</t>
  </si>
  <si>
    <t xml:space="preserve"> Contract Name: Construction of Retention Basin at Estero de Sampaloc, Manila City Contract Location: Sampaloc, Manila      Brief Description: Construction of Retention Basin at Estero de Calubcob      Approved Budget for the Contract (ABC):  Php 48,999,86</t>
  </si>
  <si>
    <t xml:space="preserve"> 1)  Office Table: 120(L) x 60(W) x 75(H)cm   ........... Four (4)units ........ ₱12,000.00/unit     - with center drawer and 3 side drawers 2)  Office Table: 160(L) x 70(W) x 75(H)cm   .......... One (1)	unit    .......   18,000.00/unit      - with center</t>
  </si>
  <si>
    <t xml:space="preserve"> Standard Form Number: SF-GOODS-05 Revised on:  July 28, 2004 INVITATION TO BID The University of the Philippines Cebu, through its Bids and Awards Committee (BAC), invites bidders to bid for the hereunder project: Name of Projects       :  Pocurement of I</t>
  </si>
  <si>
    <t xml:space="preserve"> The DPWH-Ilocos Sur 1st District Engineering Office, through its Bids and Awards Committee (BAC), invites contractors to submit bids for the following Contract:   Contract ID: 20AC0089   Contract Name: Construction / Rehabilitation of Multi-Purpose Buildi</t>
  </si>
  <si>
    <t xml:space="preserve"> In need of transportation and touring service for the 2020 Subic, Zambales Student Tour</t>
  </si>
  <si>
    <t xml:space="preserve"> Contract Name: Construction and / or Repair / Rehabilitation of Multi – Purpose Building Brgy. 72, Zone 6, Tondo Manila       Contract Location: Tondo, Manila       Brief Description: Construction/ Repair/ Rehabilitation of Multi – Purpose Building       </t>
  </si>
  <si>
    <t xml:space="preserve"> The DPWH-Ilocos Sur 1st District Engineering Office, through its Bids and Awards Committee (BAC), invites contractors to submit bids for the following Contract:   Contract ID: 20AC0073   Contract Name: Construction of Flood Control Structure Along Mestizo</t>
  </si>
  <si>
    <t xml:space="preserve"> 1	CAMERA, DIGITAL 20.1 MP, 5 X ZOOM (WIDE), HD V	1 PC		Php 20,000.00 2	DOCUMENT SCANNER AUTO DOCUMENT FEEDER, DUPLEX SCANNING MAX RESOLUTION	1 UNIT		       75,000.00 3	LAPTOP (INTEL CORE I7, 0.S WINDOWS)	2 UNIT		      55,000.00</t>
  </si>
  <si>
    <t xml:space="preserve"> Supply of Labor and Materials Transmission and Distribution Line Valves and Hydrant (3 units gate valve 20 mm) Service Connection (30 sets new service connection) Pavement demolition and restoration</t>
  </si>
  <si>
    <t xml:space="preserve"> National Power Corporation INVITATION TO BID PUBLIC BIDDING 2020-0081 1.	The NATIONAL POWER CORPORATION (NPC), through       its        approved       Corporate Budget of CY 2020 intends to apply   the   sum   of (Please see schedule below) being the Appr</t>
  </si>
  <si>
    <t xml:space="preserve"> REQUEST FOR QUOTATION Date: March 3, 2019	  RFQ No. MCPD20-005 PR NO. PD2002-26-046 To All Eligible Suppliers Please quote your lowest price inclusive of VAT on the item/s listed below, subject to the Terms and Conditions of this RFQ, for more information</t>
  </si>
  <si>
    <t xml:space="preserve"> Supply of Labor and Materials Concreting Works v = 2.00cu.m. Masonry Works (Wall/Septic Tank) Roofing works Doors and Windows Plumbing works Electrical works Tileworks Ceiling works</t>
  </si>
  <si>
    <t xml:space="preserve"> Supply of Labor and Materials Roofing Works Electrical Works Painting Works</t>
  </si>
  <si>
    <t xml:space="preserve"> Supply of Labor and Materials  L=156.00m;  w = 4.00m; t = 0.20m 105 Subgrade Preparation A = 780.00sq.m. 201 Aggregate Base Coarse V = 93.60 cu.m. compacted volume/ v= 112.32 cu.m. loose volume 311 Portland Cement Concrete Pavement V124.80 cu.m. / A = 624</t>
  </si>
  <si>
    <t xml:space="preserve"> Supply of Labor and Materials  Backfilling works Culvert Installation 48 pcs RCCP #24 Concreting works V = 10.80 cu.m. Masonry works Manhole cover</t>
  </si>
  <si>
    <t xml:space="preserve"> Download attachment in the Associated Components. For further information, please refer to: Atty. VIRGILIO B. GALEON Head, BAC Secretariat BAC Office Government Center Bldg. A J. P. Rizal Blvd., Market Area  City of Santa Rosa, Laguna 4026 Telephone Numbe</t>
  </si>
  <si>
    <t xml:space="preserve"> Republic of the Philippines Province of Nueva Vizcaya BIDS AND AWARDS COMMITTEE (BAC-Goods) BAC OFFICE, Provincial Capitol, Bayombong, Nueva Vizcaya 	 REQUEST FOR QUOTATION (RFQ) For the Procurement of Construction Materials  For the Provincial General Se</t>
  </si>
  <si>
    <t xml:space="preserve"> Construction/Rehabilitation of Various District Engineering Office including construction of Multi-Purpose Gym, Renovation of Old DPWH Office, Multipurpose Hall at roofdeck including CCTV, Paging System and Air-Conditioning</t>
  </si>
  <si>
    <t xml:space="preserve"> PHILIPPINE DEPOSIT INSURANCE CORPORATION Makati City INVITATION TO BID PROCUREMENT OF SECURITY SERVICE PROVIDER FOR A PERIOD OF ONE (1) YEAR 1.	The Philippine Deposit Insurance Corporation, through its 2020 Corporate Operating Budget, intends to apply the</t>
  </si>
  <si>
    <t xml:space="preserve"> 1. The Department of Foreign Affairs, through the authorized appropriations under the Multi-Year Contractual Authority (MYCA) MYCA No. MYCA-BMB-D-20-0000002, intends to apply the sum of One Billion Nine Hundred Forty-Seven Million Sixty-Two Thousand One H</t>
  </si>
  <si>
    <t xml:space="preserve"> National Power Corporation INVITATION TO BID PUBLIC BIDDING 2020-0079 1.	The NATIONAL POWER CORPORATION (NPC), through       its        approved       Corporate Budget of CY 2020 intends to apply   the   sum   of (Please see schedule below) being the Appr</t>
  </si>
  <si>
    <t xml:space="preserve"> Invitation to Bid For   Three (3) Years Managed Laser Print Services with Consumables 1.	The LAND BANK OF THE PHILIPPINES (LANDBANK), through its Corporate Budget for the contract approved by the Board of Directors for 2020 intends to apply the total sum </t>
  </si>
  <si>
    <t xml:space="preserve"> Supply of Labor and Materials Culvert Installation 83 pcs RCCP # 36 Sidewalk/Curbs and Gutter V = 29.50 cu.m. Masonry works Manhole Cover</t>
  </si>
  <si>
    <t xml:space="preserve"> Invitation to Bid For   Supply and Delivery of 1,100 Units Desktop Computer 1.	The LAND BANK OF THE PHILIPPINES (LANDBANK), through its Corporate Budget for the contract approved by the Board of Directors for 2019 intends to apply the total sum of Forty S</t>
  </si>
  <si>
    <t xml:space="preserve"> INVITATION TO BID FOR THE PROCUREMENT OF ONE (1) LOT, THREE (3) YEARS PRIVATE SECURITY AGENCY (PSA) SERVICES FOR CF-DAVAO AND APO VIEW SATELLITE UNDER ITB NO. PB20-03-002DAV The Philippine Amusement and Gaming Corporation (PAGCOR) is inviting all interest</t>
  </si>
  <si>
    <t xml:space="preserve"> Supply of Labor and Materials Masonry Works Concreting Works V =5.21 cu.m. Doors and windows Roofing Works Plumbing works</t>
  </si>
  <si>
    <t xml:space="preserve"> Invitation to Bid For One (1) Lot Supply and Delivery of EMV VISA Debit Card and Paywave Debit Card for OFBANK  1.	The LAND BANK OF THE PHILIPPINES (LANDBANK), through its Corporate Budget for the contract approved by the Board of Directors for 2020 inten</t>
  </si>
  <si>
    <t xml:space="preserve"> Contract Location: TABACO CITY, ALBAY Brief Description: REPLACEMENT/CONSTRUCTION OF BRIDGE Source of Funds: GAA CY 2020 DPWH INFRA The BAC is conducting the public bidding for this Contract in accordance with RA 9184 and its Implementing Rules and Regula</t>
  </si>
  <si>
    <t xml:space="preserve"> REQUEST FOR EXPRESSION OF INTEREST  CONSULTING SERVICES FOR THE IMPLEMENTATION OF PHILIPPINE FINANCIAL REPORTING STANDARD (PFRS 9) – FINANCIAL INSTRUMENTS The Pag-IBIG Fund, through its Special Bids and Awards Committee - Consulting Services (SBAC - CS), </t>
  </si>
  <si>
    <t xml:space="preserve"> Contract Location:  FIRST DISTRICT OF ALBAY Brief Description: CONSTRUCTION OF WATER SYSTEM Source of Funds: GAA 2020 DPWH INFRA  The BAC is conducting the public bidding for this Contract in accordance with RA 9184 and its Implementing Rules and Regulati</t>
  </si>
  <si>
    <t xml:space="preserve"> CLARK DEVELOPMENT CORPORATION Clark Freeport Zone, Philippines NOTICE TO CONDUCT NEGOTIATED PROCUREMENT IMPROVEMENT OF MULTI-PURPOSE BUILDING  The Clark Development Corporation (CDC), through the CDC Corporate Budget for CY 2020, intends to apply the sum </t>
  </si>
  <si>
    <t xml:space="preserve"> Section I. Invitation to Bid FOR THE UPLB-S-044-03-20  SUPPLY, DELIVERY AND INSTALLATION OF BRANDED AND BRAND NEW VARIOUS LABORATORY EQUIPMENT 1.	The UNIVERSITY OF THE PHILIPPINES LOS BAÑOS (UPLB), through the GOP intends to apply the sum of TWO MILLION T</t>
  </si>
  <si>
    <t xml:space="preserve"> Lot 1 (Lot 6 Rebid)  REPAIR OF CLASSROOMS AT LANAO DEL NORTE PROVINCIAL SCIENCE AND TECHNOLOGY HS,TUBOD,LDN	 ABC Php3,759,553.34	 Contract Days: 90 CD	 Cost of Bidding Documents: Php5,000.00 The bidding shall be governed by the Implementing Rules and Regu</t>
  </si>
  <si>
    <t xml:space="preserve"> Contract Name: Installation of Pumping Station (Mini Pump) at Barangay 598 Zone 59, Manila City       Contract Location: Manila City       Brief Description: Installation of Mini Pump       Approved Budget for the Contract (ABC):  Php 53,074,892.40       </t>
  </si>
  <si>
    <t xml:space="preserve"> INVITATION TO BID FOR THE CONSTRUCTION OF WINGS OF MULTI-PURPOSE BUILDING AT BRGY. TELBANG, CITY OF ALAMINOS, PANGASINAN 1.	The CITY GOVERNMENT OF ALAMINOS, PANGASINAN through its Development Fund intends to apply an amount of One Million Seven Hundred Fo</t>
  </si>
  <si>
    <t xml:space="preserve"> INVITATION TO BID The National Housing Authority (NHA) Region 4, through the Corporate Budget by the NHA Board for the year 2019 intends to apply the sum of the Approved Budget for the Contract (ABC) to payments for the following contracts: Ref No.	PROJEC</t>
  </si>
  <si>
    <t xml:space="preserve"> INVITATION TO BID FOR THE CONSTRUCTION OF MULTI-PURPOSE BUILDING AT BRGY. TANGCARANG, CITY OF ALAMINOS, PANGASINAN 1.	The CITY GOVERNMENT OF ALAMINOS, PANGASINAN through its Special Purpose Appropriation (SPA) intends to apply an amount of Two Million Fiv</t>
  </si>
  <si>
    <t xml:space="preserve"> INVITATION TO BID FOR THE EXTENSION OF MULTI-PURPOSE BUILDING AT BRGY. MACATIW, CITY OF ALAMINOS, PANGASINAN 1.	The CITY GOVERNMENT OF ALAMINOS, PANGASINAN through its Special Purpose Appropriation (SPA) intends to apply an amount of Seven Hundred Seventy</t>
  </si>
  <si>
    <t xml:space="preserve"> 1. The APO Production Unit, Inc., through the Approved Annual Procurement Plan (APP) for CY 2020 intends to apply the sum of One Million Eight Hundred Thousand Pesos (PhP 1,800,000.00) being the Approved Budget for the Contract (ABC) to payments under the</t>
  </si>
  <si>
    <t xml:space="preserve"> Please see attached quotation form for complete specifications.</t>
  </si>
  <si>
    <t xml:space="preserve"> 1. The APO Production Unit, Inc., through the Approved Annual Procurement Plan (APP) for CY 2020 intends to apply the sum of Thirty Million Pesos (Php 30,000,000.00) being the Approved Budget for the Contract (ABC) to payments under the contract for the L</t>
  </si>
  <si>
    <t xml:space="preserve"> CLARK DEVELOPMENT CORPORATION Clark Freeport Zone, Philippines NOTICE TO CONDUCT NEGOTIATED PROCUREMENT CONTINUATION OF THE TERMINATED RENOVATION OF FORMER CYBER CITY BLDGS. PHASE II (PACKAGE IV) The Clark Development Corporation (CDC), through the CDC Co</t>
  </si>
  <si>
    <t xml:space="preserve"> REPUBLIC OF THE PHILIPPINES SOUTHERN LEYTE STATE UNIVERSITY – TOMAS OPPUS 6605 SAN ISIDRO, TOMAS OPPUS,  SOUTHERN LEYTE www.slsuonline.edu.ph Invitation to Bid  Supply, Delivery &amp; Installation of Equipment and Furniture and Fixture for Theater Lot 2 and L</t>
  </si>
  <si>
    <t xml:space="preserve"> INVITATION TO BID FOR THE REHABILITATION / UPGRADING OF FARM TO MARKET ROAD (SABANGAN PORTION) AT BRGY. SABANGAN, CITY OF ALAMINOS, PANGASINAN 1.	The CITY GOVERNMENT OF ALAMINOS, PANGASINAN through its Development Fund (DF) intends to apply an amount of E</t>
  </si>
  <si>
    <t xml:space="preserve"> TABULATING FILE CABINET : ..... Six (6) pcs  .........P25,000.00/pc        -Card Size: 5-1/4” (H) x 8-5/8”     -Over-all Dimension:        57-1/2”(H)  x  21” (W)  x 28-1/2” (D) with ball caster               ***nothing follows***                       Not</t>
  </si>
  <si>
    <t xml:space="preserve"> 20HN0110 -LP: Construction/Repair/ Rehabilitation/Improvement of  Various Infrastructure including Local Projects - Local Roads and Bridges - Local Roads - Construction of Cabangahan- Sacsac Road, Consolacion, Cebu (Modified to:  Concreting/Improvement of</t>
  </si>
  <si>
    <t xml:space="preserve"> CLARK DEVELOPMENT CORPORATION Clark Freeport Zone, Philippines NOTICE TO CONDUCT NEGOTIATED PROCUREMENT PROVISION OF SIDEWALK AND DRAINAGE ALONG IE-5 SERVICE ROAD  The Clark Development Corporation (CDC), through the CDC Corporate Budget for CY 2020, inte</t>
  </si>
  <si>
    <t xml:space="preserve"> CLARK DEVELOPMENT CORPORATION Clark Freeport Zone, Philippines  NOTICE TO CONDUCT NEGOTIATED PROCUREMENT WIDENING OF J. ABAD SANTOS EXTENSION  The Clark Development Corporation (CDC), through the CDC Corporate Budget for CY 2020, intends to apply the sum </t>
  </si>
  <si>
    <t xml:space="preserve"> 20HN0111 -LP: Construction/Repair/ Rehabilitation/Improvement of Various Infrastructure including Local Projects - Local Roads and Bridges - Local Roads - Construction of Sacsac-Casili  Road, Consolacion, Cebu (Modified to:  Concreting/Improvement of  Sac</t>
  </si>
  <si>
    <t xml:space="preserve"> INVITATION TO BID                                                                 No. 20-002                   ONE (1) YEAR GARBAGE COLLECTION, TRANSPORT AND DISPOSAL SERVICES 1.	The Cultural Center of the Philippines (CCP), through  its Corporate Operati</t>
  </si>
  <si>
    <t xml:space="preserve"> 20HN0109 -LP: Construction/Repair/ Rehabilitation/Improvement of  Various Infrastructure including Local Projects - Local Roads and Bridges - Local Roads - Construction of Local Road, Purok Sto. Nino, Brgy. Panas, Consolacion, Cebu (Modified to: Concretin</t>
  </si>
  <si>
    <t xml:space="preserve"> Contract Location:  BACACAY, STO. DOMINGO, MALINAO &amp; TABACO CITY, ALBAY Brief Description: WIDENING &amp; CONCRETING OF ROADS Source of Funds: GAA 2020 DPWH INFRA  The BAC is conducting the public bidding for this Contract in accordance with RA 9184 and its I</t>
  </si>
  <si>
    <t xml:space="preserve"> 20HN0108 -LP: Construction/Repair/ Rehabilitation/Improvement of Various Infrastructure including Local Projects - Local Roads and Bridges - Local Roads - Construction of Local Road, Mapulo, Brgy. Garing, Consolacion, Cebu  (Modified to Concreting/Improve</t>
  </si>
  <si>
    <t xml:space="preserve"> INVITATION TO BID The National Development Company (NDC), through its Bids &amp; Awards Committee, invites bids for the public bidding of the project specified below: Name of Project          :	4th Public Bidding of the Site Development Works for the NDC Indu</t>
  </si>
  <si>
    <t xml:space="preserve"> see attached.</t>
  </si>
  <si>
    <t xml:space="preserve"> Section I. Invitation to Bid FOR THE UPLB-S-038-03-20  SUPPLY AND DELIVERY OF BRANDED AND BRAND NEW VARIOUS WINDOW TYPE AIRCONDITIONING UNITS 1.	The UNIVERSITY OF THE PHILIPPINES LOS BAÑOS (UPLB), through the GOP intends to apply the sum of TWO MILLION SE</t>
  </si>
  <si>
    <t xml:space="preserve"> CLARK DEVELOPMENT CORPORATION Clark Freeport Zone, Philippines INVITATION TO BID The Clark Development Corporation, through its Bids and Awards Committee (BAC), invites contractors registered with and classified by the Philippine Contractors Accreditation</t>
  </si>
  <si>
    <t xml:space="preserve"> Procurement and Delivery of ICT Equipment</t>
  </si>
  <si>
    <t xml:space="preserve"> Republic of the Philippines COMMISSION ON ELECTIONS M a n i l a INVITATION TO BID Supply and Delivery of Microsoft Office Home and Business for Installation in the Computers with Installed Ubuntu Operating System in the Main and Field Offices of the Commi</t>
  </si>
  <si>
    <t xml:space="preserve"> Asset Preservation / Rehabilitation / Reconstruction / Upgrading of Road</t>
  </si>
  <si>
    <t xml:space="preserve"> National Power Corporation INVITATION TO BID PUBLIC BIDDING 2020-0078 1.	The NATIONAL POWER CORPORATION (NPC), through       its        approved       Corporate Budget of CY 2020 intends to apply   the   sum   of (Please see schedule below) being the Appr</t>
  </si>
  <si>
    <t xml:space="preserve"> Informing the public that the 74122- 1 UNIT SINGLE STAGE VERTICAL IN-LINE CENTRIFUGAL PUMP 15 LPS per PR. No. 74122 with a Total Approved Budget of the Contract (ABC) P250,000.00 Will be done through Shopping Mode of Procurement. The said undertaking is i</t>
  </si>
  <si>
    <t xml:space="preserve"> Contract ID: 			20GO0038 Contract 	Name: 			 Widening/Improvement/Upgrading of Honorata Manalo  (Buri Road), Brgy. Mandalagan, Bacolod City Contract 	Location: 		 Brgy. Mandalagan, Bacolod City, Negros Occidental Brief Description:                   Widen</t>
  </si>
  <si>
    <t xml:space="preserve"> Rehabilitation/Upgrading and Improvement of Road</t>
  </si>
  <si>
    <t xml:space="preserve"> The Supreme Court intends to apply, through the General Appropriations Act for F.Y. 2020 (R.A. No. 11465), the sum of Seventeen Million Four Hundred Thousand Pesos (₱17,400,000.00), inclusive of Value-Added Tax, being the Approved Budget for the Contract </t>
  </si>
  <si>
    <t xml:space="preserve"> The DPWH-North Manila District Engineering Office, through its Bids and Awards Committee (BAC) invites contractors to submit bids for the following Contract: 2.	 Contract I.D. No. 20OE0114 Contract Name: Rehabilitation of School Building at Gen. Licerio G</t>
  </si>
  <si>
    <t xml:space="preserve"> 1	COFFEE MAKER AUTOMATIC COFFE MAKER Please see attached specifications	2 unit		Php 2,000.00 	 2	EXTENSION CORD 12-GANG UNIVERSAL TOWER WITH SWITCH	10 pc		1,000.00	 3	OVEN MICROWAVE (TOASTER ELECTRIC 23L)	1 pc		4,000.00	 4	PAPER CUTTER HEAVY DUTY	1 pc		3,</t>
  </si>
  <si>
    <t xml:space="preserve"> PR NO.S1-PAL19-002</t>
  </si>
  <si>
    <t xml:space="preserve"> ALBAY 3RD DISTRICT ENGINEERING OFFICE																											 Paulog, Ligao City																											 																											 																											 INVITATION TO BID																											 																											 The DPWH - Alba</t>
  </si>
  <si>
    <t xml:space="preserve"> pulvurizer, shredder ect...</t>
  </si>
  <si>
    <t xml:space="preserve"> Project Reference No.: I-2020-12             Date:          February 21, 2020 INVITATION TO BID FOR PROPOSED TWO-STOREY FOUR CLASSROOMS AT THE MENESES CAMPUS (INFRA-2020-12) 1.	The Bulacan State University (BulSU), through the Income Fund 2020 intends to </t>
  </si>
  <si>
    <t xml:space="preserve"> Republic of the Philippines DEPARTMENT OF HEALTH TALISAY DISTRICT HOSPITAL        (DR. JACINTO VELEZ SR. MEMORIAL HOSPITAL) San Isidro, Talisay City, Cebu (032)273-3226  (032) 273-3226 talisaydistricthospital@gmail.com http://www.tdh.doh.gov.ph INVITAT</t>
  </si>
  <si>
    <t xml:space="preserve"> Project Reference No.: I-2020-11              Date:          February 21, 2020 INVITATION TO BID FOR RENOVATION OF CLASSROOMS AT THE COLLEGE OF INFORMATION AND COMMUNICATIONS TECHNOLOGY BUILDING   (INFRA-2020-11) 1.	The Bulacan State University (BulSU), t</t>
  </si>
  <si>
    <t xml:space="preserve"> Republic of the Philippines DEPARTMENT OF HEALTH TALISAY DISTRICT HOSPITAL        (DR. JACINTO VELEZ SR. MEMORIAL HOSPITAL) San Isidro, Talisay City, Cebu (032)273-8785  (032) 273-8785 talisaydistricthospital@gmail.com http://www.tdh.doh.gov.ph INVITAT</t>
  </si>
  <si>
    <t xml:space="preserve"> Republic of the Philippines DEPARTMENT OF PUBLIC WORKS AND HIGHWAYS CAMARINES NORTE  DISTRICT ENGINEERING OFFICE REGIONAL OFFICE V Daet, Camarines Norte REQUEST FOR EXPRESSION OF INTEREST (REI) Contract ID		: 19CSFC03 Contract Name	: CONDUCT OF GEOTECHNIC</t>
  </si>
  <si>
    <t xml:space="preserve"> Project Reference No.: I-2020-08                                                                                               Date:          February 11, 2020 INVITATION TO BID FOR RE-BIDDING FOR THE RENOVATION OF THE COLLEGE OF SOCIAL SCIENCES AND PHILO</t>
  </si>
  <si>
    <t xml:space="preserve"> Contract ID: 20-DO-0068 Contract Name: LOCAL PROGRAM - Local Infrastructure Program – Buildings and Other Structures – Multipurpose/Facilities – Construction of Multi-Purpose Building (Barangay Health Center), Dela Costa Homes Barangay Burgos, Rodriguez, </t>
  </si>
  <si>
    <t xml:space="preserve"> The DPWH-North Manila District Engineering Office, through its Bids and Awards Committee (BAC) invites contractors to submit bids for the following Contract: 1.	Contract I.D. No. 20OE0108 Contract Name: Rehabilitation of School Building at P. Burgos Eleme</t>
  </si>
  <si>
    <t xml:space="preserve"> Republic of the Philippines COMMISSION ON ELECTIONS M a n i l a INVITATION TO BID Supply and Delivery of Printer Toner Cartridges for Replenishment of Stocks for 1st Quarter FY 2020 (BAC Ref No. 03-2020PTC) Approved Budget for the Contract:  Php35,596,000</t>
  </si>
  <si>
    <t xml:space="preserve"> 1.	The Davao del Norte State College through the Regular Agency Fund (FY 2020 GAA) intends to apply the sum of Forty Million Pesos Only (Php 40,000,000.00) being the Approved Budget for the Contract (ABC) to payment under the contract for the CONSTRUCTION</t>
  </si>
  <si>
    <t xml:space="preserve"> Contract Name: Re – Development of Estero de Binondo, Dasmariñas St., Brgy. 282, Zone 26, District 3, Manila Contract Location: Manila City      Brief Description: Construction of Multi-Purpose Building      Approved Budget for the Contract (ABC):  Php 98</t>
  </si>
  <si>
    <t xml:space="preserve"> Contract Name: Construction of Multi – Purpose Buildings ( Daycare Centers), Manila City Contract Location: Manila City      Brief Description: Construction of Multi – Purpose Buildings      Approved Budget for the Contract (ABC):  Php 97,998,833.48      </t>
  </si>
  <si>
    <t xml:space="preserve"> Contract Name: Improvement of Multi – Purpose Facilities, Brgy. 617, Manila City Contract Location: Manila City      Brief Description: Improvement of Multi – Purpose Building      Approved Budget for the Contract (ABC):  Php 48,999,996.39      Source of </t>
  </si>
  <si>
    <t xml:space="preserve"> Project Reference No.: I-2020-06             Date:          February 11, 2020 INVITATION TO BID FOR  RE-BIDDING FOR THE PROPOSED AUDIO VISUAL ROOM AT THE MENESES CAMPUS  (INFRA-2020-06) 1.	The Bulacan State University (BulSU), through the Income Fund 2020</t>
  </si>
  <si>
    <t xml:space="preserve"> Contract Name: Rehabilitation of Multi – Purpose Building, Brgy 636, Sta. Mesa, Manila Contract Location: Manila City      Brief Description: Rehabilitation of Multi – Purpose Building       Approved Budget for the Contract (ABC):  Php 9,899,596.36      S</t>
  </si>
  <si>
    <t xml:space="preserve"> Contract Name: Rehabilitation of Multi – Purpose Building (Bacood Health Center), Manila Contract Location: Manila City      Brief Description: Rehabilitation of Multi – Purpose Building       Approved Budget for the Contract (ABC):  Php 9,799,932.60     </t>
  </si>
  <si>
    <t xml:space="preserve"> Contract Name: Construction of Multi – Purpose Building at the Department of Social Welfare and Development – National Cpital Region, Manila Contract Location: Manila City      Brief Description: Construction of Multi – Purpose Building      Approved Budg</t>
  </si>
  <si>
    <t xml:space="preserve"> Invitation to Bid LANDBANK Marawi (Lanao del Sur) Building Construction 1.	The LAND BANK OF THE PHILIPPINES, through its Corporate Budget for the contract approved by the Board of Directors for 2020 intends to apply the sum of Nineteen Million Eight Hundr</t>
  </si>
  <si>
    <t xml:space="preserve"> Contract Name: Continuation of Multi – Purpose Building, Brgy. 259, Tondo, Manila Contract Location: Manila City      Brief Description: Rehabilitation of Multi – Purpose Building      Approved Budget for the Contract (ABC):  Php 14,849,659.73      Source</t>
  </si>
  <si>
    <t xml:space="preserve"> A. Clearing. Layout and false works B. Excavation C. Concrete Line Canal with Concrete Cover and Concrete Shoulder D. Concrete Line Canal</t>
  </si>
  <si>
    <t xml:space="preserve"> Invitation to Bid LANDBANK Baguio Corporate Center Building Construction 1.	The LAND BANK OF THE PHILIPPINES, through its Corporate Budget for the contract approved by the Board of Directors for 2019 intends to apply the sum of Seventy Nine Million Nine H</t>
  </si>
  <si>
    <t xml:space="preserve"> Contract Name: Preventive Maintenance – Secondary Roads – Plaza Sta. Cruz – (S02423LZ) (FLR) Chainage 000 – Chainage 104, Manila City Contract Location: Manila City      Brief Description: Asphalt Overlay      Approved Budget for the Contract (ABC):  Php </t>
  </si>
  <si>
    <t xml:space="preserve"> CLARK DEVELOPMENT CORPORATION Clark Freeport Zone, Philippines INVITATION TO BID The Clark Development Corporation (CDC), through its Bids and Awards Committee (BAC), invites suppliers to bid for: Name of Project	:	Supply and Delivery of Brand New Thirtee</t>
  </si>
  <si>
    <t xml:space="preserve"> Contract Name: Rehabilitation / Reconstruction / Improvement of Multi – Purpose Building, Patricia Paraiso Complex, Brgy. 177, Tondo, Manila Contract Location: Manila City      Brief Description: Rehabilitation / Reconstruction / Improvement of Multi – Pu</t>
  </si>
  <si>
    <t xml:space="preserve"> 20HN0105 -LP: Local Infrastructure Program - Buildings and Other Structures – Multipurpose/Facilities - Construction and/or Repair/Rehabilitation of Multi-Purpose Building, Brgy. Ibabao, Cordoba, Cebu (Modified to: Construction/Repair/Rehabilitation of Mu</t>
  </si>
  <si>
    <t xml:space="preserve"> Supply of Labor and Materials  Retaining Wall V = 432.48 cu.m. Culvert Installation 80pcs RCCP #36 / RCCP #42 Concreting Works V= 103.43 cu.m. Manhole/Manhole Cover</t>
  </si>
  <si>
    <t xml:space="preserve"> Conctract ID No.:	:	20K00285 Conctract Name:	:	Construction of Multi-Purpose Building, Brgy. Ranao-Baning, Amai Manabilang, Lanao del Sur Conctract Location:	:	Lanao del Sur Scope of Work:	:	Construction of Multi-Purpose Building Appropriation:	:	PHP 5,00</t>
  </si>
  <si>
    <t xml:space="preserve"> Supply of Labor and Materials Rebar works Masonry Works A = 100.80 sq.m. Concreting works V = 20.47 cu.m. Electrical Works Roofing Works Perimeter Fence L = 33.00 m (rebarworks, masonry works, concreting works, steelworks) Sdewalk (rebarworks, masonry wor</t>
  </si>
  <si>
    <t xml:space="preserve"> CLARK DEVELOPMENT CORPORATION Clark Freeport Zone, Philippines INVITATION TO BID The Clark Development Corporation (CDC), through its Bids and Awards Committee (BAC), invites suppliers to bid for: Name of Project	:	Supply and Delivery of Brand New Three (</t>
  </si>
  <si>
    <t xml:space="preserve"> Supply of Labor and Materials  Concreting Works  v = 6.19 cu.m. Masonry Works Rebarworks Roofing Works Doors and Windows Electrical Works</t>
  </si>
  <si>
    <t xml:space="preserve"> Please download attached BSP Invitation for Negotiation, Terms of References, Forms and Annexes</t>
  </si>
  <si>
    <t xml:space="preserve"> The SUPPLIER shall provide Garbage Hauling Services of 150 trips at Fiestamall Store and Integrated Warehouse for a period of one (1) year. SCOPE OF SERVICES: To haul three times a week the domestic garbage and other waste materials at designated garbage </t>
  </si>
  <si>
    <t xml:space="preserve"> REQUEST FOR QUOTATION Date: February 07, 2019	  RFQ No. MCPD20-002 PR NO. PD2001-20-005 To All Eligible Suppliers Please quote your lowest price inclusive of VAT on the item/s listed below, subject to the Terms and Conditions of this RFQ, for more informa</t>
  </si>
  <si>
    <t xml:space="preserve"> Republic of the Philippines COMMISSION ON ELECTIONS M a n i l a INVITATION TO BID Supply and Delivery of Sheet Fed Scanners for the Document Management System (DMS) Project of the Commission (BAC Ref No. 04-2020SFC) Approved Budget for the Contract:  Php2</t>
  </si>
  <si>
    <t xml:space="preserve"> 1)  BATTERY   (for UPS):   ........................      Five (5) pcs .............. P1,200.00/pc   2)  DESKTOP COMPUTER:  .......................      Two (2) sets .............  39,208.00/set          -Intel Core i5  7700, 3.6Ghz         -H110 M-Motherb</t>
  </si>
  <si>
    <t xml:space="preserve"> Construction of Multi-Purpose Building Covered Court - 16.00m x 30.00m; 6-5.00m per span; with floor area- 480 sq.m; 0.40m elevation from NGL; with PWD Ramp and Railings (Painted Finish); Painted Plaster Finish at Columns and beams; with gutter, with chlo</t>
  </si>
  <si>
    <t xml:space="preserve"> 1)  Plastic Filler for Seagull : .......................500 packs ...... P75.00/pack        -A4 size;  10pcs / pack  2)  Ring Binder: .......................................... 70 pcs  ....... P300.00/pack        -3-ring cover file, A4 size,          hard</t>
  </si>
  <si>
    <t xml:space="preserve"> The San Francisco Water District through its Bids and Award committee will invites you to quote;</t>
  </si>
  <si>
    <t xml:space="preserve"> 1.The Bureau of Quarantine, through the General Appropriations Act intends to apply the sum of Six Million Forty-Eight Thousand One Pesos (Php 6,048,000.00) being the Approved Budget for the Contract (ABC) to payments under the contract for Procurement of</t>
  </si>
  <si>
    <t xml:space="preserve"> CLARK DEVELOPMENT CORPORATION Clark Freeport Zone, Philippines NOTICE TO CONDUCT NEGOTIATED PROCUREMENT ASPHALT OVERLAY AT CLARK MUSEUM AREA  The Clark Development Corporation (CDC), through the CDC Corporate Budget for CY 2020, intends to apply the sum o</t>
  </si>
  <si>
    <t xml:space="preserve"> Procurement of supply and delivery of ICT Supplies  7	unit	Digital Capturing Device (bezel-less phone, Android 9.0 (pie): one UI OS version, dual standby sim, Octacore CPU, 128 GB storage, 6 GB RAM, microSd external storage, non-removable Li-Po 6000mAh ba</t>
  </si>
  <si>
    <t xml:space="preserve"> Republic of the Philippines				 				                   Office of the Municipal Mayor				 					       BIDS AND AWARDS COMMITTEE				 					            Sta. Barbara, Pangasinan				 									 					               Invitation to Bid 				 					                    </t>
  </si>
  <si>
    <t xml:space="preserve"> REPAIR OF HEALTH CENTER (ROOFING) LOCATED @ BRGY SAN JUAN, AGOO, LA UNION</t>
  </si>
  <si>
    <t xml:space="preserve"> Conctract ID No.:	:	20K00275 Conctract Name:	:	Construction of Multi-Purpose Building, Katogonan, Buadiposo Buntong, Lanao del Sur Conctract Location:	:	Lanao del Sur Scope of Work:	:	Construction of Multi-Purpose Building Appropriation:	:	PHP 3,500,000.0</t>
  </si>
  <si>
    <t xml:space="preserve"> Section I. Invitation to Bid FOR THE UPLB-S-030-03-20  PROCUREMENT OF SIPHONING SERVICES OF SEPTIC TANKS FOR UPLB DORMITORIES (NEW DORMITORY, VETMED DORMITORY, FORESTRY RESIDENCE HALL, NEW FORESTRY RESIDENCE HALL) 1.	The UNIVERSITY OF THE PHILIPPINES LOS </t>
  </si>
  <si>
    <t xml:space="preserve"> The DPWH-Ilocos Sur 1st District Engineering Office, through its Bids and Awards Committee (BAC), invites contractors to submit bids for the following Contract:   Contract ID: 20AC0072   Contract Name: Construction of Multi-Purpose Building (Covered Court</t>
  </si>
  <si>
    <t xml:space="preserve"> INVITATION TO BID FOR THE PROCUREMENT ONE (1) LOT, THREE (3) YEARS JANITORIAL SERVICES FOR CF-DAVAO AND APO VIEW SATELLITE UNDER     ITB NO. PB20-03-003DAV The Philippine Amusement and Gaming Corporation (PAGCOR) is inviting all interested bidders in its </t>
  </si>
  <si>
    <t xml:space="preserve"> Specs: Backup &amp; Replication with Standard Perpetual License</t>
  </si>
  <si>
    <t xml:space="preserve"> INVITATION TO BID The DPWH Bukidnon 1st District Engineering Office, Malaybalay City, through its Bids and Awards Committee (BAC), invites contractors to submit bids for the following Contracts:   			 Contract ID 	:	20KA0101(Readvertisement) Contract Name</t>
  </si>
  <si>
    <t xml:space="preserve"> The DPWH-North Manila District Engineering Office, through its Bids and Awards Committee (BAC) invites contractors to submit bids for the following Contract: 20.	Contract I.D. No. 20OE0173 Contract Name: Rehabilitation / Reconstruction / Improvement of Mu</t>
  </si>
  <si>
    <t xml:space="preserve"> Contract Name: Construction of Multi-Purpose Building (Rizal Covered Court), City of Manila Contract Location: Manila City      Brief Description: Construction of Covered Court      Approved Budget for the Contract (ABC):  Php 98,998,843.79      Source of</t>
  </si>
  <si>
    <t xml:space="preserve"> Construction of School Building</t>
  </si>
  <si>
    <t xml:space="preserve"> Contract Name: Rehabilitation of Roads and Drainage at Cordillera St. and Ext., Manila Contract Location: Manila City      Brief Description: Rehabilitation of Roads and Drainage      Approved Budget for the Contract (ABC):  Php 9,899,900.44      Source o</t>
  </si>
  <si>
    <t xml:space="preserve"> Conctract ID No.:	:	20K00270 Conctract Name:	:	Construction of Multi-Purpose Building (Public Market) Butig, Lanao del Sur Conctract Location:	:	Lanao del Sur Scope of Work:	:	Construction of Multi-Purpose Building Appropriation:	:	PHP 2,000,000.00  ABC:	</t>
  </si>
  <si>
    <t xml:space="preserve"> Contract Location: STO. DOMINGO, MALINAO AND MALILIPOT, ALBAY Brief Description: REHABILITATION/CONSTRUCTION/IMPROV’T OF FLOOD CONTROL Source of Funds: GAA 2020 DPWH INFRA  The BAC is conducting the public bidding for this Contract in accordance with RA 9</t>
  </si>
  <si>
    <t xml:space="preserve"> Conctract ID No.:	:	20K00282 Conctract Name:	:	Construction of Multi-Purpose Building, Barangay Gadongan, Marawi City, Lanao del Sur Conctract Location:	:	Lanao del Sur Scope of Work:	:	Construction of Multi-Purpose Building Appropriation:	:	PHP 3,000,000</t>
  </si>
  <si>
    <t xml:space="preserve"> CLARK DEVELOPMENT CORPORATION Clark Freeport Zone, Philippines REQUEST FOR EXPRESSION OF INTEREST The Clark Development Corporation (CDC), through its Bids and Awards Committee (BAC), invites consultants to apply for eligibility and short-listing and if f</t>
  </si>
  <si>
    <t xml:space="preserve"> CLARK DEVELOPMENT CORPORATION Clark Freeport Zone, Philippines INVITATION TO BID The Clark Development Corporation (CDC), through its Bids and Awards Committee (BAC), invites life insurance companies to bid for the hereunder project: Name of Project	:	CDC</t>
  </si>
  <si>
    <t xml:space="preserve"> Contract ID: 20CSIO08 Contract Name: 	Consultancy Services for the Conduct of Feasibility Study of the Proposed Construction of Bypasses/Diversion Roads along Brgy. Kilim – Sitio Tipay Road Junction Ormoc – Baybay – Southern Leyte Bdry. Road to Buenavista</t>
  </si>
  <si>
    <t xml:space="preserve"> UPGRADING OF ELECTRICAL SYSTEM AND SUBMETERING OF THE MAIN BUILDING OF THE DEPARTMENT OF ENVIRONMENT AND NATURAL RESOURCES-CENTRAL OFFICE (DENR-CO) Bid Ref. No. DENR-CO-2020-002 REBID Approved Budget for the Contract:P30,000,000.00 1.	The   Department of </t>
  </si>
  <si>
    <t xml:space="preserve"> Republic of the Philippines City of Dapitan BIDS AND AWARDS COMMITTEE 						March 23, 2020 NOTICE FOR NEGOTIATED - SMALL VALUE PROCUREMENT 	The City Government of Dapitan through the Bids and Awards Committee (BAC) would like to inform PhilGEPS registered</t>
  </si>
  <si>
    <t xml:space="preserve"> Sea Ambulance with 2 Stroke Double Engine 75 HP, 25 Passenger Capacity, GPS big 14 inches, Big Oxygen Tank and with Medical Kit</t>
  </si>
  <si>
    <t xml:space="preserve"> Contract ID: 20CSIO10 Contract Name: Consultancy Services for the Conduct of Feasibility Study of the Proposed Road Opening/Construction of Junction Himay-angan – Silago – Abuyog Boundary Road (Bagacay – Tib-o), Abuyog, Leyte Contract Location: Abuyog, Le</t>
  </si>
  <si>
    <t xml:space="preserve"> The DPWH-Ilocos Sur 1st District Engineering Office, through its Bids and Awards Committee (BAC), invites contractors to submit bids for the following Contract:   Contract ID: 20AC0082   Contract Name: Construction of Box Culvert and Improvement of Draina</t>
  </si>
  <si>
    <t xml:space="preserve"> The DPWH-Ilocos Sur 1st District Engineering Office, through its Bids and Awards Committee (BAC), invites contractors to submit bids for the following Contract:   Contract ID: 20AC0080   Contract Name: Construction of Drainage Canal Along Sta. Elena Creek</t>
  </si>
  <si>
    <t xml:space="preserve"> Request for Proposal  The Bureau of Fisheries and Aquatic Resources Regional Office No. 5 (BFAR RO 5), Fabrica, Bula, Camarines Sur is requesting from prospective suppliers to submit written proposal for the Upgrading of Desktop Computer. Quantity	Unit	It</t>
  </si>
  <si>
    <t xml:space="preserve"> Construction of Multi-Purpose Building includes Civil, Mechanical, Electrical, and Sanitary/Plumbing Works; Earthwork; Plain and Reinforced Concrete Work; and Finishings and Other Civil Works; Electrical; Mechanical</t>
  </si>
  <si>
    <t xml:space="preserve"> Invitation to Bid for Project No.: ITB 2020-Infra-007 1.	The Department of Education (DepEd) Division of Calamba City, intends to apply the sum of One million one hundred eighty-seven thousand eight hundred forty-nine pesos &amp; 29/100 only (Php.1,187,849.29</t>
  </si>
  <si>
    <t xml:space="preserve"> PROCUREMENT OF MANAGED SECURITY SERVICES 	 Project No.: 2020-CIMS(008)-PB-001 FUNDING SOURCE:  CIC CORPORATE BUDGET FOR F.Y. 2020 1.	The CREDIT INFORMATION CORPORATION (CIC) invites PhilGEPS registered providers to bid for the following: QTY	DESCRIPTION	A</t>
  </si>
  <si>
    <t xml:space="preserve"> 1. Pre-procurement	May 7, 2020 2. Advertisement/Posting of IBEI	May 8-14, 2020 3.  Eligibility Check	May 15-16, 2020 4. Issuance and availability of Bidding Documents	May 18-June 1, 2020 5. Pre-Bid Conference 	May 19, 2020 6. Submission and Opening of Bid</t>
  </si>
  <si>
    <t xml:space="preserve"> The DPWH-Ilocos Sur 1st District Engineering Office, through its Bids and Awards Committee (BAC), invites contractors to submit bids for the following Contract:   Contract ID: 20AC0081   Contract Name: Rehabilitation of Rivero Street, Including Constructi</t>
  </si>
  <si>
    <t xml:space="preserve"> INVITATION TO BID The DPWH-Regional Office No. III,  through  its  Bids  and  Awards  Committee  (BAC),  invites contractors to submit bids for the following Contracts below:   Procurement ID/Contract ID:    20C00042 Contract Name:      Local Program-Cons</t>
  </si>
  <si>
    <t xml:space="preserve"> Request for Quotation The Bureau of Fisheries and Aquatic Resources, Regional Office No. 5, Fabrica, Bula, Camarines Sur is requesting from prospective suppliers to submit quotation for the Supply and Delivery of FRP Materials, Underwater Fittings and Mar</t>
  </si>
  <si>
    <t xml:space="preserve"> Procurement of supply and delivery of Laboratory Supplies 98	box	Facemask, cotton, good quality, 50’s 50	box	Syringe, disposable, good quality, 3 ml, 100’s 50	box	Syringe, disposable, good quality, 5 ml, 100’s 50	box	Syringe, disposable, good quality, 10 </t>
  </si>
  <si>
    <t xml:space="preserve"> To be used in the collection of Local Revenues. Delivery Term: 30-45 days after receipt of PO.</t>
  </si>
  <si>
    <t xml:space="preserve"> CLARK DEVELOPMENT CORPORATION  Clark Freeport Zone, Philippines REQUEST FOR EXPRESSION OF INTEREST The Clark Development Corporation (CDC), through its Bids and Awards Committee (BAC), invites consultants to apply for eligibility and short-listing and if </t>
  </si>
  <si>
    <t xml:space="preserve"> INVITATION TO BID FOR CIVIL WORKS December 05, 2019 1.	The Department of Public Works and Highways (DPWH), Bukidnon Second District Engineering Office, Pinamaloy, Don Carlos, Bukidnon through its Bids and Awards Committee BAC, invites contractors to submi</t>
  </si>
  <si>
    <t xml:space="preserve"> Invitation to Bid  for the  Subic-Clark Railway Project Public Bidding No.  19-341-7 1.	The Government of the Philippines (GoP) intends to apply for a Loan from the People’s Republic of China toward the cost of the Subic-Clark Railway Project (SCRP), and </t>
  </si>
  <si>
    <t xml:space="preserve"> INVITATION TO BID The DPWH Regional Office IX, Veterans Avenue Extension, Tetuan, Zamboanga City, through its Bids and Awards Committee (BAC), invites contractors to submit bids for the following Contract: Contract ID	:	20J00091 Contract Name	:	Replacemen</t>
  </si>
  <si>
    <t xml:space="preserve"> INVITATION TO BID The DPWH Regional Office IX, Veterans Avenue Extension, Tetuan, Zamboanga City, through its Bids and Awards Committee (BAC), invites contractors to submit bids for the following Contract: Contract ID	:	20J00090 Contract Name	:	Replacemen</t>
  </si>
  <si>
    <t xml:space="preserve"> INVITATION TO BID The DPWH Regional Office IX, Veterans Avenue Extension, Tetuan, Zamboanga City, through its Bids and Awards Committee (BAC), invites contractors to submit bids for the following Contract: Contract ID	:	20J00089 Contract Name	:	Replacemen</t>
  </si>
  <si>
    <t xml:space="preserve"> OTHER MACHINERY AND EQUIPMENT 2	ass	1.  Pump Coupled with MOTOR: Submersible pump 		Capacity of at least 60m3 per day at the following conditions: 		a. Operating condition: TDH=25-35m (operating head); Flow rate (7-10cmh) 		b. Pump Efficieny;  50% (minimu</t>
  </si>
  <si>
    <t xml:space="preserve"> INVITATION TO BID The DPWH Regional Office IX, Veterans Avenue Extension, Tetuan, Zamboanga City, through its Bids and Awards Committee (BAC), invites contractors to submit bids for the following Contract: Contract ID	:	20J00092 Contract Name	:	Replacemen</t>
  </si>
  <si>
    <t xml:space="preserve"> 1	lot	Professional Services (Highly Technical) to provide for Engineering Plans for the following: 		1.  Generator Set System of BSWM 		2. Fume Hood Ducting System of Laboratory 		3. Architectural Plan of BSWM 		4. Site Development Plan of BSWM 		Delivera</t>
  </si>
  <si>
    <t xml:space="preserve"> Technical and Scientific Equipment 3	pc	Scientific Calculator 		Specs: 		fx50f Plus 406 functions Dual Power Programable 406 function; 12 digits 2 line display; dot matrix 4 program areas; Two Way power 615	btl	Water Sampling Collection Plastic Bottle 		S</t>
  </si>
  <si>
    <t xml:space="preserve"> A) REQUEST FOR QUOTATION Aircon Repair of H.G Starex  1. 1 pc Control Switch Assembly 2. 1 pc Expansion Valve (Front) 3. 1 pc Expansion Valve (Rear) Delivery Period: Five (5) Working Days B) USE COMPANY LETTERHEAD FOR YOUR QUOTATION &amp; ADDRESS TO: DIR. JAM</t>
  </si>
  <si>
    <t xml:space="preserve"> Request for Quotation The Bureau of Fisheries and Aquatic Resources, Regional Office No. 5, Fabrica, Bula, Camarines Sur is requesting from prospective suppliers to submit quotation for the Supply and Delivery of Office Supplies intended for printing and </t>
  </si>
  <si>
    <t xml:space="preserve"> INVITATION TO BID The DPWH Bukidnon 1st District Engineering Office, Malaybalay City, through its Bids and Awards Committee (BAC), invites contractors to submit bids for the following Contracts:   			 4	Contract ID 	:	20KA0138 	Contract Name 	:	Constructi</t>
  </si>
  <si>
    <t xml:space="preserve"> INVITATION TO BID The DPWH Bukidnon 1st District Engineering Office, Malaybalay City, through its Bids and Awards Committee (BAC), invites contractors to submit bids for the following Contracts:   			 3	Contract ID 	:	20KA0137 	Contract Name 	:	Paving of </t>
  </si>
  <si>
    <t xml:space="preserve"> Republic of the Philippines Province of Iloilo Municipality of Ajuy BIDS AND AWARD COMMITTEE INVITATION TO APPLY FOR ELIGIBILITY AND TO BID 	The Local Government of Ajuy, Iloilo invites Accredited Supplier to apply for eligibility and to bid for the Purch</t>
  </si>
  <si>
    <t xml:space="preserve"> INVITATION TO BID The DPWH Bukidnon 1st District Engineering Office, Malaybalay City, through its Bids and Awards Committee (BAC), invites contractors to submit bids for the following Contracts:   			 8	Contract ID 	:	20KA0142 	Contract Name 	:	Constructi</t>
  </si>
  <si>
    <t xml:space="preserve"> INVITATION TO BID IB-2020-060 The Philippine Children’s Medical Center, through PCMC Corporate Fund for CY 2020 intends to apply the sum of Sixteen Million Seven Hundred Twenty-Three Thousand One Hundred One Pesos and 12/100 (Php 16,723,101.12) being the </t>
  </si>
  <si>
    <t xml:space="preserve"> 74514 - Procurement of Various Hardware &amp; Construction Materials Posting Date: June 3, 2020 Closing Date: June 16, 2020</t>
  </si>
  <si>
    <t xml:space="preserve"> A) REQUEST FOR QUOTATION 1. 24 gals Red Oxide Primer 2. 6 gals Paint Thinner 3. 50 pails Roofpaint, Red 4. 12 pcs Paint Brush 4” 5. 5 pcs Paint Roller 7” 6. 10 pcs Paint Brush 3” 7. 10 kg Waste Cloth Note: Delivery Period: Fifteen (15) Calendar days B) US</t>
  </si>
  <si>
    <t xml:space="preserve"> INVITATION TO RE-BID FOR THE  SUPPLY AND DELIVERY OF GIS DESKTOP SOFTWARE PR No. 27611-001  1.	The Metropolitan Cebu Water District, through the Corporate Budget of 2020 intends to apply the sum of: PR No.	Description	Qty.	Unit Price	Approved Budget  for </t>
  </si>
  <si>
    <t xml:space="preserve"> CLARK DEVELOPMENT CORPORATION Clark Freeport Zone, Philippines NOTICE TO CONDUCT NEGOTIATED PROCUREMENT SLOPE PROTECTION OF DRAINAGE AT THE BACK OF MSK/NAYONG PILIPINO The Clark Development Corporation (CDC), through the CDC Corporate Budget for CY 2020, </t>
  </si>
  <si>
    <t xml:space="preserve"> 1	BEDDINGS FOR GH# 1 &amp; 2 SINGLE SIZE	75	SET	 1,000.00  2	BEDDINGS FOR GH# 1 &amp; 2 QUEEN SIZE	44	SET		 1,200.00  3	BEDDINGS FOR GH 1 &amp; 2 KING SIZE	5	SET		 1,500.00  4	CANISTER JAR CANISTER JAR	10	PC		 100.00  5	CHAIRS GENERAL OFFICE CHAIRS	100	PC		 400.00  6</t>
  </si>
  <si>
    <t xml:space="preserve"> 74568 - Procurement of Various Hardware Materials for Construction of Modular Concrete Blocks Posting Date: June 3, 2020 Closing Date: June 16, 2020</t>
  </si>
  <si>
    <t xml:space="preserve"> REQUEST FOR EXPRESSION OF INTEREST (REOI) FOR CONSULTING SERVICES  19CSK00055 – Consulting Services for the Conduct of Soil Testing/Exploration for Bridge Projects - Geotechnical Investigation - Construction of Concrete Bridge, Impasug-ong Bdry. Bukidnon </t>
  </si>
  <si>
    <t xml:space="preserve"> INVITATION TO BID FOR Procurement of Reference Books (Lot 1-7) 	          The CAMARINES SUR POLYTECHNIC COLLEGES, through the College Income intends to apply the sum of the following listed below being the Approved Budget for the Contract (ABC) to payment</t>
  </si>
  <si>
    <t xml:space="preserve"> Invitation to Bid For One (1) Lot Supply, Delivery and Installation of Systems Furniture for LANDBANK Malolos Highway Office Building 1.	The LAND BANK OF THE PHILIPPINES (LANDBANK), through its Corporate Budget for the contract approved by the Board of Di</t>
  </si>
  <si>
    <t xml:space="preserve"> Republic of the Philippines Department of Health 	ADELA SERRA TY MEMORIAL MEDICAL CENTER	 		Capitol Hills, Tandag City, Surigao del Sur Telefax No. 086-211-4306, E-mail add: astmmc_hbac@yahoo.com.ph INVITATION TO BID FOR PROCUREMENT OF FULLY AUTOMATED DIG</t>
  </si>
  <si>
    <t xml:space="preserve"> Republic of the Philippines CENTRAL BICOL STATE UNIVERSITY OF AGRICULTURE-SIPOCOT 	Impig, Sipocot, Camarines Sur INVITATION TO BID FOR SUPPLY AND DELIVERY OF ONE (1) UNIT PASSENGER VAN 1.	The CENTRAL BICOL STATE UNIVERSITY OF AGRICULTURE (CBSUA) - SIPOCOT</t>
  </si>
  <si>
    <t xml:space="preserve"> The DPWH-North Manila District Engineering Office, through its Bids and Awards Committee (BAC) invites contractors to submit bids for the following Contract: 13.	Contract I.D. No. 20OE0166 Contract Name: Construction of 3 Storey Multi – purpose Building, </t>
  </si>
  <si>
    <t xml:space="preserve"> Reshaping &amp; compaction, including trimming of road side slopes of Katipunan Barangay Road networks.</t>
  </si>
  <si>
    <t xml:space="preserve"> Republic of the Philippines DEPARTMENT OF PUBLIC WORKS AND HIGHWAYS Region VII   South Road Properties (SRP), Cebu City                                        Contract ID	 : 20H00061 Contract Name  : Cluster Project: Construction of Rain Water Supply/Sept</t>
  </si>
  <si>
    <t xml:space="preserve"> City Government of Manila INVITATION TO BID NO. 2020-06-82 Procurement of Various Manila Aide Uniform, Supplies and Materials 1.	The City Government of Manila, through the General Fund CY 2020 - Other Supplies and Materials Expenses intends to apply the s</t>
  </si>
  <si>
    <t xml:space="preserve"> INVITATION TO BID PUBLIC BIDDING NO.: 2005021 FUNDING SOURCE: GOVERNMENT OF THE PHILIPPINES THROUGH GENERAL APPROPRIATIONS ACT  (GAA) FY 2020 The Department of Science and Technology (DOST-CAR), through its Bids and Awards Committee  (BAC),  invites  bidd</t>
  </si>
  <si>
    <t xml:space="preserve"> Republic of the Philippines Province of Kalinga TABUK CITY OHS COMMITTEE ON BIDS AND AWARDS INVITATION TO BID FOR THE PROCUREMENT OF MEDICAL/SURGICAL/LABORATORY/XRAY/ULTRASOUND SUPPLIES 1. The PROVINCIAL GOVERNMENT OF KALINGA, through the General Fund Ann</t>
  </si>
  <si>
    <t xml:space="preserve"> 1	12	Sheets	1/4" thick Marine Plywood 2	150	Bd.Ft.	 2" x 2" x 12' Good lumber 3	160	Bd.Ft.	 2" x 2" x 10' Good lumber 4	55	Bd.Ft.	 2" x 2" x 8' Good lumber 5	10	kgs	  #2 1/2" CWN 6	3	kgs	  #1" CWN 7	12	bd.ft.	1'' x 3'' x 6' good lumber 8	12	bd.ft.	1'' x 3</t>
  </si>
  <si>
    <t xml:space="preserve"> 1.	The Local Government Unit of Enrile through the Local Government Support Fund-AM 2019 intends to apply the sum of Five Million pesos (Php 5,000,000.00) being the Approved Budget for the Contract (ABC) to payments under the contract for the Concreting o</t>
  </si>
  <si>
    <t xml:space="preserve"> as per BSP Technical Specifications</t>
  </si>
  <si>
    <t xml:space="preserve"> Republic of the Philippines BOHOL ISLAND STATE UNIVERSITY Main Campus, Tagbilaran City INVITATION TO BID FOR PR NO. 2020-02-0190-MAIN-SUPPLY AND DELIVERY OF HOTEL HOUSEKEEPING INSTRUCTIONAL AND LABORATORY MATERIALS FOR THE COLLEGE OF BUSINESS ARTS AND SCI</t>
  </si>
  <si>
    <t xml:space="preserve"> Invitation to Bid for  INFRA 2K20-49 CONCRETING OF BINUAY TO BALUNO ROAD SECTION Dimataling, Zamboanga del Sur June 10, 2020 1.	The Provincial Government of Zamboanga del Sur, through the 20% EDF CY 2020 intends to apply the sum of Nineteen Million Five H</t>
  </si>
  <si>
    <t xml:space="preserve"> Republic of the Philippines                                                       Province of Zamboanga del Norte                                                          MUNICIPALITY OF MANUKAN 	                                                           </t>
  </si>
  <si>
    <t xml:space="preserve"> INVITATION TO BID FOR  “Supply and Delivery of One (1) lot Sealed Lead Acid Battery” 1.	The Philippine Institute of Volcanology and Seismology, through the GAA 2020 intends to apply the sum of Three Million Two Hundred Thousand Pesos Only (₱3,200,000.00) </t>
  </si>
  <si>
    <t xml:space="preserve"> The DPWH-Ilocos Sur 1st District Engineering Office, through its Bids and Awards Committee (BAC), invites contractors to submit bids for the following Contract:   Contract ID: 20AC0076   Contract Name: Construction of Multi-Purpose Building (Covered Court</t>
  </si>
  <si>
    <t xml:space="preserve"> Republic of the Philippines Department of Public Works and Highways AGUSAN DEL NORTE DISTRICT ENGINEERING OFFICE REGIONAL OFFICE XIII J. P. Rosales Avenue, Butuan City INVITATION TO BID  The Department of Public Works and Highways Agusan del Norte Distric</t>
  </si>
  <si>
    <t xml:space="preserve"> A) REQUEST FOR QUOTATION 1. 560 pcs Ceramic floor tiles, 30 x 60cm 2. 330 pcs Wall tiles (polish) 30 x 60cm 3. 2 pcs Shower hose stainless 4. 1 bag Portland Cement, 40 kg/bag 5.3 pcs Tile cutting wheel / disc 4”Ø 6. 2 bags Tile grout gray, 2 kg/bag 7. 2 b</t>
  </si>
  <si>
    <t xml:space="preserve"> ITB No. 2020-09 (SHORT OF AWARD) 1.	The SUGAR REGULATORY ADMINISTRATION, through the SRA SIDA 2017/18/19 GAA re-budgeted to 2020 Budget intends to apply the sum of Seventeen Million One Hundred Thousand Pesos (₱17,100,000.00) being the total Approved Budg</t>
  </si>
  <si>
    <t xml:space="preserve"> REPUBLIC OF THE PHILIPPINES LGU-Tigaon, Camarines Sur Caraycayon, Tigaon, Camarines Sur -o0o- BIDS &amp; AWARDS COMMITTEE INVITATION TO BID CONSTRUCTION OF VARIOUS INFRA PROJECTS PROJECT ID NO. INFRA-20-003 1.	The Local Government Unit of Tigaon, Camarines Su</t>
  </si>
  <si>
    <t xml:space="preserve"> Republic of the Philippines Region 10 – Northern Mindanao Province of Lanao del Norte MUNICIPALITY OF BALO-I Email: mlgubaloi.ldn@gmail.com Office of the Bids and Awards Committee Invitation to Bid 1. The Local Government Unit of Balo-i, Lanao del Norte, </t>
  </si>
  <si>
    <t xml:space="preserve"> 1.	The Bangko Sentral ng Pilipinas (BSP), through its Bids and Awards Committee –Information Technology, Infrastructure and Other Related Components (BAC-ITIO), invites bidders to apply for eligibility and to bid for the hereunder requirement: Name of Req</t>
  </si>
  <si>
    <t xml:space="preserve"> Concrete Paving along River Park 100LM NOTE:To all bidders bid documents and BAC Resolution 2020-029 are available at BAC Office and LGU website.</t>
  </si>
  <si>
    <t xml:space="preserve"> Invitation to Bid for SUPPLY AND DELIVERY OF OFFICE EQUIPMENT  FOR MDRRM OFFICE The Municipal Government of Looc, Romblon, through the AO NO 021-2020 Supplemental Appropriation intends to apply the sum of Two Hundred Twenty-Three Thousand Pesos Only (P 22</t>
  </si>
  <si>
    <t xml:space="preserve"> Republic of the Philippines PROVINCE OF NUEVA VIZCAYA Munici pality of Aritao BIDS AND AWARDS COMMITTEE               INVITATION TO BID FOR  FURNISHING/DELIVERY OF FUEL, OIL &amp; LUBRICANTS 1.	The Municipality of Aritao, through its 2020 General Fund intends</t>
  </si>
  <si>
    <t xml:space="preserve"> INVITATION TO BID FOR PURCHASE OF OFFICE SUPPLIES LGU, CAJIDIOCAN, ROMBLON 1.	The Municipal Government of Cajidiocan, Romblon intends to apply the sum of ONE MILLION, NINETY-FIVE THOUSAND, FOUR HUNDRED SEVENTY SIX PESOS and 00/100 (P 1,095,476.00) being t</t>
  </si>
  <si>
    <t xml:space="preserve"> INVITATION TO BID FOR THE IMPROVEMENT OF MULTI-PURPOSE HALL PHASE II- MUNICIPAL BUILDING, POBLACION, CAJIDIOCAN, ROMBLON 1.	The Municipal Government of Cajidiocan, Romblon through the 20% MDF CY-2019 intends to apply the sum of FOUR HUNDRED NINETY-NINE TH</t>
  </si>
  <si>
    <t xml:space="preserve"> INVITATION TO BID FOR THE SUPPLY OF GASOLINE AND DIESEL THROUGH FLEET CARD TECHNOLOGY SYSTEM FOR TWO (2) YEARS UNDER ITB NO. PB20-01-015CORA-06 (REBIDDING) The Philippine Amusement and Gaming Corporation (PAGCOR) is inviting all interested bidders in its </t>
  </si>
  <si>
    <t xml:space="preserve"> Republic of the Philippines PROVINCE OF SAMAR Catbalogan -o0o- REQUEST FOR EXPRESSION OF INTEREST FOR THE PROCUREMENT OF INDEPENDENT CONSULTANT FOR THE CONSULTANCY SERVICES FOR THE FORMULATION OF FEASIBILITY STUDY AND ENVIRONMENTAL IMPACT ASSESSMENT, AND </t>
  </si>
  <si>
    <t xml:space="preserve"> 1.	The Department of Trade and Industry, through the Integrated Natural Resources and Environmental Management Project – Livelihood Enhancement Support 2 (INREMP-LES 2 ) under the Asian Development Bank (ADB) Funding intends to apply the sum of Ninety Tho</t>
  </si>
  <si>
    <t xml:space="preserve"> INVITATION TO BID/REQUEST FOR EXPRESSION OF INTEREST The Department of Public Works and Highways (DPWH) Lanao del Norte 1st District Engineering Office, through its Bids and Awards Committee (BAC), is inviting interested consultants/firms with technical e</t>
  </si>
  <si>
    <t xml:space="preserve"> Republic of the Philippines Department of Health CENTRAL OFFICE BIDS AND AWARDS COMMITTEE 11 June 2020 REQUEST FOR QUOTATION PROCUREMENT OF VARIOUS ICT RFQ No. 2020-003 1.	The Department of Health (DOH), hereinafter referred to as “the Purchaser”, has a r</t>
  </si>
  <si>
    <t xml:space="preserve"> INVITATION TO BID The City of Bayawan, through its Bids and Awards Committee (BAC), invites suppliers/manufacturers/distributors/contractors to bid for the hereunder projects: 	Lot No. I		ICT EQUIPMENT					 1	15	unit(s)	Gigabit Manage Switch					 			Enclo</t>
  </si>
  <si>
    <t xml:space="preserve"> Invitation to Bid for SUPPLY AND DELIVERY OF DISASTER EQUIPMENT The Municipal Government of Looc, Romblon, through the AO NO 018-2019 Regular intends to apply the sum of Two Hundred Fifty-Five Thousand Seven Hundred Eighty Pesos &amp; 07/100 Only (P 255,780.0</t>
  </si>
  <si>
    <t xml:space="preserve"> INVITATION TO BID (GOODS) The Municipality of Sibonga, through the General Fund intends to apply the sum of One hundred thousand pesos only (100,000.00) being the Approved Budget for the Contract (ABC) to payment under the contract Re-Bidding for the Supp</t>
  </si>
  <si>
    <t xml:space="preserve"> Republic of the Philippines BOHOL ISLAND STATE UNIVERSITY Main Campus, Tagbilaran City INVITATION TO BID FOR SUPPLY AND DELIVERY OF PRINTING SUPPLIES FOR DIFFERENT DEPARTMENTS (NON-PS) (PR NO. 2020-06-0560) 1.	The Bohol Island State University – Main Camp</t>
  </si>
  <si>
    <t xml:space="preserve"> The Government Service Insurance System (GSIS), through the GSIS Corporate Operating Budget for CY 2020, intends to apply the sum of Thirty Four Million Seven Hundred Fifty Thousand Pesos (Php34,750,000.00) being the Approved Budget for the Contract (ABC)</t>
  </si>
  <si>
    <t xml:space="preserve"> INVITATION TO BID FOR THE CONSTRUCTION OF FMR- SITIO SAED, TAGUILOS, CAJIDIOCAN, ROMBLON 1.	The Municipal Government of Cajidiocan, Romblon through the 20% MDF CY-2019 intends to apply the sum of SEVEN HUNDRED NINETY-NINE THOUSAND, NINE HUNDRED NINETY SIX</t>
  </si>
  <si>
    <t xml:space="preserve"> Republic of the Philippines Department of Health	 CENTRAL OFFICE BIDS AND AWARDS COMMITTEE  INVITATION TO BID FOR THE  PROCUREMENT OF BEDAQUILINE FUMARATE IB NO. 2020-221 1.	The Department of Health (DOH), through the General Appropriations Act of 2020 in</t>
  </si>
  <si>
    <t xml:space="preserve"> Republic of the Philippines Province of Southern Leyte Municipality of Silago BIDS AND AWARDS COMMITTEE INVITATION TO BID FOR  Supply and Delivery of  DENTAL EQUIPMENT/FACILITY 1.   The Local Government Unit of Silago, Province of Southern Leyte, through </t>
  </si>
  <si>
    <t xml:space="preserve"> INVITATION TO BID (2nd Bidding) The MUNICIPALITY OF TABOGON through its Bids and Awards Committee (BAC), invites suppliers/manufacturers/distributors/contractors to apply eligibility and to bid for the hereunder project: Name of Project			: SUPPLY AND DEL</t>
  </si>
  <si>
    <t xml:space="preserve"> INVITATION TO BID The MUNICIPALITY OF TABOGON through its Bids and Awards Committee (BAC), invites suppliers/manufacturers/distributors/contractors to apply eligibility and to bid for the hereunder project: Name of Project			: SUPPLY AND DELIVERY OF SUPPL</t>
  </si>
  <si>
    <t xml:space="preserve"> The National Mapping and Resource Information Authority, Bids and Awards Committee (NAMRIA BAC) invites interested SUPPLIERS/DEALERS &amp; CONTRACTORS for the following project/s: Procurement of ICT Resources for Geospatial Information and System Management U</t>
  </si>
  <si>
    <t xml:space="preserve"> 1 unit 	Water bath/holding tank with thermometer and heater	 	  -Rectangular shape, L1M x W0.6M x H0.5M	 	  -made of stainless steel 304 materials , 3mm thick	 	  -removable inner platform, made of perforated sheet	 	  -hinge cover with gasket	 	  -electr</t>
  </si>
  <si>
    <t xml:space="preserve"> REPUBLIC OF THE PHILIPPINES OFFICE OF BIDS AND AWARDS COMMITTEE 2ND FLOOR, ADMINISTRATION BUILDING ACCESS, EJC., MONTILLA, TACURONG CITY   INVITATION TO BID FOR MACHINERY &amp; EQUIPMENT OUTLAY FOR THE PURCHASE OF ONE UNIT NURSING SIMULATOR FOR THE USE OF COL</t>
  </si>
  <si>
    <t xml:space="preserve"> Republic of the Philippines Province of Guimaras OFFICE OF THE BIDS AND AWARDS COMMITTEE INVITATION TO BID FOR    SUPPLY AND DELIVERY OF LIVE ANIMALS AND FEEDS Bid Ref. No. 2020-06-335 1.	The Province of Guimaras , through the DOLE Kabuhayan Program (Vari</t>
  </si>
  <si>
    <t xml:space="preserve"> Portland Cement Coco Lumber 2x4x12 Sand Gravel Common Nails #3</t>
  </si>
  <si>
    <t xml:space="preserve"> 1.	The Compostela Water District, through the CWD GAA-2017 LOAN intends to apply the sum of Two Million Five Hundred Pesos (₱2,500,000.00) being the Approved Budget for the Contract (ABC) to payments under the contract for Supply, Delivery and Installatio</t>
  </si>
  <si>
    <t xml:space="preserve"> Republic of the Philippines City of Manila OFFICE OF THE CITY MAYOR BIDS AND AWARDS COMMITTEE INVITATION TO BID  The City Government of Manila, through the Special Education Fund FY 2020, intends to apply the following amounts for the following proposed p</t>
  </si>
  <si>
    <t xml:space="preserve"> 1.	The Local Government Unit of Baleno, Masbate, through the 2020 Local Disaster and Risk Reduction Fund intends to apply the sum of Six Hundred Ninety-two Thousand Seven Hundred Forty-six Pesos &amp; 69/100 (P692,746.69) being the Approved Budget for the Con</t>
  </si>
  <si>
    <t xml:space="preserve"> Section I. Invitation to Bid Republic of the Philippines Province of Bukidnon MUNICIPALITY OF TALAKAG Invitation to Bid for Procurement of Travelling Rice Mill  (For San Isidro Rice Farmer Association, BUB 2015) 1.	The Municipality of Talakag through the </t>
  </si>
  <si>
    <t xml:space="preserve"> INVITATION TO BID IB No. GS-2020 – 046-A Agricultural Machinery and Equipment for subsidy/assistance to Local Government Units,  Other (Farmers Association/Cooperative) 1. The  Provincial  Government  of  Oriental  Mindoro  (PGOM)  through  the  General F</t>
  </si>
  <si>
    <t xml:space="preserve"> 12 sets HOSPITAL BED MANUAL (3 CRANKS) complete accessories with Bedside Table</t>
  </si>
  <si>
    <t xml:space="preserve"> 2	pc	Fillet gauge		 11	pc	Try square 300 mm long		 2	unit	Work bench w/ bench vice on 4 corners		 1	set	Belt tension gauge		 2	set	Box wrench metric size		 1	unit	Cooling system analyzer		 2	set	Socket wrench 		 2	set	Tire pressure gauge		 5	pc	Cover alls</t>
  </si>
  <si>
    <t xml:space="preserve"> Republic of the Philippines PROVINCE OF BUKIDNON Municipality of Sumilao INVITATION TO BID ITB NO. GS-2020-27 PROCUREMENT OF CORN SEEDS &amp; FERTILIZERS FOR THE SUSTAINABLE LAND RESOURCE MANAGEMENT APPROACH (SLRMA) FOR AGRI-ENVIRONMENTAL DEVELOPMENT OF UPLAN</t>
  </si>
  <si>
    <t xml:space="preserve"> 40 Reams Bond Paper (Long Subs. 20) 10 Reams Bond Paper ( short subs. 20) 40 Reams Bond Paper (A4 subs. 20) 50 pcs. folder (long) 2 dozens Sign Pen(0.05 black color) 5 pcs Stapler No. 35 Big (Heavy Duty) 5 pcs. Puncher (big) 4 pcs Toilet Brush 3 Boxes Pap</t>
  </si>
  <si>
    <t xml:space="preserve"> 20HN0083 (Re-advertisement) -LP: Construction/Repair/ Rehabilitation/Improvement of  Various Infrastructure including Local Projects - Local Roads  and Bridges - Local Roads - Construction of Local Road,.Brgy.Sto. Nino Lamac, Consolacion, Cebu (Modified t</t>
  </si>
  <si>
    <t xml:space="preserve"> INVITATION TO APPLY FOR ELIGIBILITY AND BID								 								 The  Municipality  of  Maasin,  Iloilo,  through  its  Bids  and  Awards  Committee (BAC),  invites  suppliers/								 distributors/ contractors to apply for eligibility and to bid for the here</t>
  </si>
  <si>
    <t xml:space="preserve"> Republic of the Philippines PROVINCE OF SOUTHERN LEYTE Maasin City Invitation to Bid for the Procurement of Logbook  Contract ID # 2020-07-07-359PG 1.	The Provincial Government of Southern Leyte through the PDH– Office Supplies Expenses intend to apply fo</t>
  </si>
  <si>
    <t xml:space="preserve"> Republic of the Philippines PROVINCE OF SOUTHERN LEYTE Maasin City Invitation to Bid for the Procurement of IT and Office Equipment  Contract ID # 2020-07-07-058PG 1.	The Provincial Government of Southern Leyte through the PAIASO–Information &amp; Communicati</t>
  </si>
  <si>
    <t xml:space="preserve"> Republic of the Philippines Province of Iloilo Municipality of Guimbal Rizal Street, Guimbal, Iloilo The Local Government Unit of Guimbal, Rizal Street, Guimbal, Iloilo, through its Bids and Award Committee (BAC), invites Contractors to submit bids for th</t>
  </si>
  <si>
    <t xml:space="preserve"> Republic of the Philippines PROVINCE OF SOUTHERN LEYTE Maasin City Invitation to Bid for the Procurement of Various Housekeeping Supplies  Contract ID # 2020-07-07-357PG 1.	The Provincial Government of Southern Leyte through the PLSO– Other Supplies and M</t>
  </si>
  <si>
    <t xml:space="preserve"> Republic of the Philippines PROVINCE OF SOUTHERN LEYTE Maasin City Invitation to Bid for the Procurement of Various Office Supplies    Contract ID # 2020-07-07-340PG 1.	The Provincial Government of Southern Leyte through the SOYMPH Office Supplies  expens</t>
  </si>
  <si>
    <t xml:space="preserve"> Republic of the Philippines PROVINCE OF SOUTHERN LEYTE Maasin City Invitation to Bid for the Procurement of Kitchen Equipment   Contract ID # 2020-07-07-339PG 1.	The Provincial Government of Southern Leyte through the SOYMPH Other Property, Plant and Equi</t>
  </si>
  <si>
    <t xml:space="preserve"> Republic of the Philippines PROVINCE OF SOUTHERN LEYTE Maasin City Invitation to Bid for the Procurement of Vehicle Spare Parts &amp; Labor  Contract ID # 2020-07-07-338PG 1.	The Provincial Government of Southern Leyte through the PGO Repair and Maintenance –</t>
  </si>
  <si>
    <t xml:space="preserve"> Republic of the Philippines PROVINCE OF SOUTHERN LEYTE Maasin City Invitation to Bid for the Procurement of Vehicle Spare Parts   Contract 2020-07-07-337PG  1.	The Provincial Government of Southern Leyte through the PEO’ENG Repairs and Maintenance – Trans</t>
  </si>
  <si>
    <t xml:space="preserve"> Republic of the Philippines PROVINCE OF SOUTHERN LEYTE Maasin City Invitation to Bid for the Procurement of Vehicle Spare Parts &amp; Labor  Contract ID # 2020-07-07-334PG 1.	The Provincial Government of Southern Leyte through the PDRRMO Repair and Maintenanc</t>
  </si>
  <si>
    <t xml:space="preserve"> Invitation to Bid “Acquisition of One (1) Lot Health Care Services through Health Maintenance Organization” 01.The National Bureau of Investigation, through the 2019 NBI Clearance Retention Fees pursuant to RA 10867 otherwise known as the NBI Reorganizati</t>
  </si>
  <si>
    <t xml:space="preserve"> Republic of the Philippines PROVINCE OF SOUTHERN LEYTE Maasin City Invitation to Bid for the Procurement of Vehicle Spare Parts  Contract ID # 2020-07-07-336PG 1.	The Provincial Government of Southern Leyte through the PENRMO Repair and Maintenance – Tran</t>
  </si>
  <si>
    <t xml:space="preserve"> Republic of the Philippines PROVINCE OF SOUTHERN LEYTE Maasin City Invitation to Bid for the Procurement of Electrical Supplies   Contract ID # 2020-07-07-335PG 1.	The Provincial Government of Southern Leyte through the PENRMO Repairs and Maintenance -Bui</t>
  </si>
  <si>
    <t xml:space="preserve"> Republic of the Philippines PROVINCE OF SOUTHERN LEYTE Maasin City Invitation to Bid for the Rehabilitation of Spring Development Project Barangay Mahayag, St. Bernard, Southern Leyte Contact ID # - 2020-07-07-035CW 1.	The Provincial Government of Souther</t>
  </si>
  <si>
    <t xml:space="preserve"> Republic of the Philippines DEPARTMENT OF PUBLIC WORKS AND HIGHWAYS ILOILO 1st  DISTRICT ENGINEERING OFFICE Fort San Pedro Road, Iloilo City INVITATION TO BID FOR: 20GGF0016 – Procurement  of Global Navigation Satellite System (GNSS) Equipment (1 base, 2 </t>
  </si>
  <si>
    <t xml:space="preserve"> Republic of the Philippines PROVINCE OF SOUTHERN LEYTE Maasin City Invitation to Bid for the Rehabilitation of Barangay Pandan Multi-Purpose Building Barangay Pandan, Liloan, Southern Leyte Contact ID # - 2020-07-07-034CW 1.	The Provincial Government of S</t>
  </si>
  <si>
    <t xml:space="preserve"> Republic of the Philippines PROVINCE OF SOUTHERN LEYTE Maasin City Invitation to Bid for the Construction of Multi-Purpose Hall Barangay San Antonio, Tomas Oppus, Southern Leyte Contact ID # - 2020-07-07-031CW 1.	The Provincial Government of Southern Leyt</t>
  </si>
  <si>
    <t xml:space="preserve"> Republic of the Philippines PROVINCE OF SOUTHERN LEYTE Maasin City Invitation to Bid for the Construction of Canopy of Covered Court Barangay Cantutang, Padre Burgos, Southern Leyte Contact ID # - 2020-07-07-030CW 1.	The Provincial Government of Southern </t>
  </si>
  <si>
    <t xml:space="preserve"> Location: PSU Goa campus Bidding Fee: P 3,000.00 (Non-refundable) Schedule of activities: 1. Issuance and availability of Bid Documents: June 16, 2020 until 12:00 noon of July 7, 2020  (except week-ends &amp; Holidays at the BAC Secretariat Office, PSU-Goa ca</t>
  </si>
  <si>
    <t xml:space="preserve"> Republic of the Philippines          City of Dumaguete Bids and Awards Committee INVITATION TO BID FOR THE JOB ORDER: SUPPLY AND PLANTING OF BERMUDA GRASS, ETC. 	The City of Dumaguete thru its BIDS AND AWARDS COMMITTEE (BAC), invites all interested manufa</t>
  </si>
  <si>
    <t xml:space="preserve"> Republic of the Philippines Province of South Cotabato BIDS AND AWARDS COMMITTEE Capitol Compound Alunan Avenue, Koronadal City Tel. Fax No.: (083) 228-9951/228-8570 INVITATION TO BID FOR THE SUPPLY AND DELIVERY OF 1 UNIT X-RAY MACHINE 1.  The PROVINCIAL </t>
  </si>
  <si>
    <t xml:space="preserve"> SUPPLY AND DELIVERY OF MATERIALS FOR THE CONSTRUCTION OF EVACUATION CENTER LOCATED AT BARANGAY NAMBARAN, SANTO DOMINGO, ILOCOS SUR.</t>
  </si>
  <si>
    <t xml:space="preserve"> Republic of the Philippines Province of Cebu City of Toledo Barangay Don Andres Soriano Invitation to Bid for PROPOSED CONSTRUCTION OF DRAINAGE SYSTEM @ PUROK dascc  1.The BARANGAY DON ANDRES SORIANO, through its  20% Developmental Fund 2019 intends to ap</t>
  </si>
  <si>
    <t xml:space="preserve"> Republic of the Philippines Province of Cebu City of Toledo Barangay Don Andres Soriano Invitation to Bid for PROPOSED CONSTRUCTION OF PATHWAYS AT PUROK QCRO 1.The BARANGAY DON ANDRES SORIANO, through its  20% Developmental Fund 2019 intends to apply the </t>
  </si>
  <si>
    <t xml:space="preserve"> 1.	The Bureau of Fisheries and Aquatic Resources (BFAR) Regional Fisheries Office - MIMAROPA, Department of Agriculture invites interested bidders to participate in a public bidding for the above procurement project (“GOODS”) with an Approved Budget for t</t>
  </si>
  <si>
    <t xml:space="preserve"> June 15, 2020 INVITATION TO BID 1.	The Department of Public Works and Highways, Mindoro Occidental District Engineering Office, Mamburao, Occidental Mindoro, through the General Appropriations Act intends to apply the sum of the Approved Budget for the Co</t>
  </si>
  <si>
    <t xml:space="preserve"> INVITATION TO BID 2020-CS-05 The Department of Public Works and Highways QUEZON III DISTRICT ENGINEERING OFFICE, Catanauan, Quezon, through the FY2020 PDE FUND intends to apply the amount of ₱ ₱1,000,000.00 being the Approved Budget for the Contract (ABC)</t>
  </si>
  <si>
    <t xml:space="preserve"> INVITATION TO BID 2020-CS-04 The Department of Public Works and Highways QUEZON III DISTRICT ENGINEERING OFFICE, Catanauan, Quezon, through the FY2020 PDE FUND intends to apply the amount of ₱ ₱2,030,000.00 being the Approved Budget for the Contract (ABC)</t>
  </si>
  <si>
    <t xml:space="preserve"> INVITATION TO BID (for the Procurement of Goods)           1.	The City Government of Puerto Princesa (CGPP), through its General Appropriations Ordinance No. 1-2017 (General Fund FY 2018) intends to apply the sum, corresponds as the Approved Budget for th</t>
  </si>
  <si>
    <t xml:space="preserve"> The Local Government Unit – Quinapondan, Eastern Samar, through its Bids &amp; Awards Committee (BAC ), intends to apply the sum of Three Hundred Sixty Eight Thousand Three Hundred Sixty Pesos and 88/100 (Php368,360.88) under the approved Appropriation Ordina</t>
  </si>
  <si>
    <t xml:space="preserve"> INVITATION TO BID (for the Procurement of Goods)           1.	The City Government of Puerto Princesa (CGPP), through its GGeneral Appropriations Ordinance No. 1-2018 (General Fund FY 2019) intends to apply the sum, corresponds as the Approved Budget for t</t>
  </si>
  <si>
    <t xml:space="preserve"> Item Description........................................Quantity...............................Unit of Issue Bottle and Glass Crusher..................................1..........................................Unit Capacity..............................: </t>
  </si>
  <si>
    <t xml:space="preserve"> Republic of the Philippines Province of Eastern Samar Municipality of Maydolong INVITATION TO BID FOR  Procurement of Supplies and Materials for the Conduct of Vegetable Demo Farm 1.	The Municipal Government of Maydolong, Eastern Samar, through the 2020 M</t>
  </si>
  <si>
    <t xml:space="preserve"> I. BILLBOARD AND SIGNAGE.................................................1.00SET II. EXCAVATION...............................................................30.00CU.M. III. REINFORCING STEEL BARS...........................................................</t>
  </si>
  <si>
    <t xml:space="preserve"> Republic of the Philippines DEPARTMENT OF PUBLIC WORKS AND HIGHWAYS BATANGAS II  DISTRICT ENGINEERING OFFICE REGIONAL OFFICE IV-A Kumintang Ilaya, Batangas City INVITATION TO BID For Construction of Evacuation Center in Bolbok, Batangas City, Batangas 1.	</t>
  </si>
  <si>
    <t xml:space="preserve"> City Government of Manila INVITATION TO BID NO. 2020-06-89 Procurement of 92,500 pcs. Birthday Cake for the period July to December 31, 2020 1.	The City Government of Manila, through the General Fund CY 2020 – Other Maintenance and Operating Expenses inte</t>
  </si>
  <si>
    <t xml:space="preserve"> Republic of the Philippines Province of Eastern Samar Municipality of Maydolong INVITATION TO BID FOR  Procurement of MDRRM Protective Equipment 1.	The Municipal Government of Maydolong, Eastern Samar, through the 2020 LDRRM Pre-Disaster Preparedness Fund</t>
  </si>
  <si>
    <t xml:space="preserve"> SCOPE OF WORKS: B.3	Project Billboard &amp; Signboard	2.00	each B.7	Occupational Safety and Health Program	8.00	months		 801(1)	Removal of Structures &amp; Obstruction	1.00	l.s		 803(1)a	Structure Excavation, Common Soil	70.00	cu.m. 804(1)b	Embankment from Borrow</t>
  </si>
  <si>
    <t xml:space="preserve"> Contract ID : 20CSMH05 Contract Name : Contract Location : 1. 2. 3. The Department of Public Works and Highways - Sultan Kudarat 2nd District Engineering Office, Lebak, Sultan Kudarat, through the NEP/GAA 2020 intends to apply the sum of SEVEN HUNDRED EIG</t>
  </si>
  <si>
    <t xml:space="preserve"> Republic of the Philippines PROVINCE OF SOUTHERN LEYTE Maasin City Invitation to Bid for the Construction of Cabul-anonan Seawall Barangay Cabul-anonan, Malitbog, Southern Leyte Contact ID # - 2020-07-07-036CW 1.	The Provincial Government of Southern Leyt</t>
  </si>
  <si>
    <t xml:space="preserve"> SCOPE OF WORKS: B.5	Project Billboard &amp; Signboard	2.00	each B.7	Occupational Safety &amp; Health Program	3.00	months		 103(1)a	Structure Excavation	165.00	cu.m. 104	Embankment 	72.00	cu.m.	 903(1)	Formworks &amp; False Works	260.76	sq.m. 404(1)a	Reinforcing Steel</t>
  </si>
  <si>
    <t xml:space="preserve"> Drive type: 4 x 2 Engine Model: 4 cylinder, in line Horse Power: 120 HP Rated Power/ Speed: 90/3000 Displacement: 3.857 Liters Wheelbase: 3200 mm Brake: Air Breaking System Emission Standard: Euro IV Alternator: 24 V Cargo Body Size: 3750x2000x600 Dump Bo</t>
  </si>
  <si>
    <t xml:space="preserve"> Contract ID : 20CSMH04 Contract Name : Contract Location : 1. 2. 3. DISTRICT ENGINEERING OFFICE Region XII Lebak, Sultan Kudarat REQUEST FOR EXPRESSION OF INTEREST (REOI) FOR SUB-SURFACE EXPLORATION (SOIL EXPLORATION) OF BRIDGES ALONG ISULAN JCT.- NINOY A</t>
  </si>
  <si>
    <t xml:space="preserve"> Republic of the Philippines Province of Southern Leyte MUNICIPALITY OF LIMASAWA -o0o- Bids and Awards Committee Invitation to Bid for the Construction of Drainage Canal with Concrete Cover Barangay Cabulihan, Limasawa Southern Leyte  1.	The Local Governme</t>
  </si>
  <si>
    <t xml:space="preserve"> H E A D Q U A R T E R S 6TH INFANTRY (KAMPILAN) DIVISION, PHILIPPPINE ARMY 6ID SPECIAL BIDS AND AWARD COMMITTEE  Camp BGen Gonzalo H Siongco, Awang Datu Odin, Sinsuat, Maguindanao Invitation to Bid The Philippines Army through 6ID Special Bids and Awards </t>
  </si>
  <si>
    <t xml:space="preserve"> Procurement of Materials for Rehabilitation of Spring box and pipelines</t>
  </si>
  <si>
    <t xml:space="preserve"> Construction/ Rehabilitation of Water Supply/ Septage and Sewerage/ Rain Water Collectors - Rain Water Collectors in Public Facilities 1. Baguio City National High School (Main), Gov. Pack Rd., Baguio city 2. BCNHS – Fort Del Pilar Annex, Fort Del Pilar, </t>
  </si>
  <si>
    <t xml:space="preserve"> SCOPE OF WORKS: I	General Requirements	1.00	lot II	Lay Out Works	1.00	cu.m. III	Earth Works	264.24	cu.m. IV	Concrete Works	74.95	sq.m. V	Masonry Works	74.80	lot VI	Steel Works	1.00	sq.m. VII	Tinning Works	597.25	lot VIII	Painting Works	127.40	sq.m.</t>
  </si>
  <si>
    <t xml:space="preserve"> ITEMS: 140      HEADS    BREEDER CHICKEN MALE 1400    HEADS    BREEDER CHICKEN FEMALE</t>
  </si>
  <si>
    <t xml:space="preserve"> INVITATION TO BID (for the Procurement of Goods)           1.	The City Government of Puerto Princesa (CGPP), through its GGeneral Appropriations Ordinance No. 1-2018 (General Fund FY 2019)intends to apply the sum, corresponds as the Approved Budget for th</t>
  </si>
  <si>
    <t xml:space="preserve"> Republic of the Philippines Province of Oriental Mindoro MUNICIPALITY OF VICTORIA INVITATION TO RE-BID Supply and Delivery of Medical Equipment and Facilities for BEmONC in the Municipality of Victoria, Oriental Mindoro 1.The Municipal Government of Victo</t>
  </si>
  <si>
    <t xml:space="preserve"> Road Maintenance</t>
  </si>
  <si>
    <t xml:space="preserve"> Republic of the Philippines PROVINCE OF SOUTHERN LEYTE Maasin City Invitation to Bid for the Construction of Magaupas River Control Barangay Magaupas, Liloan, Southern Leyte Contact ID # - 2020-07-07-037CW 1.	The Provincial Government of Southern Leyte, t</t>
  </si>
  <si>
    <t xml:space="preserve"> INVITATION TO BID FOR THE  PROCUREMENT OF 13 PCS SWIVEL CHAIR STA. FE, LEYTE (BDG-2020-03) 1.	 The Local Government Unit of Sta. Fe, Leyte, through the GENERAL Fund CY 2020 intends to apply the sum of One Hundred Thirty Thousand Pesos Only (Php130,000.00)</t>
  </si>
  <si>
    <t xml:space="preserve"> Removal and Replacement of Sidewalk &amp; Drainage at Orchid St.</t>
  </si>
  <si>
    <t xml:space="preserve"> 1/4” Marine Plywood	6 Pcs 2”x3”x8’ Coco Lumber	40 Pcs 2”x2”x8’ Coco Lumber	70 Pcs #100 nylon	1 Clip 4” CWN	4 Kls 1-1/4” CWN	2 Kls #16 tie wire	9 Kls Portland Cement	335 Bags Fine Sand	13 Cu. M Graded gravel	14 Cu. M 16mm dia x 6m RSB	30 Pcs 12mm dia x 6m </t>
  </si>
  <si>
    <t xml:space="preserve"> see attached programs of works.</t>
  </si>
  <si>
    <t xml:space="preserve"> 1.	The Municipality of Daram, through the General Fund intends to apply the sum of Two Hundred Sixty Thousand Pesos Only (P260,000.00) being the Approved Budget for the Contract (ABC) to payments under the contract for Rehabilitation of SB Session Hall. B</t>
  </si>
  <si>
    <t xml:space="preserve"> Republic of the Philippines  City of Canlaon Office of the Bids and Awards Committee  INVITATION TO BID FOR the Construction of Pathway The Local Government of Canlaon City, through AIP 2020. intends to apply the sum Ninety Seven Thousand Two Hundred Eigh</t>
  </si>
  <si>
    <t xml:space="preserve"> 1. EXCAVATION-8.8 CU.M 2. RUBBLED MASONRY DAM-11.60 CU.M 3. INSTALLATION OF PIPES (INCLUDES MANUAL EXCAVATION) - 13,000 LM</t>
  </si>
  <si>
    <t xml:space="preserve"> June 29, 2020 INVITATION TO BID  Reference No. 7075140 /Solicitation No.20-24 The City Government of Tagum invites interested Bidders/Suppliers to bid for the following: Name of Contract         :  CONSTRUCTION MATERIALS &amp; SUPPLIES FOR THE USE OF CMO (CON</t>
  </si>
  <si>
    <t xml:space="preserve"> IMPROVEMENT OF 2ND FLOOR LEVEL OF EVACUATION CENTER</t>
  </si>
  <si>
    <t xml:space="preserve"> REPUBLIC OF THE PHILIPPINES REGION IX  PROVINCIAL GOVERNMENT OF ZAMBOANGA DEL SUR  Provincial Capitol Compound, Pagadian City BIDS AND AWARDS COMMITTEE Invitation for Negotiated Procurement: Two-Failed Biddings REFILL OF SPECIALIZED GAS FOR CSR STOCKING/ </t>
  </si>
  <si>
    <t xml:space="preserve"> ITEM NO. P.R. No. :City Administrator's Office 2020-03-2042 Date: 03/25/2020 Date: 90,000.00Printer L5190set51</t>
  </si>
  <si>
    <t xml:space="preserve"> The Local Government Unit of Isabel, Leyte through its Bids and Awards Committee (BAC), invites eligible philgeps supplier in the Philippines to supply the hereunder; Name of Project :Procurement of various medicine supplies Location: IEH, Isabel, Leyte B</t>
  </si>
  <si>
    <t xml:space="preserve"> REPUBLIC OF THE PHILIPPINES Sandiganbayan Quezon City Invitation to Bid  Provision of Janitorial Services for the  Sandiganbayan Centennial Building for One (1) Year (Re-advertisement) The Sandiganbayan, through its General Appropriations Act of 2020, int</t>
  </si>
  <si>
    <t xml:space="preserve"> 2" Bronze Medal (bleu lace) 2" Silver Medal (red lace) 1.5" Bronze Medal (bleu lace Gold Medal big (stripes lace) 2" Loyalty award (with bar plate &amp; engraving)</t>
  </si>
  <si>
    <t xml:space="preserve"> Concreting of Tinigban to Raang Seashore Item No.	Quantity	Unit	Description			 1	200	bags	Portland Cement 40kg			 2	21	cu.m.	Sand			 3	23	cu.m.	Gravel			 4	120	bd.ft.	20pcs. 1 x 6 x 12 Coco Lumber			 5	5	kgs	CWN,assorted</t>
  </si>
  <si>
    <t xml:space="preserve"> INVITATION TO BID ON THE SUPPLY, DELIVERY AND INSTALLATION OF  1 LOT IPGC SOLAR STREET LIGHT WITH POLE (60WATTS) OF BUKIDNON STATE UNIVERSITY 1.	The Bukidnon State University through the Bids and Awards Committee &amp; Budget Approved by the Board of Regents </t>
  </si>
  <si>
    <t xml:space="preserve"> Republic of the Philippines PROVINCE OF CAVITE Barangay Santiago City of General Trias INVITATION TO BID PROJECT TITLE/ DESCRIPTION : PURCHASE OF  COMPUTER DESKTOP  USE AT BARANGAY SANTIAGO CITY OF GENERAL TRIAS 1. The Santiago  CITY OF GENERAL TRIAS, CAV</t>
  </si>
  <si>
    <t xml:space="preserve"> Nature of Project :      	 Procurement of Security Services for Civil Service Commission Regional Office IV Located at 139 Panay Ave., Barangay South Triangle, Quezon City   Location: 139 Panay Ave., Brgy. South Triangle, Quezon City Approved Budget for t</t>
  </si>
  <si>
    <t xml:space="preserve"> The Local Government Unit of Isabel, Leyte through its Bids and Awards Committee (BAC), invites eligible philgeps supplier in the Philippines to supply the hereunder; Name of Project :Procurement of various medical and laboratory supplies Location: IEH, I</t>
  </si>
  <si>
    <t xml:space="preserve"> 10 units Pallet</t>
  </si>
  <si>
    <t xml:space="preserve"> 1.	The Ilocos Sur Polytechnic State College, through the External Funds Granted by DA-BAR intends to apply the sum of Twenty Million Pesos and 0/100 (Php 20,000,000.00) being the Approved Budget for the Contract (ABC) to payments under the contract for Establishment of Agriculture Innovation Center for Agri-Fishery-Livestock at Ilocos Sur Polytechnic State College / 2020-06-INFR. Bids received in excess of the ABC shall be automatically rejected at bid opening.</t>
  </si>
  <si>
    <t xml:space="preserve"> Documentary Requirements:</t>
  </si>
  <si>
    <t xml:space="preserve"> Noted: for shortlisted bidder only</t>
  </si>
  <si>
    <t xml:space="preserve"> 1.	The Ilocos Sur Polytechnic State College, through the External Funds Granted by DA-BAR intends to apply the sum of Four Million Pesos and 0/100 (Php 4,000,000.00) being the Approved Budget for the Contract (ABC) to payments under the contract for Establishment of Tissue Culture Laboratory / 2020-04-INFR. Bids received in excess of the ABC shall be automatically rejected at bid opening.</t>
  </si>
  <si>
    <t xml:space="preserve"> 1.	The Ilocos Sur Polytechnic State College, through the Corporate Budget for the contract approved by the Governing Board (GAA 2020) intends to apply the sum of Four Million Pesos and 0/100 (Php 4,000,000.00) or by Lots as presented below being the Approved Budget for the Contract (ABC) to payments under the contract for Construction of Radio Tower / 2020-05-INFR. Bids received in excess of the ABC shall be automatically rejected at bid opening.</t>
  </si>
  <si>
    <t xml:space="preserve"> 1.	All prospective suppliers must first submit photocopies of Class “A” Documents, and other Requirements together with the “Original’s” for the conduct of Business Inspection to determine their eligibility prior transacting business with PNPC. </t>
  </si>
  <si>
    <t xml:space="preserve"> 1. Issuance of Bidding Documents</t>
  </si>
  <si>
    <t xml:space="preserve"> Reservation Clause:</t>
  </si>
  <si>
    <t xml:space="preserve"> INVITATION TO BID FOR THE ACQUISITION OF MEDICAL EQUIPMENT CY 2020</t>
  </si>
  <si>
    <t xml:space="preserve"> 1. Funded under the General Fund, 20% Development Fund with an ABC of Php 324,355.50</t>
  </si>
  <si>
    <t xml:space="preserve"> BIDDERS MUST DOWNLOAD ELECTRONIC COPY OF BIDDING DOCUMENTS IN THE LINK BELOW:</t>
  </si>
  <si>
    <t xml:space="preserve"> Please print attached documents for your reference</t>
  </si>
  <si>
    <t xml:space="preserve"> Deadline of Submission of BIDs: July 17, 2020; 02:00 PM</t>
  </si>
  <si>
    <t xml:space="preserve"> Deadline of Submission of BIDs: July17, 2020; 02:00 PM</t>
  </si>
  <si>
    <t xml:space="preserve"> Bidders must download the attached document in the associated component section.</t>
  </si>
  <si>
    <t xml:space="preserve"> please see file on associated component</t>
  </si>
  <si>
    <t xml:space="preserve"> INSTRUCTIONS/TERMS AND CONDITIONS:								</t>
  </si>
  <si>
    <t xml:space="preserve"> Please see attached RFQ # 20-1205-1</t>
  </si>
  <si>
    <t xml:space="preserve"> NEIL SPENCER S. BARBON</t>
  </si>
  <si>
    <t xml:space="preserve"> Created by: Ricson John G. David</t>
  </si>
  <si>
    <t xml:space="preserve"> For further information, please refer to:</t>
  </si>
  <si>
    <t xml:space="preserve"> 2020 20%DF</t>
  </si>
  <si>
    <t xml:space="preserve"> 2020 20% DF</t>
  </si>
  <si>
    <t xml:space="preserve"> 2020 20%</t>
  </si>
  <si>
    <t xml:space="preserve"> Submit your price quotation on or before July 9, 2020 at the Office of the BAC, Galimuyod, Ilocos Sur</t>
  </si>
  <si>
    <t xml:space="preserve"> 2ND POSTING</t>
  </si>
  <si>
    <t xml:space="preserve"> DEADLINE OF SUBMISSION OF BIDS:</t>
  </si>
  <si>
    <t xml:space="preserve"> INVITATION TO BID</t>
  </si>
  <si>
    <t xml:space="preserve"> Republic of the Philippines</t>
  </si>
  <si>
    <t xml:space="preserve"> COPY AND PASTE IN THE BROWSER THE LINK BELOW TO VIEW THE BIDDING DOCUMENTS: </t>
  </si>
  <si>
    <t xml:space="preserve"> ELIGIBILITY REQUIREMENTS:</t>
  </si>
  <si>
    <t xml:space="preserve"> Please see attached RFQ # 20-1217</t>
  </si>
  <si>
    <t xml:space="preserve"> kindly specify brand names on your sealed quotation</t>
  </si>
  <si>
    <t xml:space="preserve"> See attached Quotation form</t>
  </si>
  <si>
    <t xml:space="preserve"> Cash Advance | APJES | APRIL, MAY, JUNE</t>
  </si>
  <si>
    <t xml:space="preserve"> Other Information</t>
  </si>
  <si>
    <t xml:space="preserve"> Please see attached RFQ # 20-1195-1</t>
  </si>
  <si>
    <t xml:space="preserve"> See attached quotation form</t>
  </si>
  <si>
    <t xml:space="preserve"> Interested Bidder may purchase Bidding Documents in the amount of 500.00 pesos at the BAC Secretariat, Treasurer's Office, Municipal Hall Building.</t>
  </si>
  <si>
    <t xml:space="preserve"> Please see attached RFQ # 20-1205-2</t>
  </si>
  <si>
    <t xml:space="preserve"> For further information, please refer to:					</t>
  </si>
  <si>
    <t xml:space="preserve"> Please print attached document for your reference</t>
  </si>
  <si>
    <t xml:space="preserve"> Please contact the Procurement Unit for your question and clarifications.</t>
  </si>
  <si>
    <t xml:space="preserve"> Please see attached RFQ # 20-1114</t>
  </si>
  <si>
    <t xml:space="preserve"> SOF: Bayanihan Grant to Cities and Municipalities</t>
  </si>
  <si>
    <t xml:space="preserve"> SOF: Bayanihan Grant to Cities and Municipalities 2020</t>
  </si>
  <si>
    <t xml:space="preserve"> Click order link of the associated components</t>
  </si>
  <si>
    <t xml:space="preserve"> Please print attached documents for your reference.</t>
  </si>
  <si>
    <t xml:space="preserve"> https://drive.google.com/file/d/1KJTQxU1IFxvlqZnoG7oGtRxsreFpTN1x/view?usp=drivesdk</t>
  </si>
  <si>
    <t xml:space="preserve"> 1. Submission of canvass on or before July 16, 2020 @ 2:00 P.M.</t>
  </si>
  <si>
    <t xml:space="preserve"> The BAC shall issue bidding documents upon payment of One Thousand Pesos Only (Php1,000.00) to the disbursing/ collecting officer of the LGU.</t>
  </si>
  <si>
    <t xml:space="preserve"> none</t>
  </si>
  <si>
    <t xml:space="preserve"> Bidding Documents may be secured from the BAC Secretariat,  upon payment of a non-refundable amount of ₱ 500.00. </t>
  </si>
  <si>
    <t xml:space="preserve"> Please see attached RFQ # 20-1166</t>
  </si>
  <si>
    <t xml:space="preserve"> All prices must be VAT Inclusive.</t>
  </si>
  <si>
    <t xml:space="preserve"> 1.)	4	pcs	Tires A/T (tubeless) size: 265/70 R17</t>
  </si>
  <si>
    <t xml:space="preserve"> Publication: July 6-12, 2020</t>
  </si>
  <si>
    <t xml:space="preserve"> 1.)	53.33	bd.ft	16 pcs 2x2x10 Coco lumber</t>
  </si>
  <si>
    <t xml:space="preserve"> You may download bidding documents using the link below:</t>
  </si>
  <si>
    <t xml:space="preserve"> Note: on-site delivery</t>
  </si>
  <si>
    <t xml:space="preserve"> Please see attached RFQ # 20-1220-2</t>
  </si>
  <si>
    <t xml:space="preserve"> -VAT Inclusive</t>
  </si>
  <si>
    <t xml:space="preserve"> https://drive.google.com/file/d/1PKADt6Qyxj8G3H-boTeW-XWCiIZZ0q34/view?usp=drivesdk</t>
  </si>
  <si>
    <t xml:space="preserve"> 1.)	4	pcs	Attachment, Guy, Mallaeable Type with 11/16” hole diameter</t>
  </si>
  <si>
    <t xml:space="preserve"> fro those</t>
  </si>
  <si>
    <t xml:space="preserve"> ONLY COMPLETE DOCUMENTS ARE ALLOWED TO JOIN THE BIDDING.</t>
  </si>
  <si>
    <t xml:space="preserve"> PRE-BID CONFERENCE:</t>
  </si>
  <si>
    <t xml:space="preserve"> ITB20-07-029B</t>
  </si>
  <si>
    <t xml:space="preserve"> ITB20-07-029A</t>
  </si>
  <si>
    <t xml:space="preserve"> ITB20-07-029C</t>
  </si>
  <si>
    <t xml:space="preserve"> https://drive.google.com/file/d/1FsxXobNi61aqE8NPLiyTQl5KZEaf3KMO/view?usp=drivesdk</t>
  </si>
  <si>
    <t xml:space="preserve"> Please call the principal at 09156238041</t>
  </si>
  <si>
    <t xml:space="preserve"> PLEASE SEE ATTACHED INVITATION TO BID AND DELIVERY BREAKDOWN.</t>
  </si>
  <si>
    <t xml:space="preserve"> For More Info. Please Contact:</t>
  </si>
  <si>
    <t xml:space="preserve"> See attached associated component for the schedule of BAC activities.</t>
  </si>
  <si>
    <t xml:space="preserve"> Labor Cost - 51, 760.00</t>
  </si>
  <si>
    <t xml:space="preserve"> FOR MORE INFORMATION PLEASE CONTRACT ARLAINE M. DE VERA, BAC SECRETARIAT AT (075) 955-5862 OR EMAIL AT arlainemdevera@gmail.com</t>
  </si>
  <si>
    <t xml:space="preserve"> Pre-bid conference is not required for ABC is below 1M.</t>
  </si>
  <si>
    <t xml:space="preserve"> Contact Person:</t>
  </si>
  <si>
    <t xml:space="preserve"> PLEASE SEE ATTACHED RFQ # 20-1049 AND TECHNICAL SPECIFICATIONS.</t>
  </si>
  <si>
    <t xml:space="preserve"> Deadline for submission of the quotation shall be on July 9, 2020 at 1:30 PM in MPDC Office Libungan, Cotabato.</t>
  </si>
  <si>
    <t xml:space="preserve"> Bidders are required to read the instructions and fill ALL the blanks in typewritten form or written legibly in permanent ink.</t>
  </si>
  <si>
    <t xml:space="preserve"> Attached Program of Works</t>
  </si>
  <si>
    <t xml:space="preserve"> Annex “A”</t>
  </si>
  <si>
    <t xml:space="preserve"> BID FORM</t>
  </si>
  <si>
    <t xml:space="preserve"> NANCY P. BRIT</t>
  </si>
  <si>
    <t xml:space="preserve"> All suppliers must submit their quotation together with the following:</t>
  </si>
  <si>
    <t xml:space="preserve"> PMAJ SHERYL M GONZALES</t>
  </si>
  <si>
    <t xml:space="preserve"> 6.	Supplier shall submit together with the RFQ the following:</t>
  </si>
  <si>
    <t xml:space="preserve"> EMERGENCY PROCUREMENT - NEGOTIATED PROCUREMENT UNDER BAYANIHAN ACT</t>
  </si>
  <si>
    <t xml:space="preserve"> BID DATE : JULY 15, 2020 @ 2 P.M.</t>
  </si>
  <si>
    <t xml:space="preserve"> Labor Cost - 20,010.00</t>
  </si>
  <si>
    <t xml:space="preserve"> BID DATE: JULY 15, 2020 @ 2 P.M.</t>
  </si>
  <si>
    <t xml:space="preserve"> All quotations must be in the prescribed canvass form and suppliers or its duly authorized representative shall personally submit the same to the City Procurement Office, City Government of Antipolo.</t>
  </si>
  <si>
    <t xml:space="preserve"> Kindly send your quotation online at bignay_2017@yahoo.com or submit personally  at Bignay National High School, admin office. Thank you and God bless!</t>
  </si>
  <si>
    <t xml:space="preserve"> NENITA A. GEMILGA</t>
  </si>
  <si>
    <t xml:space="preserve"> AMBULANCE</t>
  </si>
  <si>
    <t xml:space="preserve"> REBECCA A. DUROY, TEACHER IN- CHARGE</t>
  </si>
  <si>
    <t xml:space="preserve"> Instruction for Suppliers on How to View/Download the document:</t>
  </si>
  <si>
    <t xml:space="preserve"> Pre-bid conference is not required for ABC is below 1M</t>
  </si>
  <si>
    <t xml:space="preserve"> See attached associated component for the Schedule of BAC activities.</t>
  </si>
  <si>
    <t xml:space="preserve"> https://drive.google.com/file/d/1-u4zYGRWIArea3MQn3B20HVBInHLCOAE/view?usp=drivesdk</t>
  </si>
  <si>
    <t xml:space="preserve"> See attached quotation form.</t>
  </si>
  <si>
    <t xml:space="preserve"> https://drive.google.com/file/d/1fcFCTlyN9KRXnFKlBJq2Y3rymm1iYjlt/view?usp=drivesdk</t>
  </si>
  <si>
    <t xml:space="preserve"> Venue: Barangay Hall, Bangon, Aroroy, Masbate</t>
  </si>
  <si>
    <t xml:space="preserve"> Kindly send your quotation online at BnhsShs.2020@gmail.com or submit personally at Bignay National High School admin office. Thank you and God bless</t>
  </si>
  <si>
    <t xml:space="preserve"> Source of Fund: General Fund</t>
  </si>
  <si>
    <t xml:space="preserve"> https://drive.google.com/file/d/1h4rr3HyOt3j1RXMQT9GmQTuQSmvapwfU/view?usp=drivesdk</t>
  </si>
  <si>
    <t xml:space="preserve"> re post</t>
  </si>
  <si>
    <t xml:space="preserve"> Contact Brgy. Treasurer Fredie B. Ruiz @ 0918-605-0723 for more information</t>
  </si>
  <si>
    <t xml:space="preserve"> We only accept walk-in sealed quotations with complete and updated pertinent papers, such as but not limited to;</t>
  </si>
  <si>
    <t xml:space="preserve"> We only accept walk-in sealed quotation with complete and updated pertinent papers such as but not limited to;</t>
  </si>
  <si>
    <t xml:space="preserve"> For inquiry, pls. call at 0998-9747713</t>
  </si>
  <si>
    <t xml:space="preserve"> https://drive.google.com/file/d/12lUlk8BfW6UkQYTCdKlM8EjHmG0DQJ4B/view?usp=drivesdk</t>
  </si>
  <si>
    <t xml:space="preserve"> https://drive.google.com/file/d/1hMnarlkRe38_wuoM9MAu-HwKM7q2WYQO/view?usp=drivesdk</t>
  </si>
  <si>
    <t xml:space="preserve"> 1	Bidders are required to read the instructions  and fill ALL the blanks in typewritten form or written legibly in permanent ink.						</t>
  </si>
  <si>
    <t xml:space="preserve"> Deadline of submission of quotation is on July 9, 2020 at 9:00 AM.</t>
  </si>
  <si>
    <t xml:space="preserve"> WE ONLY ACCEPT WALK-IN SEALED QUOTATIONS WITH COMPLETE AND UPDATED PERTINENT PAPERS SUCH AS BUT NOT LIMITED TO </t>
  </si>
  <si>
    <t xml:space="preserve"> https://drive.google.com/file/d/1f0UtYc60n8rg-yDaoYPTo-4G3rl_7Sa3/view?usp=drivesdk</t>
  </si>
  <si>
    <t xml:space="preserve"> Pre-Eligibility Conference: July 14, 2020 @ 2:00PM</t>
  </si>
  <si>
    <t xml:space="preserve"> The significant times and deadlines of procurement activities are shown below:</t>
  </si>
  <si>
    <t xml:space="preserve"> https://drive.google.com/file/d/1WalBXNRpTQ-K190jxy1NPpDPZAbYlrJp/view?usp=drivesdk</t>
  </si>
  <si>
    <t xml:space="preserve"> Note: Please see the uploaded at associated components.</t>
  </si>
  <si>
    <t xml:space="preserve"> Note: Please see the uploaded file at associated components.</t>
  </si>
  <si>
    <t xml:space="preserve"> GENERAL INSTRUCTIONS TO BIDDERS:							</t>
  </si>
  <si>
    <t xml:space="preserve"> Interested bidders  must be included in the registry of manufacturers/ suppliers/ distributors in the PhilGEPS. Please submit your bid/quotation and PhilGEPS Certificate in a sealed envelope addressed to Mr. Victor Y. Romano or email it to bac@philfida.da.gov.ph. Information relating to examination, evaluation and comparison of price quotations shall be confidential.</t>
  </si>
  <si>
    <t xml:space="preserve"> You can also download the items and specifications at our official website: </t>
  </si>
  <si>
    <t xml:space="preserve"> For more information, please call CDA Admin GSS at telephone number 87238306.  Look for Elmer.</t>
  </si>
  <si>
    <t xml:space="preserve"> VICKY R. DURANA, MPA</t>
  </si>
  <si>
    <t xml:space="preserve"> created by the BAC CHairman</t>
  </si>
  <si>
    <t xml:space="preserve"> created by the BAC Chairman</t>
  </si>
  <si>
    <t xml:space="preserve"> Submit LOI</t>
  </si>
  <si>
    <t xml:space="preserve"> https://drive.google.com/file/d/1X70_pt6fznc7rwRl7ac-_af9p5fyaY2m/view?usp=drivesdk</t>
  </si>
  <si>
    <t xml:space="preserve"> Criteria: Pass or Fail </t>
  </si>
  <si>
    <t xml:space="preserve"> Inquire at the Office of PGO-Magsaysay Memorial District Hospital for details.</t>
  </si>
  <si>
    <t xml:space="preserve"> Inquire at the Office of Gumaca District Hospital for details.</t>
  </si>
  <si>
    <t xml:space="preserve"> Inquire at the Office of the Provincial Agriculturist for details.</t>
  </si>
  <si>
    <t xml:space="preserve"> PROCUREMENT ACTIVITIES	DATE	TIME (BFAR8 Ground floor Biometric Clock)	VENUE</t>
  </si>
  <si>
    <t xml:space="preserve"> Inquire at the Office of Quezon Medical Center for details.</t>
  </si>
  <si>
    <t xml:space="preserve"> Quotation shall be submitted via email (lbphobac@mail.landbank.com) not later than July 8,2020, 3:00PM</t>
  </si>
  <si>
    <t xml:space="preserve"> BUDGET SOURCE HFEP</t>
  </si>
  <si>
    <t xml:space="preserve"> We only accept walk-in sealed quotations with complete and updated pertinent papers such as but not limited to; PCAB, Mayor's Permit, DTI Permit, BIR or TAX clearance,  and etc. (From 8a.m. to 5p.m.)</t>
  </si>
  <si>
    <t xml:space="preserve"> BUDGET SOURCE: HFEP</t>
  </si>
  <si>
    <t xml:space="preserve"> * Security Services</t>
  </si>
  <si>
    <t xml:space="preserve"> Please submit letter of intent on or before pre-bid conference.</t>
  </si>
  <si>
    <t xml:space="preserve"> https://drive.google.com/file/d/1Agh1xyxayGhDaXqKc_-lCFgwhv2QEc8X/view?usp=drivesdk</t>
  </si>
  <si>
    <t xml:space="preserve"> https://drive.google.com/file/d/1D9wsahcCSv3qJ6GXQG0MZjOjC7Yz4Fx2/view?usp=drivesdk</t>
  </si>
  <si>
    <t xml:space="preserve"> https://drive.google.com/file/d/1Toxfjd0ffwZ6D-APpiTimKRuS-IsSXOY/view?usp=drivesdk</t>
  </si>
  <si>
    <t xml:space="preserve"> https://drive.google.com/file/d/1fMscgS1dHRMHuBPKCZp25ai_cIX0YAZd/view?usp=drivesdk</t>
  </si>
  <si>
    <t xml:space="preserve"> BIDDERS MUST DOWNLOAD THE ATTACHED DOCUMENT IN THE ASSOCIATED COMPONENT SECTION</t>
  </si>
  <si>
    <t xml:space="preserve"> https://drive.google.com/file/d/1g23LNEWUibuMhvzc0l5QzQCbeJnXH087/view?usp=drivesdk</t>
  </si>
  <si>
    <t xml:space="preserve"> For use in at Rural Health Unit</t>
  </si>
  <si>
    <t xml:space="preserve"> For use in the Office of the Municipal Accountant.</t>
  </si>
  <si>
    <t xml:space="preserve"> BIDDERS MUST DOWNLOAD THE ATTACHE DOCUMENT IN THE ASSOCIATED COMPONENT SECTION</t>
  </si>
  <si>
    <t xml:space="preserve"> For Development of Land for the Relocation site of informal setlers</t>
  </si>
  <si>
    <t xml:space="preserve"> For use in the repair/maint. Of Mini-DT (MFF-280)</t>
  </si>
  <si>
    <t xml:space="preserve"> * At least a Construction of CHB Perimeter Fence, Dike / Seawall or Masonry wall or similar structures</t>
  </si>
  <si>
    <t xml:space="preserve"> https://drive.google.com/file/d/1oBGIdDTFgCcS3r0MQA3Hc7TuUvRP6jui/</t>
  </si>
  <si>
    <t xml:space="preserve"> Please download RFQ thru the Associated Component under the Bid Notice Abstract</t>
  </si>
  <si>
    <t xml:space="preserve"> Interested bidders may obtain further information from Palawan 2nd District Engineering Office (BAC Secretariat) and inspect the Bidding Documents at the address given below during 8:00am to 5:00pm.</t>
  </si>
  <si>
    <t xml:space="preserve"> Please download RFQ online thru the associated component under the Bid Notice Abstract</t>
  </si>
  <si>
    <t xml:space="preserve"> The complete schedule of activities is listed, as follows:</t>
  </si>
  <si>
    <t xml:space="preserve"> Other conditions are stated in the RFQ.</t>
  </si>
  <si>
    <t xml:space="preserve"> Interested suppliers shall submit RFQ (in 3copies) with attached suggested menu on/before the set deadline.</t>
  </si>
  <si>
    <t xml:space="preserve"> DEADLINE OF SUBMISSION OF SEALED QUOTATION WILL BE ON JULY 10, 2020. LATE SUBMISSION WILL NOT BE ACCEPTED</t>
  </si>
  <si>
    <t xml:space="preserve"> https://drive.google.com/file/d/1E5thmUtZW66FC6ihRYkVmgB4eL8MYRIP/view?usp=drivesdk</t>
  </si>
  <si>
    <t xml:space="preserve"> https://drive.google.com/file/d/1YRL-bpQu7vUgzaxsnPsqskE7JEo0fcFs/view?usp=drivesdk</t>
  </si>
  <si>
    <t xml:space="preserve"> https://drive.google.com/file/d/14ao7l9ULKoYICnJzhCf2GoPBiK2JCM92/view?usp=drivesdk</t>
  </si>
  <si>
    <t xml:space="preserve"> https://drive.google.com/file/d/13-DXojqj8QLGmb6G3zolUAYt-_lz6bMZ/view?usp=drivesdk</t>
  </si>
  <si>
    <t xml:space="preserve"> For more information, please contact of CMD at Telephone No. 8924-6031 loc 207/228.</t>
  </si>
  <si>
    <t xml:space="preserve"> FIRST ENVELOPE (ELIGIBILITY &amp; TECHNICAL COMPONENTS) </t>
  </si>
  <si>
    <t xml:space="preserve"> July 2, 2020 - Issuance of Bidding Documents</t>
  </si>
  <si>
    <t xml:space="preserve"> COST OF BIDDING DOCUMENT (NON-REFUNDABLE) = Php5,000.00</t>
  </si>
  <si>
    <t xml:space="preserve"> https://drive.google.com/file/d/11n7q469i9ESoaCZhazBlcgaRzH6ig33V/view?usp=drivesdk</t>
  </si>
  <si>
    <t xml:space="preserve"> NONE</t>
  </si>
  <si>
    <t xml:space="preserve"> Bidder / Supplier must download the attached document in Associated Components.</t>
  </si>
  <si>
    <t xml:space="preserve"> Pls. Indicate brand name,specification, delivery mode &amp; warranty clause</t>
  </si>
  <si>
    <t xml:space="preserve"> Bidder / Supplier must download the attached documents in Associated Components.</t>
  </si>
  <si>
    <t xml:space="preserve"> Note: Please copy the link below and paste to the web browser to download the attached RFQ form.</t>
  </si>
  <si>
    <t xml:space="preserve"> THE BIDDER MUST DOWNLOAD THE ASSOCIATED COMPONENT/S.</t>
  </si>
  <si>
    <t xml:space="preserve"> Only original RFQ with fresh signature is acceptable by BAC</t>
  </si>
  <si>
    <t xml:space="preserve"> SUBMIT SIGNED SEALED ENVELOPE</t>
  </si>
  <si>
    <t xml:space="preserve"> Contact Person: Phebe Gayle M. Angellano</t>
  </si>
  <si>
    <t xml:space="preserve"> "Note: All interested bidders are required to log-in to the system</t>
  </si>
  <si>
    <t xml:space="preserve"> * Construction of Fuel Oil Storage Tank, including its concrete foundation and associated works with capacity of not less 60 cu.m.</t>
  </si>
  <si>
    <t xml:space="preserve"> Submit all requirements stated in the Request for Proposal (RFP) upon submission of proposal</t>
  </si>
  <si>
    <t xml:space="preserve"> BID DOCS CAN BOUGHT AT THE CASH AND PROPERTY SECTION C/O MONALISA B. AGLUPUS @ PHP 5,000.00 PROSPECTIVE BIDDERS ARE ADVISED TO PRESENT LETTER OF INTENT TO BAC SECRETARIAT.</t>
  </si>
  <si>
    <t xml:space="preserve"> Contact person: Phebe Gayle M. Angellano</t>
  </si>
  <si>
    <t xml:space="preserve"> Interested suppliers shall download the attached documents in the Associated Components Section</t>
  </si>
  <si>
    <t xml:space="preserve"> Prospective supplier must be registered at the Philippine Government Electronic Procurement System (PhilGEPS). You may visit the PhilGEPS website at www.philgeps.gov.ph to register". The Request for Quotation Form can also be downloaded from www.fo4b.dswd.gov.ph</t>
  </si>
  <si>
    <t xml:space="preserve"> Interested suppliers must be willing to deliver in advance. Payment will be issued upon the release of budget</t>
  </si>
  <si>
    <t xml:space="preserve"> For use in the repair/maint. Of Mini-DT (02)</t>
  </si>
  <si>
    <t xml:space="preserve"> CONTACT BAC SECRETARIAT</t>
  </si>
  <si>
    <t xml:space="preserve"> REQUIREMENTS:</t>
  </si>
  <si>
    <t xml:space="preserve"> The complete schedule of BAC activities is listed as follows:</t>
  </si>
  <si>
    <t xml:space="preserve"> For use in the rehabilitation/re-wiring of public market at ground floor</t>
  </si>
  <si>
    <t xml:space="preserve"> LATE QUOTATIONS WILL NOT BE ACCEPTED</t>
  </si>
  <si>
    <t xml:space="preserve"> ABC is inclusive of delivery charge.</t>
  </si>
  <si>
    <t xml:space="preserve"> Items shall be delivered to the Municipal Hall, Coron, Palawan. Prices shall be quoted in Philippines Pesos and inclusive of all taxes and fees.</t>
  </si>
  <si>
    <t xml:space="preserve"> Area of Delivery: Quezon City</t>
  </si>
  <si>
    <t xml:space="preserve"> MS. DONA D. SALMOS, RN, MAN</t>
  </si>
  <si>
    <t xml:space="preserve"> SEE ASSOCIATED COMPONENTS</t>
  </si>
  <si>
    <t xml:space="preserve"> Interested Supplier must secure RFQ Form at NIA-MMIP BAC Office, Villarica, Midsayap, Cot.</t>
  </si>
  <si>
    <t xml:space="preserve"> ELIGIBILITY CHECK REQUIREMENTS FOR THE PROCUREMENT OF GOODS</t>
  </si>
  <si>
    <t xml:space="preserve"> NOTE: To all Suppliers,</t>
  </si>
  <si>
    <t xml:space="preserve"> The BAC is conducting the public bidding for this Contracts in accordance with RA 9184 and its Revised Implementing Rules and Regulations. Bids received in excess of the ABC shall be automatically rejected at bid opening.</t>
  </si>
  <si>
    <t xml:space="preserve"> Interested bidders shall pay 500 for the bid docs</t>
  </si>
  <si>
    <t xml:space="preserve"> For use in the Provision of furniture’s at Isolation area</t>
  </si>
  <si>
    <t xml:space="preserve"> Please submit all documentary requirements stated in our RFQ</t>
  </si>
  <si>
    <t xml:space="preserve"> For use in the repair/maint. Of Tourist Bus (SJZ-205)</t>
  </si>
  <si>
    <t xml:space="preserve"> Suppliers are required to submit their quotation/written proposal with the following documents on or before JULY 10, 2020 9:00 AM at BAC Office, this LGU, to wit:</t>
  </si>
  <si>
    <t xml:space="preserve"> For use in the repair/maint. Of DT (Sinotruck- 6W)</t>
  </si>
  <si>
    <t xml:space="preserve"> Please see attached at Associated Components</t>
  </si>
  <si>
    <t xml:space="preserve"> Please download document in associate components</t>
  </si>
  <si>
    <t xml:space="preserve"> Please download RFQ online under Associated Components.</t>
  </si>
  <si>
    <t xml:space="preserve"> Interested Bidders shall download the attached documents in the Associated Components Section</t>
  </si>
  <si>
    <t xml:space="preserve"> Please submit your quotations at the Department of Agrarian Reform Office, Cauayan City, Isabela on or before the closing date</t>
  </si>
  <si>
    <t xml:space="preserve"> None</t>
  </si>
  <si>
    <t xml:space="preserve"> Bidders are required to read the instructions:</t>
  </si>
  <si>
    <t xml:space="preserve"> UPON SUBMISSION OF LEGAL DOCUMENTS AND REQUIREMENTS</t>
  </si>
  <si>
    <t xml:space="preserve"> 1.	Photocopied documents must be authenticated.</t>
  </si>
  <si>
    <t xml:space="preserve"> https://drive.google.com/file/d/1ZulcOq1Si5xda8W122DElYZ_ZOLAxWL-/view?usp=drivesdk</t>
  </si>
  <si>
    <t xml:space="preserve"> Visit BAC Office and Bring the following requirements when acquiring prescribe Quotation Form and other inquiries:</t>
  </si>
  <si>
    <t xml:space="preserve"> Please click the link below,</t>
  </si>
  <si>
    <t xml:space="preserve"> For use in the repair/maint. Of DT- Forward</t>
  </si>
  <si>
    <t xml:space="preserve"> 1.  ISSUANCE OF BID DOCUMENTS - JULY 3, 2020 - JULY 17, 2020</t>
  </si>
  <si>
    <t xml:space="preserve"> Please submit your quotation and legal documents on or before 7 JULY 2020 thru email at christian_serrano@tpb.gov.ph or thru fax no. 02 8526-5971, subject to the Terms and Conditions attached herewith, stating the shortest time of delivery, duly signed by your representative to the Procurement and General Services Division, Administrative Department, 4th Floor, Legaspi Towers 300, Roxas Blvd., Manila.</t>
  </si>
  <si>
    <t xml:space="preserve"> Place of Delivery:Sipalay City, Negros Occidental</t>
  </si>
  <si>
    <t xml:space="preserve"> Rebid</t>
  </si>
  <si>
    <t xml:space="preserve"> uploaded docs are also available in dpwh website</t>
  </si>
  <si>
    <t xml:space="preserve"> Please contact BAC Secretary for any queries.</t>
  </si>
  <si>
    <t xml:space="preserve"> Please see attached file for quotation</t>
  </si>
  <si>
    <t xml:space="preserve"> https://drive.google.com/file/d/1JX3pdEM_z8zQ3AsHMTeav5nwjHe0hXzZ/view?usp=drivesdk</t>
  </si>
  <si>
    <t xml:space="preserve"> uploaded docs are also availabe in dpwh website</t>
  </si>
  <si>
    <t xml:space="preserve"> https://drive.google.com/file/d/1oevY1SJJXngFu-RBjkkxcnCOFGM3gA3r/view?usp=drivesdk</t>
  </si>
  <si>
    <t xml:space="preserve"> Please download "associated components" in the link, fill-up completely, place in a sealed envelop and sent to BAC</t>
  </si>
  <si>
    <t xml:space="preserve"> FOB / DELIVERY POINT: CARCAR WATER DISTRICT SAN VICENTE ST., POB. 1, CARCAR CITY CEBU</t>
  </si>
  <si>
    <t xml:space="preserve"> The Local Government Unit of the Island Garden City of Samal reserves the right to reject any and all bids, declare a failure of bidding, or not award the contract at any time prior to contract award in accordance with Section 41 of RA 9184 and its IRR, without thereby incurring any liability to the affected bidder or bidders.</t>
  </si>
  <si>
    <t xml:space="preserve"> https://drive.google.com/file/d/1E8oI1FpShMk6FVKd5_gE7qyIfXnI-Q4Q/view?usp=drivesdk</t>
  </si>
  <si>
    <t xml:space="preserve"> For use in the repair/maint. Of Military Jeep (MAF-3117)</t>
  </si>
  <si>
    <t xml:space="preserve"> https://drive.google.com/file/d/1_xAntEVckKeI-Bjya_9rM2NX_gXihoVN/view?usp=drivesdk</t>
  </si>
  <si>
    <t xml:space="preserve"> Mangani Elemenatry School Request for Quotation</t>
  </si>
  <si>
    <t xml:space="preserve"> The schedule of opening of bid will be on July 27, 2020 at exactly 2:00 o'clock in the afternoon at the BAC Office c/o Budget Office LGU Dauis, Bohol.</t>
  </si>
  <si>
    <t xml:space="preserve"> https://drive.google.com/file/d/1TyLnurPZhYQ945AjUAfxo5GL14Vic8uN/view?usp=drivesdk</t>
  </si>
  <si>
    <t xml:space="preserve"> Interested parties may send their VAT inclusive price quotation to elmer.valenzuela@cbaa.gov.ph or via telefax (02) 5251411.</t>
  </si>
  <si>
    <t xml:space="preserve"> Kindly download the attached document.</t>
  </si>
  <si>
    <t xml:space="preserve"> 1. ISSUANCE OF BID DOCUMENTS - JULY 3, 2020- JULY 17, 2020</t>
  </si>
  <si>
    <t xml:space="preserve"> Please download attached Documents.</t>
  </si>
  <si>
    <t xml:space="preserve"> For use in the repair/maint. Of Toyota FX (SKF-799)</t>
  </si>
  <si>
    <t xml:space="preserve"> uploaded dos are also available in dpwh website</t>
  </si>
  <si>
    <t xml:space="preserve"> Please indicate the brand and model of your offer.</t>
  </si>
  <si>
    <t xml:space="preserve"> https://drive.google.com/file/d/1-SOg2SzPeQxXZ4JBpON5zyyojAlfhZf-/view?usp=drivesdk</t>
  </si>
  <si>
    <t xml:space="preserve"> Bidding Date/Time: July 15,2020 at 9:00 am in the morning</t>
  </si>
  <si>
    <t xml:space="preserve"> ITB20-07-028C</t>
  </si>
  <si>
    <t xml:space="preserve"> All materials must conform with the standard</t>
  </si>
  <si>
    <t xml:space="preserve"> ITB20-07-028B</t>
  </si>
  <si>
    <t xml:space="preserve"> Item No.	Scope of Work  (Direct Cost)		Quantity	Unit</t>
  </si>
  <si>
    <t xml:space="preserve"> Mary Ann T. Casuncad</t>
  </si>
  <si>
    <t xml:space="preserve"> ITB20-07-028E</t>
  </si>
  <si>
    <t xml:space="preserve"> itb20-07-028A</t>
  </si>
  <si>
    <t xml:space="preserve"> Prospective bidders should submit duly accomplished Quotation Form with Attachment 1 and authenticated copies of the following documents, to wit:</t>
  </si>
  <si>
    <t xml:space="preserve"> ITB20-07-028D</t>
  </si>
  <si>
    <t xml:space="preserve"> Purchase materials for the Improvement of the Health Center</t>
  </si>
  <si>
    <t xml:space="preserve"> EMERGENCY PURCHASE</t>
  </si>
  <si>
    <t xml:space="preserve"> For more information, please see or contact the BAC Members of LGU-Magallanes, Sorsogon.</t>
  </si>
  <si>
    <t xml:space="preserve"> Interested bidders may obtain further information from the PNOC – Property and Supply Management Division and inspect the Bidding Documents at the address given below from 9:00 AM to 3:00 PM.</t>
  </si>
  <si>
    <t xml:space="preserve"> https://drive.google.com/file/d/1NhX0wB_34FFu8ZIznsATSL6m8zkzAu8P/view?usp=drivesdk</t>
  </si>
  <si>
    <t xml:space="preserve"> For inquiry, please contact Ms. Nancy Corpuz at Tel. No. 924-6031 local 212</t>
  </si>
  <si>
    <t xml:space="preserve"> https://drive.google.com/file/d/1iZTka_2azX0jUQavVbxb7O_AohcpvIjO/view?usp=drivesdk</t>
  </si>
  <si>
    <t xml:space="preserve"> Deadline for the submission of bid is on July 9, 2020 at 2:00 PM and opening of bids to follow immediately.Please submit your sealed bid/quotation at BAC Office, New Civil Aviation Authority of the Philippines Bldg., Mactan-Cebu Int'l. Airport, Lapu-lapu City , Cebu and look for Hannah. </t>
  </si>
  <si>
    <t xml:space="preserve"> Ambulance</t>
  </si>
  <si>
    <t xml:space="preserve"> Please submit your quotations at the Department of Agrarian Reform Provincial Office, San Fermin, Cauayan City, Isabela on or before the closing date</t>
  </si>
  <si>
    <t xml:space="preserve"> 1. Click order link of the Associated Components</t>
  </si>
  <si>
    <t xml:space="preserve"> https://drive.google.com/file/d/1Xfln0FCa2fuuacw2Wr7DTxxtPEQWtR4t/view?usp=drivesdk</t>
  </si>
  <si>
    <t xml:space="preserve"> ELIGIBILITY CHECK REQUIREMENTS FOR THE PROCUREMENT OF INFRASTRUCTURE PROJECT</t>
  </si>
  <si>
    <t xml:space="preserve"> The schedule of opening of bid will be on July 27, 2020 at exactly 3:00 o'clock in the afternoon at the BAC Office LGU, Dauis, Bohol.</t>
  </si>
  <si>
    <t xml:space="preserve"> Interested bidders must download the bidding documents in the following links:</t>
  </si>
  <si>
    <t xml:space="preserve"> see DESCRIPTION for a copy of Request for Quotation</t>
  </si>
  <si>
    <t xml:space="preserve"> https://drive.google.com/file/d/1HU53fHnQgZ1L7pYDRPGcPtMWK3u1SJY-/view?usp=drivesdk</t>
  </si>
  <si>
    <t xml:space="preserve"> Submission of Quotation: until before 2 p.m. of July 8, 2020</t>
  </si>
  <si>
    <t xml:space="preserve"> Please contact BAC Secretary for any Queries</t>
  </si>
  <si>
    <t xml:space="preserve"> Ruel Capucao de Loyola</t>
  </si>
  <si>
    <t xml:space="preserve"> https://drive.google.com/file/d/1HT4_o97hU0D1P8ZxBWo4Au8PH9PTrWkj/view?usp=drivesdk</t>
  </si>
  <si>
    <t xml:space="preserve"> Note:  DELIVERY ON-SITE</t>
  </si>
  <si>
    <t xml:space="preserve"> 1. ISSUANCE OF BID DOCUMENTS - JULY 3, 2020 - JULY 17, 2020</t>
  </si>
  <si>
    <t xml:space="preserve"> Republic of the Philippines					</t>
  </si>
  <si>
    <t xml:space="preserve"> https://drive.google.com/file/d/1PK0vspjvbBb_rqsqptnhZZ1Y8xTLvIp-/view?usp=drivesdk</t>
  </si>
  <si>
    <t xml:space="preserve"> Bidder/s must download the attached document/s in the Associated Components section of this Notice.</t>
  </si>
  <si>
    <t xml:space="preserve"> For Other Information Please Contact</t>
  </si>
  <si>
    <t xml:space="preserve"> request for Quotation of TAMBONGON and DR. SP DAKUDAO cluster SCHOOL</t>
  </si>
  <si>
    <t xml:space="preserve"> https://drive.google.com/file/d/1kOOuykI0mSjQaTTIqpBdFbYBHoq5PaD3/view?usp=drivesdk</t>
  </si>
  <si>
    <t xml:space="preserve"> An emergency purchases</t>
  </si>
  <si>
    <t xml:space="preserve"> https://drive.google.com/file/d/1TdBpeMGAuMKzmxXe4m-g-HzS3gkI7FIX/view?usp=drivesdk</t>
  </si>
  <si>
    <t xml:space="preserve"> BIDDERS MUST DOWNLOAD THE ATTACHED DOCUMENTS IN THE COMPONENTS SECTION</t>
  </si>
  <si>
    <t xml:space="preserve"> Note: DELIVERY OF MATERIALS ON-SITE.</t>
  </si>
  <si>
    <t xml:space="preserve"> DATE OF PUBLIC BIDDING: JULY 15, 2020 @ 10:00 A.M</t>
  </si>
  <si>
    <t xml:space="preserve"> Grade 7 (271 pages)	1,198 sets</t>
  </si>
  <si>
    <t xml:space="preserve"> Please quote at your government price inclusive of  VAT and state the time within which you can make delivery.   It will be appreciated if we can have your quotation duly signed by your representative at the UPM  PROCUREMENT OFFICE located at UPM Student Dormitory, along Pedro Gil, Manila, not later than 5:00 PM,  08 JULY 2020,  or you may email your quotation at mbdeleon6@up.edu.ph c/o Ms. Cecil De Leon.</t>
  </si>
  <si>
    <t xml:space="preserve"> https://drive.google.com/file/d/1LGAQWkOMvKTvQjciFLQA3PMa__Vh2GIx/view?usp=drivesdk</t>
  </si>
  <si>
    <t xml:space="preserve"> A4 size, 70 gsm, Single Page, and Bookbind 	</t>
  </si>
  <si>
    <t xml:space="preserve"> Please do not forget to download attached document</t>
  </si>
  <si>
    <t xml:space="preserve"> Opening of Request for Quotations will be on July 9, 2020, 1:00 PM at the Conference Room, 2nd Floor of the Municipal Building.</t>
  </si>
  <si>
    <t xml:space="preserve"> LATE QUOTATIONS WILL NOT BE ACCEPTED.</t>
  </si>
  <si>
    <t xml:space="preserve"> https://drive.google.com/file/d/1kXTJ4X5gqJ_-zLpk1I_G6jy3EUPgs_29/view?usp=drivesdk</t>
  </si>
  <si>
    <t xml:space="preserve"> Please download the canvass in the associated components</t>
  </si>
  <si>
    <t xml:space="preserve"> You may download ITB # 07-2020-011 in the Associated Component in this page.</t>
  </si>
  <si>
    <t xml:space="preserve"> INQUIRE AT BAC OFFICE, MUNICIPAL HALL, TAMBULIG, ZAMBONAGA DEL SUR</t>
  </si>
  <si>
    <t xml:space="preserve"> You may email your submission at ajrbalisi@nbdb.gov.ph. Contact person is Mr. Anthony John R. Balisi.</t>
  </si>
  <si>
    <t xml:space="preserve"> TERMS AND CONDITIONS 2018</t>
  </si>
  <si>
    <t xml:space="preserve"> Interested Supplier/s may download attached documents located in the Associated Components Section.</t>
  </si>
  <si>
    <t xml:space="preserve"> https://drive.google.com/file/d/1Vr07SdWaZwZmbXJv8Tj1zOqMcx0SmFav/view?usp=drivesdk</t>
  </si>
  <si>
    <t xml:space="preserve"> 1 set Desktop PC</t>
  </si>
  <si>
    <t xml:space="preserve"> Other information</t>
  </si>
  <si>
    <t xml:space="preserve"> Please submit sealed quotation.</t>
  </si>
  <si>
    <t xml:space="preserve"> * Supply and delivery of Diesel Generating Sets or Mechanical and/or Electrical Parts / Components / Equipment for Diesel Generating Sets.</t>
  </si>
  <si>
    <t xml:space="preserve"> Re-posting of Bids specifically for Lot 3 and Lot 4 only.</t>
  </si>
  <si>
    <t xml:space="preserve"> The Municipal Government of Rizal, Occidental Mindoro reserves the right to accept or reject any or all quotations, to annul the bidding process, and to reject all quotations at any time prior to contract award, without thereby incurring any liability to the affected proponents and to impose additional terms and conditions as it may be deem proper.</t>
  </si>
  <si>
    <t xml:space="preserve"> For Particular,Inquire at BAC Secretariat of Brgy. Zone II Atimonan, Quezon</t>
  </si>
  <si>
    <t xml:space="preserve"> Requirements:</t>
  </si>
  <si>
    <t xml:space="preserve"> Checklist for Alternative Mode of Procurement</t>
  </si>
  <si>
    <t xml:space="preserve"> Please download DapCWD RFQ in the Associated Component in this page.</t>
  </si>
  <si>
    <t xml:space="preserve"> (Note: Should be delivered within 5 working days upo receipt of PO)</t>
  </si>
  <si>
    <t xml:space="preserve"> Availability of RFQ: July 3 - 7, 2020, 8:00 AM-5:00 PM; Monday through Friday</t>
  </si>
  <si>
    <t xml:space="preserve"> BIDDERS MUST DOWNLOAD THE ATTACHED DOCUMENTS IN THE ASSOCIATED COMPONENTS SECTION</t>
  </si>
  <si>
    <t xml:space="preserve"> For inquiries, please call:</t>
  </si>
  <si>
    <t xml:space="preserve"> For Particular,Inquire at BAC Secretariat of Brgy. Tinandog Atimonan, Quezon</t>
  </si>
  <si>
    <t xml:space="preserve"> Please see attached bidding document in associated component</t>
  </si>
  <si>
    <t xml:space="preserve"> Interested suppliers shall submit RFQ 3 copies on/before the set deadline. Late submission will not be accepted.</t>
  </si>
  <si>
    <t xml:space="preserve"> Bid Openig Venue: BAC Office, 9:00AM</t>
  </si>
  <si>
    <t xml:space="preserve"> Please see attached copy of bidding document in associated component</t>
  </si>
  <si>
    <t xml:space="preserve"> https://drive.google.com/file/d/13P31MWZV6tcqq9LSFgfhx40ITd_SBa4r/view?usp=drivesdk</t>
  </si>
  <si>
    <t xml:space="preserve"> https://drive.google.com/file/d/1cFSP7InlsMa-LOWvLwLy5q4Na7hNYi-C/view?usp=drivesdk</t>
  </si>
  <si>
    <t xml:space="preserve"> https://drive.google.com/file/d/1Rt5HVp3mYrWGz679YDyS5ZU_Nt1fPEuO/view?usp=drivesdk</t>
  </si>
  <si>
    <t xml:space="preserve"> Printing Speed:			        3 Levels: 60, 80, and 100ppm</t>
  </si>
  <si>
    <t xml:space="preserve"> (Please Submit Sample Picture with Brand, Model and Specifications).</t>
  </si>
  <si>
    <t xml:space="preserve"> * Supply and Delivery of Diesel Generating Sets or Mechanical and/or Electrical Parts/Components/Equipment for Diesel Generating Sets.</t>
  </si>
  <si>
    <t xml:space="preserve"> The bidders must download the attached documents in the associated components section.</t>
  </si>
  <si>
    <t xml:space="preserve"> Prospective bidders should submit duly accomplished Quotation Form with Attachment 1 and authenticated Copies of the following documents, to wit:</t>
  </si>
  <si>
    <t xml:space="preserve"> Learning Packets- Kinder       145x45 =   6525    Unit Price: 0.60  TOTAL= 3915.00</t>
  </si>
  <si>
    <t xml:space="preserve"> * Supply and Delivery of Protection and Meters and/or Substation Protection and Equipment.</t>
  </si>
  <si>
    <t xml:space="preserve"> Please see the details/items on the attached file in Associated Components</t>
  </si>
  <si>
    <t xml:space="preserve"> (Please Submit Sample Picture with Brand, Model and Specifications) (Original HP Cartridge ONLY).</t>
  </si>
  <si>
    <t xml:space="preserve"> For information inquire at BAC Secretariat of Atimonan, Quezon.</t>
  </si>
  <si>
    <t xml:space="preserve"> Please see and download attachment.</t>
  </si>
  <si>
    <t xml:space="preserve"> For more information, contact us (072) 888-5740 or thru email psa.launion@yahoo.com</t>
  </si>
  <si>
    <t xml:space="preserve"> FOR INQUIRY PROCEED TO BARANGAY HALL AT NARANGAY GUINHAWA TAYSAN BATANGAS</t>
  </si>
  <si>
    <t xml:space="preserve"> FOR INQUIRY PROCEED TO BARANGAY HALL AT STO.NIÑO TAYSAN BATANGAS</t>
  </si>
  <si>
    <t xml:space="preserve"> For the use of MPW Mag1 Employee / Planning &amp; Design Section Survey Team</t>
  </si>
  <si>
    <t xml:space="preserve"> Mobile # (63) 0943-612-7381</t>
  </si>
  <si>
    <t xml:space="preserve"> You may see the MDRRMO, Municipality of Caibiran</t>
  </si>
  <si>
    <t xml:space="preserve"> https://drive.google.com/file/d/1jWljZd3wesUC85bmsSOFI3du21NkY82u/view?usp=drivesdk</t>
  </si>
  <si>
    <t xml:space="preserve"> Please Complete your Eligibility Requirements as Contractor for Bidding Purposes</t>
  </si>
  <si>
    <t xml:space="preserve"> https://drive.google.com/file/d/1QCfEHhWga7-TU7r17VHMCAiN5dykFfc6/view?usp=drivesdk</t>
  </si>
  <si>
    <t xml:space="preserve"> Interested suppliers shall submit the RFQ (in 3 copies) with attached menu on/before the set deadline.</t>
  </si>
  <si>
    <t xml:space="preserve"> Issuance of Bid Documents  : 8:00AM - 5:00PM July 03, 2020 to 8:00AM - 10:00AM, July 14, 2020</t>
  </si>
  <si>
    <t xml:space="preserve"> supplier within Bacolod City.</t>
  </si>
  <si>
    <t xml:space="preserve"> Supplier within Bacolod City</t>
  </si>
  <si>
    <t xml:space="preserve"> supllier within Bacolod City</t>
  </si>
  <si>
    <t xml:space="preserve"> The BAC shall issue bidding documents upon payment of Five Thousand Pesos Only (Php5,000.00) to the disbursing/ collecting officer of the LGU.</t>
  </si>
  <si>
    <t xml:space="preserve"> REMINDERS:</t>
  </si>
  <si>
    <t xml:space="preserve"> Purpose:  for Engineering and Construction Department.</t>
  </si>
  <si>
    <t xml:space="preserve"> Purpose: for use in water treatment.</t>
  </si>
  <si>
    <t xml:space="preserve"> Deadline for submission of Bid, 2pm July 13, 2020.</t>
  </si>
  <si>
    <t xml:space="preserve"> Include Brand, Model, Quality and Warranty</t>
  </si>
  <si>
    <t xml:space="preserve"> BID DOCS posted: July 3, 2020 (Friday)</t>
  </si>
  <si>
    <t xml:space="preserve"> BID TENDER								</t>
  </si>
  <si>
    <t xml:space="preserve"> BIDDERS: GENERAL SANTOS CITY AREA ONLY</t>
  </si>
  <si>
    <t xml:space="preserve"> BID Doc posted: July 3, 2020 (Friday)</t>
  </si>
  <si>
    <t xml:space="preserve"> Purpose: for Subdivision Interconnection Works for Fatima Homes Subdivision, San Roque.</t>
  </si>
  <si>
    <t xml:space="preserve"> https://tinyurl.com/y7l3z8cr</t>
  </si>
  <si>
    <t xml:space="preserve"> Deadline for submission of bid, 2pm July 13, 2020.</t>
  </si>
  <si>
    <t xml:space="preserve"> Also available at the DPWH Website.</t>
  </si>
  <si>
    <t xml:space="preserve"> 1. Funded under the General Fund 20% Development Fund with an ABC of 267,777.56</t>
  </si>
  <si>
    <t xml:space="preserve"> The Schedule of BAC Activities is as follows:</t>
  </si>
  <si>
    <t xml:space="preserve"> Please see attached files</t>
  </si>
  <si>
    <t xml:space="preserve"> • Similar Contracts: Supply and delivery of handheld on-line partial discharge tester and power quality analyzer and energy meter or electrical testing equipment /test instruments</t>
  </si>
  <si>
    <t xml:space="preserve"> see associated components</t>
  </si>
  <si>
    <t xml:space="preserve"> BID TENDER														</t>
  </si>
  <si>
    <t xml:space="preserve"> • Similar Contracts: Supply and delivery of Diesel Generating Sets or Mechanical and/or Electrical Parts / Components / Equipment for Diesel Generating Sets or Power Barges</t>
  </si>
  <si>
    <t xml:space="preserve"> Bidding will be conducted through open competitive bidding procedures using non-discretionary “pass/fail” criterion as specified in the 2016 Revised Implementing Rules and Regulations (IRR) of Republic Act 9184 (RA 9184), otherwise known as the “Government Procurement Reform Act.”</t>
  </si>
  <si>
    <t xml:space="preserve"> The BAC shall issue bidding documents upon payment of Twenty Five Thousand Pesos Only (Php25,000.00) to the disbursing/collecting officer of the LGU.</t>
  </si>
  <si>
    <t xml:space="preserve"> July 4, 2020</t>
  </si>
  <si>
    <t xml:space="preserve"> For clarification on details, you may call tel. # (074) 444-2929 (SSS Baguio)</t>
  </si>
  <si>
    <t xml:space="preserve"> Kindly download the attached file in the associated component section</t>
  </si>
  <si>
    <t xml:space="preserve"> Quotations may be submitted through email at rodelserrano77@yahoo.com or delivered to the address indicated below:  </t>
  </si>
  <si>
    <t xml:space="preserve"> FOR INQUIRY PROCEED TO BARANGAY HALL OF BARANGAY BACAO TAYSAN BATANGAS</t>
  </si>
  <si>
    <t xml:space="preserve"> All quotations will be collated and checked a day after the 7 days posting. </t>
  </si>
  <si>
    <t xml:space="preserve"> Please contact SDO, Pasay Supply Office for specifications of materials</t>
  </si>
  <si>
    <t xml:space="preserve"> Please contact SDO, Pasay, Supply Office for specifications</t>
  </si>
  <si>
    <t xml:space="preserve"> For development of land for the relocation site of informal settlers</t>
  </si>
  <si>
    <t xml:space="preserve"> BID TENDER							</t>
  </si>
  <si>
    <t xml:space="preserve"> For use in the repair/maint. Of Payloader</t>
  </si>
  <si>
    <t xml:space="preserve"> Contact Person: Ronald M. Alquiros/ Hazel Jane M. Orge</t>
  </si>
  <si>
    <t xml:space="preserve"> BASILIO T. PEPITO</t>
  </si>
  <si>
    <t xml:space="preserve"> Download RFQ and Memo at the associated components and submit both documents.</t>
  </si>
  <si>
    <t xml:space="preserve"> please call To:  0998-247-0239  &amp;  0906-256-9238  for other details . . .</t>
  </si>
  <si>
    <t xml:space="preserve"> Bidding Document are available to prospective bidders who will pay the bidding documents frm the Mahongkong Barangay Treasurer at Barangay Mahongkog,Magpet,Cotabato</t>
  </si>
  <si>
    <t xml:space="preserve"> Please DOWNLOAD attached file/s for Specifications.</t>
  </si>
  <si>
    <t xml:space="preserve"> For use in the repair/maint. Of Road Grader</t>
  </si>
  <si>
    <t xml:space="preserve"> Note: Kindly submit your updated PhilGEPS documents, Tax Clearance, Mayor’s permit, SEC Certificate/DTI permit, and brochures if any.</t>
  </si>
  <si>
    <t xml:space="preserve"> FRANCISCO TAM-IS</t>
  </si>
  <si>
    <t xml:space="preserve"> DOCUMENTARY REQUIREMENTS FOR ALTERNATIVE METHODS OF PROCUREMENT</t>
  </si>
  <si>
    <t xml:space="preserve"> You may see the M.E., Municipality of Caibiran</t>
  </si>
  <si>
    <t xml:space="preserve"> CONTACT PERSON:</t>
  </si>
  <si>
    <t xml:space="preserve"> Please dial 8711-4276 and look for Ms. Susan</t>
  </si>
  <si>
    <t xml:space="preserve"> Please submit sealed quotation</t>
  </si>
  <si>
    <t xml:space="preserve"> SEE RFQ</t>
  </si>
  <si>
    <t xml:space="preserve"> Bidders must download the attached main document in associated component section.</t>
  </si>
  <si>
    <t xml:space="preserve"> You may see the S,O., Municipality of Caibiran</t>
  </si>
  <si>
    <t xml:space="preserve"> CONTACT:  MRS. RHODORA C. SEGARANG AT ENGINEERING OFFICE 2ND FLOOR</t>
  </si>
  <si>
    <t xml:space="preserve"> INTERESTED BIDDERS ARE ADVISED TO DOWNLOAD THE ATTACHED DOCUMENTS IN THE ASSOCIATED COMPONENTS SECTION OF THE BID OPPORTUNITY FOR GUIDANCE.  PLEASE SEND YOUR QUOTATIONS AND OTHER DOCUMENTARY REQUIREMENTS ON OR BEFORE THE CLOSING DATE,  9 JULY 2020, 4:00PM   THRU  </t>
  </si>
  <si>
    <t xml:space="preserve"> uel Capucao de Loyola</t>
  </si>
  <si>
    <t xml:space="preserve"> Other Information:</t>
  </si>
  <si>
    <t xml:space="preserve"> For rehabilitation/re-wiring of public market at Ground floor</t>
  </si>
  <si>
    <t xml:space="preserve"> BIDDERS MUST DOWNLOAD THE ATTACHED DOCUMENT IN THE ASSOCIATED COMPONENTS SECTION</t>
  </si>
  <si>
    <t xml:space="preserve"> Rebid.</t>
  </si>
  <si>
    <t xml:space="preserve"> LABOR FOR THE COVERING CANAL IN FRONT OF BARANGAY CHAPEL, CONCRETING OF ACCESS ROAD AT P-1, CONCRETING OF CATWALK W/ RIPRAP AT 4</t>
  </si>
  <si>
    <t xml:space="preserve"> GENERAL SPECIFICATION	4WD 6-SPEED M/T</t>
  </si>
  <si>
    <t xml:space="preserve"> Please quote your price on the items in the herewith attached Request for Quotation (RFQ), subject to the specifications, terms and conditions and submit your quotation at the Procurement Office, Philippine Science High School-Bicol Region Campus, Tagongtong, Goa, Camarines Sur.</t>
  </si>
  <si>
    <t xml:space="preserve"> Please quote at your government price inclusive of  VAT and state the time within which you can make delivery.   It will be appreciated if we can have your quotation duly signed by your representative at the UPM  PROCUREMENT OFFICE, now located at UPM Student Dormitory Building, along Pedro Gil, Taft Ave., Manila,  not later than  5:00 PM,  07 JULY, 2020,  or you may email your quotation at mbdeleon6@up.edu.ph c/o Ms. Cecil De Leon.</t>
  </si>
  <si>
    <t xml:space="preserve"> A complete set of Bidding Documents will be provided by PNBAC Secretariat to the interested Bidders upon payment of a non-refundable fee in the amount of TWENTY FIVE THOUSAND PESOS (P25,000.00) only at CRB, CPMU, Philippine Navy Finance Center (PNFC), Naval Station Jose Francisco, Fort Bonifacio, Taguig City.</t>
  </si>
  <si>
    <t xml:space="preserve"> Please see attached associated components for the complete and detailed specifications</t>
  </si>
  <si>
    <t xml:space="preserve"> SECOND POSTING</t>
  </si>
  <si>
    <t xml:space="preserve"> FUNDED UNDER BDF 2020</t>
  </si>
  <si>
    <t xml:space="preserve"> 1.	Availability of Request for Quotation (RFQ) Form is on July 3, 2020 until 5:00 pm of July 7, 2020 (working days only).</t>
  </si>
  <si>
    <t xml:space="preserve"> For use in the repair/maint. Of DT (Howo-371)</t>
  </si>
  <si>
    <t xml:space="preserve"> For more details you may call/visit BAC Secretariat @ LGU POLANCO, Polanco, Z. N.</t>
  </si>
  <si>
    <t xml:space="preserve"> Sport Utility Vehicle - not exceeding 3000cc engine displacement</t>
  </si>
  <si>
    <t xml:space="preserve"> July 3, 2020</t>
  </si>
  <si>
    <t xml:space="preserve"> A complete set of Bidding Documents will be provided by PNBAC Secretariat to the interested Bidders upon payment of a non-refundable fee in the amount of FIFTY THOUSAND PESOS (P50,000.00) only at CRB, CPMU, Philippine Navy Finance Center (PNFC), Naval Station Jose Francisco, Fort Bonifacio, Taguig City.</t>
  </si>
  <si>
    <t xml:space="preserve"> Schedule of Activities:</t>
  </si>
  <si>
    <t xml:space="preserve"> upon submission of legal documents and requirements</t>
  </si>
  <si>
    <t xml:space="preserve"> The deadline of Submission and opening of the RFQ are as follows:	</t>
  </si>
  <si>
    <t xml:space="preserve"> For construction of temporary shelter/ Covid-19 isolation faculty Housing site</t>
  </si>
  <si>
    <t xml:space="preserve"> A complete set of Bidding Documents will be provided by PNBAC Secretariat to the interested Bidders upon payment of a non-refundable fee in the amount of TEN THOUSAND PESOS (P10,000.00) only at CRB, CPMU, Philippine Navy Finance Center (PNFC), Naval Station Jose Francisco, Fort Bonifacio, Taguig City.</t>
  </si>
  <si>
    <t xml:space="preserve"> Bid Opening shall be on July 10, 2020 @ 09:30 AM at the Conference Room, Office of the Mayor, 2/f Municipal Hall Building, Municipal Compound, Brgy. Poblacion, Calintaan, Occ. Mindoro.</t>
  </si>
  <si>
    <t xml:space="preserve"> The BAC shall issue bidding documents upon payment of One Thousand Pesos Only (Php1,000.00) to the disbursing/collecting officer of the LGU.</t>
  </si>
  <si>
    <t xml:space="preserve"> Conduct and delivery of goods will be at the function hall of the establishment in Cotabato City.</t>
  </si>
  <si>
    <t xml:space="preserve"> To Our Supplier, Bid Documents are Available at BAC Secretariat</t>
  </si>
  <si>
    <t xml:space="preserve"> https://drive.google.com/file/d/11R_rObFd6b6a82ijKlqsJtI2vKmWM_B0/view?usp=drivesdk</t>
  </si>
  <si>
    <t xml:space="preserve"> Same time and venue.</t>
  </si>
  <si>
    <t xml:space="preserve"> Within Conner, Apayao only</t>
  </si>
  <si>
    <t xml:space="preserve"> Deadline of submission of bid, 2pm July 13, 2020.</t>
  </si>
  <si>
    <t xml:space="preserve"> Free delivery</t>
  </si>
  <si>
    <t xml:space="preserve"> For information:</t>
  </si>
  <si>
    <t xml:space="preserve"> please call To: 0998-247-0239  &amp;  0906-256-9238  for other details . . . .</t>
  </si>
  <si>
    <t xml:space="preserve"> A complete set of Bidding Documents will be provided by PNBAC Secretariat to the interested Bidders upon payment of a non-refundable fee in the amount of FIVE THOUSAND PESOS (P5,000.00) only at CRB, CPMU, Philippine Navy Finance Center (PNFC), Naval Station Jose Francisco, Fort Bonifacio, Taguig City.</t>
  </si>
  <si>
    <t xml:space="preserve"> For use in the repair/maint. Of DT (YHL-490)</t>
  </si>
  <si>
    <t xml:space="preserve"> Within Alfonso Lista, Ifugao only</t>
  </si>
  <si>
    <t xml:space="preserve"> NOTE: BUDGET AMOUNT IS INCLUSIVE OF VAT</t>
  </si>
  <si>
    <t xml:space="preserve"> "Item</t>
  </si>
  <si>
    <t xml:space="preserve"> https://drive.google.com/file/d/1QHu5nXg-Ejmq_YaUfg83Yyupl_2u-J7V/view?usp=drivesdk</t>
  </si>
  <si>
    <t xml:space="preserve"> Interested supplier must download Associated Components or pick-up rfq  at Office</t>
  </si>
  <si>
    <t xml:space="preserve"> james03repita@gmail.com</t>
  </si>
  <si>
    <t xml:space="preserve"> Please contact BAC Secretariat for any queries.</t>
  </si>
  <si>
    <t xml:space="preserve"> Issuance of Bid Documents Starts: July 2, 2020</t>
  </si>
  <si>
    <t xml:space="preserve"> DESCRIPTION - BACKFILLING</t>
  </si>
  <si>
    <t xml:space="preserve"> Please see download and see attachment.</t>
  </si>
  <si>
    <t xml:space="preserve"> LCRB</t>
  </si>
  <si>
    <t xml:space="preserve"> Please call MIRDC  c/o Ronnie Alamon for further question</t>
  </si>
  <si>
    <t xml:space="preserve"> PLS. SEE ATTACHED PDF DOCUMENTS.</t>
  </si>
  <si>
    <t xml:space="preserve"> A. Repainting of Roof and Directory			</t>
  </si>
  <si>
    <t xml:space="preserve"> For more information , please contact Mr. Mario A. Baya  : Mobile number 09955191723</t>
  </si>
  <si>
    <t xml:space="preserve"> INVITATION TO APPLY FOR ELIGIBILITY AND TO BID</t>
  </si>
  <si>
    <t xml:space="preserve"> ISSUANCE OF BIDDING DOCUMENTS: July 3, 2020- July 27, 2020</t>
  </si>
  <si>
    <t xml:space="preserve"> Please visit BAC office</t>
  </si>
  <si>
    <t xml:space="preserve"> For more information please visit or contact  the BAC Secretariat  at Brgy Tinglan, Mutia Z.N</t>
  </si>
  <si>
    <t xml:space="preserve"> BAC Activity Schedule:</t>
  </si>
  <si>
    <t xml:space="preserve"> https://www.philgeps.gov.ph/GEPSNONPILOT/Tender/CreateNoticeStep2UI.aspx?RefID=7083055</t>
  </si>
  <si>
    <t xml:space="preserve"> https://www.philgeps.gov.ph/GEPSNONPILOT/Tender/CreateNoticeStep2UI.aspx?RefID=7083036</t>
  </si>
  <si>
    <t xml:space="preserve"> https://www.philgeps.gov.ph/GEPSNONPILOT/Tender/CreateNoticeStep2UI.aspx?RefID=7083133</t>
  </si>
  <si>
    <t xml:space="preserve"> Please copy the link below and print for a copy of Bidding Document</t>
  </si>
  <si>
    <t xml:space="preserve"> *Total cost is inclusive of VAT &amp; delivery charges to the identified site – Dipolog City.</t>
  </si>
  <si>
    <t xml:space="preserve"> Bidder must download the attached document in the associated component section</t>
  </si>
  <si>
    <t xml:space="preserve"> Prospective Bidders should have the experience in undertaking a similar contract within the last five (5) years. Bidding will be conducted through open competitive bidding procedures using a non-discretionary "Pass/Fail" criterion as specified under Implementing Rules and Regulations of R.A.9184 otherwise known as the Government Procurement Reform Act.</t>
  </si>
  <si>
    <t xml:space="preserve"> A business tax will be levied to the winning Supplier/Contractor based on the total contract cost pursuant to Chapter 2. Article I. Section 11 in relation to Chapter 2. Article 1. Section 7 (a) to (h) of the Revised Revenue Code of Nabunturan 2016.</t>
  </si>
  <si>
    <t xml:space="preserve"> BID DOCUMENT IS AVAILABLE AT ENGINEERING OFFICE, BAC SECRETARIAT.</t>
  </si>
  <si>
    <t xml:space="preserve"> Item	          Description	                   Quantity	Unit</t>
  </si>
  <si>
    <t xml:space="preserve"> 1.	Issuance of bid documents is on July 3, 2020 until 1:00 pm of July 15, 2020 (working days only).</t>
  </si>
  <si>
    <t xml:space="preserve"> For additional details, please contact:</t>
  </si>
  <si>
    <t xml:space="preserve"> You may download ITB # 07-2020-010 in the Associated Component in this page.</t>
  </si>
  <si>
    <t xml:space="preserve"> https://drive.google.com/file/d/1nA3LFlEiPJIS_bp6tOSZxPlnqjryLphz/view?usp=drivesdk</t>
  </si>
  <si>
    <t xml:space="preserve"> You may also send your quotation at psa.cavite@yahoo.com and call 046-686-5728 for inquiries.</t>
  </si>
  <si>
    <t xml:space="preserve"> Small Value Procurement documents are available at Cantuod Barangay Hall</t>
  </si>
  <si>
    <t xml:space="preserve"> • Supply and delivery of Diesel Generating Sets or Mechanical and/or Electrical Spare Parts/ Components/ Equipment for Diesel Generating Sets</t>
  </si>
  <si>
    <t xml:space="preserve"> for queries, pls contact MS. JENKIN DY at 8-5512200 locals 2290, 2979; email address: jenkindy26@yahoo.com</t>
  </si>
  <si>
    <t xml:space="preserve"> SUBMIT QUOTATION ON OR BEFORE JULY 8, 2020 - 10:00AM AT BAC OFFICE</t>
  </si>
  <si>
    <t xml:space="preserve"> *7 Units	USB Wifi Adapter</t>
  </si>
  <si>
    <t xml:space="preserve"> Province of Iloilo</t>
  </si>
  <si>
    <t xml:space="preserve"> Pls. send quotation at philricebatacpmu@gmail.com</t>
  </si>
  <si>
    <t xml:space="preserve"> •  Supply and Delivery of Diesel Generating Sets or Mechanical and/or Electrical Parts/Components/Equipment for Diesel Generating Sets</t>
  </si>
  <si>
    <t xml:space="preserve"> Please submit all documentary requirement stated in our RFQ</t>
  </si>
  <si>
    <t xml:space="preserve"> For inquires call BAC Secretariat at tel # (056) 333-6310</t>
  </si>
  <si>
    <t xml:space="preserve"> Please forward the RFQ to Tuguegarao Airport</t>
  </si>
  <si>
    <t xml:space="preserve"> BAC ACTIVITIES</t>
  </si>
  <si>
    <t xml:space="preserve"> REQUEST FOR QUOTATION FORM WILL BE AVAILABLE AT GINGOOG CITY WATER DISTRICT OFFICE</t>
  </si>
  <si>
    <t xml:space="preserve"> Please send your quotation to:</t>
  </si>
  <si>
    <t xml:space="preserve"> Below is the link of the bidding document for this Project.</t>
  </si>
  <si>
    <t xml:space="preserve"> BAC ACTIVITY DATES:</t>
  </si>
  <si>
    <t xml:space="preserve"> https://www.philgeps.gov.ph/GEPSNONPILOT/Tender/CreateNoticeStep2UI.aspx?RefID=7083068</t>
  </si>
  <si>
    <t xml:space="preserve"> Specification:			</t>
  </si>
  <si>
    <t xml:space="preserve"> DOWNLOAD RFQ &amp; MEMO @ THE ASSOCIATED COMPONENTS</t>
  </si>
  <si>
    <t xml:space="preserve"> https://drive.google.com/file/d/1ppLQ06pqjivr1QSmIp4t9EtO6rj5rNKk/view?usp=drivesdk</t>
  </si>
  <si>
    <t xml:space="preserve"> Details and other information relative to this proposed contract will be discuss during pre-bid conference.</t>
  </si>
  <si>
    <t xml:space="preserve"> Please contact:</t>
  </si>
  <si>
    <t xml:space="preserve"> INVITATION TO BID FOR </t>
  </si>
  <si>
    <t xml:space="preserve"> Details and other information relative to this propose contract will be discuss during pre-bid conference.</t>
  </si>
  <si>
    <t xml:space="preserve"> ***Please see attached Request for Quotation...</t>
  </si>
  <si>
    <t xml:space="preserve"> Cost of Bid Docs: Php 1,000.00</t>
  </si>
  <si>
    <t xml:space="preserve"> BIDDERS MUST DOWNLOAD THE ATTACHED DOCUMENT</t>
  </si>
  <si>
    <t xml:space="preserve"> Cost of Bid Docs: Php 500.00</t>
  </si>
  <si>
    <t xml:space="preserve"> Bidding will set by BAC of RADC upon notice to Commission on Audit.</t>
  </si>
  <si>
    <t xml:space="preserve"> https://drive.google.com/file/d/1x76xhkz0maPO8s1ZOYZAh5hQJRUL6Prb/view?usp=drivesdk</t>
  </si>
  <si>
    <t xml:space="preserve"> https://drive.google.com/file/d/1fQKW56-zrJiraRWtZPOMcdAnUrrvfRd-/view?usp=drivesdk</t>
  </si>
  <si>
    <t xml:space="preserve"> PCAB License</t>
  </si>
  <si>
    <t xml:space="preserve"> BIDDERS/SUPPLIER MUST DOWNLOAD THE ATTACHED DOCUMENTS IN THE ASSOCIATED SECTIONS.</t>
  </si>
  <si>
    <t xml:space="preserve"> https://drive.google.com/file/d/1cJckUY6dbb3nybV_gI1L1KQ6yS019-XD/view?usp=drivesdk</t>
  </si>
  <si>
    <t xml:space="preserve"> Please see attached E-file for further Information</t>
  </si>
  <si>
    <t xml:space="preserve"> Visit our school for your estimation.</t>
  </si>
  <si>
    <t xml:space="preserve"> SITIO PALANAS  PHP 63,175.00</t>
  </si>
  <si>
    <t xml:space="preserve"> PLEASE CHECK SIMILAR INFORMATION POSTED AT THE WEBSITE OF THE PROCURING ENTITY</t>
  </si>
  <si>
    <t xml:space="preserve"> https://drive.google.com/file/d/1sZu-nC2HfOkxbXxXhWYS4XFBwNxlG1rS/view?usp=drivesdk</t>
  </si>
  <si>
    <t xml:space="preserve"> https://drive.google.com/file/d/1RE7PjyTu7dNEcgAkYq5cFxgwo_3LSqWj/view?usp=drivesdk</t>
  </si>
  <si>
    <t xml:space="preserve"> Specifications: A4 sized white paper, 60-70 gsm, with sorting and arranging, single page printing and with 5% </t>
  </si>
  <si>
    <t xml:space="preserve"> Mechanical Testing upon delivery. User Guide needed</t>
  </si>
  <si>
    <t xml:space="preserve"> Barangay San Francisco is a small barangay that composed of Barangay Officials and Constituents.</t>
  </si>
  <si>
    <t xml:space="preserve"> Please download the attached Invitation to Bid, Bidding Documents, Terms of Reference, Bill of Quantities (BOQ), Design and Build Scheme, and Eligibility Checklist in the associated component.</t>
  </si>
  <si>
    <t xml:space="preserve"> https://drive.google.com/file/d/19N1HCxAxdkDn1VMUCyQA5D95X60bCDHw/view?usp=drivesdk</t>
  </si>
  <si>
    <t xml:space="preserve"> Deadline of submission of quotation is on July 7, 2020 at 10:00 AM.</t>
  </si>
  <si>
    <t xml:space="preserve"> Visit our school for your bidding estimation</t>
  </si>
  <si>
    <t xml:space="preserve"> 1.  The Barangay Council of Barangay Unat , intends to apply the sum above-stated being the Approved Budget for the Contract (ABC) to payments under the contract for the above-mentioned contract.  Bids received in excess of the ABC shall automatically rejected, the bid opening.</t>
  </si>
  <si>
    <t xml:space="preserve"> Please copy the link below and paste it on new tab:</t>
  </si>
  <si>
    <t xml:space="preserve"> Copy of drawings/plans are not downloaded due to limited MB. Interested bidder/s may secure copy at BAC Office.</t>
  </si>
  <si>
    <t xml:space="preserve"> Please download the attached Invitation to Bid, Bidding Documents, Eligibility Checklist for Goods, and Design Customized Waste Collection in the associated component.</t>
  </si>
  <si>
    <t xml:space="preserve"> Suppliers must  download the attached document in the associated component section</t>
  </si>
  <si>
    <t xml:space="preserve"> https://drive.google.com/file/d/1nAfDdzd0EC7TvMIuprZj828mwZiw-6mj/view?usp=drivesdk</t>
  </si>
  <si>
    <t xml:space="preserve"> Pre-Bid : July 8,2020  - 10:00am</t>
  </si>
  <si>
    <t xml:space="preserve"> ALL INTERESTED BIDDERS ARE REQUIRED TO SUBMIT THEIR COMPLETE ELIGIBILITY REQUIREMENTS TO THE BAC FOR EVALUATION DURING THE PRE-BID CONFERENCE ON JULY 9, 2020 8:00A.M. AT THE BAC SECRETARIAT OFFICE, 2ND FLOOR, CITY HALL OF DASMARIÑAS, CAVITE. BIDDERS WHO SHALL FAIL TO ATTEND THE PRE-BID SHALL NOT BE ALLOWED TO JOIN THE BIDDING FOR THE AFORESAID PROJECT. </t>
  </si>
  <si>
    <t xml:space="preserve"> Publication - July 3-10, 2020</t>
  </si>
  <si>
    <t xml:space="preserve"> Created by:              Bartolome Carolino Cacho</t>
  </si>
  <si>
    <t xml:space="preserve"> https://drive.google.com/file/d/1iSMnhBkLRM3bkfSjgJXVQRRQv8rSr0-Q/view?usp=drivesdk</t>
  </si>
  <si>
    <t xml:space="preserve"> Deadline for submission, 2pm July 13, 2020.</t>
  </si>
  <si>
    <t xml:space="preserve"> NOTE: WEAR FACE MASK AND OBSERVED SOCIAL DISTANCING DURING THE OPENING OF BIDS.</t>
  </si>
  <si>
    <t xml:space="preserve"> SUBMISSION OF QUOTATION NOT LATER THAN JULY 9, 2020 UNTIL 12:00NN</t>
  </si>
  <si>
    <t xml:space="preserve"> CONTACT: MRS. RHODORA C. SEGARANG AT ENGINEERING OFFICE</t>
  </si>
  <si>
    <t xml:space="preserve"> for PTO use</t>
  </si>
  <si>
    <t xml:space="preserve"> PCSSD use</t>
  </si>
  <si>
    <t xml:space="preserve"> CNPH use</t>
  </si>
  <si>
    <t xml:space="preserve"> SUPPLIER MUST DOWNLOAD THE ATTACHED DOCUMENTS IN THE ASSOCIATED COMPONENTS SECTION</t>
  </si>
  <si>
    <t xml:space="preserve"> Purchase of Other Machineries and Equipment</t>
  </si>
  <si>
    <t xml:space="preserve"> PESO use</t>
  </si>
  <si>
    <t xml:space="preserve"> 1.)	1	pc	Transmission support (transfer case)</t>
  </si>
  <si>
    <t xml:space="preserve"> Bidders must download the attached document in the associated components section.</t>
  </si>
  <si>
    <t xml:space="preserve"> 1.) 1 Unit	Netbook:</t>
  </si>
  <si>
    <t xml:space="preserve"> for CNPH use</t>
  </si>
  <si>
    <t xml:space="preserve"> for the use of Provincial Accountant's Office</t>
  </si>
  <si>
    <t xml:space="preserve"> Repair and Maintenance of Vehicle</t>
  </si>
  <si>
    <t xml:space="preserve"> The  schedule of activities is listed, as follows:							</t>
  </si>
  <si>
    <t xml:space="preserve"> for the use of Office of the Internal Audit Service</t>
  </si>
  <si>
    <t xml:space="preserve"> Last day of submission of quotation is on July 6, 2020 9:00am.</t>
  </si>
  <si>
    <t xml:space="preserve"> 1.)	251	bd.ft	Hard lumber</t>
  </si>
  <si>
    <t xml:space="preserve"> 1.)	528	bd.ft	Coco stake</t>
  </si>
  <si>
    <t xml:space="preserve"> for the use of Provincial Accountant's Office and PBO (E-NGAS and Ebudget implementation)</t>
  </si>
  <si>
    <t xml:space="preserve"> Capalonga Medicare Community Hospital use</t>
  </si>
  <si>
    <t xml:space="preserve"> 1.)	600	bottles	D5 0.3 NaCL 500ml</t>
  </si>
  <si>
    <t xml:space="preserve"> Cost of Repair and Maintenance of SKU 670</t>
  </si>
  <si>
    <t xml:space="preserve"> 1 Unit 4x4 DOUBLE CAB UTILITY VEHICLE (4 WHEELER)</t>
  </si>
  <si>
    <t xml:space="preserve"> Opening of bids on 6 July 2020 @ 2:00PM, BSP Legazpi Branch</t>
  </si>
  <si>
    <t xml:space="preserve"> CNPH - Blood Service Facility Section use</t>
  </si>
  <si>
    <t xml:space="preserve"> For further questions/clarifications please contact DM Pedro R. Comia of Sta. Rosa Branch at (049) 534-2914.</t>
  </si>
  <si>
    <t xml:space="preserve"> 1.)	1	pc	Fab belt, steering</t>
  </si>
  <si>
    <t xml:space="preserve"> funded under BDF 2020</t>
  </si>
  <si>
    <t xml:space="preserve"> Prospective Bidders are encouraged to attend the Pre-Bid Conference on the above stated schedule and venue.</t>
  </si>
  <si>
    <t xml:space="preserve"> for Pharmacy Section use</t>
  </si>
  <si>
    <t xml:space="preserve"> for Pharmacy use</t>
  </si>
  <si>
    <t xml:space="preserve"> Terms and Conditions:</t>
  </si>
  <si>
    <t xml:space="preserve"> TECHNICAL SPECIFICATIONS</t>
  </si>
  <si>
    <t xml:space="preserve"> https://drive.google.com/file/d/1j2r06fR9jlWHpAnDLQ6ZepETjXIQiueo/view?usp=drivesdk</t>
  </si>
  <si>
    <t xml:space="preserve"> MATERIALS NEEDED:</t>
  </si>
  <si>
    <t xml:space="preserve"> e mail your quotations only to ptmendiola22@yahoo.com</t>
  </si>
  <si>
    <t xml:space="preserve"> https://drive.google.com/file/d/1GQOMwj7ZlLoyEt7cwiaLSwrJvpmhtw9A/view?usp=drivesdk</t>
  </si>
  <si>
    <t xml:space="preserve"> 1. Funded under the General Fund, 20% Development Fund with an ABC of Php 132,985.13</t>
  </si>
  <si>
    <t xml:space="preserve"> https://drive.google.com/file/d/1Woet1MUXwyHnLQCkNIHa5DJ5BOvxe7DE/view?usp=drivesdk</t>
  </si>
  <si>
    <t xml:space="preserve"> During submission of Letter of Intent (LOI), kindly bring original copies of PCAB License, Mayor’s Business Permit and Department of Trade and Industry (DTI) Business Name Registration, authorization from the Authorized Managing Officer (AMO) is not allowed.</t>
  </si>
  <si>
    <t xml:space="preserve"> https://drive.google.com/file/d/1FiSL8qyrcgIoswcHVjkY9TfDmSrx6B7b/view?usp=drivesdk</t>
  </si>
  <si>
    <t xml:space="preserve"> ISSUANCE OF BIDDING DOCUMENTS: July 2, 2020- July 27, 2020</t>
  </si>
  <si>
    <t xml:space="preserve"> Subject to the submission of the following requirements:</t>
  </si>
  <si>
    <t xml:space="preserve"> 20% EDF CY 2020 Projects</t>
  </si>
  <si>
    <t xml:space="preserve"> Quotations submitted thru mail/fax will not be accepted.</t>
  </si>
  <si>
    <t xml:space="preserve"> 100 sets LED Streetlights with Installation 30w Streetlights Arm 8ft w/ bolt &amp; nut strap machine bolt w/ insulator photocel extreme</t>
  </si>
  <si>
    <t xml:space="preserve"> Please see attached Bid form and sample pictures for detailed specifications and preferences.</t>
  </si>
  <si>
    <t xml:space="preserve"> SSUANCE OF BIDDING DOCUMENTS: July 2, 2020- July 27, 2020</t>
  </si>
  <si>
    <t xml:space="preserve"> Materials for Rehabilitation of Health Center</t>
  </si>
  <si>
    <t xml:space="preserve"> Please see attached Bid Form and sample pictures for detailed specifications and preferences.</t>
  </si>
  <si>
    <t xml:space="preserve"> FOB ODIONGAN WATER DISTRICT</t>
  </si>
  <si>
    <t xml:space="preserve"> Note: Online Submission of Bids still not available as of this writing.</t>
  </si>
  <si>
    <t xml:space="preserve"> All quotation must be submitted in a sealed envelope directly to LPGH&amp;STC, address to Ms. Cecille P. Manipon, BAC Chairman or email, together with the following requirements;</t>
  </si>
  <si>
    <t xml:space="preserve"> Annual Budget CY 2020</t>
  </si>
  <si>
    <t xml:space="preserve"> Please copy the link below and print for a copy Bidding Document</t>
  </si>
  <si>
    <t xml:space="preserve"> Bidders must download the attached document in the associated component.</t>
  </si>
  <si>
    <t xml:space="preserve"> Please see attached Bid Form and attached sample pictures for detailed specifications and preference.</t>
  </si>
  <si>
    <t xml:space="preserve"> Please see attached quotation.</t>
  </si>
  <si>
    <t xml:space="preserve"> Contact BAC Secretariat, Laua-an, Antique</t>
  </si>
  <si>
    <t xml:space="preserve"> Please see attached ITB and Bid Documents</t>
  </si>
  <si>
    <t xml:space="preserve"> Please contact to Mr. Reno C. Salazar the BAC Secretary with CP # 09459852914 or you may call to Ms. Ma. Teresa L. Minguez. Thanks and God Bless us all.</t>
  </si>
  <si>
    <t xml:space="preserve"> Opening of bids will be on 6 July 2020</t>
  </si>
  <si>
    <t xml:space="preserve"> Total Charges should be inclusive of all applicable taxes and shall be withheld as appropriate.</t>
  </si>
  <si>
    <t xml:space="preserve"> Materials should be delivered in school.</t>
  </si>
  <si>
    <t xml:space="preserve"> You can also download the items and specifications at our official website: www.cebucity.gov.ph under For</t>
  </si>
  <si>
    <t xml:space="preserve"> Opening of Bids will be on 6 July 2020</t>
  </si>
  <si>
    <t xml:space="preserve"> oOption to reserve the stock for the VMMC: seven (3) working days after the opening of this canvass</t>
  </si>
  <si>
    <t xml:space="preserve"> Bidders must download the document in the associated component section.</t>
  </si>
  <si>
    <t xml:space="preserve"> SPL- I	Installation of Billboard	                   unit	1.00		</t>
  </si>
  <si>
    <t xml:space="preserve"> DONA D. SALMOS, RN, MAN </t>
  </si>
  <si>
    <t xml:space="preserve"> CONTACT PERSON:  MRS. RHODORA C. SEGARANG AT ENGINEERING OFFICE</t>
  </si>
  <si>
    <t xml:space="preserve"> 1 Facilities for the Engineer:</t>
  </si>
  <si>
    <t xml:space="preserve"> Requirements;</t>
  </si>
  <si>
    <t xml:space="preserve"> https://drive.google.com/file/d/1WYTbdOJYkBDMLuToD1rgSuf9cWw8qrXC/view?usp=drivesdk</t>
  </si>
  <si>
    <t xml:space="preserve"> Also available at DPWH website.</t>
  </si>
  <si>
    <t xml:space="preserve"> for more information, please contact Kag. Rogie Gumaro at 8838-2296.</t>
  </si>
  <si>
    <t xml:space="preserve"> for more information just contact barangay secretariat of Barangay Dapdap Tigbauan, Iloilo</t>
  </si>
  <si>
    <t xml:space="preserve"> Opening of bids July 22, 2020 at 10:00 AM at Dap-ay di Tubo Poblacion Tubo Abra.</t>
  </si>
  <si>
    <t xml:space="preserve"> Opening of Bids: July 22, 2020</t>
  </si>
  <si>
    <t xml:space="preserve"> Availability of Bid Documents: July 02 - 22, 2020; 8:00 AM-5:00 PM; Monday through Friday</t>
  </si>
  <si>
    <t xml:space="preserve"> Cost of Bid Documents: PhP1,000.00</t>
  </si>
  <si>
    <t xml:space="preserve"> Cost of Documents: 1,000.00</t>
  </si>
  <si>
    <t xml:space="preserve"> Contact Person: 					</t>
  </si>
  <si>
    <t xml:space="preserve"> DATE OF PUBLIC BIDDING: JULY 09, 2020 @ 10:00 AM </t>
  </si>
  <si>
    <t xml:space="preserve"> Submit your quotation at BAC Secretariat office 2nd Floor, Municipal building, New Bataan, Davao de Oro, or you can also email your quotation at bacnewbataan@gmail.com.</t>
  </si>
  <si>
    <t xml:space="preserve"> https://drive.google.com/file/d/1-78I-jq26yVZ-u-Yaa5hgyf3DTcJINlZ/view?usp=drivesdk</t>
  </si>
  <si>
    <t xml:space="preserve"> Eligibility Check July 9, 2020 @ BAC OFFICE 3RD DEO SEGABE PIÑAN, ZN</t>
  </si>
  <si>
    <t xml:space="preserve"> Eligibility check July 9, 2020 @ BAC OFFICE, 3RD DEO SEGABE PIÑAN, ZN</t>
  </si>
  <si>
    <t xml:space="preserve"> 4.	Interested bidders may obtain further information from Municipality of San Antonio, Zambales and inspect the Bidding Documents at the address given below from 8:00 AM to 5:00 PM.</t>
  </si>
  <si>
    <t xml:space="preserve"> Bidder must be download the attached document in the associated component</t>
  </si>
  <si>
    <t xml:space="preserve"> All bidders must download the attached document in the associated component section.</t>
  </si>
  <si>
    <t xml:space="preserve"> 20% EDF Fund CY 2020</t>
  </si>
  <si>
    <t xml:space="preserve"> 1. Bidders are required to read the instruction.</t>
  </si>
  <si>
    <t xml:space="preserve"> for more information just contact barangay secretariat of Barangay DAPDAP Tigbauan, Iloilo</t>
  </si>
  <si>
    <t xml:space="preserve"> For more information kindly contact:</t>
  </si>
  <si>
    <t xml:space="preserve"> Pre-Bid Conference</t>
  </si>
  <si>
    <t xml:space="preserve"> Interested qualified supplier/bidder may obtain the canvass form from the BAC secretariat at the Schools Division Office of Tayabas City beginning July 2, 2020. Deadline for the submission of duly signed and sealed quotation is until July 7, 2020, 05:00 pm along with the following eligibility requirements:</t>
  </si>
  <si>
    <t xml:space="preserve"> Please coordinate with BAC Secretariat:    Phone numbers: (02) 304-6523; 09178971826; 09988877455</t>
  </si>
  <si>
    <t xml:space="preserve"> Requirements if letter of intent is submitted through Authorized Representative</t>
  </si>
  <si>
    <t xml:space="preserve"> Schedule of BAC Activities:</t>
  </si>
  <si>
    <t xml:space="preserve"> Please look MR. FREDERICK VILLAS and Ms. Rowena Rodriguez for other information.</t>
  </si>
  <si>
    <t xml:space="preserve"> 15.	For further information, please refer to:</t>
  </si>
  <si>
    <t xml:space="preserve"> The schedule of opening of bid will be on July 23, 2020 at exactly 10:00 o'clock in the morning at the BAC Office c/o Budget Office LGU Dauis, Bohol.</t>
  </si>
  <si>
    <t xml:space="preserve"> All particulars relative to Preliminary Examination of Bids, Bid Security, Performance Security, Evaluation of Bids, Post-Qualification and Award of Contract shall be governed by the pertinent provisions of R.A 9184 and its Revised Implementing Rules and Regulations (Revised IRR). Prospective bidders should have completed a similar contract within the last five (5) years with a value of at least 50% of the ABC. The BAC will use non-discretionary “pass/fail” criteria in the screening of Technical Proposal as well as the Preliminary Examination of Bids. The BAC will conduct post-qualification of the Lowest Calculated Bid.</t>
  </si>
  <si>
    <t xml:space="preserve"> Concreting of Alley Roads</t>
  </si>
  <si>
    <t xml:space="preserve"> Continuation of Development Center</t>
  </si>
  <si>
    <t xml:space="preserve"> 400 SACKS OF CERTIFIED RICE SEEDS, GOOD QUALITY</t>
  </si>
  <si>
    <t xml:space="preserve"> Kindly download the attached bidding documents  requirements and specifications.</t>
  </si>
  <si>
    <t xml:space="preserve"> MS. PATRICIA D. RAMOS </t>
  </si>
  <si>
    <t xml:space="preserve"> For construction/rehabilitation of Dapatan barangay Road</t>
  </si>
  <si>
    <t xml:space="preserve"> Submission and Opening of Bids: July 10, 2020 @ 10:00 A.M.</t>
  </si>
  <si>
    <t xml:space="preserve"> ACTIVITIES SCHEDULE:</t>
  </si>
  <si>
    <t xml:space="preserve"> Submission and Opening of Bids: July 22, 2020 @ 10:00 A.M.</t>
  </si>
  <si>
    <t xml:space="preserve"> https://drive.google.com/file/d/1Y7Csaxc_gzr9y5ZNUGlXZp5f8i_qRUg9/view?usp=drivesdk</t>
  </si>
  <si>
    <t xml:space="preserve"> 1.	https://drive.google.com/file/d/1J3ZFUnkHrQiq5aR8Ewut9VTkUn32UCqo/view?usp=drivesdk</t>
  </si>
  <si>
    <t xml:space="preserve"> Suppliers/bidders must download the attached documents in the associated component section.</t>
  </si>
  <si>
    <t xml:space="preserve"> https://drive.google.com/file/d/1lcycuYG6cMZGVD1YaeOwNzVW5C-SBAx2/view?usp=drivesdk</t>
  </si>
  <si>
    <t xml:space="preserve"> https://drive.google.com/file/d/1pXzS-f3_UybcFtW9a8PtG_7OsxqhpEZC/view?usp=drivesdk</t>
  </si>
  <si>
    <t xml:space="preserve"> This is subject to the availability of supplies at the PS-DBM.</t>
  </si>
  <si>
    <t xml:space="preserve"> https://drive.google.com/file/d/1QyAhRC9UNDSUwKNQwf_jChxiPkxakJWH/view?usp=drivesdk</t>
  </si>
  <si>
    <t xml:space="preserve"> Please submit all documentary requirements stated in our Request for Quotation</t>
  </si>
  <si>
    <t xml:space="preserve"> Please send your quotations to jc.mudlong@philrice.gov.ph or jonathanmudlong@gmail.com</t>
  </si>
  <si>
    <t xml:space="preserve"> Reminder:</t>
  </si>
  <si>
    <t xml:space="preserve"> For inquires cal BAC Secretariat at tel No. (056) 333-6310</t>
  </si>
  <si>
    <t xml:space="preserve"> https://drive.google.com/file/d/1O7Vd7V-xLsKJlEPD1tbMNP-JeRN_pMqn/view?usp=drivesdk</t>
  </si>
  <si>
    <t xml:space="preserve"> https://drive.google.com/file/d/11-XcXAVTzsOEFyHREfrz1wOFHzqC7zXZ/view?usp=drivesdk</t>
  </si>
  <si>
    <t xml:space="preserve"> https://drive.google.com/file/d/1Iou6vxhWQJwG51LB-2z56YNFAUJJZ616/view?usp=drivesdk</t>
  </si>
  <si>
    <t xml:space="preserve"> https://drive.google.com/file/d/1rS3Z18VTFre_aEBxafilfH9-eoWM_J3S/view?usp=drivesdk</t>
  </si>
  <si>
    <t xml:space="preserve"> Please submit documentary requirement stated in our RFQ</t>
  </si>
  <si>
    <t xml:space="preserve"> This is already the 2nd bidding</t>
  </si>
  <si>
    <t xml:space="preserve"> https://drive.google.com/file/d/1433QSs9CvtGpyJYU3VlLM2QSvSLZZ_Py/view?usp=drivesdk</t>
  </si>
  <si>
    <t xml:space="preserve"> Contact Person: 						</t>
  </si>
  <si>
    <t xml:space="preserve"> https://drive.google.com/file/d/1uSmPOKBLqffQeL54B7vZ-LiFJRYAqB-P/view?usp=drivesdk</t>
  </si>
  <si>
    <t xml:space="preserve"> https://drive.google.com/file/d/16CrUuuTHPl9DS5zDuPDZrf_IsS-KT3i7/view?usp=drivesdk</t>
  </si>
  <si>
    <t xml:space="preserve"> https://drive.google.com/file/d/1xjlw3BUQ7TaS9PBjdbPjd6IIpHJqDhw0/view?usp=drivesdk</t>
  </si>
  <si>
    <t xml:space="preserve"> PREVENTIVE MAINTENANCE SERVICE CONTRACT SHALL BE AWARDED TO AUTHORIZED MITSUBISHI MOTORS SERVICE CENTERS ONLY.</t>
  </si>
  <si>
    <t xml:space="preserve"> Publication - July 2-9, 2020</t>
  </si>
  <si>
    <t xml:space="preserve"> KINDLY DOWNLOAD THE ATTACHMENT THROUGH THE ASSOCIATED COMPONENTS.</t>
  </si>
  <si>
    <t xml:space="preserve"> For further information, please refer to the following:</t>
  </si>
  <si>
    <t xml:space="preserve"> https://drive.google.com/file/d/16L25KResLPakYCiHFsM1DI2Q2lF2x2V6/view?usp=drivesdk</t>
  </si>
  <si>
    <t xml:space="preserve"> KINDLY DOWNLOAD THE ATTACHMENT FROM ASSOCIATED COMPONENT.</t>
  </si>
  <si>
    <t xml:space="preserve"> quotation shall be submitted via email (lbphobac@mail.landbank.com) not later than July 8,2020, 3:00PM</t>
  </si>
  <si>
    <t xml:space="preserve"> The deadline of submission is on or before the closing date.</t>
  </si>
  <si>
    <t xml:space="preserve"> Quotation shall be submitted via email (lbphobac@mail.landbank.com) not later than July 15,2020, 3:00PM</t>
  </si>
  <si>
    <t xml:space="preserve"> PRINTING OF LEARNERS MODULE FOR SENIOR HIGH SCHOOL</t>
  </si>
  <si>
    <t xml:space="preserve"> The Schedule of BAC Activities are as follows:</t>
  </si>
  <si>
    <t xml:space="preserve"> please go to link https://drive.google.com/file/d/1s3J9LaCY_cBzkAMpn2dmtsZt9DRl1Dgd/view?usp=drivesdk for a copy of the Bidding Documents</t>
  </si>
  <si>
    <t xml:space="preserve"> he Schedule of BAC Activities are as follows:</t>
  </si>
  <si>
    <t xml:space="preserve"> ITB, Bidding Documents and Plans can be download in the Associated Components.</t>
  </si>
  <si>
    <t xml:space="preserve"> 6M AND 4M X 13.50M </t>
  </si>
  <si>
    <t xml:space="preserve"> https://drive.google.com/file/d/1PUldPeR9BP6Kd2eXrMDIJT0S6yrJUnaV/view?usp=drivesdk</t>
  </si>
  <si>
    <t xml:space="preserve"> Created by:             Bartolome Carolino Cacho</t>
  </si>
  <si>
    <t xml:space="preserve"> https://drive.google.com/file/d/1b2XOkw4fum9xcDYEfJ6ooBe4Db4LjtmD/view?usp=drivesdk</t>
  </si>
  <si>
    <t xml:space="preserve"> 1.  Please see associated components to download Request for Quotation Form</t>
  </si>
  <si>
    <t xml:space="preserve"> Delivery of materials and other scope of the project.</t>
  </si>
  <si>
    <t xml:space="preserve"> The Above-listed documents (including the MS Word file for RFP) can also be downloaded at the DPWH website:</t>
  </si>
  <si>
    <t xml:space="preserve"> Issuance of bid documents - July 1-21, 2020</t>
  </si>
  <si>
    <t xml:space="preserve"> Pneumococcal Vaccine single dose vial conjugate	593	Vial</t>
  </si>
  <si>
    <t xml:space="preserve"> Diluent 20 Liters	9	Box</t>
  </si>
  <si>
    <t xml:space="preserve"> https://drive.google.com/file/d/1JyYwjaM8FzgZKncknVsKcl_q9PNDZyBK/view?usp=drivesdk</t>
  </si>
  <si>
    <t xml:space="preserve"> Stock	Unit	Item Description	Qty.</t>
  </si>
  <si>
    <t xml:space="preserve"> Stock	Unit		Item Description				Qty.</t>
  </si>
  <si>
    <t xml:space="preserve"> The BAC has the sole responsibility to accept and reject incomplete bids. The cost of Bid Documents is P1,000.00 which is non-refundable.</t>
  </si>
  <si>
    <t xml:space="preserve"> The BAC has the sole responsibility to accept and reject incomplete bids. The cost of Bid Documents is P5,000.00 which is non-refundable.</t>
  </si>
  <si>
    <t xml:space="preserve"> The BAC has the sole responsibility to accept and reject incomplete bids. The cost of Bid Documents is P500.00 which is non-refundable.</t>
  </si>
  <si>
    <t xml:space="preserve"> BIDDERS MUST DOWNLOAD THE DOCUMENTS IN THE ASSOCIATED COMPONENT</t>
  </si>
  <si>
    <t xml:space="preserve"> THE BIDDER MUST DOWNLOAD THE ASSOCIATED COMPOENT/S.</t>
  </si>
  <si>
    <t xml:space="preserve"> Financial Bid Opening will be schedule on July 28, 2020</t>
  </si>
  <si>
    <t xml:space="preserve"> Financial Proposal will be opened on July 28,2020</t>
  </si>
  <si>
    <t xml:space="preserve"> Bidding document amount is Php500.00</t>
  </si>
  <si>
    <t xml:space="preserve"> Please see attached PDF file for more information.</t>
  </si>
  <si>
    <t xml:space="preserve"> Republic of the Philippines </t>
  </si>
  <si>
    <t xml:space="preserve"> YOU MAY DOWNLOAD THE ITB FROM THE ASSOCIATED COMPONENTS</t>
  </si>
  <si>
    <t xml:space="preserve"> The Municipal Government of Liliw, Laguna reserves the right to reject any or all bids, to declare the bidding a failure or waive any or all information and to award such bids to the supplier whose bid is considered most advantageous to the government.</t>
  </si>
  <si>
    <t xml:space="preserve"> Please see the attached in the associated components</t>
  </si>
  <si>
    <t xml:space="preserve"> Check associated components.</t>
  </si>
  <si>
    <t xml:space="preserve"> Source of Fund : 20% Development Fund</t>
  </si>
  <si>
    <t xml:space="preserve"> Source of Fund: 20% Development Fund/General Fund Supplemental Budget #1</t>
  </si>
  <si>
    <t xml:space="preserve"> NOTE: Please copy the link below and paste to the web browser to download the attached RFQ form.</t>
  </si>
  <si>
    <t xml:space="preserve"> Please download the Bid Document in the Associated Component.</t>
  </si>
  <si>
    <t xml:space="preserve"> Note:</t>
  </si>
  <si>
    <t xml:space="preserve"> Note: Please copy the link below and paste to the web browser for the attached RFQ Form.</t>
  </si>
  <si>
    <t xml:space="preserve"> Quotation must be submitted with company’s letter head. Stating Specification, unit cost and total amount offer.</t>
  </si>
  <si>
    <t xml:space="preserve"> the others documents is also available in Barangay Hall office.</t>
  </si>
  <si>
    <t xml:space="preserve"> For more details, please copy the link below and paste it on the URL to see the Bidding Documents:</t>
  </si>
  <si>
    <t xml:space="preserve"> Bidding is on July 9, 2020 at ten o'clock at the Municipal Conference Hall</t>
  </si>
  <si>
    <t xml:space="preserve"> JAYSON B. RECOPELACION</t>
  </si>
  <si>
    <t xml:space="preserve"> Please look Mr. FREDERICK VILLAS and Ms. Rowena Rodriguez for other information.</t>
  </si>
  <si>
    <t xml:space="preserve"> Kindly download bid docs on the associated component.</t>
  </si>
  <si>
    <t xml:space="preserve"> Purchase Order: July 8, 2020</t>
  </si>
  <si>
    <t xml:space="preserve"> The National Irrigation Administration (NIA), Regional Irrigation Office No.7, through the Small Irrigation Project 2020 intends to apply the sum of Four Million Five Hundred Eighty-Five Thousand Seven Hundred Pesos &amp; 60/100 (P 4,585,700.60) being the Approved Budget for Contract (ABC) to payment under contract for CAMBAGUIO SIP, Bais City, Negros Oriental with Contract No. NOSO-LMC-SIP-22-2020. Bids received in excess of the ABC shall be automatically rejected at bid opening.</t>
  </si>
  <si>
    <t xml:space="preserve"> https://drive.google.com/file/d/1Y814598DZFtm3N8FSRj_3rx-om6R4UIf/view?usp=drivesdk</t>
  </si>
  <si>
    <t xml:space="preserve"> Activity	Date and Time	Venue</t>
  </si>
  <si>
    <t xml:space="preserve"> Please secure bidding documents for full information including Term of References</t>
  </si>
  <si>
    <t xml:space="preserve"> Suppliers are required to submit their quotation/written proposal with the following documents on or before JULY 08, 2020 9:00 AM at BAC Office, this LGU, to wit:</t>
  </si>
  <si>
    <t xml:space="preserve"> Activities	Schedule</t>
  </si>
  <si>
    <t xml:space="preserve"> . The National Irrigation Administration (NIA), Regional Irrigation Office No.7, through the Small Irrigation Project 2020 intends to apply the sum of Four Million Six Hundred Thirty-Three Thousand Two Hundred Nine Pesos &amp; 52/100 (P 4,633,209.52) being the Approved Budget for Contract (ABC) to payment under contract for CALASGAAN SIP, Bais City, Negros Oriental with Contract No. NOSO-LMC-SIP-21-2020. Bids received in excess of the ABC shall be automatically rejected at bid opening.</t>
  </si>
  <si>
    <t xml:space="preserve"> Deadline of Submission of Bid Documents JULY 21 2020 10:00AM</t>
  </si>
  <si>
    <t xml:space="preserve"> https://drive.google.com/file/d/1_wLlSYWA8jXU9jZm8PvLUVUur9Sd0k-h/view?usp=drivesdk</t>
  </si>
  <si>
    <t xml:space="preserve"> PLS. SUBMIT MANUALLY IN SEALED ENVELOPE OR THROUGH EMAIL THE ABOVEMENTIONED REQUIREMENTS</t>
  </si>
  <si>
    <t xml:space="preserve"> Pre-Bid : July 8,2020 - 10:00am</t>
  </si>
  <si>
    <t xml:space="preserve"> 4. Interested Bidders may obtain further information from The National Irrigation Administration (NIA), Regional Irrigation Office No.7 and inspect Bidding Documents at the address given below from 8:00 AM to 5:00 PM.</t>
  </si>
  <si>
    <t xml:space="preserve"> https://drive.google.com/file/d/1QULJ2CF1Hyf7M4Qt0-xIsc93un4iTIQZ/view?usp=drivesdk</t>
  </si>
  <si>
    <t xml:space="preserve"> BIDDERS MUST DOWNLOAD THE ATTACHED DOCUMENTS IN THE ASSOCIATED COMPONENTS SECTIONS</t>
  </si>
  <si>
    <t xml:space="preserve"> Pre-Bid Conference 2:00 P.M. July 07, 2020 DPWH Pampanga 2nd DEO BAC-Office</t>
  </si>
  <si>
    <t xml:space="preserve"> Fund:101</t>
  </si>
  <si>
    <t xml:space="preserve"> Fund: 101</t>
  </si>
  <si>
    <t xml:space="preserve"> The BAC is conducting the public bidding for this Contract in accordance with Republic Act No. 9184 and its Implementing Rules and Regulations (IRR).</t>
  </si>
  <si>
    <t xml:space="preserve"> Fund: External</t>
  </si>
  <si>
    <t xml:space="preserve"> Bidders must download the attached main document in the associated component section.</t>
  </si>
  <si>
    <t xml:space="preserve"> Bidders must download the attached main document in the associate component section.</t>
  </si>
  <si>
    <t xml:space="preserve"> 1.	Advertisement /Posting of Invitation to Bid/Request for Express of interest	July 1, 2020 - July 8, 2020	PhilGeps, GSO</t>
  </si>
  <si>
    <t xml:space="preserve"> Submission of Bids before 10 a.m. of July 21, 2020</t>
  </si>
  <si>
    <t xml:space="preserve"> Prospective bidder may seek further information through BAC Office @ 469-9056.</t>
  </si>
  <si>
    <t xml:space="preserve"> Blue Guard Services - August to Dec. 2020</t>
  </si>
  <si>
    <t xml:space="preserve"> Refer to:</t>
  </si>
  <si>
    <t xml:space="preserve"> BOC-BAC Secretariat</t>
  </si>
  <si>
    <t xml:space="preserve"> https://drive.google.com/file/d/1nUtm6yYj5wIcoasEs7_T9dVzpH0Ikw9E/view?usp=drivesdk</t>
  </si>
  <si>
    <t xml:space="preserve"> please send Request for Quotation  - msbslh14@gmail.com</t>
  </si>
  <si>
    <t xml:space="preserve"> ***Note: Please copy the link below and paste to the web browser to download the attached RFQ form.</t>
  </si>
  <si>
    <t xml:space="preserve"> Please submit your quotation and legal documents  not later than  07 July 2020, 5:00 P.M.  thru email at soc_torres@tpb.gov.ph or thru fax no. 02 8526-5971, subject to the Terms and Conditions attached herewith, stating the shortest time of delivery, duly signed by your representative to the Procurement and General Services Division, Administrative Department, 4th Floor, Legaspi Towers 300, Roxas Blvd., Manila.</t>
  </si>
  <si>
    <t xml:space="preserve"> - other information may be discussed during pre-bid conference.</t>
  </si>
  <si>
    <t xml:space="preserve"> https://drive.google.com/file/d/19XkioDSQ2yk6RI9LH-nFjr6aSVh6Hg_O/view?usp=drivesdk</t>
  </si>
  <si>
    <t xml:space="preserve"> Please look BAC Secretary/TWG for bidding documents/clarification,failure of submitting necessary documents will be subjected to disqualification.</t>
  </si>
  <si>
    <t xml:space="preserve"> kindly look for MS. Rhea Retaga for other information at Brgy Hall of Brgy. Niugan City of Cabuyao, Laguna</t>
  </si>
  <si>
    <t xml:space="preserve"> Please see attached PR and submit sealed quotations with the following eligibility requirements:</t>
  </si>
  <si>
    <t xml:space="preserve"> https://drive.google.com/file/d/18GpJUlb48e62yYkrQfBBwHK7Xb2bDVqs/view?usp=drivesdk</t>
  </si>
  <si>
    <t xml:space="preserve"> https://drive.google.com/file/d/19ts5fp-V3hWuCUSEIgE1iCOy-7pSe9Qf/view?usp=drivesdk</t>
  </si>
  <si>
    <t xml:space="preserve"> https://drive.google.com/file/d/1G09I0nJmnBdxqMrTIZMiyIhWV79CV8Gs/view?usp=drivesdk</t>
  </si>
  <si>
    <t xml:space="preserve"> https://drive.google.com/file/d/1yhZ_VT6Hj-24NWNfj_BEgw5NAFJVhLmV/view?usp=drivesdk</t>
  </si>
  <si>
    <t xml:space="preserve"> Note: All entries must be typewritten in your company letterhead.</t>
  </si>
  <si>
    <t xml:space="preserve"> https://drive.google.com/file/d/1aYIHP_JsD829Vz9G0R_Ux7FbHzY1MGSl/view?usp=drivesdk</t>
  </si>
  <si>
    <t xml:space="preserve"> Please visit the links below to download the FLOOR PLAN/LAY-OUT:</t>
  </si>
  <si>
    <t xml:space="preserve"> https://drive.google.com/file/d/1CSLYG5I5-ZpruUXAlSg0X-n_gztfKVPn/view?usp=drivesdk</t>
  </si>
  <si>
    <t xml:space="preserve"> https://drive.google.com/file/d/1D8l5Rvd8R2zOTdbWBf2lK1zItzWlV-nm/view?usp=drivesdk</t>
  </si>
  <si>
    <t xml:space="preserve"> https://drive.google.com/file/d/1zqQH2JlUOzmmpG4gwoycHCA1XHcP7ddV/view?usp=drivesdk</t>
  </si>
  <si>
    <t xml:space="preserve"> https://drive.google.com/file/d/17Kwx-LYjl6ryOsOp4G_QJYyUjjtjfJlj/view?usp=drivesdk</t>
  </si>
  <si>
    <t xml:space="preserve"> Kindly submit your quotations to on or before July 7, 2020</t>
  </si>
  <si>
    <t xml:space="preserve"> https://drive.google.com/file/d/1sE0YLnS-AWbcaSSOUNSQ2r9AhheR9Vpz/view?usp=drivesdk</t>
  </si>
  <si>
    <t xml:space="preserve"> Bidders/Suppliers Must Download the Attached Document in the Associated Component Section </t>
  </si>
  <si>
    <t xml:space="preserve"> Note:								</t>
  </si>
  <si>
    <t xml:space="preserve"> BIDDER MUST DOWNLOAD THE ATTACHED DOCUMENT IN THE ASSOCIATED COMPONENT SECTION.</t>
  </si>
  <si>
    <t xml:space="preserve"> Please look Ms. Mhelet Benales and Ms. Rowena Rodriguez for other information.</t>
  </si>
  <si>
    <t xml:space="preserve"> Date of Bidding: July 8, 2020</t>
  </si>
  <si>
    <t xml:space="preserve"> DETAILS/COST ESTIMATES/FLOOR PLAN AND OTHER DOCUMENTS SUCH AS REQUEST FOR QUOTATION (RFQ) AVAILABLE AT LAND BANK OF THE PHILIPPINES, SARA BRANCH, SARA ILOILO C/O ROLIEN DELEGENCIA AT TELEPHONE No. (033) 392-0251 OR (033) 392-0255.</t>
  </si>
  <si>
    <t xml:space="preserve"> kindly look for Ms. Rhea Retaga for more information at Brgy. Hall of Brgy Niugan City of Cabuyao, Laguna</t>
  </si>
  <si>
    <t xml:space="preserve"> https://drive.google.com/file/d/18XiC9GqCqpGdFs9BR2UhEJEFICWZSl3c/view?usp=drivesdk</t>
  </si>
  <si>
    <t xml:space="preserve"> Please download the Bidding Requirements using the links below:</t>
  </si>
  <si>
    <t xml:space="preserve"> Please visit MPDO/BAC Office for details</t>
  </si>
  <si>
    <t xml:space="preserve"> LABOR REQUIREMENT:</t>
  </si>
  <si>
    <t xml:space="preserve"> CHECKLIST FOR BIDDING OF GOODS</t>
  </si>
  <si>
    <t xml:space="preserve"> https://drive.google.com/file/d/1lIr_7DTY1RAhkQvktaxHztIA-rA3EAbf/view?usp=drivesdk</t>
  </si>
  <si>
    <t xml:space="preserve"> 1.       288      bd.ft.        24 pcs, 2' x 6' x 12'   Cocolumber</t>
  </si>
  <si>
    <t xml:space="preserve"> https://drive.google.com/file/d/1IUa5ezNUjDIJpeoopHhKKpOH_kVKtzKT/view?usp=drivesdk</t>
  </si>
  <si>
    <t xml:space="preserve"> https://drive.google.com/file/d/1FxN58I7XKhMnyM-2AilF6SHS1Qo2BjSz/view?usp=drivesdk</t>
  </si>
  <si>
    <t xml:space="preserve"> PLEASE SEE ATTACHED FILE</t>
  </si>
  <si>
    <t xml:space="preserve"> https://drive.google.com/file/d/1pzXpgvkRDNYJGG2O2ShYDYn2YDU0oJDc/view?usp=drivesdk</t>
  </si>
  <si>
    <t xml:space="preserve"> https://drive.google.com/file/d/1rookyPd-TfwZ0BaLF_rdipBl-ZBDXW55/view?usp=drivesdk</t>
  </si>
  <si>
    <t xml:space="preserve"> WITH LABOR REQUIREMENT:</t>
  </si>
  <si>
    <t xml:space="preserve"> https://drive.google.com/file/d/1dDbQXo_E4PVlqcBJhdOsggCEjry-G3Ww/view?usp=drivesdk</t>
  </si>
  <si>
    <t xml:space="preserve"> BIDDING DATE: JULY 20, 2020 @ 9:00 A.M.</t>
  </si>
  <si>
    <t xml:space="preserve"> The LGU-IGaCoS reserves the right to accept or reject any bid, to annul the bidding process, and to reject all bids at any time prior to contract award, without thereby incurring any liability to the affected bidder or bidders. </t>
  </si>
  <si>
    <t xml:space="preserve"> https://drive.google.com/file/d/1XQx_Tu94TFaa2RbB24PkUvlwAfFLPMBP/view?usp=drivesdk</t>
  </si>
  <si>
    <t xml:space="preserve"> https://drive.google.com/file/d/1b-AwI_DwRdJPujfoRWN77jrL3F5YKLHQ/view?usp=drivesdk</t>
  </si>
  <si>
    <t xml:space="preserve"> https://drive.google.com/file/d/1akD2F0uot14nRSa8bROA4soc0zixNUbj/view?usp=drivesdk</t>
  </si>
  <si>
    <t xml:space="preserve"> for queries, pls. contact MS. LUBELLE LUMABAS, tel no. 8-405-7233 to 34; email address: landbank2290@gmail.com</t>
  </si>
  <si>
    <t xml:space="preserve"> https://drive.google.com/file/d/11RsMjTot6af6UUJk_ZV65rCLwwkPyD-q/view?usp=drivesdk</t>
  </si>
  <si>
    <t xml:space="preserve"> Opening of bid will be on July 21, 2020, 09:30 A.M. at 3rd Flr. Conference Room, General Macario Peralta Jr. Drive, Iloilo City.</t>
  </si>
  <si>
    <t xml:space="preserve"> https://drive.google.com/file/d/1VIBekMcX9U7C3YYCu4ZrAkEbmAt4vknw/view?usp=drivesdk</t>
  </si>
  <si>
    <t xml:space="preserve"> https://drive.google.com/file/d/1MuRv5uRbAg--C3kqxTaX7RTwh5M_l2bn/view?usp=drivesdk</t>
  </si>
  <si>
    <t xml:space="preserve"> Pre bid Conference: June 26, 2020 2:00 P.M.</t>
  </si>
  <si>
    <t xml:space="preserve"> https://drive.google.com/file/d/1T8tFbc_qY1ZQ47IsjuNlux2SG7dc5w0B/view?usp=drivesdk</t>
  </si>
  <si>
    <t xml:space="preserve"> Opening of bid will be on 21 July 2020, 09:30 A.M. at 3rd Flr. Conference Room, General Macario Peralta Jr. Drive, Iloilo City.</t>
  </si>
  <si>
    <t xml:space="preserve"> https://drive.google.com/file/d/1e7fAsOMaH_MtAIpSJxbM2jN4zSHeFpYs/view?usp=drivesdk</t>
  </si>
  <si>
    <t xml:space="preserve"> https://drive.google.com/file/d/1uhgg_YD3JcSW9pH1-JLepeWRyG8SPtfv/view?usp=drivesdk</t>
  </si>
  <si>
    <t xml:space="preserve"> The BAC will use NON-DISCRETIONARY PASS/FAIL CRITERIA in the Eligibility Check/Screening as well as the Preliminary Examination of Bids.  The BAC will conduct post-qualification of the lowest calculated bid.</t>
  </si>
  <si>
    <t xml:space="preserve"> Mr. RUEL C. DE LOYOLA</t>
  </si>
  <si>
    <t xml:space="preserve"> Opening of bid will be on July 21, 2020, 09:30 A.M.  at 3rd Flr. Conference Room, General Macario Peralta Jr. Drive, Iloilo City.</t>
  </si>
  <si>
    <t xml:space="preserve"> Please send your Quotations thru sealed bid addressed to the Regional Bids and Awards Committee Area IV-B c/o RBAC Secretariat, Landbank San Pablo Branch (2nd floor), Colago Avenue Brgy. I-A San Pablo City, Laguna</t>
  </si>
  <si>
    <t xml:space="preserve"> "Prospective supplier must be registered at the Philippine Government Electronic Procurement System (PhilGEPS). You may visit the PhilGEPS website at www. philgeps.gov.ph to register". The Notice for Negotiated Procurement can also be downloaded from www.fo4b.dswd.gov.ph</t>
  </si>
  <si>
    <t xml:space="preserve"> Bidding documents shall be made available to prospective bidders or its duly authorized representative only at the Office of the Bids &amp; Awards Committee, Procurement Division, Rizal Provincial Government, Ynares Center Complex Antipolo City.</t>
  </si>
  <si>
    <t xml:space="preserve"> PLEASE DOWNLOAD AND BID DOCUMENT FOR OTHER INFORMATION</t>
  </si>
  <si>
    <t xml:space="preserve"> Please submit your Price Quotation together with the ff:</t>
  </si>
  <si>
    <t xml:space="preserve"> Bidding Documents:</t>
  </si>
  <si>
    <t xml:space="preserve"> https://drive.google.com/file/d/1GtSHGGJwxGazXxWC0tS-F7_YJyyZN8lA/view?usp=drivesdk</t>
  </si>
  <si>
    <t xml:space="preserve"> PLEASE DOWNLOAD AND BID DOCUMENT FOR OTHER INFORMATION.</t>
  </si>
  <si>
    <t xml:space="preserve"> 20% EDF CY 2020</t>
  </si>
  <si>
    <t xml:space="preserve"> Interested bidder/supplier/contractor must be able to log-in in the Philippine Government Electronic Procurement System (PhilGeps) wherein the name of the company will be reflected in the Document Request List (DRL) of this Bid Notice Abstract. Kindly bring a printed-out copy of the Bid Notice Abstract and the Document Request List (DRL) before securing Order of Payment for Bid Documents/Forms.</t>
  </si>
  <si>
    <t xml:space="preserve"> https://drive.google.com/file/d/1M97inp73sq5trQVTuMSnUDxxFTPW8zDc/view?usp=drivesdk</t>
  </si>
  <si>
    <t xml:space="preserve"> Bidding will set by BAC upon submission of COA Request</t>
  </si>
  <si>
    <t xml:space="preserve"> 20CE0234: Construction of Multi-Purpose Building with Covered Court, Zaragoza, Nueva Ecija; Invitation to Bid including Plans and other Supporting Docs</t>
  </si>
  <si>
    <t xml:space="preserve"> Since the Barangay has no PhilGEPS account with the Municipal BAC consent we were able to post this notice.</t>
  </si>
  <si>
    <t xml:space="preserve"> 20CE0236: Replacement of Permanent Weak Bridges Amawinan Br. (B01981LZ) along Daang Maharlika (LZ); Invitation to Bid including Plans and other Supporting Docs</t>
  </si>
  <si>
    <t xml:space="preserve"> 20CE0235: Widening of Permanent Bridges Manicla Br. (B01968LZ) along Daang Maharlika (LZ); Invitation to Bid including Plans and other Supporting Docs</t>
  </si>
  <si>
    <t xml:space="preserve"> 20CE0233: Construction of Multi-Purpose Building (Phase 1), Brgy. Saint John, Guimba, Nueva Ecija; Invitation to Bid including Plans and other Supporting Docs</t>
  </si>
  <si>
    <t xml:space="preserve"> Downloads available at the Associated Components/Bid Supplements pages.</t>
  </si>
  <si>
    <t xml:space="preserve"> Name of Project - Supply and delivery of DRRM Rescue Vehicles</t>
  </si>
  <si>
    <t xml:space="preserve"> For inquiries Please contact Ms. Anabel Alis Basas @09500981535 or email @anabel.basas@deped.gov.ph</t>
  </si>
  <si>
    <t xml:space="preserve"> 9.	For further information, please refer to:</t>
  </si>
  <si>
    <t xml:space="preserve"> Furnish and Delivery of Item 104 Material for RTC Branch 27 and IBP - Cotabato Building</t>
  </si>
  <si>
    <t xml:space="preserve"> EMERGENCY PURCHASE FOR FRONLINERS (BAYANIHAN FUND)</t>
  </si>
  <si>
    <t xml:space="preserve"> 1	unit	FIRE TRUCK Double Cab	1</t>
  </si>
  <si>
    <t xml:space="preserve"> https://drive.google.com/file/d/1uLJS8hJ7455PzxgOVDbkPJ95f7Th3pvI/view?usp=drivesdk</t>
  </si>
  <si>
    <t xml:space="preserve"> The Department of Public Works and Highways - Mountain Province First District Engineering Office, through the PRE-DETAILED ENGINEERING (PDE) intends to apply the sum of Php3,682,655.14, inclusive of 5% contingency being the Approved Budget for the Contract (ABC) to payments under the contract for the Geotechnical Investigation for Slope Protection Projects along Various Road Sections in Mountain Province for FY 2020  Bids received in excess of the ABC shall be automatically rejected at the opening of the Financial Proposals.</t>
  </si>
  <si>
    <t xml:space="preserve"> The Department of Public Works and Highways - Mountain Province First District Engineering Office, through the PRE-DETAILED ENGINEERING (PDE) intends to apply the sum of Php2,331,606.86, inclusive of 5% contingency being the Approved Budget for the Contract (ABC) to payments under the contract for the Geotechnical Investigation for Slope Protection Projects along Various Road Sections in Mountain Province for FY 2020  Bids received in excess of the ABC shall be automatically rejected at the opening of the Financial Proposals.</t>
  </si>
  <si>
    <t xml:space="preserve"> https://drive.google.com/file/d/1A7wHrc8o5kdMWVPiTTfamo15ebO32oM8/view?usp=drivesdk</t>
  </si>
  <si>
    <t xml:space="preserve"> CABIAO WATER DISTRICT</t>
  </si>
  <si>
    <t xml:space="preserve"> MOTOR VEHICLE</t>
  </si>
  <si>
    <t xml:space="preserve"> IV Cannula G18	1600	Piece</t>
  </si>
  <si>
    <t xml:space="preserve"> Bidder's must download the attached document in the associated component section.</t>
  </si>
  <si>
    <t xml:space="preserve"> Mini Dump Truck</t>
  </si>
  <si>
    <t xml:space="preserve"> https://drive.google.com/file/d/1N35NOeF8byb32IJf-nSe-ZY_cWhxUrHz/view?usp=drivesdk</t>
  </si>
  <si>
    <t xml:space="preserve"> Bidders must download the attached documents in the associated component section.</t>
  </si>
  <si>
    <t xml:space="preserve"> CREATED BY BAC CHAIRMAN</t>
  </si>
  <si>
    <t xml:space="preserve"> NOTE: THIS IS A REBIDDING FOR THE SAID ITEM IN THIS PURCHASE REQUEST.</t>
  </si>
  <si>
    <t xml:space="preserve"> NOTE: THIS IS A REBIDDING FOR THE SAID ITEM IN THIS PURCHASE REQUEST..</t>
  </si>
  <si>
    <t xml:space="preserve"> NOTE: THIS IS A REBIDDING FOR ALL ITEMS IN THIS PURCHASE REQUEST.</t>
  </si>
  <si>
    <t xml:space="preserve"> NOTE: THIS IS A REBIDDING FOR THE SAID SERVICES IN THIS PURCHASE REQUEST.</t>
  </si>
  <si>
    <t xml:space="preserve"> 20CE0231: Asset Preservation – Preventive Maintenance – Secondary Roads - Bongabon – Rizal – Aurora Rd K0153+819 – K0153+1000; Invitation to Bid including Plans and other Supporting Docs</t>
  </si>
  <si>
    <t xml:space="preserve"> for more information just contact barangay secretariat of Barangay Barroc Tigbauan, Iloilo</t>
  </si>
  <si>
    <t xml:space="preserve"> https://drive.google.com/file/d/1ibR6yUQJQNiCuXTvbIfZmpINRILFSOQk/view?usp=drivesdk</t>
  </si>
  <si>
    <t xml:space="preserve"> for more information just contact barangay secretariat of Barangay Namocon Tigbauan, Iloilo</t>
  </si>
  <si>
    <t xml:space="preserve"> Description: </t>
  </si>
  <si>
    <t xml:space="preserve"> 20CE0230: Network Development – Construction of By-Pass and Diversion Roads - San Roque – Bacayao Road, Guimba By-Pass, Package 2, Nueva Ecija; Invitation to Bid including Plans and other Supporting Docs</t>
  </si>
  <si>
    <t xml:space="preserve"> for more information just contact barangay secretariat of Barangay Pamul-ogan, Cabatuan, Iloilo</t>
  </si>
  <si>
    <t xml:space="preserve"> 20CE0232: Asset Preservation – Rehabilitation/Reconstruction/Upgrading of Damaged Paved Roads – Primary Roads - Sn Jose – Lupao Rd - K0172+192 – K0172+259; Invitation to Bid including Plans and other Supporting Docs</t>
  </si>
  <si>
    <t xml:space="preserve"> ITB -  BEAUTIFICATION OF BOULEVARD ROAD (PLANT BOX AND LANDSCAPING)</t>
  </si>
  <si>
    <t xml:space="preserve"> Please see the attached files.</t>
  </si>
  <si>
    <t xml:space="preserve"> Bidding Documents will be available to prospective bidders who purchase the bidding documents from the office of the Municipal Treasurer of the Local Government Unit of Magpet.</t>
  </si>
  <si>
    <t xml:space="preserve"> Please contact at the Barangay Hall Sta.Filomena</t>
  </si>
  <si>
    <t xml:space="preserve"> https://drive.google.com/file/d/1BJyyg4gBTVncTEHR786V-OqmPJvMozGj/view?usp=drivesdk</t>
  </si>
  <si>
    <t xml:space="preserve"> ITB -  CONSTRUCTION REHABILITATION OF CONCRETE ROAD</t>
  </si>
  <si>
    <t xml:space="preserve"> ITB -  REHABILITATION OF LINED CANAL AND DRAINAGE (PARTIAL)</t>
  </si>
  <si>
    <t xml:space="preserve"> For more information, please see or contact the BAC Members of Brgy. Behia, Magallanes, Sorsogon.</t>
  </si>
  <si>
    <t xml:space="preserve"> ***NOTE: Please copy the link below and paste to the web browser for the attached set of Bidding Documents.</t>
  </si>
  <si>
    <t xml:space="preserve"> Construction supplies to be used of CPSH repair &amp; Maintenance</t>
  </si>
  <si>
    <t xml:space="preserve"> https://drive.google.com/file/d/1WAHpmFe6tTfuEHOQ-ch8QDNZsv6O489n/view?usp=drivesdk</t>
  </si>
  <si>
    <t xml:space="preserve"> Delivery and Supply of Construction Supplies &amp; Materials for the Establishment of MRF  and One (1) unit Plastic and Glass Bottle Shredder/Pulverizer-Grinder</t>
  </si>
  <si>
    <t xml:space="preserve"> It may also be downloaded free of charge from the website of the Philippine Ports Authority at www.ppa.com.ph</t>
  </si>
  <si>
    <t xml:space="preserve"> contact person: Phebe Gayle M. Angellano</t>
  </si>
  <si>
    <t xml:space="preserve"> Interested Bidders may download attached documents located in the Associated Components Section.</t>
  </si>
  <si>
    <t xml:space="preserve"> https://drive.google.com/file/d/17aNrcBR5qH1hqgXo_SsMqtPGYpKEXLrB/view?usp=drivesdk</t>
  </si>
  <si>
    <t xml:space="preserve"> https://drive.google.com/file/d/1Fm6y37jiLNRCA78J1ZTTx52VL-5pI57j/view?usp=drivesdk</t>
  </si>
  <si>
    <t xml:space="preserve"> The closing date shall be on the 3rd day after the date published in the Philgeps website</t>
  </si>
  <si>
    <t xml:space="preserve"> 6. The National Irrigation Administration (NIA), Regional Irrigation Office No.7, will hold a Pre-Bid Conference on July 8, 2020, 10:00 AM at NIA Regional Office 7 Conference Room, Dao District, Tagbilaran City, which shall be open to prospective bidders.</t>
  </si>
  <si>
    <t xml:space="preserve"> 1. Submission of canvass on or before July 13, 2020 @ 2:00 P.M.</t>
  </si>
  <si>
    <t xml:space="preserve"> This office resorts to the Alternative Method of Procurement provided for under 52.1.b, IRR, RA 9184 which is Shopping, and thus, we request for the submission of price quotations for ordinary or regular office supplies and equipment not available in the Procurement Service involving an amount not exceeding P500, 000.00 (as prescribed in Annex "H" of IRR, RA 9184) to be procured directly from suppliers of known qualifications. </t>
  </si>
  <si>
    <t xml:space="preserve"> SUPPLIERS/BIDDERS MUST DOWNLOAD THE ATTACHED DOCUMENT IN THE ASSOCIATED COMPONENT SECTION.</t>
  </si>
  <si>
    <t xml:space="preserve"> BAC Schedule of Activities;</t>
  </si>
  <si>
    <t xml:space="preserve"> https://drive.google.com/file/d/156wwMi_fCYIF2yNaKDQ3H6iUGnXScC40/view?usp=drivesdk</t>
  </si>
  <si>
    <t xml:space="preserve"> https://drive.google.com/file/d/1LUutvae3LesXIetTXNGJjr9pjlMHQnoC/view?usp=drivesdk</t>
  </si>
  <si>
    <t xml:space="preserve"> Quantity		Unit 		Item Description	</t>
  </si>
  <si>
    <t xml:space="preserve"> NOTE: Please copy the link below and paste to the web browser to download the complete set of bidding documents.</t>
  </si>
  <si>
    <t xml:space="preserve"> https://drive.google.com/file/d/1Iw4jZdjgAGJSSe0iHtMO7RXwadixhPMa/view?usp=drivesdk</t>
  </si>
  <si>
    <t xml:space="preserve"> 1	4.5x3mx6mm glass wall partition w/ powdered coated 1 aluminum frame	13.5	Sqm</t>
  </si>
  <si>
    <t xml:space="preserve"> LEA C. MENGULLO</t>
  </si>
  <si>
    <t xml:space="preserve"> - other information may be discussed during pre-bid conference</t>
  </si>
  <si>
    <t xml:space="preserve"> Bidding Documents may be purchased by the Interested Bidders on July 3, 2020 from 8:00 A.M to 5:00 P.M. and upon payment of non - refundable fee of One Thousand Five Hundred Pesos (Php 1,500.00).</t>
  </si>
  <si>
    <t xml:space="preserve"> 1	Omni safety breaker Reg. 2P 30A	5	Pcs</t>
  </si>
  <si>
    <t xml:space="preserve"> 1	SELF-LOADING PRIME MOVER (SURPLUS)        1 UNIT</t>
  </si>
  <si>
    <t xml:space="preserve"> Second Time Bidding</t>
  </si>
  <si>
    <t xml:space="preserve"> 1	5mm x 4"x8" plain steel plate	6	Sht		</t>
  </si>
  <si>
    <t xml:space="preserve"> 1	Portland cement	170	Bag</t>
  </si>
  <si>
    <t xml:space="preserve"> SEE ATTACHED SUPPORTING DOCUMENTS</t>
  </si>
  <si>
    <t xml:space="preserve"> Bidding Documents may be purchased by the Interested Bidders on July 3, 2020 from 8:00 A.M to 5:00 P.M. and upon payment of non - refundable fee of Five Hundred Pesos (Php 500.00).</t>
  </si>
  <si>
    <t xml:space="preserve"> 1	Portland Cement	385 	Bags</t>
  </si>
  <si>
    <t xml:space="preserve"> BID OPENING: JULY 7, 2020   1:00 PM  BAC OFFICE, MUNICIPAL HALL, STA. MARCELA, APAYAO</t>
  </si>
  <si>
    <t xml:space="preserve"> INVITATION TO BID FOR THE PRODUCTION, SUPPLY, AND DELIVERY OF TOURIST PHILCARE KIT</t>
  </si>
  <si>
    <t xml:space="preserve"> Bidding Documents may be purchased by the Interested Bidders on July 3, 2020 from 8:00 A.M to 5:00 P.M. and upon payment of non - refundable fee of One Thousand Pesos (Php 1,000.00).</t>
  </si>
  <si>
    <t xml:space="preserve"> SUBMIT LETTER OF INTENT ON OR BEFORE JULY 7, 2020.</t>
  </si>
  <si>
    <t xml:space="preserve"> Bidding is on July 8, 2020 at ten o'clock in the morning at the 3rd Floor, RHU, Siniloan, Laguna</t>
  </si>
  <si>
    <t xml:space="preserve"> Annual Budget (LCPC) CY 2020</t>
  </si>
  <si>
    <t xml:space="preserve"> ATTACHED POW</t>
  </si>
  <si>
    <t xml:space="preserve"> Complete Bidding document can be downloaded using the link below:</t>
  </si>
  <si>
    <t xml:space="preserve"> You may download the complete bidding documents using the link below: </t>
  </si>
  <si>
    <t xml:space="preserve"> MOOE 2020</t>
  </si>
  <si>
    <t xml:space="preserve"> Bidding Documents may be secured from the BAC Secretariat, Office of the Municipal Treasurer – Supply Section upon payment to the MTO Cashier of a non-refundable amount of ₱ 500.00. </t>
  </si>
  <si>
    <t xml:space="preserve"> Please contact us for further details.</t>
  </si>
  <si>
    <t xml:space="preserve"> BID DOCUMENT IS AVAILABLE AT ENGINEERING OFFICE, BAC SECRETARIAT</t>
  </si>
  <si>
    <t xml:space="preserve"> You may download complete bidding documents using the links below:</t>
  </si>
  <si>
    <t xml:space="preserve"> BIDDING DOCUMENTS MAY BE INITIALLY SENT ELECTRONICALLY THROUGH OUR OFFICIAL EMAIL ADDRESS. HARD COPIES SHALL FOLLOW.</t>
  </si>
  <si>
    <t xml:space="preserve"> Date of Bid Opening: July 7, 2020; 10:00 a.m.</t>
  </si>
  <si>
    <t xml:space="preserve"> The Local Government Unit of Island Garden City Samal reserves the right to  reject any and all bids, declare a failure of bidding, or not award the contract at any time prior to contract award in accordance with Section 41 of RA 9184 and its IRR, without thereby incurring any liability to the affected bidder or bidders.</t>
  </si>
  <si>
    <t xml:space="preserve"> https://drive.google.com/file/d/1fog4TBtIsOXLV5j4CCExjxIBmirtG9bQ/view?usp=drivesdk</t>
  </si>
  <si>
    <t xml:space="preserve"> EMERGENCY PURCHASE/COVID 19 PROJECT RELATED</t>
  </si>
  <si>
    <t xml:space="preserve"> For more information please visit or contact the BAC Secretariat at Brgy Diolen Mutia Z.N</t>
  </si>
  <si>
    <t xml:space="preserve"> Please Call BAC for your inquiry at tel # (056) 333-6310</t>
  </si>
  <si>
    <t xml:space="preserve"> Bidders may download attached documents located in the Associated Component Section.</t>
  </si>
  <si>
    <t xml:space="preserve"> Note: Each item number is considered as one lot, an absence of any item/s in the lot shall be considered as non-responsive.</t>
  </si>
  <si>
    <t xml:space="preserve"> Item Number	Description	Quantity	Unit</t>
  </si>
  <si>
    <t xml:space="preserve"> For inquiries and submission of quotation, please contact Leonilyn Noche of the Procurement Section at (02)8724 0656 loc. 215. Thank You!</t>
  </si>
  <si>
    <t xml:space="preserve"> click link https://drive.google.com/file/d/1evRH8xmkXocr7CLPyAPhUMfKPPMjWHHR/view?usp=drivesdk for the plan</t>
  </si>
  <si>
    <t xml:space="preserve"> Interested bidders may download attached documents located in the Associated Component Section.</t>
  </si>
  <si>
    <t xml:space="preserve"> LOT I – VARIOUS FILTERS (ABC – P465,415.00)</t>
  </si>
  <si>
    <t xml:space="preserve"> Pay Item No.	Description	Unit	Quantity</t>
  </si>
  <si>
    <t xml:space="preserve"> For further information, please refer to :</t>
  </si>
  <si>
    <t xml:space="preserve"> - All interested PCAB Licensed Contractors are advised to inquire at the Municipal Engineering Office for verification of plans, specifications, items of work and other matters pertaining to this procurement.</t>
  </si>
  <si>
    <t xml:space="preserve"> -All interested PCAB Licensed Contractors are advised to inquire at the Municipal Engineering Office for verification of plans, specifications, items of work and other matters pertaining to this procurement.</t>
  </si>
  <si>
    <t xml:space="preserve"> Please download and print the complete set of bidding document using the link below:</t>
  </si>
  <si>
    <t xml:space="preserve"> 20CSCE006 - CONSULTING SERVICES FOR THE CONDUCT OF SOIL/GEOTECHNICAL INVESTIGATION FOR THE PROPOSED CONSTRUCTION/REHABILITATION/REPLACEMENT OF VARIOUS BRIDGES PROJECTS</t>
  </si>
  <si>
    <t xml:space="preserve"> 1.)	2	bxs	Polypropylene 6-0 with Needle Cutting Edge x 12’s (31mm Round Bodied; 75cm, sterile, packed individually)</t>
  </si>
  <si>
    <t xml:space="preserve"> For more details, please contact the Municipal Engineer Jopson D. Baones with his Mobile No. 09399029802.</t>
  </si>
  <si>
    <t xml:space="preserve"> Please download and print the complete set of bidding documents using the link below:</t>
  </si>
  <si>
    <t xml:space="preserve"> Please contact the BAC secretariat for further information.</t>
  </si>
  <si>
    <t xml:space="preserve"> The Vicente Sotto Memorial Medical Center reserves the right to accept or reject any bid, to annul the bidding process, and to reject all bids at any time prior to contract award, without thereby incurring any liability to the affected bidder or bidders.</t>
  </si>
  <si>
    <t xml:space="preserve"> 2.	https://drive.google.com/file/d/1idHJ8D1pmUXgEU8-TWy_VILC8id1Gidv/view?usp=drivesdk</t>
  </si>
  <si>
    <t xml:space="preserve"> Bidding Documents Link:</t>
  </si>
  <si>
    <t xml:space="preserve"> Please submit your quotation and legal documents  not later than  08 July 2020, 5:00 P.M.  thru email at soc_torres@tpb.gov.ph or thru fax no. 02 8526-5971, subject to the Terms and Conditions attached herewith, stating the shortest time of delivery, duly signed by your representative to the Procurement and General Services Division, Administrative Department, 4th Floor, Legaspi Towers 300, Roxas Blvd., Manila.</t>
  </si>
  <si>
    <t xml:space="preserve"> Rehabilitation of seawall - P 71,602.00</t>
  </si>
  <si>
    <t xml:space="preserve"> DETAILS/COST ESTIMATES/FLOOR PLAN AND OTHER DOCUMENTS SUCH AS REQUEST FOR QUOTATION (RFQ) AVAILABLE AT LAND BANK OF THE PHILIPPINES, SARA BRANCH, SARA ILOILO C/O ROLIEN DELEGENCIA AT TELEPHONE No. (033) 392-0251, 392-0255</t>
  </si>
  <si>
    <t xml:space="preserve"> Please contact BAC secretariat for complete information of the unit.</t>
  </si>
  <si>
    <t xml:space="preserve"> FOR BID DOCS:</t>
  </si>
  <si>
    <t xml:space="preserve"> For more information, please call the BAC Secretariat Section Office at telephone nos. 8522-7252 / 5335-1777 or 87 loc. 397.</t>
  </si>
  <si>
    <t xml:space="preserve"> 1.	https://drive.google.com/file/d/1XcYKoqf4_Y3iI8tWRsXUizGpzvRJk8Hr/view?usp=drivesdk</t>
  </si>
  <si>
    <t xml:space="preserve"> Please see the attached RFQ for more details.</t>
  </si>
  <si>
    <t xml:space="preserve"> • Similar Contracts: Supply and delivery of Diesel Generating Sets or Mechanical and/or Electrical Parts / Components / Equipment for Diesel Generating Sets</t>
  </si>
  <si>
    <t xml:space="preserve"> Bidder-supplier must see and download the attached main document (Request for Quotation) file.</t>
  </si>
  <si>
    <t xml:space="preserve"> Please indicate Project Address in the sealed bidding envelope.</t>
  </si>
  <si>
    <t xml:space="preserve"> • Similar Contracts: Construction / renovation of commercial of industrial building</t>
  </si>
  <si>
    <t xml:space="preserve"> The Vicente Sotto Memorial Medical Center reserves the right to accept or reject any bid, to annul the bidding process, and to reject all bids at any time prior to contract award, without thereby incurring any liability to the affected bidder or bidders</t>
  </si>
  <si>
    <t xml:space="preserve"> Pre-Bid will be on July 8, 2020 @ 10:00 A.M. @ Bids and Awards Committee Office</t>
  </si>
  <si>
    <t xml:space="preserve"> Please indicate Project Address in your sealed bidding envelope.</t>
  </si>
  <si>
    <t xml:space="preserve"> https://drive.google.com/file/d/1MnRkFC41hyKQX09Taz3-MgkMYcwD9UwY/view?usp=drivesdk</t>
  </si>
  <si>
    <t xml:space="preserve"> https://drive.google.com/file/d/1xLaBZ9pQOwd1rr_VvurquMaWlnFPCW8s/view?usp=drivesdk</t>
  </si>
  <si>
    <t xml:space="preserve"> 1. BIDDERS ARE STRICTLY REQUIRED TO SUBMIT LETTER OF INTENT WHEN BUYING BID DOCUMENTS AT THE BAC SECRETARIAT.</t>
  </si>
  <si>
    <t xml:space="preserve"> Purpose: Training Equipment for the Completed Three (3) Storey Building of the ZSCMST Regional Maritime Training Center for Basic Training (Formerly SOLAS).</t>
  </si>
  <si>
    <t xml:space="preserve"> PRE BID CONFERENCE:</t>
  </si>
  <si>
    <t xml:space="preserve"> NOTE:</t>
  </si>
  <si>
    <t xml:space="preserve"> 1	2020-0634	Collapsible Water Drinking Container	1000	pcs				 250,000.00 	 2019 HEMS CoNap HEPR 	MS. F.GALLARDO</t>
  </si>
  <si>
    <t xml:space="preserve"> 1	2020-0423	Branded Laptop	22	 Unit 					 660,000.00 	  (HFEP INFRA CY 2009) 	DR. R. NACANAYNAY</t>
  </si>
  <si>
    <t xml:space="preserve"> 1	2020-0433	Photography and Videography Services for the 2020 Regional Awarding DOH-RO VI partners and stakeholders in November 27,2020 in Iloilo City	1					 40,000.00 	 2020 Health Promotion Fund 	DR. M. A. STA. LUCIA</t>
  </si>
  <si>
    <t xml:space="preserve"> 2020-0503	LED Wall and Audio System Rental and Services for the 2020 Regional Recognition of DOH CHD WV Partners and Stakeholders						 100,000.00 	 2020 Health Promotion Fund 	DR. MA.STA LUCIA</t>
  </si>
  <si>
    <t xml:space="preserve"> The BAC will issue to prospective bidders Eligibility Forms and Bid Documents at the Office of the BAC Secretariat, LGU Gattaran, Cagayan, upon their submission of a LOI, and upon their payment of a non-refundable amount of Php 5,000.00 to the Municipal Treasurer of the local Government Unit of Gattaran.</t>
  </si>
  <si>
    <t xml:space="preserve"> 1	2020-0617	ENDPOINT SECURITY Enterprise Suite Integrated Enterprise Security and Unified Endpoint Management Console. 	100	PCS					 315,000.00 	 2019 CONAP PHM 	MR. A.ZAFRA</t>
  </si>
  <si>
    <t xml:space="preserve"> 1	2020-0654	Airing of TV advertisement for Violence and Injury Prevention Program	44				 440,000.00 	 ConAp SAA 2019-08-1625 	DR. R. M. LAMIREZ</t>
  </si>
  <si>
    <t xml:space="preserve"> 1	2020-0719	Radio Plugging of Emerging Re-emerging Infectious Diseases (EREID) Program, Thrusts &amp; Iniatiatives in One (1) Loacal AM Stations with coverage in Panay Island 	285 Spots				 997,500.00 	 2020 Health Promotion Fund  	DR.M.A. STA LUCIA</t>
  </si>
  <si>
    <t xml:space="preserve"> Pre-bid Conference is open to all interested bidders.</t>
  </si>
  <si>
    <t xml:space="preserve"> 1	2020-0689	SUPPLY, DELIVERY &amp; INSTALLATION OF THREE (3) UNITS, 333KVA DISTRIBUTION TRANSFORMERS, 7620/13200Y, 120/240V, SILICON DOUBLE BUSHING WITH TERMINAL LUGS, LONG BARREL, 2-HOLES FOR 250mm2 WIRES, AND COMPLETE WITH THE FOLLOWING ACCESSORIES TO WIT;							 1,850,000.00 	 2019 PHM ConAp 	ENGR.A.CELESTINO</t>
  </si>
  <si>
    <t xml:space="preserve"> 1	2020-0718	Oil Proof Performance Sprayer	80	Unit					 1,200,000.00 	 PHM 	DR. M.J.R. JUANICO</t>
  </si>
  <si>
    <t xml:space="preserve"> 1	2020-0653	Procurement of Emergency Newborn Kits	1,000	pcs				 500,000.00 	 CONAP 2019 PHM 	DR. MA. MATILLANO</t>
  </si>
  <si>
    <t xml:space="preserve"> 1	2020-0724	Purchase of Toner Genuine (Samsung):	20						 60,000.00 	 PHM 	DR.J.AGUILING</t>
  </si>
  <si>
    <t xml:space="preserve"> 1	2020-0687	Freight and Handling/Distribution Services of Routine Immunization Logistics for 2nd Quarter Needs in Western Visayas					 480,000.00 	 SAA 2019-07-0899 	DR. MA.MATILLANO</t>
  </si>
  <si>
    <t xml:space="preserve"> MR. MOHAMADSUAIB  B. ESMAEL, BAC-B, Chairperson</t>
  </si>
  <si>
    <t xml:space="preserve"> The Works consists of Provision of 29.30 l.m. (198.15 cu.m.) stone masonry slope protection structure and 29.30 l.m. concrete shoulder.</t>
  </si>
  <si>
    <t xml:space="preserve"> The Works consists of Provision of 26.5 l.m. (46.38 cu.m.) rubble concrete structure, 26.5 l.m. (84.05 cu.m.) Groutd riprap and 25.901 l.m. (19.88 sq.m. x 0.15m thk) concrete shoulder.</t>
  </si>
  <si>
    <t xml:space="preserve"> The Works consists of Provision of 15.8l.m. (74.96 cu.m.) stone masonry slope protection structure.</t>
  </si>
  <si>
    <t xml:space="preserve"> Please visit LGU-San Mateo offices for actual measurements</t>
  </si>
  <si>
    <t xml:space="preserve"> Bring Letter of Intent- 3 Copies</t>
  </si>
  <si>
    <t xml:space="preserve"> You may download and check the bidding documents using the link below:</t>
  </si>
  <si>
    <t xml:space="preserve"> https://drive.google.com/file/d/1wr10iE09r6gtoAXBMJwZY7vZuqqbg4O_/view?usp=drivesdk</t>
  </si>
  <si>
    <t xml:space="preserve"> The Works consists of Construction of 210.00 ln.m. 4” THK CHB (3 layers and 2 layers) canal lining with concrete stiffener and column space at every 5.00m with 1 unit concrete crossing.</t>
  </si>
  <si>
    <t xml:space="preserve"> The Works consists of Construction of Drainage Canal (0.60m x 0.60m x 26.0m) w/ floor slab and top slab from Dietary Building tom Street Canal and Syphoning of 15 cu.m. Septic Vault between OR Bdlg. And Laundry Bldg.</t>
  </si>
  <si>
    <t xml:space="preserve"> The Works consists of Provision of 61.00 l.m (174.39 cu.m.) stone masonry slope protection and 36.00 l.m. concrete shoulder.</t>
  </si>
  <si>
    <t xml:space="preserve"> https://drive.google.com/file/d/1qPsCTkHdWYXHbSxien54s5iq5TWhcy4t/view?usp=drivesdk</t>
  </si>
  <si>
    <t xml:space="preserve"> 1	2020-0703	Purchase of Bond Paper Long Size (8.5 x 13")	1200						 300,000.00 	 PHM Polled funds for COVID 	DR.J.AGUILING</t>
  </si>
  <si>
    <t xml:space="preserve"> Please be informed that the bid documents cannot be downloaded from the website. It is non – electronic. </t>
  </si>
  <si>
    <t xml:space="preserve"> for inquiries, you may call us at tel. no. 8 364-8242 and look for Mr. Arenas</t>
  </si>
  <si>
    <t xml:space="preserve"> The Works consists of Provision of 20.00l.m. stone masonry slope protection structure.</t>
  </si>
  <si>
    <t xml:space="preserve"> INVITATION TO BID FOR THE PRODUCTION, SUPPLY, AND DELIVERY OF TEN (10) THOUSAND PIECES CORPORATE TOTE BAG WITH SEVEN (7) DIFFERENT WEAVE CLOTH DESIGN</t>
  </si>
  <si>
    <t xml:space="preserve"> For additional information please dial (8) 711-42-76 local 224/240 (Ms. Lucille/Cristy/ Mr. Dom)</t>
  </si>
  <si>
    <t xml:space="preserve"> BAC Documents are available at the Office of the Punong Barangay</t>
  </si>
  <si>
    <t xml:space="preserve"> contact person</t>
  </si>
  <si>
    <t xml:space="preserve"> INTERESTED BIDDERS ARE ADVISED TO DOWNLOAD THE ATTACHED DOCUMENTS LOCATED IN ASSOCIATED COMPONENT SECTION FOR GUIDANCE.</t>
  </si>
  <si>
    <t xml:space="preserve"> 3.	Bidding will be conducted through open competitive bidding procedures using a non-discretionary “pass/fail” criterion as specified in the 2016 Revised Implementing Rules and Regulations (IRR) of Republic Act (RA) 9184, otherwise known as the “Government Procurement Reform Act”.					</t>
  </si>
  <si>
    <t xml:space="preserve"> Rosalia Aglay Ayag Elementary School located at Brgy. Tawantawan, Baguio District, Davao City</t>
  </si>
  <si>
    <t xml:space="preserve"> Source of Funds: Annual Budget CY 2020 20% Development Fund</t>
  </si>
  <si>
    <t xml:space="preserve"> INTERESTED BIDDERS ARE ADVISED TO DOWNLOAD THE ATTACHED DOCUMENTS LOCATED AT THE ASSOCIATED COMPONENT SECTION FOR GUIDANCE.</t>
  </si>
  <si>
    <t xml:space="preserve"> You may see the Supply Officer, Municipality of Caibiran</t>
  </si>
  <si>
    <t xml:space="preserve"> INTERESTED BIDDERS ARE ADVISED TO DOWNLOAD THE ATTACHED DOCUMENTS LOCATED AT THE ASSOCIATED COMPONENT SECTION FOR GUIDANCE</t>
  </si>
  <si>
    <t xml:space="preserve"> (Please Refer to the attached Instructions to Bidders for the Technical Specifications).</t>
  </si>
  <si>
    <t xml:space="preserve"> MINI DUMP TRUCK, (Brand new) 4 Cylinders inline, water cooling,CDRI,15” Tire, inclusive of GSIS Insurance and LTO Registration</t>
  </si>
  <si>
    <t xml:space="preserve"> https://drive.google.com/file/d/10m5aWHTOwFjpEfe-jwQgoKGwisBSC90M/view?usp=drivesdk</t>
  </si>
  <si>
    <t xml:space="preserve"> https://drive.google.com/file/d/1cCLfbsLMYbm41CUeh1YcYC6FtbuX_L7D/view?usp=drivesdk</t>
  </si>
  <si>
    <t xml:space="preserve"> https://drive.google.com/file/d/1LqQys6-aTqeT_r3VFgO0mEYUPkJc-pFd/view?usp=drivesdk</t>
  </si>
  <si>
    <t xml:space="preserve"> Please see attached Bidding Documents for more information.</t>
  </si>
  <si>
    <t xml:space="preserve"> BILL OF QUANTITIES</t>
  </si>
  <si>
    <t xml:space="preserve"> The Partido Development Administration, through the PDA Corporate Operating Budget of 2020 intends to apply the sum of TWO MILLION SIX HUNDRED EIGHT THOUSAND TWO HUNDRED PESOS ONLY (P 2,608,200.00) being the Approved Budget for the Contract (ABC) to payments under the contract for the Supply and Delivery of 1,620 Pails Aluminum Sulfate (PDA 2020-003). Bids received in excess of the ABC shall be automatically rejected at bid opening. </t>
  </si>
  <si>
    <t xml:space="preserve"> https://drive.google.com/file/d/13C9yPHeb-iDdaEXhaUToklb5-GsTGXgV/view?usp=drivesdk</t>
  </si>
  <si>
    <t xml:space="preserve"> Item no.3 has new specifications</t>
  </si>
  <si>
    <t xml:space="preserve"> Deadline of Submission of BIDs: July 10, 2020; 02:00 PM</t>
  </si>
  <si>
    <t xml:space="preserve"> 20CSCE005  - CONSULTING SERVICES FOR THE CONDUCT OF a.) PARCELLARY SURVEY b.) DETAILED ENGINEERING SURVEY c.) STRUCTURAL/UTILITY/FACILITIES SURVEY d.) MONUMENTING e.) RESEARCH WORKS for the CONSTRUCTION OF RIZAL BY-PASS, NUEVA ECIJA 2nd LEGISLATIVE DISTRICT"</t>
  </si>
  <si>
    <t xml:space="preserve"> Deadline of Submission of BIDs : July 10, 2020; 02:00 PM</t>
  </si>
  <si>
    <t xml:space="preserve"> The Works consists of Provision of 38.896 ln. m. stone masonry slope protection structure.</t>
  </si>
  <si>
    <t xml:space="preserve"> Please see attached RFQ in the associated component</t>
  </si>
  <si>
    <t xml:space="preserve"> Deadline of Submission of BIDs : July 10, 2020;  2:00 PM</t>
  </si>
  <si>
    <t xml:space="preserve"> Created By: Amor Luisa Flores</t>
  </si>
  <si>
    <t xml:space="preserve"> Inquire at the Office of Magsaysay Memorial District Hospital for details.</t>
  </si>
  <si>
    <t xml:space="preserve"> Inquire at the Office of IPHO-Technical Services Division for details.</t>
  </si>
  <si>
    <t xml:space="preserve"> Please Contact Jaren D. Ducay, BAC Secretariat at 09956498330</t>
  </si>
  <si>
    <t xml:space="preserve"> https://drive.google.com/file/d/12FQvlWyuYNwVK-TCtNKLjHRsYx0nsWux/view?usp=drivesdk</t>
  </si>
  <si>
    <t xml:space="preserve"> Bid Docs Available</t>
  </si>
  <si>
    <t xml:space="preserve"> PLEASE SEE ATTACHED DOCUMENTS IN THE ASSOCIATED COMPONENTS</t>
  </si>
  <si>
    <t xml:space="preserve"> https://drive.google.com/file/d/1WQTpdk0ciZCQA7C2IWYCjWOW6gPwK9Yt/view?usp=drivesdk</t>
  </si>
  <si>
    <t xml:space="preserve"> Procurement of Anti-flu vaccines for the youth of Barangay Magallanes for Calendar Year 2020:</t>
  </si>
  <si>
    <t xml:space="preserve"> Please Contact:</t>
  </si>
  <si>
    <t xml:space="preserve"> for further information, please refer to:</t>
  </si>
  <si>
    <t xml:space="preserve"> must be engrave w/PRO 11</t>
  </si>
  <si>
    <t xml:space="preserve"> Description:</t>
  </si>
  <si>
    <t xml:space="preserve"> Schedule of Activities</t>
  </si>
  <si>
    <t xml:space="preserve"> Buyer: N.B. Camama</t>
  </si>
  <si>
    <t xml:space="preserve"> Bid Docs Available.</t>
  </si>
  <si>
    <t xml:space="preserve"> https://drive.google.com/file/d/1TgCgKRjm5M6dvcpqRXJ5S1cRpPRzvjQ2/view?usp=drivesdk</t>
  </si>
  <si>
    <t xml:space="preserve"> DELIVERY OF MINI-DUMPTRUCK BARANGAY HALL OF BARANGAY MANUAL, KIBLAWAN, DAVAO DEL SUR</t>
  </si>
  <si>
    <t xml:space="preserve"> Bidders must download the attached document in the Associated Component Section.</t>
  </si>
  <si>
    <t xml:space="preserve"> All interested bidders must purchase bid document at Municipal Treasury Office together with the letter of intent before going to the BAC Office, 3rd floor, Municipal Bldg. Abatan, Buguias, Benguet from June 30, 2020 starting 2:00 PM - 4:00 PM.</t>
  </si>
  <si>
    <t xml:space="preserve"> issuance of bidding documents - June 27-July 16, 2020</t>
  </si>
  <si>
    <t xml:space="preserve"> https://drive.google.com/file/d/1NEWa6pgH4CRlLJeybtj4K7fd9rFFjzCK/view?usp=drivesdk</t>
  </si>
  <si>
    <t xml:space="preserve"> The Works consists of Provision of 26 rolls 63mmøx60m HDPE Pipe, Sdr 17 (1560ln.m.) and 1 unit Plastic Tank (2 cu.m. capacity) w/ 2x2 m concrete platform w/ 6 distribution lines using (32mmøx100m HDPE pipe, sdr 17).</t>
  </si>
  <si>
    <t xml:space="preserve"> https://drive.google.com/file/d/1xlZtTNpwzRUgf51cmRmseMrpgFHolhEy/view?usp=drivesdk</t>
  </si>
  <si>
    <t xml:space="preserve"> https://drive.google.com/file/d/172_4XoB9MbMkpgq4aGgiKbntA4Y5wLzf/view?usp=drivesdk</t>
  </si>
  <si>
    <t xml:space="preserve"> Quote your best offer for the items/described  therein,</t>
  </si>
  <si>
    <t xml:space="preserve"> PLEASE SEE/READ AND AGREE TO THE ATTACHED TERMS OF REFERENCES.</t>
  </si>
  <si>
    <t xml:space="preserve"> BAC Secretariat</t>
  </si>
  <si>
    <t xml:space="preserve"> https://drive.google.com/file/d/1WT8ACyTd8pUEv8Aj-aEXk2mIH9WT53Zm/view?usp=drivesdk</t>
  </si>
  <si>
    <t xml:space="preserve"> The Region II Trauma and Medical Center will be conducting the Negotiation on     July 6, 2020 at 2:00 PM at the 4th Floor Trauma Conference Room, R2TMC Trauma Building, R2TMC, Bayombong, Nueva Vizcaya.</t>
  </si>
  <si>
    <t xml:space="preserve"> Also available at DPWh website.</t>
  </si>
  <si>
    <t xml:space="preserve"> Fund Source 20% EDF</t>
  </si>
  <si>
    <t xml:space="preserve"> 1 unit Service Vehicle (Barangay Patrol)</t>
  </si>
  <si>
    <t xml:space="preserve"> SOURCE OF FUND: AB-2020</t>
  </si>
  <si>
    <t xml:space="preserve"> SOURCE OF FUND:ANNUAL BUDGET 2020</t>
  </si>
  <si>
    <t xml:space="preserve"> Also available at DPWH website</t>
  </si>
  <si>
    <t xml:space="preserve"> Terms of Delivery: FOB Zamboanga City-WMSU</t>
  </si>
  <si>
    <t xml:space="preserve"> Bidding will be conducted through open competitive bidding procedures using a non-discretionary “pass/fail” criterion as specified in the 2016 Revised Implementing Rules and Regulations (IRR) of Republic Act (RA) 9184, otherwise known as the “Government Procurement Reform Act”. Bidding is restricted to Filipino citizens/sole proprietorships, partnerships, or organizations with at least sixty percent (60%) interest or outstanding capital stock belonging to citizens of the Philippines, and to citizens or organizations of a country the laws or regulations of which grant similar rights or privileges to Filipino citizens, pursuant to RA 5183.</t>
  </si>
  <si>
    <t xml:space="preserve"> terms of Delivery: FOB Zamboanga City-WMSU</t>
  </si>
  <si>
    <t xml:space="preserve"> https://drive.google.com/file/d/1mDI6oyHdgu_LlpNeUAqmxx3tQj9J6cGg/view?usp=drivesdk</t>
  </si>
  <si>
    <t xml:space="preserve"> https://drive.google.com/file/d/1M7GoUxWpNH-Hc2UL68DuRY9b7Ub4u2uw/view?usp=drivesdk</t>
  </si>
  <si>
    <t xml:space="preserve"> https://drive.google.com/file/d/1gk1jsn947aWVinpuOKAataMYuThL2Pdu/view?usp=drivesdk</t>
  </si>
  <si>
    <t xml:space="preserve"> https://drive.google.com/file/d/1dvkkiB04Ay-a9h6vIfiyMAPKJlZMxwjy/view?usp=drivesdk</t>
  </si>
  <si>
    <t xml:space="preserve"> https://drive.google.com/file/d/1iZNXbvZKvaF5heoIm9hgpn36euddknuE/view?usp=drivesdk</t>
  </si>
  <si>
    <t xml:space="preserve"> https://drive.google.com/file/d/1136t9F0nP8l5OPI3rOs-FVcwh90mhrXT/view?usp=drivesdk</t>
  </si>
  <si>
    <t xml:space="preserve"> https://drive.google.com/file/d/1IjK_nvus7os-Qj5WF7g5XUCPOtmb_6Bm/view?usp=drivesdk</t>
  </si>
  <si>
    <t xml:space="preserve"> https://drive.google.com/file/d/1cAr0XW-FGGh_UXjHyZDbt6jKEZ4IEmEC/view?usp=drivesdk</t>
  </si>
  <si>
    <t xml:space="preserve"> The Works consists of Provision of 30.9l.m. grouted riprap, 30.9 l.m. rubble concrete and 30.9 sq.m. concrete shoulder.</t>
  </si>
  <si>
    <t xml:space="preserve"> CO Mayor's Office</t>
  </si>
  <si>
    <t xml:space="preserve"> SB - 7 UNITS LAPTOP</t>
  </si>
  <si>
    <t xml:space="preserve"> https://drive.google.com/file/d/1ex_-aP3wOS6Qm3Ps4K6oGJXUM4Zbo-E5/view?usp=drivesdk</t>
  </si>
  <si>
    <t xml:space="preserve"> Posted at three conspicuous places.</t>
  </si>
  <si>
    <t xml:space="preserve"> 3.	https://drive.google.com/file/d/1mum5J17d8yHisGAbEHJeNpQ9nSIRKmB4/view?usp=drivesdk</t>
  </si>
  <si>
    <t xml:space="preserve"> 2.	https://drive.google.com/file/d/1VgjGpAk9eZ5ptUQeoLMhroPkDL402YCO/view?usp=drivesdk</t>
  </si>
  <si>
    <t xml:space="preserve"> PLEASE SEE READ AND AGREE TO THE ATTACHED TERMS OF REFERENCES.</t>
  </si>
  <si>
    <t xml:space="preserve"> https://drive.google.com/file/d/1kDXzejfWKJagl50HDoYIRfFH7aZxsW8o/view?usp=drivesdk</t>
  </si>
  <si>
    <t xml:space="preserve"> https://drive.google.com/file/d/1XY2g_VS9oxny-nKrddVRQvslWqI4qrjh/view?usp=drivesdk</t>
  </si>
  <si>
    <t xml:space="preserve"> https://drive.google.com/file/d/1LJTRmYbY4dUqe1EiLGTffymTPVcnU-p-/view?usp=drivesdk</t>
  </si>
  <si>
    <t xml:space="preserve"> Prospective Bidders are encouraged to attend the pre-bid conference as scheduled.</t>
  </si>
  <si>
    <t xml:space="preserve"> 20CE0216: Construction of 2STY4CL, Cabaruan ES, Guimba, Nueva Ecija; Invitation to Bid including Plans and other Supporting Docs</t>
  </si>
  <si>
    <t xml:space="preserve"> 20CE0215: Construction of 2STY6CL, Concepcion ES, Santo Domingo, Nueva Ecija; Invitation to Bid including Plans and other Supporting Docs</t>
  </si>
  <si>
    <t xml:space="preserve"> BAC Activities                                                         Date                                        Venue</t>
  </si>
  <si>
    <t xml:space="preserve"> 20CE0214: Construction of 2STY6CL, Don Emiliano Soriano ES, Aliaga, Nueva Ecija; Invitation to Bid including Plans and other Supporting Docs</t>
  </si>
  <si>
    <t xml:space="preserve"> 20CE0212: Construction of 2STY8CL, Minabuyok ES, Talavera, Nueva Ecija; Invitation to Bid including Plans and other Supporting Docs</t>
  </si>
  <si>
    <t xml:space="preserve"> 20CE0210: Construction of 2STY6CL, Mamandil PS, Talavera, Nueva Ecija; Invitation to Bid including Plans and other Supporting Docs</t>
  </si>
  <si>
    <t xml:space="preserve"> The ROAD CONCRETING @ PALANCA VILLAGE has already been awarded to CJEP BUILDERS AND ENGINEERING SERVICES for a bid of Php 449,814.44 as the LOWEST CALCULATED RESPONSIVE BID during on November 13, 2019 bid opening. This instrument is a re-posting of the process.</t>
  </si>
  <si>
    <t xml:space="preserve"> 20CE0228: Repair /Maintenance of DILG Building Bureau of Fire Protection – Rizal Fire Station, Rizal, Nueva Ecija; Notice to Bidders including Plans and other Supporting Docs</t>
  </si>
  <si>
    <t xml:space="preserve"> 20CE0213: Construction of 2STY6CL, Collado ES, Talavera, Nueva Ecija; Invitation to Bid including Plans and other Supporting Docs</t>
  </si>
  <si>
    <t xml:space="preserve"> 20CE0227: Repair /Maintenance of DILG Building Bureau of Fire Protection – Talavera Fire Station Building, Brgy. Sampaloc, Talavera, Nueva Ecija; Notice to Bidders including Plans and other Supporting Docs</t>
  </si>
  <si>
    <t xml:space="preserve"> 20CE0226: Repair/Maintenance of DPWH Building Covered Court, Nueva Ecija I District Engineering Office, La Torre, Talavera, Nueva Ecija; Invitation to Bid including Plans and other Supporting Docs</t>
  </si>
  <si>
    <t xml:space="preserve"> 20CE0224: Repair/Maintenance of Collapsed Slope Protection, Cadaclan Bridge 2, along Pantabangan - Canili - Basal - Baler Road, K0181+600, Brgy. Cadaclan, Pantabangan, Nueva Ecija; Invitation to Bid including Plans and other Supporting Docs</t>
  </si>
  <si>
    <t xml:space="preserve"> 20CE0223: Construction of 1STY2CL, Camanggahan ES, Carranglan, Nueva Ecija; Invitation to Bid including Plans and other Supporting Docs</t>
  </si>
  <si>
    <t xml:space="preserve"> 20CE0229: Repair /Maintenance of DILG Building, Lupao Fire Station Building, Lupao, Nueva Ecija; Notice to Bidders including Plans and other Supporting Docs</t>
  </si>
  <si>
    <t xml:space="preserve"> 20CE0222: Construction of 1STY2CL, Salvacion 2nd ES, Lupao, Nueva Ecija; Invitation to Bid including Plans and other Supporting Docs</t>
  </si>
  <si>
    <t xml:space="preserve"> https://drive.google.com/file/d/1ChhdE7IYoNTP6dAYdxt-hrU3YamTWI0W/view?usp=drivesdk</t>
  </si>
  <si>
    <t xml:space="preserve"> 20CE0211: Construction of 2STY6CL, Homestead I ES, Talavera, Nueva Ecija; Invitation to Bid including Plans and other Supporting Docs</t>
  </si>
  <si>
    <t xml:space="preserve"> Interested bidders may obtain further information from BAC Secretariat, BAC Office, City Hall Compound, Peñaplata, IGaCoS and inspect the Bidding Documents at the address given below from 8:00 AM - 5:00PM.</t>
  </si>
  <si>
    <t xml:space="preserve"> BAC ACTIVITIES	DATE	VENUE</t>
  </si>
  <si>
    <t xml:space="preserve"> NOTE TO PROSPECTIVE BIDDERS</t>
  </si>
  <si>
    <t xml:space="preserve"> For transportation assistance of our Indigent Constituents</t>
  </si>
  <si>
    <t xml:space="preserve"> https://drive.google.com/file/d/13-XYkoWu3Giwifu_ZkCxpXAG63cT4uQM/view?usp=drivesdk</t>
  </si>
  <si>
    <t xml:space="preserve"> Interested bidders may obtain further information from BAC Secretariat, BAC Office, City Hall Compound, Peñaplata, IGaCoS and inspect the Bidding Documents at the address given below from 9:00 AM – 5:00 PM.</t>
  </si>
  <si>
    <t xml:space="preserve"> BID OPENING: JULY 16, 2020 AT 1:00 PM  BAC OFFICE, MUNICIPAL HALL, STA. MARCELA, APAYAO </t>
  </si>
  <si>
    <t xml:space="preserve"> 20CE0225: Repair/Maintenance of River Bank Protection along Rio Chico River, Brgy. Mapangpang, Lupao, Nueva Ecija; Invitation to Bid including Plans and other Supporting Docs</t>
  </si>
  <si>
    <t xml:space="preserve"> For use Rural Health Unit</t>
  </si>
  <si>
    <t xml:space="preserve"> BID OPENING: JULY 17, 2020 AT 2:30 PM   BAC OFFICE, MUNICIPAL HALL, STA. MARCELA, APAYAO</t>
  </si>
  <si>
    <t xml:space="preserve"> For more information and details, please contact the BAC Secretariat</t>
  </si>
  <si>
    <t xml:space="preserve"> The LGU-IGACOS reserves the right to reject any and all bids, declare a failure of bidding, or not award the contract at any time prior to contract award in accordance with Section 41 of RA 9184 and its IRR, without thereby incurring any liability to the affected bidder or bidders.</t>
  </si>
  <si>
    <t xml:space="preserve"> Warranty Period : 6 months from receipt of materials</t>
  </si>
  <si>
    <t xml:space="preserve"> https://drive.google.com/file/d/1nyy4YyCGaNWHGEQ1KfHA96Le9P9uGDLU/view?usp=drivesdk</t>
  </si>
  <si>
    <t xml:space="preserve"> Interested bidders may obtain further information from Local Government Unit of the Island Garden City of Samal and inspect the Bidding Documents at the address given below during 8:00 A.M. to 5:00 P.M.</t>
  </si>
  <si>
    <t xml:space="preserve"> BID DOCS PhP: 500.00</t>
  </si>
  <si>
    <t xml:space="preserve"> BID DOCS PhP 500.00</t>
  </si>
  <si>
    <t xml:space="preserve"> - other information may be discussed during pre-bid cnference.</t>
  </si>
  <si>
    <t xml:space="preserve"> Please download the attached file</t>
  </si>
  <si>
    <t xml:space="preserve"> SUPPLIERS/ BIDDERS MUST DOWNLOAD THE ATTACHED DOCUMENT IN ASSOCIATED COMPONENT SECTION.</t>
  </si>
  <si>
    <t xml:space="preserve"> Interested bidders may obtain further information from Bids and Awards Committee Secretariat and inspect the Bidding Documents at the address given below from 9:00am to 5:00pm.</t>
  </si>
  <si>
    <t xml:space="preserve"> The ERC now invites suppliers to submit their best offer or quotation for the contract which must be delivered in a sealed envelope to:</t>
  </si>
  <si>
    <t xml:space="preserve"> https://tinyurl.com/yce8hcwy</t>
  </si>
  <si>
    <t xml:space="preserve"> The Works consists of Concreting of 509.5 m long x 6.10m wide x 0.20 thick PCCP Provincial Road, Provision of 14.00m (30.41 cu.m.) stone masonry headwall &amp; slope protection structure and laying of 10.00 l.m. 910mmø RCPC.</t>
  </si>
  <si>
    <t xml:space="preserve"> The Works consists of Construction of 8.0ln.m Rubble Masonry Protection Wall;, Construction of 176.0 ln.m. concrete ditch canal with column spaced at every 5.00m and concreting of 135.00m long x 2.50m wide x 0.15m thick PCCP FTMR.</t>
  </si>
  <si>
    <t xml:space="preserve"> 1.	https://drive.google.com/file/d/1T9PE46WZY8k2QnVsvUxUn8U6-AiluXhL/view?usp=drivesdk</t>
  </si>
  <si>
    <t xml:space="preserve"> The Works consists of Concreting of 219.07 m long x 6.10m wide x 0.20m thick plain PCCP and provision of 56.2 l.m. l.m. stone masonry slope protection structure.</t>
  </si>
  <si>
    <t xml:space="preserve"> The Works consists of Concreting of 437.6 m long x 5.00m wide x 0.20 thick PCCP Provincial Road, and Provision of 22.00m stone masonry structure and headwall 14.00l.m. 910mmø RCPC.</t>
  </si>
  <si>
    <t xml:space="preserve"> The Works consists of Concreting of 253.5 m long x 6.10m wide x 0.20 thick PCCP Provincial Road, and Provision of 214.00m (237.52 cu.m.) stone masonry structure and 5 pcs. – 610mmø RCPC.</t>
  </si>
  <si>
    <t xml:space="preserve"> The Works consists of Construction of 7.0ln.m x 4m. wide Overflow Bridge with 5-ROW 24” ø RCPC, Rubble masonry Base &amp; Concrete Apron, Const. of Rubble Masonry wing wall and 8.0ln.m. x 4m wide x 0.15thk PCCP Plain.</t>
  </si>
  <si>
    <t xml:space="preserve"> Bid Opening shall be on July 16, 2020 at 9:00A.M. at the Municipal Hall, Poblacion, Santa Fe, Romblon</t>
  </si>
  <si>
    <t xml:space="preserve"> The Works consists of Concreting of 262.00m long x 2.50m wide x 0.15m thick PCCP FTMR.</t>
  </si>
  <si>
    <t xml:space="preserve"> The Works consists of Provision of 93.70l.m. stone masonry protection structure, 3.00l.m. stone masonry headwall &amp; 1.00 unit catch basin, 16.20l.m. rubble concrete shoulder, reblocking of one lane x 12.00m long PCCP and 2.00 l.m. 910mmø RCPC.</t>
  </si>
  <si>
    <t xml:space="preserve"> Bid opening shall be on July 16, 2020 at 9:00 A.M. at the Municipal Hall, Poblacion, Santa Fe, Romblon</t>
  </si>
  <si>
    <t xml:space="preserve"> Please use and submit the attached prescribed Request for Quotation Form (RFQ).</t>
  </si>
  <si>
    <t xml:space="preserve"> For copies of the bidding documents and technical specifications, kindly click the associated components.</t>
  </si>
  <si>
    <t xml:space="preserve"> https://drive.google.com/file/d/17G1_f_k4QO-i0Nj42w1i4vDnVodV2uNd/view?usp=drivesdk</t>
  </si>
  <si>
    <t xml:space="preserve"> For copies of the bidding documents, scope of works and bill of quantities, kindly click the associated components.</t>
  </si>
  <si>
    <t xml:space="preserve"> I.	Earthworks		</t>
  </si>
  <si>
    <t xml:space="preserve"> Opening of bids shall be done 48 hours after the deadline of submission of bid or on July 6, 2020 (MONDAY), 2:00p.m  at the BAC/Budget Office , 3rd floor , Municipal Building, Brgy. Timugan, Los Banos, Laguna. This is per BAC Resolution No. 2020-025 dated  27th of May  2020 with the Subject Re: Resolution Implementing Safety Measures during BAC Meetings including Online Bid Submission, Videoconferencing and Other Procurement Procedures Relative to the Control and Prevention of Corona Virus Disease 2019 (COVID-19). (Noted: July 5, 2020 falls on Sunday). </t>
  </si>
  <si>
    <t xml:space="preserve"> The schedule of key procurement activities for this Contract are shown below:</t>
  </si>
  <si>
    <t xml:space="preserve"> PHILIPPINE BIDDING DOCUMENTS</t>
  </si>
  <si>
    <t xml:space="preserve"> https://drive.google.com/file/d/1qhjrltBqvtk0qxwyP45q-iE45TgC3o_n/view?usp=drivesdk</t>
  </si>
  <si>
    <t xml:space="preserve"> https://drive.google.com/file/d/1ZwhmrhJ-ngJ2XM8OAoYwhlUpSv9mxU4E/view?usp=drivesdk</t>
  </si>
  <si>
    <t xml:space="preserve"> Bid Opening shall be on July 16, 2020 at 9:00 A.M. at the Municipal Hall, Poblacion, Santa Fe, Romblon</t>
  </si>
  <si>
    <t xml:space="preserve"> The Works consists of Provision of 65 rolls 63mmøx60m HDPE Pipe, sdr 17 (3900ln.m.) w/ 100ln.m. Cable Gi Wire, #8.</t>
  </si>
  <si>
    <t xml:space="preserve"> https://drive.google.com/file/d/1mQBAqUyINj8zFOmurzgqRW28MtiMIDJC/view?usp=drivesdk</t>
  </si>
  <si>
    <t xml:space="preserve"> https://drive.google.com/file/d/1-IYuXsnJCWvLh80qwiROzl1LH0pMtCCQ/view?usp=drivesdk</t>
  </si>
  <si>
    <t xml:space="preserve"> https://drive.google.com/file/d/1O4Mh91Mq7hsK-PW9dMJYamMLQwd99CXB/view?usp=drivesdk</t>
  </si>
  <si>
    <t xml:space="preserve"> https://drive.google.com/file/d/1-uxAM4zsMaY6gYqI3rZwdzNplg6VXWnA/view?usp=drivesdk</t>
  </si>
  <si>
    <t xml:space="preserve"> https://drive.google.com/file/d/1WR4iO01PGCk2ke8W7WE-Va5ROxj7Qru9/view?usp=drivesdk</t>
  </si>
  <si>
    <t xml:space="preserve"> https://drive.google.com/file/d/1keFXkDqA9e6TMLOSdV13kYdoTbRNYGrG/view?usp=drivesdk</t>
  </si>
  <si>
    <t xml:space="preserve"> OPENING OF BIDS IS ON JULY 15, 2020 (09:00 AM) AT THE CONFERENCE ROOM, ADMIN. BUILDING</t>
  </si>
  <si>
    <t xml:space="preserve"> https://drive.google.com/file/d/1wsk-XpitvKs93JC5tSFJlxbnUhOEdhiq/view?usp=drivesdk</t>
  </si>
  <si>
    <t xml:space="preserve"> OPENING OF BIDS IS ON JULY 16, 2020 (09:00 AM) AT THE CONFERENCE ROOM, ADMIN. BUILDING</t>
  </si>
  <si>
    <t xml:space="preserve"> https://drive.google.com/file/d/1GyCxgP0AWALvRh_2_RdVA_yBBvi_g2fU/view?usp=drivesdk</t>
  </si>
  <si>
    <t xml:space="preserve"> Bids received in excess of the ABC shall be automatically rejected at the opening of the Financial Proposals.</t>
  </si>
  <si>
    <t xml:space="preserve"> Terms of Delivery:b FOB Zamboanga City-WMSU</t>
  </si>
  <si>
    <t xml:space="preserve"> Terms of Delivery: FOB for the following Delivery Hub/Location</t>
  </si>
  <si>
    <t xml:space="preserve"> Bid Documents are also downloadable in the DPWH Website</t>
  </si>
  <si>
    <t xml:space="preserve"> Mazda Bongo XTD</t>
  </si>
  <si>
    <t xml:space="preserve"> https://drive.google.com/file/d/1Jid32240KGlF_qNwjvoRqeOXHYcpBzjw/view?usp=drivesdk</t>
  </si>
  <si>
    <t xml:space="preserve"> https://drive.google.com/file/d/1V1ZFl6us22EzJfDm2FhI6gmfnlwA9vp8/view?usp=drivesdk</t>
  </si>
  <si>
    <t xml:space="preserve"> https://drive.google.com/file/d/1W95gF6DqbGw-ZLTKIw43GfdOUa5L2p4h/view?usp=drivesdk</t>
  </si>
  <si>
    <t xml:space="preserve"> https://drive.google.com/file/d/1t9EJ6OTBWcwR1gp5LQJirKd-scNzHO2p/view?usp=drivesdk</t>
  </si>
  <si>
    <t xml:space="preserve"> https://drive.google.com/file/d/1mnYOu4BfMeT5zdQb0AuBdvaDnsOmDfAK/view?usp=drivesdk</t>
  </si>
  <si>
    <t xml:space="preserve"> Please see attached Specifications</t>
  </si>
  <si>
    <t xml:space="preserve"> https://drive.google.com/file/d/15i3DiuhKEVHjs0pkM80ypze-pDqnIVps/view?usp=drivesdk</t>
  </si>
  <si>
    <t xml:space="preserve"> https://drive.google.com/file/d/17Ax7XN5ZFFzL9ONgbQCdZPyYEA5FcTS_/view?usp=drivesdk</t>
  </si>
  <si>
    <t xml:space="preserve"> Pre-Bid Conference 2:00 P.M. July 01, 2020 DPWH Pampanga 2nd DEO BAC-Office</t>
  </si>
  <si>
    <t xml:space="preserve"> https://drive.google.com/file/d/1wryrsz7M4MR2due6Pz6mlvuYFzSU0aIa/view?usp=drivesdk</t>
  </si>
  <si>
    <t xml:space="preserve"> ENGR. LUKE C. CADOYAS</t>
  </si>
  <si>
    <t xml:space="preserve"> Specifications:</t>
  </si>
  <si>
    <t xml:space="preserve"> A complete set of Bidding Documents may be acquired by interested Bidders on October 30, 2018 from the address below and upon payment of the applicable fee for the Bidding Documents, pursuant to the latest Guidelines issued by the GPPB, in the amount of One Thousand Pesos (Php500.00).</t>
  </si>
  <si>
    <t xml:space="preserve"> Please download the document at the associated components.</t>
  </si>
  <si>
    <t xml:space="preserve"> FOR COMPLETE LIST OF ITEMS PLEASE SEE ATTACHED REQUEST FOR QUOTATION</t>
  </si>
  <si>
    <t xml:space="preserve"> Bidders must download the attached document in the associated component section and can also be downloaded at www.ilocossur.gov.ph.</t>
  </si>
  <si>
    <t xml:space="preserve"> https://drive.google.com/file/d/1kD1qcnx3Y11vUw3kgem6YBq60-OAC-WI/view?usp=drivesdk</t>
  </si>
  <si>
    <t xml:space="preserve"> https://drive.google.com/file/d/1BwSSTulHH8CGtc_u-6hnBtCgqD7LU8DD/view?usp=drivesdk</t>
  </si>
  <si>
    <t xml:space="preserve"> PLEASE SEE ASSOCIATED COMPONENTS FOR THE COMPLETE SET OF BIDDING DOCUMENTS</t>
  </si>
  <si>
    <t xml:space="preserve"> https://drive.google.com/file/d/1lH9HQ_F6t5heE8ZjNaKIAfCqXkDZ54gz/view?usp=drivesdk</t>
  </si>
  <si>
    <t xml:space="preserve"> NOTICE TO PROSPECTIVE BIDDERS</t>
  </si>
  <si>
    <t xml:space="preserve"> Re-post</t>
  </si>
  <si>
    <t xml:space="preserve"> Item I	EARTHWORKS		</t>
  </si>
  <si>
    <t xml:space="preserve"> 7.	For further information, please refer to:</t>
  </si>
  <si>
    <t xml:space="preserve"> BID DOCUMENT SECTION 1-7 IS AVAILABLE</t>
  </si>
  <si>
    <t xml:space="preserve"> https://drive.google.com/file/d/1eC0r0t4WF5os-HhdVo4CuufGg2CPev_S/view?usp=drivesdk</t>
  </si>
  <si>
    <t xml:space="preserve"> The BAC shall issue bidding documents upon payment of Five Hundred Pesos Only (Php 500.00)  to the disbursing/collecting officer of the LGU.</t>
  </si>
  <si>
    <t xml:space="preserve"> https://drive.google.com/file/d/1GxCurdWHFP5_Xt__QX3DiNfSDMU3YxPO/view?usp=drivesdk</t>
  </si>
  <si>
    <t xml:space="preserve"> Deadline for submission of bids will be on JULY 07, 2020, 10:00 A.M. at the Supply Office, Town Hall, Poblacion, Kibungan, Benguet.</t>
  </si>
  <si>
    <t xml:space="preserve"> https://drive.google.com/file/d/1xLoqfeOnyaQGHpGKLDqTjAYNEcoYWOnU/view?usp=drivesdk PLAN 20CN0101 PART 1</t>
  </si>
  <si>
    <t xml:space="preserve"> https://drive.google.com/file/d/11Ndq6BJBL-_60i9PfAQygbZG_msDn524/view?usp=drivesdk</t>
  </si>
  <si>
    <t xml:space="preserve"> https://drive.google.com/file/d/1qeGQ9vzCunB-s9WskI0z8W6Yc94DMUbD/view?usp=drivesdk PLAN 20CN0154 PART 1</t>
  </si>
  <si>
    <t xml:space="preserve"> Pls. see Municipal Engineer"s Office for details.</t>
  </si>
  <si>
    <t xml:space="preserve"> Deadline for submission of bids will be on JULY 14, 2020, 10:00 A.M. at the Supply Office, Town Hall, Poblacion, Kibungan, Benguet.</t>
  </si>
  <si>
    <t xml:space="preserve"> https://drive.google.com/file/d/1IZkKaTErVXW_llnsHula0Lk7XFhd5700/view?usp=drivesdk PLAN 20CN0153 PART 1</t>
  </si>
  <si>
    <t xml:space="preserve"> 1.	All items must be delivered on site (Bohol Island State University- Calape Campus, Calape, Bohol).</t>
  </si>
  <si>
    <t xml:space="preserve"> https://drive.google.com/file/d/1hhdw1mVorjiccaWOhfssegxPMBSITzVP/view?usp=drivesdk</t>
  </si>
  <si>
    <t xml:space="preserve"> NOTICE TO PROSPECTIVE BIDDER</t>
  </si>
  <si>
    <t xml:space="preserve"> All items must be delivered at Bohol Island State University- Calape Campus, Calape, Bohol</t>
  </si>
  <si>
    <t xml:space="preserve"> Kindly download the attached bidding documents for the requirements and technical specifications.</t>
  </si>
  <si>
    <t xml:space="preserve"> FOR INQUIRY PLEASE PROCEED TO BRGY. MAPULO</t>
  </si>
  <si>
    <t xml:space="preserve"> please click this link to download bidding documents </t>
  </si>
  <si>
    <t xml:space="preserve"> please click this link to download bidding documents</t>
  </si>
  <si>
    <t xml:space="preserve"> 902	Reinforcing Steel 				16.88%	pc/s </t>
  </si>
  <si>
    <t xml:space="preserve"> contact school BAC and school Head</t>
  </si>
  <si>
    <t xml:space="preserve"> Buyer: N.R. Abarquez</t>
  </si>
  <si>
    <t xml:space="preserve"> Bid Opening</t>
  </si>
  <si>
    <t xml:space="preserve"> 1.		Amlodipine 10 mg Tablet	60,000	Tablets	44,400.00	</t>
  </si>
  <si>
    <t xml:space="preserve"> contact BAC Secretariat for specs &amp; requirements</t>
  </si>
  <si>
    <t xml:space="preserve"> 1.	NAAT – LAMP Reagents and Consumables	37	Packages	2,035,000.00	Within 30 Calendar Days from receipt of the NTP	DOH – WV CHD</t>
  </si>
  <si>
    <t xml:space="preserve"> NOTE: ALL DOCUMENTS LISTED IN THE CHECKLIST SHOULD BE SUBMITTED REGARDLESS IF APPLICABLE OR NOT APPLICABLE.</t>
  </si>
  <si>
    <t xml:space="preserve"> https://drive.google.com/file/d/1utsLwDAM7fY6Wo2KJ3kb9AuAEHEHaFAO/view?usp=drivesdk</t>
  </si>
  <si>
    <t xml:space="preserve"> https://drive.google.com/file/d/12t0RccWPft6PPezw305z4yWToICCCDSi/view?usp=drivesdk</t>
  </si>
  <si>
    <t xml:space="preserve"> https://drive.google.com/file/d/1GIrH9MjU6PwBfOl2QTU6167fxrqg9CUT/view?usp=drivesdk</t>
  </si>
  <si>
    <t xml:space="preserve"> Bid Docs Fee P/5,000.00</t>
  </si>
  <si>
    <t xml:space="preserve"> Item No.	Description	Qty	Unit	ABC	Delivered	Delivery Site</t>
  </si>
  <si>
    <t xml:space="preserve"> Schedule of Bidding Activities: </t>
  </si>
  <si>
    <t xml:space="preserve"> Instruction for Suppliers on how to View/Download the document just go to the link below:</t>
  </si>
  <si>
    <t xml:space="preserve"> https://drive.google.com/file/d/1fuoLjFBwrV8_xOBwJew0SJOzxYJ6x7Mj/view?usp=drivesdk</t>
  </si>
  <si>
    <t xml:space="preserve"> https://drive.google.com/file/d/12WCBbtkIkSYNYgSvCmliGAf29R_LC-Ay/view?usp=drivesdk</t>
  </si>
  <si>
    <t xml:space="preserve"> For complete set/copy of Bidding Documents, please visit the BSP Website. Complete set of documents were not uploaded to this website due to file size restriction.</t>
  </si>
  <si>
    <t xml:space="preserve"> PLEASE SEE ATTACHED INVITATION TO BID.</t>
  </si>
  <si>
    <t xml:space="preserve"> The BAC shall issue bidding documents upon payment of Five Thousand Pesos Only (Php5,000.00) to the disbursing/collecting officer of the LGU.</t>
  </si>
  <si>
    <t xml:space="preserve"> https://drive.google.com/file/d/1NGgSBjYSAjVjHvGXnQV-OQkT7iCNLajk/view?usp=drivesdk</t>
  </si>
  <si>
    <t xml:space="preserve"> https://drive.google.com/file/d/1kpFv84I6SX3Z4y5zXDnTWJmGgd5-rmBb/view?usp=drivesdk</t>
  </si>
  <si>
    <t xml:space="preserve"> 2	unit	Brand New Dump Truck</t>
  </si>
  <si>
    <t xml:space="preserve"> Downloadables are available in the Associated Component / Supplemental Page</t>
  </si>
  <si>
    <t xml:space="preserve"> Bidding Documents may be secured from the BAC Secretariat, Office of the Municipal Treasurer – Supply Section upon payment to the MTO Cashier of a non-refundable amount of ₱ 5,000.00. </t>
  </si>
  <si>
    <t xml:space="preserve"> BAC Schedule of Activities</t>
  </si>
  <si>
    <t xml:space="preserve"> Kindly download the attached documents for the requirements and technical specifications.</t>
  </si>
  <si>
    <t xml:space="preserve"> https://drive.google.com/file/d/1C2RhrfeugkB5KkKNX9BXbtJ0bUeJwLav/view?usp=drivesdk</t>
  </si>
  <si>
    <t xml:space="preserve"> Please download canvass (RFQ) form/TOR, completely fill-out and submit either through any  of the following:</t>
  </si>
  <si>
    <t xml:space="preserve"> Bid Documents must be secured from the BAC Secretariat, Leyte SMED Center, Provincial Capitol Grounds, Tacloban City</t>
  </si>
  <si>
    <t xml:space="preserve"> https://drive.google.com/file/d/1FgxFXO2fKac2rDZlz4ST5QLROrrtvwqk/view?usp=drivesdk</t>
  </si>
  <si>
    <t xml:space="preserve"> https://drive.google.com/file/d/1ImxXzPDs1Oy7eNvrzlg5lFb65TvlZvui/view?usp=drivesdk</t>
  </si>
  <si>
    <t xml:space="preserve"> A complete set of bidding document may be purchased by interested bidders on June 24, 2020 to July 13, 2020 from the address below upon payment of a non-refundable fee for the bidding documents in the amount of P500.00</t>
  </si>
  <si>
    <t xml:space="preserve"> RFQ - Available @ Lungsodaan Brgy.  Hall</t>
  </si>
  <si>
    <t xml:space="preserve"> INQUIRE AT BAC OFFICE, MUNICIPAL HALL, TAMBULIG, ZAMBOANGA DEL SUR</t>
  </si>
  <si>
    <t xml:space="preserve"> https://drive.google.com/file/d/1h13dJ3YLNR4dO1Z_N0AJiqenSSfwS1-j/view?usp=drivesdk</t>
  </si>
  <si>
    <t xml:space="preserve"> GEO-TAGGING INFORMATION</t>
  </si>
  <si>
    <t xml:space="preserve"> https://drive.google.com/file/d/19lp6w8j2QJTlPUZOOCLQEsAt296DPd_R/view?usp=drivesdk</t>
  </si>
  <si>
    <t xml:space="preserve"> Bidding Documents are available to prospective bidders who purchase the bidding documents at the office of the Municipal Treasurer office of the Local Government Unit of magpet.</t>
  </si>
  <si>
    <t xml:space="preserve"> June 24, 2020 to July 13, 2020</t>
  </si>
  <si>
    <t xml:space="preserve"> https://drive.google.com/file/d/1kfijS5JprkC8ih6vNf-F5wN29UJJQExd/view?usp=drivesdk</t>
  </si>
  <si>
    <t xml:space="preserve"> https://drive.google.com/file/d/1ADWCCOsllwidSECrNwV2ifJO6aGwP_op/view?usp=drivesdk</t>
  </si>
  <si>
    <t xml:space="preserve"> General requirements - 1 lot</t>
  </si>
  <si>
    <t xml:space="preserve"> https://drive.google.com/file/d/1njlDjaXrTd7IRk8VoG-tThAF3eJcG_s4/view?usp=drivesdk</t>
  </si>
  <si>
    <t xml:space="preserve"> https://drive.google.com/file/d/1BLzW9kq3CQC1wOpc5Jbqpbj_6g7PQyFB/view?usp=drivesdk PLAN 20CN0073</t>
  </si>
  <si>
    <t xml:space="preserve"> https://drive.google.com/file/d/1rWvummZrOVami-x2dlQkxrmQaLVERnBU/view?usp=drivesdk</t>
  </si>
  <si>
    <t xml:space="preserve"> https://drive.google.com/file/d/1A1twUukyNq00Aj8vg_dFrswrop264mw7/view?usp=drivesdk</t>
  </si>
  <si>
    <t xml:space="preserve"> https://drive.google.com/file/d/1VVKXHVDODXRw3ObMhGIvJkwQDfBFO0i4/view?usp=drivesdk</t>
  </si>
  <si>
    <t xml:space="preserve"> Bidding date July 9,2020 @ 10:00am at HRMO Office</t>
  </si>
  <si>
    <t xml:space="preserve"> 1.    26  units Duplicating Machine </t>
  </si>
  <si>
    <t xml:space="preserve"> 1. Must provide a Free 3 Years LTO Registration</t>
  </si>
  <si>
    <t xml:space="preserve"> https://drive.google.com/file/d/1NceBnVCJsGEz3-vPWoT9_9LMAwI4QArf/view?usp=drivesdk</t>
  </si>
  <si>
    <t xml:space="preserve"> I.	DEMOLITION WORKS	1	LOT</t>
  </si>
  <si>
    <t xml:space="preserve"> https://drive.google.com/file/d/1wWEoxOGxH5xBWezKVSrW2O8EF9fX91Rw/view?usp=drivesdk</t>
  </si>
  <si>
    <t xml:space="preserve"> Health and Accident Insurance (BPATs)</t>
  </si>
  <si>
    <t xml:space="preserve"> 1.	All interested bidders/suppliers may now submit Eligibility Documents and other documents.</t>
  </si>
  <si>
    <t xml:space="preserve"> Deadline of Submission of Bidding Documents JULY 16, 2020 10:00AM</t>
  </si>
  <si>
    <t xml:space="preserve"> JULLIAN KYLE GONZAGA SAN MATEO</t>
  </si>
  <si>
    <t xml:space="preserve"> https://drive.google.com/file/d/1xWpasuCw5Ijgj4DnhBjS6o5hcC9kEyzq/view?usp=drivesdk</t>
  </si>
  <si>
    <t xml:space="preserve"> PLEASE SEE ATTACHED INVITATION TO BID AND TECHNICAL SPECIFICATIONS.</t>
  </si>
  <si>
    <t xml:space="preserve"> https://drive.google.com/file/d/1DEMe5Cci6h6wFnQ7hYDyTOQ2_-yzBPu3/view?usp=drivesdk</t>
  </si>
  <si>
    <t xml:space="preserve"> CONTACT: MRS. RHODORA A. SEGARANG AT ENGINEERING OFFICE</t>
  </si>
  <si>
    <t xml:space="preserve"> Please download ITB &amp; Biddocs in the Associated Components for reference.</t>
  </si>
  <si>
    <t xml:space="preserve"> BAC  Schedule of Activities		</t>
  </si>
  <si>
    <t xml:space="preserve"> https://drive.google.com/file/d/182Gs21Kbgh_2LCR9SetxnIk47OlqQ3ZI/view?usp=drivesdk</t>
  </si>
  <si>
    <t xml:space="preserve"> Interested bidders may obtain further information and inspect the Bidding Documents during office hours at 8:00 AM to 5:00 PM on June 24, 2020 to July 13, 2020 from the RBAC Secretariat, c/o Miriam D. Mapatac, Philippine Statistics Authority – Regional Statistical Services Office XIII, Freeman Building, J. C. Aquino Avenue, Butuan City with telephone numbers (085) 225-5219 or (085) 815-2878.</t>
  </si>
  <si>
    <t xml:space="preserve"> https://drive.google.com/file/d/14u_s5cdjsT-0oFeOw-o-afkLUEOL73Cv/view?usp=drivesdk</t>
  </si>
  <si>
    <t xml:space="preserve"> BAC Activities	Schedule	</t>
  </si>
  <si>
    <t xml:space="preserve"> https://drive.google.com/file/d/15UjV0kLCLW6PEUUbYGdRX6ksFIgN_rfr/view?usp=drivesdk</t>
  </si>
  <si>
    <t xml:space="preserve"> Please address your sealed envelope to the BAC, CHAIRMAN and submit the same to the PROCUREMENT MANAGEMENT OFFICE, Ground Floor, Main Building, Sta. Mesa, Manila. For more information, please call up 8713-15-04 or email us at procurementoffice@pup.edu.ph.</t>
  </si>
  <si>
    <t xml:space="preserve"> Prospective bidders should possess a valid PCAB License applicable to the contract, have completed a similar contract with a value of at least 50% of the ABC, and have key personnel and equipment (listed in the Eligibility Forms) available for the prosecution of the contract. The BAC will use non-discretionary pass/fail criteria in the Eligibility Check/Screening as well as the Preliminary Examination of Bids. The BAC will conduct post-qualification of the lowest calculated bid.</t>
  </si>
  <si>
    <t xml:space="preserve"> 1. Procurement is done by Lot.</t>
  </si>
  <si>
    <t xml:space="preserve"> Please see attached Bidding Documents for more details</t>
  </si>
  <si>
    <t xml:space="preserve"> Very Important Instruction:</t>
  </si>
  <si>
    <t xml:space="preserve"> associated components</t>
  </si>
  <si>
    <t xml:space="preserve"> Only the Project Manager will attend the Pre - Bid Conference.</t>
  </si>
  <si>
    <t xml:space="preserve"> LINKS to download the Terms of Reference</t>
  </si>
  <si>
    <t xml:space="preserve"> Submission &amp; Opening of Bids: </t>
  </si>
  <si>
    <t xml:space="preserve"> https://drive.google.com/file/d/1e6DXb35HM97E8BhE3hIbHZg7T1qnxfbe/view?usp=drivesdk</t>
  </si>
  <si>
    <t xml:space="preserve"> NO</t>
  </si>
  <si>
    <t xml:space="preserve"> EMERGENCY TRANSPORT MOTOR VEHICLE</t>
  </si>
  <si>
    <t xml:space="preserve"> Upon Purchase of Bidding Documents, please submit the following documents:</t>
  </si>
  <si>
    <t xml:space="preserve"> For Particulars: Inquire at BAC Secretariat of Barangay Zone IV Poblacion, Atimonan, Quezon</t>
  </si>
  <si>
    <t xml:space="preserve"> The Municipality of San Jose reserves the right to accept or reject any bid, to annual biding process and to reject all bids at any time prior to the contract award, without hereby any liability to the affected bidder or bidders.</t>
  </si>
  <si>
    <t xml:space="preserve"> please see attached documents</t>
  </si>
  <si>
    <t xml:space="preserve"> Kindly download the attached bidding documents for the requirements and specifications.</t>
  </si>
  <si>
    <t xml:space="preserve"> Kindly download the attached bidding documents for details of requirements and specifications.</t>
  </si>
  <si>
    <t xml:space="preserve"> A complete set of Bidding Documents may be acquired by interested June 22, 2020 to July 10, 2020 from the address below.</t>
  </si>
  <si>
    <t xml:space="preserve"> All interested bidders shall pay 5,000 for the bid docs</t>
  </si>
  <si>
    <t xml:space="preserve"> Prospective bidders should have experience in undertaking a similar project within the last (2) two years with an 				</t>
  </si>
  <si>
    <t xml:space="preserve"> Bid Opening: July 13, 2020 @ 09:00 a.m. at BAC Office, Dap-ay di Tubo, Poblacion, Tubo, Abra</t>
  </si>
  <si>
    <t xml:space="preserve"> Deadline of Submission of Bid Documents JULY 16 2020 10:00AM</t>
  </si>
  <si>
    <t xml:space="preserve"> Lot A 	3,115,922.75		</t>
  </si>
  <si>
    <t xml:space="preserve"> FOR INQUIRY PLEASE PROCEED TO BAC OFFICE</t>
  </si>
  <si>
    <t xml:space="preserve"> Please be informed that the Bid Documents can't be downloaded from the website. Interested bidders are requested to acquire the documents directly and personally from the Mayor's Office upon payment of a corresponding fee of Php5,000.00 for the said project at the Municipal Treasury Office.</t>
  </si>
  <si>
    <t xml:space="preserve"> Please see the attached file</t>
  </si>
  <si>
    <t xml:space="preserve"> See Associated Components</t>
  </si>
  <si>
    <t xml:space="preserve"> sEE aSSOCIATED COMPONENTS</t>
  </si>
  <si>
    <t xml:space="preserve"> for Documents</t>
  </si>
  <si>
    <t xml:space="preserve"> https://drive.google.com/file/d/1aewgzS7m_BpJ_0tU22M6zehXwKf-AJIH/view?usp=drivesdk</t>
  </si>
  <si>
    <t xml:space="preserve"> https://drive.google.com/file/d/11_UCrb3yyW5N-__uGVfTNhbHmHtcuFOm/view?usp=drivesdk</t>
  </si>
  <si>
    <t xml:space="preserve"> 88	pax	Venue Rental</t>
  </si>
  <si>
    <t xml:space="preserve"> Pls contact Bac Secretariat at 09750779875</t>
  </si>
  <si>
    <t xml:space="preserve"> https://drive.google.com/file/d/1TaEhUv6c4G5uao3Q6_TOF8_9F7CPs8pa/view?usp=drivesdk</t>
  </si>
  <si>
    <t xml:space="preserve"> https://drive.google.com/file/d/1T9hNS9BkMy9uw5-8jE3jmnKkLHR5G4P8/view?usp=drivesdk</t>
  </si>
  <si>
    <t xml:space="preserve"> Please download bid documents at:</t>
  </si>
  <si>
    <t xml:space="preserve"> Procurement is done by Lot.</t>
  </si>
  <si>
    <t xml:space="preserve"> Please see attached Program of Work</t>
  </si>
  <si>
    <t xml:space="preserve"> https://drive.google.com/file/d/1sjQcZX4Wa9Hw9DRH8cgMpLpaO4JQWWyZ/view?usp=drivesdk</t>
  </si>
  <si>
    <t xml:space="preserve"> 1. Pre-bid Conference - July 2, 2020 @ 10:00AM at ASSCAT Conference Room</t>
  </si>
  <si>
    <t xml:space="preserve"> ADDITIONAL INSTRUCTION TO BIDDERS:</t>
  </si>
  <si>
    <t xml:space="preserve"> https://drive.google.com/file/d/1k7bfe1ezGdY0c74rbuplkpkPBKAXvmvr/view?usp=drivesdk</t>
  </si>
  <si>
    <t xml:space="preserve"> https://drive.google.com/file/d/11EKfoINESiUX9FSb48IUsXIvlrNGVPQa/view?usp=drivesdk</t>
  </si>
  <si>
    <t xml:space="preserve"> https://drive.google.com/file/d/1iqy7hJY-Pl-PXMHh_-89lBekOlUW8ikN/view?usp=drivesdk</t>
  </si>
  <si>
    <t xml:space="preserve"> https://drive.google.com/file/d/1zmjJdPl3pRQds6gVBRrKihX6IxV61HoS/view?usp=drivesdk</t>
  </si>
  <si>
    <t xml:space="preserve"> NO GIFT ALLOWED. Pursuant to RA 6713, otherwise known as the Code of Conduct and Ethical Standards for Public Officials and Employees. The DSWD reserves the right to reject any or all offers at no costs, waive any therein and accept the offer most advantageous to the government.</t>
  </si>
  <si>
    <t xml:space="preserve"> Please see attached bidding documents for details.</t>
  </si>
  <si>
    <t xml:space="preserve"> Only Authorized personnel are allowed to purchase bidding documents. Please bring authorization letter from the company/contractor/supplier, valid ID or company ID</t>
  </si>
  <si>
    <t xml:space="preserve"> 2019-LGSF-AM</t>
  </si>
  <si>
    <t xml:space="preserve"> For Inquiries Please contact Ms. Anabel Alis Basas BAC Secretariat @09500981535</t>
  </si>
  <si>
    <t xml:space="preserve"> ALL INTERESTED BIDDERS ARE REQUIRED TO SUBMIT THEIR COMPLETE ELIGIBILITY REQUIREMENTS TO THE BAC FOR EVALUATION DURING THE PRE-BID CONFERENCE ON JUNE 29, 2020 9:00A.M. AT THE BAC SECRETARIAT OFFICE, 2ND FLOOR, CITY HALL OF DASMARIÑAS, CAVITE. BIDDERS WHO SHALL FAIL TO ATTEND THE PRE-BID SHALL NOT BE ALLOWED TO JOIN THE BIDDING FOR THE AFORESAID PROJECT. </t>
  </si>
  <si>
    <t xml:space="preserve"> https://drive.google.com/file/d/1g1EltkLI4xpC6vl2UIczibrpA6XuWU8G/view?usp=drivesdk</t>
  </si>
  <si>
    <t xml:space="preserve"> Issuance of bid documents - June 22, 2020- July 14, 2020</t>
  </si>
  <si>
    <t xml:space="preserve"> https://drive.google.com/file/d/1e8CLQyIyyKO-cT_fLi6gEQ2FPvt-QFmn/view?usp=drivesdk</t>
  </si>
  <si>
    <t xml:space="preserve"> The BAC will issue to prospective bidders Eligibility Forms and Bid Documents at the Office of the BAC Secretariat, LGU Gattaran, Cagayan, upon their submission of a LOI, and upon their payment of a non-refundable amount of Php 10,000.00 to the Municipal Treasurer of the local Government Unit of Gattaran.</t>
  </si>
  <si>
    <t xml:space="preserve"> Plans:</t>
  </si>
  <si>
    <t xml:space="preserve"> 1. Please Download ITB and bidding documents in the associated component</t>
  </si>
  <si>
    <t xml:space="preserve"> Prospective bidders are encouraged to attend the prebid conference as scheduled.</t>
  </si>
  <si>
    <t xml:space="preserve"> For more information, please contact barangay treasurer - 09432418991</t>
  </si>
  <si>
    <t xml:space="preserve"> It may also be downloaded free of charge from the website of the Bangko Sentral ng Pilipinas (www.bsp.gov.ph) provided that bidders shall pay the applicable fee for the Bidding Documents not later than the submission of their bids.</t>
  </si>
  <si>
    <t xml:space="preserve"> Bid opening on July 15, 2020 at 9:00A.M at the Municipal Hall.</t>
  </si>
  <si>
    <t xml:space="preserve"> PLEASE SUBMIT YOUR LETTER ON INTENT ON OR BEFORE THE PRE-BID CONFERENCE AT THE BRK OFFICE.</t>
  </si>
  <si>
    <t xml:space="preserve"> Please copy the LINK below for the PLAN</t>
  </si>
  <si>
    <t xml:space="preserve"> Procurement of Office Supplies for Barangay Magallanes use :</t>
  </si>
  <si>
    <t xml:space="preserve"> The schedule of key procurement activities for this Contract is shown below:  </t>
  </si>
  <si>
    <t xml:space="preserve"> PLEASE SEE SIMILAR INFORMATION POSTED AT THE WEBSITE OF THE PROCURING ENTITY</t>
  </si>
  <si>
    <t xml:space="preserve"> ITB20-06-027A</t>
  </si>
  <si>
    <t xml:space="preserve"> Issuance of Bid Documents  : 8:00AM - 5:00PM June 20, 2020 to 8:00AM - 10:00AM, July 14, 2020</t>
  </si>
  <si>
    <t xml:space="preserve"> Pre-bid Conference is on 01 July 2020 12:00PM Katapatan Conference Room (Boardroom), 4th Floor, DSWD Central Office, IBP Road, Constitution Hills, Quezon City</t>
  </si>
  <si>
    <t xml:space="preserve"> Please see attached Part I of the Bidding Documents</t>
  </si>
  <si>
    <t xml:space="preserve"> Pre-Bid Conference will be held at the BAC Office, DPWH Masbate 1st District Engineering Office, San Fernando, Masbate on June 30, 2020 at 10:00 a.m.</t>
  </si>
  <si>
    <t xml:space="preserve"> ITB20-06-027C</t>
  </si>
  <si>
    <t xml:space="preserve"> ITB20-06-027D</t>
  </si>
  <si>
    <t xml:space="preserve"> ITB20-06-027B</t>
  </si>
  <si>
    <t xml:space="preserve"> To View the bidding Document Please Click</t>
  </si>
  <si>
    <t xml:space="preserve"> https://drive.google.com/file/d/1GBnCKlFUU7WJFmurh7jhovYgTzJRsK3o/view?usp=drivesdk</t>
  </si>
  <si>
    <t xml:space="preserve"> Also available at the DPWH Website</t>
  </si>
  <si>
    <t xml:space="preserve"> https://drive.google.com/file/d/1uQqXD516dNKnvDd6UWB5LkvygVnoGM3K/view?usp=drivesdk</t>
  </si>
  <si>
    <t xml:space="preserve"> to view the bidding documents click: https://drive.google.com/file/d/1w18odiMeWWvy7umz_0ndFUjLrsu9WsDN/view?usp=drivesdk</t>
  </si>
  <si>
    <t xml:space="preserve"> To view the Bid Docs Click: </t>
  </si>
  <si>
    <t xml:space="preserve"> To View the Bidding Document Please Click</t>
  </si>
  <si>
    <t xml:space="preserve"> 1 unit	Hanging Cabinet</t>
  </si>
  <si>
    <t xml:space="preserve"> The ERC now invites suppliers to submit their best offer or quotation</t>
  </si>
  <si>
    <t xml:space="preserve"> MTO:</t>
  </si>
  <si>
    <t xml:space="preserve"> BIDDERS MUST DOWNLOAD THE ATTACHED DOCUMENT IN THE ASSOCIATED COMPONENT SECTION.</t>
  </si>
  <si>
    <t xml:space="preserve"> https://drive.google.com/file/d/1wJVT4G7yWGZFl5iUNHBhypmMMO_0jq_g/view?usp=drivesdk</t>
  </si>
  <si>
    <t xml:space="preserve"> to view the bidding document please click</t>
  </si>
  <si>
    <t xml:space="preserve"> To view the bidding document, please click https://drive.google.com/file/d/1jkO_l-ddDaGVjvKY7uCOw9w4vlc04RTs/view?usp=drivesdk</t>
  </si>
  <si>
    <t xml:space="preserve"> - kindly submit the basic documents, as such (1) DTI/SEC/CDA Registration; (2) Tax Clearance; (3) PhilGeps Registration; and (4) Mayor's Permit</t>
  </si>
  <si>
    <t xml:space="preserve"> - kindly submit the 4 basic documents as such: (1) DTI, SEC, CDA Registration; (2) Tax Clearance; (3) Philgeps Registration; and (4) Mayor's Permit with bid proposal</t>
  </si>
  <si>
    <t xml:space="preserve"> To view the bidding document, please click https://drive.google.com/file/d/1fNJxMdJsSxRdXdz8U2bWL_JG4CHEhqVg/view?usp=drivesdk</t>
  </si>
  <si>
    <t xml:space="preserve"> PROCUREMENT ACTIVITIES	DATE	TIME (BFAR8 2nd floor Biometric Clock)	VENUE</t>
  </si>
  <si>
    <t xml:space="preserve"> Cost of Bid Docs: Php 5,000.00</t>
  </si>
  <si>
    <t xml:space="preserve"> 6. https://drive.google.com/file/d/13ISk4cm87N-gW_QwvP1dS3AWj0FQ2boN/view?usp=drivesdk</t>
  </si>
  <si>
    <t xml:space="preserve"> 4. https://drive.google.com/file/d/1QvTYXPAnIMcgu61iz8h4Yo2NAtXD04Gj/view?usp=drivesdk</t>
  </si>
  <si>
    <t xml:space="preserve"> 3. https://drive.google.com/file/d/1sH0MJGvJzGWCuaKj_TH7ROGOsvGRHu0v/view?usp=drivesdk</t>
  </si>
  <si>
    <t xml:space="preserve"> 5. https://drive.google.com/file/d/1AZ3I3xwvpydi48yZEpmd24xiEvDXVx69/view?usp=drivesdk</t>
  </si>
  <si>
    <t xml:space="preserve"> to view the bidding documents;https://drive.google.com/file/d/1SWOd9A2dVxC75dCkWxtdDtaVFfpGp-SX/view?usp=drivesdk</t>
  </si>
  <si>
    <t xml:space="preserve"> https://drive.google.com/file/d/1pBqou3gob9Y36d4KbKTcO5A7SWTevPTM/view?usp=drivesdk</t>
  </si>
  <si>
    <t xml:space="preserve"> 15. https://drive.google.com/file/d/1RoOk8GzttOXbuvehYn_FYJaGdyOiA7rw/view?usp=drivesdk</t>
  </si>
  <si>
    <t xml:space="preserve"> 1. https://drive.google.com/file/d/13ev0UFkHXGWa4F9yFXDdUUQupLVZZs3y/view?usp=drivesdk</t>
  </si>
  <si>
    <t xml:space="preserve"> to view the bidding documents click https://drive.google.com/file/d/1w5vdyBqRDlr9fQA_hxPBnN9GgXlirp_V/view?usp=drivesdk</t>
  </si>
  <si>
    <t xml:space="preserve"> 13. https://drive.google.com/file/d/1vR9XN4ymdCD3X63gRfSkiZOkPPWPJgHx/view?usp=drivesdk</t>
  </si>
  <si>
    <t xml:space="preserve"> to view the bidding documents;https://drive.google.com/file/d/1NpOGGmLElD0yQJP2gNJ1L5rRGq0zauPu/view?usp=drivesdk</t>
  </si>
  <si>
    <t xml:space="preserve"> to view the bidding documents;https://drive.google.com/file/d/1FG5-KnZ4qKhgUyMSbxwU22Umr9_euwMy/view?usp=drivesdk</t>
  </si>
  <si>
    <t xml:space="preserve"> 12.  https://drive.google.com/file/d/138NiCCcoPcwewCvhkFJM4x6X_rGZNz1H/view?usp=drivesdk</t>
  </si>
  <si>
    <t xml:space="preserve"> to view the bidding documents;https://drive.google.com/file/d/1Wh61m2KjMNDSHw1NLV7J46YHQiTPKAQS/view?usp=drivesdk</t>
  </si>
  <si>
    <t xml:space="preserve"> 10. https://drive.google.com/file/d/1YZld1GY_lxhwfm9lIwPrTIAygmS-l8rT/view?usp=drivesdk</t>
  </si>
  <si>
    <t xml:space="preserve"> 14. https://drive.google.com/file/d/1H8QpXmEvfUxRUiu_F__JomOtFGWzN_rI/view?usp=drivesdk</t>
  </si>
  <si>
    <t xml:space="preserve"> 11. https://drive.google.com/file/d/1FTiU1xBJpBMXfz_AfshyqMIN13flTXfG/view?usp=drivesdk</t>
  </si>
  <si>
    <t xml:space="preserve"> 8. https://drive.google.com/file/d/1gobUix9EeYU1X_itrMojR7zXL2LsULNy/view?usp=drivesdk</t>
  </si>
  <si>
    <t xml:space="preserve"> 7. https://drive.google.com/file/d/19Pqc9hBi10E2A9rx8v2zQDb6fcV20xZN/view?usp=drivesdk</t>
  </si>
  <si>
    <t xml:space="preserve"> 9. https://drive.google.com/file/d/1VTOy7rFzWlJCUBQXchcxTtQTRN-EYeGE/view?usp=drivesdk</t>
  </si>
  <si>
    <t xml:space="preserve"> 2. https://drive.google.com/file/d/1uZAEbQi9aJpffSA7HPOaiMPc28hPNqtR/view?usp=drivesdk</t>
  </si>
  <si>
    <t xml:space="preserve"> 2nd Publication</t>
  </si>
  <si>
    <t xml:space="preserve"> For UOM of Lots 4 to 9:</t>
  </si>
  <si>
    <t xml:space="preserve"> For the additional requirements (Eligibility, Technical and Financial list of required documents) you may send an email to pgss.embregion3@gmail.com</t>
  </si>
  <si>
    <t xml:space="preserve"> 1.  Issuance of Bid Documents	June 23, 2020</t>
  </si>
  <si>
    <t xml:space="preserve"> 26. https://drive.google.com/file/d/1Em876bz8t6q2NZ3CgavxqN5TXB2VkC6G/view?usp=drivesdk</t>
  </si>
  <si>
    <t xml:space="preserve"> Bidders must download the attached documents associated in the component section.</t>
  </si>
  <si>
    <t xml:space="preserve"> 23. https://drive.google.com/file/d/1e9fm3VQUtKu6VMkS9VqLzdbfJTVJyRhS/view?usp=drivesdk</t>
  </si>
  <si>
    <t xml:space="preserve"> 22. https://drive.google.com/file/d/1R0kN0yJy9hrAZPzkgbyONhENiYdQbbYL/view?usp=drivesdk</t>
  </si>
  <si>
    <t xml:space="preserve"> 21. https://drive.google.com/file/d/1oZZRv2k5qxVy8A2Ml9ggqWsipET4j5nw/view?usp=drivesdk</t>
  </si>
  <si>
    <t xml:space="preserve"> 25. https://drive.google.com/file/d/1VenIsOBbysq38uejNA7jd5WieVYfjbaT/view?usp=drivesdk</t>
  </si>
  <si>
    <t xml:space="preserve"> 20. https://drive.google.com/file/d/1bP7N-O9p6A8aRRYFxmaLLwACQ3_DC6ly/view?usp=drivesdk</t>
  </si>
  <si>
    <t xml:space="preserve"> The BAC is conducting the public bidding for this Contract in accordance with Republic Act NO. 9184 and its implementing Rules and Regulations (IRR).</t>
  </si>
  <si>
    <t xml:space="preserve"> 32. https://drive.google.com/file/d/1YZeSY2QmQ26gvjZ_3VM4Wsp52_cjAkPz/view?usp=drivesdk</t>
  </si>
  <si>
    <t xml:space="preserve"> 27. https://drive.google.com/file/d/103f9_gphXSOV62ETU_vgrmwXC_ZWjEXs/view?usp=drivesdk</t>
  </si>
  <si>
    <t xml:space="preserve"> 31. https://drive.google.com/file/d/1mxaJ8S-SirvgCMV3QKkAMBlQTnfaejEW/view?usp=drivesdk</t>
  </si>
  <si>
    <t xml:space="preserve"> 30. https://drive.google.com/file/d/1JbE1bDgdPlkjVgnoKcxCn6LzY3oEpjVa/view?usp=drivesdk</t>
  </si>
  <si>
    <t xml:space="preserve"> 36. https://drive.google.com/file/d/1YVHC2JLzkpHy1TndhyqOEBVF2KMYcsHZ/view?usp=drivesdk</t>
  </si>
  <si>
    <t xml:space="preserve"> 24. https://drive.google.com/file/d/15BBL9xmbxQeZ4cenUhhxkrldcLbNaUFP/view?usp=drivesdk</t>
  </si>
  <si>
    <t xml:space="preserve"> 35. https://drive.google.com/file/d/10Bs61ZYnoxw_k5IcjG3tG5PGmkOgdbS-/view?usp=drivesdk</t>
  </si>
  <si>
    <t xml:space="preserve"> 43. https://drive.google.com/file/d/10BCfuDjHLObebu2Dc_kRio-kdw51_kGC/view?usp=drivesdk</t>
  </si>
  <si>
    <t xml:space="preserve"> INSTRUCTION:</t>
  </si>
  <si>
    <t xml:space="preserve"> 42. https://drive.google.com/file/d/1RSwZwZLAMtCfHWvFXgZGLO_OY3UBX_12/view?usp=drivesdk</t>
  </si>
  <si>
    <t xml:space="preserve"> 39. https://drive.google.com/file/d/1K6DFrc30g6nvF37E-qm-CaPj95i38Tml/view?usp=drivesdk</t>
  </si>
  <si>
    <t xml:space="preserve"> 40. https://drive.google.com/file/d/1GJFoODUr7yCdjw399PBI8Rs3eOf9i6_U/view?usp=drivesdk</t>
  </si>
  <si>
    <t xml:space="preserve"> 41. https://drive.google.com/file/d/14o6fPtf74_OOAo10mu5ox4LxX4SDZ0i7/view?usp=drivesdk</t>
  </si>
  <si>
    <t xml:space="preserve"> 38. https://drive.google.com/file/d/1EqfeyuTWxDs-j0y9DzNQVW2c70akqimQ/view?usp=drivesdk</t>
  </si>
  <si>
    <t xml:space="preserve"> 34. https://drive.google.com/file/d/1Ebl4qYNeWRV0NN1Sft_ykifNDE9DnhI4/view?usp=drivesdk</t>
  </si>
  <si>
    <t xml:space="preserve"> 29. https://drive.google.com/file/d/1GFriRcqf1BbldME0Mq_ACwq8qywhCQ-D/view?usp=drivesdk</t>
  </si>
  <si>
    <t xml:space="preserve"> The Municipal Government of Dauin, Negros Oriental, through MO, intends to apply the sum listed above being the Approved Budget of the Contract (ABC) to payments for the delivery of goods and materials and the procurements of materials of the above listed projects. Bids received in excess of the ABC shall be automatically rejected at Bid opening.</t>
  </si>
  <si>
    <t xml:space="preserve"> 33. https://drive.google.com/file/d/1nBqg_TBjL9zy4N1bBPHgZeNxq6pgy7KG/view?usp=drivesdk</t>
  </si>
  <si>
    <t xml:space="preserve"> 28. https://drive.google.com/file/d/1zbx_-T51ntcXh_zgz_QUYquMbF-ET06o/view?usp=drivesdk</t>
  </si>
  <si>
    <t xml:space="preserve"> 1. ISSUANCE OF BID DOCUMENTS - JUNE 19, 2020 - JULY 8, 2020</t>
  </si>
  <si>
    <t xml:space="preserve"> Prospective bidders should have the experience in undertaking a similar contract within the last five (5) years. Bidding will be conducted through open competitive bidding procedures using a non – discretionary “Pass/Fail” criterion as specified under Implementing Rules and Regulation of R.A 9184 otherwise known as the “Government Procurement Reform Act”</t>
  </si>
  <si>
    <t xml:space="preserve"> 1. ISSUANCE OF BID DOCUMENTS - JUNE 19, 2000 - JULY 8, 2000</t>
  </si>
  <si>
    <t xml:space="preserve"> Please be informed that the Bid Documents can’t be downloaded from the website. Prospective bidders are requested to acquire the documents directly and personally from the BAC Secretariat upon payment at the Barangay Treasurer a corresponding fee of Php500.00 for the said project.</t>
  </si>
  <si>
    <t xml:space="preserve"> 37. https://drive.google.com/file/d/1one7NeL7s9dnLnZuVdWfY2Gr5d9jBI8C/view?usp=drivesdk</t>
  </si>
  <si>
    <t xml:space="preserve"> 1 set Biodegradable Heavy Duty Shredder with Trailer</t>
  </si>
  <si>
    <t xml:space="preserve"> https://drive.google.com/file/d/1c3lBxtkMXgk8re2ajgyjKtE7XnlH42p1/view?usp=drivesdk</t>
  </si>
  <si>
    <t xml:space="preserve"> https://drive.google.com/file/d/1GCtDHNh1YjaCLkYYSv_MiEALq6q6MIhV/view?usp=sharing</t>
  </si>
  <si>
    <t xml:space="preserve"> https://drive.google.com/file/d/1E6FzbCyeTt3tpjyJoFU5UILWfuY01YwF/view?usp=drivesdk</t>
  </si>
  <si>
    <t xml:space="preserve"> https://drive.google.com/file/d/1tEPf2v14hKUD0Ci-9BGemRJSpo9kFoj2/view?usp=sharing</t>
  </si>
  <si>
    <t xml:space="preserve"> https://drive.google.com/file/d/1Jwq7DIc8jhatD84LmUXUiUTlLn8XClbn/view?usp=drivesdk</t>
  </si>
  <si>
    <t xml:space="preserve"> https://drive.google.com/file/d/1sMECckpmOlfhdWAf2UXB9gEW6nOwaPu2/view?usp=sharing</t>
  </si>
  <si>
    <t xml:space="preserve"> https://drive.google.com/file/d/1cyvXay_Qjyjd0quDVYidk_dIsFxTcRfr/view?usp=sharing</t>
  </si>
  <si>
    <t xml:space="preserve"> Any requests for additional information concerning this bidding shall be directed to the following:</t>
  </si>
  <si>
    <t xml:space="preserve"> https://drive.google.com/file/d/1uhCL24oTGi3QPGIub_vtbQygUgkq5ylO/view?usp=sharing</t>
  </si>
  <si>
    <t xml:space="preserve"> BAC ACTIVITIES	SCHEDULE</t>
  </si>
  <si>
    <t xml:space="preserve"> Submission of Letter of Intent						June 18-20,2020		</t>
  </si>
  <si>
    <t xml:space="preserve"> 19. https://drive.google.com/file/d/1yLj6B7-XMX3weFLgrvc_qSdyzy11Y1mo/view?usp=drivesdk</t>
  </si>
  <si>
    <t xml:space="preserve"> 18. https://drive.google.com/file/d/1ZvCoRYyw5APrP5kxWwas799eqKwFCofX/view?usp=drivesdk</t>
  </si>
  <si>
    <t xml:space="preserve"> 16. https://drive.google.com/file/d/1wSFZDfWu2jaQePzJ3_oaLHGMhk5Hv8aO/view?usp=drivesdk</t>
  </si>
  <si>
    <t xml:space="preserve"> You may email publicbidding.dohchd5@gmail.com, for a copy of the bidding documents</t>
  </si>
  <si>
    <t xml:space="preserve"> 17. https://drive.google.com/file/d/1bn6Oc1NeuCkWgKiKqQqBHaMwoWMKiMJ2/view?usp=drivesdk</t>
  </si>
  <si>
    <t xml:space="preserve"> Approved Budget for the Contract - Php 1,088,200.00</t>
  </si>
  <si>
    <t xml:space="preserve"> To View The Bidding document, pleas Click</t>
  </si>
  <si>
    <t xml:space="preserve"> to view the bidding documents, please click</t>
  </si>
  <si>
    <t xml:space="preserve"> Please be informed that the Bid Documents can’t be downloaded from the website. Prospective bidders are requested to acquire the documents directly and personally from the BAC Secretariat upon payment at the Municipal Treasury Office a corresponding fee of Php500.00 for the said project.</t>
  </si>
  <si>
    <t xml:space="preserve"> Issuance of Bidding Documents starts June 19, 2020 until 1:00 PM of July 10, 2020</t>
  </si>
  <si>
    <t xml:space="preserve"> Bid Documents are available at the Office of the Punong Barangay</t>
  </si>
  <si>
    <t xml:space="preserve"> to view the bidding documents please click</t>
  </si>
  <si>
    <t xml:space="preserve"> Bid Documents are available at the office of the Punong Barangay</t>
  </si>
  <si>
    <t xml:space="preserve"> To View The Bidding DOcument Please Click</t>
  </si>
  <si>
    <t xml:space="preserve"> https://drive.google.com/file/d/15WgbD9r9mGknLYKA88Cqrr7KRkx74-5f/view?usp=drivesdk</t>
  </si>
  <si>
    <t xml:space="preserve"> Prospective bidders in need for the further information may forward their inquiry to:</t>
  </si>
  <si>
    <t xml:space="preserve"> https://drive.google.com/file/d/16AY2o7TWjfIcU9vEGpM2sP6ThdGFUtnO/view?usp=drivesdk</t>
  </si>
  <si>
    <t xml:space="preserve"> https://drive.google.com/file/d/1zTdqxupiH63cVNV_5BTCO7IqxFXlWdfS/view?usp=drivesdk</t>
  </si>
  <si>
    <t xml:space="preserve"> Issuance of Bidding Documents starts June 19, 2020 until 1:00 PM of July 10,2020</t>
  </si>
  <si>
    <t xml:space="preserve"> CONTACT 09460493915</t>
  </si>
  <si>
    <t xml:space="preserve"> https://drive.google.com/file/d/1CKHVB8l5t6ToHsV3vU0q9A6Ly_XyVa-Z/view?usp=drivesdk</t>
  </si>
  <si>
    <t xml:space="preserve"> Pre-bid conference will be on June 26, 2020, 2:00 pm at MPDO, Municipal Hall, Sibulan, Negros Oriental and Opening of bids will be on July 8, 2020, 2:00 pm at the same venue.</t>
  </si>
  <si>
    <t xml:space="preserve"> To view the bidding documents click: https://drive.google.com/file/d/1oGT9VScQB4wVly4poJVwMWQddbLdN8KE/view?usp=drivesdk</t>
  </si>
  <si>
    <t xml:space="preserve"> Contact 09460493915</t>
  </si>
  <si>
    <t xml:space="preserve"> BILL OF MATERIALS</t>
  </si>
  <si>
    <t xml:space="preserve"> to view the Bidding Documents Click: </t>
  </si>
  <si>
    <t xml:space="preserve"> Double Cab Truck w/ Customized Casket Compartment</t>
  </si>
  <si>
    <t xml:space="preserve"> BLUE GUARD SECURITY</t>
  </si>
  <si>
    <t xml:space="preserve"> Service Vehicle (Pick up)</t>
  </si>
  <si>
    <t xml:space="preserve"> https://drive.google.com/file/d/1zrp1afFeuG68utHQzMRQmEEQZrzOhTvP/view?usp=drivesdk</t>
  </si>
  <si>
    <t xml:space="preserve"> Please see bidding documents for details</t>
  </si>
  <si>
    <t xml:space="preserve"> CONTANT 09460493915</t>
  </si>
  <si>
    <t xml:space="preserve"> https://drive.google.com/file/d/1cxQq67r4NP-pZZP6-OveA_8yCW2vFu1p/view?usp=drivesdk</t>
  </si>
  <si>
    <t xml:space="preserve"> https://drive.google.com/file/d/18gdKDTCFnfb44H_RYV_RE_OqQXnhYVb9/view?usp=drivesdk</t>
  </si>
  <si>
    <t xml:space="preserve"> Also available in DPWH Website</t>
  </si>
  <si>
    <t xml:space="preserve"> To view the bidding document, please click </t>
  </si>
  <si>
    <t xml:space="preserve"> https://drive.google.com/file/d/1voToBdmMNtiUrQpSqwnFkcnagrGiS1PE/view?usp=drivesdk</t>
  </si>
  <si>
    <t xml:space="preserve"> https://drive.google.com/file/d/1j91SFdQHtebmWXUCcdZU_txECvXHy_aZ/view?usp=drivesdk</t>
  </si>
  <si>
    <t xml:space="preserve"> Please see attached files @ Other Information</t>
  </si>
  <si>
    <t xml:space="preserve"> Transformer w/ Installation and Metering</t>
  </si>
  <si>
    <t xml:space="preserve"> Please use and submit the attached prescribed Request for Quotation form</t>
  </si>
  <si>
    <t xml:space="preserve"> Reference: PR No: 20-06-004</t>
  </si>
  <si>
    <t xml:space="preserve"> Reference: PR No: 20-06-005</t>
  </si>
  <si>
    <t xml:space="preserve"> https://drive.google.com/file/d/1dboRQA-qgq6OZwNiIuDkwfdJ-eF1sEqa/view?usp=drivesdk</t>
  </si>
  <si>
    <t xml:space="preserve"> The Works consists of Concreting of 164.00m long x 6.10m wide x 0.20m thick Plain PCCP Provincial Road; Provision of 15.00 l.m. (6.09 cu.m.) stone masonry headwall and 13.65 cu.m. catch basin and 11.00 l.m. 910mmøRCPC.</t>
  </si>
  <si>
    <t xml:space="preserve"> The Works consists of Concreting of 200.00m long x 3.0m wide x0.15m thick PCCP Plain.</t>
  </si>
  <si>
    <t xml:space="preserve"> BID OPENING JULY 10, 2020 - 10:00AM AT LUMBANG, PILAR, SORSOGON</t>
  </si>
  <si>
    <t xml:space="preserve"> 20CE0221: Construction of 1STY2CL, Maragol IS, Science City of Muñoz, Nueva Ecija; Invitation to Bid including Plans and other Supporting Docs</t>
  </si>
  <si>
    <t xml:space="preserve"> 20CE0219: Construction of 3STY15CL, Cuyapo CS, Cuyapo, Nueva Ecija; Invitation to Bid including Plans and other Supporting Docs</t>
  </si>
  <si>
    <t xml:space="preserve"> 20CE0217: Construction of 2STY8CL, Guimba West CS, Guimba, Nueva Ecija; Invitation to Bid including Plans and other Supporting Docs</t>
  </si>
  <si>
    <t xml:space="preserve"> https://drive.google.com/file/d/1x7OPivf3mOb5L7PLAQS6YHMQ342ists9/view?usp=drivesdk</t>
  </si>
  <si>
    <t xml:space="preserve"> 20CE0218: Construction of 2STY6CL, Doroteo R. Jose Elementary School, Cuyapo, Nueva Ecija; Invitation to Bid including Plans and other Supporting Docs</t>
  </si>
  <si>
    <t xml:space="preserve"> Submission of sealed envelopes and opening of bids: July 15, 2020/ 10:00 A.M./ Alimodian Municipal Conference Room</t>
  </si>
  <si>
    <t xml:space="preserve"> 20CE0220: Construction of 2STY4CL, Muñoz National High School (Annex), Science City of Muñoz, Nueva Ecija; Invitation to Bid including Plans and other Supporting Docs</t>
  </si>
  <si>
    <t xml:space="preserve"> Availability of Bid Documents: June 27 - July 16, 2020; 8:00 AM-5:00 PM; Monday through Friday</t>
  </si>
  <si>
    <t xml:space="preserve"> https://drive.google.com/file/d/1LORpBpRXvghYZ-S22Ljss5nYPUwtSdhb/view?usp=drivesdk</t>
  </si>
  <si>
    <t xml:space="preserve"> CO-Mayor's Office</t>
  </si>
  <si>
    <t xml:space="preserve"> Please submit the letter of intent on or before July 6, 2020 at the Pre-Bid Conference.</t>
  </si>
  <si>
    <t xml:space="preserve"> at brgy Mambajao, Maasin City, Southern Leyte</t>
  </si>
  <si>
    <t xml:space="preserve"> at brgy Nonok Norte, Maasin City, Southern Leyte</t>
  </si>
  <si>
    <t xml:space="preserve"> at brgy Sta. Cruz, Maasin City, Southern Leyte</t>
  </si>
  <si>
    <t xml:space="preserve"> THE CHAIRMAN</t>
  </si>
  <si>
    <t xml:space="preserve"> To view the bidding document, please click https://drive.google.com/file/d/1peBoCUM9Li8pqHCHdLWoJBuXucZEFG6Z/view?usp=drivesdk</t>
  </si>
  <si>
    <t xml:space="preserve"> at brgy Tunga-tunga, Maasin City, Southern Leyte</t>
  </si>
  <si>
    <t xml:space="preserve"> 7300 tank Medical Oxygen, 50lbs.</t>
  </si>
  <si>
    <t xml:space="preserve"> Please Download the Associated Components</t>
  </si>
  <si>
    <t xml:space="preserve"> Bid Documents</t>
  </si>
  <si>
    <t xml:space="preserve"> https://drive.google.com/file/d/1odri7x4MrX46g7qm1mOXqqYu4UIRF9jG/view?usp=drivesdk</t>
  </si>
  <si>
    <t xml:space="preserve"> at brgy Tam-is (Upper), Maasin City, Southern Leyte</t>
  </si>
  <si>
    <t xml:space="preserve"> The BAC is conducting the public bidding for this Contract in accordance with RA 9184 and its Implementing Rules and Regulations.</t>
  </si>
  <si>
    <t xml:space="preserve"> THE SUPPLIER MUST DOWNLOAD THE ATTACHED DOCUMENTS IN THE ASSOCIATED COMPONENTS.</t>
  </si>
  <si>
    <t xml:space="preserve"> SOURCE OF FUND: 20% Municipal Development Fund (MDF) CY 2020</t>
  </si>
  <si>
    <t xml:space="preserve"> uploaded docs are also available in DPWH website</t>
  </si>
  <si>
    <t xml:space="preserve"> https://drive.google.com/file/d/1q_H3Gby0V2RhQMCPg6VML7gZjXibwc7h/view?usp=drivesdk</t>
  </si>
  <si>
    <t xml:space="preserve"> https://drive.google.com/file/d/1W4I-xRSFGBBR1xVfWoSWemkd-ktbO9kk/view?usp=drivesdk</t>
  </si>
  <si>
    <t xml:space="preserve"> Brand names of all items must be indicated in the bid.</t>
  </si>
  <si>
    <t xml:space="preserve"> https://drive.google.com/file/d/14X7lI0lhEXQgWx6ObnrjILgs4fA7guIs/view?usp=drivesdk</t>
  </si>
  <si>
    <t xml:space="preserve"> https://drive.google.com/file/d/1h9J8A7fULSmscmKIXodtbthUk_fjRK4c/view?usp=drivesdk</t>
  </si>
  <si>
    <t xml:space="preserve"> quotation shall be submitted via email (lbphobac@mail.landbank.com) not later than June 23,2020, 3:00PM</t>
  </si>
  <si>
    <t xml:space="preserve"> at brgy Tam-is (Lower), Maasin City, Southern Leyte</t>
  </si>
  <si>
    <t xml:space="preserve"> at brgy Bato I, Maasin City, Southern Leyte</t>
  </si>
  <si>
    <t xml:space="preserve"> The PRO 7 BAC will issue a complete set of Bidding Documents upon payment in cash of a non-refundable amount of Five Thousand Pesos (₱ 5,000.00) for the project with ABC of 1M-5M.Prospective Bidders may obtain further information at the PRO 7-BAC Secretariat, PRO 7, Camp Sergio Osmeña Sr., Cebu City at telephone numbers (032) 255-0364 Look for PSSg Ryan D Delos Reyes.</t>
  </si>
  <si>
    <t xml:space="preserve"> at DANAO, brgy Malapoc Norte, Maasin City, Southern Leyte</t>
  </si>
  <si>
    <t xml:space="preserve"> https://drive.google.com/file/d/1mnGRVBqsCwu69iqhrTZkVvKPCHGe6umI/view?usp=drivesdk</t>
  </si>
  <si>
    <t xml:space="preserve"> a.	Improvt. of Donsol District Hospital Grounds (Landscaping)	650,000.00</t>
  </si>
  <si>
    <t xml:space="preserve"> Please see attached Bidding Document</t>
  </si>
  <si>
    <t xml:space="preserve"> Project Description	: Construction</t>
  </si>
  <si>
    <t xml:space="preserve"> Item	Qty	Unit of 	Item Description 	</t>
  </si>
  <si>
    <t xml:space="preserve"> https://drive.google.com/file/d/1DP8ZT1jk-xQ918ghkEoEwKIz0tjgTaop/view?usp=drivesdk</t>
  </si>
  <si>
    <t xml:space="preserve"> https://drive.google.com/file/d/1vCgALvJYyOicDj3sbjGk2KcJxnTrYnMT/view?usp=drivesdk</t>
  </si>
  <si>
    <t xml:space="preserve"> a.	Concreting/Reblocking of San Juan Bag-o-Abad Santos-	    900,000.00</t>
  </si>
  <si>
    <t xml:space="preserve"> https://drive.google.com/file/d/1dPrTzrctwxSNnncodJ5g2kQ3g1vsspPX/view?usp=drivesdk</t>
  </si>
  <si>
    <t xml:space="preserve"> Bureau of Fire Memorandum Circular 2020-016.</t>
  </si>
  <si>
    <t xml:space="preserve"> The Above-listed documents can de downloaded at the DPWH website: </t>
  </si>
  <si>
    <t xml:space="preserve"> for queries, you may email MS. NADIA ILETO at iletonadia25@gmail.com</t>
  </si>
  <si>
    <t xml:space="preserve"> for queries, you may email MS. JAM FABELLA at jamfabella@gmail.com</t>
  </si>
  <si>
    <t xml:space="preserve"> Pre-bid conference will be on June 25, 2020 &amp; Competitive Bidding is on July 7, 2020.</t>
  </si>
  <si>
    <t xml:space="preserve"> Pre-Bid conference will be on June 25, 2020 and Competitive Bidding will be on July 7, 2020</t>
  </si>
  <si>
    <t xml:space="preserve"> Pre-Bid conference will be on June 25, 2020 &amp; Competitive bidding is on July 7, 2020</t>
  </si>
  <si>
    <t xml:space="preserve"> please see attachment for more info.</t>
  </si>
  <si>
    <t xml:space="preserve"> Pre-Bid conference will be on June 25, 2020 and Competitive Bidding is on July 7, 2020</t>
  </si>
  <si>
    <t xml:space="preserve"> https://drive.google.com/file/d/1MHcVeihWdIDOI4jf8MZYDflF1PLGBRhy/view?usp=drivesdk</t>
  </si>
  <si>
    <t xml:space="preserve"> https://drive.google.com/file/d/1m3gKWhy_4l3BWBpYAvFVSWCP0fJ8UNaM/view?usp=drivesdk</t>
  </si>
  <si>
    <t xml:space="preserve"> https://drive.google.com/file/d/10rDbTbga7K7zUx_6Mb9RFyi4pMWQvfiA/view?usp=drivesdk</t>
  </si>
  <si>
    <t xml:space="preserve"> https://drive.google.com/file/d/1Owhv0OZct8pX33hCp_Y88_8AULI1J1C4/view?usp=drivesdk</t>
  </si>
  <si>
    <t xml:space="preserve"> 1. Pre-Bid Conference: June 29, 2020, 2:00PM at the Municipal Conference Hall, Galimuyod, Ilocos Sur</t>
  </si>
  <si>
    <t xml:space="preserve"> Please see personally the head of the BAC secretariat for the availability of the bid document upon payment of the non-refundable amount of P 5,000.00 to the cashierl</t>
  </si>
  <si>
    <t xml:space="preserve"> Please see personally the head of the BAC Secretariat for the availability of the bid document upon payment of the non-refundable amount of P 5,000.00 to the cashier.</t>
  </si>
  <si>
    <t xml:space="preserve"> 1.	Bidders should have completed a contract similar to the Project. The description of an eligible bidder is contained in the Bidding Documents, particularly, in Section 2. Instructions to Bidders.</t>
  </si>
  <si>
    <t xml:space="preserve"> to view to bidding documents please click</t>
  </si>
  <si>
    <t xml:space="preserve"> To view the bidding document pls click: </t>
  </si>
  <si>
    <t xml:space="preserve"> Cost of Bid Documents: Php5,000.00</t>
  </si>
  <si>
    <t xml:space="preserve"> to View the Bidding Documents Pls. Click: </t>
  </si>
  <si>
    <t xml:space="preserve"> To view the bidding document, please click https://drive.google.com/file/d/1GUEBzrumEurgLCVf3y5k_aqzs2d_p-OC/view?usp=drivesdk</t>
  </si>
  <si>
    <t xml:space="preserve"> To view the bidding document, please click https://drive.google.com/file/d/1LBKbjvkUWr4bnEh6xXKE5jPl5UziuzFd/view?usp=drivesdk</t>
  </si>
  <si>
    <t xml:space="preserve"> please Download the complete bidding documents using the links below</t>
  </si>
  <si>
    <t xml:space="preserve"> Cost of Bid Documents: Php1,000.00</t>
  </si>
  <si>
    <t xml:space="preserve"> https://drive.google.com/file/d/1ji6BK00bwU68tOJoVrFeINcTKGM9wifO/view?usp=drivesdk</t>
  </si>
  <si>
    <t xml:space="preserve"> To view the bidding document, please click https://drive.google.com/file/d/1WU5Pxp6xjJKS4xN4tDT9sE_0UfEpgNBx/view?usp=drivesdk</t>
  </si>
  <si>
    <t xml:space="preserve"> To view the bidding documents, please click https://drive.google.com/file/d/1aZNVflVAjiJ7Clt5s0hG5e-3tuWoHSm-/view?usp=drivesdk</t>
  </si>
  <si>
    <t xml:space="preserve"> To view the bidding document, please click https://drive.google.com/file/d/1O-UHBuo7KJpm6HV8C7ZApe_kJklE1eBI/view?usp=drivesdk</t>
  </si>
  <si>
    <t xml:space="preserve"> The Works consists of Concreting of 1951.08 meter long x 6.10m wide x 0.23 m thick Plain PCCP provincial Road; provision of 2025.93l.m. stone masonry slope protection structure, 18l.m. stone masonry headwall, and 29pcs. 910mm RCPC; provision of Danger/Warning Signs, Chevron Signs, and Reflectorized Thermoplastic Pavement Markings (White).</t>
  </si>
  <si>
    <t xml:space="preserve"> https://drive.google.com/file/d/1bjMD36nkIXPX5tG4jcUmhFEbigaxk89e/view?usp=drivesdk</t>
  </si>
  <si>
    <t xml:space="preserve"> contact the BAC Chairman, Engr. Noel Salvatierra</t>
  </si>
  <si>
    <t xml:space="preserve"> The Works consists of Concreting of 1647.01m long x 6.10m wide x 0.23m thick PCCP provincial road; provision of 106l.m. ø910mm RCPC, 163.75 l.m. stone masonry headwall and protection structure, 39.10 l.m. stone msonry catch basin’ and provision of metal guardrail, Danger/Warning Signs, Chevron Signs, and Reflectorized Thermoplastic Pavement Markings (White and Yellow).</t>
  </si>
  <si>
    <t xml:space="preserve"> https://drive.google.com/file/d/1WX0rGrMs6L_0AYwyVyc1PP4b0u8RVgCG/view?usp=drivesdk</t>
  </si>
  <si>
    <t xml:space="preserve"> https://drive.google.com/file/d/1kuEiSQzsfl-lNaYOqc1whGLejNRba09B/view?usp=drivesdk</t>
  </si>
  <si>
    <t xml:space="preserve"> 1.	Bidders should have completed, within 2 years from the date of submission and receipt of bids, a contract similar to the Project. The description of an eligible bidder is contained in the Bidding Documents, particularly, in Section II. Instructions to Bidders.</t>
  </si>
  <si>
    <t xml:space="preserve"> The Works consists of Concreting of 257.20m long x 6.10m wide x 0.20m thk provincial road; provision of 186.00l.m. (244.67cu.m.) stone masonry slope protection structure.</t>
  </si>
  <si>
    <t xml:space="preserve"> The Works consists of 60 lm. Drilling and installation of Submersible pump – 840. Installation of transmission pipe – 4.25m x 7.50m construction of Reservoir and Pump house.</t>
  </si>
  <si>
    <t xml:space="preserve"> https://drive.google.com/file/d/1oRSpiWcMTZ6GRm6XMEjV-w0SyjSqHH-P/view?usp=drivesdk</t>
  </si>
  <si>
    <t xml:space="preserve"> The Works consists of Concreting of 95.45m long x 6.10m wide x 0.20m thk plain PCCP, 82.7.00m long x 5.00m wide x 0.20m thk plain PCCP, 36.30m long x 1.05m wide concrete road expansion at both existing PCCP and 131.75l.m. curb &amp; gutter.</t>
  </si>
  <si>
    <t xml:space="preserve"> The Works consists of Concreting of 171.00m long x 5.00m wide x 0.20thk PCCP provincial road and provision of 20 l.m. (33.32 cu.m.) stone masonry protection structure.</t>
  </si>
  <si>
    <t xml:space="preserve"> https://drive.google.com/file/d/1mW_j0TXEbOFxvU2gAPkGvSXnc_5LhjjB/view?usp=drivesdk</t>
  </si>
  <si>
    <t xml:space="preserve"> For the copy of ITB, please follow this link: </t>
  </si>
  <si>
    <t xml:space="preserve"> A complete set of Bidding Documents may be acquired by interested bidders on JUNE 18, 2020 to JULY 7, 2020 from 8:00AM to 5:00PM at the Office of the Bids and Awards Committee, 3rd Floor, Provincial Capitol, Bontoc, Mountain Province upon payment of the applicable fee for the Bidding Documents, pursuant to the latest Guidelines issued by the GPPB, in the amount of Five Thousand Pesos Only (Php5,000.00) at the Cashier’s Office, Provincial Capitol, Bontoc, Mountain Province.</t>
  </si>
  <si>
    <t xml:space="preserve"> ARPA-RADAR Simulator  (Full Mission Ship Bridge Simulator) with complete accessories (1 Instructor Station and 6 Students Station) including installation and training orientation.</t>
  </si>
  <si>
    <t xml:space="preserve"> Please see attached documents for other information</t>
  </si>
  <si>
    <t xml:space="preserve"> Please refer attached documents.</t>
  </si>
  <si>
    <t xml:space="preserve"> for queries, you may email MS. ANJ EMETERIO at mqemeterio@gmail.com</t>
  </si>
  <si>
    <t xml:space="preserve"> for queries, you may email MR. RUEL MARCA at ruelmarca@yahoo.com</t>
  </si>
  <si>
    <t xml:space="preserve"> Pre-bid conference will be on June 25, 2020 &amp; competitive bidding will be on July 7, 2020</t>
  </si>
  <si>
    <t xml:space="preserve"> pre-bid conference will be on June 25, 2020 &amp; competitive bidding is on July 7, 2020</t>
  </si>
  <si>
    <t xml:space="preserve"> Pre bid conference will be on June 25, 2020 and competitive bidding is on July 7, 2020</t>
  </si>
  <si>
    <t xml:space="preserve"> opening of Bids: July 08, 2020 at 2:00 pm. at BAC office, Dap-ay di Tubo, Poblacion, Tubo, Abra</t>
  </si>
  <si>
    <t xml:space="preserve"> The Works consists of Provision of 21 rolls 63mmøx60m HDPE Pipe, sdr 17 (1260 Ln.m) and 2 units Plastic Tank (2cu.m. capacity) w/ 6 distribution lines each tank using (32mmøx100m HDPE pipe, sdr 17).</t>
  </si>
  <si>
    <t xml:space="preserve"> Item No.	UNIT	 ITEM DESCRIPTION 	QUANTITY</t>
  </si>
  <si>
    <t xml:space="preserve"> The Works consists of Provision of 11 pcs.-24” ø RCPC cross drain with 21.50 ln.m. (30.70 cu.m.) Stone Masonry Headwall with 2 unit catch basin; Concreting of 56.00m long x 4.00m wide x 0.15m thick PCCP Plain.</t>
  </si>
  <si>
    <t xml:space="preserve"> For more information, please see or contact the BAC Membersw of Brgy. Magsaysay, Magallanes, Sorsogon.</t>
  </si>
  <si>
    <t xml:space="preserve"> 1.  Issuance of Bid Documents	June 18, 2020	</t>
  </si>
  <si>
    <t xml:space="preserve"> https://drive.google.com/file/d/1O5SyJj0l8iB14UFTIw_hnYELZOvTS3cM/view?usp=drivesdk</t>
  </si>
  <si>
    <t xml:space="preserve"> Pleas see attached associated components.</t>
  </si>
  <si>
    <t xml:space="preserve"> Please see Associated Component attached.</t>
  </si>
  <si>
    <t xml:space="preserve"> Bidding requirements/bid forms may be obtained, beginning June 22, 2020 from C.A. General Service upon payment of a non-refundable fee of P5,000.00.  Interested parties may get in touch with Ms. Weng Mirhan, BAC Secretariat at telephone no. 8834-2708.</t>
  </si>
  <si>
    <t xml:space="preserve"> FOR 2ND BIDDING</t>
  </si>
  <si>
    <t xml:space="preserve"> BAC Schedule of Activity:</t>
  </si>
  <si>
    <t xml:space="preserve"> The Schedule of BAC activities are as follows:						</t>
  </si>
  <si>
    <t xml:space="preserve"> Bid Docs Fee P/5,000.00 available at BAC Office</t>
  </si>
  <si>
    <t xml:space="preserve"> Availability of Bid Documents: June 18 - July 07, 2020; 8:00 AM-5:00 PM; Monday through Friday</t>
  </si>
  <si>
    <t xml:space="preserve"> Bid Docs available at BAC Office</t>
  </si>
  <si>
    <t xml:space="preserve"> https://drive.google.com/file/d/1FdAmgEspLfdtdm8Y6Bj1vE_TXkP_wxxr/view?usp=drivesdk</t>
  </si>
  <si>
    <t xml:space="preserve"> https://drive.google.com/file/d/1UlHwZ0XsF4TQn4Abcxavj1yOBspRSAxx/view?usp=drivesdk</t>
  </si>
  <si>
    <t xml:space="preserve"> https://drive.google.com/file/d/1RfLjM4sDXSh5o6IHig3dJbWbVVrgwuYK/view?usp=drivesdk</t>
  </si>
  <si>
    <t xml:space="preserve"> Bid Documents and Plans are also downloadable in the DPWH Website</t>
  </si>
  <si>
    <t xml:space="preserve"> https://drive.google.com/file/d/19qdWZw_mVuzsK32QmjjezP75qHb4-tM2/view?usp=drivesdk</t>
  </si>
  <si>
    <t xml:space="preserve"> https://drive.google.com/file/d/1ZZhgeIl_tRI9WHqBAI5oq-nJxSksijEK/view?usp=drivesdk</t>
  </si>
  <si>
    <t xml:space="preserve"> https://drive.google.com/file/d/1ZMHGepnCHpQ87ZaJgc67pD4DGWliyHqG/view?usp=drivesdk</t>
  </si>
  <si>
    <t xml:space="preserve"> Bid Opening is on July 7, 2020 at the Mun. Session Hall, Mun. Bldg., Pagsanghan, Samar</t>
  </si>
  <si>
    <t xml:space="preserve"> https://drive.google.com/file/d/1LA2-1oTSX-fFKgKWZIhKHuxBb6BbKuz9/view?usp=drivesdk</t>
  </si>
  <si>
    <t xml:space="preserve"> https://drive.google.com/file/d/1QhYBGqOB3dkSY3J7iGOh01m1OwLtDCUV/view?usp=drivesdk</t>
  </si>
  <si>
    <t xml:space="preserve"> https://drive.google.com/file/d/1GRr_3D0_xvS0J3oxJu4wE6KMe_JJhrwU/view?usp=drivesdk</t>
  </si>
  <si>
    <t xml:space="preserve"> https://drive.google.com/file/d/1cHjm0H2ViWRRLo8ebn60C5wgpuijfvY1/view?usp=drivesdk</t>
  </si>
  <si>
    <t xml:space="preserve"> 1.  Submission of Letter of Intent and Application of Eligibility					June 18, 2020	-	June 25, 2020</t>
  </si>
  <si>
    <t xml:space="preserve"> https://drive.google.com/file/d/1H1KFpKxY4FMFw1CIoPYwbkZq4Zm2rN4e/view?usp=drivesdk</t>
  </si>
  <si>
    <t xml:space="preserve"> To view the Bidding Document pls click https://drive.google.com/file/d/1Zut-DwBX48jyPtzFyErCC24GIK3TBwl1/view?usp=drivesdk</t>
  </si>
  <si>
    <t xml:space="preserve"> BID TENDER											</t>
  </si>
  <si>
    <t xml:space="preserve"> Pre-Bid Conference: June 24, 2020 @ 2:00 PM</t>
  </si>
  <si>
    <t xml:space="preserve"> https://drive.google.com/file/d/11SUCDecrZLlmcHphyFU-N4naRcEPYot7/view?usp=drivesdk</t>
  </si>
  <si>
    <t xml:space="preserve"> 1.BIDDERS ARE ADVISED TO DOWNLOAD ALL ASSOCIATED COMPONENTS FOR GUIDANCE AND REFERENCE.</t>
  </si>
  <si>
    <t xml:space="preserve"> Unit	Item Description	Qty.</t>
  </si>
  <si>
    <t xml:space="preserve"> Please click the Associated Components for the Checklist of Requirements. Thank you.</t>
  </si>
  <si>
    <t xml:space="preserve"> Please download P.B.D. in the associated components.</t>
  </si>
  <si>
    <t xml:space="preserve"> The BAC shall issue bidding documents upon payment of Five Hundred Pesos Only (Php500.00) to the disbursing/collecting officer of the LGU.</t>
  </si>
  <si>
    <t xml:space="preserve"> The deadline of submission is on or before July 7, 2020 at 1:30 in the afternoon, 2nd floor, BAC Office, Municipal Hall of Don Carlos, Don Carlos, Bukidnon.</t>
  </si>
  <si>
    <t xml:space="preserve"> 1	Portland cement	240	Bags</t>
  </si>
  <si>
    <t xml:space="preserve"> You may see the PISO Manager. Municipality of Caibiran</t>
  </si>
  <si>
    <t xml:space="preserve"> quotation shall be submitted via email (lbphobac@mail.landbank.com) not later than June 24,2020, 3:00PM</t>
  </si>
  <si>
    <t xml:space="preserve"> BID DOCS PhP 5,000.00</t>
  </si>
  <si>
    <t xml:space="preserve"> Project Description:</t>
  </si>
  <si>
    <t xml:space="preserve"> Download Bidding Document at:</t>
  </si>
  <si>
    <t xml:space="preserve"> Please refer to https://www.pnu.edu.ph/bidding-opportunities/ for the Drawings.</t>
  </si>
  <si>
    <t xml:space="preserve"> https://drive.google.com/file/d/1JSPYiZDYF70sQ798yb7DMcmpdBn3ncz_/view?usp=drivesdk</t>
  </si>
  <si>
    <t xml:space="preserve"> https://drive.google.com/file/d/1H8IjkLL_KkDrRvndDYhYatH2wyloX_VX/view?usp=drivesdk</t>
  </si>
  <si>
    <t xml:space="preserve"> The deadline of submission is on or before July 7, 2020 at 1:30 in the afternoon, 2nd floor, BAC Office, Municipal Hall of Don Carlos, Don Carlos, Bukidnon</t>
  </si>
  <si>
    <t xml:space="preserve"> see attached BQ (specifications) for details</t>
  </si>
  <si>
    <t xml:space="preserve"> 1	Diesoline	 30,260   Liters</t>
  </si>
  <si>
    <t xml:space="preserve"> Pls. download bid documents @ https://drive.google.com/file/d/1v9vsnI7H5s6TrUpjGOct3NEA4pPsLpoj/view?usp=drivesdk</t>
  </si>
  <si>
    <t xml:space="preserve"> https://drive.google.com/file/d/1M6IadHoPvQXC7QFfZptV6v5wnW99TQa2/view?usp=drivesdk</t>
  </si>
  <si>
    <t xml:space="preserve"> Download Bidding Documents @ https://drive.google.com/file/d/1v9vsnI7H5s6TrUpjGOct3NEA4pPsLpoj/view?usp=drivesdk</t>
  </si>
  <si>
    <t xml:space="preserve"> Please click link below to download Plan.</t>
  </si>
  <si>
    <t xml:space="preserve"> Interested Bidders may secure bidding documents at the Bids and Awards Committee, Dapitan City Water District or may call 065-213-6406.</t>
  </si>
  <si>
    <t xml:space="preserve"> For more information and clarification, please feel free to contact our BAC Secretariat.</t>
  </si>
  <si>
    <t xml:space="preserve"> https://drive.google.com/file/d/13L_cg_VRH00l-d0ij7S8USzuDljNeHcK/view?usp=drivesdk</t>
  </si>
  <si>
    <t xml:space="preserve"> https://drive.google.com/file/d/15w_xwnMIh0bgwD-WCVi0e_wJflBkxNJZ/view?usp=drivesdk</t>
  </si>
  <si>
    <t xml:space="preserve"> https://tinyurl.com/y874pclj</t>
  </si>
  <si>
    <t xml:space="preserve"> • Similar Contracts: Provision, configuration and testing of messaging and collaboration platform for at least 2300 users</t>
  </si>
  <si>
    <t xml:space="preserve"> • Similar Contracts: Supply, delivery, installation, configuration and testing of CPU Hyper-Converged Integrated System (HCIS) Server</t>
  </si>
  <si>
    <t xml:space="preserve"> https://drive.google.com/file/d/1_uizNyXFOweEiQzKGj40-hZrloJSyHLB/view?usp=drivesdk</t>
  </si>
  <si>
    <t xml:space="preserve"> Upgrading of BiPSU Electrical System Main Campus and Biliran Campus</t>
  </si>
  <si>
    <t xml:space="preserve"> FOR MORE DETAILED INFORMATION, PLEASE CONTACT THE BIDS AND AWARDS COMMITTEE.</t>
  </si>
  <si>
    <t xml:space="preserve"> Bid documents will be available to prospective bidders who  purchase the bidding documents  from the office of the Municipal Treasurer of the Local Government Unit of Mapet</t>
  </si>
  <si>
    <t xml:space="preserve"> https://drive.google.com/file/d/1YgPwD_L2G1JTBLN1equXfy0qg69Ednwr/view</t>
  </si>
  <si>
    <t xml:space="preserve"> Schedule of Bidding Activities:</t>
  </si>
  <si>
    <t xml:space="preserve"> For more info, please notify Mrs Rebecca Taboñiag, Barangay Secretary of Brgy Bogo Calabat, Josefina, Zamboanga del Sur with contact number 09514893412.</t>
  </si>
  <si>
    <t xml:space="preserve"> https://drive.google.com/file/d/1FIn0ACYZUbS9ALWOaCSAiwCBev5EN6r1/view?usp=drivesdk</t>
  </si>
  <si>
    <t xml:space="preserve"> https://drive.google.com/file/d/1CEgGGG1g56M3v64dfkA1YR5tDLOjCK1i/view?usp=drivesdk</t>
  </si>
  <si>
    <t xml:space="preserve"> Medicine and Medical Supplies Rack, 1st bay double side, 7 levels, H1.8mx W 6.870m x L900mm, Wire Mesh racking, Beige Color, Powder Coated, 100Kg Load capacity per level	9	unit</t>
  </si>
  <si>
    <t xml:space="preserve"> https://drive.google.com/file/d/1ohktBYBTai9oJUKwWwBm3g56Iet9u4oa/view?usp=drivesdk</t>
  </si>
  <si>
    <t xml:space="preserve"> COPY AND PASTE IN THE BROWSER THE LINK BELOW TO VIEW BIDDING DOCUMENTS; </t>
  </si>
  <si>
    <t xml:space="preserve"> For further information, please contact Ms. JOCELYN A.</t>
  </si>
  <si>
    <t xml:space="preserve"> 1.  Submission of Letter of Intent and Application of Eligibility				June 16, 2020 - June 23, 2020		</t>
  </si>
  <si>
    <t xml:space="preserve"> 1.		DIESOLINE		1	Lot</t>
  </si>
  <si>
    <t xml:space="preserve"> Pre-bid Conference will be done through teleconference. Any interested bidder you could contact the Head BAC Secretariat or email us.</t>
  </si>
  <si>
    <t xml:space="preserve"> INQUIRE AT BAC OFFICE, TAMBULIG, MUNICIPAL HALL, TAMBULIG, ZAMBOANGA DLE SUR</t>
  </si>
  <si>
    <t xml:space="preserve"> https://drive.google.com/file/d/1ES3gMDHG4BaII6JGhFiyH99HWH2VIU3C/view?usp=drivesdk</t>
  </si>
  <si>
    <t xml:space="preserve"> 1. BIDDERS ARE ADVISED TO DOWNLOAD ALL ASSOCIATED COMPONENTS</t>
  </si>
  <si>
    <t xml:space="preserve"> Please download the complete bidding documents using he link below:</t>
  </si>
  <si>
    <t xml:space="preserve"> Please download the complete bidding documents using the link below:</t>
  </si>
  <si>
    <t xml:space="preserve"> Please see attached bidding documents for more details.</t>
  </si>
  <si>
    <t xml:space="preserve"> Please download the complete Bidding Documents using the link below:</t>
  </si>
  <si>
    <t xml:space="preserve"> • Similar Contracts: Supply and delivery of various Personnel Protective Equipment (PPE) and/or any two (2) similar items under this contract</t>
  </si>
  <si>
    <t xml:space="preserve"> Inquire at the Office of the Provincial Engineer for details.</t>
  </si>
  <si>
    <t xml:space="preserve"> • Complete Project Title: Supply, Delivery, Installation, Test and Commissioning of Various Diesel Gensets and Associated Electrical Equipment and Balance of Plant for the Electrification of Seven (7) New Areas in Bohol under the Off-Grid Electrification Project</t>
  </si>
  <si>
    <t xml:space="preserve"> ABC is Two Million Five Hundred Thousand Pesos Only (Php.2,500,000.00).</t>
  </si>
  <si>
    <t xml:space="preserve"> Please see attached PDF for more information.</t>
  </si>
  <si>
    <t xml:space="preserve"> Please see attached PDF files for more information.</t>
  </si>
  <si>
    <t xml:space="preserve"> Instruction for Suppliers on how to View/Download the document:</t>
  </si>
  <si>
    <t xml:space="preserve"> The National Irrigation Administration (NIA), Regional Irrigation Office No.7, through the Small Irrigation Project 2019 intends to apply the sum of One Million Four Hundred One Thousand Nine Hundred Pesos &amp; 00/100 (P 1,401,900.00) being the Approved Budget for Contract (ABC) to payment under contract for FURNISHING OF CONSTRUCTION MATERIALS OF CAROL-AN DAGYANGAW SIP (CY 2019), Ayungon, Negros Oriental with Contract No. NOSO-Goods-SIP-05-2020. Bids received in excess of the ABC shall be automatically rejected at bid opening.</t>
  </si>
  <si>
    <t xml:space="preserve"> Copy and paste the link below in the URL to download Bidding documents attached.</t>
  </si>
  <si>
    <t xml:space="preserve"> The National Irrigation Administration (NIA), Regional Irrigation Office No.7, through the Small Irrigation Project 2020 intends to apply the sum of One Million One Hundred Eighty-Three Thousand Eight Hundred Pesos &amp; 00/100 (P 1,183,800.00) being the Approved Budget for Contract (ABC) to payment under contract for FURNISHING OF CONSTRUCTION MATERIALS OF CAROL-AN DAGYANGAW SIP, Ayungon, Negros Oriental with Contract No. NOSO-Goods-SIP-04-2020. Bids received in excess of the ABC shall be automatically rejected at bid opening.</t>
  </si>
  <si>
    <t xml:space="preserve"> For further information, please contact</t>
  </si>
  <si>
    <t xml:space="preserve"> Bidding document 500.00 Non-refundable</t>
  </si>
  <si>
    <t xml:space="preserve"> https://drive.google.com/file/d/1Pq5d7vAi_EzFsPKs3HS4YhqajZAScNWm/view?usp=drivesdk</t>
  </si>
  <si>
    <t xml:space="preserve"> https://drive.google.com/file/d/1eJqRrgxhlI1if8_K-b_FwtO5ZuQK0mpS/view?usp=drivesdk</t>
  </si>
  <si>
    <t xml:space="preserve"> The BAC is conducting the public bidding for this contract in accordance with RA 9184 and its Implementing Rules and Regulations (IRR).</t>
  </si>
  <si>
    <t xml:space="preserve"> 1.	Request for Expression of Interest	:	June 11, 2020 to June 18, 2020</t>
  </si>
  <si>
    <t xml:space="preserve"> Submission of Bids June 11, 2020 until July 8, 2020 @12noon</t>
  </si>
  <si>
    <t xml:space="preserve"> https://drive.google.com/file/d/1DxYmysjvVmF2bRdJ-Mff4_KKzTU97TmU/view?usp=drivesdk</t>
  </si>
  <si>
    <t xml:space="preserve"> https://drive.google.com/file/d/1S6AMxFSt3QsXNHdNXda-dolkWuFZ3IkS/view?usp=drivesdk</t>
  </si>
  <si>
    <t xml:space="preserve"> https://drive.google.com/file/d/19WOIURr1s2YQB2aL2GnZtntXEGwbre0S/view?usp=drivesdk</t>
  </si>
  <si>
    <t xml:space="preserve"> It may also be downloaded free of charge for the website of the Philippine Ports Authority at www.ppa.com.ph</t>
  </si>
  <si>
    <t xml:space="preserve"> https://drive.google.com/file/d/1J3S1xwpjJ2DndBVmJyKlKpzzdIg1UBX7/view?usp=drivesdk</t>
  </si>
  <si>
    <t xml:space="preserve"> • Complete Project Title: Supply, Delivery, Installation and Test of Split Type Metal Enclosure (STME) and Other Accessories Needed for the Reinforcement of the Buckle Anomaly and Damaged Flange Connection of Ilijan Natural Gas Pipeline</t>
  </si>
  <si>
    <t xml:space="preserve"> https://drive.google.com/file/d/1ZHHAbRTyg10HwBBhYLTCc7sTSK5VhI9O/view?usp=drivesdk</t>
  </si>
  <si>
    <t xml:space="preserve"> (i)   Allow full inspection by the Fund of all bid documentation and related records;  </t>
  </si>
  <si>
    <t xml:space="preserve"> https://drive.google.com/file/d/1fjI6SwKQAp5cnWbFQuD83AgleZJujMnS/view?usp=drivesdk</t>
  </si>
  <si>
    <t xml:space="preserve"> Concreting of Alley  Road</t>
  </si>
  <si>
    <t xml:space="preserve"> Contact Person</t>
  </si>
  <si>
    <t xml:space="preserve"> 20CE0208: Replacement of Permanent Weak Bridges Amawinan Br. (B01981LZ) along Daang Maharlika (LZ); Invitation to Bid including Plans and other Supporting Docs</t>
  </si>
  <si>
    <t xml:space="preserve"> 20CE0207: Widening of Permanent Bridges Manicla Br. (B01968LZ) along Daang Maharlika (LZ); Invitation to Bid including Plans and other Supporting Docs</t>
  </si>
  <si>
    <t xml:space="preserve"> for queries, you may email Ms. Anj Emeterio at mqemeterio@gmail.com</t>
  </si>
  <si>
    <t xml:space="preserve"> AS PER INVITATION TO BID</t>
  </si>
  <si>
    <t xml:space="preserve"> for queries, you may contact MS. LUBELLE LUMABAS AT TEL NO. 84057233 TO 34</t>
  </si>
  <si>
    <t xml:space="preserve"> REGIONAL BIDS AND AWARDS COMMITTEE – CEBU REGIONAL OFFICE</t>
  </si>
  <si>
    <t xml:space="preserve"> IMPORTANT NOTE:  					</t>
  </si>
  <si>
    <t xml:space="preserve"> for inquiries, pls contact MS. ARVIE ESTRELLA at tel no. 8-405-7233 to 34, 8-5512200 locals 2452, 2453, 2731, 2609, 2979 &amp; 2290</t>
  </si>
  <si>
    <t xml:space="preserve"> for queries, pls. contact MS. NADZ ILETO at tel no. 85512200 locals 2979, 2290, 2609; 8405-7233 to 34</t>
  </si>
  <si>
    <t xml:space="preserve"> for queries, pls. contact MR. CHARM FLORIDO at tel nos. 85512200 locals 2452, 2453; 84057233 to 34</t>
  </si>
  <si>
    <t xml:space="preserve"> https://drive.google.com/file/d/1qA0y2qeI7amNjxmvIYNs2UycHj1huDAc/view?usp=drivesdk</t>
  </si>
  <si>
    <t xml:space="preserve"> https://drive.google.com/file/d/1fc33Sp9qpE37s7np9HlqZpTV8hwXJGp3/view?usp=drivesdk</t>
  </si>
  <si>
    <t xml:space="preserve"> https://drive.google.com/file/d/1yFfnTorHjScb1I4UjVbO_2bjM7OvjhCi/view?usp=drivesdk</t>
  </si>
  <si>
    <t xml:space="preserve"> for queries, pls. contact MS. ANJ EMETERIO at vtel nos. 8-4057234, 8-4057233, 8-5512200 locals 2452, 2453, 2290, 2979</t>
  </si>
  <si>
    <t xml:space="preserve"> https://drive.google.com/file/d/1JiEPSL-_WivNItFo0IzRBQdfDRJ4b51j/view?usp=drivesdk</t>
  </si>
  <si>
    <t xml:space="preserve"> Please see Associated Components attached</t>
  </si>
  <si>
    <t xml:space="preserve"> https://drive.google.com/file/d/1AaNPLShVUb8a0PaJwU9vo5R7eV2VoOAN/view?usp=drivesdk</t>
  </si>
  <si>
    <t xml:space="preserve"> for queries, pls. contact MS. JENKIN DY at tel no. 085512200 locals 2290, 2979, 4169, 2609</t>
  </si>
  <si>
    <t xml:space="preserve"> Buyer: A. S. Dizon</t>
  </si>
  <si>
    <t xml:space="preserve"> Please quote at your government price inclusive of VAT and state the time within which you can make delivery. It will be appreciated if we can have your sealed quotation duly signed by your representative at the UP Manila Internal Audit Office located at 8th Floor Central Block Bldg. PGH, Taft Ave., Manila not later than 1:00 PM,  13 MARCH 2020.</t>
  </si>
  <si>
    <t xml:space="preserve"> Bidding Documents and Plans are also downloadable in the DPWH Website</t>
  </si>
  <si>
    <t xml:space="preserve"> Bididng Documents and Plans are also downloadable in the DPWh Website</t>
  </si>
  <si>
    <t xml:space="preserve"> Source of Fund: 20% Development Fund</t>
  </si>
  <si>
    <t xml:space="preserve"> • Similar Contracts: Dry docking and ship repair</t>
  </si>
  <si>
    <t xml:space="preserve"> Source of Fund: MDRRMF</t>
  </si>
  <si>
    <t xml:space="preserve"> Bidding Documents Alternative download link: https://drive.google.com/file/d/1Y8yrDa1NKkg8jFIjxKzc8Zukp-IgROcR/view?usp=drivesdk</t>
  </si>
  <si>
    <t xml:space="preserve"> Bidding Documents Alternative download link: https://drive.google.com/file/d/1fdsQwz0IceO5pmHQzleRyPW-_yvQCkmr/view?usp=drivesdk</t>
  </si>
  <si>
    <t xml:space="preserve"> https://drive.google.com/file/d/1vHUImqTUEA8sxppcI-jrA8Qu2iHXODms/view?usp=drivesdk</t>
  </si>
  <si>
    <t xml:space="preserve"> Bidding Documents Alternative download link: https://drive.google.com/file/d/1nBG0u2BCXPOmqO8P7WMSIrk3REuQgjMe/view?usp=drivesdk</t>
  </si>
  <si>
    <t xml:space="preserve"> Bidding Documents Alternative download link: https://drive.google.com/file/d/1whGgoAQ61DuQ32goaJ0EFwVFinYFSBtR/view?usp=drivesdk</t>
  </si>
  <si>
    <t xml:space="preserve"> For copies of the Drawings and Technical Specifications, kindly refer to the LINKS below.</t>
  </si>
  <si>
    <t xml:space="preserve"> • Complete Project Title: Supply, Delivery, Installation, Test &amp; Commissioning of 3 x 50 kW Modular Diesel Gensets, Associated Electrical Equipment and Balance of Plant for the Electrification of New Area in Sulu under Package 11A</t>
  </si>
  <si>
    <t xml:space="preserve"> For query,  pls. contact MS. ANJ EMETERIO at tel no. 8-4057234, 8-4057233, 8-5512200 LOCALS 2452, 2453, 2731</t>
  </si>
  <si>
    <t xml:space="preserve"> For query,  pls. contact MR. JENKIN DY at tel no. 8-5512200 locals 2290, 2979, 2609, 4169</t>
  </si>
  <si>
    <t xml:space="preserve"> Source of Fund: 20% Development FUnd</t>
  </si>
  <si>
    <t xml:space="preserve"> Bidding Documents Alternative download link: https://drive.google.com/file/d/1keVLxe-xcaWDd9n-C8xZ9A1JLT97j4U4/view?usp=drivesdk</t>
  </si>
  <si>
    <t xml:space="preserve"> For query,  pls. contact MS. NADZ ILETO at tel no. 8-5512200 locals 2290, 2979, 2609, 4169</t>
  </si>
  <si>
    <t xml:space="preserve"> please download associated documents</t>
  </si>
  <si>
    <t xml:space="preserve"> Please download attached quotation form , completely fill-out and submit quotation through or any of the following:</t>
  </si>
  <si>
    <t xml:space="preserve"> Please quote at your government price  inclusive of  VAT and state the time within which you can make delivery.    It will  be    appreciated if we can have your sealed quotation  at  the  UPM  Internal Audit  Office, 8th Floor PGH Central Block building not later than  1:00 PM,   11 MARCH  2020.</t>
  </si>
  <si>
    <t xml:space="preserve"> 1. Issuance of Bidding Documents	:	February 27 2020 to March 17, 2020</t>
  </si>
  <si>
    <t xml:space="preserve"> look for:</t>
  </si>
  <si>
    <t xml:space="preserve"> Pls download attached file</t>
  </si>
  <si>
    <t xml:space="preserve"> • Similar Contracts: Supply, Delivery, Test and Commissioning of Diesel Power Generations Systems with aggregate output capacity of at least 5.0 MW e.</t>
  </si>
  <si>
    <t xml:space="preserve"> PLEASE SEE ATTACHED BID DOCUMENTS</t>
  </si>
  <si>
    <t xml:space="preserve"> BIDDING DOCUMENTS:</t>
  </si>
  <si>
    <t xml:space="preserve"> https://drive.google.com/file/d/1lyHKapyEa3Y2QlSPcwGMStQkyj2cvxXI/view?usp=drivesdk</t>
  </si>
  <si>
    <t xml:space="preserve"> Please download soft copy of the bidding documents in the associated component section.</t>
  </si>
  <si>
    <t xml:space="preserve"> https://drive.google.com/file/d/15dxq8qcQWGpyxnIZ83ZRyLP9JP8VGoiA/view?usp=drivesdk</t>
  </si>
  <si>
    <t xml:space="preserve"> Please download soft copies of bidding documents in the associated component section.</t>
  </si>
  <si>
    <t xml:space="preserve"> 1. Issuance of Bidding Documents	:	February 21, 2020 to March 12, 2020</t>
  </si>
  <si>
    <t xml:space="preserve"> Source of Fund: SEF - Continuing Appropriations</t>
  </si>
  <si>
    <t xml:space="preserve"> Source of Fund: Continuing Appropriation - GAD</t>
  </si>
  <si>
    <t xml:space="preserve"> Source of Fund: 20% Development Fund-Current</t>
  </si>
  <si>
    <t xml:space="preserve"> Please quote at your government price inclusive of VAT and state the time within which you can make delivery. It will be appreciated if we can have your  quotation duly signed by your representative at the UP Manila  PROCUREMENT OFFICE located at 8th Floor Central Block Bldg. PGH, Taft Ave., Manila not later than 1:00 PM,  13 MARCH 2020.  Or you may email your quotation at mbdeleon6@up.edu.ph.</t>
  </si>
  <si>
    <t xml:space="preserve"> Please quote at your government price inclusive of VAT and state the time within which you can make delivery. It will be appreciated if we can have your  quotation duly signed by your representative at the UP Manila  PROCUREMENT OFFICE located at 8th Floor Central Block Bldg. PGH, Taft Ave., Manila not later than 1:00 PM,  13 MARCH 2020.  Or you may email your quotation at mbdeleon6@up.edu.ph</t>
  </si>
  <si>
    <t xml:space="preserve"> Scope of Works:</t>
  </si>
  <si>
    <t xml:space="preserve"> Bidding Documents Link: https://drive.google.com/file/d/1MMtmI7ZQcgL7YXOp9dm19H2LRjPKHTwG/view?usp=drivesdk</t>
  </si>
  <si>
    <t xml:space="preserve"> https://drive.google.com/file/d/1FRFXTNpricv_CKsGrRCZVSNCSqUEW5U2/view?usp=drivesdk</t>
  </si>
  <si>
    <t xml:space="preserve"> https://drive.google.com/file/d/1zNSuEZiSloL5kuWUnOp-YljNaI9pVKCo/view?usp=drivesdk</t>
  </si>
  <si>
    <t xml:space="preserve"> Also available at DPWH Website.</t>
  </si>
  <si>
    <t xml:space="preserve"> You can also download the items and specifications at our official website: www.cebucity.gov.ph under For </t>
  </si>
  <si>
    <t xml:space="preserve"> https://drive.google.com/file/d/1765yUIL_TplU609gdIOkLy_Oogjdkofn/view?usp=drivesdk</t>
  </si>
  <si>
    <t xml:space="preserve"> for queries, you may email MS. KIM STO. TOMAS  at kimjoyangeles@yahoo.com</t>
  </si>
  <si>
    <t xml:space="preserve"> A complete set of Bidding Documents will be provided by PNBAC Secretariat to the interested Bidders upon payment of a non-refundable fee in the amount of  TEN THOUSAND PESOS (P10,000.00) only at CRB, CPMU, Philippine Navy Finance Center (PNFC), Naval Station Jose Francisco, Fort Bonifacio, Taguig City.</t>
  </si>
  <si>
    <t xml:space="preserve"> https://drive.google.com/file/d/1nb6vK_XpIbFLjZ0sPR_RoHGLfwhqMLdZ/view?usp=drivesdk</t>
  </si>
  <si>
    <t xml:space="preserve"> https://drive.google.com/file/d/1MEsNk8flqs8vDqk8GA2Eoft7mQjOh6sO/view?usp=drivesdk</t>
  </si>
  <si>
    <t xml:space="preserve"> ttps://drive.google.com/file/d/1Hk98lTI3c7OfiiupxKhsnVQ5lG-MJQyL/view?usp=drivesdk</t>
  </si>
  <si>
    <t xml:space="preserve"> please go to link https://drive.google.com/file/d/1NLo-qSzuKBpH9VMgq9x7Y-GJq5jHG9nY/view?usp=drivesdk for a copy of the Bidding Documents</t>
  </si>
  <si>
    <t xml:space="preserve"> https://drive.google.com/file/d/1PkaNyMy5EDTKNbSGscYObHDnuycUOAfg/view?usp=drivesdk</t>
  </si>
  <si>
    <t xml:space="preserve"> Travelling Rice Mill</t>
  </si>
  <si>
    <t xml:space="preserve"> 1. Issuance of Bidding Documents	:	June 16, 2020 to July 07, 2020</t>
  </si>
  <si>
    <t xml:space="preserve"> https://drive.google.com/file/d/19IxS2V13Afb_GQ_3ONVkajUc1ryw34X2/view?usp=drivesdk</t>
  </si>
  <si>
    <t xml:space="preserve"> Contact Person: Jerry Donato</t>
  </si>
  <si>
    <t xml:space="preserve"> ALL INTERESTED BIDDERS ARE REQUIRED TO SUBMIT THEIR COMPLETE ELIGIBILITY REQUIREMENTS TO THE BAC FOR EVALUATION DURING THE PRE-BID CONFERENCE ON JUNE 24, 2020 9:00A.M. AT THE BAC SECRETARIAT OFFICE, 2ND FLOOR, CITY HALL OF DASMARIÑAS, CAVITE. BIDDERS WHO SHALL FAIL TO ATTEND THE PRE-BID SHALL NOT BE ALLOWED TO JOIN THE BIDDING FOR THE AFORESAID PROJECT. </t>
  </si>
  <si>
    <t xml:space="preserve"> Bid Documents and Plans are also dwnloadable in the DPWH Website</t>
  </si>
  <si>
    <t xml:space="preserve"> https://drive.google.com/file/d/1UwNvNB9bvxymZunlw81mZeHxzBoRatDE/view?usp=drivesdk</t>
  </si>
  <si>
    <t xml:space="preserve"> https://drive.google.com/file/d/1I0IgQ5KDIXKxFHOyomcQJ6YHxXhkAzPF/view?usp=drivesdk</t>
  </si>
  <si>
    <t xml:space="preserve"> https://drive.google.com/file/d/1zJOgufhI068GBvgBMttap6_VQ94zOcIX/view?usp=drivesdk</t>
  </si>
  <si>
    <t>BIENVENIDA PAMAN DULCERO</t>
  </si>
  <si>
    <t>ROMMEL G. GRAGASIN</t>
  </si>
  <si>
    <t>EDUARDO SANTILLAN DIONISIO</t>
  </si>
  <si>
    <t>Victor Ariong Aglipay</t>
  </si>
  <si>
    <t>Abelaine Batutay Esmeralda</t>
  </si>
  <si>
    <t>Ramon Jr. Paras Dela Cruz</t>
  </si>
  <si>
    <t>Reynante B. Quiros</t>
  </si>
  <si>
    <t>Pinky Miriam D Canlas</t>
  </si>
  <si>
    <t>Sergio Lanaria</t>
  </si>
  <si>
    <t>Zenaida A. Liberato</t>
  </si>
  <si>
    <t>Angelika A. Paladan</t>
  </si>
  <si>
    <t>CHRISTOPHER GUBALANI BARCELLANO</t>
  </si>
  <si>
    <t>Grace Delos Reyes Dumadag</t>
  </si>
  <si>
    <t>Jasmin Macaspag Dacaynos</t>
  </si>
  <si>
    <t>Ramer B. Panes</t>
  </si>
  <si>
    <t>Arniel A. Abellonar</t>
  </si>
  <si>
    <t>Genevieve Nuñez</t>
  </si>
  <si>
    <t>Thelma P. Landicho</t>
  </si>
  <si>
    <t>Lydia Yumang Vinculado</t>
  </si>
  <si>
    <t>Mark J. Arceo</t>
  </si>
  <si>
    <t>Sherrymine C. Lazaga</t>
  </si>
  <si>
    <t>MARY FAMILLE PORTILLO IPAW</t>
  </si>
  <si>
    <t>Maylen Asuncion</t>
  </si>
  <si>
    <t>dipolog water bac</t>
  </si>
  <si>
    <t>Mark Joseph Justimbaste Calinao</t>
  </si>
  <si>
    <t>Frenzel Ray Kitan Tomas</t>
  </si>
  <si>
    <t>Korina Sibulo Tronqued</t>
  </si>
  <si>
    <t>Riza Joy Barnizo Pele-in</t>
  </si>
  <si>
    <t>Nathaniel G Echano</t>
  </si>
  <si>
    <t>Irma Danganan Lugue</t>
  </si>
  <si>
    <t>Mary Fatima Marilao</t>
  </si>
  <si>
    <t>John III Etong Bandiwan</t>
  </si>
  <si>
    <t>Mary Ann Martinez Torralba</t>
  </si>
  <si>
    <t>Victor Jimenez Sotelo</t>
  </si>
  <si>
    <t>Rosevie Tallera Bartolome</t>
  </si>
  <si>
    <t>Sheila Marie S Chua</t>
  </si>
  <si>
    <t>Melchor Talosig Halog</t>
  </si>
  <si>
    <t>Roland Dayuno Morales</t>
  </si>
  <si>
    <t>M.A Cueva</t>
  </si>
  <si>
    <t>Arthur Molenilla Balmadrid</t>
  </si>
  <si>
    <t>Roxanne Padilla</t>
  </si>
  <si>
    <t>LYN MONTALBAN CAJUCOM</t>
  </si>
  <si>
    <t>DELIZA M CUTARA</t>
  </si>
  <si>
    <t>RONALD S LANGBAN</t>
  </si>
  <si>
    <t>Harold C. Duremdes</t>
  </si>
  <si>
    <t>Editha Ignacio De Lemos</t>
  </si>
  <si>
    <t>Lorena Pasco Bodoso</t>
  </si>
  <si>
    <t>Redan I Cognito</t>
  </si>
  <si>
    <t>RAFAEL LACBAYO SANTIAGO</t>
  </si>
  <si>
    <t>Marife Aglosolos</t>
  </si>
  <si>
    <t>ELIZABETH S. FERNANDEZ</t>
  </si>
  <si>
    <t>Roch Jerome L Capistrano</t>
  </si>
  <si>
    <t>Kelly Sajo</t>
  </si>
  <si>
    <t>Christian Ian Caligagan Villarin</t>
  </si>
  <si>
    <t>Chona Salonga Dizon</t>
  </si>
  <si>
    <t>Ryan Saguyod Apolonio</t>
  </si>
  <si>
    <t>Jed D Panes</t>
  </si>
  <si>
    <t>Lawrence Nacpil Carlos</t>
  </si>
  <si>
    <t>EMMA SARAYAN LUBRINO</t>
  </si>
  <si>
    <t>Nurhima Injani Badol</t>
  </si>
  <si>
    <t>Rodelio Jr. Abordo Vera</t>
  </si>
  <si>
    <t>Jevic Gadon Daguno</t>
  </si>
  <si>
    <t>Marilou Seno Villanueva</t>
  </si>
  <si>
    <t>Marc Alexis M Arabe</t>
  </si>
  <si>
    <t>Rosario Fe Quizon Arevalo</t>
  </si>
  <si>
    <t>Joseph Cañas Hernani</t>
  </si>
  <si>
    <t>ALFREDO DANDO DELOS SANTOS</t>
  </si>
  <si>
    <t>Roxanne C. Pimentel</t>
  </si>
  <si>
    <t>Gemma Bandoy Espadero</t>
  </si>
  <si>
    <t>Rommel T Reamico</t>
  </si>
  <si>
    <t>German Dichoson Salanio</t>
  </si>
  <si>
    <t>Zandro A. Samarista</t>
  </si>
  <si>
    <t>Bernadette Baua</t>
  </si>
  <si>
    <t>Manny Maturan Da-ang</t>
  </si>
  <si>
    <t>Mark Andrew Abas Dilay</t>
  </si>
  <si>
    <t>Loel Bacatan Fajardo</t>
  </si>
  <si>
    <t>Aries Ramos Alahan</t>
  </si>
  <si>
    <t>Jennylyn Fernando Macapagal</t>
  </si>
  <si>
    <t>Jovellen G. Diaz</t>
  </si>
  <si>
    <t>Normalyn M. Florin</t>
  </si>
  <si>
    <t>Lea Marie  P.  Gulloy</t>
  </si>
  <si>
    <t>Roy C Gonzales</t>
  </si>
  <si>
    <t>Liza C Dorado</t>
  </si>
  <si>
    <t>Esmeralda Bareng Antonio</t>
  </si>
  <si>
    <t>Joel R Perez</t>
  </si>
  <si>
    <t>Jomar Feliciano Doncillo</t>
  </si>
  <si>
    <t>Bazil Nacman Cabria</t>
  </si>
  <si>
    <t>ALLEN JOY M. ESCALONA</t>
  </si>
  <si>
    <t>Fe P Sagre</t>
  </si>
  <si>
    <t>Buenaventura Zaldivar Flandez</t>
  </si>
  <si>
    <t>Arnel Correa Sabuco</t>
  </si>
  <si>
    <t>Gemma Pugong Luglug</t>
  </si>
  <si>
    <t>John Carlo V Alegre</t>
  </si>
  <si>
    <t>Vivian Enriquez Villanueva</t>
  </si>
  <si>
    <t>Michael Angelo J. Paras</t>
  </si>
  <si>
    <t>Joseph R. Sermonia</t>
  </si>
  <si>
    <t>Richard San Juan Miguel</t>
  </si>
  <si>
    <t>Marino E Martinquilla</t>
  </si>
  <si>
    <t>Kristine Alonzo Gealan</t>
  </si>
  <si>
    <t>Eleonor Subrado</t>
  </si>
  <si>
    <t>Lealoraine A. Gomez</t>
  </si>
  <si>
    <t>Marlone Dagle Alejado</t>
  </si>
  <si>
    <t>Haydee Asparin Espinosa</t>
  </si>
  <si>
    <t>Veronica CV Esguerra</t>
  </si>
  <si>
    <t>Rowena De la Vida Prado</t>
  </si>
  <si>
    <t>Aurelia Araoarao Bongcac</t>
  </si>
  <si>
    <t>Socorro Brenda Acuna</t>
  </si>
  <si>
    <t>TECHIE SAYAG MANARANG</t>
  </si>
  <si>
    <t>Castor Gracilla Verdeblanco</t>
  </si>
  <si>
    <t>Glory Vi A. Mesina</t>
  </si>
  <si>
    <t>Alerry Layog</t>
  </si>
  <si>
    <t>SALMA QUIBAYEN PADILLA</t>
  </si>
  <si>
    <t>Engimer A. Ludovice</t>
  </si>
  <si>
    <t>Rommel Oroceo Subaldo</t>
  </si>
  <si>
    <t>Brett Andrew Surell</t>
  </si>
  <si>
    <t>REYSHA  T.  QUIMADO</t>
  </si>
  <si>
    <t>Jhea E Ebal</t>
  </si>
  <si>
    <t>ROEL B CADAGAT</t>
  </si>
  <si>
    <t>Melanie Calura Rufino</t>
  </si>
  <si>
    <t>Juanito Biadnes Acorin</t>
  </si>
  <si>
    <t>Vanezza Blanche F Agbayani</t>
  </si>
  <si>
    <t>Sharmaine J. Vicente</t>
  </si>
  <si>
    <t>Michael Rey Villaluz Biado</t>
  </si>
  <si>
    <t>Olive V Ferreras</t>
  </si>
  <si>
    <t>Joseph Rommel A Bascar</t>
  </si>
  <si>
    <t>Vince Kyle Dizon Timbol</t>
  </si>
  <si>
    <t>Generoso Jr. Projillo Maghopoy</t>
  </si>
  <si>
    <t>Zosimo B. Coloma</t>
  </si>
  <si>
    <t>Patria Pailan Guizano</t>
  </si>
  <si>
    <t>Cyrene T Palparan</t>
  </si>
  <si>
    <t>Leonor F.  Santos</t>
  </si>
  <si>
    <t>Kristine Joy Fernandez Dacasin</t>
  </si>
  <si>
    <t>SAUDI AGUANTA ARABE</t>
  </si>
  <si>
    <t>Gilbert C Mondroy</t>
  </si>
  <si>
    <t>Katherine V Veracruz</t>
  </si>
  <si>
    <t>13/01/2020</t>
  </si>
  <si>
    <t>18/05/2020</t>
  </si>
  <si>
    <t>25/03/2019</t>
  </si>
  <si>
    <t>16/08/2017</t>
  </si>
  <si>
    <t>19/08/2019</t>
  </si>
  <si>
    <t>26/03/2019</t>
  </si>
  <si>
    <t>28/05/2019</t>
  </si>
  <si>
    <t>29/03/2020</t>
  </si>
  <si>
    <t>11/04/2020</t>
  </si>
  <si>
    <t>10/11/2019</t>
  </si>
  <si>
    <t>02/01/2020</t>
  </si>
  <si>
    <t>15/09/2019</t>
  </si>
  <si>
    <t>11/05/2020</t>
  </si>
  <si>
    <t>22/03/2020</t>
  </si>
  <si>
    <t>04/01/2019</t>
  </si>
  <si>
    <t>23/04/2020</t>
  </si>
  <si>
    <t>24/05/2020</t>
  </si>
  <si>
    <t>29/04/2020</t>
  </si>
  <si>
    <t>05/05/2020</t>
  </si>
  <si>
    <t>16/04/2020</t>
  </si>
  <si>
    <t>20/04/2020</t>
  </si>
  <si>
    <t>01/03/2020</t>
  </si>
  <si>
    <t>08/02/2020</t>
  </si>
  <si>
    <t>13/02/2020</t>
  </si>
  <si>
    <t>05/02/2020</t>
  </si>
  <si>
    <t>23/03/2020</t>
  </si>
  <si>
    <t>22/08/2019</t>
  </si>
  <si>
    <t>05/11/2019</t>
  </si>
  <si>
    <t>05/12/2019</t>
  </si>
  <si>
    <t>19/12/2019</t>
  </si>
  <si>
    <t>06/01/2020</t>
  </si>
  <si>
    <t>15/01/2020</t>
  </si>
  <si>
    <t>22/01/2020</t>
  </si>
  <si>
    <t>25/04/2020</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</si>
</sst>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X14600"/>
  <sheetViews>
    <sheetView tabSelected="1" workbookViewId="0"/>
  </sheetViews>
  <sheetFormatPr defaultRowHeight="15"/>
  <sheetData>
    <row r="1" spans="1:2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row>
    <row r="2" spans="1:24">
      <c r="A2">
        <f>HYPERLINK("https://www.philgeps.gov.ph/GEPSNONPILOT/Tender/SplashBidNoticeAbstractUI.aspx?menuIndex=3&amp;refID=6794095&amp;Result=3","6794095")</f>
        <v>0</v>
      </c>
      <c r="B2" t="s">
        <v>24</v>
      </c>
      <c r="C2" t="s">
        <v>3457</v>
      </c>
      <c r="D2" t="s">
        <v>17413</v>
      </c>
      <c r="E2" t="s">
        <v>17515</v>
      </c>
      <c r="F2" t="s">
        <v>30052</v>
      </c>
      <c r="G2" t="s">
        <v>30058</v>
      </c>
      <c r="H2" t="s">
        <v>30067</v>
      </c>
      <c r="I2" t="s">
        <v>3693</v>
      </c>
      <c r="J2" t="s">
        <v>30205</v>
      </c>
      <c r="K2" t="s">
        <v>39016</v>
      </c>
      <c r="M2" t="s">
        <v>39314</v>
      </c>
      <c r="N2" t="s">
        <v>43166</v>
      </c>
      <c r="O2" t="s">
        <v>43167</v>
      </c>
      <c r="P2">
        <v>0</v>
      </c>
      <c r="Q2">
        <v>4</v>
      </c>
      <c r="R2" t="s">
        <v>43168</v>
      </c>
      <c r="S2" t="s">
        <v>43286</v>
      </c>
      <c r="T2" t="s">
        <v>44677</v>
      </c>
      <c r="U2" t="s">
        <v>45215</v>
      </c>
      <c r="V2" t="s">
        <v>56810</v>
      </c>
      <c r="W2" t="s">
        <v>39314</v>
      </c>
      <c r="X2" t="s">
        <v>58723</v>
      </c>
    </row>
    <row r="3" spans="1:24">
      <c r="A3">
        <f>HYPERLINK("https://www.philgeps.gov.ph/GEPSNONPILOT/Tender/SplashBidNoticeAbstractUI.aspx?menuIndex=3&amp;refID=7067082&amp;Result=3","7067082")</f>
        <v>0</v>
      </c>
      <c r="B3" t="s">
        <v>25</v>
      </c>
      <c r="C3" t="s">
        <v>3458</v>
      </c>
      <c r="D3" t="s">
        <v>17414</v>
      </c>
      <c r="E3" t="s">
        <v>17516</v>
      </c>
      <c r="F3" t="s">
        <v>30052</v>
      </c>
      <c r="G3" t="s">
        <v>30059</v>
      </c>
      <c r="H3" t="s">
        <v>15498</v>
      </c>
      <c r="I3" t="s">
        <v>30070</v>
      </c>
      <c r="J3" t="s">
        <v>30206</v>
      </c>
      <c r="K3" t="s">
        <v>39017</v>
      </c>
      <c r="M3" t="s">
        <v>39315</v>
      </c>
      <c r="N3" t="s">
        <v>43166</v>
      </c>
      <c r="O3" t="s">
        <v>43167</v>
      </c>
      <c r="P3">
        <v>0</v>
      </c>
      <c r="Q3">
        <v>0</v>
      </c>
      <c r="R3" t="s">
        <v>43168</v>
      </c>
      <c r="S3" t="s">
        <v>43286</v>
      </c>
      <c r="T3" t="s">
        <v>44678</v>
      </c>
      <c r="U3" t="s">
        <v>45216</v>
      </c>
      <c r="V3" t="s">
        <v>56811</v>
      </c>
      <c r="W3" t="s">
        <v>39315</v>
      </c>
      <c r="X3" t="s">
        <v>43180</v>
      </c>
    </row>
    <row r="4" spans="1:24">
      <c r="A4">
        <f>HYPERLINK("https://www.philgeps.gov.ph/GEPSNONPILOT/Tender/SplashBidNoticeAbstractUI.aspx?menuIndex=3&amp;refID=7065907-2&amp;Result=3","7065907-2")</f>
        <v>0</v>
      </c>
      <c r="B4" t="s">
        <v>26</v>
      </c>
      <c r="C4" t="s">
        <v>3459</v>
      </c>
      <c r="D4" t="s">
        <v>17415</v>
      </c>
      <c r="E4" t="s">
        <v>11486</v>
      </c>
      <c r="F4" t="s">
        <v>30052</v>
      </c>
      <c r="G4" t="s">
        <v>30058</v>
      </c>
      <c r="H4" t="s">
        <v>15498</v>
      </c>
      <c r="I4" t="s">
        <v>30070</v>
      </c>
      <c r="J4" t="s">
        <v>30207</v>
      </c>
      <c r="K4" t="s">
        <v>39018</v>
      </c>
      <c r="M4" t="s">
        <v>39316</v>
      </c>
      <c r="N4" t="s">
        <v>43166</v>
      </c>
      <c r="O4" t="s">
        <v>43167</v>
      </c>
      <c r="P4">
        <v>0</v>
      </c>
      <c r="Q4">
        <v>0</v>
      </c>
      <c r="R4" t="s">
        <v>43168</v>
      </c>
      <c r="S4" t="s">
        <v>43286</v>
      </c>
      <c r="T4" t="s">
        <v>44679</v>
      </c>
      <c r="U4" t="s">
        <v>45217</v>
      </c>
      <c r="W4" t="s">
        <v>39316</v>
      </c>
      <c r="X4" t="s">
        <v>43171</v>
      </c>
    </row>
    <row r="5" spans="1:24">
      <c r="A5">
        <f>HYPERLINK("https://www.philgeps.gov.ph/GEPSNONPILOT/Tender/SplashBidNoticeAbstractUI.aspx?menuIndex=3&amp;refID=7065888&amp;Result=3","7065888")</f>
        <v>0</v>
      </c>
      <c r="B5" t="s">
        <v>27</v>
      </c>
      <c r="C5" t="s">
        <v>3460</v>
      </c>
      <c r="D5" t="s">
        <v>17416</v>
      </c>
      <c r="E5" t="s">
        <v>17517</v>
      </c>
      <c r="F5" t="s">
        <v>30052</v>
      </c>
      <c r="G5" t="s">
        <v>30058</v>
      </c>
      <c r="H5" t="s">
        <v>15498</v>
      </c>
      <c r="I5" t="s">
        <v>30071</v>
      </c>
      <c r="J5" t="s">
        <v>30208</v>
      </c>
      <c r="K5" t="s">
        <v>39019</v>
      </c>
      <c r="M5" t="s">
        <v>39317</v>
      </c>
      <c r="N5" t="s">
        <v>43166</v>
      </c>
      <c r="O5" t="s">
        <v>43167</v>
      </c>
      <c r="P5">
        <v>0</v>
      </c>
      <c r="Q5">
        <v>0</v>
      </c>
      <c r="R5" t="s">
        <v>43168</v>
      </c>
      <c r="S5" t="s">
        <v>43286</v>
      </c>
      <c r="T5" t="s">
        <v>44680</v>
      </c>
      <c r="U5" t="s">
        <v>45218</v>
      </c>
      <c r="W5" t="s">
        <v>39317</v>
      </c>
      <c r="X5" t="s">
        <v>43180</v>
      </c>
    </row>
    <row r="6" spans="1:24">
      <c r="A6">
        <f>HYPERLINK("https://www.philgeps.gov.ph/GEPSNONPILOT/Tender/SplashBidNoticeAbstractUI.aspx?menuIndex=3&amp;refID=7067831&amp;Result=3","7067831")</f>
        <v>0</v>
      </c>
      <c r="B6" t="s">
        <v>28</v>
      </c>
      <c r="C6" t="s">
        <v>3461</v>
      </c>
      <c r="D6" t="s">
        <v>17417</v>
      </c>
      <c r="E6" t="s">
        <v>17518</v>
      </c>
      <c r="F6" t="s">
        <v>30052</v>
      </c>
      <c r="G6" t="s">
        <v>30058</v>
      </c>
      <c r="H6" t="s">
        <v>30067</v>
      </c>
      <c r="I6" t="s">
        <v>3693</v>
      </c>
      <c r="J6" t="s">
        <v>30209</v>
      </c>
      <c r="K6" t="s">
        <v>39019</v>
      </c>
      <c r="M6" t="s">
        <v>39318</v>
      </c>
      <c r="N6" t="s">
        <v>43166</v>
      </c>
      <c r="O6" t="s">
        <v>43167</v>
      </c>
      <c r="P6">
        <v>0</v>
      </c>
      <c r="Q6">
        <v>0</v>
      </c>
      <c r="R6" t="s">
        <v>43168</v>
      </c>
      <c r="S6" t="s">
        <v>43286</v>
      </c>
      <c r="T6" t="s">
        <v>44681</v>
      </c>
      <c r="U6" t="s">
        <v>45219</v>
      </c>
      <c r="W6" t="s">
        <v>39318</v>
      </c>
      <c r="X6" t="s">
        <v>43179</v>
      </c>
    </row>
    <row r="7" spans="1:24">
      <c r="A7">
        <f>HYPERLINK("https://www.philgeps.gov.ph/GEPSNONPILOT/Tender/SplashBidNoticeAbstractUI.aspx?menuIndex=3&amp;refID=7072197&amp;Result=3","7072197")</f>
        <v>0</v>
      </c>
      <c r="B7" t="s">
        <v>29</v>
      </c>
      <c r="C7" t="s">
        <v>3462</v>
      </c>
      <c r="D7" t="s">
        <v>17418</v>
      </c>
      <c r="E7" t="s">
        <v>17519</v>
      </c>
      <c r="F7" t="s">
        <v>30052</v>
      </c>
      <c r="G7" t="s">
        <v>30058</v>
      </c>
      <c r="H7" t="s">
        <v>30067</v>
      </c>
      <c r="I7" t="s">
        <v>3693</v>
      </c>
      <c r="J7" t="s">
        <v>30210</v>
      </c>
      <c r="K7" t="s">
        <v>39020</v>
      </c>
      <c r="M7" t="s">
        <v>39319</v>
      </c>
      <c r="N7" t="s">
        <v>43166</v>
      </c>
      <c r="O7" t="s">
        <v>43167</v>
      </c>
      <c r="P7">
        <v>0</v>
      </c>
      <c r="Q7">
        <v>0</v>
      </c>
      <c r="R7" t="s">
        <v>43168</v>
      </c>
      <c r="S7" t="s">
        <v>43286</v>
      </c>
      <c r="T7" t="s">
        <v>44682</v>
      </c>
      <c r="U7" t="s">
        <v>45220</v>
      </c>
      <c r="W7" t="s">
        <v>39319</v>
      </c>
      <c r="X7" t="s">
        <v>43178</v>
      </c>
    </row>
    <row r="8" spans="1:24">
      <c r="A8">
        <f>HYPERLINK("https://www.philgeps.gov.ph/GEPSNONPILOT/Tender/SplashBidNoticeAbstractUI.aspx?menuIndex=3&amp;refID=7035041-2&amp;Result=3","7035041-2")</f>
        <v>0</v>
      </c>
      <c r="B8" t="s">
        <v>30</v>
      </c>
      <c r="C8" t="s">
        <v>3463</v>
      </c>
      <c r="E8" t="s">
        <v>17520</v>
      </c>
      <c r="F8" t="s">
        <v>30052</v>
      </c>
      <c r="G8" t="s">
        <v>30058</v>
      </c>
      <c r="H8" t="s">
        <v>30068</v>
      </c>
      <c r="I8" t="s">
        <v>30068</v>
      </c>
      <c r="J8" t="s">
        <v>30211</v>
      </c>
      <c r="K8" t="s">
        <v>39021</v>
      </c>
      <c r="M8" t="s">
        <v>39320</v>
      </c>
      <c r="N8" t="s">
        <v>43166</v>
      </c>
      <c r="O8" t="s">
        <v>43167</v>
      </c>
      <c r="P8">
        <v>0</v>
      </c>
      <c r="Q8">
        <v>0</v>
      </c>
      <c r="R8" t="s">
        <v>43168</v>
      </c>
      <c r="S8" t="s">
        <v>43286</v>
      </c>
      <c r="T8" t="s">
        <v>44683</v>
      </c>
      <c r="U8" t="s">
        <v>45221</v>
      </c>
      <c r="V8" t="s">
        <v>56812</v>
      </c>
      <c r="W8" t="s">
        <v>39320</v>
      </c>
      <c r="X8" t="s">
        <v>43169</v>
      </c>
    </row>
    <row r="9" spans="1:24">
      <c r="A9">
        <f>HYPERLINK("https://www.philgeps.gov.ph/GEPSNONPILOT/Tender/SplashBidNoticeAbstractUI.aspx?menuIndex=3&amp;refID=7022463&amp;Result=3","7022463")</f>
        <v>0</v>
      </c>
      <c r="B9" t="s">
        <v>24</v>
      </c>
      <c r="C9" t="s">
        <v>3464</v>
      </c>
      <c r="D9" t="s">
        <v>17413</v>
      </c>
      <c r="E9" t="s">
        <v>17521</v>
      </c>
      <c r="F9" t="s">
        <v>30052</v>
      </c>
      <c r="G9" t="s">
        <v>30058</v>
      </c>
      <c r="H9" t="s">
        <v>30067</v>
      </c>
      <c r="I9" t="s">
        <v>3693</v>
      </c>
      <c r="J9" t="s">
        <v>30212</v>
      </c>
      <c r="K9" t="s">
        <v>39022</v>
      </c>
      <c r="M9" t="s">
        <v>39314</v>
      </c>
      <c r="N9" t="s">
        <v>43166</v>
      </c>
      <c r="O9" t="s">
        <v>43167</v>
      </c>
      <c r="P9">
        <v>0</v>
      </c>
      <c r="Q9">
        <v>3</v>
      </c>
      <c r="R9" t="s">
        <v>43168</v>
      </c>
      <c r="S9" t="s">
        <v>43286</v>
      </c>
      <c r="T9" t="s">
        <v>44684</v>
      </c>
      <c r="U9" t="s">
        <v>45222</v>
      </c>
      <c r="V9" t="s">
        <v>56813</v>
      </c>
      <c r="W9" t="s">
        <v>39314</v>
      </c>
      <c r="X9" t="s">
        <v>43202</v>
      </c>
    </row>
    <row r="10" spans="1:24">
      <c r="A10">
        <f>HYPERLINK("https://www.philgeps.gov.ph/GEPSNONPILOT/Tender/SplashBidNoticeAbstractUI.aspx?menuIndex=3&amp;refID=7000417&amp;Result=3","7000417")</f>
        <v>0</v>
      </c>
      <c r="B10" t="s">
        <v>31</v>
      </c>
      <c r="C10" t="s">
        <v>3465</v>
      </c>
      <c r="D10" t="s">
        <v>17415</v>
      </c>
      <c r="E10" t="s">
        <v>17522</v>
      </c>
      <c r="F10" t="s">
        <v>30052</v>
      </c>
      <c r="G10" t="s">
        <v>30059</v>
      </c>
      <c r="H10" t="s">
        <v>15498</v>
      </c>
      <c r="I10" t="s">
        <v>4119</v>
      </c>
      <c r="J10" t="s">
        <v>30213</v>
      </c>
      <c r="K10" t="s">
        <v>39023</v>
      </c>
      <c r="M10" t="s">
        <v>39321</v>
      </c>
      <c r="N10" t="s">
        <v>43166</v>
      </c>
      <c r="O10" t="s">
        <v>43167</v>
      </c>
      <c r="P10">
        <v>0</v>
      </c>
      <c r="Q10">
        <v>3</v>
      </c>
      <c r="R10" t="s">
        <v>43168</v>
      </c>
      <c r="S10" t="s">
        <v>43286</v>
      </c>
      <c r="T10" t="s">
        <v>44685</v>
      </c>
      <c r="U10" t="s">
        <v>45223</v>
      </c>
      <c r="W10" t="s">
        <v>39321</v>
      </c>
      <c r="X10" t="s">
        <v>58724</v>
      </c>
    </row>
    <row r="11" spans="1:24">
      <c r="A11">
        <f>HYPERLINK("https://www.philgeps.gov.ph/GEPSNONPILOT/Tender/SplashBidNoticeAbstractUI.aspx?menuIndex=3&amp;refID=7072213&amp;Result=3","7072213")</f>
        <v>0</v>
      </c>
      <c r="B11" t="s">
        <v>29</v>
      </c>
      <c r="C11" t="s">
        <v>3466</v>
      </c>
      <c r="D11" t="s">
        <v>17418</v>
      </c>
      <c r="E11" t="s">
        <v>17523</v>
      </c>
      <c r="F11" t="s">
        <v>30052</v>
      </c>
      <c r="G11" t="s">
        <v>30058</v>
      </c>
      <c r="H11" t="s">
        <v>30067</v>
      </c>
      <c r="I11" t="s">
        <v>3693</v>
      </c>
      <c r="J11" t="s">
        <v>30214</v>
      </c>
      <c r="K11" t="s">
        <v>39024</v>
      </c>
      <c r="M11" t="s">
        <v>39319</v>
      </c>
      <c r="N11" t="s">
        <v>43166</v>
      </c>
      <c r="O11" t="s">
        <v>43167</v>
      </c>
      <c r="P11">
        <v>0</v>
      </c>
      <c r="Q11">
        <v>0</v>
      </c>
      <c r="R11" t="s">
        <v>43168</v>
      </c>
      <c r="S11" t="s">
        <v>43286</v>
      </c>
      <c r="T11" t="s">
        <v>44682</v>
      </c>
      <c r="U11" t="s">
        <v>45224</v>
      </c>
      <c r="W11" t="s">
        <v>39319</v>
      </c>
      <c r="X11" t="s">
        <v>43178</v>
      </c>
    </row>
    <row r="12" spans="1:24">
      <c r="A12">
        <f>HYPERLINK("https://www.philgeps.gov.ph/GEPSNONPILOT/Tender/SplashBidNoticeAbstractUI.aspx?menuIndex=3&amp;refID=7068184&amp;Result=3","7068184")</f>
        <v>0</v>
      </c>
      <c r="B12" t="s">
        <v>32</v>
      </c>
      <c r="C12" t="s">
        <v>3467</v>
      </c>
      <c r="D12" t="s">
        <v>17415</v>
      </c>
      <c r="E12" t="s">
        <v>17524</v>
      </c>
      <c r="F12" t="s">
        <v>30052</v>
      </c>
      <c r="G12" t="s">
        <v>30058</v>
      </c>
      <c r="H12" t="s">
        <v>15498</v>
      </c>
      <c r="I12" t="s">
        <v>30072</v>
      </c>
      <c r="J12" t="s">
        <v>30215</v>
      </c>
      <c r="K12" t="s">
        <v>39019</v>
      </c>
      <c r="M12" t="s">
        <v>39322</v>
      </c>
      <c r="N12" t="s">
        <v>43166</v>
      </c>
      <c r="O12" t="s">
        <v>43167</v>
      </c>
      <c r="P12">
        <v>0</v>
      </c>
      <c r="Q12">
        <v>4</v>
      </c>
      <c r="R12" t="s">
        <v>43168</v>
      </c>
      <c r="S12" t="s">
        <v>43286</v>
      </c>
      <c r="T12" t="s">
        <v>44686</v>
      </c>
      <c r="U12" t="s">
        <v>45225</v>
      </c>
      <c r="W12" t="s">
        <v>39322</v>
      </c>
      <c r="X12" t="s">
        <v>43179</v>
      </c>
    </row>
    <row r="13" spans="1:24">
      <c r="A13">
        <f>HYPERLINK("https://www.philgeps.gov.ph/GEPSNONPILOT/Tender/SplashBidNoticeAbstractUI.aspx?menuIndex=3&amp;refID=7076399&amp;Result=3","7076399")</f>
        <v>0</v>
      </c>
      <c r="B13" t="s">
        <v>33</v>
      </c>
      <c r="C13" t="s">
        <v>3468</v>
      </c>
      <c r="D13" t="s">
        <v>17419</v>
      </c>
      <c r="E13" t="s">
        <v>17525</v>
      </c>
      <c r="F13" t="s">
        <v>30052</v>
      </c>
      <c r="G13" t="s">
        <v>30060</v>
      </c>
      <c r="H13" t="s">
        <v>15498</v>
      </c>
      <c r="I13" t="s">
        <v>4650</v>
      </c>
      <c r="J13" t="s">
        <v>30216</v>
      </c>
      <c r="K13" t="s">
        <v>39025</v>
      </c>
      <c r="M13" t="s">
        <v>39323</v>
      </c>
      <c r="N13" t="s">
        <v>43166</v>
      </c>
      <c r="O13" t="s">
        <v>43167</v>
      </c>
      <c r="P13">
        <v>0</v>
      </c>
      <c r="Q13">
        <v>1</v>
      </c>
      <c r="R13" t="s">
        <v>43168</v>
      </c>
      <c r="S13" t="s">
        <v>43286</v>
      </c>
      <c r="T13" t="s">
        <v>44687</v>
      </c>
      <c r="U13" t="s">
        <v>45226</v>
      </c>
      <c r="W13" t="s">
        <v>39323</v>
      </c>
      <c r="X13" t="s">
        <v>43174</v>
      </c>
    </row>
    <row r="14" spans="1:24">
      <c r="A14">
        <f>HYPERLINK("https://www.philgeps.gov.ph/GEPSNONPILOT/Tender/SplashBidNoticeAbstractUI.aspx?menuIndex=3&amp;refID=7024158&amp;Result=3","7024158")</f>
        <v>0</v>
      </c>
      <c r="B14" t="s">
        <v>24</v>
      </c>
      <c r="C14" t="s">
        <v>3469</v>
      </c>
      <c r="D14" t="s">
        <v>17413</v>
      </c>
      <c r="E14" t="s">
        <v>17526</v>
      </c>
      <c r="F14" t="s">
        <v>30052</v>
      </c>
      <c r="G14" t="s">
        <v>30058</v>
      </c>
      <c r="H14" t="s">
        <v>30067</v>
      </c>
      <c r="I14" t="s">
        <v>3693</v>
      </c>
      <c r="J14" t="s">
        <v>30212</v>
      </c>
      <c r="K14" t="s">
        <v>39026</v>
      </c>
      <c r="M14" t="s">
        <v>39314</v>
      </c>
      <c r="N14" t="s">
        <v>43166</v>
      </c>
      <c r="O14" t="s">
        <v>43167</v>
      </c>
      <c r="P14">
        <v>0</v>
      </c>
      <c r="Q14">
        <v>2</v>
      </c>
      <c r="R14" t="s">
        <v>43168</v>
      </c>
      <c r="S14" t="s">
        <v>43286</v>
      </c>
      <c r="T14" t="s">
        <v>44688</v>
      </c>
      <c r="U14" t="s">
        <v>45227</v>
      </c>
      <c r="V14" t="s">
        <v>56814</v>
      </c>
      <c r="W14" t="s">
        <v>39314</v>
      </c>
      <c r="X14" t="s">
        <v>43202</v>
      </c>
    </row>
    <row r="15" spans="1:24">
      <c r="A15">
        <f>HYPERLINK("https://www.philgeps.gov.ph/GEPSNONPILOT/Tender/SplashBidNoticeAbstractUI.aspx?menuIndex=3&amp;refID=7073677&amp;Result=3","7073677")</f>
        <v>0</v>
      </c>
      <c r="B15" t="s">
        <v>34</v>
      </c>
      <c r="C15" t="s">
        <v>3470</v>
      </c>
      <c r="D15" t="s">
        <v>17420</v>
      </c>
      <c r="E15" t="s">
        <v>17527</v>
      </c>
      <c r="F15" t="s">
        <v>30052</v>
      </c>
      <c r="G15" t="s">
        <v>30060</v>
      </c>
      <c r="H15" t="s">
        <v>30067</v>
      </c>
      <c r="I15" t="s">
        <v>3693</v>
      </c>
      <c r="J15" t="s">
        <v>30217</v>
      </c>
      <c r="K15" t="s">
        <v>39027</v>
      </c>
      <c r="M15" t="s">
        <v>39324</v>
      </c>
      <c r="N15" t="s">
        <v>43166</v>
      </c>
      <c r="O15" t="s">
        <v>43167</v>
      </c>
      <c r="P15">
        <v>0</v>
      </c>
      <c r="Q15">
        <v>0</v>
      </c>
      <c r="R15" t="s">
        <v>43168</v>
      </c>
      <c r="S15" t="s">
        <v>43286</v>
      </c>
      <c r="T15" t="s">
        <v>44689</v>
      </c>
      <c r="U15" t="s">
        <v>45228</v>
      </c>
      <c r="W15" t="s">
        <v>39324</v>
      </c>
      <c r="X15" t="s">
        <v>43175</v>
      </c>
    </row>
    <row r="16" spans="1:24">
      <c r="A16">
        <f>HYPERLINK("https://www.philgeps.gov.ph/GEPSNONPILOT/Tender/SplashBidNoticeAbstractUI.aspx?menuIndex=3&amp;refID=7067872&amp;Result=3","7067872")</f>
        <v>0</v>
      </c>
      <c r="B16" t="s">
        <v>35</v>
      </c>
      <c r="C16" t="s">
        <v>3461</v>
      </c>
      <c r="D16" t="s">
        <v>17417</v>
      </c>
      <c r="E16" t="s">
        <v>17528</v>
      </c>
      <c r="F16" t="s">
        <v>30052</v>
      </c>
      <c r="G16" t="s">
        <v>30058</v>
      </c>
      <c r="H16" t="s">
        <v>30067</v>
      </c>
      <c r="I16" t="s">
        <v>3693</v>
      </c>
      <c r="J16" t="s">
        <v>30218</v>
      </c>
      <c r="K16" t="s">
        <v>39028</v>
      </c>
      <c r="M16" t="s">
        <v>39325</v>
      </c>
      <c r="N16" t="s">
        <v>43166</v>
      </c>
      <c r="O16" t="s">
        <v>43167</v>
      </c>
      <c r="P16">
        <v>0</v>
      </c>
      <c r="Q16">
        <v>0</v>
      </c>
      <c r="R16" t="s">
        <v>43168</v>
      </c>
      <c r="S16" t="s">
        <v>43286</v>
      </c>
      <c r="T16" t="s">
        <v>44681</v>
      </c>
      <c r="U16" t="s">
        <v>45229</v>
      </c>
      <c r="W16" t="s">
        <v>39325</v>
      </c>
      <c r="X16" t="s">
        <v>43179</v>
      </c>
    </row>
    <row r="17" spans="1:24">
      <c r="A17">
        <f>HYPERLINK("https://www.philgeps.gov.ph/GEPSNONPILOT/Tender/SplashBidNoticeAbstractUI.aspx?menuIndex=3&amp;refID=7077188&amp;Result=3","7077188")</f>
        <v>0</v>
      </c>
      <c r="B17" t="s">
        <v>36</v>
      </c>
      <c r="C17" t="s">
        <v>3471</v>
      </c>
      <c r="D17" t="s">
        <v>17421</v>
      </c>
      <c r="E17" t="s">
        <v>17529</v>
      </c>
      <c r="F17" t="s">
        <v>30052</v>
      </c>
      <c r="G17" t="s">
        <v>30058</v>
      </c>
      <c r="H17" t="s">
        <v>15498</v>
      </c>
      <c r="I17" t="s">
        <v>4650</v>
      </c>
      <c r="J17" t="s">
        <v>30219</v>
      </c>
      <c r="K17" t="s">
        <v>39029</v>
      </c>
      <c r="M17" t="s">
        <v>39326</v>
      </c>
      <c r="N17" t="s">
        <v>43166</v>
      </c>
      <c r="O17" t="s">
        <v>43167</v>
      </c>
      <c r="P17">
        <v>0</v>
      </c>
      <c r="Q17">
        <v>9</v>
      </c>
      <c r="R17" t="s">
        <v>43168</v>
      </c>
      <c r="S17" t="s">
        <v>43286</v>
      </c>
      <c r="T17" t="s">
        <v>44690</v>
      </c>
      <c r="U17" t="s">
        <v>45230</v>
      </c>
      <c r="W17" t="s">
        <v>39326</v>
      </c>
      <c r="X17" t="s">
        <v>43174</v>
      </c>
    </row>
    <row r="18" spans="1:24">
      <c r="A18">
        <f>HYPERLINK("https://www.philgeps.gov.ph/GEPSNONPILOT/Tender/SplashBidNoticeAbstractUI.aspx?menuIndex=3&amp;refID=7077138&amp;Result=3","7077138")</f>
        <v>0</v>
      </c>
      <c r="B18" t="s">
        <v>37</v>
      </c>
      <c r="C18" t="s">
        <v>3472</v>
      </c>
      <c r="D18" t="s">
        <v>17422</v>
      </c>
      <c r="E18" t="s">
        <v>17530</v>
      </c>
      <c r="F18" t="s">
        <v>30052</v>
      </c>
      <c r="G18" t="s">
        <v>30059</v>
      </c>
      <c r="H18" t="s">
        <v>15498</v>
      </c>
      <c r="I18" t="s">
        <v>30073</v>
      </c>
      <c r="J18" t="s">
        <v>30220</v>
      </c>
      <c r="K18" t="s">
        <v>39029</v>
      </c>
      <c r="M18" t="s">
        <v>39327</v>
      </c>
      <c r="N18" t="s">
        <v>43166</v>
      </c>
      <c r="O18" t="s">
        <v>43167</v>
      </c>
      <c r="P18">
        <v>0</v>
      </c>
      <c r="Q18">
        <v>0</v>
      </c>
      <c r="R18" t="s">
        <v>43168</v>
      </c>
      <c r="S18" t="s">
        <v>43286</v>
      </c>
      <c r="T18" t="s">
        <v>44691</v>
      </c>
      <c r="U18" t="s">
        <v>45231</v>
      </c>
      <c r="W18" t="s">
        <v>39327</v>
      </c>
      <c r="X18" t="s">
        <v>43174</v>
      </c>
    </row>
    <row r="19" spans="1:24">
      <c r="A19">
        <f>HYPERLINK("https://www.philgeps.gov.ph/GEPSNONPILOT/Tender/SplashBidNoticeAbstractUI.aspx?menuIndex=3&amp;refID=7078958&amp;Result=3","7078958")</f>
        <v>0</v>
      </c>
      <c r="B19" t="s">
        <v>33</v>
      </c>
      <c r="C19" t="s">
        <v>3473</v>
      </c>
      <c r="D19" t="s">
        <v>17419</v>
      </c>
      <c r="E19" t="s">
        <v>17531</v>
      </c>
      <c r="F19" t="s">
        <v>30052</v>
      </c>
      <c r="G19" t="s">
        <v>30058</v>
      </c>
      <c r="H19" t="s">
        <v>15498</v>
      </c>
      <c r="I19" t="s">
        <v>30074</v>
      </c>
      <c r="J19" t="s">
        <v>30221</v>
      </c>
      <c r="K19" t="s">
        <v>39025</v>
      </c>
      <c r="M19" t="s">
        <v>39323</v>
      </c>
      <c r="N19" t="s">
        <v>43166</v>
      </c>
      <c r="O19" t="s">
        <v>43167</v>
      </c>
      <c r="P19">
        <v>0</v>
      </c>
      <c r="Q19">
        <v>4</v>
      </c>
      <c r="R19" t="s">
        <v>43168</v>
      </c>
      <c r="S19" t="s">
        <v>43286</v>
      </c>
      <c r="T19" t="s">
        <v>44692</v>
      </c>
      <c r="U19" t="s">
        <v>45232</v>
      </c>
      <c r="W19" t="s">
        <v>39323</v>
      </c>
      <c r="X19" t="s">
        <v>43173</v>
      </c>
    </row>
    <row r="20" spans="1:24">
      <c r="A20">
        <f>HYPERLINK("https://www.philgeps.gov.ph/GEPSNONPILOT/Tender/SplashBidNoticeAbstractUI.aspx?menuIndex=3&amp;refID=7075621&amp;Result=3","7075621")</f>
        <v>0</v>
      </c>
      <c r="B20" t="s">
        <v>38</v>
      </c>
      <c r="C20" t="s">
        <v>3474</v>
      </c>
      <c r="D20" t="s">
        <v>17423</v>
      </c>
      <c r="E20" t="s">
        <v>17532</v>
      </c>
      <c r="F20" t="s">
        <v>30052</v>
      </c>
      <c r="G20" t="s">
        <v>30058</v>
      </c>
      <c r="H20" t="s">
        <v>30067</v>
      </c>
      <c r="I20" t="s">
        <v>3693</v>
      </c>
      <c r="J20" t="s">
        <v>30222</v>
      </c>
      <c r="K20" t="s">
        <v>39030</v>
      </c>
      <c r="M20" t="s">
        <v>39328</v>
      </c>
      <c r="N20" t="s">
        <v>43166</v>
      </c>
      <c r="O20" t="s">
        <v>43167</v>
      </c>
      <c r="P20">
        <v>0</v>
      </c>
      <c r="Q20">
        <v>2</v>
      </c>
      <c r="R20" t="s">
        <v>43168</v>
      </c>
      <c r="S20" t="s">
        <v>43286</v>
      </c>
      <c r="T20" t="s">
        <v>44684</v>
      </c>
      <c r="U20" t="s">
        <v>45233</v>
      </c>
      <c r="W20" t="s">
        <v>39328</v>
      </c>
      <c r="X20" t="s">
        <v>43175</v>
      </c>
    </row>
    <row r="21" spans="1:24">
      <c r="A21">
        <f>HYPERLINK("https://www.philgeps.gov.ph/GEPSNONPILOT/Tender/SplashBidNoticeAbstractUI.aspx?menuIndex=3&amp;refID=7067838&amp;Result=3","7067838")</f>
        <v>0</v>
      </c>
      <c r="B21" t="s">
        <v>39</v>
      </c>
      <c r="C21" t="s">
        <v>3475</v>
      </c>
      <c r="D21" t="s">
        <v>17419</v>
      </c>
      <c r="E21" t="s">
        <v>17533</v>
      </c>
      <c r="F21" t="s">
        <v>30052</v>
      </c>
      <c r="G21" t="s">
        <v>30058</v>
      </c>
      <c r="H21" t="s">
        <v>15498</v>
      </c>
      <c r="I21" t="s">
        <v>3736</v>
      </c>
      <c r="J21" t="s">
        <v>30223</v>
      </c>
      <c r="K21" t="s">
        <v>39029</v>
      </c>
      <c r="M21" t="s">
        <v>39329</v>
      </c>
      <c r="N21" t="s">
        <v>43166</v>
      </c>
      <c r="O21" t="s">
        <v>43167</v>
      </c>
      <c r="P21">
        <v>0</v>
      </c>
      <c r="Q21">
        <v>0</v>
      </c>
      <c r="R21" t="s">
        <v>43168</v>
      </c>
      <c r="S21" t="s">
        <v>43286</v>
      </c>
      <c r="T21" t="s">
        <v>44693</v>
      </c>
      <c r="U21" t="s">
        <v>45234</v>
      </c>
      <c r="W21" t="s">
        <v>39329</v>
      </c>
      <c r="X21" t="s">
        <v>43179</v>
      </c>
    </row>
    <row r="22" spans="1:24">
      <c r="A22">
        <f>HYPERLINK("https://www.philgeps.gov.ph/GEPSNONPILOT/Tender/SplashBidNoticeAbstractUI.aspx?menuIndex=3&amp;refID=7078844&amp;Result=3","7078844")</f>
        <v>0</v>
      </c>
      <c r="B22" t="s">
        <v>40</v>
      </c>
      <c r="C22" t="s">
        <v>3476</v>
      </c>
      <c r="D22" t="s">
        <v>17424</v>
      </c>
      <c r="E22" t="s">
        <v>17534</v>
      </c>
      <c r="F22" t="s">
        <v>30052</v>
      </c>
      <c r="G22" t="s">
        <v>30058</v>
      </c>
      <c r="H22" t="s">
        <v>15498</v>
      </c>
      <c r="I22" t="s">
        <v>3852</v>
      </c>
      <c r="J22" t="s">
        <v>30224</v>
      </c>
      <c r="K22" t="s">
        <v>39025</v>
      </c>
      <c r="M22" t="s">
        <v>39330</v>
      </c>
      <c r="N22" t="s">
        <v>43166</v>
      </c>
      <c r="O22" t="s">
        <v>43167</v>
      </c>
      <c r="P22">
        <v>0</v>
      </c>
      <c r="Q22">
        <v>0</v>
      </c>
      <c r="R22" t="s">
        <v>43168</v>
      </c>
      <c r="S22" t="s">
        <v>43286</v>
      </c>
      <c r="T22" t="s">
        <v>44694</v>
      </c>
      <c r="U22" t="s">
        <v>45235</v>
      </c>
      <c r="W22" t="s">
        <v>39330</v>
      </c>
      <c r="X22" t="s">
        <v>43173</v>
      </c>
    </row>
    <row r="23" spans="1:24">
      <c r="A23">
        <f>HYPERLINK("https://www.philgeps.gov.ph/GEPSNONPILOT/Tender/SplashBidNoticeAbstractUI.aspx?menuIndex=3&amp;refID=7077657&amp;Result=3","7077657")</f>
        <v>0</v>
      </c>
      <c r="B23" t="s">
        <v>41</v>
      </c>
      <c r="C23" t="s">
        <v>3477</v>
      </c>
      <c r="D23" t="s">
        <v>17415</v>
      </c>
      <c r="E23" t="s">
        <v>17535</v>
      </c>
      <c r="F23" t="s">
        <v>30052</v>
      </c>
      <c r="G23" t="s">
        <v>30059</v>
      </c>
      <c r="H23" t="s">
        <v>15498</v>
      </c>
      <c r="I23" t="s">
        <v>30075</v>
      </c>
      <c r="J23" t="s">
        <v>30225</v>
      </c>
      <c r="K23" t="s">
        <v>39017</v>
      </c>
      <c r="M23" t="s">
        <v>39331</v>
      </c>
      <c r="N23" t="s">
        <v>43166</v>
      </c>
      <c r="O23" t="s">
        <v>43167</v>
      </c>
      <c r="P23">
        <v>0</v>
      </c>
      <c r="Q23">
        <v>0</v>
      </c>
      <c r="R23" t="s">
        <v>43168</v>
      </c>
      <c r="S23" t="s">
        <v>43286</v>
      </c>
      <c r="T23" t="s">
        <v>44695</v>
      </c>
      <c r="U23" t="s">
        <v>45236</v>
      </c>
      <c r="V23" t="s">
        <v>56815</v>
      </c>
      <c r="W23" t="s">
        <v>39331</v>
      </c>
      <c r="X23" t="s">
        <v>43174</v>
      </c>
    </row>
    <row r="24" spans="1:24">
      <c r="A24">
        <f>HYPERLINK("https://www.philgeps.gov.ph/GEPSNONPILOT/Tender/SplashBidNoticeAbstractUI.aspx?menuIndex=3&amp;refID=7079183&amp;Result=3","7079183")</f>
        <v>0</v>
      </c>
      <c r="B24" t="s">
        <v>42</v>
      </c>
      <c r="C24" t="s">
        <v>3478</v>
      </c>
      <c r="D24" t="s">
        <v>17425</v>
      </c>
      <c r="E24" t="s">
        <v>17536</v>
      </c>
      <c r="F24" t="s">
        <v>30052</v>
      </c>
      <c r="G24" t="s">
        <v>30061</v>
      </c>
      <c r="H24" t="s">
        <v>15498</v>
      </c>
      <c r="I24" t="s">
        <v>30076</v>
      </c>
      <c r="J24" t="s">
        <v>30226</v>
      </c>
      <c r="K24" t="s">
        <v>39029</v>
      </c>
      <c r="M24" t="s">
        <v>39332</v>
      </c>
      <c r="N24" t="s">
        <v>43166</v>
      </c>
      <c r="O24" t="s">
        <v>43167</v>
      </c>
      <c r="P24">
        <v>0</v>
      </c>
      <c r="Q24">
        <v>0</v>
      </c>
      <c r="R24" t="s">
        <v>43168</v>
      </c>
      <c r="S24" t="s">
        <v>43286</v>
      </c>
      <c r="T24" t="s">
        <v>44696</v>
      </c>
      <c r="U24" t="s">
        <v>45237</v>
      </c>
      <c r="W24" t="s">
        <v>39332</v>
      </c>
      <c r="X24" t="s">
        <v>43173</v>
      </c>
    </row>
    <row r="25" spans="1:24">
      <c r="A25">
        <f>HYPERLINK("https://www.philgeps.gov.ph/GEPSNONPILOT/Tender/SplashBidNoticeAbstractUI.aspx?menuIndex=3&amp;refID=7079164&amp;Result=3","7079164")</f>
        <v>0</v>
      </c>
      <c r="B25" t="s">
        <v>33</v>
      </c>
      <c r="C25" t="s">
        <v>3479</v>
      </c>
      <c r="D25" t="s">
        <v>17419</v>
      </c>
      <c r="E25" t="s">
        <v>17537</v>
      </c>
      <c r="F25" t="s">
        <v>30052</v>
      </c>
      <c r="G25" t="s">
        <v>30058</v>
      </c>
      <c r="H25" t="s">
        <v>15498</v>
      </c>
      <c r="I25" t="s">
        <v>30073</v>
      </c>
      <c r="J25" t="s">
        <v>30227</v>
      </c>
      <c r="K25" t="s">
        <v>39025</v>
      </c>
      <c r="M25" t="s">
        <v>39323</v>
      </c>
      <c r="N25" t="s">
        <v>43166</v>
      </c>
      <c r="O25" t="s">
        <v>43167</v>
      </c>
      <c r="P25">
        <v>0</v>
      </c>
      <c r="Q25">
        <v>0</v>
      </c>
      <c r="R25" t="s">
        <v>43168</v>
      </c>
      <c r="S25" t="s">
        <v>43286</v>
      </c>
      <c r="T25" t="s">
        <v>44687</v>
      </c>
      <c r="U25" t="s">
        <v>45238</v>
      </c>
      <c r="W25" t="s">
        <v>39323</v>
      </c>
      <c r="X25" t="s">
        <v>43173</v>
      </c>
    </row>
    <row r="26" spans="1:24">
      <c r="A26">
        <f>HYPERLINK("https://www.philgeps.gov.ph/GEPSNONPILOT/Tender/SplashBidNoticeAbstractUI.aspx?menuIndex=3&amp;refID=7067777&amp;Result=3","7067777")</f>
        <v>0</v>
      </c>
      <c r="B26" t="s">
        <v>39</v>
      </c>
      <c r="C26" t="s">
        <v>3480</v>
      </c>
      <c r="D26" t="s">
        <v>17419</v>
      </c>
      <c r="E26" t="s">
        <v>17538</v>
      </c>
      <c r="F26" t="s">
        <v>30052</v>
      </c>
      <c r="G26" t="s">
        <v>30058</v>
      </c>
      <c r="H26" t="s">
        <v>30067</v>
      </c>
      <c r="I26" t="s">
        <v>3693</v>
      </c>
      <c r="J26" t="s">
        <v>30228</v>
      </c>
      <c r="K26" t="s">
        <v>39031</v>
      </c>
      <c r="M26" t="s">
        <v>39329</v>
      </c>
      <c r="N26" t="s">
        <v>43166</v>
      </c>
      <c r="O26" t="s">
        <v>43167</v>
      </c>
      <c r="P26">
        <v>0</v>
      </c>
      <c r="Q26">
        <v>0</v>
      </c>
      <c r="R26" t="s">
        <v>43168</v>
      </c>
      <c r="S26" t="s">
        <v>43286</v>
      </c>
      <c r="T26" t="s">
        <v>44693</v>
      </c>
      <c r="U26" t="s">
        <v>45239</v>
      </c>
      <c r="W26" t="s">
        <v>39329</v>
      </c>
      <c r="X26" t="s">
        <v>43179</v>
      </c>
    </row>
    <row r="27" spans="1:24">
      <c r="A27">
        <f>HYPERLINK("https://www.philgeps.gov.ph/GEPSNONPILOT/Tender/SplashBidNoticeAbstractUI.aspx?menuIndex=3&amp;refID=7079065&amp;Result=3","7079065")</f>
        <v>0</v>
      </c>
      <c r="B27" t="s">
        <v>33</v>
      </c>
      <c r="C27" t="s">
        <v>3481</v>
      </c>
      <c r="D27" t="s">
        <v>17419</v>
      </c>
      <c r="E27" t="s">
        <v>17539</v>
      </c>
      <c r="F27" t="s">
        <v>30052</v>
      </c>
      <c r="G27" t="s">
        <v>30058</v>
      </c>
      <c r="H27" t="s">
        <v>15498</v>
      </c>
      <c r="I27" t="s">
        <v>3736</v>
      </c>
      <c r="J27" t="s">
        <v>30229</v>
      </c>
      <c r="K27" t="s">
        <v>39025</v>
      </c>
      <c r="M27" t="s">
        <v>39323</v>
      </c>
      <c r="N27" t="s">
        <v>43166</v>
      </c>
      <c r="O27" t="s">
        <v>43167</v>
      </c>
      <c r="P27">
        <v>0</v>
      </c>
      <c r="Q27">
        <v>0</v>
      </c>
      <c r="R27" t="s">
        <v>43168</v>
      </c>
      <c r="S27" t="s">
        <v>43286</v>
      </c>
      <c r="T27" t="s">
        <v>44692</v>
      </c>
      <c r="U27" t="s">
        <v>45240</v>
      </c>
      <c r="W27" t="s">
        <v>39323</v>
      </c>
      <c r="X27" t="s">
        <v>43173</v>
      </c>
    </row>
    <row r="28" spans="1:24">
      <c r="A28">
        <f>HYPERLINK("https://www.philgeps.gov.ph/GEPSNONPILOT/Tender/SplashBidNoticeAbstractUI.aspx?menuIndex=3&amp;refID=7078994&amp;Result=3","7078994")</f>
        <v>0</v>
      </c>
      <c r="B28" t="s">
        <v>43</v>
      </c>
      <c r="C28" t="s">
        <v>3482</v>
      </c>
      <c r="D28" t="s">
        <v>17426</v>
      </c>
      <c r="E28" t="s">
        <v>17540</v>
      </c>
      <c r="F28" t="s">
        <v>30052</v>
      </c>
      <c r="G28" t="s">
        <v>30059</v>
      </c>
      <c r="H28" t="s">
        <v>15498</v>
      </c>
      <c r="I28" t="s">
        <v>30077</v>
      </c>
      <c r="J28" t="s">
        <v>30230</v>
      </c>
      <c r="K28" t="s">
        <v>39032</v>
      </c>
      <c r="M28" t="s">
        <v>39333</v>
      </c>
      <c r="N28" t="s">
        <v>43166</v>
      </c>
      <c r="O28" t="s">
        <v>43167</v>
      </c>
      <c r="P28">
        <v>0</v>
      </c>
      <c r="Q28">
        <v>2</v>
      </c>
      <c r="R28" t="s">
        <v>43168</v>
      </c>
      <c r="S28" t="s">
        <v>43286</v>
      </c>
      <c r="T28" t="s">
        <v>44691</v>
      </c>
      <c r="U28" t="s">
        <v>45241</v>
      </c>
      <c r="W28" t="s">
        <v>39333</v>
      </c>
      <c r="X28" t="s">
        <v>43173</v>
      </c>
    </row>
    <row r="29" spans="1:24">
      <c r="A29">
        <f>HYPERLINK("https://www.philgeps.gov.ph/GEPSNONPILOT/Tender/SplashBidNoticeAbstractUI.aspx?menuIndex=3&amp;refID=7077639&amp;Result=3","7077639")</f>
        <v>0</v>
      </c>
      <c r="B29" t="s">
        <v>41</v>
      </c>
      <c r="C29" t="s">
        <v>3483</v>
      </c>
      <c r="D29" t="s">
        <v>17415</v>
      </c>
      <c r="E29" t="s">
        <v>17541</v>
      </c>
      <c r="F29" t="s">
        <v>30052</v>
      </c>
      <c r="G29" t="s">
        <v>30059</v>
      </c>
      <c r="H29" t="s">
        <v>15498</v>
      </c>
      <c r="I29" t="s">
        <v>3852</v>
      </c>
      <c r="J29" t="s">
        <v>30231</v>
      </c>
      <c r="K29" t="s">
        <v>39017</v>
      </c>
      <c r="M29" t="s">
        <v>39331</v>
      </c>
      <c r="N29" t="s">
        <v>43166</v>
      </c>
      <c r="O29" t="s">
        <v>43167</v>
      </c>
      <c r="P29">
        <v>0</v>
      </c>
      <c r="Q29">
        <v>0</v>
      </c>
      <c r="R29" t="s">
        <v>43168</v>
      </c>
      <c r="S29" t="s">
        <v>43286</v>
      </c>
      <c r="T29" t="s">
        <v>44695</v>
      </c>
      <c r="U29" t="s">
        <v>45242</v>
      </c>
      <c r="V29" t="s">
        <v>56815</v>
      </c>
      <c r="W29" t="s">
        <v>39331</v>
      </c>
      <c r="X29" t="s">
        <v>43174</v>
      </c>
    </row>
    <row r="30" spans="1:24">
      <c r="A30">
        <f>HYPERLINK("https://www.philgeps.gov.ph/GEPSNONPILOT/Tender/SplashBidNoticeAbstractUI.aspx?menuIndex=3&amp;refID=7077615&amp;Result=3","7077615")</f>
        <v>0</v>
      </c>
      <c r="B30" t="s">
        <v>41</v>
      </c>
      <c r="C30" t="s">
        <v>3484</v>
      </c>
      <c r="D30" t="s">
        <v>17415</v>
      </c>
      <c r="E30" t="s">
        <v>17542</v>
      </c>
      <c r="F30" t="s">
        <v>30052</v>
      </c>
      <c r="G30" t="s">
        <v>30061</v>
      </c>
      <c r="H30" t="s">
        <v>15498</v>
      </c>
      <c r="I30" t="s">
        <v>30078</v>
      </c>
      <c r="J30" t="s">
        <v>30232</v>
      </c>
      <c r="K30" t="s">
        <v>39017</v>
      </c>
      <c r="M30" t="s">
        <v>39331</v>
      </c>
      <c r="N30" t="s">
        <v>43166</v>
      </c>
      <c r="O30" t="s">
        <v>43167</v>
      </c>
      <c r="P30">
        <v>0</v>
      </c>
      <c r="Q30">
        <v>0</v>
      </c>
      <c r="R30" t="s">
        <v>43168</v>
      </c>
      <c r="S30" t="s">
        <v>43286</v>
      </c>
      <c r="T30" t="s">
        <v>44695</v>
      </c>
      <c r="U30" t="s">
        <v>45243</v>
      </c>
      <c r="V30" t="s">
        <v>56815</v>
      </c>
      <c r="W30" t="s">
        <v>39331</v>
      </c>
      <c r="X30" t="s">
        <v>43174</v>
      </c>
    </row>
    <row r="31" spans="1:24">
      <c r="A31">
        <f>HYPERLINK("https://www.philgeps.gov.ph/GEPSNONPILOT/Tender/SplashBidNoticeAbstractUI.aspx?menuIndex=3&amp;refID=7077592&amp;Result=3","7077592")</f>
        <v>0</v>
      </c>
      <c r="B31" t="s">
        <v>44</v>
      </c>
      <c r="C31" t="s">
        <v>3485</v>
      </c>
      <c r="D31" t="s">
        <v>17427</v>
      </c>
      <c r="E31" t="s">
        <v>17543</v>
      </c>
      <c r="F31" t="s">
        <v>30052</v>
      </c>
      <c r="G31" t="s">
        <v>30059</v>
      </c>
      <c r="H31" t="s">
        <v>15498</v>
      </c>
      <c r="I31" t="s">
        <v>4598</v>
      </c>
      <c r="J31" t="s">
        <v>30233</v>
      </c>
      <c r="K31" t="s">
        <v>39018</v>
      </c>
      <c r="M31" t="s">
        <v>39334</v>
      </c>
      <c r="N31" t="s">
        <v>43166</v>
      </c>
      <c r="O31" t="s">
        <v>43167</v>
      </c>
      <c r="P31">
        <v>0</v>
      </c>
      <c r="Q31">
        <v>2</v>
      </c>
      <c r="R31" t="s">
        <v>43168</v>
      </c>
      <c r="S31" t="s">
        <v>43286</v>
      </c>
      <c r="T31" t="s">
        <v>44691</v>
      </c>
      <c r="U31" t="s">
        <v>45244</v>
      </c>
      <c r="W31" t="s">
        <v>39334</v>
      </c>
      <c r="X31" t="s">
        <v>43174</v>
      </c>
    </row>
    <row r="32" spans="1:24">
      <c r="A32">
        <f>HYPERLINK("https://www.philgeps.gov.ph/GEPSNONPILOT/Tender/SplashBidNoticeAbstractUI.aspx?menuIndex=3&amp;refID=7077562&amp;Result=3","7077562")</f>
        <v>0</v>
      </c>
      <c r="B32" t="s">
        <v>41</v>
      </c>
      <c r="C32" t="s">
        <v>3486</v>
      </c>
      <c r="D32" t="s">
        <v>17415</v>
      </c>
      <c r="E32" t="s">
        <v>17544</v>
      </c>
      <c r="F32" t="s">
        <v>30052</v>
      </c>
      <c r="G32" t="s">
        <v>30059</v>
      </c>
      <c r="H32" t="s">
        <v>15498</v>
      </c>
      <c r="I32" t="s">
        <v>30079</v>
      </c>
      <c r="J32" t="s">
        <v>30234</v>
      </c>
      <c r="K32" t="s">
        <v>39017</v>
      </c>
      <c r="M32" t="s">
        <v>39331</v>
      </c>
      <c r="N32" t="s">
        <v>43166</v>
      </c>
      <c r="O32" t="s">
        <v>43167</v>
      </c>
      <c r="P32">
        <v>0</v>
      </c>
      <c r="Q32">
        <v>1</v>
      </c>
      <c r="R32" t="s">
        <v>43168</v>
      </c>
      <c r="S32" t="s">
        <v>43286</v>
      </c>
      <c r="T32" t="s">
        <v>44695</v>
      </c>
      <c r="U32" t="s">
        <v>45245</v>
      </c>
      <c r="V32" t="s">
        <v>56815</v>
      </c>
      <c r="W32" t="s">
        <v>39331</v>
      </c>
      <c r="X32" t="s">
        <v>43174</v>
      </c>
    </row>
    <row r="33" spans="1:24">
      <c r="A33">
        <f>HYPERLINK("https://www.philgeps.gov.ph/GEPSNONPILOT/Tender/SplashBidNoticeAbstractUI.aspx?menuIndex=3&amp;refID=7077537&amp;Result=3","7077537")</f>
        <v>0</v>
      </c>
      <c r="B33" t="s">
        <v>41</v>
      </c>
      <c r="C33" t="s">
        <v>3487</v>
      </c>
      <c r="D33" t="s">
        <v>17415</v>
      </c>
      <c r="E33" t="s">
        <v>17545</v>
      </c>
      <c r="F33" t="s">
        <v>30052</v>
      </c>
      <c r="G33" t="s">
        <v>30059</v>
      </c>
      <c r="H33" t="s">
        <v>15498</v>
      </c>
      <c r="I33" t="s">
        <v>30080</v>
      </c>
      <c r="J33" t="s">
        <v>30235</v>
      </c>
      <c r="K33" t="s">
        <v>39017</v>
      </c>
      <c r="M33" t="s">
        <v>39331</v>
      </c>
      <c r="N33" t="s">
        <v>43166</v>
      </c>
      <c r="O33" t="s">
        <v>43167</v>
      </c>
      <c r="P33">
        <v>0</v>
      </c>
      <c r="Q33">
        <v>7</v>
      </c>
      <c r="R33" t="s">
        <v>43168</v>
      </c>
      <c r="S33" t="s">
        <v>43286</v>
      </c>
      <c r="T33" t="s">
        <v>44695</v>
      </c>
      <c r="U33" t="s">
        <v>45246</v>
      </c>
      <c r="V33" t="s">
        <v>56815</v>
      </c>
      <c r="W33" t="s">
        <v>39331</v>
      </c>
      <c r="X33" t="s">
        <v>43174</v>
      </c>
    </row>
    <row r="34" spans="1:24">
      <c r="A34">
        <f>HYPERLINK("https://www.philgeps.gov.ph/GEPSNONPILOT/Tender/SplashBidNoticeAbstractUI.aspx?menuIndex=3&amp;refID=7077498&amp;Result=3","7077498")</f>
        <v>0</v>
      </c>
      <c r="B34" t="s">
        <v>41</v>
      </c>
      <c r="C34" t="s">
        <v>3488</v>
      </c>
      <c r="D34" t="s">
        <v>17415</v>
      </c>
      <c r="E34" t="s">
        <v>17546</v>
      </c>
      <c r="F34" t="s">
        <v>30052</v>
      </c>
      <c r="G34" t="s">
        <v>30059</v>
      </c>
      <c r="H34" t="s">
        <v>15498</v>
      </c>
      <c r="I34" t="s">
        <v>30078</v>
      </c>
      <c r="J34" t="s">
        <v>30236</v>
      </c>
      <c r="K34" t="s">
        <v>39017</v>
      </c>
      <c r="M34" t="s">
        <v>39331</v>
      </c>
      <c r="N34" t="s">
        <v>43166</v>
      </c>
      <c r="O34" t="s">
        <v>43167</v>
      </c>
      <c r="P34">
        <v>0</v>
      </c>
      <c r="Q34">
        <v>2</v>
      </c>
      <c r="R34" t="s">
        <v>43168</v>
      </c>
      <c r="S34" t="s">
        <v>43286</v>
      </c>
      <c r="T34" t="s">
        <v>44697</v>
      </c>
      <c r="U34" t="s">
        <v>45247</v>
      </c>
      <c r="V34" t="s">
        <v>56815</v>
      </c>
      <c r="W34" t="s">
        <v>39331</v>
      </c>
      <c r="X34" t="s">
        <v>43174</v>
      </c>
    </row>
    <row r="35" spans="1:24">
      <c r="A35">
        <f>HYPERLINK("https://www.philgeps.gov.ph/GEPSNONPILOT/Tender/SplashBidNoticeAbstractUI.aspx?menuIndex=3&amp;refID=7077408&amp;Result=3","7077408")</f>
        <v>0</v>
      </c>
      <c r="B35" t="s">
        <v>41</v>
      </c>
      <c r="C35" t="s">
        <v>3489</v>
      </c>
      <c r="D35" t="s">
        <v>17415</v>
      </c>
      <c r="E35" t="s">
        <v>17547</v>
      </c>
      <c r="F35" t="s">
        <v>30052</v>
      </c>
      <c r="G35" t="s">
        <v>30059</v>
      </c>
      <c r="H35" t="s">
        <v>15498</v>
      </c>
      <c r="I35" t="s">
        <v>30081</v>
      </c>
      <c r="J35" t="s">
        <v>30237</v>
      </c>
      <c r="K35" t="s">
        <v>39017</v>
      </c>
      <c r="M35" t="s">
        <v>39331</v>
      </c>
      <c r="N35" t="s">
        <v>43166</v>
      </c>
      <c r="O35" t="s">
        <v>43167</v>
      </c>
      <c r="P35">
        <v>0</v>
      </c>
      <c r="Q35">
        <v>0</v>
      </c>
      <c r="R35" t="s">
        <v>43168</v>
      </c>
      <c r="S35" t="s">
        <v>43286</v>
      </c>
      <c r="T35" t="s">
        <v>44698</v>
      </c>
      <c r="U35" t="s">
        <v>45248</v>
      </c>
      <c r="V35" t="s">
        <v>56815</v>
      </c>
      <c r="W35" t="s">
        <v>39331</v>
      </c>
      <c r="X35" t="s">
        <v>43174</v>
      </c>
    </row>
    <row r="36" spans="1:24">
      <c r="A36">
        <f>HYPERLINK("https://www.philgeps.gov.ph/GEPSNONPILOT/Tender/SplashBidNoticeAbstractUI.aspx?menuIndex=3&amp;refID=7079190&amp;Result=3","7079190")</f>
        <v>0</v>
      </c>
      <c r="B36" t="s">
        <v>45</v>
      </c>
      <c r="C36" t="s">
        <v>3490</v>
      </c>
      <c r="D36" t="s">
        <v>17428</v>
      </c>
      <c r="E36" t="s">
        <v>17548</v>
      </c>
      <c r="F36" t="s">
        <v>30052</v>
      </c>
      <c r="G36" t="s">
        <v>30059</v>
      </c>
      <c r="H36" t="s">
        <v>15498</v>
      </c>
      <c r="I36" t="s">
        <v>30076</v>
      </c>
      <c r="J36" t="s">
        <v>30238</v>
      </c>
      <c r="K36" t="s">
        <v>39019</v>
      </c>
      <c r="M36" t="s">
        <v>39335</v>
      </c>
      <c r="N36" t="s">
        <v>43166</v>
      </c>
      <c r="O36" t="s">
        <v>43167</v>
      </c>
      <c r="P36">
        <v>0</v>
      </c>
      <c r="Q36">
        <v>1</v>
      </c>
      <c r="R36" t="s">
        <v>43168</v>
      </c>
      <c r="S36" t="s">
        <v>43286</v>
      </c>
      <c r="T36" t="s">
        <v>44699</v>
      </c>
      <c r="U36" t="s">
        <v>45249</v>
      </c>
      <c r="W36" t="s">
        <v>39335</v>
      </c>
      <c r="X36" t="s">
        <v>43173</v>
      </c>
    </row>
    <row r="37" spans="1:24">
      <c r="A37">
        <f>HYPERLINK("https://www.philgeps.gov.ph/GEPSNONPILOT/Tender/SplashBidNoticeAbstractUI.aspx?menuIndex=3&amp;refID=7079896&amp;Result=3","7079896")</f>
        <v>0</v>
      </c>
      <c r="B37" t="s">
        <v>46</v>
      </c>
      <c r="C37" t="s">
        <v>3491</v>
      </c>
      <c r="D37" t="s">
        <v>17429</v>
      </c>
      <c r="E37" t="s">
        <v>17549</v>
      </c>
      <c r="F37" t="s">
        <v>30052</v>
      </c>
      <c r="G37" t="s">
        <v>30058</v>
      </c>
      <c r="H37" t="s">
        <v>15498</v>
      </c>
      <c r="I37" t="s">
        <v>3736</v>
      </c>
      <c r="J37" t="s">
        <v>30239</v>
      </c>
      <c r="K37" t="s">
        <v>39025</v>
      </c>
      <c r="M37" t="s">
        <v>39336</v>
      </c>
      <c r="N37" t="s">
        <v>43166</v>
      </c>
      <c r="O37" t="s">
        <v>43167</v>
      </c>
      <c r="P37">
        <v>0</v>
      </c>
      <c r="Q37">
        <v>0</v>
      </c>
      <c r="R37" t="s">
        <v>43168</v>
      </c>
      <c r="S37" t="s">
        <v>43286</v>
      </c>
      <c r="T37" t="s">
        <v>44700</v>
      </c>
      <c r="U37" t="s">
        <v>45250</v>
      </c>
      <c r="W37" t="s">
        <v>39336</v>
      </c>
      <c r="X37" t="s">
        <v>43173</v>
      </c>
    </row>
    <row r="38" spans="1:24">
      <c r="A38">
        <f>HYPERLINK("https://www.philgeps.gov.ph/GEPSNONPILOT/Tender/SplashBidNoticeAbstractUI.aspx?menuIndex=3&amp;refID=7079558&amp;Result=3","7079558")</f>
        <v>0</v>
      </c>
      <c r="B38" t="s">
        <v>47</v>
      </c>
      <c r="C38" t="s">
        <v>3492</v>
      </c>
      <c r="D38" t="s">
        <v>17430</v>
      </c>
      <c r="E38" t="s">
        <v>17550</v>
      </c>
      <c r="F38" t="s">
        <v>30052</v>
      </c>
      <c r="G38" t="s">
        <v>30058</v>
      </c>
      <c r="H38" t="s">
        <v>30067</v>
      </c>
      <c r="I38" t="s">
        <v>30082</v>
      </c>
      <c r="J38" t="s">
        <v>30240</v>
      </c>
      <c r="K38" t="s">
        <v>39025</v>
      </c>
      <c r="M38" t="s">
        <v>39337</v>
      </c>
      <c r="N38" t="s">
        <v>43166</v>
      </c>
      <c r="O38" t="s">
        <v>43167</v>
      </c>
      <c r="P38">
        <v>0</v>
      </c>
      <c r="Q38">
        <v>0</v>
      </c>
      <c r="R38" t="s">
        <v>43168</v>
      </c>
      <c r="S38" t="s">
        <v>43286</v>
      </c>
      <c r="T38" t="s">
        <v>44701</v>
      </c>
      <c r="U38" t="s">
        <v>45251</v>
      </c>
      <c r="V38" t="s">
        <v>56816</v>
      </c>
      <c r="W38" t="s">
        <v>39337</v>
      </c>
      <c r="X38" t="s">
        <v>43173</v>
      </c>
    </row>
    <row r="39" spans="1:24">
      <c r="A39">
        <f>HYPERLINK("https://www.philgeps.gov.ph/GEPSNONPILOT/Tender/SplashBidNoticeAbstractUI.aspx?menuIndex=3&amp;refID=7078988&amp;Result=3","7078988")</f>
        <v>0</v>
      </c>
      <c r="B39" t="s">
        <v>33</v>
      </c>
      <c r="C39" t="s">
        <v>3493</v>
      </c>
      <c r="D39" t="s">
        <v>17419</v>
      </c>
      <c r="E39" t="s">
        <v>17551</v>
      </c>
      <c r="F39" t="s">
        <v>30052</v>
      </c>
      <c r="G39" t="s">
        <v>30058</v>
      </c>
      <c r="H39" t="s">
        <v>15498</v>
      </c>
      <c r="I39" t="s">
        <v>3736</v>
      </c>
      <c r="J39" t="s">
        <v>30241</v>
      </c>
      <c r="K39" t="s">
        <v>39025</v>
      </c>
      <c r="M39" t="s">
        <v>39323</v>
      </c>
      <c r="N39" t="s">
        <v>43166</v>
      </c>
      <c r="O39" t="s">
        <v>43167</v>
      </c>
      <c r="P39">
        <v>0</v>
      </c>
      <c r="Q39">
        <v>0</v>
      </c>
      <c r="R39" t="s">
        <v>43168</v>
      </c>
      <c r="S39" t="s">
        <v>43286</v>
      </c>
      <c r="T39" t="s">
        <v>44692</v>
      </c>
      <c r="U39" t="s">
        <v>45252</v>
      </c>
      <c r="W39" t="s">
        <v>39323</v>
      </c>
      <c r="X39" t="s">
        <v>43173</v>
      </c>
    </row>
    <row r="40" spans="1:24">
      <c r="A40">
        <f>HYPERLINK("https://www.philgeps.gov.ph/GEPSNONPILOT/Tender/SplashBidNoticeAbstractUI.aspx?menuIndex=3&amp;refID=7077596&amp;Result=3","7077596")</f>
        <v>0</v>
      </c>
      <c r="B40" t="s">
        <v>41</v>
      </c>
      <c r="C40" t="s">
        <v>3494</v>
      </c>
      <c r="D40" t="s">
        <v>17415</v>
      </c>
      <c r="E40" t="s">
        <v>17552</v>
      </c>
      <c r="F40" t="s">
        <v>30052</v>
      </c>
      <c r="G40" t="s">
        <v>30059</v>
      </c>
      <c r="H40" t="s">
        <v>15498</v>
      </c>
      <c r="I40" t="s">
        <v>30083</v>
      </c>
      <c r="J40" t="s">
        <v>30242</v>
      </c>
      <c r="K40" t="s">
        <v>39017</v>
      </c>
      <c r="M40" t="s">
        <v>39331</v>
      </c>
      <c r="N40" t="s">
        <v>43166</v>
      </c>
      <c r="O40" t="s">
        <v>43167</v>
      </c>
      <c r="P40">
        <v>0</v>
      </c>
      <c r="Q40">
        <v>0</v>
      </c>
      <c r="R40" t="s">
        <v>43168</v>
      </c>
      <c r="S40" t="s">
        <v>43286</v>
      </c>
      <c r="T40" t="s">
        <v>44695</v>
      </c>
      <c r="U40" t="s">
        <v>45253</v>
      </c>
      <c r="V40" t="s">
        <v>56815</v>
      </c>
      <c r="W40" t="s">
        <v>39331</v>
      </c>
      <c r="X40" t="s">
        <v>43174</v>
      </c>
    </row>
    <row r="41" spans="1:24">
      <c r="A41">
        <f>HYPERLINK("https://www.philgeps.gov.ph/GEPSNONPILOT/Tender/SplashBidNoticeAbstractUI.aspx?menuIndex=3&amp;refID=7079506&amp;Result=3","7079506")</f>
        <v>0</v>
      </c>
      <c r="B41" t="s">
        <v>41</v>
      </c>
      <c r="C41" t="s">
        <v>3495</v>
      </c>
      <c r="D41" t="s">
        <v>17415</v>
      </c>
      <c r="E41" t="s">
        <v>17553</v>
      </c>
      <c r="F41" t="s">
        <v>30052</v>
      </c>
      <c r="G41" t="s">
        <v>30059</v>
      </c>
      <c r="H41" t="s">
        <v>15498</v>
      </c>
      <c r="I41" t="s">
        <v>3852</v>
      </c>
      <c r="J41" t="s">
        <v>30243</v>
      </c>
      <c r="K41" t="s">
        <v>39017</v>
      </c>
      <c r="M41" t="s">
        <v>39331</v>
      </c>
      <c r="N41" t="s">
        <v>43166</v>
      </c>
      <c r="O41" t="s">
        <v>43167</v>
      </c>
      <c r="P41">
        <v>0</v>
      </c>
      <c r="Q41">
        <v>1</v>
      </c>
      <c r="R41" t="s">
        <v>43168</v>
      </c>
      <c r="S41" t="s">
        <v>43286</v>
      </c>
      <c r="T41" t="s">
        <v>44697</v>
      </c>
      <c r="U41" t="s">
        <v>45254</v>
      </c>
      <c r="V41" t="s">
        <v>56815</v>
      </c>
      <c r="W41" t="s">
        <v>39331</v>
      </c>
      <c r="X41" t="s">
        <v>43173</v>
      </c>
    </row>
    <row r="42" spans="1:24">
      <c r="A42">
        <f>HYPERLINK("https://www.philgeps.gov.ph/GEPSNONPILOT/Tender/SplashBidNoticeAbstractUI.aspx?menuIndex=3&amp;refID=7079701&amp;Result=3","7079701")</f>
        <v>0</v>
      </c>
      <c r="B42" t="s">
        <v>48</v>
      </c>
      <c r="C42" t="s">
        <v>3496</v>
      </c>
      <c r="D42" t="s">
        <v>17431</v>
      </c>
      <c r="E42" t="s">
        <v>17554</v>
      </c>
      <c r="F42" t="s">
        <v>30052</v>
      </c>
      <c r="G42" t="s">
        <v>30058</v>
      </c>
      <c r="H42" t="s">
        <v>30067</v>
      </c>
      <c r="I42" t="s">
        <v>3693</v>
      </c>
      <c r="J42" t="s">
        <v>30244</v>
      </c>
      <c r="K42" t="s">
        <v>39025</v>
      </c>
      <c r="M42" t="s">
        <v>39338</v>
      </c>
      <c r="N42" t="s">
        <v>43166</v>
      </c>
      <c r="O42" t="s">
        <v>43167</v>
      </c>
      <c r="P42">
        <v>0</v>
      </c>
      <c r="Q42">
        <v>0</v>
      </c>
      <c r="R42" t="s">
        <v>43168</v>
      </c>
      <c r="S42" t="s">
        <v>43286</v>
      </c>
      <c r="T42" t="s">
        <v>44702</v>
      </c>
      <c r="U42" t="s">
        <v>45255</v>
      </c>
      <c r="W42" t="s">
        <v>39338</v>
      </c>
      <c r="X42" t="s">
        <v>43173</v>
      </c>
    </row>
    <row r="43" spans="1:24">
      <c r="A43">
        <f>HYPERLINK("https://www.philgeps.gov.ph/GEPSNONPILOT/Tender/SplashBidNoticeAbstractUI.aspx?menuIndex=3&amp;refID=7079499&amp;Result=3","7079499")</f>
        <v>0</v>
      </c>
      <c r="B43" t="s">
        <v>41</v>
      </c>
      <c r="C43" t="s">
        <v>3497</v>
      </c>
      <c r="D43" t="s">
        <v>17415</v>
      </c>
      <c r="E43" t="s">
        <v>17555</v>
      </c>
      <c r="F43" t="s">
        <v>30052</v>
      </c>
      <c r="G43" t="s">
        <v>30059</v>
      </c>
      <c r="H43" t="s">
        <v>15498</v>
      </c>
      <c r="I43" t="s">
        <v>30076</v>
      </c>
      <c r="J43" t="s">
        <v>30245</v>
      </c>
      <c r="K43" t="s">
        <v>39017</v>
      </c>
      <c r="M43" t="s">
        <v>39331</v>
      </c>
      <c r="N43" t="s">
        <v>43166</v>
      </c>
      <c r="O43" t="s">
        <v>43167</v>
      </c>
      <c r="P43">
        <v>0</v>
      </c>
      <c r="Q43">
        <v>4</v>
      </c>
      <c r="R43" t="s">
        <v>43168</v>
      </c>
      <c r="S43" t="s">
        <v>43286</v>
      </c>
      <c r="T43" t="s">
        <v>44695</v>
      </c>
      <c r="U43" t="s">
        <v>45256</v>
      </c>
      <c r="V43" t="s">
        <v>56815</v>
      </c>
      <c r="W43" t="s">
        <v>39331</v>
      </c>
      <c r="X43" t="s">
        <v>43173</v>
      </c>
    </row>
    <row r="44" spans="1:24">
      <c r="A44">
        <f>HYPERLINK("https://www.philgeps.gov.ph/GEPSNONPILOT/Tender/SplashBidNoticeAbstractUI.aspx?menuIndex=3&amp;refID=7079488&amp;Result=3","7079488")</f>
        <v>0</v>
      </c>
      <c r="B44" t="s">
        <v>41</v>
      </c>
      <c r="C44" t="s">
        <v>3498</v>
      </c>
      <c r="D44" t="s">
        <v>17415</v>
      </c>
      <c r="E44" t="s">
        <v>17556</v>
      </c>
      <c r="F44" t="s">
        <v>30052</v>
      </c>
      <c r="G44" t="s">
        <v>30059</v>
      </c>
      <c r="H44" t="s">
        <v>15498</v>
      </c>
      <c r="I44" t="s">
        <v>30083</v>
      </c>
      <c r="J44" t="s">
        <v>30246</v>
      </c>
      <c r="K44" t="s">
        <v>39017</v>
      </c>
      <c r="M44" t="s">
        <v>39331</v>
      </c>
      <c r="N44" t="s">
        <v>43166</v>
      </c>
      <c r="O44" t="s">
        <v>43167</v>
      </c>
      <c r="P44">
        <v>0</v>
      </c>
      <c r="Q44">
        <v>0</v>
      </c>
      <c r="R44" t="s">
        <v>43168</v>
      </c>
      <c r="S44" t="s">
        <v>43286</v>
      </c>
      <c r="T44" t="s">
        <v>44695</v>
      </c>
      <c r="U44" t="s">
        <v>45257</v>
      </c>
      <c r="V44" t="s">
        <v>56815</v>
      </c>
      <c r="W44" t="s">
        <v>39331</v>
      </c>
      <c r="X44" t="s">
        <v>43173</v>
      </c>
    </row>
    <row r="45" spans="1:24">
      <c r="A45">
        <f>HYPERLINK("https://www.philgeps.gov.ph/GEPSNONPILOT/Tender/SplashBidNoticeAbstractUI.aspx?menuIndex=3&amp;refID=7081933&amp;Result=3","7081933")</f>
        <v>0</v>
      </c>
      <c r="B45" t="s">
        <v>49</v>
      </c>
      <c r="C45" t="s">
        <v>3499</v>
      </c>
      <c r="D45" t="s">
        <v>17432</v>
      </c>
      <c r="E45" t="s">
        <v>17557</v>
      </c>
      <c r="F45" t="s">
        <v>30052</v>
      </c>
      <c r="G45" t="s">
        <v>30058</v>
      </c>
      <c r="H45" t="s">
        <v>30067</v>
      </c>
      <c r="I45" t="s">
        <v>3693</v>
      </c>
      <c r="J45" t="s">
        <v>30247</v>
      </c>
      <c r="K45" t="s">
        <v>39033</v>
      </c>
      <c r="M45" t="s">
        <v>39339</v>
      </c>
      <c r="N45" t="s">
        <v>43166</v>
      </c>
      <c r="O45" t="s">
        <v>43167</v>
      </c>
      <c r="P45">
        <v>0</v>
      </c>
      <c r="Q45">
        <v>0</v>
      </c>
      <c r="R45" t="s">
        <v>43168</v>
      </c>
      <c r="S45" t="s">
        <v>43286</v>
      </c>
      <c r="T45" t="s">
        <v>44703</v>
      </c>
      <c r="U45" t="s">
        <v>45258</v>
      </c>
      <c r="W45" t="s">
        <v>39339</v>
      </c>
      <c r="X45" t="s">
        <v>43172</v>
      </c>
    </row>
    <row r="46" spans="1:24">
      <c r="A46">
        <f>HYPERLINK("https://www.philgeps.gov.ph/GEPSNONPILOT/Tender/SplashBidNoticeAbstractUI.aspx?menuIndex=3&amp;refID=7081892&amp;Result=3","7081892")</f>
        <v>0</v>
      </c>
      <c r="B46" t="s">
        <v>50</v>
      </c>
      <c r="C46" t="s">
        <v>3500</v>
      </c>
      <c r="D46" t="s">
        <v>17433</v>
      </c>
      <c r="E46" t="s">
        <v>17558</v>
      </c>
      <c r="F46" t="s">
        <v>30052</v>
      </c>
      <c r="G46" t="s">
        <v>30062</v>
      </c>
      <c r="H46" t="s">
        <v>15498</v>
      </c>
      <c r="I46" t="s">
        <v>30084</v>
      </c>
      <c r="J46" t="s">
        <v>30248</v>
      </c>
      <c r="K46" t="s">
        <v>39017</v>
      </c>
      <c r="M46" t="s">
        <v>39340</v>
      </c>
      <c r="N46" t="s">
        <v>43166</v>
      </c>
      <c r="O46" t="s">
        <v>43167</v>
      </c>
      <c r="P46">
        <v>0</v>
      </c>
      <c r="Q46">
        <v>1</v>
      </c>
      <c r="R46" t="s">
        <v>43168</v>
      </c>
      <c r="S46" t="s">
        <v>43286</v>
      </c>
      <c r="T46" t="s">
        <v>44704</v>
      </c>
      <c r="U46" t="s">
        <v>45259</v>
      </c>
      <c r="W46" t="s">
        <v>39340</v>
      </c>
      <c r="X46" t="s">
        <v>43172</v>
      </c>
    </row>
    <row r="47" spans="1:24">
      <c r="A47">
        <f>HYPERLINK("https://www.philgeps.gov.ph/GEPSNONPILOT/Tender/SplashBidNoticeAbstractUI.aspx?menuIndex=3&amp;refID=7081877&amp;Result=3","7081877")</f>
        <v>0</v>
      </c>
      <c r="B47" t="s">
        <v>50</v>
      </c>
      <c r="C47" t="s">
        <v>3501</v>
      </c>
      <c r="D47" t="s">
        <v>17433</v>
      </c>
      <c r="E47" t="s">
        <v>17559</v>
      </c>
      <c r="F47" t="s">
        <v>30052</v>
      </c>
      <c r="G47" t="s">
        <v>30059</v>
      </c>
      <c r="H47" t="s">
        <v>15498</v>
      </c>
      <c r="I47" t="s">
        <v>7228</v>
      </c>
      <c r="J47" t="s">
        <v>30249</v>
      </c>
      <c r="K47" t="s">
        <v>39017</v>
      </c>
      <c r="M47" t="s">
        <v>39340</v>
      </c>
      <c r="N47" t="s">
        <v>43166</v>
      </c>
      <c r="O47" t="s">
        <v>43167</v>
      </c>
      <c r="P47">
        <v>0</v>
      </c>
      <c r="Q47">
        <v>0</v>
      </c>
      <c r="R47" t="s">
        <v>43168</v>
      </c>
      <c r="S47" t="s">
        <v>43286</v>
      </c>
      <c r="T47" t="s">
        <v>44704</v>
      </c>
      <c r="U47" t="s">
        <v>45260</v>
      </c>
      <c r="W47" t="s">
        <v>39340</v>
      </c>
      <c r="X47" t="s">
        <v>43172</v>
      </c>
    </row>
    <row r="48" spans="1:24">
      <c r="A48">
        <f>HYPERLINK("https://www.philgeps.gov.ph/GEPSNONPILOT/Tender/SplashBidNoticeAbstractUI.aspx?menuIndex=3&amp;refID=7078855&amp;Result=3","7078855")</f>
        <v>0</v>
      </c>
      <c r="B48" t="s">
        <v>51</v>
      </c>
      <c r="C48" t="s">
        <v>3502</v>
      </c>
      <c r="D48" t="s">
        <v>17434</v>
      </c>
      <c r="E48" t="s">
        <v>3502</v>
      </c>
      <c r="F48" t="s">
        <v>30052</v>
      </c>
      <c r="G48" t="s">
        <v>30061</v>
      </c>
      <c r="H48" t="s">
        <v>15498</v>
      </c>
      <c r="I48" t="s">
        <v>7228</v>
      </c>
      <c r="J48" t="s">
        <v>30250</v>
      </c>
      <c r="K48" t="s">
        <v>39029</v>
      </c>
      <c r="M48" t="s">
        <v>39331</v>
      </c>
      <c r="N48" t="s">
        <v>43166</v>
      </c>
      <c r="O48" t="s">
        <v>43167</v>
      </c>
      <c r="P48">
        <v>0</v>
      </c>
      <c r="Q48">
        <v>0</v>
      </c>
      <c r="R48" t="s">
        <v>43168</v>
      </c>
      <c r="S48" t="s">
        <v>43286</v>
      </c>
      <c r="T48" t="s">
        <v>44685</v>
      </c>
      <c r="U48" t="s">
        <v>45261</v>
      </c>
      <c r="W48" t="s">
        <v>39331</v>
      </c>
      <c r="X48" t="s">
        <v>43173</v>
      </c>
    </row>
    <row r="49" spans="1:24">
      <c r="A49">
        <f>HYPERLINK("https://www.philgeps.gov.ph/GEPSNONPILOT/Tender/SplashBidNoticeAbstractUI.aspx?menuIndex=3&amp;refID=7079523&amp;Result=3","7079523")</f>
        <v>0</v>
      </c>
      <c r="B49" t="s">
        <v>41</v>
      </c>
      <c r="C49" t="s">
        <v>3503</v>
      </c>
      <c r="D49" t="s">
        <v>17415</v>
      </c>
      <c r="E49" t="s">
        <v>17560</v>
      </c>
      <c r="F49" t="s">
        <v>30052</v>
      </c>
      <c r="G49" t="s">
        <v>30059</v>
      </c>
      <c r="H49" t="s">
        <v>15498</v>
      </c>
      <c r="I49" t="s">
        <v>3852</v>
      </c>
      <c r="J49" t="s">
        <v>30251</v>
      </c>
      <c r="K49" t="s">
        <v>39017</v>
      </c>
      <c r="M49" t="s">
        <v>39331</v>
      </c>
      <c r="N49" t="s">
        <v>43166</v>
      </c>
      <c r="O49" t="s">
        <v>43167</v>
      </c>
      <c r="P49">
        <v>0</v>
      </c>
      <c r="Q49">
        <v>0</v>
      </c>
      <c r="R49" t="s">
        <v>43168</v>
      </c>
      <c r="S49" t="s">
        <v>43286</v>
      </c>
      <c r="T49" t="s">
        <v>44698</v>
      </c>
      <c r="U49" t="s">
        <v>45262</v>
      </c>
      <c r="V49" t="s">
        <v>56815</v>
      </c>
      <c r="W49" t="s">
        <v>39331</v>
      </c>
      <c r="X49" t="s">
        <v>43173</v>
      </c>
    </row>
    <row r="50" spans="1:24">
      <c r="A50">
        <f>HYPERLINK("https://www.philgeps.gov.ph/GEPSNONPILOT/Tender/SplashBidNoticeAbstractUI.aspx?menuIndex=3&amp;refID=7081918&amp;Result=3","7081918")</f>
        <v>0</v>
      </c>
      <c r="B50" t="s">
        <v>50</v>
      </c>
      <c r="C50" t="s">
        <v>3504</v>
      </c>
      <c r="D50" t="s">
        <v>17433</v>
      </c>
      <c r="E50" t="s">
        <v>17561</v>
      </c>
      <c r="F50" t="s">
        <v>30052</v>
      </c>
      <c r="G50" t="s">
        <v>30059</v>
      </c>
      <c r="H50" t="s">
        <v>15498</v>
      </c>
      <c r="I50" t="s">
        <v>7228</v>
      </c>
      <c r="J50" t="s">
        <v>30252</v>
      </c>
      <c r="K50" t="s">
        <v>39017</v>
      </c>
      <c r="M50" t="s">
        <v>39340</v>
      </c>
      <c r="N50" t="s">
        <v>43166</v>
      </c>
      <c r="O50" t="s">
        <v>43167</v>
      </c>
      <c r="P50">
        <v>0</v>
      </c>
      <c r="Q50">
        <v>0</v>
      </c>
      <c r="R50" t="s">
        <v>43168</v>
      </c>
      <c r="S50" t="s">
        <v>43286</v>
      </c>
      <c r="T50" t="s">
        <v>44704</v>
      </c>
      <c r="U50" t="s">
        <v>45263</v>
      </c>
      <c r="W50" t="s">
        <v>39340</v>
      </c>
      <c r="X50" t="s">
        <v>43172</v>
      </c>
    </row>
    <row r="51" spans="1:24">
      <c r="A51">
        <f>HYPERLINK("https://www.philgeps.gov.ph/GEPSNONPILOT/Tender/SplashBidNoticeAbstractUI.aspx?menuIndex=3&amp;refID=7080311&amp;Result=3","7080311")</f>
        <v>0</v>
      </c>
      <c r="B51" t="s">
        <v>49</v>
      </c>
      <c r="C51" t="s">
        <v>3505</v>
      </c>
      <c r="D51" t="s">
        <v>17432</v>
      </c>
      <c r="E51" t="s">
        <v>17562</v>
      </c>
      <c r="F51" t="s">
        <v>30052</v>
      </c>
      <c r="G51" t="s">
        <v>30058</v>
      </c>
      <c r="H51" t="s">
        <v>15498</v>
      </c>
      <c r="I51" t="s">
        <v>30073</v>
      </c>
      <c r="J51" t="s">
        <v>30253</v>
      </c>
      <c r="K51" t="s">
        <v>39029</v>
      </c>
      <c r="M51" t="s">
        <v>39339</v>
      </c>
      <c r="N51" t="s">
        <v>43166</v>
      </c>
      <c r="O51" t="s">
        <v>43167</v>
      </c>
      <c r="P51">
        <v>0</v>
      </c>
      <c r="Q51">
        <v>4</v>
      </c>
      <c r="R51" t="s">
        <v>43168</v>
      </c>
      <c r="S51" t="s">
        <v>43286</v>
      </c>
      <c r="T51" t="s">
        <v>44703</v>
      </c>
      <c r="U51" t="s">
        <v>45264</v>
      </c>
      <c r="W51" t="s">
        <v>39339</v>
      </c>
      <c r="X51" t="s">
        <v>43173</v>
      </c>
    </row>
    <row r="52" spans="1:24">
      <c r="A52">
        <f>HYPERLINK("https://www.philgeps.gov.ph/GEPSNONPILOT/Tender/SplashBidNoticeAbstractUI.aspx?menuIndex=3&amp;refID=7077317&amp;Result=3","7077317")</f>
        <v>0</v>
      </c>
      <c r="B52" t="s">
        <v>41</v>
      </c>
      <c r="C52" t="s">
        <v>3506</v>
      </c>
      <c r="D52" t="s">
        <v>17415</v>
      </c>
      <c r="E52" t="s">
        <v>17563</v>
      </c>
      <c r="F52" t="s">
        <v>30052</v>
      </c>
      <c r="G52" t="s">
        <v>30059</v>
      </c>
      <c r="H52" t="s">
        <v>15498</v>
      </c>
      <c r="I52" t="s">
        <v>30085</v>
      </c>
      <c r="J52" t="s">
        <v>30254</v>
      </c>
      <c r="K52" t="s">
        <v>39017</v>
      </c>
      <c r="M52" t="s">
        <v>39331</v>
      </c>
      <c r="N52" t="s">
        <v>43166</v>
      </c>
      <c r="O52" t="s">
        <v>43167</v>
      </c>
      <c r="P52">
        <v>0</v>
      </c>
      <c r="Q52">
        <v>1</v>
      </c>
      <c r="R52" t="s">
        <v>43168</v>
      </c>
      <c r="S52" t="s">
        <v>43286</v>
      </c>
      <c r="T52" t="s">
        <v>44698</v>
      </c>
      <c r="U52" t="s">
        <v>45265</v>
      </c>
      <c r="V52" t="s">
        <v>56815</v>
      </c>
      <c r="W52" t="s">
        <v>39331</v>
      </c>
      <c r="X52" t="s">
        <v>43174</v>
      </c>
    </row>
    <row r="53" spans="1:24">
      <c r="A53">
        <f>HYPERLINK("https://www.philgeps.gov.ph/GEPSNONPILOT/Tender/SplashBidNoticeAbstractUI.aspx?menuIndex=3&amp;refID=7079416&amp;Result=3","7079416")</f>
        <v>0</v>
      </c>
      <c r="B53" t="s">
        <v>52</v>
      </c>
      <c r="C53" t="s">
        <v>3507</v>
      </c>
      <c r="D53" t="s">
        <v>17435</v>
      </c>
      <c r="E53" t="s">
        <v>17564</v>
      </c>
      <c r="F53" t="s">
        <v>30052</v>
      </c>
      <c r="G53" t="s">
        <v>30059</v>
      </c>
      <c r="H53" t="s">
        <v>15498</v>
      </c>
      <c r="I53" t="s">
        <v>3736</v>
      </c>
      <c r="J53" t="s">
        <v>30255</v>
      </c>
      <c r="K53" t="s">
        <v>39029</v>
      </c>
      <c r="M53" t="s">
        <v>39341</v>
      </c>
      <c r="N53" t="s">
        <v>43166</v>
      </c>
      <c r="O53" t="s">
        <v>43167</v>
      </c>
      <c r="P53">
        <v>0</v>
      </c>
      <c r="Q53">
        <v>0</v>
      </c>
      <c r="R53" t="s">
        <v>43168</v>
      </c>
      <c r="S53" t="s">
        <v>43286</v>
      </c>
      <c r="T53" t="s">
        <v>44705</v>
      </c>
      <c r="U53" t="s">
        <v>45266</v>
      </c>
      <c r="W53" t="s">
        <v>39341</v>
      </c>
      <c r="X53" t="s">
        <v>43173</v>
      </c>
    </row>
    <row r="54" spans="1:24">
      <c r="A54">
        <f>HYPERLINK("https://www.philgeps.gov.ph/GEPSNONPILOT/Tender/SplashBidNoticeAbstractUI.aspx?menuIndex=3&amp;refID=7081871&amp;Result=3","7081871")</f>
        <v>0</v>
      </c>
      <c r="B54" t="s">
        <v>50</v>
      </c>
      <c r="C54" t="s">
        <v>3508</v>
      </c>
      <c r="D54" t="s">
        <v>17433</v>
      </c>
      <c r="E54" t="s">
        <v>17565</v>
      </c>
      <c r="F54" t="s">
        <v>30052</v>
      </c>
      <c r="G54" t="s">
        <v>30059</v>
      </c>
      <c r="H54" t="s">
        <v>15498</v>
      </c>
      <c r="I54" t="s">
        <v>3852</v>
      </c>
      <c r="J54" t="s">
        <v>30256</v>
      </c>
      <c r="K54" t="s">
        <v>39017</v>
      </c>
      <c r="M54" t="s">
        <v>39340</v>
      </c>
      <c r="N54" t="s">
        <v>43166</v>
      </c>
      <c r="O54" t="s">
        <v>43167</v>
      </c>
      <c r="P54">
        <v>0</v>
      </c>
      <c r="Q54">
        <v>0</v>
      </c>
      <c r="R54" t="s">
        <v>43168</v>
      </c>
      <c r="S54" t="s">
        <v>43286</v>
      </c>
      <c r="T54" t="s">
        <v>44704</v>
      </c>
      <c r="U54" t="s">
        <v>45267</v>
      </c>
      <c r="W54" t="s">
        <v>39340</v>
      </c>
      <c r="X54" t="s">
        <v>43172</v>
      </c>
    </row>
    <row r="55" spans="1:24">
      <c r="A55">
        <f>HYPERLINK("https://www.philgeps.gov.ph/GEPSNONPILOT/Tender/SplashBidNoticeAbstractUI.aspx?menuIndex=3&amp;refID=7082250&amp;Result=3","7082250")</f>
        <v>0</v>
      </c>
      <c r="B55" t="s">
        <v>50</v>
      </c>
      <c r="C55" t="s">
        <v>3509</v>
      </c>
      <c r="D55" t="s">
        <v>17433</v>
      </c>
      <c r="E55" t="s">
        <v>17566</v>
      </c>
      <c r="F55" t="s">
        <v>30052</v>
      </c>
      <c r="G55" t="s">
        <v>30062</v>
      </c>
      <c r="H55" t="s">
        <v>15498</v>
      </c>
      <c r="I55" t="s">
        <v>30070</v>
      </c>
      <c r="J55" t="s">
        <v>30257</v>
      </c>
      <c r="K55" t="s">
        <v>39017</v>
      </c>
      <c r="M55" t="s">
        <v>39340</v>
      </c>
      <c r="N55" t="s">
        <v>43166</v>
      </c>
      <c r="O55" t="s">
        <v>43167</v>
      </c>
      <c r="P55">
        <v>0</v>
      </c>
      <c r="Q55">
        <v>5</v>
      </c>
      <c r="R55" t="s">
        <v>43168</v>
      </c>
      <c r="S55" t="s">
        <v>43286</v>
      </c>
      <c r="T55" t="s">
        <v>44704</v>
      </c>
      <c r="U55" t="s">
        <v>45268</v>
      </c>
      <c r="W55" t="s">
        <v>39340</v>
      </c>
      <c r="X55" t="s">
        <v>43172</v>
      </c>
    </row>
    <row r="56" spans="1:24">
      <c r="A56">
        <f>HYPERLINK("https://www.philgeps.gov.ph/GEPSNONPILOT/Tender/SplashBidNoticeAbstractUI.aspx?menuIndex=3&amp;refID=7079217&amp;Result=3","7079217")</f>
        <v>0</v>
      </c>
      <c r="B56" t="s">
        <v>33</v>
      </c>
      <c r="C56" t="s">
        <v>3510</v>
      </c>
      <c r="D56" t="s">
        <v>17419</v>
      </c>
      <c r="E56" t="s">
        <v>17567</v>
      </c>
      <c r="F56" t="s">
        <v>30052</v>
      </c>
      <c r="G56" t="s">
        <v>30058</v>
      </c>
      <c r="H56" t="s">
        <v>15498</v>
      </c>
      <c r="I56" t="s">
        <v>30073</v>
      </c>
      <c r="J56" t="s">
        <v>30258</v>
      </c>
      <c r="K56" t="s">
        <v>39025</v>
      </c>
      <c r="M56" t="s">
        <v>39323</v>
      </c>
      <c r="N56" t="s">
        <v>43166</v>
      </c>
      <c r="O56" t="s">
        <v>43167</v>
      </c>
      <c r="P56">
        <v>0</v>
      </c>
      <c r="Q56">
        <v>0</v>
      </c>
      <c r="R56" t="s">
        <v>43168</v>
      </c>
      <c r="S56" t="s">
        <v>43286</v>
      </c>
      <c r="T56" t="s">
        <v>44687</v>
      </c>
      <c r="U56" t="s">
        <v>45238</v>
      </c>
      <c r="W56" t="s">
        <v>39323</v>
      </c>
      <c r="X56" t="s">
        <v>43173</v>
      </c>
    </row>
    <row r="57" spans="1:24">
      <c r="A57">
        <f>HYPERLINK("https://www.philgeps.gov.ph/GEPSNONPILOT/Tender/SplashBidNoticeAbstractUI.aspx?menuIndex=3&amp;refID=7082535&amp;Result=3","7082535")</f>
        <v>0</v>
      </c>
      <c r="B57" t="s">
        <v>53</v>
      </c>
      <c r="C57" t="s">
        <v>3511</v>
      </c>
      <c r="D57" t="s">
        <v>17436</v>
      </c>
      <c r="E57" t="s">
        <v>17568</v>
      </c>
      <c r="F57" t="s">
        <v>30052</v>
      </c>
      <c r="G57" t="s">
        <v>30058</v>
      </c>
      <c r="H57" t="s">
        <v>15498</v>
      </c>
      <c r="I57" t="s">
        <v>3736</v>
      </c>
      <c r="J57" t="s">
        <v>30259</v>
      </c>
      <c r="K57" t="s">
        <v>39034</v>
      </c>
      <c r="M57" t="s">
        <v>39342</v>
      </c>
      <c r="N57" t="s">
        <v>43166</v>
      </c>
      <c r="O57" t="s">
        <v>43167</v>
      </c>
      <c r="P57">
        <v>0</v>
      </c>
      <c r="Q57">
        <v>0</v>
      </c>
      <c r="R57" t="s">
        <v>43168</v>
      </c>
      <c r="S57" t="s">
        <v>43286</v>
      </c>
      <c r="T57" t="s">
        <v>44706</v>
      </c>
      <c r="U57" t="s">
        <v>45269</v>
      </c>
      <c r="W57" t="s">
        <v>58588</v>
      </c>
      <c r="X57" t="s">
        <v>43172</v>
      </c>
    </row>
    <row r="58" spans="1:24">
      <c r="A58">
        <f>HYPERLINK("https://www.philgeps.gov.ph/GEPSNONPILOT/Tender/SplashBidNoticeAbstractUI.aspx?menuIndex=3&amp;refID=7082632&amp;Result=3","7082632")</f>
        <v>0</v>
      </c>
      <c r="B58" t="s">
        <v>54</v>
      </c>
      <c r="C58" t="s">
        <v>3512</v>
      </c>
      <c r="D58" t="s">
        <v>17437</v>
      </c>
      <c r="E58" t="s">
        <v>17569</v>
      </c>
      <c r="F58" t="s">
        <v>30052</v>
      </c>
      <c r="G58" t="s">
        <v>30058</v>
      </c>
      <c r="H58" t="s">
        <v>30067</v>
      </c>
      <c r="I58" t="s">
        <v>3693</v>
      </c>
      <c r="J58" t="s">
        <v>30260</v>
      </c>
      <c r="K58" t="s">
        <v>39031</v>
      </c>
      <c r="M58" t="s">
        <v>39343</v>
      </c>
      <c r="N58" t="s">
        <v>43166</v>
      </c>
      <c r="O58" t="s">
        <v>43167</v>
      </c>
      <c r="P58">
        <v>0</v>
      </c>
      <c r="Q58">
        <v>0</v>
      </c>
      <c r="R58" t="s">
        <v>43168</v>
      </c>
      <c r="S58" t="s">
        <v>43286</v>
      </c>
      <c r="T58" t="s">
        <v>44701</v>
      </c>
      <c r="U58" t="s">
        <v>45270</v>
      </c>
      <c r="W58" t="s">
        <v>39343</v>
      </c>
      <c r="X58" t="s">
        <v>43172</v>
      </c>
    </row>
    <row r="59" spans="1:24">
      <c r="A59">
        <f>HYPERLINK("https://www.philgeps.gov.ph/GEPSNONPILOT/Tender/SplashBidNoticeAbstractUI.aspx?menuIndex=3&amp;refID=7082624&amp;Result=3","7082624")</f>
        <v>0</v>
      </c>
      <c r="B59" t="s">
        <v>53</v>
      </c>
      <c r="C59" t="s">
        <v>3513</v>
      </c>
      <c r="D59" t="s">
        <v>17436</v>
      </c>
      <c r="E59" t="s">
        <v>17570</v>
      </c>
      <c r="F59" t="s">
        <v>30052</v>
      </c>
      <c r="G59" t="s">
        <v>30058</v>
      </c>
      <c r="H59" t="s">
        <v>15498</v>
      </c>
      <c r="I59" t="s">
        <v>30081</v>
      </c>
      <c r="J59" t="s">
        <v>30261</v>
      </c>
      <c r="K59" t="s">
        <v>39023</v>
      </c>
      <c r="M59" t="s">
        <v>39342</v>
      </c>
      <c r="N59" t="s">
        <v>43166</v>
      </c>
      <c r="O59" t="s">
        <v>43167</v>
      </c>
      <c r="P59">
        <v>0</v>
      </c>
      <c r="Q59">
        <v>0</v>
      </c>
      <c r="R59" t="s">
        <v>43168</v>
      </c>
      <c r="S59" t="s">
        <v>43286</v>
      </c>
      <c r="T59" t="s">
        <v>44707</v>
      </c>
      <c r="U59" t="s">
        <v>45271</v>
      </c>
      <c r="W59" t="s">
        <v>58588</v>
      </c>
      <c r="X59" t="s">
        <v>43172</v>
      </c>
    </row>
    <row r="60" spans="1:24">
      <c r="A60">
        <f>HYPERLINK("https://www.philgeps.gov.ph/GEPSNONPILOT/Tender/SplashBidNoticeAbstractUI.aspx?menuIndex=3&amp;refID=7082598&amp;Result=3","7082598")</f>
        <v>0</v>
      </c>
      <c r="B60" t="s">
        <v>53</v>
      </c>
      <c r="C60" t="s">
        <v>3514</v>
      </c>
      <c r="D60" t="s">
        <v>17436</v>
      </c>
      <c r="E60" t="s">
        <v>17571</v>
      </c>
      <c r="F60" t="s">
        <v>30052</v>
      </c>
      <c r="G60" t="s">
        <v>30058</v>
      </c>
      <c r="H60" t="s">
        <v>15498</v>
      </c>
      <c r="I60" t="s">
        <v>30085</v>
      </c>
      <c r="J60" t="s">
        <v>30262</v>
      </c>
      <c r="K60" t="s">
        <v>39019</v>
      </c>
      <c r="M60" t="s">
        <v>39342</v>
      </c>
      <c r="N60" t="s">
        <v>43166</v>
      </c>
      <c r="O60" t="s">
        <v>43167</v>
      </c>
      <c r="P60">
        <v>0</v>
      </c>
      <c r="Q60">
        <v>0</v>
      </c>
      <c r="R60" t="s">
        <v>43168</v>
      </c>
      <c r="S60" t="s">
        <v>43286</v>
      </c>
      <c r="T60" t="s">
        <v>44707</v>
      </c>
      <c r="U60" t="s">
        <v>45272</v>
      </c>
      <c r="W60" t="s">
        <v>58588</v>
      </c>
      <c r="X60" t="s">
        <v>43172</v>
      </c>
    </row>
    <row r="61" spans="1:24">
      <c r="A61">
        <f>HYPERLINK("https://www.philgeps.gov.ph/GEPSNONPILOT/Tender/SplashBidNoticeAbstractUI.aspx?menuIndex=3&amp;refID=7079207&amp;Result=3","7079207")</f>
        <v>0</v>
      </c>
      <c r="B61" t="s">
        <v>42</v>
      </c>
      <c r="C61" t="s">
        <v>3515</v>
      </c>
      <c r="D61" t="s">
        <v>17425</v>
      </c>
      <c r="E61" t="s">
        <v>17572</v>
      </c>
      <c r="F61" t="s">
        <v>30052</v>
      </c>
      <c r="G61" t="s">
        <v>30061</v>
      </c>
      <c r="H61" t="s">
        <v>15498</v>
      </c>
      <c r="I61" t="s">
        <v>3852</v>
      </c>
      <c r="J61" t="s">
        <v>30263</v>
      </c>
      <c r="K61" t="s">
        <v>39029</v>
      </c>
      <c r="M61" t="s">
        <v>39332</v>
      </c>
      <c r="N61" t="s">
        <v>43166</v>
      </c>
      <c r="O61" t="s">
        <v>43167</v>
      </c>
      <c r="P61">
        <v>0</v>
      </c>
      <c r="Q61">
        <v>0</v>
      </c>
      <c r="R61" t="s">
        <v>43168</v>
      </c>
      <c r="S61" t="s">
        <v>43286</v>
      </c>
      <c r="T61" t="s">
        <v>44696</v>
      </c>
      <c r="U61" t="s">
        <v>45237</v>
      </c>
      <c r="W61" t="s">
        <v>39332</v>
      </c>
      <c r="X61" t="s">
        <v>43173</v>
      </c>
    </row>
    <row r="62" spans="1:24">
      <c r="A62">
        <f>HYPERLINK("https://www.philgeps.gov.ph/GEPSNONPILOT/Tender/SplashBidNoticeAbstractUI.aspx?menuIndex=3&amp;refID=7082570&amp;Result=3","7082570")</f>
        <v>0</v>
      </c>
      <c r="B62" t="s">
        <v>53</v>
      </c>
      <c r="C62" t="s">
        <v>3516</v>
      </c>
      <c r="D62" t="s">
        <v>17436</v>
      </c>
      <c r="E62" t="s">
        <v>17573</v>
      </c>
      <c r="F62" t="s">
        <v>30052</v>
      </c>
      <c r="G62" t="s">
        <v>30058</v>
      </c>
      <c r="H62" t="s">
        <v>15498</v>
      </c>
      <c r="I62" t="s">
        <v>30074</v>
      </c>
      <c r="J62" t="s">
        <v>30264</v>
      </c>
      <c r="K62" t="s">
        <v>39026</v>
      </c>
      <c r="M62" t="s">
        <v>39342</v>
      </c>
      <c r="N62" t="s">
        <v>43166</v>
      </c>
      <c r="O62" t="s">
        <v>43167</v>
      </c>
      <c r="P62">
        <v>0</v>
      </c>
      <c r="Q62">
        <v>4</v>
      </c>
      <c r="R62" t="s">
        <v>43168</v>
      </c>
      <c r="S62" t="s">
        <v>43286</v>
      </c>
      <c r="T62" t="s">
        <v>44707</v>
      </c>
      <c r="U62" t="s">
        <v>45273</v>
      </c>
      <c r="W62" t="s">
        <v>58588</v>
      </c>
      <c r="X62" t="s">
        <v>43172</v>
      </c>
    </row>
    <row r="63" spans="1:24">
      <c r="A63">
        <f>HYPERLINK("https://www.philgeps.gov.ph/GEPSNONPILOT/Tender/SplashBidNoticeAbstractUI.aspx?menuIndex=3&amp;refID=7082519&amp;Result=3","7082519")</f>
        <v>0</v>
      </c>
      <c r="B63" t="s">
        <v>53</v>
      </c>
      <c r="C63" t="s">
        <v>3517</v>
      </c>
      <c r="D63" t="s">
        <v>17436</v>
      </c>
      <c r="E63" t="s">
        <v>17574</v>
      </c>
      <c r="F63" t="s">
        <v>30052</v>
      </c>
      <c r="G63" t="s">
        <v>30058</v>
      </c>
      <c r="H63" t="s">
        <v>15498</v>
      </c>
      <c r="I63" t="s">
        <v>3736</v>
      </c>
      <c r="J63" t="s">
        <v>30265</v>
      </c>
      <c r="K63" t="s">
        <v>39034</v>
      </c>
      <c r="M63" t="s">
        <v>39342</v>
      </c>
      <c r="N63" t="s">
        <v>43166</v>
      </c>
      <c r="O63" t="s">
        <v>43167</v>
      </c>
      <c r="P63">
        <v>0</v>
      </c>
      <c r="Q63">
        <v>0</v>
      </c>
      <c r="R63" t="s">
        <v>43168</v>
      </c>
      <c r="S63" t="s">
        <v>43286</v>
      </c>
      <c r="T63" t="s">
        <v>44706</v>
      </c>
      <c r="U63" t="s">
        <v>45274</v>
      </c>
      <c r="W63" t="s">
        <v>58588</v>
      </c>
      <c r="X63" t="s">
        <v>43172</v>
      </c>
    </row>
    <row r="64" spans="1:24">
      <c r="A64">
        <f>HYPERLINK("https://www.philgeps.gov.ph/GEPSNONPILOT/Tender/SplashBidNoticeAbstractUI.aspx?menuIndex=3&amp;refID=7079428&amp;Result=3","7079428")</f>
        <v>0</v>
      </c>
      <c r="B64" t="s">
        <v>45</v>
      </c>
      <c r="C64" t="s">
        <v>3518</v>
      </c>
      <c r="D64" t="s">
        <v>17428</v>
      </c>
      <c r="E64" t="s">
        <v>17575</v>
      </c>
      <c r="F64" t="s">
        <v>30052</v>
      </c>
      <c r="G64" t="s">
        <v>30059</v>
      </c>
      <c r="H64" t="s">
        <v>15498</v>
      </c>
      <c r="I64" t="s">
        <v>3736</v>
      </c>
      <c r="J64" t="s">
        <v>30266</v>
      </c>
      <c r="K64" t="s">
        <v>39019</v>
      </c>
      <c r="M64" t="s">
        <v>39335</v>
      </c>
      <c r="N64" t="s">
        <v>43166</v>
      </c>
      <c r="O64" t="s">
        <v>43167</v>
      </c>
      <c r="P64">
        <v>0</v>
      </c>
      <c r="Q64">
        <v>0</v>
      </c>
      <c r="R64" t="s">
        <v>43168</v>
      </c>
      <c r="S64" t="s">
        <v>43286</v>
      </c>
      <c r="T64" t="s">
        <v>44699</v>
      </c>
      <c r="U64" t="s">
        <v>45275</v>
      </c>
      <c r="W64" t="s">
        <v>39335</v>
      </c>
      <c r="X64" t="s">
        <v>43173</v>
      </c>
    </row>
    <row r="65" spans="1:24">
      <c r="A65">
        <f>HYPERLINK("https://www.philgeps.gov.ph/GEPSNONPILOT/Tender/SplashBidNoticeAbstractUI.aspx?menuIndex=3&amp;refID=7082506&amp;Result=3","7082506")</f>
        <v>0</v>
      </c>
      <c r="B65" t="s">
        <v>53</v>
      </c>
      <c r="C65" t="s">
        <v>3519</v>
      </c>
      <c r="D65" t="s">
        <v>17436</v>
      </c>
      <c r="E65" t="s">
        <v>17576</v>
      </c>
      <c r="F65" t="s">
        <v>30052</v>
      </c>
      <c r="G65" t="s">
        <v>30058</v>
      </c>
      <c r="H65" t="s">
        <v>15498</v>
      </c>
      <c r="I65" t="s">
        <v>30086</v>
      </c>
      <c r="J65" t="s">
        <v>30267</v>
      </c>
      <c r="K65" t="s">
        <v>39034</v>
      </c>
      <c r="M65" t="s">
        <v>39342</v>
      </c>
      <c r="N65" t="s">
        <v>43166</v>
      </c>
      <c r="O65" t="s">
        <v>43167</v>
      </c>
      <c r="P65">
        <v>0</v>
      </c>
      <c r="Q65">
        <v>0</v>
      </c>
      <c r="R65" t="s">
        <v>43168</v>
      </c>
      <c r="S65" t="s">
        <v>43286</v>
      </c>
      <c r="T65" t="s">
        <v>44706</v>
      </c>
      <c r="U65" t="s">
        <v>45276</v>
      </c>
      <c r="W65" t="s">
        <v>58588</v>
      </c>
      <c r="X65" t="s">
        <v>43172</v>
      </c>
    </row>
    <row r="66" spans="1:24">
      <c r="A66">
        <f>HYPERLINK("https://www.philgeps.gov.ph/GEPSNONPILOT/Tender/SplashBidNoticeAbstractUI.aspx?menuIndex=3&amp;refID=7082487&amp;Result=3","7082487")</f>
        <v>0</v>
      </c>
      <c r="B66" t="s">
        <v>53</v>
      </c>
      <c r="C66" t="s">
        <v>3520</v>
      </c>
      <c r="D66" t="s">
        <v>17436</v>
      </c>
      <c r="E66" t="s">
        <v>17577</v>
      </c>
      <c r="F66" t="s">
        <v>30052</v>
      </c>
      <c r="G66" t="s">
        <v>30058</v>
      </c>
      <c r="H66" t="s">
        <v>15498</v>
      </c>
      <c r="I66" t="s">
        <v>30081</v>
      </c>
      <c r="J66" t="s">
        <v>30268</v>
      </c>
      <c r="K66" t="s">
        <v>39034</v>
      </c>
      <c r="M66" t="s">
        <v>39342</v>
      </c>
      <c r="N66" t="s">
        <v>43166</v>
      </c>
      <c r="O66" t="s">
        <v>43167</v>
      </c>
      <c r="P66">
        <v>0</v>
      </c>
      <c r="Q66">
        <v>0</v>
      </c>
      <c r="R66" t="s">
        <v>43168</v>
      </c>
      <c r="S66" t="s">
        <v>43286</v>
      </c>
      <c r="T66" t="s">
        <v>44706</v>
      </c>
      <c r="U66" t="s">
        <v>45277</v>
      </c>
      <c r="W66" t="s">
        <v>58588</v>
      </c>
      <c r="X66" t="s">
        <v>43172</v>
      </c>
    </row>
    <row r="67" spans="1:24">
      <c r="A67">
        <f>HYPERLINK("https://www.philgeps.gov.ph/GEPSNONPILOT/Tender/SplashBidNoticeAbstractUI.aspx?menuIndex=3&amp;refID=7082473&amp;Result=3","7082473")</f>
        <v>0</v>
      </c>
      <c r="B67" t="s">
        <v>53</v>
      </c>
      <c r="C67" t="s">
        <v>3521</v>
      </c>
      <c r="D67" t="s">
        <v>17436</v>
      </c>
      <c r="E67" t="s">
        <v>17578</v>
      </c>
      <c r="F67" t="s">
        <v>30052</v>
      </c>
      <c r="G67" t="s">
        <v>30058</v>
      </c>
      <c r="H67" t="s">
        <v>15498</v>
      </c>
      <c r="I67" t="s">
        <v>30087</v>
      </c>
      <c r="J67" t="s">
        <v>30269</v>
      </c>
      <c r="K67" t="s">
        <v>39034</v>
      </c>
      <c r="M67" t="s">
        <v>39342</v>
      </c>
      <c r="N67" t="s">
        <v>43166</v>
      </c>
      <c r="O67" t="s">
        <v>43167</v>
      </c>
      <c r="P67">
        <v>0</v>
      </c>
      <c r="Q67">
        <v>0</v>
      </c>
      <c r="R67" t="s">
        <v>43168</v>
      </c>
      <c r="S67" t="s">
        <v>43286</v>
      </c>
      <c r="T67" t="s">
        <v>44706</v>
      </c>
      <c r="U67" t="s">
        <v>45278</v>
      </c>
      <c r="W67" t="s">
        <v>58588</v>
      </c>
      <c r="X67" t="s">
        <v>43172</v>
      </c>
    </row>
    <row r="68" spans="1:24">
      <c r="A68">
        <f>HYPERLINK("https://www.philgeps.gov.ph/GEPSNONPILOT/Tender/SplashBidNoticeAbstractUI.aspx?menuIndex=3&amp;refID=7082576&amp;Result=3","7082576")</f>
        <v>0</v>
      </c>
      <c r="B68" t="s">
        <v>54</v>
      </c>
      <c r="C68" t="s">
        <v>3522</v>
      </c>
      <c r="D68" t="s">
        <v>17437</v>
      </c>
      <c r="E68" t="s">
        <v>17579</v>
      </c>
      <c r="F68" t="s">
        <v>30052</v>
      </c>
      <c r="G68" t="s">
        <v>30058</v>
      </c>
      <c r="H68" t="s">
        <v>30067</v>
      </c>
      <c r="I68" t="s">
        <v>3693</v>
      </c>
      <c r="J68" t="s">
        <v>30270</v>
      </c>
      <c r="K68" t="s">
        <v>39023</v>
      </c>
      <c r="M68" t="s">
        <v>39343</v>
      </c>
      <c r="N68" t="s">
        <v>43166</v>
      </c>
      <c r="O68" t="s">
        <v>43167</v>
      </c>
      <c r="P68">
        <v>0</v>
      </c>
      <c r="Q68">
        <v>0</v>
      </c>
      <c r="R68" t="s">
        <v>43168</v>
      </c>
      <c r="S68" t="s">
        <v>43286</v>
      </c>
      <c r="T68" t="s">
        <v>44684</v>
      </c>
      <c r="U68" t="s">
        <v>45279</v>
      </c>
      <c r="W68" t="s">
        <v>39343</v>
      </c>
      <c r="X68" t="s">
        <v>43172</v>
      </c>
    </row>
    <row r="69" spans="1:24">
      <c r="A69">
        <f>HYPERLINK("https://www.philgeps.gov.ph/GEPSNONPILOT/Tender/SplashBidNoticeAbstractUI.aspx?menuIndex=3&amp;refID=7082336&amp;Result=3","7082336")</f>
        <v>0</v>
      </c>
      <c r="B69" t="s">
        <v>55</v>
      </c>
      <c r="C69" t="s">
        <v>3523</v>
      </c>
      <c r="D69" t="s">
        <v>17415</v>
      </c>
      <c r="E69" t="s">
        <v>3523</v>
      </c>
      <c r="F69" t="s">
        <v>30052</v>
      </c>
      <c r="G69" t="s">
        <v>30058</v>
      </c>
      <c r="H69" t="s">
        <v>15498</v>
      </c>
      <c r="I69" t="s">
        <v>4119</v>
      </c>
      <c r="J69" t="s">
        <v>30271</v>
      </c>
      <c r="K69" t="s">
        <v>39029</v>
      </c>
      <c r="M69" t="s">
        <v>39344</v>
      </c>
      <c r="N69" t="s">
        <v>43166</v>
      </c>
      <c r="O69" t="s">
        <v>43167</v>
      </c>
      <c r="P69">
        <v>0</v>
      </c>
      <c r="Q69">
        <v>2</v>
      </c>
      <c r="R69" t="s">
        <v>43168</v>
      </c>
      <c r="S69" t="s">
        <v>43286</v>
      </c>
      <c r="T69" t="s">
        <v>44693</v>
      </c>
      <c r="U69" t="s">
        <v>45280</v>
      </c>
      <c r="W69" t="s">
        <v>39344</v>
      </c>
      <c r="X69" t="s">
        <v>43172</v>
      </c>
    </row>
    <row r="70" spans="1:24">
      <c r="A70">
        <f>HYPERLINK("https://www.philgeps.gov.ph/GEPSNONPILOT/Tender/SplashBidNoticeAbstractUI.aspx?menuIndex=3&amp;refID=7082318&amp;Result=3","7082318")</f>
        <v>0</v>
      </c>
      <c r="B70" t="s">
        <v>55</v>
      </c>
      <c r="C70" t="s">
        <v>3524</v>
      </c>
      <c r="D70" t="s">
        <v>17415</v>
      </c>
      <c r="E70" t="s">
        <v>3524</v>
      </c>
      <c r="F70" t="s">
        <v>30052</v>
      </c>
      <c r="G70" t="s">
        <v>30058</v>
      </c>
      <c r="H70" t="s">
        <v>15498</v>
      </c>
      <c r="I70" t="s">
        <v>7228</v>
      </c>
      <c r="J70" t="s">
        <v>30272</v>
      </c>
      <c r="K70" t="s">
        <v>39029</v>
      </c>
      <c r="M70" t="s">
        <v>39344</v>
      </c>
      <c r="N70" t="s">
        <v>43166</v>
      </c>
      <c r="O70" t="s">
        <v>43167</v>
      </c>
      <c r="P70">
        <v>0</v>
      </c>
      <c r="Q70">
        <v>1</v>
      </c>
      <c r="R70" t="s">
        <v>43168</v>
      </c>
      <c r="S70" t="s">
        <v>43286</v>
      </c>
      <c r="T70" t="s">
        <v>44693</v>
      </c>
      <c r="U70" t="s">
        <v>45280</v>
      </c>
      <c r="W70" t="s">
        <v>39344</v>
      </c>
      <c r="X70" t="s">
        <v>43172</v>
      </c>
    </row>
    <row r="71" spans="1:24">
      <c r="A71">
        <f>HYPERLINK("https://www.philgeps.gov.ph/GEPSNONPILOT/Tender/SplashBidNoticeAbstractUI.aspx?menuIndex=3&amp;refID=7083538&amp;Result=3","7083538")</f>
        <v>0</v>
      </c>
      <c r="B71" t="s">
        <v>56</v>
      </c>
      <c r="C71" t="s">
        <v>3525</v>
      </c>
      <c r="D71" t="s">
        <v>17438</v>
      </c>
      <c r="E71" t="s">
        <v>17580</v>
      </c>
      <c r="F71" t="s">
        <v>30052</v>
      </c>
      <c r="G71" t="s">
        <v>30059</v>
      </c>
      <c r="H71" t="s">
        <v>15498</v>
      </c>
      <c r="I71" t="s">
        <v>9238</v>
      </c>
      <c r="J71" t="s">
        <v>30218</v>
      </c>
      <c r="K71" t="s">
        <v>39029</v>
      </c>
      <c r="M71" t="s">
        <v>39345</v>
      </c>
      <c r="N71" t="s">
        <v>43166</v>
      </c>
      <c r="O71" t="s">
        <v>43167</v>
      </c>
      <c r="P71">
        <v>0</v>
      </c>
      <c r="Q71">
        <v>14</v>
      </c>
      <c r="R71" t="s">
        <v>43168</v>
      </c>
      <c r="S71" t="s">
        <v>43286</v>
      </c>
      <c r="T71" t="s">
        <v>44708</v>
      </c>
      <c r="U71" t="s">
        <v>45281</v>
      </c>
      <c r="V71" t="s">
        <v>56817</v>
      </c>
      <c r="W71" t="s">
        <v>39345</v>
      </c>
      <c r="X71" t="s">
        <v>43172</v>
      </c>
    </row>
    <row r="72" spans="1:24">
      <c r="A72">
        <f>HYPERLINK("https://www.philgeps.gov.ph/GEPSNONPILOT/Tender/SplashBidNoticeAbstractUI.aspx?menuIndex=3&amp;refID=7076850&amp;Result=3","7076850")</f>
        <v>0</v>
      </c>
      <c r="B72" t="s">
        <v>57</v>
      </c>
      <c r="C72" t="s">
        <v>3526</v>
      </c>
      <c r="D72" t="s">
        <v>17439</v>
      </c>
      <c r="E72" t="s">
        <v>17581</v>
      </c>
      <c r="F72" t="s">
        <v>30052</v>
      </c>
      <c r="G72" t="s">
        <v>30058</v>
      </c>
      <c r="H72" t="s">
        <v>15498</v>
      </c>
      <c r="I72" t="s">
        <v>9238</v>
      </c>
      <c r="J72" t="s">
        <v>30273</v>
      </c>
      <c r="K72" t="s">
        <v>39025</v>
      </c>
      <c r="M72" t="s">
        <v>39346</v>
      </c>
      <c r="N72" t="s">
        <v>43166</v>
      </c>
      <c r="O72" t="s">
        <v>43167</v>
      </c>
      <c r="P72">
        <v>0</v>
      </c>
      <c r="Q72">
        <v>5</v>
      </c>
      <c r="R72" t="s">
        <v>43168</v>
      </c>
      <c r="S72" t="s">
        <v>43286</v>
      </c>
      <c r="T72" t="s">
        <v>44709</v>
      </c>
      <c r="U72" t="s">
        <v>45282</v>
      </c>
      <c r="V72" t="s">
        <v>56818</v>
      </c>
      <c r="W72" t="s">
        <v>39346</v>
      </c>
      <c r="X72" t="s">
        <v>43174</v>
      </c>
    </row>
    <row r="73" spans="1:24">
      <c r="A73">
        <f>HYPERLINK("https://www.philgeps.gov.ph/GEPSNONPILOT/Tender/SplashBidNoticeAbstractUI.aspx?menuIndex=3&amp;refID=7080587&amp;Result=3","7080587")</f>
        <v>0</v>
      </c>
      <c r="B73" t="s">
        <v>58</v>
      </c>
      <c r="C73" t="s">
        <v>3527</v>
      </c>
      <c r="D73" t="s">
        <v>17440</v>
      </c>
      <c r="E73" t="s">
        <v>17582</v>
      </c>
      <c r="F73" t="s">
        <v>30052</v>
      </c>
      <c r="G73" t="s">
        <v>30058</v>
      </c>
      <c r="H73" t="s">
        <v>30067</v>
      </c>
      <c r="I73" t="s">
        <v>3693</v>
      </c>
      <c r="J73" t="s">
        <v>30274</v>
      </c>
      <c r="K73" t="s">
        <v>39019</v>
      </c>
      <c r="L73" t="s">
        <v>58</v>
      </c>
      <c r="M73" t="s">
        <v>39347</v>
      </c>
      <c r="N73" t="s">
        <v>43166</v>
      </c>
      <c r="O73" t="s">
        <v>43167</v>
      </c>
      <c r="P73">
        <v>0</v>
      </c>
      <c r="Q73">
        <v>0</v>
      </c>
      <c r="R73" t="s">
        <v>43168</v>
      </c>
      <c r="S73" t="s">
        <v>43286</v>
      </c>
      <c r="T73" t="s">
        <v>44681</v>
      </c>
      <c r="U73" t="s">
        <v>45283</v>
      </c>
      <c r="V73" t="s">
        <v>56819</v>
      </c>
      <c r="W73" t="s">
        <v>39347</v>
      </c>
      <c r="X73" t="s">
        <v>43173</v>
      </c>
    </row>
    <row r="74" spans="1:24">
      <c r="A74">
        <f>HYPERLINK("https://www.philgeps.gov.ph/GEPSNONPILOT/Tender/SplashBidNoticeAbstractUI.aspx?menuIndex=3&amp;refID=7083257&amp;Result=3","7083257")</f>
        <v>0</v>
      </c>
      <c r="B74" t="s">
        <v>59</v>
      </c>
      <c r="C74" t="s">
        <v>3528</v>
      </c>
      <c r="D74" t="s">
        <v>17441</v>
      </c>
      <c r="E74" t="s">
        <v>17583</v>
      </c>
      <c r="F74" t="s">
        <v>30052</v>
      </c>
      <c r="G74" t="s">
        <v>30059</v>
      </c>
      <c r="H74" t="s">
        <v>30068</v>
      </c>
      <c r="I74" t="s">
        <v>30068</v>
      </c>
      <c r="J74" t="s">
        <v>30275</v>
      </c>
      <c r="K74" t="s">
        <v>39029</v>
      </c>
      <c r="M74" t="s">
        <v>39348</v>
      </c>
      <c r="N74" t="s">
        <v>43166</v>
      </c>
      <c r="O74" t="s">
        <v>43167</v>
      </c>
      <c r="P74">
        <v>0</v>
      </c>
      <c r="Q74">
        <v>2</v>
      </c>
      <c r="R74" t="s">
        <v>43168</v>
      </c>
      <c r="S74" t="s">
        <v>43286</v>
      </c>
      <c r="T74" t="s">
        <v>44710</v>
      </c>
      <c r="U74" t="s">
        <v>45284</v>
      </c>
      <c r="V74" t="s">
        <v>56820</v>
      </c>
      <c r="W74" t="s">
        <v>39348</v>
      </c>
      <c r="X74" t="s">
        <v>43172</v>
      </c>
    </row>
    <row r="75" spans="1:24">
      <c r="A75">
        <f>HYPERLINK("https://www.philgeps.gov.ph/GEPSNONPILOT/Tender/SplashBidNoticeAbstractUI.aspx?menuIndex=3&amp;refID=7083229&amp;Result=3","7083229")</f>
        <v>0</v>
      </c>
      <c r="B75" t="s">
        <v>60</v>
      </c>
      <c r="C75" t="s">
        <v>3461</v>
      </c>
      <c r="D75" t="s">
        <v>17417</v>
      </c>
      <c r="E75" t="s">
        <v>17584</v>
      </c>
      <c r="F75" t="s">
        <v>30052</v>
      </c>
      <c r="G75" t="s">
        <v>30058</v>
      </c>
      <c r="H75" t="s">
        <v>30067</v>
      </c>
      <c r="I75" t="s">
        <v>3693</v>
      </c>
      <c r="J75" t="s">
        <v>30276</v>
      </c>
      <c r="K75" t="s">
        <v>39035</v>
      </c>
      <c r="M75" t="s">
        <v>39349</v>
      </c>
      <c r="N75" t="s">
        <v>43166</v>
      </c>
      <c r="O75" t="s">
        <v>43167</v>
      </c>
      <c r="P75">
        <v>0</v>
      </c>
      <c r="Q75">
        <v>0</v>
      </c>
      <c r="R75" t="s">
        <v>43168</v>
      </c>
      <c r="S75" t="s">
        <v>43286</v>
      </c>
      <c r="T75" t="s">
        <v>44681</v>
      </c>
      <c r="U75" t="s">
        <v>45285</v>
      </c>
      <c r="W75" t="s">
        <v>39349</v>
      </c>
      <c r="X75" t="s">
        <v>43172</v>
      </c>
    </row>
    <row r="76" spans="1:24">
      <c r="A76">
        <f>HYPERLINK("https://www.philgeps.gov.ph/GEPSNONPILOT/Tender/SplashBidNoticeAbstractUI.aspx?menuIndex=3&amp;refID=7083207&amp;Result=3","7083207")</f>
        <v>0</v>
      </c>
      <c r="B76" t="s">
        <v>61</v>
      </c>
      <c r="C76" t="s">
        <v>3529</v>
      </c>
      <c r="D76" t="s">
        <v>17442</v>
      </c>
      <c r="E76" t="s">
        <v>17585</v>
      </c>
      <c r="F76" t="s">
        <v>30052</v>
      </c>
      <c r="G76" t="s">
        <v>30058</v>
      </c>
      <c r="H76" t="s">
        <v>30067</v>
      </c>
      <c r="I76" t="s">
        <v>3693</v>
      </c>
      <c r="J76" t="s">
        <v>30277</v>
      </c>
      <c r="K76" t="s">
        <v>39019</v>
      </c>
      <c r="M76" t="s">
        <v>39350</v>
      </c>
      <c r="N76" t="s">
        <v>43166</v>
      </c>
      <c r="O76" t="s">
        <v>43167</v>
      </c>
      <c r="P76">
        <v>0</v>
      </c>
      <c r="Q76">
        <v>0</v>
      </c>
      <c r="R76" t="s">
        <v>43168</v>
      </c>
      <c r="S76" t="s">
        <v>43286</v>
      </c>
      <c r="T76" t="s">
        <v>44711</v>
      </c>
      <c r="U76" t="s">
        <v>45286</v>
      </c>
      <c r="W76" t="s">
        <v>39350</v>
      </c>
      <c r="X76" t="s">
        <v>43172</v>
      </c>
    </row>
    <row r="77" spans="1:24">
      <c r="A77">
        <f>HYPERLINK("https://www.philgeps.gov.ph/GEPSNONPILOT/Tender/SplashBidNoticeAbstractUI.aspx?menuIndex=3&amp;refID=7082566&amp;Result=3","7082566")</f>
        <v>0</v>
      </c>
      <c r="B77" t="s">
        <v>62</v>
      </c>
      <c r="C77" t="s">
        <v>3530</v>
      </c>
      <c r="D77" t="s">
        <v>17443</v>
      </c>
      <c r="E77" t="s">
        <v>17586</v>
      </c>
      <c r="F77" t="s">
        <v>30052</v>
      </c>
      <c r="G77" t="s">
        <v>30059</v>
      </c>
      <c r="H77" t="s">
        <v>15498</v>
      </c>
      <c r="I77" t="s">
        <v>9238</v>
      </c>
      <c r="J77" t="s">
        <v>30278</v>
      </c>
      <c r="K77" t="s">
        <v>39019</v>
      </c>
      <c r="L77" t="s">
        <v>62</v>
      </c>
      <c r="M77" t="s">
        <v>39351</v>
      </c>
      <c r="N77" t="s">
        <v>43166</v>
      </c>
      <c r="O77" t="s">
        <v>43167</v>
      </c>
      <c r="P77">
        <v>0</v>
      </c>
      <c r="Q77">
        <v>15</v>
      </c>
      <c r="R77" t="s">
        <v>43168</v>
      </c>
      <c r="S77" t="s">
        <v>43286</v>
      </c>
      <c r="T77" t="s">
        <v>44691</v>
      </c>
      <c r="U77" t="s">
        <v>45287</v>
      </c>
      <c r="V77" t="s">
        <v>56821</v>
      </c>
      <c r="W77" t="s">
        <v>39351</v>
      </c>
      <c r="X77" t="s">
        <v>43172</v>
      </c>
    </row>
    <row r="78" spans="1:24">
      <c r="A78">
        <f>HYPERLINK("https://www.philgeps.gov.ph/GEPSNONPILOT/Tender/SplashBidNoticeAbstractUI.aspx?menuIndex=3&amp;refID=7083005&amp;Result=3","7083005")</f>
        <v>0</v>
      </c>
      <c r="B78" t="s">
        <v>63</v>
      </c>
      <c r="C78" t="s">
        <v>3531</v>
      </c>
      <c r="E78" t="s">
        <v>17587</v>
      </c>
      <c r="F78" t="s">
        <v>30052</v>
      </c>
      <c r="G78" t="s">
        <v>30058</v>
      </c>
      <c r="H78" t="s">
        <v>30067</v>
      </c>
      <c r="I78" t="s">
        <v>3693</v>
      </c>
      <c r="J78" t="s">
        <v>30279</v>
      </c>
      <c r="K78" t="s">
        <v>39025</v>
      </c>
      <c r="M78" t="s">
        <v>39352</v>
      </c>
      <c r="N78" t="s">
        <v>43166</v>
      </c>
      <c r="O78" t="s">
        <v>43167</v>
      </c>
      <c r="P78">
        <v>0</v>
      </c>
      <c r="Q78">
        <v>2</v>
      </c>
      <c r="R78" t="s">
        <v>43168</v>
      </c>
      <c r="S78" t="s">
        <v>43286</v>
      </c>
      <c r="T78" t="s">
        <v>44712</v>
      </c>
      <c r="U78" t="s">
        <v>45288</v>
      </c>
      <c r="W78" t="s">
        <v>39352</v>
      </c>
      <c r="X78" t="s">
        <v>43172</v>
      </c>
    </row>
    <row r="79" spans="1:24">
      <c r="A79">
        <f>HYPERLINK("https://www.philgeps.gov.ph/GEPSNONPILOT/Tender/SplashBidNoticeAbstractUI.aspx?menuIndex=3&amp;refID=7082962&amp;Result=3","7082962")</f>
        <v>0</v>
      </c>
      <c r="B79" t="s">
        <v>64</v>
      </c>
      <c r="C79" t="s">
        <v>3532</v>
      </c>
      <c r="D79" t="s">
        <v>17415</v>
      </c>
      <c r="E79" t="s">
        <v>17588</v>
      </c>
      <c r="F79" t="s">
        <v>30052</v>
      </c>
      <c r="G79" t="s">
        <v>30058</v>
      </c>
      <c r="H79" t="s">
        <v>15498</v>
      </c>
      <c r="I79" t="s">
        <v>3852</v>
      </c>
      <c r="J79" t="s">
        <v>30280</v>
      </c>
      <c r="K79" t="s">
        <v>39036</v>
      </c>
      <c r="M79" t="s">
        <v>39353</v>
      </c>
      <c r="N79" t="s">
        <v>43166</v>
      </c>
      <c r="O79" t="s">
        <v>43167</v>
      </c>
      <c r="P79">
        <v>0</v>
      </c>
      <c r="Q79">
        <v>1</v>
      </c>
      <c r="R79" t="s">
        <v>43168</v>
      </c>
      <c r="S79" t="s">
        <v>43286</v>
      </c>
      <c r="T79" t="s">
        <v>44713</v>
      </c>
      <c r="U79" t="s">
        <v>45289</v>
      </c>
      <c r="V79" t="s">
        <v>56822</v>
      </c>
      <c r="W79" t="s">
        <v>39353</v>
      </c>
      <c r="X79" t="s">
        <v>43172</v>
      </c>
    </row>
    <row r="80" spans="1:24">
      <c r="A80">
        <f>HYPERLINK("https://www.philgeps.gov.ph/GEPSNONPILOT/Tender/SplashBidNoticeAbstractUI.aspx?menuIndex=3&amp;refID=7082937&amp;Result=3","7082937")</f>
        <v>0</v>
      </c>
      <c r="B80" t="s">
        <v>64</v>
      </c>
      <c r="C80" t="s">
        <v>3533</v>
      </c>
      <c r="D80" t="s">
        <v>17415</v>
      </c>
      <c r="E80" t="s">
        <v>17589</v>
      </c>
      <c r="F80" t="s">
        <v>30052</v>
      </c>
      <c r="G80" t="s">
        <v>30058</v>
      </c>
      <c r="H80" t="s">
        <v>15498</v>
      </c>
      <c r="I80" t="s">
        <v>3852</v>
      </c>
      <c r="J80" t="s">
        <v>30216</v>
      </c>
      <c r="K80" t="s">
        <v>39036</v>
      </c>
      <c r="M80" t="s">
        <v>39353</v>
      </c>
      <c r="N80" t="s">
        <v>43166</v>
      </c>
      <c r="O80" t="s">
        <v>43167</v>
      </c>
      <c r="P80">
        <v>0</v>
      </c>
      <c r="Q80">
        <v>3</v>
      </c>
      <c r="R80" t="s">
        <v>43168</v>
      </c>
      <c r="S80" t="s">
        <v>43286</v>
      </c>
      <c r="T80" t="s">
        <v>44713</v>
      </c>
      <c r="U80" t="s">
        <v>45290</v>
      </c>
      <c r="V80" t="s">
        <v>56822</v>
      </c>
      <c r="W80" t="s">
        <v>39353</v>
      </c>
      <c r="X80" t="s">
        <v>43172</v>
      </c>
    </row>
    <row r="81" spans="1:24">
      <c r="A81">
        <f>HYPERLINK("https://www.philgeps.gov.ph/GEPSNONPILOT/Tender/SplashBidNoticeAbstractUI.aspx?menuIndex=3&amp;refID=7080701&amp;Result=3","7080701")</f>
        <v>0</v>
      </c>
      <c r="B81" t="s">
        <v>49</v>
      </c>
      <c r="C81" t="s">
        <v>3534</v>
      </c>
      <c r="D81" t="s">
        <v>17432</v>
      </c>
      <c r="E81" t="s">
        <v>17590</v>
      </c>
      <c r="F81" t="s">
        <v>30052</v>
      </c>
      <c r="G81" t="s">
        <v>30058</v>
      </c>
      <c r="H81" t="s">
        <v>15498</v>
      </c>
      <c r="I81" t="s">
        <v>30074</v>
      </c>
      <c r="J81" t="s">
        <v>30281</v>
      </c>
      <c r="K81" t="s">
        <v>39029</v>
      </c>
      <c r="M81" t="s">
        <v>39339</v>
      </c>
      <c r="N81" t="s">
        <v>43166</v>
      </c>
      <c r="O81" t="s">
        <v>43167</v>
      </c>
      <c r="P81">
        <v>0</v>
      </c>
      <c r="Q81">
        <v>5</v>
      </c>
      <c r="R81" t="s">
        <v>43168</v>
      </c>
      <c r="S81" t="s">
        <v>43286</v>
      </c>
      <c r="T81" t="s">
        <v>44703</v>
      </c>
      <c r="U81" t="s">
        <v>45291</v>
      </c>
      <c r="W81" t="s">
        <v>39339</v>
      </c>
      <c r="X81" t="s">
        <v>43173</v>
      </c>
    </row>
    <row r="82" spans="1:24">
      <c r="A82">
        <f>HYPERLINK("https://www.philgeps.gov.ph/GEPSNONPILOT/Tender/SplashBidNoticeAbstractUI.aspx?menuIndex=3&amp;refID=7082927&amp;Result=3","7082927")</f>
        <v>0</v>
      </c>
      <c r="B82" t="s">
        <v>64</v>
      </c>
      <c r="C82" t="s">
        <v>3535</v>
      </c>
      <c r="D82" t="s">
        <v>17415</v>
      </c>
      <c r="E82" t="s">
        <v>17591</v>
      </c>
      <c r="F82" t="s">
        <v>30052</v>
      </c>
      <c r="G82" t="s">
        <v>30058</v>
      </c>
      <c r="H82" t="s">
        <v>15498</v>
      </c>
      <c r="I82" t="s">
        <v>30078</v>
      </c>
      <c r="J82" t="s">
        <v>30227</v>
      </c>
      <c r="K82" t="s">
        <v>39036</v>
      </c>
      <c r="M82" t="s">
        <v>39353</v>
      </c>
      <c r="N82" t="s">
        <v>43166</v>
      </c>
      <c r="O82" t="s">
        <v>43167</v>
      </c>
      <c r="P82">
        <v>0</v>
      </c>
      <c r="Q82">
        <v>0</v>
      </c>
      <c r="R82" t="s">
        <v>43168</v>
      </c>
      <c r="S82" t="s">
        <v>43286</v>
      </c>
      <c r="T82" t="s">
        <v>44713</v>
      </c>
      <c r="U82" t="s">
        <v>45292</v>
      </c>
      <c r="V82" t="s">
        <v>56823</v>
      </c>
      <c r="W82" t="s">
        <v>39353</v>
      </c>
      <c r="X82" t="s">
        <v>43172</v>
      </c>
    </row>
    <row r="83" spans="1:24">
      <c r="A83">
        <f>HYPERLINK("https://www.philgeps.gov.ph/GEPSNONPILOT/Tender/SplashBidNoticeAbstractUI.aspx?menuIndex=3&amp;refID=7083256&amp;Result=3","7083256")</f>
        <v>0</v>
      </c>
      <c r="B83" t="s">
        <v>65</v>
      </c>
      <c r="C83" t="s">
        <v>3536</v>
      </c>
      <c r="D83" t="s">
        <v>17424</v>
      </c>
      <c r="E83" t="s">
        <v>17592</v>
      </c>
      <c r="F83" t="s">
        <v>30052</v>
      </c>
      <c r="G83" t="s">
        <v>30061</v>
      </c>
      <c r="H83" t="s">
        <v>15498</v>
      </c>
      <c r="I83" t="s">
        <v>4119</v>
      </c>
      <c r="J83" t="s">
        <v>30282</v>
      </c>
      <c r="K83" t="s">
        <v>39017</v>
      </c>
      <c r="M83" t="s">
        <v>39354</v>
      </c>
      <c r="N83" t="s">
        <v>43166</v>
      </c>
      <c r="O83" t="s">
        <v>43167</v>
      </c>
      <c r="P83">
        <v>0</v>
      </c>
      <c r="Q83">
        <v>1</v>
      </c>
      <c r="R83" t="s">
        <v>43168</v>
      </c>
      <c r="S83" t="s">
        <v>43286</v>
      </c>
      <c r="T83" t="s">
        <v>44714</v>
      </c>
      <c r="U83" t="s">
        <v>45293</v>
      </c>
      <c r="V83" t="s">
        <v>56824</v>
      </c>
      <c r="W83" t="s">
        <v>39354</v>
      </c>
      <c r="X83" t="s">
        <v>43172</v>
      </c>
    </row>
    <row r="84" spans="1:24">
      <c r="A84">
        <f>HYPERLINK("https://www.philgeps.gov.ph/GEPSNONPILOT/Tender/SplashBidNoticeAbstractUI.aspx?menuIndex=3&amp;refID=7082922&amp;Result=3","7082922")</f>
        <v>0</v>
      </c>
      <c r="B84" t="s">
        <v>66</v>
      </c>
      <c r="C84" t="s">
        <v>3537</v>
      </c>
      <c r="D84" t="s">
        <v>17432</v>
      </c>
      <c r="E84" t="s">
        <v>17593</v>
      </c>
      <c r="F84" t="s">
        <v>30052</v>
      </c>
      <c r="G84" t="s">
        <v>30062</v>
      </c>
      <c r="H84" t="s">
        <v>15498</v>
      </c>
      <c r="I84" t="s">
        <v>30071</v>
      </c>
      <c r="J84" t="s">
        <v>30283</v>
      </c>
      <c r="K84" t="s">
        <v>39017</v>
      </c>
      <c r="M84" t="s">
        <v>39355</v>
      </c>
      <c r="N84" t="s">
        <v>43166</v>
      </c>
      <c r="O84" t="s">
        <v>43167</v>
      </c>
      <c r="P84">
        <v>0</v>
      </c>
      <c r="Q84">
        <v>0</v>
      </c>
      <c r="R84" t="s">
        <v>43168</v>
      </c>
      <c r="S84" t="s">
        <v>43286</v>
      </c>
      <c r="T84" t="s">
        <v>44715</v>
      </c>
      <c r="U84" t="s">
        <v>45294</v>
      </c>
      <c r="W84" t="s">
        <v>39355</v>
      </c>
      <c r="X84" t="s">
        <v>43172</v>
      </c>
    </row>
    <row r="85" spans="1:24">
      <c r="A85">
        <f>HYPERLINK("https://www.philgeps.gov.ph/GEPSNONPILOT/Tender/SplashBidNoticeAbstractUI.aspx?menuIndex=3&amp;refID=7082902&amp;Result=3","7082902")</f>
        <v>0</v>
      </c>
      <c r="B85" t="s">
        <v>63</v>
      </c>
      <c r="C85" t="s">
        <v>3538</v>
      </c>
      <c r="E85" t="s">
        <v>17594</v>
      </c>
      <c r="F85" t="s">
        <v>30052</v>
      </c>
      <c r="G85" t="s">
        <v>30058</v>
      </c>
      <c r="H85" t="s">
        <v>30067</v>
      </c>
      <c r="I85" t="s">
        <v>3693</v>
      </c>
      <c r="J85" t="s">
        <v>30284</v>
      </c>
      <c r="K85" t="s">
        <v>39025</v>
      </c>
      <c r="M85" t="s">
        <v>39352</v>
      </c>
      <c r="N85" t="s">
        <v>43166</v>
      </c>
      <c r="O85" t="s">
        <v>43167</v>
      </c>
      <c r="P85">
        <v>0</v>
      </c>
      <c r="Q85">
        <v>1</v>
      </c>
      <c r="R85" t="s">
        <v>43168</v>
      </c>
      <c r="S85" t="s">
        <v>43286</v>
      </c>
      <c r="T85" t="s">
        <v>44712</v>
      </c>
      <c r="U85" t="s">
        <v>45295</v>
      </c>
      <c r="W85" t="s">
        <v>39352</v>
      </c>
      <c r="X85" t="s">
        <v>43172</v>
      </c>
    </row>
    <row r="86" spans="1:24">
      <c r="A86">
        <f>HYPERLINK("https://www.philgeps.gov.ph/GEPSNONPILOT/Tender/SplashBidNoticeAbstractUI.aspx?menuIndex=3&amp;refID=7082973&amp;Result=3","7082973")</f>
        <v>0</v>
      </c>
      <c r="B86" t="s">
        <v>66</v>
      </c>
      <c r="C86" t="s">
        <v>3537</v>
      </c>
      <c r="D86" t="s">
        <v>17432</v>
      </c>
      <c r="E86" t="s">
        <v>17595</v>
      </c>
      <c r="F86" t="s">
        <v>30052</v>
      </c>
      <c r="G86" t="s">
        <v>30062</v>
      </c>
      <c r="H86" t="s">
        <v>15498</v>
      </c>
      <c r="I86" t="s">
        <v>4119</v>
      </c>
      <c r="J86" t="s">
        <v>30285</v>
      </c>
      <c r="K86" t="s">
        <v>39017</v>
      </c>
      <c r="M86" t="s">
        <v>39355</v>
      </c>
      <c r="N86" t="s">
        <v>43166</v>
      </c>
      <c r="O86" t="s">
        <v>43167</v>
      </c>
      <c r="P86">
        <v>0</v>
      </c>
      <c r="Q86">
        <v>1</v>
      </c>
      <c r="R86" t="s">
        <v>43168</v>
      </c>
      <c r="S86" t="s">
        <v>43286</v>
      </c>
      <c r="T86" t="s">
        <v>44715</v>
      </c>
      <c r="U86" t="s">
        <v>45296</v>
      </c>
      <c r="W86" t="s">
        <v>39355</v>
      </c>
      <c r="X86" t="s">
        <v>43172</v>
      </c>
    </row>
    <row r="87" spans="1:24">
      <c r="A87">
        <f>HYPERLINK("https://www.philgeps.gov.ph/GEPSNONPILOT/Tender/SplashBidNoticeAbstractUI.aspx?menuIndex=3&amp;refID=7084057&amp;Result=3","7084057")</f>
        <v>0</v>
      </c>
      <c r="B87" t="s">
        <v>67</v>
      </c>
      <c r="C87" t="s">
        <v>3539</v>
      </c>
      <c r="D87" t="s">
        <v>17432</v>
      </c>
      <c r="E87" t="s">
        <v>17596</v>
      </c>
      <c r="F87" t="s">
        <v>30052</v>
      </c>
      <c r="G87" t="s">
        <v>30058</v>
      </c>
      <c r="H87" t="s">
        <v>15498</v>
      </c>
      <c r="I87" t="s">
        <v>30076</v>
      </c>
      <c r="J87" t="s">
        <v>30286</v>
      </c>
      <c r="K87" t="s">
        <v>39029</v>
      </c>
      <c r="M87" t="s">
        <v>39356</v>
      </c>
      <c r="N87" t="s">
        <v>43166</v>
      </c>
      <c r="O87" t="s">
        <v>43167</v>
      </c>
      <c r="P87">
        <v>0</v>
      </c>
      <c r="Q87">
        <v>2</v>
      </c>
      <c r="R87" t="s">
        <v>43168</v>
      </c>
      <c r="S87" t="s">
        <v>43286</v>
      </c>
      <c r="T87" t="s">
        <v>44699</v>
      </c>
      <c r="U87" t="s">
        <v>45297</v>
      </c>
      <c r="V87" t="s">
        <v>56825</v>
      </c>
      <c r="W87" t="s">
        <v>39356</v>
      </c>
      <c r="X87" t="s">
        <v>43172</v>
      </c>
    </row>
    <row r="88" spans="1:24">
      <c r="A88">
        <f>HYPERLINK("https://www.philgeps.gov.ph/GEPSNONPILOT/Tender/SplashBidNoticeAbstractUI.aspx?menuIndex=3&amp;refID=7083518&amp;Result=3","7083518")</f>
        <v>0</v>
      </c>
      <c r="B88" t="s">
        <v>68</v>
      </c>
      <c r="C88" t="s">
        <v>3540</v>
      </c>
      <c r="D88" t="s">
        <v>17413</v>
      </c>
      <c r="E88" t="s">
        <v>17597</v>
      </c>
      <c r="F88" t="s">
        <v>30052</v>
      </c>
      <c r="G88" t="s">
        <v>30061</v>
      </c>
      <c r="H88" t="s">
        <v>15498</v>
      </c>
      <c r="I88" t="s">
        <v>9238</v>
      </c>
      <c r="J88" t="s">
        <v>30287</v>
      </c>
      <c r="K88" t="s">
        <v>39036</v>
      </c>
      <c r="M88" t="s">
        <v>39357</v>
      </c>
      <c r="N88" t="s">
        <v>43166</v>
      </c>
      <c r="O88" t="s">
        <v>43167</v>
      </c>
      <c r="P88">
        <v>0</v>
      </c>
      <c r="Q88">
        <v>12</v>
      </c>
      <c r="R88" t="s">
        <v>43168</v>
      </c>
      <c r="S88" t="s">
        <v>43286</v>
      </c>
      <c r="T88" t="s">
        <v>44705</v>
      </c>
      <c r="U88" t="s">
        <v>45298</v>
      </c>
      <c r="W88" t="s">
        <v>39357</v>
      </c>
      <c r="X88" t="s">
        <v>43172</v>
      </c>
    </row>
    <row r="89" spans="1:24">
      <c r="A89">
        <f>HYPERLINK("https://www.philgeps.gov.ph/GEPSNONPILOT/Tender/SplashBidNoticeAbstractUI.aspx?menuIndex=3&amp;refID=7083999&amp;Result=3","7083999")</f>
        <v>0</v>
      </c>
      <c r="B89" t="s">
        <v>69</v>
      </c>
      <c r="C89" t="s">
        <v>3541</v>
      </c>
      <c r="D89" t="s">
        <v>17437</v>
      </c>
      <c r="E89" t="s">
        <v>17598</v>
      </c>
      <c r="F89" t="s">
        <v>30052</v>
      </c>
      <c r="G89" t="s">
        <v>30058</v>
      </c>
      <c r="H89" t="s">
        <v>15498</v>
      </c>
      <c r="I89" t="s">
        <v>3736</v>
      </c>
      <c r="J89" t="s">
        <v>30288</v>
      </c>
      <c r="K89" t="s">
        <v>39019</v>
      </c>
      <c r="M89" t="s">
        <v>39358</v>
      </c>
      <c r="N89" t="s">
        <v>43166</v>
      </c>
      <c r="O89" t="s">
        <v>43167</v>
      </c>
      <c r="P89">
        <v>0</v>
      </c>
      <c r="Q89">
        <v>0</v>
      </c>
      <c r="R89" t="s">
        <v>43168</v>
      </c>
      <c r="S89" t="s">
        <v>43286</v>
      </c>
      <c r="T89" t="s">
        <v>44716</v>
      </c>
      <c r="U89" t="s">
        <v>45299</v>
      </c>
      <c r="W89" t="s">
        <v>39358</v>
      </c>
      <c r="X89" t="s">
        <v>43172</v>
      </c>
    </row>
    <row r="90" spans="1:24">
      <c r="A90">
        <f>HYPERLINK("https://www.philgeps.gov.ph/GEPSNONPILOT/Tender/SplashBidNoticeAbstractUI.aspx?menuIndex=3&amp;refID=7083925&amp;Result=3","7083925")</f>
        <v>0</v>
      </c>
      <c r="B90" t="s">
        <v>70</v>
      </c>
      <c r="C90" t="s">
        <v>3542</v>
      </c>
      <c r="D90" t="s">
        <v>17444</v>
      </c>
      <c r="E90" t="s">
        <v>17599</v>
      </c>
      <c r="F90" t="s">
        <v>30052</v>
      </c>
      <c r="G90" t="s">
        <v>30058</v>
      </c>
      <c r="H90" t="s">
        <v>15498</v>
      </c>
      <c r="I90" t="s">
        <v>30088</v>
      </c>
      <c r="J90" t="s">
        <v>30289</v>
      </c>
      <c r="K90" t="s">
        <v>39026</v>
      </c>
      <c r="M90" t="s">
        <v>39359</v>
      </c>
      <c r="N90" t="s">
        <v>43166</v>
      </c>
      <c r="O90" t="s">
        <v>43167</v>
      </c>
      <c r="P90">
        <v>0</v>
      </c>
      <c r="Q90">
        <v>6</v>
      </c>
      <c r="R90" t="s">
        <v>43168</v>
      </c>
      <c r="S90" t="s">
        <v>43286</v>
      </c>
      <c r="T90" t="s">
        <v>44702</v>
      </c>
      <c r="U90" t="s">
        <v>45300</v>
      </c>
      <c r="W90" t="s">
        <v>39359</v>
      </c>
      <c r="X90" t="s">
        <v>43172</v>
      </c>
    </row>
    <row r="91" spans="1:24">
      <c r="A91">
        <f>HYPERLINK("https://www.philgeps.gov.ph/GEPSNONPILOT/Tender/SplashBidNoticeAbstractUI.aspx?menuIndex=3&amp;refID=7083914&amp;Result=3","7083914")</f>
        <v>0</v>
      </c>
      <c r="B91" t="s">
        <v>71</v>
      </c>
      <c r="C91" t="s">
        <v>3543</v>
      </c>
      <c r="D91" t="s">
        <v>17420</v>
      </c>
      <c r="E91" t="s">
        <v>17600</v>
      </c>
      <c r="F91" t="s">
        <v>30052</v>
      </c>
      <c r="G91" t="s">
        <v>30059</v>
      </c>
      <c r="H91" t="s">
        <v>15498</v>
      </c>
      <c r="I91" t="s">
        <v>30075</v>
      </c>
      <c r="J91" t="s">
        <v>30248</v>
      </c>
      <c r="K91" t="s">
        <v>39019</v>
      </c>
      <c r="M91" t="s">
        <v>39360</v>
      </c>
      <c r="N91" t="s">
        <v>43166</v>
      </c>
      <c r="O91" t="s">
        <v>43167</v>
      </c>
      <c r="P91">
        <v>0</v>
      </c>
      <c r="Q91">
        <v>0</v>
      </c>
      <c r="R91" t="s">
        <v>43168</v>
      </c>
      <c r="S91" t="s">
        <v>43286</v>
      </c>
      <c r="T91" t="s">
        <v>44698</v>
      </c>
      <c r="U91" t="s">
        <v>45301</v>
      </c>
      <c r="W91" t="s">
        <v>39360</v>
      </c>
      <c r="X91" t="s">
        <v>43172</v>
      </c>
    </row>
    <row r="92" spans="1:24">
      <c r="A92">
        <f>HYPERLINK("https://www.philgeps.gov.ph/GEPSNONPILOT/Tender/SplashBidNoticeAbstractUI.aspx?menuIndex=3&amp;refID=7083188&amp;Result=3","7083188")</f>
        <v>0</v>
      </c>
      <c r="B92" t="s">
        <v>72</v>
      </c>
      <c r="C92" t="s">
        <v>3544</v>
      </c>
      <c r="D92" t="s">
        <v>17431</v>
      </c>
      <c r="E92" t="s">
        <v>17601</v>
      </c>
      <c r="F92" t="s">
        <v>30052</v>
      </c>
      <c r="G92" t="s">
        <v>30058</v>
      </c>
      <c r="H92" t="s">
        <v>30067</v>
      </c>
      <c r="I92" t="s">
        <v>3693</v>
      </c>
      <c r="J92" t="s">
        <v>30290</v>
      </c>
      <c r="K92" t="s">
        <v>39025</v>
      </c>
      <c r="M92" t="s">
        <v>39361</v>
      </c>
      <c r="N92" t="s">
        <v>43166</v>
      </c>
      <c r="O92" t="s">
        <v>43167</v>
      </c>
      <c r="P92">
        <v>0</v>
      </c>
      <c r="Q92">
        <v>0</v>
      </c>
      <c r="R92" t="s">
        <v>43168</v>
      </c>
      <c r="S92" t="s">
        <v>43286</v>
      </c>
      <c r="T92" t="s">
        <v>44702</v>
      </c>
      <c r="U92" t="s">
        <v>45302</v>
      </c>
      <c r="W92" t="s">
        <v>39361</v>
      </c>
      <c r="X92" t="s">
        <v>43172</v>
      </c>
    </row>
    <row r="93" spans="1:24">
      <c r="A93">
        <f>HYPERLINK("https://www.philgeps.gov.ph/GEPSNONPILOT/Tender/SplashBidNoticeAbstractUI.aspx?menuIndex=3&amp;refID=7084067&amp;Result=3","7084067")</f>
        <v>0</v>
      </c>
      <c r="B93" t="s">
        <v>73</v>
      </c>
      <c r="C93" t="s">
        <v>3545</v>
      </c>
      <c r="D93" t="s">
        <v>17445</v>
      </c>
      <c r="E93" t="s">
        <v>17602</v>
      </c>
      <c r="F93" t="s">
        <v>30052</v>
      </c>
      <c r="G93" t="s">
        <v>30059</v>
      </c>
      <c r="H93" t="s">
        <v>15498</v>
      </c>
      <c r="I93" t="s">
        <v>30076</v>
      </c>
      <c r="J93" t="s">
        <v>30291</v>
      </c>
      <c r="K93" t="s">
        <v>39017</v>
      </c>
      <c r="M93" t="s">
        <v>39362</v>
      </c>
      <c r="N93" t="s">
        <v>43166</v>
      </c>
      <c r="O93" t="s">
        <v>43167</v>
      </c>
      <c r="P93">
        <v>0</v>
      </c>
      <c r="Q93">
        <v>10</v>
      </c>
      <c r="R93" t="s">
        <v>43168</v>
      </c>
      <c r="S93" t="s">
        <v>43286</v>
      </c>
      <c r="T93" t="s">
        <v>44715</v>
      </c>
      <c r="U93" t="s">
        <v>45303</v>
      </c>
      <c r="W93" t="s">
        <v>39362</v>
      </c>
      <c r="X93" t="s">
        <v>43172</v>
      </c>
    </row>
    <row r="94" spans="1:24">
      <c r="A94">
        <f>HYPERLINK("https://www.philgeps.gov.ph/GEPSNONPILOT/Tender/SplashBidNoticeAbstractUI.aspx?menuIndex=3&amp;refID=7083876&amp;Result=3","7083876")</f>
        <v>0</v>
      </c>
      <c r="B94" t="s">
        <v>74</v>
      </c>
      <c r="C94" t="s">
        <v>3546</v>
      </c>
      <c r="D94" t="s">
        <v>17446</v>
      </c>
      <c r="E94" t="s">
        <v>17603</v>
      </c>
      <c r="F94" t="s">
        <v>30052</v>
      </c>
      <c r="G94" t="s">
        <v>30059</v>
      </c>
      <c r="H94" t="s">
        <v>15498</v>
      </c>
      <c r="I94" t="s">
        <v>8323</v>
      </c>
      <c r="J94" t="s">
        <v>30292</v>
      </c>
      <c r="K94" t="s">
        <v>39025</v>
      </c>
      <c r="M94" t="s">
        <v>39363</v>
      </c>
      <c r="N94" t="s">
        <v>43166</v>
      </c>
      <c r="O94" t="s">
        <v>43167</v>
      </c>
      <c r="P94">
        <v>0</v>
      </c>
      <c r="Q94">
        <v>3</v>
      </c>
      <c r="R94" t="s">
        <v>43168</v>
      </c>
      <c r="S94" t="s">
        <v>43286</v>
      </c>
      <c r="T94" t="s">
        <v>44685</v>
      </c>
      <c r="U94" t="s">
        <v>45304</v>
      </c>
      <c r="V94" t="s">
        <v>56826</v>
      </c>
      <c r="W94" t="s">
        <v>39363</v>
      </c>
      <c r="X94" t="s">
        <v>43172</v>
      </c>
    </row>
    <row r="95" spans="1:24">
      <c r="A95">
        <f>HYPERLINK("https://www.philgeps.gov.ph/GEPSNONPILOT/Tender/SplashBidNoticeAbstractUI.aspx?menuIndex=3&amp;refID=7083747&amp;Result=3","7083747")</f>
        <v>0</v>
      </c>
      <c r="B95" t="s">
        <v>75</v>
      </c>
      <c r="C95" t="s">
        <v>3547</v>
      </c>
      <c r="D95" t="s">
        <v>17434</v>
      </c>
      <c r="E95" t="s">
        <v>17604</v>
      </c>
      <c r="F95" t="s">
        <v>30052</v>
      </c>
      <c r="G95" t="s">
        <v>30058</v>
      </c>
      <c r="H95" t="s">
        <v>30067</v>
      </c>
      <c r="I95" t="s">
        <v>3693</v>
      </c>
      <c r="J95" t="s">
        <v>30293</v>
      </c>
      <c r="K95" t="s">
        <v>39037</v>
      </c>
      <c r="M95" t="s">
        <v>39364</v>
      </c>
      <c r="N95" t="s">
        <v>43166</v>
      </c>
      <c r="O95" t="s">
        <v>43167</v>
      </c>
      <c r="P95">
        <v>0</v>
      </c>
      <c r="Q95">
        <v>1</v>
      </c>
      <c r="R95" t="s">
        <v>43168</v>
      </c>
      <c r="S95" t="s">
        <v>43286</v>
      </c>
      <c r="T95" t="s">
        <v>44679</v>
      </c>
      <c r="U95" t="s">
        <v>45305</v>
      </c>
      <c r="W95" t="s">
        <v>39364</v>
      </c>
      <c r="X95" t="s">
        <v>43172</v>
      </c>
    </row>
    <row r="96" spans="1:24">
      <c r="A96">
        <f>HYPERLINK("https://www.philgeps.gov.ph/GEPSNONPILOT/Tender/SplashBidNoticeAbstractUI.aspx?menuIndex=3&amp;refID=7083950&amp;Result=3","7083950")</f>
        <v>0</v>
      </c>
      <c r="B96" t="s">
        <v>69</v>
      </c>
      <c r="C96" t="s">
        <v>3548</v>
      </c>
      <c r="D96" t="s">
        <v>17437</v>
      </c>
      <c r="E96" t="s">
        <v>17605</v>
      </c>
      <c r="F96" t="s">
        <v>30052</v>
      </c>
      <c r="G96" t="s">
        <v>30058</v>
      </c>
      <c r="H96" t="s">
        <v>15498</v>
      </c>
      <c r="I96" t="s">
        <v>3736</v>
      </c>
      <c r="J96" t="s">
        <v>30294</v>
      </c>
      <c r="K96" t="s">
        <v>39019</v>
      </c>
      <c r="M96" t="s">
        <v>39358</v>
      </c>
      <c r="N96" t="s">
        <v>43166</v>
      </c>
      <c r="O96" t="s">
        <v>43167</v>
      </c>
      <c r="P96">
        <v>0</v>
      </c>
      <c r="Q96">
        <v>0</v>
      </c>
      <c r="R96" t="s">
        <v>43168</v>
      </c>
      <c r="S96" t="s">
        <v>43286</v>
      </c>
      <c r="T96" t="s">
        <v>44716</v>
      </c>
      <c r="U96" t="s">
        <v>45306</v>
      </c>
      <c r="W96" t="s">
        <v>39358</v>
      </c>
      <c r="X96" t="s">
        <v>43172</v>
      </c>
    </row>
    <row r="97" spans="1:24">
      <c r="A97">
        <f>HYPERLINK("https://www.philgeps.gov.ph/GEPSNONPILOT/Tender/SplashBidNoticeAbstractUI.aspx?menuIndex=3&amp;refID=7083745&amp;Result=3","7083745")</f>
        <v>0</v>
      </c>
      <c r="B97" t="s">
        <v>71</v>
      </c>
      <c r="C97" t="s">
        <v>3549</v>
      </c>
      <c r="D97" t="s">
        <v>17420</v>
      </c>
      <c r="E97" t="s">
        <v>17606</v>
      </c>
      <c r="F97" t="s">
        <v>30052</v>
      </c>
      <c r="G97" t="s">
        <v>30059</v>
      </c>
      <c r="H97" t="s">
        <v>15498</v>
      </c>
      <c r="I97" t="s">
        <v>30075</v>
      </c>
      <c r="J97" t="s">
        <v>30230</v>
      </c>
      <c r="K97" t="s">
        <v>39019</v>
      </c>
      <c r="M97" t="s">
        <v>39360</v>
      </c>
      <c r="N97" t="s">
        <v>43166</v>
      </c>
      <c r="O97" t="s">
        <v>43167</v>
      </c>
      <c r="P97">
        <v>0</v>
      </c>
      <c r="Q97">
        <v>0</v>
      </c>
      <c r="R97" t="s">
        <v>43168</v>
      </c>
      <c r="S97" t="s">
        <v>43286</v>
      </c>
      <c r="T97" t="s">
        <v>44698</v>
      </c>
      <c r="U97" t="s">
        <v>45307</v>
      </c>
      <c r="W97" t="s">
        <v>39360</v>
      </c>
      <c r="X97" t="s">
        <v>43172</v>
      </c>
    </row>
    <row r="98" spans="1:24">
      <c r="A98">
        <f>HYPERLINK("https://www.philgeps.gov.ph/GEPSNONPILOT/Tender/SplashBidNoticeAbstractUI.aspx?menuIndex=3&amp;refID=7083742&amp;Result=3","7083742")</f>
        <v>0</v>
      </c>
      <c r="B98" t="s">
        <v>76</v>
      </c>
      <c r="C98" t="s">
        <v>3550</v>
      </c>
      <c r="D98" t="s">
        <v>17443</v>
      </c>
      <c r="E98" t="s">
        <v>17607</v>
      </c>
      <c r="F98" t="s">
        <v>30052</v>
      </c>
      <c r="G98" t="s">
        <v>30058</v>
      </c>
      <c r="H98" t="s">
        <v>15498</v>
      </c>
      <c r="I98" t="s">
        <v>3852</v>
      </c>
      <c r="J98" t="s">
        <v>30222</v>
      </c>
      <c r="K98" t="s">
        <v>39038</v>
      </c>
      <c r="L98" t="s">
        <v>76</v>
      </c>
      <c r="M98" t="s">
        <v>39365</v>
      </c>
      <c r="N98" t="s">
        <v>43166</v>
      </c>
      <c r="O98" t="s">
        <v>43167</v>
      </c>
      <c r="P98">
        <v>0</v>
      </c>
      <c r="Q98">
        <v>2</v>
      </c>
      <c r="R98" t="s">
        <v>43168</v>
      </c>
      <c r="S98" t="s">
        <v>43286</v>
      </c>
      <c r="T98" t="s">
        <v>44677</v>
      </c>
      <c r="U98" t="s">
        <v>45308</v>
      </c>
      <c r="W98" t="s">
        <v>39365</v>
      </c>
      <c r="X98" t="s">
        <v>43172</v>
      </c>
    </row>
    <row r="99" spans="1:24">
      <c r="A99">
        <f>HYPERLINK("https://www.philgeps.gov.ph/GEPSNONPILOT/Tender/SplashBidNoticeAbstractUI.aspx?menuIndex=3&amp;refID=7083730&amp;Result=3","7083730")</f>
        <v>0</v>
      </c>
      <c r="B99" t="s">
        <v>77</v>
      </c>
      <c r="C99" t="s">
        <v>3551</v>
      </c>
      <c r="D99" t="s">
        <v>17445</v>
      </c>
      <c r="E99" t="s">
        <v>17608</v>
      </c>
      <c r="F99" t="s">
        <v>30052</v>
      </c>
      <c r="G99" t="s">
        <v>30059</v>
      </c>
      <c r="H99" t="s">
        <v>15498</v>
      </c>
      <c r="I99" t="s">
        <v>3736</v>
      </c>
      <c r="J99" t="s">
        <v>30295</v>
      </c>
      <c r="K99" t="s">
        <v>39029</v>
      </c>
      <c r="M99" t="s">
        <v>39366</v>
      </c>
      <c r="N99" t="s">
        <v>43166</v>
      </c>
      <c r="O99" t="s">
        <v>43167</v>
      </c>
      <c r="P99">
        <v>0</v>
      </c>
      <c r="Q99">
        <v>0</v>
      </c>
      <c r="R99" t="s">
        <v>43168</v>
      </c>
      <c r="S99" t="s">
        <v>43286</v>
      </c>
      <c r="T99" t="s">
        <v>44710</v>
      </c>
      <c r="U99" t="s">
        <v>45309</v>
      </c>
      <c r="W99" t="s">
        <v>39366</v>
      </c>
      <c r="X99" t="s">
        <v>43172</v>
      </c>
    </row>
    <row r="100" spans="1:24">
      <c r="A100">
        <f>HYPERLINK("https://www.philgeps.gov.ph/GEPSNONPILOT/Tender/SplashBidNoticeAbstractUI.aspx?menuIndex=3&amp;refID=7083714&amp;Result=3","7083714")</f>
        <v>0</v>
      </c>
      <c r="B100" t="s">
        <v>75</v>
      </c>
      <c r="C100" t="s">
        <v>3552</v>
      </c>
      <c r="D100" t="s">
        <v>17434</v>
      </c>
      <c r="E100" t="s">
        <v>17609</v>
      </c>
      <c r="F100" t="s">
        <v>30052</v>
      </c>
      <c r="G100" t="s">
        <v>30058</v>
      </c>
      <c r="H100" t="s">
        <v>30067</v>
      </c>
      <c r="I100" t="s">
        <v>3736</v>
      </c>
      <c r="J100" t="s">
        <v>30296</v>
      </c>
      <c r="K100" t="s">
        <v>39035</v>
      </c>
      <c r="M100" t="s">
        <v>39364</v>
      </c>
      <c r="N100" t="s">
        <v>43166</v>
      </c>
      <c r="O100" t="s">
        <v>43167</v>
      </c>
      <c r="P100">
        <v>0</v>
      </c>
      <c r="Q100">
        <v>0</v>
      </c>
      <c r="R100" t="s">
        <v>43168</v>
      </c>
      <c r="S100" t="s">
        <v>43286</v>
      </c>
      <c r="T100" t="s">
        <v>44679</v>
      </c>
      <c r="U100" t="s">
        <v>45310</v>
      </c>
      <c r="W100" t="s">
        <v>39364</v>
      </c>
      <c r="X100" t="s">
        <v>43172</v>
      </c>
    </row>
    <row r="101" spans="1:24">
      <c r="A101">
        <f>HYPERLINK("https://www.philgeps.gov.ph/GEPSNONPILOT/Tender/SplashBidNoticeAbstractUI.aspx?menuIndex=3&amp;refID=7084327&amp;Result=3","7084327")</f>
        <v>0</v>
      </c>
      <c r="B101" t="s">
        <v>78</v>
      </c>
      <c r="C101" t="s">
        <v>3553</v>
      </c>
      <c r="E101" t="s">
        <v>17610</v>
      </c>
      <c r="F101" t="s">
        <v>30052</v>
      </c>
      <c r="G101" t="s">
        <v>30059</v>
      </c>
      <c r="H101" t="s">
        <v>15498</v>
      </c>
      <c r="I101" t="s">
        <v>30077</v>
      </c>
      <c r="J101" t="s">
        <v>30297</v>
      </c>
      <c r="K101" t="s">
        <v>39029</v>
      </c>
      <c r="M101" t="s">
        <v>39367</v>
      </c>
      <c r="N101" t="s">
        <v>43166</v>
      </c>
      <c r="O101" t="s">
        <v>43167</v>
      </c>
      <c r="P101">
        <v>0</v>
      </c>
      <c r="Q101">
        <v>17</v>
      </c>
      <c r="R101" t="s">
        <v>43168</v>
      </c>
      <c r="S101" t="s">
        <v>43286</v>
      </c>
      <c r="T101" t="s">
        <v>44681</v>
      </c>
      <c r="U101" t="s">
        <v>45311</v>
      </c>
      <c r="V101" t="s">
        <v>56827</v>
      </c>
      <c r="W101" t="s">
        <v>39367</v>
      </c>
      <c r="X101" t="s">
        <v>43172</v>
      </c>
    </row>
    <row r="102" spans="1:24">
      <c r="A102">
        <f>HYPERLINK("https://www.philgeps.gov.ph/GEPSNONPILOT/Tender/SplashBidNoticeAbstractUI.aspx?menuIndex=3&amp;refID=7083845&amp;Result=3","7083845")</f>
        <v>0</v>
      </c>
      <c r="B102" t="s">
        <v>79</v>
      </c>
      <c r="C102" t="s">
        <v>3554</v>
      </c>
      <c r="D102" t="s">
        <v>17438</v>
      </c>
      <c r="E102" t="s">
        <v>17611</v>
      </c>
      <c r="F102" t="s">
        <v>30052</v>
      </c>
      <c r="G102" t="s">
        <v>30061</v>
      </c>
      <c r="H102" t="s">
        <v>15498</v>
      </c>
      <c r="I102" t="s">
        <v>3736</v>
      </c>
      <c r="J102" t="s">
        <v>30298</v>
      </c>
      <c r="K102" t="s">
        <v>39018</v>
      </c>
      <c r="M102" t="s">
        <v>39368</v>
      </c>
      <c r="N102" t="s">
        <v>43166</v>
      </c>
      <c r="O102" t="s">
        <v>43167</v>
      </c>
      <c r="P102">
        <v>0</v>
      </c>
      <c r="Q102">
        <v>0</v>
      </c>
      <c r="R102" t="s">
        <v>43168</v>
      </c>
      <c r="S102" t="s">
        <v>43286</v>
      </c>
      <c r="T102" t="s">
        <v>44717</v>
      </c>
      <c r="U102" t="s">
        <v>45312</v>
      </c>
      <c r="W102" t="s">
        <v>39368</v>
      </c>
      <c r="X102" t="s">
        <v>43172</v>
      </c>
    </row>
    <row r="103" spans="1:24">
      <c r="A103">
        <f>HYPERLINK("https://www.philgeps.gov.ph/GEPSNONPILOT/Tender/SplashBidNoticeAbstractUI.aspx?menuIndex=3&amp;refID=7084619&amp;Result=3","7084619")</f>
        <v>0</v>
      </c>
      <c r="B103" t="s">
        <v>80</v>
      </c>
      <c r="C103" t="s">
        <v>3555</v>
      </c>
      <c r="D103" t="s">
        <v>17447</v>
      </c>
      <c r="E103" t="s">
        <v>17612</v>
      </c>
      <c r="F103" t="s">
        <v>30052</v>
      </c>
      <c r="G103" t="s">
        <v>30061</v>
      </c>
      <c r="H103" t="s">
        <v>15498</v>
      </c>
      <c r="I103" t="s">
        <v>30089</v>
      </c>
      <c r="J103" t="s">
        <v>30218</v>
      </c>
      <c r="K103" t="s">
        <v>39017</v>
      </c>
      <c r="M103" t="s">
        <v>39369</v>
      </c>
      <c r="N103" t="s">
        <v>43166</v>
      </c>
      <c r="O103" t="s">
        <v>43167</v>
      </c>
      <c r="P103">
        <v>0</v>
      </c>
      <c r="Q103">
        <v>0</v>
      </c>
      <c r="R103" t="s">
        <v>43168</v>
      </c>
      <c r="S103" t="s">
        <v>43286</v>
      </c>
      <c r="T103" t="s">
        <v>44714</v>
      </c>
      <c r="U103" t="s">
        <v>45313</v>
      </c>
      <c r="W103" t="s">
        <v>58589</v>
      </c>
      <c r="X103" t="s">
        <v>43171</v>
      </c>
    </row>
    <row r="104" spans="1:24">
      <c r="A104">
        <f>HYPERLINK("https://www.philgeps.gov.ph/GEPSNONPILOT/Tender/SplashBidNoticeAbstractUI.aspx?menuIndex=3&amp;refID=7083765&amp;Result=3","7083765")</f>
        <v>0</v>
      </c>
      <c r="B104" t="s">
        <v>81</v>
      </c>
      <c r="C104" t="s">
        <v>3556</v>
      </c>
      <c r="D104" t="s">
        <v>17415</v>
      </c>
      <c r="E104" t="s">
        <v>17613</v>
      </c>
      <c r="F104" t="s">
        <v>30052</v>
      </c>
      <c r="G104" t="s">
        <v>30059</v>
      </c>
      <c r="H104" t="s">
        <v>15498</v>
      </c>
      <c r="I104" t="s">
        <v>7228</v>
      </c>
      <c r="J104" t="s">
        <v>30299</v>
      </c>
      <c r="K104" t="s">
        <v>39039</v>
      </c>
      <c r="M104" t="s">
        <v>39370</v>
      </c>
      <c r="N104" t="s">
        <v>43166</v>
      </c>
      <c r="O104" t="s">
        <v>43167</v>
      </c>
      <c r="P104">
        <v>0</v>
      </c>
      <c r="Q104">
        <v>0</v>
      </c>
      <c r="R104" t="s">
        <v>43168</v>
      </c>
      <c r="S104" t="s">
        <v>43286</v>
      </c>
      <c r="T104" t="s">
        <v>44696</v>
      </c>
      <c r="U104" t="s">
        <v>45314</v>
      </c>
      <c r="W104" t="s">
        <v>39370</v>
      </c>
      <c r="X104" t="s">
        <v>43172</v>
      </c>
    </row>
    <row r="105" spans="1:24">
      <c r="A105">
        <f>HYPERLINK("https://www.philgeps.gov.ph/GEPSNONPILOT/Tender/SplashBidNoticeAbstractUI.aspx?menuIndex=3&amp;refID=7084609&amp;Result=3","7084609")</f>
        <v>0</v>
      </c>
      <c r="B105" t="s">
        <v>82</v>
      </c>
      <c r="C105" t="s">
        <v>3557</v>
      </c>
      <c r="D105" t="s">
        <v>17448</v>
      </c>
      <c r="E105" t="s">
        <v>17614</v>
      </c>
      <c r="F105" t="s">
        <v>30052</v>
      </c>
      <c r="G105" t="s">
        <v>30058</v>
      </c>
      <c r="H105" t="s">
        <v>30067</v>
      </c>
      <c r="I105" t="s">
        <v>3693</v>
      </c>
      <c r="J105" t="s">
        <v>30218</v>
      </c>
      <c r="K105" t="s">
        <v>39029</v>
      </c>
      <c r="M105" t="s">
        <v>39371</v>
      </c>
      <c r="N105" t="s">
        <v>43166</v>
      </c>
      <c r="O105" t="s">
        <v>43167</v>
      </c>
      <c r="P105">
        <v>0</v>
      </c>
      <c r="Q105">
        <v>0</v>
      </c>
      <c r="R105" t="s">
        <v>43168</v>
      </c>
      <c r="S105" t="s">
        <v>43286</v>
      </c>
      <c r="T105" t="s">
        <v>44718</v>
      </c>
      <c r="U105" t="s">
        <v>45315</v>
      </c>
      <c r="W105" t="s">
        <v>39371</v>
      </c>
      <c r="X105" t="s">
        <v>43171</v>
      </c>
    </row>
    <row r="106" spans="1:24">
      <c r="A106">
        <f>HYPERLINK("https://www.philgeps.gov.ph/GEPSNONPILOT/Tender/SplashBidNoticeAbstractUI.aspx?menuIndex=3&amp;refID=7084607&amp;Result=3","7084607")</f>
        <v>0</v>
      </c>
      <c r="B106" t="s">
        <v>82</v>
      </c>
      <c r="C106" t="s">
        <v>3558</v>
      </c>
      <c r="D106" t="s">
        <v>17448</v>
      </c>
      <c r="E106" t="s">
        <v>17615</v>
      </c>
      <c r="F106" t="s">
        <v>30052</v>
      </c>
      <c r="G106" t="s">
        <v>30058</v>
      </c>
      <c r="H106" t="s">
        <v>30067</v>
      </c>
      <c r="I106" t="s">
        <v>3693</v>
      </c>
      <c r="J106" t="s">
        <v>30230</v>
      </c>
      <c r="K106" t="s">
        <v>39019</v>
      </c>
      <c r="M106" t="s">
        <v>39371</v>
      </c>
      <c r="N106" t="s">
        <v>43166</v>
      </c>
      <c r="O106" t="s">
        <v>43167</v>
      </c>
      <c r="P106">
        <v>0</v>
      </c>
      <c r="Q106">
        <v>0</v>
      </c>
      <c r="R106" t="s">
        <v>43168</v>
      </c>
      <c r="S106" t="s">
        <v>43286</v>
      </c>
      <c r="T106" t="s">
        <v>44718</v>
      </c>
      <c r="U106" t="s">
        <v>45315</v>
      </c>
      <c r="W106" t="s">
        <v>39371</v>
      </c>
      <c r="X106" t="s">
        <v>43171</v>
      </c>
    </row>
    <row r="107" spans="1:24">
      <c r="A107">
        <f>HYPERLINK("https://www.philgeps.gov.ph/GEPSNONPILOT/Tender/SplashBidNoticeAbstractUI.aspx?menuIndex=3&amp;refID=7084604&amp;Result=3","7084604")</f>
        <v>0</v>
      </c>
      <c r="B107" t="s">
        <v>83</v>
      </c>
      <c r="C107" t="s">
        <v>3559</v>
      </c>
      <c r="D107" t="s">
        <v>17449</v>
      </c>
      <c r="E107" t="s">
        <v>17616</v>
      </c>
      <c r="F107" t="s">
        <v>30052</v>
      </c>
      <c r="G107" t="s">
        <v>30059</v>
      </c>
      <c r="H107" t="s">
        <v>15498</v>
      </c>
      <c r="I107" t="s">
        <v>4650</v>
      </c>
      <c r="J107" t="s">
        <v>30207</v>
      </c>
      <c r="K107" t="s">
        <v>39017</v>
      </c>
      <c r="M107" t="s">
        <v>39372</v>
      </c>
      <c r="N107" t="s">
        <v>43166</v>
      </c>
      <c r="O107" t="s">
        <v>43167</v>
      </c>
      <c r="P107">
        <v>0</v>
      </c>
      <c r="Q107">
        <v>2</v>
      </c>
      <c r="R107" t="s">
        <v>43168</v>
      </c>
      <c r="S107" t="s">
        <v>43286</v>
      </c>
      <c r="T107" t="s">
        <v>44679</v>
      </c>
      <c r="U107" t="s">
        <v>45316</v>
      </c>
      <c r="W107" t="s">
        <v>39372</v>
      </c>
      <c r="X107" t="s">
        <v>43171</v>
      </c>
    </row>
    <row r="108" spans="1:24">
      <c r="A108">
        <f>HYPERLINK("https://www.philgeps.gov.ph/GEPSNONPILOT/Tender/SplashBidNoticeAbstractUI.aspx?menuIndex=3&amp;refID=7084576&amp;Result=3","7084576")</f>
        <v>0</v>
      </c>
      <c r="B108" t="s">
        <v>84</v>
      </c>
      <c r="C108" t="s">
        <v>3560</v>
      </c>
      <c r="D108" t="s">
        <v>17444</v>
      </c>
      <c r="E108" t="s">
        <v>17617</v>
      </c>
      <c r="F108" t="s">
        <v>30052</v>
      </c>
      <c r="G108" t="s">
        <v>30061</v>
      </c>
      <c r="H108" t="s">
        <v>15498</v>
      </c>
      <c r="I108" t="s">
        <v>4119</v>
      </c>
      <c r="J108" t="s">
        <v>30300</v>
      </c>
      <c r="K108" t="s">
        <v>39040</v>
      </c>
      <c r="M108" t="s">
        <v>39373</v>
      </c>
      <c r="N108" t="s">
        <v>43166</v>
      </c>
      <c r="O108" t="s">
        <v>43167</v>
      </c>
      <c r="P108">
        <v>0</v>
      </c>
      <c r="Q108">
        <v>0</v>
      </c>
      <c r="R108" t="s">
        <v>43168</v>
      </c>
      <c r="S108" t="s">
        <v>43286</v>
      </c>
      <c r="T108" t="s">
        <v>44719</v>
      </c>
      <c r="U108" t="s">
        <v>45317</v>
      </c>
      <c r="V108" t="s">
        <v>56828</v>
      </c>
      <c r="W108" t="s">
        <v>39373</v>
      </c>
      <c r="X108" t="s">
        <v>43172</v>
      </c>
    </row>
    <row r="109" spans="1:24">
      <c r="A109">
        <f>HYPERLINK("https://www.philgeps.gov.ph/GEPSNONPILOT/Tender/SplashBidNoticeAbstractUI.aspx?menuIndex=3&amp;refID=7084507&amp;Result=3","7084507")</f>
        <v>0</v>
      </c>
      <c r="B109" t="s">
        <v>85</v>
      </c>
      <c r="C109" t="s">
        <v>3561</v>
      </c>
      <c r="D109" t="s">
        <v>17415</v>
      </c>
      <c r="E109" t="s">
        <v>17618</v>
      </c>
      <c r="F109" t="s">
        <v>30052</v>
      </c>
      <c r="G109" t="s">
        <v>30058</v>
      </c>
      <c r="H109" t="s">
        <v>15498</v>
      </c>
      <c r="I109" t="s">
        <v>3852</v>
      </c>
      <c r="J109" t="s">
        <v>30301</v>
      </c>
      <c r="K109" t="s">
        <v>39036</v>
      </c>
      <c r="M109" t="s">
        <v>39374</v>
      </c>
      <c r="N109" t="s">
        <v>43166</v>
      </c>
      <c r="O109" t="s">
        <v>43167</v>
      </c>
      <c r="P109">
        <v>0</v>
      </c>
      <c r="Q109">
        <v>4</v>
      </c>
      <c r="R109" t="s">
        <v>43168</v>
      </c>
      <c r="S109" t="s">
        <v>43286</v>
      </c>
      <c r="T109" t="s">
        <v>44699</v>
      </c>
      <c r="U109" t="s">
        <v>45318</v>
      </c>
      <c r="V109" t="s">
        <v>56829</v>
      </c>
      <c r="W109" t="s">
        <v>39374</v>
      </c>
      <c r="X109" t="s">
        <v>43172</v>
      </c>
    </row>
    <row r="110" spans="1:24">
      <c r="A110">
        <f>HYPERLINK("https://www.philgeps.gov.ph/GEPSNONPILOT/Tender/SplashBidNoticeAbstractUI.aspx?menuIndex=3&amp;refID=7083881&amp;Result=3","7083881")</f>
        <v>0</v>
      </c>
      <c r="B110" t="s">
        <v>86</v>
      </c>
      <c r="C110" t="s">
        <v>3562</v>
      </c>
      <c r="D110" t="s">
        <v>17450</v>
      </c>
      <c r="E110" t="s">
        <v>17619</v>
      </c>
      <c r="F110" t="s">
        <v>30052</v>
      </c>
      <c r="G110" t="s">
        <v>30059</v>
      </c>
      <c r="H110" t="s">
        <v>15498</v>
      </c>
      <c r="I110" t="s">
        <v>3852</v>
      </c>
      <c r="J110" t="s">
        <v>30302</v>
      </c>
      <c r="K110" t="s">
        <v>39017</v>
      </c>
      <c r="M110" t="s">
        <v>39375</v>
      </c>
      <c r="N110" t="s">
        <v>43166</v>
      </c>
      <c r="O110" t="s">
        <v>43167</v>
      </c>
      <c r="P110">
        <v>0</v>
      </c>
      <c r="Q110">
        <v>0</v>
      </c>
      <c r="R110" t="s">
        <v>43168</v>
      </c>
      <c r="S110" t="s">
        <v>43286</v>
      </c>
      <c r="T110" t="s">
        <v>44691</v>
      </c>
      <c r="U110" t="s">
        <v>45319</v>
      </c>
      <c r="V110" t="s">
        <v>56830</v>
      </c>
      <c r="W110" t="s">
        <v>39375</v>
      </c>
      <c r="X110" t="s">
        <v>43172</v>
      </c>
    </row>
    <row r="111" spans="1:24">
      <c r="A111">
        <f>HYPERLINK("https://www.philgeps.gov.ph/GEPSNONPILOT/Tender/SplashBidNoticeAbstractUI.aspx?menuIndex=3&amp;refID=7084504&amp;Result=3","7084504")</f>
        <v>0</v>
      </c>
      <c r="B111" t="s">
        <v>87</v>
      </c>
      <c r="C111" t="s">
        <v>3563</v>
      </c>
      <c r="D111" t="s">
        <v>17443</v>
      </c>
      <c r="E111" t="s">
        <v>17620</v>
      </c>
      <c r="F111" t="s">
        <v>30052</v>
      </c>
      <c r="G111" t="s">
        <v>30061</v>
      </c>
      <c r="H111" t="s">
        <v>15498</v>
      </c>
      <c r="I111" t="s">
        <v>4119</v>
      </c>
      <c r="J111" t="s">
        <v>30303</v>
      </c>
      <c r="K111" t="s">
        <v>39034</v>
      </c>
      <c r="M111" t="s">
        <v>39376</v>
      </c>
      <c r="N111" t="s">
        <v>43166</v>
      </c>
      <c r="O111" t="s">
        <v>43167</v>
      </c>
      <c r="P111">
        <v>0</v>
      </c>
      <c r="Q111">
        <v>2</v>
      </c>
      <c r="R111" t="s">
        <v>43168</v>
      </c>
      <c r="S111" t="s">
        <v>43286</v>
      </c>
      <c r="T111" t="s">
        <v>44679</v>
      </c>
      <c r="U111" t="s">
        <v>45320</v>
      </c>
      <c r="W111" t="s">
        <v>39376</v>
      </c>
      <c r="X111" t="s">
        <v>43172</v>
      </c>
    </row>
    <row r="112" spans="1:24">
      <c r="A112">
        <f>HYPERLINK("https://www.philgeps.gov.ph/GEPSNONPILOT/Tender/SplashBidNoticeAbstractUI.aspx?menuIndex=3&amp;refID=7084298&amp;Result=3","7084298")</f>
        <v>0</v>
      </c>
      <c r="B112" t="s">
        <v>88</v>
      </c>
      <c r="C112" t="s">
        <v>3564</v>
      </c>
      <c r="D112" t="s">
        <v>17451</v>
      </c>
      <c r="E112" t="s">
        <v>17621</v>
      </c>
      <c r="F112" t="s">
        <v>30052</v>
      </c>
      <c r="G112" t="s">
        <v>30058</v>
      </c>
      <c r="H112" t="s">
        <v>30067</v>
      </c>
      <c r="I112" t="s">
        <v>3693</v>
      </c>
      <c r="J112" t="s">
        <v>30304</v>
      </c>
      <c r="K112" t="s">
        <v>39041</v>
      </c>
      <c r="M112" t="s">
        <v>39377</v>
      </c>
      <c r="N112" t="s">
        <v>43166</v>
      </c>
      <c r="O112" t="s">
        <v>43167</v>
      </c>
      <c r="P112">
        <v>0</v>
      </c>
      <c r="Q112">
        <v>0</v>
      </c>
      <c r="R112" t="s">
        <v>43168</v>
      </c>
      <c r="S112" t="s">
        <v>43286</v>
      </c>
      <c r="T112" t="s">
        <v>44718</v>
      </c>
      <c r="U112" t="s">
        <v>45321</v>
      </c>
      <c r="V112" t="s">
        <v>56831</v>
      </c>
      <c r="W112" t="s">
        <v>39377</v>
      </c>
      <c r="X112" t="s">
        <v>43172</v>
      </c>
    </row>
    <row r="113" spans="1:24">
      <c r="A113">
        <f>HYPERLINK("https://www.philgeps.gov.ph/GEPSNONPILOT/Tender/SplashBidNoticeAbstractUI.aspx?menuIndex=3&amp;refID=7084291&amp;Result=3","7084291")</f>
        <v>0</v>
      </c>
      <c r="B113" t="s">
        <v>88</v>
      </c>
      <c r="C113" t="s">
        <v>3565</v>
      </c>
      <c r="D113" t="s">
        <v>17451</v>
      </c>
      <c r="E113" t="s">
        <v>17622</v>
      </c>
      <c r="F113" t="s">
        <v>30052</v>
      </c>
      <c r="G113" t="s">
        <v>30058</v>
      </c>
      <c r="H113" t="s">
        <v>30067</v>
      </c>
      <c r="I113" t="s">
        <v>3693</v>
      </c>
      <c r="J113" t="s">
        <v>30305</v>
      </c>
      <c r="K113" t="s">
        <v>39019</v>
      </c>
      <c r="M113" t="s">
        <v>39377</v>
      </c>
      <c r="N113" t="s">
        <v>43166</v>
      </c>
      <c r="O113" t="s">
        <v>43167</v>
      </c>
      <c r="P113">
        <v>0</v>
      </c>
      <c r="Q113">
        <v>0</v>
      </c>
      <c r="R113" t="s">
        <v>43168</v>
      </c>
      <c r="S113" t="s">
        <v>43286</v>
      </c>
      <c r="T113" t="s">
        <v>44718</v>
      </c>
      <c r="U113" t="s">
        <v>45322</v>
      </c>
      <c r="V113" t="s">
        <v>56831</v>
      </c>
      <c r="W113" t="s">
        <v>39377</v>
      </c>
      <c r="X113" t="s">
        <v>43172</v>
      </c>
    </row>
    <row r="114" spans="1:24">
      <c r="A114">
        <f>HYPERLINK("https://www.philgeps.gov.ph/GEPSNONPILOT/Tender/SplashBidNoticeAbstractUI.aspx?menuIndex=3&amp;refID=7084605&amp;Result=3","7084605")</f>
        <v>0</v>
      </c>
      <c r="B114" t="s">
        <v>89</v>
      </c>
      <c r="C114" t="s">
        <v>3566</v>
      </c>
      <c r="D114" t="s">
        <v>17444</v>
      </c>
      <c r="E114" t="s">
        <v>3566</v>
      </c>
      <c r="F114" t="s">
        <v>30052</v>
      </c>
      <c r="G114" t="s">
        <v>30062</v>
      </c>
      <c r="H114" t="s">
        <v>15498</v>
      </c>
      <c r="I114" t="s">
        <v>4119</v>
      </c>
      <c r="J114" t="s">
        <v>30306</v>
      </c>
      <c r="K114" t="s">
        <v>39039</v>
      </c>
      <c r="M114" t="s">
        <v>39378</v>
      </c>
      <c r="N114" t="s">
        <v>43166</v>
      </c>
      <c r="O114" t="s">
        <v>43167</v>
      </c>
      <c r="P114">
        <v>0</v>
      </c>
      <c r="Q114">
        <v>1</v>
      </c>
      <c r="R114" t="s">
        <v>43168</v>
      </c>
      <c r="S114" t="s">
        <v>43286</v>
      </c>
      <c r="T114" t="s">
        <v>44720</v>
      </c>
      <c r="U114" t="s">
        <v>45323</v>
      </c>
      <c r="W114" t="s">
        <v>39378</v>
      </c>
      <c r="X114" t="s">
        <v>43171</v>
      </c>
    </row>
    <row r="115" spans="1:24">
      <c r="A115">
        <f>HYPERLINK("https://www.philgeps.gov.ph/GEPSNONPILOT/Tender/SplashBidNoticeAbstractUI.aspx?menuIndex=3&amp;refID=7084276&amp;Result=3","7084276")</f>
        <v>0</v>
      </c>
      <c r="B115" t="s">
        <v>88</v>
      </c>
      <c r="C115" t="s">
        <v>3567</v>
      </c>
      <c r="D115" t="s">
        <v>17451</v>
      </c>
      <c r="E115" t="s">
        <v>17623</v>
      </c>
      <c r="F115" t="s">
        <v>30052</v>
      </c>
      <c r="G115" t="s">
        <v>30058</v>
      </c>
      <c r="H115" t="s">
        <v>30067</v>
      </c>
      <c r="I115" t="s">
        <v>3693</v>
      </c>
      <c r="J115" t="s">
        <v>30307</v>
      </c>
      <c r="K115" t="s">
        <v>39042</v>
      </c>
      <c r="M115" t="s">
        <v>39377</v>
      </c>
      <c r="N115" t="s">
        <v>43166</v>
      </c>
      <c r="O115" t="s">
        <v>43167</v>
      </c>
      <c r="P115">
        <v>0</v>
      </c>
      <c r="Q115">
        <v>0</v>
      </c>
      <c r="R115" t="s">
        <v>43168</v>
      </c>
      <c r="S115" t="s">
        <v>43286</v>
      </c>
      <c r="T115" t="s">
        <v>44718</v>
      </c>
      <c r="U115" t="s">
        <v>45324</v>
      </c>
      <c r="V115" t="s">
        <v>56831</v>
      </c>
      <c r="W115" t="s">
        <v>39377</v>
      </c>
      <c r="X115" t="s">
        <v>43172</v>
      </c>
    </row>
    <row r="116" spans="1:24">
      <c r="A116">
        <f>HYPERLINK("https://www.philgeps.gov.ph/GEPSNONPILOT/Tender/SplashBidNoticeAbstractUI.aspx?menuIndex=3&amp;refID=7084177&amp;Result=3","7084177")</f>
        <v>0</v>
      </c>
      <c r="B116" t="s">
        <v>90</v>
      </c>
      <c r="C116" t="s">
        <v>3568</v>
      </c>
      <c r="D116" t="s">
        <v>17414</v>
      </c>
      <c r="E116" t="s">
        <v>17624</v>
      </c>
      <c r="F116" t="s">
        <v>30052</v>
      </c>
      <c r="G116" t="s">
        <v>30061</v>
      </c>
      <c r="H116" t="s">
        <v>15498</v>
      </c>
      <c r="I116" t="s">
        <v>30081</v>
      </c>
      <c r="J116" t="s">
        <v>30207</v>
      </c>
      <c r="K116" t="s">
        <v>39029</v>
      </c>
      <c r="M116" t="s">
        <v>39379</v>
      </c>
      <c r="N116" t="s">
        <v>43166</v>
      </c>
      <c r="O116" t="s">
        <v>43167</v>
      </c>
      <c r="P116">
        <v>0</v>
      </c>
      <c r="Q116">
        <v>0</v>
      </c>
      <c r="R116" t="s">
        <v>43168</v>
      </c>
      <c r="S116" t="s">
        <v>43286</v>
      </c>
      <c r="T116" t="s">
        <v>44721</v>
      </c>
      <c r="U116" t="s">
        <v>45325</v>
      </c>
      <c r="W116" t="s">
        <v>39379</v>
      </c>
      <c r="X116" t="s">
        <v>43172</v>
      </c>
    </row>
    <row r="117" spans="1:24">
      <c r="A117">
        <f>HYPERLINK("https://www.philgeps.gov.ph/GEPSNONPILOT/Tender/SplashBidNoticeAbstractUI.aspx?menuIndex=3&amp;refID=7084558&amp;Result=3","7084558")</f>
        <v>0</v>
      </c>
      <c r="B117" t="s">
        <v>91</v>
      </c>
      <c r="C117" t="s">
        <v>3569</v>
      </c>
      <c r="D117" t="s">
        <v>17442</v>
      </c>
      <c r="E117" t="s">
        <v>17625</v>
      </c>
      <c r="F117" t="s">
        <v>30052</v>
      </c>
      <c r="G117" t="s">
        <v>30059</v>
      </c>
      <c r="H117" t="s">
        <v>30069</v>
      </c>
      <c r="I117" t="s">
        <v>30090</v>
      </c>
      <c r="J117" t="s">
        <v>30308</v>
      </c>
      <c r="K117" t="s">
        <v>39018</v>
      </c>
      <c r="M117" t="s">
        <v>39380</v>
      </c>
      <c r="N117" t="s">
        <v>43166</v>
      </c>
      <c r="O117" t="s">
        <v>43167</v>
      </c>
      <c r="P117">
        <v>0</v>
      </c>
      <c r="Q117">
        <v>1</v>
      </c>
      <c r="R117" t="s">
        <v>43168</v>
      </c>
      <c r="S117" t="s">
        <v>43286</v>
      </c>
      <c r="T117" t="s">
        <v>44699</v>
      </c>
      <c r="U117" t="s">
        <v>45326</v>
      </c>
      <c r="W117" t="s">
        <v>39380</v>
      </c>
      <c r="X117" t="s">
        <v>43172</v>
      </c>
    </row>
    <row r="118" spans="1:24">
      <c r="A118">
        <f>HYPERLINK("https://www.philgeps.gov.ph/GEPSNONPILOT/Tender/SplashBidNoticeAbstractUI.aspx?menuIndex=3&amp;refID=7084637&amp;Result=3","7084637")</f>
        <v>0</v>
      </c>
      <c r="B118" t="s">
        <v>92</v>
      </c>
      <c r="C118" t="s">
        <v>3570</v>
      </c>
      <c r="D118" t="s">
        <v>17423</v>
      </c>
      <c r="E118" t="s">
        <v>17626</v>
      </c>
      <c r="F118" t="s">
        <v>30052</v>
      </c>
      <c r="G118" t="s">
        <v>30058</v>
      </c>
      <c r="H118" t="s">
        <v>15498</v>
      </c>
      <c r="I118" t="s">
        <v>30091</v>
      </c>
      <c r="J118" t="s">
        <v>30309</v>
      </c>
      <c r="K118" t="s">
        <v>39019</v>
      </c>
      <c r="M118" t="s">
        <v>39381</v>
      </c>
      <c r="N118" t="s">
        <v>43166</v>
      </c>
      <c r="O118" t="s">
        <v>43167</v>
      </c>
      <c r="P118">
        <v>0</v>
      </c>
      <c r="Q118">
        <v>0</v>
      </c>
      <c r="R118" t="s">
        <v>43168</v>
      </c>
      <c r="S118" t="s">
        <v>43286</v>
      </c>
      <c r="T118" t="s">
        <v>44722</v>
      </c>
      <c r="U118" t="s">
        <v>45327</v>
      </c>
      <c r="W118" t="s">
        <v>39381</v>
      </c>
      <c r="X118" t="s">
        <v>43171</v>
      </c>
    </row>
    <row r="119" spans="1:24">
      <c r="A119">
        <f>HYPERLINK("https://www.philgeps.gov.ph/GEPSNONPILOT/Tender/SplashBidNoticeAbstractUI.aspx?menuIndex=3&amp;refID=7083936&amp;Result=3","7083936")</f>
        <v>0</v>
      </c>
      <c r="B119" t="s">
        <v>74</v>
      </c>
      <c r="C119" t="s">
        <v>3571</v>
      </c>
      <c r="D119" t="s">
        <v>17452</v>
      </c>
      <c r="E119" t="s">
        <v>17627</v>
      </c>
      <c r="F119" t="s">
        <v>30052</v>
      </c>
      <c r="G119" t="s">
        <v>30059</v>
      </c>
      <c r="H119" t="s">
        <v>30067</v>
      </c>
      <c r="I119" t="s">
        <v>3693</v>
      </c>
      <c r="J119" t="s">
        <v>30310</v>
      </c>
      <c r="K119" t="s">
        <v>39025</v>
      </c>
      <c r="M119" t="s">
        <v>39363</v>
      </c>
      <c r="N119" t="s">
        <v>43166</v>
      </c>
      <c r="O119" t="s">
        <v>43167</v>
      </c>
      <c r="Q119">
        <v>1</v>
      </c>
      <c r="R119" t="s">
        <v>43168</v>
      </c>
      <c r="S119" t="s">
        <v>43287</v>
      </c>
      <c r="T119" t="s">
        <v>44685</v>
      </c>
      <c r="U119" t="s">
        <v>45328</v>
      </c>
      <c r="V119" t="s">
        <v>56826</v>
      </c>
      <c r="W119" t="s">
        <v>39363</v>
      </c>
      <c r="X119" t="s">
        <v>43172</v>
      </c>
    </row>
    <row r="120" spans="1:24">
      <c r="A120">
        <f>HYPERLINK("https://www.philgeps.gov.ph/GEPSNONPILOT/Tender/SplashBidNoticeAbstractUI.aspx?menuIndex=3&amp;refID=7084282&amp;Result=3","7084282")</f>
        <v>0</v>
      </c>
      <c r="B120" t="s">
        <v>88</v>
      </c>
      <c r="C120" t="s">
        <v>3572</v>
      </c>
      <c r="D120" t="s">
        <v>17451</v>
      </c>
      <c r="E120" t="s">
        <v>17628</v>
      </c>
      <c r="F120" t="s">
        <v>30052</v>
      </c>
      <c r="G120" t="s">
        <v>30058</v>
      </c>
      <c r="H120" t="s">
        <v>30067</v>
      </c>
      <c r="I120" t="s">
        <v>3693</v>
      </c>
      <c r="J120" t="s">
        <v>30311</v>
      </c>
      <c r="K120" t="s">
        <v>39043</v>
      </c>
      <c r="M120" t="s">
        <v>39377</v>
      </c>
      <c r="N120" t="s">
        <v>43166</v>
      </c>
      <c r="O120" t="s">
        <v>43167</v>
      </c>
      <c r="P120">
        <v>0</v>
      </c>
      <c r="Q120">
        <v>0</v>
      </c>
      <c r="R120" t="s">
        <v>43168</v>
      </c>
      <c r="S120" t="s">
        <v>43286</v>
      </c>
      <c r="T120" t="s">
        <v>44718</v>
      </c>
      <c r="U120" t="s">
        <v>45329</v>
      </c>
      <c r="V120" t="s">
        <v>56832</v>
      </c>
      <c r="W120" t="s">
        <v>39377</v>
      </c>
      <c r="X120" t="s">
        <v>43172</v>
      </c>
    </row>
    <row r="121" spans="1:24">
      <c r="A121">
        <f>HYPERLINK("https://www.philgeps.gov.ph/GEPSNONPILOT/Tender/SplashBidNoticeAbstractUI.aspx?menuIndex=3&amp;refID=7082952&amp;Result=3","7082952")</f>
        <v>0</v>
      </c>
      <c r="B121" t="s">
        <v>64</v>
      </c>
      <c r="C121" t="s">
        <v>3573</v>
      </c>
      <c r="D121" t="s">
        <v>17415</v>
      </c>
      <c r="E121" t="s">
        <v>17629</v>
      </c>
      <c r="F121" t="s">
        <v>30052</v>
      </c>
      <c r="G121" t="s">
        <v>30058</v>
      </c>
      <c r="H121" t="s">
        <v>15498</v>
      </c>
      <c r="I121" t="s">
        <v>30085</v>
      </c>
      <c r="J121" t="s">
        <v>30230</v>
      </c>
      <c r="K121" t="s">
        <v>39036</v>
      </c>
      <c r="M121" t="s">
        <v>39353</v>
      </c>
      <c r="N121" t="s">
        <v>43166</v>
      </c>
      <c r="O121" t="s">
        <v>43167</v>
      </c>
      <c r="P121">
        <v>0</v>
      </c>
      <c r="Q121">
        <v>2</v>
      </c>
      <c r="R121" t="s">
        <v>43168</v>
      </c>
      <c r="S121" t="s">
        <v>43286</v>
      </c>
      <c r="T121" t="s">
        <v>44713</v>
      </c>
      <c r="U121" t="s">
        <v>45330</v>
      </c>
      <c r="V121" t="s">
        <v>56822</v>
      </c>
      <c r="W121" t="s">
        <v>39353</v>
      </c>
      <c r="X121" t="s">
        <v>43172</v>
      </c>
    </row>
    <row r="122" spans="1:24">
      <c r="A122">
        <f>HYPERLINK("https://www.philgeps.gov.ph/GEPSNONPILOT/Tender/SplashBidNoticeAbstractUI.aspx?menuIndex=3&amp;refID=7084707&amp;Result=3","7084707")</f>
        <v>0</v>
      </c>
      <c r="B122" t="s">
        <v>88</v>
      </c>
      <c r="C122" t="s">
        <v>3574</v>
      </c>
      <c r="D122" t="s">
        <v>17451</v>
      </c>
      <c r="E122" t="s">
        <v>17630</v>
      </c>
      <c r="F122" t="s">
        <v>30052</v>
      </c>
      <c r="G122" t="s">
        <v>30058</v>
      </c>
      <c r="H122" t="s">
        <v>30067</v>
      </c>
      <c r="I122" t="s">
        <v>3693</v>
      </c>
      <c r="J122" t="s">
        <v>30312</v>
      </c>
      <c r="K122" t="s">
        <v>39019</v>
      </c>
      <c r="M122" t="s">
        <v>39377</v>
      </c>
      <c r="N122" t="s">
        <v>43166</v>
      </c>
      <c r="O122" t="s">
        <v>43167</v>
      </c>
      <c r="P122">
        <v>0</v>
      </c>
      <c r="Q122">
        <v>0</v>
      </c>
      <c r="R122" t="s">
        <v>43168</v>
      </c>
      <c r="S122" t="s">
        <v>43286</v>
      </c>
      <c r="T122" t="s">
        <v>44718</v>
      </c>
      <c r="U122" t="s">
        <v>45331</v>
      </c>
      <c r="V122" t="s">
        <v>56832</v>
      </c>
      <c r="W122" t="s">
        <v>39377</v>
      </c>
      <c r="X122" t="s">
        <v>43171</v>
      </c>
    </row>
    <row r="123" spans="1:24">
      <c r="A123">
        <f>HYPERLINK("https://www.philgeps.gov.ph/GEPSNONPILOT/Tender/SplashBidNoticeAbstractUI.aspx?menuIndex=3&amp;refID=7084302&amp;Result=3","7084302")</f>
        <v>0</v>
      </c>
      <c r="B123" t="s">
        <v>88</v>
      </c>
      <c r="C123" t="s">
        <v>3575</v>
      </c>
      <c r="D123" t="s">
        <v>17451</v>
      </c>
      <c r="E123" t="s">
        <v>17631</v>
      </c>
      <c r="F123" t="s">
        <v>30052</v>
      </c>
      <c r="G123" t="s">
        <v>30058</v>
      </c>
      <c r="H123" t="s">
        <v>30067</v>
      </c>
      <c r="I123" t="s">
        <v>3693</v>
      </c>
      <c r="J123" t="s">
        <v>30313</v>
      </c>
      <c r="K123" t="s">
        <v>39044</v>
      </c>
      <c r="M123" t="s">
        <v>39377</v>
      </c>
      <c r="N123" t="s">
        <v>43166</v>
      </c>
      <c r="O123" t="s">
        <v>43167</v>
      </c>
      <c r="P123">
        <v>0</v>
      </c>
      <c r="Q123">
        <v>0</v>
      </c>
      <c r="R123" t="s">
        <v>43168</v>
      </c>
      <c r="S123" t="s">
        <v>43286</v>
      </c>
      <c r="T123" t="s">
        <v>44718</v>
      </c>
      <c r="U123" t="s">
        <v>45322</v>
      </c>
      <c r="V123" t="s">
        <v>56833</v>
      </c>
      <c r="W123" t="s">
        <v>39377</v>
      </c>
      <c r="X123" t="s">
        <v>43172</v>
      </c>
    </row>
    <row r="124" spans="1:24">
      <c r="A124">
        <f>HYPERLINK("https://www.philgeps.gov.ph/GEPSNONPILOT/Tender/SplashBidNoticeAbstractUI.aspx?menuIndex=3&amp;refID=7084685&amp;Result=3","7084685")</f>
        <v>0</v>
      </c>
      <c r="B124" t="s">
        <v>93</v>
      </c>
      <c r="C124" t="s">
        <v>3576</v>
      </c>
      <c r="D124" t="s">
        <v>17453</v>
      </c>
      <c r="E124" t="s">
        <v>17632</v>
      </c>
      <c r="F124" t="s">
        <v>30052</v>
      </c>
      <c r="G124" t="s">
        <v>30059</v>
      </c>
      <c r="H124" t="s">
        <v>15498</v>
      </c>
      <c r="I124" t="s">
        <v>30084</v>
      </c>
      <c r="J124" t="s">
        <v>30287</v>
      </c>
      <c r="K124" t="s">
        <v>39018</v>
      </c>
      <c r="M124" t="s">
        <v>39382</v>
      </c>
      <c r="N124" t="s">
        <v>43166</v>
      </c>
      <c r="O124" t="s">
        <v>43167</v>
      </c>
      <c r="P124">
        <v>0</v>
      </c>
      <c r="Q124">
        <v>3</v>
      </c>
      <c r="R124" t="s">
        <v>43168</v>
      </c>
      <c r="S124" t="s">
        <v>43286</v>
      </c>
      <c r="T124" t="s">
        <v>44698</v>
      </c>
      <c r="U124" t="s">
        <v>45332</v>
      </c>
      <c r="W124" t="s">
        <v>39382</v>
      </c>
      <c r="X124" t="s">
        <v>43171</v>
      </c>
    </row>
    <row r="125" spans="1:24">
      <c r="A125">
        <f>HYPERLINK("https://www.philgeps.gov.ph/GEPSNONPILOT/Tender/SplashBidNoticeAbstractUI.aspx?menuIndex=3&amp;refID=7084695&amp;Result=3","7084695")</f>
        <v>0</v>
      </c>
      <c r="B125" t="s">
        <v>94</v>
      </c>
      <c r="C125" t="s">
        <v>3577</v>
      </c>
      <c r="D125" t="s">
        <v>17454</v>
      </c>
      <c r="E125" t="s">
        <v>17633</v>
      </c>
      <c r="F125" t="s">
        <v>30052</v>
      </c>
      <c r="G125" t="s">
        <v>30058</v>
      </c>
      <c r="H125" t="s">
        <v>15498</v>
      </c>
      <c r="I125" t="s">
        <v>30092</v>
      </c>
      <c r="J125" t="s">
        <v>30277</v>
      </c>
      <c r="K125" t="s">
        <v>39019</v>
      </c>
      <c r="M125" t="s">
        <v>39383</v>
      </c>
      <c r="N125" t="s">
        <v>43166</v>
      </c>
      <c r="O125" t="s">
        <v>43167</v>
      </c>
      <c r="P125">
        <v>0</v>
      </c>
      <c r="Q125">
        <v>0</v>
      </c>
      <c r="R125" t="s">
        <v>43168</v>
      </c>
      <c r="S125" t="s">
        <v>43286</v>
      </c>
      <c r="T125" t="s">
        <v>44721</v>
      </c>
      <c r="U125" t="s">
        <v>45333</v>
      </c>
      <c r="W125" t="s">
        <v>39383</v>
      </c>
      <c r="X125" t="s">
        <v>43171</v>
      </c>
    </row>
    <row r="126" spans="1:24">
      <c r="A126">
        <f>HYPERLINK("https://www.philgeps.gov.ph/GEPSNONPILOT/Tender/SplashBidNoticeAbstractUI.aspx?menuIndex=3&amp;refID=7084693&amp;Result=3","7084693")</f>
        <v>0</v>
      </c>
      <c r="B126" t="s">
        <v>95</v>
      </c>
      <c r="C126" t="s">
        <v>3578</v>
      </c>
      <c r="D126" t="s">
        <v>17413</v>
      </c>
      <c r="E126" t="s">
        <v>17634</v>
      </c>
      <c r="F126" t="s">
        <v>30052</v>
      </c>
      <c r="G126" t="s">
        <v>30059</v>
      </c>
      <c r="H126" t="s">
        <v>15498</v>
      </c>
      <c r="I126" t="s">
        <v>7228</v>
      </c>
      <c r="J126" t="s">
        <v>30314</v>
      </c>
      <c r="K126" t="s">
        <v>39029</v>
      </c>
      <c r="M126" t="s">
        <v>39384</v>
      </c>
      <c r="N126" t="s">
        <v>43166</v>
      </c>
      <c r="O126" t="s">
        <v>43167</v>
      </c>
      <c r="P126">
        <v>0</v>
      </c>
      <c r="Q126">
        <v>0</v>
      </c>
      <c r="R126" t="s">
        <v>43168</v>
      </c>
      <c r="S126" t="s">
        <v>43286</v>
      </c>
      <c r="T126" t="s">
        <v>44678</v>
      </c>
      <c r="U126" t="s">
        <v>45334</v>
      </c>
      <c r="V126" t="s">
        <v>56834</v>
      </c>
      <c r="W126" t="s">
        <v>39384</v>
      </c>
      <c r="X126" t="s">
        <v>43171</v>
      </c>
    </row>
    <row r="127" spans="1:24">
      <c r="A127">
        <f>HYPERLINK("https://www.philgeps.gov.ph/GEPSNONPILOT/Tender/SplashBidNoticeAbstractUI.aspx?menuIndex=3&amp;refID=7084691&amp;Result=3","7084691")</f>
        <v>0</v>
      </c>
      <c r="B127" t="s">
        <v>96</v>
      </c>
      <c r="C127" t="s">
        <v>3579</v>
      </c>
      <c r="D127" t="s">
        <v>17442</v>
      </c>
      <c r="E127" t="s">
        <v>17635</v>
      </c>
      <c r="F127" t="s">
        <v>30052</v>
      </c>
      <c r="G127" t="s">
        <v>30059</v>
      </c>
      <c r="H127" t="s">
        <v>30069</v>
      </c>
      <c r="I127" t="s">
        <v>30093</v>
      </c>
      <c r="J127" t="s">
        <v>30315</v>
      </c>
      <c r="K127" t="s">
        <v>39019</v>
      </c>
      <c r="M127" t="s">
        <v>39385</v>
      </c>
      <c r="N127" t="s">
        <v>43166</v>
      </c>
      <c r="O127" t="s">
        <v>43167</v>
      </c>
      <c r="P127">
        <v>0</v>
      </c>
      <c r="Q127">
        <v>0</v>
      </c>
      <c r="R127" t="s">
        <v>43168</v>
      </c>
      <c r="S127" t="s">
        <v>43286</v>
      </c>
      <c r="T127" t="s">
        <v>44720</v>
      </c>
      <c r="U127" t="s">
        <v>45335</v>
      </c>
      <c r="W127" t="s">
        <v>39385</v>
      </c>
      <c r="X127" t="s">
        <v>43171</v>
      </c>
    </row>
    <row r="128" spans="1:24">
      <c r="A128">
        <f>HYPERLINK("https://www.philgeps.gov.ph/GEPSNONPILOT/Tender/SplashBidNoticeAbstractUI.aspx?menuIndex=3&amp;refID=7084710&amp;Result=3","7084710")</f>
        <v>0</v>
      </c>
      <c r="B128" t="s">
        <v>97</v>
      </c>
      <c r="C128" t="s">
        <v>3580</v>
      </c>
      <c r="D128" t="s">
        <v>17455</v>
      </c>
      <c r="E128" t="s">
        <v>17636</v>
      </c>
      <c r="F128" t="s">
        <v>30052</v>
      </c>
      <c r="G128" t="s">
        <v>30059</v>
      </c>
      <c r="H128" t="s">
        <v>15498</v>
      </c>
      <c r="I128" t="s">
        <v>30081</v>
      </c>
      <c r="J128" t="s">
        <v>30316</v>
      </c>
      <c r="K128" t="s">
        <v>39025</v>
      </c>
      <c r="M128" t="s">
        <v>39386</v>
      </c>
      <c r="N128" t="s">
        <v>43166</v>
      </c>
      <c r="O128" t="s">
        <v>43167</v>
      </c>
      <c r="P128">
        <v>0</v>
      </c>
      <c r="Q128">
        <v>1</v>
      </c>
      <c r="R128" t="s">
        <v>43168</v>
      </c>
      <c r="S128" t="s">
        <v>43286</v>
      </c>
      <c r="T128" t="s">
        <v>44723</v>
      </c>
      <c r="U128" t="s">
        <v>45336</v>
      </c>
      <c r="W128" t="s">
        <v>39386</v>
      </c>
      <c r="X128" t="s">
        <v>43171</v>
      </c>
    </row>
    <row r="129" spans="1:24">
      <c r="A129">
        <f>HYPERLINK("https://www.philgeps.gov.ph/GEPSNONPILOT/Tender/SplashBidNoticeAbstractUI.aspx?menuIndex=3&amp;refID=7084675&amp;Result=3","7084675")</f>
        <v>0</v>
      </c>
      <c r="B129" t="s">
        <v>88</v>
      </c>
      <c r="C129" t="s">
        <v>3581</v>
      </c>
      <c r="D129" t="s">
        <v>17451</v>
      </c>
      <c r="E129" t="s">
        <v>17637</v>
      </c>
      <c r="F129" t="s">
        <v>30052</v>
      </c>
      <c r="G129" t="s">
        <v>30058</v>
      </c>
      <c r="H129" t="s">
        <v>15498</v>
      </c>
      <c r="I129" t="s">
        <v>4598</v>
      </c>
      <c r="J129" t="s">
        <v>30207</v>
      </c>
      <c r="K129" t="s">
        <v>39029</v>
      </c>
      <c r="M129" t="s">
        <v>39377</v>
      </c>
      <c r="N129" t="s">
        <v>43166</v>
      </c>
      <c r="O129" t="s">
        <v>43167</v>
      </c>
      <c r="P129">
        <v>0</v>
      </c>
      <c r="Q129">
        <v>1</v>
      </c>
      <c r="R129" t="s">
        <v>43168</v>
      </c>
      <c r="S129" t="s">
        <v>43286</v>
      </c>
      <c r="T129" t="s">
        <v>44718</v>
      </c>
      <c r="U129" t="s">
        <v>45337</v>
      </c>
      <c r="V129" t="s">
        <v>56835</v>
      </c>
      <c r="W129" t="s">
        <v>39377</v>
      </c>
      <c r="X129" t="s">
        <v>43171</v>
      </c>
    </row>
    <row r="130" spans="1:24">
      <c r="A130">
        <f>HYPERLINK("https://www.philgeps.gov.ph/GEPSNONPILOT/Tender/SplashBidNoticeAbstractUI.aspx?menuIndex=3&amp;refID=7084672&amp;Result=3","7084672")</f>
        <v>0</v>
      </c>
      <c r="B130" t="s">
        <v>98</v>
      </c>
      <c r="C130" t="s">
        <v>3582</v>
      </c>
      <c r="D130" t="s">
        <v>17456</v>
      </c>
      <c r="E130" t="s">
        <v>17638</v>
      </c>
      <c r="F130" t="s">
        <v>30052</v>
      </c>
      <c r="G130" t="s">
        <v>30059</v>
      </c>
      <c r="H130" t="s">
        <v>15498</v>
      </c>
      <c r="I130" t="s">
        <v>30094</v>
      </c>
      <c r="J130" t="s">
        <v>30317</v>
      </c>
      <c r="K130" t="s">
        <v>39025</v>
      </c>
      <c r="L130" t="s">
        <v>98</v>
      </c>
      <c r="M130" t="s">
        <v>39387</v>
      </c>
      <c r="N130" t="s">
        <v>43166</v>
      </c>
      <c r="O130" t="s">
        <v>43167</v>
      </c>
      <c r="P130">
        <v>0</v>
      </c>
      <c r="Q130">
        <v>0</v>
      </c>
      <c r="R130" t="s">
        <v>43168</v>
      </c>
      <c r="S130" t="s">
        <v>43286</v>
      </c>
      <c r="T130" t="s">
        <v>44698</v>
      </c>
      <c r="U130" t="s">
        <v>45338</v>
      </c>
      <c r="W130" t="s">
        <v>39387</v>
      </c>
      <c r="X130" t="s">
        <v>43171</v>
      </c>
    </row>
    <row r="131" spans="1:24">
      <c r="A131">
        <f>HYPERLINK("https://www.philgeps.gov.ph/GEPSNONPILOT/Tender/SplashBidNoticeAbstractUI.aspx?menuIndex=3&amp;refID=7084696&amp;Result=3","7084696")</f>
        <v>0</v>
      </c>
      <c r="B131" t="s">
        <v>88</v>
      </c>
      <c r="C131" t="s">
        <v>3583</v>
      </c>
      <c r="D131" t="s">
        <v>17451</v>
      </c>
      <c r="E131" t="s">
        <v>17639</v>
      </c>
      <c r="F131" t="s">
        <v>30052</v>
      </c>
      <c r="G131" t="s">
        <v>30058</v>
      </c>
      <c r="H131" t="s">
        <v>30067</v>
      </c>
      <c r="I131" t="s">
        <v>3693</v>
      </c>
      <c r="J131" t="s">
        <v>30318</v>
      </c>
      <c r="K131" t="s">
        <v>39045</v>
      </c>
      <c r="M131" t="s">
        <v>39377</v>
      </c>
      <c r="N131" t="s">
        <v>43166</v>
      </c>
      <c r="O131" t="s">
        <v>43167</v>
      </c>
      <c r="P131">
        <v>0</v>
      </c>
      <c r="Q131">
        <v>0</v>
      </c>
      <c r="R131" t="s">
        <v>43168</v>
      </c>
      <c r="S131" t="s">
        <v>43286</v>
      </c>
      <c r="T131" t="s">
        <v>44718</v>
      </c>
      <c r="U131" t="s">
        <v>45339</v>
      </c>
      <c r="V131" t="s">
        <v>56832</v>
      </c>
      <c r="W131" t="s">
        <v>39377</v>
      </c>
      <c r="X131" t="s">
        <v>43171</v>
      </c>
    </row>
    <row r="132" spans="1:24">
      <c r="A132">
        <f>HYPERLINK("https://www.philgeps.gov.ph/GEPSNONPILOT/Tender/SplashBidNoticeAbstractUI.aspx?menuIndex=3&amp;refID=7084813&amp;Result=3","7084813")</f>
        <v>0</v>
      </c>
      <c r="B132" t="s">
        <v>94</v>
      </c>
      <c r="C132" t="s">
        <v>3584</v>
      </c>
      <c r="D132" t="s">
        <v>17454</v>
      </c>
      <c r="E132" t="s">
        <v>17640</v>
      </c>
      <c r="F132" t="s">
        <v>30052</v>
      </c>
      <c r="G132" t="s">
        <v>30058</v>
      </c>
      <c r="H132" t="s">
        <v>15498</v>
      </c>
      <c r="I132" t="s">
        <v>30095</v>
      </c>
      <c r="J132" t="s">
        <v>30319</v>
      </c>
      <c r="K132" t="s">
        <v>39019</v>
      </c>
      <c r="M132" t="s">
        <v>39383</v>
      </c>
      <c r="N132" t="s">
        <v>43166</v>
      </c>
      <c r="O132" t="s">
        <v>43167</v>
      </c>
      <c r="P132">
        <v>0</v>
      </c>
      <c r="Q132">
        <v>0</v>
      </c>
      <c r="R132" t="s">
        <v>43168</v>
      </c>
      <c r="S132" t="s">
        <v>43286</v>
      </c>
      <c r="T132" t="s">
        <v>44721</v>
      </c>
      <c r="U132" t="s">
        <v>45333</v>
      </c>
      <c r="W132" t="s">
        <v>39383</v>
      </c>
      <c r="X132" t="s">
        <v>43171</v>
      </c>
    </row>
    <row r="133" spans="1:24">
      <c r="A133">
        <f>HYPERLINK("https://www.philgeps.gov.ph/GEPSNONPILOT/Tender/SplashBidNoticeAbstractUI.aspx?menuIndex=3&amp;refID=7084809&amp;Result=3","7084809")</f>
        <v>0</v>
      </c>
      <c r="B133" t="s">
        <v>99</v>
      </c>
      <c r="C133" t="s">
        <v>3585</v>
      </c>
      <c r="D133" t="s">
        <v>17447</v>
      </c>
      <c r="E133" t="s">
        <v>17641</v>
      </c>
      <c r="F133" t="s">
        <v>30052</v>
      </c>
      <c r="G133" t="s">
        <v>30058</v>
      </c>
      <c r="H133" t="s">
        <v>30067</v>
      </c>
      <c r="I133" t="s">
        <v>3693</v>
      </c>
      <c r="J133" t="s">
        <v>30252</v>
      </c>
      <c r="K133" t="s">
        <v>39046</v>
      </c>
      <c r="M133" t="s">
        <v>39388</v>
      </c>
      <c r="N133" t="s">
        <v>43166</v>
      </c>
      <c r="O133" t="s">
        <v>43167</v>
      </c>
      <c r="P133">
        <v>0</v>
      </c>
      <c r="Q133">
        <v>0</v>
      </c>
      <c r="R133" t="s">
        <v>43168</v>
      </c>
      <c r="S133" t="s">
        <v>43286</v>
      </c>
      <c r="T133" t="s">
        <v>44721</v>
      </c>
      <c r="U133" t="s">
        <v>45340</v>
      </c>
      <c r="V133" t="s">
        <v>56836</v>
      </c>
      <c r="W133" t="s">
        <v>58590</v>
      </c>
      <c r="X133" t="s">
        <v>43171</v>
      </c>
    </row>
    <row r="134" spans="1:24">
      <c r="A134">
        <f>HYPERLINK("https://www.philgeps.gov.ph/GEPSNONPILOT/Tender/SplashBidNoticeAbstractUI.aspx?menuIndex=3&amp;refID=7084722&amp;Result=3","7084722")</f>
        <v>0</v>
      </c>
      <c r="B134" t="s">
        <v>100</v>
      </c>
      <c r="C134" t="s">
        <v>3586</v>
      </c>
      <c r="D134" t="s">
        <v>17431</v>
      </c>
      <c r="E134" t="s">
        <v>17540</v>
      </c>
      <c r="F134" t="s">
        <v>30052</v>
      </c>
      <c r="G134" t="s">
        <v>30058</v>
      </c>
      <c r="H134" t="s">
        <v>30067</v>
      </c>
      <c r="I134" t="s">
        <v>3693</v>
      </c>
      <c r="J134" t="s">
        <v>30207</v>
      </c>
      <c r="K134" t="s">
        <v>39037</v>
      </c>
      <c r="M134" t="s">
        <v>39389</v>
      </c>
      <c r="N134" t="s">
        <v>43166</v>
      </c>
      <c r="O134" t="s">
        <v>43167</v>
      </c>
      <c r="P134">
        <v>0</v>
      </c>
      <c r="Q134">
        <v>0</v>
      </c>
      <c r="R134" t="s">
        <v>43168</v>
      </c>
      <c r="S134" t="s">
        <v>43286</v>
      </c>
      <c r="T134" t="s">
        <v>44724</v>
      </c>
      <c r="U134" t="s">
        <v>45341</v>
      </c>
      <c r="W134" t="s">
        <v>39389</v>
      </c>
      <c r="X134" t="s">
        <v>43171</v>
      </c>
    </row>
    <row r="135" spans="1:24">
      <c r="A135">
        <f>HYPERLINK("https://www.philgeps.gov.ph/GEPSNONPILOT/Tender/SplashBidNoticeAbstractUI.aspx?menuIndex=3&amp;refID=7084801&amp;Result=3","7084801")</f>
        <v>0</v>
      </c>
      <c r="B135" t="s">
        <v>101</v>
      </c>
      <c r="C135" t="s">
        <v>3587</v>
      </c>
      <c r="D135" t="s">
        <v>17422</v>
      </c>
      <c r="E135" t="s">
        <v>17642</v>
      </c>
      <c r="F135" t="s">
        <v>30052</v>
      </c>
      <c r="G135" t="s">
        <v>30058</v>
      </c>
      <c r="H135" t="s">
        <v>30067</v>
      </c>
      <c r="I135" t="s">
        <v>3693</v>
      </c>
      <c r="J135" t="s">
        <v>30320</v>
      </c>
      <c r="K135" t="s">
        <v>39047</v>
      </c>
      <c r="M135" t="s">
        <v>39390</v>
      </c>
      <c r="N135" t="s">
        <v>43166</v>
      </c>
      <c r="O135" t="s">
        <v>43167</v>
      </c>
      <c r="P135">
        <v>0</v>
      </c>
      <c r="Q135">
        <v>1</v>
      </c>
      <c r="R135" t="s">
        <v>43168</v>
      </c>
      <c r="S135" t="s">
        <v>43286</v>
      </c>
      <c r="T135" t="s">
        <v>44725</v>
      </c>
      <c r="U135" t="s">
        <v>45342</v>
      </c>
      <c r="W135" t="s">
        <v>39390</v>
      </c>
      <c r="X135" t="s">
        <v>43171</v>
      </c>
    </row>
    <row r="136" spans="1:24">
      <c r="A136">
        <f>HYPERLINK("https://www.philgeps.gov.ph/GEPSNONPILOT/Tender/SplashBidNoticeAbstractUI.aspx?menuIndex=3&amp;refID=7076556&amp;Result=3","7076556")</f>
        <v>0</v>
      </c>
      <c r="B136" t="s">
        <v>57</v>
      </c>
      <c r="C136" t="s">
        <v>3588</v>
      </c>
      <c r="D136" t="s">
        <v>17439</v>
      </c>
      <c r="E136" t="s">
        <v>17643</v>
      </c>
      <c r="F136" t="s">
        <v>30052</v>
      </c>
      <c r="G136" t="s">
        <v>30058</v>
      </c>
      <c r="H136" t="s">
        <v>15498</v>
      </c>
      <c r="I136" t="s">
        <v>3736</v>
      </c>
      <c r="J136" t="s">
        <v>30321</v>
      </c>
      <c r="K136" t="s">
        <v>39025</v>
      </c>
      <c r="M136" t="s">
        <v>39346</v>
      </c>
      <c r="N136" t="s">
        <v>43166</v>
      </c>
      <c r="O136" t="s">
        <v>43167</v>
      </c>
      <c r="P136">
        <v>0</v>
      </c>
      <c r="Q136">
        <v>1</v>
      </c>
      <c r="R136" t="s">
        <v>43168</v>
      </c>
      <c r="S136" t="s">
        <v>43286</v>
      </c>
      <c r="T136" t="s">
        <v>44684</v>
      </c>
      <c r="U136" t="s">
        <v>45343</v>
      </c>
      <c r="V136" t="s">
        <v>56837</v>
      </c>
      <c r="W136" t="s">
        <v>39346</v>
      </c>
      <c r="X136" t="s">
        <v>43174</v>
      </c>
    </row>
    <row r="137" spans="1:24">
      <c r="A137">
        <f>HYPERLINK("https://www.philgeps.gov.ph/GEPSNONPILOT/Tender/SplashBidNoticeAbstractUI.aspx?menuIndex=3&amp;refID=7084781&amp;Result=3","7084781")</f>
        <v>0</v>
      </c>
      <c r="B137" t="s">
        <v>102</v>
      </c>
      <c r="C137" t="s">
        <v>3589</v>
      </c>
      <c r="D137" t="s">
        <v>17433</v>
      </c>
      <c r="E137" t="s">
        <v>17644</v>
      </c>
      <c r="F137" t="s">
        <v>30053</v>
      </c>
      <c r="G137" t="s">
        <v>30058</v>
      </c>
      <c r="H137" t="s">
        <v>15498</v>
      </c>
      <c r="I137" t="s">
        <v>3606</v>
      </c>
      <c r="J137" t="s">
        <v>30322</v>
      </c>
      <c r="K137" t="s">
        <v>39029</v>
      </c>
      <c r="M137" t="s">
        <v>39391</v>
      </c>
      <c r="N137" t="s">
        <v>43166</v>
      </c>
      <c r="O137" t="s">
        <v>43167</v>
      </c>
      <c r="P137">
        <v>0</v>
      </c>
      <c r="Q137">
        <v>3</v>
      </c>
      <c r="R137" t="s">
        <v>43168</v>
      </c>
      <c r="S137" t="s">
        <v>43286</v>
      </c>
      <c r="T137" t="s">
        <v>44709</v>
      </c>
      <c r="U137" t="s">
        <v>45344</v>
      </c>
      <c r="W137" t="s">
        <v>39391</v>
      </c>
      <c r="X137" t="s">
        <v>43171</v>
      </c>
    </row>
    <row r="138" spans="1:24">
      <c r="A138">
        <f>HYPERLINK("https://www.philgeps.gov.ph/GEPSNONPILOT/Tender/SplashBidNoticeAbstractUI.aspx?menuIndex=3&amp;refID=7084757&amp;Result=3","7084757")</f>
        <v>0</v>
      </c>
      <c r="B138" t="s">
        <v>103</v>
      </c>
      <c r="C138" t="s">
        <v>3590</v>
      </c>
      <c r="D138" t="s">
        <v>17424</v>
      </c>
      <c r="E138" t="s">
        <v>17645</v>
      </c>
      <c r="F138" t="s">
        <v>30052</v>
      </c>
      <c r="G138" t="s">
        <v>30062</v>
      </c>
      <c r="H138" t="s">
        <v>15498</v>
      </c>
      <c r="I138" t="s">
        <v>4119</v>
      </c>
      <c r="J138" t="s">
        <v>30323</v>
      </c>
      <c r="K138" t="s">
        <v>39025</v>
      </c>
      <c r="M138" t="s">
        <v>39392</v>
      </c>
      <c r="N138" t="s">
        <v>43166</v>
      </c>
      <c r="O138" t="s">
        <v>43167</v>
      </c>
      <c r="P138">
        <v>0</v>
      </c>
      <c r="Q138">
        <v>4</v>
      </c>
      <c r="R138" t="s">
        <v>43168</v>
      </c>
      <c r="S138" t="s">
        <v>43286</v>
      </c>
      <c r="T138" t="s">
        <v>44720</v>
      </c>
      <c r="U138" t="s">
        <v>45345</v>
      </c>
      <c r="W138" t="s">
        <v>39392</v>
      </c>
      <c r="X138" t="s">
        <v>43171</v>
      </c>
    </row>
    <row r="139" spans="1:24">
      <c r="A139">
        <f>HYPERLINK("https://www.philgeps.gov.ph/GEPSNONPILOT/Tender/SplashBidNoticeAbstractUI.aspx?menuIndex=3&amp;refID=7084804&amp;Result=3","7084804")</f>
        <v>0</v>
      </c>
      <c r="B139" t="s">
        <v>104</v>
      </c>
      <c r="C139" t="s">
        <v>3591</v>
      </c>
      <c r="D139" t="s">
        <v>17457</v>
      </c>
      <c r="E139" t="s">
        <v>17646</v>
      </c>
      <c r="F139" t="s">
        <v>30052</v>
      </c>
      <c r="G139" t="s">
        <v>30059</v>
      </c>
      <c r="H139" t="s">
        <v>15498</v>
      </c>
      <c r="I139" t="s">
        <v>6691</v>
      </c>
      <c r="J139" t="s">
        <v>30324</v>
      </c>
      <c r="K139" t="s">
        <v>39019</v>
      </c>
      <c r="M139" t="s">
        <v>39393</v>
      </c>
      <c r="N139" t="s">
        <v>43166</v>
      </c>
      <c r="O139" t="s">
        <v>43167</v>
      </c>
      <c r="P139">
        <v>0</v>
      </c>
      <c r="Q139">
        <v>0</v>
      </c>
      <c r="R139" t="s">
        <v>43168</v>
      </c>
      <c r="S139" t="s">
        <v>43286</v>
      </c>
      <c r="T139" t="s">
        <v>44698</v>
      </c>
      <c r="U139" t="s">
        <v>45346</v>
      </c>
      <c r="W139" t="s">
        <v>39393</v>
      </c>
      <c r="X139" t="s">
        <v>43171</v>
      </c>
    </row>
    <row r="140" spans="1:24">
      <c r="A140">
        <f>HYPERLINK("https://www.philgeps.gov.ph/GEPSNONPILOT/Tender/SplashBidNoticeAbstractUI.aspx?menuIndex=3&amp;refID=7084754&amp;Result=3","7084754")</f>
        <v>0</v>
      </c>
      <c r="B140" t="s">
        <v>105</v>
      </c>
      <c r="C140" t="s">
        <v>3592</v>
      </c>
      <c r="E140" t="s">
        <v>17647</v>
      </c>
      <c r="F140" t="s">
        <v>30052</v>
      </c>
      <c r="G140" t="s">
        <v>30058</v>
      </c>
      <c r="H140" t="s">
        <v>15498</v>
      </c>
      <c r="I140" t="s">
        <v>9238</v>
      </c>
      <c r="J140" t="s">
        <v>30325</v>
      </c>
      <c r="K140" t="s">
        <v>39025</v>
      </c>
      <c r="M140" t="s">
        <v>39394</v>
      </c>
      <c r="N140" t="s">
        <v>43166</v>
      </c>
      <c r="O140" t="s">
        <v>43167</v>
      </c>
      <c r="P140">
        <v>0</v>
      </c>
      <c r="Q140">
        <v>23</v>
      </c>
      <c r="R140" t="s">
        <v>43168</v>
      </c>
      <c r="S140" t="s">
        <v>43286</v>
      </c>
      <c r="T140" t="s">
        <v>44693</v>
      </c>
      <c r="U140" t="s">
        <v>45347</v>
      </c>
      <c r="W140" t="s">
        <v>39394</v>
      </c>
      <c r="X140" t="s">
        <v>43171</v>
      </c>
    </row>
    <row r="141" spans="1:24">
      <c r="A141">
        <f>HYPERLINK("https://www.philgeps.gov.ph/GEPSNONPILOT/Tender/SplashBidNoticeAbstractUI.aspx?menuIndex=3&amp;refID=7084782&amp;Result=3","7084782")</f>
        <v>0</v>
      </c>
      <c r="B141" t="s">
        <v>106</v>
      </c>
      <c r="C141" t="s">
        <v>3593</v>
      </c>
      <c r="D141" t="s">
        <v>17415</v>
      </c>
      <c r="E141" t="s">
        <v>17648</v>
      </c>
      <c r="F141" t="s">
        <v>30052</v>
      </c>
      <c r="G141" t="s">
        <v>30059</v>
      </c>
      <c r="H141" t="s">
        <v>30069</v>
      </c>
      <c r="I141" t="s">
        <v>3693</v>
      </c>
      <c r="J141" t="s">
        <v>30326</v>
      </c>
      <c r="K141" t="s">
        <v>39048</v>
      </c>
      <c r="M141" t="s">
        <v>39395</v>
      </c>
      <c r="N141" t="s">
        <v>43166</v>
      </c>
      <c r="O141" t="s">
        <v>43167</v>
      </c>
      <c r="P141">
        <v>0</v>
      </c>
      <c r="Q141">
        <v>2</v>
      </c>
      <c r="R141" t="s">
        <v>43168</v>
      </c>
      <c r="S141" t="s">
        <v>43286</v>
      </c>
      <c r="T141" t="s">
        <v>44678</v>
      </c>
      <c r="U141" t="s">
        <v>45348</v>
      </c>
      <c r="W141" t="s">
        <v>39395</v>
      </c>
      <c r="X141" t="s">
        <v>43171</v>
      </c>
    </row>
    <row r="142" spans="1:24">
      <c r="A142">
        <f>HYPERLINK("https://www.philgeps.gov.ph/GEPSNONPILOT/Tender/SplashBidNoticeAbstractUI.aspx?menuIndex=3&amp;refID=7084741&amp;Result=3","7084741")</f>
        <v>0</v>
      </c>
      <c r="B142" t="s">
        <v>107</v>
      </c>
      <c r="C142" t="s">
        <v>3594</v>
      </c>
      <c r="D142" t="s">
        <v>17448</v>
      </c>
      <c r="E142" t="s">
        <v>17649</v>
      </c>
      <c r="F142" t="s">
        <v>30052</v>
      </c>
      <c r="G142" t="s">
        <v>30059</v>
      </c>
      <c r="H142" t="s">
        <v>15498</v>
      </c>
      <c r="I142" t="s">
        <v>9238</v>
      </c>
      <c r="J142" t="s">
        <v>30327</v>
      </c>
      <c r="K142" t="s">
        <v>39025</v>
      </c>
      <c r="M142" t="s">
        <v>39396</v>
      </c>
      <c r="N142" t="s">
        <v>43166</v>
      </c>
      <c r="O142" t="s">
        <v>43167</v>
      </c>
      <c r="P142">
        <v>0</v>
      </c>
      <c r="Q142">
        <v>5</v>
      </c>
      <c r="R142" t="s">
        <v>43168</v>
      </c>
      <c r="S142" t="s">
        <v>43286</v>
      </c>
      <c r="T142" t="s">
        <v>44678</v>
      </c>
      <c r="U142" t="s">
        <v>45349</v>
      </c>
      <c r="W142" t="s">
        <v>39396</v>
      </c>
      <c r="X142" t="s">
        <v>43171</v>
      </c>
    </row>
    <row r="143" spans="1:24">
      <c r="A143">
        <f>HYPERLINK("https://www.philgeps.gov.ph/GEPSNONPILOT/Tender/SplashBidNoticeAbstractUI.aspx?menuIndex=3&amp;refID=7084701&amp;Result=3","7084701")</f>
        <v>0</v>
      </c>
      <c r="B143" t="s">
        <v>108</v>
      </c>
      <c r="C143" t="s">
        <v>3595</v>
      </c>
      <c r="D143" t="s">
        <v>17458</v>
      </c>
      <c r="E143" t="s">
        <v>17650</v>
      </c>
      <c r="F143" t="s">
        <v>30052</v>
      </c>
      <c r="G143" t="s">
        <v>30058</v>
      </c>
      <c r="H143" t="s">
        <v>15498</v>
      </c>
      <c r="I143" t="s">
        <v>30074</v>
      </c>
      <c r="J143" t="s">
        <v>30252</v>
      </c>
      <c r="K143" t="s">
        <v>39029</v>
      </c>
      <c r="M143" t="s">
        <v>39397</v>
      </c>
      <c r="N143" t="s">
        <v>43166</v>
      </c>
      <c r="O143" t="s">
        <v>43167</v>
      </c>
      <c r="P143">
        <v>0</v>
      </c>
      <c r="Q143">
        <v>0</v>
      </c>
      <c r="R143" t="s">
        <v>43168</v>
      </c>
      <c r="S143" t="s">
        <v>43286</v>
      </c>
      <c r="T143" t="s">
        <v>44726</v>
      </c>
      <c r="U143" t="s">
        <v>45350</v>
      </c>
      <c r="W143" t="s">
        <v>39397</v>
      </c>
      <c r="X143" t="s">
        <v>43171</v>
      </c>
    </row>
    <row r="144" spans="1:24">
      <c r="A144">
        <f>HYPERLINK("https://www.philgeps.gov.ph/GEPSNONPILOT/Tender/SplashBidNoticeAbstractUI.aspx?menuIndex=3&amp;refID=7084739&amp;Result=3","7084739")</f>
        <v>0</v>
      </c>
      <c r="B144" t="s">
        <v>109</v>
      </c>
      <c r="C144" t="s">
        <v>3596</v>
      </c>
      <c r="D144" t="s">
        <v>17417</v>
      </c>
      <c r="E144" t="s">
        <v>17651</v>
      </c>
      <c r="F144" t="s">
        <v>30052</v>
      </c>
      <c r="G144" t="s">
        <v>30058</v>
      </c>
      <c r="H144" t="s">
        <v>30067</v>
      </c>
      <c r="I144" t="s">
        <v>3693</v>
      </c>
      <c r="J144" t="s">
        <v>30218</v>
      </c>
      <c r="K144" t="s">
        <v>39049</v>
      </c>
      <c r="M144" t="s">
        <v>39398</v>
      </c>
      <c r="N144" t="s">
        <v>43166</v>
      </c>
      <c r="O144" t="s">
        <v>43167</v>
      </c>
      <c r="P144">
        <v>0</v>
      </c>
      <c r="Q144">
        <v>0</v>
      </c>
      <c r="R144" t="s">
        <v>43168</v>
      </c>
      <c r="S144" t="s">
        <v>43286</v>
      </c>
      <c r="T144" t="s">
        <v>44681</v>
      </c>
      <c r="U144" t="s">
        <v>45229</v>
      </c>
      <c r="W144" t="s">
        <v>39398</v>
      </c>
      <c r="X144" t="s">
        <v>43171</v>
      </c>
    </row>
    <row r="145" spans="1:24">
      <c r="A145">
        <f>HYPERLINK("https://www.philgeps.gov.ph/GEPSNONPILOT/Tender/SplashBidNoticeAbstractUI.aspx?menuIndex=3&amp;refID=7084777&amp;Result=3","7084777")</f>
        <v>0</v>
      </c>
      <c r="B145" t="s">
        <v>110</v>
      </c>
      <c r="C145" t="s">
        <v>3597</v>
      </c>
      <c r="D145" t="s">
        <v>17435</v>
      </c>
      <c r="E145" t="s">
        <v>17652</v>
      </c>
      <c r="F145" t="s">
        <v>30052</v>
      </c>
      <c r="G145" t="s">
        <v>30058</v>
      </c>
      <c r="H145" t="s">
        <v>30067</v>
      </c>
      <c r="I145" t="s">
        <v>3693</v>
      </c>
      <c r="J145" t="s">
        <v>30328</v>
      </c>
      <c r="K145" t="s">
        <v>39023</v>
      </c>
      <c r="M145" t="s">
        <v>39399</v>
      </c>
      <c r="N145" t="s">
        <v>43166</v>
      </c>
      <c r="O145" t="s">
        <v>43167</v>
      </c>
      <c r="P145">
        <v>0</v>
      </c>
      <c r="Q145">
        <v>0</v>
      </c>
      <c r="R145" t="s">
        <v>43168</v>
      </c>
      <c r="S145" t="s">
        <v>43286</v>
      </c>
      <c r="T145" t="s">
        <v>44727</v>
      </c>
      <c r="U145" t="s">
        <v>45351</v>
      </c>
      <c r="W145" t="s">
        <v>39399</v>
      </c>
      <c r="X145" t="s">
        <v>43171</v>
      </c>
    </row>
    <row r="146" spans="1:24">
      <c r="A146">
        <f>HYPERLINK("https://www.philgeps.gov.ph/GEPSNONPILOT/Tender/SplashBidNoticeAbstractUI.aspx?menuIndex=3&amp;refID=7084916&amp;Result=3","7084916")</f>
        <v>0</v>
      </c>
      <c r="B146" t="s">
        <v>111</v>
      </c>
      <c r="C146" t="s">
        <v>3598</v>
      </c>
      <c r="D146" t="s">
        <v>17445</v>
      </c>
      <c r="E146" t="s">
        <v>17653</v>
      </c>
      <c r="F146" t="s">
        <v>30052</v>
      </c>
      <c r="G146" t="s">
        <v>30059</v>
      </c>
      <c r="H146" t="s">
        <v>15498</v>
      </c>
      <c r="I146" t="s">
        <v>30070</v>
      </c>
      <c r="J146" t="s">
        <v>30329</v>
      </c>
      <c r="K146" t="s">
        <v>39034</v>
      </c>
      <c r="M146" t="s">
        <v>39400</v>
      </c>
      <c r="N146" t="s">
        <v>43166</v>
      </c>
      <c r="O146" t="s">
        <v>43167</v>
      </c>
      <c r="P146">
        <v>0</v>
      </c>
      <c r="Q146">
        <v>4</v>
      </c>
      <c r="R146" t="s">
        <v>43168</v>
      </c>
      <c r="S146" t="s">
        <v>43286</v>
      </c>
      <c r="T146" t="s">
        <v>44721</v>
      </c>
      <c r="U146" t="s">
        <v>45352</v>
      </c>
      <c r="W146" t="s">
        <v>39400</v>
      </c>
      <c r="X146" t="s">
        <v>43171</v>
      </c>
    </row>
    <row r="147" spans="1:24">
      <c r="A147">
        <f>HYPERLINK("https://www.philgeps.gov.ph/GEPSNONPILOT/Tender/SplashBidNoticeAbstractUI.aspx?menuIndex=3&amp;refID=7084820&amp;Result=3","7084820")</f>
        <v>0</v>
      </c>
      <c r="B147" t="s">
        <v>112</v>
      </c>
      <c r="C147" t="s">
        <v>3599</v>
      </c>
      <c r="D147" t="s">
        <v>17435</v>
      </c>
      <c r="E147" t="s">
        <v>17654</v>
      </c>
      <c r="F147" t="s">
        <v>30052</v>
      </c>
      <c r="G147" t="s">
        <v>30058</v>
      </c>
      <c r="H147" t="s">
        <v>15498</v>
      </c>
      <c r="I147" t="s">
        <v>3852</v>
      </c>
      <c r="J147" t="s">
        <v>30216</v>
      </c>
      <c r="K147" t="s">
        <v>39025</v>
      </c>
      <c r="M147" t="s">
        <v>39401</v>
      </c>
      <c r="N147" t="s">
        <v>43166</v>
      </c>
      <c r="O147" t="s">
        <v>43167</v>
      </c>
      <c r="P147">
        <v>0</v>
      </c>
      <c r="Q147">
        <v>2</v>
      </c>
      <c r="R147" t="s">
        <v>43168</v>
      </c>
      <c r="S147" t="s">
        <v>43286</v>
      </c>
      <c r="T147" t="s">
        <v>44704</v>
      </c>
      <c r="U147" t="s">
        <v>45353</v>
      </c>
      <c r="V147" t="s">
        <v>56838</v>
      </c>
      <c r="W147" t="s">
        <v>39401</v>
      </c>
      <c r="X147" t="s">
        <v>43171</v>
      </c>
    </row>
    <row r="148" spans="1:24">
      <c r="A148">
        <f>HYPERLINK("https://www.philgeps.gov.ph/GEPSNONPILOT/Tender/SplashBidNoticeAbstractUI.aspx?menuIndex=3&amp;refID=7084914&amp;Result=3","7084914")</f>
        <v>0</v>
      </c>
      <c r="B148" t="s">
        <v>93</v>
      </c>
      <c r="C148" t="s">
        <v>3600</v>
      </c>
      <c r="D148" t="s">
        <v>17453</v>
      </c>
      <c r="E148" t="s">
        <v>17655</v>
      </c>
      <c r="F148" t="s">
        <v>30052</v>
      </c>
      <c r="G148" t="s">
        <v>30059</v>
      </c>
      <c r="H148" t="s">
        <v>15498</v>
      </c>
      <c r="I148" t="s">
        <v>3736</v>
      </c>
      <c r="J148" t="s">
        <v>30330</v>
      </c>
      <c r="K148" t="s">
        <v>39018</v>
      </c>
      <c r="M148" t="s">
        <v>39382</v>
      </c>
      <c r="N148" t="s">
        <v>43166</v>
      </c>
      <c r="O148" t="s">
        <v>43167</v>
      </c>
      <c r="P148">
        <v>0</v>
      </c>
      <c r="Q148">
        <v>3</v>
      </c>
      <c r="R148" t="s">
        <v>43168</v>
      </c>
      <c r="S148" t="s">
        <v>43286</v>
      </c>
      <c r="T148" t="s">
        <v>44710</v>
      </c>
      <c r="U148" t="s">
        <v>45354</v>
      </c>
      <c r="W148" t="s">
        <v>39382</v>
      </c>
      <c r="X148" t="s">
        <v>43171</v>
      </c>
    </row>
    <row r="149" spans="1:24">
      <c r="A149">
        <f>HYPERLINK("https://www.philgeps.gov.ph/GEPSNONPILOT/Tender/SplashBidNoticeAbstractUI.aspx?menuIndex=3&amp;refID=7084913&amp;Result=3","7084913")</f>
        <v>0</v>
      </c>
      <c r="B149" t="s">
        <v>113</v>
      </c>
      <c r="C149" t="s">
        <v>3601</v>
      </c>
      <c r="D149" t="s">
        <v>17459</v>
      </c>
      <c r="E149" t="s">
        <v>17656</v>
      </c>
      <c r="F149" t="s">
        <v>30052</v>
      </c>
      <c r="G149" t="s">
        <v>30059</v>
      </c>
      <c r="H149" t="s">
        <v>15498</v>
      </c>
      <c r="I149" t="s">
        <v>4650</v>
      </c>
      <c r="J149" t="s">
        <v>30331</v>
      </c>
      <c r="K149" t="s">
        <v>39023</v>
      </c>
      <c r="M149" t="s">
        <v>39402</v>
      </c>
      <c r="N149" t="s">
        <v>43166</v>
      </c>
      <c r="O149" t="s">
        <v>43167</v>
      </c>
      <c r="P149">
        <v>0</v>
      </c>
      <c r="Q149">
        <v>1</v>
      </c>
      <c r="R149" t="s">
        <v>43168</v>
      </c>
      <c r="S149" t="s">
        <v>43286</v>
      </c>
      <c r="T149" t="s">
        <v>44715</v>
      </c>
      <c r="U149" t="s">
        <v>45355</v>
      </c>
      <c r="W149" t="s">
        <v>39402</v>
      </c>
      <c r="X149" t="s">
        <v>43171</v>
      </c>
    </row>
    <row r="150" spans="1:24">
      <c r="A150">
        <f>HYPERLINK("https://www.philgeps.gov.ph/GEPSNONPILOT/Tender/SplashBidNoticeAbstractUI.aspx?menuIndex=3&amp;refID=7084909&amp;Result=3","7084909")</f>
        <v>0</v>
      </c>
      <c r="B150" t="s">
        <v>114</v>
      </c>
      <c r="C150" t="s">
        <v>3602</v>
      </c>
      <c r="D150" t="s">
        <v>17460</v>
      </c>
      <c r="E150" t="s">
        <v>17657</v>
      </c>
      <c r="F150" t="s">
        <v>30052</v>
      </c>
      <c r="G150" t="s">
        <v>30059</v>
      </c>
      <c r="H150" t="s">
        <v>15498</v>
      </c>
      <c r="I150" t="s">
        <v>6691</v>
      </c>
      <c r="J150" t="s">
        <v>30332</v>
      </c>
      <c r="K150" t="s">
        <v>39034</v>
      </c>
      <c r="M150" t="s">
        <v>39403</v>
      </c>
      <c r="N150" t="s">
        <v>43166</v>
      </c>
      <c r="O150" t="s">
        <v>43167</v>
      </c>
      <c r="P150">
        <v>0</v>
      </c>
      <c r="Q150">
        <v>0</v>
      </c>
      <c r="R150" t="s">
        <v>43168</v>
      </c>
      <c r="S150" t="s">
        <v>43286</v>
      </c>
      <c r="T150" t="s">
        <v>44708</v>
      </c>
      <c r="U150" t="s">
        <v>45356</v>
      </c>
      <c r="W150" t="s">
        <v>39403</v>
      </c>
      <c r="X150" t="s">
        <v>43171</v>
      </c>
    </row>
    <row r="151" spans="1:24">
      <c r="A151">
        <f>HYPERLINK("https://www.philgeps.gov.ph/GEPSNONPILOT/Tender/SplashBidNoticeAbstractUI.aspx?menuIndex=3&amp;refID=7084740&amp;Result=3","7084740")</f>
        <v>0</v>
      </c>
      <c r="B151" t="s">
        <v>115</v>
      </c>
      <c r="C151" t="s">
        <v>3603</v>
      </c>
      <c r="D151" t="s">
        <v>17446</v>
      </c>
      <c r="E151" t="s">
        <v>17650</v>
      </c>
      <c r="F151" t="s">
        <v>30052</v>
      </c>
      <c r="G151" t="s">
        <v>30059</v>
      </c>
      <c r="H151" t="s">
        <v>30069</v>
      </c>
      <c r="I151" t="s">
        <v>30096</v>
      </c>
      <c r="J151" t="s">
        <v>30333</v>
      </c>
      <c r="K151" t="s">
        <v>39036</v>
      </c>
      <c r="M151" t="s">
        <v>39404</v>
      </c>
      <c r="N151" t="s">
        <v>43166</v>
      </c>
      <c r="O151" t="s">
        <v>43167</v>
      </c>
      <c r="P151">
        <v>0</v>
      </c>
      <c r="Q151">
        <v>0</v>
      </c>
      <c r="R151" t="s">
        <v>43168</v>
      </c>
      <c r="S151" t="s">
        <v>43286</v>
      </c>
      <c r="T151" t="s">
        <v>44679</v>
      </c>
      <c r="U151" t="s">
        <v>45357</v>
      </c>
      <c r="W151" t="s">
        <v>39404</v>
      </c>
      <c r="X151" t="s">
        <v>43171</v>
      </c>
    </row>
    <row r="152" spans="1:24">
      <c r="A152">
        <f>HYPERLINK("https://www.philgeps.gov.ph/GEPSNONPILOT/Tender/SplashBidNoticeAbstractUI.aspx?menuIndex=3&amp;refID=7084802&amp;Result=3","7084802")</f>
        <v>0</v>
      </c>
      <c r="B152" t="s">
        <v>116</v>
      </c>
      <c r="C152" t="s">
        <v>3604</v>
      </c>
      <c r="D152" t="s">
        <v>17461</v>
      </c>
      <c r="E152" t="s">
        <v>17658</v>
      </c>
      <c r="F152" t="s">
        <v>30052</v>
      </c>
      <c r="G152" t="s">
        <v>30061</v>
      </c>
      <c r="H152" t="s">
        <v>15498</v>
      </c>
      <c r="I152" t="s">
        <v>9238</v>
      </c>
      <c r="J152" t="s">
        <v>30334</v>
      </c>
      <c r="K152" t="s">
        <v>39029</v>
      </c>
      <c r="M152" t="s">
        <v>39405</v>
      </c>
      <c r="N152" t="s">
        <v>43166</v>
      </c>
      <c r="O152" t="s">
        <v>43167</v>
      </c>
      <c r="P152">
        <v>0</v>
      </c>
      <c r="Q152">
        <v>4</v>
      </c>
      <c r="R152" t="s">
        <v>43168</v>
      </c>
      <c r="S152" t="s">
        <v>43286</v>
      </c>
      <c r="T152" t="s">
        <v>44728</v>
      </c>
      <c r="U152" t="s">
        <v>45358</v>
      </c>
      <c r="W152" t="s">
        <v>39405</v>
      </c>
      <c r="X152" t="s">
        <v>43171</v>
      </c>
    </row>
    <row r="153" spans="1:24">
      <c r="A153">
        <f>HYPERLINK("https://www.philgeps.gov.ph/GEPSNONPILOT/Tender/SplashBidNoticeAbstractUI.aspx?menuIndex=3&amp;refID=7084686&amp;Result=3","7084686")</f>
        <v>0</v>
      </c>
      <c r="B153" t="s">
        <v>117</v>
      </c>
      <c r="C153" t="s">
        <v>3605</v>
      </c>
      <c r="D153" t="s">
        <v>17424</v>
      </c>
      <c r="E153" t="s">
        <v>17659</v>
      </c>
      <c r="F153" t="s">
        <v>30052</v>
      </c>
      <c r="G153" t="s">
        <v>30058</v>
      </c>
      <c r="H153" t="s">
        <v>30068</v>
      </c>
      <c r="I153" t="s">
        <v>30068</v>
      </c>
      <c r="J153" t="s">
        <v>30335</v>
      </c>
      <c r="K153" t="s">
        <v>39023</v>
      </c>
      <c r="L153" t="s">
        <v>117</v>
      </c>
      <c r="M153" t="s">
        <v>39406</v>
      </c>
      <c r="N153" t="s">
        <v>43166</v>
      </c>
      <c r="O153" t="s">
        <v>43167</v>
      </c>
      <c r="P153">
        <v>0</v>
      </c>
      <c r="Q153">
        <v>2</v>
      </c>
      <c r="R153" t="s">
        <v>43168</v>
      </c>
      <c r="S153" t="s">
        <v>43286</v>
      </c>
      <c r="T153" t="s">
        <v>44681</v>
      </c>
      <c r="U153" t="s">
        <v>45359</v>
      </c>
      <c r="W153" t="s">
        <v>39406</v>
      </c>
      <c r="X153" t="s">
        <v>43171</v>
      </c>
    </row>
    <row r="154" spans="1:24">
      <c r="A154">
        <f>HYPERLINK("https://www.philgeps.gov.ph/GEPSNONPILOT/Tender/SplashBidNoticeAbstractUI.aspx?menuIndex=3&amp;refID=7084747&amp;Result=3","7084747")</f>
        <v>0</v>
      </c>
      <c r="B154" t="s">
        <v>118</v>
      </c>
      <c r="C154" t="s">
        <v>3606</v>
      </c>
      <c r="D154" t="s">
        <v>17433</v>
      </c>
      <c r="E154" t="s">
        <v>17660</v>
      </c>
      <c r="F154" t="s">
        <v>30052</v>
      </c>
      <c r="G154" t="s">
        <v>30058</v>
      </c>
      <c r="H154" t="s">
        <v>15498</v>
      </c>
      <c r="I154" t="s">
        <v>3606</v>
      </c>
      <c r="J154" t="s">
        <v>30277</v>
      </c>
      <c r="K154" t="s">
        <v>39025</v>
      </c>
      <c r="M154" t="s">
        <v>39407</v>
      </c>
      <c r="N154" t="s">
        <v>43166</v>
      </c>
      <c r="O154" t="s">
        <v>43167</v>
      </c>
      <c r="P154">
        <v>0</v>
      </c>
      <c r="Q154">
        <v>1</v>
      </c>
      <c r="R154" t="s">
        <v>43168</v>
      </c>
      <c r="S154" t="s">
        <v>43286</v>
      </c>
      <c r="T154" t="s">
        <v>44729</v>
      </c>
      <c r="U154" t="s">
        <v>45360</v>
      </c>
      <c r="W154" t="s">
        <v>39407</v>
      </c>
      <c r="X154" t="s">
        <v>43171</v>
      </c>
    </row>
    <row r="155" spans="1:24">
      <c r="A155">
        <f>HYPERLINK("https://www.philgeps.gov.ph/GEPSNONPILOT/Tender/SplashBidNoticeAbstractUI.aspx?menuIndex=3&amp;refID=7084865&amp;Result=3","7084865")</f>
        <v>0</v>
      </c>
      <c r="B155" t="s">
        <v>119</v>
      </c>
      <c r="C155" t="s">
        <v>3607</v>
      </c>
      <c r="E155" t="s">
        <v>17661</v>
      </c>
      <c r="F155" t="s">
        <v>30052</v>
      </c>
      <c r="G155" t="s">
        <v>30061</v>
      </c>
      <c r="H155" t="s">
        <v>15498</v>
      </c>
      <c r="I155" t="s">
        <v>30097</v>
      </c>
      <c r="J155" t="s">
        <v>30336</v>
      </c>
      <c r="K155" t="s">
        <v>39029</v>
      </c>
      <c r="M155" t="s">
        <v>39408</v>
      </c>
      <c r="N155" t="s">
        <v>43166</v>
      </c>
      <c r="O155" t="s">
        <v>43167</v>
      </c>
      <c r="P155">
        <v>0</v>
      </c>
      <c r="Q155">
        <v>12</v>
      </c>
      <c r="R155" t="s">
        <v>43168</v>
      </c>
      <c r="S155" t="s">
        <v>43286</v>
      </c>
      <c r="T155" t="s">
        <v>44714</v>
      </c>
      <c r="U155" t="s">
        <v>45361</v>
      </c>
      <c r="W155" t="s">
        <v>39408</v>
      </c>
      <c r="X155" t="s">
        <v>43171</v>
      </c>
    </row>
    <row r="156" spans="1:24">
      <c r="A156">
        <f>HYPERLINK("https://www.philgeps.gov.ph/GEPSNONPILOT/Tender/SplashBidNoticeAbstractUI.aspx?menuIndex=3&amp;refID=7084861&amp;Result=3","7084861")</f>
        <v>0</v>
      </c>
      <c r="B156" t="s">
        <v>120</v>
      </c>
      <c r="C156" t="s">
        <v>3608</v>
      </c>
      <c r="D156" t="s">
        <v>17427</v>
      </c>
      <c r="E156" t="s">
        <v>17662</v>
      </c>
      <c r="F156" t="s">
        <v>30052</v>
      </c>
      <c r="G156" t="s">
        <v>30059</v>
      </c>
      <c r="H156" t="s">
        <v>15498</v>
      </c>
      <c r="I156" t="s">
        <v>30098</v>
      </c>
      <c r="J156" t="s">
        <v>30337</v>
      </c>
      <c r="K156" t="s">
        <v>39025</v>
      </c>
      <c r="M156" t="s">
        <v>39409</v>
      </c>
      <c r="N156" t="s">
        <v>43166</v>
      </c>
      <c r="O156" t="s">
        <v>43167</v>
      </c>
      <c r="P156">
        <v>0</v>
      </c>
      <c r="Q156">
        <v>0</v>
      </c>
      <c r="R156" t="s">
        <v>43168</v>
      </c>
      <c r="S156" t="s">
        <v>43286</v>
      </c>
      <c r="T156" t="s">
        <v>44685</v>
      </c>
      <c r="U156" t="s">
        <v>45362</v>
      </c>
      <c r="W156" t="s">
        <v>39409</v>
      </c>
      <c r="X156" t="s">
        <v>43171</v>
      </c>
    </row>
    <row r="157" spans="1:24">
      <c r="A157">
        <f>HYPERLINK("https://www.philgeps.gov.ph/GEPSNONPILOT/Tender/SplashBidNoticeAbstractUI.aspx?menuIndex=3&amp;refID=7084859&amp;Result=3","7084859")</f>
        <v>0</v>
      </c>
      <c r="B157" t="s">
        <v>104</v>
      </c>
      <c r="C157" t="s">
        <v>3609</v>
      </c>
      <c r="D157" t="s">
        <v>17457</v>
      </c>
      <c r="E157" t="s">
        <v>17663</v>
      </c>
      <c r="F157" t="s">
        <v>30052</v>
      </c>
      <c r="G157" t="s">
        <v>30059</v>
      </c>
      <c r="H157" t="s">
        <v>15498</v>
      </c>
      <c r="I157" t="s">
        <v>4650</v>
      </c>
      <c r="J157" t="s">
        <v>30338</v>
      </c>
      <c r="K157" t="s">
        <v>39019</v>
      </c>
      <c r="M157" t="s">
        <v>39393</v>
      </c>
      <c r="N157" t="s">
        <v>43166</v>
      </c>
      <c r="O157" t="s">
        <v>43167</v>
      </c>
      <c r="P157">
        <v>0</v>
      </c>
      <c r="Q157">
        <v>1</v>
      </c>
      <c r="R157" t="s">
        <v>43168</v>
      </c>
      <c r="S157" t="s">
        <v>43286</v>
      </c>
      <c r="T157" t="s">
        <v>44720</v>
      </c>
      <c r="U157" t="s">
        <v>45363</v>
      </c>
      <c r="W157" t="s">
        <v>39393</v>
      </c>
      <c r="X157" t="s">
        <v>43171</v>
      </c>
    </row>
    <row r="158" spans="1:24">
      <c r="A158">
        <f>HYPERLINK("https://www.philgeps.gov.ph/GEPSNONPILOT/Tender/SplashBidNoticeAbstractUI.aspx?menuIndex=3&amp;refID=7084856&amp;Result=3","7084856")</f>
        <v>0</v>
      </c>
      <c r="B158" t="s">
        <v>121</v>
      </c>
      <c r="C158" t="s">
        <v>3610</v>
      </c>
      <c r="D158" t="s">
        <v>17440</v>
      </c>
      <c r="E158" t="s">
        <v>17664</v>
      </c>
      <c r="F158" t="s">
        <v>30052</v>
      </c>
      <c r="G158" t="s">
        <v>30058</v>
      </c>
      <c r="H158" t="s">
        <v>30067</v>
      </c>
      <c r="I158" t="s">
        <v>3693</v>
      </c>
      <c r="J158" t="s">
        <v>30339</v>
      </c>
      <c r="K158" t="s">
        <v>39050</v>
      </c>
      <c r="M158" t="s">
        <v>39410</v>
      </c>
      <c r="N158" t="s">
        <v>43166</v>
      </c>
      <c r="O158" t="s">
        <v>43167</v>
      </c>
      <c r="P158">
        <v>0</v>
      </c>
      <c r="Q158">
        <v>0</v>
      </c>
      <c r="R158" t="s">
        <v>43168</v>
      </c>
      <c r="S158" t="s">
        <v>43286</v>
      </c>
      <c r="T158" t="s">
        <v>44730</v>
      </c>
      <c r="U158" t="s">
        <v>45364</v>
      </c>
      <c r="W158" t="s">
        <v>39410</v>
      </c>
      <c r="X158" t="s">
        <v>43171</v>
      </c>
    </row>
    <row r="159" spans="1:24">
      <c r="A159">
        <f>HYPERLINK("https://www.philgeps.gov.ph/GEPSNONPILOT/Tender/SplashBidNoticeAbstractUI.aspx?menuIndex=3&amp;refID=7084851&amp;Result=3","7084851")</f>
        <v>0</v>
      </c>
      <c r="B159" t="s">
        <v>122</v>
      </c>
      <c r="C159" t="s">
        <v>3611</v>
      </c>
      <c r="D159" t="s">
        <v>17462</v>
      </c>
      <c r="E159" t="s">
        <v>17665</v>
      </c>
      <c r="F159" t="s">
        <v>30054</v>
      </c>
      <c r="G159" t="s">
        <v>30061</v>
      </c>
      <c r="H159" t="s">
        <v>15498</v>
      </c>
      <c r="I159" t="s">
        <v>30071</v>
      </c>
      <c r="J159" t="s">
        <v>30340</v>
      </c>
      <c r="K159" t="s">
        <v>39019</v>
      </c>
      <c r="M159" t="s">
        <v>39411</v>
      </c>
      <c r="N159" t="s">
        <v>43166</v>
      </c>
      <c r="O159" t="s">
        <v>43167</v>
      </c>
      <c r="P159">
        <v>0</v>
      </c>
      <c r="Q159">
        <v>0</v>
      </c>
      <c r="R159" t="s">
        <v>43168</v>
      </c>
      <c r="S159" t="s">
        <v>43286</v>
      </c>
      <c r="T159" t="s">
        <v>44679</v>
      </c>
      <c r="U159" t="s">
        <v>45365</v>
      </c>
      <c r="W159" t="s">
        <v>39411</v>
      </c>
      <c r="X159" t="s">
        <v>43171</v>
      </c>
    </row>
    <row r="160" spans="1:24">
      <c r="A160">
        <f>HYPERLINK("https://www.philgeps.gov.ph/GEPSNONPILOT/Tender/SplashBidNoticeAbstractUI.aspx?menuIndex=3&amp;refID=7084886&amp;Result=3","7084886")</f>
        <v>0</v>
      </c>
      <c r="B160" t="s">
        <v>110</v>
      </c>
      <c r="C160" t="s">
        <v>3612</v>
      </c>
      <c r="D160" t="s">
        <v>17435</v>
      </c>
      <c r="E160" t="s">
        <v>17666</v>
      </c>
      <c r="F160" t="s">
        <v>30052</v>
      </c>
      <c r="G160" t="s">
        <v>30058</v>
      </c>
      <c r="H160" t="s">
        <v>30067</v>
      </c>
      <c r="I160" t="s">
        <v>3693</v>
      </c>
      <c r="J160" t="s">
        <v>30341</v>
      </c>
      <c r="K160" t="s">
        <v>39023</v>
      </c>
      <c r="M160" t="s">
        <v>39399</v>
      </c>
      <c r="N160" t="s">
        <v>43166</v>
      </c>
      <c r="O160" t="s">
        <v>43167</v>
      </c>
      <c r="P160">
        <v>0</v>
      </c>
      <c r="Q160">
        <v>0</v>
      </c>
      <c r="R160" t="s">
        <v>43168</v>
      </c>
      <c r="S160" t="s">
        <v>43286</v>
      </c>
      <c r="T160" t="s">
        <v>44727</v>
      </c>
      <c r="U160" t="s">
        <v>45366</v>
      </c>
      <c r="W160" t="s">
        <v>39399</v>
      </c>
      <c r="X160" t="s">
        <v>43171</v>
      </c>
    </row>
    <row r="161" spans="1:24">
      <c r="A161">
        <f>HYPERLINK("https://www.philgeps.gov.ph/GEPSNONPILOT/Tender/SplashBidNoticeAbstractUI.aspx?menuIndex=3&amp;refID=7084918&amp;Result=3","7084918")</f>
        <v>0</v>
      </c>
      <c r="B161" t="s">
        <v>123</v>
      </c>
      <c r="C161" t="s">
        <v>3613</v>
      </c>
      <c r="D161" t="s">
        <v>17458</v>
      </c>
      <c r="E161" t="s">
        <v>17667</v>
      </c>
      <c r="F161" t="s">
        <v>30052</v>
      </c>
      <c r="G161" t="s">
        <v>30059</v>
      </c>
      <c r="H161" t="s">
        <v>15498</v>
      </c>
      <c r="I161" t="s">
        <v>30077</v>
      </c>
      <c r="J161" t="s">
        <v>30342</v>
      </c>
      <c r="K161" t="s">
        <v>39025</v>
      </c>
      <c r="M161" t="s">
        <v>39412</v>
      </c>
      <c r="N161" t="s">
        <v>43166</v>
      </c>
      <c r="O161" t="s">
        <v>43167</v>
      </c>
      <c r="P161">
        <v>0</v>
      </c>
      <c r="Q161">
        <v>8</v>
      </c>
      <c r="R161" t="s">
        <v>43168</v>
      </c>
      <c r="S161" t="s">
        <v>43286</v>
      </c>
      <c r="T161" t="s">
        <v>44698</v>
      </c>
      <c r="U161" t="s">
        <v>45367</v>
      </c>
      <c r="W161" t="s">
        <v>39412</v>
      </c>
      <c r="X161" t="s">
        <v>43171</v>
      </c>
    </row>
    <row r="162" spans="1:24">
      <c r="A162">
        <f>HYPERLINK("https://www.philgeps.gov.ph/GEPSNONPILOT/Tender/SplashBidNoticeAbstractUI.aspx?menuIndex=3&amp;refID=7084877&amp;Result=3","7084877")</f>
        <v>0</v>
      </c>
      <c r="B162" t="s">
        <v>124</v>
      </c>
      <c r="C162" t="s">
        <v>3614</v>
      </c>
      <c r="D162" t="s">
        <v>17451</v>
      </c>
      <c r="E162" t="s">
        <v>17668</v>
      </c>
      <c r="F162" t="s">
        <v>30052</v>
      </c>
      <c r="G162" t="s">
        <v>30061</v>
      </c>
      <c r="H162" t="s">
        <v>15498</v>
      </c>
      <c r="I162" t="s">
        <v>30099</v>
      </c>
      <c r="J162" t="s">
        <v>30248</v>
      </c>
      <c r="K162" t="s">
        <v>39036</v>
      </c>
      <c r="M162" t="s">
        <v>39413</v>
      </c>
      <c r="N162" t="s">
        <v>43166</v>
      </c>
      <c r="O162" t="s">
        <v>43167</v>
      </c>
      <c r="P162">
        <v>0</v>
      </c>
      <c r="Q162">
        <v>0</v>
      </c>
      <c r="R162" t="s">
        <v>43168</v>
      </c>
      <c r="S162" t="s">
        <v>43286</v>
      </c>
      <c r="T162" t="s">
        <v>44731</v>
      </c>
      <c r="U162" t="s">
        <v>45368</v>
      </c>
      <c r="W162" t="s">
        <v>58591</v>
      </c>
      <c r="X162" t="s">
        <v>43171</v>
      </c>
    </row>
    <row r="163" spans="1:24">
      <c r="A163">
        <f>HYPERLINK("https://www.philgeps.gov.ph/GEPSNONPILOT/Tender/SplashBidNoticeAbstractUI.aspx?menuIndex=3&amp;refID=7084978&amp;Result=3","7084978")</f>
        <v>0</v>
      </c>
      <c r="B163" t="s">
        <v>118</v>
      </c>
      <c r="C163" t="s">
        <v>3615</v>
      </c>
      <c r="D163" t="s">
        <v>17433</v>
      </c>
      <c r="E163" t="s">
        <v>17669</v>
      </c>
      <c r="F163" t="s">
        <v>30052</v>
      </c>
      <c r="G163" t="s">
        <v>30058</v>
      </c>
      <c r="H163" t="s">
        <v>15498</v>
      </c>
      <c r="I163" t="s">
        <v>3736</v>
      </c>
      <c r="J163" t="s">
        <v>30343</v>
      </c>
      <c r="K163" t="s">
        <v>39025</v>
      </c>
      <c r="M163" t="s">
        <v>39407</v>
      </c>
      <c r="N163" t="s">
        <v>43166</v>
      </c>
      <c r="O163" t="s">
        <v>43167</v>
      </c>
      <c r="P163">
        <v>0</v>
      </c>
      <c r="Q163">
        <v>0</v>
      </c>
      <c r="R163" t="s">
        <v>43168</v>
      </c>
      <c r="S163" t="s">
        <v>43286</v>
      </c>
      <c r="T163" t="s">
        <v>44729</v>
      </c>
      <c r="U163" t="s">
        <v>45369</v>
      </c>
      <c r="W163" t="s">
        <v>39407</v>
      </c>
      <c r="X163" t="s">
        <v>43171</v>
      </c>
    </row>
    <row r="164" spans="1:24">
      <c r="A164">
        <f>HYPERLINK("https://www.philgeps.gov.ph/GEPSNONPILOT/Tender/SplashBidNoticeAbstractUI.aspx?menuIndex=3&amp;refID=7084841&amp;Result=3","7084841")</f>
        <v>0</v>
      </c>
      <c r="B164" t="s">
        <v>125</v>
      </c>
      <c r="C164" t="s">
        <v>3616</v>
      </c>
      <c r="D164" t="s">
        <v>17422</v>
      </c>
      <c r="E164" t="s">
        <v>17670</v>
      </c>
      <c r="F164" t="s">
        <v>30052</v>
      </c>
      <c r="G164" t="s">
        <v>30059</v>
      </c>
      <c r="H164" t="s">
        <v>15498</v>
      </c>
      <c r="I164" t="s">
        <v>30100</v>
      </c>
      <c r="J164" t="s">
        <v>30344</v>
      </c>
      <c r="K164" t="s">
        <v>39051</v>
      </c>
      <c r="M164" t="s">
        <v>39414</v>
      </c>
      <c r="N164" t="s">
        <v>43166</v>
      </c>
      <c r="O164" t="s">
        <v>43167</v>
      </c>
      <c r="P164">
        <v>0</v>
      </c>
      <c r="Q164">
        <v>0</v>
      </c>
      <c r="R164" t="s">
        <v>43168</v>
      </c>
      <c r="S164" t="s">
        <v>43286</v>
      </c>
      <c r="T164" t="s">
        <v>44685</v>
      </c>
      <c r="U164" t="s">
        <v>45370</v>
      </c>
      <c r="W164" t="s">
        <v>39414</v>
      </c>
      <c r="X164" t="s">
        <v>43171</v>
      </c>
    </row>
    <row r="165" spans="1:24">
      <c r="A165">
        <f>HYPERLINK("https://www.philgeps.gov.ph/GEPSNONPILOT/Tender/SplashBidNoticeAbstractUI.aspx?menuIndex=3&amp;refID=7084892&amp;Result=3","7084892")</f>
        <v>0</v>
      </c>
      <c r="B165" t="s">
        <v>126</v>
      </c>
      <c r="C165" t="s">
        <v>3617</v>
      </c>
      <c r="D165" t="s">
        <v>17426</v>
      </c>
      <c r="E165" t="s">
        <v>17671</v>
      </c>
      <c r="F165" t="s">
        <v>30052</v>
      </c>
      <c r="G165" t="s">
        <v>30058</v>
      </c>
      <c r="H165" t="s">
        <v>15498</v>
      </c>
      <c r="I165" t="s">
        <v>30101</v>
      </c>
      <c r="J165" t="s">
        <v>30345</v>
      </c>
      <c r="K165" t="s">
        <v>39026</v>
      </c>
      <c r="M165" t="s">
        <v>39415</v>
      </c>
      <c r="N165" t="s">
        <v>43166</v>
      </c>
      <c r="O165" t="s">
        <v>43167</v>
      </c>
      <c r="P165">
        <v>0</v>
      </c>
      <c r="Q165">
        <v>9</v>
      </c>
      <c r="R165" t="s">
        <v>43168</v>
      </c>
      <c r="S165" t="s">
        <v>43286</v>
      </c>
      <c r="T165" t="s">
        <v>44677</v>
      </c>
      <c r="U165" t="s">
        <v>45371</v>
      </c>
      <c r="V165" t="s">
        <v>56839</v>
      </c>
      <c r="W165" t="s">
        <v>39415</v>
      </c>
      <c r="X165" t="s">
        <v>43171</v>
      </c>
    </row>
    <row r="166" spans="1:24">
      <c r="A166">
        <f>HYPERLINK("https://www.philgeps.gov.ph/GEPSNONPILOT/Tender/SplashBidNoticeAbstractUI.aspx?menuIndex=3&amp;refID=7084971&amp;Result=3","7084971")</f>
        <v>0</v>
      </c>
      <c r="B166" t="s">
        <v>127</v>
      </c>
      <c r="C166" t="s">
        <v>3618</v>
      </c>
      <c r="D166" t="s">
        <v>17434</v>
      </c>
      <c r="E166" t="s">
        <v>17672</v>
      </c>
      <c r="F166" t="s">
        <v>30052</v>
      </c>
      <c r="G166" t="s">
        <v>30058</v>
      </c>
      <c r="H166" t="s">
        <v>15498</v>
      </c>
      <c r="I166" t="s">
        <v>30084</v>
      </c>
      <c r="J166" t="s">
        <v>30346</v>
      </c>
      <c r="K166" t="s">
        <v>39025</v>
      </c>
      <c r="M166" t="s">
        <v>39416</v>
      </c>
      <c r="N166" t="s">
        <v>43166</v>
      </c>
      <c r="O166" t="s">
        <v>43167</v>
      </c>
      <c r="P166">
        <v>0</v>
      </c>
      <c r="Q166">
        <v>6</v>
      </c>
      <c r="R166" t="s">
        <v>43168</v>
      </c>
      <c r="S166" t="s">
        <v>43286</v>
      </c>
      <c r="T166" t="s">
        <v>44688</v>
      </c>
      <c r="U166" t="s">
        <v>45372</v>
      </c>
      <c r="V166" t="s">
        <v>56840</v>
      </c>
      <c r="W166" t="s">
        <v>39416</v>
      </c>
      <c r="X166" t="s">
        <v>43171</v>
      </c>
    </row>
    <row r="167" spans="1:24">
      <c r="A167">
        <f>HYPERLINK("https://www.philgeps.gov.ph/GEPSNONPILOT/Tender/SplashBidNoticeAbstractUI.aspx?menuIndex=3&amp;refID=7084973&amp;Result=3","7084973")</f>
        <v>0</v>
      </c>
      <c r="B167" t="s">
        <v>128</v>
      </c>
      <c r="C167" t="s">
        <v>3619</v>
      </c>
      <c r="D167" t="s">
        <v>17463</v>
      </c>
      <c r="E167" t="s">
        <v>17673</v>
      </c>
      <c r="F167" t="s">
        <v>30052</v>
      </c>
      <c r="G167" t="s">
        <v>30058</v>
      </c>
      <c r="H167" t="s">
        <v>15498</v>
      </c>
      <c r="I167" t="s">
        <v>3736</v>
      </c>
      <c r="J167" t="s">
        <v>30347</v>
      </c>
      <c r="K167" t="s">
        <v>39029</v>
      </c>
      <c r="M167" t="s">
        <v>39417</v>
      </c>
      <c r="N167" t="s">
        <v>43166</v>
      </c>
      <c r="O167" t="s">
        <v>43167</v>
      </c>
      <c r="P167">
        <v>0</v>
      </c>
      <c r="Q167">
        <v>0</v>
      </c>
      <c r="R167" t="s">
        <v>43168</v>
      </c>
      <c r="S167" t="s">
        <v>43286</v>
      </c>
      <c r="T167" t="s">
        <v>44718</v>
      </c>
      <c r="U167" t="s">
        <v>45373</v>
      </c>
      <c r="W167" t="s">
        <v>39417</v>
      </c>
      <c r="X167" t="s">
        <v>43171</v>
      </c>
    </row>
    <row r="168" spans="1:24">
      <c r="A168">
        <f>HYPERLINK("https://www.philgeps.gov.ph/GEPSNONPILOT/Tender/SplashBidNoticeAbstractUI.aspx?menuIndex=3&amp;refID=7084972&amp;Result=3","7084972")</f>
        <v>0</v>
      </c>
      <c r="B168" t="s">
        <v>129</v>
      </c>
      <c r="C168" t="s">
        <v>3620</v>
      </c>
      <c r="D168" t="s">
        <v>17464</v>
      </c>
      <c r="E168" t="s">
        <v>17674</v>
      </c>
      <c r="F168" t="s">
        <v>30052</v>
      </c>
      <c r="G168" t="s">
        <v>30058</v>
      </c>
      <c r="H168" t="s">
        <v>30067</v>
      </c>
      <c r="I168" t="s">
        <v>3693</v>
      </c>
      <c r="J168" t="s">
        <v>30207</v>
      </c>
      <c r="K168" t="s">
        <v>39025</v>
      </c>
      <c r="M168" t="s">
        <v>39418</v>
      </c>
      <c r="N168" t="s">
        <v>43166</v>
      </c>
      <c r="O168" t="s">
        <v>43167</v>
      </c>
      <c r="P168">
        <v>0</v>
      </c>
      <c r="Q168">
        <v>0</v>
      </c>
      <c r="R168" t="s">
        <v>43168</v>
      </c>
      <c r="S168" t="s">
        <v>43286</v>
      </c>
      <c r="T168" t="s">
        <v>44681</v>
      </c>
      <c r="U168" t="s">
        <v>45374</v>
      </c>
      <c r="W168" t="s">
        <v>39418</v>
      </c>
      <c r="X168" t="s">
        <v>43171</v>
      </c>
    </row>
    <row r="169" spans="1:24">
      <c r="A169">
        <f>HYPERLINK("https://www.philgeps.gov.ph/GEPSNONPILOT/Tender/SplashBidNoticeAbstractUI.aspx?menuIndex=3&amp;refID=7084957&amp;Result=3","7084957")</f>
        <v>0</v>
      </c>
      <c r="B169" t="s">
        <v>78</v>
      </c>
      <c r="C169" t="s">
        <v>3621</v>
      </c>
      <c r="E169" t="s">
        <v>17675</v>
      </c>
      <c r="F169" t="s">
        <v>30052</v>
      </c>
      <c r="G169" t="s">
        <v>30059</v>
      </c>
      <c r="H169" t="s">
        <v>15498</v>
      </c>
      <c r="I169" t="s">
        <v>4650</v>
      </c>
      <c r="J169" t="s">
        <v>30207</v>
      </c>
      <c r="K169" t="s">
        <v>39019</v>
      </c>
      <c r="M169" t="s">
        <v>39367</v>
      </c>
      <c r="N169" t="s">
        <v>43166</v>
      </c>
      <c r="O169" t="s">
        <v>43167</v>
      </c>
      <c r="P169">
        <v>0</v>
      </c>
      <c r="Q169">
        <v>8</v>
      </c>
      <c r="R169" t="s">
        <v>43168</v>
      </c>
      <c r="S169" t="s">
        <v>43286</v>
      </c>
      <c r="T169" t="s">
        <v>44681</v>
      </c>
      <c r="U169" t="s">
        <v>45375</v>
      </c>
      <c r="V169" t="s">
        <v>56841</v>
      </c>
      <c r="W169" t="s">
        <v>39367</v>
      </c>
      <c r="X169" t="s">
        <v>43171</v>
      </c>
    </row>
    <row r="170" spans="1:24">
      <c r="A170">
        <f>HYPERLINK("https://www.philgeps.gov.ph/GEPSNONPILOT/Tender/SplashBidNoticeAbstractUI.aspx?menuIndex=3&amp;refID=7084953&amp;Result=3","7084953")</f>
        <v>0</v>
      </c>
      <c r="B170" t="s">
        <v>130</v>
      </c>
      <c r="C170" t="s">
        <v>3622</v>
      </c>
      <c r="E170" t="s">
        <v>17676</v>
      </c>
      <c r="F170" t="s">
        <v>30052</v>
      </c>
      <c r="G170" t="s">
        <v>30059</v>
      </c>
      <c r="H170" t="s">
        <v>15498</v>
      </c>
      <c r="I170" t="s">
        <v>4119</v>
      </c>
      <c r="J170" t="s">
        <v>30348</v>
      </c>
      <c r="K170" t="s">
        <v>39019</v>
      </c>
      <c r="M170" t="s">
        <v>39419</v>
      </c>
      <c r="N170" t="s">
        <v>43166</v>
      </c>
      <c r="O170" t="s">
        <v>43167</v>
      </c>
      <c r="P170">
        <v>0</v>
      </c>
      <c r="Q170">
        <v>2</v>
      </c>
      <c r="R170" t="s">
        <v>43168</v>
      </c>
      <c r="S170" t="s">
        <v>43286</v>
      </c>
      <c r="T170" t="s">
        <v>44732</v>
      </c>
      <c r="U170" t="s">
        <v>45376</v>
      </c>
      <c r="V170" t="s">
        <v>56842</v>
      </c>
      <c r="W170" t="s">
        <v>39419</v>
      </c>
      <c r="X170" t="s">
        <v>43171</v>
      </c>
    </row>
    <row r="171" spans="1:24">
      <c r="A171">
        <f>HYPERLINK("https://www.philgeps.gov.ph/GEPSNONPILOT/Tender/SplashBidNoticeAbstractUI.aspx?menuIndex=3&amp;refID=7084950&amp;Result=3","7084950")</f>
        <v>0</v>
      </c>
      <c r="B171" t="s">
        <v>129</v>
      </c>
      <c r="C171" t="s">
        <v>3620</v>
      </c>
      <c r="D171" t="s">
        <v>17464</v>
      </c>
      <c r="E171" t="s">
        <v>17677</v>
      </c>
      <c r="F171" t="s">
        <v>30052</v>
      </c>
      <c r="G171" t="s">
        <v>30058</v>
      </c>
      <c r="H171" t="s">
        <v>30067</v>
      </c>
      <c r="I171" t="s">
        <v>3693</v>
      </c>
      <c r="J171" t="s">
        <v>30207</v>
      </c>
      <c r="K171" t="s">
        <v>39025</v>
      </c>
      <c r="M171" t="s">
        <v>39418</v>
      </c>
      <c r="N171" t="s">
        <v>43166</v>
      </c>
      <c r="O171" t="s">
        <v>43167</v>
      </c>
      <c r="P171">
        <v>0</v>
      </c>
      <c r="Q171">
        <v>0</v>
      </c>
      <c r="R171" t="s">
        <v>43168</v>
      </c>
      <c r="S171" t="s">
        <v>43286</v>
      </c>
      <c r="T171" t="s">
        <v>44681</v>
      </c>
      <c r="U171" t="s">
        <v>45377</v>
      </c>
      <c r="W171" t="s">
        <v>39418</v>
      </c>
      <c r="X171" t="s">
        <v>43171</v>
      </c>
    </row>
    <row r="172" spans="1:24">
      <c r="A172">
        <f>HYPERLINK("https://www.philgeps.gov.ph/GEPSNONPILOT/Tender/SplashBidNoticeAbstractUI.aspx?menuIndex=3&amp;refID=7084949&amp;Result=3","7084949")</f>
        <v>0</v>
      </c>
      <c r="B172" t="s">
        <v>131</v>
      </c>
      <c r="C172" t="s">
        <v>3623</v>
      </c>
      <c r="D172" t="s">
        <v>17424</v>
      </c>
      <c r="E172" t="s">
        <v>17678</v>
      </c>
      <c r="F172" t="s">
        <v>30052</v>
      </c>
      <c r="G172" t="s">
        <v>30058</v>
      </c>
      <c r="H172" t="s">
        <v>15498</v>
      </c>
      <c r="I172" t="s">
        <v>30102</v>
      </c>
      <c r="J172" t="s">
        <v>30349</v>
      </c>
      <c r="K172" t="s">
        <v>39025</v>
      </c>
      <c r="M172" t="s">
        <v>39420</v>
      </c>
      <c r="N172" t="s">
        <v>43166</v>
      </c>
      <c r="O172" t="s">
        <v>43167</v>
      </c>
      <c r="P172">
        <v>0</v>
      </c>
      <c r="Q172">
        <v>1</v>
      </c>
      <c r="R172" t="s">
        <v>43168</v>
      </c>
      <c r="S172" t="s">
        <v>43286</v>
      </c>
      <c r="T172" t="s">
        <v>44733</v>
      </c>
      <c r="U172" t="s">
        <v>45378</v>
      </c>
      <c r="W172" t="s">
        <v>39420</v>
      </c>
      <c r="X172" t="s">
        <v>43171</v>
      </c>
    </row>
    <row r="173" spans="1:24">
      <c r="A173">
        <f>HYPERLINK("https://www.philgeps.gov.ph/GEPSNONPILOT/Tender/SplashBidNoticeAbstractUI.aspx?menuIndex=3&amp;refID=7084960&amp;Result=3","7084960")</f>
        <v>0</v>
      </c>
      <c r="B173" t="s">
        <v>129</v>
      </c>
      <c r="C173" t="s">
        <v>3624</v>
      </c>
      <c r="D173" t="s">
        <v>17464</v>
      </c>
      <c r="E173" t="s">
        <v>17679</v>
      </c>
      <c r="F173" t="s">
        <v>30052</v>
      </c>
      <c r="G173" t="s">
        <v>30058</v>
      </c>
      <c r="H173" t="s">
        <v>30067</v>
      </c>
      <c r="I173" t="s">
        <v>3693</v>
      </c>
      <c r="J173" t="s">
        <v>30350</v>
      </c>
      <c r="K173" t="s">
        <v>39025</v>
      </c>
      <c r="M173" t="s">
        <v>39418</v>
      </c>
      <c r="N173" t="s">
        <v>43166</v>
      </c>
      <c r="O173" t="s">
        <v>43167</v>
      </c>
      <c r="P173">
        <v>0</v>
      </c>
      <c r="Q173">
        <v>0</v>
      </c>
      <c r="R173" t="s">
        <v>43168</v>
      </c>
      <c r="S173" t="s">
        <v>43286</v>
      </c>
      <c r="T173" t="s">
        <v>44681</v>
      </c>
      <c r="U173" t="s">
        <v>45379</v>
      </c>
      <c r="W173" t="s">
        <v>39418</v>
      </c>
      <c r="X173" t="s">
        <v>43171</v>
      </c>
    </row>
    <row r="174" spans="1:24">
      <c r="A174">
        <f>HYPERLINK("https://www.philgeps.gov.ph/GEPSNONPILOT/Tender/SplashBidNoticeAbstractUI.aspx?menuIndex=3&amp;refID=7085032&amp;Result=3","7085032")</f>
        <v>0</v>
      </c>
      <c r="B174" t="s">
        <v>130</v>
      </c>
      <c r="C174" t="s">
        <v>3625</v>
      </c>
      <c r="D174" t="s">
        <v>17448</v>
      </c>
      <c r="E174" t="s">
        <v>17680</v>
      </c>
      <c r="F174" t="s">
        <v>30052</v>
      </c>
      <c r="G174" t="s">
        <v>30059</v>
      </c>
      <c r="H174" t="s">
        <v>15498</v>
      </c>
      <c r="I174" t="s">
        <v>3852</v>
      </c>
      <c r="J174" t="s">
        <v>30351</v>
      </c>
      <c r="K174" t="s">
        <v>39019</v>
      </c>
      <c r="M174" t="s">
        <v>39419</v>
      </c>
      <c r="N174" t="s">
        <v>43166</v>
      </c>
      <c r="O174" t="s">
        <v>43167</v>
      </c>
      <c r="P174">
        <v>0</v>
      </c>
      <c r="Q174">
        <v>1</v>
      </c>
      <c r="R174" t="s">
        <v>43168</v>
      </c>
      <c r="S174" t="s">
        <v>43286</v>
      </c>
      <c r="T174" t="s">
        <v>44732</v>
      </c>
      <c r="U174" t="s">
        <v>45380</v>
      </c>
      <c r="V174" t="s">
        <v>56843</v>
      </c>
      <c r="W174" t="s">
        <v>39419</v>
      </c>
      <c r="X174" t="s">
        <v>43171</v>
      </c>
    </row>
    <row r="175" spans="1:24">
      <c r="A175">
        <f>HYPERLINK("https://www.philgeps.gov.ph/GEPSNONPILOT/Tender/SplashBidNoticeAbstractUI.aspx?menuIndex=3&amp;refID=7084267&amp;Result=3","7084267")</f>
        <v>0</v>
      </c>
      <c r="B175" t="s">
        <v>88</v>
      </c>
      <c r="C175" t="s">
        <v>3626</v>
      </c>
      <c r="D175" t="s">
        <v>17451</v>
      </c>
      <c r="E175" t="s">
        <v>17681</v>
      </c>
      <c r="F175" t="s">
        <v>30052</v>
      </c>
      <c r="G175" t="s">
        <v>30058</v>
      </c>
      <c r="H175" t="s">
        <v>30067</v>
      </c>
      <c r="I175" t="s">
        <v>3693</v>
      </c>
      <c r="J175" t="s">
        <v>30352</v>
      </c>
      <c r="K175" t="s">
        <v>39042</v>
      </c>
      <c r="M175" t="s">
        <v>39377</v>
      </c>
      <c r="N175" t="s">
        <v>43166</v>
      </c>
      <c r="O175" t="s">
        <v>43167</v>
      </c>
      <c r="P175">
        <v>0</v>
      </c>
      <c r="Q175">
        <v>0</v>
      </c>
      <c r="R175" t="s">
        <v>43168</v>
      </c>
      <c r="S175" t="s">
        <v>43286</v>
      </c>
      <c r="T175" t="s">
        <v>44718</v>
      </c>
      <c r="U175" t="s">
        <v>45381</v>
      </c>
      <c r="V175" t="s">
        <v>56833</v>
      </c>
      <c r="W175" t="s">
        <v>39377</v>
      </c>
      <c r="X175" t="s">
        <v>43172</v>
      </c>
    </row>
    <row r="176" spans="1:24">
      <c r="A176">
        <f>HYPERLINK("https://www.philgeps.gov.ph/GEPSNONPILOT/Tender/SplashBidNoticeAbstractUI.aspx?menuIndex=3&amp;refID=7085030&amp;Result=3","7085030")</f>
        <v>0</v>
      </c>
      <c r="B176" t="s">
        <v>132</v>
      </c>
      <c r="C176" t="s">
        <v>3627</v>
      </c>
      <c r="D176" t="s">
        <v>17465</v>
      </c>
      <c r="E176" t="s">
        <v>17682</v>
      </c>
      <c r="F176" t="s">
        <v>30052</v>
      </c>
      <c r="G176" t="s">
        <v>30061</v>
      </c>
      <c r="H176" t="s">
        <v>15498</v>
      </c>
      <c r="I176" t="s">
        <v>3736</v>
      </c>
      <c r="J176" t="s">
        <v>30353</v>
      </c>
      <c r="K176" t="s">
        <v>39018</v>
      </c>
      <c r="M176" t="s">
        <v>39421</v>
      </c>
      <c r="N176" t="s">
        <v>43166</v>
      </c>
      <c r="O176" t="s">
        <v>43167</v>
      </c>
      <c r="P176">
        <v>0</v>
      </c>
      <c r="Q176">
        <v>0</v>
      </c>
      <c r="R176" t="s">
        <v>43168</v>
      </c>
      <c r="S176" t="s">
        <v>43286</v>
      </c>
      <c r="T176" t="s">
        <v>44734</v>
      </c>
      <c r="U176" t="s">
        <v>45382</v>
      </c>
      <c r="W176" t="s">
        <v>39421</v>
      </c>
      <c r="X176" t="s">
        <v>43171</v>
      </c>
    </row>
    <row r="177" spans="1:24">
      <c r="A177">
        <f>HYPERLINK("https://www.philgeps.gov.ph/GEPSNONPILOT/Tender/SplashBidNoticeAbstractUI.aspx?menuIndex=3&amp;refID=7085022&amp;Result=3","7085022")</f>
        <v>0</v>
      </c>
      <c r="B177" t="s">
        <v>133</v>
      </c>
      <c r="C177" t="s">
        <v>3628</v>
      </c>
      <c r="D177" t="s">
        <v>17434</v>
      </c>
      <c r="E177" t="s">
        <v>17683</v>
      </c>
      <c r="F177" t="s">
        <v>30052</v>
      </c>
      <c r="G177" t="s">
        <v>30061</v>
      </c>
      <c r="H177" t="s">
        <v>15498</v>
      </c>
      <c r="I177" t="s">
        <v>30097</v>
      </c>
      <c r="J177" t="s">
        <v>30354</v>
      </c>
      <c r="K177" t="s">
        <v>39017</v>
      </c>
      <c r="M177" t="s">
        <v>39422</v>
      </c>
      <c r="N177" t="s">
        <v>43166</v>
      </c>
      <c r="O177" t="s">
        <v>43167</v>
      </c>
      <c r="P177">
        <v>0</v>
      </c>
      <c r="Q177">
        <v>7</v>
      </c>
      <c r="R177" t="s">
        <v>43168</v>
      </c>
      <c r="S177" t="s">
        <v>43286</v>
      </c>
      <c r="T177" t="s">
        <v>44735</v>
      </c>
      <c r="U177" t="s">
        <v>45383</v>
      </c>
      <c r="W177" t="s">
        <v>58592</v>
      </c>
      <c r="X177" t="s">
        <v>43171</v>
      </c>
    </row>
    <row r="178" spans="1:24">
      <c r="A178">
        <f>HYPERLINK("https://www.philgeps.gov.ph/GEPSNONPILOT/Tender/SplashBidNoticeAbstractUI.aspx?menuIndex=3&amp;refID=7084967&amp;Result=3","7084967")</f>
        <v>0</v>
      </c>
      <c r="B178" t="s">
        <v>132</v>
      </c>
      <c r="C178" t="s">
        <v>3627</v>
      </c>
      <c r="D178" t="s">
        <v>17465</v>
      </c>
      <c r="E178" t="s">
        <v>17684</v>
      </c>
      <c r="F178" t="s">
        <v>30052</v>
      </c>
      <c r="G178" t="s">
        <v>30061</v>
      </c>
      <c r="H178" t="s">
        <v>15498</v>
      </c>
      <c r="I178" t="s">
        <v>30085</v>
      </c>
      <c r="J178" t="s">
        <v>30355</v>
      </c>
      <c r="K178" t="s">
        <v>39018</v>
      </c>
      <c r="M178" t="s">
        <v>39421</v>
      </c>
      <c r="N178" t="s">
        <v>43166</v>
      </c>
      <c r="O178" t="s">
        <v>43167</v>
      </c>
      <c r="P178">
        <v>0</v>
      </c>
      <c r="Q178">
        <v>0</v>
      </c>
      <c r="R178" t="s">
        <v>43168</v>
      </c>
      <c r="S178" t="s">
        <v>43286</v>
      </c>
      <c r="T178" t="s">
        <v>44734</v>
      </c>
      <c r="U178" t="s">
        <v>45384</v>
      </c>
      <c r="W178" t="s">
        <v>39421</v>
      </c>
      <c r="X178" t="s">
        <v>43171</v>
      </c>
    </row>
    <row r="179" spans="1:24">
      <c r="A179">
        <f>HYPERLINK("https://www.philgeps.gov.ph/GEPSNONPILOT/Tender/SplashBidNoticeAbstractUI.aspx?menuIndex=3&amp;refID=7084946&amp;Result=3","7084946")</f>
        <v>0</v>
      </c>
      <c r="B179" t="s">
        <v>121</v>
      </c>
      <c r="C179" t="s">
        <v>3629</v>
      </c>
      <c r="D179" t="s">
        <v>17440</v>
      </c>
      <c r="E179" t="s">
        <v>17685</v>
      </c>
      <c r="F179" t="s">
        <v>30052</v>
      </c>
      <c r="G179" t="s">
        <v>30059</v>
      </c>
      <c r="H179" t="s">
        <v>15498</v>
      </c>
      <c r="I179" t="s">
        <v>30103</v>
      </c>
      <c r="J179" t="s">
        <v>30356</v>
      </c>
      <c r="K179" t="s">
        <v>39019</v>
      </c>
      <c r="M179" t="s">
        <v>39410</v>
      </c>
      <c r="N179" t="s">
        <v>43166</v>
      </c>
      <c r="O179" t="s">
        <v>43167</v>
      </c>
      <c r="P179">
        <v>0</v>
      </c>
      <c r="Q179">
        <v>3</v>
      </c>
      <c r="R179" t="s">
        <v>43168</v>
      </c>
      <c r="S179" t="s">
        <v>43286</v>
      </c>
      <c r="T179" t="s">
        <v>44698</v>
      </c>
      <c r="U179" t="s">
        <v>45385</v>
      </c>
      <c r="W179" t="s">
        <v>39410</v>
      </c>
      <c r="X179" t="s">
        <v>43171</v>
      </c>
    </row>
    <row r="180" spans="1:24">
      <c r="A180">
        <f>HYPERLINK("https://www.philgeps.gov.ph/GEPSNONPILOT/Tender/SplashBidNoticeAbstractUI.aspx?menuIndex=3&amp;refID=7085021&amp;Result=3","7085021")</f>
        <v>0</v>
      </c>
      <c r="B180" t="s">
        <v>90</v>
      </c>
      <c r="C180" t="s">
        <v>3630</v>
      </c>
      <c r="D180" t="s">
        <v>17414</v>
      </c>
      <c r="E180" t="s">
        <v>17686</v>
      </c>
      <c r="F180" t="s">
        <v>30052</v>
      </c>
      <c r="G180" t="s">
        <v>30061</v>
      </c>
      <c r="H180" t="s">
        <v>15498</v>
      </c>
      <c r="I180" t="s">
        <v>30104</v>
      </c>
      <c r="J180" t="s">
        <v>30350</v>
      </c>
      <c r="K180" t="s">
        <v>39029</v>
      </c>
      <c r="M180" t="s">
        <v>39379</v>
      </c>
      <c r="N180" t="s">
        <v>43166</v>
      </c>
      <c r="O180" t="s">
        <v>43167</v>
      </c>
      <c r="P180">
        <v>0</v>
      </c>
      <c r="Q180">
        <v>0</v>
      </c>
      <c r="R180" t="s">
        <v>43168</v>
      </c>
      <c r="S180" t="s">
        <v>43286</v>
      </c>
      <c r="T180" t="s">
        <v>44721</v>
      </c>
      <c r="U180" t="s">
        <v>45386</v>
      </c>
      <c r="W180" t="s">
        <v>39379</v>
      </c>
      <c r="X180" t="s">
        <v>43171</v>
      </c>
    </row>
    <row r="181" spans="1:24">
      <c r="A181">
        <f>HYPERLINK("https://www.philgeps.gov.ph/GEPSNONPILOT/Tender/SplashBidNoticeAbstractUI.aspx?menuIndex=3&amp;refID=7085015&amp;Result=3","7085015")</f>
        <v>0</v>
      </c>
      <c r="B181" t="s">
        <v>132</v>
      </c>
      <c r="C181" t="s">
        <v>3627</v>
      </c>
      <c r="D181" t="s">
        <v>17465</v>
      </c>
      <c r="E181" t="s">
        <v>17687</v>
      </c>
      <c r="F181" t="s">
        <v>30052</v>
      </c>
      <c r="G181" t="s">
        <v>30061</v>
      </c>
      <c r="H181" t="s">
        <v>15498</v>
      </c>
      <c r="I181" t="s">
        <v>4119</v>
      </c>
      <c r="J181" t="s">
        <v>30357</v>
      </c>
      <c r="K181" t="s">
        <v>39018</v>
      </c>
      <c r="M181" t="s">
        <v>39421</v>
      </c>
      <c r="N181" t="s">
        <v>43166</v>
      </c>
      <c r="O181" t="s">
        <v>43167</v>
      </c>
      <c r="P181">
        <v>0</v>
      </c>
      <c r="Q181">
        <v>0</v>
      </c>
      <c r="R181" t="s">
        <v>43168</v>
      </c>
      <c r="S181" t="s">
        <v>43286</v>
      </c>
      <c r="T181" t="s">
        <v>44734</v>
      </c>
      <c r="U181" t="s">
        <v>45387</v>
      </c>
      <c r="W181" t="s">
        <v>39421</v>
      </c>
      <c r="X181" t="s">
        <v>43171</v>
      </c>
    </row>
    <row r="182" spans="1:24">
      <c r="A182">
        <f>HYPERLINK("https://www.philgeps.gov.ph/GEPSNONPILOT/Tender/SplashBidNoticeAbstractUI.aspx?menuIndex=3&amp;refID=7084839&amp;Result=3","7084839")</f>
        <v>0</v>
      </c>
      <c r="B182" t="s">
        <v>134</v>
      </c>
      <c r="C182" t="s">
        <v>3631</v>
      </c>
      <c r="D182" t="s">
        <v>17456</v>
      </c>
      <c r="E182" t="s">
        <v>17688</v>
      </c>
      <c r="F182" t="s">
        <v>30052</v>
      </c>
      <c r="G182" t="s">
        <v>30059</v>
      </c>
      <c r="H182" t="s">
        <v>30069</v>
      </c>
      <c r="I182" t="s">
        <v>3736</v>
      </c>
      <c r="J182" t="s">
        <v>30358</v>
      </c>
      <c r="K182" t="s">
        <v>39019</v>
      </c>
      <c r="M182" t="s">
        <v>39423</v>
      </c>
      <c r="N182" t="s">
        <v>43166</v>
      </c>
      <c r="O182" t="s">
        <v>43167</v>
      </c>
      <c r="P182">
        <v>0</v>
      </c>
      <c r="Q182">
        <v>0</v>
      </c>
      <c r="R182" t="s">
        <v>43168</v>
      </c>
      <c r="S182" t="s">
        <v>43286</v>
      </c>
      <c r="T182" t="s">
        <v>44679</v>
      </c>
      <c r="U182" t="s">
        <v>45388</v>
      </c>
      <c r="W182" t="s">
        <v>39423</v>
      </c>
      <c r="X182" t="s">
        <v>43171</v>
      </c>
    </row>
    <row r="183" spans="1:24">
      <c r="A183">
        <f>HYPERLINK("https://www.philgeps.gov.ph/GEPSNONPILOT/Tender/SplashBidNoticeAbstractUI.aspx?menuIndex=3&amp;refID=7085009&amp;Result=3","7085009")</f>
        <v>0</v>
      </c>
      <c r="B183" t="s">
        <v>123</v>
      </c>
      <c r="C183" t="s">
        <v>3632</v>
      </c>
      <c r="D183" t="s">
        <v>17458</v>
      </c>
      <c r="E183" t="s">
        <v>17689</v>
      </c>
      <c r="F183" t="s">
        <v>30052</v>
      </c>
      <c r="G183" t="s">
        <v>30059</v>
      </c>
      <c r="H183" t="s">
        <v>15498</v>
      </c>
      <c r="I183" t="s">
        <v>3852</v>
      </c>
      <c r="J183" t="s">
        <v>30359</v>
      </c>
      <c r="K183" t="s">
        <v>39025</v>
      </c>
      <c r="M183" t="s">
        <v>39412</v>
      </c>
      <c r="N183" t="s">
        <v>43166</v>
      </c>
      <c r="O183" t="s">
        <v>43167</v>
      </c>
      <c r="P183">
        <v>0</v>
      </c>
      <c r="Q183">
        <v>4</v>
      </c>
      <c r="R183" t="s">
        <v>43168</v>
      </c>
      <c r="S183" t="s">
        <v>43286</v>
      </c>
      <c r="T183" t="s">
        <v>44698</v>
      </c>
      <c r="U183" t="s">
        <v>45389</v>
      </c>
      <c r="W183" t="s">
        <v>39412</v>
      </c>
      <c r="X183" t="s">
        <v>43171</v>
      </c>
    </row>
    <row r="184" spans="1:24">
      <c r="A184">
        <f>HYPERLINK("https://www.philgeps.gov.ph/GEPSNONPILOT/Tender/SplashBidNoticeAbstractUI.aspx?menuIndex=3&amp;refID=7085029&amp;Result=3","7085029")</f>
        <v>0</v>
      </c>
      <c r="B184" t="s">
        <v>121</v>
      </c>
      <c r="C184" t="s">
        <v>3633</v>
      </c>
      <c r="D184" t="s">
        <v>17440</v>
      </c>
      <c r="E184" t="s">
        <v>17690</v>
      </c>
      <c r="F184" t="s">
        <v>30052</v>
      </c>
      <c r="G184" t="s">
        <v>30059</v>
      </c>
      <c r="H184" t="s">
        <v>15498</v>
      </c>
      <c r="I184" t="s">
        <v>3852</v>
      </c>
      <c r="J184" t="s">
        <v>30360</v>
      </c>
      <c r="K184" t="s">
        <v>39019</v>
      </c>
      <c r="M184" t="s">
        <v>39410</v>
      </c>
      <c r="N184" t="s">
        <v>43166</v>
      </c>
      <c r="O184" t="s">
        <v>43167</v>
      </c>
      <c r="P184">
        <v>0</v>
      </c>
      <c r="Q184">
        <v>0</v>
      </c>
      <c r="R184" t="s">
        <v>43168</v>
      </c>
      <c r="S184" t="s">
        <v>43286</v>
      </c>
      <c r="T184" t="s">
        <v>44698</v>
      </c>
      <c r="U184" t="s">
        <v>45385</v>
      </c>
      <c r="W184" t="s">
        <v>39410</v>
      </c>
      <c r="X184" t="s">
        <v>43171</v>
      </c>
    </row>
    <row r="185" spans="1:24">
      <c r="A185">
        <f>HYPERLINK("https://www.philgeps.gov.ph/GEPSNONPILOT/Tender/SplashBidNoticeAbstractUI.aspx?menuIndex=3&amp;refID=7085002&amp;Result=3","7085002")</f>
        <v>0</v>
      </c>
      <c r="B185" t="s">
        <v>135</v>
      </c>
      <c r="C185" t="s">
        <v>3634</v>
      </c>
      <c r="D185" t="s">
        <v>17458</v>
      </c>
      <c r="E185" t="s">
        <v>17691</v>
      </c>
      <c r="F185" t="s">
        <v>30052</v>
      </c>
      <c r="G185" t="s">
        <v>30061</v>
      </c>
      <c r="H185" t="s">
        <v>15498</v>
      </c>
      <c r="I185" t="s">
        <v>30105</v>
      </c>
      <c r="J185" t="s">
        <v>30361</v>
      </c>
      <c r="K185" t="s">
        <v>39025</v>
      </c>
      <c r="M185" t="s">
        <v>39424</v>
      </c>
      <c r="N185" t="s">
        <v>43166</v>
      </c>
      <c r="O185" t="s">
        <v>43167</v>
      </c>
      <c r="P185">
        <v>0</v>
      </c>
      <c r="Q185">
        <v>4</v>
      </c>
      <c r="R185" t="s">
        <v>43168</v>
      </c>
      <c r="S185" t="s">
        <v>43286</v>
      </c>
      <c r="T185" t="s">
        <v>44734</v>
      </c>
      <c r="U185" t="s">
        <v>45390</v>
      </c>
      <c r="W185" t="s">
        <v>39424</v>
      </c>
      <c r="X185" t="s">
        <v>43171</v>
      </c>
    </row>
    <row r="186" spans="1:24">
      <c r="A186">
        <f>HYPERLINK("https://www.philgeps.gov.ph/GEPSNONPILOT/Tender/SplashBidNoticeAbstractUI.aspx?menuIndex=3&amp;refID=7084976&amp;Result=3","7084976")</f>
        <v>0</v>
      </c>
      <c r="B186" t="s">
        <v>123</v>
      </c>
      <c r="C186" t="s">
        <v>3635</v>
      </c>
      <c r="D186" t="s">
        <v>17458</v>
      </c>
      <c r="E186" t="s">
        <v>17692</v>
      </c>
      <c r="F186" t="s">
        <v>30052</v>
      </c>
      <c r="G186" t="s">
        <v>30059</v>
      </c>
      <c r="H186" t="s">
        <v>15498</v>
      </c>
      <c r="I186" t="s">
        <v>3852</v>
      </c>
      <c r="J186" t="s">
        <v>30362</v>
      </c>
      <c r="K186" t="s">
        <v>39025</v>
      </c>
      <c r="M186" t="s">
        <v>39412</v>
      </c>
      <c r="N186" t="s">
        <v>43166</v>
      </c>
      <c r="O186" t="s">
        <v>43167</v>
      </c>
      <c r="P186">
        <v>0</v>
      </c>
      <c r="Q186">
        <v>6</v>
      </c>
      <c r="R186" t="s">
        <v>43168</v>
      </c>
      <c r="S186" t="s">
        <v>43286</v>
      </c>
      <c r="T186" t="s">
        <v>44698</v>
      </c>
      <c r="U186" t="s">
        <v>45391</v>
      </c>
      <c r="W186" t="s">
        <v>39412</v>
      </c>
      <c r="X186" t="s">
        <v>43171</v>
      </c>
    </row>
    <row r="187" spans="1:24">
      <c r="A187">
        <f>HYPERLINK("https://www.philgeps.gov.ph/GEPSNONPILOT/Tender/SplashBidNoticeAbstractUI.aspx?menuIndex=3&amp;refID=7084999&amp;Result=3","7084999")</f>
        <v>0</v>
      </c>
      <c r="B187" t="s">
        <v>136</v>
      </c>
      <c r="C187" t="s">
        <v>3636</v>
      </c>
      <c r="D187" t="s">
        <v>17466</v>
      </c>
      <c r="E187" t="s">
        <v>17693</v>
      </c>
      <c r="F187" t="s">
        <v>30052</v>
      </c>
      <c r="G187" t="s">
        <v>30058</v>
      </c>
      <c r="H187" t="s">
        <v>15498</v>
      </c>
      <c r="I187" t="s">
        <v>30073</v>
      </c>
      <c r="J187" t="s">
        <v>30363</v>
      </c>
      <c r="K187" t="s">
        <v>39034</v>
      </c>
      <c r="M187" t="s">
        <v>39425</v>
      </c>
      <c r="N187" t="s">
        <v>43166</v>
      </c>
      <c r="O187" t="s">
        <v>43167</v>
      </c>
      <c r="P187">
        <v>0</v>
      </c>
      <c r="Q187">
        <v>1</v>
      </c>
      <c r="R187" t="s">
        <v>43168</v>
      </c>
      <c r="S187" t="s">
        <v>43286</v>
      </c>
      <c r="T187" t="s">
        <v>44684</v>
      </c>
      <c r="U187" t="s">
        <v>45392</v>
      </c>
      <c r="W187" t="s">
        <v>39425</v>
      </c>
      <c r="X187" t="s">
        <v>43171</v>
      </c>
    </row>
    <row r="188" spans="1:24">
      <c r="A188">
        <f>HYPERLINK("https://www.philgeps.gov.ph/GEPSNONPILOT/Tender/SplashBidNoticeAbstractUI.aspx?menuIndex=3&amp;refID=7085020&amp;Result=3","7085020")</f>
        <v>0</v>
      </c>
      <c r="B188" t="s">
        <v>137</v>
      </c>
      <c r="C188" t="s">
        <v>3637</v>
      </c>
      <c r="D188" t="s">
        <v>17458</v>
      </c>
      <c r="E188" t="s">
        <v>17694</v>
      </c>
      <c r="F188" t="s">
        <v>30052</v>
      </c>
      <c r="G188" t="s">
        <v>30062</v>
      </c>
      <c r="H188" t="s">
        <v>15498</v>
      </c>
      <c r="I188" t="s">
        <v>30085</v>
      </c>
      <c r="J188" t="s">
        <v>30364</v>
      </c>
      <c r="K188" t="s">
        <v>39017</v>
      </c>
      <c r="L188" t="s">
        <v>137</v>
      </c>
      <c r="M188" t="s">
        <v>39426</v>
      </c>
      <c r="N188" t="s">
        <v>43166</v>
      </c>
      <c r="O188" t="s">
        <v>43167</v>
      </c>
      <c r="P188">
        <v>0</v>
      </c>
      <c r="Q188">
        <v>0</v>
      </c>
      <c r="R188" t="s">
        <v>43168</v>
      </c>
      <c r="S188" t="s">
        <v>43286</v>
      </c>
      <c r="T188" t="s">
        <v>44720</v>
      </c>
      <c r="U188" t="s">
        <v>45393</v>
      </c>
      <c r="V188" t="s">
        <v>56844</v>
      </c>
      <c r="W188" t="s">
        <v>39426</v>
      </c>
      <c r="X188" t="s">
        <v>43171</v>
      </c>
    </row>
    <row r="189" spans="1:24">
      <c r="A189">
        <f>HYPERLINK("https://www.philgeps.gov.ph/GEPSNONPILOT/Tender/SplashBidNoticeAbstractUI.aspx?menuIndex=3&amp;refID=7084998&amp;Result=3","7084998")</f>
        <v>0</v>
      </c>
      <c r="B189" t="s">
        <v>138</v>
      </c>
      <c r="C189" t="s">
        <v>3638</v>
      </c>
      <c r="D189" t="s">
        <v>17422</v>
      </c>
      <c r="E189" t="s">
        <v>17695</v>
      </c>
      <c r="F189" t="s">
        <v>30052</v>
      </c>
      <c r="G189" t="s">
        <v>30059</v>
      </c>
      <c r="H189" t="s">
        <v>15498</v>
      </c>
      <c r="I189" t="s">
        <v>3606</v>
      </c>
      <c r="J189" t="s">
        <v>30365</v>
      </c>
      <c r="K189" t="s">
        <v>39019</v>
      </c>
      <c r="M189" t="s">
        <v>39427</v>
      </c>
      <c r="N189" t="s">
        <v>43166</v>
      </c>
      <c r="O189" t="s">
        <v>43167</v>
      </c>
      <c r="P189">
        <v>0</v>
      </c>
      <c r="Q189">
        <v>0</v>
      </c>
      <c r="R189" t="s">
        <v>43168</v>
      </c>
      <c r="S189" t="s">
        <v>43286</v>
      </c>
      <c r="T189" t="s">
        <v>44736</v>
      </c>
      <c r="U189" t="s">
        <v>45394</v>
      </c>
      <c r="W189" t="s">
        <v>39427</v>
      </c>
      <c r="X189" t="s">
        <v>43171</v>
      </c>
    </row>
    <row r="190" spans="1:24">
      <c r="A190">
        <f>HYPERLINK("https://www.philgeps.gov.ph/GEPSNONPILOT/Tender/SplashBidNoticeAbstractUI.aspx?menuIndex=3&amp;refID=7084996&amp;Result=3","7084996")</f>
        <v>0</v>
      </c>
      <c r="B190" t="s">
        <v>118</v>
      </c>
      <c r="C190" t="s">
        <v>3639</v>
      </c>
      <c r="D190" t="s">
        <v>17433</v>
      </c>
      <c r="E190" t="s">
        <v>17696</v>
      </c>
      <c r="F190" t="s">
        <v>30052</v>
      </c>
      <c r="G190" t="s">
        <v>30061</v>
      </c>
      <c r="H190" t="s">
        <v>15498</v>
      </c>
      <c r="I190" t="s">
        <v>30094</v>
      </c>
      <c r="J190" t="s">
        <v>30344</v>
      </c>
      <c r="K190" t="s">
        <v>39025</v>
      </c>
      <c r="M190" t="s">
        <v>39407</v>
      </c>
      <c r="N190" t="s">
        <v>43166</v>
      </c>
      <c r="O190" t="s">
        <v>43167</v>
      </c>
      <c r="P190">
        <v>0</v>
      </c>
      <c r="Q190">
        <v>0</v>
      </c>
      <c r="R190" t="s">
        <v>43168</v>
      </c>
      <c r="S190" t="s">
        <v>43286</v>
      </c>
      <c r="T190" t="s">
        <v>44714</v>
      </c>
      <c r="U190" t="s">
        <v>45395</v>
      </c>
      <c r="W190" t="s">
        <v>39407</v>
      </c>
      <c r="X190" t="s">
        <v>43171</v>
      </c>
    </row>
    <row r="191" spans="1:24">
      <c r="A191">
        <f>HYPERLINK("https://www.philgeps.gov.ph/GEPSNONPILOT/Tender/SplashBidNoticeAbstractUI.aspx?menuIndex=3&amp;refID=7084992&amp;Result=3","7084992")</f>
        <v>0</v>
      </c>
      <c r="B191" t="s">
        <v>139</v>
      </c>
      <c r="C191" t="s">
        <v>3640</v>
      </c>
      <c r="D191" t="s">
        <v>17467</v>
      </c>
      <c r="E191" t="s">
        <v>17540</v>
      </c>
      <c r="F191" t="s">
        <v>30052</v>
      </c>
      <c r="G191" t="s">
        <v>30058</v>
      </c>
      <c r="H191" t="s">
        <v>15498</v>
      </c>
      <c r="I191" t="s">
        <v>30074</v>
      </c>
      <c r="J191" t="s">
        <v>30344</v>
      </c>
      <c r="K191" t="s">
        <v>39039</v>
      </c>
      <c r="M191" t="s">
        <v>39428</v>
      </c>
      <c r="N191" t="s">
        <v>43166</v>
      </c>
      <c r="O191" t="s">
        <v>43167</v>
      </c>
      <c r="P191">
        <v>0</v>
      </c>
      <c r="Q191">
        <v>0</v>
      </c>
      <c r="R191" t="s">
        <v>43168</v>
      </c>
      <c r="S191" t="s">
        <v>43286</v>
      </c>
      <c r="T191" t="s">
        <v>44721</v>
      </c>
      <c r="U191" t="s">
        <v>45396</v>
      </c>
      <c r="W191" t="s">
        <v>39428</v>
      </c>
      <c r="X191" t="s">
        <v>43171</v>
      </c>
    </row>
    <row r="192" spans="1:24">
      <c r="A192">
        <f>HYPERLINK("https://www.philgeps.gov.ph/GEPSNONPILOT/Tender/SplashBidNoticeAbstractUI.aspx?menuIndex=3&amp;refID=7085012&amp;Result=3","7085012")</f>
        <v>0</v>
      </c>
      <c r="B192" t="s">
        <v>136</v>
      </c>
      <c r="C192" t="s">
        <v>3641</v>
      </c>
      <c r="D192" t="s">
        <v>17466</v>
      </c>
      <c r="E192" t="s">
        <v>17697</v>
      </c>
      <c r="F192" t="s">
        <v>30052</v>
      </c>
      <c r="G192" t="s">
        <v>30058</v>
      </c>
      <c r="H192" t="s">
        <v>15498</v>
      </c>
      <c r="I192" t="s">
        <v>30098</v>
      </c>
      <c r="J192" t="s">
        <v>30366</v>
      </c>
      <c r="K192" t="s">
        <v>39029</v>
      </c>
      <c r="M192" t="s">
        <v>39425</v>
      </c>
      <c r="N192" t="s">
        <v>43166</v>
      </c>
      <c r="O192" t="s">
        <v>43167</v>
      </c>
      <c r="P192">
        <v>0</v>
      </c>
      <c r="Q192">
        <v>0</v>
      </c>
      <c r="R192" t="s">
        <v>43168</v>
      </c>
      <c r="S192" t="s">
        <v>43286</v>
      </c>
      <c r="T192" t="s">
        <v>44681</v>
      </c>
      <c r="U192" t="s">
        <v>45397</v>
      </c>
      <c r="W192" t="s">
        <v>39425</v>
      </c>
      <c r="X192" t="s">
        <v>43171</v>
      </c>
    </row>
    <row r="193" spans="1:24">
      <c r="A193">
        <f>HYPERLINK("https://www.philgeps.gov.ph/GEPSNONPILOT/Tender/SplashBidNoticeAbstractUI.aspx?menuIndex=3&amp;refID=7084991&amp;Result=3","7084991")</f>
        <v>0</v>
      </c>
      <c r="B193" t="s">
        <v>140</v>
      </c>
      <c r="C193" t="s">
        <v>3642</v>
      </c>
      <c r="D193" t="s">
        <v>17468</v>
      </c>
      <c r="E193" t="s">
        <v>17698</v>
      </c>
      <c r="F193" t="s">
        <v>30052</v>
      </c>
      <c r="G193" t="s">
        <v>30059</v>
      </c>
      <c r="H193" t="s">
        <v>15498</v>
      </c>
      <c r="I193" t="s">
        <v>3736</v>
      </c>
      <c r="J193" t="s">
        <v>30367</v>
      </c>
      <c r="K193" t="s">
        <v>39036</v>
      </c>
      <c r="M193" t="s">
        <v>39429</v>
      </c>
      <c r="N193" t="s">
        <v>43166</v>
      </c>
      <c r="O193" t="s">
        <v>43167</v>
      </c>
      <c r="P193">
        <v>0</v>
      </c>
      <c r="Q193">
        <v>0</v>
      </c>
      <c r="R193" t="s">
        <v>43168</v>
      </c>
      <c r="S193" t="s">
        <v>43286</v>
      </c>
      <c r="T193" t="s">
        <v>44737</v>
      </c>
      <c r="U193" t="s">
        <v>45398</v>
      </c>
      <c r="V193" t="s">
        <v>56845</v>
      </c>
      <c r="W193" t="s">
        <v>39429</v>
      </c>
      <c r="X193" t="s">
        <v>43171</v>
      </c>
    </row>
    <row r="194" spans="1:24">
      <c r="A194">
        <f>HYPERLINK("https://www.philgeps.gov.ph/GEPSNONPILOT/Tender/SplashBidNoticeAbstractUI.aspx?menuIndex=3&amp;refID=7085010&amp;Result=3","7085010")</f>
        <v>0</v>
      </c>
      <c r="B194" t="s">
        <v>141</v>
      </c>
      <c r="C194" t="s">
        <v>3643</v>
      </c>
      <c r="D194" t="s">
        <v>17442</v>
      </c>
      <c r="E194" t="s">
        <v>17699</v>
      </c>
      <c r="F194" t="s">
        <v>30052</v>
      </c>
      <c r="G194" t="s">
        <v>30059</v>
      </c>
      <c r="H194" t="s">
        <v>15498</v>
      </c>
      <c r="I194" t="s">
        <v>4119</v>
      </c>
      <c r="J194" t="s">
        <v>30368</v>
      </c>
      <c r="K194" t="s">
        <v>39019</v>
      </c>
      <c r="M194" t="s">
        <v>39430</v>
      </c>
      <c r="N194" t="s">
        <v>43166</v>
      </c>
      <c r="O194" t="s">
        <v>43167</v>
      </c>
      <c r="P194">
        <v>0</v>
      </c>
      <c r="Q194">
        <v>2</v>
      </c>
      <c r="R194" t="s">
        <v>43168</v>
      </c>
      <c r="S194" t="s">
        <v>43286</v>
      </c>
      <c r="T194" t="s">
        <v>44708</v>
      </c>
      <c r="U194" t="s">
        <v>45399</v>
      </c>
      <c r="W194" t="s">
        <v>39430</v>
      </c>
      <c r="X194" t="s">
        <v>43171</v>
      </c>
    </row>
    <row r="195" spans="1:24">
      <c r="A195">
        <f>HYPERLINK("https://www.philgeps.gov.ph/GEPSNONPILOT/Tender/SplashBidNoticeAbstractUI.aspx?menuIndex=3&amp;refID=7084985&amp;Result=3","7084985")</f>
        <v>0</v>
      </c>
      <c r="B195" t="s">
        <v>132</v>
      </c>
      <c r="C195" t="s">
        <v>3627</v>
      </c>
      <c r="D195" t="s">
        <v>17465</v>
      </c>
      <c r="E195" t="s">
        <v>17700</v>
      </c>
      <c r="F195" t="s">
        <v>30052</v>
      </c>
      <c r="G195" t="s">
        <v>30061</v>
      </c>
      <c r="H195" t="s">
        <v>15498</v>
      </c>
      <c r="I195" t="s">
        <v>3736</v>
      </c>
      <c r="J195" t="s">
        <v>30369</v>
      </c>
      <c r="K195" t="s">
        <v>39018</v>
      </c>
      <c r="M195" t="s">
        <v>39421</v>
      </c>
      <c r="N195" t="s">
        <v>43166</v>
      </c>
      <c r="O195" t="s">
        <v>43167</v>
      </c>
      <c r="P195">
        <v>0</v>
      </c>
      <c r="Q195">
        <v>0</v>
      </c>
      <c r="R195" t="s">
        <v>43168</v>
      </c>
      <c r="S195" t="s">
        <v>43286</v>
      </c>
      <c r="T195" t="s">
        <v>44734</v>
      </c>
      <c r="U195" t="s">
        <v>45400</v>
      </c>
      <c r="W195" t="s">
        <v>39421</v>
      </c>
      <c r="X195" t="s">
        <v>43171</v>
      </c>
    </row>
    <row r="196" spans="1:24">
      <c r="A196">
        <f>HYPERLINK("https://www.philgeps.gov.ph/GEPSNONPILOT/Tender/SplashBidNoticeAbstractUI.aspx?menuIndex=3&amp;refID=7084945&amp;Result=3","7084945")</f>
        <v>0</v>
      </c>
      <c r="B196" t="s">
        <v>142</v>
      </c>
      <c r="C196" t="s">
        <v>3644</v>
      </c>
      <c r="D196" t="s">
        <v>17469</v>
      </c>
      <c r="E196" t="s">
        <v>17701</v>
      </c>
      <c r="F196" t="s">
        <v>30052</v>
      </c>
      <c r="G196" t="s">
        <v>30059</v>
      </c>
      <c r="H196" t="s">
        <v>15498</v>
      </c>
      <c r="I196" t="s">
        <v>30094</v>
      </c>
      <c r="J196" t="s">
        <v>30248</v>
      </c>
      <c r="K196" t="s">
        <v>39025</v>
      </c>
      <c r="M196" t="s">
        <v>39431</v>
      </c>
      <c r="N196" t="s">
        <v>43166</v>
      </c>
      <c r="O196" t="s">
        <v>43167</v>
      </c>
      <c r="P196">
        <v>0</v>
      </c>
      <c r="Q196">
        <v>0</v>
      </c>
      <c r="R196" t="s">
        <v>43168</v>
      </c>
      <c r="S196" t="s">
        <v>43286</v>
      </c>
      <c r="T196" t="s">
        <v>44678</v>
      </c>
      <c r="U196" t="s">
        <v>45401</v>
      </c>
      <c r="W196" t="s">
        <v>39431</v>
      </c>
      <c r="X196" t="s">
        <v>43171</v>
      </c>
    </row>
    <row r="197" spans="1:24">
      <c r="A197">
        <f>HYPERLINK("https://www.philgeps.gov.ph/GEPSNONPILOT/Tender/SplashBidNoticeAbstractUI.aspx?menuIndex=3&amp;refID=7084942&amp;Result=3","7084942")</f>
        <v>0</v>
      </c>
      <c r="B197" t="s">
        <v>123</v>
      </c>
      <c r="C197" t="s">
        <v>3645</v>
      </c>
      <c r="D197" t="s">
        <v>17458</v>
      </c>
      <c r="E197" t="s">
        <v>17702</v>
      </c>
      <c r="F197" t="s">
        <v>30052</v>
      </c>
      <c r="G197" t="s">
        <v>30059</v>
      </c>
      <c r="H197" t="s">
        <v>15498</v>
      </c>
      <c r="I197" t="s">
        <v>30077</v>
      </c>
      <c r="J197" t="s">
        <v>30370</v>
      </c>
      <c r="K197" t="s">
        <v>39025</v>
      </c>
      <c r="M197" t="s">
        <v>39412</v>
      </c>
      <c r="N197" t="s">
        <v>43166</v>
      </c>
      <c r="O197" t="s">
        <v>43167</v>
      </c>
      <c r="P197">
        <v>0</v>
      </c>
      <c r="Q197">
        <v>10</v>
      </c>
      <c r="R197" t="s">
        <v>43168</v>
      </c>
      <c r="S197" t="s">
        <v>43286</v>
      </c>
      <c r="T197" t="s">
        <v>44698</v>
      </c>
      <c r="U197" t="s">
        <v>45402</v>
      </c>
      <c r="W197" t="s">
        <v>39412</v>
      </c>
      <c r="X197" t="s">
        <v>43171</v>
      </c>
    </row>
    <row r="198" spans="1:24">
      <c r="A198">
        <f>HYPERLINK("https://www.philgeps.gov.ph/GEPSNONPILOT/Tender/SplashBidNoticeAbstractUI.aspx?menuIndex=3&amp;refID=7085005&amp;Result=3","7085005")</f>
        <v>0</v>
      </c>
      <c r="B198" t="s">
        <v>78</v>
      </c>
      <c r="C198" t="s">
        <v>3646</v>
      </c>
      <c r="E198" t="s">
        <v>17703</v>
      </c>
      <c r="F198" t="s">
        <v>30052</v>
      </c>
      <c r="G198" t="s">
        <v>30059</v>
      </c>
      <c r="H198" t="s">
        <v>15498</v>
      </c>
      <c r="I198" t="s">
        <v>30105</v>
      </c>
      <c r="J198" t="s">
        <v>30371</v>
      </c>
      <c r="K198" t="s">
        <v>39019</v>
      </c>
      <c r="M198" t="s">
        <v>39367</v>
      </c>
      <c r="N198" t="s">
        <v>43166</v>
      </c>
      <c r="O198" t="s">
        <v>43167</v>
      </c>
      <c r="P198">
        <v>0</v>
      </c>
      <c r="Q198">
        <v>3</v>
      </c>
      <c r="R198" t="s">
        <v>43168</v>
      </c>
      <c r="S198" t="s">
        <v>43286</v>
      </c>
      <c r="T198" t="s">
        <v>44681</v>
      </c>
      <c r="U198" t="s">
        <v>45403</v>
      </c>
      <c r="V198" t="s">
        <v>56846</v>
      </c>
      <c r="W198" t="s">
        <v>39367</v>
      </c>
      <c r="X198" t="s">
        <v>43171</v>
      </c>
    </row>
    <row r="199" spans="1:24">
      <c r="A199">
        <f>HYPERLINK("https://www.philgeps.gov.ph/GEPSNONPILOT/Tender/SplashBidNoticeAbstractUI.aspx?menuIndex=3&amp;refID=7084931&amp;Result=3","7084931")</f>
        <v>0</v>
      </c>
      <c r="B199" t="s">
        <v>129</v>
      </c>
      <c r="C199" t="s">
        <v>3647</v>
      </c>
      <c r="D199" t="s">
        <v>17464</v>
      </c>
      <c r="E199" t="s">
        <v>17704</v>
      </c>
      <c r="F199" t="s">
        <v>30052</v>
      </c>
      <c r="G199" t="s">
        <v>30058</v>
      </c>
      <c r="H199" t="s">
        <v>30067</v>
      </c>
      <c r="I199" t="s">
        <v>3693</v>
      </c>
      <c r="J199" t="s">
        <v>30372</v>
      </c>
      <c r="K199" t="s">
        <v>39025</v>
      </c>
      <c r="M199" t="s">
        <v>39418</v>
      </c>
      <c r="N199" t="s">
        <v>43166</v>
      </c>
      <c r="O199" t="s">
        <v>43167</v>
      </c>
      <c r="P199">
        <v>0</v>
      </c>
      <c r="Q199">
        <v>0</v>
      </c>
      <c r="R199" t="s">
        <v>43168</v>
      </c>
      <c r="S199" t="s">
        <v>43286</v>
      </c>
      <c r="T199" t="s">
        <v>44681</v>
      </c>
      <c r="U199" t="s">
        <v>45404</v>
      </c>
      <c r="W199" t="s">
        <v>39418</v>
      </c>
      <c r="X199" t="s">
        <v>43171</v>
      </c>
    </row>
    <row r="200" spans="1:24">
      <c r="A200">
        <f>HYPERLINK("https://www.philgeps.gov.ph/GEPSNONPILOT/Tender/SplashBidNoticeAbstractUI.aspx?menuIndex=3&amp;refID=7084923&amp;Result=3","7084923")</f>
        <v>0</v>
      </c>
      <c r="B200" t="s">
        <v>143</v>
      </c>
      <c r="C200" t="s">
        <v>3648</v>
      </c>
      <c r="D200" t="s">
        <v>17415</v>
      </c>
      <c r="E200" t="s">
        <v>17705</v>
      </c>
      <c r="F200" t="s">
        <v>30052</v>
      </c>
      <c r="G200" t="s">
        <v>30059</v>
      </c>
      <c r="H200" t="s">
        <v>30069</v>
      </c>
      <c r="I200" t="s">
        <v>30094</v>
      </c>
      <c r="J200" t="s">
        <v>30327</v>
      </c>
      <c r="K200" t="s">
        <v>39034</v>
      </c>
      <c r="M200" t="s">
        <v>39432</v>
      </c>
      <c r="N200" t="s">
        <v>43166</v>
      </c>
      <c r="O200" t="s">
        <v>43167</v>
      </c>
      <c r="P200">
        <v>0</v>
      </c>
      <c r="Q200">
        <v>1</v>
      </c>
      <c r="R200" t="s">
        <v>43168</v>
      </c>
      <c r="S200" t="s">
        <v>43286</v>
      </c>
      <c r="T200" t="s">
        <v>44738</v>
      </c>
      <c r="U200" t="s">
        <v>45405</v>
      </c>
      <c r="W200" t="s">
        <v>39432</v>
      </c>
      <c r="X200" t="s">
        <v>43171</v>
      </c>
    </row>
    <row r="201" spans="1:24">
      <c r="A201">
        <f>HYPERLINK("https://www.philgeps.gov.ph/GEPSNONPILOT/Tender/SplashBidNoticeAbstractUI.aspx?menuIndex=3&amp;refID=7084837&amp;Result=3","7084837")</f>
        <v>0</v>
      </c>
      <c r="B201" t="s">
        <v>144</v>
      </c>
      <c r="C201" t="s">
        <v>3649</v>
      </c>
      <c r="D201" t="s">
        <v>17449</v>
      </c>
      <c r="E201" t="s">
        <v>17706</v>
      </c>
      <c r="F201" t="s">
        <v>30052</v>
      </c>
      <c r="G201" t="s">
        <v>30058</v>
      </c>
      <c r="H201" t="s">
        <v>30067</v>
      </c>
      <c r="I201" t="s">
        <v>30106</v>
      </c>
      <c r="J201" t="s">
        <v>30218</v>
      </c>
      <c r="K201" t="s">
        <v>39025</v>
      </c>
      <c r="M201" t="s">
        <v>39433</v>
      </c>
      <c r="N201" t="s">
        <v>43166</v>
      </c>
      <c r="O201" t="s">
        <v>43167</v>
      </c>
      <c r="P201">
        <v>0</v>
      </c>
      <c r="Q201">
        <v>1</v>
      </c>
      <c r="R201" t="s">
        <v>43168</v>
      </c>
      <c r="S201" t="s">
        <v>43286</v>
      </c>
      <c r="T201" t="s">
        <v>44739</v>
      </c>
      <c r="U201" t="s">
        <v>45406</v>
      </c>
      <c r="W201" t="s">
        <v>39433</v>
      </c>
      <c r="X201" t="s">
        <v>43171</v>
      </c>
    </row>
    <row r="202" spans="1:24">
      <c r="A202">
        <f>HYPERLINK("https://www.philgeps.gov.ph/GEPSNONPILOT/Tender/SplashBidNoticeAbstractUI.aspx?menuIndex=3&amp;refID=7084995&amp;Result=3","7084995")</f>
        <v>0</v>
      </c>
      <c r="B202" t="s">
        <v>130</v>
      </c>
      <c r="C202" t="s">
        <v>3650</v>
      </c>
      <c r="D202" t="s">
        <v>17448</v>
      </c>
      <c r="E202" t="s">
        <v>17707</v>
      </c>
      <c r="F202" t="s">
        <v>30052</v>
      </c>
      <c r="G202" t="s">
        <v>30059</v>
      </c>
      <c r="H202" t="s">
        <v>15498</v>
      </c>
      <c r="I202" t="s">
        <v>4119</v>
      </c>
      <c r="J202" t="s">
        <v>30292</v>
      </c>
      <c r="K202" t="s">
        <v>39019</v>
      </c>
      <c r="M202" t="s">
        <v>39419</v>
      </c>
      <c r="N202" t="s">
        <v>43166</v>
      </c>
      <c r="O202" t="s">
        <v>43167</v>
      </c>
      <c r="P202">
        <v>0</v>
      </c>
      <c r="Q202">
        <v>5</v>
      </c>
      <c r="R202" t="s">
        <v>43168</v>
      </c>
      <c r="S202" t="s">
        <v>43286</v>
      </c>
      <c r="T202" t="s">
        <v>44732</v>
      </c>
      <c r="U202" t="s">
        <v>45407</v>
      </c>
      <c r="V202" t="s">
        <v>56847</v>
      </c>
      <c r="W202" t="s">
        <v>39419</v>
      </c>
      <c r="X202" t="s">
        <v>43171</v>
      </c>
    </row>
    <row r="203" spans="1:24">
      <c r="A203">
        <f>HYPERLINK("https://www.philgeps.gov.ph/GEPSNONPILOT/Tender/SplashBidNoticeAbstractUI.aspx?menuIndex=3&amp;refID=7084984&amp;Result=3","7084984")</f>
        <v>0</v>
      </c>
      <c r="B203" t="s">
        <v>129</v>
      </c>
      <c r="C203" t="s">
        <v>3651</v>
      </c>
      <c r="D203" t="s">
        <v>17464</v>
      </c>
      <c r="E203" t="s">
        <v>17708</v>
      </c>
      <c r="F203" t="s">
        <v>30052</v>
      </c>
      <c r="G203" t="s">
        <v>30058</v>
      </c>
      <c r="H203" t="s">
        <v>30067</v>
      </c>
      <c r="I203" t="s">
        <v>3693</v>
      </c>
      <c r="J203" t="s">
        <v>30343</v>
      </c>
      <c r="K203" t="s">
        <v>39025</v>
      </c>
      <c r="M203" t="s">
        <v>39418</v>
      </c>
      <c r="N203" t="s">
        <v>43166</v>
      </c>
      <c r="O203" t="s">
        <v>43167</v>
      </c>
      <c r="P203">
        <v>0</v>
      </c>
      <c r="Q203">
        <v>0</v>
      </c>
      <c r="R203" t="s">
        <v>43168</v>
      </c>
      <c r="S203" t="s">
        <v>43286</v>
      </c>
      <c r="T203" t="s">
        <v>44681</v>
      </c>
      <c r="U203" t="s">
        <v>45408</v>
      </c>
      <c r="W203" t="s">
        <v>39418</v>
      </c>
      <c r="X203" t="s">
        <v>43171</v>
      </c>
    </row>
    <row r="204" spans="1:24">
      <c r="A204">
        <f>HYPERLINK("https://www.philgeps.gov.ph/GEPSNONPILOT/Tender/SplashBidNoticeAbstractUI.aspx?menuIndex=3&amp;refID=7084901&amp;Result=3","7084901")</f>
        <v>0</v>
      </c>
      <c r="B204" t="s">
        <v>145</v>
      </c>
      <c r="C204" t="s">
        <v>3652</v>
      </c>
      <c r="E204" t="s">
        <v>17709</v>
      </c>
      <c r="F204" t="s">
        <v>30052</v>
      </c>
      <c r="G204" t="s">
        <v>30058</v>
      </c>
      <c r="H204" t="s">
        <v>15498</v>
      </c>
      <c r="I204" t="s">
        <v>30107</v>
      </c>
      <c r="J204" t="s">
        <v>30373</v>
      </c>
      <c r="K204" t="s">
        <v>39052</v>
      </c>
      <c r="M204" t="s">
        <v>39434</v>
      </c>
      <c r="N204" t="s">
        <v>43166</v>
      </c>
      <c r="O204" t="s">
        <v>43167</v>
      </c>
      <c r="P204">
        <v>0</v>
      </c>
      <c r="Q204">
        <v>0</v>
      </c>
      <c r="R204" t="s">
        <v>43168</v>
      </c>
      <c r="S204" t="s">
        <v>43286</v>
      </c>
      <c r="T204" t="s">
        <v>44740</v>
      </c>
      <c r="U204" t="s">
        <v>45409</v>
      </c>
      <c r="W204" t="s">
        <v>40626</v>
      </c>
      <c r="X204" t="s">
        <v>43171</v>
      </c>
    </row>
    <row r="205" spans="1:24">
      <c r="A205">
        <f>HYPERLINK("https://www.philgeps.gov.ph/GEPSNONPILOT/Tender/SplashBidNoticeAbstractUI.aspx?menuIndex=3&amp;refID=7084937&amp;Result=3","7084937")</f>
        <v>0</v>
      </c>
      <c r="B205" t="s">
        <v>146</v>
      </c>
      <c r="C205" t="s">
        <v>3653</v>
      </c>
      <c r="D205" t="s">
        <v>17432</v>
      </c>
      <c r="E205" t="s">
        <v>17710</v>
      </c>
      <c r="F205" t="s">
        <v>30052</v>
      </c>
      <c r="G205" t="s">
        <v>30059</v>
      </c>
      <c r="H205" t="s">
        <v>15498</v>
      </c>
      <c r="I205" t="s">
        <v>30081</v>
      </c>
      <c r="J205" t="s">
        <v>30374</v>
      </c>
      <c r="K205" t="s">
        <v>39034</v>
      </c>
      <c r="M205" t="s">
        <v>39435</v>
      </c>
      <c r="N205" t="s">
        <v>43166</v>
      </c>
      <c r="O205" t="s">
        <v>43167</v>
      </c>
      <c r="P205">
        <v>0</v>
      </c>
      <c r="Q205">
        <v>0</v>
      </c>
      <c r="R205" t="s">
        <v>43168</v>
      </c>
      <c r="S205" t="s">
        <v>43286</v>
      </c>
      <c r="T205" t="s">
        <v>44721</v>
      </c>
      <c r="U205" t="s">
        <v>45410</v>
      </c>
      <c r="W205" t="s">
        <v>39435</v>
      </c>
      <c r="X205" t="s">
        <v>43171</v>
      </c>
    </row>
    <row r="206" spans="1:24">
      <c r="A206">
        <f>HYPERLINK("https://www.philgeps.gov.ph/GEPSNONPILOT/Tender/SplashBidNoticeAbstractUI.aspx?menuIndex=3&amp;refID=7084738&amp;Result=3","7084738")</f>
        <v>0</v>
      </c>
      <c r="B206" t="s">
        <v>147</v>
      </c>
      <c r="C206" t="s">
        <v>3654</v>
      </c>
      <c r="D206" t="s">
        <v>17421</v>
      </c>
      <c r="E206" t="s">
        <v>17711</v>
      </c>
      <c r="F206" t="s">
        <v>30052</v>
      </c>
      <c r="G206" t="s">
        <v>30058</v>
      </c>
      <c r="H206" t="s">
        <v>15498</v>
      </c>
      <c r="I206" t="s">
        <v>30070</v>
      </c>
      <c r="J206" t="s">
        <v>30375</v>
      </c>
      <c r="K206" t="s">
        <v>39019</v>
      </c>
      <c r="M206" t="s">
        <v>39436</v>
      </c>
      <c r="N206" t="s">
        <v>43166</v>
      </c>
      <c r="O206" t="s">
        <v>43167</v>
      </c>
      <c r="P206">
        <v>0</v>
      </c>
      <c r="Q206">
        <v>0</v>
      </c>
      <c r="R206" t="s">
        <v>43168</v>
      </c>
      <c r="S206" t="s">
        <v>43286</v>
      </c>
      <c r="T206" t="s">
        <v>44741</v>
      </c>
      <c r="U206" t="s">
        <v>45411</v>
      </c>
      <c r="V206" t="s">
        <v>56848</v>
      </c>
      <c r="W206" t="s">
        <v>39436</v>
      </c>
      <c r="X206" t="s">
        <v>43171</v>
      </c>
    </row>
    <row r="207" spans="1:24">
      <c r="A207">
        <f>HYPERLINK("https://www.philgeps.gov.ph/GEPSNONPILOT/Tender/SplashBidNoticeAbstractUI.aspx?menuIndex=3&amp;refID=7084815&amp;Result=3","7084815")</f>
        <v>0</v>
      </c>
      <c r="B207" t="s">
        <v>105</v>
      </c>
      <c r="C207" t="s">
        <v>3655</v>
      </c>
      <c r="E207" t="s">
        <v>17712</v>
      </c>
      <c r="F207" t="s">
        <v>30052</v>
      </c>
      <c r="G207" t="s">
        <v>30058</v>
      </c>
      <c r="H207" t="s">
        <v>15498</v>
      </c>
      <c r="I207" t="s">
        <v>30076</v>
      </c>
      <c r="J207" t="s">
        <v>30376</v>
      </c>
      <c r="K207" t="s">
        <v>39025</v>
      </c>
      <c r="M207" t="s">
        <v>39394</v>
      </c>
      <c r="N207" t="s">
        <v>43166</v>
      </c>
      <c r="O207" t="s">
        <v>43167</v>
      </c>
      <c r="P207">
        <v>0</v>
      </c>
      <c r="Q207">
        <v>15</v>
      </c>
      <c r="R207" t="s">
        <v>43168</v>
      </c>
      <c r="S207" t="s">
        <v>43286</v>
      </c>
      <c r="T207" t="s">
        <v>44712</v>
      </c>
      <c r="U207" t="s">
        <v>45412</v>
      </c>
      <c r="W207" t="s">
        <v>39394</v>
      </c>
      <c r="X207" t="s">
        <v>43171</v>
      </c>
    </row>
    <row r="208" spans="1:24">
      <c r="A208">
        <f>HYPERLINK("https://www.philgeps.gov.ph/GEPSNONPILOT/Tender/SplashBidNoticeAbstractUI.aspx?menuIndex=3&amp;refID=7084736&amp;Result=3","7084736")</f>
        <v>0</v>
      </c>
      <c r="B208" t="s">
        <v>148</v>
      </c>
      <c r="C208" t="s">
        <v>3656</v>
      </c>
      <c r="D208" t="s">
        <v>17437</v>
      </c>
      <c r="E208" t="s">
        <v>17713</v>
      </c>
      <c r="F208" t="s">
        <v>30052</v>
      </c>
      <c r="G208" t="s">
        <v>30061</v>
      </c>
      <c r="H208" t="s">
        <v>15498</v>
      </c>
      <c r="I208" t="s">
        <v>30097</v>
      </c>
      <c r="J208" t="s">
        <v>30377</v>
      </c>
      <c r="K208" t="s">
        <v>39039</v>
      </c>
      <c r="M208" t="s">
        <v>39437</v>
      </c>
      <c r="N208" t="s">
        <v>43166</v>
      </c>
      <c r="O208" t="s">
        <v>43167</v>
      </c>
      <c r="P208">
        <v>0</v>
      </c>
      <c r="Q208">
        <v>1</v>
      </c>
      <c r="R208" t="s">
        <v>43168</v>
      </c>
      <c r="S208" t="s">
        <v>43286</v>
      </c>
      <c r="T208" t="s">
        <v>44737</v>
      </c>
      <c r="U208" t="s">
        <v>45413</v>
      </c>
      <c r="W208" t="s">
        <v>39437</v>
      </c>
      <c r="X208" t="s">
        <v>43171</v>
      </c>
    </row>
    <row r="209" spans="1:24">
      <c r="A209">
        <f>HYPERLINK("https://www.philgeps.gov.ph/GEPSNONPILOT/Tender/SplashBidNoticeAbstractUI.aspx?menuIndex=3&amp;refID=7084924&amp;Result=3","7084924")</f>
        <v>0</v>
      </c>
      <c r="B209" t="s">
        <v>78</v>
      </c>
      <c r="C209" t="s">
        <v>3657</v>
      </c>
      <c r="E209" t="s">
        <v>17714</v>
      </c>
      <c r="F209" t="s">
        <v>30052</v>
      </c>
      <c r="G209" t="s">
        <v>30059</v>
      </c>
      <c r="H209" t="s">
        <v>15498</v>
      </c>
      <c r="I209" t="s">
        <v>8323</v>
      </c>
      <c r="J209" t="s">
        <v>30207</v>
      </c>
      <c r="K209" t="s">
        <v>39029</v>
      </c>
      <c r="M209" t="s">
        <v>39367</v>
      </c>
      <c r="N209" t="s">
        <v>43166</v>
      </c>
      <c r="O209" t="s">
        <v>43167</v>
      </c>
      <c r="P209">
        <v>0</v>
      </c>
      <c r="Q209">
        <v>15</v>
      </c>
      <c r="R209" t="s">
        <v>43168</v>
      </c>
      <c r="S209" t="s">
        <v>43286</v>
      </c>
      <c r="T209" t="s">
        <v>44681</v>
      </c>
      <c r="U209" t="s">
        <v>45414</v>
      </c>
      <c r="V209" t="s">
        <v>56849</v>
      </c>
      <c r="W209" t="s">
        <v>39367</v>
      </c>
      <c r="X209" t="s">
        <v>43171</v>
      </c>
    </row>
    <row r="210" spans="1:24">
      <c r="A210">
        <f>HYPERLINK("https://www.philgeps.gov.ph/GEPSNONPILOT/Tender/SplashBidNoticeAbstractUI.aspx?menuIndex=3&amp;refID=7084731&amp;Result=3","7084731")</f>
        <v>0</v>
      </c>
      <c r="B210" t="s">
        <v>100</v>
      </c>
      <c r="C210" t="s">
        <v>3586</v>
      </c>
      <c r="D210" t="s">
        <v>17431</v>
      </c>
      <c r="E210" t="s">
        <v>17540</v>
      </c>
      <c r="F210" t="s">
        <v>30052</v>
      </c>
      <c r="G210" t="s">
        <v>30058</v>
      </c>
      <c r="H210" t="s">
        <v>30067</v>
      </c>
      <c r="I210" t="s">
        <v>3693</v>
      </c>
      <c r="J210" t="s">
        <v>30230</v>
      </c>
      <c r="K210" t="s">
        <v>39019</v>
      </c>
      <c r="M210" t="s">
        <v>39389</v>
      </c>
      <c r="N210" t="s">
        <v>43166</v>
      </c>
      <c r="O210" t="s">
        <v>43167</v>
      </c>
      <c r="P210">
        <v>0</v>
      </c>
      <c r="Q210">
        <v>0</v>
      </c>
      <c r="R210" t="s">
        <v>43168</v>
      </c>
      <c r="S210" t="s">
        <v>43286</v>
      </c>
      <c r="T210" t="s">
        <v>44724</v>
      </c>
      <c r="U210" t="s">
        <v>45341</v>
      </c>
      <c r="W210" t="s">
        <v>39389</v>
      </c>
      <c r="X210" t="s">
        <v>43171</v>
      </c>
    </row>
    <row r="211" spans="1:24">
      <c r="A211">
        <f>HYPERLINK("https://www.philgeps.gov.ph/GEPSNONPILOT/Tender/SplashBidNoticeAbstractUI.aspx?menuIndex=3&amp;refID=7084726&amp;Result=3","7084726")</f>
        <v>0</v>
      </c>
      <c r="B211" t="s">
        <v>115</v>
      </c>
      <c r="C211" t="s">
        <v>3658</v>
      </c>
      <c r="D211" t="s">
        <v>17446</v>
      </c>
      <c r="E211" t="s">
        <v>17715</v>
      </c>
      <c r="F211" t="s">
        <v>30052</v>
      </c>
      <c r="G211" t="s">
        <v>30059</v>
      </c>
      <c r="H211" t="s">
        <v>30067</v>
      </c>
      <c r="I211" t="s">
        <v>3693</v>
      </c>
      <c r="J211" t="s">
        <v>30378</v>
      </c>
      <c r="K211" t="s">
        <v>39053</v>
      </c>
      <c r="M211" t="s">
        <v>39404</v>
      </c>
      <c r="N211" t="s">
        <v>43166</v>
      </c>
      <c r="O211" t="s">
        <v>43167</v>
      </c>
      <c r="P211">
        <v>0</v>
      </c>
      <c r="Q211">
        <v>0</v>
      </c>
      <c r="R211" t="s">
        <v>43168</v>
      </c>
      <c r="S211" t="s">
        <v>43286</v>
      </c>
      <c r="T211" t="s">
        <v>44730</v>
      </c>
      <c r="U211" t="s">
        <v>45415</v>
      </c>
      <c r="W211" t="s">
        <v>39404</v>
      </c>
      <c r="X211" t="s">
        <v>43171</v>
      </c>
    </row>
    <row r="212" spans="1:24">
      <c r="A212">
        <f>HYPERLINK("https://www.philgeps.gov.ph/GEPSNONPILOT/Tender/SplashBidNoticeAbstractUI.aspx?menuIndex=3&amp;refID=7084827&amp;Result=3","7084827")</f>
        <v>0</v>
      </c>
      <c r="B212" t="s">
        <v>149</v>
      </c>
      <c r="C212" t="s">
        <v>3659</v>
      </c>
      <c r="D212" t="s">
        <v>17449</v>
      </c>
      <c r="E212" t="s">
        <v>17716</v>
      </c>
      <c r="F212" t="s">
        <v>30052</v>
      </c>
      <c r="G212" t="s">
        <v>30059</v>
      </c>
      <c r="H212" t="s">
        <v>15498</v>
      </c>
      <c r="I212" t="s">
        <v>3736</v>
      </c>
      <c r="J212" t="s">
        <v>30379</v>
      </c>
      <c r="K212" t="s">
        <v>39040</v>
      </c>
      <c r="M212" t="s">
        <v>39438</v>
      </c>
      <c r="N212" t="s">
        <v>43166</v>
      </c>
      <c r="O212" t="s">
        <v>43167</v>
      </c>
      <c r="P212">
        <v>0</v>
      </c>
      <c r="Q212">
        <v>0</v>
      </c>
      <c r="R212" t="s">
        <v>43168</v>
      </c>
      <c r="S212" t="s">
        <v>43286</v>
      </c>
      <c r="T212" t="s">
        <v>44718</v>
      </c>
      <c r="U212" t="s">
        <v>45416</v>
      </c>
      <c r="W212" t="s">
        <v>39438</v>
      </c>
      <c r="X212" t="s">
        <v>43171</v>
      </c>
    </row>
    <row r="213" spans="1:24">
      <c r="A213">
        <f>HYPERLINK("https://www.philgeps.gov.ph/GEPSNONPILOT/Tender/SplashBidNoticeAbstractUI.aspx?menuIndex=3&amp;refID=7084665&amp;Result=3","7084665")</f>
        <v>0</v>
      </c>
      <c r="B213" t="s">
        <v>98</v>
      </c>
      <c r="C213" t="s">
        <v>3660</v>
      </c>
      <c r="D213" t="s">
        <v>17456</v>
      </c>
      <c r="E213" t="s">
        <v>17717</v>
      </c>
      <c r="F213" t="s">
        <v>30052</v>
      </c>
      <c r="G213" t="s">
        <v>30059</v>
      </c>
      <c r="H213" t="s">
        <v>15498</v>
      </c>
      <c r="I213" t="s">
        <v>30094</v>
      </c>
      <c r="J213" t="s">
        <v>30380</v>
      </c>
      <c r="K213" t="s">
        <v>39025</v>
      </c>
      <c r="L213" t="s">
        <v>98</v>
      </c>
      <c r="M213" t="s">
        <v>39387</v>
      </c>
      <c r="N213" t="s">
        <v>43166</v>
      </c>
      <c r="O213" t="s">
        <v>43167</v>
      </c>
      <c r="P213">
        <v>0</v>
      </c>
      <c r="Q213">
        <v>0</v>
      </c>
      <c r="R213" t="s">
        <v>43168</v>
      </c>
      <c r="S213" t="s">
        <v>43286</v>
      </c>
      <c r="T213" t="s">
        <v>44698</v>
      </c>
      <c r="U213" t="s">
        <v>45417</v>
      </c>
      <c r="W213" t="s">
        <v>39387</v>
      </c>
      <c r="X213" t="s">
        <v>43171</v>
      </c>
    </row>
    <row r="214" spans="1:24">
      <c r="A214">
        <f>HYPERLINK("https://www.philgeps.gov.ph/GEPSNONPILOT/Tender/SplashBidNoticeAbstractUI.aspx?menuIndex=3&amp;refID=7084654&amp;Result=3","7084654")</f>
        <v>0</v>
      </c>
      <c r="B214" t="s">
        <v>98</v>
      </c>
      <c r="C214" t="s">
        <v>3661</v>
      </c>
      <c r="D214" t="s">
        <v>17456</v>
      </c>
      <c r="E214" t="s">
        <v>17718</v>
      </c>
      <c r="F214" t="s">
        <v>30052</v>
      </c>
      <c r="G214" t="s">
        <v>30059</v>
      </c>
      <c r="H214" t="s">
        <v>15498</v>
      </c>
      <c r="I214" t="s">
        <v>30108</v>
      </c>
      <c r="J214" t="s">
        <v>30337</v>
      </c>
      <c r="K214" t="s">
        <v>39025</v>
      </c>
      <c r="L214" t="s">
        <v>98</v>
      </c>
      <c r="M214" t="s">
        <v>39387</v>
      </c>
      <c r="N214" t="s">
        <v>43166</v>
      </c>
      <c r="O214" t="s">
        <v>43167</v>
      </c>
      <c r="P214">
        <v>0</v>
      </c>
      <c r="Q214">
        <v>2</v>
      </c>
      <c r="R214" t="s">
        <v>43168</v>
      </c>
      <c r="S214" t="s">
        <v>43286</v>
      </c>
      <c r="T214" t="s">
        <v>44698</v>
      </c>
      <c r="U214" t="s">
        <v>45418</v>
      </c>
      <c r="W214" t="s">
        <v>39387</v>
      </c>
      <c r="X214" t="s">
        <v>43171</v>
      </c>
    </row>
    <row r="215" spans="1:24">
      <c r="A215">
        <f>HYPERLINK("https://www.philgeps.gov.ph/GEPSNONPILOT/Tender/SplashBidNoticeAbstractUI.aspx?menuIndex=3&amp;refID=7084647&amp;Result=3","7084647")</f>
        <v>0</v>
      </c>
      <c r="B215" t="s">
        <v>150</v>
      </c>
      <c r="C215" t="s">
        <v>3662</v>
      </c>
      <c r="E215" t="s">
        <v>17719</v>
      </c>
      <c r="F215" t="s">
        <v>30052</v>
      </c>
      <c r="G215" t="s">
        <v>30061</v>
      </c>
      <c r="H215" t="s">
        <v>15498</v>
      </c>
      <c r="I215" t="s">
        <v>5961</v>
      </c>
      <c r="J215" t="s">
        <v>30381</v>
      </c>
      <c r="K215" t="s">
        <v>39025</v>
      </c>
      <c r="M215" t="s">
        <v>39439</v>
      </c>
      <c r="N215" t="s">
        <v>43166</v>
      </c>
      <c r="O215" t="s">
        <v>43167</v>
      </c>
      <c r="P215">
        <v>0</v>
      </c>
      <c r="Q215">
        <v>2</v>
      </c>
      <c r="R215" t="s">
        <v>43168</v>
      </c>
      <c r="S215" t="s">
        <v>43286</v>
      </c>
      <c r="T215" t="s">
        <v>44742</v>
      </c>
      <c r="U215" t="s">
        <v>45419</v>
      </c>
      <c r="W215" t="s">
        <v>39439</v>
      </c>
      <c r="X215" t="s">
        <v>43171</v>
      </c>
    </row>
    <row r="216" spans="1:24">
      <c r="A216">
        <f>HYPERLINK("https://www.philgeps.gov.ph/GEPSNONPILOT/Tender/SplashBidNoticeAbstractUI.aspx?menuIndex=3&amp;refID=7084734&amp;Result=3","7084734")</f>
        <v>0</v>
      </c>
      <c r="B216" t="s">
        <v>124</v>
      </c>
      <c r="C216" t="s">
        <v>3663</v>
      </c>
      <c r="D216" t="s">
        <v>17451</v>
      </c>
      <c r="E216" t="s">
        <v>17720</v>
      </c>
      <c r="F216" t="s">
        <v>30052</v>
      </c>
      <c r="G216" t="s">
        <v>30061</v>
      </c>
      <c r="H216" t="s">
        <v>15498</v>
      </c>
      <c r="I216" t="s">
        <v>4650</v>
      </c>
      <c r="J216" t="s">
        <v>30256</v>
      </c>
      <c r="K216" t="s">
        <v>39019</v>
      </c>
      <c r="M216" t="s">
        <v>39413</v>
      </c>
      <c r="N216" t="s">
        <v>43166</v>
      </c>
      <c r="O216" t="s">
        <v>43167</v>
      </c>
      <c r="P216">
        <v>0</v>
      </c>
      <c r="Q216">
        <v>1</v>
      </c>
      <c r="R216" t="s">
        <v>43168</v>
      </c>
      <c r="S216" t="s">
        <v>43286</v>
      </c>
      <c r="T216" t="s">
        <v>44731</v>
      </c>
      <c r="U216" t="s">
        <v>45368</v>
      </c>
      <c r="W216" t="s">
        <v>58591</v>
      </c>
      <c r="X216" t="s">
        <v>43171</v>
      </c>
    </row>
    <row r="217" spans="1:24">
      <c r="A217">
        <f>HYPERLINK("https://www.philgeps.gov.ph/GEPSNONPILOT/Tender/SplashBidNoticeAbstractUI.aspx?menuIndex=3&amp;refID=7084645&amp;Result=3","7084645")</f>
        <v>0</v>
      </c>
      <c r="B217" t="s">
        <v>98</v>
      </c>
      <c r="C217" t="s">
        <v>3664</v>
      </c>
      <c r="D217" t="s">
        <v>17456</v>
      </c>
      <c r="E217" t="s">
        <v>17721</v>
      </c>
      <c r="F217" t="s">
        <v>30052</v>
      </c>
      <c r="G217" t="s">
        <v>30059</v>
      </c>
      <c r="H217" t="s">
        <v>15498</v>
      </c>
      <c r="I217" t="s">
        <v>30094</v>
      </c>
      <c r="J217" t="s">
        <v>30382</v>
      </c>
      <c r="K217" t="s">
        <v>39025</v>
      </c>
      <c r="L217" t="s">
        <v>98</v>
      </c>
      <c r="M217" t="s">
        <v>39387</v>
      </c>
      <c r="N217" t="s">
        <v>43166</v>
      </c>
      <c r="O217" t="s">
        <v>43167</v>
      </c>
      <c r="P217">
        <v>0</v>
      </c>
      <c r="Q217">
        <v>0</v>
      </c>
      <c r="R217" t="s">
        <v>43168</v>
      </c>
      <c r="S217" t="s">
        <v>43286</v>
      </c>
      <c r="T217" t="s">
        <v>44698</v>
      </c>
      <c r="U217" t="s">
        <v>45420</v>
      </c>
      <c r="W217" t="s">
        <v>39387</v>
      </c>
      <c r="X217" t="s">
        <v>43171</v>
      </c>
    </row>
    <row r="218" spans="1:24">
      <c r="A218">
        <f>HYPERLINK("https://www.philgeps.gov.ph/GEPSNONPILOT/Tender/SplashBidNoticeAbstractUI.aspx?menuIndex=3&amp;refID=7084642&amp;Result=3","7084642")</f>
        <v>0</v>
      </c>
      <c r="B218" t="s">
        <v>92</v>
      </c>
      <c r="C218" t="s">
        <v>3665</v>
      </c>
      <c r="D218" t="s">
        <v>17423</v>
      </c>
      <c r="E218" t="s">
        <v>17722</v>
      </c>
      <c r="F218" t="s">
        <v>30052</v>
      </c>
      <c r="G218" t="s">
        <v>30058</v>
      </c>
      <c r="H218" t="s">
        <v>15498</v>
      </c>
      <c r="I218" t="s">
        <v>30087</v>
      </c>
      <c r="J218" t="s">
        <v>30383</v>
      </c>
      <c r="K218" t="s">
        <v>39019</v>
      </c>
      <c r="M218" t="s">
        <v>39381</v>
      </c>
      <c r="N218" t="s">
        <v>43166</v>
      </c>
      <c r="O218" t="s">
        <v>43167</v>
      </c>
      <c r="P218">
        <v>0</v>
      </c>
      <c r="Q218">
        <v>0</v>
      </c>
      <c r="R218" t="s">
        <v>43168</v>
      </c>
      <c r="S218" t="s">
        <v>43286</v>
      </c>
      <c r="T218" t="s">
        <v>44722</v>
      </c>
      <c r="U218" t="s">
        <v>45421</v>
      </c>
      <c r="W218" t="s">
        <v>39381</v>
      </c>
      <c r="X218" t="s">
        <v>43171</v>
      </c>
    </row>
    <row r="219" spans="1:24">
      <c r="A219">
        <f>HYPERLINK("https://www.philgeps.gov.ph/GEPSNONPILOT/Tender/SplashBidNoticeAbstractUI.aspx?menuIndex=3&amp;refID=7084120&amp;Result=3","7084120")</f>
        <v>0</v>
      </c>
      <c r="B219" t="s">
        <v>151</v>
      </c>
      <c r="C219" t="s">
        <v>3666</v>
      </c>
      <c r="D219" t="s">
        <v>17427</v>
      </c>
      <c r="E219" t="s">
        <v>17723</v>
      </c>
      <c r="F219" t="s">
        <v>30052</v>
      </c>
      <c r="G219" t="s">
        <v>30059</v>
      </c>
      <c r="H219" t="s">
        <v>15498</v>
      </c>
      <c r="I219" t="s">
        <v>30084</v>
      </c>
      <c r="J219" t="s">
        <v>30384</v>
      </c>
      <c r="K219" t="s">
        <v>39017</v>
      </c>
      <c r="M219" t="s">
        <v>39440</v>
      </c>
      <c r="N219" t="s">
        <v>43166</v>
      </c>
      <c r="O219" t="s">
        <v>43167</v>
      </c>
      <c r="P219">
        <v>0</v>
      </c>
      <c r="Q219">
        <v>1</v>
      </c>
      <c r="R219" t="s">
        <v>43168</v>
      </c>
      <c r="S219" t="s">
        <v>43286</v>
      </c>
      <c r="T219" t="s">
        <v>44698</v>
      </c>
      <c r="U219" t="s">
        <v>45422</v>
      </c>
      <c r="W219" t="s">
        <v>39440</v>
      </c>
      <c r="X219" t="s">
        <v>43172</v>
      </c>
    </row>
    <row r="220" spans="1:24">
      <c r="A220">
        <f>HYPERLINK("https://www.philgeps.gov.ph/GEPSNONPILOT/Tender/SplashBidNoticeAbstractUI.aspx?menuIndex=3&amp;refID=7083710&amp;Result=3","7083710")</f>
        <v>0</v>
      </c>
      <c r="B220" t="s">
        <v>152</v>
      </c>
      <c r="C220" t="s">
        <v>3667</v>
      </c>
      <c r="D220" t="s">
        <v>17445</v>
      </c>
      <c r="E220" t="s">
        <v>17724</v>
      </c>
      <c r="F220" t="s">
        <v>30052</v>
      </c>
      <c r="G220" t="s">
        <v>30061</v>
      </c>
      <c r="H220" t="s">
        <v>15498</v>
      </c>
      <c r="I220" t="s">
        <v>4119</v>
      </c>
      <c r="J220" t="s">
        <v>30248</v>
      </c>
      <c r="K220" t="s">
        <v>39034</v>
      </c>
      <c r="M220" t="s">
        <v>39441</v>
      </c>
      <c r="N220" t="s">
        <v>43166</v>
      </c>
      <c r="O220" t="s">
        <v>43167</v>
      </c>
      <c r="P220">
        <v>0</v>
      </c>
      <c r="Q220">
        <v>9</v>
      </c>
      <c r="R220" t="s">
        <v>43168</v>
      </c>
      <c r="S220" t="s">
        <v>43286</v>
      </c>
      <c r="T220" t="s">
        <v>44698</v>
      </c>
      <c r="U220" t="s">
        <v>45423</v>
      </c>
      <c r="W220" t="s">
        <v>39441</v>
      </c>
      <c r="X220" t="s">
        <v>43172</v>
      </c>
    </row>
    <row r="221" spans="1:24">
      <c r="A221">
        <f>HYPERLINK("https://www.philgeps.gov.ph/GEPSNONPILOT/Tender/SplashBidNoticeAbstractUI.aspx?menuIndex=3&amp;refID=7084662&amp;Result=3","7084662")</f>
        <v>0</v>
      </c>
      <c r="B221" t="s">
        <v>98</v>
      </c>
      <c r="C221" t="s">
        <v>3668</v>
      </c>
      <c r="D221" t="s">
        <v>17456</v>
      </c>
      <c r="E221" t="s">
        <v>17725</v>
      </c>
      <c r="F221" t="s">
        <v>30052</v>
      </c>
      <c r="G221" t="s">
        <v>30059</v>
      </c>
      <c r="H221" t="s">
        <v>15498</v>
      </c>
      <c r="I221" t="s">
        <v>30103</v>
      </c>
      <c r="J221" t="s">
        <v>30385</v>
      </c>
      <c r="K221" t="s">
        <v>39025</v>
      </c>
      <c r="L221" t="s">
        <v>98</v>
      </c>
      <c r="M221" t="s">
        <v>39387</v>
      </c>
      <c r="N221" t="s">
        <v>43166</v>
      </c>
      <c r="O221" t="s">
        <v>43167</v>
      </c>
      <c r="P221">
        <v>0</v>
      </c>
      <c r="Q221">
        <v>1</v>
      </c>
      <c r="R221" t="s">
        <v>43168</v>
      </c>
      <c r="S221" t="s">
        <v>43286</v>
      </c>
      <c r="T221" t="s">
        <v>44698</v>
      </c>
      <c r="U221" t="s">
        <v>45424</v>
      </c>
      <c r="W221" t="s">
        <v>39387</v>
      </c>
      <c r="X221" t="s">
        <v>43171</v>
      </c>
    </row>
    <row r="222" spans="1:24">
      <c r="A222">
        <f>HYPERLINK("https://www.philgeps.gov.ph/GEPSNONPILOT/Tender/SplashBidNoticeAbstractUI.aspx?menuIndex=3&amp;refID=7084919&amp;Result=3","7084919")</f>
        <v>0</v>
      </c>
      <c r="B222" t="s">
        <v>153</v>
      </c>
      <c r="C222" t="s">
        <v>3669</v>
      </c>
      <c r="D222" t="s">
        <v>17421</v>
      </c>
      <c r="E222" t="s">
        <v>17715</v>
      </c>
      <c r="F222" t="s">
        <v>30052</v>
      </c>
      <c r="G222" t="s">
        <v>30058</v>
      </c>
      <c r="H222" t="s">
        <v>15498</v>
      </c>
      <c r="I222" t="s">
        <v>3736</v>
      </c>
      <c r="J222" t="s">
        <v>30386</v>
      </c>
      <c r="K222" t="s">
        <v>39029</v>
      </c>
      <c r="M222" t="s">
        <v>39442</v>
      </c>
      <c r="N222" t="s">
        <v>43166</v>
      </c>
      <c r="O222" t="s">
        <v>43167</v>
      </c>
      <c r="P222">
        <v>0</v>
      </c>
      <c r="Q222">
        <v>0</v>
      </c>
      <c r="R222" t="s">
        <v>43168</v>
      </c>
      <c r="S222" t="s">
        <v>43286</v>
      </c>
      <c r="T222" t="s">
        <v>44681</v>
      </c>
      <c r="U222" t="s">
        <v>45425</v>
      </c>
      <c r="W222" t="s">
        <v>39442</v>
      </c>
      <c r="X222" t="s">
        <v>43171</v>
      </c>
    </row>
    <row r="223" spans="1:24">
      <c r="A223">
        <f>HYPERLINK("https://www.philgeps.gov.ph/GEPSNONPILOT/Tender/SplashBidNoticeAbstractUI.aspx?menuIndex=3&amp;refID=7083694&amp;Result=3","7083694")</f>
        <v>0</v>
      </c>
      <c r="B223" t="s">
        <v>154</v>
      </c>
      <c r="C223" t="s">
        <v>3670</v>
      </c>
      <c r="D223" t="s">
        <v>17460</v>
      </c>
      <c r="E223" t="s">
        <v>17726</v>
      </c>
      <c r="F223" t="s">
        <v>30052</v>
      </c>
      <c r="G223" t="s">
        <v>30058</v>
      </c>
      <c r="H223" t="s">
        <v>30067</v>
      </c>
      <c r="I223" t="s">
        <v>3693</v>
      </c>
      <c r="J223" t="s">
        <v>30252</v>
      </c>
      <c r="K223" t="s">
        <v>39054</v>
      </c>
      <c r="M223" t="s">
        <v>39443</v>
      </c>
      <c r="N223" t="s">
        <v>43166</v>
      </c>
      <c r="O223" t="s">
        <v>43167</v>
      </c>
      <c r="P223">
        <v>0</v>
      </c>
      <c r="Q223">
        <v>4</v>
      </c>
      <c r="R223" t="s">
        <v>43168</v>
      </c>
      <c r="S223" t="s">
        <v>43286</v>
      </c>
      <c r="T223" t="s">
        <v>44724</v>
      </c>
      <c r="U223" t="s">
        <v>45426</v>
      </c>
      <c r="W223" t="s">
        <v>39443</v>
      </c>
      <c r="X223" t="s">
        <v>43172</v>
      </c>
    </row>
    <row r="224" spans="1:24">
      <c r="A224">
        <f>HYPERLINK("https://www.philgeps.gov.ph/GEPSNONPILOT/Tender/SplashBidNoticeAbstractUI.aspx?menuIndex=3&amp;refID=7084122&amp;Result=3","7084122")</f>
        <v>0</v>
      </c>
      <c r="B224" t="s">
        <v>155</v>
      </c>
      <c r="C224" t="s">
        <v>3671</v>
      </c>
      <c r="D224" t="s">
        <v>17470</v>
      </c>
      <c r="E224" t="s">
        <v>17727</v>
      </c>
      <c r="F224" t="s">
        <v>30052</v>
      </c>
      <c r="G224" t="s">
        <v>30062</v>
      </c>
      <c r="H224" t="s">
        <v>15498</v>
      </c>
      <c r="I224" t="s">
        <v>4119</v>
      </c>
      <c r="J224" t="s">
        <v>30387</v>
      </c>
      <c r="K224" t="s">
        <v>39025</v>
      </c>
      <c r="M224" t="s">
        <v>39444</v>
      </c>
      <c r="N224" t="s">
        <v>43166</v>
      </c>
      <c r="O224" t="s">
        <v>43167</v>
      </c>
      <c r="P224">
        <v>0</v>
      </c>
      <c r="Q224">
        <v>4</v>
      </c>
      <c r="R224" t="s">
        <v>43168</v>
      </c>
      <c r="S224" t="s">
        <v>43286</v>
      </c>
      <c r="T224" t="s">
        <v>44691</v>
      </c>
      <c r="U224" t="s">
        <v>45427</v>
      </c>
      <c r="W224" t="s">
        <v>39444</v>
      </c>
      <c r="X224" t="s">
        <v>43172</v>
      </c>
    </row>
    <row r="225" spans="1:24">
      <c r="A225">
        <f>HYPERLINK("https://www.philgeps.gov.ph/GEPSNONPILOT/Tender/SplashBidNoticeAbstractUI.aspx?menuIndex=3&amp;refID=7082858&amp;Result=3","7082858")</f>
        <v>0</v>
      </c>
      <c r="B225" t="s">
        <v>66</v>
      </c>
      <c r="C225" t="s">
        <v>3537</v>
      </c>
      <c r="D225" t="s">
        <v>17432</v>
      </c>
      <c r="E225" t="s">
        <v>17728</v>
      </c>
      <c r="F225" t="s">
        <v>30052</v>
      </c>
      <c r="G225" t="s">
        <v>30062</v>
      </c>
      <c r="H225" t="s">
        <v>15498</v>
      </c>
      <c r="I225" t="s">
        <v>30076</v>
      </c>
      <c r="J225" t="s">
        <v>30388</v>
      </c>
      <c r="K225" t="s">
        <v>39017</v>
      </c>
      <c r="M225" t="s">
        <v>39355</v>
      </c>
      <c r="N225" t="s">
        <v>43166</v>
      </c>
      <c r="O225" t="s">
        <v>43167</v>
      </c>
      <c r="P225">
        <v>0</v>
      </c>
      <c r="Q225">
        <v>3</v>
      </c>
      <c r="R225" t="s">
        <v>43168</v>
      </c>
      <c r="S225" t="s">
        <v>43286</v>
      </c>
      <c r="T225" t="s">
        <v>44715</v>
      </c>
      <c r="U225" t="s">
        <v>45428</v>
      </c>
      <c r="W225" t="s">
        <v>39355</v>
      </c>
      <c r="X225" t="s">
        <v>43172</v>
      </c>
    </row>
    <row r="226" spans="1:24">
      <c r="A226">
        <f>HYPERLINK("https://www.philgeps.gov.ph/GEPSNONPILOT/Tender/SplashBidNoticeAbstractUI.aspx?menuIndex=3&amp;refID=7082824&amp;Result=3","7082824")</f>
        <v>0</v>
      </c>
      <c r="B226" t="s">
        <v>66</v>
      </c>
      <c r="C226" t="s">
        <v>3537</v>
      </c>
      <c r="D226" t="s">
        <v>17432</v>
      </c>
      <c r="E226" t="s">
        <v>17729</v>
      </c>
      <c r="F226" t="s">
        <v>30052</v>
      </c>
      <c r="G226" t="s">
        <v>30062</v>
      </c>
      <c r="H226" t="s">
        <v>15498</v>
      </c>
      <c r="I226" t="s">
        <v>30075</v>
      </c>
      <c r="J226" t="s">
        <v>30389</v>
      </c>
      <c r="K226" t="s">
        <v>39017</v>
      </c>
      <c r="M226" t="s">
        <v>39355</v>
      </c>
      <c r="N226" t="s">
        <v>43166</v>
      </c>
      <c r="O226" t="s">
        <v>43167</v>
      </c>
      <c r="P226">
        <v>0</v>
      </c>
      <c r="Q226">
        <v>0</v>
      </c>
      <c r="R226" t="s">
        <v>43168</v>
      </c>
      <c r="S226" t="s">
        <v>43286</v>
      </c>
      <c r="T226" t="s">
        <v>44715</v>
      </c>
      <c r="U226" t="s">
        <v>45429</v>
      </c>
      <c r="W226" t="s">
        <v>39355</v>
      </c>
      <c r="X226" t="s">
        <v>43172</v>
      </c>
    </row>
    <row r="227" spans="1:24">
      <c r="A227">
        <f>HYPERLINK("https://www.philgeps.gov.ph/GEPSNONPILOT/Tender/SplashBidNoticeAbstractUI.aspx?menuIndex=3&amp;refID=7084069&amp;Result=3","7084069")</f>
        <v>0</v>
      </c>
      <c r="B227" t="s">
        <v>156</v>
      </c>
      <c r="C227" t="s">
        <v>3672</v>
      </c>
      <c r="D227" t="s">
        <v>17422</v>
      </c>
      <c r="E227" t="s">
        <v>17730</v>
      </c>
      <c r="F227" t="s">
        <v>30052</v>
      </c>
      <c r="G227" t="s">
        <v>30059</v>
      </c>
      <c r="H227" t="s">
        <v>15498</v>
      </c>
      <c r="I227" t="s">
        <v>3852</v>
      </c>
      <c r="J227" t="s">
        <v>30390</v>
      </c>
      <c r="K227" t="s">
        <v>39034</v>
      </c>
      <c r="M227" t="s">
        <v>39445</v>
      </c>
      <c r="N227" t="s">
        <v>43166</v>
      </c>
      <c r="O227" t="s">
        <v>43167</v>
      </c>
      <c r="P227">
        <v>0</v>
      </c>
      <c r="Q227">
        <v>1</v>
      </c>
      <c r="R227" t="s">
        <v>43168</v>
      </c>
      <c r="S227" t="s">
        <v>43286</v>
      </c>
      <c r="T227" t="s">
        <v>44710</v>
      </c>
      <c r="U227" t="s">
        <v>45430</v>
      </c>
      <c r="V227" t="s">
        <v>56850</v>
      </c>
      <c r="W227" t="s">
        <v>39445</v>
      </c>
      <c r="X227" t="s">
        <v>43172</v>
      </c>
    </row>
    <row r="228" spans="1:24">
      <c r="A228">
        <f>HYPERLINK("https://www.philgeps.gov.ph/GEPSNONPILOT/Tender/SplashBidNoticeAbstractUI.aspx?menuIndex=3&amp;refID=7082661&amp;Result=3","7082661")</f>
        <v>0</v>
      </c>
      <c r="B228" t="s">
        <v>62</v>
      </c>
      <c r="C228" t="s">
        <v>3673</v>
      </c>
      <c r="D228" t="s">
        <v>17443</v>
      </c>
      <c r="E228" t="s">
        <v>17731</v>
      </c>
      <c r="F228" t="s">
        <v>30052</v>
      </c>
      <c r="G228" t="s">
        <v>30059</v>
      </c>
      <c r="H228" t="s">
        <v>15498</v>
      </c>
      <c r="I228" t="s">
        <v>30109</v>
      </c>
      <c r="J228" t="s">
        <v>30391</v>
      </c>
      <c r="K228" t="s">
        <v>39019</v>
      </c>
      <c r="L228" t="s">
        <v>62</v>
      </c>
      <c r="M228" t="s">
        <v>39351</v>
      </c>
      <c r="N228" t="s">
        <v>43166</v>
      </c>
      <c r="O228" t="s">
        <v>43167</v>
      </c>
      <c r="P228">
        <v>0</v>
      </c>
      <c r="Q228">
        <v>3</v>
      </c>
      <c r="R228" t="s">
        <v>43168</v>
      </c>
      <c r="S228" t="s">
        <v>43286</v>
      </c>
      <c r="T228" t="s">
        <v>44691</v>
      </c>
      <c r="U228" t="s">
        <v>45287</v>
      </c>
      <c r="V228" t="s">
        <v>56851</v>
      </c>
      <c r="W228" t="s">
        <v>39351</v>
      </c>
      <c r="X228" t="s">
        <v>43172</v>
      </c>
    </row>
    <row r="229" spans="1:24">
      <c r="A229">
        <f>HYPERLINK("https://www.philgeps.gov.ph/GEPSNONPILOT/Tender/SplashBidNoticeAbstractUI.aspx?menuIndex=3&amp;refID=7085155&amp;Result=3","7085155")</f>
        <v>0</v>
      </c>
      <c r="B229" t="s">
        <v>157</v>
      </c>
      <c r="C229" t="s">
        <v>3674</v>
      </c>
      <c r="D229" t="s">
        <v>17456</v>
      </c>
      <c r="E229" t="s">
        <v>17732</v>
      </c>
      <c r="F229" t="s">
        <v>30052</v>
      </c>
      <c r="G229" t="s">
        <v>30059</v>
      </c>
      <c r="H229" t="s">
        <v>15498</v>
      </c>
      <c r="I229" t="s">
        <v>30076</v>
      </c>
      <c r="J229" t="s">
        <v>30392</v>
      </c>
      <c r="K229" t="s">
        <v>39017</v>
      </c>
      <c r="M229" t="s">
        <v>39446</v>
      </c>
      <c r="N229" t="s">
        <v>43166</v>
      </c>
      <c r="O229" t="s">
        <v>43167</v>
      </c>
      <c r="P229">
        <v>0</v>
      </c>
      <c r="Q229">
        <v>10</v>
      </c>
      <c r="R229" t="s">
        <v>43168</v>
      </c>
      <c r="S229" t="s">
        <v>43286</v>
      </c>
      <c r="T229" t="s">
        <v>44737</v>
      </c>
      <c r="U229" t="s">
        <v>45431</v>
      </c>
      <c r="V229" t="s">
        <v>56852</v>
      </c>
      <c r="W229" t="s">
        <v>39446</v>
      </c>
      <c r="X229" t="s">
        <v>43171</v>
      </c>
    </row>
    <row r="230" spans="1:24">
      <c r="A230">
        <f>HYPERLINK("https://www.philgeps.gov.ph/GEPSNONPILOT/Tender/SplashBidNoticeAbstractUI.aspx?menuIndex=3&amp;refID=7083665&amp;Result=3","7083665")</f>
        <v>0</v>
      </c>
      <c r="B230" t="s">
        <v>158</v>
      </c>
      <c r="C230" t="s">
        <v>3675</v>
      </c>
      <c r="D230" t="s">
        <v>17471</v>
      </c>
      <c r="E230" t="s">
        <v>17733</v>
      </c>
      <c r="F230" t="s">
        <v>30052</v>
      </c>
      <c r="G230" t="s">
        <v>30058</v>
      </c>
      <c r="H230" t="s">
        <v>30067</v>
      </c>
      <c r="I230" t="s">
        <v>3693</v>
      </c>
      <c r="J230" t="s">
        <v>30247</v>
      </c>
      <c r="K230" t="s">
        <v>39023</v>
      </c>
      <c r="M230" t="s">
        <v>39447</v>
      </c>
      <c r="N230" t="s">
        <v>43166</v>
      </c>
      <c r="O230" t="s">
        <v>43167</v>
      </c>
      <c r="P230">
        <v>0</v>
      </c>
      <c r="Q230">
        <v>1</v>
      </c>
      <c r="R230" t="s">
        <v>43168</v>
      </c>
      <c r="S230" t="s">
        <v>43286</v>
      </c>
      <c r="T230" t="s">
        <v>44712</v>
      </c>
      <c r="U230" t="s">
        <v>45432</v>
      </c>
      <c r="W230" t="s">
        <v>39447</v>
      </c>
      <c r="X230" t="s">
        <v>43172</v>
      </c>
    </row>
    <row r="231" spans="1:24">
      <c r="A231">
        <f>HYPERLINK("https://www.philgeps.gov.ph/GEPSNONPILOT/Tender/SplashBidNoticeAbstractUI.aspx?menuIndex=3&amp;refID=7085150&amp;Result=3","7085150")</f>
        <v>0</v>
      </c>
      <c r="B231" t="s">
        <v>127</v>
      </c>
      <c r="C231" t="s">
        <v>3676</v>
      </c>
      <c r="D231" t="s">
        <v>17434</v>
      </c>
      <c r="E231" t="s">
        <v>17734</v>
      </c>
      <c r="F231" t="s">
        <v>30052</v>
      </c>
      <c r="G231" t="s">
        <v>30058</v>
      </c>
      <c r="H231" t="s">
        <v>15498</v>
      </c>
      <c r="I231" t="s">
        <v>30076</v>
      </c>
      <c r="J231" t="s">
        <v>30393</v>
      </c>
      <c r="K231" t="s">
        <v>39025</v>
      </c>
      <c r="M231" t="s">
        <v>39416</v>
      </c>
      <c r="N231" t="s">
        <v>43166</v>
      </c>
      <c r="O231" t="s">
        <v>43167</v>
      </c>
      <c r="P231">
        <v>0</v>
      </c>
      <c r="Q231">
        <v>2</v>
      </c>
      <c r="R231" t="s">
        <v>43168</v>
      </c>
      <c r="S231" t="s">
        <v>43286</v>
      </c>
      <c r="T231" t="s">
        <v>44688</v>
      </c>
      <c r="U231" t="s">
        <v>45433</v>
      </c>
      <c r="V231" t="s">
        <v>56840</v>
      </c>
      <c r="W231" t="s">
        <v>39416</v>
      </c>
      <c r="X231" t="s">
        <v>43171</v>
      </c>
    </row>
    <row r="232" spans="1:24">
      <c r="A232">
        <f>HYPERLINK("https://www.philgeps.gov.ph/GEPSNONPILOT/Tender/SplashBidNoticeAbstractUI.aspx?menuIndex=3&amp;refID=7083577&amp;Result=3","7083577")</f>
        <v>0</v>
      </c>
      <c r="B232" t="s">
        <v>159</v>
      </c>
      <c r="C232" t="s">
        <v>3677</v>
      </c>
      <c r="D232" t="s">
        <v>17446</v>
      </c>
      <c r="E232" t="s">
        <v>17735</v>
      </c>
      <c r="F232" t="s">
        <v>30052</v>
      </c>
      <c r="G232" t="s">
        <v>30059</v>
      </c>
      <c r="H232" t="s">
        <v>15498</v>
      </c>
      <c r="I232" t="s">
        <v>8323</v>
      </c>
      <c r="J232" t="s">
        <v>30394</v>
      </c>
      <c r="K232" t="s">
        <v>39019</v>
      </c>
      <c r="L232" t="s">
        <v>159</v>
      </c>
      <c r="M232" t="s">
        <v>39448</v>
      </c>
      <c r="N232" t="s">
        <v>43166</v>
      </c>
      <c r="O232" t="s">
        <v>43167</v>
      </c>
      <c r="P232">
        <v>0</v>
      </c>
      <c r="Q232">
        <v>15</v>
      </c>
      <c r="R232" t="s">
        <v>43168</v>
      </c>
      <c r="S232" t="s">
        <v>43286</v>
      </c>
      <c r="T232" t="s">
        <v>44743</v>
      </c>
      <c r="U232" t="s">
        <v>45434</v>
      </c>
      <c r="W232" t="s">
        <v>39448</v>
      </c>
      <c r="X232" t="s">
        <v>43172</v>
      </c>
    </row>
    <row r="233" spans="1:24">
      <c r="A233">
        <f>HYPERLINK("https://www.philgeps.gov.ph/GEPSNONPILOT/Tender/SplashBidNoticeAbstractUI.aspx?menuIndex=3&amp;refID=7085149&amp;Result=3","7085149")</f>
        <v>0</v>
      </c>
      <c r="B233" t="s">
        <v>160</v>
      </c>
      <c r="C233" t="s">
        <v>3678</v>
      </c>
      <c r="D233" t="s">
        <v>17465</v>
      </c>
      <c r="E233" t="s">
        <v>17736</v>
      </c>
      <c r="F233" t="s">
        <v>30052</v>
      </c>
      <c r="G233" t="s">
        <v>30061</v>
      </c>
      <c r="H233" t="s">
        <v>15498</v>
      </c>
      <c r="I233" t="s">
        <v>4119</v>
      </c>
      <c r="J233" t="s">
        <v>30395</v>
      </c>
      <c r="K233" t="s">
        <v>39036</v>
      </c>
      <c r="M233" t="s">
        <v>39449</v>
      </c>
      <c r="N233" t="s">
        <v>43166</v>
      </c>
      <c r="O233" t="s">
        <v>43167</v>
      </c>
      <c r="P233">
        <v>0</v>
      </c>
      <c r="Q233">
        <v>1</v>
      </c>
      <c r="R233" t="s">
        <v>43168</v>
      </c>
      <c r="S233" t="s">
        <v>43286</v>
      </c>
      <c r="T233" t="s">
        <v>44744</v>
      </c>
      <c r="U233" t="s">
        <v>45435</v>
      </c>
      <c r="W233" t="s">
        <v>39449</v>
      </c>
      <c r="X233" t="s">
        <v>43171</v>
      </c>
    </row>
    <row r="234" spans="1:24">
      <c r="A234">
        <f>HYPERLINK("https://www.philgeps.gov.ph/GEPSNONPILOT/Tender/SplashBidNoticeAbstractUI.aspx?menuIndex=3&amp;refID=7085143&amp;Result=3","7085143")</f>
        <v>0</v>
      </c>
      <c r="B234" t="s">
        <v>101</v>
      </c>
      <c r="C234" t="s">
        <v>3679</v>
      </c>
      <c r="D234" t="s">
        <v>17422</v>
      </c>
      <c r="E234" t="s">
        <v>17737</v>
      </c>
      <c r="F234" t="s">
        <v>30052</v>
      </c>
      <c r="G234" t="s">
        <v>30058</v>
      </c>
      <c r="H234" t="s">
        <v>15498</v>
      </c>
      <c r="I234" t="s">
        <v>3736</v>
      </c>
      <c r="J234" t="s">
        <v>30396</v>
      </c>
      <c r="K234" t="s">
        <v>39034</v>
      </c>
      <c r="M234" t="s">
        <v>39390</v>
      </c>
      <c r="N234" t="s">
        <v>43166</v>
      </c>
      <c r="O234" t="s">
        <v>43167</v>
      </c>
      <c r="P234">
        <v>0</v>
      </c>
      <c r="Q234">
        <v>0</v>
      </c>
      <c r="R234" t="s">
        <v>43168</v>
      </c>
      <c r="S234" t="s">
        <v>43286</v>
      </c>
      <c r="T234" t="s">
        <v>44725</v>
      </c>
      <c r="U234" t="s">
        <v>45436</v>
      </c>
      <c r="W234" t="s">
        <v>39390</v>
      </c>
      <c r="X234" t="s">
        <v>43171</v>
      </c>
    </row>
    <row r="235" spans="1:24">
      <c r="A235">
        <f>HYPERLINK("https://www.philgeps.gov.ph/GEPSNONPILOT/Tender/SplashBidNoticeAbstractUI.aspx?menuIndex=3&amp;refID=7085136&amp;Result=3","7085136")</f>
        <v>0</v>
      </c>
      <c r="B235" t="s">
        <v>161</v>
      </c>
      <c r="C235" t="s">
        <v>3680</v>
      </c>
      <c r="D235" t="s">
        <v>17459</v>
      </c>
      <c r="E235" t="s">
        <v>17738</v>
      </c>
      <c r="F235" t="s">
        <v>30052</v>
      </c>
      <c r="G235" t="s">
        <v>30058</v>
      </c>
      <c r="H235" t="s">
        <v>15498</v>
      </c>
      <c r="I235" t="s">
        <v>30096</v>
      </c>
      <c r="J235" t="s">
        <v>30397</v>
      </c>
      <c r="K235" t="s">
        <v>39023</v>
      </c>
      <c r="M235" t="s">
        <v>39450</v>
      </c>
      <c r="N235" t="s">
        <v>43166</v>
      </c>
      <c r="O235" t="s">
        <v>43167</v>
      </c>
      <c r="P235">
        <v>0</v>
      </c>
      <c r="Q235">
        <v>4</v>
      </c>
      <c r="R235" t="s">
        <v>43168</v>
      </c>
      <c r="S235" t="s">
        <v>43286</v>
      </c>
      <c r="T235" t="s">
        <v>44677</v>
      </c>
      <c r="U235" t="s">
        <v>45437</v>
      </c>
      <c r="W235" t="s">
        <v>39450</v>
      </c>
      <c r="X235" t="s">
        <v>43171</v>
      </c>
    </row>
    <row r="236" spans="1:24">
      <c r="A236">
        <f>HYPERLINK("https://www.philgeps.gov.ph/GEPSNONPILOT/Tender/SplashBidNoticeAbstractUI.aspx?menuIndex=3&amp;refID=7085135&amp;Result=3","7085135")</f>
        <v>0</v>
      </c>
      <c r="B236" t="s">
        <v>143</v>
      </c>
      <c r="C236" t="s">
        <v>3681</v>
      </c>
      <c r="D236" t="s">
        <v>17415</v>
      </c>
      <c r="E236" t="s">
        <v>17739</v>
      </c>
      <c r="F236" t="s">
        <v>30052</v>
      </c>
      <c r="G236" t="s">
        <v>30059</v>
      </c>
      <c r="H236" t="s">
        <v>30069</v>
      </c>
      <c r="I236" t="s">
        <v>30094</v>
      </c>
      <c r="J236" t="s">
        <v>30398</v>
      </c>
      <c r="K236" t="s">
        <v>39034</v>
      </c>
      <c r="M236" t="s">
        <v>39432</v>
      </c>
      <c r="N236" t="s">
        <v>43166</v>
      </c>
      <c r="O236" t="s">
        <v>43167</v>
      </c>
      <c r="P236">
        <v>0</v>
      </c>
      <c r="Q236">
        <v>1</v>
      </c>
      <c r="R236" t="s">
        <v>43168</v>
      </c>
      <c r="S236" t="s">
        <v>43286</v>
      </c>
      <c r="T236" t="s">
        <v>44738</v>
      </c>
      <c r="U236" t="s">
        <v>45438</v>
      </c>
      <c r="W236" t="s">
        <v>39432</v>
      </c>
      <c r="X236" t="s">
        <v>43171</v>
      </c>
    </row>
    <row r="237" spans="1:24">
      <c r="A237">
        <f>HYPERLINK("https://www.philgeps.gov.ph/GEPSNONPILOT/Tender/SplashBidNoticeAbstractUI.aspx?menuIndex=3&amp;refID=7084725&amp;Result=3","7084725")</f>
        <v>0</v>
      </c>
      <c r="B237" t="s">
        <v>107</v>
      </c>
      <c r="C237" t="s">
        <v>3682</v>
      </c>
      <c r="D237" t="s">
        <v>17448</v>
      </c>
      <c r="E237" t="s">
        <v>17740</v>
      </c>
      <c r="F237" t="s">
        <v>30052</v>
      </c>
      <c r="G237" t="s">
        <v>30059</v>
      </c>
      <c r="H237" t="s">
        <v>15498</v>
      </c>
      <c r="I237" t="s">
        <v>3852</v>
      </c>
      <c r="J237" t="s">
        <v>30399</v>
      </c>
      <c r="K237" t="s">
        <v>39025</v>
      </c>
      <c r="M237" t="s">
        <v>39396</v>
      </c>
      <c r="N237" t="s">
        <v>43166</v>
      </c>
      <c r="O237" t="s">
        <v>43167</v>
      </c>
      <c r="P237">
        <v>0</v>
      </c>
      <c r="Q237">
        <v>0</v>
      </c>
      <c r="R237" t="s">
        <v>43168</v>
      </c>
      <c r="S237" t="s">
        <v>43286</v>
      </c>
      <c r="T237" t="s">
        <v>44678</v>
      </c>
      <c r="U237" t="s">
        <v>45439</v>
      </c>
      <c r="W237" t="s">
        <v>39396</v>
      </c>
      <c r="X237" t="s">
        <v>43171</v>
      </c>
    </row>
    <row r="238" spans="1:24">
      <c r="A238">
        <f>HYPERLINK("https://www.philgeps.gov.ph/GEPSNONPILOT/Tender/SplashBidNoticeAbstractUI.aspx?menuIndex=3&amp;refID=7085128&amp;Result=3","7085128")</f>
        <v>0</v>
      </c>
      <c r="B238" t="s">
        <v>99</v>
      </c>
      <c r="C238" t="s">
        <v>3683</v>
      </c>
      <c r="D238" t="s">
        <v>17447</v>
      </c>
      <c r="E238" t="s">
        <v>17741</v>
      </c>
      <c r="F238" t="s">
        <v>30052</v>
      </c>
      <c r="G238" t="s">
        <v>30058</v>
      </c>
      <c r="H238" t="s">
        <v>30067</v>
      </c>
      <c r="I238" t="s">
        <v>3693</v>
      </c>
      <c r="J238" t="s">
        <v>30297</v>
      </c>
      <c r="K238" t="s">
        <v>39031</v>
      </c>
      <c r="M238" t="s">
        <v>39388</v>
      </c>
      <c r="N238" t="s">
        <v>43166</v>
      </c>
      <c r="O238" t="s">
        <v>43167</v>
      </c>
      <c r="P238">
        <v>0</v>
      </c>
      <c r="Q238">
        <v>0</v>
      </c>
      <c r="R238" t="s">
        <v>43168</v>
      </c>
      <c r="S238" t="s">
        <v>43286</v>
      </c>
      <c r="T238" t="s">
        <v>44721</v>
      </c>
      <c r="U238" t="s">
        <v>45340</v>
      </c>
      <c r="V238" t="s">
        <v>56836</v>
      </c>
      <c r="W238" t="s">
        <v>58590</v>
      </c>
      <c r="X238" t="s">
        <v>43171</v>
      </c>
    </row>
    <row r="239" spans="1:24">
      <c r="A239">
        <f>HYPERLINK("https://www.philgeps.gov.ph/GEPSNONPILOT/Tender/SplashBidNoticeAbstractUI.aspx?menuIndex=3&amp;refID=7082689&amp;Result=3","7082689")</f>
        <v>0</v>
      </c>
      <c r="B239" t="s">
        <v>162</v>
      </c>
      <c r="C239" t="s">
        <v>3684</v>
      </c>
      <c r="D239" t="s">
        <v>17472</v>
      </c>
      <c r="E239" t="s">
        <v>17742</v>
      </c>
      <c r="F239" t="s">
        <v>30052</v>
      </c>
      <c r="G239" t="s">
        <v>30058</v>
      </c>
      <c r="H239" t="s">
        <v>15498</v>
      </c>
      <c r="I239" t="s">
        <v>3736</v>
      </c>
      <c r="J239" t="s">
        <v>30400</v>
      </c>
      <c r="K239" t="s">
        <v>39034</v>
      </c>
      <c r="M239" t="s">
        <v>39451</v>
      </c>
      <c r="N239" t="s">
        <v>43166</v>
      </c>
      <c r="O239" t="s">
        <v>43167</v>
      </c>
      <c r="P239">
        <v>0</v>
      </c>
      <c r="Q239">
        <v>0</v>
      </c>
      <c r="R239" t="s">
        <v>43168</v>
      </c>
      <c r="S239" t="s">
        <v>43286</v>
      </c>
      <c r="T239" t="s">
        <v>44745</v>
      </c>
      <c r="U239" t="s">
        <v>45440</v>
      </c>
      <c r="W239" t="s">
        <v>39451</v>
      </c>
      <c r="X239" t="s">
        <v>43172</v>
      </c>
    </row>
    <row r="240" spans="1:24">
      <c r="A240">
        <f>HYPERLINK("https://www.philgeps.gov.ph/GEPSNONPILOT/Tender/SplashBidNoticeAbstractUI.aspx?menuIndex=3&amp;refID=7085109&amp;Result=3","7085109")</f>
        <v>0</v>
      </c>
      <c r="B240" t="s">
        <v>90</v>
      </c>
      <c r="C240" t="s">
        <v>3685</v>
      </c>
      <c r="D240" t="s">
        <v>17414</v>
      </c>
      <c r="E240" t="s">
        <v>17743</v>
      </c>
      <c r="F240" t="s">
        <v>30052</v>
      </c>
      <c r="G240" t="s">
        <v>30061</v>
      </c>
      <c r="H240" t="s">
        <v>15498</v>
      </c>
      <c r="I240" t="s">
        <v>30075</v>
      </c>
      <c r="J240" t="s">
        <v>30267</v>
      </c>
      <c r="K240" t="s">
        <v>39029</v>
      </c>
      <c r="M240" t="s">
        <v>39379</v>
      </c>
      <c r="N240" t="s">
        <v>43166</v>
      </c>
      <c r="O240" t="s">
        <v>43167</v>
      </c>
      <c r="P240">
        <v>0</v>
      </c>
      <c r="Q240">
        <v>1</v>
      </c>
      <c r="R240" t="s">
        <v>43168</v>
      </c>
      <c r="S240" t="s">
        <v>43286</v>
      </c>
      <c r="T240" t="s">
        <v>44746</v>
      </c>
      <c r="U240" t="s">
        <v>45441</v>
      </c>
      <c r="W240" t="s">
        <v>39379</v>
      </c>
      <c r="X240" t="s">
        <v>43171</v>
      </c>
    </row>
    <row r="241" spans="1:24">
      <c r="A241">
        <f>HYPERLINK("https://www.philgeps.gov.ph/GEPSNONPILOT/Tender/SplashBidNoticeAbstractUI.aspx?menuIndex=3&amp;refID=7085138&amp;Result=3","7085138")</f>
        <v>0</v>
      </c>
      <c r="B241" t="s">
        <v>163</v>
      </c>
      <c r="C241" t="s">
        <v>3686</v>
      </c>
      <c r="D241" t="s">
        <v>17425</v>
      </c>
      <c r="E241" t="s">
        <v>17744</v>
      </c>
      <c r="F241" t="s">
        <v>30052</v>
      </c>
      <c r="G241" t="s">
        <v>30059</v>
      </c>
      <c r="H241" t="s">
        <v>15498</v>
      </c>
      <c r="I241" t="s">
        <v>4119</v>
      </c>
      <c r="J241" t="s">
        <v>30401</v>
      </c>
      <c r="K241" t="s">
        <v>39017</v>
      </c>
      <c r="M241" t="s">
        <v>39452</v>
      </c>
      <c r="N241" t="s">
        <v>43166</v>
      </c>
      <c r="O241" t="s">
        <v>43167</v>
      </c>
      <c r="P241">
        <v>0</v>
      </c>
      <c r="Q241">
        <v>1</v>
      </c>
      <c r="R241" t="s">
        <v>43168</v>
      </c>
      <c r="S241" t="s">
        <v>43286</v>
      </c>
      <c r="T241" t="s">
        <v>44685</v>
      </c>
      <c r="U241" t="s">
        <v>45442</v>
      </c>
      <c r="W241" t="s">
        <v>39452</v>
      </c>
      <c r="X241" t="s">
        <v>43171</v>
      </c>
    </row>
    <row r="242" spans="1:24">
      <c r="A242">
        <f>HYPERLINK("https://www.philgeps.gov.ph/GEPSNONPILOT/Tender/SplashBidNoticeAbstractUI.aspx?menuIndex=3&amp;refID=7085099&amp;Result=3","7085099")</f>
        <v>0</v>
      </c>
      <c r="B242" t="s">
        <v>71</v>
      </c>
      <c r="C242" t="s">
        <v>3687</v>
      </c>
      <c r="D242" t="s">
        <v>17420</v>
      </c>
      <c r="E242" t="s">
        <v>17745</v>
      </c>
      <c r="F242" t="s">
        <v>30052</v>
      </c>
      <c r="G242" t="s">
        <v>30059</v>
      </c>
      <c r="H242" t="s">
        <v>15498</v>
      </c>
      <c r="I242" t="s">
        <v>30075</v>
      </c>
      <c r="J242" t="s">
        <v>30402</v>
      </c>
      <c r="K242" t="s">
        <v>39019</v>
      </c>
      <c r="M242" t="s">
        <v>39360</v>
      </c>
      <c r="N242" t="s">
        <v>43166</v>
      </c>
      <c r="O242" t="s">
        <v>43167</v>
      </c>
      <c r="P242">
        <v>0</v>
      </c>
      <c r="Q242">
        <v>0</v>
      </c>
      <c r="R242" t="s">
        <v>43168</v>
      </c>
      <c r="S242" t="s">
        <v>43286</v>
      </c>
      <c r="T242" t="s">
        <v>44698</v>
      </c>
      <c r="U242" t="s">
        <v>45443</v>
      </c>
      <c r="W242" t="s">
        <v>39360</v>
      </c>
      <c r="X242" t="s">
        <v>43171</v>
      </c>
    </row>
    <row r="243" spans="1:24">
      <c r="A243">
        <f>HYPERLINK("https://www.philgeps.gov.ph/GEPSNONPILOT/Tender/SplashBidNoticeAbstractUI.aspx?menuIndex=3&amp;refID=7085083&amp;Result=3","7085083")</f>
        <v>0</v>
      </c>
      <c r="B243" t="s">
        <v>164</v>
      </c>
      <c r="C243" t="s">
        <v>3688</v>
      </c>
      <c r="D243" t="s">
        <v>17473</v>
      </c>
      <c r="E243" t="s">
        <v>17746</v>
      </c>
      <c r="F243" t="s">
        <v>30052</v>
      </c>
      <c r="G243" t="s">
        <v>30058</v>
      </c>
      <c r="H243" t="s">
        <v>30067</v>
      </c>
      <c r="I243" t="s">
        <v>3693</v>
      </c>
      <c r="J243" t="s">
        <v>30403</v>
      </c>
      <c r="K243" t="s">
        <v>39055</v>
      </c>
      <c r="M243" t="s">
        <v>39453</v>
      </c>
      <c r="N243" t="s">
        <v>43166</v>
      </c>
      <c r="O243" t="s">
        <v>43167</v>
      </c>
      <c r="P243">
        <v>0</v>
      </c>
      <c r="Q243">
        <v>1</v>
      </c>
      <c r="R243" t="s">
        <v>43168</v>
      </c>
      <c r="S243" t="s">
        <v>43286</v>
      </c>
      <c r="T243" t="s">
        <v>44747</v>
      </c>
      <c r="U243" t="s">
        <v>45444</v>
      </c>
      <c r="W243" t="s">
        <v>39453</v>
      </c>
      <c r="X243" t="s">
        <v>43171</v>
      </c>
    </row>
    <row r="244" spans="1:24">
      <c r="A244">
        <f>HYPERLINK("https://www.philgeps.gov.ph/GEPSNONPILOT/Tender/SplashBidNoticeAbstractUI.aspx?menuIndex=3&amp;refID=7085137&amp;Result=3","7085137")</f>
        <v>0</v>
      </c>
      <c r="B244" t="s">
        <v>90</v>
      </c>
      <c r="C244" t="s">
        <v>3689</v>
      </c>
      <c r="D244" t="s">
        <v>17414</v>
      </c>
      <c r="E244" t="s">
        <v>17747</v>
      </c>
      <c r="F244" t="s">
        <v>30052</v>
      </c>
      <c r="G244" t="s">
        <v>30059</v>
      </c>
      <c r="H244" t="s">
        <v>15498</v>
      </c>
      <c r="I244" t="s">
        <v>30110</v>
      </c>
      <c r="J244" t="s">
        <v>30404</v>
      </c>
      <c r="K244" t="s">
        <v>39029</v>
      </c>
      <c r="M244" t="s">
        <v>39379</v>
      </c>
      <c r="N244" t="s">
        <v>43166</v>
      </c>
      <c r="O244" t="s">
        <v>43167</v>
      </c>
      <c r="P244">
        <v>0</v>
      </c>
      <c r="Q244">
        <v>2</v>
      </c>
      <c r="R244" t="s">
        <v>43168</v>
      </c>
      <c r="S244" t="s">
        <v>43286</v>
      </c>
      <c r="T244" t="s">
        <v>44746</v>
      </c>
      <c r="U244" t="s">
        <v>45445</v>
      </c>
      <c r="W244" t="s">
        <v>39379</v>
      </c>
      <c r="X244" t="s">
        <v>43171</v>
      </c>
    </row>
    <row r="245" spans="1:24">
      <c r="A245">
        <f>HYPERLINK("https://www.philgeps.gov.ph/GEPSNONPILOT/Tender/SplashBidNoticeAbstractUI.aspx?menuIndex=3&amp;refID=7085065&amp;Result=3","7085065")</f>
        <v>0</v>
      </c>
      <c r="B245" t="s">
        <v>78</v>
      </c>
      <c r="C245" t="s">
        <v>3690</v>
      </c>
      <c r="E245" t="s">
        <v>17748</v>
      </c>
      <c r="F245" t="s">
        <v>30052</v>
      </c>
      <c r="G245" t="s">
        <v>30059</v>
      </c>
      <c r="H245" t="s">
        <v>15498</v>
      </c>
      <c r="I245" t="s">
        <v>30111</v>
      </c>
      <c r="J245" t="s">
        <v>30405</v>
      </c>
      <c r="K245" t="s">
        <v>39019</v>
      </c>
      <c r="M245" t="s">
        <v>39367</v>
      </c>
      <c r="N245" t="s">
        <v>43166</v>
      </c>
      <c r="O245" t="s">
        <v>43167</v>
      </c>
      <c r="P245">
        <v>0</v>
      </c>
      <c r="Q245">
        <v>1</v>
      </c>
      <c r="R245" t="s">
        <v>43168</v>
      </c>
      <c r="S245" t="s">
        <v>43286</v>
      </c>
      <c r="T245" t="s">
        <v>44681</v>
      </c>
      <c r="U245" t="s">
        <v>45446</v>
      </c>
      <c r="V245" t="s">
        <v>56853</v>
      </c>
      <c r="W245" t="s">
        <v>39367</v>
      </c>
      <c r="X245" t="s">
        <v>43171</v>
      </c>
    </row>
    <row r="246" spans="1:24">
      <c r="A246">
        <f>HYPERLINK("https://www.philgeps.gov.ph/GEPSNONPILOT/Tender/SplashBidNoticeAbstractUI.aspx?menuIndex=3&amp;refID=7084669&amp;Result=3","7084669")</f>
        <v>0</v>
      </c>
      <c r="B246" t="s">
        <v>88</v>
      </c>
      <c r="C246" t="s">
        <v>3691</v>
      </c>
      <c r="D246" t="s">
        <v>17451</v>
      </c>
      <c r="E246" t="s">
        <v>17749</v>
      </c>
      <c r="F246" t="s">
        <v>30052</v>
      </c>
      <c r="G246" t="s">
        <v>30058</v>
      </c>
      <c r="H246" t="s">
        <v>15498</v>
      </c>
      <c r="I246" t="s">
        <v>30073</v>
      </c>
      <c r="J246" t="s">
        <v>30406</v>
      </c>
      <c r="K246" t="s">
        <v>39034</v>
      </c>
      <c r="M246" t="s">
        <v>39377</v>
      </c>
      <c r="N246" t="s">
        <v>43166</v>
      </c>
      <c r="O246" t="s">
        <v>43167</v>
      </c>
      <c r="P246">
        <v>0</v>
      </c>
      <c r="Q246">
        <v>0</v>
      </c>
      <c r="R246" t="s">
        <v>43168</v>
      </c>
      <c r="S246" t="s">
        <v>43286</v>
      </c>
      <c r="T246" t="s">
        <v>44718</v>
      </c>
      <c r="U246" t="s">
        <v>45447</v>
      </c>
      <c r="V246" t="s">
        <v>56835</v>
      </c>
      <c r="W246" t="s">
        <v>39377</v>
      </c>
      <c r="X246" t="s">
        <v>43171</v>
      </c>
    </row>
    <row r="247" spans="1:24">
      <c r="A247">
        <f>HYPERLINK("https://www.philgeps.gov.ph/GEPSNONPILOT/Tender/SplashBidNoticeAbstractUI.aspx?menuIndex=3&amp;refID=7085042&amp;Result=3","7085042")</f>
        <v>0</v>
      </c>
      <c r="B247" t="s">
        <v>99</v>
      </c>
      <c r="C247" t="s">
        <v>3692</v>
      </c>
      <c r="D247" t="s">
        <v>17447</v>
      </c>
      <c r="E247" t="s">
        <v>17750</v>
      </c>
      <c r="F247" t="s">
        <v>30052</v>
      </c>
      <c r="G247" t="s">
        <v>30058</v>
      </c>
      <c r="H247" t="s">
        <v>30067</v>
      </c>
      <c r="I247" t="s">
        <v>3693</v>
      </c>
      <c r="J247" t="s">
        <v>30252</v>
      </c>
      <c r="K247" t="s">
        <v>39023</v>
      </c>
      <c r="M247" t="s">
        <v>39388</v>
      </c>
      <c r="N247" t="s">
        <v>43166</v>
      </c>
      <c r="O247" t="s">
        <v>43167</v>
      </c>
      <c r="P247">
        <v>0</v>
      </c>
      <c r="Q247">
        <v>0</v>
      </c>
      <c r="R247" t="s">
        <v>43168</v>
      </c>
      <c r="S247" t="s">
        <v>43286</v>
      </c>
      <c r="T247" t="s">
        <v>44721</v>
      </c>
      <c r="U247" t="s">
        <v>45340</v>
      </c>
      <c r="V247" t="s">
        <v>56836</v>
      </c>
      <c r="W247" t="s">
        <v>58590</v>
      </c>
      <c r="X247" t="s">
        <v>43171</v>
      </c>
    </row>
    <row r="248" spans="1:24">
      <c r="A248">
        <f>HYPERLINK("https://www.philgeps.gov.ph/GEPSNONPILOT/Tender/SplashBidNoticeAbstractUI.aspx?menuIndex=3&amp;refID=7085108&amp;Result=3","7085108")</f>
        <v>0</v>
      </c>
      <c r="B248" t="s">
        <v>118</v>
      </c>
      <c r="C248" t="s">
        <v>3693</v>
      </c>
      <c r="D248" t="s">
        <v>17433</v>
      </c>
      <c r="E248" t="s">
        <v>17751</v>
      </c>
      <c r="F248" t="s">
        <v>30052</v>
      </c>
      <c r="G248" t="s">
        <v>30058</v>
      </c>
      <c r="H248" t="s">
        <v>30067</v>
      </c>
      <c r="I248" t="s">
        <v>3693</v>
      </c>
      <c r="J248" t="s">
        <v>30252</v>
      </c>
      <c r="K248" t="s">
        <v>39025</v>
      </c>
      <c r="M248" t="s">
        <v>39407</v>
      </c>
      <c r="N248" t="s">
        <v>43166</v>
      </c>
      <c r="O248" t="s">
        <v>43167</v>
      </c>
      <c r="P248">
        <v>0</v>
      </c>
      <c r="Q248">
        <v>0</v>
      </c>
      <c r="R248" t="s">
        <v>43168</v>
      </c>
      <c r="S248" t="s">
        <v>43286</v>
      </c>
      <c r="T248" t="s">
        <v>44729</v>
      </c>
      <c r="U248" t="s">
        <v>45448</v>
      </c>
      <c r="W248" t="s">
        <v>39407</v>
      </c>
      <c r="X248" t="s">
        <v>43171</v>
      </c>
    </row>
    <row r="249" spans="1:24">
      <c r="A249">
        <f>HYPERLINK("https://www.philgeps.gov.ph/GEPSNONPILOT/Tender/SplashBidNoticeAbstractUI.aspx?menuIndex=3&amp;refID=7082633&amp;Result=3","7082633")</f>
        <v>0</v>
      </c>
      <c r="B249" t="s">
        <v>62</v>
      </c>
      <c r="C249" t="s">
        <v>3694</v>
      </c>
      <c r="D249" t="s">
        <v>17443</v>
      </c>
      <c r="E249" t="s">
        <v>17752</v>
      </c>
      <c r="F249" t="s">
        <v>30052</v>
      </c>
      <c r="G249" t="s">
        <v>30059</v>
      </c>
      <c r="H249" t="s">
        <v>15498</v>
      </c>
      <c r="I249" t="s">
        <v>9238</v>
      </c>
      <c r="J249" t="s">
        <v>30407</v>
      </c>
      <c r="K249" t="s">
        <v>39019</v>
      </c>
      <c r="L249" t="s">
        <v>62</v>
      </c>
      <c r="M249" t="s">
        <v>39351</v>
      </c>
      <c r="N249" t="s">
        <v>43166</v>
      </c>
      <c r="O249" t="s">
        <v>43167</v>
      </c>
      <c r="P249">
        <v>0</v>
      </c>
      <c r="Q249">
        <v>14</v>
      </c>
      <c r="R249" t="s">
        <v>43168</v>
      </c>
      <c r="S249" t="s">
        <v>43286</v>
      </c>
      <c r="T249" t="s">
        <v>44691</v>
      </c>
      <c r="U249" t="s">
        <v>45287</v>
      </c>
      <c r="V249" t="s">
        <v>56851</v>
      </c>
      <c r="W249" t="s">
        <v>39351</v>
      </c>
      <c r="X249" t="s">
        <v>43172</v>
      </c>
    </row>
    <row r="250" spans="1:24">
      <c r="A250">
        <f>HYPERLINK("https://www.philgeps.gov.ph/GEPSNONPILOT/Tender/SplashBidNoticeAbstractUI.aspx?menuIndex=3&amp;refID=7085082&amp;Result=3","7085082")</f>
        <v>0</v>
      </c>
      <c r="B250" t="s">
        <v>165</v>
      </c>
      <c r="C250" t="s">
        <v>3695</v>
      </c>
      <c r="D250" t="s">
        <v>17448</v>
      </c>
      <c r="E250" t="s">
        <v>17753</v>
      </c>
      <c r="F250" t="s">
        <v>30052</v>
      </c>
      <c r="G250" t="s">
        <v>30059</v>
      </c>
      <c r="H250" t="s">
        <v>15498</v>
      </c>
      <c r="I250" t="s">
        <v>30100</v>
      </c>
      <c r="J250" t="s">
        <v>30408</v>
      </c>
      <c r="K250" t="s">
        <v>39029</v>
      </c>
      <c r="M250" t="s">
        <v>39454</v>
      </c>
      <c r="N250" t="s">
        <v>43166</v>
      </c>
      <c r="O250" t="s">
        <v>43167</v>
      </c>
      <c r="P250">
        <v>0</v>
      </c>
      <c r="Q250">
        <v>1</v>
      </c>
      <c r="R250" t="s">
        <v>43168</v>
      </c>
      <c r="S250" t="s">
        <v>43286</v>
      </c>
      <c r="T250" t="s">
        <v>44721</v>
      </c>
      <c r="U250" t="s">
        <v>45449</v>
      </c>
      <c r="W250" t="s">
        <v>39454</v>
      </c>
      <c r="X250" t="s">
        <v>43171</v>
      </c>
    </row>
    <row r="251" spans="1:24">
      <c r="A251">
        <f>HYPERLINK("https://www.philgeps.gov.ph/GEPSNONPILOT/Tender/SplashBidNoticeAbstractUI.aspx?menuIndex=3&amp;refID=7084825&amp;Result=3","7084825")</f>
        <v>0</v>
      </c>
      <c r="B251" t="s">
        <v>104</v>
      </c>
      <c r="C251" t="s">
        <v>3696</v>
      </c>
      <c r="D251" t="s">
        <v>17457</v>
      </c>
      <c r="E251" t="s">
        <v>17754</v>
      </c>
      <c r="F251" t="s">
        <v>30052</v>
      </c>
      <c r="G251" t="s">
        <v>30059</v>
      </c>
      <c r="H251" t="s">
        <v>15498</v>
      </c>
      <c r="I251" t="s">
        <v>9238</v>
      </c>
      <c r="J251" t="s">
        <v>30409</v>
      </c>
      <c r="K251" t="s">
        <v>39019</v>
      </c>
      <c r="M251" t="s">
        <v>39393</v>
      </c>
      <c r="N251" t="s">
        <v>43166</v>
      </c>
      <c r="O251" t="s">
        <v>43167</v>
      </c>
      <c r="P251">
        <v>0</v>
      </c>
      <c r="Q251">
        <v>3</v>
      </c>
      <c r="R251" t="s">
        <v>43168</v>
      </c>
      <c r="S251" t="s">
        <v>43286</v>
      </c>
      <c r="T251" t="s">
        <v>44698</v>
      </c>
      <c r="U251" t="s">
        <v>45450</v>
      </c>
      <c r="W251" t="s">
        <v>39393</v>
      </c>
      <c r="X251" t="s">
        <v>43171</v>
      </c>
    </row>
    <row r="252" spans="1:24">
      <c r="A252">
        <f>HYPERLINK("https://www.philgeps.gov.ph/GEPSNONPILOT/Tender/SplashBidNoticeAbstractUI.aspx?menuIndex=3&amp;refID=7082278&amp;Result=3","7082278")</f>
        <v>0</v>
      </c>
      <c r="B252" t="s">
        <v>55</v>
      </c>
      <c r="C252" t="s">
        <v>3697</v>
      </c>
      <c r="D252" t="s">
        <v>17415</v>
      </c>
      <c r="E252" t="s">
        <v>3697</v>
      </c>
      <c r="F252" t="s">
        <v>30052</v>
      </c>
      <c r="G252" t="s">
        <v>30058</v>
      </c>
      <c r="H252" t="s">
        <v>15498</v>
      </c>
      <c r="I252" t="s">
        <v>30112</v>
      </c>
      <c r="J252" t="s">
        <v>30410</v>
      </c>
      <c r="K252" t="s">
        <v>39029</v>
      </c>
      <c r="M252" t="s">
        <v>39344</v>
      </c>
      <c r="N252" t="s">
        <v>43166</v>
      </c>
      <c r="O252" t="s">
        <v>43167</v>
      </c>
      <c r="P252">
        <v>0</v>
      </c>
      <c r="Q252">
        <v>0</v>
      </c>
      <c r="R252" t="s">
        <v>43168</v>
      </c>
      <c r="S252" t="s">
        <v>43286</v>
      </c>
      <c r="T252" t="s">
        <v>44748</v>
      </c>
      <c r="U252" t="s">
        <v>45280</v>
      </c>
      <c r="W252" t="s">
        <v>39344</v>
      </c>
      <c r="X252" t="s">
        <v>43172</v>
      </c>
    </row>
    <row r="253" spans="1:24">
      <c r="A253">
        <f>HYPERLINK("https://www.philgeps.gov.ph/GEPSNONPILOT/Tender/SplashBidNoticeAbstractUI.aspx?menuIndex=3&amp;refID=7085062&amp;Result=3","7085062")</f>
        <v>0</v>
      </c>
      <c r="B253" t="s">
        <v>166</v>
      </c>
      <c r="C253" t="s">
        <v>3698</v>
      </c>
      <c r="D253" t="s">
        <v>17427</v>
      </c>
      <c r="E253" t="s">
        <v>17755</v>
      </c>
      <c r="F253" t="s">
        <v>30052</v>
      </c>
      <c r="G253" t="s">
        <v>30061</v>
      </c>
      <c r="H253" t="s">
        <v>15498</v>
      </c>
      <c r="I253" t="s">
        <v>9238</v>
      </c>
      <c r="J253" t="s">
        <v>30411</v>
      </c>
      <c r="K253" t="s">
        <v>39017</v>
      </c>
      <c r="M253" t="s">
        <v>39455</v>
      </c>
      <c r="N253" t="s">
        <v>43166</v>
      </c>
      <c r="O253" t="s">
        <v>43167</v>
      </c>
      <c r="P253">
        <v>0</v>
      </c>
      <c r="Q253">
        <v>5</v>
      </c>
      <c r="R253" t="s">
        <v>43168</v>
      </c>
      <c r="S253" t="s">
        <v>43286</v>
      </c>
      <c r="T253" t="s">
        <v>44737</v>
      </c>
      <c r="U253" t="s">
        <v>45451</v>
      </c>
      <c r="V253" t="s">
        <v>56854</v>
      </c>
      <c r="W253" t="s">
        <v>39455</v>
      </c>
      <c r="X253" t="s">
        <v>43171</v>
      </c>
    </row>
    <row r="254" spans="1:24">
      <c r="A254">
        <f>HYPERLINK("https://www.philgeps.gov.ph/GEPSNONPILOT/Tender/SplashBidNoticeAbstractUI.aspx?menuIndex=3&amp;refID=7085238&amp;Result=3","7085238")</f>
        <v>0</v>
      </c>
      <c r="B254" t="s">
        <v>166</v>
      </c>
      <c r="C254" t="s">
        <v>3699</v>
      </c>
      <c r="D254" t="s">
        <v>17427</v>
      </c>
      <c r="E254" t="s">
        <v>17756</v>
      </c>
      <c r="F254" t="s">
        <v>30052</v>
      </c>
      <c r="G254" t="s">
        <v>30061</v>
      </c>
      <c r="H254" t="s">
        <v>15498</v>
      </c>
      <c r="I254" t="s">
        <v>3606</v>
      </c>
      <c r="J254" t="s">
        <v>30252</v>
      </c>
      <c r="K254" t="s">
        <v>39017</v>
      </c>
      <c r="M254" t="s">
        <v>39455</v>
      </c>
      <c r="N254" t="s">
        <v>43166</v>
      </c>
      <c r="O254" t="s">
        <v>43167</v>
      </c>
      <c r="P254">
        <v>0</v>
      </c>
      <c r="Q254">
        <v>3</v>
      </c>
      <c r="R254" t="s">
        <v>43168</v>
      </c>
      <c r="S254" t="s">
        <v>43286</v>
      </c>
      <c r="T254" t="s">
        <v>44737</v>
      </c>
      <c r="U254" t="s">
        <v>45452</v>
      </c>
      <c r="V254" t="s">
        <v>56855</v>
      </c>
      <c r="W254" t="s">
        <v>39455</v>
      </c>
      <c r="X254" t="s">
        <v>43171</v>
      </c>
    </row>
    <row r="255" spans="1:24">
      <c r="A255">
        <f>HYPERLINK("https://www.philgeps.gov.ph/GEPSNONPILOT/Tender/SplashBidNoticeAbstractUI.aspx?menuIndex=3&amp;refID=7085057&amp;Result=3","7085057")</f>
        <v>0</v>
      </c>
      <c r="B255" t="s">
        <v>167</v>
      </c>
      <c r="C255" t="s">
        <v>3700</v>
      </c>
      <c r="E255" t="s">
        <v>17757</v>
      </c>
      <c r="F255" t="s">
        <v>30052</v>
      </c>
      <c r="G255" t="s">
        <v>30059</v>
      </c>
      <c r="H255" t="s">
        <v>15498</v>
      </c>
      <c r="I255" t="s">
        <v>30113</v>
      </c>
      <c r="J255" t="s">
        <v>30412</v>
      </c>
      <c r="K255" t="s">
        <v>39034</v>
      </c>
      <c r="M255" t="s">
        <v>39456</v>
      </c>
      <c r="N255" t="s">
        <v>43166</v>
      </c>
      <c r="O255" t="s">
        <v>43167</v>
      </c>
      <c r="P255">
        <v>0</v>
      </c>
      <c r="Q255">
        <v>0</v>
      </c>
      <c r="R255" t="s">
        <v>43168</v>
      </c>
      <c r="S255" t="s">
        <v>43286</v>
      </c>
      <c r="T255" t="s">
        <v>44708</v>
      </c>
      <c r="U255" t="s">
        <v>45453</v>
      </c>
      <c r="W255" t="s">
        <v>39456</v>
      </c>
      <c r="X255" t="s">
        <v>43171</v>
      </c>
    </row>
    <row r="256" spans="1:24">
      <c r="A256">
        <f>HYPERLINK("https://www.philgeps.gov.ph/GEPSNONPILOT/Tender/SplashBidNoticeAbstractUI.aspx?menuIndex=3&amp;refID=7085227&amp;Result=3","7085227")</f>
        <v>0</v>
      </c>
      <c r="B256" t="s">
        <v>38</v>
      </c>
      <c r="C256" t="s">
        <v>3701</v>
      </c>
      <c r="D256" t="s">
        <v>17423</v>
      </c>
      <c r="E256" t="s">
        <v>17758</v>
      </c>
      <c r="F256" t="s">
        <v>30052</v>
      </c>
      <c r="G256" t="s">
        <v>30058</v>
      </c>
      <c r="H256" t="s">
        <v>15498</v>
      </c>
      <c r="I256" t="s">
        <v>4642</v>
      </c>
      <c r="J256" t="s">
        <v>30397</v>
      </c>
      <c r="K256" t="s">
        <v>39029</v>
      </c>
      <c r="M256" t="s">
        <v>39328</v>
      </c>
      <c r="N256" t="s">
        <v>43166</v>
      </c>
      <c r="O256" t="s">
        <v>43167</v>
      </c>
      <c r="P256">
        <v>0</v>
      </c>
      <c r="Q256">
        <v>3</v>
      </c>
      <c r="R256" t="s">
        <v>43168</v>
      </c>
      <c r="S256" t="s">
        <v>43286</v>
      </c>
      <c r="T256" t="s">
        <v>44736</v>
      </c>
      <c r="U256" t="s">
        <v>45454</v>
      </c>
      <c r="W256" t="s">
        <v>39328</v>
      </c>
      <c r="X256" t="s">
        <v>43171</v>
      </c>
    </row>
    <row r="257" spans="1:24">
      <c r="A257">
        <f>HYPERLINK("https://www.philgeps.gov.ph/GEPSNONPILOT/Tender/SplashBidNoticeAbstractUI.aspx?menuIndex=3&amp;refID=7085222&amp;Result=3","7085222")</f>
        <v>0</v>
      </c>
      <c r="B257" t="s">
        <v>127</v>
      </c>
      <c r="C257" t="s">
        <v>3702</v>
      </c>
      <c r="D257" t="s">
        <v>17434</v>
      </c>
      <c r="E257" t="s">
        <v>17759</v>
      </c>
      <c r="F257" t="s">
        <v>30052</v>
      </c>
      <c r="G257" t="s">
        <v>30058</v>
      </c>
      <c r="H257" t="s">
        <v>15498</v>
      </c>
      <c r="I257" t="s">
        <v>30070</v>
      </c>
      <c r="J257" t="s">
        <v>30413</v>
      </c>
      <c r="K257" t="s">
        <v>39025</v>
      </c>
      <c r="M257" t="s">
        <v>39416</v>
      </c>
      <c r="N257" t="s">
        <v>43166</v>
      </c>
      <c r="O257" t="s">
        <v>43167</v>
      </c>
      <c r="P257">
        <v>0</v>
      </c>
      <c r="Q257">
        <v>0</v>
      </c>
      <c r="R257" t="s">
        <v>43168</v>
      </c>
      <c r="S257" t="s">
        <v>43286</v>
      </c>
      <c r="T257" t="s">
        <v>44688</v>
      </c>
      <c r="U257" t="s">
        <v>45455</v>
      </c>
      <c r="V257" t="s">
        <v>56840</v>
      </c>
      <c r="W257" t="s">
        <v>39416</v>
      </c>
      <c r="X257" t="s">
        <v>43171</v>
      </c>
    </row>
    <row r="258" spans="1:24">
      <c r="A258">
        <f>HYPERLINK("https://www.philgeps.gov.ph/GEPSNONPILOT/Tender/SplashBidNoticeAbstractUI.aspx?menuIndex=3&amp;refID=7085218&amp;Result=3","7085218")</f>
        <v>0</v>
      </c>
      <c r="B258" t="s">
        <v>168</v>
      </c>
      <c r="C258" t="s">
        <v>3703</v>
      </c>
      <c r="D258" t="s">
        <v>17474</v>
      </c>
      <c r="E258" t="s">
        <v>17760</v>
      </c>
      <c r="F258" t="s">
        <v>30052</v>
      </c>
      <c r="G258" t="s">
        <v>30059</v>
      </c>
      <c r="H258" t="s">
        <v>15498</v>
      </c>
      <c r="I258" t="s">
        <v>30073</v>
      </c>
      <c r="J258" t="s">
        <v>30414</v>
      </c>
      <c r="K258" t="s">
        <v>39034</v>
      </c>
      <c r="M258" t="s">
        <v>39457</v>
      </c>
      <c r="N258" t="s">
        <v>43166</v>
      </c>
      <c r="O258" t="s">
        <v>43167</v>
      </c>
      <c r="P258">
        <v>0</v>
      </c>
      <c r="Q258">
        <v>0</v>
      </c>
      <c r="R258" t="s">
        <v>43168</v>
      </c>
      <c r="S258" t="s">
        <v>43286</v>
      </c>
      <c r="T258" t="s">
        <v>44749</v>
      </c>
      <c r="U258" t="s">
        <v>45456</v>
      </c>
      <c r="V258" t="s">
        <v>56856</v>
      </c>
      <c r="W258" t="s">
        <v>39457</v>
      </c>
      <c r="X258" t="s">
        <v>43171</v>
      </c>
    </row>
    <row r="259" spans="1:24">
      <c r="A259">
        <f>HYPERLINK("https://www.philgeps.gov.ph/GEPSNONPILOT/Tender/SplashBidNoticeAbstractUI.aspx?menuIndex=3&amp;refID=7082317&amp;Result=3","7082317")</f>
        <v>0</v>
      </c>
      <c r="B259" t="s">
        <v>62</v>
      </c>
      <c r="C259" t="s">
        <v>3704</v>
      </c>
      <c r="D259" t="s">
        <v>17443</v>
      </c>
      <c r="E259" t="s">
        <v>17761</v>
      </c>
      <c r="F259" t="s">
        <v>30052</v>
      </c>
      <c r="G259" t="s">
        <v>30058</v>
      </c>
      <c r="H259" t="s">
        <v>15498</v>
      </c>
      <c r="I259" t="s">
        <v>3736</v>
      </c>
      <c r="J259" t="s">
        <v>30415</v>
      </c>
      <c r="K259" t="s">
        <v>39032</v>
      </c>
      <c r="L259" t="s">
        <v>62</v>
      </c>
      <c r="M259" t="s">
        <v>39351</v>
      </c>
      <c r="N259" t="s">
        <v>43166</v>
      </c>
      <c r="O259" t="s">
        <v>43167</v>
      </c>
      <c r="P259">
        <v>0</v>
      </c>
      <c r="Q259">
        <v>1</v>
      </c>
      <c r="R259" t="s">
        <v>43168</v>
      </c>
      <c r="S259" t="s">
        <v>43286</v>
      </c>
      <c r="T259" t="s">
        <v>44684</v>
      </c>
      <c r="U259" t="s">
        <v>45457</v>
      </c>
      <c r="V259" t="s">
        <v>56857</v>
      </c>
      <c r="W259" t="s">
        <v>39351</v>
      </c>
      <c r="X259" t="s">
        <v>43172</v>
      </c>
    </row>
    <row r="260" spans="1:24">
      <c r="A260">
        <f>HYPERLINK("https://www.philgeps.gov.ph/GEPSNONPILOT/Tender/SplashBidNoticeAbstractUI.aspx?menuIndex=3&amp;refID=7085215&amp;Result=3","7085215")</f>
        <v>0</v>
      </c>
      <c r="B260" t="s">
        <v>169</v>
      </c>
      <c r="C260" t="s">
        <v>3705</v>
      </c>
      <c r="D260" t="s">
        <v>17449</v>
      </c>
      <c r="E260" t="s">
        <v>17762</v>
      </c>
      <c r="F260" t="s">
        <v>30052</v>
      </c>
      <c r="G260" t="s">
        <v>30058</v>
      </c>
      <c r="H260" t="s">
        <v>15498</v>
      </c>
      <c r="I260" t="s">
        <v>30074</v>
      </c>
      <c r="J260" t="s">
        <v>30416</v>
      </c>
      <c r="K260" t="s">
        <v>39029</v>
      </c>
      <c r="M260" t="s">
        <v>39458</v>
      </c>
      <c r="N260" t="s">
        <v>43166</v>
      </c>
      <c r="O260" t="s">
        <v>43167</v>
      </c>
      <c r="P260">
        <v>0</v>
      </c>
      <c r="Q260">
        <v>6</v>
      </c>
      <c r="R260" t="s">
        <v>43168</v>
      </c>
      <c r="S260" t="s">
        <v>43286</v>
      </c>
      <c r="T260" t="s">
        <v>44684</v>
      </c>
      <c r="U260" t="s">
        <v>45458</v>
      </c>
      <c r="V260" t="s">
        <v>56858</v>
      </c>
      <c r="W260" t="s">
        <v>39458</v>
      </c>
      <c r="X260" t="s">
        <v>43171</v>
      </c>
    </row>
    <row r="261" spans="1:24">
      <c r="A261">
        <f>HYPERLINK("https://www.philgeps.gov.ph/GEPSNONPILOT/Tender/SplashBidNoticeAbstractUI.aspx?menuIndex=3&amp;refID=7085204&amp;Result=3","7085204")</f>
        <v>0</v>
      </c>
      <c r="B261" t="s">
        <v>143</v>
      </c>
      <c r="C261" t="s">
        <v>3706</v>
      </c>
      <c r="D261" t="s">
        <v>17415</v>
      </c>
      <c r="E261" t="s">
        <v>17763</v>
      </c>
      <c r="F261" t="s">
        <v>30052</v>
      </c>
      <c r="G261" t="s">
        <v>30059</v>
      </c>
      <c r="H261" t="s">
        <v>30069</v>
      </c>
      <c r="I261" t="s">
        <v>30094</v>
      </c>
      <c r="J261" t="s">
        <v>30417</v>
      </c>
      <c r="K261" t="s">
        <v>39034</v>
      </c>
      <c r="M261" t="s">
        <v>39432</v>
      </c>
      <c r="N261" t="s">
        <v>43166</v>
      </c>
      <c r="O261" t="s">
        <v>43167</v>
      </c>
      <c r="P261">
        <v>0</v>
      </c>
      <c r="Q261">
        <v>1</v>
      </c>
      <c r="R261" t="s">
        <v>43168</v>
      </c>
      <c r="S261" t="s">
        <v>43286</v>
      </c>
      <c r="T261" t="s">
        <v>44738</v>
      </c>
      <c r="U261" t="s">
        <v>45459</v>
      </c>
      <c r="W261" t="s">
        <v>39432</v>
      </c>
      <c r="X261" t="s">
        <v>43171</v>
      </c>
    </row>
    <row r="262" spans="1:24">
      <c r="A262">
        <f>HYPERLINK("https://www.philgeps.gov.ph/GEPSNONPILOT/Tender/SplashBidNoticeAbstractUI.aspx?menuIndex=3&amp;refID=7085233&amp;Result=3","7085233")</f>
        <v>0</v>
      </c>
      <c r="B262" t="s">
        <v>170</v>
      </c>
      <c r="C262" t="s">
        <v>3707</v>
      </c>
      <c r="D262" t="s">
        <v>17475</v>
      </c>
      <c r="E262" t="s">
        <v>17764</v>
      </c>
      <c r="F262" t="s">
        <v>30052</v>
      </c>
      <c r="G262" t="s">
        <v>30058</v>
      </c>
      <c r="H262" t="s">
        <v>30067</v>
      </c>
      <c r="I262" t="s">
        <v>3693</v>
      </c>
      <c r="J262" t="s">
        <v>30418</v>
      </c>
      <c r="K262" t="s">
        <v>39056</v>
      </c>
      <c r="M262" t="s">
        <v>39459</v>
      </c>
      <c r="N262" t="s">
        <v>43166</v>
      </c>
      <c r="O262" t="s">
        <v>43167</v>
      </c>
      <c r="P262">
        <v>0</v>
      </c>
      <c r="Q262">
        <v>0</v>
      </c>
      <c r="R262" t="s">
        <v>43168</v>
      </c>
      <c r="S262" t="s">
        <v>43286</v>
      </c>
      <c r="T262" t="s">
        <v>44750</v>
      </c>
      <c r="U262" t="s">
        <v>45460</v>
      </c>
      <c r="W262" t="s">
        <v>39459</v>
      </c>
      <c r="X262" t="s">
        <v>43171</v>
      </c>
    </row>
    <row r="263" spans="1:24">
      <c r="A263">
        <f>HYPERLINK("https://www.philgeps.gov.ph/GEPSNONPILOT/Tender/SplashBidNoticeAbstractUI.aspx?menuIndex=3&amp;refID=7085224&amp;Result=3","7085224")</f>
        <v>0</v>
      </c>
      <c r="B263" t="s">
        <v>99</v>
      </c>
      <c r="C263" t="s">
        <v>3708</v>
      </c>
      <c r="D263" t="s">
        <v>17447</v>
      </c>
      <c r="E263" t="s">
        <v>17765</v>
      </c>
      <c r="F263" t="s">
        <v>30052</v>
      </c>
      <c r="G263" t="s">
        <v>30058</v>
      </c>
      <c r="H263" t="s">
        <v>30067</v>
      </c>
      <c r="I263" t="s">
        <v>3693</v>
      </c>
      <c r="J263" t="s">
        <v>30252</v>
      </c>
      <c r="K263" t="s">
        <v>39046</v>
      </c>
      <c r="M263" t="s">
        <v>39388</v>
      </c>
      <c r="N263" t="s">
        <v>43166</v>
      </c>
      <c r="O263" t="s">
        <v>43167</v>
      </c>
      <c r="P263">
        <v>0</v>
      </c>
      <c r="Q263">
        <v>0</v>
      </c>
      <c r="R263" t="s">
        <v>43168</v>
      </c>
      <c r="S263" t="s">
        <v>43286</v>
      </c>
      <c r="T263" t="s">
        <v>44721</v>
      </c>
      <c r="U263" t="s">
        <v>45340</v>
      </c>
      <c r="V263" t="s">
        <v>56836</v>
      </c>
      <c r="W263" t="s">
        <v>58590</v>
      </c>
      <c r="X263" t="s">
        <v>43171</v>
      </c>
    </row>
    <row r="264" spans="1:24">
      <c r="A264">
        <f>HYPERLINK("https://www.philgeps.gov.ph/GEPSNONPILOT/Tender/SplashBidNoticeAbstractUI.aspx?menuIndex=3&amp;refID=7085198&amp;Result=3","7085198")</f>
        <v>0</v>
      </c>
      <c r="B264" t="s">
        <v>47</v>
      </c>
      <c r="C264" t="s">
        <v>3709</v>
      </c>
      <c r="D264" t="s">
        <v>17430</v>
      </c>
      <c r="E264" t="s">
        <v>17766</v>
      </c>
      <c r="F264" t="s">
        <v>30052</v>
      </c>
      <c r="G264" t="s">
        <v>30061</v>
      </c>
      <c r="H264" t="s">
        <v>15498</v>
      </c>
      <c r="I264" t="s">
        <v>30092</v>
      </c>
      <c r="J264" t="s">
        <v>30419</v>
      </c>
      <c r="K264" t="s">
        <v>39019</v>
      </c>
      <c r="M264" t="s">
        <v>39337</v>
      </c>
      <c r="N264" t="s">
        <v>43166</v>
      </c>
      <c r="O264" t="s">
        <v>43167</v>
      </c>
      <c r="P264">
        <v>0</v>
      </c>
      <c r="Q264">
        <v>0</v>
      </c>
      <c r="R264" t="s">
        <v>43168</v>
      </c>
      <c r="S264" t="s">
        <v>43286</v>
      </c>
      <c r="T264" t="s">
        <v>44751</v>
      </c>
      <c r="U264" t="s">
        <v>45461</v>
      </c>
      <c r="V264" t="s">
        <v>56859</v>
      </c>
      <c r="W264" t="s">
        <v>39337</v>
      </c>
      <c r="X264" t="s">
        <v>43171</v>
      </c>
    </row>
    <row r="265" spans="1:24">
      <c r="A265">
        <f>HYPERLINK("https://www.philgeps.gov.ph/GEPSNONPILOT/Tender/SplashBidNoticeAbstractUI.aspx?menuIndex=3&amp;refID=7085098&amp;Result=3","7085098")</f>
        <v>0</v>
      </c>
      <c r="B265" t="s">
        <v>164</v>
      </c>
      <c r="C265" t="s">
        <v>3710</v>
      </c>
      <c r="D265" t="s">
        <v>17473</v>
      </c>
      <c r="E265" t="s">
        <v>17767</v>
      </c>
      <c r="F265" t="s">
        <v>30052</v>
      </c>
      <c r="G265" t="s">
        <v>30058</v>
      </c>
      <c r="H265" t="s">
        <v>30067</v>
      </c>
      <c r="I265" t="s">
        <v>3693</v>
      </c>
      <c r="J265" t="s">
        <v>30420</v>
      </c>
      <c r="K265" t="s">
        <v>39057</v>
      </c>
      <c r="M265" t="s">
        <v>39453</v>
      </c>
      <c r="N265" t="s">
        <v>43166</v>
      </c>
      <c r="O265" t="s">
        <v>43167</v>
      </c>
      <c r="P265">
        <v>0</v>
      </c>
      <c r="Q265">
        <v>0</v>
      </c>
      <c r="R265" t="s">
        <v>43168</v>
      </c>
      <c r="S265" t="s">
        <v>43286</v>
      </c>
      <c r="T265" t="s">
        <v>44747</v>
      </c>
      <c r="U265" t="s">
        <v>45462</v>
      </c>
      <c r="W265" t="s">
        <v>39453</v>
      </c>
      <c r="X265" t="s">
        <v>43171</v>
      </c>
    </row>
    <row r="266" spans="1:24">
      <c r="A266">
        <f>HYPERLINK("https://www.philgeps.gov.ph/GEPSNONPILOT/Tender/SplashBidNoticeAbstractUI.aspx?menuIndex=3&amp;refID=7082301&amp;Result=3","7082301")</f>
        <v>0</v>
      </c>
      <c r="B266" t="s">
        <v>55</v>
      </c>
      <c r="C266" t="s">
        <v>3711</v>
      </c>
      <c r="D266" t="s">
        <v>17415</v>
      </c>
      <c r="E266" t="s">
        <v>3711</v>
      </c>
      <c r="F266" t="s">
        <v>30052</v>
      </c>
      <c r="G266" t="s">
        <v>30058</v>
      </c>
      <c r="H266" t="s">
        <v>15498</v>
      </c>
      <c r="I266" t="s">
        <v>4119</v>
      </c>
      <c r="J266" t="s">
        <v>30421</v>
      </c>
      <c r="K266" t="s">
        <v>39029</v>
      </c>
      <c r="M266" t="s">
        <v>39344</v>
      </c>
      <c r="N266" t="s">
        <v>43166</v>
      </c>
      <c r="O266" t="s">
        <v>43167</v>
      </c>
      <c r="P266">
        <v>0</v>
      </c>
      <c r="Q266">
        <v>4</v>
      </c>
      <c r="R266" t="s">
        <v>43168</v>
      </c>
      <c r="S266" t="s">
        <v>43286</v>
      </c>
      <c r="T266" t="s">
        <v>44693</v>
      </c>
      <c r="U266" t="s">
        <v>45280</v>
      </c>
      <c r="W266" t="s">
        <v>39344</v>
      </c>
      <c r="X266" t="s">
        <v>43172</v>
      </c>
    </row>
    <row r="267" spans="1:24">
      <c r="A267">
        <f>HYPERLINK("https://www.philgeps.gov.ph/GEPSNONPILOT/Tender/SplashBidNoticeAbstractUI.aspx?menuIndex=3&amp;refID=7085175&amp;Result=3","7085175")</f>
        <v>0</v>
      </c>
      <c r="B267" t="s">
        <v>99</v>
      </c>
      <c r="C267" t="s">
        <v>3712</v>
      </c>
      <c r="D267" t="s">
        <v>17447</v>
      </c>
      <c r="E267" t="s">
        <v>17768</v>
      </c>
      <c r="F267" t="s">
        <v>30052</v>
      </c>
      <c r="G267" t="s">
        <v>30058</v>
      </c>
      <c r="H267" t="s">
        <v>30067</v>
      </c>
      <c r="I267" t="s">
        <v>3693</v>
      </c>
      <c r="J267" t="s">
        <v>30235</v>
      </c>
      <c r="K267" t="s">
        <v>39020</v>
      </c>
      <c r="M267" t="s">
        <v>39388</v>
      </c>
      <c r="N267" t="s">
        <v>43166</v>
      </c>
      <c r="O267" t="s">
        <v>43167</v>
      </c>
      <c r="P267">
        <v>0</v>
      </c>
      <c r="Q267">
        <v>0</v>
      </c>
      <c r="R267" t="s">
        <v>43168</v>
      </c>
      <c r="S267" t="s">
        <v>43286</v>
      </c>
      <c r="T267" t="s">
        <v>44721</v>
      </c>
      <c r="U267" t="s">
        <v>45463</v>
      </c>
      <c r="V267" t="s">
        <v>56836</v>
      </c>
      <c r="W267" t="s">
        <v>58590</v>
      </c>
      <c r="X267" t="s">
        <v>43171</v>
      </c>
    </row>
    <row r="268" spans="1:24">
      <c r="A268">
        <f>HYPERLINK("https://www.philgeps.gov.ph/GEPSNONPILOT/Tender/SplashBidNoticeAbstractUI.aspx?menuIndex=3&amp;refID=7085208&amp;Result=3","7085208")</f>
        <v>0</v>
      </c>
      <c r="B268" t="s">
        <v>171</v>
      </c>
      <c r="C268" t="s">
        <v>3713</v>
      </c>
      <c r="E268" t="s">
        <v>17769</v>
      </c>
      <c r="F268" t="s">
        <v>30052</v>
      </c>
      <c r="G268" t="s">
        <v>30058</v>
      </c>
      <c r="H268" t="s">
        <v>15498</v>
      </c>
      <c r="I268" t="s">
        <v>30114</v>
      </c>
      <c r="J268" t="s">
        <v>30218</v>
      </c>
      <c r="K268" t="s">
        <v>39036</v>
      </c>
      <c r="M268" t="s">
        <v>39460</v>
      </c>
      <c r="N268" t="s">
        <v>43166</v>
      </c>
      <c r="O268" t="s">
        <v>43167</v>
      </c>
      <c r="P268">
        <v>0</v>
      </c>
      <c r="Q268">
        <v>3</v>
      </c>
      <c r="R268" t="s">
        <v>43168</v>
      </c>
      <c r="S268" t="s">
        <v>43286</v>
      </c>
      <c r="T268" t="s">
        <v>44681</v>
      </c>
      <c r="U268" t="s">
        <v>45464</v>
      </c>
      <c r="W268" t="s">
        <v>39460</v>
      </c>
      <c r="X268" t="s">
        <v>43171</v>
      </c>
    </row>
    <row r="269" spans="1:24">
      <c r="A269">
        <f>HYPERLINK("https://www.philgeps.gov.ph/GEPSNONPILOT/Tender/SplashBidNoticeAbstractUI.aspx?menuIndex=3&amp;refID=7085354&amp;Result=3","7085354")</f>
        <v>0</v>
      </c>
      <c r="B269" t="s">
        <v>172</v>
      </c>
      <c r="C269" t="s">
        <v>3714</v>
      </c>
      <c r="D269" t="s">
        <v>17446</v>
      </c>
      <c r="E269" t="s">
        <v>3714</v>
      </c>
      <c r="F269" t="s">
        <v>30052</v>
      </c>
      <c r="G269" t="s">
        <v>30059</v>
      </c>
      <c r="H269" t="s">
        <v>15498</v>
      </c>
      <c r="I269" t="s">
        <v>3852</v>
      </c>
      <c r="J269" t="s">
        <v>30398</v>
      </c>
      <c r="K269" t="s">
        <v>39018</v>
      </c>
      <c r="M269" t="s">
        <v>39461</v>
      </c>
      <c r="N269" t="s">
        <v>43166</v>
      </c>
      <c r="O269" t="s">
        <v>43167</v>
      </c>
      <c r="P269">
        <v>0</v>
      </c>
      <c r="Q269">
        <v>0</v>
      </c>
      <c r="R269" t="s">
        <v>43168</v>
      </c>
      <c r="S269" t="s">
        <v>43286</v>
      </c>
      <c r="T269" t="s">
        <v>44694</v>
      </c>
      <c r="U269" t="s">
        <v>45465</v>
      </c>
      <c r="W269" t="s">
        <v>39461</v>
      </c>
      <c r="X269" t="s">
        <v>43171</v>
      </c>
    </row>
    <row r="270" spans="1:24">
      <c r="A270">
        <f>HYPERLINK("https://www.philgeps.gov.ph/GEPSNONPILOT/Tender/SplashBidNoticeAbstractUI.aspx?menuIndex=3&amp;refID=7085202&amp;Result=3","7085202")</f>
        <v>0</v>
      </c>
      <c r="B270" t="s">
        <v>90</v>
      </c>
      <c r="C270" t="s">
        <v>3715</v>
      </c>
      <c r="D270" t="s">
        <v>17414</v>
      </c>
      <c r="E270" t="s">
        <v>17770</v>
      </c>
      <c r="F270" t="s">
        <v>30052</v>
      </c>
      <c r="G270" t="s">
        <v>30061</v>
      </c>
      <c r="H270" t="s">
        <v>15498</v>
      </c>
      <c r="I270" t="s">
        <v>30115</v>
      </c>
      <c r="J270" t="s">
        <v>30422</v>
      </c>
      <c r="K270" t="s">
        <v>39029</v>
      </c>
      <c r="M270" t="s">
        <v>39379</v>
      </c>
      <c r="N270" t="s">
        <v>43166</v>
      </c>
      <c r="O270" t="s">
        <v>43167</v>
      </c>
      <c r="P270">
        <v>0</v>
      </c>
      <c r="Q270">
        <v>13</v>
      </c>
      <c r="R270" t="s">
        <v>43168</v>
      </c>
      <c r="S270" t="s">
        <v>43286</v>
      </c>
      <c r="T270" t="s">
        <v>44679</v>
      </c>
      <c r="U270" t="s">
        <v>45466</v>
      </c>
      <c r="W270" t="s">
        <v>39379</v>
      </c>
      <c r="X270" t="s">
        <v>43171</v>
      </c>
    </row>
    <row r="271" spans="1:24">
      <c r="A271">
        <f>HYPERLINK("https://www.philgeps.gov.ph/GEPSNONPILOT/Tender/SplashBidNoticeAbstractUI.aspx?menuIndex=3&amp;refID=7085352&amp;Result=3","7085352")</f>
        <v>0</v>
      </c>
      <c r="B271" t="s">
        <v>74</v>
      </c>
      <c r="C271" t="s">
        <v>3716</v>
      </c>
      <c r="D271" t="s">
        <v>17446</v>
      </c>
      <c r="E271" t="s">
        <v>17771</v>
      </c>
      <c r="F271" t="s">
        <v>30052</v>
      </c>
      <c r="G271" t="s">
        <v>30059</v>
      </c>
      <c r="H271" t="s">
        <v>15498</v>
      </c>
      <c r="I271" t="s">
        <v>30116</v>
      </c>
      <c r="J271" t="s">
        <v>30423</v>
      </c>
      <c r="K271" t="s">
        <v>39025</v>
      </c>
      <c r="M271" t="s">
        <v>39363</v>
      </c>
      <c r="N271" t="s">
        <v>43166</v>
      </c>
      <c r="O271" t="s">
        <v>43167</v>
      </c>
      <c r="P271">
        <v>0</v>
      </c>
      <c r="Q271">
        <v>0</v>
      </c>
      <c r="R271" t="s">
        <v>43168</v>
      </c>
      <c r="S271" t="s">
        <v>43286</v>
      </c>
      <c r="T271" t="s">
        <v>44685</v>
      </c>
      <c r="U271" t="s">
        <v>45467</v>
      </c>
      <c r="V271" t="s">
        <v>56826</v>
      </c>
      <c r="W271" t="s">
        <v>39363</v>
      </c>
      <c r="X271" t="s">
        <v>43171</v>
      </c>
    </row>
    <row r="272" spans="1:24">
      <c r="A272">
        <f>HYPERLINK("https://www.philgeps.gov.ph/GEPSNONPILOT/Tender/SplashBidNoticeAbstractUI.aspx?menuIndex=3&amp;refID=7085346&amp;Result=3","7085346")</f>
        <v>0</v>
      </c>
      <c r="B272" t="s">
        <v>173</v>
      </c>
      <c r="C272" t="s">
        <v>3717</v>
      </c>
      <c r="D272" t="s">
        <v>17461</v>
      </c>
      <c r="E272" t="s">
        <v>17772</v>
      </c>
      <c r="F272" t="s">
        <v>30052</v>
      </c>
      <c r="G272" t="s">
        <v>30059</v>
      </c>
      <c r="H272" t="s">
        <v>15498</v>
      </c>
      <c r="I272" t="s">
        <v>4598</v>
      </c>
      <c r="J272" t="s">
        <v>30424</v>
      </c>
      <c r="K272" t="s">
        <v>39023</v>
      </c>
      <c r="M272" t="s">
        <v>39462</v>
      </c>
      <c r="N272" t="s">
        <v>43166</v>
      </c>
      <c r="O272" t="s">
        <v>43167</v>
      </c>
      <c r="P272">
        <v>0</v>
      </c>
      <c r="Q272">
        <v>0</v>
      </c>
      <c r="R272" t="s">
        <v>43168</v>
      </c>
      <c r="S272" t="s">
        <v>43286</v>
      </c>
      <c r="T272" t="s">
        <v>44678</v>
      </c>
      <c r="U272" t="s">
        <v>45468</v>
      </c>
      <c r="W272" t="s">
        <v>39462</v>
      </c>
      <c r="X272" t="s">
        <v>43171</v>
      </c>
    </row>
    <row r="273" spans="1:24">
      <c r="A273">
        <f>HYPERLINK("https://www.philgeps.gov.ph/GEPSNONPILOT/Tender/SplashBidNoticeAbstractUI.aspx?menuIndex=3&amp;refID=7085343&amp;Result=3","7085343")</f>
        <v>0</v>
      </c>
      <c r="B273" t="s">
        <v>174</v>
      </c>
      <c r="C273" t="s">
        <v>3718</v>
      </c>
      <c r="D273" t="s">
        <v>17419</v>
      </c>
      <c r="E273" t="s">
        <v>17773</v>
      </c>
      <c r="F273" t="s">
        <v>30052</v>
      </c>
      <c r="G273" t="s">
        <v>30059</v>
      </c>
      <c r="H273" t="s">
        <v>15498</v>
      </c>
      <c r="I273" t="s">
        <v>4119</v>
      </c>
      <c r="J273" t="s">
        <v>30425</v>
      </c>
      <c r="K273" t="s">
        <v>39029</v>
      </c>
      <c r="M273" t="s">
        <v>39463</v>
      </c>
      <c r="N273" t="s">
        <v>43166</v>
      </c>
      <c r="O273" t="s">
        <v>43167</v>
      </c>
      <c r="P273">
        <v>0</v>
      </c>
      <c r="Q273">
        <v>3</v>
      </c>
      <c r="R273" t="s">
        <v>43168</v>
      </c>
      <c r="S273" t="s">
        <v>43286</v>
      </c>
      <c r="T273" t="s">
        <v>44678</v>
      </c>
      <c r="U273" t="s">
        <v>45469</v>
      </c>
      <c r="W273" t="s">
        <v>39463</v>
      </c>
      <c r="X273" t="s">
        <v>43171</v>
      </c>
    </row>
    <row r="274" spans="1:24">
      <c r="A274">
        <f>HYPERLINK("https://www.philgeps.gov.ph/GEPSNONPILOT/Tender/SplashBidNoticeAbstractUI.aspx?menuIndex=3&amp;refID=7085337&amp;Result=3","7085337")</f>
        <v>0</v>
      </c>
      <c r="B274" t="s">
        <v>172</v>
      </c>
      <c r="C274" t="s">
        <v>3719</v>
      </c>
      <c r="D274" t="s">
        <v>17446</v>
      </c>
      <c r="E274" t="s">
        <v>17774</v>
      </c>
      <c r="F274" t="s">
        <v>30052</v>
      </c>
      <c r="G274" t="s">
        <v>30059</v>
      </c>
      <c r="H274" t="s">
        <v>15498</v>
      </c>
      <c r="I274" t="s">
        <v>3852</v>
      </c>
      <c r="J274" t="s">
        <v>30426</v>
      </c>
      <c r="K274" t="s">
        <v>39018</v>
      </c>
      <c r="M274" t="s">
        <v>39461</v>
      </c>
      <c r="N274" t="s">
        <v>43166</v>
      </c>
      <c r="O274" t="s">
        <v>43167</v>
      </c>
      <c r="P274">
        <v>0</v>
      </c>
      <c r="Q274">
        <v>0</v>
      </c>
      <c r="R274" t="s">
        <v>43168</v>
      </c>
      <c r="S274" t="s">
        <v>43286</v>
      </c>
      <c r="T274" t="s">
        <v>44694</v>
      </c>
      <c r="U274" t="s">
        <v>45470</v>
      </c>
      <c r="W274" t="s">
        <v>39461</v>
      </c>
      <c r="X274" t="s">
        <v>43171</v>
      </c>
    </row>
    <row r="275" spans="1:24">
      <c r="A275">
        <f>HYPERLINK("https://www.philgeps.gov.ph/GEPSNONPILOT/Tender/SplashBidNoticeAbstractUI.aspx?menuIndex=3&amp;refID=7085327&amp;Result=3","7085327")</f>
        <v>0</v>
      </c>
      <c r="B275" t="s">
        <v>167</v>
      </c>
      <c r="C275" t="s">
        <v>3720</v>
      </c>
      <c r="E275" t="s">
        <v>17775</v>
      </c>
      <c r="F275" t="s">
        <v>30052</v>
      </c>
      <c r="G275" t="s">
        <v>30059</v>
      </c>
      <c r="H275" t="s">
        <v>15498</v>
      </c>
      <c r="I275" t="s">
        <v>3736</v>
      </c>
      <c r="J275" t="s">
        <v>30427</v>
      </c>
      <c r="K275" t="s">
        <v>39034</v>
      </c>
      <c r="M275" t="s">
        <v>39456</v>
      </c>
      <c r="N275" t="s">
        <v>43166</v>
      </c>
      <c r="O275" t="s">
        <v>43167</v>
      </c>
      <c r="P275">
        <v>0</v>
      </c>
      <c r="Q275">
        <v>0</v>
      </c>
      <c r="R275" t="s">
        <v>43168</v>
      </c>
      <c r="S275" t="s">
        <v>43286</v>
      </c>
      <c r="T275" t="s">
        <v>44708</v>
      </c>
      <c r="U275" t="s">
        <v>45453</v>
      </c>
      <c r="W275" t="s">
        <v>39456</v>
      </c>
      <c r="X275" t="s">
        <v>43171</v>
      </c>
    </row>
    <row r="276" spans="1:24">
      <c r="A276">
        <f>HYPERLINK("https://www.philgeps.gov.ph/GEPSNONPILOT/Tender/SplashBidNoticeAbstractUI.aspx?menuIndex=3&amp;refID=7085325&amp;Result=3","7085325")</f>
        <v>0</v>
      </c>
      <c r="B276" t="s">
        <v>175</v>
      </c>
      <c r="C276" t="s">
        <v>3721</v>
      </c>
      <c r="D276" t="s">
        <v>17476</v>
      </c>
      <c r="E276" t="s">
        <v>17776</v>
      </c>
      <c r="F276" t="s">
        <v>30052</v>
      </c>
      <c r="G276" t="s">
        <v>30058</v>
      </c>
      <c r="H276" t="s">
        <v>30067</v>
      </c>
      <c r="I276" t="s">
        <v>3693</v>
      </c>
      <c r="J276" t="s">
        <v>30227</v>
      </c>
      <c r="K276" t="s">
        <v>39046</v>
      </c>
      <c r="M276" t="s">
        <v>39464</v>
      </c>
      <c r="N276" t="s">
        <v>43166</v>
      </c>
      <c r="O276" t="s">
        <v>43167</v>
      </c>
      <c r="P276">
        <v>0</v>
      </c>
      <c r="Q276">
        <v>0</v>
      </c>
      <c r="R276" t="s">
        <v>43168</v>
      </c>
      <c r="S276" t="s">
        <v>43286</v>
      </c>
      <c r="T276" t="s">
        <v>44752</v>
      </c>
      <c r="U276" t="s">
        <v>45471</v>
      </c>
      <c r="V276" t="s">
        <v>56860</v>
      </c>
      <c r="W276" t="s">
        <v>39464</v>
      </c>
      <c r="X276" t="s">
        <v>43171</v>
      </c>
    </row>
    <row r="277" spans="1:24">
      <c r="A277">
        <f>HYPERLINK("https://www.philgeps.gov.ph/GEPSNONPILOT/Tender/SplashBidNoticeAbstractUI.aspx?menuIndex=3&amp;refID=7085200&amp;Result=3","7085200")</f>
        <v>0</v>
      </c>
      <c r="B277" t="s">
        <v>176</v>
      </c>
      <c r="C277" t="s">
        <v>3722</v>
      </c>
      <c r="D277" t="s">
        <v>17427</v>
      </c>
      <c r="E277" t="s">
        <v>17777</v>
      </c>
      <c r="F277" t="s">
        <v>30052</v>
      </c>
      <c r="G277" t="s">
        <v>30059</v>
      </c>
      <c r="H277" t="s">
        <v>15498</v>
      </c>
      <c r="I277" t="s">
        <v>30081</v>
      </c>
      <c r="J277" t="s">
        <v>30428</v>
      </c>
      <c r="K277" t="s">
        <v>39034</v>
      </c>
      <c r="M277" t="s">
        <v>39465</v>
      </c>
      <c r="N277" t="s">
        <v>43166</v>
      </c>
      <c r="O277" t="s">
        <v>43167</v>
      </c>
      <c r="P277">
        <v>0</v>
      </c>
      <c r="Q277">
        <v>0</v>
      </c>
      <c r="R277" t="s">
        <v>43168</v>
      </c>
      <c r="S277" t="s">
        <v>43286</v>
      </c>
      <c r="T277" t="s">
        <v>44708</v>
      </c>
      <c r="U277" t="s">
        <v>45472</v>
      </c>
      <c r="V277" t="s">
        <v>56861</v>
      </c>
      <c r="W277" t="s">
        <v>39465</v>
      </c>
      <c r="X277" t="s">
        <v>43171</v>
      </c>
    </row>
    <row r="278" spans="1:24">
      <c r="A278">
        <f>HYPERLINK("https://www.philgeps.gov.ph/GEPSNONPILOT/Tender/SplashBidNoticeAbstractUI.aspx?menuIndex=3&amp;refID=7085313&amp;Result=3","7085313")</f>
        <v>0</v>
      </c>
      <c r="B278" t="s">
        <v>121</v>
      </c>
      <c r="C278" t="s">
        <v>3723</v>
      </c>
      <c r="D278" t="s">
        <v>17440</v>
      </c>
      <c r="E278" t="s">
        <v>17778</v>
      </c>
      <c r="F278" t="s">
        <v>30052</v>
      </c>
      <c r="G278" t="s">
        <v>30059</v>
      </c>
      <c r="H278" t="s">
        <v>30067</v>
      </c>
      <c r="I278" t="s">
        <v>3693</v>
      </c>
      <c r="J278" t="s">
        <v>30429</v>
      </c>
      <c r="K278" t="s">
        <v>39019</v>
      </c>
      <c r="M278" t="s">
        <v>39410</v>
      </c>
      <c r="N278" t="s">
        <v>43166</v>
      </c>
      <c r="O278" t="s">
        <v>43167</v>
      </c>
      <c r="P278">
        <v>0</v>
      </c>
      <c r="Q278">
        <v>0</v>
      </c>
      <c r="R278" t="s">
        <v>43168</v>
      </c>
      <c r="S278" t="s">
        <v>43286</v>
      </c>
      <c r="T278" t="s">
        <v>44685</v>
      </c>
      <c r="U278" t="s">
        <v>45473</v>
      </c>
      <c r="W278" t="s">
        <v>39410</v>
      </c>
      <c r="X278" t="s">
        <v>43171</v>
      </c>
    </row>
    <row r="279" spans="1:24">
      <c r="A279">
        <f>HYPERLINK("https://www.philgeps.gov.ph/GEPSNONPILOT/Tender/SplashBidNoticeAbstractUI.aspx?menuIndex=3&amp;refID=7085300&amp;Result=3","7085300")</f>
        <v>0</v>
      </c>
      <c r="B279" t="s">
        <v>177</v>
      </c>
      <c r="C279" t="s">
        <v>3724</v>
      </c>
      <c r="D279" t="s">
        <v>17465</v>
      </c>
      <c r="E279" t="s">
        <v>17779</v>
      </c>
      <c r="F279" t="s">
        <v>30052</v>
      </c>
      <c r="G279" t="s">
        <v>30058</v>
      </c>
      <c r="H279" t="s">
        <v>15498</v>
      </c>
      <c r="I279" t="s">
        <v>3736</v>
      </c>
      <c r="J279" t="s">
        <v>30430</v>
      </c>
      <c r="K279" t="s">
        <v>39034</v>
      </c>
      <c r="L279" t="s">
        <v>177</v>
      </c>
      <c r="M279" t="s">
        <v>39466</v>
      </c>
      <c r="N279" t="s">
        <v>43166</v>
      </c>
      <c r="O279" t="s">
        <v>43167</v>
      </c>
      <c r="P279">
        <v>0</v>
      </c>
      <c r="Q279">
        <v>2</v>
      </c>
      <c r="R279" t="s">
        <v>43168</v>
      </c>
      <c r="S279" t="s">
        <v>43286</v>
      </c>
      <c r="T279" t="s">
        <v>44753</v>
      </c>
      <c r="U279" t="s">
        <v>45474</v>
      </c>
      <c r="V279" t="s">
        <v>56862</v>
      </c>
      <c r="W279" t="s">
        <v>39466</v>
      </c>
      <c r="X279" t="s">
        <v>43171</v>
      </c>
    </row>
    <row r="280" spans="1:24">
      <c r="A280">
        <f>HYPERLINK("https://www.philgeps.gov.ph/GEPSNONPILOT/Tender/SplashBidNoticeAbstractUI.aspx?menuIndex=3&amp;refID=7085341&amp;Result=3","7085341")</f>
        <v>0</v>
      </c>
      <c r="B280" t="s">
        <v>178</v>
      </c>
      <c r="C280" t="s">
        <v>3725</v>
      </c>
      <c r="D280" t="s">
        <v>17465</v>
      </c>
      <c r="E280" t="s">
        <v>17780</v>
      </c>
      <c r="F280" t="s">
        <v>30052</v>
      </c>
      <c r="G280" t="s">
        <v>30059</v>
      </c>
      <c r="H280" t="s">
        <v>15498</v>
      </c>
      <c r="I280" t="s">
        <v>3852</v>
      </c>
      <c r="J280" t="s">
        <v>30292</v>
      </c>
      <c r="K280" t="s">
        <v>39019</v>
      </c>
      <c r="M280" t="s">
        <v>39467</v>
      </c>
      <c r="N280" t="s">
        <v>43166</v>
      </c>
      <c r="O280" t="s">
        <v>43167</v>
      </c>
      <c r="P280">
        <v>0</v>
      </c>
      <c r="Q280">
        <v>0</v>
      </c>
      <c r="R280" t="s">
        <v>43168</v>
      </c>
      <c r="S280" t="s">
        <v>43286</v>
      </c>
      <c r="T280" t="s">
        <v>44721</v>
      </c>
      <c r="U280" t="s">
        <v>45475</v>
      </c>
      <c r="W280" t="s">
        <v>39467</v>
      </c>
      <c r="X280" t="s">
        <v>43171</v>
      </c>
    </row>
    <row r="281" spans="1:24">
      <c r="A281">
        <f>HYPERLINK("https://www.philgeps.gov.ph/GEPSNONPILOT/Tender/SplashBidNoticeAbstractUI.aspx?menuIndex=3&amp;refID=7085292&amp;Result=3","7085292")</f>
        <v>0</v>
      </c>
      <c r="B281" t="s">
        <v>78</v>
      </c>
      <c r="C281" t="s">
        <v>3726</v>
      </c>
      <c r="E281" t="s">
        <v>17781</v>
      </c>
      <c r="F281" t="s">
        <v>30052</v>
      </c>
      <c r="G281" t="s">
        <v>30059</v>
      </c>
      <c r="H281" t="s">
        <v>15498</v>
      </c>
      <c r="I281" t="s">
        <v>30092</v>
      </c>
      <c r="J281" t="s">
        <v>30431</v>
      </c>
      <c r="K281" t="s">
        <v>39029</v>
      </c>
      <c r="M281" t="s">
        <v>39367</v>
      </c>
      <c r="N281" t="s">
        <v>43166</v>
      </c>
      <c r="O281" t="s">
        <v>43167</v>
      </c>
      <c r="P281">
        <v>0</v>
      </c>
      <c r="Q281">
        <v>3</v>
      </c>
      <c r="R281" t="s">
        <v>43168</v>
      </c>
      <c r="S281" t="s">
        <v>43286</v>
      </c>
      <c r="T281" t="s">
        <v>44681</v>
      </c>
      <c r="U281" t="s">
        <v>45476</v>
      </c>
      <c r="V281" t="s">
        <v>56863</v>
      </c>
      <c r="W281" t="s">
        <v>39367</v>
      </c>
      <c r="X281" t="s">
        <v>43171</v>
      </c>
    </row>
    <row r="282" spans="1:24">
      <c r="A282">
        <f>HYPERLINK("https://www.philgeps.gov.ph/GEPSNONPILOT/Tender/SplashBidNoticeAbstractUI.aspx?menuIndex=3&amp;refID=7085332&amp;Result=3","7085332")</f>
        <v>0</v>
      </c>
      <c r="B282" t="s">
        <v>99</v>
      </c>
      <c r="C282" t="s">
        <v>3727</v>
      </c>
      <c r="D282" t="s">
        <v>17447</v>
      </c>
      <c r="E282" t="s">
        <v>17782</v>
      </c>
      <c r="F282" t="s">
        <v>30052</v>
      </c>
      <c r="G282" t="s">
        <v>30058</v>
      </c>
      <c r="H282" t="s">
        <v>30067</v>
      </c>
      <c r="I282" t="s">
        <v>3693</v>
      </c>
      <c r="J282" t="s">
        <v>30252</v>
      </c>
      <c r="K282" t="s">
        <v>39046</v>
      </c>
      <c r="M282" t="s">
        <v>39388</v>
      </c>
      <c r="N282" t="s">
        <v>43166</v>
      </c>
      <c r="O282" t="s">
        <v>43167</v>
      </c>
      <c r="P282">
        <v>0</v>
      </c>
      <c r="Q282">
        <v>0</v>
      </c>
      <c r="R282" t="s">
        <v>43168</v>
      </c>
      <c r="S282" t="s">
        <v>43286</v>
      </c>
      <c r="T282" t="s">
        <v>44721</v>
      </c>
      <c r="U282" t="s">
        <v>45340</v>
      </c>
      <c r="V282" t="s">
        <v>56836</v>
      </c>
      <c r="W282" t="s">
        <v>58590</v>
      </c>
      <c r="X282" t="s">
        <v>43171</v>
      </c>
    </row>
    <row r="283" spans="1:24">
      <c r="A283">
        <f>HYPERLINK("https://www.philgeps.gov.ph/GEPSNONPILOT/Tender/SplashBidNoticeAbstractUI.aspx?menuIndex=3&amp;refID=7085270&amp;Result=3","7085270")</f>
        <v>0</v>
      </c>
      <c r="B283" t="s">
        <v>179</v>
      </c>
      <c r="C283" t="s">
        <v>3728</v>
      </c>
      <c r="D283" t="s">
        <v>17427</v>
      </c>
      <c r="E283" t="s">
        <v>17783</v>
      </c>
      <c r="F283" t="s">
        <v>30052</v>
      </c>
      <c r="G283" t="s">
        <v>30059</v>
      </c>
      <c r="H283" t="s">
        <v>15498</v>
      </c>
      <c r="I283" t="s">
        <v>30117</v>
      </c>
      <c r="J283" t="s">
        <v>30432</v>
      </c>
      <c r="K283" t="s">
        <v>39019</v>
      </c>
      <c r="M283" t="s">
        <v>39468</v>
      </c>
      <c r="N283" t="s">
        <v>43166</v>
      </c>
      <c r="O283" t="s">
        <v>43167</v>
      </c>
      <c r="P283">
        <v>0</v>
      </c>
      <c r="Q283">
        <v>1</v>
      </c>
      <c r="R283" t="s">
        <v>43168</v>
      </c>
      <c r="S283" t="s">
        <v>43286</v>
      </c>
      <c r="T283" t="s">
        <v>44710</v>
      </c>
      <c r="U283" t="s">
        <v>45477</v>
      </c>
      <c r="W283" t="s">
        <v>39468</v>
      </c>
      <c r="X283" t="s">
        <v>43171</v>
      </c>
    </row>
    <row r="284" spans="1:24">
      <c r="A284">
        <f>HYPERLINK("https://www.philgeps.gov.ph/GEPSNONPILOT/Tender/SplashBidNoticeAbstractUI.aspx?menuIndex=3&amp;refID=7085092&amp;Result=3","7085092")</f>
        <v>0</v>
      </c>
      <c r="B284" t="s">
        <v>145</v>
      </c>
      <c r="C284" t="s">
        <v>3729</v>
      </c>
      <c r="D284" t="s">
        <v>17477</v>
      </c>
      <c r="E284" t="s">
        <v>17784</v>
      </c>
      <c r="F284" t="s">
        <v>30052</v>
      </c>
      <c r="G284" t="s">
        <v>30058</v>
      </c>
      <c r="H284" t="s">
        <v>15498</v>
      </c>
      <c r="I284" t="s">
        <v>3852</v>
      </c>
      <c r="J284" t="s">
        <v>30433</v>
      </c>
      <c r="K284" t="s">
        <v>39046</v>
      </c>
      <c r="M284" t="s">
        <v>39434</v>
      </c>
      <c r="N284" t="s">
        <v>43166</v>
      </c>
      <c r="O284" t="s">
        <v>43167</v>
      </c>
      <c r="P284">
        <v>0</v>
      </c>
      <c r="Q284">
        <v>0</v>
      </c>
      <c r="R284" t="s">
        <v>43168</v>
      </c>
      <c r="S284" t="s">
        <v>43286</v>
      </c>
      <c r="T284" t="s">
        <v>44740</v>
      </c>
      <c r="U284" t="s">
        <v>45478</v>
      </c>
      <c r="W284" t="s">
        <v>40626</v>
      </c>
      <c r="X284" t="s">
        <v>43171</v>
      </c>
    </row>
    <row r="285" spans="1:24">
      <c r="A285">
        <f>HYPERLINK("https://www.philgeps.gov.ph/GEPSNONPILOT/Tender/SplashBidNoticeAbstractUI.aspx?menuIndex=3&amp;refID=7085474&amp;Result=3","7085474")</f>
        <v>0</v>
      </c>
      <c r="B285" t="s">
        <v>74</v>
      </c>
      <c r="C285" t="s">
        <v>3730</v>
      </c>
      <c r="E285" t="s">
        <v>17785</v>
      </c>
      <c r="F285" t="s">
        <v>30052</v>
      </c>
      <c r="G285" t="s">
        <v>30061</v>
      </c>
      <c r="H285" t="s">
        <v>15498</v>
      </c>
      <c r="I285" t="s">
        <v>30092</v>
      </c>
      <c r="J285" t="s">
        <v>30434</v>
      </c>
      <c r="K285" t="s">
        <v>39025</v>
      </c>
      <c r="M285" t="s">
        <v>39363</v>
      </c>
      <c r="N285" t="s">
        <v>43166</v>
      </c>
      <c r="O285" t="s">
        <v>43167</v>
      </c>
      <c r="P285">
        <v>0</v>
      </c>
      <c r="Q285">
        <v>2</v>
      </c>
      <c r="R285" t="s">
        <v>43168</v>
      </c>
      <c r="S285" t="s">
        <v>43286</v>
      </c>
      <c r="T285" t="s">
        <v>44685</v>
      </c>
      <c r="U285" t="s">
        <v>45479</v>
      </c>
      <c r="V285" t="s">
        <v>56826</v>
      </c>
      <c r="W285" t="s">
        <v>39363</v>
      </c>
      <c r="X285" t="s">
        <v>43171</v>
      </c>
    </row>
    <row r="286" spans="1:24">
      <c r="A286">
        <f>HYPERLINK("https://www.philgeps.gov.ph/GEPSNONPILOT/Tender/SplashBidNoticeAbstractUI.aspx?menuIndex=3&amp;refID=7085311&amp;Result=3","7085311")</f>
        <v>0</v>
      </c>
      <c r="B286" t="s">
        <v>166</v>
      </c>
      <c r="C286" t="s">
        <v>3731</v>
      </c>
      <c r="D286" t="s">
        <v>17427</v>
      </c>
      <c r="E286" t="s">
        <v>17786</v>
      </c>
      <c r="F286" t="s">
        <v>30052</v>
      </c>
      <c r="G286" t="s">
        <v>30061</v>
      </c>
      <c r="H286" t="s">
        <v>15498</v>
      </c>
      <c r="I286" t="s">
        <v>9238</v>
      </c>
      <c r="J286" t="s">
        <v>30435</v>
      </c>
      <c r="K286" t="s">
        <v>39017</v>
      </c>
      <c r="M286" t="s">
        <v>39455</v>
      </c>
      <c r="N286" t="s">
        <v>43166</v>
      </c>
      <c r="O286" t="s">
        <v>43167</v>
      </c>
      <c r="P286">
        <v>0</v>
      </c>
      <c r="Q286">
        <v>7</v>
      </c>
      <c r="R286" t="s">
        <v>43168</v>
      </c>
      <c r="S286" t="s">
        <v>43286</v>
      </c>
      <c r="T286" t="s">
        <v>44737</v>
      </c>
      <c r="U286" t="s">
        <v>45480</v>
      </c>
      <c r="V286" t="s">
        <v>56854</v>
      </c>
      <c r="W286" t="s">
        <v>39455</v>
      </c>
      <c r="X286" t="s">
        <v>43171</v>
      </c>
    </row>
    <row r="287" spans="1:24">
      <c r="A287">
        <f>HYPERLINK("https://www.philgeps.gov.ph/GEPSNONPILOT/Tender/SplashBidNoticeAbstractUI.aspx?menuIndex=3&amp;refID=7085183&amp;Result=3","7085183")</f>
        <v>0</v>
      </c>
      <c r="B287" t="s">
        <v>180</v>
      </c>
      <c r="C287" t="s">
        <v>3732</v>
      </c>
      <c r="D287" t="s">
        <v>17430</v>
      </c>
      <c r="E287" t="s">
        <v>17787</v>
      </c>
      <c r="F287" t="s">
        <v>30052</v>
      </c>
      <c r="G287" t="s">
        <v>30061</v>
      </c>
      <c r="H287" t="s">
        <v>15498</v>
      </c>
      <c r="I287" t="s">
        <v>30070</v>
      </c>
      <c r="J287" t="s">
        <v>30436</v>
      </c>
      <c r="K287" t="s">
        <v>39017</v>
      </c>
      <c r="M287" t="s">
        <v>39469</v>
      </c>
      <c r="N287" t="s">
        <v>43166</v>
      </c>
      <c r="O287" t="s">
        <v>43167</v>
      </c>
      <c r="P287">
        <v>0</v>
      </c>
      <c r="Q287">
        <v>5</v>
      </c>
      <c r="R287" t="s">
        <v>43168</v>
      </c>
      <c r="S287" t="s">
        <v>43286</v>
      </c>
      <c r="T287" t="s">
        <v>44734</v>
      </c>
      <c r="U287" t="s">
        <v>45481</v>
      </c>
      <c r="W287" t="s">
        <v>39469</v>
      </c>
      <c r="X287" t="s">
        <v>43171</v>
      </c>
    </row>
    <row r="288" spans="1:24">
      <c r="A288">
        <f>HYPERLINK("https://www.philgeps.gov.ph/GEPSNONPILOT/Tender/SplashBidNoticeAbstractUI.aspx?menuIndex=3&amp;refID=7085466&amp;Result=3","7085466")</f>
        <v>0</v>
      </c>
      <c r="B288" t="s">
        <v>181</v>
      </c>
      <c r="C288" t="s">
        <v>3733</v>
      </c>
      <c r="D288" t="s">
        <v>17476</v>
      </c>
      <c r="E288" t="s">
        <v>17788</v>
      </c>
      <c r="F288" t="s">
        <v>30052</v>
      </c>
      <c r="G288" t="s">
        <v>30059</v>
      </c>
      <c r="H288" t="s">
        <v>15498</v>
      </c>
      <c r="I288" t="s">
        <v>30097</v>
      </c>
      <c r="J288" t="s">
        <v>30250</v>
      </c>
      <c r="K288" t="s">
        <v>39019</v>
      </c>
      <c r="M288" t="s">
        <v>39470</v>
      </c>
      <c r="N288" t="s">
        <v>43166</v>
      </c>
      <c r="O288" t="s">
        <v>43167</v>
      </c>
      <c r="P288">
        <v>0</v>
      </c>
      <c r="Q288">
        <v>8</v>
      </c>
      <c r="R288" t="s">
        <v>43168</v>
      </c>
      <c r="S288" t="s">
        <v>43286</v>
      </c>
      <c r="T288" t="s">
        <v>44708</v>
      </c>
      <c r="U288" t="s">
        <v>45482</v>
      </c>
      <c r="V288" t="s">
        <v>56864</v>
      </c>
      <c r="W288" t="s">
        <v>39470</v>
      </c>
      <c r="X288" t="s">
        <v>43171</v>
      </c>
    </row>
    <row r="289" spans="1:24">
      <c r="A289">
        <f>HYPERLINK("https://www.philgeps.gov.ph/GEPSNONPILOT/Tender/SplashBidNoticeAbstractUI.aspx?menuIndex=3&amp;refID=7085214&amp;Result=3","7085214")</f>
        <v>0</v>
      </c>
      <c r="B289" t="s">
        <v>167</v>
      </c>
      <c r="C289" t="s">
        <v>3734</v>
      </c>
      <c r="E289" t="s">
        <v>17789</v>
      </c>
      <c r="F289" t="s">
        <v>30052</v>
      </c>
      <c r="G289" t="s">
        <v>30059</v>
      </c>
      <c r="H289" t="s">
        <v>15498</v>
      </c>
      <c r="I289" t="s">
        <v>30118</v>
      </c>
      <c r="J289" t="s">
        <v>30437</v>
      </c>
      <c r="K289" t="s">
        <v>39034</v>
      </c>
      <c r="M289" t="s">
        <v>39456</v>
      </c>
      <c r="N289" t="s">
        <v>43166</v>
      </c>
      <c r="O289" t="s">
        <v>43167</v>
      </c>
      <c r="P289">
        <v>0</v>
      </c>
      <c r="Q289">
        <v>0</v>
      </c>
      <c r="R289" t="s">
        <v>43168</v>
      </c>
      <c r="S289" t="s">
        <v>43286</v>
      </c>
      <c r="T289" t="s">
        <v>44708</v>
      </c>
      <c r="U289" t="s">
        <v>45453</v>
      </c>
      <c r="W289" t="s">
        <v>39456</v>
      </c>
      <c r="X289" t="s">
        <v>43171</v>
      </c>
    </row>
    <row r="290" spans="1:24">
      <c r="A290">
        <f>HYPERLINK("https://www.philgeps.gov.ph/GEPSNONPILOT/Tender/SplashBidNoticeAbstractUI.aspx?menuIndex=3&amp;refID=7085464&amp;Result=3","7085464")</f>
        <v>0</v>
      </c>
      <c r="B290" t="s">
        <v>182</v>
      </c>
      <c r="C290" t="s">
        <v>3735</v>
      </c>
      <c r="D290" t="s">
        <v>17420</v>
      </c>
      <c r="E290" t="s">
        <v>17790</v>
      </c>
      <c r="F290" t="s">
        <v>30052</v>
      </c>
      <c r="G290" t="s">
        <v>30058</v>
      </c>
      <c r="H290" t="s">
        <v>15498</v>
      </c>
      <c r="I290" t="s">
        <v>30081</v>
      </c>
      <c r="J290" t="s">
        <v>30438</v>
      </c>
      <c r="K290" t="s">
        <v>39017</v>
      </c>
      <c r="M290" t="s">
        <v>39471</v>
      </c>
      <c r="N290" t="s">
        <v>43166</v>
      </c>
      <c r="O290" t="s">
        <v>43167</v>
      </c>
      <c r="P290">
        <v>0</v>
      </c>
      <c r="Q290">
        <v>0</v>
      </c>
      <c r="R290" t="s">
        <v>43168</v>
      </c>
      <c r="S290" t="s">
        <v>43286</v>
      </c>
      <c r="T290" t="s">
        <v>44754</v>
      </c>
      <c r="U290" t="s">
        <v>45483</v>
      </c>
      <c r="V290" t="s">
        <v>56865</v>
      </c>
      <c r="W290" t="s">
        <v>39471</v>
      </c>
      <c r="X290" t="s">
        <v>43171</v>
      </c>
    </row>
    <row r="291" spans="1:24">
      <c r="A291">
        <f>HYPERLINK("https://www.philgeps.gov.ph/GEPSNONPILOT/Tender/SplashBidNoticeAbstractUI.aspx?menuIndex=3&amp;refID=7085455&amp;Result=3","7085455")</f>
        <v>0</v>
      </c>
      <c r="B291" t="s">
        <v>183</v>
      </c>
      <c r="C291" t="s">
        <v>3736</v>
      </c>
      <c r="D291" t="s">
        <v>17444</v>
      </c>
      <c r="E291" t="s">
        <v>17779</v>
      </c>
      <c r="F291" t="s">
        <v>30052</v>
      </c>
      <c r="G291" t="s">
        <v>30061</v>
      </c>
      <c r="H291" t="s">
        <v>15498</v>
      </c>
      <c r="I291" t="s">
        <v>3736</v>
      </c>
      <c r="J291" t="s">
        <v>30439</v>
      </c>
      <c r="K291" t="s">
        <v>39018</v>
      </c>
      <c r="M291" t="s">
        <v>39472</v>
      </c>
      <c r="N291" t="s">
        <v>43166</v>
      </c>
      <c r="O291" t="s">
        <v>43167</v>
      </c>
      <c r="P291">
        <v>0</v>
      </c>
      <c r="Q291">
        <v>0</v>
      </c>
      <c r="R291" t="s">
        <v>43168</v>
      </c>
      <c r="S291" t="s">
        <v>43286</v>
      </c>
      <c r="T291" t="s">
        <v>44734</v>
      </c>
      <c r="U291" t="s">
        <v>45484</v>
      </c>
      <c r="W291" t="s">
        <v>39472</v>
      </c>
      <c r="X291" t="s">
        <v>43171</v>
      </c>
    </row>
    <row r="292" spans="1:24">
      <c r="A292">
        <f>HYPERLINK("https://www.philgeps.gov.ph/GEPSNONPILOT/Tender/SplashBidNoticeAbstractUI.aspx?menuIndex=3&amp;refID=7085446&amp;Result=3","7085446")</f>
        <v>0</v>
      </c>
      <c r="B292" t="s">
        <v>184</v>
      </c>
      <c r="C292" t="s">
        <v>3737</v>
      </c>
      <c r="D292" t="s">
        <v>17424</v>
      </c>
      <c r="E292" t="s">
        <v>17791</v>
      </c>
      <c r="F292" t="s">
        <v>30052</v>
      </c>
      <c r="G292" t="s">
        <v>30058</v>
      </c>
      <c r="H292" t="s">
        <v>30067</v>
      </c>
      <c r="I292" t="s">
        <v>3693</v>
      </c>
      <c r="J292" t="s">
        <v>30440</v>
      </c>
      <c r="K292" t="s">
        <v>39031</v>
      </c>
      <c r="M292" t="s">
        <v>39473</v>
      </c>
      <c r="N292" t="s">
        <v>43166</v>
      </c>
      <c r="O292" t="s">
        <v>43167</v>
      </c>
      <c r="P292">
        <v>0</v>
      </c>
      <c r="Q292">
        <v>1</v>
      </c>
      <c r="R292" t="s">
        <v>43168</v>
      </c>
      <c r="S292" t="s">
        <v>43286</v>
      </c>
      <c r="T292" t="s">
        <v>44724</v>
      </c>
      <c r="U292" t="s">
        <v>45485</v>
      </c>
      <c r="V292" t="s">
        <v>56866</v>
      </c>
      <c r="W292" t="s">
        <v>39473</v>
      </c>
      <c r="X292" t="s">
        <v>43171</v>
      </c>
    </row>
    <row r="293" spans="1:24">
      <c r="A293">
        <f>HYPERLINK("https://www.philgeps.gov.ph/GEPSNONPILOT/Tender/SplashBidNoticeAbstractUI.aspx?menuIndex=3&amp;refID=7085316&amp;Result=3","7085316")</f>
        <v>0</v>
      </c>
      <c r="B293" t="s">
        <v>174</v>
      </c>
      <c r="C293" t="s">
        <v>3738</v>
      </c>
      <c r="D293" t="s">
        <v>17419</v>
      </c>
      <c r="E293" t="s">
        <v>17792</v>
      </c>
      <c r="F293" t="s">
        <v>30052</v>
      </c>
      <c r="G293" t="s">
        <v>30059</v>
      </c>
      <c r="H293" t="s">
        <v>15498</v>
      </c>
      <c r="I293" t="s">
        <v>3736</v>
      </c>
      <c r="J293" t="s">
        <v>30441</v>
      </c>
      <c r="K293" t="s">
        <v>39029</v>
      </c>
      <c r="M293" t="s">
        <v>39463</v>
      </c>
      <c r="N293" t="s">
        <v>43166</v>
      </c>
      <c r="O293" t="s">
        <v>43167</v>
      </c>
      <c r="P293">
        <v>0</v>
      </c>
      <c r="Q293">
        <v>0</v>
      </c>
      <c r="R293" t="s">
        <v>43168</v>
      </c>
      <c r="S293" t="s">
        <v>43286</v>
      </c>
      <c r="T293" t="s">
        <v>44678</v>
      </c>
      <c r="U293" t="s">
        <v>45486</v>
      </c>
      <c r="W293" t="s">
        <v>39463</v>
      </c>
      <c r="X293" t="s">
        <v>43171</v>
      </c>
    </row>
    <row r="294" spans="1:24">
      <c r="A294">
        <f>HYPERLINK("https://www.philgeps.gov.ph/GEPSNONPILOT/Tender/SplashBidNoticeAbstractUI.aspx?menuIndex=3&amp;refID=7085431&amp;Result=3","7085431")</f>
        <v>0</v>
      </c>
      <c r="B294" t="s">
        <v>185</v>
      </c>
      <c r="C294" t="s">
        <v>3739</v>
      </c>
      <c r="D294" t="s">
        <v>17477</v>
      </c>
      <c r="E294" t="s">
        <v>17793</v>
      </c>
      <c r="F294" t="s">
        <v>30052</v>
      </c>
      <c r="G294" t="s">
        <v>30059</v>
      </c>
      <c r="H294" t="s">
        <v>15498</v>
      </c>
      <c r="I294" t="s">
        <v>8323</v>
      </c>
      <c r="J294" t="s">
        <v>30442</v>
      </c>
      <c r="K294" t="s">
        <v>39019</v>
      </c>
      <c r="M294" t="s">
        <v>39474</v>
      </c>
      <c r="N294" t="s">
        <v>43166</v>
      </c>
      <c r="O294" t="s">
        <v>43167</v>
      </c>
      <c r="Q294">
        <v>8</v>
      </c>
      <c r="R294" t="s">
        <v>43168</v>
      </c>
      <c r="S294" t="s">
        <v>43288</v>
      </c>
      <c r="T294" t="s">
        <v>44708</v>
      </c>
      <c r="U294" t="s">
        <v>45487</v>
      </c>
      <c r="W294" t="s">
        <v>39474</v>
      </c>
      <c r="X294" t="s">
        <v>43171</v>
      </c>
    </row>
    <row r="295" spans="1:24">
      <c r="A295">
        <f>HYPERLINK("https://www.philgeps.gov.ph/GEPSNONPILOT/Tender/SplashBidNoticeAbstractUI.aspx?menuIndex=3&amp;refID=7085419&amp;Result=3","7085419")</f>
        <v>0</v>
      </c>
      <c r="B295" t="s">
        <v>74</v>
      </c>
      <c r="C295" t="s">
        <v>3740</v>
      </c>
      <c r="E295" t="s">
        <v>17794</v>
      </c>
      <c r="F295" t="s">
        <v>30052</v>
      </c>
      <c r="G295" t="s">
        <v>30062</v>
      </c>
      <c r="H295" t="s">
        <v>15498</v>
      </c>
      <c r="I295" t="s">
        <v>4650</v>
      </c>
      <c r="J295" t="s">
        <v>30292</v>
      </c>
      <c r="K295" t="s">
        <v>39025</v>
      </c>
      <c r="M295" t="s">
        <v>39363</v>
      </c>
      <c r="N295" t="s">
        <v>43166</v>
      </c>
      <c r="O295" t="s">
        <v>43167</v>
      </c>
      <c r="P295">
        <v>0</v>
      </c>
      <c r="Q295">
        <v>0</v>
      </c>
      <c r="R295" t="s">
        <v>43168</v>
      </c>
      <c r="S295" t="s">
        <v>43286</v>
      </c>
      <c r="T295" t="s">
        <v>44685</v>
      </c>
      <c r="U295" t="s">
        <v>45488</v>
      </c>
      <c r="V295" t="s">
        <v>56826</v>
      </c>
      <c r="W295" t="s">
        <v>39363</v>
      </c>
      <c r="X295" t="s">
        <v>43171</v>
      </c>
    </row>
    <row r="296" spans="1:24">
      <c r="A296">
        <f>HYPERLINK("https://www.philgeps.gov.ph/GEPSNONPILOT/Tender/SplashBidNoticeAbstractUI.aspx?menuIndex=3&amp;refID=7085386&amp;Result=3","7085386")</f>
        <v>0</v>
      </c>
      <c r="B296" t="s">
        <v>74</v>
      </c>
      <c r="C296" t="s">
        <v>3741</v>
      </c>
      <c r="E296" t="s">
        <v>17795</v>
      </c>
      <c r="F296" t="s">
        <v>30052</v>
      </c>
      <c r="G296" t="s">
        <v>30059</v>
      </c>
      <c r="H296" t="s">
        <v>15498</v>
      </c>
      <c r="I296" t="s">
        <v>30116</v>
      </c>
      <c r="J296" t="s">
        <v>30443</v>
      </c>
      <c r="K296" t="s">
        <v>39025</v>
      </c>
      <c r="M296" t="s">
        <v>39363</v>
      </c>
      <c r="N296" t="s">
        <v>43166</v>
      </c>
      <c r="O296" t="s">
        <v>43167</v>
      </c>
      <c r="P296">
        <v>0</v>
      </c>
      <c r="Q296">
        <v>1</v>
      </c>
      <c r="R296" t="s">
        <v>43168</v>
      </c>
      <c r="S296" t="s">
        <v>43286</v>
      </c>
      <c r="T296" t="s">
        <v>44685</v>
      </c>
      <c r="U296" t="s">
        <v>45489</v>
      </c>
      <c r="V296" t="s">
        <v>56826</v>
      </c>
      <c r="W296" t="s">
        <v>39363</v>
      </c>
      <c r="X296" t="s">
        <v>43171</v>
      </c>
    </row>
    <row r="297" spans="1:24">
      <c r="A297">
        <f>HYPERLINK("https://www.philgeps.gov.ph/GEPSNONPILOT/Tender/SplashBidNoticeAbstractUI.aspx?menuIndex=3&amp;refID=7085456&amp;Result=3","7085456")</f>
        <v>0</v>
      </c>
      <c r="B297" t="s">
        <v>184</v>
      </c>
      <c r="C297" t="s">
        <v>3742</v>
      </c>
      <c r="D297" t="s">
        <v>17424</v>
      </c>
      <c r="E297" t="s">
        <v>17796</v>
      </c>
      <c r="F297" t="s">
        <v>30052</v>
      </c>
      <c r="G297" t="s">
        <v>30058</v>
      </c>
      <c r="H297" t="s">
        <v>30067</v>
      </c>
      <c r="I297" t="s">
        <v>3693</v>
      </c>
      <c r="J297" t="s">
        <v>30209</v>
      </c>
      <c r="K297" t="s">
        <v>39057</v>
      </c>
      <c r="M297" t="s">
        <v>39473</v>
      </c>
      <c r="N297" t="s">
        <v>43166</v>
      </c>
      <c r="O297" t="s">
        <v>43167</v>
      </c>
      <c r="P297">
        <v>0</v>
      </c>
      <c r="Q297">
        <v>1</v>
      </c>
      <c r="R297" t="s">
        <v>43168</v>
      </c>
      <c r="S297" t="s">
        <v>43286</v>
      </c>
      <c r="T297" t="s">
        <v>44724</v>
      </c>
      <c r="U297" t="s">
        <v>45490</v>
      </c>
      <c r="V297" t="s">
        <v>56866</v>
      </c>
      <c r="W297" t="s">
        <v>39473</v>
      </c>
      <c r="X297" t="s">
        <v>43171</v>
      </c>
    </row>
    <row r="298" spans="1:24">
      <c r="A298">
        <f>HYPERLINK("https://www.philgeps.gov.ph/GEPSNONPILOT/Tender/SplashBidNoticeAbstractUI.aspx?menuIndex=3&amp;refID=7085379&amp;Result=3","7085379")</f>
        <v>0</v>
      </c>
      <c r="B298" t="s">
        <v>172</v>
      </c>
      <c r="C298" t="s">
        <v>3743</v>
      </c>
      <c r="D298" t="s">
        <v>17446</v>
      </c>
      <c r="E298" t="s">
        <v>17774</v>
      </c>
      <c r="F298" t="s">
        <v>30052</v>
      </c>
      <c r="G298" t="s">
        <v>30059</v>
      </c>
      <c r="H298" t="s">
        <v>15498</v>
      </c>
      <c r="I298" t="s">
        <v>3852</v>
      </c>
      <c r="J298" t="s">
        <v>30444</v>
      </c>
      <c r="K298" t="s">
        <v>39018</v>
      </c>
      <c r="M298" t="s">
        <v>39461</v>
      </c>
      <c r="N298" t="s">
        <v>43166</v>
      </c>
      <c r="O298" t="s">
        <v>43167</v>
      </c>
      <c r="P298">
        <v>0</v>
      </c>
      <c r="Q298">
        <v>0</v>
      </c>
      <c r="R298" t="s">
        <v>43168</v>
      </c>
      <c r="S298" t="s">
        <v>43286</v>
      </c>
      <c r="T298" t="s">
        <v>44694</v>
      </c>
      <c r="U298" t="s">
        <v>45491</v>
      </c>
      <c r="W298" t="s">
        <v>39461</v>
      </c>
      <c r="X298" t="s">
        <v>43171</v>
      </c>
    </row>
    <row r="299" spans="1:24">
      <c r="A299">
        <f>HYPERLINK("https://www.philgeps.gov.ph/GEPSNONPILOT/Tender/SplashBidNoticeAbstractUI.aspx?menuIndex=3&amp;refID=7085442&amp;Result=3","7085442")</f>
        <v>0</v>
      </c>
      <c r="B299" t="s">
        <v>182</v>
      </c>
      <c r="C299" t="s">
        <v>3744</v>
      </c>
      <c r="D299" t="s">
        <v>17420</v>
      </c>
      <c r="E299" t="s">
        <v>17797</v>
      </c>
      <c r="F299" t="s">
        <v>30052</v>
      </c>
      <c r="G299" t="s">
        <v>30058</v>
      </c>
      <c r="H299" t="s">
        <v>15498</v>
      </c>
      <c r="I299" t="s">
        <v>30071</v>
      </c>
      <c r="J299" t="s">
        <v>30445</v>
      </c>
      <c r="K299" t="s">
        <v>39017</v>
      </c>
      <c r="M299" t="s">
        <v>39471</v>
      </c>
      <c r="N299" t="s">
        <v>43166</v>
      </c>
      <c r="O299" t="s">
        <v>43167</v>
      </c>
      <c r="P299">
        <v>0</v>
      </c>
      <c r="Q299">
        <v>0</v>
      </c>
      <c r="R299" t="s">
        <v>43168</v>
      </c>
      <c r="S299" t="s">
        <v>43286</v>
      </c>
      <c r="T299" t="s">
        <v>44754</v>
      </c>
      <c r="U299" t="s">
        <v>45492</v>
      </c>
      <c r="V299" t="s">
        <v>56867</v>
      </c>
      <c r="W299" t="s">
        <v>39471</v>
      </c>
      <c r="X299" t="s">
        <v>43171</v>
      </c>
    </row>
    <row r="300" spans="1:24">
      <c r="A300">
        <f>HYPERLINK("https://www.philgeps.gov.ph/GEPSNONPILOT/Tender/SplashBidNoticeAbstractUI.aspx?menuIndex=3&amp;refID=7085378&amp;Result=3","7085378")</f>
        <v>0</v>
      </c>
      <c r="B300" t="s">
        <v>186</v>
      </c>
      <c r="C300" t="s">
        <v>3745</v>
      </c>
      <c r="D300" t="s">
        <v>17466</v>
      </c>
      <c r="E300" t="s">
        <v>17798</v>
      </c>
      <c r="F300" t="s">
        <v>30052</v>
      </c>
      <c r="G300" t="s">
        <v>30059</v>
      </c>
      <c r="H300" t="s">
        <v>15498</v>
      </c>
      <c r="I300" t="s">
        <v>4119</v>
      </c>
      <c r="J300" t="s">
        <v>30446</v>
      </c>
      <c r="K300" t="s">
        <v>39018</v>
      </c>
      <c r="M300" t="s">
        <v>39475</v>
      </c>
      <c r="N300" t="s">
        <v>43166</v>
      </c>
      <c r="O300" t="s">
        <v>43167</v>
      </c>
      <c r="P300">
        <v>0</v>
      </c>
      <c r="Q300">
        <v>1</v>
      </c>
      <c r="R300" t="s">
        <v>43168</v>
      </c>
      <c r="S300" t="s">
        <v>43286</v>
      </c>
      <c r="T300" t="s">
        <v>44720</v>
      </c>
      <c r="U300" t="s">
        <v>45493</v>
      </c>
      <c r="W300" t="s">
        <v>39475</v>
      </c>
      <c r="X300" t="s">
        <v>43171</v>
      </c>
    </row>
    <row r="301" spans="1:24">
      <c r="A301">
        <f>HYPERLINK("https://www.philgeps.gov.ph/GEPSNONPILOT/Tender/SplashBidNoticeAbstractUI.aspx?menuIndex=3&amp;refID=7085396&amp;Result=3","7085396")</f>
        <v>0</v>
      </c>
      <c r="B301" t="s">
        <v>183</v>
      </c>
      <c r="C301" t="s">
        <v>3736</v>
      </c>
      <c r="D301" t="s">
        <v>17444</v>
      </c>
      <c r="E301" t="s">
        <v>17799</v>
      </c>
      <c r="F301" t="s">
        <v>30052</v>
      </c>
      <c r="G301" t="s">
        <v>30061</v>
      </c>
      <c r="H301" t="s">
        <v>15498</v>
      </c>
      <c r="I301" t="s">
        <v>3736</v>
      </c>
      <c r="J301" t="s">
        <v>30447</v>
      </c>
      <c r="K301" t="s">
        <v>39018</v>
      </c>
      <c r="M301" t="s">
        <v>39472</v>
      </c>
      <c r="N301" t="s">
        <v>43166</v>
      </c>
      <c r="O301" t="s">
        <v>43167</v>
      </c>
      <c r="P301">
        <v>0</v>
      </c>
      <c r="Q301">
        <v>0</v>
      </c>
      <c r="R301" t="s">
        <v>43168</v>
      </c>
      <c r="S301" t="s">
        <v>43286</v>
      </c>
      <c r="T301" t="s">
        <v>44734</v>
      </c>
      <c r="U301" t="s">
        <v>45494</v>
      </c>
      <c r="W301" t="s">
        <v>39472</v>
      </c>
      <c r="X301" t="s">
        <v>43171</v>
      </c>
    </row>
    <row r="302" spans="1:24">
      <c r="A302">
        <f>HYPERLINK("https://www.philgeps.gov.ph/GEPSNONPILOT/Tender/SplashBidNoticeAbstractUI.aspx?menuIndex=3&amp;refID=7085364&amp;Result=3","7085364")</f>
        <v>0</v>
      </c>
      <c r="B302" t="s">
        <v>187</v>
      </c>
      <c r="C302" t="s">
        <v>3746</v>
      </c>
      <c r="D302" t="s">
        <v>17436</v>
      </c>
      <c r="E302" t="s">
        <v>17800</v>
      </c>
      <c r="F302" t="s">
        <v>30052</v>
      </c>
      <c r="G302" t="s">
        <v>30060</v>
      </c>
      <c r="H302" t="s">
        <v>15498</v>
      </c>
      <c r="I302" t="s">
        <v>30084</v>
      </c>
      <c r="J302" t="s">
        <v>30216</v>
      </c>
      <c r="K302" t="s">
        <v>39034</v>
      </c>
      <c r="M302" t="s">
        <v>39476</v>
      </c>
      <c r="N302" t="s">
        <v>43166</v>
      </c>
      <c r="O302" t="s">
        <v>43167</v>
      </c>
      <c r="P302">
        <v>0</v>
      </c>
      <c r="Q302">
        <v>1</v>
      </c>
      <c r="R302" t="s">
        <v>43168</v>
      </c>
      <c r="S302" t="s">
        <v>43286</v>
      </c>
      <c r="T302" t="s">
        <v>44691</v>
      </c>
      <c r="U302" t="s">
        <v>45495</v>
      </c>
      <c r="V302" t="s">
        <v>56868</v>
      </c>
      <c r="W302" t="s">
        <v>39476</v>
      </c>
      <c r="X302" t="s">
        <v>43171</v>
      </c>
    </row>
    <row r="303" spans="1:24">
      <c r="A303">
        <f>HYPERLINK("https://www.philgeps.gov.ph/GEPSNONPILOT/Tender/SplashBidNoticeAbstractUI.aspx?menuIndex=3&amp;refID=7085362&amp;Result=3","7085362")</f>
        <v>0</v>
      </c>
      <c r="B303" t="s">
        <v>172</v>
      </c>
      <c r="C303" t="s">
        <v>3747</v>
      </c>
      <c r="D303" t="s">
        <v>17446</v>
      </c>
      <c r="E303" t="s">
        <v>17774</v>
      </c>
      <c r="F303" t="s">
        <v>30052</v>
      </c>
      <c r="G303" t="s">
        <v>30059</v>
      </c>
      <c r="H303" t="s">
        <v>15498</v>
      </c>
      <c r="I303" t="s">
        <v>30093</v>
      </c>
      <c r="J303" t="s">
        <v>30448</v>
      </c>
      <c r="K303" t="s">
        <v>39018</v>
      </c>
      <c r="M303" t="s">
        <v>39461</v>
      </c>
      <c r="N303" t="s">
        <v>43166</v>
      </c>
      <c r="O303" t="s">
        <v>43167</v>
      </c>
      <c r="P303">
        <v>0</v>
      </c>
      <c r="Q303">
        <v>0</v>
      </c>
      <c r="R303" t="s">
        <v>43168</v>
      </c>
      <c r="S303" t="s">
        <v>43286</v>
      </c>
      <c r="T303" t="s">
        <v>44694</v>
      </c>
      <c r="U303" t="s">
        <v>45496</v>
      </c>
      <c r="W303" t="s">
        <v>39461</v>
      </c>
      <c r="X303" t="s">
        <v>43171</v>
      </c>
    </row>
    <row r="304" spans="1:24">
      <c r="A304">
        <f>HYPERLINK("https://www.philgeps.gov.ph/GEPSNONPILOT/Tender/SplashBidNoticeAbstractUI.aspx?menuIndex=3&amp;refID=7085249&amp;Result=3","7085249")</f>
        <v>0</v>
      </c>
      <c r="B304" t="s">
        <v>188</v>
      </c>
      <c r="C304" t="s">
        <v>3748</v>
      </c>
      <c r="D304" t="s">
        <v>17422</v>
      </c>
      <c r="E304" t="s">
        <v>17801</v>
      </c>
      <c r="F304" t="s">
        <v>30052</v>
      </c>
      <c r="G304" t="s">
        <v>30059</v>
      </c>
      <c r="H304" t="s">
        <v>15498</v>
      </c>
      <c r="I304" t="s">
        <v>3736</v>
      </c>
      <c r="J304" t="s">
        <v>30449</v>
      </c>
      <c r="K304" t="s">
        <v>39019</v>
      </c>
      <c r="M304" t="s">
        <v>39477</v>
      </c>
      <c r="N304" t="s">
        <v>43166</v>
      </c>
      <c r="O304" t="s">
        <v>43167</v>
      </c>
      <c r="P304">
        <v>0</v>
      </c>
      <c r="Q304">
        <v>1</v>
      </c>
      <c r="R304" t="s">
        <v>43168</v>
      </c>
      <c r="S304" t="s">
        <v>43286</v>
      </c>
      <c r="T304" t="s">
        <v>44698</v>
      </c>
      <c r="U304" t="s">
        <v>45497</v>
      </c>
      <c r="V304" t="s">
        <v>56869</v>
      </c>
      <c r="W304" t="s">
        <v>39477</v>
      </c>
      <c r="X304" t="s">
        <v>43171</v>
      </c>
    </row>
    <row r="305" spans="1:24">
      <c r="A305">
        <f>HYPERLINK("https://www.philgeps.gov.ph/GEPSNONPILOT/Tender/SplashBidNoticeAbstractUI.aspx?menuIndex=3&amp;refID=7085247&amp;Result=3","7085247")</f>
        <v>0</v>
      </c>
      <c r="B305" t="s">
        <v>47</v>
      </c>
      <c r="C305" t="s">
        <v>3749</v>
      </c>
      <c r="D305" t="s">
        <v>17430</v>
      </c>
      <c r="E305" t="s">
        <v>17802</v>
      </c>
      <c r="F305" t="s">
        <v>30052</v>
      </c>
      <c r="G305" t="s">
        <v>30061</v>
      </c>
      <c r="H305" t="s">
        <v>15498</v>
      </c>
      <c r="I305" t="s">
        <v>30076</v>
      </c>
      <c r="J305" t="s">
        <v>30450</v>
      </c>
      <c r="K305" t="s">
        <v>39019</v>
      </c>
      <c r="M305" t="s">
        <v>39337</v>
      </c>
      <c r="N305" t="s">
        <v>43166</v>
      </c>
      <c r="O305" t="s">
        <v>43167</v>
      </c>
      <c r="P305">
        <v>0</v>
      </c>
      <c r="Q305">
        <v>0</v>
      </c>
      <c r="R305" t="s">
        <v>43168</v>
      </c>
      <c r="S305" t="s">
        <v>43286</v>
      </c>
      <c r="T305" t="s">
        <v>44751</v>
      </c>
      <c r="U305" t="s">
        <v>45498</v>
      </c>
      <c r="V305" t="s">
        <v>56859</v>
      </c>
      <c r="W305" t="s">
        <v>39337</v>
      </c>
      <c r="X305" t="s">
        <v>43171</v>
      </c>
    </row>
    <row r="306" spans="1:24">
      <c r="A306">
        <f>HYPERLINK("https://www.philgeps.gov.ph/GEPSNONPILOT/Tender/SplashBidNoticeAbstractUI.aspx?menuIndex=3&amp;refID=7085373&amp;Result=3","7085373")</f>
        <v>0</v>
      </c>
      <c r="B306" t="s">
        <v>189</v>
      </c>
      <c r="C306" t="s">
        <v>3750</v>
      </c>
      <c r="D306" t="s">
        <v>17468</v>
      </c>
      <c r="E306" t="s">
        <v>17803</v>
      </c>
      <c r="F306" t="s">
        <v>30052</v>
      </c>
      <c r="G306" t="s">
        <v>30059</v>
      </c>
      <c r="H306" t="s">
        <v>15498</v>
      </c>
      <c r="I306" t="s">
        <v>30100</v>
      </c>
      <c r="J306" t="s">
        <v>30377</v>
      </c>
      <c r="K306" t="s">
        <v>39029</v>
      </c>
      <c r="M306" t="s">
        <v>39478</v>
      </c>
      <c r="N306" t="s">
        <v>43166</v>
      </c>
      <c r="O306" t="s">
        <v>43167</v>
      </c>
      <c r="P306">
        <v>0</v>
      </c>
      <c r="Q306">
        <v>1</v>
      </c>
      <c r="R306" t="s">
        <v>43168</v>
      </c>
      <c r="S306" t="s">
        <v>43286</v>
      </c>
      <c r="T306" t="s">
        <v>44755</v>
      </c>
      <c r="U306" t="s">
        <v>45499</v>
      </c>
      <c r="W306" t="s">
        <v>39478</v>
      </c>
      <c r="X306" t="s">
        <v>43171</v>
      </c>
    </row>
    <row r="307" spans="1:24">
      <c r="A307">
        <f>HYPERLINK("https://www.philgeps.gov.ph/GEPSNONPILOT/Tender/SplashBidNoticeAbstractUI.aspx?menuIndex=3&amp;refID=7085518&amp;Result=3","7085518")</f>
        <v>0</v>
      </c>
      <c r="B307" t="s">
        <v>190</v>
      </c>
      <c r="C307" t="s">
        <v>3751</v>
      </c>
      <c r="D307" t="s">
        <v>17478</v>
      </c>
      <c r="E307" t="s">
        <v>17804</v>
      </c>
      <c r="F307" t="s">
        <v>30052</v>
      </c>
      <c r="G307" t="s">
        <v>30059</v>
      </c>
      <c r="H307" t="s">
        <v>15498</v>
      </c>
      <c r="I307" t="s">
        <v>30084</v>
      </c>
      <c r="J307" t="s">
        <v>30292</v>
      </c>
      <c r="K307" t="s">
        <v>39034</v>
      </c>
      <c r="M307" t="s">
        <v>39479</v>
      </c>
      <c r="N307" t="s">
        <v>43166</v>
      </c>
      <c r="O307" t="s">
        <v>43167</v>
      </c>
      <c r="P307">
        <v>0</v>
      </c>
      <c r="Q307">
        <v>0</v>
      </c>
      <c r="R307" t="s">
        <v>43168</v>
      </c>
      <c r="S307" t="s">
        <v>43286</v>
      </c>
      <c r="T307" t="s">
        <v>44696</v>
      </c>
      <c r="U307" t="s">
        <v>45500</v>
      </c>
      <c r="W307" t="s">
        <v>39479</v>
      </c>
      <c r="X307" t="s">
        <v>43171</v>
      </c>
    </row>
    <row r="308" spans="1:24">
      <c r="A308">
        <f>HYPERLINK("https://www.philgeps.gov.ph/GEPSNONPILOT/Tender/SplashBidNoticeAbstractUI.aspx?menuIndex=3&amp;refID=7085252&amp;Result=3","7085252")</f>
        <v>0</v>
      </c>
      <c r="B308" t="s">
        <v>191</v>
      </c>
      <c r="C308" t="s">
        <v>3752</v>
      </c>
      <c r="D308" t="s">
        <v>17434</v>
      </c>
      <c r="E308" t="s">
        <v>17805</v>
      </c>
      <c r="F308" t="s">
        <v>30052</v>
      </c>
      <c r="G308" t="s">
        <v>30058</v>
      </c>
      <c r="H308" t="s">
        <v>15498</v>
      </c>
      <c r="I308" t="s">
        <v>3606</v>
      </c>
      <c r="J308" t="s">
        <v>30451</v>
      </c>
      <c r="K308" t="s">
        <v>39018</v>
      </c>
      <c r="M308" t="s">
        <v>39480</v>
      </c>
      <c r="N308" t="s">
        <v>43166</v>
      </c>
      <c r="O308" t="s">
        <v>43167</v>
      </c>
      <c r="P308">
        <v>0</v>
      </c>
      <c r="Q308">
        <v>2</v>
      </c>
      <c r="R308" t="s">
        <v>43168</v>
      </c>
      <c r="S308" t="s">
        <v>43286</v>
      </c>
      <c r="T308" t="s">
        <v>44679</v>
      </c>
      <c r="U308" t="s">
        <v>45501</v>
      </c>
      <c r="W308" t="s">
        <v>39480</v>
      </c>
      <c r="X308" t="s">
        <v>43171</v>
      </c>
    </row>
    <row r="309" spans="1:24">
      <c r="A309">
        <f>HYPERLINK("https://www.philgeps.gov.ph/GEPSNONPILOT/Tender/SplashBidNoticeAbstractUI.aspx?menuIndex=3&amp;refID=7085539&amp;Result=3","7085539")</f>
        <v>0</v>
      </c>
      <c r="B309" t="s">
        <v>51</v>
      </c>
      <c r="C309" t="s">
        <v>3753</v>
      </c>
      <c r="D309" t="s">
        <v>17434</v>
      </c>
      <c r="E309" t="s">
        <v>17806</v>
      </c>
      <c r="F309" t="s">
        <v>30055</v>
      </c>
      <c r="G309" t="s">
        <v>30059</v>
      </c>
      <c r="H309" t="s">
        <v>15498</v>
      </c>
      <c r="I309" t="s">
        <v>3852</v>
      </c>
      <c r="J309" t="s">
        <v>30452</v>
      </c>
      <c r="K309" t="s">
        <v>39019</v>
      </c>
      <c r="M309" t="s">
        <v>39481</v>
      </c>
      <c r="N309" t="s">
        <v>43166</v>
      </c>
      <c r="O309" t="s">
        <v>43167</v>
      </c>
      <c r="P309">
        <v>0</v>
      </c>
      <c r="Q309">
        <v>0</v>
      </c>
      <c r="R309" t="s">
        <v>43168</v>
      </c>
      <c r="S309" t="s">
        <v>43286</v>
      </c>
      <c r="T309" t="s">
        <v>44718</v>
      </c>
      <c r="U309" t="s">
        <v>45502</v>
      </c>
      <c r="W309" t="s">
        <v>39481</v>
      </c>
      <c r="X309" t="s">
        <v>43171</v>
      </c>
    </row>
    <row r="310" spans="1:24">
      <c r="A310">
        <f>HYPERLINK("https://www.philgeps.gov.ph/GEPSNONPILOT/Tender/SplashBidNoticeAbstractUI.aspx?menuIndex=3&amp;refID=7085369&amp;Result=3","7085369")</f>
        <v>0</v>
      </c>
      <c r="B310" t="s">
        <v>174</v>
      </c>
      <c r="C310" t="s">
        <v>3754</v>
      </c>
      <c r="D310" t="s">
        <v>17419</v>
      </c>
      <c r="E310" t="s">
        <v>17807</v>
      </c>
      <c r="F310" t="s">
        <v>30052</v>
      </c>
      <c r="G310" t="s">
        <v>30059</v>
      </c>
      <c r="H310" t="s">
        <v>15498</v>
      </c>
      <c r="I310" t="s">
        <v>3736</v>
      </c>
      <c r="J310" t="s">
        <v>30453</v>
      </c>
      <c r="K310" t="s">
        <v>39029</v>
      </c>
      <c r="M310" t="s">
        <v>39463</v>
      </c>
      <c r="N310" t="s">
        <v>43166</v>
      </c>
      <c r="O310" t="s">
        <v>43167</v>
      </c>
      <c r="P310">
        <v>0</v>
      </c>
      <c r="Q310">
        <v>0</v>
      </c>
      <c r="R310" t="s">
        <v>43168</v>
      </c>
      <c r="S310" t="s">
        <v>43286</v>
      </c>
      <c r="T310" t="s">
        <v>44678</v>
      </c>
      <c r="U310" t="s">
        <v>45503</v>
      </c>
      <c r="W310" t="s">
        <v>39463</v>
      </c>
      <c r="X310" t="s">
        <v>43171</v>
      </c>
    </row>
    <row r="311" spans="1:24">
      <c r="A311">
        <f>HYPERLINK("https://www.philgeps.gov.ph/GEPSNONPILOT/Tender/SplashBidNoticeAbstractUI.aspx?menuIndex=3&amp;refID=7085514&amp;Result=3","7085514")</f>
        <v>0</v>
      </c>
      <c r="B311" t="s">
        <v>78</v>
      </c>
      <c r="C311" t="s">
        <v>3755</v>
      </c>
      <c r="E311" t="s">
        <v>17808</v>
      </c>
      <c r="F311" t="s">
        <v>30052</v>
      </c>
      <c r="G311" t="s">
        <v>30059</v>
      </c>
      <c r="H311" t="s">
        <v>15498</v>
      </c>
      <c r="I311" t="s">
        <v>4119</v>
      </c>
      <c r="J311" t="s">
        <v>30454</v>
      </c>
      <c r="K311" t="s">
        <v>39019</v>
      </c>
      <c r="M311" t="s">
        <v>39367</v>
      </c>
      <c r="N311" t="s">
        <v>43166</v>
      </c>
      <c r="O311" t="s">
        <v>43167</v>
      </c>
      <c r="P311">
        <v>0</v>
      </c>
      <c r="Q311">
        <v>9</v>
      </c>
      <c r="R311" t="s">
        <v>43168</v>
      </c>
      <c r="S311" t="s">
        <v>43286</v>
      </c>
      <c r="T311" t="s">
        <v>44681</v>
      </c>
      <c r="U311" t="s">
        <v>45504</v>
      </c>
      <c r="V311" t="s">
        <v>56870</v>
      </c>
      <c r="W311" t="s">
        <v>39367</v>
      </c>
      <c r="X311" t="s">
        <v>43171</v>
      </c>
    </row>
    <row r="312" spans="1:24">
      <c r="A312">
        <f>HYPERLINK("https://www.philgeps.gov.ph/GEPSNONPILOT/Tender/SplashBidNoticeAbstractUI.aspx?menuIndex=3&amp;refID=7085534&amp;Result=3","7085534")</f>
        <v>0</v>
      </c>
      <c r="B312" t="s">
        <v>51</v>
      </c>
      <c r="C312" t="s">
        <v>3753</v>
      </c>
      <c r="D312" t="s">
        <v>17434</v>
      </c>
      <c r="E312" t="s">
        <v>17809</v>
      </c>
      <c r="F312" t="s">
        <v>30055</v>
      </c>
      <c r="G312" t="s">
        <v>30059</v>
      </c>
      <c r="H312" t="s">
        <v>15498</v>
      </c>
      <c r="I312" t="s">
        <v>3852</v>
      </c>
      <c r="J312" t="s">
        <v>30455</v>
      </c>
      <c r="K312" t="s">
        <v>39019</v>
      </c>
      <c r="M312" t="s">
        <v>39481</v>
      </c>
      <c r="N312" t="s">
        <v>43166</v>
      </c>
      <c r="O312" t="s">
        <v>43167</v>
      </c>
      <c r="P312">
        <v>0</v>
      </c>
      <c r="Q312">
        <v>3</v>
      </c>
      <c r="R312" t="s">
        <v>43168</v>
      </c>
      <c r="S312" t="s">
        <v>43286</v>
      </c>
      <c r="T312" t="s">
        <v>44756</v>
      </c>
      <c r="U312" t="s">
        <v>45505</v>
      </c>
      <c r="W312" t="s">
        <v>39481</v>
      </c>
      <c r="X312" t="s">
        <v>43171</v>
      </c>
    </row>
    <row r="313" spans="1:24">
      <c r="A313">
        <f>HYPERLINK("https://www.philgeps.gov.ph/GEPSNONPILOT/Tender/SplashBidNoticeAbstractUI.aspx?menuIndex=3&amp;refID=7085381&amp;Result=3","7085381")</f>
        <v>0</v>
      </c>
      <c r="B313" t="s">
        <v>125</v>
      </c>
      <c r="C313" t="s">
        <v>3756</v>
      </c>
      <c r="D313" t="s">
        <v>17422</v>
      </c>
      <c r="E313" t="s">
        <v>17810</v>
      </c>
      <c r="F313" t="s">
        <v>30052</v>
      </c>
      <c r="G313" t="s">
        <v>30059</v>
      </c>
      <c r="H313" t="s">
        <v>15498</v>
      </c>
      <c r="I313" t="s">
        <v>30068</v>
      </c>
      <c r="J313" t="s">
        <v>30456</v>
      </c>
      <c r="K313" t="s">
        <v>39023</v>
      </c>
      <c r="M313" t="s">
        <v>39414</v>
      </c>
      <c r="N313" t="s">
        <v>43166</v>
      </c>
      <c r="O313" t="s">
        <v>43167</v>
      </c>
      <c r="P313">
        <v>0</v>
      </c>
      <c r="Q313">
        <v>0</v>
      </c>
      <c r="R313" t="s">
        <v>43168</v>
      </c>
      <c r="S313" t="s">
        <v>43286</v>
      </c>
      <c r="T313" t="s">
        <v>44685</v>
      </c>
      <c r="U313" t="s">
        <v>45506</v>
      </c>
      <c r="W313" t="s">
        <v>39414</v>
      </c>
      <c r="X313" t="s">
        <v>43171</v>
      </c>
    </row>
    <row r="314" spans="1:24">
      <c r="A314">
        <f>HYPERLINK("https://www.philgeps.gov.ph/GEPSNONPILOT/Tender/SplashBidNoticeAbstractUI.aspx?menuIndex=3&amp;refID=7085531&amp;Result=3","7085531")</f>
        <v>0</v>
      </c>
      <c r="B314" t="s">
        <v>51</v>
      </c>
      <c r="C314" t="s">
        <v>3753</v>
      </c>
      <c r="D314" t="s">
        <v>17434</v>
      </c>
      <c r="E314" t="s">
        <v>17811</v>
      </c>
      <c r="F314" t="s">
        <v>30055</v>
      </c>
      <c r="G314" t="s">
        <v>30059</v>
      </c>
      <c r="H314" t="s">
        <v>15498</v>
      </c>
      <c r="I314" t="s">
        <v>3852</v>
      </c>
      <c r="J314" t="s">
        <v>30457</v>
      </c>
      <c r="K314" t="s">
        <v>39019</v>
      </c>
      <c r="M314" t="s">
        <v>39481</v>
      </c>
      <c r="N314" t="s">
        <v>43166</v>
      </c>
      <c r="O314" t="s">
        <v>43167</v>
      </c>
      <c r="P314">
        <v>0</v>
      </c>
      <c r="Q314">
        <v>0</v>
      </c>
      <c r="R314" t="s">
        <v>43168</v>
      </c>
      <c r="S314" t="s">
        <v>43286</v>
      </c>
      <c r="T314" t="s">
        <v>44756</v>
      </c>
      <c r="U314" t="s">
        <v>45507</v>
      </c>
      <c r="V314" t="s">
        <v>46522</v>
      </c>
      <c r="W314" t="s">
        <v>39481</v>
      </c>
      <c r="X314" t="s">
        <v>43171</v>
      </c>
    </row>
    <row r="315" spans="1:24">
      <c r="A315">
        <f>HYPERLINK("https://www.philgeps.gov.ph/GEPSNONPILOT/Tender/SplashBidNoticeAbstractUI.aspx?menuIndex=3&amp;refID=7085525&amp;Result=3","7085525")</f>
        <v>0</v>
      </c>
      <c r="B315" t="s">
        <v>51</v>
      </c>
      <c r="C315" t="s">
        <v>3753</v>
      </c>
      <c r="D315" t="s">
        <v>17434</v>
      </c>
      <c r="E315" t="s">
        <v>17812</v>
      </c>
      <c r="F315" t="s">
        <v>30055</v>
      </c>
      <c r="G315" t="s">
        <v>30059</v>
      </c>
      <c r="H315" t="s">
        <v>15498</v>
      </c>
      <c r="I315" t="s">
        <v>3852</v>
      </c>
      <c r="J315" t="s">
        <v>30458</v>
      </c>
      <c r="K315" t="s">
        <v>39019</v>
      </c>
      <c r="M315" t="s">
        <v>39481</v>
      </c>
      <c r="N315" t="s">
        <v>43166</v>
      </c>
      <c r="O315" t="s">
        <v>43167</v>
      </c>
      <c r="P315">
        <v>0</v>
      </c>
      <c r="Q315">
        <v>0</v>
      </c>
      <c r="R315" t="s">
        <v>43168</v>
      </c>
      <c r="S315" t="s">
        <v>43286</v>
      </c>
      <c r="T315" t="s">
        <v>44756</v>
      </c>
      <c r="U315" t="s">
        <v>45508</v>
      </c>
      <c r="W315" t="s">
        <v>39481</v>
      </c>
      <c r="X315" t="s">
        <v>43171</v>
      </c>
    </row>
    <row r="316" spans="1:24">
      <c r="A316">
        <f>HYPERLINK("https://www.philgeps.gov.ph/GEPSNONPILOT/Tender/SplashBidNoticeAbstractUI.aspx?menuIndex=3&amp;refID=7085523&amp;Result=3","7085523")</f>
        <v>0</v>
      </c>
      <c r="B316" t="s">
        <v>190</v>
      </c>
      <c r="C316" t="s">
        <v>3757</v>
      </c>
      <c r="D316" t="s">
        <v>17478</v>
      </c>
      <c r="E316" t="s">
        <v>17813</v>
      </c>
      <c r="F316" t="s">
        <v>30052</v>
      </c>
      <c r="G316" t="s">
        <v>30059</v>
      </c>
      <c r="H316" t="s">
        <v>15498</v>
      </c>
      <c r="I316" t="s">
        <v>7228</v>
      </c>
      <c r="J316" t="s">
        <v>30459</v>
      </c>
      <c r="K316" t="s">
        <v>39034</v>
      </c>
      <c r="M316" t="s">
        <v>39479</v>
      </c>
      <c r="N316" t="s">
        <v>43166</v>
      </c>
      <c r="O316" t="s">
        <v>43167</v>
      </c>
      <c r="P316">
        <v>0</v>
      </c>
      <c r="Q316">
        <v>0</v>
      </c>
      <c r="R316" t="s">
        <v>43168</v>
      </c>
      <c r="S316" t="s">
        <v>43286</v>
      </c>
      <c r="T316" t="s">
        <v>44696</v>
      </c>
      <c r="U316" t="s">
        <v>45500</v>
      </c>
      <c r="W316" t="s">
        <v>39479</v>
      </c>
      <c r="X316" t="s">
        <v>43171</v>
      </c>
    </row>
    <row r="317" spans="1:24">
      <c r="A317">
        <f>HYPERLINK("https://www.philgeps.gov.ph/GEPSNONPILOT/Tender/SplashBidNoticeAbstractUI.aspx?menuIndex=3&amp;refID=7085387&amp;Result=3","7085387")</f>
        <v>0</v>
      </c>
      <c r="B317" t="s">
        <v>99</v>
      </c>
      <c r="C317" t="s">
        <v>3758</v>
      </c>
      <c r="D317" t="s">
        <v>17447</v>
      </c>
      <c r="E317" t="s">
        <v>17814</v>
      </c>
      <c r="F317" t="s">
        <v>30052</v>
      </c>
      <c r="G317" t="s">
        <v>30058</v>
      </c>
      <c r="H317" t="s">
        <v>30067</v>
      </c>
      <c r="I317" t="s">
        <v>3693</v>
      </c>
      <c r="J317" t="s">
        <v>30227</v>
      </c>
      <c r="K317" t="s">
        <v>39058</v>
      </c>
      <c r="M317" t="s">
        <v>39388</v>
      </c>
      <c r="N317" t="s">
        <v>43166</v>
      </c>
      <c r="O317" t="s">
        <v>43167</v>
      </c>
      <c r="P317">
        <v>0</v>
      </c>
      <c r="Q317">
        <v>0</v>
      </c>
      <c r="R317" t="s">
        <v>43168</v>
      </c>
      <c r="S317" t="s">
        <v>43286</v>
      </c>
      <c r="T317" t="s">
        <v>44721</v>
      </c>
      <c r="U317" t="s">
        <v>45340</v>
      </c>
      <c r="V317" t="s">
        <v>56836</v>
      </c>
      <c r="W317" t="s">
        <v>58590</v>
      </c>
      <c r="X317" t="s">
        <v>43171</v>
      </c>
    </row>
    <row r="318" spans="1:24">
      <c r="A318">
        <f>HYPERLINK("https://www.philgeps.gov.ph/GEPSNONPILOT/Tender/SplashBidNoticeAbstractUI.aspx?menuIndex=3&amp;refID=7085501&amp;Result=3","7085501")</f>
        <v>0</v>
      </c>
      <c r="B318" t="s">
        <v>192</v>
      </c>
      <c r="C318" t="s">
        <v>3759</v>
      </c>
      <c r="E318" t="s">
        <v>17815</v>
      </c>
      <c r="F318" t="s">
        <v>30052</v>
      </c>
      <c r="G318" t="s">
        <v>30059</v>
      </c>
      <c r="H318" t="s">
        <v>15498</v>
      </c>
      <c r="I318" t="s">
        <v>3736</v>
      </c>
      <c r="J318" t="s">
        <v>30287</v>
      </c>
      <c r="K318" t="s">
        <v>39025</v>
      </c>
      <c r="M318" t="s">
        <v>39482</v>
      </c>
      <c r="N318" t="s">
        <v>43166</v>
      </c>
      <c r="O318" t="s">
        <v>43167</v>
      </c>
      <c r="P318">
        <v>0</v>
      </c>
      <c r="Q318">
        <v>0</v>
      </c>
      <c r="R318" t="s">
        <v>43168</v>
      </c>
      <c r="S318" t="s">
        <v>43286</v>
      </c>
      <c r="T318" t="s">
        <v>44696</v>
      </c>
      <c r="U318" t="s">
        <v>45509</v>
      </c>
      <c r="V318" t="s">
        <v>56871</v>
      </c>
      <c r="W318" t="s">
        <v>39482</v>
      </c>
      <c r="X318" t="s">
        <v>43171</v>
      </c>
    </row>
    <row r="319" spans="1:24">
      <c r="A319">
        <f>HYPERLINK("https://www.philgeps.gov.ph/GEPSNONPILOT/Tender/SplashBidNoticeAbstractUI.aspx?menuIndex=3&amp;refID=7085269&amp;Result=3","7085269")</f>
        <v>0</v>
      </c>
      <c r="B319" t="s">
        <v>157</v>
      </c>
      <c r="C319" t="s">
        <v>3760</v>
      </c>
      <c r="D319" t="s">
        <v>17456</v>
      </c>
      <c r="E319" t="s">
        <v>17816</v>
      </c>
      <c r="F319" t="s">
        <v>30052</v>
      </c>
      <c r="G319" t="s">
        <v>30059</v>
      </c>
      <c r="H319" t="s">
        <v>15498</v>
      </c>
      <c r="I319" t="s">
        <v>3852</v>
      </c>
      <c r="J319" t="s">
        <v>30358</v>
      </c>
      <c r="K319" t="s">
        <v>39017</v>
      </c>
      <c r="M319" t="s">
        <v>39446</v>
      </c>
      <c r="N319" t="s">
        <v>43166</v>
      </c>
      <c r="O319" t="s">
        <v>43167</v>
      </c>
      <c r="P319">
        <v>0</v>
      </c>
      <c r="Q319">
        <v>0</v>
      </c>
      <c r="R319" t="s">
        <v>43168</v>
      </c>
      <c r="S319" t="s">
        <v>43286</v>
      </c>
      <c r="T319" t="s">
        <v>44737</v>
      </c>
      <c r="U319" t="s">
        <v>45510</v>
      </c>
      <c r="V319" t="s">
        <v>56852</v>
      </c>
      <c r="W319" t="s">
        <v>39446</v>
      </c>
      <c r="X319" t="s">
        <v>43171</v>
      </c>
    </row>
    <row r="320" spans="1:24">
      <c r="A320">
        <f>HYPERLINK("https://www.philgeps.gov.ph/GEPSNONPILOT/Tender/SplashBidNoticeAbstractUI.aspx?menuIndex=3&amp;refID=7085507&amp;Result=3","7085507")</f>
        <v>0</v>
      </c>
      <c r="B320" t="s">
        <v>192</v>
      </c>
      <c r="C320" t="s">
        <v>3761</v>
      </c>
      <c r="E320" t="s">
        <v>17817</v>
      </c>
      <c r="F320" t="s">
        <v>30052</v>
      </c>
      <c r="G320" t="s">
        <v>30059</v>
      </c>
      <c r="H320" t="s">
        <v>15498</v>
      </c>
      <c r="I320" t="s">
        <v>30100</v>
      </c>
      <c r="J320" t="s">
        <v>30460</v>
      </c>
      <c r="K320" t="s">
        <v>39025</v>
      </c>
      <c r="M320" t="s">
        <v>39482</v>
      </c>
      <c r="N320" t="s">
        <v>43166</v>
      </c>
      <c r="O320" t="s">
        <v>43167</v>
      </c>
      <c r="P320">
        <v>0</v>
      </c>
      <c r="Q320">
        <v>0</v>
      </c>
      <c r="R320" t="s">
        <v>43168</v>
      </c>
      <c r="S320" t="s">
        <v>43286</v>
      </c>
      <c r="T320" t="s">
        <v>44696</v>
      </c>
      <c r="U320" t="s">
        <v>45511</v>
      </c>
      <c r="V320" t="s">
        <v>56871</v>
      </c>
      <c r="W320" t="s">
        <v>39482</v>
      </c>
      <c r="X320" t="s">
        <v>43171</v>
      </c>
    </row>
    <row r="321" spans="1:24">
      <c r="A321">
        <f>HYPERLINK("https://www.philgeps.gov.ph/GEPSNONPILOT/Tender/SplashBidNoticeAbstractUI.aspx?menuIndex=3&amp;refID=7085506&amp;Result=3","7085506")</f>
        <v>0</v>
      </c>
      <c r="B321" t="s">
        <v>193</v>
      </c>
      <c r="C321" t="s">
        <v>3762</v>
      </c>
      <c r="D321" t="s">
        <v>17471</v>
      </c>
      <c r="E321" t="s">
        <v>17818</v>
      </c>
      <c r="F321" t="s">
        <v>30052</v>
      </c>
      <c r="G321" t="s">
        <v>30061</v>
      </c>
      <c r="H321" t="s">
        <v>15498</v>
      </c>
      <c r="I321" t="s">
        <v>30073</v>
      </c>
      <c r="J321" t="s">
        <v>30461</v>
      </c>
      <c r="K321" t="s">
        <v>39046</v>
      </c>
      <c r="M321" t="s">
        <v>39483</v>
      </c>
      <c r="N321" t="s">
        <v>43166</v>
      </c>
      <c r="O321" t="s">
        <v>43167</v>
      </c>
      <c r="P321">
        <v>0</v>
      </c>
      <c r="Q321">
        <v>0</v>
      </c>
      <c r="R321" t="s">
        <v>43168</v>
      </c>
      <c r="S321" t="s">
        <v>43286</v>
      </c>
      <c r="T321" t="s">
        <v>44699</v>
      </c>
      <c r="U321" t="s">
        <v>45512</v>
      </c>
      <c r="W321" t="s">
        <v>39483</v>
      </c>
      <c r="X321" t="s">
        <v>43171</v>
      </c>
    </row>
    <row r="322" spans="1:24">
      <c r="A322">
        <f>HYPERLINK("https://www.philgeps.gov.ph/GEPSNONPILOT/Tender/SplashBidNoticeAbstractUI.aspx?menuIndex=3&amp;refID=7085537&amp;Result=3","7085537")</f>
        <v>0</v>
      </c>
      <c r="B322" t="s">
        <v>51</v>
      </c>
      <c r="C322" t="s">
        <v>3753</v>
      </c>
      <c r="D322" t="s">
        <v>17434</v>
      </c>
      <c r="E322" t="s">
        <v>17819</v>
      </c>
      <c r="F322" t="s">
        <v>30055</v>
      </c>
      <c r="G322" t="s">
        <v>30059</v>
      </c>
      <c r="H322" t="s">
        <v>15498</v>
      </c>
      <c r="I322" t="s">
        <v>3852</v>
      </c>
      <c r="J322" t="s">
        <v>30462</v>
      </c>
      <c r="K322" t="s">
        <v>39019</v>
      </c>
      <c r="M322" t="s">
        <v>39481</v>
      </c>
      <c r="N322" t="s">
        <v>43166</v>
      </c>
      <c r="O322" t="s">
        <v>43167</v>
      </c>
      <c r="P322">
        <v>0</v>
      </c>
      <c r="Q322">
        <v>0</v>
      </c>
      <c r="R322" t="s">
        <v>43168</v>
      </c>
      <c r="S322" t="s">
        <v>43286</v>
      </c>
      <c r="T322" t="s">
        <v>44757</v>
      </c>
      <c r="U322" t="s">
        <v>45513</v>
      </c>
      <c r="W322" t="s">
        <v>39481</v>
      </c>
      <c r="X322" t="s">
        <v>43171</v>
      </c>
    </row>
    <row r="323" spans="1:24">
      <c r="A323">
        <f>HYPERLINK("https://www.philgeps.gov.ph/GEPSNONPILOT/Tender/SplashBidNoticeAbstractUI.aspx?menuIndex=3&amp;refID=7085487&amp;Result=3","7085487")</f>
        <v>0</v>
      </c>
      <c r="B323" t="s">
        <v>194</v>
      </c>
      <c r="C323" t="s">
        <v>3763</v>
      </c>
      <c r="D323" t="s">
        <v>17438</v>
      </c>
      <c r="E323" t="s">
        <v>17820</v>
      </c>
      <c r="F323" t="s">
        <v>30052</v>
      </c>
      <c r="G323" t="s">
        <v>30058</v>
      </c>
      <c r="H323" t="s">
        <v>15498</v>
      </c>
      <c r="I323" t="s">
        <v>30076</v>
      </c>
      <c r="J323" t="s">
        <v>30463</v>
      </c>
      <c r="K323" t="s">
        <v>39029</v>
      </c>
      <c r="M323" t="s">
        <v>39484</v>
      </c>
      <c r="N323" t="s">
        <v>43166</v>
      </c>
      <c r="O323" t="s">
        <v>43167</v>
      </c>
      <c r="P323">
        <v>0</v>
      </c>
      <c r="Q323">
        <v>5</v>
      </c>
      <c r="R323" t="s">
        <v>43168</v>
      </c>
      <c r="S323" t="s">
        <v>43286</v>
      </c>
      <c r="T323" t="s">
        <v>44758</v>
      </c>
      <c r="U323" t="s">
        <v>45514</v>
      </c>
      <c r="V323" t="s">
        <v>56872</v>
      </c>
      <c r="W323" t="s">
        <v>39484</v>
      </c>
      <c r="X323" t="s">
        <v>43171</v>
      </c>
    </row>
    <row r="324" spans="1:24">
      <c r="A324">
        <f>HYPERLINK("https://www.philgeps.gov.ph/GEPSNONPILOT/Tender/SplashBidNoticeAbstractUI.aspx?menuIndex=3&amp;refID=7085481&amp;Result=3","7085481")</f>
        <v>0</v>
      </c>
      <c r="B324" t="s">
        <v>165</v>
      </c>
      <c r="C324" t="s">
        <v>3764</v>
      </c>
      <c r="D324" t="s">
        <v>17448</v>
      </c>
      <c r="E324" t="s">
        <v>17821</v>
      </c>
      <c r="F324" t="s">
        <v>30052</v>
      </c>
      <c r="G324" t="s">
        <v>30059</v>
      </c>
      <c r="H324" t="s">
        <v>15498</v>
      </c>
      <c r="I324" t="s">
        <v>30086</v>
      </c>
      <c r="J324" t="s">
        <v>30464</v>
      </c>
      <c r="K324" t="s">
        <v>39029</v>
      </c>
      <c r="M324" t="s">
        <v>39454</v>
      </c>
      <c r="N324" t="s">
        <v>43166</v>
      </c>
      <c r="O324" t="s">
        <v>43167</v>
      </c>
      <c r="P324">
        <v>0</v>
      </c>
      <c r="Q324">
        <v>1</v>
      </c>
      <c r="R324" t="s">
        <v>43168</v>
      </c>
      <c r="S324" t="s">
        <v>43286</v>
      </c>
      <c r="T324" t="s">
        <v>44721</v>
      </c>
      <c r="U324" t="s">
        <v>45515</v>
      </c>
      <c r="W324" t="s">
        <v>39454</v>
      </c>
      <c r="X324" t="s">
        <v>43171</v>
      </c>
    </row>
    <row r="325" spans="1:24">
      <c r="A325">
        <f>HYPERLINK("https://www.philgeps.gov.ph/GEPSNONPILOT/Tender/SplashBidNoticeAbstractUI.aspx?menuIndex=3&amp;refID=7085478&amp;Result=3","7085478")</f>
        <v>0</v>
      </c>
      <c r="B325" t="s">
        <v>195</v>
      </c>
      <c r="C325" t="s">
        <v>3765</v>
      </c>
      <c r="D325" t="s">
        <v>17479</v>
      </c>
      <c r="E325" t="s">
        <v>17822</v>
      </c>
      <c r="F325" t="s">
        <v>30052</v>
      </c>
      <c r="G325" t="s">
        <v>30059</v>
      </c>
      <c r="H325" t="s">
        <v>15498</v>
      </c>
      <c r="I325" t="s">
        <v>6691</v>
      </c>
      <c r="J325" t="s">
        <v>30292</v>
      </c>
      <c r="K325" t="s">
        <v>39025</v>
      </c>
      <c r="M325" t="s">
        <v>39485</v>
      </c>
      <c r="N325" t="s">
        <v>43166</v>
      </c>
      <c r="O325" t="s">
        <v>43167</v>
      </c>
      <c r="P325">
        <v>0</v>
      </c>
      <c r="Q325">
        <v>0</v>
      </c>
      <c r="R325" t="s">
        <v>43168</v>
      </c>
      <c r="S325" t="s">
        <v>43286</v>
      </c>
      <c r="T325" t="s">
        <v>44708</v>
      </c>
      <c r="U325" t="s">
        <v>45516</v>
      </c>
      <c r="W325" t="s">
        <v>39485</v>
      </c>
      <c r="X325" t="s">
        <v>43171</v>
      </c>
    </row>
    <row r="326" spans="1:24">
      <c r="A326">
        <f>HYPERLINK("https://www.philgeps.gov.ph/GEPSNONPILOT/Tender/SplashBidNoticeAbstractUI.aspx?menuIndex=3&amp;refID=7085495&amp;Result=3","7085495")</f>
        <v>0</v>
      </c>
      <c r="B326" t="s">
        <v>196</v>
      </c>
      <c r="C326" t="s">
        <v>3766</v>
      </c>
      <c r="D326" t="s">
        <v>17476</v>
      </c>
      <c r="E326" t="s">
        <v>17823</v>
      </c>
      <c r="F326" t="s">
        <v>30052</v>
      </c>
      <c r="G326" t="s">
        <v>30058</v>
      </c>
      <c r="H326" t="s">
        <v>30067</v>
      </c>
      <c r="I326" t="s">
        <v>3693</v>
      </c>
      <c r="J326" t="s">
        <v>30465</v>
      </c>
      <c r="K326" t="s">
        <v>39023</v>
      </c>
      <c r="M326" t="s">
        <v>39486</v>
      </c>
      <c r="N326" t="s">
        <v>43166</v>
      </c>
      <c r="O326" t="s">
        <v>43167</v>
      </c>
      <c r="P326">
        <v>0</v>
      </c>
      <c r="Q326">
        <v>0</v>
      </c>
      <c r="R326" t="s">
        <v>43168</v>
      </c>
      <c r="S326" t="s">
        <v>43286</v>
      </c>
      <c r="T326" t="s">
        <v>44759</v>
      </c>
      <c r="U326" t="s">
        <v>45517</v>
      </c>
      <c r="W326" t="s">
        <v>39486</v>
      </c>
      <c r="X326" t="s">
        <v>43171</v>
      </c>
    </row>
    <row r="327" spans="1:24">
      <c r="A327">
        <f>HYPERLINK("https://www.philgeps.gov.ph/GEPSNONPILOT/Tender/SplashBidNoticeAbstractUI.aspx?menuIndex=3&amp;refID=7085475&amp;Result=3","7085475")</f>
        <v>0</v>
      </c>
      <c r="B327" t="s">
        <v>182</v>
      </c>
      <c r="C327" t="s">
        <v>3767</v>
      </c>
      <c r="D327" t="s">
        <v>17420</v>
      </c>
      <c r="E327" t="s">
        <v>17824</v>
      </c>
      <c r="F327" t="s">
        <v>30052</v>
      </c>
      <c r="G327" t="s">
        <v>30058</v>
      </c>
      <c r="H327" t="s">
        <v>15498</v>
      </c>
      <c r="I327" t="s">
        <v>30071</v>
      </c>
      <c r="J327" t="s">
        <v>30466</v>
      </c>
      <c r="K327" t="s">
        <v>39017</v>
      </c>
      <c r="M327" t="s">
        <v>39471</v>
      </c>
      <c r="N327" t="s">
        <v>43166</v>
      </c>
      <c r="O327" t="s">
        <v>43167</v>
      </c>
      <c r="P327">
        <v>0</v>
      </c>
      <c r="Q327">
        <v>0</v>
      </c>
      <c r="R327" t="s">
        <v>43168</v>
      </c>
      <c r="S327" t="s">
        <v>43286</v>
      </c>
      <c r="T327" t="s">
        <v>44754</v>
      </c>
      <c r="U327" t="s">
        <v>45518</v>
      </c>
      <c r="V327" t="s">
        <v>56873</v>
      </c>
      <c r="W327" t="s">
        <v>39471</v>
      </c>
      <c r="X327" t="s">
        <v>43171</v>
      </c>
    </row>
    <row r="328" spans="1:24">
      <c r="A328">
        <f>HYPERLINK("https://www.philgeps.gov.ph/GEPSNONPILOT/Tender/SplashBidNoticeAbstractUI.aspx?menuIndex=3&amp;refID=7085241&amp;Result=3","7085241")</f>
        <v>0</v>
      </c>
      <c r="B328" t="s">
        <v>157</v>
      </c>
      <c r="C328" t="s">
        <v>3768</v>
      </c>
      <c r="D328" t="s">
        <v>17456</v>
      </c>
      <c r="E328" t="s">
        <v>17825</v>
      </c>
      <c r="F328" t="s">
        <v>30052</v>
      </c>
      <c r="G328" t="s">
        <v>30059</v>
      </c>
      <c r="H328" t="s">
        <v>15498</v>
      </c>
      <c r="I328" t="s">
        <v>30076</v>
      </c>
      <c r="J328" t="s">
        <v>30467</v>
      </c>
      <c r="K328" t="s">
        <v>39017</v>
      </c>
      <c r="M328" t="s">
        <v>39446</v>
      </c>
      <c r="N328" t="s">
        <v>43166</v>
      </c>
      <c r="O328" t="s">
        <v>43167</v>
      </c>
      <c r="P328">
        <v>0</v>
      </c>
      <c r="Q328">
        <v>7</v>
      </c>
      <c r="R328" t="s">
        <v>43168</v>
      </c>
      <c r="S328" t="s">
        <v>43286</v>
      </c>
      <c r="T328" t="s">
        <v>44737</v>
      </c>
      <c r="U328" t="s">
        <v>45510</v>
      </c>
      <c r="V328" t="s">
        <v>56852</v>
      </c>
      <c r="W328" t="s">
        <v>39446</v>
      </c>
      <c r="X328" t="s">
        <v>43171</v>
      </c>
    </row>
    <row r="329" spans="1:24">
      <c r="A329">
        <f>HYPERLINK("https://www.philgeps.gov.ph/GEPSNONPILOT/Tender/SplashBidNoticeAbstractUI.aspx?menuIndex=3&amp;refID=7085170&amp;Result=3","7085170")</f>
        <v>0</v>
      </c>
      <c r="B329" t="s">
        <v>197</v>
      </c>
      <c r="C329" t="s">
        <v>3769</v>
      </c>
      <c r="D329" t="s">
        <v>17415</v>
      </c>
      <c r="E329" t="s">
        <v>17540</v>
      </c>
      <c r="F329" t="s">
        <v>30052</v>
      </c>
      <c r="G329" t="s">
        <v>30059</v>
      </c>
      <c r="H329" t="s">
        <v>15498</v>
      </c>
      <c r="I329" t="s">
        <v>8323</v>
      </c>
      <c r="J329" t="s">
        <v>30468</v>
      </c>
      <c r="K329" t="s">
        <v>39019</v>
      </c>
      <c r="M329" t="s">
        <v>39487</v>
      </c>
      <c r="N329" t="s">
        <v>43166</v>
      </c>
      <c r="O329" t="s">
        <v>43167</v>
      </c>
      <c r="P329">
        <v>0</v>
      </c>
      <c r="Q329">
        <v>10</v>
      </c>
      <c r="R329" t="s">
        <v>43168</v>
      </c>
      <c r="S329" t="s">
        <v>43286</v>
      </c>
      <c r="T329" t="s">
        <v>44691</v>
      </c>
      <c r="U329" t="s">
        <v>45519</v>
      </c>
      <c r="V329" t="s">
        <v>56874</v>
      </c>
      <c r="W329" t="s">
        <v>39487</v>
      </c>
      <c r="X329" t="s">
        <v>43171</v>
      </c>
    </row>
    <row r="330" spans="1:24">
      <c r="A330">
        <f>HYPERLINK("https://www.philgeps.gov.ph/GEPSNONPILOT/Tender/SplashBidNoticeAbstractUI.aspx?menuIndex=3&amp;refID=7085488&amp;Result=3","7085488")</f>
        <v>0</v>
      </c>
      <c r="B330" t="s">
        <v>198</v>
      </c>
      <c r="C330" t="s">
        <v>3770</v>
      </c>
      <c r="D330" t="s">
        <v>17415</v>
      </c>
      <c r="E330" t="s">
        <v>17826</v>
      </c>
      <c r="F330" t="s">
        <v>30052</v>
      </c>
      <c r="G330" t="s">
        <v>30061</v>
      </c>
      <c r="H330" t="s">
        <v>15498</v>
      </c>
      <c r="I330" t="s">
        <v>30119</v>
      </c>
      <c r="J330" t="s">
        <v>30469</v>
      </c>
      <c r="K330" t="s">
        <v>39017</v>
      </c>
      <c r="M330" t="s">
        <v>39488</v>
      </c>
      <c r="N330" t="s">
        <v>43166</v>
      </c>
      <c r="O330" t="s">
        <v>43167</v>
      </c>
      <c r="P330">
        <v>0</v>
      </c>
      <c r="Q330">
        <v>1</v>
      </c>
      <c r="R330" t="s">
        <v>43168</v>
      </c>
      <c r="S330" t="s">
        <v>43286</v>
      </c>
      <c r="T330" t="s">
        <v>44691</v>
      </c>
      <c r="U330" t="s">
        <v>45520</v>
      </c>
      <c r="W330" t="s">
        <v>39488</v>
      </c>
      <c r="X330" t="s">
        <v>43171</v>
      </c>
    </row>
    <row r="331" spans="1:24">
      <c r="A331">
        <f>HYPERLINK("https://www.philgeps.gov.ph/GEPSNONPILOT/Tender/SplashBidNoticeAbstractUI.aspx?menuIndex=3&amp;refID=7085168&amp;Result=3","7085168")</f>
        <v>0</v>
      </c>
      <c r="B331" t="s">
        <v>133</v>
      </c>
      <c r="C331" t="s">
        <v>3771</v>
      </c>
      <c r="D331" t="s">
        <v>17434</v>
      </c>
      <c r="E331" t="s">
        <v>3771</v>
      </c>
      <c r="F331" t="s">
        <v>30052</v>
      </c>
      <c r="G331" t="s">
        <v>30061</v>
      </c>
      <c r="H331" t="s">
        <v>15498</v>
      </c>
      <c r="I331" t="s">
        <v>30097</v>
      </c>
      <c r="J331" t="s">
        <v>30470</v>
      </c>
      <c r="K331" t="s">
        <v>39017</v>
      </c>
      <c r="M331" t="s">
        <v>39422</v>
      </c>
      <c r="N331" t="s">
        <v>43166</v>
      </c>
      <c r="O331" t="s">
        <v>43167</v>
      </c>
      <c r="P331">
        <v>0</v>
      </c>
      <c r="Q331">
        <v>7</v>
      </c>
      <c r="R331" t="s">
        <v>43168</v>
      </c>
      <c r="S331" t="s">
        <v>43286</v>
      </c>
      <c r="T331" t="s">
        <v>44735</v>
      </c>
      <c r="U331" t="s">
        <v>45521</v>
      </c>
      <c r="W331" t="s">
        <v>58592</v>
      </c>
      <c r="X331" t="s">
        <v>43171</v>
      </c>
    </row>
    <row r="332" spans="1:24">
      <c r="A332">
        <f>HYPERLINK("https://www.philgeps.gov.ph/GEPSNONPILOT/Tender/SplashBidNoticeAbstractUI.aspx?menuIndex=3&amp;refID=7085166&amp;Result=3","7085166")</f>
        <v>0</v>
      </c>
      <c r="B332" t="s">
        <v>199</v>
      </c>
      <c r="C332" t="s">
        <v>3772</v>
      </c>
      <c r="D332" t="s">
        <v>17415</v>
      </c>
      <c r="E332" t="s">
        <v>17827</v>
      </c>
      <c r="F332" t="s">
        <v>30052</v>
      </c>
      <c r="G332" t="s">
        <v>30059</v>
      </c>
      <c r="H332" t="s">
        <v>15498</v>
      </c>
      <c r="I332" t="s">
        <v>30081</v>
      </c>
      <c r="J332" t="s">
        <v>30471</v>
      </c>
      <c r="K332" t="s">
        <v>39046</v>
      </c>
      <c r="M332" t="s">
        <v>39489</v>
      </c>
      <c r="N332" t="s">
        <v>43166</v>
      </c>
      <c r="O332" t="s">
        <v>43167</v>
      </c>
      <c r="P332">
        <v>0</v>
      </c>
      <c r="Q332">
        <v>0</v>
      </c>
      <c r="R332" t="s">
        <v>43168</v>
      </c>
      <c r="S332" t="s">
        <v>43286</v>
      </c>
      <c r="T332" t="s">
        <v>44760</v>
      </c>
      <c r="U332" t="s">
        <v>45522</v>
      </c>
      <c r="W332" t="s">
        <v>39489</v>
      </c>
      <c r="X332" t="s">
        <v>43171</v>
      </c>
    </row>
    <row r="333" spans="1:24">
      <c r="A333">
        <f>HYPERLINK("https://www.philgeps.gov.ph/GEPSNONPILOT/Tender/SplashBidNoticeAbstractUI.aspx?menuIndex=3&amp;refID=7082263&amp;Result=3","7082263")</f>
        <v>0</v>
      </c>
      <c r="B333" t="s">
        <v>200</v>
      </c>
      <c r="C333" t="s">
        <v>3773</v>
      </c>
      <c r="D333" t="s">
        <v>17470</v>
      </c>
      <c r="E333" t="s">
        <v>17617</v>
      </c>
      <c r="F333" t="s">
        <v>30052</v>
      </c>
      <c r="G333" t="s">
        <v>30059</v>
      </c>
      <c r="H333" t="s">
        <v>15498</v>
      </c>
      <c r="I333" t="s">
        <v>3852</v>
      </c>
      <c r="J333" t="s">
        <v>30472</v>
      </c>
      <c r="K333" t="s">
        <v>39025</v>
      </c>
      <c r="M333" t="s">
        <v>39490</v>
      </c>
      <c r="N333" t="s">
        <v>43166</v>
      </c>
      <c r="O333" t="s">
        <v>43167</v>
      </c>
      <c r="P333">
        <v>0</v>
      </c>
      <c r="Q333">
        <v>0</v>
      </c>
      <c r="R333" t="s">
        <v>43168</v>
      </c>
      <c r="S333" t="s">
        <v>43286</v>
      </c>
      <c r="T333" t="s">
        <v>44691</v>
      </c>
      <c r="U333" t="s">
        <v>45427</v>
      </c>
      <c r="W333" t="s">
        <v>39490</v>
      </c>
      <c r="X333" t="s">
        <v>43172</v>
      </c>
    </row>
    <row r="334" spans="1:24">
      <c r="A334">
        <f>HYPERLINK("https://www.philgeps.gov.ph/GEPSNONPILOT/Tender/SplashBidNoticeAbstractUI.aspx?menuIndex=3&amp;refID=7085483&amp;Result=3","7085483")</f>
        <v>0</v>
      </c>
      <c r="B334" t="s">
        <v>201</v>
      </c>
      <c r="C334" t="s">
        <v>3774</v>
      </c>
      <c r="D334" t="s">
        <v>17415</v>
      </c>
      <c r="E334" t="s">
        <v>17828</v>
      </c>
      <c r="F334" t="s">
        <v>30052</v>
      </c>
      <c r="G334" t="s">
        <v>30059</v>
      </c>
      <c r="H334" t="s">
        <v>15498</v>
      </c>
      <c r="I334" t="s">
        <v>9238</v>
      </c>
      <c r="J334" t="s">
        <v>30473</v>
      </c>
      <c r="K334" t="s">
        <v>39025</v>
      </c>
      <c r="M334" t="s">
        <v>39491</v>
      </c>
      <c r="N334" t="s">
        <v>43166</v>
      </c>
      <c r="O334" t="s">
        <v>43167</v>
      </c>
      <c r="P334">
        <v>0</v>
      </c>
      <c r="Q334">
        <v>9</v>
      </c>
      <c r="R334" t="s">
        <v>43168</v>
      </c>
      <c r="S334" t="s">
        <v>43286</v>
      </c>
      <c r="T334" t="s">
        <v>44691</v>
      </c>
      <c r="U334" t="s">
        <v>45523</v>
      </c>
      <c r="W334" t="s">
        <v>39491</v>
      </c>
      <c r="X334" t="s">
        <v>43171</v>
      </c>
    </row>
    <row r="335" spans="1:24">
      <c r="A335">
        <f>HYPERLINK("https://www.philgeps.gov.ph/GEPSNONPILOT/Tender/SplashBidNoticeAbstractUI.aspx?menuIndex=3&amp;refID=7082210&amp;Result=3","7082210")</f>
        <v>0</v>
      </c>
      <c r="B335" t="s">
        <v>62</v>
      </c>
      <c r="C335" t="s">
        <v>3775</v>
      </c>
      <c r="D335" t="s">
        <v>17443</v>
      </c>
      <c r="E335" t="s">
        <v>17829</v>
      </c>
      <c r="F335" t="s">
        <v>30052</v>
      </c>
      <c r="G335" t="s">
        <v>30058</v>
      </c>
      <c r="H335" t="s">
        <v>15498</v>
      </c>
      <c r="I335" t="s">
        <v>3736</v>
      </c>
      <c r="J335" t="s">
        <v>30474</v>
      </c>
      <c r="K335" t="s">
        <v>39032</v>
      </c>
      <c r="L335" t="s">
        <v>62</v>
      </c>
      <c r="M335" t="s">
        <v>39351</v>
      </c>
      <c r="N335" t="s">
        <v>43166</v>
      </c>
      <c r="O335" t="s">
        <v>43167</v>
      </c>
      <c r="P335">
        <v>0</v>
      </c>
      <c r="Q335">
        <v>0</v>
      </c>
      <c r="R335" t="s">
        <v>43168</v>
      </c>
      <c r="S335" t="s">
        <v>43286</v>
      </c>
      <c r="T335" t="s">
        <v>44677</v>
      </c>
      <c r="U335" t="s">
        <v>45457</v>
      </c>
      <c r="V335" t="s">
        <v>56821</v>
      </c>
      <c r="W335" t="s">
        <v>39351</v>
      </c>
      <c r="X335" t="s">
        <v>43172</v>
      </c>
    </row>
    <row r="336" spans="1:24">
      <c r="A336">
        <f>HYPERLINK("https://www.philgeps.gov.ph/GEPSNONPILOT/Tender/SplashBidNoticeAbstractUI.aspx?menuIndex=3&amp;refID=7085598&amp;Result=3","7085598")</f>
        <v>0</v>
      </c>
      <c r="B336" t="s">
        <v>202</v>
      </c>
      <c r="C336" t="s">
        <v>3776</v>
      </c>
      <c r="D336" t="s">
        <v>17461</v>
      </c>
      <c r="E336" t="s">
        <v>17830</v>
      </c>
      <c r="F336" t="s">
        <v>30052</v>
      </c>
      <c r="G336" t="s">
        <v>30058</v>
      </c>
      <c r="H336" t="s">
        <v>15498</v>
      </c>
      <c r="I336" t="s">
        <v>30120</v>
      </c>
      <c r="J336" t="s">
        <v>30475</v>
      </c>
      <c r="K336" t="s">
        <v>39037</v>
      </c>
      <c r="L336" t="s">
        <v>202</v>
      </c>
      <c r="M336" t="s">
        <v>39492</v>
      </c>
      <c r="N336" t="s">
        <v>43166</v>
      </c>
      <c r="O336" t="s">
        <v>43167</v>
      </c>
      <c r="P336">
        <v>0</v>
      </c>
      <c r="Q336">
        <v>3</v>
      </c>
      <c r="R336" t="s">
        <v>43168</v>
      </c>
      <c r="S336" t="s">
        <v>43286</v>
      </c>
      <c r="T336" t="s">
        <v>44761</v>
      </c>
      <c r="U336" t="s">
        <v>45524</v>
      </c>
      <c r="W336" t="s">
        <v>39492</v>
      </c>
      <c r="X336" t="s">
        <v>43171</v>
      </c>
    </row>
    <row r="337" spans="1:24">
      <c r="A337">
        <f>HYPERLINK("https://www.philgeps.gov.ph/GEPSNONPILOT/Tender/SplashBidNoticeAbstractUI.aspx?menuIndex=3&amp;refID=7085594&amp;Result=3","7085594")</f>
        <v>0</v>
      </c>
      <c r="B337" t="s">
        <v>51</v>
      </c>
      <c r="C337" t="s">
        <v>3753</v>
      </c>
      <c r="D337" t="s">
        <v>17434</v>
      </c>
      <c r="E337" t="s">
        <v>17831</v>
      </c>
      <c r="F337" t="s">
        <v>30055</v>
      </c>
      <c r="G337" t="s">
        <v>30059</v>
      </c>
      <c r="H337" t="s">
        <v>15498</v>
      </c>
      <c r="I337" t="s">
        <v>3852</v>
      </c>
      <c r="J337" t="s">
        <v>30476</v>
      </c>
      <c r="K337" t="s">
        <v>39019</v>
      </c>
      <c r="M337" t="s">
        <v>39481</v>
      </c>
      <c r="N337" t="s">
        <v>43166</v>
      </c>
      <c r="O337" t="s">
        <v>43167</v>
      </c>
      <c r="P337">
        <v>0</v>
      </c>
      <c r="Q337">
        <v>2</v>
      </c>
      <c r="R337" t="s">
        <v>43168</v>
      </c>
      <c r="S337" t="s">
        <v>43286</v>
      </c>
      <c r="T337" t="s">
        <v>44718</v>
      </c>
      <c r="U337" t="s">
        <v>45525</v>
      </c>
      <c r="W337" t="s">
        <v>39481</v>
      </c>
      <c r="X337" t="s">
        <v>43171</v>
      </c>
    </row>
    <row r="338" spans="1:24">
      <c r="A338">
        <f>HYPERLINK("https://www.philgeps.gov.ph/GEPSNONPILOT/Tender/SplashBidNoticeAbstractUI.aspx?menuIndex=3&amp;refID=7085612&amp;Result=3","7085612")</f>
        <v>0</v>
      </c>
      <c r="B338" t="s">
        <v>51</v>
      </c>
      <c r="C338" t="s">
        <v>3753</v>
      </c>
      <c r="D338" t="s">
        <v>17434</v>
      </c>
      <c r="E338" t="s">
        <v>17832</v>
      </c>
      <c r="F338" t="s">
        <v>30055</v>
      </c>
      <c r="G338" t="s">
        <v>30059</v>
      </c>
      <c r="H338" t="s">
        <v>15498</v>
      </c>
      <c r="I338" t="s">
        <v>3852</v>
      </c>
      <c r="J338" t="s">
        <v>30477</v>
      </c>
      <c r="K338" t="s">
        <v>39019</v>
      </c>
      <c r="M338" t="s">
        <v>39481</v>
      </c>
      <c r="N338" t="s">
        <v>43166</v>
      </c>
      <c r="O338" t="s">
        <v>43167</v>
      </c>
      <c r="P338">
        <v>0</v>
      </c>
      <c r="Q338">
        <v>0</v>
      </c>
      <c r="R338" t="s">
        <v>43168</v>
      </c>
      <c r="S338" t="s">
        <v>43286</v>
      </c>
      <c r="T338" t="s">
        <v>44718</v>
      </c>
      <c r="U338" t="s">
        <v>45526</v>
      </c>
      <c r="W338" t="s">
        <v>39481</v>
      </c>
      <c r="X338" t="s">
        <v>43171</v>
      </c>
    </row>
    <row r="339" spans="1:24">
      <c r="A339">
        <f>HYPERLINK("https://www.philgeps.gov.ph/GEPSNONPILOT/Tender/SplashBidNoticeAbstractUI.aspx?menuIndex=3&amp;refID=7085173&amp;Result=3","7085173")</f>
        <v>0</v>
      </c>
      <c r="B339" t="s">
        <v>65</v>
      </c>
      <c r="C339" t="s">
        <v>3777</v>
      </c>
      <c r="D339" t="s">
        <v>17424</v>
      </c>
      <c r="E339" t="s">
        <v>17833</v>
      </c>
      <c r="F339" t="s">
        <v>30052</v>
      </c>
      <c r="G339" t="s">
        <v>30061</v>
      </c>
      <c r="H339" t="s">
        <v>15498</v>
      </c>
      <c r="I339" t="s">
        <v>30096</v>
      </c>
      <c r="J339" t="s">
        <v>30478</v>
      </c>
      <c r="K339" t="s">
        <v>39017</v>
      </c>
      <c r="M339" t="s">
        <v>39354</v>
      </c>
      <c r="N339" t="s">
        <v>43166</v>
      </c>
      <c r="O339" t="s">
        <v>43167</v>
      </c>
      <c r="P339">
        <v>0</v>
      </c>
      <c r="Q339">
        <v>2</v>
      </c>
      <c r="R339" t="s">
        <v>43168</v>
      </c>
      <c r="S339" t="s">
        <v>43286</v>
      </c>
      <c r="T339" t="s">
        <v>44714</v>
      </c>
      <c r="U339" t="s">
        <v>45527</v>
      </c>
      <c r="V339" t="s">
        <v>56824</v>
      </c>
      <c r="W339" t="s">
        <v>39354</v>
      </c>
      <c r="X339" t="s">
        <v>43171</v>
      </c>
    </row>
    <row r="340" spans="1:24">
      <c r="A340">
        <f>HYPERLINK("https://www.philgeps.gov.ph/GEPSNONPILOT/Tender/SplashBidNoticeAbstractUI.aspx?menuIndex=3&amp;refID=7085608&amp;Result=3","7085608")</f>
        <v>0</v>
      </c>
      <c r="B340" t="s">
        <v>51</v>
      </c>
      <c r="C340" t="s">
        <v>3753</v>
      </c>
      <c r="D340" t="s">
        <v>17434</v>
      </c>
      <c r="E340" t="s">
        <v>17834</v>
      </c>
      <c r="F340" t="s">
        <v>30055</v>
      </c>
      <c r="G340" t="s">
        <v>30059</v>
      </c>
      <c r="H340" t="s">
        <v>15498</v>
      </c>
      <c r="I340" t="s">
        <v>3852</v>
      </c>
      <c r="J340" t="s">
        <v>30479</v>
      </c>
      <c r="K340" t="s">
        <v>39019</v>
      </c>
      <c r="M340" t="s">
        <v>39481</v>
      </c>
      <c r="N340" t="s">
        <v>43166</v>
      </c>
      <c r="O340" t="s">
        <v>43167</v>
      </c>
      <c r="P340">
        <v>0</v>
      </c>
      <c r="Q340">
        <v>0</v>
      </c>
      <c r="R340" t="s">
        <v>43168</v>
      </c>
      <c r="S340" t="s">
        <v>43286</v>
      </c>
      <c r="T340" t="s">
        <v>44718</v>
      </c>
      <c r="U340" t="s">
        <v>45528</v>
      </c>
      <c r="W340" t="s">
        <v>39481</v>
      </c>
      <c r="X340" t="s">
        <v>43171</v>
      </c>
    </row>
    <row r="341" spans="1:24">
      <c r="A341">
        <f>HYPERLINK("https://www.philgeps.gov.ph/GEPSNONPILOT/Tender/SplashBidNoticeAbstractUI.aspx?menuIndex=3&amp;refID=7085469&amp;Result=3","7085469")</f>
        <v>0</v>
      </c>
      <c r="B341" t="s">
        <v>203</v>
      </c>
      <c r="C341" t="s">
        <v>3778</v>
      </c>
      <c r="D341" t="s">
        <v>17447</v>
      </c>
      <c r="E341" t="s">
        <v>17835</v>
      </c>
      <c r="F341" t="s">
        <v>30052</v>
      </c>
      <c r="G341" t="s">
        <v>30059</v>
      </c>
      <c r="H341" t="s">
        <v>15498</v>
      </c>
      <c r="I341" t="s">
        <v>30103</v>
      </c>
      <c r="J341" t="s">
        <v>30480</v>
      </c>
      <c r="K341" t="s">
        <v>39025</v>
      </c>
      <c r="M341" t="s">
        <v>39493</v>
      </c>
      <c r="N341" t="s">
        <v>43166</v>
      </c>
      <c r="O341" t="s">
        <v>43167</v>
      </c>
      <c r="P341">
        <v>0</v>
      </c>
      <c r="Q341">
        <v>6</v>
      </c>
      <c r="R341" t="s">
        <v>43168</v>
      </c>
      <c r="S341" t="s">
        <v>43286</v>
      </c>
      <c r="T341" t="s">
        <v>44691</v>
      </c>
      <c r="U341" t="s">
        <v>45529</v>
      </c>
      <c r="W341" t="s">
        <v>39493</v>
      </c>
      <c r="X341" t="s">
        <v>43171</v>
      </c>
    </row>
    <row r="342" spans="1:24">
      <c r="A342">
        <f>HYPERLINK("https://www.philgeps.gov.ph/GEPSNONPILOT/Tender/SplashBidNoticeAbstractUI.aspx?menuIndex=3&amp;refID=7085588&amp;Result=3","7085588")</f>
        <v>0</v>
      </c>
      <c r="B342" t="s">
        <v>51</v>
      </c>
      <c r="C342" t="s">
        <v>3753</v>
      </c>
      <c r="D342" t="s">
        <v>17434</v>
      </c>
      <c r="E342" t="s">
        <v>17836</v>
      </c>
      <c r="F342" t="s">
        <v>30055</v>
      </c>
      <c r="G342" t="s">
        <v>30059</v>
      </c>
      <c r="H342" t="s">
        <v>15498</v>
      </c>
      <c r="I342" t="s">
        <v>3852</v>
      </c>
      <c r="J342" t="s">
        <v>30481</v>
      </c>
      <c r="K342" t="s">
        <v>39019</v>
      </c>
      <c r="M342" t="s">
        <v>39481</v>
      </c>
      <c r="N342" t="s">
        <v>43166</v>
      </c>
      <c r="O342" t="s">
        <v>43167</v>
      </c>
      <c r="P342">
        <v>0</v>
      </c>
      <c r="Q342">
        <v>0</v>
      </c>
      <c r="R342" t="s">
        <v>43168</v>
      </c>
      <c r="S342" t="s">
        <v>43286</v>
      </c>
      <c r="T342" t="s">
        <v>44718</v>
      </c>
      <c r="U342" t="s">
        <v>45530</v>
      </c>
      <c r="W342" t="s">
        <v>39481</v>
      </c>
      <c r="X342" t="s">
        <v>43171</v>
      </c>
    </row>
    <row r="343" spans="1:24">
      <c r="A343">
        <f>HYPERLINK("https://www.philgeps.gov.ph/GEPSNONPILOT/Tender/SplashBidNoticeAbstractUI.aspx?menuIndex=3&amp;refID=7085160&amp;Result=3","7085160")</f>
        <v>0</v>
      </c>
      <c r="B343" t="s">
        <v>204</v>
      </c>
      <c r="C343" t="s">
        <v>3779</v>
      </c>
      <c r="D343" t="s">
        <v>17435</v>
      </c>
      <c r="E343" t="s">
        <v>17837</v>
      </c>
      <c r="F343" t="s">
        <v>30052</v>
      </c>
      <c r="G343" t="s">
        <v>30061</v>
      </c>
      <c r="H343" t="s">
        <v>15498</v>
      </c>
      <c r="I343" t="s">
        <v>3852</v>
      </c>
      <c r="J343" t="s">
        <v>30482</v>
      </c>
      <c r="K343" t="s">
        <v>39019</v>
      </c>
      <c r="M343" t="s">
        <v>39494</v>
      </c>
      <c r="N343" t="s">
        <v>43166</v>
      </c>
      <c r="O343" t="s">
        <v>43167</v>
      </c>
      <c r="P343">
        <v>0</v>
      </c>
      <c r="Q343">
        <v>0</v>
      </c>
      <c r="R343" t="s">
        <v>43168</v>
      </c>
      <c r="S343" t="s">
        <v>43286</v>
      </c>
      <c r="T343" t="s">
        <v>44691</v>
      </c>
      <c r="U343" t="s">
        <v>45531</v>
      </c>
      <c r="W343" t="s">
        <v>39494</v>
      </c>
      <c r="X343" t="s">
        <v>43171</v>
      </c>
    </row>
    <row r="344" spans="1:24">
      <c r="A344">
        <f>HYPERLINK("https://www.philgeps.gov.ph/GEPSNONPILOT/Tender/SplashBidNoticeAbstractUI.aspx?menuIndex=3&amp;refID=7085584&amp;Result=3","7085584")</f>
        <v>0</v>
      </c>
      <c r="B344" t="s">
        <v>205</v>
      </c>
      <c r="C344" t="s">
        <v>3780</v>
      </c>
      <c r="D344" t="s">
        <v>17480</v>
      </c>
      <c r="E344" t="s">
        <v>17838</v>
      </c>
      <c r="F344" t="s">
        <v>30052</v>
      </c>
      <c r="G344" t="s">
        <v>30058</v>
      </c>
      <c r="H344" t="s">
        <v>15498</v>
      </c>
      <c r="I344" t="s">
        <v>4598</v>
      </c>
      <c r="J344" t="s">
        <v>30209</v>
      </c>
      <c r="K344" t="s">
        <v>39017</v>
      </c>
      <c r="M344" t="s">
        <v>39495</v>
      </c>
      <c r="N344" t="s">
        <v>43166</v>
      </c>
      <c r="O344" t="s">
        <v>43167</v>
      </c>
      <c r="P344">
        <v>0</v>
      </c>
      <c r="Q344">
        <v>12</v>
      </c>
      <c r="R344" t="s">
        <v>43168</v>
      </c>
      <c r="S344" t="s">
        <v>43286</v>
      </c>
      <c r="T344" t="s">
        <v>44762</v>
      </c>
      <c r="U344" t="s">
        <v>45532</v>
      </c>
      <c r="W344" t="s">
        <v>39495</v>
      </c>
      <c r="X344" t="s">
        <v>43171</v>
      </c>
    </row>
    <row r="345" spans="1:24">
      <c r="A345">
        <f>HYPERLINK("https://www.philgeps.gov.ph/GEPSNONPILOT/Tender/SplashBidNoticeAbstractUI.aspx?menuIndex=3&amp;refID=7085580&amp;Result=3","7085580")</f>
        <v>0</v>
      </c>
      <c r="B345" t="s">
        <v>51</v>
      </c>
      <c r="C345" t="s">
        <v>3753</v>
      </c>
      <c r="D345" t="s">
        <v>17434</v>
      </c>
      <c r="E345" t="s">
        <v>17839</v>
      </c>
      <c r="F345" t="s">
        <v>30055</v>
      </c>
      <c r="G345" t="s">
        <v>30059</v>
      </c>
      <c r="H345" t="s">
        <v>15498</v>
      </c>
      <c r="I345" t="s">
        <v>3852</v>
      </c>
      <c r="J345" t="s">
        <v>30483</v>
      </c>
      <c r="K345" t="s">
        <v>39019</v>
      </c>
      <c r="M345" t="s">
        <v>39481</v>
      </c>
      <c r="N345" t="s">
        <v>43166</v>
      </c>
      <c r="O345" t="s">
        <v>43167</v>
      </c>
      <c r="P345">
        <v>0</v>
      </c>
      <c r="Q345">
        <v>0</v>
      </c>
      <c r="R345" t="s">
        <v>43168</v>
      </c>
      <c r="S345" t="s">
        <v>43286</v>
      </c>
      <c r="T345" t="s">
        <v>44718</v>
      </c>
      <c r="U345" t="s">
        <v>45533</v>
      </c>
      <c r="W345" t="s">
        <v>39481</v>
      </c>
      <c r="X345" t="s">
        <v>43171</v>
      </c>
    </row>
    <row r="346" spans="1:24">
      <c r="A346">
        <f>HYPERLINK("https://www.philgeps.gov.ph/GEPSNONPILOT/Tender/SplashBidNoticeAbstractUI.aspx?menuIndex=3&amp;refID=7085578&amp;Result=3","7085578")</f>
        <v>0</v>
      </c>
      <c r="B346" t="s">
        <v>164</v>
      </c>
      <c r="C346" t="s">
        <v>3781</v>
      </c>
      <c r="D346" t="s">
        <v>17473</v>
      </c>
      <c r="E346" t="s">
        <v>17840</v>
      </c>
      <c r="F346" t="s">
        <v>30052</v>
      </c>
      <c r="G346" t="s">
        <v>30058</v>
      </c>
      <c r="H346" t="s">
        <v>15498</v>
      </c>
      <c r="I346" t="s">
        <v>30075</v>
      </c>
      <c r="J346" t="s">
        <v>30397</v>
      </c>
      <c r="K346" t="s">
        <v>39029</v>
      </c>
      <c r="M346" t="s">
        <v>39453</v>
      </c>
      <c r="N346" t="s">
        <v>43166</v>
      </c>
      <c r="O346" t="s">
        <v>43167</v>
      </c>
      <c r="P346">
        <v>0</v>
      </c>
      <c r="Q346">
        <v>0</v>
      </c>
      <c r="R346" t="s">
        <v>43168</v>
      </c>
      <c r="S346" t="s">
        <v>43286</v>
      </c>
      <c r="T346" t="s">
        <v>44747</v>
      </c>
      <c r="U346" t="s">
        <v>45534</v>
      </c>
      <c r="W346" t="s">
        <v>39453</v>
      </c>
      <c r="X346" t="s">
        <v>43171</v>
      </c>
    </row>
    <row r="347" spans="1:24">
      <c r="A347">
        <f>HYPERLINK("https://www.philgeps.gov.ph/GEPSNONPILOT/Tender/SplashBidNoticeAbstractUI.aspx?menuIndex=3&amp;refID=7085563&amp;Result=3","7085563")</f>
        <v>0</v>
      </c>
      <c r="B347" t="s">
        <v>51</v>
      </c>
      <c r="C347" t="s">
        <v>3753</v>
      </c>
      <c r="D347" t="s">
        <v>17434</v>
      </c>
      <c r="E347" t="s">
        <v>17841</v>
      </c>
      <c r="F347" t="s">
        <v>30055</v>
      </c>
      <c r="G347" t="s">
        <v>30059</v>
      </c>
      <c r="H347" t="s">
        <v>15498</v>
      </c>
      <c r="I347" t="s">
        <v>3852</v>
      </c>
      <c r="J347" t="s">
        <v>30484</v>
      </c>
      <c r="K347" t="s">
        <v>39019</v>
      </c>
      <c r="M347" t="s">
        <v>39481</v>
      </c>
      <c r="N347" t="s">
        <v>43166</v>
      </c>
      <c r="O347" t="s">
        <v>43167</v>
      </c>
      <c r="P347">
        <v>0</v>
      </c>
      <c r="Q347">
        <v>0</v>
      </c>
      <c r="R347" t="s">
        <v>43168</v>
      </c>
      <c r="S347" t="s">
        <v>43286</v>
      </c>
      <c r="T347" t="s">
        <v>44718</v>
      </c>
      <c r="U347" t="s">
        <v>45535</v>
      </c>
      <c r="W347" t="s">
        <v>39481</v>
      </c>
      <c r="X347" t="s">
        <v>43171</v>
      </c>
    </row>
    <row r="348" spans="1:24">
      <c r="A348">
        <f>HYPERLINK("https://www.philgeps.gov.ph/GEPSNONPILOT/Tender/SplashBidNoticeAbstractUI.aspx?menuIndex=3&amp;refID=7085605&amp;Result=3","7085605")</f>
        <v>0</v>
      </c>
      <c r="B348" t="s">
        <v>206</v>
      </c>
      <c r="C348" t="s">
        <v>3782</v>
      </c>
      <c r="D348" t="s">
        <v>17480</v>
      </c>
      <c r="E348" t="s">
        <v>17838</v>
      </c>
      <c r="F348" t="s">
        <v>30052</v>
      </c>
      <c r="G348" t="s">
        <v>30058</v>
      </c>
      <c r="H348" t="s">
        <v>15498</v>
      </c>
      <c r="I348" t="s">
        <v>30099</v>
      </c>
      <c r="J348" t="s">
        <v>30297</v>
      </c>
      <c r="K348" t="s">
        <v>39017</v>
      </c>
      <c r="M348" t="s">
        <v>39496</v>
      </c>
      <c r="N348" t="s">
        <v>43166</v>
      </c>
      <c r="O348" t="s">
        <v>43167</v>
      </c>
      <c r="P348">
        <v>0</v>
      </c>
      <c r="Q348">
        <v>1</v>
      </c>
      <c r="R348" t="s">
        <v>43168</v>
      </c>
      <c r="S348" t="s">
        <v>43286</v>
      </c>
      <c r="T348" t="s">
        <v>44763</v>
      </c>
      <c r="U348" t="s">
        <v>45536</v>
      </c>
      <c r="W348" t="s">
        <v>39496</v>
      </c>
      <c r="X348" t="s">
        <v>43171</v>
      </c>
    </row>
    <row r="349" spans="1:24">
      <c r="A349">
        <f>HYPERLINK("https://www.philgeps.gov.ph/GEPSNONPILOT/Tender/SplashBidNoticeAbstractUI.aspx?menuIndex=3&amp;refID=7085573&amp;Result=3","7085573")</f>
        <v>0</v>
      </c>
      <c r="B349" t="s">
        <v>207</v>
      </c>
      <c r="C349" t="s">
        <v>3783</v>
      </c>
      <c r="D349" t="s">
        <v>17421</v>
      </c>
      <c r="E349" t="s">
        <v>17715</v>
      </c>
      <c r="F349" t="s">
        <v>30052</v>
      </c>
      <c r="G349" t="s">
        <v>30058</v>
      </c>
      <c r="H349" t="s">
        <v>15498</v>
      </c>
      <c r="I349" t="s">
        <v>3736</v>
      </c>
      <c r="J349" t="s">
        <v>30485</v>
      </c>
      <c r="K349" t="s">
        <v>39017</v>
      </c>
      <c r="M349" t="s">
        <v>39497</v>
      </c>
      <c r="N349" t="s">
        <v>43166</v>
      </c>
      <c r="O349" t="s">
        <v>43167</v>
      </c>
      <c r="P349">
        <v>0</v>
      </c>
      <c r="Q349">
        <v>0</v>
      </c>
      <c r="R349" t="s">
        <v>43168</v>
      </c>
      <c r="S349" t="s">
        <v>43286</v>
      </c>
      <c r="T349" t="s">
        <v>44750</v>
      </c>
      <c r="U349" t="s">
        <v>45537</v>
      </c>
      <c r="W349" t="s">
        <v>39497</v>
      </c>
      <c r="X349" t="s">
        <v>43171</v>
      </c>
    </row>
    <row r="350" spans="1:24">
      <c r="A350">
        <f>HYPERLINK("https://www.philgeps.gov.ph/GEPSNONPILOT/Tender/SplashBidNoticeAbstractUI.aspx?menuIndex=3&amp;refID=7085569&amp;Result=3","7085569")</f>
        <v>0</v>
      </c>
      <c r="B350" t="s">
        <v>208</v>
      </c>
      <c r="C350" t="s">
        <v>3784</v>
      </c>
      <c r="D350" t="s">
        <v>17415</v>
      </c>
      <c r="E350" t="s">
        <v>17842</v>
      </c>
      <c r="F350" t="s">
        <v>30052</v>
      </c>
      <c r="G350" t="s">
        <v>30062</v>
      </c>
      <c r="H350" t="s">
        <v>15498</v>
      </c>
      <c r="I350" t="s">
        <v>30070</v>
      </c>
      <c r="J350" t="s">
        <v>30486</v>
      </c>
      <c r="K350" t="s">
        <v>39025</v>
      </c>
      <c r="M350" t="s">
        <v>39498</v>
      </c>
      <c r="N350" t="s">
        <v>43166</v>
      </c>
      <c r="O350" t="s">
        <v>43167</v>
      </c>
      <c r="P350">
        <v>0</v>
      </c>
      <c r="Q350">
        <v>2</v>
      </c>
      <c r="R350" t="s">
        <v>43168</v>
      </c>
      <c r="S350" t="s">
        <v>43286</v>
      </c>
      <c r="T350" t="s">
        <v>44724</v>
      </c>
      <c r="U350" t="s">
        <v>45538</v>
      </c>
      <c r="W350" t="s">
        <v>39498</v>
      </c>
      <c r="X350" t="s">
        <v>43171</v>
      </c>
    </row>
    <row r="351" spans="1:24">
      <c r="A351">
        <f>HYPERLINK("https://www.philgeps.gov.ph/GEPSNONPILOT/Tender/SplashBidNoticeAbstractUI.aspx?menuIndex=3&amp;refID=7085560&amp;Result=3","7085560")</f>
        <v>0</v>
      </c>
      <c r="B351" t="s">
        <v>209</v>
      </c>
      <c r="C351" t="s">
        <v>3785</v>
      </c>
      <c r="D351" t="s">
        <v>17415</v>
      </c>
      <c r="E351" t="s">
        <v>17843</v>
      </c>
      <c r="F351" t="s">
        <v>30052</v>
      </c>
      <c r="G351" t="s">
        <v>30059</v>
      </c>
      <c r="H351" t="s">
        <v>30069</v>
      </c>
      <c r="I351" t="s">
        <v>6304</v>
      </c>
      <c r="J351" t="s">
        <v>30487</v>
      </c>
      <c r="K351" t="s">
        <v>39019</v>
      </c>
      <c r="M351" t="s">
        <v>39499</v>
      </c>
      <c r="N351" t="s">
        <v>43166</v>
      </c>
      <c r="O351" t="s">
        <v>43167</v>
      </c>
      <c r="P351">
        <v>0</v>
      </c>
      <c r="Q351">
        <v>2</v>
      </c>
      <c r="R351" t="s">
        <v>43168</v>
      </c>
      <c r="S351" t="s">
        <v>43286</v>
      </c>
      <c r="T351" t="s">
        <v>44764</v>
      </c>
      <c r="U351" t="s">
        <v>45539</v>
      </c>
      <c r="W351" t="s">
        <v>39499</v>
      </c>
      <c r="X351" t="s">
        <v>43171</v>
      </c>
    </row>
    <row r="352" spans="1:24">
      <c r="A352">
        <f>HYPERLINK("https://www.philgeps.gov.ph/GEPSNONPILOT/Tender/SplashBidNoticeAbstractUI.aspx?menuIndex=3&amp;refID=7085556&amp;Result=3","7085556")</f>
        <v>0</v>
      </c>
      <c r="B352" t="s">
        <v>51</v>
      </c>
      <c r="C352" t="s">
        <v>3753</v>
      </c>
      <c r="D352" t="s">
        <v>17434</v>
      </c>
      <c r="E352" t="s">
        <v>17844</v>
      </c>
      <c r="F352" t="s">
        <v>30055</v>
      </c>
      <c r="G352" t="s">
        <v>30059</v>
      </c>
      <c r="H352" t="s">
        <v>15498</v>
      </c>
      <c r="I352" t="s">
        <v>3852</v>
      </c>
      <c r="J352" t="s">
        <v>30458</v>
      </c>
      <c r="K352" t="s">
        <v>39019</v>
      </c>
      <c r="M352" t="s">
        <v>39481</v>
      </c>
      <c r="N352" t="s">
        <v>43166</v>
      </c>
      <c r="O352" t="s">
        <v>43167</v>
      </c>
      <c r="P352">
        <v>0</v>
      </c>
      <c r="Q352">
        <v>1</v>
      </c>
      <c r="R352" t="s">
        <v>43168</v>
      </c>
      <c r="S352" t="s">
        <v>43286</v>
      </c>
      <c r="T352" t="s">
        <v>44718</v>
      </c>
      <c r="U352" t="s">
        <v>45540</v>
      </c>
      <c r="W352" t="s">
        <v>39481</v>
      </c>
      <c r="X352" t="s">
        <v>43171</v>
      </c>
    </row>
    <row r="353" spans="1:24">
      <c r="A353">
        <f>HYPERLINK("https://www.philgeps.gov.ph/GEPSNONPILOT/Tender/SplashBidNoticeAbstractUI.aspx?menuIndex=3&amp;refID=7085550&amp;Result=3","7085550")</f>
        <v>0</v>
      </c>
      <c r="B353" t="s">
        <v>210</v>
      </c>
      <c r="C353" t="s">
        <v>3786</v>
      </c>
      <c r="D353" t="s">
        <v>17415</v>
      </c>
      <c r="E353" t="s">
        <v>17845</v>
      </c>
      <c r="F353" t="s">
        <v>30052</v>
      </c>
      <c r="G353" t="s">
        <v>30061</v>
      </c>
      <c r="H353" t="s">
        <v>15498</v>
      </c>
      <c r="I353" t="s">
        <v>3852</v>
      </c>
      <c r="J353" t="s">
        <v>30488</v>
      </c>
      <c r="K353" t="s">
        <v>39017</v>
      </c>
      <c r="M353" t="s">
        <v>39500</v>
      </c>
      <c r="N353" t="s">
        <v>43166</v>
      </c>
      <c r="O353" t="s">
        <v>43167</v>
      </c>
      <c r="P353">
        <v>0</v>
      </c>
      <c r="Q353">
        <v>1</v>
      </c>
      <c r="R353" t="s">
        <v>43168</v>
      </c>
      <c r="S353" t="s">
        <v>43286</v>
      </c>
      <c r="T353" t="s">
        <v>44764</v>
      </c>
      <c r="U353" t="s">
        <v>45541</v>
      </c>
      <c r="W353" t="s">
        <v>39500</v>
      </c>
      <c r="X353" t="s">
        <v>43171</v>
      </c>
    </row>
    <row r="354" spans="1:24">
      <c r="A354">
        <f>HYPERLINK("https://www.philgeps.gov.ph/GEPSNONPILOT/Tender/SplashBidNoticeAbstractUI.aspx?menuIndex=3&amp;refID=7085540&amp;Result=3","7085540")</f>
        <v>0</v>
      </c>
      <c r="B354" t="s">
        <v>51</v>
      </c>
      <c r="C354" t="s">
        <v>3753</v>
      </c>
      <c r="D354" t="s">
        <v>17434</v>
      </c>
      <c r="E354" t="s">
        <v>17846</v>
      </c>
      <c r="F354" t="s">
        <v>30055</v>
      </c>
      <c r="G354" t="s">
        <v>30059</v>
      </c>
      <c r="H354" t="s">
        <v>15498</v>
      </c>
      <c r="I354" t="s">
        <v>3852</v>
      </c>
      <c r="J354" t="s">
        <v>30489</v>
      </c>
      <c r="K354" t="s">
        <v>39019</v>
      </c>
      <c r="M354" t="s">
        <v>39481</v>
      </c>
      <c r="N354" t="s">
        <v>43166</v>
      </c>
      <c r="O354" t="s">
        <v>43167</v>
      </c>
      <c r="P354">
        <v>0</v>
      </c>
      <c r="Q354">
        <v>0</v>
      </c>
      <c r="R354" t="s">
        <v>43168</v>
      </c>
      <c r="S354" t="s">
        <v>43286</v>
      </c>
      <c r="T354" t="s">
        <v>44718</v>
      </c>
      <c r="U354" t="s">
        <v>45542</v>
      </c>
      <c r="W354" t="s">
        <v>39481</v>
      </c>
      <c r="X354" t="s">
        <v>43171</v>
      </c>
    </row>
    <row r="355" spans="1:24">
      <c r="A355">
        <f>HYPERLINK("https://www.philgeps.gov.ph/GEPSNONPILOT/Tender/SplashBidNoticeAbstractUI.aspx?menuIndex=3&amp;refID=7081954&amp;Result=3","7081954")</f>
        <v>0</v>
      </c>
      <c r="B355" t="s">
        <v>50</v>
      </c>
      <c r="C355" t="s">
        <v>3787</v>
      </c>
      <c r="D355" t="s">
        <v>17433</v>
      </c>
      <c r="E355" t="s">
        <v>17847</v>
      </c>
      <c r="F355" t="s">
        <v>30052</v>
      </c>
      <c r="G355" t="s">
        <v>30059</v>
      </c>
      <c r="H355" t="s">
        <v>15498</v>
      </c>
      <c r="I355" t="s">
        <v>30092</v>
      </c>
      <c r="J355" t="s">
        <v>30490</v>
      </c>
      <c r="K355" t="s">
        <v>39017</v>
      </c>
      <c r="M355" t="s">
        <v>39340</v>
      </c>
      <c r="N355" t="s">
        <v>43166</v>
      </c>
      <c r="O355" t="s">
        <v>43167</v>
      </c>
      <c r="P355">
        <v>0</v>
      </c>
      <c r="Q355">
        <v>2</v>
      </c>
      <c r="R355" t="s">
        <v>43168</v>
      </c>
      <c r="S355" t="s">
        <v>43286</v>
      </c>
      <c r="T355" t="s">
        <v>44704</v>
      </c>
      <c r="U355" t="s">
        <v>45543</v>
      </c>
      <c r="W355" t="s">
        <v>39340</v>
      </c>
      <c r="X355" t="s">
        <v>43172</v>
      </c>
    </row>
    <row r="356" spans="1:24">
      <c r="A356">
        <f>HYPERLINK("https://www.philgeps.gov.ph/GEPSNONPILOT/Tender/SplashBidNoticeAbstractUI.aspx?menuIndex=3&amp;refID=7085625&amp;Result=3","7085625")</f>
        <v>0</v>
      </c>
      <c r="B356" t="s">
        <v>51</v>
      </c>
      <c r="C356" t="s">
        <v>3753</v>
      </c>
      <c r="D356" t="s">
        <v>17434</v>
      </c>
      <c r="E356" t="s">
        <v>17848</v>
      </c>
      <c r="F356" t="s">
        <v>30055</v>
      </c>
      <c r="G356" t="s">
        <v>30059</v>
      </c>
      <c r="H356" t="s">
        <v>15498</v>
      </c>
      <c r="I356" t="s">
        <v>3852</v>
      </c>
      <c r="J356" t="s">
        <v>30491</v>
      </c>
      <c r="K356" t="s">
        <v>39019</v>
      </c>
      <c r="M356" t="s">
        <v>39481</v>
      </c>
      <c r="N356" t="s">
        <v>43166</v>
      </c>
      <c r="O356" t="s">
        <v>43167</v>
      </c>
      <c r="P356">
        <v>0</v>
      </c>
      <c r="Q356">
        <v>1</v>
      </c>
      <c r="R356" t="s">
        <v>43168</v>
      </c>
      <c r="S356" t="s">
        <v>43286</v>
      </c>
      <c r="T356" t="s">
        <v>44718</v>
      </c>
      <c r="U356" t="s">
        <v>45544</v>
      </c>
      <c r="W356" t="s">
        <v>39481</v>
      </c>
      <c r="X356" t="s">
        <v>43171</v>
      </c>
    </row>
    <row r="357" spans="1:24">
      <c r="A357">
        <f>HYPERLINK("https://www.philgeps.gov.ph/GEPSNONPILOT/Tender/SplashBidNoticeAbstractUI.aspx?menuIndex=3&amp;refID=7085561&amp;Result=3","7085561")</f>
        <v>0</v>
      </c>
      <c r="B357" t="s">
        <v>51</v>
      </c>
      <c r="C357" t="s">
        <v>3753</v>
      </c>
      <c r="D357" t="s">
        <v>17434</v>
      </c>
      <c r="E357" t="s">
        <v>17849</v>
      </c>
      <c r="F357" t="s">
        <v>30055</v>
      </c>
      <c r="G357" t="s">
        <v>30059</v>
      </c>
      <c r="H357" t="s">
        <v>15498</v>
      </c>
      <c r="I357" t="s">
        <v>3852</v>
      </c>
      <c r="J357" t="s">
        <v>30492</v>
      </c>
      <c r="K357" t="s">
        <v>39019</v>
      </c>
      <c r="M357" t="s">
        <v>39481</v>
      </c>
      <c r="N357" t="s">
        <v>43166</v>
      </c>
      <c r="O357" t="s">
        <v>43167</v>
      </c>
      <c r="P357">
        <v>0</v>
      </c>
      <c r="Q357">
        <v>0</v>
      </c>
      <c r="R357" t="s">
        <v>43168</v>
      </c>
      <c r="S357" t="s">
        <v>43286</v>
      </c>
      <c r="T357" t="s">
        <v>44718</v>
      </c>
      <c r="U357" t="s">
        <v>45545</v>
      </c>
      <c r="W357" t="s">
        <v>39481</v>
      </c>
      <c r="X357" t="s">
        <v>43171</v>
      </c>
    </row>
    <row r="358" spans="1:24">
      <c r="A358">
        <f>HYPERLINK("https://www.philgeps.gov.ph/GEPSNONPILOT/Tender/SplashBidNoticeAbstractUI.aspx?menuIndex=3&amp;refID=7085571&amp;Result=3","7085571")</f>
        <v>0</v>
      </c>
      <c r="B358" t="s">
        <v>51</v>
      </c>
      <c r="C358" t="s">
        <v>3753</v>
      </c>
      <c r="D358" t="s">
        <v>17434</v>
      </c>
      <c r="E358" t="s">
        <v>17850</v>
      </c>
      <c r="F358" t="s">
        <v>30055</v>
      </c>
      <c r="G358" t="s">
        <v>30059</v>
      </c>
      <c r="H358" t="s">
        <v>15498</v>
      </c>
      <c r="I358" t="s">
        <v>3852</v>
      </c>
      <c r="J358" t="s">
        <v>30493</v>
      </c>
      <c r="K358" t="s">
        <v>39019</v>
      </c>
      <c r="M358" t="s">
        <v>39481</v>
      </c>
      <c r="N358" t="s">
        <v>43166</v>
      </c>
      <c r="O358" t="s">
        <v>43167</v>
      </c>
      <c r="P358">
        <v>0</v>
      </c>
      <c r="Q358">
        <v>0</v>
      </c>
      <c r="R358" t="s">
        <v>43168</v>
      </c>
      <c r="S358" t="s">
        <v>43286</v>
      </c>
      <c r="T358" t="s">
        <v>44718</v>
      </c>
      <c r="U358" t="s">
        <v>45546</v>
      </c>
      <c r="W358" t="s">
        <v>39481</v>
      </c>
      <c r="X358" t="s">
        <v>43171</v>
      </c>
    </row>
    <row r="359" spans="1:24">
      <c r="A359">
        <f>HYPERLINK("https://www.philgeps.gov.ph/GEPSNONPILOT/Tender/SplashBidNoticeAbstractUI.aspx?menuIndex=3&amp;refID=7085706&amp;Result=3","7085706")</f>
        <v>0</v>
      </c>
      <c r="B359" t="s">
        <v>211</v>
      </c>
      <c r="C359" t="s">
        <v>3788</v>
      </c>
      <c r="D359" t="s">
        <v>17481</v>
      </c>
      <c r="E359" t="s">
        <v>17851</v>
      </c>
      <c r="F359" t="s">
        <v>30052</v>
      </c>
      <c r="G359" t="s">
        <v>30058</v>
      </c>
      <c r="H359" t="s">
        <v>15498</v>
      </c>
      <c r="I359" t="s">
        <v>3693</v>
      </c>
      <c r="J359" t="s">
        <v>30494</v>
      </c>
      <c r="K359" t="s">
        <v>39057</v>
      </c>
      <c r="M359" t="s">
        <v>39501</v>
      </c>
      <c r="N359" t="s">
        <v>43166</v>
      </c>
      <c r="O359" t="s">
        <v>43167</v>
      </c>
      <c r="P359">
        <v>0</v>
      </c>
      <c r="Q359">
        <v>0</v>
      </c>
      <c r="R359" t="s">
        <v>43168</v>
      </c>
      <c r="S359" t="s">
        <v>43286</v>
      </c>
      <c r="T359" t="s">
        <v>44765</v>
      </c>
      <c r="U359" t="s">
        <v>45547</v>
      </c>
      <c r="W359" t="s">
        <v>39501</v>
      </c>
      <c r="X359" t="s">
        <v>43171</v>
      </c>
    </row>
    <row r="360" spans="1:24">
      <c r="A360">
        <f>HYPERLINK("https://www.philgeps.gov.ph/GEPSNONPILOT/Tender/SplashBidNoticeAbstractUI.aspx?menuIndex=3&amp;refID=7085482&amp;Result=3","7085482")</f>
        <v>0</v>
      </c>
      <c r="B360" t="s">
        <v>212</v>
      </c>
      <c r="C360" t="s">
        <v>3789</v>
      </c>
      <c r="D360" t="s">
        <v>17447</v>
      </c>
      <c r="E360" t="s">
        <v>17852</v>
      </c>
      <c r="F360" t="s">
        <v>30052</v>
      </c>
      <c r="G360" t="s">
        <v>30061</v>
      </c>
      <c r="H360" t="s">
        <v>15498</v>
      </c>
      <c r="I360" t="s">
        <v>4650</v>
      </c>
      <c r="J360" t="s">
        <v>30495</v>
      </c>
      <c r="K360" t="s">
        <v>39029</v>
      </c>
      <c r="M360" t="s">
        <v>39502</v>
      </c>
      <c r="N360" t="s">
        <v>43166</v>
      </c>
      <c r="O360" t="s">
        <v>43167</v>
      </c>
      <c r="P360">
        <v>0</v>
      </c>
      <c r="Q360">
        <v>0</v>
      </c>
      <c r="R360" t="s">
        <v>43168</v>
      </c>
      <c r="S360" t="s">
        <v>43286</v>
      </c>
      <c r="T360" t="s">
        <v>44708</v>
      </c>
      <c r="U360" t="s">
        <v>45548</v>
      </c>
      <c r="W360" t="s">
        <v>39502</v>
      </c>
      <c r="X360" t="s">
        <v>43171</v>
      </c>
    </row>
    <row r="361" spans="1:24">
      <c r="A361">
        <f>HYPERLINK("https://www.philgeps.gov.ph/GEPSNONPILOT/Tender/SplashBidNoticeAbstractUI.aspx?menuIndex=3&amp;refID=7085692&amp;Result=3","7085692")</f>
        <v>0</v>
      </c>
      <c r="B361" t="s">
        <v>213</v>
      </c>
      <c r="C361" t="s">
        <v>3790</v>
      </c>
      <c r="D361" t="s">
        <v>17445</v>
      </c>
      <c r="E361" t="s">
        <v>17853</v>
      </c>
      <c r="F361" t="s">
        <v>30052</v>
      </c>
      <c r="G361" t="s">
        <v>30058</v>
      </c>
      <c r="H361" t="s">
        <v>15498</v>
      </c>
      <c r="I361" t="s">
        <v>3736</v>
      </c>
      <c r="J361" t="s">
        <v>30496</v>
      </c>
      <c r="K361" t="s">
        <v>39029</v>
      </c>
      <c r="M361" t="s">
        <v>39503</v>
      </c>
      <c r="N361" t="s">
        <v>43166</v>
      </c>
      <c r="O361" t="s">
        <v>43167</v>
      </c>
      <c r="P361">
        <v>0</v>
      </c>
      <c r="Q361">
        <v>0</v>
      </c>
      <c r="R361" t="s">
        <v>43168</v>
      </c>
      <c r="S361" t="s">
        <v>43286</v>
      </c>
      <c r="T361" t="s">
        <v>44718</v>
      </c>
      <c r="U361" t="s">
        <v>45549</v>
      </c>
      <c r="V361" t="s">
        <v>56875</v>
      </c>
      <c r="W361" t="s">
        <v>39503</v>
      </c>
      <c r="X361" t="s">
        <v>43171</v>
      </c>
    </row>
    <row r="362" spans="1:24">
      <c r="A362">
        <f>HYPERLINK("https://www.philgeps.gov.ph/GEPSNONPILOT/Tender/SplashBidNoticeAbstractUI.aspx?menuIndex=3&amp;refID=7085686&amp;Result=3","7085686")</f>
        <v>0</v>
      </c>
      <c r="B362" t="s">
        <v>214</v>
      </c>
      <c r="C362" t="s">
        <v>3791</v>
      </c>
      <c r="D362" t="s">
        <v>17415</v>
      </c>
      <c r="E362" t="s">
        <v>17854</v>
      </c>
      <c r="F362" t="s">
        <v>30052</v>
      </c>
      <c r="G362" t="s">
        <v>30059</v>
      </c>
      <c r="H362" t="s">
        <v>15498</v>
      </c>
      <c r="I362" t="s">
        <v>30096</v>
      </c>
      <c r="J362" t="s">
        <v>30497</v>
      </c>
      <c r="K362" t="s">
        <v>39025</v>
      </c>
      <c r="M362" t="s">
        <v>39504</v>
      </c>
      <c r="N362" t="s">
        <v>43166</v>
      </c>
      <c r="O362" t="s">
        <v>43167</v>
      </c>
      <c r="P362">
        <v>0</v>
      </c>
      <c r="Q362">
        <v>0</v>
      </c>
      <c r="R362" t="s">
        <v>43168</v>
      </c>
      <c r="S362" t="s">
        <v>43286</v>
      </c>
      <c r="T362" t="s">
        <v>44695</v>
      </c>
      <c r="U362" t="s">
        <v>45550</v>
      </c>
      <c r="W362" t="s">
        <v>39504</v>
      </c>
      <c r="X362" t="s">
        <v>43171</v>
      </c>
    </row>
    <row r="363" spans="1:24">
      <c r="A363">
        <f>HYPERLINK("https://www.philgeps.gov.ph/GEPSNONPILOT/Tender/SplashBidNoticeAbstractUI.aspx?menuIndex=3&amp;refID=7085562&amp;Result=3","7085562")</f>
        <v>0</v>
      </c>
      <c r="B363" t="s">
        <v>99</v>
      </c>
      <c r="C363" t="s">
        <v>3792</v>
      </c>
      <c r="D363" t="s">
        <v>17447</v>
      </c>
      <c r="E363" t="s">
        <v>17855</v>
      </c>
      <c r="F363" t="s">
        <v>30052</v>
      </c>
      <c r="G363" t="s">
        <v>30058</v>
      </c>
      <c r="H363" t="s">
        <v>30067</v>
      </c>
      <c r="I363" t="s">
        <v>3693</v>
      </c>
      <c r="J363" t="s">
        <v>30281</v>
      </c>
      <c r="K363" t="s">
        <v>39022</v>
      </c>
      <c r="M363" t="s">
        <v>39388</v>
      </c>
      <c r="N363" t="s">
        <v>43166</v>
      </c>
      <c r="O363" t="s">
        <v>43167</v>
      </c>
      <c r="P363">
        <v>0</v>
      </c>
      <c r="Q363">
        <v>0</v>
      </c>
      <c r="R363" t="s">
        <v>43168</v>
      </c>
      <c r="S363" t="s">
        <v>43286</v>
      </c>
      <c r="T363" t="s">
        <v>44721</v>
      </c>
      <c r="U363" t="s">
        <v>45340</v>
      </c>
      <c r="V363" t="s">
        <v>56876</v>
      </c>
      <c r="W363" t="s">
        <v>58590</v>
      </c>
      <c r="X363" t="s">
        <v>43171</v>
      </c>
    </row>
    <row r="364" spans="1:24">
      <c r="A364">
        <f>HYPERLINK("https://www.philgeps.gov.ph/GEPSNONPILOT/Tender/SplashBidNoticeAbstractUI.aspx?menuIndex=3&amp;refID=7085667&amp;Result=3","7085667")</f>
        <v>0</v>
      </c>
      <c r="B364" t="s">
        <v>215</v>
      </c>
      <c r="C364" t="s">
        <v>3793</v>
      </c>
      <c r="D364" t="s">
        <v>17440</v>
      </c>
      <c r="E364" t="s">
        <v>17856</v>
      </c>
      <c r="F364" t="s">
        <v>30052</v>
      </c>
      <c r="G364" t="s">
        <v>30059</v>
      </c>
      <c r="H364" t="s">
        <v>15498</v>
      </c>
      <c r="I364" t="s">
        <v>3852</v>
      </c>
      <c r="J364" t="s">
        <v>30218</v>
      </c>
      <c r="K364" t="s">
        <v>39017</v>
      </c>
      <c r="M364" t="s">
        <v>39505</v>
      </c>
      <c r="N364" t="s">
        <v>43166</v>
      </c>
      <c r="O364" t="s">
        <v>43167</v>
      </c>
      <c r="P364">
        <v>0</v>
      </c>
      <c r="Q364">
        <v>0</v>
      </c>
      <c r="R364" t="s">
        <v>43168</v>
      </c>
      <c r="S364" t="s">
        <v>43286</v>
      </c>
      <c r="T364" t="s">
        <v>44681</v>
      </c>
      <c r="U364" t="s">
        <v>45551</v>
      </c>
      <c r="W364" t="s">
        <v>39505</v>
      </c>
      <c r="X364" t="s">
        <v>43171</v>
      </c>
    </row>
    <row r="365" spans="1:24">
      <c r="A365">
        <f>HYPERLINK("https://www.philgeps.gov.ph/GEPSNONPILOT/Tender/SplashBidNoticeAbstractUI.aspx?menuIndex=3&amp;refID=7085705&amp;Result=3","7085705")</f>
        <v>0</v>
      </c>
      <c r="B365" t="s">
        <v>216</v>
      </c>
      <c r="C365" t="s">
        <v>3794</v>
      </c>
      <c r="D365" t="s">
        <v>17419</v>
      </c>
      <c r="E365" t="s">
        <v>17857</v>
      </c>
      <c r="F365" t="s">
        <v>30052</v>
      </c>
      <c r="G365" t="s">
        <v>30061</v>
      </c>
      <c r="H365" t="s">
        <v>15498</v>
      </c>
      <c r="I365" t="s">
        <v>4119</v>
      </c>
      <c r="J365" t="s">
        <v>30258</v>
      </c>
      <c r="K365" t="s">
        <v>39019</v>
      </c>
      <c r="M365" t="s">
        <v>39506</v>
      </c>
      <c r="N365" t="s">
        <v>43166</v>
      </c>
      <c r="O365" t="s">
        <v>43167</v>
      </c>
      <c r="P365">
        <v>0</v>
      </c>
      <c r="Q365">
        <v>4</v>
      </c>
      <c r="R365" t="s">
        <v>43168</v>
      </c>
      <c r="S365" t="s">
        <v>43286</v>
      </c>
      <c r="T365" t="s">
        <v>44724</v>
      </c>
      <c r="U365" t="s">
        <v>45552</v>
      </c>
      <c r="W365" t="s">
        <v>39506</v>
      </c>
      <c r="X365" t="s">
        <v>43171</v>
      </c>
    </row>
    <row r="366" spans="1:24">
      <c r="A366">
        <f>HYPERLINK("https://www.philgeps.gov.ph/GEPSNONPILOT/Tender/SplashBidNoticeAbstractUI.aspx?menuIndex=3&amp;refID=7085497&amp;Result=3","7085497")</f>
        <v>0</v>
      </c>
      <c r="B366" t="s">
        <v>217</v>
      </c>
      <c r="C366" t="s">
        <v>3795</v>
      </c>
      <c r="D366" t="s">
        <v>17458</v>
      </c>
      <c r="E366" t="s">
        <v>17858</v>
      </c>
      <c r="F366" t="s">
        <v>30052</v>
      </c>
      <c r="G366" t="s">
        <v>30058</v>
      </c>
      <c r="H366" t="s">
        <v>15498</v>
      </c>
      <c r="I366" t="s">
        <v>30075</v>
      </c>
      <c r="J366" t="s">
        <v>30252</v>
      </c>
      <c r="K366" t="s">
        <v>39029</v>
      </c>
      <c r="M366" t="s">
        <v>39507</v>
      </c>
      <c r="N366" t="s">
        <v>43166</v>
      </c>
      <c r="O366" t="s">
        <v>43167</v>
      </c>
      <c r="P366">
        <v>0</v>
      </c>
      <c r="Q366">
        <v>3</v>
      </c>
      <c r="R366" t="s">
        <v>43168</v>
      </c>
      <c r="S366" t="s">
        <v>43286</v>
      </c>
      <c r="T366" t="s">
        <v>44741</v>
      </c>
      <c r="U366" t="s">
        <v>45553</v>
      </c>
      <c r="W366" t="s">
        <v>39507</v>
      </c>
      <c r="X366" t="s">
        <v>43171</v>
      </c>
    </row>
    <row r="367" spans="1:24">
      <c r="A367">
        <f>HYPERLINK("https://www.philgeps.gov.ph/GEPSNONPILOT/Tender/SplashBidNoticeAbstractUI.aspx?menuIndex=3&amp;refID=7085658&amp;Result=3","7085658")</f>
        <v>0</v>
      </c>
      <c r="B367" t="s">
        <v>218</v>
      </c>
      <c r="C367" t="s">
        <v>3796</v>
      </c>
      <c r="D367" t="s">
        <v>17471</v>
      </c>
      <c r="E367" t="s">
        <v>17859</v>
      </c>
      <c r="F367" t="s">
        <v>30052</v>
      </c>
      <c r="G367" t="s">
        <v>30062</v>
      </c>
      <c r="H367" t="s">
        <v>15498</v>
      </c>
      <c r="I367" t="s">
        <v>30075</v>
      </c>
      <c r="J367" t="s">
        <v>30498</v>
      </c>
      <c r="K367" t="s">
        <v>39019</v>
      </c>
      <c r="M367" t="s">
        <v>39508</v>
      </c>
      <c r="N367" t="s">
        <v>43166</v>
      </c>
      <c r="O367" t="s">
        <v>43167</v>
      </c>
      <c r="P367">
        <v>0</v>
      </c>
      <c r="Q367">
        <v>1</v>
      </c>
      <c r="R367" t="s">
        <v>43168</v>
      </c>
      <c r="S367" t="s">
        <v>43286</v>
      </c>
      <c r="T367" t="s">
        <v>44720</v>
      </c>
      <c r="U367" t="s">
        <v>45554</v>
      </c>
      <c r="W367" t="s">
        <v>39508</v>
      </c>
      <c r="X367" t="s">
        <v>43171</v>
      </c>
    </row>
    <row r="368" spans="1:24">
      <c r="A368">
        <f>HYPERLINK("https://www.philgeps.gov.ph/GEPSNONPILOT/Tender/SplashBidNoticeAbstractUI.aspx?menuIndex=3&amp;refID=7085689&amp;Result=3","7085689")</f>
        <v>0</v>
      </c>
      <c r="B368" t="s">
        <v>219</v>
      </c>
      <c r="C368" t="s">
        <v>3797</v>
      </c>
      <c r="D368" t="s">
        <v>17482</v>
      </c>
      <c r="E368" t="s">
        <v>17860</v>
      </c>
      <c r="F368" t="s">
        <v>30052</v>
      </c>
      <c r="G368" t="s">
        <v>30058</v>
      </c>
      <c r="H368" t="s">
        <v>15498</v>
      </c>
      <c r="I368" t="s">
        <v>3736</v>
      </c>
      <c r="J368" t="s">
        <v>30499</v>
      </c>
      <c r="K368" t="s">
        <v>39017</v>
      </c>
      <c r="M368" t="s">
        <v>39509</v>
      </c>
      <c r="N368" t="s">
        <v>43166</v>
      </c>
      <c r="O368" t="s">
        <v>43167</v>
      </c>
      <c r="P368">
        <v>0</v>
      </c>
      <c r="Q368">
        <v>0</v>
      </c>
      <c r="R368" t="s">
        <v>43168</v>
      </c>
      <c r="S368" t="s">
        <v>43286</v>
      </c>
      <c r="T368" t="s">
        <v>44724</v>
      </c>
      <c r="U368" t="s">
        <v>45555</v>
      </c>
      <c r="W368" t="s">
        <v>39509</v>
      </c>
      <c r="X368" t="s">
        <v>43171</v>
      </c>
    </row>
    <row r="369" spans="1:24">
      <c r="A369">
        <f>HYPERLINK("https://www.philgeps.gov.ph/GEPSNONPILOT/Tender/SplashBidNoticeAbstractUI.aspx?menuIndex=3&amp;refID=7085649&amp;Result=3","7085649")</f>
        <v>0</v>
      </c>
      <c r="B369" t="s">
        <v>206</v>
      </c>
      <c r="C369" t="s">
        <v>3798</v>
      </c>
      <c r="D369" t="s">
        <v>17480</v>
      </c>
      <c r="E369" t="s">
        <v>17861</v>
      </c>
      <c r="F369" t="s">
        <v>30052</v>
      </c>
      <c r="G369" t="s">
        <v>30058</v>
      </c>
      <c r="H369" t="s">
        <v>15498</v>
      </c>
      <c r="I369" t="s">
        <v>3606</v>
      </c>
      <c r="J369" t="s">
        <v>30277</v>
      </c>
      <c r="K369" t="s">
        <v>39017</v>
      </c>
      <c r="M369" t="s">
        <v>39496</v>
      </c>
      <c r="N369" t="s">
        <v>43166</v>
      </c>
      <c r="O369" t="s">
        <v>43167</v>
      </c>
      <c r="P369">
        <v>0</v>
      </c>
      <c r="Q369">
        <v>3</v>
      </c>
      <c r="R369" t="s">
        <v>43168</v>
      </c>
      <c r="S369" t="s">
        <v>43286</v>
      </c>
      <c r="T369" t="s">
        <v>44763</v>
      </c>
      <c r="U369" t="s">
        <v>45556</v>
      </c>
      <c r="W369" t="s">
        <v>39496</v>
      </c>
      <c r="X369" t="s">
        <v>43171</v>
      </c>
    </row>
    <row r="370" spans="1:24">
      <c r="A370">
        <f>HYPERLINK("https://www.philgeps.gov.ph/GEPSNONPILOT/Tender/SplashBidNoticeAbstractUI.aspx?menuIndex=3&amp;refID=7085638&amp;Result=3","7085638")</f>
        <v>0</v>
      </c>
      <c r="B370" t="s">
        <v>220</v>
      </c>
      <c r="C370" t="s">
        <v>3799</v>
      </c>
      <c r="D370" t="s">
        <v>17434</v>
      </c>
      <c r="E370" t="s">
        <v>17862</v>
      </c>
      <c r="F370" t="s">
        <v>30052</v>
      </c>
      <c r="G370" t="s">
        <v>30059</v>
      </c>
      <c r="H370" t="s">
        <v>15498</v>
      </c>
      <c r="I370" t="s">
        <v>30103</v>
      </c>
      <c r="J370" t="s">
        <v>30500</v>
      </c>
      <c r="K370" t="s">
        <v>39029</v>
      </c>
      <c r="M370" t="s">
        <v>39510</v>
      </c>
      <c r="N370" t="s">
        <v>43166</v>
      </c>
      <c r="O370" t="s">
        <v>43167</v>
      </c>
      <c r="P370">
        <v>0</v>
      </c>
      <c r="Q370">
        <v>4</v>
      </c>
      <c r="R370" t="s">
        <v>43168</v>
      </c>
      <c r="S370" t="s">
        <v>43286</v>
      </c>
      <c r="T370" t="s">
        <v>44708</v>
      </c>
      <c r="U370" t="s">
        <v>45557</v>
      </c>
      <c r="W370" t="s">
        <v>39510</v>
      </c>
      <c r="X370" t="s">
        <v>43171</v>
      </c>
    </row>
    <row r="371" spans="1:24">
      <c r="A371">
        <f>HYPERLINK("https://www.philgeps.gov.ph/GEPSNONPILOT/Tender/SplashBidNoticeAbstractUI.aspx?menuIndex=3&amp;refID=7085664&amp;Result=3","7085664")</f>
        <v>0</v>
      </c>
      <c r="B371" t="s">
        <v>157</v>
      </c>
      <c r="C371" t="s">
        <v>3800</v>
      </c>
      <c r="D371" t="s">
        <v>17456</v>
      </c>
      <c r="E371" t="s">
        <v>17863</v>
      </c>
      <c r="F371" t="s">
        <v>30052</v>
      </c>
      <c r="G371" t="s">
        <v>30059</v>
      </c>
      <c r="H371" t="s">
        <v>15498</v>
      </c>
      <c r="I371" t="s">
        <v>30076</v>
      </c>
      <c r="J371" t="s">
        <v>30501</v>
      </c>
      <c r="K371" t="s">
        <v>39017</v>
      </c>
      <c r="M371" t="s">
        <v>39446</v>
      </c>
      <c r="N371" t="s">
        <v>43166</v>
      </c>
      <c r="O371" t="s">
        <v>43167</v>
      </c>
      <c r="P371">
        <v>0</v>
      </c>
      <c r="Q371">
        <v>2</v>
      </c>
      <c r="R371" t="s">
        <v>43168</v>
      </c>
      <c r="S371" t="s">
        <v>43286</v>
      </c>
      <c r="T371" t="s">
        <v>44737</v>
      </c>
      <c r="U371" t="s">
        <v>45431</v>
      </c>
      <c r="V371" t="s">
        <v>56852</v>
      </c>
      <c r="W371" t="s">
        <v>39446</v>
      </c>
      <c r="X371" t="s">
        <v>43171</v>
      </c>
    </row>
    <row r="372" spans="1:24">
      <c r="A372">
        <f>HYPERLINK("https://www.philgeps.gov.ph/GEPSNONPILOT/Tender/SplashBidNoticeAbstractUI.aspx?menuIndex=3&amp;refID=7085684&amp;Result=3","7085684")</f>
        <v>0</v>
      </c>
      <c r="B372" t="s">
        <v>216</v>
      </c>
      <c r="C372" t="s">
        <v>3801</v>
      </c>
      <c r="D372" t="s">
        <v>17419</v>
      </c>
      <c r="E372" t="s">
        <v>17864</v>
      </c>
      <c r="F372" t="s">
        <v>30052</v>
      </c>
      <c r="G372" t="s">
        <v>30061</v>
      </c>
      <c r="H372" t="s">
        <v>15498</v>
      </c>
      <c r="I372" t="s">
        <v>30073</v>
      </c>
      <c r="J372" t="s">
        <v>30502</v>
      </c>
      <c r="K372" t="s">
        <v>39019</v>
      </c>
      <c r="M372" t="s">
        <v>39506</v>
      </c>
      <c r="N372" t="s">
        <v>43166</v>
      </c>
      <c r="O372" t="s">
        <v>43167</v>
      </c>
      <c r="P372">
        <v>0</v>
      </c>
      <c r="Q372">
        <v>0</v>
      </c>
      <c r="R372" t="s">
        <v>43168</v>
      </c>
      <c r="S372" t="s">
        <v>43286</v>
      </c>
      <c r="T372" t="s">
        <v>44724</v>
      </c>
      <c r="U372" t="s">
        <v>45558</v>
      </c>
      <c r="W372" t="s">
        <v>39506</v>
      </c>
      <c r="X372" t="s">
        <v>43171</v>
      </c>
    </row>
    <row r="373" spans="1:24">
      <c r="A373">
        <f>HYPERLINK("https://www.philgeps.gov.ph/GEPSNONPILOT/Tender/SplashBidNoticeAbstractUI.aspx?menuIndex=3&amp;refID=7085643&amp;Result=3","7085643")</f>
        <v>0</v>
      </c>
      <c r="B373" t="s">
        <v>204</v>
      </c>
      <c r="C373" t="s">
        <v>3802</v>
      </c>
      <c r="D373" t="s">
        <v>17435</v>
      </c>
      <c r="E373" t="s">
        <v>17865</v>
      </c>
      <c r="F373" t="s">
        <v>30052</v>
      </c>
      <c r="G373" t="s">
        <v>30061</v>
      </c>
      <c r="H373" t="s">
        <v>15498</v>
      </c>
      <c r="I373" t="s">
        <v>7228</v>
      </c>
      <c r="J373" t="s">
        <v>30503</v>
      </c>
      <c r="K373" t="s">
        <v>39019</v>
      </c>
      <c r="M373" t="s">
        <v>39494</v>
      </c>
      <c r="N373" t="s">
        <v>43166</v>
      </c>
      <c r="O373" t="s">
        <v>43167</v>
      </c>
      <c r="P373">
        <v>0</v>
      </c>
      <c r="Q373">
        <v>0</v>
      </c>
      <c r="R373" t="s">
        <v>43168</v>
      </c>
      <c r="S373" t="s">
        <v>43286</v>
      </c>
      <c r="T373" t="s">
        <v>44691</v>
      </c>
      <c r="U373" t="s">
        <v>45559</v>
      </c>
      <c r="W373" t="s">
        <v>39494</v>
      </c>
      <c r="X373" t="s">
        <v>43171</v>
      </c>
    </row>
    <row r="374" spans="1:24">
      <c r="A374">
        <f>HYPERLINK("https://www.philgeps.gov.ph/GEPSNONPILOT/Tender/SplashBidNoticeAbstractUI.aspx?menuIndex=3&amp;refID=7085777&amp;Result=3","7085777")</f>
        <v>0</v>
      </c>
      <c r="B374" t="s">
        <v>99</v>
      </c>
      <c r="C374" t="s">
        <v>3803</v>
      </c>
      <c r="D374" t="s">
        <v>17447</v>
      </c>
      <c r="E374" t="s">
        <v>17866</v>
      </c>
      <c r="F374" t="s">
        <v>30052</v>
      </c>
      <c r="G374" t="s">
        <v>30058</v>
      </c>
      <c r="H374" t="s">
        <v>30067</v>
      </c>
      <c r="I374" t="s">
        <v>3693</v>
      </c>
      <c r="J374" t="s">
        <v>30222</v>
      </c>
      <c r="K374" t="s">
        <v>39054</v>
      </c>
      <c r="M374" t="s">
        <v>39388</v>
      </c>
      <c r="N374" t="s">
        <v>43166</v>
      </c>
      <c r="O374" t="s">
        <v>43167</v>
      </c>
      <c r="P374">
        <v>0</v>
      </c>
      <c r="Q374">
        <v>0</v>
      </c>
      <c r="R374" t="s">
        <v>43168</v>
      </c>
      <c r="S374" t="s">
        <v>43286</v>
      </c>
      <c r="T374" t="s">
        <v>44721</v>
      </c>
      <c r="U374" t="s">
        <v>45340</v>
      </c>
      <c r="V374" t="s">
        <v>56876</v>
      </c>
      <c r="W374" t="s">
        <v>58590</v>
      </c>
      <c r="X374" t="s">
        <v>43171</v>
      </c>
    </row>
    <row r="375" spans="1:24">
      <c r="A375">
        <f>HYPERLINK("https://www.philgeps.gov.ph/GEPSNONPILOT/Tender/SplashBidNoticeAbstractUI.aspx?menuIndex=3&amp;refID=7085773&amp;Result=3","7085773")</f>
        <v>0</v>
      </c>
      <c r="B375" t="s">
        <v>221</v>
      </c>
      <c r="C375" t="s">
        <v>3804</v>
      </c>
      <c r="E375" t="s">
        <v>17867</v>
      </c>
      <c r="F375" t="s">
        <v>30052</v>
      </c>
      <c r="G375" t="s">
        <v>30058</v>
      </c>
      <c r="H375" t="s">
        <v>30069</v>
      </c>
      <c r="I375" t="s">
        <v>30121</v>
      </c>
      <c r="J375" t="s">
        <v>30504</v>
      </c>
      <c r="K375" t="s">
        <v>39059</v>
      </c>
      <c r="M375" t="s">
        <v>39511</v>
      </c>
      <c r="N375" t="s">
        <v>43166</v>
      </c>
      <c r="O375" t="s">
        <v>43167</v>
      </c>
      <c r="P375">
        <v>0</v>
      </c>
      <c r="Q375">
        <v>0</v>
      </c>
      <c r="R375" t="s">
        <v>43168</v>
      </c>
      <c r="S375" t="s">
        <v>43286</v>
      </c>
      <c r="T375" t="s">
        <v>44722</v>
      </c>
      <c r="U375" t="s">
        <v>45560</v>
      </c>
      <c r="V375" t="s">
        <v>56877</v>
      </c>
      <c r="W375" t="s">
        <v>39511</v>
      </c>
      <c r="X375" t="s">
        <v>43171</v>
      </c>
    </row>
    <row r="376" spans="1:24">
      <c r="A376">
        <f>HYPERLINK("https://www.philgeps.gov.ph/GEPSNONPILOT/Tender/SplashBidNoticeAbstractUI.aspx?menuIndex=3&amp;refID=7085665&amp;Result=3","7085665")</f>
        <v>0</v>
      </c>
      <c r="B376" t="s">
        <v>222</v>
      </c>
      <c r="C376" t="s">
        <v>3805</v>
      </c>
      <c r="D376" t="s">
        <v>17456</v>
      </c>
      <c r="E376" t="s">
        <v>17868</v>
      </c>
      <c r="F376" t="s">
        <v>30052</v>
      </c>
      <c r="G376" t="s">
        <v>30059</v>
      </c>
      <c r="H376" t="s">
        <v>15498</v>
      </c>
      <c r="I376" t="s">
        <v>3736</v>
      </c>
      <c r="J376" t="s">
        <v>30447</v>
      </c>
      <c r="K376" t="s">
        <v>39017</v>
      </c>
      <c r="M376" t="s">
        <v>39512</v>
      </c>
      <c r="N376" t="s">
        <v>43166</v>
      </c>
      <c r="O376" t="s">
        <v>43167</v>
      </c>
      <c r="P376">
        <v>0</v>
      </c>
      <c r="Q376">
        <v>0</v>
      </c>
      <c r="R376" t="s">
        <v>43168</v>
      </c>
      <c r="S376" t="s">
        <v>43286</v>
      </c>
      <c r="T376" t="s">
        <v>44729</v>
      </c>
      <c r="U376" t="s">
        <v>45561</v>
      </c>
      <c r="W376" t="s">
        <v>39512</v>
      </c>
      <c r="X376" t="s">
        <v>43171</v>
      </c>
    </row>
    <row r="377" spans="1:24">
      <c r="A377">
        <f>HYPERLINK("https://www.philgeps.gov.ph/GEPSNONPILOT/Tender/SplashBidNoticeAbstractUI.aspx?menuIndex=3&amp;refID=7085756&amp;Result=3","7085756")</f>
        <v>0</v>
      </c>
      <c r="B377" t="s">
        <v>223</v>
      </c>
      <c r="C377" t="s">
        <v>3806</v>
      </c>
      <c r="D377" t="s">
        <v>17415</v>
      </c>
      <c r="E377" t="s">
        <v>17869</v>
      </c>
      <c r="F377" t="s">
        <v>30052</v>
      </c>
      <c r="G377" t="s">
        <v>30061</v>
      </c>
      <c r="H377" t="s">
        <v>15498</v>
      </c>
      <c r="I377" t="s">
        <v>3852</v>
      </c>
      <c r="J377" t="s">
        <v>30505</v>
      </c>
      <c r="K377" t="s">
        <v>39017</v>
      </c>
      <c r="M377" t="s">
        <v>39513</v>
      </c>
      <c r="N377" t="s">
        <v>43166</v>
      </c>
      <c r="O377" t="s">
        <v>43167</v>
      </c>
      <c r="P377">
        <v>0</v>
      </c>
      <c r="Q377">
        <v>0</v>
      </c>
      <c r="R377" t="s">
        <v>43168</v>
      </c>
      <c r="S377" t="s">
        <v>43286</v>
      </c>
      <c r="T377" t="s">
        <v>44764</v>
      </c>
      <c r="U377" t="s">
        <v>45562</v>
      </c>
      <c r="W377" t="s">
        <v>39513</v>
      </c>
      <c r="X377" t="s">
        <v>43171</v>
      </c>
    </row>
    <row r="378" spans="1:24">
      <c r="A378">
        <f>HYPERLINK("https://www.philgeps.gov.ph/GEPSNONPILOT/Tender/SplashBidNoticeAbstractUI.aspx?menuIndex=3&amp;refID=7085681&amp;Result=3","7085681")</f>
        <v>0</v>
      </c>
      <c r="B378" t="s">
        <v>47</v>
      </c>
      <c r="C378" t="s">
        <v>3807</v>
      </c>
      <c r="D378" t="s">
        <v>17430</v>
      </c>
      <c r="E378" t="s">
        <v>17870</v>
      </c>
      <c r="F378" t="s">
        <v>30052</v>
      </c>
      <c r="G378" t="s">
        <v>30061</v>
      </c>
      <c r="H378" t="s">
        <v>15498</v>
      </c>
      <c r="I378" t="s">
        <v>30077</v>
      </c>
      <c r="J378" t="s">
        <v>30506</v>
      </c>
      <c r="K378" t="s">
        <v>39019</v>
      </c>
      <c r="M378" t="s">
        <v>39337</v>
      </c>
      <c r="N378" t="s">
        <v>43166</v>
      </c>
      <c r="O378" t="s">
        <v>43167</v>
      </c>
      <c r="P378">
        <v>0</v>
      </c>
      <c r="Q378">
        <v>1</v>
      </c>
      <c r="R378" t="s">
        <v>43168</v>
      </c>
      <c r="S378" t="s">
        <v>43286</v>
      </c>
      <c r="T378" t="s">
        <v>44751</v>
      </c>
      <c r="U378" t="s">
        <v>45563</v>
      </c>
      <c r="V378" t="s">
        <v>56859</v>
      </c>
      <c r="W378" t="s">
        <v>39337</v>
      </c>
      <c r="X378" t="s">
        <v>43171</v>
      </c>
    </row>
    <row r="379" spans="1:24">
      <c r="A379">
        <f>HYPERLINK("https://www.philgeps.gov.ph/GEPSNONPILOT/Tender/SplashBidNoticeAbstractUI.aspx?menuIndex=3&amp;refID=7085750&amp;Result=3","7085750")</f>
        <v>0</v>
      </c>
      <c r="B379" t="s">
        <v>224</v>
      </c>
      <c r="C379" t="s">
        <v>3808</v>
      </c>
      <c r="D379" t="s">
        <v>17452</v>
      </c>
      <c r="E379" t="s">
        <v>17650</v>
      </c>
      <c r="F379" t="s">
        <v>30052</v>
      </c>
      <c r="G379" t="s">
        <v>30058</v>
      </c>
      <c r="H379" t="s">
        <v>30067</v>
      </c>
      <c r="I379" t="s">
        <v>3693</v>
      </c>
      <c r="J379" t="s">
        <v>30507</v>
      </c>
      <c r="K379" t="s">
        <v>39025</v>
      </c>
      <c r="M379" t="s">
        <v>39514</v>
      </c>
      <c r="N379" t="s">
        <v>43166</v>
      </c>
      <c r="O379" t="s">
        <v>43167</v>
      </c>
      <c r="P379">
        <v>0</v>
      </c>
      <c r="Q379">
        <v>0</v>
      </c>
      <c r="R379" t="s">
        <v>43168</v>
      </c>
      <c r="S379" t="s">
        <v>43286</v>
      </c>
      <c r="T379" t="s">
        <v>44679</v>
      </c>
      <c r="U379" t="s">
        <v>45564</v>
      </c>
      <c r="W379" t="s">
        <v>39514</v>
      </c>
      <c r="X379" t="s">
        <v>43171</v>
      </c>
    </row>
    <row r="380" spans="1:24">
      <c r="A380">
        <f>HYPERLINK("https://www.philgeps.gov.ph/GEPSNONPILOT/Tender/SplashBidNoticeAbstractUI.aspx?menuIndex=3&amp;refID=7085781&amp;Result=3","7085781")</f>
        <v>0</v>
      </c>
      <c r="B380" t="s">
        <v>225</v>
      </c>
      <c r="C380" t="s">
        <v>3809</v>
      </c>
      <c r="D380" t="s">
        <v>17472</v>
      </c>
      <c r="E380" t="s">
        <v>17653</v>
      </c>
      <c r="F380" t="s">
        <v>30052</v>
      </c>
      <c r="G380" t="s">
        <v>30062</v>
      </c>
      <c r="H380" t="s">
        <v>15498</v>
      </c>
      <c r="I380" t="s">
        <v>30070</v>
      </c>
      <c r="J380" t="s">
        <v>30508</v>
      </c>
      <c r="K380" t="s">
        <v>39029</v>
      </c>
      <c r="M380" t="s">
        <v>39515</v>
      </c>
      <c r="N380" t="s">
        <v>43166</v>
      </c>
      <c r="O380" t="s">
        <v>43167</v>
      </c>
      <c r="P380">
        <v>0</v>
      </c>
      <c r="Q380">
        <v>5</v>
      </c>
      <c r="R380" t="s">
        <v>43168</v>
      </c>
      <c r="S380" t="s">
        <v>43286</v>
      </c>
      <c r="T380" t="s">
        <v>44700</v>
      </c>
      <c r="U380" t="s">
        <v>45565</v>
      </c>
      <c r="W380" t="s">
        <v>58593</v>
      </c>
      <c r="X380" t="s">
        <v>43171</v>
      </c>
    </row>
    <row r="381" spans="1:24">
      <c r="A381">
        <f>HYPERLINK("https://www.philgeps.gov.ph/GEPSNONPILOT/Tender/SplashBidNoticeAbstractUI.aspx?menuIndex=3&amp;refID=7085749&amp;Result=3","7085749")</f>
        <v>0</v>
      </c>
      <c r="B381" t="s">
        <v>226</v>
      </c>
      <c r="C381" t="s">
        <v>3810</v>
      </c>
      <c r="D381" t="s">
        <v>17427</v>
      </c>
      <c r="E381" t="s">
        <v>17871</v>
      </c>
      <c r="F381" t="s">
        <v>30052</v>
      </c>
      <c r="G381" t="s">
        <v>30059</v>
      </c>
      <c r="H381" t="s">
        <v>30067</v>
      </c>
      <c r="I381" t="s">
        <v>30097</v>
      </c>
      <c r="J381" t="s">
        <v>30509</v>
      </c>
      <c r="K381" t="s">
        <v>39029</v>
      </c>
      <c r="M381" t="s">
        <v>39516</v>
      </c>
      <c r="N381" t="s">
        <v>43166</v>
      </c>
      <c r="O381" t="s">
        <v>43167</v>
      </c>
      <c r="P381">
        <v>0</v>
      </c>
      <c r="Q381">
        <v>2</v>
      </c>
      <c r="R381" t="s">
        <v>43168</v>
      </c>
      <c r="S381" t="s">
        <v>43286</v>
      </c>
      <c r="T381" t="s">
        <v>44698</v>
      </c>
      <c r="U381" t="s">
        <v>45566</v>
      </c>
      <c r="W381" t="s">
        <v>39516</v>
      </c>
      <c r="X381" t="s">
        <v>43171</v>
      </c>
    </row>
    <row r="382" spans="1:24">
      <c r="A382">
        <f>HYPERLINK("https://www.philgeps.gov.ph/GEPSNONPILOT/Tender/SplashBidNoticeAbstractUI.aspx?menuIndex=3&amp;refID=7085747&amp;Result=3","7085747")</f>
        <v>0</v>
      </c>
      <c r="B382" t="s">
        <v>221</v>
      </c>
      <c r="C382" t="s">
        <v>3811</v>
      </c>
      <c r="E382" t="s">
        <v>17872</v>
      </c>
      <c r="F382" t="s">
        <v>30052</v>
      </c>
      <c r="G382" t="s">
        <v>30058</v>
      </c>
      <c r="H382" t="s">
        <v>30069</v>
      </c>
      <c r="I382" t="s">
        <v>30100</v>
      </c>
      <c r="J382" t="s">
        <v>30510</v>
      </c>
      <c r="K382" t="s">
        <v>39059</v>
      </c>
      <c r="M382" t="s">
        <v>39511</v>
      </c>
      <c r="N382" t="s">
        <v>43166</v>
      </c>
      <c r="O382" t="s">
        <v>43167</v>
      </c>
      <c r="P382">
        <v>0</v>
      </c>
      <c r="Q382">
        <v>2</v>
      </c>
      <c r="R382" t="s">
        <v>43168</v>
      </c>
      <c r="S382" t="s">
        <v>43286</v>
      </c>
      <c r="T382" t="s">
        <v>44722</v>
      </c>
      <c r="U382" t="s">
        <v>45567</v>
      </c>
      <c r="V382" t="s">
        <v>56878</v>
      </c>
      <c r="W382" t="s">
        <v>39511</v>
      </c>
      <c r="X382" t="s">
        <v>43171</v>
      </c>
    </row>
    <row r="383" spans="1:24">
      <c r="A383">
        <f>HYPERLINK("https://www.philgeps.gov.ph/GEPSNONPILOT/Tender/SplashBidNoticeAbstractUI.aspx?menuIndex=3&amp;refID=7085744&amp;Result=3","7085744")</f>
        <v>0</v>
      </c>
      <c r="B383" t="s">
        <v>227</v>
      </c>
      <c r="C383" t="s">
        <v>3812</v>
      </c>
      <c r="D383" t="s">
        <v>17470</v>
      </c>
      <c r="E383" t="s">
        <v>17873</v>
      </c>
      <c r="F383" t="s">
        <v>30052</v>
      </c>
      <c r="G383" t="s">
        <v>30059</v>
      </c>
      <c r="H383" t="s">
        <v>15498</v>
      </c>
      <c r="I383" t="s">
        <v>30070</v>
      </c>
      <c r="J383" t="s">
        <v>30398</v>
      </c>
      <c r="K383" t="s">
        <v>39019</v>
      </c>
      <c r="M383" t="s">
        <v>39517</v>
      </c>
      <c r="N383" t="s">
        <v>43166</v>
      </c>
      <c r="O383" t="s">
        <v>43167</v>
      </c>
      <c r="P383">
        <v>0</v>
      </c>
      <c r="Q383">
        <v>0</v>
      </c>
      <c r="R383" t="s">
        <v>43168</v>
      </c>
      <c r="S383" t="s">
        <v>43286</v>
      </c>
      <c r="T383" t="s">
        <v>44720</v>
      </c>
      <c r="U383" t="s">
        <v>45568</v>
      </c>
      <c r="W383" t="s">
        <v>39517</v>
      </c>
      <c r="X383" t="s">
        <v>43171</v>
      </c>
    </row>
    <row r="384" spans="1:24">
      <c r="A384">
        <f>HYPERLINK("https://www.philgeps.gov.ph/GEPSNONPILOT/Tender/SplashBidNoticeAbstractUI.aspx?menuIndex=3&amp;refID=7085761&amp;Result=3","7085761")</f>
        <v>0</v>
      </c>
      <c r="B384" t="s">
        <v>228</v>
      </c>
      <c r="C384" t="s">
        <v>3813</v>
      </c>
      <c r="D384" t="s">
        <v>17415</v>
      </c>
      <c r="E384" t="s">
        <v>17874</v>
      </c>
      <c r="F384" t="s">
        <v>30052</v>
      </c>
      <c r="G384" t="s">
        <v>30059</v>
      </c>
      <c r="H384" t="s">
        <v>15498</v>
      </c>
      <c r="I384" t="s">
        <v>3736</v>
      </c>
      <c r="J384" t="s">
        <v>30511</v>
      </c>
      <c r="K384" t="s">
        <v>39019</v>
      </c>
      <c r="M384" t="s">
        <v>39518</v>
      </c>
      <c r="N384" t="s">
        <v>43166</v>
      </c>
      <c r="O384" t="s">
        <v>43167</v>
      </c>
      <c r="P384">
        <v>0</v>
      </c>
      <c r="Q384">
        <v>0</v>
      </c>
      <c r="R384" t="s">
        <v>43168</v>
      </c>
      <c r="S384" t="s">
        <v>43286</v>
      </c>
      <c r="T384" t="s">
        <v>44681</v>
      </c>
      <c r="U384" t="s">
        <v>45569</v>
      </c>
      <c r="W384" t="s">
        <v>39518</v>
      </c>
      <c r="X384" t="s">
        <v>43171</v>
      </c>
    </row>
    <row r="385" spans="1:24">
      <c r="A385">
        <f>HYPERLINK("https://www.philgeps.gov.ph/GEPSNONPILOT/Tender/SplashBidNoticeAbstractUI.aspx?menuIndex=3&amp;refID=7085743&amp;Result=3","7085743")</f>
        <v>0</v>
      </c>
      <c r="B385" t="s">
        <v>215</v>
      </c>
      <c r="C385" t="s">
        <v>3814</v>
      </c>
      <c r="D385" t="s">
        <v>17440</v>
      </c>
      <c r="E385" t="s">
        <v>17620</v>
      </c>
      <c r="F385" t="s">
        <v>30052</v>
      </c>
      <c r="G385" t="s">
        <v>30059</v>
      </c>
      <c r="H385" t="s">
        <v>15498</v>
      </c>
      <c r="I385" t="s">
        <v>3852</v>
      </c>
      <c r="J385" t="s">
        <v>30338</v>
      </c>
      <c r="K385" t="s">
        <v>39017</v>
      </c>
      <c r="M385" t="s">
        <v>39505</v>
      </c>
      <c r="N385" t="s">
        <v>43166</v>
      </c>
      <c r="O385" t="s">
        <v>43167</v>
      </c>
      <c r="P385">
        <v>0</v>
      </c>
      <c r="Q385">
        <v>2</v>
      </c>
      <c r="R385" t="s">
        <v>43168</v>
      </c>
      <c r="S385" t="s">
        <v>43286</v>
      </c>
      <c r="T385" t="s">
        <v>44681</v>
      </c>
      <c r="U385" t="s">
        <v>45570</v>
      </c>
      <c r="W385" t="s">
        <v>39505</v>
      </c>
      <c r="X385" t="s">
        <v>43171</v>
      </c>
    </row>
    <row r="386" spans="1:24">
      <c r="A386">
        <f>HYPERLINK("https://www.philgeps.gov.ph/GEPSNONPILOT/Tender/SplashBidNoticeAbstractUI.aspx?menuIndex=3&amp;refID=7085741&amp;Result=3","7085741")</f>
        <v>0</v>
      </c>
      <c r="B386" t="s">
        <v>229</v>
      </c>
      <c r="C386" t="s">
        <v>3815</v>
      </c>
      <c r="D386" t="s">
        <v>17430</v>
      </c>
      <c r="E386" t="s">
        <v>17875</v>
      </c>
      <c r="F386" t="s">
        <v>30052</v>
      </c>
      <c r="G386" t="s">
        <v>30058</v>
      </c>
      <c r="H386" t="s">
        <v>30067</v>
      </c>
      <c r="I386" t="s">
        <v>3693</v>
      </c>
      <c r="J386" t="s">
        <v>30512</v>
      </c>
      <c r="K386" t="s">
        <v>39023</v>
      </c>
      <c r="M386" t="s">
        <v>39519</v>
      </c>
      <c r="N386" t="s">
        <v>43166</v>
      </c>
      <c r="O386" t="s">
        <v>43167</v>
      </c>
      <c r="P386">
        <v>0</v>
      </c>
      <c r="Q386">
        <v>0</v>
      </c>
      <c r="R386" t="s">
        <v>43168</v>
      </c>
      <c r="S386" t="s">
        <v>43286</v>
      </c>
      <c r="T386" t="s">
        <v>44702</v>
      </c>
      <c r="U386" t="s">
        <v>45571</v>
      </c>
      <c r="W386" t="s">
        <v>39519</v>
      </c>
      <c r="X386" t="s">
        <v>43171</v>
      </c>
    </row>
    <row r="387" spans="1:24">
      <c r="A387">
        <f>HYPERLINK("https://www.philgeps.gov.ph/GEPSNONPILOT/Tender/SplashBidNoticeAbstractUI.aspx?menuIndex=3&amp;refID=7085732&amp;Result=3","7085732")</f>
        <v>0</v>
      </c>
      <c r="B387" t="s">
        <v>230</v>
      </c>
      <c r="C387" t="s">
        <v>3816</v>
      </c>
      <c r="D387" t="s">
        <v>17452</v>
      </c>
      <c r="E387" t="s">
        <v>17715</v>
      </c>
      <c r="F387" t="s">
        <v>30052</v>
      </c>
      <c r="G387" t="s">
        <v>30058</v>
      </c>
      <c r="H387" t="s">
        <v>30067</v>
      </c>
      <c r="I387" t="s">
        <v>3693</v>
      </c>
      <c r="J387" t="s">
        <v>30513</v>
      </c>
      <c r="K387" t="s">
        <v>39025</v>
      </c>
      <c r="M387" t="s">
        <v>39520</v>
      </c>
      <c r="N387" t="s">
        <v>43166</v>
      </c>
      <c r="O387" t="s">
        <v>43167</v>
      </c>
      <c r="P387">
        <v>0</v>
      </c>
      <c r="Q387">
        <v>0</v>
      </c>
      <c r="R387" t="s">
        <v>43168</v>
      </c>
      <c r="S387" t="s">
        <v>43286</v>
      </c>
      <c r="T387" t="s">
        <v>44679</v>
      </c>
      <c r="U387" t="s">
        <v>45564</v>
      </c>
      <c r="W387" t="s">
        <v>39520</v>
      </c>
      <c r="X387" t="s">
        <v>43171</v>
      </c>
    </row>
    <row r="388" spans="1:24">
      <c r="A388">
        <f>HYPERLINK("https://www.philgeps.gov.ph/GEPSNONPILOT/Tender/SplashBidNoticeAbstractUI.aspx?menuIndex=3&amp;refID=7085751&amp;Result=3","7085751")</f>
        <v>0</v>
      </c>
      <c r="B388" t="s">
        <v>157</v>
      </c>
      <c r="C388" t="s">
        <v>3817</v>
      </c>
      <c r="D388" t="s">
        <v>17456</v>
      </c>
      <c r="E388" t="s">
        <v>17876</v>
      </c>
      <c r="F388" t="s">
        <v>30052</v>
      </c>
      <c r="G388" t="s">
        <v>30059</v>
      </c>
      <c r="H388" t="s">
        <v>15498</v>
      </c>
      <c r="I388" t="s">
        <v>30076</v>
      </c>
      <c r="J388" t="s">
        <v>30384</v>
      </c>
      <c r="K388" t="s">
        <v>39017</v>
      </c>
      <c r="M388" t="s">
        <v>39446</v>
      </c>
      <c r="N388" t="s">
        <v>43166</v>
      </c>
      <c r="O388" t="s">
        <v>43167</v>
      </c>
      <c r="P388">
        <v>0</v>
      </c>
      <c r="Q388">
        <v>0</v>
      </c>
      <c r="R388" t="s">
        <v>43168</v>
      </c>
      <c r="S388" t="s">
        <v>43286</v>
      </c>
      <c r="T388" t="s">
        <v>44737</v>
      </c>
      <c r="U388" t="s">
        <v>45431</v>
      </c>
      <c r="V388" t="s">
        <v>56852</v>
      </c>
      <c r="W388" t="s">
        <v>39446</v>
      </c>
      <c r="X388" t="s">
        <v>43171</v>
      </c>
    </row>
    <row r="389" spans="1:24">
      <c r="A389">
        <f>HYPERLINK("https://www.philgeps.gov.ph/GEPSNONPILOT/Tender/SplashBidNoticeAbstractUI.aspx?menuIndex=3&amp;refID=7085727&amp;Result=3","7085727")</f>
        <v>0</v>
      </c>
      <c r="B389" t="s">
        <v>81</v>
      </c>
      <c r="C389" t="s">
        <v>3818</v>
      </c>
      <c r="D389" t="s">
        <v>17415</v>
      </c>
      <c r="E389" t="s">
        <v>17877</v>
      </c>
      <c r="F389" t="s">
        <v>30052</v>
      </c>
      <c r="G389" t="s">
        <v>30059</v>
      </c>
      <c r="H389" t="s">
        <v>15498</v>
      </c>
      <c r="I389" t="s">
        <v>30104</v>
      </c>
      <c r="J389" t="s">
        <v>30514</v>
      </c>
      <c r="K389" t="s">
        <v>39029</v>
      </c>
      <c r="M389" t="s">
        <v>39370</v>
      </c>
      <c r="N389" t="s">
        <v>43166</v>
      </c>
      <c r="O389" t="s">
        <v>43167</v>
      </c>
      <c r="P389">
        <v>0</v>
      </c>
      <c r="Q389">
        <v>1</v>
      </c>
      <c r="R389" t="s">
        <v>43168</v>
      </c>
      <c r="S389" t="s">
        <v>43286</v>
      </c>
      <c r="T389" t="s">
        <v>44720</v>
      </c>
      <c r="U389" t="s">
        <v>45572</v>
      </c>
      <c r="W389" t="s">
        <v>39370</v>
      </c>
      <c r="X389" t="s">
        <v>43171</v>
      </c>
    </row>
    <row r="390" spans="1:24">
      <c r="A390">
        <f>HYPERLINK("https://www.philgeps.gov.ph/GEPSNONPILOT/Tender/SplashBidNoticeAbstractUI.aspx?menuIndex=3&amp;refID=7085726&amp;Result=3","7085726")</f>
        <v>0</v>
      </c>
      <c r="B390" t="s">
        <v>231</v>
      </c>
      <c r="C390" t="s">
        <v>3819</v>
      </c>
      <c r="D390" t="s">
        <v>17419</v>
      </c>
      <c r="E390" t="s">
        <v>17878</v>
      </c>
      <c r="F390" t="s">
        <v>30052</v>
      </c>
      <c r="G390" t="s">
        <v>30061</v>
      </c>
      <c r="H390" t="s">
        <v>15498</v>
      </c>
      <c r="I390" t="s">
        <v>4119</v>
      </c>
      <c r="J390" t="s">
        <v>30515</v>
      </c>
      <c r="K390" t="s">
        <v>39018</v>
      </c>
      <c r="M390" t="s">
        <v>39521</v>
      </c>
      <c r="N390" t="s">
        <v>43166</v>
      </c>
      <c r="O390" t="s">
        <v>43167</v>
      </c>
      <c r="P390">
        <v>0</v>
      </c>
      <c r="Q390">
        <v>1</v>
      </c>
      <c r="R390" t="s">
        <v>43168</v>
      </c>
      <c r="S390" t="s">
        <v>43286</v>
      </c>
      <c r="T390" t="s">
        <v>44766</v>
      </c>
      <c r="U390" t="s">
        <v>45573</v>
      </c>
      <c r="W390" t="s">
        <v>39521</v>
      </c>
      <c r="X390" t="s">
        <v>43171</v>
      </c>
    </row>
    <row r="391" spans="1:24">
      <c r="A391">
        <f>HYPERLINK("https://www.philgeps.gov.ph/GEPSNONPILOT/Tender/SplashBidNoticeAbstractUI.aspx?menuIndex=3&amp;refID=7085720&amp;Result=3","7085720")</f>
        <v>0</v>
      </c>
      <c r="B391" t="s">
        <v>157</v>
      </c>
      <c r="C391" t="s">
        <v>3820</v>
      </c>
      <c r="D391" t="s">
        <v>17456</v>
      </c>
      <c r="E391" t="s">
        <v>17879</v>
      </c>
      <c r="F391" t="s">
        <v>30052</v>
      </c>
      <c r="G391" t="s">
        <v>30059</v>
      </c>
      <c r="H391" t="s">
        <v>15498</v>
      </c>
      <c r="I391" t="s">
        <v>3852</v>
      </c>
      <c r="J391" t="s">
        <v>30516</v>
      </c>
      <c r="K391" t="s">
        <v>39017</v>
      </c>
      <c r="M391" t="s">
        <v>39446</v>
      </c>
      <c r="N391" t="s">
        <v>43166</v>
      </c>
      <c r="O391" t="s">
        <v>43167</v>
      </c>
      <c r="P391">
        <v>0</v>
      </c>
      <c r="Q391">
        <v>0</v>
      </c>
      <c r="R391" t="s">
        <v>43168</v>
      </c>
      <c r="S391" t="s">
        <v>43286</v>
      </c>
      <c r="T391" t="s">
        <v>44737</v>
      </c>
      <c r="U391" t="s">
        <v>45431</v>
      </c>
      <c r="V391" t="s">
        <v>56852</v>
      </c>
      <c r="W391" t="s">
        <v>39446</v>
      </c>
      <c r="X391" t="s">
        <v>43171</v>
      </c>
    </row>
    <row r="392" spans="1:24">
      <c r="A392">
        <f>HYPERLINK("https://www.philgeps.gov.ph/GEPSNONPILOT/Tender/SplashBidNoticeAbstractUI.aspx?menuIndex=3&amp;refID=7085715&amp;Result=3","7085715")</f>
        <v>0</v>
      </c>
      <c r="B392" t="s">
        <v>220</v>
      </c>
      <c r="C392" t="s">
        <v>3821</v>
      </c>
      <c r="D392" t="s">
        <v>17434</v>
      </c>
      <c r="E392" t="s">
        <v>17880</v>
      </c>
      <c r="F392" t="s">
        <v>30052</v>
      </c>
      <c r="G392" t="s">
        <v>30059</v>
      </c>
      <c r="H392" t="s">
        <v>15498</v>
      </c>
      <c r="I392" t="s">
        <v>30118</v>
      </c>
      <c r="J392" t="s">
        <v>30517</v>
      </c>
      <c r="K392" t="s">
        <v>39029</v>
      </c>
      <c r="M392" t="s">
        <v>39510</v>
      </c>
      <c r="N392" t="s">
        <v>43166</v>
      </c>
      <c r="O392" t="s">
        <v>43167</v>
      </c>
      <c r="P392">
        <v>0</v>
      </c>
      <c r="Q392">
        <v>4</v>
      </c>
      <c r="R392" t="s">
        <v>43168</v>
      </c>
      <c r="S392" t="s">
        <v>43286</v>
      </c>
      <c r="T392" t="s">
        <v>44708</v>
      </c>
      <c r="U392" t="s">
        <v>45574</v>
      </c>
      <c r="W392" t="s">
        <v>39510</v>
      </c>
      <c r="X392" t="s">
        <v>43171</v>
      </c>
    </row>
    <row r="393" spans="1:24">
      <c r="A393">
        <f>HYPERLINK("https://www.philgeps.gov.ph/GEPSNONPILOT/Tender/SplashBidNoticeAbstractUI.aspx?menuIndex=3&amp;refID=7085633&amp;Result=3","7085633")</f>
        <v>0</v>
      </c>
      <c r="B393" t="s">
        <v>198</v>
      </c>
      <c r="C393" t="s">
        <v>3770</v>
      </c>
      <c r="D393" t="s">
        <v>17415</v>
      </c>
      <c r="E393" t="s">
        <v>17881</v>
      </c>
      <c r="F393" t="s">
        <v>30052</v>
      </c>
      <c r="G393" t="s">
        <v>30061</v>
      </c>
      <c r="H393" t="s">
        <v>15498</v>
      </c>
      <c r="I393" t="s">
        <v>30119</v>
      </c>
      <c r="J393" t="s">
        <v>30518</v>
      </c>
      <c r="K393" t="s">
        <v>39017</v>
      </c>
      <c r="M393" t="s">
        <v>39488</v>
      </c>
      <c r="N393" t="s">
        <v>43166</v>
      </c>
      <c r="O393" t="s">
        <v>43167</v>
      </c>
      <c r="P393">
        <v>0</v>
      </c>
      <c r="Q393">
        <v>0</v>
      </c>
      <c r="R393" t="s">
        <v>43168</v>
      </c>
      <c r="S393" t="s">
        <v>43286</v>
      </c>
      <c r="T393" t="s">
        <v>44691</v>
      </c>
      <c r="U393" t="s">
        <v>45575</v>
      </c>
      <c r="W393" t="s">
        <v>39488</v>
      </c>
      <c r="X393" t="s">
        <v>43171</v>
      </c>
    </row>
    <row r="394" spans="1:24">
      <c r="A394">
        <f>HYPERLINK("https://www.philgeps.gov.ph/GEPSNONPILOT/Tender/SplashBidNoticeAbstractUI.aspx?menuIndex=3&amp;refID=7085632&amp;Result=3","7085632")</f>
        <v>0</v>
      </c>
      <c r="B394" t="s">
        <v>206</v>
      </c>
      <c r="C394" t="s">
        <v>3822</v>
      </c>
      <c r="D394" t="s">
        <v>17480</v>
      </c>
      <c r="E394" t="s">
        <v>17882</v>
      </c>
      <c r="F394" t="s">
        <v>30052</v>
      </c>
      <c r="G394" t="s">
        <v>30058</v>
      </c>
      <c r="H394" t="s">
        <v>15498</v>
      </c>
      <c r="I394" t="s">
        <v>7228</v>
      </c>
      <c r="J394" t="s">
        <v>30230</v>
      </c>
      <c r="K394" t="s">
        <v>39017</v>
      </c>
      <c r="M394" t="s">
        <v>39496</v>
      </c>
      <c r="N394" t="s">
        <v>43166</v>
      </c>
      <c r="O394" t="s">
        <v>43167</v>
      </c>
      <c r="P394">
        <v>0</v>
      </c>
      <c r="Q394">
        <v>0</v>
      </c>
      <c r="R394" t="s">
        <v>43168</v>
      </c>
      <c r="S394" t="s">
        <v>43286</v>
      </c>
      <c r="T394" t="s">
        <v>44763</v>
      </c>
      <c r="U394" t="s">
        <v>45576</v>
      </c>
      <c r="W394" t="s">
        <v>39496</v>
      </c>
      <c r="X394" t="s">
        <v>43171</v>
      </c>
    </row>
    <row r="395" spans="1:24">
      <c r="A395">
        <f>HYPERLINK("https://www.philgeps.gov.ph/GEPSNONPILOT/Tender/SplashBidNoticeAbstractUI.aspx?menuIndex=3&amp;refID=7085620&amp;Result=3","7085620")</f>
        <v>0</v>
      </c>
      <c r="B395" t="s">
        <v>206</v>
      </c>
      <c r="C395" t="s">
        <v>3823</v>
      </c>
      <c r="D395" t="s">
        <v>17480</v>
      </c>
      <c r="E395" t="s">
        <v>17883</v>
      </c>
      <c r="F395" t="s">
        <v>30052</v>
      </c>
      <c r="G395" t="s">
        <v>30058</v>
      </c>
      <c r="H395" t="s">
        <v>15498</v>
      </c>
      <c r="I395" t="s">
        <v>30114</v>
      </c>
      <c r="J395" t="s">
        <v>30397</v>
      </c>
      <c r="K395" t="s">
        <v>39017</v>
      </c>
      <c r="M395" t="s">
        <v>39496</v>
      </c>
      <c r="N395" t="s">
        <v>43166</v>
      </c>
      <c r="O395" t="s">
        <v>43167</v>
      </c>
      <c r="P395">
        <v>0</v>
      </c>
      <c r="Q395">
        <v>4</v>
      </c>
      <c r="R395" t="s">
        <v>43168</v>
      </c>
      <c r="S395" t="s">
        <v>43286</v>
      </c>
      <c r="T395" t="s">
        <v>44763</v>
      </c>
      <c r="U395" t="s">
        <v>45577</v>
      </c>
      <c r="W395" t="s">
        <v>39496</v>
      </c>
      <c r="X395" t="s">
        <v>43171</v>
      </c>
    </row>
    <row r="396" spans="1:24">
      <c r="A396">
        <f>HYPERLINK("https://www.philgeps.gov.ph/GEPSNONPILOT/Tender/SplashBidNoticeAbstractUI.aspx?menuIndex=3&amp;refID=7085792&amp;Result=3","7085792")</f>
        <v>0</v>
      </c>
      <c r="B396" t="s">
        <v>219</v>
      </c>
      <c r="C396" t="s">
        <v>3824</v>
      </c>
      <c r="D396" t="s">
        <v>17482</v>
      </c>
      <c r="E396" t="s">
        <v>17884</v>
      </c>
      <c r="F396" t="s">
        <v>30052</v>
      </c>
      <c r="G396" t="s">
        <v>30058</v>
      </c>
      <c r="H396" t="s">
        <v>15498</v>
      </c>
      <c r="I396" t="s">
        <v>3736</v>
      </c>
      <c r="J396" t="s">
        <v>30519</v>
      </c>
      <c r="K396" t="s">
        <v>39017</v>
      </c>
      <c r="M396" t="s">
        <v>39509</v>
      </c>
      <c r="N396" t="s">
        <v>43166</v>
      </c>
      <c r="O396" t="s">
        <v>43167</v>
      </c>
      <c r="P396">
        <v>0</v>
      </c>
      <c r="Q396">
        <v>0</v>
      </c>
      <c r="R396" t="s">
        <v>43168</v>
      </c>
      <c r="S396" t="s">
        <v>43286</v>
      </c>
      <c r="T396" t="s">
        <v>44679</v>
      </c>
      <c r="U396" t="s">
        <v>45578</v>
      </c>
      <c r="W396" t="s">
        <v>39509</v>
      </c>
      <c r="X396" t="s">
        <v>43171</v>
      </c>
    </row>
    <row r="397" spans="1:24">
      <c r="A397">
        <f>HYPERLINK("https://www.philgeps.gov.ph/GEPSNONPILOT/Tender/SplashBidNoticeAbstractUI.aspx?menuIndex=3&amp;refID=7085731&amp;Result=3","7085731")</f>
        <v>0</v>
      </c>
      <c r="B397" t="s">
        <v>99</v>
      </c>
      <c r="C397" t="s">
        <v>3825</v>
      </c>
      <c r="D397" t="s">
        <v>17447</v>
      </c>
      <c r="E397" t="s">
        <v>17885</v>
      </c>
      <c r="F397" t="s">
        <v>30052</v>
      </c>
      <c r="G397" t="s">
        <v>30058</v>
      </c>
      <c r="H397" t="s">
        <v>30067</v>
      </c>
      <c r="I397" t="s">
        <v>3693</v>
      </c>
      <c r="J397" t="s">
        <v>30397</v>
      </c>
      <c r="K397" t="s">
        <v>39026</v>
      </c>
      <c r="M397" t="s">
        <v>39388</v>
      </c>
      <c r="N397" t="s">
        <v>43166</v>
      </c>
      <c r="O397" t="s">
        <v>43167</v>
      </c>
      <c r="P397">
        <v>0</v>
      </c>
      <c r="Q397">
        <v>0</v>
      </c>
      <c r="R397" t="s">
        <v>43168</v>
      </c>
      <c r="S397" t="s">
        <v>43286</v>
      </c>
      <c r="T397" t="s">
        <v>44721</v>
      </c>
      <c r="U397" t="s">
        <v>45340</v>
      </c>
      <c r="V397" t="s">
        <v>56876</v>
      </c>
      <c r="W397" t="s">
        <v>58590</v>
      </c>
      <c r="X397" t="s">
        <v>43171</v>
      </c>
    </row>
    <row r="398" spans="1:24">
      <c r="A398">
        <f>HYPERLINK("https://www.philgeps.gov.ph/GEPSNONPILOT/Tender/SplashBidNoticeAbstractUI.aspx?menuIndex=3&amp;refID=7085842&amp;Result=3","7085842")</f>
        <v>0</v>
      </c>
      <c r="B398" t="s">
        <v>218</v>
      </c>
      <c r="C398" t="s">
        <v>3826</v>
      </c>
      <c r="D398" t="s">
        <v>17471</v>
      </c>
      <c r="E398" t="s">
        <v>17886</v>
      </c>
      <c r="F398" t="s">
        <v>30052</v>
      </c>
      <c r="G398" t="s">
        <v>30061</v>
      </c>
      <c r="H398" t="s">
        <v>15498</v>
      </c>
      <c r="I398" t="s">
        <v>30103</v>
      </c>
      <c r="J398" t="s">
        <v>30520</v>
      </c>
      <c r="K398" t="s">
        <v>39019</v>
      </c>
      <c r="M398" t="s">
        <v>39508</v>
      </c>
      <c r="N398" t="s">
        <v>43166</v>
      </c>
      <c r="O398" t="s">
        <v>43167</v>
      </c>
      <c r="P398">
        <v>0</v>
      </c>
      <c r="Q398">
        <v>1</v>
      </c>
      <c r="R398" t="s">
        <v>43168</v>
      </c>
      <c r="S398" t="s">
        <v>43286</v>
      </c>
      <c r="T398" t="s">
        <v>44720</v>
      </c>
      <c r="U398" t="s">
        <v>45579</v>
      </c>
      <c r="W398" t="s">
        <v>39508</v>
      </c>
      <c r="X398" t="s">
        <v>43171</v>
      </c>
    </row>
    <row r="399" spans="1:24">
      <c r="A399">
        <f>HYPERLINK("https://www.philgeps.gov.ph/GEPSNONPILOT/Tender/SplashBidNoticeAbstractUI.aspx?menuIndex=3&amp;refID=7085721&amp;Result=3","7085721")</f>
        <v>0</v>
      </c>
      <c r="B399" t="s">
        <v>232</v>
      </c>
      <c r="C399" t="s">
        <v>3827</v>
      </c>
      <c r="D399" t="s">
        <v>17453</v>
      </c>
      <c r="E399" t="s">
        <v>17887</v>
      </c>
      <c r="F399" t="s">
        <v>30052</v>
      </c>
      <c r="G399" t="s">
        <v>30059</v>
      </c>
      <c r="H399" t="s">
        <v>15498</v>
      </c>
      <c r="I399" t="s">
        <v>30084</v>
      </c>
      <c r="J399" t="s">
        <v>30292</v>
      </c>
      <c r="K399" t="s">
        <v>39029</v>
      </c>
      <c r="M399" t="s">
        <v>39522</v>
      </c>
      <c r="N399" t="s">
        <v>43166</v>
      </c>
      <c r="O399" t="s">
        <v>43167</v>
      </c>
      <c r="P399">
        <v>0</v>
      </c>
      <c r="Q399">
        <v>2</v>
      </c>
      <c r="R399" t="s">
        <v>43168</v>
      </c>
      <c r="S399" t="s">
        <v>43286</v>
      </c>
      <c r="T399" t="s">
        <v>44679</v>
      </c>
      <c r="U399" t="s">
        <v>45580</v>
      </c>
      <c r="W399" t="s">
        <v>39522</v>
      </c>
      <c r="X399" t="s">
        <v>43171</v>
      </c>
    </row>
    <row r="400" spans="1:24">
      <c r="A400">
        <f>HYPERLINK("https://www.philgeps.gov.ph/GEPSNONPILOT/Tender/SplashBidNoticeAbstractUI.aspx?menuIndex=3&amp;refID=7085840&amp;Result=3","7085840")</f>
        <v>0</v>
      </c>
      <c r="B400" t="s">
        <v>225</v>
      </c>
      <c r="C400" t="s">
        <v>3828</v>
      </c>
      <c r="D400" t="s">
        <v>17472</v>
      </c>
      <c r="E400" t="s">
        <v>17888</v>
      </c>
      <c r="F400" t="s">
        <v>30052</v>
      </c>
      <c r="G400" t="s">
        <v>30059</v>
      </c>
      <c r="H400" t="s">
        <v>15498</v>
      </c>
      <c r="I400" t="s">
        <v>30097</v>
      </c>
      <c r="J400" t="s">
        <v>30521</v>
      </c>
      <c r="K400" t="s">
        <v>39029</v>
      </c>
      <c r="M400" t="s">
        <v>39515</v>
      </c>
      <c r="N400" t="s">
        <v>43166</v>
      </c>
      <c r="O400" t="s">
        <v>43167</v>
      </c>
      <c r="P400">
        <v>0</v>
      </c>
      <c r="Q400">
        <v>0</v>
      </c>
      <c r="R400" t="s">
        <v>43168</v>
      </c>
      <c r="S400" t="s">
        <v>43286</v>
      </c>
      <c r="T400" t="s">
        <v>44700</v>
      </c>
      <c r="U400" t="s">
        <v>45581</v>
      </c>
      <c r="W400" t="s">
        <v>58593</v>
      </c>
      <c r="X400" t="s">
        <v>43171</v>
      </c>
    </row>
    <row r="401" spans="1:24">
      <c r="A401">
        <f>HYPERLINK("https://www.philgeps.gov.ph/GEPSNONPILOT/Tender/SplashBidNoticeAbstractUI.aspx?menuIndex=3&amp;refID=7085611&amp;Result=3","7085611")</f>
        <v>0</v>
      </c>
      <c r="B401" t="s">
        <v>157</v>
      </c>
      <c r="C401" t="s">
        <v>3829</v>
      </c>
      <c r="D401" t="s">
        <v>17456</v>
      </c>
      <c r="E401" t="s">
        <v>17889</v>
      </c>
      <c r="F401" t="s">
        <v>30052</v>
      </c>
      <c r="G401" t="s">
        <v>30059</v>
      </c>
      <c r="H401" t="s">
        <v>15498</v>
      </c>
      <c r="I401" t="s">
        <v>30076</v>
      </c>
      <c r="J401" t="s">
        <v>30522</v>
      </c>
      <c r="K401" t="s">
        <v>39017</v>
      </c>
      <c r="M401" t="s">
        <v>39446</v>
      </c>
      <c r="N401" t="s">
        <v>43166</v>
      </c>
      <c r="O401" t="s">
        <v>43167</v>
      </c>
      <c r="P401">
        <v>0</v>
      </c>
      <c r="Q401">
        <v>2</v>
      </c>
      <c r="R401" t="s">
        <v>43168</v>
      </c>
      <c r="S401" t="s">
        <v>43286</v>
      </c>
      <c r="T401" t="s">
        <v>44737</v>
      </c>
      <c r="U401" t="s">
        <v>45431</v>
      </c>
      <c r="V401" t="s">
        <v>56852</v>
      </c>
      <c r="W401" t="s">
        <v>39446</v>
      </c>
      <c r="X401" t="s">
        <v>43171</v>
      </c>
    </row>
    <row r="402" spans="1:24">
      <c r="A402">
        <f>HYPERLINK("https://www.philgeps.gov.ph/GEPSNONPILOT/Tender/SplashBidNoticeAbstractUI.aspx?menuIndex=3&amp;refID=7085666&amp;Result=3","7085666")</f>
        <v>0</v>
      </c>
      <c r="B402" t="s">
        <v>206</v>
      </c>
      <c r="C402" t="s">
        <v>3830</v>
      </c>
      <c r="D402" t="s">
        <v>17480</v>
      </c>
      <c r="E402" t="s">
        <v>17890</v>
      </c>
      <c r="F402" t="s">
        <v>30052</v>
      </c>
      <c r="G402" t="s">
        <v>30058</v>
      </c>
      <c r="H402" t="s">
        <v>15498</v>
      </c>
      <c r="I402" t="s">
        <v>30102</v>
      </c>
      <c r="J402" t="s">
        <v>30218</v>
      </c>
      <c r="K402" t="s">
        <v>39017</v>
      </c>
      <c r="M402" t="s">
        <v>39496</v>
      </c>
      <c r="N402" t="s">
        <v>43166</v>
      </c>
      <c r="O402" t="s">
        <v>43167</v>
      </c>
      <c r="P402">
        <v>0</v>
      </c>
      <c r="Q402">
        <v>3</v>
      </c>
      <c r="R402" t="s">
        <v>43168</v>
      </c>
      <c r="S402" t="s">
        <v>43286</v>
      </c>
      <c r="T402" t="s">
        <v>44763</v>
      </c>
      <c r="U402" t="s">
        <v>45582</v>
      </c>
      <c r="W402" t="s">
        <v>39496</v>
      </c>
      <c r="X402" t="s">
        <v>43171</v>
      </c>
    </row>
    <row r="403" spans="1:24">
      <c r="A403">
        <f>HYPERLINK("https://www.philgeps.gov.ph/GEPSNONPILOT/Tender/SplashBidNoticeAbstractUI.aspx?menuIndex=3&amp;refID=7085794&amp;Result=3","7085794")</f>
        <v>0</v>
      </c>
      <c r="B403" t="s">
        <v>221</v>
      </c>
      <c r="C403" t="s">
        <v>3831</v>
      </c>
      <c r="E403" t="s">
        <v>17891</v>
      </c>
      <c r="F403" t="s">
        <v>30052</v>
      </c>
      <c r="G403" t="s">
        <v>30058</v>
      </c>
      <c r="H403" t="s">
        <v>15498</v>
      </c>
      <c r="I403" t="s">
        <v>3852</v>
      </c>
      <c r="J403" t="s">
        <v>30447</v>
      </c>
      <c r="K403" t="s">
        <v>39025</v>
      </c>
      <c r="M403" t="s">
        <v>39511</v>
      </c>
      <c r="N403" t="s">
        <v>43166</v>
      </c>
      <c r="O403" t="s">
        <v>43167</v>
      </c>
      <c r="P403">
        <v>0</v>
      </c>
      <c r="Q403">
        <v>0</v>
      </c>
      <c r="R403" t="s">
        <v>43168</v>
      </c>
      <c r="S403" t="s">
        <v>43286</v>
      </c>
      <c r="T403" t="s">
        <v>44722</v>
      </c>
      <c r="U403" t="s">
        <v>45583</v>
      </c>
      <c r="V403" t="s">
        <v>56879</v>
      </c>
      <c r="W403" t="s">
        <v>39511</v>
      </c>
      <c r="X403" t="s">
        <v>43171</v>
      </c>
    </row>
    <row r="404" spans="1:24">
      <c r="A404">
        <f>HYPERLINK("https://www.philgeps.gov.ph/GEPSNONPILOT/Tender/SplashBidNoticeAbstractUI.aspx?menuIndex=3&amp;refID=7085787&amp;Result=3","7085787")</f>
        <v>0</v>
      </c>
      <c r="B404" t="s">
        <v>233</v>
      </c>
      <c r="C404" t="s">
        <v>3832</v>
      </c>
      <c r="D404" t="s">
        <v>17482</v>
      </c>
      <c r="E404" t="s">
        <v>17892</v>
      </c>
      <c r="F404" t="s">
        <v>30052</v>
      </c>
      <c r="G404" t="s">
        <v>30058</v>
      </c>
      <c r="H404" t="s">
        <v>30067</v>
      </c>
      <c r="I404" t="s">
        <v>3736</v>
      </c>
      <c r="J404" t="s">
        <v>30523</v>
      </c>
      <c r="K404" t="s">
        <v>39029</v>
      </c>
      <c r="M404" t="s">
        <v>39523</v>
      </c>
      <c r="N404" t="s">
        <v>43166</v>
      </c>
      <c r="O404" t="s">
        <v>43167</v>
      </c>
      <c r="P404">
        <v>0</v>
      </c>
      <c r="Q404">
        <v>0</v>
      </c>
      <c r="R404" t="s">
        <v>43168</v>
      </c>
      <c r="S404" t="s">
        <v>43286</v>
      </c>
      <c r="T404" t="s">
        <v>44733</v>
      </c>
      <c r="U404" t="s">
        <v>45584</v>
      </c>
      <c r="W404" t="s">
        <v>39523</v>
      </c>
      <c r="X404" t="s">
        <v>43171</v>
      </c>
    </row>
    <row r="405" spans="1:24">
      <c r="A405">
        <f>HYPERLINK("https://www.philgeps.gov.ph/GEPSNONPILOT/Tender/SplashBidNoticeAbstractUI.aspx?menuIndex=3&amp;refID=7085636&amp;Result=3","7085636")</f>
        <v>0</v>
      </c>
      <c r="B405" t="s">
        <v>234</v>
      </c>
      <c r="C405" t="s">
        <v>3833</v>
      </c>
      <c r="D405" t="s">
        <v>17475</v>
      </c>
      <c r="E405" t="s">
        <v>17893</v>
      </c>
      <c r="F405" t="s">
        <v>30052</v>
      </c>
      <c r="G405" t="s">
        <v>30058</v>
      </c>
      <c r="H405" t="s">
        <v>30067</v>
      </c>
      <c r="I405" t="s">
        <v>3693</v>
      </c>
      <c r="J405" t="s">
        <v>30377</v>
      </c>
      <c r="K405" t="s">
        <v>39019</v>
      </c>
      <c r="M405" t="s">
        <v>39524</v>
      </c>
      <c r="N405" t="s">
        <v>43166</v>
      </c>
      <c r="O405" t="s">
        <v>43167</v>
      </c>
      <c r="P405">
        <v>0</v>
      </c>
      <c r="Q405">
        <v>0</v>
      </c>
      <c r="R405" t="s">
        <v>43168</v>
      </c>
      <c r="S405" t="s">
        <v>43286</v>
      </c>
      <c r="T405" t="s">
        <v>44750</v>
      </c>
      <c r="U405" t="s">
        <v>45585</v>
      </c>
      <c r="W405" t="s">
        <v>39524</v>
      </c>
      <c r="X405" t="s">
        <v>43171</v>
      </c>
    </row>
    <row r="406" spans="1:24">
      <c r="A406">
        <f>HYPERLINK("https://www.philgeps.gov.ph/GEPSNONPILOT/Tender/SplashBidNoticeAbstractUI.aspx?menuIndex=3&amp;refID=7085837&amp;Result=3","7085837")</f>
        <v>0</v>
      </c>
      <c r="B406" t="s">
        <v>112</v>
      </c>
      <c r="C406" t="s">
        <v>3834</v>
      </c>
      <c r="D406" t="s">
        <v>17435</v>
      </c>
      <c r="E406" t="s">
        <v>17894</v>
      </c>
      <c r="F406" t="s">
        <v>30052</v>
      </c>
      <c r="G406" t="s">
        <v>30059</v>
      </c>
      <c r="H406" t="s">
        <v>15498</v>
      </c>
      <c r="I406" t="s">
        <v>30076</v>
      </c>
      <c r="J406" t="s">
        <v>30402</v>
      </c>
      <c r="K406" t="s">
        <v>39025</v>
      </c>
      <c r="M406" t="s">
        <v>39401</v>
      </c>
      <c r="N406" t="s">
        <v>43166</v>
      </c>
      <c r="O406" t="s">
        <v>43167</v>
      </c>
      <c r="P406">
        <v>0</v>
      </c>
      <c r="Q406">
        <v>3</v>
      </c>
      <c r="R406" t="s">
        <v>43168</v>
      </c>
      <c r="S406" t="s">
        <v>43286</v>
      </c>
      <c r="T406" t="s">
        <v>44767</v>
      </c>
      <c r="U406" t="s">
        <v>45586</v>
      </c>
      <c r="W406" t="s">
        <v>39401</v>
      </c>
      <c r="X406" t="s">
        <v>43171</v>
      </c>
    </row>
    <row r="407" spans="1:24">
      <c r="A407">
        <f>HYPERLINK("https://www.philgeps.gov.ph/GEPSNONPILOT/Tender/SplashBidNoticeAbstractUI.aspx?menuIndex=3&amp;refID=7085839&amp;Result=3","7085839")</f>
        <v>0</v>
      </c>
      <c r="B407" t="s">
        <v>235</v>
      </c>
      <c r="C407" t="s">
        <v>3835</v>
      </c>
      <c r="D407" t="s">
        <v>17434</v>
      </c>
      <c r="E407" t="s">
        <v>17895</v>
      </c>
      <c r="F407" t="s">
        <v>30054</v>
      </c>
      <c r="G407" t="s">
        <v>30060</v>
      </c>
      <c r="H407" t="s">
        <v>15498</v>
      </c>
      <c r="I407" t="s">
        <v>7228</v>
      </c>
      <c r="J407" t="s">
        <v>30524</v>
      </c>
      <c r="K407" t="s">
        <v>39060</v>
      </c>
      <c r="M407" t="s">
        <v>39525</v>
      </c>
      <c r="N407" t="s">
        <v>43166</v>
      </c>
      <c r="O407" t="s">
        <v>43167</v>
      </c>
      <c r="P407">
        <v>0</v>
      </c>
      <c r="Q407">
        <v>0</v>
      </c>
      <c r="R407" t="s">
        <v>43168</v>
      </c>
      <c r="S407" t="s">
        <v>43286</v>
      </c>
      <c r="T407" t="s">
        <v>44768</v>
      </c>
      <c r="U407" t="s">
        <v>45587</v>
      </c>
      <c r="W407" t="s">
        <v>39525</v>
      </c>
      <c r="X407" t="s">
        <v>43171</v>
      </c>
    </row>
    <row r="408" spans="1:24">
      <c r="A408">
        <f>HYPERLINK("https://www.philgeps.gov.ph/GEPSNONPILOT/Tender/SplashBidNoticeAbstractUI.aspx?menuIndex=3&amp;refID=7085833&amp;Result=3","7085833")</f>
        <v>0</v>
      </c>
      <c r="B408" t="s">
        <v>236</v>
      </c>
      <c r="C408" t="s">
        <v>3836</v>
      </c>
      <c r="D408" t="s">
        <v>17483</v>
      </c>
      <c r="E408" t="s">
        <v>17896</v>
      </c>
      <c r="F408" t="s">
        <v>30052</v>
      </c>
      <c r="G408" t="s">
        <v>30059</v>
      </c>
      <c r="H408" t="s">
        <v>15498</v>
      </c>
      <c r="I408" t="s">
        <v>30073</v>
      </c>
      <c r="J408" t="s">
        <v>30525</v>
      </c>
      <c r="K408" t="s">
        <v>39017</v>
      </c>
      <c r="M408" t="s">
        <v>39526</v>
      </c>
      <c r="N408" t="s">
        <v>43166</v>
      </c>
      <c r="O408" t="s">
        <v>43167</v>
      </c>
      <c r="P408">
        <v>0</v>
      </c>
      <c r="Q408">
        <v>0</v>
      </c>
      <c r="R408" t="s">
        <v>43168</v>
      </c>
      <c r="S408" t="s">
        <v>43286</v>
      </c>
      <c r="T408" t="s">
        <v>44679</v>
      </c>
      <c r="U408" t="s">
        <v>45588</v>
      </c>
      <c r="W408" t="s">
        <v>39526</v>
      </c>
      <c r="X408" t="s">
        <v>43171</v>
      </c>
    </row>
    <row r="409" spans="1:24">
      <c r="A409">
        <f>HYPERLINK("https://www.philgeps.gov.ph/GEPSNONPILOT/Tender/SplashBidNoticeAbstractUI.aspx?menuIndex=3&amp;refID=7085825&amp;Result=3","7085825")</f>
        <v>0</v>
      </c>
      <c r="B409" t="s">
        <v>170</v>
      </c>
      <c r="C409" t="s">
        <v>3837</v>
      </c>
      <c r="D409" t="s">
        <v>17475</v>
      </c>
      <c r="E409" t="s">
        <v>17897</v>
      </c>
      <c r="F409" t="s">
        <v>30052</v>
      </c>
      <c r="G409" t="s">
        <v>30059</v>
      </c>
      <c r="H409" t="s">
        <v>15498</v>
      </c>
      <c r="I409" t="s">
        <v>30091</v>
      </c>
      <c r="J409" t="s">
        <v>30377</v>
      </c>
      <c r="K409" t="s">
        <v>39018</v>
      </c>
      <c r="M409" t="s">
        <v>39459</v>
      </c>
      <c r="N409" t="s">
        <v>43166</v>
      </c>
      <c r="O409" t="s">
        <v>43167</v>
      </c>
      <c r="P409">
        <v>0</v>
      </c>
      <c r="Q409">
        <v>1</v>
      </c>
      <c r="R409" t="s">
        <v>43168</v>
      </c>
      <c r="S409" t="s">
        <v>43286</v>
      </c>
      <c r="T409" t="s">
        <v>44750</v>
      </c>
      <c r="U409" t="s">
        <v>45589</v>
      </c>
      <c r="W409" t="s">
        <v>39459</v>
      </c>
      <c r="X409" t="s">
        <v>43171</v>
      </c>
    </row>
    <row r="410" spans="1:24">
      <c r="A410">
        <f>HYPERLINK("https://www.philgeps.gov.ph/GEPSNONPILOT/Tender/SplashBidNoticeAbstractUI.aspx?menuIndex=3&amp;refID=7085862&amp;Result=3","7085862")</f>
        <v>0</v>
      </c>
      <c r="B410" t="s">
        <v>237</v>
      </c>
      <c r="C410" t="s">
        <v>3838</v>
      </c>
      <c r="D410" t="s">
        <v>17449</v>
      </c>
      <c r="E410" t="s">
        <v>17898</v>
      </c>
      <c r="F410" t="s">
        <v>30052</v>
      </c>
      <c r="G410" t="s">
        <v>30059</v>
      </c>
      <c r="H410" t="s">
        <v>15498</v>
      </c>
      <c r="I410" t="s">
        <v>9238</v>
      </c>
      <c r="J410" t="s">
        <v>30526</v>
      </c>
      <c r="K410" t="s">
        <v>39029</v>
      </c>
      <c r="M410" t="s">
        <v>39527</v>
      </c>
      <c r="N410" t="s">
        <v>43166</v>
      </c>
      <c r="O410" t="s">
        <v>43167</v>
      </c>
      <c r="P410">
        <v>0</v>
      </c>
      <c r="Q410">
        <v>3</v>
      </c>
      <c r="R410" t="s">
        <v>43168</v>
      </c>
      <c r="S410" t="s">
        <v>43286</v>
      </c>
      <c r="T410" t="s">
        <v>44685</v>
      </c>
      <c r="U410" t="s">
        <v>45590</v>
      </c>
      <c r="W410" t="s">
        <v>39527</v>
      </c>
      <c r="X410" t="s">
        <v>43171</v>
      </c>
    </row>
    <row r="411" spans="1:24">
      <c r="A411">
        <f>HYPERLINK("https://www.philgeps.gov.ph/GEPSNONPILOT/Tender/SplashBidNoticeAbstractUI.aspx?menuIndex=3&amp;refID=7085859&amp;Result=3","7085859")</f>
        <v>0</v>
      </c>
      <c r="B411" t="s">
        <v>98</v>
      </c>
      <c r="C411" t="s">
        <v>3839</v>
      </c>
      <c r="D411" t="s">
        <v>17456</v>
      </c>
      <c r="E411" t="s">
        <v>17899</v>
      </c>
      <c r="F411" t="s">
        <v>30052</v>
      </c>
      <c r="G411" t="s">
        <v>30059</v>
      </c>
      <c r="H411" t="s">
        <v>15498</v>
      </c>
      <c r="I411" t="s">
        <v>6691</v>
      </c>
      <c r="J411" t="s">
        <v>30527</v>
      </c>
      <c r="K411" t="s">
        <v>39025</v>
      </c>
      <c r="L411" t="s">
        <v>98</v>
      </c>
      <c r="M411" t="s">
        <v>39387</v>
      </c>
      <c r="N411" t="s">
        <v>43166</v>
      </c>
      <c r="O411" t="s">
        <v>43167</v>
      </c>
      <c r="P411">
        <v>0</v>
      </c>
      <c r="Q411">
        <v>0</v>
      </c>
      <c r="R411" t="s">
        <v>43168</v>
      </c>
      <c r="S411" t="s">
        <v>43286</v>
      </c>
      <c r="T411" t="s">
        <v>44698</v>
      </c>
      <c r="U411" t="s">
        <v>45591</v>
      </c>
      <c r="W411" t="s">
        <v>39387</v>
      </c>
      <c r="X411" t="s">
        <v>43171</v>
      </c>
    </row>
    <row r="412" spans="1:24">
      <c r="A412">
        <f>HYPERLINK("https://www.philgeps.gov.ph/GEPSNONPILOT/Tender/SplashBidNoticeAbstractUI.aspx?menuIndex=3&amp;refID=7085852&amp;Result=3","7085852")</f>
        <v>0</v>
      </c>
      <c r="B412" t="s">
        <v>211</v>
      </c>
      <c r="C412" t="s">
        <v>3840</v>
      </c>
      <c r="D412" t="s">
        <v>17481</v>
      </c>
      <c r="E412" t="s">
        <v>17900</v>
      </c>
      <c r="F412" t="s">
        <v>30052</v>
      </c>
      <c r="G412" t="s">
        <v>30059</v>
      </c>
      <c r="H412" t="s">
        <v>15498</v>
      </c>
      <c r="I412" t="s">
        <v>4650</v>
      </c>
      <c r="J412" t="s">
        <v>30528</v>
      </c>
      <c r="K412" t="s">
        <v>39019</v>
      </c>
      <c r="M412" t="s">
        <v>39501</v>
      </c>
      <c r="N412" t="s">
        <v>43166</v>
      </c>
      <c r="O412" t="s">
        <v>43167</v>
      </c>
      <c r="P412">
        <v>0</v>
      </c>
      <c r="Q412">
        <v>0</v>
      </c>
      <c r="R412" t="s">
        <v>43168</v>
      </c>
      <c r="S412" t="s">
        <v>43286</v>
      </c>
      <c r="T412" t="s">
        <v>44725</v>
      </c>
      <c r="U412" t="s">
        <v>45592</v>
      </c>
      <c r="W412" t="s">
        <v>39501</v>
      </c>
      <c r="X412" t="s">
        <v>43171</v>
      </c>
    </row>
    <row r="413" spans="1:24">
      <c r="A413">
        <f>HYPERLINK("https://www.philgeps.gov.ph/GEPSNONPILOT/Tender/SplashBidNoticeAbstractUI.aspx?menuIndex=3&amp;refID=7085806&amp;Result=3","7085806")</f>
        <v>0</v>
      </c>
      <c r="B413" t="s">
        <v>112</v>
      </c>
      <c r="C413" t="s">
        <v>3841</v>
      </c>
      <c r="D413" t="s">
        <v>17435</v>
      </c>
      <c r="E413" t="s">
        <v>17901</v>
      </c>
      <c r="F413" t="s">
        <v>30052</v>
      </c>
      <c r="G413" t="s">
        <v>30061</v>
      </c>
      <c r="H413" t="s">
        <v>15498</v>
      </c>
      <c r="I413" t="s">
        <v>30094</v>
      </c>
      <c r="J413" t="s">
        <v>30529</v>
      </c>
      <c r="K413" t="s">
        <v>39025</v>
      </c>
      <c r="M413" t="s">
        <v>39401</v>
      </c>
      <c r="N413" t="s">
        <v>43166</v>
      </c>
      <c r="O413" t="s">
        <v>43167</v>
      </c>
      <c r="P413">
        <v>0</v>
      </c>
      <c r="Q413">
        <v>0</v>
      </c>
      <c r="R413" t="s">
        <v>43168</v>
      </c>
      <c r="S413" t="s">
        <v>43286</v>
      </c>
      <c r="T413" t="s">
        <v>44769</v>
      </c>
      <c r="U413" t="s">
        <v>45593</v>
      </c>
      <c r="W413" t="s">
        <v>39401</v>
      </c>
      <c r="X413" t="s">
        <v>43171</v>
      </c>
    </row>
    <row r="414" spans="1:24">
      <c r="A414">
        <f>HYPERLINK("https://www.philgeps.gov.ph/GEPSNONPILOT/Tender/SplashBidNoticeAbstractUI.aspx?menuIndex=3&amp;refID=7085802&amp;Result=3","7085802")</f>
        <v>0</v>
      </c>
      <c r="B414" t="s">
        <v>238</v>
      </c>
      <c r="C414" t="s">
        <v>3842</v>
      </c>
      <c r="D414" t="s">
        <v>17449</v>
      </c>
      <c r="E414" t="s">
        <v>17902</v>
      </c>
      <c r="F414" t="s">
        <v>30052</v>
      </c>
      <c r="G414" t="s">
        <v>30059</v>
      </c>
      <c r="H414" t="s">
        <v>15498</v>
      </c>
      <c r="I414" t="s">
        <v>30106</v>
      </c>
      <c r="J414" t="s">
        <v>30277</v>
      </c>
      <c r="K414" t="s">
        <v>39017</v>
      </c>
      <c r="M414" t="s">
        <v>39528</v>
      </c>
      <c r="N414" t="s">
        <v>43166</v>
      </c>
      <c r="O414" t="s">
        <v>43167</v>
      </c>
      <c r="P414">
        <v>0</v>
      </c>
      <c r="Q414">
        <v>1</v>
      </c>
      <c r="R414" t="s">
        <v>43168</v>
      </c>
      <c r="S414" t="s">
        <v>43286</v>
      </c>
      <c r="T414" t="s">
        <v>44732</v>
      </c>
      <c r="U414" t="s">
        <v>45594</v>
      </c>
      <c r="W414" t="s">
        <v>58594</v>
      </c>
      <c r="X414" t="s">
        <v>43171</v>
      </c>
    </row>
    <row r="415" spans="1:24">
      <c r="A415">
        <f>HYPERLINK("https://www.philgeps.gov.ph/GEPSNONPILOT/Tender/SplashBidNoticeAbstractUI.aspx?menuIndex=3&amp;refID=7085798&amp;Result=3","7085798")</f>
        <v>0</v>
      </c>
      <c r="B415" t="s">
        <v>239</v>
      </c>
      <c r="C415" t="s">
        <v>3843</v>
      </c>
      <c r="D415" t="s">
        <v>17441</v>
      </c>
      <c r="E415" t="s">
        <v>17903</v>
      </c>
      <c r="F415" t="s">
        <v>30052</v>
      </c>
      <c r="G415" t="s">
        <v>30058</v>
      </c>
      <c r="H415" t="s">
        <v>15498</v>
      </c>
      <c r="I415" t="s">
        <v>30122</v>
      </c>
      <c r="J415" t="s">
        <v>30222</v>
      </c>
      <c r="K415" t="s">
        <v>39022</v>
      </c>
      <c r="M415" t="s">
        <v>39529</v>
      </c>
      <c r="N415" t="s">
        <v>43166</v>
      </c>
      <c r="O415" t="s">
        <v>43167</v>
      </c>
      <c r="P415">
        <v>0</v>
      </c>
      <c r="Q415">
        <v>2</v>
      </c>
      <c r="R415" t="s">
        <v>43168</v>
      </c>
      <c r="S415" t="s">
        <v>43286</v>
      </c>
      <c r="T415" t="s">
        <v>44724</v>
      </c>
      <c r="U415" t="s">
        <v>45595</v>
      </c>
      <c r="W415" t="s">
        <v>39529</v>
      </c>
      <c r="X415" t="s">
        <v>43171</v>
      </c>
    </row>
    <row r="416" spans="1:24">
      <c r="A416">
        <f>HYPERLINK("https://www.philgeps.gov.ph/GEPSNONPILOT/Tender/SplashBidNoticeAbstractUI.aspx?menuIndex=3&amp;refID=7085831&amp;Result=3","7085831")</f>
        <v>0</v>
      </c>
      <c r="B416" t="s">
        <v>219</v>
      </c>
      <c r="C416" t="s">
        <v>3844</v>
      </c>
      <c r="D416" t="s">
        <v>17482</v>
      </c>
      <c r="E416" t="s">
        <v>17904</v>
      </c>
      <c r="F416" t="s">
        <v>30052</v>
      </c>
      <c r="G416" t="s">
        <v>30058</v>
      </c>
      <c r="H416" t="s">
        <v>15498</v>
      </c>
      <c r="I416" t="s">
        <v>30074</v>
      </c>
      <c r="J416" t="s">
        <v>30530</v>
      </c>
      <c r="K416" t="s">
        <v>39017</v>
      </c>
      <c r="M416" t="s">
        <v>39509</v>
      </c>
      <c r="N416" t="s">
        <v>43166</v>
      </c>
      <c r="O416" t="s">
        <v>43167</v>
      </c>
      <c r="P416">
        <v>0</v>
      </c>
      <c r="Q416">
        <v>0</v>
      </c>
      <c r="R416" t="s">
        <v>43168</v>
      </c>
      <c r="S416" t="s">
        <v>43286</v>
      </c>
      <c r="T416" t="s">
        <v>44679</v>
      </c>
      <c r="U416" t="s">
        <v>45596</v>
      </c>
      <c r="W416" t="s">
        <v>39509</v>
      </c>
      <c r="X416" t="s">
        <v>43171</v>
      </c>
    </row>
    <row r="417" spans="1:24">
      <c r="A417">
        <f>HYPERLINK("https://www.philgeps.gov.ph/GEPSNONPILOT/Tender/SplashBidNoticeAbstractUI.aspx?menuIndex=3&amp;refID=7086016&amp;Result=3","7086016")</f>
        <v>0</v>
      </c>
      <c r="B417" t="s">
        <v>240</v>
      </c>
      <c r="C417" t="s">
        <v>3627</v>
      </c>
      <c r="D417" t="s">
        <v>17465</v>
      </c>
      <c r="E417" t="s">
        <v>17905</v>
      </c>
      <c r="F417" t="s">
        <v>30052</v>
      </c>
      <c r="G417" t="s">
        <v>30061</v>
      </c>
      <c r="H417" t="s">
        <v>15498</v>
      </c>
      <c r="I417" t="s">
        <v>3736</v>
      </c>
      <c r="J417" t="s">
        <v>30531</v>
      </c>
      <c r="K417" t="s">
        <v>39036</v>
      </c>
      <c r="M417" t="s">
        <v>39530</v>
      </c>
      <c r="N417" t="s">
        <v>43166</v>
      </c>
      <c r="O417" t="s">
        <v>43167</v>
      </c>
      <c r="P417">
        <v>0</v>
      </c>
      <c r="Q417">
        <v>0</v>
      </c>
      <c r="R417" t="s">
        <v>43168</v>
      </c>
      <c r="S417" t="s">
        <v>43286</v>
      </c>
      <c r="T417" t="s">
        <v>44715</v>
      </c>
      <c r="U417" t="s">
        <v>45597</v>
      </c>
      <c r="W417" t="s">
        <v>39530</v>
      </c>
      <c r="X417" t="s">
        <v>43171</v>
      </c>
    </row>
    <row r="418" spans="1:24">
      <c r="A418">
        <f>HYPERLINK("https://www.philgeps.gov.ph/GEPSNONPILOT/Tender/SplashBidNoticeAbstractUI.aspx?menuIndex=3&amp;refID=7085820&amp;Result=3","7085820")</f>
        <v>0</v>
      </c>
      <c r="B418" t="s">
        <v>169</v>
      </c>
      <c r="C418" t="s">
        <v>3845</v>
      </c>
      <c r="D418" t="s">
        <v>17449</v>
      </c>
      <c r="E418" t="s">
        <v>17906</v>
      </c>
      <c r="F418" t="s">
        <v>30052</v>
      </c>
      <c r="G418" t="s">
        <v>30058</v>
      </c>
      <c r="H418" t="s">
        <v>15498</v>
      </c>
      <c r="I418" t="s">
        <v>30074</v>
      </c>
      <c r="J418" t="s">
        <v>30532</v>
      </c>
      <c r="K418" t="s">
        <v>39029</v>
      </c>
      <c r="M418" t="s">
        <v>39458</v>
      </c>
      <c r="N418" t="s">
        <v>43166</v>
      </c>
      <c r="O418" t="s">
        <v>43167</v>
      </c>
      <c r="P418">
        <v>0</v>
      </c>
      <c r="Q418">
        <v>0</v>
      </c>
      <c r="R418" t="s">
        <v>43168</v>
      </c>
      <c r="S418" t="s">
        <v>43286</v>
      </c>
      <c r="T418" t="s">
        <v>44684</v>
      </c>
      <c r="U418" t="s">
        <v>45598</v>
      </c>
      <c r="V418" t="s">
        <v>56880</v>
      </c>
      <c r="W418" t="s">
        <v>39458</v>
      </c>
      <c r="X418" t="s">
        <v>43171</v>
      </c>
    </row>
    <row r="419" spans="1:24">
      <c r="A419">
        <f>HYPERLINK("https://www.philgeps.gov.ph/GEPSNONPILOT/Tender/SplashBidNoticeAbstractUI.aspx?menuIndex=3&amp;refID=7085997&amp;Result=3","7085997")</f>
        <v>0</v>
      </c>
      <c r="B419" t="s">
        <v>241</v>
      </c>
      <c r="C419" t="s">
        <v>3846</v>
      </c>
      <c r="D419" t="s">
        <v>17484</v>
      </c>
      <c r="E419" t="s">
        <v>17907</v>
      </c>
      <c r="F419" t="s">
        <v>30052</v>
      </c>
      <c r="G419" t="s">
        <v>30061</v>
      </c>
      <c r="H419" t="s">
        <v>15498</v>
      </c>
      <c r="I419" t="s">
        <v>6304</v>
      </c>
      <c r="J419" t="s">
        <v>30287</v>
      </c>
      <c r="K419" t="s">
        <v>39017</v>
      </c>
      <c r="M419" t="s">
        <v>39531</v>
      </c>
      <c r="N419" t="s">
        <v>43166</v>
      </c>
      <c r="O419" t="s">
        <v>43167</v>
      </c>
      <c r="P419">
        <v>0</v>
      </c>
      <c r="Q419">
        <v>0</v>
      </c>
      <c r="R419" t="s">
        <v>43168</v>
      </c>
      <c r="S419" t="s">
        <v>43286</v>
      </c>
      <c r="T419" t="s">
        <v>44770</v>
      </c>
      <c r="U419" t="s">
        <v>45599</v>
      </c>
      <c r="V419" t="s">
        <v>56881</v>
      </c>
      <c r="W419" t="s">
        <v>39531</v>
      </c>
      <c r="X419" t="s">
        <v>43171</v>
      </c>
    </row>
    <row r="420" spans="1:24">
      <c r="A420">
        <f>HYPERLINK("https://www.philgeps.gov.ph/GEPSNONPILOT/Tender/SplashBidNoticeAbstractUI.aspx?menuIndex=3&amp;refID=7085776&amp;Result=3","7085776")</f>
        <v>0</v>
      </c>
      <c r="B420" t="s">
        <v>211</v>
      </c>
      <c r="C420" t="s">
        <v>3847</v>
      </c>
      <c r="D420" t="s">
        <v>17481</v>
      </c>
      <c r="E420" t="s">
        <v>17908</v>
      </c>
      <c r="F420" t="s">
        <v>30052</v>
      </c>
      <c r="G420" t="s">
        <v>30059</v>
      </c>
      <c r="H420" t="s">
        <v>15498</v>
      </c>
      <c r="I420" t="s">
        <v>30076</v>
      </c>
      <c r="J420" t="s">
        <v>30533</v>
      </c>
      <c r="K420" t="s">
        <v>39034</v>
      </c>
      <c r="M420" t="s">
        <v>39501</v>
      </c>
      <c r="N420" t="s">
        <v>43166</v>
      </c>
      <c r="O420" t="s">
        <v>43167</v>
      </c>
      <c r="P420">
        <v>0</v>
      </c>
      <c r="Q420">
        <v>1</v>
      </c>
      <c r="R420" t="s">
        <v>43168</v>
      </c>
      <c r="S420" t="s">
        <v>43286</v>
      </c>
      <c r="T420" t="s">
        <v>44725</v>
      </c>
      <c r="U420" t="s">
        <v>45600</v>
      </c>
      <c r="W420" t="s">
        <v>39501</v>
      </c>
      <c r="X420" t="s">
        <v>43171</v>
      </c>
    </row>
    <row r="421" spans="1:24">
      <c r="A421">
        <f>HYPERLINK("https://www.philgeps.gov.ph/GEPSNONPILOT/Tender/SplashBidNoticeAbstractUI.aspx?menuIndex=3&amp;refID=7085988&amp;Result=3","7085988")</f>
        <v>0</v>
      </c>
      <c r="B421" t="s">
        <v>78</v>
      </c>
      <c r="C421" t="s">
        <v>3848</v>
      </c>
      <c r="E421" t="s">
        <v>17909</v>
      </c>
      <c r="F421" t="s">
        <v>30052</v>
      </c>
      <c r="G421" t="s">
        <v>30063</v>
      </c>
      <c r="H421" t="s">
        <v>15498</v>
      </c>
      <c r="I421" t="s">
        <v>30123</v>
      </c>
      <c r="J421" t="s">
        <v>30534</v>
      </c>
      <c r="K421" t="s">
        <v>39029</v>
      </c>
      <c r="M421" t="s">
        <v>39367</v>
      </c>
      <c r="N421" t="s">
        <v>43166</v>
      </c>
      <c r="O421" t="s">
        <v>43167</v>
      </c>
      <c r="P421">
        <v>0</v>
      </c>
      <c r="Q421">
        <v>1</v>
      </c>
      <c r="R421" t="s">
        <v>43168</v>
      </c>
      <c r="S421" t="s">
        <v>43286</v>
      </c>
      <c r="T421" t="s">
        <v>44684</v>
      </c>
      <c r="U421" t="s">
        <v>45601</v>
      </c>
      <c r="V421" t="s">
        <v>56882</v>
      </c>
      <c r="W421" t="s">
        <v>39367</v>
      </c>
      <c r="X421" t="s">
        <v>43171</v>
      </c>
    </row>
    <row r="422" spans="1:24">
      <c r="A422">
        <f>HYPERLINK("https://www.philgeps.gov.ph/GEPSNONPILOT/Tender/SplashBidNoticeAbstractUI.aspx?menuIndex=3&amp;refID=7085969&amp;Result=3","7085969")</f>
        <v>0</v>
      </c>
      <c r="B422" t="s">
        <v>99</v>
      </c>
      <c r="C422" t="s">
        <v>3849</v>
      </c>
      <c r="D422" t="s">
        <v>17447</v>
      </c>
      <c r="E422" t="s">
        <v>17910</v>
      </c>
      <c r="F422" t="s">
        <v>30052</v>
      </c>
      <c r="G422" t="s">
        <v>30058</v>
      </c>
      <c r="H422" t="s">
        <v>30067</v>
      </c>
      <c r="I422" t="s">
        <v>3693</v>
      </c>
      <c r="J422" t="s">
        <v>30397</v>
      </c>
      <c r="K422" t="s">
        <v>39031</v>
      </c>
      <c r="M422" t="s">
        <v>39388</v>
      </c>
      <c r="N422" t="s">
        <v>43166</v>
      </c>
      <c r="O422" t="s">
        <v>43167</v>
      </c>
      <c r="P422">
        <v>0</v>
      </c>
      <c r="Q422">
        <v>0</v>
      </c>
      <c r="R422" t="s">
        <v>43168</v>
      </c>
      <c r="S422" t="s">
        <v>43286</v>
      </c>
      <c r="T422" t="s">
        <v>44721</v>
      </c>
      <c r="U422" t="s">
        <v>45463</v>
      </c>
      <c r="V422" t="s">
        <v>56876</v>
      </c>
      <c r="W422" t="s">
        <v>58590</v>
      </c>
      <c r="X422" t="s">
        <v>43171</v>
      </c>
    </row>
    <row r="423" spans="1:24">
      <c r="A423">
        <f>HYPERLINK("https://www.philgeps.gov.ph/GEPSNONPILOT/Tender/SplashBidNoticeAbstractUI.aspx?menuIndex=3&amp;refID=7085957&amp;Result=3","7085957")</f>
        <v>0</v>
      </c>
      <c r="B423" t="s">
        <v>242</v>
      </c>
      <c r="C423" t="s">
        <v>3850</v>
      </c>
      <c r="D423" t="s">
        <v>17450</v>
      </c>
      <c r="E423" t="s">
        <v>17911</v>
      </c>
      <c r="F423" t="s">
        <v>30052</v>
      </c>
      <c r="G423" t="s">
        <v>30059</v>
      </c>
      <c r="H423" t="s">
        <v>15498</v>
      </c>
      <c r="I423" t="s">
        <v>3736</v>
      </c>
      <c r="J423" t="s">
        <v>30535</v>
      </c>
      <c r="K423" t="s">
        <v>39034</v>
      </c>
      <c r="M423" t="s">
        <v>39532</v>
      </c>
      <c r="N423" t="s">
        <v>43166</v>
      </c>
      <c r="O423" t="s">
        <v>43167</v>
      </c>
      <c r="P423">
        <v>0</v>
      </c>
      <c r="Q423">
        <v>1</v>
      </c>
      <c r="R423" t="s">
        <v>43168</v>
      </c>
      <c r="S423" t="s">
        <v>43286</v>
      </c>
      <c r="T423" t="s">
        <v>44724</v>
      </c>
      <c r="U423" t="s">
        <v>45602</v>
      </c>
      <c r="W423" t="s">
        <v>39532</v>
      </c>
      <c r="X423" t="s">
        <v>43171</v>
      </c>
    </row>
    <row r="424" spans="1:24">
      <c r="A424">
        <f>HYPERLINK("https://www.philgeps.gov.ph/GEPSNONPILOT/Tender/SplashBidNoticeAbstractUI.aspx?menuIndex=3&amp;refID=7085945&amp;Result=3","7085945")</f>
        <v>0</v>
      </c>
      <c r="B424" t="s">
        <v>243</v>
      </c>
      <c r="C424" t="s">
        <v>3851</v>
      </c>
      <c r="D424" t="s">
        <v>17447</v>
      </c>
      <c r="E424" t="s">
        <v>17912</v>
      </c>
      <c r="F424" t="s">
        <v>30052</v>
      </c>
      <c r="G424" t="s">
        <v>30061</v>
      </c>
      <c r="H424" t="s">
        <v>15498</v>
      </c>
      <c r="I424" t="s">
        <v>3606</v>
      </c>
      <c r="J424" t="s">
        <v>30536</v>
      </c>
      <c r="K424" t="s">
        <v>39034</v>
      </c>
      <c r="M424" t="s">
        <v>39533</v>
      </c>
      <c r="N424" t="s">
        <v>43166</v>
      </c>
      <c r="O424" t="s">
        <v>43167</v>
      </c>
      <c r="P424">
        <v>0</v>
      </c>
      <c r="Q424">
        <v>3</v>
      </c>
      <c r="R424" t="s">
        <v>43168</v>
      </c>
      <c r="S424" t="s">
        <v>43286</v>
      </c>
      <c r="T424" t="s">
        <v>44714</v>
      </c>
      <c r="U424" t="s">
        <v>45603</v>
      </c>
      <c r="W424" t="s">
        <v>58595</v>
      </c>
      <c r="X424" t="s">
        <v>43171</v>
      </c>
    </row>
    <row r="425" spans="1:24">
      <c r="A425">
        <f>HYPERLINK("https://www.philgeps.gov.ph/GEPSNONPILOT/Tender/SplashBidNoticeAbstractUI.aspx?menuIndex=3&amp;refID=7085939&amp;Result=3","7085939")</f>
        <v>0</v>
      </c>
      <c r="B425" t="s">
        <v>244</v>
      </c>
      <c r="C425" t="s">
        <v>3852</v>
      </c>
      <c r="D425" t="s">
        <v>17414</v>
      </c>
      <c r="E425" t="s">
        <v>17913</v>
      </c>
      <c r="F425" t="s">
        <v>30052</v>
      </c>
      <c r="G425" t="s">
        <v>30059</v>
      </c>
      <c r="H425" t="s">
        <v>15498</v>
      </c>
      <c r="I425" t="s">
        <v>3852</v>
      </c>
      <c r="J425" t="s">
        <v>30537</v>
      </c>
      <c r="K425" t="s">
        <v>39019</v>
      </c>
      <c r="M425" t="s">
        <v>39534</v>
      </c>
      <c r="N425" t="s">
        <v>43166</v>
      </c>
      <c r="O425" t="s">
        <v>43167</v>
      </c>
      <c r="P425">
        <v>0</v>
      </c>
      <c r="Q425">
        <v>0</v>
      </c>
      <c r="R425" t="s">
        <v>43168</v>
      </c>
      <c r="S425" t="s">
        <v>43286</v>
      </c>
      <c r="T425" t="s">
        <v>44685</v>
      </c>
      <c r="U425" t="s">
        <v>45604</v>
      </c>
      <c r="V425" t="s">
        <v>56883</v>
      </c>
      <c r="W425" t="s">
        <v>39534</v>
      </c>
      <c r="X425" t="s">
        <v>43171</v>
      </c>
    </row>
    <row r="426" spans="1:24">
      <c r="A426">
        <f>HYPERLINK("https://www.philgeps.gov.ph/GEPSNONPILOT/Tender/SplashBidNoticeAbstractUI.aspx?menuIndex=3&amp;refID=7085938&amp;Result=3","7085938")</f>
        <v>0</v>
      </c>
      <c r="B426" t="s">
        <v>242</v>
      </c>
      <c r="C426" t="s">
        <v>3853</v>
      </c>
      <c r="D426" t="s">
        <v>17450</v>
      </c>
      <c r="E426" t="s">
        <v>17914</v>
      </c>
      <c r="F426" t="s">
        <v>30052</v>
      </c>
      <c r="G426" t="s">
        <v>30059</v>
      </c>
      <c r="H426" t="s">
        <v>15498</v>
      </c>
      <c r="I426" t="s">
        <v>4650</v>
      </c>
      <c r="J426" t="s">
        <v>30538</v>
      </c>
      <c r="K426" t="s">
        <v>39034</v>
      </c>
      <c r="M426" t="s">
        <v>39532</v>
      </c>
      <c r="N426" t="s">
        <v>43166</v>
      </c>
      <c r="O426" t="s">
        <v>43167</v>
      </c>
      <c r="P426">
        <v>0</v>
      </c>
      <c r="Q426">
        <v>3</v>
      </c>
      <c r="R426" t="s">
        <v>43168</v>
      </c>
      <c r="S426" t="s">
        <v>43286</v>
      </c>
      <c r="T426" t="s">
        <v>44724</v>
      </c>
      <c r="U426" t="s">
        <v>45605</v>
      </c>
      <c r="W426" t="s">
        <v>39532</v>
      </c>
      <c r="X426" t="s">
        <v>43171</v>
      </c>
    </row>
    <row r="427" spans="1:24">
      <c r="A427">
        <f>HYPERLINK("https://www.philgeps.gov.ph/GEPSNONPILOT/Tender/SplashBidNoticeAbstractUI.aspx?menuIndex=3&amp;refID=7085935&amp;Result=3","7085935")</f>
        <v>0</v>
      </c>
      <c r="B427" t="s">
        <v>199</v>
      </c>
      <c r="C427" t="s">
        <v>3854</v>
      </c>
      <c r="D427" t="s">
        <v>17415</v>
      </c>
      <c r="E427" t="s">
        <v>17915</v>
      </c>
      <c r="F427" t="s">
        <v>30052</v>
      </c>
      <c r="G427" t="s">
        <v>30059</v>
      </c>
      <c r="H427" t="s">
        <v>15498</v>
      </c>
      <c r="I427" t="s">
        <v>5961</v>
      </c>
      <c r="J427" t="s">
        <v>30539</v>
      </c>
      <c r="K427" t="s">
        <v>39029</v>
      </c>
      <c r="M427" t="s">
        <v>39489</v>
      </c>
      <c r="N427" t="s">
        <v>43166</v>
      </c>
      <c r="O427" t="s">
        <v>43167</v>
      </c>
      <c r="P427">
        <v>0</v>
      </c>
      <c r="Q427">
        <v>5</v>
      </c>
      <c r="R427" t="s">
        <v>43168</v>
      </c>
      <c r="S427" t="s">
        <v>43286</v>
      </c>
      <c r="T427" t="s">
        <v>44760</v>
      </c>
      <c r="U427" t="s">
        <v>45606</v>
      </c>
      <c r="W427" t="s">
        <v>39489</v>
      </c>
      <c r="X427" t="s">
        <v>43171</v>
      </c>
    </row>
    <row r="428" spans="1:24">
      <c r="A428">
        <f>HYPERLINK("https://www.philgeps.gov.ph/GEPSNONPILOT/Tender/SplashBidNoticeAbstractUI.aspx?menuIndex=3&amp;refID=7085934&amp;Result=3","7085934")</f>
        <v>0</v>
      </c>
      <c r="B428" t="s">
        <v>229</v>
      </c>
      <c r="C428" t="s">
        <v>3855</v>
      </c>
      <c r="D428" t="s">
        <v>17430</v>
      </c>
      <c r="E428" t="s">
        <v>17916</v>
      </c>
      <c r="F428" t="s">
        <v>30052</v>
      </c>
      <c r="G428" t="s">
        <v>30058</v>
      </c>
      <c r="H428" t="s">
        <v>30067</v>
      </c>
      <c r="I428" t="s">
        <v>3693</v>
      </c>
      <c r="J428" t="s">
        <v>30540</v>
      </c>
      <c r="K428" t="s">
        <v>39023</v>
      </c>
      <c r="M428" t="s">
        <v>39519</v>
      </c>
      <c r="N428" t="s">
        <v>43166</v>
      </c>
      <c r="O428" t="s">
        <v>43167</v>
      </c>
      <c r="P428">
        <v>0</v>
      </c>
      <c r="Q428">
        <v>0</v>
      </c>
      <c r="R428" t="s">
        <v>43168</v>
      </c>
      <c r="S428" t="s">
        <v>43286</v>
      </c>
      <c r="T428" t="s">
        <v>44702</v>
      </c>
      <c r="U428" t="s">
        <v>45607</v>
      </c>
      <c r="W428" t="s">
        <v>39519</v>
      </c>
      <c r="X428" t="s">
        <v>43171</v>
      </c>
    </row>
    <row r="429" spans="1:24">
      <c r="A429">
        <f>HYPERLINK("https://www.philgeps.gov.ph/GEPSNONPILOT/Tender/SplashBidNoticeAbstractUI.aspx?menuIndex=3&amp;refID=7085918&amp;Result=3","7085918")</f>
        <v>0</v>
      </c>
      <c r="B429" t="s">
        <v>245</v>
      </c>
      <c r="C429" t="s">
        <v>3856</v>
      </c>
      <c r="D429" t="s">
        <v>17481</v>
      </c>
      <c r="E429" t="s">
        <v>17917</v>
      </c>
      <c r="F429" t="s">
        <v>30052</v>
      </c>
      <c r="G429" t="s">
        <v>30058</v>
      </c>
      <c r="H429" t="s">
        <v>30067</v>
      </c>
      <c r="I429" t="s">
        <v>3693</v>
      </c>
      <c r="J429" t="s">
        <v>30541</v>
      </c>
      <c r="K429" t="s">
        <v>39026</v>
      </c>
      <c r="M429" t="s">
        <v>39535</v>
      </c>
      <c r="N429" t="s">
        <v>43166</v>
      </c>
      <c r="O429" t="s">
        <v>43167</v>
      </c>
      <c r="P429">
        <v>0</v>
      </c>
      <c r="Q429">
        <v>0</v>
      </c>
      <c r="R429" t="s">
        <v>43168</v>
      </c>
      <c r="S429" t="s">
        <v>43286</v>
      </c>
      <c r="T429" t="s">
        <v>44684</v>
      </c>
      <c r="U429" t="s">
        <v>45608</v>
      </c>
      <c r="V429" t="s">
        <v>56884</v>
      </c>
      <c r="W429" t="s">
        <v>39535</v>
      </c>
      <c r="X429" t="s">
        <v>43171</v>
      </c>
    </row>
    <row r="430" spans="1:24">
      <c r="A430">
        <f>HYPERLINK("https://www.philgeps.gov.ph/GEPSNONPILOT/Tender/SplashBidNoticeAbstractUI.aspx?menuIndex=3&amp;refID=7085901&amp;Result=3","7085901")</f>
        <v>0</v>
      </c>
      <c r="B430" t="s">
        <v>246</v>
      </c>
      <c r="C430" t="s">
        <v>3857</v>
      </c>
      <c r="D430" t="s">
        <v>17439</v>
      </c>
      <c r="E430" t="s">
        <v>17918</v>
      </c>
      <c r="F430" t="s">
        <v>30052</v>
      </c>
      <c r="G430" t="s">
        <v>30058</v>
      </c>
      <c r="H430" t="s">
        <v>30067</v>
      </c>
      <c r="I430" t="s">
        <v>3693</v>
      </c>
      <c r="J430" t="s">
        <v>30542</v>
      </c>
      <c r="K430" t="s">
        <v>39026</v>
      </c>
      <c r="M430" t="s">
        <v>39536</v>
      </c>
      <c r="N430" t="s">
        <v>43166</v>
      </c>
      <c r="O430" t="s">
        <v>43167</v>
      </c>
      <c r="P430">
        <v>0</v>
      </c>
      <c r="Q430">
        <v>1</v>
      </c>
      <c r="R430" t="s">
        <v>43168</v>
      </c>
      <c r="S430" t="s">
        <v>43286</v>
      </c>
      <c r="T430" t="s">
        <v>44771</v>
      </c>
      <c r="U430" t="s">
        <v>45609</v>
      </c>
      <c r="W430" t="s">
        <v>39536</v>
      </c>
      <c r="X430" t="s">
        <v>43171</v>
      </c>
    </row>
    <row r="431" spans="1:24">
      <c r="A431">
        <f>HYPERLINK("https://www.philgeps.gov.ph/GEPSNONPILOT/Tender/SplashBidNoticeAbstractUI.aspx?menuIndex=3&amp;refID=7085894&amp;Result=3","7085894")</f>
        <v>0</v>
      </c>
      <c r="B431" t="s">
        <v>247</v>
      </c>
      <c r="C431" t="s">
        <v>3858</v>
      </c>
      <c r="D431" t="s">
        <v>17430</v>
      </c>
      <c r="E431" t="s">
        <v>17919</v>
      </c>
      <c r="F431" t="s">
        <v>30055</v>
      </c>
      <c r="G431" t="s">
        <v>30058</v>
      </c>
      <c r="H431" t="s">
        <v>30067</v>
      </c>
      <c r="I431" t="s">
        <v>3693</v>
      </c>
      <c r="J431" t="s">
        <v>30543</v>
      </c>
      <c r="K431" t="s">
        <v>39019</v>
      </c>
      <c r="L431" t="s">
        <v>247</v>
      </c>
      <c r="M431" t="s">
        <v>39537</v>
      </c>
      <c r="N431" t="s">
        <v>43166</v>
      </c>
      <c r="O431" t="s">
        <v>43167</v>
      </c>
      <c r="P431">
        <v>0</v>
      </c>
      <c r="Q431">
        <v>0</v>
      </c>
      <c r="R431" t="s">
        <v>43168</v>
      </c>
      <c r="S431" t="s">
        <v>43286</v>
      </c>
      <c r="T431" t="s">
        <v>44772</v>
      </c>
      <c r="U431" t="s">
        <v>45610</v>
      </c>
      <c r="V431" t="s">
        <v>56885</v>
      </c>
      <c r="W431" t="s">
        <v>39537</v>
      </c>
      <c r="X431" t="s">
        <v>43171</v>
      </c>
    </row>
    <row r="432" spans="1:24">
      <c r="A432">
        <f>HYPERLINK("https://www.philgeps.gov.ph/GEPSNONPILOT/Tender/SplashBidNoticeAbstractUI.aspx?menuIndex=3&amp;refID=7085819&amp;Result=3","7085819")</f>
        <v>0</v>
      </c>
      <c r="B432" t="s">
        <v>99</v>
      </c>
      <c r="C432" t="s">
        <v>3859</v>
      </c>
      <c r="D432" t="s">
        <v>17447</v>
      </c>
      <c r="E432" t="s">
        <v>17920</v>
      </c>
      <c r="F432" t="s">
        <v>30052</v>
      </c>
      <c r="G432" t="s">
        <v>30058</v>
      </c>
      <c r="H432" t="s">
        <v>30067</v>
      </c>
      <c r="I432" t="s">
        <v>3693</v>
      </c>
      <c r="J432" t="s">
        <v>30397</v>
      </c>
      <c r="K432" t="s">
        <v>39061</v>
      </c>
      <c r="M432" t="s">
        <v>39388</v>
      </c>
      <c r="N432" t="s">
        <v>43166</v>
      </c>
      <c r="O432" t="s">
        <v>43167</v>
      </c>
      <c r="P432">
        <v>0</v>
      </c>
      <c r="Q432">
        <v>0</v>
      </c>
      <c r="R432" t="s">
        <v>43168</v>
      </c>
      <c r="S432" t="s">
        <v>43286</v>
      </c>
      <c r="T432" t="s">
        <v>44721</v>
      </c>
      <c r="U432" t="s">
        <v>45463</v>
      </c>
      <c r="V432" t="s">
        <v>56876</v>
      </c>
      <c r="W432" t="s">
        <v>58590</v>
      </c>
      <c r="X432" t="s">
        <v>43171</v>
      </c>
    </row>
    <row r="433" spans="1:24">
      <c r="A433">
        <f>HYPERLINK("https://www.philgeps.gov.ph/GEPSNONPILOT/Tender/SplashBidNoticeAbstractUI.aspx?menuIndex=3&amp;refID=7085987&amp;Result=3","7085987")</f>
        <v>0</v>
      </c>
      <c r="B433" t="s">
        <v>240</v>
      </c>
      <c r="C433" t="s">
        <v>3627</v>
      </c>
      <c r="D433" t="s">
        <v>17465</v>
      </c>
      <c r="E433" t="s">
        <v>17921</v>
      </c>
      <c r="F433" t="s">
        <v>30052</v>
      </c>
      <c r="G433" t="s">
        <v>30061</v>
      </c>
      <c r="H433" t="s">
        <v>15498</v>
      </c>
      <c r="I433" t="s">
        <v>3736</v>
      </c>
      <c r="J433" t="s">
        <v>30398</v>
      </c>
      <c r="K433" t="s">
        <v>39036</v>
      </c>
      <c r="M433" t="s">
        <v>39530</v>
      </c>
      <c r="N433" t="s">
        <v>43166</v>
      </c>
      <c r="O433" t="s">
        <v>43167</v>
      </c>
      <c r="P433">
        <v>0</v>
      </c>
      <c r="Q433">
        <v>0</v>
      </c>
      <c r="R433" t="s">
        <v>43168</v>
      </c>
      <c r="S433" t="s">
        <v>43286</v>
      </c>
      <c r="T433" t="s">
        <v>44715</v>
      </c>
      <c r="U433" t="s">
        <v>45611</v>
      </c>
      <c r="W433" t="s">
        <v>39530</v>
      </c>
      <c r="X433" t="s">
        <v>43171</v>
      </c>
    </row>
    <row r="434" spans="1:24">
      <c r="A434">
        <f>HYPERLINK("https://www.philgeps.gov.ph/GEPSNONPILOT/Tender/SplashBidNoticeAbstractUI.aspx?menuIndex=3&amp;refID=7085874&amp;Result=3","7085874")</f>
        <v>0</v>
      </c>
      <c r="B434" t="s">
        <v>144</v>
      </c>
      <c r="C434" t="s">
        <v>3860</v>
      </c>
      <c r="D434" t="s">
        <v>17449</v>
      </c>
      <c r="E434" t="s">
        <v>17922</v>
      </c>
      <c r="F434" t="s">
        <v>30052</v>
      </c>
      <c r="G434" t="s">
        <v>30059</v>
      </c>
      <c r="H434" t="s">
        <v>30068</v>
      </c>
      <c r="I434" t="s">
        <v>30100</v>
      </c>
      <c r="J434" t="s">
        <v>30544</v>
      </c>
      <c r="K434" t="s">
        <v>39025</v>
      </c>
      <c r="M434" t="s">
        <v>39433</v>
      </c>
      <c r="N434" t="s">
        <v>43166</v>
      </c>
      <c r="O434" t="s">
        <v>43167</v>
      </c>
      <c r="P434">
        <v>0</v>
      </c>
      <c r="Q434">
        <v>0</v>
      </c>
      <c r="R434" t="s">
        <v>43168</v>
      </c>
      <c r="S434" t="s">
        <v>43286</v>
      </c>
      <c r="T434" t="s">
        <v>44698</v>
      </c>
      <c r="U434" t="s">
        <v>45612</v>
      </c>
      <c r="W434" t="s">
        <v>39433</v>
      </c>
      <c r="X434" t="s">
        <v>43171</v>
      </c>
    </row>
    <row r="435" spans="1:24">
      <c r="A435">
        <f>HYPERLINK("https://www.philgeps.gov.ph/GEPSNONPILOT/Tender/SplashBidNoticeAbstractUI.aspx?menuIndex=3&amp;refID=7085844&amp;Result=3","7085844")</f>
        <v>0</v>
      </c>
      <c r="B435" t="s">
        <v>248</v>
      </c>
      <c r="C435" t="s">
        <v>3861</v>
      </c>
      <c r="D435" t="s">
        <v>17452</v>
      </c>
      <c r="E435" t="s">
        <v>17923</v>
      </c>
      <c r="F435" t="s">
        <v>30052</v>
      </c>
      <c r="G435" t="s">
        <v>30061</v>
      </c>
      <c r="H435" t="s">
        <v>15498</v>
      </c>
      <c r="I435" t="s">
        <v>3852</v>
      </c>
      <c r="J435" t="s">
        <v>30545</v>
      </c>
      <c r="K435" t="s">
        <v>39017</v>
      </c>
      <c r="M435" t="s">
        <v>39538</v>
      </c>
      <c r="N435" t="s">
        <v>43166</v>
      </c>
      <c r="O435" t="s">
        <v>43167</v>
      </c>
      <c r="P435">
        <v>0</v>
      </c>
      <c r="Q435">
        <v>0</v>
      </c>
      <c r="R435" t="s">
        <v>43168</v>
      </c>
      <c r="S435" t="s">
        <v>43286</v>
      </c>
      <c r="T435" t="s">
        <v>44773</v>
      </c>
      <c r="U435" t="s">
        <v>45613</v>
      </c>
      <c r="W435" t="s">
        <v>39538</v>
      </c>
      <c r="X435" t="s">
        <v>43171</v>
      </c>
    </row>
    <row r="436" spans="1:24">
      <c r="A436">
        <f>HYPERLINK("https://www.philgeps.gov.ph/GEPSNONPILOT/Tender/SplashBidNoticeAbstractUI.aspx?menuIndex=3&amp;refID=7085870&amp;Result=3","7085870")</f>
        <v>0</v>
      </c>
      <c r="B436" t="s">
        <v>249</v>
      </c>
      <c r="C436" t="s">
        <v>3862</v>
      </c>
      <c r="D436" t="s">
        <v>17439</v>
      </c>
      <c r="E436" t="s">
        <v>17924</v>
      </c>
      <c r="F436" t="s">
        <v>30052</v>
      </c>
      <c r="G436" t="s">
        <v>30059</v>
      </c>
      <c r="H436" t="s">
        <v>15498</v>
      </c>
      <c r="I436" t="s">
        <v>3852</v>
      </c>
      <c r="J436" t="s">
        <v>30546</v>
      </c>
      <c r="K436" t="s">
        <v>39017</v>
      </c>
      <c r="M436" t="s">
        <v>39539</v>
      </c>
      <c r="N436" t="s">
        <v>43166</v>
      </c>
      <c r="O436" t="s">
        <v>43167</v>
      </c>
      <c r="P436">
        <v>0</v>
      </c>
      <c r="Q436">
        <v>0</v>
      </c>
      <c r="R436" t="s">
        <v>43168</v>
      </c>
      <c r="S436" t="s">
        <v>43286</v>
      </c>
      <c r="T436" t="s">
        <v>44685</v>
      </c>
      <c r="U436" t="s">
        <v>45614</v>
      </c>
      <c r="W436" t="s">
        <v>39539</v>
      </c>
      <c r="X436" t="s">
        <v>43171</v>
      </c>
    </row>
    <row r="437" spans="1:24">
      <c r="A437">
        <f>HYPERLINK("https://www.philgeps.gov.ph/GEPSNONPILOT/Tender/SplashBidNoticeAbstractUI.aspx?menuIndex=3&amp;refID=7086026&amp;Result=3","7086026")</f>
        <v>0</v>
      </c>
      <c r="B437" t="s">
        <v>229</v>
      </c>
      <c r="C437" t="s">
        <v>3863</v>
      </c>
      <c r="D437" t="s">
        <v>17430</v>
      </c>
      <c r="E437" t="s">
        <v>17925</v>
      </c>
      <c r="F437" t="s">
        <v>30052</v>
      </c>
      <c r="G437" t="s">
        <v>30058</v>
      </c>
      <c r="H437" t="s">
        <v>30067</v>
      </c>
      <c r="I437" t="s">
        <v>3693</v>
      </c>
      <c r="J437" t="s">
        <v>30547</v>
      </c>
      <c r="K437" t="s">
        <v>39023</v>
      </c>
      <c r="M437" t="s">
        <v>39519</v>
      </c>
      <c r="N437" t="s">
        <v>43166</v>
      </c>
      <c r="O437" t="s">
        <v>43167</v>
      </c>
      <c r="P437">
        <v>0</v>
      </c>
      <c r="Q437">
        <v>0</v>
      </c>
      <c r="R437" t="s">
        <v>43168</v>
      </c>
      <c r="S437" t="s">
        <v>43286</v>
      </c>
      <c r="T437" t="s">
        <v>44702</v>
      </c>
      <c r="U437" t="s">
        <v>45615</v>
      </c>
      <c r="W437" t="s">
        <v>39519</v>
      </c>
      <c r="X437" t="s">
        <v>43171</v>
      </c>
    </row>
    <row r="438" spans="1:24">
      <c r="A438">
        <f>HYPERLINK("https://www.philgeps.gov.ph/GEPSNONPILOT/Tender/SplashBidNoticeAbstractUI.aspx?menuIndex=3&amp;refID=7086019&amp;Result=3","7086019")</f>
        <v>0</v>
      </c>
      <c r="B438" t="s">
        <v>250</v>
      </c>
      <c r="C438" t="s">
        <v>3864</v>
      </c>
      <c r="D438" t="s">
        <v>17461</v>
      </c>
      <c r="E438" t="s">
        <v>17585</v>
      </c>
      <c r="F438" t="s">
        <v>30052</v>
      </c>
      <c r="G438" t="s">
        <v>30059</v>
      </c>
      <c r="H438" t="s">
        <v>15498</v>
      </c>
      <c r="I438" t="s">
        <v>4650</v>
      </c>
      <c r="J438" t="s">
        <v>30343</v>
      </c>
      <c r="K438" t="s">
        <v>39029</v>
      </c>
      <c r="M438" t="s">
        <v>39540</v>
      </c>
      <c r="N438" t="s">
        <v>43166</v>
      </c>
      <c r="O438" t="s">
        <v>43167</v>
      </c>
      <c r="P438">
        <v>0</v>
      </c>
      <c r="Q438">
        <v>5</v>
      </c>
      <c r="R438" t="s">
        <v>43168</v>
      </c>
      <c r="S438" t="s">
        <v>43286</v>
      </c>
      <c r="T438" t="s">
        <v>44720</v>
      </c>
      <c r="U438" t="s">
        <v>45616</v>
      </c>
      <c r="W438" t="s">
        <v>39540</v>
      </c>
      <c r="X438" t="s">
        <v>43171</v>
      </c>
    </row>
    <row r="439" spans="1:24">
      <c r="A439">
        <f>HYPERLINK("https://www.philgeps.gov.ph/GEPSNONPILOT/Tender/SplashBidNoticeAbstractUI.aspx?menuIndex=3&amp;refID=7085882&amp;Result=3","7085882")</f>
        <v>0</v>
      </c>
      <c r="B439" t="s">
        <v>99</v>
      </c>
      <c r="C439" t="s">
        <v>3865</v>
      </c>
      <c r="D439" t="s">
        <v>17447</v>
      </c>
      <c r="E439" t="s">
        <v>17926</v>
      </c>
      <c r="F439" t="s">
        <v>30052</v>
      </c>
      <c r="G439" t="s">
        <v>30058</v>
      </c>
      <c r="H439" t="s">
        <v>30067</v>
      </c>
      <c r="I439" t="s">
        <v>3693</v>
      </c>
      <c r="J439" t="s">
        <v>30222</v>
      </c>
      <c r="K439" t="s">
        <v>39062</v>
      </c>
      <c r="M439" t="s">
        <v>39388</v>
      </c>
      <c r="N439" t="s">
        <v>43166</v>
      </c>
      <c r="O439" t="s">
        <v>43167</v>
      </c>
      <c r="P439">
        <v>0</v>
      </c>
      <c r="Q439">
        <v>0</v>
      </c>
      <c r="R439" t="s">
        <v>43168</v>
      </c>
      <c r="S439" t="s">
        <v>43286</v>
      </c>
      <c r="T439" t="s">
        <v>44721</v>
      </c>
      <c r="U439" t="s">
        <v>45463</v>
      </c>
      <c r="V439" t="s">
        <v>56876</v>
      </c>
      <c r="W439" t="s">
        <v>58590</v>
      </c>
      <c r="X439" t="s">
        <v>43171</v>
      </c>
    </row>
    <row r="440" spans="1:24">
      <c r="A440">
        <f>HYPERLINK("https://www.philgeps.gov.ph/GEPSNONPILOT/Tender/SplashBidNoticeAbstractUI.aspx?menuIndex=3&amp;refID=7086080&amp;Result=3","7086080")</f>
        <v>0</v>
      </c>
      <c r="B440" t="s">
        <v>251</v>
      </c>
      <c r="C440" t="s">
        <v>3866</v>
      </c>
      <c r="D440" t="s">
        <v>17415</v>
      </c>
      <c r="E440" t="s">
        <v>17927</v>
      </c>
      <c r="F440" t="s">
        <v>30052</v>
      </c>
      <c r="G440" t="s">
        <v>30058</v>
      </c>
      <c r="H440" t="s">
        <v>30069</v>
      </c>
      <c r="I440" t="s">
        <v>4650</v>
      </c>
      <c r="J440" t="s">
        <v>30548</v>
      </c>
      <c r="K440" t="s">
        <v>39017</v>
      </c>
      <c r="M440" t="s">
        <v>39541</v>
      </c>
      <c r="N440" t="s">
        <v>43166</v>
      </c>
      <c r="O440" t="s">
        <v>43167</v>
      </c>
      <c r="P440">
        <v>0</v>
      </c>
      <c r="Q440">
        <v>4</v>
      </c>
      <c r="R440" t="s">
        <v>43168</v>
      </c>
      <c r="S440" t="s">
        <v>43286</v>
      </c>
      <c r="T440" t="s">
        <v>44677</v>
      </c>
      <c r="U440" t="s">
        <v>45617</v>
      </c>
      <c r="W440" t="s">
        <v>39541</v>
      </c>
      <c r="X440" t="s">
        <v>43171</v>
      </c>
    </row>
    <row r="441" spans="1:24">
      <c r="A441">
        <f>HYPERLINK("https://www.philgeps.gov.ph/GEPSNONPILOT/Tender/SplashBidNoticeAbstractUI.aspx?menuIndex=3&amp;refID=7086079&amp;Result=3","7086079")</f>
        <v>0</v>
      </c>
      <c r="B441" t="s">
        <v>252</v>
      </c>
      <c r="C441" t="s">
        <v>3867</v>
      </c>
      <c r="D441" t="s">
        <v>17424</v>
      </c>
      <c r="E441" t="s">
        <v>17838</v>
      </c>
      <c r="F441" t="s">
        <v>30052</v>
      </c>
      <c r="G441" t="s">
        <v>30058</v>
      </c>
      <c r="H441" t="s">
        <v>30067</v>
      </c>
      <c r="I441" t="s">
        <v>30106</v>
      </c>
      <c r="J441" t="s">
        <v>30402</v>
      </c>
      <c r="K441" t="s">
        <v>39063</v>
      </c>
      <c r="M441" t="s">
        <v>39542</v>
      </c>
      <c r="N441" t="s">
        <v>43166</v>
      </c>
      <c r="O441" t="s">
        <v>43167</v>
      </c>
      <c r="P441">
        <v>0</v>
      </c>
      <c r="Q441">
        <v>0</v>
      </c>
      <c r="R441" t="s">
        <v>43168</v>
      </c>
      <c r="S441" t="s">
        <v>43286</v>
      </c>
      <c r="T441" t="s">
        <v>44750</v>
      </c>
      <c r="U441" t="s">
        <v>45618</v>
      </c>
      <c r="W441" t="s">
        <v>39542</v>
      </c>
      <c r="X441" t="s">
        <v>43171</v>
      </c>
    </row>
    <row r="442" spans="1:24">
      <c r="A442">
        <f>HYPERLINK("https://www.philgeps.gov.ph/GEPSNONPILOT/Tender/SplashBidNoticeAbstractUI.aspx?menuIndex=3&amp;refID=7086073&amp;Result=3","7086073")</f>
        <v>0</v>
      </c>
      <c r="B442" t="s">
        <v>202</v>
      </c>
      <c r="C442" t="s">
        <v>3868</v>
      </c>
      <c r="D442" t="s">
        <v>17461</v>
      </c>
      <c r="E442" t="s">
        <v>17928</v>
      </c>
      <c r="F442" t="s">
        <v>30052</v>
      </c>
      <c r="G442" t="s">
        <v>30058</v>
      </c>
      <c r="H442" t="s">
        <v>15498</v>
      </c>
      <c r="I442" t="s">
        <v>30124</v>
      </c>
      <c r="J442" t="s">
        <v>30281</v>
      </c>
      <c r="K442" t="s">
        <v>39029</v>
      </c>
      <c r="L442" t="s">
        <v>202</v>
      </c>
      <c r="M442" t="s">
        <v>39492</v>
      </c>
      <c r="N442" t="s">
        <v>43166</v>
      </c>
      <c r="O442" t="s">
        <v>43167</v>
      </c>
      <c r="P442">
        <v>0</v>
      </c>
      <c r="Q442">
        <v>6</v>
      </c>
      <c r="R442" t="s">
        <v>43168</v>
      </c>
      <c r="S442" t="s">
        <v>43286</v>
      </c>
      <c r="T442" t="s">
        <v>44774</v>
      </c>
      <c r="U442" t="s">
        <v>45619</v>
      </c>
      <c r="W442" t="s">
        <v>39492</v>
      </c>
      <c r="X442" t="s">
        <v>43171</v>
      </c>
    </row>
    <row r="443" spans="1:24">
      <c r="A443">
        <f>HYPERLINK("https://www.philgeps.gov.ph/GEPSNONPILOT/Tender/SplashBidNoticeAbstractUI.aspx?menuIndex=3&amp;refID=7085921&amp;Result=3","7085921")</f>
        <v>0</v>
      </c>
      <c r="B443" t="s">
        <v>243</v>
      </c>
      <c r="C443" t="s">
        <v>3869</v>
      </c>
      <c r="D443" t="s">
        <v>17447</v>
      </c>
      <c r="E443" t="s">
        <v>17929</v>
      </c>
      <c r="F443" t="s">
        <v>30052</v>
      </c>
      <c r="G443" t="s">
        <v>30061</v>
      </c>
      <c r="H443" t="s">
        <v>15498</v>
      </c>
      <c r="I443" t="s">
        <v>30116</v>
      </c>
      <c r="J443" t="s">
        <v>30292</v>
      </c>
      <c r="K443" t="s">
        <v>39034</v>
      </c>
      <c r="M443" t="s">
        <v>39543</v>
      </c>
      <c r="N443" t="s">
        <v>43166</v>
      </c>
      <c r="O443" t="s">
        <v>43167</v>
      </c>
      <c r="P443">
        <v>0</v>
      </c>
      <c r="Q443">
        <v>1</v>
      </c>
      <c r="R443" t="s">
        <v>43168</v>
      </c>
      <c r="S443" t="s">
        <v>43286</v>
      </c>
      <c r="T443" t="s">
        <v>44714</v>
      </c>
      <c r="U443" t="s">
        <v>45620</v>
      </c>
      <c r="W443" t="s">
        <v>58595</v>
      </c>
      <c r="X443" t="s">
        <v>43171</v>
      </c>
    </row>
    <row r="444" spans="1:24">
      <c r="A444">
        <f>HYPERLINK("https://www.philgeps.gov.ph/GEPSNONPILOT/Tender/SplashBidNoticeAbstractUI.aspx?menuIndex=3&amp;refID=7086107&amp;Result=3","7086107")</f>
        <v>0</v>
      </c>
      <c r="B444" t="s">
        <v>253</v>
      </c>
      <c r="C444" t="s">
        <v>3870</v>
      </c>
      <c r="D444" t="s">
        <v>17435</v>
      </c>
      <c r="E444" t="s">
        <v>17930</v>
      </c>
      <c r="F444" t="s">
        <v>30052</v>
      </c>
      <c r="G444" t="s">
        <v>30058</v>
      </c>
      <c r="H444" t="s">
        <v>15498</v>
      </c>
      <c r="I444" t="s">
        <v>3736</v>
      </c>
      <c r="J444" t="s">
        <v>30256</v>
      </c>
      <c r="K444" t="s">
        <v>39019</v>
      </c>
      <c r="M444" t="s">
        <v>39544</v>
      </c>
      <c r="N444" t="s">
        <v>43166</v>
      </c>
      <c r="O444" t="s">
        <v>43167</v>
      </c>
      <c r="P444">
        <v>0</v>
      </c>
      <c r="Q444">
        <v>0</v>
      </c>
      <c r="R444" t="s">
        <v>43168</v>
      </c>
      <c r="S444" t="s">
        <v>43286</v>
      </c>
      <c r="T444" t="s">
        <v>44718</v>
      </c>
      <c r="U444" t="s">
        <v>45312</v>
      </c>
      <c r="W444" t="s">
        <v>39544</v>
      </c>
      <c r="X444" t="s">
        <v>43171</v>
      </c>
    </row>
    <row r="445" spans="1:24">
      <c r="A445">
        <f>HYPERLINK("https://www.philgeps.gov.ph/GEPSNONPILOT/Tender/SplashBidNoticeAbstractUI.aspx?menuIndex=3&amp;refID=7085948&amp;Result=3","7085948")</f>
        <v>0</v>
      </c>
      <c r="B445" t="s">
        <v>202</v>
      </c>
      <c r="C445" t="s">
        <v>3871</v>
      </c>
      <c r="D445" t="s">
        <v>17461</v>
      </c>
      <c r="E445" t="s">
        <v>17931</v>
      </c>
      <c r="F445" t="s">
        <v>30052</v>
      </c>
      <c r="G445" t="s">
        <v>30058</v>
      </c>
      <c r="H445" t="s">
        <v>15498</v>
      </c>
      <c r="I445" t="s">
        <v>9238</v>
      </c>
      <c r="J445" t="s">
        <v>30549</v>
      </c>
      <c r="K445" t="s">
        <v>39037</v>
      </c>
      <c r="L445" t="s">
        <v>202</v>
      </c>
      <c r="M445" t="s">
        <v>39492</v>
      </c>
      <c r="N445" t="s">
        <v>43166</v>
      </c>
      <c r="O445" t="s">
        <v>43167</v>
      </c>
      <c r="P445">
        <v>0</v>
      </c>
      <c r="Q445">
        <v>18</v>
      </c>
      <c r="R445" t="s">
        <v>43168</v>
      </c>
      <c r="S445" t="s">
        <v>43286</v>
      </c>
      <c r="T445" t="s">
        <v>44761</v>
      </c>
      <c r="U445" t="s">
        <v>45621</v>
      </c>
      <c r="W445" t="s">
        <v>39492</v>
      </c>
      <c r="X445" t="s">
        <v>43171</v>
      </c>
    </row>
    <row r="446" spans="1:24">
      <c r="A446">
        <f>HYPERLINK("https://www.philgeps.gov.ph/GEPSNONPILOT/Tender/SplashBidNoticeAbstractUI.aspx?menuIndex=3&amp;refID=7086084&amp;Result=3","7086084")</f>
        <v>0</v>
      </c>
      <c r="B446" t="s">
        <v>240</v>
      </c>
      <c r="C446" t="s">
        <v>3627</v>
      </c>
      <c r="D446" t="s">
        <v>17465</v>
      </c>
      <c r="E446" t="s">
        <v>17932</v>
      </c>
      <c r="F446" t="s">
        <v>30052</v>
      </c>
      <c r="G446" t="s">
        <v>30061</v>
      </c>
      <c r="H446" t="s">
        <v>15498</v>
      </c>
      <c r="I446" t="s">
        <v>4119</v>
      </c>
      <c r="J446" t="s">
        <v>30550</v>
      </c>
      <c r="K446" t="s">
        <v>39036</v>
      </c>
      <c r="M446" t="s">
        <v>39530</v>
      </c>
      <c r="N446" t="s">
        <v>43166</v>
      </c>
      <c r="O446" t="s">
        <v>43167</v>
      </c>
      <c r="P446">
        <v>0</v>
      </c>
      <c r="Q446">
        <v>1</v>
      </c>
      <c r="R446" t="s">
        <v>43168</v>
      </c>
      <c r="S446" t="s">
        <v>43286</v>
      </c>
      <c r="T446" t="s">
        <v>44715</v>
      </c>
      <c r="U446" t="s">
        <v>45622</v>
      </c>
      <c r="W446" t="s">
        <v>39530</v>
      </c>
      <c r="X446" t="s">
        <v>43171</v>
      </c>
    </row>
    <row r="447" spans="1:24">
      <c r="A447">
        <f>HYPERLINK("https://www.philgeps.gov.ph/GEPSNONPILOT/Tender/SplashBidNoticeAbstractUI.aspx?menuIndex=3&amp;refID=7086091&amp;Result=3","7086091")</f>
        <v>0</v>
      </c>
      <c r="B447" t="s">
        <v>254</v>
      </c>
      <c r="C447" t="s">
        <v>3872</v>
      </c>
      <c r="D447" t="s">
        <v>17438</v>
      </c>
      <c r="E447" t="s">
        <v>17933</v>
      </c>
      <c r="F447" t="s">
        <v>30052</v>
      </c>
      <c r="G447" t="s">
        <v>30058</v>
      </c>
      <c r="H447" t="s">
        <v>15498</v>
      </c>
      <c r="I447" t="s">
        <v>3736</v>
      </c>
      <c r="J447" t="s">
        <v>30551</v>
      </c>
      <c r="K447" t="s">
        <v>39025</v>
      </c>
      <c r="M447" t="s">
        <v>39545</v>
      </c>
      <c r="N447" t="s">
        <v>43166</v>
      </c>
      <c r="O447" t="s">
        <v>43167</v>
      </c>
      <c r="P447">
        <v>0</v>
      </c>
      <c r="Q447">
        <v>0</v>
      </c>
      <c r="R447" t="s">
        <v>43168</v>
      </c>
      <c r="S447" t="s">
        <v>43286</v>
      </c>
      <c r="T447" t="s">
        <v>44681</v>
      </c>
      <c r="U447" t="s">
        <v>45623</v>
      </c>
      <c r="W447" t="s">
        <v>39545</v>
      </c>
      <c r="X447" t="s">
        <v>43171</v>
      </c>
    </row>
    <row r="448" spans="1:24">
      <c r="A448">
        <f>HYPERLINK("https://www.philgeps.gov.ph/GEPSNONPILOT/Tender/SplashBidNoticeAbstractUI.aspx?menuIndex=3&amp;refID=7086063&amp;Result=3","7086063")</f>
        <v>0</v>
      </c>
      <c r="B448" t="s">
        <v>249</v>
      </c>
      <c r="C448" t="s">
        <v>3873</v>
      </c>
      <c r="D448" t="s">
        <v>17439</v>
      </c>
      <c r="E448" t="s">
        <v>17934</v>
      </c>
      <c r="F448" t="s">
        <v>30052</v>
      </c>
      <c r="G448" t="s">
        <v>30059</v>
      </c>
      <c r="H448" t="s">
        <v>15498</v>
      </c>
      <c r="I448" t="s">
        <v>30081</v>
      </c>
      <c r="J448" t="s">
        <v>30552</v>
      </c>
      <c r="K448" t="s">
        <v>39019</v>
      </c>
      <c r="M448" t="s">
        <v>39539</v>
      </c>
      <c r="N448" t="s">
        <v>43166</v>
      </c>
      <c r="O448" t="s">
        <v>43167</v>
      </c>
      <c r="P448">
        <v>0</v>
      </c>
      <c r="Q448">
        <v>0</v>
      </c>
      <c r="R448" t="s">
        <v>43168</v>
      </c>
      <c r="S448" t="s">
        <v>43286</v>
      </c>
      <c r="T448" t="s">
        <v>44685</v>
      </c>
      <c r="U448" t="s">
        <v>45614</v>
      </c>
      <c r="W448" t="s">
        <v>39539</v>
      </c>
      <c r="X448" t="s">
        <v>43171</v>
      </c>
    </row>
    <row r="449" spans="1:24">
      <c r="A449">
        <f>HYPERLINK("https://www.philgeps.gov.ph/GEPSNONPILOT/Tender/SplashBidNoticeAbstractUI.aspx?menuIndex=3&amp;refID=7085877&amp;Result=3","7085877")</f>
        <v>0</v>
      </c>
      <c r="B449" t="s">
        <v>255</v>
      </c>
      <c r="C449" t="s">
        <v>3874</v>
      </c>
      <c r="D449" t="s">
        <v>17438</v>
      </c>
      <c r="E449" t="s">
        <v>17715</v>
      </c>
      <c r="F449" t="s">
        <v>30052</v>
      </c>
      <c r="G449" t="s">
        <v>30061</v>
      </c>
      <c r="H449" t="s">
        <v>15498</v>
      </c>
      <c r="I449" t="s">
        <v>30112</v>
      </c>
      <c r="J449" t="s">
        <v>30553</v>
      </c>
      <c r="K449" t="s">
        <v>39018</v>
      </c>
      <c r="M449" t="s">
        <v>39546</v>
      </c>
      <c r="N449" t="s">
        <v>43166</v>
      </c>
      <c r="O449" t="s">
        <v>43167</v>
      </c>
      <c r="P449">
        <v>0</v>
      </c>
      <c r="Q449">
        <v>0</v>
      </c>
      <c r="R449" t="s">
        <v>43168</v>
      </c>
      <c r="S449" t="s">
        <v>43286</v>
      </c>
      <c r="T449" t="s">
        <v>44734</v>
      </c>
      <c r="U449" t="s">
        <v>45624</v>
      </c>
      <c r="W449" t="s">
        <v>39546</v>
      </c>
      <c r="X449" t="s">
        <v>43171</v>
      </c>
    </row>
    <row r="450" spans="1:24">
      <c r="A450">
        <f>HYPERLINK("https://www.philgeps.gov.ph/GEPSNONPILOT/Tender/SplashBidNoticeAbstractUI.aspx?menuIndex=3&amp;refID=7086118&amp;Result=3","7086118")</f>
        <v>0</v>
      </c>
      <c r="B450" t="s">
        <v>256</v>
      </c>
      <c r="C450" t="s">
        <v>3875</v>
      </c>
      <c r="D450" t="s">
        <v>17415</v>
      </c>
      <c r="E450" t="s">
        <v>17935</v>
      </c>
      <c r="F450" t="s">
        <v>30052</v>
      </c>
      <c r="G450" t="s">
        <v>30060</v>
      </c>
      <c r="H450" t="s">
        <v>15498</v>
      </c>
      <c r="I450" t="s">
        <v>30076</v>
      </c>
      <c r="J450" t="s">
        <v>30554</v>
      </c>
      <c r="K450" t="s">
        <v>39025</v>
      </c>
      <c r="M450" t="s">
        <v>39547</v>
      </c>
      <c r="N450" t="s">
        <v>43166</v>
      </c>
      <c r="O450" t="s">
        <v>43167</v>
      </c>
      <c r="P450">
        <v>0</v>
      </c>
      <c r="Q450">
        <v>16</v>
      </c>
      <c r="R450" t="s">
        <v>43168</v>
      </c>
      <c r="S450" t="s">
        <v>43286</v>
      </c>
      <c r="T450" t="s">
        <v>44691</v>
      </c>
      <c r="U450" t="s">
        <v>45625</v>
      </c>
      <c r="W450" t="s">
        <v>39547</v>
      </c>
      <c r="X450" t="s">
        <v>43171</v>
      </c>
    </row>
    <row r="451" spans="1:24">
      <c r="A451">
        <f>HYPERLINK("https://www.philgeps.gov.ph/GEPSNONPILOT/Tender/SplashBidNoticeAbstractUI.aspx?menuIndex=3&amp;refID=7086058&amp;Result=3","7086058")</f>
        <v>0</v>
      </c>
      <c r="B451" t="s">
        <v>257</v>
      </c>
      <c r="C451" t="s">
        <v>3876</v>
      </c>
      <c r="E451" t="s">
        <v>17936</v>
      </c>
      <c r="F451" t="s">
        <v>30052</v>
      </c>
      <c r="G451" t="s">
        <v>30058</v>
      </c>
      <c r="H451" t="s">
        <v>15498</v>
      </c>
      <c r="I451" t="s">
        <v>30074</v>
      </c>
      <c r="J451" t="s">
        <v>30555</v>
      </c>
      <c r="K451" t="s">
        <v>39029</v>
      </c>
      <c r="M451" t="s">
        <v>39548</v>
      </c>
      <c r="N451" t="s">
        <v>43166</v>
      </c>
      <c r="O451" t="s">
        <v>43167</v>
      </c>
      <c r="P451">
        <v>0</v>
      </c>
      <c r="Q451">
        <v>4</v>
      </c>
      <c r="R451" t="s">
        <v>43168</v>
      </c>
      <c r="S451" t="s">
        <v>43286</v>
      </c>
      <c r="T451" t="s">
        <v>44702</v>
      </c>
      <c r="U451" t="s">
        <v>45626</v>
      </c>
      <c r="V451" t="s">
        <v>56886</v>
      </c>
      <c r="W451" t="s">
        <v>39548</v>
      </c>
      <c r="X451" t="s">
        <v>43171</v>
      </c>
    </row>
    <row r="452" spans="1:24">
      <c r="A452">
        <f>HYPERLINK("https://www.philgeps.gov.ph/GEPSNONPILOT/Tender/SplashBidNoticeAbstractUI.aspx?menuIndex=3&amp;refID=7086057&amp;Result=3","7086057")</f>
        <v>0</v>
      </c>
      <c r="B452" t="s">
        <v>258</v>
      </c>
      <c r="C452" t="s">
        <v>3877</v>
      </c>
      <c r="D452" t="s">
        <v>17460</v>
      </c>
      <c r="E452" t="s">
        <v>17937</v>
      </c>
      <c r="F452" t="s">
        <v>30052</v>
      </c>
      <c r="G452" t="s">
        <v>30058</v>
      </c>
      <c r="H452" t="s">
        <v>15498</v>
      </c>
      <c r="I452" t="s">
        <v>30074</v>
      </c>
      <c r="J452" t="s">
        <v>30556</v>
      </c>
      <c r="K452" t="s">
        <v>39034</v>
      </c>
      <c r="M452" t="s">
        <v>39549</v>
      </c>
      <c r="N452" t="s">
        <v>43166</v>
      </c>
      <c r="O452" t="s">
        <v>43167</v>
      </c>
      <c r="P452">
        <v>0</v>
      </c>
      <c r="Q452">
        <v>0</v>
      </c>
      <c r="R452" t="s">
        <v>43168</v>
      </c>
      <c r="S452" t="s">
        <v>43286</v>
      </c>
      <c r="T452" t="s">
        <v>44718</v>
      </c>
      <c r="U452" t="s">
        <v>45627</v>
      </c>
      <c r="W452" t="s">
        <v>39549</v>
      </c>
      <c r="X452" t="s">
        <v>43171</v>
      </c>
    </row>
    <row r="453" spans="1:24">
      <c r="A453">
        <f>HYPERLINK("https://www.philgeps.gov.ph/GEPSNONPILOT/Tender/SplashBidNoticeAbstractUI.aspx?menuIndex=3&amp;refID=7086052&amp;Result=3","7086052")</f>
        <v>0</v>
      </c>
      <c r="B453" t="s">
        <v>259</v>
      </c>
      <c r="C453" t="s">
        <v>3878</v>
      </c>
      <c r="D453" t="s">
        <v>17464</v>
      </c>
      <c r="E453" t="s">
        <v>17938</v>
      </c>
      <c r="F453" t="s">
        <v>30052</v>
      </c>
      <c r="G453" t="s">
        <v>30058</v>
      </c>
      <c r="H453" t="s">
        <v>15498</v>
      </c>
      <c r="I453" t="s">
        <v>30074</v>
      </c>
      <c r="J453" t="s">
        <v>30557</v>
      </c>
      <c r="K453" t="s">
        <v>39064</v>
      </c>
      <c r="M453" t="s">
        <v>39550</v>
      </c>
      <c r="N453" t="s">
        <v>43166</v>
      </c>
      <c r="O453" t="s">
        <v>43167</v>
      </c>
      <c r="P453">
        <v>0</v>
      </c>
      <c r="Q453">
        <v>7</v>
      </c>
      <c r="R453" t="s">
        <v>43168</v>
      </c>
      <c r="S453" t="s">
        <v>43286</v>
      </c>
      <c r="T453" t="s">
        <v>44711</v>
      </c>
      <c r="U453" t="s">
        <v>45628</v>
      </c>
      <c r="W453" t="s">
        <v>39550</v>
      </c>
      <c r="X453" t="s">
        <v>43171</v>
      </c>
    </row>
    <row r="454" spans="1:24">
      <c r="A454">
        <f>HYPERLINK("https://www.philgeps.gov.ph/GEPSNONPILOT/Tender/SplashBidNoticeAbstractUI.aspx?menuIndex=3&amp;refID=7086042&amp;Result=3","7086042")</f>
        <v>0</v>
      </c>
      <c r="B454" t="s">
        <v>99</v>
      </c>
      <c r="C454" t="s">
        <v>3879</v>
      </c>
      <c r="D454" t="s">
        <v>17447</v>
      </c>
      <c r="E454" t="s">
        <v>17939</v>
      </c>
      <c r="F454" t="s">
        <v>30052</v>
      </c>
      <c r="G454" t="s">
        <v>30058</v>
      </c>
      <c r="H454" t="s">
        <v>30067</v>
      </c>
      <c r="I454" t="s">
        <v>3693</v>
      </c>
      <c r="J454" t="s">
        <v>30397</v>
      </c>
      <c r="K454" t="s">
        <v>39065</v>
      </c>
      <c r="M454" t="s">
        <v>39388</v>
      </c>
      <c r="N454" t="s">
        <v>43166</v>
      </c>
      <c r="O454" t="s">
        <v>43167</v>
      </c>
      <c r="P454">
        <v>0</v>
      </c>
      <c r="Q454">
        <v>0</v>
      </c>
      <c r="R454" t="s">
        <v>43168</v>
      </c>
      <c r="S454" t="s">
        <v>43286</v>
      </c>
      <c r="T454" t="s">
        <v>44721</v>
      </c>
      <c r="U454" t="s">
        <v>45463</v>
      </c>
      <c r="V454" t="s">
        <v>56876</v>
      </c>
      <c r="W454" t="s">
        <v>58590</v>
      </c>
      <c r="X454" t="s">
        <v>43171</v>
      </c>
    </row>
    <row r="455" spans="1:24">
      <c r="A455">
        <f>HYPERLINK("https://www.philgeps.gov.ph/GEPSNONPILOT/Tender/SplashBidNoticeAbstractUI.aspx?menuIndex=3&amp;refID=7086035&amp;Result=3","7086035")</f>
        <v>0</v>
      </c>
      <c r="B455" t="s">
        <v>240</v>
      </c>
      <c r="C455" t="s">
        <v>3627</v>
      </c>
      <c r="D455" t="s">
        <v>17465</v>
      </c>
      <c r="E455" t="s">
        <v>17940</v>
      </c>
      <c r="F455" t="s">
        <v>30052</v>
      </c>
      <c r="G455" t="s">
        <v>30061</v>
      </c>
      <c r="H455" t="s">
        <v>15498</v>
      </c>
      <c r="I455" t="s">
        <v>3736</v>
      </c>
      <c r="J455" t="s">
        <v>30558</v>
      </c>
      <c r="K455" t="s">
        <v>39036</v>
      </c>
      <c r="M455" t="s">
        <v>39530</v>
      </c>
      <c r="N455" t="s">
        <v>43166</v>
      </c>
      <c r="O455" t="s">
        <v>43167</v>
      </c>
      <c r="P455">
        <v>0</v>
      </c>
      <c r="Q455">
        <v>0</v>
      </c>
      <c r="R455" t="s">
        <v>43168</v>
      </c>
      <c r="S455" t="s">
        <v>43286</v>
      </c>
      <c r="T455" t="s">
        <v>44715</v>
      </c>
      <c r="U455" t="s">
        <v>45629</v>
      </c>
      <c r="W455" t="s">
        <v>39530</v>
      </c>
      <c r="X455" t="s">
        <v>43171</v>
      </c>
    </row>
    <row r="456" spans="1:24">
      <c r="A456">
        <f>HYPERLINK("https://www.philgeps.gov.ph/GEPSNONPILOT/Tender/SplashBidNoticeAbstractUI.aspx?menuIndex=3&amp;refID=7085815&amp;Result=3","7085815")</f>
        <v>0</v>
      </c>
      <c r="B456" t="s">
        <v>211</v>
      </c>
      <c r="C456" t="s">
        <v>3880</v>
      </c>
      <c r="D456" t="s">
        <v>17481</v>
      </c>
      <c r="E456" t="s">
        <v>17941</v>
      </c>
      <c r="F456" t="s">
        <v>30052</v>
      </c>
      <c r="G456" t="s">
        <v>30058</v>
      </c>
      <c r="H456" t="s">
        <v>15498</v>
      </c>
      <c r="I456" t="s">
        <v>3693</v>
      </c>
      <c r="J456" t="s">
        <v>30559</v>
      </c>
      <c r="K456" t="s">
        <v>39029</v>
      </c>
      <c r="M456" t="s">
        <v>39501</v>
      </c>
      <c r="N456" t="s">
        <v>43166</v>
      </c>
      <c r="O456" t="s">
        <v>43167</v>
      </c>
      <c r="P456">
        <v>0</v>
      </c>
      <c r="Q456">
        <v>0</v>
      </c>
      <c r="R456" t="s">
        <v>43168</v>
      </c>
      <c r="S456" t="s">
        <v>43286</v>
      </c>
      <c r="T456" t="s">
        <v>44718</v>
      </c>
      <c r="U456" t="s">
        <v>45630</v>
      </c>
      <c r="W456" t="s">
        <v>39501</v>
      </c>
      <c r="X456" t="s">
        <v>43171</v>
      </c>
    </row>
    <row r="457" spans="1:24">
      <c r="A457">
        <f>HYPERLINK("https://www.philgeps.gov.ph/GEPSNONPILOT/Tender/SplashBidNoticeAbstractUI.aspx?menuIndex=3&amp;refID=7086127&amp;Result=3","7086127")</f>
        <v>0</v>
      </c>
      <c r="B457" t="s">
        <v>260</v>
      </c>
      <c r="C457" t="s">
        <v>3881</v>
      </c>
      <c r="E457" t="s">
        <v>17942</v>
      </c>
      <c r="F457" t="s">
        <v>30052</v>
      </c>
      <c r="G457" t="s">
        <v>30058</v>
      </c>
      <c r="H457" t="s">
        <v>15498</v>
      </c>
      <c r="I457" t="s">
        <v>30125</v>
      </c>
      <c r="J457" t="s">
        <v>30560</v>
      </c>
      <c r="K457" t="s">
        <v>39029</v>
      </c>
      <c r="M457" t="s">
        <v>39551</v>
      </c>
      <c r="N457" t="s">
        <v>43166</v>
      </c>
      <c r="O457" t="s">
        <v>43167</v>
      </c>
      <c r="P457">
        <v>0</v>
      </c>
      <c r="Q457">
        <v>1</v>
      </c>
      <c r="R457" t="s">
        <v>43168</v>
      </c>
      <c r="S457" t="s">
        <v>43286</v>
      </c>
      <c r="T457" t="s">
        <v>44693</v>
      </c>
      <c r="U457" t="s">
        <v>45631</v>
      </c>
      <c r="W457" t="s">
        <v>39551</v>
      </c>
      <c r="X457" t="s">
        <v>43171</v>
      </c>
    </row>
    <row r="458" spans="1:24">
      <c r="A458">
        <f>HYPERLINK("https://www.philgeps.gov.ph/GEPSNONPILOT/Tender/SplashBidNoticeAbstractUI.aspx?menuIndex=3&amp;refID=7086086&amp;Result=3","7086086")</f>
        <v>0</v>
      </c>
      <c r="B458" t="s">
        <v>245</v>
      </c>
      <c r="C458" t="s">
        <v>3882</v>
      </c>
      <c r="D458" t="s">
        <v>17481</v>
      </c>
      <c r="E458" t="s">
        <v>17943</v>
      </c>
      <c r="F458" t="s">
        <v>30052</v>
      </c>
      <c r="G458" t="s">
        <v>30058</v>
      </c>
      <c r="H458" t="s">
        <v>30067</v>
      </c>
      <c r="I458" t="s">
        <v>3693</v>
      </c>
      <c r="J458" t="s">
        <v>30561</v>
      </c>
      <c r="K458" t="s">
        <v>39031</v>
      </c>
      <c r="M458" t="s">
        <v>39535</v>
      </c>
      <c r="N458" t="s">
        <v>43166</v>
      </c>
      <c r="O458" t="s">
        <v>43167</v>
      </c>
      <c r="P458">
        <v>0</v>
      </c>
      <c r="Q458">
        <v>0</v>
      </c>
      <c r="R458" t="s">
        <v>43168</v>
      </c>
      <c r="S458" t="s">
        <v>43286</v>
      </c>
      <c r="T458" t="s">
        <v>44684</v>
      </c>
      <c r="U458" t="s">
        <v>45632</v>
      </c>
      <c r="V458" t="s">
        <v>56887</v>
      </c>
      <c r="W458" t="s">
        <v>39535</v>
      </c>
      <c r="X458" t="s">
        <v>43171</v>
      </c>
    </row>
    <row r="459" spans="1:24">
      <c r="A459">
        <f>HYPERLINK("https://www.philgeps.gov.ph/GEPSNONPILOT/Tender/SplashBidNoticeAbstractUI.aspx?menuIndex=3&amp;refID=7086177&amp;Result=3","7086177")</f>
        <v>0</v>
      </c>
      <c r="B459" t="s">
        <v>261</v>
      </c>
      <c r="C459" t="s">
        <v>3883</v>
      </c>
      <c r="D459" t="s">
        <v>17454</v>
      </c>
      <c r="E459" t="s">
        <v>17944</v>
      </c>
      <c r="F459" t="s">
        <v>30052</v>
      </c>
      <c r="G459" t="s">
        <v>30058</v>
      </c>
      <c r="H459" t="s">
        <v>30067</v>
      </c>
      <c r="I459" t="s">
        <v>3693</v>
      </c>
      <c r="J459" t="s">
        <v>30562</v>
      </c>
      <c r="K459" t="s">
        <v>39016</v>
      </c>
      <c r="M459" t="s">
        <v>39552</v>
      </c>
      <c r="N459" t="s">
        <v>43166</v>
      </c>
      <c r="O459" t="s">
        <v>43167</v>
      </c>
      <c r="P459">
        <v>0</v>
      </c>
      <c r="Q459">
        <v>0</v>
      </c>
      <c r="R459" t="s">
        <v>43168</v>
      </c>
      <c r="S459" t="s">
        <v>43286</v>
      </c>
      <c r="T459" t="s">
        <v>44775</v>
      </c>
      <c r="U459" t="s">
        <v>45633</v>
      </c>
      <c r="W459" t="s">
        <v>39552</v>
      </c>
      <c r="X459" t="s">
        <v>43171</v>
      </c>
    </row>
    <row r="460" spans="1:24">
      <c r="A460">
        <f>HYPERLINK("https://www.philgeps.gov.ph/GEPSNONPILOT/Tender/SplashBidNoticeAbstractUI.aspx?menuIndex=3&amp;refID=7086113&amp;Result=3","7086113")</f>
        <v>0</v>
      </c>
      <c r="B460" t="s">
        <v>251</v>
      </c>
      <c r="C460" t="s">
        <v>3884</v>
      </c>
      <c r="D460" t="s">
        <v>17415</v>
      </c>
      <c r="E460" t="s">
        <v>17945</v>
      </c>
      <c r="F460" t="s">
        <v>30052</v>
      </c>
      <c r="G460" t="s">
        <v>30058</v>
      </c>
      <c r="H460" t="s">
        <v>15498</v>
      </c>
      <c r="I460" t="s">
        <v>3852</v>
      </c>
      <c r="J460" t="s">
        <v>30563</v>
      </c>
      <c r="K460" t="s">
        <v>39017</v>
      </c>
      <c r="M460" t="s">
        <v>39541</v>
      </c>
      <c r="N460" t="s">
        <v>43166</v>
      </c>
      <c r="O460" t="s">
        <v>43167</v>
      </c>
      <c r="P460">
        <v>0</v>
      </c>
      <c r="Q460">
        <v>1</v>
      </c>
      <c r="R460" t="s">
        <v>43168</v>
      </c>
      <c r="S460" t="s">
        <v>43286</v>
      </c>
      <c r="T460" t="s">
        <v>44677</v>
      </c>
      <c r="U460" t="s">
        <v>45634</v>
      </c>
      <c r="W460" t="s">
        <v>39541</v>
      </c>
      <c r="X460" t="s">
        <v>43171</v>
      </c>
    </row>
    <row r="461" spans="1:24">
      <c r="A461">
        <f>HYPERLINK("https://www.philgeps.gov.ph/GEPSNONPILOT/Tender/SplashBidNoticeAbstractUI.aspx?menuIndex=3&amp;refID=7086044&amp;Result=3","7086044")</f>
        <v>0</v>
      </c>
      <c r="B461" t="s">
        <v>262</v>
      </c>
      <c r="C461" t="s">
        <v>3885</v>
      </c>
      <c r="D461" t="s">
        <v>17485</v>
      </c>
      <c r="E461" t="s">
        <v>17946</v>
      </c>
      <c r="F461" t="s">
        <v>30052</v>
      </c>
      <c r="G461" t="s">
        <v>30061</v>
      </c>
      <c r="H461" t="s">
        <v>15498</v>
      </c>
      <c r="I461" t="s">
        <v>30106</v>
      </c>
      <c r="J461" t="s">
        <v>30564</v>
      </c>
      <c r="K461" t="s">
        <v>39019</v>
      </c>
      <c r="M461" t="s">
        <v>39553</v>
      </c>
      <c r="N461" t="s">
        <v>43166</v>
      </c>
      <c r="O461" t="s">
        <v>43167</v>
      </c>
      <c r="P461">
        <v>0</v>
      </c>
      <c r="Q461">
        <v>2</v>
      </c>
      <c r="R461" t="s">
        <v>43168</v>
      </c>
      <c r="S461" t="s">
        <v>43286</v>
      </c>
      <c r="T461" t="s">
        <v>44776</v>
      </c>
      <c r="U461" t="s">
        <v>45635</v>
      </c>
      <c r="W461" t="s">
        <v>39553</v>
      </c>
      <c r="X461" t="s">
        <v>43171</v>
      </c>
    </row>
    <row r="462" spans="1:24">
      <c r="A462">
        <f>HYPERLINK("https://www.philgeps.gov.ph/GEPSNONPILOT/Tender/SplashBidNoticeAbstractUI.aspx?menuIndex=3&amp;refID=7086163&amp;Result=3","7086163")</f>
        <v>0</v>
      </c>
      <c r="B462" t="s">
        <v>253</v>
      </c>
      <c r="C462" t="s">
        <v>3886</v>
      </c>
      <c r="D462" t="s">
        <v>17435</v>
      </c>
      <c r="E462" t="s">
        <v>17947</v>
      </c>
      <c r="F462" t="s">
        <v>30052</v>
      </c>
      <c r="G462" t="s">
        <v>30058</v>
      </c>
      <c r="H462" t="s">
        <v>15498</v>
      </c>
      <c r="I462" t="s">
        <v>3736</v>
      </c>
      <c r="J462" t="s">
        <v>30230</v>
      </c>
      <c r="K462" t="s">
        <v>39019</v>
      </c>
      <c r="M462" t="s">
        <v>39544</v>
      </c>
      <c r="N462" t="s">
        <v>43166</v>
      </c>
      <c r="O462" t="s">
        <v>43167</v>
      </c>
      <c r="P462">
        <v>0</v>
      </c>
      <c r="Q462">
        <v>0</v>
      </c>
      <c r="R462" t="s">
        <v>43168</v>
      </c>
      <c r="S462" t="s">
        <v>43286</v>
      </c>
      <c r="T462" t="s">
        <v>44718</v>
      </c>
      <c r="U462" t="s">
        <v>45312</v>
      </c>
      <c r="W462" t="s">
        <v>39544</v>
      </c>
      <c r="X462" t="s">
        <v>43171</v>
      </c>
    </row>
    <row r="463" spans="1:24">
      <c r="A463">
        <f>HYPERLINK("https://www.philgeps.gov.ph/GEPSNONPILOT/Tender/SplashBidNoticeAbstractUI.aspx?menuIndex=3&amp;refID=7086159&amp;Result=3","7086159")</f>
        <v>0</v>
      </c>
      <c r="B463" t="s">
        <v>251</v>
      </c>
      <c r="C463" t="s">
        <v>3887</v>
      </c>
      <c r="D463" t="s">
        <v>17415</v>
      </c>
      <c r="E463" t="s">
        <v>17948</v>
      </c>
      <c r="F463" t="s">
        <v>30052</v>
      </c>
      <c r="G463" t="s">
        <v>30058</v>
      </c>
      <c r="H463" t="s">
        <v>30069</v>
      </c>
      <c r="I463" t="s">
        <v>8758</v>
      </c>
      <c r="J463" t="s">
        <v>30565</v>
      </c>
      <c r="K463" t="s">
        <v>39017</v>
      </c>
      <c r="M463" t="s">
        <v>39541</v>
      </c>
      <c r="N463" t="s">
        <v>43166</v>
      </c>
      <c r="O463" t="s">
        <v>43167</v>
      </c>
      <c r="P463">
        <v>0</v>
      </c>
      <c r="Q463">
        <v>4</v>
      </c>
      <c r="R463" t="s">
        <v>43168</v>
      </c>
      <c r="S463" t="s">
        <v>43286</v>
      </c>
      <c r="T463" t="s">
        <v>44677</v>
      </c>
      <c r="U463" t="s">
        <v>45636</v>
      </c>
      <c r="W463" t="s">
        <v>39541</v>
      </c>
      <c r="X463" t="s">
        <v>43171</v>
      </c>
    </row>
    <row r="464" spans="1:24">
      <c r="A464">
        <f>HYPERLINK("https://www.philgeps.gov.ph/GEPSNONPILOT/Tender/SplashBidNoticeAbstractUI.aspx?menuIndex=3&amp;refID=7086150&amp;Result=3","7086150")</f>
        <v>0</v>
      </c>
      <c r="B464" t="s">
        <v>201</v>
      </c>
      <c r="C464" t="s">
        <v>3888</v>
      </c>
      <c r="E464" t="s">
        <v>17949</v>
      </c>
      <c r="F464" t="s">
        <v>30052</v>
      </c>
      <c r="G464" t="s">
        <v>30059</v>
      </c>
      <c r="H464" t="s">
        <v>15498</v>
      </c>
      <c r="I464" t="s">
        <v>30076</v>
      </c>
      <c r="J464" t="s">
        <v>30566</v>
      </c>
      <c r="K464" t="s">
        <v>39025</v>
      </c>
      <c r="M464" t="s">
        <v>39554</v>
      </c>
      <c r="N464" t="s">
        <v>43166</v>
      </c>
      <c r="O464" t="s">
        <v>43167</v>
      </c>
      <c r="P464">
        <v>0</v>
      </c>
      <c r="Q464">
        <v>3</v>
      </c>
      <c r="R464" t="s">
        <v>43168</v>
      </c>
      <c r="S464" t="s">
        <v>43286</v>
      </c>
      <c r="T464" t="s">
        <v>44691</v>
      </c>
      <c r="U464" t="s">
        <v>45637</v>
      </c>
      <c r="W464" t="s">
        <v>39554</v>
      </c>
      <c r="X464" t="s">
        <v>43171</v>
      </c>
    </row>
    <row r="465" spans="1:24">
      <c r="A465">
        <f>HYPERLINK("https://www.philgeps.gov.ph/GEPSNONPILOT/Tender/SplashBidNoticeAbstractUI.aspx?menuIndex=3&amp;refID=7086126&amp;Result=3","7086126")</f>
        <v>0</v>
      </c>
      <c r="B465" t="s">
        <v>240</v>
      </c>
      <c r="C465" t="s">
        <v>3627</v>
      </c>
      <c r="D465" t="s">
        <v>17465</v>
      </c>
      <c r="E465" t="s">
        <v>17950</v>
      </c>
      <c r="F465" t="s">
        <v>30052</v>
      </c>
      <c r="G465" t="s">
        <v>30061</v>
      </c>
      <c r="H465" t="s">
        <v>15498</v>
      </c>
      <c r="I465" t="s">
        <v>4119</v>
      </c>
      <c r="J465" t="s">
        <v>30567</v>
      </c>
      <c r="K465" t="s">
        <v>39036</v>
      </c>
      <c r="M465" t="s">
        <v>39530</v>
      </c>
      <c r="N465" t="s">
        <v>43166</v>
      </c>
      <c r="O465" t="s">
        <v>43167</v>
      </c>
      <c r="P465">
        <v>0</v>
      </c>
      <c r="Q465">
        <v>1</v>
      </c>
      <c r="R465" t="s">
        <v>43168</v>
      </c>
      <c r="S465" t="s">
        <v>43286</v>
      </c>
      <c r="T465" t="s">
        <v>44715</v>
      </c>
      <c r="U465" t="s">
        <v>45638</v>
      </c>
      <c r="W465" t="s">
        <v>39530</v>
      </c>
      <c r="X465" t="s">
        <v>43171</v>
      </c>
    </row>
    <row r="466" spans="1:24">
      <c r="A466">
        <f>HYPERLINK("https://www.philgeps.gov.ph/GEPSNONPILOT/Tender/SplashBidNoticeAbstractUI.aspx?menuIndex=3&amp;refID=7086120&amp;Result=3","7086120")</f>
        <v>0</v>
      </c>
      <c r="B466" t="s">
        <v>261</v>
      </c>
      <c r="C466" t="s">
        <v>3889</v>
      </c>
      <c r="D466" t="s">
        <v>17454</v>
      </c>
      <c r="E466" t="s">
        <v>17951</v>
      </c>
      <c r="F466" t="s">
        <v>30052</v>
      </c>
      <c r="G466" t="s">
        <v>30058</v>
      </c>
      <c r="H466" t="s">
        <v>15498</v>
      </c>
      <c r="I466" t="s">
        <v>3736</v>
      </c>
      <c r="J466" t="s">
        <v>30568</v>
      </c>
      <c r="K466" t="s">
        <v>39037</v>
      </c>
      <c r="M466" t="s">
        <v>39552</v>
      </c>
      <c r="N466" t="s">
        <v>43166</v>
      </c>
      <c r="O466" t="s">
        <v>43167</v>
      </c>
      <c r="P466">
        <v>0</v>
      </c>
      <c r="Q466">
        <v>0</v>
      </c>
      <c r="R466" t="s">
        <v>43168</v>
      </c>
      <c r="S466" t="s">
        <v>43286</v>
      </c>
      <c r="T466" t="s">
        <v>44753</v>
      </c>
      <c r="U466" t="s">
        <v>45639</v>
      </c>
      <c r="W466" t="s">
        <v>39552</v>
      </c>
      <c r="X466" t="s">
        <v>43171</v>
      </c>
    </row>
    <row r="467" spans="1:24">
      <c r="A467">
        <f>HYPERLINK("https://www.philgeps.gov.ph/GEPSNONPILOT/Tender/SplashBidNoticeAbstractUI.aspx?menuIndex=3&amp;refID=7086183&amp;Result=3","7086183")</f>
        <v>0</v>
      </c>
      <c r="B467" t="s">
        <v>258</v>
      </c>
      <c r="C467" t="s">
        <v>3890</v>
      </c>
      <c r="D467" t="s">
        <v>17460</v>
      </c>
      <c r="E467" t="s">
        <v>17952</v>
      </c>
      <c r="F467" t="s">
        <v>30052</v>
      </c>
      <c r="G467" t="s">
        <v>30058</v>
      </c>
      <c r="H467" t="s">
        <v>15498</v>
      </c>
      <c r="I467" t="s">
        <v>30074</v>
      </c>
      <c r="J467" t="s">
        <v>30569</v>
      </c>
      <c r="K467" t="s">
        <v>39034</v>
      </c>
      <c r="M467" t="s">
        <v>39549</v>
      </c>
      <c r="N467" t="s">
        <v>43166</v>
      </c>
      <c r="O467" t="s">
        <v>43167</v>
      </c>
      <c r="P467">
        <v>0</v>
      </c>
      <c r="Q467">
        <v>3</v>
      </c>
      <c r="R467" t="s">
        <v>43168</v>
      </c>
      <c r="S467" t="s">
        <v>43286</v>
      </c>
      <c r="T467" t="s">
        <v>44726</v>
      </c>
      <c r="U467" t="s">
        <v>45640</v>
      </c>
      <c r="W467" t="s">
        <v>39549</v>
      </c>
      <c r="X467" t="s">
        <v>43171</v>
      </c>
    </row>
    <row r="468" spans="1:24">
      <c r="A468">
        <f>HYPERLINK("https://www.philgeps.gov.ph/GEPSNONPILOT/Tender/SplashBidNoticeAbstractUI.aspx?menuIndex=3&amp;refID=7086102&amp;Result=3","7086102")</f>
        <v>0</v>
      </c>
      <c r="B468" t="s">
        <v>263</v>
      </c>
      <c r="C468" t="s">
        <v>3891</v>
      </c>
      <c r="D468" t="s">
        <v>17456</v>
      </c>
      <c r="E468" t="s">
        <v>17953</v>
      </c>
      <c r="F468" t="s">
        <v>30052</v>
      </c>
      <c r="G468" t="s">
        <v>30059</v>
      </c>
      <c r="H468" t="s">
        <v>15498</v>
      </c>
      <c r="I468" t="s">
        <v>30125</v>
      </c>
      <c r="J468" t="s">
        <v>30570</v>
      </c>
      <c r="K468" t="s">
        <v>39034</v>
      </c>
      <c r="M468" t="s">
        <v>39555</v>
      </c>
      <c r="N468" t="s">
        <v>43166</v>
      </c>
      <c r="O468" t="s">
        <v>43167</v>
      </c>
      <c r="P468">
        <v>0</v>
      </c>
      <c r="Q468">
        <v>0</v>
      </c>
      <c r="R468" t="s">
        <v>43168</v>
      </c>
      <c r="S468" t="s">
        <v>43286</v>
      </c>
      <c r="T468" t="s">
        <v>44695</v>
      </c>
      <c r="U468" t="s">
        <v>45641</v>
      </c>
      <c r="W468" t="s">
        <v>39555</v>
      </c>
      <c r="X468" t="s">
        <v>43171</v>
      </c>
    </row>
    <row r="469" spans="1:24">
      <c r="A469">
        <f>HYPERLINK("https://www.philgeps.gov.ph/GEPSNONPILOT/Tender/SplashBidNoticeAbstractUI.aspx?menuIndex=3&amp;refID=7086193&amp;Result=3","7086193")</f>
        <v>0</v>
      </c>
      <c r="B469" t="s">
        <v>260</v>
      </c>
      <c r="C469" t="s">
        <v>3892</v>
      </c>
      <c r="E469" t="s">
        <v>17954</v>
      </c>
      <c r="F469" t="s">
        <v>30052</v>
      </c>
      <c r="G469" t="s">
        <v>30058</v>
      </c>
      <c r="H469" t="s">
        <v>15498</v>
      </c>
      <c r="I469" t="s">
        <v>3736</v>
      </c>
      <c r="J469" t="s">
        <v>30571</v>
      </c>
      <c r="K469" t="s">
        <v>39029</v>
      </c>
      <c r="M469" t="s">
        <v>39551</v>
      </c>
      <c r="N469" t="s">
        <v>43166</v>
      </c>
      <c r="O469" t="s">
        <v>43167</v>
      </c>
      <c r="P469">
        <v>0</v>
      </c>
      <c r="Q469">
        <v>3</v>
      </c>
      <c r="R469" t="s">
        <v>43168</v>
      </c>
      <c r="S469" t="s">
        <v>43286</v>
      </c>
      <c r="T469" t="s">
        <v>44693</v>
      </c>
      <c r="U469" t="s">
        <v>45642</v>
      </c>
      <c r="W469" t="s">
        <v>39551</v>
      </c>
      <c r="X469" t="s">
        <v>43171</v>
      </c>
    </row>
    <row r="470" spans="1:24">
      <c r="A470">
        <f>HYPERLINK("https://www.philgeps.gov.ph/GEPSNONPILOT/Tender/SplashBidNoticeAbstractUI.aspx?menuIndex=3&amp;refID=7086169&amp;Result=3","7086169")</f>
        <v>0</v>
      </c>
      <c r="B470" t="s">
        <v>256</v>
      </c>
      <c r="C470" t="s">
        <v>3893</v>
      </c>
      <c r="D470" t="s">
        <v>17415</v>
      </c>
      <c r="E470" t="s">
        <v>17955</v>
      </c>
      <c r="F470" t="s">
        <v>30052</v>
      </c>
      <c r="G470" t="s">
        <v>30060</v>
      </c>
      <c r="H470" t="s">
        <v>15498</v>
      </c>
      <c r="I470" t="s">
        <v>30074</v>
      </c>
      <c r="J470" t="s">
        <v>30532</v>
      </c>
      <c r="K470" t="s">
        <v>39025</v>
      </c>
      <c r="M470" t="s">
        <v>39547</v>
      </c>
      <c r="N470" t="s">
        <v>43166</v>
      </c>
      <c r="O470" t="s">
        <v>43167</v>
      </c>
      <c r="P470">
        <v>0</v>
      </c>
      <c r="Q470">
        <v>6</v>
      </c>
      <c r="R470" t="s">
        <v>43168</v>
      </c>
      <c r="S470" t="s">
        <v>43286</v>
      </c>
      <c r="T470" t="s">
        <v>44691</v>
      </c>
      <c r="U470" t="s">
        <v>45625</v>
      </c>
      <c r="W470" t="s">
        <v>39547</v>
      </c>
      <c r="X470" t="s">
        <v>43171</v>
      </c>
    </row>
    <row r="471" spans="1:24">
      <c r="A471">
        <f>HYPERLINK("https://www.philgeps.gov.ph/GEPSNONPILOT/Tender/SplashBidNoticeAbstractUI.aspx?menuIndex=3&amp;refID=7086151&amp;Result=3","7086151")</f>
        <v>0</v>
      </c>
      <c r="B471" t="s">
        <v>256</v>
      </c>
      <c r="C471" t="s">
        <v>3894</v>
      </c>
      <c r="D471" t="s">
        <v>17415</v>
      </c>
      <c r="E471" t="s">
        <v>17956</v>
      </c>
      <c r="F471" t="s">
        <v>30052</v>
      </c>
      <c r="G471" t="s">
        <v>30060</v>
      </c>
      <c r="H471" t="s">
        <v>15498</v>
      </c>
      <c r="I471" t="s">
        <v>30098</v>
      </c>
      <c r="J471" t="s">
        <v>30397</v>
      </c>
      <c r="K471" t="s">
        <v>39025</v>
      </c>
      <c r="M471" t="s">
        <v>39547</v>
      </c>
      <c r="N471" t="s">
        <v>43166</v>
      </c>
      <c r="O471" t="s">
        <v>43167</v>
      </c>
      <c r="P471">
        <v>0</v>
      </c>
      <c r="Q471">
        <v>5</v>
      </c>
      <c r="R471" t="s">
        <v>43168</v>
      </c>
      <c r="S471" t="s">
        <v>43286</v>
      </c>
      <c r="T471" t="s">
        <v>44691</v>
      </c>
      <c r="U471" t="s">
        <v>45625</v>
      </c>
      <c r="W471" t="s">
        <v>39547</v>
      </c>
      <c r="X471" t="s">
        <v>43171</v>
      </c>
    </row>
    <row r="472" spans="1:24">
      <c r="A472">
        <f>HYPERLINK("https://www.philgeps.gov.ph/GEPSNONPILOT/Tender/SplashBidNoticeAbstractUI.aspx?menuIndex=3&amp;refID=7086188&amp;Result=3","7086188")</f>
        <v>0</v>
      </c>
      <c r="B472" t="s">
        <v>256</v>
      </c>
      <c r="C472" t="s">
        <v>3895</v>
      </c>
      <c r="D472" t="s">
        <v>17415</v>
      </c>
      <c r="E472" t="s">
        <v>17957</v>
      </c>
      <c r="F472" t="s">
        <v>30052</v>
      </c>
      <c r="G472" t="s">
        <v>30060</v>
      </c>
      <c r="H472" t="s">
        <v>15498</v>
      </c>
      <c r="I472" t="s">
        <v>30074</v>
      </c>
      <c r="J472" t="s">
        <v>30572</v>
      </c>
      <c r="K472" t="s">
        <v>39025</v>
      </c>
      <c r="M472" t="s">
        <v>39547</v>
      </c>
      <c r="N472" t="s">
        <v>43166</v>
      </c>
      <c r="O472" t="s">
        <v>43167</v>
      </c>
      <c r="P472">
        <v>0</v>
      </c>
      <c r="Q472">
        <v>5</v>
      </c>
      <c r="R472" t="s">
        <v>43168</v>
      </c>
      <c r="S472" t="s">
        <v>43286</v>
      </c>
      <c r="T472" t="s">
        <v>44691</v>
      </c>
      <c r="U472" t="s">
        <v>45625</v>
      </c>
      <c r="W472" t="s">
        <v>39547</v>
      </c>
      <c r="X472" t="s">
        <v>43171</v>
      </c>
    </row>
    <row r="473" spans="1:24">
      <c r="A473">
        <f>HYPERLINK("https://www.philgeps.gov.ph/GEPSNONPILOT/Tender/SplashBidNoticeAbstractUI.aspx?menuIndex=3&amp;refID=7086145&amp;Result=3","7086145")</f>
        <v>0</v>
      </c>
      <c r="B473" t="s">
        <v>264</v>
      </c>
      <c r="C473" t="s">
        <v>3896</v>
      </c>
      <c r="D473" t="s">
        <v>17449</v>
      </c>
      <c r="E473" t="s">
        <v>17958</v>
      </c>
      <c r="F473" t="s">
        <v>30052</v>
      </c>
      <c r="G473" t="s">
        <v>30058</v>
      </c>
      <c r="H473" t="s">
        <v>15498</v>
      </c>
      <c r="I473" t="s">
        <v>30126</v>
      </c>
      <c r="J473" t="s">
        <v>30218</v>
      </c>
      <c r="K473" t="s">
        <v>39029</v>
      </c>
      <c r="M473" t="s">
        <v>39556</v>
      </c>
      <c r="N473" t="s">
        <v>43166</v>
      </c>
      <c r="O473" t="s">
        <v>43167</v>
      </c>
      <c r="P473">
        <v>0</v>
      </c>
      <c r="Q473">
        <v>1</v>
      </c>
      <c r="R473" t="s">
        <v>43168</v>
      </c>
      <c r="S473" t="s">
        <v>43286</v>
      </c>
      <c r="T473" t="s">
        <v>44724</v>
      </c>
      <c r="U473" t="s">
        <v>45643</v>
      </c>
      <c r="W473" t="s">
        <v>39556</v>
      </c>
      <c r="X473" t="s">
        <v>43171</v>
      </c>
    </row>
    <row r="474" spans="1:24">
      <c r="A474">
        <f>HYPERLINK("https://www.philgeps.gov.ph/GEPSNONPILOT/Tender/SplashBidNoticeAbstractUI.aspx?menuIndex=3&amp;refID=7086144&amp;Result=3","7086144")</f>
        <v>0</v>
      </c>
      <c r="B474" t="s">
        <v>249</v>
      </c>
      <c r="C474" t="s">
        <v>3873</v>
      </c>
      <c r="D474" t="s">
        <v>17439</v>
      </c>
      <c r="E474" t="s">
        <v>17959</v>
      </c>
      <c r="F474" t="s">
        <v>30052</v>
      </c>
      <c r="G474" t="s">
        <v>30059</v>
      </c>
      <c r="H474" t="s">
        <v>15498</v>
      </c>
      <c r="I474" t="s">
        <v>30081</v>
      </c>
      <c r="J474" t="s">
        <v>30573</v>
      </c>
      <c r="K474" t="s">
        <v>39019</v>
      </c>
      <c r="M474" t="s">
        <v>39539</v>
      </c>
      <c r="N474" t="s">
        <v>43166</v>
      </c>
      <c r="O474" t="s">
        <v>43167</v>
      </c>
      <c r="P474">
        <v>0</v>
      </c>
      <c r="Q474">
        <v>0</v>
      </c>
      <c r="R474" t="s">
        <v>43168</v>
      </c>
      <c r="S474" t="s">
        <v>43286</v>
      </c>
      <c r="T474" t="s">
        <v>44685</v>
      </c>
      <c r="U474" t="s">
        <v>45614</v>
      </c>
      <c r="W474" t="s">
        <v>39539</v>
      </c>
      <c r="X474" t="s">
        <v>43171</v>
      </c>
    </row>
    <row r="475" spans="1:24">
      <c r="A475">
        <f>HYPERLINK("https://www.philgeps.gov.ph/GEPSNONPILOT/Tender/SplashBidNoticeAbstractUI.aspx?menuIndex=3&amp;refID=7086199&amp;Result=3","7086199")</f>
        <v>0</v>
      </c>
      <c r="B475" t="s">
        <v>265</v>
      </c>
      <c r="C475" t="s">
        <v>3897</v>
      </c>
      <c r="D475" t="s">
        <v>17455</v>
      </c>
      <c r="E475" t="s">
        <v>17960</v>
      </c>
      <c r="F475" t="s">
        <v>30052</v>
      </c>
      <c r="G475" t="s">
        <v>30061</v>
      </c>
      <c r="H475" t="s">
        <v>15498</v>
      </c>
      <c r="I475" t="s">
        <v>30127</v>
      </c>
      <c r="J475" t="s">
        <v>30574</v>
      </c>
      <c r="K475" t="s">
        <v>39017</v>
      </c>
      <c r="M475" t="s">
        <v>39557</v>
      </c>
      <c r="N475" t="s">
        <v>43166</v>
      </c>
      <c r="O475" t="s">
        <v>43167</v>
      </c>
      <c r="P475">
        <v>0</v>
      </c>
      <c r="Q475">
        <v>3</v>
      </c>
      <c r="R475" t="s">
        <v>43168</v>
      </c>
      <c r="S475" t="s">
        <v>43286</v>
      </c>
      <c r="T475" t="s">
        <v>44714</v>
      </c>
      <c r="U475" t="s">
        <v>45644</v>
      </c>
      <c r="W475" t="s">
        <v>39557</v>
      </c>
      <c r="X475" t="s">
        <v>43171</v>
      </c>
    </row>
    <row r="476" spans="1:24">
      <c r="A476">
        <f>HYPERLINK("https://www.philgeps.gov.ph/GEPSNONPILOT/Tender/SplashBidNoticeAbstractUI.aspx?menuIndex=3&amp;refID=7086136&amp;Result=3","7086136")</f>
        <v>0</v>
      </c>
      <c r="B476" t="s">
        <v>251</v>
      </c>
      <c r="C476" t="s">
        <v>3898</v>
      </c>
      <c r="D476" t="s">
        <v>17415</v>
      </c>
      <c r="E476" t="s">
        <v>17961</v>
      </c>
      <c r="F476" t="s">
        <v>30052</v>
      </c>
      <c r="G476" t="s">
        <v>30058</v>
      </c>
      <c r="H476" t="s">
        <v>30069</v>
      </c>
      <c r="I476" t="s">
        <v>6304</v>
      </c>
      <c r="J476" t="s">
        <v>30575</v>
      </c>
      <c r="K476" t="s">
        <v>39023</v>
      </c>
      <c r="M476" t="s">
        <v>39541</v>
      </c>
      <c r="N476" t="s">
        <v>43166</v>
      </c>
      <c r="O476" t="s">
        <v>43167</v>
      </c>
      <c r="P476">
        <v>0</v>
      </c>
      <c r="Q476">
        <v>0</v>
      </c>
      <c r="R476" t="s">
        <v>43168</v>
      </c>
      <c r="S476" t="s">
        <v>43286</v>
      </c>
      <c r="T476" t="s">
        <v>44677</v>
      </c>
      <c r="U476" t="s">
        <v>45645</v>
      </c>
      <c r="W476" t="s">
        <v>39541</v>
      </c>
      <c r="X476" t="s">
        <v>43171</v>
      </c>
    </row>
    <row r="477" spans="1:24">
      <c r="A477">
        <f>HYPERLINK("https://www.philgeps.gov.ph/GEPSNONPILOT/Tender/SplashBidNoticeAbstractUI.aspx?menuIndex=3&amp;refID=7086185&amp;Result=3","7086185")</f>
        <v>0</v>
      </c>
      <c r="B477" t="s">
        <v>251</v>
      </c>
      <c r="C477" t="s">
        <v>3899</v>
      </c>
      <c r="D477" t="s">
        <v>17415</v>
      </c>
      <c r="E477" t="s">
        <v>17962</v>
      </c>
      <c r="F477" t="s">
        <v>30052</v>
      </c>
      <c r="G477" t="s">
        <v>30058</v>
      </c>
      <c r="H477" t="s">
        <v>15498</v>
      </c>
      <c r="I477" t="s">
        <v>30070</v>
      </c>
      <c r="J477" t="s">
        <v>30343</v>
      </c>
      <c r="K477" t="s">
        <v>39017</v>
      </c>
      <c r="M477" t="s">
        <v>39541</v>
      </c>
      <c r="N477" t="s">
        <v>43166</v>
      </c>
      <c r="O477" t="s">
        <v>43167</v>
      </c>
      <c r="P477">
        <v>0</v>
      </c>
      <c r="Q477">
        <v>0</v>
      </c>
      <c r="R477" t="s">
        <v>43168</v>
      </c>
      <c r="S477" t="s">
        <v>43286</v>
      </c>
      <c r="T477" t="s">
        <v>44677</v>
      </c>
      <c r="U477" t="s">
        <v>45646</v>
      </c>
      <c r="W477" t="s">
        <v>39541</v>
      </c>
      <c r="X477" t="s">
        <v>43171</v>
      </c>
    </row>
    <row r="478" spans="1:24">
      <c r="A478">
        <f>HYPERLINK("https://www.philgeps.gov.ph/GEPSNONPILOT/Tender/SplashBidNoticeAbstractUI.aspx?menuIndex=3&amp;refID=7086147&amp;Result=3","7086147")</f>
        <v>0</v>
      </c>
      <c r="B478" t="s">
        <v>261</v>
      </c>
      <c r="C478" t="s">
        <v>3900</v>
      </c>
      <c r="D478" t="s">
        <v>17454</v>
      </c>
      <c r="E478" t="s">
        <v>17963</v>
      </c>
      <c r="F478" t="s">
        <v>30052</v>
      </c>
      <c r="G478" t="s">
        <v>30058</v>
      </c>
      <c r="H478" t="s">
        <v>15498</v>
      </c>
      <c r="I478" t="s">
        <v>3736</v>
      </c>
      <c r="J478" t="s">
        <v>30576</v>
      </c>
      <c r="K478" t="s">
        <v>39037</v>
      </c>
      <c r="M478" t="s">
        <v>39552</v>
      </c>
      <c r="N478" t="s">
        <v>43166</v>
      </c>
      <c r="O478" t="s">
        <v>43167</v>
      </c>
      <c r="P478">
        <v>0</v>
      </c>
      <c r="Q478">
        <v>1</v>
      </c>
      <c r="R478" t="s">
        <v>43168</v>
      </c>
      <c r="S478" t="s">
        <v>43286</v>
      </c>
      <c r="T478" t="s">
        <v>44753</v>
      </c>
      <c r="U478" t="s">
        <v>45647</v>
      </c>
      <c r="W478" t="s">
        <v>39552</v>
      </c>
      <c r="X478" t="s">
        <v>43171</v>
      </c>
    </row>
    <row r="479" spans="1:24">
      <c r="A479">
        <f>HYPERLINK("https://www.philgeps.gov.ph/GEPSNONPILOT/Tender/SplashBidNoticeAbstractUI.aspx?menuIndex=3&amp;refID=7086203&amp;Result=3","7086203")</f>
        <v>0</v>
      </c>
      <c r="B479" t="s">
        <v>131</v>
      </c>
      <c r="C479" t="s">
        <v>3901</v>
      </c>
      <c r="D479" t="s">
        <v>17424</v>
      </c>
      <c r="E479" t="s">
        <v>17964</v>
      </c>
      <c r="F479" t="s">
        <v>30052</v>
      </c>
      <c r="G479" t="s">
        <v>30059</v>
      </c>
      <c r="H479" t="s">
        <v>15498</v>
      </c>
      <c r="I479" t="s">
        <v>30071</v>
      </c>
      <c r="J479" t="s">
        <v>30577</v>
      </c>
      <c r="K479" t="s">
        <v>39025</v>
      </c>
      <c r="M479" t="s">
        <v>39420</v>
      </c>
      <c r="N479" t="s">
        <v>43166</v>
      </c>
      <c r="O479" t="s">
        <v>43167</v>
      </c>
      <c r="P479">
        <v>0</v>
      </c>
      <c r="Q479">
        <v>0</v>
      </c>
      <c r="R479" t="s">
        <v>43168</v>
      </c>
      <c r="S479" t="s">
        <v>43286</v>
      </c>
      <c r="T479" t="s">
        <v>44691</v>
      </c>
      <c r="U479" t="s">
        <v>45648</v>
      </c>
      <c r="W479" t="s">
        <v>39420</v>
      </c>
      <c r="X479" t="s">
        <v>43171</v>
      </c>
    </row>
    <row r="480" spans="1:24">
      <c r="A480">
        <f>HYPERLINK("https://www.philgeps.gov.ph/GEPSNONPILOT/Tender/SplashBidNoticeAbstractUI.aspx?menuIndex=3&amp;refID=7086211&amp;Result=3","7086211")</f>
        <v>0</v>
      </c>
      <c r="B480" t="s">
        <v>264</v>
      </c>
      <c r="C480" t="s">
        <v>3902</v>
      </c>
      <c r="D480" t="s">
        <v>17449</v>
      </c>
      <c r="E480" t="s">
        <v>17958</v>
      </c>
      <c r="F480" t="s">
        <v>30052</v>
      </c>
      <c r="G480" t="s">
        <v>30061</v>
      </c>
      <c r="H480" t="s">
        <v>15498</v>
      </c>
      <c r="I480" t="s">
        <v>30106</v>
      </c>
      <c r="J480" t="s">
        <v>30578</v>
      </c>
      <c r="K480" t="s">
        <v>39017</v>
      </c>
      <c r="M480" t="s">
        <v>39556</v>
      </c>
      <c r="N480" t="s">
        <v>43166</v>
      </c>
      <c r="O480" t="s">
        <v>43167</v>
      </c>
      <c r="P480">
        <v>0</v>
      </c>
      <c r="Q480">
        <v>2</v>
      </c>
      <c r="R480" t="s">
        <v>43168</v>
      </c>
      <c r="S480" t="s">
        <v>43286</v>
      </c>
      <c r="T480" t="s">
        <v>44777</v>
      </c>
      <c r="U480" t="s">
        <v>45649</v>
      </c>
      <c r="W480" t="s">
        <v>39556</v>
      </c>
      <c r="X480" t="s">
        <v>43171</v>
      </c>
    </row>
    <row r="481" spans="1:24">
      <c r="A481">
        <f>HYPERLINK("https://www.philgeps.gov.ph/GEPSNONPILOT/Tender/SplashBidNoticeAbstractUI.aspx?menuIndex=3&amp;refID=7086264&amp;Result=3","7086264")</f>
        <v>0</v>
      </c>
      <c r="B481" t="s">
        <v>265</v>
      </c>
      <c r="C481" t="s">
        <v>3903</v>
      </c>
      <c r="D481" t="s">
        <v>17455</v>
      </c>
      <c r="E481" t="s">
        <v>17965</v>
      </c>
      <c r="F481" t="s">
        <v>30052</v>
      </c>
      <c r="G481" t="s">
        <v>30061</v>
      </c>
      <c r="H481" t="s">
        <v>15498</v>
      </c>
      <c r="I481" t="s">
        <v>30097</v>
      </c>
      <c r="J481" t="s">
        <v>30256</v>
      </c>
      <c r="K481" t="s">
        <v>39017</v>
      </c>
      <c r="M481" t="s">
        <v>39557</v>
      </c>
      <c r="N481" t="s">
        <v>43166</v>
      </c>
      <c r="O481" t="s">
        <v>43167</v>
      </c>
      <c r="P481">
        <v>0</v>
      </c>
      <c r="Q481">
        <v>11</v>
      </c>
      <c r="R481" t="s">
        <v>43168</v>
      </c>
      <c r="S481" t="s">
        <v>43286</v>
      </c>
      <c r="T481" t="s">
        <v>44714</v>
      </c>
      <c r="U481" t="s">
        <v>45650</v>
      </c>
      <c r="W481" t="s">
        <v>39557</v>
      </c>
      <c r="X481" t="s">
        <v>43171</v>
      </c>
    </row>
    <row r="482" spans="1:24">
      <c r="A482">
        <f>HYPERLINK("https://www.philgeps.gov.ph/GEPSNONPILOT/Tender/SplashBidNoticeAbstractUI.aspx?menuIndex=3&amp;refID=7086260&amp;Result=3","7086260")</f>
        <v>0</v>
      </c>
      <c r="B482" t="s">
        <v>251</v>
      </c>
      <c r="C482" t="s">
        <v>3904</v>
      </c>
      <c r="D482" t="s">
        <v>17415</v>
      </c>
      <c r="E482" t="s">
        <v>17966</v>
      </c>
      <c r="F482" t="s">
        <v>30052</v>
      </c>
      <c r="G482" t="s">
        <v>30058</v>
      </c>
      <c r="H482" t="s">
        <v>30069</v>
      </c>
      <c r="I482" t="s">
        <v>4650</v>
      </c>
      <c r="J482" t="s">
        <v>30579</v>
      </c>
      <c r="K482" t="s">
        <v>39017</v>
      </c>
      <c r="M482" t="s">
        <v>39541</v>
      </c>
      <c r="N482" t="s">
        <v>43166</v>
      </c>
      <c r="O482" t="s">
        <v>43167</v>
      </c>
      <c r="P482">
        <v>0</v>
      </c>
      <c r="Q482">
        <v>1</v>
      </c>
      <c r="R482" t="s">
        <v>43168</v>
      </c>
      <c r="S482" t="s">
        <v>43286</v>
      </c>
      <c r="T482" t="s">
        <v>44677</v>
      </c>
      <c r="U482" t="s">
        <v>45651</v>
      </c>
      <c r="W482" t="s">
        <v>39541</v>
      </c>
      <c r="X482" t="s">
        <v>43171</v>
      </c>
    </row>
    <row r="483" spans="1:24">
      <c r="A483">
        <f>HYPERLINK("https://www.philgeps.gov.ph/GEPSNONPILOT/Tender/SplashBidNoticeAbstractUI.aspx?menuIndex=3&amp;refID=7086259&amp;Result=3","7086259")</f>
        <v>0</v>
      </c>
      <c r="B483" t="s">
        <v>266</v>
      </c>
      <c r="C483" t="s">
        <v>3905</v>
      </c>
      <c r="D483" t="s">
        <v>17466</v>
      </c>
      <c r="E483" t="s">
        <v>17967</v>
      </c>
      <c r="F483" t="s">
        <v>30052</v>
      </c>
      <c r="G483" t="s">
        <v>30059</v>
      </c>
      <c r="H483" t="s">
        <v>15498</v>
      </c>
      <c r="I483" t="s">
        <v>4650</v>
      </c>
      <c r="J483" t="s">
        <v>30528</v>
      </c>
      <c r="K483" t="s">
        <v>39025</v>
      </c>
      <c r="M483" t="s">
        <v>39558</v>
      </c>
      <c r="N483" t="s">
        <v>43166</v>
      </c>
      <c r="O483" t="s">
        <v>43167</v>
      </c>
      <c r="P483">
        <v>0</v>
      </c>
      <c r="Q483">
        <v>0</v>
      </c>
      <c r="R483" t="s">
        <v>43168</v>
      </c>
      <c r="S483" t="s">
        <v>43286</v>
      </c>
      <c r="T483" t="s">
        <v>44691</v>
      </c>
      <c r="U483" t="s">
        <v>45652</v>
      </c>
      <c r="W483" t="s">
        <v>39558</v>
      </c>
      <c r="X483" t="s">
        <v>43171</v>
      </c>
    </row>
    <row r="484" spans="1:24">
      <c r="A484">
        <f>HYPERLINK("https://www.philgeps.gov.ph/GEPSNONPILOT/Tender/SplashBidNoticeAbstractUI.aspx?menuIndex=3&amp;refID=7086253&amp;Result=3","7086253")</f>
        <v>0</v>
      </c>
      <c r="B484" t="s">
        <v>264</v>
      </c>
      <c r="C484" t="s">
        <v>3906</v>
      </c>
      <c r="D484" t="s">
        <v>17449</v>
      </c>
      <c r="E484" t="s">
        <v>17958</v>
      </c>
      <c r="F484" t="s">
        <v>30052</v>
      </c>
      <c r="G484" t="s">
        <v>30061</v>
      </c>
      <c r="H484" t="s">
        <v>15498</v>
      </c>
      <c r="I484" t="s">
        <v>5961</v>
      </c>
      <c r="J484" t="s">
        <v>30580</v>
      </c>
      <c r="K484" t="s">
        <v>39017</v>
      </c>
      <c r="M484" t="s">
        <v>39556</v>
      </c>
      <c r="N484" t="s">
        <v>43166</v>
      </c>
      <c r="O484" t="s">
        <v>43167</v>
      </c>
      <c r="P484">
        <v>0</v>
      </c>
      <c r="Q484">
        <v>1</v>
      </c>
      <c r="R484" t="s">
        <v>43168</v>
      </c>
      <c r="S484" t="s">
        <v>43286</v>
      </c>
      <c r="T484" t="s">
        <v>44777</v>
      </c>
      <c r="U484" t="s">
        <v>45653</v>
      </c>
      <c r="W484" t="s">
        <v>39556</v>
      </c>
      <c r="X484" t="s">
        <v>43171</v>
      </c>
    </row>
    <row r="485" spans="1:24">
      <c r="A485">
        <f>HYPERLINK("https://www.philgeps.gov.ph/GEPSNONPILOT/Tender/SplashBidNoticeAbstractUI.aspx?menuIndex=3&amp;refID=7086218&amp;Result=3","7086218")</f>
        <v>0</v>
      </c>
      <c r="B485" t="s">
        <v>251</v>
      </c>
      <c r="C485" t="s">
        <v>3907</v>
      </c>
      <c r="D485" t="s">
        <v>17415</v>
      </c>
      <c r="E485" t="s">
        <v>17968</v>
      </c>
      <c r="F485" t="s">
        <v>30052</v>
      </c>
      <c r="G485" t="s">
        <v>30058</v>
      </c>
      <c r="H485" t="s">
        <v>30069</v>
      </c>
      <c r="I485" t="s">
        <v>4650</v>
      </c>
      <c r="J485" t="s">
        <v>30581</v>
      </c>
      <c r="K485" t="s">
        <v>39017</v>
      </c>
      <c r="M485" t="s">
        <v>39541</v>
      </c>
      <c r="N485" t="s">
        <v>43166</v>
      </c>
      <c r="O485" t="s">
        <v>43167</v>
      </c>
      <c r="P485">
        <v>0</v>
      </c>
      <c r="Q485">
        <v>4</v>
      </c>
      <c r="R485" t="s">
        <v>43168</v>
      </c>
      <c r="S485" t="s">
        <v>43286</v>
      </c>
      <c r="T485" t="s">
        <v>44677</v>
      </c>
      <c r="U485" t="s">
        <v>45617</v>
      </c>
      <c r="W485" t="s">
        <v>39541</v>
      </c>
      <c r="X485" t="s">
        <v>43171</v>
      </c>
    </row>
    <row r="486" spans="1:24">
      <c r="A486">
        <f>HYPERLINK("https://www.philgeps.gov.ph/GEPSNONPILOT/Tender/SplashBidNoticeAbstractUI.aspx?menuIndex=3&amp;refID=7086242&amp;Result=3","7086242")</f>
        <v>0</v>
      </c>
      <c r="B486" t="s">
        <v>189</v>
      </c>
      <c r="C486" t="s">
        <v>3908</v>
      </c>
      <c r="D486" t="s">
        <v>17468</v>
      </c>
      <c r="E486" t="s">
        <v>17969</v>
      </c>
      <c r="F486" t="s">
        <v>30052</v>
      </c>
      <c r="G486" t="s">
        <v>30061</v>
      </c>
      <c r="H486" t="s">
        <v>15498</v>
      </c>
      <c r="I486" t="s">
        <v>4119</v>
      </c>
      <c r="J486" t="s">
        <v>30582</v>
      </c>
      <c r="K486" t="s">
        <v>39029</v>
      </c>
      <c r="M486" t="s">
        <v>39559</v>
      </c>
      <c r="N486" t="s">
        <v>43166</v>
      </c>
      <c r="O486" t="s">
        <v>43167</v>
      </c>
      <c r="P486">
        <v>0</v>
      </c>
      <c r="Q486">
        <v>10</v>
      </c>
      <c r="R486" t="s">
        <v>43168</v>
      </c>
      <c r="S486" t="s">
        <v>43286</v>
      </c>
      <c r="T486" t="s">
        <v>44708</v>
      </c>
      <c r="U486" t="s">
        <v>45654</v>
      </c>
      <c r="W486" t="s">
        <v>39559</v>
      </c>
      <c r="X486" t="s">
        <v>43171</v>
      </c>
    </row>
    <row r="487" spans="1:24">
      <c r="A487">
        <f>HYPERLINK("https://www.philgeps.gov.ph/GEPSNONPILOT/Tender/SplashBidNoticeAbstractUI.aspx?menuIndex=3&amp;refID=7086237&amp;Result=3","7086237")</f>
        <v>0</v>
      </c>
      <c r="B487" t="s">
        <v>267</v>
      </c>
      <c r="C487" t="s">
        <v>3909</v>
      </c>
      <c r="D487" t="s">
        <v>17442</v>
      </c>
      <c r="E487" t="s">
        <v>17970</v>
      </c>
      <c r="F487" t="s">
        <v>30052</v>
      </c>
      <c r="G487" t="s">
        <v>30058</v>
      </c>
      <c r="H487" t="s">
        <v>15498</v>
      </c>
      <c r="I487" t="s">
        <v>3852</v>
      </c>
      <c r="J487" t="s">
        <v>30583</v>
      </c>
      <c r="K487" t="s">
        <v>39025</v>
      </c>
      <c r="M487" t="s">
        <v>39560</v>
      </c>
      <c r="N487" t="s">
        <v>43166</v>
      </c>
      <c r="O487" t="s">
        <v>43167</v>
      </c>
      <c r="P487">
        <v>0</v>
      </c>
      <c r="Q487">
        <v>1</v>
      </c>
      <c r="R487" t="s">
        <v>43168</v>
      </c>
      <c r="S487" t="s">
        <v>43286</v>
      </c>
      <c r="T487" t="s">
        <v>44771</v>
      </c>
      <c r="U487" t="s">
        <v>45655</v>
      </c>
      <c r="W487" t="s">
        <v>39560</v>
      </c>
      <c r="X487" t="s">
        <v>43171</v>
      </c>
    </row>
    <row r="488" spans="1:24">
      <c r="A488">
        <f>HYPERLINK("https://www.philgeps.gov.ph/GEPSNONPILOT/Tender/SplashBidNoticeAbstractUI.aspx?menuIndex=3&amp;refID=7086251&amp;Result=3","7086251")</f>
        <v>0</v>
      </c>
      <c r="B488" t="s">
        <v>131</v>
      </c>
      <c r="C488" t="s">
        <v>3910</v>
      </c>
      <c r="D488" t="s">
        <v>17424</v>
      </c>
      <c r="E488" t="s">
        <v>17971</v>
      </c>
      <c r="F488" t="s">
        <v>30052</v>
      </c>
      <c r="G488" t="s">
        <v>30059</v>
      </c>
      <c r="H488" t="s">
        <v>15498</v>
      </c>
      <c r="I488" t="s">
        <v>30081</v>
      </c>
      <c r="J488" t="s">
        <v>30584</v>
      </c>
      <c r="K488" t="s">
        <v>39025</v>
      </c>
      <c r="M488" t="s">
        <v>39420</v>
      </c>
      <c r="N488" t="s">
        <v>43166</v>
      </c>
      <c r="O488" t="s">
        <v>43167</v>
      </c>
      <c r="P488">
        <v>0</v>
      </c>
      <c r="Q488">
        <v>0</v>
      </c>
      <c r="R488" t="s">
        <v>43168</v>
      </c>
      <c r="S488" t="s">
        <v>43286</v>
      </c>
      <c r="T488" t="s">
        <v>44691</v>
      </c>
      <c r="U488" t="s">
        <v>45656</v>
      </c>
      <c r="W488" t="s">
        <v>39420</v>
      </c>
      <c r="X488" t="s">
        <v>43171</v>
      </c>
    </row>
    <row r="489" spans="1:24">
      <c r="A489">
        <f>HYPERLINK("https://www.philgeps.gov.ph/GEPSNONPILOT/Tender/SplashBidNoticeAbstractUI.aspx?menuIndex=3&amp;refID=7086222&amp;Result=3","7086222")</f>
        <v>0</v>
      </c>
      <c r="B489" t="s">
        <v>151</v>
      </c>
      <c r="C489" t="s">
        <v>3911</v>
      </c>
      <c r="D489" t="s">
        <v>17427</v>
      </c>
      <c r="E489" t="s">
        <v>17972</v>
      </c>
      <c r="F489" t="s">
        <v>30052</v>
      </c>
      <c r="G489" t="s">
        <v>30059</v>
      </c>
      <c r="H489" t="s">
        <v>15498</v>
      </c>
      <c r="I489" t="s">
        <v>4650</v>
      </c>
      <c r="J489" t="s">
        <v>30585</v>
      </c>
      <c r="K489" t="s">
        <v>39017</v>
      </c>
      <c r="M489" t="s">
        <v>39440</v>
      </c>
      <c r="N489" t="s">
        <v>43166</v>
      </c>
      <c r="O489" t="s">
        <v>43167</v>
      </c>
      <c r="P489">
        <v>0</v>
      </c>
      <c r="Q489">
        <v>2</v>
      </c>
      <c r="R489" t="s">
        <v>43168</v>
      </c>
      <c r="S489" t="s">
        <v>43286</v>
      </c>
      <c r="T489" t="s">
        <v>44720</v>
      </c>
      <c r="U489" t="s">
        <v>45657</v>
      </c>
      <c r="W489" t="s">
        <v>39440</v>
      </c>
      <c r="X489" t="s">
        <v>43171</v>
      </c>
    </row>
    <row r="490" spans="1:24">
      <c r="A490">
        <f>HYPERLINK("https://www.philgeps.gov.ph/GEPSNONPILOT/Tender/SplashBidNoticeAbstractUI.aspx?menuIndex=3&amp;refID=7086305&amp;Result=3","7086305")</f>
        <v>0</v>
      </c>
      <c r="B490" t="s">
        <v>268</v>
      </c>
      <c r="C490" t="s">
        <v>3912</v>
      </c>
      <c r="D490" t="s">
        <v>17459</v>
      </c>
      <c r="E490" t="s">
        <v>17973</v>
      </c>
      <c r="F490" t="s">
        <v>30052</v>
      </c>
      <c r="G490" t="s">
        <v>30059</v>
      </c>
      <c r="H490" t="s">
        <v>30067</v>
      </c>
      <c r="I490" t="s">
        <v>3693</v>
      </c>
      <c r="J490" t="s">
        <v>30586</v>
      </c>
      <c r="K490" t="s">
        <v>39018</v>
      </c>
      <c r="M490" t="s">
        <v>39561</v>
      </c>
      <c r="N490" t="s">
        <v>43166</v>
      </c>
      <c r="O490" t="s">
        <v>43167</v>
      </c>
      <c r="P490">
        <v>0</v>
      </c>
      <c r="Q490">
        <v>0</v>
      </c>
      <c r="R490" t="s">
        <v>43168</v>
      </c>
      <c r="S490" t="s">
        <v>43286</v>
      </c>
      <c r="T490" t="s">
        <v>44691</v>
      </c>
      <c r="U490" t="s">
        <v>45658</v>
      </c>
      <c r="W490" t="s">
        <v>39561</v>
      </c>
      <c r="X490" t="s">
        <v>43171</v>
      </c>
    </row>
    <row r="491" spans="1:24">
      <c r="A491">
        <f>HYPERLINK("https://www.philgeps.gov.ph/GEPSNONPILOT/Tender/SplashBidNoticeAbstractUI.aspx?menuIndex=3&amp;refID=7086294&amp;Result=3","7086294")</f>
        <v>0</v>
      </c>
      <c r="B491" t="s">
        <v>214</v>
      </c>
      <c r="C491" t="s">
        <v>3913</v>
      </c>
      <c r="D491" t="s">
        <v>17415</v>
      </c>
      <c r="E491" t="s">
        <v>17974</v>
      </c>
      <c r="F491" t="s">
        <v>30052</v>
      </c>
      <c r="G491" t="s">
        <v>30059</v>
      </c>
      <c r="H491" t="s">
        <v>15498</v>
      </c>
      <c r="I491" t="s">
        <v>30125</v>
      </c>
      <c r="J491" t="s">
        <v>30354</v>
      </c>
      <c r="K491" t="s">
        <v>39025</v>
      </c>
      <c r="M491" t="s">
        <v>39504</v>
      </c>
      <c r="N491" t="s">
        <v>43166</v>
      </c>
      <c r="O491" t="s">
        <v>43167</v>
      </c>
      <c r="P491">
        <v>0</v>
      </c>
      <c r="Q491">
        <v>3</v>
      </c>
      <c r="R491" t="s">
        <v>43168</v>
      </c>
      <c r="S491" t="s">
        <v>43286</v>
      </c>
      <c r="T491" t="s">
        <v>44695</v>
      </c>
      <c r="U491" t="s">
        <v>45550</v>
      </c>
      <c r="W491" t="s">
        <v>39504</v>
      </c>
      <c r="X491" t="s">
        <v>43171</v>
      </c>
    </row>
    <row r="492" spans="1:24">
      <c r="A492">
        <f>HYPERLINK("https://www.philgeps.gov.ph/GEPSNONPILOT/Tender/SplashBidNoticeAbstractUI.aspx?menuIndex=3&amp;refID=7086285&amp;Result=3","7086285")</f>
        <v>0</v>
      </c>
      <c r="B492" t="s">
        <v>131</v>
      </c>
      <c r="C492" t="s">
        <v>3914</v>
      </c>
      <c r="D492" t="s">
        <v>17424</v>
      </c>
      <c r="E492" t="s">
        <v>17975</v>
      </c>
      <c r="F492" t="s">
        <v>30052</v>
      </c>
      <c r="G492" t="s">
        <v>30059</v>
      </c>
      <c r="H492" t="s">
        <v>15498</v>
      </c>
      <c r="I492" t="s">
        <v>30076</v>
      </c>
      <c r="J492" t="s">
        <v>30587</v>
      </c>
      <c r="K492" t="s">
        <v>39025</v>
      </c>
      <c r="M492" t="s">
        <v>39420</v>
      </c>
      <c r="N492" t="s">
        <v>43166</v>
      </c>
      <c r="O492" t="s">
        <v>43167</v>
      </c>
      <c r="P492">
        <v>0</v>
      </c>
      <c r="Q492">
        <v>7</v>
      </c>
      <c r="R492" t="s">
        <v>43168</v>
      </c>
      <c r="S492" t="s">
        <v>43286</v>
      </c>
      <c r="T492" t="s">
        <v>44691</v>
      </c>
      <c r="U492" t="s">
        <v>45659</v>
      </c>
      <c r="W492" t="s">
        <v>39420</v>
      </c>
      <c r="X492" t="s">
        <v>43171</v>
      </c>
    </row>
    <row r="493" spans="1:24">
      <c r="A493">
        <f>HYPERLINK("https://www.philgeps.gov.ph/GEPSNONPILOT/Tender/SplashBidNoticeAbstractUI.aspx?menuIndex=3&amp;refID=7086233&amp;Result=3","7086233")</f>
        <v>0</v>
      </c>
      <c r="B493" t="s">
        <v>202</v>
      </c>
      <c r="C493" t="s">
        <v>3915</v>
      </c>
      <c r="D493" t="s">
        <v>17461</v>
      </c>
      <c r="E493" t="s">
        <v>17976</v>
      </c>
      <c r="F493" t="s">
        <v>30052</v>
      </c>
      <c r="G493" t="s">
        <v>30058</v>
      </c>
      <c r="H493" t="s">
        <v>15498</v>
      </c>
      <c r="I493" t="s">
        <v>30128</v>
      </c>
      <c r="J493" t="s">
        <v>30588</v>
      </c>
      <c r="K493" t="s">
        <v>39029</v>
      </c>
      <c r="L493" t="s">
        <v>202</v>
      </c>
      <c r="M493" t="s">
        <v>39492</v>
      </c>
      <c r="N493" t="s">
        <v>43166</v>
      </c>
      <c r="O493" t="s">
        <v>43167</v>
      </c>
      <c r="P493">
        <v>0</v>
      </c>
      <c r="Q493">
        <v>3</v>
      </c>
      <c r="R493" t="s">
        <v>43168</v>
      </c>
      <c r="S493" t="s">
        <v>43286</v>
      </c>
      <c r="T493" t="s">
        <v>44774</v>
      </c>
      <c r="U493" t="s">
        <v>45660</v>
      </c>
      <c r="W493" t="s">
        <v>39492</v>
      </c>
      <c r="X493" t="s">
        <v>43171</v>
      </c>
    </row>
    <row r="494" spans="1:24">
      <c r="A494">
        <f>HYPERLINK("https://www.philgeps.gov.ph/GEPSNONPILOT/Tender/SplashBidNoticeAbstractUI.aspx?menuIndex=3&amp;refID=7086278&amp;Result=3","7086278")</f>
        <v>0</v>
      </c>
      <c r="B494" t="s">
        <v>251</v>
      </c>
      <c r="C494" t="s">
        <v>3916</v>
      </c>
      <c r="D494" t="s">
        <v>17415</v>
      </c>
      <c r="E494" t="s">
        <v>17977</v>
      </c>
      <c r="F494" t="s">
        <v>30052</v>
      </c>
      <c r="G494" t="s">
        <v>30058</v>
      </c>
      <c r="H494" t="s">
        <v>15498</v>
      </c>
      <c r="I494" t="s">
        <v>3852</v>
      </c>
      <c r="J494" t="s">
        <v>30218</v>
      </c>
      <c r="K494" t="s">
        <v>39017</v>
      </c>
      <c r="M494" t="s">
        <v>39541</v>
      </c>
      <c r="N494" t="s">
        <v>43166</v>
      </c>
      <c r="O494" t="s">
        <v>43167</v>
      </c>
      <c r="P494">
        <v>0</v>
      </c>
      <c r="Q494">
        <v>1</v>
      </c>
      <c r="R494" t="s">
        <v>43168</v>
      </c>
      <c r="S494" t="s">
        <v>43286</v>
      </c>
      <c r="T494" t="s">
        <v>44677</v>
      </c>
      <c r="U494" t="s">
        <v>45634</v>
      </c>
      <c r="W494" t="s">
        <v>39541</v>
      </c>
      <c r="X494" t="s">
        <v>43171</v>
      </c>
    </row>
    <row r="495" spans="1:24">
      <c r="A495">
        <f>HYPERLINK("https://www.philgeps.gov.ph/GEPSNONPILOT/Tender/SplashBidNoticeAbstractUI.aspx?menuIndex=3&amp;refID=7086231&amp;Result=3","7086231")</f>
        <v>0</v>
      </c>
      <c r="B495" t="s">
        <v>251</v>
      </c>
      <c r="C495" t="s">
        <v>3917</v>
      </c>
      <c r="D495" t="s">
        <v>17415</v>
      </c>
      <c r="E495" t="s">
        <v>17978</v>
      </c>
      <c r="F495" t="s">
        <v>30052</v>
      </c>
      <c r="G495" t="s">
        <v>30058</v>
      </c>
      <c r="H495" t="s">
        <v>15498</v>
      </c>
      <c r="I495" t="s">
        <v>3852</v>
      </c>
      <c r="J495" t="s">
        <v>30207</v>
      </c>
      <c r="K495" t="s">
        <v>39017</v>
      </c>
      <c r="M495" t="s">
        <v>39541</v>
      </c>
      <c r="N495" t="s">
        <v>43166</v>
      </c>
      <c r="O495" t="s">
        <v>43167</v>
      </c>
      <c r="P495">
        <v>0</v>
      </c>
      <c r="Q495">
        <v>0</v>
      </c>
      <c r="R495" t="s">
        <v>43168</v>
      </c>
      <c r="S495" t="s">
        <v>43286</v>
      </c>
      <c r="T495" t="s">
        <v>44677</v>
      </c>
      <c r="U495" t="s">
        <v>45634</v>
      </c>
      <c r="W495" t="s">
        <v>39541</v>
      </c>
      <c r="X495" t="s">
        <v>43171</v>
      </c>
    </row>
    <row r="496" spans="1:24">
      <c r="A496">
        <f>HYPERLINK("https://www.philgeps.gov.ph/GEPSNONPILOT/Tender/SplashBidNoticeAbstractUI.aspx?menuIndex=3&amp;refID=7086292&amp;Result=3","7086292")</f>
        <v>0</v>
      </c>
      <c r="B496" t="s">
        <v>269</v>
      </c>
      <c r="C496" t="s">
        <v>3918</v>
      </c>
      <c r="D496" t="s">
        <v>17470</v>
      </c>
      <c r="E496" t="s">
        <v>17979</v>
      </c>
      <c r="F496" t="s">
        <v>30052</v>
      </c>
      <c r="G496" t="s">
        <v>30059</v>
      </c>
      <c r="H496" t="s">
        <v>15498</v>
      </c>
      <c r="I496" t="s">
        <v>3736</v>
      </c>
      <c r="J496" t="s">
        <v>30589</v>
      </c>
      <c r="K496" t="s">
        <v>39025</v>
      </c>
      <c r="M496" t="s">
        <v>39562</v>
      </c>
      <c r="N496" t="s">
        <v>43166</v>
      </c>
      <c r="O496" t="s">
        <v>43167</v>
      </c>
      <c r="P496">
        <v>0</v>
      </c>
      <c r="Q496">
        <v>0</v>
      </c>
      <c r="R496" t="s">
        <v>43168</v>
      </c>
      <c r="S496" t="s">
        <v>43286</v>
      </c>
      <c r="T496" t="s">
        <v>44691</v>
      </c>
      <c r="U496" t="s">
        <v>45427</v>
      </c>
      <c r="W496" t="s">
        <v>39562</v>
      </c>
      <c r="X496" t="s">
        <v>43171</v>
      </c>
    </row>
    <row r="497" spans="1:24">
      <c r="A497">
        <f>HYPERLINK("https://www.philgeps.gov.ph/GEPSNONPILOT/Tender/SplashBidNoticeAbstractUI.aspx?menuIndex=3&amp;refID=7086243&amp;Result=3","7086243")</f>
        <v>0</v>
      </c>
      <c r="B497" t="s">
        <v>251</v>
      </c>
      <c r="C497" t="s">
        <v>3919</v>
      </c>
      <c r="D497" t="s">
        <v>17415</v>
      </c>
      <c r="E497" t="s">
        <v>17980</v>
      </c>
      <c r="F497" t="s">
        <v>30052</v>
      </c>
      <c r="G497" t="s">
        <v>30058</v>
      </c>
      <c r="H497" t="s">
        <v>30069</v>
      </c>
      <c r="I497" t="s">
        <v>30099</v>
      </c>
      <c r="J497" t="s">
        <v>30590</v>
      </c>
      <c r="K497" t="s">
        <v>39017</v>
      </c>
      <c r="M497" t="s">
        <v>39541</v>
      </c>
      <c r="N497" t="s">
        <v>43166</v>
      </c>
      <c r="O497" t="s">
        <v>43167</v>
      </c>
      <c r="P497">
        <v>0</v>
      </c>
      <c r="Q497">
        <v>0</v>
      </c>
      <c r="R497" t="s">
        <v>43168</v>
      </c>
      <c r="S497" t="s">
        <v>43286</v>
      </c>
      <c r="T497" t="s">
        <v>44677</v>
      </c>
      <c r="U497" t="s">
        <v>45661</v>
      </c>
      <c r="W497" t="s">
        <v>39541</v>
      </c>
      <c r="X497" t="s">
        <v>43171</v>
      </c>
    </row>
    <row r="498" spans="1:24">
      <c r="A498">
        <f>HYPERLINK("https://www.philgeps.gov.ph/GEPSNONPILOT/Tender/SplashBidNoticeAbstractUI.aspx?menuIndex=3&amp;refID=7086229&amp;Result=3","7086229")</f>
        <v>0</v>
      </c>
      <c r="B498" t="s">
        <v>214</v>
      </c>
      <c r="C498" t="s">
        <v>3920</v>
      </c>
      <c r="D498" t="s">
        <v>17415</v>
      </c>
      <c r="E498" t="s">
        <v>17981</v>
      </c>
      <c r="F498" t="s">
        <v>30052</v>
      </c>
      <c r="G498" t="s">
        <v>30059</v>
      </c>
      <c r="H498" t="s">
        <v>15498</v>
      </c>
      <c r="I498" t="s">
        <v>8323</v>
      </c>
      <c r="J498" t="s">
        <v>30591</v>
      </c>
      <c r="K498" t="s">
        <v>39025</v>
      </c>
      <c r="M498" t="s">
        <v>39504</v>
      </c>
      <c r="N498" t="s">
        <v>43166</v>
      </c>
      <c r="O498" t="s">
        <v>43167</v>
      </c>
      <c r="P498">
        <v>0</v>
      </c>
      <c r="Q498">
        <v>18</v>
      </c>
      <c r="R498" t="s">
        <v>43168</v>
      </c>
      <c r="S498" t="s">
        <v>43286</v>
      </c>
      <c r="T498" t="s">
        <v>44695</v>
      </c>
      <c r="U498" t="s">
        <v>45550</v>
      </c>
      <c r="W498" t="s">
        <v>39504</v>
      </c>
      <c r="X498" t="s">
        <v>43171</v>
      </c>
    </row>
    <row r="499" spans="1:24">
      <c r="A499">
        <f>HYPERLINK("https://www.philgeps.gov.ph/GEPSNONPILOT/Tender/SplashBidNoticeAbstractUI.aspx?menuIndex=3&amp;refID=7086268&amp;Result=3","7086268")</f>
        <v>0</v>
      </c>
      <c r="B499" t="s">
        <v>270</v>
      </c>
      <c r="C499" t="s">
        <v>3921</v>
      </c>
      <c r="D499" t="s">
        <v>17431</v>
      </c>
      <c r="E499" t="s">
        <v>17982</v>
      </c>
      <c r="F499" t="s">
        <v>30052</v>
      </c>
      <c r="G499" t="s">
        <v>30059</v>
      </c>
      <c r="H499" t="s">
        <v>15498</v>
      </c>
      <c r="I499" t="s">
        <v>4650</v>
      </c>
      <c r="J499" t="s">
        <v>30592</v>
      </c>
      <c r="K499" t="s">
        <v>39017</v>
      </c>
      <c r="M499" t="s">
        <v>39563</v>
      </c>
      <c r="N499" t="s">
        <v>43166</v>
      </c>
      <c r="O499" t="s">
        <v>43167</v>
      </c>
      <c r="P499">
        <v>0</v>
      </c>
      <c r="Q499">
        <v>2</v>
      </c>
      <c r="R499" t="s">
        <v>43168</v>
      </c>
      <c r="S499" t="s">
        <v>43286</v>
      </c>
      <c r="T499" t="s">
        <v>44698</v>
      </c>
      <c r="U499" t="s">
        <v>45662</v>
      </c>
      <c r="W499" t="s">
        <v>39563</v>
      </c>
      <c r="X499" t="s">
        <v>43171</v>
      </c>
    </row>
    <row r="500" spans="1:24">
      <c r="A500">
        <f>HYPERLINK("https://www.philgeps.gov.ph/GEPSNONPILOT/Tender/SplashBidNoticeAbstractUI.aspx?menuIndex=3&amp;refID=7086308&amp;Result=3","7086308")</f>
        <v>0</v>
      </c>
      <c r="B500" t="s">
        <v>214</v>
      </c>
      <c r="C500" t="s">
        <v>3922</v>
      </c>
      <c r="D500" t="s">
        <v>17415</v>
      </c>
      <c r="E500" t="s">
        <v>17983</v>
      </c>
      <c r="F500" t="s">
        <v>30052</v>
      </c>
      <c r="G500" t="s">
        <v>30059</v>
      </c>
      <c r="H500" t="s">
        <v>15498</v>
      </c>
      <c r="I500" t="s">
        <v>30085</v>
      </c>
      <c r="J500" t="s">
        <v>30593</v>
      </c>
      <c r="K500" t="s">
        <v>39025</v>
      </c>
      <c r="M500" t="s">
        <v>39504</v>
      </c>
      <c r="N500" t="s">
        <v>43166</v>
      </c>
      <c r="O500" t="s">
        <v>43167</v>
      </c>
      <c r="P500">
        <v>0</v>
      </c>
      <c r="Q500">
        <v>1</v>
      </c>
      <c r="R500" t="s">
        <v>43168</v>
      </c>
      <c r="S500" t="s">
        <v>43286</v>
      </c>
      <c r="T500" t="s">
        <v>44695</v>
      </c>
      <c r="U500" t="s">
        <v>45550</v>
      </c>
      <c r="W500" t="s">
        <v>39504</v>
      </c>
      <c r="X500" t="s">
        <v>43171</v>
      </c>
    </row>
    <row r="501" spans="1:24">
      <c r="A501">
        <f>HYPERLINK("https://www.philgeps.gov.ph/GEPSNONPILOT/Tender/SplashBidNoticeAbstractUI.aspx?menuIndex=3&amp;refID=7086338&amp;Result=3","7086338")</f>
        <v>0</v>
      </c>
      <c r="B501" t="s">
        <v>181</v>
      </c>
      <c r="C501" t="s">
        <v>3923</v>
      </c>
      <c r="D501" t="s">
        <v>17476</v>
      </c>
      <c r="E501" t="s">
        <v>17984</v>
      </c>
      <c r="F501" t="s">
        <v>30052</v>
      </c>
      <c r="G501" t="s">
        <v>30059</v>
      </c>
      <c r="H501" t="s">
        <v>15498</v>
      </c>
      <c r="I501" t="s">
        <v>30129</v>
      </c>
      <c r="J501" t="s">
        <v>30594</v>
      </c>
      <c r="K501" t="s">
        <v>39029</v>
      </c>
      <c r="M501" t="s">
        <v>39470</v>
      </c>
      <c r="N501" t="s">
        <v>43166</v>
      </c>
      <c r="O501" t="s">
        <v>43167</v>
      </c>
      <c r="P501">
        <v>0</v>
      </c>
      <c r="Q501">
        <v>0</v>
      </c>
      <c r="R501" t="s">
        <v>43168</v>
      </c>
      <c r="S501" t="s">
        <v>43286</v>
      </c>
      <c r="T501" t="s">
        <v>44708</v>
      </c>
      <c r="U501" t="s">
        <v>45663</v>
      </c>
      <c r="V501" t="s">
        <v>56864</v>
      </c>
      <c r="W501" t="s">
        <v>39470</v>
      </c>
      <c r="X501" t="s">
        <v>43171</v>
      </c>
    </row>
    <row r="502" spans="1:24">
      <c r="A502">
        <f>HYPERLINK("https://www.philgeps.gov.ph/GEPSNONPILOT/Tender/SplashBidNoticeAbstractUI.aspx?menuIndex=3&amp;refID=7086336&amp;Result=3","7086336")</f>
        <v>0</v>
      </c>
      <c r="B502" t="s">
        <v>201</v>
      </c>
      <c r="C502" t="s">
        <v>3924</v>
      </c>
      <c r="E502" t="s">
        <v>17985</v>
      </c>
      <c r="F502" t="s">
        <v>30052</v>
      </c>
      <c r="G502" t="s">
        <v>30059</v>
      </c>
      <c r="H502" t="s">
        <v>15498</v>
      </c>
      <c r="I502" t="s">
        <v>30130</v>
      </c>
      <c r="J502" t="s">
        <v>30595</v>
      </c>
      <c r="K502" t="s">
        <v>39025</v>
      </c>
      <c r="M502" t="s">
        <v>39564</v>
      </c>
      <c r="N502" t="s">
        <v>43166</v>
      </c>
      <c r="O502" t="s">
        <v>43167</v>
      </c>
      <c r="P502">
        <v>0</v>
      </c>
      <c r="Q502">
        <v>13</v>
      </c>
      <c r="R502" t="s">
        <v>43168</v>
      </c>
      <c r="S502" t="s">
        <v>43286</v>
      </c>
      <c r="T502" t="s">
        <v>44691</v>
      </c>
      <c r="U502" t="s">
        <v>45664</v>
      </c>
      <c r="W502" t="s">
        <v>39564</v>
      </c>
      <c r="X502" t="s">
        <v>43171</v>
      </c>
    </row>
    <row r="503" spans="1:24">
      <c r="A503">
        <f>HYPERLINK("https://www.philgeps.gov.ph/GEPSNONPILOT/Tender/SplashBidNoticeAbstractUI.aspx?menuIndex=3&amp;refID=7086332&amp;Result=3","7086332")</f>
        <v>0</v>
      </c>
      <c r="B503" t="s">
        <v>271</v>
      </c>
      <c r="C503" t="s">
        <v>3925</v>
      </c>
      <c r="D503" t="s">
        <v>17461</v>
      </c>
      <c r="E503" t="s">
        <v>17986</v>
      </c>
      <c r="F503" t="s">
        <v>30052</v>
      </c>
      <c r="G503" t="s">
        <v>30061</v>
      </c>
      <c r="H503" t="s">
        <v>15498</v>
      </c>
      <c r="I503" t="s">
        <v>3736</v>
      </c>
      <c r="J503" t="s">
        <v>30596</v>
      </c>
      <c r="K503" t="s">
        <v>39025</v>
      </c>
      <c r="M503" t="s">
        <v>39565</v>
      </c>
      <c r="N503" t="s">
        <v>43166</v>
      </c>
      <c r="O503" t="s">
        <v>43167</v>
      </c>
      <c r="P503">
        <v>0</v>
      </c>
      <c r="Q503">
        <v>0</v>
      </c>
      <c r="R503" t="s">
        <v>43168</v>
      </c>
      <c r="S503" t="s">
        <v>43286</v>
      </c>
      <c r="T503" t="s">
        <v>44681</v>
      </c>
      <c r="U503" t="s">
        <v>45665</v>
      </c>
      <c r="W503" t="s">
        <v>39565</v>
      </c>
      <c r="X503" t="s">
        <v>43171</v>
      </c>
    </row>
    <row r="504" spans="1:24">
      <c r="A504">
        <f>HYPERLINK("https://www.philgeps.gov.ph/GEPSNONPILOT/Tender/SplashBidNoticeAbstractUI.aspx?menuIndex=3&amp;refID=7086330&amp;Result=3","7086330")</f>
        <v>0</v>
      </c>
      <c r="B504" t="s">
        <v>251</v>
      </c>
      <c r="C504" t="s">
        <v>3926</v>
      </c>
      <c r="D504" t="s">
        <v>17415</v>
      </c>
      <c r="E504" t="s">
        <v>17987</v>
      </c>
      <c r="F504" t="s">
        <v>30052</v>
      </c>
      <c r="G504" t="s">
        <v>30058</v>
      </c>
      <c r="H504" t="s">
        <v>30069</v>
      </c>
      <c r="I504" t="s">
        <v>6304</v>
      </c>
      <c r="J504" t="s">
        <v>30597</v>
      </c>
      <c r="K504" t="s">
        <v>39017</v>
      </c>
      <c r="M504" t="s">
        <v>39541</v>
      </c>
      <c r="N504" t="s">
        <v>43166</v>
      </c>
      <c r="O504" t="s">
        <v>43167</v>
      </c>
      <c r="P504">
        <v>0</v>
      </c>
      <c r="Q504">
        <v>0</v>
      </c>
      <c r="R504" t="s">
        <v>43168</v>
      </c>
      <c r="S504" t="s">
        <v>43286</v>
      </c>
      <c r="T504" t="s">
        <v>44677</v>
      </c>
      <c r="U504" t="s">
        <v>45666</v>
      </c>
      <c r="W504" t="s">
        <v>39541</v>
      </c>
      <c r="X504" t="s">
        <v>43171</v>
      </c>
    </row>
    <row r="505" spans="1:24">
      <c r="A505">
        <f>HYPERLINK("https://www.philgeps.gov.ph/GEPSNONPILOT/Tender/SplashBidNoticeAbstractUI.aspx?menuIndex=3&amp;refID=7086198&amp;Result=3","7086198")</f>
        <v>0</v>
      </c>
      <c r="B505" t="s">
        <v>251</v>
      </c>
      <c r="C505" t="s">
        <v>3927</v>
      </c>
      <c r="D505" t="s">
        <v>17415</v>
      </c>
      <c r="E505" t="s">
        <v>17988</v>
      </c>
      <c r="F505" t="s">
        <v>30052</v>
      </c>
      <c r="G505" t="s">
        <v>30058</v>
      </c>
      <c r="H505" t="s">
        <v>30069</v>
      </c>
      <c r="I505" t="s">
        <v>6304</v>
      </c>
      <c r="J505" t="s">
        <v>30598</v>
      </c>
      <c r="K505" t="s">
        <v>39023</v>
      </c>
      <c r="M505" t="s">
        <v>39541</v>
      </c>
      <c r="N505" t="s">
        <v>43166</v>
      </c>
      <c r="O505" t="s">
        <v>43167</v>
      </c>
      <c r="P505">
        <v>0</v>
      </c>
      <c r="Q505">
        <v>0</v>
      </c>
      <c r="R505" t="s">
        <v>43168</v>
      </c>
      <c r="S505" t="s">
        <v>43286</v>
      </c>
      <c r="T505" t="s">
        <v>44677</v>
      </c>
      <c r="U505" t="s">
        <v>45667</v>
      </c>
      <c r="W505" t="s">
        <v>39541</v>
      </c>
      <c r="X505" t="s">
        <v>43171</v>
      </c>
    </row>
    <row r="506" spans="1:24">
      <c r="A506">
        <f>HYPERLINK("https://www.philgeps.gov.ph/GEPSNONPILOT/Tender/SplashBidNoticeAbstractUI.aspx?menuIndex=3&amp;refID=7086307&amp;Result=3","7086307")</f>
        <v>0</v>
      </c>
      <c r="B506" t="s">
        <v>251</v>
      </c>
      <c r="C506" t="s">
        <v>3928</v>
      </c>
      <c r="D506" t="s">
        <v>17415</v>
      </c>
      <c r="E506" t="s">
        <v>17989</v>
      </c>
      <c r="F506" t="s">
        <v>30052</v>
      </c>
      <c r="G506" t="s">
        <v>30058</v>
      </c>
      <c r="H506" t="s">
        <v>30069</v>
      </c>
      <c r="I506" t="s">
        <v>30096</v>
      </c>
      <c r="J506" t="s">
        <v>30599</v>
      </c>
      <c r="K506" t="s">
        <v>39017</v>
      </c>
      <c r="M506" t="s">
        <v>39541</v>
      </c>
      <c r="N506" t="s">
        <v>43166</v>
      </c>
      <c r="O506" t="s">
        <v>43167</v>
      </c>
      <c r="P506">
        <v>0</v>
      </c>
      <c r="Q506">
        <v>2</v>
      </c>
      <c r="R506" t="s">
        <v>43168</v>
      </c>
      <c r="S506" t="s">
        <v>43286</v>
      </c>
      <c r="T506" t="s">
        <v>44677</v>
      </c>
      <c r="U506" t="s">
        <v>45668</v>
      </c>
      <c r="W506" t="s">
        <v>39541</v>
      </c>
      <c r="X506" t="s">
        <v>43171</v>
      </c>
    </row>
    <row r="507" spans="1:24">
      <c r="A507">
        <f>HYPERLINK("https://www.philgeps.gov.ph/GEPSNONPILOT/Tender/SplashBidNoticeAbstractUI.aspx?menuIndex=3&amp;refID=7086320&amp;Result=3","7086320")</f>
        <v>0</v>
      </c>
      <c r="B507" t="s">
        <v>268</v>
      </c>
      <c r="C507" t="s">
        <v>3929</v>
      </c>
      <c r="D507" t="s">
        <v>17459</v>
      </c>
      <c r="E507" t="s">
        <v>17990</v>
      </c>
      <c r="F507" t="s">
        <v>30052</v>
      </c>
      <c r="G507" t="s">
        <v>30059</v>
      </c>
      <c r="H507" t="s">
        <v>30067</v>
      </c>
      <c r="I507" t="s">
        <v>3693</v>
      </c>
      <c r="J507" t="s">
        <v>30600</v>
      </c>
      <c r="K507" t="s">
        <v>39018</v>
      </c>
      <c r="M507" t="s">
        <v>39561</v>
      </c>
      <c r="N507" t="s">
        <v>43166</v>
      </c>
      <c r="O507" t="s">
        <v>43167</v>
      </c>
      <c r="P507">
        <v>0</v>
      </c>
      <c r="Q507">
        <v>0</v>
      </c>
      <c r="R507" t="s">
        <v>43168</v>
      </c>
      <c r="S507" t="s">
        <v>43286</v>
      </c>
      <c r="T507" t="s">
        <v>44691</v>
      </c>
      <c r="U507" t="s">
        <v>45669</v>
      </c>
      <c r="W507" t="s">
        <v>39561</v>
      </c>
      <c r="X507" t="s">
        <v>43171</v>
      </c>
    </row>
    <row r="508" spans="1:24">
      <c r="A508">
        <f>HYPERLINK("https://www.philgeps.gov.ph/GEPSNONPILOT/Tender/SplashBidNoticeAbstractUI.aspx?menuIndex=3&amp;refID=7086341&amp;Result=3","7086341")</f>
        <v>0</v>
      </c>
      <c r="B508" t="s">
        <v>239</v>
      </c>
      <c r="C508" t="s">
        <v>3930</v>
      </c>
      <c r="D508" t="s">
        <v>17441</v>
      </c>
      <c r="E508" t="s">
        <v>17991</v>
      </c>
      <c r="F508" t="s">
        <v>30052</v>
      </c>
      <c r="G508" t="s">
        <v>30058</v>
      </c>
      <c r="H508" t="s">
        <v>15498</v>
      </c>
      <c r="I508" t="s">
        <v>30071</v>
      </c>
      <c r="J508" t="s">
        <v>30601</v>
      </c>
      <c r="K508" t="s">
        <v>39029</v>
      </c>
      <c r="M508" t="s">
        <v>39529</v>
      </c>
      <c r="N508" t="s">
        <v>43166</v>
      </c>
      <c r="O508" t="s">
        <v>43167</v>
      </c>
      <c r="P508">
        <v>0</v>
      </c>
      <c r="Q508">
        <v>0</v>
      </c>
      <c r="R508" t="s">
        <v>43168</v>
      </c>
      <c r="S508" t="s">
        <v>43286</v>
      </c>
      <c r="T508" t="s">
        <v>44724</v>
      </c>
      <c r="U508" t="s">
        <v>45670</v>
      </c>
      <c r="W508" t="s">
        <v>39529</v>
      </c>
      <c r="X508" t="s">
        <v>43171</v>
      </c>
    </row>
    <row r="509" spans="1:24">
      <c r="A509">
        <f>HYPERLINK("https://www.philgeps.gov.ph/GEPSNONPILOT/Tender/SplashBidNoticeAbstractUI.aspx?menuIndex=3&amp;refID=7086333&amp;Result=3","7086333")</f>
        <v>0</v>
      </c>
      <c r="B509" t="s">
        <v>272</v>
      </c>
      <c r="C509" t="s">
        <v>3931</v>
      </c>
      <c r="E509" t="s">
        <v>17992</v>
      </c>
      <c r="F509" t="s">
        <v>30052</v>
      </c>
      <c r="G509" t="s">
        <v>30058</v>
      </c>
      <c r="H509" t="s">
        <v>15498</v>
      </c>
      <c r="I509" t="s">
        <v>3736</v>
      </c>
      <c r="J509" t="s">
        <v>30602</v>
      </c>
      <c r="K509" t="s">
        <v>39025</v>
      </c>
      <c r="M509" t="s">
        <v>39566</v>
      </c>
      <c r="N509" t="s">
        <v>43166</v>
      </c>
      <c r="O509" t="s">
        <v>43167</v>
      </c>
      <c r="P509">
        <v>0</v>
      </c>
      <c r="Q509">
        <v>0</v>
      </c>
      <c r="R509" t="s">
        <v>43168</v>
      </c>
      <c r="S509" t="s">
        <v>43286</v>
      </c>
      <c r="T509" t="s">
        <v>44754</v>
      </c>
      <c r="U509" t="s">
        <v>45671</v>
      </c>
      <c r="V509" t="s">
        <v>56888</v>
      </c>
      <c r="W509" t="s">
        <v>39566</v>
      </c>
      <c r="X509" t="s">
        <v>43171</v>
      </c>
    </row>
    <row r="510" spans="1:24">
      <c r="A510">
        <f>HYPERLINK("https://www.philgeps.gov.ph/GEPSNONPILOT/Tender/SplashBidNoticeAbstractUI.aspx?menuIndex=3&amp;refID=7086357&amp;Result=3","7086357")</f>
        <v>0</v>
      </c>
      <c r="B510" t="s">
        <v>251</v>
      </c>
      <c r="C510" t="s">
        <v>3932</v>
      </c>
      <c r="D510" t="s">
        <v>17415</v>
      </c>
      <c r="E510" t="s">
        <v>17993</v>
      </c>
      <c r="F510" t="s">
        <v>30052</v>
      </c>
      <c r="G510" t="s">
        <v>30058</v>
      </c>
      <c r="H510" t="s">
        <v>15498</v>
      </c>
      <c r="I510" t="s">
        <v>30070</v>
      </c>
      <c r="J510" t="s">
        <v>30603</v>
      </c>
      <c r="K510" t="s">
        <v>39017</v>
      </c>
      <c r="M510" t="s">
        <v>39567</v>
      </c>
      <c r="N510" t="s">
        <v>43166</v>
      </c>
      <c r="O510" t="s">
        <v>43167</v>
      </c>
      <c r="P510">
        <v>0</v>
      </c>
      <c r="Q510">
        <v>0</v>
      </c>
      <c r="R510" t="s">
        <v>43168</v>
      </c>
      <c r="S510" t="s">
        <v>43286</v>
      </c>
      <c r="T510" t="s">
        <v>44677</v>
      </c>
      <c r="U510" t="s">
        <v>45672</v>
      </c>
      <c r="W510" t="s">
        <v>39567</v>
      </c>
      <c r="X510" t="s">
        <v>43171</v>
      </c>
    </row>
    <row r="511" spans="1:24">
      <c r="A511">
        <f>HYPERLINK("https://www.philgeps.gov.ph/GEPSNONPILOT/Tender/SplashBidNoticeAbstractUI.aspx?menuIndex=3&amp;refID=7086032&amp;Result=3","7086032")</f>
        <v>0</v>
      </c>
      <c r="B511" t="s">
        <v>266</v>
      </c>
      <c r="C511" t="s">
        <v>3933</v>
      </c>
      <c r="D511" t="s">
        <v>17466</v>
      </c>
      <c r="E511" t="s">
        <v>17994</v>
      </c>
      <c r="F511" t="s">
        <v>30052</v>
      </c>
      <c r="G511" t="s">
        <v>30059</v>
      </c>
      <c r="H511" t="s">
        <v>15498</v>
      </c>
      <c r="I511" t="s">
        <v>3736</v>
      </c>
      <c r="J511" t="s">
        <v>30604</v>
      </c>
      <c r="K511" t="s">
        <v>39025</v>
      </c>
      <c r="M511" t="s">
        <v>39558</v>
      </c>
      <c r="N511" t="s">
        <v>43166</v>
      </c>
      <c r="O511" t="s">
        <v>43167</v>
      </c>
      <c r="P511">
        <v>0</v>
      </c>
      <c r="Q511">
        <v>0</v>
      </c>
      <c r="R511" t="s">
        <v>43168</v>
      </c>
      <c r="S511" t="s">
        <v>43286</v>
      </c>
      <c r="T511" t="s">
        <v>44691</v>
      </c>
      <c r="U511" t="s">
        <v>45652</v>
      </c>
      <c r="W511" t="s">
        <v>39558</v>
      </c>
      <c r="X511" t="s">
        <v>43171</v>
      </c>
    </row>
    <row r="512" spans="1:24">
      <c r="A512">
        <f>HYPERLINK("https://www.philgeps.gov.ph/GEPSNONPILOT/Tender/SplashBidNoticeAbstractUI.aspx?menuIndex=3&amp;refID=7086344&amp;Result=3","7086344")</f>
        <v>0</v>
      </c>
      <c r="B512" t="s">
        <v>251</v>
      </c>
      <c r="C512" t="s">
        <v>3934</v>
      </c>
      <c r="D512" t="s">
        <v>17415</v>
      </c>
      <c r="E512" t="s">
        <v>17995</v>
      </c>
      <c r="F512" t="s">
        <v>30052</v>
      </c>
      <c r="G512" t="s">
        <v>30058</v>
      </c>
      <c r="H512" t="s">
        <v>15498</v>
      </c>
      <c r="I512" t="s">
        <v>3852</v>
      </c>
      <c r="J512" t="s">
        <v>30605</v>
      </c>
      <c r="K512" t="s">
        <v>39017</v>
      </c>
      <c r="M512" t="s">
        <v>39541</v>
      </c>
      <c r="N512" t="s">
        <v>43166</v>
      </c>
      <c r="O512" t="s">
        <v>43167</v>
      </c>
      <c r="P512">
        <v>0</v>
      </c>
      <c r="Q512">
        <v>0</v>
      </c>
      <c r="R512" t="s">
        <v>43168</v>
      </c>
      <c r="S512" t="s">
        <v>43286</v>
      </c>
      <c r="T512" t="s">
        <v>44677</v>
      </c>
      <c r="U512" t="s">
        <v>45634</v>
      </c>
      <c r="W512" t="s">
        <v>39541</v>
      </c>
      <c r="X512" t="s">
        <v>43171</v>
      </c>
    </row>
    <row r="513" spans="1:24">
      <c r="A513">
        <f>HYPERLINK("https://www.philgeps.gov.ph/GEPSNONPILOT/Tender/SplashBidNoticeAbstractUI.aspx?menuIndex=3&amp;refID=7086343&amp;Result=3","7086343")</f>
        <v>0</v>
      </c>
      <c r="B513" t="s">
        <v>269</v>
      </c>
      <c r="C513" t="s">
        <v>3935</v>
      </c>
      <c r="D513" t="s">
        <v>17470</v>
      </c>
      <c r="E513" t="s">
        <v>17617</v>
      </c>
      <c r="F513" t="s">
        <v>30052</v>
      </c>
      <c r="G513" t="s">
        <v>30059</v>
      </c>
      <c r="H513" t="s">
        <v>15498</v>
      </c>
      <c r="I513" t="s">
        <v>3736</v>
      </c>
      <c r="J513" t="s">
        <v>30606</v>
      </c>
      <c r="K513" t="s">
        <v>39025</v>
      </c>
      <c r="M513" t="s">
        <v>39562</v>
      </c>
      <c r="N513" t="s">
        <v>43166</v>
      </c>
      <c r="O513" t="s">
        <v>43167</v>
      </c>
      <c r="P513">
        <v>0</v>
      </c>
      <c r="Q513">
        <v>0</v>
      </c>
      <c r="R513" t="s">
        <v>43168</v>
      </c>
      <c r="S513" t="s">
        <v>43286</v>
      </c>
      <c r="T513" t="s">
        <v>44691</v>
      </c>
      <c r="U513" t="s">
        <v>45427</v>
      </c>
      <c r="W513" t="s">
        <v>39562</v>
      </c>
      <c r="X513" t="s">
        <v>43171</v>
      </c>
    </row>
    <row r="514" spans="1:24">
      <c r="A514">
        <f>HYPERLINK("https://www.philgeps.gov.ph/GEPSNONPILOT/Tender/SplashBidNoticeAbstractUI.aspx?menuIndex=3&amp;refID=7086339&amp;Result=3","7086339")</f>
        <v>0</v>
      </c>
      <c r="B514" t="s">
        <v>251</v>
      </c>
      <c r="C514" t="s">
        <v>3936</v>
      </c>
      <c r="D514" t="s">
        <v>17415</v>
      </c>
      <c r="E514" t="s">
        <v>17996</v>
      </c>
      <c r="F514" t="s">
        <v>30052</v>
      </c>
      <c r="G514" t="s">
        <v>30058</v>
      </c>
      <c r="H514" t="s">
        <v>15498</v>
      </c>
      <c r="I514" t="s">
        <v>30085</v>
      </c>
      <c r="J514" t="s">
        <v>30607</v>
      </c>
      <c r="K514" t="s">
        <v>39017</v>
      </c>
      <c r="M514" t="s">
        <v>39567</v>
      </c>
      <c r="N514" t="s">
        <v>43166</v>
      </c>
      <c r="O514" t="s">
        <v>43167</v>
      </c>
      <c r="P514">
        <v>0</v>
      </c>
      <c r="Q514">
        <v>1</v>
      </c>
      <c r="R514" t="s">
        <v>43168</v>
      </c>
      <c r="S514" t="s">
        <v>43286</v>
      </c>
      <c r="T514" t="s">
        <v>44677</v>
      </c>
      <c r="U514" t="s">
        <v>45673</v>
      </c>
      <c r="W514" t="s">
        <v>39567</v>
      </c>
      <c r="X514" t="s">
        <v>43171</v>
      </c>
    </row>
    <row r="515" spans="1:24">
      <c r="A515">
        <f>HYPERLINK("https://www.philgeps.gov.ph/GEPSNONPILOT/Tender/SplashBidNoticeAbstractUI.aspx?menuIndex=3&amp;refID=7086318&amp;Result=3","7086318")</f>
        <v>0</v>
      </c>
      <c r="B515" t="s">
        <v>270</v>
      </c>
      <c r="C515" t="s">
        <v>3937</v>
      </c>
      <c r="D515" t="s">
        <v>17431</v>
      </c>
      <c r="E515" t="s">
        <v>17997</v>
      </c>
      <c r="F515" t="s">
        <v>30052</v>
      </c>
      <c r="G515" t="s">
        <v>30059</v>
      </c>
      <c r="H515" t="s">
        <v>15498</v>
      </c>
      <c r="I515" t="s">
        <v>30131</v>
      </c>
      <c r="J515" t="s">
        <v>30608</v>
      </c>
      <c r="K515" t="s">
        <v>39052</v>
      </c>
      <c r="M515" t="s">
        <v>39563</v>
      </c>
      <c r="N515" t="s">
        <v>43166</v>
      </c>
      <c r="O515" t="s">
        <v>43167</v>
      </c>
      <c r="P515">
        <v>0</v>
      </c>
      <c r="Q515">
        <v>2</v>
      </c>
      <c r="R515" t="s">
        <v>43168</v>
      </c>
      <c r="S515" t="s">
        <v>43286</v>
      </c>
      <c r="T515" t="s">
        <v>44698</v>
      </c>
      <c r="U515" t="s">
        <v>45674</v>
      </c>
      <c r="W515" t="s">
        <v>39563</v>
      </c>
      <c r="X515" t="s">
        <v>43171</v>
      </c>
    </row>
    <row r="516" spans="1:24">
      <c r="A516">
        <f>HYPERLINK("https://www.philgeps.gov.ph/GEPSNONPILOT/Tender/SplashBidNoticeAbstractUI.aspx?menuIndex=3&amp;refID=7086312&amp;Result=3","7086312")</f>
        <v>0</v>
      </c>
      <c r="B516" t="s">
        <v>202</v>
      </c>
      <c r="C516" t="s">
        <v>3938</v>
      </c>
      <c r="D516" t="s">
        <v>17461</v>
      </c>
      <c r="E516" t="s">
        <v>17998</v>
      </c>
      <c r="F516" t="s">
        <v>30052</v>
      </c>
      <c r="G516" t="s">
        <v>30058</v>
      </c>
      <c r="H516" t="s">
        <v>15498</v>
      </c>
      <c r="I516" t="s">
        <v>30130</v>
      </c>
      <c r="J516" t="s">
        <v>30609</v>
      </c>
      <c r="K516" t="s">
        <v>39023</v>
      </c>
      <c r="L516" t="s">
        <v>202</v>
      </c>
      <c r="M516" t="s">
        <v>39492</v>
      </c>
      <c r="N516" t="s">
        <v>43166</v>
      </c>
      <c r="O516" t="s">
        <v>43167</v>
      </c>
      <c r="P516">
        <v>0</v>
      </c>
      <c r="Q516">
        <v>33</v>
      </c>
      <c r="R516" t="s">
        <v>43168</v>
      </c>
      <c r="S516" t="s">
        <v>43286</v>
      </c>
      <c r="T516" t="s">
        <v>44774</v>
      </c>
      <c r="U516" t="s">
        <v>45675</v>
      </c>
      <c r="W516" t="s">
        <v>39492</v>
      </c>
      <c r="X516" t="s">
        <v>43171</v>
      </c>
    </row>
    <row r="517" spans="1:24">
      <c r="A517">
        <f>HYPERLINK("https://www.philgeps.gov.ph/GEPSNONPILOT/Tender/SplashBidNoticeAbstractUI.aspx?menuIndex=3&amp;refID=7086347&amp;Result=3","7086347")</f>
        <v>0</v>
      </c>
      <c r="B517" t="s">
        <v>271</v>
      </c>
      <c r="C517" t="s">
        <v>3939</v>
      </c>
      <c r="D517" t="s">
        <v>17461</v>
      </c>
      <c r="E517" t="s">
        <v>17999</v>
      </c>
      <c r="F517" t="s">
        <v>30052</v>
      </c>
      <c r="G517" t="s">
        <v>30061</v>
      </c>
      <c r="H517" t="s">
        <v>15498</v>
      </c>
      <c r="I517" t="s">
        <v>30081</v>
      </c>
      <c r="J517" t="s">
        <v>30610</v>
      </c>
      <c r="K517" t="s">
        <v>39025</v>
      </c>
      <c r="M517" t="s">
        <v>39565</v>
      </c>
      <c r="N517" t="s">
        <v>43166</v>
      </c>
      <c r="O517" t="s">
        <v>43167</v>
      </c>
      <c r="P517">
        <v>0</v>
      </c>
      <c r="Q517">
        <v>0</v>
      </c>
      <c r="R517" t="s">
        <v>43168</v>
      </c>
      <c r="S517" t="s">
        <v>43286</v>
      </c>
      <c r="T517" t="s">
        <v>44681</v>
      </c>
      <c r="U517" t="s">
        <v>45676</v>
      </c>
      <c r="W517" t="s">
        <v>39565</v>
      </c>
      <c r="X517" t="s">
        <v>43171</v>
      </c>
    </row>
    <row r="518" spans="1:24">
      <c r="A518">
        <f>HYPERLINK("https://www.philgeps.gov.ph/GEPSNONPILOT/Tender/SplashBidNoticeAbstractUI.aspx?menuIndex=3&amp;refID=7086316&amp;Result=3","7086316")</f>
        <v>0</v>
      </c>
      <c r="B518" t="s">
        <v>273</v>
      </c>
      <c r="C518" t="s">
        <v>3940</v>
      </c>
      <c r="D518" t="s">
        <v>17486</v>
      </c>
      <c r="E518" t="s">
        <v>17602</v>
      </c>
      <c r="F518" t="s">
        <v>30052</v>
      </c>
      <c r="G518" t="s">
        <v>30059</v>
      </c>
      <c r="H518" t="s">
        <v>30067</v>
      </c>
      <c r="I518" t="s">
        <v>30070</v>
      </c>
      <c r="J518" t="s">
        <v>30611</v>
      </c>
      <c r="K518" t="s">
        <v>39029</v>
      </c>
      <c r="M518" t="s">
        <v>39568</v>
      </c>
      <c r="N518" t="s">
        <v>43166</v>
      </c>
      <c r="O518" t="s">
        <v>43167</v>
      </c>
      <c r="P518">
        <v>0</v>
      </c>
      <c r="Q518">
        <v>3</v>
      </c>
      <c r="R518" t="s">
        <v>43168</v>
      </c>
      <c r="S518" t="s">
        <v>43286</v>
      </c>
      <c r="T518" t="s">
        <v>44743</v>
      </c>
      <c r="U518" t="s">
        <v>45677</v>
      </c>
      <c r="W518" t="s">
        <v>39568</v>
      </c>
      <c r="X518" t="s">
        <v>43171</v>
      </c>
    </row>
    <row r="519" spans="1:24">
      <c r="A519">
        <f>HYPERLINK("https://www.philgeps.gov.ph/GEPSNONPILOT/Tender/SplashBidNoticeAbstractUI.aspx?menuIndex=3&amp;refID=7086311&amp;Result=3","7086311")</f>
        <v>0</v>
      </c>
      <c r="B519" t="s">
        <v>271</v>
      </c>
      <c r="C519" t="s">
        <v>3941</v>
      </c>
      <c r="D519" t="s">
        <v>17461</v>
      </c>
      <c r="E519" t="s">
        <v>18000</v>
      </c>
      <c r="F519" t="s">
        <v>30052</v>
      </c>
      <c r="G519" t="s">
        <v>30061</v>
      </c>
      <c r="H519" t="s">
        <v>15498</v>
      </c>
      <c r="I519" t="s">
        <v>3736</v>
      </c>
      <c r="J519" t="s">
        <v>30612</v>
      </c>
      <c r="K519" t="s">
        <v>39025</v>
      </c>
      <c r="M519" t="s">
        <v>39565</v>
      </c>
      <c r="N519" t="s">
        <v>43166</v>
      </c>
      <c r="O519" t="s">
        <v>43167</v>
      </c>
      <c r="P519">
        <v>0</v>
      </c>
      <c r="Q519">
        <v>0</v>
      </c>
      <c r="R519" t="s">
        <v>43168</v>
      </c>
      <c r="S519" t="s">
        <v>43286</v>
      </c>
      <c r="T519" t="s">
        <v>44681</v>
      </c>
      <c r="U519" t="s">
        <v>45665</v>
      </c>
      <c r="W519" t="s">
        <v>39565</v>
      </c>
      <c r="X519" t="s">
        <v>43171</v>
      </c>
    </row>
    <row r="520" spans="1:24">
      <c r="A520">
        <f>HYPERLINK("https://www.philgeps.gov.ph/GEPSNONPILOT/Tender/SplashBidNoticeAbstractUI.aspx?menuIndex=3&amp;refID=7086361&amp;Result=3","7086361")</f>
        <v>0</v>
      </c>
      <c r="B520" t="s">
        <v>251</v>
      </c>
      <c r="C520" t="s">
        <v>3942</v>
      </c>
      <c r="D520" t="s">
        <v>17415</v>
      </c>
      <c r="E520" t="s">
        <v>18001</v>
      </c>
      <c r="F520" t="s">
        <v>30052</v>
      </c>
      <c r="G520" t="s">
        <v>30058</v>
      </c>
      <c r="H520" t="s">
        <v>15498</v>
      </c>
      <c r="I520" t="s">
        <v>30070</v>
      </c>
      <c r="J520" t="s">
        <v>30613</v>
      </c>
      <c r="K520" t="s">
        <v>39017</v>
      </c>
      <c r="M520" t="s">
        <v>39541</v>
      </c>
      <c r="N520" t="s">
        <v>43166</v>
      </c>
      <c r="O520" t="s">
        <v>43167</v>
      </c>
      <c r="P520">
        <v>0</v>
      </c>
      <c r="Q520">
        <v>0</v>
      </c>
      <c r="R520" t="s">
        <v>43168</v>
      </c>
      <c r="S520" t="s">
        <v>43286</v>
      </c>
      <c r="T520" t="s">
        <v>44677</v>
      </c>
      <c r="U520" t="s">
        <v>45646</v>
      </c>
      <c r="W520" t="s">
        <v>39541</v>
      </c>
      <c r="X520" t="s">
        <v>43171</v>
      </c>
    </row>
    <row r="521" spans="1:24">
      <c r="A521">
        <f>HYPERLINK("https://www.philgeps.gov.ph/GEPSNONPILOT/Tender/SplashBidNoticeAbstractUI.aspx?menuIndex=3&amp;refID=7086399&amp;Result=3","7086399")</f>
        <v>0</v>
      </c>
      <c r="B521" t="s">
        <v>274</v>
      </c>
      <c r="C521" t="s">
        <v>3943</v>
      </c>
      <c r="D521" t="s">
        <v>17449</v>
      </c>
      <c r="E521" t="s">
        <v>18002</v>
      </c>
      <c r="F521" t="s">
        <v>30055</v>
      </c>
      <c r="G521" t="s">
        <v>30059</v>
      </c>
      <c r="H521" t="s">
        <v>15498</v>
      </c>
      <c r="I521" t="s">
        <v>30097</v>
      </c>
      <c r="J521" t="s">
        <v>30614</v>
      </c>
      <c r="K521" t="s">
        <v>39034</v>
      </c>
      <c r="M521" t="s">
        <v>39569</v>
      </c>
      <c r="N521" t="s">
        <v>43166</v>
      </c>
      <c r="O521" t="s">
        <v>43167</v>
      </c>
      <c r="P521">
        <v>0</v>
      </c>
      <c r="Q521">
        <v>8</v>
      </c>
      <c r="R521" t="s">
        <v>43168</v>
      </c>
      <c r="S521" t="s">
        <v>43286</v>
      </c>
      <c r="T521" t="s">
        <v>44679</v>
      </c>
      <c r="U521" t="s">
        <v>45678</v>
      </c>
      <c r="W521" t="s">
        <v>39569</v>
      </c>
      <c r="X521" t="s">
        <v>43171</v>
      </c>
    </row>
    <row r="522" spans="1:24">
      <c r="A522">
        <f>HYPERLINK("https://www.philgeps.gov.ph/GEPSNONPILOT/Tender/SplashBidNoticeAbstractUI.aspx?menuIndex=3&amp;refID=7086390&amp;Result=3","7086390")</f>
        <v>0</v>
      </c>
      <c r="B522" t="s">
        <v>251</v>
      </c>
      <c r="C522" t="s">
        <v>3944</v>
      </c>
      <c r="D522" t="s">
        <v>17415</v>
      </c>
      <c r="E522" t="s">
        <v>18003</v>
      </c>
      <c r="F522" t="s">
        <v>30052</v>
      </c>
      <c r="G522" t="s">
        <v>30058</v>
      </c>
      <c r="H522" t="s">
        <v>15498</v>
      </c>
      <c r="I522" t="s">
        <v>30070</v>
      </c>
      <c r="J522" t="s">
        <v>30343</v>
      </c>
      <c r="K522" t="s">
        <v>39017</v>
      </c>
      <c r="M522" t="s">
        <v>39541</v>
      </c>
      <c r="N522" t="s">
        <v>43166</v>
      </c>
      <c r="O522" t="s">
        <v>43167</v>
      </c>
      <c r="P522">
        <v>0</v>
      </c>
      <c r="Q522">
        <v>0</v>
      </c>
      <c r="R522" t="s">
        <v>43168</v>
      </c>
      <c r="S522" t="s">
        <v>43286</v>
      </c>
      <c r="T522" t="s">
        <v>44677</v>
      </c>
      <c r="U522" t="s">
        <v>45646</v>
      </c>
      <c r="W522" t="s">
        <v>39541</v>
      </c>
      <c r="X522" t="s">
        <v>43171</v>
      </c>
    </row>
    <row r="523" spans="1:24">
      <c r="A523">
        <f>HYPERLINK("https://www.philgeps.gov.ph/GEPSNONPILOT/Tender/SplashBidNoticeAbstractUI.aspx?menuIndex=3&amp;refID=7086327&amp;Result=3","7086327")</f>
        <v>0</v>
      </c>
      <c r="B523" t="s">
        <v>131</v>
      </c>
      <c r="C523" t="s">
        <v>3945</v>
      </c>
      <c r="D523" t="s">
        <v>17424</v>
      </c>
      <c r="E523" t="s">
        <v>18004</v>
      </c>
      <c r="F523" t="s">
        <v>30052</v>
      </c>
      <c r="G523" t="s">
        <v>30059</v>
      </c>
      <c r="H523" t="s">
        <v>15498</v>
      </c>
      <c r="I523" t="s">
        <v>3852</v>
      </c>
      <c r="J523" t="s">
        <v>30615</v>
      </c>
      <c r="K523" t="s">
        <v>39025</v>
      </c>
      <c r="M523" t="s">
        <v>39420</v>
      </c>
      <c r="N523" t="s">
        <v>43166</v>
      </c>
      <c r="O523" t="s">
        <v>43167</v>
      </c>
      <c r="P523">
        <v>0</v>
      </c>
      <c r="Q523">
        <v>2</v>
      </c>
      <c r="R523" t="s">
        <v>43168</v>
      </c>
      <c r="S523" t="s">
        <v>43286</v>
      </c>
      <c r="T523" t="s">
        <v>44691</v>
      </c>
      <c r="U523" t="s">
        <v>45679</v>
      </c>
      <c r="W523" t="s">
        <v>39420</v>
      </c>
      <c r="X523" t="s">
        <v>43171</v>
      </c>
    </row>
    <row r="524" spans="1:24">
      <c r="A524">
        <f>HYPERLINK("https://www.philgeps.gov.ph/GEPSNONPILOT/Tender/SplashBidNoticeAbstractUI.aspx?menuIndex=3&amp;refID=7086383&amp;Result=3","7086383")</f>
        <v>0</v>
      </c>
      <c r="B524" t="s">
        <v>251</v>
      </c>
      <c r="C524" t="s">
        <v>3946</v>
      </c>
      <c r="D524" t="s">
        <v>17415</v>
      </c>
      <c r="E524" t="s">
        <v>18005</v>
      </c>
      <c r="F524" t="s">
        <v>30052</v>
      </c>
      <c r="G524" t="s">
        <v>30058</v>
      </c>
      <c r="H524" t="s">
        <v>15498</v>
      </c>
      <c r="I524" t="s">
        <v>3852</v>
      </c>
      <c r="J524" t="s">
        <v>30616</v>
      </c>
      <c r="K524" t="s">
        <v>39017</v>
      </c>
      <c r="M524" t="s">
        <v>39567</v>
      </c>
      <c r="N524" t="s">
        <v>43166</v>
      </c>
      <c r="O524" t="s">
        <v>43167</v>
      </c>
      <c r="P524">
        <v>0</v>
      </c>
      <c r="Q524">
        <v>0</v>
      </c>
      <c r="R524" t="s">
        <v>43168</v>
      </c>
      <c r="S524" t="s">
        <v>43286</v>
      </c>
      <c r="T524" t="s">
        <v>44677</v>
      </c>
      <c r="U524" t="s">
        <v>45680</v>
      </c>
      <c r="W524" t="s">
        <v>39567</v>
      </c>
      <c r="X524" t="s">
        <v>43171</v>
      </c>
    </row>
    <row r="525" spans="1:24">
      <c r="A525">
        <f>HYPERLINK("https://www.philgeps.gov.ph/GEPSNONPILOT/Tender/SplashBidNoticeAbstractUI.aspx?menuIndex=3&amp;refID=7086378&amp;Result=3","7086378")</f>
        <v>0</v>
      </c>
      <c r="B525" t="s">
        <v>78</v>
      </c>
      <c r="C525" t="s">
        <v>3947</v>
      </c>
      <c r="E525" t="s">
        <v>18006</v>
      </c>
      <c r="F525" t="s">
        <v>30052</v>
      </c>
      <c r="G525" t="s">
        <v>30059</v>
      </c>
      <c r="H525" t="s">
        <v>15498</v>
      </c>
      <c r="I525" t="s">
        <v>30091</v>
      </c>
      <c r="J525" t="s">
        <v>30559</v>
      </c>
      <c r="K525" t="s">
        <v>39019</v>
      </c>
      <c r="M525" t="s">
        <v>39367</v>
      </c>
      <c r="N525" t="s">
        <v>43166</v>
      </c>
      <c r="O525" t="s">
        <v>43167</v>
      </c>
      <c r="P525">
        <v>0</v>
      </c>
      <c r="Q525">
        <v>4</v>
      </c>
      <c r="R525" t="s">
        <v>43168</v>
      </c>
      <c r="S525" t="s">
        <v>43286</v>
      </c>
      <c r="T525" t="s">
        <v>44681</v>
      </c>
      <c r="U525" t="s">
        <v>45681</v>
      </c>
      <c r="V525" t="s">
        <v>56889</v>
      </c>
      <c r="W525" t="s">
        <v>39367</v>
      </c>
      <c r="X525" t="s">
        <v>43171</v>
      </c>
    </row>
    <row r="526" spans="1:24">
      <c r="A526">
        <f>HYPERLINK("https://www.philgeps.gov.ph/GEPSNONPILOT/Tender/SplashBidNoticeAbstractUI.aspx?menuIndex=3&amp;refID=7086371&amp;Result=3","7086371")</f>
        <v>0</v>
      </c>
      <c r="B526" t="s">
        <v>251</v>
      </c>
      <c r="C526" t="s">
        <v>3948</v>
      </c>
      <c r="D526" t="s">
        <v>17415</v>
      </c>
      <c r="E526" t="s">
        <v>18007</v>
      </c>
      <c r="F526" t="s">
        <v>30052</v>
      </c>
      <c r="G526" t="s">
        <v>30058</v>
      </c>
      <c r="H526" t="s">
        <v>15498</v>
      </c>
      <c r="I526" t="s">
        <v>30070</v>
      </c>
      <c r="J526" t="s">
        <v>30617</v>
      </c>
      <c r="K526" t="s">
        <v>39017</v>
      </c>
      <c r="M526" t="s">
        <v>39541</v>
      </c>
      <c r="N526" t="s">
        <v>43166</v>
      </c>
      <c r="O526" t="s">
        <v>43167</v>
      </c>
      <c r="P526">
        <v>0</v>
      </c>
      <c r="Q526">
        <v>0</v>
      </c>
      <c r="R526" t="s">
        <v>43168</v>
      </c>
      <c r="S526" t="s">
        <v>43286</v>
      </c>
      <c r="T526" t="s">
        <v>44677</v>
      </c>
      <c r="U526" t="s">
        <v>45646</v>
      </c>
      <c r="W526" t="s">
        <v>39541</v>
      </c>
      <c r="X526" t="s">
        <v>43171</v>
      </c>
    </row>
    <row r="527" spans="1:24">
      <c r="A527">
        <f>HYPERLINK("https://www.philgeps.gov.ph/GEPSNONPILOT/Tender/SplashBidNoticeAbstractUI.aspx?menuIndex=3&amp;refID=7086396&amp;Result=3","7086396")</f>
        <v>0</v>
      </c>
      <c r="B527" t="s">
        <v>251</v>
      </c>
      <c r="C527" t="s">
        <v>3949</v>
      </c>
      <c r="D527" t="s">
        <v>17415</v>
      </c>
      <c r="E527" t="s">
        <v>18008</v>
      </c>
      <c r="F527" t="s">
        <v>30052</v>
      </c>
      <c r="G527" t="s">
        <v>30058</v>
      </c>
      <c r="H527" t="s">
        <v>15498</v>
      </c>
      <c r="I527" t="s">
        <v>3852</v>
      </c>
      <c r="J527" t="s">
        <v>30618</v>
      </c>
      <c r="K527" t="s">
        <v>39017</v>
      </c>
      <c r="M527" t="s">
        <v>39567</v>
      </c>
      <c r="N527" t="s">
        <v>43166</v>
      </c>
      <c r="O527" t="s">
        <v>43167</v>
      </c>
      <c r="P527">
        <v>0</v>
      </c>
      <c r="Q527">
        <v>0</v>
      </c>
      <c r="R527" t="s">
        <v>43168</v>
      </c>
      <c r="S527" t="s">
        <v>43286</v>
      </c>
      <c r="T527" t="s">
        <v>44677</v>
      </c>
      <c r="U527" t="s">
        <v>45680</v>
      </c>
      <c r="W527" t="s">
        <v>39567</v>
      </c>
      <c r="X527" t="s">
        <v>43171</v>
      </c>
    </row>
    <row r="528" spans="1:24">
      <c r="A528">
        <f>HYPERLINK("https://www.philgeps.gov.ph/GEPSNONPILOT/Tender/SplashBidNoticeAbstractUI.aspx?menuIndex=3&amp;refID=7086391&amp;Result=3","7086391")</f>
        <v>0</v>
      </c>
      <c r="B528" t="s">
        <v>268</v>
      </c>
      <c r="C528" t="s">
        <v>3950</v>
      </c>
      <c r="D528" t="s">
        <v>17459</v>
      </c>
      <c r="E528" t="s">
        <v>18009</v>
      </c>
      <c r="F528" t="s">
        <v>30052</v>
      </c>
      <c r="G528" t="s">
        <v>30059</v>
      </c>
      <c r="H528" t="s">
        <v>15498</v>
      </c>
      <c r="I528" t="s">
        <v>5961</v>
      </c>
      <c r="J528" t="s">
        <v>30619</v>
      </c>
      <c r="K528" t="s">
        <v>39018</v>
      </c>
      <c r="M528" t="s">
        <v>39561</v>
      </c>
      <c r="N528" t="s">
        <v>43166</v>
      </c>
      <c r="O528" t="s">
        <v>43167</v>
      </c>
      <c r="P528">
        <v>0</v>
      </c>
      <c r="Q528">
        <v>2</v>
      </c>
      <c r="R528" t="s">
        <v>43168</v>
      </c>
      <c r="S528" t="s">
        <v>43286</v>
      </c>
      <c r="T528" t="s">
        <v>44691</v>
      </c>
      <c r="U528" t="s">
        <v>45682</v>
      </c>
      <c r="W528" t="s">
        <v>39561</v>
      </c>
      <c r="X528" t="s">
        <v>43171</v>
      </c>
    </row>
    <row r="529" spans="1:24">
      <c r="A529">
        <f>HYPERLINK("https://www.philgeps.gov.ph/GEPSNONPILOT/Tender/SplashBidNoticeAbstractUI.aspx?menuIndex=3&amp;refID=7086417&amp;Result=3","7086417")</f>
        <v>0</v>
      </c>
      <c r="B529" t="s">
        <v>251</v>
      </c>
      <c r="C529" t="s">
        <v>3951</v>
      </c>
      <c r="D529" t="s">
        <v>17415</v>
      </c>
      <c r="E529" t="s">
        <v>18010</v>
      </c>
      <c r="F529" t="s">
        <v>30052</v>
      </c>
      <c r="G529" t="s">
        <v>30058</v>
      </c>
      <c r="H529" t="s">
        <v>15498</v>
      </c>
      <c r="I529" t="s">
        <v>30070</v>
      </c>
      <c r="J529" t="s">
        <v>30620</v>
      </c>
      <c r="K529" t="s">
        <v>39017</v>
      </c>
      <c r="M529" t="s">
        <v>39541</v>
      </c>
      <c r="N529" t="s">
        <v>43166</v>
      </c>
      <c r="O529" t="s">
        <v>43167</v>
      </c>
      <c r="P529">
        <v>0</v>
      </c>
      <c r="Q529">
        <v>0</v>
      </c>
      <c r="R529" t="s">
        <v>43168</v>
      </c>
      <c r="S529" t="s">
        <v>43286</v>
      </c>
      <c r="T529" t="s">
        <v>44677</v>
      </c>
      <c r="U529" t="s">
        <v>45646</v>
      </c>
      <c r="W529" t="s">
        <v>39541</v>
      </c>
      <c r="X529" t="s">
        <v>43171</v>
      </c>
    </row>
    <row r="530" spans="1:24">
      <c r="A530">
        <f>HYPERLINK("https://www.philgeps.gov.ph/GEPSNONPILOT/Tender/SplashBidNoticeAbstractUI.aspx?menuIndex=3&amp;refID=7086409&amp;Result=3","7086409")</f>
        <v>0</v>
      </c>
      <c r="B530" t="s">
        <v>202</v>
      </c>
      <c r="C530" t="s">
        <v>3952</v>
      </c>
      <c r="D530" t="s">
        <v>17461</v>
      </c>
      <c r="E530" t="s">
        <v>18011</v>
      </c>
      <c r="F530" t="s">
        <v>30052</v>
      </c>
      <c r="G530" t="s">
        <v>30058</v>
      </c>
      <c r="H530" t="s">
        <v>15498</v>
      </c>
      <c r="I530" t="s">
        <v>30130</v>
      </c>
      <c r="J530" t="s">
        <v>30621</v>
      </c>
      <c r="K530" t="s">
        <v>39023</v>
      </c>
      <c r="L530" t="s">
        <v>202</v>
      </c>
      <c r="M530" t="s">
        <v>39492</v>
      </c>
      <c r="N530" t="s">
        <v>43166</v>
      </c>
      <c r="O530" t="s">
        <v>43167</v>
      </c>
      <c r="P530">
        <v>0</v>
      </c>
      <c r="Q530">
        <v>33</v>
      </c>
      <c r="R530" t="s">
        <v>43168</v>
      </c>
      <c r="S530" t="s">
        <v>43286</v>
      </c>
      <c r="T530" t="s">
        <v>44774</v>
      </c>
      <c r="U530" t="s">
        <v>45675</v>
      </c>
      <c r="W530" t="s">
        <v>39492</v>
      </c>
      <c r="X530" t="s">
        <v>43171</v>
      </c>
    </row>
    <row r="531" spans="1:24">
      <c r="A531">
        <f>HYPERLINK("https://www.philgeps.gov.ph/GEPSNONPILOT/Tender/SplashBidNoticeAbstractUI.aspx?menuIndex=3&amp;refID=7086377&amp;Result=3","7086377")</f>
        <v>0</v>
      </c>
      <c r="B531" t="s">
        <v>268</v>
      </c>
      <c r="C531" t="s">
        <v>3953</v>
      </c>
      <c r="D531" t="s">
        <v>17459</v>
      </c>
      <c r="E531" t="s">
        <v>18012</v>
      </c>
      <c r="F531" t="s">
        <v>30052</v>
      </c>
      <c r="G531" t="s">
        <v>30059</v>
      </c>
      <c r="H531" t="s">
        <v>30067</v>
      </c>
      <c r="I531" t="s">
        <v>3693</v>
      </c>
      <c r="J531" t="s">
        <v>30594</v>
      </c>
      <c r="K531" t="s">
        <v>39018</v>
      </c>
      <c r="M531" t="s">
        <v>39561</v>
      </c>
      <c r="N531" t="s">
        <v>43166</v>
      </c>
      <c r="O531" t="s">
        <v>43167</v>
      </c>
      <c r="P531">
        <v>0</v>
      </c>
      <c r="Q531">
        <v>0</v>
      </c>
      <c r="R531" t="s">
        <v>43168</v>
      </c>
      <c r="S531" t="s">
        <v>43286</v>
      </c>
      <c r="T531" t="s">
        <v>44691</v>
      </c>
      <c r="U531" t="s">
        <v>45683</v>
      </c>
      <c r="W531" t="s">
        <v>39561</v>
      </c>
      <c r="X531" t="s">
        <v>43171</v>
      </c>
    </row>
    <row r="532" spans="1:24">
      <c r="A532">
        <f>HYPERLINK("https://www.philgeps.gov.ph/GEPSNONPILOT/Tender/SplashBidNoticeAbstractUI.aspx?menuIndex=3&amp;refID=7086408&amp;Result=3","7086408")</f>
        <v>0</v>
      </c>
      <c r="B532" t="s">
        <v>275</v>
      </c>
      <c r="C532" t="s">
        <v>3954</v>
      </c>
      <c r="D532" t="s">
        <v>17440</v>
      </c>
      <c r="E532" t="s">
        <v>18013</v>
      </c>
      <c r="F532" t="s">
        <v>30052</v>
      </c>
      <c r="G532" t="s">
        <v>30059</v>
      </c>
      <c r="H532" t="s">
        <v>15498</v>
      </c>
      <c r="I532" t="s">
        <v>30071</v>
      </c>
      <c r="J532" t="s">
        <v>30622</v>
      </c>
      <c r="K532" t="s">
        <v>39018</v>
      </c>
      <c r="M532" t="s">
        <v>39570</v>
      </c>
      <c r="N532" t="s">
        <v>43166</v>
      </c>
      <c r="O532" t="s">
        <v>43167</v>
      </c>
      <c r="P532">
        <v>0</v>
      </c>
      <c r="Q532">
        <v>2</v>
      </c>
      <c r="R532" t="s">
        <v>43168</v>
      </c>
      <c r="S532" t="s">
        <v>43286</v>
      </c>
      <c r="T532" t="s">
        <v>44691</v>
      </c>
      <c r="U532" t="s">
        <v>45684</v>
      </c>
      <c r="W532" t="s">
        <v>39570</v>
      </c>
      <c r="X532" t="s">
        <v>43171</v>
      </c>
    </row>
    <row r="533" spans="1:24">
      <c r="A533">
        <f>HYPERLINK("https://www.philgeps.gov.ph/GEPSNONPILOT/Tender/SplashBidNoticeAbstractUI.aspx?menuIndex=3&amp;refID=7086370&amp;Result=3","7086370")</f>
        <v>0</v>
      </c>
      <c r="B533" t="s">
        <v>131</v>
      </c>
      <c r="C533" t="s">
        <v>3955</v>
      </c>
      <c r="D533" t="s">
        <v>17424</v>
      </c>
      <c r="E533" t="s">
        <v>18014</v>
      </c>
      <c r="F533" t="s">
        <v>30052</v>
      </c>
      <c r="G533" t="s">
        <v>30059</v>
      </c>
      <c r="H533" t="s">
        <v>15498</v>
      </c>
      <c r="I533" t="s">
        <v>30076</v>
      </c>
      <c r="J533" t="s">
        <v>30398</v>
      </c>
      <c r="K533" t="s">
        <v>39025</v>
      </c>
      <c r="M533" t="s">
        <v>39420</v>
      </c>
      <c r="N533" t="s">
        <v>43166</v>
      </c>
      <c r="O533" t="s">
        <v>43167</v>
      </c>
      <c r="P533">
        <v>0</v>
      </c>
      <c r="Q533">
        <v>0</v>
      </c>
      <c r="R533" t="s">
        <v>43168</v>
      </c>
      <c r="S533" t="s">
        <v>43286</v>
      </c>
      <c r="T533" t="s">
        <v>44691</v>
      </c>
      <c r="U533" t="s">
        <v>45685</v>
      </c>
      <c r="W533" t="s">
        <v>39420</v>
      </c>
      <c r="X533" t="s">
        <v>43171</v>
      </c>
    </row>
    <row r="534" spans="1:24">
      <c r="A534">
        <f>HYPERLINK("https://www.philgeps.gov.ph/GEPSNONPILOT/Tender/SplashBidNoticeAbstractUI.aspx?menuIndex=3&amp;refID=7086394&amp;Result=3","7086394")</f>
        <v>0</v>
      </c>
      <c r="B534" t="s">
        <v>110</v>
      </c>
      <c r="C534" t="s">
        <v>3956</v>
      </c>
      <c r="D534" t="s">
        <v>17435</v>
      </c>
      <c r="E534" t="s">
        <v>18015</v>
      </c>
      <c r="F534" t="s">
        <v>30052</v>
      </c>
      <c r="G534" t="s">
        <v>30059</v>
      </c>
      <c r="H534" t="s">
        <v>30067</v>
      </c>
      <c r="I534" t="s">
        <v>3693</v>
      </c>
      <c r="J534" t="s">
        <v>30623</v>
      </c>
      <c r="K534" t="s">
        <v>39029</v>
      </c>
      <c r="M534" t="s">
        <v>39399</v>
      </c>
      <c r="N534" t="s">
        <v>43166</v>
      </c>
      <c r="O534" t="s">
        <v>43167</v>
      </c>
      <c r="P534">
        <v>0</v>
      </c>
      <c r="Q534">
        <v>0</v>
      </c>
      <c r="R534" t="s">
        <v>43168</v>
      </c>
      <c r="S534" t="s">
        <v>43286</v>
      </c>
      <c r="T534" t="s">
        <v>44778</v>
      </c>
      <c r="U534" t="s">
        <v>45686</v>
      </c>
      <c r="W534" t="s">
        <v>39399</v>
      </c>
      <c r="X534" t="s">
        <v>43171</v>
      </c>
    </row>
    <row r="535" spans="1:24">
      <c r="A535">
        <f>HYPERLINK("https://www.philgeps.gov.ph/GEPSNONPILOT/Tender/SplashBidNoticeAbstractUI.aspx?menuIndex=3&amp;refID=7086369&amp;Result=3","7086369")</f>
        <v>0</v>
      </c>
      <c r="B535" t="s">
        <v>251</v>
      </c>
      <c r="C535" t="s">
        <v>3957</v>
      </c>
      <c r="D535" t="s">
        <v>17415</v>
      </c>
      <c r="E535" t="s">
        <v>18016</v>
      </c>
      <c r="F535" t="s">
        <v>30052</v>
      </c>
      <c r="G535" t="s">
        <v>30058</v>
      </c>
      <c r="H535" t="s">
        <v>15498</v>
      </c>
      <c r="I535" t="s">
        <v>30070</v>
      </c>
      <c r="J535" t="s">
        <v>30624</v>
      </c>
      <c r="K535" t="s">
        <v>39017</v>
      </c>
      <c r="M535" t="s">
        <v>39567</v>
      </c>
      <c r="N535" t="s">
        <v>43166</v>
      </c>
      <c r="O535" t="s">
        <v>43167</v>
      </c>
      <c r="P535">
        <v>0</v>
      </c>
      <c r="Q535">
        <v>0</v>
      </c>
      <c r="R535" t="s">
        <v>43168</v>
      </c>
      <c r="S535" t="s">
        <v>43286</v>
      </c>
      <c r="T535" t="s">
        <v>44677</v>
      </c>
      <c r="U535" t="s">
        <v>45672</v>
      </c>
      <c r="W535" t="s">
        <v>39567</v>
      </c>
      <c r="X535" t="s">
        <v>43171</v>
      </c>
    </row>
    <row r="536" spans="1:24">
      <c r="A536">
        <f>HYPERLINK("https://www.philgeps.gov.ph/GEPSNONPILOT/Tender/SplashBidNoticeAbstractUI.aspx?menuIndex=3&amp;refID=7086413&amp;Result=3","7086413")</f>
        <v>0</v>
      </c>
      <c r="B536" t="s">
        <v>251</v>
      </c>
      <c r="C536" t="s">
        <v>3958</v>
      </c>
      <c r="D536" t="s">
        <v>17415</v>
      </c>
      <c r="E536" t="s">
        <v>18017</v>
      </c>
      <c r="F536" t="s">
        <v>30052</v>
      </c>
      <c r="G536" t="s">
        <v>30058</v>
      </c>
      <c r="H536" t="s">
        <v>15498</v>
      </c>
      <c r="I536" t="s">
        <v>30105</v>
      </c>
      <c r="J536" t="s">
        <v>30625</v>
      </c>
      <c r="K536" t="s">
        <v>39017</v>
      </c>
      <c r="M536" t="s">
        <v>39567</v>
      </c>
      <c r="N536" t="s">
        <v>43166</v>
      </c>
      <c r="O536" t="s">
        <v>43167</v>
      </c>
      <c r="P536">
        <v>0</v>
      </c>
      <c r="Q536">
        <v>4</v>
      </c>
      <c r="R536" t="s">
        <v>43168</v>
      </c>
      <c r="S536" t="s">
        <v>43286</v>
      </c>
      <c r="T536" t="s">
        <v>44677</v>
      </c>
      <c r="U536" t="s">
        <v>45687</v>
      </c>
      <c r="W536" t="s">
        <v>39567</v>
      </c>
      <c r="X536" t="s">
        <v>43171</v>
      </c>
    </row>
    <row r="537" spans="1:24">
      <c r="A537">
        <f>HYPERLINK("https://www.philgeps.gov.ph/GEPSNONPILOT/Tender/SplashBidNoticeAbstractUI.aspx?menuIndex=3&amp;refID=7086427&amp;Result=3","7086427")</f>
        <v>0</v>
      </c>
      <c r="B537" t="s">
        <v>251</v>
      </c>
      <c r="C537" t="s">
        <v>3959</v>
      </c>
      <c r="D537" t="s">
        <v>17415</v>
      </c>
      <c r="E537" t="s">
        <v>18018</v>
      </c>
      <c r="F537" t="s">
        <v>30052</v>
      </c>
      <c r="G537" t="s">
        <v>30058</v>
      </c>
      <c r="H537" t="s">
        <v>15498</v>
      </c>
      <c r="I537" t="s">
        <v>3852</v>
      </c>
      <c r="J537" t="s">
        <v>30626</v>
      </c>
      <c r="K537" t="s">
        <v>39017</v>
      </c>
      <c r="M537" t="s">
        <v>39541</v>
      </c>
      <c r="N537" t="s">
        <v>43166</v>
      </c>
      <c r="O537" t="s">
        <v>43167</v>
      </c>
      <c r="P537">
        <v>0</v>
      </c>
      <c r="Q537">
        <v>0</v>
      </c>
      <c r="R537" t="s">
        <v>43168</v>
      </c>
      <c r="S537" t="s">
        <v>43286</v>
      </c>
      <c r="T537" t="s">
        <v>44677</v>
      </c>
      <c r="U537" t="s">
        <v>45634</v>
      </c>
      <c r="W537" t="s">
        <v>39541</v>
      </c>
      <c r="X537" t="s">
        <v>43171</v>
      </c>
    </row>
    <row r="538" spans="1:24">
      <c r="A538">
        <f>HYPERLINK("https://www.philgeps.gov.ph/GEPSNONPILOT/Tender/SplashBidNoticeAbstractUI.aspx?menuIndex=3&amp;refID=7086375&amp;Result=3","7086375")</f>
        <v>0</v>
      </c>
      <c r="B538" t="s">
        <v>276</v>
      </c>
      <c r="C538" t="s">
        <v>3960</v>
      </c>
      <c r="D538" t="s">
        <v>17415</v>
      </c>
      <c r="E538" t="s">
        <v>17540</v>
      </c>
      <c r="F538" t="s">
        <v>30052</v>
      </c>
      <c r="G538" t="s">
        <v>30059</v>
      </c>
      <c r="H538" t="s">
        <v>15498</v>
      </c>
      <c r="I538" t="s">
        <v>8323</v>
      </c>
      <c r="J538" t="s">
        <v>30627</v>
      </c>
      <c r="K538" t="s">
        <v>39019</v>
      </c>
      <c r="M538" t="s">
        <v>39571</v>
      </c>
      <c r="N538" t="s">
        <v>43166</v>
      </c>
      <c r="O538" t="s">
        <v>43167</v>
      </c>
      <c r="P538">
        <v>0</v>
      </c>
      <c r="Q538">
        <v>10</v>
      </c>
      <c r="R538" t="s">
        <v>43168</v>
      </c>
      <c r="S538" t="s">
        <v>43286</v>
      </c>
      <c r="T538" t="s">
        <v>44779</v>
      </c>
      <c r="U538" t="s">
        <v>45688</v>
      </c>
      <c r="W538" t="s">
        <v>39571</v>
      </c>
      <c r="X538" t="s">
        <v>43171</v>
      </c>
    </row>
    <row r="539" spans="1:24">
      <c r="A539">
        <f>HYPERLINK("https://www.philgeps.gov.ph/GEPSNONPILOT/Tender/SplashBidNoticeAbstractUI.aspx?menuIndex=3&amp;refID=7086418&amp;Result=3","7086418")</f>
        <v>0</v>
      </c>
      <c r="B539" t="s">
        <v>268</v>
      </c>
      <c r="C539" t="s">
        <v>3961</v>
      </c>
      <c r="D539" t="s">
        <v>17459</v>
      </c>
      <c r="E539" t="s">
        <v>18019</v>
      </c>
      <c r="F539" t="s">
        <v>30052</v>
      </c>
      <c r="G539" t="s">
        <v>30059</v>
      </c>
      <c r="H539" t="s">
        <v>15498</v>
      </c>
      <c r="I539" t="s">
        <v>3736</v>
      </c>
      <c r="J539" t="s">
        <v>30628</v>
      </c>
      <c r="K539" t="s">
        <v>39018</v>
      </c>
      <c r="M539" t="s">
        <v>39561</v>
      </c>
      <c r="N539" t="s">
        <v>43166</v>
      </c>
      <c r="O539" t="s">
        <v>43167</v>
      </c>
      <c r="P539">
        <v>0</v>
      </c>
      <c r="Q539">
        <v>0</v>
      </c>
      <c r="R539" t="s">
        <v>43168</v>
      </c>
      <c r="S539" t="s">
        <v>43286</v>
      </c>
      <c r="T539" t="s">
        <v>44691</v>
      </c>
      <c r="U539" t="s">
        <v>45689</v>
      </c>
      <c r="W539" t="s">
        <v>39561</v>
      </c>
      <c r="X539" t="s">
        <v>43171</v>
      </c>
    </row>
    <row r="540" spans="1:24">
      <c r="A540">
        <f>HYPERLINK("https://www.philgeps.gov.ph/GEPSNONPILOT/Tender/SplashBidNoticeAbstractUI.aspx?menuIndex=3&amp;refID=7086401&amp;Result=3","7086401")</f>
        <v>0</v>
      </c>
      <c r="B540" t="s">
        <v>251</v>
      </c>
      <c r="C540" t="s">
        <v>3962</v>
      </c>
      <c r="D540" t="s">
        <v>17415</v>
      </c>
      <c r="E540" t="s">
        <v>18020</v>
      </c>
      <c r="F540" t="s">
        <v>30052</v>
      </c>
      <c r="G540" t="s">
        <v>30058</v>
      </c>
      <c r="H540" t="s">
        <v>15498</v>
      </c>
      <c r="I540" t="s">
        <v>30070</v>
      </c>
      <c r="J540" t="s">
        <v>30629</v>
      </c>
      <c r="K540" t="s">
        <v>39017</v>
      </c>
      <c r="M540" t="s">
        <v>39541</v>
      </c>
      <c r="N540" t="s">
        <v>43166</v>
      </c>
      <c r="O540" t="s">
        <v>43167</v>
      </c>
      <c r="P540">
        <v>0</v>
      </c>
      <c r="Q540">
        <v>0</v>
      </c>
      <c r="R540" t="s">
        <v>43168</v>
      </c>
      <c r="S540" t="s">
        <v>43286</v>
      </c>
      <c r="T540" t="s">
        <v>44677</v>
      </c>
      <c r="U540" t="s">
        <v>45646</v>
      </c>
      <c r="W540" t="s">
        <v>39541</v>
      </c>
      <c r="X540" t="s">
        <v>43171</v>
      </c>
    </row>
    <row r="541" spans="1:24">
      <c r="A541">
        <f>HYPERLINK("https://www.philgeps.gov.ph/GEPSNONPILOT/Tender/SplashBidNoticeAbstractUI.aspx?menuIndex=3&amp;refID=7086392&amp;Result=3","7086392")</f>
        <v>0</v>
      </c>
      <c r="B541" t="s">
        <v>131</v>
      </c>
      <c r="C541" t="s">
        <v>3963</v>
      </c>
      <c r="D541" t="s">
        <v>17424</v>
      </c>
      <c r="E541" t="s">
        <v>18021</v>
      </c>
      <c r="F541" t="s">
        <v>30052</v>
      </c>
      <c r="G541" t="s">
        <v>30059</v>
      </c>
      <c r="H541" t="s">
        <v>15498</v>
      </c>
      <c r="I541" t="s">
        <v>30071</v>
      </c>
      <c r="J541" t="s">
        <v>30630</v>
      </c>
      <c r="K541" t="s">
        <v>39025</v>
      </c>
      <c r="M541" t="s">
        <v>39420</v>
      </c>
      <c r="N541" t="s">
        <v>43166</v>
      </c>
      <c r="O541" t="s">
        <v>43167</v>
      </c>
      <c r="P541">
        <v>0</v>
      </c>
      <c r="Q541">
        <v>0</v>
      </c>
      <c r="R541" t="s">
        <v>43168</v>
      </c>
      <c r="S541" t="s">
        <v>43286</v>
      </c>
      <c r="T541" t="s">
        <v>44691</v>
      </c>
      <c r="U541" t="s">
        <v>45690</v>
      </c>
      <c r="W541" t="s">
        <v>39420</v>
      </c>
      <c r="X541" t="s">
        <v>43171</v>
      </c>
    </row>
    <row r="542" spans="1:24">
      <c r="A542">
        <f>HYPERLINK("https://www.philgeps.gov.ph/GEPSNONPILOT/Tender/SplashBidNoticeAbstractUI.aspx?menuIndex=3&amp;refID=7086329&amp;Result=3","7086329")</f>
        <v>0</v>
      </c>
      <c r="B542" t="s">
        <v>275</v>
      </c>
      <c r="C542" t="s">
        <v>3964</v>
      </c>
      <c r="D542" t="s">
        <v>17440</v>
      </c>
      <c r="E542" t="s">
        <v>18022</v>
      </c>
      <c r="F542" t="s">
        <v>30052</v>
      </c>
      <c r="G542" t="s">
        <v>30059</v>
      </c>
      <c r="H542" t="s">
        <v>15498</v>
      </c>
      <c r="I542" t="s">
        <v>30096</v>
      </c>
      <c r="J542" t="s">
        <v>30631</v>
      </c>
      <c r="K542" t="s">
        <v>39018</v>
      </c>
      <c r="M542" t="s">
        <v>39570</v>
      </c>
      <c r="N542" t="s">
        <v>43166</v>
      </c>
      <c r="O542" t="s">
        <v>43167</v>
      </c>
      <c r="P542">
        <v>0</v>
      </c>
      <c r="Q542">
        <v>0</v>
      </c>
      <c r="R542" t="s">
        <v>43168</v>
      </c>
      <c r="S542" t="s">
        <v>43286</v>
      </c>
      <c r="T542" t="s">
        <v>44691</v>
      </c>
      <c r="U542" t="s">
        <v>45684</v>
      </c>
      <c r="W542" t="s">
        <v>39570</v>
      </c>
      <c r="X542" t="s">
        <v>43171</v>
      </c>
    </row>
    <row r="543" spans="1:24">
      <c r="A543">
        <f>HYPERLINK("https://www.philgeps.gov.ph/GEPSNONPILOT/Tender/SplashBidNoticeAbstractUI.aspx?menuIndex=3&amp;refID=7086478&amp;Result=3","7086478")</f>
        <v>0</v>
      </c>
      <c r="B543" t="s">
        <v>251</v>
      </c>
      <c r="C543" t="s">
        <v>3965</v>
      </c>
      <c r="D543" t="s">
        <v>17415</v>
      </c>
      <c r="E543" t="s">
        <v>18023</v>
      </c>
      <c r="F543" t="s">
        <v>30052</v>
      </c>
      <c r="G543" t="s">
        <v>30058</v>
      </c>
      <c r="H543" t="s">
        <v>15498</v>
      </c>
      <c r="I543" t="s">
        <v>30085</v>
      </c>
      <c r="J543" t="s">
        <v>30632</v>
      </c>
      <c r="K543" t="s">
        <v>39017</v>
      </c>
      <c r="M543" t="s">
        <v>39567</v>
      </c>
      <c r="N543" t="s">
        <v>43166</v>
      </c>
      <c r="O543" t="s">
        <v>43167</v>
      </c>
      <c r="P543">
        <v>0</v>
      </c>
      <c r="Q543">
        <v>0</v>
      </c>
      <c r="R543" t="s">
        <v>43168</v>
      </c>
      <c r="S543" t="s">
        <v>43286</v>
      </c>
      <c r="T543" t="s">
        <v>44677</v>
      </c>
      <c r="U543" t="s">
        <v>45673</v>
      </c>
      <c r="W543" t="s">
        <v>39567</v>
      </c>
      <c r="X543" t="s">
        <v>43171</v>
      </c>
    </row>
    <row r="544" spans="1:24">
      <c r="A544">
        <f>HYPERLINK("https://www.philgeps.gov.ph/GEPSNONPILOT/Tender/SplashBidNoticeAbstractUI.aspx?menuIndex=3&amp;refID=7086511&amp;Result=3","7086511")</f>
        <v>0</v>
      </c>
      <c r="B544" t="s">
        <v>251</v>
      </c>
      <c r="C544" t="s">
        <v>3966</v>
      </c>
      <c r="D544" t="s">
        <v>17415</v>
      </c>
      <c r="E544" t="s">
        <v>18024</v>
      </c>
      <c r="F544" t="s">
        <v>30052</v>
      </c>
      <c r="G544" t="s">
        <v>30058</v>
      </c>
      <c r="H544" t="s">
        <v>15498</v>
      </c>
      <c r="I544" t="s">
        <v>30085</v>
      </c>
      <c r="J544" t="s">
        <v>30633</v>
      </c>
      <c r="K544" t="s">
        <v>39017</v>
      </c>
      <c r="M544" t="s">
        <v>39567</v>
      </c>
      <c r="N544" t="s">
        <v>43166</v>
      </c>
      <c r="O544" t="s">
        <v>43167</v>
      </c>
      <c r="P544">
        <v>0</v>
      </c>
      <c r="Q544">
        <v>0</v>
      </c>
      <c r="R544" t="s">
        <v>43168</v>
      </c>
      <c r="S544" t="s">
        <v>43286</v>
      </c>
      <c r="T544" t="s">
        <v>44677</v>
      </c>
      <c r="U544" t="s">
        <v>45673</v>
      </c>
      <c r="W544" t="s">
        <v>39567</v>
      </c>
      <c r="X544" t="s">
        <v>43171</v>
      </c>
    </row>
    <row r="545" spans="1:24">
      <c r="A545">
        <f>HYPERLINK("https://www.philgeps.gov.ph/GEPSNONPILOT/Tender/SplashBidNoticeAbstractUI.aspx?menuIndex=3&amp;refID=7086502&amp;Result=3","7086502")</f>
        <v>0</v>
      </c>
      <c r="B545" t="s">
        <v>251</v>
      </c>
      <c r="C545" t="s">
        <v>3967</v>
      </c>
      <c r="D545" t="s">
        <v>17415</v>
      </c>
      <c r="E545" t="s">
        <v>18025</v>
      </c>
      <c r="F545" t="s">
        <v>30052</v>
      </c>
      <c r="G545" t="s">
        <v>30058</v>
      </c>
      <c r="H545" t="s">
        <v>15498</v>
      </c>
      <c r="I545" t="s">
        <v>30070</v>
      </c>
      <c r="J545" t="s">
        <v>30634</v>
      </c>
      <c r="K545" t="s">
        <v>39017</v>
      </c>
      <c r="M545" t="s">
        <v>39541</v>
      </c>
      <c r="N545" t="s">
        <v>43166</v>
      </c>
      <c r="O545" t="s">
        <v>43167</v>
      </c>
      <c r="P545">
        <v>0</v>
      </c>
      <c r="Q545">
        <v>0</v>
      </c>
      <c r="R545" t="s">
        <v>43168</v>
      </c>
      <c r="S545" t="s">
        <v>43286</v>
      </c>
      <c r="T545" t="s">
        <v>44677</v>
      </c>
      <c r="U545" t="s">
        <v>45646</v>
      </c>
      <c r="W545" t="s">
        <v>39541</v>
      </c>
      <c r="X545" t="s">
        <v>43171</v>
      </c>
    </row>
    <row r="546" spans="1:24">
      <c r="A546">
        <f>HYPERLINK("https://www.philgeps.gov.ph/GEPSNONPILOT/Tender/SplashBidNoticeAbstractUI.aspx?menuIndex=3&amp;refID=7086489&amp;Result=3","7086489")</f>
        <v>0</v>
      </c>
      <c r="B546" t="s">
        <v>277</v>
      </c>
      <c r="C546" t="s">
        <v>3627</v>
      </c>
      <c r="D546" t="s">
        <v>17465</v>
      </c>
      <c r="E546" t="s">
        <v>18026</v>
      </c>
      <c r="F546" t="s">
        <v>30052</v>
      </c>
      <c r="G546" t="s">
        <v>30061</v>
      </c>
      <c r="H546" t="s">
        <v>15498</v>
      </c>
      <c r="I546" t="s">
        <v>4119</v>
      </c>
      <c r="J546" t="s">
        <v>30635</v>
      </c>
      <c r="K546" t="s">
        <v>39036</v>
      </c>
      <c r="M546" t="s">
        <v>39572</v>
      </c>
      <c r="N546" t="s">
        <v>43166</v>
      </c>
      <c r="O546" t="s">
        <v>43167</v>
      </c>
      <c r="P546">
        <v>0</v>
      </c>
      <c r="Q546">
        <v>0</v>
      </c>
      <c r="R546" t="s">
        <v>43168</v>
      </c>
      <c r="S546" t="s">
        <v>43286</v>
      </c>
      <c r="T546" t="s">
        <v>44715</v>
      </c>
      <c r="U546" t="s">
        <v>45691</v>
      </c>
      <c r="W546" t="s">
        <v>39572</v>
      </c>
      <c r="X546" t="s">
        <v>43171</v>
      </c>
    </row>
    <row r="547" spans="1:24">
      <c r="A547">
        <f>HYPERLINK("https://www.philgeps.gov.ph/GEPSNONPILOT/Tender/SplashBidNoticeAbstractUI.aspx?menuIndex=3&amp;refID=7086495&amp;Result=3","7086495")</f>
        <v>0</v>
      </c>
      <c r="B547" t="s">
        <v>278</v>
      </c>
      <c r="C547" t="s">
        <v>3968</v>
      </c>
      <c r="D547" t="s">
        <v>17424</v>
      </c>
      <c r="E547" t="s">
        <v>18027</v>
      </c>
      <c r="F547" t="s">
        <v>30052</v>
      </c>
      <c r="G547" t="s">
        <v>30058</v>
      </c>
      <c r="H547" t="s">
        <v>30067</v>
      </c>
      <c r="I547" t="s">
        <v>3736</v>
      </c>
      <c r="J547" t="s">
        <v>30207</v>
      </c>
      <c r="K547" t="s">
        <v>39063</v>
      </c>
      <c r="M547" t="s">
        <v>39573</v>
      </c>
      <c r="N547" t="s">
        <v>43166</v>
      </c>
      <c r="O547" t="s">
        <v>43167</v>
      </c>
      <c r="P547">
        <v>0</v>
      </c>
      <c r="Q547">
        <v>0</v>
      </c>
      <c r="R547" t="s">
        <v>43168</v>
      </c>
      <c r="S547" t="s">
        <v>43286</v>
      </c>
      <c r="T547" t="s">
        <v>44780</v>
      </c>
      <c r="U547" t="s">
        <v>45692</v>
      </c>
      <c r="W547" t="s">
        <v>39573</v>
      </c>
      <c r="X547" t="s">
        <v>43171</v>
      </c>
    </row>
    <row r="548" spans="1:24">
      <c r="A548">
        <f>HYPERLINK("https://www.philgeps.gov.ph/GEPSNONPILOT/Tender/SplashBidNoticeAbstractUI.aspx?menuIndex=3&amp;refID=7086469&amp;Result=3","7086469")</f>
        <v>0</v>
      </c>
      <c r="B548" t="s">
        <v>279</v>
      </c>
      <c r="C548" t="s">
        <v>3969</v>
      </c>
      <c r="E548" t="s">
        <v>18028</v>
      </c>
      <c r="F548" t="s">
        <v>30052</v>
      </c>
      <c r="G548" t="s">
        <v>30058</v>
      </c>
      <c r="H548" t="s">
        <v>15498</v>
      </c>
      <c r="I548" t="s">
        <v>3736</v>
      </c>
      <c r="J548" t="s">
        <v>30636</v>
      </c>
      <c r="K548" t="s">
        <v>39025</v>
      </c>
      <c r="M548" t="s">
        <v>39574</v>
      </c>
      <c r="N548" t="s">
        <v>43166</v>
      </c>
      <c r="O548" t="s">
        <v>43167</v>
      </c>
      <c r="P548">
        <v>0</v>
      </c>
      <c r="Q548">
        <v>0</v>
      </c>
      <c r="R548" t="s">
        <v>43168</v>
      </c>
      <c r="S548" t="s">
        <v>43286</v>
      </c>
      <c r="T548" t="s">
        <v>44733</v>
      </c>
      <c r="U548" t="s">
        <v>45693</v>
      </c>
      <c r="W548" t="s">
        <v>58596</v>
      </c>
      <c r="X548" t="s">
        <v>43171</v>
      </c>
    </row>
    <row r="549" spans="1:24">
      <c r="A549">
        <f>HYPERLINK("https://www.philgeps.gov.ph/GEPSNONPILOT/Tender/SplashBidNoticeAbstractUI.aspx?menuIndex=3&amp;refID=7086465&amp;Result=3","7086465")</f>
        <v>0</v>
      </c>
      <c r="B549" t="s">
        <v>280</v>
      </c>
      <c r="C549" t="s">
        <v>3970</v>
      </c>
      <c r="D549" t="s">
        <v>17475</v>
      </c>
      <c r="E549" t="s">
        <v>17897</v>
      </c>
      <c r="F549" t="s">
        <v>30052</v>
      </c>
      <c r="G549" t="s">
        <v>30058</v>
      </c>
      <c r="H549" t="s">
        <v>15498</v>
      </c>
      <c r="I549" t="s">
        <v>3736</v>
      </c>
      <c r="J549" t="s">
        <v>30637</v>
      </c>
      <c r="K549" t="s">
        <v>39018</v>
      </c>
      <c r="M549" t="s">
        <v>39575</v>
      </c>
      <c r="N549" t="s">
        <v>43166</v>
      </c>
      <c r="O549" t="s">
        <v>43167</v>
      </c>
      <c r="P549">
        <v>0</v>
      </c>
      <c r="Q549">
        <v>0</v>
      </c>
      <c r="R549" t="s">
        <v>43168</v>
      </c>
      <c r="S549" t="s">
        <v>43286</v>
      </c>
      <c r="T549" t="s">
        <v>44750</v>
      </c>
      <c r="U549" t="s">
        <v>45694</v>
      </c>
      <c r="W549" t="s">
        <v>39575</v>
      </c>
      <c r="X549" t="s">
        <v>43171</v>
      </c>
    </row>
    <row r="550" spans="1:24">
      <c r="A550">
        <f>HYPERLINK("https://www.philgeps.gov.ph/GEPSNONPILOT/Tender/SplashBidNoticeAbstractUI.aspx?menuIndex=3&amp;refID=7086504&amp;Result=3","7086504")</f>
        <v>0</v>
      </c>
      <c r="B550" t="s">
        <v>131</v>
      </c>
      <c r="C550" t="s">
        <v>3971</v>
      </c>
      <c r="D550" t="s">
        <v>17424</v>
      </c>
      <c r="E550" t="s">
        <v>18029</v>
      </c>
      <c r="F550" t="s">
        <v>30052</v>
      </c>
      <c r="G550" t="s">
        <v>30062</v>
      </c>
      <c r="H550" t="s">
        <v>15498</v>
      </c>
      <c r="I550" t="s">
        <v>30070</v>
      </c>
      <c r="J550" t="s">
        <v>30638</v>
      </c>
      <c r="K550" t="s">
        <v>39025</v>
      </c>
      <c r="M550" t="s">
        <v>39420</v>
      </c>
      <c r="N550" t="s">
        <v>43166</v>
      </c>
      <c r="O550" t="s">
        <v>43167</v>
      </c>
      <c r="P550">
        <v>0</v>
      </c>
      <c r="Q550">
        <v>1</v>
      </c>
      <c r="R550" t="s">
        <v>43168</v>
      </c>
      <c r="S550" t="s">
        <v>43286</v>
      </c>
      <c r="T550" t="s">
        <v>44691</v>
      </c>
      <c r="U550" t="s">
        <v>45695</v>
      </c>
      <c r="W550" t="s">
        <v>39420</v>
      </c>
      <c r="X550" t="s">
        <v>43171</v>
      </c>
    </row>
    <row r="551" spans="1:24">
      <c r="A551">
        <f>HYPERLINK("https://www.philgeps.gov.ph/GEPSNONPILOT/Tender/SplashBidNoticeAbstractUI.aspx?menuIndex=3&amp;refID=7086461&amp;Result=3","7086461")</f>
        <v>0</v>
      </c>
      <c r="B551" t="s">
        <v>251</v>
      </c>
      <c r="C551" t="s">
        <v>3972</v>
      </c>
      <c r="D551" t="s">
        <v>17415</v>
      </c>
      <c r="E551" t="s">
        <v>18030</v>
      </c>
      <c r="F551" t="s">
        <v>30052</v>
      </c>
      <c r="G551" t="s">
        <v>30058</v>
      </c>
      <c r="H551" t="s">
        <v>15498</v>
      </c>
      <c r="I551" t="s">
        <v>3852</v>
      </c>
      <c r="J551" t="s">
        <v>30639</v>
      </c>
      <c r="K551" t="s">
        <v>39017</v>
      </c>
      <c r="M551" t="s">
        <v>39541</v>
      </c>
      <c r="N551" t="s">
        <v>43166</v>
      </c>
      <c r="O551" t="s">
        <v>43167</v>
      </c>
      <c r="P551">
        <v>0</v>
      </c>
      <c r="Q551">
        <v>1</v>
      </c>
      <c r="R551" t="s">
        <v>43168</v>
      </c>
      <c r="S551" t="s">
        <v>43286</v>
      </c>
      <c r="T551" t="s">
        <v>44677</v>
      </c>
      <c r="U551" t="s">
        <v>45634</v>
      </c>
      <c r="W551" t="s">
        <v>39541</v>
      </c>
      <c r="X551" t="s">
        <v>43171</v>
      </c>
    </row>
    <row r="552" spans="1:24">
      <c r="A552">
        <f>HYPERLINK("https://www.philgeps.gov.ph/GEPSNONPILOT/Tender/SplashBidNoticeAbstractUI.aspx?menuIndex=3&amp;refID=7086492&amp;Result=3","7086492")</f>
        <v>0</v>
      </c>
      <c r="B552" t="s">
        <v>281</v>
      </c>
      <c r="C552" t="s">
        <v>3973</v>
      </c>
      <c r="D552" t="s">
        <v>17482</v>
      </c>
      <c r="E552" t="s">
        <v>18031</v>
      </c>
      <c r="F552" t="s">
        <v>30052</v>
      </c>
      <c r="G552" t="s">
        <v>30058</v>
      </c>
      <c r="H552" t="s">
        <v>15498</v>
      </c>
      <c r="I552" t="s">
        <v>4119</v>
      </c>
      <c r="J552" t="s">
        <v>30640</v>
      </c>
      <c r="K552" t="s">
        <v>39029</v>
      </c>
      <c r="M552" t="s">
        <v>39576</v>
      </c>
      <c r="N552" t="s">
        <v>43166</v>
      </c>
      <c r="O552" t="s">
        <v>43167</v>
      </c>
      <c r="P552">
        <v>0</v>
      </c>
      <c r="Q552">
        <v>2</v>
      </c>
      <c r="R552" t="s">
        <v>43168</v>
      </c>
      <c r="S552" t="s">
        <v>43286</v>
      </c>
      <c r="T552" t="s">
        <v>44677</v>
      </c>
      <c r="U552" t="s">
        <v>45696</v>
      </c>
      <c r="W552" t="s">
        <v>39576</v>
      </c>
      <c r="X552" t="s">
        <v>43171</v>
      </c>
    </row>
    <row r="553" spans="1:24">
      <c r="A553">
        <f>HYPERLINK("https://www.philgeps.gov.ph/GEPSNONPILOT/Tender/SplashBidNoticeAbstractUI.aspx?menuIndex=3&amp;refID=7086453&amp;Result=3","7086453")</f>
        <v>0</v>
      </c>
      <c r="B553" t="s">
        <v>251</v>
      </c>
      <c r="C553" t="s">
        <v>3974</v>
      </c>
      <c r="D553" t="s">
        <v>17415</v>
      </c>
      <c r="E553" t="s">
        <v>18032</v>
      </c>
      <c r="F553" t="s">
        <v>30052</v>
      </c>
      <c r="G553" t="s">
        <v>30058</v>
      </c>
      <c r="H553" t="s">
        <v>15498</v>
      </c>
      <c r="I553" t="s">
        <v>3852</v>
      </c>
      <c r="J553" t="s">
        <v>30641</v>
      </c>
      <c r="K553" t="s">
        <v>39017</v>
      </c>
      <c r="M553" t="s">
        <v>39567</v>
      </c>
      <c r="N553" t="s">
        <v>43166</v>
      </c>
      <c r="O553" t="s">
        <v>43167</v>
      </c>
      <c r="P553">
        <v>0</v>
      </c>
      <c r="Q553">
        <v>0</v>
      </c>
      <c r="R553" t="s">
        <v>43168</v>
      </c>
      <c r="S553" t="s">
        <v>43286</v>
      </c>
      <c r="T553" t="s">
        <v>44677</v>
      </c>
      <c r="U553" t="s">
        <v>45680</v>
      </c>
      <c r="W553" t="s">
        <v>39567</v>
      </c>
      <c r="X553" t="s">
        <v>43171</v>
      </c>
    </row>
    <row r="554" spans="1:24">
      <c r="A554">
        <f>HYPERLINK("https://www.philgeps.gov.ph/GEPSNONPILOT/Tender/SplashBidNoticeAbstractUI.aspx?menuIndex=3&amp;refID=7086474&amp;Result=3","7086474")</f>
        <v>0</v>
      </c>
      <c r="B554" t="s">
        <v>282</v>
      </c>
      <c r="C554" t="s">
        <v>3975</v>
      </c>
      <c r="D554" t="s">
        <v>17470</v>
      </c>
      <c r="E554" t="s">
        <v>18033</v>
      </c>
      <c r="F554" t="s">
        <v>30052</v>
      </c>
      <c r="G554" t="s">
        <v>30059</v>
      </c>
      <c r="H554" t="s">
        <v>15498</v>
      </c>
      <c r="I554" t="s">
        <v>30125</v>
      </c>
      <c r="J554" t="s">
        <v>30472</v>
      </c>
      <c r="K554" t="s">
        <v>39025</v>
      </c>
      <c r="M554" t="s">
        <v>39577</v>
      </c>
      <c r="N554" t="s">
        <v>43166</v>
      </c>
      <c r="O554" t="s">
        <v>43167</v>
      </c>
      <c r="P554">
        <v>0</v>
      </c>
      <c r="Q554">
        <v>0</v>
      </c>
      <c r="R554" t="s">
        <v>43168</v>
      </c>
      <c r="S554" t="s">
        <v>43286</v>
      </c>
      <c r="T554" t="s">
        <v>44691</v>
      </c>
      <c r="U554" t="s">
        <v>45427</v>
      </c>
      <c r="W554" t="s">
        <v>39577</v>
      </c>
      <c r="X554" t="s">
        <v>43171</v>
      </c>
    </row>
    <row r="555" spans="1:24">
      <c r="A555">
        <f>HYPERLINK("https://www.philgeps.gov.ph/GEPSNONPILOT/Tender/SplashBidNoticeAbstractUI.aspx?menuIndex=3&amp;refID=7086448&amp;Result=3","7086448")</f>
        <v>0</v>
      </c>
      <c r="B555" t="s">
        <v>273</v>
      </c>
      <c r="C555" t="s">
        <v>3976</v>
      </c>
      <c r="D555" t="s">
        <v>17434</v>
      </c>
      <c r="E555" t="s">
        <v>18034</v>
      </c>
      <c r="F555" t="s">
        <v>30052</v>
      </c>
      <c r="G555" t="s">
        <v>30059</v>
      </c>
      <c r="H555" t="s">
        <v>30067</v>
      </c>
      <c r="I555" t="s">
        <v>30070</v>
      </c>
      <c r="J555" t="s">
        <v>30642</v>
      </c>
      <c r="K555" t="s">
        <v>39029</v>
      </c>
      <c r="M555" t="s">
        <v>39568</v>
      </c>
      <c r="N555" t="s">
        <v>43166</v>
      </c>
      <c r="O555" t="s">
        <v>43167</v>
      </c>
      <c r="P555">
        <v>0</v>
      </c>
      <c r="Q555">
        <v>4</v>
      </c>
      <c r="R555" t="s">
        <v>43168</v>
      </c>
      <c r="S555" t="s">
        <v>43286</v>
      </c>
      <c r="T555" t="s">
        <v>44743</v>
      </c>
      <c r="U555" t="s">
        <v>45677</v>
      </c>
      <c r="W555" t="s">
        <v>39568</v>
      </c>
      <c r="X555" t="s">
        <v>43171</v>
      </c>
    </row>
    <row r="556" spans="1:24">
      <c r="A556">
        <f>HYPERLINK("https://www.philgeps.gov.ph/GEPSNONPILOT/Tender/SplashBidNoticeAbstractUI.aspx?menuIndex=3&amp;refID=7086512&amp;Result=3","7086512")</f>
        <v>0</v>
      </c>
      <c r="B556" t="s">
        <v>251</v>
      </c>
      <c r="C556" t="s">
        <v>3977</v>
      </c>
      <c r="D556" t="s">
        <v>17415</v>
      </c>
      <c r="E556" t="s">
        <v>18035</v>
      </c>
      <c r="F556" t="s">
        <v>30052</v>
      </c>
      <c r="G556" t="s">
        <v>30058</v>
      </c>
      <c r="H556" t="s">
        <v>15498</v>
      </c>
      <c r="I556" t="s">
        <v>30070</v>
      </c>
      <c r="J556" t="s">
        <v>30643</v>
      </c>
      <c r="K556" t="s">
        <v>39017</v>
      </c>
      <c r="M556" t="s">
        <v>39541</v>
      </c>
      <c r="N556" t="s">
        <v>43166</v>
      </c>
      <c r="O556" t="s">
        <v>43167</v>
      </c>
      <c r="P556">
        <v>0</v>
      </c>
      <c r="Q556">
        <v>0</v>
      </c>
      <c r="R556" t="s">
        <v>43168</v>
      </c>
      <c r="S556" t="s">
        <v>43286</v>
      </c>
      <c r="T556" t="s">
        <v>44677</v>
      </c>
      <c r="U556" t="s">
        <v>45646</v>
      </c>
      <c r="W556" t="s">
        <v>39541</v>
      </c>
      <c r="X556" t="s">
        <v>43171</v>
      </c>
    </row>
    <row r="557" spans="1:24">
      <c r="A557">
        <f>HYPERLINK("https://www.philgeps.gov.ph/GEPSNONPILOT/Tender/SplashBidNoticeAbstractUI.aspx?menuIndex=3&amp;refID=7086466&amp;Result=3","7086466")</f>
        <v>0</v>
      </c>
      <c r="B557" t="s">
        <v>283</v>
      </c>
      <c r="C557" t="s">
        <v>3978</v>
      </c>
      <c r="D557" t="s">
        <v>17486</v>
      </c>
      <c r="E557" t="s">
        <v>18036</v>
      </c>
      <c r="F557" t="s">
        <v>30052</v>
      </c>
      <c r="G557" t="s">
        <v>30059</v>
      </c>
      <c r="H557" t="s">
        <v>15498</v>
      </c>
      <c r="I557" t="s">
        <v>30078</v>
      </c>
      <c r="J557" t="s">
        <v>30218</v>
      </c>
      <c r="K557" t="s">
        <v>39017</v>
      </c>
      <c r="M557" t="s">
        <v>39578</v>
      </c>
      <c r="N557" t="s">
        <v>43166</v>
      </c>
      <c r="O557" t="s">
        <v>43167</v>
      </c>
      <c r="P557">
        <v>0</v>
      </c>
      <c r="Q557">
        <v>0</v>
      </c>
      <c r="R557" t="s">
        <v>43168</v>
      </c>
      <c r="S557" t="s">
        <v>43286</v>
      </c>
      <c r="T557" t="s">
        <v>44737</v>
      </c>
      <c r="U557" t="s">
        <v>45697</v>
      </c>
      <c r="W557" t="s">
        <v>39578</v>
      </c>
      <c r="X557" t="s">
        <v>43171</v>
      </c>
    </row>
    <row r="558" spans="1:24">
      <c r="A558">
        <f>HYPERLINK("https://www.philgeps.gov.ph/GEPSNONPILOT/Tender/SplashBidNoticeAbstractUI.aspx?menuIndex=3&amp;refID=7086550&amp;Result=3","7086550")</f>
        <v>0</v>
      </c>
      <c r="B558" t="s">
        <v>269</v>
      </c>
      <c r="C558" t="s">
        <v>3979</v>
      </c>
      <c r="D558" t="s">
        <v>17470</v>
      </c>
      <c r="E558" t="s">
        <v>17727</v>
      </c>
      <c r="F558" t="s">
        <v>30052</v>
      </c>
      <c r="G558" t="s">
        <v>30059</v>
      </c>
      <c r="H558" t="s">
        <v>15498</v>
      </c>
      <c r="I558" t="s">
        <v>30076</v>
      </c>
      <c r="J558" t="s">
        <v>30644</v>
      </c>
      <c r="K558" t="s">
        <v>39025</v>
      </c>
      <c r="M558" t="s">
        <v>39562</v>
      </c>
      <c r="N558" t="s">
        <v>43166</v>
      </c>
      <c r="O558" t="s">
        <v>43167</v>
      </c>
      <c r="P558">
        <v>0</v>
      </c>
      <c r="Q558">
        <v>0</v>
      </c>
      <c r="R558" t="s">
        <v>43168</v>
      </c>
      <c r="S558" t="s">
        <v>43286</v>
      </c>
      <c r="T558" t="s">
        <v>44691</v>
      </c>
      <c r="U558" t="s">
        <v>45427</v>
      </c>
      <c r="W558" t="s">
        <v>39562</v>
      </c>
      <c r="X558" t="s">
        <v>43171</v>
      </c>
    </row>
    <row r="559" spans="1:24">
      <c r="A559">
        <f>HYPERLINK("https://www.philgeps.gov.ph/GEPSNONPILOT/Tender/SplashBidNoticeAbstractUI.aspx?menuIndex=3&amp;refID=7086569&amp;Result=3","7086569")</f>
        <v>0</v>
      </c>
      <c r="B559" t="s">
        <v>251</v>
      </c>
      <c r="C559" t="s">
        <v>3980</v>
      </c>
      <c r="D559" t="s">
        <v>17415</v>
      </c>
      <c r="E559" t="s">
        <v>18037</v>
      </c>
      <c r="F559" t="s">
        <v>30052</v>
      </c>
      <c r="G559" t="s">
        <v>30058</v>
      </c>
      <c r="H559" t="s">
        <v>15498</v>
      </c>
      <c r="I559" t="s">
        <v>3852</v>
      </c>
      <c r="J559" t="s">
        <v>30645</v>
      </c>
      <c r="K559" t="s">
        <v>39017</v>
      </c>
      <c r="M559" t="s">
        <v>39567</v>
      </c>
      <c r="N559" t="s">
        <v>43166</v>
      </c>
      <c r="O559" t="s">
        <v>43167</v>
      </c>
      <c r="P559">
        <v>0</v>
      </c>
      <c r="Q559">
        <v>0</v>
      </c>
      <c r="R559" t="s">
        <v>43168</v>
      </c>
      <c r="S559" t="s">
        <v>43286</v>
      </c>
      <c r="T559" t="s">
        <v>44677</v>
      </c>
      <c r="U559" t="s">
        <v>45680</v>
      </c>
      <c r="W559" t="s">
        <v>39567</v>
      </c>
      <c r="X559" t="s">
        <v>43171</v>
      </c>
    </row>
    <row r="560" spans="1:24">
      <c r="A560">
        <f>HYPERLINK("https://www.philgeps.gov.ph/GEPSNONPILOT/Tender/SplashBidNoticeAbstractUI.aspx?menuIndex=3&amp;refID=7086454&amp;Result=3","7086454")</f>
        <v>0</v>
      </c>
      <c r="B560" t="s">
        <v>284</v>
      </c>
      <c r="C560" t="s">
        <v>3981</v>
      </c>
      <c r="D560" t="s">
        <v>17468</v>
      </c>
      <c r="E560" t="s">
        <v>18038</v>
      </c>
      <c r="F560" t="s">
        <v>30052</v>
      </c>
      <c r="G560" t="s">
        <v>30058</v>
      </c>
      <c r="H560" t="s">
        <v>30067</v>
      </c>
      <c r="I560" t="s">
        <v>3693</v>
      </c>
      <c r="J560" t="s">
        <v>30222</v>
      </c>
      <c r="K560" t="s">
        <v>39023</v>
      </c>
      <c r="L560" t="s">
        <v>284</v>
      </c>
      <c r="M560" t="s">
        <v>39579</v>
      </c>
      <c r="N560" t="s">
        <v>43166</v>
      </c>
      <c r="O560" t="s">
        <v>43167</v>
      </c>
      <c r="P560">
        <v>0</v>
      </c>
      <c r="Q560">
        <v>0</v>
      </c>
      <c r="R560" t="s">
        <v>43168</v>
      </c>
      <c r="S560" t="s">
        <v>43286</v>
      </c>
      <c r="T560" t="s">
        <v>44781</v>
      </c>
      <c r="U560" t="s">
        <v>45698</v>
      </c>
      <c r="V560" t="s">
        <v>45709</v>
      </c>
      <c r="W560" t="s">
        <v>39579</v>
      </c>
      <c r="X560" t="s">
        <v>43171</v>
      </c>
    </row>
    <row r="561" spans="1:24">
      <c r="A561">
        <f>HYPERLINK("https://www.philgeps.gov.ph/GEPSNONPILOT/Tender/SplashBidNoticeAbstractUI.aspx?menuIndex=3&amp;refID=7086560&amp;Result=3","7086560")</f>
        <v>0</v>
      </c>
      <c r="B561" t="s">
        <v>103</v>
      </c>
      <c r="C561" t="s">
        <v>3982</v>
      </c>
      <c r="D561" t="s">
        <v>17441</v>
      </c>
      <c r="E561" t="s">
        <v>18039</v>
      </c>
      <c r="F561" t="s">
        <v>30052</v>
      </c>
      <c r="G561" t="s">
        <v>30059</v>
      </c>
      <c r="H561" t="s">
        <v>30069</v>
      </c>
      <c r="I561" t="s">
        <v>30093</v>
      </c>
      <c r="J561" t="s">
        <v>30263</v>
      </c>
      <c r="K561" t="s">
        <v>39029</v>
      </c>
      <c r="M561" t="s">
        <v>39392</v>
      </c>
      <c r="N561" t="s">
        <v>43166</v>
      </c>
      <c r="O561" t="s">
        <v>43167</v>
      </c>
      <c r="P561">
        <v>0</v>
      </c>
      <c r="Q561">
        <v>1</v>
      </c>
      <c r="R561" t="s">
        <v>43168</v>
      </c>
      <c r="S561" t="s">
        <v>43286</v>
      </c>
      <c r="T561" t="s">
        <v>44720</v>
      </c>
      <c r="U561" t="s">
        <v>45699</v>
      </c>
      <c r="W561" t="s">
        <v>39392</v>
      </c>
      <c r="X561" t="s">
        <v>43171</v>
      </c>
    </row>
    <row r="562" spans="1:24">
      <c r="A562">
        <f>HYPERLINK("https://www.philgeps.gov.ph/GEPSNONPILOT/Tender/SplashBidNoticeAbstractUI.aspx?menuIndex=3&amp;refID=7086555&amp;Result=3","7086555")</f>
        <v>0</v>
      </c>
      <c r="B562" t="s">
        <v>285</v>
      </c>
      <c r="C562" t="s">
        <v>3983</v>
      </c>
      <c r="D562" t="s">
        <v>17475</v>
      </c>
      <c r="E562" t="s">
        <v>18040</v>
      </c>
      <c r="F562" t="s">
        <v>30052</v>
      </c>
      <c r="G562" t="s">
        <v>30059</v>
      </c>
      <c r="H562" t="s">
        <v>30069</v>
      </c>
      <c r="I562" t="s">
        <v>6691</v>
      </c>
      <c r="J562" t="s">
        <v>30292</v>
      </c>
      <c r="K562" t="s">
        <v>39018</v>
      </c>
      <c r="M562" t="s">
        <v>39580</v>
      </c>
      <c r="N562" t="s">
        <v>43166</v>
      </c>
      <c r="O562" t="s">
        <v>43167</v>
      </c>
      <c r="P562">
        <v>0</v>
      </c>
      <c r="Q562">
        <v>0</v>
      </c>
      <c r="R562" t="s">
        <v>43168</v>
      </c>
      <c r="S562" t="s">
        <v>43286</v>
      </c>
      <c r="T562" t="s">
        <v>44724</v>
      </c>
      <c r="U562" t="s">
        <v>45700</v>
      </c>
      <c r="W562" t="s">
        <v>39580</v>
      </c>
      <c r="X562" t="s">
        <v>43171</v>
      </c>
    </row>
    <row r="563" spans="1:24">
      <c r="A563">
        <f>HYPERLINK("https://www.philgeps.gov.ph/GEPSNONPILOT/Tender/SplashBidNoticeAbstractUI.aspx?menuIndex=3&amp;refID=7086434&amp;Result=3","7086434")</f>
        <v>0</v>
      </c>
      <c r="B563" t="s">
        <v>251</v>
      </c>
      <c r="C563" t="s">
        <v>3984</v>
      </c>
      <c r="D563" t="s">
        <v>17415</v>
      </c>
      <c r="E563" t="s">
        <v>18041</v>
      </c>
      <c r="F563" t="s">
        <v>30052</v>
      </c>
      <c r="G563" t="s">
        <v>30058</v>
      </c>
      <c r="H563" t="s">
        <v>15498</v>
      </c>
      <c r="I563" t="s">
        <v>7228</v>
      </c>
      <c r="J563" t="s">
        <v>30646</v>
      </c>
      <c r="K563" t="s">
        <v>39017</v>
      </c>
      <c r="M563" t="s">
        <v>39541</v>
      </c>
      <c r="N563" t="s">
        <v>43166</v>
      </c>
      <c r="O563" t="s">
        <v>43167</v>
      </c>
      <c r="P563">
        <v>0</v>
      </c>
      <c r="Q563">
        <v>0</v>
      </c>
      <c r="R563" t="s">
        <v>43168</v>
      </c>
      <c r="S563" t="s">
        <v>43286</v>
      </c>
      <c r="T563" t="s">
        <v>44677</v>
      </c>
      <c r="U563" t="s">
        <v>45701</v>
      </c>
      <c r="W563" t="s">
        <v>39541</v>
      </c>
      <c r="X563" t="s">
        <v>43171</v>
      </c>
    </row>
    <row r="564" spans="1:24">
      <c r="A564">
        <f>HYPERLINK("https://www.philgeps.gov.ph/GEPSNONPILOT/Tender/SplashBidNoticeAbstractUI.aspx?menuIndex=3&amp;refID=7086554&amp;Result=3","7086554")</f>
        <v>0</v>
      </c>
      <c r="B564" t="s">
        <v>251</v>
      </c>
      <c r="C564" t="s">
        <v>3985</v>
      </c>
      <c r="D564" t="s">
        <v>17415</v>
      </c>
      <c r="E564" t="s">
        <v>18042</v>
      </c>
      <c r="F564" t="s">
        <v>30052</v>
      </c>
      <c r="G564" t="s">
        <v>30058</v>
      </c>
      <c r="H564" t="s">
        <v>15498</v>
      </c>
      <c r="I564" t="s">
        <v>7228</v>
      </c>
      <c r="J564" t="s">
        <v>30647</v>
      </c>
      <c r="K564" t="s">
        <v>39017</v>
      </c>
      <c r="M564" t="s">
        <v>39541</v>
      </c>
      <c r="N564" t="s">
        <v>43166</v>
      </c>
      <c r="O564" t="s">
        <v>43167</v>
      </c>
      <c r="P564">
        <v>0</v>
      </c>
      <c r="Q564">
        <v>0</v>
      </c>
      <c r="R564" t="s">
        <v>43168</v>
      </c>
      <c r="S564" t="s">
        <v>43286</v>
      </c>
      <c r="T564" t="s">
        <v>44677</v>
      </c>
      <c r="U564" t="s">
        <v>45701</v>
      </c>
      <c r="W564" t="s">
        <v>39541</v>
      </c>
      <c r="X564" t="s">
        <v>43171</v>
      </c>
    </row>
    <row r="565" spans="1:24">
      <c r="A565">
        <f>HYPERLINK("https://www.philgeps.gov.ph/GEPSNONPILOT/Tender/SplashBidNoticeAbstractUI.aspx?menuIndex=3&amp;refID=7086547&amp;Result=3","7086547")</f>
        <v>0</v>
      </c>
      <c r="B565" t="s">
        <v>286</v>
      </c>
      <c r="C565" t="s">
        <v>3986</v>
      </c>
      <c r="D565" t="s">
        <v>17466</v>
      </c>
      <c r="E565" t="s">
        <v>18043</v>
      </c>
      <c r="F565" t="s">
        <v>30052</v>
      </c>
      <c r="G565" t="s">
        <v>30061</v>
      </c>
      <c r="H565" t="s">
        <v>15498</v>
      </c>
      <c r="I565" t="s">
        <v>3736</v>
      </c>
      <c r="J565" t="s">
        <v>30648</v>
      </c>
      <c r="K565" t="s">
        <v>39019</v>
      </c>
      <c r="M565" t="s">
        <v>39581</v>
      </c>
      <c r="N565" t="s">
        <v>43166</v>
      </c>
      <c r="O565" t="s">
        <v>43167</v>
      </c>
      <c r="P565">
        <v>0</v>
      </c>
      <c r="Q565">
        <v>1</v>
      </c>
      <c r="R565" t="s">
        <v>43168</v>
      </c>
      <c r="S565" t="s">
        <v>43286</v>
      </c>
      <c r="T565" t="s">
        <v>44721</v>
      </c>
      <c r="U565" t="s">
        <v>45702</v>
      </c>
      <c r="W565" t="s">
        <v>39581</v>
      </c>
      <c r="X565" t="s">
        <v>43171</v>
      </c>
    </row>
    <row r="566" spans="1:24">
      <c r="A566">
        <f>HYPERLINK("https://www.philgeps.gov.ph/GEPSNONPILOT/Tender/SplashBidNoticeAbstractUI.aspx?menuIndex=3&amp;refID=7086541&amp;Result=3","7086541")</f>
        <v>0</v>
      </c>
      <c r="B566" t="s">
        <v>251</v>
      </c>
      <c r="C566" t="s">
        <v>3987</v>
      </c>
      <c r="D566" t="s">
        <v>17415</v>
      </c>
      <c r="E566" t="s">
        <v>18044</v>
      </c>
      <c r="F566" t="s">
        <v>30052</v>
      </c>
      <c r="G566" t="s">
        <v>30058</v>
      </c>
      <c r="H566" t="s">
        <v>15498</v>
      </c>
      <c r="I566" t="s">
        <v>3852</v>
      </c>
      <c r="J566" t="s">
        <v>30649</v>
      </c>
      <c r="K566" t="s">
        <v>39017</v>
      </c>
      <c r="M566" t="s">
        <v>39567</v>
      </c>
      <c r="N566" t="s">
        <v>43166</v>
      </c>
      <c r="O566" t="s">
        <v>43167</v>
      </c>
      <c r="P566">
        <v>0</v>
      </c>
      <c r="Q566">
        <v>0</v>
      </c>
      <c r="R566" t="s">
        <v>43168</v>
      </c>
      <c r="S566" t="s">
        <v>43286</v>
      </c>
      <c r="T566" t="s">
        <v>44677</v>
      </c>
      <c r="U566" t="s">
        <v>45680</v>
      </c>
      <c r="W566" t="s">
        <v>39567</v>
      </c>
      <c r="X566" t="s">
        <v>43171</v>
      </c>
    </row>
    <row r="567" spans="1:24">
      <c r="A567">
        <f>HYPERLINK("https://www.philgeps.gov.ph/GEPSNONPILOT/Tender/SplashBidNoticeAbstractUI.aspx?menuIndex=3&amp;refID=7086539&amp;Result=3","7086539")</f>
        <v>0</v>
      </c>
      <c r="B567" t="s">
        <v>251</v>
      </c>
      <c r="C567" t="s">
        <v>3988</v>
      </c>
      <c r="D567" t="s">
        <v>17415</v>
      </c>
      <c r="E567" t="s">
        <v>18045</v>
      </c>
      <c r="F567" t="s">
        <v>30052</v>
      </c>
      <c r="G567" t="s">
        <v>30058</v>
      </c>
      <c r="H567" t="s">
        <v>15498</v>
      </c>
      <c r="I567" t="s">
        <v>7228</v>
      </c>
      <c r="J567" t="s">
        <v>30650</v>
      </c>
      <c r="K567" t="s">
        <v>39017</v>
      </c>
      <c r="M567" t="s">
        <v>39541</v>
      </c>
      <c r="N567" t="s">
        <v>43166</v>
      </c>
      <c r="O567" t="s">
        <v>43167</v>
      </c>
      <c r="P567">
        <v>0</v>
      </c>
      <c r="Q567">
        <v>0</v>
      </c>
      <c r="R567" t="s">
        <v>43168</v>
      </c>
      <c r="S567" t="s">
        <v>43286</v>
      </c>
      <c r="T567" t="s">
        <v>44677</v>
      </c>
      <c r="U567" t="s">
        <v>45701</v>
      </c>
      <c r="W567" t="s">
        <v>39541</v>
      </c>
      <c r="X567" t="s">
        <v>43171</v>
      </c>
    </row>
    <row r="568" spans="1:24">
      <c r="A568">
        <f>HYPERLINK("https://www.philgeps.gov.ph/GEPSNONPILOT/Tender/SplashBidNoticeAbstractUI.aspx?menuIndex=3&amp;refID=7086566&amp;Result=3","7086566")</f>
        <v>0</v>
      </c>
      <c r="B568" t="s">
        <v>251</v>
      </c>
      <c r="C568" t="s">
        <v>3989</v>
      </c>
      <c r="D568" t="s">
        <v>17415</v>
      </c>
      <c r="E568" t="s">
        <v>18046</v>
      </c>
      <c r="F568" t="s">
        <v>30052</v>
      </c>
      <c r="G568" t="s">
        <v>30058</v>
      </c>
      <c r="H568" t="s">
        <v>15498</v>
      </c>
      <c r="I568" t="s">
        <v>3852</v>
      </c>
      <c r="J568" t="s">
        <v>30651</v>
      </c>
      <c r="K568" t="s">
        <v>39017</v>
      </c>
      <c r="M568" t="s">
        <v>39541</v>
      </c>
      <c r="N568" t="s">
        <v>43166</v>
      </c>
      <c r="O568" t="s">
        <v>43167</v>
      </c>
      <c r="P568">
        <v>0</v>
      </c>
      <c r="Q568">
        <v>0</v>
      </c>
      <c r="R568" t="s">
        <v>43168</v>
      </c>
      <c r="S568" t="s">
        <v>43286</v>
      </c>
      <c r="T568" t="s">
        <v>44677</v>
      </c>
      <c r="U568" t="s">
        <v>45634</v>
      </c>
      <c r="W568" t="s">
        <v>39541</v>
      </c>
      <c r="X568" t="s">
        <v>43171</v>
      </c>
    </row>
    <row r="569" spans="1:24">
      <c r="A569">
        <f>HYPERLINK("https://www.philgeps.gov.ph/GEPSNONPILOT/Tender/SplashBidNoticeAbstractUI.aspx?menuIndex=3&amp;refID=7086433&amp;Result=3","7086433")</f>
        <v>0</v>
      </c>
      <c r="B569" t="s">
        <v>251</v>
      </c>
      <c r="C569" t="s">
        <v>3990</v>
      </c>
      <c r="D569" t="s">
        <v>17415</v>
      </c>
      <c r="E569" t="s">
        <v>18047</v>
      </c>
      <c r="F569" t="s">
        <v>30052</v>
      </c>
      <c r="G569" t="s">
        <v>30058</v>
      </c>
      <c r="H569" t="s">
        <v>15498</v>
      </c>
      <c r="I569" t="s">
        <v>30099</v>
      </c>
      <c r="J569" t="s">
        <v>30652</v>
      </c>
      <c r="K569" t="s">
        <v>39017</v>
      </c>
      <c r="M569" t="s">
        <v>39567</v>
      </c>
      <c r="N569" t="s">
        <v>43166</v>
      </c>
      <c r="O569" t="s">
        <v>43167</v>
      </c>
      <c r="P569">
        <v>0</v>
      </c>
      <c r="Q569">
        <v>1</v>
      </c>
      <c r="R569" t="s">
        <v>43168</v>
      </c>
      <c r="S569" t="s">
        <v>43286</v>
      </c>
      <c r="T569" t="s">
        <v>44677</v>
      </c>
      <c r="U569" t="s">
        <v>45703</v>
      </c>
      <c r="W569" t="s">
        <v>39567</v>
      </c>
      <c r="X569" t="s">
        <v>43171</v>
      </c>
    </row>
    <row r="570" spans="1:24">
      <c r="A570">
        <f>HYPERLINK("https://www.philgeps.gov.ph/GEPSNONPILOT/Tender/SplashBidNoticeAbstractUI.aspx?menuIndex=3&amp;refID=7086529&amp;Result=3","7086529")</f>
        <v>0</v>
      </c>
      <c r="B570" t="s">
        <v>251</v>
      </c>
      <c r="C570" t="s">
        <v>3991</v>
      </c>
      <c r="D570" t="s">
        <v>17415</v>
      </c>
      <c r="E570" t="s">
        <v>18048</v>
      </c>
      <c r="F570" t="s">
        <v>30052</v>
      </c>
      <c r="G570" t="s">
        <v>30058</v>
      </c>
      <c r="H570" t="s">
        <v>15498</v>
      </c>
      <c r="I570" t="s">
        <v>30070</v>
      </c>
      <c r="J570" t="s">
        <v>30653</v>
      </c>
      <c r="K570" t="s">
        <v>39017</v>
      </c>
      <c r="M570" t="s">
        <v>39567</v>
      </c>
      <c r="N570" t="s">
        <v>43166</v>
      </c>
      <c r="O570" t="s">
        <v>43167</v>
      </c>
      <c r="P570">
        <v>0</v>
      </c>
      <c r="Q570">
        <v>0</v>
      </c>
      <c r="R570" t="s">
        <v>43168</v>
      </c>
      <c r="S570" t="s">
        <v>43286</v>
      </c>
      <c r="T570" t="s">
        <v>44677</v>
      </c>
      <c r="U570" t="s">
        <v>45672</v>
      </c>
      <c r="W570" t="s">
        <v>39567</v>
      </c>
      <c r="X570" t="s">
        <v>43171</v>
      </c>
    </row>
    <row r="571" spans="1:24">
      <c r="A571">
        <f>HYPERLINK("https://www.philgeps.gov.ph/GEPSNONPILOT/Tender/SplashBidNoticeAbstractUI.aspx?menuIndex=3&amp;refID=7086540&amp;Result=3","7086540")</f>
        <v>0</v>
      </c>
      <c r="B571" t="s">
        <v>287</v>
      </c>
      <c r="C571" t="s">
        <v>3992</v>
      </c>
      <c r="D571" t="s">
        <v>17438</v>
      </c>
      <c r="E571" t="s">
        <v>18049</v>
      </c>
      <c r="F571" t="s">
        <v>30052</v>
      </c>
      <c r="G571" t="s">
        <v>30058</v>
      </c>
      <c r="H571" t="s">
        <v>15498</v>
      </c>
      <c r="I571" t="s">
        <v>3736</v>
      </c>
      <c r="J571" t="s">
        <v>30654</v>
      </c>
      <c r="K571" t="s">
        <v>39034</v>
      </c>
      <c r="M571" t="s">
        <v>39582</v>
      </c>
      <c r="N571" t="s">
        <v>43166</v>
      </c>
      <c r="O571" t="s">
        <v>43167</v>
      </c>
      <c r="P571">
        <v>0</v>
      </c>
      <c r="Q571">
        <v>0</v>
      </c>
      <c r="R571" t="s">
        <v>43168</v>
      </c>
      <c r="S571" t="s">
        <v>43286</v>
      </c>
      <c r="T571" t="s">
        <v>44704</v>
      </c>
      <c r="U571" t="s">
        <v>45704</v>
      </c>
      <c r="W571" t="s">
        <v>39582</v>
      </c>
      <c r="X571" t="s">
        <v>43171</v>
      </c>
    </row>
    <row r="572" spans="1:24">
      <c r="A572">
        <f>HYPERLINK("https://www.philgeps.gov.ph/GEPSNONPILOT/Tender/SplashBidNoticeAbstractUI.aspx?menuIndex=3&amp;refID=7086532&amp;Result=3","7086532")</f>
        <v>0</v>
      </c>
      <c r="B572" t="s">
        <v>287</v>
      </c>
      <c r="C572" t="s">
        <v>3993</v>
      </c>
      <c r="D572" t="s">
        <v>17438</v>
      </c>
      <c r="E572" t="s">
        <v>18050</v>
      </c>
      <c r="F572" t="s">
        <v>30052</v>
      </c>
      <c r="G572" t="s">
        <v>30058</v>
      </c>
      <c r="H572" t="s">
        <v>15498</v>
      </c>
      <c r="I572" t="s">
        <v>3736</v>
      </c>
      <c r="J572" t="s">
        <v>30655</v>
      </c>
      <c r="K572" t="s">
        <v>39034</v>
      </c>
      <c r="M572" t="s">
        <v>39582</v>
      </c>
      <c r="N572" t="s">
        <v>43166</v>
      </c>
      <c r="O572" t="s">
        <v>43167</v>
      </c>
      <c r="P572">
        <v>0</v>
      </c>
      <c r="Q572">
        <v>0</v>
      </c>
      <c r="R572" t="s">
        <v>43168</v>
      </c>
      <c r="S572" t="s">
        <v>43286</v>
      </c>
      <c r="T572" t="s">
        <v>44704</v>
      </c>
      <c r="U572" t="s">
        <v>45705</v>
      </c>
      <c r="W572" t="s">
        <v>39582</v>
      </c>
      <c r="X572" t="s">
        <v>43171</v>
      </c>
    </row>
    <row r="573" spans="1:24">
      <c r="A573">
        <f>HYPERLINK("https://www.philgeps.gov.ph/GEPSNONPILOT/Tender/SplashBidNoticeAbstractUI.aspx?menuIndex=3&amp;refID=7086626&amp;Result=3","7086626")</f>
        <v>0</v>
      </c>
      <c r="B573" t="s">
        <v>251</v>
      </c>
      <c r="C573" t="s">
        <v>3994</v>
      </c>
      <c r="D573" t="s">
        <v>17415</v>
      </c>
      <c r="E573" t="s">
        <v>18051</v>
      </c>
      <c r="F573" t="s">
        <v>30052</v>
      </c>
      <c r="G573" t="s">
        <v>30058</v>
      </c>
      <c r="H573" t="s">
        <v>15498</v>
      </c>
      <c r="I573" t="s">
        <v>3852</v>
      </c>
      <c r="J573" t="s">
        <v>30656</v>
      </c>
      <c r="K573" t="s">
        <v>39017</v>
      </c>
      <c r="M573" t="s">
        <v>39541</v>
      </c>
      <c r="N573" t="s">
        <v>43166</v>
      </c>
      <c r="O573" t="s">
        <v>43167</v>
      </c>
      <c r="P573">
        <v>0</v>
      </c>
      <c r="Q573">
        <v>1</v>
      </c>
      <c r="R573" t="s">
        <v>43168</v>
      </c>
      <c r="S573" t="s">
        <v>43286</v>
      </c>
      <c r="T573" t="s">
        <v>44677</v>
      </c>
      <c r="U573" t="s">
        <v>45634</v>
      </c>
      <c r="W573" t="s">
        <v>39541</v>
      </c>
      <c r="X573" t="s">
        <v>43171</v>
      </c>
    </row>
    <row r="574" spans="1:24">
      <c r="A574">
        <f>HYPERLINK("https://www.philgeps.gov.ph/GEPSNONPILOT/Tender/SplashBidNoticeAbstractUI.aspx?menuIndex=3&amp;refID=7086609&amp;Result=3","7086609")</f>
        <v>0</v>
      </c>
      <c r="B574" t="s">
        <v>269</v>
      </c>
      <c r="C574" t="s">
        <v>3995</v>
      </c>
      <c r="D574" t="s">
        <v>17470</v>
      </c>
      <c r="E574" t="s">
        <v>18033</v>
      </c>
      <c r="F574" t="s">
        <v>30052</v>
      </c>
      <c r="G574" t="s">
        <v>30059</v>
      </c>
      <c r="H574" t="s">
        <v>15498</v>
      </c>
      <c r="I574" t="s">
        <v>30125</v>
      </c>
      <c r="J574" t="s">
        <v>30657</v>
      </c>
      <c r="K574" t="s">
        <v>39025</v>
      </c>
      <c r="M574" t="s">
        <v>39562</v>
      </c>
      <c r="N574" t="s">
        <v>43166</v>
      </c>
      <c r="O574" t="s">
        <v>43167</v>
      </c>
      <c r="P574">
        <v>0</v>
      </c>
      <c r="Q574">
        <v>0</v>
      </c>
      <c r="R574" t="s">
        <v>43168</v>
      </c>
      <c r="S574" t="s">
        <v>43286</v>
      </c>
      <c r="T574" t="s">
        <v>44691</v>
      </c>
      <c r="U574" t="s">
        <v>45427</v>
      </c>
      <c r="W574" t="s">
        <v>39562</v>
      </c>
      <c r="X574" t="s">
        <v>43171</v>
      </c>
    </row>
    <row r="575" spans="1:24">
      <c r="A575">
        <f>HYPERLINK("https://www.philgeps.gov.ph/GEPSNONPILOT/Tender/SplashBidNoticeAbstractUI.aspx?menuIndex=3&amp;refID=7086619&amp;Result=3","7086619")</f>
        <v>0</v>
      </c>
      <c r="B575" t="s">
        <v>251</v>
      </c>
      <c r="C575" t="s">
        <v>3996</v>
      </c>
      <c r="D575" t="s">
        <v>17415</v>
      </c>
      <c r="E575" t="s">
        <v>18052</v>
      </c>
      <c r="F575" t="s">
        <v>30052</v>
      </c>
      <c r="G575" t="s">
        <v>30058</v>
      </c>
      <c r="H575" t="s">
        <v>15498</v>
      </c>
      <c r="I575" t="s">
        <v>3852</v>
      </c>
      <c r="J575" t="s">
        <v>30658</v>
      </c>
      <c r="K575" t="s">
        <v>39017</v>
      </c>
      <c r="M575" t="s">
        <v>39567</v>
      </c>
      <c r="N575" t="s">
        <v>43166</v>
      </c>
      <c r="O575" t="s">
        <v>43167</v>
      </c>
      <c r="P575">
        <v>0</v>
      </c>
      <c r="Q575">
        <v>1</v>
      </c>
      <c r="R575" t="s">
        <v>43168</v>
      </c>
      <c r="S575" t="s">
        <v>43286</v>
      </c>
      <c r="T575" t="s">
        <v>44677</v>
      </c>
      <c r="U575" t="s">
        <v>45680</v>
      </c>
      <c r="W575" t="s">
        <v>39567</v>
      </c>
      <c r="X575" t="s">
        <v>43171</v>
      </c>
    </row>
    <row r="576" spans="1:24">
      <c r="A576">
        <f>HYPERLINK("https://www.philgeps.gov.ph/GEPSNONPILOT/Tender/SplashBidNoticeAbstractUI.aspx?menuIndex=3&amp;refID=7086538&amp;Result=3","7086538")</f>
        <v>0</v>
      </c>
      <c r="B576" t="s">
        <v>288</v>
      </c>
      <c r="C576" t="s">
        <v>3997</v>
      </c>
      <c r="E576" t="s">
        <v>18053</v>
      </c>
      <c r="F576" t="s">
        <v>30052</v>
      </c>
      <c r="G576" t="s">
        <v>30059</v>
      </c>
      <c r="H576" t="s">
        <v>15498</v>
      </c>
      <c r="I576" t="s">
        <v>30070</v>
      </c>
      <c r="J576" t="s">
        <v>30528</v>
      </c>
      <c r="K576" t="s">
        <v>39025</v>
      </c>
      <c r="M576" t="s">
        <v>39583</v>
      </c>
      <c r="N576" t="s">
        <v>43166</v>
      </c>
      <c r="O576" t="s">
        <v>43167</v>
      </c>
      <c r="P576">
        <v>0</v>
      </c>
      <c r="Q576">
        <v>2</v>
      </c>
      <c r="R576" t="s">
        <v>43168</v>
      </c>
      <c r="S576" t="s">
        <v>43286</v>
      </c>
      <c r="T576" t="s">
        <v>44760</v>
      </c>
      <c r="U576" t="s">
        <v>45706</v>
      </c>
      <c r="W576" t="s">
        <v>39583</v>
      </c>
      <c r="X576" t="s">
        <v>43171</v>
      </c>
    </row>
    <row r="577" spans="1:24">
      <c r="A577">
        <f>HYPERLINK("https://www.philgeps.gov.ph/GEPSNONPILOT/Tender/SplashBidNoticeAbstractUI.aspx?menuIndex=3&amp;refID=7086612&amp;Result=3","7086612")</f>
        <v>0</v>
      </c>
      <c r="B577" t="s">
        <v>251</v>
      </c>
      <c r="C577" t="s">
        <v>3998</v>
      </c>
      <c r="D577" t="s">
        <v>17415</v>
      </c>
      <c r="E577" t="s">
        <v>18054</v>
      </c>
      <c r="F577" t="s">
        <v>30052</v>
      </c>
      <c r="G577" t="s">
        <v>30058</v>
      </c>
      <c r="H577" t="s">
        <v>15498</v>
      </c>
      <c r="I577" t="s">
        <v>7228</v>
      </c>
      <c r="J577" t="s">
        <v>30659</v>
      </c>
      <c r="K577" t="s">
        <v>39017</v>
      </c>
      <c r="M577" t="s">
        <v>39541</v>
      </c>
      <c r="N577" t="s">
        <v>43166</v>
      </c>
      <c r="O577" t="s">
        <v>43167</v>
      </c>
      <c r="P577">
        <v>0</v>
      </c>
      <c r="Q577">
        <v>0</v>
      </c>
      <c r="R577" t="s">
        <v>43168</v>
      </c>
      <c r="S577" t="s">
        <v>43286</v>
      </c>
      <c r="T577" t="s">
        <v>44677</v>
      </c>
      <c r="U577" t="s">
        <v>45701</v>
      </c>
      <c r="W577" t="s">
        <v>39541</v>
      </c>
      <c r="X577" t="s">
        <v>43171</v>
      </c>
    </row>
    <row r="578" spans="1:24">
      <c r="A578">
        <f>HYPERLINK("https://www.philgeps.gov.ph/GEPSNONPILOT/Tender/SplashBidNoticeAbstractUI.aspx?menuIndex=3&amp;refID=7086607&amp;Result=3","7086607")</f>
        <v>0</v>
      </c>
      <c r="B578" t="s">
        <v>251</v>
      </c>
      <c r="C578" t="s">
        <v>3999</v>
      </c>
      <c r="D578" t="s">
        <v>17415</v>
      </c>
      <c r="E578" t="s">
        <v>18055</v>
      </c>
      <c r="F578" t="s">
        <v>30052</v>
      </c>
      <c r="G578" t="s">
        <v>30058</v>
      </c>
      <c r="H578" t="s">
        <v>15498</v>
      </c>
      <c r="I578" t="s">
        <v>7228</v>
      </c>
      <c r="J578" t="s">
        <v>30660</v>
      </c>
      <c r="K578" t="s">
        <v>39017</v>
      </c>
      <c r="M578" t="s">
        <v>39567</v>
      </c>
      <c r="N578" t="s">
        <v>43166</v>
      </c>
      <c r="O578" t="s">
        <v>43167</v>
      </c>
      <c r="P578">
        <v>0</v>
      </c>
      <c r="Q578">
        <v>0</v>
      </c>
      <c r="R578" t="s">
        <v>43168</v>
      </c>
      <c r="S578" t="s">
        <v>43286</v>
      </c>
      <c r="T578" t="s">
        <v>44677</v>
      </c>
      <c r="U578" t="s">
        <v>45707</v>
      </c>
      <c r="W578" t="s">
        <v>39567</v>
      </c>
      <c r="X578" t="s">
        <v>43171</v>
      </c>
    </row>
    <row r="579" spans="1:24">
      <c r="A579">
        <f>HYPERLINK("https://www.philgeps.gov.ph/GEPSNONPILOT/Tender/SplashBidNoticeAbstractUI.aspx?menuIndex=3&amp;refID=7086602&amp;Result=3","7086602")</f>
        <v>0</v>
      </c>
      <c r="B579" t="s">
        <v>289</v>
      </c>
      <c r="C579" t="s">
        <v>4000</v>
      </c>
      <c r="D579" t="s">
        <v>17442</v>
      </c>
      <c r="E579" t="s">
        <v>18056</v>
      </c>
      <c r="F579" t="s">
        <v>30052</v>
      </c>
      <c r="G579" t="s">
        <v>30059</v>
      </c>
      <c r="H579" t="s">
        <v>15498</v>
      </c>
      <c r="I579" t="s">
        <v>8758</v>
      </c>
      <c r="J579" t="s">
        <v>30661</v>
      </c>
      <c r="K579" t="s">
        <v>39029</v>
      </c>
      <c r="M579" t="s">
        <v>39584</v>
      </c>
      <c r="N579" t="s">
        <v>43166</v>
      </c>
      <c r="O579" t="s">
        <v>43167</v>
      </c>
      <c r="P579">
        <v>0</v>
      </c>
      <c r="Q579">
        <v>1</v>
      </c>
      <c r="R579" t="s">
        <v>43168</v>
      </c>
      <c r="S579" t="s">
        <v>43286</v>
      </c>
      <c r="T579" t="s">
        <v>44782</v>
      </c>
      <c r="U579" t="s">
        <v>45708</v>
      </c>
      <c r="V579" t="s">
        <v>56890</v>
      </c>
      <c r="W579" t="s">
        <v>39584</v>
      </c>
      <c r="X579" t="s">
        <v>43171</v>
      </c>
    </row>
    <row r="580" spans="1:24">
      <c r="A580">
        <f>HYPERLINK("https://www.philgeps.gov.ph/GEPSNONPILOT/Tender/SplashBidNoticeAbstractUI.aspx?menuIndex=3&amp;refID=7086600&amp;Result=3","7086600")</f>
        <v>0</v>
      </c>
      <c r="B580" t="s">
        <v>284</v>
      </c>
      <c r="C580" t="s">
        <v>4001</v>
      </c>
      <c r="D580" t="s">
        <v>17468</v>
      </c>
      <c r="E580" t="s">
        <v>17838</v>
      </c>
      <c r="F580" t="s">
        <v>30052</v>
      </c>
      <c r="G580" t="s">
        <v>30058</v>
      </c>
      <c r="H580" t="s">
        <v>30067</v>
      </c>
      <c r="I580" t="s">
        <v>3693</v>
      </c>
      <c r="J580" t="s">
        <v>30222</v>
      </c>
      <c r="K580" t="s">
        <v>39023</v>
      </c>
      <c r="L580" t="s">
        <v>284</v>
      </c>
      <c r="M580" t="s">
        <v>39579</v>
      </c>
      <c r="N580" t="s">
        <v>43166</v>
      </c>
      <c r="O580" t="s">
        <v>43167</v>
      </c>
      <c r="P580">
        <v>0</v>
      </c>
      <c r="Q580">
        <v>0</v>
      </c>
      <c r="R580" t="s">
        <v>43168</v>
      </c>
      <c r="S580" t="s">
        <v>43286</v>
      </c>
      <c r="T580" t="s">
        <v>44757</v>
      </c>
      <c r="U580" t="s">
        <v>45709</v>
      </c>
      <c r="W580" t="s">
        <v>39579</v>
      </c>
      <c r="X580" t="s">
        <v>43171</v>
      </c>
    </row>
    <row r="581" spans="1:24">
      <c r="A581">
        <f>HYPERLINK("https://www.philgeps.gov.ph/GEPSNONPILOT/Tender/SplashBidNoticeAbstractUI.aspx?menuIndex=3&amp;refID=7086546&amp;Result=3","7086546")</f>
        <v>0</v>
      </c>
      <c r="B581" t="s">
        <v>290</v>
      </c>
      <c r="C581" t="s">
        <v>4002</v>
      </c>
      <c r="D581" t="s">
        <v>17481</v>
      </c>
      <c r="E581" t="s">
        <v>18057</v>
      </c>
      <c r="F581" t="s">
        <v>30052</v>
      </c>
      <c r="G581" t="s">
        <v>30058</v>
      </c>
      <c r="H581" t="s">
        <v>15498</v>
      </c>
      <c r="I581" t="s">
        <v>30071</v>
      </c>
      <c r="J581" t="s">
        <v>30662</v>
      </c>
      <c r="K581" t="s">
        <v>39025</v>
      </c>
      <c r="M581" t="s">
        <v>39585</v>
      </c>
      <c r="N581" t="s">
        <v>43166</v>
      </c>
      <c r="O581" t="s">
        <v>43167</v>
      </c>
      <c r="P581">
        <v>0</v>
      </c>
      <c r="Q581">
        <v>0</v>
      </c>
      <c r="R581" t="s">
        <v>43168</v>
      </c>
      <c r="S581" t="s">
        <v>43286</v>
      </c>
      <c r="T581" t="s">
        <v>44702</v>
      </c>
      <c r="U581" t="s">
        <v>45710</v>
      </c>
      <c r="W581" t="s">
        <v>39585</v>
      </c>
      <c r="X581" t="s">
        <v>43171</v>
      </c>
    </row>
    <row r="582" spans="1:24">
      <c r="A582">
        <f>HYPERLINK("https://www.philgeps.gov.ph/GEPSNONPILOT/Tender/SplashBidNoticeAbstractUI.aspx?menuIndex=3&amp;refID=7086599&amp;Result=3","7086599")</f>
        <v>0</v>
      </c>
      <c r="B582" t="s">
        <v>291</v>
      </c>
      <c r="C582" t="s">
        <v>4003</v>
      </c>
      <c r="D582" t="s">
        <v>17476</v>
      </c>
      <c r="E582" t="s">
        <v>18058</v>
      </c>
      <c r="F582" t="s">
        <v>30052</v>
      </c>
      <c r="G582" t="s">
        <v>30059</v>
      </c>
      <c r="H582" t="s">
        <v>15498</v>
      </c>
      <c r="I582" t="s">
        <v>3736</v>
      </c>
      <c r="J582" t="s">
        <v>30230</v>
      </c>
      <c r="K582" t="s">
        <v>39017</v>
      </c>
      <c r="M582" t="s">
        <v>39586</v>
      </c>
      <c r="N582" t="s">
        <v>43166</v>
      </c>
      <c r="O582" t="s">
        <v>43167</v>
      </c>
      <c r="P582">
        <v>0</v>
      </c>
      <c r="Q582">
        <v>1</v>
      </c>
      <c r="R582" t="s">
        <v>43168</v>
      </c>
      <c r="S582" t="s">
        <v>43286</v>
      </c>
      <c r="T582" t="s">
        <v>44685</v>
      </c>
      <c r="U582" t="s">
        <v>45711</v>
      </c>
      <c r="W582" t="s">
        <v>39586</v>
      </c>
      <c r="X582" t="s">
        <v>43171</v>
      </c>
    </row>
    <row r="583" spans="1:24">
      <c r="A583">
        <f>HYPERLINK("https://www.philgeps.gov.ph/GEPSNONPILOT/Tender/SplashBidNoticeAbstractUI.aspx?menuIndex=3&amp;refID=7086596&amp;Result=3","7086596")</f>
        <v>0</v>
      </c>
      <c r="B583" t="s">
        <v>251</v>
      </c>
      <c r="C583" t="s">
        <v>4004</v>
      </c>
      <c r="D583" t="s">
        <v>17415</v>
      </c>
      <c r="E583" t="s">
        <v>18059</v>
      </c>
      <c r="F583" t="s">
        <v>30052</v>
      </c>
      <c r="G583" t="s">
        <v>30058</v>
      </c>
      <c r="H583" t="s">
        <v>15498</v>
      </c>
      <c r="I583" t="s">
        <v>3852</v>
      </c>
      <c r="J583" t="s">
        <v>30663</v>
      </c>
      <c r="K583" t="s">
        <v>39017</v>
      </c>
      <c r="M583" t="s">
        <v>39541</v>
      </c>
      <c r="N583" t="s">
        <v>43166</v>
      </c>
      <c r="O583" t="s">
        <v>43167</v>
      </c>
      <c r="P583">
        <v>0</v>
      </c>
      <c r="Q583">
        <v>0</v>
      </c>
      <c r="R583" t="s">
        <v>43168</v>
      </c>
      <c r="S583" t="s">
        <v>43286</v>
      </c>
      <c r="T583" t="s">
        <v>44677</v>
      </c>
      <c r="U583" t="s">
        <v>45634</v>
      </c>
      <c r="W583" t="s">
        <v>39541</v>
      </c>
      <c r="X583" t="s">
        <v>43171</v>
      </c>
    </row>
    <row r="584" spans="1:24">
      <c r="A584">
        <f>HYPERLINK("https://www.philgeps.gov.ph/GEPSNONPILOT/Tender/SplashBidNoticeAbstractUI.aspx?menuIndex=3&amp;refID=7086595&amp;Result=3","7086595")</f>
        <v>0</v>
      </c>
      <c r="B584" t="s">
        <v>292</v>
      </c>
      <c r="C584" t="s">
        <v>4005</v>
      </c>
      <c r="D584" t="s">
        <v>17424</v>
      </c>
      <c r="E584" t="s">
        <v>18060</v>
      </c>
      <c r="F584" t="s">
        <v>30052</v>
      </c>
      <c r="G584" t="s">
        <v>30061</v>
      </c>
      <c r="H584" t="s">
        <v>15498</v>
      </c>
      <c r="I584" t="s">
        <v>30096</v>
      </c>
      <c r="J584" t="s">
        <v>30664</v>
      </c>
      <c r="K584" t="s">
        <v>39025</v>
      </c>
      <c r="M584" t="s">
        <v>39587</v>
      </c>
      <c r="N584" t="s">
        <v>43166</v>
      </c>
      <c r="O584" t="s">
        <v>43167</v>
      </c>
      <c r="P584">
        <v>0</v>
      </c>
      <c r="Q584">
        <v>0</v>
      </c>
      <c r="R584" t="s">
        <v>43168</v>
      </c>
      <c r="S584" t="s">
        <v>43286</v>
      </c>
      <c r="T584" t="s">
        <v>44691</v>
      </c>
      <c r="U584" t="s">
        <v>45712</v>
      </c>
      <c r="W584" t="s">
        <v>39587</v>
      </c>
      <c r="X584" t="s">
        <v>43171</v>
      </c>
    </row>
    <row r="585" spans="1:24">
      <c r="A585">
        <f>HYPERLINK("https://www.philgeps.gov.ph/GEPSNONPILOT/Tender/SplashBidNoticeAbstractUI.aspx?menuIndex=3&amp;refID=7086594&amp;Result=3","7086594")</f>
        <v>0</v>
      </c>
      <c r="B585" t="s">
        <v>151</v>
      </c>
      <c r="C585" t="s">
        <v>4006</v>
      </c>
      <c r="D585" t="s">
        <v>17427</v>
      </c>
      <c r="E585" t="s">
        <v>18061</v>
      </c>
      <c r="F585" t="s">
        <v>30052</v>
      </c>
      <c r="G585" t="s">
        <v>30059</v>
      </c>
      <c r="H585" t="s">
        <v>15498</v>
      </c>
      <c r="I585" t="s">
        <v>4598</v>
      </c>
      <c r="J585" t="s">
        <v>30665</v>
      </c>
      <c r="K585" t="s">
        <v>39046</v>
      </c>
      <c r="M585" t="s">
        <v>39440</v>
      </c>
      <c r="N585" t="s">
        <v>43166</v>
      </c>
      <c r="O585" t="s">
        <v>43167</v>
      </c>
      <c r="P585">
        <v>0</v>
      </c>
      <c r="Q585">
        <v>5</v>
      </c>
      <c r="R585" t="s">
        <v>43168</v>
      </c>
      <c r="S585" t="s">
        <v>43286</v>
      </c>
      <c r="T585" t="s">
        <v>44720</v>
      </c>
      <c r="U585" t="s">
        <v>45713</v>
      </c>
      <c r="W585" t="s">
        <v>39440</v>
      </c>
      <c r="X585" t="s">
        <v>43171</v>
      </c>
    </row>
    <row r="586" spans="1:24">
      <c r="A586">
        <f>HYPERLINK("https://www.philgeps.gov.ph/GEPSNONPILOT/Tender/SplashBidNoticeAbstractUI.aspx?menuIndex=3&amp;refID=7086402&amp;Result=3","7086402")</f>
        <v>0</v>
      </c>
      <c r="B586" t="s">
        <v>251</v>
      </c>
      <c r="C586" t="s">
        <v>4007</v>
      </c>
      <c r="D586" t="s">
        <v>17415</v>
      </c>
      <c r="E586" t="s">
        <v>18062</v>
      </c>
      <c r="F586" t="s">
        <v>30052</v>
      </c>
      <c r="G586" t="s">
        <v>30058</v>
      </c>
      <c r="H586" t="s">
        <v>15498</v>
      </c>
      <c r="I586" t="s">
        <v>3852</v>
      </c>
      <c r="J586" t="s">
        <v>30666</v>
      </c>
      <c r="K586" t="s">
        <v>39017</v>
      </c>
      <c r="M586" t="s">
        <v>39567</v>
      </c>
      <c r="N586" t="s">
        <v>43166</v>
      </c>
      <c r="O586" t="s">
        <v>43167</v>
      </c>
      <c r="P586">
        <v>0</v>
      </c>
      <c r="Q586">
        <v>0</v>
      </c>
      <c r="R586" t="s">
        <v>43168</v>
      </c>
      <c r="S586" t="s">
        <v>43286</v>
      </c>
      <c r="T586" t="s">
        <v>44677</v>
      </c>
      <c r="U586" t="s">
        <v>45680</v>
      </c>
      <c r="W586" t="s">
        <v>39567</v>
      </c>
      <c r="X586" t="s">
        <v>43171</v>
      </c>
    </row>
    <row r="587" spans="1:24">
      <c r="A587">
        <f>HYPERLINK("https://www.philgeps.gov.ph/GEPSNONPILOT/Tender/SplashBidNoticeAbstractUI.aspx?menuIndex=3&amp;refID=7086590&amp;Result=3","7086590")</f>
        <v>0</v>
      </c>
      <c r="B587" t="s">
        <v>293</v>
      </c>
      <c r="C587" t="s">
        <v>4008</v>
      </c>
      <c r="D587" t="s">
        <v>17460</v>
      </c>
      <c r="E587" t="s">
        <v>18063</v>
      </c>
      <c r="F587" t="s">
        <v>30052</v>
      </c>
      <c r="G587" t="s">
        <v>30059</v>
      </c>
      <c r="H587" t="s">
        <v>30068</v>
      </c>
      <c r="I587" t="s">
        <v>30068</v>
      </c>
      <c r="J587" t="s">
        <v>30667</v>
      </c>
      <c r="K587" t="s">
        <v>39018</v>
      </c>
      <c r="M587" t="s">
        <v>39588</v>
      </c>
      <c r="N587" t="s">
        <v>43166</v>
      </c>
      <c r="O587" t="s">
        <v>43167</v>
      </c>
      <c r="P587">
        <v>0</v>
      </c>
      <c r="Q587">
        <v>1</v>
      </c>
      <c r="R587" t="s">
        <v>43168</v>
      </c>
      <c r="S587" t="s">
        <v>43286</v>
      </c>
      <c r="T587" t="s">
        <v>44720</v>
      </c>
      <c r="U587" t="s">
        <v>45714</v>
      </c>
      <c r="W587" t="s">
        <v>39588</v>
      </c>
      <c r="X587" t="s">
        <v>43171</v>
      </c>
    </row>
    <row r="588" spans="1:24">
      <c r="A588">
        <f>HYPERLINK("https://www.philgeps.gov.ph/GEPSNONPILOT/Tender/SplashBidNoticeAbstractUI.aspx?menuIndex=3&amp;refID=7086587&amp;Result=3","7086587")</f>
        <v>0</v>
      </c>
      <c r="B588" t="s">
        <v>251</v>
      </c>
      <c r="C588" t="s">
        <v>4009</v>
      </c>
      <c r="D588" t="s">
        <v>17415</v>
      </c>
      <c r="E588" t="s">
        <v>18064</v>
      </c>
      <c r="F588" t="s">
        <v>30052</v>
      </c>
      <c r="G588" t="s">
        <v>30058</v>
      </c>
      <c r="H588" t="s">
        <v>15498</v>
      </c>
      <c r="I588" t="s">
        <v>30070</v>
      </c>
      <c r="J588" t="s">
        <v>30668</v>
      </c>
      <c r="K588" t="s">
        <v>39017</v>
      </c>
      <c r="M588" t="s">
        <v>39541</v>
      </c>
      <c r="N588" t="s">
        <v>43166</v>
      </c>
      <c r="O588" t="s">
        <v>43167</v>
      </c>
      <c r="P588">
        <v>0</v>
      </c>
      <c r="Q588">
        <v>0</v>
      </c>
      <c r="R588" t="s">
        <v>43168</v>
      </c>
      <c r="S588" t="s">
        <v>43286</v>
      </c>
      <c r="T588" t="s">
        <v>44677</v>
      </c>
      <c r="U588" t="s">
        <v>45646</v>
      </c>
      <c r="W588" t="s">
        <v>39541</v>
      </c>
      <c r="X588" t="s">
        <v>43171</v>
      </c>
    </row>
    <row r="589" spans="1:24">
      <c r="A589">
        <f>HYPERLINK("https://www.philgeps.gov.ph/GEPSNONPILOT/Tender/SplashBidNoticeAbstractUI.aspx?menuIndex=3&amp;refID=7086585&amp;Result=3","7086585")</f>
        <v>0</v>
      </c>
      <c r="B589" t="s">
        <v>294</v>
      </c>
      <c r="C589" t="s">
        <v>4010</v>
      </c>
      <c r="D589" t="s">
        <v>17414</v>
      </c>
      <c r="E589" t="s">
        <v>18065</v>
      </c>
      <c r="F589" t="s">
        <v>30052</v>
      </c>
      <c r="G589" t="s">
        <v>30058</v>
      </c>
      <c r="H589" t="s">
        <v>15498</v>
      </c>
      <c r="I589" t="s">
        <v>3736</v>
      </c>
      <c r="J589" t="s">
        <v>30669</v>
      </c>
      <c r="K589" t="s">
        <v>39036</v>
      </c>
      <c r="M589" t="s">
        <v>39589</v>
      </c>
      <c r="N589" t="s">
        <v>43166</v>
      </c>
      <c r="O589" t="s">
        <v>43167</v>
      </c>
      <c r="P589">
        <v>0</v>
      </c>
      <c r="Q589">
        <v>0</v>
      </c>
      <c r="R589" t="s">
        <v>43168</v>
      </c>
      <c r="S589" t="s">
        <v>43286</v>
      </c>
      <c r="T589" t="s">
        <v>44781</v>
      </c>
      <c r="U589" t="s">
        <v>45715</v>
      </c>
      <c r="W589" t="s">
        <v>39589</v>
      </c>
      <c r="X589" t="s">
        <v>43171</v>
      </c>
    </row>
    <row r="590" spans="1:24">
      <c r="A590">
        <f>HYPERLINK("https://www.philgeps.gov.ph/GEPSNONPILOT/Tender/SplashBidNoticeAbstractUI.aspx?menuIndex=3&amp;refID=7086581&amp;Result=3","7086581")</f>
        <v>0</v>
      </c>
      <c r="B590" t="s">
        <v>295</v>
      </c>
      <c r="C590" t="s">
        <v>4011</v>
      </c>
      <c r="D590" t="s">
        <v>17449</v>
      </c>
      <c r="E590" t="s">
        <v>17673</v>
      </c>
      <c r="F590" t="s">
        <v>30052</v>
      </c>
      <c r="G590" t="s">
        <v>30058</v>
      </c>
      <c r="H590" t="s">
        <v>15498</v>
      </c>
      <c r="I590" t="s">
        <v>3736</v>
      </c>
      <c r="J590" t="s">
        <v>30358</v>
      </c>
      <c r="K590" t="s">
        <v>39018</v>
      </c>
      <c r="M590" t="s">
        <v>39590</v>
      </c>
      <c r="N590" t="s">
        <v>43166</v>
      </c>
      <c r="O590" t="s">
        <v>43167</v>
      </c>
      <c r="P590">
        <v>0</v>
      </c>
      <c r="Q590">
        <v>0</v>
      </c>
      <c r="R590" t="s">
        <v>43168</v>
      </c>
      <c r="S590" t="s">
        <v>43286</v>
      </c>
      <c r="T590" t="s">
        <v>44679</v>
      </c>
      <c r="U590" t="s">
        <v>45716</v>
      </c>
      <c r="W590" t="s">
        <v>58597</v>
      </c>
      <c r="X590" t="s">
        <v>43171</v>
      </c>
    </row>
    <row r="591" spans="1:24">
      <c r="A591">
        <f>HYPERLINK("https://www.philgeps.gov.ph/GEPSNONPILOT/Tender/SplashBidNoticeAbstractUI.aspx?menuIndex=3&amp;refID=7086623&amp;Result=3","7086623")</f>
        <v>0</v>
      </c>
      <c r="B591" t="s">
        <v>284</v>
      </c>
      <c r="C591" t="s">
        <v>4012</v>
      </c>
      <c r="E591" t="s">
        <v>18038</v>
      </c>
      <c r="F591" t="s">
        <v>30052</v>
      </c>
      <c r="G591" t="s">
        <v>30058</v>
      </c>
      <c r="H591" t="s">
        <v>30067</v>
      </c>
      <c r="I591" t="s">
        <v>3693</v>
      </c>
      <c r="J591" t="s">
        <v>30222</v>
      </c>
      <c r="K591" t="s">
        <v>39023</v>
      </c>
      <c r="L591" t="s">
        <v>284</v>
      </c>
      <c r="M591" t="s">
        <v>39579</v>
      </c>
      <c r="N591" t="s">
        <v>43166</v>
      </c>
      <c r="O591" t="s">
        <v>43167</v>
      </c>
      <c r="P591">
        <v>0</v>
      </c>
      <c r="Q591">
        <v>0</v>
      </c>
      <c r="R591" t="s">
        <v>43168</v>
      </c>
      <c r="S591" t="s">
        <v>43286</v>
      </c>
      <c r="T591" t="s">
        <v>44757</v>
      </c>
      <c r="U591" t="s">
        <v>45717</v>
      </c>
      <c r="W591" t="s">
        <v>39579</v>
      </c>
      <c r="X591" t="s">
        <v>43171</v>
      </c>
    </row>
    <row r="592" spans="1:24">
      <c r="A592">
        <f>HYPERLINK("https://www.philgeps.gov.ph/GEPSNONPILOT/Tender/SplashBidNoticeAbstractUI.aspx?menuIndex=3&amp;refID=7086577&amp;Result=3","7086577")</f>
        <v>0</v>
      </c>
      <c r="B592" t="s">
        <v>296</v>
      </c>
      <c r="C592" t="s">
        <v>4013</v>
      </c>
      <c r="E592" t="s">
        <v>18066</v>
      </c>
      <c r="F592" t="s">
        <v>30052</v>
      </c>
      <c r="G592" t="s">
        <v>30059</v>
      </c>
      <c r="H592" t="s">
        <v>15498</v>
      </c>
      <c r="I592" t="s">
        <v>30108</v>
      </c>
      <c r="J592" t="s">
        <v>30670</v>
      </c>
      <c r="K592" t="s">
        <v>39025</v>
      </c>
      <c r="M592" t="s">
        <v>39591</v>
      </c>
      <c r="N592" t="s">
        <v>43166</v>
      </c>
      <c r="O592" t="s">
        <v>43167</v>
      </c>
      <c r="P592">
        <v>0</v>
      </c>
      <c r="Q592">
        <v>3</v>
      </c>
      <c r="R592" t="s">
        <v>43168</v>
      </c>
      <c r="S592" t="s">
        <v>43286</v>
      </c>
      <c r="T592" t="s">
        <v>44691</v>
      </c>
      <c r="U592" t="s">
        <v>45718</v>
      </c>
      <c r="V592" t="s">
        <v>56891</v>
      </c>
      <c r="W592" t="s">
        <v>39591</v>
      </c>
      <c r="X592" t="s">
        <v>43171</v>
      </c>
    </row>
    <row r="593" spans="1:24">
      <c r="A593">
        <f>HYPERLINK("https://www.philgeps.gov.ph/GEPSNONPILOT/Tender/SplashBidNoticeAbstractUI.aspx?menuIndex=3&amp;refID=7086575&amp;Result=3","7086575")</f>
        <v>0</v>
      </c>
      <c r="B593" t="s">
        <v>251</v>
      </c>
      <c r="C593" t="s">
        <v>4014</v>
      </c>
      <c r="D593" t="s">
        <v>17415</v>
      </c>
      <c r="E593" t="s">
        <v>18067</v>
      </c>
      <c r="F593" t="s">
        <v>30052</v>
      </c>
      <c r="G593" t="s">
        <v>30058</v>
      </c>
      <c r="H593" t="s">
        <v>15498</v>
      </c>
      <c r="I593" t="s">
        <v>30070</v>
      </c>
      <c r="J593" t="s">
        <v>30671</v>
      </c>
      <c r="K593" t="s">
        <v>39017</v>
      </c>
      <c r="M593" t="s">
        <v>39541</v>
      </c>
      <c r="N593" t="s">
        <v>43166</v>
      </c>
      <c r="O593" t="s">
        <v>43167</v>
      </c>
      <c r="P593">
        <v>0</v>
      </c>
      <c r="Q593">
        <v>0</v>
      </c>
      <c r="R593" t="s">
        <v>43168</v>
      </c>
      <c r="S593" t="s">
        <v>43286</v>
      </c>
      <c r="T593" t="s">
        <v>44677</v>
      </c>
      <c r="U593" t="s">
        <v>45646</v>
      </c>
      <c r="W593" t="s">
        <v>39541</v>
      </c>
      <c r="X593" t="s">
        <v>43171</v>
      </c>
    </row>
    <row r="594" spans="1:24">
      <c r="A594">
        <f>HYPERLINK("https://www.philgeps.gov.ph/GEPSNONPILOT/Tender/SplashBidNoticeAbstractUI.aspx?menuIndex=3&amp;refID=7086597&amp;Result=3","7086597")</f>
        <v>0</v>
      </c>
      <c r="B594" t="s">
        <v>251</v>
      </c>
      <c r="C594" t="s">
        <v>4015</v>
      </c>
      <c r="D594" t="s">
        <v>17415</v>
      </c>
      <c r="E594" t="s">
        <v>18068</v>
      </c>
      <c r="F594" t="s">
        <v>30052</v>
      </c>
      <c r="G594" t="s">
        <v>30058</v>
      </c>
      <c r="H594" t="s">
        <v>15498</v>
      </c>
      <c r="I594" t="s">
        <v>3852</v>
      </c>
      <c r="J594" t="s">
        <v>30672</v>
      </c>
      <c r="K594" t="s">
        <v>39017</v>
      </c>
      <c r="M594" t="s">
        <v>39567</v>
      </c>
      <c r="N594" t="s">
        <v>43166</v>
      </c>
      <c r="O594" t="s">
        <v>43167</v>
      </c>
      <c r="P594">
        <v>0</v>
      </c>
      <c r="Q594">
        <v>0</v>
      </c>
      <c r="R594" t="s">
        <v>43168</v>
      </c>
      <c r="S594" t="s">
        <v>43286</v>
      </c>
      <c r="T594" t="s">
        <v>44677</v>
      </c>
      <c r="U594" t="s">
        <v>45680</v>
      </c>
      <c r="W594" t="s">
        <v>39567</v>
      </c>
      <c r="X594" t="s">
        <v>43171</v>
      </c>
    </row>
    <row r="595" spans="1:24">
      <c r="A595">
        <f>HYPERLINK("https://www.philgeps.gov.ph/GEPSNONPILOT/Tender/SplashBidNoticeAbstractUI.aspx?menuIndex=3&amp;refID=7086525&amp;Result=3","7086525")</f>
        <v>0</v>
      </c>
      <c r="B595" t="s">
        <v>297</v>
      </c>
      <c r="C595" t="s">
        <v>4016</v>
      </c>
      <c r="D595" t="s">
        <v>17449</v>
      </c>
      <c r="E595" t="s">
        <v>18069</v>
      </c>
      <c r="F595" t="s">
        <v>30052</v>
      </c>
      <c r="G595" t="s">
        <v>30059</v>
      </c>
      <c r="H595" t="s">
        <v>15498</v>
      </c>
      <c r="I595" t="s">
        <v>3606</v>
      </c>
      <c r="J595" t="s">
        <v>30230</v>
      </c>
      <c r="K595" t="s">
        <v>39018</v>
      </c>
      <c r="M595" t="s">
        <v>39592</v>
      </c>
      <c r="N595" t="s">
        <v>43166</v>
      </c>
      <c r="O595" t="s">
        <v>43167</v>
      </c>
      <c r="P595">
        <v>0</v>
      </c>
      <c r="Q595">
        <v>2</v>
      </c>
      <c r="R595" t="s">
        <v>43168</v>
      </c>
      <c r="S595" t="s">
        <v>43286</v>
      </c>
      <c r="T595" t="s">
        <v>44685</v>
      </c>
      <c r="U595" t="s">
        <v>45719</v>
      </c>
      <c r="W595" t="s">
        <v>39592</v>
      </c>
      <c r="X595" t="s">
        <v>43171</v>
      </c>
    </row>
    <row r="596" spans="1:24">
      <c r="A596">
        <f>HYPERLINK("https://www.philgeps.gov.ph/GEPSNONPILOT/Tender/SplashBidNoticeAbstractUI.aspx?menuIndex=3&amp;refID=7086523&amp;Result=3","7086523")</f>
        <v>0</v>
      </c>
      <c r="B596" t="s">
        <v>298</v>
      </c>
      <c r="C596" t="s">
        <v>4017</v>
      </c>
      <c r="D596" t="s">
        <v>17468</v>
      </c>
      <c r="E596" t="s">
        <v>18070</v>
      </c>
      <c r="F596" t="s">
        <v>30052</v>
      </c>
      <c r="G596" t="s">
        <v>30058</v>
      </c>
      <c r="H596" t="s">
        <v>15498</v>
      </c>
      <c r="I596" t="s">
        <v>30071</v>
      </c>
      <c r="J596" t="s">
        <v>30673</v>
      </c>
      <c r="K596" t="s">
        <v>39017</v>
      </c>
      <c r="M596" t="s">
        <v>39593</v>
      </c>
      <c r="N596" t="s">
        <v>43166</v>
      </c>
      <c r="O596" t="s">
        <v>43167</v>
      </c>
      <c r="P596">
        <v>0</v>
      </c>
      <c r="Q596">
        <v>0</v>
      </c>
      <c r="R596" t="s">
        <v>43168</v>
      </c>
      <c r="S596" t="s">
        <v>43286</v>
      </c>
      <c r="T596" t="s">
        <v>44783</v>
      </c>
      <c r="U596" t="s">
        <v>45720</v>
      </c>
      <c r="W596" t="s">
        <v>39593</v>
      </c>
      <c r="X596" t="s">
        <v>43171</v>
      </c>
    </row>
    <row r="597" spans="1:24">
      <c r="A597">
        <f>HYPERLINK("https://www.philgeps.gov.ph/GEPSNONPILOT/Tender/SplashBidNoticeAbstractUI.aspx?menuIndex=3&amp;refID=7086631&amp;Result=3","7086631")</f>
        <v>0</v>
      </c>
      <c r="B597" t="s">
        <v>251</v>
      </c>
      <c r="C597" t="s">
        <v>4018</v>
      </c>
      <c r="D597" t="s">
        <v>17415</v>
      </c>
      <c r="E597" t="s">
        <v>18071</v>
      </c>
      <c r="F597" t="s">
        <v>30052</v>
      </c>
      <c r="G597" t="s">
        <v>30058</v>
      </c>
      <c r="H597" t="s">
        <v>15498</v>
      </c>
      <c r="I597" t="s">
        <v>7228</v>
      </c>
      <c r="J597" t="s">
        <v>30674</v>
      </c>
      <c r="K597" t="s">
        <v>39017</v>
      </c>
      <c r="M597" t="s">
        <v>39567</v>
      </c>
      <c r="N597" t="s">
        <v>43166</v>
      </c>
      <c r="O597" t="s">
        <v>43167</v>
      </c>
      <c r="P597">
        <v>0</v>
      </c>
      <c r="Q597">
        <v>0</v>
      </c>
      <c r="R597" t="s">
        <v>43168</v>
      </c>
      <c r="S597" t="s">
        <v>43286</v>
      </c>
      <c r="T597" t="s">
        <v>44677</v>
      </c>
      <c r="U597" t="s">
        <v>45707</v>
      </c>
      <c r="W597" t="s">
        <v>39567</v>
      </c>
      <c r="X597" t="s">
        <v>43171</v>
      </c>
    </row>
    <row r="598" spans="1:24">
      <c r="A598">
        <f>HYPERLINK("https://www.philgeps.gov.ph/GEPSNONPILOT/Tender/SplashBidNoticeAbstractUI.aspx?menuIndex=3&amp;refID=7086588&amp;Result=3","7086588")</f>
        <v>0</v>
      </c>
      <c r="B598" t="s">
        <v>251</v>
      </c>
      <c r="C598" t="s">
        <v>4019</v>
      </c>
      <c r="D598" t="s">
        <v>17415</v>
      </c>
      <c r="E598" t="s">
        <v>18072</v>
      </c>
      <c r="F598" t="s">
        <v>30052</v>
      </c>
      <c r="G598" t="s">
        <v>30058</v>
      </c>
      <c r="H598" t="s">
        <v>15498</v>
      </c>
      <c r="I598" t="s">
        <v>30070</v>
      </c>
      <c r="J598" t="s">
        <v>30675</v>
      </c>
      <c r="K598" t="s">
        <v>39017</v>
      </c>
      <c r="M598" t="s">
        <v>39567</v>
      </c>
      <c r="N598" t="s">
        <v>43166</v>
      </c>
      <c r="O598" t="s">
        <v>43167</v>
      </c>
      <c r="P598">
        <v>0</v>
      </c>
      <c r="Q598">
        <v>0</v>
      </c>
      <c r="R598" t="s">
        <v>43168</v>
      </c>
      <c r="S598" t="s">
        <v>43286</v>
      </c>
      <c r="T598" t="s">
        <v>44677</v>
      </c>
      <c r="U598" t="s">
        <v>45672</v>
      </c>
      <c r="W598" t="s">
        <v>39567</v>
      </c>
      <c r="X598" t="s">
        <v>43171</v>
      </c>
    </row>
    <row r="599" spans="1:24">
      <c r="A599">
        <f>HYPERLINK("https://www.philgeps.gov.ph/GEPSNONPILOT/Tender/SplashBidNoticeAbstractUI.aspx?menuIndex=3&amp;refID=7086630&amp;Result=3","7086630")</f>
        <v>0</v>
      </c>
      <c r="B599" t="s">
        <v>107</v>
      </c>
      <c r="C599" t="s">
        <v>4020</v>
      </c>
      <c r="D599" t="s">
        <v>17448</v>
      </c>
      <c r="E599" t="s">
        <v>18073</v>
      </c>
      <c r="F599" t="s">
        <v>30052</v>
      </c>
      <c r="G599" t="s">
        <v>30059</v>
      </c>
      <c r="H599" t="s">
        <v>30067</v>
      </c>
      <c r="I599" t="s">
        <v>3693</v>
      </c>
      <c r="J599" t="s">
        <v>30676</v>
      </c>
      <c r="K599" t="s">
        <v>39025</v>
      </c>
      <c r="M599" t="s">
        <v>39396</v>
      </c>
      <c r="N599" t="s">
        <v>43166</v>
      </c>
      <c r="O599" t="s">
        <v>43167</v>
      </c>
      <c r="P599">
        <v>0</v>
      </c>
      <c r="Q599">
        <v>0</v>
      </c>
      <c r="R599" t="s">
        <v>43168</v>
      </c>
      <c r="S599" t="s">
        <v>43286</v>
      </c>
      <c r="T599" t="s">
        <v>44678</v>
      </c>
      <c r="U599" t="s">
        <v>45721</v>
      </c>
      <c r="W599" t="s">
        <v>39396</v>
      </c>
      <c r="X599" t="s">
        <v>43171</v>
      </c>
    </row>
    <row r="600" spans="1:24">
      <c r="A600">
        <f>HYPERLINK("https://www.philgeps.gov.ph/GEPSNONPILOT/Tender/SplashBidNoticeAbstractUI.aspx?menuIndex=3&amp;refID=7086692&amp;Result=3","7086692")</f>
        <v>0</v>
      </c>
      <c r="B600" t="s">
        <v>299</v>
      </c>
      <c r="C600" t="s">
        <v>4021</v>
      </c>
      <c r="D600" t="s">
        <v>17445</v>
      </c>
      <c r="E600" t="s">
        <v>18074</v>
      </c>
      <c r="F600" t="s">
        <v>30052</v>
      </c>
      <c r="G600" t="s">
        <v>30061</v>
      </c>
      <c r="H600" t="s">
        <v>15498</v>
      </c>
      <c r="I600" t="s">
        <v>30094</v>
      </c>
      <c r="J600" t="s">
        <v>30677</v>
      </c>
      <c r="K600" t="s">
        <v>39025</v>
      </c>
      <c r="M600" t="s">
        <v>39594</v>
      </c>
      <c r="N600" t="s">
        <v>43166</v>
      </c>
      <c r="O600" t="s">
        <v>43167</v>
      </c>
      <c r="P600">
        <v>0</v>
      </c>
      <c r="Q600">
        <v>0</v>
      </c>
      <c r="R600" t="s">
        <v>43168</v>
      </c>
      <c r="S600" t="s">
        <v>43286</v>
      </c>
      <c r="T600" t="s">
        <v>44708</v>
      </c>
      <c r="U600" t="s">
        <v>45722</v>
      </c>
      <c r="W600" t="s">
        <v>39594</v>
      </c>
      <c r="X600" t="s">
        <v>43171</v>
      </c>
    </row>
    <row r="601" spans="1:24">
      <c r="A601">
        <f>HYPERLINK("https://www.philgeps.gov.ph/GEPSNONPILOT/Tender/SplashBidNoticeAbstractUI.aspx?menuIndex=3&amp;refID=7086687&amp;Result=3","7086687")</f>
        <v>0</v>
      </c>
      <c r="B601" t="s">
        <v>251</v>
      </c>
      <c r="C601" t="s">
        <v>4022</v>
      </c>
      <c r="D601" t="s">
        <v>17415</v>
      </c>
      <c r="E601" t="s">
        <v>18075</v>
      </c>
      <c r="F601" t="s">
        <v>30052</v>
      </c>
      <c r="G601" t="s">
        <v>30058</v>
      </c>
      <c r="H601" t="s">
        <v>15498</v>
      </c>
      <c r="I601" t="s">
        <v>30070</v>
      </c>
      <c r="J601" t="s">
        <v>30678</v>
      </c>
      <c r="K601" t="s">
        <v>39017</v>
      </c>
      <c r="M601" t="s">
        <v>39541</v>
      </c>
      <c r="N601" t="s">
        <v>43166</v>
      </c>
      <c r="O601" t="s">
        <v>43167</v>
      </c>
      <c r="P601">
        <v>0</v>
      </c>
      <c r="Q601">
        <v>0</v>
      </c>
      <c r="R601" t="s">
        <v>43168</v>
      </c>
      <c r="S601" t="s">
        <v>43286</v>
      </c>
      <c r="T601" t="s">
        <v>44677</v>
      </c>
      <c r="U601" t="s">
        <v>45646</v>
      </c>
      <c r="W601" t="s">
        <v>39541</v>
      </c>
      <c r="X601" t="s">
        <v>43171</v>
      </c>
    </row>
    <row r="602" spans="1:24">
      <c r="A602">
        <f>HYPERLINK("https://www.philgeps.gov.ph/GEPSNONPILOT/Tender/SplashBidNoticeAbstractUI.aspx?menuIndex=3&amp;refID=7086681&amp;Result=3","7086681")</f>
        <v>0</v>
      </c>
      <c r="B602" t="s">
        <v>300</v>
      </c>
      <c r="C602" t="s">
        <v>4023</v>
      </c>
      <c r="D602" t="s">
        <v>17435</v>
      </c>
      <c r="E602" t="s">
        <v>18076</v>
      </c>
      <c r="F602" t="s">
        <v>30052</v>
      </c>
      <c r="G602" t="s">
        <v>30059</v>
      </c>
      <c r="H602" t="s">
        <v>15498</v>
      </c>
      <c r="I602" t="s">
        <v>3852</v>
      </c>
      <c r="J602" t="s">
        <v>30230</v>
      </c>
      <c r="K602" t="s">
        <v>39025</v>
      </c>
      <c r="M602" t="s">
        <v>39595</v>
      </c>
      <c r="N602" t="s">
        <v>43166</v>
      </c>
      <c r="O602" t="s">
        <v>43167</v>
      </c>
      <c r="P602">
        <v>0</v>
      </c>
      <c r="Q602">
        <v>7</v>
      </c>
      <c r="R602" t="s">
        <v>43168</v>
      </c>
      <c r="S602" t="s">
        <v>43286</v>
      </c>
      <c r="T602" t="s">
        <v>44719</v>
      </c>
      <c r="U602" t="s">
        <v>45723</v>
      </c>
      <c r="W602" t="s">
        <v>39595</v>
      </c>
      <c r="X602" t="s">
        <v>43171</v>
      </c>
    </row>
    <row r="603" spans="1:24">
      <c r="A603">
        <f>HYPERLINK("https://www.philgeps.gov.ph/GEPSNONPILOT/Tender/SplashBidNoticeAbstractUI.aspx?menuIndex=3&amp;refID=7086527&amp;Result=3","7086527")</f>
        <v>0</v>
      </c>
      <c r="B603" t="s">
        <v>290</v>
      </c>
      <c r="C603" t="s">
        <v>4024</v>
      </c>
      <c r="D603" t="s">
        <v>17481</v>
      </c>
      <c r="E603" t="s">
        <v>18077</v>
      </c>
      <c r="F603" t="s">
        <v>30052</v>
      </c>
      <c r="G603" t="s">
        <v>30058</v>
      </c>
      <c r="H603" t="s">
        <v>15498</v>
      </c>
      <c r="I603" t="s">
        <v>30071</v>
      </c>
      <c r="J603" t="s">
        <v>30679</v>
      </c>
      <c r="K603" t="s">
        <v>39025</v>
      </c>
      <c r="M603" t="s">
        <v>39585</v>
      </c>
      <c r="N603" t="s">
        <v>43166</v>
      </c>
      <c r="O603" t="s">
        <v>43167</v>
      </c>
      <c r="P603">
        <v>0</v>
      </c>
      <c r="Q603">
        <v>0</v>
      </c>
      <c r="R603" t="s">
        <v>43168</v>
      </c>
      <c r="S603" t="s">
        <v>43286</v>
      </c>
      <c r="T603" t="s">
        <v>44702</v>
      </c>
      <c r="U603" t="s">
        <v>45724</v>
      </c>
      <c r="W603" t="s">
        <v>39585</v>
      </c>
      <c r="X603" t="s">
        <v>43171</v>
      </c>
    </row>
    <row r="604" spans="1:24">
      <c r="A604">
        <f>HYPERLINK("https://www.philgeps.gov.ph/GEPSNONPILOT/Tender/SplashBidNoticeAbstractUI.aspx?menuIndex=3&amp;refID=7086673&amp;Result=3","7086673")</f>
        <v>0</v>
      </c>
      <c r="B604" t="s">
        <v>251</v>
      </c>
      <c r="C604" t="s">
        <v>4025</v>
      </c>
      <c r="D604" t="s">
        <v>17415</v>
      </c>
      <c r="E604" t="s">
        <v>18078</v>
      </c>
      <c r="F604" t="s">
        <v>30052</v>
      </c>
      <c r="G604" t="s">
        <v>30058</v>
      </c>
      <c r="H604" t="s">
        <v>15498</v>
      </c>
      <c r="I604" t="s">
        <v>7228</v>
      </c>
      <c r="J604" t="s">
        <v>30680</v>
      </c>
      <c r="K604" t="s">
        <v>39017</v>
      </c>
      <c r="M604" t="s">
        <v>39567</v>
      </c>
      <c r="N604" t="s">
        <v>43166</v>
      </c>
      <c r="O604" t="s">
        <v>43167</v>
      </c>
      <c r="P604">
        <v>0</v>
      </c>
      <c r="Q604">
        <v>0</v>
      </c>
      <c r="R604" t="s">
        <v>43168</v>
      </c>
      <c r="S604" t="s">
        <v>43286</v>
      </c>
      <c r="T604" t="s">
        <v>44677</v>
      </c>
      <c r="U604" t="s">
        <v>45707</v>
      </c>
      <c r="W604" t="s">
        <v>39567</v>
      </c>
      <c r="X604" t="s">
        <v>43171</v>
      </c>
    </row>
    <row r="605" spans="1:24">
      <c r="A605">
        <f>HYPERLINK("https://www.philgeps.gov.ph/GEPSNONPILOT/Tender/SplashBidNoticeAbstractUI.aspx?menuIndex=3&amp;refID=7086568&amp;Result=3","7086568")</f>
        <v>0</v>
      </c>
      <c r="B605" t="s">
        <v>301</v>
      </c>
      <c r="C605" t="s">
        <v>4026</v>
      </c>
      <c r="D605" t="s">
        <v>17439</v>
      </c>
      <c r="E605" t="s">
        <v>18079</v>
      </c>
      <c r="F605" t="s">
        <v>30052</v>
      </c>
      <c r="G605" t="s">
        <v>30058</v>
      </c>
      <c r="H605" t="s">
        <v>30067</v>
      </c>
      <c r="I605" t="s">
        <v>3693</v>
      </c>
      <c r="J605" t="s">
        <v>30321</v>
      </c>
      <c r="K605" t="s">
        <v>39022</v>
      </c>
      <c r="M605" t="s">
        <v>39596</v>
      </c>
      <c r="N605" t="s">
        <v>43166</v>
      </c>
      <c r="O605" t="s">
        <v>43167</v>
      </c>
      <c r="P605">
        <v>0</v>
      </c>
      <c r="Q605">
        <v>0</v>
      </c>
      <c r="R605" t="s">
        <v>43168</v>
      </c>
      <c r="S605" t="s">
        <v>43286</v>
      </c>
      <c r="T605" t="s">
        <v>44784</v>
      </c>
      <c r="U605" t="s">
        <v>45725</v>
      </c>
      <c r="V605" t="s">
        <v>56892</v>
      </c>
      <c r="W605" t="s">
        <v>39596</v>
      </c>
      <c r="X605" t="s">
        <v>43171</v>
      </c>
    </row>
    <row r="606" spans="1:24">
      <c r="A606">
        <f>HYPERLINK("https://www.philgeps.gov.ph/GEPSNONPILOT/Tender/SplashBidNoticeAbstractUI.aspx?menuIndex=3&amp;refID=7086627&amp;Result=3","7086627")</f>
        <v>0</v>
      </c>
      <c r="B606" t="s">
        <v>299</v>
      </c>
      <c r="C606" t="s">
        <v>4027</v>
      </c>
      <c r="D606" t="s">
        <v>17445</v>
      </c>
      <c r="E606" t="s">
        <v>18080</v>
      </c>
      <c r="F606" t="s">
        <v>30052</v>
      </c>
      <c r="G606" t="s">
        <v>30061</v>
      </c>
      <c r="H606" t="s">
        <v>15498</v>
      </c>
      <c r="I606" t="s">
        <v>30094</v>
      </c>
      <c r="J606" t="s">
        <v>30681</v>
      </c>
      <c r="K606" t="s">
        <v>39025</v>
      </c>
      <c r="M606" t="s">
        <v>39594</v>
      </c>
      <c r="N606" t="s">
        <v>43166</v>
      </c>
      <c r="O606" t="s">
        <v>43167</v>
      </c>
      <c r="P606">
        <v>0</v>
      </c>
      <c r="Q606">
        <v>0</v>
      </c>
      <c r="R606" t="s">
        <v>43168</v>
      </c>
      <c r="S606" t="s">
        <v>43286</v>
      </c>
      <c r="T606" t="s">
        <v>44708</v>
      </c>
      <c r="U606" t="s">
        <v>45722</v>
      </c>
      <c r="W606" t="s">
        <v>39594</v>
      </c>
      <c r="X606" t="s">
        <v>43171</v>
      </c>
    </row>
    <row r="607" spans="1:24">
      <c r="A607">
        <f>HYPERLINK("https://www.philgeps.gov.ph/GEPSNONPILOT/Tender/SplashBidNoticeAbstractUI.aspx?menuIndex=3&amp;refID=7086695&amp;Result=3","7086695")</f>
        <v>0</v>
      </c>
      <c r="B607" t="s">
        <v>298</v>
      </c>
      <c r="C607" t="s">
        <v>4028</v>
      </c>
      <c r="D607" t="s">
        <v>17468</v>
      </c>
      <c r="E607" t="s">
        <v>18081</v>
      </c>
      <c r="F607" t="s">
        <v>30052</v>
      </c>
      <c r="G607" t="s">
        <v>30058</v>
      </c>
      <c r="H607" t="s">
        <v>30067</v>
      </c>
      <c r="I607" t="s">
        <v>30106</v>
      </c>
      <c r="J607" t="s">
        <v>30682</v>
      </c>
      <c r="K607" t="s">
        <v>39022</v>
      </c>
      <c r="M607" t="s">
        <v>39593</v>
      </c>
      <c r="N607" t="s">
        <v>43166</v>
      </c>
      <c r="O607" t="s">
        <v>43167</v>
      </c>
      <c r="P607">
        <v>0</v>
      </c>
      <c r="Q607">
        <v>2</v>
      </c>
      <c r="R607" t="s">
        <v>43168</v>
      </c>
      <c r="S607" t="s">
        <v>43286</v>
      </c>
      <c r="T607" t="s">
        <v>44709</v>
      </c>
      <c r="U607" t="s">
        <v>45726</v>
      </c>
      <c r="W607" t="s">
        <v>39593</v>
      </c>
      <c r="X607" t="s">
        <v>43171</v>
      </c>
    </row>
    <row r="608" spans="1:24">
      <c r="A608">
        <f>HYPERLINK("https://www.philgeps.gov.ph/GEPSNONPILOT/Tender/SplashBidNoticeAbstractUI.aspx?menuIndex=3&amp;refID=7086694&amp;Result=3","7086694")</f>
        <v>0</v>
      </c>
      <c r="B608" t="s">
        <v>251</v>
      </c>
      <c r="C608" t="s">
        <v>4029</v>
      </c>
      <c r="D608" t="s">
        <v>17415</v>
      </c>
      <c r="E608" t="s">
        <v>18082</v>
      </c>
      <c r="F608" t="s">
        <v>30052</v>
      </c>
      <c r="G608" t="s">
        <v>30058</v>
      </c>
      <c r="H608" t="s">
        <v>15498</v>
      </c>
      <c r="I608" t="s">
        <v>30085</v>
      </c>
      <c r="J608" t="s">
        <v>30683</v>
      </c>
      <c r="K608" t="s">
        <v>39017</v>
      </c>
      <c r="M608" t="s">
        <v>39567</v>
      </c>
      <c r="N608" t="s">
        <v>43166</v>
      </c>
      <c r="O608" t="s">
        <v>43167</v>
      </c>
      <c r="P608">
        <v>0</v>
      </c>
      <c r="Q608">
        <v>0</v>
      </c>
      <c r="R608" t="s">
        <v>43168</v>
      </c>
      <c r="S608" t="s">
        <v>43286</v>
      </c>
      <c r="T608" t="s">
        <v>44677</v>
      </c>
      <c r="U608" t="s">
        <v>45673</v>
      </c>
      <c r="W608" t="s">
        <v>39567</v>
      </c>
      <c r="X608" t="s">
        <v>43171</v>
      </c>
    </row>
    <row r="609" spans="1:24">
      <c r="A609">
        <f>HYPERLINK("https://www.philgeps.gov.ph/GEPSNONPILOT/Tender/SplashBidNoticeAbstractUI.aspx?menuIndex=3&amp;refID=7086656&amp;Result=3","7086656")</f>
        <v>0</v>
      </c>
      <c r="B609" t="s">
        <v>302</v>
      </c>
      <c r="C609" t="s">
        <v>4030</v>
      </c>
      <c r="D609" t="s">
        <v>17426</v>
      </c>
      <c r="E609" t="s">
        <v>18083</v>
      </c>
      <c r="F609" t="s">
        <v>30052</v>
      </c>
      <c r="G609" t="s">
        <v>30059</v>
      </c>
      <c r="H609" t="s">
        <v>15498</v>
      </c>
      <c r="I609" t="s">
        <v>3736</v>
      </c>
      <c r="J609" t="s">
        <v>30684</v>
      </c>
      <c r="K609" t="s">
        <v>39034</v>
      </c>
      <c r="M609" t="s">
        <v>39597</v>
      </c>
      <c r="N609" t="s">
        <v>43166</v>
      </c>
      <c r="O609" t="s">
        <v>43167</v>
      </c>
      <c r="P609">
        <v>0</v>
      </c>
      <c r="Q609">
        <v>0</v>
      </c>
      <c r="R609" t="s">
        <v>43168</v>
      </c>
      <c r="S609" t="s">
        <v>43286</v>
      </c>
      <c r="T609" t="s">
        <v>44785</v>
      </c>
      <c r="U609" t="s">
        <v>45727</v>
      </c>
      <c r="W609" t="s">
        <v>39597</v>
      </c>
      <c r="X609" t="s">
        <v>43171</v>
      </c>
    </row>
    <row r="610" spans="1:24">
      <c r="A610">
        <f>HYPERLINK("https://www.philgeps.gov.ph/GEPSNONPILOT/Tender/SplashBidNoticeAbstractUI.aspx?menuIndex=3&amp;refID=7086640&amp;Result=3","7086640")</f>
        <v>0</v>
      </c>
      <c r="B610" t="s">
        <v>251</v>
      </c>
      <c r="C610" t="s">
        <v>4031</v>
      </c>
      <c r="D610" t="s">
        <v>17415</v>
      </c>
      <c r="E610" t="s">
        <v>18084</v>
      </c>
      <c r="F610" t="s">
        <v>30052</v>
      </c>
      <c r="G610" t="s">
        <v>30058</v>
      </c>
      <c r="H610" t="s">
        <v>15498</v>
      </c>
      <c r="I610" t="s">
        <v>3852</v>
      </c>
      <c r="J610" t="s">
        <v>30685</v>
      </c>
      <c r="K610" t="s">
        <v>39017</v>
      </c>
      <c r="M610" t="s">
        <v>39541</v>
      </c>
      <c r="N610" t="s">
        <v>43166</v>
      </c>
      <c r="O610" t="s">
        <v>43167</v>
      </c>
      <c r="P610">
        <v>0</v>
      </c>
      <c r="Q610">
        <v>0</v>
      </c>
      <c r="R610" t="s">
        <v>43168</v>
      </c>
      <c r="S610" t="s">
        <v>43286</v>
      </c>
      <c r="T610" t="s">
        <v>44677</v>
      </c>
      <c r="U610" t="s">
        <v>45634</v>
      </c>
      <c r="W610" t="s">
        <v>39541</v>
      </c>
      <c r="X610" t="s">
        <v>43171</v>
      </c>
    </row>
    <row r="611" spans="1:24">
      <c r="A611">
        <f>HYPERLINK("https://www.philgeps.gov.ph/GEPSNONPILOT/Tender/SplashBidNoticeAbstractUI.aspx?menuIndex=3&amp;refID=7086655&amp;Result=3","7086655")</f>
        <v>0</v>
      </c>
      <c r="B611" t="s">
        <v>284</v>
      </c>
      <c r="C611" t="s">
        <v>4032</v>
      </c>
      <c r="D611" t="s">
        <v>17468</v>
      </c>
      <c r="E611" t="s">
        <v>18038</v>
      </c>
      <c r="F611" t="s">
        <v>30052</v>
      </c>
      <c r="G611" t="s">
        <v>30058</v>
      </c>
      <c r="H611" t="s">
        <v>30067</v>
      </c>
      <c r="I611" t="s">
        <v>3693</v>
      </c>
      <c r="J611" t="s">
        <v>30222</v>
      </c>
      <c r="K611" t="s">
        <v>39023</v>
      </c>
      <c r="L611" t="s">
        <v>284</v>
      </c>
      <c r="M611" t="s">
        <v>39579</v>
      </c>
      <c r="N611" t="s">
        <v>43166</v>
      </c>
      <c r="O611" t="s">
        <v>43167</v>
      </c>
      <c r="P611">
        <v>0</v>
      </c>
      <c r="Q611">
        <v>0</v>
      </c>
      <c r="R611" t="s">
        <v>43168</v>
      </c>
      <c r="S611" t="s">
        <v>43286</v>
      </c>
      <c r="T611" t="s">
        <v>44757</v>
      </c>
      <c r="U611" t="s">
        <v>45717</v>
      </c>
      <c r="W611" t="s">
        <v>39579</v>
      </c>
      <c r="X611" t="s">
        <v>43171</v>
      </c>
    </row>
    <row r="612" spans="1:24">
      <c r="A612">
        <f>HYPERLINK("https://www.philgeps.gov.ph/GEPSNONPILOT/Tender/SplashBidNoticeAbstractUI.aspx?menuIndex=3&amp;refID=7086485&amp;Result=3","7086485")</f>
        <v>0</v>
      </c>
      <c r="B612" t="s">
        <v>121</v>
      </c>
      <c r="C612" t="s">
        <v>4033</v>
      </c>
      <c r="D612" t="s">
        <v>17440</v>
      </c>
      <c r="E612" t="s">
        <v>18085</v>
      </c>
      <c r="F612" t="s">
        <v>30052</v>
      </c>
      <c r="G612" t="s">
        <v>30059</v>
      </c>
      <c r="H612" t="s">
        <v>30067</v>
      </c>
      <c r="I612" t="s">
        <v>3693</v>
      </c>
      <c r="J612" t="s">
        <v>30686</v>
      </c>
      <c r="K612" t="s">
        <v>39017</v>
      </c>
      <c r="M612" t="s">
        <v>39410</v>
      </c>
      <c r="N612" t="s">
        <v>43166</v>
      </c>
      <c r="O612" t="s">
        <v>43167</v>
      </c>
      <c r="P612">
        <v>0</v>
      </c>
      <c r="Q612">
        <v>0</v>
      </c>
      <c r="R612" t="s">
        <v>43168</v>
      </c>
      <c r="S612" t="s">
        <v>43286</v>
      </c>
      <c r="T612" t="s">
        <v>44698</v>
      </c>
      <c r="U612" t="s">
        <v>45385</v>
      </c>
      <c r="W612" t="s">
        <v>39410</v>
      </c>
      <c r="X612" t="s">
        <v>43171</v>
      </c>
    </row>
    <row r="613" spans="1:24">
      <c r="A613">
        <f>HYPERLINK("https://www.philgeps.gov.ph/GEPSNONPILOT/Tender/SplashBidNoticeAbstractUI.aspx?menuIndex=3&amp;refID=7086683&amp;Result=3","7086683")</f>
        <v>0</v>
      </c>
      <c r="B613" t="s">
        <v>251</v>
      </c>
      <c r="C613" t="s">
        <v>4034</v>
      </c>
      <c r="D613" t="s">
        <v>17415</v>
      </c>
      <c r="E613" t="s">
        <v>18086</v>
      </c>
      <c r="F613" t="s">
        <v>30052</v>
      </c>
      <c r="G613" t="s">
        <v>30058</v>
      </c>
      <c r="H613" t="s">
        <v>15498</v>
      </c>
      <c r="I613" t="s">
        <v>3852</v>
      </c>
      <c r="J613" t="s">
        <v>30687</v>
      </c>
      <c r="K613" t="s">
        <v>39017</v>
      </c>
      <c r="M613" t="s">
        <v>39567</v>
      </c>
      <c r="N613" t="s">
        <v>43166</v>
      </c>
      <c r="O613" t="s">
        <v>43167</v>
      </c>
      <c r="P613">
        <v>0</v>
      </c>
      <c r="Q613">
        <v>0</v>
      </c>
      <c r="R613" t="s">
        <v>43168</v>
      </c>
      <c r="S613" t="s">
        <v>43286</v>
      </c>
      <c r="T613" t="s">
        <v>44677</v>
      </c>
      <c r="U613" t="s">
        <v>45680</v>
      </c>
      <c r="W613" t="s">
        <v>39567</v>
      </c>
      <c r="X613" t="s">
        <v>43171</v>
      </c>
    </row>
    <row r="614" spans="1:24">
      <c r="A614">
        <f>HYPERLINK("https://www.philgeps.gov.ph/GEPSNONPILOT/Tender/SplashBidNoticeAbstractUI.aspx?menuIndex=3&amp;refID=7086644&amp;Result=3","7086644")</f>
        <v>0</v>
      </c>
      <c r="B614" t="s">
        <v>284</v>
      </c>
      <c r="C614" t="s">
        <v>4035</v>
      </c>
      <c r="D614" t="s">
        <v>17468</v>
      </c>
      <c r="E614" t="s">
        <v>17838</v>
      </c>
      <c r="F614" t="s">
        <v>30052</v>
      </c>
      <c r="G614" t="s">
        <v>30058</v>
      </c>
      <c r="H614" t="s">
        <v>30067</v>
      </c>
      <c r="I614" t="s">
        <v>3693</v>
      </c>
      <c r="J614" t="s">
        <v>30222</v>
      </c>
      <c r="K614" t="s">
        <v>39023</v>
      </c>
      <c r="L614" t="s">
        <v>284</v>
      </c>
      <c r="M614" t="s">
        <v>39579</v>
      </c>
      <c r="N614" t="s">
        <v>43166</v>
      </c>
      <c r="O614" t="s">
        <v>43167</v>
      </c>
      <c r="P614">
        <v>0</v>
      </c>
      <c r="Q614">
        <v>0</v>
      </c>
      <c r="R614" t="s">
        <v>43168</v>
      </c>
      <c r="S614" t="s">
        <v>43286</v>
      </c>
      <c r="T614" t="s">
        <v>44757</v>
      </c>
      <c r="U614" t="s">
        <v>45717</v>
      </c>
      <c r="W614" t="s">
        <v>39579</v>
      </c>
      <c r="X614" t="s">
        <v>43171</v>
      </c>
    </row>
    <row r="615" spans="1:24">
      <c r="A615">
        <f>HYPERLINK("https://www.philgeps.gov.ph/GEPSNONPILOT/Tender/SplashBidNoticeAbstractUI.aspx?menuIndex=3&amp;refID=7086661&amp;Result=3","7086661")</f>
        <v>0</v>
      </c>
      <c r="B615" t="s">
        <v>303</v>
      </c>
      <c r="C615" t="s">
        <v>4036</v>
      </c>
      <c r="D615" t="s">
        <v>17469</v>
      </c>
      <c r="E615" t="s">
        <v>18087</v>
      </c>
      <c r="F615" t="s">
        <v>30052</v>
      </c>
      <c r="G615" t="s">
        <v>30062</v>
      </c>
      <c r="H615" t="s">
        <v>15498</v>
      </c>
      <c r="I615" t="s">
        <v>6691</v>
      </c>
      <c r="J615" t="s">
        <v>30688</v>
      </c>
      <c r="K615" t="s">
        <v>39029</v>
      </c>
      <c r="M615" t="s">
        <v>39598</v>
      </c>
      <c r="N615" t="s">
        <v>43166</v>
      </c>
      <c r="O615" t="s">
        <v>43167</v>
      </c>
      <c r="P615">
        <v>0</v>
      </c>
      <c r="Q615">
        <v>0</v>
      </c>
      <c r="R615" t="s">
        <v>43168</v>
      </c>
      <c r="S615" t="s">
        <v>43286</v>
      </c>
      <c r="T615" t="s">
        <v>44691</v>
      </c>
      <c r="U615" t="s">
        <v>45728</v>
      </c>
      <c r="W615" t="s">
        <v>39598</v>
      </c>
      <c r="X615" t="s">
        <v>43171</v>
      </c>
    </row>
    <row r="616" spans="1:24">
      <c r="A616">
        <f>HYPERLINK("https://www.philgeps.gov.ph/GEPSNONPILOT/Tender/SplashBidNoticeAbstractUI.aspx?menuIndex=3&amp;refID=7086709&amp;Result=3","7086709")</f>
        <v>0</v>
      </c>
      <c r="B616" t="s">
        <v>304</v>
      </c>
      <c r="C616" t="s">
        <v>4037</v>
      </c>
      <c r="D616" t="s">
        <v>17438</v>
      </c>
      <c r="E616" t="s">
        <v>18088</v>
      </c>
      <c r="F616" t="s">
        <v>30052</v>
      </c>
      <c r="G616" t="s">
        <v>30062</v>
      </c>
      <c r="H616" t="s">
        <v>15498</v>
      </c>
      <c r="I616" t="s">
        <v>30070</v>
      </c>
      <c r="J616" t="s">
        <v>30689</v>
      </c>
      <c r="K616" t="s">
        <v>39029</v>
      </c>
      <c r="M616" t="s">
        <v>39599</v>
      </c>
      <c r="N616" t="s">
        <v>43166</v>
      </c>
      <c r="O616" t="s">
        <v>43167</v>
      </c>
      <c r="P616">
        <v>0</v>
      </c>
      <c r="Q616">
        <v>0</v>
      </c>
      <c r="R616" t="s">
        <v>43168</v>
      </c>
      <c r="S616" t="s">
        <v>43286</v>
      </c>
      <c r="T616" t="s">
        <v>44698</v>
      </c>
      <c r="U616" t="s">
        <v>45729</v>
      </c>
      <c r="W616" t="s">
        <v>39599</v>
      </c>
      <c r="X616" t="s">
        <v>43171</v>
      </c>
    </row>
    <row r="617" spans="1:24">
      <c r="A617">
        <f>HYPERLINK("https://www.philgeps.gov.ph/GEPSNONPILOT/Tender/SplashBidNoticeAbstractUI.aspx?menuIndex=3&amp;refID=7086651&amp;Result=3","7086651")</f>
        <v>0</v>
      </c>
      <c r="B617" t="s">
        <v>251</v>
      </c>
      <c r="C617" t="s">
        <v>4038</v>
      </c>
      <c r="D617" t="s">
        <v>17415</v>
      </c>
      <c r="E617" t="s">
        <v>18089</v>
      </c>
      <c r="F617" t="s">
        <v>30052</v>
      </c>
      <c r="G617" t="s">
        <v>30058</v>
      </c>
      <c r="H617" t="s">
        <v>15498</v>
      </c>
      <c r="I617" t="s">
        <v>30085</v>
      </c>
      <c r="J617" t="s">
        <v>30690</v>
      </c>
      <c r="K617" t="s">
        <v>39017</v>
      </c>
      <c r="M617" t="s">
        <v>39541</v>
      </c>
      <c r="N617" t="s">
        <v>43166</v>
      </c>
      <c r="O617" t="s">
        <v>43167</v>
      </c>
      <c r="P617">
        <v>0</v>
      </c>
      <c r="Q617">
        <v>0</v>
      </c>
      <c r="R617" t="s">
        <v>43168</v>
      </c>
      <c r="S617" t="s">
        <v>43286</v>
      </c>
      <c r="T617" t="s">
        <v>44677</v>
      </c>
      <c r="U617" t="s">
        <v>45730</v>
      </c>
      <c r="W617" t="s">
        <v>39541</v>
      </c>
      <c r="X617" t="s">
        <v>43171</v>
      </c>
    </row>
    <row r="618" spans="1:24">
      <c r="A618">
        <f>HYPERLINK("https://www.philgeps.gov.ph/GEPSNONPILOT/Tender/SplashBidNoticeAbstractUI.aspx?menuIndex=3&amp;refID=7086700&amp;Result=3","7086700")</f>
        <v>0</v>
      </c>
      <c r="B618" t="s">
        <v>237</v>
      </c>
      <c r="C618" t="s">
        <v>4039</v>
      </c>
      <c r="D618" t="s">
        <v>17449</v>
      </c>
      <c r="E618" t="s">
        <v>18090</v>
      </c>
      <c r="F618" t="s">
        <v>30052</v>
      </c>
      <c r="G618" t="s">
        <v>30059</v>
      </c>
      <c r="H618" t="s">
        <v>15498</v>
      </c>
      <c r="I618" t="s">
        <v>3606</v>
      </c>
      <c r="J618" t="s">
        <v>30691</v>
      </c>
      <c r="K618" t="s">
        <v>39017</v>
      </c>
      <c r="M618" t="s">
        <v>39527</v>
      </c>
      <c r="N618" t="s">
        <v>43166</v>
      </c>
      <c r="O618" t="s">
        <v>43167</v>
      </c>
      <c r="P618">
        <v>0</v>
      </c>
      <c r="Q618">
        <v>6</v>
      </c>
      <c r="R618" t="s">
        <v>43168</v>
      </c>
      <c r="S618" t="s">
        <v>43286</v>
      </c>
      <c r="T618" t="s">
        <v>44685</v>
      </c>
      <c r="U618" t="s">
        <v>45731</v>
      </c>
      <c r="W618" t="s">
        <v>39527</v>
      </c>
      <c r="X618" t="s">
        <v>43171</v>
      </c>
    </row>
    <row r="619" spans="1:24">
      <c r="A619">
        <f>HYPERLINK("https://www.philgeps.gov.ph/GEPSNONPILOT/Tender/SplashBidNoticeAbstractUI.aspx?menuIndex=3&amp;refID=7086779&amp;Result=3","7086779")</f>
        <v>0</v>
      </c>
      <c r="B619" t="s">
        <v>251</v>
      </c>
      <c r="C619" t="s">
        <v>4040</v>
      </c>
      <c r="D619" t="s">
        <v>17415</v>
      </c>
      <c r="E619" t="s">
        <v>18091</v>
      </c>
      <c r="F619" t="s">
        <v>30052</v>
      </c>
      <c r="G619" t="s">
        <v>30058</v>
      </c>
      <c r="H619" t="s">
        <v>15498</v>
      </c>
      <c r="I619" t="s">
        <v>30070</v>
      </c>
      <c r="J619" t="s">
        <v>30692</v>
      </c>
      <c r="K619" t="s">
        <v>39017</v>
      </c>
      <c r="M619" t="s">
        <v>39541</v>
      </c>
      <c r="N619" t="s">
        <v>43166</v>
      </c>
      <c r="O619" t="s">
        <v>43167</v>
      </c>
      <c r="P619">
        <v>0</v>
      </c>
      <c r="Q619">
        <v>0</v>
      </c>
      <c r="R619" t="s">
        <v>43168</v>
      </c>
      <c r="S619" t="s">
        <v>43286</v>
      </c>
      <c r="T619" t="s">
        <v>44677</v>
      </c>
      <c r="U619" t="s">
        <v>45646</v>
      </c>
      <c r="W619" t="s">
        <v>39541</v>
      </c>
      <c r="X619" t="s">
        <v>43171</v>
      </c>
    </row>
    <row r="620" spans="1:24">
      <c r="A620">
        <f>HYPERLINK("https://www.philgeps.gov.ph/GEPSNONPILOT/Tender/SplashBidNoticeAbstractUI.aspx?menuIndex=3&amp;refID=7086649&amp;Result=3","7086649")</f>
        <v>0</v>
      </c>
      <c r="B620" t="s">
        <v>251</v>
      </c>
      <c r="C620" t="s">
        <v>4041</v>
      </c>
      <c r="D620" t="s">
        <v>17415</v>
      </c>
      <c r="E620" t="s">
        <v>18092</v>
      </c>
      <c r="F620" t="s">
        <v>30052</v>
      </c>
      <c r="G620" t="s">
        <v>30058</v>
      </c>
      <c r="H620" t="s">
        <v>15498</v>
      </c>
      <c r="I620" t="s">
        <v>3852</v>
      </c>
      <c r="J620" t="s">
        <v>30693</v>
      </c>
      <c r="K620" t="s">
        <v>39017</v>
      </c>
      <c r="M620" t="s">
        <v>39567</v>
      </c>
      <c r="N620" t="s">
        <v>43166</v>
      </c>
      <c r="O620" t="s">
        <v>43167</v>
      </c>
      <c r="P620">
        <v>0</v>
      </c>
      <c r="Q620">
        <v>0</v>
      </c>
      <c r="R620" t="s">
        <v>43168</v>
      </c>
      <c r="S620" t="s">
        <v>43286</v>
      </c>
      <c r="T620" t="s">
        <v>44677</v>
      </c>
      <c r="U620" t="s">
        <v>45680</v>
      </c>
      <c r="W620" t="s">
        <v>39567</v>
      </c>
      <c r="X620" t="s">
        <v>43171</v>
      </c>
    </row>
    <row r="621" spans="1:24">
      <c r="A621">
        <f>HYPERLINK("https://www.philgeps.gov.ph/GEPSNONPILOT/Tender/SplashBidNoticeAbstractUI.aspx?menuIndex=3&amp;refID=7086792&amp;Result=3","7086792")</f>
        <v>0</v>
      </c>
      <c r="B621" t="s">
        <v>251</v>
      </c>
      <c r="C621" t="s">
        <v>4042</v>
      </c>
      <c r="D621" t="s">
        <v>17415</v>
      </c>
      <c r="E621" t="s">
        <v>18093</v>
      </c>
      <c r="F621" t="s">
        <v>30052</v>
      </c>
      <c r="G621" t="s">
        <v>30058</v>
      </c>
      <c r="H621" t="s">
        <v>15498</v>
      </c>
      <c r="I621" t="s">
        <v>30070</v>
      </c>
      <c r="J621" t="s">
        <v>30694</v>
      </c>
      <c r="K621" t="s">
        <v>39017</v>
      </c>
      <c r="M621" t="s">
        <v>39567</v>
      </c>
      <c r="N621" t="s">
        <v>43166</v>
      </c>
      <c r="O621" t="s">
        <v>43167</v>
      </c>
      <c r="P621">
        <v>0</v>
      </c>
      <c r="Q621">
        <v>0</v>
      </c>
      <c r="R621" t="s">
        <v>43168</v>
      </c>
      <c r="S621" t="s">
        <v>43286</v>
      </c>
      <c r="T621" t="s">
        <v>44677</v>
      </c>
      <c r="U621" t="s">
        <v>45672</v>
      </c>
      <c r="W621" t="s">
        <v>39567</v>
      </c>
      <c r="X621" t="s">
        <v>43171</v>
      </c>
    </row>
    <row r="622" spans="1:24">
      <c r="A622">
        <f>HYPERLINK("https://www.philgeps.gov.ph/GEPSNONPILOT/Tender/SplashBidNoticeAbstractUI.aspx?menuIndex=3&amp;refID=7086679&amp;Result=3","7086679")</f>
        <v>0</v>
      </c>
      <c r="B622" t="s">
        <v>251</v>
      </c>
      <c r="C622" t="s">
        <v>4043</v>
      </c>
      <c r="D622" t="s">
        <v>17415</v>
      </c>
      <c r="E622" t="s">
        <v>18094</v>
      </c>
      <c r="F622" t="s">
        <v>30052</v>
      </c>
      <c r="G622" t="s">
        <v>30058</v>
      </c>
      <c r="H622" t="s">
        <v>15498</v>
      </c>
      <c r="I622" t="s">
        <v>3852</v>
      </c>
      <c r="J622" t="s">
        <v>30695</v>
      </c>
      <c r="K622" t="s">
        <v>39017</v>
      </c>
      <c r="M622" t="s">
        <v>39541</v>
      </c>
      <c r="N622" t="s">
        <v>43166</v>
      </c>
      <c r="O622" t="s">
        <v>43167</v>
      </c>
      <c r="P622">
        <v>0</v>
      </c>
      <c r="Q622">
        <v>0</v>
      </c>
      <c r="R622" t="s">
        <v>43168</v>
      </c>
      <c r="S622" t="s">
        <v>43286</v>
      </c>
      <c r="T622" t="s">
        <v>44677</v>
      </c>
      <c r="U622" t="s">
        <v>45634</v>
      </c>
      <c r="W622" t="s">
        <v>39541</v>
      </c>
      <c r="X622" t="s">
        <v>43171</v>
      </c>
    </row>
    <row r="623" spans="1:24">
      <c r="A623">
        <f>HYPERLINK("https://www.philgeps.gov.ph/GEPSNONPILOT/Tender/SplashBidNoticeAbstractUI.aspx?menuIndex=3&amp;refID=7086783&amp;Result=3","7086783")</f>
        <v>0</v>
      </c>
      <c r="B623" t="s">
        <v>305</v>
      </c>
      <c r="C623" t="s">
        <v>4044</v>
      </c>
      <c r="D623" t="s">
        <v>17455</v>
      </c>
      <c r="E623" t="s">
        <v>18095</v>
      </c>
      <c r="F623" t="s">
        <v>30052</v>
      </c>
      <c r="G623" t="s">
        <v>30061</v>
      </c>
      <c r="H623" t="s">
        <v>15498</v>
      </c>
      <c r="I623" t="s">
        <v>4650</v>
      </c>
      <c r="J623" t="s">
        <v>30696</v>
      </c>
      <c r="K623" t="s">
        <v>39029</v>
      </c>
      <c r="L623" t="s">
        <v>305</v>
      </c>
      <c r="M623" t="s">
        <v>39600</v>
      </c>
      <c r="N623" t="s">
        <v>43166</v>
      </c>
      <c r="O623" t="s">
        <v>43167</v>
      </c>
      <c r="P623">
        <v>0</v>
      </c>
      <c r="Q623">
        <v>6</v>
      </c>
      <c r="R623" t="s">
        <v>43168</v>
      </c>
      <c r="S623" t="s">
        <v>43286</v>
      </c>
      <c r="T623" t="s">
        <v>44721</v>
      </c>
      <c r="U623" t="s">
        <v>45732</v>
      </c>
      <c r="W623" t="s">
        <v>39600</v>
      </c>
      <c r="X623" t="s">
        <v>43171</v>
      </c>
    </row>
    <row r="624" spans="1:24">
      <c r="A624">
        <f>HYPERLINK("https://www.philgeps.gov.ph/GEPSNONPILOT/Tender/SplashBidNoticeAbstractUI.aspx?menuIndex=3&amp;refID=7086782&amp;Result=3","7086782")</f>
        <v>0</v>
      </c>
      <c r="B624" t="s">
        <v>251</v>
      </c>
      <c r="C624" t="s">
        <v>4045</v>
      </c>
      <c r="D624" t="s">
        <v>17415</v>
      </c>
      <c r="E624" t="s">
        <v>18096</v>
      </c>
      <c r="F624" t="s">
        <v>30052</v>
      </c>
      <c r="G624" t="s">
        <v>30058</v>
      </c>
      <c r="H624" t="s">
        <v>15498</v>
      </c>
      <c r="I624" t="s">
        <v>30070</v>
      </c>
      <c r="J624" t="s">
        <v>30697</v>
      </c>
      <c r="K624" t="s">
        <v>39017</v>
      </c>
      <c r="M624" t="s">
        <v>39567</v>
      </c>
      <c r="N624" t="s">
        <v>43166</v>
      </c>
      <c r="O624" t="s">
        <v>43167</v>
      </c>
      <c r="P624">
        <v>0</v>
      </c>
      <c r="Q624">
        <v>1</v>
      </c>
      <c r="R624" t="s">
        <v>43168</v>
      </c>
      <c r="S624" t="s">
        <v>43286</v>
      </c>
      <c r="T624" t="s">
        <v>44677</v>
      </c>
      <c r="U624" t="s">
        <v>45672</v>
      </c>
      <c r="W624" t="s">
        <v>39567</v>
      </c>
      <c r="X624" t="s">
        <v>43171</v>
      </c>
    </row>
    <row r="625" spans="1:24">
      <c r="A625">
        <f>HYPERLINK("https://www.philgeps.gov.ph/GEPSNONPILOT/Tender/SplashBidNoticeAbstractUI.aspx?menuIndex=3&amp;refID=7086760&amp;Result=3","7086760")</f>
        <v>0</v>
      </c>
      <c r="B625" t="s">
        <v>306</v>
      </c>
      <c r="C625" t="s">
        <v>4046</v>
      </c>
      <c r="D625" t="s">
        <v>17415</v>
      </c>
      <c r="E625" t="s">
        <v>18097</v>
      </c>
      <c r="F625" t="s">
        <v>30052</v>
      </c>
      <c r="G625" t="s">
        <v>30058</v>
      </c>
      <c r="H625" t="s">
        <v>30068</v>
      </c>
      <c r="I625" t="s">
        <v>30068</v>
      </c>
      <c r="J625" t="s">
        <v>30698</v>
      </c>
      <c r="K625" t="s">
        <v>39066</v>
      </c>
      <c r="M625" t="s">
        <v>39601</v>
      </c>
      <c r="N625" t="s">
        <v>43166</v>
      </c>
      <c r="O625" t="s">
        <v>43167</v>
      </c>
      <c r="P625">
        <v>0</v>
      </c>
      <c r="Q625">
        <v>0</v>
      </c>
      <c r="R625" t="s">
        <v>43168</v>
      </c>
      <c r="S625" t="s">
        <v>43286</v>
      </c>
      <c r="T625" t="s">
        <v>44771</v>
      </c>
      <c r="U625" t="s">
        <v>45733</v>
      </c>
      <c r="W625" t="s">
        <v>39601</v>
      </c>
      <c r="X625" t="s">
        <v>43171</v>
      </c>
    </row>
    <row r="626" spans="1:24">
      <c r="A626">
        <f>HYPERLINK("https://www.philgeps.gov.ph/GEPSNONPILOT/Tender/SplashBidNoticeAbstractUI.aspx?menuIndex=3&amp;refID=7086524&amp;Result=3","7086524")</f>
        <v>0</v>
      </c>
      <c r="B626" t="s">
        <v>251</v>
      </c>
      <c r="C626" t="s">
        <v>4047</v>
      </c>
      <c r="D626" t="s">
        <v>17415</v>
      </c>
      <c r="E626" t="s">
        <v>18098</v>
      </c>
      <c r="F626" t="s">
        <v>30052</v>
      </c>
      <c r="G626" t="s">
        <v>30058</v>
      </c>
      <c r="H626" t="s">
        <v>15498</v>
      </c>
      <c r="I626" t="s">
        <v>3852</v>
      </c>
      <c r="J626" t="s">
        <v>30397</v>
      </c>
      <c r="K626" t="s">
        <v>39017</v>
      </c>
      <c r="M626" t="s">
        <v>39541</v>
      </c>
      <c r="N626" t="s">
        <v>43166</v>
      </c>
      <c r="O626" t="s">
        <v>43167</v>
      </c>
      <c r="P626">
        <v>0</v>
      </c>
      <c r="Q626">
        <v>0</v>
      </c>
      <c r="R626" t="s">
        <v>43168</v>
      </c>
      <c r="S626" t="s">
        <v>43286</v>
      </c>
      <c r="T626" t="s">
        <v>44677</v>
      </c>
      <c r="U626" t="s">
        <v>45634</v>
      </c>
      <c r="W626" t="s">
        <v>39541</v>
      </c>
      <c r="X626" t="s">
        <v>43171</v>
      </c>
    </row>
    <row r="627" spans="1:24">
      <c r="A627">
        <f>HYPERLINK("https://www.philgeps.gov.ph/GEPSNONPILOT/Tender/SplashBidNoticeAbstractUI.aspx?menuIndex=3&amp;refID=7086745&amp;Result=3","7086745")</f>
        <v>0</v>
      </c>
      <c r="B627" t="s">
        <v>251</v>
      </c>
      <c r="C627" t="s">
        <v>4048</v>
      </c>
      <c r="D627" t="s">
        <v>17415</v>
      </c>
      <c r="E627" t="s">
        <v>18099</v>
      </c>
      <c r="F627" t="s">
        <v>30052</v>
      </c>
      <c r="G627" t="s">
        <v>30058</v>
      </c>
      <c r="H627" t="s">
        <v>15498</v>
      </c>
      <c r="I627" t="s">
        <v>3852</v>
      </c>
      <c r="J627" t="s">
        <v>30699</v>
      </c>
      <c r="K627" t="s">
        <v>39017</v>
      </c>
      <c r="M627" t="s">
        <v>39541</v>
      </c>
      <c r="N627" t="s">
        <v>43166</v>
      </c>
      <c r="O627" t="s">
        <v>43167</v>
      </c>
      <c r="P627">
        <v>0</v>
      </c>
      <c r="Q627">
        <v>0</v>
      </c>
      <c r="R627" t="s">
        <v>43168</v>
      </c>
      <c r="S627" t="s">
        <v>43286</v>
      </c>
      <c r="T627" t="s">
        <v>44677</v>
      </c>
      <c r="U627" t="s">
        <v>45634</v>
      </c>
      <c r="W627" t="s">
        <v>39541</v>
      </c>
      <c r="X627" t="s">
        <v>43171</v>
      </c>
    </row>
    <row r="628" spans="1:24">
      <c r="A628">
        <f>HYPERLINK("https://www.philgeps.gov.ph/GEPSNONPILOT/Tender/SplashBidNoticeAbstractUI.aspx?menuIndex=3&amp;refID=7086791&amp;Result=3","7086791")</f>
        <v>0</v>
      </c>
      <c r="B628" t="s">
        <v>251</v>
      </c>
      <c r="C628" t="s">
        <v>4049</v>
      </c>
      <c r="D628" t="s">
        <v>17415</v>
      </c>
      <c r="E628" t="s">
        <v>18100</v>
      </c>
      <c r="F628" t="s">
        <v>30052</v>
      </c>
      <c r="G628" t="s">
        <v>30058</v>
      </c>
      <c r="H628" t="s">
        <v>30069</v>
      </c>
      <c r="I628" t="s">
        <v>30075</v>
      </c>
      <c r="J628" t="s">
        <v>30402</v>
      </c>
      <c r="K628" t="s">
        <v>39017</v>
      </c>
      <c r="M628" t="s">
        <v>39541</v>
      </c>
      <c r="N628" t="s">
        <v>43166</v>
      </c>
      <c r="O628" t="s">
        <v>43167</v>
      </c>
      <c r="P628">
        <v>0</v>
      </c>
      <c r="Q628">
        <v>0</v>
      </c>
      <c r="R628" t="s">
        <v>43168</v>
      </c>
      <c r="S628" t="s">
        <v>43286</v>
      </c>
      <c r="T628" t="s">
        <v>44677</v>
      </c>
      <c r="U628" t="s">
        <v>45734</v>
      </c>
      <c r="W628" t="s">
        <v>39541</v>
      </c>
      <c r="X628" t="s">
        <v>43171</v>
      </c>
    </row>
    <row r="629" spans="1:24">
      <c r="A629">
        <f>HYPERLINK("https://www.philgeps.gov.ph/GEPSNONPILOT/Tender/SplashBidNoticeAbstractUI.aspx?menuIndex=3&amp;refID=7086731&amp;Result=3","7086731")</f>
        <v>0</v>
      </c>
      <c r="B629" t="s">
        <v>281</v>
      </c>
      <c r="C629" t="s">
        <v>4050</v>
      </c>
      <c r="D629" t="s">
        <v>17482</v>
      </c>
      <c r="E629" t="s">
        <v>18101</v>
      </c>
      <c r="F629" t="s">
        <v>30052</v>
      </c>
      <c r="G629" t="s">
        <v>30058</v>
      </c>
      <c r="H629" t="s">
        <v>15498</v>
      </c>
      <c r="I629" t="s">
        <v>3852</v>
      </c>
      <c r="J629" t="s">
        <v>30700</v>
      </c>
      <c r="K629" t="s">
        <v>39029</v>
      </c>
      <c r="M629" t="s">
        <v>39576</v>
      </c>
      <c r="N629" t="s">
        <v>43166</v>
      </c>
      <c r="O629" t="s">
        <v>43167</v>
      </c>
      <c r="P629">
        <v>0</v>
      </c>
      <c r="Q629">
        <v>0</v>
      </c>
      <c r="R629" t="s">
        <v>43168</v>
      </c>
      <c r="S629" t="s">
        <v>43286</v>
      </c>
      <c r="T629" t="s">
        <v>44786</v>
      </c>
      <c r="U629" t="s">
        <v>45735</v>
      </c>
      <c r="W629" t="s">
        <v>39576</v>
      </c>
      <c r="X629" t="s">
        <v>43171</v>
      </c>
    </row>
    <row r="630" spans="1:24">
      <c r="A630">
        <f>HYPERLINK("https://www.philgeps.gov.ph/GEPSNONPILOT/Tender/SplashBidNoticeAbstractUI.aspx?menuIndex=3&amp;refID=7086708&amp;Result=3","7086708")</f>
        <v>0</v>
      </c>
      <c r="B630" t="s">
        <v>251</v>
      </c>
      <c r="C630" t="s">
        <v>4051</v>
      </c>
      <c r="D630" t="s">
        <v>17415</v>
      </c>
      <c r="E630" t="s">
        <v>18102</v>
      </c>
      <c r="F630" t="s">
        <v>30052</v>
      </c>
      <c r="G630" t="s">
        <v>30058</v>
      </c>
      <c r="H630" t="s">
        <v>15498</v>
      </c>
      <c r="I630" t="s">
        <v>30070</v>
      </c>
      <c r="J630" t="s">
        <v>30701</v>
      </c>
      <c r="K630" t="s">
        <v>39017</v>
      </c>
      <c r="M630" t="s">
        <v>39567</v>
      </c>
      <c r="N630" t="s">
        <v>43166</v>
      </c>
      <c r="O630" t="s">
        <v>43167</v>
      </c>
      <c r="P630">
        <v>0</v>
      </c>
      <c r="Q630">
        <v>0</v>
      </c>
      <c r="R630" t="s">
        <v>43168</v>
      </c>
      <c r="S630" t="s">
        <v>43286</v>
      </c>
      <c r="T630" t="s">
        <v>44677</v>
      </c>
      <c r="U630" t="s">
        <v>45672</v>
      </c>
      <c r="W630" t="s">
        <v>39567</v>
      </c>
      <c r="X630" t="s">
        <v>43171</v>
      </c>
    </row>
    <row r="631" spans="1:24">
      <c r="A631">
        <f>HYPERLINK("https://www.philgeps.gov.ph/GEPSNONPILOT/Tender/SplashBidNoticeAbstractUI.aspx?menuIndex=3&amp;refID=7086752&amp;Result=3","7086752")</f>
        <v>0</v>
      </c>
      <c r="B631" t="s">
        <v>251</v>
      </c>
      <c r="C631" t="s">
        <v>4052</v>
      </c>
      <c r="D631" t="s">
        <v>17415</v>
      </c>
      <c r="E631" t="s">
        <v>18103</v>
      </c>
      <c r="F631" t="s">
        <v>30052</v>
      </c>
      <c r="G631" t="s">
        <v>30058</v>
      </c>
      <c r="H631" t="s">
        <v>15498</v>
      </c>
      <c r="I631" t="s">
        <v>30070</v>
      </c>
      <c r="J631" t="s">
        <v>30605</v>
      </c>
      <c r="K631" t="s">
        <v>39017</v>
      </c>
      <c r="M631" t="s">
        <v>39541</v>
      </c>
      <c r="N631" t="s">
        <v>43166</v>
      </c>
      <c r="O631" t="s">
        <v>43167</v>
      </c>
      <c r="P631">
        <v>0</v>
      </c>
      <c r="Q631">
        <v>0</v>
      </c>
      <c r="R631" t="s">
        <v>43168</v>
      </c>
      <c r="S631" t="s">
        <v>43286</v>
      </c>
      <c r="T631" t="s">
        <v>44677</v>
      </c>
      <c r="U631" t="s">
        <v>45646</v>
      </c>
      <c r="W631" t="s">
        <v>39541</v>
      </c>
      <c r="X631" t="s">
        <v>43171</v>
      </c>
    </row>
    <row r="632" spans="1:24">
      <c r="A632">
        <f>HYPERLINK("https://www.philgeps.gov.ph/GEPSNONPILOT/Tender/SplashBidNoticeAbstractUI.aspx?menuIndex=3&amp;refID=7086693&amp;Result=3","7086693")</f>
        <v>0</v>
      </c>
      <c r="B632" t="s">
        <v>300</v>
      </c>
      <c r="C632" t="s">
        <v>4053</v>
      </c>
      <c r="D632" t="s">
        <v>17435</v>
      </c>
      <c r="E632" t="s">
        <v>18104</v>
      </c>
      <c r="F632" t="s">
        <v>30052</v>
      </c>
      <c r="G632" t="s">
        <v>30059</v>
      </c>
      <c r="H632" t="s">
        <v>15498</v>
      </c>
      <c r="I632" t="s">
        <v>30084</v>
      </c>
      <c r="J632" t="s">
        <v>30207</v>
      </c>
      <c r="K632" t="s">
        <v>39025</v>
      </c>
      <c r="M632" t="s">
        <v>39595</v>
      </c>
      <c r="N632" t="s">
        <v>43166</v>
      </c>
      <c r="O632" t="s">
        <v>43167</v>
      </c>
      <c r="P632">
        <v>0</v>
      </c>
      <c r="Q632">
        <v>4</v>
      </c>
      <c r="R632" t="s">
        <v>43168</v>
      </c>
      <c r="S632" t="s">
        <v>43286</v>
      </c>
      <c r="T632" t="s">
        <v>44719</v>
      </c>
      <c r="U632" t="s">
        <v>45723</v>
      </c>
      <c r="W632" t="s">
        <v>39595</v>
      </c>
      <c r="X632" t="s">
        <v>43171</v>
      </c>
    </row>
    <row r="633" spans="1:24">
      <c r="A633">
        <f>HYPERLINK("https://www.philgeps.gov.ph/GEPSNONPILOT/Tender/SplashBidNoticeAbstractUI.aspx?menuIndex=3&amp;refID=7086723&amp;Result=3","7086723")</f>
        <v>0</v>
      </c>
      <c r="B633" t="s">
        <v>251</v>
      </c>
      <c r="C633" t="s">
        <v>4054</v>
      </c>
      <c r="D633" t="s">
        <v>17415</v>
      </c>
      <c r="E633" t="s">
        <v>18105</v>
      </c>
      <c r="F633" t="s">
        <v>30052</v>
      </c>
      <c r="G633" t="s">
        <v>30058</v>
      </c>
      <c r="H633" t="s">
        <v>15498</v>
      </c>
      <c r="I633" t="s">
        <v>7228</v>
      </c>
      <c r="J633" t="s">
        <v>30702</v>
      </c>
      <c r="K633" t="s">
        <v>39017</v>
      </c>
      <c r="M633" t="s">
        <v>39567</v>
      </c>
      <c r="N633" t="s">
        <v>43166</v>
      </c>
      <c r="O633" t="s">
        <v>43167</v>
      </c>
      <c r="P633">
        <v>0</v>
      </c>
      <c r="Q633">
        <v>0</v>
      </c>
      <c r="R633" t="s">
        <v>43168</v>
      </c>
      <c r="S633" t="s">
        <v>43286</v>
      </c>
      <c r="T633" t="s">
        <v>44677</v>
      </c>
      <c r="U633" t="s">
        <v>45707</v>
      </c>
      <c r="W633" t="s">
        <v>39567</v>
      </c>
      <c r="X633" t="s">
        <v>43171</v>
      </c>
    </row>
    <row r="634" spans="1:24">
      <c r="A634">
        <f>HYPERLINK("https://www.philgeps.gov.ph/GEPSNONPILOT/Tender/SplashBidNoticeAbstractUI.aspx?menuIndex=3&amp;refID=7086750&amp;Result=3","7086750")</f>
        <v>0</v>
      </c>
      <c r="B634" t="s">
        <v>286</v>
      </c>
      <c r="C634" t="s">
        <v>4055</v>
      </c>
      <c r="D634" t="s">
        <v>17466</v>
      </c>
      <c r="E634" t="s">
        <v>18106</v>
      </c>
      <c r="F634" t="s">
        <v>30052</v>
      </c>
      <c r="G634" t="s">
        <v>30061</v>
      </c>
      <c r="H634" t="s">
        <v>15498</v>
      </c>
      <c r="I634" t="s">
        <v>3736</v>
      </c>
      <c r="J634" t="s">
        <v>30703</v>
      </c>
      <c r="K634" t="s">
        <v>39019</v>
      </c>
      <c r="M634" t="s">
        <v>39581</v>
      </c>
      <c r="N634" t="s">
        <v>43166</v>
      </c>
      <c r="O634" t="s">
        <v>43167</v>
      </c>
      <c r="P634">
        <v>0</v>
      </c>
      <c r="Q634">
        <v>0</v>
      </c>
      <c r="R634" t="s">
        <v>43168</v>
      </c>
      <c r="S634" t="s">
        <v>43286</v>
      </c>
      <c r="T634" t="s">
        <v>44721</v>
      </c>
      <c r="U634" t="s">
        <v>45736</v>
      </c>
      <c r="W634" t="s">
        <v>39581</v>
      </c>
      <c r="X634" t="s">
        <v>43171</v>
      </c>
    </row>
    <row r="635" spans="1:24">
      <c r="A635">
        <f>HYPERLINK("https://www.philgeps.gov.ph/GEPSNONPILOT/Tender/SplashBidNoticeAbstractUI.aspx?menuIndex=3&amp;refID=7086718&amp;Result=3","7086718")</f>
        <v>0</v>
      </c>
      <c r="B635" t="s">
        <v>242</v>
      </c>
      <c r="C635" t="s">
        <v>4056</v>
      </c>
      <c r="D635" t="s">
        <v>17450</v>
      </c>
      <c r="E635" t="s">
        <v>18107</v>
      </c>
      <c r="F635" t="s">
        <v>30052</v>
      </c>
      <c r="G635" t="s">
        <v>30058</v>
      </c>
      <c r="H635" t="s">
        <v>15498</v>
      </c>
      <c r="I635" t="s">
        <v>30132</v>
      </c>
      <c r="J635" t="s">
        <v>30289</v>
      </c>
      <c r="K635" t="s">
        <v>39029</v>
      </c>
      <c r="M635" t="s">
        <v>39532</v>
      </c>
      <c r="N635" t="s">
        <v>43166</v>
      </c>
      <c r="O635" t="s">
        <v>43167</v>
      </c>
      <c r="P635">
        <v>0</v>
      </c>
      <c r="Q635">
        <v>3</v>
      </c>
      <c r="R635" t="s">
        <v>43168</v>
      </c>
      <c r="S635" t="s">
        <v>43286</v>
      </c>
      <c r="T635" t="s">
        <v>44677</v>
      </c>
      <c r="U635" t="s">
        <v>45737</v>
      </c>
      <c r="W635" t="s">
        <v>39532</v>
      </c>
      <c r="X635" t="s">
        <v>43171</v>
      </c>
    </row>
    <row r="636" spans="1:24">
      <c r="A636">
        <f>HYPERLINK("https://www.philgeps.gov.ph/GEPSNONPILOT/Tender/SplashBidNoticeAbstractUI.aspx?menuIndex=3&amp;refID=7086716&amp;Result=3","7086716")</f>
        <v>0</v>
      </c>
      <c r="B636" t="s">
        <v>251</v>
      </c>
      <c r="C636" t="s">
        <v>4057</v>
      </c>
      <c r="D636" t="s">
        <v>17415</v>
      </c>
      <c r="E636" t="s">
        <v>18108</v>
      </c>
      <c r="F636" t="s">
        <v>30052</v>
      </c>
      <c r="G636" t="s">
        <v>30058</v>
      </c>
      <c r="H636" t="s">
        <v>15498</v>
      </c>
      <c r="I636" t="s">
        <v>30105</v>
      </c>
      <c r="J636" t="s">
        <v>30207</v>
      </c>
      <c r="K636" t="s">
        <v>39017</v>
      </c>
      <c r="M636" t="s">
        <v>39567</v>
      </c>
      <c r="N636" t="s">
        <v>43166</v>
      </c>
      <c r="O636" t="s">
        <v>43167</v>
      </c>
      <c r="P636">
        <v>0</v>
      </c>
      <c r="Q636">
        <v>1</v>
      </c>
      <c r="R636" t="s">
        <v>43168</v>
      </c>
      <c r="S636" t="s">
        <v>43286</v>
      </c>
      <c r="T636" t="s">
        <v>44677</v>
      </c>
      <c r="U636" t="s">
        <v>45687</v>
      </c>
      <c r="W636" t="s">
        <v>39567</v>
      </c>
      <c r="X636" t="s">
        <v>43171</v>
      </c>
    </row>
    <row r="637" spans="1:24">
      <c r="A637">
        <f>HYPERLINK("https://www.philgeps.gov.ph/GEPSNONPILOT/Tender/SplashBidNoticeAbstractUI.aspx?menuIndex=3&amp;refID=7086838&amp;Result=3","7086838")</f>
        <v>0</v>
      </c>
      <c r="B637" t="s">
        <v>251</v>
      </c>
      <c r="C637" t="s">
        <v>4058</v>
      </c>
      <c r="D637" t="s">
        <v>17415</v>
      </c>
      <c r="E637" t="s">
        <v>18109</v>
      </c>
      <c r="F637" t="s">
        <v>30052</v>
      </c>
      <c r="G637" t="s">
        <v>30058</v>
      </c>
      <c r="H637" t="s">
        <v>15498</v>
      </c>
      <c r="I637" t="s">
        <v>3852</v>
      </c>
      <c r="J637" t="s">
        <v>30704</v>
      </c>
      <c r="K637" t="s">
        <v>39017</v>
      </c>
      <c r="M637" t="s">
        <v>39541</v>
      </c>
      <c r="N637" t="s">
        <v>43166</v>
      </c>
      <c r="O637" t="s">
        <v>43167</v>
      </c>
      <c r="P637">
        <v>0</v>
      </c>
      <c r="Q637">
        <v>0</v>
      </c>
      <c r="R637" t="s">
        <v>43168</v>
      </c>
      <c r="S637" t="s">
        <v>43286</v>
      </c>
      <c r="T637" t="s">
        <v>44677</v>
      </c>
      <c r="U637" t="s">
        <v>45634</v>
      </c>
      <c r="W637" t="s">
        <v>39541</v>
      </c>
      <c r="X637" t="s">
        <v>43171</v>
      </c>
    </row>
    <row r="638" spans="1:24">
      <c r="A638">
        <f>HYPERLINK("https://www.philgeps.gov.ph/GEPSNONPILOT/Tender/SplashBidNoticeAbstractUI.aspx?menuIndex=3&amp;refID=7086836&amp;Result=3","7086836")</f>
        <v>0</v>
      </c>
      <c r="B638" t="s">
        <v>251</v>
      </c>
      <c r="C638" t="s">
        <v>4059</v>
      </c>
      <c r="D638" t="s">
        <v>17415</v>
      </c>
      <c r="E638" t="s">
        <v>18110</v>
      </c>
      <c r="F638" t="s">
        <v>30052</v>
      </c>
      <c r="G638" t="s">
        <v>30058</v>
      </c>
      <c r="H638" t="s">
        <v>15498</v>
      </c>
      <c r="I638" t="s">
        <v>7228</v>
      </c>
      <c r="J638" t="s">
        <v>30705</v>
      </c>
      <c r="K638" t="s">
        <v>39017</v>
      </c>
      <c r="M638" t="s">
        <v>39567</v>
      </c>
      <c r="N638" t="s">
        <v>43166</v>
      </c>
      <c r="O638" t="s">
        <v>43167</v>
      </c>
      <c r="P638">
        <v>0</v>
      </c>
      <c r="Q638">
        <v>0</v>
      </c>
      <c r="R638" t="s">
        <v>43168</v>
      </c>
      <c r="S638" t="s">
        <v>43286</v>
      </c>
      <c r="T638" t="s">
        <v>44677</v>
      </c>
      <c r="U638" t="s">
        <v>45707</v>
      </c>
      <c r="W638" t="s">
        <v>39567</v>
      </c>
      <c r="X638" t="s">
        <v>43171</v>
      </c>
    </row>
    <row r="639" spans="1:24">
      <c r="A639">
        <f>HYPERLINK("https://www.philgeps.gov.ph/GEPSNONPILOT/Tender/SplashBidNoticeAbstractUI.aspx?menuIndex=3&amp;refID=7086835&amp;Result=3","7086835")</f>
        <v>0</v>
      </c>
      <c r="B639" t="s">
        <v>307</v>
      </c>
      <c r="C639" t="s">
        <v>4060</v>
      </c>
      <c r="D639" t="s">
        <v>17459</v>
      </c>
      <c r="E639" t="s">
        <v>18111</v>
      </c>
      <c r="F639" t="s">
        <v>30052</v>
      </c>
      <c r="G639" t="s">
        <v>30058</v>
      </c>
      <c r="H639" t="s">
        <v>30067</v>
      </c>
      <c r="I639" t="s">
        <v>3693</v>
      </c>
      <c r="J639" t="s">
        <v>30605</v>
      </c>
      <c r="K639" t="s">
        <v>39029</v>
      </c>
      <c r="M639" t="s">
        <v>39602</v>
      </c>
      <c r="N639" t="s">
        <v>43166</v>
      </c>
      <c r="O639" t="s">
        <v>43167</v>
      </c>
      <c r="P639">
        <v>0</v>
      </c>
      <c r="Q639">
        <v>0</v>
      </c>
      <c r="R639" t="s">
        <v>43168</v>
      </c>
      <c r="S639" t="s">
        <v>43286</v>
      </c>
      <c r="T639" t="s">
        <v>44726</v>
      </c>
      <c r="U639" t="s">
        <v>45738</v>
      </c>
      <c r="W639" t="s">
        <v>39602</v>
      </c>
      <c r="X639" t="s">
        <v>43171</v>
      </c>
    </row>
    <row r="640" spans="1:24">
      <c r="A640">
        <f>HYPERLINK("https://www.philgeps.gov.ph/GEPSNONPILOT/Tender/SplashBidNoticeAbstractUI.aspx?menuIndex=3&amp;refID=7086832&amp;Result=3","7086832")</f>
        <v>0</v>
      </c>
      <c r="B640" t="s">
        <v>251</v>
      </c>
      <c r="C640" t="s">
        <v>4061</v>
      </c>
      <c r="D640" t="s">
        <v>17415</v>
      </c>
      <c r="E640" t="s">
        <v>18112</v>
      </c>
      <c r="F640" t="s">
        <v>30052</v>
      </c>
      <c r="G640" t="s">
        <v>30058</v>
      </c>
      <c r="H640" t="s">
        <v>15498</v>
      </c>
      <c r="I640" t="s">
        <v>3852</v>
      </c>
      <c r="J640" t="s">
        <v>30695</v>
      </c>
      <c r="K640" t="s">
        <v>39017</v>
      </c>
      <c r="M640" t="s">
        <v>39541</v>
      </c>
      <c r="N640" t="s">
        <v>43166</v>
      </c>
      <c r="O640" t="s">
        <v>43167</v>
      </c>
      <c r="P640">
        <v>0</v>
      </c>
      <c r="Q640">
        <v>0</v>
      </c>
      <c r="R640" t="s">
        <v>43168</v>
      </c>
      <c r="S640" t="s">
        <v>43286</v>
      </c>
      <c r="T640" t="s">
        <v>44677</v>
      </c>
      <c r="U640" t="s">
        <v>45634</v>
      </c>
      <c r="W640" t="s">
        <v>39541</v>
      </c>
      <c r="X640" t="s">
        <v>43171</v>
      </c>
    </row>
    <row r="641" spans="1:24">
      <c r="A641">
        <f>HYPERLINK("https://www.philgeps.gov.ph/GEPSNONPILOT/Tender/SplashBidNoticeAbstractUI.aspx?menuIndex=3&amp;refID=7086830&amp;Result=3","7086830")</f>
        <v>0</v>
      </c>
      <c r="B641" t="s">
        <v>251</v>
      </c>
      <c r="C641" t="s">
        <v>4062</v>
      </c>
      <c r="D641" t="s">
        <v>17415</v>
      </c>
      <c r="E641" t="s">
        <v>18113</v>
      </c>
      <c r="F641" t="s">
        <v>30052</v>
      </c>
      <c r="G641" t="s">
        <v>30058</v>
      </c>
      <c r="H641" t="s">
        <v>30069</v>
      </c>
      <c r="I641" t="s">
        <v>30099</v>
      </c>
      <c r="J641" t="s">
        <v>30706</v>
      </c>
      <c r="K641" t="s">
        <v>39017</v>
      </c>
      <c r="M641" t="s">
        <v>39567</v>
      </c>
      <c r="N641" t="s">
        <v>43166</v>
      </c>
      <c r="O641" t="s">
        <v>43167</v>
      </c>
      <c r="P641">
        <v>0</v>
      </c>
      <c r="Q641">
        <v>0</v>
      </c>
      <c r="R641" t="s">
        <v>43168</v>
      </c>
      <c r="S641" t="s">
        <v>43286</v>
      </c>
      <c r="T641" t="s">
        <v>44677</v>
      </c>
      <c r="U641" t="s">
        <v>45703</v>
      </c>
      <c r="W641" t="s">
        <v>39567</v>
      </c>
      <c r="X641" t="s">
        <v>43171</v>
      </c>
    </row>
    <row r="642" spans="1:24">
      <c r="A642">
        <f>HYPERLINK("https://www.philgeps.gov.ph/GEPSNONPILOT/Tender/SplashBidNoticeAbstractUI.aspx?menuIndex=3&amp;refID=7086827&amp;Result=3","7086827")</f>
        <v>0</v>
      </c>
      <c r="B642" t="s">
        <v>308</v>
      </c>
      <c r="C642" t="s">
        <v>4063</v>
      </c>
      <c r="D642" t="s">
        <v>17480</v>
      </c>
      <c r="E642" t="s">
        <v>17882</v>
      </c>
      <c r="F642" t="s">
        <v>30052</v>
      </c>
      <c r="G642" t="s">
        <v>30058</v>
      </c>
      <c r="H642" t="s">
        <v>15498</v>
      </c>
      <c r="I642" t="s">
        <v>3736</v>
      </c>
      <c r="J642" t="s">
        <v>30222</v>
      </c>
      <c r="K642" t="s">
        <v>39017</v>
      </c>
      <c r="M642" t="s">
        <v>39603</v>
      </c>
      <c r="N642" t="s">
        <v>43166</v>
      </c>
      <c r="O642" t="s">
        <v>43167</v>
      </c>
      <c r="P642">
        <v>0</v>
      </c>
      <c r="Q642">
        <v>1</v>
      </c>
      <c r="R642" t="s">
        <v>43168</v>
      </c>
      <c r="S642" t="s">
        <v>43286</v>
      </c>
      <c r="T642" t="s">
        <v>44780</v>
      </c>
      <c r="U642" t="s">
        <v>45739</v>
      </c>
      <c r="W642" t="s">
        <v>39603</v>
      </c>
      <c r="X642" t="s">
        <v>43171</v>
      </c>
    </row>
    <row r="643" spans="1:24">
      <c r="A643">
        <f>HYPERLINK("https://www.philgeps.gov.ph/GEPSNONPILOT/Tender/SplashBidNoticeAbstractUI.aspx?menuIndex=3&amp;refID=7086726&amp;Result=3","7086726")</f>
        <v>0</v>
      </c>
      <c r="B643" t="s">
        <v>309</v>
      </c>
      <c r="C643" t="s">
        <v>4064</v>
      </c>
      <c r="D643" t="s">
        <v>17444</v>
      </c>
      <c r="E643" t="s">
        <v>18114</v>
      </c>
      <c r="F643" t="s">
        <v>30052</v>
      </c>
      <c r="G643" t="s">
        <v>30059</v>
      </c>
      <c r="H643" t="s">
        <v>15498</v>
      </c>
      <c r="I643" t="s">
        <v>6691</v>
      </c>
      <c r="J643" t="s">
        <v>30707</v>
      </c>
      <c r="K643" t="s">
        <v>39025</v>
      </c>
      <c r="M643" t="s">
        <v>39604</v>
      </c>
      <c r="N643" t="s">
        <v>43166</v>
      </c>
      <c r="O643" t="s">
        <v>43167</v>
      </c>
      <c r="P643">
        <v>0</v>
      </c>
      <c r="Q643">
        <v>0</v>
      </c>
      <c r="R643" t="s">
        <v>43168</v>
      </c>
      <c r="S643" t="s">
        <v>43286</v>
      </c>
      <c r="T643" t="s">
        <v>44698</v>
      </c>
      <c r="U643" t="s">
        <v>45740</v>
      </c>
      <c r="W643" t="s">
        <v>39604</v>
      </c>
      <c r="X643" t="s">
        <v>43171</v>
      </c>
    </row>
    <row r="644" spans="1:24">
      <c r="A644">
        <f>HYPERLINK("https://www.philgeps.gov.ph/GEPSNONPILOT/Tender/SplashBidNoticeAbstractUI.aspx?menuIndex=3&amp;refID=7086825&amp;Result=3","7086825")</f>
        <v>0</v>
      </c>
      <c r="B644" t="s">
        <v>251</v>
      </c>
      <c r="C644" t="s">
        <v>4065</v>
      </c>
      <c r="D644" t="s">
        <v>17415</v>
      </c>
      <c r="E644" t="s">
        <v>18115</v>
      </c>
      <c r="F644" t="s">
        <v>30052</v>
      </c>
      <c r="G644" t="s">
        <v>30058</v>
      </c>
      <c r="H644" t="s">
        <v>15498</v>
      </c>
      <c r="I644" t="s">
        <v>3852</v>
      </c>
      <c r="J644" t="s">
        <v>30708</v>
      </c>
      <c r="K644" t="s">
        <v>39017</v>
      </c>
      <c r="M644" t="s">
        <v>39541</v>
      </c>
      <c r="N644" t="s">
        <v>43166</v>
      </c>
      <c r="O644" t="s">
        <v>43167</v>
      </c>
      <c r="P644">
        <v>0</v>
      </c>
      <c r="Q644">
        <v>0</v>
      </c>
      <c r="R644" t="s">
        <v>43168</v>
      </c>
      <c r="S644" t="s">
        <v>43286</v>
      </c>
      <c r="T644" t="s">
        <v>44677</v>
      </c>
      <c r="U644" t="s">
        <v>45634</v>
      </c>
      <c r="W644" t="s">
        <v>39541</v>
      </c>
      <c r="X644" t="s">
        <v>43171</v>
      </c>
    </row>
    <row r="645" spans="1:24">
      <c r="A645">
        <f>HYPERLINK("https://www.philgeps.gov.ph/GEPSNONPILOT/Tender/SplashBidNoticeAbstractUI.aspx?menuIndex=3&amp;refID=7086828&amp;Result=3","7086828")</f>
        <v>0</v>
      </c>
      <c r="B645" t="s">
        <v>151</v>
      </c>
      <c r="C645" t="s">
        <v>4066</v>
      </c>
      <c r="D645" t="s">
        <v>17423</v>
      </c>
      <c r="E645" t="s">
        <v>18116</v>
      </c>
      <c r="F645" t="s">
        <v>30052</v>
      </c>
      <c r="G645" t="s">
        <v>30059</v>
      </c>
      <c r="H645" t="s">
        <v>15498</v>
      </c>
      <c r="I645" t="s">
        <v>30078</v>
      </c>
      <c r="J645" t="s">
        <v>30709</v>
      </c>
      <c r="K645" t="s">
        <v>39017</v>
      </c>
      <c r="M645" t="s">
        <v>39440</v>
      </c>
      <c r="N645" t="s">
        <v>43166</v>
      </c>
      <c r="O645" t="s">
        <v>43167</v>
      </c>
      <c r="P645">
        <v>0</v>
      </c>
      <c r="Q645">
        <v>0</v>
      </c>
      <c r="R645" t="s">
        <v>43168</v>
      </c>
      <c r="S645" t="s">
        <v>43286</v>
      </c>
      <c r="T645" t="s">
        <v>44698</v>
      </c>
      <c r="U645" t="s">
        <v>45741</v>
      </c>
      <c r="W645" t="s">
        <v>39440</v>
      </c>
      <c r="X645" t="s">
        <v>43171</v>
      </c>
    </row>
    <row r="646" spans="1:24">
      <c r="A646">
        <f>HYPERLINK("https://www.philgeps.gov.ph/GEPSNONPILOT/Tender/SplashBidNoticeAbstractUI.aspx?menuIndex=3&amp;refID=7086821&amp;Result=3","7086821")</f>
        <v>0</v>
      </c>
      <c r="B646" t="s">
        <v>308</v>
      </c>
      <c r="C646" t="s">
        <v>4063</v>
      </c>
      <c r="D646" t="s">
        <v>17480</v>
      </c>
      <c r="E646" t="s">
        <v>17883</v>
      </c>
      <c r="F646" t="s">
        <v>30052</v>
      </c>
      <c r="G646" t="s">
        <v>30058</v>
      </c>
      <c r="H646" t="s">
        <v>15498</v>
      </c>
      <c r="I646" t="s">
        <v>3736</v>
      </c>
      <c r="J646" t="s">
        <v>30222</v>
      </c>
      <c r="K646" t="s">
        <v>39017</v>
      </c>
      <c r="M646" t="s">
        <v>39603</v>
      </c>
      <c r="N646" t="s">
        <v>43166</v>
      </c>
      <c r="O646" t="s">
        <v>43167</v>
      </c>
      <c r="P646">
        <v>0</v>
      </c>
      <c r="Q646">
        <v>1</v>
      </c>
      <c r="R646" t="s">
        <v>43168</v>
      </c>
      <c r="S646" t="s">
        <v>43286</v>
      </c>
      <c r="T646" t="s">
        <v>44780</v>
      </c>
      <c r="U646" t="s">
        <v>45742</v>
      </c>
      <c r="W646" t="s">
        <v>39603</v>
      </c>
      <c r="X646" t="s">
        <v>43171</v>
      </c>
    </row>
    <row r="647" spans="1:24">
      <c r="A647">
        <f>HYPERLINK("https://www.philgeps.gov.ph/GEPSNONPILOT/Tender/SplashBidNoticeAbstractUI.aspx?menuIndex=3&amp;refID=7086815&amp;Result=3","7086815")</f>
        <v>0</v>
      </c>
      <c r="B647" t="s">
        <v>251</v>
      </c>
      <c r="C647" t="s">
        <v>4067</v>
      </c>
      <c r="D647" t="s">
        <v>17415</v>
      </c>
      <c r="E647" t="s">
        <v>18117</v>
      </c>
      <c r="F647" t="s">
        <v>30052</v>
      </c>
      <c r="G647" t="s">
        <v>30058</v>
      </c>
      <c r="H647" t="s">
        <v>15498</v>
      </c>
      <c r="I647" t="s">
        <v>3852</v>
      </c>
      <c r="J647" t="s">
        <v>30710</v>
      </c>
      <c r="K647" t="s">
        <v>39017</v>
      </c>
      <c r="M647" t="s">
        <v>39567</v>
      </c>
      <c r="N647" t="s">
        <v>43166</v>
      </c>
      <c r="O647" t="s">
        <v>43167</v>
      </c>
      <c r="P647">
        <v>0</v>
      </c>
      <c r="Q647">
        <v>0</v>
      </c>
      <c r="R647" t="s">
        <v>43168</v>
      </c>
      <c r="S647" t="s">
        <v>43286</v>
      </c>
      <c r="T647" t="s">
        <v>44677</v>
      </c>
      <c r="U647" t="s">
        <v>45680</v>
      </c>
      <c r="W647" t="s">
        <v>39567</v>
      </c>
      <c r="X647" t="s">
        <v>43171</v>
      </c>
    </row>
    <row r="648" spans="1:24">
      <c r="A648">
        <f>HYPERLINK("https://www.philgeps.gov.ph/GEPSNONPILOT/Tender/SplashBidNoticeAbstractUI.aspx?menuIndex=3&amp;refID=7086813&amp;Result=3","7086813")</f>
        <v>0</v>
      </c>
      <c r="B648" t="s">
        <v>308</v>
      </c>
      <c r="C648" t="s">
        <v>4068</v>
      </c>
      <c r="D648" t="s">
        <v>17480</v>
      </c>
      <c r="E648" t="s">
        <v>17838</v>
      </c>
      <c r="F648" t="s">
        <v>30052</v>
      </c>
      <c r="G648" t="s">
        <v>30058</v>
      </c>
      <c r="H648" t="s">
        <v>15498</v>
      </c>
      <c r="I648" t="s">
        <v>4119</v>
      </c>
      <c r="J648" t="s">
        <v>30397</v>
      </c>
      <c r="K648" t="s">
        <v>39025</v>
      </c>
      <c r="M648" t="s">
        <v>39603</v>
      </c>
      <c r="N648" t="s">
        <v>43166</v>
      </c>
      <c r="O648" t="s">
        <v>43167</v>
      </c>
      <c r="P648">
        <v>0</v>
      </c>
      <c r="Q648">
        <v>6</v>
      </c>
      <c r="R648" t="s">
        <v>43168</v>
      </c>
      <c r="S648" t="s">
        <v>43286</v>
      </c>
      <c r="T648" t="s">
        <v>44780</v>
      </c>
      <c r="U648" t="s">
        <v>45743</v>
      </c>
      <c r="W648" t="s">
        <v>39603</v>
      </c>
      <c r="X648" t="s">
        <v>43171</v>
      </c>
    </row>
    <row r="649" spans="1:24">
      <c r="A649">
        <f>HYPERLINK("https://www.philgeps.gov.ph/GEPSNONPILOT/Tender/SplashBidNoticeAbstractUI.aspx?menuIndex=3&amp;refID=7086824&amp;Result=3","7086824")</f>
        <v>0</v>
      </c>
      <c r="B649" t="s">
        <v>307</v>
      </c>
      <c r="C649" t="s">
        <v>4069</v>
      </c>
      <c r="D649" t="s">
        <v>17459</v>
      </c>
      <c r="E649" t="s">
        <v>18118</v>
      </c>
      <c r="F649" t="s">
        <v>30052</v>
      </c>
      <c r="G649" t="s">
        <v>30058</v>
      </c>
      <c r="H649" t="s">
        <v>30067</v>
      </c>
      <c r="I649" t="s">
        <v>3693</v>
      </c>
      <c r="J649" t="s">
        <v>30711</v>
      </c>
      <c r="K649" t="s">
        <v>39031</v>
      </c>
      <c r="M649" t="s">
        <v>39602</v>
      </c>
      <c r="N649" t="s">
        <v>43166</v>
      </c>
      <c r="O649" t="s">
        <v>43167</v>
      </c>
      <c r="P649">
        <v>0</v>
      </c>
      <c r="Q649">
        <v>1</v>
      </c>
      <c r="R649" t="s">
        <v>43168</v>
      </c>
      <c r="S649" t="s">
        <v>43286</v>
      </c>
      <c r="T649" t="s">
        <v>44726</v>
      </c>
      <c r="U649" t="s">
        <v>45744</v>
      </c>
      <c r="W649" t="s">
        <v>39602</v>
      </c>
      <c r="X649" t="s">
        <v>43171</v>
      </c>
    </row>
    <row r="650" spans="1:24">
      <c r="A650">
        <f>HYPERLINK("https://www.philgeps.gov.ph/GEPSNONPILOT/Tender/SplashBidNoticeAbstractUI.aspx?menuIndex=3&amp;refID=7086807&amp;Result=3","7086807")</f>
        <v>0</v>
      </c>
      <c r="B650" t="s">
        <v>251</v>
      </c>
      <c r="C650" t="s">
        <v>4070</v>
      </c>
      <c r="D650" t="s">
        <v>17415</v>
      </c>
      <c r="E650" t="s">
        <v>18119</v>
      </c>
      <c r="F650" t="s">
        <v>30052</v>
      </c>
      <c r="G650" t="s">
        <v>30058</v>
      </c>
      <c r="H650" t="s">
        <v>15498</v>
      </c>
      <c r="I650" t="s">
        <v>30070</v>
      </c>
      <c r="J650" t="s">
        <v>30712</v>
      </c>
      <c r="K650" t="s">
        <v>39017</v>
      </c>
      <c r="M650" t="s">
        <v>39567</v>
      </c>
      <c r="N650" t="s">
        <v>43166</v>
      </c>
      <c r="O650" t="s">
        <v>43167</v>
      </c>
      <c r="P650">
        <v>0</v>
      </c>
      <c r="Q650">
        <v>0</v>
      </c>
      <c r="R650" t="s">
        <v>43168</v>
      </c>
      <c r="S650" t="s">
        <v>43286</v>
      </c>
      <c r="T650" t="s">
        <v>44677</v>
      </c>
      <c r="U650" t="s">
        <v>45672</v>
      </c>
      <c r="W650" t="s">
        <v>39567</v>
      </c>
      <c r="X650" t="s">
        <v>43171</v>
      </c>
    </row>
    <row r="651" spans="1:24">
      <c r="A651">
        <f>HYPERLINK("https://www.philgeps.gov.ph/GEPSNONPILOT/Tender/SplashBidNoticeAbstractUI.aspx?menuIndex=3&amp;refID=7086834&amp;Result=3","7086834")</f>
        <v>0</v>
      </c>
      <c r="B651" t="s">
        <v>251</v>
      </c>
      <c r="C651" t="s">
        <v>4071</v>
      </c>
      <c r="D651" t="s">
        <v>17415</v>
      </c>
      <c r="E651" t="s">
        <v>18120</v>
      </c>
      <c r="F651" t="s">
        <v>30052</v>
      </c>
      <c r="G651" t="s">
        <v>30058</v>
      </c>
      <c r="H651" t="s">
        <v>15498</v>
      </c>
      <c r="I651" t="s">
        <v>3852</v>
      </c>
      <c r="J651" t="s">
        <v>30713</v>
      </c>
      <c r="K651" t="s">
        <v>39017</v>
      </c>
      <c r="M651" t="s">
        <v>39567</v>
      </c>
      <c r="N651" t="s">
        <v>43166</v>
      </c>
      <c r="O651" t="s">
        <v>43167</v>
      </c>
      <c r="P651">
        <v>0</v>
      </c>
      <c r="Q651">
        <v>0</v>
      </c>
      <c r="R651" t="s">
        <v>43168</v>
      </c>
      <c r="S651" t="s">
        <v>43286</v>
      </c>
      <c r="T651" t="s">
        <v>44677</v>
      </c>
      <c r="U651" t="s">
        <v>45680</v>
      </c>
      <c r="W651" t="s">
        <v>39567</v>
      </c>
      <c r="X651" t="s">
        <v>43171</v>
      </c>
    </row>
    <row r="652" spans="1:24">
      <c r="A652">
        <f>HYPERLINK("https://www.philgeps.gov.ph/GEPSNONPILOT/Tender/SplashBidNoticeAbstractUI.aspx?menuIndex=3&amp;refID=7086814&amp;Result=3","7086814")</f>
        <v>0</v>
      </c>
      <c r="B652" t="s">
        <v>242</v>
      </c>
      <c r="C652" t="s">
        <v>4072</v>
      </c>
      <c r="D652" t="s">
        <v>17450</v>
      </c>
      <c r="E652" t="s">
        <v>18121</v>
      </c>
      <c r="F652" t="s">
        <v>30052</v>
      </c>
      <c r="G652" t="s">
        <v>30058</v>
      </c>
      <c r="H652" t="s">
        <v>15498</v>
      </c>
      <c r="I652" t="s">
        <v>9238</v>
      </c>
      <c r="J652" t="s">
        <v>30714</v>
      </c>
      <c r="K652" t="s">
        <v>39029</v>
      </c>
      <c r="M652" t="s">
        <v>39532</v>
      </c>
      <c r="N652" t="s">
        <v>43166</v>
      </c>
      <c r="O652" t="s">
        <v>43167</v>
      </c>
      <c r="P652">
        <v>0</v>
      </c>
      <c r="Q652">
        <v>16</v>
      </c>
      <c r="R652" t="s">
        <v>43168</v>
      </c>
      <c r="S652" t="s">
        <v>43286</v>
      </c>
      <c r="T652" t="s">
        <v>44677</v>
      </c>
      <c r="U652" t="s">
        <v>45745</v>
      </c>
      <c r="W652" t="s">
        <v>39532</v>
      </c>
      <c r="X652" t="s">
        <v>43171</v>
      </c>
    </row>
    <row r="653" spans="1:24">
      <c r="A653">
        <f>HYPERLINK("https://www.philgeps.gov.ph/GEPSNONPILOT/Tender/SplashBidNoticeAbstractUI.aspx?menuIndex=3&amp;refID=7086804&amp;Result=3","7086804")</f>
        <v>0</v>
      </c>
      <c r="B653" t="s">
        <v>251</v>
      </c>
      <c r="C653" t="s">
        <v>4073</v>
      </c>
      <c r="D653" t="s">
        <v>17415</v>
      </c>
      <c r="E653" t="s">
        <v>18122</v>
      </c>
      <c r="F653" t="s">
        <v>30052</v>
      </c>
      <c r="G653" t="s">
        <v>30058</v>
      </c>
      <c r="H653" t="s">
        <v>15498</v>
      </c>
      <c r="I653" t="s">
        <v>7228</v>
      </c>
      <c r="J653" t="s">
        <v>30715</v>
      </c>
      <c r="K653" t="s">
        <v>39017</v>
      </c>
      <c r="M653" t="s">
        <v>39567</v>
      </c>
      <c r="N653" t="s">
        <v>43166</v>
      </c>
      <c r="O653" t="s">
        <v>43167</v>
      </c>
      <c r="P653">
        <v>0</v>
      </c>
      <c r="Q653">
        <v>0</v>
      </c>
      <c r="R653" t="s">
        <v>43168</v>
      </c>
      <c r="S653" t="s">
        <v>43286</v>
      </c>
      <c r="T653" t="s">
        <v>44677</v>
      </c>
      <c r="U653" t="s">
        <v>45707</v>
      </c>
      <c r="W653" t="s">
        <v>39567</v>
      </c>
      <c r="X653" t="s">
        <v>43171</v>
      </c>
    </row>
    <row r="654" spans="1:24">
      <c r="A654">
        <f>HYPERLINK("https://www.philgeps.gov.ph/GEPSNONPILOT/Tender/SplashBidNoticeAbstractUI.aspx?menuIndex=3&amp;refID=7086803&amp;Result=3","7086803")</f>
        <v>0</v>
      </c>
      <c r="B654" t="s">
        <v>242</v>
      </c>
      <c r="C654" t="s">
        <v>4074</v>
      </c>
      <c r="D654" t="s">
        <v>17450</v>
      </c>
      <c r="E654" t="s">
        <v>18123</v>
      </c>
      <c r="F654" t="s">
        <v>30052</v>
      </c>
      <c r="G654" t="s">
        <v>30058</v>
      </c>
      <c r="H654" t="s">
        <v>15498</v>
      </c>
      <c r="I654" t="s">
        <v>30096</v>
      </c>
      <c r="J654" t="s">
        <v>30716</v>
      </c>
      <c r="K654" t="s">
        <v>39029</v>
      </c>
      <c r="M654" t="s">
        <v>39532</v>
      </c>
      <c r="N654" t="s">
        <v>43166</v>
      </c>
      <c r="O654" t="s">
        <v>43167</v>
      </c>
      <c r="P654">
        <v>0</v>
      </c>
      <c r="Q654">
        <v>2</v>
      </c>
      <c r="R654" t="s">
        <v>43168</v>
      </c>
      <c r="S654" t="s">
        <v>43286</v>
      </c>
      <c r="T654" t="s">
        <v>44677</v>
      </c>
      <c r="U654" t="s">
        <v>45746</v>
      </c>
      <c r="W654" t="s">
        <v>39532</v>
      </c>
      <c r="X654" t="s">
        <v>43171</v>
      </c>
    </row>
    <row r="655" spans="1:24">
      <c r="A655">
        <f>HYPERLINK("https://www.philgeps.gov.ph/GEPSNONPILOT/Tender/SplashBidNoticeAbstractUI.aspx?menuIndex=3&amp;refID=7086800&amp;Result=3","7086800")</f>
        <v>0</v>
      </c>
      <c r="B655" t="s">
        <v>251</v>
      </c>
      <c r="C655" t="s">
        <v>4075</v>
      </c>
      <c r="D655" t="s">
        <v>17415</v>
      </c>
      <c r="E655" t="s">
        <v>18124</v>
      </c>
      <c r="F655" t="s">
        <v>30052</v>
      </c>
      <c r="G655" t="s">
        <v>30058</v>
      </c>
      <c r="H655" t="s">
        <v>15498</v>
      </c>
      <c r="I655" t="s">
        <v>7228</v>
      </c>
      <c r="J655" t="s">
        <v>30717</v>
      </c>
      <c r="K655" t="s">
        <v>39017</v>
      </c>
      <c r="M655" t="s">
        <v>39567</v>
      </c>
      <c r="N655" t="s">
        <v>43166</v>
      </c>
      <c r="O655" t="s">
        <v>43167</v>
      </c>
      <c r="P655">
        <v>0</v>
      </c>
      <c r="Q655">
        <v>0</v>
      </c>
      <c r="R655" t="s">
        <v>43168</v>
      </c>
      <c r="S655" t="s">
        <v>43286</v>
      </c>
      <c r="T655" t="s">
        <v>44684</v>
      </c>
      <c r="U655" t="s">
        <v>45707</v>
      </c>
      <c r="W655" t="s">
        <v>39567</v>
      </c>
      <c r="X655" t="s">
        <v>43171</v>
      </c>
    </row>
    <row r="656" spans="1:24">
      <c r="A656">
        <f>HYPERLINK("https://www.philgeps.gov.ph/GEPSNONPILOT/Tender/SplashBidNoticeAbstractUI.aspx?menuIndex=3&amp;refID=7086715&amp;Result=3","7086715")</f>
        <v>0</v>
      </c>
      <c r="B656" t="s">
        <v>202</v>
      </c>
      <c r="C656" t="s">
        <v>4076</v>
      </c>
      <c r="D656" t="s">
        <v>17461</v>
      </c>
      <c r="E656" t="s">
        <v>18125</v>
      </c>
      <c r="F656" t="s">
        <v>30052</v>
      </c>
      <c r="G656" t="s">
        <v>30059</v>
      </c>
      <c r="H656" t="s">
        <v>15498</v>
      </c>
      <c r="I656" t="s">
        <v>30128</v>
      </c>
      <c r="J656" t="s">
        <v>30402</v>
      </c>
      <c r="K656" t="s">
        <v>39019</v>
      </c>
      <c r="L656" t="s">
        <v>202</v>
      </c>
      <c r="M656" t="s">
        <v>39492</v>
      </c>
      <c r="N656" t="s">
        <v>43166</v>
      </c>
      <c r="O656" t="s">
        <v>43167</v>
      </c>
      <c r="P656">
        <v>0</v>
      </c>
      <c r="Q656">
        <v>1</v>
      </c>
      <c r="R656" t="s">
        <v>43168</v>
      </c>
      <c r="S656" t="s">
        <v>43286</v>
      </c>
      <c r="T656" t="s">
        <v>44678</v>
      </c>
      <c r="U656" t="s">
        <v>45747</v>
      </c>
      <c r="W656" t="s">
        <v>39492</v>
      </c>
      <c r="X656" t="s">
        <v>43171</v>
      </c>
    </row>
    <row r="657" spans="1:24">
      <c r="A657">
        <f>HYPERLINK("https://www.philgeps.gov.ph/GEPSNONPILOT/Tender/SplashBidNoticeAbstractUI.aspx?menuIndex=3&amp;refID=7086645&amp;Result=3","7086645")</f>
        <v>0</v>
      </c>
      <c r="B657" t="s">
        <v>251</v>
      </c>
      <c r="C657" t="s">
        <v>4077</v>
      </c>
      <c r="D657" t="s">
        <v>17415</v>
      </c>
      <c r="E657" t="s">
        <v>18126</v>
      </c>
      <c r="F657" t="s">
        <v>30052</v>
      </c>
      <c r="G657" t="s">
        <v>30058</v>
      </c>
      <c r="H657" t="s">
        <v>15498</v>
      </c>
      <c r="I657" t="s">
        <v>30070</v>
      </c>
      <c r="J657" t="s">
        <v>30718</v>
      </c>
      <c r="K657" t="s">
        <v>39017</v>
      </c>
      <c r="M657" t="s">
        <v>39567</v>
      </c>
      <c r="N657" t="s">
        <v>43166</v>
      </c>
      <c r="O657" t="s">
        <v>43167</v>
      </c>
      <c r="P657">
        <v>0</v>
      </c>
      <c r="Q657">
        <v>0</v>
      </c>
      <c r="R657" t="s">
        <v>43168</v>
      </c>
      <c r="S657" t="s">
        <v>43286</v>
      </c>
      <c r="T657" t="s">
        <v>44677</v>
      </c>
      <c r="U657" t="s">
        <v>45672</v>
      </c>
      <c r="W657" t="s">
        <v>39567</v>
      </c>
      <c r="X657" t="s">
        <v>43171</v>
      </c>
    </row>
    <row r="658" spans="1:24">
      <c r="A658">
        <f>HYPERLINK("https://www.philgeps.gov.ph/GEPSNONPILOT/Tender/SplashBidNoticeAbstractUI.aspx?menuIndex=3&amp;refID=7086805&amp;Result=3","7086805")</f>
        <v>0</v>
      </c>
      <c r="B658" t="s">
        <v>251</v>
      </c>
      <c r="C658" t="s">
        <v>4078</v>
      </c>
      <c r="D658" t="s">
        <v>17415</v>
      </c>
      <c r="E658" t="s">
        <v>18127</v>
      </c>
      <c r="F658" t="s">
        <v>30052</v>
      </c>
      <c r="G658" t="s">
        <v>30058</v>
      </c>
      <c r="H658" t="s">
        <v>15498</v>
      </c>
      <c r="I658" t="s">
        <v>7228</v>
      </c>
      <c r="J658" t="s">
        <v>30719</v>
      </c>
      <c r="K658" t="s">
        <v>39017</v>
      </c>
      <c r="M658" t="s">
        <v>39541</v>
      </c>
      <c r="N658" t="s">
        <v>43166</v>
      </c>
      <c r="O658" t="s">
        <v>43167</v>
      </c>
      <c r="P658">
        <v>0</v>
      </c>
      <c r="Q658">
        <v>0</v>
      </c>
      <c r="R658" t="s">
        <v>43168</v>
      </c>
      <c r="S658" t="s">
        <v>43286</v>
      </c>
      <c r="T658" t="s">
        <v>44677</v>
      </c>
      <c r="U658" t="s">
        <v>45701</v>
      </c>
      <c r="W658" t="s">
        <v>39541</v>
      </c>
      <c r="X658" t="s">
        <v>43171</v>
      </c>
    </row>
    <row r="659" spans="1:24">
      <c r="A659">
        <f>HYPERLINK("https://www.philgeps.gov.ph/GEPSNONPILOT/Tender/SplashBidNoticeAbstractUI.aspx?menuIndex=3&amp;refID=7086812&amp;Result=3","7086812")</f>
        <v>0</v>
      </c>
      <c r="B659" t="s">
        <v>251</v>
      </c>
      <c r="C659" t="s">
        <v>4079</v>
      </c>
      <c r="D659" t="s">
        <v>17415</v>
      </c>
      <c r="E659" t="s">
        <v>18128</v>
      </c>
      <c r="F659" t="s">
        <v>30052</v>
      </c>
      <c r="G659" t="s">
        <v>30058</v>
      </c>
      <c r="H659" t="s">
        <v>15498</v>
      </c>
      <c r="I659" t="s">
        <v>7228</v>
      </c>
      <c r="J659" t="s">
        <v>30720</v>
      </c>
      <c r="K659" t="s">
        <v>39017</v>
      </c>
      <c r="M659" t="s">
        <v>39567</v>
      </c>
      <c r="N659" t="s">
        <v>43166</v>
      </c>
      <c r="O659" t="s">
        <v>43167</v>
      </c>
      <c r="P659">
        <v>0</v>
      </c>
      <c r="Q659">
        <v>0</v>
      </c>
      <c r="R659" t="s">
        <v>43168</v>
      </c>
      <c r="S659" t="s">
        <v>43286</v>
      </c>
      <c r="T659" t="s">
        <v>44677</v>
      </c>
      <c r="U659" t="s">
        <v>45707</v>
      </c>
      <c r="W659" t="s">
        <v>39567</v>
      </c>
      <c r="X659" t="s">
        <v>43171</v>
      </c>
    </row>
    <row r="660" spans="1:24">
      <c r="A660">
        <f>HYPERLINK("https://www.philgeps.gov.ph/GEPSNONPILOT/Tender/SplashBidNoticeAbstractUI.aspx?menuIndex=3&amp;refID=7086876&amp;Result=3","7086876")</f>
        <v>0</v>
      </c>
      <c r="B660" t="s">
        <v>305</v>
      </c>
      <c r="C660" t="s">
        <v>4080</v>
      </c>
      <c r="D660" t="s">
        <v>17455</v>
      </c>
      <c r="E660" t="s">
        <v>18129</v>
      </c>
      <c r="F660" t="s">
        <v>30052</v>
      </c>
      <c r="G660" t="s">
        <v>30061</v>
      </c>
      <c r="H660" t="s">
        <v>15498</v>
      </c>
      <c r="I660" t="s">
        <v>30125</v>
      </c>
      <c r="J660" t="s">
        <v>30721</v>
      </c>
      <c r="K660" t="s">
        <v>39029</v>
      </c>
      <c r="L660" t="s">
        <v>305</v>
      </c>
      <c r="M660" t="s">
        <v>39600</v>
      </c>
      <c r="N660" t="s">
        <v>43166</v>
      </c>
      <c r="O660" t="s">
        <v>43167</v>
      </c>
      <c r="P660">
        <v>0</v>
      </c>
      <c r="Q660">
        <v>1</v>
      </c>
      <c r="R660" t="s">
        <v>43168</v>
      </c>
      <c r="S660" t="s">
        <v>43286</v>
      </c>
      <c r="T660" t="s">
        <v>44721</v>
      </c>
      <c r="U660" t="s">
        <v>45748</v>
      </c>
      <c r="W660" t="s">
        <v>39600</v>
      </c>
      <c r="X660" t="s">
        <v>43171</v>
      </c>
    </row>
    <row r="661" spans="1:24">
      <c r="A661">
        <f>HYPERLINK("https://www.philgeps.gov.ph/GEPSNONPILOT/Tender/SplashBidNoticeAbstractUI.aspx?menuIndex=3&amp;refID=7086873&amp;Result=3","7086873")</f>
        <v>0</v>
      </c>
      <c r="B661" t="s">
        <v>307</v>
      </c>
      <c r="C661" t="s">
        <v>4081</v>
      </c>
      <c r="D661" t="s">
        <v>17459</v>
      </c>
      <c r="E661" t="s">
        <v>18130</v>
      </c>
      <c r="F661" t="s">
        <v>30052</v>
      </c>
      <c r="G661" t="s">
        <v>30058</v>
      </c>
      <c r="H661" t="s">
        <v>30067</v>
      </c>
      <c r="I661" t="s">
        <v>3693</v>
      </c>
      <c r="J661" t="s">
        <v>30722</v>
      </c>
      <c r="K661" t="s">
        <v>39022</v>
      </c>
      <c r="M661" t="s">
        <v>39602</v>
      </c>
      <c r="N661" t="s">
        <v>43166</v>
      </c>
      <c r="O661" t="s">
        <v>43167</v>
      </c>
      <c r="P661">
        <v>0</v>
      </c>
      <c r="Q661">
        <v>1</v>
      </c>
      <c r="R661" t="s">
        <v>43168</v>
      </c>
      <c r="S661" t="s">
        <v>43286</v>
      </c>
      <c r="T661" t="s">
        <v>44726</v>
      </c>
      <c r="U661" t="s">
        <v>45749</v>
      </c>
      <c r="W661" t="s">
        <v>39602</v>
      </c>
      <c r="X661" t="s">
        <v>43171</v>
      </c>
    </row>
    <row r="662" spans="1:24">
      <c r="A662">
        <f>HYPERLINK("https://www.philgeps.gov.ph/GEPSNONPILOT/Tender/SplashBidNoticeAbstractUI.aspx?menuIndex=3&amp;refID=7086847&amp;Result=3","7086847")</f>
        <v>0</v>
      </c>
      <c r="B662" t="s">
        <v>251</v>
      </c>
      <c r="C662" t="s">
        <v>4082</v>
      </c>
      <c r="D662" t="s">
        <v>17415</v>
      </c>
      <c r="E662" t="s">
        <v>18131</v>
      </c>
      <c r="F662" t="s">
        <v>30052</v>
      </c>
      <c r="G662" t="s">
        <v>30058</v>
      </c>
      <c r="H662" t="s">
        <v>15498</v>
      </c>
      <c r="I662" t="s">
        <v>3852</v>
      </c>
      <c r="J662" t="s">
        <v>30723</v>
      </c>
      <c r="K662" t="s">
        <v>39017</v>
      </c>
      <c r="M662" t="s">
        <v>39567</v>
      </c>
      <c r="N662" t="s">
        <v>43166</v>
      </c>
      <c r="O662" t="s">
        <v>43167</v>
      </c>
      <c r="P662">
        <v>0</v>
      </c>
      <c r="Q662">
        <v>1</v>
      </c>
      <c r="R662" t="s">
        <v>43168</v>
      </c>
      <c r="S662" t="s">
        <v>43286</v>
      </c>
      <c r="T662" t="s">
        <v>44677</v>
      </c>
      <c r="U662" t="s">
        <v>45680</v>
      </c>
      <c r="W662" t="s">
        <v>39567</v>
      </c>
      <c r="X662" t="s">
        <v>43171</v>
      </c>
    </row>
    <row r="663" spans="1:24">
      <c r="A663">
        <f>HYPERLINK("https://www.philgeps.gov.ph/GEPSNONPILOT/Tender/SplashBidNoticeAbstractUI.aspx?menuIndex=3&amp;refID=7086872&amp;Result=3","7086872")</f>
        <v>0</v>
      </c>
      <c r="B663" t="s">
        <v>251</v>
      </c>
      <c r="C663" t="s">
        <v>4083</v>
      </c>
      <c r="D663" t="s">
        <v>17415</v>
      </c>
      <c r="E663" t="s">
        <v>18132</v>
      </c>
      <c r="F663" t="s">
        <v>30052</v>
      </c>
      <c r="G663" t="s">
        <v>30058</v>
      </c>
      <c r="H663" t="s">
        <v>30067</v>
      </c>
      <c r="I663" t="s">
        <v>3693</v>
      </c>
      <c r="J663" t="s">
        <v>30724</v>
      </c>
      <c r="K663" t="s">
        <v>39017</v>
      </c>
      <c r="M663" t="s">
        <v>39567</v>
      </c>
      <c r="N663" t="s">
        <v>43166</v>
      </c>
      <c r="O663" t="s">
        <v>43167</v>
      </c>
      <c r="P663">
        <v>0</v>
      </c>
      <c r="Q663">
        <v>1</v>
      </c>
      <c r="R663" t="s">
        <v>43168</v>
      </c>
      <c r="S663" t="s">
        <v>43286</v>
      </c>
      <c r="T663" t="s">
        <v>44677</v>
      </c>
      <c r="U663" t="s">
        <v>45750</v>
      </c>
      <c r="W663" t="s">
        <v>39567</v>
      </c>
      <c r="X663" t="s">
        <v>43171</v>
      </c>
    </row>
    <row r="664" spans="1:24">
      <c r="A664">
        <f>HYPERLINK("https://www.philgeps.gov.ph/GEPSNONPILOT/Tender/SplashBidNoticeAbstractUI.aspx?menuIndex=3&amp;refID=7086870&amp;Result=3","7086870")</f>
        <v>0</v>
      </c>
      <c r="B664" t="s">
        <v>251</v>
      </c>
      <c r="C664" t="s">
        <v>4084</v>
      </c>
      <c r="D664" t="s">
        <v>17415</v>
      </c>
      <c r="E664" t="s">
        <v>18133</v>
      </c>
      <c r="F664" t="s">
        <v>30052</v>
      </c>
      <c r="G664" t="s">
        <v>30058</v>
      </c>
      <c r="H664" t="s">
        <v>15498</v>
      </c>
      <c r="I664" t="s">
        <v>7228</v>
      </c>
      <c r="J664" t="s">
        <v>30725</v>
      </c>
      <c r="K664" t="s">
        <v>39017</v>
      </c>
      <c r="M664" t="s">
        <v>39567</v>
      </c>
      <c r="N664" t="s">
        <v>43166</v>
      </c>
      <c r="O664" t="s">
        <v>43167</v>
      </c>
      <c r="P664">
        <v>0</v>
      </c>
      <c r="Q664">
        <v>0</v>
      </c>
      <c r="R664" t="s">
        <v>43168</v>
      </c>
      <c r="S664" t="s">
        <v>43286</v>
      </c>
      <c r="T664" t="s">
        <v>44677</v>
      </c>
      <c r="U664" t="s">
        <v>45707</v>
      </c>
      <c r="W664" t="s">
        <v>39567</v>
      </c>
      <c r="X664" t="s">
        <v>43171</v>
      </c>
    </row>
    <row r="665" spans="1:24">
      <c r="A665">
        <f>HYPERLINK("https://www.philgeps.gov.ph/GEPSNONPILOT/Tender/SplashBidNoticeAbstractUI.aspx?menuIndex=3&amp;refID=7086865&amp;Result=3","7086865")</f>
        <v>0</v>
      </c>
      <c r="B665" t="s">
        <v>251</v>
      </c>
      <c r="C665" t="s">
        <v>4085</v>
      </c>
      <c r="D665" t="s">
        <v>17415</v>
      </c>
      <c r="E665" t="s">
        <v>18134</v>
      </c>
      <c r="F665" t="s">
        <v>30052</v>
      </c>
      <c r="G665" t="s">
        <v>30058</v>
      </c>
      <c r="H665" t="s">
        <v>15498</v>
      </c>
      <c r="I665" t="s">
        <v>3852</v>
      </c>
      <c r="J665" t="s">
        <v>30726</v>
      </c>
      <c r="K665" t="s">
        <v>39017</v>
      </c>
      <c r="M665" t="s">
        <v>39567</v>
      </c>
      <c r="N665" t="s">
        <v>43166</v>
      </c>
      <c r="O665" t="s">
        <v>43167</v>
      </c>
      <c r="P665">
        <v>0</v>
      </c>
      <c r="Q665">
        <v>1</v>
      </c>
      <c r="R665" t="s">
        <v>43168</v>
      </c>
      <c r="S665" t="s">
        <v>43286</v>
      </c>
      <c r="T665" t="s">
        <v>44677</v>
      </c>
      <c r="U665" t="s">
        <v>45680</v>
      </c>
      <c r="W665" t="s">
        <v>39567</v>
      </c>
      <c r="X665" t="s">
        <v>43171</v>
      </c>
    </row>
    <row r="666" spans="1:24">
      <c r="A666">
        <f>HYPERLINK("https://www.philgeps.gov.ph/GEPSNONPILOT/Tender/SplashBidNoticeAbstractUI.aspx?menuIndex=3&amp;refID=7086860&amp;Result=3","7086860")</f>
        <v>0</v>
      </c>
      <c r="B666" t="s">
        <v>310</v>
      </c>
      <c r="C666" t="s">
        <v>4086</v>
      </c>
      <c r="D666" t="s">
        <v>17427</v>
      </c>
      <c r="E666" t="s">
        <v>18135</v>
      </c>
      <c r="F666" t="s">
        <v>30052</v>
      </c>
      <c r="G666" t="s">
        <v>30058</v>
      </c>
      <c r="H666" t="s">
        <v>15498</v>
      </c>
      <c r="I666" t="s">
        <v>30097</v>
      </c>
      <c r="J666" t="s">
        <v>30727</v>
      </c>
      <c r="K666" t="s">
        <v>39019</v>
      </c>
      <c r="M666" t="s">
        <v>39605</v>
      </c>
      <c r="N666" t="s">
        <v>43166</v>
      </c>
      <c r="O666" t="s">
        <v>43167</v>
      </c>
      <c r="P666">
        <v>0</v>
      </c>
      <c r="Q666">
        <v>0</v>
      </c>
      <c r="R666" t="s">
        <v>43168</v>
      </c>
      <c r="S666" t="s">
        <v>43286</v>
      </c>
      <c r="T666" t="s">
        <v>44780</v>
      </c>
      <c r="U666" t="s">
        <v>45751</v>
      </c>
      <c r="W666" t="s">
        <v>39605</v>
      </c>
      <c r="X666" t="s">
        <v>43171</v>
      </c>
    </row>
    <row r="667" spans="1:24">
      <c r="A667">
        <f>HYPERLINK("https://www.philgeps.gov.ph/GEPSNONPILOT/Tender/SplashBidNoticeAbstractUI.aspx?menuIndex=3&amp;refID=7086859&amp;Result=3","7086859")</f>
        <v>0</v>
      </c>
      <c r="B667" t="s">
        <v>251</v>
      </c>
      <c r="C667" t="s">
        <v>4087</v>
      </c>
      <c r="D667" t="s">
        <v>17415</v>
      </c>
      <c r="E667" t="s">
        <v>18136</v>
      </c>
      <c r="F667" t="s">
        <v>30052</v>
      </c>
      <c r="G667" t="s">
        <v>30058</v>
      </c>
      <c r="H667" t="s">
        <v>15498</v>
      </c>
      <c r="I667" t="s">
        <v>30070</v>
      </c>
      <c r="J667" t="s">
        <v>30728</v>
      </c>
      <c r="K667" t="s">
        <v>39017</v>
      </c>
      <c r="M667" t="s">
        <v>39567</v>
      </c>
      <c r="N667" t="s">
        <v>43166</v>
      </c>
      <c r="O667" t="s">
        <v>43167</v>
      </c>
      <c r="P667">
        <v>0</v>
      </c>
      <c r="Q667">
        <v>0</v>
      </c>
      <c r="R667" t="s">
        <v>43168</v>
      </c>
      <c r="S667" t="s">
        <v>43286</v>
      </c>
      <c r="T667" t="s">
        <v>44677</v>
      </c>
      <c r="U667" t="s">
        <v>45672</v>
      </c>
      <c r="W667" t="s">
        <v>39567</v>
      </c>
      <c r="X667" t="s">
        <v>43171</v>
      </c>
    </row>
    <row r="668" spans="1:24">
      <c r="A668">
        <f>HYPERLINK("https://www.philgeps.gov.ph/GEPSNONPILOT/Tender/SplashBidNoticeAbstractUI.aspx?menuIndex=3&amp;refID=7086858&amp;Result=3","7086858")</f>
        <v>0</v>
      </c>
      <c r="B668" t="s">
        <v>307</v>
      </c>
      <c r="C668" t="s">
        <v>4088</v>
      </c>
      <c r="D668" t="s">
        <v>17459</v>
      </c>
      <c r="E668" t="s">
        <v>18137</v>
      </c>
      <c r="F668" t="s">
        <v>30052</v>
      </c>
      <c r="G668" t="s">
        <v>30058</v>
      </c>
      <c r="H668" t="s">
        <v>30067</v>
      </c>
      <c r="I668" t="s">
        <v>3693</v>
      </c>
      <c r="J668" t="s">
        <v>30729</v>
      </c>
      <c r="K668" t="s">
        <v>39029</v>
      </c>
      <c r="M668" t="s">
        <v>39602</v>
      </c>
      <c r="N668" t="s">
        <v>43166</v>
      </c>
      <c r="O668" t="s">
        <v>43167</v>
      </c>
      <c r="P668">
        <v>0</v>
      </c>
      <c r="Q668">
        <v>0</v>
      </c>
      <c r="R668" t="s">
        <v>43168</v>
      </c>
      <c r="S668" t="s">
        <v>43286</v>
      </c>
      <c r="T668" t="s">
        <v>44726</v>
      </c>
      <c r="U668" t="s">
        <v>45752</v>
      </c>
      <c r="W668" t="s">
        <v>39602</v>
      </c>
      <c r="X668" t="s">
        <v>43171</v>
      </c>
    </row>
    <row r="669" spans="1:24">
      <c r="A669">
        <f>HYPERLINK("https://www.philgeps.gov.ph/GEPSNONPILOT/Tender/SplashBidNoticeAbstractUI.aspx?menuIndex=3&amp;refID=7086875&amp;Result=3","7086875")</f>
        <v>0</v>
      </c>
      <c r="B669" t="s">
        <v>251</v>
      </c>
      <c r="C669" t="s">
        <v>4089</v>
      </c>
      <c r="D669" t="s">
        <v>17415</v>
      </c>
      <c r="E669" t="s">
        <v>18138</v>
      </c>
      <c r="F669" t="s">
        <v>30052</v>
      </c>
      <c r="G669" t="s">
        <v>30058</v>
      </c>
      <c r="H669" t="s">
        <v>15498</v>
      </c>
      <c r="I669" t="s">
        <v>7228</v>
      </c>
      <c r="J669" t="s">
        <v>30730</v>
      </c>
      <c r="K669" t="s">
        <v>39017</v>
      </c>
      <c r="M669" t="s">
        <v>39567</v>
      </c>
      <c r="N669" t="s">
        <v>43166</v>
      </c>
      <c r="O669" t="s">
        <v>43167</v>
      </c>
      <c r="P669">
        <v>0</v>
      </c>
      <c r="Q669">
        <v>0</v>
      </c>
      <c r="R669" t="s">
        <v>43168</v>
      </c>
      <c r="S669" t="s">
        <v>43286</v>
      </c>
      <c r="T669" t="s">
        <v>44677</v>
      </c>
      <c r="U669" t="s">
        <v>45707</v>
      </c>
      <c r="W669" t="s">
        <v>39567</v>
      </c>
      <c r="X669" t="s">
        <v>43171</v>
      </c>
    </row>
    <row r="670" spans="1:24">
      <c r="A670">
        <f>HYPERLINK("https://www.philgeps.gov.ph/GEPSNONPILOT/Tender/SplashBidNoticeAbstractUI.aspx?menuIndex=3&amp;refID=7086907&amp;Result=3","7086907")</f>
        <v>0</v>
      </c>
      <c r="B670" t="s">
        <v>249</v>
      </c>
      <c r="C670" t="s">
        <v>3873</v>
      </c>
      <c r="D670" t="s">
        <v>17439</v>
      </c>
      <c r="E670" t="s">
        <v>18139</v>
      </c>
      <c r="F670" t="s">
        <v>30052</v>
      </c>
      <c r="G670" t="s">
        <v>30059</v>
      </c>
      <c r="H670" t="s">
        <v>15498</v>
      </c>
      <c r="I670" t="s">
        <v>30081</v>
      </c>
      <c r="J670" t="s">
        <v>30731</v>
      </c>
      <c r="K670" t="s">
        <v>39019</v>
      </c>
      <c r="M670" t="s">
        <v>39539</v>
      </c>
      <c r="N670" t="s">
        <v>43166</v>
      </c>
      <c r="O670" t="s">
        <v>43167</v>
      </c>
      <c r="P670">
        <v>0</v>
      </c>
      <c r="Q670">
        <v>0</v>
      </c>
      <c r="R670" t="s">
        <v>43168</v>
      </c>
      <c r="S670" t="s">
        <v>43286</v>
      </c>
      <c r="T670" t="s">
        <v>44685</v>
      </c>
      <c r="U670" t="s">
        <v>45614</v>
      </c>
      <c r="W670" t="s">
        <v>39539</v>
      </c>
      <c r="X670" t="s">
        <v>43171</v>
      </c>
    </row>
    <row r="671" spans="1:24">
      <c r="A671">
        <f>HYPERLINK("https://www.philgeps.gov.ph/GEPSNONPILOT/Tender/SplashBidNoticeAbstractUI.aspx?menuIndex=3&amp;refID=7086878&amp;Result=3","7086878")</f>
        <v>0</v>
      </c>
      <c r="B671" t="s">
        <v>307</v>
      </c>
      <c r="C671" t="s">
        <v>4090</v>
      </c>
      <c r="D671" t="s">
        <v>17459</v>
      </c>
      <c r="E671" t="s">
        <v>18140</v>
      </c>
      <c r="F671" t="s">
        <v>30052</v>
      </c>
      <c r="G671" t="s">
        <v>30058</v>
      </c>
      <c r="H671" t="s">
        <v>30067</v>
      </c>
      <c r="I671" t="s">
        <v>3693</v>
      </c>
      <c r="J671" t="s">
        <v>30235</v>
      </c>
      <c r="K671" t="s">
        <v>39023</v>
      </c>
      <c r="M671" t="s">
        <v>39602</v>
      </c>
      <c r="N671" t="s">
        <v>43166</v>
      </c>
      <c r="O671" t="s">
        <v>43167</v>
      </c>
      <c r="P671">
        <v>0</v>
      </c>
      <c r="Q671">
        <v>0</v>
      </c>
      <c r="R671" t="s">
        <v>43168</v>
      </c>
      <c r="S671" t="s">
        <v>43286</v>
      </c>
      <c r="T671" t="s">
        <v>44726</v>
      </c>
      <c r="U671" t="s">
        <v>45753</v>
      </c>
      <c r="W671" t="s">
        <v>39602</v>
      </c>
      <c r="X671" t="s">
        <v>43171</v>
      </c>
    </row>
    <row r="672" spans="1:24">
      <c r="A672">
        <f>HYPERLINK("https://www.philgeps.gov.ph/GEPSNONPILOT/Tender/SplashBidNoticeAbstractUI.aspx?menuIndex=3&amp;refID=7086851&amp;Result=3","7086851")</f>
        <v>0</v>
      </c>
      <c r="B672" t="s">
        <v>151</v>
      </c>
      <c r="C672" t="s">
        <v>4091</v>
      </c>
      <c r="D672" t="s">
        <v>17423</v>
      </c>
      <c r="E672" t="s">
        <v>18141</v>
      </c>
      <c r="F672" t="s">
        <v>30052</v>
      </c>
      <c r="G672" t="s">
        <v>30059</v>
      </c>
      <c r="H672" t="s">
        <v>15498</v>
      </c>
      <c r="I672" t="s">
        <v>30078</v>
      </c>
      <c r="J672" t="s">
        <v>30732</v>
      </c>
      <c r="K672" t="s">
        <v>39017</v>
      </c>
      <c r="M672" t="s">
        <v>39440</v>
      </c>
      <c r="N672" t="s">
        <v>43166</v>
      </c>
      <c r="O672" t="s">
        <v>43167</v>
      </c>
      <c r="P672">
        <v>0</v>
      </c>
      <c r="Q672">
        <v>1</v>
      </c>
      <c r="R672" t="s">
        <v>43168</v>
      </c>
      <c r="S672" t="s">
        <v>43286</v>
      </c>
      <c r="T672" t="s">
        <v>44698</v>
      </c>
      <c r="U672" t="s">
        <v>45754</v>
      </c>
      <c r="W672" t="s">
        <v>39440</v>
      </c>
      <c r="X672" t="s">
        <v>43171</v>
      </c>
    </row>
    <row r="673" spans="1:24">
      <c r="A673">
        <f>HYPERLINK("https://www.philgeps.gov.ph/GEPSNONPILOT/Tender/SplashBidNoticeAbstractUI.aspx?menuIndex=3&amp;refID=7086739&amp;Result=3","7086739")</f>
        <v>0</v>
      </c>
      <c r="B673" t="s">
        <v>70</v>
      </c>
      <c r="C673" t="s">
        <v>4092</v>
      </c>
      <c r="D673" t="s">
        <v>17444</v>
      </c>
      <c r="E673" t="s">
        <v>18142</v>
      </c>
      <c r="F673" t="s">
        <v>30052</v>
      </c>
      <c r="G673" t="s">
        <v>30059</v>
      </c>
      <c r="H673" t="s">
        <v>15498</v>
      </c>
      <c r="I673" t="s">
        <v>3852</v>
      </c>
      <c r="J673" t="s">
        <v>30733</v>
      </c>
      <c r="K673" t="s">
        <v>39025</v>
      </c>
      <c r="M673" t="s">
        <v>39606</v>
      </c>
      <c r="N673" t="s">
        <v>43166</v>
      </c>
      <c r="O673" t="s">
        <v>43167</v>
      </c>
      <c r="P673">
        <v>0</v>
      </c>
      <c r="Q673">
        <v>0</v>
      </c>
      <c r="R673" t="s">
        <v>43168</v>
      </c>
      <c r="S673" t="s">
        <v>43286</v>
      </c>
      <c r="T673" t="s">
        <v>44698</v>
      </c>
      <c r="U673" t="s">
        <v>45755</v>
      </c>
      <c r="W673" t="s">
        <v>39606</v>
      </c>
      <c r="X673" t="s">
        <v>43171</v>
      </c>
    </row>
    <row r="674" spans="1:24">
      <c r="A674">
        <f>HYPERLINK("https://www.philgeps.gov.ph/GEPSNONPILOT/Tender/SplashBidNoticeAbstractUI.aspx?menuIndex=3&amp;refID=7086850&amp;Result=3","7086850")</f>
        <v>0</v>
      </c>
      <c r="B674" t="s">
        <v>307</v>
      </c>
      <c r="C674" t="s">
        <v>4093</v>
      </c>
      <c r="D674" t="s">
        <v>17459</v>
      </c>
      <c r="E674" t="s">
        <v>18143</v>
      </c>
      <c r="F674" t="s">
        <v>30052</v>
      </c>
      <c r="G674" t="s">
        <v>30058</v>
      </c>
      <c r="H674" t="s">
        <v>30067</v>
      </c>
      <c r="I674" t="s">
        <v>3693</v>
      </c>
      <c r="J674" t="s">
        <v>30734</v>
      </c>
      <c r="K674" t="s">
        <v>39029</v>
      </c>
      <c r="M674" t="s">
        <v>39602</v>
      </c>
      <c r="N674" t="s">
        <v>43166</v>
      </c>
      <c r="O674" t="s">
        <v>43167</v>
      </c>
      <c r="P674">
        <v>0</v>
      </c>
      <c r="Q674">
        <v>0</v>
      </c>
      <c r="R674" t="s">
        <v>43168</v>
      </c>
      <c r="S674" t="s">
        <v>43286</v>
      </c>
      <c r="T674" t="s">
        <v>44726</v>
      </c>
      <c r="U674" t="s">
        <v>45756</v>
      </c>
      <c r="W674" t="s">
        <v>39602</v>
      </c>
      <c r="X674" t="s">
        <v>43171</v>
      </c>
    </row>
    <row r="675" spans="1:24">
      <c r="A675">
        <f>HYPERLINK("https://www.philgeps.gov.ph/GEPSNONPILOT/Tender/SplashBidNoticeAbstractUI.aspx?menuIndex=3&amp;refID=7086840&amp;Result=3","7086840")</f>
        <v>0</v>
      </c>
      <c r="B675" t="s">
        <v>251</v>
      </c>
      <c r="C675" t="s">
        <v>4094</v>
      </c>
      <c r="D675" t="s">
        <v>17415</v>
      </c>
      <c r="E675" t="s">
        <v>18144</v>
      </c>
      <c r="F675" t="s">
        <v>30052</v>
      </c>
      <c r="G675" t="s">
        <v>30058</v>
      </c>
      <c r="H675" t="s">
        <v>15498</v>
      </c>
      <c r="I675" t="s">
        <v>30070</v>
      </c>
      <c r="J675" t="s">
        <v>30735</v>
      </c>
      <c r="K675" t="s">
        <v>39017</v>
      </c>
      <c r="M675" t="s">
        <v>39567</v>
      </c>
      <c r="N675" t="s">
        <v>43166</v>
      </c>
      <c r="O675" t="s">
        <v>43167</v>
      </c>
      <c r="P675">
        <v>0</v>
      </c>
      <c r="Q675">
        <v>1</v>
      </c>
      <c r="R675" t="s">
        <v>43168</v>
      </c>
      <c r="S675" t="s">
        <v>43286</v>
      </c>
      <c r="T675" t="s">
        <v>44677</v>
      </c>
      <c r="U675" t="s">
        <v>45672</v>
      </c>
      <c r="W675" t="s">
        <v>39567</v>
      </c>
      <c r="X675" t="s">
        <v>43171</v>
      </c>
    </row>
    <row r="676" spans="1:24">
      <c r="A676">
        <f>HYPERLINK("https://www.philgeps.gov.ph/GEPSNONPILOT/Tender/SplashBidNoticeAbstractUI.aspx?menuIndex=3&amp;refID=7086953&amp;Result=3","7086953")</f>
        <v>0</v>
      </c>
      <c r="B676" t="s">
        <v>311</v>
      </c>
      <c r="C676" t="s">
        <v>4095</v>
      </c>
      <c r="D676" t="s">
        <v>17429</v>
      </c>
      <c r="E676" t="s">
        <v>18145</v>
      </c>
      <c r="F676" t="s">
        <v>30052</v>
      </c>
      <c r="G676" t="s">
        <v>30062</v>
      </c>
      <c r="H676" t="s">
        <v>15498</v>
      </c>
      <c r="I676" t="s">
        <v>30070</v>
      </c>
      <c r="J676" t="s">
        <v>30736</v>
      </c>
      <c r="K676" t="s">
        <v>39018</v>
      </c>
      <c r="M676" t="s">
        <v>39607</v>
      </c>
      <c r="N676" t="s">
        <v>43166</v>
      </c>
      <c r="O676" t="s">
        <v>43167</v>
      </c>
      <c r="P676">
        <v>0</v>
      </c>
      <c r="Q676">
        <v>1</v>
      </c>
      <c r="R676" t="s">
        <v>43168</v>
      </c>
      <c r="S676" t="s">
        <v>43286</v>
      </c>
      <c r="T676" t="s">
        <v>44708</v>
      </c>
      <c r="U676" t="s">
        <v>45757</v>
      </c>
      <c r="W676" t="s">
        <v>39607</v>
      </c>
      <c r="X676" t="s">
        <v>43171</v>
      </c>
    </row>
    <row r="677" spans="1:24">
      <c r="A677">
        <f>HYPERLINK("https://www.philgeps.gov.ph/GEPSNONPILOT/Tender/SplashBidNoticeAbstractUI.aspx?menuIndex=3&amp;refID=7086951&amp;Result=3","7086951")</f>
        <v>0</v>
      </c>
      <c r="B677" t="s">
        <v>311</v>
      </c>
      <c r="C677" t="s">
        <v>4096</v>
      </c>
      <c r="D677" t="s">
        <v>17429</v>
      </c>
      <c r="E677" t="s">
        <v>18146</v>
      </c>
      <c r="F677" t="s">
        <v>30052</v>
      </c>
      <c r="G677" t="s">
        <v>30059</v>
      </c>
      <c r="H677" t="s">
        <v>15498</v>
      </c>
      <c r="I677" t="s">
        <v>7228</v>
      </c>
      <c r="J677" t="s">
        <v>30287</v>
      </c>
      <c r="K677" t="s">
        <v>39018</v>
      </c>
      <c r="M677" t="s">
        <v>39607</v>
      </c>
      <c r="N677" t="s">
        <v>43166</v>
      </c>
      <c r="O677" t="s">
        <v>43167</v>
      </c>
      <c r="P677">
        <v>0</v>
      </c>
      <c r="Q677">
        <v>0</v>
      </c>
      <c r="R677" t="s">
        <v>43168</v>
      </c>
      <c r="S677" t="s">
        <v>43286</v>
      </c>
      <c r="T677" t="s">
        <v>44708</v>
      </c>
      <c r="U677" t="s">
        <v>45757</v>
      </c>
      <c r="W677" t="s">
        <v>39607</v>
      </c>
      <c r="X677" t="s">
        <v>43171</v>
      </c>
    </row>
    <row r="678" spans="1:24">
      <c r="A678">
        <f>HYPERLINK("https://www.philgeps.gov.ph/GEPSNONPILOT/Tender/SplashBidNoticeAbstractUI.aspx?menuIndex=3&amp;refID=7086948&amp;Result=3","7086948")</f>
        <v>0</v>
      </c>
      <c r="B678" t="s">
        <v>311</v>
      </c>
      <c r="C678" t="s">
        <v>4097</v>
      </c>
      <c r="D678" t="s">
        <v>17429</v>
      </c>
      <c r="E678" t="s">
        <v>18147</v>
      </c>
      <c r="F678" t="s">
        <v>30052</v>
      </c>
      <c r="G678" t="s">
        <v>30059</v>
      </c>
      <c r="H678" t="s">
        <v>15498</v>
      </c>
      <c r="I678" t="s">
        <v>30073</v>
      </c>
      <c r="J678" t="s">
        <v>30737</v>
      </c>
      <c r="K678" t="s">
        <v>39018</v>
      </c>
      <c r="M678" t="s">
        <v>39607</v>
      </c>
      <c r="N678" t="s">
        <v>43166</v>
      </c>
      <c r="O678" t="s">
        <v>43167</v>
      </c>
      <c r="P678">
        <v>0</v>
      </c>
      <c r="Q678">
        <v>0</v>
      </c>
      <c r="R678" t="s">
        <v>43168</v>
      </c>
      <c r="S678" t="s">
        <v>43286</v>
      </c>
      <c r="T678" t="s">
        <v>44708</v>
      </c>
      <c r="U678" t="s">
        <v>45757</v>
      </c>
      <c r="W678" t="s">
        <v>39607</v>
      </c>
      <c r="X678" t="s">
        <v>43171</v>
      </c>
    </row>
    <row r="679" spans="1:24">
      <c r="A679">
        <f>HYPERLINK("https://www.philgeps.gov.ph/GEPSNONPILOT/Tender/SplashBidNoticeAbstractUI.aspx?menuIndex=3&amp;refID=7087068&amp;Result=3","7087068")</f>
        <v>0</v>
      </c>
      <c r="B679" t="s">
        <v>312</v>
      </c>
      <c r="C679" t="s">
        <v>4098</v>
      </c>
      <c r="D679" t="s">
        <v>17462</v>
      </c>
      <c r="E679" t="s">
        <v>18148</v>
      </c>
      <c r="F679" t="s">
        <v>30052</v>
      </c>
      <c r="G679" t="s">
        <v>30058</v>
      </c>
      <c r="H679" t="s">
        <v>15498</v>
      </c>
      <c r="I679" t="s">
        <v>30074</v>
      </c>
      <c r="J679" t="s">
        <v>30738</v>
      </c>
      <c r="K679" t="s">
        <v>39029</v>
      </c>
      <c r="M679" t="s">
        <v>39608</v>
      </c>
      <c r="N679" t="s">
        <v>43166</v>
      </c>
      <c r="O679" t="s">
        <v>43167</v>
      </c>
      <c r="P679">
        <v>0</v>
      </c>
      <c r="Q679">
        <v>5</v>
      </c>
      <c r="R679" t="s">
        <v>43168</v>
      </c>
      <c r="S679" t="s">
        <v>43286</v>
      </c>
      <c r="T679" t="s">
        <v>44721</v>
      </c>
      <c r="U679" t="s">
        <v>45758</v>
      </c>
      <c r="W679" t="s">
        <v>39608</v>
      </c>
      <c r="X679" t="s">
        <v>43171</v>
      </c>
    </row>
    <row r="680" spans="1:24">
      <c r="A680">
        <f>HYPERLINK("https://www.philgeps.gov.ph/GEPSNONPILOT/Tender/SplashBidNoticeAbstractUI.aspx?menuIndex=3&amp;refID=7087059&amp;Result=3","7087059")</f>
        <v>0</v>
      </c>
      <c r="B680" t="s">
        <v>201</v>
      </c>
      <c r="C680" t="s">
        <v>4099</v>
      </c>
      <c r="E680" t="s">
        <v>18149</v>
      </c>
      <c r="F680" t="s">
        <v>30052</v>
      </c>
      <c r="G680" t="s">
        <v>30058</v>
      </c>
      <c r="H680" t="s">
        <v>15498</v>
      </c>
      <c r="I680" t="s">
        <v>7228</v>
      </c>
      <c r="J680" t="s">
        <v>30739</v>
      </c>
      <c r="K680" t="s">
        <v>39025</v>
      </c>
      <c r="M680" t="s">
        <v>39554</v>
      </c>
      <c r="N680" t="s">
        <v>43166</v>
      </c>
      <c r="O680" t="s">
        <v>43167</v>
      </c>
      <c r="Q680">
        <v>4</v>
      </c>
      <c r="R680" t="s">
        <v>43168</v>
      </c>
      <c r="S680" t="s">
        <v>43289</v>
      </c>
      <c r="T680" t="s">
        <v>44712</v>
      </c>
      <c r="U680" t="s">
        <v>45759</v>
      </c>
      <c r="W680" t="s">
        <v>39554</v>
      </c>
      <c r="X680" t="s">
        <v>43171</v>
      </c>
    </row>
    <row r="681" spans="1:24">
      <c r="A681">
        <f>HYPERLINK("https://www.philgeps.gov.ph/GEPSNONPILOT/Tender/SplashBidNoticeAbstractUI.aspx?menuIndex=3&amp;refID=7086852&amp;Result=3","7086852")</f>
        <v>0</v>
      </c>
      <c r="B681" t="s">
        <v>251</v>
      </c>
      <c r="C681" t="s">
        <v>4100</v>
      </c>
      <c r="D681" t="s">
        <v>17415</v>
      </c>
      <c r="E681" t="s">
        <v>18150</v>
      </c>
      <c r="F681" t="s">
        <v>30052</v>
      </c>
      <c r="G681" t="s">
        <v>30058</v>
      </c>
      <c r="H681" t="s">
        <v>15498</v>
      </c>
      <c r="I681" t="s">
        <v>30096</v>
      </c>
      <c r="J681" t="s">
        <v>30599</v>
      </c>
      <c r="K681" t="s">
        <v>39017</v>
      </c>
      <c r="M681" t="s">
        <v>39567</v>
      </c>
      <c r="N681" t="s">
        <v>43166</v>
      </c>
      <c r="O681" t="s">
        <v>43167</v>
      </c>
      <c r="P681">
        <v>0</v>
      </c>
      <c r="Q681">
        <v>0</v>
      </c>
      <c r="R681" t="s">
        <v>43168</v>
      </c>
      <c r="S681" t="s">
        <v>43286</v>
      </c>
      <c r="T681" t="s">
        <v>44677</v>
      </c>
      <c r="U681" t="s">
        <v>45760</v>
      </c>
      <c r="W681" t="s">
        <v>39567</v>
      </c>
      <c r="X681" t="s">
        <v>43171</v>
      </c>
    </row>
    <row r="682" spans="1:24">
      <c r="A682">
        <f>HYPERLINK("https://www.philgeps.gov.ph/GEPSNONPILOT/Tender/SplashBidNoticeAbstractUI.aspx?menuIndex=3&amp;refID=7087028&amp;Result=3","7087028")</f>
        <v>0</v>
      </c>
      <c r="B682" t="s">
        <v>313</v>
      </c>
      <c r="C682" t="s">
        <v>4101</v>
      </c>
      <c r="D682" t="s">
        <v>17425</v>
      </c>
      <c r="E682" t="s">
        <v>18151</v>
      </c>
      <c r="F682" t="s">
        <v>30052</v>
      </c>
      <c r="G682" t="s">
        <v>30059</v>
      </c>
      <c r="H682" t="s">
        <v>15498</v>
      </c>
      <c r="I682" t="s">
        <v>4650</v>
      </c>
      <c r="J682" t="s">
        <v>30337</v>
      </c>
      <c r="K682" t="s">
        <v>39029</v>
      </c>
      <c r="M682" t="s">
        <v>39609</v>
      </c>
      <c r="N682" t="s">
        <v>43166</v>
      </c>
      <c r="O682" t="s">
        <v>43167</v>
      </c>
      <c r="P682">
        <v>0</v>
      </c>
      <c r="Q682">
        <v>7</v>
      </c>
      <c r="R682" t="s">
        <v>43168</v>
      </c>
      <c r="S682" t="s">
        <v>43286</v>
      </c>
      <c r="T682" t="s">
        <v>44696</v>
      </c>
      <c r="U682" t="s">
        <v>45761</v>
      </c>
      <c r="V682" t="s">
        <v>56893</v>
      </c>
      <c r="W682" t="s">
        <v>39609</v>
      </c>
      <c r="X682" t="s">
        <v>43171</v>
      </c>
    </row>
    <row r="683" spans="1:24">
      <c r="A683">
        <f>HYPERLINK("https://www.philgeps.gov.ph/GEPSNONPILOT/Tender/SplashBidNoticeAbstractUI.aspx?menuIndex=3&amp;refID=7086842&amp;Result=3","7086842")</f>
        <v>0</v>
      </c>
      <c r="B683" t="s">
        <v>307</v>
      </c>
      <c r="C683" t="s">
        <v>4102</v>
      </c>
      <c r="D683" t="s">
        <v>17459</v>
      </c>
      <c r="E683" t="s">
        <v>18152</v>
      </c>
      <c r="F683" t="s">
        <v>30052</v>
      </c>
      <c r="G683" t="s">
        <v>30058</v>
      </c>
      <c r="H683" t="s">
        <v>30067</v>
      </c>
      <c r="I683" t="s">
        <v>3693</v>
      </c>
      <c r="J683" t="s">
        <v>30740</v>
      </c>
      <c r="K683" t="s">
        <v>39023</v>
      </c>
      <c r="M683" t="s">
        <v>39602</v>
      </c>
      <c r="N683" t="s">
        <v>43166</v>
      </c>
      <c r="O683" t="s">
        <v>43167</v>
      </c>
      <c r="P683">
        <v>0</v>
      </c>
      <c r="Q683">
        <v>0</v>
      </c>
      <c r="R683" t="s">
        <v>43168</v>
      </c>
      <c r="S683" t="s">
        <v>43286</v>
      </c>
      <c r="T683" t="s">
        <v>44726</v>
      </c>
      <c r="U683" t="s">
        <v>45762</v>
      </c>
      <c r="W683" t="s">
        <v>39602</v>
      </c>
      <c r="X683" t="s">
        <v>43171</v>
      </c>
    </row>
    <row r="684" spans="1:24">
      <c r="A684">
        <f>HYPERLINK("https://www.philgeps.gov.ph/GEPSNONPILOT/Tender/SplashBidNoticeAbstractUI.aspx?menuIndex=3&amp;refID=7087119&amp;Result=3","7087119")</f>
        <v>0</v>
      </c>
      <c r="B684" t="s">
        <v>314</v>
      </c>
      <c r="C684" t="s">
        <v>4103</v>
      </c>
      <c r="D684" t="s">
        <v>17455</v>
      </c>
      <c r="E684" t="s">
        <v>18153</v>
      </c>
      <c r="F684" t="s">
        <v>30052</v>
      </c>
      <c r="G684" t="s">
        <v>30059</v>
      </c>
      <c r="H684" t="s">
        <v>15498</v>
      </c>
      <c r="I684" t="s">
        <v>30085</v>
      </c>
      <c r="J684" t="s">
        <v>30741</v>
      </c>
      <c r="K684" t="s">
        <v>39029</v>
      </c>
      <c r="M684" t="s">
        <v>39610</v>
      </c>
      <c r="N684" t="s">
        <v>43166</v>
      </c>
      <c r="O684" t="s">
        <v>43167</v>
      </c>
      <c r="P684">
        <v>0</v>
      </c>
      <c r="Q684">
        <v>0</v>
      </c>
      <c r="R684" t="s">
        <v>43168</v>
      </c>
      <c r="S684" t="s">
        <v>43286</v>
      </c>
      <c r="T684" t="s">
        <v>44787</v>
      </c>
      <c r="U684" t="s">
        <v>45763</v>
      </c>
      <c r="W684" t="s">
        <v>39610</v>
      </c>
      <c r="X684" t="s">
        <v>43171</v>
      </c>
    </row>
    <row r="685" spans="1:24">
      <c r="A685">
        <f>HYPERLINK("https://www.philgeps.gov.ph/GEPSNONPILOT/Tender/SplashBidNoticeAbstractUI.aspx?menuIndex=3&amp;refID=7086849&amp;Result=3","7086849")</f>
        <v>0</v>
      </c>
      <c r="B685" t="s">
        <v>251</v>
      </c>
      <c r="C685" t="s">
        <v>4104</v>
      </c>
      <c r="D685" t="s">
        <v>17415</v>
      </c>
      <c r="E685" t="s">
        <v>18154</v>
      </c>
      <c r="F685" t="s">
        <v>30052</v>
      </c>
      <c r="G685" t="s">
        <v>30058</v>
      </c>
      <c r="H685" t="s">
        <v>30069</v>
      </c>
      <c r="I685" t="s">
        <v>30108</v>
      </c>
      <c r="J685" t="s">
        <v>30742</v>
      </c>
      <c r="K685" t="s">
        <v>39017</v>
      </c>
      <c r="M685" t="s">
        <v>39541</v>
      </c>
      <c r="N685" t="s">
        <v>43166</v>
      </c>
      <c r="O685" t="s">
        <v>43167</v>
      </c>
      <c r="P685">
        <v>0</v>
      </c>
      <c r="Q685">
        <v>0</v>
      </c>
      <c r="R685" t="s">
        <v>43168</v>
      </c>
      <c r="S685" t="s">
        <v>43286</v>
      </c>
      <c r="T685" t="s">
        <v>44677</v>
      </c>
      <c r="U685" t="s">
        <v>45764</v>
      </c>
      <c r="W685" t="s">
        <v>39541</v>
      </c>
      <c r="X685" t="s">
        <v>43171</v>
      </c>
    </row>
    <row r="686" spans="1:24">
      <c r="A686">
        <f>HYPERLINK("https://www.philgeps.gov.ph/GEPSNONPILOT/Tender/SplashBidNoticeAbstractUI.aspx?menuIndex=3&amp;refID=7086740&amp;Result=3","7086740")</f>
        <v>0</v>
      </c>
      <c r="B686" t="s">
        <v>251</v>
      </c>
      <c r="C686" t="s">
        <v>4105</v>
      </c>
      <c r="D686" t="s">
        <v>17415</v>
      </c>
      <c r="E686" t="s">
        <v>18155</v>
      </c>
      <c r="F686" t="s">
        <v>30052</v>
      </c>
      <c r="G686" t="s">
        <v>30058</v>
      </c>
      <c r="H686" t="s">
        <v>30069</v>
      </c>
      <c r="I686" t="s">
        <v>30108</v>
      </c>
      <c r="J686" t="s">
        <v>30743</v>
      </c>
      <c r="K686" t="s">
        <v>39017</v>
      </c>
      <c r="M686" t="s">
        <v>39541</v>
      </c>
      <c r="N686" t="s">
        <v>43166</v>
      </c>
      <c r="O686" t="s">
        <v>43167</v>
      </c>
      <c r="P686">
        <v>0</v>
      </c>
      <c r="Q686">
        <v>1</v>
      </c>
      <c r="R686" t="s">
        <v>43168</v>
      </c>
      <c r="S686" t="s">
        <v>43286</v>
      </c>
      <c r="T686" t="s">
        <v>44677</v>
      </c>
      <c r="U686" t="s">
        <v>45765</v>
      </c>
      <c r="W686" t="s">
        <v>39541</v>
      </c>
      <c r="X686" t="s">
        <v>43171</v>
      </c>
    </row>
    <row r="687" spans="1:24">
      <c r="A687">
        <f>HYPERLINK("https://www.philgeps.gov.ph/GEPSNONPILOT/Tender/SplashBidNoticeAbstractUI.aspx?menuIndex=3&amp;refID=7087032&amp;Result=3","7087032")</f>
        <v>0</v>
      </c>
      <c r="B687" t="s">
        <v>313</v>
      </c>
      <c r="C687" t="s">
        <v>4106</v>
      </c>
      <c r="D687" t="s">
        <v>17425</v>
      </c>
      <c r="E687" t="s">
        <v>18156</v>
      </c>
      <c r="F687" t="s">
        <v>30052</v>
      </c>
      <c r="G687" t="s">
        <v>30059</v>
      </c>
      <c r="H687" t="s">
        <v>15498</v>
      </c>
      <c r="I687" t="s">
        <v>30071</v>
      </c>
      <c r="J687" t="s">
        <v>30744</v>
      </c>
      <c r="K687" t="s">
        <v>39029</v>
      </c>
      <c r="M687" t="s">
        <v>39609</v>
      </c>
      <c r="N687" t="s">
        <v>43166</v>
      </c>
      <c r="O687" t="s">
        <v>43167</v>
      </c>
      <c r="P687">
        <v>0</v>
      </c>
      <c r="Q687">
        <v>0</v>
      </c>
      <c r="R687" t="s">
        <v>43168</v>
      </c>
      <c r="S687" t="s">
        <v>43286</v>
      </c>
      <c r="T687" t="s">
        <v>44696</v>
      </c>
      <c r="U687" t="s">
        <v>45761</v>
      </c>
      <c r="V687" t="s">
        <v>56893</v>
      </c>
      <c r="W687" t="s">
        <v>39609</v>
      </c>
      <c r="X687" t="s">
        <v>43171</v>
      </c>
    </row>
    <row r="688" spans="1:24">
      <c r="A688">
        <f>HYPERLINK("https://www.philgeps.gov.ph/GEPSNONPILOT/Tender/SplashBidNoticeAbstractUI.aspx?menuIndex=3&amp;refID=7087023&amp;Result=3","7087023")</f>
        <v>0</v>
      </c>
      <c r="B688" t="s">
        <v>313</v>
      </c>
      <c r="C688" t="s">
        <v>4107</v>
      </c>
      <c r="D688" t="s">
        <v>17425</v>
      </c>
      <c r="E688" t="s">
        <v>18157</v>
      </c>
      <c r="F688" t="s">
        <v>30052</v>
      </c>
      <c r="G688" t="s">
        <v>30059</v>
      </c>
      <c r="H688" t="s">
        <v>15498</v>
      </c>
      <c r="I688" t="s">
        <v>4650</v>
      </c>
      <c r="J688" t="s">
        <v>30337</v>
      </c>
      <c r="K688" t="s">
        <v>39029</v>
      </c>
      <c r="M688" t="s">
        <v>39609</v>
      </c>
      <c r="N688" t="s">
        <v>43166</v>
      </c>
      <c r="O688" t="s">
        <v>43167</v>
      </c>
      <c r="P688">
        <v>0</v>
      </c>
      <c r="Q688">
        <v>7</v>
      </c>
      <c r="R688" t="s">
        <v>43168</v>
      </c>
      <c r="S688" t="s">
        <v>43286</v>
      </c>
      <c r="T688" t="s">
        <v>44696</v>
      </c>
      <c r="U688" t="s">
        <v>45761</v>
      </c>
      <c r="V688" t="s">
        <v>56893</v>
      </c>
      <c r="W688" t="s">
        <v>39609</v>
      </c>
      <c r="X688" t="s">
        <v>43171</v>
      </c>
    </row>
    <row r="689" spans="1:24">
      <c r="A689">
        <f>HYPERLINK("https://www.philgeps.gov.ph/GEPSNONPILOT/Tender/SplashBidNoticeAbstractUI.aspx?menuIndex=3&amp;refID=7087022&amp;Result=3","7087022")</f>
        <v>0</v>
      </c>
      <c r="B689" t="s">
        <v>315</v>
      </c>
      <c r="C689" t="s">
        <v>4108</v>
      </c>
      <c r="D689" t="s">
        <v>17445</v>
      </c>
      <c r="E689" t="s">
        <v>18158</v>
      </c>
      <c r="F689" t="s">
        <v>30052</v>
      </c>
      <c r="G689" t="s">
        <v>30059</v>
      </c>
      <c r="H689" t="s">
        <v>15498</v>
      </c>
      <c r="I689" t="s">
        <v>30084</v>
      </c>
      <c r="J689" t="s">
        <v>30559</v>
      </c>
      <c r="K689" t="s">
        <v>39025</v>
      </c>
      <c r="M689" t="s">
        <v>39611</v>
      </c>
      <c r="N689" t="s">
        <v>43166</v>
      </c>
      <c r="O689" t="s">
        <v>43167</v>
      </c>
      <c r="P689">
        <v>0</v>
      </c>
      <c r="Q689">
        <v>4</v>
      </c>
      <c r="R689" t="s">
        <v>43168</v>
      </c>
      <c r="S689" t="s">
        <v>43286</v>
      </c>
      <c r="T689" t="s">
        <v>44708</v>
      </c>
      <c r="U689" t="s">
        <v>45766</v>
      </c>
      <c r="W689" t="s">
        <v>39611</v>
      </c>
      <c r="X689" t="s">
        <v>43171</v>
      </c>
    </row>
    <row r="690" spans="1:24">
      <c r="A690">
        <f>HYPERLINK("https://www.philgeps.gov.ph/GEPSNONPILOT/Tender/SplashBidNoticeAbstractUI.aspx?menuIndex=3&amp;refID=7086988&amp;Result=3","7086988")</f>
        <v>0</v>
      </c>
      <c r="B690" t="s">
        <v>313</v>
      </c>
      <c r="C690" t="s">
        <v>4109</v>
      </c>
      <c r="D690" t="s">
        <v>17425</v>
      </c>
      <c r="E690" t="s">
        <v>18159</v>
      </c>
      <c r="F690" t="s">
        <v>30052</v>
      </c>
      <c r="G690" t="s">
        <v>30058</v>
      </c>
      <c r="H690" t="s">
        <v>15498</v>
      </c>
      <c r="I690" t="s">
        <v>3852</v>
      </c>
      <c r="J690" t="s">
        <v>30291</v>
      </c>
      <c r="K690" t="s">
        <v>39029</v>
      </c>
      <c r="M690" t="s">
        <v>39609</v>
      </c>
      <c r="N690" t="s">
        <v>43166</v>
      </c>
      <c r="O690" t="s">
        <v>43167</v>
      </c>
      <c r="P690">
        <v>0</v>
      </c>
      <c r="Q690">
        <v>2</v>
      </c>
      <c r="R690" t="s">
        <v>43168</v>
      </c>
      <c r="S690" t="s">
        <v>43286</v>
      </c>
      <c r="T690" t="s">
        <v>44709</v>
      </c>
      <c r="U690" t="s">
        <v>45767</v>
      </c>
      <c r="V690" t="s">
        <v>56894</v>
      </c>
      <c r="W690" t="s">
        <v>39609</v>
      </c>
      <c r="X690" t="s">
        <v>43171</v>
      </c>
    </row>
    <row r="691" spans="1:24">
      <c r="A691">
        <f>HYPERLINK("https://www.philgeps.gov.ph/GEPSNONPILOT/Tender/SplashBidNoticeAbstractUI.aspx?menuIndex=3&amp;refID=7086981&amp;Result=3","7086981")</f>
        <v>0</v>
      </c>
      <c r="B691" t="s">
        <v>316</v>
      </c>
      <c r="C691" t="s">
        <v>4110</v>
      </c>
      <c r="D691" t="s">
        <v>17415</v>
      </c>
      <c r="E691" t="s">
        <v>18160</v>
      </c>
      <c r="F691" t="s">
        <v>30052</v>
      </c>
      <c r="G691" t="s">
        <v>30059</v>
      </c>
      <c r="H691" t="s">
        <v>15498</v>
      </c>
      <c r="I691" t="s">
        <v>30133</v>
      </c>
      <c r="J691" t="s">
        <v>30292</v>
      </c>
      <c r="K691" t="s">
        <v>39017</v>
      </c>
      <c r="M691" t="s">
        <v>39612</v>
      </c>
      <c r="N691" t="s">
        <v>43166</v>
      </c>
      <c r="O691" t="s">
        <v>43167</v>
      </c>
      <c r="P691">
        <v>0</v>
      </c>
      <c r="Q691">
        <v>4</v>
      </c>
      <c r="R691" t="s">
        <v>43168</v>
      </c>
      <c r="S691" t="s">
        <v>43286</v>
      </c>
      <c r="T691" t="s">
        <v>44708</v>
      </c>
      <c r="U691" t="s">
        <v>45768</v>
      </c>
      <c r="V691" t="s">
        <v>45722</v>
      </c>
      <c r="W691" t="s">
        <v>39612</v>
      </c>
      <c r="X691" t="s">
        <v>43171</v>
      </c>
    </row>
    <row r="692" spans="1:24">
      <c r="A692">
        <f>HYPERLINK("https://www.philgeps.gov.ph/GEPSNONPILOT/Tender/SplashBidNoticeAbstractUI.aspx?menuIndex=3&amp;refID=7087108&amp;Result=3","7087108")</f>
        <v>0</v>
      </c>
      <c r="B692" t="s">
        <v>317</v>
      </c>
      <c r="C692" t="s">
        <v>4111</v>
      </c>
      <c r="D692" t="s">
        <v>17444</v>
      </c>
      <c r="E692" t="s">
        <v>18161</v>
      </c>
      <c r="F692" t="s">
        <v>30052</v>
      </c>
      <c r="G692" t="s">
        <v>30061</v>
      </c>
      <c r="H692" t="s">
        <v>15498</v>
      </c>
      <c r="I692" t="s">
        <v>30085</v>
      </c>
      <c r="J692" t="s">
        <v>30745</v>
      </c>
      <c r="K692" t="s">
        <v>39036</v>
      </c>
      <c r="M692" t="s">
        <v>39613</v>
      </c>
      <c r="N692" t="s">
        <v>43166</v>
      </c>
      <c r="O692" t="s">
        <v>43167</v>
      </c>
      <c r="P692">
        <v>0</v>
      </c>
      <c r="Q692">
        <v>0</v>
      </c>
      <c r="R692" t="s">
        <v>43168</v>
      </c>
      <c r="S692" t="s">
        <v>43286</v>
      </c>
      <c r="T692" t="s">
        <v>44788</v>
      </c>
      <c r="U692" t="s">
        <v>45769</v>
      </c>
      <c r="V692" t="s">
        <v>56895</v>
      </c>
      <c r="W692" t="s">
        <v>39613</v>
      </c>
      <c r="X692" t="s">
        <v>43171</v>
      </c>
    </row>
    <row r="693" spans="1:24">
      <c r="A693">
        <f>HYPERLINK("https://www.philgeps.gov.ph/GEPSNONPILOT/Tender/SplashBidNoticeAbstractUI.aspx?menuIndex=3&amp;refID=7086969&amp;Result=3","7086969")</f>
        <v>0</v>
      </c>
      <c r="B693" t="s">
        <v>311</v>
      </c>
      <c r="C693" t="s">
        <v>4112</v>
      </c>
      <c r="D693" t="s">
        <v>17429</v>
      </c>
      <c r="E693" t="s">
        <v>18162</v>
      </c>
      <c r="F693" t="s">
        <v>30052</v>
      </c>
      <c r="G693" t="s">
        <v>30059</v>
      </c>
      <c r="H693" t="s">
        <v>15498</v>
      </c>
      <c r="I693" t="s">
        <v>30134</v>
      </c>
      <c r="J693" t="s">
        <v>30746</v>
      </c>
      <c r="K693" t="s">
        <v>39018</v>
      </c>
      <c r="M693" t="s">
        <v>39607</v>
      </c>
      <c r="N693" t="s">
        <v>43166</v>
      </c>
      <c r="O693" t="s">
        <v>43167</v>
      </c>
      <c r="P693">
        <v>0</v>
      </c>
      <c r="Q693">
        <v>0</v>
      </c>
      <c r="R693" t="s">
        <v>43168</v>
      </c>
      <c r="S693" t="s">
        <v>43286</v>
      </c>
      <c r="T693" t="s">
        <v>44708</v>
      </c>
      <c r="U693" t="s">
        <v>45770</v>
      </c>
      <c r="W693" t="s">
        <v>39607</v>
      </c>
      <c r="X693" t="s">
        <v>43171</v>
      </c>
    </row>
    <row r="694" spans="1:24">
      <c r="A694">
        <f>HYPERLINK("https://www.philgeps.gov.ph/GEPSNONPILOT/Tender/SplashBidNoticeAbstractUI.aspx?menuIndex=3&amp;refID=7086966&amp;Result=3","7086966")</f>
        <v>0</v>
      </c>
      <c r="B694" t="s">
        <v>311</v>
      </c>
      <c r="C694" t="s">
        <v>4113</v>
      </c>
      <c r="D694" t="s">
        <v>17429</v>
      </c>
      <c r="E694" t="s">
        <v>18163</v>
      </c>
      <c r="F694" t="s">
        <v>30052</v>
      </c>
      <c r="G694" t="s">
        <v>30059</v>
      </c>
      <c r="H694" t="s">
        <v>15498</v>
      </c>
      <c r="I694" t="s">
        <v>30134</v>
      </c>
      <c r="J694" t="s">
        <v>30747</v>
      </c>
      <c r="K694" t="s">
        <v>39018</v>
      </c>
      <c r="M694" t="s">
        <v>39607</v>
      </c>
      <c r="N694" t="s">
        <v>43166</v>
      </c>
      <c r="O694" t="s">
        <v>43167</v>
      </c>
      <c r="P694">
        <v>0</v>
      </c>
      <c r="Q694">
        <v>0</v>
      </c>
      <c r="R694" t="s">
        <v>43168</v>
      </c>
      <c r="S694" t="s">
        <v>43286</v>
      </c>
      <c r="T694" t="s">
        <v>44708</v>
      </c>
      <c r="U694" t="s">
        <v>45770</v>
      </c>
      <c r="W694" t="s">
        <v>39607</v>
      </c>
      <c r="X694" t="s">
        <v>43171</v>
      </c>
    </row>
    <row r="695" spans="1:24">
      <c r="A695">
        <f>HYPERLINK("https://www.philgeps.gov.ph/GEPSNONPILOT/Tender/SplashBidNoticeAbstractUI.aspx?menuIndex=3&amp;refID=7086957&amp;Result=3","7086957")</f>
        <v>0</v>
      </c>
      <c r="B695" t="s">
        <v>318</v>
      </c>
      <c r="C695" t="s">
        <v>4114</v>
      </c>
      <c r="D695" t="s">
        <v>17414</v>
      </c>
      <c r="E695" t="s">
        <v>18164</v>
      </c>
      <c r="F695" t="s">
        <v>30052</v>
      </c>
      <c r="G695" t="s">
        <v>30059</v>
      </c>
      <c r="H695" t="s">
        <v>15498</v>
      </c>
      <c r="I695" t="s">
        <v>30135</v>
      </c>
      <c r="J695" t="s">
        <v>30748</v>
      </c>
      <c r="K695" t="s">
        <v>39018</v>
      </c>
      <c r="M695" t="s">
        <v>39614</v>
      </c>
      <c r="N695" t="s">
        <v>43166</v>
      </c>
      <c r="O695" t="s">
        <v>43167</v>
      </c>
      <c r="P695">
        <v>0</v>
      </c>
      <c r="Q695">
        <v>1</v>
      </c>
      <c r="R695" t="s">
        <v>43168</v>
      </c>
      <c r="S695" t="s">
        <v>43286</v>
      </c>
      <c r="T695" t="s">
        <v>44685</v>
      </c>
      <c r="U695" t="s">
        <v>45771</v>
      </c>
      <c r="V695" t="s">
        <v>56896</v>
      </c>
      <c r="W695" t="s">
        <v>39614</v>
      </c>
      <c r="X695" t="s">
        <v>43171</v>
      </c>
    </row>
    <row r="696" spans="1:24">
      <c r="A696">
        <f>HYPERLINK("https://www.philgeps.gov.ph/GEPSNONPILOT/Tender/SplashBidNoticeAbstractUI.aspx?menuIndex=3&amp;refID=7087159&amp;Result=3","7087159")</f>
        <v>0</v>
      </c>
      <c r="B696" t="s">
        <v>319</v>
      </c>
      <c r="C696" t="s">
        <v>4115</v>
      </c>
      <c r="D696" t="s">
        <v>17424</v>
      </c>
      <c r="E696" t="s">
        <v>17892</v>
      </c>
      <c r="F696" t="s">
        <v>30052</v>
      </c>
      <c r="G696" t="s">
        <v>30064</v>
      </c>
      <c r="H696" t="s">
        <v>15498</v>
      </c>
      <c r="I696" t="s">
        <v>30085</v>
      </c>
      <c r="J696" t="s">
        <v>30749</v>
      </c>
      <c r="K696" t="s">
        <v>39018</v>
      </c>
      <c r="M696" t="s">
        <v>39615</v>
      </c>
      <c r="N696" t="s">
        <v>43166</v>
      </c>
      <c r="O696" t="s">
        <v>43167</v>
      </c>
      <c r="P696">
        <v>0</v>
      </c>
      <c r="Q696">
        <v>0</v>
      </c>
      <c r="R696" t="s">
        <v>43168</v>
      </c>
      <c r="S696" t="s">
        <v>43286</v>
      </c>
      <c r="T696" t="s">
        <v>44720</v>
      </c>
      <c r="U696" t="s">
        <v>45772</v>
      </c>
      <c r="W696" t="s">
        <v>39615</v>
      </c>
      <c r="X696" t="s">
        <v>43170</v>
      </c>
    </row>
    <row r="697" spans="1:24">
      <c r="A697">
        <f>HYPERLINK("https://www.philgeps.gov.ph/GEPSNONPILOT/Tender/SplashBidNoticeAbstractUI.aspx?menuIndex=3&amp;refID=7087155&amp;Result=3","7087155")</f>
        <v>0</v>
      </c>
      <c r="B697" t="s">
        <v>320</v>
      </c>
      <c r="C697" t="s">
        <v>4116</v>
      </c>
      <c r="D697" t="s">
        <v>17462</v>
      </c>
      <c r="E697" t="s">
        <v>18165</v>
      </c>
      <c r="F697" t="s">
        <v>30052</v>
      </c>
      <c r="G697" t="s">
        <v>30059</v>
      </c>
      <c r="H697" t="s">
        <v>15498</v>
      </c>
      <c r="I697" t="s">
        <v>30136</v>
      </c>
      <c r="J697" t="s">
        <v>30750</v>
      </c>
      <c r="K697" t="s">
        <v>39017</v>
      </c>
      <c r="M697" t="s">
        <v>39616</v>
      </c>
      <c r="N697" t="s">
        <v>43166</v>
      </c>
      <c r="O697" t="s">
        <v>43167</v>
      </c>
      <c r="P697">
        <v>0</v>
      </c>
      <c r="Q697">
        <v>1</v>
      </c>
      <c r="R697" t="s">
        <v>43168</v>
      </c>
      <c r="S697" t="s">
        <v>43286</v>
      </c>
      <c r="T697" t="s">
        <v>44732</v>
      </c>
      <c r="U697" t="s">
        <v>45773</v>
      </c>
      <c r="V697" t="s">
        <v>56897</v>
      </c>
      <c r="W697" t="s">
        <v>39616</v>
      </c>
      <c r="X697" t="s">
        <v>43170</v>
      </c>
    </row>
    <row r="698" spans="1:24">
      <c r="A698">
        <f>HYPERLINK("https://www.philgeps.gov.ph/GEPSNONPILOT/Tender/SplashBidNoticeAbstractUI.aspx?menuIndex=3&amp;refID=7086971&amp;Result=3","7086971")</f>
        <v>0</v>
      </c>
      <c r="B698" t="s">
        <v>311</v>
      </c>
      <c r="C698" t="s">
        <v>4117</v>
      </c>
      <c r="D698" t="s">
        <v>17429</v>
      </c>
      <c r="E698" t="s">
        <v>18166</v>
      </c>
      <c r="F698" t="s">
        <v>30052</v>
      </c>
      <c r="G698" t="s">
        <v>30062</v>
      </c>
      <c r="H698" t="s">
        <v>15498</v>
      </c>
      <c r="I698" t="s">
        <v>30070</v>
      </c>
      <c r="J698" t="s">
        <v>30751</v>
      </c>
      <c r="K698" t="s">
        <v>39018</v>
      </c>
      <c r="M698" t="s">
        <v>39607</v>
      </c>
      <c r="N698" t="s">
        <v>43166</v>
      </c>
      <c r="O698" t="s">
        <v>43167</v>
      </c>
      <c r="P698">
        <v>0</v>
      </c>
      <c r="Q698">
        <v>0</v>
      </c>
      <c r="R698" t="s">
        <v>43168</v>
      </c>
      <c r="S698" t="s">
        <v>43286</v>
      </c>
      <c r="T698" t="s">
        <v>44708</v>
      </c>
      <c r="U698" t="s">
        <v>45770</v>
      </c>
      <c r="W698" t="s">
        <v>39607</v>
      </c>
      <c r="X698" t="s">
        <v>43171</v>
      </c>
    </row>
    <row r="699" spans="1:24">
      <c r="A699">
        <f>HYPERLINK("https://www.philgeps.gov.ph/GEPSNONPILOT/Tender/SplashBidNoticeAbstractUI.aspx?menuIndex=3&amp;refID=7087187&amp;Result=3","7087187")</f>
        <v>0</v>
      </c>
      <c r="B699" t="s">
        <v>321</v>
      </c>
      <c r="C699" t="s">
        <v>4118</v>
      </c>
      <c r="D699" t="s">
        <v>17465</v>
      </c>
      <c r="E699" t="s">
        <v>18167</v>
      </c>
      <c r="F699" t="s">
        <v>30052</v>
      </c>
      <c r="G699" t="s">
        <v>30061</v>
      </c>
      <c r="H699" t="s">
        <v>15498</v>
      </c>
      <c r="I699" t="s">
        <v>30071</v>
      </c>
      <c r="J699" t="s">
        <v>30398</v>
      </c>
      <c r="K699" t="s">
        <v>39034</v>
      </c>
      <c r="M699" t="s">
        <v>39617</v>
      </c>
      <c r="N699" t="s">
        <v>43166</v>
      </c>
      <c r="O699" t="s">
        <v>43167</v>
      </c>
      <c r="P699">
        <v>0</v>
      </c>
      <c r="Q699">
        <v>0</v>
      </c>
      <c r="R699" t="s">
        <v>43168</v>
      </c>
      <c r="S699" t="s">
        <v>43286</v>
      </c>
      <c r="T699" t="s">
        <v>44788</v>
      </c>
      <c r="U699" t="s">
        <v>45774</v>
      </c>
      <c r="W699" t="s">
        <v>39617</v>
      </c>
      <c r="X699" t="s">
        <v>43170</v>
      </c>
    </row>
    <row r="700" spans="1:24">
      <c r="A700">
        <f>HYPERLINK("https://www.philgeps.gov.ph/GEPSNONPILOT/Tender/SplashBidNoticeAbstractUI.aspx?menuIndex=3&amp;refID=7086963&amp;Result=3","7086963")</f>
        <v>0</v>
      </c>
      <c r="B700" t="s">
        <v>318</v>
      </c>
      <c r="C700" t="s">
        <v>4119</v>
      </c>
      <c r="D700" t="s">
        <v>17414</v>
      </c>
      <c r="E700" t="s">
        <v>18168</v>
      </c>
      <c r="F700" t="s">
        <v>30052</v>
      </c>
      <c r="G700" t="s">
        <v>30059</v>
      </c>
      <c r="H700" t="s">
        <v>15498</v>
      </c>
      <c r="I700" t="s">
        <v>4119</v>
      </c>
      <c r="J700" t="s">
        <v>30256</v>
      </c>
      <c r="K700" t="s">
        <v>39018</v>
      </c>
      <c r="M700" t="s">
        <v>39614</v>
      </c>
      <c r="N700" t="s">
        <v>43166</v>
      </c>
      <c r="O700" t="s">
        <v>43167</v>
      </c>
      <c r="P700">
        <v>0</v>
      </c>
      <c r="Q700">
        <v>0</v>
      </c>
      <c r="R700" t="s">
        <v>43168</v>
      </c>
      <c r="S700" t="s">
        <v>43286</v>
      </c>
      <c r="T700" t="s">
        <v>44685</v>
      </c>
      <c r="U700" t="s">
        <v>45775</v>
      </c>
      <c r="V700" t="s">
        <v>56896</v>
      </c>
      <c r="W700" t="s">
        <v>39614</v>
      </c>
      <c r="X700" t="s">
        <v>43171</v>
      </c>
    </row>
    <row r="701" spans="1:24">
      <c r="A701">
        <f>HYPERLINK("https://www.philgeps.gov.ph/GEPSNONPILOT/Tender/SplashBidNoticeAbstractUI.aspx?menuIndex=3&amp;refID=7087179&amp;Result=3","7087179")</f>
        <v>0</v>
      </c>
      <c r="B701" t="s">
        <v>322</v>
      </c>
      <c r="C701" t="s">
        <v>4120</v>
      </c>
      <c r="E701" t="s">
        <v>17540</v>
      </c>
      <c r="F701" t="s">
        <v>30052</v>
      </c>
      <c r="G701" t="s">
        <v>30059</v>
      </c>
      <c r="H701" t="s">
        <v>15498</v>
      </c>
      <c r="I701" t="s">
        <v>30076</v>
      </c>
      <c r="J701" t="s">
        <v>30752</v>
      </c>
      <c r="K701" t="s">
        <v>39025</v>
      </c>
      <c r="M701" t="s">
        <v>39618</v>
      </c>
      <c r="N701" t="s">
        <v>43166</v>
      </c>
      <c r="O701" t="s">
        <v>43167</v>
      </c>
      <c r="P701">
        <v>0</v>
      </c>
      <c r="Q701">
        <v>0</v>
      </c>
      <c r="R701" t="s">
        <v>43168</v>
      </c>
      <c r="S701" t="s">
        <v>43286</v>
      </c>
      <c r="T701" t="s">
        <v>44695</v>
      </c>
      <c r="U701" t="s">
        <v>45776</v>
      </c>
      <c r="W701" t="s">
        <v>39618</v>
      </c>
      <c r="X701" t="s">
        <v>43170</v>
      </c>
    </row>
    <row r="702" spans="1:24">
      <c r="A702">
        <f>HYPERLINK("https://www.philgeps.gov.ph/GEPSNONPILOT/Tender/SplashBidNoticeAbstractUI.aspx?menuIndex=3&amp;refID=7087175&amp;Result=3","7087175")</f>
        <v>0</v>
      </c>
      <c r="B702" t="s">
        <v>323</v>
      </c>
      <c r="C702" t="s">
        <v>4121</v>
      </c>
      <c r="D702" t="s">
        <v>17487</v>
      </c>
      <c r="E702" t="s">
        <v>18169</v>
      </c>
      <c r="F702" t="s">
        <v>30052</v>
      </c>
      <c r="G702" t="s">
        <v>30058</v>
      </c>
      <c r="H702" t="s">
        <v>15498</v>
      </c>
      <c r="I702" t="s">
        <v>30111</v>
      </c>
      <c r="J702" t="s">
        <v>30256</v>
      </c>
      <c r="K702" t="s">
        <v>39029</v>
      </c>
      <c r="M702" t="s">
        <v>39619</v>
      </c>
      <c r="N702" t="s">
        <v>43166</v>
      </c>
      <c r="O702" t="s">
        <v>43167</v>
      </c>
      <c r="P702">
        <v>0</v>
      </c>
      <c r="Q702">
        <v>1</v>
      </c>
      <c r="R702" t="s">
        <v>43168</v>
      </c>
      <c r="S702" t="s">
        <v>43286</v>
      </c>
      <c r="T702" t="s">
        <v>44753</v>
      </c>
      <c r="U702" t="s">
        <v>45777</v>
      </c>
      <c r="W702" t="s">
        <v>39619</v>
      </c>
      <c r="X702" t="s">
        <v>43170</v>
      </c>
    </row>
    <row r="703" spans="1:24">
      <c r="A703">
        <f>HYPERLINK("https://www.philgeps.gov.ph/GEPSNONPILOT/Tender/SplashBidNoticeAbstractUI.aspx?menuIndex=3&amp;refID=7087156&amp;Result=3","7087156")</f>
        <v>0</v>
      </c>
      <c r="B703" t="s">
        <v>324</v>
      </c>
      <c r="C703" t="s">
        <v>4122</v>
      </c>
      <c r="D703" t="s">
        <v>17454</v>
      </c>
      <c r="E703" t="s">
        <v>18170</v>
      </c>
      <c r="F703" t="s">
        <v>30052</v>
      </c>
      <c r="G703" t="s">
        <v>30059</v>
      </c>
      <c r="H703" t="s">
        <v>15498</v>
      </c>
      <c r="I703" t="s">
        <v>9238</v>
      </c>
      <c r="J703" t="s">
        <v>30459</v>
      </c>
      <c r="K703" t="s">
        <v>39019</v>
      </c>
      <c r="M703" t="s">
        <v>39620</v>
      </c>
      <c r="N703" t="s">
        <v>43166</v>
      </c>
      <c r="O703" t="s">
        <v>43167</v>
      </c>
      <c r="P703">
        <v>0</v>
      </c>
      <c r="Q703">
        <v>7</v>
      </c>
      <c r="R703" t="s">
        <v>43168</v>
      </c>
      <c r="S703" t="s">
        <v>43286</v>
      </c>
      <c r="T703" t="s">
        <v>44685</v>
      </c>
      <c r="U703" t="s">
        <v>45778</v>
      </c>
      <c r="W703" t="s">
        <v>39620</v>
      </c>
      <c r="X703" t="s">
        <v>43170</v>
      </c>
    </row>
    <row r="704" spans="1:24">
      <c r="A704">
        <f>HYPERLINK("https://www.philgeps.gov.ph/GEPSNONPILOT/Tender/SplashBidNoticeAbstractUI.aspx?menuIndex=3&amp;refID=7087174&amp;Result=3","7087174")</f>
        <v>0</v>
      </c>
      <c r="B704" t="s">
        <v>325</v>
      </c>
      <c r="C704" t="s">
        <v>4123</v>
      </c>
      <c r="D704" t="s">
        <v>17448</v>
      </c>
      <c r="E704" t="s">
        <v>18171</v>
      </c>
      <c r="F704" t="s">
        <v>30052</v>
      </c>
      <c r="G704" t="s">
        <v>30058</v>
      </c>
      <c r="H704" t="s">
        <v>15498</v>
      </c>
      <c r="I704" t="s">
        <v>3852</v>
      </c>
      <c r="J704" t="s">
        <v>30343</v>
      </c>
      <c r="K704" t="s">
        <v>39025</v>
      </c>
      <c r="M704" t="s">
        <v>39621</v>
      </c>
      <c r="N704" t="s">
        <v>43166</v>
      </c>
      <c r="O704" t="s">
        <v>43167</v>
      </c>
      <c r="P704">
        <v>0</v>
      </c>
      <c r="Q704">
        <v>0</v>
      </c>
      <c r="R704" t="s">
        <v>43168</v>
      </c>
      <c r="S704" t="s">
        <v>43286</v>
      </c>
      <c r="T704" t="s">
        <v>44733</v>
      </c>
      <c r="U704" t="s">
        <v>45779</v>
      </c>
      <c r="W704" t="s">
        <v>39621</v>
      </c>
      <c r="X704" t="s">
        <v>43170</v>
      </c>
    </row>
    <row r="705" spans="1:24">
      <c r="A705">
        <f>HYPERLINK("https://www.philgeps.gov.ph/GEPSNONPILOT/Tender/SplashBidNoticeAbstractUI.aspx?menuIndex=3&amp;refID=7087173&amp;Result=3","7087173")</f>
        <v>0</v>
      </c>
      <c r="B705" t="s">
        <v>325</v>
      </c>
      <c r="C705" t="s">
        <v>4124</v>
      </c>
      <c r="D705" t="s">
        <v>17448</v>
      </c>
      <c r="E705" t="s">
        <v>18172</v>
      </c>
      <c r="F705" t="s">
        <v>30052</v>
      </c>
      <c r="G705" t="s">
        <v>30058</v>
      </c>
      <c r="H705" t="s">
        <v>15498</v>
      </c>
      <c r="I705" t="s">
        <v>3852</v>
      </c>
      <c r="J705" t="s">
        <v>30753</v>
      </c>
      <c r="K705" t="s">
        <v>39025</v>
      </c>
      <c r="M705" t="s">
        <v>39621</v>
      </c>
      <c r="N705" t="s">
        <v>43166</v>
      </c>
      <c r="O705" t="s">
        <v>43167</v>
      </c>
      <c r="P705">
        <v>0</v>
      </c>
      <c r="Q705">
        <v>0</v>
      </c>
      <c r="R705" t="s">
        <v>43168</v>
      </c>
      <c r="S705" t="s">
        <v>43286</v>
      </c>
      <c r="T705" t="s">
        <v>44733</v>
      </c>
      <c r="U705" t="s">
        <v>45780</v>
      </c>
      <c r="W705" t="s">
        <v>39621</v>
      </c>
      <c r="X705" t="s">
        <v>43170</v>
      </c>
    </row>
    <row r="706" spans="1:24">
      <c r="A706">
        <f>HYPERLINK("https://www.philgeps.gov.ph/GEPSNONPILOT/Tender/SplashBidNoticeAbstractUI.aspx?menuIndex=3&amp;refID=7087192&amp;Result=3","7087192")</f>
        <v>0</v>
      </c>
      <c r="B706" t="s">
        <v>160</v>
      </c>
      <c r="C706" t="s">
        <v>3678</v>
      </c>
      <c r="D706" t="s">
        <v>17465</v>
      </c>
      <c r="E706" t="s">
        <v>18173</v>
      </c>
      <c r="F706" t="s">
        <v>30052</v>
      </c>
      <c r="G706" t="s">
        <v>30062</v>
      </c>
      <c r="H706" t="s">
        <v>15498</v>
      </c>
      <c r="I706" t="s">
        <v>4119</v>
      </c>
      <c r="J706" t="s">
        <v>30398</v>
      </c>
      <c r="K706" t="s">
        <v>39036</v>
      </c>
      <c r="M706" t="s">
        <v>39449</v>
      </c>
      <c r="N706" t="s">
        <v>43166</v>
      </c>
      <c r="O706" t="s">
        <v>43167</v>
      </c>
      <c r="P706">
        <v>0</v>
      </c>
      <c r="Q706">
        <v>1</v>
      </c>
      <c r="R706" t="s">
        <v>43168</v>
      </c>
      <c r="S706" t="s">
        <v>43286</v>
      </c>
      <c r="T706" t="s">
        <v>44695</v>
      </c>
      <c r="U706" t="s">
        <v>45781</v>
      </c>
      <c r="W706" t="s">
        <v>39449</v>
      </c>
      <c r="X706" t="s">
        <v>43170</v>
      </c>
    </row>
    <row r="707" spans="1:24">
      <c r="A707">
        <f>HYPERLINK("https://www.philgeps.gov.ph/GEPSNONPILOT/Tender/SplashBidNoticeAbstractUI.aspx?menuIndex=3&amp;refID=7087185&amp;Result=3","7087185")</f>
        <v>0</v>
      </c>
      <c r="B707" t="s">
        <v>321</v>
      </c>
      <c r="C707" t="s">
        <v>4125</v>
      </c>
      <c r="D707" t="s">
        <v>17465</v>
      </c>
      <c r="E707" t="s">
        <v>18174</v>
      </c>
      <c r="F707" t="s">
        <v>30052</v>
      </c>
      <c r="G707" t="s">
        <v>30061</v>
      </c>
      <c r="H707" t="s">
        <v>15498</v>
      </c>
      <c r="I707" t="s">
        <v>30109</v>
      </c>
      <c r="J707" t="s">
        <v>30333</v>
      </c>
      <c r="K707" t="s">
        <v>39034</v>
      </c>
      <c r="M707" t="s">
        <v>39617</v>
      </c>
      <c r="N707" t="s">
        <v>43166</v>
      </c>
      <c r="O707" t="s">
        <v>43167</v>
      </c>
      <c r="P707">
        <v>0</v>
      </c>
      <c r="Q707">
        <v>1</v>
      </c>
      <c r="R707" t="s">
        <v>43168</v>
      </c>
      <c r="S707" t="s">
        <v>43286</v>
      </c>
      <c r="T707" t="s">
        <v>44788</v>
      </c>
      <c r="U707" t="s">
        <v>45782</v>
      </c>
      <c r="W707" t="s">
        <v>39617</v>
      </c>
      <c r="X707" t="s">
        <v>43170</v>
      </c>
    </row>
    <row r="708" spans="1:24">
      <c r="A708">
        <f>HYPERLINK("https://www.philgeps.gov.ph/GEPSNONPILOT/Tender/SplashBidNoticeAbstractUI.aspx?menuIndex=3&amp;refID=7087191&amp;Result=3","7087191")</f>
        <v>0</v>
      </c>
      <c r="B708" t="s">
        <v>326</v>
      </c>
      <c r="C708" t="s">
        <v>4126</v>
      </c>
      <c r="D708" t="s">
        <v>17427</v>
      </c>
      <c r="E708" t="s">
        <v>18175</v>
      </c>
      <c r="F708" t="s">
        <v>30052</v>
      </c>
      <c r="G708" t="s">
        <v>30058</v>
      </c>
      <c r="H708" t="s">
        <v>30067</v>
      </c>
      <c r="I708" t="s">
        <v>3693</v>
      </c>
      <c r="J708" t="s">
        <v>30277</v>
      </c>
      <c r="K708" t="s">
        <v>39046</v>
      </c>
      <c r="L708" t="s">
        <v>326</v>
      </c>
      <c r="M708" t="s">
        <v>39622</v>
      </c>
      <c r="N708" t="s">
        <v>43166</v>
      </c>
      <c r="O708" t="s">
        <v>43167</v>
      </c>
      <c r="P708">
        <v>0</v>
      </c>
      <c r="Q708">
        <v>0</v>
      </c>
      <c r="R708" t="s">
        <v>43168</v>
      </c>
      <c r="S708" t="s">
        <v>43286</v>
      </c>
      <c r="T708" t="s">
        <v>44726</v>
      </c>
      <c r="U708" t="s">
        <v>45783</v>
      </c>
      <c r="W708" t="s">
        <v>39622</v>
      </c>
      <c r="X708" t="s">
        <v>43170</v>
      </c>
    </row>
    <row r="709" spans="1:24">
      <c r="A709">
        <f>HYPERLINK("https://www.philgeps.gov.ph/GEPSNONPILOT/Tender/SplashBidNoticeAbstractUI.aspx?menuIndex=3&amp;refID=7087188&amp;Result=3","7087188")</f>
        <v>0</v>
      </c>
      <c r="B709" t="s">
        <v>321</v>
      </c>
      <c r="C709" t="s">
        <v>4125</v>
      </c>
      <c r="D709" t="s">
        <v>17465</v>
      </c>
      <c r="E709" t="s">
        <v>18176</v>
      </c>
      <c r="F709" t="s">
        <v>30052</v>
      </c>
      <c r="G709" t="s">
        <v>30061</v>
      </c>
      <c r="H709" t="s">
        <v>15498</v>
      </c>
      <c r="I709" t="s">
        <v>4119</v>
      </c>
      <c r="J709" t="s">
        <v>30333</v>
      </c>
      <c r="K709" t="s">
        <v>39034</v>
      </c>
      <c r="M709" t="s">
        <v>39617</v>
      </c>
      <c r="N709" t="s">
        <v>43166</v>
      </c>
      <c r="O709" t="s">
        <v>43167</v>
      </c>
      <c r="P709">
        <v>0</v>
      </c>
      <c r="Q709">
        <v>0</v>
      </c>
      <c r="R709" t="s">
        <v>43168</v>
      </c>
      <c r="S709" t="s">
        <v>43286</v>
      </c>
      <c r="T709" t="s">
        <v>44788</v>
      </c>
      <c r="U709" t="s">
        <v>45782</v>
      </c>
      <c r="W709" t="s">
        <v>39617</v>
      </c>
      <c r="X709" t="s">
        <v>43170</v>
      </c>
    </row>
    <row r="710" spans="1:24">
      <c r="A710">
        <f>HYPERLINK("https://www.philgeps.gov.ph/GEPSNONPILOT/Tender/SplashBidNoticeAbstractUI.aspx?menuIndex=3&amp;refID=7087178&amp;Result=3","7087178")</f>
        <v>0</v>
      </c>
      <c r="B710" t="s">
        <v>327</v>
      </c>
      <c r="C710" t="s">
        <v>4127</v>
      </c>
      <c r="E710" t="s">
        <v>18177</v>
      </c>
      <c r="F710" t="s">
        <v>30052</v>
      </c>
      <c r="G710" t="s">
        <v>30062</v>
      </c>
      <c r="H710" t="s">
        <v>15498</v>
      </c>
      <c r="I710" t="s">
        <v>4119</v>
      </c>
      <c r="J710" t="s">
        <v>30754</v>
      </c>
      <c r="K710" t="s">
        <v>39025</v>
      </c>
      <c r="M710" t="s">
        <v>39623</v>
      </c>
      <c r="N710" t="s">
        <v>43166</v>
      </c>
      <c r="O710" t="s">
        <v>43167</v>
      </c>
      <c r="P710">
        <v>0</v>
      </c>
      <c r="Q710">
        <v>6</v>
      </c>
      <c r="R710" t="s">
        <v>43168</v>
      </c>
      <c r="S710" t="s">
        <v>43286</v>
      </c>
      <c r="T710" t="s">
        <v>44695</v>
      </c>
      <c r="U710" t="s">
        <v>45784</v>
      </c>
      <c r="W710" t="s">
        <v>39623</v>
      </c>
      <c r="X710" t="s">
        <v>43170</v>
      </c>
    </row>
    <row r="711" spans="1:24">
      <c r="A711">
        <f>HYPERLINK("https://www.philgeps.gov.ph/GEPSNONPILOT/Tender/SplashBidNoticeAbstractUI.aspx?menuIndex=3&amp;refID=7086978&amp;Result=3","7086978")</f>
        <v>0</v>
      </c>
      <c r="B711" t="s">
        <v>311</v>
      </c>
      <c r="C711" t="s">
        <v>4128</v>
      </c>
      <c r="D711" t="s">
        <v>17429</v>
      </c>
      <c r="E711" t="s">
        <v>18178</v>
      </c>
      <c r="F711" t="s">
        <v>30052</v>
      </c>
      <c r="G711" t="s">
        <v>30059</v>
      </c>
      <c r="H711" t="s">
        <v>15498</v>
      </c>
      <c r="I711" t="s">
        <v>30073</v>
      </c>
      <c r="J711" t="s">
        <v>30755</v>
      </c>
      <c r="K711" t="s">
        <v>39018</v>
      </c>
      <c r="M711" t="s">
        <v>39607</v>
      </c>
      <c r="N711" t="s">
        <v>43166</v>
      </c>
      <c r="O711" t="s">
        <v>43167</v>
      </c>
      <c r="P711">
        <v>0</v>
      </c>
      <c r="Q711">
        <v>0</v>
      </c>
      <c r="R711" t="s">
        <v>43168</v>
      </c>
      <c r="S711" t="s">
        <v>43286</v>
      </c>
      <c r="T711" t="s">
        <v>44708</v>
      </c>
      <c r="U711" t="s">
        <v>45770</v>
      </c>
      <c r="W711" t="s">
        <v>39607</v>
      </c>
      <c r="X711" t="s">
        <v>43171</v>
      </c>
    </row>
    <row r="712" spans="1:24">
      <c r="A712">
        <f>HYPERLINK("https://www.philgeps.gov.ph/GEPSNONPILOT/Tender/SplashBidNoticeAbstractUI.aspx?menuIndex=3&amp;refID=7087166&amp;Result=3","7087166")</f>
        <v>0</v>
      </c>
      <c r="B712" t="s">
        <v>328</v>
      </c>
      <c r="C712" t="s">
        <v>4125</v>
      </c>
      <c r="D712" t="s">
        <v>17465</v>
      </c>
      <c r="E712" t="s">
        <v>18179</v>
      </c>
      <c r="F712" t="s">
        <v>30052</v>
      </c>
      <c r="G712" t="s">
        <v>30061</v>
      </c>
      <c r="H712" t="s">
        <v>15498</v>
      </c>
      <c r="I712" t="s">
        <v>4119</v>
      </c>
      <c r="J712" t="s">
        <v>30756</v>
      </c>
      <c r="K712" t="s">
        <v>39034</v>
      </c>
      <c r="M712" t="s">
        <v>39624</v>
      </c>
      <c r="N712" t="s">
        <v>43166</v>
      </c>
      <c r="O712" t="s">
        <v>43167</v>
      </c>
      <c r="P712">
        <v>0</v>
      </c>
      <c r="Q712">
        <v>1</v>
      </c>
      <c r="R712" t="s">
        <v>43168</v>
      </c>
      <c r="S712" t="s">
        <v>43286</v>
      </c>
      <c r="T712" t="s">
        <v>44788</v>
      </c>
      <c r="U712" t="s">
        <v>45782</v>
      </c>
      <c r="W712" t="s">
        <v>39624</v>
      </c>
      <c r="X712" t="s">
        <v>43170</v>
      </c>
    </row>
    <row r="713" spans="1:24">
      <c r="A713">
        <f>HYPERLINK("https://www.philgeps.gov.ph/GEPSNONPILOT/Tender/SplashBidNoticeAbstractUI.aspx?menuIndex=3&amp;refID=7087164&amp;Result=3","7087164")</f>
        <v>0</v>
      </c>
      <c r="B713" t="s">
        <v>328</v>
      </c>
      <c r="C713" t="s">
        <v>4125</v>
      </c>
      <c r="D713" t="s">
        <v>17465</v>
      </c>
      <c r="E713" t="s">
        <v>18180</v>
      </c>
      <c r="F713" t="s">
        <v>30052</v>
      </c>
      <c r="G713" t="s">
        <v>30061</v>
      </c>
      <c r="H713" t="s">
        <v>15498</v>
      </c>
      <c r="I713" t="s">
        <v>4119</v>
      </c>
      <c r="J713" t="s">
        <v>30757</v>
      </c>
      <c r="K713" t="s">
        <v>39034</v>
      </c>
      <c r="M713" t="s">
        <v>39624</v>
      </c>
      <c r="N713" t="s">
        <v>43166</v>
      </c>
      <c r="O713" t="s">
        <v>43167</v>
      </c>
      <c r="P713">
        <v>0</v>
      </c>
      <c r="Q713">
        <v>1</v>
      </c>
      <c r="R713" t="s">
        <v>43168</v>
      </c>
      <c r="S713" t="s">
        <v>43286</v>
      </c>
      <c r="T713" t="s">
        <v>44788</v>
      </c>
      <c r="U713" t="s">
        <v>45782</v>
      </c>
      <c r="W713" t="s">
        <v>39624</v>
      </c>
      <c r="X713" t="s">
        <v>43170</v>
      </c>
    </row>
    <row r="714" spans="1:24">
      <c r="A714">
        <f>HYPERLINK("https://www.philgeps.gov.ph/GEPSNONPILOT/Tender/SplashBidNoticeAbstractUI.aspx?menuIndex=3&amp;refID=7087163&amp;Result=3","7087163")</f>
        <v>0</v>
      </c>
      <c r="B714" t="s">
        <v>328</v>
      </c>
      <c r="C714" t="s">
        <v>4125</v>
      </c>
      <c r="D714" t="s">
        <v>17465</v>
      </c>
      <c r="E714" t="s">
        <v>18181</v>
      </c>
      <c r="F714" t="s">
        <v>30052</v>
      </c>
      <c r="G714" t="s">
        <v>30061</v>
      </c>
      <c r="H714" t="s">
        <v>15498</v>
      </c>
      <c r="I714" t="s">
        <v>4119</v>
      </c>
      <c r="J714" t="s">
        <v>30758</v>
      </c>
      <c r="K714" t="s">
        <v>39034</v>
      </c>
      <c r="M714" t="s">
        <v>39624</v>
      </c>
      <c r="N714" t="s">
        <v>43166</v>
      </c>
      <c r="O714" t="s">
        <v>43167</v>
      </c>
      <c r="P714">
        <v>0</v>
      </c>
      <c r="Q714">
        <v>2</v>
      </c>
      <c r="R714" t="s">
        <v>43168</v>
      </c>
      <c r="S714" t="s">
        <v>43286</v>
      </c>
      <c r="T714" t="s">
        <v>44788</v>
      </c>
      <c r="U714" t="s">
        <v>45782</v>
      </c>
      <c r="W714" t="s">
        <v>39624</v>
      </c>
      <c r="X714" t="s">
        <v>43170</v>
      </c>
    </row>
    <row r="715" spans="1:24">
      <c r="A715">
        <f>HYPERLINK("https://www.philgeps.gov.ph/GEPSNONPILOT/Tender/SplashBidNoticeAbstractUI.aspx?menuIndex=3&amp;refID=7087189&amp;Result=3","7087189")</f>
        <v>0</v>
      </c>
      <c r="B715" t="s">
        <v>321</v>
      </c>
      <c r="C715" t="s">
        <v>4125</v>
      </c>
      <c r="D715" t="s">
        <v>17465</v>
      </c>
      <c r="E715" t="s">
        <v>18182</v>
      </c>
      <c r="F715" t="s">
        <v>30052</v>
      </c>
      <c r="G715" t="s">
        <v>30061</v>
      </c>
      <c r="H715" t="s">
        <v>15498</v>
      </c>
      <c r="I715" t="s">
        <v>4119</v>
      </c>
      <c r="J715" t="s">
        <v>30333</v>
      </c>
      <c r="K715" t="s">
        <v>39034</v>
      </c>
      <c r="M715" t="s">
        <v>39617</v>
      </c>
      <c r="N715" t="s">
        <v>43166</v>
      </c>
      <c r="O715" t="s">
        <v>43167</v>
      </c>
      <c r="P715">
        <v>0</v>
      </c>
      <c r="Q715">
        <v>0</v>
      </c>
      <c r="R715" t="s">
        <v>43168</v>
      </c>
      <c r="S715" t="s">
        <v>43286</v>
      </c>
      <c r="T715" t="s">
        <v>44788</v>
      </c>
      <c r="U715" t="s">
        <v>45782</v>
      </c>
      <c r="W715" t="s">
        <v>39617</v>
      </c>
      <c r="X715" t="s">
        <v>43170</v>
      </c>
    </row>
    <row r="716" spans="1:24">
      <c r="A716">
        <f>HYPERLINK("https://www.philgeps.gov.ph/GEPSNONPILOT/Tender/SplashBidNoticeAbstractUI.aspx?menuIndex=3&amp;refID=7087113&amp;Result=3","7087113")</f>
        <v>0</v>
      </c>
      <c r="B716" t="s">
        <v>329</v>
      </c>
      <c r="C716" t="s">
        <v>4129</v>
      </c>
      <c r="D716" t="s">
        <v>17415</v>
      </c>
      <c r="E716" t="s">
        <v>18183</v>
      </c>
      <c r="F716" t="s">
        <v>30052</v>
      </c>
      <c r="G716" t="s">
        <v>30059</v>
      </c>
      <c r="H716" t="s">
        <v>15498</v>
      </c>
      <c r="I716" t="s">
        <v>9238</v>
      </c>
      <c r="J716" t="s">
        <v>30638</v>
      </c>
      <c r="K716" t="s">
        <v>39029</v>
      </c>
      <c r="M716" t="s">
        <v>39625</v>
      </c>
      <c r="N716" t="s">
        <v>43166</v>
      </c>
      <c r="O716" t="s">
        <v>43167</v>
      </c>
      <c r="P716">
        <v>0</v>
      </c>
      <c r="Q716">
        <v>18</v>
      </c>
      <c r="R716" t="s">
        <v>43168</v>
      </c>
      <c r="S716" t="s">
        <v>43286</v>
      </c>
      <c r="T716" t="s">
        <v>44678</v>
      </c>
      <c r="U716" t="s">
        <v>45785</v>
      </c>
      <c r="W716" t="s">
        <v>39625</v>
      </c>
      <c r="X716" t="s">
        <v>43171</v>
      </c>
    </row>
    <row r="717" spans="1:24">
      <c r="A717">
        <f>HYPERLINK("https://www.philgeps.gov.ph/GEPSNONPILOT/Tender/SplashBidNoticeAbstractUI.aspx?menuIndex=3&amp;refID=7087195&amp;Result=3","7087195")</f>
        <v>0</v>
      </c>
      <c r="B717" t="s">
        <v>160</v>
      </c>
      <c r="C717" t="s">
        <v>3678</v>
      </c>
      <c r="D717" t="s">
        <v>17465</v>
      </c>
      <c r="E717" t="s">
        <v>18184</v>
      </c>
      <c r="F717" t="s">
        <v>30052</v>
      </c>
      <c r="G717" t="s">
        <v>30062</v>
      </c>
      <c r="H717" t="s">
        <v>15498</v>
      </c>
      <c r="I717" t="s">
        <v>4119</v>
      </c>
      <c r="J717" t="s">
        <v>30759</v>
      </c>
      <c r="K717" t="s">
        <v>39036</v>
      </c>
      <c r="M717" t="s">
        <v>39449</v>
      </c>
      <c r="N717" t="s">
        <v>43166</v>
      </c>
      <c r="O717" t="s">
        <v>43167</v>
      </c>
      <c r="P717">
        <v>0</v>
      </c>
      <c r="Q717">
        <v>0</v>
      </c>
      <c r="R717" t="s">
        <v>43168</v>
      </c>
      <c r="S717" t="s">
        <v>43286</v>
      </c>
      <c r="T717" t="s">
        <v>44695</v>
      </c>
      <c r="U717" t="s">
        <v>45435</v>
      </c>
      <c r="W717" t="s">
        <v>39449</v>
      </c>
      <c r="X717" t="s">
        <v>43170</v>
      </c>
    </row>
    <row r="718" spans="1:24">
      <c r="A718">
        <f>HYPERLINK("https://www.philgeps.gov.ph/GEPSNONPILOT/Tender/SplashBidNoticeAbstractUI.aspx?menuIndex=3&amp;refID=7087224&amp;Result=3","7087224")</f>
        <v>0</v>
      </c>
      <c r="B718" t="s">
        <v>330</v>
      </c>
      <c r="C718" t="s">
        <v>4130</v>
      </c>
      <c r="D718" t="s">
        <v>17415</v>
      </c>
      <c r="E718" t="s">
        <v>18185</v>
      </c>
      <c r="F718" t="s">
        <v>30052</v>
      </c>
      <c r="G718" t="s">
        <v>30058</v>
      </c>
      <c r="H718" t="s">
        <v>15498</v>
      </c>
      <c r="I718" t="s">
        <v>3852</v>
      </c>
      <c r="J718" t="s">
        <v>30277</v>
      </c>
      <c r="K718" t="s">
        <v>39035</v>
      </c>
      <c r="M718" t="s">
        <v>39626</v>
      </c>
      <c r="N718" t="s">
        <v>43166</v>
      </c>
      <c r="O718" t="s">
        <v>43167</v>
      </c>
      <c r="P718">
        <v>0</v>
      </c>
      <c r="Q718">
        <v>0</v>
      </c>
      <c r="R718" t="s">
        <v>43168</v>
      </c>
      <c r="S718" t="s">
        <v>43286</v>
      </c>
      <c r="T718" t="s">
        <v>44679</v>
      </c>
      <c r="U718" t="s">
        <v>45786</v>
      </c>
      <c r="W718" t="s">
        <v>39626</v>
      </c>
      <c r="X718" t="s">
        <v>43170</v>
      </c>
    </row>
    <row r="719" spans="1:24">
      <c r="A719">
        <f>HYPERLINK("https://www.philgeps.gov.ph/GEPSNONPILOT/Tender/SplashBidNoticeAbstractUI.aspx?menuIndex=3&amp;refID=7087222&amp;Result=3","7087222")</f>
        <v>0</v>
      </c>
      <c r="B719" t="s">
        <v>330</v>
      </c>
      <c r="C719" t="s">
        <v>4130</v>
      </c>
      <c r="D719" t="s">
        <v>17415</v>
      </c>
      <c r="E719" t="s">
        <v>18186</v>
      </c>
      <c r="F719" t="s">
        <v>30052</v>
      </c>
      <c r="G719" t="s">
        <v>30058</v>
      </c>
      <c r="H719" t="s">
        <v>15498</v>
      </c>
      <c r="I719" t="s">
        <v>3852</v>
      </c>
      <c r="J719" t="s">
        <v>30559</v>
      </c>
      <c r="K719" t="s">
        <v>39035</v>
      </c>
      <c r="M719" t="s">
        <v>39626</v>
      </c>
      <c r="N719" t="s">
        <v>43166</v>
      </c>
      <c r="O719" t="s">
        <v>43167</v>
      </c>
      <c r="P719">
        <v>0</v>
      </c>
      <c r="Q719">
        <v>1</v>
      </c>
      <c r="R719" t="s">
        <v>43168</v>
      </c>
      <c r="S719" t="s">
        <v>43286</v>
      </c>
      <c r="T719" t="s">
        <v>44679</v>
      </c>
      <c r="U719" t="s">
        <v>45787</v>
      </c>
      <c r="W719" t="s">
        <v>39626</v>
      </c>
      <c r="X719" t="s">
        <v>43170</v>
      </c>
    </row>
    <row r="720" spans="1:24">
      <c r="A720">
        <f>HYPERLINK("https://www.philgeps.gov.ph/GEPSNONPILOT/Tender/SplashBidNoticeAbstractUI.aspx?menuIndex=3&amp;refID=7087220&amp;Result=3","7087220")</f>
        <v>0</v>
      </c>
      <c r="B720" t="s">
        <v>330</v>
      </c>
      <c r="C720" t="s">
        <v>4130</v>
      </c>
      <c r="D720" t="s">
        <v>17415</v>
      </c>
      <c r="E720" t="s">
        <v>18187</v>
      </c>
      <c r="F720" t="s">
        <v>30052</v>
      </c>
      <c r="G720" t="s">
        <v>30058</v>
      </c>
      <c r="H720" t="s">
        <v>15498</v>
      </c>
      <c r="I720" t="s">
        <v>3852</v>
      </c>
      <c r="J720" t="s">
        <v>30760</v>
      </c>
      <c r="K720" t="s">
        <v>39035</v>
      </c>
      <c r="M720" t="s">
        <v>39626</v>
      </c>
      <c r="N720" t="s">
        <v>43166</v>
      </c>
      <c r="O720" t="s">
        <v>43167</v>
      </c>
      <c r="P720">
        <v>0</v>
      </c>
      <c r="Q720">
        <v>1</v>
      </c>
      <c r="R720" t="s">
        <v>43168</v>
      </c>
      <c r="S720" t="s">
        <v>43286</v>
      </c>
      <c r="T720" t="s">
        <v>44679</v>
      </c>
      <c r="U720" t="s">
        <v>45788</v>
      </c>
      <c r="W720" t="s">
        <v>39626</v>
      </c>
      <c r="X720" t="s">
        <v>43170</v>
      </c>
    </row>
    <row r="721" spans="1:24">
      <c r="A721">
        <f>HYPERLINK("https://www.philgeps.gov.ph/GEPSNONPILOT/Tender/SplashBidNoticeAbstractUI.aspx?menuIndex=3&amp;refID=7087215&amp;Result=3","7087215")</f>
        <v>0</v>
      </c>
      <c r="B721" t="s">
        <v>330</v>
      </c>
      <c r="C721" t="s">
        <v>4130</v>
      </c>
      <c r="D721" t="s">
        <v>17415</v>
      </c>
      <c r="E721" t="s">
        <v>18188</v>
      </c>
      <c r="F721" t="s">
        <v>30052</v>
      </c>
      <c r="G721" t="s">
        <v>30058</v>
      </c>
      <c r="H721" t="s">
        <v>15498</v>
      </c>
      <c r="I721" t="s">
        <v>30098</v>
      </c>
      <c r="J721" t="s">
        <v>30559</v>
      </c>
      <c r="K721" t="s">
        <v>39035</v>
      </c>
      <c r="M721" t="s">
        <v>39626</v>
      </c>
      <c r="N721" t="s">
        <v>43166</v>
      </c>
      <c r="O721" t="s">
        <v>43167</v>
      </c>
      <c r="P721">
        <v>0</v>
      </c>
      <c r="Q721">
        <v>4</v>
      </c>
      <c r="R721" t="s">
        <v>43168</v>
      </c>
      <c r="S721" t="s">
        <v>43286</v>
      </c>
      <c r="T721" t="s">
        <v>44679</v>
      </c>
      <c r="U721" t="s">
        <v>45789</v>
      </c>
      <c r="W721" t="s">
        <v>39626</v>
      </c>
      <c r="X721" t="s">
        <v>43170</v>
      </c>
    </row>
    <row r="722" spans="1:24">
      <c r="A722">
        <f>HYPERLINK("https://www.philgeps.gov.ph/GEPSNONPILOT/Tender/SplashBidNoticeAbstractUI.aspx?menuIndex=3&amp;refID=7087204&amp;Result=3","7087204")</f>
        <v>0</v>
      </c>
      <c r="B722" t="s">
        <v>331</v>
      </c>
      <c r="C722" t="s">
        <v>4131</v>
      </c>
      <c r="D722" t="s">
        <v>17415</v>
      </c>
      <c r="E722" t="s">
        <v>18189</v>
      </c>
      <c r="F722" t="s">
        <v>30052</v>
      </c>
      <c r="G722" t="s">
        <v>30059</v>
      </c>
      <c r="H722" t="s">
        <v>30069</v>
      </c>
      <c r="I722" t="s">
        <v>30137</v>
      </c>
      <c r="J722" t="s">
        <v>30761</v>
      </c>
      <c r="K722" t="s">
        <v>39059</v>
      </c>
      <c r="M722" t="s">
        <v>39627</v>
      </c>
      <c r="N722" t="s">
        <v>43166</v>
      </c>
      <c r="O722" t="s">
        <v>43167</v>
      </c>
      <c r="P722">
        <v>0</v>
      </c>
      <c r="Q722">
        <v>1</v>
      </c>
      <c r="R722" t="s">
        <v>43168</v>
      </c>
      <c r="S722" t="s">
        <v>43286</v>
      </c>
      <c r="T722" t="s">
        <v>44705</v>
      </c>
      <c r="U722" t="s">
        <v>45790</v>
      </c>
      <c r="V722" t="s">
        <v>56898</v>
      </c>
      <c r="W722" t="s">
        <v>39627</v>
      </c>
      <c r="X722" t="s">
        <v>43170</v>
      </c>
    </row>
    <row r="723" spans="1:24">
      <c r="A723">
        <f>HYPERLINK("https://www.philgeps.gov.ph/GEPSNONPILOT/Tender/SplashBidNoticeAbstractUI.aspx?menuIndex=3&amp;refID=7087161&amp;Result=3","7087161")</f>
        <v>0</v>
      </c>
      <c r="B723" t="s">
        <v>328</v>
      </c>
      <c r="C723" t="s">
        <v>4125</v>
      </c>
      <c r="D723" t="s">
        <v>17465</v>
      </c>
      <c r="E723" t="s">
        <v>18190</v>
      </c>
      <c r="F723" t="s">
        <v>30052</v>
      </c>
      <c r="G723" t="s">
        <v>30061</v>
      </c>
      <c r="H723" t="s">
        <v>15498</v>
      </c>
      <c r="I723" t="s">
        <v>4119</v>
      </c>
      <c r="J723" t="s">
        <v>30762</v>
      </c>
      <c r="K723" t="s">
        <v>39034</v>
      </c>
      <c r="M723" t="s">
        <v>39624</v>
      </c>
      <c r="N723" t="s">
        <v>43166</v>
      </c>
      <c r="O723" t="s">
        <v>43167</v>
      </c>
      <c r="P723">
        <v>0</v>
      </c>
      <c r="Q723">
        <v>1</v>
      </c>
      <c r="R723" t="s">
        <v>43168</v>
      </c>
      <c r="S723" t="s">
        <v>43286</v>
      </c>
      <c r="T723" t="s">
        <v>44788</v>
      </c>
      <c r="U723" t="s">
        <v>45782</v>
      </c>
      <c r="W723" t="s">
        <v>39624</v>
      </c>
      <c r="X723" t="s">
        <v>43170</v>
      </c>
    </row>
    <row r="724" spans="1:24">
      <c r="A724">
        <f>HYPERLINK("https://www.philgeps.gov.ph/GEPSNONPILOT/Tender/SplashBidNoticeAbstractUI.aspx?menuIndex=3&amp;refID=7087197&amp;Result=3","7087197")</f>
        <v>0</v>
      </c>
      <c r="B724" t="s">
        <v>160</v>
      </c>
      <c r="C724" t="s">
        <v>3678</v>
      </c>
      <c r="D724" t="s">
        <v>17465</v>
      </c>
      <c r="E724" t="s">
        <v>18191</v>
      </c>
      <c r="F724" t="s">
        <v>30052</v>
      </c>
      <c r="G724" t="s">
        <v>30062</v>
      </c>
      <c r="H724" t="s">
        <v>15498</v>
      </c>
      <c r="I724" t="s">
        <v>4119</v>
      </c>
      <c r="J724" t="s">
        <v>30763</v>
      </c>
      <c r="K724" t="s">
        <v>39036</v>
      </c>
      <c r="M724" t="s">
        <v>39449</v>
      </c>
      <c r="N724" t="s">
        <v>43166</v>
      </c>
      <c r="O724" t="s">
        <v>43167</v>
      </c>
      <c r="P724">
        <v>0</v>
      </c>
      <c r="Q724">
        <v>0</v>
      </c>
      <c r="R724" t="s">
        <v>43168</v>
      </c>
      <c r="S724" t="s">
        <v>43286</v>
      </c>
      <c r="T724" t="s">
        <v>44695</v>
      </c>
      <c r="U724" t="s">
        <v>45435</v>
      </c>
      <c r="W724" t="s">
        <v>39449</v>
      </c>
      <c r="X724" t="s">
        <v>43170</v>
      </c>
    </row>
    <row r="725" spans="1:24">
      <c r="A725">
        <f>HYPERLINK("https://www.philgeps.gov.ph/GEPSNONPILOT/Tender/SplashBidNoticeAbstractUI.aspx?menuIndex=3&amp;refID=7087165&amp;Result=3","7087165")</f>
        <v>0</v>
      </c>
      <c r="B725" t="s">
        <v>328</v>
      </c>
      <c r="C725" t="s">
        <v>4118</v>
      </c>
      <c r="D725" t="s">
        <v>17465</v>
      </c>
      <c r="E725" t="s">
        <v>18192</v>
      </c>
      <c r="F725" t="s">
        <v>30052</v>
      </c>
      <c r="G725" t="s">
        <v>30061</v>
      </c>
      <c r="H725" t="s">
        <v>15498</v>
      </c>
      <c r="I725" t="s">
        <v>30071</v>
      </c>
      <c r="J725" t="s">
        <v>30764</v>
      </c>
      <c r="K725" t="s">
        <v>39034</v>
      </c>
      <c r="M725" t="s">
        <v>39624</v>
      </c>
      <c r="N725" t="s">
        <v>43166</v>
      </c>
      <c r="O725" t="s">
        <v>43167</v>
      </c>
      <c r="P725">
        <v>0</v>
      </c>
      <c r="Q725">
        <v>0</v>
      </c>
      <c r="R725" t="s">
        <v>43168</v>
      </c>
      <c r="S725" t="s">
        <v>43286</v>
      </c>
      <c r="T725" t="s">
        <v>44788</v>
      </c>
      <c r="U725" t="s">
        <v>45774</v>
      </c>
      <c r="W725" t="s">
        <v>39624</v>
      </c>
      <c r="X725" t="s">
        <v>43170</v>
      </c>
    </row>
    <row r="726" spans="1:24">
      <c r="A726">
        <f>HYPERLINK("https://www.philgeps.gov.ph/GEPSNONPILOT/Tender/SplashBidNoticeAbstractUI.aspx?menuIndex=3&amp;refID=7087219&amp;Result=3","7087219")</f>
        <v>0</v>
      </c>
      <c r="B726" t="s">
        <v>304</v>
      </c>
      <c r="C726" t="s">
        <v>4132</v>
      </c>
      <c r="D726" t="s">
        <v>17438</v>
      </c>
      <c r="E726" t="s">
        <v>18193</v>
      </c>
      <c r="F726" t="s">
        <v>30052</v>
      </c>
      <c r="G726" t="s">
        <v>30058</v>
      </c>
      <c r="H726" t="s">
        <v>15498</v>
      </c>
      <c r="I726" t="s">
        <v>30073</v>
      </c>
      <c r="J726" t="s">
        <v>30765</v>
      </c>
      <c r="K726" t="s">
        <v>39029</v>
      </c>
      <c r="M726" t="s">
        <v>39599</v>
      </c>
      <c r="N726" t="s">
        <v>43166</v>
      </c>
      <c r="O726" t="s">
        <v>43167</v>
      </c>
      <c r="P726">
        <v>0</v>
      </c>
      <c r="Q726">
        <v>0</v>
      </c>
      <c r="R726" t="s">
        <v>43168</v>
      </c>
      <c r="S726" t="s">
        <v>43286</v>
      </c>
      <c r="T726" t="s">
        <v>44733</v>
      </c>
      <c r="U726" t="s">
        <v>45791</v>
      </c>
      <c r="W726" t="s">
        <v>39599</v>
      </c>
      <c r="X726" t="s">
        <v>43170</v>
      </c>
    </row>
    <row r="727" spans="1:24">
      <c r="A727">
        <f>HYPERLINK("https://www.philgeps.gov.ph/GEPSNONPILOT/Tender/SplashBidNoticeAbstractUI.aspx?menuIndex=3&amp;refID=7087241&amp;Result=3","7087241")</f>
        <v>0</v>
      </c>
      <c r="B727" t="s">
        <v>332</v>
      </c>
      <c r="C727" t="s">
        <v>4133</v>
      </c>
      <c r="D727" t="s">
        <v>17462</v>
      </c>
      <c r="E727" t="s">
        <v>18194</v>
      </c>
      <c r="F727" t="s">
        <v>30052</v>
      </c>
      <c r="G727" t="s">
        <v>30059</v>
      </c>
      <c r="H727" t="s">
        <v>15498</v>
      </c>
      <c r="I727" t="s">
        <v>6691</v>
      </c>
      <c r="J727" t="s">
        <v>30766</v>
      </c>
      <c r="K727" t="s">
        <v>39025</v>
      </c>
      <c r="M727" t="s">
        <v>39628</v>
      </c>
      <c r="N727" t="s">
        <v>43166</v>
      </c>
      <c r="O727" t="s">
        <v>43167</v>
      </c>
      <c r="P727">
        <v>0</v>
      </c>
      <c r="Q727">
        <v>0</v>
      </c>
      <c r="R727" t="s">
        <v>43168</v>
      </c>
      <c r="S727" t="s">
        <v>43286</v>
      </c>
      <c r="T727" t="s">
        <v>44754</v>
      </c>
      <c r="U727" t="s">
        <v>45792</v>
      </c>
      <c r="V727" t="s">
        <v>56899</v>
      </c>
      <c r="W727" t="s">
        <v>39628</v>
      </c>
      <c r="X727" t="s">
        <v>43170</v>
      </c>
    </row>
    <row r="728" spans="1:24">
      <c r="A728">
        <f>HYPERLINK("https://www.philgeps.gov.ph/GEPSNONPILOT/Tender/SplashBidNoticeAbstractUI.aspx?menuIndex=3&amp;refID=7087238&amp;Result=3","7087238")</f>
        <v>0</v>
      </c>
      <c r="B728" t="s">
        <v>332</v>
      </c>
      <c r="C728" t="s">
        <v>4134</v>
      </c>
      <c r="D728" t="s">
        <v>17462</v>
      </c>
      <c r="E728" t="s">
        <v>18195</v>
      </c>
      <c r="F728" t="s">
        <v>30052</v>
      </c>
      <c r="G728" t="s">
        <v>30058</v>
      </c>
      <c r="H728" t="s">
        <v>30067</v>
      </c>
      <c r="I728" t="s">
        <v>3693</v>
      </c>
      <c r="J728" t="s">
        <v>30559</v>
      </c>
      <c r="K728" t="s">
        <v>39025</v>
      </c>
      <c r="M728" t="s">
        <v>39628</v>
      </c>
      <c r="N728" t="s">
        <v>43166</v>
      </c>
      <c r="O728" t="s">
        <v>43167</v>
      </c>
      <c r="P728">
        <v>0</v>
      </c>
      <c r="Q728">
        <v>0</v>
      </c>
      <c r="R728" t="s">
        <v>43168</v>
      </c>
      <c r="S728" t="s">
        <v>43286</v>
      </c>
      <c r="T728" t="s">
        <v>44754</v>
      </c>
      <c r="U728" t="s">
        <v>45793</v>
      </c>
      <c r="V728" t="s">
        <v>56900</v>
      </c>
      <c r="W728" t="s">
        <v>39628</v>
      </c>
      <c r="X728" t="s">
        <v>43170</v>
      </c>
    </row>
    <row r="729" spans="1:24">
      <c r="A729">
        <f>HYPERLINK("https://www.philgeps.gov.ph/GEPSNONPILOT/Tender/SplashBidNoticeAbstractUI.aspx?menuIndex=3&amp;refID=7087160&amp;Result=3","7087160")</f>
        <v>0</v>
      </c>
      <c r="B729" t="s">
        <v>333</v>
      </c>
      <c r="C729" t="s">
        <v>4125</v>
      </c>
      <c r="D729" t="s">
        <v>17465</v>
      </c>
      <c r="E729" t="s">
        <v>18196</v>
      </c>
      <c r="F729" t="s">
        <v>30052</v>
      </c>
      <c r="G729" t="s">
        <v>30061</v>
      </c>
      <c r="H729" t="s">
        <v>15498</v>
      </c>
      <c r="I729" t="s">
        <v>4119</v>
      </c>
      <c r="J729" t="s">
        <v>30767</v>
      </c>
      <c r="K729" t="s">
        <v>39034</v>
      </c>
      <c r="M729" t="s">
        <v>39629</v>
      </c>
      <c r="N729" t="s">
        <v>43166</v>
      </c>
      <c r="O729" t="s">
        <v>43167</v>
      </c>
      <c r="P729">
        <v>0</v>
      </c>
      <c r="Q729">
        <v>1</v>
      </c>
      <c r="R729" t="s">
        <v>43168</v>
      </c>
      <c r="S729" t="s">
        <v>43286</v>
      </c>
      <c r="T729" t="s">
        <v>44788</v>
      </c>
      <c r="U729" t="s">
        <v>45782</v>
      </c>
      <c r="W729" t="s">
        <v>39629</v>
      </c>
      <c r="X729" t="s">
        <v>43170</v>
      </c>
    </row>
    <row r="730" spans="1:24">
      <c r="A730">
        <f>HYPERLINK("https://www.philgeps.gov.ph/GEPSNONPILOT/Tender/SplashBidNoticeAbstractUI.aspx?menuIndex=3&amp;refID=7087233&amp;Result=3","7087233")</f>
        <v>0</v>
      </c>
      <c r="B730" t="s">
        <v>334</v>
      </c>
      <c r="C730" t="s">
        <v>4135</v>
      </c>
      <c r="D730" t="s">
        <v>17456</v>
      </c>
      <c r="E730" t="s">
        <v>18191</v>
      </c>
      <c r="F730" t="s">
        <v>30052</v>
      </c>
      <c r="G730" t="s">
        <v>30058</v>
      </c>
      <c r="H730" t="s">
        <v>30069</v>
      </c>
      <c r="I730" t="s">
        <v>3852</v>
      </c>
      <c r="J730" t="s">
        <v>30768</v>
      </c>
      <c r="K730" t="s">
        <v>39029</v>
      </c>
      <c r="M730" t="s">
        <v>39630</v>
      </c>
      <c r="N730" t="s">
        <v>43166</v>
      </c>
      <c r="O730" t="s">
        <v>43167</v>
      </c>
      <c r="P730">
        <v>0</v>
      </c>
      <c r="Q730">
        <v>1</v>
      </c>
      <c r="R730" t="s">
        <v>43168</v>
      </c>
      <c r="S730" t="s">
        <v>43286</v>
      </c>
      <c r="T730" t="s">
        <v>44789</v>
      </c>
      <c r="U730" t="s">
        <v>45794</v>
      </c>
      <c r="W730" t="s">
        <v>39630</v>
      </c>
      <c r="X730" t="s">
        <v>43170</v>
      </c>
    </row>
    <row r="731" spans="1:24">
      <c r="A731">
        <f>HYPERLINK("https://www.philgeps.gov.ph/GEPSNONPILOT/Tender/SplashBidNoticeAbstractUI.aspx?menuIndex=3&amp;refID=7087196&amp;Result=3","7087196")</f>
        <v>0</v>
      </c>
      <c r="B731" t="s">
        <v>331</v>
      </c>
      <c r="C731" t="s">
        <v>4136</v>
      </c>
      <c r="D731" t="s">
        <v>17415</v>
      </c>
      <c r="E731" t="s">
        <v>18197</v>
      </c>
      <c r="F731" t="s">
        <v>30052</v>
      </c>
      <c r="G731" t="s">
        <v>30059</v>
      </c>
      <c r="H731" t="s">
        <v>15498</v>
      </c>
      <c r="I731" t="s">
        <v>30137</v>
      </c>
      <c r="J731" t="s">
        <v>30761</v>
      </c>
      <c r="K731" t="s">
        <v>39059</v>
      </c>
      <c r="M731" t="s">
        <v>39627</v>
      </c>
      <c r="N731" t="s">
        <v>43166</v>
      </c>
      <c r="O731" t="s">
        <v>43167</v>
      </c>
      <c r="P731">
        <v>0</v>
      </c>
      <c r="Q731">
        <v>1</v>
      </c>
      <c r="R731" t="s">
        <v>43168</v>
      </c>
      <c r="S731" t="s">
        <v>43286</v>
      </c>
      <c r="T731" t="s">
        <v>44705</v>
      </c>
      <c r="U731" t="s">
        <v>45795</v>
      </c>
      <c r="V731" t="s">
        <v>56898</v>
      </c>
      <c r="W731" t="s">
        <v>39627</v>
      </c>
      <c r="X731" t="s">
        <v>43170</v>
      </c>
    </row>
    <row r="732" spans="1:24">
      <c r="A732">
        <f>HYPERLINK("https://www.philgeps.gov.ph/GEPSNONPILOT/Tender/SplashBidNoticeAbstractUI.aspx?menuIndex=3&amp;refID=7087232&amp;Result=3","7087232")</f>
        <v>0</v>
      </c>
      <c r="B732" t="s">
        <v>335</v>
      </c>
      <c r="C732" t="s">
        <v>4137</v>
      </c>
      <c r="D732" t="s">
        <v>17466</v>
      </c>
      <c r="E732" t="s">
        <v>18198</v>
      </c>
      <c r="F732" t="s">
        <v>30052</v>
      </c>
      <c r="G732" t="s">
        <v>30059</v>
      </c>
      <c r="H732" t="s">
        <v>30069</v>
      </c>
      <c r="I732" t="s">
        <v>4119</v>
      </c>
      <c r="J732" t="s">
        <v>30338</v>
      </c>
      <c r="K732" t="s">
        <v>39017</v>
      </c>
      <c r="M732" t="s">
        <v>39631</v>
      </c>
      <c r="N732" t="s">
        <v>43166</v>
      </c>
      <c r="O732" t="s">
        <v>43167</v>
      </c>
      <c r="P732">
        <v>0</v>
      </c>
      <c r="Q732">
        <v>1</v>
      </c>
      <c r="R732" t="s">
        <v>43168</v>
      </c>
      <c r="S732" t="s">
        <v>43286</v>
      </c>
      <c r="T732" t="s">
        <v>44698</v>
      </c>
      <c r="U732" t="s">
        <v>45796</v>
      </c>
      <c r="W732" t="s">
        <v>39631</v>
      </c>
      <c r="X732" t="s">
        <v>43170</v>
      </c>
    </row>
    <row r="733" spans="1:24">
      <c r="A733">
        <f>HYPERLINK("https://www.philgeps.gov.ph/GEPSNONPILOT/Tender/SplashBidNoticeAbstractUI.aspx?menuIndex=3&amp;refID=7087227&amp;Result=3","7087227")</f>
        <v>0</v>
      </c>
      <c r="B733" t="s">
        <v>330</v>
      </c>
      <c r="C733" t="s">
        <v>4138</v>
      </c>
      <c r="D733" t="s">
        <v>17415</v>
      </c>
      <c r="E733" t="s">
        <v>18199</v>
      </c>
      <c r="F733" t="s">
        <v>30052</v>
      </c>
      <c r="G733" t="s">
        <v>30058</v>
      </c>
      <c r="H733" t="s">
        <v>15498</v>
      </c>
      <c r="I733" t="s">
        <v>3852</v>
      </c>
      <c r="J733" t="s">
        <v>30769</v>
      </c>
      <c r="K733" t="s">
        <v>39035</v>
      </c>
      <c r="M733" t="s">
        <v>39626</v>
      </c>
      <c r="N733" t="s">
        <v>43166</v>
      </c>
      <c r="O733" t="s">
        <v>43167</v>
      </c>
      <c r="P733">
        <v>0</v>
      </c>
      <c r="Q733">
        <v>7</v>
      </c>
      <c r="R733" t="s">
        <v>43168</v>
      </c>
      <c r="S733" t="s">
        <v>43286</v>
      </c>
      <c r="T733" t="s">
        <v>44679</v>
      </c>
      <c r="U733" t="s">
        <v>45797</v>
      </c>
      <c r="W733" t="s">
        <v>39626</v>
      </c>
      <c r="X733" t="s">
        <v>43170</v>
      </c>
    </row>
    <row r="734" spans="1:24">
      <c r="A734">
        <f>HYPERLINK("https://www.philgeps.gov.ph/GEPSNONPILOT/Tender/SplashBidNoticeAbstractUI.aspx?menuIndex=3&amp;refID=7087213&amp;Result=3","7087213")</f>
        <v>0</v>
      </c>
      <c r="B734" t="s">
        <v>247</v>
      </c>
      <c r="C734" t="s">
        <v>3858</v>
      </c>
      <c r="D734" t="s">
        <v>17430</v>
      </c>
      <c r="E734" t="s">
        <v>18200</v>
      </c>
      <c r="F734" t="s">
        <v>30055</v>
      </c>
      <c r="G734" t="s">
        <v>30058</v>
      </c>
      <c r="H734" t="s">
        <v>30067</v>
      </c>
      <c r="I734" t="s">
        <v>3693</v>
      </c>
      <c r="J734" t="s">
        <v>30358</v>
      </c>
      <c r="K734" t="s">
        <v>39019</v>
      </c>
      <c r="L734" t="s">
        <v>247</v>
      </c>
      <c r="M734" t="s">
        <v>39537</v>
      </c>
      <c r="N734" t="s">
        <v>43166</v>
      </c>
      <c r="O734" t="s">
        <v>43167</v>
      </c>
      <c r="P734">
        <v>0</v>
      </c>
      <c r="Q734">
        <v>0</v>
      </c>
      <c r="R734" t="s">
        <v>43168</v>
      </c>
      <c r="S734" t="s">
        <v>43286</v>
      </c>
      <c r="T734" t="s">
        <v>44790</v>
      </c>
      <c r="U734" t="s">
        <v>45798</v>
      </c>
      <c r="V734" t="s">
        <v>56901</v>
      </c>
      <c r="W734" t="s">
        <v>39537</v>
      </c>
      <c r="X734" t="s">
        <v>43170</v>
      </c>
    </row>
    <row r="735" spans="1:24">
      <c r="A735">
        <f>HYPERLINK("https://www.philgeps.gov.ph/GEPSNONPILOT/Tender/SplashBidNoticeAbstractUI.aspx?menuIndex=3&amp;refID=7087225&amp;Result=3","7087225")</f>
        <v>0</v>
      </c>
      <c r="B735" t="s">
        <v>336</v>
      </c>
      <c r="C735" t="s">
        <v>4139</v>
      </c>
      <c r="D735" t="s">
        <v>17455</v>
      </c>
      <c r="E735" t="s">
        <v>17706</v>
      </c>
      <c r="F735" t="s">
        <v>30052</v>
      </c>
      <c r="G735" t="s">
        <v>30058</v>
      </c>
      <c r="H735" t="s">
        <v>15498</v>
      </c>
      <c r="I735" t="s">
        <v>3852</v>
      </c>
      <c r="J735" t="s">
        <v>30770</v>
      </c>
      <c r="K735" t="s">
        <v>39017</v>
      </c>
      <c r="M735" t="s">
        <v>39632</v>
      </c>
      <c r="N735" t="s">
        <v>43166</v>
      </c>
      <c r="O735" t="s">
        <v>43167</v>
      </c>
      <c r="P735">
        <v>0</v>
      </c>
      <c r="Q735">
        <v>1</v>
      </c>
      <c r="R735" t="s">
        <v>43168</v>
      </c>
      <c r="S735" t="s">
        <v>43286</v>
      </c>
      <c r="T735" t="s">
        <v>44757</v>
      </c>
      <c r="U735" t="s">
        <v>45799</v>
      </c>
      <c r="V735" t="s">
        <v>45799</v>
      </c>
      <c r="W735" t="s">
        <v>39632</v>
      </c>
      <c r="X735" t="s">
        <v>43170</v>
      </c>
    </row>
    <row r="736" spans="1:24">
      <c r="A736">
        <f>HYPERLINK("https://www.philgeps.gov.ph/GEPSNONPILOT/Tender/SplashBidNoticeAbstractUI.aspx?menuIndex=3&amp;refID=7087234&amp;Result=3","7087234")</f>
        <v>0</v>
      </c>
      <c r="B736" t="s">
        <v>332</v>
      </c>
      <c r="C736" t="s">
        <v>4140</v>
      </c>
      <c r="D736" t="s">
        <v>17462</v>
      </c>
      <c r="E736" t="s">
        <v>18201</v>
      </c>
      <c r="F736" t="s">
        <v>30052</v>
      </c>
      <c r="G736" t="s">
        <v>30058</v>
      </c>
      <c r="H736" t="s">
        <v>30067</v>
      </c>
      <c r="I736" t="s">
        <v>3693</v>
      </c>
      <c r="J736" t="s">
        <v>30281</v>
      </c>
      <c r="K736" t="s">
        <v>39025</v>
      </c>
      <c r="M736" t="s">
        <v>39628</v>
      </c>
      <c r="N736" t="s">
        <v>43166</v>
      </c>
      <c r="O736" t="s">
        <v>43167</v>
      </c>
      <c r="P736">
        <v>0</v>
      </c>
      <c r="Q736">
        <v>0</v>
      </c>
      <c r="R736" t="s">
        <v>43168</v>
      </c>
      <c r="S736" t="s">
        <v>43286</v>
      </c>
      <c r="T736" t="s">
        <v>44754</v>
      </c>
      <c r="U736" t="s">
        <v>45800</v>
      </c>
      <c r="V736" t="s">
        <v>56902</v>
      </c>
      <c r="W736" t="s">
        <v>39628</v>
      </c>
      <c r="X736" t="s">
        <v>43170</v>
      </c>
    </row>
    <row r="737" spans="1:24">
      <c r="A737">
        <f>HYPERLINK("https://www.philgeps.gov.ph/GEPSNONPILOT/Tender/SplashBidNoticeAbstractUI.aspx?menuIndex=3&amp;refID=7087258&amp;Result=3","7087258")</f>
        <v>0</v>
      </c>
      <c r="B737" t="s">
        <v>337</v>
      </c>
      <c r="C737" t="s">
        <v>4141</v>
      </c>
      <c r="D737" t="s">
        <v>17475</v>
      </c>
      <c r="E737" t="s">
        <v>18202</v>
      </c>
      <c r="F737" t="s">
        <v>30052</v>
      </c>
      <c r="G737" t="s">
        <v>30059</v>
      </c>
      <c r="H737" t="s">
        <v>15498</v>
      </c>
      <c r="I737" t="s">
        <v>3852</v>
      </c>
      <c r="J737" t="s">
        <v>30771</v>
      </c>
      <c r="K737" t="s">
        <v>39018</v>
      </c>
      <c r="M737" t="s">
        <v>39633</v>
      </c>
      <c r="N737" t="s">
        <v>43166</v>
      </c>
      <c r="O737" t="s">
        <v>43167</v>
      </c>
      <c r="P737">
        <v>0</v>
      </c>
      <c r="Q737">
        <v>0</v>
      </c>
      <c r="R737" t="s">
        <v>43168</v>
      </c>
      <c r="S737" t="s">
        <v>43286</v>
      </c>
      <c r="T737" t="s">
        <v>44685</v>
      </c>
      <c r="U737" t="s">
        <v>45801</v>
      </c>
      <c r="W737" t="s">
        <v>39633</v>
      </c>
      <c r="X737" t="s">
        <v>43170</v>
      </c>
    </row>
    <row r="738" spans="1:24">
      <c r="A738">
        <f>HYPERLINK("https://www.philgeps.gov.ph/GEPSNONPILOT/Tender/SplashBidNoticeAbstractUI.aspx?menuIndex=3&amp;refID=7087251&amp;Result=3","7087251")</f>
        <v>0</v>
      </c>
      <c r="B738" t="s">
        <v>338</v>
      </c>
      <c r="C738" t="s">
        <v>4142</v>
      </c>
      <c r="D738" t="s">
        <v>17460</v>
      </c>
      <c r="E738" t="s">
        <v>18203</v>
      </c>
      <c r="F738" t="s">
        <v>30052</v>
      </c>
      <c r="G738" t="s">
        <v>30059</v>
      </c>
      <c r="H738" t="s">
        <v>15498</v>
      </c>
      <c r="I738" t="s">
        <v>30120</v>
      </c>
      <c r="J738" t="s">
        <v>30230</v>
      </c>
      <c r="K738" t="s">
        <v>39019</v>
      </c>
      <c r="M738" t="s">
        <v>39634</v>
      </c>
      <c r="N738" t="s">
        <v>43166</v>
      </c>
      <c r="O738" t="s">
        <v>43167</v>
      </c>
      <c r="P738">
        <v>0</v>
      </c>
      <c r="Q738">
        <v>0</v>
      </c>
      <c r="R738" t="s">
        <v>43168</v>
      </c>
      <c r="S738" t="s">
        <v>43286</v>
      </c>
      <c r="T738" t="s">
        <v>44708</v>
      </c>
      <c r="U738" t="s">
        <v>45802</v>
      </c>
      <c r="W738" t="s">
        <v>39634</v>
      </c>
      <c r="X738" t="s">
        <v>43170</v>
      </c>
    </row>
    <row r="739" spans="1:24">
      <c r="A739">
        <f>HYPERLINK("https://www.philgeps.gov.ph/GEPSNONPILOT/Tender/SplashBidNoticeAbstractUI.aspx?menuIndex=3&amp;refID=7087230&amp;Result=3","7087230")</f>
        <v>0</v>
      </c>
      <c r="B739" t="s">
        <v>330</v>
      </c>
      <c r="C739" t="s">
        <v>4143</v>
      </c>
      <c r="D739" t="s">
        <v>17415</v>
      </c>
      <c r="E739" t="s">
        <v>18204</v>
      </c>
      <c r="F739" t="s">
        <v>30052</v>
      </c>
      <c r="G739" t="s">
        <v>30061</v>
      </c>
      <c r="H739" t="s">
        <v>15498</v>
      </c>
      <c r="I739" t="s">
        <v>3852</v>
      </c>
      <c r="J739" t="s">
        <v>30772</v>
      </c>
      <c r="K739" t="s">
        <v>39035</v>
      </c>
      <c r="M739" t="s">
        <v>39626</v>
      </c>
      <c r="N739" t="s">
        <v>43166</v>
      </c>
      <c r="O739" t="s">
        <v>43167</v>
      </c>
      <c r="P739">
        <v>0</v>
      </c>
      <c r="Q739">
        <v>0</v>
      </c>
      <c r="R739" t="s">
        <v>43168</v>
      </c>
      <c r="S739" t="s">
        <v>43286</v>
      </c>
      <c r="T739" t="s">
        <v>44679</v>
      </c>
      <c r="U739" t="s">
        <v>45797</v>
      </c>
      <c r="W739" t="s">
        <v>39626</v>
      </c>
      <c r="X739" t="s">
        <v>43170</v>
      </c>
    </row>
    <row r="740" spans="1:24">
      <c r="A740">
        <f>HYPERLINK("https://www.philgeps.gov.ph/GEPSNONPILOT/Tender/SplashBidNoticeAbstractUI.aspx?menuIndex=3&amp;refID=7087294&amp;Result=3","7087294")</f>
        <v>0</v>
      </c>
      <c r="B740" t="s">
        <v>339</v>
      </c>
      <c r="C740" t="s">
        <v>4144</v>
      </c>
      <c r="D740" t="s">
        <v>17455</v>
      </c>
      <c r="E740" t="s">
        <v>18205</v>
      </c>
      <c r="F740" t="s">
        <v>30052</v>
      </c>
      <c r="G740" t="s">
        <v>30061</v>
      </c>
      <c r="H740" t="s">
        <v>15498</v>
      </c>
      <c r="I740" t="s">
        <v>3606</v>
      </c>
      <c r="J740" t="s">
        <v>30773</v>
      </c>
      <c r="K740" t="s">
        <v>39039</v>
      </c>
      <c r="M740" t="s">
        <v>39635</v>
      </c>
      <c r="N740" t="s">
        <v>43166</v>
      </c>
      <c r="O740" t="s">
        <v>43167</v>
      </c>
      <c r="P740">
        <v>0</v>
      </c>
      <c r="Q740">
        <v>0</v>
      </c>
      <c r="R740" t="s">
        <v>43168</v>
      </c>
      <c r="S740" t="s">
        <v>43286</v>
      </c>
      <c r="T740" t="s">
        <v>44734</v>
      </c>
      <c r="U740" t="s">
        <v>45803</v>
      </c>
      <c r="W740" t="s">
        <v>39635</v>
      </c>
      <c r="X740" t="s">
        <v>43170</v>
      </c>
    </row>
    <row r="741" spans="1:24">
      <c r="A741">
        <f>HYPERLINK("https://www.philgeps.gov.ph/GEPSNONPILOT/Tender/SplashBidNoticeAbstractUI.aspx?menuIndex=3&amp;refID=7087293&amp;Result=3","7087293")</f>
        <v>0</v>
      </c>
      <c r="B741" t="s">
        <v>340</v>
      </c>
      <c r="C741" t="s">
        <v>4145</v>
      </c>
      <c r="D741" t="s">
        <v>17486</v>
      </c>
      <c r="E741" t="s">
        <v>18206</v>
      </c>
      <c r="F741" t="s">
        <v>30052</v>
      </c>
      <c r="G741" t="s">
        <v>30061</v>
      </c>
      <c r="H741" t="s">
        <v>15498</v>
      </c>
      <c r="I741" t="s">
        <v>30081</v>
      </c>
      <c r="J741" t="s">
        <v>30774</v>
      </c>
      <c r="K741" t="s">
        <v>39025</v>
      </c>
      <c r="M741" t="s">
        <v>39636</v>
      </c>
      <c r="N741" t="s">
        <v>43166</v>
      </c>
      <c r="O741" t="s">
        <v>43167</v>
      </c>
      <c r="P741">
        <v>0</v>
      </c>
      <c r="Q741">
        <v>1</v>
      </c>
      <c r="R741" t="s">
        <v>43168</v>
      </c>
      <c r="S741" t="s">
        <v>43286</v>
      </c>
      <c r="T741" t="s">
        <v>44691</v>
      </c>
      <c r="U741" t="s">
        <v>45804</v>
      </c>
      <c r="V741" t="s">
        <v>56903</v>
      </c>
      <c r="W741" t="s">
        <v>39636</v>
      </c>
      <c r="X741" t="s">
        <v>43170</v>
      </c>
    </row>
    <row r="742" spans="1:24">
      <c r="A742">
        <f>HYPERLINK("https://www.philgeps.gov.ph/GEPSNONPILOT/Tender/SplashBidNoticeAbstractUI.aspx?menuIndex=3&amp;refID=7087288&amp;Result=3","7087288")</f>
        <v>0</v>
      </c>
      <c r="B742" t="s">
        <v>340</v>
      </c>
      <c r="C742" t="s">
        <v>4146</v>
      </c>
      <c r="D742" t="s">
        <v>17486</v>
      </c>
      <c r="E742" t="s">
        <v>18207</v>
      </c>
      <c r="F742" t="s">
        <v>30052</v>
      </c>
      <c r="G742" t="s">
        <v>30059</v>
      </c>
      <c r="H742" t="s">
        <v>15498</v>
      </c>
      <c r="I742" t="s">
        <v>30138</v>
      </c>
      <c r="J742" t="s">
        <v>30775</v>
      </c>
      <c r="K742" t="s">
        <v>39025</v>
      </c>
      <c r="M742" t="s">
        <v>39636</v>
      </c>
      <c r="N742" t="s">
        <v>43166</v>
      </c>
      <c r="O742" t="s">
        <v>43167</v>
      </c>
      <c r="P742">
        <v>0</v>
      </c>
      <c r="Q742">
        <v>0</v>
      </c>
      <c r="R742" t="s">
        <v>43168</v>
      </c>
      <c r="S742" t="s">
        <v>43286</v>
      </c>
      <c r="T742" t="s">
        <v>44691</v>
      </c>
      <c r="U742" t="s">
        <v>45805</v>
      </c>
      <c r="V742" t="s">
        <v>56903</v>
      </c>
      <c r="W742" t="s">
        <v>39636</v>
      </c>
      <c r="X742" t="s">
        <v>43170</v>
      </c>
    </row>
    <row r="743" spans="1:24">
      <c r="A743">
        <f>HYPERLINK("https://www.philgeps.gov.ph/GEPSNONPILOT/Tender/SplashBidNoticeAbstractUI.aspx?menuIndex=3&amp;refID=7087237&amp;Result=3","7087237")</f>
        <v>0</v>
      </c>
      <c r="B743" t="s">
        <v>335</v>
      </c>
      <c r="C743" t="s">
        <v>4147</v>
      </c>
      <c r="D743" t="s">
        <v>17466</v>
      </c>
      <c r="E743" t="s">
        <v>18198</v>
      </c>
      <c r="F743" t="s">
        <v>30052</v>
      </c>
      <c r="G743" t="s">
        <v>30059</v>
      </c>
      <c r="H743" t="s">
        <v>30069</v>
      </c>
      <c r="I743" t="s">
        <v>4119</v>
      </c>
      <c r="J743" t="s">
        <v>30776</v>
      </c>
      <c r="K743" t="s">
        <v>39017</v>
      </c>
      <c r="M743" t="s">
        <v>39631</v>
      </c>
      <c r="N743" t="s">
        <v>43166</v>
      </c>
      <c r="O743" t="s">
        <v>43167</v>
      </c>
      <c r="P743">
        <v>0</v>
      </c>
      <c r="Q743">
        <v>0</v>
      </c>
      <c r="R743" t="s">
        <v>43168</v>
      </c>
      <c r="S743" t="s">
        <v>43286</v>
      </c>
      <c r="T743" t="s">
        <v>44698</v>
      </c>
      <c r="U743" t="s">
        <v>45796</v>
      </c>
      <c r="W743" t="s">
        <v>39631</v>
      </c>
      <c r="X743" t="s">
        <v>43170</v>
      </c>
    </row>
    <row r="744" spans="1:24">
      <c r="A744">
        <f>HYPERLINK("https://www.philgeps.gov.ph/GEPSNONPILOT/Tender/SplashBidNoticeAbstractUI.aspx?menuIndex=3&amp;refID=7087284&amp;Result=3","7087284")</f>
        <v>0</v>
      </c>
      <c r="B744" t="s">
        <v>341</v>
      </c>
      <c r="C744" t="s">
        <v>4148</v>
      </c>
      <c r="D744" t="s">
        <v>17445</v>
      </c>
      <c r="E744" t="s">
        <v>18208</v>
      </c>
      <c r="F744" t="s">
        <v>30052</v>
      </c>
      <c r="G744" t="s">
        <v>30060</v>
      </c>
      <c r="H744" t="s">
        <v>15498</v>
      </c>
      <c r="I744" t="s">
        <v>30076</v>
      </c>
      <c r="J744" t="s">
        <v>30777</v>
      </c>
      <c r="K744" t="s">
        <v>39034</v>
      </c>
      <c r="M744" t="s">
        <v>39637</v>
      </c>
      <c r="N744" t="s">
        <v>43166</v>
      </c>
      <c r="O744" t="s">
        <v>43167</v>
      </c>
      <c r="P744">
        <v>0</v>
      </c>
      <c r="Q744">
        <v>2</v>
      </c>
      <c r="R744" t="s">
        <v>43168</v>
      </c>
      <c r="S744" t="s">
        <v>43286</v>
      </c>
      <c r="T744" t="s">
        <v>44724</v>
      </c>
      <c r="U744" t="s">
        <v>45806</v>
      </c>
      <c r="W744" t="s">
        <v>39637</v>
      </c>
      <c r="X744" t="s">
        <v>43170</v>
      </c>
    </row>
    <row r="745" spans="1:24">
      <c r="A745">
        <f>HYPERLINK("https://www.philgeps.gov.ph/GEPSNONPILOT/Tender/SplashBidNoticeAbstractUI.aspx?menuIndex=3&amp;refID=7087255&amp;Result=3","7087255")</f>
        <v>0</v>
      </c>
      <c r="B745" t="s">
        <v>337</v>
      </c>
      <c r="C745" t="s">
        <v>3971</v>
      </c>
      <c r="D745" t="s">
        <v>17475</v>
      </c>
      <c r="E745" t="s">
        <v>18209</v>
      </c>
      <c r="F745" t="s">
        <v>30052</v>
      </c>
      <c r="G745" t="s">
        <v>30059</v>
      </c>
      <c r="H745" t="s">
        <v>15498</v>
      </c>
      <c r="I745" t="s">
        <v>4119</v>
      </c>
      <c r="J745" t="s">
        <v>30327</v>
      </c>
      <c r="K745" t="s">
        <v>39018</v>
      </c>
      <c r="M745" t="s">
        <v>39633</v>
      </c>
      <c r="N745" t="s">
        <v>43166</v>
      </c>
      <c r="O745" t="s">
        <v>43167</v>
      </c>
      <c r="P745">
        <v>0</v>
      </c>
      <c r="Q745">
        <v>0</v>
      </c>
      <c r="R745" t="s">
        <v>43168</v>
      </c>
      <c r="S745" t="s">
        <v>43286</v>
      </c>
      <c r="T745" t="s">
        <v>44698</v>
      </c>
      <c r="U745" t="s">
        <v>45807</v>
      </c>
      <c r="W745" t="s">
        <v>39633</v>
      </c>
      <c r="X745" t="s">
        <v>43170</v>
      </c>
    </row>
    <row r="746" spans="1:24">
      <c r="A746">
        <f>HYPERLINK("https://www.philgeps.gov.ph/GEPSNONPILOT/Tender/SplashBidNoticeAbstractUI.aspx?menuIndex=3&amp;refID=7087281&amp;Result=3","7087281")</f>
        <v>0</v>
      </c>
      <c r="B746" t="s">
        <v>340</v>
      </c>
      <c r="C746" t="s">
        <v>4149</v>
      </c>
      <c r="D746" t="s">
        <v>17486</v>
      </c>
      <c r="E746" t="s">
        <v>18210</v>
      </c>
      <c r="F746" t="s">
        <v>30052</v>
      </c>
      <c r="G746" t="s">
        <v>30061</v>
      </c>
      <c r="H746" t="s">
        <v>15498</v>
      </c>
      <c r="I746" t="s">
        <v>3852</v>
      </c>
      <c r="J746" t="s">
        <v>30778</v>
      </c>
      <c r="K746" t="s">
        <v>39025</v>
      </c>
      <c r="M746" t="s">
        <v>39636</v>
      </c>
      <c r="N746" t="s">
        <v>43166</v>
      </c>
      <c r="O746" t="s">
        <v>43167</v>
      </c>
      <c r="P746">
        <v>0</v>
      </c>
      <c r="Q746">
        <v>0</v>
      </c>
      <c r="R746" t="s">
        <v>43168</v>
      </c>
      <c r="S746" t="s">
        <v>43286</v>
      </c>
      <c r="T746" t="s">
        <v>44691</v>
      </c>
      <c r="U746" t="s">
        <v>45808</v>
      </c>
      <c r="V746" t="s">
        <v>56903</v>
      </c>
      <c r="W746" t="s">
        <v>39636</v>
      </c>
      <c r="X746" t="s">
        <v>43170</v>
      </c>
    </row>
    <row r="747" spans="1:24">
      <c r="A747">
        <f>HYPERLINK("https://www.philgeps.gov.ph/GEPSNONPILOT/Tender/SplashBidNoticeAbstractUI.aspx?menuIndex=3&amp;refID=7087280&amp;Result=3","7087280")</f>
        <v>0</v>
      </c>
      <c r="B747" t="s">
        <v>208</v>
      </c>
      <c r="C747" t="s">
        <v>4150</v>
      </c>
      <c r="D747" t="s">
        <v>17415</v>
      </c>
      <c r="E747" t="s">
        <v>18211</v>
      </c>
      <c r="F747" t="s">
        <v>30052</v>
      </c>
      <c r="G747" t="s">
        <v>30059</v>
      </c>
      <c r="H747" t="s">
        <v>15498</v>
      </c>
      <c r="I747" t="s">
        <v>30070</v>
      </c>
      <c r="J747" t="s">
        <v>30779</v>
      </c>
      <c r="K747" t="s">
        <v>39025</v>
      </c>
      <c r="M747" t="s">
        <v>39638</v>
      </c>
      <c r="N747" t="s">
        <v>43166</v>
      </c>
      <c r="O747" t="s">
        <v>43167</v>
      </c>
      <c r="P747">
        <v>0</v>
      </c>
      <c r="Q747">
        <v>2</v>
      </c>
      <c r="R747" t="s">
        <v>43168</v>
      </c>
      <c r="S747" t="s">
        <v>43286</v>
      </c>
      <c r="T747" t="s">
        <v>44724</v>
      </c>
      <c r="U747" t="s">
        <v>45809</v>
      </c>
      <c r="W747" t="s">
        <v>39638</v>
      </c>
      <c r="X747" t="s">
        <v>43170</v>
      </c>
    </row>
    <row r="748" spans="1:24">
      <c r="A748">
        <f>HYPERLINK("https://www.philgeps.gov.ph/GEPSNONPILOT/Tender/SplashBidNoticeAbstractUI.aspx?menuIndex=3&amp;refID=7087291&amp;Result=3","7087291")</f>
        <v>0</v>
      </c>
      <c r="B748" t="s">
        <v>338</v>
      </c>
      <c r="C748" t="s">
        <v>4151</v>
      </c>
      <c r="D748" t="s">
        <v>17460</v>
      </c>
      <c r="E748" t="s">
        <v>18212</v>
      </c>
      <c r="F748" t="s">
        <v>30052</v>
      </c>
      <c r="G748" t="s">
        <v>30059</v>
      </c>
      <c r="H748" t="s">
        <v>15498</v>
      </c>
      <c r="I748" t="s">
        <v>30092</v>
      </c>
      <c r="J748" t="s">
        <v>30780</v>
      </c>
      <c r="K748" t="s">
        <v>39019</v>
      </c>
      <c r="M748" t="s">
        <v>39634</v>
      </c>
      <c r="N748" t="s">
        <v>43166</v>
      </c>
      <c r="O748" t="s">
        <v>43167</v>
      </c>
      <c r="P748">
        <v>0</v>
      </c>
      <c r="Q748">
        <v>1</v>
      </c>
      <c r="R748" t="s">
        <v>43168</v>
      </c>
      <c r="S748" t="s">
        <v>43286</v>
      </c>
      <c r="T748" t="s">
        <v>44708</v>
      </c>
      <c r="U748" t="s">
        <v>45810</v>
      </c>
      <c r="W748" t="s">
        <v>39634</v>
      </c>
      <c r="X748" t="s">
        <v>43170</v>
      </c>
    </row>
    <row r="749" spans="1:24">
      <c r="A749">
        <f>HYPERLINK("https://www.philgeps.gov.ph/GEPSNONPILOT/Tender/SplashBidNoticeAbstractUI.aspx?menuIndex=3&amp;refID=7087274&amp;Result=3","7087274")</f>
        <v>0</v>
      </c>
      <c r="B749" t="s">
        <v>342</v>
      </c>
      <c r="C749" t="s">
        <v>4152</v>
      </c>
      <c r="D749" t="s">
        <v>17475</v>
      </c>
      <c r="E749" t="s">
        <v>18213</v>
      </c>
      <c r="F749" t="s">
        <v>30052</v>
      </c>
      <c r="G749" t="s">
        <v>30059</v>
      </c>
      <c r="H749" t="s">
        <v>15498</v>
      </c>
      <c r="I749" t="s">
        <v>9238</v>
      </c>
      <c r="J749" t="s">
        <v>30781</v>
      </c>
      <c r="K749" t="s">
        <v>39018</v>
      </c>
      <c r="M749" t="s">
        <v>39639</v>
      </c>
      <c r="N749" t="s">
        <v>43166</v>
      </c>
      <c r="O749" t="s">
        <v>43167</v>
      </c>
      <c r="P749">
        <v>0</v>
      </c>
      <c r="Q749">
        <v>2</v>
      </c>
      <c r="R749" t="s">
        <v>43168</v>
      </c>
      <c r="S749" t="s">
        <v>43286</v>
      </c>
      <c r="T749" t="s">
        <v>44698</v>
      </c>
      <c r="U749" t="s">
        <v>45811</v>
      </c>
      <c r="W749" t="s">
        <v>39639</v>
      </c>
      <c r="X749" t="s">
        <v>43170</v>
      </c>
    </row>
    <row r="750" spans="1:24">
      <c r="A750">
        <f>HYPERLINK("https://www.philgeps.gov.ph/GEPSNONPILOT/Tender/SplashBidNoticeAbstractUI.aspx?menuIndex=3&amp;refID=7086906&amp;Result=3","7086906")</f>
        <v>0</v>
      </c>
      <c r="B750" t="s">
        <v>305</v>
      </c>
      <c r="C750" t="s">
        <v>4153</v>
      </c>
      <c r="D750" t="s">
        <v>17455</v>
      </c>
      <c r="E750" t="s">
        <v>18214</v>
      </c>
      <c r="F750" t="s">
        <v>30052</v>
      </c>
      <c r="G750" t="s">
        <v>30059</v>
      </c>
      <c r="H750" t="s">
        <v>15498</v>
      </c>
      <c r="I750" t="s">
        <v>4598</v>
      </c>
      <c r="J750" t="s">
        <v>30782</v>
      </c>
      <c r="K750" t="s">
        <v>39023</v>
      </c>
      <c r="L750" t="s">
        <v>305</v>
      </c>
      <c r="M750" t="s">
        <v>39600</v>
      </c>
      <c r="N750" t="s">
        <v>43166</v>
      </c>
      <c r="O750" t="s">
        <v>43167</v>
      </c>
      <c r="P750">
        <v>0</v>
      </c>
      <c r="Q750">
        <v>10</v>
      </c>
      <c r="R750" t="s">
        <v>43168</v>
      </c>
      <c r="S750" t="s">
        <v>43286</v>
      </c>
      <c r="T750" t="s">
        <v>44721</v>
      </c>
      <c r="U750" t="s">
        <v>45812</v>
      </c>
      <c r="W750" t="s">
        <v>39600</v>
      </c>
      <c r="X750" t="s">
        <v>43171</v>
      </c>
    </row>
    <row r="751" spans="1:24">
      <c r="A751">
        <f>HYPERLINK("https://www.philgeps.gov.ph/GEPSNONPILOT/Tender/SplashBidNoticeAbstractUI.aspx?menuIndex=3&amp;refID=7087271&amp;Result=3","7087271")</f>
        <v>0</v>
      </c>
      <c r="B751" t="s">
        <v>342</v>
      </c>
      <c r="C751" t="s">
        <v>3945</v>
      </c>
      <c r="D751" t="s">
        <v>17475</v>
      </c>
      <c r="E751" t="s">
        <v>17897</v>
      </c>
      <c r="F751" t="s">
        <v>30052</v>
      </c>
      <c r="G751" t="s">
        <v>30059</v>
      </c>
      <c r="H751" t="s">
        <v>15498</v>
      </c>
      <c r="I751" t="s">
        <v>3852</v>
      </c>
      <c r="J751" t="s">
        <v>30783</v>
      </c>
      <c r="K751" t="s">
        <v>39018</v>
      </c>
      <c r="M751" t="s">
        <v>39639</v>
      </c>
      <c r="N751" t="s">
        <v>43166</v>
      </c>
      <c r="O751" t="s">
        <v>43167</v>
      </c>
      <c r="P751">
        <v>0</v>
      </c>
      <c r="Q751">
        <v>0</v>
      </c>
      <c r="R751" t="s">
        <v>43168</v>
      </c>
      <c r="S751" t="s">
        <v>43286</v>
      </c>
      <c r="T751" t="s">
        <v>44698</v>
      </c>
      <c r="U751" t="s">
        <v>45813</v>
      </c>
      <c r="W751" t="s">
        <v>39639</v>
      </c>
      <c r="X751" t="s">
        <v>43170</v>
      </c>
    </row>
    <row r="752" spans="1:24">
      <c r="A752">
        <f>HYPERLINK("https://www.philgeps.gov.ph/GEPSNONPILOT/Tender/SplashBidNoticeAbstractUI.aspx?menuIndex=3&amp;refID=7087287&amp;Result=3","7087287")</f>
        <v>0</v>
      </c>
      <c r="B752" t="s">
        <v>341</v>
      </c>
      <c r="C752" t="s">
        <v>4154</v>
      </c>
      <c r="D752" t="s">
        <v>17445</v>
      </c>
      <c r="E752" t="s">
        <v>18215</v>
      </c>
      <c r="F752" t="s">
        <v>30052</v>
      </c>
      <c r="G752" t="s">
        <v>30060</v>
      </c>
      <c r="H752" t="s">
        <v>15498</v>
      </c>
      <c r="I752" t="s">
        <v>30076</v>
      </c>
      <c r="J752" t="s">
        <v>30784</v>
      </c>
      <c r="K752" t="s">
        <v>39019</v>
      </c>
      <c r="M752" t="s">
        <v>39637</v>
      </c>
      <c r="N752" t="s">
        <v>43166</v>
      </c>
      <c r="O752" t="s">
        <v>43167</v>
      </c>
      <c r="P752">
        <v>0</v>
      </c>
      <c r="Q752">
        <v>0</v>
      </c>
      <c r="R752" t="s">
        <v>43168</v>
      </c>
      <c r="S752" t="s">
        <v>43286</v>
      </c>
      <c r="T752" t="s">
        <v>44724</v>
      </c>
      <c r="U752" t="s">
        <v>45814</v>
      </c>
      <c r="W752" t="s">
        <v>39637</v>
      </c>
      <c r="X752" t="s">
        <v>43170</v>
      </c>
    </row>
    <row r="753" spans="1:24">
      <c r="A753">
        <f>HYPERLINK("https://www.philgeps.gov.ph/GEPSNONPILOT/Tender/SplashBidNoticeAbstractUI.aspx?menuIndex=3&amp;refID=7087302&amp;Result=3","7087302")</f>
        <v>0</v>
      </c>
      <c r="B753" t="s">
        <v>330</v>
      </c>
      <c r="C753" t="s">
        <v>4130</v>
      </c>
      <c r="D753" t="s">
        <v>17415</v>
      </c>
      <c r="E753" t="s">
        <v>18216</v>
      </c>
      <c r="F753" t="s">
        <v>30052</v>
      </c>
      <c r="G753" t="s">
        <v>30058</v>
      </c>
      <c r="H753" t="s">
        <v>15498</v>
      </c>
      <c r="I753" t="s">
        <v>3852</v>
      </c>
      <c r="J753" t="s">
        <v>30218</v>
      </c>
      <c r="K753" t="s">
        <v>39035</v>
      </c>
      <c r="M753" t="s">
        <v>39626</v>
      </c>
      <c r="N753" t="s">
        <v>43166</v>
      </c>
      <c r="O753" t="s">
        <v>43167</v>
      </c>
      <c r="P753">
        <v>0</v>
      </c>
      <c r="Q753">
        <v>0</v>
      </c>
      <c r="R753" t="s">
        <v>43168</v>
      </c>
      <c r="S753" t="s">
        <v>43286</v>
      </c>
      <c r="T753" t="s">
        <v>44679</v>
      </c>
      <c r="U753" t="s">
        <v>45815</v>
      </c>
      <c r="W753" t="s">
        <v>39626</v>
      </c>
      <c r="X753" t="s">
        <v>43170</v>
      </c>
    </row>
    <row r="754" spans="1:24">
      <c r="A754">
        <f>HYPERLINK("https://www.philgeps.gov.ph/GEPSNONPILOT/Tender/SplashBidNoticeAbstractUI.aspx?menuIndex=3&amp;refID=7087285&amp;Result=3","7087285")</f>
        <v>0</v>
      </c>
      <c r="B754" t="s">
        <v>340</v>
      </c>
      <c r="C754" t="s">
        <v>4155</v>
      </c>
      <c r="D754" t="s">
        <v>17486</v>
      </c>
      <c r="E754" t="s">
        <v>18217</v>
      </c>
      <c r="F754" t="s">
        <v>30052</v>
      </c>
      <c r="G754" t="s">
        <v>30061</v>
      </c>
      <c r="H754" t="s">
        <v>15498</v>
      </c>
      <c r="I754" t="s">
        <v>30073</v>
      </c>
      <c r="J754" t="s">
        <v>30338</v>
      </c>
      <c r="K754" t="s">
        <v>39025</v>
      </c>
      <c r="M754" t="s">
        <v>39636</v>
      </c>
      <c r="N754" t="s">
        <v>43166</v>
      </c>
      <c r="O754" t="s">
        <v>43167</v>
      </c>
      <c r="P754">
        <v>0</v>
      </c>
      <c r="Q754">
        <v>0</v>
      </c>
      <c r="R754" t="s">
        <v>43168</v>
      </c>
      <c r="S754" t="s">
        <v>43286</v>
      </c>
      <c r="T754" t="s">
        <v>44691</v>
      </c>
      <c r="U754" t="s">
        <v>45816</v>
      </c>
      <c r="V754" t="s">
        <v>56903</v>
      </c>
      <c r="W754" t="s">
        <v>39636</v>
      </c>
      <c r="X754" t="s">
        <v>43170</v>
      </c>
    </row>
    <row r="755" spans="1:24">
      <c r="A755">
        <f>HYPERLINK("https://www.philgeps.gov.ph/GEPSNONPILOT/Tender/SplashBidNoticeAbstractUI.aspx?menuIndex=3&amp;refID=7087334&amp;Result=3","7087334")</f>
        <v>0</v>
      </c>
      <c r="B755" t="s">
        <v>343</v>
      </c>
      <c r="C755" t="s">
        <v>4156</v>
      </c>
      <c r="D755" t="s">
        <v>17415</v>
      </c>
      <c r="E755" t="s">
        <v>18218</v>
      </c>
      <c r="F755" t="s">
        <v>30052</v>
      </c>
      <c r="G755" t="s">
        <v>30059</v>
      </c>
      <c r="H755" t="s">
        <v>15498</v>
      </c>
      <c r="I755" t="s">
        <v>8323</v>
      </c>
      <c r="J755" t="s">
        <v>30785</v>
      </c>
      <c r="K755" t="s">
        <v>39025</v>
      </c>
      <c r="M755" t="s">
        <v>39640</v>
      </c>
      <c r="N755" t="s">
        <v>43166</v>
      </c>
      <c r="O755" t="s">
        <v>43167</v>
      </c>
      <c r="P755">
        <v>0</v>
      </c>
      <c r="Q755">
        <v>9</v>
      </c>
      <c r="R755" t="s">
        <v>43168</v>
      </c>
      <c r="S755" t="s">
        <v>43286</v>
      </c>
      <c r="T755" t="s">
        <v>44695</v>
      </c>
      <c r="U755" t="s">
        <v>45817</v>
      </c>
      <c r="V755" t="s">
        <v>56904</v>
      </c>
      <c r="W755" t="s">
        <v>39640</v>
      </c>
      <c r="X755" t="s">
        <v>43170</v>
      </c>
    </row>
    <row r="756" spans="1:24">
      <c r="A756">
        <f>HYPERLINK("https://www.philgeps.gov.ph/GEPSNONPILOT/Tender/SplashBidNoticeAbstractUI.aspx?menuIndex=3&amp;refID=7087229&amp;Result=3","7087229")</f>
        <v>0</v>
      </c>
      <c r="B756" t="s">
        <v>304</v>
      </c>
      <c r="C756" t="s">
        <v>4157</v>
      </c>
      <c r="D756" t="s">
        <v>17438</v>
      </c>
      <c r="E756" t="s">
        <v>18219</v>
      </c>
      <c r="F756" t="s">
        <v>30052</v>
      </c>
      <c r="G756" t="s">
        <v>30058</v>
      </c>
      <c r="H756" t="s">
        <v>15498</v>
      </c>
      <c r="I756" t="s">
        <v>30073</v>
      </c>
      <c r="J756" t="s">
        <v>30786</v>
      </c>
      <c r="K756" t="s">
        <v>39020</v>
      </c>
      <c r="M756" t="s">
        <v>39599</v>
      </c>
      <c r="N756" t="s">
        <v>43166</v>
      </c>
      <c r="O756" t="s">
        <v>43167</v>
      </c>
      <c r="P756">
        <v>0</v>
      </c>
      <c r="Q756">
        <v>0</v>
      </c>
      <c r="R756" t="s">
        <v>43168</v>
      </c>
      <c r="S756" t="s">
        <v>43286</v>
      </c>
      <c r="T756" t="s">
        <v>44709</v>
      </c>
      <c r="U756" t="s">
        <v>45818</v>
      </c>
      <c r="W756" t="s">
        <v>39599</v>
      </c>
      <c r="X756" t="s">
        <v>43170</v>
      </c>
    </row>
    <row r="757" spans="1:24">
      <c r="A757">
        <f>HYPERLINK("https://www.philgeps.gov.ph/GEPSNONPILOT/Tender/SplashBidNoticeAbstractUI.aspx?menuIndex=3&amp;refID=7087332&amp;Result=3","7087332")</f>
        <v>0</v>
      </c>
      <c r="B757" t="s">
        <v>344</v>
      </c>
      <c r="C757" t="s">
        <v>4158</v>
      </c>
      <c r="D757" t="s">
        <v>17461</v>
      </c>
      <c r="E757" t="s">
        <v>18220</v>
      </c>
      <c r="F757" t="s">
        <v>30052</v>
      </c>
      <c r="G757" t="s">
        <v>30059</v>
      </c>
      <c r="H757" t="s">
        <v>15498</v>
      </c>
      <c r="I757" t="s">
        <v>30071</v>
      </c>
      <c r="J757" t="s">
        <v>30787</v>
      </c>
      <c r="K757" t="s">
        <v>39017</v>
      </c>
      <c r="M757" t="s">
        <v>39641</v>
      </c>
      <c r="N757" t="s">
        <v>43166</v>
      </c>
      <c r="O757" t="s">
        <v>43167</v>
      </c>
      <c r="P757">
        <v>0</v>
      </c>
      <c r="Q757">
        <v>0</v>
      </c>
      <c r="R757" t="s">
        <v>43168</v>
      </c>
      <c r="S757" t="s">
        <v>43286</v>
      </c>
      <c r="T757" t="s">
        <v>44678</v>
      </c>
      <c r="U757" t="s">
        <v>45819</v>
      </c>
      <c r="V757" t="s">
        <v>56845</v>
      </c>
      <c r="W757" t="s">
        <v>39641</v>
      </c>
      <c r="X757" t="s">
        <v>43170</v>
      </c>
    </row>
    <row r="758" spans="1:24">
      <c r="A758">
        <f>HYPERLINK("https://www.philgeps.gov.ph/GEPSNONPILOT/Tender/SplashBidNoticeAbstractUI.aspx?menuIndex=3&amp;refID=7087329&amp;Result=3","7087329")</f>
        <v>0</v>
      </c>
      <c r="B758" t="s">
        <v>338</v>
      </c>
      <c r="C758" t="s">
        <v>4159</v>
      </c>
      <c r="D758" t="s">
        <v>17460</v>
      </c>
      <c r="E758" t="s">
        <v>18221</v>
      </c>
      <c r="F758" t="s">
        <v>30052</v>
      </c>
      <c r="G758" t="s">
        <v>30062</v>
      </c>
      <c r="H758" t="s">
        <v>15498</v>
      </c>
      <c r="I758" t="s">
        <v>30096</v>
      </c>
      <c r="J758" t="s">
        <v>30208</v>
      </c>
      <c r="K758" t="s">
        <v>39019</v>
      </c>
      <c r="M758" t="s">
        <v>39634</v>
      </c>
      <c r="N758" t="s">
        <v>43166</v>
      </c>
      <c r="O758" t="s">
        <v>43167</v>
      </c>
      <c r="P758">
        <v>0</v>
      </c>
      <c r="Q758">
        <v>2</v>
      </c>
      <c r="R758" t="s">
        <v>43168</v>
      </c>
      <c r="S758" t="s">
        <v>43286</v>
      </c>
      <c r="T758" t="s">
        <v>44708</v>
      </c>
      <c r="U758" t="s">
        <v>45820</v>
      </c>
      <c r="W758" t="s">
        <v>39634</v>
      </c>
      <c r="X758" t="s">
        <v>43170</v>
      </c>
    </row>
    <row r="759" spans="1:24">
      <c r="A759">
        <f>HYPERLINK("https://www.philgeps.gov.ph/GEPSNONPILOT/Tender/SplashBidNoticeAbstractUI.aspx?menuIndex=3&amp;refID=7087277&amp;Result=3","7087277")</f>
        <v>0</v>
      </c>
      <c r="B759" t="s">
        <v>338</v>
      </c>
      <c r="C759" t="s">
        <v>4160</v>
      </c>
      <c r="D759" t="s">
        <v>17460</v>
      </c>
      <c r="E759" t="s">
        <v>18222</v>
      </c>
      <c r="F759" t="s">
        <v>30052</v>
      </c>
      <c r="G759" t="s">
        <v>30059</v>
      </c>
      <c r="H759" t="s">
        <v>15498</v>
      </c>
      <c r="I759" t="s">
        <v>30139</v>
      </c>
      <c r="J759" t="s">
        <v>30788</v>
      </c>
      <c r="K759" t="s">
        <v>39019</v>
      </c>
      <c r="M759" t="s">
        <v>39634</v>
      </c>
      <c r="N759" t="s">
        <v>43166</v>
      </c>
      <c r="O759" t="s">
        <v>43167</v>
      </c>
      <c r="P759">
        <v>0</v>
      </c>
      <c r="Q759">
        <v>3</v>
      </c>
      <c r="R759" t="s">
        <v>43168</v>
      </c>
      <c r="S759" t="s">
        <v>43286</v>
      </c>
      <c r="T759" t="s">
        <v>44720</v>
      </c>
      <c r="U759" t="s">
        <v>45821</v>
      </c>
      <c r="W759" t="s">
        <v>39634</v>
      </c>
      <c r="X759" t="s">
        <v>43170</v>
      </c>
    </row>
    <row r="760" spans="1:24">
      <c r="A760">
        <f>HYPERLINK("https://www.philgeps.gov.ph/GEPSNONPILOT/Tender/SplashBidNoticeAbstractUI.aspx?menuIndex=3&amp;refID=7087324&amp;Result=3","7087324")</f>
        <v>0</v>
      </c>
      <c r="B760" t="s">
        <v>344</v>
      </c>
      <c r="C760" t="s">
        <v>4161</v>
      </c>
      <c r="D760" t="s">
        <v>17461</v>
      </c>
      <c r="E760" t="s">
        <v>18223</v>
      </c>
      <c r="F760" t="s">
        <v>30052</v>
      </c>
      <c r="G760" t="s">
        <v>30059</v>
      </c>
      <c r="H760" t="s">
        <v>15498</v>
      </c>
      <c r="I760" t="s">
        <v>30071</v>
      </c>
      <c r="J760" t="s">
        <v>30789</v>
      </c>
      <c r="K760" t="s">
        <v>39017</v>
      </c>
      <c r="M760" t="s">
        <v>39641</v>
      </c>
      <c r="N760" t="s">
        <v>43166</v>
      </c>
      <c r="O760" t="s">
        <v>43167</v>
      </c>
      <c r="P760">
        <v>0</v>
      </c>
      <c r="Q760">
        <v>0</v>
      </c>
      <c r="R760" t="s">
        <v>43168</v>
      </c>
      <c r="S760" t="s">
        <v>43286</v>
      </c>
      <c r="T760" t="s">
        <v>44678</v>
      </c>
      <c r="U760" t="s">
        <v>45822</v>
      </c>
      <c r="V760" t="s">
        <v>56845</v>
      </c>
      <c r="W760" t="s">
        <v>39641</v>
      </c>
      <c r="X760" t="s">
        <v>43170</v>
      </c>
    </row>
    <row r="761" spans="1:24">
      <c r="A761">
        <f>HYPERLINK("https://www.philgeps.gov.ph/GEPSNONPILOT/Tender/SplashBidNoticeAbstractUI.aspx?menuIndex=3&amp;refID=7087323&amp;Result=3","7087323")</f>
        <v>0</v>
      </c>
      <c r="B761" t="s">
        <v>317</v>
      </c>
      <c r="C761" t="s">
        <v>4162</v>
      </c>
      <c r="D761" t="s">
        <v>17444</v>
      </c>
      <c r="E761" t="s">
        <v>18224</v>
      </c>
      <c r="F761" t="s">
        <v>30052</v>
      </c>
      <c r="G761" t="s">
        <v>30061</v>
      </c>
      <c r="H761" t="s">
        <v>15498</v>
      </c>
      <c r="I761" t="s">
        <v>30085</v>
      </c>
      <c r="J761" t="s">
        <v>30790</v>
      </c>
      <c r="K761" t="s">
        <v>39018</v>
      </c>
      <c r="M761" t="s">
        <v>39613</v>
      </c>
      <c r="N761" t="s">
        <v>43166</v>
      </c>
      <c r="O761" t="s">
        <v>43167</v>
      </c>
      <c r="P761">
        <v>0</v>
      </c>
      <c r="Q761">
        <v>0</v>
      </c>
      <c r="R761" t="s">
        <v>43168</v>
      </c>
      <c r="S761" t="s">
        <v>43286</v>
      </c>
      <c r="T761" t="s">
        <v>44777</v>
      </c>
      <c r="U761" t="s">
        <v>45823</v>
      </c>
      <c r="V761" t="s">
        <v>56905</v>
      </c>
      <c r="W761" t="s">
        <v>39613</v>
      </c>
      <c r="X761" t="s">
        <v>43170</v>
      </c>
    </row>
    <row r="762" spans="1:24">
      <c r="A762">
        <f>HYPERLINK("https://www.philgeps.gov.ph/GEPSNONPILOT/Tender/SplashBidNoticeAbstractUI.aspx?menuIndex=3&amp;refID=7087268&amp;Result=3","7087268")</f>
        <v>0</v>
      </c>
      <c r="B762" t="s">
        <v>345</v>
      </c>
      <c r="C762" t="s">
        <v>4163</v>
      </c>
      <c r="D762" t="s">
        <v>17475</v>
      </c>
      <c r="E762" t="s">
        <v>17897</v>
      </c>
      <c r="F762" t="s">
        <v>30052</v>
      </c>
      <c r="G762" t="s">
        <v>30059</v>
      </c>
      <c r="H762" t="s">
        <v>15498</v>
      </c>
      <c r="I762" t="s">
        <v>3852</v>
      </c>
      <c r="J762" t="s">
        <v>30791</v>
      </c>
      <c r="K762" t="s">
        <v>39018</v>
      </c>
      <c r="M762" t="s">
        <v>39642</v>
      </c>
      <c r="N762" t="s">
        <v>43166</v>
      </c>
      <c r="O762" t="s">
        <v>43167</v>
      </c>
      <c r="P762">
        <v>0</v>
      </c>
      <c r="Q762">
        <v>0</v>
      </c>
      <c r="R762" t="s">
        <v>43168</v>
      </c>
      <c r="S762" t="s">
        <v>43286</v>
      </c>
      <c r="T762" t="s">
        <v>44791</v>
      </c>
      <c r="U762" t="s">
        <v>45824</v>
      </c>
      <c r="W762" t="s">
        <v>39642</v>
      </c>
      <c r="X762" t="s">
        <v>43170</v>
      </c>
    </row>
    <row r="763" spans="1:24">
      <c r="A763">
        <f>HYPERLINK("https://www.philgeps.gov.ph/GEPSNONPILOT/Tender/SplashBidNoticeAbstractUI.aspx?menuIndex=3&amp;refID=7087319&amp;Result=3","7087319")</f>
        <v>0</v>
      </c>
      <c r="B763" t="s">
        <v>338</v>
      </c>
      <c r="C763" t="s">
        <v>4164</v>
      </c>
      <c r="D763" t="s">
        <v>17460</v>
      </c>
      <c r="E763" t="s">
        <v>18225</v>
      </c>
      <c r="F763" t="s">
        <v>30052</v>
      </c>
      <c r="G763" t="s">
        <v>30062</v>
      </c>
      <c r="H763" t="s">
        <v>15498</v>
      </c>
      <c r="I763" t="s">
        <v>4650</v>
      </c>
      <c r="J763" t="s">
        <v>30208</v>
      </c>
      <c r="K763" t="s">
        <v>39019</v>
      </c>
      <c r="M763" t="s">
        <v>39634</v>
      </c>
      <c r="N763" t="s">
        <v>43166</v>
      </c>
      <c r="O763" t="s">
        <v>43167</v>
      </c>
      <c r="P763">
        <v>0</v>
      </c>
      <c r="Q763">
        <v>5</v>
      </c>
      <c r="R763" t="s">
        <v>43168</v>
      </c>
      <c r="S763" t="s">
        <v>43286</v>
      </c>
      <c r="T763" t="s">
        <v>44708</v>
      </c>
      <c r="U763" t="s">
        <v>45825</v>
      </c>
      <c r="W763" t="s">
        <v>39634</v>
      </c>
      <c r="X763" t="s">
        <v>43170</v>
      </c>
    </row>
    <row r="764" spans="1:24">
      <c r="A764">
        <f>HYPERLINK("https://www.philgeps.gov.ph/GEPSNONPILOT/Tender/SplashBidNoticeAbstractUI.aspx?menuIndex=3&amp;refID=7087326&amp;Result=3","7087326")</f>
        <v>0</v>
      </c>
      <c r="B764" t="s">
        <v>346</v>
      </c>
      <c r="C764" t="s">
        <v>4165</v>
      </c>
      <c r="D764" t="s">
        <v>17475</v>
      </c>
      <c r="E764" t="s">
        <v>18226</v>
      </c>
      <c r="F764" t="s">
        <v>30052</v>
      </c>
      <c r="G764" t="s">
        <v>30059</v>
      </c>
      <c r="H764" t="s">
        <v>15498</v>
      </c>
      <c r="I764" t="s">
        <v>3852</v>
      </c>
      <c r="J764" t="s">
        <v>30644</v>
      </c>
      <c r="K764" t="s">
        <v>39018</v>
      </c>
      <c r="M764" t="s">
        <v>39643</v>
      </c>
      <c r="N764" t="s">
        <v>43166</v>
      </c>
      <c r="O764" t="s">
        <v>43167</v>
      </c>
      <c r="P764">
        <v>0</v>
      </c>
      <c r="Q764">
        <v>0</v>
      </c>
      <c r="R764" t="s">
        <v>43168</v>
      </c>
      <c r="S764" t="s">
        <v>43286</v>
      </c>
      <c r="T764" t="s">
        <v>44698</v>
      </c>
      <c r="U764" t="s">
        <v>45826</v>
      </c>
      <c r="W764" t="s">
        <v>39643</v>
      </c>
      <c r="X764" t="s">
        <v>43170</v>
      </c>
    </row>
    <row r="765" spans="1:24">
      <c r="A765">
        <f>HYPERLINK("https://www.philgeps.gov.ph/GEPSNONPILOT/Tender/SplashBidNoticeAbstractUI.aspx?menuIndex=3&amp;refID=7086868&amp;Result=3","7086868")</f>
        <v>0</v>
      </c>
      <c r="B765" t="s">
        <v>307</v>
      </c>
      <c r="C765" t="s">
        <v>4166</v>
      </c>
      <c r="D765" t="s">
        <v>17459</v>
      </c>
      <c r="E765" t="s">
        <v>18227</v>
      </c>
      <c r="F765" t="s">
        <v>30052</v>
      </c>
      <c r="G765" t="s">
        <v>30058</v>
      </c>
      <c r="H765" t="s">
        <v>30067</v>
      </c>
      <c r="I765" t="s">
        <v>3693</v>
      </c>
      <c r="J765" t="s">
        <v>30235</v>
      </c>
      <c r="K765" t="s">
        <v>39023</v>
      </c>
      <c r="M765" t="s">
        <v>39602</v>
      </c>
      <c r="N765" t="s">
        <v>43166</v>
      </c>
      <c r="O765" t="s">
        <v>43167</v>
      </c>
      <c r="P765">
        <v>0</v>
      </c>
      <c r="Q765">
        <v>0</v>
      </c>
      <c r="R765" t="s">
        <v>43168</v>
      </c>
      <c r="S765" t="s">
        <v>43286</v>
      </c>
      <c r="T765" t="s">
        <v>44726</v>
      </c>
      <c r="U765" t="s">
        <v>45827</v>
      </c>
      <c r="W765" t="s">
        <v>39602</v>
      </c>
      <c r="X765" t="s">
        <v>43171</v>
      </c>
    </row>
    <row r="766" spans="1:24">
      <c r="A766">
        <f>HYPERLINK("https://www.philgeps.gov.ph/GEPSNONPILOT/Tender/SplashBidNoticeAbstractUI.aspx?menuIndex=3&amp;refID=7087313&amp;Result=3","7087313")</f>
        <v>0</v>
      </c>
      <c r="B766" t="s">
        <v>344</v>
      </c>
      <c r="C766" t="s">
        <v>4167</v>
      </c>
      <c r="D766" t="s">
        <v>17461</v>
      </c>
      <c r="E766" t="s">
        <v>18228</v>
      </c>
      <c r="F766" t="s">
        <v>30052</v>
      </c>
      <c r="G766" t="s">
        <v>30059</v>
      </c>
      <c r="H766" t="s">
        <v>15498</v>
      </c>
      <c r="I766" t="s">
        <v>7228</v>
      </c>
      <c r="J766" t="s">
        <v>30792</v>
      </c>
      <c r="K766" t="s">
        <v>39017</v>
      </c>
      <c r="M766" t="s">
        <v>39641</v>
      </c>
      <c r="N766" t="s">
        <v>43166</v>
      </c>
      <c r="O766" t="s">
        <v>43167</v>
      </c>
      <c r="P766">
        <v>0</v>
      </c>
      <c r="Q766">
        <v>1</v>
      </c>
      <c r="R766" t="s">
        <v>43168</v>
      </c>
      <c r="S766" t="s">
        <v>43286</v>
      </c>
      <c r="T766" t="s">
        <v>44678</v>
      </c>
      <c r="U766" t="s">
        <v>45828</v>
      </c>
      <c r="V766" t="s">
        <v>56845</v>
      </c>
      <c r="W766" t="s">
        <v>39641</v>
      </c>
      <c r="X766" t="s">
        <v>43170</v>
      </c>
    </row>
    <row r="767" spans="1:24">
      <c r="A767">
        <f>HYPERLINK("https://www.philgeps.gov.ph/GEPSNONPILOT/Tender/SplashBidNoticeAbstractUI.aspx?menuIndex=3&amp;refID=7087308&amp;Result=3","7087308")</f>
        <v>0</v>
      </c>
      <c r="B767" t="s">
        <v>338</v>
      </c>
      <c r="C767" t="s">
        <v>4168</v>
      </c>
      <c r="D767" t="s">
        <v>17460</v>
      </c>
      <c r="E767" t="s">
        <v>18229</v>
      </c>
      <c r="F767" t="s">
        <v>30052</v>
      </c>
      <c r="G767" t="s">
        <v>30059</v>
      </c>
      <c r="H767" t="s">
        <v>15498</v>
      </c>
      <c r="I767" t="s">
        <v>30140</v>
      </c>
      <c r="J767" t="s">
        <v>30793</v>
      </c>
      <c r="K767" t="s">
        <v>39019</v>
      </c>
      <c r="M767" t="s">
        <v>39634</v>
      </c>
      <c r="N767" t="s">
        <v>43166</v>
      </c>
      <c r="O767" t="s">
        <v>43167</v>
      </c>
      <c r="P767">
        <v>0</v>
      </c>
      <c r="Q767">
        <v>4</v>
      </c>
      <c r="R767" t="s">
        <v>43168</v>
      </c>
      <c r="S767" t="s">
        <v>43286</v>
      </c>
      <c r="T767" t="s">
        <v>44708</v>
      </c>
      <c r="U767" t="s">
        <v>45829</v>
      </c>
      <c r="W767" t="s">
        <v>39634</v>
      </c>
      <c r="X767" t="s">
        <v>43170</v>
      </c>
    </row>
    <row r="768" spans="1:24">
      <c r="A768">
        <f>HYPERLINK("https://www.philgeps.gov.ph/GEPSNONPILOT/Tender/SplashBidNoticeAbstractUI.aspx?menuIndex=3&amp;refID=7087304&amp;Result=3","7087304")</f>
        <v>0</v>
      </c>
      <c r="B768" t="s">
        <v>330</v>
      </c>
      <c r="C768" t="s">
        <v>4130</v>
      </c>
      <c r="D768" t="s">
        <v>17415</v>
      </c>
      <c r="E768" t="s">
        <v>18230</v>
      </c>
      <c r="F768" t="s">
        <v>30052</v>
      </c>
      <c r="G768" t="s">
        <v>30058</v>
      </c>
      <c r="H768" t="s">
        <v>15498</v>
      </c>
      <c r="I768" t="s">
        <v>3852</v>
      </c>
      <c r="J768" t="s">
        <v>30209</v>
      </c>
      <c r="K768" t="s">
        <v>39035</v>
      </c>
      <c r="M768" t="s">
        <v>39626</v>
      </c>
      <c r="N768" t="s">
        <v>43166</v>
      </c>
      <c r="O768" t="s">
        <v>43167</v>
      </c>
      <c r="P768">
        <v>0</v>
      </c>
      <c r="Q768">
        <v>0</v>
      </c>
      <c r="R768" t="s">
        <v>43168</v>
      </c>
      <c r="S768" t="s">
        <v>43286</v>
      </c>
      <c r="T768" t="s">
        <v>44679</v>
      </c>
      <c r="U768" t="s">
        <v>45830</v>
      </c>
      <c r="W768" t="s">
        <v>39626</v>
      </c>
      <c r="X768" t="s">
        <v>43170</v>
      </c>
    </row>
    <row r="769" spans="1:24">
      <c r="A769">
        <f>HYPERLINK("https://www.philgeps.gov.ph/GEPSNONPILOT/Tender/SplashBidNoticeAbstractUI.aspx?menuIndex=3&amp;refID=7087318&amp;Result=3","7087318")</f>
        <v>0</v>
      </c>
      <c r="B769" t="s">
        <v>346</v>
      </c>
      <c r="C769" t="s">
        <v>4141</v>
      </c>
      <c r="D769" t="s">
        <v>17475</v>
      </c>
      <c r="E769" t="s">
        <v>18202</v>
      </c>
      <c r="F769" t="s">
        <v>30052</v>
      </c>
      <c r="G769" t="s">
        <v>30059</v>
      </c>
      <c r="H769" t="s">
        <v>15498</v>
      </c>
      <c r="I769" t="s">
        <v>3852</v>
      </c>
      <c r="J769" t="s">
        <v>30472</v>
      </c>
      <c r="K769" t="s">
        <v>39018</v>
      </c>
      <c r="M769" t="s">
        <v>39643</v>
      </c>
      <c r="N769" t="s">
        <v>43166</v>
      </c>
      <c r="O769" t="s">
        <v>43167</v>
      </c>
      <c r="P769">
        <v>0</v>
      </c>
      <c r="Q769">
        <v>0</v>
      </c>
      <c r="R769" t="s">
        <v>43168</v>
      </c>
      <c r="S769" t="s">
        <v>43286</v>
      </c>
      <c r="T769" t="s">
        <v>44698</v>
      </c>
      <c r="U769" t="s">
        <v>45831</v>
      </c>
      <c r="W769" t="s">
        <v>39643</v>
      </c>
      <c r="X769" t="s">
        <v>43170</v>
      </c>
    </row>
    <row r="770" spans="1:24">
      <c r="A770">
        <f>HYPERLINK("https://www.philgeps.gov.ph/GEPSNONPILOT/Tender/SplashBidNoticeAbstractUI.aspx?menuIndex=3&amp;refID=7087297&amp;Result=3","7087297")</f>
        <v>0</v>
      </c>
      <c r="B770" t="s">
        <v>347</v>
      </c>
      <c r="C770" t="s">
        <v>4169</v>
      </c>
      <c r="D770" t="s">
        <v>17415</v>
      </c>
      <c r="E770" t="s">
        <v>17673</v>
      </c>
      <c r="F770" t="s">
        <v>30052</v>
      </c>
      <c r="G770" t="s">
        <v>30059</v>
      </c>
      <c r="H770" t="s">
        <v>15498</v>
      </c>
      <c r="I770" t="s">
        <v>3736</v>
      </c>
      <c r="J770" t="s">
        <v>30794</v>
      </c>
      <c r="K770" t="s">
        <v>39036</v>
      </c>
      <c r="M770" t="s">
        <v>39644</v>
      </c>
      <c r="N770" t="s">
        <v>43166</v>
      </c>
      <c r="O770" t="s">
        <v>43167</v>
      </c>
      <c r="P770">
        <v>0</v>
      </c>
      <c r="Q770">
        <v>1</v>
      </c>
      <c r="R770" t="s">
        <v>43168</v>
      </c>
      <c r="S770" t="s">
        <v>43286</v>
      </c>
      <c r="T770" t="s">
        <v>44737</v>
      </c>
      <c r="U770" t="s">
        <v>45832</v>
      </c>
      <c r="W770" t="s">
        <v>39644</v>
      </c>
      <c r="X770" t="s">
        <v>43170</v>
      </c>
    </row>
    <row r="771" spans="1:24">
      <c r="A771">
        <f>HYPERLINK("https://www.philgeps.gov.ph/GEPSNONPILOT/Tender/SplashBidNoticeAbstractUI.aspx?menuIndex=3&amp;refID=7087314&amp;Result=3","7087314")</f>
        <v>0</v>
      </c>
      <c r="B771" t="s">
        <v>346</v>
      </c>
      <c r="C771" t="s">
        <v>3971</v>
      </c>
      <c r="D771" t="s">
        <v>17475</v>
      </c>
      <c r="E771" t="s">
        <v>18231</v>
      </c>
      <c r="F771" t="s">
        <v>30052</v>
      </c>
      <c r="G771" t="s">
        <v>30059</v>
      </c>
      <c r="H771" t="s">
        <v>15498</v>
      </c>
      <c r="I771" t="s">
        <v>4119</v>
      </c>
      <c r="J771" t="s">
        <v>30795</v>
      </c>
      <c r="K771" t="s">
        <v>39018</v>
      </c>
      <c r="M771" t="s">
        <v>39643</v>
      </c>
      <c r="N771" t="s">
        <v>43166</v>
      </c>
      <c r="O771" t="s">
        <v>43167</v>
      </c>
      <c r="P771">
        <v>0</v>
      </c>
      <c r="Q771">
        <v>0</v>
      </c>
      <c r="R771" t="s">
        <v>43168</v>
      </c>
      <c r="S771" t="s">
        <v>43286</v>
      </c>
      <c r="T771" t="s">
        <v>44698</v>
      </c>
      <c r="U771" t="s">
        <v>45833</v>
      </c>
      <c r="W771" t="s">
        <v>39643</v>
      </c>
      <c r="X771" t="s">
        <v>43170</v>
      </c>
    </row>
    <row r="772" spans="1:24">
      <c r="A772">
        <f>HYPERLINK("https://www.philgeps.gov.ph/GEPSNONPILOT/Tender/SplashBidNoticeAbstractUI.aspx?menuIndex=3&amp;refID=7087265&amp;Result=3","7087265")</f>
        <v>0</v>
      </c>
      <c r="B772" t="s">
        <v>345</v>
      </c>
      <c r="C772" t="s">
        <v>4170</v>
      </c>
      <c r="D772" t="s">
        <v>17475</v>
      </c>
      <c r="E772" t="s">
        <v>17893</v>
      </c>
      <c r="F772" t="s">
        <v>30052</v>
      </c>
      <c r="G772" t="s">
        <v>30059</v>
      </c>
      <c r="H772" t="s">
        <v>15498</v>
      </c>
      <c r="I772" t="s">
        <v>3852</v>
      </c>
      <c r="J772" t="s">
        <v>30327</v>
      </c>
      <c r="K772" t="s">
        <v>39018</v>
      </c>
      <c r="M772" t="s">
        <v>39642</v>
      </c>
      <c r="N772" t="s">
        <v>43166</v>
      </c>
      <c r="O772" t="s">
        <v>43167</v>
      </c>
      <c r="P772">
        <v>0</v>
      </c>
      <c r="Q772">
        <v>0</v>
      </c>
      <c r="R772" t="s">
        <v>43168</v>
      </c>
      <c r="S772" t="s">
        <v>43286</v>
      </c>
      <c r="T772" t="s">
        <v>44698</v>
      </c>
      <c r="U772" t="s">
        <v>45834</v>
      </c>
      <c r="W772" t="s">
        <v>39642</v>
      </c>
      <c r="X772" t="s">
        <v>43170</v>
      </c>
    </row>
    <row r="773" spans="1:24">
      <c r="A773">
        <f>HYPERLINK("https://www.philgeps.gov.ph/GEPSNONPILOT/Tender/SplashBidNoticeAbstractUI.aspx?menuIndex=3&amp;refID=7087295&amp;Result=3","7087295")</f>
        <v>0</v>
      </c>
      <c r="B773" t="s">
        <v>348</v>
      </c>
      <c r="C773" t="s">
        <v>4171</v>
      </c>
      <c r="D773" t="s">
        <v>17416</v>
      </c>
      <c r="E773" t="s">
        <v>18232</v>
      </c>
      <c r="F773" t="s">
        <v>30052</v>
      </c>
      <c r="G773" t="s">
        <v>30058</v>
      </c>
      <c r="H773" t="s">
        <v>15498</v>
      </c>
      <c r="I773" t="s">
        <v>30074</v>
      </c>
      <c r="J773" t="s">
        <v>30281</v>
      </c>
      <c r="K773" t="s">
        <v>39023</v>
      </c>
      <c r="M773" t="s">
        <v>39645</v>
      </c>
      <c r="N773" t="s">
        <v>43166</v>
      </c>
      <c r="O773" t="s">
        <v>43167</v>
      </c>
      <c r="P773">
        <v>0</v>
      </c>
      <c r="Q773">
        <v>5</v>
      </c>
      <c r="R773" t="s">
        <v>43168</v>
      </c>
      <c r="S773" t="s">
        <v>43286</v>
      </c>
      <c r="T773" t="s">
        <v>44692</v>
      </c>
      <c r="U773" t="s">
        <v>45835</v>
      </c>
      <c r="V773" t="s">
        <v>56906</v>
      </c>
      <c r="W773" t="s">
        <v>39645</v>
      </c>
      <c r="X773" t="s">
        <v>43170</v>
      </c>
    </row>
    <row r="774" spans="1:24">
      <c r="A774">
        <f>HYPERLINK("https://www.philgeps.gov.ph/GEPSNONPILOT/Tender/SplashBidNoticeAbstractUI.aspx?menuIndex=3&amp;refID=7087264&amp;Result=3","7087264")</f>
        <v>0</v>
      </c>
      <c r="B774" t="s">
        <v>337</v>
      </c>
      <c r="C774" t="s">
        <v>4172</v>
      </c>
      <c r="D774" t="s">
        <v>17475</v>
      </c>
      <c r="E774" t="s">
        <v>18226</v>
      </c>
      <c r="F774" t="s">
        <v>30052</v>
      </c>
      <c r="G774" t="s">
        <v>30059</v>
      </c>
      <c r="H774" t="s">
        <v>15498</v>
      </c>
      <c r="I774" t="s">
        <v>3852</v>
      </c>
      <c r="J774" t="s">
        <v>30796</v>
      </c>
      <c r="K774" t="s">
        <v>39018</v>
      </c>
      <c r="M774" t="s">
        <v>39633</v>
      </c>
      <c r="N774" t="s">
        <v>43166</v>
      </c>
      <c r="O774" t="s">
        <v>43167</v>
      </c>
      <c r="P774">
        <v>0</v>
      </c>
      <c r="Q774">
        <v>0</v>
      </c>
      <c r="R774" t="s">
        <v>43168</v>
      </c>
      <c r="S774" t="s">
        <v>43286</v>
      </c>
      <c r="T774" t="s">
        <v>44698</v>
      </c>
      <c r="U774" t="s">
        <v>45836</v>
      </c>
      <c r="W774" t="s">
        <v>39633</v>
      </c>
      <c r="X774" t="s">
        <v>43170</v>
      </c>
    </row>
    <row r="775" spans="1:24">
      <c r="A775">
        <f>HYPERLINK("https://www.philgeps.gov.ph/GEPSNONPILOT/Tender/SplashBidNoticeAbstractUI.aspx?menuIndex=3&amp;refID=7087242&amp;Result=3","7087242")</f>
        <v>0</v>
      </c>
      <c r="B775" t="s">
        <v>334</v>
      </c>
      <c r="C775" t="s">
        <v>4173</v>
      </c>
      <c r="D775" t="s">
        <v>17456</v>
      </c>
      <c r="E775" t="s">
        <v>18233</v>
      </c>
      <c r="F775" t="s">
        <v>30052</v>
      </c>
      <c r="G775" t="s">
        <v>30061</v>
      </c>
      <c r="H775" t="s">
        <v>30069</v>
      </c>
      <c r="I775" t="s">
        <v>30141</v>
      </c>
      <c r="J775" t="s">
        <v>30277</v>
      </c>
      <c r="K775" t="s">
        <v>39036</v>
      </c>
      <c r="M775" t="s">
        <v>39630</v>
      </c>
      <c r="N775" t="s">
        <v>43166</v>
      </c>
      <c r="O775" t="s">
        <v>43167</v>
      </c>
      <c r="P775">
        <v>0</v>
      </c>
      <c r="Q775">
        <v>0</v>
      </c>
      <c r="R775" t="s">
        <v>43168</v>
      </c>
      <c r="S775" t="s">
        <v>43286</v>
      </c>
      <c r="T775" t="s">
        <v>44792</v>
      </c>
      <c r="U775" t="s">
        <v>45837</v>
      </c>
      <c r="W775" t="s">
        <v>39630</v>
      </c>
      <c r="X775" t="s">
        <v>43170</v>
      </c>
    </row>
    <row r="776" spans="1:24">
      <c r="A776">
        <f>HYPERLINK("https://www.philgeps.gov.ph/GEPSNONPILOT/Tender/SplashBidNoticeAbstractUI.aspx?menuIndex=3&amp;refID=7087330&amp;Result=3","7087330")</f>
        <v>0</v>
      </c>
      <c r="B776" t="s">
        <v>344</v>
      </c>
      <c r="C776" t="s">
        <v>4174</v>
      </c>
      <c r="D776" t="s">
        <v>17461</v>
      </c>
      <c r="E776" t="s">
        <v>18234</v>
      </c>
      <c r="F776" t="s">
        <v>30052</v>
      </c>
      <c r="G776" t="s">
        <v>30059</v>
      </c>
      <c r="H776" t="s">
        <v>15498</v>
      </c>
      <c r="I776" t="s">
        <v>30071</v>
      </c>
      <c r="J776" t="s">
        <v>30797</v>
      </c>
      <c r="K776" t="s">
        <v>39017</v>
      </c>
      <c r="M776" t="s">
        <v>39641</v>
      </c>
      <c r="N776" t="s">
        <v>43166</v>
      </c>
      <c r="O776" t="s">
        <v>43167</v>
      </c>
      <c r="P776">
        <v>0</v>
      </c>
      <c r="Q776">
        <v>0</v>
      </c>
      <c r="R776" t="s">
        <v>43168</v>
      </c>
      <c r="S776" t="s">
        <v>43286</v>
      </c>
      <c r="T776" t="s">
        <v>44678</v>
      </c>
      <c r="U776" t="s">
        <v>45838</v>
      </c>
      <c r="V776" t="s">
        <v>56845</v>
      </c>
      <c r="W776" t="s">
        <v>39641</v>
      </c>
      <c r="X776" t="s">
        <v>43170</v>
      </c>
    </row>
    <row r="777" spans="1:24">
      <c r="A777">
        <f>HYPERLINK("https://www.philgeps.gov.ph/GEPSNONPILOT/Tender/SplashBidNoticeAbstractUI.aspx?menuIndex=3&amp;refID=7087316&amp;Result=3","7087316")</f>
        <v>0</v>
      </c>
      <c r="B777" t="s">
        <v>344</v>
      </c>
      <c r="C777" t="s">
        <v>4175</v>
      </c>
      <c r="D777" t="s">
        <v>17461</v>
      </c>
      <c r="E777" t="s">
        <v>18235</v>
      </c>
      <c r="F777" t="s">
        <v>30052</v>
      </c>
      <c r="G777" t="s">
        <v>30059</v>
      </c>
      <c r="H777" t="s">
        <v>15498</v>
      </c>
      <c r="I777" t="s">
        <v>30071</v>
      </c>
      <c r="J777" t="s">
        <v>30798</v>
      </c>
      <c r="K777" t="s">
        <v>39017</v>
      </c>
      <c r="M777" t="s">
        <v>39641</v>
      </c>
      <c r="N777" t="s">
        <v>43166</v>
      </c>
      <c r="O777" t="s">
        <v>43167</v>
      </c>
      <c r="P777">
        <v>0</v>
      </c>
      <c r="Q777">
        <v>0</v>
      </c>
      <c r="R777" t="s">
        <v>43168</v>
      </c>
      <c r="S777" t="s">
        <v>43286</v>
      </c>
      <c r="T777" t="s">
        <v>44678</v>
      </c>
      <c r="U777" t="s">
        <v>45839</v>
      </c>
      <c r="V777" t="s">
        <v>56845</v>
      </c>
      <c r="W777" t="s">
        <v>39641</v>
      </c>
      <c r="X777" t="s">
        <v>43170</v>
      </c>
    </row>
    <row r="778" spans="1:24">
      <c r="A778">
        <f>HYPERLINK("https://www.philgeps.gov.ph/GEPSNONPILOT/Tender/SplashBidNoticeAbstractUI.aspx?menuIndex=3&amp;refID=7087425&amp;Result=3","7087425")</f>
        <v>0</v>
      </c>
      <c r="B778" t="s">
        <v>349</v>
      </c>
      <c r="C778" t="s">
        <v>4176</v>
      </c>
      <c r="D778" t="s">
        <v>17415</v>
      </c>
      <c r="E778" t="s">
        <v>18236</v>
      </c>
      <c r="F778" t="s">
        <v>30052</v>
      </c>
      <c r="G778" t="s">
        <v>30059</v>
      </c>
      <c r="H778" t="s">
        <v>15498</v>
      </c>
      <c r="I778" t="s">
        <v>30084</v>
      </c>
      <c r="J778" t="s">
        <v>30594</v>
      </c>
      <c r="K778" t="s">
        <v>39036</v>
      </c>
      <c r="M778" t="s">
        <v>39646</v>
      </c>
      <c r="N778" t="s">
        <v>43166</v>
      </c>
      <c r="O778" t="s">
        <v>43167</v>
      </c>
      <c r="P778">
        <v>0</v>
      </c>
      <c r="Q778">
        <v>3</v>
      </c>
      <c r="R778" t="s">
        <v>43168</v>
      </c>
      <c r="S778" t="s">
        <v>43286</v>
      </c>
      <c r="T778" t="s">
        <v>44715</v>
      </c>
      <c r="U778" t="s">
        <v>45840</v>
      </c>
      <c r="W778" t="s">
        <v>39646</v>
      </c>
      <c r="X778" t="s">
        <v>43170</v>
      </c>
    </row>
    <row r="779" spans="1:24">
      <c r="A779">
        <f>HYPERLINK("https://www.philgeps.gov.ph/GEPSNONPILOT/Tender/SplashBidNoticeAbstractUI.aspx?menuIndex=3&amp;refID=7087322&amp;Result=3","7087322")</f>
        <v>0</v>
      </c>
      <c r="B779" t="s">
        <v>346</v>
      </c>
      <c r="C779" t="s">
        <v>4177</v>
      </c>
      <c r="D779" t="s">
        <v>17475</v>
      </c>
      <c r="E779" t="s">
        <v>18237</v>
      </c>
      <c r="F779" t="s">
        <v>30052</v>
      </c>
      <c r="G779" t="s">
        <v>30059</v>
      </c>
      <c r="H779" t="s">
        <v>15498</v>
      </c>
      <c r="I779" t="s">
        <v>3852</v>
      </c>
      <c r="J779" t="s">
        <v>30398</v>
      </c>
      <c r="K779" t="s">
        <v>39018</v>
      </c>
      <c r="M779" t="s">
        <v>39643</v>
      </c>
      <c r="N779" t="s">
        <v>43166</v>
      </c>
      <c r="O779" t="s">
        <v>43167</v>
      </c>
      <c r="P779">
        <v>0</v>
      </c>
      <c r="Q779">
        <v>0</v>
      </c>
      <c r="R779" t="s">
        <v>43168</v>
      </c>
      <c r="S779" t="s">
        <v>43286</v>
      </c>
      <c r="T779" t="s">
        <v>44698</v>
      </c>
      <c r="U779" t="s">
        <v>45841</v>
      </c>
      <c r="W779" t="s">
        <v>39643</v>
      </c>
      <c r="X779" t="s">
        <v>43170</v>
      </c>
    </row>
    <row r="780" spans="1:24">
      <c r="A780">
        <f>HYPERLINK("https://www.philgeps.gov.ph/GEPSNONPILOT/Tender/SplashBidNoticeAbstractUI.aspx?menuIndex=3&amp;refID=7087260&amp;Result=3","7087260")</f>
        <v>0</v>
      </c>
      <c r="B780" t="s">
        <v>337</v>
      </c>
      <c r="C780" t="s">
        <v>4178</v>
      </c>
      <c r="D780" t="s">
        <v>17475</v>
      </c>
      <c r="E780" t="s">
        <v>18237</v>
      </c>
      <c r="F780" t="s">
        <v>30052</v>
      </c>
      <c r="G780" t="s">
        <v>30059</v>
      </c>
      <c r="H780" t="s">
        <v>15498</v>
      </c>
      <c r="I780" t="s">
        <v>3852</v>
      </c>
      <c r="J780" t="s">
        <v>30799</v>
      </c>
      <c r="K780" t="s">
        <v>39018</v>
      </c>
      <c r="M780" t="s">
        <v>39633</v>
      </c>
      <c r="N780" t="s">
        <v>43166</v>
      </c>
      <c r="O780" t="s">
        <v>43167</v>
      </c>
      <c r="P780">
        <v>0</v>
      </c>
      <c r="Q780">
        <v>0</v>
      </c>
      <c r="R780" t="s">
        <v>43168</v>
      </c>
      <c r="S780" t="s">
        <v>43286</v>
      </c>
      <c r="T780" t="s">
        <v>44698</v>
      </c>
      <c r="U780" t="s">
        <v>45842</v>
      </c>
      <c r="W780" t="s">
        <v>39633</v>
      </c>
      <c r="X780" t="s">
        <v>43170</v>
      </c>
    </row>
    <row r="781" spans="1:24">
      <c r="A781">
        <f>HYPERLINK("https://www.philgeps.gov.ph/GEPSNONPILOT/Tender/SplashBidNoticeAbstractUI.aspx?menuIndex=3&amp;refID=7087418&amp;Result=3","7087418")</f>
        <v>0</v>
      </c>
      <c r="B781" t="s">
        <v>350</v>
      </c>
      <c r="C781" t="s">
        <v>4179</v>
      </c>
      <c r="D781" t="s">
        <v>17444</v>
      </c>
      <c r="E781" t="s">
        <v>17715</v>
      </c>
      <c r="F781" t="s">
        <v>30052</v>
      </c>
      <c r="G781" t="s">
        <v>30058</v>
      </c>
      <c r="H781" t="s">
        <v>15498</v>
      </c>
      <c r="I781" t="s">
        <v>30072</v>
      </c>
      <c r="J781" t="s">
        <v>30800</v>
      </c>
      <c r="K781" t="s">
        <v>39067</v>
      </c>
      <c r="M781" t="s">
        <v>39647</v>
      </c>
      <c r="N781" t="s">
        <v>43166</v>
      </c>
      <c r="O781" t="s">
        <v>43167</v>
      </c>
      <c r="P781">
        <v>0</v>
      </c>
      <c r="Q781">
        <v>2</v>
      </c>
      <c r="R781" t="s">
        <v>43168</v>
      </c>
      <c r="S781" t="s">
        <v>43286</v>
      </c>
      <c r="T781" t="s">
        <v>44684</v>
      </c>
      <c r="U781" t="s">
        <v>45722</v>
      </c>
      <c r="W781" t="s">
        <v>39647</v>
      </c>
      <c r="X781" t="s">
        <v>43170</v>
      </c>
    </row>
    <row r="782" spans="1:24">
      <c r="A782">
        <f>HYPERLINK("https://www.philgeps.gov.ph/GEPSNONPILOT/Tender/SplashBidNoticeAbstractUI.aspx?menuIndex=3&amp;refID=7087337&amp;Result=3","7087337")</f>
        <v>0</v>
      </c>
      <c r="B782" t="s">
        <v>351</v>
      </c>
      <c r="C782" t="s">
        <v>4180</v>
      </c>
      <c r="D782" t="s">
        <v>17485</v>
      </c>
      <c r="E782" t="s">
        <v>18238</v>
      </c>
      <c r="F782" t="s">
        <v>30052</v>
      </c>
      <c r="G782" t="s">
        <v>30059</v>
      </c>
      <c r="H782" t="s">
        <v>15498</v>
      </c>
      <c r="I782" t="s">
        <v>30091</v>
      </c>
      <c r="J782" t="s">
        <v>30256</v>
      </c>
      <c r="K782" t="s">
        <v>39025</v>
      </c>
      <c r="M782" t="s">
        <v>39648</v>
      </c>
      <c r="N782" t="s">
        <v>43166</v>
      </c>
      <c r="O782" t="s">
        <v>43167</v>
      </c>
      <c r="P782">
        <v>0</v>
      </c>
      <c r="Q782">
        <v>0</v>
      </c>
      <c r="R782" t="s">
        <v>43168</v>
      </c>
      <c r="S782" t="s">
        <v>43286</v>
      </c>
      <c r="T782" t="s">
        <v>44690</v>
      </c>
      <c r="U782" t="s">
        <v>45843</v>
      </c>
      <c r="W782" t="s">
        <v>39648</v>
      </c>
      <c r="X782" t="s">
        <v>43170</v>
      </c>
    </row>
    <row r="783" spans="1:24">
      <c r="A783">
        <f>HYPERLINK("https://www.philgeps.gov.ph/GEPSNONPILOT/Tender/SplashBidNoticeAbstractUI.aspx?menuIndex=3&amp;refID=7087397&amp;Result=3","7087397")</f>
        <v>0</v>
      </c>
      <c r="B783" t="s">
        <v>352</v>
      </c>
      <c r="C783" t="s">
        <v>4181</v>
      </c>
      <c r="D783" t="s">
        <v>17415</v>
      </c>
      <c r="E783" t="s">
        <v>18239</v>
      </c>
      <c r="F783" t="s">
        <v>30052</v>
      </c>
      <c r="G783" t="s">
        <v>30059</v>
      </c>
      <c r="H783" t="s">
        <v>30069</v>
      </c>
      <c r="I783" t="s">
        <v>30084</v>
      </c>
      <c r="J783" t="s">
        <v>30801</v>
      </c>
      <c r="K783" t="s">
        <v>39068</v>
      </c>
      <c r="M783" t="s">
        <v>39649</v>
      </c>
      <c r="N783" t="s">
        <v>43166</v>
      </c>
      <c r="O783" t="s">
        <v>43167</v>
      </c>
      <c r="P783">
        <v>0</v>
      </c>
      <c r="Q783">
        <v>6</v>
      </c>
      <c r="R783" t="s">
        <v>43168</v>
      </c>
      <c r="S783" t="s">
        <v>43286</v>
      </c>
      <c r="T783" t="s">
        <v>44721</v>
      </c>
      <c r="U783" t="s">
        <v>45844</v>
      </c>
      <c r="W783" t="s">
        <v>39649</v>
      </c>
      <c r="X783" t="s">
        <v>43170</v>
      </c>
    </row>
    <row r="784" spans="1:24">
      <c r="A784">
        <f>HYPERLINK("https://www.philgeps.gov.ph/GEPSNONPILOT/Tender/SplashBidNoticeAbstractUI.aspx?menuIndex=3&amp;refID=7087394&amp;Result=3","7087394")</f>
        <v>0</v>
      </c>
      <c r="B784" t="s">
        <v>61</v>
      </c>
      <c r="C784" t="s">
        <v>4182</v>
      </c>
      <c r="D784" t="s">
        <v>17442</v>
      </c>
      <c r="E784" t="s">
        <v>18240</v>
      </c>
      <c r="F784" t="s">
        <v>30052</v>
      </c>
      <c r="G784" t="s">
        <v>30058</v>
      </c>
      <c r="H784" t="s">
        <v>30067</v>
      </c>
      <c r="I784" t="s">
        <v>30073</v>
      </c>
      <c r="J784" t="s">
        <v>30207</v>
      </c>
      <c r="K784" t="s">
        <v>39019</v>
      </c>
      <c r="M784" t="s">
        <v>39350</v>
      </c>
      <c r="N784" t="s">
        <v>43166</v>
      </c>
      <c r="O784" t="s">
        <v>43167</v>
      </c>
      <c r="P784">
        <v>0</v>
      </c>
      <c r="Q784">
        <v>0</v>
      </c>
      <c r="R784" t="s">
        <v>43168</v>
      </c>
      <c r="S784" t="s">
        <v>43286</v>
      </c>
      <c r="T784" t="s">
        <v>44711</v>
      </c>
      <c r="U784" t="s">
        <v>45845</v>
      </c>
      <c r="W784" t="s">
        <v>39350</v>
      </c>
      <c r="X784" t="s">
        <v>43170</v>
      </c>
    </row>
    <row r="785" spans="1:24">
      <c r="A785">
        <f>HYPERLINK("https://www.philgeps.gov.ph/GEPSNONPILOT/Tender/SplashBidNoticeAbstractUI.aspx?menuIndex=3&amp;refID=7087376&amp;Result=3","7087376")</f>
        <v>0</v>
      </c>
      <c r="B785" t="s">
        <v>353</v>
      </c>
      <c r="C785" t="s">
        <v>4183</v>
      </c>
      <c r="D785" t="s">
        <v>17422</v>
      </c>
      <c r="E785" t="s">
        <v>17673</v>
      </c>
      <c r="F785" t="s">
        <v>30052</v>
      </c>
      <c r="G785" t="s">
        <v>30058</v>
      </c>
      <c r="H785" t="s">
        <v>15498</v>
      </c>
      <c r="I785" t="s">
        <v>3736</v>
      </c>
      <c r="J785" t="s">
        <v>30802</v>
      </c>
      <c r="K785" t="s">
        <v>39019</v>
      </c>
      <c r="M785" t="s">
        <v>39650</v>
      </c>
      <c r="N785" t="s">
        <v>43166</v>
      </c>
      <c r="O785" t="s">
        <v>43167</v>
      </c>
      <c r="P785">
        <v>0</v>
      </c>
      <c r="Q785">
        <v>0</v>
      </c>
      <c r="R785" t="s">
        <v>43168</v>
      </c>
      <c r="S785" t="s">
        <v>43286</v>
      </c>
      <c r="T785" t="s">
        <v>44716</v>
      </c>
      <c r="U785" t="s">
        <v>45846</v>
      </c>
      <c r="W785" t="s">
        <v>39650</v>
      </c>
      <c r="X785" t="s">
        <v>43170</v>
      </c>
    </row>
    <row r="786" spans="1:24">
      <c r="A786">
        <f>HYPERLINK("https://www.philgeps.gov.ph/GEPSNONPILOT/Tender/SplashBidNoticeAbstractUI.aspx?menuIndex=3&amp;refID=7087321&amp;Result=3","7087321")</f>
        <v>0</v>
      </c>
      <c r="B786" t="s">
        <v>344</v>
      </c>
      <c r="C786" t="s">
        <v>4184</v>
      </c>
      <c r="D786" t="s">
        <v>17461</v>
      </c>
      <c r="E786" t="s">
        <v>18241</v>
      </c>
      <c r="F786" t="s">
        <v>30052</v>
      </c>
      <c r="G786" t="s">
        <v>30059</v>
      </c>
      <c r="H786" t="s">
        <v>15498</v>
      </c>
      <c r="I786" t="s">
        <v>30092</v>
      </c>
      <c r="J786" t="s">
        <v>30803</v>
      </c>
      <c r="K786" t="s">
        <v>39017</v>
      </c>
      <c r="M786" t="s">
        <v>39641</v>
      </c>
      <c r="N786" t="s">
        <v>43166</v>
      </c>
      <c r="O786" t="s">
        <v>43167</v>
      </c>
      <c r="P786">
        <v>0</v>
      </c>
      <c r="Q786">
        <v>2</v>
      </c>
      <c r="R786" t="s">
        <v>43168</v>
      </c>
      <c r="S786" t="s">
        <v>43286</v>
      </c>
      <c r="T786" t="s">
        <v>44678</v>
      </c>
      <c r="U786" t="s">
        <v>45847</v>
      </c>
      <c r="V786" t="s">
        <v>56845</v>
      </c>
      <c r="W786" t="s">
        <v>39641</v>
      </c>
      <c r="X786" t="s">
        <v>43170</v>
      </c>
    </row>
    <row r="787" spans="1:24">
      <c r="A787">
        <f>HYPERLINK("https://www.philgeps.gov.ph/GEPSNONPILOT/Tender/SplashBidNoticeAbstractUI.aspx?menuIndex=3&amp;refID=7087375&amp;Result=3","7087375")</f>
        <v>0</v>
      </c>
      <c r="B787" t="s">
        <v>354</v>
      </c>
      <c r="C787" t="s">
        <v>4185</v>
      </c>
      <c r="D787" t="s">
        <v>17437</v>
      </c>
      <c r="E787" t="s">
        <v>18242</v>
      </c>
      <c r="F787" t="s">
        <v>30052</v>
      </c>
      <c r="G787" t="s">
        <v>30058</v>
      </c>
      <c r="H787" t="s">
        <v>30067</v>
      </c>
      <c r="I787" t="s">
        <v>3693</v>
      </c>
      <c r="J787" t="s">
        <v>30215</v>
      </c>
      <c r="K787" t="s">
        <v>39031</v>
      </c>
      <c r="M787" t="s">
        <v>39651</v>
      </c>
      <c r="N787" t="s">
        <v>43166</v>
      </c>
      <c r="O787" t="s">
        <v>43167</v>
      </c>
      <c r="P787">
        <v>0</v>
      </c>
      <c r="Q787">
        <v>0</v>
      </c>
      <c r="R787" t="s">
        <v>43168</v>
      </c>
      <c r="S787" t="s">
        <v>43286</v>
      </c>
      <c r="T787" t="s">
        <v>44702</v>
      </c>
      <c r="U787" t="s">
        <v>45848</v>
      </c>
      <c r="W787" t="s">
        <v>39651</v>
      </c>
      <c r="X787" t="s">
        <v>43170</v>
      </c>
    </row>
    <row r="788" spans="1:24">
      <c r="A788">
        <f>HYPERLINK("https://www.philgeps.gov.ph/GEPSNONPILOT/Tender/SplashBidNoticeAbstractUI.aspx?menuIndex=3&amp;refID=7087373&amp;Result=3","7087373")</f>
        <v>0</v>
      </c>
      <c r="B788" t="s">
        <v>354</v>
      </c>
      <c r="C788" t="s">
        <v>4186</v>
      </c>
      <c r="D788" t="s">
        <v>17437</v>
      </c>
      <c r="E788" t="s">
        <v>18243</v>
      </c>
      <c r="F788" t="s">
        <v>30052</v>
      </c>
      <c r="G788" t="s">
        <v>30058</v>
      </c>
      <c r="H788" t="s">
        <v>30067</v>
      </c>
      <c r="I788" t="s">
        <v>3693</v>
      </c>
      <c r="J788" t="s">
        <v>30804</v>
      </c>
      <c r="K788" t="s">
        <v>39016</v>
      </c>
      <c r="M788" t="s">
        <v>39651</v>
      </c>
      <c r="N788" t="s">
        <v>43166</v>
      </c>
      <c r="O788" t="s">
        <v>43167</v>
      </c>
      <c r="P788">
        <v>0</v>
      </c>
      <c r="Q788">
        <v>0</v>
      </c>
      <c r="R788" t="s">
        <v>43168</v>
      </c>
      <c r="S788" t="s">
        <v>43286</v>
      </c>
      <c r="T788" t="s">
        <v>44758</v>
      </c>
      <c r="U788" t="s">
        <v>45849</v>
      </c>
      <c r="W788" t="s">
        <v>39651</v>
      </c>
      <c r="X788" t="s">
        <v>43170</v>
      </c>
    </row>
    <row r="789" spans="1:24">
      <c r="A789">
        <f>HYPERLINK("https://www.philgeps.gov.ph/GEPSNONPILOT/Tender/SplashBidNoticeAbstractUI.aspx?menuIndex=3&amp;refID=7087342&amp;Result=3","7087342")</f>
        <v>0</v>
      </c>
      <c r="B789" t="s">
        <v>354</v>
      </c>
      <c r="C789" t="s">
        <v>4187</v>
      </c>
      <c r="D789" t="s">
        <v>17437</v>
      </c>
      <c r="E789" t="s">
        <v>18244</v>
      </c>
      <c r="F789" t="s">
        <v>30052</v>
      </c>
      <c r="G789" t="s">
        <v>30058</v>
      </c>
      <c r="H789" t="s">
        <v>15498</v>
      </c>
      <c r="I789" t="s">
        <v>30076</v>
      </c>
      <c r="J789" t="s">
        <v>30805</v>
      </c>
      <c r="K789" t="s">
        <v>39034</v>
      </c>
      <c r="M789" t="s">
        <v>39651</v>
      </c>
      <c r="N789" t="s">
        <v>43166</v>
      </c>
      <c r="O789" t="s">
        <v>43167</v>
      </c>
      <c r="P789">
        <v>0</v>
      </c>
      <c r="Q789">
        <v>9</v>
      </c>
      <c r="R789" t="s">
        <v>43168</v>
      </c>
      <c r="S789" t="s">
        <v>43286</v>
      </c>
      <c r="T789" t="s">
        <v>44702</v>
      </c>
      <c r="U789" t="s">
        <v>45850</v>
      </c>
      <c r="W789" t="s">
        <v>39651</v>
      </c>
      <c r="X789" t="s">
        <v>43170</v>
      </c>
    </row>
    <row r="790" spans="1:24">
      <c r="A790">
        <f>HYPERLINK("https://www.philgeps.gov.ph/GEPSNONPILOT/Tender/SplashBidNoticeAbstractUI.aspx?menuIndex=3&amp;refID=7087368&amp;Result=3","7087368")</f>
        <v>0</v>
      </c>
      <c r="B790" t="s">
        <v>354</v>
      </c>
      <c r="C790" t="s">
        <v>4188</v>
      </c>
      <c r="D790" t="s">
        <v>17437</v>
      </c>
      <c r="E790" t="s">
        <v>18245</v>
      </c>
      <c r="F790" t="s">
        <v>30052</v>
      </c>
      <c r="G790" t="s">
        <v>30058</v>
      </c>
      <c r="H790" t="s">
        <v>15498</v>
      </c>
      <c r="I790" t="s">
        <v>3606</v>
      </c>
      <c r="J790" t="s">
        <v>30806</v>
      </c>
      <c r="K790" t="s">
        <v>39034</v>
      </c>
      <c r="M790" t="s">
        <v>39651</v>
      </c>
      <c r="N790" t="s">
        <v>43166</v>
      </c>
      <c r="O790" t="s">
        <v>43167</v>
      </c>
      <c r="P790">
        <v>0</v>
      </c>
      <c r="Q790">
        <v>3</v>
      </c>
      <c r="R790" t="s">
        <v>43168</v>
      </c>
      <c r="S790" t="s">
        <v>43286</v>
      </c>
      <c r="T790" t="s">
        <v>44702</v>
      </c>
      <c r="U790" t="s">
        <v>45851</v>
      </c>
      <c r="W790" t="s">
        <v>39651</v>
      </c>
      <c r="X790" t="s">
        <v>43170</v>
      </c>
    </row>
    <row r="791" spans="1:24">
      <c r="A791">
        <f>HYPERLINK("https://www.philgeps.gov.ph/GEPSNONPILOT/Tender/SplashBidNoticeAbstractUI.aspx?menuIndex=3&amp;refID=7087400&amp;Result=3","7087400")</f>
        <v>0</v>
      </c>
      <c r="B791" t="s">
        <v>355</v>
      </c>
      <c r="C791" t="s">
        <v>4189</v>
      </c>
      <c r="D791" t="s">
        <v>17487</v>
      </c>
      <c r="E791" t="s">
        <v>18246</v>
      </c>
      <c r="F791" t="s">
        <v>30052</v>
      </c>
      <c r="G791" t="s">
        <v>30058</v>
      </c>
      <c r="H791" t="s">
        <v>30067</v>
      </c>
      <c r="I791" t="s">
        <v>3693</v>
      </c>
      <c r="J791" t="s">
        <v>30545</v>
      </c>
      <c r="K791" t="s">
        <v>39029</v>
      </c>
      <c r="M791" t="s">
        <v>39652</v>
      </c>
      <c r="N791" t="s">
        <v>43166</v>
      </c>
      <c r="O791" t="s">
        <v>43167</v>
      </c>
      <c r="P791">
        <v>0</v>
      </c>
      <c r="Q791">
        <v>0</v>
      </c>
      <c r="R791" t="s">
        <v>43168</v>
      </c>
      <c r="S791" t="s">
        <v>43286</v>
      </c>
      <c r="T791" t="s">
        <v>44793</v>
      </c>
      <c r="U791" t="s">
        <v>45852</v>
      </c>
      <c r="W791" t="s">
        <v>39652</v>
      </c>
      <c r="X791" t="s">
        <v>43170</v>
      </c>
    </row>
    <row r="792" spans="1:24">
      <c r="A792">
        <f>HYPERLINK("https://www.philgeps.gov.ph/GEPSNONPILOT/Tender/SplashBidNoticeAbstractUI.aspx?menuIndex=3&amp;refID=7087393&amp;Result=3","7087393")</f>
        <v>0</v>
      </c>
      <c r="B792" t="s">
        <v>84</v>
      </c>
      <c r="C792" t="s">
        <v>4190</v>
      </c>
      <c r="D792" t="s">
        <v>17444</v>
      </c>
      <c r="E792" t="s">
        <v>17727</v>
      </c>
      <c r="F792" t="s">
        <v>30052</v>
      </c>
      <c r="G792" t="s">
        <v>30061</v>
      </c>
      <c r="H792" t="s">
        <v>15498</v>
      </c>
      <c r="I792" t="s">
        <v>4119</v>
      </c>
      <c r="J792" t="s">
        <v>30807</v>
      </c>
      <c r="K792" t="s">
        <v>39040</v>
      </c>
      <c r="M792" t="s">
        <v>39373</v>
      </c>
      <c r="N792" t="s">
        <v>43166</v>
      </c>
      <c r="O792" t="s">
        <v>43167</v>
      </c>
      <c r="P792">
        <v>0</v>
      </c>
      <c r="Q792">
        <v>0</v>
      </c>
      <c r="R792" t="s">
        <v>43168</v>
      </c>
      <c r="S792" t="s">
        <v>43286</v>
      </c>
      <c r="T792" t="s">
        <v>44719</v>
      </c>
      <c r="U792" t="s">
        <v>45853</v>
      </c>
      <c r="V792" t="s">
        <v>56907</v>
      </c>
      <c r="W792" t="s">
        <v>39373</v>
      </c>
      <c r="X792" t="s">
        <v>43170</v>
      </c>
    </row>
    <row r="793" spans="1:24">
      <c r="A793">
        <f>HYPERLINK("https://www.philgeps.gov.ph/GEPSNONPILOT/Tender/SplashBidNoticeAbstractUI.aspx?menuIndex=3&amp;refID=7087359&amp;Result=3","7087359")</f>
        <v>0</v>
      </c>
      <c r="B793" t="s">
        <v>354</v>
      </c>
      <c r="C793" t="s">
        <v>4191</v>
      </c>
      <c r="D793" t="s">
        <v>17437</v>
      </c>
      <c r="E793" t="s">
        <v>18247</v>
      </c>
      <c r="F793" t="s">
        <v>30052</v>
      </c>
      <c r="G793" t="s">
        <v>30058</v>
      </c>
      <c r="H793" t="s">
        <v>15498</v>
      </c>
      <c r="I793" t="s">
        <v>30083</v>
      </c>
      <c r="J793" t="s">
        <v>30555</v>
      </c>
      <c r="K793" t="s">
        <v>39029</v>
      </c>
      <c r="M793" t="s">
        <v>39651</v>
      </c>
      <c r="N793" t="s">
        <v>43166</v>
      </c>
      <c r="O793" t="s">
        <v>43167</v>
      </c>
      <c r="P793">
        <v>0</v>
      </c>
      <c r="Q793">
        <v>1</v>
      </c>
      <c r="R793" t="s">
        <v>43168</v>
      </c>
      <c r="S793" t="s">
        <v>43286</v>
      </c>
      <c r="T793" t="s">
        <v>44702</v>
      </c>
      <c r="U793" t="s">
        <v>45854</v>
      </c>
      <c r="W793" t="s">
        <v>39651</v>
      </c>
      <c r="X793" t="s">
        <v>43170</v>
      </c>
    </row>
    <row r="794" spans="1:24">
      <c r="A794">
        <f>HYPERLINK("https://www.philgeps.gov.ph/GEPSNONPILOT/Tender/SplashBidNoticeAbstractUI.aspx?menuIndex=3&amp;refID=7087347&amp;Result=3","7087347")</f>
        <v>0</v>
      </c>
      <c r="B794" t="s">
        <v>354</v>
      </c>
      <c r="C794" t="s">
        <v>4192</v>
      </c>
      <c r="D794" t="s">
        <v>17437</v>
      </c>
      <c r="E794" t="s">
        <v>18248</v>
      </c>
      <c r="F794" t="s">
        <v>30052</v>
      </c>
      <c r="G794" t="s">
        <v>30058</v>
      </c>
      <c r="H794" t="s">
        <v>15498</v>
      </c>
      <c r="I794" t="s">
        <v>30084</v>
      </c>
      <c r="J794" t="s">
        <v>30808</v>
      </c>
      <c r="K794" t="s">
        <v>39034</v>
      </c>
      <c r="M794" t="s">
        <v>39651</v>
      </c>
      <c r="N794" t="s">
        <v>43166</v>
      </c>
      <c r="O794" t="s">
        <v>43167</v>
      </c>
      <c r="P794">
        <v>0</v>
      </c>
      <c r="Q794">
        <v>6</v>
      </c>
      <c r="R794" t="s">
        <v>43168</v>
      </c>
      <c r="S794" t="s">
        <v>43286</v>
      </c>
      <c r="T794" t="s">
        <v>44702</v>
      </c>
      <c r="U794" t="s">
        <v>45855</v>
      </c>
      <c r="W794" t="s">
        <v>39651</v>
      </c>
      <c r="X794" t="s">
        <v>43170</v>
      </c>
    </row>
    <row r="795" spans="1:24">
      <c r="A795">
        <f>HYPERLINK("https://www.philgeps.gov.ph/GEPSNONPILOT/Tender/SplashBidNoticeAbstractUI.aspx?menuIndex=3&amp;refID=7087335&amp;Result=3","7087335")</f>
        <v>0</v>
      </c>
      <c r="B795" t="s">
        <v>344</v>
      </c>
      <c r="C795" t="s">
        <v>4193</v>
      </c>
      <c r="D795" t="s">
        <v>17461</v>
      </c>
      <c r="E795" t="s">
        <v>18249</v>
      </c>
      <c r="F795" t="s">
        <v>30052</v>
      </c>
      <c r="G795" t="s">
        <v>30059</v>
      </c>
      <c r="H795" t="s">
        <v>15498</v>
      </c>
      <c r="I795" t="s">
        <v>30105</v>
      </c>
      <c r="J795" t="s">
        <v>30559</v>
      </c>
      <c r="K795" t="s">
        <v>39040</v>
      </c>
      <c r="M795" t="s">
        <v>39641</v>
      </c>
      <c r="N795" t="s">
        <v>43166</v>
      </c>
      <c r="O795" t="s">
        <v>43167</v>
      </c>
      <c r="P795">
        <v>0</v>
      </c>
      <c r="Q795">
        <v>1</v>
      </c>
      <c r="R795" t="s">
        <v>43168</v>
      </c>
      <c r="S795" t="s">
        <v>43286</v>
      </c>
      <c r="T795" t="s">
        <v>44678</v>
      </c>
      <c r="U795" t="s">
        <v>45856</v>
      </c>
      <c r="V795" t="s">
        <v>56845</v>
      </c>
      <c r="W795" t="s">
        <v>39641</v>
      </c>
      <c r="X795" t="s">
        <v>43170</v>
      </c>
    </row>
    <row r="796" spans="1:24">
      <c r="A796">
        <f>HYPERLINK("https://www.philgeps.gov.ph/GEPSNONPILOT/Tender/SplashBidNoticeAbstractUI.aspx?menuIndex=3&amp;refID=7087402&amp;Result=3","7087402")</f>
        <v>0</v>
      </c>
      <c r="B796" t="s">
        <v>304</v>
      </c>
      <c r="C796" t="s">
        <v>4194</v>
      </c>
      <c r="D796" t="s">
        <v>17438</v>
      </c>
      <c r="E796" t="s">
        <v>18250</v>
      </c>
      <c r="F796" t="s">
        <v>30052</v>
      </c>
      <c r="G796" t="s">
        <v>30058</v>
      </c>
      <c r="H796" t="s">
        <v>15498</v>
      </c>
      <c r="I796" t="s">
        <v>30070</v>
      </c>
      <c r="J796" t="s">
        <v>30809</v>
      </c>
      <c r="K796" t="s">
        <v>39029</v>
      </c>
      <c r="M796" t="s">
        <v>39599</v>
      </c>
      <c r="N796" t="s">
        <v>43166</v>
      </c>
      <c r="O796" t="s">
        <v>43167</v>
      </c>
      <c r="P796">
        <v>0</v>
      </c>
      <c r="Q796">
        <v>2</v>
      </c>
      <c r="R796" t="s">
        <v>43168</v>
      </c>
      <c r="S796" t="s">
        <v>43286</v>
      </c>
      <c r="T796" t="s">
        <v>44709</v>
      </c>
      <c r="U796" t="s">
        <v>45857</v>
      </c>
      <c r="W796" t="s">
        <v>39599</v>
      </c>
      <c r="X796" t="s">
        <v>43170</v>
      </c>
    </row>
    <row r="797" spans="1:24">
      <c r="A797">
        <f>HYPERLINK("https://www.philgeps.gov.ph/GEPSNONPILOT/Tender/SplashBidNoticeAbstractUI.aspx?menuIndex=3&amp;refID=7087371&amp;Result=3","7087371")</f>
        <v>0</v>
      </c>
      <c r="B797" t="s">
        <v>352</v>
      </c>
      <c r="C797" t="s">
        <v>4195</v>
      </c>
      <c r="D797" t="s">
        <v>17415</v>
      </c>
      <c r="E797" t="s">
        <v>18251</v>
      </c>
      <c r="F797" t="s">
        <v>30052</v>
      </c>
      <c r="G797" t="s">
        <v>30059</v>
      </c>
      <c r="H797" t="s">
        <v>30069</v>
      </c>
      <c r="I797" t="s">
        <v>30084</v>
      </c>
      <c r="J797" t="s">
        <v>30377</v>
      </c>
      <c r="K797" t="s">
        <v>39068</v>
      </c>
      <c r="M797" t="s">
        <v>39649</v>
      </c>
      <c r="N797" t="s">
        <v>43166</v>
      </c>
      <c r="O797" t="s">
        <v>43167</v>
      </c>
      <c r="P797">
        <v>0</v>
      </c>
      <c r="Q797">
        <v>5</v>
      </c>
      <c r="R797" t="s">
        <v>43168</v>
      </c>
      <c r="S797" t="s">
        <v>43286</v>
      </c>
      <c r="T797" t="s">
        <v>44721</v>
      </c>
      <c r="U797" t="s">
        <v>45858</v>
      </c>
      <c r="W797" t="s">
        <v>39649</v>
      </c>
      <c r="X797" t="s">
        <v>43170</v>
      </c>
    </row>
    <row r="798" spans="1:24">
      <c r="A798">
        <f>HYPERLINK("https://www.philgeps.gov.ph/GEPSNONPILOT/Tender/SplashBidNoticeAbstractUI.aspx?menuIndex=3&amp;refID=7087432&amp;Result=3","7087432")</f>
        <v>0</v>
      </c>
      <c r="B798" t="s">
        <v>356</v>
      </c>
      <c r="C798" t="s">
        <v>4196</v>
      </c>
      <c r="D798" t="s">
        <v>17448</v>
      </c>
      <c r="E798" t="s">
        <v>18252</v>
      </c>
      <c r="F798" t="s">
        <v>30052</v>
      </c>
      <c r="G798" t="s">
        <v>30059</v>
      </c>
      <c r="H798" t="s">
        <v>15498</v>
      </c>
      <c r="I798" t="s">
        <v>4119</v>
      </c>
      <c r="J798" t="s">
        <v>30810</v>
      </c>
      <c r="K798" t="s">
        <v>39029</v>
      </c>
      <c r="M798" t="s">
        <v>39653</v>
      </c>
      <c r="N798" t="s">
        <v>43166</v>
      </c>
      <c r="O798" t="s">
        <v>43167</v>
      </c>
      <c r="P798">
        <v>0</v>
      </c>
      <c r="Q798">
        <v>0</v>
      </c>
      <c r="R798" t="s">
        <v>43168</v>
      </c>
      <c r="S798" t="s">
        <v>43286</v>
      </c>
      <c r="T798" t="s">
        <v>44696</v>
      </c>
      <c r="U798" t="s">
        <v>45859</v>
      </c>
      <c r="W798" t="s">
        <v>39653</v>
      </c>
      <c r="X798" t="s">
        <v>43170</v>
      </c>
    </row>
    <row r="799" spans="1:24">
      <c r="A799">
        <f>HYPERLINK("https://www.philgeps.gov.ph/GEPSNONPILOT/Tender/SplashBidNoticeAbstractUI.aspx?menuIndex=3&amp;refID=7087367&amp;Result=3","7087367")</f>
        <v>0</v>
      </c>
      <c r="B799" t="s">
        <v>357</v>
      </c>
      <c r="C799" t="s">
        <v>4197</v>
      </c>
      <c r="D799" t="s">
        <v>17461</v>
      </c>
      <c r="E799" t="s">
        <v>18253</v>
      </c>
      <c r="F799" t="s">
        <v>30052</v>
      </c>
      <c r="G799" t="s">
        <v>30058</v>
      </c>
      <c r="H799" t="s">
        <v>15498</v>
      </c>
      <c r="I799" t="s">
        <v>30096</v>
      </c>
      <c r="J799" t="s">
        <v>30811</v>
      </c>
      <c r="K799" t="s">
        <v>39023</v>
      </c>
      <c r="M799" t="s">
        <v>39654</v>
      </c>
      <c r="N799" t="s">
        <v>43166</v>
      </c>
      <c r="O799" t="s">
        <v>43167</v>
      </c>
      <c r="P799">
        <v>0</v>
      </c>
      <c r="Q799">
        <v>6</v>
      </c>
      <c r="R799" t="s">
        <v>43168</v>
      </c>
      <c r="S799" t="s">
        <v>43286</v>
      </c>
      <c r="T799" t="s">
        <v>44684</v>
      </c>
      <c r="U799" t="s">
        <v>45860</v>
      </c>
      <c r="W799" t="s">
        <v>39654</v>
      </c>
      <c r="X799" t="s">
        <v>43170</v>
      </c>
    </row>
    <row r="800" spans="1:24">
      <c r="A800">
        <f>HYPERLINK("https://www.philgeps.gov.ph/GEPSNONPILOT/Tender/SplashBidNoticeAbstractUI.aspx?menuIndex=3&amp;refID=7087456&amp;Result=3","7087456")</f>
        <v>0</v>
      </c>
      <c r="B800" t="s">
        <v>51</v>
      </c>
      <c r="C800" t="s">
        <v>3852</v>
      </c>
      <c r="D800" t="s">
        <v>17434</v>
      </c>
      <c r="E800" t="s">
        <v>18254</v>
      </c>
      <c r="F800" t="s">
        <v>30052</v>
      </c>
      <c r="G800" t="s">
        <v>30059</v>
      </c>
      <c r="H800" t="s">
        <v>15498</v>
      </c>
      <c r="I800" t="s">
        <v>3852</v>
      </c>
      <c r="J800" t="s">
        <v>30812</v>
      </c>
      <c r="K800" t="s">
        <v>39029</v>
      </c>
      <c r="M800" t="s">
        <v>39331</v>
      </c>
      <c r="N800" t="s">
        <v>43166</v>
      </c>
      <c r="O800" t="s">
        <v>43167</v>
      </c>
      <c r="P800">
        <v>0</v>
      </c>
      <c r="Q800">
        <v>1</v>
      </c>
      <c r="R800" t="s">
        <v>43168</v>
      </c>
      <c r="S800" t="s">
        <v>43286</v>
      </c>
      <c r="T800" t="s">
        <v>44737</v>
      </c>
      <c r="U800" t="s">
        <v>45861</v>
      </c>
      <c r="W800" t="s">
        <v>39331</v>
      </c>
      <c r="X800" t="s">
        <v>43170</v>
      </c>
    </row>
    <row r="801" spans="1:24">
      <c r="A801">
        <f>HYPERLINK("https://www.philgeps.gov.ph/GEPSNONPILOT/Tender/SplashBidNoticeAbstractUI.aspx?menuIndex=3&amp;refID=7087348&amp;Result=3","7087348")</f>
        <v>0</v>
      </c>
      <c r="B801" t="s">
        <v>280</v>
      </c>
      <c r="C801" t="s">
        <v>4165</v>
      </c>
      <c r="D801" t="s">
        <v>17475</v>
      </c>
      <c r="E801" t="s">
        <v>18255</v>
      </c>
      <c r="F801" t="s">
        <v>30052</v>
      </c>
      <c r="G801" t="s">
        <v>30059</v>
      </c>
      <c r="H801" t="s">
        <v>15498</v>
      </c>
      <c r="I801" t="s">
        <v>3852</v>
      </c>
      <c r="J801" t="s">
        <v>30644</v>
      </c>
      <c r="K801" t="s">
        <v>39018</v>
      </c>
      <c r="M801" t="s">
        <v>39575</v>
      </c>
      <c r="N801" t="s">
        <v>43166</v>
      </c>
      <c r="O801" t="s">
        <v>43167</v>
      </c>
      <c r="P801">
        <v>0</v>
      </c>
      <c r="Q801">
        <v>0</v>
      </c>
      <c r="R801" t="s">
        <v>43168</v>
      </c>
      <c r="S801" t="s">
        <v>43286</v>
      </c>
      <c r="T801" t="s">
        <v>44698</v>
      </c>
      <c r="U801" t="s">
        <v>45862</v>
      </c>
      <c r="W801" t="s">
        <v>39575</v>
      </c>
      <c r="X801" t="s">
        <v>43170</v>
      </c>
    </row>
    <row r="802" spans="1:24">
      <c r="A802">
        <f>HYPERLINK("https://www.philgeps.gov.ph/GEPSNONPILOT/Tender/SplashBidNoticeAbstractUI.aspx?menuIndex=3&amp;refID=7087455&amp;Result=3","7087455")</f>
        <v>0</v>
      </c>
      <c r="B802" t="s">
        <v>70</v>
      </c>
      <c r="C802" t="s">
        <v>4198</v>
      </c>
      <c r="D802" t="s">
        <v>17444</v>
      </c>
      <c r="E802" t="s">
        <v>18256</v>
      </c>
      <c r="F802" t="s">
        <v>30052</v>
      </c>
      <c r="G802" t="s">
        <v>30058</v>
      </c>
      <c r="H802" t="s">
        <v>15498</v>
      </c>
      <c r="I802" t="s">
        <v>30106</v>
      </c>
      <c r="J802" t="s">
        <v>30813</v>
      </c>
      <c r="K802" t="s">
        <v>39069</v>
      </c>
      <c r="M802" t="s">
        <v>39359</v>
      </c>
      <c r="N802" t="s">
        <v>43166</v>
      </c>
      <c r="O802" t="s">
        <v>43167</v>
      </c>
      <c r="P802">
        <v>0</v>
      </c>
      <c r="Q802">
        <v>2</v>
      </c>
      <c r="R802" t="s">
        <v>43168</v>
      </c>
      <c r="S802" t="s">
        <v>43286</v>
      </c>
      <c r="T802" t="s">
        <v>44693</v>
      </c>
      <c r="U802" t="s">
        <v>45863</v>
      </c>
      <c r="W802" t="s">
        <v>39359</v>
      </c>
      <c r="X802" t="s">
        <v>43170</v>
      </c>
    </row>
    <row r="803" spans="1:24">
      <c r="A803">
        <f>HYPERLINK("https://www.philgeps.gov.ph/GEPSNONPILOT/Tender/SplashBidNoticeAbstractUI.aspx?menuIndex=3&amp;refID=7087345&amp;Result=3","7087345")</f>
        <v>0</v>
      </c>
      <c r="B803" t="s">
        <v>186</v>
      </c>
      <c r="C803" t="s">
        <v>4199</v>
      </c>
      <c r="D803" t="s">
        <v>17466</v>
      </c>
      <c r="E803" t="s">
        <v>17798</v>
      </c>
      <c r="F803" t="s">
        <v>30052</v>
      </c>
      <c r="G803" t="s">
        <v>30059</v>
      </c>
      <c r="H803" t="s">
        <v>15498</v>
      </c>
      <c r="I803" t="s">
        <v>4119</v>
      </c>
      <c r="J803" t="s">
        <v>30446</v>
      </c>
      <c r="K803" t="s">
        <v>39018</v>
      </c>
      <c r="M803" t="s">
        <v>39475</v>
      </c>
      <c r="N803" t="s">
        <v>43166</v>
      </c>
      <c r="O803" t="s">
        <v>43167</v>
      </c>
      <c r="P803">
        <v>0</v>
      </c>
      <c r="Q803">
        <v>2</v>
      </c>
      <c r="R803" t="s">
        <v>43168</v>
      </c>
      <c r="S803" t="s">
        <v>43286</v>
      </c>
      <c r="T803" t="s">
        <v>44720</v>
      </c>
      <c r="U803" t="s">
        <v>45864</v>
      </c>
      <c r="W803" t="s">
        <v>39475</v>
      </c>
      <c r="X803" t="s">
        <v>43170</v>
      </c>
    </row>
    <row r="804" spans="1:24">
      <c r="A804">
        <f>HYPERLINK("https://www.philgeps.gov.ph/GEPSNONPILOT/Tender/SplashBidNoticeAbstractUI.aspx?menuIndex=3&amp;refID=7087436&amp;Result=3","7087436")</f>
        <v>0</v>
      </c>
      <c r="B804" t="s">
        <v>353</v>
      </c>
      <c r="C804" t="s">
        <v>4200</v>
      </c>
      <c r="D804" t="s">
        <v>17422</v>
      </c>
      <c r="E804" t="s">
        <v>17843</v>
      </c>
      <c r="F804" t="s">
        <v>30052</v>
      </c>
      <c r="G804" t="s">
        <v>30058</v>
      </c>
      <c r="H804" t="s">
        <v>15498</v>
      </c>
      <c r="I804" t="s">
        <v>3736</v>
      </c>
      <c r="J804" t="s">
        <v>30814</v>
      </c>
      <c r="K804" t="s">
        <v>39019</v>
      </c>
      <c r="M804" t="s">
        <v>39650</v>
      </c>
      <c r="N804" t="s">
        <v>43166</v>
      </c>
      <c r="O804" t="s">
        <v>43167</v>
      </c>
      <c r="P804">
        <v>0</v>
      </c>
      <c r="Q804">
        <v>0</v>
      </c>
      <c r="R804" t="s">
        <v>43168</v>
      </c>
      <c r="S804" t="s">
        <v>43286</v>
      </c>
      <c r="T804" t="s">
        <v>44794</v>
      </c>
      <c r="U804" t="s">
        <v>45865</v>
      </c>
      <c r="W804" t="s">
        <v>39650</v>
      </c>
      <c r="X804" t="s">
        <v>43170</v>
      </c>
    </row>
    <row r="805" spans="1:24">
      <c r="A805">
        <f>HYPERLINK("https://www.philgeps.gov.ph/GEPSNONPILOT/Tender/SplashBidNoticeAbstractUI.aspx?menuIndex=3&amp;refID=7087515&amp;Result=3","7087515")</f>
        <v>0</v>
      </c>
      <c r="B805" t="s">
        <v>358</v>
      </c>
      <c r="C805" t="s">
        <v>4201</v>
      </c>
      <c r="D805" t="s">
        <v>17421</v>
      </c>
      <c r="E805" t="s">
        <v>17856</v>
      </c>
      <c r="F805" t="s">
        <v>30052</v>
      </c>
      <c r="G805" t="s">
        <v>30058</v>
      </c>
      <c r="H805" t="s">
        <v>15498</v>
      </c>
      <c r="I805" t="s">
        <v>30084</v>
      </c>
      <c r="J805" t="s">
        <v>30815</v>
      </c>
      <c r="K805" t="s">
        <v>39029</v>
      </c>
      <c r="M805" t="s">
        <v>39655</v>
      </c>
      <c r="N805" t="s">
        <v>43166</v>
      </c>
      <c r="O805" t="s">
        <v>43167</v>
      </c>
      <c r="P805">
        <v>0</v>
      </c>
      <c r="Q805">
        <v>1</v>
      </c>
      <c r="R805" t="s">
        <v>43168</v>
      </c>
      <c r="S805" t="s">
        <v>43286</v>
      </c>
      <c r="T805" t="s">
        <v>44795</v>
      </c>
      <c r="U805" t="s">
        <v>45866</v>
      </c>
      <c r="W805" t="s">
        <v>39655</v>
      </c>
      <c r="X805" t="s">
        <v>43170</v>
      </c>
    </row>
    <row r="806" spans="1:24">
      <c r="A806">
        <f>HYPERLINK("https://www.philgeps.gov.ph/GEPSNONPILOT/Tender/SplashBidNoticeAbstractUI.aspx?menuIndex=3&amp;refID=7087433&amp;Result=3","7087433")</f>
        <v>0</v>
      </c>
      <c r="B806" t="s">
        <v>59</v>
      </c>
      <c r="C806" t="s">
        <v>4202</v>
      </c>
      <c r="D806" t="s">
        <v>17441</v>
      </c>
      <c r="E806" t="s">
        <v>18257</v>
      </c>
      <c r="F806" t="s">
        <v>30052</v>
      </c>
      <c r="G806" t="s">
        <v>30059</v>
      </c>
      <c r="H806" t="s">
        <v>30068</v>
      </c>
      <c r="I806" t="s">
        <v>30068</v>
      </c>
      <c r="J806" t="s">
        <v>30235</v>
      </c>
      <c r="K806" t="s">
        <v>39029</v>
      </c>
      <c r="M806" t="s">
        <v>39348</v>
      </c>
      <c r="N806" t="s">
        <v>43166</v>
      </c>
      <c r="O806" t="s">
        <v>43167</v>
      </c>
      <c r="P806">
        <v>0</v>
      </c>
      <c r="Q806">
        <v>1</v>
      </c>
      <c r="R806" t="s">
        <v>43168</v>
      </c>
      <c r="S806" t="s">
        <v>43286</v>
      </c>
      <c r="T806" t="s">
        <v>44710</v>
      </c>
      <c r="U806" t="s">
        <v>45284</v>
      </c>
      <c r="V806" t="s">
        <v>56820</v>
      </c>
      <c r="W806" t="s">
        <v>39348</v>
      </c>
      <c r="X806" t="s">
        <v>43170</v>
      </c>
    </row>
    <row r="807" spans="1:24">
      <c r="A807">
        <f>HYPERLINK("https://www.philgeps.gov.ph/GEPSNONPILOT/Tender/SplashBidNoticeAbstractUI.aspx?menuIndex=3&amp;refID=7087466&amp;Result=3","7087466")</f>
        <v>0</v>
      </c>
      <c r="B807" t="s">
        <v>359</v>
      </c>
      <c r="C807" t="s">
        <v>4203</v>
      </c>
      <c r="D807" t="s">
        <v>17432</v>
      </c>
      <c r="E807" t="s">
        <v>18258</v>
      </c>
      <c r="F807" t="s">
        <v>30052</v>
      </c>
      <c r="G807" t="s">
        <v>30061</v>
      </c>
      <c r="H807" t="s">
        <v>15498</v>
      </c>
      <c r="I807" t="s">
        <v>30070</v>
      </c>
      <c r="J807" t="s">
        <v>30816</v>
      </c>
      <c r="K807" t="s">
        <v>39018</v>
      </c>
      <c r="M807" t="s">
        <v>39656</v>
      </c>
      <c r="N807" t="s">
        <v>43166</v>
      </c>
      <c r="O807" t="s">
        <v>43167</v>
      </c>
      <c r="P807">
        <v>0</v>
      </c>
      <c r="Q807">
        <v>1</v>
      </c>
      <c r="R807" t="s">
        <v>43168</v>
      </c>
      <c r="S807" t="s">
        <v>43286</v>
      </c>
      <c r="T807" t="s">
        <v>44734</v>
      </c>
      <c r="U807" t="s">
        <v>45867</v>
      </c>
      <c r="W807" t="s">
        <v>39656</v>
      </c>
      <c r="X807" t="s">
        <v>43170</v>
      </c>
    </row>
    <row r="808" spans="1:24">
      <c r="A808">
        <f>HYPERLINK("https://www.philgeps.gov.ph/GEPSNONPILOT/Tender/SplashBidNoticeAbstractUI.aspx?menuIndex=3&amp;refID=7087298&amp;Result=3","7087298")</f>
        <v>0</v>
      </c>
      <c r="B808" t="s">
        <v>330</v>
      </c>
      <c r="C808" t="s">
        <v>4204</v>
      </c>
      <c r="D808" t="s">
        <v>17415</v>
      </c>
      <c r="E808" t="s">
        <v>18259</v>
      </c>
      <c r="F808" t="s">
        <v>30052</v>
      </c>
      <c r="G808" t="s">
        <v>30061</v>
      </c>
      <c r="H808" t="s">
        <v>15498</v>
      </c>
      <c r="I808" t="s">
        <v>3852</v>
      </c>
      <c r="J808" t="s">
        <v>30218</v>
      </c>
      <c r="K808" t="s">
        <v>39035</v>
      </c>
      <c r="M808" t="s">
        <v>39626</v>
      </c>
      <c r="N808" t="s">
        <v>43166</v>
      </c>
      <c r="O808" t="s">
        <v>43167</v>
      </c>
      <c r="P808">
        <v>0</v>
      </c>
      <c r="Q808">
        <v>6</v>
      </c>
      <c r="R808" t="s">
        <v>43168</v>
      </c>
      <c r="S808" t="s">
        <v>43286</v>
      </c>
      <c r="T808" t="s">
        <v>44679</v>
      </c>
      <c r="U808" t="s">
        <v>45868</v>
      </c>
      <c r="W808" t="s">
        <v>39626</v>
      </c>
      <c r="X808" t="s">
        <v>43170</v>
      </c>
    </row>
    <row r="809" spans="1:24">
      <c r="A809">
        <f>HYPERLINK("https://www.philgeps.gov.ph/GEPSNONPILOT/Tender/SplashBidNoticeAbstractUI.aspx?menuIndex=3&amp;refID=7087454&amp;Result=3","7087454")</f>
        <v>0</v>
      </c>
      <c r="B809" t="s">
        <v>51</v>
      </c>
      <c r="C809" t="s">
        <v>3852</v>
      </c>
      <c r="D809" t="s">
        <v>17434</v>
      </c>
      <c r="E809" t="s">
        <v>18260</v>
      </c>
      <c r="F809" t="s">
        <v>30052</v>
      </c>
      <c r="G809" t="s">
        <v>30059</v>
      </c>
      <c r="H809" t="s">
        <v>15498</v>
      </c>
      <c r="I809" t="s">
        <v>3852</v>
      </c>
      <c r="J809" t="s">
        <v>30817</v>
      </c>
      <c r="K809" t="s">
        <v>39029</v>
      </c>
      <c r="M809" t="s">
        <v>39331</v>
      </c>
      <c r="N809" t="s">
        <v>43166</v>
      </c>
      <c r="O809" t="s">
        <v>43167</v>
      </c>
      <c r="P809">
        <v>0</v>
      </c>
      <c r="Q809">
        <v>0</v>
      </c>
      <c r="R809" t="s">
        <v>43168</v>
      </c>
      <c r="S809" t="s">
        <v>43286</v>
      </c>
      <c r="T809" t="s">
        <v>44696</v>
      </c>
      <c r="U809" t="s">
        <v>45869</v>
      </c>
      <c r="W809" t="s">
        <v>39331</v>
      </c>
      <c r="X809" t="s">
        <v>43170</v>
      </c>
    </row>
    <row r="810" spans="1:24">
      <c r="A810">
        <f>HYPERLINK("https://www.philgeps.gov.ph/GEPSNONPILOT/Tender/SplashBidNoticeAbstractUI.aspx?menuIndex=3&amp;refID=7087523&amp;Result=3","7087523")</f>
        <v>0</v>
      </c>
      <c r="B810" t="s">
        <v>360</v>
      </c>
      <c r="C810" t="s">
        <v>4205</v>
      </c>
      <c r="E810" t="s">
        <v>18261</v>
      </c>
      <c r="F810" t="s">
        <v>30052</v>
      </c>
      <c r="G810" t="s">
        <v>30063</v>
      </c>
      <c r="H810" t="s">
        <v>15498</v>
      </c>
      <c r="I810" t="s">
        <v>30087</v>
      </c>
      <c r="J810" t="s">
        <v>30818</v>
      </c>
      <c r="K810" t="s">
        <v>39023</v>
      </c>
      <c r="M810" t="s">
        <v>39657</v>
      </c>
      <c r="N810" t="s">
        <v>43166</v>
      </c>
      <c r="O810" t="s">
        <v>43167</v>
      </c>
      <c r="P810">
        <v>0</v>
      </c>
      <c r="Q810">
        <v>0</v>
      </c>
      <c r="R810" t="s">
        <v>43168</v>
      </c>
      <c r="S810" t="s">
        <v>43286</v>
      </c>
      <c r="T810" t="s">
        <v>44677</v>
      </c>
      <c r="U810" t="s">
        <v>45870</v>
      </c>
      <c r="V810" t="s">
        <v>56908</v>
      </c>
      <c r="W810" t="s">
        <v>39657</v>
      </c>
      <c r="X810" t="s">
        <v>43170</v>
      </c>
    </row>
    <row r="811" spans="1:24">
      <c r="A811">
        <f>HYPERLINK("https://www.philgeps.gov.ph/GEPSNONPILOT/Tender/SplashBidNoticeAbstractUI.aspx?menuIndex=3&amp;refID=7087451&amp;Result=3","7087451")</f>
        <v>0</v>
      </c>
      <c r="B811" t="s">
        <v>356</v>
      </c>
      <c r="C811" t="s">
        <v>4206</v>
      </c>
      <c r="D811" t="s">
        <v>17448</v>
      </c>
      <c r="E811" t="s">
        <v>18262</v>
      </c>
      <c r="F811" t="s">
        <v>30052</v>
      </c>
      <c r="G811" t="s">
        <v>30059</v>
      </c>
      <c r="H811" t="s">
        <v>15498</v>
      </c>
      <c r="I811" t="s">
        <v>5961</v>
      </c>
      <c r="J811" t="s">
        <v>30819</v>
      </c>
      <c r="K811" t="s">
        <v>39029</v>
      </c>
      <c r="M811" t="s">
        <v>39653</v>
      </c>
      <c r="N811" t="s">
        <v>43166</v>
      </c>
      <c r="O811" t="s">
        <v>43167</v>
      </c>
      <c r="P811">
        <v>0</v>
      </c>
      <c r="Q811">
        <v>1</v>
      </c>
      <c r="R811" t="s">
        <v>43168</v>
      </c>
      <c r="S811" t="s">
        <v>43286</v>
      </c>
      <c r="T811" t="s">
        <v>44696</v>
      </c>
      <c r="U811" t="s">
        <v>45871</v>
      </c>
      <c r="W811" t="s">
        <v>39653</v>
      </c>
      <c r="X811" t="s">
        <v>43170</v>
      </c>
    </row>
    <row r="812" spans="1:24">
      <c r="A812">
        <f>HYPERLINK("https://www.philgeps.gov.ph/GEPSNONPILOT/Tender/SplashBidNoticeAbstractUI.aspx?menuIndex=3&amp;refID=7087450&amp;Result=3","7087450")</f>
        <v>0</v>
      </c>
      <c r="B812" t="s">
        <v>51</v>
      </c>
      <c r="C812" t="s">
        <v>3852</v>
      </c>
      <c r="D812" t="s">
        <v>17434</v>
      </c>
      <c r="E812" t="s">
        <v>18263</v>
      </c>
      <c r="F812" t="s">
        <v>30052</v>
      </c>
      <c r="G812" t="s">
        <v>30059</v>
      </c>
      <c r="H812" t="s">
        <v>15498</v>
      </c>
      <c r="I812" t="s">
        <v>3852</v>
      </c>
      <c r="J812" t="s">
        <v>30820</v>
      </c>
      <c r="K812" t="s">
        <v>39029</v>
      </c>
      <c r="M812" t="s">
        <v>39331</v>
      </c>
      <c r="N812" t="s">
        <v>43166</v>
      </c>
      <c r="O812" t="s">
        <v>43167</v>
      </c>
      <c r="P812">
        <v>0</v>
      </c>
      <c r="Q812">
        <v>0</v>
      </c>
      <c r="R812" t="s">
        <v>43168</v>
      </c>
      <c r="S812" t="s">
        <v>43286</v>
      </c>
      <c r="T812" t="s">
        <v>44696</v>
      </c>
      <c r="U812" t="s">
        <v>45872</v>
      </c>
      <c r="W812" t="s">
        <v>39331</v>
      </c>
      <c r="X812" t="s">
        <v>43170</v>
      </c>
    </row>
    <row r="813" spans="1:24">
      <c r="A813">
        <f>HYPERLINK("https://www.philgeps.gov.ph/GEPSNONPILOT/Tender/SplashBidNoticeAbstractUI.aspx?menuIndex=3&amp;refID=7087447&amp;Result=3","7087447")</f>
        <v>0</v>
      </c>
      <c r="B813" t="s">
        <v>361</v>
      </c>
      <c r="C813" t="s">
        <v>4207</v>
      </c>
      <c r="D813" t="s">
        <v>17455</v>
      </c>
      <c r="E813" t="s">
        <v>18264</v>
      </c>
      <c r="F813" t="s">
        <v>30052</v>
      </c>
      <c r="G813" t="s">
        <v>30061</v>
      </c>
      <c r="H813" t="s">
        <v>15498</v>
      </c>
      <c r="I813" t="s">
        <v>3693</v>
      </c>
      <c r="J813" t="s">
        <v>30821</v>
      </c>
      <c r="K813" t="s">
        <v>39019</v>
      </c>
      <c r="M813" t="s">
        <v>39658</v>
      </c>
      <c r="N813" t="s">
        <v>43166</v>
      </c>
      <c r="O813" t="s">
        <v>43167</v>
      </c>
      <c r="P813">
        <v>0</v>
      </c>
      <c r="Q813">
        <v>0</v>
      </c>
      <c r="R813" t="s">
        <v>43168</v>
      </c>
      <c r="S813" t="s">
        <v>43286</v>
      </c>
      <c r="T813" t="s">
        <v>44796</v>
      </c>
      <c r="U813" t="s">
        <v>45873</v>
      </c>
      <c r="W813" t="s">
        <v>39658</v>
      </c>
      <c r="X813" t="s">
        <v>43170</v>
      </c>
    </row>
    <row r="814" spans="1:24">
      <c r="A814">
        <f>HYPERLINK("https://www.philgeps.gov.ph/GEPSNONPILOT/Tender/SplashBidNoticeAbstractUI.aspx?menuIndex=3&amp;refID=7087442&amp;Result=3","7087442")</f>
        <v>0</v>
      </c>
      <c r="B814" t="s">
        <v>361</v>
      </c>
      <c r="C814" t="s">
        <v>4208</v>
      </c>
      <c r="D814" t="s">
        <v>17455</v>
      </c>
      <c r="E814" t="s">
        <v>18265</v>
      </c>
      <c r="F814" t="s">
        <v>30052</v>
      </c>
      <c r="G814" t="s">
        <v>30061</v>
      </c>
      <c r="H814" t="s">
        <v>30067</v>
      </c>
      <c r="I814" t="s">
        <v>30072</v>
      </c>
      <c r="J814" t="s">
        <v>30822</v>
      </c>
      <c r="K814" t="s">
        <v>39059</v>
      </c>
      <c r="M814" t="s">
        <v>39658</v>
      </c>
      <c r="N814" t="s">
        <v>43166</v>
      </c>
      <c r="O814" t="s">
        <v>43167</v>
      </c>
      <c r="P814">
        <v>0</v>
      </c>
      <c r="Q814">
        <v>3</v>
      </c>
      <c r="R814" t="s">
        <v>43168</v>
      </c>
      <c r="S814" t="s">
        <v>43286</v>
      </c>
      <c r="T814" t="s">
        <v>44796</v>
      </c>
      <c r="U814" t="s">
        <v>45873</v>
      </c>
      <c r="W814" t="s">
        <v>39658</v>
      </c>
      <c r="X814" t="s">
        <v>43170</v>
      </c>
    </row>
    <row r="815" spans="1:24">
      <c r="A815">
        <f>HYPERLINK("https://www.philgeps.gov.ph/GEPSNONPILOT/Tender/SplashBidNoticeAbstractUI.aspx?menuIndex=3&amp;refID=7087437&amp;Result=3","7087437")</f>
        <v>0</v>
      </c>
      <c r="B815" t="s">
        <v>361</v>
      </c>
      <c r="C815" t="s">
        <v>4209</v>
      </c>
      <c r="D815" t="s">
        <v>17455</v>
      </c>
      <c r="E815" t="s">
        <v>18266</v>
      </c>
      <c r="F815" t="s">
        <v>30052</v>
      </c>
      <c r="G815" t="s">
        <v>30058</v>
      </c>
      <c r="H815" t="s">
        <v>30067</v>
      </c>
      <c r="I815" t="s">
        <v>3693</v>
      </c>
      <c r="J815" t="s">
        <v>30823</v>
      </c>
      <c r="K815" t="s">
        <v>39016</v>
      </c>
      <c r="M815" t="s">
        <v>39658</v>
      </c>
      <c r="N815" t="s">
        <v>43166</v>
      </c>
      <c r="O815" t="s">
        <v>43167</v>
      </c>
      <c r="P815">
        <v>0</v>
      </c>
      <c r="Q815">
        <v>3</v>
      </c>
      <c r="R815" t="s">
        <v>43168</v>
      </c>
      <c r="S815" t="s">
        <v>43286</v>
      </c>
      <c r="T815" t="s">
        <v>44712</v>
      </c>
      <c r="U815" t="s">
        <v>45874</v>
      </c>
      <c r="W815" t="s">
        <v>39658</v>
      </c>
      <c r="X815" t="s">
        <v>43170</v>
      </c>
    </row>
    <row r="816" spans="1:24">
      <c r="A816">
        <f>HYPERLINK("https://www.philgeps.gov.ph/GEPSNONPILOT/Tender/SplashBidNoticeAbstractUI.aspx?menuIndex=3&amp;refID=7087453&amp;Result=3","7087453")</f>
        <v>0</v>
      </c>
      <c r="B816" t="s">
        <v>51</v>
      </c>
      <c r="C816" t="s">
        <v>3852</v>
      </c>
      <c r="D816" t="s">
        <v>17434</v>
      </c>
      <c r="E816" t="s">
        <v>18267</v>
      </c>
      <c r="F816" t="s">
        <v>30052</v>
      </c>
      <c r="G816" t="s">
        <v>30059</v>
      </c>
      <c r="H816" t="s">
        <v>15498</v>
      </c>
      <c r="I816" t="s">
        <v>3852</v>
      </c>
      <c r="J816" t="s">
        <v>30824</v>
      </c>
      <c r="K816" t="s">
        <v>39029</v>
      </c>
      <c r="M816" t="s">
        <v>39331</v>
      </c>
      <c r="N816" t="s">
        <v>43166</v>
      </c>
      <c r="O816" t="s">
        <v>43167</v>
      </c>
      <c r="P816">
        <v>0</v>
      </c>
      <c r="Q816">
        <v>1</v>
      </c>
      <c r="R816" t="s">
        <v>43168</v>
      </c>
      <c r="S816" t="s">
        <v>43286</v>
      </c>
      <c r="T816" t="s">
        <v>44696</v>
      </c>
      <c r="U816" t="s">
        <v>45875</v>
      </c>
      <c r="W816" t="s">
        <v>39331</v>
      </c>
      <c r="X816" t="s">
        <v>43170</v>
      </c>
    </row>
    <row r="817" spans="1:24">
      <c r="A817">
        <f>HYPERLINK("https://www.philgeps.gov.ph/GEPSNONPILOT/Tender/SplashBidNoticeAbstractUI.aspx?menuIndex=3&amp;refID=7087452&amp;Result=3","7087452")</f>
        <v>0</v>
      </c>
      <c r="B817" t="s">
        <v>51</v>
      </c>
      <c r="C817" t="s">
        <v>3852</v>
      </c>
      <c r="D817" t="s">
        <v>17434</v>
      </c>
      <c r="E817" t="s">
        <v>18268</v>
      </c>
      <c r="F817" t="s">
        <v>30052</v>
      </c>
      <c r="G817" t="s">
        <v>30059</v>
      </c>
      <c r="H817" t="s">
        <v>15498</v>
      </c>
      <c r="I817" t="s">
        <v>3852</v>
      </c>
      <c r="J817" t="s">
        <v>30825</v>
      </c>
      <c r="K817" t="s">
        <v>39029</v>
      </c>
      <c r="M817" t="s">
        <v>39331</v>
      </c>
      <c r="N817" t="s">
        <v>43166</v>
      </c>
      <c r="O817" t="s">
        <v>43167</v>
      </c>
      <c r="P817">
        <v>0</v>
      </c>
      <c r="Q817">
        <v>0</v>
      </c>
      <c r="R817" t="s">
        <v>43168</v>
      </c>
      <c r="S817" t="s">
        <v>43286</v>
      </c>
      <c r="T817" t="s">
        <v>44696</v>
      </c>
      <c r="U817" t="s">
        <v>45876</v>
      </c>
      <c r="W817" t="s">
        <v>39331</v>
      </c>
      <c r="X817" t="s">
        <v>43170</v>
      </c>
    </row>
    <row r="818" spans="1:24">
      <c r="A818">
        <f>HYPERLINK("https://www.philgeps.gov.ph/GEPSNONPILOT/Tender/SplashBidNoticeAbstractUI.aspx?menuIndex=3&amp;refID=7087445&amp;Result=3","7087445")</f>
        <v>0</v>
      </c>
      <c r="B818" t="s">
        <v>361</v>
      </c>
      <c r="C818" t="s">
        <v>4210</v>
      </c>
      <c r="D818" t="s">
        <v>17455</v>
      </c>
      <c r="E818" t="s">
        <v>18269</v>
      </c>
      <c r="F818" t="s">
        <v>30052</v>
      </c>
      <c r="G818" t="s">
        <v>30061</v>
      </c>
      <c r="H818" t="s">
        <v>15498</v>
      </c>
      <c r="I818" t="s">
        <v>3736</v>
      </c>
      <c r="J818" t="s">
        <v>30826</v>
      </c>
      <c r="K818" t="s">
        <v>39034</v>
      </c>
      <c r="M818" t="s">
        <v>39658</v>
      </c>
      <c r="N818" t="s">
        <v>43166</v>
      </c>
      <c r="O818" t="s">
        <v>43167</v>
      </c>
      <c r="P818">
        <v>0</v>
      </c>
      <c r="Q818">
        <v>0</v>
      </c>
      <c r="R818" t="s">
        <v>43168</v>
      </c>
      <c r="S818" t="s">
        <v>43286</v>
      </c>
      <c r="T818" t="s">
        <v>44796</v>
      </c>
      <c r="U818" t="s">
        <v>45873</v>
      </c>
      <c r="W818" t="s">
        <v>39658</v>
      </c>
      <c r="X818" t="s">
        <v>43170</v>
      </c>
    </row>
    <row r="819" spans="1:24">
      <c r="A819">
        <f>HYPERLINK("https://www.philgeps.gov.ph/GEPSNONPILOT/Tender/SplashBidNoticeAbstractUI.aspx?menuIndex=3&amp;refID=7087520&amp;Result=3","7087520")</f>
        <v>0</v>
      </c>
      <c r="B819" t="s">
        <v>358</v>
      </c>
      <c r="C819" t="s">
        <v>4211</v>
      </c>
      <c r="D819" t="s">
        <v>17421</v>
      </c>
      <c r="E819" t="s">
        <v>17856</v>
      </c>
      <c r="F819" t="s">
        <v>30052</v>
      </c>
      <c r="G819" t="s">
        <v>30058</v>
      </c>
      <c r="H819" t="s">
        <v>15498</v>
      </c>
      <c r="I819" t="s">
        <v>30098</v>
      </c>
      <c r="J819" t="s">
        <v>30827</v>
      </c>
      <c r="K819" t="s">
        <v>39029</v>
      </c>
      <c r="M819" t="s">
        <v>39655</v>
      </c>
      <c r="N819" t="s">
        <v>43166</v>
      </c>
      <c r="O819" t="s">
        <v>43167</v>
      </c>
      <c r="P819">
        <v>0</v>
      </c>
      <c r="Q819">
        <v>1</v>
      </c>
      <c r="R819" t="s">
        <v>43168</v>
      </c>
      <c r="S819" t="s">
        <v>43286</v>
      </c>
      <c r="T819" t="s">
        <v>44795</v>
      </c>
      <c r="U819" t="s">
        <v>45877</v>
      </c>
      <c r="W819" t="s">
        <v>39655</v>
      </c>
      <c r="X819" t="s">
        <v>43170</v>
      </c>
    </row>
    <row r="820" spans="1:24">
      <c r="A820">
        <f>HYPERLINK("https://www.philgeps.gov.ph/GEPSNONPILOT/Tender/SplashBidNoticeAbstractUI.aspx?menuIndex=3&amp;refID=7087509&amp;Result=3","7087509")</f>
        <v>0</v>
      </c>
      <c r="B820" t="s">
        <v>358</v>
      </c>
      <c r="C820" t="s">
        <v>4212</v>
      </c>
      <c r="D820" t="s">
        <v>17421</v>
      </c>
      <c r="E820" t="s">
        <v>17856</v>
      </c>
      <c r="F820" t="s">
        <v>30052</v>
      </c>
      <c r="G820" t="s">
        <v>30058</v>
      </c>
      <c r="H820" t="s">
        <v>15498</v>
      </c>
      <c r="I820" t="s">
        <v>4598</v>
      </c>
      <c r="J820" t="s">
        <v>30828</v>
      </c>
      <c r="K820" t="s">
        <v>39046</v>
      </c>
      <c r="M820" t="s">
        <v>39655</v>
      </c>
      <c r="N820" t="s">
        <v>43166</v>
      </c>
      <c r="O820" t="s">
        <v>43167</v>
      </c>
      <c r="P820">
        <v>0</v>
      </c>
      <c r="Q820">
        <v>2</v>
      </c>
      <c r="R820" t="s">
        <v>43168</v>
      </c>
      <c r="S820" t="s">
        <v>43286</v>
      </c>
      <c r="T820" t="s">
        <v>44795</v>
      </c>
      <c r="U820" t="s">
        <v>45878</v>
      </c>
      <c r="W820" t="s">
        <v>39655</v>
      </c>
      <c r="X820" t="s">
        <v>43170</v>
      </c>
    </row>
    <row r="821" spans="1:24">
      <c r="A821">
        <f>HYPERLINK("https://www.philgeps.gov.ph/GEPSNONPILOT/Tender/SplashBidNoticeAbstractUI.aspx?menuIndex=3&amp;refID=7087439&amp;Result=3","7087439")</f>
        <v>0</v>
      </c>
      <c r="B821" t="s">
        <v>361</v>
      </c>
      <c r="C821" t="s">
        <v>4213</v>
      </c>
      <c r="D821" t="s">
        <v>17455</v>
      </c>
      <c r="E821" t="s">
        <v>18270</v>
      </c>
      <c r="F821" t="s">
        <v>30052</v>
      </c>
      <c r="G821" t="s">
        <v>30058</v>
      </c>
      <c r="H821" t="s">
        <v>30067</v>
      </c>
      <c r="I821" t="s">
        <v>3693</v>
      </c>
      <c r="J821" t="s">
        <v>30829</v>
      </c>
      <c r="K821" t="s">
        <v>39070</v>
      </c>
      <c r="M821" t="s">
        <v>39658</v>
      </c>
      <c r="N821" t="s">
        <v>43166</v>
      </c>
      <c r="O821" t="s">
        <v>43167</v>
      </c>
      <c r="P821">
        <v>0</v>
      </c>
      <c r="Q821">
        <v>5</v>
      </c>
      <c r="R821" t="s">
        <v>43168</v>
      </c>
      <c r="S821" t="s">
        <v>43286</v>
      </c>
      <c r="T821" t="s">
        <v>44712</v>
      </c>
      <c r="U821" t="s">
        <v>45874</v>
      </c>
      <c r="W821" t="s">
        <v>39658</v>
      </c>
      <c r="X821" t="s">
        <v>43170</v>
      </c>
    </row>
    <row r="822" spans="1:24">
      <c r="A822">
        <f>HYPERLINK("https://www.philgeps.gov.ph/GEPSNONPILOT/Tender/SplashBidNoticeAbstractUI.aspx?menuIndex=3&amp;refID=7087526&amp;Result=3","7087526")</f>
        <v>0</v>
      </c>
      <c r="B822" t="s">
        <v>358</v>
      </c>
      <c r="C822" t="s">
        <v>4214</v>
      </c>
      <c r="D822" t="s">
        <v>17421</v>
      </c>
      <c r="E822" t="s">
        <v>17856</v>
      </c>
      <c r="F822" t="s">
        <v>30052</v>
      </c>
      <c r="G822" t="s">
        <v>30058</v>
      </c>
      <c r="H822" t="s">
        <v>15498</v>
      </c>
      <c r="I822" t="s">
        <v>4642</v>
      </c>
      <c r="J822" t="s">
        <v>30830</v>
      </c>
      <c r="K822" t="s">
        <v>39029</v>
      </c>
      <c r="M822" t="s">
        <v>39655</v>
      </c>
      <c r="N822" t="s">
        <v>43166</v>
      </c>
      <c r="O822" t="s">
        <v>43167</v>
      </c>
      <c r="P822">
        <v>0</v>
      </c>
      <c r="Q822">
        <v>3</v>
      </c>
      <c r="R822" t="s">
        <v>43168</v>
      </c>
      <c r="S822" t="s">
        <v>43286</v>
      </c>
      <c r="T822" t="s">
        <v>44795</v>
      </c>
      <c r="U822" t="s">
        <v>45879</v>
      </c>
      <c r="W822" t="s">
        <v>39655</v>
      </c>
      <c r="X822" t="s">
        <v>43170</v>
      </c>
    </row>
    <row r="823" spans="1:24">
      <c r="A823">
        <f>HYPERLINK("https://www.philgeps.gov.ph/GEPSNONPILOT/Tender/SplashBidNoticeAbstractUI.aspx?menuIndex=3&amp;refID=7087567&amp;Result=3","7087567")</f>
        <v>0</v>
      </c>
      <c r="B823" t="s">
        <v>245</v>
      </c>
      <c r="C823" t="s">
        <v>4215</v>
      </c>
      <c r="D823" t="s">
        <v>17481</v>
      </c>
      <c r="E823" t="s">
        <v>18271</v>
      </c>
      <c r="F823" t="s">
        <v>30052</v>
      </c>
      <c r="G823" t="s">
        <v>30058</v>
      </c>
      <c r="H823" t="s">
        <v>15498</v>
      </c>
      <c r="I823" t="s">
        <v>30081</v>
      </c>
      <c r="J823" t="s">
        <v>30831</v>
      </c>
      <c r="K823" t="s">
        <v>39019</v>
      </c>
      <c r="M823" t="s">
        <v>39535</v>
      </c>
      <c r="N823" t="s">
        <v>43166</v>
      </c>
      <c r="O823" t="s">
        <v>43167</v>
      </c>
      <c r="P823">
        <v>0</v>
      </c>
      <c r="Q823">
        <v>1</v>
      </c>
      <c r="R823" t="s">
        <v>43168</v>
      </c>
      <c r="S823" t="s">
        <v>43286</v>
      </c>
      <c r="T823" t="s">
        <v>44684</v>
      </c>
      <c r="U823" t="s">
        <v>45880</v>
      </c>
      <c r="V823" t="s">
        <v>56887</v>
      </c>
      <c r="W823" t="s">
        <v>39535</v>
      </c>
      <c r="X823" t="s">
        <v>43170</v>
      </c>
    </row>
    <row r="824" spans="1:24">
      <c r="A824">
        <f>HYPERLINK("https://www.philgeps.gov.ph/GEPSNONPILOT/Tender/SplashBidNoticeAbstractUI.aspx?menuIndex=3&amp;refID=7087562&amp;Result=3","7087562")</f>
        <v>0</v>
      </c>
      <c r="B824" t="s">
        <v>245</v>
      </c>
      <c r="C824" t="s">
        <v>4216</v>
      </c>
      <c r="D824" t="s">
        <v>17481</v>
      </c>
      <c r="E824" t="s">
        <v>18272</v>
      </c>
      <c r="F824" t="s">
        <v>30052</v>
      </c>
      <c r="G824" t="s">
        <v>30058</v>
      </c>
      <c r="H824" t="s">
        <v>30067</v>
      </c>
      <c r="I824" t="s">
        <v>3693</v>
      </c>
      <c r="J824" t="s">
        <v>30832</v>
      </c>
      <c r="K824" t="s">
        <v>39023</v>
      </c>
      <c r="M824" t="s">
        <v>39535</v>
      </c>
      <c r="N824" t="s">
        <v>43166</v>
      </c>
      <c r="O824" t="s">
        <v>43167</v>
      </c>
      <c r="P824">
        <v>0</v>
      </c>
      <c r="Q824">
        <v>0</v>
      </c>
      <c r="R824" t="s">
        <v>43168</v>
      </c>
      <c r="S824" t="s">
        <v>43286</v>
      </c>
      <c r="T824" t="s">
        <v>44684</v>
      </c>
      <c r="U824" t="s">
        <v>45881</v>
      </c>
      <c r="V824" t="s">
        <v>56887</v>
      </c>
      <c r="W824" t="s">
        <v>39535</v>
      </c>
      <c r="X824" t="s">
        <v>43170</v>
      </c>
    </row>
    <row r="825" spans="1:24">
      <c r="A825">
        <f>HYPERLINK("https://www.philgeps.gov.ph/GEPSNONPILOT/Tender/SplashBidNoticeAbstractUI.aspx?menuIndex=3&amp;refID=7087559&amp;Result=3","7087559")</f>
        <v>0</v>
      </c>
      <c r="B825" t="s">
        <v>245</v>
      </c>
      <c r="C825" t="s">
        <v>4217</v>
      </c>
      <c r="D825" t="s">
        <v>17481</v>
      </c>
      <c r="E825" t="s">
        <v>18273</v>
      </c>
      <c r="F825" t="s">
        <v>30052</v>
      </c>
      <c r="G825" t="s">
        <v>30058</v>
      </c>
      <c r="H825" t="s">
        <v>15498</v>
      </c>
      <c r="I825" t="s">
        <v>3736</v>
      </c>
      <c r="J825" t="s">
        <v>30833</v>
      </c>
      <c r="K825" t="s">
        <v>39019</v>
      </c>
      <c r="M825" t="s">
        <v>39535</v>
      </c>
      <c r="N825" t="s">
        <v>43166</v>
      </c>
      <c r="O825" t="s">
        <v>43167</v>
      </c>
      <c r="P825">
        <v>0</v>
      </c>
      <c r="Q825">
        <v>0</v>
      </c>
      <c r="R825" t="s">
        <v>43168</v>
      </c>
      <c r="S825" t="s">
        <v>43286</v>
      </c>
      <c r="T825" t="s">
        <v>44684</v>
      </c>
      <c r="U825" t="s">
        <v>45882</v>
      </c>
      <c r="V825" t="s">
        <v>56909</v>
      </c>
      <c r="W825" t="s">
        <v>39535</v>
      </c>
      <c r="X825" t="s">
        <v>43170</v>
      </c>
    </row>
    <row r="826" spans="1:24">
      <c r="A826">
        <f>HYPERLINK("https://www.philgeps.gov.ph/GEPSNONPILOT/Tender/SplashBidNoticeAbstractUI.aspx?menuIndex=3&amp;refID=7087558&amp;Result=3","7087558")</f>
        <v>0</v>
      </c>
      <c r="B826" t="s">
        <v>245</v>
      </c>
      <c r="C826" t="s">
        <v>4218</v>
      </c>
      <c r="D826" t="s">
        <v>17481</v>
      </c>
      <c r="E826" t="s">
        <v>18274</v>
      </c>
      <c r="F826" t="s">
        <v>30052</v>
      </c>
      <c r="G826" t="s">
        <v>30058</v>
      </c>
      <c r="H826" t="s">
        <v>30067</v>
      </c>
      <c r="I826" t="s">
        <v>3693</v>
      </c>
      <c r="J826" t="s">
        <v>30297</v>
      </c>
      <c r="K826" t="s">
        <v>39026</v>
      </c>
      <c r="M826" t="s">
        <v>39535</v>
      </c>
      <c r="N826" t="s">
        <v>43166</v>
      </c>
      <c r="O826" t="s">
        <v>43167</v>
      </c>
      <c r="P826">
        <v>0</v>
      </c>
      <c r="Q826">
        <v>0</v>
      </c>
      <c r="R826" t="s">
        <v>43168</v>
      </c>
      <c r="S826" t="s">
        <v>43286</v>
      </c>
      <c r="T826" t="s">
        <v>44684</v>
      </c>
      <c r="U826" t="s">
        <v>45883</v>
      </c>
      <c r="V826" t="s">
        <v>56910</v>
      </c>
      <c r="W826" t="s">
        <v>39535</v>
      </c>
      <c r="X826" t="s">
        <v>43170</v>
      </c>
    </row>
    <row r="827" spans="1:24">
      <c r="A827">
        <f>HYPERLINK("https://www.philgeps.gov.ph/GEPSNONPILOT/Tender/SplashBidNoticeAbstractUI.aspx?menuIndex=3&amp;refID=7087530&amp;Result=3","7087530")</f>
        <v>0</v>
      </c>
      <c r="B827" t="s">
        <v>360</v>
      </c>
      <c r="C827" t="s">
        <v>4219</v>
      </c>
      <c r="E827" t="s">
        <v>18261</v>
      </c>
      <c r="F827" t="s">
        <v>30052</v>
      </c>
      <c r="G827" t="s">
        <v>30063</v>
      </c>
      <c r="H827" t="s">
        <v>15498</v>
      </c>
      <c r="I827" t="s">
        <v>30087</v>
      </c>
      <c r="J827" t="s">
        <v>30834</v>
      </c>
      <c r="K827" t="s">
        <v>39023</v>
      </c>
      <c r="M827" t="s">
        <v>39657</v>
      </c>
      <c r="N827" t="s">
        <v>43166</v>
      </c>
      <c r="O827" t="s">
        <v>43167</v>
      </c>
      <c r="P827">
        <v>0</v>
      </c>
      <c r="Q827">
        <v>0</v>
      </c>
      <c r="R827" t="s">
        <v>43168</v>
      </c>
      <c r="S827" t="s">
        <v>43286</v>
      </c>
      <c r="T827" t="s">
        <v>44786</v>
      </c>
      <c r="U827" t="s">
        <v>45884</v>
      </c>
      <c r="V827" t="s">
        <v>56908</v>
      </c>
      <c r="W827" t="s">
        <v>39657</v>
      </c>
      <c r="X827" t="s">
        <v>43170</v>
      </c>
    </row>
    <row r="828" spans="1:24">
      <c r="A828">
        <f>HYPERLINK("https://www.philgeps.gov.ph/GEPSNONPILOT/Tender/SplashBidNoticeAbstractUI.aspx?menuIndex=3&amp;refID=7087556&amp;Result=3","7087556")</f>
        <v>0</v>
      </c>
      <c r="B828" t="s">
        <v>358</v>
      </c>
      <c r="C828" t="s">
        <v>4220</v>
      </c>
      <c r="D828" t="s">
        <v>17421</v>
      </c>
      <c r="E828" t="s">
        <v>17856</v>
      </c>
      <c r="F828" t="s">
        <v>30052</v>
      </c>
      <c r="G828" t="s">
        <v>30058</v>
      </c>
      <c r="H828" t="s">
        <v>30067</v>
      </c>
      <c r="I828" t="s">
        <v>30068</v>
      </c>
      <c r="J828" t="s">
        <v>30835</v>
      </c>
      <c r="K828" t="s">
        <v>39046</v>
      </c>
      <c r="M828" t="s">
        <v>39655</v>
      </c>
      <c r="N828" t="s">
        <v>43166</v>
      </c>
      <c r="O828" t="s">
        <v>43167</v>
      </c>
      <c r="P828">
        <v>0</v>
      </c>
      <c r="Q828">
        <v>0</v>
      </c>
      <c r="R828" t="s">
        <v>43168</v>
      </c>
      <c r="S828" t="s">
        <v>43286</v>
      </c>
      <c r="T828" t="s">
        <v>44795</v>
      </c>
      <c r="U828" t="s">
        <v>45885</v>
      </c>
      <c r="W828" t="s">
        <v>39655</v>
      </c>
      <c r="X828" t="s">
        <v>43170</v>
      </c>
    </row>
    <row r="829" spans="1:24">
      <c r="A829">
        <f>HYPERLINK("https://www.philgeps.gov.ph/GEPSNONPILOT/Tender/SplashBidNoticeAbstractUI.aspx?menuIndex=3&amp;refID=7087554&amp;Result=3","7087554")</f>
        <v>0</v>
      </c>
      <c r="B829" t="s">
        <v>358</v>
      </c>
      <c r="C829" t="s">
        <v>4221</v>
      </c>
      <c r="D829" t="s">
        <v>17421</v>
      </c>
      <c r="E829" t="s">
        <v>17856</v>
      </c>
      <c r="F829" t="s">
        <v>30052</v>
      </c>
      <c r="G829" t="s">
        <v>30058</v>
      </c>
      <c r="H829" t="s">
        <v>30067</v>
      </c>
      <c r="I829" t="s">
        <v>3693</v>
      </c>
      <c r="J829" t="s">
        <v>30836</v>
      </c>
      <c r="K829" t="s">
        <v>39046</v>
      </c>
      <c r="M829" t="s">
        <v>39655</v>
      </c>
      <c r="N829" t="s">
        <v>43166</v>
      </c>
      <c r="O829" t="s">
        <v>43167</v>
      </c>
      <c r="P829">
        <v>0</v>
      </c>
      <c r="Q829">
        <v>0</v>
      </c>
      <c r="R829" t="s">
        <v>43168</v>
      </c>
      <c r="S829" t="s">
        <v>43286</v>
      </c>
      <c r="T829" t="s">
        <v>44795</v>
      </c>
      <c r="U829" t="s">
        <v>45886</v>
      </c>
      <c r="W829" t="s">
        <v>39655</v>
      </c>
      <c r="X829" t="s">
        <v>43170</v>
      </c>
    </row>
    <row r="830" spans="1:24">
      <c r="A830">
        <f>HYPERLINK("https://www.philgeps.gov.ph/GEPSNONPILOT/Tender/SplashBidNoticeAbstractUI.aspx?menuIndex=3&amp;refID=7087561&amp;Result=3","7087561")</f>
        <v>0</v>
      </c>
      <c r="B830" t="s">
        <v>362</v>
      </c>
      <c r="C830" t="s">
        <v>4222</v>
      </c>
      <c r="E830" t="s">
        <v>18275</v>
      </c>
      <c r="F830" t="s">
        <v>30052</v>
      </c>
      <c r="G830" t="s">
        <v>30059</v>
      </c>
      <c r="H830" t="s">
        <v>15498</v>
      </c>
      <c r="I830" t="s">
        <v>4650</v>
      </c>
      <c r="J830" t="s">
        <v>30837</v>
      </c>
      <c r="K830" t="s">
        <v>39025</v>
      </c>
      <c r="M830" t="s">
        <v>39659</v>
      </c>
      <c r="N830" t="s">
        <v>43166</v>
      </c>
      <c r="O830" t="s">
        <v>43167</v>
      </c>
      <c r="P830">
        <v>0</v>
      </c>
      <c r="Q830">
        <v>4</v>
      </c>
      <c r="R830" t="s">
        <v>43168</v>
      </c>
      <c r="S830" t="s">
        <v>43286</v>
      </c>
      <c r="T830" t="s">
        <v>44797</v>
      </c>
      <c r="U830" t="s">
        <v>45887</v>
      </c>
      <c r="W830" t="s">
        <v>58598</v>
      </c>
      <c r="X830" t="s">
        <v>43170</v>
      </c>
    </row>
    <row r="831" spans="1:24">
      <c r="A831">
        <f>HYPERLINK("https://www.philgeps.gov.ph/GEPSNONPILOT/Tender/SplashBidNoticeAbstractUI.aspx?menuIndex=3&amp;refID=7087550&amp;Result=3","7087550")</f>
        <v>0</v>
      </c>
      <c r="B831" t="s">
        <v>358</v>
      </c>
      <c r="C831" t="s">
        <v>4223</v>
      </c>
      <c r="D831" t="s">
        <v>17421</v>
      </c>
      <c r="E831" t="s">
        <v>17856</v>
      </c>
      <c r="F831" t="s">
        <v>30052</v>
      </c>
      <c r="G831" t="s">
        <v>30058</v>
      </c>
      <c r="H831" t="s">
        <v>15498</v>
      </c>
      <c r="I831" t="s">
        <v>30074</v>
      </c>
      <c r="J831" t="s">
        <v>30838</v>
      </c>
      <c r="K831" t="s">
        <v>39029</v>
      </c>
      <c r="M831" t="s">
        <v>39655</v>
      </c>
      <c r="N831" t="s">
        <v>43166</v>
      </c>
      <c r="O831" t="s">
        <v>43167</v>
      </c>
      <c r="P831">
        <v>0</v>
      </c>
      <c r="Q831">
        <v>0</v>
      </c>
      <c r="R831" t="s">
        <v>43168</v>
      </c>
      <c r="S831" t="s">
        <v>43286</v>
      </c>
      <c r="T831" t="s">
        <v>44795</v>
      </c>
      <c r="U831" t="s">
        <v>45888</v>
      </c>
      <c r="W831" t="s">
        <v>39655</v>
      </c>
      <c r="X831" t="s">
        <v>43170</v>
      </c>
    </row>
    <row r="832" spans="1:24">
      <c r="A832">
        <f>HYPERLINK("https://www.philgeps.gov.ph/GEPSNONPILOT/Tender/SplashBidNoticeAbstractUI.aspx?menuIndex=3&amp;refID=7087542&amp;Result=3","7087542")</f>
        <v>0</v>
      </c>
      <c r="B832" t="s">
        <v>358</v>
      </c>
      <c r="C832" t="s">
        <v>4224</v>
      </c>
      <c r="D832" t="s">
        <v>17421</v>
      </c>
      <c r="E832" t="s">
        <v>17856</v>
      </c>
      <c r="F832" t="s">
        <v>30052</v>
      </c>
      <c r="G832" t="s">
        <v>30058</v>
      </c>
      <c r="H832" t="s">
        <v>15498</v>
      </c>
      <c r="I832" t="s">
        <v>30114</v>
      </c>
      <c r="J832" t="s">
        <v>30839</v>
      </c>
      <c r="K832" t="s">
        <v>39029</v>
      </c>
      <c r="M832" t="s">
        <v>39655</v>
      </c>
      <c r="N832" t="s">
        <v>43166</v>
      </c>
      <c r="O832" t="s">
        <v>43167</v>
      </c>
      <c r="P832">
        <v>0</v>
      </c>
      <c r="Q832">
        <v>3</v>
      </c>
      <c r="R832" t="s">
        <v>43168</v>
      </c>
      <c r="S832" t="s">
        <v>43286</v>
      </c>
      <c r="T832" t="s">
        <v>44795</v>
      </c>
      <c r="U832" t="s">
        <v>45889</v>
      </c>
      <c r="W832" t="s">
        <v>39655</v>
      </c>
      <c r="X832" t="s">
        <v>43170</v>
      </c>
    </row>
    <row r="833" spans="1:24">
      <c r="A833">
        <f>HYPERLINK("https://www.philgeps.gov.ph/GEPSNONPILOT/Tender/SplashBidNoticeAbstractUI.aspx?menuIndex=3&amp;refID=7087572&amp;Result=3","7087572")</f>
        <v>0</v>
      </c>
      <c r="B833" t="s">
        <v>363</v>
      </c>
      <c r="C833" t="s">
        <v>4225</v>
      </c>
      <c r="D833" t="s">
        <v>17461</v>
      </c>
      <c r="E833" t="s">
        <v>18276</v>
      </c>
      <c r="F833" t="s">
        <v>30052</v>
      </c>
      <c r="G833" t="s">
        <v>30058</v>
      </c>
      <c r="H833" t="s">
        <v>30067</v>
      </c>
      <c r="I833" t="s">
        <v>3693</v>
      </c>
      <c r="J833" t="s">
        <v>30840</v>
      </c>
      <c r="K833" t="s">
        <v>39023</v>
      </c>
      <c r="M833" t="s">
        <v>39660</v>
      </c>
      <c r="N833" t="s">
        <v>43166</v>
      </c>
      <c r="O833" t="s">
        <v>43167</v>
      </c>
      <c r="P833">
        <v>0</v>
      </c>
      <c r="Q833">
        <v>0</v>
      </c>
      <c r="R833" t="s">
        <v>43168</v>
      </c>
      <c r="S833" t="s">
        <v>43286</v>
      </c>
      <c r="T833" t="s">
        <v>44684</v>
      </c>
      <c r="U833" t="s">
        <v>45890</v>
      </c>
      <c r="V833" t="s">
        <v>56911</v>
      </c>
      <c r="W833" t="s">
        <v>58599</v>
      </c>
      <c r="X833" t="s">
        <v>43170</v>
      </c>
    </row>
    <row r="834" spans="1:24">
      <c r="A834">
        <f>HYPERLINK("https://www.philgeps.gov.ph/GEPSNONPILOT/Tender/SplashBidNoticeAbstractUI.aspx?menuIndex=3&amp;refID=7087575&amp;Result=3","7087575")</f>
        <v>0</v>
      </c>
      <c r="B834" t="s">
        <v>130</v>
      </c>
      <c r="C834" t="s">
        <v>4226</v>
      </c>
      <c r="E834" t="s">
        <v>18277</v>
      </c>
      <c r="F834" t="s">
        <v>30052</v>
      </c>
      <c r="G834" t="s">
        <v>30059</v>
      </c>
      <c r="H834" t="s">
        <v>15498</v>
      </c>
      <c r="I834" t="s">
        <v>3736</v>
      </c>
      <c r="J834" t="s">
        <v>30841</v>
      </c>
      <c r="K834" t="s">
        <v>39025</v>
      </c>
      <c r="M834" t="s">
        <v>39661</v>
      </c>
      <c r="N834" t="s">
        <v>43166</v>
      </c>
      <c r="O834" t="s">
        <v>43167</v>
      </c>
      <c r="P834">
        <v>0</v>
      </c>
      <c r="Q834">
        <v>0</v>
      </c>
      <c r="R834" t="s">
        <v>43168</v>
      </c>
      <c r="S834" t="s">
        <v>43286</v>
      </c>
      <c r="T834" t="s">
        <v>44685</v>
      </c>
      <c r="U834" t="s">
        <v>45891</v>
      </c>
      <c r="V834" t="s">
        <v>56912</v>
      </c>
      <c r="W834" t="s">
        <v>39661</v>
      </c>
      <c r="X834" t="s">
        <v>43169</v>
      </c>
    </row>
    <row r="835" spans="1:24">
      <c r="A835">
        <f>HYPERLINK("https://www.philgeps.gov.ph/GEPSNONPILOT/Tender/SplashBidNoticeAbstractUI.aspx?menuIndex=3&amp;refID=7087573&amp;Result=3","7087573")</f>
        <v>0</v>
      </c>
      <c r="B835" t="s">
        <v>363</v>
      </c>
      <c r="C835" t="s">
        <v>4227</v>
      </c>
      <c r="D835" t="s">
        <v>17461</v>
      </c>
      <c r="E835" t="s">
        <v>18278</v>
      </c>
      <c r="F835" t="s">
        <v>30052</v>
      </c>
      <c r="G835" t="s">
        <v>30058</v>
      </c>
      <c r="H835" t="s">
        <v>30067</v>
      </c>
      <c r="I835" t="s">
        <v>3693</v>
      </c>
      <c r="J835" t="s">
        <v>30247</v>
      </c>
      <c r="K835" t="s">
        <v>39020</v>
      </c>
      <c r="M835" t="s">
        <v>39660</v>
      </c>
      <c r="N835" t="s">
        <v>43166</v>
      </c>
      <c r="O835" t="s">
        <v>43167</v>
      </c>
      <c r="P835">
        <v>0</v>
      </c>
      <c r="Q835">
        <v>0</v>
      </c>
      <c r="R835" t="s">
        <v>43168</v>
      </c>
      <c r="S835" t="s">
        <v>43286</v>
      </c>
      <c r="T835" t="s">
        <v>44684</v>
      </c>
      <c r="U835" t="s">
        <v>45892</v>
      </c>
      <c r="V835" t="s">
        <v>56913</v>
      </c>
      <c r="W835" t="s">
        <v>58599</v>
      </c>
      <c r="X835" t="s">
        <v>43169</v>
      </c>
    </row>
    <row r="836" spans="1:24">
      <c r="A836">
        <f>HYPERLINK("https://www.philgeps.gov.ph/GEPSNONPILOT/Tender/SplashBidNoticeAbstractUI.aspx?menuIndex=3&amp;refID=7087551&amp;Result=3","7087551")</f>
        <v>0</v>
      </c>
      <c r="B836" t="s">
        <v>364</v>
      </c>
      <c r="C836" t="s">
        <v>4228</v>
      </c>
      <c r="D836" t="s">
        <v>17445</v>
      </c>
      <c r="E836" t="s">
        <v>18279</v>
      </c>
      <c r="F836" t="s">
        <v>30052</v>
      </c>
      <c r="G836" t="s">
        <v>30059</v>
      </c>
      <c r="H836" t="s">
        <v>15498</v>
      </c>
      <c r="I836" t="s">
        <v>30097</v>
      </c>
      <c r="J836" t="s">
        <v>30842</v>
      </c>
      <c r="K836" t="s">
        <v>39034</v>
      </c>
      <c r="M836" t="s">
        <v>39662</v>
      </c>
      <c r="N836" t="s">
        <v>43166</v>
      </c>
      <c r="O836" t="s">
        <v>43167</v>
      </c>
      <c r="P836">
        <v>0</v>
      </c>
      <c r="Q836">
        <v>0</v>
      </c>
      <c r="R836" t="s">
        <v>43168</v>
      </c>
      <c r="S836" t="s">
        <v>43286</v>
      </c>
      <c r="T836" t="s">
        <v>44798</v>
      </c>
      <c r="U836" t="s">
        <v>45893</v>
      </c>
      <c r="W836" t="s">
        <v>39662</v>
      </c>
      <c r="X836" t="s">
        <v>43170</v>
      </c>
    </row>
    <row r="837" spans="1:24">
      <c r="A837">
        <f>HYPERLINK("https://www.philgeps.gov.ph/GEPSNONPILOT/Tender/SplashBidNoticeAbstractUI.aspx?menuIndex=3&amp;refID=7087576&amp;Result=3","7087576")</f>
        <v>0</v>
      </c>
      <c r="B837" t="s">
        <v>365</v>
      </c>
      <c r="C837" t="s">
        <v>4229</v>
      </c>
      <c r="D837" t="s">
        <v>17427</v>
      </c>
      <c r="E837" t="s">
        <v>18280</v>
      </c>
      <c r="F837" t="s">
        <v>30052</v>
      </c>
      <c r="G837" t="s">
        <v>30058</v>
      </c>
      <c r="H837" t="s">
        <v>15498</v>
      </c>
      <c r="I837" t="s">
        <v>3736</v>
      </c>
      <c r="J837" t="s">
        <v>30843</v>
      </c>
      <c r="K837" t="s">
        <v>39029</v>
      </c>
      <c r="M837" t="s">
        <v>39663</v>
      </c>
      <c r="N837" t="s">
        <v>43166</v>
      </c>
      <c r="O837" t="s">
        <v>43167</v>
      </c>
      <c r="P837">
        <v>0</v>
      </c>
      <c r="Q837">
        <v>0</v>
      </c>
      <c r="R837" t="s">
        <v>43168</v>
      </c>
      <c r="S837" t="s">
        <v>43286</v>
      </c>
      <c r="T837" t="s">
        <v>44799</v>
      </c>
      <c r="U837" t="s">
        <v>45894</v>
      </c>
      <c r="W837" t="s">
        <v>39663</v>
      </c>
      <c r="X837" t="s">
        <v>43169</v>
      </c>
    </row>
    <row r="838" spans="1:24">
      <c r="A838">
        <f>HYPERLINK("https://www.philgeps.gov.ph/GEPSNONPILOT/Tender/SplashBidNoticeAbstractUI.aspx?menuIndex=3&amp;refID=7087579&amp;Result=3","7087579")</f>
        <v>0</v>
      </c>
      <c r="B838" t="s">
        <v>366</v>
      </c>
      <c r="C838" t="s">
        <v>4230</v>
      </c>
      <c r="E838" t="s">
        <v>18281</v>
      </c>
      <c r="F838" t="s">
        <v>30052</v>
      </c>
      <c r="G838" t="s">
        <v>30058</v>
      </c>
      <c r="H838" t="s">
        <v>30067</v>
      </c>
      <c r="I838" t="s">
        <v>3693</v>
      </c>
      <c r="J838" t="s">
        <v>30844</v>
      </c>
      <c r="K838" t="s">
        <v>39025</v>
      </c>
      <c r="M838" t="s">
        <v>39664</v>
      </c>
      <c r="N838" t="s">
        <v>43166</v>
      </c>
      <c r="O838" t="s">
        <v>43167</v>
      </c>
      <c r="P838">
        <v>0</v>
      </c>
      <c r="Q838">
        <v>0</v>
      </c>
      <c r="R838" t="s">
        <v>43168</v>
      </c>
      <c r="S838" t="s">
        <v>43286</v>
      </c>
      <c r="T838" t="s">
        <v>44800</v>
      </c>
      <c r="U838" t="s">
        <v>45895</v>
      </c>
      <c r="W838" t="s">
        <v>39664</v>
      </c>
      <c r="X838" t="s">
        <v>43169</v>
      </c>
    </row>
    <row r="839" spans="1:24">
      <c r="A839">
        <f>HYPERLINK("https://www.philgeps.gov.ph/GEPSNONPILOT/Tender/SplashBidNoticeAbstractUI.aspx?menuIndex=3&amp;refID=7087569&amp;Result=3","7087569")</f>
        <v>0</v>
      </c>
      <c r="B839" t="s">
        <v>245</v>
      </c>
      <c r="C839" t="s">
        <v>4231</v>
      </c>
      <c r="D839" t="s">
        <v>17481</v>
      </c>
      <c r="E839" t="s">
        <v>18282</v>
      </c>
      <c r="F839" t="s">
        <v>30052</v>
      </c>
      <c r="G839" t="s">
        <v>30058</v>
      </c>
      <c r="H839" t="s">
        <v>15498</v>
      </c>
      <c r="I839" t="s">
        <v>30081</v>
      </c>
      <c r="J839" t="s">
        <v>30845</v>
      </c>
      <c r="K839" t="s">
        <v>39019</v>
      </c>
      <c r="M839" t="s">
        <v>39535</v>
      </c>
      <c r="N839" t="s">
        <v>43166</v>
      </c>
      <c r="O839" t="s">
        <v>43167</v>
      </c>
      <c r="P839">
        <v>0</v>
      </c>
      <c r="Q839">
        <v>1</v>
      </c>
      <c r="R839" t="s">
        <v>43168</v>
      </c>
      <c r="S839" t="s">
        <v>43286</v>
      </c>
      <c r="T839" t="s">
        <v>44684</v>
      </c>
      <c r="U839" t="s">
        <v>45896</v>
      </c>
      <c r="V839" t="s">
        <v>56909</v>
      </c>
      <c r="W839" t="s">
        <v>39535</v>
      </c>
      <c r="X839" t="s">
        <v>43170</v>
      </c>
    </row>
    <row r="840" spans="1:24">
      <c r="A840">
        <f>HYPERLINK("https://www.philgeps.gov.ph/GEPSNONPILOT/Tender/SplashBidNoticeAbstractUI.aspx?menuIndex=3&amp;refID=7087592&amp;Result=3","7087592")</f>
        <v>0</v>
      </c>
      <c r="B840" t="s">
        <v>367</v>
      </c>
      <c r="C840" t="s">
        <v>4232</v>
      </c>
      <c r="D840" t="s">
        <v>17431</v>
      </c>
      <c r="E840" t="s">
        <v>18283</v>
      </c>
      <c r="F840" t="s">
        <v>30052</v>
      </c>
      <c r="G840" t="s">
        <v>30058</v>
      </c>
      <c r="H840" t="s">
        <v>15498</v>
      </c>
      <c r="I840" t="s">
        <v>30117</v>
      </c>
      <c r="J840" t="s">
        <v>30227</v>
      </c>
      <c r="K840" t="s">
        <v>39025</v>
      </c>
      <c r="M840" t="s">
        <v>39665</v>
      </c>
      <c r="N840" t="s">
        <v>43166</v>
      </c>
      <c r="O840" t="s">
        <v>43167</v>
      </c>
      <c r="P840">
        <v>0</v>
      </c>
      <c r="Q840">
        <v>0</v>
      </c>
      <c r="R840" t="s">
        <v>43168</v>
      </c>
      <c r="S840" t="s">
        <v>43286</v>
      </c>
      <c r="T840" t="s">
        <v>44724</v>
      </c>
      <c r="U840" t="s">
        <v>45897</v>
      </c>
      <c r="V840" t="s">
        <v>56914</v>
      </c>
      <c r="W840" t="s">
        <v>39665</v>
      </c>
      <c r="X840" t="s">
        <v>43169</v>
      </c>
    </row>
    <row r="841" spans="1:24">
      <c r="A841">
        <f>HYPERLINK("https://www.philgeps.gov.ph/GEPSNONPILOT/Tender/SplashBidNoticeAbstractUI.aspx?menuIndex=3&amp;refID=7087574&amp;Result=3","7087574")</f>
        <v>0</v>
      </c>
      <c r="B841" t="s">
        <v>343</v>
      </c>
      <c r="C841" t="s">
        <v>4233</v>
      </c>
      <c r="D841" t="s">
        <v>17415</v>
      </c>
      <c r="E841" t="s">
        <v>18284</v>
      </c>
      <c r="F841" t="s">
        <v>30052</v>
      </c>
      <c r="G841" t="s">
        <v>30059</v>
      </c>
      <c r="H841" t="s">
        <v>15498</v>
      </c>
      <c r="I841" t="s">
        <v>8323</v>
      </c>
      <c r="J841" t="s">
        <v>30846</v>
      </c>
      <c r="K841" t="s">
        <v>39025</v>
      </c>
      <c r="M841" t="s">
        <v>39640</v>
      </c>
      <c r="N841" t="s">
        <v>43166</v>
      </c>
      <c r="O841" t="s">
        <v>43167</v>
      </c>
      <c r="P841">
        <v>0</v>
      </c>
      <c r="Q841">
        <v>8</v>
      </c>
      <c r="R841" t="s">
        <v>43168</v>
      </c>
      <c r="S841" t="s">
        <v>43286</v>
      </c>
      <c r="T841" t="s">
        <v>44695</v>
      </c>
      <c r="U841" t="s">
        <v>45898</v>
      </c>
      <c r="V841" t="s">
        <v>56915</v>
      </c>
      <c r="W841" t="s">
        <v>39640</v>
      </c>
      <c r="X841" t="s">
        <v>43169</v>
      </c>
    </row>
    <row r="842" spans="1:24">
      <c r="A842">
        <f>HYPERLINK("https://www.philgeps.gov.ph/GEPSNONPILOT/Tender/SplashBidNoticeAbstractUI.aspx?menuIndex=3&amp;refID=7087589&amp;Result=3","7087589")</f>
        <v>0</v>
      </c>
      <c r="B842" t="s">
        <v>368</v>
      </c>
      <c r="C842" t="s">
        <v>4234</v>
      </c>
      <c r="D842" t="s">
        <v>17448</v>
      </c>
      <c r="E842" t="s">
        <v>18285</v>
      </c>
      <c r="F842" t="s">
        <v>30052</v>
      </c>
      <c r="G842" t="s">
        <v>30061</v>
      </c>
      <c r="H842" t="s">
        <v>30067</v>
      </c>
      <c r="I842" t="s">
        <v>3693</v>
      </c>
      <c r="J842" t="s">
        <v>30847</v>
      </c>
      <c r="K842" t="s">
        <v>39029</v>
      </c>
      <c r="M842" t="s">
        <v>39666</v>
      </c>
      <c r="N842" t="s">
        <v>43166</v>
      </c>
      <c r="O842" t="s">
        <v>43167</v>
      </c>
      <c r="P842">
        <v>0</v>
      </c>
      <c r="Q842">
        <v>0</v>
      </c>
      <c r="R842" t="s">
        <v>43168</v>
      </c>
      <c r="S842" t="s">
        <v>43286</v>
      </c>
      <c r="T842" t="s">
        <v>44719</v>
      </c>
      <c r="U842" t="s">
        <v>45899</v>
      </c>
      <c r="V842" t="s">
        <v>56916</v>
      </c>
      <c r="W842" t="s">
        <v>39666</v>
      </c>
      <c r="X842" t="s">
        <v>43169</v>
      </c>
    </row>
    <row r="843" spans="1:24">
      <c r="A843">
        <f>HYPERLINK("https://www.philgeps.gov.ph/GEPSNONPILOT/Tender/SplashBidNoticeAbstractUI.aspx?menuIndex=3&amp;refID=7087588&amp;Result=3","7087588")</f>
        <v>0</v>
      </c>
      <c r="B843" t="s">
        <v>368</v>
      </c>
      <c r="C843" t="s">
        <v>4235</v>
      </c>
      <c r="D843" t="s">
        <v>17448</v>
      </c>
      <c r="E843" t="s">
        <v>18286</v>
      </c>
      <c r="F843" t="s">
        <v>30052</v>
      </c>
      <c r="G843" t="s">
        <v>30061</v>
      </c>
      <c r="H843" t="s">
        <v>30067</v>
      </c>
      <c r="I843" t="s">
        <v>3693</v>
      </c>
      <c r="J843" t="s">
        <v>30848</v>
      </c>
      <c r="K843" t="s">
        <v>39029</v>
      </c>
      <c r="M843" t="s">
        <v>39666</v>
      </c>
      <c r="N843" t="s">
        <v>43166</v>
      </c>
      <c r="O843" t="s">
        <v>43167</v>
      </c>
      <c r="P843">
        <v>0</v>
      </c>
      <c r="Q843">
        <v>0</v>
      </c>
      <c r="R843" t="s">
        <v>43168</v>
      </c>
      <c r="S843" t="s">
        <v>43286</v>
      </c>
      <c r="T843" t="s">
        <v>44719</v>
      </c>
      <c r="U843" t="s">
        <v>45899</v>
      </c>
      <c r="V843" t="s">
        <v>56916</v>
      </c>
      <c r="W843" t="s">
        <v>39666</v>
      </c>
      <c r="X843" t="s">
        <v>43169</v>
      </c>
    </row>
    <row r="844" spans="1:24">
      <c r="A844">
        <f>HYPERLINK("https://www.philgeps.gov.ph/GEPSNONPILOT/Tender/SplashBidNoticeAbstractUI.aspx?menuIndex=3&amp;refID=7087590&amp;Result=3","7087590")</f>
        <v>0</v>
      </c>
      <c r="B844" t="s">
        <v>369</v>
      </c>
      <c r="C844" t="s">
        <v>4236</v>
      </c>
      <c r="D844" t="s">
        <v>17460</v>
      </c>
      <c r="E844" t="s">
        <v>18287</v>
      </c>
      <c r="F844" t="s">
        <v>30052</v>
      </c>
      <c r="G844" t="s">
        <v>30058</v>
      </c>
      <c r="H844" t="s">
        <v>30068</v>
      </c>
      <c r="I844" t="s">
        <v>30068</v>
      </c>
      <c r="J844" t="s">
        <v>30849</v>
      </c>
      <c r="K844" t="s">
        <v>39031</v>
      </c>
      <c r="M844" t="s">
        <v>39667</v>
      </c>
      <c r="N844" t="s">
        <v>43166</v>
      </c>
      <c r="O844" t="s">
        <v>43167</v>
      </c>
      <c r="P844">
        <v>0</v>
      </c>
      <c r="Q844">
        <v>0</v>
      </c>
      <c r="R844" t="s">
        <v>43168</v>
      </c>
      <c r="S844" t="s">
        <v>43286</v>
      </c>
      <c r="T844" t="s">
        <v>44724</v>
      </c>
      <c r="U844" t="s">
        <v>45900</v>
      </c>
      <c r="W844" t="s">
        <v>39667</v>
      </c>
      <c r="X844" t="s">
        <v>43169</v>
      </c>
    </row>
    <row r="845" spans="1:24">
      <c r="A845">
        <f>HYPERLINK("https://www.philgeps.gov.ph/GEPSNONPILOT/Tender/SplashBidNoticeAbstractUI.aspx?menuIndex=3&amp;refID=7087586&amp;Result=3","7087586")</f>
        <v>0</v>
      </c>
      <c r="B845" t="s">
        <v>370</v>
      </c>
      <c r="C845" t="s">
        <v>4237</v>
      </c>
      <c r="D845" t="s">
        <v>17442</v>
      </c>
      <c r="E845" t="s">
        <v>18288</v>
      </c>
      <c r="F845" t="s">
        <v>30052</v>
      </c>
      <c r="G845" t="s">
        <v>30058</v>
      </c>
      <c r="H845" t="s">
        <v>15498</v>
      </c>
      <c r="I845" t="s">
        <v>30094</v>
      </c>
      <c r="J845" t="s">
        <v>30850</v>
      </c>
      <c r="K845" t="s">
        <v>39029</v>
      </c>
      <c r="M845" t="s">
        <v>39668</v>
      </c>
      <c r="N845" t="s">
        <v>43166</v>
      </c>
      <c r="O845" t="s">
        <v>43167</v>
      </c>
      <c r="P845">
        <v>0</v>
      </c>
      <c r="Q845">
        <v>0</v>
      </c>
      <c r="R845" t="s">
        <v>43168</v>
      </c>
      <c r="S845" t="s">
        <v>43286</v>
      </c>
      <c r="T845" t="s">
        <v>44684</v>
      </c>
      <c r="U845" t="s">
        <v>45901</v>
      </c>
      <c r="V845" t="s">
        <v>56917</v>
      </c>
      <c r="W845" t="s">
        <v>39668</v>
      </c>
      <c r="X845" t="s">
        <v>43169</v>
      </c>
    </row>
    <row r="846" spans="1:24">
      <c r="A846">
        <f>HYPERLINK("https://www.philgeps.gov.ph/GEPSNONPILOT/Tender/SplashBidNoticeAbstractUI.aspx?menuIndex=3&amp;refID=7087578&amp;Result=3","7087578")</f>
        <v>0</v>
      </c>
      <c r="B846" t="s">
        <v>371</v>
      </c>
      <c r="C846" t="s">
        <v>4238</v>
      </c>
      <c r="D846" t="s">
        <v>17446</v>
      </c>
      <c r="E846" t="s">
        <v>18289</v>
      </c>
      <c r="F846" t="s">
        <v>30052</v>
      </c>
      <c r="G846" t="s">
        <v>30058</v>
      </c>
      <c r="H846" t="s">
        <v>15498</v>
      </c>
      <c r="I846" t="s">
        <v>3693</v>
      </c>
      <c r="J846" t="s">
        <v>30851</v>
      </c>
      <c r="K846" t="s">
        <v>39031</v>
      </c>
      <c r="M846" t="s">
        <v>39669</v>
      </c>
      <c r="N846" t="s">
        <v>43166</v>
      </c>
      <c r="O846" t="s">
        <v>43167</v>
      </c>
      <c r="P846">
        <v>0</v>
      </c>
      <c r="Q846">
        <v>0</v>
      </c>
      <c r="R846" t="s">
        <v>43168</v>
      </c>
      <c r="S846" t="s">
        <v>43286</v>
      </c>
      <c r="T846" t="s">
        <v>44684</v>
      </c>
      <c r="U846" t="s">
        <v>45902</v>
      </c>
      <c r="W846" t="s">
        <v>39669</v>
      </c>
      <c r="X846" t="s">
        <v>43169</v>
      </c>
    </row>
    <row r="847" spans="1:24">
      <c r="A847">
        <f>HYPERLINK("https://www.philgeps.gov.ph/GEPSNONPILOT/Tender/SplashBidNoticeAbstractUI.aspx?menuIndex=3&amp;refID=7087585&amp;Result=3","7087585")</f>
        <v>0</v>
      </c>
      <c r="B847" t="s">
        <v>372</v>
      </c>
      <c r="C847" t="s">
        <v>4239</v>
      </c>
      <c r="D847" t="s">
        <v>17466</v>
      </c>
      <c r="E847" t="s">
        <v>18290</v>
      </c>
      <c r="F847" t="s">
        <v>30052</v>
      </c>
      <c r="G847" t="s">
        <v>30059</v>
      </c>
      <c r="H847" t="s">
        <v>15498</v>
      </c>
      <c r="I847" t="s">
        <v>30088</v>
      </c>
      <c r="J847" t="s">
        <v>30852</v>
      </c>
      <c r="K847" t="s">
        <v>39017</v>
      </c>
      <c r="M847" t="s">
        <v>39670</v>
      </c>
      <c r="N847" t="s">
        <v>43166</v>
      </c>
      <c r="O847" t="s">
        <v>43167</v>
      </c>
      <c r="P847">
        <v>0</v>
      </c>
      <c r="Q847">
        <v>3</v>
      </c>
      <c r="R847" t="s">
        <v>43168</v>
      </c>
      <c r="S847" t="s">
        <v>43286</v>
      </c>
      <c r="T847" t="s">
        <v>44782</v>
      </c>
      <c r="U847" t="s">
        <v>45903</v>
      </c>
      <c r="W847" t="s">
        <v>39670</v>
      </c>
      <c r="X847" t="s">
        <v>43169</v>
      </c>
    </row>
    <row r="848" spans="1:24">
      <c r="A848">
        <f>HYPERLINK("https://www.philgeps.gov.ph/GEPSNONPILOT/Tender/SplashBidNoticeAbstractUI.aspx?menuIndex=3&amp;refID=7087596&amp;Result=3","7087596")</f>
        <v>0</v>
      </c>
      <c r="B848" t="s">
        <v>373</v>
      </c>
      <c r="C848" t="s">
        <v>4240</v>
      </c>
      <c r="D848" t="s">
        <v>17449</v>
      </c>
      <c r="E848" t="s">
        <v>18291</v>
      </c>
      <c r="F848" t="s">
        <v>30052</v>
      </c>
      <c r="G848" t="s">
        <v>30059</v>
      </c>
      <c r="H848" t="s">
        <v>15498</v>
      </c>
      <c r="I848" t="s">
        <v>30142</v>
      </c>
      <c r="J848" t="s">
        <v>30853</v>
      </c>
      <c r="K848" t="s">
        <v>39039</v>
      </c>
      <c r="M848" t="s">
        <v>39671</v>
      </c>
      <c r="N848" t="s">
        <v>43166</v>
      </c>
      <c r="O848" t="s">
        <v>43167</v>
      </c>
      <c r="P848">
        <v>0</v>
      </c>
      <c r="Q848">
        <v>0</v>
      </c>
      <c r="R848" t="s">
        <v>43168</v>
      </c>
      <c r="S848" t="s">
        <v>43286</v>
      </c>
      <c r="T848" t="s">
        <v>44724</v>
      </c>
      <c r="U848" t="s">
        <v>45904</v>
      </c>
      <c r="W848" t="s">
        <v>39671</v>
      </c>
      <c r="X848" t="s">
        <v>43169</v>
      </c>
    </row>
    <row r="849" spans="1:24">
      <c r="A849">
        <f>HYPERLINK("https://www.philgeps.gov.ph/GEPSNONPILOT/Tender/SplashBidNoticeAbstractUI.aspx?menuIndex=3&amp;refID=7087595&amp;Result=3","7087595")</f>
        <v>0</v>
      </c>
      <c r="B849" t="s">
        <v>374</v>
      </c>
      <c r="C849" t="s">
        <v>4241</v>
      </c>
      <c r="D849" t="s">
        <v>17417</v>
      </c>
      <c r="E849" t="s">
        <v>18292</v>
      </c>
      <c r="F849" t="s">
        <v>30052</v>
      </c>
      <c r="G849" t="s">
        <v>30061</v>
      </c>
      <c r="H849" t="s">
        <v>30069</v>
      </c>
      <c r="I849" t="s">
        <v>30143</v>
      </c>
      <c r="J849" t="s">
        <v>30256</v>
      </c>
      <c r="K849" t="s">
        <v>39019</v>
      </c>
      <c r="M849" t="s">
        <v>39672</v>
      </c>
      <c r="N849" t="s">
        <v>43166</v>
      </c>
      <c r="O849" t="s">
        <v>43167</v>
      </c>
      <c r="P849">
        <v>0</v>
      </c>
      <c r="Q849">
        <v>1</v>
      </c>
      <c r="R849" t="s">
        <v>43168</v>
      </c>
      <c r="S849" t="s">
        <v>43286</v>
      </c>
      <c r="T849" t="s">
        <v>44704</v>
      </c>
      <c r="U849" t="s">
        <v>45905</v>
      </c>
      <c r="W849" t="s">
        <v>39672</v>
      </c>
      <c r="X849" t="s">
        <v>43169</v>
      </c>
    </row>
    <row r="850" spans="1:24">
      <c r="A850">
        <f>HYPERLINK("https://www.philgeps.gov.ph/GEPSNONPILOT/Tender/SplashBidNoticeAbstractUI.aspx?menuIndex=3&amp;refID=7087594&amp;Result=3","7087594")</f>
        <v>0</v>
      </c>
      <c r="B850" t="s">
        <v>374</v>
      </c>
      <c r="C850" t="s">
        <v>4242</v>
      </c>
      <c r="D850" t="s">
        <v>17417</v>
      </c>
      <c r="E850" t="s">
        <v>17540</v>
      </c>
      <c r="F850" t="s">
        <v>30052</v>
      </c>
      <c r="G850" t="s">
        <v>30058</v>
      </c>
      <c r="H850" t="s">
        <v>30067</v>
      </c>
      <c r="I850" t="s">
        <v>3693</v>
      </c>
      <c r="J850" t="s">
        <v>30277</v>
      </c>
      <c r="K850" t="s">
        <v>39019</v>
      </c>
      <c r="M850" t="s">
        <v>39672</v>
      </c>
      <c r="N850" t="s">
        <v>43166</v>
      </c>
      <c r="O850" t="s">
        <v>43167</v>
      </c>
      <c r="P850">
        <v>0</v>
      </c>
      <c r="Q850">
        <v>0</v>
      </c>
      <c r="R850" t="s">
        <v>43168</v>
      </c>
      <c r="S850" t="s">
        <v>43286</v>
      </c>
      <c r="T850" t="s">
        <v>44704</v>
      </c>
      <c r="U850" t="s">
        <v>45906</v>
      </c>
      <c r="W850" t="s">
        <v>39672</v>
      </c>
      <c r="X850" t="s">
        <v>43169</v>
      </c>
    </row>
    <row r="851" spans="1:24">
      <c r="A851">
        <f>HYPERLINK("https://www.philgeps.gov.ph/GEPSNONPILOT/Tender/SplashBidNoticeAbstractUI.aspx?menuIndex=3&amp;refID=7087593&amp;Result=3","7087593")</f>
        <v>0</v>
      </c>
      <c r="B851" t="s">
        <v>373</v>
      </c>
      <c r="C851" t="s">
        <v>3590</v>
      </c>
      <c r="D851" t="s">
        <v>17449</v>
      </c>
      <c r="E851" t="s">
        <v>18293</v>
      </c>
      <c r="F851" t="s">
        <v>30052</v>
      </c>
      <c r="G851" t="s">
        <v>30059</v>
      </c>
      <c r="H851" t="s">
        <v>15498</v>
      </c>
      <c r="I851" t="s">
        <v>30070</v>
      </c>
      <c r="J851" t="s">
        <v>30854</v>
      </c>
      <c r="K851" t="s">
        <v>39039</v>
      </c>
      <c r="M851" t="s">
        <v>39671</v>
      </c>
      <c r="N851" t="s">
        <v>43166</v>
      </c>
      <c r="O851" t="s">
        <v>43167</v>
      </c>
      <c r="P851">
        <v>0</v>
      </c>
      <c r="Q851">
        <v>0</v>
      </c>
      <c r="R851" t="s">
        <v>43168</v>
      </c>
      <c r="S851" t="s">
        <v>43286</v>
      </c>
      <c r="T851" t="s">
        <v>44681</v>
      </c>
      <c r="U851" t="s">
        <v>45907</v>
      </c>
      <c r="W851" t="s">
        <v>39671</v>
      </c>
      <c r="X851" t="s">
        <v>43169</v>
      </c>
    </row>
    <row r="852" spans="1:24">
      <c r="A852">
        <f>HYPERLINK("https://www.philgeps.gov.ph/GEPSNONPILOT/Tender/SplashBidNoticeAbstractUI.aspx?menuIndex=3&amp;refID=7087587&amp;Result=3","7087587")</f>
        <v>0</v>
      </c>
      <c r="B852" t="s">
        <v>336</v>
      </c>
      <c r="C852" t="s">
        <v>4243</v>
      </c>
      <c r="D852" t="s">
        <v>17455</v>
      </c>
      <c r="E852" t="s">
        <v>17922</v>
      </c>
      <c r="F852" t="s">
        <v>30052</v>
      </c>
      <c r="G852" t="s">
        <v>30058</v>
      </c>
      <c r="H852" t="s">
        <v>15498</v>
      </c>
      <c r="I852" t="s">
        <v>6304</v>
      </c>
      <c r="J852" t="s">
        <v>30855</v>
      </c>
      <c r="K852" t="s">
        <v>39017</v>
      </c>
      <c r="M852" t="s">
        <v>39632</v>
      </c>
      <c r="N852" t="s">
        <v>43166</v>
      </c>
      <c r="O852" t="s">
        <v>43167</v>
      </c>
      <c r="P852">
        <v>0</v>
      </c>
      <c r="Q852">
        <v>0</v>
      </c>
      <c r="R852" t="s">
        <v>43168</v>
      </c>
      <c r="S852" t="s">
        <v>43286</v>
      </c>
      <c r="T852" t="s">
        <v>44757</v>
      </c>
      <c r="U852" t="s">
        <v>45799</v>
      </c>
      <c r="V852" t="s">
        <v>45799</v>
      </c>
      <c r="W852" t="s">
        <v>39632</v>
      </c>
      <c r="X852" t="s">
        <v>43169</v>
      </c>
    </row>
    <row r="853" spans="1:24">
      <c r="A853">
        <f>HYPERLINK("https://www.philgeps.gov.ph/GEPSNONPILOT/Tender/SplashBidNoticeAbstractUI.aspx?menuIndex=3&amp;refID=7087577&amp;Result=3","7087577")</f>
        <v>0</v>
      </c>
      <c r="B853" t="s">
        <v>89</v>
      </c>
      <c r="C853" t="s">
        <v>4244</v>
      </c>
      <c r="D853" t="s">
        <v>17444</v>
      </c>
      <c r="E853" t="s">
        <v>4244</v>
      </c>
      <c r="F853" t="s">
        <v>30052</v>
      </c>
      <c r="G853" t="s">
        <v>30062</v>
      </c>
      <c r="H853" t="s">
        <v>15498</v>
      </c>
      <c r="I853" t="s">
        <v>4119</v>
      </c>
      <c r="J853" t="s">
        <v>30374</v>
      </c>
      <c r="K853" t="s">
        <v>39039</v>
      </c>
      <c r="M853" t="s">
        <v>39378</v>
      </c>
      <c r="N853" t="s">
        <v>43166</v>
      </c>
      <c r="O853" t="s">
        <v>43167</v>
      </c>
      <c r="P853">
        <v>0</v>
      </c>
      <c r="Q853">
        <v>0</v>
      </c>
      <c r="R853" t="s">
        <v>43168</v>
      </c>
      <c r="S853" t="s">
        <v>43286</v>
      </c>
      <c r="T853" t="s">
        <v>44720</v>
      </c>
      <c r="U853" t="s">
        <v>45908</v>
      </c>
      <c r="W853" t="s">
        <v>39378</v>
      </c>
      <c r="X853" t="s">
        <v>43169</v>
      </c>
    </row>
    <row r="854" spans="1:24">
      <c r="A854">
        <f>HYPERLINK("https://www.philgeps.gov.ph/GEPSNONPILOT/Tender/SplashBidNoticeAbstractUI.aspx?menuIndex=3&amp;refID=7087582&amp;Result=3","7087582")</f>
        <v>0</v>
      </c>
      <c r="B854" t="s">
        <v>375</v>
      </c>
      <c r="C854" t="s">
        <v>4245</v>
      </c>
      <c r="D854" t="s">
        <v>17476</v>
      </c>
      <c r="E854" t="s">
        <v>18294</v>
      </c>
      <c r="F854" t="s">
        <v>30052</v>
      </c>
      <c r="G854" t="s">
        <v>30058</v>
      </c>
      <c r="H854" t="s">
        <v>15498</v>
      </c>
      <c r="I854" t="s">
        <v>30074</v>
      </c>
      <c r="J854" t="s">
        <v>30856</v>
      </c>
      <c r="K854" t="s">
        <v>39019</v>
      </c>
      <c r="M854" t="s">
        <v>39673</v>
      </c>
      <c r="N854" t="s">
        <v>43166</v>
      </c>
      <c r="O854" t="s">
        <v>43167</v>
      </c>
      <c r="P854">
        <v>0</v>
      </c>
      <c r="Q854">
        <v>6</v>
      </c>
      <c r="R854" t="s">
        <v>43168</v>
      </c>
      <c r="S854" t="s">
        <v>43286</v>
      </c>
      <c r="T854" t="s">
        <v>44801</v>
      </c>
      <c r="U854" t="s">
        <v>45909</v>
      </c>
      <c r="W854" t="s">
        <v>39673</v>
      </c>
      <c r="X854" t="s">
        <v>43169</v>
      </c>
    </row>
    <row r="855" spans="1:24">
      <c r="A855">
        <f>HYPERLINK("https://www.philgeps.gov.ph/GEPSNONPILOT/Tender/SplashBidNoticeAbstractUI.aspx?menuIndex=3&amp;refID=7087581&amp;Result=3","7087581")</f>
        <v>0</v>
      </c>
      <c r="B855" t="s">
        <v>371</v>
      </c>
      <c r="C855" t="s">
        <v>4246</v>
      </c>
      <c r="D855" t="s">
        <v>17446</v>
      </c>
      <c r="E855" t="s">
        <v>18295</v>
      </c>
      <c r="F855" t="s">
        <v>30052</v>
      </c>
      <c r="G855" t="s">
        <v>30058</v>
      </c>
      <c r="H855" t="s">
        <v>15498</v>
      </c>
      <c r="I855" t="s">
        <v>30142</v>
      </c>
      <c r="J855" t="s">
        <v>30857</v>
      </c>
      <c r="K855" t="s">
        <v>39036</v>
      </c>
      <c r="M855" t="s">
        <v>39669</v>
      </c>
      <c r="N855" t="s">
        <v>43166</v>
      </c>
      <c r="O855" t="s">
        <v>43167</v>
      </c>
      <c r="P855">
        <v>0</v>
      </c>
      <c r="Q855">
        <v>0</v>
      </c>
      <c r="R855" t="s">
        <v>43168</v>
      </c>
      <c r="S855" t="s">
        <v>43286</v>
      </c>
      <c r="T855" t="s">
        <v>44699</v>
      </c>
      <c r="U855" t="s">
        <v>45910</v>
      </c>
      <c r="W855" t="s">
        <v>39669</v>
      </c>
      <c r="X855" t="s">
        <v>43169</v>
      </c>
    </row>
    <row r="856" spans="1:24">
      <c r="A856">
        <f>HYPERLINK("https://www.philgeps.gov.ph/GEPSNONPILOT/Tender/SplashBidNoticeAbstractUI.aspx?menuIndex=3&amp;refID=7087584&amp;Result=3","7087584")</f>
        <v>0</v>
      </c>
      <c r="B856" t="s">
        <v>372</v>
      </c>
      <c r="C856" t="s">
        <v>4247</v>
      </c>
      <c r="D856" t="s">
        <v>17466</v>
      </c>
      <c r="E856" t="s">
        <v>18296</v>
      </c>
      <c r="F856" t="s">
        <v>30052</v>
      </c>
      <c r="G856" t="s">
        <v>30059</v>
      </c>
      <c r="H856" t="s">
        <v>15498</v>
      </c>
      <c r="I856" t="s">
        <v>3736</v>
      </c>
      <c r="J856" t="s">
        <v>30354</v>
      </c>
      <c r="K856" t="s">
        <v>39017</v>
      </c>
      <c r="M856" t="s">
        <v>39670</v>
      </c>
      <c r="N856" t="s">
        <v>43166</v>
      </c>
      <c r="O856" t="s">
        <v>43167</v>
      </c>
      <c r="P856">
        <v>0</v>
      </c>
      <c r="Q856">
        <v>0</v>
      </c>
      <c r="R856" t="s">
        <v>43168</v>
      </c>
      <c r="S856" t="s">
        <v>43286</v>
      </c>
      <c r="T856" t="s">
        <v>44720</v>
      </c>
      <c r="U856" t="s">
        <v>45911</v>
      </c>
      <c r="W856" t="s">
        <v>39670</v>
      </c>
      <c r="X856" t="s">
        <v>43169</v>
      </c>
    </row>
    <row r="857" spans="1:24">
      <c r="A857">
        <f>HYPERLINK("https://www.philgeps.gov.ph/GEPSNONPILOT/Tender/SplashBidNoticeAbstractUI.aspx?menuIndex=3&amp;refID=7087583&amp;Result=3","7087583")</f>
        <v>0</v>
      </c>
      <c r="B857" t="s">
        <v>38</v>
      </c>
      <c r="C857" t="s">
        <v>4248</v>
      </c>
      <c r="D857" t="s">
        <v>17423</v>
      </c>
      <c r="E857" t="s">
        <v>18297</v>
      </c>
      <c r="F857" t="s">
        <v>30052</v>
      </c>
      <c r="G857" t="s">
        <v>30058</v>
      </c>
      <c r="H857" t="s">
        <v>15498</v>
      </c>
      <c r="I857" t="s">
        <v>3736</v>
      </c>
      <c r="J857" t="s">
        <v>30858</v>
      </c>
      <c r="K857" t="s">
        <v>39017</v>
      </c>
      <c r="M857" t="s">
        <v>39328</v>
      </c>
      <c r="N857" t="s">
        <v>43166</v>
      </c>
      <c r="O857" t="s">
        <v>43167</v>
      </c>
      <c r="P857">
        <v>0</v>
      </c>
      <c r="Q857">
        <v>1</v>
      </c>
      <c r="R857" t="s">
        <v>43168</v>
      </c>
      <c r="S857" t="s">
        <v>43286</v>
      </c>
      <c r="T857" t="s">
        <v>44681</v>
      </c>
      <c r="U857" t="s">
        <v>45912</v>
      </c>
      <c r="W857" t="s">
        <v>39328</v>
      </c>
      <c r="X857" t="s">
        <v>43169</v>
      </c>
    </row>
    <row r="858" spans="1:24">
      <c r="A858">
        <f>HYPERLINK("https://www.philgeps.gov.ph/GEPSNONPILOT/Tender/SplashBidNoticeAbstractUI.aspx?menuIndex=3&amp;refID=7087591&amp;Result=3","7087591")</f>
        <v>0</v>
      </c>
      <c r="B858" t="s">
        <v>376</v>
      </c>
      <c r="C858" t="s">
        <v>4249</v>
      </c>
      <c r="D858" t="s">
        <v>17488</v>
      </c>
      <c r="E858" t="s">
        <v>18298</v>
      </c>
      <c r="F858" t="s">
        <v>30052</v>
      </c>
      <c r="G858" t="s">
        <v>30058</v>
      </c>
      <c r="H858" t="s">
        <v>15498</v>
      </c>
      <c r="I858" t="s">
        <v>3736</v>
      </c>
      <c r="J858" t="s">
        <v>30859</v>
      </c>
      <c r="K858" t="s">
        <v>39025</v>
      </c>
      <c r="M858" t="s">
        <v>39674</v>
      </c>
      <c r="N858" t="s">
        <v>43166</v>
      </c>
      <c r="O858" t="s">
        <v>43167</v>
      </c>
      <c r="P858">
        <v>0</v>
      </c>
      <c r="Q858">
        <v>0</v>
      </c>
      <c r="R858" t="s">
        <v>43168</v>
      </c>
      <c r="S858" t="s">
        <v>43286</v>
      </c>
      <c r="T858" t="s">
        <v>44764</v>
      </c>
      <c r="U858" t="s">
        <v>45913</v>
      </c>
      <c r="V858" t="s">
        <v>56918</v>
      </c>
      <c r="W858" t="s">
        <v>39674</v>
      </c>
      <c r="X858" t="s">
        <v>43169</v>
      </c>
    </row>
    <row r="859" spans="1:24">
      <c r="A859">
        <f>HYPERLINK("https://www.philgeps.gov.ph/GEPSNONPILOT/Tender/SplashBidNoticeAbstractUI.aspx?menuIndex=3&amp;refID=7087599&amp;Result=3","7087599")</f>
        <v>0</v>
      </c>
      <c r="B859" t="s">
        <v>367</v>
      </c>
      <c r="C859" t="s">
        <v>4250</v>
      </c>
      <c r="D859" t="s">
        <v>17431</v>
      </c>
      <c r="E859" t="s">
        <v>18299</v>
      </c>
      <c r="F859" t="s">
        <v>30052</v>
      </c>
      <c r="G859" t="s">
        <v>30058</v>
      </c>
      <c r="H859" t="s">
        <v>15498</v>
      </c>
      <c r="I859" t="s">
        <v>30144</v>
      </c>
      <c r="J859" t="s">
        <v>30222</v>
      </c>
      <c r="K859" t="s">
        <v>39025</v>
      </c>
      <c r="M859" t="s">
        <v>39665</v>
      </c>
      <c r="N859" t="s">
        <v>43166</v>
      </c>
      <c r="O859" t="s">
        <v>43167</v>
      </c>
      <c r="P859">
        <v>0</v>
      </c>
      <c r="Q859">
        <v>0</v>
      </c>
      <c r="R859" t="s">
        <v>43168</v>
      </c>
      <c r="S859" t="s">
        <v>43286</v>
      </c>
      <c r="T859" t="s">
        <v>44802</v>
      </c>
      <c r="U859" t="s">
        <v>45914</v>
      </c>
      <c r="V859" t="s">
        <v>56914</v>
      </c>
      <c r="W859" t="s">
        <v>39665</v>
      </c>
      <c r="X859" t="s">
        <v>43169</v>
      </c>
    </row>
    <row r="860" spans="1:24">
      <c r="A860">
        <f>HYPERLINK("https://www.philgeps.gov.ph/GEPSNONPILOT/Tender/SplashBidNoticeAbstractUI.aspx?menuIndex=3&amp;refID=7087618&amp;Result=3","7087618")</f>
        <v>0</v>
      </c>
      <c r="B860" t="s">
        <v>377</v>
      </c>
      <c r="C860" t="s">
        <v>4251</v>
      </c>
      <c r="D860" t="s">
        <v>17447</v>
      </c>
      <c r="E860" t="s">
        <v>18300</v>
      </c>
      <c r="F860" t="s">
        <v>30052</v>
      </c>
      <c r="G860" t="s">
        <v>30059</v>
      </c>
      <c r="H860" t="s">
        <v>15498</v>
      </c>
      <c r="I860" t="s">
        <v>30081</v>
      </c>
      <c r="J860" t="s">
        <v>30860</v>
      </c>
      <c r="K860" t="s">
        <v>39029</v>
      </c>
      <c r="M860" t="s">
        <v>39675</v>
      </c>
      <c r="N860" t="s">
        <v>43166</v>
      </c>
      <c r="O860" t="s">
        <v>43167</v>
      </c>
      <c r="P860">
        <v>0</v>
      </c>
      <c r="Q860">
        <v>0</v>
      </c>
      <c r="R860" t="s">
        <v>43168</v>
      </c>
      <c r="S860" t="s">
        <v>43286</v>
      </c>
      <c r="T860" t="s">
        <v>44803</v>
      </c>
      <c r="U860" t="s">
        <v>45915</v>
      </c>
      <c r="W860" t="s">
        <v>39675</v>
      </c>
      <c r="X860" t="s">
        <v>43169</v>
      </c>
    </row>
    <row r="861" spans="1:24">
      <c r="A861">
        <f>HYPERLINK("https://www.philgeps.gov.ph/GEPSNONPILOT/Tender/SplashBidNoticeAbstractUI.aspx?menuIndex=3&amp;refID=7087580&amp;Result=3","7087580")</f>
        <v>0</v>
      </c>
      <c r="B861" t="s">
        <v>372</v>
      </c>
      <c r="C861" t="s">
        <v>4252</v>
      </c>
      <c r="D861" t="s">
        <v>17466</v>
      </c>
      <c r="E861" t="s">
        <v>18301</v>
      </c>
      <c r="F861" t="s">
        <v>30052</v>
      </c>
      <c r="G861" t="s">
        <v>30059</v>
      </c>
      <c r="H861" t="s">
        <v>15498</v>
      </c>
      <c r="I861" t="s">
        <v>30070</v>
      </c>
      <c r="J861" t="s">
        <v>30861</v>
      </c>
      <c r="K861" t="s">
        <v>39017</v>
      </c>
      <c r="M861" t="s">
        <v>39670</v>
      </c>
      <c r="N861" t="s">
        <v>43166</v>
      </c>
      <c r="O861" t="s">
        <v>43167</v>
      </c>
      <c r="P861">
        <v>0</v>
      </c>
      <c r="Q861">
        <v>2</v>
      </c>
      <c r="R861" t="s">
        <v>43168</v>
      </c>
      <c r="S861" t="s">
        <v>43286</v>
      </c>
      <c r="T861" t="s">
        <v>44708</v>
      </c>
      <c r="U861" t="s">
        <v>45916</v>
      </c>
      <c r="W861" t="s">
        <v>39670</v>
      </c>
      <c r="X861" t="s">
        <v>43169</v>
      </c>
    </row>
    <row r="862" spans="1:24">
      <c r="A862">
        <f>HYPERLINK("https://www.philgeps.gov.ph/GEPSNONPILOT/Tender/SplashBidNoticeAbstractUI.aspx?menuIndex=3&amp;refID=7087615&amp;Result=3","7087615")</f>
        <v>0</v>
      </c>
      <c r="B862" t="s">
        <v>378</v>
      </c>
      <c r="C862" t="s">
        <v>4253</v>
      </c>
      <c r="D862" t="s">
        <v>17467</v>
      </c>
      <c r="E862" t="s">
        <v>18302</v>
      </c>
      <c r="F862" t="s">
        <v>30052</v>
      </c>
      <c r="G862" t="s">
        <v>30061</v>
      </c>
      <c r="H862" t="s">
        <v>15498</v>
      </c>
      <c r="I862" t="s">
        <v>4119</v>
      </c>
      <c r="J862" t="s">
        <v>30862</v>
      </c>
      <c r="K862" t="s">
        <v>39018</v>
      </c>
      <c r="M862" t="s">
        <v>39676</v>
      </c>
      <c r="N862" t="s">
        <v>43166</v>
      </c>
      <c r="O862" t="s">
        <v>43167</v>
      </c>
      <c r="P862">
        <v>0</v>
      </c>
      <c r="Q862">
        <v>8</v>
      </c>
      <c r="R862" t="s">
        <v>43168</v>
      </c>
      <c r="S862" t="s">
        <v>43286</v>
      </c>
      <c r="T862" t="s">
        <v>44720</v>
      </c>
      <c r="U862" t="s">
        <v>45917</v>
      </c>
      <c r="W862" t="s">
        <v>39676</v>
      </c>
      <c r="X862" t="s">
        <v>43169</v>
      </c>
    </row>
    <row r="863" spans="1:24">
      <c r="A863">
        <f>HYPERLINK("https://www.philgeps.gov.ph/GEPSNONPILOT/Tender/SplashBidNoticeAbstractUI.aspx?menuIndex=3&amp;refID=7087564&amp;Result=3","7087564")</f>
        <v>0</v>
      </c>
      <c r="B863" t="s">
        <v>245</v>
      </c>
      <c r="C863" t="s">
        <v>4254</v>
      </c>
      <c r="D863" t="s">
        <v>17481</v>
      </c>
      <c r="E863" t="s">
        <v>18303</v>
      </c>
      <c r="F863" t="s">
        <v>30052</v>
      </c>
      <c r="G863" t="s">
        <v>30058</v>
      </c>
      <c r="H863" t="s">
        <v>15498</v>
      </c>
      <c r="I863" t="s">
        <v>30081</v>
      </c>
      <c r="J863" t="s">
        <v>30863</v>
      </c>
      <c r="K863" t="s">
        <v>39019</v>
      </c>
      <c r="M863" t="s">
        <v>39535</v>
      </c>
      <c r="N863" t="s">
        <v>43166</v>
      </c>
      <c r="O863" t="s">
        <v>43167</v>
      </c>
      <c r="P863">
        <v>0</v>
      </c>
      <c r="Q863">
        <v>1</v>
      </c>
      <c r="R863" t="s">
        <v>43168</v>
      </c>
      <c r="S863" t="s">
        <v>43286</v>
      </c>
      <c r="T863" t="s">
        <v>44784</v>
      </c>
      <c r="U863" t="s">
        <v>45918</v>
      </c>
      <c r="V863" t="s">
        <v>56887</v>
      </c>
      <c r="W863" t="s">
        <v>39535</v>
      </c>
      <c r="X863" t="s">
        <v>43170</v>
      </c>
    </row>
    <row r="864" spans="1:24">
      <c r="A864">
        <f>HYPERLINK("https://www.philgeps.gov.ph/GEPSNONPILOT/Tender/SplashBidNoticeAbstractUI.aspx?menuIndex=3&amp;refID=7087614&amp;Result=3","7087614")</f>
        <v>0</v>
      </c>
      <c r="B864" t="s">
        <v>310</v>
      </c>
      <c r="C864" t="s">
        <v>4255</v>
      </c>
      <c r="D864" t="s">
        <v>17427</v>
      </c>
      <c r="E864" t="s">
        <v>18304</v>
      </c>
      <c r="F864" t="s">
        <v>30052</v>
      </c>
      <c r="G864" t="s">
        <v>30059</v>
      </c>
      <c r="H864" t="s">
        <v>15498</v>
      </c>
      <c r="I864" t="s">
        <v>5961</v>
      </c>
      <c r="J864" t="s">
        <v>30864</v>
      </c>
      <c r="K864" t="s">
        <v>39019</v>
      </c>
      <c r="M864" t="s">
        <v>39605</v>
      </c>
      <c r="N864" t="s">
        <v>43166</v>
      </c>
      <c r="O864" t="s">
        <v>43167</v>
      </c>
      <c r="P864">
        <v>0</v>
      </c>
      <c r="Q864">
        <v>0</v>
      </c>
      <c r="R864" t="s">
        <v>43168</v>
      </c>
      <c r="S864" t="s">
        <v>43286</v>
      </c>
      <c r="T864" t="s">
        <v>44685</v>
      </c>
      <c r="U864" t="s">
        <v>45919</v>
      </c>
      <c r="V864" t="s">
        <v>56919</v>
      </c>
      <c r="W864" t="s">
        <v>39605</v>
      </c>
      <c r="X864" t="s">
        <v>43169</v>
      </c>
    </row>
    <row r="865" spans="1:24">
      <c r="A865">
        <f>HYPERLINK("https://www.philgeps.gov.ph/GEPSNONPILOT/Tender/SplashBidNoticeAbstractUI.aspx?menuIndex=3&amp;refID=7087612&amp;Result=3","7087612")</f>
        <v>0</v>
      </c>
      <c r="B865" t="s">
        <v>310</v>
      </c>
      <c r="C865" t="s">
        <v>4256</v>
      </c>
      <c r="D865" t="s">
        <v>17427</v>
      </c>
      <c r="E865" t="s">
        <v>18305</v>
      </c>
      <c r="F865" t="s">
        <v>30052</v>
      </c>
      <c r="G865" t="s">
        <v>30059</v>
      </c>
      <c r="H865" t="s">
        <v>15498</v>
      </c>
      <c r="I865" t="s">
        <v>5961</v>
      </c>
      <c r="J865" t="s">
        <v>30865</v>
      </c>
      <c r="K865" t="s">
        <v>39019</v>
      </c>
      <c r="M865" t="s">
        <v>39605</v>
      </c>
      <c r="N865" t="s">
        <v>43166</v>
      </c>
      <c r="O865" t="s">
        <v>43167</v>
      </c>
      <c r="P865">
        <v>0</v>
      </c>
      <c r="Q865">
        <v>1</v>
      </c>
      <c r="R865" t="s">
        <v>43168</v>
      </c>
      <c r="S865" t="s">
        <v>43286</v>
      </c>
      <c r="T865" t="s">
        <v>44781</v>
      </c>
      <c r="U865" t="s">
        <v>45920</v>
      </c>
      <c r="W865" t="s">
        <v>39605</v>
      </c>
      <c r="X865" t="s">
        <v>43169</v>
      </c>
    </row>
    <row r="866" spans="1:24">
      <c r="A866">
        <f>HYPERLINK("https://www.philgeps.gov.ph/GEPSNONPILOT/Tender/SplashBidNoticeAbstractUI.aspx?menuIndex=3&amp;refID=7087611&amp;Result=3","7087611")</f>
        <v>0</v>
      </c>
      <c r="B866" t="s">
        <v>379</v>
      </c>
      <c r="C866" t="s">
        <v>4257</v>
      </c>
      <c r="D866" t="s">
        <v>17489</v>
      </c>
      <c r="E866" t="s">
        <v>18306</v>
      </c>
      <c r="F866" t="s">
        <v>30052</v>
      </c>
      <c r="G866" t="s">
        <v>30058</v>
      </c>
      <c r="H866" t="s">
        <v>15498</v>
      </c>
      <c r="I866" t="s">
        <v>30080</v>
      </c>
      <c r="J866" t="s">
        <v>30856</v>
      </c>
      <c r="K866" t="s">
        <v>39029</v>
      </c>
      <c r="M866" t="s">
        <v>39677</v>
      </c>
      <c r="N866" t="s">
        <v>43166</v>
      </c>
      <c r="O866" t="s">
        <v>43167</v>
      </c>
      <c r="P866">
        <v>0</v>
      </c>
      <c r="Q866">
        <v>12</v>
      </c>
      <c r="R866" t="s">
        <v>43168</v>
      </c>
      <c r="S866" t="s">
        <v>43286</v>
      </c>
      <c r="T866" t="s">
        <v>44702</v>
      </c>
      <c r="U866" t="s">
        <v>45921</v>
      </c>
      <c r="W866" t="s">
        <v>39677</v>
      </c>
      <c r="X866" t="s">
        <v>43169</v>
      </c>
    </row>
    <row r="867" spans="1:24">
      <c r="A867">
        <f>HYPERLINK("https://www.philgeps.gov.ph/GEPSNONPILOT/Tender/SplashBidNoticeAbstractUI.aspx?menuIndex=3&amp;refID=7087609&amp;Result=3","7087609")</f>
        <v>0</v>
      </c>
      <c r="B867" t="s">
        <v>380</v>
      </c>
      <c r="C867" t="s">
        <v>4258</v>
      </c>
      <c r="D867" t="s">
        <v>17415</v>
      </c>
      <c r="E867" t="s">
        <v>18307</v>
      </c>
      <c r="F867" t="s">
        <v>30052</v>
      </c>
      <c r="G867" t="s">
        <v>30059</v>
      </c>
      <c r="H867" t="s">
        <v>15498</v>
      </c>
      <c r="I867" t="s">
        <v>8323</v>
      </c>
      <c r="J867" t="s">
        <v>30866</v>
      </c>
      <c r="K867" t="s">
        <v>39017</v>
      </c>
      <c r="M867" t="s">
        <v>39678</v>
      </c>
      <c r="N867" t="s">
        <v>43166</v>
      </c>
      <c r="O867" t="s">
        <v>43167</v>
      </c>
      <c r="P867">
        <v>0</v>
      </c>
      <c r="Q867">
        <v>7</v>
      </c>
      <c r="R867" t="s">
        <v>43168</v>
      </c>
      <c r="S867" t="s">
        <v>43286</v>
      </c>
      <c r="T867" t="s">
        <v>44720</v>
      </c>
      <c r="U867" t="s">
        <v>45922</v>
      </c>
      <c r="V867" t="s">
        <v>56920</v>
      </c>
      <c r="W867" t="s">
        <v>39678</v>
      </c>
      <c r="X867" t="s">
        <v>43169</v>
      </c>
    </row>
    <row r="868" spans="1:24">
      <c r="A868">
        <f>HYPERLINK("https://www.philgeps.gov.ph/GEPSNONPILOT/Tender/SplashBidNoticeAbstractUI.aspx?menuIndex=3&amp;refID=7087625&amp;Result=3","7087625")</f>
        <v>0</v>
      </c>
      <c r="B868" t="s">
        <v>381</v>
      </c>
      <c r="C868" t="s">
        <v>4259</v>
      </c>
      <c r="D868" t="s">
        <v>17449</v>
      </c>
      <c r="E868" t="s">
        <v>18308</v>
      </c>
      <c r="F868" t="s">
        <v>30052</v>
      </c>
      <c r="G868" t="s">
        <v>30058</v>
      </c>
      <c r="H868" t="s">
        <v>30067</v>
      </c>
      <c r="I868" t="s">
        <v>3693</v>
      </c>
      <c r="J868" t="s">
        <v>30230</v>
      </c>
      <c r="K868" t="s">
        <v>39029</v>
      </c>
      <c r="M868" t="s">
        <v>39679</v>
      </c>
      <c r="N868" t="s">
        <v>43166</v>
      </c>
      <c r="O868" t="s">
        <v>43167</v>
      </c>
      <c r="P868">
        <v>0</v>
      </c>
      <c r="Q868">
        <v>0</v>
      </c>
      <c r="R868" t="s">
        <v>43168</v>
      </c>
      <c r="S868" t="s">
        <v>43286</v>
      </c>
      <c r="T868" t="s">
        <v>44718</v>
      </c>
      <c r="U868" t="s">
        <v>45923</v>
      </c>
      <c r="W868" t="s">
        <v>39679</v>
      </c>
      <c r="X868" t="s">
        <v>43169</v>
      </c>
    </row>
    <row r="869" spans="1:24">
      <c r="A869">
        <f>HYPERLINK("https://www.philgeps.gov.ph/GEPSNONPILOT/Tender/SplashBidNoticeAbstractUI.aspx?menuIndex=3&amp;refID=7087600&amp;Result=3","7087600")</f>
        <v>0</v>
      </c>
      <c r="B869" t="s">
        <v>382</v>
      </c>
      <c r="C869" t="s">
        <v>4260</v>
      </c>
      <c r="D869" t="s">
        <v>17474</v>
      </c>
      <c r="E869" t="s">
        <v>18309</v>
      </c>
      <c r="F869" t="s">
        <v>30052</v>
      </c>
      <c r="G869" t="s">
        <v>30058</v>
      </c>
      <c r="H869" t="s">
        <v>15498</v>
      </c>
      <c r="I869" t="s">
        <v>30136</v>
      </c>
      <c r="J869" t="s">
        <v>30707</v>
      </c>
      <c r="K869" t="s">
        <v>39025</v>
      </c>
      <c r="M869" t="s">
        <v>39680</v>
      </c>
      <c r="N869" t="s">
        <v>43166</v>
      </c>
      <c r="O869" t="s">
        <v>43167</v>
      </c>
      <c r="P869">
        <v>0</v>
      </c>
      <c r="Q869">
        <v>0</v>
      </c>
      <c r="R869" t="s">
        <v>43168</v>
      </c>
      <c r="S869" t="s">
        <v>43286</v>
      </c>
      <c r="T869" t="s">
        <v>44687</v>
      </c>
      <c r="U869" t="s">
        <v>45924</v>
      </c>
      <c r="W869" t="s">
        <v>39680</v>
      </c>
      <c r="X869" t="s">
        <v>43169</v>
      </c>
    </row>
    <row r="870" spans="1:24">
      <c r="A870">
        <f>HYPERLINK("https://www.philgeps.gov.ph/GEPSNONPILOT/Tender/SplashBidNoticeAbstractUI.aspx?menuIndex=3&amp;refID=7087617&amp;Result=3","7087617")</f>
        <v>0</v>
      </c>
      <c r="B870" t="s">
        <v>383</v>
      </c>
      <c r="C870" t="s">
        <v>4261</v>
      </c>
      <c r="D870" t="s">
        <v>17482</v>
      </c>
      <c r="E870" t="s">
        <v>18310</v>
      </c>
      <c r="F870" t="s">
        <v>30052</v>
      </c>
      <c r="G870" t="s">
        <v>30058</v>
      </c>
      <c r="H870" t="s">
        <v>15498</v>
      </c>
      <c r="I870" t="s">
        <v>3736</v>
      </c>
      <c r="J870" t="s">
        <v>30867</v>
      </c>
      <c r="K870" t="s">
        <v>39023</v>
      </c>
      <c r="M870" t="s">
        <v>39681</v>
      </c>
      <c r="N870" t="s">
        <v>43166</v>
      </c>
      <c r="O870" t="s">
        <v>43167</v>
      </c>
      <c r="P870">
        <v>0</v>
      </c>
      <c r="Q870">
        <v>0</v>
      </c>
      <c r="R870" t="s">
        <v>43168</v>
      </c>
      <c r="S870" t="s">
        <v>43286</v>
      </c>
      <c r="T870" t="s">
        <v>44718</v>
      </c>
      <c r="U870" t="s">
        <v>45925</v>
      </c>
      <c r="W870" t="s">
        <v>39681</v>
      </c>
      <c r="X870" t="s">
        <v>43169</v>
      </c>
    </row>
    <row r="871" spans="1:24">
      <c r="A871">
        <f>HYPERLINK("https://www.philgeps.gov.ph/GEPSNONPILOT/Tender/SplashBidNoticeAbstractUI.aspx?menuIndex=3&amp;refID=7087565&amp;Result=3","7087565")</f>
        <v>0</v>
      </c>
      <c r="B871" t="s">
        <v>245</v>
      </c>
      <c r="C871" t="s">
        <v>4262</v>
      </c>
      <c r="D871" t="s">
        <v>17481</v>
      </c>
      <c r="E871" t="s">
        <v>18311</v>
      </c>
      <c r="F871" t="s">
        <v>30052</v>
      </c>
      <c r="G871" t="s">
        <v>30058</v>
      </c>
      <c r="H871" t="s">
        <v>15498</v>
      </c>
      <c r="I871" t="s">
        <v>30094</v>
      </c>
      <c r="J871" t="s">
        <v>30868</v>
      </c>
      <c r="K871" t="s">
        <v>39019</v>
      </c>
      <c r="M871" t="s">
        <v>39535</v>
      </c>
      <c r="N871" t="s">
        <v>43166</v>
      </c>
      <c r="O871" t="s">
        <v>43167</v>
      </c>
      <c r="P871">
        <v>0</v>
      </c>
      <c r="Q871">
        <v>0</v>
      </c>
      <c r="R871" t="s">
        <v>43168</v>
      </c>
      <c r="S871" t="s">
        <v>43286</v>
      </c>
      <c r="T871" t="s">
        <v>44784</v>
      </c>
      <c r="U871" t="s">
        <v>45926</v>
      </c>
      <c r="V871" t="s">
        <v>56887</v>
      </c>
      <c r="W871" t="s">
        <v>39535</v>
      </c>
      <c r="X871" t="s">
        <v>43170</v>
      </c>
    </row>
    <row r="872" spans="1:24">
      <c r="A872">
        <f>HYPERLINK("https://www.philgeps.gov.ph/GEPSNONPILOT/Tender/SplashBidNoticeAbstractUI.aspx?menuIndex=3&amp;refID=7087620&amp;Result=3","7087620")</f>
        <v>0</v>
      </c>
      <c r="B872" t="s">
        <v>383</v>
      </c>
      <c r="C872" t="s">
        <v>4263</v>
      </c>
      <c r="D872" t="s">
        <v>17482</v>
      </c>
      <c r="E872" t="s">
        <v>18312</v>
      </c>
      <c r="F872" t="s">
        <v>30052</v>
      </c>
      <c r="G872" t="s">
        <v>30058</v>
      </c>
      <c r="H872" t="s">
        <v>15498</v>
      </c>
      <c r="I872" t="s">
        <v>3736</v>
      </c>
      <c r="J872" t="s">
        <v>30869</v>
      </c>
      <c r="K872" t="s">
        <v>39046</v>
      </c>
      <c r="M872" t="s">
        <v>39681</v>
      </c>
      <c r="N872" t="s">
        <v>43166</v>
      </c>
      <c r="O872" t="s">
        <v>43167</v>
      </c>
      <c r="P872">
        <v>0</v>
      </c>
      <c r="Q872">
        <v>0</v>
      </c>
      <c r="R872" t="s">
        <v>43168</v>
      </c>
      <c r="S872" t="s">
        <v>43286</v>
      </c>
      <c r="T872" t="s">
        <v>44718</v>
      </c>
      <c r="U872" t="s">
        <v>45927</v>
      </c>
      <c r="W872" t="s">
        <v>39681</v>
      </c>
      <c r="X872" t="s">
        <v>43169</v>
      </c>
    </row>
    <row r="873" spans="1:24">
      <c r="A873">
        <f>HYPERLINK("https://www.philgeps.gov.ph/GEPSNONPILOT/Tender/SplashBidNoticeAbstractUI.aspx?menuIndex=3&amp;refID=7087608&amp;Result=3","7087608")</f>
        <v>0</v>
      </c>
      <c r="B873" t="s">
        <v>384</v>
      </c>
      <c r="C873" t="s">
        <v>4264</v>
      </c>
      <c r="D873" t="s">
        <v>17415</v>
      </c>
      <c r="E873" t="s">
        <v>18313</v>
      </c>
      <c r="F873" t="s">
        <v>30052</v>
      </c>
      <c r="G873" t="s">
        <v>30059</v>
      </c>
      <c r="H873" t="s">
        <v>15498</v>
      </c>
      <c r="I873" t="s">
        <v>8323</v>
      </c>
      <c r="J873" t="s">
        <v>30870</v>
      </c>
      <c r="K873" t="s">
        <v>39017</v>
      </c>
      <c r="M873" t="s">
        <v>39682</v>
      </c>
      <c r="N873" t="s">
        <v>43166</v>
      </c>
      <c r="O873" t="s">
        <v>43167</v>
      </c>
      <c r="P873">
        <v>0</v>
      </c>
      <c r="Q873">
        <v>8</v>
      </c>
      <c r="R873" t="s">
        <v>43168</v>
      </c>
      <c r="S873" t="s">
        <v>43286</v>
      </c>
      <c r="T873" t="s">
        <v>44720</v>
      </c>
      <c r="U873" t="s">
        <v>45928</v>
      </c>
      <c r="W873" t="s">
        <v>39682</v>
      </c>
      <c r="X873" t="s">
        <v>43169</v>
      </c>
    </row>
    <row r="874" spans="1:24">
      <c r="A874">
        <f>HYPERLINK("https://www.philgeps.gov.ph/GEPSNONPILOT/Tender/SplashBidNoticeAbstractUI.aspx?menuIndex=3&amp;refID=7087610&amp;Result=3","7087610")</f>
        <v>0</v>
      </c>
      <c r="B874" t="s">
        <v>385</v>
      </c>
      <c r="C874" t="s">
        <v>4265</v>
      </c>
      <c r="D874" t="s">
        <v>17415</v>
      </c>
      <c r="E874" t="s">
        <v>18314</v>
      </c>
      <c r="F874" t="s">
        <v>30052</v>
      </c>
      <c r="G874" t="s">
        <v>30059</v>
      </c>
      <c r="H874" t="s">
        <v>15498</v>
      </c>
      <c r="I874" t="s">
        <v>8323</v>
      </c>
      <c r="J874" t="s">
        <v>30871</v>
      </c>
      <c r="K874" t="s">
        <v>39017</v>
      </c>
      <c r="M874" t="s">
        <v>39683</v>
      </c>
      <c r="N874" t="s">
        <v>43166</v>
      </c>
      <c r="O874" t="s">
        <v>43167</v>
      </c>
      <c r="P874">
        <v>0</v>
      </c>
      <c r="Q874">
        <v>8</v>
      </c>
      <c r="R874" t="s">
        <v>43168</v>
      </c>
      <c r="S874" t="s">
        <v>43286</v>
      </c>
      <c r="T874" t="s">
        <v>44720</v>
      </c>
      <c r="U874" t="s">
        <v>45929</v>
      </c>
      <c r="V874" t="s">
        <v>56921</v>
      </c>
      <c r="W874" t="s">
        <v>39683</v>
      </c>
      <c r="X874" t="s">
        <v>43169</v>
      </c>
    </row>
    <row r="875" spans="1:24">
      <c r="A875">
        <f>HYPERLINK("https://www.philgeps.gov.ph/GEPSNONPILOT/Tender/SplashBidNoticeAbstractUI.aspx?menuIndex=3&amp;refID=7087604&amp;Result=3","7087604")</f>
        <v>0</v>
      </c>
      <c r="B875" t="s">
        <v>379</v>
      </c>
      <c r="C875" t="s">
        <v>4266</v>
      </c>
      <c r="D875" t="s">
        <v>17489</v>
      </c>
      <c r="E875" t="s">
        <v>18315</v>
      </c>
      <c r="F875" t="s">
        <v>30052</v>
      </c>
      <c r="G875" t="s">
        <v>30058</v>
      </c>
      <c r="H875" t="s">
        <v>15498</v>
      </c>
      <c r="I875" t="s">
        <v>30084</v>
      </c>
      <c r="J875" t="s">
        <v>30872</v>
      </c>
      <c r="K875" t="s">
        <v>39029</v>
      </c>
      <c r="M875" t="s">
        <v>39677</v>
      </c>
      <c r="N875" t="s">
        <v>43166</v>
      </c>
      <c r="O875" t="s">
        <v>43167</v>
      </c>
      <c r="P875">
        <v>0</v>
      </c>
      <c r="Q875">
        <v>5</v>
      </c>
      <c r="R875" t="s">
        <v>43168</v>
      </c>
      <c r="S875" t="s">
        <v>43286</v>
      </c>
      <c r="T875" t="s">
        <v>44702</v>
      </c>
      <c r="U875" t="s">
        <v>45930</v>
      </c>
      <c r="W875" t="s">
        <v>39677</v>
      </c>
      <c r="X875" t="s">
        <v>43169</v>
      </c>
    </row>
    <row r="876" spans="1:24">
      <c r="A876">
        <f>HYPERLINK("https://www.philgeps.gov.ph/GEPSNONPILOT/Tender/SplashBidNoticeAbstractUI.aspx?menuIndex=3&amp;refID=7087601&amp;Result=3","7087601")</f>
        <v>0</v>
      </c>
      <c r="B876" t="s">
        <v>386</v>
      </c>
      <c r="C876" t="s">
        <v>4267</v>
      </c>
      <c r="D876" t="s">
        <v>17417</v>
      </c>
      <c r="E876" t="s">
        <v>18316</v>
      </c>
      <c r="F876" t="s">
        <v>30052</v>
      </c>
      <c r="G876" t="s">
        <v>30058</v>
      </c>
      <c r="H876" t="s">
        <v>15498</v>
      </c>
      <c r="I876" t="s">
        <v>30114</v>
      </c>
      <c r="J876" t="s">
        <v>30873</v>
      </c>
      <c r="K876" t="s">
        <v>39029</v>
      </c>
      <c r="M876" t="s">
        <v>39684</v>
      </c>
      <c r="N876" t="s">
        <v>43166</v>
      </c>
      <c r="O876" t="s">
        <v>43167</v>
      </c>
      <c r="P876">
        <v>0</v>
      </c>
      <c r="Q876">
        <v>7</v>
      </c>
      <c r="R876" t="s">
        <v>43168</v>
      </c>
      <c r="S876" t="s">
        <v>43286</v>
      </c>
      <c r="T876" t="s">
        <v>44709</v>
      </c>
      <c r="U876" t="s">
        <v>45931</v>
      </c>
      <c r="W876" t="s">
        <v>39684</v>
      </c>
      <c r="X876" t="s">
        <v>43169</v>
      </c>
    </row>
    <row r="877" spans="1:24">
      <c r="A877">
        <f>HYPERLINK("https://www.philgeps.gov.ph/GEPSNONPILOT/Tender/SplashBidNoticeAbstractUI.aspx?menuIndex=3&amp;refID=7087623&amp;Result=3","7087623")</f>
        <v>0</v>
      </c>
      <c r="B877" t="s">
        <v>383</v>
      </c>
      <c r="C877" t="s">
        <v>4268</v>
      </c>
      <c r="D877" t="s">
        <v>17482</v>
      </c>
      <c r="E877" t="s">
        <v>18317</v>
      </c>
      <c r="F877" t="s">
        <v>30052</v>
      </c>
      <c r="G877" t="s">
        <v>30058</v>
      </c>
      <c r="H877" t="s">
        <v>15498</v>
      </c>
      <c r="I877" t="s">
        <v>3736</v>
      </c>
      <c r="J877" t="s">
        <v>30874</v>
      </c>
      <c r="K877" t="s">
        <v>39046</v>
      </c>
      <c r="M877" t="s">
        <v>39681</v>
      </c>
      <c r="N877" t="s">
        <v>43166</v>
      </c>
      <c r="O877" t="s">
        <v>43167</v>
      </c>
      <c r="P877">
        <v>0</v>
      </c>
      <c r="Q877">
        <v>0</v>
      </c>
      <c r="R877" t="s">
        <v>43168</v>
      </c>
      <c r="S877" t="s">
        <v>43286</v>
      </c>
      <c r="T877" t="s">
        <v>44679</v>
      </c>
      <c r="U877" t="s">
        <v>45932</v>
      </c>
      <c r="W877" t="s">
        <v>39681</v>
      </c>
      <c r="X877" t="s">
        <v>43169</v>
      </c>
    </row>
    <row r="878" spans="1:24">
      <c r="A878">
        <f>HYPERLINK("https://www.philgeps.gov.ph/GEPSNONPILOT/Tender/SplashBidNoticeAbstractUI.aspx?menuIndex=3&amp;refID=7087613&amp;Result=3","7087613")</f>
        <v>0</v>
      </c>
      <c r="B878" t="s">
        <v>377</v>
      </c>
      <c r="C878" t="s">
        <v>4269</v>
      </c>
      <c r="D878" t="s">
        <v>17447</v>
      </c>
      <c r="E878" t="s">
        <v>18318</v>
      </c>
      <c r="F878" t="s">
        <v>30052</v>
      </c>
      <c r="G878" t="s">
        <v>30059</v>
      </c>
      <c r="H878" t="s">
        <v>15498</v>
      </c>
      <c r="I878" t="s">
        <v>8323</v>
      </c>
      <c r="J878" t="s">
        <v>30875</v>
      </c>
      <c r="K878" t="s">
        <v>39029</v>
      </c>
      <c r="M878" t="s">
        <v>39675</v>
      </c>
      <c r="N878" t="s">
        <v>43166</v>
      </c>
      <c r="O878" t="s">
        <v>43167</v>
      </c>
      <c r="P878">
        <v>0</v>
      </c>
      <c r="Q878">
        <v>2</v>
      </c>
      <c r="R878" t="s">
        <v>43168</v>
      </c>
      <c r="S878" t="s">
        <v>43286</v>
      </c>
      <c r="T878" t="s">
        <v>44803</v>
      </c>
      <c r="U878" t="s">
        <v>45933</v>
      </c>
      <c r="W878" t="s">
        <v>39675</v>
      </c>
      <c r="X878" t="s">
        <v>43169</v>
      </c>
    </row>
    <row r="879" spans="1:24">
      <c r="A879">
        <f>HYPERLINK("https://www.philgeps.gov.ph/GEPSNONPILOT/Tender/SplashBidNoticeAbstractUI.aspx?menuIndex=3&amp;refID=7087606&amp;Result=3","7087606")</f>
        <v>0</v>
      </c>
      <c r="B879" t="s">
        <v>386</v>
      </c>
      <c r="C879" t="s">
        <v>4270</v>
      </c>
      <c r="D879" t="s">
        <v>17417</v>
      </c>
      <c r="E879" t="s">
        <v>18319</v>
      </c>
      <c r="F879" t="s">
        <v>30052</v>
      </c>
      <c r="G879" t="s">
        <v>30058</v>
      </c>
      <c r="H879" t="s">
        <v>15498</v>
      </c>
      <c r="I879" t="s">
        <v>30074</v>
      </c>
      <c r="J879" t="s">
        <v>30876</v>
      </c>
      <c r="K879" t="s">
        <v>39029</v>
      </c>
      <c r="M879" t="s">
        <v>39684</v>
      </c>
      <c r="N879" t="s">
        <v>43166</v>
      </c>
      <c r="O879" t="s">
        <v>43167</v>
      </c>
      <c r="P879">
        <v>0</v>
      </c>
      <c r="Q879">
        <v>4</v>
      </c>
      <c r="R879" t="s">
        <v>43168</v>
      </c>
      <c r="S879" t="s">
        <v>43286</v>
      </c>
      <c r="T879" t="s">
        <v>44784</v>
      </c>
      <c r="U879" t="s">
        <v>45934</v>
      </c>
      <c r="W879" t="s">
        <v>39684</v>
      </c>
      <c r="X879" t="s">
        <v>43169</v>
      </c>
    </row>
    <row r="880" spans="1:24">
      <c r="A880">
        <f>HYPERLINK("https://www.philgeps.gov.ph/GEPSNONPILOT/Tender/SplashBidNoticeAbstractUI.aspx?menuIndex=3&amp;refID=7087627&amp;Result=3","7087627")</f>
        <v>0</v>
      </c>
      <c r="B880" t="s">
        <v>387</v>
      </c>
      <c r="C880" t="s">
        <v>4271</v>
      </c>
      <c r="D880" t="s">
        <v>17415</v>
      </c>
      <c r="E880" t="s">
        <v>17799</v>
      </c>
      <c r="F880" t="s">
        <v>30052</v>
      </c>
      <c r="G880" t="s">
        <v>30058</v>
      </c>
      <c r="H880" t="s">
        <v>15498</v>
      </c>
      <c r="I880" t="s">
        <v>3852</v>
      </c>
      <c r="J880" t="s">
        <v>30230</v>
      </c>
      <c r="K880" t="s">
        <v>39018</v>
      </c>
      <c r="M880" t="s">
        <v>39685</v>
      </c>
      <c r="N880" t="s">
        <v>43166</v>
      </c>
      <c r="O880" t="s">
        <v>43167</v>
      </c>
      <c r="P880">
        <v>0</v>
      </c>
      <c r="Q880">
        <v>3</v>
      </c>
      <c r="R880" t="s">
        <v>43168</v>
      </c>
      <c r="S880" t="s">
        <v>43286</v>
      </c>
      <c r="T880" t="s">
        <v>44689</v>
      </c>
      <c r="U880" t="s">
        <v>45935</v>
      </c>
      <c r="W880" t="s">
        <v>39685</v>
      </c>
      <c r="X880" t="s">
        <v>43169</v>
      </c>
    </row>
    <row r="881" spans="1:24">
      <c r="A881">
        <f>HYPERLINK("https://www.philgeps.gov.ph/GEPSNONPILOT/Tender/SplashBidNoticeAbstractUI.aspx?menuIndex=3&amp;refID=7087644&amp;Result=3","7087644")</f>
        <v>0</v>
      </c>
      <c r="B881" t="s">
        <v>388</v>
      </c>
      <c r="C881" t="s">
        <v>4272</v>
      </c>
      <c r="D881" t="s">
        <v>17415</v>
      </c>
      <c r="E881" t="s">
        <v>18320</v>
      </c>
      <c r="F881" t="s">
        <v>30052</v>
      </c>
      <c r="G881" t="s">
        <v>30059</v>
      </c>
      <c r="H881" t="s">
        <v>15498</v>
      </c>
      <c r="I881" t="s">
        <v>30085</v>
      </c>
      <c r="J881" t="s">
        <v>30877</v>
      </c>
      <c r="K881" t="s">
        <v>39025</v>
      </c>
      <c r="M881" t="s">
        <v>39686</v>
      </c>
      <c r="N881" t="s">
        <v>43166</v>
      </c>
      <c r="O881" t="s">
        <v>43167</v>
      </c>
      <c r="P881">
        <v>0</v>
      </c>
      <c r="Q881">
        <v>4</v>
      </c>
      <c r="R881" t="s">
        <v>43168</v>
      </c>
      <c r="S881" t="s">
        <v>43286</v>
      </c>
      <c r="T881" t="s">
        <v>44737</v>
      </c>
      <c r="U881" t="s">
        <v>45936</v>
      </c>
      <c r="W881" t="s">
        <v>39686</v>
      </c>
      <c r="X881" t="s">
        <v>43169</v>
      </c>
    </row>
    <row r="882" spans="1:24">
      <c r="A882">
        <f>HYPERLINK("https://www.philgeps.gov.ph/GEPSNONPILOT/Tender/SplashBidNoticeAbstractUI.aspx?menuIndex=3&amp;refID=7087597&amp;Result=3","7087597")</f>
        <v>0</v>
      </c>
      <c r="B882" t="s">
        <v>374</v>
      </c>
      <c r="C882" t="s">
        <v>4273</v>
      </c>
      <c r="D882" t="s">
        <v>17417</v>
      </c>
      <c r="E882" t="s">
        <v>17979</v>
      </c>
      <c r="F882" t="s">
        <v>30052</v>
      </c>
      <c r="G882" t="s">
        <v>30058</v>
      </c>
      <c r="H882" t="s">
        <v>30067</v>
      </c>
      <c r="I882" t="s">
        <v>30068</v>
      </c>
      <c r="J882" t="s">
        <v>30218</v>
      </c>
      <c r="K882" t="s">
        <v>39019</v>
      </c>
      <c r="M882" t="s">
        <v>39672</v>
      </c>
      <c r="N882" t="s">
        <v>43166</v>
      </c>
      <c r="O882" t="s">
        <v>43167</v>
      </c>
      <c r="P882">
        <v>0</v>
      </c>
      <c r="Q882">
        <v>0</v>
      </c>
      <c r="R882" t="s">
        <v>43168</v>
      </c>
      <c r="S882" t="s">
        <v>43286</v>
      </c>
      <c r="T882" t="s">
        <v>44704</v>
      </c>
      <c r="U882" t="s">
        <v>45937</v>
      </c>
      <c r="W882" t="s">
        <v>39672</v>
      </c>
      <c r="X882" t="s">
        <v>43169</v>
      </c>
    </row>
    <row r="883" spans="1:24">
      <c r="A883">
        <f>HYPERLINK("https://www.philgeps.gov.ph/GEPSNONPILOT/Tender/SplashBidNoticeAbstractUI.aspx?menuIndex=3&amp;refID=7087643&amp;Result=3","7087643")</f>
        <v>0</v>
      </c>
      <c r="B883" t="s">
        <v>389</v>
      </c>
      <c r="C883" t="s">
        <v>4274</v>
      </c>
      <c r="E883" t="s">
        <v>18184</v>
      </c>
      <c r="F883" t="s">
        <v>30052</v>
      </c>
      <c r="G883" t="s">
        <v>30058</v>
      </c>
      <c r="H883" t="s">
        <v>15498</v>
      </c>
      <c r="I883" t="s">
        <v>3736</v>
      </c>
      <c r="J883" t="s">
        <v>30878</v>
      </c>
      <c r="K883" t="s">
        <v>39019</v>
      </c>
      <c r="M883" t="s">
        <v>39687</v>
      </c>
      <c r="N883" t="s">
        <v>43166</v>
      </c>
      <c r="O883" t="s">
        <v>43167</v>
      </c>
      <c r="P883">
        <v>0</v>
      </c>
      <c r="Q883">
        <v>0</v>
      </c>
      <c r="R883" t="s">
        <v>43168</v>
      </c>
      <c r="S883" t="s">
        <v>43286</v>
      </c>
      <c r="T883" t="s">
        <v>44804</v>
      </c>
      <c r="U883" t="s">
        <v>45938</v>
      </c>
      <c r="W883" t="s">
        <v>58600</v>
      </c>
      <c r="X883" t="s">
        <v>43169</v>
      </c>
    </row>
    <row r="884" spans="1:24">
      <c r="A884">
        <f>HYPERLINK("https://www.philgeps.gov.ph/GEPSNONPILOT/Tender/SplashBidNoticeAbstractUI.aspx?menuIndex=3&amp;refID=7087642&amp;Result=3","7087642")</f>
        <v>0</v>
      </c>
      <c r="B884" t="s">
        <v>390</v>
      </c>
      <c r="C884" t="s">
        <v>4275</v>
      </c>
      <c r="D884" t="s">
        <v>17415</v>
      </c>
      <c r="E884" t="s">
        <v>18321</v>
      </c>
      <c r="F884" t="s">
        <v>30052</v>
      </c>
      <c r="G884" t="s">
        <v>30059</v>
      </c>
      <c r="H884" t="s">
        <v>15498</v>
      </c>
      <c r="I884" t="s">
        <v>8323</v>
      </c>
      <c r="J884" t="s">
        <v>30879</v>
      </c>
      <c r="K884" t="s">
        <v>39019</v>
      </c>
      <c r="M884" t="s">
        <v>39688</v>
      </c>
      <c r="N884" t="s">
        <v>43166</v>
      </c>
      <c r="O884" t="s">
        <v>43167</v>
      </c>
      <c r="P884">
        <v>0</v>
      </c>
      <c r="Q884">
        <v>17</v>
      </c>
      <c r="R884" t="s">
        <v>43168</v>
      </c>
      <c r="S884" t="s">
        <v>43286</v>
      </c>
      <c r="T884" t="s">
        <v>44678</v>
      </c>
      <c r="U884" t="s">
        <v>45939</v>
      </c>
      <c r="V884" t="s">
        <v>56922</v>
      </c>
      <c r="W884" t="s">
        <v>39688</v>
      </c>
      <c r="X884" t="s">
        <v>43169</v>
      </c>
    </row>
    <row r="885" spans="1:24">
      <c r="A885">
        <f>HYPERLINK("https://www.philgeps.gov.ph/GEPSNONPILOT/Tender/SplashBidNoticeAbstractUI.aspx?menuIndex=3&amp;refID=7087639&amp;Result=3","7087639")</f>
        <v>0</v>
      </c>
      <c r="B885" t="s">
        <v>391</v>
      </c>
      <c r="C885" t="s">
        <v>4276</v>
      </c>
      <c r="D885" t="s">
        <v>17428</v>
      </c>
      <c r="E885" t="s">
        <v>18322</v>
      </c>
      <c r="F885" t="s">
        <v>30052</v>
      </c>
      <c r="G885" t="s">
        <v>30059</v>
      </c>
      <c r="H885" t="s">
        <v>15498</v>
      </c>
      <c r="I885" t="s">
        <v>30076</v>
      </c>
      <c r="J885" t="s">
        <v>30880</v>
      </c>
      <c r="K885" t="s">
        <v>39019</v>
      </c>
      <c r="M885" t="s">
        <v>39689</v>
      </c>
      <c r="N885" t="s">
        <v>43166</v>
      </c>
      <c r="O885" t="s">
        <v>43167</v>
      </c>
      <c r="P885">
        <v>0</v>
      </c>
      <c r="Q885">
        <v>3</v>
      </c>
      <c r="R885" t="s">
        <v>43168</v>
      </c>
      <c r="S885" t="s">
        <v>43286</v>
      </c>
      <c r="T885" t="s">
        <v>44685</v>
      </c>
      <c r="U885" t="s">
        <v>45940</v>
      </c>
      <c r="V885" t="s">
        <v>56923</v>
      </c>
      <c r="W885" t="s">
        <v>39689</v>
      </c>
      <c r="X885" t="s">
        <v>43169</v>
      </c>
    </row>
    <row r="886" spans="1:24">
      <c r="A886">
        <f>HYPERLINK("https://www.philgeps.gov.ph/GEPSNONPILOT/Tender/SplashBidNoticeAbstractUI.aspx?menuIndex=3&amp;refID=7087636&amp;Result=3","7087636")</f>
        <v>0</v>
      </c>
      <c r="B886" t="s">
        <v>389</v>
      </c>
      <c r="C886" t="s">
        <v>4277</v>
      </c>
      <c r="E886" t="s">
        <v>18240</v>
      </c>
      <c r="F886" t="s">
        <v>30052</v>
      </c>
      <c r="G886" t="s">
        <v>30058</v>
      </c>
      <c r="H886" t="s">
        <v>15498</v>
      </c>
      <c r="I886" t="s">
        <v>3736</v>
      </c>
      <c r="J886" t="s">
        <v>30881</v>
      </c>
      <c r="K886" t="s">
        <v>39019</v>
      </c>
      <c r="M886" t="s">
        <v>39687</v>
      </c>
      <c r="N886" t="s">
        <v>43166</v>
      </c>
      <c r="O886" t="s">
        <v>43167</v>
      </c>
      <c r="P886">
        <v>0</v>
      </c>
      <c r="Q886">
        <v>0</v>
      </c>
      <c r="R886" t="s">
        <v>43168</v>
      </c>
      <c r="S886" t="s">
        <v>43286</v>
      </c>
      <c r="T886" t="s">
        <v>44804</v>
      </c>
      <c r="U886" t="s">
        <v>45938</v>
      </c>
      <c r="W886" t="s">
        <v>58600</v>
      </c>
      <c r="X886" t="s">
        <v>43169</v>
      </c>
    </row>
    <row r="887" spans="1:24">
      <c r="A887">
        <f>HYPERLINK("https://www.philgeps.gov.ph/GEPSNONPILOT/Tender/SplashBidNoticeAbstractUI.aspx?menuIndex=3&amp;refID=7087635&amp;Result=3","7087635")</f>
        <v>0</v>
      </c>
      <c r="B887" t="s">
        <v>331</v>
      </c>
      <c r="C887" t="s">
        <v>4278</v>
      </c>
      <c r="D887" t="s">
        <v>17415</v>
      </c>
      <c r="E887" t="s">
        <v>18323</v>
      </c>
      <c r="F887" t="s">
        <v>30052</v>
      </c>
      <c r="G887" t="s">
        <v>30059</v>
      </c>
      <c r="H887" t="s">
        <v>15498</v>
      </c>
      <c r="I887" t="s">
        <v>30100</v>
      </c>
      <c r="J887" t="s">
        <v>30218</v>
      </c>
      <c r="K887" t="s">
        <v>39017</v>
      </c>
      <c r="M887" t="s">
        <v>39627</v>
      </c>
      <c r="N887" t="s">
        <v>43166</v>
      </c>
      <c r="O887" t="s">
        <v>43167</v>
      </c>
      <c r="P887">
        <v>0</v>
      </c>
      <c r="Q887">
        <v>3</v>
      </c>
      <c r="R887" t="s">
        <v>43168</v>
      </c>
      <c r="S887" t="s">
        <v>43286</v>
      </c>
      <c r="T887" t="s">
        <v>44705</v>
      </c>
      <c r="U887" t="s">
        <v>45941</v>
      </c>
      <c r="V887" t="s">
        <v>56898</v>
      </c>
      <c r="W887" t="s">
        <v>39627</v>
      </c>
      <c r="X887" t="s">
        <v>43169</v>
      </c>
    </row>
    <row r="888" spans="1:24">
      <c r="A888">
        <f>HYPERLINK("https://www.philgeps.gov.ph/GEPSNONPILOT/Tender/SplashBidNoticeAbstractUI.aspx?menuIndex=3&amp;refID=7087646&amp;Result=3","7087646")</f>
        <v>0</v>
      </c>
      <c r="B888" t="s">
        <v>381</v>
      </c>
      <c r="C888" t="s">
        <v>4279</v>
      </c>
      <c r="D888" t="s">
        <v>17449</v>
      </c>
      <c r="E888" t="s">
        <v>18308</v>
      </c>
      <c r="F888" t="s">
        <v>30052</v>
      </c>
      <c r="G888" t="s">
        <v>30058</v>
      </c>
      <c r="H888" t="s">
        <v>30067</v>
      </c>
      <c r="I888" t="s">
        <v>3736</v>
      </c>
      <c r="J888" t="s">
        <v>30230</v>
      </c>
      <c r="K888" t="s">
        <v>39019</v>
      </c>
      <c r="M888" t="s">
        <v>39679</v>
      </c>
      <c r="N888" t="s">
        <v>43166</v>
      </c>
      <c r="O888" t="s">
        <v>43167</v>
      </c>
      <c r="P888">
        <v>0</v>
      </c>
      <c r="Q888">
        <v>0</v>
      </c>
      <c r="R888" t="s">
        <v>43168</v>
      </c>
      <c r="S888" t="s">
        <v>43286</v>
      </c>
      <c r="T888" t="s">
        <v>44718</v>
      </c>
      <c r="U888" t="s">
        <v>45942</v>
      </c>
      <c r="W888" t="s">
        <v>39679</v>
      </c>
      <c r="X888" t="s">
        <v>43169</v>
      </c>
    </row>
    <row r="889" spans="1:24">
      <c r="A889">
        <f>HYPERLINK("https://www.philgeps.gov.ph/GEPSNONPILOT/Tender/SplashBidNoticeAbstractUI.aspx?menuIndex=3&amp;refID=7087653&amp;Result=3","7087653")</f>
        <v>0</v>
      </c>
      <c r="B889" t="s">
        <v>392</v>
      </c>
      <c r="C889" t="s">
        <v>4280</v>
      </c>
      <c r="D889" t="s">
        <v>17474</v>
      </c>
      <c r="E889" t="s">
        <v>18324</v>
      </c>
      <c r="F889" t="s">
        <v>30052</v>
      </c>
      <c r="G889" t="s">
        <v>30058</v>
      </c>
      <c r="H889" t="s">
        <v>30067</v>
      </c>
      <c r="I889" t="s">
        <v>3693</v>
      </c>
      <c r="J889" t="s">
        <v>30882</v>
      </c>
      <c r="K889" t="s">
        <v>39065</v>
      </c>
      <c r="M889" t="s">
        <v>39690</v>
      </c>
      <c r="N889" t="s">
        <v>43166</v>
      </c>
      <c r="O889" t="s">
        <v>43167</v>
      </c>
      <c r="P889">
        <v>0</v>
      </c>
      <c r="Q889">
        <v>0</v>
      </c>
      <c r="R889" t="s">
        <v>43168</v>
      </c>
      <c r="S889" t="s">
        <v>43286</v>
      </c>
      <c r="T889" t="s">
        <v>44805</v>
      </c>
      <c r="U889" t="s">
        <v>45943</v>
      </c>
      <c r="V889" t="s">
        <v>56856</v>
      </c>
      <c r="W889" t="s">
        <v>39690</v>
      </c>
      <c r="X889" t="s">
        <v>43169</v>
      </c>
    </row>
    <row r="890" spans="1:24">
      <c r="A890">
        <f>HYPERLINK("https://www.philgeps.gov.ph/GEPSNONPILOT/Tender/SplashBidNoticeAbstractUI.aspx?menuIndex=3&amp;refID=7087640&amp;Result=3","7087640")</f>
        <v>0</v>
      </c>
      <c r="B890" t="s">
        <v>389</v>
      </c>
      <c r="C890" t="s">
        <v>4281</v>
      </c>
      <c r="E890" t="s">
        <v>18173</v>
      </c>
      <c r="F890" t="s">
        <v>30052</v>
      </c>
      <c r="G890" t="s">
        <v>30058</v>
      </c>
      <c r="H890" t="s">
        <v>15498</v>
      </c>
      <c r="I890" t="s">
        <v>3736</v>
      </c>
      <c r="J890" t="s">
        <v>30883</v>
      </c>
      <c r="K890" t="s">
        <v>39019</v>
      </c>
      <c r="M890" t="s">
        <v>39687</v>
      </c>
      <c r="N890" t="s">
        <v>43166</v>
      </c>
      <c r="O890" t="s">
        <v>43167</v>
      </c>
      <c r="P890">
        <v>0</v>
      </c>
      <c r="Q890">
        <v>0</v>
      </c>
      <c r="R890" t="s">
        <v>43168</v>
      </c>
      <c r="S890" t="s">
        <v>43286</v>
      </c>
      <c r="T890" t="s">
        <v>44804</v>
      </c>
      <c r="U890" t="s">
        <v>45944</v>
      </c>
      <c r="W890" t="s">
        <v>58600</v>
      </c>
      <c r="X890" t="s">
        <v>43169</v>
      </c>
    </row>
    <row r="891" spans="1:24">
      <c r="A891">
        <f>HYPERLINK("https://www.philgeps.gov.ph/GEPSNONPILOT/Tender/SplashBidNoticeAbstractUI.aspx?menuIndex=3&amp;refID=7087650&amp;Result=3","7087650")</f>
        <v>0</v>
      </c>
      <c r="B891" t="s">
        <v>393</v>
      </c>
      <c r="C891" t="s">
        <v>4282</v>
      </c>
      <c r="D891" t="s">
        <v>17424</v>
      </c>
      <c r="E891" t="s">
        <v>17760</v>
      </c>
      <c r="F891" t="s">
        <v>30052</v>
      </c>
      <c r="G891" t="s">
        <v>30058</v>
      </c>
      <c r="H891" t="s">
        <v>15498</v>
      </c>
      <c r="I891" t="s">
        <v>3736</v>
      </c>
      <c r="J891" t="s">
        <v>30884</v>
      </c>
      <c r="K891" t="s">
        <v>39019</v>
      </c>
      <c r="M891" t="s">
        <v>39691</v>
      </c>
      <c r="N891" t="s">
        <v>43166</v>
      </c>
      <c r="O891" t="s">
        <v>43167</v>
      </c>
      <c r="P891">
        <v>0</v>
      </c>
      <c r="Q891">
        <v>0</v>
      </c>
      <c r="R891" t="s">
        <v>43168</v>
      </c>
      <c r="S891" t="s">
        <v>43286</v>
      </c>
      <c r="T891" t="s">
        <v>44718</v>
      </c>
      <c r="U891" t="s">
        <v>45945</v>
      </c>
      <c r="W891" t="s">
        <v>39691</v>
      </c>
      <c r="X891" t="s">
        <v>43169</v>
      </c>
    </row>
    <row r="892" spans="1:24">
      <c r="A892">
        <f>HYPERLINK("https://www.philgeps.gov.ph/GEPSNONPILOT/Tender/SplashBidNoticeAbstractUI.aspx?menuIndex=3&amp;refID=7087638&amp;Result=3","7087638")</f>
        <v>0</v>
      </c>
      <c r="B892" t="s">
        <v>394</v>
      </c>
      <c r="C892" t="s">
        <v>4283</v>
      </c>
      <c r="D892" t="s">
        <v>17415</v>
      </c>
      <c r="E892" t="s">
        <v>4283</v>
      </c>
      <c r="F892" t="s">
        <v>30052</v>
      </c>
      <c r="G892" t="s">
        <v>30059</v>
      </c>
      <c r="H892" t="s">
        <v>15498</v>
      </c>
      <c r="I892" t="s">
        <v>30085</v>
      </c>
      <c r="J892" t="s">
        <v>30885</v>
      </c>
      <c r="K892" t="s">
        <v>39053</v>
      </c>
      <c r="M892" t="s">
        <v>39692</v>
      </c>
      <c r="N892" t="s">
        <v>43166</v>
      </c>
      <c r="O892" t="s">
        <v>43167</v>
      </c>
      <c r="P892">
        <v>0</v>
      </c>
      <c r="Q892">
        <v>2</v>
      </c>
      <c r="R892" t="s">
        <v>43168</v>
      </c>
      <c r="S892" t="s">
        <v>43286</v>
      </c>
      <c r="T892" t="s">
        <v>44720</v>
      </c>
      <c r="U892" t="s">
        <v>45946</v>
      </c>
      <c r="W892" t="s">
        <v>39692</v>
      </c>
      <c r="X892" t="s">
        <v>43169</v>
      </c>
    </row>
    <row r="893" spans="1:24">
      <c r="A893">
        <f>HYPERLINK("https://www.philgeps.gov.ph/GEPSNONPILOT/Tender/SplashBidNoticeAbstractUI.aspx?menuIndex=3&amp;refID=7087648&amp;Result=3","7087648")</f>
        <v>0</v>
      </c>
      <c r="B893" t="s">
        <v>391</v>
      </c>
      <c r="C893" t="s">
        <v>4284</v>
      </c>
      <c r="D893" t="s">
        <v>17428</v>
      </c>
      <c r="E893" t="s">
        <v>18325</v>
      </c>
      <c r="F893" t="s">
        <v>30052</v>
      </c>
      <c r="G893" t="s">
        <v>30059</v>
      </c>
      <c r="H893" t="s">
        <v>15498</v>
      </c>
      <c r="I893" t="s">
        <v>30071</v>
      </c>
      <c r="J893" t="s">
        <v>30886</v>
      </c>
      <c r="K893" t="s">
        <v>39019</v>
      </c>
      <c r="M893" t="s">
        <v>39689</v>
      </c>
      <c r="N893" t="s">
        <v>43166</v>
      </c>
      <c r="O893" t="s">
        <v>43167</v>
      </c>
      <c r="P893">
        <v>0</v>
      </c>
      <c r="Q893">
        <v>0</v>
      </c>
      <c r="R893" t="s">
        <v>43168</v>
      </c>
      <c r="S893" t="s">
        <v>43286</v>
      </c>
      <c r="T893" t="s">
        <v>44685</v>
      </c>
      <c r="U893" t="s">
        <v>45947</v>
      </c>
      <c r="V893" t="s">
        <v>56924</v>
      </c>
      <c r="W893" t="s">
        <v>39689</v>
      </c>
      <c r="X893" t="s">
        <v>43169</v>
      </c>
    </row>
    <row r="894" spans="1:24">
      <c r="A894">
        <f>HYPERLINK("https://www.philgeps.gov.ph/GEPSNONPILOT/Tender/SplashBidNoticeAbstractUI.aspx?menuIndex=3&amp;refID=7087634&amp;Result=3","7087634")</f>
        <v>0</v>
      </c>
      <c r="B894" t="s">
        <v>395</v>
      </c>
      <c r="C894" t="s">
        <v>4285</v>
      </c>
      <c r="D894" t="s">
        <v>17415</v>
      </c>
      <c r="E894" t="s">
        <v>17719</v>
      </c>
      <c r="F894" t="s">
        <v>30052</v>
      </c>
      <c r="G894" t="s">
        <v>30058</v>
      </c>
      <c r="H894" t="s">
        <v>15498</v>
      </c>
      <c r="I894" t="s">
        <v>3852</v>
      </c>
      <c r="J894" t="s">
        <v>30594</v>
      </c>
      <c r="K894" t="s">
        <v>39018</v>
      </c>
      <c r="M894" t="s">
        <v>39693</v>
      </c>
      <c r="N894" t="s">
        <v>43166</v>
      </c>
      <c r="O894" t="s">
        <v>43167</v>
      </c>
      <c r="P894">
        <v>0</v>
      </c>
      <c r="Q894">
        <v>3</v>
      </c>
      <c r="R894" t="s">
        <v>43168</v>
      </c>
      <c r="S894" t="s">
        <v>43286</v>
      </c>
      <c r="T894" t="s">
        <v>44689</v>
      </c>
      <c r="U894" t="s">
        <v>45948</v>
      </c>
      <c r="W894" t="s">
        <v>39693</v>
      </c>
      <c r="X894" t="s">
        <v>43169</v>
      </c>
    </row>
    <row r="895" spans="1:24">
      <c r="A895">
        <f>HYPERLINK("https://www.philgeps.gov.ph/GEPSNONPILOT/Tender/SplashBidNoticeAbstractUI.aspx?menuIndex=3&amp;refID=7087631&amp;Result=3","7087631")</f>
        <v>0</v>
      </c>
      <c r="B895" t="s">
        <v>378</v>
      </c>
      <c r="C895" t="s">
        <v>4286</v>
      </c>
      <c r="D895" t="s">
        <v>17467</v>
      </c>
      <c r="E895" t="s">
        <v>18326</v>
      </c>
      <c r="F895" t="s">
        <v>30052</v>
      </c>
      <c r="G895" t="s">
        <v>30062</v>
      </c>
      <c r="H895" t="s">
        <v>15498</v>
      </c>
      <c r="I895" t="s">
        <v>30070</v>
      </c>
      <c r="J895" t="s">
        <v>30887</v>
      </c>
      <c r="K895" t="s">
        <v>39018</v>
      </c>
      <c r="M895" t="s">
        <v>39676</v>
      </c>
      <c r="N895" t="s">
        <v>43166</v>
      </c>
      <c r="O895" t="s">
        <v>43167</v>
      </c>
      <c r="P895">
        <v>0</v>
      </c>
      <c r="Q895">
        <v>3</v>
      </c>
      <c r="R895" t="s">
        <v>43168</v>
      </c>
      <c r="S895" t="s">
        <v>43286</v>
      </c>
      <c r="T895" t="s">
        <v>44720</v>
      </c>
      <c r="U895" t="s">
        <v>45949</v>
      </c>
      <c r="W895" t="s">
        <v>39676</v>
      </c>
      <c r="X895" t="s">
        <v>43169</v>
      </c>
    </row>
    <row r="896" spans="1:24">
      <c r="A896">
        <f>HYPERLINK("https://www.philgeps.gov.ph/GEPSNONPILOT/Tender/SplashBidNoticeAbstractUI.aspx?menuIndex=3&amp;refID=7087630&amp;Result=3","7087630")</f>
        <v>0</v>
      </c>
      <c r="B896" t="s">
        <v>396</v>
      </c>
      <c r="C896" t="s">
        <v>4287</v>
      </c>
      <c r="D896" t="s">
        <v>17444</v>
      </c>
      <c r="E896" t="s">
        <v>18327</v>
      </c>
      <c r="F896" t="s">
        <v>30052</v>
      </c>
      <c r="G896" t="s">
        <v>30058</v>
      </c>
      <c r="H896" t="s">
        <v>15498</v>
      </c>
      <c r="I896" t="s">
        <v>30076</v>
      </c>
      <c r="J896" t="s">
        <v>30888</v>
      </c>
      <c r="K896" t="s">
        <v>39046</v>
      </c>
      <c r="M896" t="s">
        <v>39694</v>
      </c>
      <c r="N896" t="s">
        <v>43166</v>
      </c>
      <c r="O896" t="s">
        <v>43167</v>
      </c>
      <c r="P896">
        <v>0</v>
      </c>
      <c r="Q896">
        <v>11</v>
      </c>
      <c r="R896" t="s">
        <v>43168</v>
      </c>
      <c r="S896" t="s">
        <v>43286</v>
      </c>
      <c r="T896" t="s">
        <v>44729</v>
      </c>
      <c r="U896" t="s">
        <v>45950</v>
      </c>
      <c r="W896" t="s">
        <v>39694</v>
      </c>
      <c r="X896" t="s">
        <v>43169</v>
      </c>
    </row>
    <row r="897" spans="1:24">
      <c r="A897">
        <f>HYPERLINK("https://www.philgeps.gov.ph/GEPSNONPILOT/Tender/SplashBidNoticeAbstractUI.aspx?menuIndex=3&amp;refID=7087628&amp;Result=3","7087628")</f>
        <v>0</v>
      </c>
      <c r="B897" t="s">
        <v>397</v>
      </c>
      <c r="C897" t="s">
        <v>4288</v>
      </c>
      <c r="D897" t="s">
        <v>17484</v>
      </c>
      <c r="E897" t="s">
        <v>18328</v>
      </c>
      <c r="F897" t="s">
        <v>30052</v>
      </c>
      <c r="G897" t="s">
        <v>30061</v>
      </c>
      <c r="H897" t="s">
        <v>15498</v>
      </c>
      <c r="I897" t="s">
        <v>8323</v>
      </c>
      <c r="J897" t="s">
        <v>30889</v>
      </c>
      <c r="K897" t="s">
        <v>39018</v>
      </c>
      <c r="M897" t="s">
        <v>39695</v>
      </c>
      <c r="N897" t="s">
        <v>43166</v>
      </c>
      <c r="O897" t="s">
        <v>43167</v>
      </c>
      <c r="P897">
        <v>0</v>
      </c>
      <c r="Q897">
        <v>0</v>
      </c>
      <c r="R897" t="s">
        <v>43168</v>
      </c>
      <c r="S897" t="s">
        <v>43286</v>
      </c>
      <c r="T897" t="s">
        <v>44734</v>
      </c>
      <c r="U897" t="s">
        <v>45951</v>
      </c>
      <c r="W897" t="s">
        <v>39695</v>
      </c>
      <c r="X897" t="s">
        <v>43169</v>
      </c>
    </row>
    <row r="898" spans="1:24">
      <c r="A898">
        <f>HYPERLINK("https://www.philgeps.gov.ph/GEPSNONPILOT/Tender/SplashBidNoticeAbstractUI.aspx?menuIndex=3&amp;refID=7087633&amp;Result=3","7087633")</f>
        <v>0</v>
      </c>
      <c r="B898" t="s">
        <v>296</v>
      </c>
      <c r="C898" t="s">
        <v>4289</v>
      </c>
      <c r="D898" t="s">
        <v>17462</v>
      </c>
      <c r="E898" t="s">
        <v>18329</v>
      </c>
      <c r="F898" t="s">
        <v>30052</v>
      </c>
      <c r="G898" t="s">
        <v>30059</v>
      </c>
      <c r="H898" t="s">
        <v>15498</v>
      </c>
      <c r="I898" t="s">
        <v>4119</v>
      </c>
      <c r="J898" t="s">
        <v>30252</v>
      </c>
      <c r="K898" t="s">
        <v>39034</v>
      </c>
      <c r="M898" t="s">
        <v>39696</v>
      </c>
      <c r="N898" t="s">
        <v>43166</v>
      </c>
      <c r="O898" t="s">
        <v>43167</v>
      </c>
      <c r="P898">
        <v>0</v>
      </c>
      <c r="Q898">
        <v>2</v>
      </c>
      <c r="R898" t="s">
        <v>43168</v>
      </c>
      <c r="S898" t="s">
        <v>43286</v>
      </c>
      <c r="T898" t="s">
        <v>44691</v>
      </c>
      <c r="U898" t="s">
        <v>45952</v>
      </c>
      <c r="V898" t="s">
        <v>56925</v>
      </c>
      <c r="W898" t="s">
        <v>39696</v>
      </c>
      <c r="X898" t="s">
        <v>43169</v>
      </c>
    </row>
    <row r="899" spans="1:24">
      <c r="A899">
        <f>HYPERLINK("https://www.philgeps.gov.ph/GEPSNONPILOT/Tender/SplashBidNoticeAbstractUI.aspx?menuIndex=3&amp;refID=7087668&amp;Result=3","7087668")</f>
        <v>0</v>
      </c>
      <c r="B899" t="s">
        <v>398</v>
      </c>
      <c r="C899" t="s">
        <v>4290</v>
      </c>
      <c r="D899" t="s">
        <v>17483</v>
      </c>
      <c r="E899" t="s">
        <v>18330</v>
      </c>
      <c r="F899" t="s">
        <v>30056</v>
      </c>
      <c r="G899" t="s">
        <v>30061</v>
      </c>
      <c r="H899" t="s">
        <v>30067</v>
      </c>
      <c r="I899" t="s">
        <v>30073</v>
      </c>
      <c r="J899" t="s">
        <v>30890</v>
      </c>
      <c r="K899" t="s">
        <v>39025</v>
      </c>
      <c r="M899" t="s">
        <v>39697</v>
      </c>
      <c r="N899" t="s">
        <v>43166</v>
      </c>
      <c r="O899" t="s">
        <v>43167</v>
      </c>
      <c r="P899">
        <v>0</v>
      </c>
      <c r="Q899">
        <v>0</v>
      </c>
      <c r="R899" t="s">
        <v>43168</v>
      </c>
      <c r="S899" t="s">
        <v>43286</v>
      </c>
      <c r="T899" t="s">
        <v>44724</v>
      </c>
      <c r="U899" t="s">
        <v>45953</v>
      </c>
      <c r="W899" t="s">
        <v>39697</v>
      </c>
      <c r="X899" t="s">
        <v>43169</v>
      </c>
    </row>
    <row r="900" spans="1:24">
      <c r="A900">
        <f>HYPERLINK("https://www.philgeps.gov.ph/GEPSNONPILOT/Tender/SplashBidNoticeAbstractUI.aspx?menuIndex=3&amp;refID=7087657&amp;Result=3","7087657")</f>
        <v>0</v>
      </c>
      <c r="B900" t="s">
        <v>399</v>
      </c>
      <c r="C900" t="s">
        <v>4291</v>
      </c>
      <c r="D900" t="s">
        <v>17453</v>
      </c>
      <c r="E900" t="s">
        <v>18331</v>
      </c>
      <c r="F900" t="s">
        <v>30052</v>
      </c>
      <c r="G900" t="s">
        <v>30059</v>
      </c>
      <c r="H900" t="s">
        <v>15498</v>
      </c>
      <c r="I900" t="s">
        <v>6304</v>
      </c>
      <c r="J900" t="s">
        <v>30667</v>
      </c>
      <c r="K900" t="s">
        <v>39046</v>
      </c>
      <c r="M900" t="s">
        <v>39698</v>
      </c>
      <c r="N900" t="s">
        <v>43166</v>
      </c>
      <c r="O900" t="s">
        <v>43167</v>
      </c>
      <c r="P900">
        <v>0</v>
      </c>
      <c r="Q900">
        <v>4</v>
      </c>
      <c r="R900" t="s">
        <v>43168</v>
      </c>
      <c r="S900" t="s">
        <v>43286</v>
      </c>
      <c r="T900" t="s">
        <v>44685</v>
      </c>
      <c r="U900" t="s">
        <v>45954</v>
      </c>
      <c r="V900" t="s">
        <v>56926</v>
      </c>
      <c r="W900" t="s">
        <v>39698</v>
      </c>
      <c r="X900" t="s">
        <v>43169</v>
      </c>
    </row>
    <row r="901" spans="1:24">
      <c r="A901">
        <f>HYPERLINK("https://www.philgeps.gov.ph/GEPSNONPILOT/Tender/SplashBidNoticeAbstractUI.aspx?menuIndex=3&amp;refID=7087665&amp;Result=3","7087665")</f>
        <v>0</v>
      </c>
      <c r="B901" t="s">
        <v>398</v>
      </c>
      <c r="C901" t="s">
        <v>4292</v>
      </c>
      <c r="D901" t="s">
        <v>17483</v>
      </c>
      <c r="E901" t="s">
        <v>18332</v>
      </c>
      <c r="F901" t="s">
        <v>30056</v>
      </c>
      <c r="G901" t="s">
        <v>30061</v>
      </c>
      <c r="H901" t="s">
        <v>30069</v>
      </c>
      <c r="I901" t="s">
        <v>30099</v>
      </c>
      <c r="J901" t="s">
        <v>30891</v>
      </c>
      <c r="K901" t="s">
        <v>39019</v>
      </c>
      <c r="M901" t="s">
        <v>39697</v>
      </c>
      <c r="N901" t="s">
        <v>43166</v>
      </c>
      <c r="O901" t="s">
        <v>43167</v>
      </c>
      <c r="P901">
        <v>0</v>
      </c>
      <c r="Q901">
        <v>0</v>
      </c>
      <c r="R901" t="s">
        <v>43168</v>
      </c>
      <c r="S901" t="s">
        <v>43286</v>
      </c>
      <c r="T901" t="s">
        <v>44685</v>
      </c>
      <c r="U901" t="s">
        <v>45955</v>
      </c>
      <c r="W901" t="s">
        <v>39697</v>
      </c>
      <c r="X901" t="s">
        <v>43169</v>
      </c>
    </row>
    <row r="902" spans="1:24">
      <c r="A902">
        <f>HYPERLINK("https://www.philgeps.gov.ph/GEPSNONPILOT/Tender/SplashBidNoticeAbstractUI.aspx?menuIndex=3&amp;refID=7087664&amp;Result=3","7087664")</f>
        <v>0</v>
      </c>
      <c r="B902" t="s">
        <v>400</v>
      </c>
      <c r="C902" t="s">
        <v>4293</v>
      </c>
      <c r="D902" t="s">
        <v>17422</v>
      </c>
      <c r="E902" t="s">
        <v>18333</v>
      </c>
      <c r="F902" t="s">
        <v>30052</v>
      </c>
      <c r="G902" t="s">
        <v>30058</v>
      </c>
      <c r="H902" t="s">
        <v>30067</v>
      </c>
      <c r="I902" t="s">
        <v>3693</v>
      </c>
      <c r="J902" t="s">
        <v>30892</v>
      </c>
      <c r="K902" t="s">
        <v>39062</v>
      </c>
      <c r="M902" t="s">
        <v>39699</v>
      </c>
      <c r="N902" t="s">
        <v>43166</v>
      </c>
      <c r="O902" t="s">
        <v>43167</v>
      </c>
      <c r="P902">
        <v>0</v>
      </c>
      <c r="Q902">
        <v>0</v>
      </c>
      <c r="R902" t="s">
        <v>43168</v>
      </c>
      <c r="S902" t="s">
        <v>43286</v>
      </c>
      <c r="T902" t="s">
        <v>44764</v>
      </c>
      <c r="U902" t="s">
        <v>45956</v>
      </c>
      <c r="W902" t="s">
        <v>39699</v>
      </c>
      <c r="X902" t="s">
        <v>43169</v>
      </c>
    </row>
    <row r="903" spans="1:24">
      <c r="A903">
        <f>HYPERLINK("https://www.philgeps.gov.ph/GEPSNONPILOT/Tender/SplashBidNoticeAbstractUI.aspx?menuIndex=3&amp;refID=7087663&amp;Result=3","7087663")</f>
        <v>0</v>
      </c>
      <c r="B903" t="s">
        <v>401</v>
      </c>
      <c r="C903" t="s">
        <v>4294</v>
      </c>
      <c r="D903" t="s">
        <v>17482</v>
      </c>
      <c r="E903" t="s">
        <v>18334</v>
      </c>
      <c r="F903" t="s">
        <v>30052</v>
      </c>
      <c r="G903" t="s">
        <v>30059</v>
      </c>
      <c r="H903" t="s">
        <v>15498</v>
      </c>
      <c r="I903" t="s">
        <v>3852</v>
      </c>
      <c r="J903" t="s">
        <v>30893</v>
      </c>
      <c r="K903" t="s">
        <v>39029</v>
      </c>
      <c r="M903" t="s">
        <v>39700</v>
      </c>
      <c r="N903" t="s">
        <v>43166</v>
      </c>
      <c r="O903" t="s">
        <v>43167</v>
      </c>
      <c r="P903">
        <v>0</v>
      </c>
      <c r="Q903">
        <v>0</v>
      </c>
      <c r="R903" t="s">
        <v>43168</v>
      </c>
      <c r="S903" t="s">
        <v>43286</v>
      </c>
      <c r="T903" t="s">
        <v>44806</v>
      </c>
      <c r="U903" t="s">
        <v>45957</v>
      </c>
      <c r="W903" t="s">
        <v>39700</v>
      </c>
      <c r="X903" t="s">
        <v>43169</v>
      </c>
    </row>
    <row r="904" spans="1:24">
      <c r="A904">
        <f>HYPERLINK("https://www.philgeps.gov.ph/GEPSNONPILOT/Tender/SplashBidNoticeAbstractUI.aspx?menuIndex=3&amp;refID=7087661&amp;Result=3","7087661")</f>
        <v>0</v>
      </c>
      <c r="B904" t="s">
        <v>402</v>
      </c>
      <c r="C904" t="s">
        <v>4295</v>
      </c>
      <c r="D904" t="s">
        <v>17445</v>
      </c>
      <c r="E904" t="s">
        <v>18335</v>
      </c>
      <c r="F904" t="s">
        <v>30052</v>
      </c>
      <c r="G904" t="s">
        <v>30059</v>
      </c>
      <c r="H904" t="s">
        <v>30068</v>
      </c>
      <c r="I904" t="s">
        <v>3693</v>
      </c>
      <c r="J904" t="s">
        <v>30894</v>
      </c>
      <c r="K904" t="s">
        <v>39025</v>
      </c>
      <c r="M904" t="s">
        <v>39701</v>
      </c>
      <c r="N904" t="s">
        <v>43166</v>
      </c>
      <c r="O904" t="s">
        <v>43167</v>
      </c>
      <c r="P904">
        <v>0</v>
      </c>
      <c r="Q904">
        <v>0</v>
      </c>
      <c r="R904" t="s">
        <v>43168</v>
      </c>
      <c r="S904" t="s">
        <v>43286</v>
      </c>
      <c r="T904" t="s">
        <v>44691</v>
      </c>
      <c r="U904" t="s">
        <v>45958</v>
      </c>
      <c r="W904" t="s">
        <v>39701</v>
      </c>
      <c r="X904" t="s">
        <v>43169</v>
      </c>
    </row>
    <row r="905" spans="1:24">
      <c r="A905">
        <f>HYPERLINK("https://www.philgeps.gov.ph/GEPSNONPILOT/Tender/SplashBidNoticeAbstractUI.aspx?menuIndex=3&amp;refID=7087660&amp;Result=3","7087660")</f>
        <v>0</v>
      </c>
      <c r="B905" t="s">
        <v>399</v>
      </c>
      <c r="C905" t="s">
        <v>4296</v>
      </c>
      <c r="D905" t="s">
        <v>17453</v>
      </c>
      <c r="E905" t="s">
        <v>18336</v>
      </c>
      <c r="F905" t="s">
        <v>30052</v>
      </c>
      <c r="G905" t="s">
        <v>30059</v>
      </c>
      <c r="H905" t="s">
        <v>15498</v>
      </c>
      <c r="I905" t="s">
        <v>6304</v>
      </c>
      <c r="J905" t="s">
        <v>30895</v>
      </c>
      <c r="K905" t="s">
        <v>39046</v>
      </c>
      <c r="M905" t="s">
        <v>39698</v>
      </c>
      <c r="N905" t="s">
        <v>43166</v>
      </c>
      <c r="O905" t="s">
        <v>43167</v>
      </c>
      <c r="P905">
        <v>0</v>
      </c>
      <c r="Q905">
        <v>3</v>
      </c>
      <c r="R905" t="s">
        <v>43168</v>
      </c>
      <c r="S905" t="s">
        <v>43286</v>
      </c>
      <c r="T905" t="s">
        <v>44685</v>
      </c>
      <c r="U905" t="s">
        <v>45954</v>
      </c>
      <c r="V905" t="s">
        <v>56926</v>
      </c>
      <c r="W905" t="s">
        <v>39698</v>
      </c>
      <c r="X905" t="s">
        <v>43169</v>
      </c>
    </row>
    <row r="906" spans="1:24">
      <c r="A906">
        <f>HYPERLINK("https://www.philgeps.gov.ph/GEPSNONPILOT/Tender/SplashBidNoticeAbstractUI.aspx?menuIndex=3&amp;refID=7087659&amp;Result=3","7087659")</f>
        <v>0</v>
      </c>
      <c r="B906" t="s">
        <v>401</v>
      </c>
      <c r="C906" t="s">
        <v>4297</v>
      </c>
      <c r="D906" t="s">
        <v>17482</v>
      </c>
      <c r="E906" t="s">
        <v>18337</v>
      </c>
      <c r="F906" t="s">
        <v>30052</v>
      </c>
      <c r="G906" t="s">
        <v>30058</v>
      </c>
      <c r="H906" t="s">
        <v>30067</v>
      </c>
      <c r="I906" t="s">
        <v>3693</v>
      </c>
      <c r="J906" t="s">
        <v>30343</v>
      </c>
      <c r="K906" t="s">
        <v>39023</v>
      </c>
      <c r="M906" t="s">
        <v>39700</v>
      </c>
      <c r="N906" t="s">
        <v>43166</v>
      </c>
      <c r="O906" t="s">
        <v>43167</v>
      </c>
      <c r="P906">
        <v>0</v>
      </c>
      <c r="Q906">
        <v>1</v>
      </c>
      <c r="R906" t="s">
        <v>43168</v>
      </c>
      <c r="S906" t="s">
        <v>43286</v>
      </c>
      <c r="T906" t="s">
        <v>44688</v>
      </c>
      <c r="U906" t="s">
        <v>45959</v>
      </c>
      <c r="W906" t="s">
        <v>39700</v>
      </c>
      <c r="X906" t="s">
        <v>43169</v>
      </c>
    </row>
    <row r="907" spans="1:24">
      <c r="A907">
        <f>HYPERLINK("https://www.philgeps.gov.ph/GEPSNONPILOT/Tender/SplashBidNoticeAbstractUI.aspx?menuIndex=3&amp;refID=7087656&amp;Result=3","7087656")</f>
        <v>0</v>
      </c>
      <c r="B907" t="s">
        <v>401</v>
      </c>
      <c r="C907" t="s">
        <v>4298</v>
      </c>
      <c r="D907" t="s">
        <v>17482</v>
      </c>
      <c r="E907" t="s">
        <v>18338</v>
      </c>
      <c r="F907" t="s">
        <v>30052</v>
      </c>
      <c r="G907" t="s">
        <v>30058</v>
      </c>
      <c r="H907" t="s">
        <v>15498</v>
      </c>
      <c r="I907" t="s">
        <v>7228</v>
      </c>
      <c r="J907" t="s">
        <v>30896</v>
      </c>
      <c r="K907" t="s">
        <v>39029</v>
      </c>
      <c r="M907" t="s">
        <v>39700</v>
      </c>
      <c r="N907" t="s">
        <v>43166</v>
      </c>
      <c r="O907" t="s">
        <v>43167</v>
      </c>
      <c r="P907">
        <v>0</v>
      </c>
      <c r="Q907">
        <v>0</v>
      </c>
      <c r="R907" t="s">
        <v>43168</v>
      </c>
      <c r="S907" t="s">
        <v>43286</v>
      </c>
      <c r="T907" t="s">
        <v>44688</v>
      </c>
      <c r="U907" t="s">
        <v>45960</v>
      </c>
      <c r="W907" t="s">
        <v>39700</v>
      </c>
      <c r="X907" t="s">
        <v>43169</v>
      </c>
    </row>
    <row r="908" spans="1:24">
      <c r="A908">
        <f>HYPERLINK("https://www.philgeps.gov.ph/GEPSNONPILOT/Tender/SplashBidNoticeAbstractUI.aspx?menuIndex=3&amp;refID=7087676&amp;Result=3","7087676")</f>
        <v>0</v>
      </c>
      <c r="B908" t="s">
        <v>403</v>
      </c>
      <c r="C908" t="s">
        <v>4299</v>
      </c>
      <c r="D908" t="s">
        <v>17448</v>
      </c>
      <c r="E908" t="s">
        <v>17892</v>
      </c>
      <c r="F908" t="s">
        <v>30052</v>
      </c>
      <c r="G908" t="s">
        <v>30058</v>
      </c>
      <c r="H908" t="s">
        <v>30067</v>
      </c>
      <c r="I908" t="s">
        <v>3693</v>
      </c>
      <c r="J908" t="s">
        <v>30897</v>
      </c>
      <c r="K908" t="s">
        <v>39071</v>
      </c>
      <c r="M908" t="s">
        <v>39702</v>
      </c>
      <c r="N908" t="s">
        <v>43166</v>
      </c>
      <c r="O908" t="s">
        <v>43167</v>
      </c>
      <c r="P908">
        <v>0</v>
      </c>
      <c r="Q908">
        <v>0</v>
      </c>
      <c r="R908" t="s">
        <v>43168</v>
      </c>
      <c r="S908" t="s">
        <v>43286</v>
      </c>
      <c r="T908" t="s">
        <v>44679</v>
      </c>
      <c r="U908" t="s">
        <v>45961</v>
      </c>
      <c r="W908" t="s">
        <v>39702</v>
      </c>
      <c r="X908" t="s">
        <v>43169</v>
      </c>
    </row>
    <row r="909" spans="1:24">
      <c r="A909">
        <f>HYPERLINK("https://www.philgeps.gov.ph/GEPSNONPILOT/Tender/SplashBidNoticeAbstractUI.aspx?menuIndex=3&amp;refID=7087607&amp;Result=3","7087607")</f>
        <v>0</v>
      </c>
      <c r="B909" t="s">
        <v>404</v>
      </c>
      <c r="C909" t="s">
        <v>4300</v>
      </c>
      <c r="D909" t="s">
        <v>17415</v>
      </c>
      <c r="E909" t="s">
        <v>18339</v>
      </c>
      <c r="F909" t="s">
        <v>30052</v>
      </c>
      <c r="G909" t="s">
        <v>30059</v>
      </c>
      <c r="H909" t="s">
        <v>15498</v>
      </c>
      <c r="I909" t="s">
        <v>8323</v>
      </c>
      <c r="J909" t="s">
        <v>30898</v>
      </c>
      <c r="K909" t="s">
        <v>39017</v>
      </c>
      <c r="M909" t="s">
        <v>39703</v>
      </c>
      <c r="N909" t="s">
        <v>43166</v>
      </c>
      <c r="O909" t="s">
        <v>43167</v>
      </c>
      <c r="P909">
        <v>0</v>
      </c>
      <c r="Q909">
        <v>7</v>
      </c>
      <c r="R909" t="s">
        <v>43168</v>
      </c>
      <c r="S909" t="s">
        <v>43286</v>
      </c>
      <c r="T909" t="s">
        <v>44720</v>
      </c>
      <c r="U909" t="s">
        <v>45962</v>
      </c>
      <c r="V909" t="s">
        <v>56927</v>
      </c>
      <c r="W909" t="s">
        <v>39703</v>
      </c>
      <c r="X909" t="s">
        <v>43169</v>
      </c>
    </row>
    <row r="910" spans="1:24">
      <c r="A910">
        <f>HYPERLINK("https://www.philgeps.gov.ph/GEPSNONPILOT/Tender/SplashBidNoticeAbstractUI.aspx?menuIndex=3&amp;refID=7087675&amp;Result=3","7087675")</f>
        <v>0</v>
      </c>
      <c r="B910" t="s">
        <v>392</v>
      </c>
      <c r="C910" t="s">
        <v>4301</v>
      </c>
      <c r="D910" t="s">
        <v>17474</v>
      </c>
      <c r="E910" t="s">
        <v>18340</v>
      </c>
      <c r="F910" t="s">
        <v>30052</v>
      </c>
      <c r="G910" t="s">
        <v>30058</v>
      </c>
      <c r="H910" t="s">
        <v>15498</v>
      </c>
      <c r="I910" t="s">
        <v>30091</v>
      </c>
      <c r="J910" t="s">
        <v>30899</v>
      </c>
      <c r="K910" t="s">
        <v>39046</v>
      </c>
      <c r="M910" t="s">
        <v>39690</v>
      </c>
      <c r="N910" t="s">
        <v>43166</v>
      </c>
      <c r="O910" t="s">
        <v>43167</v>
      </c>
      <c r="P910">
        <v>0</v>
      </c>
      <c r="Q910">
        <v>3</v>
      </c>
      <c r="R910" t="s">
        <v>43168</v>
      </c>
      <c r="S910" t="s">
        <v>43286</v>
      </c>
      <c r="T910" t="s">
        <v>44805</v>
      </c>
      <c r="U910" t="s">
        <v>45963</v>
      </c>
      <c r="V910" t="s">
        <v>56856</v>
      </c>
      <c r="W910" t="s">
        <v>39690</v>
      </c>
      <c r="X910" t="s">
        <v>43169</v>
      </c>
    </row>
    <row r="911" spans="1:24">
      <c r="A911">
        <f>HYPERLINK("https://www.philgeps.gov.ph/GEPSNONPILOT/Tender/SplashBidNoticeAbstractUI.aspx?menuIndex=3&amp;refID=7087674&amp;Result=3","7087674")</f>
        <v>0</v>
      </c>
      <c r="B911" t="s">
        <v>405</v>
      </c>
      <c r="C911" t="s">
        <v>4302</v>
      </c>
      <c r="D911" t="s">
        <v>17475</v>
      </c>
      <c r="E911" t="s">
        <v>18341</v>
      </c>
      <c r="F911" t="s">
        <v>30052</v>
      </c>
      <c r="G911" t="s">
        <v>30059</v>
      </c>
      <c r="H911" t="s">
        <v>30067</v>
      </c>
      <c r="I911" t="s">
        <v>3693</v>
      </c>
      <c r="J911" t="s">
        <v>30900</v>
      </c>
      <c r="K911" t="s">
        <v>39025</v>
      </c>
      <c r="M911" t="s">
        <v>39704</v>
      </c>
      <c r="N911" t="s">
        <v>43166</v>
      </c>
      <c r="O911" t="s">
        <v>43167</v>
      </c>
      <c r="P911">
        <v>0</v>
      </c>
      <c r="Q911">
        <v>0</v>
      </c>
      <c r="R911" t="s">
        <v>43168</v>
      </c>
      <c r="S911" t="s">
        <v>43286</v>
      </c>
      <c r="T911" t="s">
        <v>44743</v>
      </c>
      <c r="U911" t="s">
        <v>45964</v>
      </c>
      <c r="W911" t="s">
        <v>39704</v>
      </c>
      <c r="X911" t="s">
        <v>43169</v>
      </c>
    </row>
    <row r="912" spans="1:24">
      <c r="A912">
        <f>HYPERLINK("https://www.philgeps.gov.ph/GEPSNONPILOT/Tender/SplashBidNoticeAbstractUI.aspx?menuIndex=3&amp;refID=7087673&amp;Result=3","7087673")</f>
        <v>0</v>
      </c>
      <c r="B912" t="s">
        <v>406</v>
      </c>
      <c r="C912" t="s">
        <v>4303</v>
      </c>
      <c r="D912" t="s">
        <v>17432</v>
      </c>
      <c r="E912" t="s">
        <v>18342</v>
      </c>
      <c r="F912" t="s">
        <v>30054</v>
      </c>
      <c r="G912" t="s">
        <v>30061</v>
      </c>
      <c r="H912" t="s">
        <v>15498</v>
      </c>
      <c r="I912" t="s">
        <v>30070</v>
      </c>
      <c r="J912" t="s">
        <v>30901</v>
      </c>
      <c r="K912" t="s">
        <v>39040</v>
      </c>
      <c r="M912" t="s">
        <v>39705</v>
      </c>
      <c r="N912" t="s">
        <v>43166</v>
      </c>
      <c r="O912" t="s">
        <v>43167</v>
      </c>
      <c r="P912">
        <v>0</v>
      </c>
      <c r="Q912">
        <v>0</v>
      </c>
      <c r="R912" t="s">
        <v>43168</v>
      </c>
      <c r="S912" t="s">
        <v>43286</v>
      </c>
      <c r="T912" t="s">
        <v>44780</v>
      </c>
      <c r="U912" t="s">
        <v>45965</v>
      </c>
      <c r="W912" t="s">
        <v>39705</v>
      </c>
      <c r="X912" t="s">
        <v>43169</v>
      </c>
    </row>
    <row r="913" spans="1:24">
      <c r="A913">
        <f>HYPERLINK("https://www.philgeps.gov.ph/GEPSNONPILOT/Tender/SplashBidNoticeAbstractUI.aspx?menuIndex=3&amp;refID=7087654&amp;Result=3","7087654")</f>
        <v>0</v>
      </c>
      <c r="B913" t="s">
        <v>391</v>
      </c>
      <c r="C913" t="s">
        <v>4304</v>
      </c>
      <c r="D913" t="s">
        <v>17428</v>
      </c>
      <c r="E913" t="s">
        <v>18343</v>
      </c>
      <c r="F913" t="s">
        <v>30052</v>
      </c>
      <c r="G913" t="s">
        <v>30059</v>
      </c>
      <c r="H913" t="s">
        <v>15498</v>
      </c>
      <c r="I913" t="s">
        <v>30128</v>
      </c>
      <c r="J913" t="s">
        <v>30902</v>
      </c>
      <c r="K913" t="s">
        <v>39019</v>
      </c>
      <c r="M913" t="s">
        <v>39689</v>
      </c>
      <c r="N913" t="s">
        <v>43166</v>
      </c>
      <c r="O913" t="s">
        <v>43167</v>
      </c>
      <c r="P913">
        <v>0</v>
      </c>
      <c r="Q913">
        <v>2</v>
      </c>
      <c r="R913" t="s">
        <v>43168</v>
      </c>
      <c r="S913" t="s">
        <v>43286</v>
      </c>
      <c r="T913" t="s">
        <v>44685</v>
      </c>
      <c r="U913" t="s">
        <v>45966</v>
      </c>
      <c r="V913" t="s">
        <v>56928</v>
      </c>
      <c r="W913" t="s">
        <v>39689</v>
      </c>
      <c r="X913" t="s">
        <v>43169</v>
      </c>
    </row>
    <row r="914" spans="1:24">
      <c r="A914">
        <f>HYPERLINK("https://www.philgeps.gov.ph/GEPSNONPILOT/Tender/SplashBidNoticeAbstractUI.aspx?menuIndex=3&amp;refID=7087670&amp;Result=3","7087670")</f>
        <v>0</v>
      </c>
      <c r="B914" t="s">
        <v>392</v>
      </c>
      <c r="C914" t="s">
        <v>4305</v>
      </c>
      <c r="D914" t="s">
        <v>17474</v>
      </c>
      <c r="E914" t="s">
        <v>18344</v>
      </c>
      <c r="F914" t="s">
        <v>30052</v>
      </c>
      <c r="G914" t="s">
        <v>30058</v>
      </c>
      <c r="H914" t="s">
        <v>15498</v>
      </c>
      <c r="I914" t="s">
        <v>30091</v>
      </c>
      <c r="J914" t="s">
        <v>30559</v>
      </c>
      <c r="K914" t="s">
        <v>39046</v>
      </c>
      <c r="M914" t="s">
        <v>39690</v>
      </c>
      <c r="N914" t="s">
        <v>43166</v>
      </c>
      <c r="O914" t="s">
        <v>43167</v>
      </c>
      <c r="P914">
        <v>0</v>
      </c>
      <c r="Q914">
        <v>3</v>
      </c>
      <c r="R914" t="s">
        <v>43168</v>
      </c>
      <c r="S914" t="s">
        <v>43286</v>
      </c>
      <c r="T914" t="s">
        <v>44805</v>
      </c>
      <c r="U914" t="s">
        <v>45963</v>
      </c>
      <c r="V914" t="s">
        <v>56856</v>
      </c>
      <c r="W914" t="s">
        <v>39690</v>
      </c>
      <c r="X914" t="s">
        <v>43169</v>
      </c>
    </row>
    <row r="915" spans="1:24">
      <c r="A915">
        <f>HYPERLINK("https://www.philgeps.gov.ph/GEPSNONPILOT/Tender/SplashBidNoticeAbstractUI.aspx?menuIndex=3&amp;refID=7087669&amp;Result=3","7087669")</f>
        <v>0</v>
      </c>
      <c r="B915" t="s">
        <v>405</v>
      </c>
      <c r="C915" t="s">
        <v>4306</v>
      </c>
      <c r="E915" t="s">
        <v>18345</v>
      </c>
      <c r="F915" t="s">
        <v>30052</v>
      </c>
      <c r="G915" t="s">
        <v>30059</v>
      </c>
      <c r="H915" t="s">
        <v>15498</v>
      </c>
      <c r="I915" t="s">
        <v>9238</v>
      </c>
      <c r="J915" t="s">
        <v>30903</v>
      </c>
      <c r="K915" t="s">
        <v>39025</v>
      </c>
      <c r="M915" t="s">
        <v>39704</v>
      </c>
      <c r="N915" t="s">
        <v>43166</v>
      </c>
      <c r="O915" t="s">
        <v>43167</v>
      </c>
      <c r="P915">
        <v>0</v>
      </c>
      <c r="Q915">
        <v>8</v>
      </c>
      <c r="R915" t="s">
        <v>43168</v>
      </c>
      <c r="S915" t="s">
        <v>43286</v>
      </c>
      <c r="T915" t="s">
        <v>44743</v>
      </c>
      <c r="U915" t="s">
        <v>45964</v>
      </c>
      <c r="W915" t="s">
        <v>39704</v>
      </c>
      <c r="X915" t="s">
        <v>43169</v>
      </c>
    </row>
    <row r="916" spans="1:24">
      <c r="A916">
        <f>HYPERLINK("https://www.philgeps.gov.ph/GEPSNONPILOT/Tender/SplashBidNoticeAbstractUI.aspx?menuIndex=3&amp;refID=7087678&amp;Result=3","7087678")</f>
        <v>0</v>
      </c>
      <c r="B916" t="s">
        <v>407</v>
      </c>
      <c r="C916" t="s">
        <v>4307</v>
      </c>
      <c r="D916" t="s">
        <v>17421</v>
      </c>
      <c r="E916" t="s">
        <v>18346</v>
      </c>
      <c r="F916" t="s">
        <v>30052</v>
      </c>
      <c r="G916" t="s">
        <v>30058</v>
      </c>
      <c r="H916" t="s">
        <v>30068</v>
      </c>
      <c r="I916" t="s">
        <v>30068</v>
      </c>
      <c r="J916" t="s">
        <v>30904</v>
      </c>
      <c r="K916" t="s">
        <v>39026</v>
      </c>
      <c r="M916" t="s">
        <v>39706</v>
      </c>
      <c r="N916" t="s">
        <v>43166</v>
      </c>
      <c r="O916" t="s">
        <v>43167</v>
      </c>
      <c r="P916">
        <v>0</v>
      </c>
      <c r="Q916">
        <v>3</v>
      </c>
      <c r="R916" t="s">
        <v>43168</v>
      </c>
      <c r="S916" t="s">
        <v>43286</v>
      </c>
      <c r="T916" t="s">
        <v>44807</v>
      </c>
      <c r="U916" t="s">
        <v>45967</v>
      </c>
      <c r="V916" t="s">
        <v>56929</v>
      </c>
      <c r="W916" t="s">
        <v>40366</v>
      </c>
      <c r="X916" t="s">
        <v>43169</v>
      </c>
    </row>
    <row r="917" spans="1:24">
      <c r="A917">
        <f>HYPERLINK("https://www.philgeps.gov.ph/GEPSNONPILOT/Tender/SplashBidNoticeAbstractUI.aspx?menuIndex=3&amp;refID=7087672&amp;Result=3","7087672")</f>
        <v>0</v>
      </c>
      <c r="B917" t="s">
        <v>398</v>
      </c>
      <c r="C917" t="s">
        <v>4308</v>
      </c>
      <c r="D917" t="s">
        <v>17483</v>
      </c>
      <c r="E917" t="s">
        <v>18347</v>
      </c>
      <c r="F917" t="s">
        <v>30056</v>
      </c>
      <c r="G917" t="s">
        <v>30061</v>
      </c>
      <c r="H917" t="s">
        <v>30067</v>
      </c>
      <c r="I917" t="s">
        <v>3852</v>
      </c>
      <c r="J917" t="s">
        <v>30905</v>
      </c>
      <c r="K917" t="s">
        <v>39025</v>
      </c>
      <c r="M917" t="s">
        <v>39697</v>
      </c>
      <c r="N917" t="s">
        <v>43166</v>
      </c>
      <c r="O917" t="s">
        <v>43167</v>
      </c>
      <c r="P917">
        <v>0</v>
      </c>
      <c r="Q917">
        <v>0</v>
      </c>
      <c r="R917" t="s">
        <v>43168</v>
      </c>
      <c r="S917" t="s">
        <v>43286</v>
      </c>
      <c r="T917" t="s">
        <v>44685</v>
      </c>
      <c r="U917" t="s">
        <v>45968</v>
      </c>
      <c r="W917" t="s">
        <v>39697</v>
      </c>
      <c r="X917" t="s">
        <v>43169</v>
      </c>
    </row>
    <row r="918" spans="1:24">
      <c r="A918">
        <f>HYPERLINK("https://www.philgeps.gov.ph/GEPSNONPILOT/Tender/SplashBidNoticeAbstractUI.aspx?menuIndex=3&amp;refID=7087671&amp;Result=3","7087671")</f>
        <v>0</v>
      </c>
      <c r="B918" t="s">
        <v>405</v>
      </c>
      <c r="C918" t="s">
        <v>4309</v>
      </c>
      <c r="E918" t="s">
        <v>18348</v>
      </c>
      <c r="F918" t="s">
        <v>30052</v>
      </c>
      <c r="G918" t="s">
        <v>30059</v>
      </c>
      <c r="H918" t="s">
        <v>15498</v>
      </c>
      <c r="I918" t="s">
        <v>9238</v>
      </c>
      <c r="J918" t="s">
        <v>30906</v>
      </c>
      <c r="K918" t="s">
        <v>39025</v>
      </c>
      <c r="M918" t="s">
        <v>39704</v>
      </c>
      <c r="N918" t="s">
        <v>43166</v>
      </c>
      <c r="O918" t="s">
        <v>43167</v>
      </c>
      <c r="P918">
        <v>0</v>
      </c>
      <c r="Q918">
        <v>2</v>
      </c>
      <c r="R918" t="s">
        <v>43168</v>
      </c>
      <c r="S918" t="s">
        <v>43286</v>
      </c>
      <c r="T918" t="s">
        <v>44743</v>
      </c>
      <c r="U918" t="s">
        <v>45964</v>
      </c>
      <c r="W918" t="s">
        <v>39704</v>
      </c>
      <c r="X918" t="s">
        <v>43169</v>
      </c>
    </row>
    <row r="919" spans="1:24">
      <c r="A919">
        <f>HYPERLINK("https://www.philgeps.gov.ph/GEPSNONPILOT/Tender/SplashBidNoticeAbstractUI.aspx?menuIndex=3&amp;refID=7087691&amp;Result=3","7087691")</f>
        <v>0</v>
      </c>
      <c r="B919" t="s">
        <v>401</v>
      </c>
      <c r="C919" t="s">
        <v>4310</v>
      </c>
      <c r="D919" t="s">
        <v>17482</v>
      </c>
      <c r="E919" t="s">
        <v>18349</v>
      </c>
      <c r="F919" t="s">
        <v>30052</v>
      </c>
      <c r="G919" t="s">
        <v>30058</v>
      </c>
      <c r="H919" t="s">
        <v>30067</v>
      </c>
      <c r="I919" t="s">
        <v>3693</v>
      </c>
      <c r="J919" t="s">
        <v>30222</v>
      </c>
      <c r="K919" t="s">
        <v>39031</v>
      </c>
      <c r="M919" t="s">
        <v>39700</v>
      </c>
      <c r="N919" t="s">
        <v>43166</v>
      </c>
      <c r="O919" t="s">
        <v>43167</v>
      </c>
      <c r="P919">
        <v>0</v>
      </c>
      <c r="Q919">
        <v>2</v>
      </c>
      <c r="R919" t="s">
        <v>43168</v>
      </c>
      <c r="S919" t="s">
        <v>43286</v>
      </c>
      <c r="T919" t="s">
        <v>44709</v>
      </c>
      <c r="U919" t="s">
        <v>45969</v>
      </c>
      <c r="W919" t="s">
        <v>39700</v>
      </c>
      <c r="X919" t="s">
        <v>43169</v>
      </c>
    </row>
    <row r="920" spans="1:24">
      <c r="A920">
        <f>HYPERLINK("https://www.philgeps.gov.ph/GEPSNONPILOT/Tender/SplashBidNoticeAbstractUI.aspx?menuIndex=3&amp;refID=7087690&amp;Result=3","7087690")</f>
        <v>0</v>
      </c>
      <c r="B920" t="s">
        <v>408</v>
      </c>
      <c r="C920" t="s">
        <v>3971</v>
      </c>
      <c r="D920" t="s">
        <v>17452</v>
      </c>
      <c r="E920" t="s">
        <v>18350</v>
      </c>
      <c r="F920" t="s">
        <v>30052</v>
      </c>
      <c r="G920" t="s">
        <v>30062</v>
      </c>
      <c r="H920" t="s">
        <v>15498</v>
      </c>
      <c r="I920" t="s">
        <v>30070</v>
      </c>
      <c r="J920" t="s">
        <v>30907</v>
      </c>
      <c r="K920" t="s">
        <v>39017</v>
      </c>
      <c r="M920" t="s">
        <v>39707</v>
      </c>
      <c r="N920" t="s">
        <v>43166</v>
      </c>
      <c r="O920" t="s">
        <v>43167</v>
      </c>
      <c r="P920">
        <v>0</v>
      </c>
      <c r="Q920">
        <v>2</v>
      </c>
      <c r="R920" t="s">
        <v>43168</v>
      </c>
      <c r="S920" t="s">
        <v>43286</v>
      </c>
      <c r="T920" t="s">
        <v>44715</v>
      </c>
      <c r="U920" t="s">
        <v>45970</v>
      </c>
      <c r="W920" t="s">
        <v>39707</v>
      </c>
      <c r="X920" t="s">
        <v>43169</v>
      </c>
    </row>
    <row r="921" spans="1:24">
      <c r="A921">
        <f>HYPERLINK("https://www.philgeps.gov.ph/GEPSNONPILOT/Tender/SplashBidNoticeAbstractUI.aspx?menuIndex=3&amp;refID=7087677&amp;Result=3","7087677")</f>
        <v>0</v>
      </c>
      <c r="B921" t="s">
        <v>409</v>
      </c>
      <c r="C921" t="s">
        <v>4148</v>
      </c>
      <c r="D921" t="s">
        <v>17473</v>
      </c>
      <c r="E921" t="s">
        <v>18351</v>
      </c>
      <c r="F921" t="s">
        <v>30052</v>
      </c>
      <c r="G921" t="s">
        <v>30059</v>
      </c>
      <c r="H921" t="s">
        <v>15498</v>
      </c>
      <c r="I921" t="s">
        <v>30076</v>
      </c>
      <c r="J921" t="s">
        <v>30688</v>
      </c>
      <c r="K921" t="s">
        <v>39034</v>
      </c>
      <c r="M921" t="s">
        <v>39708</v>
      </c>
      <c r="N921" t="s">
        <v>43166</v>
      </c>
      <c r="O921" t="s">
        <v>43167</v>
      </c>
      <c r="P921">
        <v>0</v>
      </c>
      <c r="Q921">
        <v>0</v>
      </c>
      <c r="R921" t="s">
        <v>43168</v>
      </c>
      <c r="S921" t="s">
        <v>43286</v>
      </c>
      <c r="T921" t="s">
        <v>44737</v>
      </c>
      <c r="U921" t="s">
        <v>45971</v>
      </c>
      <c r="W921" t="s">
        <v>39708</v>
      </c>
      <c r="X921" t="s">
        <v>43169</v>
      </c>
    </row>
    <row r="922" spans="1:24">
      <c r="A922">
        <f>HYPERLINK("https://www.philgeps.gov.ph/GEPSNONPILOT/Tender/SplashBidNoticeAbstractUI.aspx?menuIndex=3&amp;refID=7087697&amp;Result=3","7087697")</f>
        <v>0</v>
      </c>
      <c r="B922" t="s">
        <v>408</v>
      </c>
      <c r="C922" t="s">
        <v>4311</v>
      </c>
      <c r="D922" t="s">
        <v>17452</v>
      </c>
      <c r="E922" t="s">
        <v>18352</v>
      </c>
      <c r="F922" t="s">
        <v>30052</v>
      </c>
      <c r="G922" t="s">
        <v>30058</v>
      </c>
      <c r="H922" t="s">
        <v>15498</v>
      </c>
      <c r="I922" t="s">
        <v>3852</v>
      </c>
      <c r="J922" t="s">
        <v>30908</v>
      </c>
      <c r="K922" t="s">
        <v>39019</v>
      </c>
      <c r="M922" t="s">
        <v>39707</v>
      </c>
      <c r="N922" t="s">
        <v>43166</v>
      </c>
      <c r="O922" t="s">
        <v>43167</v>
      </c>
      <c r="P922">
        <v>0</v>
      </c>
      <c r="Q922">
        <v>2</v>
      </c>
      <c r="R922" t="s">
        <v>43168</v>
      </c>
      <c r="S922" t="s">
        <v>43286</v>
      </c>
      <c r="T922" t="s">
        <v>44679</v>
      </c>
      <c r="U922" t="s">
        <v>45972</v>
      </c>
      <c r="W922" t="s">
        <v>39707</v>
      </c>
      <c r="X922" t="s">
        <v>43169</v>
      </c>
    </row>
    <row r="923" spans="1:24">
      <c r="A923">
        <f>HYPERLINK("https://www.philgeps.gov.ph/GEPSNONPILOT/Tender/SplashBidNoticeAbstractUI.aspx?menuIndex=3&amp;refID=7087694&amp;Result=3","7087694")</f>
        <v>0</v>
      </c>
      <c r="B923" t="s">
        <v>408</v>
      </c>
      <c r="C923" t="s">
        <v>4312</v>
      </c>
      <c r="D923" t="s">
        <v>17452</v>
      </c>
      <c r="E923" t="s">
        <v>18353</v>
      </c>
      <c r="F923" t="s">
        <v>30052</v>
      </c>
      <c r="G923" t="s">
        <v>30059</v>
      </c>
      <c r="H923" t="s">
        <v>15498</v>
      </c>
      <c r="I923" t="s">
        <v>30074</v>
      </c>
      <c r="J923" t="s">
        <v>30909</v>
      </c>
      <c r="K923" t="s">
        <v>39017</v>
      </c>
      <c r="M923" t="s">
        <v>39707</v>
      </c>
      <c r="N923" t="s">
        <v>43166</v>
      </c>
      <c r="O923" t="s">
        <v>43167</v>
      </c>
      <c r="P923">
        <v>0</v>
      </c>
      <c r="Q923">
        <v>1</v>
      </c>
      <c r="R923" t="s">
        <v>43168</v>
      </c>
      <c r="S923" t="s">
        <v>43286</v>
      </c>
      <c r="T923" t="s">
        <v>44715</v>
      </c>
      <c r="U923" t="s">
        <v>45973</v>
      </c>
      <c r="W923" t="s">
        <v>39707</v>
      </c>
      <c r="X923" t="s">
        <v>43169</v>
      </c>
    </row>
    <row r="924" spans="1:24">
      <c r="A924">
        <f>HYPERLINK("https://www.philgeps.gov.ph/GEPSNONPILOT/Tender/SplashBidNoticeAbstractUI.aspx?menuIndex=3&amp;refID=7087679&amp;Result=3","7087679")</f>
        <v>0</v>
      </c>
      <c r="B924" t="s">
        <v>401</v>
      </c>
      <c r="C924" t="s">
        <v>4313</v>
      </c>
      <c r="D924" t="s">
        <v>17482</v>
      </c>
      <c r="E924" t="s">
        <v>18354</v>
      </c>
      <c r="F924" t="s">
        <v>30052</v>
      </c>
      <c r="G924" t="s">
        <v>30058</v>
      </c>
      <c r="H924" t="s">
        <v>30067</v>
      </c>
      <c r="I924" t="s">
        <v>3693</v>
      </c>
      <c r="J924" t="s">
        <v>30222</v>
      </c>
      <c r="K924" t="s">
        <v>39023</v>
      </c>
      <c r="M924" t="s">
        <v>39700</v>
      </c>
      <c r="N924" t="s">
        <v>43166</v>
      </c>
      <c r="O924" t="s">
        <v>43167</v>
      </c>
      <c r="P924">
        <v>0</v>
      </c>
      <c r="Q924">
        <v>2</v>
      </c>
      <c r="R924" t="s">
        <v>43168</v>
      </c>
      <c r="S924" t="s">
        <v>43286</v>
      </c>
      <c r="T924" t="s">
        <v>44709</v>
      </c>
      <c r="U924" t="s">
        <v>45974</v>
      </c>
      <c r="W924" t="s">
        <v>39700</v>
      </c>
      <c r="X924" t="s">
        <v>43169</v>
      </c>
    </row>
    <row r="925" spans="1:24">
      <c r="A925">
        <f>HYPERLINK("https://www.philgeps.gov.ph/GEPSNONPILOT/Tender/SplashBidNoticeAbstractUI.aspx?menuIndex=3&amp;refID=7087693&amp;Result=3","7087693")</f>
        <v>0</v>
      </c>
      <c r="B925" t="s">
        <v>410</v>
      </c>
      <c r="C925" t="s">
        <v>4314</v>
      </c>
      <c r="D925" t="s">
        <v>17448</v>
      </c>
      <c r="E925" t="s">
        <v>18355</v>
      </c>
      <c r="F925" t="s">
        <v>30052</v>
      </c>
      <c r="G925" t="s">
        <v>30058</v>
      </c>
      <c r="H925" t="s">
        <v>15498</v>
      </c>
      <c r="I925" t="s">
        <v>30074</v>
      </c>
      <c r="J925" t="s">
        <v>30227</v>
      </c>
      <c r="K925" t="s">
        <v>39019</v>
      </c>
      <c r="M925" t="s">
        <v>39709</v>
      </c>
      <c r="N925" t="s">
        <v>43166</v>
      </c>
      <c r="O925" t="s">
        <v>43167</v>
      </c>
      <c r="P925">
        <v>0</v>
      </c>
      <c r="Q925">
        <v>2</v>
      </c>
      <c r="R925" t="s">
        <v>43168</v>
      </c>
      <c r="S925" t="s">
        <v>43286</v>
      </c>
      <c r="T925" t="s">
        <v>44679</v>
      </c>
      <c r="U925" t="s">
        <v>45975</v>
      </c>
      <c r="W925" t="s">
        <v>39709</v>
      </c>
      <c r="X925" t="s">
        <v>43169</v>
      </c>
    </row>
    <row r="926" spans="1:24">
      <c r="A926">
        <f>HYPERLINK("https://www.philgeps.gov.ph/GEPSNONPILOT/Tender/SplashBidNoticeAbstractUI.aspx?menuIndex=3&amp;refID=7087658&amp;Result=3","7087658")</f>
        <v>0</v>
      </c>
      <c r="B926" t="s">
        <v>402</v>
      </c>
      <c r="C926" t="s">
        <v>4315</v>
      </c>
      <c r="D926" t="s">
        <v>17445</v>
      </c>
      <c r="E926" t="s">
        <v>18356</v>
      </c>
      <c r="F926" t="s">
        <v>30052</v>
      </c>
      <c r="G926" t="s">
        <v>30059</v>
      </c>
      <c r="H926" t="s">
        <v>15498</v>
      </c>
      <c r="I926" t="s">
        <v>30105</v>
      </c>
      <c r="J926" t="s">
        <v>30910</v>
      </c>
      <c r="K926" t="s">
        <v>39025</v>
      </c>
      <c r="M926" t="s">
        <v>39701</v>
      </c>
      <c r="N926" t="s">
        <v>43166</v>
      </c>
      <c r="O926" t="s">
        <v>43167</v>
      </c>
      <c r="P926">
        <v>0</v>
      </c>
      <c r="Q926">
        <v>0</v>
      </c>
      <c r="R926" t="s">
        <v>43168</v>
      </c>
      <c r="S926" t="s">
        <v>43286</v>
      </c>
      <c r="T926" t="s">
        <v>44691</v>
      </c>
      <c r="U926" t="s">
        <v>45958</v>
      </c>
      <c r="W926" t="s">
        <v>39701</v>
      </c>
      <c r="X926" t="s">
        <v>43169</v>
      </c>
    </row>
    <row r="927" spans="1:24">
      <c r="A927">
        <f>HYPERLINK("https://www.philgeps.gov.ph/GEPSNONPILOT/Tender/SplashBidNoticeAbstractUI.aspx?menuIndex=3&amp;refID=7087688&amp;Result=3","7087688")</f>
        <v>0</v>
      </c>
      <c r="B927" t="s">
        <v>401</v>
      </c>
      <c r="C927" t="s">
        <v>4313</v>
      </c>
      <c r="D927" t="s">
        <v>17482</v>
      </c>
      <c r="E927" t="s">
        <v>18357</v>
      </c>
      <c r="F927" t="s">
        <v>30052</v>
      </c>
      <c r="G927" t="s">
        <v>30058</v>
      </c>
      <c r="H927" t="s">
        <v>30067</v>
      </c>
      <c r="I927" t="s">
        <v>3693</v>
      </c>
      <c r="J927" t="s">
        <v>30222</v>
      </c>
      <c r="K927" t="s">
        <v>39023</v>
      </c>
      <c r="M927" t="s">
        <v>39700</v>
      </c>
      <c r="N927" t="s">
        <v>43166</v>
      </c>
      <c r="O927" t="s">
        <v>43167</v>
      </c>
      <c r="P927">
        <v>0</v>
      </c>
      <c r="Q927">
        <v>2</v>
      </c>
      <c r="R927" t="s">
        <v>43168</v>
      </c>
      <c r="S927" t="s">
        <v>43286</v>
      </c>
      <c r="T927" t="s">
        <v>44709</v>
      </c>
      <c r="U927" t="s">
        <v>45976</v>
      </c>
      <c r="W927" t="s">
        <v>39700</v>
      </c>
      <c r="X927" t="s">
        <v>43169</v>
      </c>
    </row>
    <row r="928" spans="1:24">
      <c r="A928">
        <f>HYPERLINK("https://www.philgeps.gov.ph/GEPSNONPILOT/Tender/SplashBidNoticeAbstractUI.aspx?menuIndex=3&amp;refID=7087687&amp;Result=3","7087687")</f>
        <v>0</v>
      </c>
      <c r="B928" t="s">
        <v>411</v>
      </c>
      <c r="C928" t="s">
        <v>4316</v>
      </c>
      <c r="D928" t="s">
        <v>17487</v>
      </c>
      <c r="E928" t="s">
        <v>18358</v>
      </c>
      <c r="F928" t="s">
        <v>30052</v>
      </c>
      <c r="G928" t="s">
        <v>30059</v>
      </c>
      <c r="H928" t="s">
        <v>15498</v>
      </c>
      <c r="I928" t="s">
        <v>30092</v>
      </c>
      <c r="J928" t="s">
        <v>30911</v>
      </c>
      <c r="K928" t="s">
        <v>39025</v>
      </c>
      <c r="M928" t="s">
        <v>39710</v>
      </c>
      <c r="N928" t="s">
        <v>43166</v>
      </c>
      <c r="O928" t="s">
        <v>43167</v>
      </c>
      <c r="P928">
        <v>0</v>
      </c>
      <c r="Q928">
        <v>1</v>
      </c>
      <c r="R928" t="s">
        <v>43168</v>
      </c>
      <c r="S928" t="s">
        <v>43286</v>
      </c>
      <c r="T928" t="s">
        <v>44708</v>
      </c>
      <c r="U928" t="s">
        <v>45977</v>
      </c>
      <c r="W928" t="s">
        <v>39710</v>
      </c>
      <c r="X928" t="s">
        <v>43169</v>
      </c>
    </row>
    <row r="929" spans="1:24">
      <c r="A929">
        <f>HYPERLINK("https://www.philgeps.gov.ph/GEPSNONPILOT/Tender/SplashBidNoticeAbstractUI.aspx?menuIndex=3&amp;refID=7087686&amp;Result=3","7087686")</f>
        <v>0</v>
      </c>
      <c r="B929" t="s">
        <v>412</v>
      </c>
      <c r="C929" t="s">
        <v>4317</v>
      </c>
      <c r="D929" t="s">
        <v>17431</v>
      </c>
      <c r="E929" t="s">
        <v>18359</v>
      </c>
      <c r="F929" t="s">
        <v>30052</v>
      </c>
      <c r="G929" t="s">
        <v>30058</v>
      </c>
      <c r="H929" t="s">
        <v>30067</v>
      </c>
      <c r="I929" t="s">
        <v>3693</v>
      </c>
      <c r="J929" t="s">
        <v>30912</v>
      </c>
      <c r="K929" t="s">
        <v>39020</v>
      </c>
      <c r="M929" t="s">
        <v>39711</v>
      </c>
      <c r="N929" t="s">
        <v>43166</v>
      </c>
      <c r="O929" t="s">
        <v>43167</v>
      </c>
      <c r="P929">
        <v>0</v>
      </c>
      <c r="Q929">
        <v>0</v>
      </c>
      <c r="R929" t="s">
        <v>43168</v>
      </c>
      <c r="S929" t="s">
        <v>43286</v>
      </c>
      <c r="T929" t="s">
        <v>44677</v>
      </c>
      <c r="U929" t="s">
        <v>45978</v>
      </c>
      <c r="V929" t="s">
        <v>56930</v>
      </c>
      <c r="W929" t="s">
        <v>39711</v>
      </c>
      <c r="X929" t="s">
        <v>43169</v>
      </c>
    </row>
    <row r="930" spans="1:24">
      <c r="A930">
        <f>HYPERLINK("https://www.philgeps.gov.ph/GEPSNONPILOT/Tender/SplashBidNoticeAbstractUI.aspx?menuIndex=3&amp;refID=7087684&amp;Result=3","7087684")</f>
        <v>0</v>
      </c>
      <c r="B930" t="s">
        <v>409</v>
      </c>
      <c r="C930" t="s">
        <v>4318</v>
      </c>
      <c r="D930" t="s">
        <v>17473</v>
      </c>
      <c r="E930" t="s">
        <v>18360</v>
      </c>
      <c r="F930" t="s">
        <v>30052</v>
      </c>
      <c r="G930" t="s">
        <v>30062</v>
      </c>
      <c r="H930" t="s">
        <v>15498</v>
      </c>
      <c r="I930" t="s">
        <v>4119</v>
      </c>
      <c r="J930" t="s">
        <v>30913</v>
      </c>
      <c r="K930" t="s">
        <v>39034</v>
      </c>
      <c r="M930" t="s">
        <v>39708</v>
      </c>
      <c r="N930" t="s">
        <v>43166</v>
      </c>
      <c r="O930" t="s">
        <v>43167</v>
      </c>
      <c r="P930">
        <v>0</v>
      </c>
      <c r="Q930">
        <v>0</v>
      </c>
      <c r="R930" t="s">
        <v>43168</v>
      </c>
      <c r="S930" t="s">
        <v>43286</v>
      </c>
      <c r="T930" t="s">
        <v>44737</v>
      </c>
      <c r="U930" t="s">
        <v>45979</v>
      </c>
      <c r="W930" t="s">
        <v>39708</v>
      </c>
      <c r="X930" t="s">
        <v>43169</v>
      </c>
    </row>
    <row r="931" spans="1:24">
      <c r="A931">
        <f>HYPERLINK("https://www.philgeps.gov.ph/GEPSNONPILOT/Tender/SplashBidNoticeAbstractUI.aspx?menuIndex=3&amp;refID=7087695&amp;Result=3","7087695")</f>
        <v>0</v>
      </c>
      <c r="B931" t="s">
        <v>408</v>
      </c>
      <c r="C931" t="s">
        <v>4319</v>
      </c>
      <c r="D931" t="s">
        <v>17452</v>
      </c>
      <c r="E931" t="s">
        <v>18361</v>
      </c>
      <c r="F931" t="s">
        <v>30052</v>
      </c>
      <c r="G931" t="s">
        <v>30059</v>
      </c>
      <c r="H931" t="s">
        <v>15498</v>
      </c>
      <c r="I931" t="s">
        <v>30094</v>
      </c>
      <c r="J931" t="s">
        <v>30914</v>
      </c>
      <c r="K931" t="s">
        <v>39017</v>
      </c>
      <c r="M931" t="s">
        <v>39707</v>
      </c>
      <c r="N931" t="s">
        <v>43166</v>
      </c>
      <c r="O931" t="s">
        <v>43167</v>
      </c>
      <c r="P931">
        <v>0</v>
      </c>
      <c r="Q931">
        <v>0</v>
      </c>
      <c r="R931" t="s">
        <v>43168</v>
      </c>
      <c r="S931" t="s">
        <v>43286</v>
      </c>
      <c r="T931" t="s">
        <v>44715</v>
      </c>
      <c r="U931" t="s">
        <v>45980</v>
      </c>
      <c r="W931" t="s">
        <v>39707</v>
      </c>
      <c r="X931" t="s">
        <v>43169</v>
      </c>
    </row>
    <row r="932" spans="1:24">
      <c r="A932">
        <f>HYPERLINK("https://www.philgeps.gov.ph/GEPSNONPILOT/Tender/SplashBidNoticeAbstractUI.aspx?menuIndex=3&amp;refID=7087683&amp;Result=3","7087683")</f>
        <v>0</v>
      </c>
      <c r="B932" t="s">
        <v>401</v>
      </c>
      <c r="C932" t="s">
        <v>4313</v>
      </c>
      <c r="D932" t="s">
        <v>17482</v>
      </c>
      <c r="E932" t="s">
        <v>17666</v>
      </c>
      <c r="F932" t="s">
        <v>30052</v>
      </c>
      <c r="G932" t="s">
        <v>30058</v>
      </c>
      <c r="H932" t="s">
        <v>30067</v>
      </c>
      <c r="I932" t="s">
        <v>3693</v>
      </c>
      <c r="J932" t="s">
        <v>30222</v>
      </c>
      <c r="K932" t="s">
        <v>39022</v>
      </c>
      <c r="M932" t="s">
        <v>39700</v>
      </c>
      <c r="N932" t="s">
        <v>43166</v>
      </c>
      <c r="O932" t="s">
        <v>43167</v>
      </c>
      <c r="P932">
        <v>0</v>
      </c>
      <c r="Q932">
        <v>2</v>
      </c>
      <c r="R932" t="s">
        <v>43168</v>
      </c>
      <c r="S932" t="s">
        <v>43286</v>
      </c>
      <c r="T932" t="s">
        <v>44709</v>
      </c>
      <c r="U932" t="s">
        <v>45981</v>
      </c>
      <c r="W932" t="s">
        <v>39700</v>
      </c>
      <c r="X932" t="s">
        <v>43169</v>
      </c>
    </row>
    <row r="933" spans="1:24">
      <c r="A933">
        <f>HYPERLINK("https://www.philgeps.gov.ph/GEPSNONPILOT/Tender/SplashBidNoticeAbstractUI.aspx?menuIndex=3&amp;refID=7087692&amp;Result=3","7087692")</f>
        <v>0</v>
      </c>
      <c r="B933" t="s">
        <v>413</v>
      </c>
      <c r="C933" t="s">
        <v>4320</v>
      </c>
      <c r="D933" t="s">
        <v>17489</v>
      </c>
      <c r="E933" t="s">
        <v>18362</v>
      </c>
      <c r="F933" t="s">
        <v>30052</v>
      </c>
      <c r="G933" t="s">
        <v>30059</v>
      </c>
      <c r="H933" t="s">
        <v>15498</v>
      </c>
      <c r="I933" t="s">
        <v>8758</v>
      </c>
      <c r="J933" t="s">
        <v>30915</v>
      </c>
      <c r="K933" t="s">
        <v>39037</v>
      </c>
      <c r="M933" t="s">
        <v>39712</v>
      </c>
      <c r="N933" t="s">
        <v>43166</v>
      </c>
      <c r="O933" t="s">
        <v>43167</v>
      </c>
      <c r="P933">
        <v>0</v>
      </c>
      <c r="Q933">
        <v>1</v>
      </c>
      <c r="R933" t="s">
        <v>43168</v>
      </c>
      <c r="S933" t="s">
        <v>43286</v>
      </c>
      <c r="T933" t="s">
        <v>44808</v>
      </c>
      <c r="U933" t="s">
        <v>45982</v>
      </c>
      <c r="W933" t="s">
        <v>39712</v>
      </c>
      <c r="X933" t="s">
        <v>43169</v>
      </c>
    </row>
    <row r="934" spans="1:24">
      <c r="A934">
        <f>HYPERLINK("https://www.philgeps.gov.ph/GEPSNONPILOT/Tender/SplashBidNoticeAbstractUI.aspx?menuIndex=3&amp;refID=7087718&amp;Result=3","7087718")</f>
        <v>0</v>
      </c>
      <c r="B934" t="s">
        <v>414</v>
      </c>
      <c r="C934" t="s">
        <v>3971</v>
      </c>
      <c r="E934" t="s">
        <v>18191</v>
      </c>
      <c r="F934" t="s">
        <v>30052</v>
      </c>
      <c r="G934" t="s">
        <v>30062</v>
      </c>
      <c r="H934" t="s">
        <v>15498</v>
      </c>
      <c r="I934" t="s">
        <v>30070</v>
      </c>
      <c r="J934" t="s">
        <v>30916</v>
      </c>
      <c r="K934" t="s">
        <v>39017</v>
      </c>
      <c r="M934" t="s">
        <v>39713</v>
      </c>
      <c r="N934" t="s">
        <v>43166</v>
      </c>
      <c r="O934" t="s">
        <v>43167</v>
      </c>
      <c r="P934">
        <v>0</v>
      </c>
      <c r="Q934">
        <v>0</v>
      </c>
      <c r="R934" t="s">
        <v>43168</v>
      </c>
      <c r="S934" t="s">
        <v>43286</v>
      </c>
      <c r="T934" t="s">
        <v>44715</v>
      </c>
      <c r="U934" t="s">
        <v>45983</v>
      </c>
      <c r="W934" t="s">
        <v>39713</v>
      </c>
      <c r="X934" t="s">
        <v>43169</v>
      </c>
    </row>
    <row r="935" spans="1:24">
      <c r="A935">
        <f>HYPERLINK("https://www.philgeps.gov.ph/GEPSNONPILOT/Tender/SplashBidNoticeAbstractUI.aspx?menuIndex=3&amp;refID=7087716&amp;Result=3","7087716")</f>
        <v>0</v>
      </c>
      <c r="B935" t="s">
        <v>415</v>
      </c>
      <c r="C935" t="s">
        <v>4321</v>
      </c>
      <c r="D935" t="s">
        <v>17472</v>
      </c>
      <c r="E935" t="s">
        <v>18363</v>
      </c>
      <c r="F935" t="s">
        <v>30052</v>
      </c>
      <c r="G935" t="s">
        <v>30061</v>
      </c>
      <c r="H935" t="s">
        <v>15498</v>
      </c>
      <c r="I935" t="s">
        <v>30070</v>
      </c>
      <c r="J935" t="s">
        <v>30917</v>
      </c>
      <c r="K935" t="s">
        <v>39034</v>
      </c>
      <c r="M935" t="s">
        <v>39714</v>
      </c>
      <c r="N935" t="s">
        <v>43166</v>
      </c>
      <c r="O935" t="s">
        <v>43167</v>
      </c>
      <c r="P935">
        <v>0</v>
      </c>
      <c r="Q935">
        <v>0</v>
      </c>
      <c r="R935" t="s">
        <v>43168</v>
      </c>
      <c r="S935" t="s">
        <v>43286</v>
      </c>
      <c r="T935" t="s">
        <v>44685</v>
      </c>
      <c r="U935" t="s">
        <v>45984</v>
      </c>
      <c r="W935" t="s">
        <v>39714</v>
      </c>
      <c r="X935" t="s">
        <v>43169</v>
      </c>
    </row>
    <row r="936" spans="1:24">
      <c r="A936">
        <f>HYPERLINK("https://www.philgeps.gov.ph/GEPSNONPILOT/Tender/SplashBidNoticeAbstractUI.aspx?menuIndex=3&amp;refID=7087685&amp;Result=3","7087685")</f>
        <v>0</v>
      </c>
      <c r="B936" t="s">
        <v>416</v>
      </c>
      <c r="C936" t="s">
        <v>4322</v>
      </c>
      <c r="D936" t="s">
        <v>17466</v>
      </c>
      <c r="E936" t="s">
        <v>18364</v>
      </c>
      <c r="F936" t="s">
        <v>30052</v>
      </c>
      <c r="G936" t="s">
        <v>30058</v>
      </c>
      <c r="H936" t="s">
        <v>15498</v>
      </c>
      <c r="I936" t="s">
        <v>30085</v>
      </c>
      <c r="J936" t="s">
        <v>30402</v>
      </c>
      <c r="K936" t="s">
        <v>39034</v>
      </c>
      <c r="M936" t="s">
        <v>39715</v>
      </c>
      <c r="N936" t="s">
        <v>43166</v>
      </c>
      <c r="O936" t="s">
        <v>43167</v>
      </c>
      <c r="P936">
        <v>0</v>
      </c>
      <c r="Q936">
        <v>0</v>
      </c>
      <c r="R936" t="s">
        <v>43168</v>
      </c>
      <c r="S936" t="s">
        <v>43286</v>
      </c>
      <c r="T936" t="s">
        <v>44809</v>
      </c>
      <c r="U936" t="s">
        <v>45985</v>
      </c>
      <c r="W936" t="s">
        <v>39715</v>
      </c>
      <c r="X936" t="s">
        <v>43169</v>
      </c>
    </row>
    <row r="937" spans="1:24">
      <c r="A937">
        <f>HYPERLINK("https://www.philgeps.gov.ph/GEPSNONPILOT/Tender/SplashBidNoticeAbstractUI.aspx?menuIndex=3&amp;refID=7087715&amp;Result=3","7087715")</f>
        <v>0</v>
      </c>
      <c r="B937" t="s">
        <v>417</v>
      </c>
      <c r="C937" t="s">
        <v>4323</v>
      </c>
      <c r="D937" t="s">
        <v>17416</v>
      </c>
      <c r="E937" t="s">
        <v>18365</v>
      </c>
      <c r="F937" t="s">
        <v>30052</v>
      </c>
      <c r="G937" t="s">
        <v>30059</v>
      </c>
      <c r="H937" t="s">
        <v>15498</v>
      </c>
      <c r="I937" t="s">
        <v>6691</v>
      </c>
      <c r="J937" t="s">
        <v>30230</v>
      </c>
      <c r="K937" t="s">
        <v>39060</v>
      </c>
      <c r="M937" t="s">
        <v>39716</v>
      </c>
      <c r="N937" t="s">
        <v>43166</v>
      </c>
      <c r="O937" t="s">
        <v>43167</v>
      </c>
      <c r="P937">
        <v>0</v>
      </c>
      <c r="Q937">
        <v>0</v>
      </c>
      <c r="R937" t="s">
        <v>43168</v>
      </c>
      <c r="S937" t="s">
        <v>43286</v>
      </c>
      <c r="T937" t="s">
        <v>44691</v>
      </c>
      <c r="U937" t="s">
        <v>45986</v>
      </c>
      <c r="W937" t="s">
        <v>39716</v>
      </c>
      <c r="X937" t="s">
        <v>43169</v>
      </c>
    </row>
    <row r="938" spans="1:24">
      <c r="A938">
        <f>HYPERLINK("https://www.philgeps.gov.ph/GEPSNONPILOT/Tender/SplashBidNoticeAbstractUI.aspx?menuIndex=3&amp;refID=7087714&amp;Result=3","7087714")</f>
        <v>0</v>
      </c>
      <c r="B938" t="s">
        <v>189</v>
      </c>
      <c r="C938" t="s">
        <v>4324</v>
      </c>
      <c r="D938" t="s">
        <v>17454</v>
      </c>
      <c r="E938" t="s">
        <v>18366</v>
      </c>
      <c r="F938" t="s">
        <v>30052</v>
      </c>
      <c r="G938" t="s">
        <v>30059</v>
      </c>
      <c r="H938" t="s">
        <v>15498</v>
      </c>
      <c r="I938" t="s">
        <v>6691</v>
      </c>
      <c r="J938" t="s">
        <v>30527</v>
      </c>
      <c r="K938" t="s">
        <v>39036</v>
      </c>
      <c r="M938" t="s">
        <v>39478</v>
      </c>
      <c r="N938" t="s">
        <v>43166</v>
      </c>
      <c r="O938" t="s">
        <v>43167</v>
      </c>
      <c r="P938">
        <v>0</v>
      </c>
      <c r="Q938">
        <v>0</v>
      </c>
      <c r="R938" t="s">
        <v>43168</v>
      </c>
      <c r="S938" t="s">
        <v>43286</v>
      </c>
      <c r="T938" t="s">
        <v>44720</v>
      </c>
      <c r="U938" t="s">
        <v>45987</v>
      </c>
      <c r="W938" t="s">
        <v>39478</v>
      </c>
      <c r="X938" t="s">
        <v>43169</v>
      </c>
    </row>
    <row r="939" spans="1:24">
      <c r="A939">
        <f>HYPERLINK("https://www.philgeps.gov.ph/GEPSNONPILOT/Tender/SplashBidNoticeAbstractUI.aspx?menuIndex=3&amp;refID=7087717&amp;Result=3","7087717")</f>
        <v>0</v>
      </c>
      <c r="B939" t="s">
        <v>189</v>
      </c>
      <c r="C939" t="s">
        <v>4325</v>
      </c>
      <c r="D939" t="s">
        <v>17454</v>
      </c>
      <c r="E939" t="s">
        <v>18367</v>
      </c>
      <c r="F939" t="s">
        <v>30052</v>
      </c>
      <c r="G939" t="s">
        <v>30059</v>
      </c>
      <c r="H939" t="s">
        <v>15498</v>
      </c>
      <c r="I939" t="s">
        <v>6691</v>
      </c>
      <c r="J939" t="s">
        <v>30527</v>
      </c>
      <c r="K939" t="s">
        <v>39036</v>
      </c>
      <c r="M939" t="s">
        <v>39478</v>
      </c>
      <c r="N939" t="s">
        <v>43166</v>
      </c>
      <c r="O939" t="s">
        <v>43167</v>
      </c>
      <c r="P939">
        <v>0</v>
      </c>
      <c r="Q939">
        <v>1</v>
      </c>
      <c r="R939" t="s">
        <v>43168</v>
      </c>
      <c r="S939" t="s">
        <v>43286</v>
      </c>
      <c r="T939" t="s">
        <v>44708</v>
      </c>
      <c r="U939" t="s">
        <v>45987</v>
      </c>
      <c r="W939" t="s">
        <v>39478</v>
      </c>
      <c r="X939" t="s">
        <v>43169</v>
      </c>
    </row>
    <row r="940" spans="1:24">
      <c r="A940">
        <f>HYPERLINK("https://www.philgeps.gov.ph/GEPSNONPILOT/Tender/SplashBidNoticeAbstractUI.aspx?menuIndex=3&amp;refID=7087711&amp;Result=3","7087711")</f>
        <v>0</v>
      </c>
      <c r="B940" t="s">
        <v>189</v>
      </c>
      <c r="C940" t="s">
        <v>4326</v>
      </c>
      <c r="D940" t="s">
        <v>17454</v>
      </c>
      <c r="E940" t="s">
        <v>18368</v>
      </c>
      <c r="F940" t="s">
        <v>30052</v>
      </c>
      <c r="G940" t="s">
        <v>30059</v>
      </c>
      <c r="H940" t="s">
        <v>15498</v>
      </c>
      <c r="I940" t="s">
        <v>6691</v>
      </c>
      <c r="J940" t="s">
        <v>30570</v>
      </c>
      <c r="K940" t="s">
        <v>39036</v>
      </c>
      <c r="M940" t="s">
        <v>39478</v>
      </c>
      <c r="N940" t="s">
        <v>43166</v>
      </c>
      <c r="O940" t="s">
        <v>43167</v>
      </c>
      <c r="P940">
        <v>0</v>
      </c>
      <c r="Q940">
        <v>0</v>
      </c>
      <c r="R940" t="s">
        <v>43168</v>
      </c>
      <c r="S940" t="s">
        <v>43286</v>
      </c>
      <c r="T940" t="s">
        <v>44708</v>
      </c>
      <c r="U940" t="s">
        <v>45987</v>
      </c>
      <c r="W940" t="s">
        <v>39478</v>
      </c>
      <c r="X940" t="s">
        <v>43169</v>
      </c>
    </row>
    <row r="941" spans="1:24">
      <c r="A941">
        <f>HYPERLINK("https://www.philgeps.gov.ph/GEPSNONPILOT/Tender/SplashBidNoticeAbstractUI.aspx?menuIndex=3&amp;refID=7087689&amp;Result=3","7087689")</f>
        <v>0</v>
      </c>
      <c r="B941" t="s">
        <v>409</v>
      </c>
      <c r="C941" t="s">
        <v>4148</v>
      </c>
      <c r="D941" t="s">
        <v>17473</v>
      </c>
      <c r="E941" t="s">
        <v>18369</v>
      </c>
      <c r="F941" t="s">
        <v>30052</v>
      </c>
      <c r="G941" t="s">
        <v>30059</v>
      </c>
      <c r="H941" t="s">
        <v>15498</v>
      </c>
      <c r="I941" t="s">
        <v>30076</v>
      </c>
      <c r="J941" t="s">
        <v>30330</v>
      </c>
      <c r="K941" t="s">
        <v>39034</v>
      </c>
      <c r="M941" t="s">
        <v>39708</v>
      </c>
      <c r="N941" t="s">
        <v>43166</v>
      </c>
      <c r="O941" t="s">
        <v>43167</v>
      </c>
      <c r="P941">
        <v>0</v>
      </c>
      <c r="Q941">
        <v>0</v>
      </c>
      <c r="R941" t="s">
        <v>43168</v>
      </c>
      <c r="S941" t="s">
        <v>43286</v>
      </c>
      <c r="T941" t="s">
        <v>44737</v>
      </c>
      <c r="U941" t="s">
        <v>45988</v>
      </c>
      <c r="W941" t="s">
        <v>39708</v>
      </c>
      <c r="X941" t="s">
        <v>43169</v>
      </c>
    </row>
    <row r="942" spans="1:24">
      <c r="A942">
        <f>HYPERLINK("https://www.philgeps.gov.ph/GEPSNONPILOT/Tender/SplashBidNoticeAbstractUI.aspx?menuIndex=3&amp;refID=7087710&amp;Result=3","7087710")</f>
        <v>0</v>
      </c>
      <c r="B942" t="s">
        <v>415</v>
      </c>
      <c r="C942" t="s">
        <v>4327</v>
      </c>
      <c r="D942" t="s">
        <v>17472</v>
      </c>
      <c r="E942" t="s">
        <v>18363</v>
      </c>
      <c r="F942" t="s">
        <v>30052</v>
      </c>
      <c r="G942" t="s">
        <v>30061</v>
      </c>
      <c r="H942" t="s">
        <v>15498</v>
      </c>
      <c r="I942" t="s">
        <v>30084</v>
      </c>
      <c r="J942" t="s">
        <v>30918</v>
      </c>
      <c r="K942" t="s">
        <v>39034</v>
      </c>
      <c r="M942" t="s">
        <v>39714</v>
      </c>
      <c r="N942" t="s">
        <v>43166</v>
      </c>
      <c r="O942" t="s">
        <v>43167</v>
      </c>
      <c r="P942">
        <v>0</v>
      </c>
      <c r="Q942">
        <v>1</v>
      </c>
      <c r="R942" t="s">
        <v>43168</v>
      </c>
      <c r="S942" t="s">
        <v>43286</v>
      </c>
      <c r="T942" t="s">
        <v>44685</v>
      </c>
      <c r="U942" t="s">
        <v>45989</v>
      </c>
      <c r="W942" t="s">
        <v>39714</v>
      </c>
      <c r="X942" t="s">
        <v>43169</v>
      </c>
    </row>
    <row r="943" spans="1:24">
      <c r="A943">
        <f>HYPERLINK("https://www.philgeps.gov.ph/GEPSNONPILOT/Tender/SplashBidNoticeAbstractUI.aspx?menuIndex=3&amp;refID=7087713&amp;Result=3","7087713")</f>
        <v>0</v>
      </c>
      <c r="B943" t="s">
        <v>418</v>
      </c>
      <c r="C943" t="s">
        <v>3971</v>
      </c>
      <c r="D943" t="s">
        <v>17452</v>
      </c>
      <c r="E943" t="s">
        <v>11609</v>
      </c>
      <c r="F943" t="s">
        <v>30052</v>
      </c>
      <c r="G943" t="s">
        <v>30062</v>
      </c>
      <c r="H943" t="s">
        <v>15498</v>
      </c>
      <c r="I943" t="s">
        <v>30070</v>
      </c>
      <c r="J943" t="s">
        <v>30426</v>
      </c>
      <c r="K943" t="s">
        <v>39017</v>
      </c>
      <c r="M943" t="s">
        <v>39717</v>
      </c>
      <c r="N943" t="s">
        <v>43166</v>
      </c>
      <c r="O943" t="s">
        <v>43167</v>
      </c>
      <c r="P943">
        <v>0</v>
      </c>
      <c r="Q943">
        <v>0</v>
      </c>
      <c r="R943" t="s">
        <v>43168</v>
      </c>
      <c r="S943" t="s">
        <v>43286</v>
      </c>
      <c r="T943" t="s">
        <v>44715</v>
      </c>
      <c r="U943" t="s">
        <v>45990</v>
      </c>
      <c r="W943" t="s">
        <v>39717</v>
      </c>
      <c r="X943" t="s">
        <v>43169</v>
      </c>
    </row>
    <row r="944" spans="1:24">
      <c r="A944">
        <f>HYPERLINK("https://www.philgeps.gov.ph/GEPSNONPILOT/Tender/SplashBidNoticeAbstractUI.aspx?menuIndex=3&amp;refID=7087708&amp;Result=3","7087708")</f>
        <v>0</v>
      </c>
      <c r="B944" t="s">
        <v>416</v>
      </c>
      <c r="C944" t="s">
        <v>4328</v>
      </c>
      <c r="D944" t="s">
        <v>17466</v>
      </c>
      <c r="E944" t="s">
        <v>18370</v>
      </c>
      <c r="F944" t="s">
        <v>30052</v>
      </c>
      <c r="G944" t="s">
        <v>30058</v>
      </c>
      <c r="H944" t="s">
        <v>15498</v>
      </c>
      <c r="I944" t="s">
        <v>3606</v>
      </c>
      <c r="J944" t="s">
        <v>30905</v>
      </c>
      <c r="K944" t="s">
        <v>39034</v>
      </c>
      <c r="M944" t="s">
        <v>39715</v>
      </c>
      <c r="N944" t="s">
        <v>43166</v>
      </c>
      <c r="O944" t="s">
        <v>43167</v>
      </c>
      <c r="P944">
        <v>0</v>
      </c>
      <c r="Q944">
        <v>0</v>
      </c>
      <c r="R944" t="s">
        <v>43168</v>
      </c>
      <c r="S944" t="s">
        <v>43286</v>
      </c>
      <c r="T944" t="s">
        <v>44809</v>
      </c>
      <c r="U944" t="s">
        <v>45991</v>
      </c>
      <c r="W944" t="s">
        <v>39715</v>
      </c>
      <c r="X944" t="s">
        <v>43169</v>
      </c>
    </row>
    <row r="945" spans="1:24">
      <c r="A945">
        <f>HYPERLINK("https://www.philgeps.gov.ph/GEPSNONPILOT/Tender/SplashBidNoticeAbstractUI.aspx?menuIndex=3&amp;refID=7087712&amp;Result=3","7087712")</f>
        <v>0</v>
      </c>
      <c r="B945" t="s">
        <v>419</v>
      </c>
      <c r="C945" t="s">
        <v>4329</v>
      </c>
      <c r="D945" t="s">
        <v>17448</v>
      </c>
      <c r="E945" t="s">
        <v>17902</v>
      </c>
      <c r="F945" t="s">
        <v>30052</v>
      </c>
      <c r="G945" t="s">
        <v>30058</v>
      </c>
      <c r="H945" t="s">
        <v>30067</v>
      </c>
      <c r="I945" t="s">
        <v>3693</v>
      </c>
      <c r="J945" t="s">
        <v>30297</v>
      </c>
      <c r="K945" t="s">
        <v>39023</v>
      </c>
      <c r="M945" t="s">
        <v>39718</v>
      </c>
      <c r="N945" t="s">
        <v>43166</v>
      </c>
      <c r="O945" t="s">
        <v>43167</v>
      </c>
      <c r="P945">
        <v>0</v>
      </c>
      <c r="Q945">
        <v>0</v>
      </c>
      <c r="R945" t="s">
        <v>43168</v>
      </c>
      <c r="S945" t="s">
        <v>43286</v>
      </c>
      <c r="T945" t="s">
        <v>44718</v>
      </c>
      <c r="U945" t="s">
        <v>45992</v>
      </c>
      <c r="W945" t="s">
        <v>39718</v>
      </c>
      <c r="X945" t="s">
        <v>43169</v>
      </c>
    </row>
    <row r="946" spans="1:24">
      <c r="A946">
        <f>HYPERLINK("https://www.philgeps.gov.ph/GEPSNONPILOT/Tender/SplashBidNoticeAbstractUI.aspx?menuIndex=3&amp;refID=7087707&amp;Result=3","7087707")</f>
        <v>0</v>
      </c>
      <c r="B946" t="s">
        <v>189</v>
      </c>
      <c r="C946" t="s">
        <v>4330</v>
      </c>
      <c r="D946" t="s">
        <v>17425</v>
      </c>
      <c r="E946" t="s">
        <v>18371</v>
      </c>
      <c r="F946" t="s">
        <v>30052</v>
      </c>
      <c r="G946" t="s">
        <v>30059</v>
      </c>
      <c r="H946" t="s">
        <v>15498</v>
      </c>
      <c r="I946" t="s">
        <v>6691</v>
      </c>
      <c r="J946" t="s">
        <v>30527</v>
      </c>
      <c r="K946" t="s">
        <v>39036</v>
      </c>
      <c r="M946" t="s">
        <v>39478</v>
      </c>
      <c r="N946" t="s">
        <v>43166</v>
      </c>
      <c r="O946" t="s">
        <v>43167</v>
      </c>
      <c r="P946">
        <v>0</v>
      </c>
      <c r="Q946">
        <v>0</v>
      </c>
      <c r="R946" t="s">
        <v>43168</v>
      </c>
      <c r="S946" t="s">
        <v>43286</v>
      </c>
      <c r="T946" t="s">
        <v>44708</v>
      </c>
      <c r="U946" t="s">
        <v>45987</v>
      </c>
      <c r="W946" t="s">
        <v>39478</v>
      </c>
      <c r="X946" t="s">
        <v>43169</v>
      </c>
    </row>
    <row r="947" spans="1:24">
      <c r="A947">
        <f>HYPERLINK("https://www.philgeps.gov.ph/GEPSNONPILOT/Tender/SplashBidNoticeAbstractUI.aspx?menuIndex=3&amp;refID=7087705&amp;Result=3","7087705")</f>
        <v>0</v>
      </c>
      <c r="B947" t="s">
        <v>418</v>
      </c>
      <c r="C947" t="s">
        <v>4331</v>
      </c>
      <c r="D947" t="s">
        <v>17452</v>
      </c>
      <c r="E947" t="s">
        <v>18372</v>
      </c>
      <c r="F947" t="s">
        <v>30052</v>
      </c>
      <c r="G947" t="s">
        <v>30059</v>
      </c>
      <c r="H947" t="s">
        <v>15498</v>
      </c>
      <c r="I947" t="s">
        <v>3736</v>
      </c>
      <c r="J947" t="s">
        <v>30919</v>
      </c>
      <c r="K947" t="s">
        <v>39017</v>
      </c>
      <c r="M947" t="s">
        <v>39717</v>
      </c>
      <c r="N947" t="s">
        <v>43166</v>
      </c>
      <c r="O947" t="s">
        <v>43167</v>
      </c>
      <c r="P947">
        <v>0</v>
      </c>
      <c r="Q947">
        <v>1</v>
      </c>
      <c r="R947" t="s">
        <v>43168</v>
      </c>
      <c r="S947" t="s">
        <v>43286</v>
      </c>
      <c r="T947" t="s">
        <v>44715</v>
      </c>
      <c r="U947" t="s">
        <v>45993</v>
      </c>
      <c r="W947" t="s">
        <v>39717</v>
      </c>
      <c r="X947" t="s">
        <v>43169</v>
      </c>
    </row>
    <row r="948" spans="1:24">
      <c r="A948">
        <f>HYPERLINK("https://www.philgeps.gov.ph/GEPSNONPILOT/Tender/SplashBidNoticeAbstractUI.aspx?menuIndex=3&amp;refID=7087662&amp;Result=3","7087662")</f>
        <v>0</v>
      </c>
      <c r="B948" t="s">
        <v>391</v>
      </c>
      <c r="C948" t="s">
        <v>4332</v>
      </c>
      <c r="D948" t="s">
        <v>17428</v>
      </c>
      <c r="E948" t="s">
        <v>18373</v>
      </c>
      <c r="F948" t="s">
        <v>30052</v>
      </c>
      <c r="G948" t="s">
        <v>30059</v>
      </c>
      <c r="H948" t="s">
        <v>15498</v>
      </c>
      <c r="I948" t="s">
        <v>30096</v>
      </c>
      <c r="J948" t="s">
        <v>30920</v>
      </c>
      <c r="K948" t="s">
        <v>39034</v>
      </c>
      <c r="M948" t="s">
        <v>39689</v>
      </c>
      <c r="N948" t="s">
        <v>43166</v>
      </c>
      <c r="O948" t="s">
        <v>43167</v>
      </c>
      <c r="P948">
        <v>0</v>
      </c>
      <c r="Q948">
        <v>0</v>
      </c>
      <c r="R948" t="s">
        <v>43168</v>
      </c>
      <c r="S948" t="s">
        <v>43286</v>
      </c>
      <c r="T948" t="s">
        <v>44685</v>
      </c>
      <c r="U948" t="s">
        <v>45994</v>
      </c>
      <c r="V948" t="s">
        <v>56931</v>
      </c>
      <c r="W948" t="s">
        <v>39689</v>
      </c>
      <c r="X948" t="s">
        <v>43169</v>
      </c>
    </row>
    <row r="949" spans="1:24">
      <c r="A949">
        <f>HYPERLINK("https://www.philgeps.gov.ph/GEPSNONPILOT/Tender/SplashBidNoticeAbstractUI.aspx?menuIndex=3&amp;refID=7087703&amp;Result=3","7087703")</f>
        <v>0</v>
      </c>
      <c r="B949" t="s">
        <v>189</v>
      </c>
      <c r="C949" t="s">
        <v>4333</v>
      </c>
      <c r="D949" t="s">
        <v>17487</v>
      </c>
      <c r="E949" t="s">
        <v>18374</v>
      </c>
      <c r="F949" t="s">
        <v>30052</v>
      </c>
      <c r="G949" t="s">
        <v>30059</v>
      </c>
      <c r="H949" t="s">
        <v>15498</v>
      </c>
      <c r="I949" t="s">
        <v>6691</v>
      </c>
      <c r="J949" t="s">
        <v>30392</v>
      </c>
      <c r="K949" t="s">
        <v>39036</v>
      </c>
      <c r="M949" t="s">
        <v>39478</v>
      </c>
      <c r="N949" t="s">
        <v>43166</v>
      </c>
      <c r="O949" t="s">
        <v>43167</v>
      </c>
      <c r="P949">
        <v>0</v>
      </c>
      <c r="Q949">
        <v>0</v>
      </c>
      <c r="R949" t="s">
        <v>43168</v>
      </c>
      <c r="S949" t="s">
        <v>43286</v>
      </c>
      <c r="T949" t="s">
        <v>44708</v>
      </c>
      <c r="U949" t="s">
        <v>45987</v>
      </c>
      <c r="W949" t="s">
        <v>39478</v>
      </c>
      <c r="X949" t="s">
        <v>43169</v>
      </c>
    </row>
    <row r="950" spans="1:24">
      <c r="A950">
        <f>HYPERLINK("https://www.philgeps.gov.ph/GEPSNONPILOT/Tender/SplashBidNoticeAbstractUI.aspx?menuIndex=3&amp;refID=7087706&amp;Result=3","7087706")</f>
        <v>0</v>
      </c>
      <c r="B950" t="s">
        <v>189</v>
      </c>
      <c r="C950" t="s">
        <v>4334</v>
      </c>
      <c r="D950" t="s">
        <v>17487</v>
      </c>
      <c r="E950" t="s">
        <v>18375</v>
      </c>
      <c r="F950" t="s">
        <v>30052</v>
      </c>
      <c r="G950" t="s">
        <v>30059</v>
      </c>
      <c r="H950" t="s">
        <v>15498</v>
      </c>
      <c r="I950" t="s">
        <v>6691</v>
      </c>
      <c r="J950" t="s">
        <v>30921</v>
      </c>
      <c r="K950" t="s">
        <v>39036</v>
      </c>
      <c r="M950" t="s">
        <v>39478</v>
      </c>
      <c r="N950" t="s">
        <v>43166</v>
      </c>
      <c r="O950" t="s">
        <v>43167</v>
      </c>
      <c r="P950">
        <v>0</v>
      </c>
      <c r="Q950">
        <v>0</v>
      </c>
      <c r="R950" t="s">
        <v>43168</v>
      </c>
      <c r="S950" t="s">
        <v>43286</v>
      </c>
      <c r="T950" t="s">
        <v>44708</v>
      </c>
      <c r="U950" t="s">
        <v>45987</v>
      </c>
      <c r="W950" t="s">
        <v>39478</v>
      </c>
      <c r="X950" t="s">
        <v>43169</v>
      </c>
    </row>
    <row r="951" spans="1:24">
      <c r="A951">
        <f>HYPERLINK("https://www.philgeps.gov.ph/GEPSNONPILOT/Tender/SplashBidNoticeAbstractUI.aspx?menuIndex=3&amp;refID=7087626&amp;Result=3","7087626")</f>
        <v>0</v>
      </c>
      <c r="B951" t="s">
        <v>409</v>
      </c>
      <c r="C951" t="s">
        <v>4335</v>
      </c>
      <c r="D951" t="s">
        <v>17473</v>
      </c>
      <c r="E951" t="s">
        <v>18376</v>
      </c>
      <c r="F951" t="s">
        <v>30052</v>
      </c>
      <c r="G951" t="s">
        <v>30059</v>
      </c>
      <c r="H951" t="s">
        <v>15498</v>
      </c>
      <c r="I951" t="s">
        <v>9238</v>
      </c>
      <c r="J951" t="s">
        <v>30922</v>
      </c>
      <c r="K951" t="s">
        <v>39034</v>
      </c>
      <c r="M951" t="s">
        <v>39708</v>
      </c>
      <c r="N951" t="s">
        <v>43166</v>
      </c>
      <c r="O951" t="s">
        <v>43167</v>
      </c>
      <c r="P951">
        <v>0</v>
      </c>
      <c r="Q951">
        <v>2</v>
      </c>
      <c r="R951" t="s">
        <v>43168</v>
      </c>
      <c r="S951" t="s">
        <v>43286</v>
      </c>
      <c r="T951" t="s">
        <v>44737</v>
      </c>
      <c r="U951" t="s">
        <v>45995</v>
      </c>
      <c r="W951" t="s">
        <v>39708</v>
      </c>
      <c r="X951" t="s">
        <v>43169</v>
      </c>
    </row>
    <row r="952" spans="1:24">
      <c r="A952">
        <f>HYPERLINK("https://www.philgeps.gov.ph/GEPSNONPILOT/Tender/SplashBidNoticeAbstractUI.aspx?menuIndex=3&amp;refID=7087699&amp;Result=3","7087699")</f>
        <v>0</v>
      </c>
      <c r="B952" t="s">
        <v>413</v>
      </c>
      <c r="C952" t="s">
        <v>4336</v>
      </c>
      <c r="D952" t="s">
        <v>17489</v>
      </c>
      <c r="E952" t="s">
        <v>18377</v>
      </c>
      <c r="F952" t="s">
        <v>30052</v>
      </c>
      <c r="G952" t="s">
        <v>30059</v>
      </c>
      <c r="H952" t="s">
        <v>15498</v>
      </c>
      <c r="I952" t="s">
        <v>30076</v>
      </c>
      <c r="J952" t="s">
        <v>30218</v>
      </c>
      <c r="K952" t="s">
        <v>39037</v>
      </c>
      <c r="M952" t="s">
        <v>39712</v>
      </c>
      <c r="N952" t="s">
        <v>43166</v>
      </c>
      <c r="O952" t="s">
        <v>43167</v>
      </c>
      <c r="P952">
        <v>0</v>
      </c>
      <c r="Q952">
        <v>14</v>
      </c>
      <c r="R952" t="s">
        <v>43168</v>
      </c>
      <c r="S952" t="s">
        <v>43286</v>
      </c>
      <c r="T952" t="s">
        <v>44808</v>
      </c>
      <c r="U952" t="s">
        <v>45996</v>
      </c>
      <c r="W952" t="s">
        <v>39712</v>
      </c>
      <c r="X952" t="s">
        <v>43169</v>
      </c>
    </row>
    <row r="953" spans="1:24">
      <c r="A953">
        <f>HYPERLINK("https://www.philgeps.gov.ph/GEPSNONPILOT/Tender/SplashBidNoticeAbstractUI.aspx?menuIndex=3&amp;refID=7087704&amp;Result=3","7087704")</f>
        <v>0</v>
      </c>
      <c r="B953" t="s">
        <v>189</v>
      </c>
      <c r="C953" t="s">
        <v>4337</v>
      </c>
      <c r="D953" t="s">
        <v>17454</v>
      </c>
      <c r="E953" t="s">
        <v>18378</v>
      </c>
      <c r="F953" t="s">
        <v>30052</v>
      </c>
      <c r="G953" t="s">
        <v>30059</v>
      </c>
      <c r="H953" t="s">
        <v>15498</v>
      </c>
      <c r="I953" t="s">
        <v>6691</v>
      </c>
      <c r="J953" t="s">
        <v>30392</v>
      </c>
      <c r="K953" t="s">
        <v>39036</v>
      </c>
      <c r="M953" t="s">
        <v>39478</v>
      </c>
      <c r="N953" t="s">
        <v>43166</v>
      </c>
      <c r="O953" t="s">
        <v>43167</v>
      </c>
      <c r="P953">
        <v>0</v>
      </c>
      <c r="Q953">
        <v>1</v>
      </c>
      <c r="R953" t="s">
        <v>43168</v>
      </c>
      <c r="S953" t="s">
        <v>43286</v>
      </c>
      <c r="T953" t="s">
        <v>44708</v>
      </c>
      <c r="U953" t="s">
        <v>45987</v>
      </c>
      <c r="W953" t="s">
        <v>39478</v>
      </c>
      <c r="X953" t="s">
        <v>43169</v>
      </c>
    </row>
    <row r="954" spans="1:24">
      <c r="A954">
        <f>HYPERLINK("https://www.philgeps.gov.ph/GEPSNONPILOT/Tender/SplashBidNoticeAbstractUI.aspx?menuIndex=3&amp;refID=7087680&amp;Result=3","7087680")</f>
        <v>0</v>
      </c>
      <c r="B954" t="s">
        <v>420</v>
      </c>
      <c r="C954" t="s">
        <v>3971</v>
      </c>
      <c r="D954" t="s">
        <v>17452</v>
      </c>
      <c r="E954" t="s">
        <v>18233</v>
      </c>
      <c r="F954" t="s">
        <v>30052</v>
      </c>
      <c r="G954" t="s">
        <v>30062</v>
      </c>
      <c r="H954" t="s">
        <v>15498</v>
      </c>
      <c r="I954" t="s">
        <v>30070</v>
      </c>
      <c r="J954" t="s">
        <v>30923</v>
      </c>
      <c r="K954" t="s">
        <v>39017</v>
      </c>
      <c r="M954" t="s">
        <v>39719</v>
      </c>
      <c r="N954" t="s">
        <v>43166</v>
      </c>
      <c r="O954" t="s">
        <v>43167</v>
      </c>
      <c r="P954">
        <v>0</v>
      </c>
      <c r="Q954">
        <v>2</v>
      </c>
      <c r="R954" t="s">
        <v>43168</v>
      </c>
      <c r="S954" t="s">
        <v>43286</v>
      </c>
      <c r="T954" t="s">
        <v>44715</v>
      </c>
      <c r="U954" t="s">
        <v>45997</v>
      </c>
      <c r="W954" t="s">
        <v>39719</v>
      </c>
      <c r="X954" t="s">
        <v>43169</v>
      </c>
    </row>
    <row r="955" spans="1:24">
      <c r="A955">
        <f>HYPERLINK("https://www.philgeps.gov.ph/GEPSNONPILOT/Tender/SplashBidNoticeAbstractUI.aspx?menuIndex=3&amp;refID=7087701&amp;Result=3","7087701")</f>
        <v>0</v>
      </c>
      <c r="B955" t="s">
        <v>189</v>
      </c>
      <c r="C955" t="s">
        <v>4338</v>
      </c>
      <c r="D955" t="s">
        <v>17454</v>
      </c>
      <c r="E955" t="s">
        <v>18379</v>
      </c>
      <c r="F955" t="s">
        <v>30052</v>
      </c>
      <c r="G955" t="s">
        <v>30059</v>
      </c>
      <c r="H955" t="s">
        <v>15498</v>
      </c>
      <c r="I955" t="s">
        <v>6691</v>
      </c>
      <c r="J955" t="s">
        <v>30570</v>
      </c>
      <c r="K955" t="s">
        <v>39036</v>
      </c>
      <c r="M955" t="s">
        <v>39478</v>
      </c>
      <c r="N955" t="s">
        <v>43166</v>
      </c>
      <c r="O955" t="s">
        <v>43167</v>
      </c>
      <c r="P955">
        <v>0</v>
      </c>
      <c r="Q955">
        <v>0</v>
      </c>
      <c r="R955" t="s">
        <v>43168</v>
      </c>
      <c r="S955" t="s">
        <v>43286</v>
      </c>
      <c r="T955" t="s">
        <v>44810</v>
      </c>
      <c r="U955" t="s">
        <v>45987</v>
      </c>
      <c r="W955" t="s">
        <v>39478</v>
      </c>
      <c r="X955" t="s">
        <v>43169</v>
      </c>
    </row>
    <row r="956" spans="1:24">
      <c r="A956">
        <f>HYPERLINK("https://www.philgeps.gov.ph/GEPSNONPILOT/Tender/SplashBidNoticeAbstractUI.aspx?menuIndex=3&amp;refID=7087720&amp;Result=3","7087720")</f>
        <v>0</v>
      </c>
      <c r="B956" t="s">
        <v>421</v>
      </c>
      <c r="C956" t="s">
        <v>4339</v>
      </c>
      <c r="D956" t="s">
        <v>17475</v>
      </c>
      <c r="E956" t="s">
        <v>17892</v>
      </c>
      <c r="F956" t="s">
        <v>30054</v>
      </c>
      <c r="G956" t="s">
        <v>30058</v>
      </c>
      <c r="H956" t="s">
        <v>30067</v>
      </c>
      <c r="I956" t="s">
        <v>3693</v>
      </c>
      <c r="J956" t="s">
        <v>30207</v>
      </c>
      <c r="K956" t="s">
        <v>39046</v>
      </c>
      <c r="M956" t="s">
        <v>39720</v>
      </c>
      <c r="N956" t="s">
        <v>43166</v>
      </c>
      <c r="O956" t="s">
        <v>43167</v>
      </c>
      <c r="P956">
        <v>0</v>
      </c>
      <c r="Q956">
        <v>0</v>
      </c>
      <c r="R956" t="s">
        <v>43168</v>
      </c>
      <c r="S956" t="s">
        <v>43286</v>
      </c>
      <c r="T956" t="s">
        <v>44716</v>
      </c>
      <c r="U956" t="s">
        <v>45998</v>
      </c>
      <c r="W956" t="s">
        <v>39720</v>
      </c>
      <c r="X956" t="s">
        <v>43169</v>
      </c>
    </row>
    <row r="957" spans="1:24">
      <c r="A957">
        <f>HYPERLINK("https://www.philgeps.gov.ph/GEPSNONPILOT/Tender/SplashBidNoticeAbstractUI.aspx?menuIndex=3&amp;refID=7087700&amp;Result=3","7087700")</f>
        <v>0</v>
      </c>
      <c r="B957" t="s">
        <v>416</v>
      </c>
      <c r="C957" t="s">
        <v>4340</v>
      </c>
      <c r="D957" t="s">
        <v>17466</v>
      </c>
      <c r="E957" t="s">
        <v>18380</v>
      </c>
      <c r="F957" t="s">
        <v>30052</v>
      </c>
      <c r="G957" t="s">
        <v>30058</v>
      </c>
      <c r="H957" t="s">
        <v>15498</v>
      </c>
      <c r="I957" t="s">
        <v>30085</v>
      </c>
      <c r="J957" t="s">
        <v>30924</v>
      </c>
      <c r="K957" t="s">
        <v>39034</v>
      </c>
      <c r="M957" t="s">
        <v>39715</v>
      </c>
      <c r="N957" t="s">
        <v>43166</v>
      </c>
      <c r="O957" t="s">
        <v>43167</v>
      </c>
      <c r="P957">
        <v>0</v>
      </c>
      <c r="Q957">
        <v>0</v>
      </c>
      <c r="R957" t="s">
        <v>43168</v>
      </c>
      <c r="S957" t="s">
        <v>43286</v>
      </c>
      <c r="T957" t="s">
        <v>44809</v>
      </c>
      <c r="U957" t="s">
        <v>45999</v>
      </c>
      <c r="W957" t="s">
        <v>39715</v>
      </c>
      <c r="X957" t="s">
        <v>43169</v>
      </c>
    </row>
    <row r="958" spans="1:24">
      <c r="A958">
        <f>HYPERLINK("https://www.philgeps.gov.ph/GEPSNONPILOT/Tender/SplashBidNoticeAbstractUI.aspx?menuIndex=3&amp;refID=7087719&amp;Result=3","7087719")</f>
        <v>0</v>
      </c>
      <c r="B958" t="s">
        <v>189</v>
      </c>
      <c r="C958" t="s">
        <v>4341</v>
      </c>
      <c r="D958" t="s">
        <v>17454</v>
      </c>
      <c r="E958" t="s">
        <v>18381</v>
      </c>
      <c r="F958" t="s">
        <v>30052</v>
      </c>
      <c r="G958" t="s">
        <v>30059</v>
      </c>
      <c r="H958" t="s">
        <v>15498</v>
      </c>
      <c r="I958" t="s">
        <v>6691</v>
      </c>
      <c r="J958" t="s">
        <v>30921</v>
      </c>
      <c r="K958" t="s">
        <v>39036</v>
      </c>
      <c r="M958" t="s">
        <v>39478</v>
      </c>
      <c r="N958" t="s">
        <v>43166</v>
      </c>
      <c r="O958" t="s">
        <v>43167</v>
      </c>
      <c r="P958">
        <v>0</v>
      </c>
      <c r="Q958">
        <v>0</v>
      </c>
      <c r="R958" t="s">
        <v>43168</v>
      </c>
      <c r="S958" t="s">
        <v>43286</v>
      </c>
      <c r="T958" t="s">
        <v>44708</v>
      </c>
      <c r="U958" t="s">
        <v>45987</v>
      </c>
      <c r="W958" t="s">
        <v>39478</v>
      </c>
      <c r="X958" t="s">
        <v>43169</v>
      </c>
    </row>
    <row r="959" spans="1:24">
      <c r="A959">
        <f>HYPERLINK("https://www.philgeps.gov.ph/GEPSNONPILOT/Tender/SplashBidNoticeAbstractUI.aspx?menuIndex=3&amp;refID=7087682&amp;Result=3","7087682")</f>
        <v>0</v>
      </c>
      <c r="B959" t="s">
        <v>422</v>
      </c>
      <c r="C959" t="s">
        <v>4342</v>
      </c>
      <c r="E959" t="s">
        <v>18382</v>
      </c>
      <c r="F959" t="s">
        <v>30052</v>
      </c>
      <c r="G959" t="s">
        <v>30058</v>
      </c>
      <c r="H959" t="s">
        <v>15498</v>
      </c>
      <c r="I959" t="s">
        <v>30098</v>
      </c>
      <c r="J959" t="s">
        <v>30925</v>
      </c>
      <c r="K959" t="s">
        <v>39025</v>
      </c>
      <c r="M959" t="s">
        <v>39721</v>
      </c>
      <c r="N959" t="s">
        <v>43166</v>
      </c>
      <c r="O959" t="s">
        <v>43167</v>
      </c>
      <c r="P959">
        <v>0</v>
      </c>
      <c r="Q959">
        <v>3</v>
      </c>
      <c r="R959" t="s">
        <v>43168</v>
      </c>
      <c r="S959" t="s">
        <v>43286</v>
      </c>
      <c r="T959" t="s">
        <v>44718</v>
      </c>
      <c r="U959" t="s">
        <v>46000</v>
      </c>
      <c r="W959" t="s">
        <v>39721</v>
      </c>
      <c r="X959" t="s">
        <v>43169</v>
      </c>
    </row>
    <row r="960" spans="1:24">
      <c r="A960">
        <f>HYPERLINK("https://www.philgeps.gov.ph/GEPSNONPILOT/Tender/SplashBidNoticeAbstractUI.aspx?menuIndex=3&amp;refID=7087735&amp;Result=3","7087735")</f>
        <v>0</v>
      </c>
      <c r="B960" t="s">
        <v>423</v>
      </c>
      <c r="C960" t="s">
        <v>4343</v>
      </c>
      <c r="D960" t="s">
        <v>17424</v>
      </c>
      <c r="E960" t="s">
        <v>18383</v>
      </c>
      <c r="F960" t="s">
        <v>30052</v>
      </c>
      <c r="G960" t="s">
        <v>30058</v>
      </c>
      <c r="H960" t="s">
        <v>30067</v>
      </c>
      <c r="I960" t="s">
        <v>3693</v>
      </c>
      <c r="J960" t="s">
        <v>30230</v>
      </c>
      <c r="K960" t="s">
        <v>39029</v>
      </c>
      <c r="M960" t="s">
        <v>39722</v>
      </c>
      <c r="N960" t="s">
        <v>43166</v>
      </c>
      <c r="O960" t="s">
        <v>43167</v>
      </c>
      <c r="P960">
        <v>0</v>
      </c>
      <c r="Q960">
        <v>1</v>
      </c>
      <c r="R960" t="s">
        <v>43168</v>
      </c>
      <c r="S960" t="s">
        <v>43286</v>
      </c>
      <c r="T960" t="s">
        <v>44811</v>
      </c>
      <c r="U960" t="s">
        <v>46001</v>
      </c>
      <c r="W960" t="s">
        <v>39722</v>
      </c>
      <c r="X960" t="s">
        <v>43169</v>
      </c>
    </row>
    <row r="961" spans="1:24">
      <c r="A961">
        <f>HYPERLINK("https://www.philgeps.gov.ph/GEPSNONPILOT/Tender/SplashBidNoticeAbstractUI.aspx?menuIndex=3&amp;refID=7087733&amp;Result=3","7087733")</f>
        <v>0</v>
      </c>
      <c r="B961" t="s">
        <v>424</v>
      </c>
      <c r="C961" t="s">
        <v>4344</v>
      </c>
      <c r="D961" t="s">
        <v>17452</v>
      </c>
      <c r="E961" t="s">
        <v>18173</v>
      </c>
      <c r="F961" t="s">
        <v>30052</v>
      </c>
      <c r="G961" t="s">
        <v>30059</v>
      </c>
      <c r="H961" t="s">
        <v>15498</v>
      </c>
      <c r="I961" t="s">
        <v>3852</v>
      </c>
      <c r="J961" t="s">
        <v>30926</v>
      </c>
      <c r="K961" t="s">
        <v>39017</v>
      </c>
      <c r="M961" t="s">
        <v>39723</v>
      </c>
      <c r="N961" t="s">
        <v>43166</v>
      </c>
      <c r="O961" t="s">
        <v>43167</v>
      </c>
      <c r="P961">
        <v>0</v>
      </c>
      <c r="Q961">
        <v>2</v>
      </c>
      <c r="R961" t="s">
        <v>43168</v>
      </c>
      <c r="S961" t="s">
        <v>43286</v>
      </c>
      <c r="T961" t="s">
        <v>44715</v>
      </c>
      <c r="U961" t="s">
        <v>46002</v>
      </c>
      <c r="W961" t="s">
        <v>39723</v>
      </c>
      <c r="X961" t="s">
        <v>43169</v>
      </c>
    </row>
    <row r="962" spans="1:24">
      <c r="A962">
        <f>HYPERLINK("https://www.philgeps.gov.ph/GEPSNONPILOT/Tender/SplashBidNoticeAbstractUI.aspx?menuIndex=3&amp;refID=7087731&amp;Result=3","7087731")</f>
        <v>0</v>
      </c>
      <c r="B962" t="s">
        <v>416</v>
      </c>
      <c r="C962" t="s">
        <v>4345</v>
      </c>
      <c r="D962" t="s">
        <v>17466</v>
      </c>
      <c r="E962" t="s">
        <v>18384</v>
      </c>
      <c r="F962" t="s">
        <v>30052</v>
      </c>
      <c r="G962" t="s">
        <v>30058</v>
      </c>
      <c r="H962" t="s">
        <v>15498</v>
      </c>
      <c r="I962" t="s">
        <v>8323</v>
      </c>
      <c r="J962" t="s">
        <v>30927</v>
      </c>
      <c r="K962" t="s">
        <v>39034</v>
      </c>
      <c r="M962" t="s">
        <v>39715</v>
      </c>
      <c r="N962" t="s">
        <v>43166</v>
      </c>
      <c r="O962" t="s">
        <v>43167</v>
      </c>
      <c r="P962">
        <v>0</v>
      </c>
      <c r="Q962">
        <v>2</v>
      </c>
      <c r="R962" t="s">
        <v>43168</v>
      </c>
      <c r="S962" t="s">
        <v>43286</v>
      </c>
      <c r="T962" t="s">
        <v>44809</v>
      </c>
      <c r="U962" t="s">
        <v>46003</v>
      </c>
      <c r="W962" t="s">
        <v>39715</v>
      </c>
      <c r="X962" t="s">
        <v>43169</v>
      </c>
    </row>
    <row r="963" spans="1:24">
      <c r="A963">
        <f>HYPERLINK("https://www.philgeps.gov.ph/GEPSNONPILOT/Tender/SplashBidNoticeAbstractUI.aspx?menuIndex=3&amp;refID=7087721&amp;Result=3","7087721")</f>
        <v>0</v>
      </c>
      <c r="B963" t="s">
        <v>189</v>
      </c>
      <c r="C963" t="s">
        <v>4346</v>
      </c>
      <c r="D963" t="s">
        <v>17487</v>
      </c>
      <c r="E963" t="s">
        <v>18385</v>
      </c>
      <c r="F963" t="s">
        <v>30052</v>
      </c>
      <c r="G963" t="s">
        <v>30059</v>
      </c>
      <c r="H963" t="s">
        <v>15498</v>
      </c>
      <c r="I963" t="s">
        <v>6691</v>
      </c>
      <c r="J963" t="s">
        <v>30527</v>
      </c>
      <c r="K963" t="s">
        <v>39036</v>
      </c>
      <c r="M963" t="s">
        <v>39478</v>
      </c>
      <c r="N963" t="s">
        <v>43166</v>
      </c>
      <c r="O963" t="s">
        <v>43167</v>
      </c>
      <c r="P963">
        <v>0</v>
      </c>
      <c r="Q963">
        <v>0</v>
      </c>
      <c r="R963" t="s">
        <v>43168</v>
      </c>
      <c r="S963" t="s">
        <v>43286</v>
      </c>
      <c r="T963" t="s">
        <v>44708</v>
      </c>
      <c r="U963" t="s">
        <v>45987</v>
      </c>
      <c r="W963" t="s">
        <v>39478</v>
      </c>
      <c r="X963" t="s">
        <v>43169</v>
      </c>
    </row>
    <row r="964" spans="1:24">
      <c r="A964">
        <f>HYPERLINK("https://www.philgeps.gov.ph/GEPSNONPILOT/Tender/SplashBidNoticeAbstractUI.aspx?menuIndex=3&amp;refID=7087742&amp;Result=3","7087742")</f>
        <v>0</v>
      </c>
      <c r="B964" t="s">
        <v>425</v>
      </c>
      <c r="C964" t="s">
        <v>4347</v>
      </c>
      <c r="D964" t="s">
        <v>17434</v>
      </c>
      <c r="E964" t="s">
        <v>18386</v>
      </c>
      <c r="F964" t="s">
        <v>30052</v>
      </c>
      <c r="G964" t="s">
        <v>30059</v>
      </c>
      <c r="H964" t="s">
        <v>15498</v>
      </c>
      <c r="I964" t="s">
        <v>3693</v>
      </c>
      <c r="J964" t="s">
        <v>30928</v>
      </c>
      <c r="K964" t="s">
        <v>39023</v>
      </c>
      <c r="M964" t="s">
        <v>39724</v>
      </c>
      <c r="N964" t="s">
        <v>43166</v>
      </c>
      <c r="O964" t="s">
        <v>43167</v>
      </c>
      <c r="P964">
        <v>0</v>
      </c>
      <c r="Q964">
        <v>0</v>
      </c>
      <c r="R964" t="s">
        <v>43168</v>
      </c>
      <c r="S964" t="s">
        <v>43286</v>
      </c>
      <c r="T964" t="s">
        <v>44721</v>
      </c>
      <c r="U964" t="s">
        <v>46004</v>
      </c>
      <c r="V964" t="s">
        <v>56932</v>
      </c>
      <c r="W964" t="s">
        <v>39724</v>
      </c>
      <c r="X964" t="s">
        <v>43169</v>
      </c>
    </row>
    <row r="965" spans="1:24">
      <c r="A965">
        <f>HYPERLINK("https://www.philgeps.gov.ph/GEPSNONPILOT/Tender/SplashBidNoticeAbstractUI.aspx?menuIndex=3&amp;refID=7087736&amp;Result=3","7087736")</f>
        <v>0</v>
      </c>
      <c r="B965" t="s">
        <v>415</v>
      </c>
      <c r="C965" t="s">
        <v>4348</v>
      </c>
      <c r="D965" t="s">
        <v>17472</v>
      </c>
      <c r="E965" t="s">
        <v>18363</v>
      </c>
      <c r="F965" t="s">
        <v>30052</v>
      </c>
      <c r="G965" t="s">
        <v>30061</v>
      </c>
      <c r="H965" t="s">
        <v>15498</v>
      </c>
      <c r="I965" t="s">
        <v>30098</v>
      </c>
      <c r="J965" t="s">
        <v>30929</v>
      </c>
      <c r="K965" t="s">
        <v>39034</v>
      </c>
      <c r="M965" t="s">
        <v>39714</v>
      </c>
      <c r="N965" t="s">
        <v>43166</v>
      </c>
      <c r="O965" t="s">
        <v>43167</v>
      </c>
      <c r="P965">
        <v>0</v>
      </c>
      <c r="Q965">
        <v>3</v>
      </c>
      <c r="R965" t="s">
        <v>43168</v>
      </c>
      <c r="S965" t="s">
        <v>43286</v>
      </c>
      <c r="T965" t="s">
        <v>44685</v>
      </c>
      <c r="U965" t="s">
        <v>46005</v>
      </c>
      <c r="W965" t="s">
        <v>39714</v>
      </c>
      <c r="X965" t="s">
        <v>43169</v>
      </c>
    </row>
    <row r="966" spans="1:24">
      <c r="A966">
        <f>HYPERLINK("https://www.philgeps.gov.ph/GEPSNONPILOT/Tender/SplashBidNoticeAbstractUI.aspx?menuIndex=3&amp;refID=7087739&amp;Result=3","7087739")</f>
        <v>0</v>
      </c>
      <c r="B966" t="s">
        <v>426</v>
      </c>
      <c r="C966" t="s">
        <v>4349</v>
      </c>
      <c r="D966" t="s">
        <v>17421</v>
      </c>
      <c r="E966" t="s">
        <v>18387</v>
      </c>
      <c r="F966" t="s">
        <v>30052</v>
      </c>
      <c r="G966" t="s">
        <v>30059</v>
      </c>
      <c r="H966" t="s">
        <v>15498</v>
      </c>
      <c r="I966" t="s">
        <v>4650</v>
      </c>
      <c r="J966" t="s">
        <v>30230</v>
      </c>
      <c r="K966" t="s">
        <v>39034</v>
      </c>
      <c r="M966" t="s">
        <v>39725</v>
      </c>
      <c r="N966" t="s">
        <v>43166</v>
      </c>
      <c r="O966" t="s">
        <v>43167</v>
      </c>
      <c r="P966">
        <v>0</v>
      </c>
      <c r="Q966">
        <v>6</v>
      </c>
      <c r="R966" t="s">
        <v>43168</v>
      </c>
      <c r="S966" t="s">
        <v>43286</v>
      </c>
      <c r="T966" t="s">
        <v>44691</v>
      </c>
      <c r="U966" t="s">
        <v>46006</v>
      </c>
      <c r="W966" t="s">
        <v>39725</v>
      </c>
      <c r="X966" t="s">
        <v>43169</v>
      </c>
    </row>
    <row r="967" spans="1:24">
      <c r="A967">
        <f>HYPERLINK("https://www.philgeps.gov.ph/GEPSNONPILOT/Tender/SplashBidNoticeAbstractUI.aspx?menuIndex=3&amp;refID=7087734&amp;Result=3","7087734")</f>
        <v>0</v>
      </c>
      <c r="B967" t="s">
        <v>427</v>
      </c>
      <c r="C967" t="s">
        <v>4350</v>
      </c>
      <c r="D967" t="s">
        <v>17424</v>
      </c>
      <c r="E967" t="s">
        <v>18388</v>
      </c>
      <c r="F967" t="s">
        <v>30052</v>
      </c>
      <c r="G967" t="s">
        <v>30058</v>
      </c>
      <c r="H967" t="s">
        <v>15498</v>
      </c>
      <c r="I967" t="s">
        <v>3736</v>
      </c>
      <c r="J967" t="s">
        <v>30930</v>
      </c>
      <c r="K967" t="s">
        <v>39036</v>
      </c>
      <c r="M967" t="s">
        <v>39726</v>
      </c>
      <c r="N967" t="s">
        <v>43166</v>
      </c>
      <c r="O967" t="s">
        <v>43167</v>
      </c>
      <c r="P967">
        <v>0</v>
      </c>
      <c r="Q967">
        <v>1</v>
      </c>
      <c r="R967" t="s">
        <v>43168</v>
      </c>
      <c r="S967" t="s">
        <v>43286</v>
      </c>
      <c r="T967" t="s">
        <v>44721</v>
      </c>
      <c r="U967" t="s">
        <v>46007</v>
      </c>
      <c r="W967" t="s">
        <v>39726</v>
      </c>
      <c r="X967" t="s">
        <v>43169</v>
      </c>
    </row>
    <row r="968" spans="1:24">
      <c r="A968">
        <f>HYPERLINK("https://www.philgeps.gov.ph/GEPSNONPILOT/Tender/SplashBidNoticeAbstractUI.aspx?menuIndex=3&amp;refID=7087730&amp;Result=3","7087730")</f>
        <v>0</v>
      </c>
      <c r="B968" t="s">
        <v>424</v>
      </c>
      <c r="C968" t="s">
        <v>3971</v>
      </c>
      <c r="D968" t="s">
        <v>17452</v>
      </c>
      <c r="E968" t="s">
        <v>18240</v>
      </c>
      <c r="F968" t="s">
        <v>30052</v>
      </c>
      <c r="G968" t="s">
        <v>30062</v>
      </c>
      <c r="H968" t="s">
        <v>15498</v>
      </c>
      <c r="I968" t="s">
        <v>30070</v>
      </c>
      <c r="J968" t="s">
        <v>30644</v>
      </c>
      <c r="K968" t="s">
        <v>39017</v>
      </c>
      <c r="M968" t="s">
        <v>39723</v>
      </c>
      <c r="N968" t="s">
        <v>43166</v>
      </c>
      <c r="O968" t="s">
        <v>43167</v>
      </c>
      <c r="P968">
        <v>0</v>
      </c>
      <c r="Q968">
        <v>0</v>
      </c>
      <c r="R968" t="s">
        <v>43168</v>
      </c>
      <c r="S968" t="s">
        <v>43286</v>
      </c>
      <c r="T968" t="s">
        <v>44715</v>
      </c>
      <c r="U968" t="s">
        <v>46008</v>
      </c>
      <c r="W968" t="s">
        <v>39723</v>
      </c>
      <c r="X968" t="s">
        <v>43169</v>
      </c>
    </row>
    <row r="969" spans="1:24">
      <c r="A969">
        <f>HYPERLINK("https://www.philgeps.gov.ph/GEPSNONPILOT/Tender/SplashBidNoticeAbstractUI.aspx?menuIndex=3&amp;refID=7087709&amp;Result=3","7087709")</f>
        <v>0</v>
      </c>
      <c r="B969" t="s">
        <v>189</v>
      </c>
      <c r="C969" t="s">
        <v>4351</v>
      </c>
      <c r="D969" t="s">
        <v>17425</v>
      </c>
      <c r="E969" t="s">
        <v>18389</v>
      </c>
      <c r="F969" t="s">
        <v>30052</v>
      </c>
      <c r="G969" t="s">
        <v>30059</v>
      </c>
      <c r="H969" t="s">
        <v>15498</v>
      </c>
      <c r="I969" t="s">
        <v>6691</v>
      </c>
      <c r="J969" t="s">
        <v>30392</v>
      </c>
      <c r="K969" t="s">
        <v>39036</v>
      </c>
      <c r="M969" t="s">
        <v>39478</v>
      </c>
      <c r="N969" t="s">
        <v>43166</v>
      </c>
      <c r="O969" t="s">
        <v>43167</v>
      </c>
      <c r="P969">
        <v>0</v>
      </c>
      <c r="Q969">
        <v>0</v>
      </c>
      <c r="R969" t="s">
        <v>43168</v>
      </c>
      <c r="S969" t="s">
        <v>43286</v>
      </c>
      <c r="T969" t="s">
        <v>44708</v>
      </c>
      <c r="U969" t="s">
        <v>45987</v>
      </c>
      <c r="W969" t="s">
        <v>39478</v>
      </c>
      <c r="X969" t="s">
        <v>43169</v>
      </c>
    </row>
    <row r="970" spans="1:24">
      <c r="A970">
        <f>HYPERLINK("https://www.philgeps.gov.ph/GEPSNONPILOT/Tender/SplashBidNoticeAbstractUI.aspx?menuIndex=3&amp;refID=7087629&amp;Result=3","7087629")</f>
        <v>0</v>
      </c>
      <c r="B970" t="s">
        <v>397</v>
      </c>
      <c r="C970" t="s">
        <v>4352</v>
      </c>
      <c r="D970" t="s">
        <v>17484</v>
      </c>
      <c r="E970" t="s">
        <v>18328</v>
      </c>
      <c r="F970" t="s">
        <v>30052</v>
      </c>
      <c r="G970" t="s">
        <v>30061</v>
      </c>
      <c r="H970" t="s">
        <v>15498</v>
      </c>
      <c r="I970" t="s">
        <v>8323</v>
      </c>
      <c r="J970" t="s">
        <v>30931</v>
      </c>
      <c r="K970" t="s">
        <v>39018</v>
      </c>
      <c r="M970" t="s">
        <v>39695</v>
      </c>
      <c r="N970" t="s">
        <v>43166</v>
      </c>
      <c r="O970" t="s">
        <v>43167</v>
      </c>
      <c r="P970">
        <v>0</v>
      </c>
      <c r="Q970">
        <v>0</v>
      </c>
      <c r="R970" t="s">
        <v>43168</v>
      </c>
      <c r="S970" t="s">
        <v>43286</v>
      </c>
      <c r="T970" t="s">
        <v>44734</v>
      </c>
      <c r="U970" t="s">
        <v>46009</v>
      </c>
      <c r="W970" t="s">
        <v>39695</v>
      </c>
      <c r="X970" t="s">
        <v>43169</v>
      </c>
    </row>
    <row r="971" spans="1:24">
      <c r="A971">
        <f>HYPERLINK("https://www.philgeps.gov.ph/GEPSNONPILOT/Tender/SplashBidNoticeAbstractUI.aspx?menuIndex=3&amp;refID=7087729&amp;Result=3","7087729")</f>
        <v>0</v>
      </c>
      <c r="B971" t="s">
        <v>423</v>
      </c>
      <c r="C971" t="s">
        <v>4353</v>
      </c>
      <c r="D971" t="s">
        <v>17424</v>
      </c>
      <c r="E971" t="s">
        <v>18390</v>
      </c>
      <c r="F971" t="s">
        <v>30052</v>
      </c>
      <c r="G971" t="s">
        <v>30058</v>
      </c>
      <c r="H971" t="s">
        <v>30067</v>
      </c>
      <c r="I971" t="s">
        <v>30100</v>
      </c>
      <c r="J971" t="s">
        <v>30350</v>
      </c>
      <c r="K971" t="s">
        <v>39029</v>
      </c>
      <c r="M971" t="s">
        <v>39722</v>
      </c>
      <c r="N971" t="s">
        <v>43166</v>
      </c>
      <c r="O971" t="s">
        <v>43167</v>
      </c>
      <c r="P971">
        <v>0</v>
      </c>
      <c r="Q971">
        <v>1</v>
      </c>
      <c r="R971" t="s">
        <v>43168</v>
      </c>
      <c r="S971" t="s">
        <v>43286</v>
      </c>
      <c r="T971" t="s">
        <v>44811</v>
      </c>
      <c r="U971" t="s">
        <v>46010</v>
      </c>
      <c r="W971" t="s">
        <v>39722</v>
      </c>
      <c r="X971" t="s">
        <v>43169</v>
      </c>
    </row>
    <row r="972" spans="1:24">
      <c r="A972">
        <f>HYPERLINK("https://www.philgeps.gov.ph/GEPSNONPILOT/Tender/SplashBidNoticeAbstractUI.aspx?menuIndex=3&amp;refID=7087681&amp;Result=3","7087681")</f>
        <v>0</v>
      </c>
      <c r="B972" t="s">
        <v>409</v>
      </c>
      <c r="C972" t="s">
        <v>3838</v>
      </c>
      <c r="D972" t="s">
        <v>17473</v>
      </c>
      <c r="E972" t="s">
        <v>18391</v>
      </c>
      <c r="F972" t="s">
        <v>30052</v>
      </c>
      <c r="G972" t="s">
        <v>30059</v>
      </c>
      <c r="H972" t="s">
        <v>15498</v>
      </c>
      <c r="I972" t="s">
        <v>9238</v>
      </c>
      <c r="J972" t="s">
        <v>30932</v>
      </c>
      <c r="K972" t="s">
        <v>39034</v>
      </c>
      <c r="M972" t="s">
        <v>39708</v>
      </c>
      <c r="N972" t="s">
        <v>43166</v>
      </c>
      <c r="O972" t="s">
        <v>43167</v>
      </c>
      <c r="P972">
        <v>0</v>
      </c>
      <c r="Q972">
        <v>3</v>
      </c>
      <c r="R972" t="s">
        <v>43168</v>
      </c>
      <c r="S972" t="s">
        <v>43286</v>
      </c>
      <c r="T972" t="s">
        <v>44737</v>
      </c>
      <c r="U972" t="s">
        <v>46011</v>
      </c>
      <c r="W972" t="s">
        <v>39708</v>
      </c>
      <c r="X972" t="s">
        <v>43169</v>
      </c>
    </row>
    <row r="973" spans="1:24">
      <c r="A973">
        <f>HYPERLINK("https://www.philgeps.gov.ph/GEPSNONPILOT/Tender/SplashBidNoticeAbstractUI.aspx?menuIndex=3&amp;refID=7087740&amp;Result=3","7087740")</f>
        <v>0</v>
      </c>
      <c r="B973" t="s">
        <v>428</v>
      </c>
      <c r="C973" t="s">
        <v>4354</v>
      </c>
      <c r="D973" t="s">
        <v>17445</v>
      </c>
      <c r="E973" t="s">
        <v>18392</v>
      </c>
      <c r="F973" t="s">
        <v>30052</v>
      </c>
      <c r="G973" t="s">
        <v>30058</v>
      </c>
      <c r="H973" t="s">
        <v>15498</v>
      </c>
      <c r="I973" t="s">
        <v>3606</v>
      </c>
      <c r="J973" t="s">
        <v>30933</v>
      </c>
      <c r="K973" t="s">
        <v>39019</v>
      </c>
      <c r="M973" t="s">
        <v>39727</v>
      </c>
      <c r="N973" t="s">
        <v>43166</v>
      </c>
      <c r="O973" t="s">
        <v>43167</v>
      </c>
      <c r="P973">
        <v>0</v>
      </c>
      <c r="Q973">
        <v>4</v>
      </c>
      <c r="R973" t="s">
        <v>43168</v>
      </c>
      <c r="S973" t="s">
        <v>43286</v>
      </c>
      <c r="T973" t="s">
        <v>44812</v>
      </c>
      <c r="U973" t="s">
        <v>46012</v>
      </c>
      <c r="W973" t="s">
        <v>39727</v>
      </c>
      <c r="X973" t="s">
        <v>43169</v>
      </c>
    </row>
    <row r="974" spans="1:24">
      <c r="A974">
        <f>HYPERLINK("https://www.philgeps.gov.ph/GEPSNONPILOT/Tender/SplashBidNoticeAbstractUI.aspx?menuIndex=3&amp;refID=7087724&amp;Result=3","7087724")</f>
        <v>0</v>
      </c>
      <c r="B974" t="s">
        <v>423</v>
      </c>
      <c r="C974" t="s">
        <v>4355</v>
      </c>
      <c r="D974" t="s">
        <v>17424</v>
      </c>
      <c r="E974" t="s">
        <v>18393</v>
      </c>
      <c r="F974" t="s">
        <v>30052</v>
      </c>
      <c r="G974" t="s">
        <v>30058</v>
      </c>
      <c r="H974" t="s">
        <v>30067</v>
      </c>
      <c r="I974" t="s">
        <v>3693</v>
      </c>
      <c r="J974" t="s">
        <v>30594</v>
      </c>
      <c r="K974" t="s">
        <v>39029</v>
      </c>
      <c r="M974" t="s">
        <v>39722</v>
      </c>
      <c r="N974" t="s">
        <v>43166</v>
      </c>
      <c r="O974" t="s">
        <v>43167</v>
      </c>
      <c r="P974">
        <v>0</v>
      </c>
      <c r="Q974">
        <v>0</v>
      </c>
      <c r="R974" t="s">
        <v>43168</v>
      </c>
      <c r="S974" t="s">
        <v>43286</v>
      </c>
      <c r="T974" t="s">
        <v>44811</v>
      </c>
      <c r="U974" t="s">
        <v>46013</v>
      </c>
      <c r="W974" t="s">
        <v>39722</v>
      </c>
      <c r="X974" t="s">
        <v>43169</v>
      </c>
    </row>
    <row r="975" spans="1:24">
      <c r="A975">
        <f>HYPERLINK("https://www.philgeps.gov.ph/GEPSNONPILOT/Tender/SplashBidNoticeAbstractUI.aspx?menuIndex=3&amp;refID=7087737&amp;Result=3","7087737")</f>
        <v>0</v>
      </c>
      <c r="B975" t="s">
        <v>424</v>
      </c>
      <c r="C975" t="s">
        <v>4356</v>
      </c>
      <c r="D975" t="s">
        <v>17452</v>
      </c>
      <c r="E975" t="s">
        <v>18184</v>
      </c>
      <c r="F975" t="s">
        <v>30052</v>
      </c>
      <c r="G975" t="s">
        <v>30059</v>
      </c>
      <c r="H975" t="s">
        <v>15498</v>
      </c>
      <c r="I975" t="s">
        <v>3736</v>
      </c>
      <c r="J975" t="s">
        <v>30934</v>
      </c>
      <c r="K975" t="s">
        <v>39017</v>
      </c>
      <c r="M975" t="s">
        <v>39723</v>
      </c>
      <c r="N975" t="s">
        <v>43166</v>
      </c>
      <c r="O975" t="s">
        <v>43167</v>
      </c>
      <c r="P975">
        <v>0</v>
      </c>
      <c r="Q975">
        <v>1</v>
      </c>
      <c r="R975" t="s">
        <v>43168</v>
      </c>
      <c r="S975" t="s">
        <v>43286</v>
      </c>
      <c r="T975" t="s">
        <v>44715</v>
      </c>
      <c r="U975" t="s">
        <v>46014</v>
      </c>
      <c r="W975" t="s">
        <v>39723</v>
      </c>
      <c r="X975" t="s">
        <v>43169</v>
      </c>
    </row>
    <row r="976" spans="1:24">
      <c r="A976">
        <f>HYPERLINK("https://www.philgeps.gov.ph/GEPSNONPILOT/Tender/SplashBidNoticeAbstractUI.aspx?menuIndex=3&amp;refID=7087723&amp;Result=3","7087723")</f>
        <v>0</v>
      </c>
      <c r="B976" t="s">
        <v>189</v>
      </c>
      <c r="C976" t="s">
        <v>4357</v>
      </c>
      <c r="D976" t="s">
        <v>17487</v>
      </c>
      <c r="E976" t="s">
        <v>18394</v>
      </c>
      <c r="F976" t="s">
        <v>30052</v>
      </c>
      <c r="G976" t="s">
        <v>30059</v>
      </c>
      <c r="H976" t="s">
        <v>15498</v>
      </c>
      <c r="I976" t="s">
        <v>6691</v>
      </c>
      <c r="J976" t="s">
        <v>30276</v>
      </c>
      <c r="K976" t="s">
        <v>39036</v>
      </c>
      <c r="M976" t="s">
        <v>39478</v>
      </c>
      <c r="N976" t="s">
        <v>43166</v>
      </c>
      <c r="O976" t="s">
        <v>43167</v>
      </c>
      <c r="P976">
        <v>0</v>
      </c>
      <c r="Q976">
        <v>0</v>
      </c>
      <c r="R976" t="s">
        <v>43168</v>
      </c>
      <c r="S976" t="s">
        <v>43286</v>
      </c>
      <c r="T976" t="s">
        <v>44708</v>
      </c>
      <c r="U976" t="s">
        <v>45987</v>
      </c>
      <c r="W976" t="s">
        <v>39478</v>
      </c>
      <c r="X976" t="s">
        <v>43169</v>
      </c>
    </row>
    <row r="977" spans="1:24">
      <c r="A977">
        <f>HYPERLINK("https://www.philgeps.gov.ph/GEPSNONPILOT/Tender/SplashBidNoticeAbstractUI.aspx?menuIndex=3&amp;refID=7087722&amp;Result=3","7087722")</f>
        <v>0</v>
      </c>
      <c r="B977" t="s">
        <v>189</v>
      </c>
      <c r="C977" t="s">
        <v>4358</v>
      </c>
      <c r="D977" t="s">
        <v>17487</v>
      </c>
      <c r="E977" t="s">
        <v>18395</v>
      </c>
      <c r="F977" t="s">
        <v>30052</v>
      </c>
      <c r="G977" t="s">
        <v>30059</v>
      </c>
      <c r="H977" t="s">
        <v>15498</v>
      </c>
      <c r="I977" t="s">
        <v>6691</v>
      </c>
      <c r="J977" t="s">
        <v>30921</v>
      </c>
      <c r="K977" t="s">
        <v>39036</v>
      </c>
      <c r="M977" t="s">
        <v>39478</v>
      </c>
      <c r="N977" t="s">
        <v>43166</v>
      </c>
      <c r="O977" t="s">
        <v>43167</v>
      </c>
      <c r="P977">
        <v>0</v>
      </c>
      <c r="Q977">
        <v>0</v>
      </c>
      <c r="R977" t="s">
        <v>43168</v>
      </c>
      <c r="S977" t="s">
        <v>43286</v>
      </c>
      <c r="T977" t="s">
        <v>44720</v>
      </c>
      <c r="U977" t="s">
        <v>45987</v>
      </c>
      <c r="W977" t="s">
        <v>39478</v>
      </c>
      <c r="X977" t="s">
        <v>43169</v>
      </c>
    </row>
    <row r="978" spans="1:24">
      <c r="A978">
        <f>HYPERLINK("https://www.philgeps.gov.ph/GEPSNONPILOT/Tender/SplashBidNoticeAbstractUI.aspx?menuIndex=3&amp;refID=7087726&amp;Result=3","7087726")</f>
        <v>0</v>
      </c>
      <c r="B978" t="s">
        <v>414</v>
      </c>
      <c r="C978" t="s">
        <v>4359</v>
      </c>
      <c r="D978" t="s">
        <v>17452</v>
      </c>
      <c r="E978" t="s">
        <v>18233</v>
      </c>
      <c r="F978" t="s">
        <v>30052</v>
      </c>
      <c r="G978" t="s">
        <v>30058</v>
      </c>
      <c r="H978" t="s">
        <v>15498</v>
      </c>
      <c r="I978" t="s">
        <v>3736</v>
      </c>
      <c r="J978" t="s">
        <v>30935</v>
      </c>
      <c r="K978" t="s">
        <v>39019</v>
      </c>
      <c r="M978" t="s">
        <v>39713</v>
      </c>
      <c r="N978" t="s">
        <v>43166</v>
      </c>
      <c r="O978" t="s">
        <v>43167</v>
      </c>
      <c r="P978">
        <v>0</v>
      </c>
      <c r="Q978">
        <v>1</v>
      </c>
      <c r="R978" t="s">
        <v>43168</v>
      </c>
      <c r="S978" t="s">
        <v>43286</v>
      </c>
      <c r="T978" t="s">
        <v>44679</v>
      </c>
      <c r="U978" t="s">
        <v>46015</v>
      </c>
      <c r="W978" t="s">
        <v>39713</v>
      </c>
      <c r="X978" t="s">
        <v>43169</v>
      </c>
    </row>
    <row r="979" spans="1:24">
      <c r="A979">
        <f>HYPERLINK("https://www.philgeps.gov.ph/GEPSNONPILOT/Tender/SplashBidNoticeAbstractUI.aspx?menuIndex=3&amp;refID=7087698&amp;Result=3","7087698")</f>
        <v>0</v>
      </c>
      <c r="B979" t="s">
        <v>415</v>
      </c>
      <c r="C979" t="s">
        <v>4360</v>
      </c>
      <c r="D979" t="s">
        <v>17472</v>
      </c>
      <c r="E979" t="s">
        <v>18363</v>
      </c>
      <c r="F979" t="s">
        <v>30052</v>
      </c>
      <c r="G979" t="s">
        <v>30061</v>
      </c>
      <c r="H979" t="s">
        <v>15498</v>
      </c>
      <c r="I979" t="s">
        <v>30076</v>
      </c>
      <c r="J979" t="s">
        <v>30407</v>
      </c>
      <c r="K979" t="s">
        <v>39034</v>
      </c>
      <c r="M979" t="s">
        <v>39714</v>
      </c>
      <c r="N979" t="s">
        <v>43166</v>
      </c>
      <c r="O979" t="s">
        <v>43167</v>
      </c>
      <c r="P979">
        <v>0</v>
      </c>
      <c r="Q979">
        <v>2</v>
      </c>
      <c r="R979" t="s">
        <v>43168</v>
      </c>
      <c r="S979" t="s">
        <v>43286</v>
      </c>
      <c r="T979" t="s">
        <v>44685</v>
      </c>
      <c r="U979" t="s">
        <v>46016</v>
      </c>
      <c r="W979" t="s">
        <v>39714</v>
      </c>
      <c r="X979" t="s">
        <v>43169</v>
      </c>
    </row>
    <row r="980" spans="1:24">
      <c r="A980">
        <f>HYPERLINK("https://www.philgeps.gov.ph/GEPSNONPILOT/Tender/SplashBidNoticeAbstractUI.aspx?menuIndex=3&amp;refID=7087728&amp;Result=3","7087728")</f>
        <v>0</v>
      </c>
      <c r="B980" t="s">
        <v>415</v>
      </c>
      <c r="C980" t="s">
        <v>4361</v>
      </c>
      <c r="D980" t="s">
        <v>17472</v>
      </c>
      <c r="E980" t="s">
        <v>18363</v>
      </c>
      <c r="F980" t="s">
        <v>30052</v>
      </c>
      <c r="G980" t="s">
        <v>30061</v>
      </c>
      <c r="H980" t="s">
        <v>15498</v>
      </c>
      <c r="I980" t="s">
        <v>30081</v>
      </c>
      <c r="J980" t="s">
        <v>30936</v>
      </c>
      <c r="K980" t="s">
        <v>39034</v>
      </c>
      <c r="M980" t="s">
        <v>39714</v>
      </c>
      <c r="N980" t="s">
        <v>43166</v>
      </c>
      <c r="O980" t="s">
        <v>43167</v>
      </c>
      <c r="P980">
        <v>0</v>
      </c>
      <c r="Q980">
        <v>0</v>
      </c>
      <c r="R980" t="s">
        <v>43168</v>
      </c>
      <c r="S980" t="s">
        <v>43286</v>
      </c>
      <c r="T980" t="s">
        <v>44685</v>
      </c>
      <c r="U980" t="s">
        <v>46017</v>
      </c>
      <c r="W980" t="s">
        <v>39714</v>
      </c>
      <c r="X980" t="s">
        <v>43169</v>
      </c>
    </row>
    <row r="981" spans="1:24">
      <c r="A981">
        <f>HYPERLINK("https://www.philgeps.gov.ph/GEPSNONPILOT/Tender/SplashBidNoticeAbstractUI.aspx?menuIndex=3&amp;refID=7087725&amp;Result=3","7087725")</f>
        <v>0</v>
      </c>
      <c r="B981" t="s">
        <v>429</v>
      </c>
      <c r="C981" t="s">
        <v>4362</v>
      </c>
      <c r="D981" t="s">
        <v>17433</v>
      </c>
      <c r="E981" t="s">
        <v>18396</v>
      </c>
      <c r="F981" t="s">
        <v>30052</v>
      </c>
      <c r="G981" t="s">
        <v>30058</v>
      </c>
      <c r="H981" t="s">
        <v>15498</v>
      </c>
      <c r="I981" t="s">
        <v>30091</v>
      </c>
      <c r="J981" t="s">
        <v>30252</v>
      </c>
      <c r="K981" t="s">
        <v>39034</v>
      </c>
      <c r="M981" t="s">
        <v>39728</v>
      </c>
      <c r="N981" t="s">
        <v>43166</v>
      </c>
      <c r="O981" t="s">
        <v>43167</v>
      </c>
      <c r="P981">
        <v>0</v>
      </c>
      <c r="Q981">
        <v>2</v>
      </c>
      <c r="R981" t="s">
        <v>43168</v>
      </c>
      <c r="S981" t="s">
        <v>43286</v>
      </c>
      <c r="T981" t="s">
        <v>44721</v>
      </c>
      <c r="U981" t="s">
        <v>46018</v>
      </c>
      <c r="W981" t="s">
        <v>39728</v>
      </c>
      <c r="X981" t="s">
        <v>43169</v>
      </c>
    </row>
    <row r="982" spans="1:24">
      <c r="A982">
        <f>HYPERLINK("https://www.philgeps.gov.ph/GEPSNONPILOT/Tender/SplashBidNoticeAbstractUI.aspx?menuIndex=3&amp;refID=7087745&amp;Result=3","7087745")</f>
        <v>0</v>
      </c>
      <c r="B982" t="s">
        <v>425</v>
      </c>
      <c r="C982" t="s">
        <v>4363</v>
      </c>
      <c r="D982" t="s">
        <v>17434</v>
      </c>
      <c r="E982" t="s">
        <v>18397</v>
      </c>
      <c r="F982" t="s">
        <v>30052</v>
      </c>
      <c r="G982" t="s">
        <v>30061</v>
      </c>
      <c r="H982" t="s">
        <v>15498</v>
      </c>
      <c r="I982" t="s">
        <v>3736</v>
      </c>
      <c r="J982" t="s">
        <v>30937</v>
      </c>
      <c r="K982" t="s">
        <v>39019</v>
      </c>
      <c r="M982" t="s">
        <v>39724</v>
      </c>
      <c r="N982" t="s">
        <v>43166</v>
      </c>
      <c r="O982" t="s">
        <v>43167</v>
      </c>
      <c r="P982">
        <v>0</v>
      </c>
      <c r="Q982">
        <v>1</v>
      </c>
      <c r="R982" t="s">
        <v>43168</v>
      </c>
      <c r="S982" t="s">
        <v>43286</v>
      </c>
      <c r="T982" t="s">
        <v>44721</v>
      </c>
      <c r="U982" t="s">
        <v>46019</v>
      </c>
      <c r="V982" t="s">
        <v>56933</v>
      </c>
      <c r="W982" t="s">
        <v>39724</v>
      </c>
      <c r="X982" t="s">
        <v>43169</v>
      </c>
    </row>
    <row r="983" spans="1:24">
      <c r="A983">
        <f>HYPERLINK("https://www.philgeps.gov.ph/GEPSNONPILOT/Tender/SplashBidNoticeAbstractUI.aspx?menuIndex=3&amp;refID=7087759&amp;Result=3","7087759")</f>
        <v>0</v>
      </c>
      <c r="B983" t="s">
        <v>430</v>
      </c>
      <c r="C983" t="s">
        <v>4364</v>
      </c>
      <c r="D983" t="s">
        <v>17415</v>
      </c>
      <c r="E983" t="s">
        <v>17540</v>
      </c>
      <c r="F983" t="s">
        <v>30052</v>
      </c>
      <c r="G983" t="s">
        <v>30062</v>
      </c>
      <c r="H983" t="s">
        <v>15498</v>
      </c>
      <c r="I983" t="s">
        <v>30070</v>
      </c>
      <c r="J983" t="s">
        <v>30207</v>
      </c>
      <c r="K983" t="s">
        <v>39017</v>
      </c>
      <c r="M983" t="s">
        <v>39729</v>
      </c>
      <c r="N983" t="s">
        <v>43166</v>
      </c>
      <c r="O983" t="s">
        <v>43167</v>
      </c>
      <c r="P983">
        <v>0</v>
      </c>
      <c r="Q983">
        <v>4</v>
      </c>
      <c r="R983" t="s">
        <v>43168</v>
      </c>
      <c r="S983" t="s">
        <v>43286</v>
      </c>
      <c r="T983" t="s">
        <v>44718</v>
      </c>
      <c r="U983" t="s">
        <v>46020</v>
      </c>
      <c r="W983" t="s">
        <v>39729</v>
      </c>
      <c r="X983" t="s">
        <v>43169</v>
      </c>
    </row>
    <row r="984" spans="1:24">
      <c r="A984">
        <f>HYPERLINK("https://www.philgeps.gov.ph/GEPSNONPILOT/Tender/SplashBidNoticeAbstractUI.aspx?menuIndex=3&amp;refID=7087756&amp;Result=3","7087756")</f>
        <v>0</v>
      </c>
      <c r="B984" t="s">
        <v>431</v>
      </c>
      <c r="C984" t="s">
        <v>4365</v>
      </c>
      <c r="D984" t="s">
        <v>17482</v>
      </c>
      <c r="E984" t="s">
        <v>18398</v>
      </c>
      <c r="F984" t="s">
        <v>30054</v>
      </c>
      <c r="G984" t="s">
        <v>30058</v>
      </c>
      <c r="H984" t="s">
        <v>15498</v>
      </c>
      <c r="I984" t="s">
        <v>30106</v>
      </c>
      <c r="J984" t="s">
        <v>30938</v>
      </c>
      <c r="K984" t="s">
        <v>39034</v>
      </c>
      <c r="M984" t="s">
        <v>39730</v>
      </c>
      <c r="N984" t="s">
        <v>43166</v>
      </c>
      <c r="O984" t="s">
        <v>43167</v>
      </c>
      <c r="P984">
        <v>0</v>
      </c>
      <c r="Q984">
        <v>0</v>
      </c>
      <c r="R984" t="s">
        <v>43168</v>
      </c>
      <c r="S984" t="s">
        <v>43286</v>
      </c>
      <c r="T984" t="s">
        <v>44813</v>
      </c>
      <c r="U984" t="s">
        <v>46021</v>
      </c>
      <c r="W984" t="s">
        <v>39730</v>
      </c>
      <c r="X984" t="s">
        <v>43169</v>
      </c>
    </row>
    <row r="985" spans="1:24">
      <c r="A985">
        <f>HYPERLINK("https://www.philgeps.gov.ph/GEPSNONPILOT/Tender/SplashBidNoticeAbstractUI.aspx?menuIndex=3&amp;refID=7087755&amp;Result=3","7087755")</f>
        <v>0</v>
      </c>
      <c r="B985" t="s">
        <v>425</v>
      </c>
      <c r="C985" t="s">
        <v>4366</v>
      </c>
      <c r="D985" t="s">
        <v>17434</v>
      </c>
      <c r="E985" t="s">
        <v>18399</v>
      </c>
      <c r="F985" t="s">
        <v>30052</v>
      </c>
      <c r="G985" t="s">
        <v>30059</v>
      </c>
      <c r="H985" t="s">
        <v>15498</v>
      </c>
      <c r="I985" t="s">
        <v>30117</v>
      </c>
      <c r="J985" t="s">
        <v>30939</v>
      </c>
      <c r="K985" t="s">
        <v>39019</v>
      </c>
      <c r="M985" t="s">
        <v>39724</v>
      </c>
      <c r="N985" t="s">
        <v>43166</v>
      </c>
      <c r="O985" t="s">
        <v>43167</v>
      </c>
      <c r="P985">
        <v>0</v>
      </c>
      <c r="Q985">
        <v>0</v>
      </c>
      <c r="R985" t="s">
        <v>43168</v>
      </c>
      <c r="S985" t="s">
        <v>43286</v>
      </c>
      <c r="T985" t="s">
        <v>44721</v>
      </c>
      <c r="U985" t="s">
        <v>46022</v>
      </c>
      <c r="V985" t="s">
        <v>56933</v>
      </c>
      <c r="W985" t="s">
        <v>39724</v>
      </c>
      <c r="X985" t="s">
        <v>43169</v>
      </c>
    </row>
    <row r="986" spans="1:24">
      <c r="A986">
        <f>HYPERLINK("https://www.philgeps.gov.ph/GEPSNONPILOT/Tender/SplashBidNoticeAbstractUI.aspx?menuIndex=3&amp;refID=7087754&amp;Result=3","7087754")</f>
        <v>0</v>
      </c>
      <c r="B986" t="s">
        <v>425</v>
      </c>
      <c r="C986" t="s">
        <v>4367</v>
      </c>
      <c r="D986" t="s">
        <v>17434</v>
      </c>
      <c r="E986" t="s">
        <v>18400</v>
      </c>
      <c r="F986" t="s">
        <v>30052</v>
      </c>
      <c r="G986" t="s">
        <v>30061</v>
      </c>
      <c r="H986" t="s">
        <v>15498</v>
      </c>
      <c r="I986" t="s">
        <v>3736</v>
      </c>
      <c r="J986" t="s">
        <v>30940</v>
      </c>
      <c r="K986" t="s">
        <v>39019</v>
      </c>
      <c r="M986" t="s">
        <v>39724</v>
      </c>
      <c r="N986" t="s">
        <v>43166</v>
      </c>
      <c r="O986" t="s">
        <v>43167</v>
      </c>
      <c r="P986">
        <v>0</v>
      </c>
      <c r="Q986">
        <v>1</v>
      </c>
      <c r="R986" t="s">
        <v>43168</v>
      </c>
      <c r="S986" t="s">
        <v>43286</v>
      </c>
      <c r="T986" t="s">
        <v>44721</v>
      </c>
      <c r="U986" t="s">
        <v>46023</v>
      </c>
      <c r="V986" t="s">
        <v>56933</v>
      </c>
      <c r="W986" t="s">
        <v>39724</v>
      </c>
      <c r="X986" t="s">
        <v>43169</v>
      </c>
    </row>
    <row r="987" spans="1:24">
      <c r="A987">
        <f>HYPERLINK("https://www.philgeps.gov.ph/GEPSNONPILOT/Tender/SplashBidNoticeAbstractUI.aspx?menuIndex=3&amp;refID=7087753&amp;Result=3","7087753")</f>
        <v>0</v>
      </c>
      <c r="B987" t="s">
        <v>432</v>
      </c>
      <c r="C987" t="s">
        <v>4368</v>
      </c>
      <c r="D987" t="s">
        <v>17443</v>
      </c>
      <c r="E987" t="s">
        <v>18401</v>
      </c>
      <c r="F987" t="s">
        <v>30052</v>
      </c>
      <c r="G987" t="s">
        <v>30059</v>
      </c>
      <c r="H987" t="s">
        <v>15498</v>
      </c>
      <c r="I987" t="s">
        <v>30097</v>
      </c>
      <c r="J987" t="s">
        <v>30941</v>
      </c>
      <c r="K987" t="s">
        <v>39037</v>
      </c>
      <c r="M987" t="s">
        <v>39731</v>
      </c>
      <c r="N987" t="s">
        <v>43166</v>
      </c>
      <c r="O987" t="s">
        <v>43167</v>
      </c>
      <c r="P987">
        <v>0</v>
      </c>
      <c r="Q987">
        <v>1</v>
      </c>
      <c r="R987" t="s">
        <v>43168</v>
      </c>
      <c r="S987" t="s">
        <v>43286</v>
      </c>
      <c r="T987" t="s">
        <v>44685</v>
      </c>
      <c r="U987" t="s">
        <v>46024</v>
      </c>
      <c r="W987" t="s">
        <v>39731</v>
      </c>
      <c r="X987" t="s">
        <v>43169</v>
      </c>
    </row>
    <row r="988" spans="1:24">
      <c r="A988">
        <f>HYPERLINK("https://www.philgeps.gov.ph/GEPSNONPILOT/Tender/SplashBidNoticeAbstractUI.aspx?menuIndex=3&amp;refID=7087751&amp;Result=3","7087751")</f>
        <v>0</v>
      </c>
      <c r="B988" t="s">
        <v>425</v>
      </c>
      <c r="C988" t="s">
        <v>4369</v>
      </c>
      <c r="D988" t="s">
        <v>17434</v>
      </c>
      <c r="E988" t="s">
        <v>18402</v>
      </c>
      <c r="F988" t="s">
        <v>30052</v>
      </c>
      <c r="G988" t="s">
        <v>30059</v>
      </c>
      <c r="H988" t="s">
        <v>15498</v>
      </c>
      <c r="I988" t="s">
        <v>30070</v>
      </c>
      <c r="J988" t="s">
        <v>30942</v>
      </c>
      <c r="K988" t="s">
        <v>39019</v>
      </c>
      <c r="M988" t="s">
        <v>39724</v>
      </c>
      <c r="N988" t="s">
        <v>43166</v>
      </c>
      <c r="O988" t="s">
        <v>43167</v>
      </c>
      <c r="P988">
        <v>0</v>
      </c>
      <c r="Q988">
        <v>2</v>
      </c>
      <c r="R988" t="s">
        <v>43168</v>
      </c>
      <c r="S988" t="s">
        <v>43286</v>
      </c>
      <c r="T988" t="s">
        <v>44721</v>
      </c>
      <c r="U988" t="s">
        <v>46025</v>
      </c>
      <c r="V988" t="s">
        <v>56933</v>
      </c>
      <c r="W988" t="s">
        <v>39724</v>
      </c>
      <c r="X988" t="s">
        <v>43169</v>
      </c>
    </row>
    <row r="989" spans="1:24">
      <c r="A989">
        <f>HYPERLINK("https://www.philgeps.gov.ph/GEPSNONPILOT/Tender/SplashBidNoticeAbstractUI.aspx?menuIndex=3&amp;refID=7087743&amp;Result=3","7087743")</f>
        <v>0</v>
      </c>
      <c r="B989" t="s">
        <v>433</v>
      </c>
      <c r="C989" t="s">
        <v>4370</v>
      </c>
      <c r="D989" t="s">
        <v>17415</v>
      </c>
      <c r="E989" t="s">
        <v>18403</v>
      </c>
      <c r="F989" t="s">
        <v>30052</v>
      </c>
      <c r="G989" t="s">
        <v>30058</v>
      </c>
      <c r="H989" t="s">
        <v>30067</v>
      </c>
      <c r="I989" t="s">
        <v>3736</v>
      </c>
      <c r="J989" t="s">
        <v>30218</v>
      </c>
      <c r="K989" t="s">
        <v>39019</v>
      </c>
      <c r="M989" t="s">
        <v>39732</v>
      </c>
      <c r="N989" t="s">
        <v>43166</v>
      </c>
      <c r="O989" t="s">
        <v>43167</v>
      </c>
      <c r="P989">
        <v>0</v>
      </c>
      <c r="Q989">
        <v>1</v>
      </c>
      <c r="R989" t="s">
        <v>43168</v>
      </c>
      <c r="S989" t="s">
        <v>43286</v>
      </c>
      <c r="T989" t="s">
        <v>44811</v>
      </c>
      <c r="U989" t="s">
        <v>46026</v>
      </c>
      <c r="W989" t="s">
        <v>39732</v>
      </c>
      <c r="X989" t="s">
        <v>43169</v>
      </c>
    </row>
    <row r="990" spans="1:24">
      <c r="A990">
        <f>HYPERLINK("https://www.philgeps.gov.ph/GEPSNONPILOT/Tender/SplashBidNoticeAbstractUI.aspx?menuIndex=3&amp;refID=7087748&amp;Result=3","7087748")</f>
        <v>0</v>
      </c>
      <c r="B990" t="s">
        <v>434</v>
      </c>
      <c r="C990" t="s">
        <v>4371</v>
      </c>
      <c r="D990" t="s">
        <v>17489</v>
      </c>
      <c r="E990" t="s">
        <v>18404</v>
      </c>
      <c r="F990" t="s">
        <v>30052</v>
      </c>
      <c r="G990" t="s">
        <v>30058</v>
      </c>
      <c r="H990" t="s">
        <v>30067</v>
      </c>
      <c r="I990" t="s">
        <v>3693</v>
      </c>
      <c r="J990" t="s">
        <v>30943</v>
      </c>
      <c r="K990" t="s">
        <v>39052</v>
      </c>
      <c r="M990" t="s">
        <v>39733</v>
      </c>
      <c r="N990" t="s">
        <v>43166</v>
      </c>
      <c r="O990" t="s">
        <v>43167</v>
      </c>
      <c r="P990">
        <v>0</v>
      </c>
      <c r="Q990">
        <v>0</v>
      </c>
      <c r="R990" t="s">
        <v>43168</v>
      </c>
      <c r="S990" t="s">
        <v>43286</v>
      </c>
      <c r="T990" t="s">
        <v>44757</v>
      </c>
      <c r="U990" t="s">
        <v>46027</v>
      </c>
      <c r="W990" t="s">
        <v>39733</v>
      </c>
      <c r="X990" t="s">
        <v>43169</v>
      </c>
    </row>
    <row r="991" spans="1:24">
      <c r="A991">
        <f>HYPERLINK("https://www.philgeps.gov.ph/GEPSNONPILOT/Tender/SplashBidNoticeAbstractUI.aspx?menuIndex=3&amp;refID=7087766&amp;Result=3","7087766")</f>
        <v>0</v>
      </c>
      <c r="B991" t="s">
        <v>435</v>
      </c>
      <c r="C991" t="s">
        <v>4372</v>
      </c>
      <c r="D991" t="s">
        <v>17413</v>
      </c>
      <c r="E991" t="s">
        <v>18405</v>
      </c>
      <c r="F991" t="s">
        <v>30052</v>
      </c>
      <c r="G991" t="s">
        <v>30058</v>
      </c>
      <c r="H991" t="s">
        <v>30067</v>
      </c>
      <c r="I991" t="s">
        <v>3693</v>
      </c>
      <c r="J991" t="s">
        <v>30944</v>
      </c>
      <c r="K991" t="s">
        <v>39034</v>
      </c>
      <c r="M991" t="s">
        <v>39734</v>
      </c>
      <c r="N991" t="s">
        <v>43166</v>
      </c>
      <c r="O991" t="s">
        <v>43167</v>
      </c>
      <c r="P991">
        <v>0</v>
      </c>
      <c r="Q991">
        <v>0</v>
      </c>
      <c r="R991" t="s">
        <v>43168</v>
      </c>
      <c r="S991" t="s">
        <v>43286</v>
      </c>
      <c r="T991" t="s">
        <v>44764</v>
      </c>
      <c r="U991" t="s">
        <v>46028</v>
      </c>
      <c r="W991" t="s">
        <v>39734</v>
      </c>
      <c r="X991" t="s">
        <v>43169</v>
      </c>
    </row>
    <row r="992" spans="1:24">
      <c r="A992">
        <f>HYPERLINK("https://www.philgeps.gov.ph/GEPSNONPILOT/Tender/SplashBidNoticeAbstractUI.aspx?menuIndex=3&amp;refID=7087765&amp;Result=3","7087765")</f>
        <v>0</v>
      </c>
      <c r="B992" t="s">
        <v>436</v>
      </c>
      <c r="C992" t="s">
        <v>4373</v>
      </c>
      <c r="D992" t="s">
        <v>17461</v>
      </c>
      <c r="E992" t="s">
        <v>18406</v>
      </c>
      <c r="F992" t="s">
        <v>30052</v>
      </c>
      <c r="G992" t="s">
        <v>30058</v>
      </c>
      <c r="H992" t="s">
        <v>15498</v>
      </c>
      <c r="I992" t="s">
        <v>30084</v>
      </c>
      <c r="J992" t="s">
        <v>30945</v>
      </c>
      <c r="K992" t="s">
        <v>39023</v>
      </c>
      <c r="M992" t="s">
        <v>39735</v>
      </c>
      <c r="N992" t="s">
        <v>43166</v>
      </c>
      <c r="O992" t="s">
        <v>43167</v>
      </c>
      <c r="P992">
        <v>0</v>
      </c>
      <c r="Q992">
        <v>5</v>
      </c>
      <c r="R992" t="s">
        <v>43168</v>
      </c>
      <c r="S992" t="s">
        <v>43286</v>
      </c>
      <c r="T992" t="s">
        <v>44677</v>
      </c>
      <c r="U992" t="s">
        <v>46029</v>
      </c>
      <c r="W992" t="s">
        <v>39735</v>
      </c>
      <c r="X992" t="s">
        <v>43169</v>
      </c>
    </row>
    <row r="993" spans="1:24">
      <c r="A993">
        <f>HYPERLINK("https://www.philgeps.gov.ph/GEPSNONPILOT/Tender/SplashBidNoticeAbstractUI.aspx?menuIndex=3&amp;refID=7087764&amp;Result=3","7087764")</f>
        <v>0</v>
      </c>
      <c r="B993" t="s">
        <v>437</v>
      </c>
      <c r="C993" t="s">
        <v>4374</v>
      </c>
      <c r="D993" t="s">
        <v>17415</v>
      </c>
      <c r="E993" t="s">
        <v>4374</v>
      </c>
      <c r="F993" t="s">
        <v>30052</v>
      </c>
      <c r="G993" t="s">
        <v>30059</v>
      </c>
      <c r="H993" t="s">
        <v>30069</v>
      </c>
      <c r="I993" t="s">
        <v>8323</v>
      </c>
      <c r="J993" t="s">
        <v>30946</v>
      </c>
      <c r="K993" t="s">
        <v>39037</v>
      </c>
      <c r="M993" t="s">
        <v>39736</v>
      </c>
      <c r="N993" t="s">
        <v>43166</v>
      </c>
      <c r="O993" t="s">
        <v>43167</v>
      </c>
      <c r="P993">
        <v>0</v>
      </c>
      <c r="Q993">
        <v>8</v>
      </c>
      <c r="R993" t="s">
        <v>43168</v>
      </c>
      <c r="S993" t="s">
        <v>43286</v>
      </c>
      <c r="T993" t="s">
        <v>44708</v>
      </c>
      <c r="U993" t="s">
        <v>46030</v>
      </c>
      <c r="W993" t="s">
        <v>39736</v>
      </c>
      <c r="X993" t="s">
        <v>43169</v>
      </c>
    </row>
    <row r="994" spans="1:24">
      <c r="A994">
        <f>HYPERLINK("https://www.philgeps.gov.ph/GEPSNONPILOT/Tender/SplashBidNoticeAbstractUI.aspx?menuIndex=3&amp;refID=7087750&amp;Result=3","7087750")</f>
        <v>0</v>
      </c>
      <c r="B994" t="s">
        <v>425</v>
      </c>
      <c r="C994" t="s">
        <v>4375</v>
      </c>
      <c r="D994" t="s">
        <v>17434</v>
      </c>
      <c r="E994" t="s">
        <v>18407</v>
      </c>
      <c r="F994" t="s">
        <v>30052</v>
      </c>
      <c r="G994" t="s">
        <v>30061</v>
      </c>
      <c r="H994" t="s">
        <v>15498</v>
      </c>
      <c r="I994" t="s">
        <v>30084</v>
      </c>
      <c r="J994" t="s">
        <v>30277</v>
      </c>
      <c r="K994" t="s">
        <v>39019</v>
      </c>
      <c r="M994" t="s">
        <v>39724</v>
      </c>
      <c r="N994" t="s">
        <v>43166</v>
      </c>
      <c r="O994" t="s">
        <v>43167</v>
      </c>
      <c r="P994">
        <v>0</v>
      </c>
      <c r="Q994">
        <v>8</v>
      </c>
      <c r="R994" t="s">
        <v>43168</v>
      </c>
      <c r="S994" t="s">
        <v>43286</v>
      </c>
      <c r="T994" t="s">
        <v>44721</v>
      </c>
      <c r="U994" t="s">
        <v>46031</v>
      </c>
      <c r="V994" t="s">
        <v>56933</v>
      </c>
      <c r="W994" t="s">
        <v>39724</v>
      </c>
      <c r="X994" t="s">
        <v>43169</v>
      </c>
    </row>
    <row r="995" spans="1:24">
      <c r="A995">
        <f>HYPERLINK("https://www.philgeps.gov.ph/GEPSNONPILOT/Tender/SplashBidNoticeAbstractUI.aspx?menuIndex=3&amp;refID=7087761&amp;Result=3","7087761")</f>
        <v>0</v>
      </c>
      <c r="B995" t="s">
        <v>438</v>
      </c>
      <c r="C995" t="s">
        <v>4376</v>
      </c>
      <c r="D995" t="s">
        <v>17459</v>
      </c>
      <c r="E995" t="s">
        <v>18408</v>
      </c>
      <c r="F995" t="s">
        <v>30052</v>
      </c>
      <c r="G995" t="s">
        <v>30059</v>
      </c>
      <c r="H995" t="s">
        <v>15498</v>
      </c>
      <c r="I995" t="s">
        <v>30145</v>
      </c>
      <c r="J995" t="s">
        <v>30947</v>
      </c>
      <c r="K995" t="s">
        <v>39036</v>
      </c>
      <c r="M995" t="s">
        <v>39737</v>
      </c>
      <c r="N995" t="s">
        <v>43166</v>
      </c>
      <c r="O995" t="s">
        <v>43167</v>
      </c>
      <c r="P995">
        <v>0</v>
      </c>
      <c r="Q995">
        <v>9</v>
      </c>
      <c r="R995" t="s">
        <v>43168</v>
      </c>
      <c r="S995" t="s">
        <v>43286</v>
      </c>
      <c r="T995" t="s">
        <v>44685</v>
      </c>
      <c r="U995" t="s">
        <v>46032</v>
      </c>
      <c r="W995" t="s">
        <v>39737</v>
      </c>
      <c r="X995" t="s">
        <v>43169</v>
      </c>
    </row>
    <row r="996" spans="1:24">
      <c r="A996">
        <f>HYPERLINK("https://www.philgeps.gov.ph/GEPSNONPILOT/Tender/SplashBidNoticeAbstractUI.aspx?menuIndex=3&amp;refID=7087762&amp;Result=3","7087762")</f>
        <v>0</v>
      </c>
      <c r="B996" t="s">
        <v>439</v>
      </c>
      <c r="C996" t="s">
        <v>4377</v>
      </c>
      <c r="D996" t="s">
        <v>17415</v>
      </c>
      <c r="E996" t="s">
        <v>18409</v>
      </c>
      <c r="F996" t="s">
        <v>30052</v>
      </c>
      <c r="G996" t="s">
        <v>30058</v>
      </c>
      <c r="H996" t="s">
        <v>15498</v>
      </c>
      <c r="I996" t="s">
        <v>30084</v>
      </c>
      <c r="J996" t="s">
        <v>30948</v>
      </c>
      <c r="K996" t="s">
        <v>39068</v>
      </c>
      <c r="M996" t="s">
        <v>39738</v>
      </c>
      <c r="N996" t="s">
        <v>43166</v>
      </c>
      <c r="O996" t="s">
        <v>43167</v>
      </c>
      <c r="P996">
        <v>0</v>
      </c>
      <c r="Q996">
        <v>10</v>
      </c>
      <c r="R996" t="s">
        <v>43168</v>
      </c>
      <c r="S996" t="s">
        <v>43286</v>
      </c>
      <c r="T996" t="s">
        <v>44709</v>
      </c>
      <c r="U996" t="s">
        <v>46033</v>
      </c>
      <c r="W996" t="s">
        <v>39738</v>
      </c>
      <c r="X996" t="s">
        <v>43169</v>
      </c>
    </row>
    <row r="997" spans="1:24">
      <c r="A997">
        <f>HYPERLINK("https://www.philgeps.gov.ph/GEPSNONPILOT/Tender/SplashBidNoticeAbstractUI.aspx?menuIndex=3&amp;refID=7087744&amp;Result=3","7087744")</f>
        <v>0</v>
      </c>
      <c r="B997" t="s">
        <v>440</v>
      </c>
      <c r="C997" t="s">
        <v>4378</v>
      </c>
      <c r="D997" t="s">
        <v>17452</v>
      </c>
      <c r="E997" t="s">
        <v>18410</v>
      </c>
      <c r="F997" t="s">
        <v>30052</v>
      </c>
      <c r="G997" t="s">
        <v>30058</v>
      </c>
      <c r="H997" t="s">
        <v>15498</v>
      </c>
      <c r="I997" t="s">
        <v>30071</v>
      </c>
      <c r="J997" t="s">
        <v>30949</v>
      </c>
      <c r="K997" t="s">
        <v>39019</v>
      </c>
      <c r="M997" t="s">
        <v>39739</v>
      </c>
      <c r="N997" t="s">
        <v>43166</v>
      </c>
      <c r="O997" t="s">
        <v>43167</v>
      </c>
      <c r="P997">
        <v>0</v>
      </c>
      <c r="Q997">
        <v>1</v>
      </c>
      <c r="R997" t="s">
        <v>43168</v>
      </c>
      <c r="S997" t="s">
        <v>43286</v>
      </c>
      <c r="T997" t="s">
        <v>44679</v>
      </c>
      <c r="U997" t="s">
        <v>46034</v>
      </c>
      <c r="W997" t="s">
        <v>39739</v>
      </c>
      <c r="X997" t="s">
        <v>43169</v>
      </c>
    </row>
    <row r="998" spans="1:24">
      <c r="A998">
        <f>HYPERLINK("https://www.philgeps.gov.ph/GEPSNONPILOT/Tender/SplashBidNoticeAbstractUI.aspx?menuIndex=3&amp;refID=7087763&amp;Result=3","7087763")</f>
        <v>0</v>
      </c>
      <c r="B998" t="s">
        <v>441</v>
      </c>
      <c r="C998" t="s">
        <v>4379</v>
      </c>
      <c r="D998" t="s">
        <v>17424</v>
      </c>
      <c r="E998" t="s">
        <v>18411</v>
      </c>
      <c r="F998" t="s">
        <v>30052</v>
      </c>
      <c r="G998" t="s">
        <v>30058</v>
      </c>
      <c r="H998" t="s">
        <v>15498</v>
      </c>
      <c r="I998" t="s">
        <v>3736</v>
      </c>
      <c r="J998" t="s">
        <v>30950</v>
      </c>
      <c r="K998" t="s">
        <v>39019</v>
      </c>
      <c r="M998" t="s">
        <v>39740</v>
      </c>
      <c r="N998" t="s">
        <v>43166</v>
      </c>
      <c r="O998" t="s">
        <v>43167</v>
      </c>
      <c r="P998">
        <v>0</v>
      </c>
      <c r="Q998">
        <v>0</v>
      </c>
      <c r="R998" t="s">
        <v>43168</v>
      </c>
      <c r="S998" t="s">
        <v>43286</v>
      </c>
      <c r="T998" t="s">
        <v>44733</v>
      </c>
      <c r="U998" t="s">
        <v>46035</v>
      </c>
      <c r="W998" t="s">
        <v>39740</v>
      </c>
      <c r="X998" t="s">
        <v>43169</v>
      </c>
    </row>
    <row r="999" spans="1:24">
      <c r="A999">
        <f>HYPERLINK("https://www.philgeps.gov.ph/GEPSNONPILOT/Tender/SplashBidNoticeAbstractUI.aspx?menuIndex=3&amp;refID=7087768&amp;Result=3","7087768")</f>
        <v>0</v>
      </c>
      <c r="B999" t="s">
        <v>427</v>
      </c>
      <c r="C999" t="s">
        <v>4380</v>
      </c>
      <c r="D999" t="s">
        <v>17424</v>
      </c>
      <c r="E999" t="s">
        <v>18412</v>
      </c>
      <c r="F999" t="s">
        <v>30052</v>
      </c>
      <c r="G999" t="s">
        <v>30058</v>
      </c>
      <c r="H999" t="s">
        <v>15498</v>
      </c>
      <c r="I999" t="s">
        <v>3736</v>
      </c>
      <c r="J999" t="s">
        <v>30951</v>
      </c>
      <c r="K999" t="s">
        <v>39036</v>
      </c>
      <c r="M999" t="s">
        <v>39726</v>
      </c>
      <c r="N999" t="s">
        <v>43166</v>
      </c>
      <c r="O999" t="s">
        <v>43167</v>
      </c>
      <c r="P999">
        <v>0</v>
      </c>
      <c r="Q999">
        <v>1</v>
      </c>
      <c r="R999" t="s">
        <v>43168</v>
      </c>
      <c r="S999" t="s">
        <v>43286</v>
      </c>
      <c r="T999" t="s">
        <v>44721</v>
      </c>
      <c r="U999" t="s">
        <v>46036</v>
      </c>
      <c r="W999" t="s">
        <v>39726</v>
      </c>
      <c r="X999" t="s">
        <v>43169</v>
      </c>
    </row>
    <row r="1000" spans="1:24">
      <c r="A1000">
        <f>HYPERLINK("https://www.philgeps.gov.ph/GEPSNONPILOT/Tender/SplashBidNoticeAbstractUI.aspx?menuIndex=3&amp;refID=7087782&amp;Result=3","7087782")</f>
        <v>0</v>
      </c>
      <c r="B1000" t="s">
        <v>296</v>
      </c>
      <c r="C1000" t="s">
        <v>4381</v>
      </c>
      <c r="D1000" t="s">
        <v>17462</v>
      </c>
      <c r="E1000" t="s">
        <v>18413</v>
      </c>
      <c r="F1000" t="s">
        <v>30052</v>
      </c>
      <c r="G1000" t="s">
        <v>30059</v>
      </c>
      <c r="H1000" t="s">
        <v>15498</v>
      </c>
      <c r="I1000" t="s">
        <v>3852</v>
      </c>
      <c r="J1000" t="s">
        <v>30952</v>
      </c>
      <c r="K1000" t="s">
        <v>39018</v>
      </c>
      <c r="M1000" t="s">
        <v>39741</v>
      </c>
      <c r="N1000" t="s">
        <v>43166</v>
      </c>
      <c r="O1000" t="s">
        <v>43167</v>
      </c>
      <c r="P1000">
        <v>0</v>
      </c>
      <c r="Q1000">
        <v>1</v>
      </c>
      <c r="R1000" t="s">
        <v>43168</v>
      </c>
      <c r="S1000" t="s">
        <v>43286</v>
      </c>
      <c r="T1000" t="s">
        <v>44691</v>
      </c>
      <c r="U1000" t="s">
        <v>46037</v>
      </c>
      <c r="V1000" t="s">
        <v>56934</v>
      </c>
      <c r="W1000" t="s">
        <v>39741</v>
      </c>
      <c r="X1000" t="s">
        <v>43169</v>
      </c>
    </row>
    <row r="1001" spans="1:24">
      <c r="A1001">
        <f>HYPERLINK("https://www.philgeps.gov.ph/GEPSNONPILOT/Tender/SplashBidNoticeAbstractUI.aspx?menuIndex=3&amp;refID=7087757&amp;Result=3","7087757")</f>
        <v>0</v>
      </c>
      <c r="B1001" t="s">
        <v>442</v>
      </c>
      <c r="C1001" t="s">
        <v>4382</v>
      </c>
      <c r="E1001" t="s">
        <v>18414</v>
      </c>
      <c r="F1001" t="s">
        <v>30052</v>
      </c>
      <c r="G1001" t="s">
        <v>30059</v>
      </c>
      <c r="H1001" t="s">
        <v>15498</v>
      </c>
      <c r="I1001" t="s">
        <v>30096</v>
      </c>
      <c r="J1001" t="s">
        <v>30953</v>
      </c>
      <c r="K1001" t="s">
        <v>39046</v>
      </c>
      <c r="M1001" t="s">
        <v>39742</v>
      </c>
      <c r="N1001" t="s">
        <v>43166</v>
      </c>
      <c r="O1001" t="s">
        <v>43167</v>
      </c>
      <c r="P1001">
        <v>0</v>
      </c>
      <c r="Q1001">
        <v>9</v>
      </c>
      <c r="R1001" t="s">
        <v>43168</v>
      </c>
      <c r="S1001" t="s">
        <v>43286</v>
      </c>
      <c r="T1001" t="s">
        <v>44732</v>
      </c>
      <c r="U1001" t="s">
        <v>46038</v>
      </c>
      <c r="V1001" t="s">
        <v>56935</v>
      </c>
      <c r="W1001" t="s">
        <v>39742</v>
      </c>
      <c r="X1001" t="s">
        <v>43169</v>
      </c>
    </row>
    <row r="1002" spans="1:24">
      <c r="A1002">
        <f>HYPERLINK("https://www.philgeps.gov.ph/GEPSNONPILOT/Tender/SplashBidNoticeAbstractUI.aspx?menuIndex=3&amp;refID=7087780&amp;Result=3","7087780")</f>
        <v>0</v>
      </c>
      <c r="B1002" t="s">
        <v>443</v>
      </c>
      <c r="C1002" t="s">
        <v>4383</v>
      </c>
      <c r="D1002" t="s">
        <v>17425</v>
      </c>
      <c r="E1002" t="s">
        <v>18415</v>
      </c>
      <c r="F1002" t="s">
        <v>30052</v>
      </c>
      <c r="G1002" t="s">
        <v>30059</v>
      </c>
      <c r="H1002" t="s">
        <v>15498</v>
      </c>
      <c r="I1002" t="s">
        <v>30084</v>
      </c>
      <c r="J1002" t="s">
        <v>30337</v>
      </c>
      <c r="K1002" t="s">
        <v>39064</v>
      </c>
      <c r="M1002" t="s">
        <v>39743</v>
      </c>
      <c r="N1002" t="s">
        <v>43166</v>
      </c>
      <c r="O1002" t="s">
        <v>43167</v>
      </c>
      <c r="P1002">
        <v>0</v>
      </c>
      <c r="Q1002">
        <v>2</v>
      </c>
      <c r="R1002" t="s">
        <v>43168</v>
      </c>
      <c r="S1002" t="s">
        <v>43286</v>
      </c>
      <c r="T1002" t="s">
        <v>44685</v>
      </c>
      <c r="U1002" t="s">
        <v>46039</v>
      </c>
      <c r="W1002" t="s">
        <v>39743</v>
      </c>
      <c r="X1002" t="s">
        <v>43169</v>
      </c>
    </row>
    <row r="1003" spans="1:24">
      <c r="A1003">
        <f>HYPERLINK("https://www.philgeps.gov.ph/GEPSNONPILOT/Tender/SplashBidNoticeAbstractUI.aspx?menuIndex=3&amp;refID=7087779&amp;Result=3","7087779")</f>
        <v>0</v>
      </c>
      <c r="B1003" t="s">
        <v>427</v>
      </c>
      <c r="C1003" t="s">
        <v>4384</v>
      </c>
      <c r="D1003" t="s">
        <v>17424</v>
      </c>
      <c r="E1003" t="s">
        <v>18416</v>
      </c>
      <c r="F1003" t="s">
        <v>30052</v>
      </c>
      <c r="G1003" t="s">
        <v>30058</v>
      </c>
      <c r="H1003" t="s">
        <v>15498</v>
      </c>
      <c r="I1003" t="s">
        <v>3736</v>
      </c>
      <c r="J1003" t="s">
        <v>30954</v>
      </c>
      <c r="K1003" t="s">
        <v>39036</v>
      </c>
      <c r="M1003" t="s">
        <v>39726</v>
      </c>
      <c r="N1003" t="s">
        <v>43166</v>
      </c>
      <c r="O1003" t="s">
        <v>43167</v>
      </c>
      <c r="P1003">
        <v>0</v>
      </c>
      <c r="Q1003">
        <v>1</v>
      </c>
      <c r="R1003" t="s">
        <v>43168</v>
      </c>
      <c r="S1003" t="s">
        <v>43286</v>
      </c>
      <c r="T1003" t="s">
        <v>44721</v>
      </c>
      <c r="U1003" t="s">
        <v>46040</v>
      </c>
      <c r="W1003" t="s">
        <v>39726</v>
      </c>
      <c r="X1003" t="s">
        <v>43169</v>
      </c>
    </row>
    <row r="1004" spans="1:24">
      <c r="A1004">
        <f>HYPERLINK("https://www.philgeps.gov.ph/GEPSNONPILOT/Tender/SplashBidNoticeAbstractUI.aspx?menuIndex=3&amp;refID=7087770&amp;Result=3","7087770")</f>
        <v>0</v>
      </c>
      <c r="B1004" t="s">
        <v>444</v>
      </c>
      <c r="C1004" t="s">
        <v>4385</v>
      </c>
      <c r="D1004" t="s">
        <v>17450</v>
      </c>
      <c r="E1004" t="s">
        <v>18417</v>
      </c>
      <c r="F1004" t="s">
        <v>30052</v>
      </c>
      <c r="G1004" t="s">
        <v>30059</v>
      </c>
      <c r="H1004" t="s">
        <v>15498</v>
      </c>
      <c r="I1004" t="s">
        <v>30120</v>
      </c>
      <c r="J1004" t="s">
        <v>30955</v>
      </c>
      <c r="K1004" t="s">
        <v>39039</v>
      </c>
      <c r="M1004" t="s">
        <v>39744</v>
      </c>
      <c r="N1004" t="s">
        <v>43166</v>
      </c>
      <c r="O1004" t="s">
        <v>43167</v>
      </c>
      <c r="P1004">
        <v>0</v>
      </c>
      <c r="Q1004">
        <v>4</v>
      </c>
      <c r="R1004" t="s">
        <v>43168</v>
      </c>
      <c r="S1004" t="s">
        <v>43286</v>
      </c>
      <c r="T1004" t="s">
        <v>44715</v>
      </c>
      <c r="U1004" t="s">
        <v>46041</v>
      </c>
      <c r="W1004" t="s">
        <v>39744</v>
      </c>
      <c r="X1004" t="s">
        <v>43169</v>
      </c>
    </row>
    <row r="1005" spans="1:24">
      <c r="A1005">
        <f>HYPERLINK("https://www.philgeps.gov.ph/GEPSNONPILOT/Tender/SplashBidNoticeAbstractUI.aspx?menuIndex=3&amp;refID=7087783&amp;Result=3","7087783")</f>
        <v>0</v>
      </c>
      <c r="B1005" t="s">
        <v>445</v>
      </c>
      <c r="C1005" t="s">
        <v>4386</v>
      </c>
      <c r="D1005" t="s">
        <v>17420</v>
      </c>
      <c r="E1005" t="s">
        <v>18418</v>
      </c>
      <c r="F1005" t="s">
        <v>30052</v>
      </c>
      <c r="G1005" t="s">
        <v>30058</v>
      </c>
      <c r="H1005" t="s">
        <v>15498</v>
      </c>
      <c r="I1005" t="s">
        <v>3693</v>
      </c>
      <c r="J1005" t="s">
        <v>30277</v>
      </c>
      <c r="K1005" t="s">
        <v>39029</v>
      </c>
      <c r="M1005" t="s">
        <v>39745</v>
      </c>
      <c r="N1005" t="s">
        <v>43166</v>
      </c>
      <c r="O1005" t="s">
        <v>43167</v>
      </c>
      <c r="P1005">
        <v>0</v>
      </c>
      <c r="Q1005">
        <v>0</v>
      </c>
      <c r="R1005" t="s">
        <v>43168</v>
      </c>
      <c r="S1005" t="s">
        <v>43286</v>
      </c>
      <c r="T1005" t="s">
        <v>44814</v>
      </c>
      <c r="U1005" t="s">
        <v>46042</v>
      </c>
      <c r="W1005" t="s">
        <v>39745</v>
      </c>
      <c r="X1005" t="s">
        <v>43169</v>
      </c>
    </row>
    <row r="1006" spans="1:24">
      <c r="A1006">
        <f>HYPERLINK("https://www.philgeps.gov.ph/GEPSNONPILOT/Tender/SplashBidNoticeAbstractUI.aspx?menuIndex=3&amp;refID=7087778&amp;Result=3","7087778")</f>
        <v>0</v>
      </c>
      <c r="B1006" t="s">
        <v>69</v>
      </c>
      <c r="C1006" t="s">
        <v>4387</v>
      </c>
      <c r="D1006" t="s">
        <v>17437</v>
      </c>
      <c r="E1006" t="s">
        <v>18419</v>
      </c>
      <c r="F1006" t="s">
        <v>30052</v>
      </c>
      <c r="G1006" t="s">
        <v>30058</v>
      </c>
      <c r="H1006" t="s">
        <v>15498</v>
      </c>
      <c r="I1006" t="s">
        <v>3736</v>
      </c>
      <c r="J1006" t="s">
        <v>30956</v>
      </c>
      <c r="K1006" t="s">
        <v>39019</v>
      </c>
      <c r="M1006" t="s">
        <v>39358</v>
      </c>
      <c r="N1006" t="s">
        <v>43166</v>
      </c>
      <c r="O1006" t="s">
        <v>43167</v>
      </c>
      <c r="P1006">
        <v>0</v>
      </c>
      <c r="Q1006">
        <v>0</v>
      </c>
      <c r="R1006" t="s">
        <v>43168</v>
      </c>
      <c r="S1006" t="s">
        <v>43286</v>
      </c>
      <c r="T1006" t="s">
        <v>44716</v>
      </c>
      <c r="U1006" t="s">
        <v>46043</v>
      </c>
      <c r="W1006" t="s">
        <v>39358</v>
      </c>
      <c r="X1006" t="s">
        <v>43169</v>
      </c>
    </row>
    <row r="1007" spans="1:24">
      <c r="A1007">
        <f>HYPERLINK("https://www.philgeps.gov.ph/GEPSNONPILOT/Tender/SplashBidNoticeAbstractUI.aspx?menuIndex=3&amp;refID=7087781&amp;Result=3","7087781")</f>
        <v>0</v>
      </c>
      <c r="B1007" t="s">
        <v>446</v>
      </c>
      <c r="C1007" t="s">
        <v>4388</v>
      </c>
      <c r="D1007" t="s">
        <v>17466</v>
      </c>
      <c r="E1007" t="s">
        <v>18420</v>
      </c>
      <c r="F1007" t="s">
        <v>30052</v>
      </c>
      <c r="G1007" t="s">
        <v>30060</v>
      </c>
      <c r="H1007" t="s">
        <v>15498</v>
      </c>
      <c r="I1007" t="s">
        <v>30085</v>
      </c>
      <c r="J1007" t="s">
        <v>30426</v>
      </c>
      <c r="K1007" t="s">
        <v>39036</v>
      </c>
      <c r="M1007" t="s">
        <v>39746</v>
      </c>
      <c r="N1007" t="s">
        <v>43166</v>
      </c>
      <c r="O1007" t="s">
        <v>43167</v>
      </c>
      <c r="P1007">
        <v>0</v>
      </c>
      <c r="Q1007">
        <v>0</v>
      </c>
      <c r="R1007" t="s">
        <v>43168</v>
      </c>
      <c r="S1007" t="s">
        <v>43286</v>
      </c>
      <c r="T1007" t="s">
        <v>44724</v>
      </c>
      <c r="U1007" t="s">
        <v>46044</v>
      </c>
      <c r="W1007" t="s">
        <v>39746</v>
      </c>
      <c r="X1007" t="s">
        <v>43169</v>
      </c>
    </row>
    <row r="1008" spans="1:24">
      <c r="A1008">
        <f>HYPERLINK("https://www.philgeps.gov.ph/GEPSNONPILOT/Tender/SplashBidNoticeAbstractUI.aspx?menuIndex=3&amp;refID=7087775&amp;Result=3","7087775")</f>
        <v>0</v>
      </c>
      <c r="B1008" t="s">
        <v>443</v>
      </c>
      <c r="C1008" t="s">
        <v>4389</v>
      </c>
      <c r="D1008" t="s">
        <v>17425</v>
      </c>
      <c r="E1008" t="s">
        <v>18421</v>
      </c>
      <c r="F1008" t="s">
        <v>30052</v>
      </c>
      <c r="G1008" t="s">
        <v>30059</v>
      </c>
      <c r="H1008" t="s">
        <v>15498</v>
      </c>
      <c r="I1008" t="s">
        <v>30146</v>
      </c>
      <c r="J1008" t="s">
        <v>30314</v>
      </c>
      <c r="K1008" t="s">
        <v>39017</v>
      </c>
      <c r="M1008" t="s">
        <v>39743</v>
      </c>
      <c r="N1008" t="s">
        <v>43166</v>
      </c>
      <c r="O1008" t="s">
        <v>43167</v>
      </c>
      <c r="P1008">
        <v>0</v>
      </c>
      <c r="Q1008">
        <v>2</v>
      </c>
      <c r="R1008" t="s">
        <v>43168</v>
      </c>
      <c r="S1008" t="s">
        <v>43286</v>
      </c>
      <c r="T1008" t="s">
        <v>44685</v>
      </c>
      <c r="U1008" t="s">
        <v>46045</v>
      </c>
      <c r="W1008" t="s">
        <v>39743</v>
      </c>
      <c r="X1008" t="s">
        <v>43169</v>
      </c>
    </row>
    <row r="1009" spans="1:24">
      <c r="A1009">
        <f>HYPERLINK("https://www.philgeps.gov.ph/GEPSNONPILOT/Tender/SplashBidNoticeAbstractUI.aspx?menuIndex=3&amp;refID=7087786&amp;Result=3","7087786")</f>
        <v>0</v>
      </c>
      <c r="B1009" t="s">
        <v>447</v>
      </c>
      <c r="C1009" t="s">
        <v>4390</v>
      </c>
      <c r="D1009" t="s">
        <v>17448</v>
      </c>
      <c r="E1009" t="s">
        <v>18422</v>
      </c>
      <c r="F1009" t="s">
        <v>30052</v>
      </c>
      <c r="G1009" t="s">
        <v>30058</v>
      </c>
      <c r="H1009" t="s">
        <v>30067</v>
      </c>
      <c r="I1009" t="s">
        <v>3693</v>
      </c>
      <c r="J1009" t="s">
        <v>30252</v>
      </c>
      <c r="K1009" t="s">
        <v>39025</v>
      </c>
      <c r="M1009" t="s">
        <v>39747</v>
      </c>
      <c r="N1009" t="s">
        <v>43166</v>
      </c>
      <c r="O1009" t="s">
        <v>43167</v>
      </c>
      <c r="P1009">
        <v>0</v>
      </c>
      <c r="Q1009">
        <v>0</v>
      </c>
      <c r="R1009" t="s">
        <v>43168</v>
      </c>
      <c r="S1009" t="s">
        <v>43286</v>
      </c>
      <c r="T1009" t="s">
        <v>44679</v>
      </c>
      <c r="U1009" t="s">
        <v>46046</v>
      </c>
      <c r="W1009" t="s">
        <v>39747</v>
      </c>
      <c r="X1009" t="s">
        <v>43169</v>
      </c>
    </row>
    <row r="1010" spans="1:24">
      <c r="A1010">
        <f>HYPERLINK("https://www.philgeps.gov.ph/GEPSNONPILOT/Tender/SplashBidNoticeAbstractUI.aspx?menuIndex=3&amp;refID=7087776&amp;Result=3","7087776")</f>
        <v>0</v>
      </c>
      <c r="B1010" t="s">
        <v>435</v>
      </c>
      <c r="C1010" t="s">
        <v>4391</v>
      </c>
      <c r="D1010" t="s">
        <v>17413</v>
      </c>
      <c r="E1010" t="s">
        <v>18423</v>
      </c>
      <c r="F1010" t="s">
        <v>30052</v>
      </c>
      <c r="G1010" t="s">
        <v>30058</v>
      </c>
      <c r="H1010" t="s">
        <v>30067</v>
      </c>
      <c r="I1010" t="s">
        <v>3693</v>
      </c>
      <c r="J1010" t="s">
        <v>30957</v>
      </c>
      <c r="K1010" t="s">
        <v>39019</v>
      </c>
      <c r="M1010" t="s">
        <v>39734</v>
      </c>
      <c r="N1010" t="s">
        <v>43166</v>
      </c>
      <c r="O1010" t="s">
        <v>43167</v>
      </c>
      <c r="P1010">
        <v>0</v>
      </c>
      <c r="Q1010">
        <v>0</v>
      </c>
      <c r="R1010" t="s">
        <v>43168</v>
      </c>
      <c r="S1010" t="s">
        <v>43286</v>
      </c>
      <c r="T1010" t="s">
        <v>44764</v>
      </c>
      <c r="U1010" t="s">
        <v>46047</v>
      </c>
      <c r="W1010" t="s">
        <v>39734</v>
      </c>
      <c r="X1010" t="s">
        <v>43169</v>
      </c>
    </row>
    <row r="1011" spans="1:24">
      <c r="A1011">
        <f>HYPERLINK("https://www.philgeps.gov.ph/GEPSNONPILOT/Tender/SplashBidNoticeAbstractUI.aspx?menuIndex=3&amp;refID=7087784&amp;Result=3","7087784")</f>
        <v>0</v>
      </c>
      <c r="B1011" t="s">
        <v>448</v>
      </c>
      <c r="C1011" t="s">
        <v>4392</v>
      </c>
      <c r="D1011" t="s">
        <v>17445</v>
      </c>
      <c r="E1011" t="s">
        <v>18424</v>
      </c>
      <c r="F1011" t="s">
        <v>30052</v>
      </c>
      <c r="G1011" t="s">
        <v>30058</v>
      </c>
      <c r="H1011" t="s">
        <v>15498</v>
      </c>
      <c r="I1011" t="s">
        <v>30129</v>
      </c>
      <c r="J1011" t="s">
        <v>30958</v>
      </c>
      <c r="K1011" t="s">
        <v>39025</v>
      </c>
      <c r="M1011" t="s">
        <v>39748</v>
      </c>
      <c r="N1011" t="s">
        <v>43166</v>
      </c>
      <c r="O1011" t="s">
        <v>43167</v>
      </c>
      <c r="P1011">
        <v>0</v>
      </c>
      <c r="Q1011">
        <v>0</v>
      </c>
      <c r="R1011" t="s">
        <v>43168</v>
      </c>
      <c r="S1011" t="s">
        <v>43286</v>
      </c>
      <c r="T1011" t="s">
        <v>44712</v>
      </c>
      <c r="U1011" t="s">
        <v>46048</v>
      </c>
      <c r="V1011" t="s">
        <v>56936</v>
      </c>
      <c r="W1011" t="s">
        <v>39748</v>
      </c>
      <c r="X1011" t="s">
        <v>43169</v>
      </c>
    </row>
    <row r="1012" spans="1:24">
      <c r="A1012">
        <f>HYPERLINK("https://www.philgeps.gov.ph/GEPSNONPILOT/Tender/SplashBidNoticeAbstractUI.aspx?menuIndex=3&amp;refID=7087758&amp;Result=3","7087758")</f>
        <v>0</v>
      </c>
      <c r="B1012" t="s">
        <v>431</v>
      </c>
      <c r="C1012" t="s">
        <v>4393</v>
      </c>
      <c r="D1012" t="s">
        <v>17482</v>
      </c>
      <c r="E1012" t="s">
        <v>18425</v>
      </c>
      <c r="F1012" t="s">
        <v>30054</v>
      </c>
      <c r="G1012" t="s">
        <v>30058</v>
      </c>
      <c r="H1012" t="s">
        <v>15498</v>
      </c>
      <c r="I1012" t="s">
        <v>30097</v>
      </c>
      <c r="J1012" t="s">
        <v>30337</v>
      </c>
      <c r="K1012" t="s">
        <v>39034</v>
      </c>
      <c r="M1012" t="s">
        <v>39730</v>
      </c>
      <c r="N1012" t="s">
        <v>43166</v>
      </c>
      <c r="O1012" t="s">
        <v>43167</v>
      </c>
      <c r="P1012">
        <v>0</v>
      </c>
      <c r="Q1012">
        <v>0</v>
      </c>
      <c r="R1012" t="s">
        <v>43168</v>
      </c>
      <c r="S1012" t="s">
        <v>43286</v>
      </c>
      <c r="T1012" t="s">
        <v>44813</v>
      </c>
      <c r="U1012" t="s">
        <v>46049</v>
      </c>
      <c r="W1012" t="s">
        <v>39730</v>
      </c>
      <c r="X1012" t="s">
        <v>43169</v>
      </c>
    </row>
    <row r="1013" spans="1:24">
      <c r="A1013">
        <f>HYPERLINK("https://www.philgeps.gov.ph/GEPSNONPILOT/Tender/SplashBidNoticeAbstractUI.aspx?menuIndex=3&amp;refID=7087773&amp;Result=3","7087773")</f>
        <v>0</v>
      </c>
      <c r="B1013" t="s">
        <v>449</v>
      </c>
      <c r="C1013" t="s">
        <v>4394</v>
      </c>
      <c r="D1013" t="s">
        <v>17435</v>
      </c>
      <c r="E1013" t="s">
        <v>18038</v>
      </c>
      <c r="F1013" t="s">
        <v>30052</v>
      </c>
      <c r="G1013" t="s">
        <v>30058</v>
      </c>
      <c r="H1013" t="s">
        <v>15498</v>
      </c>
      <c r="I1013" t="s">
        <v>3736</v>
      </c>
      <c r="J1013" t="s">
        <v>30959</v>
      </c>
      <c r="K1013" t="s">
        <v>39034</v>
      </c>
      <c r="M1013" t="s">
        <v>39749</v>
      </c>
      <c r="N1013" t="s">
        <v>43166</v>
      </c>
      <c r="O1013" t="s">
        <v>43167</v>
      </c>
      <c r="P1013">
        <v>0</v>
      </c>
      <c r="Q1013">
        <v>0</v>
      </c>
      <c r="R1013" t="s">
        <v>43168</v>
      </c>
      <c r="S1013" t="s">
        <v>43286</v>
      </c>
      <c r="T1013" t="s">
        <v>44689</v>
      </c>
      <c r="U1013" t="s">
        <v>46050</v>
      </c>
      <c r="W1013" t="s">
        <v>39749</v>
      </c>
      <c r="X1013" t="s">
        <v>43169</v>
      </c>
    </row>
    <row r="1014" spans="1:24">
      <c r="A1014">
        <f>HYPERLINK("https://www.philgeps.gov.ph/GEPSNONPILOT/Tender/SplashBidNoticeAbstractUI.aspx?menuIndex=3&amp;refID=7087767&amp;Result=3","7087767")</f>
        <v>0</v>
      </c>
      <c r="B1014" t="s">
        <v>450</v>
      </c>
      <c r="C1014" t="s">
        <v>4395</v>
      </c>
      <c r="D1014" t="s">
        <v>17467</v>
      </c>
      <c r="E1014" t="s">
        <v>18426</v>
      </c>
      <c r="F1014" t="s">
        <v>30052</v>
      </c>
      <c r="G1014" t="s">
        <v>30058</v>
      </c>
      <c r="H1014" t="s">
        <v>30067</v>
      </c>
      <c r="I1014" t="s">
        <v>3693</v>
      </c>
      <c r="J1014" t="s">
        <v>30960</v>
      </c>
      <c r="K1014" t="s">
        <v>39019</v>
      </c>
      <c r="M1014" t="s">
        <v>39750</v>
      </c>
      <c r="N1014" t="s">
        <v>43166</v>
      </c>
      <c r="O1014" t="s">
        <v>43167</v>
      </c>
      <c r="P1014">
        <v>0</v>
      </c>
      <c r="Q1014">
        <v>0</v>
      </c>
      <c r="R1014" t="s">
        <v>43168</v>
      </c>
      <c r="S1014" t="s">
        <v>43286</v>
      </c>
      <c r="T1014" t="s">
        <v>44733</v>
      </c>
      <c r="U1014" t="s">
        <v>46051</v>
      </c>
      <c r="W1014" t="s">
        <v>39750</v>
      </c>
      <c r="X1014" t="s">
        <v>43169</v>
      </c>
    </row>
    <row r="1015" spans="1:24">
      <c r="A1015">
        <f>HYPERLINK("https://www.philgeps.gov.ph/GEPSNONPILOT/Tender/SplashBidNoticeAbstractUI.aspx?menuIndex=3&amp;refID=7087785&amp;Result=3","7087785")</f>
        <v>0</v>
      </c>
      <c r="B1015" t="s">
        <v>446</v>
      </c>
      <c r="C1015" t="s">
        <v>4396</v>
      </c>
      <c r="D1015" t="s">
        <v>17466</v>
      </c>
      <c r="E1015" t="s">
        <v>18427</v>
      </c>
      <c r="F1015" t="s">
        <v>30052</v>
      </c>
      <c r="G1015" t="s">
        <v>30060</v>
      </c>
      <c r="H1015" t="s">
        <v>15498</v>
      </c>
      <c r="I1015" t="s">
        <v>30085</v>
      </c>
      <c r="J1015" t="s">
        <v>30961</v>
      </c>
      <c r="K1015" t="s">
        <v>39036</v>
      </c>
      <c r="M1015" t="s">
        <v>39746</v>
      </c>
      <c r="N1015" t="s">
        <v>43166</v>
      </c>
      <c r="O1015" t="s">
        <v>43167</v>
      </c>
      <c r="P1015">
        <v>0</v>
      </c>
      <c r="Q1015">
        <v>0</v>
      </c>
      <c r="R1015" t="s">
        <v>43168</v>
      </c>
      <c r="S1015" t="s">
        <v>43286</v>
      </c>
      <c r="T1015" t="s">
        <v>44724</v>
      </c>
      <c r="U1015" t="s">
        <v>46052</v>
      </c>
      <c r="W1015" t="s">
        <v>39746</v>
      </c>
      <c r="X1015" t="s">
        <v>43169</v>
      </c>
    </row>
    <row r="1016" spans="1:24">
      <c r="A1016">
        <f>HYPERLINK("https://www.philgeps.gov.ph/GEPSNONPILOT/Tender/SplashBidNoticeAbstractUI.aspx?menuIndex=3&amp;refID=7087771&amp;Result=3","7087771")</f>
        <v>0</v>
      </c>
      <c r="B1016" t="s">
        <v>451</v>
      </c>
      <c r="C1016" t="s">
        <v>4397</v>
      </c>
      <c r="D1016" t="s">
        <v>17474</v>
      </c>
      <c r="E1016" t="s">
        <v>18428</v>
      </c>
      <c r="F1016" t="s">
        <v>30052</v>
      </c>
      <c r="G1016" t="s">
        <v>30058</v>
      </c>
      <c r="H1016" t="s">
        <v>15498</v>
      </c>
      <c r="I1016" t="s">
        <v>30147</v>
      </c>
      <c r="J1016" t="s">
        <v>30962</v>
      </c>
      <c r="K1016" t="s">
        <v>39046</v>
      </c>
      <c r="M1016" t="s">
        <v>39751</v>
      </c>
      <c r="N1016" t="s">
        <v>43166</v>
      </c>
      <c r="O1016" t="s">
        <v>43167</v>
      </c>
      <c r="P1016">
        <v>0</v>
      </c>
      <c r="Q1016">
        <v>0</v>
      </c>
      <c r="R1016" t="s">
        <v>43168</v>
      </c>
      <c r="S1016" t="s">
        <v>43286</v>
      </c>
      <c r="T1016" t="s">
        <v>44684</v>
      </c>
      <c r="U1016" t="s">
        <v>46053</v>
      </c>
      <c r="W1016" t="s">
        <v>39751</v>
      </c>
      <c r="X1016" t="s">
        <v>43169</v>
      </c>
    </row>
    <row r="1017" spans="1:24">
      <c r="A1017">
        <f>HYPERLINK("https://www.philgeps.gov.ph/GEPSNONPILOT/Tender/SplashBidNoticeAbstractUI.aspx?menuIndex=3&amp;refID=7087790&amp;Result=3","7087790")</f>
        <v>0</v>
      </c>
      <c r="B1017" t="s">
        <v>443</v>
      </c>
      <c r="C1017" t="s">
        <v>4398</v>
      </c>
      <c r="D1017" t="s">
        <v>17425</v>
      </c>
      <c r="E1017" t="s">
        <v>18429</v>
      </c>
      <c r="F1017" t="s">
        <v>30052</v>
      </c>
      <c r="G1017" t="s">
        <v>30059</v>
      </c>
      <c r="H1017" t="s">
        <v>15498</v>
      </c>
      <c r="I1017" t="s">
        <v>7228</v>
      </c>
      <c r="J1017" t="s">
        <v>30299</v>
      </c>
      <c r="K1017" t="s">
        <v>39017</v>
      </c>
      <c r="M1017" t="s">
        <v>39743</v>
      </c>
      <c r="N1017" t="s">
        <v>43166</v>
      </c>
      <c r="O1017" t="s">
        <v>43167</v>
      </c>
      <c r="P1017">
        <v>0</v>
      </c>
      <c r="Q1017">
        <v>1</v>
      </c>
      <c r="R1017" t="s">
        <v>43168</v>
      </c>
      <c r="S1017" t="s">
        <v>43286</v>
      </c>
      <c r="T1017" t="s">
        <v>44685</v>
      </c>
      <c r="U1017" t="s">
        <v>46054</v>
      </c>
      <c r="W1017" t="s">
        <v>39743</v>
      </c>
      <c r="X1017" t="s">
        <v>43169</v>
      </c>
    </row>
    <row r="1018" spans="1:24">
      <c r="A1018">
        <f>HYPERLINK("https://www.philgeps.gov.ph/GEPSNONPILOT/Tender/SplashBidNoticeAbstractUI.aspx?menuIndex=3&amp;refID=7087760&amp;Result=3","7087760")</f>
        <v>0</v>
      </c>
      <c r="B1018" t="s">
        <v>452</v>
      </c>
      <c r="C1018" t="s">
        <v>4399</v>
      </c>
      <c r="D1018" t="s">
        <v>17424</v>
      </c>
      <c r="E1018" t="s">
        <v>18411</v>
      </c>
      <c r="F1018" t="s">
        <v>30052</v>
      </c>
      <c r="G1018" t="s">
        <v>30058</v>
      </c>
      <c r="H1018" t="s">
        <v>15498</v>
      </c>
      <c r="I1018" t="s">
        <v>3736</v>
      </c>
      <c r="J1018" t="s">
        <v>30963</v>
      </c>
      <c r="K1018" t="s">
        <v>39019</v>
      </c>
      <c r="M1018" t="s">
        <v>39752</v>
      </c>
      <c r="N1018" t="s">
        <v>43166</v>
      </c>
      <c r="O1018" t="s">
        <v>43167</v>
      </c>
      <c r="P1018">
        <v>0</v>
      </c>
      <c r="Q1018">
        <v>0</v>
      </c>
      <c r="R1018" t="s">
        <v>43168</v>
      </c>
      <c r="S1018" t="s">
        <v>43286</v>
      </c>
      <c r="T1018" t="s">
        <v>44724</v>
      </c>
      <c r="U1018" t="s">
        <v>46035</v>
      </c>
      <c r="W1018" t="s">
        <v>39752</v>
      </c>
      <c r="X1018" t="s">
        <v>43169</v>
      </c>
    </row>
    <row r="1019" spans="1:24">
      <c r="A1019">
        <f>HYPERLINK("https://www.philgeps.gov.ph/GEPSNONPILOT/Tender/SplashBidNoticeAbstractUI.aspx?menuIndex=3&amp;refID=7087774&amp;Result=3","7087774")</f>
        <v>0</v>
      </c>
      <c r="B1019" t="s">
        <v>427</v>
      </c>
      <c r="C1019" t="s">
        <v>4400</v>
      </c>
      <c r="D1019" t="s">
        <v>17424</v>
      </c>
      <c r="E1019" t="s">
        <v>18430</v>
      </c>
      <c r="F1019" t="s">
        <v>30052</v>
      </c>
      <c r="G1019" t="s">
        <v>30058</v>
      </c>
      <c r="H1019" t="s">
        <v>15498</v>
      </c>
      <c r="I1019" t="s">
        <v>3736</v>
      </c>
      <c r="J1019" t="s">
        <v>30964</v>
      </c>
      <c r="K1019" t="s">
        <v>39036</v>
      </c>
      <c r="M1019" t="s">
        <v>39726</v>
      </c>
      <c r="N1019" t="s">
        <v>43166</v>
      </c>
      <c r="O1019" t="s">
        <v>43167</v>
      </c>
      <c r="P1019">
        <v>0</v>
      </c>
      <c r="Q1019">
        <v>1</v>
      </c>
      <c r="R1019" t="s">
        <v>43168</v>
      </c>
      <c r="S1019" t="s">
        <v>43286</v>
      </c>
      <c r="T1019" t="s">
        <v>44721</v>
      </c>
      <c r="U1019" t="s">
        <v>46055</v>
      </c>
      <c r="W1019" t="s">
        <v>39726</v>
      </c>
      <c r="X1019" t="s">
        <v>43169</v>
      </c>
    </row>
    <row r="1020" spans="1:24">
      <c r="A1020">
        <f>HYPERLINK("https://www.philgeps.gov.ph/GEPSNONPILOT/Tender/SplashBidNoticeAbstractUI.aspx?menuIndex=3&amp;refID=7087787&amp;Result=3","7087787")</f>
        <v>0</v>
      </c>
      <c r="B1020" t="s">
        <v>453</v>
      </c>
      <c r="C1020" t="s">
        <v>4401</v>
      </c>
      <c r="D1020" t="s">
        <v>17437</v>
      </c>
      <c r="E1020" t="s">
        <v>18431</v>
      </c>
      <c r="F1020" t="s">
        <v>30052</v>
      </c>
      <c r="G1020" t="s">
        <v>30058</v>
      </c>
      <c r="H1020" t="s">
        <v>15498</v>
      </c>
      <c r="I1020" t="s">
        <v>3736</v>
      </c>
      <c r="J1020" t="s">
        <v>30965</v>
      </c>
      <c r="K1020" t="s">
        <v>39019</v>
      </c>
      <c r="M1020" t="s">
        <v>39753</v>
      </c>
      <c r="N1020" t="s">
        <v>43166</v>
      </c>
      <c r="O1020" t="s">
        <v>43167</v>
      </c>
      <c r="P1020">
        <v>0</v>
      </c>
      <c r="Q1020">
        <v>0</v>
      </c>
      <c r="R1020" t="s">
        <v>43168</v>
      </c>
      <c r="S1020" t="s">
        <v>43286</v>
      </c>
      <c r="T1020" t="s">
        <v>44815</v>
      </c>
      <c r="U1020" t="s">
        <v>46056</v>
      </c>
      <c r="W1020" t="s">
        <v>39753</v>
      </c>
      <c r="X1020" t="s">
        <v>43169</v>
      </c>
    </row>
    <row r="1021" spans="1:24">
      <c r="A1021">
        <f>HYPERLINK("https://www.philgeps.gov.ph/GEPSNONPILOT/Tender/SplashBidNoticeAbstractUI.aspx?menuIndex=3&amp;refID=7087805&amp;Result=3","7087805")</f>
        <v>0</v>
      </c>
      <c r="B1021" t="s">
        <v>454</v>
      </c>
      <c r="C1021" t="s">
        <v>4402</v>
      </c>
      <c r="D1021" t="s">
        <v>17452</v>
      </c>
      <c r="E1021" t="s">
        <v>18432</v>
      </c>
      <c r="F1021" t="s">
        <v>30052</v>
      </c>
      <c r="G1021" t="s">
        <v>30061</v>
      </c>
      <c r="H1021" t="s">
        <v>15498</v>
      </c>
      <c r="I1021" t="s">
        <v>30073</v>
      </c>
      <c r="J1021" t="s">
        <v>30966</v>
      </c>
      <c r="K1021" t="s">
        <v>39017</v>
      </c>
      <c r="M1021" t="s">
        <v>39754</v>
      </c>
      <c r="N1021" t="s">
        <v>43166</v>
      </c>
      <c r="O1021" t="s">
        <v>43167</v>
      </c>
      <c r="P1021">
        <v>0</v>
      </c>
      <c r="Q1021">
        <v>0</v>
      </c>
      <c r="R1021" t="s">
        <v>43168</v>
      </c>
      <c r="S1021" t="s">
        <v>43286</v>
      </c>
      <c r="T1021" t="s">
        <v>44698</v>
      </c>
      <c r="U1021" t="s">
        <v>46057</v>
      </c>
      <c r="W1021" t="s">
        <v>39754</v>
      </c>
      <c r="X1021" t="s">
        <v>43169</v>
      </c>
    </row>
    <row r="1022" spans="1:24">
      <c r="A1022">
        <f>HYPERLINK("https://www.philgeps.gov.ph/GEPSNONPILOT/Tender/SplashBidNoticeAbstractUI.aspx?menuIndex=3&amp;refID=7087777&amp;Result=3","7087777")</f>
        <v>0</v>
      </c>
      <c r="B1022" t="s">
        <v>445</v>
      </c>
      <c r="C1022" t="s">
        <v>4403</v>
      </c>
      <c r="D1022" t="s">
        <v>17420</v>
      </c>
      <c r="E1022" t="s">
        <v>18433</v>
      </c>
      <c r="F1022" t="s">
        <v>30052</v>
      </c>
      <c r="G1022" t="s">
        <v>30058</v>
      </c>
      <c r="H1022" t="s">
        <v>30067</v>
      </c>
      <c r="I1022" t="s">
        <v>3693</v>
      </c>
      <c r="J1022" t="s">
        <v>30297</v>
      </c>
      <c r="K1022" t="s">
        <v>39029</v>
      </c>
      <c r="M1022" t="s">
        <v>39745</v>
      </c>
      <c r="N1022" t="s">
        <v>43166</v>
      </c>
      <c r="O1022" t="s">
        <v>43167</v>
      </c>
      <c r="P1022">
        <v>0</v>
      </c>
      <c r="Q1022">
        <v>0</v>
      </c>
      <c r="R1022" t="s">
        <v>43168</v>
      </c>
      <c r="S1022" t="s">
        <v>43286</v>
      </c>
      <c r="T1022" t="s">
        <v>44814</v>
      </c>
      <c r="U1022" t="s">
        <v>46058</v>
      </c>
      <c r="W1022" t="s">
        <v>39745</v>
      </c>
      <c r="X1022" t="s">
        <v>43169</v>
      </c>
    </row>
    <row r="1023" spans="1:24">
      <c r="A1023">
        <f>HYPERLINK("https://www.philgeps.gov.ph/GEPSNONPILOT/Tender/SplashBidNoticeAbstractUI.aspx?menuIndex=3&amp;refID=7087789&amp;Result=3","7087789")</f>
        <v>0</v>
      </c>
      <c r="B1023" t="s">
        <v>455</v>
      </c>
      <c r="C1023" t="s">
        <v>4404</v>
      </c>
      <c r="D1023" t="s">
        <v>17415</v>
      </c>
      <c r="E1023" t="s">
        <v>18434</v>
      </c>
      <c r="F1023" t="s">
        <v>30052</v>
      </c>
      <c r="G1023" t="s">
        <v>30059</v>
      </c>
      <c r="H1023" t="s">
        <v>15498</v>
      </c>
      <c r="I1023" t="s">
        <v>30084</v>
      </c>
      <c r="J1023" t="s">
        <v>30967</v>
      </c>
      <c r="K1023" t="s">
        <v>39025</v>
      </c>
      <c r="M1023" t="s">
        <v>39755</v>
      </c>
      <c r="N1023" t="s">
        <v>43166</v>
      </c>
      <c r="O1023" t="s">
        <v>43167</v>
      </c>
      <c r="P1023">
        <v>0</v>
      </c>
      <c r="Q1023">
        <v>5</v>
      </c>
      <c r="R1023" t="s">
        <v>43168</v>
      </c>
      <c r="S1023" t="s">
        <v>43286</v>
      </c>
      <c r="T1023" t="s">
        <v>44691</v>
      </c>
      <c r="U1023" t="s">
        <v>46059</v>
      </c>
      <c r="W1023" t="s">
        <v>39755</v>
      </c>
      <c r="X1023" t="s">
        <v>43169</v>
      </c>
    </row>
    <row r="1024" spans="1:24">
      <c r="A1024">
        <f>HYPERLINK("https://www.philgeps.gov.ph/GEPSNONPILOT/Tender/SplashBidNoticeAbstractUI.aspx?menuIndex=3&amp;refID=7087806&amp;Result=3","7087806")</f>
        <v>0</v>
      </c>
      <c r="B1024" t="s">
        <v>453</v>
      </c>
      <c r="C1024" t="s">
        <v>4405</v>
      </c>
      <c r="D1024" t="s">
        <v>17437</v>
      </c>
      <c r="E1024" t="s">
        <v>18435</v>
      </c>
      <c r="F1024" t="s">
        <v>30052</v>
      </c>
      <c r="G1024" t="s">
        <v>30058</v>
      </c>
      <c r="H1024" t="s">
        <v>15498</v>
      </c>
      <c r="I1024" t="s">
        <v>3736</v>
      </c>
      <c r="J1024" t="s">
        <v>30965</v>
      </c>
      <c r="K1024" t="s">
        <v>39019</v>
      </c>
      <c r="M1024" t="s">
        <v>39753</v>
      </c>
      <c r="N1024" t="s">
        <v>43166</v>
      </c>
      <c r="O1024" t="s">
        <v>43167</v>
      </c>
      <c r="P1024">
        <v>0</v>
      </c>
      <c r="Q1024">
        <v>0</v>
      </c>
      <c r="R1024" t="s">
        <v>43168</v>
      </c>
      <c r="S1024" t="s">
        <v>43286</v>
      </c>
      <c r="T1024" t="s">
        <v>44815</v>
      </c>
      <c r="U1024" t="s">
        <v>46056</v>
      </c>
      <c r="W1024" t="s">
        <v>39753</v>
      </c>
      <c r="X1024" t="s">
        <v>43169</v>
      </c>
    </row>
    <row r="1025" spans="1:24">
      <c r="A1025">
        <f>HYPERLINK("https://www.philgeps.gov.ph/GEPSNONPILOT/Tender/SplashBidNoticeAbstractUI.aspx?menuIndex=3&amp;refID=7087803&amp;Result=3","7087803")</f>
        <v>0</v>
      </c>
      <c r="B1025" t="s">
        <v>456</v>
      </c>
      <c r="C1025" t="s">
        <v>4406</v>
      </c>
      <c r="D1025" t="s">
        <v>17420</v>
      </c>
      <c r="E1025" t="s">
        <v>18436</v>
      </c>
      <c r="F1025" t="s">
        <v>30052</v>
      </c>
      <c r="G1025" t="s">
        <v>30058</v>
      </c>
      <c r="H1025" t="s">
        <v>15498</v>
      </c>
      <c r="I1025" t="s">
        <v>3693</v>
      </c>
      <c r="J1025" t="s">
        <v>30222</v>
      </c>
      <c r="K1025" t="s">
        <v>39029</v>
      </c>
      <c r="M1025" t="s">
        <v>39756</v>
      </c>
      <c r="N1025" t="s">
        <v>43166</v>
      </c>
      <c r="O1025" t="s">
        <v>43167</v>
      </c>
      <c r="Q1025">
        <v>0</v>
      </c>
      <c r="R1025" t="s">
        <v>43168</v>
      </c>
      <c r="S1025" t="s">
        <v>43290</v>
      </c>
      <c r="T1025" t="s">
        <v>44814</v>
      </c>
      <c r="U1025" t="s">
        <v>46060</v>
      </c>
      <c r="W1025" t="s">
        <v>39756</v>
      </c>
      <c r="X1025" t="s">
        <v>43169</v>
      </c>
    </row>
    <row r="1026" spans="1:24">
      <c r="A1026">
        <f>HYPERLINK("https://www.philgeps.gov.ph/GEPSNONPILOT/Tender/SplashBidNoticeAbstractUI.aspx?menuIndex=3&amp;refID=7087801&amp;Result=3","7087801")</f>
        <v>0</v>
      </c>
      <c r="B1026" t="s">
        <v>454</v>
      </c>
      <c r="C1026" t="s">
        <v>4407</v>
      </c>
      <c r="D1026" t="s">
        <v>17452</v>
      </c>
      <c r="E1026" t="s">
        <v>18437</v>
      </c>
      <c r="F1026" t="s">
        <v>30052</v>
      </c>
      <c r="G1026" t="s">
        <v>30059</v>
      </c>
      <c r="H1026" t="s">
        <v>15498</v>
      </c>
      <c r="I1026" t="s">
        <v>30081</v>
      </c>
      <c r="J1026" t="s">
        <v>30968</v>
      </c>
      <c r="K1026" t="s">
        <v>39017</v>
      </c>
      <c r="M1026" t="s">
        <v>39754</v>
      </c>
      <c r="N1026" t="s">
        <v>43166</v>
      </c>
      <c r="O1026" t="s">
        <v>43167</v>
      </c>
      <c r="P1026">
        <v>0</v>
      </c>
      <c r="Q1026">
        <v>1</v>
      </c>
      <c r="R1026" t="s">
        <v>43168</v>
      </c>
      <c r="S1026" t="s">
        <v>43286</v>
      </c>
      <c r="T1026" t="s">
        <v>44698</v>
      </c>
      <c r="U1026" t="s">
        <v>46057</v>
      </c>
      <c r="W1026" t="s">
        <v>39754</v>
      </c>
      <c r="X1026" t="s">
        <v>43169</v>
      </c>
    </row>
    <row r="1027" spans="1:24">
      <c r="A1027">
        <f>HYPERLINK("https://www.philgeps.gov.ph/GEPSNONPILOT/Tender/SplashBidNoticeAbstractUI.aspx?menuIndex=3&amp;refID=7087769&amp;Result=3","7087769")</f>
        <v>0</v>
      </c>
      <c r="B1027" t="s">
        <v>457</v>
      </c>
      <c r="C1027" t="s">
        <v>4408</v>
      </c>
      <c r="D1027" t="s">
        <v>17435</v>
      </c>
      <c r="E1027" t="s">
        <v>18038</v>
      </c>
      <c r="F1027" t="s">
        <v>30052</v>
      </c>
      <c r="G1027" t="s">
        <v>30058</v>
      </c>
      <c r="H1027" t="s">
        <v>15498</v>
      </c>
      <c r="I1027" t="s">
        <v>3736</v>
      </c>
      <c r="J1027" t="s">
        <v>30969</v>
      </c>
      <c r="K1027" t="s">
        <v>39034</v>
      </c>
      <c r="M1027" t="s">
        <v>39757</v>
      </c>
      <c r="N1027" t="s">
        <v>43166</v>
      </c>
      <c r="O1027" t="s">
        <v>43167</v>
      </c>
      <c r="P1027">
        <v>0</v>
      </c>
      <c r="Q1027">
        <v>0</v>
      </c>
      <c r="R1027" t="s">
        <v>43168</v>
      </c>
      <c r="S1027" t="s">
        <v>43286</v>
      </c>
      <c r="T1027" t="s">
        <v>44689</v>
      </c>
      <c r="U1027" t="s">
        <v>46061</v>
      </c>
      <c r="W1027" t="s">
        <v>39757</v>
      </c>
      <c r="X1027" t="s">
        <v>43169</v>
      </c>
    </row>
    <row r="1028" spans="1:24">
      <c r="A1028">
        <f>HYPERLINK("https://www.philgeps.gov.ph/GEPSNONPILOT/Tender/SplashBidNoticeAbstractUI.aspx?menuIndex=3&amp;refID=7087800&amp;Result=3","7087800")</f>
        <v>0</v>
      </c>
      <c r="B1028" t="s">
        <v>447</v>
      </c>
      <c r="C1028" t="s">
        <v>4409</v>
      </c>
      <c r="D1028" t="s">
        <v>17448</v>
      </c>
      <c r="E1028" t="s">
        <v>18438</v>
      </c>
      <c r="F1028" t="s">
        <v>30052</v>
      </c>
      <c r="G1028" t="s">
        <v>30058</v>
      </c>
      <c r="H1028" t="s">
        <v>30067</v>
      </c>
      <c r="I1028" t="s">
        <v>3693</v>
      </c>
      <c r="J1028" t="s">
        <v>30281</v>
      </c>
      <c r="K1028" t="s">
        <v>39025</v>
      </c>
      <c r="M1028" t="s">
        <v>39747</v>
      </c>
      <c r="N1028" t="s">
        <v>43166</v>
      </c>
      <c r="O1028" t="s">
        <v>43167</v>
      </c>
      <c r="P1028">
        <v>0</v>
      </c>
      <c r="Q1028">
        <v>0</v>
      </c>
      <c r="R1028" t="s">
        <v>43168</v>
      </c>
      <c r="S1028" t="s">
        <v>43286</v>
      </c>
      <c r="T1028" t="s">
        <v>44679</v>
      </c>
      <c r="U1028" t="s">
        <v>46062</v>
      </c>
      <c r="W1028" t="s">
        <v>39747</v>
      </c>
      <c r="X1028" t="s">
        <v>43169</v>
      </c>
    </row>
    <row r="1029" spans="1:24">
      <c r="A1029">
        <f>HYPERLINK("https://www.philgeps.gov.ph/GEPSNONPILOT/Tender/SplashBidNoticeAbstractUI.aspx?menuIndex=3&amp;refID=7087799&amp;Result=3","7087799")</f>
        <v>0</v>
      </c>
      <c r="B1029" t="s">
        <v>454</v>
      </c>
      <c r="C1029" t="s">
        <v>4410</v>
      </c>
      <c r="D1029" t="s">
        <v>17452</v>
      </c>
      <c r="E1029" t="s">
        <v>18439</v>
      </c>
      <c r="F1029" t="s">
        <v>30052</v>
      </c>
      <c r="G1029" t="s">
        <v>30059</v>
      </c>
      <c r="H1029" t="s">
        <v>15498</v>
      </c>
      <c r="I1029" t="s">
        <v>30115</v>
      </c>
      <c r="J1029" t="s">
        <v>30638</v>
      </c>
      <c r="K1029" t="s">
        <v>39017</v>
      </c>
      <c r="M1029" t="s">
        <v>39754</v>
      </c>
      <c r="N1029" t="s">
        <v>43166</v>
      </c>
      <c r="O1029" t="s">
        <v>43167</v>
      </c>
      <c r="P1029">
        <v>0</v>
      </c>
      <c r="Q1029">
        <v>6</v>
      </c>
      <c r="R1029" t="s">
        <v>43168</v>
      </c>
      <c r="S1029" t="s">
        <v>43286</v>
      </c>
      <c r="T1029" t="s">
        <v>44698</v>
      </c>
      <c r="U1029" t="s">
        <v>46057</v>
      </c>
      <c r="W1029" t="s">
        <v>39754</v>
      </c>
      <c r="X1029" t="s">
        <v>43169</v>
      </c>
    </row>
    <row r="1030" spans="1:24">
      <c r="A1030">
        <f>HYPERLINK("https://www.philgeps.gov.ph/GEPSNONPILOT/Tender/SplashBidNoticeAbstractUI.aspx?menuIndex=3&amp;refID=7087797&amp;Result=3","7087797")</f>
        <v>0</v>
      </c>
      <c r="B1030" t="s">
        <v>447</v>
      </c>
      <c r="C1030" t="s">
        <v>4411</v>
      </c>
      <c r="D1030" t="s">
        <v>17448</v>
      </c>
      <c r="E1030" t="s">
        <v>18440</v>
      </c>
      <c r="F1030" t="s">
        <v>30052</v>
      </c>
      <c r="G1030" t="s">
        <v>30058</v>
      </c>
      <c r="H1030" t="s">
        <v>30067</v>
      </c>
      <c r="I1030" t="s">
        <v>3693</v>
      </c>
      <c r="J1030" t="s">
        <v>30222</v>
      </c>
      <c r="K1030" t="s">
        <v>39025</v>
      </c>
      <c r="M1030" t="s">
        <v>39747</v>
      </c>
      <c r="N1030" t="s">
        <v>43166</v>
      </c>
      <c r="O1030" t="s">
        <v>43167</v>
      </c>
      <c r="P1030">
        <v>0</v>
      </c>
      <c r="Q1030">
        <v>0</v>
      </c>
      <c r="R1030" t="s">
        <v>43168</v>
      </c>
      <c r="S1030" t="s">
        <v>43286</v>
      </c>
      <c r="T1030" t="s">
        <v>44679</v>
      </c>
      <c r="U1030" t="s">
        <v>46063</v>
      </c>
      <c r="W1030" t="s">
        <v>39747</v>
      </c>
      <c r="X1030" t="s">
        <v>43169</v>
      </c>
    </row>
    <row r="1031" spans="1:24">
      <c r="A1031">
        <f>HYPERLINK("https://www.philgeps.gov.ph/GEPSNONPILOT/Tender/SplashBidNoticeAbstractUI.aspx?menuIndex=3&amp;refID=7087796&amp;Result=3","7087796")</f>
        <v>0</v>
      </c>
      <c r="B1031" t="s">
        <v>454</v>
      </c>
      <c r="C1031" t="s">
        <v>4412</v>
      </c>
      <c r="D1031" t="s">
        <v>17452</v>
      </c>
      <c r="E1031" t="s">
        <v>18441</v>
      </c>
      <c r="F1031" t="s">
        <v>30052</v>
      </c>
      <c r="G1031" t="s">
        <v>30059</v>
      </c>
      <c r="H1031" t="s">
        <v>15498</v>
      </c>
      <c r="I1031" t="s">
        <v>3736</v>
      </c>
      <c r="J1031" t="s">
        <v>30970</v>
      </c>
      <c r="K1031" t="s">
        <v>39017</v>
      </c>
      <c r="M1031" t="s">
        <v>39754</v>
      </c>
      <c r="N1031" t="s">
        <v>43166</v>
      </c>
      <c r="O1031" t="s">
        <v>43167</v>
      </c>
      <c r="P1031">
        <v>0</v>
      </c>
      <c r="Q1031">
        <v>0</v>
      </c>
      <c r="R1031" t="s">
        <v>43168</v>
      </c>
      <c r="S1031" t="s">
        <v>43286</v>
      </c>
      <c r="T1031" t="s">
        <v>44698</v>
      </c>
      <c r="U1031" t="s">
        <v>46057</v>
      </c>
      <c r="W1031" t="s">
        <v>39754</v>
      </c>
      <c r="X1031" t="s">
        <v>43169</v>
      </c>
    </row>
    <row r="1032" spans="1:24">
      <c r="A1032">
        <f>HYPERLINK("https://www.philgeps.gov.ph/GEPSNONPILOT/Tender/SplashBidNoticeAbstractUI.aspx?menuIndex=3&amp;refID=7087791&amp;Result=3","7087791")</f>
        <v>0</v>
      </c>
      <c r="B1032" t="s">
        <v>450</v>
      </c>
      <c r="C1032" t="s">
        <v>4413</v>
      </c>
      <c r="D1032" t="s">
        <v>17467</v>
      </c>
      <c r="E1032" t="s">
        <v>18442</v>
      </c>
      <c r="F1032" t="s">
        <v>30052</v>
      </c>
      <c r="G1032" t="s">
        <v>30058</v>
      </c>
      <c r="H1032" t="s">
        <v>30067</v>
      </c>
      <c r="I1032" t="s">
        <v>3693</v>
      </c>
      <c r="J1032" t="s">
        <v>30971</v>
      </c>
      <c r="K1032" t="s">
        <v>39029</v>
      </c>
      <c r="M1032" t="s">
        <v>39750</v>
      </c>
      <c r="N1032" t="s">
        <v>43166</v>
      </c>
      <c r="O1032" t="s">
        <v>43167</v>
      </c>
      <c r="P1032">
        <v>0</v>
      </c>
      <c r="Q1032">
        <v>0</v>
      </c>
      <c r="R1032" t="s">
        <v>43168</v>
      </c>
      <c r="S1032" t="s">
        <v>43286</v>
      </c>
      <c r="T1032" t="s">
        <v>44733</v>
      </c>
      <c r="U1032" t="s">
        <v>46064</v>
      </c>
      <c r="W1032" t="s">
        <v>39750</v>
      </c>
      <c r="X1032" t="s">
        <v>43169</v>
      </c>
    </row>
    <row r="1033" spans="1:24">
      <c r="A1033">
        <f>HYPERLINK("https://www.philgeps.gov.ph/GEPSNONPILOT/Tender/SplashBidNoticeAbstractUI.aspx?menuIndex=3&amp;refID=7087794&amp;Result=3","7087794")</f>
        <v>0</v>
      </c>
      <c r="B1033" t="s">
        <v>447</v>
      </c>
      <c r="C1033" t="s">
        <v>4414</v>
      </c>
      <c r="D1033" t="s">
        <v>17448</v>
      </c>
      <c r="E1033" t="s">
        <v>18443</v>
      </c>
      <c r="F1033" t="s">
        <v>30052</v>
      </c>
      <c r="G1033" t="s">
        <v>30058</v>
      </c>
      <c r="H1033" t="s">
        <v>30067</v>
      </c>
      <c r="I1033" t="s">
        <v>3693</v>
      </c>
      <c r="J1033" t="s">
        <v>30397</v>
      </c>
      <c r="K1033" t="s">
        <v>39025</v>
      </c>
      <c r="M1033" t="s">
        <v>39747</v>
      </c>
      <c r="N1033" t="s">
        <v>43166</v>
      </c>
      <c r="O1033" t="s">
        <v>43167</v>
      </c>
      <c r="P1033">
        <v>0</v>
      </c>
      <c r="Q1033">
        <v>0</v>
      </c>
      <c r="R1033" t="s">
        <v>43168</v>
      </c>
      <c r="S1033" t="s">
        <v>43286</v>
      </c>
      <c r="T1033" t="s">
        <v>44679</v>
      </c>
      <c r="U1033" t="s">
        <v>46065</v>
      </c>
      <c r="W1033" t="s">
        <v>39747</v>
      </c>
      <c r="X1033" t="s">
        <v>43169</v>
      </c>
    </row>
    <row r="1034" spans="1:24">
      <c r="A1034">
        <f>HYPERLINK("https://www.philgeps.gov.ph/GEPSNONPILOT/Tender/SplashBidNoticeAbstractUI.aspx?menuIndex=3&amp;refID=7087802&amp;Result=3","7087802")</f>
        <v>0</v>
      </c>
      <c r="B1034" t="s">
        <v>446</v>
      </c>
      <c r="C1034" t="s">
        <v>4415</v>
      </c>
      <c r="D1034" t="s">
        <v>17466</v>
      </c>
      <c r="E1034" t="s">
        <v>18444</v>
      </c>
      <c r="F1034" t="s">
        <v>30052</v>
      </c>
      <c r="G1034" t="s">
        <v>30060</v>
      </c>
      <c r="H1034" t="s">
        <v>15498</v>
      </c>
      <c r="I1034" t="s">
        <v>3736</v>
      </c>
      <c r="J1034" t="s">
        <v>30972</v>
      </c>
      <c r="K1034" t="s">
        <v>39036</v>
      </c>
      <c r="M1034" t="s">
        <v>39746</v>
      </c>
      <c r="N1034" t="s">
        <v>43166</v>
      </c>
      <c r="O1034" t="s">
        <v>43167</v>
      </c>
      <c r="P1034">
        <v>0</v>
      </c>
      <c r="Q1034">
        <v>0</v>
      </c>
      <c r="R1034" t="s">
        <v>43168</v>
      </c>
      <c r="S1034" t="s">
        <v>43286</v>
      </c>
      <c r="T1034" t="s">
        <v>44724</v>
      </c>
      <c r="U1034" t="s">
        <v>46066</v>
      </c>
      <c r="W1034" t="s">
        <v>39746</v>
      </c>
      <c r="X1034" t="s">
        <v>43169</v>
      </c>
    </row>
    <row r="1035" spans="1:24">
      <c r="A1035">
        <f>HYPERLINK("https://www.philgeps.gov.ph/GEPSNONPILOT/Tender/SplashBidNoticeAbstractUI.aspx?menuIndex=3&amp;refID=7087809&amp;Result=3","7087809")</f>
        <v>0</v>
      </c>
      <c r="B1035" t="s">
        <v>447</v>
      </c>
      <c r="C1035" t="s">
        <v>4416</v>
      </c>
      <c r="D1035" t="s">
        <v>17448</v>
      </c>
      <c r="E1035" t="s">
        <v>18445</v>
      </c>
      <c r="F1035" t="s">
        <v>30052</v>
      </c>
      <c r="G1035" t="s">
        <v>30058</v>
      </c>
      <c r="H1035" t="s">
        <v>15498</v>
      </c>
      <c r="I1035" t="s">
        <v>4650</v>
      </c>
      <c r="J1035" t="s">
        <v>30973</v>
      </c>
      <c r="K1035" t="s">
        <v>39025</v>
      </c>
      <c r="M1035" t="s">
        <v>39747</v>
      </c>
      <c r="N1035" t="s">
        <v>43166</v>
      </c>
      <c r="O1035" t="s">
        <v>43167</v>
      </c>
      <c r="P1035">
        <v>0</v>
      </c>
      <c r="Q1035">
        <v>5</v>
      </c>
      <c r="R1035" t="s">
        <v>43168</v>
      </c>
      <c r="S1035" t="s">
        <v>43286</v>
      </c>
      <c r="T1035" t="s">
        <v>44679</v>
      </c>
      <c r="U1035" t="s">
        <v>46067</v>
      </c>
      <c r="W1035" t="s">
        <v>39747</v>
      </c>
      <c r="X1035" t="s">
        <v>43169</v>
      </c>
    </row>
    <row r="1036" spans="1:24">
      <c r="A1036">
        <f>HYPERLINK("https://www.philgeps.gov.ph/GEPSNONPILOT/Tender/SplashBidNoticeAbstractUI.aspx?menuIndex=3&amp;refID=7087804&amp;Result=3","7087804")</f>
        <v>0</v>
      </c>
      <c r="B1036" t="s">
        <v>458</v>
      </c>
      <c r="C1036" t="s">
        <v>4417</v>
      </c>
      <c r="D1036" t="s">
        <v>17415</v>
      </c>
      <c r="E1036" t="s">
        <v>18370</v>
      </c>
      <c r="F1036" t="s">
        <v>30052</v>
      </c>
      <c r="G1036" t="s">
        <v>30059</v>
      </c>
      <c r="H1036" t="s">
        <v>15498</v>
      </c>
      <c r="I1036" t="s">
        <v>30148</v>
      </c>
      <c r="J1036" t="s">
        <v>30974</v>
      </c>
      <c r="K1036" t="s">
        <v>39034</v>
      </c>
      <c r="M1036" t="s">
        <v>39758</v>
      </c>
      <c r="N1036" t="s">
        <v>43166</v>
      </c>
      <c r="O1036" t="s">
        <v>43167</v>
      </c>
      <c r="P1036">
        <v>0</v>
      </c>
      <c r="Q1036">
        <v>5</v>
      </c>
      <c r="R1036" t="s">
        <v>43168</v>
      </c>
      <c r="S1036" t="s">
        <v>43286</v>
      </c>
      <c r="T1036" t="s">
        <v>44803</v>
      </c>
      <c r="U1036" t="s">
        <v>46068</v>
      </c>
      <c r="V1036" t="s">
        <v>56937</v>
      </c>
      <c r="W1036" t="s">
        <v>39758</v>
      </c>
      <c r="X1036" t="s">
        <v>43169</v>
      </c>
    </row>
    <row r="1037" spans="1:24">
      <c r="A1037">
        <f>HYPERLINK("https://www.philgeps.gov.ph/GEPSNONPILOT/Tender/SplashBidNoticeAbstractUI.aspx?menuIndex=3&amp;refID=7087798&amp;Result=3","7087798")</f>
        <v>0</v>
      </c>
      <c r="B1037" t="s">
        <v>459</v>
      </c>
      <c r="C1037" t="s">
        <v>4418</v>
      </c>
      <c r="D1037" t="s">
        <v>17435</v>
      </c>
      <c r="E1037" t="s">
        <v>18446</v>
      </c>
      <c r="F1037" t="s">
        <v>30052</v>
      </c>
      <c r="G1037" t="s">
        <v>30060</v>
      </c>
      <c r="H1037" t="s">
        <v>30067</v>
      </c>
      <c r="I1037" t="s">
        <v>3693</v>
      </c>
      <c r="J1037" t="s">
        <v>30975</v>
      </c>
      <c r="K1037" t="s">
        <v>39029</v>
      </c>
      <c r="M1037" t="s">
        <v>39759</v>
      </c>
      <c r="N1037" t="s">
        <v>43166</v>
      </c>
      <c r="O1037" t="s">
        <v>43167</v>
      </c>
      <c r="P1037">
        <v>0</v>
      </c>
      <c r="Q1037">
        <v>0</v>
      </c>
      <c r="R1037" t="s">
        <v>43168</v>
      </c>
      <c r="S1037" t="s">
        <v>43286</v>
      </c>
      <c r="T1037" t="s">
        <v>44685</v>
      </c>
      <c r="U1037" t="s">
        <v>46069</v>
      </c>
      <c r="W1037" t="s">
        <v>39759</v>
      </c>
      <c r="X1037" t="s">
        <v>43169</v>
      </c>
    </row>
    <row r="1038" spans="1:24">
      <c r="A1038">
        <f>HYPERLINK("https://www.philgeps.gov.ph/GEPSNONPILOT/Tender/SplashBidNoticeAbstractUI.aspx?menuIndex=3&amp;refID=7087829&amp;Result=3","7087829")</f>
        <v>0</v>
      </c>
      <c r="B1038" t="s">
        <v>460</v>
      </c>
      <c r="C1038" t="s">
        <v>4419</v>
      </c>
      <c r="D1038" t="s">
        <v>17466</v>
      </c>
      <c r="E1038" t="s">
        <v>18380</v>
      </c>
      <c r="F1038" t="s">
        <v>30052</v>
      </c>
      <c r="G1038" t="s">
        <v>30058</v>
      </c>
      <c r="H1038" t="s">
        <v>15498</v>
      </c>
      <c r="I1038" t="s">
        <v>4119</v>
      </c>
      <c r="J1038" t="s">
        <v>30976</v>
      </c>
      <c r="K1038" t="s">
        <v>39039</v>
      </c>
      <c r="M1038" t="s">
        <v>39760</v>
      </c>
      <c r="N1038" t="s">
        <v>43166</v>
      </c>
      <c r="O1038" t="s">
        <v>43167</v>
      </c>
      <c r="P1038">
        <v>0</v>
      </c>
      <c r="Q1038">
        <v>0</v>
      </c>
      <c r="R1038" t="s">
        <v>43168</v>
      </c>
      <c r="S1038" t="s">
        <v>43286</v>
      </c>
      <c r="T1038" t="s">
        <v>44784</v>
      </c>
      <c r="U1038" t="s">
        <v>46070</v>
      </c>
      <c r="W1038" t="s">
        <v>39760</v>
      </c>
      <c r="X1038" t="s">
        <v>43169</v>
      </c>
    </row>
    <row r="1039" spans="1:24">
      <c r="A1039">
        <f>HYPERLINK("https://www.philgeps.gov.ph/GEPSNONPILOT/Tender/SplashBidNoticeAbstractUI.aspx?menuIndex=3&amp;refID=7087807&amp;Result=3","7087807")</f>
        <v>0</v>
      </c>
      <c r="B1039" t="s">
        <v>454</v>
      </c>
      <c r="C1039" t="s">
        <v>4420</v>
      </c>
      <c r="D1039" t="s">
        <v>17452</v>
      </c>
      <c r="E1039" t="s">
        <v>18447</v>
      </c>
      <c r="F1039" t="s">
        <v>30052</v>
      </c>
      <c r="G1039" t="s">
        <v>30061</v>
      </c>
      <c r="H1039" t="s">
        <v>15498</v>
      </c>
      <c r="I1039" t="s">
        <v>30096</v>
      </c>
      <c r="J1039" t="s">
        <v>30977</v>
      </c>
      <c r="K1039" t="s">
        <v>39017</v>
      </c>
      <c r="M1039" t="s">
        <v>39754</v>
      </c>
      <c r="N1039" t="s">
        <v>43166</v>
      </c>
      <c r="O1039" t="s">
        <v>43167</v>
      </c>
      <c r="P1039">
        <v>0</v>
      </c>
      <c r="Q1039">
        <v>0</v>
      </c>
      <c r="R1039" t="s">
        <v>43168</v>
      </c>
      <c r="S1039" t="s">
        <v>43286</v>
      </c>
      <c r="T1039" t="s">
        <v>44698</v>
      </c>
      <c r="U1039" t="s">
        <v>46057</v>
      </c>
      <c r="W1039" t="s">
        <v>39754</v>
      </c>
      <c r="X1039" t="s">
        <v>43169</v>
      </c>
    </row>
    <row r="1040" spans="1:24">
      <c r="A1040">
        <f>HYPERLINK("https://www.philgeps.gov.ph/GEPSNONPILOT/Tender/SplashBidNoticeAbstractUI.aspx?menuIndex=3&amp;refID=7087825&amp;Result=3","7087825")</f>
        <v>0</v>
      </c>
      <c r="B1040" t="s">
        <v>461</v>
      </c>
      <c r="C1040" t="s">
        <v>4421</v>
      </c>
      <c r="D1040" t="s">
        <v>17417</v>
      </c>
      <c r="E1040" t="s">
        <v>18448</v>
      </c>
      <c r="F1040" t="s">
        <v>30052</v>
      </c>
      <c r="G1040" t="s">
        <v>30058</v>
      </c>
      <c r="H1040" t="s">
        <v>30067</v>
      </c>
      <c r="I1040" t="s">
        <v>3693</v>
      </c>
      <c r="J1040" t="s">
        <v>30222</v>
      </c>
      <c r="K1040" t="s">
        <v>39072</v>
      </c>
      <c r="M1040" t="s">
        <v>39761</v>
      </c>
      <c r="N1040" t="s">
        <v>43166</v>
      </c>
      <c r="O1040" t="s">
        <v>43167</v>
      </c>
      <c r="P1040">
        <v>0</v>
      </c>
      <c r="Q1040">
        <v>2</v>
      </c>
      <c r="R1040" t="s">
        <v>43168</v>
      </c>
      <c r="S1040" t="s">
        <v>43286</v>
      </c>
      <c r="T1040" t="s">
        <v>44709</v>
      </c>
      <c r="U1040" t="s">
        <v>46071</v>
      </c>
      <c r="W1040" t="s">
        <v>58601</v>
      </c>
      <c r="X1040" t="s">
        <v>43169</v>
      </c>
    </row>
    <row r="1041" spans="1:24">
      <c r="A1041">
        <f>HYPERLINK("https://www.philgeps.gov.ph/GEPSNONPILOT/Tender/SplashBidNoticeAbstractUI.aspx?menuIndex=3&amp;refID=7087795&amp;Result=3","7087795")</f>
        <v>0</v>
      </c>
      <c r="B1041" t="s">
        <v>422</v>
      </c>
      <c r="C1041" t="s">
        <v>4422</v>
      </c>
      <c r="D1041" t="s">
        <v>17455</v>
      </c>
      <c r="E1041" t="s">
        <v>18449</v>
      </c>
      <c r="F1041" t="s">
        <v>30052</v>
      </c>
      <c r="G1041" t="s">
        <v>30058</v>
      </c>
      <c r="H1041" t="s">
        <v>15498</v>
      </c>
      <c r="I1041" t="s">
        <v>3736</v>
      </c>
      <c r="J1041" t="s">
        <v>30978</v>
      </c>
      <c r="K1041" t="s">
        <v>39029</v>
      </c>
      <c r="M1041" t="s">
        <v>39762</v>
      </c>
      <c r="N1041" t="s">
        <v>43166</v>
      </c>
      <c r="O1041" t="s">
        <v>43167</v>
      </c>
      <c r="P1041">
        <v>0</v>
      </c>
      <c r="Q1041">
        <v>2</v>
      </c>
      <c r="R1041" t="s">
        <v>43168</v>
      </c>
      <c r="S1041" t="s">
        <v>43286</v>
      </c>
      <c r="T1041" t="s">
        <v>44804</v>
      </c>
      <c r="U1041" t="s">
        <v>46072</v>
      </c>
      <c r="W1041" t="s">
        <v>39762</v>
      </c>
      <c r="X1041" t="s">
        <v>43169</v>
      </c>
    </row>
    <row r="1042" spans="1:24">
      <c r="A1042">
        <f>HYPERLINK("https://www.philgeps.gov.ph/GEPSNONPILOT/Tender/SplashBidNoticeAbstractUI.aspx?menuIndex=3&amp;refID=7087823&amp;Result=3","7087823")</f>
        <v>0</v>
      </c>
      <c r="B1042" t="s">
        <v>462</v>
      </c>
      <c r="C1042" t="s">
        <v>4423</v>
      </c>
      <c r="D1042" t="s">
        <v>17449</v>
      </c>
      <c r="E1042" t="s">
        <v>18450</v>
      </c>
      <c r="F1042" t="s">
        <v>30052</v>
      </c>
      <c r="G1042" t="s">
        <v>30058</v>
      </c>
      <c r="H1042" t="s">
        <v>30067</v>
      </c>
      <c r="I1042" t="s">
        <v>30075</v>
      </c>
      <c r="J1042" t="s">
        <v>30208</v>
      </c>
      <c r="K1042" t="s">
        <v>39017</v>
      </c>
      <c r="M1042" t="s">
        <v>39763</v>
      </c>
      <c r="N1042" t="s">
        <v>43166</v>
      </c>
      <c r="O1042" t="s">
        <v>43167</v>
      </c>
      <c r="P1042">
        <v>0</v>
      </c>
      <c r="Q1042">
        <v>0</v>
      </c>
      <c r="R1042" t="s">
        <v>43168</v>
      </c>
      <c r="S1042" t="s">
        <v>43286</v>
      </c>
      <c r="T1042" t="s">
        <v>44764</v>
      </c>
      <c r="U1042" t="s">
        <v>46073</v>
      </c>
      <c r="W1042" t="s">
        <v>39763</v>
      </c>
      <c r="X1042" t="s">
        <v>43169</v>
      </c>
    </row>
    <row r="1043" spans="1:24">
      <c r="A1043">
        <f>HYPERLINK("https://www.philgeps.gov.ph/GEPSNONPILOT/Tender/SplashBidNoticeAbstractUI.aspx?menuIndex=3&amp;refID=7087793&amp;Result=3","7087793")</f>
        <v>0</v>
      </c>
      <c r="B1043" t="s">
        <v>463</v>
      </c>
      <c r="C1043" t="s">
        <v>4424</v>
      </c>
      <c r="D1043" t="s">
        <v>17455</v>
      </c>
      <c r="E1043" t="s">
        <v>18451</v>
      </c>
      <c r="F1043" t="s">
        <v>30052</v>
      </c>
      <c r="G1043" t="s">
        <v>30058</v>
      </c>
      <c r="H1043" t="s">
        <v>15498</v>
      </c>
      <c r="I1043" t="s">
        <v>30092</v>
      </c>
      <c r="J1043" t="s">
        <v>30227</v>
      </c>
      <c r="K1043" t="s">
        <v>39073</v>
      </c>
      <c r="M1043" t="s">
        <v>39764</v>
      </c>
      <c r="N1043" t="s">
        <v>43166</v>
      </c>
      <c r="O1043" t="s">
        <v>43167</v>
      </c>
      <c r="P1043">
        <v>0</v>
      </c>
      <c r="Q1043">
        <v>3</v>
      </c>
      <c r="R1043" t="s">
        <v>43168</v>
      </c>
      <c r="S1043" t="s">
        <v>43286</v>
      </c>
      <c r="T1043" t="s">
        <v>44681</v>
      </c>
      <c r="U1043" t="s">
        <v>46074</v>
      </c>
      <c r="W1043" t="s">
        <v>39764</v>
      </c>
      <c r="X1043" t="s">
        <v>43169</v>
      </c>
    </row>
    <row r="1044" spans="1:24">
      <c r="A1044">
        <f>HYPERLINK("https://www.philgeps.gov.ph/GEPSNONPILOT/Tender/SplashBidNoticeAbstractUI.aspx?menuIndex=3&amp;refID=7087821&amp;Result=3","7087821")</f>
        <v>0</v>
      </c>
      <c r="B1044" t="s">
        <v>446</v>
      </c>
      <c r="C1044" t="s">
        <v>4425</v>
      </c>
      <c r="D1044" t="s">
        <v>17466</v>
      </c>
      <c r="E1044" t="s">
        <v>18452</v>
      </c>
      <c r="F1044" t="s">
        <v>30052</v>
      </c>
      <c r="G1044" t="s">
        <v>30058</v>
      </c>
      <c r="H1044" t="s">
        <v>15498</v>
      </c>
      <c r="I1044" t="s">
        <v>30085</v>
      </c>
      <c r="J1044" t="s">
        <v>30979</v>
      </c>
      <c r="K1044" t="s">
        <v>39036</v>
      </c>
      <c r="M1044" t="s">
        <v>39746</v>
      </c>
      <c r="N1044" t="s">
        <v>43166</v>
      </c>
      <c r="O1044" t="s">
        <v>43167</v>
      </c>
      <c r="P1044">
        <v>0</v>
      </c>
      <c r="Q1044">
        <v>0</v>
      </c>
      <c r="R1044" t="s">
        <v>43168</v>
      </c>
      <c r="S1044" t="s">
        <v>43286</v>
      </c>
      <c r="T1044" t="s">
        <v>44752</v>
      </c>
      <c r="U1044" t="s">
        <v>46075</v>
      </c>
      <c r="W1044" t="s">
        <v>39746</v>
      </c>
      <c r="X1044" t="s">
        <v>43169</v>
      </c>
    </row>
    <row r="1045" spans="1:24">
      <c r="A1045">
        <f>HYPERLINK("https://www.philgeps.gov.ph/GEPSNONPILOT/Tender/SplashBidNoticeAbstractUI.aspx?menuIndex=3&amp;refID=7087819&amp;Result=3","7087819")</f>
        <v>0</v>
      </c>
      <c r="B1045" t="s">
        <v>464</v>
      </c>
      <c r="C1045" t="s">
        <v>3459</v>
      </c>
      <c r="D1045" t="s">
        <v>17466</v>
      </c>
      <c r="E1045" t="s">
        <v>17892</v>
      </c>
      <c r="F1045" t="s">
        <v>30052</v>
      </c>
      <c r="G1045" t="s">
        <v>30059</v>
      </c>
      <c r="H1045" t="s">
        <v>15498</v>
      </c>
      <c r="I1045" t="s">
        <v>30070</v>
      </c>
      <c r="J1045" t="s">
        <v>30980</v>
      </c>
      <c r="K1045" t="s">
        <v>39034</v>
      </c>
      <c r="M1045" t="s">
        <v>39765</v>
      </c>
      <c r="N1045" t="s">
        <v>43166</v>
      </c>
      <c r="O1045" t="s">
        <v>43167</v>
      </c>
      <c r="P1045">
        <v>0</v>
      </c>
      <c r="Q1045">
        <v>3</v>
      </c>
      <c r="R1045" t="s">
        <v>43168</v>
      </c>
      <c r="S1045" t="s">
        <v>43286</v>
      </c>
      <c r="T1045" t="s">
        <v>44720</v>
      </c>
      <c r="U1045" t="s">
        <v>46076</v>
      </c>
      <c r="W1045" t="s">
        <v>39765</v>
      </c>
      <c r="X1045" t="s">
        <v>43169</v>
      </c>
    </row>
    <row r="1046" spans="1:24">
      <c r="A1046">
        <f>HYPERLINK("https://www.philgeps.gov.ph/GEPSNONPILOT/Tender/SplashBidNoticeAbstractUI.aspx?menuIndex=3&amp;refID=7087826&amp;Result=3","7087826")</f>
        <v>0</v>
      </c>
      <c r="B1046" t="s">
        <v>25</v>
      </c>
      <c r="C1046" t="s">
        <v>4426</v>
      </c>
      <c r="D1046" t="s">
        <v>17414</v>
      </c>
      <c r="E1046" t="s">
        <v>18453</v>
      </c>
      <c r="F1046" t="s">
        <v>30052</v>
      </c>
      <c r="G1046" t="s">
        <v>30060</v>
      </c>
      <c r="H1046" t="s">
        <v>15498</v>
      </c>
      <c r="I1046" t="s">
        <v>30144</v>
      </c>
      <c r="J1046" t="s">
        <v>30559</v>
      </c>
      <c r="K1046" t="s">
        <v>39029</v>
      </c>
      <c r="M1046" t="s">
        <v>39315</v>
      </c>
      <c r="N1046" t="s">
        <v>43166</v>
      </c>
      <c r="O1046" t="s">
        <v>43167</v>
      </c>
      <c r="P1046">
        <v>0</v>
      </c>
      <c r="Q1046">
        <v>0</v>
      </c>
      <c r="R1046" t="s">
        <v>43168</v>
      </c>
      <c r="S1046" t="s">
        <v>43286</v>
      </c>
      <c r="T1046" t="s">
        <v>44678</v>
      </c>
      <c r="U1046" t="s">
        <v>46077</v>
      </c>
      <c r="V1046" t="s">
        <v>56811</v>
      </c>
      <c r="W1046" t="s">
        <v>39315</v>
      </c>
      <c r="X1046" t="s">
        <v>43169</v>
      </c>
    </row>
    <row r="1047" spans="1:24">
      <c r="A1047">
        <f>HYPERLINK("https://www.philgeps.gov.ph/GEPSNONPILOT/Tender/SplashBidNoticeAbstractUI.aspx?menuIndex=3&amp;refID=7087818&amp;Result=3","7087818")</f>
        <v>0</v>
      </c>
      <c r="B1047" t="s">
        <v>465</v>
      </c>
      <c r="C1047" t="s">
        <v>4427</v>
      </c>
      <c r="D1047" t="s">
        <v>17448</v>
      </c>
      <c r="E1047" t="s">
        <v>18454</v>
      </c>
      <c r="F1047" t="s">
        <v>30052</v>
      </c>
      <c r="G1047" t="s">
        <v>30061</v>
      </c>
      <c r="H1047" t="s">
        <v>15498</v>
      </c>
      <c r="I1047" t="s">
        <v>30070</v>
      </c>
      <c r="J1047" t="s">
        <v>30981</v>
      </c>
      <c r="K1047" t="s">
        <v>39025</v>
      </c>
      <c r="M1047" t="s">
        <v>39766</v>
      </c>
      <c r="N1047" t="s">
        <v>43166</v>
      </c>
      <c r="O1047" t="s">
        <v>43167</v>
      </c>
      <c r="P1047">
        <v>0</v>
      </c>
      <c r="Q1047">
        <v>0</v>
      </c>
      <c r="R1047" t="s">
        <v>43168</v>
      </c>
      <c r="S1047" t="s">
        <v>43286</v>
      </c>
      <c r="T1047" t="s">
        <v>44710</v>
      </c>
      <c r="U1047" t="s">
        <v>46078</v>
      </c>
      <c r="W1047" t="s">
        <v>39766</v>
      </c>
      <c r="X1047" t="s">
        <v>43169</v>
      </c>
    </row>
    <row r="1048" spans="1:24">
      <c r="A1048">
        <f>HYPERLINK("https://www.philgeps.gov.ph/GEPSNONPILOT/Tender/SplashBidNoticeAbstractUI.aspx?menuIndex=3&amp;refID=7087817&amp;Result=3","7087817")</f>
        <v>0</v>
      </c>
      <c r="B1048" t="s">
        <v>465</v>
      </c>
      <c r="C1048" t="s">
        <v>4428</v>
      </c>
      <c r="D1048" t="s">
        <v>17448</v>
      </c>
      <c r="E1048" t="s">
        <v>18455</v>
      </c>
      <c r="F1048" t="s">
        <v>30052</v>
      </c>
      <c r="G1048" t="s">
        <v>30061</v>
      </c>
      <c r="H1048" t="s">
        <v>15498</v>
      </c>
      <c r="I1048" t="s">
        <v>3852</v>
      </c>
      <c r="J1048" t="s">
        <v>30398</v>
      </c>
      <c r="K1048" t="s">
        <v>39025</v>
      </c>
      <c r="M1048" t="s">
        <v>39766</v>
      </c>
      <c r="N1048" t="s">
        <v>43166</v>
      </c>
      <c r="O1048" t="s">
        <v>43167</v>
      </c>
      <c r="P1048">
        <v>0</v>
      </c>
      <c r="Q1048">
        <v>0</v>
      </c>
      <c r="R1048" t="s">
        <v>43168</v>
      </c>
      <c r="S1048" t="s">
        <v>43286</v>
      </c>
      <c r="T1048" t="s">
        <v>44710</v>
      </c>
      <c r="U1048" t="s">
        <v>46079</v>
      </c>
      <c r="W1048" t="s">
        <v>39766</v>
      </c>
      <c r="X1048" t="s">
        <v>43169</v>
      </c>
    </row>
    <row r="1049" spans="1:24">
      <c r="A1049">
        <f>HYPERLINK("https://www.philgeps.gov.ph/GEPSNONPILOT/Tender/SplashBidNoticeAbstractUI.aspx?menuIndex=3&amp;refID=7087815&amp;Result=3","7087815")</f>
        <v>0</v>
      </c>
      <c r="B1049" t="s">
        <v>466</v>
      </c>
      <c r="C1049" t="s">
        <v>4429</v>
      </c>
      <c r="D1049" t="s">
        <v>17462</v>
      </c>
      <c r="E1049" t="s">
        <v>18456</v>
      </c>
      <c r="F1049" t="s">
        <v>30052</v>
      </c>
      <c r="G1049" t="s">
        <v>30059</v>
      </c>
      <c r="H1049" t="s">
        <v>15498</v>
      </c>
      <c r="I1049" t="s">
        <v>30149</v>
      </c>
      <c r="J1049" t="s">
        <v>30982</v>
      </c>
      <c r="K1049" t="s">
        <v>39018</v>
      </c>
      <c r="M1049" t="s">
        <v>39767</v>
      </c>
      <c r="N1049" t="s">
        <v>43166</v>
      </c>
      <c r="O1049" t="s">
        <v>43167</v>
      </c>
      <c r="P1049">
        <v>0</v>
      </c>
      <c r="Q1049">
        <v>0</v>
      </c>
      <c r="R1049" t="s">
        <v>43168</v>
      </c>
      <c r="S1049" t="s">
        <v>43286</v>
      </c>
      <c r="T1049" t="s">
        <v>44782</v>
      </c>
      <c r="U1049" t="s">
        <v>46080</v>
      </c>
      <c r="W1049" t="s">
        <v>39767</v>
      </c>
      <c r="X1049" t="s">
        <v>43169</v>
      </c>
    </row>
    <row r="1050" spans="1:24">
      <c r="A1050">
        <f>HYPERLINK("https://www.philgeps.gov.ph/GEPSNONPILOT/Tender/SplashBidNoticeAbstractUI.aspx?menuIndex=3&amp;refID=7087824&amp;Result=3","7087824")</f>
        <v>0</v>
      </c>
      <c r="B1050" t="s">
        <v>393</v>
      </c>
      <c r="C1050" t="s">
        <v>4430</v>
      </c>
      <c r="D1050" t="s">
        <v>17424</v>
      </c>
      <c r="E1050" t="s">
        <v>17706</v>
      </c>
      <c r="F1050" t="s">
        <v>30052</v>
      </c>
      <c r="G1050" t="s">
        <v>30058</v>
      </c>
      <c r="H1050" t="s">
        <v>30069</v>
      </c>
      <c r="I1050" t="s">
        <v>30100</v>
      </c>
      <c r="J1050" t="s">
        <v>30983</v>
      </c>
      <c r="K1050" t="s">
        <v>39034</v>
      </c>
      <c r="M1050" t="s">
        <v>39691</v>
      </c>
      <c r="N1050" t="s">
        <v>43166</v>
      </c>
      <c r="O1050" t="s">
        <v>43167</v>
      </c>
      <c r="P1050">
        <v>0</v>
      </c>
      <c r="Q1050">
        <v>0</v>
      </c>
      <c r="R1050" t="s">
        <v>43168</v>
      </c>
      <c r="S1050" t="s">
        <v>43286</v>
      </c>
      <c r="T1050" t="s">
        <v>44718</v>
      </c>
      <c r="U1050" t="s">
        <v>45945</v>
      </c>
      <c r="W1050" t="s">
        <v>39691</v>
      </c>
      <c r="X1050" t="s">
        <v>43169</v>
      </c>
    </row>
    <row r="1051" spans="1:24">
      <c r="A1051">
        <f>HYPERLINK("https://www.philgeps.gov.ph/GEPSNONPILOT/Tender/SplashBidNoticeAbstractUI.aspx?menuIndex=3&amp;refID=7087814&amp;Result=3","7087814")</f>
        <v>0</v>
      </c>
      <c r="B1051" t="s">
        <v>467</v>
      </c>
      <c r="C1051" t="s">
        <v>4431</v>
      </c>
      <c r="D1051" t="s">
        <v>17415</v>
      </c>
      <c r="E1051" t="s">
        <v>18457</v>
      </c>
      <c r="F1051" t="s">
        <v>30052</v>
      </c>
      <c r="G1051" t="s">
        <v>30061</v>
      </c>
      <c r="H1051" t="s">
        <v>15498</v>
      </c>
      <c r="I1051" t="s">
        <v>30140</v>
      </c>
      <c r="J1051" t="s">
        <v>30605</v>
      </c>
      <c r="K1051" t="s">
        <v>39025</v>
      </c>
      <c r="M1051" t="s">
        <v>39768</v>
      </c>
      <c r="N1051" t="s">
        <v>43166</v>
      </c>
      <c r="O1051" t="s">
        <v>43167</v>
      </c>
      <c r="P1051">
        <v>0</v>
      </c>
      <c r="Q1051">
        <v>9</v>
      </c>
      <c r="R1051" t="s">
        <v>43168</v>
      </c>
      <c r="S1051" t="s">
        <v>43286</v>
      </c>
      <c r="T1051" t="s">
        <v>44691</v>
      </c>
      <c r="U1051" t="s">
        <v>46081</v>
      </c>
      <c r="W1051" t="s">
        <v>39768</v>
      </c>
      <c r="X1051" t="s">
        <v>43169</v>
      </c>
    </row>
    <row r="1052" spans="1:24">
      <c r="A1052">
        <f>HYPERLINK("https://www.philgeps.gov.ph/GEPSNONPILOT/Tender/SplashBidNoticeAbstractUI.aspx?menuIndex=3&amp;refID=7087813&amp;Result=3","7087813")</f>
        <v>0</v>
      </c>
      <c r="B1052" t="s">
        <v>465</v>
      </c>
      <c r="C1052" t="s">
        <v>4432</v>
      </c>
      <c r="D1052" t="s">
        <v>17448</v>
      </c>
      <c r="E1052" t="s">
        <v>18458</v>
      </c>
      <c r="F1052" t="s">
        <v>30052</v>
      </c>
      <c r="G1052" t="s">
        <v>30061</v>
      </c>
      <c r="H1052" t="s">
        <v>15498</v>
      </c>
      <c r="I1052" t="s">
        <v>4650</v>
      </c>
      <c r="J1052" t="s">
        <v>30398</v>
      </c>
      <c r="K1052" t="s">
        <v>39025</v>
      </c>
      <c r="M1052" t="s">
        <v>39766</v>
      </c>
      <c r="N1052" t="s">
        <v>43166</v>
      </c>
      <c r="O1052" t="s">
        <v>43167</v>
      </c>
      <c r="P1052">
        <v>0</v>
      </c>
      <c r="Q1052">
        <v>1</v>
      </c>
      <c r="R1052" t="s">
        <v>43168</v>
      </c>
      <c r="S1052" t="s">
        <v>43286</v>
      </c>
      <c r="T1052" t="s">
        <v>44710</v>
      </c>
      <c r="U1052" t="s">
        <v>46079</v>
      </c>
      <c r="W1052" t="s">
        <v>39766</v>
      </c>
      <c r="X1052" t="s">
        <v>43169</v>
      </c>
    </row>
    <row r="1053" spans="1:24">
      <c r="A1053">
        <f>HYPERLINK("https://www.philgeps.gov.ph/GEPSNONPILOT/Tender/SplashBidNoticeAbstractUI.aspx?menuIndex=3&amp;refID=7087812&amp;Result=3","7087812")</f>
        <v>0</v>
      </c>
      <c r="B1053" t="s">
        <v>450</v>
      </c>
      <c r="C1053" t="s">
        <v>4433</v>
      </c>
      <c r="D1053" t="s">
        <v>17467</v>
      </c>
      <c r="E1053" t="s">
        <v>18459</v>
      </c>
      <c r="F1053" t="s">
        <v>30052</v>
      </c>
      <c r="G1053" t="s">
        <v>30058</v>
      </c>
      <c r="H1053" t="s">
        <v>30067</v>
      </c>
      <c r="I1053" t="s">
        <v>3693</v>
      </c>
      <c r="J1053" t="s">
        <v>30984</v>
      </c>
      <c r="K1053" t="s">
        <v>39037</v>
      </c>
      <c r="M1053" t="s">
        <v>39750</v>
      </c>
      <c r="N1053" t="s">
        <v>43166</v>
      </c>
      <c r="O1053" t="s">
        <v>43167</v>
      </c>
      <c r="P1053">
        <v>0</v>
      </c>
      <c r="Q1053">
        <v>0</v>
      </c>
      <c r="R1053" t="s">
        <v>43168</v>
      </c>
      <c r="S1053" t="s">
        <v>43286</v>
      </c>
      <c r="T1053" t="s">
        <v>44733</v>
      </c>
      <c r="U1053" t="s">
        <v>46082</v>
      </c>
      <c r="W1053" t="s">
        <v>39750</v>
      </c>
      <c r="X1053" t="s">
        <v>43169</v>
      </c>
    </row>
    <row r="1054" spans="1:24">
      <c r="A1054">
        <f>HYPERLINK("https://www.philgeps.gov.ph/GEPSNONPILOT/Tender/SplashBidNoticeAbstractUI.aspx?menuIndex=3&amp;refID=7087808&amp;Result=3","7087808")</f>
        <v>0</v>
      </c>
      <c r="B1054" t="s">
        <v>446</v>
      </c>
      <c r="C1054" t="s">
        <v>4434</v>
      </c>
      <c r="D1054" t="s">
        <v>17466</v>
      </c>
      <c r="E1054" t="s">
        <v>18460</v>
      </c>
      <c r="F1054" t="s">
        <v>30052</v>
      </c>
      <c r="G1054" t="s">
        <v>30060</v>
      </c>
      <c r="H1054" t="s">
        <v>15498</v>
      </c>
      <c r="I1054" t="s">
        <v>30085</v>
      </c>
      <c r="J1054" t="s">
        <v>30895</v>
      </c>
      <c r="K1054" t="s">
        <v>39036</v>
      </c>
      <c r="M1054" t="s">
        <v>39746</v>
      </c>
      <c r="N1054" t="s">
        <v>43166</v>
      </c>
      <c r="O1054" t="s">
        <v>43167</v>
      </c>
      <c r="P1054">
        <v>0</v>
      </c>
      <c r="Q1054">
        <v>0</v>
      </c>
      <c r="R1054" t="s">
        <v>43168</v>
      </c>
      <c r="S1054" t="s">
        <v>43286</v>
      </c>
      <c r="T1054" t="s">
        <v>44724</v>
      </c>
      <c r="U1054" t="s">
        <v>46083</v>
      </c>
      <c r="W1054" t="s">
        <v>39746</v>
      </c>
      <c r="X1054" t="s">
        <v>43169</v>
      </c>
    </row>
    <row r="1055" spans="1:24">
      <c r="A1055">
        <f>HYPERLINK("https://www.philgeps.gov.ph/GEPSNONPILOT/Tender/SplashBidNoticeAbstractUI.aspx?menuIndex=3&amp;refID=7087792&amp;Result=3","7087792")</f>
        <v>0</v>
      </c>
      <c r="B1055" t="s">
        <v>447</v>
      </c>
      <c r="C1055" t="s">
        <v>4435</v>
      </c>
      <c r="D1055" t="s">
        <v>17448</v>
      </c>
      <c r="E1055" t="s">
        <v>18461</v>
      </c>
      <c r="F1055" t="s">
        <v>30052</v>
      </c>
      <c r="G1055" t="s">
        <v>30058</v>
      </c>
      <c r="H1055" t="s">
        <v>30067</v>
      </c>
      <c r="I1055" t="s">
        <v>3693</v>
      </c>
      <c r="J1055" t="s">
        <v>30222</v>
      </c>
      <c r="K1055" t="s">
        <v>39025</v>
      </c>
      <c r="M1055" t="s">
        <v>39747</v>
      </c>
      <c r="N1055" t="s">
        <v>43166</v>
      </c>
      <c r="O1055" t="s">
        <v>43167</v>
      </c>
      <c r="P1055">
        <v>0</v>
      </c>
      <c r="Q1055">
        <v>0</v>
      </c>
      <c r="R1055" t="s">
        <v>43168</v>
      </c>
      <c r="S1055" t="s">
        <v>43286</v>
      </c>
      <c r="T1055" t="s">
        <v>44679</v>
      </c>
      <c r="U1055" t="s">
        <v>46084</v>
      </c>
      <c r="W1055" t="s">
        <v>39747</v>
      </c>
      <c r="X1055" t="s">
        <v>43169</v>
      </c>
    </row>
    <row r="1056" spans="1:24">
      <c r="A1056">
        <f>HYPERLINK("https://www.philgeps.gov.ph/GEPSNONPILOT/Tender/SplashBidNoticeAbstractUI.aspx?menuIndex=3&amp;refID=7087772&amp;Result=3","7087772")</f>
        <v>0</v>
      </c>
      <c r="B1056" t="s">
        <v>435</v>
      </c>
      <c r="C1056" t="s">
        <v>4391</v>
      </c>
      <c r="D1056" t="s">
        <v>17413</v>
      </c>
      <c r="E1056" t="s">
        <v>18462</v>
      </c>
      <c r="F1056" t="s">
        <v>30052</v>
      </c>
      <c r="G1056" t="s">
        <v>30058</v>
      </c>
      <c r="H1056" t="s">
        <v>30067</v>
      </c>
      <c r="I1056" t="s">
        <v>3693</v>
      </c>
      <c r="J1056" t="s">
        <v>30985</v>
      </c>
      <c r="K1056" t="s">
        <v>39019</v>
      </c>
      <c r="M1056" t="s">
        <v>39734</v>
      </c>
      <c r="N1056" t="s">
        <v>43166</v>
      </c>
      <c r="O1056" t="s">
        <v>43167</v>
      </c>
      <c r="P1056">
        <v>0</v>
      </c>
      <c r="Q1056">
        <v>0</v>
      </c>
      <c r="R1056" t="s">
        <v>43168</v>
      </c>
      <c r="S1056" t="s">
        <v>43286</v>
      </c>
      <c r="T1056" t="s">
        <v>44764</v>
      </c>
      <c r="U1056" t="s">
        <v>46085</v>
      </c>
      <c r="W1056" t="s">
        <v>39734</v>
      </c>
      <c r="X1056" t="s">
        <v>43169</v>
      </c>
    </row>
    <row r="1057" spans="1:24">
      <c r="A1057">
        <f>HYPERLINK("https://www.philgeps.gov.ph/GEPSNONPILOT/Tender/SplashBidNoticeAbstractUI.aspx?menuIndex=3&amp;refID=7087816&amp;Result=3","7087816")</f>
        <v>0</v>
      </c>
      <c r="B1057" t="s">
        <v>446</v>
      </c>
      <c r="C1057" t="s">
        <v>4436</v>
      </c>
      <c r="D1057" t="s">
        <v>17466</v>
      </c>
      <c r="E1057" t="s">
        <v>18463</v>
      </c>
      <c r="F1057" t="s">
        <v>30052</v>
      </c>
      <c r="G1057" t="s">
        <v>30058</v>
      </c>
      <c r="H1057" t="s">
        <v>15498</v>
      </c>
      <c r="I1057" t="s">
        <v>30085</v>
      </c>
      <c r="J1057" t="s">
        <v>30986</v>
      </c>
      <c r="K1057" t="s">
        <v>39036</v>
      </c>
      <c r="M1057" t="s">
        <v>39746</v>
      </c>
      <c r="N1057" t="s">
        <v>43166</v>
      </c>
      <c r="O1057" t="s">
        <v>43167</v>
      </c>
      <c r="P1057">
        <v>0</v>
      </c>
      <c r="Q1057">
        <v>0</v>
      </c>
      <c r="R1057" t="s">
        <v>43168</v>
      </c>
      <c r="S1057" t="s">
        <v>43286</v>
      </c>
      <c r="T1057" t="s">
        <v>44752</v>
      </c>
      <c r="U1057" t="s">
        <v>46086</v>
      </c>
      <c r="W1057" t="s">
        <v>39746</v>
      </c>
      <c r="X1057" t="s">
        <v>43169</v>
      </c>
    </row>
    <row r="1058" spans="1:24">
      <c r="A1058">
        <f>HYPERLINK("https://www.philgeps.gov.ph/GEPSNONPILOT/Tender/SplashBidNoticeAbstractUI.aspx?menuIndex=3&amp;refID=7087830&amp;Result=3","7087830")</f>
        <v>0</v>
      </c>
      <c r="B1058" t="s">
        <v>56</v>
      </c>
      <c r="C1058" t="s">
        <v>4437</v>
      </c>
      <c r="D1058" t="s">
        <v>17438</v>
      </c>
      <c r="E1058" t="s">
        <v>18464</v>
      </c>
      <c r="F1058" t="s">
        <v>30052</v>
      </c>
      <c r="G1058" t="s">
        <v>30058</v>
      </c>
      <c r="H1058" t="s">
        <v>30067</v>
      </c>
      <c r="I1058" t="s">
        <v>3693</v>
      </c>
      <c r="J1058" t="s">
        <v>30987</v>
      </c>
      <c r="K1058" t="s">
        <v>39031</v>
      </c>
      <c r="M1058" t="s">
        <v>39345</v>
      </c>
      <c r="N1058" t="s">
        <v>43166</v>
      </c>
      <c r="O1058" t="s">
        <v>43167</v>
      </c>
      <c r="P1058">
        <v>0</v>
      </c>
      <c r="Q1058">
        <v>0</v>
      </c>
      <c r="R1058" t="s">
        <v>43168</v>
      </c>
      <c r="S1058" t="s">
        <v>43286</v>
      </c>
      <c r="T1058" t="s">
        <v>44702</v>
      </c>
      <c r="U1058" t="s">
        <v>46087</v>
      </c>
      <c r="V1058" t="s">
        <v>56938</v>
      </c>
      <c r="W1058" t="s">
        <v>39345</v>
      </c>
      <c r="X1058" t="s">
        <v>43169</v>
      </c>
    </row>
    <row r="1059" spans="1:24">
      <c r="A1059">
        <f>HYPERLINK("https://www.philgeps.gov.ph/GEPSNONPILOT/Tender/SplashBidNoticeAbstractUI.aspx?menuIndex=3&amp;refID=7087848&amp;Result=3","7087848")</f>
        <v>0</v>
      </c>
      <c r="B1059" t="s">
        <v>400</v>
      </c>
      <c r="C1059" t="s">
        <v>4438</v>
      </c>
      <c r="D1059" t="s">
        <v>17422</v>
      </c>
      <c r="E1059" t="s">
        <v>18465</v>
      </c>
      <c r="F1059" t="s">
        <v>30052</v>
      </c>
      <c r="G1059" t="s">
        <v>30058</v>
      </c>
      <c r="H1059" t="s">
        <v>30067</v>
      </c>
      <c r="I1059" t="s">
        <v>3693</v>
      </c>
      <c r="J1059" t="s">
        <v>30988</v>
      </c>
      <c r="K1059" t="s">
        <v>39047</v>
      </c>
      <c r="M1059" t="s">
        <v>39699</v>
      </c>
      <c r="N1059" t="s">
        <v>43166</v>
      </c>
      <c r="O1059" t="s">
        <v>43167</v>
      </c>
      <c r="P1059">
        <v>0</v>
      </c>
      <c r="Q1059">
        <v>0</v>
      </c>
      <c r="R1059" t="s">
        <v>43168</v>
      </c>
      <c r="S1059" t="s">
        <v>43286</v>
      </c>
      <c r="T1059" t="s">
        <v>44718</v>
      </c>
      <c r="U1059" t="s">
        <v>46088</v>
      </c>
      <c r="W1059" t="s">
        <v>39699</v>
      </c>
      <c r="X1059" t="s">
        <v>43169</v>
      </c>
    </row>
    <row r="1060" spans="1:24">
      <c r="A1060">
        <f>HYPERLINK("https://www.philgeps.gov.ph/GEPSNONPILOT/Tender/SplashBidNoticeAbstractUI.aspx?menuIndex=3&amp;refID=7087810&amp;Result=3","7087810")</f>
        <v>0</v>
      </c>
      <c r="B1060" t="s">
        <v>454</v>
      </c>
      <c r="C1060" t="s">
        <v>4439</v>
      </c>
      <c r="D1060" t="s">
        <v>17452</v>
      </c>
      <c r="E1060" t="s">
        <v>18466</v>
      </c>
      <c r="F1060" t="s">
        <v>30052</v>
      </c>
      <c r="G1060" t="s">
        <v>30061</v>
      </c>
      <c r="H1060" t="s">
        <v>15498</v>
      </c>
      <c r="I1060" t="s">
        <v>30109</v>
      </c>
      <c r="J1060" t="s">
        <v>30989</v>
      </c>
      <c r="K1060" t="s">
        <v>39017</v>
      </c>
      <c r="M1060" t="s">
        <v>39754</v>
      </c>
      <c r="N1060" t="s">
        <v>43166</v>
      </c>
      <c r="O1060" t="s">
        <v>43167</v>
      </c>
      <c r="P1060">
        <v>0</v>
      </c>
      <c r="Q1060">
        <v>0</v>
      </c>
      <c r="R1060" t="s">
        <v>43168</v>
      </c>
      <c r="S1060" t="s">
        <v>43286</v>
      </c>
      <c r="T1060" t="s">
        <v>44698</v>
      </c>
      <c r="U1060" t="s">
        <v>46057</v>
      </c>
      <c r="W1060" t="s">
        <v>39754</v>
      </c>
      <c r="X1060" t="s">
        <v>43169</v>
      </c>
    </row>
    <row r="1061" spans="1:24">
      <c r="A1061">
        <f>HYPERLINK("https://www.philgeps.gov.ph/GEPSNONPILOT/Tender/SplashBidNoticeAbstractUI.aspx?menuIndex=3&amp;refID=7087854&amp;Result=3","7087854")</f>
        <v>0</v>
      </c>
      <c r="B1061" t="s">
        <v>56</v>
      </c>
      <c r="C1061" t="s">
        <v>4440</v>
      </c>
      <c r="D1061" t="s">
        <v>17438</v>
      </c>
      <c r="E1061" t="s">
        <v>18467</v>
      </c>
      <c r="F1061" t="s">
        <v>30052</v>
      </c>
      <c r="G1061" t="s">
        <v>30059</v>
      </c>
      <c r="H1061" t="s">
        <v>15498</v>
      </c>
      <c r="I1061" t="s">
        <v>30111</v>
      </c>
      <c r="J1061" t="s">
        <v>30248</v>
      </c>
      <c r="K1061" t="s">
        <v>39019</v>
      </c>
      <c r="M1061" t="s">
        <v>39345</v>
      </c>
      <c r="N1061" t="s">
        <v>43166</v>
      </c>
      <c r="O1061" t="s">
        <v>43167</v>
      </c>
      <c r="P1061">
        <v>0</v>
      </c>
      <c r="Q1061">
        <v>1</v>
      </c>
      <c r="R1061" t="s">
        <v>43168</v>
      </c>
      <c r="S1061" t="s">
        <v>43286</v>
      </c>
      <c r="T1061" t="s">
        <v>44708</v>
      </c>
      <c r="U1061" t="s">
        <v>45281</v>
      </c>
      <c r="V1061" t="s">
        <v>56817</v>
      </c>
      <c r="W1061" t="s">
        <v>39345</v>
      </c>
      <c r="X1061" t="s">
        <v>43169</v>
      </c>
    </row>
    <row r="1062" spans="1:24">
      <c r="A1062">
        <f>HYPERLINK("https://www.philgeps.gov.ph/GEPSNONPILOT/Tender/SplashBidNoticeAbstractUI.aspx?menuIndex=3&amp;refID=7087832&amp;Result=3","7087832")</f>
        <v>0</v>
      </c>
      <c r="B1062" t="s">
        <v>468</v>
      </c>
      <c r="C1062" t="s">
        <v>4441</v>
      </c>
      <c r="D1062" t="s">
        <v>17415</v>
      </c>
      <c r="E1062" t="s">
        <v>18468</v>
      </c>
      <c r="F1062" t="s">
        <v>30052</v>
      </c>
      <c r="G1062" t="s">
        <v>30058</v>
      </c>
      <c r="H1062" t="s">
        <v>15498</v>
      </c>
      <c r="I1062" t="s">
        <v>3852</v>
      </c>
      <c r="J1062" t="s">
        <v>30990</v>
      </c>
      <c r="K1062" t="s">
        <v>39036</v>
      </c>
      <c r="M1062" t="s">
        <v>39769</v>
      </c>
      <c r="N1062" t="s">
        <v>43166</v>
      </c>
      <c r="O1062" t="s">
        <v>43167</v>
      </c>
      <c r="P1062">
        <v>0</v>
      </c>
      <c r="Q1062">
        <v>0</v>
      </c>
      <c r="R1062" t="s">
        <v>43168</v>
      </c>
      <c r="S1062" t="s">
        <v>43286</v>
      </c>
      <c r="T1062" t="s">
        <v>44724</v>
      </c>
      <c r="U1062" t="s">
        <v>46089</v>
      </c>
      <c r="W1062" t="s">
        <v>39769</v>
      </c>
      <c r="X1062" t="s">
        <v>43169</v>
      </c>
    </row>
    <row r="1063" spans="1:24">
      <c r="A1063">
        <f>HYPERLINK("https://www.philgeps.gov.ph/GEPSNONPILOT/Tender/SplashBidNoticeAbstractUI.aspx?menuIndex=3&amp;refID=7087851&amp;Result=3","7087851")</f>
        <v>0</v>
      </c>
      <c r="B1063" t="s">
        <v>469</v>
      </c>
      <c r="C1063" t="s">
        <v>4442</v>
      </c>
      <c r="D1063" t="s">
        <v>17415</v>
      </c>
      <c r="E1063" t="s">
        <v>17715</v>
      </c>
      <c r="F1063" t="s">
        <v>30052</v>
      </c>
      <c r="G1063" t="s">
        <v>30059</v>
      </c>
      <c r="H1063" t="s">
        <v>15498</v>
      </c>
      <c r="I1063" t="s">
        <v>3852</v>
      </c>
      <c r="J1063" t="s">
        <v>30991</v>
      </c>
      <c r="K1063" t="s">
        <v>39036</v>
      </c>
      <c r="M1063" t="s">
        <v>39770</v>
      </c>
      <c r="N1063" t="s">
        <v>43166</v>
      </c>
      <c r="O1063" t="s">
        <v>43167</v>
      </c>
      <c r="P1063">
        <v>0</v>
      </c>
      <c r="Q1063">
        <v>1</v>
      </c>
      <c r="R1063" t="s">
        <v>43168</v>
      </c>
      <c r="S1063" t="s">
        <v>43286</v>
      </c>
      <c r="T1063" t="s">
        <v>44816</v>
      </c>
      <c r="U1063" t="s">
        <v>46090</v>
      </c>
      <c r="V1063" t="s">
        <v>56939</v>
      </c>
      <c r="W1063" t="s">
        <v>39770</v>
      </c>
      <c r="X1063" t="s">
        <v>43169</v>
      </c>
    </row>
    <row r="1064" spans="1:24">
      <c r="A1064">
        <f>HYPERLINK("https://www.philgeps.gov.ph/GEPSNONPILOT/Tender/SplashBidNoticeAbstractUI.aspx?menuIndex=3&amp;refID=7087850&amp;Result=3","7087850")</f>
        <v>0</v>
      </c>
      <c r="B1064" t="s">
        <v>56</v>
      </c>
      <c r="C1064" t="s">
        <v>4443</v>
      </c>
      <c r="D1064" t="s">
        <v>17438</v>
      </c>
      <c r="E1064" t="s">
        <v>18469</v>
      </c>
      <c r="F1064" t="s">
        <v>30052</v>
      </c>
      <c r="G1064" t="s">
        <v>30059</v>
      </c>
      <c r="H1064" t="s">
        <v>15498</v>
      </c>
      <c r="I1064" t="s">
        <v>30150</v>
      </c>
      <c r="J1064" t="s">
        <v>30551</v>
      </c>
      <c r="K1064" t="s">
        <v>39019</v>
      </c>
      <c r="M1064" t="s">
        <v>39345</v>
      </c>
      <c r="N1064" t="s">
        <v>43166</v>
      </c>
      <c r="O1064" t="s">
        <v>43167</v>
      </c>
      <c r="P1064">
        <v>0</v>
      </c>
      <c r="Q1064">
        <v>1</v>
      </c>
      <c r="R1064" t="s">
        <v>43168</v>
      </c>
      <c r="S1064" t="s">
        <v>43286</v>
      </c>
      <c r="T1064" t="s">
        <v>44708</v>
      </c>
      <c r="U1064" t="s">
        <v>45281</v>
      </c>
      <c r="V1064" t="s">
        <v>56817</v>
      </c>
      <c r="W1064" t="s">
        <v>39345</v>
      </c>
      <c r="X1064" t="s">
        <v>43169</v>
      </c>
    </row>
    <row r="1065" spans="1:24">
      <c r="A1065">
        <f>HYPERLINK("https://www.philgeps.gov.ph/GEPSNONPILOT/Tender/SplashBidNoticeAbstractUI.aspx?menuIndex=3&amp;refID=7087847&amp;Result=3","7087847")</f>
        <v>0</v>
      </c>
      <c r="B1065" t="s">
        <v>56</v>
      </c>
      <c r="C1065" t="s">
        <v>4444</v>
      </c>
      <c r="D1065" t="s">
        <v>17438</v>
      </c>
      <c r="E1065" t="s">
        <v>18470</v>
      </c>
      <c r="F1065" t="s">
        <v>30052</v>
      </c>
      <c r="G1065" t="s">
        <v>30059</v>
      </c>
      <c r="H1065" t="s">
        <v>15498</v>
      </c>
      <c r="I1065" t="s">
        <v>9238</v>
      </c>
      <c r="J1065" t="s">
        <v>30992</v>
      </c>
      <c r="K1065" t="s">
        <v>39019</v>
      </c>
      <c r="M1065" t="s">
        <v>39345</v>
      </c>
      <c r="N1065" t="s">
        <v>43166</v>
      </c>
      <c r="O1065" t="s">
        <v>43167</v>
      </c>
      <c r="P1065">
        <v>0</v>
      </c>
      <c r="Q1065">
        <v>11</v>
      </c>
      <c r="R1065" t="s">
        <v>43168</v>
      </c>
      <c r="S1065" t="s">
        <v>43286</v>
      </c>
      <c r="T1065" t="s">
        <v>44708</v>
      </c>
      <c r="U1065" t="s">
        <v>45281</v>
      </c>
      <c r="V1065" t="s">
        <v>56817</v>
      </c>
      <c r="W1065" t="s">
        <v>39345</v>
      </c>
      <c r="X1065" t="s">
        <v>43169</v>
      </c>
    </row>
    <row r="1066" spans="1:24">
      <c r="A1066">
        <f>HYPERLINK("https://www.philgeps.gov.ph/GEPSNONPILOT/Tender/SplashBidNoticeAbstractUI.aspx?menuIndex=3&amp;refID=7087846&amp;Result=3","7087846")</f>
        <v>0</v>
      </c>
      <c r="B1066" t="s">
        <v>470</v>
      </c>
      <c r="C1066" t="s">
        <v>4445</v>
      </c>
      <c r="D1066" t="s">
        <v>17458</v>
      </c>
      <c r="E1066" t="s">
        <v>18471</v>
      </c>
      <c r="F1066" t="s">
        <v>30055</v>
      </c>
      <c r="G1066" t="s">
        <v>30059</v>
      </c>
      <c r="H1066" t="s">
        <v>15498</v>
      </c>
      <c r="I1066" t="s">
        <v>30073</v>
      </c>
      <c r="J1066" t="s">
        <v>30993</v>
      </c>
      <c r="K1066" t="s">
        <v>39025</v>
      </c>
      <c r="M1066" t="s">
        <v>39771</v>
      </c>
      <c r="N1066" t="s">
        <v>43166</v>
      </c>
      <c r="O1066" t="s">
        <v>43167</v>
      </c>
      <c r="P1066">
        <v>0</v>
      </c>
      <c r="Q1066">
        <v>0</v>
      </c>
      <c r="R1066" t="s">
        <v>43168</v>
      </c>
      <c r="S1066" t="s">
        <v>43286</v>
      </c>
      <c r="T1066" t="s">
        <v>44736</v>
      </c>
      <c r="U1066" t="s">
        <v>46091</v>
      </c>
      <c r="W1066" t="s">
        <v>39771</v>
      </c>
      <c r="X1066" t="s">
        <v>43169</v>
      </c>
    </row>
    <row r="1067" spans="1:24">
      <c r="A1067">
        <f>HYPERLINK("https://www.philgeps.gov.ph/GEPSNONPILOT/Tender/SplashBidNoticeAbstractUI.aspx?menuIndex=3&amp;refID=7087820&amp;Result=3","7087820")</f>
        <v>0</v>
      </c>
      <c r="B1067" t="s">
        <v>461</v>
      </c>
      <c r="C1067" t="s">
        <v>4446</v>
      </c>
      <c r="D1067" t="s">
        <v>17417</v>
      </c>
      <c r="E1067" t="s">
        <v>18472</v>
      </c>
      <c r="F1067" t="s">
        <v>30052</v>
      </c>
      <c r="G1067" t="s">
        <v>30058</v>
      </c>
      <c r="H1067" t="s">
        <v>30067</v>
      </c>
      <c r="I1067" t="s">
        <v>3693</v>
      </c>
      <c r="J1067" t="s">
        <v>30222</v>
      </c>
      <c r="K1067" t="s">
        <v>39074</v>
      </c>
      <c r="M1067" t="s">
        <v>39761</v>
      </c>
      <c r="N1067" t="s">
        <v>43166</v>
      </c>
      <c r="O1067" t="s">
        <v>43167</v>
      </c>
      <c r="P1067">
        <v>0</v>
      </c>
      <c r="Q1067">
        <v>3</v>
      </c>
      <c r="R1067" t="s">
        <v>43168</v>
      </c>
      <c r="S1067" t="s">
        <v>43286</v>
      </c>
      <c r="T1067" t="s">
        <v>44709</v>
      </c>
      <c r="U1067" t="s">
        <v>46092</v>
      </c>
      <c r="W1067" t="s">
        <v>58601</v>
      </c>
      <c r="X1067" t="s">
        <v>43169</v>
      </c>
    </row>
    <row r="1068" spans="1:24">
      <c r="A1068">
        <f>HYPERLINK("https://www.philgeps.gov.ph/GEPSNONPILOT/Tender/SplashBidNoticeAbstractUI.aspx?menuIndex=3&amp;refID=7087845&amp;Result=3","7087845")</f>
        <v>0</v>
      </c>
      <c r="B1068" t="s">
        <v>471</v>
      </c>
      <c r="C1068" t="s">
        <v>4447</v>
      </c>
      <c r="D1068" t="s">
        <v>17415</v>
      </c>
      <c r="E1068" t="s">
        <v>17715</v>
      </c>
      <c r="F1068" t="s">
        <v>30052</v>
      </c>
      <c r="G1068" t="s">
        <v>30059</v>
      </c>
      <c r="H1068" t="s">
        <v>15498</v>
      </c>
      <c r="I1068" t="s">
        <v>3852</v>
      </c>
      <c r="J1068" t="s">
        <v>30302</v>
      </c>
      <c r="K1068" t="s">
        <v>39036</v>
      </c>
      <c r="M1068" t="s">
        <v>39772</v>
      </c>
      <c r="N1068" t="s">
        <v>43166</v>
      </c>
      <c r="O1068" t="s">
        <v>43167</v>
      </c>
      <c r="P1068">
        <v>0</v>
      </c>
      <c r="Q1068">
        <v>2</v>
      </c>
      <c r="R1068" t="s">
        <v>43168</v>
      </c>
      <c r="S1068" t="s">
        <v>43286</v>
      </c>
      <c r="T1068" t="s">
        <v>44797</v>
      </c>
      <c r="U1068" t="s">
        <v>46093</v>
      </c>
      <c r="V1068" t="s">
        <v>56940</v>
      </c>
      <c r="W1068" t="s">
        <v>39772</v>
      </c>
      <c r="X1068" t="s">
        <v>43169</v>
      </c>
    </row>
    <row r="1069" spans="1:24">
      <c r="A1069">
        <f>HYPERLINK("https://www.philgeps.gov.ph/GEPSNONPILOT/Tender/SplashBidNoticeAbstractUI.aspx?menuIndex=3&amp;refID=7087822&amp;Result=3","7087822")</f>
        <v>0</v>
      </c>
      <c r="B1069" t="s">
        <v>465</v>
      </c>
      <c r="C1069" t="s">
        <v>4448</v>
      </c>
      <c r="D1069" t="s">
        <v>17448</v>
      </c>
      <c r="E1069" t="s">
        <v>18473</v>
      </c>
      <c r="F1069" t="s">
        <v>30052</v>
      </c>
      <c r="G1069" t="s">
        <v>30061</v>
      </c>
      <c r="H1069" t="s">
        <v>15498</v>
      </c>
      <c r="I1069" t="s">
        <v>30070</v>
      </c>
      <c r="J1069" t="s">
        <v>30472</v>
      </c>
      <c r="K1069" t="s">
        <v>39025</v>
      </c>
      <c r="M1069" t="s">
        <v>39766</v>
      </c>
      <c r="N1069" t="s">
        <v>43166</v>
      </c>
      <c r="O1069" t="s">
        <v>43167</v>
      </c>
      <c r="P1069">
        <v>0</v>
      </c>
      <c r="Q1069">
        <v>0</v>
      </c>
      <c r="R1069" t="s">
        <v>43168</v>
      </c>
      <c r="S1069" t="s">
        <v>43286</v>
      </c>
      <c r="T1069" t="s">
        <v>44710</v>
      </c>
      <c r="U1069" t="s">
        <v>46094</v>
      </c>
      <c r="W1069" t="s">
        <v>39766</v>
      </c>
      <c r="X1069" t="s">
        <v>43169</v>
      </c>
    </row>
    <row r="1070" spans="1:24">
      <c r="A1070">
        <f>HYPERLINK("https://www.philgeps.gov.ph/GEPSNONPILOT/Tender/SplashBidNoticeAbstractUI.aspx?menuIndex=3&amp;refID=7087839&amp;Result=3","7087839")</f>
        <v>0</v>
      </c>
      <c r="B1070" t="s">
        <v>470</v>
      </c>
      <c r="C1070" t="s">
        <v>4449</v>
      </c>
      <c r="D1070" t="s">
        <v>17458</v>
      </c>
      <c r="E1070" t="s">
        <v>18474</v>
      </c>
      <c r="F1070" t="s">
        <v>30055</v>
      </c>
      <c r="G1070" t="s">
        <v>30059</v>
      </c>
      <c r="H1070" t="s">
        <v>15498</v>
      </c>
      <c r="I1070" t="s">
        <v>30151</v>
      </c>
      <c r="J1070" t="s">
        <v>30256</v>
      </c>
      <c r="K1070" t="s">
        <v>39025</v>
      </c>
      <c r="M1070" t="s">
        <v>39771</v>
      </c>
      <c r="N1070" t="s">
        <v>43166</v>
      </c>
      <c r="O1070" t="s">
        <v>43167</v>
      </c>
      <c r="P1070">
        <v>0</v>
      </c>
      <c r="Q1070">
        <v>1</v>
      </c>
      <c r="R1070" t="s">
        <v>43168</v>
      </c>
      <c r="S1070" t="s">
        <v>43286</v>
      </c>
      <c r="T1070" t="s">
        <v>44736</v>
      </c>
      <c r="U1070" t="s">
        <v>46095</v>
      </c>
      <c r="W1070" t="s">
        <v>39771</v>
      </c>
      <c r="X1070" t="s">
        <v>43169</v>
      </c>
    </row>
    <row r="1071" spans="1:24">
      <c r="A1071">
        <f>HYPERLINK("https://www.philgeps.gov.ph/GEPSNONPILOT/Tender/SplashBidNoticeAbstractUI.aspx?menuIndex=3&amp;refID=7087831&amp;Result=3","7087831")</f>
        <v>0</v>
      </c>
      <c r="B1071" t="s">
        <v>472</v>
      </c>
      <c r="C1071" t="s">
        <v>4450</v>
      </c>
      <c r="D1071" t="s">
        <v>17455</v>
      </c>
      <c r="E1071" t="s">
        <v>18475</v>
      </c>
      <c r="F1071" t="s">
        <v>30052</v>
      </c>
      <c r="G1071" t="s">
        <v>30059</v>
      </c>
      <c r="H1071" t="s">
        <v>15498</v>
      </c>
      <c r="I1071" t="s">
        <v>4650</v>
      </c>
      <c r="J1071" t="s">
        <v>30994</v>
      </c>
      <c r="K1071" t="s">
        <v>39018</v>
      </c>
      <c r="M1071" t="s">
        <v>39773</v>
      </c>
      <c r="N1071" t="s">
        <v>43166</v>
      </c>
      <c r="O1071" t="s">
        <v>43167</v>
      </c>
      <c r="P1071">
        <v>0</v>
      </c>
      <c r="Q1071">
        <v>0</v>
      </c>
      <c r="R1071" t="s">
        <v>43168</v>
      </c>
      <c r="S1071" t="s">
        <v>43286</v>
      </c>
      <c r="T1071" t="s">
        <v>44737</v>
      </c>
      <c r="U1071" t="s">
        <v>46096</v>
      </c>
      <c r="W1071" t="s">
        <v>39773</v>
      </c>
      <c r="X1071" t="s">
        <v>43169</v>
      </c>
    </row>
    <row r="1072" spans="1:24">
      <c r="A1072">
        <f>HYPERLINK("https://www.philgeps.gov.ph/GEPSNONPILOT/Tender/SplashBidNoticeAbstractUI.aspx?menuIndex=3&amp;refID=7087836&amp;Result=3","7087836")</f>
        <v>0</v>
      </c>
      <c r="B1072" t="s">
        <v>472</v>
      </c>
      <c r="C1072" t="s">
        <v>4451</v>
      </c>
      <c r="D1072" t="s">
        <v>17455</v>
      </c>
      <c r="E1072" t="s">
        <v>18476</v>
      </c>
      <c r="F1072" t="s">
        <v>30052</v>
      </c>
      <c r="G1072" t="s">
        <v>30059</v>
      </c>
      <c r="H1072" t="s">
        <v>15498</v>
      </c>
      <c r="I1072" t="s">
        <v>4119</v>
      </c>
      <c r="J1072" t="s">
        <v>30995</v>
      </c>
      <c r="K1072" t="s">
        <v>39018</v>
      </c>
      <c r="M1072" t="s">
        <v>39773</v>
      </c>
      <c r="N1072" t="s">
        <v>43166</v>
      </c>
      <c r="O1072" t="s">
        <v>43167</v>
      </c>
      <c r="P1072">
        <v>0</v>
      </c>
      <c r="Q1072">
        <v>1</v>
      </c>
      <c r="R1072" t="s">
        <v>43168</v>
      </c>
      <c r="S1072" t="s">
        <v>43286</v>
      </c>
      <c r="T1072" t="s">
        <v>44737</v>
      </c>
      <c r="U1072" t="s">
        <v>46097</v>
      </c>
      <c r="W1072" t="s">
        <v>39773</v>
      </c>
      <c r="X1072" t="s">
        <v>43169</v>
      </c>
    </row>
    <row r="1073" spans="1:24">
      <c r="A1073">
        <f>HYPERLINK("https://www.philgeps.gov.ph/GEPSNONPILOT/Tender/SplashBidNoticeAbstractUI.aspx?menuIndex=3&amp;refID=7087827&amp;Result=3","7087827")</f>
        <v>0</v>
      </c>
      <c r="B1073" t="s">
        <v>473</v>
      </c>
      <c r="C1073" t="s">
        <v>4452</v>
      </c>
      <c r="D1073" t="s">
        <v>17415</v>
      </c>
      <c r="E1073" t="s">
        <v>17715</v>
      </c>
      <c r="F1073" t="s">
        <v>30052</v>
      </c>
      <c r="G1073" t="s">
        <v>30059</v>
      </c>
      <c r="H1073" t="s">
        <v>15498</v>
      </c>
      <c r="I1073" t="s">
        <v>3852</v>
      </c>
      <c r="J1073" t="s">
        <v>30996</v>
      </c>
      <c r="K1073" t="s">
        <v>39036</v>
      </c>
      <c r="M1073" t="s">
        <v>39774</v>
      </c>
      <c r="N1073" t="s">
        <v>43166</v>
      </c>
      <c r="O1073" t="s">
        <v>43167</v>
      </c>
      <c r="P1073">
        <v>0</v>
      </c>
      <c r="Q1073">
        <v>2</v>
      </c>
      <c r="R1073" t="s">
        <v>43168</v>
      </c>
      <c r="S1073" t="s">
        <v>43286</v>
      </c>
      <c r="T1073" t="s">
        <v>44681</v>
      </c>
      <c r="U1073" t="s">
        <v>46098</v>
      </c>
      <c r="V1073" t="s">
        <v>56940</v>
      </c>
      <c r="W1073" t="s">
        <v>39774</v>
      </c>
      <c r="X1073" t="s">
        <v>43169</v>
      </c>
    </row>
    <row r="1074" spans="1:24">
      <c r="A1074">
        <f>HYPERLINK("https://www.philgeps.gov.ph/GEPSNONPILOT/Tender/SplashBidNoticeAbstractUI.aspx?menuIndex=3&amp;refID=7087874&amp;Result=3","7087874")</f>
        <v>0</v>
      </c>
      <c r="B1074" t="s">
        <v>56</v>
      </c>
      <c r="C1074" t="s">
        <v>4453</v>
      </c>
      <c r="D1074" t="s">
        <v>17438</v>
      </c>
      <c r="E1074" t="s">
        <v>18477</v>
      </c>
      <c r="F1074" t="s">
        <v>30052</v>
      </c>
      <c r="G1074" t="s">
        <v>30059</v>
      </c>
      <c r="H1074" t="s">
        <v>15498</v>
      </c>
      <c r="I1074" t="s">
        <v>4650</v>
      </c>
      <c r="J1074" t="s">
        <v>30997</v>
      </c>
      <c r="K1074" t="s">
        <v>39037</v>
      </c>
      <c r="M1074" t="s">
        <v>39345</v>
      </c>
      <c r="N1074" t="s">
        <v>43166</v>
      </c>
      <c r="O1074" t="s">
        <v>43167</v>
      </c>
      <c r="P1074">
        <v>0</v>
      </c>
      <c r="Q1074">
        <v>0</v>
      </c>
      <c r="R1074" t="s">
        <v>43168</v>
      </c>
      <c r="S1074" t="s">
        <v>43286</v>
      </c>
      <c r="T1074" t="s">
        <v>44708</v>
      </c>
      <c r="U1074" t="s">
        <v>45281</v>
      </c>
      <c r="V1074" t="s">
        <v>56817</v>
      </c>
      <c r="W1074" t="s">
        <v>39345</v>
      </c>
      <c r="X1074" t="s">
        <v>43169</v>
      </c>
    </row>
    <row r="1075" spans="1:24">
      <c r="A1075">
        <f>HYPERLINK("https://www.philgeps.gov.ph/GEPSNONPILOT/Tender/SplashBidNoticeAbstractUI.aspx?menuIndex=3&amp;refID=7087844&amp;Result=3","7087844")</f>
        <v>0</v>
      </c>
      <c r="B1075" t="s">
        <v>474</v>
      </c>
      <c r="C1075" t="s">
        <v>4454</v>
      </c>
      <c r="D1075" t="s">
        <v>17490</v>
      </c>
      <c r="E1075" t="s">
        <v>18478</v>
      </c>
      <c r="F1075" t="s">
        <v>30052</v>
      </c>
      <c r="G1075" t="s">
        <v>30062</v>
      </c>
      <c r="H1075" t="s">
        <v>15498</v>
      </c>
      <c r="I1075" t="s">
        <v>30097</v>
      </c>
      <c r="J1075" t="s">
        <v>30903</v>
      </c>
      <c r="K1075" t="s">
        <v>39029</v>
      </c>
      <c r="M1075" t="s">
        <v>39775</v>
      </c>
      <c r="N1075" t="s">
        <v>43166</v>
      </c>
      <c r="O1075" t="s">
        <v>43167</v>
      </c>
      <c r="P1075">
        <v>0</v>
      </c>
      <c r="Q1075">
        <v>6</v>
      </c>
      <c r="R1075" t="s">
        <v>43168</v>
      </c>
      <c r="S1075" t="s">
        <v>43286</v>
      </c>
      <c r="T1075" t="s">
        <v>44679</v>
      </c>
      <c r="U1075" t="s">
        <v>46099</v>
      </c>
      <c r="W1075" t="s">
        <v>39775</v>
      </c>
      <c r="X1075" t="s">
        <v>43169</v>
      </c>
    </row>
    <row r="1076" spans="1:24">
      <c r="A1076">
        <f>HYPERLINK("https://www.philgeps.gov.ph/GEPSNONPILOT/Tender/SplashBidNoticeAbstractUI.aspx?menuIndex=3&amp;refID=7087852&amp;Result=3","7087852")</f>
        <v>0</v>
      </c>
      <c r="B1076" t="s">
        <v>56</v>
      </c>
      <c r="C1076" t="s">
        <v>4455</v>
      </c>
      <c r="D1076" t="s">
        <v>17438</v>
      </c>
      <c r="E1076" t="s">
        <v>18479</v>
      </c>
      <c r="F1076" t="s">
        <v>30052</v>
      </c>
      <c r="G1076" t="s">
        <v>30061</v>
      </c>
      <c r="H1076" t="s">
        <v>15498</v>
      </c>
      <c r="I1076" t="s">
        <v>4119</v>
      </c>
      <c r="J1076" t="s">
        <v>30497</v>
      </c>
      <c r="K1076" t="s">
        <v>39029</v>
      </c>
      <c r="M1076" t="s">
        <v>39345</v>
      </c>
      <c r="N1076" t="s">
        <v>43166</v>
      </c>
      <c r="O1076" t="s">
        <v>43167</v>
      </c>
      <c r="P1076">
        <v>0</v>
      </c>
      <c r="Q1076">
        <v>3</v>
      </c>
      <c r="R1076" t="s">
        <v>43168</v>
      </c>
      <c r="S1076" t="s">
        <v>43286</v>
      </c>
      <c r="T1076" t="s">
        <v>44708</v>
      </c>
      <c r="U1076" t="s">
        <v>45281</v>
      </c>
      <c r="V1076" t="s">
        <v>56817</v>
      </c>
      <c r="W1076" t="s">
        <v>39345</v>
      </c>
      <c r="X1076" t="s">
        <v>43169</v>
      </c>
    </row>
    <row r="1077" spans="1:24">
      <c r="A1077">
        <f>HYPERLINK("https://www.philgeps.gov.ph/GEPSNONPILOT/Tender/SplashBidNoticeAbstractUI.aspx?menuIndex=3&amp;refID=7087871&amp;Result=3","7087871")</f>
        <v>0</v>
      </c>
      <c r="B1077" t="s">
        <v>475</v>
      </c>
      <c r="C1077" t="s">
        <v>4456</v>
      </c>
      <c r="D1077" t="s">
        <v>17421</v>
      </c>
      <c r="E1077" t="s">
        <v>17779</v>
      </c>
      <c r="F1077" t="s">
        <v>30052</v>
      </c>
      <c r="G1077" t="s">
        <v>30058</v>
      </c>
      <c r="H1077" t="s">
        <v>15498</v>
      </c>
      <c r="I1077" t="s">
        <v>30152</v>
      </c>
      <c r="J1077" t="s">
        <v>30998</v>
      </c>
      <c r="K1077" t="s">
        <v>39017</v>
      </c>
      <c r="L1077" t="s">
        <v>475</v>
      </c>
      <c r="M1077" t="s">
        <v>39776</v>
      </c>
      <c r="N1077" t="s">
        <v>43166</v>
      </c>
      <c r="O1077" t="s">
        <v>43167</v>
      </c>
      <c r="P1077">
        <v>0</v>
      </c>
      <c r="Q1077">
        <v>0</v>
      </c>
      <c r="R1077" t="s">
        <v>43168</v>
      </c>
      <c r="S1077" t="s">
        <v>43286</v>
      </c>
      <c r="T1077" t="s">
        <v>44733</v>
      </c>
      <c r="U1077" t="s">
        <v>46100</v>
      </c>
      <c r="W1077" t="s">
        <v>39776</v>
      </c>
      <c r="X1077" t="s">
        <v>43169</v>
      </c>
    </row>
    <row r="1078" spans="1:24">
      <c r="A1078">
        <f>HYPERLINK("https://www.philgeps.gov.ph/GEPSNONPILOT/Tender/SplashBidNoticeAbstractUI.aspx?menuIndex=3&amp;refID=7087870&amp;Result=3","7087870")</f>
        <v>0</v>
      </c>
      <c r="B1078" t="s">
        <v>476</v>
      </c>
      <c r="C1078" t="s">
        <v>4457</v>
      </c>
      <c r="D1078" t="s">
        <v>17442</v>
      </c>
      <c r="E1078" t="s">
        <v>18480</v>
      </c>
      <c r="F1078" t="s">
        <v>30052</v>
      </c>
      <c r="G1078" t="s">
        <v>30058</v>
      </c>
      <c r="H1078" t="s">
        <v>15498</v>
      </c>
      <c r="I1078" t="s">
        <v>30088</v>
      </c>
      <c r="J1078" t="s">
        <v>30999</v>
      </c>
      <c r="K1078" t="s">
        <v>39019</v>
      </c>
      <c r="M1078" t="s">
        <v>39777</v>
      </c>
      <c r="N1078" t="s">
        <v>43166</v>
      </c>
      <c r="O1078" t="s">
        <v>43167</v>
      </c>
      <c r="P1078">
        <v>0</v>
      </c>
      <c r="Q1078">
        <v>19</v>
      </c>
      <c r="R1078" t="s">
        <v>43168</v>
      </c>
      <c r="S1078" t="s">
        <v>43286</v>
      </c>
      <c r="T1078" t="s">
        <v>44701</v>
      </c>
      <c r="U1078" t="s">
        <v>46101</v>
      </c>
      <c r="W1078" t="s">
        <v>58602</v>
      </c>
      <c r="X1078" t="s">
        <v>43169</v>
      </c>
    </row>
    <row r="1079" spans="1:24">
      <c r="A1079">
        <f>HYPERLINK("https://www.philgeps.gov.ph/GEPSNONPILOT/Tender/SplashBidNoticeAbstractUI.aspx?menuIndex=3&amp;refID=7087869&amp;Result=3","7087869")</f>
        <v>0</v>
      </c>
      <c r="B1079" t="s">
        <v>444</v>
      </c>
      <c r="C1079" t="s">
        <v>4458</v>
      </c>
      <c r="E1079" t="s">
        <v>18481</v>
      </c>
      <c r="F1079" t="s">
        <v>30052</v>
      </c>
      <c r="G1079" t="s">
        <v>30059</v>
      </c>
      <c r="H1079" t="s">
        <v>15498</v>
      </c>
      <c r="I1079" t="s">
        <v>30144</v>
      </c>
      <c r="J1079" t="s">
        <v>31000</v>
      </c>
      <c r="K1079" t="s">
        <v>39063</v>
      </c>
      <c r="M1079" t="s">
        <v>39744</v>
      </c>
      <c r="N1079" t="s">
        <v>43166</v>
      </c>
      <c r="O1079" t="s">
        <v>43167</v>
      </c>
      <c r="P1079">
        <v>0</v>
      </c>
      <c r="Q1079">
        <v>0</v>
      </c>
      <c r="R1079" t="s">
        <v>43168</v>
      </c>
      <c r="S1079" t="s">
        <v>43286</v>
      </c>
      <c r="T1079" t="s">
        <v>44715</v>
      </c>
      <c r="U1079" t="s">
        <v>46102</v>
      </c>
      <c r="W1079" t="s">
        <v>39744</v>
      </c>
      <c r="X1079" t="s">
        <v>43169</v>
      </c>
    </row>
    <row r="1080" spans="1:24">
      <c r="A1080">
        <f>HYPERLINK("https://www.philgeps.gov.ph/GEPSNONPILOT/Tender/SplashBidNoticeAbstractUI.aspx?menuIndex=3&amp;refID=7087868&amp;Result=3","7087868")</f>
        <v>0</v>
      </c>
      <c r="B1080" t="s">
        <v>477</v>
      </c>
      <c r="C1080" t="s">
        <v>4459</v>
      </c>
      <c r="D1080" t="s">
        <v>17471</v>
      </c>
      <c r="E1080" t="s">
        <v>18482</v>
      </c>
      <c r="F1080" t="s">
        <v>30052</v>
      </c>
      <c r="G1080" t="s">
        <v>30059</v>
      </c>
      <c r="H1080" t="s">
        <v>15498</v>
      </c>
      <c r="I1080" t="s">
        <v>30125</v>
      </c>
      <c r="J1080" t="s">
        <v>31001</v>
      </c>
      <c r="K1080" t="s">
        <v>39019</v>
      </c>
      <c r="M1080" t="s">
        <v>39778</v>
      </c>
      <c r="N1080" t="s">
        <v>43166</v>
      </c>
      <c r="O1080" t="s">
        <v>43167</v>
      </c>
      <c r="P1080">
        <v>0</v>
      </c>
      <c r="Q1080">
        <v>1</v>
      </c>
      <c r="R1080" t="s">
        <v>43168</v>
      </c>
      <c r="S1080" t="s">
        <v>43286</v>
      </c>
      <c r="T1080" t="s">
        <v>44698</v>
      </c>
      <c r="U1080" t="s">
        <v>46103</v>
      </c>
      <c r="W1080" t="s">
        <v>39778</v>
      </c>
      <c r="X1080" t="s">
        <v>43169</v>
      </c>
    </row>
    <row r="1081" spans="1:24">
      <c r="A1081">
        <f>HYPERLINK("https://www.philgeps.gov.ph/GEPSNONPILOT/Tender/SplashBidNoticeAbstractUI.aspx?menuIndex=3&amp;refID=7087867&amp;Result=3","7087867")</f>
        <v>0</v>
      </c>
      <c r="B1081" t="s">
        <v>478</v>
      </c>
      <c r="C1081" t="s">
        <v>4460</v>
      </c>
      <c r="E1081" t="s">
        <v>18483</v>
      </c>
      <c r="F1081" t="s">
        <v>30052</v>
      </c>
      <c r="G1081" t="s">
        <v>30063</v>
      </c>
      <c r="H1081" t="s">
        <v>15498</v>
      </c>
      <c r="I1081" t="s">
        <v>30085</v>
      </c>
      <c r="J1081" t="s">
        <v>31002</v>
      </c>
      <c r="K1081" t="s">
        <v>39025</v>
      </c>
      <c r="M1081" t="s">
        <v>39779</v>
      </c>
      <c r="N1081" t="s">
        <v>43166</v>
      </c>
      <c r="O1081" t="s">
        <v>43167</v>
      </c>
      <c r="P1081">
        <v>0</v>
      </c>
      <c r="Q1081">
        <v>1</v>
      </c>
      <c r="R1081" t="s">
        <v>43168</v>
      </c>
      <c r="S1081" t="s">
        <v>43286</v>
      </c>
      <c r="T1081" t="s">
        <v>44817</v>
      </c>
      <c r="U1081" t="s">
        <v>46104</v>
      </c>
      <c r="W1081" t="s">
        <v>39779</v>
      </c>
      <c r="X1081" t="s">
        <v>43169</v>
      </c>
    </row>
    <row r="1082" spans="1:24">
      <c r="A1082">
        <f>HYPERLINK("https://www.philgeps.gov.ph/GEPSNONPILOT/Tender/SplashBidNoticeAbstractUI.aspx?menuIndex=3&amp;refID=7087873&amp;Result=3","7087873")</f>
        <v>0</v>
      </c>
      <c r="B1082" t="s">
        <v>476</v>
      </c>
      <c r="C1082" t="s">
        <v>4461</v>
      </c>
      <c r="D1082" t="s">
        <v>17442</v>
      </c>
      <c r="E1082" t="s">
        <v>18484</v>
      </c>
      <c r="F1082" t="s">
        <v>30052</v>
      </c>
      <c r="G1082" t="s">
        <v>30058</v>
      </c>
      <c r="H1082" t="s">
        <v>15498</v>
      </c>
      <c r="I1082" t="s">
        <v>4650</v>
      </c>
      <c r="J1082" t="s">
        <v>31003</v>
      </c>
      <c r="K1082" t="s">
        <v>39019</v>
      </c>
      <c r="M1082" t="s">
        <v>39777</v>
      </c>
      <c r="N1082" t="s">
        <v>43166</v>
      </c>
      <c r="O1082" t="s">
        <v>43167</v>
      </c>
      <c r="P1082">
        <v>0</v>
      </c>
      <c r="Q1082">
        <v>4</v>
      </c>
      <c r="R1082" t="s">
        <v>43168</v>
      </c>
      <c r="S1082" t="s">
        <v>43286</v>
      </c>
      <c r="T1082" t="s">
        <v>44818</v>
      </c>
      <c r="U1082" t="s">
        <v>46105</v>
      </c>
      <c r="W1082" t="s">
        <v>58602</v>
      </c>
      <c r="X1082" t="s">
        <v>43169</v>
      </c>
    </row>
    <row r="1083" spans="1:24">
      <c r="A1083">
        <f>HYPERLINK("https://www.philgeps.gov.ph/GEPSNONPILOT/Tender/SplashBidNoticeAbstractUI.aspx?menuIndex=3&amp;refID=7087840&amp;Result=3","7087840")</f>
        <v>0</v>
      </c>
      <c r="B1083" t="s">
        <v>56</v>
      </c>
      <c r="C1083" t="s">
        <v>4462</v>
      </c>
      <c r="D1083" t="s">
        <v>17438</v>
      </c>
      <c r="E1083" t="s">
        <v>18485</v>
      </c>
      <c r="F1083" t="s">
        <v>30052</v>
      </c>
      <c r="G1083" t="s">
        <v>30058</v>
      </c>
      <c r="H1083" t="s">
        <v>15498</v>
      </c>
      <c r="I1083" t="s">
        <v>4650</v>
      </c>
      <c r="J1083" t="s">
        <v>31004</v>
      </c>
      <c r="K1083" t="s">
        <v>39019</v>
      </c>
      <c r="M1083" t="s">
        <v>39345</v>
      </c>
      <c r="N1083" t="s">
        <v>43166</v>
      </c>
      <c r="O1083" t="s">
        <v>43167</v>
      </c>
      <c r="P1083">
        <v>0</v>
      </c>
      <c r="Q1083">
        <v>4</v>
      </c>
      <c r="R1083" t="s">
        <v>43168</v>
      </c>
      <c r="S1083" t="s">
        <v>43286</v>
      </c>
      <c r="T1083" t="s">
        <v>44819</v>
      </c>
      <c r="U1083" t="s">
        <v>46106</v>
      </c>
      <c r="V1083" t="s">
        <v>56938</v>
      </c>
      <c r="W1083" t="s">
        <v>39345</v>
      </c>
      <c r="X1083" t="s">
        <v>43169</v>
      </c>
    </row>
    <row r="1084" spans="1:24">
      <c r="A1084">
        <f>HYPERLINK("https://www.philgeps.gov.ph/GEPSNONPILOT/Tender/SplashBidNoticeAbstractUI.aspx?menuIndex=3&amp;refID=7087863&amp;Result=3","7087863")</f>
        <v>0</v>
      </c>
      <c r="B1084" t="s">
        <v>477</v>
      </c>
      <c r="C1084" t="s">
        <v>4463</v>
      </c>
      <c r="D1084" t="s">
        <v>17471</v>
      </c>
      <c r="E1084" t="s">
        <v>18486</v>
      </c>
      <c r="F1084" t="s">
        <v>30052</v>
      </c>
      <c r="G1084" t="s">
        <v>30059</v>
      </c>
      <c r="H1084" t="s">
        <v>15498</v>
      </c>
      <c r="I1084" t="s">
        <v>30074</v>
      </c>
      <c r="J1084" t="s">
        <v>30250</v>
      </c>
      <c r="K1084" t="s">
        <v>39019</v>
      </c>
      <c r="M1084" t="s">
        <v>39778</v>
      </c>
      <c r="N1084" t="s">
        <v>43166</v>
      </c>
      <c r="O1084" t="s">
        <v>43167</v>
      </c>
      <c r="P1084">
        <v>0</v>
      </c>
      <c r="Q1084">
        <v>0</v>
      </c>
      <c r="R1084" t="s">
        <v>43168</v>
      </c>
      <c r="S1084" t="s">
        <v>43286</v>
      </c>
      <c r="T1084" t="s">
        <v>44698</v>
      </c>
      <c r="U1084" t="s">
        <v>46107</v>
      </c>
      <c r="W1084" t="s">
        <v>39778</v>
      </c>
      <c r="X1084" t="s">
        <v>43169</v>
      </c>
    </row>
    <row r="1085" spans="1:24">
      <c r="A1085">
        <f>HYPERLINK("https://www.philgeps.gov.ph/GEPSNONPILOT/Tender/SplashBidNoticeAbstractUI.aspx?menuIndex=3&amp;refID=7087837&amp;Result=3","7087837")</f>
        <v>0</v>
      </c>
      <c r="B1085" t="s">
        <v>474</v>
      </c>
      <c r="C1085" t="s">
        <v>4464</v>
      </c>
      <c r="D1085" t="s">
        <v>17490</v>
      </c>
      <c r="E1085" t="s">
        <v>18487</v>
      </c>
      <c r="F1085" t="s">
        <v>30052</v>
      </c>
      <c r="G1085" t="s">
        <v>30062</v>
      </c>
      <c r="H1085" t="s">
        <v>15498</v>
      </c>
      <c r="I1085" t="s">
        <v>4119</v>
      </c>
      <c r="J1085" t="s">
        <v>31005</v>
      </c>
      <c r="K1085" t="s">
        <v>39029</v>
      </c>
      <c r="M1085" t="s">
        <v>39775</v>
      </c>
      <c r="N1085" t="s">
        <v>43166</v>
      </c>
      <c r="O1085" t="s">
        <v>43167</v>
      </c>
      <c r="P1085">
        <v>0</v>
      </c>
      <c r="Q1085">
        <v>6</v>
      </c>
      <c r="R1085" t="s">
        <v>43168</v>
      </c>
      <c r="S1085" t="s">
        <v>43286</v>
      </c>
      <c r="T1085" t="s">
        <v>44733</v>
      </c>
      <c r="U1085" t="s">
        <v>46108</v>
      </c>
      <c r="W1085" t="s">
        <v>39775</v>
      </c>
      <c r="X1085" t="s">
        <v>43169</v>
      </c>
    </row>
    <row r="1086" spans="1:24">
      <c r="A1086">
        <f>HYPERLINK("https://www.philgeps.gov.ph/GEPSNONPILOT/Tender/SplashBidNoticeAbstractUI.aspx?menuIndex=3&amp;refID=7087862&amp;Result=3","7087862")</f>
        <v>0</v>
      </c>
      <c r="B1086" t="s">
        <v>477</v>
      </c>
      <c r="C1086" t="s">
        <v>4465</v>
      </c>
      <c r="D1086" t="s">
        <v>17471</v>
      </c>
      <c r="E1086" t="s">
        <v>18488</v>
      </c>
      <c r="F1086" t="s">
        <v>30052</v>
      </c>
      <c r="G1086" t="s">
        <v>30059</v>
      </c>
      <c r="H1086" t="s">
        <v>15498</v>
      </c>
      <c r="I1086" t="s">
        <v>3736</v>
      </c>
      <c r="J1086" t="s">
        <v>31006</v>
      </c>
      <c r="K1086" t="s">
        <v>39019</v>
      </c>
      <c r="M1086" t="s">
        <v>39778</v>
      </c>
      <c r="N1086" t="s">
        <v>43166</v>
      </c>
      <c r="O1086" t="s">
        <v>43167</v>
      </c>
      <c r="P1086">
        <v>0</v>
      </c>
      <c r="Q1086">
        <v>0</v>
      </c>
      <c r="R1086" t="s">
        <v>43168</v>
      </c>
      <c r="S1086" t="s">
        <v>43286</v>
      </c>
      <c r="T1086" t="s">
        <v>44698</v>
      </c>
      <c r="U1086" t="s">
        <v>46109</v>
      </c>
      <c r="W1086" t="s">
        <v>39778</v>
      </c>
      <c r="X1086" t="s">
        <v>43169</v>
      </c>
    </row>
    <row r="1087" spans="1:24">
      <c r="A1087">
        <f>HYPERLINK("https://www.philgeps.gov.ph/GEPSNONPILOT/Tender/SplashBidNoticeAbstractUI.aspx?menuIndex=3&amp;refID=7087860&amp;Result=3","7087860")</f>
        <v>0</v>
      </c>
      <c r="B1087" t="s">
        <v>477</v>
      </c>
      <c r="C1087" t="s">
        <v>4466</v>
      </c>
      <c r="D1087" t="s">
        <v>17471</v>
      </c>
      <c r="E1087" t="s">
        <v>18489</v>
      </c>
      <c r="F1087" t="s">
        <v>30052</v>
      </c>
      <c r="G1087" t="s">
        <v>30059</v>
      </c>
      <c r="H1087" t="s">
        <v>15498</v>
      </c>
      <c r="I1087" t="s">
        <v>30094</v>
      </c>
      <c r="J1087" t="s">
        <v>31007</v>
      </c>
      <c r="K1087" t="s">
        <v>39019</v>
      </c>
      <c r="M1087" t="s">
        <v>39778</v>
      </c>
      <c r="N1087" t="s">
        <v>43166</v>
      </c>
      <c r="O1087" t="s">
        <v>43167</v>
      </c>
      <c r="P1087">
        <v>0</v>
      </c>
      <c r="Q1087">
        <v>0</v>
      </c>
      <c r="R1087" t="s">
        <v>43168</v>
      </c>
      <c r="S1087" t="s">
        <v>43286</v>
      </c>
      <c r="T1087" t="s">
        <v>44698</v>
      </c>
      <c r="U1087" t="s">
        <v>46110</v>
      </c>
      <c r="W1087" t="s">
        <v>39778</v>
      </c>
      <c r="X1087" t="s">
        <v>43169</v>
      </c>
    </row>
    <row r="1088" spans="1:24">
      <c r="A1088">
        <f>HYPERLINK("https://www.philgeps.gov.ph/GEPSNONPILOT/Tender/SplashBidNoticeAbstractUI.aspx?menuIndex=3&amp;refID=7087866&amp;Result=3","7087866")</f>
        <v>0</v>
      </c>
      <c r="B1088" t="s">
        <v>331</v>
      </c>
      <c r="C1088" t="s">
        <v>4467</v>
      </c>
      <c r="D1088" t="s">
        <v>17415</v>
      </c>
      <c r="E1088" t="s">
        <v>18490</v>
      </c>
      <c r="F1088" t="s">
        <v>30052</v>
      </c>
      <c r="G1088" t="s">
        <v>30059</v>
      </c>
      <c r="H1088" t="s">
        <v>15498</v>
      </c>
      <c r="I1088" t="s">
        <v>30070</v>
      </c>
      <c r="J1088" t="s">
        <v>31008</v>
      </c>
      <c r="K1088" t="s">
        <v>39017</v>
      </c>
      <c r="M1088" t="s">
        <v>39627</v>
      </c>
      <c r="N1088" t="s">
        <v>43166</v>
      </c>
      <c r="O1088" t="s">
        <v>43167</v>
      </c>
      <c r="P1088">
        <v>0</v>
      </c>
      <c r="Q1088">
        <v>1</v>
      </c>
      <c r="R1088" t="s">
        <v>43168</v>
      </c>
      <c r="S1088" t="s">
        <v>43286</v>
      </c>
      <c r="T1088" t="s">
        <v>44705</v>
      </c>
      <c r="U1088" t="s">
        <v>46111</v>
      </c>
      <c r="V1088" t="s">
        <v>56898</v>
      </c>
      <c r="W1088" t="s">
        <v>39627</v>
      </c>
      <c r="X1088" t="s">
        <v>43169</v>
      </c>
    </row>
    <row r="1089" spans="1:24">
      <c r="A1089">
        <f>HYPERLINK("https://www.philgeps.gov.ph/GEPSNONPILOT/Tender/SplashBidNoticeAbstractUI.aspx?menuIndex=3&amp;refID=7087859&amp;Result=3","7087859")</f>
        <v>0</v>
      </c>
      <c r="B1089" t="s">
        <v>56</v>
      </c>
      <c r="C1089" t="s">
        <v>4468</v>
      </c>
      <c r="D1089" t="s">
        <v>17438</v>
      </c>
      <c r="E1089" t="s">
        <v>18491</v>
      </c>
      <c r="F1089" t="s">
        <v>30052</v>
      </c>
      <c r="G1089" t="s">
        <v>30059</v>
      </c>
      <c r="H1089" t="s">
        <v>15498</v>
      </c>
      <c r="I1089" t="s">
        <v>30139</v>
      </c>
      <c r="J1089" t="s">
        <v>30248</v>
      </c>
      <c r="K1089" t="s">
        <v>39019</v>
      </c>
      <c r="M1089" t="s">
        <v>39345</v>
      </c>
      <c r="N1089" t="s">
        <v>43166</v>
      </c>
      <c r="O1089" t="s">
        <v>43167</v>
      </c>
      <c r="P1089">
        <v>0</v>
      </c>
      <c r="Q1089">
        <v>3</v>
      </c>
      <c r="R1089" t="s">
        <v>43168</v>
      </c>
      <c r="S1089" t="s">
        <v>43286</v>
      </c>
      <c r="T1089" t="s">
        <v>44708</v>
      </c>
      <c r="U1089" t="s">
        <v>45281</v>
      </c>
      <c r="V1089" t="s">
        <v>56817</v>
      </c>
      <c r="W1089" t="s">
        <v>39345</v>
      </c>
      <c r="X1089" t="s">
        <v>43169</v>
      </c>
    </row>
    <row r="1090" spans="1:24">
      <c r="A1090">
        <f>HYPERLINK("https://www.philgeps.gov.ph/GEPSNONPILOT/Tender/SplashBidNoticeAbstractUI.aspx?menuIndex=3&amp;refID=7087857&amp;Result=3","7087857")</f>
        <v>0</v>
      </c>
      <c r="B1090" t="s">
        <v>56</v>
      </c>
      <c r="C1090" t="s">
        <v>4469</v>
      </c>
      <c r="D1090" t="s">
        <v>17438</v>
      </c>
      <c r="E1090" t="s">
        <v>18492</v>
      </c>
      <c r="F1090" t="s">
        <v>30052</v>
      </c>
      <c r="G1090" t="s">
        <v>30059</v>
      </c>
      <c r="H1090" t="s">
        <v>15498</v>
      </c>
      <c r="I1090" t="s">
        <v>30117</v>
      </c>
      <c r="J1090" t="s">
        <v>31009</v>
      </c>
      <c r="K1090" t="s">
        <v>39019</v>
      </c>
      <c r="M1090" t="s">
        <v>39345</v>
      </c>
      <c r="N1090" t="s">
        <v>43166</v>
      </c>
      <c r="O1090" t="s">
        <v>43167</v>
      </c>
      <c r="P1090">
        <v>0</v>
      </c>
      <c r="Q1090">
        <v>0</v>
      </c>
      <c r="R1090" t="s">
        <v>43168</v>
      </c>
      <c r="S1090" t="s">
        <v>43286</v>
      </c>
      <c r="T1090" t="s">
        <v>44708</v>
      </c>
      <c r="U1090" t="s">
        <v>45281</v>
      </c>
      <c r="V1090" t="s">
        <v>56817</v>
      </c>
      <c r="W1090" t="s">
        <v>39345</v>
      </c>
      <c r="X1090" t="s">
        <v>43169</v>
      </c>
    </row>
    <row r="1091" spans="1:24">
      <c r="A1091">
        <f>HYPERLINK("https://www.philgeps.gov.ph/GEPSNONPILOT/Tender/SplashBidNoticeAbstractUI.aspx?menuIndex=3&amp;refID=7087861&amp;Result=3","7087861")</f>
        <v>0</v>
      </c>
      <c r="B1091" t="s">
        <v>56</v>
      </c>
      <c r="C1091" t="s">
        <v>4470</v>
      </c>
      <c r="D1091" t="s">
        <v>17438</v>
      </c>
      <c r="E1091" t="s">
        <v>18493</v>
      </c>
      <c r="F1091" t="s">
        <v>30052</v>
      </c>
      <c r="G1091" t="s">
        <v>30059</v>
      </c>
      <c r="H1091" t="s">
        <v>15498</v>
      </c>
      <c r="I1091" t="s">
        <v>30084</v>
      </c>
      <c r="J1091" t="s">
        <v>30256</v>
      </c>
      <c r="K1091" t="s">
        <v>39019</v>
      </c>
      <c r="M1091" t="s">
        <v>39345</v>
      </c>
      <c r="N1091" t="s">
        <v>43166</v>
      </c>
      <c r="O1091" t="s">
        <v>43167</v>
      </c>
      <c r="P1091">
        <v>0</v>
      </c>
      <c r="Q1091">
        <v>2</v>
      </c>
      <c r="R1091" t="s">
        <v>43168</v>
      </c>
      <c r="S1091" t="s">
        <v>43286</v>
      </c>
      <c r="T1091" t="s">
        <v>44708</v>
      </c>
      <c r="U1091" t="s">
        <v>45281</v>
      </c>
      <c r="V1091" t="s">
        <v>56817</v>
      </c>
      <c r="W1091" t="s">
        <v>39345</v>
      </c>
      <c r="X1091" t="s">
        <v>43169</v>
      </c>
    </row>
    <row r="1092" spans="1:24">
      <c r="A1092">
        <f>HYPERLINK("https://www.philgeps.gov.ph/GEPSNONPILOT/Tender/SplashBidNoticeAbstractUI.aspx?menuIndex=3&amp;refID=7087865&amp;Result=3","7087865")</f>
        <v>0</v>
      </c>
      <c r="B1092" t="s">
        <v>477</v>
      </c>
      <c r="C1092" t="s">
        <v>4466</v>
      </c>
      <c r="D1092" t="s">
        <v>17471</v>
      </c>
      <c r="E1092" t="s">
        <v>18494</v>
      </c>
      <c r="F1092" t="s">
        <v>30052</v>
      </c>
      <c r="G1092" t="s">
        <v>30059</v>
      </c>
      <c r="H1092" t="s">
        <v>15498</v>
      </c>
      <c r="I1092" t="s">
        <v>30094</v>
      </c>
      <c r="J1092" t="s">
        <v>31010</v>
      </c>
      <c r="K1092" t="s">
        <v>39019</v>
      </c>
      <c r="M1092" t="s">
        <v>39778</v>
      </c>
      <c r="N1092" t="s">
        <v>43166</v>
      </c>
      <c r="O1092" t="s">
        <v>43167</v>
      </c>
      <c r="P1092">
        <v>0</v>
      </c>
      <c r="Q1092">
        <v>1</v>
      </c>
      <c r="R1092" t="s">
        <v>43168</v>
      </c>
      <c r="S1092" t="s">
        <v>43286</v>
      </c>
      <c r="T1092" t="s">
        <v>44698</v>
      </c>
      <c r="U1092" t="s">
        <v>46112</v>
      </c>
      <c r="W1092" t="s">
        <v>39778</v>
      </c>
      <c r="X1092" t="s">
        <v>43169</v>
      </c>
    </row>
    <row r="1093" spans="1:24">
      <c r="A1093">
        <f>HYPERLINK("https://www.philgeps.gov.ph/GEPSNONPILOT/Tender/SplashBidNoticeAbstractUI.aspx?menuIndex=3&amp;refID=7087855&amp;Result=3","7087855")</f>
        <v>0</v>
      </c>
      <c r="B1093" t="s">
        <v>472</v>
      </c>
      <c r="C1093" t="s">
        <v>4471</v>
      </c>
      <c r="D1093" t="s">
        <v>17455</v>
      </c>
      <c r="E1093" t="s">
        <v>18495</v>
      </c>
      <c r="F1093" t="s">
        <v>30052</v>
      </c>
      <c r="G1093" t="s">
        <v>30059</v>
      </c>
      <c r="H1093" t="s">
        <v>15498</v>
      </c>
      <c r="I1093" t="s">
        <v>30071</v>
      </c>
      <c r="J1093" t="s">
        <v>31011</v>
      </c>
      <c r="K1093" t="s">
        <v>39018</v>
      </c>
      <c r="M1093" t="s">
        <v>39773</v>
      </c>
      <c r="N1093" t="s">
        <v>43166</v>
      </c>
      <c r="O1093" t="s">
        <v>43167</v>
      </c>
      <c r="P1093">
        <v>0</v>
      </c>
      <c r="Q1093">
        <v>0</v>
      </c>
      <c r="R1093" t="s">
        <v>43168</v>
      </c>
      <c r="S1093" t="s">
        <v>43286</v>
      </c>
      <c r="T1093" t="s">
        <v>44737</v>
      </c>
      <c r="U1093" t="s">
        <v>46113</v>
      </c>
      <c r="W1093" t="s">
        <v>39773</v>
      </c>
      <c r="X1093" t="s">
        <v>43169</v>
      </c>
    </row>
    <row r="1094" spans="1:24">
      <c r="A1094">
        <f>HYPERLINK("https://www.philgeps.gov.ph/GEPSNONPILOT/Tender/SplashBidNoticeAbstractUI.aspx?menuIndex=3&amp;refID=7087858&amp;Result=3","7087858")</f>
        <v>0</v>
      </c>
      <c r="B1094" t="s">
        <v>479</v>
      </c>
      <c r="C1094" t="s">
        <v>4472</v>
      </c>
      <c r="D1094" t="s">
        <v>17466</v>
      </c>
      <c r="E1094" t="s">
        <v>18496</v>
      </c>
      <c r="F1094" t="s">
        <v>30052</v>
      </c>
      <c r="G1094" t="s">
        <v>30058</v>
      </c>
      <c r="H1094" t="s">
        <v>15498</v>
      </c>
      <c r="I1094" t="s">
        <v>30145</v>
      </c>
      <c r="J1094" t="s">
        <v>31012</v>
      </c>
      <c r="K1094" t="s">
        <v>39071</v>
      </c>
      <c r="M1094" t="s">
        <v>39780</v>
      </c>
      <c r="N1094" t="s">
        <v>43166</v>
      </c>
      <c r="O1094" t="s">
        <v>43167</v>
      </c>
      <c r="P1094">
        <v>0</v>
      </c>
      <c r="Q1094">
        <v>0</v>
      </c>
      <c r="R1094" t="s">
        <v>43168</v>
      </c>
      <c r="S1094" t="s">
        <v>43286</v>
      </c>
      <c r="T1094" t="s">
        <v>44820</v>
      </c>
      <c r="U1094" t="s">
        <v>46114</v>
      </c>
      <c r="W1094" t="s">
        <v>39780</v>
      </c>
      <c r="X1094" t="s">
        <v>43169</v>
      </c>
    </row>
    <row r="1095" spans="1:24">
      <c r="A1095">
        <f>HYPERLINK("https://www.philgeps.gov.ph/GEPSNONPILOT/Tender/SplashBidNoticeAbstractUI.aspx?menuIndex=3&amp;refID=7087835&amp;Result=3","7087835")</f>
        <v>0</v>
      </c>
      <c r="B1095" t="s">
        <v>480</v>
      </c>
      <c r="C1095" t="s">
        <v>4473</v>
      </c>
      <c r="D1095" t="s">
        <v>17415</v>
      </c>
      <c r="E1095" t="s">
        <v>17715</v>
      </c>
      <c r="F1095" t="s">
        <v>30052</v>
      </c>
      <c r="G1095" t="s">
        <v>30059</v>
      </c>
      <c r="H1095" t="s">
        <v>15498</v>
      </c>
      <c r="I1095" t="s">
        <v>3852</v>
      </c>
      <c r="J1095" t="s">
        <v>31013</v>
      </c>
      <c r="K1095" t="s">
        <v>39036</v>
      </c>
      <c r="M1095" t="s">
        <v>39781</v>
      </c>
      <c r="N1095" t="s">
        <v>43166</v>
      </c>
      <c r="O1095" t="s">
        <v>43167</v>
      </c>
      <c r="P1095">
        <v>0</v>
      </c>
      <c r="Q1095">
        <v>3</v>
      </c>
      <c r="R1095" t="s">
        <v>43168</v>
      </c>
      <c r="S1095" t="s">
        <v>43286</v>
      </c>
      <c r="T1095" t="s">
        <v>44718</v>
      </c>
      <c r="U1095" t="s">
        <v>46115</v>
      </c>
      <c r="V1095" t="s">
        <v>56940</v>
      </c>
      <c r="W1095" t="s">
        <v>39781</v>
      </c>
      <c r="X1095" t="s">
        <v>43169</v>
      </c>
    </row>
    <row r="1096" spans="1:24">
      <c r="A1096">
        <f>HYPERLINK("https://www.philgeps.gov.ph/GEPSNONPILOT/Tender/SplashBidNoticeAbstractUI.aspx?menuIndex=3&amp;refID=7087833&amp;Result=3","7087833")</f>
        <v>0</v>
      </c>
      <c r="B1096" t="s">
        <v>455</v>
      </c>
      <c r="C1096" t="s">
        <v>4474</v>
      </c>
      <c r="D1096" t="s">
        <v>17415</v>
      </c>
      <c r="E1096" t="s">
        <v>18497</v>
      </c>
      <c r="F1096" t="s">
        <v>30052</v>
      </c>
      <c r="G1096" t="s">
        <v>30059</v>
      </c>
      <c r="H1096" t="s">
        <v>15498</v>
      </c>
      <c r="I1096" t="s">
        <v>30084</v>
      </c>
      <c r="J1096" t="s">
        <v>31014</v>
      </c>
      <c r="K1096" t="s">
        <v>39025</v>
      </c>
      <c r="M1096" t="s">
        <v>39755</v>
      </c>
      <c r="N1096" t="s">
        <v>43166</v>
      </c>
      <c r="O1096" t="s">
        <v>43167</v>
      </c>
      <c r="P1096">
        <v>0</v>
      </c>
      <c r="Q1096">
        <v>0</v>
      </c>
      <c r="R1096" t="s">
        <v>43168</v>
      </c>
      <c r="S1096" t="s">
        <v>43286</v>
      </c>
      <c r="T1096" t="s">
        <v>44691</v>
      </c>
      <c r="U1096" t="s">
        <v>46116</v>
      </c>
      <c r="W1096" t="s">
        <v>39755</v>
      </c>
      <c r="X1096" t="s">
        <v>43169</v>
      </c>
    </row>
    <row r="1097" spans="1:24">
      <c r="A1097">
        <f>HYPERLINK("https://www.philgeps.gov.ph/GEPSNONPILOT/Tender/SplashBidNoticeAbstractUI.aspx?menuIndex=3&amp;refID=7087834&amp;Result=3","7087834")</f>
        <v>0</v>
      </c>
      <c r="B1097" t="s">
        <v>56</v>
      </c>
      <c r="C1097" t="s">
        <v>4475</v>
      </c>
      <c r="D1097" t="s">
        <v>17438</v>
      </c>
      <c r="E1097" t="s">
        <v>18498</v>
      </c>
      <c r="F1097" t="s">
        <v>30052</v>
      </c>
      <c r="G1097" t="s">
        <v>30058</v>
      </c>
      <c r="H1097" t="s">
        <v>15498</v>
      </c>
      <c r="I1097" t="s">
        <v>30111</v>
      </c>
      <c r="J1097" t="s">
        <v>31015</v>
      </c>
      <c r="K1097" t="s">
        <v>39029</v>
      </c>
      <c r="M1097" t="s">
        <v>39345</v>
      </c>
      <c r="N1097" t="s">
        <v>43166</v>
      </c>
      <c r="O1097" t="s">
        <v>43167</v>
      </c>
      <c r="P1097">
        <v>0</v>
      </c>
      <c r="Q1097">
        <v>3</v>
      </c>
      <c r="R1097" t="s">
        <v>43168</v>
      </c>
      <c r="S1097" t="s">
        <v>43286</v>
      </c>
      <c r="T1097" t="s">
        <v>44821</v>
      </c>
      <c r="U1097" t="s">
        <v>46117</v>
      </c>
      <c r="V1097" t="s">
        <v>56938</v>
      </c>
      <c r="W1097" t="s">
        <v>39345</v>
      </c>
      <c r="X1097" t="s">
        <v>43169</v>
      </c>
    </row>
    <row r="1098" spans="1:24">
      <c r="A1098">
        <f>HYPERLINK("https://www.philgeps.gov.ph/GEPSNONPILOT/Tender/SplashBidNoticeAbstractUI.aspx?menuIndex=3&amp;refID=7087864&amp;Result=3","7087864")</f>
        <v>0</v>
      </c>
      <c r="B1098" t="s">
        <v>474</v>
      </c>
      <c r="C1098" t="s">
        <v>4476</v>
      </c>
      <c r="D1098" t="s">
        <v>17490</v>
      </c>
      <c r="E1098" t="s">
        <v>18499</v>
      </c>
      <c r="F1098" t="s">
        <v>30052</v>
      </c>
      <c r="G1098" t="s">
        <v>30062</v>
      </c>
      <c r="H1098" t="s">
        <v>15498</v>
      </c>
      <c r="I1098" t="s">
        <v>30097</v>
      </c>
      <c r="J1098" t="s">
        <v>31016</v>
      </c>
      <c r="K1098" t="s">
        <v>39029</v>
      </c>
      <c r="M1098" t="s">
        <v>39775</v>
      </c>
      <c r="N1098" t="s">
        <v>43166</v>
      </c>
      <c r="O1098" t="s">
        <v>43167</v>
      </c>
      <c r="P1098">
        <v>0</v>
      </c>
      <c r="Q1098">
        <v>6</v>
      </c>
      <c r="R1098" t="s">
        <v>43168</v>
      </c>
      <c r="S1098" t="s">
        <v>43286</v>
      </c>
      <c r="T1098" t="s">
        <v>44679</v>
      </c>
      <c r="U1098" t="s">
        <v>46118</v>
      </c>
      <c r="W1098" t="s">
        <v>39775</v>
      </c>
      <c r="X1098" t="s">
        <v>43169</v>
      </c>
    </row>
    <row r="1099" spans="1:24">
      <c r="A1099">
        <f>HYPERLINK("https://www.philgeps.gov.ph/GEPSNONPILOT/Tender/SplashBidNoticeAbstractUI.aspx?menuIndex=3&amp;refID=7087891&amp;Result=3","7087891")</f>
        <v>0</v>
      </c>
      <c r="B1099" t="s">
        <v>481</v>
      </c>
      <c r="C1099" t="s">
        <v>4477</v>
      </c>
      <c r="D1099" t="s">
        <v>17427</v>
      </c>
      <c r="E1099" t="s">
        <v>17704</v>
      </c>
      <c r="F1099" t="s">
        <v>30052</v>
      </c>
      <c r="G1099" t="s">
        <v>30058</v>
      </c>
      <c r="H1099" t="s">
        <v>30067</v>
      </c>
      <c r="I1099" t="s">
        <v>3693</v>
      </c>
      <c r="J1099" t="s">
        <v>30209</v>
      </c>
      <c r="K1099" t="s">
        <v>39046</v>
      </c>
      <c r="M1099" t="s">
        <v>39782</v>
      </c>
      <c r="N1099" t="s">
        <v>43166</v>
      </c>
      <c r="O1099" t="s">
        <v>43167</v>
      </c>
      <c r="P1099">
        <v>0</v>
      </c>
      <c r="Q1099">
        <v>0</v>
      </c>
      <c r="R1099" t="s">
        <v>43168</v>
      </c>
      <c r="S1099" t="s">
        <v>43286</v>
      </c>
      <c r="T1099" t="s">
        <v>44712</v>
      </c>
      <c r="U1099" t="s">
        <v>46119</v>
      </c>
      <c r="V1099" t="s">
        <v>56941</v>
      </c>
      <c r="W1099" t="s">
        <v>39782</v>
      </c>
      <c r="X1099" t="s">
        <v>43169</v>
      </c>
    </row>
    <row r="1100" spans="1:24">
      <c r="A1100">
        <f>HYPERLINK("https://www.philgeps.gov.ph/GEPSNONPILOT/Tender/SplashBidNoticeAbstractUI.aspx?menuIndex=3&amp;refID=7087856&amp;Result=3","7087856")</f>
        <v>0</v>
      </c>
      <c r="B1100" t="s">
        <v>477</v>
      </c>
      <c r="C1100" t="s">
        <v>4478</v>
      </c>
      <c r="D1100" t="s">
        <v>17471</v>
      </c>
      <c r="E1100" t="s">
        <v>18500</v>
      </c>
      <c r="F1100" t="s">
        <v>30052</v>
      </c>
      <c r="G1100" t="s">
        <v>30059</v>
      </c>
      <c r="H1100" t="s">
        <v>15498</v>
      </c>
      <c r="I1100" t="s">
        <v>30084</v>
      </c>
      <c r="J1100" t="s">
        <v>30402</v>
      </c>
      <c r="K1100" t="s">
        <v>39019</v>
      </c>
      <c r="M1100" t="s">
        <v>39778</v>
      </c>
      <c r="N1100" t="s">
        <v>43166</v>
      </c>
      <c r="O1100" t="s">
        <v>43167</v>
      </c>
      <c r="P1100">
        <v>0</v>
      </c>
      <c r="Q1100">
        <v>4</v>
      </c>
      <c r="R1100" t="s">
        <v>43168</v>
      </c>
      <c r="S1100" t="s">
        <v>43286</v>
      </c>
      <c r="T1100" t="s">
        <v>44698</v>
      </c>
      <c r="U1100" t="s">
        <v>46120</v>
      </c>
      <c r="W1100" t="s">
        <v>39778</v>
      </c>
      <c r="X1100" t="s">
        <v>43169</v>
      </c>
    </row>
    <row r="1101" spans="1:24">
      <c r="A1101">
        <f>HYPERLINK("https://www.philgeps.gov.ph/GEPSNONPILOT/Tender/SplashBidNoticeAbstractUI.aspx?menuIndex=3&amp;refID=7087872&amp;Result=3","7087872")</f>
        <v>0</v>
      </c>
      <c r="B1101" t="s">
        <v>56</v>
      </c>
      <c r="C1101" t="s">
        <v>4479</v>
      </c>
      <c r="D1101" t="s">
        <v>17438</v>
      </c>
      <c r="E1101" t="s">
        <v>18501</v>
      </c>
      <c r="F1101" t="s">
        <v>30052</v>
      </c>
      <c r="G1101" t="s">
        <v>30061</v>
      </c>
      <c r="H1101" t="s">
        <v>15498</v>
      </c>
      <c r="I1101" t="s">
        <v>4119</v>
      </c>
      <c r="J1101" t="s">
        <v>31017</v>
      </c>
      <c r="K1101" t="s">
        <v>39017</v>
      </c>
      <c r="M1101" t="s">
        <v>39345</v>
      </c>
      <c r="N1101" t="s">
        <v>43166</v>
      </c>
      <c r="O1101" t="s">
        <v>43167</v>
      </c>
      <c r="P1101">
        <v>0</v>
      </c>
      <c r="Q1101">
        <v>1</v>
      </c>
      <c r="R1101" t="s">
        <v>43168</v>
      </c>
      <c r="S1101" t="s">
        <v>43286</v>
      </c>
      <c r="T1101" t="s">
        <v>44708</v>
      </c>
      <c r="U1101" t="s">
        <v>45281</v>
      </c>
      <c r="V1101" t="s">
        <v>56817</v>
      </c>
      <c r="W1101" t="s">
        <v>39345</v>
      </c>
      <c r="X1101" t="s">
        <v>43169</v>
      </c>
    </row>
    <row r="1102" spans="1:24">
      <c r="A1102">
        <f>HYPERLINK("https://www.philgeps.gov.ph/GEPSNONPILOT/Tender/SplashBidNoticeAbstractUI.aspx?menuIndex=3&amp;refID=7087890&amp;Result=3","7087890")</f>
        <v>0</v>
      </c>
      <c r="B1102" t="s">
        <v>482</v>
      </c>
      <c r="C1102" t="s">
        <v>4480</v>
      </c>
      <c r="D1102" t="s">
        <v>17447</v>
      </c>
      <c r="E1102" t="s">
        <v>18502</v>
      </c>
      <c r="F1102" t="s">
        <v>30052</v>
      </c>
      <c r="G1102" t="s">
        <v>30061</v>
      </c>
      <c r="H1102" t="s">
        <v>15498</v>
      </c>
      <c r="I1102" t="s">
        <v>30081</v>
      </c>
      <c r="J1102" t="s">
        <v>31018</v>
      </c>
      <c r="K1102" t="s">
        <v>39034</v>
      </c>
      <c r="M1102" t="s">
        <v>39783</v>
      </c>
      <c r="N1102" t="s">
        <v>43166</v>
      </c>
      <c r="O1102" t="s">
        <v>43167</v>
      </c>
      <c r="P1102">
        <v>0</v>
      </c>
      <c r="Q1102">
        <v>0</v>
      </c>
      <c r="R1102" t="s">
        <v>43168</v>
      </c>
      <c r="S1102" t="s">
        <v>43286</v>
      </c>
      <c r="T1102" t="s">
        <v>44822</v>
      </c>
      <c r="U1102" t="s">
        <v>46121</v>
      </c>
      <c r="W1102" t="s">
        <v>39783</v>
      </c>
      <c r="X1102" t="s">
        <v>43169</v>
      </c>
    </row>
    <row r="1103" spans="1:24">
      <c r="A1103">
        <f>HYPERLINK("https://www.philgeps.gov.ph/GEPSNONPILOT/Tender/SplashBidNoticeAbstractUI.aspx?menuIndex=3&amp;refID=7087885&amp;Result=3","7087885")</f>
        <v>0</v>
      </c>
      <c r="B1103" t="s">
        <v>483</v>
      </c>
      <c r="C1103" t="s">
        <v>4481</v>
      </c>
      <c r="D1103" t="s">
        <v>17489</v>
      </c>
      <c r="E1103" t="s">
        <v>18503</v>
      </c>
      <c r="F1103" t="s">
        <v>30052</v>
      </c>
      <c r="G1103" t="s">
        <v>30061</v>
      </c>
      <c r="H1103" t="s">
        <v>15498</v>
      </c>
      <c r="I1103" t="s">
        <v>30081</v>
      </c>
      <c r="J1103" t="s">
        <v>30248</v>
      </c>
      <c r="K1103" t="s">
        <v>39017</v>
      </c>
      <c r="M1103" t="s">
        <v>39784</v>
      </c>
      <c r="N1103" t="s">
        <v>43166</v>
      </c>
      <c r="O1103" t="s">
        <v>43167</v>
      </c>
      <c r="P1103">
        <v>0</v>
      </c>
      <c r="Q1103">
        <v>0</v>
      </c>
      <c r="R1103" t="s">
        <v>43168</v>
      </c>
      <c r="S1103" t="s">
        <v>43286</v>
      </c>
      <c r="T1103" t="s">
        <v>44823</v>
      </c>
      <c r="U1103" t="s">
        <v>46122</v>
      </c>
      <c r="W1103" t="s">
        <v>39784</v>
      </c>
      <c r="X1103" t="s">
        <v>43169</v>
      </c>
    </row>
    <row r="1104" spans="1:24">
      <c r="A1104">
        <f>HYPERLINK("https://www.philgeps.gov.ph/GEPSNONPILOT/Tender/SplashBidNoticeAbstractUI.aspx?menuIndex=3&amp;refID=7087853&amp;Result=3","7087853")</f>
        <v>0</v>
      </c>
      <c r="B1104" t="s">
        <v>56</v>
      </c>
      <c r="C1104" t="s">
        <v>4482</v>
      </c>
      <c r="D1104" t="s">
        <v>17438</v>
      </c>
      <c r="E1104" t="s">
        <v>18504</v>
      </c>
      <c r="F1104" t="s">
        <v>30052</v>
      </c>
      <c r="G1104" t="s">
        <v>30061</v>
      </c>
      <c r="H1104" t="s">
        <v>15498</v>
      </c>
      <c r="I1104" t="s">
        <v>4119</v>
      </c>
      <c r="J1104" t="s">
        <v>31019</v>
      </c>
      <c r="K1104" t="s">
        <v>39019</v>
      </c>
      <c r="M1104" t="s">
        <v>39345</v>
      </c>
      <c r="N1104" t="s">
        <v>43166</v>
      </c>
      <c r="O1104" t="s">
        <v>43167</v>
      </c>
      <c r="P1104">
        <v>0</v>
      </c>
      <c r="Q1104">
        <v>2</v>
      </c>
      <c r="R1104" t="s">
        <v>43168</v>
      </c>
      <c r="S1104" t="s">
        <v>43286</v>
      </c>
      <c r="T1104" t="s">
        <v>44708</v>
      </c>
      <c r="U1104" t="s">
        <v>45281</v>
      </c>
      <c r="V1104" t="s">
        <v>56817</v>
      </c>
      <c r="W1104" t="s">
        <v>39345</v>
      </c>
      <c r="X1104" t="s">
        <v>43169</v>
      </c>
    </row>
    <row r="1105" spans="1:24">
      <c r="A1105">
        <f>HYPERLINK("https://www.philgeps.gov.ph/GEPSNONPILOT/Tender/SplashBidNoticeAbstractUI.aspx?menuIndex=3&amp;refID=7087892&amp;Result=3","7087892")</f>
        <v>0</v>
      </c>
      <c r="B1105" t="s">
        <v>484</v>
      </c>
      <c r="C1105" t="s">
        <v>4483</v>
      </c>
      <c r="D1105" t="s">
        <v>17439</v>
      </c>
      <c r="E1105" t="s">
        <v>18505</v>
      </c>
      <c r="F1105" t="s">
        <v>30052</v>
      </c>
      <c r="G1105" t="s">
        <v>30058</v>
      </c>
      <c r="H1105" t="s">
        <v>15498</v>
      </c>
      <c r="I1105" t="s">
        <v>3606</v>
      </c>
      <c r="J1105" t="s">
        <v>31020</v>
      </c>
      <c r="K1105" t="s">
        <v>39017</v>
      </c>
      <c r="M1105" t="s">
        <v>39785</v>
      </c>
      <c r="N1105" t="s">
        <v>43166</v>
      </c>
      <c r="O1105" t="s">
        <v>43167</v>
      </c>
      <c r="P1105">
        <v>0</v>
      </c>
      <c r="Q1105">
        <v>5</v>
      </c>
      <c r="R1105" t="s">
        <v>43168</v>
      </c>
      <c r="S1105" t="s">
        <v>43286</v>
      </c>
      <c r="T1105" t="s">
        <v>44684</v>
      </c>
      <c r="U1105" t="s">
        <v>46123</v>
      </c>
      <c r="W1105" t="s">
        <v>39785</v>
      </c>
      <c r="X1105" t="s">
        <v>43169</v>
      </c>
    </row>
    <row r="1106" spans="1:24">
      <c r="A1106">
        <f>HYPERLINK("https://www.philgeps.gov.ph/GEPSNONPILOT/Tender/SplashBidNoticeAbstractUI.aspx?menuIndex=3&amp;refID=7087882&amp;Result=3","7087882")</f>
        <v>0</v>
      </c>
      <c r="B1106" t="s">
        <v>485</v>
      </c>
      <c r="C1106" t="s">
        <v>4484</v>
      </c>
      <c r="D1106" t="s">
        <v>17415</v>
      </c>
      <c r="E1106" t="s">
        <v>18506</v>
      </c>
      <c r="F1106" t="s">
        <v>30052</v>
      </c>
      <c r="G1106" t="s">
        <v>30059</v>
      </c>
      <c r="H1106" t="s">
        <v>15498</v>
      </c>
      <c r="I1106" t="s">
        <v>8323</v>
      </c>
      <c r="J1106" t="s">
        <v>31021</v>
      </c>
      <c r="K1106" t="s">
        <v>39017</v>
      </c>
      <c r="M1106" t="s">
        <v>39786</v>
      </c>
      <c r="N1106" t="s">
        <v>43166</v>
      </c>
      <c r="O1106" t="s">
        <v>43167</v>
      </c>
      <c r="P1106">
        <v>0</v>
      </c>
      <c r="Q1106">
        <v>11</v>
      </c>
      <c r="R1106" t="s">
        <v>43168</v>
      </c>
      <c r="S1106" t="s">
        <v>43286</v>
      </c>
      <c r="T1106" t="s">
        <v>44720</v>
      </c>
      <c r="U1106" t="s">
        <v>46124</v>
      </c>
      <c r="W1106" t="s">
        <v>39786</v>
      </c>
      <c r="X1106" t="s">
        <v>43169</v>
      </c>
    </row>
    <row r="1107" spans="1:24">
      <c r="A1107">
        <f>HYPERLINK("https://www.philgeps.gov.ph/GEPSNONPILOT/Tender/SplashBidNoticeAbstractUI.aspx?menuIndex=3&amp;refID=7087887&amp;Result=3","7087887")</f>
        <v>0</v>
      </c>
      <c r="B1107" t="s">
        <v>486</v>
      </c>
      <c r="C1107" t="s">
        <v>4485</v>
      </c>
      <c r="D1107" t="s">
        <v>17427</v>
      </c>
      <c r="E1107" t="s">
        <v>17704</v>
      </c>
      <c r="F1107" t="s">
        <v>30052</v>
      </c>
      <c r="G1107" t="s">
        <v>30058</v>
      </c>
      <c r="H1107" t="s">
        <v>30067</v>
      </c>
      <c r="I1107" t="s">
        <v>3693</v>
      </c>
      <c r="J1107" t="s">
        <v>30230</v>
      </c>
      <c r="K1107" t="s">
        <v>39046</v>
      </c>
      <c r="M1107" t="s">
        <v>39787</v>
      </c>
      <c r="N1107" t="s">
        <v>43166</v>
      </c>
      <c r="O1107" t="s">
        <v>43167</v>
      </c>
      <c r="P1107">
        <v>0</v>
      </c>
      <c r="Q1107">
        <v>0</v>
      </c>
      <c r="R1107" t="s">
        <v>43168</v>
      </c>
      <c r="S1107" t="s">
        <v>43286</v>
      </c>
      <c r="T1107" t="s">
        <v>44724</v>
      </c>
      <c r="U1107" t="s">
        <v>46125</v>
      </c>
      <c r="V1107" t="s">
        <v>56941</v>
      </c>
      <c r="W1107" t="s">
        <v>39787</v>
      </c>
      <c r="X1107" t="s">
        <v>43169</v>
      </c>
    </row>
    <row r="1108" spans="1:24">
      <c r="A1108">
        <f>HYPERLINK("https://www.philgeps.gov.ph/GEPSNONPILOT/Tender/SplashBidNoticeAbstractUI.aspx?menuIndex=3&amp;refID=7087881&amp;Result=3","7087881")</f>
        <v>0</v>
      </c>
      <c r="B1108" t="s">
        <v>476</v>
      </c>
      <c r="C1108" t="s">
        <v>4486</v>
      </c>
      <c r="D1108" t="s">
        <v>17442</v>
      </c>
      <c r="E1108" t="s">
        <v>18507</v>
      </c>
      <c r="F1108" t="s">
        <v>30052</v>
      </c>
      <c r="G1108" t="s">
        <v>30058</v>
      </c>
      <c r="H1108" t="s">
        <v>15498</v>
      </c>
      <c r="I1108" t="s">
        <v>30088</v>
      </c>
      <c r="J1108" t="s">
        <v>31022</v>
      </c>
      <c r="K1108" t="s">
        <v>39019</v>
      </c>
      <c r="M1108" t="s">
        <v>39777</v>
      </c>
      <c r="N1108" t="s">
        <v>43166</v>
      </c>
      <c r="O1108" t="s">
        <v>43167</v>
      </c>
      <c r="P1108">
        <v>0</v>
      </c>
      <c r="Q1108">
        <v>17</v>
      </c>
      <c r="R1108" t="s">
        <v>43168</v>
      </c>
      <c r="S1108" t="s">
        <v>43286</v>
      </c>
      <c r="T1108" t="s">
        <v>44701</v>
      </c>
      <c r="U1108" t="s">
        <v>46126</v>
      </c>
      <c r="W1108" t="s">
        <v>58602</v>
      </c>
      <c r="X1108" t="s">
        <v>43169</v>
      </c>
    </row>
    <row r="1109" spans="1:24">
      <c r="A1109">
        <f>HYPERLINK("https://www.philgeps.gov.ph/GEPSNONPILOT/Tender/SplashBidNoticeAbstractUI.aspx?menuIndex=3&amp;refID=7087899&amp;Result=3","7087899")</f>
        <v>0</v>
      </c>
      <c r="B1109" t="s">
        <v>487</v>
      </c>
      <c r="C1109" t="s">
        <v>4487</v>
      </c>
      <c r="D1109" t="s">
        <v>17449</v>
      </c>
      <c r="E1109" t="s">
        <v>18508</v>
      </c>
      <c r="F1109" t="s">
        <v>30052</v>
      </c>
      <c r="G1109" t="s">
        <v>30058</v>
      </c>
      <c r="H1109" t="s">
        <v>15498</v>
      </c>
      <c r="I1109" t="s">
        <v>30100</v>
      </c>
      <c r="J1109" t="s">
        <v>30494</v>
      </c>
      <c r="K1109" t="s">
        <v>39031</v>
      </c>
      <c r="M1109" t="s">
        <v>39788</v>
      </c>
      <c r="N1109" t="s">
        <v>43166</v>
      </c>
      <c r="O1109" t="s">
        <v>43167</v>
      </c>
      <c r="P1109">
        <v>0</v>
      </c>
      <c r="Q1109">
        <v>3</v>
      </c>
      <c r="R1109" t="s">
        <v>43168</v>
      </c>
      <c r="S1109" t="s">
        <v>43286</v>
      </c>
      <c r="T1109" t="s">
        <v>44726</v>
      </c>
      <c r="U1109" t="s">
        <v>46127</v>
      </c>
      <c r="V1109" t="s">
        <v>56942</v>
      </c>
      <c r="W1109" t="s">
        <v>39788</v>
      </c>
      <c r="X1109" t="s">
        <v>43169</v>
      </c>
    </row>
    <row r="1110" spans="1:24">
      <c r="A1110">
        <f>HYPERLINK("https://www.philgeps.gov.ph/GEPSNONPILOT/Tender/SplashBidNoticeAbstractUI.aspx?menuIndex=3&amp;refID=7087897&amp;Result=3","7087897")</f>
        <v>0</v>
      </c>
      <c r="B1110" t="s">
        <v>482</v>
      </c>
      <c r="C1110" t="s">
        <v>4488</v>
      </c>
      <c r="D1110" t="s">
        <v>17447</v>
      </c>
      <c r="E1110" t="s">
        <v>18509</v>
      </c>
      <c r="F1110" t="s">
        <v>30052</v>
      </c>
      <c r="G1110" t="s">
        <v>30061</v>
      </c>
      <c r="H1110" t="s">
        <v>15498</v>
      </c>
      <c r="I1110" t="s">
        <v>30084</v>
      </c>
      <c r="J1110" t="s">
        <v>31023</v>
      </c>
      <c r="K1110" t="s">
        <v>39034</v>
      </c>
      <c r="M1110" t="s">
        <v>39783</v>
      </c>
      <c r="N1110" t="s">
        <v>43166</v>
      </c>
      <c r="O1110" t="s">
        <v>43167</v>
      </c>
      <c r="P1110">
        <v>0</v>
      </c>
      <c r="Q1110">
        <v>3</v>
      </c>
      <c r="R1110" t="s">
        <v>43168</v>
      </c>
      <c r="S1110" t="s">
        <v>43286</v>
      </c>
      <c r="T1110" t="s">
        <v>44822</v>
      </c>
      <c r="U1110" t="s">
        <v>46121</v>
      </c>
      <c r="W1110" t="s">
        <v>39783</v>
      </c>
      <c r="X1110" t="s">
        <v>43169</v>
      </c>
    </row>
    <row r="1111" spans="1:24">
      <c r="A1111">
        <f>HYPERLINK("https://www.philgeps.gov.ph/GEPSNONPILOT/Tender/SplashBidNoticeAbstractUI.aspx?menuIndex=3&amp;refID=7087875&amp;Result=3","7087875")</f>
        <v>0</v>
      </c>
      <c r="B1111" t="s">
        <v>476</v>
      </c>
      <c r="C1111" t="s">
        <v>4489</v>
      </c>
      <c r="D1111" t="s">
        <v>17442</v>
      </c>
      <c r="E1111" t="s">
        <v>18510</v>
      </c>
      <c r="F1111" t="s">
        <v>30052</v>
      </c>
      <c r="G1111" t="s">
        <v>30058</v>
      </c>
      <c r="H1111" t="s">
        <v>15498</v>
      </c>
      <c r="I1111" t="s">
        <v>6691</v>
      </c>
      <c r="J1111" t="s">
        <v>30281</v>
      </c>
      <c r="K1111" t="s">
        <v>39031</v>
      </c>
      <c r="M1111" t="s">
        <v>39777</v>
      </c>
      <c r="N1111" t="s">
        <v>43166</v>
      </c>
      <c r="O1111" t="s">
        <v>43167</v>
      </c>
      <c r="P1111">
        <v>0</v>
      </c>
      <c r="Q1111">
        <v>0</v>
      </c>
      <c r="R1111" t="s">
        <v>43168</v>
      </c>
      <c r="S1111" t="s">
        <v>43286</v>
      </c>
      <c r="T1111" t="s">
        <v>44701</v>
      </c>
      <c r="U1111" t="s">
        <v>46128</v>
      </c>
      <c r="W1111" t="s">
        <v>58602</v>
      </c>
      <c r="X1111" t="s">
        <v>43169</v>
      </c>
    </row>
    <row r="1112" spans="1:24">
      <c r="A1112">
        <f>HYPERLINK("https://www.philgeps.gov.ph/GEPSNONPILOT/Tender/SplashBidNoticeAbstractUI.aspx?menuIndex=3&amp;refID=7087896&amp;Result=3","7087896")</f>
        <v>0</v>
      </c>
      <c r="B1112" t="s">
        <v>482</v>
      </c>
      <c r="C1112" t="s">
        <v>4490</v>
      </c>
      <c r="D1112" t="s">
        <v>17447</v>
      </c>
      <c r="E1112" t="s">
        <v>18511</v>
      </c>
      <c r="F1112" t="s">
        <v>30052</v>
      </c>
      <c r="G1112" t="s">
        <v>30061</v>
      </c>
      <c r="H1112" t="s">
        <v>15498</v>
      </c>
      <c r="I1112" t="s">
        <v>5961</v>
      </c>
      <c r="J1112" t="s">
        <v>31024</v>
      </c>
      <c r="K1112" t="s">
        <v>39034</v>
      </c>
      <c r="M1112" t="s">
        <v>39783</v>
      </c>
      <c r="N1112" t="s">
        <v>43166</v>
      </c>
      <c r="O1112" t="s">
        <v>43167</v>
      </c>
      <c r="P1112">
        <v>0</v>
      </c>
      <c r="Q1112">
        <v>1</v>
      </c>
      <c r="R1112" t="s">
        <v>43168</v>
      </c>
      <c r="S1112" t="s">
        <v>43286</v>
      </c>
      <c r="T1112" t="s">
        <v>44822</v>
      </c>
      <c r="U1112" t="s">
        <v>46121</v>
      </c>
      <c r="W1112" t="s">
        <v>39783</v>
      </c>
      <c r="X1112" t="s">
        <v>43169</v>
      </c>
    </row>
    <row r="1113" spans="1:24">
      <c r="A1113">
        <f>HYPERLINK("https://www.philgeps.gov.ph/GEPSNONPILOT/Tender/SplashBidNoticeAbstractUI.aspx?menuIndex=3&amp;refID=7087894&amp;Result=3","7087894")</f>
        <v>0</v>
      </c>
      <c r="B1113" t="s">
        <v>482</v>
      </c>
      <c r="C1113" t="s">
        <v>4491</v>
      </c>
      <c r="D1113" t="s">
        <v>17447</v>
      </c>
      <c r="E1113" t="s">
        <v>18512</v>
      </c>
      <c r="F1113" t="s">
        <v>30052</v>
      </c>
      <c r="G1113" t="s">
        <v>30061</v>
      </c>
      <c r="H1113" t="s">
        <v>15498</v>
      </c>
      <c r="I1113" t="s">
        <v>30070</v>
      </c>
      <c r="J1113" t="s">
        <v>31025</v>
      </c>
      <c r="K1113" t="s">
        <v>39034</v>
      </c>
      <c r="M1113" t="s">
        <v>39783</v>
      </c>
      <c r="N1113" t="s">
        <v>43166</v>
      </c>
      <c r="O1113" t="s">
        <v>43167</v>
      </c>
      <c r="P1113">
        <v>0</v>
      </c>
      <c r="Q1113">
        <v>2</v>
      </c>
      <c r="R1113" t="s">
        <v>43168</v>
      </c>
      <c r="S1113" t="s">
        <v>43286</v>
      </c>
      <c r="T1113" t="s">
        <v>44822</v>
      </c>
      <c r="U1113" t="s">
        <v>46121</v>
      </c>
      <c r="W1113" t="s">
        <v>39783</v>
      </c>
      <c r="X1113" t="s">
        <v>43169</v>
      </c>
    </row>
    <row r="1114" spans="1:24">
      <c r="A1114">
        <f>HYPERLINK("https://www.philgeps.gov.ph/GEPSNONPILOT/Tender/SplashBidNoticeAbstractUI.aspx?menuIndex=3&amp;refID=7087893&amp;Result=3","7087893")</f>
        <v>0</v>
      </c>
      <c r="B1114" t="s">
        <v>474</v>
      </c>
      <c r="C1114" t="s">
        <v>4492</v>
      </c>
      <c r="D1114" t="s">
        <v>17490</v>
      </c>
      <c r="E1114" t="s">
        <v>18513</v>
      </c>
      <c r="F1114" t="s">
        <v>30052</v>
      </c>
      <c r="G1114" t="s">
        <v>30062</v>
      </c>
      <c r="H1114" t="s">
        <v>15498</v>
      </c>
      <c r="I1114" t="s">
        <v>30097</v>
      </c>
      <c r="J1114" t="s">
        <v>31026</v>
      </c>
      <c r="K1114" t="s">
        <v>39029</v>
      </c>
      <c r="M1114" t="s">
        <v>39775</v>
      </c>
      <c r="N1114" t="s">
        <v>43166</v>
      </c>
      <c r="O1114" t="s">
        <v>43167</v>
      </c>
      <c r="P1114">
        <v>0</v>
      </c>
      <c r="Q1114">
        <v>7</v>
      </c>
      <c r="R1114" t="s">
        <v>43168</v>
      </c>
      <c r="S1114" t="s">
        <v>43286</v>
      </c>
      <c r="T1114" t="s">
        <v>44733</v>
      </c>
      <c r="U1114" t="s">
        <v>46129</v>
      </c>
      <c r="W1114" t="s">
        <v>39775</v>
      </c>
      <c r="X1114" t="s">
        <v>43169</v>
      </c>
    </row>
    <row r="1115" spans="1:24">
      <c r="A1115">
        <f>HYPERLINK("https://www.philgeps.gov.ph/GEPSNONPILOT/Tender/SplashBidNoticeAbstractUI.aspx?menuIndex=3&amp;refID=7087880&amp;Result=3","7087880")</f>
        <v>0</v>
      </c>
      <c r="B1115" t="s">
        <v>476</v>
      </c>
      <c r="C1115" t="s">
        <v>4493</v>
      </c>
      <c r="D1115" t="s">
        <v>17442</v>
      </c>
      <c r="E1115" t="s">
        <v>18514</v>
      </c>
      <c r="F1115" t="s">
        <v>30052</v>
      </c>
      <c r="G1115" t="s">
        <v>30058</v>
      </c>
      <c r="H1115" t="s">
        <v>15498</v>
      </c>
      <c r="I1115" t="s">
        <v>30076</v>
      </c>
      <c r="J1115" t="s">
        <v>31027</v>
      </c>
      <c r="K1115" t="s">
        <v>39019</v>
      </c>
      <c r="M1115" t="s">
        <v>39777</v>
      </c>
      <c r="N1115" t="s">
        <v>43166</v>
      </c>
      <c r="O1115" t="s">
        <v>43167</v>
      </c>
      <c r="P1115">
        <v>0</v>
      </c>
      <c r="Q1115">
        <v>6</v>
      </c>
      <c r="R1115" t="s">
        <v>43168</v>
      </c>
      <c r="S1115" t="s">
        <v>43286</v>
      </c>
      <c r="T1115" t="s">
        <v>44818</v>
      </c>
      <c r="U1115" t="s">
        <v>46130</v>
      </c>
      <c r="W1115" t="s">
        <v>58602</v>
      </c>
      <c r="X1115" t="s">
        <v>43169</v>
      </c>
    </row>
    <row r="1116" spans="1:24">
      <c r="A1116">
        <f>HYPERLINK("https://www.philgeps.gov.ph/GEPSNONPILOT/Tender/SplashBidNoticeAbstractUI.aspx?menuIndex=3&amp;refID=7087877&amp;Result=3","7087877")</f>
        <v>0</v>
      </c>
      <c r="B1116" t="s">
        <v>476</v>
      </c>
      <c r="C1116" t="s">
        <v>4494</v>
      </c>
      <c r="D1116" t="s">
        <v>17442</v>
      </c>
      <c r="E1116" t="s">
        <v>18515</v>
      </c>
      <c r="F1116" t="s">
        <v>30052</v>
      </c>
      <c r="G1116" t="s">
        <v>30058</v>
      </c>
      <c r="H1116" t="s">
        <v>15498</v>
      </c>
      <c r="I1116" t="s">
        <v>3736</v>
      </c>
      <c r="J1116" t="s">
        <v>31028</v>
      </c>
      <c r="K1116" t="s">
        <v>39019</v>
      </c>
      <c r="M1116" t="s">
        <v>39777</v>
      </c>
      <c r="N1116" t="s">
        <v>43166</v>
      </c>
      <c r="O1116" t="s">
        <v>43167</v>
      </c>
      <c r="P1116">
        <v>0</v>
      </c>
      <c r="Q1116">
        <v>0</v>
      </c>
      <c r="R1116" t="s">
        <v>43168</v>
      </c>
      <c r="S1116" t="s">
        <v>43286</v>
      </c>
      <c r="T1116" t="s">
        <v>44701</v>
      </c>
      <c r="U1116" t="s">
        <v>46131</v>
      </c>
      <c r="W1116" t="s">
        <v>58602</v>
      </c>
      <c r="X1116" t="s">
        <v>43169</v>
      </c>
    </row>
    <row r="1117" spans="1:24">
      <c r="A1117">
        <f>HYPERLINK("https://www.philgeps.gov.ph/GEPSNONPILOT/Tender/SplashBidNoticeAbstractUI.aspx?menuIndex=3&amp;refID=7087901&amp;Result=3","7087901")</f>
        <v>0</v>
      </c>
      <c r="B1117" t="s">
        <v>488</v>
      </c>
      <c r="C1117" t="s">
        <v>4495</v>
      </c>
      <c r="D1117" t="s">
        <v>17432</v>
      </c>
      <c r="E1117" t="s">
        <v>18516</v>
      </c>
      <c r="F1117" t="s">
        <v>30052</v>
      </c>
      <c r="G1117" t="s">
        <v>30059</v>
      </c>
      <c r="H1117" t="s">
        <v>15498</v>
      </c>
      <c r="I1117" t="s">
        <v>30071</v>
      </c>
      <c r="J1117" t="s">
        <v>31029</v>
      </c>
      <c r="K1117" t="s">
        <v>39029</v>
      </c>
      <c r="M1117" t="s">
        <v>39789</v>
      </c>
      <c r="N1117" t="s">
        <v>43166</v>
      </c>
      <c r="O1117" t="s">
        <v>43167</v>
      </c>
      <c r="P1117">
        <v>0</v>
      </c>
      <c r="Q1117">
        <v>3</v>
      </c>
      <c r="R1117" t="s">
        <v>43168</v>
      </c>
      <c r="S1117" t="s">
        <v>43286</v>
      </c>
      <c r="T1117" t="s">
        <v>44681</v>
      </c>
      <c r="U1117" t="s">
        <v>46132</v>
      </c>
      <c r="W1117" t="s">
        <v>39789</v>
      </c>
      <c r="X1117" t="s">
        <v>43169</v>
      </c>
    </row>
    <row r="1118" spans="1:24">
      <c r="A1118">
        <f>HYPERLINK("https://www.philgeps.gov.ph/GEPSNONPILOT/Tender/SplashBidNoticeAbstractUI.aspx?menuIndex=3&amp;refID=7087888&amp;Result=3","7087888")</f>
        <v>0</v>
      </c>
      <c r="B1118" t="s">
        <v>474</v>
      </c>
      <c r="C1118" t="s">
        <v>4496</v>
      </c>
      <c r="D1118" t="s">
        <v>17490</v>
      </c>
      <c r="E1118" t="s">
        <v>18517</v>
      </c>
      <c r="F1118" t="s">
        <v>30052</v>
      </c>
      <c r="G1118" t="s">
        <v>30062</v>
      </c>
      <c r="H1118" t="s">
        <v>15498</v>
      </c>
      <c r="I1118" t="s">
        <v>30097</v>
      </c>
      <c r="J1118" t="s">
        <v>31030</v>
      </c>
      <c r="K1118" t="s">
        <v>39029</v>
      </c>
      <c r="M1118" t="s">
        <v>39775</v>
      </c>
      <c r="N1118" t="s">
        <v>43166</v>
      </c>
      <c r="O1118" t="s">
        <v>43167</v>
      </c>
      <c r="P1118">
        <v>0</v>
      </c>
      <c r="Q1118">
        <v>5</v>
      </c>
      <c r="R1118" t="s">
        <v>43168</v>
      </c>
      <c r="S1118" t="s">
        <v>43286</v>
      </c>
      <c r="T1118" t="s">
        <v>44733</v>
      </c>
      <c r="U1118" t="s">
        <v>46133</v>
      </c>
      <c r="W1118" t="s">
        <v>39775</v>
      </c>
      <c r="X1118" t="s">
        <v>43169</v>
      </c>
    </row>
    <row r="1119" spans="1:24">
      <c r="A1119">
        <f>HYPERLINK("https://www.philgeps.gov.ph/GEPSNONPILOT/Tender/SplashBidNoticeAbstractUI.aspx?menuIndex=3&amp;refID=7081394&amp;Result=3","7081394")</f>
        <v>0</v>
      </c>
      <c r="B1119" t="s">
        <v>489</v>
      </c>
      <c r="C1119" t="s">
        <v>4497</v>
      </c>
      <c r="D1119" t="s">
        <v>17425</v>
      </c>
      <c r="E1119" t="s">
        <v>18518</v>
      </c>
      <c r="F1119" t="s">
        <v>30052</v>
      </c>
      <c r="G1119" t="s">
        <v>30058</v>
      </c>
      <c r="H1119" t="s">
        <v>15498</v>
      </c>
      <c r="I1119" t="s">
        <v>4650</v>
      </c>
      <c r="J1119" t="s">
        <v>31031</v>
      </c>
      <c r="K1119" t="s">
        <v>39034</v>
      </c>
      <c r="M1119" t="s">
        <v>39790</v>
      </c>
      <c r="N1119" t="s">
        <v>43166</v>
      </c>
      <c r="O1119" t="s">
        <v>43167</v>
      </c>
      <c r="P1119">
        <v>0</v>
      </c>
      <c r="Q1119">
        <v>6</v>
      </c>
      <c r="R1119" t="s">
        <v>43169</v>
      </c>
      <c r="S1119" t="s">
        <v>43291</v>
      </c>
      <c r="T1119" t="s">
        <v>44721</v>
      </c>
      <c r="U1119" t="s">
        <v>46134</v>
      </c>
      <c r="V1119" t="s">
        <v>56943</v>
      </c>
      <c r="W1119" t="s">
        <v>39790</v>
      </c>
      <c r="X1119" t="s">
        <v>43173</v>
      </c>
    </row>
    <row r="1120" spans="1:24">
      <c r="A1120">
        <f>HYPERLINK("https://www.philgeps.gov.ph/GEPSNONPILOT/Tender/SplashBidNoticeAbstractUI.aspx?menuIndex=3&amp;refID=7087898&amp;Result=3","7087898")</f>
        <v>0</v>
      </c>
      <c r="B1120" t="s">
        <v>482</v>
      </c>
      <c r="C1120" t="s">
        <v>4498</v>
      </c>
      <c r="D1120" t="s">
        <v>17447</v>
      </c>
      <c r="E1120" t="s">
        <v>18519</v>
      </c>
      <c r="F1120" t="s">
        <v>30052</v>
      </c>
      <c r="G1120" t="s">
        <v>30061</v>
      </c>
      <c r="H1120" t="s">
        <v>15498</v>
      </c>
      <c r="I1120" t="s">
        <v>30109</v>
      </c>
      <c r="J1120" t="s">
        <v>31032</v>
      </c>
      <c r="K1120" t="s">
        <v>39034</v>
      </c>
      <c r="M1120" t="s">
        <v>39783</v>
      </c>
      <c r="N1120" t="s">
        <v>43166</v>
      </c>
      <c r="O1120" t="s">
        <v>43167</v>
      </c>
      <c r="P1120">
        <v>0</v>
      </c>
      <c r="Q1120">
        <v>1</v>
      </c>
      <c r="R1120" t="s">
        <v>43168</v>
      </c>
      <c r="S1120" t="s">
        <v>43286</v>
      </c>
      <c r="T1120" t="s">
        <v>44822</v>
      </c>
      <c r="U1120" t="s">
        <v>46121</v>
      </c>
      <c r="W1120" t="s">
        <v>39783</v>
      </c>
      <c r="X1120" t="s">
        <v>43169</v>
      </c>
    </row>
    <row r="1121" spans="1:24">
      <c r="A1121">
        <f>HYPERLINK("https://www.philgeps.gov.ph/GEPSNONPILOT/Tender/SplashBidNoticeAbstractUI.aspx?menuIndex=3&amp;refID=7087876&amp;Result=3","7087876")</f>
        <v>0</v>
      </c>
      <c r="B1121" t="s">
        <v>56</v>
      </c>
      <c r="C1121" t="s">
        <v>4499</v>
      </c>
      <c r="D1121" t="s">
        <v>17438</v>
      </c>
      <c r="E1121" t="s">
        <v>18520</v>
      </c>
      <c r="F1121" t="s">
        <v>30052</v>
      </c>
      <c r="G1121" t="s">
        <v>30059</v>
      </c>
      <c r="H1121" t="s">
        <v>15498</v>
      </c>
      <c r="I1121" t="s">
        <v>30111</v>
      </c>
      <c r="J1121" t="s">
        <v>31033</v>
      </c>
      <c r="K1121" t="s">
        <v>39017</v>
      </c>
      <c r="M1121" t="s">
        <v>39345</v>
      </c>
      <c r="N1121" t="s">
        <v>43166</v>
      </c>
      <c r="O1121" t="s">
        <v>43167</v>
      </c>
      <c r="P1121">
        <v>0</v>
      </c>
      <c r="Q1121">
        <v>1</v>
      </c>
      <c r="R1121" t="s">
        <v>43168</v>
      </c>
      <c r="S1121" t="s">
        <v>43286</v>
      </c>
      <c r="T1121" t="s">
        <v>44708</v>
      </c>
      <c r="U1121" t="s">
        <v>45281</v>
      </c>
      <c r="V1121" t="s">
        <v>56817</v>
      </c>
      <c r="W1121" t="s">
        <v>39345</v>
      </c>
      <c r="X1121" t="s">
        <v>43169</v>
      </c>
    </row>
    <row r="1122" spans="1:24">
      <c r="A1122">
        <f>HYPERLINK("https://www.philgeps.gov.ph/GEPSNONPILOT/Tender/SplashBidNoticeAbstractUI.aspx?menuIndex=3&amp;refID=7080081&amp;Result=3","7080081")</f>
        <v>0</v>
      </c>
      <c r="B1122" t="s">
        <v>490</v>
      </c>
      <c r="C1122" t="s">
        <v>4500</v>
      </c>
      <c r="D1122" t="s">
        <v>17435</v>
      </c>
      <c r="E1122" t="s">
        <v>18521</v>
      </c>
      <c r="F1122" t="s">
        <v>30052</v>
      </c>
      <c r="G1122" t="s">
        <v>30058</v>
      </c>
      <c r="H1122" t="s">
        <v>15498</v>
      </c>
      <c r="I1122" t="s">
        <v>30088</v>
      </c>
      <c r="J1122" t="s">
        <v>31034</v>
      </c>
      <c r="K1122" t="s">
        <v>39029</v>
      </c>
      <c r="M1122" t="s">
        <v>39791</v>
      </c>
      <c r="N1122" t="s">
        <v>43166</v>
      </c>
      <c r="O1122" t="s">
        <v>43167</v>
      </c>
      <c r="P1122">
        <v>0</v>
      </c>
      <c r="Q1122">
        <v>2</v>
      </c>
      <c r="R1122" t="s">
        <v>43169</v>
      </c>
      <c r="S1122" t="s">
        <v>43291</v>
      </c>
      <c r="T1122" t="s">
        <v>44681</v>
      </c>
      <c r="U1122" t="s">
        <v>46135</v>
      </c>
      <c r="V1122" t="s">
        <v>56944</v>
      </c>
      <c r="W1122" t="s">
        <v>39791</v>
      </c>
      <c r="X1122" t="s">
        <v>43173</v>
      </c>
    </row>
    <row r="1123" spans="1:24">
      <c r="A1123">
        <f>HYPERLINK("https://www.philgeps.gov.ph/GEPSNONPILOT/Tender/SplashBidNoticeAbstractUI.aspx?menuIndex=3&amp;refID=7080019&amp;Result=3","7080019")</f>
        <v>0</v>
      </c>
      <c r="B1123" t="s">
        <v>490</v>
      </c>
      <c r="C1123" t="s">
        <v>4501</v>
      </c>
      <c r="D1123" t="s">
        <v>17435</v>
      </c>
      <c r="E1123" t="s">
        <v>18522</v>
      </c>
      <c r="F1123" t="s">
        <v>30052</v>
      </c>
      <c r="G1123" t="s">
        <v>30058</v>
      </c>
      <c r="H1123" t="s">
        <v>15498</v>
      </c>
      <c r="I1123" t="s">
        <v>3606</v>
      </c>
      <c r="J1123" t="s">
        <v>31035</v>
      </c>
      <c r="K1123" t="s">
        <v>39029</v>
      </c>
      <c r="M1123" t="s">
        <v>39791</v>
      </c>
      <c r="N1123" t="s">
        <v>43166</v>
      </c>
      <c r="O1123" t="s">
        <v>43167</v>
      </c>
      <c r="P1123">
        <v>0</v>
      </c>
      <c r="Q1123">
        <v>1</v>
      </c>
      <c r="R1123" t="s">
        <v>43169</v>
      </c>
      <c r="S1123" t="s">
        <v>43291</v>
      </c>
      <c r="T1123" t="s">
        <v>44684</v>
      </c>
      <c r="U1123" t="s">
        <v>46136</v>
      </c>
      <c r="V1123" t="s">
        <v>56945</v>
      </c>
      <c r="W1123" t="s">
        <v>39791</v>
      </c>
      <c r="X1123" t="s">
        <v>43173</v>
      </c>
    </row>
    <row r="1124" spans="1:24">
      <c r="A1124">
        <f>HYPERLINK("https://www.philgeps.gov.ph/GEPSNONPILOT/Tender/SplashBidNoticeAbstractUI.aspx?menuIndex=3&amp;refID=7079774&amp;Result=3","7079774")</f>
        <v>0</v>
      </c>
      <c r="B1124" t="s">
        <v>490</v>
      </c>
      <c r="C1124" t="s">
        <v>4502</v>
      </c>
      <c r="D1124" t="s">
        <v>17435</v>
      </c>
      <c r="E1124" t="s">
        <v>18523</v>
      </c>
      <c r="F1124" t="s">
        <v>30052</v>
      </c>
      <c r="G1124" t="s">
        <v>30058</v>
      </c>
      <c r="H1124" t="s">
        <v>15498</v>
      </c>
      <c r="I1124" t="s">
        <v>6691</v>
      </c>
      <c r="J1124" t="s">
        <v>30216</v>
      </c>
      <c r="K1124" t="s">
        <v>39029</v>
      </c>
      <c r="M1124" t="s">
        <v>39791</v>
      </c>
      <c r="N1124" t="s">
        <v>43166</v>
      </c>
      <c r="O1124" t="s">
        <v>43167</v>
      </c>
      <c r="P1124">
        <v>0</v>
      </c>
      <c r="Q1124">
        <v>0</v>
      </c>
      <c r="R1124" t="s">
        <v>43169</v>
      </c>
      <c r="S1124" t="s">
        <v>43291</v>
      </c>
      <c r="T1124" t="s">
        <v>44681</v>
      </c>
      <c r="U1124" t="s">
        <v>46137</v>
      </c>
      <c r="V1124" t="s">
        <v>56946</v>
      </c>
      <c r="W1124" t="s">
        <v>39791</v>
      </c>
      <c r="X1124" t="s">
        <v>43173</v>
      </c>
    </row>
    <row r="1125" spans="1:24">
      <c r="A1125">
        <f>HYPERLINK("https://www.philgeps.gov.ph/GEPSNONPILOT/Tender/SplashBidNoticeAbstractUI.aspx?menuIndex=3&amp;refID=7087903&amp;Result=3","7087903")</f>
        <v>0</v>
      </c>
      <c r="B1125" t="s">
        <v>491</v>
      </c>
      <c r="C1125" t="s">
        <v>4503</v>
      </c>
      <c r="D1125" t="s">
        <v>17467</v>
      </c>
      <c r="E1125" t="s">
        <v>18524</v>
      </c>
      <c r="F1125" t="s">
        <v>30052</v>
      </c>
      <c r="G1125" t="s">
        <v>30058</v>
      </c>
      <c r="H1125" t="s">
        <v>15498</v>
      </c>
      <c r="I1125" t="s">
        <v>3693</v>
      </c>
      <c r="J1125" t="s">
        <v>31036</v>
      </c>
      <c r="K1125" t="s">
        <v>39029</v>
      </c>
      <c r="M1125" t="s">
        <v>39792</v>
      </c>
      <c r="N1125" t="s">
        <v>43166</v>
      </c>
      <c r="O1125" t="s">
        <v>43167</v>
      </c>
      <c r="P1125">
        <v>0</v>
      </c>
      <c r="Q1125">
        <v>0</v>
      </c>
      <c r="R1125" t="s">
        <v>43168</v>
      </c>
      <c r="S1125" t="s">
        <v>43286</v>
      </c>
      <c r="T1125" t="s">
        <v>44776</v>
      </c>
      <c r="U1125" t="s">
        <v>46138</v>
      </c>
      <c r="W1125" t="s">
        <v>39792</v>
      </c>
      <c r="X1125" t="s">
        <v>43169</v>
      </c>
    </row>
    <row r="1126" spans="1:24">
      <c r="A1126">
        <f>HYPERLINK("https://www.philgeps.gov.ph/GEPSNONPILOT/Tender/SplashBidNoticeAbstractUI.aspx?menuIndex=3&amp;refID=7087879&amp;Result=3","7087879")</f>
        <v>0</v>
      </c>
      <c r="B1126" t="s">
        <v>476</v>
      </c>
      <c r="C1126" t="s">
        <v>4504</v>
      </c>
      <c r="D1126" t="s">
        <v>17442</v>
      </c>
      <c r="E1126" t="s">
        <v>18525</v>
      </c>
      <c r="F1126" t="s">
        <v>30052</v>
      </c>
      <c r="G1126" t="s">
        <v>30058</v>
      </c>
      <c r="H1126" t="s">
        <v>15498</v>
      </c>
      <c r="I1126" t="s">
        <v>3606</v>
      </c>
      <c r="J1126" t="s">
        <v>31037</v>
      </c>
      <c r="K1126" t="s">
        <v>39019</v>
      </c>
      <c r="M1126" t="s">
        <v>39777</v>
      </c>
      <c r="N1126" t="s">
        <v>43166</v>
      </c>
      <c r="O1126" t="s">
        <v>43167</v>
      </c>
      <c r="P1126">
        <v>0</v>
      </c>
      <c r="Q1126">
        <v>2</v>
      </c>
      <c r="R1126" t="s">
        <v>43168</v>
      </c>
      <c r="S1126" t="s">
        <v>43286</v>
      </c>
      <c r="T1126" t="s">
        <v>44818</v>
      </c>
      <c r="U1126" t="s">
        <v>46139</v>
      </c>
      <c r="W1126" t="s">
        <v>58602</v>
      </c>
      <c r="X1126" t="s">
        <v>43169</v>
      </c>
    </row>
    <row r="1127" spans="1:24">
      <c r="A1127">
        <f>HYPERLINK("https://www.philgeps.gov.ph/GEPSNONPILOT/Tender/SplashBidNoticeAbstractUI.aspx?menuIndex=3&amp;refID=7087884&amp;Result=3","7087884")</f>
        <v>0</v>
      </c>
      <c r="B1127" t="s">
        <v>422</v>
      </c>
      <c r="C1127" t="s">
        <v>4505</v>
      </c>
      <c r="D1127" t="s">
        <v>17455</v>
      </c>
      <c r="E1127" t="s">
        <v>18526</v>
      </c>
      <c r="F1127" t="s">
        <v>30052</v>
      </c>
      <c r="G1127" t="s">
        <v>30058</v>
      </c>
      <c r="H1127" t="s">
        <v>15498</v>
      </c>
      <c r="I1127" t="s">
        <v>5961</v>
      </c>
      <c r="J1127" t="s">
        <v>31038</v>
      </c>
      <c r="K1127" t="s">
        <v>39029</v>
      </c>
      <c r="M1127" t="s">
        <v>39762</v>
      </c>
      <c r="N1127" t="s">
        <v>43166</v>
      </c>
      <c r="O1127" t="s">
        <v>43167</v>
      </c>
      <c r="P1127">
        <v>0</v>
      </c>
      <c r="Q1127">
        <v>3</v>
      </c>
      <c r="R1127" t="s">
        <v>43168</v>
      </c>
      <c r="S1127" t="s">
        <v>43286</v>
      </c>
      <c r="T1127" t="s">
        <v>44824</v>
      </c>
      <c r="U1127" t="s">
        <v>46140</v>
      </c>
      <c r="W1127" t="s">
        <v>39762</v>
      </c>
      <c r="X1127" t="s">
        <v>43169</v>
      </c>
    </row>
    <row r="1128" spans="1:24">
      <c r="A1128">
        <f>HYPERLINK("https://www.philgeps.gov.ph/GEPSNONPILOT/Tender/SplashBidNoticeAbstractUI.aspx?menuIndex=3&amp;refID=7082816&amp;Result=3","7082816")</f>
        <v>0</v>
      </c>
      <c r="B1128" t="s">
        <v>492</v>
      </c>
      <c r="C1128" t="s">
        <v>4506</v>
      </c>
      <c r="D1128" t="s">
        <v>17459</v>
      </c>
      <c r="E1128" t="s">
        <v>18527</v>
      </c>
      <c r="F1128" t="s">
        <v>30052</v>
      </c>
      <c r="G1128" t="s">
        <v>30058</v>
      </c>
      <c r="H1128" t="s">
        <v>15498</v>
      </c>
      <c r="I1128" t="s">
        <v>30091</v>
      </c>
      <c r="J1128" t="s">
        <v>31039</v>
      </c>
      <c r="K1128" t="s">
        <v>39025</v>
      </c>
      <c r="M1128" t="s">
        <v>39793</v>
      </c>
      <c r="N1128" t="s">
        <v>43166</v>
      </c>
      <c r="O1128" t="s">
        <v>43167</v>
      </c>
      <c r="P1128">
        <v>0</v>
      </c>
      <c r="Q1128">
        <v>1</v>
      </c>
      <c r="R1128" t="s">
        <v>43169</v>
      </c>
      <c r="S1128" t="s">
        <v>43291</v>
      </c>
      <c r="T1128" t="s">
        <v>44677</v>
      </c>
      <c r="U1128" t="s">
        <v>46141</v>
      </c>
      <c r="V1128" t="s">
        <v>56947</v>
      </c>
      <c r="W1128" t="s">
        <v>39793</v>
      </c>
      <c r="X1128" t="s">
        <v>43172</v>
      </c>
    </row>
    <row r="1129" spans="1:24">
      <c r="A1129">
        <f>HYPERLINK("https://www.philgeps.gov.ph/GEPSNONPILOT/Tender/SplashBidNoticeAbstractUI.aspx?menuIndex=3&amp;refID=7082077&amp;Result=3","7082077")</f>
        <v>0</v>
      </c>
      <c r="B1129" t="s">
        <v>493</v>
      </c>
      <c r="C1129" t="s">
        <v>4507</v>
      </c>
      <c r="D1129" t="s">
        <v>17432</v>
      </c>
      <c r="E1129" t="s">
        <v>17838</v>
      </c>
      <c r="F1129" t="s">
        <v>30052</v>
      </c>
      <c r="G1129" t="s">
        <v>30062</v>
      </c>
      <c r="H1129" t="s">
        <v>30069</v>
      </c>
      <c r="I1129" t="s">
        <v>30070</v>
      </c>
      <c r="J1129" t="s">
        <v>31040</v>
      </c>
      <c r="K1129" t="s">
        <v>39018</v>
      </c>
      <c r="M1129" t="s">
        <v>39794</v>
      </c>
      <c r="N1129" t="s">
        <v>43166</v>
      </c>
      <c r="O1129" t="s">
        <v>43167</v>
      </c>
      <c r="P1129">
        <v>0</v>
      </c>
      <c r="Q1129">
        <v>0</v>
      </c>
      <c r="R1129" t="s">
        <v>43169</v>
      </c>
      <c r="S1129" t="s">
        <v>43291</v>
      </c>
      <c r="T1129" t="s">
        <v>44734</v>
      </c>
      <c r="U1129" t="s">
        <v>46142</v>
      </c>
      <c r="W1129" t="s">
        <v>39794</v>
      </c>
      <c r="X1129" t="s">
        <v>43172</v>
      </c>
    </row>
    <row r="1130" spans="1:24">
      <c r="A1130">
        <f>HYPERLINK("https://www.philgeps.gov.ph/GEPSNONPILOT/Tender/SplashBidNoticeAbstractUI.aspx?menuIndex=3&amp;refID=7081415&amp;Result=3","7081415")</f>
        <v>0</v>
      </c>
      <c r="B1130" t="s">
        <v>489</v>
      </c>
      <c r="C1130" t="s">
        <v>4508</v>
      </c>
      <c r="D1130" t="s">
        <v>17425</v>
      </c>
      <c r="E1130" t="s">
        <v>18528</v>
      </c>
      <c r="F1130" t="s">
        <v>30052</v>
      </c>
      <c r="G1130" t="s">
        <v>30058</v>
      </c>
      <c r="H1130" t="s">
        <v>15498</v>
      </c>
      <c r="I1130" t="s">
        <v>4642</v>
      </c>
      <c r="J1130" t="s">
        <v>30900</v>
      </c>
      <c r="K1130" t="s">
        <v>39034</v>
      </c>
      <c r="M1130" t="s">
        <v>39790</v>
      </c>
      <c r="N1130" t="s">
        <v>43166</v>
      </c>
      <c r="O1130" t="s">
        <v>43167</v>
      </c>
      <c r="P1130">
        <v>0</v>
      </c>
      <c r="Q1130">
        <v>4</v>
      </c>
      <c r="R1130" t="s">
        <v>43169</v>
      </c>
      <c r="S1130" t="s">
        <v>43291</v>
      </c>
      <c r="T1130" t="s">
        <v>44721</v>
      </c>
      <c r="U1130" t="s">
        <v>46143</v>
      </c>
      <c r="V1130" t="s">
        <v>56943</v>
      </c>
      <c r="W1130" t="s">
        <v>39790</v>
      </c>
      <c r="X1130" t="s">
        <v>43173</v>
      </c>
    </row>
    <row r="1131" spans="1:24">
      <c r="A1131">
        <f>HYPERLINK("https://www.philgeps.gov.ph/GEPSNONPILOT/Tender/SplashBidNoticeAbstractUI.aspx?menuIndex=3&amp;refID=7087902&amp;Result=3","7087902")</f>
        <v>0</v>
      </c>
      <c r="B1131" t="s">
        <v>494</v>
      </c>
      <c r="C1131" t="s">
        <v>4509</v>
      </c>
      <c r="E1131" t="s">
        <v>18529</v>
      </c>
      <c r="F1131" t="s">
        <v>30052</v>
      </c>
      <c r="G1131" t="s">
        <v>30058</v>
      </c>
      <c r="H1131" t="s">
        <v>15498</v>
      </c>
      <c r="I1131" t="s">
        <v>30092</v>
      </c>
      <c r="J1131" t="s">
        <v>31041</v>
      </c>
      <c r="K1131" t="s">
        <v>39025</v>
      </c>
      <c r="M1131" t="s">
        <v>39795</v>
      </c>
      <c r="N1131" t="s">
        <v>43166</v>
      </c>
      <c r="O1131" t="s">
        <v>43167</v>
      </c>
      <c r="P1131">
        <v>0</v>
      </c>
      <c r="Q1131">
        <v>1</v>
      </c>
      <c r="R1131" t="s">
        <v>43168</v>
      </c>
      <c r="S1131" t="s">
        <v>43286</v>
      </c>
      <c r="T1131" t="s">
        <v>44712</v>
      </c>
      <c r="U1131" t="s">
        <v>46144</v>
      </c>
      <c r="W1131" t="s">
        <v>39795</v>
      </c>
      <c r="X1131" t="s">
        <v>43169</v>
      </c>
    </row>
    <row r="1132" spans="1:24">
      <c r="A1132">
        <f>HYPERLINK("https://www.philgeps.gov.ph/GEPSNONPILOT/Tender/SplashBidNoticeAbstractUI.aspx?menuIndex=3&amp;refID=7076210&amp;Result=3","7076210")</f>
        <v>0</v>
      </c>
      <c r="B1132" t="s">
        <v>446</v>
      </c>
      <c r="C1132" t="s">
        <v>4510</v>
      </c>
      <c r="D1132" t="s">
        <v>17466</v>
      </c>
      <c r="E1132" t="s">
        <v>18530</v>
      </c>
      <c r="F1132" t="s">
        <v>30052</v>
      </c>
      <c r="G1132" t="s">
        <v>30060</v>
      </c>
      <c r="H1132" t="s">
        <v>30068</v>
      </c>
      <c r="I1132" t="s">
        <v>6691</v>
      </c>
      <c r="J1132" t="s">
        <v>30327</v>
      </c>
      <c r="K1132" t="s">
        <v>39067</v>
      </c>
      <c r="M1132" t="s">
        <v>39746</v>
      </c>
      <c r="N1132" t="s">
        <v>43166</v>
      </c>
      <c r="O1132" t="s">
        <v>43167</v>
      </c>
      <c r="P1132">
        <v>0</v>
      </c>
      <c r="Q1132">
        <v>0</v>
      </c>
      <c r="R1132" t="s">
        <v>43169</v>
      </c>
      <c r="S1132" t="s">
        <v>43291</v>
      </c>
      <c r="T1132" t="s">
        <v>44724</v>
      </c>
      <c r="U1132" t="s">
        <v>46145</v>
      </c>
      <c r="W1132" t="s">
        <v>39746</v>
      </c>
      <c r="X1132" t="s">
        <v>43174</v>
      </c>
    </row>
    <row r="1133" spans="1:24">
      <c r="A1133">
        <f>HYPERLINK("https://www.philgeps.gov.ph/GEPSNONPILOT/Tender/SplashBidNoticeAbstractUI.aspx?menuIndex=3&amp;refID=7080123&amp;Result=3","7080123")</f>
        <v>0</v>
      </c>
      <c r="B1133" t="s">
        <v>490</v>
      </c>
      <c r="C1133" t="s">
        <v>4511</v>
      </c>
      <c r="D1133" t="s">
        <v>17435</v>
      </c>
      <c r="E1133" t="s">
        <v>18531</v>
      </c>
      <c r="F1133" t="s">
        <v>30052</v>
      </c>
      <c r="G1133" t="s">
        <v>30058</v>
      </c>
      <c r="H1133" t="s">
        <v>15498</v>
      </c>
      <c r="I1133" t="s">
        <v>30127</v>
      </c>
      <c r="J1133" t="s">
        <v>31042</v>
      </c>
      <c r="K1133" t="s">
        <v>39029</v>
      </c>
      <c r="M1133" t="s">
        <v>39791</v>
      </c>
      <c r="N1133" t="s">
        <v>43166</v>
      </c>
      <c r="O1133" t="s">
        <v>43167</v>
      </c>
      <c r="P1133">
        <v>0</v>
      </c>
      <c r="Q1133">
        <v>4</v>
      </c>
      <c r="R1133" t="s">
        <v>43169</v>
      </c>
      <c r="S1133" t="s">
        <v>43291</v>
      </c>
      <c r="T1133" t="s">
        <v>44681</v>
      </c>
      <c r="U1133" t="s">
        <v>46146</v>
      </c>
      <c r="V1133" t="s">
        <v>56948</v>
      </c>
      <c r="W1133" t="s">
        <v>39791</v>
      </c>
      <c r="X1133" t="s">
        <v>43173</v>
      </c>
    </row>
    <row r="1134" spans="1:24">
      <c r="A1134">
        <f>HYPERLINK("https://www.philgeps.gov.ph/GEPSNONPILOT/Tender/SplashBidNoticeAbstractUI.aspx?menuIndex=3&amp;refID=7078648&amp;Result=3","7078648")</f>
        <v>0</v>
      </c>
      <c r="B1134" t="s">
        <v>495</v>
      </c>
      <c r="C1134" t="s">
        <v>4512</v>
      </c>
      <c r="D1134" t="s">
        <v>17474</v>
      </c>
      <c r="E1134" t="s">
        <v>18532</v>
      </c>
      <c r="F1134" t="s">
        <v>30052</v>
      </c>
      <c r="G1134" t="s">
        <v>30058</v>
      </c>
      <c r="H1134" t="s">
        <v>15498</v>
      </c>
      <c r="I1134" t="s">
        <v>30097</v>
      </c>
      <c r="J1134" t="s">
        <v>31043</v>
      </c>
      <c r="K1134" t="s">
        <v>39025</v>
      </c>
      <c r="M1134" t="s">
        <v>39796</v>
      </c>
      <c r="N1134" t="s">
        <v>43166</v>
      </c>
      <c r="O1134" t="s">
        <v>43167</v>
      </c>
      <c r="P1134">
        <v>0</v>
      </c>
      <c r="Q1134">
        <v>0</v>
      </c>
      <c r="R1134" t="s">
        <v>43169</v>
      </c>
      <c r="S1134" t="s">
        <v>43291</v>
      </c>
      <c r="T1134" t="s">
        <v>44820</v>
      </c>
      <c r="U1134" t="s">
        <v>46147</v>
      </c>
      <c r="W1134" t="s">
        <v>39796</v>
      </c>
      <c r="X1134" t="s">
        <v>43174</v>
      </c>
    </row>
    <row r="1135" spans="1:24">
      <c r="A1135">
        <f>HYPERLINK("https://www.philgeps.gov.ph/GEPSNONPILOT/Tender/SplashBidNoticeAbstractUI.aspx?menuIndex=3&amp;refID=7073239&amp;Result=3","7073239")</f>
        <v>0</v>
      </c>
      <c r="B1135" t="s">
        <v>496</v>
      </c>
      <c r="C1135" t="s">
        <v>4513</v>
      </c>
      <c r="D1135" t="s">
        <v>17491</v>
      </c>
      <c r="E1135" t="s">
        <v>18533</v>
      </c>
      <c r="F1135" t="s">
        <v>30052</v>
      </c>
      <c r="G1135" t="s">
        <v>30058</v>
      </c>
      <c r="H1135" t="s">
        <v>15498</v>
      </c>
      <c r="I1135" t="s">
        <v>30153</v>
      </c>
      <c r="J1135" t="s">
        <v>30252</v>
      </c>
      <c r="K1135" t="s">
        <v>39023</v>
      </c>
      <c r="M1135" t="s">
        <v>39797</v>
      </c>
      <c r="N1135" t="s">
        <v>43166</v>
      </c>
      <c r="O1135" t="s">
        <v>43167</v>
      </c>
      <c r="P1135">
        <v>0</v>
      </c>
      <c r="Q1135">
        <v>2</v>
      </c>
      <c r="R1135" t="s">
        <v>43169</v>
      </c>
      <c r="S1135" t="s">
        <v>43291</v>
      </c>
      <c r="T1135" t="s">
        <v>44825</v>
      </c>
      <c r="U1135" t="s">
        <v>46148</v>
      </c>
      <c r="W1135" t="s">
        <v>39797</v>
      </c>
      <c r="X1135" t="s">
        <v>43175</v>
      </c>
    </row>
    <row r="1136" spans="1:24">
      <c r="A1136">
        <f>HYPERLINK("https://www.philgeps.gov.ph/GEPSNONPILOT/Tender/SplashBidNoticeAbstractUI.aspx?menuIndex=3&amp;refID=7073236&amp;Result=3","7073236")</f>
        <v>0</v>
      </c>
      <c r="B1136" t="s">
        <v>496</v>
      </c>
      <c r="C1136" t="s">
        <v>4514</v>
      </c>
      <c r="D1136" t="s">
        <v>17491</v>
      </c>
      <c r="E1136" t="s">
        <v>18534</v>
      </c>
      <c r="F1136" t="s">
        <v>30052</v>
      </c>
      <c r="G1136" t="s">
        <v>30058</v>
      </c>
      <c r="H1136" t="s">
        <v>15498</v>
      </c>
      <c r="I1136" t="s">
        <v>30137</v>
      </c>
      <c r="J1136" t="s">
        <v>31044</v>
      </c>
      <c r="K1136" t="s">
        <v>39023</v>
      </c>
      <c r="M1136" t="s">
        <v>39797</v>
      </c>
      <c r="N1136" t="s">
        <v>43166</v>
      </c>
      <c r="O1136" t="s">
        <v>43167</v>
      </c>
      <c r="P1136">
        <v>0</v>
      </c>
      <c r="Q1136">
        <v>2</v>
      </c>
      <c r="R1136" t="s">
        <v>43169</v>
      </c>
      <c r="S1136" t="s">
        <v>43291</v>
      </c>
      <c r="T1136" t="s">
        <v>44825</v>
      </c>
      <c r="U1136" t="s">
        <v>46149</v>
      </c>
      <c r="W1136" t="s">
        <v>39797</v>
      </c>
      <c r="X1136" t="s">
        <v>43175</v>
      </c>
    </row>
    <row r="1137" spans="1:24">
      <c r="A1137">
        <f>HYPERLINK("https://www.philgeps.gov.ph/GEPSNONPILOT/Tender/SplashBidNoticeAbstractUI.aspx?menuIndex=3&amp;refID=7079802&amp;Result=3","7079802")</f>
        <v>0</v>
      </c>
      <c r="B1137" t="s">
        <v>490</v>
      </c>
      <c r="C1137" t="s">
        <v>4515</v>
      </c>
      <c r="D1137" t="s">
        <v>17435</v>
      </c>
      <c r="E1137" t="s">
        <v>18535</v>
      </c>
      <c r="F1137" t="s">
        <v>30052</v>
      </c>
      <c r="G1137" t="s">
        <v>30058</v>
      </c>
      <c r="H1137" t="s">
        <v>15498</v>
      </c>
      <c r="I1137" t="s">
        <v>6691</v>
      </c>
      <c r="J1137" t="s">
        <v>30277</v>
      </c>
      <c r="K1137" t="s">
        <v>39029</v>
      </c>
      <c r="M1137" t="s">
        <v>39791</v>
      </c>
      <c r="N1137" t="s">
        <v>43166</v>
      </c>
      <c r="O1137" t="s">
        <v>43167</v>
      </c>
      <c r="P1137">
        <v>0</v>
      </c>
      <c r="Q1137">
        <v>0</v>
      </c>
      <c r="R1137" t="s">
        <v>43169</v>
      </c>
      <c r="S1137" t="s">
        <v>43291</v>
      </c>
      <c r="T1137" t="s">
        <v>44681</v>
      </c>
      <c r="U1137" t="s">
        <v>46150</v>
      </c>
      <c r="V1137" t="s">
        <v>56946</v>
      </c>
      <c r="W1137" t="s">
        <v>39791</v>
      </c>
      <c r="X1137" t="s">
        <v>43173</v>
      </c>
    </row>
    <row r="1138" spans="1:24">
      <c r="A1138">
        <f>HYPERLINK("https://www.philgeps.gov.ph/GEPSNONPILOT/Tender/SplashBidNoticeAbstractUI.aspx?menuIndex=3&amp;refID=7076234&amp;Result=3","7076234")</f>
        <v>0</v>
      </c>
      <c r="B1138" t="s">
        <v>446</v>
      </c>
      <c r="C1138" t="s">
        <v>4516</v>
      </c>
      <c r="D1138" t="s">
        <v>17466</v>
      </c>
      <c r="E1138" t="s">
        <v>18536</v>
      </c>
      <c r="F1138" t="s">
        <v>30052</v>
      </c>
      <c r="G1138" t="s">
        <v>30060</v>
      </c>
      <c r="H1138" t="s">
        <v>15498</v>
      </c>
      <c r="I1138" t="s">
        <v>30085</v>
      </c>
      <c r="J1138" t="s">
        <v>31045</v>
      </c>
      <c r="K1138" t="s">
        <v>39036</v>
      </c>
      <c r="M1138" t="s">
        <v>39746</v>
      </c>
      <c r="N1138" t="s">
        <v>43166</v>
      </c>
      <c r="O1138" t="s">
        <v>43167</v>
      </c>
      <c r="P1138">
        <v>0</v>
      </c>
      <c r="Q1138">
        <v>0</v>
      </c>
      <c r="R1138" t="s">
        <v>43169</v>
      </c>
      <c r="S1138" t="s">
        <v>43291</v>
      </c>
      <c r="T1138" t="s">
        <v>44705</v>
      </c>
      <c r="U1138" t="s">
        <v>46151</v>
      </c>
      <c r="W1138" t="s">
        <v>39746</v>
      </c>
      <c r="X1138" t="s">
        <v>43174</v>
      </c>
    </row>
    <row r="1139" spans="1:24">
      <c r="A1139">
        <f>HYPERLINK("https://www.philgeps.gov.ph/GEPSNONPILOT/Tender/SplashBidNoticeAbstractUI.aspx?menuIndex=3&amp;refID=6116851&amp;Result=3","6116851")</f>
        <v>0</v>
      </c>
      <c r="B1139" t="s">
        <v>497</v>
      </c>
      <c r="C1139" t="s">
        <v>4517</v>
      </c>
      <c r="D1139" t="s">
        <v>17445</v>
      </c>
      <c r="E1139" t="s">
        <v>18537</v>
      </c>
      <c r="F1139" t="s">
        <v>30052</v>
      </c>
      <c r="G1139" t="s">
        <v>30058</v>
      </c>
      <c r="H1139" t="s">
        <v>15498</v>
      </c>
      <c r="I1139" t="s">
        <v>3736</v>
      </c>
      <c r="J1139" t="s">
        <v>31046</v>
      </c>
      <c r="K1139" t="s">
        <v>39025</v>
      </c>
      <c r="M1139" t="s">
        <v>39798</v>
      </c>
      <c r="N1139" t="s">
        <v>43166</v>
      </c>
      <c r="O1139" t="s">
        <v>43167</v>
      </c>
      <c r="P1139">
        <v>0</v>
      </c>
      <c r="Q1139">
        <v>2</v>
      </c>
      <c r="R1139" t="s">
        <v>43169</v>
      </c>
      <c r="S1139" t="s">
        <v>43291</v>
      </c>
      <c r="T1139" t="s">
        <v>44693</v>
      </c>
      <c r="U1139" t="s">
        <v>46152</v>
      </c>
      <c r="W1139" t="s">
        <v>39798</v>
      </c>
      <c r="X1139" t="s">
        <v>58725</v>
      </c>
    </row>
    <row r="1140" spans="1:24">
      <c r="A1140">
        <f>HYPERLINK("https://www.philgeps.gov.ph/GEPSNONPILOT/Tender/SplashBidNoticeAbstractUI.aspx?menuIndex=3&amp;refID=7079975&amp;Result=3","7079975")</f>
        <v>0</v>
      </c>
      <c r="B1140" t="s">
        <v>490</v>
      </c>
      <c r="C1140" t="s">
        <v>4518</v>
      </c>
      <c r="D1140" t="s">
        <v>17435</v>
      </c>
      <c r="E1140" t="s">
        <v>18538</v>
      </c>
      <c r="F1140" t="s">
        <v>30052</v>
      </c>
      <c r="G1140" t="s">
        <v>30058</v>
      </c>
      <c r="H1140" t="s">
        <v>15498</v>
      </c>
      <c r="I1140" t="s">
        <v>6691</v>
      </c>
      <c r="J1140" t="s">
        <v>30350</v>
      </c>
      <c r="K1140" t="s">
        <v>39029</v>
      </c>
      <c r="M1140" t="s">
        <v>39791</v>
      </c>
      <c r="N1140" t="s">
        <v>43166</v>
      </c>
      <c r="O1140" t="s">
        <v>43167</v>
      </c>
      <c r="P1140">
        <v>0</v>
      </c>
      <c r="Q1140">
        <v>0</v>
      </c>
      <c r="R1140" t="s">
        <v>43169</v>
      </c>
      <c r="S1140" t="s">
        <v>43291</v>
      </c>
      <c r="T1140" t="s">
        <v>44681</v>
      </c>
      <c r="U1140" t="s">
        <v>46153</v>
      </c>
      <c r="V1140" t="s">
        <v>56946</v>
      </c>
      <c r="W1140" t="s">
        <v>39791</v>
      </c>
      <c r="X1140" t="s">
        <v>43173</v>
      </c>
    </row>
    <row r="1141" spans="1:24">
      <c r="A1141">
        <f>HYPERLINK("https://www.philgeps.gov.ph/GEPSNONPILOT/Tender/SplashBidNoticeAbstractUI.aspx?menuIndex=3&amp;refID=7068242-2&amp;Result=3","7068242-2")</f>
        <v>0</v>
      </c>
      <c r="B1141" t="s">
        <v>498</v>
      </c>
      <c r="C1141" t="s">
        <v>4519</v>
      </c>
      <c r="D1141" t="s">
        <v>17431</v>
      </c>
      <c r="E1141" t="s">
        <v>18539</v>
      </c>
      <c r="F1141" t="s">
        <v>30052</v>
      </c>
      <c r="G1141" t="s">
        <v>30063</v>
      </c>
      <c r="H1141" t="s">
        <v>30068</v>
      </c>
      <c r="I1141" t="s">
        <v>30068</v>
      </c>
      <c r="J1141" t="s">
        <v>31047</v>
      </c>
      <c r="K1141" t="s">
        <v>39046</v>
      </c>
      <c r="M1141" t="s">
        <v>39799</v>
      </c>
      <c r="N1141" t="s">
        <v>43166</v>
      </c>
      <c r="O1141" t="s">
        <v>43167</v>
      </c>
      <c r="P1141">
        <v>0</v>
      </c>
      <c r="Q1141">
        <v>0</v>
      </c>
      <c r="R1141" t="s">
        <v>43169</v>
      </c>
      <c r="S1141" t="s">
        <v>43291</v>
      </c>
      <c r="T1141" t="s">
        <v>44684</v>
      </c>
      <c r="U1141" t="s">
        <v>46154</v>
      </c>
      <c r="W1141" t="s">
        <v>39799</v>
      </c>
      <c r="X1141" t="s">
        <v>43170</v>
      </c>
    </row>
    <row r="1142" spans="1:24">
      <c r="A1142">
        <f>HYPERLINK("https://www.philgeps.gov.ph/GEPSNONPILOT/Tender/SplashBidNoticeAbstractUI.aspx?menuIndex=3&amp;refID=7082844&amp;Result=3","7082844")</f>
        <v>0</v>
      </c>
      <c r="B1142" t="s">
        <v>492</v>
      </c>
      <c r="C1142" t="s">
        <v>4520</v>
      </c>
      <c r="D1142" t="s">
        <v>17417</v>
      </c>
      <c r="E1142" t="s">
        <v>18540</v>
      </c>
      <c r="F1142" t="s">
        <v>30052</v>
      </c>
      <c r="G1142" t="s">
        <v>30058</v>
      </c>
      <c r="H1142" t="s">
        <v>15498</v>
      </c>
      <c r="I1142" t="s">
        <v>30091</v>
      </c>
      <c r="J1142" t="s">
        <v>31048</v>
      </c>
      <c r="K1142" t="s">
        <v>39019</v>
      </c>
      <c r="M1142" t="s">
        <v>39793</v>
      </c>
      <c r="N1142" t="s">
        <v>43166</v>
      </c>
      <c r="O1142" t="s">
        <v>43167</v>
      </c>
      <c r="P1142">
        <v>0</v>
      </c>
      <c r="Q1142">
        <v>1</v>
      </c>
      <c r="R1142" t="s">
        <v>43169</v>
      </c>
      <c r="S1142" t="s">
        <v>43291</v>
      </c>
      <c r="T1142" t="s">
        <v>44677</v>
      </c>
      <c r="U1142" t="s">
        <v>46155</v>
      </c>
      <c r="V1142" t="s">
        <v>56947</v>
      </c>
      <c r="W1142" t="s">
        <v>39793</v>
      </c>
      <c r="X1142" t="s">
        <v>43172</v>
      </c>
    </row>
    <row r="1143" spans="1:24">
      <c r="A1143">
        <f>HYPERLINK("https://www.philgeps.gov.ph/GEPSNONPILOT/Tender/SplashBidNoticeAbstractUI.aspx?menuIndex=3&amp;refID=7086962&amp;Result=3","7086962")</f>
        <v>0</v>
      </c>
      <c r="B1143" t="s">
        <v>499</v>
      </c>
      <c r="C1143" t="s">
        <v>4521</v>
      </c>
      <c r="D1143" t="s">
        <v>17465</v>
      </c>
      <c r="E1143" t="s">
        <v>18541</v>
      </c>
      <c r="F1143" t="s">
        <v>30052</v>
      </c>
      <c r="G1143" t="s">
        <v>30062</v>
      </c>
      <c r="H1143" t="s">
        <v>15498</v>
      </c>
      <c r="I1143" t="s">
        <v>4119</v>
      </c>
      <c r="J1143" t="s">
        <v>31049</v>
      </c>
      <c r="K1143" t="s">
        <v>39034</v>
      </c>
      <c r="M1143" t="s">
        <v>39800</v>
      </c>
      <c r="N1143" t="s">
        <v>43166</v>
      </c>
      <c r="O1143" t="s">
        <v>43167</v>
      </c>
      <c r="P1143">
        <v>0</v>
      </c>
      <c r="Q1143">
        <v>2</v>
      </c>
      <c r="R1143" t="s">
        <v>43169</v>
      </c>
      <c r="S1143" t="s">
        <v>43291</v>
      </c>
      <c r="T1143" t="s">
        <v>44679</v>
      </c>
      <c r="U1143" t="s">
        <v>46156</v>
      </c>
      <c r="W1143" t="s">
        <v>39800</v>
      </c>
      <c r="X1143" t="s">
        <v>43171</v>
      </c>
    </row>
    <row r="1144" spans="1:24">
      <c r="A1144">
        <f>HYPERLINK("https://www.philgeps.gov.ph/GEPSNONPILOT/Tender/SplashBidNoticeAbstractUI.aspx?menuIndex=3&amp;refID=7085966&amp;Result=3","7085966")</f>
        <v>0</v>
      </c>
      <c r="B1144" t="s">
        <v>490</v>
      </c>
      <c r="C1144" t="s">
        <v>4522</v>
      </c>
      <c r="D1144" t="s">
        <v>17435</v>
      </c>
      <c r="E1144" t="s">
        <v>18542</v>
      </c>
      <c r="F1144" t="s">
        <v>30052</v>
      </c>
      <c r="G1144" t="s">
        <v>30058</v>
      </c>
      <c r="H1144" t="s">
        <v>15498</v>
      </c>
      <c r="I1144" t="s">
        <v>30154</v>
      </c>
      <c r="J1144" t="s">
        <v>31050</v>
      </c>
      <c r="K1144" t="s">
        <v>39029</v>
      </c>
      <c r="M1144" t="s">
        <v>39791</v>
      </c>
      <c r="N1144" t="s">
        <v>43166</v>
      </c>
      <c r="O1144" t="s">
        <v>43167</v>
      </c>
      <c r="P1144">
        <v>0</v>
      </c>
      <c r="Q1144">
        <v>0</v>
      </c>
      <c r="R1144" t="s">
        <v>43169</v>
      </c>
      <c r="S1144" t="s">
        <v>43291</v>
      </c>
      <c r="T1144" t="s">
        <v>44681</v>
      </c>
      <c r="U1144" t="s">
        <v>46157</v>
      </c>
      <c r="V1144" t="s">
        <v>56946</v>
      </c>
      <c r="W1144" t="s">
        <v>39791</v>
      </c>
      <c r="X1144" t="s">
        <v>43171</v>
      </c>
    </row>
    <row r="1145" spans="1:24">
      <c r="A1145">
        <f>HYPERLINK("https://www.philgeps.gov.ph/GEPSNONPILOT/Tender/SplashBidNoticeAbstractUI.aspx?menuIndex=3&amp;refID=7085443&amp;Result=3","7085443")</f>
        <v>0</v>
      </c>
      <c r="B1145" t="s">
        <v>500</v>
      </c>
      <c r="C1145" t="s">
        <v>4523</v>
      </c>
      <c r="D1145" t="s">
        <v>17443</v>
      </c>
      <c r="E1145" t="s">
        <v>18543</v>
      </c>
      <c r="F1145" t="s">
        <v>30052</v>
      </c>
      <c r="G1145" t="s">
        <v>30058</v>
      </c>
      <c r="H1145" t="s">
        <v>15498</v>
      </c>
      <c r="I1145" t="s">
        <v>30082</v>
      </c>
      <c r="J1145" t="s">
        <v>31051</v>
      </c>
      <c r="K1145" t="s">
        <v>39034</v>
      </c>
      <c r="M1145" t="s">
        <v>39801</v>
      </c>
      <c r="N1145" t="s">
        <v>43166</v>
      </c>
      <c r="O1145" t="s">
        <v>43167</v>
      </c>
      <c r="P1145">
        <v>0</v>
      </c>
      <c r="Q1145">
        <v>1</v>
      </c>
      <c r="R1145" t="s">
        <v>43169</v>
      </c>
      <c r="S1145" t="s">
        <v>43291</v>
      </c>
      <c r="T1145" t="s">
        <v>44681</v>
      </c>
      <c r="U1145" t="s">
        <v>46158</v>
      </c>
      <c r="W1145" t="s">
        <v>39801</v>
      </c>
      <c r="X1145" t="s">
        <v>43171</v>
      </c>
    </row>
    <row r="1146" spans="1:24">
      <c r="A1146">
        <f>HYPERLINK("https://www.philgeps.gov.ph/GEPSNONPILOT/Tender/SplashBidNoticeAbstractUI.aspx?menuIndex=3&amp;refID=7084286&amp;Result=3","7084286")</f>
        <v>0</v>
      </c>
      <c r="B1146" t="s">
        <v>501</v>
      </c>
      <c r="C1146" t="s">
        <v>4524</v>
      </c>
      <c r="E1146" t="s">
        <v>18544</v>
      </c>
      <c r="F1146" t="s">
        <v>30052</v>
      </c>
      <c r="G1146" t="s">
        <v>30059</v>
      </c>
      <c r="H1146" t="s">
        <v>15498</v>
      </c>
      <c r="I1146" t="s">
        <v>4598</v>
      </c>
      <c r="J1146" t="s">
        <v>31052</v>
      </c>
      <c r="K1146" t="s">
        <v>39025</v>
      </c>
      <c r="M1146" t="s">
        <v>39802</v>
      </c>
      <c r="N1146" t="s">
        <v>43166</v>
      </c>
      <c r="O1146" t="s">
        <v>43167</v>
      </c>
      <c r="P1146">
        <v>0</v>
      </c>
      <c r="Q1146">
        <v>4</v>
      </c>
      <c r="R1146" t="s">
        <v>43169</v>
      </c>
      <c r="S1146" t="s">
        <v>43291</v>
      </c>
      <c r="T1146" t="s">
        <v>44826</v>
      </c>
      <c r="U1146" t="s">
        <v>46159</v>
      </c>
      <c r="V1146" t="s">
        <v>56949</v>
      </c>
      <c r="W1146" t="s">
        <v>39802</v>
      </c>
      <c r="X1146" t="s">
        <v>43172</v>
      </c>
    </row>
    <row r="1147" spans="1:24">
      <c r="A1147">
        <f>HYPERLINK("https://www.philgeps.gov.ph/GEPSNONPILOT/Tender/SplashBidNoticeAbstractUI.aspx?menuIndex=3&amp;refID=7084027&amp;Result=3","7084027")</f>
        <v>0</v>
      </c>
      <c r="B1147" t="s">
        <v>502</v>
      </c>
      <c r="C1147" t="s">
        <v>4525</v>
      </c>
      <c r="D1147" t="s">
        <v>17445</v>
      </c>
      <c r="E1147" t="s">
        <v>18545</v>
      </c>
      <c r="F1147" t="s">
        <v>30052</v>
      </c>
      <c r="G1147" t="s">
        <v>30058</v>
      </c>
      <c r="H1147" t="s">
        <v>30067</v>
      </c>
      <c r="I1147" t="s">
        <v>30152</v>
      </c>
      <c r="J1147" t="s">
        <v>30222</v>
      </c>
      <c r="K1147" t="s">
        <v>39057</v>
      </c>
      <c r="M1147" t="s">
        <v>39803</v>
      </c>
      <c r="N1147" t="s">
        <v>43166</v>
      </c>
      <c r="O1147" t="s">
        <v>43167</v>
      </c>
      <c r="P1147">
        <v>0</v>
      </c>
      <c r="Q1147">
        <v>1</v>
      </c>
      <c r="R1147" t="s">
        <v>43169</v>
      </c>
      <c r="S1147" t="s">
        <v>43291</v>
      </c>
      <c r="T1147" t="s">
        <v>44684</v>
      </c>
      <c r="U1147" t="s">
        <v>46160</v>
      </c>
      <c r="W1147" t="s">
        <v>39803</v>
      </c>
      <c r="X1147" t="s">
        <v>43172</v>
      </c>
    </row>
    <row r="1148" spans="1:24">
      <c r="A1148">
        <f>HYPERLINK("https://www.philgeps.gov.ph/GEPSNONPILOT/Tender/SplashBidNoticeAbstractUI.aspx?menuIndex=3&amp;refID=7084006&amp;Result=3","7084006")</f>
        <v>0</v>
      </c>
      <c r="B1148" t="s">
        <v>502</v>
      </c>
      <c r="C1148" t="s">
        <v>4526</v>
      </c>
      <c r="D1148" t="s">
        <v>17445</v>
      </c>
      <c r="E1148" t="s">
        <v>18546</v>
      </c>
      <c r="F1148" t="s">
        <v>30052</v>
      </c>
      <c r="G1148" t="s">
        <v>30058</v>
      </c>
      <c r="H1148" t="s">
        <v>30067</v>
      </c>
      <c r="I1148" t="s">
        <v>3693</v>
      </c>
      <c r="J1148" t="s">
        <v>30222</v>
      </c>
      <c r="K1148" t="s">
        <v>39054</v>
      </c>
      <c r="M1148" t="s">
        <v>39803</v>
      </c>
      <c r="N1148" t="s">
        <v>43166</v>
      </c>
      <c r="O1148" t="s">
        <v>43167</v>
      </c>
      <c r="P1148">
        <v>0</v>
      </c>
      <c r="Q1148">
        <v>1</v>
      </c>
      <c r="R1148" t="s">
        <v>43169</v>
      </c>
      <c r="S1148" t="s">
        <v>43291</v>
      </c>
      <c r="T1148" t="s">
        <v>44684</v>
      </c>
      <c r="U1148" t="s">
        <v>46161</v>
      </c>
      <c r="W1148" t="s">
        <v>39803</v>
      </c>
      <c r="X1148" t="s">
        <v>43172</v>
      </c>
    </row>
    <row r="1149" spans="1:24">
      <c r="A1149">
        <f>HYPERLINK("https://www.philgeps.gov.ph/GEPSNONPILOT/Tender/SplashBidNoticeAbstractUI.aspx?menuIndex=3&amp;refID=7083970&amp;Result=3","7083970")</f>
        <v>0</v>
      </c>
      <c r="B1149" t="s">
        <v>502</v>
      </c>
      <c r="C1149" t="s">
        <v>4527</v>
      </c>
      <c r="D1149" t="s">
        <v>17445</v>
      </c>
      <c r="E1149" t="s">
        <v>18547</v>
      </c>
      <c r="F1149" t="s">
        <v>30052</v>
      </c>
      <c r="G1149" t="s">
        <v>30058</v>
      </c>
      <c r="H1149" t="s">
        <v>30067</v>
      </c>
      <c r="I1149" t="s">
        <v>3693</v>
      </c>
      <c r="J1149" t="s">
        <v>31053</v>
      </c>
      <c r="K1149" t="s">
        <v>39075</v>
      </c>
      <c r="M1149" t="s">
        <v>39803</v>
      </c>
      <c r="N1149" t="s">
        <v>43166</v>
      </c>
      <c r="O1149" t="s">
        <v>43167</v>
      </c>
      <c r="P1149">
        <v>0</v>
      </c>
      <c r="Q1149">
        <v>1</v>
      </c>
      <c r="R1149" t="s">
        <v>43169</v>
      </c>
      <c r="S1149" t="s">
        <v>43291</v>
      </c>
      <c r="T1149" t="s">
        <v>44684</v>
      </c>
      <c r="U1149" t="s">
        <v>46162</v>
      </c>
      <c r="W1149" t="s">
        <v>39803</v>
      </c>
      <c r="X1149" t="s">
        <v>43172</v>
      </c>
    </row>
    <row r="1150" spans="1:24">
      <c r="A1150">
        <f>HYPERLINK("https://www.philgeps.gov.ph/GEPSNONPILOT/Tender/SplashBidNoticeAbstractUI.aspx?menuIndex=3&amp;refID=7086219&amp;Result=3","7086219")</f>
        <v>0</v>
      </c>
      <c r="B1150" t="s">
        <v>503</v>
      </c>
      <c r="C1150" t="s">
        <v>4528</v>
      </c>
      <c r="D1150" t="s">
        <v>17415</v>
      </c>
      <c r="E1150" t="s">
        <v>18548</v>
      </c>
      <c r="F1150" t="s">
        <v>30052</v>
      </c>
      <c r="G1150" t="s">
        <v>30058</v>
      </c>
      <c r="H1150" t="s">
        <v>15498</v>
      </c>
      <c r="I1150" t="s">
        <v>30088</v>
      </c>
      <c r="J1150" t="s">
        <v>30209</v>
      </c>
      <c r="K1150" t="s">
        <v>39025</v>
      </c>
      <c r="M1150" t="s">
        <v>39804</v>
      </c>
      <c r="N1150" t="s">
        <v>43166</v>
      </c>
      <c r="O1150" t="s">
        <v>43167</v>
      </c>
      <c r="P1150">
        <v>0</v>
      </c>
      <c r="Q1150">
        <v>9</v>
      </c>
      <c r="R1150" t="s">
        <v>43169</v>
      </c>
      <c r="S1150" t="s">
        <v>43291</v>
      </c>
      <c r="T1150" t="s">
        <v>44677</v>
      </c>
      <c r="U1150" t="s">
        <v>46163</v>
      </c>
      <c r="V1150" t="s">
        <v>56950</v>
      </c>
      <c r="W1150" t="s">
        <v>39804</v>
      </c>
      <c r="X1150" t="s">
        <v>43171</v>
      </c>
    </row>
    <row r="1151" spans="1:24">
      <c r="A1151">
        <f>HYPERLINK("https://www.philgeps.gov.ph/GEPSNONPILOT/Tender/SplashBidNoticeAbstractUI.aspx?menuIndex=3&amp;refID=7087058&amp;Result=3","7087058")</f>
        <v>0</v>
      </c>
      <c r="B1151" t="s">
        <v>503</v>
      </c>
      <c r="C1151" t="s">
        <v>4529</v>
      </c>
      <c r="D1151" t="s">
        <v>17415</v>
      </c>
      <c r="E1151" t="s">
        <v>18548</v>
      </c>
      <c r="F1151" t="s">
        <v>30052</v>
      </c>
      <c r="G1151" t="s">
        <v>30058</v>
      </c>
      <c r="H1151" t="s">
        <v>15498</v>
      </c>
      <c r="I1151" t="s">
        <v>30088</v>
      </c>
      <c r="J1151" t="s">
        <v>31054</v>
      </c>
      <c r="K1151" t="s">
        <v>39025</v>
      </c>
      <c r="M1151" t="s">
        <v>39804</v>
      </c>
      <c r="N1151" t="s">
        <v>43166</v>
      </c>
      <c r="O1151" t="s">
        <v>43167</v>
      </c>
      <c r="P1151">
        <v>0</v>
      </c>
      <c r="Q1151">
        <v>6</v>
      </c>
      <c r="R1151" t="s">
        <v>43169</v>
      </c>
      <c r="S1151" t="s">
        <v>43291</v>
      </c>
      <c r="T1151" t="s">
        <v>44726</v>
      </c>
      <c r="U1151" t="s">
        <v>46164</v>
      </c>
      <c r="V1151" t="s">
        <v>56950</v>
      </c>
      <c r="W1151" t="s">
        <v>39804</v>
      </c>
      <c r="X1151" t="s">
        <v>43171</v>
      </c>
    </row>
    <row r="1152" spans="1:24">
      <c r="A1152">
        <f>HYPERLINK("https://www.philgeps.gov.ph/GEPSNONPILOT/Tender/SplashBidNoticeAbstractUI.aspx?menuIndex=3&amp;refID=7083310&amp;Result=3","7083310")</f>
        <v>0</v>
      </c>
      <c r="B1152" t="s">
        <v>504</v>
      </c>
      <c r="C1152" t="s">
        <v>4530</v>
      </c>
      <c r="D1152" t="s">
        <v>17429</v>
      </c>
      <c r="E1152" t="s">
        <v>18549</v>
      </c>
      <c r="F1152" t="s">
        <v>30052</v>
      </c>
      <c r="G1152" t="s">
        <v>30061</v>
      </c>
      <c r="H1152" t="s">
        <v>15498</v>
      </c>
      <c r="I1152" t="s">
        <v>30073</v>
      </c>
      <c r="J1152" t="s">
        <v>31055</v>
      </c>
      <c r="K1152" t="s">
        <v>39031</v>
      </c>
      <c r="M1152" t="s">
        <v>39805</v>
      </c>
      <c r="N1152" t="s">
        <v>43166</v>
      </c>
      <c r="O1152" t="s">
        <v>43167</v>
      </c>
      <c r="P1152">
        <v>0</v>
      </c>
      <c r="Q1152">
        <v>0</v>
      </c>
      <c r="R1152" t="s">
        <v>43169</v>
      </c>
      <c r="S1152" t="s">
        <v>43291</v>
      </c>
      <c r="T1152" t="s">
        <v>44773</v>
      </c>
      <c r="U1152" t="s">
        <v>46165</v>
      </c>
      <c r="W1152" t="s">
        <v>39805</v>
      </c>
      <c r="X1152" t="s">
        <v>43172</v>
      </c>
    </row>
    <row r="1153" spans="1:24">
      <c r="A1153">
        <f>HYPERLINK("https://www.philgeps.gov.ph/GEPSNONPILOT/Tender/SplashBidNoticeAbstractUI.aspx?menuIndex=3&amp;refID=7083325&amp;Result=3","7083325")</f>
        <v>0</v>
      </c>
      <c r="B1153" t="s">
        <v>504</v>
      </c>
      <c r="C1153" t="s">
        <v>4531</v>
      </c>
      <c r="D1153" t="s">
        <v>17429</v>
      </c>
      <c r="E1153" t="s">
        <v>18550</v>
      </c>
      <c r="F1153" t="s">
        <v>30052</v>
      </c>
      <c r="G1153" t="s">
        <v>30062</v>
      </c>
      <c r="H1153" t="s">
        <v>15498</v>
      </c>
      <c r="I1153" t="s">
        <v>30070</v>
      </c>
      <c r="J1153" t="s">
        <v>30605</v>
      </c>
      <c r="K1153" t="s">
        <v>39029</v>
      </c>
      <c r="M1153" t="s">
        <v>39805</v>
      </c>
      <c r="N1153" t="s">
        <v>43166</v>
      </c>
      <c r="O1153" t="s">
        <v>43167</v>
      </c>
      <c r="P1153">
        <v>0</v>
      </c>
      <c r="Q1153">
        <v>5</v>
      </c>
      <c r="R1153" t="s">
        <v>43169</v>
      </c>
      <c r="S1153" t="s">
        <v>43291</v>
      </c>
      <c r="T1153" t="s">
        <v>44773</v>
      </c>
      <c r="U1153" t="s">
        <v>46166</v>
      </c>
      <c r="W1153" t="s">
        <v>39805</v>
      </c>
      <c r="X1153" t="s">
        <v>43172</v>
      </c>
    </row>
    <row r="1154" spans="1:24">
      <c r="A1154">
        <f>HYPERLINK("https://www.philgeps.gov.ph/GEPSNONPILOT/Tender/SplashBidNoticeAbstractUI.aspx?menuIndex=3&amp;refID=7086298&amp;Result=3","7086298")</f>
        <v>0</v>
      </c>
      <c r="B1154" t="s">
        <v>505</v>
      </c>
      <c r="C1154" t="s">
        <v>4532</v>
      </c>
      <c r="D1154" t="s">
        <v>17424</v>
      </c>
      <c r="E1154" t="s">
        <v>17760</v>
      </c>
      <c r="F1154" t="s">
        <v>30052</v>
      </c>
      <c r="G1154" t="s">
        <v>30058</v>
      </c>
      <c r="H1154" t="s">
        <v>15498</v>
      </c>
      <c r="I1154" t="s">
        <v>3736</v>
      </c>
      <c r="J1154" t="s">
        <v>31056</v>
      </c>
      <c r="K1154" t="s">
        <v>39019</v>
      </c>
      <c r="M1154" t="s">
        <v>39806</v>
      </c>
      <c r="N1154" t="s">
        <v>43166</v>
      </c>
      <c r="O1154" t="s">
        <v>43167</v>
      </c>
      <c r="P1154">
        <v>0</v>
      </c>
      <c r="Q1154">
        <v>0</v>
      </c>
      <c r="R1154" t="s">
        <v>43169</v>
      </c>
      <c r="S1154" t="s">
        <v>43291</v>
      </c>
      <c r="T1154" t="s">
        <v>44679</v>
      </c>
      <c r="U1154" t="s">
        <v>46167</v>
      </c>
      <c r="W1154" t="s">
        <v>39806</v>
      </c>
      <c r="X1154" t="s">
        <v>43171</v>
      </c>
    </row>
    <row r="1155" spans="1:24">
      <c r="A1155">
        <f>HYPERLINK("https://www.philgeps.gov.ph/GEPSNONPILOT/Tender/SplashBidNoticeAbstractUI.aspx?menuIndex=3&amp;refID=7087033&amp;Result=3","7087033")</f>
        <v>0</v>
      </c>
      <c r="B1155" t="s">
        <v>503</v>
      </c>
      <c r="C1155" t="s">
        <v>4533</v>
      </c>
      <c r="D1155" t="s">
        <v>17415</v>
      </c>
      <c r="E1155" t="s">
        <v>18548</v>
      </c>
      <c r="F1155" t="s">
        <v>30052</v>
      </c>
      <c r="G1155" t="s">
        <v>30058</v>
      </c>
      <c r="H1155" t="s">
        <v>15498</v>
      </c>
      <c r="I1155" t="s">
        <v>30088</v>
      </c>
      <c r="J1155" t="s">
        <v>30248</v>
      </c>
      <c r="K1155" t="s">
        <v>39025</v>
      </c>
      <c r="M1155" t="s">
        <v>39804</v>
      </c>
      <c r="N1155" t="s">
        <v>43166</v>
      </c>
      <c r="O1155" t="s">
        <v>43167</v>
      </c>
      <c r="P1155">
        <v>0</v>
      </c>
      <c r="Q1155">
        <v>3</v>
      </c>
      <c r="R1155" t="s">
        <v>43169</v>
      </c>
      <c r="S1155" t="s">
        <v>43291</v>
      </c>
      <c r="T1155" t="s">
        <v>44677</v>
      </c>
      <c r="U1155" t="s">
        <v>46164</v>
      </c>
      <c r="V1155" t="s">
        <v>56950</v>
      </c>
      <c r="W1155" t="s">
        <v>39804</v>
      </c>
      <c r="X1155" t="s">
        <v>43171</v>
      </c>
    </row>
    <row r="1156" spans="1:24">
      <c r="A1156">
        <f>HYPERLINK("https://www.philgeps.gov.ph/GEPSNONPILOT/Tender/SplashBidNoticeAbstractUI.aspx?menuIndex=3&amp;refID=7087055&amp;Result=3","7087055")</f>
        <v>0</v>
      </c>
      <c r="B1156" t="s">
        <v>503</v>
      </c>
      <c r="C1156" t="s">
        <v>4534</v>
      </c>
      <c r="D1156" t="s">
        <v>17415</v>
      </c>
      <c r="E1156" t="s">
        <v>18548</v>
      </c>
      <c r="F1156" t="s">
        <v>30052</v>
      </c>
      <c r="G1156" t="s">
        <v>30058</v>
      </c>
      <c r="H1156" t="s">
        <v>15498</v>
      </c>
      <c r="I1156" t="s">
        <v>30088</v>
      </c>
      <c r="J1156" t="s">
        <v>31057</v>
      </c>
      <c r="K1156" t="s">
        <v>39025</v>
      </c>
      <c r="M1156" t="s">
        <v>39804</v>
      </c>
      <c r="N1156" t="s">
        <v>43166</v>
      </c>
      <c r="O1156" t="s">
        <v>43167</v>
      </c>
      <c r="P1156">
        <v>0</v>
      </c>
      <c r="Q1156">
        <v>4</v>
      </c>
      <c r="R1156" t="s">
        <v>43169</v>
      </c>
      <c r="S1156" t="s">
        <v>43291</v>
      </c>
      <c r="T1156" t="s">
        <v>44726</v>
      </c>
      <c r="U1156" t="s">
        <v>46164</v>
      </c>
      <c r="V1156" t="s">
        <v>56950</v>
      </c>
      <c r="W1156" t="s">
        <v>39804</v>
      </c>
      <c r="X1156" t="s">
        <v>43171</v>
      </c>
    </row>
    <row r="1157" spans="1:24">
      <c r="A1157">
        <f>HYPERLINK("https://www.philgeps.gov.ph/GEPSNONPILOT/Tender/SplashBidNoticeAbstractUI.aspx?menuIndex=3&amp;refID=7087065&amp;Result=3","7087065")</f>
        <v>0</v>
      </c>
      <c r="B1157" t="s">
        <v>503</v>
      </c>
      <c r="C1157" t="s">
        <v>4535</v>
      </c>
      <c r="D1157" t="s">
        <v>17415</v>
      </c>
      <c r="E1157" t="s">
        <v>18548</v>
      </c>
      <c r="F1157" t="s">
        <v>30052</v>
      </c>
      <c r="G1157" t="s">
        <v>30058</v>
      </c>
      <c r="H1157" t="s">
        <v>15498</v>
      </c>
      <c r="I1157" t="s">
        <v>30088</v>
      </c>
      <c r="J1157" t="s">
        <v>31058</v>
      </c>
      <c r="K1157" t="s">
        <v>39025</v>
      </c>
      <c r="M1157" t="s">
        <v>39804</v>
      </c>
      <c r="N1157" t="s">
        <v>43166</v>
      </c>
      <c r="O1157" t="s">
        <v>43167</v>
      </c>
      <c r="P1157">
        <v>0</v>
      </c>
      <c r="Q1157">
        <v>3</v>
      </c>
      <c r="R1157" t="s">
        <v>43169</v>
      </c>
      <c r="S1157" t="s">
        <v>43291</v>
      </c>
      <c r="T1157" t="s">
        <v>44726</v>
      </c>
      <c r="U1157" t="s">
        <v>46164</v>
      </c>
      <c r="V1157" t="s">
        <v>56950</v>
      </c>
      <c r="W1157" t="s">
        <v>39804</v>
      </c>
      <c r="X1157" t="s">
        <v>43171</v>
      </c>
    </row>
    <row r="1158" spans="1:24">
      <c r="A1158">
        <f>HYPERLINK("https://www.philgeps.gov.ph/GEPSNONPILOT/Tender/SplashBidNoticeAbstractUI.aspx?menuIndex=3&amp;refID=7087052&amp;Result=3","7087052")</f>
        <v>0</v>
      </c>
      <c r="B1158" t="s">
        <v>506</v>
      </c>
      <c r="C1158" t="s">
        <v>4536</v>
      </c>
      <c r="D1158" t="s">
        <v>17414</v>
      </c>
      <c r="E1158" t="s">
        <v>17715</v>
      </c>
      <c r="F1158" t="s">
        <v>30052</v>
      </c>
      <c r="G1158" t="s">
        <v>30058</v>
      </c>
      <c r="H1158" t="s">
        <v>15498</v>
      </c>
      <c r="I1158" t="s">
        <v>3736</v>
      </c>
      <c r="J1158" t="s">
        <v>31059</v>
      </c>
      <c r="K1158" t="s">
        <v>39025</v>
      </c>
      <c r="M1158" t="s">
        <v>39807</v>
      </c>
      <c r="N1158" t="s">
        <v>43166</v>
      </c>
      <c r="O1158" t="s">
        <v>43167</v>
      </c>
      <c r="P1158">
        <v>0</v>
      </c>
      <c r="Q1158">
        <v>0</v>
      </c>
      <c r="R1158" t="s">
        <v>43169</v>
      </c>
      <c r="S1158" t="s">
        <v>43291</v>
      </c>
      <c r="T1158" t="s">
        <v>44745</v>
      </c>
      <c r="U1158" t="s">
        <v>46168</v>
      </c>
      <c r="W1158" t="s">
        <v>39807</v>
      </c>
      <c r="X1158" t="s">
        <v>43171</v>
      </c>
    </row>
    <row r="1159" spans="1:24">
      <c r="A1159">
        <f>HYPERLINK("https://www.philgeps.gov.ph/GEPSNONPILOT/Tender/SplashBidNoticeAbstractUI.aspx?menuIndex=3&amp;refID=7087100&amp;Result=3","7087100")</f>
        <v>0</v>
      </c>
      <c r="B1159" t="s">
        <v>503</v>
      </c>
      <c r="C1159" t="s">
        <v>4537</v>
      </c>
      <c r="D1159" t="s">
        <v>17415</v>
      </c>
      <c r="E1159" t="s">
        <v>18548</v>
      </c>
      <c r="F1159" t="s">
        <v>30052</v>
      </c>
      <c r="G1159" t="s">
        <v>30058</v>
      </c>
      <c r="H1159" t="s">
        <v>15498</v>
      </c>
      <c r="I1159" t="s">
        <v>30088</v>
      </c>
      <c r="J1159" t="s">
        <v>30900</v>
      </c>
      <c r="K1159" t="s">
        <v>39025</v>
      </c>
      <c r="M1159" t="s">
        <v>39804</v>
      </c>
      <c r="N1159" t="s">
        <v>43166</v>
      </c>
      <c r="O1159" t="s">
        <v>43167</v>
      </c>
      <c r="P1159">
        <v>0</v>
      </c>
      <c r="Q1159">
        <v>4</v>
      </c>
      <c r="R1159" t="s">
        <v>43169</v>
      </c>
      <c r="S1159" t="s">
        <v>43291</v>
      </c>
      <c r="T1159" t="s">
        <v>44712</v>
      </c>
      <c r="U1159" t="s">
        <v>46164</v>
      </c>
      <c r="V1159" t="s">
        <v>56950</v>
      </c>
      <c r="W1159" t="s">
        <v>39804</v>
      </c>
      <c r="X1159" t="s">
        <v>43171</v>
      </c>
    </row>
    <row r="1160" spans="1:24">
      <c r="A1160">
        <f>HYPERLINK("https://www.philgeps.gov.ph/GEPSNONPILOT/Tender/SplashBidNoticeAbstractUI.aspx?menuIndex=3&amp;refID=7087093&amp;Result=3","7087093")</f>
        <v>0</v>
      </c>
      <c r="B1160" t="s">
        <v>503</v>
      </c>
      <c r="C1160" t="s">
        <v>4538</v>
      </c>
      <c r="D1160" t="s">
        <v>17415</v>
      </c>
      <c r="E1160" t="s">
        <v>18548</v>
      </c>
      <c r="F1160" t="s">
        <v>30052</v>
      </c>
      <c r="G1160" t="s">
        <v>30058</v>
      </c>
      <c r="H1160" t="s">
        <v>15498</v>
      </c>
      <c r="I1160" t="s">
        <v>30088</v>
      </c>
      <c r="J1160" t="s">
        <v>30209</v>
      </c>
      <c r="K1160" t="s">
        <v>39025</v>
      </c>
      <c r="M1160" t="s">
        <v>39804</v>
      </c>
      <c r="N1160" t="s">
        <v>43166</v>
      </c>
      <c r="O1160" t="s">
        <v>43167</v>
      </c>
      <c r="P1160">
        <v>0</v>
      </c>
      <c r="Q1160">
        <v>6</v>
      </c>
      <c r="R1160" t="s">
        <v>43169</v>
      </c>
      <c r="S1160" t="s">
        <v>43291</v>
      </c>
      <c r="T1160" t="s">
        <v>44712</v>
      </c>
      <c r="U1160" t="s">
        <v>46164</v>
      </c>
      <c r="V1160" t="s">
        <v>56950</v>
      </c>
      <c r="W1160" t="s">
        <v>39804</v>
      </c>
      <c r="X1160" t="s">
        <v>43171</v>
      </c>
    </row>
    <row r="1161" spans="1:24">
      <c r="A1161">
        <f>HYPERLINK("https://www.philgeps.gov.ph/GEPSNONPILOT/Tender/SplashBidNoticeAbstractUI.aspx?menuIndex=3&amp;refID=7087038&amp;Result=3","7087038")</f>
        <v>0</v>
      </c>
      <c r="B1161" t="s">
        <v>503</v>
      </c>
      <c r="C1161" t="s">
        <v>4539</v>
      </c>
      <c r="D1161" t="s">
        <v>17415</v>
      </c>
      <c r="E1161" t="s">
        <v>18548</v>
      </c>
      <c r="F1161" t="s">
        <v>30052</v>
      </c>
      <c r="G1161" t="s">
        <v>30058</v>
      </c>
      <c r="H1161" t="s">
        <v>15498</v>
      </c>
      <c r="I1161" t="s">
        <v>30088</v>
      </c>
      <c r="J1161" t="s">
        <v>30747</v>
      </c>
      <c r="K1161" t="s">
        <v>39025</v>
      </c>
      <c r="M1161" t="s">
        <v>39804</v>
      </c>
      <c r="N1161" t="s">
        <v>43166</v>
      </c>
      <c r="O1161" t="s">
        <v>43167</v>
      </c>
      <c r="P1161">
        <v>0</v>
      </c>
      <c r="Q1161">
        <v>4</v>
      </c>
      <c r="R1161" t="s">
        <v>43169</v>
      </c>
      <c r="S1161" t="s">
        <v>43291</v>
      </c>
      <c r="T1161" t="s">
        <v>44726</v>
      </c>
      <c r="U1161" t="s">
        <v>46164</v>
      </c>
      <c r="V1161" t="s">
        <v>56950</v>
      </c>
      <c r="W1161" t="s">
        <v>39804</v>
      </c>
      <c r="X1161" t="s">
        <v>43171</v>
      </c>
    </row>
    <row r="1162" spans="1:24">
      <c r="A1162">
        <f>HYPERLINK("https://www.philgeps.gov.ph/GEPSNONPILOT/Tender/SplashBidNoticeAbstractUI.aspx?menuIndex=3&amp;refID=7087090&amp;Result=3","7087090")</f>
        <v>0</v>
      </c>
      <c r="B1162" t="s">
        <v>503</v>
      </c>
      <c r="C1162" t="s">
        <v>4540</v>
      </c>
      <c r="D1162" t="s">
        <v>17415</v>
      </c>
      <c r="E1162" t="s">
        <v>18548</v>
      </c>
      <c r="F1162" t="s">
        <v>30052</v>
      </c>
      <c r="G1162" t="s">
        <v>30058</v>
      </c>
      <c r="H1162" t="s">
        <v>15498</v>
      </c>
      <c r="I1162" t="s">
        <v>30088</v>
      </c>
      <c r="J1162" t="s">
        <v>30252</v>
      </c>
      <c r="K1162" t="s">
        <v>39025</v>
      </c>
      <c r="M1162" t="s">
        <v>39804</v>
      </c>
      <c r="N1162" t="s">
        <v>43166</v>
      </c>
      <c r="O1162" t="s">
        <v>43167</v>
      </c>
      <c r="P1162">
        <v>0</v>
      </c>
      <c r="Q1162">
        <v>1</v>
      </c>
      <c r="R1162" t="s">
        <v>43169</v>
      </c>
      <c r="S1162" t="s">
        <v>43291</v>
      </c>
      <c r="T1162" t="s">
        <v>44712</v>
      </c>
      <c r="U1162" t="s">
        <v>46164</v>
      </c>
      <c r="V1162" t="s">
        <v>56950</v>
      </c>
      <c r="W1162" t="s">
        <v>39804</v>
      </c>
      <c r="X1162" t="s">
        <v>43171</v>
      </c>
    </row>
    <row r="1163" spans="1:24">
      <c r="A1163">
        <f>HYPERLINK("https://www.philgeps.gov.ph/GEPSNONPILOT/Tender/SplashBidNoticeAbstractUI.aspx?menuIndex=3&amp;refID=7087087&amp;Result=3","7087087")</f>
        <v>0</v>
      </c>
      <c r="B1163" t="s">
        <v>503</v>
      </c>
      <c r="C1163" t="s">
        <v>4541</v>
      </c>
      <c r="D1163" t="s">
        <v>17415</v>
      </c>
      <c r="E1163" t="s">
        <v>18548</v>
      </c>
      <c r="F1163" t="s">
        <v>30052</v>
      </c>
      <c r="G1163" t="s">
        <v>30058</v>
      </c>
      <c r="H1163" t="s">
        <v>15498</v>
      </c>
      <c r="I1163" t="s">
        <v>30088</v>
      </c>
      <c r="J1163" t="s">
        <v>31060</v>
      </c>
      <c r="K1163" t="s">
        <v>39025</v>
      </c>
      <c r="M1163" t="s">
        <v>39804</v>
      </c>
      <c r="N1163" t="s">
        <v>43166</v>
      </c>
      <c r="O1163" t="s">
        <v>43167</v>
      </c>
      <c r="P1163">
        <v>0</v>
      </c>
      <c r="Q1163">
        <v>9</v>
      </c>
      <c r="R1163" t="s">
        <v>43169</v>
      </c>
      <c r="S1163" t="s">
        <v>43291</v>
      </c>
      <c r="T1163" t="s">
        <v>44712</v>
      </c>
      <c r="U1163" t="s">
        <v>46164</v>
      </c>
      <c r="V1163" t="s">
        <v>56950</v>
      </c>
      <c r="W1163" t="s">
        <v>39804</v>
      </c>
      <c r="X1163" t="s">
        <v>43171</v>
      </c>
    </row>
    <row r="1164" spans="1:24">
      <c r="A1164">
        <f>HYPERLINK("https://www.philgeps.gov.ph/GEPSNONPILOT/Tender/SplashBidNoticeAbstractUI.aspx?menuIndex=3&amp;refID=7087122&amp;Result=3","7087122")</f>
        <v>0</v>
      </c>
      <c r="B1164" t="s">
        <v>507</v>
      </c>
      <c r="C1164" t="s">
        <v>4542</v>
      </c>
      <c r="D1164" t="s">
        <v>17415</v>
      </c>
      <c r="E1164" t="s">
        <v>18551</v>
      </c>
      <c r="F1164" t="s">
        <v>30052</v>
      </c>
      <c r="G1164" t="s">
        <v>30059</v>
      </c>
      <c r="H1164" t="s">
        <v>30069</v>
      </c>
      <c r="I1164" t="s">
        <v>8323</v>
      </c>
      <c r="J1164" t="s">
        <v>31061</v>
      </c>
      <c r="K1164" t="s">
        <v>39019</v>
      </c>
      <c r="M1164" t="s">
        <v>39808</v>
      </c>
      <c r="N1164" t="s">
        <v>43166</v>
      </c>
      <c r="O1164" t="s">
        <v>43167</v>
      </c>
      <c r="P1164">
        <v>0</v>
      </c>
      <c r="Q1164">
        <v>9</v>
      </c>
      <c r="R1164" t="s">
        <v>43169</v>
      </c>
      <c r="S1164" t="s">
        <v>43291</v>
      </c>
      <c r="T1164" t="s">
        <v>44734</v>
      </c>
      <c r="U1164" t="s">
        <v>46169</v>
      </c>
      <c r="V1164" t="s">
        <v>56951</v>
      </c>
      <c r="W1164" t="s">
        <v>39808</v>
      </c>
      <c r="X1164" t="s">
        <v>43171</v>
      </c>
    </row>
    <row r="1165" spans="1:24">
      <c r="A1165">
        <f>HYPERLINK("https://www.philgeps.gov.ph/GEPSNONPILOT/Tender/SplashBidNoticeAbstractUI.aspx?menuIndex=3&amp;refID=7087066&amp;Result=3","7087066")</f>
        <v>0</v>
      </c>
      <c r="B1165" t="s">
        <v>503</v>
      </c>
      <c r="C1165" t="s">
        <v>4543</v>
      </c>
      <c r="D1165" t="s">
        <v>17415</v>
      </c>
      <c r="E1165" t="s">
        <v>18548</v>
      </c>
      <c r="F1165" t="s">
        <v>30052</v>
      </c>
      <c r="G1165" t="s">
        <v>30058</v>
      </c>
      <c r="H1165" t="s">
        <v>15498</v>
      </c>
      <c r="I1165" t="s">
        <v>30088</v>
      </c>
      <c r="J1165" t="s">
        <v>30308</v>
      </c>
      <c r="K1165" t="s">
        <v>39025</v>
      </c>
      <c r="M1165" t="s">
        <v>39804</v>
      </c>
      <c r="N1165" t="s">
        <v>43166</v>
      </c>
      <c r="O1165" t="s">
        <v>43167</v>
      </c>
      <c r="P1165">
        <v>0</v>
      </c>
      <c r="Q1165">
        <v>4</v>
      </c>
      <c r="R1165" t="s">
        <v>43169</v>
      </c>
      <c r="S1165" t="s">
        <v>43291</v>
      </c>
      <c r="T1165" t="s">
        <v>44726</v>
      </c>
      <c r="U1165" t="s">
        <v>46164</v>
      </c>
      <c r="V1165" t="s">
        <v>56950</v>
      </c>
      <c r="W1165" t="s">
        <v>39804</v>
      </c>
      <c r="X1165" t="s">
        <v>43171</v>
      </c>
    </row>
    <row r="1166" spans="1:24">
      <c r="A1166">
        <f>HYPERLINK("https://www.philgeps.gov.ph/GEPSNONPILOT/Tender/SplashBidNoticeAbstractUI.aspx?menuIndex=3&amp;refID=7086133&amp;Result=3","7086133")</f>
        <v>0</v>
      </c>
      <c r="B1166" t="s">
        <v>503</v>
      </c>
      <c r="C1166" t="s">
        <v>4544</v>
      </c>
      <c r="D1166" t="s">
        <v>17415</v>
      </c>
      <c r="E1166" t="s">
        <v>18548</v>
      </c>
      <c r="F1166" t="s">
        <v>30052</v>
      </c>
      <c r="G1166" t="s">
        <v>30058</v>
      </c>
      <c r="H1166" t="s">
        <v>15498</v>
      </c>
      <c r="I1166" t="s">
        <v>30088</v>
      </c>
      <c r="J1166" t="s">
        <v>30600</v>
      </c>
      <c r="K1166" t="s">
        <v>39025</v>
      </c>
      <c r="M1166" t="s">
        <v>39804</v>
      </c>
      <c r="N1166" t="s">
        <v>43166</v>
      </c>
      <c r="O1166" t="s">
        <v>43167</v>
      </c>
      <c r="P1166">
        <v>0</v>
      </c>
      <c r="Q1166">
        <v>2</v>
      </c>
      <c r="R1166" t="s">
        <v>43169</v>
      </c>
      <c r="S1166" t="s">
        <v>43291</v>
      </c>
      <c r="T1166" t="s">
        <v>44677</v>
      </c>
      <c r="U1166" t="s">
        <v>46164</v>
      </c>
      <c r="V1166" t="s">
        <v>56952</v>
      </c>
      <c r="W1166" t="s">
        <v>39804</v>
      </c>
      <c r="X1166" t="s">
        <v>43171</v>
      </c>
    </row>
    <row r="1167" spans="1:24">
      <c r="A1167">
        <f>HYPERLINK("https://www.philgeps.gov.ph/GEPSNONPILOT/Tender/SplashBidNoticeAbstractUI.aspx?menuIndex=3&amp;refID=7087097&amp;Result=3","7087097")</f>
        <v>0</v>
      </c>
      <c r="B1167" t="s">
        <v>503</v>
      </c>
      <c r="C1167" t="s">
        <v>4545</v>
      </c>
      <c r="D1167" t="s">
        <v>17415</v>
      </c>
      <c r="E1167" t="s">
        <v>18548</v>
      </c>
      <c r="F1167" t="s">
        <v>30052</v>
      </c>
      <c r="G1167" t="s">
        <v>30058</v>
      </c>
      <c r="H1167" t="s">
        <v>15498</v>
      </c>
      <c r="I1167" t="s">
        <v>30088</v>
      </c>
      <c r="J1167" t="s">
        <v>30230</v>
      </c>
      <c r="K1167" t="s">
        <v>39025</v>
      </c>
      <c r="M1167" t="s">
        <v>39804</v>
      </c>
      <c r="N1167" t="s">
        <v>43166</v>
      </c>
      <c r="O1167" t="s">
        <v>43167</v>
      </c>
      <c r="P1167">
        <v>0</v>
      </c>
      <c r="Q1167">
        <v>3</v>
      </c>
      <c r="R1167" t="s">
        <v>43169</v>
      </c>
      <c r="S1167" t="s">
        <v>43291</v>
      </c>
      <c r="T1167" t="s">
        <v>44712</v>
      </c>
      <c r="U1167" t="s">
        <v>46164</v>
      </c>
      <c r="V1167" t="s">
        <v>56950</v>
      </c>
      <c r="W1167" t="s">
        <v>39804</v>
      </c>
      <c r="X1167" t="s">
        <v>43171</v>
      </c>
    </row>
    <row r="1168" spans="1:24">
      <c r="A1168">
        <f>HYPERLINK("https://www.philgeps.gov.ph/GEPSNONPILOT/Tender/SplashBidNoticeAbstractUI.aspx?menuIndex=3&amp;refID=7087112&amp;Result=3","7087112")</f>
        <v>0</v>
      </c>
      <c r="B1168" t="s">
        <v>508</v>
      </c>
      <c r="C1168" t="s">
        <v>4546</v>
      </c>
      <c r="D1168" t="s">
        <v>17482</v>
      </c>
      <c r="E1168" t="s">
        <v>18552</v>
      </c>
      <c r="F1168" t="s">
        <v>30052</v>
      </c>
      <c r="G1168" t="s">
        <v>30058</v>
      </c>
      <c r="H1168" t="s">
        <v>30067</v>
      </c>
      <c r="I1168" t="s">
        <v>30093</v>
      </c>
      <c r="J1168" t="s">
        <v>30230</v>
      </c>
      <c r="K1168" t="s">
        <v>39046</v>
      </c>
      <c r="M1168" t="s">
        <v>39809</v>
      </c>
      <c r="N1168" t="s">
        <v>43166</v>
      </c>
      <c r="O1168" t="s">
        <v>43167</v>
      </c>
      <c r="P1168">
        <v>0</v>
      </c>
      <c r="Q1168">
        <v>0</v>
      </c>
      <c r="R1168" t="s">
        <v>43169</v>
      </c>
      <c r="S1168" t="s">
        <v>43291</v>
      </c>
      <c r="T1168" t="s">
        <v>44724</v>
      </c>
      <c r="U1168" t="s">
        <v>46170</v>
      </c>
      <c r="W1168" t="s">
        <v>39809</v>
      </c>
      <c r="X1168" t="s">
        <v>43171</v>
      </c>
    </row>
    <row r="1169" spans="1:24">
      <c r="A1169">
        <f>HYPERLINK("https://www.philgeps.gov.ph/GEPSNONPILOT/Tender/SplashBidNoticeAbstractUI.aspx?menuIndex=3&amp;refID=7087085&amp;Result=3","7087085")</f>
        <v>0</v>
      </c>
      <c r="B1169" t="s">
        <v>503</v>
      </c>
      <c r="C1169" t="s">
        <v>4547</v>
      </c>
      <c r="D1169" t="s">
        <v>17415</v>
      </c>
      <c r="E1169" t="s">
        <v>18548</v>
      </c>
      <c r="F1169" t="s">
        <v>30052</v>
      </c>
      <c r="G1169" t="s">
        <v>30058</v>
      </c>
      <c r="H1169" t="s">
        <v>15498</v>
      </c>
      <c r="I1169" t="s">
        <v>30088</v>
      </c>
      <c r="J1169" t="s">
        <v>30856</v>
      </c>
      <c r="K1169" t="s">
        <v>39025</v>
      </c>
      <c r="M1169" t="s">
        <v>39804</v>
      </c>
      <c r="N1169" t="s">
        <v>43166</v>
      </c>
      <c r="O1169" t="s">
        <v>43167</v>
      </c>
      <c r="P1169">
        <v>0</v>
      </c>
      <c r="Q1169">
        <v>12</v>
      </c>
      <c r="R1169" t="s">
        <v>43169</v>
      </c>
      <c r="S1169" t="s">
        <v>43291</v>
      </c>
      <c r="T1169" t="s">
        <v>44712</v>
      </c>
      <c r="U1169" t="s">
        <v>46164</v>
      </c>
      <c r="V1169" t="s">
        <v>56950</v>
      </c>
      <c r="W1169" t="s">
        <v>39804</v>
      </c>
      <c r="X1169" t="s">
        <v>43171</v>
      </c>
    </row>
    <row r="1170" spans="1:24">
      <c r="A1170">
        <f>HYPERLINK("https://www.philgeps.gov.ph/GEPSNONPILOT/Tender/SplashBidNoticeAbstractUI.aspx?menuIndex=3&amp;refID=7087124&amp;Result=3","7087124")</f>
        <v>0</v>
      </c>
      <c r="B1170" t="s">
        <v>503</v>
      </c>
      <c r="C1170" t="s">
        <v>4548</v>
      </c>
      <c r="D1170" t="s">
        <v>17415</v>
      </c>
      <c r="E1170" t="s">
        <v>18548</v>
      </c>
      <c r="F1170" t="s">
        <v>30054</v>
      </c>
      <c r="G1170" t="s">
        <v>30058</v>
      </c>
      <c r="H1170" t="s">
        <v>15498</v>
      </c>
      <c r="I1170" t="s">
        <v>30088</v>
      </c>
      <c r="J1170" t="s">
        <v>30297</v>
      </c>
      <c r="K1170" t="s">
        <v>39025</v>
      </c>
      <c r="M1170" t="s">
        <v>39804</v>
      </c>
      <c r="N1170" t="s">
        <v>43166</v>
      </c>
      <c r="O1170" t="s">
        <v>43167</v>
      </c>
      <c r="P1170">
        <v>0</v>
      </c>
      <c r="Q1170">
        <v>10</v>
      </c>
      <c r="R1170" t="s">
        <v>43169</v>
      </c>
      <c r="S1170" t="s">
        <v>43291</v>
      </c>
      <c r="T1170" t="s">
        <v>44747</v>
      </c>
      <c r="U1170" t="s">
        <v>46164</v>
      </c>
      <c r="V1170" t="s">
        <v>56950</v>
      </c>
      <c r="W1170" t="s">
        <v>39804</v>
      </c>
      <c r="X1170" t="s">
        <v>43171</v>
      </c>
    </row>
    <row r="1171" spans="1:24">
      <c r="A1171">
        <f>HYPERLINK("https://www.philgeps.gov.ph/GEPSNONPILOT/Tender/SplashBidNoticeAbstractUI.aspx?menuIndex=3&amp;refID=7087078&amp;Result=3","7087078")</f>
        <v>0</v>
      </c>
      <c r="B1171" t="s">
        <v>503</v>
      </c>
      <c r="C1171" t="s">
        <v>4549</v>
      </c>
      <c r="D1171" t="s">
        <v>17415</v>
      </c>
      <c r="E1171" t="s">
        <v>18548</v>
      </c>
      <c r="F1171" t="s">
        <v>30052</v>
      </c>
      <c r="G1171" t="s">
        <v>30058</v>
      </c>
      <c r="H1171" t="s">
        <v>15498</v>
      </c>
      <c r="I1171" t="s">
        <v>30088</v>
      </c>
      <c r="J1171" t="s">
        <v>30559</v>
      </c>
      <c r="K1171" t="s">
        <v>39025</v>
      </c>
      <c r="M1171" t="s">
        <v>39804</v>
      </c>
      <c r="N1171" t="s">
        <v>43166</v>
      </c>
      <c r="O1171" t="s">
        <v>43167</v>
      </c>
      <c r="P1171">
        <v>0</v>
      </c>
      <c r="Q1171">
        <v>4</v>
      </c>
      <c r="R1171" t="s">
        <v>43169</v>
      </c>
      <c r="S1171" t="s">
        <v>43291</v>
      </c>
      <c r="T1171" t="s">
        <v>44726</v>
      </c>
      <c r="U1171" t="s">
        <v>46164</v>
      </c>
      <c r="V1171" t="s">
        <v>56950</v>
      </c>
      <c r="W1171" t="s">
        <v>39804</v>
      </c>
      <c r="X1171" t="s">
        <v>43171</v>
      </c>
    </row>
    <row r="1172" spans="1:24">
      <c r="A1172">
        <f>HYPERLINK("https://www.philgeps.gov.ph/GEPSNONPILOT/Tender/SplashBidNoticeAbstractUI.aspx?menuIndex=3&amp;refID=7087116&amp;Result=3","7087116")</f>
        <v>0</v>
      </c>
      <c r="B1172" t="s">
        <v>503</v>
      </c>
      <c r="C1172" t="s">
        <v>4550</v>
      </c>
      <c r="D1172" t="s">
        <v>17415</v>
      </c>
      <c r="E1172" t="s">
        <v>18548</v>
      </c>
      <c r="F1172" t="s">
        <v>30052</v>
      </c>
      <c r="G1172" t="s">
        <v>30058</v>
      </c>
      <c r="H1172" t="s">
        <v>15498</v>
      </c>
      <c r="I1172" t="s">
        <v>30088</v>
      </c>
      <c r="J1172" t="s">
        <v>30953</v>
      </c>
      <c r="K1172" t="s">
        <v>39025</v>
      </c>
      <c r="M1172" t="s">
        <v>39804</v>
      </c>
      <c r="N1172" t="s">
        <v>43166</v>
      </c>
      <c r="O1172" t="s">
        <v>43167</v>
      </c>
      <c r="P1172">
        <v>0</v>
      </c>
      <c r="Q1172">
        <v>7</v>
      </c>
      <c r="R1172" t="s">
        <v>43169</v>
      </c>
      <c r="S1172" t="s">
        <v>43291</v>
      </c>
      <c r="T1172" t="s">
        <v>44747</v>
      </c>
      <c r="U1172" t="s">
        <v>46164</v>
      </c>
      <c r="V1172" t="s">
        <v>56950</v>
      </c>
      <c r="W1172" t="s">
        <v>39804</v>
      </c>
      <c r="X1172" t="s">
        <v>43171</v>
      </c>
    </row>
    <row r="1173" spans="1:24">
      <c r="A1173">
        <f>HYPERLINK("https://www.philgeps.gov.ph/GEPSNONPILOT/Tender/SplashBidNoticeAbstractUI.aspx?menuIndex=3&amp;refID=7087071&amp;Result=3","7087071")</f>
        <v>0</v>
      </c>
      <c r="B1173" t="s">
        <v>503</v>
      </c>
      <c r="C1173" t="s">
        <v>4551</v>
      </c>
      <c r="D1173" t="s">
        <v>17415</v>
      </c>
      <c r="E1173" t="s">
        <v>18548</v>
      </c>
      <c r="F1173" t="s">
        <v>30052</v>
      </c>
      <c r="G1173" t="s">
        <v>30058</v>
      </c>
      <c r="H1173" t="s">
        <v>15498</v>
      </c>
      <c r="I1173" t="s">
        <v>30088</v>
      </c>
      <c r="J1173" t="s">
        <v>31062</v>
      </c>
      <c r="K1173" t="s">
        <v>39025</v>
      </c>
      <c r="M1173" t="s">
        <v>39804</v>
      </c>
      <c r="N1173" t="s">
        <v>43166</v>
      </c>
      <c r="O1173" t="s">
        <v>43167</v>
      </c>
      <c r="P1173">
        <v>0</v>
      </c>
      <c r="Q1173">
        <v>8</v>
      </c>
      <c r="R1173" t="s">
        <v>43169</v>
      </c>
      <c r="S1173" t="s">
        <v>43291</v>
      </c>
      <c r="T1173" t="s">
        <v>44726</v>
      </c>
      <c r="U1173" t="s">
        <v>46164</v>
      </c>
      <c r="V1173" t="s">
        <v>56950</v>
      </c>
      <c r="W1173" t="s">
        <v>39804</v>
      </c>
      <c r="X1173" t="s">
        <v>43171</v>
      </c>
    </row>
    <row r="1174" spans="1:24">
      <c r="A1174">
        <f>HYPERLINK("https://www.philgeps.gov.ph/GEPSNONPILOT/Tender/SplashBidNoticeAbstractUI.aspx?menuIndex=3&amp;refID=7087102&amp;Result=3","7087102")</f>
        <v>0</v>
      </c>
      <c r="B1174" t="s">
        <v>503</v>
      </c>
      <c r="C1174" t="s">
        <v>4552</v>
      </c>
      <c r="D1174" t="s">
        <v>17415</v>
      </c>
      <c r="E1174" t="s">
        <v>18548</v>
      </c>
      <c r="F1174" t="s">
        <v>30052</v>
      </c>
      <c r="G1174" t="s">
        <v>30058</v>
      </c>
      <c r="H1174" t="s">
        <v>15498</v>
      </c>
      <c r="I1174" t="s">
        <v>30088</v>
      </c>
      <c r="J1174" t="s">
        <v>30397</v>
      </c>
      <c r="K1174" t="s">
        <v>39025</v>
      </c>
      <c r="M1174" t="s">
        <v>39804</v>
      </c>
      <c r="N1174" t="s">
        <v>43166</v>
      </c>
      <c r="O1174" t="s">
        <v>43167</v>
      </c>
      <c r="P1174">
        <v>0</v>
      </c>
      <c r="Q1174">
        <v>5</v>
      </c>
      <c r="R1174" t="s">
        <v>43169</v>
      </c>
      <c r="S1174" t="s">
        <v>43291</v>
      </c>
      <c r="T1174" t="s">
        <v>44747</v>
      </c>
      <c r="U1174" t="s">
        <v>46164</v>
      </c>
      <c r="V1174" t="s">
        <v>56950</v>
      </c>
      <c r="W1174" t="s">
        <v>39804</v>
      </c>
      <c r="X1174" t="s">
        <v>43171</v>
      </c>
    </row>
    <row r="1175" spans="1:24">
      <c r="A1175">
        <f>HYPERLINK("https://www.philgeps.gov.ph/GEPSNONPILOT/Tender/SplashBidNoticeAbstractUI.aspx?menuIndex=3&amp;refID=7087069&amp;Result=3","7087069")</f>
        <v>0</v>
      </c>
      <c r="B1175" t="s">
        <v>446</v>
      </c>
      <c r="C1175" t="s">
        <v>4553</v>
      </c>
      <c r="D1175" t="s">
        <v>17466</v>
      </c>
      <c r="E1175" t="s">
        <v>18553</v>
      </c>
      <c r="F1175" t="s">
        <v>30052</v>
      </c>
      <c r="G1175" t="s">
        <v>30060</v>
      </c>
      <c r="H1175" t="s">
        <v>15498</v>
      </c>
      <c r="I1175" t="s">
        <v>3736</v>
      </c>
      <c r="J1175" t="s">
        <v>31063</v>
      </c>
      <c r="K1175" t="s">
        <v>39036</v>
      </c>
      <c r="M1175" t="s">
        <v>39746</v>
      </c>
      <c r="N1175" t="s">
        <v>43166</v>
      </c>
      <c r="O1175" t="s">
        <v>43167</v>
      </c>
      <c r="P1175">
        <v>0</v>
      </c>
      <c r="Q1175">
        <v>0</v>
      </c>
      <c r="R1175" t="s">
        <v>43169</v>
      </c>
      <c r="S1175" t="s">
        <v>43291</v>
      </c>
      <c r="T1175" t="s">
        <v>44705</v>
      </c>
      <c r="U1175" t="s">
        <v>46171</v>
      </c>
      <c r="W1175" t="s">
        <v>39746</v>
      </c>
      <c r="X1175" t="s">
        <v>43171</v>
      </c>
    </row>
    <row r="1176" spans="1:24">
      <c r="A1176">
        <f>HYPERLINK("https://www.philgeps.gov.ph/GEPSNONPILOT/Tender/SplashBidNoticeAbstractUI.aspx?menuIndex=3&amp;refID=7087081&amp;Result=3","7087081")</f>
        <v>0</v>
      </c>
      <c r="B1176" t="s">
        <v>503</v>
      </c>
      <c r="C1176" t="s">
        <v>4554</v>
      </c>
      <c r="D1176" t="s">
        <v>17415</v>
      </c>
      <c r="E1176" t="s">
        <v>18548</v>
      </c>
      <c r="F1176" t="s">
        <v>30052</v>
      </c>
      <c r="G1176" t="s">
        <v>30058</v>
      </c>
      <c r="H1176" t="s">
        <v>15498</v>
      </c>
      <c r="I1176" t="s">
        <v>30088</v>
      </c>
      <c r="J1176" t="s">
        <v>30402</v>
      </c>
      <c r="K1176" t="s">
        <v>39025</v>
      </c>
      <c r="M1176" t="s">
        <v>39804</v>
      </c>
      <c r="N1176" t="s">
        <v>43166</v>
      </c>
      <c r="O1176" t="s">
        <v>43167</v>
      </c>
      <c r="P1176">
        <v>0</v>
      </c>
      <c r="Q1176">
        <v>2</v>
      </c>
      <c r="R1176" t="s">
        <v>43169</v>
      </c>
      <c r="S1176" t="s">
        <v>43291</v>
      </c>
      <c r="T1176" t="s">
        <v>44726</v>
      </c>
      <c r="U1176" t="s">
        <v>46164</v>
      </c>
      <c r="V1176" t="s">
        <v>56950</v>
      </c>
      <c r="W1176" t="s">
        <v>39804</v>
      </c>
      <c r="X1176" t="s">
        <v>43171</v>
      </c>
    </row>
    <row r="1177" spans="1:24">
      <c r="A1177">
        <f>HYPERLINK("https://www.philgeps.gov.ph/GEPSNONPILOT/Tender/SplashBidNoticeAbstractUI.aspx?menuIndex=3&amp;refID=7087120&amp;Result=3","7087120")</f>
        <v>0</v>
      </c>
      <c r="B1177" t="s">
        <v>503</v>
      </c>
      <c r="C1177" t="s">
        <v>4555</v>
      </c>
      <c r="D1177" t="s">
        <v>17415</v>
      </c>
      <c r="E1177" t="s">
        <v>18548</v>
      </c>
      <c r="F1177" t="s">
        <v>30052</v>
      </c>
      <c r="G1177" t="s">
        <v>30058</v>
      </c>
      <c r="H1177" t="s">
        <v>15498</v>
      </c>
      <c r="I1177" t="s">
        <v>30088</v>
      </c>
      <c r="J1177" t="s">
        <v>30222</v>
      </c>
      <c r="K1177" t="s">
        <v>39025</v>
      </c>
      <c r="M1177" t="s">
        <v>39804</v>
      </c>
      <c r="N1177" t="s">
        <v>43166</v>
      </c>
      <c r="O1177" t="s">
        <v>43167</v>
      </c>
      <c r="P1177">
        <v>0</v>
      </c>
      <c r="Q1177">
        <v>9</v>
      </c>
      <c r="R1177" t="s">
        <v>43169</v>
      </c>
      <c r="S1177" t="s">
        <v>43291</v>
      </c>
      <c r="T1177" t="s">
        <v>44747</v>
      </c>
      <c r="U1177" t="s">
        <v>46164</v>
      </c>
      <c r="V1177" t="s">
        <v>56950</v>
      </c>
      <c r="W1177" t="s">
        <v>39804</v>
      </c>
      <c r="X1177" t="s">
        <v>43171</v>
      </c>
    </row>
    <row r="1178" spans="1:24">
      <c r="A1178">
        <f>HYPERLINK("https://www.philgeps.gov.ph/GEPSNONPILOT/Tender/SplashBidNoticeAbstractUI.aspx?menuIndex=3&amp;refID=7087146&amp;Result=3","7087146")</f>
        <v>0</v>
      </c>
      <c r="B1178" t="s">
        <v>509</v>
      </c>
      <c r="C1178" t="s">
        <v>4556</v>
      </c>
      <c r="D1178" t="s">
        <v>17415</v>
      </c>
      <c r="E1178" t="s">
        <v>18554</v>
      </c>
      <c r="F1178" t="s">
        <v>30052</v>
      </c>
      <c r="G1178" t="s">
        <v>30059</v>
      </c>
      <c r="H1178" t="s">
        <v>30068</v>
      </c>
      <c r="I1178" t="s">
        <v>30068</v>
      </c>
      <c r="J1178" t="s">
        <v>31064</v>
      </c>
      <c r="K1178" t="s">
        <v>39076</v>
      </c>
      <c r="M1178" t="s">
        <v>39810</v>
      </c>
      <c r="N1178" t="s">
        <v>43166</v>
      </c>
      <c r="O1178" t="s">
        <v>43167</v>
      </c>
      <c r="P1178">
        <v>0</v>
      </c>
      <c r="Q1178">
        <v>1</v>
      </c>
      <c r="R1178" t="s">
        <v>43169</v>
      </c>
      <c r="S1178" t="s">
        <v>43291</v>
      </c>
      <c r="T1178" t="s">
        <v>44710</v>
      </c>
      <c r="U1178" t="s">
        <v>46172</v>
      </c>
      <c r="W1178" t="s">
        <v>39810</v>
      </c>
      <c r="X1178" t="s">
        <v>43170</v>
      </c>
    </row>
    <row r="1179" spans="1:24">
      <c r="A1179">
        <f>HYPERLINK("https://www.philgeps.gov.ph/GEPSNONPILOT/Tender/SplashBidNoticeAbstractUI.aspx?menuIndex=3&amp;refID=7087138&amp;Result=3","7087138")</f>
        <v>0</v>
      </c>
      <c r="B1179" t="s">
        <v>510</v>
      </c>
      <c r="C1179" t="s">
        <v>4557</v>
      </c>
      <c r="E1179" t="s">
        <v>18555</v>
      </c>
      <c r="F1179" t="s">
        <v>30052</v>
      </c>
      <c r="G1179" t="s">
        <v>30059</v>
      </c>
      <c r="H1179" t="s">
        <v>15498</v>
      </c>
      <c r="I1179" t="s">
        <v>4650</v>
      </c>
      <c r="J1179" t="s">
        <v>30248</v>
      </c>
      <c r="K1179" t="s">
        <v>39025</v>
      </c>
      <c r="M1179" t="s">
        <v>39811</v>
      </c>
      <c r="N1179" t="s">
        <v>43166</v>
      </c>
      <c r="O1179" t="s">
        <v>43167</v>
      </c>
      <c r="P1179">
        <v>0</v>
      </c>
      <c r="Q1179">
        <v>5</v>
      </c>
      <c r="R1179" t="s">
        <v>43169</v>
      </c>
      <c r="S1179" t="s">
        <v>43291</v>
      </c>
      <c r="T1179" t="s">
        <v>44760</v>
      </c>
      <c r="U1179" t="s">
        <v>46173</v>
      </c>
      <c r="V1179" t="s">
        <v>48243</v>
      </c>
      <c r="W1179" t="s">
        <v>39811</v>
      </c>
      <c r="X1179" t="s">
        <v>43170</v>
      </c>
    </row>
    <row r="1180" spans="1:24">
      <c r="A1180">
        <f>HYPERLINK("https://www.philgeps.gov.ph/GEPSNONPILOT/Tender/SplashBidNoticeAbstractUI.aspx?menuIndex=3&amp;refID=7087145&amp;Result=3","7087145")</f>
        <v>0</v>
      </c>
      <c r="B1180" t="s">
        <v>511</v>
      </c>
      <c r="C1180" t="s">
        <v>4558</v>
      </c>
      <c r="D1180" t="s">
        <v>17480</v>
      </c>
      <c r="E1180" t="s">
        <v>18556</v>
      </c>
      <c r="F1180" t="s">
        <v>30052</v>
      </c>
      <c r="G1180" t="s">
        <v>30058</v>
      </c>
      <c r="H1180" t="s">
        <v>15498</v>
      </c>
      <c r="I1180" t="s">
        <v>30072</v>
      </c>
      <c r="J1180" t="s">
        <v>31065</v>
      </c>
      <c r="K1180" t="s">
        <v>39029</v>
      </c>
      <c r="M1180" t="s">
        <v>39812</v>
      </c>
      <c r="N1180" t="s">
        <v>43166</v>
      </c>
      <c r="O1180" t="s">
        <v>43167</v>
      </c>
      <c r="P1180">
        <v>0</v>
      </c>
      <c r="Q1180">
        <v>6</v>
      </c>
      <c r="R1180" t="s">
        <v>43169</v>
      </c>
      <c r="S1180" t="s">
        <v>43291</v>
      </c>
      <c r="T1180" t="s">
        <v>44827</v>
      </c>
      <c r="U1180" t="s">
        <v>46174</v>
      </c>
      <c r="V1180" t="s">
        <v>56953</v>
      </c>
      <c r="W1180" t="s">
        <v>39812</v>
      </c>
      <c r="X1180" t="s">
        <v>43170</v>
      </c>
    </row>
    <row r="1181" spans="1:24">
      <c r="A1181">
        <f>HYPERLINK("https://www.philgeps.gov.ph/GEPSNONPILOT/Tender/SplashBidNoticeAbstractUI.aspx?menuIndex=3&amp;refID=7087143&amp;Result=3","7087143")</f>
        <v>0</v>
      </c>
      <c r="B1181" t="s">
        <v>509</v>
      </c>
      <c r="C1181" t="s">
        <v>4559</v>
      </c>
      <c r="D1181" t="s">
        <v>17415</v>
      </c>
      <c r="E1181" t="s">
        <v>18557</v>
      </c>
      <c r="F1181" t="s">
        <v>30052</v>
      </c>
      <c r="G1181" t="s">
        <v>30059</v>
      </c>
      <c r="H1181" t="s">
        <v>30068</v>
      </c>
      <c r="I1181" t="s">
        <v>30068</v>
      </c>
      <c r="J1181" t="s">
        <v>31066</v>
      </c>
      <c r="K1181" t="s">
        <v>39077</v>
      </c>
      <c r="M1181" t="s">
        <v>39810</v>
      </c>
      <c r="N1181" t="s">
        <v>43166</v>
      </c>
      <c r="O1181" t="s">
        <v>43167</v>
      </c>
      <c r="P1181">
        <v>0</v>
      </c>
      <c r="Q1181">
        <v>3</v>
      </c>
      <c r="R1181" t="s">
        <v>43169</v>
      </c>
      <c r="S1181" t="s">
        <v>43291</v>
      </c>
      <c r="T1181" t="s">
        <v>44710</v>
      </c>
      <c r="U1181" t="s">
        <v>46172</v>
      </c>
      <c r="W1181" t="s">
        <v>39810</v>
      </c>
      <c r="X1181" t="s">
        <v>43170</v>
      </c>
    </row>
    <row r="1182" spans="1:24">
      <c r="A1182">
        <f>HYPERLINK("https://www.philgeps.gov.ph/GEPSNONPILOT/Tender/SplashBidNoticeAbstractUI.aspx?menuIndex=3&amp;refID=7087142&amp;Result=3","7087142")</f>
        <v>0</v>
      </c>
      <c r="B1182" t="s">
        <v>509</v>
      </c>
      <c r="C1182" t="s">
        <v>4560</v>
      </c>
      <c r="D1182" t="s">
        <v>17415</v>
      </c>
      <c r="E1182" t="s">
        <v>18558</v>
      </c>
      <c r="F1182" t="s">
        <v>30052</v>
      </c>
      <c r="G1182" t="s">
        <v>30059</v>
      </c>
      <c r="H1182" t="s">
        <v>30068</v>
      </c>
      <c r="I1182" t="s">
        <v>30068</v>
      </c>
      <c r="J1182" t="s">
        <v>31067</v>
      </c>
      <c r="K1182" t="s">
        <v>39061</v>
      </c>
      <c r="M1182" t="s">
        <v>39810</v>
      </c>
      <c r="N1182" t="s">
        <v>43166</v>
      </c>
      <c r="O1182" t="s">
        <v>43167</v>
      </c>
      <c r="P1182">
        <v>0</v>
      </c>
      <c r="Q1182">
        <v>1</v>
      </c>
      <c r="R1182" t="s">
        <v>43169</v>
      </c>
      <c r="S1182" t="s">
        <v>43291</v>
      </c>
      <c r="T1182" t="s">
        <v>44710</v>
      </c>
      <c r="U1182" t="s">
        <v>46172</v>
      </c>
      <c r="W1182" t="s">
        <v>39810</v>
      </c>
      <c r="X1182" t="s">
        <v>43170</v>
      </c>
    </row>
    <row r="1183" spans="1:24">
      <c r="A1183">
        <f>HYPERLINK("https://www.philgeps.gov.ph/GEPSNONPILOT/Tender/SplashBidNoticeAbstractUI.aspx?menuIndex=3&amp;refID=7087139&amp;Result=3","7087139")</f>
        <v>0</v>
      </c>
      <c r="B1183" t="s">
        <v>509</v>
      </c>
      <c r="C1183" t="s">
        <v>4561</v>
      </c>
      <c r="D1183" t="s">
        <v>17415</v>
      </c>
      <c r="E1183" t="s">
        <v>18559</v>
      </c>
      <c r="F1183" t="s">
        <v>30052</v>
      </c>
      <c r="G1183" t="s">
        <v>30059</v>
      </c>
      <c r="H1183" t="s">
        <v>30068</v>
      </c>
      <c r="I1183" t="s">
        <v>30068</v>
      </c>
      <c r="J1183" t="s">
        <v>31068</v>
      </c>
      <c r="K1183" t="s">
        <v>39026</v>
      </c>
      <c r="M1183" t="s">
        <v>39810</v>
      </c>
      <c r="N1183" t="s">
        <v>43166</v>
      </c>
      <c r="O1183" t="s">
        <v>43167</v>
      </c>
      <c r="P1183">
        <v>0</v>
      </c>
      <c r="Q1183">
        <v>1</v>
      </c>
      <c r="R1183" t="s">
        <v>43169</v>
      </c>
      <c r="S1183" t="s">
        <v>43291</v>
      </c>
      <c r="T1183" t="s">
        <v>44710</v>
      </c>
      <c r="U1183" t="s">
        <v>46172</v>
      </c>
      <c r="W1183" t="s">
        <v>39810</v>
      </c>
      <c r="X1183" t="s">
        <v>43170</v>
      </c>
    </row>
    <row r="1184" spans="1:24">
      <c r="A1184">
        <f>HYPERLINK("https://www.philgeps.gov.ph/GEPSNONPILOT/Tender/SplashBidNoticeAbstractUI.aspx?menuIndex=3&amp;refID=7087141&amp;Result=3","7087141")</f>
        <v>0</v>
      </c>
      <c r="B1184" t="s">
        <v>509</v>
      </c>
      <c r="C1184" t="s">
        <v>4562</v>
      </c>
      <c r="D1184" t="s">
        <v>17415</v>
      </c>
      <c r="E1184" t="s">
        <v>18560</v>
      </c>
      <c r="F1184" t="s">
        <v>30052</v>
      </c>
      <c r="G1184" t="s">
        <v>30059</v>
      </c>
      <c r="H1184" t="s">
        <v>30068</v>
      </c>
      <c r="I1184" t="s">
        <v>30068</v>
      </c>
      <c r="J1184" t="s">
        <v>31069</v>
      </c>
      <c r="K1184" t="s">
        <v>39061</v>
      </c>
      <c r="M1184" t="s">
        <v>39810</v>
      </c>
      <c r="N1184" t="s">
        <v>43166</v>
      </c>
      <c r="O1184" t="s">
        <v>43167</v>
      </c>
      <c r="P1184">
        <v>0</v>
      </c>
      <c r="Q1184">
        <v>2</v>
      </c>
      <c r="R1184" t="s">
        <v>43169</v>
      </c>
      <c r="S1184" t="s">
        <v>43291</v>
      </c>
      <c r="T1184" t="s">
        <v>44710</v>
      </c>
      <c r="U1184" t="s">
        <v>46172</v>
      </c>
      <c r="W1184" t="s">
        <v>39810</v>
      </c>
      <c r="X1184" t="s">
        <v>43170</v>
      </c>
    </row>
    <row r="1185" spans="1:24">
      <c r="A1185">
        <f>HYPERLINK("https://www.philgeps.gov.ph/GEPSNONPILOT/Tender/SplashBidNoticeAbstractUI.aspx?menuIndex=3&amp;refID=7087144&amp;Result=3","7087144")</f>
        <v>0</v>
      </c>
      <c r="B1185" t="s">
        <v>509</v>
      </c>
      <c r="C1185" t="s">
        <v>4563</v>
      </c>
      <c r="D1185" t="s">
        <v>17415</v>
      </c>
      <c r="E1185" t="s">
        <v>18561</v>
      </c>
      <c r="F1185" t="s">
        <v>30052</v>
      </c>
      <c r="G1185" t="s">
        <v>30059</v>
      </c>
      <c r="H1185" t="s">
        <v>30068</v>
      </c>
      <c r="I1185" t="s">
        <v>30068</v>
      </c>
      <c r="J1185" t="s">
        <v>31064</v>
      </c>
      <c r="K1185" t="s">
        <v>39076</v>
      </c>
      <c r="M1185" t="s">
        <v>39810</v>
      </c>
      <c r="N1185" t="s">
        <v>43166</v>
      </c>
      <c r="O1185" t="s">
        <v>43167</v>
      </c>
      <c r="P1185">
        <v>0</v>
      </c>
      <c r="Q1185">
        <v>2</v>
      </c>
      <c r="R1185" t="s">
        <v>43169</v>
      </c>
      <c r="S1185" t="s">
        <v>43291</v>
      </c>
      <c r="T1185" t="s">
        <v>44710</v>
      </c>
      <c r="U1185" t="s">
        <v>46172</v>
      </c>
      <c r="W1185" t="s">
        <v>39810</v>
      </c>
      <c r="X1185" t="s">
        <v>43170</v>
      </c>
    </row>
    <row r="1186" spans="1:24">
      <c r="A1186">
        <f>HYPERLINK("https://www.philgeps.gov.ph/GEPSNONPILOT/Tender/SplashBidNoticeAbstractUI.aspx?menuIndex=3&amp;refID=7087127&amp;Result=3","7087127")</f>
        <v>0</v>
      </c>
      <c r="B1186" t="s">
        <v>405</v>
      </c>
      <c r="C1186" t="s">
        <v>4564</v>
      </c>
      <c r="E1186" t="s">
        <v>18562</v>
      </c>
      <c r="F1186" t="s">
        <v>30052</v>
      </c>
      <c r="G1186" t="s">
        <v>30058</v>
      </c>
      <c r="H1186" t="s">
        <v>30069</v>
      </c>
      <c r="I1186" t="s">
        <v>12885</v>
      </c>
      <c r="J1186" t="s">
        <v>31070</v>
      </c>
      <c r="K1186" t="s">
        <v>39068</v>
      </c>
      <c r="M1186" t="s">
        <v>39704</v>
      </c>
      <c r="N1186" t="s">
        <v>43166</v>
      </c>
      <c r="O1186" t="s">
        <v>43167</v>
      </c>
      <c r="P1186">
        <v>0</v>
      </c>
      <c r="Q1186">
        <v>4</v>
      </c>
      <c r="R1186" t="s">
        <v>43169</v>
      </c>
      <c r="S1186" t="s">
        <v>43291</v>
      </c>
      <c r="T1186" t="s">
        <v>44828</v>
      </c>
      <c r="U1186" t="s">
        <v>46175</v>
      </c>
      <c r="W1186" t="s">
        <v>39704</v>
      </c>
      <c r="X1186" t="s">
        <v>43171</v>
      </c>
    </row>
    <row r="1187" spans="1:24">
      <c r="A1187">
        <f>HYPERLINK("https://www.philgeps.gov.ph/GEPSNONPILOT/Tender/SplashBidNoticeAbstractUI.aspx?menuIndex=3&amp;refID=7087073&amp;Result=3","7087073")</f>
        <v>0</v>
      </c>
      <c r="B1187" t="s">
        <v>503</v>
      </c>
      <c r="C1187" t="s">
        <v>4565</v>
      </c>
      <c r="D1187" t="s">
        <v>17415</v>
      </c>
      <c r="E1187" t="s">
        <v>18548</v>
      </c>
      <c r="F1187" t="s">
        <v>30052</v>
      </c>
      <c r="G1187" t="s">
        <v>30058</v>
      </c>
      <c r="H1187" t="s">
        <v>15498</v>
      </c>
      <c r="I1187" t="s">
        <v>30088</v>
      </c>
      <c r="J1187" t="s">
        <v>31071</v>
      </c>
      <c r="K1187" t="s">
        <v>39025</v>
      </c>
      <c r="M1187" t="s">
        <v>39804</v>
      </c>
      <c r="N1187" t="s">
        <v>43166</v>
      </c>
      <c r="O1187" t="s">
        <v>43167</v>
      </c>
      <c r="P1187">
        <v>0</v>
      </c>
      <c r="Q1187">
        <v>9</v>
      </c>
      <c r="R1187" t="s">
        <v>43169</v>
      </c>
      <c r="S1187" t="s">
        <v>43291</v>
      </c>
      <c r="T1187" t="s">
        <v>44726</v>
      </c>
      <c r="U1187" t="s">
        <v>46164</v>
      </c>
      <c r="V1187" t="s">
        <v>56950</v>
      </c>
      <c r="W1187" t="s">
        <v>39804</v>
      </c>
      <c r="X1187" t="s">
        <v>43171</v>
      </c>
    </row>
    <row r="1188" spans="1:24">
      <c r="A1188">
        <f>HYPERLINK("https://www.philgeps.gov.ph/GEPSNONPILOT/Tender/SplashBidNoticeAbstractUI.aspx?menuIndex=3&amp;refID=7087151&amp;Result=3","7087151")</f>
        <v>0</v>
      </c>
      <c r="B1188" t="s">
        <v>512</v>
      </c>
      <c r="C1188" t="s">
        <v>4566</v>
      </c>
      <c r="D1188" t="s">
        <v>17421</v>
      </c>
      <c r="E1188" t="s">
        <v>18563</v>
      </c>
      <c r="F1188" t="s">
        <v>30052</v>
      </c>
      <c r="G1188" t="s">
        <v>30058</v>
      </c>
      <c r="H1188" t="s">
        <v>30069</v>
      </c>
      <c r="I1188" t="s">
        <v>3736</v>
      </c>
      <c r="J1188" t="s">
        <v>31072</v>
      </c>
      <c r="K1188" t="s">
        <v>39029</v>
      </c>
      <c r="M1188" t="s">
        <v>39813</v>
      </c>
      <c r="N1188" t="s">
        <v>43166</v>
      </c>
      <c r="O1188" t="s">
        <v>43167</v>
      </c>
      <c r="P1188">
        <v>0</v>
      </c>
      <c r="Q1188">
        <v>0</v>
      </c>
      <c r="R1188" t="s">
        <v>43169</v>
      </c>
      <c r="S1188" t="s">
        <v>43291</v>
      </c>
      <c r="T1188" t="s">
        <v>44716</v>
      </c>
      <c r="U1188" t="s">
        <v>46176</v>
      </c>
      <c r="W1188" t="s">
        <v>39813</v>
      </c>
      <c r="X1188" t="s">
        <v>43170</v>
      </c>
    </row>
    <row r="1189" spans="1:24">
      <c r="A1189">
        <f>HYPERLINK("https://www.philgeps.gov.ph/GEPSNONPILOT/Tender/SplashBidNoticeAbstractUI.aspx?menuIndex=3&amp;refID=7087177&amp;Result=3","7087177")</f>
        <v>0</v>
      </c>
      <c r="B1189" t="s">
        <v>513</v>
      </c>
      <c r="C1189" t="s">
        <v>4567</v>
      </c>
      <c r="D1189" t="s">
        <v>17471</v>
      </c>
      <c r="E1189" t="s">
        <v>18564</v>
      </c>
      <c r="F1189" t="s">
        <v>30052</v>
      </c>
      <c r="G1189" t="s">
        <v>30058</v>
      </c>
      <c r="H1189" t="s">
        <v>30067</v>
      </c>
      <c r="I1189" t="s">
        <v>3693</v>
      </c>
      <c r="J1189" t="s">
        <v>30215</v>
      </c>
      <c r="K1189" t="s">
        <v>39026</v>
      </c>
      <c r="M1189" t="s">
        <v>39814</v>
      </c>
      <c r="N1189" t="s">
        <v>43166</v>
      </c>
      <c r="O1189" t="s">
        <v>43167</v>
      </c>
      <c r="P1189">
        <v>0</v>
      </c>
      <c r="Q1189">
        <v>0</v>
      </c>
      <c r="R1189" t="s">
        <v>43169</v>
      </c>
      <c r="S1189" t="s">
        <v>43291</v>
      </c>
      <c r="T1189" t="s">
        <v>44702</v>
      </c>
      <c r="U1189" t="s">
        <v>46177</v>
      </c>
      <c r="W1189" t="s">
        <v>39814</v>
      </c>
      <c r="X1189" t="s">
        <v>43170</v>
      </c>
    </row>
    <row r="1190" spans="1:24">
      <c r="A1190">
        <f>HYPERLINK("https://www.philgeps.gov.ph/GEPSNONPILOT/Tender/SplashBidNoticeAbstractUI.aspx?menuIndex=3&amp;refID=7087184&amp;Result=3","7087184")</f>
        <v>0</v>
      </c>
      <c r="B1190" t="s">
        <v>514</v>
      </c>
      <c r="C1190" t="s">
        <v>4568</v>
      </c>
      <c r="D1190" t="s">
        <v>17461</v>
      </c>
      <c r="E1190" t="s">
        <v>17632</v>
      </c>
      <c r="F1190" t="s">
        <v>30052</v>
      </c>
      <c r="G1190" t="s">
        <v>30058</v>
      </c>
      <c r="H1190" t="s">
        <v>30067</v>
      </c>
      <c r="I1190" t="s">
        <v>3693</v>
      </c>
      <c r="J1190" t="s">
        <v>31073</v>
      </c>
      <c r="K1190" t="s">
        <v>39038</v>
      </c>
      <c r="L1190" t="s">
        <v>514</v>
      </c>
      <c r="M1190" t="s">
        <v>39815</v>
      </c>
      <c r="N1190" t="s">
        <v>43166</v>
      </c>
      <c r="O1190" t="s">
        <v>43167</v>
      </c>
      <c r="P1190">
        <v>0</v>
      </c>
      <c r="Q1190">
        <v>0</v>
      </c>
      <c r="R1190" t="s">
        <v>43169</v>
      </c>
      <c r="S1190" t="s">
        <v>43291</v>
      </c>
      <c r="T1190" t="s">
        <v>44758</v>
      </c>
      <c r="U1190" t="s">
        <v>46178</v>
      </c>
      <c r="V1190" t="s">
        <v>56954</v>
      </c>
      <c r="W1190" t="s">
        <v>39815</v>
      </c>
      <c r="X1190" t="s">
        <v>43170</v>
      </c>
    </row>
    <row r="1191" spans="1:24">
      <c r="A1191">
        <f>HYPERLINK("https://www.philgeps.gov.ph/GEPSNONPILOT/Tender/SplashBidNoticeAbstractUI.aspx?menuIndex=3&amp;refID=7087136&amp;Result=3","7087136")</f>
        <v>0</v>
      </c>
      <c r="B1191" t="s">
        <v>503</v>
      </c>
      <c r="C1191" t="s">
        <v>4569</v>
      </c>
      <c r="D1191" t="s">
        <v>17415</v>
      </c>
      <c r="E1191" t="s">
        <v>18548</v>
      </c>
      <c r="F1191" t="s">
        <v>30052</v>
      </c>
      <c r="G1191" t="s">
        <v>30058</v>
      </c>
      <c r="H1191" t="s">
        <v>15498</v>
      </c>
      <c r="I1191" t="s">
        <v>30088</v>
      </c>
      <c r="J1191" t="s">
        <v>31074</v>
      </c>
      <c r="K1191" t="s">
        <v>39025</v>
      </c>
      <c r="M1191" t="s">
        <v>39804</v>
      </c>
      <c r="N1191" t="s">
        <v>43166</v>
      </c>
      <c r="O1191" t="s">
        <v>43167</v>
      </c>
      <c r="P1191">
        <v>0</v>
      </c>
      <c r="Q1191">
        <v>9</v>
      </c>
      <c r="R1191" t="s">
        <v>43169</v>
      </c>
      <c r="S1191" t="s">
        <v>43291</v>
      </c>
      <c r="T1191" t="s">
        <v>44747</v>
      </c>
      <c r="U1191" t="s">
        <v>46164</v>
      </c>
      <c r="V1191" t="s">
        <v>56950</v>
      </c>
      <c r="W1191" t="s">
        <v>39804</v>
      </c>
      <c r="X1191" t="s">
        <v>43170</v>
      </c>
    </row>
    <row r="1192" spans="1:24">
      <c r="A1192">
        <f>HYPERLINK("https://www.philgeps.gov.ph/GEPSNONPILOT/Tender/SplashBidNoticeAbstractUI.aspx?menuIndex=3&amp;refID=7087076&amp;Result=3","7087076")</f>
        <v>0</v>
      </c>
      <c r="B1192" t="s">
        <v>503</v>
      </c>
      <c r="C1192" t="s">
        <v>4570</v>
      </c>
      <c r="D1192" t="s">
        <v>17415</v>
      </c>
      <c r="E1192" t="s">
        <v>18548</v>
      </c>
      <c r="F1192" t="s">
        <v>30052</v>
      </c>
      <c r="G1192" t="s">
        <v>30058</v>
      </c>
      <c r="H1192" t="s">
        <v>15498</v>
      </c>
      <c r="I1192" t="s">
        <v>30088</v>
      </c>
      <c r="J1192" t="s">
        <v>31075</v>
      </c>
      <c r="K1192" t="s">
        <v>39025</v>
      </c>
      <c r="M1192" t="s">
        <v>39804</v>
      </c>
      <c r="N1192" t="s">
        <v>43166</v>
      </c>
      <c r="O1192" t="s">
        <v>43167</v>
      </c>
      <c r="P1192">
        <v>0</v>
      </c>
      <c r="Q1192">
        <v>8</v>
      </c>
      <c r="R1192" t="s">
        <v>43169</v>
      </c>
      <c r="S1192" t="s">
        <v>43291</v>
      </c>
      <c r="T1192" t="s">
        <v>44726</v>
      </c>
      <c r="U1192" t="s">
        <v>46164</v>
      </c>
      <c r="V1192" t="s">
        <v>56950</v>
      </c>
      <c r="W1192" t="s">
        <v>39804</v>
      </c>
      <c r="X1192" t="s">
        <v>43171</v>
      </c>
    </row>
    <row r="1193" spans="1:24">
      <c r="A1193">
        <f>HYPERLINK("https://www.philgeps.gov.ph/GEPSNONPILOT/Tender/SplashBidNoticeAbstractUI.aspx?menuIndex=3&amp;refID=7087182&amp;Result=3","7087182")</f>
        <v>0</v>
      </c>
      <c r="B1193" t="s">
        <v>515</v>
      </c>
      <c r="C1193" t="s">
        <v>4571</v>
      </c>
      <c r="D1193" t="s">
        <v>17432</v>
      </c>
      <c r="E1193" t="s">
        <v>18565</v>
      </c>
      <c r="F1193" t="s">
        <v>30052</v>
      </c>
      <c r="G1193" t="s">
        <v>30060</v>
      </c>
      <c r="H1193" t="s">
        <v>15498</v>
      </c>
      <c r="I1193" t="s">
        <v>3852</v>
      </c>
      <c r="J1193" t="s">
        <v>31076</v>
      </c>
      <c r="K1193" t="s">
        <v>39018</v>
      </c>
      <c r="M1193" t="s">
        <v>39816</v>
      </c>
      <c r="N1193" t="s">
        <v>43166</v>
      </c>
      <c r="O1193" t="s">
        <v>43167</v>
      </c>
      <c r="P1193">
        <v>0</v>
      </c>
      <c r="Q1193">
        <v>0</v>
      </c>
      <c r="R1193" t="s">
        <v>43169</v>
      </c>
      <c r="S1193" t="s">
        <v>43291</v>
      </c>
      <c r="T1193" t="s">
        <v>44734</v>
      </c>
      <c r="U1193" t="s">
        <v>46179</v>
      </c>
      <c r="W1193" t="s">
        <v>39816</v>
      </c>
      <c r="X1193" t="s">
        <v>43170</v>
      </c>
    </row>
    <row r="1194" spans="1:24">
      <c r="A1194">
        <f>HYPERLINK("https://www.philgeps.gov.ph/GEPSNONPILOT/Tender/SplashBidNoticeAbstractUI.aspx?menuIndex=3&amp;refID=7087181&amp;Result=3","7087181")</f>
        <v>0</v>
      </c>
      <c r="B1194" t="s">
        <v>446</v>
      </c>
      <c r="C1194" t="s">
        <v>4572</v>
      </c>
      <c r="D1194" t="s">
        <v>17466</v>
      </c>
      <c r="E1194" t="s">
        <v>18530</v>
      </c>
      <c r="F1194" t="s">
        <v>30052</v>
      </c>
      <c r="G1194" t="s">
        <v>30060</v>
      </c>
      <c r="H1194" t="s">
        <v>15498</v>
      </c>
      <c r="I1194" t="s">
        <v>3736</v>
      </c>
      <c r="J1194" t="s">
        <v>31077</v>
      </c>
      <c r="K1194" t="s">
        <v>39036</v>
      </c>
      <c r="M1194" t="s">
        <v>39746</v>
      </c>
      <c r="N1194" t="s">
        <v>43166</v>
      </c>
      <c r="O1194" t="s">
        <v>43167</v>
      </c>
      <c r="P1194">
        <v>0</v>
      </c>
      <c r="Q1194">
        <v>0</v>
      </c>
      <c r="R1194" t="s">
        <v>43169</v>
      </c>
      <c r="S1194" t="s">
        <v>43291</v>
      </c>
      <c r="T1194" t="s">
        <v>44724</v>
      </c>
      <c r="U1194" t="s">
        <v>46180</v>
      </c>
      <c r="W1194" t="s">
        <v>39746</v>
      </c>
      <c r="X1194" t="s">
        <v>43170</v>
      </c>
    </row>
    <row r="1195" spans="1:24">
      <c r="A1195">
        <f>HYPERLINK("https://www.philgeps.gov.ph/GEPSNONPILOT/Tender/SplashBidNoticeAbstractUI.aspx?menuIndex=3&amp;refID=7087172&amp;Result=3","7087172")</f>
        <v>0</v>
      </c>
      <c r="B1195" t="s">
        <v>516</v>
      </c>
      <c r="C1195" t="s">
        <v>4573</v>
      </c>
      <c r="D1195" t="s">
        <v>17423</v>
      </c>
      <c r="E1195" t="s">
        <v>18566</v>
      </c>
      <c r="F1195" t="s">
        <v>30052</v>
      </c>
      <c r="G1195" t="s">
        <v>30059</v>
      </c>
      <c r="H1195" t="s">
        <v>15498</v>
      </c>
      <c r="I1195" t="s">
        <v>30089</v>
      </c>
      <c r="J1195" t="s">
        <v>31078</v>
      </c>
      <c r="K1195" t="s">
        <v>39017</v>
      </c>
      <c r="M1195" t="s">
        <v>39817</v>
      </c>
      <c r="N1195" t="s">
        <v>43166</v>
      </c>
      <c r="O1195" t="s">
        <v>43167</v>
      </c>
      <c r="P1195">
        <v>0</v>
      </c>
      <c r="Q1195">
        <v>0</v>
      </c>
      <c r="R1195" t="s">
        <v>43169</v>
      </c>
      <c r="S1195" t="s">
        <v>43291</v>
      </c>
      <c r="T1195" t="s">
        <v>44728</v>
      </c>
      <c r="U1195" t="s">
        <v>46181</v>
      </c>
      <c r="W1195" t="s">
        <v>39817</v>
      </c>
      <c r="X1195" t="s">
        <v>43170</v>
      </c>
    </row>
    <row r="1196" spans="1:24">
      <c r="A1196">
        <f>HYPERLINK("https://www.philgeps.gov.ph/GEPSNONPILOT/Tender/SplashBidNoticeAbstractUI.aspx?menuIndex=3&amp;refID=7087169&amp;Result=3","7087169")</f>
        <v>0</v>
      </c>
      <c r="B1196" t="s">
        <v>512</v>
      </c>
      <c r="C1196" t="s">
        <v>4574</v>
      </c>
      <c r="D1196" t="s">
        <v>17421</v>
      </c>
      <c r="E1196" t="s">
        <v>18563</v>
      </c>
      <c r="F1196" t="s">
        <v>30052</v>
      </c>
      <c r="G1196" t="s">
        <v>30058</v>
      </c>
      <c r="H1196" t="s">
        <v>15498</v>
      </c>
      <c r="I1196" t="s">
        <v>3736</v>
      </c>
      <c r="J1196" t="s">
        <v>31079</v>
      </c>
      <c r="K1196" t="s">
        <v>39032</v>
      </c>
      <c r="M1196" t="s">
        <v>39813</v>
      </c>
      <c r="N1196" t="s">
        <v>43166</v>
      </c>
      <c r="O1196" t="s">
        <v>43167</v>
      </c>
      <c r="P1196">
        <v>0</v>
      </c>
      <c r="Q1196">
        <v>0</v>
      </c>
      <c r="R1196" t="s">
        <v>43169</v>
      </c>
      <c r="S1196" t="s">
        <v>43291</v>
      </c>
      <c r="T1196" t="s">
        <v>44716</v>
      </c>
      <c r="U1196" t="s">
        <v>46182</v>
      </c>
      <c r="W1196" t="s">
        <v>39813</v>
      </c>
      <c r="X1196" t="s">
        <v>43170</v>
      </c>
    </row>
    <row r="1197" spans="1:24">
      <c r="A1197">
        <f>HYPERLINK("https://www.philgeps.gov.ph/GEPSNONPILOT/Tender/SplashBidNoticeAbstractUI.aspx?menuIndex=3&amp;refID=7087168&amp;Result=3","7087168")</f>
        <v>0</v>
      </c>
      <c r="B1197" t="s">
        <v>370</v>
      </c>
      <c r="C1197" t="s">
        <v>4575</v>
      </c>
      <c r="D1197" t="s">
        <v>17442</v>
      </c>
      <c r="E1197" t="s">
        <v>18567</v>
      </c>
      <c r="F1197" t="s">
        <v>30052</v>
      </c>
      <c r="G1197" t="s">
        <v>30059</v>
      </c>
      <c r="H1197" t="s">
        <v>15498</v>
      </c>
      <c r="I1197" t="s">
        <v>30071</v>
      </c>
      <c r="J1197" t="s">
        <v>30230</v>
      </c>
      <c r="K1197" t="s">
        <v>39029</v>
      </c>
      <c r="M1197" t="s">
        <v>39668</v>
      </c>
      <c r="N1197" t="s">
        <v>43166</v>
      </c>
      <c r="O1197" t="s">
        <v>43167</v>
      </c>
      <c r="P1197">
        <v>0</v>
      </c>
      <c r="Q1197">
        <v>0</v>
      </c>
      <c r="R1197" t="s">
        <v>43169</v>
      </c>
      <c r="S1197" t="s">
        <v>43291</v>
      </c>
      <c r="T1197" t="s">
        <v>44733</v>
      </c>
      <c r="U1197" t="s">
        <v>46183</v>
      </c>
      <c r="V1197" t="s">
        <v>56955</v>
      </c>
      <c r="W1197" t="s">
        <v>39668</v>
      </c>
      <c r="X1197" t="s">
        <v>43170</v>
      </c>
    </row>
    <row r="1198" spans="1:24">
      <c r="A1198">
        <f>HYPERLINK("https://www.philgeps.gov.ph/GEPSNONPILOT/Tender/SplashBidNoticeAbstractUI.aspx?menuIndex=3&amp;refID=7087183&amp;Result=3","7087183")</f>
        <v>0</v>
      </c>
      <c r="B1198" t="s">
        <v>517</v>
      </c>
      <c r="C1198" t="s">
        <v>4576</v>
      </c>
      <c r="D1198" t="s">
        <v>17445</v>
      </c>
      <c r="E1198" t="s">
        <v>18568</v>
      </c>
      <c r="F1198" t="s">
        <v>30052</v>
      </c>
      <c r="G1198" t="s">
        <v>30059</v>
      </c>
      <c r="H1198" t="s">
        <v>15498</v>
      </c>
      <c r="I1198" t="s">
        <v>30141</v>
      </c>
      <c r="J1198" t="s">
        <v>30358</v>
      </c>
      <c r="K1198" t="s">
        <v>39018</v>
      </c>
      <c r="M1198" t="s">
        <v>39818</v>
      </c>
      <c r="N1198" t="s">
        <v>43166</v>
      </c>
      <c r="O1198" t="s">
        <v>43167</v>
      </c>
      <c r="P1198">
        <v>0</v>
      </c>
      <c r="Q1198">
        <v>1</v>
      </c>
      <c r="R1198" t="s">
        <v>43169</v>
      </c>
      <c r="S1198" t="s">
        <v>43291</v>
      </c>
      <c r="T1198" t="s">
        <v>44788</v>
      </c>
      <c r="U1198" t="s">
        <v>46184</v>
      </c>
      <c r="W1198" t="s">
        <v>39818</v>
      </c>
      <c r="X1198" t="s">
        <v>43170</v>
      </c>
    </row>
    <row r="1199" spans="1:24">
      <c r="A1199">
        <f>HYPERLINK("https://www.philgeps.gov.ph/GEPSNONPILOT/Tender/SplashBidNoticeAbstractUI.aspx?menuIndex=3&amp;refID=7087158&amp;Result=3","7087158")</f>
        <v>0</v>
      </c>
      <c r="B1199" t="s">
        <v>370</v>
      </c>
      <c r="C1199" t="s">
        <v>4577</v>
      </c>
      <c r="D1199" t="s">
        <v>17442</v>
      </c>
      <c r="E1199" t="s">
        <v>18569</v>
      </c>
      <c r="F1199" t="s">
        <v>30052</v>
      </c>
      <c r="G1199" t="s">
        <v>30058</v>
      </c>
      <c r="H1199" t="s">
        <v>15498</v>
      </c>
      <c r="I1199" t="s">
        <v>30094</v>
      </c>
      <c r="J1199" t="s">
        <v>31080</v>
      </c>
      <c r="K1199" t="s">
        <v>39029</v>
      </c>
      <c r="M1199" t="s">
        <v>39668</v>
      </c>
      <c r="N1199" t="s">
        <v>43166</v>
      </c>
      <c r="O1199" t="s">
        <v>43167</v>
      </c>
      <c r="P1199">
        <v>0</v>
      </c>
      <c r="Q1199">
        <v>0</v>
      </c>
      <c r="R1199" t="s">
        <v>43169</v>
      </c>
      <c r="S1199" t="s">
        <v>43291</v>
      </c>
      <c r="T1199" t="s">
        <v>44684</v>
      </c>
      <c r="U1199" t="s">
        <v>46185</v>
      </c>
      <c r="V1199" t="s">
        <v>56956</v>
      </c>
      <c r="W1199" t="s">
        <v>39668</v>
      </c>
      <c r="X1199" t="s">
        <v>43170</v>
      </c>
    </row>
    <row r="1200" spans="1:24">
      <c r="A1200">
        <f>HYPERLINK("https://www.philgeps.gov.ph/GEPSNONPILOT/Tender/SplashBidNoticeAbstractUI.aspx?menuIndex=3&amp;refID=7087157&amp;Result=3","7087157")</f>
        <v>0</v>
      </c>
      <c r="B1200" t="s">
        <v>370</v>
      </c>
      <c r="C1200" t="s">
        <v>4578</v>
      </c>
      <c r="D1200" t="s">
        <v>17442</v>
      </c>
      <c r="E1200" t="s">
        <v>18570</v>
      </c>
      <c r="F1200" t="s">
        <v>30052</v>
      </c>
      <c r="G1200" t="s">
        <v>30058</v>
      </c>
      <c r="H1200" t="s">
        <v>15498</v>
      </c>
      <c r="I1200" t="s">
        <v>30101</v>
      </c>
      <c r="J1200" t="s">
        <v>30343</v>
      </c>
      <c r="K1200" t="s">
        <v>39029</v>
      </c>
      <c r="M1200" t="s">
        <v>39668</v>
      </c>
      <c r="N1200" t="s">
        <v>43166</v>
      </c>
      <c r="O1200" t="s">
        <v>43167</v>
      </c>
      <c r="P1200">
        <v>0</v>
      </c>
      <c r="Q1200">
        <v>0</v>
      </c>
      <c r="R1200" t="s">
        <v>43169</v>
      </c>
      <c r="S1200" t="s">
        <v>43291</v>
      </c>
      <c r="T1200" t="s">
        <v>44681</v>
      </c>
      <c r="U1200" t="s">
        <v>46186</v>
      </c>
      <c r="V1200" t="s">
        <v>56957</v>
      </c>
      <c r="W1200" t="s">
        <v>39668</v>
      </c>
      <c r="X1200" t="s">
        <v>43170</v>
      </c>
    </row>
    <row r="1201" spans="1:24">
      <c r="A1201">
        <f>HYPERLINK("https://www.philgeps.gov.ph/GEPSNONPILOT/Tender/SplashBidNoticeAbstractUI.aspx?menuIndex=3&amp;refID=7087170&amp;Result=3","7087170")</f>
        <v>0</v>
      </c>
      <c r="B1201" t="s">
        <v>518</v>
      </c>
      <c r="C1201" t="s">
        <v>4579</v>
      </c>
      <c r="D1201" t="s">
        <v>17413</v>
      </c>
      <c r="E1201" t="s">
        <v>17540</v>
      </c>
      <c r="F1201" t="s">
        <v>30052</v>
      </c>
      <c r="G1201" t="s">
        <v>30058</v>
      </c>
      <c r="H1201" t="s">
        <v>30067</v>
      </c>
      <c r="I1201" t="s">
        <v>3736</v>
      </c>
      <c r="J1201" t="s">
        <v>31081</v>
      </c>
      <c r="K1201" t="s">
        <v>39017</v>
      </c>
      <c r="M1201" t="s">
        <v>39819</v>
      </c>
      <c r="N1201" t="s">
        <v>43166</v>
      </c>
      <c r="O1201" t="s">
        <v>43167</v>
      </c>
      <c r="P1201">
        <v>0</v>
      </c>
      <c r="Q1201">
        <v>1</v>
      </c>
      <c r="R1201" t="s">
        <v>43169</v>
      </c>
      <c r="S1201" t="s">
        <v>43291</v>
      </c>
      <c r="T1201" t="s">
        <v>44829</v>
      </c>
      <c r="U1201" t="s">
        <v>46187</v>
      </c>
      <c r="W1201" t="s">
        <v>39819</v>
      </c>
      <c r="X1201" t="s">
        <v>43170</v>
      </c>
    </row>
    <row r="1202" spans="1:24">
      <c r="A1202">
        <f>HYPERLINK("https://www.philgeps.gov.ph/GEPSNONPILOT/Tender/SplashBidNoticeAbstractUI.aspx?menuIndex=3&amp;refID=7087154&amp;Result=3","7087154")</f>
        <v>0</v>
      </c>
      <c r="B1202" t="s">
        <v>512</v>
      </c>
      <c r="C1202" t="s">
        <v>4580</v>
      </c>
      <c r="D1202" t="s">
        <v>17421</v>
      </c>
      <c r="E1202" t="s">
        <v>18563</v>
      </c>
      <c r="F1202" t="s">
        <v>30052</v>
      </c>
      <c r="G1202" t="s">
        <v>30058</v>
      </c>
      <c r="H1202" t="s">
        <v>15498</v>
      </c>
      <c r="I1202" t="s">
        <v>3736</v>
      </c>
      <c r="J1202" t="s">
        <v>31082</v>
      </c>
      <c r="K1202" t="s">
        <v>39032</v>
      </c>
      <c r="M1202" t="s">
        <v>39813</v>
      </c>
      <c r="N1202" t="s">
        <v>43166</v>
      </c>
      <c r="O1202" t="s">
        <v>43167</v>
      </c>
      <c r="P1202">
        <v>0</v>
      </c>
      <c r="Q1202">
        <v>0</v>
      </c>
      <c r="R1202" t="s">
        <v>43169</v>
      </c>
      <c r="S1202" t="s">
        <v>43291</v>
      </c>
      <c r="T1202" t="s">
        <v>44716</v>
      </c>
      <c r="U1202" t="s">
        <v>46188</v>
      </c>
      <c r="W1202" t="s">
        <v>39813</v>
      </c>
      <c r="X1202" t="s">
        <v>43170</v>
      </c>
    </row>
    <row r="1203" spans="1:24">
      <c r="A1203">
        <f>HYPERLINK("https://www.philgeps.gov.ph/GEPSNONPILOT/Tender/SplashBidNoticeAbstractUI.aspx?menuIndex=3&amp;refID=7087218&amp;Result=3","7087218")</f>
        <v>0</v>
      </c>
      <c r="B1203" t="s">
        <v>336</v>
      </c>
      <c r="C1203" t="s">
        <v>4581</v>
      </c>
      <c r="D1203" t="s">
        <v>17455</v>
      </c>
      <c r="E1203" t="s">
        <v>17760</v>
      </c>
      <c r="F1203" t="s">
        <v>30052</v>
      </c>
      <c r="G1203" t="s">
        <v>30058</v>
      </c>
      <c r="H1203" t="s">
        <v>15498</v>
      </c>
      <c r="I1203" t="s">
        <v>4119</v>
      </c>
      <c r="J1203" t="s">
        <v>31083</v>
      </c>
      <c r="K1203" t="s">
        <v>39017</v>
      </c>
      <c r="M1203" t="s">
        <v>39632</v>
      </c>
      <c r="N1203" t="s">
        <v>43166</v>
      </c>
      <c r="O1203" t="s">
        <v>43167</v>
      </c>
      <c r="P1203">
        <v>0</v>
      </c>
      <c r="Q1203">
        <v>1</v>
      </c>
      <c r="R1203" t="s">
        <v>43169</v>
      </c>
      <c r="S1203" t="s">
        <v>43291</v>
      </c>
      <c r="T1203" t="s">
        <v>44757</v>
      </c>
      <c r="U1203" t="s">
        <v>45799</v>
      </c>
      <c r="V1203" t="s">
        <v>45799</v>
      </c>
      <c r="W1203" t="s">
        <v>39632</v>
      </c>
      <c r="X1203" t="s">
        <v>43170</v>
      </c>
    </row>
    <row r="1204" spans="1:24">
      <c r="A1204">
        <f>HYPERLINK("https://www.philgeps.gov.ph/GEPSNONPILOT/Tender/SplashBidNoticeAbstractUI.aspx?menuIndex=3&amp;refID=7087013&amp;Result=3","7087013")</f>
        <v>0</v>
      </c>
      <c r="B1204" t="s">
        <v>503</v>
      </c>
      <c r="C1204" t="s">
        <v>4582</v>
      </c>
      <c r="D1204" t="s">
        <v>17415</v>
      </c>
      <c r="E1204" t="s">
        <v>18548</v>
      </c>
      <c r="F1204" t="s">
        <v>30052</v>
      </c>
      <c r="G1204" t="s">
        <v>30058</v>
      </c>
      <c r="H1204" t="s">
        <v>15498</v>
      </c>
      <c r="I1204" t="s">
        <v>30088</v>
      </c>
      <c r="J1204" t="s">
        <v>30215</v>
      </c>
      <c r="K1204" t="s">
        <v>39025</v>
      </c>
      <c r="M1204" t="s">
        <v>39804</v>
      </c>
      <c r="N1204" t="s">
        <v>43166</v>
      </c>
      <c r="O1204" t="s">
        <v>43167</v>
      </c>
      <c r="P1204">
        <v>0</v>
      </c>
      <c r="Q1204">
        <v>10</v>
      </c>
      <c r="R1204" t="s">
        <v>43169</v>
      </c>
      <c r="S1204" t="s">
        <v>43291</v>
      </c>
      <c r="T1204" t="s">
        <v>44677</v>
      </c>
      <c r="U1204" t="s">
        <v>46164</v>
      </c>
      <c r="V1204" t="s">
        <v>56950</v>
      </c>
      <c r="W1204" t="s">
        <v>39804</v>
      </c>
      <c r="X1204" t="s">
        <v>43171</v>
      </c>
    </row>
    <row r="1205" spans="1:24">
      <c r="A1205">
        <f>HYPERLINK("https://www.philgeps.gov.ph/GEPSNONPILOT/Tender/SplashBidNoticeAbstractUI.aspx?menuIndex=3&amp;refID=7087137&amp;Result=3","7087137")</f>
        <v>0</v>
      </c>
      <c r="B1205" t="s">
        <v>509</v>
      </c>
      <c r="C1205" t="s">
        <v>4583</v>
      </c>
      <c r="D1205" t="s">
        <v>17415</v>
      </c>
      <c r="E1205" t="s">
        <v>18571</v>
      </c>
      <c r="F1205" t="s">
        <v>30052</v>
      </c>
      <c r="G1205" t="s">
        <v>30059</v>
      </c>
      <c r="H1205" t="s">
        <v>30068</v>
      </c>
      <c r="I1205" t="s">
        <v>30068</v>
      </c>
      <c r="J1205" t="s">
        <v>31066</v>
      </c>
      <c r="K1205" t="s">
        <v>39077</v>
      </c>
      <c r="M1205" t="s">
        <v>39810</v>
      </c>
      <c r="N1205" t="s">
        <v>43166</v>
      </c>
      <c r="O1205" t="s">
        <v>43167</v>
      </c>
      <c r="P1205">
        <v>0</v>
      </c>
      <c r="Q1205">
        <v>1</v>
      </c>
      <c r="R1205" t="s">
        <v>43169</v>
      </c>
      <c r="S1205" t="s">
        <v>43291</v>
      </c>
      <c r="T1205" t="s">
        <v>44710</v>
      </c>
      <c r="U1205" t="s">
        <v>46172</v>
      </c>
      <c r="W1205" t="s">
        <v>39810</v>
      </c>
      <c r="X1205" t="s">
        <v>43170</v>
      </c>
    </row>
    <row r="1206" spans="1:24">
      <c r="A1206">
        <f>HYPERLINK("https://www.philgeps.gov.ph/GEPSNONPILOT/Tender/SplashBidNoticeAbstractUI.aspx?menuIndex=3&amp;refID=7087223&amp;Result=3","7087223")</f>
        <v>0</v>
      </c>
      <c r="B1206" t="s">
        <v>519</v>
      </c>
      <c r="C1206" t="s">
        <v>4584</v>
      </c>
      <c r="D1206" t="s">
        <v>17461</v>
      </c>
      <c r="E1206" t="s">
        <v>18572</v>
      </c>
      <c r="F1206" t="s">
        <v>30052</v>
      </c>
      <c r="G1206" t="s">
        <v>30059</v>
      </c>
      <c r="H1206" t="s">
        <v>15498</v>
      </c>
      <c r="I1206" t="s">
        <v>3852</v>
      </c>
      <c r="J1206" t="s">
        <v>31084</v>
      </c>
      <c r="K1206" t="s">
        <v>39029</v>
      </c>
      <c r="M1206" t="s">
        <v>39820</v>
      </c>
      <c r="N1206" t="s">
        <v>43166</v>
      </c>
      <c r="O1206" t="s">
        <v>43167</v>
      </c>
      <c r="P1206">
        <v>0</v>
      </c>
      <c r="Q1206">
        <v>0</v>
      </c>
      <c r="R1206" t="s">
        <v>43169</v>
      </c>
      <c r="S1206" t="s">
        <v>43291</v>
      </c>
      <c r="T1206" t="s">
        <v>44777</v>
      </c>
      <c r="U1206" t="s">
        <v>46189</v>
      </c>
      <c r="W1206" t="s">
        <v>39820</v>
      </c>
      <c r="X1206" t="s">
        <v>43170</v>
      </c>
    </row>
    <row r="1207" spans="1:24">
      <c r="A1207">
        <f>HYPERLINK("https://www.philgeps.gov.ph/GEPSNONPILOT/Tender/SplashBidNoticeAbstractUI.aspx?menuIndex=3&amp;refID=7087217&amp;Result=3","7087217")</f>
        <v>0</v>
      </c>
      <c r="B1207" t="s">
        <v>520</v>
      </c>
      <c r="C1207" t="s">
        <v>4585</v>
      </c>
      <c r="D1207" t="s">
        <v>17416</v>
      </c>
      <c r="E1207" t="s">
        <v>18283</v>
      </c>
      <c r="F1207" t="s">
        <v>30052</v>
      </c>
      <c r="G1207" t="s">
        <v>30058</v>
      </c>
      <c r="H1207" t="s">
        <v>15498</v>
      </c>
      <c r="I1207" t="s">
        <v>3736</v>
      </c>
      <c r="J1207" t="s">
        <v>30207</v>
      </c>
      <c r="K1207" t="s">
        <v>39036</v>
      </c>
      <c r="M1207" t="s">
        <v>39821</v>
      </c>
      <c r="N1207" t="s">
        <v>43166</v>
      </c>
      <c r="O1207" t="s">
        <v>43167</v>
      </c>
      <c r="P1207">
        <v>0</v>
      </c>
      <c r="Q1207">
        <v>0</v>
      </c>
      <c r="R1207" t="s">
        <v>43169</v>
      </c>
      <c r="S1207" t="s">
        <v>43291</v>
      </c>
      <c r="T1207" t="s">
        <v>44830</v>
      </c>
      <c r="U1207" t="s">
        <v>46190</v>
      </c>
      <c r="W1207" t="s">
        <v>39821</v>
      </c>
      <c r="X1207" t="s">
        <v>43170</v>
      </c>
    </row>
    <row r="1208" spans="1:24">
      <c r="A1208">
        <f>HYPERLINK("https://www.philgeps.gov.ph/GEPSNONPILOT/Tender/SplashBidNoticeAbstractUI.aspx?menuIndex=3&amp;refID=7087162&amp;Result=3","7087162")</f>
        <v>0</v>
      </c>
      <c r="B1208" t="s">
        <v>370</v>
      </c>
      <c r="C1208" t="s">
        <v>4586</v>
      </c>
      <c r="D1208" t="s">
        <v>17442</v>
      </c>
      <c r="E1208" t="s">
        <v>18573</v>
      </c>
      <c r="F1208" t="s">
        <v>30052</v>
      </c>
      <c r="G1208" t="s">
        <v>30058</v>
      </c>
      <c r="H1208" t="s">
        <v>30067</v>
      </c>
      <c r="I1208" t="s">
        <v>3693</v>
      </c>
      <c r="J1208" t="s">
        <v>30321</v>
      </c>
      <c r="K1208" t="s">
        <v>39031</v>
      </c>
      <c r="M1208" t="s">
        <v>39668</v>
      </c>
      <c r="N1208" t="s">
        <v>43166</v>
      </c>
      <c r="O1208" t="s">
        <v>43167</v>
      </c>
      <c r="P1208">
        <v>0</v>
      </c>
      <c r="Q1208">
        <v>0</v>
      </c>
      <c r="R1208" t="s">
        <v>43169</v>
      </c>
      <c r="S1208" t="s">
        <v>43291</v>
      </c>
      <c r="T1208" t="s">
        <v>44684</v>
      </c>
      <c r="U1208" t="s">
        <v>46191</v>
      </c>
      <c r="V1208" t="s">
        <v>56958</v>
      </c>
      <c r="W1208" t="s">
        <v>39668</v>
      </c>
      <c r="X1208" t="s">
        <v>43170</v>
      </c>
    </row>
    <row r="1209" spans="1:24">
      <c r="A1209">
        <f>HYPERLINK("https://www.philgeps.gov.ph/GEPSNONPILOT/Tender/SplashBidNoticeAbstractUI.aspx?menuIndex=3&amp;refID=7086300&amp;Result=3","7086300")</f>
        <v>0</v>
      </c>
      <c r="B1209" t="s">
        <v>201</v>
      </c>
      <c r="C1209" t="s">
        <v>4587</v>
      </c>
      <c r="D1209" t="s">
        <v>17415</v>
      </c>
      <c r="E1209" t="s">
        <v>18574</v>
      </c>
      <c r="F1209" t="s">
        <v>30052</v>
      </c>
      <c r="G1209" t="s">
        <v>30058</v>
      </c>
      <c r="H1209" t="s">
        <v>30067</v>
      </c>
      <c r="I1209" t="s">
        <v>30106</v>
      </c>
      <c r="J1209" t="s">
        <v>31085</v>
      </c>
      <c r="K1209" t="s">
        <v>39026</v>
      </c>
      <c r="M1209" t="s">
        <v>39822</v>
      </c>
      <c r="N1209" t="s">
        <v>43166</v>
      </c>
      <c r="O1209" t="s">
        <v>43167</v>
      </c>
      <c r="P1209">
        <v>0</v>
      </c>
      <c r="Q1209">
        <v>4</v>
      </c>
      <c r="R1209" t="s">
        <v>43169</v>
      </c>
      <c r="S1209" t="s">
        <v>43291</v>
      </c>
      <c r="T1209" t="s">
        <v>44831</v>
      </c>
      <c r="U1209" t="s">
        <v>46192</v>
      </c>
      <c r="W1209" t="s">
        <v>39822</v>
      </c>
      <c r="X1209" t="s">
        <v>43171</v>
      </c>
    </row>
    <row r="1210" spans="1:24">
      <c r="A1210">
        <f>HYPERLINK("https://www.philgeps.gov.ph/GEPSNONPILOT/Tender/SplashBidNoticeAbstractUI.aspx?menuIndex=3&amp;refID=7087214&amp;Result=3","7087214")</f>
        <v>0</v>
      </c>
      <c r="B1210" t="s">
        <v>521</v>
      </c>
      <c r="C1210" t="s">
        <v>4588</v>
      </c>
      <c r="D1210" t="s">
        <v>17415</v>
      </c>
      <c r="E1210" t="s">
        <v>18575</v>
      </c>
      <c r="F1210" t="s">
        <v>30052</v>
      </c>
      <c r="G1210" t="s">
        <v>30061</v>
      </c>
      <c r="H1210" t="s">
        <v>15498</v>
      </c>
      <c r="I1210" t="s">
        <v>9238</v>
      </c>
      <c r="J1210" t="s">
        <v>31086</v>
      </c>
      <c r="K1210" t="s">
        <v>39019</v>
      </c>
      <c r="M1210" t="s">
        <v>39823</v>
      </c>
      <c r="N1210" t="s">
        <v>43166</v>
      </c>
      <c r="O1210" t="s">
        <v>43167</v>
      </c>
      <c r="P1210">
        <v>0</v>
      </c>
      <c r="Q1210">
        <v>4</v>
      </c>
      <c r="R1210" t="s">
        <v>43169</v>
      </c>
      <c r="S1210" t="s">
        <v>43291</v>
      </c>
      <c r="T1210" t="s">
        <v>44832</v>
      </c>
      <c r="U1210" t="s">
        <v>46193</v>
      </c>
      <c r="V1210" t="s">
        <v>56959</v>
      </c>
      <c r="W1210" t="s">
        <v>58603</v>
      </c>
      <c r="X1210" t="s">
        <v>43170</v>
      </c>
    </row>
    <row r="1211" spans="1:24">
      <c r="A1211">
        <f>HYPERLINK("https://www.philgeps.gov.ph/GEPSNONPILOT/Tender/SplashBidNoticeAbstractUI.aspx?menuIndex=3&amp;refID=7087210&amp;Result=3","7087210")</f>
        <v>0</v>
      </c>
      <c r="B1211" t="s">
        <v>519</v>
      </c>
      <c r="C1211" t="s">
        <v>4589</v>
      </c>
      <c r="D1211" t="s">
        <v>17461</v>
      </c>
      <c r="E1211" t="s">
        <v>18576</v>
      </c>
      <c r="F1211" t="s">
        <v>30052</v>
      </c>
      <c r="G1211" t="s">
        <v>30059</v>
      </c>
      <c r="H1211" t="s">
        <v>15498</v>
      </c>
      <c r="I1211" t="s">
        <v>3852</v>
      </c>
      <c r="J1211" t="s">
        <v>30915</v>
      </c>
      <c r="K1211" t="s">
        <v>39029</v>
      </c>
      <c r="M1211" t="s">
        <v>39820</v>
      </c>
      <c r="N1211" t="s">
        <v>43166</v>
      </c>
      <c r="O1211" t="s">
        <v>43167</v>
      </c>
      <c r="P1211">
        <v>0</v>
      </c>
      <c r="Q1211">
        <v>0</v>
      </c>
      <c r="R1211" t="s">
        <v>43169</v>
      </c>
      <c r="S1211" t="s">
        <v>43291</v>
      </c>
      <c r="T1211" t="s">
        <v>44777</v>
      </c>
      <c r="U1211" t="s">
        <v>46194</v>
      </c>
      <c r="W1211" t="s">
        <v>39820</v>
      </c>
      <c r="X1211" t="s">
        <v>43170</v>
      </c>
    </row>
    <row r="1212" spans="1:24">
      <c r="A1212">
        <f>HYPERLINK("https://www.philgeps.gov.ph/GEPSNONPILOT/Tender/SplashBidNoticeAbstractUI.aspx?menuIndex=3&amp;refID=7087208&amp;Result=3","7087208")</f>
        <v>0</v>
      </c>
      <c r="B1212" t="s">
        <v>521</v>
      </c>
      <c r="C1212" t="s">
        <v>4590</v>
      </c>
      <c r="D1212" t="s">
        <v>17415</v>
      </c>
      <c r="E1212" t="s">
        <v>18577</v>
      </c>
      <c r="F1212" t="s">
        <v>30052</v>
      </c>
      <c r="G1212" t="s">
        <v>30059</v>
      </c>
      <c r="H1212" t="s">
        <v>30069</v>
      </c>
      <c r="I1212" t="s">
        <v>9238</v>
      </c>
      <c r="J1212" t="s">
        <v>31087</v>
      </c>
      <c r="K1212" t="s">
        <v>39019</v>
      </c>
      <c r="M1212" t="s">
        <v>39823</v>
      </c>
      <c r="N1212" t="s">
        <v>43166</v>
      </c>
      <c r="O1212" t="s">
        <v>43167</v>
      </c>
      <c r="P1212">
        <v>0</v>
      </c>
      <c r="Q1212">
        <v>1</v>
      </c>
      <c r="R1212" t="s">
        <v>43169</v>
      </c>
      <c r="S1212" t="s">
        <v>43291</v>
      </c>
      <c r="T1212" t="s">
        <v>44832</v>
      </c>
      <c r="U1212" t="s">
        <v>46195</v>
      </c>
      <c r="V1212" t="s">
        <v>56959</v>
      </c>
      <c r="W1212" t="s">
        <v>58603</v>
      </c>
      <c r="X1212" t="s">
        <v>43170</v>
      </c>
    </row>
    <row r="1213" spans="1:24">
      <c r="A1213">
        <f>HYPERLINK("https://www.philgeps.gov.ph/GEPSNONPILOT/Tender/SplashBidNoticeAbstractUI.aspx?menuIndex=3&amp;refID=7087207&amp;Result=3","7087207")</f>
        <v>0</v>
      </c>
      <c r="B1213" t="s">
        <v>522</v>
      </c>
      <c r="C1213" t="s">
        <v>4591</v>
      </c>
      <c r="D1213" t="s">
        <v>17443</v>
      </c>
      <c r="E1213" t="s">
        <v>18578</v>
      </c>
      <c r="F1213" t="s">
        <v>30052</v>
      </c>
      <c r="G1213" t="s">
        <v>30058</v>
      </c>
      <c r="H1213" t="s">
        <v>15498</v>
      </c>
      <c r="I1213" t="s">
        <v>3736</v>
      </c>
      <c r="J1213" t="s">
        <v>31088</v>
      </c>
      <c r="K1213" t="s">
        <v>39034</v>
      </c>
      <c r="M1213" t="s">
        <v>39824</v>
      </c>
      <c r="N1213" t="s">
        <v>43166</v>
      </c>
      <c r="O1213" t="s">
        <v>43167</v>
      </c>
      <c r="P1213">
        <v>0</v>
      </c>
      <c r="Q1213">
        <v>0</v>
      </c>
      <c r="R1213" t="s">
        <v>43169</v>
      </c>
      <c r="S1213" t="s">
        <v>43291</v>
      </c>
      <c r="T1213" t="s">
        <v>44716</v>
      </c>
      <c r="U1213" t="s">
        <v>46196</v>
      </c>
      <c r="W1213" t="s">
        <v>39824</v>
      </c>
      <c r="X1213" t="s">
        <v>43170</v>
      </c>
    </row>
    <row r="1214" spans="1:24">
      <c r="A1214">
        <f>HYPERLINK("https://www.philgeps.gov.ph/GEPSNONPILOT/Tender/SplashBidNoticeAbstractUI.aspx?menuIndex=3&amp;refID=7087153&amp;Result=3","7087153")</f>
        <v>0</v>
      </c>
      <c r="B1214" t="s">
        <v>505</v>
      </c>
      <c r="C1214" t="s">
        <v>4592</v>
      </c>
      <c r="D1214" t="s">
        <v>17424</v>
      </c>
      <c r="E1214" t="s">
        <v>17706</v>
      </c>
      <c r="F1214" t="s">
        <v>30052</v>
      </c>
      <c r="G1214" t="s">
        <v>30058</v>
      </c>
      <c r="H1214" t="s">
        <v>30069</v>
      </c>
      <c r="I1214" t="s">
        <v>30100</v>
      </c>
      <c r="J1214" t="s">
        <v>31089</v>
      </c>
      <c r="K1214" t="s">
        <v>39019</v>
      </c>
      <c r="M1214" t="s">
        <v>39806</v>
      </c>
      <c r="N1214" t="s">
        <v>43166</v>
      </c>
      <c r="O1214" t="s">
        <v>43167</v>
      </c>
      <c r="P1214">
        <v>0</v>
      </c>
      <c r="Q1214">
        <v>0</v>
      </c>
      <c r="R1214" t="s">
        <v>43169</v>
      </c>
      <c r="S1214" t="s">
        <v>43291</v>
      </c>
      <c r="T1214" t="s">
        <v>44718</v>
      </c>
      <c r="U1214" t="s">
        <v>46197</v>
      </c>
      <c r="W1214" t="s">
        <v>39806</v>
      </c>
      <c r="X1214" t="s">
        <v>43170</v>
      </c>
    </row>
    <row r="1215" spans="1:24">
      <c r="A1215">
        <f>HYPERLINK("https://www.philgeps.gov.ph/GEPSNONPILOT/Tender/SplashBidNoticeAbstractUI.aspx?menuIndex=3&amp;refID=7087221&amp;Result=3","7087221")</f>
        <v>0</v>
      </c>
      <c r="B1215" t="s">
        <v>523</v>
      </c>
      <c r="C1215" t="s">
        <v>4593</v>
      </c>
      <c r="D1215" t="s">
        <v>17451</v>
      </c>
      <c r="E1215" t="s">
        <v>17602</v>
      </c>
      <c r="F1215" t="s">
        <v>30052</v>
      </c>
      <c r="G1215" t="s">
        <v>30059</v>
      </c>
      <c r="H1215" t="s">
        <v>15498</v>
      </c>
      <c r="I1215" t="s">
        <v>30134</v>
      </c>
      <c r="J1215" t="s">
        <v>31090</v>
      </c>
      <c r="K1215" t="s">
        <v>39017</v>
      </c>
      <c r="M1215" t="s">
        <v>39825</v>
      </c>
      <c r="N1215" t="s">
        <v>43166</v>
      </c>
      <c r="O1215" t="s">
        <v>43167</v>
      </c>
      <c r="Q1215">
        <v>0</v>
      </c>
      <c r="R1215" t="s">
        <v>43169</v>
      </c>
      <c r="S1215" t="s">
        <v>43292</v>
      </c>
      <c r="T1215" t="s">
        <v>44833</v>
      </c>
      <c r="U1215" t="s">
        <v>46198</v>
      </c>
      <c r="W1215" t="s">
        <v>39825</v>
      </c>
      <c r="X1215" t="s">
        <v>43170</v>
      </c>
    </row>
    <row r="1216" spans="1:24">
      <c r="A1216">
        <f>HYPERLINK("https://www.philgeps.gov.ph/GEPSNONPILOT/Tender/SplashBidNoticeAbstractUI.aspx?menuIndex=3&amp;refID=7087202&amp;Result=3","7087202")</f>
        <v>0</v>
      </c>
      <c r="B1216" t="s">
        <v>515</v>
      </c>
      <c r="C1216" t="s">
        <v>4594</v>
      </c>
      <c r="D1216" t="s">
        <v>17432</v>
      </c>
      <c r="E1216" t="s">
        <v>18579</v>
      </c>
      <c r="F1216" t="s">
        <v>30052</v>
      </c>
      <c r="G1216" t="s">
        <v>30060</v>
      </c>
      <c r="H1216" t="s">
        <v>15498</v>
      </c>
      <c r="I1216" t="s">
        <v>3852</v>
      </c>
      <c r="J1216" t="s">
        <v>31091</v>
      </c>
      <c r="K1216" t="s">
        <v>39018</v>
      </c>
      <c r="M1216" t="s">
        <v>39816</v>
      </c>
      <c r="N1216" t="s">
        <v>43166</v>
      </c>
      <c r="O1216" t="s">
        <v>43167</v>
      </c>
      <c r="P1216">
        <v>0</v>
      </c>
      <c r="Q1216">
        <v>0</v>
      </c>
      <c r="R1216" t="s">
        <v>43169</v>
      </c>
      <c r="S1216" t="s">
        <v>43291</v>
      </c>
      <c r="T1216" t="s">
        <v>44734</v>
      </c>
      <c r="U1216" t="s">
        <v>46199</v>
      </c>
      <c r="W1216" t="s">
        <v>39816</v>
      </c>
      <c r="X1216" t="s">
        <v>43170</v>
      </c>
    </row>
    <row r="1217" spans="1:24">
      <c r="A1217">
        <f>HYPERLINK("https://www.philgeps.gov.ph/GEPSNONPILOT/Tender/SplashBidNoticeAbstractUI.aspx?menuIndex=3&amp;refID=7087276&amp;Result=3","7087276")</f>
        <v>0</v>
      </c>
      <c r="B1217" t="s">
        <v>521</v>
      </c>
      <c r="C1217" t="s">
        <v>4595</v>
      </c>
      <c r="D1217" t="s">
        <v>17415</v>
      </c>
      <c r="E1217" t="s">
        <v>18575</v>
      </c>
      <c r="F1217" t="s">
        <v>30052</v>
      </c>
      <c r="G1217" t="s">
        <v>30061</v>
      </c>
      <c r="H1217" t="s">
        <v>15498</v>
      </c>
      <c r="I1217" t="s">
        <v>9238</v>
      </c>
      <c r="J1217" t="s">
        <v>30755</v>
      </c>
      <c r="K1217" t="s">
        <v>39019</v>
      </c>
      <c r="M1217" t="s">
        <v>39823</v>
      </c>
      <c r="N1217" t="s">
        <v>43166</v>
      </c>
      <c r="O1217" t="s">
        <v>43167</v>
      </c>
      <c r="P1217">
        <v>0</v>
      </c>
      <c r="Q1217">
        <v>4</v>
      </c>
      <c r="R1217" t="s">
        <v>43169</v>
      </c>
      <c r="S1217" t="s">
        <v>43291</v>
      </c>
      <c r="T1217" t="s">
        <v>44832</v>
      </c>
      <c r="U1217" t="s">
        <v>46200</v>
      </c>
      <c r="V1217" t="s">
        <v>56959</v>
      </c>
      <c r="W1217" t="s">
        <v>58603</v>
      </c>
      <c r="X1217" t="s">
        <v>43170</v>
      </c>
    </row>
    <row r="1218" spans="1:24">
      <c r="A1218">
        <f>HYPERLINK("https://www.philgeps.gov.ph/GEPSNONPILOT/Tender/SplashBidNoticeAbstractUI.aspx?menuIndex=3&amp;refID=7087167&amp;Result=3","7087167")</f>
        <v>0</v>
      </c>
      <c r="B1218" t="s">
        <v>370</v>
      </c>
      <c r="C1218" t="s">
        <v>4596</v>
      </c>
      <c r="D1218" t="s">
        <v>17442</v>
      </c>
      <c r="E1218" t="s">
        <v>18580</v>
      </c>
      <c r="F1218" t="s">
        <v>30052</v>
      </c>
      <c r="G1218" t="s">
        <v>30062</v>
      </c>
      <c r="H1218" t="s">
        <v>15498</v>
      </c>
      <c r="I1218" t="s">
        <v>30085</v>
      </c>
      <c r="J1218" t="s">
        <v>30292</v>
      </c>
      <c r="K1218" t="s">
        <v>39029</v>
      </c>
      <c r="M1218" t="s">
        <v>39668</v>
      </c>
      <c r="N1218" t="s">
        <v>43166</v>
      </c>
      <c r="O1218" t="s">
        <v>43167</v>
      </c>
      <c r="P1218">
        <v>0</v>
      </c>
      <c r="Q1218">
        <v>0</v>
      </c>
      <c r="R1218" t="s">
        <v>43169</v>
      </c>
      <c r="S1218" t="s">
        <v>43291</v>
      </c>
      <c r="T1218" t="s">
        <v>44733</v>
      </c>
      <c r="U1218" t="s">
        <v>46201</v>
      </c>
      <c r="V1218" t="s">
        <v>56960</v>
      </c>
      <c r="W1218" t="s">
        <v>39668</v>
      </c>
      <c r="X1218" t="s">
        <v>43170</v>
      </c>
    </row>
    <row r="1219" spans="1:24">
      <c r="A1219">
        <f>HYPERLINK("https://www.philgeps.gov.ph/GEPSNONPILOT/Tender/SplashBidNoticeAbstractUI.aspx?menuIndex=3&amp;refID=7087206&amp;Result=3","7087206")</f>
        <v>0</v>
      </c>
      <c r="B1219" t="s">
        <v>520</v>
      </c>
      <c r="C1219" t="s">
        <v>4597</v>
      </c>
      <c r="D1219" t="s">
        <v>17416</v>
      </c>
      <c r="E1219" t="s">
        <v>18581</v>
      </c>
      <c r="F1219" t="s">
        <v>30052</v>
      </c>
      <c r="G1219" t="s">
        <v>30058</v>
      </c>
      <c r="H1219" t="s">
        <v>15498</v>
      </c>
      <c r="I1219" t="s">
        <v>3736</v>
      </c>
      <c r="J1219" t="s">
        <v>30292</v>
      </c>
      <c r="K1219" t="s">
        <v>39036</v>
      </c>
      <c r="M1219" t="s">
        <v>39821</v>
      </c>
      <c r="N1219" t="s">
        <v>43166</v>
      </c>
      <c r="O1219" t="s">
        <v>43167</v>
      </c>
      <c r="P1219">
        <v>0</v>
      </c>
      <c r="Q1219">
        <v>0</v>
      </c>
      <c r="R1219" t="s">
        <v>43169</v>
      </c>
      <c r="S1219" t="s">
        <v>43291</v>
      </c>
      <c r="T1219" t="s">
        <v>44830</v>
      </c>
      <c r="U1219" t="s">
        <v>46202</v>
      </c>
      <c r="W1219" t="s">
        <v>39821</v>
      </c>
      <c r="X1219" t="s">
        <v>43170</v>
      </c>
    </row>
    <row r="1220" spans="1:24">
      <c r="A1220">
        <f>HYPERLINK("https://www.philgeps.gov.ph/GEPSNONPILOT/Tender/SplashBidNoticeAbstractUI.aspx?menuIndex=3&amp;refID=7087279&amp;Result=3","7087279")</f>
        <v>0</v>
      </c>
      <c r="B1220" t="s">
        <v>524</v>
      </c>
      <c r="C1220" t="s">
        <v>4598</v>
      </c>
      <c r="D1220" t="s">
        <v>17455</v>
      </c>
      <c r="E1220" t="s">
        <v>18582</v>
      </c>
      <c r="F1220" t="s">
        <v>30052</v>
      </c>
      <c r="G1220" t="s">
        <v>30058</v>
      </c>
      <c r="H1220" t="s">
        <v>15498</v>
      </c>
      <c r="I1220" t="s">
        <v>4598</v>
      </c>
      <c r="J1220" t="s">
        <v>31092</v>
      </c>
      <c r="K1220" t="s">
        <v>39036</v>
      </c>
      <c r="M1220" t="s">
        <v>39826</v>
      </c>
      <c r="N1220" t="s">
        <v>43166</v>
      </c>
      <c r="O1220" t="s">
        <v>43167</v>
      </c>
      <c r="P1220">
        <v>0</v>
      </c>
      <c r="Q1220">
        <v>1</v>
      </c>
      <c r="R1220" t="s">
        <v>43169</v>
      </c>
      <c r="S1220" t="s">
        <v>43291</v>
      </c>
      <c r="T1220" t="s">
        <v>44724</v>
      </c>
      <c r="U1220" t="s">
        <v>46203</v>
      </c>
      <c r="W1220" t="s">
        <v>39826</v>
      </c>
      <c r="X1220" t="s">
        <v>43170</v>
      </c>
    </row>
    <row r="1221" spans="1:24">
      <c r="A1221">
        <f>HYPERLINK("https://www.philgeps.gov.ph/GEPSNONPILOT/Tender/SplashBidNoticeAbstractUI.aspx?menuIndex=3&amp;refID=7087278&amp;Result=3","7087278")</f>
        <v>0</v>
      </c>
      <c r="B1221" t="s">
        <v>523</v>
      </c>
      <c r="C1221" t="s">
        <v>4599</v>
      </c>
      <c r="D1221" t="s">
        <v>17451</v>
      </c>
      <c r="E1221" t="s">
        <v>18370</v>
      </c>
      <c r="F1221" t="s">
        <v>30052</v>
      </c>
      <c r="G1221" t="s">
        <v>30059</v>
      </c>
      <c r="H1221" t="s">
        <v>15498</v>
      </c>
      <c r="I1221" t="s">
        <v>6691</v>
      </c>
      <c r="J1221" t="s">
        <v>31093</v>
      </c>
      <c r="K1221" t="s">
        <v>39017</v>
      </c>
      <c r="M1221" t="s">
        <v>39825</v>
      </c>
      <c r="N1221" t="s">
        <v>43166</v>
      </c>
      <c r="O1221" t="s">
        <v>43167</v>
      </c>
      <c r="Q1221">
        <v>0</v>
      </c>
      <c r="R1221" t="s">
        <v>43169</v>
      </c>
      <c r="S1221" t="s">
        <v>43293</v>
      </c>
      <c r="T1221" t="s">
        <v>44833</v>
      </c>
      <c r="U1221" t="s">
        <v>46204</v>
      </c>
      <c r="W1221" t="s">
        <v>39825</v>
      </c>
      <c r="X1221" t="s">
        <v>43170</v>
      </c>
    </row>
    <row r="1222" spans="1:24">
      <c r="A1222">
        <f>HYPERLINK("https://www.philgeps.gov.ph/GEPSNONPILOT/Tender/SplashBidNoticeAbstractUI.aspx?menuIndex=3&amp;refID=7087211&amp;Result=3","7087211")</f>
        <v>0</v>
      </c>
      <c r="B1222" t="s">
        <v>525</v>
      </c>
      <c r="C1222" t="s">
        <v>4600</v>
      </c>
      <c r="D1222" t="s">
        <v>17422</v>
      </c>
      <c r="E1222" t="s">
        <v>11609</v>
      </c>
      <c r="F1222" t="s">
        <v>30052</v>
      </c>
      <c r="G1222" t="s">
        <v>30058</v>
      </c>
      <c r="H1222" t="s">
        <v>15498</v>
      </c>
      <c r="I1222" t="s">
        <v>4650</v>
      </c>
      <c r="J1222" t="s">
        <v>30306</v>
      </c>
      <c r="K1222" t="s">
        <v>39034</v>
      </c>
      <c r="M1222" t="s">
        <v>39827</v>
      </c>
      <c r="N1222" t="s">
        <v>43166</v>
      </c>
      <c r="O1222" t="s">
        <v>43167</v>
      </c>
      <c r="P1222">
        <v>0</v>
      </c>
      <c r="Q1222">
        <v>0</v>
      </c>
      <c r="R1222" t="s">
        <v>43169</v>
      </c>
      <c r="S1222" t="s">
        <v>43291</v>
      </c>
      <c r="T1222" t="s">
        <v>44724</v>
      </c>
      <c r="U1222" t="s">
        <v>46205</v>
      </c>
      <c r="W1222" t="s">
        <v>39827</v>
      </c>
      <c r="X1222" t="s">
        <v>43170</v>
      </c>
    </row>
    <row r="1223" spans="1:24">
      <c r="A1223">
        <f>HYPERLINK("https://www.philgeps.gov.ph/GEPSNONPILOT/Tender/SplashBidNoticeAbstractUI.aspx?menuIndex=3&amp;refID=7087275&amp;Result=3","7087275")</f>
        <v>0</v>
      </c>
      <c r="B1223" t="s">
        <v>526</v>
      </c>
      <c r="C1223" t="s">
        <v>4601</v>
      </c>
      <c r="D1223" t="s">
        <v>17447</v>
      </c>
      <c r="E1223" t="s">
        <v>18583</v>
      </c>
      <c r="F1223" t="s">
        <v>30052</v>
      </c>
      <c r="G1223" t="s">
        <v>30059</v>
      </c>
      <c r="H1223" t="s">
        <v>15498</v>
      </c>
      <c r="I1223" t="s">
        <v>30070</v>
      </c>
      <c r="J1223" t="s">
        <v>30276</v>
      </c>
      <c r="K1223" t="s">
        <v>39034</v>
      </c>
      <c r="M1223" t="s">
        <v>39828</v>
      </c>
      <c r="N1223" t="s">
        <v>43166</v>
      </c>
      <c r="O1223" t="s">
        <v>43167</v>
      </c>
      <c r="P1223">
        <v>0</v>
      </c>
      <c r="Q1223">
        <v>3</v>
      </c>
      <c r="R1223" t="s">
        <v>43169</v>
      </c>
      <c r="S1223" t="s">
        <v>43291</v>
      </c>
      <c r="T1223" t="s">
        <v>44734</v>
      </c>
      <c r="U1223" t="s">
        <v>46206</v>
      </c>
      <c r="W1223" t="s">
        <v>39828</v>
      </c>
      <c r="X1223" t="s">
        <v>43170</v>
      </c>
    </row>
    <row r="1224" spans="1:24">
      <c r="A1224">
        <f>HYPERLINK("https://www.philgeps.gov.ph/GEPSNONPILOT/Tender/SplashBidNoticeAbstractUI.aspx?menuIndex=3&amp;refID=7087269&amp;Result=3","7087269")</f>
        <v>0</v>
      </c>
      <c r="B1224" t="s">
        <v>527</v>
      </c>
      <c r="C1224" t="s">
        <v>4602</v>
      </c>
      <c r="D1224" t="s">
        <v>17415</v>
      </c>
      <c r="E1224" t="s">
        <v>18292</v>
      </c>
      <c r="F1224" t="s">
        <v>30052</v>
      </c>
      <c r="G1224" t="s">
        <v>30059</v>
      </c>
      <c r="H1224" t="s">
        <v>15498</v>
      </c>
      <c r="I1224" t="s">
        <v>8323</v>
      </c>
      <c r="J1224" t="s">
        <v>31094</v>
      </c>
      <c r="K1224" t="s">
        <v>39034</v>
      </c>
      <c r="M1224" t="s">
        <v>39829</v>
      </c>
      <c r="N1224" t="s">
        <v>43166</v>
      </c>
      <c r="O1224" t="s">
        <v>43167</v>
      </c>
      <c r="P1224">
        <v>0</v>
      </c>
      <c r="Q1224">
        <v>11</v>
      </c>
      <c r="R1224" t="s">
        <v>43169</v>
      </c>
      <c r="S1224" t="s">
        <v>43291</v>
      </c>
      <c r="T1224" t="s">
        <v>44734</v>
      </c>
      <c r="U1224" t="s">
        <v>46207</v>
      </c>
      <c r="W1224" t="s">
        <v>39829</v>
      </c>
      <c r="X1224" t="s">
        <v>43170</v>
      </c>
    </row>
    <row r="1225" spans="1:24">
      <c r="A1225">
        <f>HYPERLINK("https://www.philgeps.gov.ph/GEPSNONPILOT/Tender/SplashBidNoticeAbstractUI.aspx?menuIndex=3&amp;refID=7087266&amp;Result=3","7087266")</f>
        <v>0</v>
      </c>
      <c r="B1225" t="s">
        <v>528</v>
      </c>
      <c r="C1225" t="s">
        <v>4603</v>
      </c>
      <c r="D1225" t="s">
        <v>17466</v>
      </c>
      <c r="E1225" t="s">
        <v>18584</v>
      </c>
      <c r="F1225" t="s">
        <v>30052</v>
      </c>
      <c r="G1225" t="s">
        <v>30059</v>
      </c>
      <c r="H1225" t="s">
        <v>15498</v>
      </c>
      <c r="I1225" t="s">
        <v>3736</v>
      </c>
      <c r="J1225" t="s">
        <v>30612</v>
      </c>
      <c r="K1225" t="s">
        <v>39039</v>
      </c>
      <c r="M1225" t="s">
        <v>39830</v>
      </c>
      <c r="N1225" t="s">
        <v>43166</v>
      </c>
      <c r="O1225" t="s">
        <v>43167</v>
      </c>
      <c r="P1225">
        <v>0</v>
      </c>
      <c r="Q1225">
        <v>0</v>
      </c>
      <c r="R1225" t="s">
        <v>43169</v>
      </c>
      <c r="S1225" t="s">
        <v>43291</v>
      </c>
      <c r="T1225" t="s">
        <v>44777</v>
      </c>
      <c r="U1225" t="s">
        <v>46208</v>
      </c>
      <c r="W1225" t="s">
        <v>39830</v>
      </c>
      <c r="X1225" t="s">
        <v>43170</v>
      </c>
    </row>
    <row r="1226" spans="1:24">
      <c r="A1226">
        <f>HYPERLINK("https://www.philgeps.gov.ph/GEPSNONPILOT/Tender/SplashBidNoticeAbstractUI.aspx?menuIndex=3&amp;refID=7087262&amp;Result=3","7087262")</f>
        <v>0</v>
      </c>
      <c r="B1226" t="s">
        <v>523</v>
      </c>
      <c r="C1226" t="s">
        <v>4604</v>
      </c>
      <c r="D1226" t="s">
        <v>17451</v>
      </c>
      <c r="E1226" t="s">
        <v>18364</v>
      </c>
      <c r="F1226" t="s">
        <v>30052</v>
      </c>
      <c r="G1226" t="s">
        <v>30059</v>
      </c>
      <c r="H1226" t="s">
        <v>15498</v>
      </c>
      <c r="I1226" t="s">
        <v>6691</v>
      </c>
      <c r="J1226" t="s">
        <v>31095</v>
      </c>
      <c r="K1226" t="s">
        <v>39017</v>
      </c>
      <c r="M1226" t="s">
        <v>39825</v>
      </c>
      <c r="N1226" t="s">
        <v>43166</v>
      </c>
      <c r="O1226" t="s">
        <v>43167</v>
      </c>
      <c r="Q1226">
        <v>0</v>
      </c>
      <c r="R1226" t="s">
        <v>43169</v>
      </c>
      <c r="S1226" t="s">
        <v>43294</v>
      </c>
      <c r="T1226" t="s">
        <v>44833</v>
      </c>
      <c r="U1226" t="s">
        <v>46209</v>
      </c>
      <c r="W1226" t="s">
        <v>39825</v>
      </c>
      <c r="X1226" t="s">
        <v>43170</v>
      </c>
    </row>
    <row r="1227" spans="1:24">
      <c r="A1227">
        <f>HYPERLINK("https://www.philgeps.gov.ph/GEPSNONPILOT/Tender/SplashBidNoticeAbstractUI.aspx?menuIndex=3&amp;refID=7087256&amp;Result=3","7087256")</f>
        <v>0</v>
      </c>
      <c r="B1227" t="s">
        <v>521</v>
      </c>
      <c r="C1227" t="s">
        <v>4605</v>
      </c>
      <c r="D1227" t="s">
        <v>17415</v>
      </c>
      <c r="E1227" t="s">
        <v>18585</v>
      </c>
      <c r="F1227" t="s">
        <v>30052</v>
      </c>
      <c r="G1227" t="s">
        <v>30059</v>
      </c>
      <c r="H1227" t="s">
        <v>30069</v>
      </c>
      <c r="I1227" t="s">
        <v>9238</v>
      </c>
      <c r="J1227" t="s">
        <v>31096</v>
      </c>
      <c r="K1227" t="s">
        <v>39019</v>
      </c>
      <c r="M1227" t="s">
        <v>39823</v>
      </c>
      <c r="N1227" t="s">
        <v>43166</v>
      </c>
      <c r="O1227" t="s">
        <v>43167</v>
      </c>
      <c r="P1227">
        <v>0</v>
      </c>
      <c r="Q1227">
        <v>3</v>
      </c>
      <c r="R1227" t="s">
        <v>43169</v>
      </c>
      <c r="S1227" t="s">
        <v>43291</v>
      </c>
      <c r="T1227" t="s">
        <v>44832</v>
      </c>
      <c r="U1227" t="s">
        <v>46210</v>
      </c>
      <c r="V1227" t="s">
        <v>56959</v>
      </c>
      <c r="W1227" t="s">
        <v>58603</v>
      </c>
      <c r="X1227" t="s">
        <v>43170</v>
      </c>
    </row>
    <row r="1228" spans="1:24">
      <c r="A1228">
        <f>HYPERLINK("https://www.philgeps.gov.ph/GEPSNONPILOT/Tender/SplashBidNoticeAbstractUI.aspx?menuIndex=3&amp;refID=7087254&amp;Result=3","7087254")</f>
        <v>0</v>
      </c>
      <c r="B1228" t="s">
        <v>523</v>
      </c>
      <c r="C1228" t="s">
        <v>4606</v>
      </c>
      <c r="D1228" t="s">
        <v>17451</v>
      </c>
      <c r="E1228" t="s">
        <v>18034</v>
      </c>
      <c r="F1228" t="s">
        <v>30052</v>
      </c>
      <c r="G1228" t="s">
        <v>30059</v>
      </c>
      <c r="H1228" t="s">
        <v>15498</v>
      </c>
      <c r="I1228" t="s">
        <v>6691</v>
      </c>
      <c r="J1228" t="s">
        <v>31097</v>
      </c>
      <c r="K1228" t="s">
        <v>39017</v>
      </c>
      <c r="M1228" t="s">
        <v>39825</v>
      </c>
      <c r="N1228" t="s">
        <v>43166</v>
      </c>
      <c r="O1228" t="s">
        <v>43167</v>
      </c>
      <c r="Q1228">
        <v>0</v>
      </c>
      <c r="R1228" t="s">
        <v>43169</v>
      </c>
      <c r="S1228" t="s">
        <v>43295</v>
      </c>
      <c r="T1228" t="s">
        <v>44833</v>
      </c>
      <c r="U1228" t="s">
        <v>46211</v>
      </c>
      <c r="W1228" t="s">
        <v>39825</v>
      </c>
      <c r="X1228" t="s">
        <v>43170</v>
      </c>
    </row>
    <row r="1229" spans="1:24">
      <c r="A1229">
        <f>HYPERLINK("https://www.philgeps.gov.ph/GEPSNONPILOT/Tender/SplashBidNoticeAbstractUI.aspx?menuIndex=3&amp;refID=7087203&amp;Result=3","7087203")</f>
        <v>0</v>
      </c>
      <c r="B1229" t="s">
        <v>522</v>
      </c>
      <c r="C1229" t="s">
        <v>4607</v>
      </c>
      <c r="D1229" t="s">
        <v>17443</v>
      </c>
      <c r="E1229" t="s">
        <v>18586</v>
      </c>
      <c r="F1229" t="s">
        <v>30052</v>
      </c>
      <c r="G1229" t="s">
        <v>30058</v>
      </c>
      <c r="H1229" t="s">
        <v>15498</v>
      </c>
      <c r="I1229" t="s">
        <v>30140</v>
      </c>
      <c r="J1229" t="s">
        <v>31098</v>
      </c>
      <c r="K1229" t="s">
        <v>39034</v>
      </c>
      <c r="M1229" t="s">
        <v>39824</v>
      </c>
      <c r="N1229" t="s">
        <v>43166</v>
      </c>
      <c r="O1229" t="s">
        <v>43167</v>
      </c>
      <c r="P1229">
        <v>0</v>
      </c>
      <c r="Q1229">
        <v>0</v>
      </c>
      <c r="R1229" t="s">
        <v>43169</v>
      </c>
      <c r="S1229" t="s">
        <v>43291</v>
      </c>
      <c r="T1229" t="s">
        <v>44750</v>
      </c>
      <c r="U1229" t="s">
        <v>46212</v>
      </c>
      <c r="W1229" t="s">
        <v>39824</v>
      </c>
      <c r="X1229" t="s">
        <v>43170</v>
      </c>
    </row>
    <row r="1230" spans="1:24">
      <c r="A1230">
        <f>HYPERLINK("https://www.philgeps.gov.ph/GEPSNONPILOT/Tender/SplashBidNoticeAbstractUI.aspx?menuIndex=3&amp;refID=7087263&amp;Result=3","7087263")</f>
        <v>0</v>
      </c>
      <c r="B1230" t="s">
        <v>521</v>
      </c>
      <c r="C1230" t="s">
        <v>4608</v>
      </c>
      <c r="D1230" t="s">
        <v>17415</v>
      </c>
      <c r="E1230" t="s">
        <v>18587</v>
      </c>
      <c r="F1230" t="s">
        <v>30052</v>
      </c>
      <c r="G1230" t="s">
        <v>30059</v>
      </c>
      <c r="H1230" t="s">
        <v>30069</v>
      </c>
      <c r="I1230" t="s">
        <v>9238</v>
      </c>
      <c r="J1230" t="s">
        <v>30207</v>
      </c>
      <c r="K1230" t="s">
        <v>39019</v>
      </c>
      <c r="M1230" t="s">
        <v>39823</v>
      </c>
      <c r="N1230" t="s">
        <v>43166</v>
      </c>
      <c r="O1230" t="s">
        <v>43167</v>
      </c>
      <c r="P1230">
        <v>0</v>
      </c>
      <c r="Q1230">
        <v>3</v>
      </c>
      <c r="R1230" t="s">
        <v>43169</v>
      </c>
      <c r="S1230" t="s">
        <v>43291</v>
      </c>
      <c r="T1230" t="s">
        <v>44832</v>
      </c>
      <c r="U1230" t="s">
        <v>46213</v>
      </c>
      <c r="V1230" t="s">
        <v>56959</v>
      </c>
      <c r="W1230" t="s">
        <v>58603</v>
      </c>
      <c r="X1230" t="s">
        <v>43170</v>
      </c>
    </row>
    <row r="1231" spans="1:24">
      <c r="A1231">
        <f>HYPERLINK("https://www.philgeps.gov.ph/GEPSNONPILOT/Tender/SplashBidNoticeAbstractUI.aspx?menuIndex=3&amp;refID=7087250&amp;Result=3","7087250")</f>
        <v>0</v>
      </c>
      <c r="B1231" t="s">
        <v>529</v>
      </c>
      <c r="C1231" t="s">
        <v>4609</v>
      </c>
      <c r="D1231" t="s">
        <v>17474</v>
      </c>
      <c r="E1231" t="s">
        <v>18588</v>
      </c>
      <c r="F1231" t="s">
        <v>30052</v>
      </c>
      <c r="G1231" t="s">
        <v>30058</v>
      </c>
      <c r="H1231" t="s">
        <v>15498</v>
      </c>
      <c r="I1231" t="s">
        <v>30076</v>
      </c>
      <c r="J1231" t="s">
        <v>31099</v>
      </c>
      <c r="K1231" t="s">
        <v>39034</v>
      </c>
      <c r="M1231" t="s">
        <v>39831</v>
      </c>
      <c r="N1231" t="s">
        <v>43166</v>
      </c>
      <c r="O1231" t="s">
        <v>43167</v>
      </c>
      <c r="P1231">
        <v>0</v>
      </c>
      <c r="Q1231">
        <v>1</v>
      </c>
      <c r="R1231" t="s">
        <v>43169</v>
      </c>
      <c r="S1231" t="s">
        <v>43291</v>
      </c>
      <c r="T1231" t="s">
        <v>44764</v>
      </c>
      <c r="U1231" t="s">
        <v>46214</v>
      </c>
      <c r="V1231" t="s">
        <v>56961</v>
      </c>
      <c r="W1231" t="s">
        <v>39831</v>
      </c>
      <c r="X1231" t="s">
        <v>43170</v>
      </c>
    </row>
    <row r="1232" spans="1:24">
      <c r="A1232">
        <f>HYPERLINK("https://www.philgeps.gov.ph/GEPSNONPILOT/Tender/SplashBidNoticeAbstractUI.aspx?menuIndex=3&amp;refID=7087244&amp;Result=3","7087244")</f>
        <v>0</v>
      </c>
      <c r="B1232" t="s">
        <v>529</v>
      </c>
      <c r="C1232" t="s">
        <v>4610</v>
      </c>
      <c r="D1232" t="s">
        <v>17474</v>
      </c>
      <c r="E1232" t="s">
        <v>18589</v>
      </c>
      <c r="F1232" t="s">
        <v>30052</v>
      </c>
      <c r="G1232" t="s">
        <v>30058</v>
      </c>
      <c r="H1232" t="s">
        <v>15498</v>
      </c>
      <c r="I1232" t="s">
        <v>30096</v>
      </c>
      <c r="J1232" t="s">
        <v>30407</v>
      </c>
      <c r="K1232" t="s">
        <v>39034</v>
      </c>
      <c r="M1232" t="s">
        <v>39831</v>
      </c>
      <c r="N1232" t="s">
        <v>43166</v>
      </c>
      <c r="O1232" t="s">
        <v>43167</v>
      </c>
      <c r="P1232">
        <v>0</v>
      </c>
      <c r="Q1232">
        <v>0</v>
      </c>
      <c r="R1232" t="s">
        <v>43169</v>
      </c>
      <c r="S1232" t="s">
        <v>43291</v>
      </c>
      <c r="T1232" t="s">
        <v>44704</v>
      </c>
      <c r="U1232" t="s">
        <v>46215</v>
      </c>
      <c r="V1232" t="s">
        <v>56962</v>
      </c>
      <c r="W1232" t="s">
        <v>39831</v>
      </c>
      <c r="X1232" t="s">
        <v>43170</v>
      </c>
    </row>
    <row r="1233" spans="1:24">
      <c r="A1233">
        <f>HYPERLINK("https://www.philgeps.gov.ph/GEPSNONPILOT/Tender/SplashBidNoticeAbstractUI.aspx?menuIndex=3&amp;refID=7087243&amp;Result=3","7087243")</f>
        <v>0</v>
      </c>
      <c r="B1233" t="s">
        <v>530</v>
      </c>
      <c r="C1233" t="s">
        <v>4611</v>
      </c>
      <c r="D1233" t="s">
        <v>17445</v>
      </c>
      <c r="E1233" t="s">
        <v>18590</v>
      </c>
      <c r="F1233" t="s">
        <v>30052</v>
      </c>
      <c r="G1233" t="s">
        <v>30058</v>
      </c>
      <c r="H1233" t="s">
        <v>15498</v>
      </c>
      <c r="I1233" t="s">
        <v>3736</v>
      </c>
      <c r="J1233" t="s">
        <v>31100</v>
      </c>
      <c r="K1233" t="s">
        <v>39019</v>
      </c>
      <c r="M1233" t="s">
        <v>39832</v>
      </c>
      <c r="N1233" t="s">
        <v>43166</v>
      </c>
      <c r="O1233" t="s">
        <v>43167</v>
      </c>
      <c r="P1233">
        <v>0</v>
      </c>
      <c r="Q1233">
        <v>1</v>
      </c>
      <c r="R1233" t="s">
        <v>43169</v>
      </c>
      <c r="S1233" t="s">
        <v>43291</v>
      </c>
      <c r="T1233" t="s">
        <v>44684</v>
      </c>
      <c r="U1233" t="s">
        <v>46216</v>
      </c>
      <c r="W1233" t="s">
        <v>39832</v>
      </c>
      <c r="X1233" t="s">
        <v>43170</v>
      </c>
    </row>
    <row r="1234" spans="1:24">
      <c r="A1234">
        <f>HYPERLINK("https://www.philgeps.gov.ph/GEPSNONPILOT/Tender/SplashBidNoticeAbstractUI.aspx?menuIndex=3&amp;refID=7087253&amp;Result=3","7087253")</f>
        <v>0</v>
      </c>
      <c r="B1234" t="s">
        <v>521</v>
      </c>
      <c r="C1234" t="s">
        <v>4612</v>
      </c>
      <c r="D1234" t="s">
        <v>17415</v>
      </c>
      <c r="E1234" t="s">
        <v>18591</v>
      </c>
      <c r="F1234" t="s">
        <v>30052</v>
      </c>
      <c r="G1234" t="s">
        <v>30061</v>
      </c>
      <c r="H1234" t="s">
        <v>15498</v>
      </c>
      <c r="I1234" t="s">
        <v>9238</v>
      </c>
      <c r="J1234" t="s">
        <v>31101</v>
      </c>
      <c r="K1234" t="s">
        <v>39019</v>
      </c>
      <c r="M1234" t="s">
        <v>39823</v>
      </c>
      <c r="N1234" t="s">
        <v>43166</v>
      </c>
      <c r="O1234" t="s">
        <v>43167</v>
      </c>
      <c r="P1234">
        <v>0</v>
      </c>
      <c r="Q1234">
        <v>2</v>
      </c>
      <c r="R1234" t="s">
        <v>43169</v>
      </c>
      <c r="S1234" t="s">
        <v>43291</v>
      </c>
      <c r="T1234" t="s">
        <v>44832</v>
      </c>
      <c r="U1234" t="s">
        <v>46217</v>
      </c>
      <c r="V1234" t="s">
        <v>56963</v>
      </c>
      <c r="W1234" t="s">
        <v>58603</v>
      </c>
      <c r="X1234" t="s">
        <v>43170</v>
      </c>
    </row>
    <row r="1235" spans="1:24">
      <c r="A1235">
        <f>HYPERLINK("https://www.philgeps.gov.ph/GEPSNONPILOT/Tender/SplashBidNoticeAbstractUI.aspx?menuIndex=3&amp;refID=7087236&amp;Result=3","7087236")</f>
        <v>0</v>
      </c>
      <c r="B1235" t="s">
        <v>530</v>
      </c>
      <c r="C1235" t="s">
        <v>4613</v>
      </c>
      <c r="D1235" t="s">
        <v>17445</v>
      </c>
      <c r="E1235" t="s">
        <v>18592</v>
      </c>
      <c r="F1235" t="s">
        <v>30052</v>
      </c>
      <c r="G1235" t="s">
        <v>30058</v>
      </c>
      <c r="H1235" t="s">
        <v>15498</v>
      </c>
      <c r="I1235" t="s">
        <v>3736</v>
      </c>
      <c r="J1235" t="s">
        <v>31102</v>
      </c>
      <c r="K1235" t="s">
        <v>39019</v>
      </c>
      <c r="M1235" t="s">
        <v>39832</v>
      </c>
      <c r="N1235" t="s">
        <v>43166</v>
      </c>
      <c r="O1235" t="s">
        <v>43167</v>
      </c>
      <c r="Q1235">
        <v>1</v>
      </c>
      <c r="R1235" t="s">
        <v>43169</v>
      </c>
      <c r="S1235" t="s">
        <v>43296</v>
      </c>
      <c r="T1235" t="s">
        <v>44684</v>
      </c>
      <c r="U1235" t="s">
        <v>46218</v>
      </c>
      <c r="W1235" t="s">
        <v>39832</v>
      </c>
      <c r="X1235" t="s">
        <v>43170</v>
      </c>
    </row>
    <row r="1236" spans="1:24">
      <c r="A1236">
        <f>HYPERLINK("https://www.philgeps.gov.ph/GEPSNONPILOT/Tender/SplashBidNoticeAbstractUI.aspx?menuIndex=3&amp;refID=7087235&amp;Result=3","7087235")</f>
        <v>0</v>
      </c>
      <c r="B1236" t="s">
        <v>529</v>
      </c>
      <c r="C1236" t="s">
        <v>4614</v>
      </c>
      <c r="D1236" t="s">
        <v>17474</v>
      </c>
      <c r="E1236" t="s">
        <v>18593</v>
      </c>
      <c r="F1236" t="s">
        <v>30052</v>
      </c>
      <c r="G1236" t="s">
        <v>30058</v>
      </c>
      <c r="H1236" t="s">
        <v>15498</v>
      </c>
      <c r="I1236" t="s">
        <v>3736</v>
      </c>
      <c r="J1236" t="s">
        <v>31103</v>
      </c>
      <c r="K1236" t="s">
        <v>39034</v>
      </c>
      <c r="M1236" t="s">
        <v>39831</v>
      </c>
      <c r="N1236" t="s">
        <v>43166</v>
      </c>
      <c r="O1236" t="s">
        <v>43167</v>
      </c>
      <c r="P1236">
        <v>0</v>
      </c>
      <c r="Q1236">
        <v>0</v>
      </c>
      <c r="R1236" t="s">
        <v>43169</v>
      </c>
      <c r="S1236" t="s">
        <v>43291</v>
      </c>
      <c r="T1236" t="s">
        <v>44704</v>
      </c>
      <c r="U1236" t="s">
        <v>46219</v>
      </c>
      <c r="V1236" t="s">
        <v>56964</v>
      </c>
      <c r="W1236" t="s">
        <v>39831</v>
      </c>
      <c r="X1236" t="s">
        <v>43170</v>
      </c>
    </row>
    <row r="1237" spans="1:24">
      <c r="A1237">
        <f>HYPERLINK("https://www.philgeps.gov.ph/GEPSNONPILOT/Tender/SplashBidNoticeAbstractUI.aspx?menuIndex=3&amp;refID=7087226&amp;Result=3","7087226")</f>
        <v>0</v>
      </c>
      <c r="B1237" t="s">
        <v>529</v>
      </c>
      <c r="C1237" t="s">
        <v>4615</v>
      </c>
      <c r="D1237" t="s">
        <v>17474</v>
      </c>
      <c r="E1237" t="s">
        <v>18594</v>
      </c>
      <c r="F1237" t="s">
        <v>30052</v>
      </c>
      <c r="G1237" t="s">
        <v>30058</v>
      </c>
      <c r="H1237" t="s">
        <v>15498</v>
      </c>
      <c r="I1237" t="s">
        <v>30094</v>
      </c>
      <c r="J1237" t="s">
        <v>31104</v>
      </c>
      <c r="K1237" t="s">
        <v>39034</v>
      </c>
      <c r="M1237" t="s">
        <v>39831</v>
      </c>
      <c r="N1237" t="s">
        <v>43166</v>
      </c>
      <c r="O1237" t="s">
        <v>43167</v>
      </c>
      <c r="P1237">
        <v>0</v>
      </c>
      <c r="Q1237">
        <v>0</v>
      </c>
      <c r="R1237" t="s">
        <v>43169</v>
      </c>
      <c r="S1237" t="s">
        <v>43291</v>
      </c>
      <c r="T1237" t="s">
        <v>44704</v>
      </c>
      <c r="U1237" t="s">
        <v>46220</v>
      </c>
      <c r="V1237" t="s">
        <v>56965</v>
      </c>
      <c r="W1237" t="s">
        <v>39831</v>
      </c>
      <c r="X1237" t="s">
        <v>43170</v>
      </c>
    </row>
    <row r="1238" spans="1:24">
      <c r="A1238">
        <f>HYPERLINK("https://www.philgeps.gov.ph/GEPSNONPILOT/Tender/SplashBidNoticeAbstractUI.aspx?menuIndex=3&amp;refID=7087228&amp;Result=3","7087228")</f>
        <v>0</v>
      </c>
      <c r="B1238" t="s">
        <v>530</v>
      </c>
      <c r="C1238" t="s">
        <v>4616</v>
      </c>
      <c r="D1238" t="s">
        <v>17445</v>
      </c>
      <c r="E1238" t="s">
        <v>18595</v>
      </c>
      <c r="F1238" t="s">
        <v>30052</v>
      </c>
      <c r="G1238" t="s">
        <v>30058</v>
      </c>
      <c r="H1238" t="s">
        <v>15498</v>
      </c>
      <c r="I1238" t="s">
        <v>3736</v>
      </c>
      <c r="J1238" t="s">
        <v>31105</v>
      </c>
      <c r="K1238" t="s">
        <v>39019</v>
      </c>
      <c r="M1238" t="s">
        <v>39832</v>
      </c>
      <c r="N1238" t="s">
        <v>43166</v>
      </c>
      <c r="O1238" t="s">
        <v>43167</v>
      </c>
      <c r="P1238">
        <v>0</v>
      </c>
      <c r="Q1238">
        <v>1</v>
      </c>
      <c r="R1238" t="s">
        <v>43169</v>
      </c>
      <c r="S1238" t="s">
        <v>43291</v>
      </c>
      <c r="T1238" t="s">
        <v>44684</v>
      </c>
      <c r="U1238" t="s">
        <v>46221</v>
      </c>
      <c r="W1238" t="s">
        <v>39832</v>
      </c>
      <c r="X1238" t="s">
        <v>43170</v>
      </c>
    </row>
    <row r="1239" spans="1:24">
      <c r="A1239">
        <f>HYPERLINK("https://www.philgeps.gov.ph/GEPSNONPILOT/Tender/SplashBidNoticeAbstractUI.aspx?menuIndex=3&amp;refID=7087261&amp;Result=3","7087261")</f>
        <v>0</v>
      </c>
      <c r="B1239" t="s">
        <v>531</v>
      </c>
      <c r="C1239" t="s">
        <v>4617</v>
      </c>
      <c r="D1239" t="s">
        <v>17427</v>
      </c>
      <c r="E1239" t="s">
        <v>18596</v>
      </c>
      <c r="F1239" t="s">
        <v>30052</v>
      </c>
      <c r="G1239" t="s">
        <v>30059</v>
      </c>
      <c r="H1239" t="s">
        <v>15498</v>
      </c>
      <c r="I1239" t="s">
        <v>30076</v>
      </c>
      <c r="J1239" t="s">
        <v>31106</v>
      </c>
      <c r="K1239" t="s">
        <v>39018</v>
      </c>
      <c r="M1239" t="s">
        <v>39833</v>
      </c>
      <c r="N1239" t="s">
        <v>43166</v>
      </c>
      <c r="O1239" t="s">
        <v>43167</v>
      </c>
      <c r="P1239">
        <v>0</v>
      </c>
      <c r="Q1239">
        <v>7</v>
      </c>
      <c r="R1239" t="s">
        <v>43169</v>
      </c>
      <c r="S1239" t="s">
        <v>43291</v>
      </c>
      <c r="T1239" t="s">
        <v>44734</v>
      </c>
      <c r="U1239" t="s">
        <v>46222</v>
      </c>
      <c r="W1239" t="s">
        <v>39833</v>
      </c>
      <c r="X1239" t="s">
        <v>43170</v>
      </c>
    </row>
    <row r="1240" spans="1:24">
      <c r="A1240">
        <f>HYPERLINK("https://www.philgeps.gov.ph/GEPSNONPILOT/Tender/SplashBidNoticeAbstractUI.aspx?menuIndex=3&amp;refID=7087194&amp;Result=3","7087194")</f>
        <v>0</v>
      </c>
      <c r="B1240" t="s">
        <v>532</v>
      </c>
      <c r="C1240" t="s">
        <v>4618</v>
      </c>
      <c r="D1240" t="s">
        <v>17467</v>
      </c>
      <c r="E1240" t="s">
        <v>18597</v>
      </c>
      <c r="F1240" t="s">
        <v>30052</v>
      </c>
      <c r="G1240" t="s">
        <v>30058</v>
      </c>
      <c r="H1240" t="s">
        <v>30067</v>
      </c>
      <c r="I1240" t="s">
        <v>3693</v>
      </c>
      <c r="J1240" t="s">
        <v>31107</v>
      </c>
      <c r="K1240" t="s">
        <v>39057</v>
      </c>
      <c r="M1240" t="s">
        <v>39834</v>
      </c>
      <c r="N1240" t="s">
        <v>43166</v>
      </c>
      <c r="O1240" t="s">
        <v>43167</v>
      </c>
      <c r="P1240">
        <v>0</v>
      </c>
      <c r="Q1240">
        <v>1</v>
      </c>
      <c r="R1240" t="s">
        <v>43169</v>
      </c>
      <c r="S1240" t="s">
        <v>43291</v>
      </c>
      <c r="T1240" t="s">
        <v>44834</v>
      </c>
      <c r="U1240" t="s">
        <v>46223</v>
      </c>
      <c r="W1240" t="s">
        <v>39834</v>
      </c>
      <c r="X1240" t="s">
        <v>43170</v>
      </c>
    </row>
    <row r="1241" spans="1:24">
      <c r="A1241">
        <f>HYPERLINK("https://www.philgeps.gov.ph/GEPSNONPILOT/Tender/SplashBidNoticeAbstractUI.aspx?menuIndex=3&amp;refID=7087247&amp;Result=3","7087247")</f>
        <v>0</v>
      </c>
      <c r="B1241" t="s">
        <v>530</v>
      </c>
      <c r="C1241" t="s">
        <v>4619</v>
      </c>
      <c r="D1241" t="s">
        <v>17445</v>
      </c>
      <c r="E1241" t="s">
        <v>18598</v>
      </c>
      <c r="F1241" t="s">
        <v>30052</v>
      </c>
      <c r="G1241" t="s">
        <v>30058</v>
      </c>
      <c r="H1241" t="s">
        <v>15498</v>
      </c>
      <c r="I1241" t="s">
        <v>3736</v>
      </c>
      <c r="J1241" t="s">
        <v>31108</v>
      </c>
      <c r="K1241" t="s">
        <v>39019</v>
      </c>
      <c r="M1241" t="s">
        <v>39832</v>
      </c>
      <c r="N1241" t="s">
        <v>43166</v>
      </c>
      <c r="O1241" t="s">
        <v>43167</v>
      </c>
      <c r="P1241">
        <v>0</v>
      </c>
      <c r="Q1241">
        <v>1</v>
      </c>
      <c r="R1241" t="s">
        <v>43169</v>
      </c>
      <c r="S1241" t="s">
        <v>43291</v>
      </c>
      <c r="T1241" t="s">
        <v>44684</v>
      </c>
      <c r="U1241" t="s">
        <v>46224</v>
      </c>
      <c r="W1241" t="s">
        <v>39832</v>
      </c>
      <c r="X1241" t="s">
        <v>43170</v>
      </c>
    </row>
    <row r="1242" spans="1:24">
      <c r="A1242">
        <f>HYPERLINK("https://www.philgeps.gov.ph/GEPSNONPILOT/Tender/SplashBidNoticeAbstractUI.aspx?menuIndex=3&amp;refID=7087140&amp;Result=3","7087140")</f>
        <v>0</v>
      </c>
      <c r="B1242" t="s">
        <v>511</v>
      </c>
      <c r="C1242" t="s">
        <v>4620</v>
      </c>
      <c r="D1242" t="s">
        <v>17480</v>
      </c>
      <c r="E1242" t="s">
        <v>18599</v>
      </c>
      <c r="F1242" t="s">
        <v>30052</v>
      </c>
      <c r="G1242" t="s">
        <v>30058</v>
      </c>
      <c r="H1242" t="s">
        <v>30067</v>
      </c>
      <c r="I1242" t="s">
        <v>3693</v>
      </c>
      <c r="J1242" t="s">
        <v>31109</v>
      </c>
      <c r="K1242" t="s">
        <v>39031</v>
      </c>
      <c r="M1242" t="s">
        <v>39812</v>
      </c>
      <c r="N1242" t="s">
        <v>43166</v>
      </c>
      <c r="O1242" t="s">
        <v>43167</v>
      </c>
      <c r="P1242">
        <v>0</v>
      </c>
      <c r="Q1242">
        <v>3</v>
      </c>
      <c r="R1242" t="s">
        <v>43169</v>
      </c>
      <c r="S1242" t="s">
        <v>43291</v>
      </c>
      <c r="T1242" t="s">
        <v>44835</v>
      </c>
      <c r="U1242" t="s">
        <v>46174</v>
      </c>
      <c r="V1242" t="s">
        <v>56966</v>
      </c>
      <c r="W1242" t="s">
        <v>39812</v>
      </c>
      <c r="X1242" t="s">
        <v>43170</v>
      </c>
    </row>
    <row r="1243" spans="1:24">
      <c r="A1243">
        <f>HYPERLINK("https://www.philgeps.gov.ph/GEPSNONPILOT/Tender/SplashBidNoticeAbstractUI.aspx?menuIndex=3&amp;refID=7087201&amp;Result=3","7087201")</f>
        <v>0</v>
      </c>
      <c r="B1243" t="s">
        <v>521</v>
      </c>
      <c r="C1243" t="s">
        <v>4621</v>
      </c>
      <c r="D1243" t="s">
        <v>17415</v>
      </c>
      <c r="E1243" t="s">
        <v>18600</v>
      </c>
      <c r="F1243" t="s">
        <v>30052</v>
      </c>
      <c r="G1243" t="s">
        <v>30059</v>
      </c>
      <c r="H1243" t="s">
        <v>30069</v>
      </c>
      <c r="I1243" t="s">
        <v>30101</v>
      </c>
      <c r="J1243" t="s">
        <v>31110</v>
      </c>
      <c r="K1243" t="s">
        <v>39019</v>
      </c>
      <c r="M1243" t="s">
        <v>39823</v>
      </c>
      <c r="N1243" t="s">
        <v>43166</v>
      </c>
      <c r="O1243" t="s">
        <v>43167</v>
      </c>
      <c r="P1243">
        <v>0</v>
      </c>
      <c r="Q1243">
        <v>0</v>
      </c>
      <c r="R1243" t="s">
        <v>43169</v>
      </c>
      <c r="S1243" t="s">
        <v>43291</v>
      </c>
      <c r="T1243" t="s">
        <v>44832</v>
      </c>
      <c r="U1243" t="s">
        <v>46225</v>
      </c>
      <c r="V1243" t="s">
        <v>56959</v>
      </c>
      <c r="W1243" t="s">
        <v>58603</v>
      </c>
      <c r="X1243" t="s">
        <v>43170</v>
      </c>
    </row>
    <row r="1244" spans="1:24">
      <c r="A1244">
        <f>HYPERLINK("https://www.philgeps.gov.ph/GEPSNONPILOT/Tender/SplashBidNoticeAbstractUI.aspx?menuIndex=3&amp;refID=7087190&amp;Result=3","7087190")</f>
        <v>0</v>
      </c>
      <c r="B1244" t="s">
        <v>521</v>
      </c>
      <c r="C1244" t="s">
        <v>4595</v>
      </c>
      <c r="D1244" t="s">
        <v>17415</v>
      </c>
      <c r="E1244" t="s">
        <v>18575</v>
      </c>
      <c r="F1244" t="s">
        <v>30052</v>
      </c>
      <c r="G1244" t="s">
        <v>30061</v>
      </c>
      <c r="H1244" t="s">
        <v>15498</v>
      </c>
      <c r="I1244" t="s">
        <v>9238</v>
      </c>
      <c r="J1244" t="s">
        <v>30350</v>
      </c>
      <c r="K1244" t="s">
        <v>39019</v>
      </c>
      <c r="M1244" t="s">
        <v>39823</v>
      </c>
      <c r="N1244" t="s">
        <v>43166</v>
      </c>
      <c r="O1244" t="s">
        <v>43167</v>
      </c>
      <c r="P1244">
        <v>0</v>
      </c>
      <c r="Q1244">
        <v>8</v>
      </c>
      <c r="R1244" t="s">
        <v>43169</v>
      </c>
      <c r="S1244" t="s">
        <v>43291</v>
      </c>
      <c r="T1244" t="s">
        <v>44832</v>
      </c>
      <c r="U1244" t="s">
        <v>46226</v>
      </c>
      <c r="V1244" t="s">
        <v>56959</v>
      </c>
      <c r="W1244" t="s">
        <v>58603</v>
      </c>
      <c r="X1244" t="s">
        <v>43170</v>
      </c>
    </row>
    <row r="1245" spans="1:24">
      <c r="A1245">
        <f>HYPERLINK("https://www.philgeps.gov.ph/GEPSNONPILOT/Tender/SplashBidNoticeAbstractUI.aspx?menuIndex=3&amp;refID=7087150&amp;Result=3","7087150")</f>
        <v>0</v>
      </c>
      <c r="B1245" t="s">
        <v>533</v>
      </c>
      <c r="C1245" t="s">
        <v>4622</v>
      </c>
      <c r="D1245" t="s">
        <v>17432</v>
      </c>
      <c r="E1245" t="s">
        <v>18601</v>
      </c>
      <c r="F1245" t="s">
        <v>30052</v>
      </c>
      <c r="G1245" t="s">
        <v>30059</v>
      </c>
      <c r="H1245" t="s">
        <v>15498</v>
      </c>
      <c r="I1245" t="s">
        <v>4119</v>
      </c>
      <c r="J1245" t="s">
        <v>30230</v>
      </c>
      <c r="K1245" t="s">
        <v>39040</v>
      </c>
      <c r="M1245" t="s">
        <v>39835</v>
      </c>
      <c r="N1245" t="s">
        <v>43166</v>
      </c>
      <c r="O1245" t="s">
        <v>43167</v>
      </c>
      <c r="P1245">
        <v>0</v>
      </c>
      <c r="Q1245">
        <v>0</v>
      </c>
      <c r="R1245" t="s">
        <v>43169</v>
      </c>
      <c r="S1245" t="s">
        <v>43291</v>
      </c>
      <c r="T1245" t="s">
        <v>44836</v>
      </c>
      <c r="U1245" t="s">
        <v>46227</v>
      </c>
      <c r="W1245" t="s">
        <v>39835</v>
      </c>
      <c r="X1245" t="s">
        <v>43170</v>
      </c>
    </row>
    <row r="1246" spans="1:24">
      <c r="A1246">
        <f>HYPERLINK("https://www.philgeps.gov.ph/GEPSNONPILOT/Tender/SplashBidNoticeAbstractUI.aspx?menuIndex=3&amp;refID=7087149&amp;Result=3","7087149")</f>
        <v>0</v>
      </c>
      <c r="B1246" t="s">
        <v>534</v>
      </c>
      <c r="C1246" t="s">
        <v>4623</v>
      </c>
      <c r="D1246" t="s">
        <v>17467</v>
      </c>
      <c r="E1246" t="s">
        <v>18602</v>
      </c>
      <c r="F1246" t="s">
        <v>30052</v>
      </c>
      <c r="G1246" t="s">
        <v>30059</v>
      </c>
      <c r="H1246" t="s">
        <v>15498</v>
      </c>
      <c r="I1246" t="s">
        <v>30070</v>
      </c>
      <c r="J1246" t="s">
        <v>31111</v>
      </c>
      <c r="K1246" t="s">
        <v>39036</v>
      </c>
      <c r="M1246" t="s">
        <v>39836</v>
      </c>
      <c r="N1246" t="s">
        <v>43166</v>
      </c>
      <c r="O1246" t="s">
        <v>43167</v>
      </c>
      <c r="P1246">
        <v>0</v>
      </c>
      <c r="Q1246">
        <v>0</v>
      </c>
      <c r="R1246" t="s">
        <v>43169</v>
      </c>
      <c r="S1246" t="s">
        <v>43291</v>
      </c>
      <c r="T1246" t="s">
        <v>44773</v>
      </c>
      <c r="U1246" t="s">
        <v>46228</v>
      </c>
      <c r="W1246" t="s">
        <v>39836</v>
      </c>
      <c r="X1246" t="s">
        <v>43170</v>
      </c>
    </row>
    <row r="1247" spans="1:24">
      <c r="A1247">
        <f>HYPERLINK("https://www.philgeps.gov.ph/GEPSNONPILOT/Tender/SplashBidNoticeAbstractUI.aspx?menuIndex=3&amp;refID=7087147&amp;Result=3","7087147")</f>
        <v>0</v>
      </c>
      <c r="B1247" t="s">
        <v>535</v>
      </c>
      <c r="C1247" t="s">
        <v>4624</v>
      </c>
      <c r="D1247" t="s">
        <v>17435</v>
      </c>
      <c r="E1247" t="s">
        <v>18603</v>
      </c>
      <c r="F1247" t="s">
        <v>30052</v>
      </c>
      <c r="G1247" t="s">
        <v>30058</v>
      </c>
      <c r="H1247" t="s">
        <v>15498</v>
      </c>
      <c r="I1247" t="s">
        <v>3736</v>
      </c>
      <c r="J1247" t="s">
        <v>31112</v>
      </c>
      <c r="K1247" t="s">
        <v>39025</v>
      </c>
      <c r="M1247" t="s">
        <v>39837</v>
      </c>
      <c r="N1247" t="s">
        <v>43166</v>
      </c>
      <c r="O1247" t="s">
        <v>43167</v>
      </c>
      <c r="P1247">
        <v>0</v>
      </c>
      <c r="Q1247">
        <v>0</v>
      </c>
      <c r="R1247" t="s">
        <v>43169</v>
      </c>
      <c r="S1247" t="s">
        <v>43291</v>
      </c>
      <c r="T1247" t="s">
        <v>44681</v>
      </c>
      <c r="U1247" t="s">
        <v>46229</v>
      </c>
      <c r="W1247" t="s">
        <v>39837</v>
      </c>
      <c r="X1247" t="s">
        <v>43170</v>
      </c>
    </row>
    <row r="1248" spans="1:24">
      <c r="A1248">
        <f>HYPERLINK("https://www.philgeps.gov.ph/GEPSNONPILOT/Tender/SplashBidNoticeAbstractUI.aspx?menuIndex=3&amp;refID=7087135&amp;Result=3","7087135")</f>
        <v>0</v>
      </c>
      <c r="B1248" t="s">
        <v>536</v>
      </c>
      <c r="C1248" t="s">
        <v>4625</v>
      </c>
      <c r="D1248" t="s">
        <v>17427</v>
      </c>
      <c r="E1248" t="s">
        <v>17799</v>
      </c>
      <c r="F1248" t="s">
        <v>30052</v>
      </c>
      <c r="G1248" t="s">
        <v>30060</v>
      </c>
      <c r="H1248" t="s">
        <v>30067</v>
      </c>
      <c r="I1248" t="s">
        <v>3693</v>
      </c>
      <c r="J1248" t="s">
        <v>31060</v>
      </c>
      <c r="K1248" t="s">
        <v>39016</v>
      </c>
      <c r="M1248" t="s">
        <v>39838</v>
      </c>
      <c r="N1248" t="s">
        <v>43166</v>
      </c>
      <c r="O1248" t="s">
        <v>43167</v>
      </c>
      <c r="P1248">
        <v>0</v>
      </c>
      <c r="Q1248">
        <v>0</v>
      </c>
      <c r="R1248" t="s">
        <v>43169</v>
      </c>
      <c r="S1248" t="s">
        <v>43291</v>
      </c>
      <c r="T1248" t="s">
        <v>44787</v>
      </c>
      <c r="U1248" t="s">
        <v>46230</v>
      </c>
      <c r="V1248" t="s">
        <v>56967</v>
      </c>
      <c r="W1248" t="s">
        <v>39838</v>
      </c>
      <c r="X1248" t="s">
        <v>43170</v>
      </c>
    </row>
    <row r="1249" spans="1:24">
      <c r="A1249">
        <f>HYPERLINK("https://www.philgeps.gov.ph/GEPSNONPILOT/Tender/SplashBidNoticeAbstractUI.aspx?menuIndex=3&amp;refID=7087290&amp;Result=3","7087290")</f>
        <v>0</v>
      </c>
      <c r="B1249" t="s">
        <v>526</v>
      </c>
      <c r="C1249" t="s">
        <v>4626</v>
      </c>
      <c r="D1249" t="s">
        <v>17447</v>
      </c>
      <c r="E1249" t="s">
        <v>17745</v>
      </c>
      <c r="F1249" t="s">
        <v>30052</v>
      </c>
      <c r="G1249" t="s">
        <v>30059</v>
      </c>
      <c r="H1249" t="s">
        <v>15498</v>
      </c>
      <c r="I1249" t="s">
        <v>30109</v>
      </c>
      <c r="J1249" t="s">
        <v>30407</v>
      </c>
      <c r="K1249" t="s">
        <v>39034</v>
      </c>
      <c r="M1249" t="s">
        <v>39828</v>
      </c>
      <c r="N1249" t="s">
        <v>43166</v>
      </c>
      <c r="O1249" t="s">
        <v>43167</v>
      </c>
      <c r="P1249">
        <v>0</v>
      </c>
      <c r="Q1249">
        <v>3</v>
      </c>
      <c r="R1249" t="s">
        <v>43169</v>
      </c>
      <c r="S1249" t="s">
        <v>43291</v>
      </c>
      <c r="T1249" t="s">
        <v>44734</v>
      </c>
      <c r="U1249" t="s">
        <v>46231</v>
      </c>
      <c r="W1249" t="s">
        <v>39828</v>
      </c>
      <c r="X1249" t="s">
        <v>43170</v>
      </c>
    </row>
    <row r="1250" spans="1:24">
      <c r="A1250">
        <f>HYPERLINK("https://www.philgeps.gov.ph/GEPSNONPILOT/Tender/SplashBidNoticeAbstractUI.aspx?menuIndex=3&amp;refID=7087193&amp;Result=3","7087193")</f>
        <v>0</v>
      </c>
      <c r="B1250" t="s">
        <v>521</v>
      </c>
      <c r="C1250" t="s">
        <v>4627</v>
      </c>
      <c r="D1250" t="s">
        <v>17415</v>
      </c>
      <c r="E1250" t="s">
        <v>18604</v>
      </c>
      <c r="F1250" t="s">
        <v>30052</v>
      </c>
      <c r="G1250" t="s">
        <v>30059</v>
      </c>
      <c r="H1250" t="s">
        <v>30069</v>
      </c>
      <c r="I1250" t="s">
        <v>9238</v>
      </c>
      <c r="J1250" t="s">
        <v>31113</v>
      </c>
      <c r="K1250" t="s">
        <v>39019</v>
      </c>
      <c r="M1250" t="s">
        <v>39823</v>
      </c>
      <c r="N1250" t="s">
        <v>43166</v>
      </c>
      <c r="O1250" t="s">
        <v>43167</v>
      </c>
      <c r="P1250">
        <v>0</v>
      </c>
      <c r="Q1250">
        <v>4</v>
      </c>
      <c r="R1250" t="s">
        <v>43169</v>
      </c>
      <c r="S1250" t="s">
        <v>43291</v>
      </c>
      <c r="T1250" t="s">
        <v>44832</v>
      </c>
      <c r="U1250" t="s">
        <v>46232</v>
      </c>
      <c r="V1250" t="s">
        <v>56959</v>
      </c>
      <c r="W1250" t="s">
        <v>58603</v>
      </c>
      <c r="X1250" t="s">
        <v>43170</v>
      </c>
    </row>
    <row r="1251" spans="1:24">
      <c r="A1251">
        <f>HYPERLINK("https://www.philgeps.gov.ph/GEPSNONPILOT/Tender/SplashBidNoticeAbstractUI.aspx?menuIndex=3&amp;refID=7087200&amp;Result=3","7087200")</f>
        <v>0</v>
      </c>
      <c r="B1251" t="s">
        <v>336</v>
      </c>
      <c r="C1251" t="s">
        <v>4628</v>
      </c>
      <c r="D1251" t="s">
        <v>17455</v>
      </c>
      <c r="E1251" t="s">
        <v>11577</v>
      </c>
      <c r="F1251" t="s">
        <v>30052</v>
      </c>
      <c r="G1251" t="s">
        <v>30058</v>
      </c>
      <c r="H1251" t="s">
        <v>15498</v>
      </c>
      <c r="I1251" t="s">
        <v>30109</v>
      </c>
      <c r="J1251" t="s">
        <v>31114</v>
      </c>
      <c r="K1251" t="s">
        <v>39017</v>
      </c>
      <c r="M1251" t="s">
        <v>39632</v>
      </c>
      <c r="N1251" t="s">
        <v>43166</v>
      </c>
      <c r="O1251" t="s">
        <v>43167</v>
      </c>
      <c r="P1251">
        <v>0</v>
      </c>
      <c r="Q1251">
        <v>0</v>
      </c>
      <c r="R1251" t="s">
        <v>43169</v>
      </c>
      <c r="S1251" t="s">
        <v>43291</v>
      </c>
      <c r="T1251" t="s">
        <v>44757</v>
      </c>
      <c r="U1251" t="s">
        <v>45799</v>
      </c>
      <c r="V1251" t="s">
        <v>45799</v>
      </c>
      <c r="W1251" t="s">
        <v>39632</v>
      </c>
      <c r="X1251" t="s">
        <v>43170</v>
      </c>
    </row>
    <row r="1252" spans="1:24">
      <c r="A1252">
        <f>HYPERLINK("https://www.philgeps.gov.ph/GEPSNONPILOT/Tender/SplashBidNoticeAbstractUI.aspx?menuIndex=3&amp;refID=7087152&amp;Result=3","7087152")</f>
        <v>0</v>
      </c>
      <c r="B1252" t="s">
        <v>537</v>
      </c>
      <c r="C1252" t="s">
        <v>4629</v>
      </c>
      <c r="D1252" t="s">
        <v>17456</v>
      </c>
      <c r="E1252" t="s">
        <v>18605</v>
      </c>
      <c r="F1252" t="s">
        <v>30052</v>
      </c>
      <c r="G1252" t="s">
        <v>30059</v>
      </c>
      <c r="H1252" t="s">
        <v>15498</v>
      </c>
      <c r="I1252" t="s">
        <v>6691</v>
      </c>
      <c r="J1252" t="s">
        <v>30256</v>
      </c>
      <c r="K1252" t="s">
        <v>39035</v>
      </c>
      <c r="M1252" t="s">
        <v>39839</v>
      </c>
      <c r="N1252" t="s">
        <v>43166</v>
      </c>
      <c r="O1252" t="s">
        <v>43167</v>
      </c>
      <c r="P1252">
        <v>0</v>
      </c>
      <c r="Q1252">
        <v>0</v>
      </c>
      <c r="R1252" t="s">
        <v>43169</v>
      </c>
      <c r="S1252" t="s">
        <v>43291</v>
      </c>
      <c r="T1252" t="s">
        <v>44714</v>
      </c>
      <c r="U1252" t="s">
        <v>46233</v>
      </c>
      <c r="V1252" t="s">
        <v>56968</v>
      </c>
      <c r="W1252" t="s">
        <v>39839</v>
      </c>
      <c r="X1252" t="s">
        <v>43170</v>
      </c>
    </row>
    <row r="1253" spans="1:24">
      <c r="A1253">
        <f>HYPERLINK("https://www.philgeps.gov.ph/GEPSNONPILOT/Tender/SplashBidNoticeAbstractUI.aspx?menuIndex=3&amp;refID=7087344&amp;Result=3","7087344")</f>
        <v>0</v>
      </c>
      <c r="B1253" t="s">
        <v>538</v>
      </c>
      <c r="C1253" t="s">
        <v>4630</v>
      </c>
      <c r="D1253" t="s">
        <v>17414</v>
      </c>
      <c r="E1253" t="s">
        <v>18606</v>
      </c>
      <c r="F1253" t="s">
        <v>30052</v>
      </c>
      <c r="G1253" t="s">
        <v>30058</v>
      </c>
      <c r="H1253" t="s">
        <v>15498</v>
      </c>
      <c r="I1253" t="s">
        <v>30081</v>
      </c>
      <c r="J1253" t="s">
        <v>31115</v>
      </c>
      <c r="K1253" t="s">
        <v>39029</v>
      </c>
      <c r="M1253" t="s">
        <v>39840</v>
      </c>
      <c r="N1253" t="s">
        <v>43166</v>
      </c>
      <c r="O1253" t="s">
        <v>43167</v>
      </c>
      <c r="P1253">
        <v>0</v>
      </c>
      <c r="Q1253">
        <v>3</v>
      </c>
      <c r="R1253" t="s">
        <v>43169</v>
      </c>
      <c r="S1253" t="s">
        <v>43291</v>
      </c>
      <c r="T1253" t="s">
        <v>44684</v>
      </c>
      <c r="U1253" t="s">
        <v>46234</v>
      </c>
      <c r="V1253" t="s">
        <v>56969</v>
      </c>
      <c r="W1253" t="s">
        <v>39840</v>
      </c>
      <c r="X1253" t="s">
        <v>43170</v>
      </c>
    </row>
    <row r="1254" spans="1:24">
      <c r="A1254">
        <f>HYPERLINK("https://www.philgeps.gov.ph/GEPSNONPILOT/Tender/SplashBidNoticeAbstractUI.aspx?menuIndex=3&amp;refID=7087343&amp;Result=3","7087343")</f>
        <v>0</v>
      </c>
      <c r="B1254" t="s">
        <v>524</v>
      </c>
      <c r="C1254" t="s">
        <v>4631</v>
      </c>
      <c r="D1254" t="s">
        <v>17455</v>
      </c>
      <c r="E1254" t="s">
        <v>18607</v>
      </c>
      <c r="F1254" t="s">
        <v>30052</v>
      </c>
      <c r="G1254" t="s">
        <v>30058</v>
      </c>
      <c r="H1254" t="s">
        <v>15498</v>
      </c>
      <c r="I1254" t="s">
        <v>4119</v>
      </c>
      <c r="J1254" t="s">
        <v>31116</v>
      </c>
      <c r="K1254" t="s">
        <v>39036</v>
      </c>
      <c r="M1254" t="s">
        <v>39826</v>
      </c>
      <c r="N1254" t="s">
        <v>43166</v>
      </c>
      <c r="O1254" t="s">
        <v>43167</v>
      </c>
      <c r="P1254">
        <v>0</v>
      </c>
      <c r="Q1254">
        <v>2</v>
      </c>
      <c r="R1254" t="s">
        <v>43169</v>
      </c>
      <c r="S1254" t="s">
        <v>43291</v>
      </c>
      <c r="T1254" t="s">
        <v>44724</v>
      </c>
      <c r="U1254" t="s">
        <v>46235</v>
      </c>
      <c r="W1254" t="s">
        <v>39826</v>
      </c>
      <c r="X1254" t="s">
        <v>43170</v>
      </c>
    </row>
    <row r="1255" spans="1:24">
      <c r="A1255">
        <f>HYPERLINK("https://www.philgeps.gov.ph/GEPSNONPILOT/Tender/SplashBidNoticeAbstractUI.aspx?menuIndex=3&amp;refID=7087339&amp;Result=3","7087339")</f>
        <v>0</v>
      </c>
      <c r="B1255" t="s">
        <v>499</v>
      </c>
      <c r="C1255" t="s">
        <v>4521</v>
      </c>
      <c r="D1255" t="s">
        <v>17465</v>
      </c>
      <c r="E1255" t="s">
        <v>18608</v>
      </c>
      <c r="F1255" t="s">
        <v>30052</v>
      </c>
      <c r="G1255" t="s">
        <v>30062</v>
      </c>
      <c r="H1255" t="s">
        <v>15498</v>
      </c>
      <c r="I1255" t="s">
        <v>4119</v>
      </c>
      <c r="J1255" t="s">
        <v>31117</v>
      </c>
      <c r="K1255" t="s">
        <v>39034</v>
      </c>
      <c r="M1255" t="s">
        <v>39800</v>
      </c>
      <c r="N1255" t="s">
        <v>43166</v>
      </c>
      <c r="O1255" t="s">
        <v>43167</v>
      </c>
      <c r="P1255">
        <v>0</v>
      </c>
      <c r="Q1255">
        <v>3</v>
      </c>
      <c r="R1255" t="s">
        <v>43169</v>
      </c>
      <c r="S1255" t="s">
        <v>43291</v>
      </c>
      <c r="T1255" t="s">
        <v>44679</v>
      </c>
      <c r="U1255" t="s">
        <v>46156</v>
      </c>
      <c r="W1255" t="s">
        <v>39800</v>
      </c>
      <c r="X1255" t="s">
        <v>43170</v>
      </c>
    </row>
    <row r="1256" spans="1:24">
      <c r="A1256">
        <f>HYPERLINK("https://www.philgeps.gov.ph/GEPSNONPILOT/Tender/SplashBidNoticeAbstractUI.aspx?menuIndex=3&amp;refID=7087134&amp;Result=3","7087134")</f>
        <v>0</v>
      </c>
      <c r="B1256" t="s">
        <v>509</v>
      </c>
      <c r="C1256" t="s">
        <v>4632</v>
      </c>
      <c r="D1256" t="s">
        <v>17415</v>
      </c>
      <c r="E1256" t="s">
        <v>18609</v>
      </c>
      <c r="F1256" t="s">
        <v>30052</v>
      </c>
      <c r="G1256" t="s">
        <v>30059</v>
      </c>
      <c r="H1256" t="s">
        <v>30068</v>
      </c>
      <c r="I1256" t="s">
        <v>30068</v>
      </c>
      <c r="J1256" t="s">
        <v>31066</v>
      </c>
      <c r="K1256" t="s">
        <v>39077</v>
      </c>
      <c r="M1256" t="s">
        <v>39810</v>
      </c>
      <c r="N1256" t="s">
        <v>43166</v>
      </c>
      <c r="O1256" t="s">
        <v>43167</v>
      </c>
      <c r="P1256">
        <v>0</v>
      </c>
      <c r="Q1256">
        <v>1</v>
      </c>
      <c r="R1256" t="s">
        <v>43169</v>
      </c>
      <c r="S1256" t="s">
        <v>43291</v>
      </c>
      <c r="T1256" t="s">
        <v>44710</v>
      </c>
      <c r="U1256" t="s">
        <v>46172</v>
      </c>
      <c r="W1256" t="s">
        <v>39810</v>
      </c>
      <c r="X1256" t="s">
        <v>43170</v>
      </c>
    </row>
    <row r="1257" spans="1:24">
      <c r="A1257">
        <f>HYPERLINK("https://www.philgeps.gov.ph/GEPSNONPILOT/Tender/SplashBidNoticeAbstractUI.aspx?menuIndex=3&amp;refID=7087336&amp;Result=3","7087336")</f>
        <v>0</v>
      </c>
      <c r="B1257" t="s">
        <v>539</v>
      </c>
      <c r="C1257" t="s">
        <v>4633</v>
      </c>
      <c r="D1257" t="s">
        <v>17427</v>
      </c>
      <c r="E1257" t="s">
        <v>18610</v>
      </c>
      <c r="F1257" t="s">
        <v>30052</v>
      </c>
      <c r="G1257" t="s">
        <v>30061</v>
      </c>
      <c r="H1257" t="s">
        <v>15498</v>
      </c>
      <c r="I1257" t="s">
        <v>30073</v>
      </c>
      <c r="J1257" t="s">
        <v>31118</v>
      </c>
      <c r="K1257" t="s">
        <v>39018</v>
      </c>
      <c r="M1257" t="s">
        <v>39841</v>
      </c>
      <c r="N1257" t="s">
        <v>43166</v>
      </c>
      <c r="O1257" t="s">
        <v>43167</v>
      </c>
      <c r="P1257">
        <v>0</v>
      </c>
      <c r="Q1257">
        <v>0</v>
      </c>
      <c r="R1257" t="s">
        <v>43169</v>
      </c>
      <c r="S1257" t="s">
        <v>43291</v>
      </c>
      <c r="T1257" t="s">
        <v>44735</v>
      </c>
      <c r="U1257" t="s">
        <v>46236</v>
      </c>
      <c r="W1257" t="s">
        <v>39841</v>
      </c>
      <c r="X1257" t="s">
        <v>43170</v>
      </c>
    </row>
    <row r="1258" spans="1:24">
      <c r="A1258">
        <f>HYPERLINK("https://www.philgeps.gov.ph/GEPSNONPILOT/Tender/SplashBidNoticeAbstractUI.aspx?menuIndex=3&amp;refID=7087199&amp;Result=3","7087199")</f>
        <v>0</v>
      </c>
      <c r="B1258" t="s">
        <v>515</v>
      </c>
      <c r="C1258" t="s">
        <v>4634</v>
      </c>
      <c r="D1258" t="s">
        <v>17432</v>
      </c>
      <c r="E1258" t="s">
        <v>18611</v>
      </c>
      <c r="F1258" t="s">
        <v>30052</v>
      </c>
      <c r="G1258" t="s">
        <v>30060</v>
      </c>
      <c r="H1258" t="s">
        <v>15498</v>
      </c>
      <c r="I1258" t="s">
        <v>3852</v>
      </c>
      <c r="J1258" t="s">
        <v>31091</v>
      </c>
      <c r="K1258" t="s">
        <v>39018</v>
      </c>
      <c r="M1258" t="s">
        <v>39816</v>
      </c>
      <c r="N1258" t="s">
        <v>43166</v>
      </c>
      <c r="O1258" t="s">
        <v>43167</v>
      </c>
      <c r="P1258">
        <v>0</v>
      </c>
      <c r="Q1258">
        <v>0</v>
      </c>
      <c r="R1258" t="s">
        <v>43169</v>
      </c>
      <c r="S1258" t="s">
        <v>43291</v>
      </c>
      <c r="T1258" t="s">
        <v>44734</v>
      </c>
      <c r="U1258" t="s">
        <v>46237</v>
      </c>
      <c r="W1258" t="s">
        <v>39816</v>
      </c>
      <c r="X1258" t="s">
        <v>43170</v>
      </c>
    </row>
    <row r="1259" spans="1:24">
      <c r="A1259">
        <f>HYPERLINK("https://www.philgeps.gov.ph/GEPSNONPILOT/Tender/SplashBidNoticeAbstractUI.aspx?menuIndex=3&amp;refID=7087331&amp;Result=3","7087331")</f>
        <v>0</v>
      </c>
      <c r="B1259" t="s">
        <v>524</v>
      </c>
      <c r="C1259" t="s">
        <v>3852</v>
      </c>
      <c r="E1259" t="s">
        <v>18612</v>
      </c>
      <c r="F1259" t="s">
        <v>30052</v>
      </c>
      <c r="G1259" t="s">
        <v>30058</v>
      </c>
      <c r="H1259" t="s">
        <v>15498</v>
      </c>
      <c r="I1259" t="s">
        <v>3852</v>
      </c>
      <c r="J1259" t="s">
        <v>31119</v>
      </c>
      <c r="K1259" t="s">
        <v>39036</v>
      </c>
      <c r="M1259" t="s">
        <v>39826</v>
      </c>
      <c r="N1259" t="s">
        <v>43166</v>
      </c>
      <c r="O1259" t="s">
        <v>43167</v>
      </c>
      <c r="P1259">
        <v>0</v>
      </c>
      <c r="Q1259">
        <v>0</v>
      </c>
      <c r="R1259" t="s">
        <v>43169</v>
      </c>
      <c r="S1259" t="s">
        <v>43291</v>
      </c>
      <c r="T1259" t="s">
        <v>44724</v>
      </c>
      <c r="U1259" t="s">
        <v>46238</v>
      </c>
      <c r="W1259" t="s">
        <v>39826</v>
      </c>
      <c r="X1259" t="s">
        <v>43170</v>
      </c>
    </row>
    <row r="1260" spans="1:24">
      <c r="A1260">
        <f>HYPERLINK("https://www.philgeps.gov.ph/GEPSNONPILOT/Tender/SplashBidNoticeAbstractUI.aspx?menuIndex=3&amp;refID=7087327&amp;Result=3","7087327")</f>
        <v>0</v>
      </c>
      <c r="B1260" t="s">
        <v>540</v>
      </c>
      <c r="C1260" t="s">
        <v>4635</v>
      </c>
      <c r="D1260" t="s">
        <v>17452</v>
      </c>
      <c r="E1260" t="s">
        <v>17666</v>
      </c>
      <c r="F1260" t="s">
        <v>30052</v>
      </c>
      <c r="G1260" t="s">
        <v>30058</v>
      </c>
      <c r="H1260" t="s">
        <v>15498</v>
      </c>
      <c r="I1260" t="s">
        <v>30114</v>
      </c>
      <c r="J1260" t="s">
        <v>31120</v>
      </c>
      <c r="K1260" t="s">
        <v>39029</v>
      </c>
      <c r="M1260" t="s">
        <v>39842</v>
      </c>
      <c r="N1260" t="s">
        <v>43166</v>
      </c>
      <c r="O1260" t="s">
        <v>43167</v>
      </c>
      <c r="P1260">
        <v>0</v>
      </c>
      <c r="Q1260">
        <v>10</v>
      </c>
      <c r="R1260" t="s">
        <v>43169</v>
      </c>
      <c r="S1260" t="s">
        <v>43291</v>
      </c>
      <c r="T1260" t="s">
        <v>44709</v>
      </c>
      <c r="U1260" t="s">
        <v>46239</v>
      </c>
      <c r="W1260" t="s">
        <v>39842</v>
      </c>
      <c r="X1260" t="s">
        <v>43170</v>
      </c>
    </row>
    <row r="1261" spans="1:24">
      <c r="A1261">
        <f>HYPERLINK("https://www.philgeps.gov.ph/GEPSNONPILOT/Tender/SplashBidNoticeAbstractUI.aspx?menuIndex=3&amp;refID=7087340&amp;Result=3","7087340")</f>
        <v>0</v>
      </c>
      <c r="B1261" t="s">
        <v>539</v>
      </c>
      <c r="C1261" t="s">
        <v>4636</v>
      </c>
      <c r="D1261" t="s">
        <v>17427</v>
      </c>
      <c r="E1261" t="s">
        <v>18613</v>
      </c>
      <c r="F1261" t="s">
        <v>30052</v>
      </c>
      <c r="G1261" t="s">
        <v>30061</v>
      </c>
      <c r="H1261" t="s">
        <v>15498</v>
      </c>
      <c r="I1261" t="s">
        <v>5961</v>
      </c>
      <c r="J1261" t="s">
        <v>31121</v>
      </c>
      <c r="K1261" t="s">
        <v>39018</v>
      </c>
      <c r="M1261" t="s">
        <v>39841</v>
      </c>
      <c r="N1261" t="s">
        <v>43166</v>
      </c>
      <c r="O1261" t="s">
        <v>43167</v>
      </c>
      <c r="P1261">
        <v>0</v>
      </c>
      <c r="Q1261">
        <v>3</v>
      </c>
      <c r="R1261" t="s">
        <v>43169</v>
      </c>
      <c r="S1261" t="s">
        <v>43291</v>
      </c>
      <c r="T1261" t="s">
        <v>44735</v>
      </c>
      <c r="U1261" t="s">
        <v>46240</v>
      </c>
      <c r="W1261" t="s">
        <v>39841</v>
      </c>
      <c r="X1261" t="s">
        <v>43170</v>
      </c>
    </row>
    <row r="1262" spans="1:24">
      <c r="A1262">
        <f>HYPERLINK("https://www.philgeps.gov.ph/GEPSNONPILOT/Tender/SplashBidNoticeAbstractUI.aspx?menuIndex=3&amp;refID=7087333&amp;Result=3","7087333")</f>
        <v>0</v>
      </c>
      <c r="B1262" t="s">
        <v>499</v>
      </c>
      <c r="C1262" t="s">
        <v>4521</v>
      </c>
      <c r="D1262" t="s">
        <v>17465</v>
      </c>
      <c r="E1262" t="s">
        <v>18614</v>
      </c>
      <c r="F1262" t="s">
        <v>30052</v>
      </c>
      <c r="G1262" t="s">
        <v>30062</v>
      </c>
      <c r="H1262" t="s">
        <v>15498</v>
      </c>
      <c r="I1262" t="s">
        <v>4119</v>
      </c>
      <c r="J1262" t="s">
        <v>31117</v>
      </c>
      <c r="K1262" t="s">
        <v>39034</v>
      </c>
      <c r="M1262" t="s">
        <v>39800</v>
      </c>
      <c r="N1262" t="s">
        <v>43166</v>
      </c>
      <c r="O1262" t="s">
        <v>43167</v>
      </c>
      <c r="P1262">
        <v>0</v>
      </c>
      <c r="Q1262">
        <v>4</v>
      </c>
      <c r="R1262" t="s">
        <v>43169</v>
      </c>
      <c r="S1262" t="s">
        <v>43291</v>
      </c>
      <c r="T1262" t="s">
        <v>44679</v>
      </c>
      <c r="U1262" t="s">
        <v>46156</v>
      </c>
      <c r="W1262" t="s">
        <v>39800</v>
      </c>
      <c r="X1262" t="s">
        <v>43170</v>
      </c>
    </row>
    <row r="1263" spans="1:24">
      <c r="A1263">
        <f>HYPERLINK("https://www.philgeps.gov.ph/GEPSNONPILOT/Tender/SplashBidNoticeAbstractUI.aspx?menuIndex=3&amp;refID=7087186&amp;Result=3","7087186")</f>
        <v>0</v>
      </c>
      <c r="B1263" t="s">
        <v>515</v>
      </c>
      <c r="C1263" t="s">
        <v>4637</v>
      </c>
      <c r="D1263" t="s">
        <v>17432</v>
      </c>
      <c r="E1263" t="s">
        <v>18615</v>
      </c>
      <c r="F1263" t="s">
        <v>30052</v>
      </c>
      <c r="G1263" t="s">
        <v>30060</v>
      </c>
      <c r="H1263" t="s">
        <v>15498</v>
      </c>
      <c r="I1263" t="s">
        <v>3852</v>
      </c>
      <c r="J1263" t="s">
        <v>31122</v>
      </c>
      <c r="K1263" t="s">
        <v>39018</v>
      </c>
      <c r="M1263" t="s">
        <v>39816</v>
      </c>
      <c r="N1263" t="s">
        <v>43166</v>
      </c>
      <c r="O1263" t="s">
        <v>43167</v>
      </c>
      <c r="P1263">
        <v>0</v>
      </c>
      <c r="Q1263">
        <v>0</v>
      </c>
      <c r="R1263" t="s">
        <v>43169</v>
      </c>
      <c r="S1263" t="s">
        <v>43291</v>
      </c>
      <c r="T1263" t="s">
        <v>44734</v>
      </c>
      <c r="U1263" t="s">
        <v>46241</v>
      </c>
      <c r="W1263" t="s">
        <v>39816</v>
      </c>
      <c r="X1263" t="s">
        <v>43170</v>
      </c>
    </row>
    <row r="1264" spans="1:24">
      <c r="A1264">
        <f>HYPERLINK("https://www.philgeps.gov.ph/GEPSNONPILOT/Tender/SplashBidNoticeAbstractUI.aspx?menuIndex=3&amp;refID=7087328&amp;Result=3","7087328")</f>
        <v>0</v>
      </c>
      <c r="B1264" t="s">
        <v>541</v>
      </c>
      <c r="C1264" t="s">
        <v>4638</v>
      </c>
      <c r="D1264" t="s">
        <v>17458</v>
      </c>
      <c r="E1264" t="s">
        <v>18616</v>
      </c>
      <c r="F1264" t="s">
        <v>30052</v>
      </c>
      <c r="G1264" t="s">
        <v>30059</v>
      </c>
      <c r="H1264" t="s">
        <v>15498</v>
      </c>
      <c r="I1264" t="s">
        <v>6691</v>
      </c>
      <c r="J1264" t="s">
        <v>30909</v>
      </c>
      <c r="K1264" t="s">
        <v>39017</v>
      </c>
      <c r="M1264" t="s">
        <v>39843</v>
      </c>
      <c r="N1264" t="s">
        <v>43166</v>
      </c>
      <c r="O1264" t="s">
        <v>43167</v>
      </c>
      <c r="P1264">
        <v>0</v>
      </c>
      <c r="Q1264">
        <v>0</v>
      </c>
      <c r="R1264" t="s">
        <v>43169</v>
      </c>
      <c r="S1264" t="s">
        <v>43291</v>
      </c>
      <c r="T1264" t="s">
        <v>44773</v>
      </c>
      <c r="U1264" t="s">
        <v>46242</v>
      </c>
      <c r="W1264" t="s">
        <v>58604</v>
      </c>
      <c r="X1264" t="s">
        <v>43170</v>
      </c>
    </row>
    <row r="1265" spans="1:24">
      <c r="A1265">
        <f>HYPERLINK("https://www.philgeps.gov.ph/GEPSNONPILOT/Tender/SplashBidNoticeAbstractUI.aspx?menuIndex=3&amp;refID=7087350&amp;Result=3","7087350")</f>
        <v>0</v>
      </c>
      <c r="B1265" t="s">
        <v>542</v>
      </c>
      <c r="C1265" t="s">
        <v>4639</v>
      </c>
      <c r="D1265" t="s">
        <v>17449</v>
      </c>
      <c r="E1265" t="s">
        <v>18617</v>
      </c>
      <c r="F1265" t="s">
        <v>30052</v>
      </c>
      <c r="G1265" t="s">
        <v>30059</v>
      </c>
      <c r="H1265" t="s">
        <v>15498</v>
      </c>
      <c r="I1265" t="s">
        <v>30126</v>
      </c>
      <c r="J1265" t="s">
        <v>30292</v>
      </c>
      <c r="K1265" t="s">
        <v>39018</v>
      </c>
      <c r="M1265" t="s">
        <v>39844</v>
      </c>
      <c r="N1265" t="s">
        <v>43166</v>
      </c>
      <c r="O1265" t="s">
        <v>43167</v>
      </c>
      <c r="P1265">
        <v>0</v>
      </c>
      <c r="Q1265">
        <v>1</v>
      </c>
      <c r="R1265" t="s">
        <v>43169</v>
      </c>
      <c r="S1265" t="s">
        <v>43291</v>
      </c>
      <c r="T1265" t="s">
        <v>44788</v>
      </c>
      <c r="U1265" t="s">
        <v>46243</v>
      </c>
      <c r="W1265" t="s">
        <v>39844</v>
      </c>
      <c r="X1265" t="s">
        <v>43170</v>
      </c>
    </row>
    <row r="1266" spans="1:24">
      <c r="A1266">
        <f>HYPERLINK("https://www.philgeps.gov.ph/GEPSNONPILOT/Tender/SplashBidNoticeAbstractUI.aspx?menuIndex=3&amp;refID=7087396&amp;Result=3","7087396")</f>
        <v>0</v>
      </c>
      <c r="B1266" t="s">
        <v>543</v>
      </c>
      <c r="C1266" t="s">
        <v>4640</v>
      </c>
      <c r="E1266" t="s">
        <v>18618</v>
      </c>
      <c r="F1266" t="s">
        <v>30052</v>
      </c>
      <c r="G1266" t="s">
        <v>30058</v>
      </c>
      <c r="H1266" t="s">
        <v>15498</v>
      </c>
      <c r="I1266" t="s">
        <v>30073</v>
      </c>
      <c r="J1266" t="s">
        <v>31123</v>
      </c>
      <c r="K1266" t="s">
        <v>39025</v>
      </c>
      <c r="M1266" t="s">
        <v>39845</v>
      </c>
      <c r="N1266" t="s">
        <v>43166</v>
      </c>
      <c r="O1266" t="s">
        <v>43167</v>
      </c>
      <c r="P1266">
        <v>0</v>
      </c>
      <c r="Q1266">
        <v>0</v>
      </c>
      <c r="R1266" t="s">
        <v>43169</v>
      </c>
      <c r="S1266" t="s">
        <v>43291</v>
      </c>
      <c r="T1266" t="s">
        <v>44718</v>
      </c>
      <c r="U1266" t="s">
        <v>46244</v>
      </c>
      <c r="W1266" t="s">
        <v>39845</v>
      </c>
      <c r="X1266" t="s">
        <v>43170</v>
      </c>
    </row>
    <row r="1267" spans="1:24">
      <c r="A1267">
        <f>HYPERLINK("https://www.philgeps.gov.ph/GEPSNONPILOT/Tender/SplashBidNoticeAbstractUI.aspx?menuIndex=3&amp;refID=7087341&amp;Result=3","7087341")</f>
        <v>0</v>
      </c>
      <c r="B1267" t="s">
        <v>538</v>
      </c>
      <c r="C1267" t="s">
        <v>4641</v>
      </c>
      <c r="D1267" t="s">
        <v>17414</v>
      </c>
      <c r="E1267" t="s">
        <v>18619</v>
      </c>
      <c r="F1267" t="s">
        <v>30052</v>
      </c>
      <c r="G1267" t="s">
        <v>30058</v>
      </c>
      <c r="H1267" t="s">
        <v>15498</v>
      </c>
      <c r="I1267" t="s">
        <v>30084</v>
      </c>
      <c r="J1267" t="s">
        <v>31124</v>
      </c>
      <c r="K1267" t="s">
        <v>39029</v>
      </c>
      <c r="M1267" t="s">
        <v>39840</v>
      </c>
      <c r="N1267" t="s">
        <v>43166</v>
      </c>
      <c r="O1267" t="s">
        <v>43167</v>
      </c>
      <c r="P1267">
        <v>0</v>
      </c>
      <c r="Q1267">
        <v>7</v>
      </c>
      <c r="R1267" t="s">
        <v>43169</v>
      </c>
      <c r="S1267" t="s">
        <v>43291</v>
      </c>
      <c r="T1267" t="s">
        <v>44684</v>
      </c>
      <c r="U1267" t="s">
        <v>46245</v>
      </c>
      <c r="V1267" t="s">
        <v>56969</v>
      </c>
      <c r="W1267" t="s">
        <v>39840</v>
      </c>
      <c r="X1267" t="s">
        <v>43170</v>
      </c>
    </row>
    <row r="1268" spans="1:24">
      <c r="A1268">
        <f>HYPERLINK("https://www.philgeps.gov.ph/GEPSNONPILOT/Tender/SplashBidNoticeAbstractUI.aspx?menuIndex=3&amp;refID=7087389&amp;Result=3","7087389")</f>
        <v>0</v>
      </c>
      <c r="B1268" t="s">
        <v>544</v>
      </c>
      <c r="C1268" t="s">
        <v>4642</v>
      </c>
      <c r="D1268" t="s">
        <v>17434</v>
      </c>
      <c r="E1268" t="s">
        <v>18620</v>
      </c>
      <c r="F1268" t="s">
        <v>30052</v>
      </c>
      <c r="G1268" t="s">
        <v>30061</v>
      </c>
      <c r="H1268" t="s">
        <v>15498</v>
      </c>
      <c r="I1268" t="s">
        <v>4642</v>
      </c>
      <c r="J1268" t="s">
        <v>30248</v>
      </c>
      <c r="K1268" t="s">
        <v>39018</v>
      </c>
      <c r="M1268" t="s">
        <v>39846</v>
      </c>
      <c r="N1268" t="s">
        <v>43166</v>
      </c>
      <c r="O1268" t="s">
        <v>43167</v>
      </c>
      <c r="P1268">
        <v>0</v>
      </c>
      <c r="Q1268">
        <v>5</v>
      </c>
      <c r="R1268" t="s">
        <v>43169</v>
      </c>
      <c r="S1268" t="s">
        <v>43291</v>
      </c>
      <c r="T1268" t="s">
        <v>44837</v>
      </c>
      <c r="U1268" t="s">
        <v>46246</v>
      </c>
      <c r="W1268" t="s">
        <v>39846</v>
      </c>
      <c r="X1268" t="s">
        <v>43170</v>
      </c>
    </row>
    <row r="1269" spans="1:24">
      <c r="A1269">
        <f>HYPERLINK("https://www.philgeps.gov.ph/GEPSNONPILOT/Tender/SplashBidNoticeAbstractUI.aspx?menuIndex=3&amp;refID=7087388&amp;Result=3","7087388")</f>
        <v>0</v>
      </c>
      <c r="B1269" t="s">
        <v>545</v>
      </c>
      <c r="C1269" t="s">
        <v>4643</v>
      </c>
      <c r="D1269" t="s">
        <v>17456</v>
      </c>
      <c r="E1269" t="s">
        <v>18621</v>
      </c>
      <c r="F1269" t="s">
        <v>30052</v>
      </c>
      <c r="G1269" t="s">
        <v>30059</v>
      </c>
      <c r="H1269" t="s">
        <v>15498</v>
      </c>
      <c r="I1269" t="s">
        <v>30117</v>
      </c>
      <c r="J1269" t="s">
        <v>31125</v>
      </c>
      <c r="K1269" t="s">
        <v>39029</v>
      </c>
      <c r="M1269" t="s">
        <v>39847</v>
      </c>
      <c r="N1269" t="s">
        <v>43166</v>
      </c>
      <c r="O1269" t="s">
        <v>43167</v>
      </c>
      <c r="P1269">
        <v>0</v>
      </c>
      <c r="Q1269">
        <v>1</v>
      </c>
      <c r="R1269" t="s">
        <v>43169</v>
      </c>
      <c r="S1269" t="s">
        <v>43291</v>
      </c>
      <c r="T1269" t="s">
        <v>44714</v>
      </c>
      <c r="U1269" t="s">
        <v>46247</v>
      </c>
      <c r="V1269" t="s">
        <v>56970</v>
      </c>
      <c r="W1269" t="s">
        <v>39847</v>
      </c>
      <c r="X1269" t="s">
        <v>43170</v>
      </c>
    </row>
    <row r="1270" spans="1:24">
      <c r="A1270">
        <f>HYPERLINK("https://www.philgeps.gov.ph/GEPSNONPILOT/Tender/SplashBidNoticeAbstractUI.aspx?menuIndex=3&amp;refID=7087311&amp;Result=3","7087311")</f>
        <v>0</v>
      </c>
      <c r="B1270" t="s">
        <v>546</v>
      </c>
      <c r="C1270" t="s">
        <v>4644</v>
      </c>
      <c r="D1270" t="s">
        <v>17456</v>
      </c>
      <c r="E1270" t="s">
        <v>17779</v>
      </c>
      <c r="F1270" t="s">
        <v>30052</v>
      </c>
      <c r="G1270" t="s">
        <v>30058</v>
      </c>
      <c r="H1270" t="s">
        <v>30067</v>
      </c>
      <c r="I1270" t="s">
        <v>3736</v>
      </c>
      <c r="J1270" t="s">
        <v>31126</v>
      </c>
      <c r="K1270" t="s">
        <v>39029</v>
      </c>
      <c r="M1270" t="s">
        <v>39848</v>
      </c>
      <c r="N1270" t="s">
        <v>43166</v>
      </c>
      <c r="O1270" t="s">
        <v>43167</v>
      </c>
      <c r="P1270">
        <v>0</v>
      </c>
      <c r="Q1270">
        <v>0</v>
      </c>
      <c r="R1270" t="s">
        <v>43169</v>
      </c>
      <c r="S1270" t="s">
        <v>43291</v>
      </c>
      <c r="T1270" t="s">
        <v>44838</v>
      </c>
      <c r="U1270" t="s">
        <v>46248</v>
      </c>
      <c r="W1270" t="s">
        <v>39848</v>
      </c>
      <c r="X1270" t="s">
        <v>43170</v>
      </c>
    </row>
    <row r="1271" spans="1:24">
      <c r="A1271">
        <f>HYPERLINK("https://www.philgeps.gov.ph/GEPSNONPILOT/Tender/SplashBidNoticeAbstractUI.aspx?menuIndex=3&amp;refID=7087387&amp;Result=3","7087387")</f>
        <v>0</v>
      </c>
      <c r="B1271" t="s">
        <v>547</v>
      </c>
      <c r="C1271" t="s">
        <v>4645</v>
      </c>
      <c r="D1271" t="s">
        <v>17465</v>
      </c>
      <c r="E1271" t="s">
        <v>18622</v>
      </c>
      <c r="F1271" t="s">
        <v>30052</v>
      </c>
      <c r="G1271" t="s">
        <v>30058</v>
      </c>
      <c r="H1271" t="s">
        <v>15498</v>
      </c>
      <c r="I1271" t="s">
        <v>4119</v>
      </c>
      <c r="J1271" t="s">
        <v>30942</v>
      </c>
      <c r="K1271" t="s">
        <v>39039</v>
      </c>
      <c r="M1271" t="s">
        <v>39849</v>
      </c>
      <c r="N1271" t="s">
        <v>43166</v>
      </c>
      <c r="O1271" t="s">
        <v>43167</v>
      </c>
      <c r="P1271">
        <v>0</v>
      </c>
      <c r="Q1271">
        <v>0</v>
      </c>
      <c r="R1271" t="s">
        <v>43169</v>
      </c>
      <c r="S1271" t="s">
        <v>43291</v>
      </c>
      <c r="T1271" t="s">
        <v>44839</v>
      </c>
      <c r="U1271" t="s">
        <v>46249</v>
      </c>
      <c r="W1271" t="s">
        <v>39849</v>
      </c>
      <c r="X1271" t="s">
        <v>43170</v>
      </c>
    </row>
    <row r="1272" spans="1:24">
      <c r="A1272">
        <f>HYPERLINK("https://www.philgeps.gov.ph/GEPSNONPILOT/Tender/SplashBidNoticeAbstractUI.aspx?menuIndex=3&amp;refID=7087382&amp;Result=3","7087382")</f>
        <v>0</v>
      </c>
      <c r="B1272" t="s">
        <v>548</v>
      </c>
      <c r="C1272" t="s">
        <v>4646</v>
      </c>
      <c r="D1272" t="s">
        <v>17425</v>
      </c>
      <c r="E1272" t="s">
        <v>18623</v>
      </c>
      <c r="F1272" t="s">
        <v>30052</v>
      </c>
      <c r="G1272" t="s">
        <v>30058</v>
      </c>
      <c r="H1272" t="s">
        <v>30067</v>
      </c>
      <c r="I1272" t="s">
        <v>3693</v>
      </c>
      <c r="J1272" t="s">
        <v>31127</v>
      </c>
      <c r="K1272" t="s">
        <v>39033</v>
      </c>
      <c r="L1272" t="s">
        <v>548</v>
      </c>
      <c r="M1272" t="s">
        <v>39850</v>
      </c>
      <c r="N1272" t="s">
        <v>43166</v>
      </c>
      <c r="O1272" t="s">
        <v>43167</v>
      </c>
      <c r="P1272">
        <v>0</v>
      </c>
      <c r="Q1272">
        <v>0</v>
      </c>
      <c r="R1272" t="s">
        <v>43169</v>
      </c>
      <c r="S1272" t="s">
        <v>43291</v>
      </c>
      <c r="T1272" t="s">
        <v>44692</v>
      </c>
      <c r="U1272" t="s">
        <v>46250</v>
      </c>
      <c r="V1272" t="s">
        <v>56971</v>
      </c>
      <c r="W1272" t="s">
        <v>39850</v>
      </c>
      <c r="X1272" t="s">
        <v>43170</v>
      </c>
    </row>
    <row r="1273" spans="1:24">
      <c r="A1273">
        <f>HYPERLINK("https://www.philgeps.gov.ph/GEPSNONPILOT/Tender/SplashBidNoticeAbstractUI.aspx?menuIndex=3&amp;refID=7087325&amp;Result=3","7087325")</f>
        <v>0</v>
      </c>
      <c r="B1273" t="s">
        <v>521</v>
      </c>
      <c r="C1273" t="s">
        <v>4595</v>
      </c>
      <c r="D1273" t="s">
        <v>17415</v>
      </c>
      <c r="E1273" t="s">
        <v>18575</v>
      </c>
      <c r="F1273" t="s">
        <v>30052</v>
      </c>
      <c r="G1273" t="s">
        <v>30061</v>
      </c>
      <c r="H1273" t="s">
        <v>15498</v>
      </c>
      <c r="I1273" t="s">
        <v>9238</v>
      </c>
      <c r="J1273" t="s">
        <v>31128</v>
      </c>
      <c r="K1273" t="s">
        <v>39019</v>
      </c>
      <c r="M1273" t="s">
        <v>39823</v>
      </c>
      <c r="N1273" t="s">
        <v>43166</v>
      </c>
      <c r="O1273" t="s">
        <v>43167</v>
      </c>
      <c r="P1273">
        <v>0</v>
      </c>
      <c r="Q1273">
        <v>5</v>
      </c>
      <c r="R1273" t="s">
        <v>43169</v>
      </c>
      <c r="S1273" t="s">
        <v>43291</v>
      </c>
      <c r="T1273" t="s">
        <v>44832</v>
      </c>
      <c r="U1273" t="s">
        <v>46251</v>
      </c>
      <c r="V1273" t="s">
        <v>56959</v>
      </c>
      <c r="W1273" t="s">
        <v>58603</v>
      </c>
      <c r="X1273" t="s">
        <v>43170</v>
      </c>
    </row>
    <row r="1274" spans="1:24">
      <c r="A1274">
        <f>HYPERLINK("https://www.philgeps.gov.ph/GEPSNONPILOT/Tender/SplashBidNoticeAbstractUI.aspx?menuIndex=3&amp;refID=7087381&amp;Result=3","7087381")</f>
        <v>0</v>
      </c>
      <c r="B1274" t="s">
        <v>549</v>
      </c>
      <c r="C1274" t="s">
        <v>4647</v>
      </c>
      <c r="D1274" t="s">
        <v>17448</v>
      </c>
      <c r="E1274" t="s">
        <v>17892</v>
      </c>
      <c r="F1274" t="s">
        <v>30052</v>
      </c>
      <c r="G1274" t="s">
        <v>30058</v>
      </c>
      <c r="H1274" t="s">
        <v>15498</v>
      </c>
      <c r="I1274" t="s">
        <v>30098</v>
      </c>
      <c r="J1274" t="s">
        <v>30277</v>
      </c>
      <c r="K1274" t="s">
        <v>39036</v>
      </c>
      <c r="M1274" t="s">
        <v>39851</v>
      </c>
      <c r="N1274" t="s">
        <v>43166</v>
      </c>
      <c r="O1274" t="s">
        <v>43167</v>
      </c>
      <c r="P1274">
        <v>0</v>
      </c>
      <c r="Q1274">
        <v>0</v>
      </c>
      <c r="R1274" t="s">
        <v>43169</v>
      </c>
      <c r="S1274" t="s">
        <v>43291</v>
      </c>
      <c r="T1274" t="s">
        <v>44736</v>
      </c>
      <c r="U1274" t="s">
        <v>46252</v>
      </c>
      <c r="W1274" t="s">
        <v>39851</v>
      </c>
      <c r="X1274" t="s">
        <v>43170</v>
      </c>
    </row>
    <row r="1275" spans="1:24">
      <c r="A1275">
        <f>HYPERLINK("https://www.philgeps.gov.ph/GEPSNONPILOT/Tender/SplashBidNoticeAbstractUI.aspx?menuIndex=3&amp;refID=7087320&amp;Result=3","7087320")</f>
        <v>0</v>
      </c>
      <c r="B1275" t="s">
        <v>550</v>
      </c>
      <c r="C1275" t="s">
        <v>4648</v>
      </c>
      <c r="D1275" t="s">
        <v>17453</v>
      </c>
      <c r="E1275" t="s">
        <v>18624</v>
      </c>
      <c r="F1275" t="s">
        <v>30052</v>
      </c>
      <c r="G1275" t="s">
        <v>30062</v>
      </c>
      <c r="H1275" t="s">
        <v>15498</v>
      </c>
      <c r="I1275" t="s">
        <v>4650</v>
      </c>
      <c r="J1275" t="s">
        <v>30277</v>
      </c>
      <c r="K1275" t="s">
        <v>39036</v>
      </c>
      <c r="M1275" t="s">
        <v>39852</v>
      </c>
      <c r="N1275" t="s">
        <v>43166</v>
      </c>
      <c r="O1275" t="s">
        <v>43167</v>
      </c>
      <c r="P1275">
        <v>0</v>
      </c>
      <c r="Q1275">
        <v>8</v>
      </c>
      <c r="R1275" t="s">
        <v>43169</v>
      </c>
      <c r="S1275" t="s">
        <v>43291</v>
      </c>
      <c r="T1275" t="s">
        <v>44840</v>
      </c>
      <c r="U1275" t="s">
        <v>46253</v>
      </c>
      <c r="W1275" t="s">
        <v>39852</v>
      </c>
      <c r="X1275" t="s">
        <v>43170</v>
      </c>
    </row>
    <row r="1276" spans="1:24">
      <c r="A1276">
        <f>HYPERLINK("https://www.philgeps.gov.ph/GEPSNONPILOT/Tender/SplashBidNoticeAbstractUI.aspx?menuIndex=3&amp;refID=7087317&amp;Result=3","7087317")</f>
        <v>0</v>
      </c>
      <c r="B1276" t="s">
        <v>503</v>
      </c>
      <c r="C1276" t="s">
        <v>4649</v>
      </c>
      <c r="D1276" t="s">
        <v>17415</v>
      </c>
      <c r="E1276" t="s">
        <v>18548</v>
      </c>
      <c r="F1276" t="s">
        <v>30052</v>
      </c>
      <c r="G1276" t="s">
        <v>30058</v>
      </c>
      <c r="H1276" t="s">
        <v>15498</v>
      </c>
      <c r="I1276" t="s">
        <v>30088</v>
      </c>
      <c r="J1276" t="s">
        <v>31129</v>
      </c>
      <c r="K1276" t="s">
        <v>39025</v>
      </c>
      <c r="M1276" t="s">
        <v>39804</v>
      </c>
      <c r="N1276" t="s">
        <v>43166</v>
      </c>
      <c r="O1276" t="s">
        <v>43167</v>
      </c>
      <c r="P1276">
        <v>0</v>
      </c>
      <c r="Q1276">
        <v>14</v>
      </c>
      <c r="R1276" t="s">
        <v>43169</v>
      </c>
      <c r="S1276" t="s">
        <v>43291</v>
      </c>
      <c r="T1276" t="s">
        <v>44677</v>
      </c>
      <c r="U1276" t="s">
        <v>46164</v>
      </c>
      <c r="V1276" t="s">
        <v>56950</v>
      </c>
      <c r="W1276" t="s">
        <v>39804</v>
      </c>
      <c r="X1276" t="s">
        <v>43170</v>
      </c>
    </row>
    <row r="1277" spans="1:24">
      <c r="A1277">
        <f>HYPERLINK("https://www.philgeps.gov.ph/GEPSNONPILOT/Tender/SplashBidNoticeAbstractUI.aspx?menuIndex=3&amp;refID=7087385&amp;Result=3","7087385")</f>
        <v>0</v>
      </c>
      <c r="B1277" t="s">
        <v>544</v>
      </c>
      <c r="C1277" t="s">
        <v>4650</v>
      </c>
      <c r="D1277" t="s">
        <v>17434</v>
      </c>
      <c r="E1277" t="s">
        <v>18625</v>
      </c>
      <c r="F1277" t="s">
        <v>30052</v>
      </c>
      <c r="G1277" t="s">
        <v>30061</v>
      </c>
      <c r="H1277" t="s">
        <v>15498</v>
      </c>
      <c r="I1277" t="s">
        <v>4650</v>
      </c>
      <c r="J1277" t="s">
        <v>30292</v>
      </c>
      <c r="K1277" t="s">
        <v>39018</v>
      </c>
      <c r="M1277" t="s">
        <v>39846</v>
      </c>
      <c r="N1277" t="s">
        <v>43166</v>
      </c>
      <c r="O1277" t="s">
        <v>43167</v>
      </c>
      <c r="P1277">
        <v>0</v>
      </c>
      <c r="Q1277">
        <v>3</v>
      </c>
      <c r="R1277" t="s">
        <v>43169</v>
      </c>
      <c r="S1277" t="s">
        <v>43291</v>
      </c>
      <c r="T1277" t="s">
        <v>44837</v>
      </c>
      <c r="U1277" t="s">
        <v>46254</v>
      </c>
      <c r="W1277" t="s">
        <v>39846</v>
      </c>
      <c r="X1277" t="s">
        <v>43170</v>
      </c>
    </row>
    <row r="1278" spans="1:24">
      <c r="A1278">
        <f>HYPERLINK("https://www.philgeps.gov.ph/GEPSNONPILOT/Tender/SplashBidNoticeAbstractUI.aspx?menuIndex=3&amp;refID=7087360&amp;Result=3","7087360")</f>
        <v>0</v>
      </c>
      <c r="B1278" t="s">
        <v>551</v>
      </c>
      <c r="C1278" t="s">
        <v>4651</v>
      </c>
      <c r="D1278" t="s">
        <v>17415</v>
      </c>
      <c r="E1278" t="s">
        <v>18626</v>
      </c>
      <c r="F1278" t="s">
        <v>30052</v>
      </c>
      <c r="G1278" t="s">
        <v>30059</v>
      </c>
      <c r="H1278" t="s">
        <v>15498</v>
      </c>
      <c r="I1278" t="s">
        <v>30071</v>
      </c>
      <c r="J1278" t="s">
        <v>31130</v>
      </c>
      <c r="K1278" t="s">
        <v>39036</v>
      </c>
      <c r="L1278" t="s">
        <v>551</v>
      </c>
      <c r="M1278" t="s">
        <v>39853</v>
      </c>
      <c r="N1278" t="s">
        <v>43166</v>
      </c>
      <c r="O1278" t="s">
        <v>43167</v>
      </c>
      <c r="P1278">
        <v>0</v>
      </c>
      <c r="Q1278">
        <v>5</v>
      </c>
      <c r="R1278" t="s">
        <v>43169</v>
      </c>
      <c r="S1278" t="s">
        <v>43291</v>
      </c>
      <c r="T1278" t="s">
        <v>44714</v>
      </c>
      <c r="U1278" t="s">
        <v>46255</v>
      </c>
      <c r="W1278" t="s">
        <v>39853</v>
      </c>
      <c r="X1278" t="s">
        <v>43170</v>
      </c>
    </row>
    <row r="1279" spans="1:24">
      <c r="A1279">
        <f>HYPERLINK("https://www.philgeps.gov.ph/GEPSNONPILOT/Tender/SplashBidNoticeAbstractUI.aspx?menuIndex=3&amp;refID=7087358&amp;Result=3","7087358")</f>
        <v>0</v>
      </c>
      <c r="B1279" t="s">
        <v>540</v>
      </c>
      <c r="C1279" t="s">
        <v>4652</v>
      </c>
      <c r="D1279" t="s">
        <v>17452</v>
      </c>
      <c r="E1279" t="s">
        <v>18357</v>
      </c>
      <c r="F1279" t="s">
        <v>30052</v>
      </c>
      <c r="G1279" t="s">
        <v>30058</v>
      </c>
      <c r="H1279" t="s">
        <v>15498</v>
      </c>
      <c r="I1279" t="s">
        <v>30127</v>
      </c>
      <c r="J1279" t="s">
        <v>30287</v>
      </c>
      <c r="K1279" t="s">
        <v>39029</v>
      </c>
      <c r="M1279" t="s">
        <v>39842</v>
      </c>
      <c r="N1279" t="s">
        <v>43166</v>
      </c>
      <c r="O1279" t="s">
        <v>43167</v>
      </c>
      <c r="P1279">
        <v>0</v>
      </c>
      <c r="Q1279">
        <v>1</v>
      </c>
      <c r="R1279" t="s">
        <v>43169</v>
      </c>
      <c r="S1279" t="s">
        <v>43291</v>
      </c>
      <c r="T1279" t="s">
        <v>44709</v>
      </c>
      <c r="U1279" t="s">
        <v>46256</v>
      </c>
      <c r="W1279" t="s">
        <v>39842</v>
      </c>
      <c r="X1279" t="s">
        <v>43170</v>
      </c>
    </row>
    <row r="1280" spans="1:24">
      <c r="A1280">
        <f>HYPERLINK("https://www.philgeps.gov.ph/GEPSNONPILOT/Tender/SplashBidNoticeAbstractUI.aspx?menuIndex=3&amp;refID=7087383&amp;Result=3","7087383")</f>
        <v>0</v>
      </c>
      <c r="B1280" t="s">
        <v>547</v>
      </c>
      <c r="C1280" t="s">
        <v>4653</v>
      </c>
      <c r="D1280" t="s">
        <v>17465</v>
      </c>
      <c r="E1280" t="s">
        <v>18627</v>
      </c>
      <c r="F1280" t="s">
        <v>30052</v>
      </c>
      <c r="G1280" t="s">
        <v>30061</v>
      </c>
      <c r="H1280" t="s">
        <v>15498</v>
      </c>
      <c r="I1280" t="s">
        <v>8323</v>
      </c>
      <c r="J1280" t="s">
        <v>31131</v>
      </c>
      <c r="K1280" t="s">
        <v>39039</v>
      </c>
      <c r="M1280" t="s">
        <v>39849</v>
      </c>
      <c r="N1280" t="s">
        <v>43166</v>
      </c>
      <c r="O1280" t="s">
        <v>43167</v>
      </c>
      <c r="P1280">
        <v>0</v>
      </c>
      <c r="Q1280">
        <v>0</v>
      </c>
      <c r="R1280" t="s">
        <v>43169</v>
      </c>
      <c r="S1280" t="s">
        <v>43291</v>
      </c>
      <c r="T1280" t="s">
        <v>44839</v>
      </c>
      <c r="U1280" t="s">
        <v>46257</v>
      </c>
      <c r="W1280" t="s">
        <v>39849</v>
      </c>
      <c r="X1280" t="s">
        <v>43170</v>
      </c>
    </row>
    <row r="1281" spans="1:24">
      <c r="A1281">
        <f>HYPERLINK("https://www.philgeps.gov.ph/GEPSNONPILOT/Tender/SplashBidNoticeAbstractUI.aspx?menuIndex=3&amp;refID=7087356&amp;Result=3","7087356")</f>
        <v>0</v>
      </c>
      <c r="B1281" t="s">
        <v>552</v>
      </c>
      <c r="C1281" t="s">
        <v>4654</v>
      </c>
      <c r="D1281" t="s">
        <v>17451</v>
      </c>
      <c r="E1281" t="s">
        <v>18191</v>
      </c>
      <c r="F1281" t="s">
        <v>30052</v>
      </c>
      <c r="G1281" t="s">
        <v>30059</v>
      </c>
      <c r="H1281" t="s">
        <v>15498</v>
      </c>
      <c r="I1281" t="s">
        <v>6691</v>
      </c>
      <c r="J1281" t="s">
        <v>31132</v>
      </c>
      <c r="K1281" t="s">
        <v>39034</v>
      </c>
      <c r="M1281" t="s">
        <v>39854</v>
      </c>
      <c r="N1281" t="s">
        <v>43166</v>
      </c>
      <c r="O1281" t="s">
        <v>43167</v>
      </c>
      <c r="P1281">
        <v>0</v>
      </c>
      <c r="Q1281">
        <v>0</v>
      </c>
      <c r="R1281" t="s">
        <v>43169</v>
      </c>
      <c r="S1281" t="s">
        <v>43291</v>
      </c>
      <c r="T1281" t="s">
        <v>44698</v>
      </c>
      <c r="U1281" t="s">
        <v>46258</v>
      </c>
      <c r="V1281" t="s">
        <v>56972</v>
      </c>
      <c r="W1281" t="s">
        <v>39854</v>
      </c>
      <c r="X1281" t="s">
        <v>43170</v>
      </c>
    </row>
    <row r="1282" spans="1:24">
      <c r="A1282">
        <f>HYPERLINK("https://www.philgeps.gov.ph/GEPSNONPILOT/Tender/SplashBidNoticeAbstractUI.aspx?menuIndex=3&amp;refID=7087283&amp;Result=3","7087283")</f>
        <v>0</v>
      </c>
      <c r="B1282" t="s">
        <v>553</v>
      </c>
      <c r="C1282" t="s">
        <v>4655</v>
      </c>
      <c r="D1282" t="s">
        <v>17419</v>
      </c>
      <c r="E1282" t="s">
        <v>18628</v>
      </c>
      <c r="F1282" t="s">
        <v>30052</v>
      </c>
      <c r="G1282" t="s">
        <v>30058</v>
      </c>
      <c r="H1282" t="s">
        <v>15498</v>
      </c>
      <c r="I1282" t="s">
        <v>30073</v>
      </c>
      <c r="J1282" t="s">
        <v>31133</v>
      </c>
      <c r="K1282" t="s">
        <v>39029</v>
      </c>
      <c r="M1282" t="s">
        <v>39855</v>
      </c>
      <c r="N1282" t="s">
        <v>43166</v>
      </c>
      <c r="O1282" t="s">
        <v>43167</v>
      </c>
      <c r="P1282">
        <v>0</v>
      </c>
      <c r="Q1282">
        <v>1</v>
      </c>
      <c r="R1282" t="s">
        <v>43169</v>
      </c>
      <c r="S1282" t="s">
        <v>43291</v>
      </c>
      <c r="T1282" t="s">
        <v>44733</v>
      </c>
      <c r="U1282" t="s">
        <v>46259</v>
      </c>
      <c r="W1282" t="s">
        <v>39855</v>
      </c>
      <c r="X1282" t="s">
        <v>43170</v>
      </c>
    </row>
    <row r="1283" spans="1:24">
      <c r="A1283">
        <f>HYPERLINK("https://www.philgeps.gov.ph/GEPSNONPILOT/Tender/SplashBidNoticeAbstractUI.aspx?menuIndex=3&amp;refID=7087423&amp;Result=3","7087423")</f>
        <v>0</v>
      </c>
      <c r="B1283" t="s">
        <v>543</v>
      </c>
      <c r="C1283" t="s">
        <v>4656</v>
      </c>
      <c r="E1283" t="s">
        <v>18629</v>
      </c>
      <c r="F1283" t="s">
        <v>30052</v>
      </c>
      <c r="G1283" t="s">
        <v>30059</v>
      </c>
      <c r="H1283" t="s">
        <v>15498</v>
      </c>
      <c r="I1283" t="s">
        <v>30081</v>
      </c>
      <c r="J1283" t="s">
        <v>31134</v>
      </c>
      <c r="K1283" t="s">
        <v>39025</v>
      </c>
      <c r="M1283" t="s">
        <v>39845</v>
      </c>
      <c r="N1283" t="s">
        <v>43166</v>
      </c>
      <c r="O1283" t="s">
        <v>43167</v>
      </c>
      <c r="P1283">
        <v>0</v>
      </c>
      <c r="Q1283">
        <v>0</v>
      </c>
      <c r="R1283" t="s">
        <v>43169</v>
      </c>
      <c r="S1283" t="s">
        <v>43291</v>
      </c>
      <c r="T1283" t="s">
        <v>44721</v>
      </c>
      <c r="U1283" t="s">
        <v>46260</v>
      </c>
      <c r="W1283" t="s">
        <v>39845</v>
      </c>
      <c r="X1283" t="s">
        <v>43170</v>
      </c>
    </row>
    <row r="1284" spans="1:24">
      <c r="A1284">
        <f>HYPERLINK("https://www.philgeps.gov.ph/GEPSNONPILOT/Tender/SplashBidNoticeAbstractUI.aspx?menuIndex=3&amp;refID=7087421&amp;Result=3","7087421")</f>
        <v>0</v>
      </c>
      <c r="B1284" t="s">
        <v>543</v>
      </c>
      <c r="C1284" t="s">
        <v>4657</v>
      </c>
      <c r="E1284" t="s">
        <v>18630</v>
      </c>
      <c r="F1284" t="s">
        <v>30052</v>
      </c>
      <c r="G1284" t="s">
        <v>30059</v>
      </c>
      <c r="H1284" t="s">
        <v>15498</v>
      </c>
      <c r="I1284" t="s">
        <v>30088</v>
      </c>
      <c r="J1284" t="s">
        <v>30248</v>
      </c>
      <c r="K1284" t="s">
        <v>39025</v>
      </c>
      <c r="M1284" t="s">
        <v>39845</v>
      </c>
      <c r="N1284" t="s">
        <v>43166</v>
      </c>
      <c r="O1284" t="s">
        <v>43167</v>
      </c>
      <c r="P1284">
        <v>0</v>
      </c>
      <c r="Q1284">
        <v>2</v>
      </c>
      <c r="R1284" t="s">
        <v>43169</v>
      </c>
      <c r="S1284" t="s">
        <v>43291</v>
      </c>
      <c r="T1284" t="s">
        <v>44718</v>
      </c>
      <c r="U1284" t="s">
        <v>46261</v>
      </c>
      <c r="W1284" t="s">
        <v>39845</v>
      </c>
      <c r="X1284" t="s">
        <v>43170</v>
      </c>
    </row>
    <row r="1285" spans="1:24">
      <c r="A1285">
        <f>HYPERLINK("https://www.philgeps.gov.ph/GEPSNONPILOT/Tender/SplashBidNoticeAbstractUI.aspx?menuIndex=3&amp;refID=7087354&amp;Result=3","7087354")</f>
        <v>0</v>
      </c>
      <c r="B1285" t="s">
        <v>548</v>
      </c>
      <c r="C1285" t="s">
        <v>4658</v>
      </c>
      <c r="D1285" t="s">
        <v>17425</v>
      </c>
      <c r="E1285" t="s">
        <v>18631</v>
      </c>
      <c r="F1285" t="s">
        <v>30052</v>
      </c>
      <c r="G1285" t="s">
        <v>30058</v>
      </c>
      <c r="H1285" t="s">
        <v>15498</v>
      </c>
      <c r="I1285" t="s">
        <v>30073</v>
      </c>
      <c r="J1285" t="s">
        <v>31135</v>
      </c>
      <c r="K1285" t="s">
        <v>39026</v>
      </c>
      <c r="L1285" t="s">
        <v>548</v>
      </c>
      <c r="M1285" t="s">
        <v>39850</v>
      </c>
      <c r="N1285" t="s">
        <v>43166</v>
      </c>
      <c r="O1285" t="s">
        <v>43167</v>
      </c>
      <c r="P1285">
        <v>0</v>
      </c>
      <c r="Q1285">
        <v>0</v>
      </c>
      <c r="R1285" t="s">
        <v>43169</v>
      </c>
      <c r="S1285" t="s">
        <v>43291</v>
      </c>
      <c r="T1285" t="s">
        <v>44692</v>
      </c>
      <c r="U1285" t="s">
        <v>46262</v>
      </c>
      <c r="V1285" t="s">
        <v>56971</v>
      </c>
      <c r="W1285" t="s">
        <v>39850</v>
      </c>
      <c r="X1285" t="s">
        <v>43170</v>
      </c>
    </row>
    <row r="1286" spans="1:24">
      <c r="A1286">
        <f>HYPERLINK("https://www.philgeps.gov.ph/GEPSNONPILOT/Tender/SplashBidNoticeAbstractUI.aspx?menuIndex=3&amp;refID=7087419&amp;Result=3","7087419")</f>
        <v>0</v>
      </c>
      <c r="B1286" t="s">
        <v>554</v>
      </c>
      <c r="C1286" t="s">
        <v>4659</v>
      </c>
      <c r="D1286" t="s">
        <v>17430</v>
      </c>
      <c r="E1286" t="s">
        <v>18632</v>
      </c>
      <c r="F1286" t="s">
        <v>30052</v>
      </c>
      <c r="G1286" t="s">
        <v>30058</v>
      </c>
      <c r="H1286" t="s">
        <v>15498</v>
      </c>
      <c r="I1286" t="s">
        <v>3736</v>
      </c>
      <c r="J1286" t="s">
        <v>30545</v>
      </c>
      <c r="K1286" t="s">
        <v>39029</v>
      </c>
      <c r="M1286" t="s">
        <v>39856</v>
      </c>
      <c r="N1286" t="s">
        <v>43166</v>
      </c>
      <c r="O1286" t="s">
        <v>43167</v>
      </c>
      <c r="P1286">
        <v>0</v>
      </c>
      <c r="Q1286">
        <v>0</v>
      </c>
      <c r="R1286" t="s">
        <v>43169</v>
      </c>
      <c r="S1286" t="s">
        <v>43291</v>
      </c>
      <c r="T1286" t="s">
        <v>44818</v>
      </c>
      <c r="U1286" t="s">
        <v>46263</v>
      </c>
      <c r="W1286" t="s">
        <v>39856</v>
      </c>
      <c r="X1286" t="s">
        <v>43170</v>
      </c>
    </row>
    <row r="1287" spans="1:24">
      <c r="A1287">
        <f>HYPERLINK("https://www.philgeps.gov.ph/GEPSNONPILOT/Tender/SplashBidNoticeAbstractUI.aspx?menuIndex=3&amp;refID=7087416&amp;Result=3","7087416")</f>
        <v>0</v>
      </c>
      <c r="B1287" t="s">
        <v>543</v>
      </c>
      <c r="C1287" t="s">
        <v>4660</v>
      </c>
      <c r="E1287" t="s">
        <v>18633</v>
      </c>
      <c r="F1287" t="s">
        <v>30052</v>
      </c>
      <c r="G1287" t="s">
        <v>30058</v>
      </c>
      <c r="H1287" t="s">
        <v>15498</v>
      </c>
      <c r="I1287" t="s">
        <v>30124</v>
      </c>
      <c r="J1287" t="s">
        <v>31136</v>
      </c>
      <c r="K1287" t="s">
        <v>39025</v>
      </c>
      <c r="M1287" t="s">
        <v>39845</v>
      </c>
      <c r="N1287" t="s">
        <v>43166</v>
      </c>
      <c r="O1287" t="s">
        <v>43167</v>
      </c>
      <c r="P1287">
        <v>0</v>
      </c>
      <c r="Q1287">
        <v>2</v>
      </c>
      <c r="R1287" t="s">
        <v>43169</v>
      </c>
      <c r="S1287" t="s">
        <v>43291</v>
      </c>
      <c r="T1287" t="s">
        <v>44726</v>
      </c>
      <c r="U1287" t="s">
        <v>46264</v>
      </c>
      <c r="W1287" t="s">
        <v>39845</v>
      </c>
      <c r="X1287" t="s">
        <v>43170</v>
      </c>
    </row>
    <row r="1288" spans="1:24">
      <c r="A1288">
        <f>HYPERLINK("https://www.philgeps.gov.ph/GEPSNONPILOT/Tender/SplashBidNoticeAbstractUI.aspx?menuIndex=3&amp;refID=7087363&amp;Result=3","7087363")</f>
        <v>0</v>
      </c>
      <c r="B1288" t="s">
        <v>540</v>
      </c>
      <c r="C1288" t="s">
        <v>4661</v>
      </c>
      <c r="D1288" t="s">
        <v>17452</v>
      </c>
      <c r="E1288" t="s">
        <v>18349</v>
      </c>
      <c r="F1288" t="s">
        <v>30052</v>
      </c>
      <c r="G1288" t="s">
        <v>30058</v>
      </c>
      <c r="H1288" t="s">
        <v>15498</v>
      </c>
      <c r="I1288" t="s">
        <v>30114</v>
      </c>
      <c r="J1288" t="s">
        <v>31137</v>
      </c>
      <c r="K1288" t="s">
        <v>39029</v>
      </c>
      <c r="M1288" t="s">
        <v>39842</v>
      </c>
      <c r="N1288" t="s">
        <v>43166</v>
      </c>
      <c r="O1288" t="s">
        <v>43167</v>
      </c>
      <c r="P1288">
        <v>0</v>
      </c>
      <c r="Q1288">
        <v>7</v>
      </c>
      <c r="R1288" t="s">
        <v>43169</v>
      </c>
      <c r="S1288" t="s">
        <v>43291</v>
      </c>
      <c r="T1288" t="s">
        <v>44709</v>
      </c>
      <c r="U1288" t="s">
        <v>46265</v>
      </c>
      <c r="W1288" t="s">
        <v>39842</v>
      </c>
      <c r="X1288" t="s">
        <v>43170</v>
      </c>
    </row>
    <row r="1289" spans="1:24">
      <c r="A1289">
        <f>HYPERLINK("https://www.philgeps.gov.ph/GEPSNONPILOT/Tender/SplashBidNoticeAbstractUI.aspx?menuIndex=3&amp;refID=7087384&amp;Result=3","7087384")</f>
        <v>0</v>
      </c>
      <c r="B1289" t="s">
        <v>544</v>
      </c>
      <c r="C1289" t="s">
        <v>4662</v>
      </c>
      <c r="D1289" t="s">
        <v>17434</v>
      </c>
      <c r="E1289" t="s">
        <v>18634</v>
      </c>
      <c r="F1289" t="s">
        <v>30052</v>
      </c>
      <c r="G1289" t="s">
        <v>30061</v>
      </c>
      <c r="H1289" t="s">
        <v>15498</v>
      </c>
      <c r="I1289" t="s">
        <v>30070</v>
      </c>
      <c r="J1289" t="s">
        <v>30417</v>
      </c>
      <c r="K1289" t="s">
        <v>39018</v>
      </c>
      <c r="M1289" t="s">
        <v>39846</v>
      </c>
      <c r="N1289" t="s">
        <v>43166</v>
      </c>
      <c r="O1289" t="s">
        <v>43167</v>
      </c>
      <c r="P1289">
        <v>0</v>
      </c>
      <c r="Q1289">
        <v>4</v>
      </c>
      <c r="R1289" t="s">
        <v>43169</v>
      </c>
      <c r="S1289" t="s">
        <v>43291</v>
      </c>
      <c r="T1289" t="s">
        <v>44837</v>
      </c>
      <c r="U1289" t="s">
        <v>46266</v>
      </c>
      <c r="W1289" t="s">
        <v>39846</v>
      </c>
      <c r="X1289" t="s">
        <v>43170</v>
      </c>
    </row>
    <row r="1290" spans="1:24">
      <c r="A1290">
        <f>HYPERLINK("https://www.philgeps.gov.ph/GEPSNONPILOT/Tender/SplashBidNoticeAbstractUI.aspx?menuIndex=3&amp;refID=7087420&amp;Result=3","7087420")</f>
        <v>0</v>
      </c>
      <c r="B1290" t="s">
        <v>543</v>
      </c>
      <c r="C1290" t="s">
        <v>4663</v>
      </c>
      <c r="E1290" t="s">
        <v>18635</v>
      </c>
      <c r="F1290" t="s">
        <v>30052</v>
      </c>
      <c r="G1290" t="s">
        <v>30059</v>
      </c>
      <c r="H1290" t="s">
        <v>15498</v>
      </c>
      <c r="I1290" t="s">
        <v>30081</v>
      </c>
      <c r="J1290" t="s">
        <v>31138</v>
      </c>
      <c r="K1290" t="s">
        <v>39025</v>
      </c>
      <c r="M1290" t="s">
        <v>39845</v>
      </c>
      <c r="N1290" t="s">
        <v>43166</v>
      </c>
      <c r="O1290" t="s">
        <v>43167</v>
      </c>
      <c r="P1290">
        <v>0</v>
      </c>
      <c r="Q1290">
        <v>0</v>
      </c>
      <c r="R1290" t="s">
        <v>43169</v>
      </c>
      <c r="S1290" t="s">
        <v>43291</v>
      </c>
      <c r="T1290" t="s">
        <v>44718</v>
      </c>
      <c r="U1290" t="s">
        <v>46267</v>
      </c>
      <c r="W1290" t="s">
        <v>39845</v>
      </c>
      <c r="X1290" t="s">
        <v>43170</v>
      </c>
    </row>
    <row r="1291" spans="1:24">
      <c r="A1291">
        <f>HYPERLINK("https://www.philgeps.gov.ph/GEPSNONPILOT/Tender/SplashBidNoticeAbstractUI.aspx?menuIndex=3&amp;refID=7087414&amp;Result=3","7087414")</f>
        <v>0</v>
      </c>
      <c r="B1291" t="s">
        <v>543</v>
      </c>
      <c r="C1291" t="s">
        <v>4664</v>
      </c>
      <c r="E1291" t="s">
        <v>18636</v>
      </c>
      <c r="F1291" t="s">
        <v>30052</v>
      </c>
      <c r="G1291" t="s">
        <v>30058</v>
      </c>
      <c r="H1291" t="s">
        <v>15498</v>
      </c>
      <c r="I1291" t="s">
        <v>3606</v>
      </c>
      <c r="J1291" t="s">
        <v>31139</v>
      </c>
      <c r="K1291" t="s">
        <v>39025</v>
      </c>
      <c r="M1291" t="s">
        <v>39845</v>
      </c>
      <c r="N1291" t="s">
        <v>43166</v>
      </c>
      <c r="O1291" t="s">
        <v>43167</v>
      </c>
      <c r="P1291">
        <v>0</v>
      </c>
      <c r="Q1291">
        <v>3</v>
      </c>
      <c r="R1291" t="s">
        <v>43169</v>
      </c>
      <c r="S1291" t="s">
        <v>43291</v>
      </c>
      <c r="T1291" t="s">
        <v>44718</v>
      </c>
      <c r="U1291" t="s">
        <v>46244</v>
      </c>
      <c r="W1291" t="s">
        <v>39845</v>
      </c>
      <c r="X1291" t="s">
        <v>43170</v>
      </c>
    </row>
    <row r="1292" spans="1:24">
      <c r="A1292">
        <f>HYPERLINK("https://www.philgeps.gov.ph/GEPSNONPILOT/Tender/SplashBidNoticeAbstractUI.aspx?menuIndex=3&amp;refID=7087413&amp;Result=3","7087413")</f>
        <v>0</v>
      </c>
      <c r="B1292" t="s">
        <v>555</v>
      </c>
      <c r="C1292" t="s">
        <v>3459</v>
      </c>
      <c r="D1292" t="s">
        <v>17424</v>
      </c>
      <c r="E1292" t="s">
        <v>17650</v>
      </c>
      <c r="F1292" t="s">
        <v>30052</v>
      </c>
      <c r="G1292" t="s">
        <v>30059</v>
      </c>
      <c r="H1292" t="s">
        <v>15498</v>
      </c>
      <c r="I1292" t="s">
        <v>30070</v>
      </c>
      <c r="J1292" t="s">
        <v>31140</v>
      </c>
      <c r="K1292" t="s">
        <v>39017</v>
      </c>
      <c r="L1292" t="s">
        <v>555</v>
      </c>
      <c r="M1292" t="s">
        <v>39857</v>
      </c>
      <c r="N1292" t="s">
        <v>43166</v>
      </c>
      <c r="O1292" t="s">
        <v>43167</v>
      </c>
      <c r="P1292">
        <v>0</v>
      </c>
      <c r="Q1292">
        <v>0</v>
      </c>
      <c r="R1292" t="s">
        <v>43169</v>
      </c>
      <c r="S1292" t="s">
        <v>43291</v>
      </c>
      <c r="T1292" t="s">
        <v>44777</v>
      </c>
      <c r="U1292" t="s">
        <v>45646</v>
      </c>
      <c r="W1292" t="s">
        <v>39857</v>
      </c>
      <c r="X1292" t="s">
        <v>43170</v>
      </c>
    </row>
    <row r="1293" spans="1:24">
      <c r="A1293">
        <f>HYPERLINK("https://www.philgeps.gov.ph/GEPSNONPILOT/Tender/SplashBidNoticeAbstractUI.aspx?menuIndex=3&amp;refID=7087412&amp;Result=3","7087412")</f>
        <v>0</v>
      </c>
      <c r="B1293" t="s">
        <v>556</v>
      </c>
      <c r="C1293" t="s">
        <v>4665</v>
      </c>
      <c r="D1293" t="s">
        <v>17480</v>
      </c>
      <c r="E1293" t="s">
        <v>18637</v>
      </c>
      <c r="F1293" t="s">
        <v>30052</v>
      </c>
      <c r="G1293" t="s">
        <v>30059</v>
      </c>
      <c r="H1293" t="s">
        <v>15498</v>
      </c>
      <c r="I1293" t="s">
        <v>3852</v>
      </c>
      <c r="J1293" t="s">
        <v>30248</v>
      </c>
      <c r="K1293" t="s">
        <v>39025</v>
      </c>
      <c r="M1293" t="s">
        <v>39858</v>
      </c>
      <c r="N1293" t="s">
        <v>43166</v>
      </c>
      <c r="O1293" t="s">
        <v>43167</v>
      </c>
      <c r="P1293">
        <v>0</v>
      </c>
      <c r="Q1293">
        <v>2</v>
      </c>
      <c r="R1293" t="s">
        <v>43169</v>
      </c>
      <c r="S1293" t="s">
        <v>43291</v>
      </c>
      <c r="T1293" t="s">
        <v>44841</v>
      </c>
      <c r="U1293" t="s">
        <v>46268</v>
      </c>
      <c r="W1293" t="s">
        <v>39858</v>
      </c>
      <c r="X1293" t="s">
        <v>43170</v>
      </c>
    </row>
    <row r="1294" spans="1:24">
      <c r="A1294">
        <f>HYPERLINK("https://www.philgeps.gov.ph/GEPSNONPILOT/Tender/SplashBidNoticeAbstractUI.aspx?menuIndex=3&amp;refID=7087417&amp;Result=3","7087417")</f>
        <v>0</v>
      </c>
      <c r="B1294" t="s">
        <v>543</v>
      </c>
      <c r="C1294" t="s">
        <v>4666</v>
      </c>
      <c r="E1294" t="s">
        <v>18638</v>
      </c>
      <c r="F1294" t="s">
        <v>30052</v>
      </c>
      <c r="G1294" t="s">
        <v>30059</v>
      </c>
      <c r="H1294" t="s">
        <v>15498</v>
      </c>
      <c r="I1294" t="s">
        <v>4650</v>
      </c>
      <c r="J1294" t="s">
        <v>31141</v>
      </c>
      <c r="K1294" t="s">
        <v>39025</v>
      </c>
      <c r="M1294" t="s">
        <v>39845</v>
      </c>
      <c r="N1294" t="s">
        <v>43166</v>
      </c>
      <c r="O1294" t="s">
        <v>43167</v>
      </c>
      <c r="P1294">
        <v>0</v>
      </c>
      <c r="Q1294">
        <v>2</v>
      </c>
      <c r="R1294" t="s">
        <v>43169</v>
      </c>
      <c r="S1294" t="s">
        <v>43291</v>
      </c>
      <c r="T1294" t="s">
        <v>44721</v>
      </c>
      <c r="U1294" t="s">
        <v>46269</v>
      </c>
      <c r="W1294" t="s">
        <v>39845</v>
      </c>
      <c r="X1294" t="s">
        <v>43170</v>
      </c>
    </row>
    <row r="1295" spans="1:24">
      <c r="A1295">
        <f>HYPERLINK("https://www.philgeps.gov.ph/GEPSNONPILOT/Tender/SplashBidNoticeAbstractUI.aspx?menuIndex=3&amp;refID=7087464&amp;Result=3","7087464")</f>
        <v>0</v>
      </c>
      <c r="B1295" t="s">
        <v>557</v>
      </c>
      <c r="C1295" t="s">
        <v>4667</v>
      </c>
      <c r="D1295" t="s">
        <v>17422</v>
      </c>
      <c r="E1295" t="s">
        <v>18639</v>
      </c>
      <c r="F1295" t="s">
        <v>30052</v>
      </c>
      <c r="G1295" t="s">
        <v>30059</v>
      </c>
      <c r="H1295" t="s">
        <v>15498</v>
      </c>
      <c r="I1295" t="s">
        <v>30134</v>
      </c>
      <c r="J1295" t="s">
        <v>31142</v>
      </c>
      <c r="K1295" t="s">
        <v>39025</v>
      </c>
      <c r="M1295" t="s">
        <v>39859</v>
      </c>
      <c r="N1295" t="s">
        <v>43166</v>
      </c>
      <c r="O1295" t="s">
        <v>43167</v>
      </c>
      <c r="P1295">
        <v>0</v>
      </c>
      <c r="Q1295">
        <v>2</v>
      </c>
      <c r="R1295" t="s">
        <v>43169</v>
      </c>
      <c r="S1295" t="s">
        <v>43291</v>
      </c>
      <c r="T1295" t="s">
        <v>44734</v>
      </c>
      <c r="U1295" t="s">
        <v>46270</v>
      </c>
      <c r="V1295" t="s">
        <v>56973</v>
      </c>
      <c r="W1295" t="s">
        <v>39859</v>
      </c>
      <c r="X1295" t="s">
        <v>43170</v>
      </c>
    </row>
    <row r="1296" spans="1:24">
      <c r="A1296">
        <f>HYPERLINK("https://www.philgeps.gov.ph/GEPSNONPILOT/Tender/SplashBidNoticeAbstractUI.aspx?menuIndex=3&amp;refID=7087415&amp;Result=3","7087415")</f>
        <v>0</v>
      </c>
      <c r="B1296" t="s">
        <v>554</v>
      </c>
      <c r="C1296" t="s">
        <v>4668</v>
      </c>
      <c r="D1296" t="s">
        <v>17430</v>
      </c>
      <c r="E1296" t="s">
        <v>18640</v>
      </c>
      <c r="F1296" t="s">
        <v>30052</v>
      </c>
      <c r="G1296" t="s">
        <v>30058</v>
      </c>
      <c r="H1296" t="s">
        <v>15498</v>
      </c>
      <c r="I1296" t="s">
        <v>3736</v>
      </c>
      <c r="J1296" t="s">
        <v>31143</v>
      </c>
      <c r="K1296" t="s">
        <v>39029</v>
      </c>
      <c r="M1296" t="s">
        <v>39856</v>
      </c>
      <c r="N1296" t="s">
        <v>43166</v>
      </c>
      <c r="O1296" t="s">
        <v>43167</v>
      </c>
      <c r="P1296">
        <v>0</v>
      </c>
      <c r="Q1296">
        <v>0</v>
      </c>
      <c r="R1296" t="s">
        <v>43169</v>
      </c>
      <c r="S1296" t="s">
        <v>43291</v>
      </c>
      <c r="T1296" t="s">
        <v>44818</v>
      </c>
      <c r="U1296" t="s">
        <v>46271</v>
      </c>
      <c r="W1296" t="s">
        <v>39856</v>
      </c>
      <c r="X1296" t="s">
        <v>43170</v>
      </c>
    </row>
    <row r="1297" spans="1:24">
      <c r="A1297">
        <f>HYPERLINK("https://www.philgeps.gov.ph/GEPSNONPILOT/Tender/SplashBidNoticeAbstractUI.aspx?menuIndex=3&amp;refID=7087463&amp;Result=3","7087463")</f>
        <v>0</v>
      </c>
      <c r="B1297" t="s">
        <v>405</v>
      </c>
      <c r="C1297" t="s">
        <v>4669</v>
      </c>
      <c r="E1297" t="s">
        <v>18641</v>
      </c>
      <c r="F1297" t="s">
        <v>30052</v>
      </c>
      <c r="G1297" t="s">
        <v>30062</v>
      </c>
      <c r="H1297" t="s">
        <v>15498</v>
      </c>
      <c r="I1297" t="s">
        <v>30070</v>
      </c>
      <c r="J1297" t="s">
        <v>31144</v>
      </c>
      <c r="K1297" t="s">
        <v>39025</v>
      </c>
      <c r="M1297" t="s">
        <v>39704</v>
      </c>
      <c r="N1297" t="s">
        <v>43166</v>
      </c>
      <c r="O1297" t="s">
        <v>43167</v>
      </c>
      <c r="P1297">
        <v>0</v>
      </c>
      <c r="Q1297">
        <v>4</v>
      </c>
      <c r="R1297" t="s">
        <v>43169</v>
      </c>
      <c r="S1297" t="s">
        <v>43291</v>
      </c>
      <c r="T1297" t="s">
        <v>44743</v>
      </c>
      <c r="U1297" t="s">
        <v>46272</v>
      </c>
      <c r="W1297" t="s">
        <v>39704</v>
      </c>
      <c r="X1297" t="s">
        <v>43170</v>
      </c>
    </row>
    <row r="1298" spans="1:24">
      <c r="A1298">
        <f>HYPERLINK("https://www.philgeps.gov.ph/GEPSNONPILOT/Tender/SplashBidNoticeAbstractUI.aspx?menuIndex=3&amp;refID=7087461&amp;Result=3","7087461")</f>
        <v>0</v>
      </c>
      <c r="B1298" t="s">
        <v>405</v>
      </c>
      <c r="C1298" t="s">
        <v>4670</v>
      </c>
      <c r="E1298" t="s">
        <v>18642</v>
      </c>
      <c r="F1298" t="s">
        <v>30052</v>
      </c>
      <c r="G1298" t="s">
        <v>30059</v>
      </c>
      <c r="H1298" t="s">
        <v>15498</v>
      </c>
      <c r="I1298" t="s">
        <v>9238</v>
      </c>
      <c r="J1298" t="s">
        <v>30209</v>
      </c>
      <c r="K1298" t="s">
        <v>39025</v>
      </c>
      <c r="M1298" t="s">
        <v>39704</v>
      </c>
      <c r="N1298" t="s">
        <v>43166</v>
      </c>
      <c r="O1298" t="s">
        <v>43167</v>
      </c>
      <c r="P1298">
        <v>0</v>
      </c>
      <c r="Q1298">
        <v>6</v>
      </c>
      <c r="R1298" t="s">
        <v>43169</v>
      </c>
      <c r="S1298" t="s">
        <v>43291</v>
      </c>
      <c r="T1298" t="s">
        <v>44743</v>
      </c>
      <c r="U1298" t="s">
        <v>46272</v>
      </c>
      <c r="W1298" t="s">
        <v>39704</v>
      </c>
      <c r="X1298" t="s">
        <v>43170</v>
      </c>
    </row>
    <row r="1299" spans="1:24">
      <c r="A1299">
        <f>HYPERLINK("https://www.philgeps.gov.ph/GEPSNONPILOT/Tender/SplashBidNoticeAbstractUI.aspx?menuIndex=3&amp;refID=7087460&amp;Result=3","7087460")</f>
        <v>0</v>
      </c>
      <c r="B1299" t="s">
        <v>427</v>
      </c>
      <c r="C1299" t="s">
        <v>4671</v>
      </c>
      <c r="D1299" t="s">
        <v>17424</v>
      </c>
      <c r="E1299" t="s">
        <v>18643</v>
      </c>
      <c r="F1299" t="s">
        <v>30052</v>
      </c>
      <c r="G1299" t="s">
        <v>30058</v>
      </c>
      <c r="H1299" t="s">
        <v>15498</v>
      </c>
      <c r="I1299" t="s">
        <v>3736</v>
      </c>
      <c r="J1299" t="s">
        <v>30930</v>
      </c>
      <c r="K1299" t="s">
        <v>39036</v>
      </c>
      <c r="M1299" t="s">
        <v>39726</v>
      </c>
      <c r="N1299" t="s">
        <v>43166</v>
      </c>
      <c r="O1299" t="s">
        <v>43167</v>
      </c>
      <c r="P1299">
        <v>0</v>
      </c>
      <c r="Q1299">
        <v>1</v>
      </c>
      <c r="R1299" t="s">
        <v>43169</v>
      </c>
      <c r="S1299" t="s">
        <v>43291</v>
      </c>
      <c r="T1299" t="s">
        <v>44816</v>
      </c>
      <c r="U1299" t="s">
        <v>46007</v>
      </c>
      <c r="W1299" t="s">
        <v>39726</v>
      </c>
      <c r="X1299" t="s">
        <v>43170</v>
      </c>
    </row>
    <row r="1300" spans="1:24">
      <c r="A1300">
        <f>HYPERLINK("https://www.philgeps.gov.ph/GEPSNONPILOT/Tender/SplashBidNoticeAbstractUI.aspx?menuIndex=3&amp;refID=7087459&amp;Result=3","7087459")</f>
        <v>0</v>
      </c>
      <c r="B1300" t="s">
        <v>415</v>
      </c>
      <c r="C1300" t="s">
        <v>4672</v>
      </c>
      <c r="D1300" t="s">
        <v>17472</v>
      </c>
      <c r="E1300" t="s">
        <v>18363</v>
      </c>
      <c r="F1300" t="s">
        <v>30052</v>
      </c>
      <c r="G1300" t="s">
        <v>30061</v>
      </c>
      <c r="H1300" t="s">
        <v>15498</v>
      </c>
      <c r="I1300" t="s">
        <v>30081</v>
      </c>
      <c r="J1300" t="s">
        <v>31145</v>
      </c>
      <c r="K1300" t="s">
        <v>39034</v>
      </c>
      <c r="M1300" t="s">
        <v>39714</v>
      </c>
      <c r="N1300" t="s">
        <v>43166</v>
      </c>
      <c r="O1300" t="s">
        <v>43167</v>
      </c>
      <c r="P1300">
        <v>0</v>
      </c>
      <c r="Q1300">
        <v>0</v>
      </c>
      <c r="R1300" t="s">
        <v>43169</v>
      </c>
      <c r="S1300" t="s">
        <v>43291</v>
      </c>
      <c r="T1300" t="s">
        <v>44685</v>
      </c>
      <c r="U1300" t="s">
        <v>46273</v>
      </c>
      <c r="W1300" t="s">
        <v>39714</v>
      </c>
      <c r="X1300" t="s">
        <v>43170</v>
      </c>
    </row>
    <row r="1301" spans="1:24">
      <c r="A1301">
        <f>HYPERLINK("https://www.philgeps.gov.ph/GEPSNONPILOT/Tender/SplashBidNoticeAbstractUI.aspx?menuIndex=3&amp;refID=7087458&amp;Result=3","7087458")</f>
        <v>0</v>
      </c>
      <c r="B1301" t="s">
        <v>415</v>
      </c>
      <c r="C1301" t="s">
        <v>4673</v>
      </c>
      <c r="D1301" t="s">
        <v>17472</v>
      </c>
      <c r="E1301" t="s">
        <v>18363</v>
      </c>
      <c r="F1301" t="s">
        <v>30052</v>
      </c>
      <c r="G1301" t="s">
        <v>30061</v>
      </c>
      <c r="H1301" t="s">
        <v>15498</v>
      </c>
      <c r="I1301" t="s">
        <v>30073</v>
      </c>
      <c r="J1301" t="s">
        <v>31146</v>
      </c>
      <c r="K1301" t="s">
        <v>39034</v>
      </c>
      <c r="M1301" t="s">
        <v>39714</v>
      </c>
      <c r="N1301" t="s">
        <v>43166</v>
      </c>
      <c r="O1301" t="s">
        <v>43167</v>
      </c>
      <c r="P1301">
        <v>0</v>
      </c>
      <c r="Q1301">
        <v>0</v>
      </c>
      <c r="R1301" t="s">
        <v>43169</v>
      </c>
      <c r="S1301" t="s">
        <v>43291</v>
      </c>
      <c r="T1301" t="s">
        <v>44685</v>
      </c>
      <c r="U1301" t="s">
        <v>46274</v>
      </c>
      <c r="W1301" t="s">
        <v>39714</v>
      </c>
      <c r="X1301" t="s">
        <v>43170</v>
      </c>
    </row>
    <row r="1302" spans="1:24">
      <c r="A1302">
        <f>HYPERLINK("https://www.philgeps.gov.ph/GEPSNONPILOT/Tender/SplashBidNoticeAbstractUI.aspx?menuIndex=3&amp;refID=7087449&amp;Result=3","7087449")</f>
        <v>0</v>
      </c>
      <c r="B1302" t="s">
        <v>558</v>
      </c>
      <c r="C1302" t="s">
        <v>4674</v>
      </c>
      <c r="D1302" t="s">
        <v>17492</v>
      </c>
      <c r="E1302" t="s">
        <v>18644</v>
      </c>
      <c r="F1302" t="s">
        <v>30052</v>
      </c>
      <c r="G1302" t="s">
        <v>30058</v>
      </c>
      <c r="H1302" t="s">
        <v>30067</v>
      </c>
      <c r="I1302" t="s">
        <v>3693</v>
      </c>
      <c r="J1302" t="s">
        <v>31147</v>
      </c>
      <c r="K1302" t="s">
        <v>39052</v>
      </c>
      <c r="M1302" t="s">
        <v>39860</v>
      </c>
      <c r="N1302" t="s">
        <v>43166</v>
      </c>
      <c r="O1302" t="s">
        <v>43167</v>
      </c>
      <c r="P1302">
        <v>0</v>
      </c>
      <c r="Q1302">
        <v>0</v>
      </c>
      <c r="R1302" t="s">
        <v>43169</v>
      </c>
      <c r="S1302" t="s">
        <v>43291</v>
      </c>
      <c r="T1302" t="s">
        <v>44842</v>
      </c>
      <c r="U1302" t="s">
        <v>46275</v>
      </c>
      <c r="W1302" t="s">
        <v>39860</v>
      </c>
      <c r="X1302" t="s">
        <v>43170</v>
      </c>
    </row>
    <row r="1303" spans="1:24">
      <c r="A1303">
        <f>HYPERLINK("https://www.philgeps.gov.ph/GEPSNONPILOT/Tender/SplashBidNoticeAbstractUI.aspx?menuIndex=3&amp;refID=7087446&amp;Result=3","7087446")</f>
        <v>0</v>
      </c>
      <c r="B1303" t="s">
        <v>415</v>
      </c>
      <c r="C1303" t="s">
        <v>4675</v>
      </c>
      <c r="D1303" t="s">
        <v>17472</v>
      </c>
      <c r="E1303" t="s">
        <v>18363</v>
      </c>
      <c r="F1303" t="s">
        <v>30052</v>
      </c>
      <c r="G1303" t="s">
        <v>30061</v>
      </c>
      <c r="H1303" t="s">
        <v>15498</v>
      </c>
      <c r="I1303" t="s">
        <v>30073</v>
      </c>
      <c r="J1303" t="s">
        <v>31148</v>
      </c>
      <c r="K1303" t="s">
        <v>39034</v>
      </c>
      <c r="M1303" t="s">
        <v>39714</v>
      </c>
      <c r="N1303" t="s">
        <v>43166</v>
      </c>
      <c r="O1303" t="s">
        <v>43167</v>
      </c>
      <c r="P1303">
        <v>0</v>
      </c>
      <c r="Q1303">
        <v>0</v>
      </c>
      <c r="R1303" t="s">
        <v>43169</v>
      </c>
      <c r="S1303" t="s">
        <v>43291</v>
      </c>
      <c r="T1303" t="s">
        <v>44685</v>
      </c>
      <c r="U1303" t="s">
        <v>46276</v>
      </c>
      <c r="W1303" t="s">
        <v>39714</v>
      </c>
      <c r="X1303" t="s">
        <v>43170</v>
      </c>
    </row>
    <row r="1304" spans="1:24">
      <c r="A1304">
        <f>HYPERLINK("https://www.philgeps.gov.ph/GEPSNONPILOT/Tender/SplashBidNoticeAbstractUI.aspx?menuIndex=3&amp;refID=7087444&amp;Result=3","7087444")</f>
        <v>0</v>
      </c>
      <c r="B1304" t="s">
        <v>559</v>
      </c>
      <c r="C1304" t="s">
        <v>4676</v>
      </c>
      <c r="E1304" t="s">
        <v>18645</v>
      </c>
      <c r="F1304" t="s">
        <v>30052</v>
      </c>
      <c r="G1304" t="s">
        <v>30058</v>
      </c>
      <c r="H1304" t="s">
        <v>30067</v>
      </c>
      <c r="I1304" t="s">
        <v>30082</v>
      </c>
      <c r="J1304" t="s">
        <v>30208</v>
      </c>
      <c r="K1304" t="s">
        <v>39019</v>
      </c>
      <c r="M1304" t="s">
        <v>39861</v>
      </c>
      <c r="N1304" t="s">
        <v>43166</v>
      </c>
      <c r="O1304" t="s">
        <v>43167</v>
      </c>
      <c r="P1304">
        <v>0</v>
      </c>
      <c r="Q1304">
        <v>0</v>
      </c>
      <c r="R1304" t="s">
        <v>43169</v>
      </c>
      <c r="S1304" t="s">
        <v>43291</v>
      </c>
      <c r="T1304" t="s">
        <v>44794</v>
      </c>
      <c r="U1304" t="s">
        <v>46277</v>
      </c>
      <c r="W1304" t="s">
        <v>39861</v>
      </c>
      <c r="X1304" t="s">
        <v>43170</v>
      </c>
    </row>
    <row r="1305" spans="1:24">
      <c r="A1305">
        <f>HYPERLINK("https://www.philgeps.gov.ph/GEPSNONPILOT/Tender/SplashBidNoticeAbstractUI.aspx?menuIndex=3&amp;refID=7087443&amp;Result=3","7087443")</f>
        <v>0</v>
      </c>
      <c r="B1305" t="s">
        <v>415</v>
      </c>
      <c r="C1305" t="s">
        <v>4677</v>
      </c>
      <c r="D1305" t="s">
        <v>17472</v>
      </c>
      <c r="E1305" t="s">
        <v>18363</v>
      </c>
      <c r="F1305" t="s">
        <v>30052</v>
      </c>
      <c r="G1305" t="s">
        <v>30061</v>
      </c>
      <c r="H1305" t="s">
        <v>15498</v>
      </c>
      <c r="I1305" t="s">
        <v>30073</v>
      </c>
      <c r="J1305" t="s">
        <v>30915</v>
      </c>
      <c r="K1305" t="s">
        <v>39034</v>
      </c>
      <c r="M1305" t="s">
        <v>39714</v>
      </c>
      <c r="N1305" t="s">
        <v>43166</v>
      </c>
      <c r="O1305" t="s">
        <v>43167</v>
      </c>
      <c r="P1305">
        <v>0</v>
      </c>
      <c r="Q1305">
        <v>0</v>
      </c>
      <c r="R1305" t="s">
        <v>43169</v>
      </c>
      <c r="S1305" t="s">
        <v>43291</v>
      </c>
      <c r="T1305" t="s">
        <v>44685</v>
      </c>
      <c r="U1305" t="s">
        <v>46278</v>
      </c>
      <c r="W1305" t="s">
        <v>39714</v>
      </c>
      <c r="X1305" t="s">
        <v>43170</v>
      </c>
    </row>
    <row r="1306" spans="1:24">
      <c r="A1306">
        <f>HYPERLINK("https://www.philgeps.gov.ph/GEPSNONPILOT/Tender/SplashBidNoticeAbstractUI.aspx?menuIndex=3&amp;refID=7087435&amp;Result=3","7087435")</f>
        <v>0</v>
      </c>
      <c r="B1306" t="s">
        <v>415</v>
      </c>
      <c r="C1306" t="s">
        <v>4678</v>
      </c>
      <c r="D1306" t="s">
        <v>17472</v>
      </c>
      <c r="E1306" t="s">
        <v>18363</v>
      </c>
      <c r="F1306" t="s">
        <v>30052</v>
      </c>
      <c r="G1306" t="s">
        <v>30059</v>
      </c>
      <c r="H1306" t="s">
        <v>15498</v>
      </c>
      <c r="I1306" t="s">
        <v>6691</v>
      </c>
      <c r="J1306" t="s">
        <v>31149</v>
      </c>
      <c r="K1306" t="s">
        <v>39034</v>
      </c>
      <c r="M1306" t="s">
        <v>39714</v>
      </c>
      <c r="N1306" t="s">
        <v>43166</v>
      </c>
      <c r="O1306" t="s">
        <v>43167</v>
      </c>
      <c r="P1306">
        <v>0</v>
      </c>
      <c r="Q1306">
        <v>0</v>
      </c>
      <c r="R1306" t="s">
        <v>43169</v>
      </c>
      <c r="S1306" t="s">
        <v>43291</v>
      </c>
      <c r="T1306" t="s">
        <v>44685</v>
      </c>
      <c r="U1306" t="s">
        <v>46279</v>
      </c>
      <c r="W1306" t="s">
        <v>39714</v>
      </c>
      <c r="X1306" t="s">
        <v>43170</v>
      </c>
    </row>
    <row r="1307" spans="1:24">
      <c r="A1307">
        <f>HYPERLINK("https://www.philgeps.gov.ph/GEPSNONPILOT/Tender/SplashBidNoticeAbstractUI.aspx?menuIndex=3&amp;refID=7087457&amp;Result=3","7087457")</f>
        <v>0</v>
      </c>
      <c r="B1307" t="s">
        <v>560</v>
      </c>
      <c r="C1307" t="s">
        <v>4679</v>
      </c>
      <c r="D1307" t="s">
        <v>17443</v>
      </c>
      <c r="E1307" t="s">
        <v>18646</v>
      </c>
      <c r="F1307" t="s">
        <v>30052</v>
      </c>
      <c r="G1307" t="s">
        <v>30058</v>
      </c>
      <c r="H1307" t="s">
        <v>15498</v>
      </c>
      <c r="I1307" t="s">
        <v>6691</v>
      </c>
      <c r="J1307" t="s">
        <v>31150</v>
      </c>
      <c r="K1307" t="s">
        <v>39046</v>
      </c>
      <c r="M1307" t="s">
        <v>39862</v>
      </c>
      <c r="N1307" t="s">
        <v>43166</v>
      </c>
      <c r="O1307" t="s">
        <v>43167</v>
      </c>
      <c r="P1307">
        <v>0</v>
      </c>
      <c r="Q1307">
        <v>0</v>
      </c>
      <c r="R1307" t="s">
        <v>43169</v>
      </c>
      <c r="S1307" t="s">
        <v>43291</v>
      </c>
      <c r="T1307" t="s">
        <v>44733</v>
      </c>
      <c r="U1307" t="s">
        <v>46280</v>
      </c>
      <c r="W1307" t="s">
        <v>39862</v>
      </c>
      <c r="X1307" t="s">
        <v>43170</v>
      </c>
    </row>
    <row r="1308" spans="1:24">
      <c r="A1308">
        <f>HYPERLINK("https://www.philgeps.gov.ph/GEPSNONPILOT/Tender/SplashBidNoticeAbstractUI.aspx?menuIndex=3&amp;refID=7087434&amp;Result=3","7087434")</f>
        <v>0</v>
      </c>
      <c r="B1308" t="s">
        <v>561</v>
      </c>
      <c r="C1308" t="s">
        <v>4680</v>
      </c>
      <c r="D1308" t="s">
        <v>17415</v>
      </c>
      <c r="E1308" t="s">
        <v>11486</v>
      </c>
      <c r="F1308" t="s">
        <v>30052</v>
      </c>
      <c r="G1308" t="s">
        <v>30059</v>
      </c>
      <c r="H1308" t="s">
        <v>15498</v>
      </c>
      <c r="I1308" t="s">
        <v>8323</v>
      </c>
      <c r="J1308" t="s">
        <v>31151</v>
      </c>
      <c r="K1308" t="s">
        <v>39034</v>
      </c>
      <c r="M1308" t="s">
        <v>39863</v>
      </c>
      <c r="N1308" t="s">
        <v>43166</v>
      </c>
      <c r="O1308" t="s">
        <v>43167</v>
      </c>
      <c r="P1308">
        <v>0</v>
      </c>
      <c r="Q1308">
        <v>10</v>
      </c>
      <c r="R1308" t="s">
        <v>43169</v>
      </c>
      <c r="S1308" t="s">
        <v>43291</v>
      </c>
      <c r="T1308" t="s">
        <v>44728</v>
      </c>
      <c r="U1308" t="s">
        <v>46281</v>
      </c>
      <c r="W1308" t="s">
        <v>39863</v>
      </c>
      <c r="X1308" t="s">
        <v>43170</v>
      </c>
    </row>
    <row r="1309" spans="1:24">
      <c r="A1309">
        <f>HYPERLINK("https://www.philgeps.gov.ph/GEPSNONPILOT/Tender/SplashBidNoticeAbstractUI.aspx?menuIndex=3&amp;refID=7087429&amp;Result=3","7087429")</f>
        <v>0</v>
      </c>
      <c r="B1309" t="s">
        <v>415</v>
      </c>
      <c r="C1309" t="s">
        <v>4681</v>
      </c>
      <c r="D1309" t="s">
        <v>17472</v>
      </c>
      <c r="E1309" t="s">
        <v>18363</v>
      </c>
      <c r="F1309" t="s">
        <v>30052</v>
      </c>
      <c r="G1309" t="s">
        <v>30061</v>
      </c>
      <c r="H1309" t="s">
        <v>15498</v>
      </c>
      <c r="I1309" t="s">
        <v>30081</v>
      </c>
      <c r="J1309" t="s">
        <v>31152</v>
      </c>
      <c r="K1309" t="s">
        <v>39034</v>
      </c>
      <c r="M1309" t="s">
        <v>39714</v>
      </c>
      <c r="N1309" t="s">
        <v>43166</v>
      </c>
      <c r="O1309" t="s">
        <v>43167</v>
      </c>
      <c r="P1309">
        <v>0</v>
      </c>
      <c r="Q1309">
        <v>0</v>
      </c>
      <c r="R1309" t="s">
        <v>43169</v>
      </c>
      <c r="S1309" t="s">
        <v>43291</v>
      </c>
      <c r="T1309" t="s">
        <v>44685</v>
      </c>
      <c r="U1309" t="s">
        <v>46282</v>
      </c>
      <c r="W1309" t="s">
        <v>39714</v>
      </c>
      <c r="X1309" t="s">
        <v>43170</v>
      </c>
    </row>
    <row r="1310" spans="1:24">
      <c r="A1310">
        <f>HYPERLINK("https://www.philgeps.gov.ph/GEPSNONPILOT/Tender/SplashBidNoticeAbstractUI.aspx?menuIndex=3&amp;refID=7087366&amp;Result=3","7087366")</f>
        <v>0</v>
      </c>
      <c r="B1310" t="s">
        <v>547</v>
      </c>
      <c r="C1310" t="s">
        <v>4682</v>
      </c>
      <c r="D1310" t="s">
        <v>17465</v>
      </c>
      <c r="E1310" t="s">
        <v>18647</v>
      </c>
      <c r="F1310" t="s">
        <v>30052</v>
      </c>
      <c r="G1310" t="s">
        <v>30061</v>
      </c>
      <c r="H1310" t="s">
        <v>15498</v>
      </c>
      <c r="I1310" t="s">
        <v>3852</v>
      </c>
      <c r="J1310" t="s">
        <v>31153</v>
      </c>
      <c r="K1310" t="s">
        <v>39039</v>
      </c>
      <c r="M1310" t="s">
        <v>39849</v>
      </c>
      <c r="N1310" t="s">
        <v>43166</v>
      </c>
      <c r="O1310" t="s">
        <v>43167</v>
      </c>
      <c r="P1310">
        <v>0</v>
      </c>
      <c r="Q1310">
        <v>0</v>
      </c>
      <c r="R1310" t="s">
        <v>43169</v>
      </c>
      <c r="S1310" t="s">
        <v>43291</v>
      </c>
      <c r="T1310" t="s">
        <v>44839</v>
      </c>
      <c r="U1310" t="s">
        <v>46283</v>
      </c>
      <c r="W1310" t="s">
        <v>39849</v>
      </c>
      <c r="X1310" t="s">
        <v>43170</v>
      </c>
    </row>
    <row r="1311" spans="1:24">
      <c r="A1311">
        <f>HYPERLINK("https://www.philgeps.gov.ph/GEPSNONPILOT/Tender/SplashBidNoticeAbstractUI.aspx?menuIndex=3&amp;refID=7087428&amp;Result=3","7087428")</f>
        <v>0</v>
      </c>
      <c r="B1311" t="s">
        <v>415</v>
      </c>
      <c r="C1311" t="s">
        <v>4683</v>
      </c>
      <c r="D1311" t="s">
        <v>17472</v>
      </c>
      <c r="E1311" t="s">
        <v>18363</v>
      </c>
      <c r="F1311" t="s">
        <v>30052</v>
      </c>
      <c r="G1311" t="s">
        <v>30061</v>
      </c>
      <c r="H1311" t="s">
        <v>15498</v>
      </c>
      <c r="I1311" t="s">
        <v>30070</v>
      </c>
      <c r="J1311" t="s">
        <v>31154</v>
      </c>
      <c r="K1311" t="s">
        <v>39034</v>
      </c>
      <c r="M1311" t="s">
        <v>39714</v>
      </c>
      <c r="N1311" t="s">
        <v>43166</v>
      </c>
      <c r="O1311" t="s">
        <v>43167</v>
      </c>
      <c r="P1311">
        <v>0</v>
      </c>
      <c r="Q1311">
        <v>0</v>
      </c>
      <c r="R1311" t="s">
        <v>43169</v>
      </c>
      <c r="S1311" t="s">
        <v>43291</v>
      </c>
      <c r="T1311" t="s">
        <v>44685</v>
      </c>
      <c r="U1311" t="s">
        <v>46284</v>
      </c>
      <c r="W1311" t="s">
        <v>39714</v>
      </c>
      <c r="X1311" t="s">
        <v>43170</v>
      </c>
    </row>
    <row r="1312" spans="1:24">
      <c r="A1312">
        <f>HYPERLINK("https://www.philgeps.gov.ph/GEPSNONPILOT/Tender/SplashBidNoticeAbstractUI.aspx?menuIndex=3&amp;refID=7087427&amp;Result=3","7087427")</f>
        <v>0</v>
      </c>
      <c r="B1312" t="s">
        <v>427</v>
      </c>
      <c r="C1312" t="s">
        <v>4684</v>
      </c>
      <c r="D1312" t="s">
        <v>17424</v>
      </c>
      <c r="E1312" t="s">
        <v>18648</v>
      </c>
      <c r="F1312" t="s">
        <v>30052</v>
      </c>
      <c r="G1312" t="s">
        <v>30058</v>
      </c>
      <c r="H1312" t="s">
        <v>15498</v>
      </c>
      <c r="I1312" t="s">
        <v>3736</v>
      </c>
      <c r="J1312" t="s">
        <v>31155</v>
      </c>
      <c r="K1312" t="s">
        <v>39036</v>
      </c>
      <c r="M1312" t="s">
        <v>39726</v>
      </c>
      <c r="N1312" t="s">
        <v>43166</v>
      </c>
      <c r="O1312" t="s">
        <v>43167</v>
      </c>
      <c r="P1312">
        <v>0</v>
      </c>
      <c r="Q1312">
        <v>1</v>
      </c>
      <c r="R1312" t="s">
        <v>43169</v>
      </c>
      <c r="S1312" t="s">
        <v>43291</v>
      </c>
      <c r="T1312" t="s">
        <v>44816</v>
      </c>
      <c r="U1312" t="s">
        <v>46285</v>
      </c>
      <c r="W1312" t="s">
        <v>39726</v>
      </c>
      <c r="X1312" t="s">
        <v>43170</v>
      </c>
    </row>
    <row r="1313" spans="1:24">
      <c r="A1313">
        <f>HYPERLINK("https://www.philgeps.gov.ph/GEPSNONPILOT/Tender/SplashBidNoticeAbstractUI.aspx?menuIndex=3&amp;refID=7087431&amp;Result=3","7087431")</f>
        <v>0</v>
      </c>
      <c r="B1313" t="s">
        <v>415</v>
      </c>
      <c r="C1313" t="s">
        <v>4685</v>
      </c>
      <c r="D1313" t="s">
        <v>17472</v>
      </c>
      <c r="E1313" t="s">
        <v>18363</v>
      </c>
      <c r="F1313" t="s">
        <v>30052</v>
      </c>
      <c r="G1313" t="s">
        <v>30061</v>
      </c>
      <c r="H1313" t="s">
        <v>15498</v>
      </c>
      <c r="I1313" t="s">
        <v>30073</v>
      </c>
      <c r="J1313" t="s">
        <v>30570</v>
      </c>
      <c r="K1313" t="s">
        <v>39034</v>
      </c>
      <c r="M1313" t="s">
        <v>39714</v>
      </c>
      <c r="N1313" t="s">
        <v>43166</v>
      </c>
      <c r="O1313" t="s">
        <v>43167</v>
      </c>
      <c r="P1313">
        <v>0</v>
      </c>
      <c r="Q1313">
        <v>0</v>
      </c>
      <c r="R1313" t="s">
        <v>43169</v>
      </c>
      <c r="S1313" t="s">
        <v>43291</v>
      </c>
      <c r="T1313" t="s">
        <v>44685</v>
      </c>
      <c r="U1313" t="s">
        <v>46286</v>
      </c>
      <c r="W1313" t="s">
        <v>39714</v>
      </c>
      <c r="X1313" t="s">
        <v>43170</v>
      </c>
    </row>
    <row r="1314" spans="1:24">
      <c r="A1314">
        <f>HYPERLINK("https://www.philgeps.gov.ph/GEPSNONPILOT/Tender/SplashBidNoticeAbstractUI.aspx?menuIndex=3&amp;refID=7087410&amp;Result=3","7087410")</f>
        <v>0</v>
      </c>
      <c r="B1314" t="s">
        <v>543</v>
      </c>
      <c r="C1314" t="s">
        <v>4686</v>
      </c>
      <c r="E1314" t="s">
        <v>18649</v>
      </c>
      <c r="F1314" t="s">
        <v>30052</v>
      </c>
      <c r="G1314" t="s">
        <v>30058</v>
      </c>
      <c r="H1314" t="s">
        <v>15498</v>
      </c>
      <c r="I1314" t="s">
        <v>30070</v>
      </c>
      <c r="J1314" t="s">
        <v>31156</v>
      </c>
      <c r="K1314" t="s">
        <v>39025</v>
      </c>
      <c r="M1314" t="s">
        <v>39845</v>
      </c>
      <c r="N1314" t="s">
        <v>43166</v>
      </c>
      <c r="O1314" t="s">
        <v>43167</v>
      </c>
      <c r="P1314">
        <v>0</v>
      </c>
      <c r="Q1314">
        <v>0</v>
      </c>
      <c r="R1314" t="s">
        <v>43169</v>
      </c>
      <c r="S1314" t="s">
        <v>43291</v>
      </c>
      <c r="T1314" t="s">
        <v>44718</v>
      </c>
      <c r="U1314" t="s">
        <v>46244</v>
      </c>
      <c r="W1314" t="s">
        <v>39845</v>
      </c>
      <c r="X1314" t="s">
        <v>43170</v>
      </c>
    </row>
    <row r="1315" spans="1:24">
      <c r="A1315">
        <f>HYPERLINK("https://www.philgeps.gov.ph/GEPSNONPILOT/Tender/SplashBidNoticeAbstractUI.aspx?menuIndex=3&amp;refID=7087462&amp;Result=3","7087462")</f>
        <v>0</v>
      </c>
      <c r="B1315" t="s">
        <v>562</v>
      </c>
      <c r="C1315" t="s">
        <v>4687</v>
      </c>
      <c r="D1315" t="s">
        <v>17490</v>
      </c>
      <c r="E1315" t="s">
        <v>18650</v>
      </c>
      <c r="F1315" t="s">
        <v>30052</v>
      </c>
      <c r="G1315" t="s">
        <v>30058</v>
      </c>
      <c r="H1315" t="s">
        <v>30067</v>
      </c>
      <c r="I1315" t="s">
        <v>3693</v>
      </c>
      <c r="J1315" t="s">
        <v>31157</v>
      </c>
      <c r="K1315" t="s">
        <v>39078</v>
      </c>
      <c r="M1315" t="s">
        <v>39864</v>
      </c>
      <c r="N1315" t="s">
        <v>43166</v>
      </c>
      <c r="O1315" t="s">
        <v>43167</v>
      </c>
      <c r="P1315">
        <v>0</v>
      </c>
      <c r="Q1315">
        <v>0</v>
      </c>
      <c r="R1315" t="s">
        <v>43169</v>
      </c>
      <c r="S1315" t="s">
        <v>43291</v>
      </c>
      <c r="T1315" t="s">
        <v>44842</v>
      </c>
      <c r="U1315" t="s">
        <v>46287</v>
      </c>
      <c r="W1315" t="s">
        <v>39864</v>
      </c>
      <c r="X1315" t="s">
        <v>43170</v>
      </c>
    </row>
    <row r="1316" spans="1:24">
      <c r="A1316">
        <f>HYPERLINK("https://www.philgeps.gov.ph/GEPSNONPILOT/Tender/SplashBidNoticeAbstractUI.aspx?menuIndex=3&amp;refID=7087440&amp;Result=3","7087440")</f>
        <v>0</v>
      </c>
      <c r="B1316" t="s">
        <v>559</v>
      </c>
      <c r="C1316" t="s">
        <v>4688</v>
      </c>
      <c r="E1316" t="s">
        <v>18651</v>
      </c>
      <c r="F1316" t="s">
        <v>30052</v>
      </c>
      <c r="G1316" t="s">
        <v>30058</v>
      </c>
      <c r="H1316" t="s">
        <v>30067</v>
      </c>
      <c r="I1316" t="s">
        <v>30082</v>
      </c>
      <c r="J1316" t="s">
        <v>30218</v>
      </c>
      <c r="K1316" t="s">
        <v>39029</v>
      </c>
      <c r="M1316" t="s">
        <v>39861</v>
      </c>
      <c r="N1316" t="s">
        <v>43166</v>
      </c>
      <c r="O1316" t="s">
        <v>43167</v>
      </c>
      <c r="P1316">
        <v>0</v>
      </c>
      <c r="Q1316">
        <v>1</v>
      </c>
      <c r="R1316" t="s">
        <v>43169</v>
      </c>
      <c r="S1316" t="s">
        <v>43291</v>
      </c>
      <c r="T1316" t="s">
        <v>44794</v>
      </c>
      <c r="U1316" t="s">
        <v>46288</v>
      </c>
      <c r="W1316" t="s">
        <v>39861</v>
      </c>
      <c r="X1316" t="s">
        <v>43170</v>
      </c>
    </row>
    <row r="1317" spans="1:24">
      <c r="A1317">
        <f>HYPERLINK("https://www.philgeps.gov.ph/GEPSNONPILOT/Tender/SplashBidNoticeAbstractUI.aspx?menuIndex=3&amp;refID=7087426&amp;Result=3","7087426")</f>
        <v>0</v>
      </c>
      <c r="B1317" t="s">
        <v>543</v>
      </c>
      <c r="C1317" t="s">
        <v>4656</v>
      </c>
      <c r="E1317" t="s">
        <v>18652</v>
      </c>
      <c r="F1317" t="s">
        <v>30052</v>
      </c>
      <c r="G1317" t="s">
        <v>30059</v>
      </c>
      <c r="H1317" t="s">
        <v>15498</v>
      </c>
      <c r="I1317" t="s">
        <v>30094</v>
      </c>
      <c r="J1317" t="s">
        <v>31158</v>
      </c>
      <c r="K1317" t="s">
        <v>39025</v>
      </c>
      <c r="M1317" t="s">
        <v>39845</v>
      </c>
      <c r="N1317" t="s">
        <v>43166</v>
      </c>
      <c r="O1317" t="s">
        <v>43167</v>
      </c>
      <c r="P1317">
        <v>0</v>
      </c>
      <c r="Q1317">
        <v>0</v>
      </c>
      <c r="R1317" t="s">
        <v>43169</v>
      </c>
      <c r="S1317" t="s">
        <v>43291</v>
      </c>
      <c r="T1317" t="s">
        <v>44721</v>
      </c>
      <c r="U1317" t="s">
        <v>46289</v>
      </c>
      <c r="W1317" t="s">
        <v>39845</v>
      </c>
      <c r="X1317" t="s">
        <v>43170</v>
      </c>
    </row>
    <row r="1318" spans="1:24">
      <c r="A1318">
        <f>HYPERLINK("https://www.philgeps.gov.ph/GEPSNONPILOT/Tender/SplashBidNoticeAbstractUI.aspx?menuIndex=3&amp;refID=7087484&amp;Result=3","7087484")</f>
        <v>0</v>
      </c>
      <c r="B1318" t="s">
        <v>405</v>
      </c>
      <c r="C1318" t="s">
        <v>4689</v>
      </c>
      <c r="E1318" t="s">
        <v>18653</v>
      </c>
      <c r="F1318" t="s">
        <v>30052</v>
      </c>
      <c r="G1318" t="s">
        <v>30059</v>
      </c>
      <c r="H1318" t="s">
        <v>15498</v>
      </c>
      <c r="I1318" t="s">
        <v>9238</v>
      </c>
      <c r="J1318" t="s">
        <v>30417</v>
      </c>
      <c r="K1318" t="s">
        <v>39025</v>
      </c>
      <c r="M1318" t="s">
        <v>39704</v>
      </c>
      <c r="N1318" t="s">
        <v>43166</v>
      </c>
      <c r="O1318" t="s">
        <v>43167</v>
      </c>
      <c r="P1318">
        <v>0</v>
      </c>
      <c r="Q1318">
        <v>2</v>
      </c>
      <c r="R1318" t="s">
        <v>43169</v>
      </c>
      <c r="S1318" t="s">
        <v>43291</v>
      </c>
      <c r="T1318" t="s">
        <v>44743</v>
      </c>
      <c r="U1318" t="s">
        <v>46272</v>
      </c>
      <c r="W1318" t="s">
        <v>39704</v>
      </c>
      <c r="X1318" t="s">
        <v>43170</v>
      </c>
    </row>
    <row r="1319" spans="1:24">
      <c r="A1319">
        <f>HYPERLINK("https://www.philgeps.gov.ph/GEPSNONPILOT/Tender/SplashBidNoticeAbstractUI.aspx?menuIndex=3&amp;refID=7087483&amp;Result=3","7087483")</f>
        <v>0</v>
      </c>
      <c r="B1319" t="s">
        <v>563</v>
      </c>
      <c r="C1319" t="s">
        <v>4690</v>
      </c>
      <c r="D1319" t="s">
        <v>17484</v>
      </c>
      <c r="E1319" t="s">
        <v>18654</v>
      </c>
      <c r="F1319" t="s">
        <v>30052</v>
      </c>
      <c r="G1319" t="s">
        <v>30061</v>
      </c>
      <c r="H1319" t="s">
        <v>15498</v>
      </c>
      <c r="I1319" t="s">
        <v>30076</v>
      </c>
      <c r="J1319" t="s">
        <v>30644</v>
      </c>
      <c r="K1319" t="s">
        <v>39018</v>
      </c>
      <c r="M1319" t="s">
        <v>39865</v>
      </c>
      <c r="N1319" t="s">
        <v>43166</v>
      </c>
      <c r="O1319" t="s">
        <v>43167</v>
      </c>
      <c r="P1319">
        <v>0</v>
      </c>
      <c r="Q1319">
        <v>0</v>
      </c>
      <c r="R1319" t="s">
        <v>43169</v>
      </c>
      <c r="S1319" t="s">
        <v>43291</v>
      </c>
      <c r="T1319" t="s">
        <v>44735</v>
      </c>
      <c r="U1319" t="s">
        <v>46290</v>
      </c>
      <c r="W1319" t="s">
        <v>39865</v>
      </c>
      <c r="X1319" t="s">
        <v>43170</v>
      </c>
    </row>
    <row r="1320" spans="1:24">
      <c r="A1320">
        <f>HYPERLINK("https://www.philgeps.gov.ph/GEPSNONPILOT/Tender/SplashBidNoticeAbstractUI.aspx?menuIndex=3&amp;refID=7087480&amp;Result=3","7087480")</f>
        <v>0</v>
      </c>
      <c r="B1320" t="s">
        <v>427</v>
      </c>
      <c r="C1320" t="s">
        <v>4691</v>
      </c>
      <c r="D1320" t="s">
        <v>17424</v>
      </c>
      <c r="E1320" t="s">
        <v>18655</v>
      </c>
      <c r="F1320" t="s">
        <v>30052</v>
      </c>
      <c r="G1320" t="s">
        <v>30058</v>
      </c>
      <c r="H1320" t="s">
        <v>15498</v>
      </c>
      <c r="I1320" t="s">
        <v>3736</v>
      </c>
      <c r="J1320" t="s">
        <v>31159</v>
      </c>
      <c r="K1320" t="s">
        <v>39036</v>
      </c>
      <c r="M1320" t="s">
        <v>39726</v>
      </c>
      <c r="N1320" t="s">
        <v>43166</v>
      </c>
      <c r="O1320" t="s">
        <v>43167</v>
      </c>
      <c r="P1320">
        <v>0</v>
      </c>
      <c r="Q1320">
        <v>1</v>
      </c>
      <c r="R1320" t="s">
        <v>43169</v>
      </c>
      <c r="S1320" t="s">
        <v>43291</v>
      </c>
      <c r="T1320" t="s">
        <v>44816</v>
      </c>
      <c r="U1320" t="s">
        <v>46291</v>
      </c>
      <c r="W1320" t="s">
        <v>39726</v>
      </c>
      <c r="X1320" t="s">
        <v>43170</v>
      </c>
    </row>
    <row r="1321" spans="1:24">
      <c r="A1321">
        <f>HYPERLINK("https://www.philgeps.gov.ph/GEPSNONPILOT/Tender/SplashBidNoticeAbstractUI.aspx?menuIndex=3&amp;refID=7087482&amp;Result=3","7087482")</f>
        <v>0</v>
      </c>
      <c r="B1321" t="s">
        <v>405</v>
      </c>
      <c r="C1321" t="s">
        <v>4692</v>
      </c>
      <c r="E1321" t="s">
        <v>18656</v>
      </c>
      <c r="F1321" t="s">
        <v>30052</v>
      </c>
      <c r="G1321" t="s">
        <v>30062</v>
      </c>
      <c r="H1321" t="s">
        <v>15498</v>
      </c>
      <c r="I1321" t="s">
        <v>4650</v>
      </c>
      <c r="J1321" t="s">
        <v>30783</v>
      </c>
      <c r="K1321" t="s">
        <v>39025</v>
      </c>
      <c r="M1321" t="s">
        <v>39704</v>
      </c>
      <c r="N1321" t="s">
        <v>43166</v>
      </c>
      <c r="O1321" t="s">
        <v>43167</v>
      </c>
      <c r="P1321">
        <v>0</v>
      </c>
      <c r="Q1321">
        <v>6</v>
      </c>
      <c r="R1321" t="s">
        <v>43169</v>
      </c>
      <c r="S1321" t="s">
        <v>43291</v>
      </c>
      <c r="T1321" t="s">
        <v>44743</v>
      </c>
      <c r="U1321" t="s">
        <v>46272</v>
      </c>
      <c r="W1321" t="s">
        <v>39704</v>
      </c>
      <c r="X1321" t="s">
        <v>43170</v>
      </c>
    </row>
    <row r="1322" spans="1:24">
      <c r="A1322">
        <f>HYPERLINK("https://www.philgeps.gov.ph/GEPSNONPILOT/Tender/SplashBidNoticeAbstractUI.aspx?menuIndex=3&amp;refID=7087479&amp;Result=3","7087479")</f>
        <v>0</v>
      </c>
      <c r="B1322" t="s">
        <v>415</v>
      </c>
      <c r="C1322" t="s">
        <v>4693</v>
      </c>
      <c r="D1322" t="s">
        <v>17472</v>
      </c>
      <c r="E1322" t="s">
        <v>18363</v>
      </c>
      <c r="F1322" t="s">
        <v>30052</v>
      </c>
      <c r="G1322" t="s">
        <v>30061</v>
      </c>
      <c r="H1322" t="s">
        <v>15498</v>
      </c>
      <c r="I1322" t="s">
        <v>30136</v>
      </c>
      <c r="J1322" t="s">
        <v>30890</v>
      </c>
      <c r="K1322" t="s">
        <v>39034</v>
      </c>
      <c r="M1322" t="s">
        <v>39714</v>
      </c>
      <c r="N1322" t="s">
        <v>43166</v>
      </c>
      <c r="O1322" t="s">
        <v>43167</v>
      </c>
      <c r="P1322">
        <v>0</v>
      </c>
      <c r="Q1322">
        <v>0</v>
      </c>
      <c r="R1322" t="s">
        <v>43169</v>
      </c>
      <c r="S1322" t="s">
        <v>43291</v>
      </c>
      <c r="T1322" t="s">
        <v>44685</v>
      </c>
      <c r="U1322" t="s">
        <v>46292</v>
      </c>
      <c r="W1322" t="s">
        <v>39714</v>
      </c>
      <c r="X1322" t="s">
        <v>43170</v>
      </c>
    </row>
    <row r="1323" spans="1:24">
      <c r="A1323">
        <f>HYPERLINK("https://www.philgeps.gov.ph/GEPSNONPILOT/Tender/SplashBidNoticeAbstractUI.aspx?menuIndex=3&amp;refID=7087478&amp;Result=3","7087478")</f>
        <v>0</v>
      </c>
      <c r="B1323" t="s">
        <v>557</v>
      </c>
      <c r="C1323" t="s">
        <v>4694</v>
      </c>
      <c r="D1323" t="s">
        <v>17475</v>
      </c>
      <c r="E1323" t="s">
        <v>18657</v>
      </c>
      <c r="F1323" t="s">
        <v>30052</v>
      </c>
      <c r="G1323" t="s">
        <v>30059</v>
      </c>
      <c r="H1323" t="s">
        <v>15498</v>
      </c>
      <c r="I1323" t="s">
        <v>30134</v>
      </c>
      <c r="J1323" t="s">
        <v>30390</v>
      </c>
      <c r="K1323" t="s">
        <v>39025</v>
      </c>
      <c r="M1323" t="s">
        <v>39859</v>
      </c>
      <c r="N1323" t="s">
        <v>43166</v>
      </c>
      <c r="O1323" t="s">
        <v>43167</v>
      </c>
      <c r="P1323">
        <v>0</v>
      </c>
      <c r="Q1323">
        <v>0</v>
      </c>
      <c r="R1323" t="s">
        <v>43169</v>
      </c>
      <c r="S1323" t="s">
        <v>43291</v>
      </c>
      <c r="T1323" t="s">
        <v>44841</v>
      </c>
      <c r="U1323" t="s">
        <v>46293</v>
      </c>
      <c r="V1323" t="s">
        <v>56973</v>
      </c>
      <c r="W1323" t="s">
        <v>39859</v>
      </c>
      <c r="X1323" t="s">
        <v>43170</v>
      </c>
    </row>
    <row r="1324" spans="1:24">
      <c r="A1324">
        <f>HYPERLINK("https://www.philgeps.gov.ph/GEPSNONPILOT/Tender/SplashBidNoticeAbstractUI.aspx?menuIndex=3&amp;refID=7087485&amp;Result=3","7087485")</f>
        <v>0</v>
      </c>
      <c r="B1324" t="s">
        <v>563</v>
      </c>
      <c r="C1324" t="s">
        <v>4695</v>
      </c>
      <c r="D1324" t="s">
        <v>17484</v>
      </c>
      <c r="E1324" t="s">
        <v>18654</v>
      </c>
      <c r="F1324" t="s">
        <v>30052</v>
      </c>
      <c r="G1324" t="s">
        <v>30061</v>
      </c>
      <c r="H1324" t="s">
        <v>15498</v>
      </c>
      <c r="I1324" t="s">
        <v>30076</v>
      </c>
      <c r="J1324" t="s">
        <v>30472</v>
      </c>
      <c r="K1324" t="s">
        <v>39018</v>
      </c>
      <c r="M1324" t="s">
        <v>39865</v>
      </c>
      <c r="N1324" t="s">
        <v>43166</v>
      </c>
      <c r="O1324" t="s">
        <v>43167</v>
      </c>
      <c r="P1324">
        <v>0</v>
      </c>
      <c r="Q1324">
        <v>0</v>
      </c>
      <c r="R1324" t="s">
        <v>43169</v>
      </c>
      <c r="S1324" t="s">
        <v>43291</v>
      </c>
      <c r="T1324" t="s">
        <v>44735</v>
      </c>
      <c r="U1324" t="s">
        <v>46294</v>
      </c>
      <c r="W1324" t="s">
        <v>39865</v>
      </c>
      <c r="X1324" t="s">
        <v>43170</v>
      </c>
    </row>
    <row r="1325" spans="1:24">
      <c r="A1325">
        <f>HYPERLINK("https://www.philgeps.gov.ph/GEPSNONPILOT/Tender/SplashBidNoticeAbstractUI.aspx?menuIndex=3&amp;refID=7087476&amp;Result=3","7087476")</f>
        <v>0</v>
      </c>
      <c r="B1325" t="s">
        <v>563</v>
      </c>
      <c r="C1325" t="s">
        <v>4696</v>
      </c>
      <c r="D1325" t="s">
        <v>17484</v>
      </c>
      <c r="E1325" t="s">
        <v>18654</v>
      </c>
      <c r="F1325" t="s">
        <v>30052</v>
      </c>
      <c r="G1325" t="s">
        <v>30061</v>
      </c>
      <c r="H1325" t="s">
        <v>15498</v>
      </c>
      <c r="I1325" t="s">
        <v>4119</v>
      </c>
      <c r="J1325" t="s">
        <v>30852</v>
      </c>
      <c r="K1325" t="s">
        <v>39018</v>
      </c>
      <c r="M1325" t="s">
        <v>39865</v>
      </c>
      <c r="N1325" t="s">
        <v>43166</v>
      </c>
      <c r="O1325" t="s">
        <v>43167</v>
      </c>
      <c r="P1325">
        <v>0</v>
      </c>
      <c r="Q1325">
        <v>1</v>
      </c>
      <c r="R1325" t="s">
        <v>43169</v>
      </c>
      <c r="S1325" t="s">
        <v>43291</v>
      </c>
      <c r="T1325" t="s">
        <v>44735</v>
      </c>
      <c r="U1325" t="s">
        <v>46295</v>
      </c>
      <c r="W1325" t="s">
        <v>39865</v>
      </c>
      <c r="X1325" t="s">
        <v>43170</v>
      </c>
    </row>
    <row r="1326" spans="1:24">
      <c r="A1326">
        <f>HYPERLINK("https://www.philgeps.gov.ph/GEPSNONPILOT/Tender/SplashBidNoticeAbstractUI.aspx?menuIndex=3&amp;refID=7087475&amp;Result=3","7087475")</f>
        <v>0</v>
      </c>
      <c r="B1326" t="s">
        <v>562</v>
      </c>
      <c r="C1326" t="s">
        <v>4697</v>
      </c>
      <c r="D1326" t="s">
        <v>17490</v>
      </c>
      <c r="E1326" t="s">
        <v>18658</v>
      </c>
      <c r="F1326" t="s">
        <v>30052</v>
      </c>
      <c r="G1326" t="s">
        <v>30058</v>
      </c>
      <c r="H1326" t="s">
        <v>30067</v>
      </c>
      <c r="I1326" t="s">
        <v>3693</v>
      </c>
      <c r="J1326" t="s">
        <v>31160</v>
      </c>
      <c r="K1326" t="s">
        <v>39079</v>
      </c>
      <c r="M1326" t="s">
        <v>39864</v>
      </c>
      <c r="N1326" t="s">
        <v>43166</v>
      </c>
      <c r="O1326" t="s">
        <v>43167</v>
      </c>
      <c r="P1326">
        <v>0</v>
      </c>
      <c r="Q1326">
        <v>0</v>
      </c>
      <c r="R1326" t="s">
        <v>43169</v>
      </c>
      <c r="S1326" t="s">
        <v>43291</v>
      </c>
      <c r="T1326" t="s">
        <v>44842</v>
      </c>
      <c r="U1326" t="s">
        <v>46287</v>
      </c>
      <c r="W1326" t="s">
        <v>39864</v>
      </c>
      <c r="X1326" t="s">
        <v>43170</v>
      </c>
    </row>
    <row r="1327" spans="1:24">
      <c r="A1327">
        <f>HYPERLINK("https://www.philgeps.gov.ph/GEPSNONPILOT/Tender/SplashBidNoticeAbstractUI.aspx?menuIndex=3&amp;refID=7087372&amp;Result=3","7087372")</f>
        <v>0</v>
      </c>
      <c r="B1327" t="s">
        <v>547</v>
      </c>
      <c r="C1327" t="s">
        <v>4645</v>
      </c>
      <c r="D1327" t="s">
        <v>17465</v>
      </c>
      <c r="E1327" t="s">
        <v>18659</v>
      </c>
      <c r="F1327" t="s">
        <v>30052</v>
      </c>
      <c r="G1327" t="s">
        <v>30058</v>
      </c>
      <c r="H1327" t="s">
        <v>15498</v>
      </c>
      <c r="I1327" t="s">
        <v>4119</v>
      </c>
      <c r="J1327" t="s">
        <v>31161</v>
      </c>
      <c r="K1327" t="s">
        <v>39039</v>
      </c>
      <c r="M1327" t="s">
        <v>39849</v>
      </c>
      <c r="N1327" t="s">
        <v>43166</v>
      </c>
      <c r="O1327" t="s">
        <v>43167</v>
      </c>
      <c r="P1327">
        <v>0</v>
      </c>
      <c r="Q1327">
        <v>1</v>
      </c>
      <c r="R1327" t="s">
        <v>43169</v>
      </c>
      <c r="S1327" t="s">
        <v>43291</v>
      </c>
      <c r="T1327" t="s">
        <v>44839</v>
      </c>
      <c r="U1327" t="s">
        <v>46296</v>
      </c>
      <c r="W1327" t="s">
        <v>39849</v>
      </c>
      <c r="X1327" t="s">
        <v>43170</v>
      </c>
    </row>
    <row r="1328" spans="1:24">
      <c r="A1328">
        <f>HYPERLINK("https://www.philgeps.gov.ph/GEPSNONPILOT/Tender/SplashBidNoticeAbstractUI.aspx?menuIndex=3&amp;refID=7087473&amp;Result=3","7087473")</f>
        <v>0</v>
      </c>
      <c r="B1328" t="s">
        <v>563</v>
      </c>
      <c r="C1328" t="s">
        <v>4352</v>
      </c>
      <c r="D1328" t="s">
        <v>17484</v>
      </c>
      <c r="E1328" t="s">
        <v>18654</v>
      </c>
      <c r="F1328" t="s">
        <v>30052</v>
      </c>
      <c r="G1328" t="s">
        <v>30061</v>
      </c>
      <c r="H1328" t="s">
        <v>15498</v>
      </c>
      <c r="I1328" t="s">
        <v>30105</v>
      </c>
      <c r="J1328" t="s">
        <v>30771</v>
      </c>
      <c r="K1328" t="s">
        <v>39018</v>
      </c>
      <c r="M1328" t="s">
        <v>39865</v>
      </c>
      <c r="N1328" t="s">
        <v>43166</v>
      </c>
      <c r="O1328" t="s">
        <v>43167</v>
      </c>
      <c r="P1328">
        <v>0</v>
      </c>
      <c r="Q1328">
        <v>0</v>
      </c>
      <c r="R1328" t="s">
        <v>43169</v>
      </c>
      <c r="S1328" t="s">
        <v>43291</v>
      </c>
      <c r="T1328" t="s">
        <v>44735</v>
      </c>
      <c r="U1328" t="s">
        <v>46297</v>
      </c>
      <c r="W1328" t="s">
        <v>39865</v>
      </c>
      <c r="X1328" t="s">
        <v>43170</v>
      </c>
    </row>
    <row r="1329" spans="1:24">
      <c r="A1329">
        <f>HYPERLINK("https://www.philgeps.gov.ph/GEPSNONPILOT/Tender/SplashBidNoticeAbstractUI.aspx?menuIndex=3&amp;refID=7087486&amp;Result=3","7087486")</f>
        <v>0</v>
      </c>
      <c r="B1329" t="s">
        <v>405</v>
      </c>
      <c r="C1329" t="s">
        <v>4698</v>
      </c>
      <c r="E1329" t="s">
        <v>18660</v>
      </c>
      <c r="F1329" t="s">
        <v>30052</v>
      </c>
      <c r="G1329" t="s">
        <v>30059</v>
      </c>
      <c r="H1329" t="s">
        <v>15498</v>
      </c>
      <c r="I1329" t="s">
        <v>30100</v>
      </c>
      <c r="J1329" t="s">
        <v>30448</v>
      </c>
      <c r="K1329" t="s">
        <v>39025</v>
      </c>
      <c r="M1329" t="s">
        <v>39704</v>
      </c>
      <c r="N1329" t="s">
        <v>43166</v>
      </c>
      <c r="O1329" t="s">
        <v>43167</v>
      </c>
      <c r="P1329">
        <v>0</v>
      </c>
      <c r="Q1329">
        <v>0</v>
      </c>
      <c r="R1329" t="s">
        <v>43169</v>
      </c>
      <c r="S1329" t="s">
        <v>43291</v>
      </c>
      <c r="T1329" t="s">
        <v>44743</v>
      </c>
      <c r="U1329" t="s">
        <v>46272</v>
      </c>
      <c r="W1329" t="s">
        <v>39704</v>
      </c>
      <c r="X1329" t="s">
        <v>43170</v>
      </c>
    </row>
    <row r="1330" spans="1:24">
      <c r="A1330">
        <f>HYPERLINK("https://www.philgeps.gov.ph/GEPSNONPILOT/Tender/SplashBidNoticeAbstractUI.aspx?menuIndex=3&amp;refID=7087506&amp;Result=3","7087506")</f>
        <v>0</v>
      </c>
      <c r="B1330" t="s">
        <v>557</v>
      </c>
      <c r="C1330" t="s">
        <v>4699</v>
      </c>
      <c r="D1330" t="s">
        <v>17438</v>
      </c>
      <c r="E1330" t="s">
        <v>18661</v>
      </c>
      <c r="F1330" t="s">
        <v>30052</v>
      </c>
      <c r="G1330" t="s">
        <v>30059</v>
      </c>
      <c r="H1330" t="s">
        <v>15498</v>
      </c>
      <c r="I1330" t="s">
        <v>30134</v>
      </c>
      <c r="J1330" t="s">
        <v>31162</v>
      </c>
      <c r="K1330" t="s">
        <v>39025</v>
      </c>
      <c r="M1330" t="s">
        <v>39859</v>
      </c>
      <c r="N1330" t="s">
        <v>43166</v>
      </c>
      <c r="O1330" t="s">
        <v>43167</v>
      </c>
      <c r="P1330">
        <v>0</v>
      </c>
      <c r="Q1330">
        <v>0</v>
      </c>
      <c r="R1330" t="s">
        <v>43169</v>
      </c>
      <c r="S1330" t="s">
        <v>43291</v>
      </c>
      <c r="T1330" t="s">
        <v>44841</v>
      </c>
      <c r="U1330" t="s">
        <v>46298</v>
      </c>
      <c r="V1330" t="s">
        <v>56973</v>
      </c>
      <c r="W1330" t="s">
        <v>39859</v>
      </c>
      <c r="X1330" t="s">
        <v>43170</v>
      </c>
    </row>
    <row r="1331" spans="1:24">
      <c r="A1331">
        <f>HYPERLINK("https://www.philgeps.gov.ph/GEPSNONPILOT/Tender/SplashBidNoticeAbstractUI.aspx?menuIndex=3&amp;refID=7087474&amp;Result=3","7087474")</f>
        <v>0</v>
      </c>
      <c r="B1331" t="s">
        <v>405</v>
      </c>
      <c r="C1331" t="s">
        <v>4700</v>
      </c>
      <c r="E1331" t="s">
        <v>18662</v>
      </c>
      <c r="F1331" t="s">
        <v>30052</v>
      </c>
      <c r="G1331" t="s">
        <v>30059</v>
      </c>
      <c r="H1331" t="s">
        <v>15498</v>
      </c>
      <c r="I1331" t="s">
        <v>9238</v>
      </c>
      <c r="J1331" t="s">
        <v>31163</v>
      </c>
      <c r="K1331" t="s">
        <v>39025</v>
      </c>
      <c r="M1331" t="s">
        <v>39704</v>
      </c>
      <c r="N1331" t="s">
        <v>43166</v>
      </c>
      <c r="O1331" t="s">
        <v>43167</v>
      </c>
      <c r="P1331">
        <v>0</v>
      </c>
      <c r="Q1331">
        <v>2</v>
      </c>
      <c r="R1331" t="s">
        <v>43169</v>
      </c>
      <c r="S1331" t="s">
        <v>43291</v>
      </c>
      <c r="T1331" t="s">
        <v>44743</v>
      </c>
      <c r="U1331" t="s">
        <v>46272</v>
      </c>
      <c r="W1331" t="s">
        <v>39704</v>
      </c>
      <c r="X1331" t="s">
        <v>43170</v>
      </c>
    </row>
    <row r="1332" spans="1:24">
      <c r="A1332">
        <f>HYPERLINK("https://www.philgeps.gov.ph/GEPSNONPILOT/Tender/SplashBidNoticeAbstractUI.aspx?menuIndex=3&amp;refID=7087504&amp;Result=3","7087504")</f>
        <v>0</v>
      </c>
      <c r="B1332" t="s">
        <v>415</v>
      </c>
      <c r="C1332" t="s">
        <v>4701</v>
      </c>
      <c r="D1332" t="s">
        <v>17472</v>
      </c>
      <c r="E1332" t="s">
        <v>18363</v>
      </c>
      <c r="F1332" t="s">
        <v>30052</v>
      </c>
      <c r="G1332" t="s">
        <v>30061</v>
      </c>
      <c r="H1332" t="s">
        <v>15498</v>
      </c>
      <c r="I1332" t="s">
        <v>30073</v>
      </c>
      <c r="J1332" t="s">
        <v>31164</v>
      </c>
      <c r="K1332" t="s">
        <v>39034</v>
      </c>
      <c r="M1332" t="s">
        <v>39714</v>
      </c>
      <c r="N1332" t="s">
        <v>43166</v>
      </c>
      <c r="O1332" t="s">
        <v>43167</v>
      </c>
      <c r="P1332">
        <v>0</v>
      </c>
      <c r="Q1332">
        <v>0</v>
      </c>
      <c r="R1332" t="s">
        <v>43169</v>
      </c>
      <c r="S1332" t="s">
        <v>43291</v>
      </c>
      <c r="T1332" t="s">
        <v>44685</v>
      </c>
      <c r="U1332" t="s">
        <v>46299</v>
      </c>
      <c r="W1332" t="s">
        <v>39714</v>
      </c>
      <c r="X1332" t="s">
        <v>43170</v>
      </c>
    </row>
    <row r="1333" spans="1:24">
      <c r="A1333">
        <f>HYPERLINK("https://www.philgeps.gov.ph/GEPSNONPILOT/Tender/SplashBidNoticeAbstractUI.aspx?menuIndex=3&amp;refID=7087503&amp;Result=3","7087503")</f>
        <v>0</v>
      </c>
      <c r="B1333" t="s">
        <v>405</v>
      </c>
      <c r="C1333" t="s">
        <v>4702</v>
      </c>
      <c r="E1333" t="s">
        <v>18663</v>
      </c>
      <c r="F1333" t="s">
        <v>30052</v>
      </c>
      <c r="G1333" t="s">
        <v>30059</v>
      </c>
      <c r="H1333" t="s">
        <v>15498</v>
      </c>
      <c r="I1333" t="s">
        <v>30151</v>
      </c>
      <c r="J1333" t="s">
        <v>31165</v>
      </c>
      <c r="K1333" t="s">
        <v>39025</v>
      </c>
      <c r="M1333" t="s">
        <v>39704</v>
      </c>
      <c r="N1333" t="s">
        <v>43166</v>
      </c>
      <c r="O1333" t="s">
        <v>43167</v>
      </c>
      <c r="P1333">
        <v>0</v>
      </c>
      <c r="Q1333">
        <v>1</v>
      </c>
      <c r="R1333" t="s">
        <v>43169</v>
      </c>
      <c r="S1333" t="s">
        <v>43291</v>
      </c>
      <c r="T1333" t="s">
        <v>44743</v>
      </c>
      <c r="U1333" t="s">
        <v>46272</v>
      </c>
      <c r="W1333" t="s">
        <v>39704</v>
      </c>
      <c r="X1333" t="s">
        <v>43170</v>
      </c>
    </row>
    <row r="1334" spans="1:24">
      <c r="A1334">
        <f>HYPERLINK("https://www.philgeps.gov.ph/GEPSNONPILOT/Tender/SplashBidNoticeAbstractUI.aspx?menuIndex=3&amp;refID=7087477&amp;Result=3","7087477")</f>
        <v>0</v>
      </c>
      <c r="B1334" t="s">
        <v>405</v>
      </c>
      <c r="C1334" t="s">
        <v>4703</v>
      </c>
      <c r="E1334" t="s">
        <v>18664</v>
      </c>
      <c r="F1334" t="s">
        <v>30052</v>
      </c>
      <c r="G1334" t="s">
        <v>30059</v>
      </c>
      <c r="H1334" t="s">
        <v>15498</v>
      </c>
      <c r="I1334" t="s">
        <v>30117</v>
      </c>
      <c r="J1334" t="s">
        <v>30306</v>
      </c>
      <c r="K1334" t="s">
        <v>39025</v>
      </c>
      <c r="M1334" t="s">
        <v>39704</v>
      </c>
      <c r="N1334" t="s">
        <v>43166</v>
      </c>
      <c r="O1334" t="s">
        <v>43167</v>
      </c>
      <c r="P1334">
        <v>0</v>
      </c>
      <c r="Q1334">
        <v>0</v>
      </c>
      <c r="R1334" t="s">
        <v>43169</v>
      </c>
      <c r="S1334" t="s">
        <v>43291</v>
      </c>
      <c r="T1334" t="s">
        <v>44743</v>
      </c>
      <c r="U1334" t="s">
        <v>46272</v>
      </c>
      <c r="W1334" t="s">
        <v>39704</v>
      </c>
      <c r="X1334" t="s">
        <v>43170</v>
      </c>
    </row>
    <row r="1335" spans="1:24">
      <c r="A1335">
        <f>HYPERLINK("https://www.philgeps.gov.ph/GEPSNONPILOT/Tender/SplashBidNoticeAbstractUI.aspx?menuIndex=3&amp;refID=7087502&amp;Result=3","7087502")</f>
        <v>0</v>
      </c>
      <c r="B1335" t="s">
        <v>476</v>
      </c>
      <c r="C1335" t="s">
        <v>4704</v>
      </c>
      <c r="D1335" t="s">
        <v>17442</v>
      </c>
      <c r="E1335" t="s">
        <v>18665</v>
      </c>
      <c r="F1335" t="s">
        <v>30052</v>
      </c>
      <c r="G1335" t="s">
        <v>30059</v>
      </c>
      <c r="H1335" t="s">
        <v>15498</v>
      </c>
      <c r="I1335" t="s">
        <v>30084</v>
      </c>
      <c r="J1335" t="s">
        <v>30402</v>
      </c>
      <c r="K1335" t="s">
        <v>39019</v>
      </c>
      <c r="M1335" t="s">
        <v>39777</v>
      </c>
      <c r="N1335" t="s">
        <v>43166</v>
      </c>
      <c r="O1335" t="s">
        <v>43167</v>
      </c>
      <c r="P1335">
        <v>0</v>
      </c>
      <c r="Q1335">
        <v>2</v>
      </c>
      <c r="R1335" t="s">
        <v>43169</v>
      </c>
      <c r="S1335" t="s">
        <v>43291</v>
      </c>
      <c r="T1335" t="s">
        <v>44777</v>
      </c>
      <c r="U1335" t="s">
        <v>46300</v>
      </c>
      <c r="W1335" t="s">
        <v>58602</v>
      </c>
      <c r="X1335" t="s">
        <v>43170</v>
      </c>
    </row>
    <row r="1336" spans="1:24">
      <c r="A1336">
        <f>HYPERLINK("https://www.philgeps.gov.ph/GEPSNONPILOT/Tender/SplashBidNoticeAbstractUI.aspx?menuIndex=3&amp;refID=7087481&amp;Result=3","7087481")</f>
        <v>0</v>
      </c>
      <c r="B1336" t="s">
        <v>563</v>
      </c>
      <c r="C1336" t="s">
        <v>4705</v>
      </c>
      <c r="D1336" t="s">
        <v>17484</v>
      </c>
      <c r="E1336" t="s">
        <v>18654</v>
      </c>
      <c r="F1336" t="s">
        <v>30052</v>
      </c>
      <c r="G1336" t="s">
        <v>30061</v>
      </c>
      <c r="H1336" t="s">
        <v>15498</v>
      </c>
      <c r="I1336" t="s">
        <v>4650</v>
      </c>
      <c r="J1336" t="s">
        <v>31116</v>
      </c>
      <c r="K1336" t="s">
        <v>39018</v>
      </c>
      <c r="M1336" t="s">
        <v>39865</v>
      </c>
      <c r="N1336" t="s">
        <v>43166</v>
      </c>
      <c r="O1336" t="s">
        <v>43167</v>
      </c>
      <c r="P1336">
        <v>0</v>
      </c>
      <c r="Q1336">
        <v>1</v>
      </c>
      <c r="R1336" t="s">
        <v>43169</v>
      </c>
      <c r="S1336" t="s">
        <v>43291</v>
      </c>
      <c r="T1336" t="s">
        <v>44735</v>
      </c>
      <c r="U1336" t="s">
        <v>46301</v>
      </c>
      <c r="W1336" t="s">
        <v>39865</v>
      </c>
      <c r="X1336" t="s">
        <v>43170</v>
      </c>
    </row>
    <row r="1337" spans="1:24">
      <c r="A1337">
        <f>HYPERLINK("https://www.philgeps.gov.ph/GEPSNONPILOT/Tender/SplashBidNoticeAbstractUI.aspx?menuIndex=3&amp;refID=7087501&amp;Result=3","7087501")</f>
        <v>0</v>
      </c>
      <c r="B1337" t="s">
        <v>564</v>
      </c>
      <c r="C1337" t="s">
        <v>4706</v>
      </c>
      <c r="D1337" t="s">
        <v>17417</v>
      </c>
      <c r="E1337" t="s">
        <v>18666</v>
      </c>
      <c r="F1337" t="s">
        <v>30052</v>
      </c>
      <c r="G1337" t="s">
        <v>30058</v>
      </c>
      <c r="H1337" t="s">
        <v>30067</v>
      </c>
      <c r="I1337" t="s">
        <v>3693</v>
      </c>
      <c r="J1337" t="s">
        <v>31166</v>
      </c>
      <c r="K1337" t="s">
        <v>39073</v>
      </c>
      <c r="M1337" t="s">
        <v>39866</v>
      </c>
      <c r="N1337" t="s">
        <v>43166</v>
      </c>
      <c r="O1337" t="s">
        <v>43167</v>
      </c>
      <c r="P1337">
        <v>0</v>
      </c>
      <c r="Q1337">
        <v>0</v>
      </c>
      <c r="R1337" t="s">
        <v>43169</v>
      </c>
      <c r="S1337" t="s">
        <v>43291</v>
      </c>
      <c r="T1337" t="s">
        <v>44793</v>
      </c>
      <c r="U1337" t="s">
        <v>46302</v>
      </c>
      <c r="W1337" t="s">
        <v>39866</v>
      </c>
      <c r="X1337" t="s">
        <v>43170</v>
      </c>
    </row>
    <row r="1338" spans="1:24">
      <c r="A1338">
        <f>HYPERLINK("https://www.philgeps.gov.ph/GEPSNONPILOT/Tender/SplashBidNoticeAbstractUI.aspx?menuIndex=3&amp;refID=7087500&amp;Result=3","7087500")</f>
        <v>0</v>
      </c>
      <c r="B1338" t="s">
        <v>476</v>
      </c>
      <c r="C1338" t="s">
        <v>4707</v>
      </c>
      <c r="D1338" t="s">
        <v>17442</v>
      </c>
      <c r="E1338" t="s">
        <v>18667</v>
      </c>
      <c r="F1338" t="s">
        <v>30052</v>
      </c>
      <c r="G1338" t="s">
        <v>30059</v>
      </c>
      <c r="H1338" t="s">
        <v>15498</v>
      </c>
      <c r="I1338" t="s">
        <v>3852</v>
      </c>
      <c r="J1338" t="s">
        <v>31167</v>
      </c>
      <c r="K1338" t="s">
        <v>39019</v>
      </c>
      <c r="M1338" t="s">
        <v>39777</v>
      </c>
      <c r="N1338" t="s">
        <v>43166</v>
      </c>
      <c r="O1338" t="s">
        <v>43167</v>
      </c>
      <c r="P1338">
        <v>0</v>
      </c>
      <c r="Q1338">
        <v>0</v>
      </c>
      <c r="R1338" t="s">
        <v>43169</v>
      </c>
      <c r="S1338" t="s">
        <v>43291</v>
      </c>
      <c r="T1338" t="s">
        <v>44777</v>
      </c>
      <c r="U1338" t="s">
        <v>46303</v>
      </c>
      <c r="W1338" t="s">
        <v>58602</v>
      </c>
      <c r="X1338" t="s">
        <v>43170</v>
      </c>
    </row>
    <row r="1339" spans="1:24">
      <c r="A1339">
        <f>HYPERLINK("https://www.philgeps.gov.ph/GEPSNONPILOT/Tender/SplashBidNoticeAbstractUI.aspx?menuIndex=3&amp;refID=7087499&amp;Result=3","7087499")</f>
        <v>0</v>
      </c>
      <c r="B1339" t="s">
        <v>405</v>
      </c>
      <c r="C1339" t="s">
        <v>4708</v>
      </c>
      <c r="E1339" t="s">
        <v>18668</v>
      </c>
      <c r="F1339" t="s">
        <v>30052</v>
      </c>
      <c r="G1339" t="s">
        <v>30059</v>
      </c>
      <c r="H1339" t="s">
        <v>15498</v>
      </c>
      <c r="I1339" t="s">
        <v>9238</v>
      </c>
      <c r="J1339" t="s">
        <v>31168</v>
      </c>
      <c r="K1339" t="s">
        <v>39025</v>
      </c>
      <c r="M1339" t="s">
        <v>39704</v>
      </c>
      <c r="N1339" t="s">
        <v>43166</v>
      </c>
      <c r="O1339" t="s">
        <v>43167</v>
      </c>
      <c r="P1339">
        <v>0</v>
      </c>
      <c r="Q1339">
        <v>5</v>
      </c>
      <c r="R1339" t="s">
        <v>43169</v>
      </c>
      <c r="S1339" t="s">
        <v>43291</v>
      </c>
      <c r="T1339" t="s">
        <v>44743</v>
      </c>
      <c r="U1339" t="s">
        <v>46272</v>
      </c>
      <c r="W1339" t="s">
        <v>39704</v>
      </c>
      <c r="X1339" t="s">
        <v>43170</v>
      </c>
    </row>
    <row r="1340" spans="1:24">
      <c r="A1340">
        <f>HYPERLINK("https://www.philgeps.gov.ph/GEPSNONPILOT/Tender/SplashBidNoticeAbstractUI.aspx?menuIndex=3&amp;refID=7087496&amp;Result=3","7087496")</f>
        <v>0</v>
      </c>
      <c r="B1340" t="s">
        <v>557</v>
      </c>
      <c r="C1340" t="s">
        <v>4709</v>
      </c>
      <c r="D1340" t="s">
        <v>17450</v>
      </c>
      <c r="E1340" t="s">
        <v>18669</v>
      </c>
      <c r="F1340" t="s">
        <v>30052</v>
      </c>
      <c r="G1340" t="s">
        <v>30059</v>
      </c>
      <c r="H1340" t="s">
        <v>15498</v>
      </c>
      <c r="I1340" t="s">
        <v>30134</v>
      </c>
      <c r="J1340" t="s">
        <v>31162</v>
      </c>
      <c r="K1340" t="s">
        <v>39025</v>
      </c>
      <c r="M1340" t="s">
        <v>39859</v>
      </c>
      <c r="N1340" t="s">
        <v>43166</v>
      </c>
      <c r="O1340" t="s">
        <v>43167</v>
      </c>
      <c r="P1340">
        <v>0</v>
      </c>
      <c r="Q1340">
        <v>0</v>
      </c>
      <c r="R1340" t="s">
        <v>43169</v>
      </c>
      <c r="S1340" t="s">
        <v>43291</v>
      </c>
      <c r="T1340" t="s">
        <v>44841</v>
      </c>
      <c r="U1340" t="s">
        <v>46304</v>
      </c>
      <c r="V1340" t="s">
        <v>56973</v>
      </c>
      <c r="W1340" t="s">
        <v>39859</v>
      </c>
      <c r="X1340" t="s">
        <v>43170</v>
      </c>
    </row>
    <row r="1341" spans="1:24">
      <c r="A1341">
        <f>HYPERLINK("https://www.philgeps.gov.ph/GEPSNONPILOT/Tender/SplashBidNoticeAbstractUI.aspx?menuIndex=3&amp;refID=7087494&amp;Result=3","7087494")</f>
        <v>0</v>
      </c>
      <c r="B1341" t="s">
        <v>558</v>
      </c>
      <c r="C1341" t="s">
        <v>4710</v>
      </c>
      <c r="D1341" t="s">
        <v>17492</v>
      </c>
      <c r="E1341" t="s">
        <v>18670</v>
      </c>
      <c r="F1341" t="s">
        <v>30052</v>
      </c>
      <c r="G1341" t="s">
        <v>30058</v>
      </c>
      <c r="H1341" t="s">
        <v>30067</v>
      </c>
      <c r="I1341" t="s">
        <v>3693</v>
      </c>
      <c r="J1341" t="s">
        <v>31169</v>
      </c>
      <c r="K1341" t="s">
        <v>39080</v>
      </c>
      <c r="M1341" t="s">
        <v>39860</v>
      </c>
      <c r="N1341" t="s">
        <v>43166</v>
      </c>
      <c r="O1341" t="s">
        <v>43167</v>
      </c>
      <c r="P1341">
        <v>0</v>
      </c>
      <c r="Q1341">
        <v>0</v>
      </c>
      <c r="R1341" t="s">
        <v>43169</v>
      </c>
      <c r="S1341" t="s">
        <v>43291</v>
      </c>
      <c r="T1341" t="s">
        <v>44842</v>
      </c>
      <c r="U1341" t="s">
        <v>46305</v>
      </c>
      <c r="W1341" t="s">
        <v>39860</v>
      </c>
      <c r="X1341" t="s">
        <v>43170</v>
      </c>
    </row>
    <row r="1342" spans="1:24">
      <c r="A1342">
        <f>HYPERLINK("https://www.philgeps.gov.ph/GEPSNONPILOT/Tender/SplashBidNoticeAbstractUI.aspx?menuIndex=3&amp;refID=7087493&amp;Result=3","7087493")</f>
        <v>0</v>
      </c>
      <c r="B1342" t="s">
        <v>405</v>
      </c>
      <c r="C1342" t="s">
        <v>4711</v>
      </c>
      <c r="E1342" t="s">
        <v>18671</v>
      </c>
      <c r="F1342" t="s">
        <v>30052</v>
      </c>
      <c r="G1342" t="s">
        <v>30059</v>
      </c>
      <c r="H1342" t="s">
        <v>15498</v>
      </c>
      <c r="I1342" t="s">
        <v>30151</v>
      </c>
      <c r="J1342" t="s">
        <v>30218</v>
      </c>
      <c r="K1342" t="s">
        <v>39025</v>
      </c>
      <c r="M1342" t="s">
        <v>39704</v>
      </c>
      <c r="N1342" t="s">
        <v>43166</v>
      </c>
      <c r="O1342" t="s">
        <v>43167</v>
      </c>
      <c r="P1342">
        <v>0</v>
      </c>
      <c r="Q1342">
        <v>4</v>
      </c>
      <c r="R1342" t="s">
        <v>43169</v>
      </c>
      <c r="S1342" t="s">
        <v>43291</v>
      </c>
      <c r="T1342" t="s">
        <v>44743</v>
      </c>
      <c r="U1342" t="s">
        <v>46272</v>
      </c>
      <c r="W1342" t="s">
        <v>39704</v>
      </c>
      <c r="X1342" t="s">
        <v>43170</v>
      </c>
    </row>
    <row r="1343" spans="1:24">
      <c r="A1343">
        <f>HYPERLINK("https://www.philgeps.gov.ph/GEPSNONPILOT/Tender/SplashBidNoticeAbstractUI.aspx?menuIndex=3&amp;refID=7087505&amp;Result=3","7087505")</f>
        <v>0</v>
      </c>
      <c r="B1343" t="s">
        <v>405</v>
      </c>
      <c r="C1343" t="s">
        <v>4712</v>
      </c>
      <c r="E1343" t="s">
        <v>18672</v>
      </c>
      <c r="F1343" t="s">
        <v>30052</v>
      </c>
      <c r="G1343" t="s">
        <v>30059</v>
      </c>
      <c r="H1343" t="s">
        <v>15498</v>
      </c>
      <c r="I1343" t="s">
        <v>30071</v>
      </c>
      <c r="J1343" t="s">
        <v>31170</v>
      </c>
      <c r="K1343" t="s">
        <v>39025</v>
      </c>
      <c r="M1343" t="s">
        <v>39704</v>
      </c>
      <c r="N1343" t="s">
        <v>43166</v>
      </c>
      <c r="O1343" t="s">
        <v>43167</v>
      </c>
      <c r="P1343">
        <v>0</v>
      </c>
      <c r="Q1343">
        <v>0</v>
      </c>
      <c r="R1343" t="s">
        <v>43169</v>
      </c>
      <c r="S1343" t="s">
        <v>43291</v>
      </c>
      <c r="T1343" t="s">
        <v>44743</v>
      </c>
      <c r="U1343" t="s">
        <v>46272</v>
      </c>
      <c r="W1343" t="s">
        <v>39704</v>
      </c>
      <c r="X1343" t="s">
        <v>43170</v>
      </c>
    </row>
    <row r="1344" spans="1:24">
      <c r="A1344">
        <f>HYPERLINK("https://www.philgeps.gov.ph/GEPSNONPILOT/Tender/SplashBidNoticeAbstractUI.aspx?menuIndex=3&amp;refID=7087491&amp;Result=3","7087491")</f>
        <v>0</v>
      </c>
      <c r="B1344" t="s">
        <v>405</v>
      </c>
      <c r="C1344" t="s">
        <v>4713</v>
      </c>
      <c r="E1344" t="s">
        <v>18673</v>
      </c>
      <c r="F1344" t="s">
        <v>30052</v>
      </c>
      <c r="G1344" t="s">
        <v>30059</v>
      </c>
      <c r="H1344" t="s">
        <v>15498</v>
      </c>
      <c r="I1344" t="s">
        <v>9238</v>
      </c>
      <c r="J1344" t="s">
        <v>30586</v>
      </c>
      <c r="K1344" t="s">
        <v>39025</v>
      </c>
      <c r="M1344" t="s">
        <v>39704</v>
      </c>
      <c r="N1344" t="s">
        <v>43166</v>
      </c>
      <c r="O1344" t="s">
        <v>43167</v>
      </c>
      <c r="P1344">
        <v>0</v>
      </c>
      <c r="Q1344">
        <v>4</v>
      </c>
      <c r="R1344" t="s">
        <v>43169</v>
      </c>
      <c r="S1344" t="s">
        <v>43291</v>
      </c>
      <c r="T1344" t="s">
        <v>44743</v>
      </c>
      <c r="U1344" t="s">
        <v>46272</v>
      </c>
      <c r="W1344" t="s">
        <v>39704</v>
      </c>
      <c r="X1344" t="s">
        <v>43170</v>
      </c>
    </row>
    <row r="1345" spans="1:24">
      <c r="A1345">
        <f>HYPERLINK("https://www.philgeps.gov.ph/GEPSNONPILOT/Tender/SplashBidNoticeAbstractUI.aspx?menuIndex=3&amp;refID=7087498&amp;Result=3","7087498")</f>
        <v>0</v>
      </c>
      <c r="B1345" t="s">
        <v>476</v>
      </c>
      <c r="C1345" t="s">
        <v>4714</v>
      </c>
      <c r="D1345" t="s">
        <v>17442</v>
      </c>
      <c r="E1345" t="s">
        <v>18674</v>
      </c>
      <c r="F1345" t="s">
        <v>30052</v>
      </c>
      <c r="G1345" t="s">
        <v>30059</v>
      </c>
      <c r="H1345" t="s">
        <v>15498</v>
      </c>
      <c r="I1345" t="s">
        <v>30076</v>
      </c>
      <c r="J1345" t="s">
        <v>31171</v>
      </c>
      <c r="K1345" t="s">
        <v>39019</v>
      </c>
      <c r="M1345" t="s">
        <v>39777</v>
      </c>
      <c r="N1345" t="s">
        <v>43166</v>
      </c>
      <c r="O1345" t="s">
        <v>43167</v>
      </c>
      <c r="P1345">
        <v>0</v>
      </c>
      <c r="Q1345">
        <v>1</v>
      </c>
      <c r="R1345" t="s">
        <v>43169</v>
      </c>
      <c r="S1345" t="s">
        <v>43291</v>
      </c>
      <c r="T1345" t="s">
        <v>44777</v>
      </c>
      <c r="U1345" t="s">
        <v>46306</v>
      </c>
      <c r="W1345" t="s">
        <v>58602</v>
      </c>
      <c r="X1345" t="s">
        <v>43170</v>
      </c>
    </row>
    <row r="1346" spans="1:24">
      <c r="A1346">
        <f>HYPERLINK("https://www.philgeps.gov.ph/GEPSNONPILOT/Tender/SplashBidNoticeAbstractUI.aspx?menuIndex=3&amp;refID=7087495&amp;Result=3","7087495")</f>
        <v>0</v>
      </c>
      <c r="B1346" t="s">
        <v>476</v>
      </c>
      <c r="C1346" t="s">
        <v>4715</v>
      </c>
      <c r="D1346" t="s">
        <v>17442</v>
      </c>
      <c r="E1346" t="s">
        <v>18675</v>
      </c>
      <c r="F1346" t="s">
        <v>30052</v>
      </c>
      <c r="G1346" t="s">
        <v>30059</v>
      </c>
      <c r="H1346" t="s">
        <v>15498</v>
      </c>
      <c r="I1346" t="s">
        <v>3852</v>
      </c>
      <c r="J1346" t="s">
        <v>31172</v>
      </c>
      <c r="K1346" t="s">
        <v>39019</v>
      </c>
      <c r="M1346" t="s">
        <v>39777</v>
      </c>
      <c r="N1346" t="s">
        <v>43166</v>
      </c>
      <c r="O1346" t="s">
        <v>43167</v>
      </c>
      <c r="P1346">
        <v>0</v>
      </c>
      <c r="Q1346">
        <v>0</v>
      </c>
      <c r="R1346" t="s">
        <v>43169</v>
      </c>
      <c r="S1346" t="s">
        <v>43291</v>
      </c>
      <c r="T1346" t="s">
        <v>44777</v>
      </c>
      <c r="U1346" t="s">
        <v>46307</v>
      </c>
      <c r="W1346" t="s">
        <v>58602</v>
      </c>
      <c r="X1346" t="s">
        <v>43170</v>
      </c>
    </row>
    <row r="1347" spans="1:24">
      <c r="A1347">
        <f>HYPERLINK("https://www.philgeps.gov.ph/GEPSNONPILOT/Tender/SplashBidNoticeAbstractUI.aspx?menuIndex=3&amp;refID=7087489&amp;Result=3","7087489")</f>
        <v>0</v>
      </c>
      <c r="B1347" t="s">
        <v>476</v>
      </c>
      <c r="C1347" t="s">
        <v>4716</v>
      </c>
      <c r="D1347" t="s">
        <v>17442</v>
      </c>
      <c r="E1347" t="s">
        <v>18676</v>
      </c>
      <c r="F1347" t="s">
        <v>30052</v>
      </c>
      <c r="G1347" t="s">
        <v>30059</v>
      </c>
      <c r="H1347" t="s">
        <v>15498</v>
      </c>
      <c r="I1347" t="s">
        <v>3606</v>
      </c>
      <c r="J1347" t="s">
        <v>30453</v>
      </c>
      <c r="K1347" t="s">
        <v>39019</v>
      </c>
      <c r="M1347" t="s">
        <v>39777</v>
      </c>
      <c r="N1347" t="s">
        <v>43166</v>
      </c>
      <c r="O1347" t="s">
        <v>43167</v>
      </c>
      <c r="P1347">
        <v>0</v>
      </c>
      <c r="Q1347">
        <v>0</v>
      </c>
      <c r="R1347" t="s">
        <v>43169</v>
      </c>
      <c r="S1347" t="s">
        <v>43291</v>
      </c>
      <c r="T1347" t="s">
        <v>44777</v>
      </c>
      <c r="U1347" t="s">
        <v>46308</v>
      </c>
      <c r="W1347" t="s">
        <v>58602</v>
      </c>
      <c r="X1347" t="s">
        <v>43170</v>
      </c>
    </row>
    <row r="1348" spans="1:24">
      <c r="A1348">
        <f>HYPERLINK("https://www.philgeps.gov.ph/GEPSNONPILOT/Tender/SplashBidNoticeAbstractUI.aspx?menuIndex=3&amp;refID=7087487&amp;Result=3","7087487")</f>
        <v>0</v>
      </c>
      <c r="B1348" t="s">
        <v>476</v>
      </c>
      <c r="C1348" t="s">
        <v>4717</v>
      </c>
      <c r="D1348" t="s">
        <v>17442</v>
      </c>
      <c r="E1348" t="s">
        <v>18677</v>
      </c>
      <c r="F1348" t="s">
        <v>30052</v>
      </c>
      <c r="G1348" t="s">
        <v>30059</v>
      </c>
      <c r="H1348" t="s">
        <v>15498</v>
      </c>
      <c r="I1348" t="s">
        <v>30130</v>
      </c>
      <c r="J1348" t="s">
        <v>30337</v>
      </c>
      <c r="K1348" t="s">
        <v>39019</v>
      </c>
      <c r="M1348" t="s">
        <v>39777</v>
      </c>
      <c r="N1348" t="s">
        <v>43166</v>
      </c>
      <c r="O1348" t="s">
        <v>43167</v>
      </c>
      <c r="P1348">
        <v>0</v>
      </c>
      <c r="Q1348">
        <v>1</v>
      </c>
      <c r="R1348" t="s">
        <v>43169</v>
      </c>
      <c r="S1348" t="s">
        <v>43291</v>
      </c>
      <c r="T1348" t="s">
        <v>44777</v>
      </c>
      <c r="U1348" t="s">
        <v>46309</v>
      </c>
      <c r="W1348" t="s">
        <v>58602</v>
      </c>
      <c r="X1348" t="s">
        <v>43170</v>
      </c>
    </row>
    <row r="1349" spans="1:24">
      <c r="A1349">
        <f>HYPERLINK("https://www.philgeps.gov.ph/GEPSNONPILOT/Tender/SplashBidNoticeAbstractUI.aspx?menuIndex=3&amp;refID=7087472&amp;Result=3","7087472")</f>
        <v>0</v>
      </c>
      <c r="B1349" t="s">
        <v>562</v>
      </c>
      <c r="C1349" t="s">
        <v>4718</v>
      </c>
      <c r="D1349" t="s">
        <v>17490</v>
      </c>
      <c r="E1349" t="s">
        <v>18678</v>
      </c>
      <c r="F1349" t="s">
        <v>30052</v>
      </c>
      <c r="G1349" t="s">
        <v>30058</v>
      </c>
      <c r="H1349" t="s">
        <v>30067</v>
      </c>
      <c r="I1349" t="s">
        <v>3693</v>
      </c>
      <c r="J1349" t="s">
        <v>31173</v>
      </c>
      <c r="K1349" t="s">
        <v>39081</v>
      </c>
      <c r="M1349" t="s">
        <v>39864</v>
      </c>
      <c r="N1349" t="s">
        <v>43166</v>
      </c>
      <c r="O1349" t="s">
        <v>43167</v>
      </c>
      <c r="P1349">
        <v>0</v>
      </c>
      <c r="Q1349">
        <v>0</v>
      </c>
      <c r="R1349" t="s">
        <v>43169</v>
      </c>
      <c r="S1349" t="s">
        <v>43291</v>
      </c>
      <c r="T1349" t="s">
        <v>44842</v>
      </c>
      <c r="U1349" t="s">
        <v>46287</v>
      </c>
      <c r="W1349" t="s">
        <v>39864</v>
      </c>
      <c r="X1349" t="s">
        <v>43170</v>
      </c>
    </row>
    <row r="1350" spans="1:24">
      <c r="A1350">
        <f>HYPERLINK("https://www.philgeps.gov.ph/GEPSNONPILOT/Tender/SplashBidNoticeAbstractUI.aspx?menuIndex=3&amp;refID=7087469&amp;Result=3","7087469")</f>
        <v>0</v>
      </c>
      <c r="B1350" t="s">
        <v>405</v>
      </c>
      <c r="C1350" t="s">
        <v>4719</v>
      </c>
      <c r="E1350" t="s">
        <v>18679</v>
      </c>
      <c r="F1350" t="s">
        <v>30052</v>
      </c>
      <c r="G1350" t="s">
        <v>30059</v>
      </c>
      <c r="H1350" t="s">
        <v>15498</v>
      </c>
      <c r="I1350" t="s">
        <v>9238</v>
      </c>
      <c r="J1350" t="s">
        <v>30763</v>
      </c>
      <c r="K1350" t="s">
        <v>39025</v>
      </c>
      <c r="M1350" t="s">
        <v>39704</v>
      </c>
      <c r="N1350" t="s">
        <v>43166</v>
      </c>
      <c r="O1350" t="s">
        <v>43167</v>
      </c>
      <c r="P1350">
        <v>0</v>
      </c>
      <c r="Q1350">
        <v>4</v>
      </c>
      <c r="R1350" t="s">
        <v>43169</v>
      </c>
      <c r="S1350" t="s">
        <v>43291</v>
      </c>
      <c r="T1350" t="s">
        <v>44743</v>
      </c>
      <c r="U1350" t="s">
        <v>46272</v>
      </c>
      <c r="W1350" t="s">
        <v>39704</v>
      </c>
      <c r="X1350" t="s">
        <v>43170</v>
      </c>
    </row>
    <row r="1351" spans="1:24">
      <c r="A1351">
        <f>HYPERLINK("https://www.philgeps.gov.ph/GEPSNONPILOT/Tender/SplashBidNoticeAbstractUI.aspx?menuIndex=3&amp;refID=7087471&amp;Result=3","7087471")</f>
        <v>0</v>
      </c>
      <c r="B1351" t="s">
        <v>405</v>
      </c>
      <c r="C1351" t="s">
        <v>4720</v>
      </c>
      <c r="E1351" t="s">
        <v>18680</v>
      </c>
      <c r="F1351" t="s">
        <v>30052</v>
      </c>
      <c r="G1351" t="s">
        <v>30059</v>
      </c>
      <c r="H1351" t="s">
        <v>15498</v>
      </c>
      <c r="I1351" t="s">
        <v>9238</v>
      </c>
      <c r="J1351" t="s">
        <v>31174</v>
      </c>
      <c r="K1351" t="s">
        <v>39025</v>
      </c>
      <c r="M1351" t="s">
        <v>39704</v>
      </c>
      <c r="N1351" t="s">
        <v>43166</v>
      </c>
      <c r="O1351" t="s">
        <v>43167</v>
      </c>
      <c r="P1351">
        <v>0</v>
      </c>
      <c r="Q1351">
        <v>2</v>
      </c>
      <c r="R1351" t="s">
        <v>43169</v>
      </c>
      <c r="S1351" t="s">
        <v>43291</v>
      </c>
      <c r="T1351" t="s">
        <v>44743</v>
      </c>
      <c r="U1351" t="s">
        <v>46272</v>
      </c>
      <c r="W1351" t="s">
        <v>39704</v>
      </c>
      <c r="X1351" t="s">
        <v>43170</v>
      </c>
    </row>
    <row r="1352" spans="1:24">
      <c r="A1352">
        <f>HYPERLINK("https://www.philgeps.gov.ph/GEPSNONPILOT/Tender/SplashBidNoticeAbstractUI.aspx?menuIndex=3&amp;refID=7087492&amp;Result=3","7087492")</f>
        <v>0</v>
      </c>
      <c r="B1352" t="s">
        <v>476</v>
      </c>
      <c r="C1352" t="s">
        <v>4721</v>
      </c>
      <c r="D1352" t="s">
        <v>17442</v>
      </c>
      <c r="E1352" t="s">
        <v>18681</v>
      </c>
      <c r="F1352" t="s">
        <v>30052</v>
      </c>
      <c r="G1352" t="s">
        <v>30059</v>
      </c>
      <c r="H1352" t="s">
        <v>15498</v>
      </c>
      <c r="I1352" t="s">
        <v>3736</v>
      </c>
      <c r="J1352" t="s">
        <v>31175</v>
      </c>
      <c r="K1352" t="s">
        <v>39019</v>
      </c>
      <c r="M1352" t="s">
        <v>39777</v>
      </c>
      <c r="N1352" t="s">
        <v>43166</v>
      </c>
      <c r="O1352" t="s">
        <v>43167</v>
      </c>
      <c r="P1352">
        <v>0</v>
      </c>
      <c r="Q1352">
        <v>0</v>
      </c>
      <c r="R1352" t="s">
        <v>43169</v>
      </c>
      <c r="S1352" t="s">
        <v>43291</v>
      </c>
      <c r="T1352" t="s">
        <v>44777</v>
      </c>
      <c r="U1352" t="s">
        <v>46310</v>
      </c>
      <c r="W1352" t="s">
        <v>58602</v>
      </c>
      <c r="X1352" t="s">
        <v>43170</v>
      </c>
    </row>
    <row r="1353" spans="1:24">
      <c r="A1353">
        <f>HYPERLINK("https://www.philgeps.gov.ph/GEPSNONPILOT/Tender/SplashBidNoticeAbstractUI.aspx?menuIndex=3&amp;refID=7087490&amp;Result=3","7087490")</f>
        <v>0</v>
      </c>
      <c r="B1353" t="s">
        <v>476</v>
      </c>
      <c r="C1353" t="s">
        <v>4722</v>
      </c>
      <c r="D1353" t="s">
        <v>17442</v>
      </c>
      <c r="E1353" t="s">
        <v>18682</v>
      </c>
      <c r="F1353" t="s">
        <v>30052</v>
      </c>
      <c r="G1353" t="s">
        <v>30059</v>
      </c>
      <c r="H1353" t="s">
        <v>15498</v>
      </c>
      <c r="I1353" t="s">
        <v>30070</v>
      </c>
      <c r="J1353" t="s">
        <v>31176</v>
      </c>
      <c r="K1353" t="s">
        <v>39019</v>
      </c>
      <c r="M1353" t="s">
        <v>39777</v>
      </c>
      <c r="N1353" t="s">
        <v>43166</v>
      </c>
      <c r="O1353" t="s">
        <v>43167</v>
      </c>
      <c r="P1353">
        <v>0</v>
      </c>
      <c r="Q1353">
        <v>0</v>
      </c>
      <c r="R1353" t="s">
        <v>43169</v>
      </c>
      <c r="S1353" t="s">
        <v>43291</v>
      </c>
      <c r="T1353" t="s">
        <v>44777</v>
      </c>
      <c r="U1353" t="s">
        <v>46311</v>
      </c>
      <c r="W1353" t="s">
        <v>58602</v>
      </c>
      <c r="X1353" t="s">
        <v>43170</v>
      </c>
    </row>
    <row r="1354" spans="1:24">
      <c r="A1354">
        <f>HYPERLINK("https://www.philgeps.gov.ph/GEPSNONPILOT/Tender/SplashBidNoticeAbstractUI.aspx?menuIndex=3&amp;refID=7087488&amp;Result=3","7087488")</f>
        <v>0</v>
      </c>
      <c r="B1354" t="s">
        <v>405</v>
      </c>
      <c r="C1354" t="s">
        <v>4723</v>
      </c>
      <c r="E1354" t="s">
        <v>18683</v>
      </c>
      <c r="F1354" t="s">
        <v>30052</v>
      </c>
      <c r="G1354" t="s">
        <v>30059</v>
      </c>
      <c r="H1354" t="s">
        <v>15498</v>
      </c>
      <c r="I1354" t="s">
        <v>30116</v>
      </c>
      <c r="J1354" t="s">
        <v>30230</v>
      </c>
      <c r="K1354" t="s">
        <v>39025</v>
      </c>
      <c r="M1354" t="s">
        <v>39704</v>
      </c>
      <c r="N1354" t="s">
        <v>43166</v>
      </c>
      <c r="O1354" t="s">
        <v>43167</v>
      </c>
      <c r="P1354">
        <v>0</v>
      </c>
      <c r="Q1354">
        <v>1</v>
      </c>
      <c r="R1354" t="s">
        <v>43169</v>
      </c>
      <c r="S1354" t="s">
        <v>43291</v>
      </c>
      <c r="T1354" t="s">
        <v>44743</v>
      </c>
      <c r="U1354" t="s">
        <v>46272</v>
      </c>
      <c r="W1354" t="s">
        <v>39704</v>
      </c>
      <c r="X1354" t="s">
        <v>43170</v>
      </c>
    </row>
    <row r="1355" spans="1:24">
      <c r="A1355">
        <f>HYPERLINK("https://www.philgeps.gov.ph/GEPSNONPILOT/Tender/SplashBidNoticeAbstractUI.aspx?menuIndex=3&amp;refID=7087470&amp;Result=3","7087470")</f>
        <v>0</v>
      </c>
      <c r="B1355" t="s">
        <v>563</v>
      </c>
      <c r="C1355" t="s">
        <v>4696</v>
      </c>
      <c r="D1355" t="s">
        <v>17484</v>
      </c>
      <c r="E1355" t="s">
        <v>18654</v>
      </c>
      <c r="F1355" t="s">
        <v>30052</v>
      </c>
      <c r="G1355" t="s">
        <v>30061</v>
      </c>
      <c r="H1355" t="s">
        <v>15498</v>
      </c>
      <c r="I1355" t="s">
        <v>4598</v>
      </c>
      <c r="J1355" t="s">
        <v>30931</v>
      </c>
      <c r="K1355" t="s">
        <v>39018</v>
      </c>
      <c r="M1355" t="s">
        <v>39865</v>
      </c>
      <c r="N1355" t="s">
        <v>43166</v>
      </c>
      <c r="O1355" t="s">
        <v>43167</v>
      </c>
      <c r="P1355">
        <v>0</v>
      </c>
      <c r="Q1355">
        <v>1</v>
      </c>
      <c r="R1355" t="s">
        <v>43169</v>
      </c>
      <c r="S1355" t="s">
        <v>43291</v>
      </c>
      <c r="T1355" t="s">
        <v>44735</v>
      </c>
      <c r="U1355" t="s">
        <v>46312</v>
      </c>
      <c r="W1355" t="s">
        <v>39865</v>
      </c>
      <c r="X1355" t="s">
        <v>43170</v>
      </c>
    </row>
    <row r="1356" spans="1:24">
      <c r="A1356">
        <f>HYPERLINK("https://www.philgeps.gov.ph/GEPSNONPILOT/Tender/SplashBidNoticeAbstractUI.aspx?menuIndex=3&amp;refID=7087468&amp;Result=3","7087468")</f>
        <v>0</v>
      </c>
      <c r="B1356" t="s">
        <v>528</v>
      </c>
      <c r="C1356" t="s">
        <v>4724</v>
      </c>
      <c r="D1356" t="s">
        <v>17466</v>
      </c>
      <c r="E1356" t="s">
        <v>18584</v>
      </c>
      <c r="F1356" t="s">
        <v>30052</v>
      </c>
      <c r="G1356" t="s">
        <v>30059</v>
      </c>
      <c r="H1356" t="s">
        <v>15498</v>
      </c>
      <c r="I1356" t="s">
        <v>30070</v>
      </c>
      <c r="J1356" t="s">
        <v>31177</v>
      </c>
      <c r="K1356" t="s">
        <v>39039</v>
      </c>
      <c r="M1356" t="s">
        <v>39830</v>
      </c>
      <c r="N1356" t="s">
        <v>43166</v>
      </c>
      <c r="O1356" t="s">
        <v>43167</v>
      </c>
      <c r="P1356">
        <v>0</v>
      </c>
      <c r="Q1356">
        <v>3</v>
      </c>
      <c r="R1356" t="s">
        <v>43169</v>
      </c>
      <c r="S1356" t="s">
        <v>43291</v>
      </c>
      <c r="T1356" t="s">
        <v>44777</v>
      </c>
      <c r="U1356" t="s">
        <v>46313</v>
      </c>
      <c r="W1356" t="s">
        <v>39830</v>
      </c>
      <c r="X1356" t="s">
        <v>43170</v>
      </c>
    </row>
    <row r="1357" spans="1:24">
      <c r="A1357">
        <f>HYPERLINK("https://www.philgeps.gov.ph/GEPSNONPILOT/Tender/SplashBidNoticeAbstractUI.aspx?menuIndex=3&amp;refID=7087535&amp;Result=3","7087535")</f>
        <v>0</v>
      </c>
      <c r="B1357" t="s">
        <v>405</v>
      </c>
      <c r="C1357" t="s">
        <v>4725</v>
      </c>
      <c r="E1357" t="s">
        <v>18684</v>
      </c>
      <c r="F1357" t="s">
        <v>30052</v>
      </c>
      <c r="G1357" t="s">
        <v>30059</v>
      </c>
      <c r="H1357" t="s">
        <v>15498</v>
      </c>
      <c r="I1357" t="s">
        <v>9238</v>
      </c>
      <c r="J1357" t="s">
        <v>30426</v>
      </c>
      <c r="K1357" t="s">
        <v>39025</v>
      </c>
      <c r="M1357" t="s">
        <v>39704</v>
      </c>
      <c r="N1357" t="s">
        <v>43166</v>
      </c>
      <c r="O1357" t="s">
        <v>43167</v>
      </c>
      <c r="P1357">
        <v>0</v>
      </c>
      <c r="Q1357">
        <v>2</v>
      </c>
      <c r="R1357" t="s">
        <v>43169</v>
      </c>
      <c r="S1357" t="s">
        <v>43291</v>
      </c>
      <c r="T1357" t="s">
        <v>44743</v>
      </c>
      <c r="U1357" t="s">
        <v>46272</v>
      </c>
      <c r="W1357" t="s">
        <v>39704</v>
      </c>
      <c r="X1357" t="s">
        <v>43170</v>
      </c>
    </row>
    <row r="1358" spans="1:24">
      <c r="A1358">
        <f>HYPERLINK("https://www.philgeps.gov.ph/GEPSNONPILOT/Tender/SplashBidNoticeAbstractUI.aspx?menuIndex=3&amp;refID=7087467&amp;Result=3","7087467")</f>
        <v>0</v>
      </c>
      <c r="B1358" t="s">
        <v>563</v>
      </c>
      <c r="C1358" t="s">
        <v>4696</v>
      </c>
      <c r="D1358" t="s">
        <v>17484</v>
      </c>
      <c r="E1358" t="s">
        <v>18654</v>
      </c>
      <c r="F1358" t="s">
        <v>30052</v>
      </c>
      <c r="G1358" t="s">
        <v>30061</v>
      </c>
      <c r="H1358" t="s">
        <v>15498</v>
      </c>
      <c r="I1358" t="s">
        <v>4119</v>
      </c>
      <c r="J1358" t="s">
        <v>30333</v>
      </c>
      <c r="K1358" t="s">
        <v>39018</v>
      </c>
      <c r="M1358" t="s">
        <v>39865</v>
      </c>
      <c r="N1358" t="s">
        <v>43166</v>
      </c>
      <c r="O1358" t="s">
        <v>43167</v>
      </c>
      <c r="P1358">
        <v>0</v>
      </c>
      <c r="Q1358">
        <v>1</v>
      </c>
      <c r="R1358" t="s">
        <v>43169</v>
      </c>
      <c r="S1358" t="s">
        <v>43291</v>
      </c>
      <c r="T1358" t="s">
        <v>44735</v>
      </c>
      <c r="U1358" t="s">
        <v>46314</v>
      </c>
      <c r="W1358" t="s">
        <v>39865</v>
      </c>
      <c r="X1358" t="s">
        <v>43170</v>
      </c>
    </row>
    <row r="1359" spans="1:24">
      <c r="A1359">
        <f>HYPERLINK("https://www.philgeps.gov.ph/GEPSNONPILOT/Tender/SplashBidNoticeAbstractUI.aspx?menuIndex=3&amp;refID=7087534&amp;Result=3","7087534")</f>
        <v>0</v>
      </c>
      <c r="B1359" t="s">
        <v>488</v>
      </c>
      <c r="C1359" t="s">
        <v>4726</v>
      </c>
      <c r="D1359" t="s">
        <v>17432</v>
      </c>
      <c r="E1359" t="s">
        <v>18685</v>
      </c>
      <c r="F1359" t="s">
        <v>30052</v>
      </c>
      <c r="G1359" t="s">
        <v>30059</v>
      </c>
      <c r="H1359" t="s">
        <v>15498</v>
      </c>
      <c r="I1359" t="s">
        <v>30105</v>
      </c>
      <c r="J1359" t="s">
        <v>31178</v>
      </c>
      <c r="K1359" t="s">
        <v>39029</v>
      </c>
      <c r="M1359" t="s">
        <v>39789</v>
      </c>
      <c r="N1359" t="s">
        <v>43166</v>
      </c>
      <c r="O1359" t="s">
        <v>43167</v>
      </c>
      <c r="P1359">
        <v>0</v>
      </c>
      <c r="Q1359">
        <v>1</v>
      </c>
      <c r="R1359" t="s">
        <v>43169</v>
      </c>
      <c r="S1359" t="s">
        <v>43291</v>
      </c>
      <c r="T1359" t="s">
        <v>44681</v>
      </c>
      <c r="U1359" t="s">
        <v>46315</v>
      </c>
      <c r="W1359" t="s">
        <v>39789</v>
      </c>
      <c r="X1359" t="s">
        <v>43170</v>
      </c>
    </row>
    <row r="1360" spans="1:24">
      <c r="A1360">
        <f>HYPERLINK("https://www.philgeps.gov.ph/GEPSNONPILOT/Tender/SplashBidNoticeAbstractUI.aspx?menuIndex=3&amp;refID=7087529&amp;Result=3","7087529")</f>
        <v>0</v>
      </c>
      <c r="B1360" t="s">
        <v>405</v>
      </c>
      <c r="C1360" t="s">
        <v>4727</v>
      </c>
      <c r="E1360" t="s">
        <v>18686</v>
      </c>
      <c r="F1360" t="s">
        <v>30052</v>
      </c>
      <c r="G1360" t="s">
        <v>30059</v>
      </c>
      <c r="H1360" t="s">
        <v>15498</v>
      </c>
      <c r="I1360" t="s">
        <v>9238</v>
      </c>
      <c r="J1360" t="s">
        <v>30248</v>
      </c>
      <c r="K1360" t="s">
        <v>39025</v>
      </c>
      <c r="M1360" t="s">
        <v>39704</v>
      </c>
      <c r="N1360" t="s">
        <v>43166</v>
      </c>
      <c r="O1360" t="s">
        <v>43167</v>
      </c>
      <c r="P1360">
        <v>0</v>
      </c>
      <c r="Q1360">
        <v>4</v>
      </c>
      <c r="R1360" t="s">
        <v>43169</v>
      </c>
      <c r="S1360" t="s">
        <v>43291</v>
      </c>
      <c r="T1360" t="s">
        <v>44743</v>
      </c>
      <c r="U1360" t="s">
        <v>46272</v>
      </c>
      <c r="W1360" t="s">
        <v>39704</v>
      </c>
      <c r="X1360" t="s">
        <v>43170</v>
      </c>
    </row>
    <row r="1361" spans="1:24">
      <c r="A1361">
        <f>HYPERLINK("https://www.philgeps.gov.ph/GEPSNONPILOT/Tender/SplashBidNoticeAbstractUI.aspx?menuIndex=3&amp;refID=7087528&amp;Result=3","7087528")</f>
        <v>0</v>
      </c>
      <c r="B1361" t="s">
        <v>427</v>
      </c>
      <c r="C1361" t="s">
        <v>4728</v>
      </c>
      <c r="D1361" t="s">
        <v>17424</v>
      </c>
      <c r="E1361" t="s">
        <v>18687</v>
      </c>
      <c r="F1361" t="s">
        <v>30052</v>
      </c>
      <c r="G1361" t="s">
        <v>30058</v>
      </c>
      <c r="H1361" t="s">
        <v>15498</v>
      </c>
      <c r="I1361" t="s">
        <v>3736</v>
      </c>
      <c r="J1361" t="s">
        <v>30964</v>
      </c>
      <c r="K1361" t="s">
        <v>39036</v>
      </c>
      <c r="M1361" t="s">
        <v>39726</v>
      </c>
      <c r="N1361" t="s">
        <v>43166</v>
      </c>
      <c r="O1361" t="s">
        <v>43167</v>
      </c>
      <c r="P1361">
        <v>0</v>
      </c>
      <c r="Q1361">
        <v>1</v>
      </c>
      <c r="R1361" t="s">
        <v>43169</v>
      </c>
      <c r="S1361" t="s">
        <v>43291</v>
      </c>
      <c r="T1361" t="s">
        <v>44816</v>
      </c>
      <c r="U1361" t="s">
        <v>46055</v>
      </c>
      <c r="W1361" t="s">
        <v>39726</v>
      </c>
      <c r="X1361" t="s">
        <v>43170</v>
      </c>
    </row>
    <row r="1362" spans="1:24">
      <c r="A1362">
        <f>HYPERLINK("https://www.philgeps.gov.ph/GEPSNONPILOT/Tender/SplashBidNoticeAbstractUI.aspx?menuIndex=3&amp;refID=7087411&amp;Result=3","7087411")</f>
        <v>0</v>
      </c>
      <c r="B1362" t="s">
        <v>565</v>
      </c>
      <c r="C1362" t="s">
        <v>4729</v>
      </c>
      <c r="D1362" t="s">
        <v>17430</v>
      </c>
      <c r="E1362" t="s">
        <v>18632</v>
      </c>
      <c r="F1362" t="s">
        <v>30052</v>
      </c>
      <c r="G1362" t="s">
        <v>30058</v>
      </c>
      <c r="H1362" t="s">
        <v>15498</v>
      </c>
      <c r="I1362" t="s">
        <v>5961</v>
      </c>
      <c r="J1362" t="s">
        <v>31179</v>
      </c>
      <c r="K1362" t="s">
        <v>39029</v>
      </c>
      <c r="M1362" t="s">
        <v>39867</v>
      </c>
      <c r="N1362" t="s">
        <v>43166</v>
      </c>
      <c r="O1362" t="s">
        <v>43167</v>
      </c>
      <c r="P1362">
        <v>0</v>
      </c>
      <c r="Q1362">
        <v>0</v>
      </c>
      <c r="R1362" t="s">
        <v>43169</v>
      </c>
      <c r="S1362" t="s">
        <v>43291</v>
      </c>
      <c r="T1362" t="s">
        <v>44818</v>
      </c>
      <c r="U1362" t="s">
        <v>46316</v>
      </c>
      <c r="W1362" t="s">
        <v>39867</v>
      </c>
      <c r="X1362" t="s">
        <v>43170</v>
      </c>
    </row>
    <row r="1363" spans="1:24">
      <c r="A1363">
        <f>HYPERLINK("https://www.philgeps.gov.ph/GEPSNONPILOT/Tender/SplashBidNoticeAbstractUI.aspx?menuIndex=3&amp;refID=7087519&amp;Result=3","7087519")</f>
        <v>0</v>
      </c>
      <c r="B1363" t="s">
        <v>488</v>
      </c>
      <c r="C1363" t="s">
        <v>4730</v>
      </c>
      <c r="D1363" t="s">
        <v>17493</v>
      </c>
      <c r="E1363" t="s">
        <v>18688</v>
      </c>
      <c r="F1363" t="s">
        <v>30052</v>
      </c>
      <c r="G1363" t="s">
        <v>30062</v>
      </c>
      <c r="H1363" t="s">
        <v>15498</v>
      </c>
      <c r="I1363" t="s">
        <v>3852</v>
      </c>
      <c r="J1363" t="s">
        <v>31180</v>
      </c>
      <c r="K1363" t="s">
        <v>39029</v>
      </c>
      <c r="M1363" t="s">
        <v>39789</v>
      </c>
      <c r="N1363" t="s">
        <v>43166</v>
      </c>
      <c r="O1363" t="s">
        <v>43167</v>
      </c>
      <c r="P1363">
        <v>0</v>
      </c>
      <c r="Q1363">
        <v>2</v>
      </c>
      <c r="R1363" t="s">
        <v>43169</v>
      </c>
      <c r="S1363" t="s">
        <v>43291</v>
      </c>
      <c r="T1363" t="s">
        <v>44681</v>
      </c>
      <c r="U1363" t="s">
        <v>46315</v>
      </c>
      <c r="W1363" t="s">
        <v>39789</v>
      </c>
      <c r="X1363" t="s">
        <v>43170</v>
      </c>
    </row>
    <row r="1364" spans="1:24">
      <c r="A1364">
        <f>HYPERLINK("https://www.philgeps.gov.ph/GEPSNONPILOT/Tender/SplashBidNoticeAbstractUI.aspx?menuIndex=3&amp;refID=7087539&amp;Result=3","7087539")</f>
        <v>0</v>
      </c>
      <c r="B1364" t="s">
        <v>405</v>
      </c>
      <c r="C1364" t="s">
        <v>4731</v>
      </c>
      <c r="E1364" t="s">
        <v>18689</v>
      </c>
      <c r="F1364" t="s">
        <v>30052</v>
      </c>
      <c r="G1364" t="s">
        <v>30059</v>
      </c>
      <c r="H1364" t="s">
        <v>15498</v>
      </c>
      <c r="I1364" t="s">
        <v>30111</v>
      </c>
      <c r="J1364" t="s">
        <v>30448</v>
      </c>
      <c r="K1364" t="s">
        <v>39025</v>
      </c>
      <c r="M1364" t="s">
        <v>39704</v>
      </c>
      <c r="N1364" t="s">
        <v>43166</v>
      </c>
      <c r="O1364" t="s">
        <v>43167</v>
      </c>
      <c r="P1364">
        <v>0</v>
      </c>
      <c r="Q1364">
        <v>3</v>
      </c>
      <c r="R1364" t="s">
        <v>43169</v>
      </c>
      <c r="S1364" t="s">
        <v>43291</v>
      </c>
      <c r="T1364" t="s">
        <v>44743</v>
      </c>
      <c r="U1364" t="s">
        <v>46272</v>
      </c>
      <c r="W1364" t="s">
        <v>39704</v>
      </c>
      <c r="X1364" t="s">
        <v>43170</v>
      </c>
    </row>
    <row r="1365" spans="1:24">
      <c r="A1365">
        <f>HYPERLINK("https://www.philgeps.gov.ph/GEPSNONPILOT/Tender/SplashBidNoticeAbstractUI.aspx?menuIndex=3&amp;refID=7087517&amp;Result=3","7087517")</f>
        <v>0</v>
      </c>
      <c r="B1365" t="s">
        <v>539</v>
      </c>
      <c r="C1365" t="s">
        <v>4732</v>
      </c>
      <c r="D1365" t="s">
        <v>17427</v>
      </c>
      <c r="E1365" t="s">
        <v>18690</v>
      </c>
      <c r="F1365" t="s">
        <v>30052</v>
      </c>
      <c r="G1365" t="s">
        <v>30058</v>
      </c>
      <c r="H1365" t="s">
        <v>30067</v>
      </c>
      <c r="I1365" t="s">
        <v>3693</v>
      </c>
      <c r="J1365" t="s">
        <v>31181</v>
      </c>
      <c r="K1365" t="s">
        <v>39057</v>
      </c>
      <c r="M1365" t="s">
        <v>39841</v>
      </c>
      <c r="N1365" t="s">
        <v>43166</v>
      </c>
      <c r="O1365" t="s">
        <v>43167</v>
      </c>
      <c r="P1365">
        <v>0</v>
      </c>
      <c r="Q1365">
        <v>0</v>
      </c>
      <c r="R1365" t="s">
        <v>43169</v>
      </c>
      <c r="S1365" t="s">
        <v>43291</v>
      </c>
      <c r="T1365" t="s">
        <v>44791</v>
      </c>
      <c r="U1365" t="s">
        <v>46317</v>
      </c>
      <c r="W1365" t="s">
        <v>39841</v>
      </c>
      <c r="X1365" t="s">
        <v>43170</v>
      </c>
    </row>
    <row r="1366" spans="1:24">
      <c r="A1366">
        <f>HYPERLINK("https://www.philgeps.gov.ph/GEPSNONPILOT/Tender/SplashBidNoticeAbstractUI.aspx?menuIndex=3&amp;refID=7087424&amp;Result=3","7087424")</f>
        <v>0</v>
      </c>
      <c r="B1366" t="s">
        <v>566</v>
      </c>
      <c r="C1366" t="s">
        <v>4733</v>
      </c>
      <c r="D1366" t="s">
        <v>17430</v>
      </c>
      <c r="E1366" t="s">
        <v>18691</v>
      </c>
      <c r="F1366" t="s">
        <v>30052</v>
      </c>
      <c r="G1366" t="s">
        <v>30058</v>
      </c>
      <c r="H1366" t="s">
        <v>15498</v>
      </c>
      <c r="I1366" t="s">
        <v>3736</v>
      </c>
      <c r="J1366" t="s">
        <v>31182</v>
      </c>
      <c r="K1366" t="s">
        <v>39029</v>
      </c>
      <c r="M1366" t="s">
        <v>39868</v>
      </c>
      <c r="N1366" t="s">
        <v>43166</v>
      </c>
      <c r="O1366" t="s">
        <v>43167</v>
      </c>
      <c r="P1366">
        <v>0</v>
      </c>
      <c r="Q1366">
        <v>0</v>
      </c>
      <c r="R1366" t="s">
        <v>43169</v>
      </c>
      <c r="S1366" t="s">
        <v>43291</v>
      </c>
      <c r="T1366" t="s">
        <v>44818</v>
      </c>
      <c r="U1366" t="s">
        <v>46318</v>
      </c>
      <c r="W1366" t="s">
        <v>39868</v>
      </c>
      <c r="X1366" t="s">
        <v>43170</v>
      </c>
    </row>
    <row r="1367" spans="1:24">
      <c r="A1367">
        <f>HYPERLINK("https://www.philgeps.gov.ph/GEPSNONPILOT/Tender/SplashBidNoticeAbstractUI.aspx?menuIndex=3&amp;refID=7087527&amp;Result=3","7087527")</f>
        <v>0</v>
      </c>
      <c r="B1367" t="s">
        <v>557</v>
      </c>
      <c r="C1367" t="s">
        <v>4734</v>
      </c>
      <c r="D1367" t="s">
        <v>17422</v>
      </c>
      <c r="E1367" t="s">
        <v>18692</v>
      </c>
      <c r="F1367" t="s">
        <v>30052</v>
      </c>
      <c r="G1367" t="s">
        <v>30062</v>
      </c>
      <c r="H1367" t="s">
        <v>15498</v>
      </c>
      <c r="I1367" t="s">
        <v>30076</v>
      </c>
      <c r="J1367" t="s">
        <v>31183</v>
      </c>
      <c r="K1367" t="s">
        <v>39029</v>
      </c>
      <c r="M1367" t="s">
        <v>39859</v>
      </c>
      <c r="N1367" t="s">
        <v>43166</v>
      </c>
      <c r="O1367" t="s">
        <v>43167</v>
      </c>
      <c r="P1367">
        <v>0</v>
      </c>
      <c r="Q1367">
        <v>7</v>
      </c>
      <c r="R1367" t="s">
        <v>43169</v>
      </c>
      <c r="S1367" t="s">
        <v>43291</v>
      </c>
      <c r="T1367" t="s">
        <v>44841</v>
      </c>
      <c r="U1367" t="s">
        <v>46319</v>
      </c>
      <c r="V1367" t="s">
        <v>56973</v>
      </c>
      <c r="W1367" t="s">
        <v>39859</v>
      </c>
      <c r="X1367" t="s">
        <v>43170</v>
      </c>
    </row>
    <row r="1368" spans="1:24">
      <c r="A1368">
        <f>HYPERLINK("https://www.philgeps.gov.ph/GEPSNONPILOT/Tender/SplashBidNoticeAbstractUI.aspx?menuIndex=3&amp;refID=7087524&amp;Result=3","7087524")</f>
        <v>0</v>
      </c>
      <c r="B1368" t="s">
        <v>567</v>
      </c>
      <c r="C1368" t="s">
        <v>4735</v>
      </c>
      <c r="D1368" t="s">
        <v>17415</v>
      </c>
      <c r="E1368" t="s">
        <v>18693</v>
      </c>
      <c r="F1368" t="s">
        <v>30052</v>
      </c>
      <c r="G1368" t="s">
        <v>30061</v>
      </c>
      <c r="H1368" t="s">
        <v>15498</v>
      </c>
      <c r="I1368" t="s">
        <v>30109</v>
      </c>
      <c r="J1368" t="s">
        <v>30230</v>
      </c>
      <c r="K1368" t="s">
        <v>39040</v>
      </c>
      <c r="M1368" t="s">
        <v>39869</v>
      </c>
      <c r="N1368" t="s">
        <v>43166</v>
      </c>
      <c r="O1368" t="s">
        <v>43167</v>
      </c>
      <c r="P1368">
        <v>0</v>
      </c>
      <c r="Q1368">
        <v>3</v>
      </c>
      <c r="R1368" t="s">
        <v>43169</v>
      </c>
      <c r="S1368" t="s">
        <v>43291</v>
      </c>
      <c r="T1368" t="s">
        <v>44843</v>
      </c>
      <c r="U1368" t="s">
        <v>46320</v>
      </c>
      <c r="W1368" t="s">
        <v>58605</v>
      </c>
      <c r="X1368" t="s">
        <v>43170</v>
      </c>
    </row>
    <row r="1369" spans="1:24">
      <c r="A1369">
        <f>HYPERLINK("https://www.philgeps.gov.ph/GEPSNONPILOT/Tender/SplashBidNoticeAbstractUI.aspx?menuIndex=3&amp;refID=6941877&amp;Result=3","6941877")</f>
        <v>0</v>
      </c>
      <c r="B1369" t="s">
        <v>568</v>
      </c>
      <c r="C1369" t="s">
        <v>4736</v>
      </c>
      <c r="D1369" t="s">
        <v>17437</v>
      </c>
      <c r="E1369" t="s">
        <v>18694</v>
      </c>
      <c r="F1369" t="s">
        <v>30052</v>
      </c>
      <c r="G1369" t="s">
        <v>30059</v>
      </c>
      <c r="H1369" t="s">
        <v>15498</v>
      </c>
      <c r="I1369" t="s">
        <v>4119</v>
      </c>
      <c r="J1369" t="s">
        <v>31184</v>
      </c>
      <c r="K1369" t="s">
        <v>39029</v>
      </c>
      <c r="M1369" t="s">
        <v>39870</v>
      </c>
      <c r="N1369" t="s">
        <v>43166</v>
      </c>
      <c r="O1369" t="s">
        <v>43167</v>
      </c>
      <c r="P1369">
        <v>0</v>
      </c>
      <c r="Q1369">
        <v>7</v>
      </c>
      <c r="R1369" t="s">
        <v>43170</v>
      </c>
      <c r="S1369" t="s">
        <v>43297</v>
      </c>
      <c r="T1369" t="s">
        <v>44710</v>
      </c>
      <c r="U1369" t="s">
        <v>46321</v>
      </c>
      <c r="V1369" t="s">
        <v>56974</v>
      </c>
      <c r="W1369" t="s">
        <v>39870</v>
      </c>
      <c r="X1369" t="s">
        <v>43256</v>
      </c>
    </row>
    <row r="1370" spans="1:24">
      <c r="A1370">
        <f>HYPERLINK("https://www.philgeps.gov.ph/GEPSNONPILOT/Tender/SplashBidNoticeAbstractUI.aspx?menuIndex=3&amp;refID=7087518&amp;Result=3","7087518")</f>
        <v>0</v>
      </c>
      <c r="B1370" t="s">
        <v>427</v>
      </c>
      <c r="C1370" t="s">
        <v>4737</v>
      </c>
      <c r="D1370" t="s">
        <v>17424</v>
      </c>
      <c r="E1370" t="s">
        <v>18695</v>
      </c>
      <c r="F1370" t="s">
        <v>30052</v>
      </c>
      <c r="G1370" t="s">
        <v>30058</v>
      </c>
      <c r="H1370" t="s">
        <v>15498</v>
      </c>
      <c r="I1370" t="s">
        <v>3736</v>
      </c>
      <c r="J1370" t="s">
        <v>31159</v>
      </c>
      <c r="K1370" t="s">
        <v>39036</v>
      </c>
      <c r="M1370" t="s">
        <v>39726</v>
      </c>
      <c r="N1370" t="s">
        <v>43166</v>
      </c>
      <c r="O1370" t="s">
        <v>43167</v>
      </c>
      <c r="P1370">
        <v>0</v>
      </c>
      <c r="Q1370">
        <v>1</v>
      </c>
      <c r="R1370" t="s">
        <v>43169</v>
      </c>
      <c r="S1370" t="s">
        <v>43291</v>
      </c>
      <c r="T1370" t="s">
        <v>44816</v>
      </c>
      <c r="U1370" t="s">
        <v>46322</v>
      </c>
      <c r="W1370" t="s">
        <v>39726</v>
      </c>
      <c r="X1370" t="s">
        <v>43170</v>
      </c>
    </row>
    <row r="1371" spans="1:24">
      <c r="A1371">
        <f>HYPERLINK("https://www.philgeps.gov.ph/GEPSNONPILOT/Tender/SplashBidNoticeAbstractUI.aspx?menuIndex=3&amp;refID=7087532&amp;Result=3","7087532")</f>
        <v>0</v>
      </c>
      <c r="B1371" t="s">
        <v>363</v>
      </c>
      <c r="C1371" t="s">
        <v>4738</v>
      </c>
      <c r="D1371" t="s">
        <v>17461</v>
      </c>
      <c r="E1371" t="s">
        <v>18696</v>
      </c>
      <c r="F1371" t="s">
        <v>30052</v>
      </c>
      <c r="G1371" t="s">
        <v>30058</v>
      </c>
      <c r="H1371" t="s">
        <v>30067</v>
      </c>
      <c r="I1371" t="s">
        <v>3693</v>
      </c>
      <c r="J1371" t="s">
        <v>31185</v>
      </c>
      <c r="K1371" t="s">
        <v>39065</v>
      </c>
      <c r="M1371" t="s">
        <v>39660</v>
      </c>
      <c r="N1371" t="s">
        <v>43166</v>
      </c>
      <c r="O1371" t="s">
        <v>43167</v>
      </c>
      <c r="P1371">
        <v>0</v>
      </c>
      <c r="Q1371">
        <v>0</v>
      </c>
      <c r="R1371" t="s">
        <v>43169</v>
      </c>
      <c r="S1371" t="s">
        <v>43291</v>
      </c>
      <c r="T1371" t="s">
        <v>44684</v>
      </c>
      <c r="U1371" t="s">
        <v>46323</v>
      </c>
      <c r="V1371" t="s">
        <v>56975</v>
      </c>
      <c r="W1371" t="s">
        <v>58606</v>
      </c>
      <c r="X1371" t="s">
        <v>43170</v>
      </c>
    </row>
    <row r="1372" spans="1:24">
      <c r="A1372">
        <f>HYPERLINK("https://www.philgeps.gov.ph/GEPSNONPILOT/Tender/SplashBidNoticeAbstractUI.aspx?menuIndex=3&amp;refID=7087570&amp;Result=3","7087570")</f>
        <v>0</v>
      </c>
      <c r="B1372" t="s">
        <v>482</v>
      </c>
      <c r="C1372" t="s">
        <v>4739</v>
      </c>
      <c r="D1372" t="s">
        <v>17447</v>
      </c>
      <c r="E1372" t="s">
        <v>18697</v>
      </c>
      <c r="F1372" t="s">
        <v>30052</v>
      </c>
      <c r="G1372" t="s">
        <v>30061</v>
      </c>
      <c r="H1372" t="s">
        <v>30068</v>
      </c>
      <c r="I1372" t="s">
        <v>30068</v>
      </c>
      <c r="J1372" t="s">
        <v>31186</v>
      </c>
      <c r="K1372" t="s">
        <v>39034</v>
      </c>
      <c r="M1372" t="s">
        <v>39783</v>
      </c>
      <c r="N1372" t="s">
        <v>43166</v>
      </c>
      <c r="O1372" t="s">
        <v>43167</v>
      </c>
      <c r="P1372">
        <v>0</v>
      </c>
      <c r="Q1372">
        <v>0</v>
      </c>
      <c r="R1372" t="s">
        <v>43169</v>
      </c>
      <c r="S1372" t="s">
        <v>43291</v>
      </c>
      <c r="T1372" t="s">
        <v>44844</v>
      </c>
      <c r="U1372" t="s">
        <v>46324</v>
      </c>
      <c r="W1372" t="s">
        <v>39783</v>
      </c>
      <c r="X1372" t="s">
        <v>43170</v>
      </c>
    </row>
    <row r="1373" spans="1:24">
      <c r="A1373">
        <f>HYPERLINK("https://www.philgeps.gov.ph/GEPSNONPILOT/Tender/SplashBidNoticeAbstractUI.aspx?menuIndex=3&amp;refID=4736027&amp;Result=3","4736027")</f>
        <v>0</v>
      </c>
      <c r="B1373" t="s">
        <v>569</v>
      </c>
      <c r="C1373" t="s">
        <v>4740</v>
      </c>
      <c r="D1373" t="s">
        <v>17419</v>
      </c>
      <c r="E1373" t="s">
        <v>18698</v>
      </c>
      <c r="F1373" t="s">
        <v>30052</v>
      </c>
      <c r="G1373" t="s">
        <v>30058</v>
      </c>
      <c r="H1373" t="s">
        <v>15498</v>
      </c>
      <c r="I1373" t="s">
        <v>30097</v>
      </c>
      <c r="J1373" t="s">
        <v>30302</v>
      </c>
      <c r="K1373" t="s">
        <v>39025</v>
      </c>
      <c r="L1373" t="s">
        <v>569</v>
      </c>
      <c r="M1373" t="s">
        <v>39871</v>
      </c>
      <c r="N1373" t="s">
        <v>43166</v>
      </c>
      <c r="O1373" t="s">
        <v>43167</v>
      </c>
      <c r="P1373">
        <v>0</v>
      </c>
      <c r="Q1373">
        <v>0</v>
      </c>
      <c r="R1373" t="s">
        <v>43170</v>
      </c>
      <c r="S1373" t="s">
        <v>43297</v>
      </c>
      <c r="T1373" t="s">
        <v>44721</v>
      </c>
      <c r="U1373" t="s">
        <v>46325</v>
      </c>
      <c r="W1373" t="s">
        <v>39871</v>
      </c>
      <c r="X1373" t="s">
        <v>58726</v>
      </c>
    </row>
    <row r="1374" spans="1:24">
      <c r="A1374">
        <f>HYPERLINK("https://www.philgeps.gov.ph/GEPSNONPILOT/Tender/SplashBidNoticeAbstractUI.aspx?menuIndex=3&amp;refID=7087571&amp;Result=3","7087571")</f>
        <v>0</v>
      </c>
      <c r="B1374" t="s">
        <v>363</v>
      </c>
      <c r="C1374" t="s">
        <v>4741</v>
      </c>
      <c r="D1374" t="s">
        <v>17461</v>
      </c>
      <c r="E1374" t="s">
        <v>18699</v>
      </c>
      <c r="F1374" t="s">
        <v>30052</v>
      </c>
      <c r="G1374" t="s">
        <v>30058</v>
      </c>
      <c r="H1374" t="s">
        <v>30067</v>
      </c>
      <c r="I1374" t="s">
        <v>3693</v>
      </c>
      <c r="J1374" t="s">
        <v>31187</v>
      </c>
      <c r="K1374" t="s">
        <v>39023</v>
      </c>
      <c r="M1374" t="s">
        <v>39660</v>
      </c>
      <c r="N1374" t="s">
        <v>43166</v>
      </c>
      <c r="O1374" t="s">
        <v>43167</v>
      </c>
      <c r="P1374">
        <v>0</v>
      </c>
      <c r="Q1374">
        <v>0</v>
      </c>
      <c r="R1374" t="s">
        <v>43169</v>
      </c>
      <c r="S1374" t="s">
        <v>43291</v>
      </c>
      <c r="T1374" t="s">
        <v>44684</v>
      </c>
      <c r="U1374" t="s">
        <v>46326</v>
      </c>
      <c r="V1374" t="s">
        <v>56976</v>
      </c>
      <c r="W1374" t="s">
        <v>58599</v>
      </c>
      <c r="X1374" t="s">
        <v>43170</v>
      </c>
    </row>
    <row r="1375" spans="1:24">
      <c r="A1375">
        <f>HYPERLINK("https://www.philgeps.gov.ph/GEPSNONPILOT/Tender/SplashBidNoticeAbstractUI.aspx?menuIndex=3&amp;refID=7087568&amp;Result=3","7087568")</f>
        <v>0</v>
      </c>
      <c r="B1375" t="s">
        <v>570</v>
      </c>
      <c r="C1375" t="s">
        <v>4742</v>
      </c>
      <c r="D1375" t="s">
        <v>17474</v>
      </c>
      <c r="E1375" t="s">
        <v>18700</v>
      </c>
      <c r="F1375" t="s">
        <v>30052</v>
      </c>
      <c r="G1375" t="s">
        <v>30059</v>
      </c>
      <c r="H1375" t="s">
        <v>15498</v>
      </c>
      <c r="I1375" t="s">
        <v>4598</v>
      </c>
      <c r="J1375" t="s">
        <v>31188</v>
      </c>
      <c r="K1375" t="s">
        <v>39025</v>
      </c>
      <c r="M1375" t="s">
        <v>39872</v>
      </c>
      <c r="N1375" t="s">
        <v>43166</v>
      </c>
      <c r="O1375" t="s">
        <v>43167</v>
      </c>
      <c r="P1375">
        <v>0</v>
      </c>
      <c r="Q1375">
        <v>2</v>
      </c>
      <c r="R1375" t="s">
        <v>43169</v>
      </c>
      <c r="S1375" t="s">
        <v>43291</v>
      </c>
      <c r="T1375" t="s">
        <v>44773</v>
      </c>
      <c r="U1375" t="s">
        <v>46327</v>
      </c>
      <c r="W1375" t="s">
        <v>39872</v>
      </c>
      <c r="X1375" t="s">
        <v>43170</v>
      </c>
    </row>
    <row r="1376" spans="1:24">
      <c r="A1376">
        <f>HYPERLINK("https://www.philgeps.gov.ph/GEPSNONPILOT/Tender/SplashBidNoticeAbstractUI.aspx?menuIndex=3&amp;refID=7087566&amp;Result=3","7087566")</f>
        <v>0</v>
      </c>
      <c r="B1376" t="s">
        <v>570</v>
      </c>
      <c r="C1376" t="s">
        <v>4743</v>
      </c>
      <c r="D1376" t="s">
        <v>17474</v>
      </c>
      <c r="E1376" t="s">
        <v>18701</v>
      </c>
      <c r="F1376" t="s">
        <v>30052</v>
      </c>
      <c r="G1376" t="s">
        <v>30059</v>
      </c>
      <c r="H1376" t="s">
        <v>15498</v>
      </c>
      <c r="I1376" t="s">
        <v>4598</v>
      </c>
      <c r="J1376" t="s">
        <v>31189</v>
      </c>
      <c r="K1376" t="s">
        <v>39025</v>
      </c>
      <c r="M1376" t="s">
        <v>39872</v>
      </c>
      <c r="N1376" t="s">
        <v>43166</v>
      </c>
      <c r="O1376" t="s">
        <v>43167</v>
      </c>
      <c r="P1376">
        <v>0</v>
      </c>
      <c r="Q1376">
        <v>1</v>
      </c>
      <c r="R1376" t="s">
        <v>43169</v>
      </c>
      <c r="S1376" t="s">
        <v>43291</v>
      </c>
      <c r="T1376" t="s">
        <v>44773</v>
      </c>
      <c r="U1376" t="s">
        <v>46328</v>
      </c>
      <c r="W1376" t="s">
        <v>39872</v>
      </c>
      <c r="X1376" t="s">
        <v>43170</v>
      </c>
    </row>
    <row r="1377" spans="1:24">
      <c r="A1377">
        <f>HYPERLINK("https://www.philgeps.gov.ph/GEPSNONPILOT/Tender/SplashBidNoticeAbstractUI.aspx?menuIndex=3&amp;refID=6405882&amp;Result=3","6405882")</f>
        <v>0</v>
      </c>
      <c r="B1377" t="s">
        <v>497</v>
      </c>
      <c r="C1377" t="s">
        <v>4744</v>
      </c>
      <c r="D1377" t="s">
        <v>17445</v>
      </c>
      <c r="E1377" t="s">
        <v>18702</v>
      </c>
      <c r="F1377" t="s">
        <v>30052</v>
      </c>
      <c r="G1377" t="s">
        <v>30058</v>
      </c>
      <c r="H1377" t="s">
        <v>15498</v>
      </c>
      <c r="I1377" t="s">
        <v>3852</v>
      </c>
      <c r="J1377" t="s">
        <v>31190</v>
      </c>
      <c r="K1377" t="s">
        <v>39025</v>
      </c>
      <c r="M1377" t="s">
        <v>39798</v>
      </c>
      <c r="N1377" t="s">
        <v>43166</v>
      </c>
      <c r="O1377" t="s">
        <v>43167</v>
      </c>
      <c r="P1377">
        <v>0</v>
      </c>
      <c r="Q1377">
        <v>1</v>
      </c>
      <c r="R1377" t="s">
        <v>43170</v>
      </c>
      <c r="S1377" t="s">
        <v>43297</v>
      </c>
      <c r="T1377" t="s">
        <v>44693</v>
      </c>
      <c r="U1377" t="s">
        <v>46329</v>
      </c>
      <c r="W1377" t="s">
        <v>39798</v>
      </c>
      <c r="X1377" t="s">
        <v>58727</v>
      </c>
    </row>
    <row r="1378" spans="1:24">
      <c r="A1378">
        <f>HYPERLINK("https://www.philgeps.gov.ph/GEPSNONPILOT/Tender/SplashBidNoticeAbstractUI.aspx?menuIndex=3&amp;refID=6119894&amp;Result=3","6119894")</f>
        <v>0</v>
      </c>
      <c r="B1378" t="s">
        <v>497</v>
      </c>
      <c r="C1378" t="s">
        <v>4745</v>
      </c>
      <c r="D1378" t="s">
        <v>17445</v>
      </c>
      <c r="E1378" t="s">
        <v>18703</v>
      </c>
      <c r="F1378" t="s">
        <v>30052</v>
      </c>
      <c r="G1378" t="s">
        <v>30058</v>
      </c>
      <c r="H1378" t="s">
        <v>15498</v>
      </c>
      <c r="I1378" t="s">
        <v>3736</v>
      </c>
      <c r="J1378" t="s">
        <v>31191</v>
      </c>
      <c r="K1378" t="s">
        <v>39025</v>
      </c>
      <c r="M1378" t="s">
        <v>39798</v>
      </c>
      <c r="N1378" t="s">
        <v>43166</v>
      </c>
      <c r="O1378" t="s">
        <v>43167</v>
      </c>
      <c r="P1378">
        <v>0</v>
      </c>
      <c r="Q1378">
        <v>1</v>
      </c>
      <c r="R1378" t="s">
        <v>43170</v>
      </c>
      <c r="S1378" t="s">
        <v>43297</v>
      </c>
      <c r="T1378" t="s">
        <v>44693</v>
      </c>
      <c r="U1378" t="s">
        <v>46330</v>
      </c>
      <c r="W1378" t="s">
        <v>39798</v>
      </c>
      <c r="X1378" t="s">
        <v>58728</v>
      </c>
    </row>
    <row r="1379" spans="1:24">
      <c r="A1379">
        <f>HYPERLINK("https://www.philgeps.gov.ph/GEPSNONPILOT/Tender/SplashBidNoticeAbstractUI.aspx?menuIndex=3&amp;refID=7087555&amp;Result=3","7087555")</f>
        <v>0</v>
      </c>
      <c r="B1379" t="s">
        <v>557</v>
      </c>
      <c r="C1379" t="s">
        <v>4746</v>
      </c>
      <c r="D1379" t="s">
        <v>17422</v>
      </c>
      <c r="E1379" t="s">
        <v>18704</v>
      </c>
      <c r="F1379" t="s">
        <v>30052</v>
      </c>
      <c r="G1379" t="s">
        <v>30059</v>
      </c>
      <c r="H1379" t="s">
        <v>15498</v>
      </c>
      <c r="I1379" t="s">
        <v>30134</v>
      </c>
      <c r="J1379" t="s">
        <v>30209</v>
      </c>
      <c r="K1379" t="s">
        <v>39025</v>
      </c>
      <c r="M1379" t="s">
        <v>39859</v>
      </c>
      <c r="N1379" t="s">
        <v>43166</v>
      </c>
      <c r="O1379" t="s">
        <v>43167</v>
      </c>
      <c r="P1379">
        <v>0</v>
      </c>
      <c r="Q1379">
        <v>1</v>
      </c>
      <c r="R1379" t="s">
        <v>43169</v>
      </c>
      <c r="S1379" t="s">
        <v>43291</v>
      </c>
      <c r="T1379" t="s">
        <v>44734</v>
      </c>
      <c r="U1379" t="s">
        <v>46331</v>
      </c>
      <c r="V1379" t="s">
        <v>56973</v>
      </c>
      <c r="W1379" t="s">
        <v>39859</v>
      </c>
      <c r="X1379" t="s">
        <v>43170</v>
      </c>
    </row>
    <row r="1380" spans="1:24">
      <c r="A1380">
        <f>HYPERLINK("https://www.philgeps.gov.ph/GEPSNONPILOT/Tender/SplashBidNoticeAbstractUI.aspx?menuIndex=3&amp;refID=7087553&amp;Result=3","7087553")</f>
        <v>0</v>
      </c>
      <c r="B1380" t="s">
        <v>571</v>
      </c>
      <c r="C1380" t="s">
        <v>4747</v>
      </c>
      <c r="D1380" t="s">
        <v>17415</v>
      </c>
      <c r="E1380" t="s">
        <v>18705</v>
      </c>
      <c r="F1380" t="s">
        <v>30052</v>
      </c>
      <c r="G1380" t="s">
        <v>30059</v>
      </c>
      <c r="H1380" t="s">
        <v>15498</v>
      </c>
      <c r="I1380" t="s">
        <v>30085</v>
      </c>
      <c r="J1380" t="s">
        <v>30254</v>
      </c>
      <c r="K1380" t="s">
        <v>39040</v>
      </c>
      <c r="L1380" t="s">
        <v>571</v>
      </c>
      <c r="M1380" t="s">
        <v>39873</v>
      </c>
      <c r="N1380" t="s">
        <v>43166</v>
      </c>
      <c r="O1380" t="s">
        <v>43167</v>
      </c>
      <c r="P1380">
        <v>0</v>
      </c>
      <c r="Q1380">
        <v>1</v>
      </c>
      <c r="R1380" t="s">
        <v>43169</v>
      </c>
      <c r="S1380" t="s">
        <v>43291</v>
      </c>
      <c r="T1380" t="s">
        <v>44734</v>
      </c>
      <c r="U1380" t="s">
        <v>46332</v>
      </c>
      <c r="W1380" t="s">
        <v>39873</v>
      </c>
      <c r="X1380" t="s">
        <v>43170</v>
      </c>
    </row>
    <row r="1381" spans="1:24">
      <c r="A1381">
        <f>HYPERLINK("https://www.philgeps.gov.ph/GEPSNONPILOT/Tender/SplashBidNoticeAbstractUI.aspx?menuIndex=3&amp;refID=7087563&amp;Result=3","7087563")</f>
        <v>0</v>
      </c>
      <c r="B1381" t="s">
        <v>570</v>
      </c>
      <c r="C1381" t="s">
        <v>4748</v>
      </c>
      <c r="D1381" t="s">
        <v>17474</v>
      </c>
      <c r="E1381" t="s">
        <v>18706</v>
      </c>
      <c r="F1381" t="s">
        <v>30052</v>
      </c>
      <c r="G1381" t="s">
        <v>30059</v>
      </c>
      <c r="H1381" t="s">
        <v>15498</v>
      </c>
      <c r="I1381" t="s">
        <v>3736</v>
      </c>
      <c r="J1381" t="s">
        <v>31192</v>
      </c>
      <c r="K1381" t="s">
        <v>39025</v>
      </c>
      <c r="M1381" t="s">
        <v>39872</v>
      </c>
      <c r="N1381" t="s">
        <v>43166</v>
      </c>
      <c r="O1381" t="s">
        <v>43167</v>
      </c>
      <c r="P1381">
        <v>0</v>
      </c>
      <c r="Q1381">
        <v>0</v>
      </c>
      <c r="R1381" t="s">
        <v>43169</v>
      </c>
      <c r="S1381" t="s">
        <v>43291</v>
      </c>
      <c r="T1381" t="s">
        <v>44773</v>
      </c>
      <c r="U1381" t="s">
        <v>46333</v>
      </c>
      <c r="W1381" t="s">
        <v>39872</v>
      </c>
      <c r="X1381" t="s">
        <v>43170</v>
      </c>
    </row>
    <row r="1382" spans="1:24">
      <c r="A1382">
        <f>HYPERLINK("https://www.philgeps.gov.ph/GEPSNONPILOT/Tender/SplashBidNoticeAbstractUI.aspx?menuIndex=3&amp;refID=7087538&amp;Result=3","7087538")</f>
        <v>0</v>
      </c>
      <c r="B1382" t="s">
        <v>363</v>
      </c>
      <c r="C1382" t="s">
        <v>4749</v>
      </c>
      <c r="D1382" t="s">
        <v>17461</v>
      </c>
      <c r="E1382" t="s">
        <v>18707</v>
      </c>
      <c r="F1382" t="s">
        <v>30052</v>
      </c>
      <c r="G1382" t="s">
        <v>30058</v>
      </c>
      <c r="H1382" t="s">
        <v>30067</v>
      </c>
      <c r="I1382" t="s">
        <v>3693</v>
      </c>
      <c r="J1382" t="s">
        <v>31193</v>
      </c>
      <c r="K1382" t="s">
        <v>39033</v>
      </c>
      <c r="M1382" t="s">
        <v>39660</v>
      </c>
      <c r="N1382" t="s">
        <v>43166</v>
      </c>
      <c r="O1382" t="s">
        <v>43167</v>
      </c>
      <c r="P1382">
        <v>0</v>
      </c>
      <c r="Q1382">
        <v>1</v>
      </c>
      <c r="R1382" t="s">
        <v>43169</v>
      </c>
      <c r="S1382" t="s">
        <v>43291</v>
      </c>
      <c r="T1382" t="s">
        <v>44684</v>
      </c>
      <c r="U1382" t="s">
        <v>46334</v>
      </c>
      <c r="V1382" t="s">
        <v>56977</v>
      </c>
      <c r="W1382" t="s">
        <v>58606</v>
      </c>
      <c r="X1382" t="s">
        <v>43170</v>
      </c>
    </row>
    <row r="1383" spans="1:24">
      <c r="A1383">
        <f>HYPERLINK("https://www.philgeps.gov.ph/GEPSNONPILOT/Tender/SplashBidNoticeAbstractUI.aspx?menuIndex=3&amp;refID=7087560&amp;Result=3","7087560")</f>
        <v>0</v>
      </c>
      <c r="B1383" t="s">
        <v>363</v>
      </c>
      <c r="C1383" t="s">
        <v>4750</v>
      </c>
      <c r="D1383" t="s">
        <v>17461</v>
      </c>
      <c r="E1383" t="s">
        <v>18708</v>
      </c>
      <c r="F1383" t="s">
        <v>30052</v>
      </c>
      <c r="G1383" t="s">
        <v>30058</v>
      </c>
      <c r="H1383" t="s">
        <v>30067</v>
      </c>
      <c r="I1383" t="s">
        <v>3693</v>
      </c>
      <c r="J1383" t="s">
        <v>31185</v>
      </c>
      <c r="K1383" t="s">
        <v>39065</v>
      </c>
      <c r="M1383" t="s">
        <v>39660</v>
      </c>
      <c r="N1383" t="s">
        <v>43166</v>
      </c>
      <c r="O1383" t="s">
        <v>43167</v>
      </c>
      <c r="P1383">
        <v>0</v>
      </c>
      <c r="Q1383">
        <v>0</v>
      </c>
      <c r="R1383" t="s">
        <v>43169</v>
      </c>
      <c r="S1383" t="s">
        <v>43291</v>
      </c>
      <c r="T1383" t="s">
        <v>44684</v>
      </c>
      <c r="U1383" t="s">
        <v>46335</v>
      </c>
      <c r="V1383" t="s">
        <v>56978</v>
      </c>
      <c r="W1383" t="s">
        <v>58606</v>
      </c>
      <c r="X1383" t="s">
        <v>43170</v>
      </c>
    </row>
    <row r="1384" spans="1:24">
      <c r="A1384">
        <f>HYPERLINK("https://www.philgeps.gov.ph/GEPSNONPILOT/Tender/SplashBidNoticeAbstractUI.aspx?menuIndex=3&amp;refID=7074472&amp;Result=3","7074472")</f>
        <v>0</v>
      </c>
      <c r="B1384" t="s">
        <v>572</v>
      </c>
      <c r="C1384" t="s">
        <v>4751</v>
      </c>
      <c r="D1384" t="s">
        <v>17473</v>
      </c>
      <c r="E1384" t="s">
        <v>18709</v>
      </c>
      <c r="F1384" t="s">
        <v>30052</v>
      </c>
      <c r="G1384" t="s">
        <v>30059</v>
      </c>
      <c r="H1384" t="s">
        <v>15498</v>
      </c>
      <c r="I1384" t="s">
        <v>30143</v>
      </c>
      <c r="J1384" t="s">
        <v>30337</v>
      </c>
      <c r="K1384" t="s">
        <v>39025</v>
      </c>
      <c r="M1384" t="s">
        <v>39874</v>
      </c>
      <c r="N1384" t="s">
        <v>43166</v>
      </c>
      <c r="O1384" t="s">
        <v>43167</v>
      </c>
      <c r="P1384">
        <v>0</v>
      </c>
      <c r="Q1384">
        <v>1</v>
      </c>
      <c r="R1384" t="s">
        <v>43170</v>
      </c>
      <c r="S1384" t="s">
        <v>43297</v>
      </c>
      <c r="T1384" t="s">
        <v>44735</v>
      </c>
      <c r="U1384" t="s">
        <v>46336</v>
      </c>
      <c r="W1384" t="s">
        <v>39874</v>
      </c>
      <c r="X1384" t="s">
        <v>43175</v>
      </c>
    </row>
    <row r="1385" spans="1:24">
      <c r="A1385">
        <f>HYPERLINK("https://www.philgeps.gov.ph/GEPSNONPILOT/Tender/SplashBidNoticeAbstractUI.aspx?menuIndex=3&amp;refID=7087557&amp;Result=3","7087557")</f>
        <v>0</v>
      </c>
      <c r="B1385" t="s">
        <v>573</v>
      </c>
      <c r="C1385" t="s">
        <v>4752</v>
      </c>
      <c r="D1385" t="s">
        <v>17459</v>
      </c>
      <c r="E1385" t="s">
        <v>18710</v>
      </c>
      <c r="F1385" t="s">
        <v>30052</v>
      </c>
      <c r="G1385" t="s">
        <v>30058</v>
      </c>
      <c r="H1385" t="s">
        <v>30067</v>
      </c>
      <c r="I1385" t="s">
        <v>3693</v>
      </c>
      <c r="J1385" t="s">
        <v>31194</v>
      </c>
      <c r="K1385" t="s">
        <v>39082</v>
      </c>
      <c r="M1385" t="s">
        <v>39875</v>
      </c>
      <c r="N1385" t="s">
        <v>43166</v>
      </c>
      <c r="O1385" t="s">
        <v>43167</v>
      </c>
      <c r="P1385">
        <v>0</v>
      </c>
      <c r="Q1385">
        <v>0</v>
      </c>
      <c r="R1385" t="s">
        <v>43169</v>
      </c>
      <c r="S1385" t="s">
        <v>43291</v>
      </c>
      <c r="T1385" t="s">
        <v>44677</v>
      </c>
      <c r="U1385" t="s">
        <v>46337</v>
      </c>
      <c r="W1385" t="s">
        <v>39875</v>
      </c>
      <c r="X1385" t="s">
        <v>43170</v>
      </c>
    </row>
    <row r="1386" spans="1:24">
      <c r="A1386">
        <f>HYPERLINK("https://www.philgeps.gov.ph/GEPSNONPILOT/Tender/SplashBidNoticeAbstractUI.aspx?menuIndex=3&amp;refID=7074038&amp;Result=3","7074038")</f>
        <v>0</v>
      </c>
      <c r="B1386" t="s">
        <v>572</v>
      </c>
      <c r="C1386" t="s">
        <v>4753</v>
      </c>
      <c r="D1386" t="s">
        <v>17488</v>
      </c>
      <c r="E1386" t="s">
        <v>18711</v>
      </c>
      <c r="F1386" t="s">
        <v>30052</v>
      </c>
      <c r="G1386" t="s">
        <v>30059</v>
      </c>
      <c r="H1386" t="s">
        <v>15498</v>
      </c>
      <c r="I1386" t="s">
        <v>30143</v>
      </c>
      <c r="J1386" t="s">
        <v>30337</v>
      </c>
      <c r="K1386" t="s">
        <v>39025</v>
      </c>
      <c r="M1386" t="s">
        <v>39874</v>
      </c>
      <c r="N1386" t="s">
        <v>43166</v>
      </c>
      <c r="O1386" t="s">
        <v>43167</v>
      </c>
      <c r="P1386">
        <v>0</v>
      </c>
      <c r="Q1386">
        <v>1</v>
      </c>
      <c r="R1386" t="s">
        <v>43170</v>
      </c>
      <c r="S1386" t="s">
        <v>43297</v>
      </c>
      <c r="T1386" t="s">
        <v>44735</v>
      </c>
      <c r="U1386" t="s">
        <v>46336</v>
      </c>
      <c r="W1386" t="s">
        <v>39874</v>
      </c>
      <c r="X1386" t="s">
        <v>43175</v>
      </c>
    </row>
    <row r="1387" spans="1:24">
      <c r="A1387">
        <f>HYPERLINK("https://www.philgeps.gov.ph/GEPSNONPILOT/Tender/SplashBidNoticeAbstractUI.aspx?menuIndex=3&amp;refID=7073751&amp;Result=3","7073751")</f>
        <v>0</v>
      </c>
      <c r="B1387" t="s">
        <v>572</v>
      </c>
      <c r="C1387" t="s">
        <v>4754</v>
      </c>
      <c r="D1387" t="s">
        <v>17456</v>
      </c>
      <c r="E1387" t="s">
        <v>18712</v>
      </c>
      <c r="F1387" t="s">
        <v>30052</v>
      </c>
      <c r="G1387" t="s">
        <v>30059</v>
      </c>
      <c r="H1387" t="s">
        <v>15498</v>
      </c>
      <c r="I1387" t="s">
        <v>30143</v>
      </c>
      <c r="J1387" t="s">
        <v>30358</v>
      </c>
      <c r="K1387" t="s">
        <v>39025</v>
      </c>
      <c r="M1387" t="s">
        <v>39874</v>
      </c>
      <c r="N1387" t="s">
        <v>43166</v>
      </c>
      <c r="O1387" t="s">
        <v>43167</v>
      </c>
      <c r="P1387">
        <v>0</v>
      </c>
      <c r="Q1387">
        <v>1</v>
      </c>
      <c r="R1387" t="s">
        <v>43170</v>
      </c>
      <c r="S1387" t="s">
        <v>43297</v>
      </c>
      <c r="T1387" t="s">
        <v>44735</v>
      </c>
      <c r="U1387" t="s">
        <v>46338</v>
      </c>
      <c r="W1387" t="s">
        <v>39874</v>
      </c>
      <c r="X1387" t="s">
        <v>43175</v>
      </c>
    </row>
    <row r="1388" spans="1:24">
      <c r="A1388">
        <f>HYPERLINK("https://www.philgeps.gov.ph/GEPSNONPILOT/Tender/SplashBidNoticeAbstractUI.aspx?menuIndex=3&amp;refID=7071843&amp;Result=3","7071843")</f>
        <v>0</v>
      </c>
      <c r="B1388" t="s">
        <v>574</v>
      </c>
      <c r="C1388" t="s">
        <v>4755</v>
      </c>
      <c r="D1388" t="s">
        <v>17459</v>
      </c>
      <c r="E1388" t="s">
        <v>17776</v>
      </c>
      <c r="F1388" t="s">
        <v>30052</v>
      </c>
      <c r="G1388" t="s">
        <v>30058</v>
      </c>
      <c r="H1388" t="s">
        <v>30067</v>
      </c>
      <c r="I1388" t="s">
        <v>3736</v>
      </c>
      <c r="J1388" t="s">
        <v>30230</v>
      </c>
      <c r="K1388" t="s">
        <v>39025</v>
      </c>
      <c r="M1388" t="s">
        <v>39876</v>
      </c>
      <c r="N1388" t="s">
        <v>43166</v>
      </c>
      <c r="O1388" t="s">
        <v>43167</v>
      </c>
      <c r="P1388">
        <v>0</v>
      </c>
      <c r="Q1388">
        <v>0</v>
      </c>
      <c r="R1388" t="s">
        <v>43170</v>
      </c>
      <c r="S1388" t="s">
        <v>43297</v>
      </c>
      <c r="T1388" t="s">
        <v>44845</v>
      </c>
      <c r="U1388" t="s">
        <v>46339</v>
      </c>
      <c r="W1388" t="s">
        <v>39876</v>
      </c>
      <c r="X1388" t="s">
        <v>43178</v>
      </c>
    </row>
    <row r="1389" spans="1:24">
      <c r="A1389">
        <f>HYPERLINK("https://www.philgeps.gov.ph/GEPSNONPILOT/Tender/SplashBidNoticeAbstractUI.aspx?menuIndex=3&amp;refID=7071812&amp;Result=3","7071812")</f>
        <v>0</v>
      </c>
      <c r="B1389" t="s">
        <v>574</v>
      </c>
      <c r="C1389" t="s">
        <v>4756</v>
      </c>
      <c r="D1389" t="s">
        <v>17459</v>
      </c>
      <c r="E1389" t="s">
        <v>18713</v>
      </c>
      <c r="F1389" t="s">
        <v>30052</v>
      </c>
      <c r="G1389" t="s">
        <v>30058</v>
      </c>
      <c r="H1389" t="s">
        <v>30067</v>
      </c>
      <c r="I1389" t="s">
        <v>3736</v>
      </c>
      <c r="J1389" t="s">
        <v>30230</v>
      </c>
      <c r="K1389" t="s">
        <v>39025</v>
      </c>
      <c r="M1389" t="s">
        <v>39876</v>
      </c>
      <c r="N1389" t="s">
        <v>43166</v>
      </c>
      <c r="O1389" t="s">
        <v>43167</v>
      </c>
      <c r="P1389">
        <v>0</v>
      </c>
      <c r="Q1389">
        <v>0</v>
      </c>
      <c r="R1389" t="s">
        <v>43170</v>
      </c>
      <c r="S1389" t="s">
        <v>43297</v>
      </c>
      <c r="T1389" t="s">
        <v>44846</v>
      </c>
      <c r="U1389" t="s">
        <v>46339</v>
      </c>
      <c r="W1389" t="s">
        <v>39876</v>
      </c>
      <c r="X1389" t="s">
        <v>43178</v>
      </c>
    </row>
    <row r="1390" spans="1:24">
      <c r="A1390">
        <f>HYPERLINK("https://www.philgeps.gov.ph/GEPSNONPILOT/Tender/SplashBidNoticeAbstractUI.aspx?menuIndex=3&amp;refID=7087552&amp;Result=3","7087552")</f>
        <v>0</v>
      </c>
      <c r="B1390" t="s">
        <v>557</v>
      </c>
      <c r="C1390" t="s">
        <v>4757</v>
      </c>
      <c r="D1390" t="s">
        <v>17422</v>
      </c>
      <c r="E1390" t="s">
        <v>18714</v>
      </c>
      <c r="F1390" t="s">
        <v>30052</v>
      </c>
      <c r="G1390" t="s">
        <v>30059</v>
      </c>
      <c r="H1390" t="s">
        <v>15498</v>
      </c>
      <c r="I1390" t="s">
        <v>30134</v>
      </c>
      <c r="J1390" t="s">
        <v>30209</v>
      </c>
      <c r="K1390" t="s">
        <v>39025</v>
      </c>
      <c r="M1390" t="s">
        <v>39859</v>
      </c>
      <c r="N1390" t="s">
        <v>43166</v>
      </c>
      <c r="O1390" t="s">
        <v>43167</v>
      </c>
      <c r="P1390">
        <v>0</v>
      </c>
      <c r="Q1390">
        <v>2</v>
      </c>
      <c r="R1390" t="s">
        <v>43169</v>
      </c>
      <c r="S1390" t="s">
        <v>43291</v>
      </c>
      <c r="T1390" t="s">
        <v>44841</v>
      </c>
      <c r="U1390" t="s">
        <v>46331</v>
      </c>
      <c r="V1390" t="s">
        <v>56973</v>
      </c>
      <c r="W1390" t="s">
        <v>39859</v>
      </c>
      <c r="X1390" t="s">
        <v>43170</v>
      </c>
    </row>
    <row r="1391" spans="1:24">
      <c r="A1391">
        <f>HYPERLINK("https://www.philgeps.gov.ph/GEPSNONPILOT/Tender/SplashBidNoticeAbstractUI.aspx?menuIndex=3&amp;refID=7071712&amp;Result=3","7071712")</f>
        <v>0</v>
      </c>
      <c r="B1391" t="s">
        <v>574</v>
      </c>
      <c r="C1391" t="s">
        <v>4758</v>
      </c>
      <c r="D1391" t="s">
        <v>17459</v>
      </c>
      <c r="E1391" t="s">
        <v>18715</v>
      </c>
      <c r="F1391" t="s">
        <v>30052</v>
      </c>
      <c r="G1391" t="s">
        <v>30058</v>
      </c>
      <c r="H1391" t="s">
        <v>30067</v>
      </c>
      <c r="I1391" t="s">
        <v>3736</v>
      </c>
      <c r="J1391" t="s">
        <v>30230</v>
      </c>
      <c r="K1391" t="s">
        <v>39025</v>
      </c>
      <c r="M1391" t="s">
        <v>39876</v>
      </c>
      <c r="N1391" t="s">
        <v>43166</v>
      </c>
      <c r="O1391" t="s">
        <v>43167</v>
      </c>
      <c r="P1391">
        <v>0</v>
      </c>
      <c r="Q1391">
        <v>0</v>
      </c>
      <c r="R1391" t="s">
        <v>43170</v>
      </c>
      <c r="S1391" t="s">
        <v>43297</v>
      </c>
      <c r="T1391" t="s">
        <v>44847</v>
      </c>
      <c r="U1391" t="s">
        <v>46339</v>
      </c>
      <c r="W1391" t="s">
        <v>39876</v>
      </c>
      <c r="X1391" t="s">
        <v>43178</v>
      </c>
    </row>
    <row r="1392" spans="1:24">
      <c r="A1392">
        <f>HYPERLINK("https://www.philgeps.gov.ph/GEPSNONPILOT/Tender/SplashBidNoticeAbstractUI.aspx?menuIndex=3&amp;refID=7071626&amp;Result=3","7071626")</f>
        <v>0</v>
      </c>
      <c r="B1392" t="s">
        <v>574</v>
      </c>
      <c r="C1392" t="s">
        <v>4759</v>
      </c>
      <c r="D1392" t="s">
        <v>17459</v>
      </c>
      <c r="E1392" t="s">
        <v>18716</v>
      </c>
      <c r="F1392" t="s">
        <v>30052</v>
      </c>
      <c r="G1392" t="s">
        <v>30058</v>
      </c>
      <c r="H1392" t="s">
        <v>30067</v>
      </c>
      <c r="I1392" t="s">
        <v>3736</v>
      </c>
      <c r="J1392" t="s">
        <v>30230</v>
      </c>
      <c r="K1392" t="s">
        <v>39025</v>
      </c>
      <c r="M1392" t="s">
        <v>39876</v>
      </c>
      <c r="N1392" t="s">
        <v>43166</v>
      </c>
      <c r="O1392" t="s">
        <v>43167</v>
      </c>
      <c r="P1392">
        <v>0</v>
      </c>
      <c r="Q1392">
        <v>0</v>
      </c>
      <c r="R1392" t="s">
        <v>43170</v>
      </c>
      <c r="S1392" t="s">
        <v>43297</v>
      </c>
      <c r="T1392" t="s">
        <v>44848</v>
      </c>
      <c r="U1392" t="s">
        <v>46339</v>
      </c>
      <c r="W1392" t="s">
        <v>39876</v>
      </c>
      <c r="X1392" t="s">
        <v>43178</v>
      </c>
    </row>
    <row r="1393" spans="1:24">
      <c r="A1393">
        <f>HYPERLINK("https://www.philgeps.gov.ph/GEPSNONPILOT/Tender/SplashBidNoticeAbstractUI.aspx?menuIndex=3&amp;refID=7087516&amp;Result=3","7087516")</f>
        <v>0</v>
      </c>
      <c r="B1393" t="s">
        <v>557</v>
      </c>
      <c r="C1393" t="s">
        <v>4760</v>
      </c>
      <c r="D1393" t="s">
        <v>17422</v>
      </c>
      <c r="E1393" t="s">
        <v>18717</v>
      </c>
      <c r="F1393" t="s">
        <v>30052</v>
      </c>
      <c r="G1393" t="s">
        <v>30059</v>
      </c>
      <c r="H1393" t="s">
        <v>15498</v>
      </c>
      <c r="I1393" t="s">
        <v>30099</v>
      </c>
      <c r="J1393" t="s">
        <v>31195</v>
      </c>
      <c r="K1393" t="s">
        <v>39025</v>
      </c>
      <c r="M1393" t="s">
        <v>39859</v>
      </c>
      <c r="N1393" t="s">
        <v>43166</v>
      </c>
      <c r="O1393" t="s">
        <v>43167</v>
      </c>
      <c r="P1393">
        <v>0</v>
      </c>
      <c r="Q1393">
        <v>1</v>
      </c>
      <c r="R1393" t="s">
        <v>43169</v>
      </c>
      <c r="S1393" t="s">
        <v>43291</v>
      </c>
      <c r="T1393" t="s">
        <v>44841</v>
      </c>
      <c r="U1393" t="s">
        <v>46340</v>
      </c>
      <c r="V1393" t="s">
        <v>56973</v>
      </c>
      <c r="W1393" t="s">
        <v>39859</v>
      </c>
      <c r="X1393" t="s">
        <v>43170</v>
      </c>
    </row>
    <row r="1394" spans="1:24">
      <c r="A1394">
        <f>HYPERLINK("https://www.philgeps.gov.ph/GEPSNONPILOT/Tender/SplashBidNoticeAbstractUI.aspx?menuIndex=3&amp;refID=7071522&amp;Result=3","7071522")</f>
        <v>0</v>
      </c>
      <c r="B1394" t="s">
        <v>574</v>
      </c>
      <c r="C1394" t="s">
        <v>4761</v>
      </c>
      <c r="D1394" t="s">
        <v>17459</v>
      </c>
      <c r="E1394" t="s">
        <v>18718</v>
      </c>
      <c r="F1394" t="s">
        <v>30052</v>
      </c>
      <c r="G1394" t="s">
        <v>30058</v>
      </c>
      <c r="H1394" t="s">
        <v>30067</v>
      </c>
      <c r="I1394" t="s">
        <v>3736</v>
      </c>
      <c r="J1394" t="s">
        <v>30230</v>
      </c>
      <c r="K1394" t="s">
        <v>39025</v>
      </c>
      <c r="M1394" t="s">
        <v>39876</v>
      </c>
      <c r="N1394" t="s">
        <v>43166</v>
      </c>
      <c r="O1394" t="s">
        <v>43167</v>
      </c>
      <c r="P1394">
        <v>0</v>
      </c>
      <c r="Q1394">
        <v>0</v>
      </c>
      <c r="R1394" t="s">
        <v>43170</v>
      </c>
      <c r="S1394" t="s">
        <v>43297</v>
      </c>
      <c r="T1394" t="s">
        <v>44849</v>
      </c>
      <c r="U1394" t="s">
        <v>46339</v>
      </c>
      <c r="W1394" t="s">
        <v>39876</v>
      </c>
      <c r="X1394" t="s">
        <v>43178</v>
      </c>
    </row>
    <row r="1395" spans="1:24">
      <c r="A1395">
        <f>HYPERLINK("https://www.philgeps.gov.ph/GEPSNONPILOT/Tender/SplashBidNoticeAbstractUI.aspx?menuIndex=3&amp;refID=7071201&amp;Result=3","7071201")</f>
        <v>0</v>
      </c>
      <c r="B1395" t="s">
        <v>574</v>
      </c>
      <c r="C1395" t="s">
        <v>4762</v>
      </c>
      <c r="D1395" t="s">
        <v>17459</v>
      </c>
      <c r="E1395" t="s">
        <v>18719</v>
      </c>
      <c r="F1395" t="s">
        <v>30052</v>
      </c>
      <c r="G1395" t="s">
        <v>30058</v>
      </c>
      <c r="H1395" t="s">
        <v>30067</v>
      </c>
      <c r="I1395" t="s">
        <v>3736</v>
      </c>
      <c r="J1395" t="s">
        <v>30230</v>
      </c>
      <c r="K1395" t="s">
        <v>39025</v>
      </c>
      <c r="M1395" t="s">
        <v>39876</v>
      </c>
      <c r="N1395" t="s">
        <v>43166</v>
      </c>
      <c r="O1395" t="s">
        <v>43167</v>
      </c>
      <c r="P1395">
        <v>0</v>
      </c>
      <c r="Q1395">
        <v>0</v>
      </c>
      <c r="R1395" t="s">
        <v>43170</v>
      </c>
      <c r="S1395" t="s">
        <v>43297</v>
      </c>
      <c r="T1395" t="s">
        <v>44850</v>
      </c>
      <c r="U1395" t="s">
        <v>46339</v>
      </c>
      <c r="W1395" t="s">
        <v>39876</v>
      </c>
      <c r="X1395" t="s">
        <v>43178</v>
      </c>
    </row>
    <row r="1396" spans="1:24">
      <c r="A1396">
        <f>HYPERLINK("https://www.philgeps.gov.ph/GEPSNONPILOT/Tender/SplashBidNoticeAbstractUI.aspx?menuIndex=3&amp;refID=6219576&amp;Result=3","6219576")</f>
        <v>0</v>
      </c>
      <c r="B1396" t="s">
        <v>497</v>
      </c>
      <c r="C1396" t="s">
        <v>4763</v>
      </c>
      <c r="D1396" t="s">
        <v>17445</v>
      </c>
      <c r="E1396" t="s">
        <v>18720</v>
      </c>
      <c r="F1396" t="s">
        <v>30052</v>
      </c>
      <c r="G1396" t="s">
        <v>30058</v>
      </c>
      <c r="H1396" t="s">
        <v>30067</v>
      </c>
      <c r="I1396" t="s">
        <v>3693</v>
      </c>
      <c r="J1396" t="s">
        <v>30397</v>
      </c>
      <c r="K1396" t="s">
        <v>39025</v>
      </c>
      <c r="M1396" t="s">
        <v>39798</v>
      </c>
      <c r="N1396" t="s">
        <v>43166</v>
      </c>
      <c r="O1396" t="s">
        <v>43167</v>
      </c>
      <c r="P1396">
        <v>0</v>
      </c>
      <c r="Q1396">
        <v>3</v>
      </c>
      <c r="R1396" t="s">
        <v>43170</v>
      </c>
      <c r="S1396" t="s">
        <v>43297</v>
      </c>
      <c r="T1396" t="s">
        <v>44693</v>
      </c>
      <c r="U1396" t="s">
        <v>46341</v>
      </c>
      <c r="W1396" t="s">
        <v>39798</v>
      </c>
      <c r="X1396" t="s">
        <v>58729</v>
      </c>
    </row>
    <row r="1397" spans="1:24">
      <c r="A1397">
        <f>HYPERLINK("https://www.philgeps.gov.ph/GEPSNONPILOT/Tender/SplashBidNoticeAbstractUI.aspx?menuIndex=3&amp;refID=7087549&amp;Result=3","7087549")</f>
        <v>0</v>
      </c>
      <c r="B1397" t="s">
        <v>575</v>
      </c>
      <c r="C1397" t="s">
        <v>4764</v>
      </c>
      <c r="D1397" t="s">
        <v>17445</v>
      </c>
      <c r="E1397" t="s">
        <v>18721</v>
      </c>
      <c r="F1397" t="s">
        <v>30052</v>
      </c>
      <c r="G1397" t="s">
        <v>30059</v>
      </c>
      <c r="H1397" t="s">
        <v>15498</v>
      </c>
      <c r="I1397" t="s">
        <v>30099</v>
      </c>
      <c r="J1397" t="s">
        <v>31196</v>
      </c>
      <c r="K1397" t="s">
        <v>39034</v>
      </c>
      <c r="M1397" t="s">
        <v>39877</v>
      </c>
      <c r="N1397" t="s">
        <v>43166</v>
      </c>
      <c r="O1397" t="s">
        <v>43167</v>
      </c>
      <c r="P1397">
        <v>0</v>
      </c>
      <c r="Q1397">
        <v>0</v>
      </c>
      <c r="R1397" t="s">
        <v>43169</v>
      </c>
      <c r="S1397" t="s">
        <v>43291</v>
      </c>
      <c r="T1397" t="s">
        <v>44714</v>
      </c>
      <c r="U1397" t="s">
        <v>46342</v>
      </c>
      <c r="W1397" t="s">
        <v>39877</v>
      </c>
      <c r="X1397" t="s">
        <v>43170</v>
      </c>
    </row>
    <row r="1398" spans="1:24">
      <c r="A1398">
        <f>HYPERLINK("https://www.philgeps.gov.ph/GEPSNONPILOT/Tender/SplashBidNoticeAbstractUI.aspx?menuIndex=3&amp;refID=7070607&amp;Result=3","7070607")</f>
        <v>0</v>
      </c>
      <c r="B1398" t="s">
        <v>574</v>
      </c>
      <c r="C1398" t="s">
        <v>4765</v>
      </c>
      <c r="D1398" t="s">
        <v>17459</v>
      </c>
      <c r="E1398" t="s">
        <v>18722</v>
      </c>
      <c r="F1398" t="s">
        <v>30052</v>
      </c>
      <c r="G1398" t="s">
        <v>30058</v>
      </c>
      <c r="H1398" t="s">
        <v>30067</v>
      </c>
      <c r="I1398" t="s">
        <v>3736</v>
      </c>
      <c r="J1398" t="s">
        <v>30230</v>
      </c>
      <c r="K1398" t="s">
        <v>39025</v>
      </c>
      <c r="M1398" t="s">
        <v>39876</v>
      </c>
      <c r="N1398" t="s">
        <v>43166</v>
      </c>
      <c r="O1398" t="s">
        <v>43167</v>
      </c>
      <c r="P1398">
        <v>0</v>
      </c>
      <c r="Q1398">
        <v>0</v>
      </c>
      <c r="R1398" t="s">
        <v>43170</v>
      </c>
      <c r="S1398" t="s">
        <v>43297</v>
      </c>
      <c r="T1398" t="s">
        <v>44724</v>
      </c>
      <c r="U1398" t="s">
        <v>46339</v>
      </c>
      <c r="W1398" t="s">
        <v>39876</v>
      </c>
      <c r="X1398" t="s">
        <v>43178</v>
      </c>
    </row>
    <row r="1399" spans="1:24">
      <c r="A1399">
        <f>HYPERLINK("https://www.philgeps.gov.ph/GEPSNONPILOT/Tender/SplashBidNoticeAbstractUI.aspx?menuIndex=3&amp;refID=7075183&amp;Result=3","7075183")</f>
        <v>0</v>
      </c>
      <c r="B1399" t="s">
        <v>572</v>
      </c>
      <c r="C1399" t="s">
        <v>4766</v>
      </c>
      <c r="D1399" t="s">
        <v>17432</v>
      </c>
      <c r="E1399" t="s">
        <v>18723</v>
      </c>
      <c r="F1399" t="s">
        <v>30052</v>
      </c>
      <c r="G1399" t="s">
        <v>30059</v>
      </c>
      <c r="H1399" t="s">
        <v>15498</v>
      </c>
      <c r="I1399" t="s">
        <v>30143</v>
      </c>
      <c r="J1399" t="s">
        <v>30337</v>
      </c>
      <c r="K1399" t="s">
        <v>39025</v>
      </c>
      <c r="M1399" t="s">
        <v>39874</v>
      </c>
      <c r="N1399" t="s">
        <v>43166</v>
      </c>
      <c r="O1399" t="s">
        <v>43167</v>
      </c>
      <c r="P1399">
        <v>0</v>
      </c>
      <c r="Q1399">
        <v>1</v>
      </c>
      <c r="R1399" t="s">
        <v>43170</v>
      </c>
      <c r="S1399" t="s">
        <v>43297</v>
      </c>
      <c r="T1399" t="s">
        <v>44735</v>
      </c>
      <c r="U1399" t="s">
        <v>46336</v>
      </c>
      <c r="W1399" t="s">
        <v>39874</v>
      </c>
      <c r="X1399" t="s">
        <v>43175</v>
      </c>
    </row>
    <row r="1400" spans="1:24">
      <c r="A1400">
        <f>HYPERLINK("https://www.philgeps.gov.ph/GEPSNONPILOT/Tender/SplashBidNoticeAbstractUI.aspx?menuIndex=3&amp;refID=7081826&amp;Result=3","7081826")</f>
        <v>0</v>
      </c>
      <c r="B1400" t="s">
        <v>576</v>
      </c>
      <c r="C1400" t="s">
        <v>4767</v>
      </c>
      <c r="D1400" t="s">
        <v>17484</v>
      </c>
      <c r="E1400" t="s">
        <v>18724</v>
      </c>
      <c r="F1400" t="s">
        <v>30052</v>
      </c>
      <c r="G1400" t="s">
        <v>30058</v>
      </c>
      <c r="H1400" t="s">
        <v>15498</v>
      </c>
      <c r="I1400" t="s">
        <v>30081</v>
      </c>
      <c r="J1400" t="s">
        <v>31197</v>
      </c>
      <c r="K1400" t="s">
        <v>39037</v>
      </c>
      <c r="M1400" t="s">
        <v>39878</v>
      </c>
      <c r="N1400" t="s">
        <v>43166</v>
      </c>
      <c r="O1400" t="s">
        <v>43167</v>
      </c>
      <c r="P1400">
        <v>0</v>
      </c>
      <c r="Q1400">
        <v>0</v>
      </c>
      <c r="R1400" t="s">
        <v>43170</v>
      </c>
      <c r="S1400" t="s">
        <v>43297</v>
      </c>
      <c r="T1400" t="s">
        <v>44704</v>
      </c>
      <c r="U1400" t="s">
        <v>46343</v>
      </c>
      <c r="W1400" t="s">
        <v>39878</v>
      </c>
      <c r="X1400" t="s">
        <v>43172</v>
      </c>
    </row>
    <row r="1401" spans="1:24">
      <c r="A1401">
        <f>HYPERLINK("https://www.philgeps.gov.ph/GEPSNONPILOT/Tender/SplashBidNoticeAbstractUI.aspx?menuIndex=3&amp;refID=7071258&amp;Result=3","7071258")</f>
        <v>0</v>
      </c>
      <c r="B1401" t="s">
        <v>574</v>
      </c>
      <c r="C1401" t="s">
        <v>4768</v>
      </c>
      <c r="D1401" t="s">
        <v>17459</v>
      </c>
      <c r="E1401" t="s">
        <v>18079</v>
      </c>
      <c r="F1401" t="s">
        <v>30052</v>
      </c>
      <c r="G1401" t="s">
        <v>30058</v>
      </c>
      <c r="H1401" t="s">
        <v>30067</v>
      </c>
      <c r="I1401" t="s">
        <v>3736</v>
      </c>
      <c r="J1401" t="s">
        <v>30230</v>
      </c>
      <c r="K1401" t="s">
        <v>39025</v>
      </c>
      <c r="M1401" t="s">
        <v>39876</v>
      </c>
      <c r="N1401" t="s">
        <v>43166</v>
      </c>
      <c r="O1401" t="s">
        <v>43167</v>
      </c>
      <c r="P1401">
        <v>0</v>
      </c>
      <c r="Q1401">
        <v>0</v>
      </c>
      <c r="R1401" t="s">
        <v>43170</v>
      </c>
      <c r="S1401" t="s">
        <v>43297</v>
      </c>
      <c r="T1401" t="s">
        <v>44851</v>
      </c>
      <c r="U1401" t="s">
        <v>46339</v>
      </c>
      <c r="W1401" t="s">
        <v>39876</v>
      </c>
      <c r="X1401" t="s">
        <v>43178</v>
      </c>
    </row>
    <row r="1402" spans="1:24">
      <c r="A1402">
        <f>HYPERLINK("https://www.philgeps.gov.ph/GEPSNONPILOT/Tender/SplashBidNoticeAbstractUI.aspx?menuIndex=3&amp;refID=7071874&amp;Result=3","7071874")</f>
        <v>0</v>
      </c>
      <c r="B1402" t="s">
        <v>574</v>
      </c>
      <c r="C1402" t="s">
        <v>4769</v>
      </c>
      <c r="D1402" t="s">
        <v>17459</v>
      </c>
      <c r="E1402" t="s">
        <v>18725</v>
      </c>
      <c r="F1402" t="s">
        <v>30052</v>
      </c>
      <c r="G1402" t="s">
        <v>30058</v>
      </c>
      <c r="H1402" t="s">
        <v>30067</v>
      </c>
      <c r="I1402" t="s">
        <v>3736</v>
      </c>
      <c r="J1402" t="s">
        <v>30230</v>
      </c>
      <c r="K1402" t="s">
        <v>39025</v>
      </c>
      <c r="M1402" t="s">
        <v>39876</v>
      </c>
      <c r="N1402" t="s">
        <v>43166</v>
      </c>
      <c r="O1402" t="s">
        <v>43167</v>
      </c>
      <c r="P1402">
        <v>0</v>
      </c>
      <c r="Q1402">
        <v>0</v>
      </c>
      <c r="R1402" t="s">
        <v>43170</v>
      </c>
      <c r="S1402" t="s">
        <v>43297</v>
      </c>
      <c r="T1402" t="s">
        <v>44852</v>
      </c>
      <c r="U1402" t="s">
        <v>46339</v>
      </c>
      <c r="W1402" t="s">
        <v>39876</v>
      </c>
      <c r="X1402" t="s">
        <v>43178</v>
      </c>
    </row>
    <row r="1403" spans="1:24">
      <c r="A1403">
        <f>HYPERLINK("https://www.philgeps.gov.ph/GEPSNONPILOT/Tender/SplashBidNoticeAbstractUI.aspx?menuIndex=3&amp;refID=7082132&amp;Result=3","7082132")</f>
        <v>0</v>
      </c>
      <c r="B1403" t="s">
        <v>577</v>
      </c>
      <c r="C1403" t="s">
        <v>4770</v>
      </c>
      <c r="D1403" t="s">
        <v>17464</v>
      </c>
      <c r="E1403" t="s">
        <v>18726</v>
      </c>
      <c r="F1403" t="s">
        <v>30054</v>
      </c>
      <c r="G1403" t="s">
        <v>30058</v>
      </c>
      <c r="H1403" t="s">
        <v>30067</v>
      </c>
      <c r="I1403" t="s">
        <v>3693</v>
      </c>
      <c r="J1403" t="s">
        <v>31198</v>
      </c>
      <c r="K1403" t="s">
        <v>39026</v>
      </c>
      <c r="M1403" t="s">
        <v>39879</v>
      </c>
      <c r="N1403" t="s">
        <v>43166</v>
      </c>
      <c r="O1403" t="s">
        <v>43167</v>
      </c>
      <c r="P1403">
        <v>0</v>
      </c>
      <c r="Q1403">
        <v>0</v>
      </c>
      <c r="R1403" t="s">
        <v>43170</v>
      </c>
      <c r="S1403" t="s">
        <v>43297</v>
      </c>
      <c r="T1403" t="s">
        <v>44853</v>
      </c>
      <c r="U1403" t="s">
        <v>46344</v>
      </c>
      <c r="W1403" t="s">
        <v>39879</v>
      </c>
      <c r="X1403" t="s">
        <v>43172</v>
      </c>
    </row>
    <row r="1404" spans="1:24">
      <c r="A1404">
        <f>HYPERLINK("https://www.philgeps.gov.ph/GEPSNONPILOT/Tender/SplashBidNoticeAbstractUI.aspx?menuIndex=3&amp;refID=7070737&amp;Result=3","7070737")</f>
        <v>0</v>
      </c>
      <c r="B1404" t="s">
        <v>574</v>
      </c>
      <c r="C1404" t="s">
        <v>4771</v>
      </c>
      <c r="D1404" t="s">
        <v>17459</v>
      </c>
      <c r="E1404" t="s">
        <v>18727</v>
      </c>
      <c r="F1404" t="s">
        <v>30052</v>
      </c>
      <c r="G1404" t="s">
        <v>30058</v>
      </c>
      <c r="H1404" t="s">
        <v>30067</v>
      </c>
      <c r="I1404" t="s">
        <v>3736</v>
      </c>
      <c r="J1404" t="s">
        <v>30230</v>
      </c>
      <c r="K1404" t="s">
        <v>39025</v>
      </c>
      <c r="M1404" t="s">
        <v>39876</v>
      </c>
      <c r="N1404" t="s">
        <v>43166</v>
      </c>
      <c r="O1404" t="s">
        <v>43167</v>
      </c>
      <c r="P1404">
        <v>0</v>
      </c>
      <c r="Q1404">
        <v>0</v>
      </c>
      <c r="R1404" t="s">
        <v>43170</v>
      </c>
      <c r="S1404" t="s">
        <v>43297</v>
      </c>
      <c r="T1404" t="s">
        <v>44854</v>
      </c>
      <c r="U1404" t="s">
        <v>46339</v>
      </c>
      <c r="W1404" t="s">
        <v>39876</v>
      </c>
      <c r="X1404" t="s">
        <v>43178</v>
      </c>
    </row>
    <row r="1405" spans="1:24">
      <c r="A1405">
        <f>HYPERLINK("https://www.philgeps.gov.ph/GEPSNONPILOT/Tender/SplashBidNoticeAbstractUI.aspx?menuIndex=3&amp;refID=7081852&amp;Result=3","7081852")</f>
        <v>0</v>
      </c>
      <c r="B1405" t="s">
        <v>578</v>
      </c>
      <c r="C1405" t="s">
        <v>4772</v>
      </c>
      <c r="D1405" t="s">
        <v>17446</v>
      </c>
      <c r="E1405" t="s">
        <v>18728</v>
      </c>
      <c r="F1405" t="s">
        <v>30052</v>
      </c>
      <c r="G1405" t="s">
        <v>30059</v>
      </c>
      <c r="H1405" t="s">
        <v>15498</v>
      </c>
      <c r="I1405" t="s">
        <v>30139</v>
      </c>
      <c r="J1405" t="s">
        <v>31199</v>
      </c>
      <c r="K1405" t="s">
        <v>39029</v>
      </c>
      <c r="M1405" t="s">
        <v>39880</v>
      </c>
      <c r="N1405" t="s">
        <v>43166</v>
      </c>
      <c r="O1405" t="s">
        <v>43167</v>
      </c>
      <c r="P1405">
        <v>0</v>
      </c>
      <c r="Q1405">
        <v>3</v>
      </c>
      <c r="R1405" t="s">
        <v>43170</v>
      </c>
      <c r="S1405" t="s">
        <v>43297</v>
      </c>
      <c r="T1405" t="s">
        <v>44837</v>
      </c>
      <c r="U1405" t="s">
        <v>46345</v>
      </c>
      <c r="W1405" t="s">
        <v>39880</v>
      </c>
      <c r="X1405" t="s">
        <v>43172</v>
      </c>
    </row>
    <row r="1406" spans="1:24">
      <c r="A1406">
        <f>HYPERLINK("https://www.philgeps.gov.ph/GEPSNONPILOT/Tender/SplashBidNoticeAbstractUI.aspx?menuIndex=3&amp;refID=7081827&amp;Result=3","7081827")</f>
        <v>0</v>
      </c>
      <c r="B1406" t="s">
        <v>576</v>
      </c>
      <c r="C1406" t="s">
        <v>4773</v>
      </c>
      <c r="D1406" t="s">
        <v>17484</v>
      </c>
      <c r="E1406" t="s">
        <v>18729</v>
      </c>
      <c r="F1406" t="s">
        <v>30052</v>
      </c>
      <c r="G1406" t="s">
        <v>30058</v>
      </c>
      <c r="H1406" t="s">
        <v>15498</v>
      </c>
      <c r="I1406" t="s">
        <v>4119</v>
      </c>
      <c r="J1406" t="s">
        <v>31200</v>
      </c>
      <c r="K1406" t="s">
        <v>39037</v>
      </c>
      <c r="M1406" t="s">
        <v>39878</v>
      </c>
      <c r="N1406" t="s">
        <v>43166</v>
      </c>
      <c r="O1406" t="s">
        <v>43167</v>
      </c>
      <c r="P1406">
        <v>0</v>
      </c>
      <c r="Q1406">
        <v>2</v>
      </c>
      <c r="R1406" t="s">
        <v>43170</v>
      </c>
      <c r="S1406" t="s">
        <v>43297</v>
      </c>
      <c r="T1406" t="s">
        <v>44704</v>
      </c>
      <c r="U1406" t="s">
        <v>46343</v>
      </c>
      <c r="W1406" t="s">
        <v>39878</v>
      </c>
      <c r="X1406" t="s">
        <v>43172</v>
      </c>
    </row>
    <row r="1407" spans="1:24">
      <c r="A1407">
        <f>HYPERLINK("https://www.philgeps.gov.ph/GEPSNONPILOT/Tender/SplashBidNoticeAbstractUI.aspx?menuIndex=3&amp;refID=7071582&amp;Result=3","7071582")</f>
        <v>0</v>
      </c>
      <c r="B1407" t="s">
        <v>574</v>
      </c>
      <c r="C1407" t="s">
        <v>4774</v>
      </c>
      <c r="D1407" t="s">
        <v>17459</v>
      </c>
      <c r="E1407" t="s">
        <v>18456</v>
      </c>
      <c r="F1407" t="s">
        <v>30052</v>
      </c>
      <c r="G1407" t="s">
        <v>30058</v>
      </c>
      <c r="H1407" t="s">
        <v>30067</v>
      </c>
      <c r="I1407" t="s">
        <v>3736</v>
      </c>
      <c r="J1407" t="s">
        <v>30230</v>
      </c>
      <c r="K1407" t="s">
        <v>39025</v>
      </c>
      <c r="M1407" t="s">
        <v>39876</v>
      </c>
      <c r="N1407" t="s">
        <v>43166</v>
      </c>
      <c r="O1407" t="s">
        <v>43167</v>
      </c>
      <c r="P1407">
        <v>0</v>
      </c>
      <c r="Q1407">
        <v>0</v>
      </c>
      <c r="R1407" t="s">
        <v>43170</v>
      </c>
      <c r="S1407" t="s">
        <v>43297</v>
      </c>
      <c r="T1407" t="s">
        <v>44855</v>
      </c>
      <c r="U1407" t="s">
        <v>46339</v>
      </c>
      <c r="W1407" t="s">
        <v>39876</v>
      </c>
      <c r="X1407" t="s">
        <v>43178</v>
      </c>
    </row>
    <row r="1408" spans="1:24">
      <c r="A1408">
        <f>HYPERLINK("https://www.philgeps.gov.ph/GEPSNONPILOT/Tender/SplashBidNoticeAbstractUI.aspx?menuIndex=3&amp;refID=7081289&amp;Result=3","7081289")</f>
        <v>0</v>
      </c>
      <c r="B1408" t="s">
        <v>579</v>
      </c>
      <c r="C1408" t="s">
        <v>4775</v>
      </c>
      <c r="D1408" t="s">
        <v>17441</v>
      </c>
      <c r="E1408" t="s">
        <v>4775</v>
      </c>
      <c r="F1408" t="s">
        <v>30052</v>
      </c>
      <c r="G1408" t="s">
        <v>30059</v>
      </c>
      <c r="H1408" t="s">
        <v>15498</v>
      </c>
      <c r="I1408" t="s">
        <v>30084</v>
      </c>
      <c r="J1408" t="s">
        <v>31201</v>
      </c>
      <c r="K1408" t="s">
        <v>39025</v>
      </c>
      <c r="M1408" t="s">
        <v>39881</v>
      </c>
      <c r="N1408" t="s">
        <v>43166</v>
      </c>
      <c r="O1408" t="s">
        <v>43167</v>
      </c>
      <c r="P1408">
        <v>0</v>
      </c>
      <c r="Q1408">
        <v>4</v>
      </c>
      <c r="R1408" t="s">
        <v>43170</v>
      </c>
      <c r="S1408" t="s">
        <v>43297</v>
      </c>
      <c r="T1408" t="s">
        <v>44856</v>
      </c>
      <c r="U1408" t="s">
        <v>46346</v>
      </c>
      <c r="W1408" t="s">
        <v>39881</v>
      </c>
      <c r="X1408" t="s">
        <v>43173</v>
      </c>
    </row>
    <row r="1409" spans="1:24">
      <c r="A1409">
        <f>HYPERLINK("https://www.philgeps.gov.ph/GEPSNONPILOT/Tender/SplashBidNoticeAbstractUI.aspx?menuIndex=3&amp;refID=7071301&amp;Result=3","7071301")</f>
        <v>0</v>
      </c>
      <c r="B1409" t="s">
        <v>574</v>
      </c>
      <c r="C1409" t="s">
        <v>4776</v>
      </c>
      <c r="D1409" t="s">
        <v>17459</v>
      </c>
      <c r="E1409" t="s">
        <v>17937</v>
      </c>
      <c r="F1409" t="s">
        <v>30052</v>
      </c>
      <c r="G1409" t="s">
        <v>30058</v>
      </c>
      <c r="H1409" t="s">
        <v>30067</v>
      </c>
      <c r="I1409" t="s">
        <v>3736</v>
      </c>
      <c r="J1409" t="s">
        <v>30230</v>
      </c>
      <c r="K1409" t="s">
        <v>39025</v>
      </c>
      <c r="M1409" t="s">
        <v>39876</v>
      </c>
      <c r="N1409" t="s">
        <v>43166</v>
      </c>
      <c r="O1409" t="s">
        <v>43167</v>
      </c>
      <c r="P1409">
        <v>0</v>
      </c>
      <c r="Q1409">
        <v>0</v>
      </c>
      <c r="R1409" t="s">
        <v>43170</v>
      </c>
      <c r="S1409" t="s">
        <v>43297</v>
      </c>
      <c r="T1409" t="s">
        <v>44857</v>
      </c>
      <c r="U1409" t="s">
        <v>46339</v>
      </c>
      <c r="W1409" t="s">
        <v>39876</v>
      </c>
      <c r="X1409" t="s">
        <v>43178</v>
      </c>
    </row>
    <row r="1410" spans="1:24">
      <c r="A1410">
        <f>HYPERLINK("https://www.philgeps.gov.ph/GEPSNONPILOT/Tender/SplashBidNoticeAbstractUI.aspx?menuIndex=3&amp;refID=7080541&amp;Result=3","7080541")</f>
        <v>0</v>
      </c>
      <c r="B1410" t="s">
        <v>580</v>
      </c>
      <c r="C1410" t="s">
        <v>4777</v>
      </c>
      <c r="D1410" t="s">
        <v>17415</v>
      </c>
      <c r="E1410" t="s">
        <v>18730</v>
      </c>
      <c r="F1410" t="s">
        <v>30052</v>
      </c>
      <c r="G1410" t="s">
        <v>30059</v>
      </c>
      <c r="H1410" t="s">
        <v>15498</v>
      </c>
      <c r="I1410" t="s">
        <v>8323</v>
      </c>
      <c r="J1410" t="s">
        <v>30330</v>
      </c>
      <c r="K1410" t="s">
        <v>39019</v>
      </c>
      <c r="M1410" t="s">
        <v>39882</v>
      </c>
      <c r="N1410" t="s">
        <v>43166</v>
      </c>
      <c r="O1410" t="s">
        <v>43167</v>
      </c>
      <c r="P1410">
        <v>0</v>
      </c>
      <c r="Q1410">
        <v>18</v>
      </c>
      <c r="R1410" t="s">
        <v>43170</v>
      </c>
      <c r="S1410" t="s">
        <v>43297</v>
      </c>
      <c r="T1410" t="s">
        <v>44837</v>
      </c>
      <c r="U1410" t="s">
        <v>46347</v>
      </c>
      <c r="V1410" t="s">
        <v>56979</v>
      </c>
      <c r="W1410" t="s">
        <v>39882</v>
      </c>
      <c r="X1410" t="s">
        <v>43173</v>
      </c>
    </row>
    <row r="1411" spans="1:24">
      <c r="A1411">
        <f>HYPERLINK("https://www.philgeps.gov.ph/GEPSNONPILOT/Tender/SplashBidNoticeAbstractUI.aspx?menuIndex=3&amp;refID=7079630&amp;Result=3","7079630")</f>
        <v>0</v>
      </c>
      <c r="B1411" t="s">
        <v>581</v>
      </c>
      <c r="C1411" t="s">
        <v>4778</v>
      </c>
      <c r="D1411" t="s">
        <v>17476</v>
      </c>
      <c r="E1411" t="s">
        <v>18731</v>
      </c>
      <c r="F1411" t="s">
        <v>30052</v>
      </c>
      <c r="G1411" t="s">
        <v>30058</v>
      </c>
      <c r="H1411" t="s">
        <v>15498</v>
      </c>
      <c r="I1411" t="s">
        <v>30096</v>
      </c>
      <c r="J1411" t="s">
        <v>31202</v>
      </c>
      <c r="K1411" t="s">
        <v>39023</v>
      </c>
      <c r="M1411" t="s">
        <v>39883</v>
      </c>
      <c r="N1411" t="s">
        <v>43166</v>
      </c>
      <c r="O1411" t="s">
        <v>43167</v>
      </c>
      <c r="P1411">
        <v>0</v>
      </c>
      <c r="Q1411">
        <v>6</v>
      </c>
      <c r="R1411" t="s">
        <v>43170</v>
      </c>
      <c r="S1411" t="s">
        <v>43297</v>
      </c>
      <c r="T1411" t="s">
        <v>44776</v>
      </c>
      <c r="U1411" t="s">
        <v>46348</v>
      </c>
      <c r="V1411" t="s">
        <v>56980</v>
      </c>
      <c r="W1411" t="s">
        <v>39883</v>
      </c>
      <c r="X1411" t="s">
        <v>43173</v>
      </c>
    </row>
    <row r="1412" spans="1:24">
      <c r="A1412">
        <f>HYPERLINK("https://www.philgeps.gov.ph/GEPSNONPILOT/Tender/SplashBidNoticeAbstractUI.aspx?menuIndex=3&amp;refID=7079555&amp;Result=3","7079555")</f>
        <v>0</v>
      </c>
      <c r="B1412" t="s">
        <v>582</v>
      </c>
      <c r="C1412" t="s">
        <v>4779</v>
      </c>
      <c r="D1412" t="s">
        <v>17466</v>
      </c>
      <c r="E1412" t="s">
        <v>18732</v>
      </c>
      <c r="F1412" t="s">
        <v>30052</v>
      </c>
      <c r="G1412" t="s">
        <v>30058</v>
      </c>
      <c r="H1412" t="s">
        <v>30067</v>
      </c>
      <c r="I1412" t="s">
        <v>3693</v>
      </c>
      <c r="J1412" t="s">
        <v>31203</v>
      </c>
      <c r="K1412" t="s">
        <v>39025</v>
      </c>
      <c r="M1412" t="s">
        <v>39884</v>
      </c>
      <c r="N1412" t="s">
        <v>43166</v>
      </c>
      <c r="O1412" t="s">
        <v>43167</v>
      </c>
      <c r="P1412">
        <v>0</v>
      </c>
      <c r="Q1412">
        <v>3</v>
      </c>
      <c r="R1412" t="s">
        <v>43170</v>
      </c>
      <c r="S1412" t="s">
        <v>43297</v>
      </c>
      <c r="T1412" t="s">
        <v>44741</v>
      </c>
      <c r="U1412" t="s">
        <v>46349</v>
      </c>
      <c r="V1412" t="s">
        <v>56981</v>
      </c>
      <c r="W1412" t="s">
        <v>39884</v>
      </c>
      <c r="X1412" t="s">
        <v>43173</v>
      </c>
    </row>
    <row r="1413" spans="1:24">
      <c r="A1413">
        <f>HYPERLINK("https://www.philgeps.gov.ph/GEPSNONPILOT/Tender/SplashBidNoticeAbstractUI.aspx?menuIndex=3&amp;refID=7081711&amp;Result=3","7081711")</f>
        <v>0</v>
      </c>
      <c r="B1413" t="s">
        <v>583</v>
      </c>
      <c r="C1413" t="s">
        <v>4780</v>
      </c>
      <c r="D1413" t="s">
        <v>17494</v>
      </c>
      <c r="E1413" t="s">
        <v>18733</v>
      </c>
      <c r="F1413" t="s">
        <v>30052</v>
      </c>
      <c r="G1413" t="s">
        <v>30059</v>
      </c>
      <c r="H1413" t="s">
        <v>15498</v>
      </c>
      <c r="I1413" t="s">
        <v>30151</v>
      </c>
      <c r="J1413" t="s">
        <v>31204</v>
      </c>
      <c r="K1413" t="s">
        <v>39029</v>
      </c>
      <c r="M1413" t="s">
        <v>39885</v>
      </c>
      <c r="N1413" t="s">
        <v>43166</v>
      </c>
      <c r="O1413" t="s">
        <v>43167</v>
      </c>
      <c r="P1413">
        <v>0</v>
      </c>
      <c r="Q1413">
        <v>1</v>
      </c>
      <c r="R1413" t="s">
        <v>43170</v>
      </c>
      <c r="S1413" t="s">
        <v>43297</v>
      </c>
      <c r="T1413" t="s">
        <v>44750</v>
      </c>
      <c r="U1413" t="s">
        <v>46350</v>
      </c>
      <c r="W1413" t="s">
        <v>39885</v>
      </c>
      <c r="X1413" t="s">
        <v>43173</v>
      </c>
    </row>
    <row r="1414" spans="1:24">
      <c r="A1414">
        <f>HYPERLINK("https://www.philgeps.gov.ph/GEPSNONPILOT/Tender/SplashBidNoticeAbstractUI.aspx?menuIndex=3&amp;refID=7078240&amp;Result=3","7078240")</f>
        <v>0</v>
      </c>
      <c r="B1414" t="s">
        <v>584</v>
      </c>
      <c r="C1414" t="s">
        <v>4781</v>
      </c>
      <c r="D1414" t="s">
        <v>17470</v>
      </c>
      <c r="E1414" t="s">
        <v>18734</v>
      </c>
      <c r="F1414" t="s">
        <v>30052</v>
      </c>
      <c r="G1414" t="s">
        <v>30061</v>
      </c>
      <c r="H1414" t="s">
        <v>15498</v>
      </c>
      <c r="I1414" t="s">
        <v>5961</v>
      </c>
      <c r="J1414" t="s">
        <v>30905</v>
      </c>
      <c r="K1414" t="s">
        <v>39034</v>
      </c>
      <c r="M1414" t="s">
        <v>39886</v>
      </c>
      <c r="N1414" t="s">
        <v>43166</v>
      </c>
      <c r="O1414" t="s">
        <v>43167</v>
      </c>
      <c r="P1414">
        <v>0</v>
      </c>
      <c r="Q1414">
        <v>0</v>
      </c>
      <c r="R1414" t="s">
        <v>43170</v>
      </c>
      <c r="S1414" t="s">
        <v>43297</v>
      </c>
      <c r="T1414" t="s">
        <v>44710</v>
      </c>
      <c r="U1414" t="s">
        <v>46351</v>
      </c>
      <c r="W1414" t="s">
        <v>39886</v>
      </c>
      <c r="X1414" t="s">
        <v>43174</v>
      </c>
    </row>
    <row r="1415" spans="1:24">
      <c r="A1415">
        <f>HYPERLINK("https://www.philgeps.gov.ph/GEPSNONPILOT/Tender/SplashBidNoticeAbstractUI.aspx?menuIndex=3&amp;refID=7081828&amp;Result=3","7081828")</f>
        <v>0</v>
      </c>
      <c r="B1415" t="s">
        <v>576</v>
      </c>
      <c r="C1415" t="s">
        <v>4782</v>
      </c>
      <c r="D1415" t="s">
        <v>17484</v>
      </c>
      <c r="E1415" t="s">
        <v>18735</v>
      </c>
      <c r="F1415" t="s">
        <v>30052</v>
      </c>
      <c r="G1415" t="s">
        <v>30058</v>
      </c>
      <c r="H1415" t="s">
        <v>15498</v>
      </c>
      <c r="I1415" t="s">
        <v>30084</v>
      </c>
      <c r="J1415" t="s">
        <v>31205</v>
      </c>
      <c r="K1415" t="s">
        <v>39037</v>
      </c>
      <c r="M1415" t="s">
        <v>39878</v>
      </c>
      <c r="N1415" t="s">
        <v>43166</v>
      </c>
      <c r="O1415" t="s">
        <v>43167</v>
      </c>
      <c r="P1415">
        <v>0</v>
      </c>
      <c r="Q1415">
        <v>2</v>
      </c>
      <c r="R1415" t="s">
        <v>43170</v>
      </c>
      <c r="S1415" t="s">
        <v>43297</v>
      </c>
      <c r="T1415" t="s">
        <v>44704</v>
      </c>
      <c r="U1415" t="s">
        <v>46343</v>
      </c>
      <c r="W1415" t="s">
        <v>39878</v>
      </c>
      <c r="X1415" t="s">
        <v>43172</v>
      </c>
    </row>
    <row r="1416" spans="1:24">
      <c r="A1416">
        <f>HYPERLINK("https://www.philgeps.gov.ph/GEPSNONPILOT/Tender/SplashBidNoticeAbstractUI.aspx?menuIndex=3&amp;refID=7075459&amp;Result=3","7075459")</f>
        <v>0</v>
      </c>
      <c r="B1416" t="s">
        <v>572</v>
      </c>
      <c r="C1416" t="s">
        <v>4783</v>
      </c>
      <c r="D1416" t="s">
        <v>17473</v>
      </c>
      <c r="E1416" t="s">
        <v>18736</v>
      </c>
      <c r="F1416" t="s">
        <v>30052</v>
      </c>
      <c r="G1416" t="s">
        <v>30059</v>
      </c>
      <c r="H1416" t="s">
        <v>15498</v>
      </c>
      <c r="I1416" t="s">
        <v>30143</v>
      </c>
      <c r="J1416" t="s">
        <v>31206</v>
      </c>
      <c r="K1416" t="s">
        <v>39025</v>
      </c>
      <c r="M1416" t="s">
        <v>39874</v>
      </c>
      <c r="N1416" t="s">
        <v>43166</v>
      </c>
      <c r="O1416" t="s">
        <v>43167</v>
      </c>
      <c r="P1416">
        <v>0</v>
      </c>
      <c r="Q1416">
        <v>0</v>
      </c>
      <c r="R1416" t="s">
        <v>43170</v>
      </c>
      <c r="S1416" t="s">
        <v>43297</v>
      </c>
      <c r="T1416" t="s">
        <v>44735</v>
      </c>
      <c r="U1416" t="s">
        <v>46352</v>
      </c>
      <c r="W1416" t="s">
        <v>39874</v>
      </c>
      <c r="X1416" t="s">
        <v>43175</v>
      </c>
    </row>
    <row r="1417" spans="1:24">
      <c r="A1417">
        <f>HYPERLINK("https://www.philgeps.gov.ph/GEPSNONPILOT/Tender/SplashBidNoticeAbstractUI.aspx?menuIndex=3&amp;refID=7075428&amp;Result=3","7075428")</f>
        <v>0</v>
      </c>
      <c r="B1417" t="s">
        <v>585</v>
      </c>
      <c r="C1417" t="s">
        <v>4784</v>
      </c>
      <c r="D1417" t="s">
        <v>17490</v>
      </c>
      <c r="E1417" t="s">
        <v>18737</v>
      </c>
      <c r="F1417" t="s">
        <v>30052</v>
      </c>
      <c r="G1417" t="s">
        <v>30058</v>
      </c>
      <c r="H1417" t="s">
        <v>30067</v>
      </c>
      <c r="I1417" t="s">
        <v>3693</v>
      </c>
      <c r="J1417" t="s">
        <v>31207</v>
      </c>
      <c r="K1417" t="s">
        <v>39083</v>
      </c>
      <c r="M1417" t="s">
        <v>39887</v>
      </c>
      <c r="N1417" t="s">
        <v>43166</v>
      </c>
      <c r="O1417" t="s">
        <v>43167</v>
      </c>
      <c r="P1417">
        <v>0</v>
      </c>
      <c r="Q1417">
        <v>0</v>
      </c>
      <c r="R1417" t="s">
        <v>43170</v>
      </c>
      <c r="S1417" t="s">
        <v>43297</v>
      </c>
      <c r="T1417" t="s">
        <v>44679</v>
      </c>
      <c r="U1417" t="s">
        <v>46353</v>
      </c>
      <c r="W1417" t="s">
        <v>39887</v>
      </c>
      <c r="X1417" t="s">
        <v>43175</v>
      </c>
    </row>
    <row r="1418" spans="1:24">
      <c r="A1418">
        <f>HYPERLINK("https://www.philgeps.gov.ph/GEPSNONPILOT/Tender/SplashBidNoticeAbstractUI.aspx?menuIndex=3&amp;refID=7074824&amp;Result=3","7074824")</f>
        <v>0</v>
      </c>
      <c r="B1418" t="s">
        <v>572</v>
      </c>
      <c r="C1418" t="s">
        <v>4785</v>
      </c>
      <c r="D1418" t="s">
        <v>17432</v>
      </c>
      <c r="E1418" t="s">
        <v>18738</v>
      </c>
      <c r="F1418" t="s">
        <v>30052</v>
      </c>
      <c r="G1418" t="s">
        <v>30059</v>
      </c>
      <c r="H1418" t="s">
        <v>15498</v>
      </c>
      <c r="I1418" t="s">
        <v>30143</v>
      </c>
      <c r="J1418" t="s">
        <v>30337</v>
      </c>
      <c r="K1418" t="s">
        <v>39025</v>
      </c>
      <c r="M1418" t="s">
        <v>39874</v>
      </c>
      <c r="N1418" t="s">
        <v>43166</v>
      </c>
      <c r="O1418" t="s">
        <v>43167</v>
      </c>
      <c r="P1418">
        <v>0</v>
      </c>
      <c r="Q1418">
        <v>1</v>
      </c>
      <c r="R1418" t="s">
        <v>43170</v>
      </c>
      <c r="S1418" t="s">
        <v>43297</v>
      </c>
      <c r="T1418" t="s">
        <v>44735</v>
      </c>
      <c r="U1418" t="s">
        <v>46336</v>
      </c>
      <c r="W1418" t="s">
        <v>39874</v>
      </c>
      <c r="X1418" t="s">
        <v>43175</v>
      </c>
    </row>
    <row r="1419" spans="1:24">
      <c r="A1419">
        <f>HYPERLINK("https://www.philgeps.gov.ph/GEPSNONPILOT/Tender/SplashBidNoticeAbstractUI.aspx?menuIndex=3&amp;refID=7067368&amp;Result=3","7067368")</f>
        <v>0</v>
      </c>
      <c r="B1419" t="s">
        <v>496</v>
      </c>
      <c r="C1419" t="s">
        <v>4786</v>
      </c>
      <c r="D1419" t="s">
        <v>17491</v>
      </c>
      <c r="E1419" t="s">
        <v>18739</v>
      </c>
      <c r="F1419" t="s">
        <v>30052</v>
      </c>
      <c r="G1419" t="s">
        <v>30059</v>
      </c>
      <c r="H1419" t="s">
        <v>30067</v>
      </c>
      <c r="I1419" t="s">
        <v>3693</v>
      </c>
      <c r="J1419" t="s">
        <v>31208</v>
      </c>
      <c r="K1419" t="s">
        <v>39023</v>
      </c>
      <c r="M1419" t="s">
        <v>39797</v>
      </c>
      <c r="N1419" t="s">
        <v>43166</v>
      </c>
      <c r="O1419" t="s">
        <v>43167</v>
      </c>
      <c r="P1419">
        <v>0</v>
      </c>
      <c r="Q1419">
        <v>2</v>
      </c>
      <c r="R1419" t="s">
        <v>43170</v>
      </c>
      <c r="S1419" t="s">
        <v>43297</v>
      </c>
      <c r="T1419" t="s">
        <v>44680</v>
      </c>
      <c r="U1419" t="s">
        <v>46354</v>
      </c>
      <c r="W1419" t="s">
        <v>39797</v>
      </c>
      <c r="X1419" t="s">
        <v>43179</v>
      </c>
    </row>
    <row r="1420" spans="1:24">
      <c r="A1420">
        <f>HYPERLINK("https://www.philgeps.gov.ph/GEPSNONPILOT/Tender/SplashBidNoticeAbstractUI.aspx?menuIndex=3&amp;refID=7071738&amp;Result=3","7071738")</f>
        <v>0</v>
      </c>
      <c r="B1420" t="s">
        <v>574</v>
      </c>
      <c r="C1420" t="s">
        <v>4787</v>
      </c>
      <c r="D1420" t="s">
        <v>17459</v>
      </c>
      <c r="E1420" t="s">
        <v>18740</v>
      </c>
      <c r="F1420" t="s">
        <v>30052</v>
      </c>
      <c r="G1420" t="s">
        <v>30058</v>
      </c>
      <c r="H1420" t="s">
        <v>30067</v>
      </c>
      <c r="I1420" t="s">
        <v>3736</v>
      </c>
      <c r="J1420" t="s">
        <v>30230</v>
      </c>
      <c r="K1420" t="s">
        <v>39025</v>
      </c>
      <c r="M1420" t="s">
        <v>39876</v>
      </c>
      <c r="N1420" t="s">
        <v>43166</v>
      </c>
      <c r="O1420" t="s">
        <v>43167</v>
      </c>
      <c r="P1420">
        <v>0</v>
      </c>
      <c r="Q1420">
        <v>0</v>
      </c>
      <c r="R1420" t="s">
        <v>43170</v>
      </c>
      <c r="S1420" t="s">
        <v>43297</v>
      </c>
      <c r="T1420" t="s">
        <v>44858</v>
      </c>
      <c r="U1420" t="s">
        <v>46339</v>
      </c>
      <c r="W1420" t="s">
        <v>39876</v>
      </c>
      <c r="X1420" t="s">
        <v>43178</v>
      </c>
    </row>
    <row r="1421" spans="1:24">
      <c r="A1421">
        <f>HYPERLINK("https://www.philgeps.gov.ph/GEPSNONPILOT/Tender/SplashBidNoticeAbstractUI.aspx?menuIndex=3&amp;refID=7062653&amp;Result=3","7062653")</f>
        <v>0</v>
      </c>
      <c r="B1421" t="s">
        <v>586</v>
      </c>
      <c r="C1421" t="s">
        <v>4788</v>
      </c>
      <c r="D1421" t="s">
        <v>17466</v>
      </c>
      <c r="E1421" t="s">
        <v>17892</v>
      </c>
      <c r="F1421" t="s">
        <v>30052</v>
      </c>
      <c r="G1421" t="s">
        <v>30061</v>
      </c>
      <c r="H1421" t="s">
        <v>15498</v>
      </c>
      <c r="I1421" t="s">
        <v>4650</v>
      </c>
      <c r="J1421" t="s">
        <v>31209</v>
      </c>
      <c r="K1421" t="s">
        <v>39019</v>
      </c>
      <c r="M1421" t="s">
        <v>39888</v>
      </c>
      <c r="N1421" t="s">
        <v>43166</v>
      </c>
      <c r="O1421" t="s">
        <v>43167</v>
      </c>
      <c r="P1421">
        <v>0</v>
      </c>
      <c r="Q1421">
        <v>1</v>
      </c>
      <c r="R1421" t="s">
        <v>43170</v>
      </c>
      <c r="S1421" t="s">
        <v>43297</v>
      </c>
      <c r="T1421" t="s">
        <v>44859</v>
      </c>
      <c r="U1421" t="s">
        <v>46355</v>
      </c>
      <c r="W1421" t="s">
        <v>39888</v>
      </c>
      <c r="X1421" t="s">
        <v>43181</v>
      </c>
    </row>
    <row r="1422" spans="1:24">
      <c r="A1422">
        <f>HYPERLINK("https://www.philgeps.gov.ph/GEPSNONPILOT/Tender/SplashBidNoticeAbstractUI.aspx?menuIndex=3&amp;refID=7078275&amp;Result=3","7078275")</f>
        <v>0</v>
      </c>
      <c r="B1422" t="s">
        <v>587</v>
      </c>
      <c r="C1422" t="s">
        <v>4789</v>
      </c>
      <c r="D1422" t="s">
        <v>17456</v>
      </c>
      <c r="E1422" t="s">
        <v>18741</v>
      </c>
      <c r="F1422" t="s">
        <v>30052</v>
      </c>
      <c r="G1422" t="s">
        <v>30058</v>
      </c>
      <c r="H1422" t="s">
        <v>15498</v>
      </c>
      <c r="I1422" t="s">
        <v>9238</v>
      </c>
      <c r="J1422" t="s">
        <v>31210</v>
      </c>
      <c r="K1422" t="s">
        <v>39031</v>
      </c>
      <c r="M1422" t="s">
        <v>39889</v>
      </c>
      <c r="N1422" t="s">
        <v>43166</v>
      </c>
      <c r="O1422" t="s">
        <v>43167</v>
      </c>
      <c r="P1422">
        <v>0</v>
      </c>
      <c r="Q1422">
        <v>21</v>
      </c>
      <c r="R1422" t="s">
        <v>43170</v>
      </c>
      <c r="S1422" t="s">
        <v>43297</v>
      </c>
      <c r="T1422" t="s">
        <v>44860</v>
      </c>
      <c r="U1422" t="s">
        <v>46356</v>
      </c>
      <c r="V1422" t="s">
        <v>56982</v>
      </c>
      <c r="W1422" t="s">
        <v>39889</v>
      </c>
      <c r="X1422" t="s">
        <v>43174</v>
      </c>
    </row>
    <row r="1423" spans="1:24">
      <c r="A1423">
        <f>HYPERLINK("https://www.philgeps.gov.ph/GEPSNONPILOT/Tender/SplashBidNoticeAbstractUI.aspx?menuIndex=3&amp;refID=7053247&amp;Result=3","7053247")</f>
        <v>0</v>
      </c>
      <c r="B1423" t="s">
        <v>588</v>
      </c>
      <c r="C1423" t="s">
        <v>4790</v>
      </c>
      <c r="D1423" t="s">
        <v>17425</v>
      </c>
      <c r="E1423" t="s">
        <v>18742</v>
      </c>
      <c r="F1423" t="s">
        <v>30052</v>
      </c>
      <c r="G1423" t="s">
        <v>30062</v>
      </c>
      <c r="H1423" t="s">
        <v>15498</v>
      </c>
      <c r="I1423" t="s">
        <v>30070</v>
      </c>
      <c r="J1423" t="s">
        <v>31211</v>
      </c>
      <c r="K1423" t="s">
        <v>39034</v>
      </c>
      <c r="M1423" t="s">
        <v>39890</v>
      </c>
      <c r="N1423" t="s">
        <v>43166</v>
      </c>
      <c r="O1423" t="s">
        <v>43167</v>
      </c>
      <c r="P1423">
        <v>0</v>
      </c>
      <c r="Q1423">
        <v>3</v>
      </c>
      <c r="R1423" t="s">
        <v>43170</v>
      </c>
      <c r="S1423" t="s">
        <v>43297</v>
      </c>
      <c r="T1423" t="s">
        <v>44861</v>
      </c>
      <c r="U1423" t="s">
        <v>46357</v>
      </c>
      <c r="W1423" t="s">
        <v>39890</v>
      </c>
      <c r="X1423" t="s">
        <v>43186</v>
      </c>
    </row>
    <row r="1424" spans="1:24">
      <c r="A1424">
        <f>HYPERLINK("https://www.philgeps.gov.ph/GEPSNONPILOT/Tender/SplashBidNoticeAbstractUI.aspx?menuIndex=3&amp;refID=6955382&amp;Result=3","6955382")</f>
        <v>0</v>
      </c>
      <c r="B1424" t="s">
        <v>589</v>
      </c>
      <c r="C1424" t="s">
        <v>4791</v>
      </c>
      <c r="D1424" t="s">
        <v>17474</v>
      </c>
      <c r="E1424" t="s">
        <v>18743</v>
      </c>
      <c r="F1424" t="s">
        <v>30052</v>
      </c>
      <c r="G1424" t="s">
        <v>30058</v>
      </c>
      <c r="H1424" t="s">
        <v>30067</v>
      </c>
      <c r="I1424" t="s">
        <v>3693</v>
      </c>
      <c r="J1424" t="s">
        <v>31212</v>
      </c>
      <c r="K1424" t="s">
        <v>39017</v>
      </c>
      <c r="M1424" t="s">
        <v>39891</v>
      </c>
      <c r="N1424" t="s">
        <v>43166</v>
      </c>
      <c r="O1424" t="s">
        <v>43167</v>
      </c>
      <c r="P1424">
        <v>0</v>
      </c>
      <c r="Q1424">
        <v>0</v>
      </c>
      <c r="R1424" t="s">
        <v>43170</v>
      </c>
      <c r="S1424" t="s">
        <v>43297</v>
      </c>
      <c r="T1424" t="s">
        <v>44679</v>
      </c>
      <c r="U1424" t="s">
        <v>46358</v>
      </c>
      <c r="W1424" t="s">
        <v>39891</v>
      </c>
      <c r="X1424" t="s">
        <v>58730</v>
      </c>
    </row>
    <row r="1425" spans="1:24">
      <c r="A1425">
        <f>HYPERLINK("https://www.philgeps.gov.ph/GEPSNONPILOT/Tender/SplashBidNoticeAbstractUI.aspx?menuIndex=3&amp;refID=7087547&amp;Result=3","7087547")</f>
        <v>0</v>
      </c>
      <c r="B1425" t="s">
        <v>557</v>
      </c>
      <c r="C1425" t="s">
        <v>4792</v>
      </c>
      <c r="D1425" t="s">
        <v>17422</v>
      </c>
      <c r="E1425" t="s">
        <v>18744</v>
      </c>
      <c r="F1425" t="s">
        <v>30052</v>
      </c>
      <c r="G1425" t="s">
        <v>30059</v>
      </c>
      <c r="H1425" t="s">
        <v>15498</v>
      </c>
      <c r="I1425" t="s">
        <v>30134</v>
      </c>
      <c r="J1425" t="s">
        <v>30209</v>
      </c>
      <c r="K1425" t="s">
        <v>39025</v>
      </c>
      <c r="M1425" t="s">
        <v>39859</v>
      </c>
      <c r="N1425" t="s">
        <v>43166</v>
      </c>
      <c r="O1425" t="s">
        <v>43167</v>
      </c>
      <c r="P1425">
        <v>0</v>
      </c>
      <c r="Q1425">
        <v>2</v>
      </c>
      <c r="R1425" t="s">
        <v>43169</v>
      </c>
      <c r="S1425" t="s">
        <v>43291</v>
      </c>
      <c r="T1425" t="s">
        <v>44841</v>
      </c>
      <c r="U1425" t="s">
        <v>46331</v>
      </c>
      <c r="V1425" t="s">
        <v>56973</v>
      </c>
      <c r="W1425" t="s">
        <v>39859</v>
      </c>
      <c r="X1425" t="s">
        <v>43170</v>
      </c>
    </row>
    <row r="1426" spans="1:24">
      <c r="A1426">
        <f>HYPERLINK("https://www.philgeps.gov.ph/GEPSNONPILOT/Tender/SplashBidNoticeAbstractUI.aspx?menuIndex=3&amp;refID=7087545&amp;Result=3","7087545")</f>
        <v>0</v>
      </c>
      <c r="B1426" t="s">
        <v>363</v>
      </c>
      <c r="C1426" t="s">
        <v>4793</v>
      </c>
      <c r="D1426" t="s">
        <v>17461</v>
      </c>
      <c r="E1426" t="s">
        <v>18745</v>
      </c>
      <c r="F1426" t="s">
        <v>30052</v>
      </c>
      <c r="G1426" t="s">
        <v>30058</v>
      </c>
      <c r="H1426" t="s">
        <v>30067</v>
      </c>
      <c r="I1426" t="s">
        <v>3693</v>
      </c>
      <c r="J1426" t="s">
        <v>31213</v>
      </c>
      <c r="K1426" t="s">
        <v>39026</v>
      </c>
      <c r="M1426" t="s">
        <v>39660</v>
      </c>
      <c r="N1426" t="s">
        <v>43166</v>
      </c>
      <c r="O1426" t="s">
        <v>43167</v>
      </c>
      <c r="P1426">
        <v>0</v>
      </c>
      <c r="Q1426">
        <v>0</v>
      </c>
      <c r="R1426" t="s">
        <v>43169</v>
      </c>
      <c r="S1426" t="s">
        <v>43291</v>
      </c>
      <c r="T1426" t="s">
        <v>44684</v>
      </c>
      <c r="U1426" t="s">
        <v>46359</v>
      </c>
      <c r="V1426" t="s">
        <v>56983</v>
      </c>
      <c r="W1426" t="s">
        <v>58606</v>
      </c>
      <c r="X1426" t="s">
        <v>43170</v>
      </c>
    </row>
    <row r="1427" spans="1:24">
      <c r="A1427">
        <f>HYPERLINK("https://www.philgeps.gov.ph/GEPSNONPILOT/Tender/SplashBidNoticeAbstractUI.aspx?menuIndex=3&amp;refID=7083278&amp;Result=3","7083278")</f>
        <v>0</v>
      </c>
      <c r="B1427" t="s">
        <v>590</v>
      </c>
      <c r="C1427" t="s">
        <v>4794</v>
      </c>
      <c r="D1427" t="s">
        <v>17434</v>
      </c>
      <c r="E1427" t="s">
        <v>4794</v>
      </c>
      <c r="F1427" t="s">
        <v>30052</v>
      </c>
      <c r="G1427" t="s">
        <v>30065</v>
      </c>
      <c r="H1427" t="s">
        <v>15498</v>
      </c>
      <c r="I1427" t="s">
        <v>30084</v>
      </c>
      <c r="J1427" t="s">
        <v>30277</v>
      </c>
      <c r="K1427" t="s">
        <v>39029</v>
      </c>
      <c r="M1427" t="s">
        <v>39892</v>
      </c>
      <c r="N1427" t="s">
        <v>43166</v>
      </c>
      <c r="O1427" t="s">
        <v>43167</v>
      </c>
      <c r="P1427">
        <v>0</v>
      </c>
      <c r="Q1427">
        <v>2</v>
      </c>
      <c r="R1427" t="s">
        <v>43170</v>
      </c>
      <c r="S1427" t="s">
        <v>43297</v>
      </c>
      <c r="T1427" t="s">
        <v>44721</v>
      </c>
      <c r="U1427" t="s">
        <v>46360</v>
      </c>
      <c r="W1427" t="s">
        <v>39892</v>
      </c>
      <c r="X1427" t="s">
        <v>43172</v>
      </c>
    </row>
    <row r="1428" spans="1:24">
      <c r="A1428">
        <f>HYPERLINK("https://www.philgeps.gov.ph/GEPSNONPILOT/Tender/SplashBidNoticeAbstractUI.aspx?menuIndex=3&amp;refID=7083363&amp;Result=3","7083363")</f>
        <v>0</v>
      </c>
      <c r="B1428" t="s">
        <v>591</v>
      </c>
      <c r="C1428" t="s">
        <v>4795</v>
      </c>
      <c r="D1428" t="s">
        <v>17464</v>
      </c>
      <c r="E1428" t="s">
        <v>18746</v>
      </c>
      <c r="F1428" t="s">
        <v>30052</v>
      </c>
      <c r="G1428" t="s">
        <v>30061</v>
      </c>
      <c r="H1428" t="s">
        <v>15498</v>
      </c>
      <c r="I1428" t="s">
        <v>30084</v>
      </c>
      <c r="J1428" t="s">
        <v>31214</v>
      </c>
      <c r="K1428" t="s">
        <v>39017</v>
      </c>
      <c r="M1428" t="s">
        <v>39893</v>
      </c>
      <c r="N1428" t="s">
        <v>43166</v>
      </c>
      <c r="O1428" t="s">
        <v>43167</v>
      </c>
      <c r="P1428">
        <v>0</v>
      </c>
      <c r="Q1428">
        <v>2</v>
      </c>
      <c r="R1428" t="s">
        <v>43170</v>
      </c>
      <c r="S1428" t="s">
        <v>43297</v>
      </c>
      <c r="T1428" t="s">
        <v>44787</v>
      </c>
      <c r="U1428" t="s">
        <v>46361</v>
      </c>
      <c r="W1428" t="s">
        <v>39893</v>
      </c>
      <c r="X1428" t="s">
        <v>43172</v>
      </c>
    </row>
    <row r="1429" spans="1:24">
      <c r="A1429">
        <f>HYPERLINK("https://www.philgeps.gov.ph/GEPSNONPILOT/Tender/SplashBidNoticeAbstractUI.aspx?menuIndex=3&amp;refID=7078440&amp;Result=3","7078440")</f>
        <v>0</v>
      </c>
      <c r="B1429" t="s">
        <v>592</v>
      </c>
      <c r="C1429" t="s">
        <v>4796</v>
      </c>
      <c r="D1429" t="s">
        <v>17461</v>
      </c>
      <c r="E1429" t="s">
        <v>4796</v>
      </c>
      <c r="F1429" t="s">
        <v>30052</v>
      </c>
      <c r="G1429" t="s">
        <v>30062</v>
      </c>
      <c r="H1429" t="s">
        <v>15498</v>
      </c>
      <c r="I1429" t="s">
        <v>30070</v>
      </c>
      <c r="J1429" t="s">
        <v>31215</v>
      </c>
      <c r="K1429" t="s">
        <v>39029</v>
      </c>
      <c r="M1429" t="s">
        <v>39894</v>
      </c>
      <c r="N1429" t="s">
        <v>43166</v>
      </c>
      <c r="O1429" t="s">
        <v>43167</v>
      </c>
      <c r="P1429">
        <v>0</v>
      </c>
      <c r="Q1429">
        <v>7</v>
      </c>
      <c r="R1429" t="s">
        <v>43170</v>
      </c>
      <c r="S1429" t="s">
        <v>43297</v>
      </c>
      <c r="T1429" t="s">
        <v>44862</v>
      </c>
      <c r="U1429" t="s">
        <v>46362</v>
      </c>
      <c r="W1429" t="s">
        <v>39894</v>
      </c>
      <c r="X1429" t="s">
        <v>43174</v>
      </c>
    </row>
    <row r="1430" spans="1:24">
      <c r="A1430">
        <f>HYPERLINK("https://www.philgeps.gov.ph/GEPSNONPILOT/Tender/SplashBidNoticeAbstractUI.aspx?menuIndex=3&amp;refID=7083224&amp;Result=3","7083224")</f>
        <v>0</v>
      </c>
      <c r="B1430" t="s">
        <v>593</v>
      </c>
      <c r="C1430" t="s">
        <v>4797</v>
      </c>
      <c r="D1430" t="s">
        <v>17415</v>
      </c>
      <c r="E1430" t="s">
        <v>18747</v>
      </c>
      <c r="F1430" t="s">
        <v>30052</v>
      </c>
      <c r="G1430" t="s">
        <v>30058</v>
      </c>
      <c r="H1430" t="s">
        <v>15498</v>
      </c>
      <c r="I1430" t="s">
        <v>4650</v>
      </c>
      <c r="J1430" t="s">
        <v>31216</v>
      </c>
      <c r="K1430" t="s">
        <v>39017</v>
      </c>
      <c r="M1430" t="s">
        <v>39895</v>
      </c>
      <c r="N1430" t="s">
        <v>43166</v>
      </c>
      <c r="O1430" t="s">
        <v>43167</v>
      </c>
      <c r="P1430">
        <v>0</v>
      </c>
      <c r="Q1430">
        <v>3</v>
      </c>
      <c r="R1430" t="s">
        <v>43170</v>
      </c>
      <c r="S1430" t="s">
        <v>43297</v>
      </c>
      <c r="T1430" t="s">
        <v>44733</v>
      </c>
      <c r="U1430" t="s">
        <v>46363</v>
      </c>
      <c r="W1430" t="s">
        <v>39895</v>
      </c>
      <c r="X1430" t="s">
        <v>43172</v>
      </c>
    </row>
    <row r="1431" spans="1:24">
      <c r="A1431">
        <f>HYPERLINK("https://www.philgeps.gov.ph/GEPSNONPILOT/Tender/SplashBidNoticeAbstractUI.aspx?menuIndex=3&amp;refID=7081830&amp;Result=3","7081830")</f>
        <v>0</v>
      </c>
      <c r="B1431" t="s">
        <v>576</v>
      </c>
      <c r="C1431" t="s">
        <v>4798</v>
      </c>
      <c r="D1431" t="s">
        <v>17484</v>
      </c>
      <c r="E1431" t="s">
        <v>18748</v>
      </c>
      <c r="F1431" t="s">
        <v>30052</v>
      </c>
      <c r="G1431" t="s">
        <v>30058</v>
      </c>
      <c r="H1431" t="s">
        <v>15498</v>
      </c>
      <c r="I1431" t="s">
        <v>4119</v>
      </c>
      <c r="J1431" t="s">
        <v>31217</v>
      </c>
      <c r="K1431" t="s">
        <v>39037</v>
      </c>
      <c r="M1431" t="s">
        <v>39878</v>
      </c>
      <c r="N1431" t="s">
        <v>43166</v>
      </c>
      <c r="O1431" t="s">
        <v>43167</v>
      </c>
      <c r="P1431">
        <v>0</v>
      </c>
      <c r="Q1431">
        <v>2</v>
      </c>
      <c r="R1431" t="s">
        <v>43170</v>
      </c>
      <c r="S1431" t="s">
        <v>43297</v>
      </c>
      <c r="T1431" t="s">
        <v>44704</v>
      </c>
      <c r="U1431" t="s">
        <v>46343</v>
      </c>
      <c r="W1431" t="s">
        <v>39878</v>
      </c>
      <c r="X1431" t="s">
        <v>43172</v>
      </c>
    </row>
    <row r="1432" spans="1:24">
      <c r="A1432">
        <f>HYPERLINK("https://www.philgeps.gov.ph/GEPSNONPILOT/Tender/SplashBidNoticeAbstractUI.aspx?menuIndex=3&amp;refID=7077169&amp;Result=3","7077169")</f>
        <v>0</v>
      </c>
      <c r="B1432" t="s">
        <v>594</v>
      </c>
      <c r="C1432" t="s">
        <v>4799</v>
      </c>
      <c r="D1432" t="s">
        <v>17465</v>
      </c>
      <c r="E1432" t="s">
        <v>18749</v>
      </c>
      <c r="F1432" t="s">
        <v>30052</v>
      </c>
      <c r="G1432" t="s">
        <v>30058</v>
      </c>
      <c r="H1432" t="s">
        <v>15498</v>
      </c>
      <c r="I1432" t="s">
        <v>3736</v>
      </c>
      <c r="J1432" t="s">
        <v>31218</v>
      </c>
      <c r="K1432" t="s">
        <v>39017</v>
      </c>
      <c r="M1432" t="s">
        <v>39896</v>
      </c>
      <c r="N1432" t="s">
        <v>43166</v>
      </c>
      <c r="O1432" t="s">
        <v>43167</v>
      </c>
      <c r="P1432">
        <v>0</v>
      </c>
      <c r="Q1432">
        <v>2</v>
      </c>
      <c r="R1432" t="s">
        <v>43170</v>
      </c>
      <c r="S1432" t="s">
        <v>43297</v>
      </c>
      <c r="T1432" t="s">
        <v>44724</v>
      </c>
      <c r="U1432" t="s">
        <v>46364</v>
      </c>
      <c r="W1432" t="s">
        <v>39896</v>
      </c>
      <c r="X1432" t="s">
        <v>43174</v>
      </c>
    </row>
    <row r="1433" spans="1:24">
      <c r="A1433">
        <f>HYPERLINK("https://www.philgeps.gov.ph/GEPSNONPILOT/Tender/SplashBidNoticeAbstractUI.aspx?menuIndex=3&amp;refID=7083142&amp;Result=3","7083142")</f>
        <v>0</v>
      </c>
      <c r="B1433" t="s">
        <v>595</v>
      </c>
      <c r="C1433" t="s">
        <v>4800</v>
      </c>
      <c r="E1433" t="s">
        <v>18750</v>
      </c>
      <c r="F1433" t="s">
        <v>30052</v>
      </c>
      <c r="G1433" t="s">
        <v>30059</v>
      </c>
      <c r="H1433" t="s">
        <v>15498</v>
      </c>
      <c r="I1433" t="s">
        <v>30081</v>
      </c>
      <c r="J1433" t="s">
        <v>31219</v>
      </c>
      <c r="K1433" t="s">
        <v>39025</v>
      </c>
      <c r="M1433" t="s">
        <v>39897</v>
      </c>
      <c r="N1433" t="s">
        <v>43166</v>
      </c>
      <c r="O1433" t="s">
        <v>43167</v>
      </c>
      <c r="P1433">
        <v>0</v>
      </c>
      <c r="Q1433">
        <v>0</v>
      </c>
      <c r="R1433" t="s">
        <v>43170</v>
      </c>
      <c r="S1433" t="s">
        <v>43297</v>
      </c>
      <c r="T1433" t="s">
        <v>44685</v>
      </c>
      <c r="U1433" t="s">
        <v>46365</v>
      </c>
      <c r="W1433" t="s">
        <v>39897</v>
      </c>
      <c r="X1433" t="s">
        <v>43172</v>
      </c>
    </row>
    <row r="1434" spans="1:24">
      <c r="A1434">
        <f>HYPERLINK("https://www.philgeps.gov.ph/GEPSNONPILOT/Tender/SplashBidNoticeAbstractUI.aspx?menuIndex=3&amp;refID=7076223&amp;Result=3","7076223")</f>
        <v>0</v>
      </c>
      <c r="B1434" t="s">
        <v>446</v>
      </c>
      <c r="C1434" t="s">
        <v>4801</v>
      </c>
      <c r="D1434" t="s">
        <v>17466</v>
      </c>
      <c r="E1434" t="s">
        <v>18536</v>
      </c>
      <c r="F1434" t="s">
        <v>30052</v>
      </c>
      <c r="G1434" t="s">
        <v>30060</v>
      </c>
      <c r="H1434" t="s">
        <v>15498</v>
      </c>
      <c r="I1434" t="s">
        <v>3736</v>
      </c>
      <c r="J1434" t="s">
        <v>30853</v>
      </c>
      <c r="K1434" t="s">
        <v>39036</v>
      </c>
      <c r="M1434" t="s">
        <v>39746</v>
      </c>
      <c r="N1434" t="s">
        <v>43166</v>
      </c>
      <c r="O1434" t="s">
        <v>43167</v>
      </c>
      <c r="P1434">
        <v>0</v>
      </c>
      <c r="Q1434">
        <v>0</v>
      </c>
      <c r="R1434" t="s">
        <v>43170</v>
      </c>
      <c r="S1434" t="s">
        <v>43297</v>
      </c>
      <c r="T1434" t="s">
        <v>44705</v>
      </c>
      <c r="U1434" t="s">
        <v>46366</v>
      </c>
      <c r="W1434" t="s">
        <v>39746</v>
      </c>
      <c r="X1434" t="s">
        <v>43174</v>
      </c>
    </row>
    <row r="1435" spans="1:24">
      <c r="A1435">
        <f>HYPERLINK("https://www.philgeps.gov.ph/GEPSNONPILOT/Tender/SplashBidNoticeAbstractUI.aspx?menuIndex=3&amp;refID=7083116&amp;Result=3","7083116")</f>
        <v>0</v>
      </c>
      <c r="B1435" t="s">
        <v>595</v>
      </c>
      <c r="C1435" t="s">
        <v>4800</v>
      </c>
      <c r="E1435" t="s">
        <v>18751</v>
      </c>
      <c r="F1435" t="s">
        <v>30052</v>
      </c>
      <c r="G1435" t="s">
        <v>30059</v>
      </c>
      <c r="H1435" t="s">
        <v>15498</v>
      </c>
      <c r="I1435" t="s">
        <v>30081</v>
      </c>
      <c r="J1435" t="s">
        <v>31220</v>
      </c>
      <c r="K1435" t="s">
        <v>39025</v>
      </c>
      <c r="M1435" t="s">
        <v>39897</v>
      </c>
      <c r="N1435" t="s">
        <v>43166</v>
      </c>
      <c r="O1435" t="s">
        <v>43167</v>
      </c>
      <c r="P1435">
        <v>0</v>
      </c>
      <c r="Q1435">
        <v>1</v>
      </c>
      <c r="R1435" t="s">
        <v>43170</v>
      </c>
      <c r="S1435" t="s">
        <v>43297</v>
      </c>
      <c r="T1435" t="s">
        <v>44685</v>
      </c>
      <c r="U1435" t="s">
        <v>46365</v>
      </c>
      <c r="W1435" t="s">
        <v>39897</v>
      </c>
      <c r="X1435" t="s">
        <v>43172</v>
      </c>
    </row>
    <row r="1436" spans="1:24">
      <c r="A1436">
        <f>HYPERLINK("https://www.philgeps.gov.ph/GEPSNONPILOT/Tender/SplashBidNoticeAbstractUI.aspx?menuIndex=3&amp;refID=7082920&amp;Result=3","7082920")</f>
        <v>0</v>
      </c>
      <c r="B1436" t="s">
        <v>593</v>
      </c>
      <c r="C1436" t="s">
        <v>4802</v>
      </c>
      <c r="D1436" t="s">
        <v>17415</v>
      </c>
      <c r="E1436" t="s">
        <v>18752</v>
      </c>
      <c r="F1436" t="s">
        <v>30052</v>
      </c>
      <c r="G1436" t="s">
        <v>30058</v>
      </c>
      <c r="H1436" t="s">
        <v>15498</v>
      </c>
      <c r="I1436" t="s">
        <v>3852</v>
      </c>
      <c r="J1436" t="s">
        <v>31221</v>
      </c>
      <c r="K1436" t="s">
        <v>39017</v>
      </c>
      <c r="M1436" t="s">
        <v>39895</v>
      </c>
      <c r="N1436" t="s">
        <v>43166</v>
      </c>
      <c r="O1436" t="s">
        <v>43167</v>
      </c>
      <c r="P1436">
        <v>0</v>
      </c>
      <c r="Q1436">
        <v>3</v>
      </c>
      <c r="R1436" t="s">
        <v>43170</v>
      </c>
      <c r="S1436" t="s">
        <v>43297</v>
      </c>
      <c r="T1436" t="s">
        <v>44718</v>
      </c>
      <c r="U1436" t="s">
        <v>46367</v>
      </c>
      <c r="W1436" t="s">
        <v>39895</v>
      </c>
      <c r="X1436" t="s">
        <v>43172</v>
      </c>
    </row>
    <row r="1437" spans="1:24">
      <c r="A1437">
        <f>HYPERLINK("https://www.philgeps.gov.ph/GEPSNONPILOT/Tender/SplashBidNoticeAbstractUI.aspx?menuIndex=3&amp;refID=7083290&amp;Result=3","7083290")</f>
        <v>0</v>
      </c>
      <c r="B1437" t="s">
        <v>596</v>
      </c>
      <c r="C1437" t="s">
        <v>4803</v>
      </c>
      <c r="D1437" t="s">
        <v>17459</v>
      </c>
      <c r="E1437" t="s">
        <v>18753</v>
      </c>
      <c r="F1437" t="s">
        <v>30052</v>
      </c>
      <c r="G1437" t="s">
        <v>30059</v>
      </c>
      <c r="H1437" t="s">
        <v>15498</v>
      </c>
      <c r="I1437" t="s">
        <v>3736</v>
      </c>
      <c r="J1437" t="s">
        <v>30275</v>
      </c>
      <c r="K1437" t="s">
        <v>39037</v>
      </c>
      <c r="M1437" t="s">
        <v>39898</v>
      </c>
      <c r="N1437" t="s">
        <v>43166</v>
      </c>
      <c r="O1437" t="s">
        <v>43167</v>
      </c>
      <c r="P1437">
        <v>0</v>
      </c>
      <c r="Q1437">
        <v>0</v>
      </c>
      <c r="R1437" t="s">
        <v>43170</v>
      </c>
      <c r="S1437" t="s">
        <v>43297</v>
      </c>
      <c r="T1437" t="s">
        <v>44710</v>
      </c>
      <c r="U1437" t="s">
        <v>46368</v>
      </c>
      <c r="V1437" t="s">
        <v>56984</v>
      </c>
      <c r="W1437" t="s">
        <v>39898</v>
      </c>
      <c r="X1437" t="s">
        <v>43172</v>
      </c>
    </row>
    <row r="1438" spans="1:24">
      <c r="A1438">
        <f>HYPERLINK("https://www.philgeps.gov.ph/GEPSNONPILOT/Tender/SplashBidNoticeAbstractUI.aspx?menuIndex=3&amp;refID=7082904&amp;Result=3","7082904")</f>
        <v>0</v>
      </c>
      <c r="B1438" t="s">
        <v>595</v>
      </c>
      <c r="C1438" t="s">
        <v>4804</v>
      </c>
      <c r="E1438" t="s">
        <v>18754</v>
      </c>
      <c r="F1438" t="s">
        <v>30052</v>
      </c>
      <c r="G1438" t="s">
        <v>30059</v>
      </c>
      <c r="H1438" t="s">
        <v>15498</v>
      </c>
      <c r="I1438" t="s">
        <v>30081</v>
      </c>
      <c r="J1438" t="s">
        <v>31222</v>
      </c>
      <c r="K1438" t="s">
        <v>39025</v>
      </c>
      <c r="M1438" t="s">
        <v>39897</v>
      </c>
      <c r="N1438" t="s">
        <v>43166</v>
      </c>
      <c r="O1438" t="s">
        <v>43167</v>
      </c>
      <c r="P1438">
        <v>0</v>
      </c>
      <c r="Q1438">
        <v>2</v>
      </c>
      <c r="R1438" t="s">
        <v>43170</v>
      </c>
      <c r="S1438" t="s">
        <v>43297</v>
      </c>
      <c r="T1438" t="s">
        <v>44685</v>
      </c>
      <c r="U1438" t="s">
        <v>46365</v>
      </c>
      <c r="W1438" t="s">
        <v>39897</v>
      </c>
      <c r="X1438" t="s">
        <v>43172</v>
      </c>
    </row>
    <row r="1439" spans="1:24">
      <c r="A1439">
        <f>HYPERLINK("https://www.philgeps.gov.ph/GEPSNONPILOT/Tender/SplashBidNoticeAbstractUI.aspx?menuIndex=3&amp;refID=7083170&amp;Result=3","7083170")</f>
        <v>0</v>
      </c>
      <c r="B1439" t="s">
        <v>597</v>
      </c>
      <c r="C1439" t="s">
        <v>4805</v>
      </c>
      <c r="D1439" t="s">
        <v>17415</v>
      </c>
      <c r="E1439" t="s">
        <v>18755</v>
      </c>
      <c r="F1439" t="s">
        <v>30052</v>
      </c>
      <c r="G1439" t="s">
        <v>30059</v>
      </c>
      <c r="H1439" t="s">
        <v>15498</v>
      </c>
      <c r="I1439" t="s">
        <v>8323</v>
      </c>
      <c r="J1439" t="s">
        <v>31223</v>
      </c>
      <c r="K1439" t="s">
        <v>39017</v>
      </c>
      <c r="L1439" t="s">
        <v>597</v>
      </c>
      <c r="M1439" t="s">
        <v>39899</v>
      </c>
      <c r="N1439" t="s">
        <v>43166</v>
      </c>
      <c r="O1439" t="s">
        <v>43167</v>
      </c>
      <c r="P1439">
        <v>0</v>
      </c>
      <c r="Q1439">
        <v>9</v>
      </c>
      <c r="R1439" t="s">
        <v>43170</v>
      </c>
      <c r="S1439" t="s">
        <v>43297</v>
      </c>
      <c r="T1439" t="s">
        <v>44862</v>
      </c>
      <c r="U1439" t="s">
        <v>46369</v>
      </c>
      <c r="W1439" t="s">
        <v>39899</v>
      </c>
      <c r="X1439" t="s">
        <v>43172</v>
      </c>
    </row>
    <row r="1440" spans="1:24">
      <c r="A1440">
        <f>HYPERLINK("https://www.philgeps.gov.ph/GEPSNONPILOT/Tender/SplashBidNoticeAbstractUI.aspx?menuIndex=3&amp;refID=7083364&amp;Result=3","7083364")</f>
        <v>0</v>
      </c>
      <c r="B1440" t="s">
        <v>598</v>
      </c>
      <c r="C1440" t="s">
        <v>4806</v>
      </c>
      <c r="D1440" t="s">
        <v>17421</v>
      </c>
      <c r="E1440" t="s">
        <v>18756</v>
      </c>
      <c r="F1440" t="s">
        <v>30052</v>
      </c>
      <c r="G1440" t="s">
        <v>30061</v>
      </c>
      <c r="H1440" t="s">
        <v>15498</v>
      </c>
      <c r="I1440" t="s">
        <v>30094</v>
      </c>
      <c r="J1440" t="s">
        <v>31224</v>
      </c>
      <c r="K1440" t="s">
        <v>39029</v>
      </c>
      <c r="M1440" t="s">
        <v>39900</v>
      </c>
      <c r="N1440" t="s">
        <v>43166</v>
      </c>
      <c r="O1440" t="s">
        <v>43167</v>
      </c>
      <c r="P1440">
        <v>0</v>
      </c>
      <c r="Q1440">
        <v>0</v>
      </c>
      <c r="R1440" t="s">
        <v>43170</v>
      </c>
      <c r="S1440" t="s">
        <v>43297</v>
      </c>
      <c r="T1440" t="s">
        <v>44798</v>
      </c>
      <c r="U1440" t="s">
        <v>46370</v>
      </c>
      <c r="W1440" t="s">
        <v>39900</v>
      </c>
      <c r="X1440" t="s">
        <v>43172</v>
      </c>
    </row>
    <row r="1441" spans="1:24">
      <c r="A1441">
        <f>HYPERLINK("https://www.philgeps.gov.ph/GEPSNONPILOT/Tender/SplashBidNoticeAbstractUI.aspx?menuIndex=3&amp;refID=7083317&amp;Result=3","7083317")</f>
        <v>0</v>
      </c>
      <c r="B1441" t="s">
        <v>599</v>
      </c>
      <c r="C1441" t="s">
        <v>4807</v>
      </c>
      <c r="D1441" t="s">
        <v>17476</v>
      </c>
      <c r="E1441" t="s">
        <v>18757</v>
      </c>
      <c r="F1441" t="s">
        <v>30052</v>
      </c>
      <c r="G1441" t="s">
        <v>30059</v>
      </c>
      <c r="H1441" t="s">
        <v>15498</v>
      </c>
      <c r="I1441" t="s">
        <v>30097</v>
      </c>
      <c r="J1441" t="s">
        <v>31225</v>
      </c>
      <c r="K1441" t="s">
        <v>39025</v>
      </c>
      <c r="M1441" t="s">
        <v>39901</v>
      </c>
      <c r="N1441" t="s">
        <v>43166</v>
      </c>
      <c r="O1441" t="s">
        <v>43167</v>
      </c>
      <c r="P1441">
        <v>0</v>
      </c>
      <c r="Q1441">
        <v>0</v>
      </c>
      <c r="R1441" t="s">
        <v>43170</v>
      </c>
      <c r="S1441" t="s">
        <v>43297</v>
      </c>
      <c r="T1441" t="s">
        <v>44705</v>
      </c>
      <c r="U1441" t="s">
        <v>46371</v>
      </c>
      <c r="W1441" t="s">
        <v>39901</v>
      </c>
      <c r="X1441" t="s">
        <v>43172</v>
      </c>
    </row>
    <row r="1442" spans="1:24">
      <c r="A1442">
        <f>HYPERLINK("https://www.philgeps.gov.ph/GEPSNONPILOT/Tender/SplashBidNoticeAbstractUI.aspx?menuIndex=3&amp;refID=7083487&amp;Result=3","7083487")</f>
        <v>0</v>
      </c>
      <c r="B1442" t="s">
        <v>600</v>
      </c>
      <c r="C1442" t="s">
        <v>4808</v>
      </c>
      <c r="D1442" t="s">
        <v>17440</v>
      </c>
      <c r="E1442" t="s">
        <v>18758</v>
      </c>
      <c r="F1442" t="s">
        <v>30052</v>
      </c>
      <c r="G1442" t="s">
        <v>30059</v>
      </c>
      <c r="H1442" t="s">
        <v>30067</v>
      </c>
      <c r="I1442" t="s">
        <v>30083</v>
      </c>
      <c r="J1442" t="s">
        <v>30207</v>
      </c>
      <c r="K1442" t="s">
        <v>39019</v>
      </c>
      <c r="M1442" t="s">
        <v>39902</v>
      </c>
      <c r="N1442" t="s">
        <v>43166</v>
      </c>
      <c r="O1442" t="s">
        <v>43167</v>
      </c>
      <c r="P1442">
        <v>0</v>
      </c>
      <c r="Q1442">
        <v>0</v>
      </c>
      <c r="R1442" t="s">
        <v>43170</v>
      </c>
      <c r="S1442" t="s">
        <v>43297</v>
      </c>
      <c r="T1442" t="s">
        <v>44863</v>
      </c>
      <c r="U1442" t="s">
        <v>46372</v>
      </c>
      <c r="V1442" t="s">
        <v>56985</v>
      </c>
      <c r="W1442" t="s">
        <v>39902</v>
      </c>
      <c r="X1442" t="s">
        <v>43172</v>
      </c>
    </row>
    <row r="1443" spans="1:24">
      <c r="A1443">
        <f>HYPERLINK("https://www.philgeps.gov.ph/GEPSNONPILOT/Tender/SplashBidNoticeAbstractUI.aspx?menuIndex=3&amp;refID=7083099&amp;Result=3","7083099")</f>
        <v>0</v>
      </c>
      <c r="B1443" t="s">
        <v>595</v>
      </c>
      <c r="C1443" t="s">
        <v>4800</v>
      </c>
      <c r="E1443" t="s">
        <v>18759</v>
      </c>
      <c r="F1443" t="s">
        <v>30052</v>
      </c>
      <c r="G1443" t="s">
        <v>30059</v>
      </c>
      <c r="H1443" t="s">
        <v>15498</v>
      </c>
      <c r="I1443" t="s">
        <v>30081</v>
      </c>
      <c r="J1443" t="s">
        <v>31226</v>
      </c>
      <c r="K1443" t="s">
        <v>39025</v>
      </c>
      <c r="M1443" t="s">
        <v>39897</v>
      </c>
      <c r="N1443" t="s">
        <v>43166</v>
      </c>
      <c r="O1443" t="s">
        <v>43167</v>
      </c>
      <c r="P1443">
        <v>0</v>
      </c>
      <c r="Q1443">
        <v>2</v>
      </c>
      <c r="R1443" t="s">
        <v>43170</v>
      </c>
      <c r="S1443" t="s">
        <v>43297</v>
      </c>
      <c r="T1443" t="s">
        <v>44685</v>
      </c>
      <c r="U1443" t="s">
        <v>46365</v>
      </c>
      <c r="W1443" t="s">
        <v>39897</v>
      </c>
      <c r="X1443" t="s">
        <v>43172</v>
      </c>
    </row>
    <row r="1444" spans="1:24">
      <c r="A1444">
        <f>HYPERLINK("https://www.philgeps.gov.ph/GEPSNONPILOT/Tender/SplashBidNoticeAbstractUI.aspx?menuIndex=3&amp;refID=7083702&amp;Result=3","7083702")</f>
        <v>0</v>
      </c>
      <c r="B1444" t="s">
        <v>601</v>
      </c>
      <c r="C1444" t="s">
        <v>3971</v>
      </c>
      <c r="D1444" t="s">
        <v>17419</v>
      </c>
      <c r="E1444" t="s">
        <v>18760</v>
      </c>
      <c r="F1444" t="s">
        <v>30052</v>
      </c>
      <c r="G1444" t="s">
        <v>30062</v>
      </c>
      <c r="H1444" t="s">
        <v>15498</v>
      </c>
      <c r="I1444" t="s">
        <v>30070</v>
      </c>
      <c r="J1444" t="s">
        <v>31227</v>
      </c>
      <c r="K1444" t="s">
        <v>39025</v>
      </c>
      <c r="M1444" t="s">
        <v>39903</v>
      </c>
      <c r="N1444" t="s">
        <v>43166</v>
      </c>
      <c r="O1444" t="s">
        <v>43167</v>
      </c>
      <c r="P1444">
        <v>0</v>
      </c>
      <c r="Q1444">
        <v>0</v>
      </c>
      <c r="R1444" t="s">
        <v>43170</v>
      </c>
      <c r="S1444" t="s">
        <v>43297</v>
      </c>
      <c r="T1444" t="s">
        <v>44844</v>
      </c>
      <c r="U1444" t="s">
        <v>46373</v>
      </c>
      <c r="W1444" t="s">
        <v>39903</v>
      </c>
      <c r="X1444" t="s">
        <v>43172</v>
      </c>
    </row>
    <row r="1445" spans="1:24">
      <c r="A1445">
        <f>HYPERLINK("https://www.philgeps.gov.ph/GEPSNONPILOT/Tender/SplashBidNoticeAbstractUI.aspx?menuIndex=3&amp;refID=7082924&amp;Result=3","7082924")</f>
        <v>0</v>
      </c>
      <c r="B1445" t="s">
        <v>595</v>
      </c>
      <c r="C1445" t="s">
        <v>4809</v>
      </c>
      <c r="E1445" t="s">
        <v>18761</v>
      </c>
      <c r="F1445" t="s">
        <v>30052</v>
      </c>
      <c r="G1445" t="s">
        <v>30059</v>
      </c>
      <c r="H1445" t="s">
        <v>15498</v>
      </c>
      <c r="I1445" t="s">
        <v>3736</v>
      </c>
      <c r="J1445" t="s">
        <v>31228</v>
      </c>
      <c r="K1445" t="s">
        <v>39025</v>
      </c>
      <c r="M1445" t="s">
        <v>39897</v>
      </c>
      <c r="N1445" t="s">
        <v>43166</v>
      </c>
      <c r="O1445" t="s">
        <v>43167</v>
      </c>
      <c r="P1445">
        <v>0</v>
      </c>
      <c r="Q1445">
        <v>1</v>
      </c>
      <c r="R1445" t="s">
        <v>43170</v>
      </c>
      <c r="S1445" t="s">
        <v>43297</v>
      </c>
      <c r="T1445" t="s">
        <v>44685</v>
      </c>
      <c r="U1445" t="s">
        <v>46365</v>
      </c>
      <c r="W1445" t="s">
        <v>39897</v>
      </c>
      <c r="X1445" t="s">
        <v>43172</v>
      </c>
    </row>
    <row r="1446" spans="1:24">
      <c r="A1446">
        <f>HYPERLINK("https://www.philgeps.gov.ph/GEPSNONPILOT/Tender/SplashBidNoticeAbstractUI.aspx?menuIndex=3&amp;refID=7083693&amp;Result=3","7083693")</f>
        <v>0</v>
      </c>
      <c r="B1446" t="s">
        <v>602</v>
      </c>
      <c r="C1446" t="s">
        <v>4810</v>
      </c>
      <c r="D1446" t="s">
        <v>17448</v>
      </c>
      <c r="E1446" t="s">
        <v>18762</v>
      </c>
      <c r="F1446" t="s">
        <v>30052</v>
      </c>
      <c r="G1446" t="s">
        <v>30061</v>
      </c>
      <c r="H1446" t="s">
        <v>15498</v>
      </c>
      <c r="I1446" t="s">
        <v>30070</v>
      </c>
      <c r="J1446" t="s">
        <v>31229</v>
      </c>
      <c r="K1446" t="s">
        <v>39019</v>
      </c>
      <c r="L1446" t="s">
        <v>602</v>
      </c>
      <c r="M1446" t="s">
        <v>39904</v>
      </c>
      <c r="N1446" t="s">
        <v>43166</v>
      </c>
      <c r="O1446" t="s">
        <v>43167</v>
      </c>
      <c r="P1446">
        <v>0</v>
      </c>
      <c r="Q1446">
        <v>4</v>
      </c>
      <c r="R1446" t="s">
        <v>43170</v>
      </c>
      <c r="S1446" t="s">
        <v>43297</v>
      </c>
      <c r="T1446" t="s">
        <v>44698</v>
      </c>
      <c r="U1446" t="s">
        <v>46374</v>
      </c>
      <c r="W1446" t="s">
        <v>39904</v>
      </c>
      <c r="X1446" t="s">
        <v>43172</v>
      </c>
    </row>
    <row r="1447" spans="1:24">
      <c r="A1447">
        <f>HYPERLINK("https://www.philgeps.gov.ph/GEPSNONPILOT/Tender/SplashBidNoticeAbstractUI.aspx?menuIndex=3&amp;refID=7083614&amp;Result=3","7083614")</f>
        <v>0</v>
      </c>
      <c r="B1447" t="s">
        <v>603</v>
      </c>
      <c r="C1447" t="s">
        <v>4811</v>
      </c>
      <c r="D1447" t="s">
        <v>17441</v>
      </c>
      <c r="E1447" t="s">
        <v>18763</v>
      </c>
      <c r="F1447" t="s">
        <v>30052</v>
      </c>
      <c r="G1447" t="s">
        <v>30059</v>
      </c>
      <c r="H1447" t="s">
        <v>15498</v>
      </c>
      <c r="I1447" t="s">
        <v>30098</v>
      </c>
      <c r="J1447" t="s">
        <v>31230</v>
      </c>
      <c r="K1447" t="s">
        <v>39025</v>
      </c>
      <c r="L1447" t="s">
        <v>603</v>
      </c>
      <c r="M1447" t="s">
        <v>39905</v>
      </c>
      <c r="N1447" t="s">
        <v>43166</v>
      </c>
      <c r="O1447" t="s">
        <v>43167</v>
      </c>
      <c r="P1447">
        <v>0</v>
      </c>
      <c r="Q1447">
        <v>2</v>
      </c>
      <c r="R1447" t="s">
        <v>43170</v>
      </c>
      <c r="S1447" t="s">
        <v>43297</v>
      </c>
      <c r="T1447" t="s">
        <v>44714</v>
      </c>
      <c r="U1447" t="s">
        <v>46375</v>
      </c>
      <c r="W1447" t="s">
        <v>39905</v>
      </c>
      <c r="X1447" t="s">
        <v>43172</v>
      </c>
    </row>
    <row r="1448" spans="1:24">
      <c r="A1448">
        <f>HYPERLINK("https://www.philgeps.gov.ph/GEPSNONPILOT/Tender/SplashBidNoticeAbstractUI.aspx?menuIndex=3&amp;refID=7082554&amp;Result=3","7082554")</f>
        <v>0</v>
      </c>
      <c r="B1448" t="s">
        <v>604</v>
      </c>
      <c r="C1448" t="s">
        <v>4812</v>
      </c>
      <c r="D1448" t="s">
        <v>17415</v>
      </c>
      <c r="E1448" t="s">
        <v>18764</v>
      </c>
      <c r="F1448" t="s">
        <v>30052</v>
      </c>
      <c r="G1448" t="s">
        <v>30059</v>
      </c>
      <c r="H1448" t="s">
        <v>15498</v>
      </c>
      <c r="I1448" t="s">
        <v>30105</v>
      </c>
      <c r="J1448" t="s">
        <v>31231</v>
      </c>
      <c r="K1448" t="s">
        <v>39019</v>
      </c>
      <c r="M1448" t="s">
        <v>39906</v>
      </c>
      <c r="N1448" t="s">
        <v>43166</v>
      </c>
      <c r="O1448" t="s">
        <v>43167</v>
      </c>
      <c r="P1448">
        <v>0</v>
      </c>
      <c r="Q1448">
        <v>7</v>
      </c>
      <c r="R1448" t="s">
        <v>43170</v>
      </c>
      <c r="S1448" t="s">
        <v>43297</v>
      </c>
      <c r="T1448" t="s">
        <v>44710</v>
      </c>
      <c r="U1448" t="s">
        <v>46376</v>
      </c>
      <c r="W1448" t="s">
        <v>39906</v>
      </c>
      <c r="X1448" t="s">
        <v>43172</v>
      </c>
    </row>
    <row r="1449" spans="1:24">
      <c r="A1449">
        <f>HYPERLINK("https://www.philgeps.gov.ph/GEPSNONPILOT/Tender/SplashBidNoticeAbstractUI.aspx?menuIndex=3&amp;refID=7083530&amp;Result=3","7083530")</f>
        <v>0</v>
      </c>
      <c r="B1449" t="s">
        <v>605</v>
      </c>
      <c r="C1449" t="s">
        <v>4813</v>
      </c>
      <c r="D1449" t="s">
        <v>17464</v>
      </c>
      <c r="E1449" t="s">
        <v>18292</v>
      </c>
      <c r="F1449" t="s">
        <v>30056</v>
      </c>
      <c r="G1449" t="s">
        <v>30061</v>
      </c>
      <c r="H1449" t="s">
        <v>15498</v>
      </c>
      <c r="I1449" t="s">
        <v>30150</v>
      </c>
      <c r="J1449" t="s">
        <v>31232</v>
      </c>
      <c r="K1449" t="s">
        <v>39017</v>
      </c>
      <c r="M1449" t="s">
        <v>39907</v>
      </c>
      <c r="N1449" t="s">
        <v>43166</v>
      </c>
      <c r="O1449" t="s">
        <v>43167</v>
      </c>
      <c r="P1449">
        <v>0</v>
      </c>
      <c r="Q1449">
        <v>2</v>
      </c>
      <c r="R1449" t="s">
        <v>43170</v>
      </c>
      <c r="S1449" t="s">
        <v>43297</v>
      </c>
      <c r="T1449" t="s">
        <v>44797</v>
      </c>
      <c r="U1449" t="s">
        <v>46377</v>
      </c>
      <c r="W1449" t="s">
        <v>39907</v>
      </c>
      <c r="X1449" t="s">
        <v>43172</v>
      </c>
    </row>
    <row r="1450" spans="1:24">
      <c r="A1450">
        <f>HYPERLINK("https://www.philgeps.gov.ph/GEPSNONPILOT/Tender/SplashBidNoticeAbstractUI.aspx?menuIndex=3&amp;refID=7082916&amp;Result=3","7082916")</f>
        <v>0</v>
      </c>
      <c r="B1450" t="s">
        <v>595</v>
      </c>
      <c r="C1450" t="s">
        <v>4814</v>
      </c>
      <c r="E1450" t="s">
        <v>18765</v>
      </c>
      <c r="F1450" t="s">
        <v>30052</v>
      </c>
      <c r="G1450" t="s">
        <v>30059</v>
      </c>
      <c r="H1450" t="s">
        <v>15498</v>
      </c>
      <c r="I1450" t="s">
        <v>4642</v>
      </c>
      <c r="J1450" t="s">
        <v>31233</v>
      </c>
      <c r="K1450" t="s">
        <v>39025</v>
      </c>
      <c r="M1450" t="s">
        <v>39897</v>
      </c>
      <c r="N1450" t="s">
        <v>43166</v>
      </c>
      <c r="O1450" t="s">
        <v>43167</v>
      </c>
      <c r="P1450">
        <v>0</v>
      </c>
      <c r="Q1450">
        <v>1</v>
      </c>
      <c r="R1450" t="s">
        <v>43170</v>
      </c>
      <c r="S1450" t="s">
        <v>43297</v>
      </c>
      <c r="T1450" t="s">
        <v>44685</v>
      </c>
      <c r="U1450" t="s">
        <v>46365</v>
      </c>
      <c r="W1450" t="s">
        <v>39897</v>
      </c>
      <c r="X1450" t="s">
        <v>43172</v>
      </c>
    </row>
    <row r="1451" spans="1:24">
      <c r="A1451">
        <f>HYPERLINK("https://www.philgeps.gov.ph/GEPSNONPILOT/Tender/SplashBidNoticeAbstractUI.aspx?menuIndex=3&amp;refID=7083553&amp;Result=3","7083553")</f>
        <v>0</v>
      </c>
      <c r="B1451" t="s">
        <v>600</v>
      </c>
      <c r="C1451" t="s">
        <v>4815</v>
      </c>
      <c r="D1451" t="s">
        <v>17440</v>
      </c>
      <c r="E1451" t="s">
        <v>18766</v>
      </c>
      <c r="F1451" t="s">
        <v>30052</v>
      </c>
      <c r="G1451" t="s">
        <v>30059</v>
      </c>
      <c r="H1451" t="s">
        <v>30067</v>
      </c>
      <c r="I1451" t="s">
        <v>3693</v>
      </c>
      <c r="J1451" t="s">
        <v>30207</v>
      </c>
      <c r="K1451" t="s">
        <v>39019</v>
      </c>
      <c r="M1451" t="s">
        <v>39902</v>
      </c>
      <c r="N1451" t="s">
        <v>43166</v>
      </c>
      <c r="O1451" t="s">
        <v>43167</v>
      </c>
      <c r="P1451">
        <v>0</v>
      </c>
      <c r="Q1451">
        <v>0</v>
      </c>
      <c r="R1451" t="s">
        <v>43170</v>
      </c>
      <c r="S1451" t="s">
        <v>43297</v>
      </c>
      <c r="T1451" t="s">
        <v>44859</v>
      </c>
      <c r="U1451" t="s">
        <v>46372</v>
      </c>
      <c r="V1451" t="s">
        <v>56985</v>
      </c>
      <c r="W1451" t="s">
        <v>39902</v>
      </c>
      <c r="X1451" t="s">
        <v>43172</v>
      </c>
    </row>
    <row r="1452" spans="1:24">
      <c r="A1452">
        <f>HYPERLINK("https://www.philgeps.gov.ph/GEPSNONPILOT/Tender/SplashBidNoticeAbstractUI.aspx?menuIndex=3&amp;refID=7083616&amp;Result=3","7083616")</f>
        <v>0</v>
      </c>
      <c r="B1452" t="s">
        <v>606</v>
      </c>
      <c r="C1452" t="s">
        <v>4816</v>
      </c>
      <c r="D1452" t="s">
        <v>17449</v>
      </c>
      <c r="E1452" t="s">
        <v>18767</v>
      </c>
      <c r="F1452" t="s">
        <v>30052</v>
      </c>
      <c r="G1452" t="s">
        <v>30059</v>
      </c>
      <c r="H1452" t="s">
        <v>15498</v>
      </c>
      <c r="I1452" t="s">
        <v>4650</v>
      </c>
      <c r="J1452" t="s">
        <v>31234</v>
      </c>
      <c r="K1452" t="s">
        <v>39025</v>
      </c>
      <c r="M1452" t="s">
        <v>39908</v>
      </c>
      <c r="N1452" t="s">
        <v>43166</v>
      </c>
      <c r="O1452" t="s">
        <v>43167</v>
      </c>
      <c r="P1452">
        <v>0</v>
      </c>
      <c r="Q1452">
        <v>3</v>
      </c>
      <c r="R1452" t="s">
        <v>43170</v>
      </c>
      <c r="S1452" t="s">
        <v>43297</v>
      </c>
      <c r="T1452" t="s">
        <v>44864</v>
      </c>
      <c r="U1452" t="s">
        <v>46378</v>
      </c>
      <c r="W1452" t="s">
        <v>39908</v>
      </c>
      <c r="X1452" t="s">
        <v>43172</v>
      </c>
    </row>
    <row r="1453" spans="1:24">
      <c r="A1453">
        <f>HYPERLINK("https://www.philgeps.gov.ph/GEPSNONPILOT/Tender/SplashBidNoticeAbstractUI.aspx?menuIndex=3&amp;refID=7083554&amp;Result=3","7083554")</f>
        <v>0</v>
      </c>
      <c r="B1453" t="s">
        <v>607</v>
      </c>
      <c r="C1453" t="s">
        <v>4817</v>
      </c>
      <c r="D1453" t="s">
        <v>17459</v>
      </c>
      <c r="E1453" t="s">
        <v>18768</v>
      </c>
      <c r="F1453" t="s">
        <v>30052</v>
      </c>
      <c r="G1453" t="s">
        <v>30059</v>
      </c>
      <c r="H1453" t="s">
        <v>15498</v>
      </c>
      <c r="I1453" t="s">
        <v>30096</v>
      </c>
      <c r="J1453" t="s">
        <v>31235</v>
      </c>
      <c r="K1453" t="s">
        <v>39073</v>
      </c>
      <c r="M1453" t="s">
        <v>39909</v>
      </c>
      <c r="N1453" t="s">
        <v>43166</v>
      </c>
      <c r="O1453" t="s">
        <v>43167</v>
      </c>
      <c r="P1453">
        <v>0</v>
      </c>
      <c r="Q1453">
        <v>0</v>
      </c>
      <c r="R1453" t="s">
        <v>43170</v>
      </c>
      <c r="S1453" t="s">
        <v>43297</v>
      </c>
      <c r="T1453" t="s">
        <v>44714</v>
      </c>
      <c r="U1453" t="s">
        <v>46379</v>
      </c>
      <c r="W1453" t="s">
        <v>39909</v>
      </c>
      <c r="X1453" t="s">
        <v>43172</v>
      </c>
    </row>
    <row r="1454" spans="1:24">
      <c r="A1454">
        <f>HYPERLINK("https://www.philgeps.gov.ph/GEPSNONPILOT/Tender/SplashBidNoticeAbstractUI.aspx?menuIndex=3&amp;refID=7083413&amp;Result=3","7083413")</f>
        <v>0</v>
      </c>
      <c r="B1454" t="s">
        <v>608</v>
      </c>
      <c r="C1454" t="s">
        <v>4818</v>
      </c>
      <c r="D1454" t="s">
        <v>17449</v>
      </c>
      <c r="E1454" t="s">
        <v>18769</v>
      </c>
      <c r="F1454" t="s">
        <v>30052</v>
      </c>
      <c r="G1454" t="s">
        <v>30058</v>
      </c>
      <c r="H1454" t="s">
        <v>15498</v>
      </c>
      <c r="I1454" t="s">
        <v>30144</v>
      </c>
      <c r="J1454" t="s">
        <v>31236</v>
      </c>
      <c r="K1454" t="s">
        <v>39025</v>
      </c>
      <c r="M1454" t="s">
        <v>39910</v>
      </c>
      <c r="N1454" t="s">
        <v>43166</v>
      </c>
      <c r="O1454" t="s">
        <v>43167</v>
      </c>
      <c r="P1454">
        <v>0</v>
      </c>
      <c r="Q1454">
        <v>0</v>
      </c>
      <c r="R1454" t="s">
        <v>43170</v>
      </c>
      <c r="S1454" t="s">
        <v>43297</v>
      </c>
      <c r="T1454" t="s">
        <v>44805</v>
      </c>
      <c r="U1454" t="s">
        <v>46380</v>
      </c>
      <c r="W1454" t="s">
        <v>39910</v>
      </c>
      <c r="X1454" t="s">
        <v>43172</v>
      </c>
    </row>
    <row r="1455" spans="1:24">
      <c r="A1455">
        <f>HYPERLINK("https://www.philgeps.gov.ph/GEPSNONPILOT/Tender/SplashBidNoticeAbstractUI.aspx?menuIndex=3&amp;refID=7083594&amp;Result=3","7083594")</f>
        <v>0</v>
      </c>
      <c r="B1455" t="s">
        <v>606</v>
      </c>
      <c r="C1455" t="s">
        <v>4819</v>
      </c>
      <c r="D1455" t="s">
        <v>17449</v>
      </c>
      <c r="E1455" t="s">
        <v>18770</v>
      </c>
      <c r="F1455" t="s">
        <v>30052</v>
      </c>
      <c r="G1455" t="s">
        <v>30059</v>
      </c>
      <c r="H1455" t="s">
        <v>15498</v>
      </c>
      <c r="I1455" t="s">
        <v>3852</v>
      </c>
      <c r="J1455" t="s">
        <v>30528</v>
      </c>
      <c r="K1455" t="s">
        <v>39025</v>
      </c>
      <c r="M1455" t="s">
        <v>39908</v>
      </c>
      <c r="N1455" t="s">
        <v>43166</v>
      </c>
      <c r="O1455" t="s">
        <v>43167</v>
      </c>
      <c r="P1455">
        <v>0</v>
      </c>
      <c r="Q1455">
        <v>2</v>
      </c>
      <c r="R1455" t="s">
        <v>43170</v>
      </c>
      <c r="S1455" t="s">
        <v>43297</v>
      </c>
      <c r="T1455" t="s">
        <v>44864</v>
      </c>
      <c r="U1455" t="s">
        <v>46381</v>
      </c>
      <c r="W1455" t="s">
        <v>39908</v>
      </c>
      <c r="X1455" t="s">
        <v>43172</v>
      </c>
    </row>
    <row r="1456" spans="1:24">
      <c r="A1456">
        <f>HYPERLINK("https://www.philgeps.gov.ph/GEPSNONPILOT/Tender/SplashBidNoticeAbstractUI.aspx?menuIndex=3&amp;refID=7083402&amp;Result=3","7083402")</f>
        <v>0</v>
      </c>
      <c r="B1456" t="s">
        <v>599</v>
      </c>
      <c r="C1456" t="s">
        <v>4820</v>
      </c>
      <c r="D1456" t="s">
        <v>17476</v>
      </c>
      <c r="E1456" t="s">
        <v>18083</v>
      </c>
      <c r="F1456" t="s">
        <v>30052</v>
      </c>
      <c r="G1456" t="s">
        <v>30059</v>
      </c>
      <c r="H1456" t="s">
        <v>15498</v>
      </c>
      <c r="I1456" t="s">
        <v>3736</v>
      </c>
      <c r="J1456" t="s">
        <v>31237</v>
      </c>
      <c r="K1456" t="s">
        <v>39025</v>
      </c>
      <c r="M1456" t="s">
        <v>39901</v>
      </c>
      <c r="N1456" t="s">
        <v>43166</v>
      </c>
      <c r="O1456" t="s">
        <v>43167</v>
      </c>
      <c r="P1456">
        <v>0</v>
      </c>
      <c r="Q1456">
        <v>1</v>
      </c>
      <c r="R1456" t="s">
        <v>43170</v>
      </c>
      <c r="S1456" t="s">
        <v>43297</v>
      </c>
      <c r="T1456" t="s">
        <v>44705</v>
      </c>
      <c r="U1456" t="s">
        <v>46371</v>
      </c>
      <c r="W1456" t="s">
        <v>39901</v>
      </c>
      <c r="X1456" t="s">
        <v>43172</v>
      </c>
    </row>
    <row r="1457" spans="1:24">
      <c r="A1457">
        <f>HYPERLINK("https://www.philgeps.gov.ph/GEPSNONPILOT/Tender/SplashBidNoticeAbstractUI.aspx?menuIndex=3&amp;refID=7083486&amp;Result=3","7083486")</f>
        <v>0</v>
      </c>
      <c r="B1457" t="s">
        <v>609</v>
      </c>
      <c r="C1457" t="s">
        <v>4821</v>
      </c>
      <c r="D1457" t="s">
        <v>17445</v>
      </c>
      <c r="E1457" t="s">
        <v>18771</v>
      </c>
      <c r="F1457" t="s">
        <v>30052</v>
      </c>
      <c r="G1457" t="s">
        <v>30059</v>
      </c>
      <c r="H1457" t="s">
        <v>15498</v>
      </c>
      <c r="I1457" t="s">
        <v>30105</v>
      </c>
      <c r="J1457" t="s">
        <v>31238</v>
      </c>
      <c r="K1457" t="s">
        <v>39029</v>
      </c>
      <c r="M1457" t="s">
        <v>39911</v>
      </c>
      <c r="N1457" t="s">
        <v>43166</v>
      </c>
      <c r="O1457" t="s">
        <v>43167</v>
      </c>
      <c r="P1457">
        <v>0</v>
      </c>
      <c r="Q1457">
        <v>6</v>
      </c>
      <c r="R1457" t="s">
        <v>43170</v>
      </c>
      <c r="S1457" t="s">
        <v>43297</v>
      </c>
      <c r="T1457" t="s">
        <v>44843</v>
      </c>
      <c r="U1457" t="s">
        <v>46382</v>
      </c>
      <c r="W1457" t="s">
        <v>39911</v>
      </c>
      <c r="X1457" t="s">
        <v>43172</v>
      </c>
    </row>
    <row r="1458" spans="1:24">
      <c r="A1458">
        <f>HYPERLINK("https://www.philgeps.gov.ph/GEPSNONPILOT/Tender/SplashBidNoticeAbstractUI.aspx?menuIndex=3&amp;refID=7083479&amp;Result=3","7083479")</f>
        <v>0</v>
      </c>
      <c r="B1458" t="s">
        <v>610</v>
      </c>
      <c r="C1458" t="s">
        <v>4822</v>
      </c>
      <c r="D1458" t="s">
        <v>17474</v>
      </c>
      <c r="E1458" t="s">
        <v>18772</v>
      </c>
      <c r="F1458" t="s">
        <v>30052</v>
      </c>
      <c r="G1458" t="s">
        <v>30059</v>
      </c>
      <c r="H1458" t="s">
        <v>15498</v>
      </c>
      <c r="I1458" t="s">
        <v>3693</v>
      </c>
      <c r="J1458" t="s">
        <v>31239</v>
      </c>
      <c r="K1458" t="s">
        <v>39072</v>
      </c>
      <c r="M1458" t="s">
        <v>39912</v>
      </c>
      <c r="N1458" t="s">
        <v>43166</v>
      </c>
      <c r="O1458" t="s">
        <v>43167</v>
      </c>
      <c r="P1458">
        <v>0</v>
      </c>
      <c r="Q1458">
        <v>1</v>
      </c>
      <c r="R1458" t="s">
        <v>43170</v>
      </c>
      <c r="S1458" t="s">
        <v>43297</v>
      </c>
      <c r="T1458" t="s">
        <v>44777</v>
      </c>
      <c r="U1458" t="s">
        <v>46383</v>
      </c>
      <c r="W1458" t="s">
        <v>39912</v>
      </c>
      <c r="X1458" t="s">
        <v>43172</v>
      </c>
    </row>
    <row r="1459" spans="1:24">
      <c r="A1459">
        <f>HYPERLINK("https://www.philgeps.gov.ph/GEPSNONPILOT/Tender/SplashBidNoticeAbstractUI.aspx?menuIndex=3&amp;refID=7083365&amp;Result=3","7083365")</f>
        <v>0</v>
      </c>
      <c r="B1459" t="s">
        <v>611</v>
      </c>
      <c r="C1459" t="s">
        <v>4823</v>
      </c>
      <c r="D1459" t="s">
        <v>17486</v>
      </c>
      <c r="E1459" t="s">
        <v>18773</v>
      </c>
      <c r="F1459" t="s">
        <v>30052</v>
      </c>
      <c r="G1459" t="s">
        <v>30059</v>
      </c>
      <c r="H1459" t="s">
        <v>15498</v>
      </c>
      <c r="I1459" t="s">
        <v>30092</v>
      </c>
      <c r="J1459" t="s">
        <v>31240</v>
      </c>
      <c r="K1459" t="s">
        <v>39019</v>
      </c>
      <c r="M1459" t="s">
        <v>39913</v>
      </c>
      <c r="N1459" t="s">
        <v>43166</v>
      </c>
      <c r="O1459" t="s">
        <v>43167</v>
      </c>
      <c r="P1459">
        <v>0</v>
      </c>
      <c r="Q1459">
        <v>1</v>
      </c>
      <c r="R1459" t="s">
        <v>43170</v>
      </c>
      <c r="S1459" t="s">
        <v>43297</v>
      </c>
      <c r="T1459" t="s">
        <v>44760</v>
      </c>
      <c r="U1459" t="s">
        <v>46384</v>
      </c>
      <c r="W1459" t="s">
        <v>39913</v>
      </c>
      <c r="X1459" t="s">
        <v>43172</v>
      </c>
    </row>
    <row r="1460" spans="1:24">
      <c r="A1460">
        <f>HYPERLINK("https://www.philgeps.gov.ph/GEPSNONPILOT/Tender/SplashBidNoticeAbstractUI.aspx?menuIndex=3&amp;refID=7082471&amp;Result=3","7082471")</f>
        <v>0</v>
      </c>
      <c r="B1460" t="s">
        <v>612</v>
      </c>
      <c r="C1460" t="s">
        <v>4824</v>
      </c>
      <c r="D1460" t="s">
        <v>17421</v>
      </c>
      <c r="E1460" t="s">
        <v>17760</v>
      </c>
      <c r="F1460" t="s">
        <v>30052</v>
      </c>
      <c r="G1460" t="s">
        <v>30061</v>
      </c>
      <c r="H1460" t="s">
        <v>15498</v>
      </c>
      <c r="I1460" t="s">
        <v>30151</v>
      </c>
      <c r="J1460" t="s">
        <v>30248</v>
      </c>
      <c r="K1460" t="s">
        <v>39017</v>
      </c>
      <c r="M1460" t="s">
        <v>39914</v>
      </c>
      <c r="N1460" t="s">
        <v>43166</v>
      </c>
      <c r="O1460" t="s">
        <v>43167</v>
      </c>
      <c r="P1460">
        <v>0</v>
      </c>
      <c r="Q1460">
        <v>3</v>
      </c>
      <c r="R1460" t="s">
        <v>43170</v>
      </c>
      <c r="S1460" t="s">
        <v>43297</v>
      </c>
      <c r="T1460" t="s">
        <v>44710</v>
      </c>
      <c r="U1460" t="s">
        <v>46385</v>
      </c>
      <c r="W1460" t="s">
        <v>39914</v>
      </c>
      <c r="X1460" t="s">
        <v>43172</v>
      </c>
    </row>
    <row r="1461" spans="1:24">
      <c r="A1461">
        <f>HYPERLINK("https://www.philgeps.gov.ph/GEPSNONPILOT/Tender/SplashBidNoticeAbstractUI.aspx?menuIndex=3&amp;refID=7083401&amp;Result=3","7083401")</f>
        <v>0</v>
      </c>
      <c r="B1461" t="s">
        <v>613</v>
      </c>
      <c r="C1461" t="s">
        <v>4825</v>
      </c>
      <c r="D1461" t="s">
        <v>17417</v>
      </c>
      <c r="E1461" t="s">
        <v>18774</v>
      </c>
      <c r="F1461" t="s">
        <v>30052</v>
      </c>
      <c r="G1461" t="s">
        <v>30059</v>
      </c>
      <c r="H1461" t="s">
        <v>30067</v>
      </c>
      <c r="I1461" t="s">
        <v>6304</v>
      </c>
      <c r="J1461" t="s">
        <v>31241</v>
      </c>
      <c r="K1461" t="s">
        <v>39031</v>
      </c>
      <c r="M1461" t="s">
        <v>39915</v>
      </c>
      <c r="N1461" t="s">
        <v>43166</v>
      </c>
      <c r="O1461" t="s">
        <v>43167</v>
      </c>
      <c r="P1461">
        <v>0</v>
      </c>
      <c r="Q1461">
        <v>0</v>
      </c>
      <c r="R1461" t="s">
        <v>43170</v>
      </c>
      <c r="S1461" t="s">
        <v>43297</v>
      </c>
      <c r="T1461" t="s">
        <v>44773</v>
      </c>
      <c r="U1461" t="s">
        <v>46386</v>
      </c>
      <c r="W1461" t="s">
        <v>39915</v>
      </c>
      <c r="X1461" t="s">
        <v>43172</v>
      </c>
    </row>
    <row r="1462" spans="1:24">
      <c r="A1462">
        <f>HYPERLINK("https://www.philgeps.gov.ph/GEPSNONPILOT/Tender/SplashBidNoticeAbstractUI.aspx?menuIndex=3&amp;refID=7082298&amp;Result=3","7082298")</f>
        <v>0</v>
      </c>
      <c r="B1462" t="s">
        <v>595</v>
      </c>
      <c r="C1462" t="s">
        <v>4826</v>
      </c>
      <c r="E1462" t="s">
        <v>18775</v>
      </c>
      <c r="F1462" t="s">
        <v>30052</v>
      </c>
      <c r="G1462" t="s">
        <v>30059</v>
      </c>
      <c r="H1462" t="s">
        <v>15498</v>
      </c>
      <c r="I1462" t="s">
        <v>30081</v>
      </c>
      <c r="J1462" t="s">
        <v>31242</v>
      </c>
      <c r="K1462" t="s">
        <v>39025</v>
      </c>
      <c r="M1462" t="s">
        <v>39897</v>
      </c>
      <c r="N1462" t="s">
        <v>43166</v>
      </c>
      <c r="O1462" t="s">
        <v>43167</v>
      </c>
      <c r="P1462">
        <v>0</v>
      </c>
      <c r="Q1462">
        <v>0</v>
      </c>
      <c r="R1462" t="s">
        <v>43170</v>
      </c>
      <c r="S1462" t="s">
        <v>43297</v>
      </c>
      <c r="T1462" t="s">
        <v>44685</v>
      </c>
      <c r="U1462" t="s">
        <v>46365</v>
      </c>
      <c r="W1462" t="s">
        <v>39897</v>
      </c>
      <c r="X1462" t="s">
        <v>43172</v>
      </c>
    </row>
    <row r="1463" spans="1:24">
      <c r="A1463">
        <f>HYPERLINK("https://www.philgeps.gov.ph/GEPSNONPILOT/Tender/SplashBidNoticeAbstractUI.aspx?menuIndex=3&amp;refID=7082285&amp;Result=3","7082285")</f>
        <v>0</v>
      </c>
      <c r="B1463" t="s">
        <v>614</v>
      </c>
      <c r="C1463" t="s">
        <v>4827</v>
      </c>
      <c r="D1463" t="s">
        <v>17415</v>
      </c>
      <c r="E1463" t="s">
        <v>18776</v>
      </c>
      <c r="F1463" t="s">
        <v>30052</v>
      </c>
      <c r="G1463" t="s">
        <v>30058</v>
      </c>
      <c r="H1463" t="s">
        <v>15498</v>
      </c>
      <c r="I1463" t="s">
        <v>30084</v>
      </c>
      <c r="J1463" t="s">
        <v>31243</v>
      </c>
      <c r="K1463" t="s">
        <v>39023</v>
      </c>
      <c r="M1463" t="s">
        <v>39916</v>
      </c>
      <c r="N1463" t="s">
        <v>43166</v>
      </c>
      <c r="O1463" t="s">
        <v>43167</v>
      </c>
      <c r="P1463">
        <v>0</v>
      </c>
      <c r="Q1463">
        <v>20</v>
      </c>
      <c r="R1463" t="s">
        <v>43170</v>
      </c>
      <c r="S1463" t="s">
        <v>43297</v>
      </c>
      <c r="T1463" t="s">
        <v>44726</v>
      </c>
      <c r="U1463" t="s">
        <v>46387</v>
      </c>
      <c r="W1463" t="s">
        <v>39916</v>
      </c>
      <c r="X1463" t="s">
        <v>43172</v>
      </c>
    </row>
    <row r="1464" spans="1:24">
      <c r="A1464">
        <f>HYPERLINK("https://www.philgeps.gov.ph/GEPSNONPILOT/Tender/SplashBidNoticeAbstractUI.aspx?menuIndex=3&amp;refID=7083552&amp;Result=3","7083552")</f>
        <v>0</v>
      </c>
      <c r="B1464" t="s">
        <v>606</v>
      </c>
      <c r="C1464" t="s">
        <v>4828</v>
      </c>
      <c r="D1464" t="s">
        <v>17449</v>
      </c>
      <c r="E1464" t="s">
        <v>18777</v>
      </c>
      <c r="F1464" t="s">
        <v>30052</v>
      </c>
      <c r="G1464" t="s">
        <v>30059</v>
      </c>
      <c r="H1464" t="s">
        <v>15498</v>
      </c>
      <c r="I1464" t="s">
        <v>30071</v>
      </c>
      <c r="J1464" t="s">
        <v>31244</v>
      </c>
      <c r="K1464" t="s">
        <v>39025</v>
      </c>
      <c r="M1464" t="s">
        <v>39908</v>
      </c>
      <c r="N1464" t="s">
        <v>43166</v>
      </c>
      <c r="O1464" t="s">
        <v>43167</v>
      </c>
      <c r="P1464">
        <v>0</v>
      </c>
      <c r="Q1464">
        <v>0</v>
      </c>
      <c r="R1464" t="s">
        <v>43170</v>
      </c>
      <c r="S1464" t="s">
        <v>43297</v>
      </c>
      <c r="T1464" t="s">
        <v>44864</v>
      </c>
      <c r="U1464" t="s">
        <v>46388</v>
      </c>
      <c r="W1464" t="s">
        <v>39908</v>
      </c>
      <c r="X1464" t="s">
        <v>43172</v>
      </c>
    </row>
    <row r="1465" spans="1:24">
      <c r="A1465">
        <f>HYPERLINK("https://www.philgeps.gov.ph/GEPSNONPILOT/Tender/SplashBidNoticeAbstractUI.aspx?menuIndex=3&amp;refID=7087544&amp;Result=3","7087544")</f>
        <v>0</v>
      </c>
      <c r="B1465" t="s">
        <v>615</v>
      </c>
      <c r="C1465" t="s">
        <v>4829</v>
      </c>
      <c r="D1465" t="s">
        <v>17426</v>
      </c>
      <c r="E1465" t="s">
        <v>18778</v>
      </c>
      <c r="F1465" t="s">
        <v>30052</v>
      </c>
      <c r="G1465" t="s">
        <v>30059</v>
      </c>
      <c r="H1465" t="s">
        <v>15498</v>
      </c>
      <c r="I1465" t="s">
        <v>5961</v>
      </c>
      <c r="J1465" t="s">
        <v>31245</v>
      </c>
      <c r="K1465" t="s">
        <v>39018</v>
      </c>
      <c r="M1465" t="s">
        <v>39917</v>
      </c>
      <c r="N1465" t="s">
        <v>43166</v>
      </c>
      <c r="O1465" t="s">
        <v>43167</v>
      </c>
      <c r="P1465">
        <v>0</v>
      </c>
      <c r="Q1465">
        <v>3</v>
      </c>
      <c r="R1465" t="s">
        <v>43169</v>
      </c>
      <c r="S1465" t="s">
        <v>43291</v>
      </c>
      <c r="T1465" t="s">
        <v>44698</v>
      </c>
      <c r="U1465" t="s">
        <v>46389</v>
      </c>
      <c r="V1465" t="s">
        <v>56986</v>
      </c>
      <c r="W1465" t="s">
        <v>39917</v>
      </c>
      <c r="X1465" t="s">
        <v>43170</v>
      </c>
    </row>
    <row r="1466" spans="1:24">
      <c r="A1466">
        <f>HYPERLINK("https://www.philgeps.gov.ph/GEPSNONPILOT/Tender/SplashBidNoticeAbstractUI.aspx?menuIndex=3&amp;refID=7082197&amp;Result=3","7082197")</f>
        <v>0</v>
      </c>
      <c r="B1466" t="s">
        <v>614</v>
      </c>
      <c r="C1466" t="s">
        <v>4830</v>
      </c>
      <c r="D1466" t="s">
        <v>17415</v>
      </c>
      <c r="E1466" t="s">
        <v>18779</v>
      </c>
      <c r="F1466" t="s">
        <v>30052</v>
      </c>
      <c r="G1466" t="s">
        <v>30058</v>
      </c>
      <c r="H1466" t="s">
        <v>15498</v>
      </c>
      <c r="I1466" t="s">
        <v>30138</v>
      </c>
      <c r="J1466" t="s">
        <v>31246</v>
      </c>
      <c r="K1466" t="s">
        <v>39063</v>
      </c>
      <c r="M1466" t="s">
        <v>39916</v>
      </c>
      <c r="N1466" t="s">
        <v>43166</v>
      </c>
      <c r="O1466" t="s">
        <v>43167</v>
      </c>
      <c r="P1466">
        <v>0</v>
      </c>
      <c r="Q1466">
        <v>1</v>
      </c>
      <c r="R1466" t="s">
        <v>43170</v>
      </c>
      <c r="S1466" t="s">
        <v>43297</v>
      </c>
      <c r="T1466" t="s">
        <v>44726</v>
      </c>
      <c r="U1466" t="s">
        <v>46390</v>
      </c>
      <c r="W1466" t="s">
        <v>39916</v>
      </c>
      <c r="X1466" t="s">
        <v>43172</v>
      </c>
    </row>
    <row r="1467" spans="1:24">
      <c r="A1467">
        <f>HYPERLINK("https://www.philgeps.gov.ph/GEPSNONPILOT/Tender/SplashBidNoticeAbstractUI.aspx?menuIndex=3&amp;refID=7087541&amp;Result=3","7087541")</f>
        <v>0</v>
      </c>
      <c r="B1467" t="s">
        <v>405</v>
      </c>
      <c r="C1467" t="s">
        <v>4831</v>
      </c>
      <c r="E1467" t="s">
        <v>18780</v>
      </c>
      <c r="F1467" t="s">
        <v>30052</v>
      </c>
      <c r="G1467" t="s">
        <v>30062</v>
      </c>
      <c r="H1467" t="s">
        <v>15498</v>
      </c>
      <c r="I1467" t="s">
        <v>30070</v>
      </c>
      <c r="J1467" t="s">
        <v>30763</v>
      </c>
      <c r="K1467" t="s">
        <v>39025</v>
      </c>
      <c r="M1467" t="s">
        <v>39704</v>
      </c>
      <c r="N1467" t="s">
        <v>43166</v>
      </c>
      <c r="O1467" t="s">
        <v>43167</v>
      </c>
      <c r="P1467">
        <v>0</v>
      </c>
      <c r="Q1467">
        <v>6</v>
      </c>
      <c r="R1467" t="s">
        <v>43169</v>
      </c>
      <c r="S1467" t="s">
        <v>43291</v>
      </c>
      <c r="T1467" t="s">
        <v>44743</v>
      </c>
      <c r="U1467" t="s">
        <v>46272</v>
      </c>
      <c r="W1467" t="s">
        <v>39704</v>
      </c>
      <c r="X1467" t="s">
        <v>43170</v>
      </c>
    </row>
    <row r="1468" spans="1:24">
      <c r="A1468">
        <f>HYPERLINK("https://www.philgeps.gov.ph/GEPSNONPILOT/Tender/SplashBidNoticeAbstractUI.aspx?menuIndex=3&amp;refID=7087513&amp;Result=3","7087513")</f>
        <v>0</v>
      </c>
      <c r="B1468" t="s">
        <v>558</v>
      </c>
      <c r="C1468" t="s">
        <v>4832</v>
      </c>
      <c r="D1468" t="s">
        <v>17492</v>
      </c>
      <c r="E1468" t="s">
        <v>18781</v>
      </c>
      <c r="F1468" t="s">
        <v>30052</v>
      </c>
      <c r="G1468" t="s">
        <v>30058</v>
      </c>
      <c r="H1468" t="s">
        <v>30067</v>
      </c>
      <c r="I1468" t="s">
        <v>3693</v>
      </c>
      <c r="J1468" t="s">
        <v>31247</v>
      </c>
      <c r="K1468" t="s">
        <v>39084</v>
      </c>
      <c r="M1468" t="s">
        <v>39860</v>
      </c>
      <c r="N1468" t="s">
        <v>43166</v>
      </c>
      <c r="O1468" t="s">
        <v>43167</v>
      </c>
      <c r="P1468">
        <v>0</v>
      </c>
      <c r="Q1468">
        <v>0</v>
      </c>
      <c r="R1468" t="s">
        <v>43169</v>
      </c>
      <c r="S1468" t="s">
        <v>43291</v>
      </c>
      <c r="T1468" t="s">
        <v>44842</v>
      </c>
      <c r="U1468" t="s">
        <v>46391</v>
      </c>
      <c r="W1468" t="s">
        <v>39860</v>
      </c>
      <c r="X1468" t="s">
        <v>43170</v>
      </c>
    </row>
    <row r="1469" spans="1:24">
      <c r="A1469">
        <f>HYPERLINK("https://www.philgeps.gov.ph/GEPSNONPILOT/Tender/SplashBidNoticeAbstractUI.aspx?menuIndex=3&amp;refID=7083722&amp;Result=3","7083722")</f>
        <v>0</v>
      </c>
      <c r="B1469" t="s">
        <v>616</v>
      </c>
      <c r="C1469" t="s">
        <v>4833</v>
      </c>
      <c r="D1469" t="s">
        <v>17468</v>
      </c>
      <c r="E1469" t="s">
        <v>18782</v>
      </c>
      <c r="F1469" t="s">
        <v>30052</v>
      </c>
      <c r="G1469" t="s">
        <v>30059</v>
      </c>
      <c r="H1469" t="s">
        <v>15498</v>
      </c>
      <c r="I1469" t="s">
        <v>30084</v>
      </c>
      <c r="J1469" t="s">
        <v>31248</v>
      </c>
      <c r="K1469" t="s">
        <v>39029</v>
      </c>
      <c r="M1469" t="s">
        <v>39918</v>
      </c>
      <c r="N1469" t="s">
        <v>43166</v>
      </c>
      <c r="O1469" t="s">
        <v>43167</v>
      </c>
      <c r="P1469">
        <v>0</v>
      </c>
      <c r="Q1469">
        <v>3</v>
      </c>
      <c r="R1469" t="s">
        <v>43170</v>
      </c>
      <c r="S1469" t="s">
        <v>43297</v>
      </c>
      <c r="T1469" t="s">
        <v>44837</v>
      </c>
      <c r="U1469" t="s">
        <v>46392</v>
      </c>
      <c r="W1469" t="s">
        <v>39918</v>
      </c>
      <c r="X1469" t="s">
        <v>43172</v>
      </c>
    </row>
    <row r="1470" spans="1:24">
      <c r="A1470">
        <f>HYPERLINK("https://www.philgeps.gov.ph/GEPSNONPILOT/Tender/SplashBidNoticeAbstractUI.aspx?menuIndex=3&amp;refID=7082289&amp;Result=3","7082289")</f>
        <v>0</v>
      </c>
      <c r="B1470" t="s">
        <v>595</v>
      </c>
      <c r="C1470" t="s">
        <v>4834</v>
      </c>
      <c r="E1470" t="s">
        <v>18783</v>
      </c>
      <c r="F1470" t="s">
        <v>30052</v>
      </c>
      <c r="G1470" t="s">
        <v>30059</v>
      </c>
      <c r="H1470" t="s">
        <v>15498</v>
      </c>
      <c r="I1470" t="s">
        <v>30070</v>
      </c>
      <c r="J1470" t="s">
        <v>31249</v>
      </c>
      <c r="K1470" t="s">
        <v>39025</v>
      </c>
      <c r="M1470" t="s">
        <v>39897</v>
      </c>
      <c r="N1470" t="s">
        <v>43166</v>
      </c>
      <c r="O1470" t="s">
        <v>43167</v>
      </c>
      <c r="P1470">
        <v>0</v>
      </c>
      <c r="Q1470">
        <v>1</v>
      </c>
      <c r="R1470" t="s">
        <v>43170</v>
      </c>
      <c r="S1470" t="s">
        <v>43297</v>
      </c>
      <c r="T1470" t="s">
        <v>44685</v>
      </c>
      <c r="U1470" t="s">
        <v>46365</v>
      </c>
      <c r="W1470" t="s">
        <v>39897</v>
      </c>
      <c r="X1470" t="s">
        <v>43172</v>
      </c>
    </row>
    <row r="1471" spans="1:24">
      <c r="A1471">
        <f>HYPERLINK("https://www.philgeps.gov.ph/GEPSNONPILOT/Tender/SplashBidNoticeAbstractUI.aspx?menuIndex=3&amp;refID=7083394&amp;Result=3","7083394")</f>
        <v>0</v>
      </c>
      <c r="B1471" t="s">
        <v>600</v>
      </c>
      <c r="C1471" t="s">
        <v>4835</v>
      </c>
      <c r="D1471" t="s">
        <v>17440</v>
      </c>
      <c r="E1471" t="s">
        <v>18784</v>
      </c>
      <c r="F1471" t="s">
        <v>30052</v>
      </c>
      <c r="G1471" t="s">
        <v>30059</v>
      </c>
      <c r="H1471" t="s">
        <v>30067</v>
      </c>
      <c r="I1471" t="s">
        <v>3693</v>
      </c>
      <c r="J1471" t="s">
        <v>30207</v>
      </c>
      <c r="K1471" t="s">
        <v>39019</v>
      </c>
      <c r="M1471" t="s">
        <v>39902</v>
      </c>
      <c r="N1471" t="s">
        <v>43166</v>
      </c>
      <c r="O1471" t="s">
        <v>43167</v>
      </c>
      <c r="P1471">
        <v>0</v>
      </c>
      <c r="Q1471">
        <v>0</v>
      </c>
      <c r="R1471" t="s">
        <v>43170</v>
      </c>
      <c r="S1471" t="s">
        <v>43297</v>
      </c>
      <c r="T1471" t="s">
        <v>44865</v>
      </c>
      <c r="U1471" t="s">
        <v>46372</v>
      </c>
      <c r="V1471" t="s">
        <v>56987</v>
      </c>
      <c r="W1471" t="s">
        <v>39902</v>
      </c>
      <c r="X1471" t="s">
        <v>43172</v>
      </c>
    </row>
    <row r="1472" spans="1:24">
      <c r="A1472">
        <f>HYPERLINK("https://www.philgeps.gov.ph/GEPSNONPILOT/Tender/SplashBidNoticeAbstractUI.aspx?menuIndex=3&amp;refID=7082267&amp;Result=3","7082267")</f>
        <v>0</v>
      </c>
      <c r="B1472" t="s">
        <v>595</v>
      </c>
      <c r="C1472" t="s">
        <v>4809</v>
      </c>
      <c r="E1472" t="s">
        <v>18785</v>
      </c>
      <c r="F1472" t="s">
        <v>30052</v>
      </c>
      <c r="G1472" t="s">
        <v>30059</v>
      </c>
      <c r="H1472" t="s">
        <v>15498</v>
      </c>
      <c r="I1472" t="s">
        <v>3736</v>
      </c>
      <c r="J1472" t="s">
        <v>31250</v>
      </c>
      <c r="K1472" t="s">
        <v>39025</v>
      </c>
      <c r="M1472" t="s">
        <v>39897</v>
      </c>
      <c r="N1472" t="s">
        <v>43166</v>
      </c>
      <c r="O1472" t="s">
        <v>43167</v>
      </c>
      <c r="P1472">
        <v>0</v>
      </c>
      <c r="Q1472">
        <v>1</v>
      </c>
      <c r="R1472" t="s">
        <v>43170</v>
      </c>
      <c r="S1472" t="s">
        <v>43297</v>
      </c>
      <c r="T1472" t="s">
        <v>44685</v>
      </c>
      <c r="U1472" t="s">
        <v>46393</v>
      </c>
      <c r="W1472" t="s">
        <v>39897</v>
      </c>
      <c r="X1472" t="s">
        <v>43172</v>
      </c>
    </row>
    <row r="1473" spans="1:24">
      <c r="A1473">
        <f>HYPERLINK("https://www.philgeps.gov.ph/GEPSNONPILOT/Tender/SplashBidNoticeAbstractUI.aspx?menuIndex=3&amp;refID=7083937&amp;Result=3","7083937")</f>
        <v>0</v>
      </c>
      <c r="B1473" t="s">
        <v>226</v>
      </c>
      <c r="C1473" t="s">
        <v>4836</v>
      </c>
      <c r="D1473" t="s">
        <v>17427</v>
      </c>
      <c r="E1473" t="s">
        <v>18786</v>
      </c>
      <c r="F1473" t="s">
        <v>30052</v>
      </c>
      <c r="G1473" t="s">
        <v>30059</v>
      </c>
      <c r="H1473" t="s">
        <v>30067</v>
      </c>
      <c r="I1473" t="s">
        <v>3693</v>
      </c>
      <c r="J1473" t="s">
        <v>31251</v>
      </c>
      <c r="K1473" t="s">
        <v>39029</v>
      </c>
      <c r="M1473" t="s">
        <v>39516</v>
      </c>
      <c r="N1473" t="s">
        <v>43166</v>
      </c>
      <c r="O1473" t="s">
        <v>43167</v>
      </c>
      <c r="P1473">
        <v>0</v>
      </c>
      <c r="Q1473">
        <v>0</v>
      </c>
      <c r="R1473" t="s">
        <v>43170</v>
      </c>
      <c r="S1473" t="s">
        <v>43297</v>
      </c>
      <c r="T1473" t="s">
        <v>44773</v>
      </c>
      <c r="U1473" t="s">
        <v>46394</v>
      </c>
      <c r="W1473" t="s">
        <v>39516</v>
      </c>
      <c r="X1473" t="s">
        <v>43172</v>
      </c>
    </row>
    <row r="1474" spans="1:24">
      <c r="A1474">
        <f>HYPERLINK("https://www.philgeps.gov.ph/GEPSNONPILOT/Tender/SplashBidNoticeAbstractUI.aspx?menuIndex=3&amp;refID=7087514&amp;Result=3","7087514")</f>
        <v>0</v>
      </c>
      <c r="B1474" t="s">
        <v>415</v>
      </c>
      <c r="C1474" t="s">
        <v>4837</v>
      </c>
      <c r="D1474" t="s">
        <v>17472</v>
      </c>
      <c r="E1474" t="s">
        <v>18363</v>
      </c>
      <c r="F1474" t="s">
        <v>30052</v>
      </c>
      <c r="G1474" t="s">
        <v>30061</v>
      </c>
      <c r="H1474" t="s">
        <v>15498</v>
      </c>
      <c r="I1474" t="s">
        <v>30073</v>
      </c>
      <c r="J1474" t="s">
        <v>31252</v>
      </c>
      <c r="K1474" t="s">
        <v>39034</v>
      </c>
      <c r="M1474" t="s">
        <v>39714</v>
      </c>
      <c r="N1474" t="s">
        <v>43166</v>
      </c>
      <c r="O1474" t="s">
        <v>43167</v>
      </c>
      <c r="P1474">
        <v>0</v>
      </c>
      <c r="Q1474">
        <v>0</v>
      </c>
      <c r="R1474" t="s">
        <v>43169</v>
      </c>
      <c r="S1474" t="s">
        <v>43291</v>
      </c>
      <c r="T1474" t="s">
        <v>44685</v>
      </c>
      <c r="U1474" t="s">
        <v>46395</v>
      </c>
      <c r="W1474" t="s">
        <v>39714</v>
      </c>
      <c r="X1474" t="s">
        <v>43170</v>
      </c>
    </row>
    <row r="1475" spans="1:24">
      <c r="A1475">
        <f>HYPERLINK("https://www.philgeps.gov.ph/GEPSNONPILOT/Tender/SplashBidNoticeAbstractUI.aspx?menuIndex=3&amp;refID=7083913&amp;Result=3","7083913")</f>
        <v>0</v>
      </c>
      <c r="B1475" t="s">
        <v>617</v>
      </c>
      <c r="C1475" t="s">
        <v>4838</v>
      </c>
      <c r="D1475" t="s">
        <v>17415</v>
      </c>
      <c r="E1475" t="s">
        <v>18787</v>
      </c>
      <c r="F1475" t="s">
        <v>30052</v>
      </c>
      <c r="G1475" t="s">
        <v>30059</v>
      </c>
      <c r="H1475" t="s">
        <v>15498</v>
      </c>
      <c r="I1475" t="s">
        <v>3736</v>
      </c>
      <c r="J1475" t="s">
        <v>31253</v>
      </c>
      <c r="K1475" t="s">
        <v>39036</v>
      </c>
      <c r="M1475" t="s">
        <v>39919</v>
      </c>
      <c r="N1475" t="s">
        <v>43166</v>
      </c>
      <c r="O1475" t="s">
        <v>43167</v>
      </c>
      <c r="P1475">
        <v>0</v>
      </c>
      <c r="Q1475">
        <v>2</v>
      </c>
      <c r="R1475" t="s">
        <v>43170</v>
      </c>
      <c r="S1475" t="s">
        <v>43297</v>
      </c>
      <c r="T1475" t="s">
        <v>44718</v>
      </c>
      <c r="U1475" t="s">
        <v>46396</v>
      </c>
      <c r="W1475" t="s">
        <v>39919</v>
      </c>
      <c r="X1475" t="s">
        <v>43172</v>
      </c>
    </row>
    <row r="1476" spans="1:24">
      <c r="A1476">
        <f>HYPERLINK("https://www.philgeps.gov.ph/GEPSNONPILOT/Tender/SplashBidNoticeAbstractUI.aspx?menuIndex=3&amp;refID=7083905&amp;Result=3","7083905")</f>
        <v>0</v>
      </c>
      <c r="B1476" t="s">
        <v>236</v>
      </c>
      <c r="C1476" t="s">
        <v>4839</v>
      </c>
      <c r="D1476" t="s">
        <v>17427</v>
      </c>
      <c r="E1476" t="s">
        <v>18788</v>
      </c>
      <c r="F1476" t="s">
        <v>30052</v>
      </c>
      <c r="G1476" t="s">
        <v>30059</v>
      </c>
      <c r="H1476" t="s">
        <v>15498</v>
      </c>
      <c r="I1476" t="s">
        <v>30087</v>
      </c>
      <c r="J1476" t="s">
        <v>31254</v>
      </c>
      <c r="K1476" t="s">
        <v>39019</v>
      </c>
      <c r="M1476" t="s">
        <v>39920</v>
      </c>
      <c r="N1476" t="s">
        <v>43166</v>
      </c>
      <c r="O1476" t="s">
        <v>43167</v>
      </c>
      <c r="P1476">
        <v>0</v>
      </c>
      <c r="Q1476">
        <v>0</v>
      </c>
      <c r="R1476" t="s">
        <v>43170</v>
      </c>
      <c r="S1476" t="s">
        <v>43297</v>
      </c>
      <c r="T1476" t="s">
        <v>44777</v>
      </c>
      <c r="U1476" t="s">
        <v>46397</v>
      </c>
      <c r="V1476" t="s">
        <v>45722</v>
      </c>
      <c r="W1476" t="s">
        <v>39920</v>
      </c>
      <c r="X1476" t="s">
        <v>43172</v>
      </c>
    </row>
    <row r="1477" spans="1:24">
      <c r="A1477">
        <f>HYPERLINK("https://www.philgeps.gov.ph/GEPSNONPILOT/Tender/SplashBidNoticeAbstractUI.aspx?menuIndex=3&amp;refID=7083887&amp;Result=3","7083887")</f>
        <v>0</v>
      </c>
      <c r="B1477" t="s">
        <v>618</v>
      </c>
      <c r="C1477" t="s">
        <v>4840</v>
      </c>
      <c r="D1477" t="s">
        <v>17426</v>
      </c>
      <c r="E1477" t="s">
        <v>18789</v>
      </c>
      <c r="F1477" t="s">
        <v>30052</v>
      </c>
      <c r="G1477" t="s">
        <v>30058</v>
      </c>
      <c r="H1477" t="s">
        <v>15498</v>
      </c>
      <c r="I1477" t="s">
        <v>30074</v>
      </c>
      <c r="J1477" t="s">
        <v>30594</v>
      </c>
      <c r="K1477" t="s">
        <v>39029</v>
      </c>
      <c r="M1477" t="s">
        <v>39921</v>
      </c>
      <c r="N1477" t="s">
        <v>43166</v>
      </c>
      <c r="O1477" t="s">
        <v>43167</v>
      </c>
      <c r="P1477">
        <v>0</v>
      </c>
      <c r="Q1477">
        <v>1</v>
      </c>
      <c r="R1477" t="s">
        <v>43170</v>
      </c>
      <c r="S1477" t="s">
        <v>43297</v>
      </c>
      <c r="T1477" t="s">
        <v>44709</v>
      </c>
      <c r="U1477" t="s">
        <v>46398</v>
      </c>
      <c r="W1477" t="s">
        <v>39921</v>
      </c>
      <c r="X1477" t="s">
        <v>43172</v>
      </c>
    </row>
    <row r="1478" spans="1:24">
      <c r="A1478">
        <f>HYPERLINK("https://www.philgeps.gov.ph/GEPSNONPILOT/Tender/SplashBidNoticeAbstractUI.aspx?menuIndex=3&amp;refID=7083670&amp;Result=3","7083670")</f>
        <v>0</v>
      </c>
      <c r="B1478" t="s">
        <v>607</v>
      </c>
      <c r="C1478" t="s">
        <v>4841</v>
      </c>
      <c r="D1478" t="s">
        <v>17459</v>
      </c>
      <c r="E1478" t="s">
        <v>18790</v>
      </c>
      <c r="F1478" t="s">
        <v>30052</v>
      </c>
      <c r="G1478" t="s">
        <v>30059</v>
      </c>
      <c r="H1478" t="s">
        <v>15498</v>
      </c>
      <c r="I1478" t="s">
        <v>9238</v>
      </c>
      <c r="J1478" t="s">
        <v>31255</v>
      </c>
      <c r="K1478" t="s">
        <v>39032</v>
      </c>
      <c r="M1478" t="s">
        <v>39909</v>
      </c>
      <c r="N1478" t="s">
        <v>43166</v>
      </c>
      <c r="O1478" t="s">
        <v>43167</v>
      </c>
      <c r="P1478">
        <v>0</v>
      </c>
      <c r="Q1478">
        <v>3</v>
      </c>
      <c r="R1478" t="s">
        <v>43170</v>
      </c>
      <c r="S1478" t="s">
        <v>43297</v>
      </c>
      <c r="T1478" t="s">
        <v>44714</v>
      </c>
      <c r="U1478" t="s">
        <v>46399</v>
      </c>
      <c r="W1478" t="s">
        <v>39909</v>
      </c>
      <c r="X1478" t="s">
        <v>43172</v>
      </c>
    </row>
    <row r="1479" spans="1:24">
      <c r="A1479">
        <f>HYPERLINK("https://www.philgeps.gov.ph/GEPSNONPILOT/Tender/SplashBidNoticeAbstractUI.aspx?menuIndex=3&amp;refID=7083906&amp;Result=3","7083906")</f>
        <v>0</v>
      </c>
      <c r="B1479" t="s">
        <v>619</v>
      </c>
      <c r="C1479" t="s">
        <v>4842</v>
      </c>
      <c r="D1479" t="s">
        <v>17442</v>
      </c>
      <c r="E1479" t="s">
        <v>18791</v>
      </c>
      <c r="F1479" t="s">
        <v>30052</v>
      </c>
      <c r="G1479" t="s">
        <v>30059</v>
      </c>
      <c r="H1479" t="s">
        <v>30069</v>
      </c>
      <c r="I1479" t="s">
        <v>30155</v>
      </c>
      <c r="J1479" t="s">
        <v>31256</v>
      </c>
      <c r="K1479" t="s">
        <v>39036</v>
      </c>
      <c r="M1479" t="s">
        <v>39922</v>
      </c>
      <c r="N1479" t="s">
        <v>43166</v>
      </c>
      <c r="O1479" t="s">
        <v>43167</v>
      </c>
      <c r="P1479">
        <v>0</v>
      </c>
      <c r="Q1479">
        <v>1</v>
      </c>
      <c r="R1479" t="s">
        <v>43170</v>
      </c>
      <c r="S1479" t="s">
        <v>43297</v>
      </c>
      <c r="T1479" t="s">
        <v>44843</v>
      </c>
      <c r="U1479" t="s">
        <v>46400</v>
      </c>
      <c r="W1479" t="s">
        <v>39922</v>
      </c>
      <c r="X1479" t="s">
        <v>43172</v>
      </c>
    </row>
    <row r="1480" spans="1:24">
      <c r="A1480">
        <f>HYPERLINK("https://www.philgeps.gov.ph/GEPSNONPILOT/Tender/SplashBidNoticeAbstractUI.aspx?menuIndex=3&amp;refID=7083377&amp;Result=3","7083377")</f>
        <v>0</v>
      </c>
      <c r="B1480" t="s">
        <v>599</v>
      </c>
      <c r="C1480" t="s">
        <v>4843</v>
      </c>
      <c r="D1480" t="s">
        <v>17476</v>
      </c>
      <c r="E1480" t="s">
        <v>18792</v>
      </c>
      <c r="F1480" t="s">
        <v>30052</v>
      </c>
      <c r="G1480" t="s">
        <v>30059</v>
      </c>
      <c r="H1480" t="s">
        <v>15498</v>
      </c>
      <c r="I1480" t="s">
        <v>30125</v>
      </c>
      <c r="J1480" t="s">
        <v>31257</v>
      </c>
      <c r="K1480" t="s">
        <v>39025</v>
      </c>
      <c r="M1480" t="s">
        <v>39901</v>
      </c>
      <c r="N1480" t="s">
        <v>43166</v>
      </c>
      <c r="O1480" t="s">
        <v>43167</v>
      </c>
      <c r="P1480">
        <v>0</v>
      </c>
      <c r="Q1480">
        <v>6</v>
      </c>
      <c r="R1480" t="s">
        <v>43170</v>
      </c>
      <c r="S1480" t="s">
        <v>43297</v>
      </c>
      <c r="T1480" t="s">
        <v>44705</v>
      </c>
      <c r="U1480" t="s">
        <v>46371</v>
      </c>
      <c r="W1480" t="s">
        <v>39901</v>
      </c>
      <c r="X1480" t="s">
        <v>43172</v>
      </c>
    </row>
    <row r="1481" spans="1:24">
      <c r="A1481">
        <f>HYPERLINK("https://www.philgeps.gov.ph/GEPSNONPILOT/Tender/SplashBidNoticeAbstractUI.aspx?menuIndex=3&amp;refID=7083858&amp;Result=3","7083858")</f>
        <v>0</v>
      </c>
      <c r="B1481" t="s">
        <v>620</v>
      </c>
      <c r="C1481" t="s">
        <v>4844</v>
      </c>
      <c r="D1481" t="s">
        <v>17427</v>
      </c>
      <c r="E1481" t="s">
        <v>18793</v>
      </c>
      <c r="F1481" t="s">
        <v>30052</v>
      </c>
      <c r="G1481" t="s">
        <v>30059</v>
      </c>
      <c r="H1481" t="s">
        <v>15498</v>
      </c>
      <c r="I1481" t="s">
        <v>30088</v>
      </c>
      <c r="J1481" t="s">
        <v>31258</v>
      </c>
      <c r="K1481" t="s">
        <v>39025</v>
      </c>
      <c r="M1481" t="s">
        <v>39923</v>
      </c>
      <c r="N1481" t="s">
        <v>43166</v>
      </c>
      <c r="O1481" t="s">
        <v>43167</v>
      </c>
      <c r="P1481">
        <v>0</v>
      </c>
      <c r="Q1481">
        <v>13</v>
      </c>
      <c r="R1481" t="s">
        <v>43170</v>
      </c>
      <c r="S1481" t="s">
        <v>43297</v>
      </c>
      <c r="T1481" t="s">
        <v>44732</v>
      </c>
      <c r="U1481" t="s">
        <v>46401</v>
      </c>
      <c r="W1481" t="s">
        <v>39923</v>
      </c>
      <c r="X1481" t="s">
        <v>43172</v>
      </c>
    </row>
    <row r="1482" spans="1:24">
      <c r="A1482">
        <f>HYPERLINK("https://www.philgeps.gov.ph/GEPSNONPILOT/Tender/SplashBidNoticeAbstractUI.aspx?menuIndex=3&amp;refID=7083862&amp;Result=3","7083862")</f>
        <v>0</v>
      </c>
      <c r="B1482" t="s">
        <v>621</v>
      </c>
      <c r="C1482" t="s">
        <v>4845</v>
      </c>
      <c r="D1482" t="s">
        <v>17474</v>
      </c>
      <c r="E1482" t="s">
        <v>18794</v>
      </c>
      <c r="F1482" t="s">
        <v>30052</v>
      </c>
      <c r="G1482" t="s">
        <v>30060</v>
      </c>
      <c r="H1482" t="s">
        <v>15498</v>
      </c>
      <c r="I1482" t="s">
        <v>30076</v>
      </c>
      <c r="J1482" t="s">
        <v>31259</v>
      </c>
      <c r="K1482" t="s">
        <v>39029</v>
      </c>
      <c r="L1482" t="s">
        <v>621</v>
      </c>
      <c r="M1482" t="s">
        <v>39924</v>
      </c>
      <c r="N1482" t="s">
        <v>43166</v>
      </c>
      <c r="O1482" t="s">
        <v>43167</v>
      </c>
      <c r="P1482">
        <v>0</v>
      </c>
      <c r="Q1482">
        <v>2</v>
      </c>
      <c r="R1482" t="s">
        <v>43170</v>
      </c>
      <c r="S1482" t="s">
        <v>43297</v>
      </c>
      <c r="T1482" t="s">
        <v>44779</v>
      </c>
      <c r="U1482" t="s">
        <v>46402</v>
      </c>
      <c r="V1482" t="s">
        <v>56988</v>
      </c>
      <c r="W1482" t="s">
        <v>39924</v>
      </c>
      <c r="X1482" t="s">
        <v>43172</v>
      </c>
    </row>
    <row r="1483" spans="1:24">
      <c r="A1483">
        <f>HYPERLINK("https://www.philgeps.gov.ph/GEPSNONPILOT/Tender/SplashBidNoticeAbstractUI.aspx?menuIndex=3&amp;refID=7083920&amp;Result=3","7083920")</f>
        <v>0</v>
      </c>
      <c r="B1483" t="s">
        <v>622</v>
      </c>
      <c r="C1483" t="s">
        <v>3589</v>
      </c>
      <c r="D1483" t="s">
        <v>17421</v>
      </c>
      <c r="E1483" t="s">
        <v>18795</v>
      </c>
      <c r="F1483" t="s">
        <v>30052</v>
      </c>
      <c r="G1483" t="s">
        <v>30058</v>
      </c>
      <c r="H1483" t="s">
        <v>15498</v>
      </c>
      <c r="I1483" t="s">
        <v>3606</v>
      </c>
      <c r="J1483" t="s">
        <v>31260</v>
      </c>
      <c r="K1483" t="s">
        <v>39037</v>
      </c>
      <c r="M1483" t="s">
        <v>39925</v>
      </c>
      <c r="N1483" t="s">
        <v>43166</v>
      </c>
      <c r="O1483" t="s">
        <v>43167</v>
      </c>
      <c r="P1483">
        <v>0</v>
      </c>
      <c r="Q1483">
        <v>6</v>
      </c>
      <c r="R1483" t="s">
        <v>43170</v>
      </c>
      <c r="S1483" t="s">
        <v>43297</v>
      </c>
      <c r="T1483" t="s">
        <v>44722</v>
      </c>
      <c r="U1483" t="s">
        <v>46403</v>
      </c>
      <c r="W1483" t="s">
        <v>39925</v>
      </c>
      <c r="X1483" t="s">
        <v>43172</v>
      </c>
    </row>
    <row r="1484" spans="1:24">
      <c r="A1484">
        <f>HYPERLINK("https://www.philgeps.gov.ph/GEPSNONPILOT/Tender/SplashBidNoticeAbstractUI.aspx?menuIndex=3&amp;refID=7083849&amp;Result=3","7083849")</f>
        <v>0</v>
      </c>
      <c r="B1484" t="s">
        <v>541</v>
      </c>
      <c r="C1484" t="s">
        <v>4846</v>
      </c>
      <c r="D1484" t="s">
        <v>17458</v>
      </c>
      <c r="E1484" t="s">
        <v>18796</v>
      </c>
      <c r="F1484" t="s">
        <v>30052</v>
      </c>
      <c r="G1484" t="s">
        <v>30059</v>
      </c>
      <c r="H1484" t="s">
        <v>15498</v>
      </c>
      <c r="I1484" t="s">
        <v>30094</v>
      </c>
      <c r="J1484" t="s">
        <v>31261</v>
      </c>
      <c r="K1484" t="s">
        <v>39017</v>
      </c>
      <c r="M1484" t="s">
        <v>39843</v>
      </c>
      <c r="N1484" t="s">
        <v>43166</v>
      </c>
      <c r="O1484" t="s">
        <v>43167</v>
      </c>
      <c r="P1484">
        <v>0</v>
      </c>
      <c r="Q1484">
        <v>0</v>
      </c>
      <c r="R1484" t="s">
        <v>43170</v>
      </c>
      <c r="S1484" t="s">
        <v>43297</v>
      </c>
      <c r="T1484" t="s">
        <v>44788</v>
      </c>
      <c r="U1484" t="s">
        <v>46404</v>
      </c>
      <c r="W1484" t="s">
        <v>58604</v>
      </c>
      <c r="X1484" t="s">
        <v>43172</v>
      </c>
    </row>
    <row r="1485" spans="1:24">
      <c r="A1485">
        <f>HYPERLINK("https://www.philgeps.gov.ph/GEPSNONPILOT/Tender/SplashBidNoticeAbstractUI.aspx?menuIndex=3&amp;refID=7083808&amp;Result=3","7083808")</f>
        <v>0</v>
      </c>
      <c r="B1485" t="s">
        <v>623</v>
      </c>
      <c r="C1485" t="s">
        <v>4847</v>
      </c>
      <c r="D1485" t="s">
        <v>17449</v>
      </c>
      <c r="E1485" t="s">
        <v>18797</v>
      </c>
      <c r="F1485" t="s">
        <v>30052</v>
      </c>
      <c r="G1485" t="s">
        <v>30059</v>
      </c>
      <c r="H1485" t="s">
        <v>15498</v>
      </c>
      <c r="I1485" t="s">
        <v>4650</v>
      </c>
      <c r="J1485" t="s">
        <v>30208</v>
      </c>
      <c r="K1485" t="s">
        <v>39019</v>
      </c>
      <c r="M1485" t="s">
        <v>39926</v>
      </c>
      <c r="N1485" t="s">
        <v>43166</v>
      </c>
      <c r="O1485" t="s">
        <v>43167</v>
      </c>
      <c r="P1485">
        <v>0</v>
      </c>
      <c r="Q1485">
        <v>1</v>
      </c>
      <c r="R1485" t="s">
        <v>43170</v>
      </c>
      <c r="S1485" t="s">
        <v>43297</v>
      </c>
      <c r="T1485" t="s">
        <v>44822</v>
      </c>
      <c r="U1485" t="s">
        <v>46405</v>
      </c>
      <c r="W1485" t="s">
        <v>39926</v>
      </c>
      <c r="X1485" t="s">
        <v>43172</v>
      </c>
    </row>
    <row r="1486" spans="1:24">
      <c r="A1486">
        <f>HYPERLINK("https://www.philgeps.gov.ph/GEPSNONPILOT/Tender/SplashBidNoticeAbstractUI.aspx?menuIndex=3&amp;refID=7083785&amp;Result=3","7083785")</f>
        <v>0</v>
      </c>
      <c r="B1486" t="s">
        <v>619</v>
      </c>
      <c r="C1486" t="s">
        <v>4848</v>
      </c>
      <c r="D1486" t="s">
        <v>17442</v>
      </c>
      <c r="E1486" t="s">
        <v>18798</v>
      </c>
      <c r="F1486" t="s">
        <v>30052</v>
      </c>
      <c r="G1486" t="s">
        <v>30059</v>
      </c>
      <c r="H1486" t="s">
        <v>30069</v>
      </c>
      <c r="I1486" t="s">
        <v>30155</v>
      </c>
      <c r="J1486" t="s">
        <v>31262</v>
      </c>
      <c r="K1486" t="s">
        <v>39036</v>
      </c>
      <c r="M1486" t="s">
        <v>39922</v>
      </c>
      <c r="N1486" t="s">
        <v>43166</v>
      </c>
      <c r="O1486" t="s">
        <v>43167</v>
      </c>
      <c r="P1486">
        <v>0</v>
      </c>
      <c r="Q1486">
        <v>1</v>
      </c>
      <c r="R1486" t="s">
        <v>43170</v>
      </c>
      <c r="S1486" t="s">
        <v>43297</v>
      </c>
      <c r="T1486" t="s">
        <v>44843</v>
      </c>
      <c r="U1486" t="s">
        <v>46406</v>
      </c>
      <c r="W1486" t="s">
        <v>39922</v>
      </c>
      <c r="X1486" t="s">
        <v>43172</v>
      </c>
    </row>
    <row r="1487" spans="1:24">
      <c r="A1487">
        <f>HYPERLINK("https://www.philgeps.gov.ph/GEPSNONPILOT/Tender/SplashBidNoticeAbstractUI.aspx?menuIndex=3&amp;refID=7083769&amp;Result=3","7083769")</f>
        <v>0</v>
      </c>
      <c r="B1487" t="s">
        <v>601</v>
      </c>
      <c r="C1487" t="s">
        <v>4849</v>
      </c>
      <c r="D1487" t="s">
        <v>17419</v>
      </c>
      <c r="E1487" t="s">
        <v>18799</v>
      </c>
      <c r="F1487" t="s">
        <v>30052</v>
      </c>
      <c r="G1487" t="s">
        <v>30059</v>
      </c>
      <c r="H1487" t="s">
        <v>15498</v>
      </c>
      <c r="I1487" t="s">
        <v>30076</v>
      </c>
      <c r="J1487" t="s">
        <v>31263</v>
      </c>
      <c r="K1487" t="s">
        <v>39025</v>
      </c>
      <c r="M1487" t="s">
        <v>39903</v>
      </c>
      <c r="N1487" t="s">
        <v>43166</v>
      </c>
      <c r="O1487" t="s">
        <v>43167</v>
      </c>
      <c r="P1487">
        <v>0</v>
      </c>
      <c r="Q1487">
        <v>2</v>
      </c>
      <c r="R1487" t="s">
        <v>43170</v>
      </c>
      <c r="S1487" t="s">
        <v>43297</v>
      </c>
      <c r="T1487" t="s">
        <v>44844</v>
      </c>
      <c r="U1487" t="s">
        <v>46407</v>
      </c>
      <c r="W1487" t="s">
        <v>39903</v>
      </c>
      <c r="X1487" t="s">
        <v>43172</v>
      </c>
    </row>
    <row r="1488" spans="1:24">
      <c r="A1488">
        <f>HYPERLINK("https://www.philgeps.gov.ph/GEPSNONPILOT/Tender/SplashBidNoticeAbstractUI.aspx?menuIndex=3&amp;refID=7083743&amp;Result=3","7083743")</f>
        <v>0</v>
      </c>
      <c r="B1488" t="s">
        <v>619</v>
      </c>
      <c r="C1488" t="s">
        <v>4850</v>
      </c>
      <c r="D1488" t="s">
        <v>17442</v>
      </c>
      <c r="E1488" t="s">
        <v>18800</v>
      </c>
      <c r="F1488" t="s">
        <v>30052</v>
      </c>
      <c r="G1488" t="s">
        <v>30059</v>
      </c>
      <c r="H1488" t="s">
        <v>30069</v>
      </c>
      <c r="I1488" t="s">
        <v>30155</v>
      </c>
      <c r="J1488" t="s">
        <v>31264</v>
      </c>
      <c r="K1488" t="s">
        <v>39036</v>
      </c>
      <c r="M1488" t="s">
        <v>39922</v>
      </c>
      <c r="N1488" t="s">
        <v>43166</v>
      </c>
      <c r="O1488" t="s">
        <v>43167</v>
      </c>
      <c r="P1488">
        <v>0</v>
      </c>
      <c r="Q1488">
        <v>1</v>
      </c>
      <c r="R1488" t="s">
        <v>43170</v>
      </c>
      <c r="S1488" t="s">
        <v>43297</v>
      </c>
      <c r="T1488" t="s">
        <v>44843</v>
      </c>
      <c r="U1488" t="s">
        <v>46408</v>
      </c>
      <c r="W1488" t="s">
        <v>39922</v>
      </c>
      <c r="X1488" t="s">
        <v>43172</v>
      </c>
    </row>
    <row r="1489" spans="1:24">
      <c r="A1489">
        <f>HYPERLINK("https://www.philgeps.gov.ph/GEPSNONPILOT/Tender/SplashBidNoticeAbstractUI.aspx?menuIndex=3&amp;refID=7083713&amp;Result=3","7083713")</f>
        <v>0</v>
      </c>
      <c r="B1489" t="s">
        <v>624</v>
      </c>
      <c r="C1489" t="s">
        <v>4851</v>
      </c>
      <c r="D1489" t="s">
        <v>17442</v>
      </c>
      <c r="E1489" t="s">
        <v>18801</v>
      </c>
      <c r="F1489" t="s">
        <v>30052</v>
      </c>
      <c r="G1489" t="s">
        <v>30061</v>
      </c>
      <c r="H1489" t="s">
        <v>15498</v>
      </c>
      <c r="I1489" t="s">
        <v>3852</v>
      </c>
      <c r="J1489" t="s">
        <v>30230</v>
      </c>
      <c r="K1489" t="s">
        <v>39019</v>
      </c>
      <c r="M1489" t="s">
        <v>39927</v>
      </c>
      <c r="N1489" t="s">
        <v>43166</v>
      </c>
      <c r="O1489" t="s">
        <v>43167</v>
      </c>
      <c r="P1489">
        <v>0</v>
      </c>
      <c r="Q1489">
        <v>1</v>
      </c>
      <c r="R1489" t="s">
        <v>43170</v>
      </c>
      <c r="S1489" t="s">
        <v>43297</v>
      </c>
      <c r="T1489" t="s">
        <v>44710</v>
      </c>
      <c r="U1489" t="s">
        <v>46409</v>
      </c>
      <c r="V1489" t="s">
        <v>56989</v>
      </c>
      <c r="W1489" t="s">
        <v>39927</v>
      </c>
      <c r="X1489" t="s">
        <v>43172</v>
      </c>
    </row>
    <row r="1490" spans="1:24">
      <c r="A1490">
        <f>HYPERLINK("https://www.philgeps.gov.ph/GEPSNONPILOT/Tender/SplashBidNoticeAbstractUI.aspx?menuIndex=3&amp;refID=7087512&amp;Result=3","7087512")</f>
        <v>0</v>
      </c>
      <c r="B1490" t="s">
        <v>405</v>
      </c>
      <c r="C1490" t="s">
        <v>4852</v>
      </c>
      <c r="E1490" t="s">
        <v>18802</v>
      </c>
      <c r="F1490" t="s">
        <v>30052</v>
      </c>
      <c r="G1490" t="s">
        <v>30059</v>
      </c>
      <c r="H1490" t="s">
        <v>15498</v>
      </c>
      <c r="I1490" t="s">
        <v>9238</v>
      </c>
      <c r="J1490" t="s">
        <v>31265</v>
      </c>
      <c r="K1490" t="s">
        <v>39025</v>
      </c>
      <c r="M1490" t="s">
        <v>39704</v>
      </c>
      <c r="N1490" t="s">
        <v>43166</v>
      </c>
      <c r="O1490" t="s">
        <v>43167</v>
      </c>
      <c r="P1490">
        <v>0</v>
      </c>
      <c r="Q1490">
        <v>3</v>
      </c>
      <c r="R1490" t="s">
        <v>43169</v>
      </c>
      <c r="S1490" t="s">
        <v>43291</v>
      </c>
      <c r="T1490" t="s">
        <v>44743</v>
      </c>
      <c r="U1490" t="s">
        <v>46272</v>
      </c>
      <c r="W1490" t="s">
        <v>39704</v>
      </c>
      <c r="X1490" t="s">
        <v>43170</v>
      </c>
    </row>
    <row r="1491" spans="1:24">
      <c r="A1491">
        <f>HYPERLINK("https://www.philgeps.gov.ph/GEPSNONPILOT/Tender/SplashBidNoticeAbstractUI.aspx?menuIndex=3&amp;refID=7083870&amp;Result=3","7083870")</f>
        <v>0</v>
      </c>
      <c r="B1491" t="s">
        <v>601</v>
      </c>
      <c r="C1491" t="s">
        <v>4853</v>
      </c>
      <c r="D1491" t="s">
        <v>17419</v>
      </c>
      <c r="E1491" t="s">
        <v>18803</v>
      </c>
      <c r="F1491" t="s">
        <v>30052</v>
      </c>
      <c r="G1491" t="s">
        <v>30059</v>
      </c>
      <c r="H1491" t="s">
        <v>15498</v>
      </c>
      <c r="I1491" t="s">
        <v>3736</v>
      </c>
      <c r="J1491" t="s">
        <v>31266</v>
      </c>
      <c r="K1491" t="s">
        <v>39025</v>
      </c>
      <c r="M1491" t="s">
        <v>39903</v>
      </c>
      <c r="N1491" t="s">
        <v>43166</v>
      </c>
      <c r="O1491" t="s">
        <v>43167</v>
      </c>
      <c r="P1491">
        <v>0</v>
      </c>
      <c r="Q1491">
        <v>0</v>
      </c>
      <c r="R1491" t="s">
        <v>43170</v>
      </c>
      <c r="S1491" t="s">
        <v>43297</v>
      </c>
      <c r="T1491" t="s">
        <v>44844</v>
      </c>
      <c r="U1491" t="s">
        <v>46410</v>
      </c>
      <c r="W1491" t="s">
        <v>39903</v>
      </c>
      <c r="X1491" t="s">
        <v>43172</v>
      </c>
    </row>
    <row r="1492" spans="1:24">
      <c r="A1492">
        <f>HYPERLINK("https://www.philgeps.gov.ph/GEPSNONPILOT/Tender/SplashBidNoticeAbstractUI.aspx?menuIndex=3&amp;refID=7087511&amp;Result=3","7087511")</f>
        <v>0</v>
      </c>
      <c r="B1492" t="s">
        <v>557</v>
      </c>
      <c r="C1492" t="s">
        <v>4854</v>
      </c>
      <c r="D1492" t="s">
        <v>17438</v>
      </c>
      <c r="E1492" t="s">
        <v>18804</v>
      </c>
      <c r="F1492" t="s">
        <v>30052</v>
      </c>
      <c r="G1492" t="s">
        <v>30059</v>
      </c>
      <c r="H1492" t="s">
        <v>15498</v>
      </c>
      <c r="I1492" t="s">
        <v>30134</v>
      </c>
      <c r="J1492" t="s">
        <v>31267</v>
      </c>
      <c r="K1492" t="s">
        <v>39025</v>
      </c>
      <c r="M1492" t="s">
        <v>39859</v>
      </c>
      <c r="N1492" t="s">
        <v>43166</v>
      </c>
      <c r="O1492" t="s">
        <v>43167</v>
      </c>
      <c r="P1492">
        <v>0</v>
      </c>
      <c r="Q1492">
        <v>0</v>
      </c>
      <c r="R1492" t="s">
        <v>43169</v>
      </c>
      <c r="S1492" t="s">
        <v>43291</v>
      </c>
      <c r="T1492" t="s">
        <v>44841</v>
      </c>
      <c r="U1492" t="s">
        <v>46411</v>
      </c>
      <c r="V1492" t="s">
        <v>56973</v>
      </c>
      <c r="W1492" t="s">
        <v>39859</v>
      </c>
      <c r="X1492" t="s">
        <v>43170</v>
      </c>
    </row>
    <row r="1493" spans="1:24">
      <c r="A1493">
        <f>HYPERLINK("https://www.philgeps.gov.ph/GEPSNONPILOT/Tender/SplashBidNoticeAbstractUI.aspx?menuIndex=3&amp;refID=7084220&amp;Result=3","7084220")</f>
        <v>0</v>
      </c>
      <c r="B1493" t="s">
        <v>625</v>
      </c>
      <c r="C1493" t="s">
        <v>4855</v>
      </c>
      <c r="D1493" t="s">
        <v>17451</v>
      </c>
      <c r="E1493" t="s">
        <v>18805</v>
      </c>
      <c r="F1493" t="s">
        <v>30052</v>
      </c>
      <c r="G1493" t="s">
        <v>30062</v>
      </c>
      <c r="H1493" t="s">
        <v>15498</v>
      </c>
      <c r="I1493" t="s">
        <v>30153</v>
      </c>
      <c r="J1493" t="s">
        <v>31268</v>
      </c>
      <c r="K1493" t="s">
        <v>39019</v>
      </c>
      <c r="M1493" t="s">
        <v>39928</v>
      </c>
      <c r="N1493" t="s">
        <v>43166</v>
      </c>
      <c r="O1493" t="s">
        <v>43167</v>
      </c>
      <c r="P1493">
        <v>0</v>
      </c>
      <c r="Q1493">
        <v>6</v>
      </c>
      <c r="R1493" t="s">
        <v>43170</v>
      </c>
      <c r="S1493" t="s">
        <v>43297</v>
      </c>
      <c r="T1493" t="s">
        <v>44698</v>
      </c>
      <c r="U1493" t="s">
        <v>46412</v>
      </c>
      <c r="W1493" t="s">
        <v>39928</v>
      </c>
      <c r="X1493" t="s">
        <v>43172</v>
      </c>
    </row>
    <row r="1494" spans="1:24">
      <c r="A1494">
        <f>HYPERLINK("https://www.philgeps.gov.ph/GEPSNONPILOT/Tender/SplashBidNoticeAbstractUI.aspx?menuIndex=3&amp;refID=7083831&amp;Result=3","7083831")</f>
        <v>0</v>
      </c>
      <c r="B1494" t="s">
        <v>626</v>
      </c>
      <c r="C1494" t="s">
        <v>4856</v>
      </c>
      <c r="D1494" t="s">
        <v>17426</v>
      </c>
      <c r="E1494" t="s">
        <v>18806</v>
      </c>
      <c r="F1494" t="s">
        <v>30052</v>
      </c>
      <c r="G1494" t="s">
        <v>30059</v>
      </c>
      <c r="H1494" t="s">
        <v>15498</v>
      </c>
      <c r="I1494" t="s">
        <v>30134</v>
      </c>
      <c r="J1494" t="s">
        <v>31269</v>
      </c>
      <c r="K1494" t="s">
        <v>39035</v>
      </c>
      <c r="M1494" t="s">
        <v>39929</v>
      </c>
      <c r="N1494" t="s">
        <v>43166</v>
      </c>
      <c r="O1494" t="s">
        <v>43167</v>
      </c>
      <c r="P1494">
        <v>0</v>
      </c>
      <c r="Q1494">
        <v>0</v>
      </c>
      <c r="R1494" t="s">
        <v>43170</v>
      </c>
      <c r="S1494" t="s">
        <v>43297</v>
      </c>
      <c r="T1494" t="s">
        <v>44844</v>
      </c>
      <c r="U1494" t="s">
        <v>46413</v>
      </c>
      <c r="V1494" t="s">
        <v>56990</v>
      </c>
      <c r="W1494" t="s">
        <v>39929</v>
      </c>
      <c r="X1494" t="s">
        <v>43172</v>
      </c>
    </row>
    <row r="1495" spans="1:24">
      <c r="A1495">
        <f>HYPERLINK("https://www.philgeps.gov.ph/GEPSNONPILOT/Tender/SplashBidNoticeAbstractUI.aspx?menuIndex=3&amp;refID=7084212&amp;Result=3","7084212")</f>
        <v>0</v>
      </c>
      <c r="B1495" t="s">
        <v>627</v>
      </c>
      <c r="C1495" t="s">
        <v>3461</v>
      </c>
      <c r="D1495" t="s">
        <v>17470</v>
      </c>
      <c r="E1495" t="s">
        <v>18807</v>
      </c>
      <c r="F1495" t="s">
        <v>30052</v>
      </c>
      <c r="G1495" t="s">
        <v>30058</v>
      </c>
      <c r="H1495" t="s">
        <v>30067</v>
      </c>
      <c r="I1495" t="s">
        <v>3693</v>
      </c>
      <c r="J1495" t="s">
        <v>31270</v>
      </c>
      <c r="K1495" t="s">
        <v>39023</v>
      </c>
      <c r="M1495" t="s">
        <v>39930</v>
      </c>
      <c r="N1495" t="s">
        <v>43166</v>
      </c>
      <c r="O1495" t="s">
        <v>43167</v>
      </c>
      <c r="P1495">
        <v>0</v>
      </c>
      <c r="Q1495">
        <v>0</v>
      </c>
      <c r="R1495" t="s">
        <v>43170</v>
      </c>
      <c r="S1495" t="s">
        <v>43297</v>
      </c>
      <c r="T1495" t="s">
        <v>44709</v>
      </c>
      <c r="U1495" t="s">
        <v>46414</v>
      </c>
      <c r="W1495" t="s">
        <v>39930</v>
      </c>
      <c r="X1495" t="s">
        <v>43172</v>
      </c>
    </row>
    <row r="1496" spans="1:24">
      <c r="A1496">
        <f>HYPERLINK("https://www.philgeps.gov.ph/GEPSNONPILOT/Tender/SplashBidNoticeAbstractUI.aspx?menuIndex=3&amp;refID=7083805&amp;Result=3","7083805")</f>
        <v>0</v>
      </c>
      <c r="B1496" t="s">
        <v>628</v>
      </c>
      <c r="C1496" t="s">
        <v>4857</v>
      </c>
      <c r="D1496" t="s">
        <v>17415</v>
      </c>
      <c r="E1496" t="s">
        <v>18808</v>
      </c>
      <c r="F1496" t="s">
        <v>30052</v>
      </c>
      <c r="G1496" t="s">
        <v>30062</v>
      </c>
      <c r="H1496" t="s">
        <v>15498</v>
      </c>
      <c r="I1496" t="s">
        <v>30109</v>
      </c>
      <c r="J1496" t="s">
        <v>31271</v>
      </c>
      <c r="K1496" t="s">
        <v>39017</v>
      </c>
      <c r="M1496" t="s">
        <v>39931</v>
      </c>
      <c r="N1496" t="s">
        <v>43166</v>
      </c>
      <c r="O1496" t="s">
        <v>43167</v>
      </c>
      <c r="P1496">
        <v>0</v>
      </c>
      <c r="Q1496">
        <v>7</v>
      </c>
      <c r="R1496" t="s">
        <v>43170</v>
      </c>
      <c r="S1496" t="s">
        <v>43297</v>
      </c>
      <c r="T1496" t="s">
        <v>44866</v>
      </c>
      <c r="U1496" t="s">
        <v>46415</v>
      </c>
      <c r="W1496" t="s">
        <v>39931</v>
      </c>
      <c r="X1496" t="s">
        <v>43172</v>
      </c>
    </row>
    <row r="1497" spans="1:24">
      <c r="A1497">
        <f>HYPERLINK("https://www.philgeps.gov.ph/GEPSNONPILOT/Tender/SplashBidNoticeAbstractUI.aspx?menuIndex=3&amp;refID=7084164&amp;Result=3","7084164")</f>
        <v>0</v>
      </c>
      <c r="B1497" t="s">
        <v>629</v>
      </c>
      <c r="C1497" t="s">
        <v>4858</v>
      </c>
      <c r="D1497" t="s">
        <v>17415</v>
      </c>
      <c r="E1497" t="s">
        <v>18809</v>
      </c>
      <c r="F1497" t="s">
        <v>30052</v>
      </c>
      <c r="G1497" t="s">
        <v>30059</v>
      </c>
      <c r="H1497" t="s">
        <v>15498</v>
      </c>
      <c r="I1497" t="s">
        <v>30068</v>
      </c>
      <c r="J1497" t="s">
        <v>31272</v>
      </c>
      <c r="K1497" t="s">
        <v>39048</v>
      </c>
      <c r="M1497" t="s">
        <v>39932</v>
      </c>
      <c r="N1497" t="s">
        <v>43166</v>
      </c>
      <c r="O1497" t="s">
        <v>43167</v>
      </c>
      <c r="P1497">
        <v>0</v>
      </c>
      <c r="Q1497">
        <v>1</v>
      </c>
      <c r="R1497" t="s">
        <v>43170</v>
      </c>
      <c r="S1497" t="s">
        <v>43297</v>
      </c>
      <c r="T1497" t="s">
        <v>44717</v>
      </c>
      <c r="U1497" t="s">
        <v>46416</v>
      </c>
      <c r="W1497" t="s">
        <v>39932</v>
      </c>
      <c r="X1497" t="s">
        <v>43172</v>
      </c>
    </row>
    <row r="1498" spans="1:24">
      <c r="A1498">
        <f>HYPERLINK("https://www.philgeps.gov.ph/GEPSNONPILOT/Tender/SplashBidNoticeAbstractUI.aspx?menuIndex=3&amp;refID=7083935&amp;Result=3","7083935")</f>
        <v>0</v>
      </c>
      <c r="B1498" t="s">
        <v>630</v>
      </c>
      <c r="C1498" t="s">
        <v>4859</v>
      </c>
      <c r="D1498" t="s">
        <v>17456</v>
      </c>
      <c r="E1498" t="s">
        <v>18810</v>
      </c>
      <c r="F1498" t="s">
        <v>30052</v>
      </c>
      <c r="G1498" t="s">
        <v>30059</v>
      </c>
      <c r="H1498" t="s">
        <v>15498</v>
      </c>
      <c r="I1498" t="s">
        <v>30128</v>
      </c>
      <c r="J1498" t="s">
        <v>30230</v>
      </c>
      <c r="K1498" t="s">
        <v>39017</v>
      </c>
      <c r="M1498" t="s">
        <v>39933</v>
      </c>
      <c r="N1498" t="s">
        <v>43166</v>
      </c>
      <c r="O1498" t="s">
        <v>43167</v>
      </c>
      <c r="P1498">
        <v>0</v>
      </c>
      <c r="Q1498">
        <v>2</v>
      </c>
      <c r="R1498" t="s">
        <v>43170</v>
      </c>
      <c r="S1498" t="s">
        <v>43297</v>
      </c>
      <c r="T1498" t="s">
        <v>44773</v>
      </c>
      <c r="U1498" t="s">
        <v>46417</v>
      </c>
      <c r="W1498" t="s">
        <v>39933</v>
      </c>
      <c r="X1498" t="s">
        <v>43172</v>
      </c>
    </row>
    <row r="1499" spans="1:24">
      <c r="A1499">
        <f>HYPERLINK("https://www.philgeps.gov.ph/GEPSNONPILOT/Tender/SplashBidNoticeAbstractUI.aspx?menuIndex=3&amp;refID=7084130&amp;Result=3","7084130")</f>
        <v>0</v>
      </c>
      <c r="B1499" t="s">
        <v>631</v>
      </c>
      <c r="C1499" t="s">
        <v>4860</v>
      </c>
      <c r="D1499" t="s">
        <v>17444</v>
      </c>
      <c r="E1499" t="s">
        <v>18811</v>
      </c>
      <c r="F1499" t="s">
        <v>30052</v>
      </c>
      <c r="G1499" t="s">
        <v>30058</v>
      </c>
      <c r="H1499" t="s">
        <v>15498</v>
      </c>
      <c r="I1499" t="s">
        <v>4119</v>
      </c>
      <c r="J1499" t="s">
        <v>30227</v>
      </c>
      <c r="K1499" t="s">
        <v>39017</v>
      </c>
      <c r="M1499" t="s">
        <v>39934</v>
      </c>
      <c r="N1499" t="s">
        <v>43166</v>
      </c>
      <c r="O1499" t="s">
        <v>43167</v>
      </c>
      <c r="P1499">
        <v>0</v>
      </c>
      <c r="Q1499">
        <v>8</v>
      </c>
      <c r="R1499" t="s">
        <v>43170</v>
      </c>
      <c r="S1499" t="s">
        <v>43297</v>
      </c>
      <c r="T1499" t="s">
        <v>44816</v>
      </c>
      <c r="U1499" t="s">
        <v>46418</v>
      </c>
      <c r="V1499" t="s">
        <v>56991</v>
      </c>
      <c r="W1499" t="s">
        <v>39934</v>
      </c>
      <c r="X1499" t="s">
        <v>43172</v>
      </c>
    </row>
    <row r="1500" spans="1:24">
      <c r="A1500">
        <f>HYPERLINK("https://www.philgeps.gov.ph/GEPSNONPILOT/Tender/SplashBidNoticeAbstractUI.aspx?menuIndex=3&amp;refID=7084117&amp;Result=3","7084117")</f>
        <v>0</v>
      </c>
      <c r="B1500" t="s">
        <v>261</v>
      </c>
      <c r="C1500" t="s">
        <v>4861</v>
      </c>
      <c r="D1500" t="s">
        <v>17454</v>
      </c>
      <c r="E1500" t="s">
        <v>18812</v>
      </c>
      <c r="F1500" t="s">
        <v>30052</v>
      </c>
      <c r="G1500" t="s">
        <v>30059</v>
      </c>
      <c r="H1500" t="s">
        <v>15498</v>
      </c>
      <c r="I1500" t="s">
        <v>3852</v>
      </c>
      <c r="J1500" t="s">
        <v>31273</v>
      </c>
      <c r="K1500" t="s">
        <v>39019</v>
      </c>
      <c r="M1500" t="s">
        <v>39552</v>
      </c>
      <c r="N1500" t="s">
        <v>43166</v>
      </c>
      <c r="O1500" t="s">
        <v>43167</v>
      </c>
      <c r="P1500">
        <v>0</v>
      </c>
      <c r="Q1500">
        <v>1</v>
      </c>
      <c r="R1500" t="s">
        <v>43170</v>
      </c>
      <c r="S1500" t="s">
        <v>43297</v>
      </c>
      <c r="T1500" t="s">
        <v>44743</v>
      </c>
      <c r="U1500" t="s">
        <v>46419</v>
      </c>
      <c r="W1500" t="s">
        <v>39552</v>
      </c>
      <c r="X1500" t="s">
        <v>43172</v>
      </c>
    </row>
    <row r="1501" spans="1:24">
      <c r="A1501">
        <f>HYPERLINK("https://www.philgeps.gov.ph/GEPSNONPILOT/Tender/SplashBidNoticeAbstractUI.aspx?menuIndex=3&amp;refID=7083960&amp;Result=3","7083960")</f>
        <v>0</v>
      </c>
      <c r="B1501" t="s">
        <v>632</v>
      </c>
      <c r="C1501" t="s">
        <v>4862</v>
      </c>
      <c r="D1501" t="s">
        <v>17422</v>
      </c>
      <c r="E1501" t="s">
        <v>18813</v>
      </c>
      <c r="F1501" t="s">
        <v>30052</v>
      </c>
      <c r="G1501" t="s">
        <v>30058</v>
      </c>
      <c r="H1501" t="s">
        <v>15498</v>
      </c>
      <c r="I1501" t="s">
        <v>30106</v>
      </c>
      <c r="J1501" t="s">
        <v>31274</v>
      </c>
      <c r="K1501" t="s">
        <v>39029</v>
      </c>
      <c r="M1501" t="s">
        <v>39935</v>
      </c>
      <c r="N1501" t="s">
        <v>43166</v>
      </c>
      <c r="O1501" t="s">
        <v>43167</v>
      </c>
      <c r="P1501">
        <v>0</v>
      </c>
      <c r="Q1501">
        <v>1</v>
      </c>
      <c r="R1501" t="s">
        <v>43170</v>
      </c>
      <c r="S1501" t="s">
        <v>43297</v>
      </c>
      <c r="T1501" t="s">
        <v>44681</v>
      </c>
      <c r="U1501" t="s">
        <v>46420</v>
      </c>
      <c r="W1501" t="s">
        <v>39935</v>
      </c>
      <c r="X1501" t="s">
        <v>43172</v>
      </c>
    </row>
    <row r="1502" spans="1:24">
      <c r="A1502">
        <f>HYPERLINK("https://www.philgeps.gov.ph/GEPSNONPILOT/Tender/SplashBidNoticeAbstractUI.aspx?menuIndex=3&amp;refID=7084082&amp;Result=3","7084082")</f>
        <v>0</v>
      </c>
      <c r="B1502" t="s">
        <v>261</v>
      </c>
      <c r="C1502" t="s">
        <v>4863</v>
      </c>
      <c r="D1502" t="s">
        <v>17454</v>
      </c>
      <c r="E1502" t="s">
        <v>18814</v>
      </c>
      <c r="F1502" t="s">
        <v>30052</v>
      </c>
      <c r="G1502" t="s">
        <v>30061</v>
      </c>
      <c r="H1502" t="s">
        <v>15498</v>
      </c>
      <c r="I1502" t="s">
        <v>3852</v>
      </c>
      <c r="J1502" t="s">
        <v>31275</v>
      </c>
      <c r="K1502" t="s">
        <v>39019</v>
      </c>
      <c r="M1502" t="s">
        <v>39552</v>
      </c>
      <c r="N1502" t="s">
        <v>43166</v>
      </c>
      <c r="O1502" t="s">
        <v>43167</v>
      </c>
      <c r="P1502">
        <v>0</v>
      </c>
      <c r="Q1502">
        <v>2</v>
      </c>
      <c r="R1502" t="s">
        <v>43170</v>
      </c>
      <c r="S1502" t="s">
        <v>43297</v>
      </c>
      <c r="T1502" t="s">
        <v>44743</v>
      </c>
      <c r="U1502" t="s">
        <v>46421</v>
      </c>
      <c r="W1502" t="s">
        <v>39552</v>
      </c>
      <c r="X1502" t="s">
        <v>43172</v>
      </c>
    </row>
    <row r="1503" spans="1:24">
      <c r="A1503">
        <f>HYPERLINK("https://www.philgeps.gov.ph/GEPSNONPILOT/Tender/SplashBidNoticeAbstractUI.aspx?menuIndex=3&amp;refID=7084078&amp;Result=3","7084078")</f>
        <v>0</v>
      </c>
      <c r="B1503" t="s">
        <v>633</v>
      </c>
      <c r="C1503" t="s">
        <v>4864</v>
      </c>
      <c r="D1503" t="s">
        <v>17415</v>
      </c>
      <c r="E1503" t="s">
        <v>18815</v>
      </c>
      <c r="F1503" t="s">
        <v>30052</v>
      </c>
      <c r="G1503" t="s">
        <v>30064</v>
      </c>
      <c r="H1503" t="s">
        <v>30068</v>
      </c>
      <c r="I1503" t="s">
        <v>30068</v>
      </c>
      <c r="J1503" t="s">
        <v>31276</v>
      </c>
      <c r="K1503" t="s">
        <v>39048</v>
      </c>
      <c r="M1503" t="s">
        <v>39936</v>
      </c>
      <c r="N1503" t="s">
        <v>43166</v>
      </c>
      <c r="O1503" t="s">
        <v>43167</v>
      </c>
      <c r="P1503">
        <v>0</v>
      </c>
      <c r="Q1503">
        <v>0</v>
      </c>
      <c r="R1503" t="s">
        <v>43170</v>
      </c>
      <c r="S1503" t="s">
        <v>43297</v>
      </c>
      <c r="T1503" t="s">
        <v>44837</v>
      </c>
      <c r="U1503" t="s">
        <v>46422</v>
      </c>
      <c r="W1503" t="s">
        <v>39936</v>
      </c>
      <c r="X1503" t="s">
        <v>43172</v>
      </c>
    </row>
    <row r="1504" spans="1:24">
      <c r="A1504">
        <f>HYPERLINK("https://www.philgeps.gov.ph/GEPSNONPILOT/Tender/SplashBidNoticeAbstractUI.aspx?menuIndex=3&amp;refID=7084054&amp;Result=3","7084054")</f>
        <v>0</v>
      </c>
      <c r="B1504" t="s">
        <v>541</v>
      </c>
      <c r="C1504" t="s">
        <v>4865</v>
      </c>
      <c r="D1504" t="s">
        <v>17458</v>
      </c>
      <c r="E1504" t="s">
        <v>18816</v>
      </c>
      <c r="F1504" t="s">
        <v>30052</v>
      </c>
      <c r="G1504" t="s">
        <v>30062</v>
      </c>
      <c r="H1504" t="s">
        <v>15498</v>
      </c>
      <c r="I1504" t="s">
        <v>30070</v>
      </c>
      <c r="J1504" t="s">
        <v>31277</v>
      </c>
      <c r="K1504" t="s">
        <v>39017</v>
      </c>
      <c r="M1504" t="s">
        <v>39843</v>
      </c>
      <c r="N1504" t="s">
        <v>43166</v>
      </c>
      <c r="O1504" t="s">
        <v>43167</v>
      </c>
      <c r="P1504">
        <v>0</v>
      </c>
      <c r="Q1504">
        <v>1</v>
      </c>
      <c r="R1504" t="s">
        <v>43170</v>
      </c>
      <c r="S1504" t="s">
        <v>43297</v>
      </c>
      <c r="T1504" t="s">
        <v>44773</v>
      </c>
      <c r="U1504" t="s">
        <v>46423</v>
      </c>
      <c r="W1504" t="s">
        <v>58604</v>
      </c>
      <c r="X1504" t="s">
        <v>43172</v>
      </c>
    </row>
    <row r="1505" spans="1:24">
      <c r="A1505">
        <f>HYPERLINK("https://www.philgeps.gov.ph/GEPSNONPILOT/Tender/SplashBidNoticeAbstractUI.aspx?menuIndex=3&amp;refID=7083941&amp;Result=3","7083941")</f>
        <v>0</v>
      </c>
      <c r="B1505" t="s">
        <v>619</v>
      </c>
      <c r="C1505" t="s">
        <v>4866</v>
      </c>
      <c r="D1505" t="s">
        <v>17442</v>
      </c>
      <c r="E1505" t="s">
        <v>18817</v>
      </c>
      <c r="F1505" t="s">
        <v>30052</v>
      </c>
      <c r="G1505" t="s">
        <v>30059</v>
      </c>
      <c r="H1505" t="s">
        <v>30069</v>
      </c>
      <c r="I1505" t="s">
        <v>30155</v>
      </c>
      <c r="J1505" t="s">
        <v>31278</v>
      </c>
      <c r="K1505" t="s">
        <v>39036</v>
      </c>
      <c r="M1505" t="s">
        <v>39922</v>
      </c>
      <c r="N1505" t="s">
        <v>43166</v>
      </c>
      <c r="O1505" t="s">
        <v>43167</v>
      </c>
      <c r="P1505">
        <v>0</v>
      </c>
      <c r="Q1505">
        <v>1</v>
      </c>
      <c r="R1505" t="s">
        <v>43170</v>
      </c>
      <c r="S1505" t="s">
        <v>43297</v>
      </c>
      <c r="T1505" t="s">
        <v>44843</v>
      </c>
      <c r="U1505" t="s">
        <v>46424</v>
      </c>
      <c r="W1505" t="s">
        <v>39922</v>
      </c>
      <c r="X1505" t="s">
        <v>43172</v>
      </c>
    </row>
    <row r="1506" spans="1:24">
      <c r="A1506">
        <f>HYPERLINK("https://www.philgeps.gov.ph/GEPSNONPILOT/Tender/SplashBidNoticeAbstractUI.aspx?menuIndex=3&amp;refID=7084018&amp;Result=3","7084018")</f>
        <v>0</v>
      </c>
      <c r="B1506" t="s">
        <v>634</v>
      </c>
      <c r="C1506" t="s">
        <v>4867</v>
      </c>
      <c r="D1506" t="s">
        <v>17445</v>
      </c>
      <c r="E1506" t="s">
        <v>18818</v>
      </c>
      <c r="F1506" t="s">
        <v>30052</v>
      </c>
      <c r="G1506" t="s">
        <v>30059</v>
      </c>
      <c r="H1506" t="s">
        <v>30069</v>
      </c>
      <c r="I1506" t="s">
        <v>8323</v>
      </c>
      <c r="J1506" t="s">
        <v>31279</v>
      </c>
      <c r="K1506" t="s">
        <v>39029</v>
      </c>
      <c r="M1506" t="s">
        <v>39937</v>
      </c>
      <c r="N1506" t="s">
        <v>43166</v>
      </c>
      <c r="O1506" t="s">
        <v>43167</v>
      </c>
      <c r="P1506">
        <v>0</v>
      </c>
      <c r="Q1506">
        <v>4</v>
      </c>
      <c r="R1506" t="s">
        <v>43170</v>
      </c>
      <c r="S1506" t="s">
        <v>43297</v>
      </c>
      <c r="T1506" t="s">
        <v>44717</v>
      </c>
      <c r="U1506" t="s">
        <v>46425</v>
      </c>
      <c r="W1506" t="s">
        <v>39937</v>
      </c>
      <c r="X1506" t="s">
        <v>43172</v>
      </c>
    </row>
    <row r="1507" spans="1:24">
      <c r="A1507">
        <f>HYPERLINK("https://www.philgeps.gov.ph/GEPSNONPILOT/Tender/SplashBidNoticeAbstractUI.aspx?menuIndex=3&amp;refID=7083990&amp;Result=3","7083990")</f>
        <v>0</v>
      </c>
      <c r="B1507" t="s">
        <v>635</v>
      </c>
      <c r="C1507" t="s">
        <v>4868</v>
      </c>
      <c r="D1507" t="s">
        <v>17427</v>
      </c>
      <c r="E1507" t="s">
        <v>18819</v>
      </c>
      <c r="F1507" t="s">
        <v>30052</v>
      </c>
      <c r="G1507" t="s">
        <v>30058</v>
      </c>
      <c r="H1507" t="s">
        <v>30067</v>
      </c>
      <c r="I1507" t="s">
        <v>3693</v>
      </c>
      <c r="J1507" t="s">
        <v>30321</v>
      </c>
      <c r="K1507" t="s">
        <v>39016</v>
      </c>
      <c r="M1507" t="s">
        <v>39938</v>
      </c>
      <c r="N1507" t="s">
        <v>43166</v>
      </c>
      <c r="O1507" t="s">
        <v>43167</v>
      </c>
      <c r="P1507">
        <v>0</v>
      </c>
      <c r="Q1507">
        <v>0</v>
      </c>
      <c r="R1507" t="s">
        <v>43170</v>
      </c>
      <c r="S1507" t="s">
        <v>43297</v>
      </c>
      <c r="T1507" t="s">
        <v>44829</v>
      </c>
      <c r="U1507" t="s">
        <v>46426</v>
      </c>
      <c r="W1507" t="s">
        <v>39938</v>
      </c>
      <c r="X1507" t="s">
        <v>43172</v>
      </c>
    </row>
    <row r="1508" spans="1:24">
      <c r="A1508">
        <f>HYPERLINK("https://www.philgeps.gov.ph/GEPSNONPILOT/Tender/SplashBidNoticeAbstractUI.aspx?menuIndex=3&amp;refID=7084145&amp;Result=3","7084145")</f>
        <v>0</v>
      </c>
      <c r="B1508" t="s">
        <v>141</v>
      </c>
      <c r="C1508" t="s">
        <v>4869</v>
      </c>
      <c r="D1508" t="s">
        <v>17447</v>
      </c>
      <c r="E1508" t="s">
        <v>18820</v>
      </c>
      <c r="F1508" t="s">
        <v>30052</v>
      </c>
      <c r="G1508" t="s">
        <v>30059</v>
      </c>
      <c r="H1508" t="s">
        <v>15498</v>
      </c>
      <c r="I1508" t="s">
        <v>4119</v>
      </c>
      <c r="J1508" t="s">
        <v>31280</v>
      </c>
      <c r="K1508" t="s">
        <v>39025</v>
      </c>
      <c r="M1508" t="s">
        <v>39939</v>
      </c>
      <c r="N1508" t="s">
        <v>43166</v>
      </c>
      <c r="O1508" t="s">
        <v>43167</v>
      </c>
      <c r="P1508">
        <v>0</v>
      </c>
      <c r="Q1508">
        <v>1</v>
      </c>
      <c r="R1508" t="s">
        <v>43170</v>
      </c>
      <c r="S1508" t="s">
        <v>43297</v>
      </c>
      <c r="T1508" t="s">
        <v>44837</v>
      </c>
      <c r="U1508" t="s">
        <v>46427</v>
      </c>
      <c r="V1508" t="s">
        <v>56992</v>
      </c>
      <c r="W1508" t="s">
        <v>39939</v>
      </c>
      <c r="X1508" t="s">
        <v>43172</v>
      </c>
    </row>
    <row r="1509" spans="1:24">
      <c r="A1509">
        <f>HYPERLINK("https://www.philgeps.gov.ph/GEPSNONPILOT/Tender/SplashBidNoticeAbstractUI.aspx?menuIndex=3&amp;refID=7083986&amp;Result=3","7083986")</f>
        <v>0</v>
      </c>
      <c r="B1509" t="s">
        <v>636</v>
      </c>
      <c r="C1509" t="s">
        <v>4870</v>
      </c>
      <c r="D1509" t="s">
        <v>17466</v>
      </c>
      <c r="E1509" t="s">
        <v>18821</v>
      </c>
      <c r="F1509" t="s">
        <v>30052</v>
      </c>
      <c r="G1509" t="s">
        <v>30058</v>
      </c>
      <c r="H1509" t="s">
        <v>15498</v>
      </c>
      <c r="I1509" t="s">
        <v>5961</v>
      </c>
      <c r="J1509" t="s">
        <v>31281</v>
      </c>
      <c r="K1509" t="s">
        <v>39025</v>
      </c>
      <c r="M1509" t="s">
        <v>39940</v>
      </c>
      <c r="N1509" t="s">
        <v>43166</v>
      </c>
      <c r="O1509" t="s">
        <v>43167</v>
      </c>
      <c r="P1509">
        <v>0</v>
      </c>
      <c r="Q1509">
        <v>1</v>
      </c>
      <c r="R1509" t="s">
        <v>43170</v>
      </c>
      <c r="S1509" t="s">
        <v>43297</v>
      </c>
      <c r="T1509" t="s">
        <v>44727</v>
      </c>
      <c r="U1509" t="s">
        <v>46428</v>
      </c>
      <c r="W1509" t="s">
        <v>39940</v>
      </c>
      <c r="X1509" t="s">
        <v>43172</v>
      </c>
    </row>
    <row r="1510" spans="1:24">
      <c r="A1510">
        <f>HYPERLINK("https://www.philgeps.gov.ph/GEPSNONPILOT/Tender/SplashBidNoticeAbstractUI.aspx?menuIndex=3&amp;refID=7083975&amp;Result=3","7083975")</f>
        <v>0</v>
      </c>
      <c r="B1510" t="s">
        <v>541</v>
      </c>
      <c r="C1510" t="s">
        <v>4871</v>
      </c>
      <c r="D1510" t="s">
        <v>17458</v>
      </c>
      <c r="E1510" t="s">
        <v>18822</v>
      </c>
      <c r="F1510" t="s">
        <v>30052</v>
      </c>
      <c r="G1510" t="s">
        <v>30059</v>
      </c>
      <c r="H1510" t="s">
        <v>15498</v>
      </c>
      <c r="I1510" t="s">
        <v>30076</v>
      </c>
      <c r="J1510" t="s">
        <v>31282</v>
      </c>
      <c r="K1510" t="s">
        <v>39017</v>
      </c>
      <c r="M1510" t="s">
        <v>39843</v>
      </c>
      <c r="N1510" t="s">
        <v>43166</v>
      </c>
      <c r="O1510" t="s">
        <v>43167</v>
      </c>
      <c r="P1510">
        <v>0</v>
      </c>
      <c r="Q1510">
        <v>2</v>
      </c>
      <c r="R1510" t="s">
        <v>43170</v>
      </c>
      <c r="S1510" t="s">
        <v>43297</v>
      </c>
      <c r="T1510" t="s">
        <v>44773</v>
      </c>
      <c r="U1510" t="s">
        <v>46429</v>
      </c>
      <c r="W1510" t="s">
        <v>58604</v>
      </c>
      <c r="X1510" t="s">
        <v>43172</v>
      </c>
    </row>
    <row r="1511" spans="1:24">
      <c r="A1511">
        <f>HYPERLINK("https://www.philgeps.gov.ph/GEPSNONPILOT/Tender/SplashBidNoticeAbstractUI.aspx?menuIndex=3&amp;refID=7084234&amp;Result=3","7084234")</f>
        <v>0</v>
      </c>
      <c r="B1511" t="s">
        <v>637</v>
      </c>
      <c r="C1511" t="s">
        <v>4872</v>
      </c>
      <c r="D1511" t="s">
        <v>17468</v>
      </c>
      <c r="E1511" t="s">
        <v>18823</v>
      </c>
      <c r="F1511" t="s">
        <v>30052</v>
      </c>
      <c r="G1511" t="s">
        <v>30059</v>
      </c>
      <c r="H1511" t="s">
        <v>15498</v>
      </c>
      <c r="I1511" t="s">
        <v>30084</v>
      </c>
      <c r="J1511" t="s">
        <v>31283</v>
      </c>
      <c r="K1511" t="s">
        <v>39025</v>
      </c>
      <c r="M1511" t="s">
        <v>39941</v>
      </c>
      <c r="N1511" t="s">
        <v>43166</v>
      </c>
      <c r="O1511" t="s">
        <v>43167</v>
      </c>
      <c r="P1511">
        <v>0</v>
      </c>
      <c r="Q1511">
        <v>13</v>
      </c>
      <c r="R1511" t="s">
        <v>43170</v>
      </c>
      <c r="S1511" t="s">
        <v>43297</v>
      </c>
      <c r="T1511" t="s">
        <v>44732</v>
      </c>
      <c r="U1511" t="s">
        <v>46430</v>
      </c>
      <c r="W1511" t="s">
        <v>39941</v>
      </c>
      <c r="X1511" t="s">
        <v>43172</v>
      </c>
    </row>
    <row r="1512" spans="1:24">
      <c r="A1512">
        <f>HYPERLINK("https://www.philgeps.gov.ph/GEPSNONPILOT/Tender/SplashBidNoticeAbstractUI.aspx?menuIndex=3&amp;refID=7087510&amp;Result=3","7087510")</f>
        <v>0</v>
      </c>
      <c r="B1512" t="s">
        <v>405</v>
      </c>
      <c r="C1512" t="s">
        <v>4873</v>
      </c>
      <c r="E1512" t="s">
        <v>18824</v>
      </c>
      <c r="F1512" t="s">
        <v>30052</v>
      </c>
      <c r="G1512" t="s">
        <v>30059</v>
      </c>
      <c r="H1512" t="s">
        <v>15498</v>
      </c>
      <c r="I1512" t="s">
        <v>9238</v>
      </c>
      <c r="J1512" t="s">
        <v>31284</v>
      </c>
      <c r="K1512" t="s">
        <v>39025</v>
      </c>
      <c r="M1512" t="s">
        <v>39704</v>
      </c>
      <c r="N1512" t="s">
        <v>43166</v>
      </c>
      <c r="O1512" t="s">
        <v>43167</v>
      </c>
      <c r="P1512">
        <v>0</v>
      </c>
      <c r="Q1512">
        <v>2</v>
      </c>
      <c r="R1512" t="s">
        <v>43169</v>
      </c>
      <c r="S1512" t="s">
        <v>43291</v>
      </c>
      <c r="T1512" t="s">
        <v>44743</v>
      </c>
      <c r="U1512" t="s">
        <v>46272</v>
      </c>
      <c r="W1512" t="s">
        <v>39704</v>
      </c>
      <c r="X1512" t="s">
        <v>43170</v>
      </c>
    </row>
    <row r="1513" spans="1:24">
      <c r="A1513">
        <f>HYPERLINK("https://www.philgeps.gov.ph/GEPSNONPILOT/Tender/SplashBidNoticeAbstractUI.aspx?menuIndex=3&amp;refID=7084072&amp;Result=3","7084072")</f>
        <v>0</v>
      </c>
      <c r="B1513" t="s">
        <v>638</v>
      </c>
      <c r="C1513" t="s">
        <v>4874</v>
      </c>
      <c r="D1513" t="s">
        <v>17443</v>
      </c>
      <c r="E1513" t="s">
        <v>18825</v>
      </c>
      <c r="F1513" t="s">
        <v>30052</v>
      </c>
      <c r="G1513" t="s">
        <v>30058</v>
      </c>
      <c r="H1513" t="s">
        <v>15498</v>
      </c>
      <c r="I1513" t="s">
        <v>3736</v>
      </c>
      <c r="J1513" t="s">
        <v>31285</v>
      </c>
      <c r="K1513" t="s">
        <v>39032</v>
      </c>
      <c r="M1513" t="s">
        <v>39942</v>
      </c>
      <c r="N1513" t="s">
        <v>43166</v>
      </c>
      <c r="O1513" t="s">
        <v>43167</v>
      </c>
      <c r="P1513">
        <v>0</v>
      </c>
      <c r="Q1513">
        <v>0</v>
      </c>
      <c r="R1513" t="s">
        <v>43170</v>
      </c>
      <c r="S1513" t="s">
        <v>43297</v>
      </c>
      <c r="T1513" t="s">
        <v>44718</v>
      </c>
      <c r="U1513" t="s">
        <v>46431</v>
      </c>
      <c r="W1513" t="s">
        <v>39942</v>
      </c>
      <c r="X1513" t="s">
        <v>43172</v>
      </c>
    </row>
    <row r="1514" spans="1:24">
      <c r="A1514">
        <f>HYPERLINK("https://www.philgeps.gov.ph/GEPSNONPILOT/Tender/SplashBidNoticeAbstractUI.aspx?menuIndex=3&amp;refID=7084009&amp;Result=3","7084009")</f>
        <v>0</v>
      </c>
      <c r="B1514" t="s">
        <v>630</v>
      </c>
      <c r="C1514" t="s">
        <v>4875</v>
      </c>
      <c r="D1514" t="s">
        <v>17456</v>
      </c>
      <c r="E1514" t="s">
        <v>18826</v>
      </c>
      <c r="F1514" t="s">
        <v>30052</v>
      </c>
      <c r="G1514" t="s">
        <v>30059</v>
      </c>
      <c r="H1514" t="s">
        <v>15498</v>
      </c>
      <c r="I1514" t="s">
        <v>30084</v>
      </c>
      <c r="J1514" t="s">
        <v>30587</v>
      </c>
      <c r="K1514" t="s">
        <v>39019</v>
      </c>
      <c r="M1514" t="s">
        <v>39933</v>
      </c>
      <c r="N1514" t="s">
        <v>43166</v>
      </c>
      <c r="O1514" t="s">
        <v>43167</v>
      </c>
      <c r="P1514">
        <v>0</v>
      </c>
      <c r="Q1514">
        <v>6</v>
      </c>
      <c r="R1514" t="s">
        <v>43170</v>
      </c>
      <c r="S1514" t="s">
        <v>43297</v>
      </c>
      <c r="T1514" t="s">
        <v>44773</v>
      </c>
      <c r="U1514" t="s">
        <v>46432</v>
      </c>
      <c r="W1514" t="s">
        <v>39933</v>
      </c>
      <c r="X1514" t="s">
        <v>43172</v>
      </c>
    </row>
    <row r="1515" spans="1:24">
      <c r="A1515">
        <f>HYPERLINK("https://www.philgeps.gov.ph/GEPSNONPILOT/Tender/SplashBidNoticeAbstractUI.aspx?menuIndex=3&amp;refID=7087465&amp;Result=3","7087465")</f>
        <v>0</v>
      </c>
      <c r="B1515" t="s">
        <v>405</v>
      </c>
      <c r="C1515" t="s">
        <v>4876</v>
      </c>
      <c r="E1515" t="s">
        <v>18827</v>
      </c>
      <c r="F1515" t="s">
        <v>30052</v>
      </c>
      <c r="G1515" t="s">
        <v>30059</v>
      </c>
      <c r="H1515" t="s">
        <v>15498</v>
      </c>
      <c r="I1515" t="s">
        <v>30148</v>
      </c>
      <c r="J1515" t="s">
        <v>31286</v>
      </c>
      <c r="K1515" t="s">
        <v>39025</v>
      </c>
      <c r="M1515" t="s">
        <v>39704</v>
      </c>
      <c r="N1515" t="s">
        <v>43166</v>
      </c>
      <c r="O1515" t="s">
        <v>43167</v>
      </c>
      <c r="P1515">
        <v>0</v>
      </c>
      <c r="Q1515">
        <v>0</v>
      </c>
      <c r="R1515" t="s">
        <v>43169</v>
      </c>
      <c r="S1515" t="s">
        <v>43291</v>
      </c>
      <c r="T1515" t="s">
        <v>44743</v>
      </c>
      <c r="U1515" t="s">
        <v>46272</v>
      </c>
      <c r="W1515" t="s">
        <v>39704</v>
      </c>
      <c r="X1515" t="s">
        <v>43170</v>
      </c>
    </row>
    <row r="1516" spans="1:24">
      <c r="A1516">
        <f>HYPERLINK("https://www.philgeps.gov.ph/GEPSNONPILOT/Tender/SplashBidNoticeAbstractUI.aspx?menuIndex=3&amp;refID=7084000&amp;Result=3","7084000")</f>
        <v>0</v>
      </c>
      <c r="B1516" t="s">
        <v>639</v>
      </c>
      <c r="C1516" t="s">
        <v>4877</v>
      </c>
      <c r="E1516" t="s">
        <v>18828</v>
      </c>
      <c r="F1516" t="s">
        <v>30052</v>
      </c>
      <c r="G1516" t="s">
        <v>30059</v>
      </c>
      <c r="H1516" t="s">
        <v>15498</v>
      </c>
      <c r="I1516" t="s">
        <v>30070</v>
      </c>
      <c r="J1516" t="s">
        <v>31287</v>
      </c>
      <c r="K1516" t="s">
        <v>39064</v>
      </c>
      <c r="M1516" t="s">
        <v>39943</v>
      </c>
      <c r="N1516" t="s">
        <v>43166</v>
      </c>
      <c r="O1516" t="s">
        <v>43167</v>
      </c>
      <c r="P1516">
        <v>0</v>
      </c>
      <c r="Q1516">
        <v>2</v>
      </c>
      <c r="R1516" t="s">
        <v>43170</v>
      </c>
      <c r="S1516" t="s">
        <v>43297</v>
      </c>
      <c r="T1516" t="s">
        <v>44856</v>
      </c>
      <c r="U1516" t="s">
        <v>46433</v>
      </c>
      <c r="W1516" t="s">
        <v>39943</v>
      </c>
      <c r="X1516" t="s">
        <v>43172</v>
      </c>
    </row>
    <row r="1517" spans="1:24">
      <c r="A1517">
        <f>HYPERLINK("https://www.philgeps.gov.ph/GEPSNONPILOT/Tender/SplashBidNoticeAbstractUI.aspx?menuIndex=3&amp;refID=7087409&amp;Result=3","7087409")</f>
        <v>0</v>
      </c>
      <c r="B1517" t="s">
        <v>545</v>
      </c>
      <c r="C1517" t="s">
        <v>4878</v>
      </c>
      <c r="D1517" t="s">
        <v>17456</v>
      </c>
      <c r="E1517" t="s">
        <v>18829</v>
      </c>
      <c r="F1517" t="s">
        <v>30052</v>
      </c>
      <c r="G1517" t="s">
        <v>30059</v>
      </c>
      <c r="H1517" t="s">
        <v>15498</v>
      </c>
      <c r="I1517" t="s">
        <v>30117</v>
      </c>
      <c r="J1517" t="s">
        <v>31288</v>
      </c>
      <c r="K1517" t="s">
        <v>39029</v>
      </c>
      <c r="M1517" t="s">
        <v>39847</v>
      </c>
      <c r="N1517" t="s">
        <v>43166</v>
      </c>
      <c r="O1517" t="s">
        <v>43167</v>
      </c>
      <c r="P1517">
        <v>0</v>
      </c>
      <c r="Q1517">
        <v>0</v>
      </c>
      <c r="R1517" t="s">
        <v>43169</v>
      </c>
      <c r="S1517" t="s">
        <v>43291</v>
      </c>
      <c r="T1517" t="s">
        <v>44734</v>
      </c>
      <c r="U1517" t="s">
        <v>46434</v>
      </c>
      <c r="V1517" t="s">
        <v>56970</v>
      </c>
      <c r="W1517" t="s">
        <v>39847</v>
      </c>
      <c r="X1517" t="s">
        <v>43170</v>
      </c>
    </row>
    <row r="1518" spans="1:24">
      <c r="A1518">
        <f>HYPERLINK("https://www.philgeps.gov.ph/GEPSNONPILOT/Tender/SplashBidNoticeAbstractUI.aspx?menuIndex=3&amp;refID=7087408&amp;Result=3","7087408")</f>
        <v>0</v>
      </c>
      <c r="B1518" t="s">
        <v>543</v>
      </c>
      <c r="C1518" t="s">
        <v>4879</v>
      </c>
      <c r="E1518" t="s">
        <v>18830</v>
      </c>
      <c r="F1518" t="s">
        <v>30052</v>
      </c>
      <c r="G1518" t="s">
        <v>30058</v>
      </c>
      <c r="H1518" t="s">
        <v>15498</v>
      </c>
      <c r="I1518" t="s">
        <v>7228</v>
      </c>
      <c r="J1518" t="s">
        <v>31289</v>
      </c>
      <c r="K1518" t="s">
        <v>39025</v>
      </c>
      <c r="M1518" t="s">
        <v>39845</v>
      </c>
      <c r="N1518" t="s">
        <v>43166</v>
      </c>
      <c r="O1518" t="s">
        <v>43167</v>
      </c>
      <c r="P1518">
        <v>0</v>
      </c>
      <c r="Q1518">
        <v>0</v>
      </c>
      <c r="R1518" t="s">
        <v>43169</v>
      </c>
      <c r="S1518" t="s">
        <v>43291</v>
      </c>
      <c r="T1518" t="s">
        <v>44718</v>
      </c>
      <c r="U1518" t="s">
        <v>46244</v>
      </c>
      <c r="W1518" t="s">
        <v>39845</v>
      </c>
      <c r="X1518" t="s">
        <v>43170</v>
      </c>
    </row>
    <row r="1519" spans="1:24">
      <c r="A1519">
        <f>HYPERLINK("https://www.philgeps.gov.ph/GEPSNONPILOT/Tender/SplashBidNoticeAbstractUI.aspx?menuIndex=3&amp;refID=7087407&amp;Result=3","7087407")</f>
        <v>0</v>
      </c>
      <c r="B1519" t="s">
        <v>543</v>
      </c>
      <c r="C1519" t="s">
        <v>4880</v>
      </c>
      <c r="E1519" t="s">
        <v>18831</v>
      </c>
      <c r="F1519" t="s">
        <v>30052</v>
      </c>
      <c r="G1519" t="s">
        <v>30058</v>
      </c>
      <c r="H1519" t="s">
        <v>15498</v>
      </c>
      <c r="I1519" t="s">
        <v>4650</v>
      </c>
      <c r="J1519" t="s">
        <v>30402</v>
      </c>
      <c r="K1519" t="s">
        <v>39025</v>
      </c>
      <c r="M1519" t="s">
        <v>39845</v>
      </c>
      <c r="N1519" t="s">
        <v>43166</v>
      </c>
      <c r="O1519" t="s">
        <v>43167</v>
      </c>
      <c r="P1519">
        <v>0</v>
      </c>
      <c r="Q1519">
        <v>2</v>
      </c>
      <c r="R1519" t="s">
        <v>43169</v>
      </c>
      <c r="S1519" t="s">
        <v>43291</v>
      </c>
      <c r="T1519" t="s">
        <v>44718</v>
      </c>
      <c r="U1519" t="s">
        <v>46244</v>
      </c>
      <c r="W1519" t="s">
        <v>39845</v>
      </c>
      <c r="X1519" t="s">
        <v>43170</v>
      </c>
    </row>
    <row r="1520" spans="1:24">
      <c r="A1520">
        <f>HYPERLINK("https://www.philgeps.gov.ph/GEPSNONPILOT/Tender/SplashBidNoticeAbstractUI.aspx?menuIndex=3&amp;refID=7087405&amp;Result=3","7087405")</f>
        <v>0</v>
      </c>
      <c r="B1520" t="s">
        <v>640</v>
      </c>
      <c r="C1520" t="s">
        <v>4881</v>
      </c>
      <c r="D1520" t="s">
        <v>17415</v>
      </c>
      <c r="E1520" t="s">
        <v>18832</v>
      </c>
      <c r="F1520" t="s">
        <v>30052</v>
      </c>
      <c r="G1520" t="s">
        <v>30059</v>
      </c>
      <c r="H1520" t="s">
        <v>15498</v>
      </c>
      <c r="I1520" t="s">
        <v>30156</v>
      </c>
      <c r="J1520" t="s">
        <v>31290</v>
      </c>
      <c r="K1520" t="s">
        <v>39023</v>
      </c>
      <c r="M1520" t="s">
        <v>39944</v>
      </c>
      <c r="N1520" t="s">
        <v>43166</v>
      </c>
      <c r="O1520" t="s">
        <v>43167</v>
      </c>
      <c r="P1520">
        <v>0</v>
      </c>
      <c r="Q1520">
        <v>3</v>
      </c>
      <c r="R1520" t="s">
        <v>43169</v>
      </c>
      <c r="S1520" t="s">
        <v>43291</v>
      </c>
      <c r="T1520" t="s">
        <v>44728</v>
      </c>
      <c r="U1520" t="s">
        <v>46435</v>
      </c>
      <c r="W1520" t="s">
        <v>39944</v>
      </c>
      <c r="X1520" t="s">
        <v>43170</v>
      </c>
    </row>
    <row r="1521" spans="1:24">
      <c r="A1521">
        <f>HYPERLINK("https://www.philgeps.gov.ph/GEPSNONPILOT/Tender/SplashBidNoticeAbstractUI.aspx?menuIndex=3&amp;refID=7083966&amp;Result=3","7083966")</f>
        <v>0</v>
      </c>
      <c r="B1521" t="s">
        <v>641</v>
      </c>
      <c r="C1521" t="s">
        <v>4882</v>
      </c>
      <c r="D1521" t="s">
        <v>17458</v>
      </c>
      <c r="E1521" t="s">
        <v>18833</v>
      </c>
      <c r="F1521" t="s">
        <v>30052</v>
      </c>
      <c r="G1521" t="s">
        <v>30059</v>
      </c>
      <c r="H1521" t="s">
        <v>15498</v>
      </c>
      <c r="I1521" t="s">
        <v>9238</v>
      </c>
      <c r="J1521" t="s">
        <v>30402</v>
      </c>
      <c r="K1521" t="s">
        <v>39023</v>
      </c>
      <c r="M1521" t="s">
        <v>39945</v>
      </c>
      <c r="N1521" t="s">
        <v>43166</v>
      </c>
      <c r="O1521" t="s">
        <v>43167</v>
      </c>
      <c r="P1521">
        <v>0</v>
      </c>
      <c r="Q1521">
        <v>1</v>
      </c>
      <c r="R1521" t="s">
        <v>43170</v>
      </c>
      <c r="S1521" t="s">
        <v>43297</v>
      </c>
      <c r="T1521" t="s">
        <v>44732</v>
      </c>
      <c r="U1521" t="s">
        <v>46436</v>
      </c>
      <c r="W1521" t="s">
        <v>39945</v>
      </c>
      <c r="X1521" t="s">
        <v>43172</v>
      </c>
    </row>
    <row r="1522" spans="1:24">
      <c r="A1522">
        <f>HYPERLINK("https://www.philgeps.gov.ph/GEPSNONPILOT/Tender/SplashBidNoticeAbstractUI.aspx?menuIndex=3&amp;refID=7087403&amp;Result=3","7087403")</f>
        <v>0</v>
      </c>
      <c r="B1522" t="s">
        <v>543</v>
      </c>
      <c r="C1522" t="s">
        <v>4883</v>
      </c>
      <c r="E1522" t="s">
        <v>18834</v>
      </c>
      <c r="F1522" t="s">
        <v>30052</v>
      </c>
      <c r="G1522" t="s">
        <v>30058</v>
      </c>
      <c r="H1522" t="s">
        <v>15498</v>
      </c>
      <c r="I1522" t="s">
        <v>30073</v>
      </c>
      <c r="J1522" t="s">
        <v>31291</v>
      </c>
      <c r="K1522" t="s">
        <v>39025</v>
      </c>
      <c r="M1522" t="s">
        <v>39845</v>
      </c>
      <c r="N1522" t="s">
        <v>43166</v>
      </c>
      <c r="O1522" t="s">
        <v>43167</v>
      </c>
      <c r="P1522">
        <v>0</v>
      </c>
      <c r="Q1522">
        <v>0</v>
      </c>
      <c r="R1522" t="s">
        <v>43169</v>
      </c>
      <c r="S1522" t="s">
        <v>43291</v>
      </c>
      <c r="T1522" t="s">
        <v>44718</v>
      </c>
      <c r="U1522" t="s">
        <v>46244</v>
      </c>
      <c r="W1522" t="s">
        <v>39845</v>
      </c>
      <c r="X1522" t="s">
        <v>43170</v>
      </c>
    </row>
    <row r="1523" spans="1:24">
      <c r="A1523">
        <f>HYPERLINK("https://www.philgeps.gov.ph/GEPSNONPILOT/Tender/SplashBidNoticeAbstractUI.aspx?menuIndex=3&amp;refID=7087399&amp;Result=3","7087399")</f>
        <v>0</v>
      </c>
      <c r="B1523" t="s">
        <v>543</v>
      </c>
      <c r="C1523" t="s">
        <v>4884</v>
      </c>
      <c r="E1523" t="s">
        <v>18835</v>
      </c>
      <c r="F1523" t="s">
        <v>30052</v>
      </c>
      <c r="G1523" t="s">
        <v>30058</v>
      </c>
      <c r="H1523" t="s">
        <v>15498</v>
      </c>
      <c r="I1523" t="s">
        <v>6304</v>
      </c>
      <c r="J1523" t="s">
        <v>31292</v>
      </c>
      <c r="K1523" t="s">
        <v>39025</v>
      </c>
      <c r="M1523" t="s">
        <v>39845</v>
      </c>
      <c r="N1523" t="s">
        <v>43166</v>
      </c>
      <c r="O1523" t="s">
        <v>43167</v>
      </c>
      <c r="P1523">
        <v>0</v>
      </c>
      <c r="Q1523">
        <v>0</v>
      </c>
      <c r="R1523" t="s">
        <v>43169</v>
      </c>
      <c r="S1523" t="s">
        <v>43291</v>
      </c>
      <c r="T1523" t="s">
        <v>44718</v>
      </c>
      <c r="U1523" t="s">
        <v>46244</v>
      </c>
      <c r="W1523" t="s">
        <v>39845</v>
      </c>
      <c r="X1523" t="s">
        <v>43170</v>
      </c>
    </row>
    <row r="1524" spans="1:24">
      <c r="A1524">
        <f>HYPERLINK("https://www.philgeps.gov.ph/GEPSNONPILOT/Tender/SplashBidNoticeAbstractUI.aspx?menuIndex=3&amp;refID=7087352&amp;Result=3","7087352")</f>
        <v>0</v>
      </c>
      <c r="B1524" t="s">
        <v>642</v>
      </c>
      <c r="C1524" t="s">
        <v>4885</v>
      </c>
      <c r="D1524" t="s">
        <v>17455</v>
      </c>
      <c r="E1524" t="s">
        <v>18836</v>
      </c>
      <c r="F1524" t="s">
        <v>30052</v>
      </c>
      <c r="G1524" t="s">
        <v>30060</v>
      </c>
      <c r="H1524" t="s">
        <v>15498</v>
      </c>
      <c r="I1524" t="s">
        <v>30074</v>
      </c>
      <c r="J1524" t="s">
        <v>31293</v>
      </c>
      <c r="K1524" t="s">
        <v>39017</v>
      </c>
      <c r="M1524" t="s">
        <v>39946</v>
      </c>
      <c r="N1524" t="s">
        <v>43166</v>
      </c>
      <c r="O1524" t="s">
        <v>43167</v>
      </c>
      <c r="P1524">
        <v>0</v>
      </c>
      <c r="Q1524">
        <v>1</v>
      </c>
      <c r="R1524" t="s">
        <v>43169</v>
      </c>
      <c r="S1524" t="s">
        <v>43291</v>
      </c>
      <c r="T1524" t="s">
        <v>44773</v>
      </c>
      <c r="U1524" t="s">
        <v>46437</v>
      </c>
      <c r="V1524" t="s">
        <v>56993</v>
      </c>
      <c r="W1524" t="s">
        <v>39946</v>
      </c>
      <c r="X1524" t="s">
        <v>43170</v>
      </c>
    </row>
    <row r="1525" spans="1:24">
      <c r="A1525">
        <f>HYPERLINK("https://www.philgeps.gov.ph/GEPSNONPILOT/Tender/SplashBidNoticeAbstractUI.aspx?menuIndex=3&amp;refID=7087507&amp;Result=3","7087507")</f>
        <v>0</v>
      </c>
      <c r="B1525" t="s">
        <v>558</v>
      </c>
      <c r="C1525" t="s">
        <v>4886</v>
      </c>
      <c r="D1525" t="s">
        <v>17492</v>
      </c>
      <c r="E1525" t="s">
        <v>18837</v>
      </c>
      <c r="F1525" t="s">
        <v>30052</v>
      </c>
      <c r="G1525" t="s">
        <v>30058</v>
      </c>
      <c r="H1525" t="s">
        <v>30067</v>
      </c>
      <c r="I1525" t="s">
        <v>3693</v>
      </c>
      <c r="J1525" t="s">
        <v>31294</v>
      </c>
      <c r="K1525" t="s">
        <v>39085</v>
      </c>
      <c r="M1525" t="s">
        <v>39860</v>
      </c>
      <c r="N1525" t="s">
        <v>43166</v>
      </c>
      <c r="O1525" t="s">
        <v>43167</v>
      </c>
      <c r="P1525">
        <v>0</v>
      </c>
      <c r="Q1525">
        <v>0</v>
      </c>
      <c r="R1525" t="s">
        <v>43169</v>
      </c>
      <c r="S1525" t="s">
        <v>43291</v>
      </c>
      <c r="T1525" t="s">
        <v>44842</v>
      </c>
      <c r="U1525" t="s">
        <v>46438</v>
      </c>
      <c r="W1525" t="s">
        <v>39860</v>
      </c>
      <c r="X1525" t="s">
        <v>43170</v>
      </c>
    </row>
    <row r="1526" spans="1:24">
      <c r="A1526">
        <f>HYPERLINK("https://www.philgeps.gov.ph/GEPSNONPILOT/Tender/SplashBidNoticeAbstractUI.aspx?menuIndex=3&amp;refID=7087349&amp;Result=3","7087349")</f>
        <v>0</v>
      </c>
      <c r="B1526" t="s">
        <v>547</v>
      </c>
      <c r="C1526" t="s">
        <v>4887</v>
      </c>
      <c r="D1526" t="s">
        <v>17465</v>
      </c>
      <c r="E1526" t="s">
        <v>18038</v>
      </c>
      <c r="F1526" t="s">
        <v>30052</v>
      </c>
      <c r="G1526" t="s">
        <v>30061</v>
      </c>
      <c r="H1526" t="s">
        <v>15498</v>
      </c>
      <c r="I1526" t="s">
        <v>3736</v>
      </c>
      <c r="J1526" t="s">
        <v>31295</v>
      </c>
      <c r="K1526" t="s">
        <v>39039</v>
      </c>
      <c r="M1526" t="s">
        <v>39849</v>
      </c>
      <c r="N1526" t="s">
        <v>43166</v>
      </c>
      <c r="O1526" t="s">
        <v>43167</v>
      </c>
      <c r="P1526">
        <v>0</v>
      </c>
      <c r="Q1526">
        <v>0</v>
      </c>
      <c r="R1526" t="s">
        <v>43169</v>
      </c>
      <c r="S1526" t="s">
        <v>43291</v>
      </c>
      <c r="T1526" t="s">
        <v>44839</v>
      </c>
      <c r="U1526" t="s">
        <v>46439</v>
      </c>
      <c r="W1526" t="s">
        <v>39849</v>
      </c>
      <c r="X1526" t="s">
        <v>43170</v>
      </c>
    </row>
    <row r="1527" spans="1:24">
      <c r="A1527">
        <f>HYPERLINK("https://www.philgeps.gov.ph/GEPSNONPILOT/Tender/SplashBidNoticeAbstractUI.aspx?menuIndex=3&amp;refID=7087310&amp;Result=3","7087310")</f>
        <v>0</v>
      </c>
      <c r="B1527" t="s">
        <v>523</v>
      </c>
      <c r="C1527" t="s">
        <v>4888</v>
      </c>
      <c r="D1527" t="s">
        <v>17451</v>
      </c>
      <c r="E1527" t="s">
        <v>18380</v>
      </c>
      <c r="F1527" t="s">
        <v>30052</v>
      </c>
      <c r="G1527" t="s">
        <v>30059</v>
      </c>
      <c r="H1527" t="s">
        <v>15498</v>
      </c>
      <c r="I1527" t="s">
        <v>6691</v>
      </c>
      <c r="J1527" t="s">
        <v>31296</v>
      </c>
      <c r="K1527" t="s">
        <v>39017</v>
      </c>
      <c r="M1527" t="s">
        <v>39825</v>
      </c>
      <c r="N1527" t="s">
        <v>43166</v>
      </c>
      <c r="O1527" t="s">
        <v>43167</v>
      </c>
      <c r="Q1527">
        <v>0</v>
      </c>
      <c r="R1527" t="s">
        <v>43169</v>
      </c>
      <c r="S1527" t="s">
        <v>43298</v>
      </c>
      <c r="T1527" t="s">
        <v>44833</v>
      </c>
      <c r="U1527" t="s">
        <v>46440</v>
      </c>
      <c r="W1527" t="s">
        <v>39825</v>
      </c>
      <c r="X1527" t="s">
        <v>43170</v>
      </c>
    </row>
    <row r="1528" spans="1:24">
      <c r="A1528">
        <f>HYPERLINK("https://www.philgeps.gov.ph/GEPSNONPILOT/Tender/SplashBidNoticeAbstractUI.aspx?menuIndex=3&amp;refID=7087307&amp;Result=3","7087307")</f>
        <v>0</v>
      </c>
      <c r="B1528" t="s">
        <v>643</v>
      </c>
      <c r="C1528" t="s">
        <v>4889</v>
      </c>
      <c r="E1528" t="s">
        <v>18838</v>
      </c>
      <c r="F1528" t="s">
        <v>30052</v>
      </c>
      <c r="G1528" t="s">
        <v>30058</v>
      </c>
      <c r="H1528" t="s">
        <v>15498</v>
      </c>
      <c r="I1528" t="s">
        <v>3852</v>
      </c>
      <c r="J1528" t="s">
        <v>30236</v>
      </c>
      <c r="K1528" t="s">
        <v>39025</v>
      </c>
      <c r="M1528" t="s">
        <v>39947</v>
      </c>
      <c r="N1528" t="s">
        <v>43166</v>
      </c>
      <c r="O1528" t="s">
        <v>43167</v>
      </c>
      <c r="P1528">
        <v>0</v>
      </c>
      <c r="Q1528">
        <v>3</v>
      </c>
      <c r="R1528" t="s">
        <v>43169</v>
      </c>
      <c r="S1528" t="s">
        <v>43291</v>
      </c>
      <c r="T1528" t="s">
        <v>44681</v>
      </c>
      <c r="U1528" t="s">
        <v>46441</v>
      </c>
      <c r="W1528" t="s">
        <v>39947</v>
      </c>
      <c r="X1528" t="s">
        <v>43170</v>
      </c>
    </row>
    <row r="1529" spans="1:24">
      <c r="A1529">
        <f>HYPERLINK("https://www.philgeps.gov.ph/GEPSNONPILOT/Tender/SplashBidNoticeAbstractUI.aspx?menuIndex=3&amp;refID=7087299&amp;Result=3","7087299")</f>
        <v>0</v>
      </c>
      <c r="B1529" t="s">
        <v>523</v>
      </c>
      <c r="C1529" t="s">
        <v>4890</v>
      </c>
      <c r="D1529" t="s">
        <v>17451</v>
      </c>
      <c r="E1529" t="s">
        <v>18839</v>
      </c>
      <c r="F1529" t="s">
        <v>30052</v>
      </c>
      <c r="G1529" t="s">
        <v>30059</v>
      </c>
      <c r="H1529" t="s">
        <v>15498</v>
      </c>
      <c r="I1529" t="s">
        <v>6691</v>
      </c>
      <c r="J1529" t="s">
        <v>31254</v>
      </c>
      <c r="K1529" t="s">
        <v>39017</v>
      </c>
      <c r="M1529" t="s">
        <v>39825</v>
      </c>
      <c r="N1529" t="s">
        <v>43166</v>
      </c>
      <c r="O1529" t="s">
        <v>43167</v>
      </c>
      <c r="Q1529">
        <v>0</v>
      </c>
      <c r="R1529" t="s">
        <v>43169</v>
      </c>
      <c r="S1529" t="s">
        <v>43299</v>
      </c>
      <c r="T1529" t="s">
        <v>44833</v>
      </c>
      <c r="U1529" t="s">
        <v>46442</v>
      </c>
      <c r="W1529" t="s">
        <v>39825</v>
      </c>
      <c r="X1529" t="s">
        <v>43170</v>
      </c>
    </row>
    <row r="1530" spans="1:24">
      <c r="A1530">
        <f>HYPERLINK("https://www.philgeps.gov.ph/GEPSNONPILOT/Tender/SplashBidNoticeAbstractUI.aspx?menuIndex=3&amp;refID=7087292&amp;Result=3","7087292")</f>
        <v>0</v>
      </c>
      <c r="B1530" t="s">
        <v>523</v>
      </c>
      <c r="C1530" t="s">
        <v>4891</v>
      </c>
      <c r="D1530" t="s">
        <v>17451</v>
      </c>
      <c r="E1530" t="s">
        <v>18840</v>
      </c>
      <c r="F1530" t="s">
        <v>30052</v>
      </c>
      <c r="G1530" t="s">
        <v>30059</v>
      </c>
      <c r="H1530" t="s">
        <v>15498</v>
      </c>
      <c r="I1530" t="s">
        <v>6691</v>
      </c>
      <c r="J1530" t="s">
        <v>31254</v>
      </c>
      <c r="K1530" t="s">
        <v>39017</v>
      </c>
      <c r="M1530" t="s">
        <v>39825</v>
      </c>
      <c r="N1530" t="s">
        <v>43166</v>
      </c>
      <c r="O1530" t="s">
        <v>43167</v>
      </c>
      <c r="Q1530">
        <v>0</v>
      </c>
      <c r="R1530" t="s">
        <v>43169</v>
      </c>
      <c r="S1530" t="s">
        <v>43300</v>
      </c>
      <c r="T1530" t="s">
        <v>44833</v>
      </c>
      <c r="U1530" t="s">
        <v>46443</v>
      </c>
      <c r="W1530" t="s">
        <v>39825</v>
      </c>
      <c r="X1530" t="s">
        <v>43170</v>
      </c>
    </row>
    <row r="1531" spans="1:24">
      <c r="A1531">
        <f>HYPERLINK("https://www.philgeps.gov.ph/GEPSNONPILOT/Tender/SplashBidNoticeAbstractUI.aspx?menuIndex=3&amp;refID=7087133&amp;Result=3","7087133")</f>
        <v>0</v>
      </c>
      <c r="B1531" t="s">
        <v>503</v>
      </c>
      <c r="C1531" t="s">
        <v>4892</v>
      </c>
      <c r="D1531" t="s">
        <v>17415</v>
      </c>
      <c r="E1531" t="s">
        <v>18548</v>
      </c>
      <c r="F1531" t="s">
        <v>30052</v>
      </c>
      <c r="G1531" t="s">
        <v>30058</v>
      </c>
      <c r="H1531" t="s">
        <v>15498</v>
      </c>
      <c r="I1531" t="s">
        <v>30088</v>
      </c>
      <c r="J1531" t="s">
        <v>30281</v>
      </c>
      <c r="K1531" t="s">
        <v>39025</v>
      </c>
      <c r="M1531" t="s">
        <v>39804</v>
      </c>
      <c r="N1531" t="s">
        <v>43166</v>
      </c>
      <c r="O1531" t="s">
        <v>43167</v>
      </c>
      <c r="P1531">
        <v>0</v>
      </c>
      <c r="Q1531">
        <v>12</v>
      </c>
      <c r="R1531" t="s">
        <v>43169</v>
      </c>
      <c r="S1531" t="s">
        <v>43291</v>
      </c>
      <c r="T1531" t="s">
        <v>44747</v>
      </c>
      <c r="U1531" t="s">
        <v>46164</v>
      </c>
      <c r="V1531" t="s">
        <v>56950</v>
      </c>
      <c r="W1531" t="s">
        <v>39804</v>
      </c>
      <c r="X1531" t="s">
        <v>43170</v>
      </c>
    </row>
    <row r="1532" spans="1:24">
      <c r="A1532">
        <f>HYPERLINK("https://www.philgeps.gov.ph/GEPSNONPILOT/Tender/SplashBidNoticeAbstractUI.aspx?menuIndex=3&amp;refID=7087131&amp;Result=3","7087131")</f>
        <v>0</v>
      </c>
      <c r="B1532" t="s">
        <v>503</v>
      </c>
      <c r="C1532" t="s">
        <v>4893</v>
      </c>
      <c r="D1532" t="s">
        <v>17415</v>
      </c>
      <c r="E1532" t="s">
        <v>18548</v>
      </c>
      <c r="F1532" t="s">
        <v>30052</v>
      </c>
      <c r="G1532" t="s">
        <v>30058</v>
      </c>
      <c r="H1532" t="s">
        <v>15498</v>
      </c>
      <c r="I1532" t="s">
        <v>30088</v>
      </c>
      <c r="J1532" t="s">
        <v>30555</v>
      </c>
      <c r="K1532" t="s">
        <v>39025</v>
      </c>
      <c r="M1532" t="s">
        <v>39804</v>
      </c>
      <c r="N1532" t="s">
        <v>43166</v>
      </c>
      <c r="O1532" t="s">
        <v>43167</v>
      </c>
      <c r="P1532">
        <v>0</v>
      </c>
      <c r="Q1532">
        <v>12</v>
      </c>
      <c r="R1532" t="s">
        <v>43169</v>
      </c>
      <c r="S1532" t="s">
        <v>43291</v>
      </c>
      <c r="T1532" t="s">
        <v>44747</v>
      </c>
      <c r="U1532" t="s">
        <v>46164</v>
      </c>
      <c r="V1532" t="s">
        <v>56950</v>
      </c>
      <c r="W1532" t="s">
        <v>39804</v>
      </c>
      <c r="X1532" t="s">
        <v>43170</v>
      </c>
    </row>
    <row r="1533" spans="1:24">
      <c r="A1533">
        <f>HYPERLINK("https://www.philgeps.gov.ph/GEPSNONPILOT/Tender/SplashBidNoticeAbstractUI.aspx?menuIndex=3&amp;refID=7087353&amp;Result=3","7087353")</f>
        <v>0</v>
      </c>
      <c r="B1533" t="s">
        <v>521</v>
      </c>
      <c r="C1533" t="s">
        <v>4894</v>
      </c>
      <c r="D1533" t="s">
        <v>17415</v>
      </c>
      <c r="E1533" t="s">
        <v>18841</v>
      </c>
      <c r="F1533" t="s">
        <v>30052</v>
      </c>
      <c r="G1533" t="s">
        <v>30059</v>
      </c>
      <c r="H1533" t="s">
        <v>30069</v>
      </c>
      <c r="I1533" t="s">
        <v>9238</v>
      </c>
      <c r="J1533" t="s">
        <v>31297</v>
      </c>
      <c r="K1533" t="s">
        <v>39019</v>
      </c>
      <c r="M1533" t="s">
        <v>39823</v>
      </c>
      <c r="N1533" t="s">
        <v>43166</v>
      </c>
      <c r="O1533" t="s">
        <v>43167</v>
      </c>
      <c r="P1533">
        <v>0</v>
      </c>
      <c r="Q1533">
        <v>3</v>
      </c>
      <c r="R1533" t="s">
        <v>43169</v>
      </c>
      <c r="S1533" t="s">
        <v>43291</v>
      </c>
      <c r="T1533" t="s">
        <v>44832</v>
      </c>
      <c r="U1533" t="s">
        <v>46444</v>
      </c>
      <c r="V1533" t="s">
        <v>56959</v>
      </c>
      <c r="W1533" t="s">
        <v>58603</v>
      </c>
      <c r="X1533" t="s">
        <v>43170</v>
      </c>
    </row>
    <row r="1534" spans="1:24">
      <c r="A1534">
        <f>HYPERLINK("https://www.philgeps.gov.ph/GEPSNONPILOT/Tender/SplashBidNoticeAbstractUI.aspx?menuIndex=3&amp;refID=7087130&amp;Result=3","7087130")</f>
        <v>0</v>
      </c>
      <c r="B1534" t="s">
        <v>509</v>
      </c>
      <c r="C1534" t="s">
        <v>4895</v>
      </c>
      <c r="D1534" t="s">
        <v>17415</v>
      </c>
      <c r="E1534" t="s">
        <v>18842</v>
      </c>
      <c r="F1534" t="s">
        <v>30052</v>
      </c>
      <c r="G1534" t="s">
        <v>30059</v>
      </c>
      <c r="H1534" t="s">
        <v>30068</v>
      </c>
      <c r="I1534" t="s">
        <v>30068</v>
      </c>
      <c r="J1534" t="s">
        <v>31298</v>
      </c>
      <c r="K1534" t="s">
        <v>39054</v>
      </c>
      <c r="M1534" t="s">
        <v>39810</v>
      </c>
      <c r="N1534" t="s">
        <v>43166</v>
      </c>
      <c r="O1534" t="s">
        <v>43167</v>
      </c>
      <c r="P1534">
        <v>0</v>
      </c>
      <c r="Q1534">
        <v>1</v>
      </c>
      <c r="R1534" t="s">
        <v>43169</v>
      </c>
      <c r="S1534" t="s">
        <v>43291</v>
      </c>
      <c r="T1534" t="s">
        <v>44710</v>
      </c>
      <c r="U1534" t="s">
        <v>46172</v>
      </c>
      <c r="W1534" t="s">
        <v>39810</v>
      </c>
      <c r="X1534" t="s">
        <v>43170</v>
      </c>
    </row>
    <row r="1535" spans="1:24">
      <c r="A1535">
        <f>HYPERLINK("https://www.philgeps.gov.ph/GEPSNONPILOT/Tender/SplashBidNoticeAbstractUI.aspx?menuIndex=3&amp;refID=7087129&amp;Result=3","7087129")</f>
        <v>0</v>
      </c>
      <c r="B1535" t="s">
        <v>557</v>
      </c>
      <c r="C1535" t="s">
        <v>4896</v>
      </c>
      <c r="D1535" t="s">
        <v>17466</v>
      </c>
      <c r="E1535" t="s">
        <v>18843</v>
      </c>
      <c r="F1535" t="s">
        <v>30052</v>
      </c>
      <c r="G1535" t="s">
        <v>30059</v>
      </c>
      <c r="H1535" t="s">
        <v>15498</v>
      </c>
      <c r="I1535" t="s">
        <v>30134</v>
      </c>
      <c r="J1535" t="s">
        <v>31299</v>
      </c>
      <c r="K1535" t="s">
        <v>39025</v>
      </c>
      <c r="M1535" t="s">
        <v>39859</v>
      </c>
      <c r="N1535" t="s">
        <v>43166</v>
      </c>
      <c r="O1535" t="s">
        <v>43167</v>
      </c>
      <c r="P1535">
        <v>0</v>
      </c>
      <c r="Q1535">
        <v>0</v>
      </c>
      <c r="R1535" t="s">
        <v>43169</v>
      </c>
      <c r="S1535" t="s">
        <v>43291</v>
      </c>
      <c r="T1535" t="s">
        <v>44841</v>
      </c>
      <c r="U1535" t="s">
        <v>46445</v>
      </c>
      <c r="W1535" t="s">
        <v>39859</v>
      </c>
      <c r="X1535" t="s">
        <v>43171</v>
      </c>
    </row>
    <row r="1536" spans="1:24">
      <c r="A1536">
        <f>HYPERLINK("https://www.philgeps.gov.ph/GEPSNONPILOT/Tender/SplashBidNoticeAbstractUI.aspx?menuIndex=3&amp;refID=7087128&amp;Result=3","7087128")</f>
        <v>0</v>
      </c>
      <c r="B1536" t="s">
        <v>503</v>
      </c>
      <c r="C1536" t="s">
        <v>4897</v>
      </c>
      <c r="D1536" t="s">
        <v>17415</v>
      </c>
      <c r="E1536" t="s">
        <v>18548</v>
      </c>
      <c r="F1536" t="s">
        <v>30052</v>
      </c>
      <c r="G1536" t="s">
        <v>30058</v>
      </c>
      <c r="H1536" t="s">
        <v>15498</v>
      </c>
      <c r="I1536" t="s">
        <v>30088</v>
      </c>
      <c r="J1536" t="s">
        <v>30247</v>
      </c>
      <c r="K1536" t="s">
        <v>39025</v>
      </c>
      <c r="M1536" t="s">
        <v>39804</v>
      </c>
      <c r="N1536" t="s">
        <v>43166</v>
      </c>
      <c r="O1536" t="s">
        <v>43167</v>
      </c>
      <c r="P1536">
        <v>0</v>
      </c>
      <c r="Q1536">
        <v>11</v>
      </c>
      <c r="R1536" t="s">
        <v>43169</v>
      </c>
      <c r="S1536" t="s">
        <v>43291</v>
      </c>
      <c r="T1536" t="s">
        <v>44747</v>
      </c>
      <c r="U1536" t="s">
        <v>46164</v>
      </c>
      <c r="V1536" t="s">
        <v>56950</v>
      </c>
      <c r="W1536" t="s">
        <v>39804</v>
      </c>
      <c r="X1536" t="s">
        <v>43171</v>
      </c>
    </row>
    <row r="1537" spans="1:24">
      <c r="A1537">
        <f>HYPERLINK("https://www.philgeps.gov.ph/GEPSNONPILOT/Tender/SplashBidNoticeAbstractUI.aspx?menuIndex=3&amp;refID=7087406&amp;Result=3","7087406")</f>
        <v>0</v>
      </c>
      <c r="B1537" t="s">
        <v>543</v>
      </c>
      <c r="C1537" t="s">
        <v>4898</v>
      </c>
      <c r="E1537" t="s">
        <v>18844</v>
      </c>
      <c r="F1537" t="s">
        <v>30052</v>
      </c>
      <c r="G1537" t="s">
        <v>30058</v>
      </c>
      <c r="H1537" t="s">
        <v>15498</v>
      </c>
      <c r="I1537" t="s">
        <v>3852</v>
      </c>
      <c r="J1537" t="s">
        <v>31300</v>
      </c>
      <c r="K1537" t="s">
        <v>39025</v>
      </c>
      <c r="M1537" t="s">
        <v>39845</v>
      </c>
      <c r="N1537" t="s">
        <v>43166</v>
      </c>
      <c r="O1537" t="s">
        <v>43167</v>
      </c>
      <c r="P1537">
        <v>0</v>
      </c>
      <c r="Q1537">
        <v>0</v>
      </c>
      <c r="R1537" t="s">
        <v>43169</v>
      </c>
      <c r="S1537" t="s">
        <v>43291</v>
      </c>
      <c r="T1537" t="s">
        <v>44718</v>
      </c>
      <c r="U1537" t="s">
        <v>46244</v>
      </c>
      <c r="W1537" t="s">
        <v>39845</v>
      </c>
      <c r="X1537" t="s">
        <v>43170</v>
      </c>
    </row>
    <row r="1538" spans="1:24">
      <c r="A1538">
        <f>HYPERLINK("https://www.philgeps.gov.ph/GEPSNONPILOT/Tender/SplashBidNoticeAbstractUI.aspx?menuIndex=3&amp;refID=7087132&amp;Result=3","7087132")</f>
        <v>0</v>
      </c>
      <c r="B1538" t="s">
        <v>511</v>
      </c>
      <c r="C1538" t="s">
        <v>4899</v>
      </c>
      <c r="D1538" t="s">
        <v>17480</v>
      </c>
      <c r="E1538" t="s">
        <v>18845</v>
      </c>
      <c r="F1538" t="s">
        <v>30052</v>
      </c>
      <c r="G1538" t="s">
        <v>30058</v>
      </c>
      <c r="H1538" t="s">
        <v>30067</v>
      </c>
      <c r="I1538" t="s">
        <v>3693</v>
      </c>
      <c r="J1538" t="s">
        <v>31301</v>
      </c>
      <c r="K1538" t="s">
        <v>39033</v>
      </c>
      <c r="M1538" t="s">
        <v>39812</v>
      </c>
      <c r="N1538" t="s">
        <v>43166</v>
      </c>
      <c r="O1538" t="s">
        <v>43167</v>
      </c>
      <c r="P1538">
        <v>0</v>
      </c>
      <c r="Q1538">
        <v>1</v>
      </c>
      <c r="R1538" t="s">
        <v>43169</v>
      </c>
      <c r="S1538" t="s">
        <v>43291</v>
      </c>
      <c r="T1538" t="s">
        <v>44827</v>
      </c>
      <c r="U1538" t="s">
        <v>46174</v>
      </c>
      <c r="V1538" t="s">
        <v>56994</v>
      </c>
      <c r="W1538" t="s">
        <v>39812</v>
      </c>
      <c r="X1538" t="s">
        <v>43170</v>
      </c>
    </row>
    <row r="1539" spans="1:24">
      <c r="A1539">
        <f>HYPERLINK("https://www.philgeps.gov.ph/GEPSNONPILOT/Tender/SplashBidNoticeAbstractUI.aspx?menuIndex=3&amp;refID=7087305&amp;Result=3","7087305")</f>
        <v>0</v>
      </c>
      <c r="B1539" t="s">
        <v>523</v>
      </c>
      <c r="C1539" t="s">
        <v>4900</v>
      </c>
      <c r="D1539" t="s">
        <v>17451</v>
      </c>
      <c r="E1539" t="s">
        <v>18384</v>
      </c>
      <c r="F1539" t="s">
        <v>30052</v>
      </c>
      <c r="G1539" t="s">
        <v>30059</v>
      </c>
      <c r="H1539" t="s">
        <v>15498</v>
      </c>
      <c r="I1539" t="s">
        <v>6691</v>
      </c>
      <c r="J1539" t="s">
        <v>31302</v>
      </c>
      <c r="K1539" t="s">
        <v>39017</v>
      </c>
      <c r="M1539" t="s">
        <v>39825</v>
      </c>
      <c r="N1539" t="s">
        <v>43166</v>
      </c>
      <c r="O1539" t="s">
        <v>43167</v>
      </c>
      <c r="Q1539">
        <v>0</v>
      </c>
      <c r="R1539" t="s">
        <v>43169</v>
      </c>
      <c r="S1539" t="s">
        <v>43301</v>
      </c>
      <c r="T1539" t="s">
        <v>44833</v>
      </c>
      <c r="U1539" t="s">
        <v>46446</v>
      </c>
      <c r="W1539" t="s">
        <v>39825</v>
      </c>
      <c r="X1539" t="s">
        <v>43170</v>
      </c>
    </row>
    <row r="1540" spans="1:24">
      <c r="A1540">
        <f>HYPERLINK("https://www.philgeps.gov.ph/GEPSNONPILOT/Tender/SplashBidNoticeAbstractUI.aspx?menuIndex=3&amp;refID=7087508&amp;Result=3","7087508")</f>
        <v>0</v>
      </c>
      <c r="B1540" t="s">
        <v>405</v>
      </c>
      <c r="C1540" t="s">
        <v>4901</v>
      </c>
      <c r="E1540" t="s">
        <v>18846</v>
      </c>
      <c r="F1540" t="s">
        <v>30052</v>
      </c>
      <c r="G1540" t="s">
        <v>30059</v>
      </c>
      <c r="H1540" t="s">
        <v>15498</v>
      </c>
      <c r="I1540" t="s">
        <v>30153</v>
      </c>
      <c r="J1540" t="s">
        <v>31303</v>
      </c>
      <c r="K1540" t="s">
        <v>39025</v>
      </c>
      <c r="M1540" t="s">
        <v>39704</v>
      </c>
      <c r="N1540" t="s">
        <v>43166</v>
      </c>
      <c r="O1540" t="s">
        <v>43167</v>
      </c>
      <c r="P1540">
        <v>0</v>
      </c>
      <c r="Q1540">
        <v>2</v>
      </c>
      <c r="R1540" t="s">
        <v>43169</v>
      </c>
      <c r="S1540" t="s">
        <v>43291</v>
      </c>
      <c r="T1540" t="s">
        <v>44743</v>
      </c>
      <c r="U1540" t="s">
        <v>46272</v>
      </c>
      <c r="W1540" t="s">
        <v>39704</v>
      </c>
      <c r="X1540" t="s">
        <v>43170</v>
      </c>
    </row>
    <row r="1541" spans="1:24">
      <c r="A1541">
        <f>HYPERLINK("https://www.philgeps.gov.ph/GEPSNONPILOT/Tender/SplashBidNoticeAbstractUI.aspx?menuIndex=3&amp;refID=7084422&amp;Result=3","7084422")</f>
        <v>0</v>
      </c>
      <c r="B1541" t="s">
        <v>629</v>
      </c>
      <c r="C1541" t="s">
        <v>4902</v>
      </c>
      <c r="D1541" t="s">
        <v>17415</v>
      </c>
      <c r="E1541" t="s">
        <v>18847</v>
      </c>
      <c r="F1541" t="s">
        <v>30052</v>
      </c>
      <c r="G1541" t="s">
        <v>30059</v>
      </c>
      <c r="H1541" t="s">
        <v>15498</v>
      </c>
      <c r="I1541" t="s">
        <v>30068</v>
      </c>
      <c r="J1541" t="s">
        <v>31304</v>
      </c>
      <c r="K1541" t="s">
        <v>39048</v>
      </c>
      <c r="M1541" t="s">
        <v>39932</v>
      </c>
      <c r="N1541" t="s">
        <v>43166</v>
      </c>
      <c r="O1541" t="s">
        <v>43167</v>
      </c>
      <c r="P1541">
        <v>0</v>
      </c>
      <c r="Q1541">
        <v>2</v>
      </c>
      <c r="R1541" t="s">
        <v>43170</v>
      </c>
      <c r="S1541" t="s">
        <v>43297</v>
      </c>
      <c r="T1541" t="s">
        <v>44717</v>
      </c>
      <c r="U1541" t="s">
        <v>46416</v>
      </c>
      <c r="V1541" t="s">
        <v>56995</v>
      </c>
      <c r="W1541" t="s">
        <v>39932</v>
      </c>
      <c r="X1541" t="s">
        <v>43172</v>
      </c>
    </row>
    <row r="1542" spans="1:24">
      <c r="A1542">
        <f>HYPERLINK("https://www.philgeps.gov.ph/GEPSNONPILOT/Tender/SplashBidNoticeAbstractUI.aspx?menuIndex=3&amp;refID=7084242&amp;Result=3","7084242")</f>
        <v>0</v>
      </c>
      <c r="B1542" t="s">
        <v>644</v>
      </c>
      <c r="C1542" t="s">
        <v>4903</v>
      </c>
      <c r="D1542" t="s">
        <v>17415</v>
      </c>
      <c r="E1542" t="s">
        <v>18848</v>
      </c>
      <c r="F1542" t="s">
        <v>30052</v>
      </c>
      <c r="G1542" t="s">
        <v>30059</v>
      </c>
      <c r="H1542" t="s">
        <v>30069</v>
      </c>
      <c r="I1542" t="s">
        <v>30085</v>
      </c>
      <c r="J1542" t="s">
        <v>31305</v>
      </c>
      <c r="K1542" t="s">
        <v>39029</v>
      </c>
      <c r="M1542" t="s">
        <v>39948</v>
      </c>
      <c r="N1542" t="s">
        <v>43166</v>
      </c>
      <c r="O1542" t="s">
        <v>43167</v>
      </c>
      <c r="P1542">
        <v>0</v>
      </c>
      <c r="Q1542">
        <v>3</v>
      </c>
      <c r="R1542" t="s">
        <v>43170</v>
      </c>
      <c r="S1542" t="s">
        <v>43297</v>
      </c>
      <c r="T1542" t="s">
        <v>44723</v>
      </c>
      <c r="U1542" t="s">
        <v>46447</v>
      </c>
      <c r="W1542" t="s">
        <v>39948</v>
      </c>
      <c r="X1542" t="s">
        <v>43172</v>
      </c>
    </row>
    <row r="1543" spans="1:24">
      <c r="A1543">
        <f>HYPERLINK("https://www.philgeps.gov.ph/GEPSNONPILOT/Tender/SplashBidNoticeAbstractUI.aspx?menuIndex=3&amp;refID=7084399&amp;Result=3","7084399")</f>
        <v>0</v>
      </c>
      <c r="B1543" t="s">
        <v>645</v>
      </c>
      <c r="C1543" t="s">
        <v>4904</v>
      </c>
      <c r="D1543" t="s">
        <v>17464</v>
      </c>
      <c r="E1543" t="s">
        <v>18849</v>
      </c>
      <c r="F1543" t="s">
        <v>30052</v>
      </c>
      <c r="G1543" t="s">
        <v>30058</v>
      </c>
      <c r="H1543" t="s">
        <v>30067</v>
      </c>
      <c r="I1543" t="s">
        <v>3693</v>
      </c>
      <c r="J1543" t="s">
        <v>31306</v>
      </c>
      <c r="K1543" t="s">
        <v>39025</v>
      </c>
      <c r="M1543" t="s">
        <v>39949</v>
      </c>
      <c r="N1543" t="s">
        <v>43166</v>
      </c>
      <c r="O1543" t="s">
        <v>43167</v>
      </c>
      <c r="P1543">
        <v>0</v>
      </c>
      <c r="Q1543">
        <v>70</v>
      </c>
      <c r="R1543" t="s">
        <v>43170</v>
      </c>
      <c r="S1543" t="s">
        <v>43297</v>
      </c>
      <c r="T1543" t="s">
        <v>44789</v>
      </c>
      <c r="U1543" t="s">
        <v>46448</v>
      </c>
      <c r="W1543" t="s">
        <v>39949</v>
      </c>
      <c r="X1543" t="s">
        <v>43172</v>
      </c>
    </row>
    <row r="1544" spans="1:24">
      <c r="A1544">
        <f>HYPERLINK("https://www.philgeps.gov.ph/GEPSNONPILOT/Tender/SplashBidNoticeAbstractUI.aspx?menuIndex=3&amp;refID=7084370&amp;Result=3","7084370")</f>
        <v>0</v>
      </c>
      <c r="B1544" t="s">
        <v>646</v>
      </c>
      <c r="C1544" t="s">
        <v>4905</v>
      </c>
      <c r="D1544" t="s">
        <v>17441</v>
      </c>
      <c r="E1544" t="s">
        <v>18850</v>
      </c>
      <c r="F1544" t="s">
        <v>30052</v>
      </c>
      <c r="G1544" t="s">
        <v>30061</v>
      </c>
      <c r="H1544" t="s">
        <v>15498</v>
      </c>
      <c r="I1544" t="s">
        <v>4650</v>
      </c>
      <c r="J1544" t="s">
        <v>31307</v>
      </c>
      <c r="K1544" t="s">
        <v>39025</v>
      </c>
      <c r="M1544" t="s">
        <v>39950</v>
      </c>
      <c r="N1544" t="s">
        <v>43166</v>
      </c>
      <c r="O1544" t="s">
        <v>43167</v>
      </c>
      <c r="P1544">
        <v>0</v>
      </c>
      <c r="Q1544">
        <v>6</v>
      </c>
      <c r="R1544" t="s">
        <v>43170</v>
      </c>
      <c r="S1544" t="s">
        <v>43297</v>
      </c>
      <c r="T1544" t="s">
        <v>44732</v>
      </c>
      <c r="U1544" t="s">
        <v>46449</v>
      </c>
      <c r="W1544" t="s">
        <v>39950</v>
      </c>
      <c r="X1544" t="s">
        <v>43172</v>
      </c>
    </row>
    <row r="1545" spans="1:24">
      <c r="A1545">
        <f>HYPERLINK("https://www.philgeps.gov.ph/GEPSNONPILOT/Tender/SplashBidNoticeAbstractUI.aspx?menuIndex=3&amp;refID=7084359&amp;Result=3","7084359")</f>
        <v>0</v>
      </c>
      <c r="B1545" t="s">
        <v>646</v>
      </c>
      <c r="C1545" t="s">
        <v>4906</v>
      </c>
      <c r="D1545" t="s">
        <v>17441</v>
      </c>
      <c r="E1545" t="s">
        <v>18851</v>
      </c>
      <c r="F1545" t="s">
        <v>30052</v>
      </c>
      <c r="G1545" t="s">
        <v>30061</v>
      </c>
      <c r="H1545" t="s">
        <v>15498</v>
      </c>
      <c r="I1545" t="s">
        <v>30098</v>
      </c>
      <c r="J1545" t="s">
        <v>31133</v>
      </c>
      <c r="K1545" t="s">
        <v>39025</v>
      </c>
      <c r="M1545" t="s">
        <v>39950</v>
      </c>
      <c r="N1545" t="s">
        <v>43166</v>
      </c>
      <c r="O1545" t="s">
        <v>43167</v>
      </c>
      <c r="P1545">
        <v>0</v>
      </c>
      <c r="Q1545">
        <v>2</v>
      </c>
      <c r="R1545" t="s">
        <v>43170</v>
      </c>
      <c r="S1545" t="s">
        <v>43297</v>
      </c>
      <c r="T1545" t="s">
        <v>44732</v>
      </c>
      <c r="U1545" t="s">
        <v>46450</v>
      </c>
      <c r="W1545" t="s">
        <v>39950</v>
      </c>
      <c r="X1545" t="s">
        <v>43172</v>
      </c>
    </row>
    <row r="1546" spans="1:24">
      <c r="A1546">
        <f>HYPERLINK("https://www.philgeps.gov.ph/GEPSNONPILOT/Tender/SplashBidNoticeAbstractUI.aspx?menuIndex=3&amp;refID=7084260&amp;Result=3","7084260")</f>
        <v>0</v>
      </c>
      <c r="B1546" t="s">
        <v>647</v>
      </c>
      <c r="C1546" t="s">
        <v>4907</v>
      </c>
      <c r="D1546" t="s">
        <v>17459</v>
      </c>
      <c r="E1546" t="s">
        <v>18852</v>
      </c>
      <c r="F1546" t="s">
        <v>30052</v>
      </c>
      <c r="G1546" t="s">
        <v>30059</v>
      </c>
      <c r="H1546" t="s">
        <v>15498</v>
      </c>
      <c r="I1546" t="s">
        <v>30098</v>
      </c>
      <c r="J1546" t="s">
        <v>30394</v>
      </c>
      <c r="K1546" t="s">
        <v>39026</v>
      </c>
      <c r="M1546" t="s">
        <v>39951</v>
      </c>
      <c r="N1546" t="s">
        <v>43166</v>
      </c>
      <c r="O1546" t="s">
        <v>43167</v>
      </c>
      <c r="P1546">
        <v>0</v>
      </c>
      <c r="Q1546">
        <v>2</v>
      </c>
      <c r="R1546" t="s">
        <v>43170</v>
      </c>
      <c r="S1546" t="s">
        <v>43297</v>
      </c>
      <c r="T1546" t="s">
        <v>44867</v>
      </c>
      <c r="U1546" t="s">
        <v>46451</v>
      </c>
      <c r="W1546" t="s">
        <v>39951</v>
      </c>
      <c r="X1546" t="s">
        <v>43172</v>
      </c>
    </row>
    <row r="1547" spans="1:24">
      <c r="A1547">
        <f>HYPERLINK("https://www.philgeps.gov.ph/GEPSNONPILOT/Tender/SplashBidNoticeAbstractUI.aspx?menuIndex=3&amp;refID=7084352&amp;Result=3","7084352")</f>
        <v>0</v>
      </c>
      <c r="B1547" t="s">
        <v>648</v>
      </c>
      <c r="C1547" t="s">
        <v>4908</v>
      </c>
      <c r="D1547" t="s">
        <v>17415</v>
      </c>
      <c r="E1547" t="s">
        <v>18853</v>
      </c>
      <c r="F1547" t="s">
        <v>30052</v>
      </c>
      <c r="G1547" t="s">
        <v>30059</v>
      </c>
      <c r="H1547" t="s">
        <v>15498</v>
      </c>
      <c r="I1547" t="s">
        <v>30081</v>
      </c>
      <c r="J1547" t="s">
        <v>31308</v>
      </c>
      <c r="K1547" t="s">
        <v>39032</v>
      </c>
      <c r="M1547" t="s">
        <v>39952</v>
      </c>
      <c r="N1547" t="s">
        <v>43166</v>
      </c>
      <c r="O1547" t="s">
        <v>43167</v>
      </c>
      <c r="P1547">
        <v>0</v>
      </c>
      <c r="Q1547">
        <v>1</v>
      </c>
      <c r="R1547" t="s">
        <v>43170</v>
      </c>
      <c r="S1547" t="s">
        <v>43297</v>
      </c>
      <c r="T1547" t="s">
        <v>44698</v>
      </c>
      <c r="U1547" t="s">
        <v>46452</v>
      </c>
      <c r="W1547" t="s">
        <v>39952</v>
      </c>
      <c r="X1547" t="s">
        <v>43172</v>
      </c>
    </row>
    <row r="1548" spans="1:24">
      <c r="A1548">
        <f>HYPERLINK("https://www.philgeps.gov.ph/GEPSNONPILOT/Tender/SplashBidNoticeAbstractUI.aspx?menuIndex=3&amp;refID=7084428&amp;Result=3","7084428")</f>
        <v>0</v>
      </c>
      <c r="B1548" t="s">
        <v>629</v>
      </c>
      <c r="C1548" t="s">
        <v>4909</v>
      </c>
      <c r="D1548" t="s">
        <v>17415</v>
      </c>
      <c r="E1548" t="s">
        <v>18854</v>
      </c>
      <c r="F1548" t="s">
        <v>30052</v>
      </c>
      <c r="G1548" t="s">
        <v>30062</v>
      </c>
      <c r="H1548" t="s">
        <v>15498</v>
      </c>
      <c r="I1548" t="s">
        <v>30106</v>
      </c>
      <c r="J1548" t="s">
        <v>30323</v>
      </c>
      <c r="K1548" t="s">
        <v>39019</v>
      </c>
      <c r="M1548" t="s">
        <v>39932</v>
      </c>
      <c r="N1548" t="s">
        <v>43166</v>
      </c>
      <c r="O1548" t="s">
        <v>43167</v>
      </c>
      <c r="P1548">
        <v>0</v>
      </c>
      <c r="Q1548">
        <v>8</v>
      </c>
      <c r="R1548" t="s">
        <v>43170</v>
      </c>
      <c r="S1548" t="s">
        <v>43297</v>
      </c>
      <c r="T1548" t="s">
        <v>44868</v>
      </c>
      <c r="U1548" t="s">
        <v>46453</v>
      </c>
      <c r="W1548" t="s">
        <v>39932</v>
      </c>
      <c r="X1548" t="s">
        <v>43172</v>
      </c>
    </row>
    <row r="1549" spans="1:24">
      <c r="A1549">
        <f>HYPERLINK("https://www.philgeps.gov.ph/GEPSNONPILOT/Tender/SplashBidNoticeAbstractUI.aspx?menuIndex=3&amp;refID=7084351&amp;Result=3","7084351")</f>
        <v>0</v>
      </c>
      <c r="B1549" t="s">
        <v>649</v>
      </c>
      <c r="C1549" t="s">
        <v>4910</v>
      </c>
      <c r="D1549" t="s">
        <v>17432</v>
      </c>
      <c r="E1549" t="s">
        <v>17715</v>
      </c>
      <c r="F1549" t="s">
        <v>30055</v>
      </c>
      <c r="G1549" t="s">
        <v>30061</v>
      </c>
      <c r="H1549" t="s">
        <v>15498</v>
      </c>
      <c r="I1549" t="s">
        <v>3852</v>
      </c>
      <c r="J1549" t="s">
        <v>30358</v>
      </c>
      <c r="K1549" t="s">
        <v>39025</v>
      </c>
      <c r="M1549" t="s">
        <v>39953</v>
      </c>
      <c r="N1549" t="s">
        <v>43166</v>
      </c>
      <c r="O1549" t="s">
        <v>43167</v>
      </c>
      <c r="P1549">
        <v>0</v>
      </c>
      <c r="Q1549">
        <v>0</v>
      </c>
      <c r="R1549" t="s">
        <v>43170</v>
      </c>
      <c r="S1549" t="s">
        <v>43297</v>
      </c>
      <c r="T1549" t="s">
        <v>44735</v>
      </c>
      <c r="U1549" t="s">
        <v>46454</v>
      </c>
      <c r="W1549" t="s">
        <v>39953</v>
      </c>
      <c r="X1549" t="s">
        <v>43172</v>
      </c>
    </row>
    <row r="1550" spans="1:24">
      <c r="A1550">
        <f>HYPERLINK("https://www.philgeps.gov.ph/GEPSNONPILOT/Tender/SplashBidNoticeAbstractUI.aspx?menuIndex=3&amp;refID=7084307&amp;Result=3","7084307")</f>
        <v>0</v>
      </c>
      <c r="B1550" t="s">
        <v>501</v>
      </c>
      <c r="C1550" t="s">
        <v>4911</v>
      </c>
      <c r="E1550" t="s">
        <v>18855</v>
      </c>
      <c r="F1550" t="s">
        <v>30052</v>
      </c>
      <c r="G1550" t="s">
        <v>30059</v>
      </c>
      <c r="H1550" t="s">
        <v>15498</v>
      </c>
      <c r="I1550" t="s">
        <v>4119</v>
      </c>
      <c r="J1550" t="s">
        <v>31309</v>
      </c>
      <c r="K1550" t="s">
        <v>39025</v>
      </c>
      <c r="M1550" t="s">
        <v>39802</v>
      </c>
      <c r="N1550" t="s">
        <v>43166</v>
      </c>
      <c r="O1550" t="s">
        <v>43167</v>
      </c>
      <c r="P1550">
        <v>0</v>
      </c>
      <c r="Q1550">
        <v>7</v>
      </c>
      <c r="R1550" t="s">
        <v>43170</v>
      </c>
      <c r="S1550" t="s">
        <v>43297</v>
      </c>
      <c r="T1550" t="s">
        <v>44826</v>
      </c>
      <c r="U1550" t="s">
        <v>46455</v>
      </c>
      <c r="V1550" t="s">
        <v>56949</v>
      </c>
      <c r="W1550" t="s">
        <v>39802</v>
      </c>
      <c r="X1550" t="s">
        <v>43172</v>
      </c>
    </row>
    <row r="1551" spans="1:24">
      <c r="A1551">
        <f>HYPERLINK("https://www.philgeps.gov.ph/GEPSNONPILOT/Tender/SplashBidNoticeAbstractUI.aspx?menuIndex=3&amp;refID=7084482&amp;Result=3","7084482")</f>
        <v>0</v>
      </c>
      <c r="B1551" t="s">
        <v>593</v>
      </c>
      <c r="C1551" t="s">
        <v>4912</v>
      </c>
      <c r="D1551" t="s">
        <v>17415</v>
      </c>
      <c r="E1551" t="s">
        <v>18856</v>
      </c>
      <c r="F1551" t="s">
        <v>30052</v>
      </c>
      <c r="G1551" t="s">
        <v>30058</v>
      </c>
      <c r="H1551" t="s">
        <v>15498</v>
      </c>
      <c r="I1551" t="s">
        <v>30103</v>
      </c>
      <c r="J1551" t="s">
        <v>31310</v>
      </c>
      <c r="K1551" t="s">
        <v>39017</v>
      </c>
      <c r="M1551" t="s">
        <v>39895</v>
      </c>
      <c r="N1551" t="s">
        <v>43166</v>
      </c>
      <c r="O1551" t="s">
        <v>43167</v>
      </c>
      <c r="P1551">
        <v>0</v>
      </c>
      <c r="Q1551">
        <v>3</v>
      </c>
      <c r="R1551" t="s">
        <v>43170</v>
      </c>
      <c r="S1551" t="s">
        <v>43297</v>
      </c>
      <c r="T1551" t="s">
        <v>44733</v>
      </c>
      <c r="U1551" t="s">
        <v>46363</v>
      </c>
      <c r="W1551" t="s">
        <v>39895</v>
      </c>
      <c r="X1551" t="s">
        <v>43172</v>
      </c>
    </row>
    <row r="1552" spans="1:24">
      <c r="A1552">
        <f>HYPERLINK("https://www.philgeps.gov.ph/GEPSNONPILOT/Tender/SplashBidNoticeAbstractUI.aspx?menuIndex=3&amp;refID=7084429&amp;Result=3","7084429")</f>
        <v>0</v>
      </c>
      <c r="B1552" t="s">
        <v>650</v>
      </c>
      <c r="C1552" t="s">
        <v>4913</v>
      </c>
      <c r="D1552" t="s">
        <v>17424</v>
      </c>
      <c r="E1552" t="s">
        <v>18857</v>
      </c>
      <c r="F1552" t="s">
        <v>30052</v>
      </c>
      <c r="G1552" t="s">
        <v>30059</v>
      </c>
      <c r="H1552" t="s">
        <v>15498</v>
      </c>
      <c r="I1552" t="s">
        <v>30128</v>
      </c>
      <c r="J1552" t="s">
        <v>31311</v>
      </c>
      <c r="K1552" t="s">
        <v>39018</v>
      </c>
      <c r="L1552" t="s">
        <v>650</v>
      </c>
      <c r="M1552" t="s">
        <v>39954</v>
      </c>
      <c r="N1552" t="s">
        <v>43166</v>
      </c>
      <c r="O1552" t="s">
        <v>43167</v>
      </c>
      <c r="P1552">
        <v>0</v>
      </c>
      <c r="Q1552">
        <v>0</v>
      </c>
      <c r="R1552" t="s">
        <v>43170</v>
      </c>
      <c r="S1552" t="s">
        <v>43297</v>
      </c>
      <c r="T1552" t="s">
        <v>44844</v>
      </c>
      <c r="U1552" t="s">
        <v>46456</v>
      </c>
      <c r="W1552" t="s">
        <v>39954</v>
      </c>
      <c r="X1552" t="s">
        <v>43172</v>
      </c>
    </row>
    <row r="1553" spans="1:24">
      <c r="A1553">
        <f>HYPERLINK("https://www.philgeps.gov.ph/GEPSNONPILOT/Tender/SplashBidNoticeAbstractUI.aspx?menuIndex=3&amp;refID=7084463&amp;Result=3","7084463")</f>
        <v>0</v>
      </c>
      <c r="B1553" t="s">
        <v>651</v>
      </c>
      <c r="C1553" t="s">
        <v>4914</v>
      </c>
      <c r="D1553" t="s">
        <v>17476</v>
      </c>
      <c r="E1553" t="s">
        <v>18858</v>
      </c>
      <c r="F1553" t="s">
        <v>30052</v>
      </c>
      <c r="G1553" t="s">
        <v>30058</v>
      </c>
      <c r="H1553" t="s">
        <v>30067</v>
      </c>
      <c r="I1553" t="s">
        <v>3693</v>
      </c>
      <c r="J1553" t="s">
        <v>31312</v>
      </c>
      <c r="K1553" t="s">
        <v>39031</v>
      </c>
      <c r="M1553" t="s">
        <v>39955</v>
      </c>
      <c r="N1553" t="s">
        <v>43166</v>
      </c>
      <c r="O1553" t="s">
        <v>43167</v>
      </c>
      <c r="P1553">
        <v>0</v>
      </c>
      <c r="Q1553">
        <v>3</v>
      </c>
      <c r="R1553" t="s">
        <v>43170</v>
      </c>
      <c r="S1553" t="s">
        <v>43297</v>
      </c>
      <c r="T1553" t="s">
        <v>44752</v>
      </c>
      <c r="U1553" t="s">
        <v>46457</v>
      </c>
      <c r="V1553" t="s">
        <v>56996</v>
      </c>
      <c r="W1553" t="s">
        <v>39955</v>
      </c>
      <c r="X1553" t="s">
        <v>43172</v>
      </c>
    </row>
    <row r="1554" spans="1:24">
      <c r="A1554">
        <f>HYPERLINK("https://www.philgeps.gov.ph/GEPSNONPILOT/Tender/SplashBidNoticeAbstractUI.aspx?menuIndex=3&amp;refID=7084460&amp;Result=3","7084460")</f>
        <v>0</v>
      </c>
      <c r="B1554" t="s">
        <v>652</v>
      </c>
      <c r="C1554" t="s">
        <v>4915</v>
      </c>
      <c r="D1554" t="s">
        <v>17454</v>
      </c>
      <c r="E1554" t="s">
        <v>18859</v>
      </c>
      <c r="F1554" t="s">
        <v>30052</v>
      </c>
      <c r="G1554" t="s">
        <v>30058</v>
      </c>
      <c r="H1554" t="s">
        <v>30067</v>
      </c>
      <c r="I1554" t="s">
        <v>3736</v>
      </c>
      <c r="J1554" t="s">
        <v>30343</v>
      </c>
      <c r="K1554" t="s">
        <v>39029</v>
      </c>
      <c r="M1554" t="s">
        <v>39956</v>
      </c>
      <c r="N1554" t="s">
        <v>43166</v>
      </c>
      <c r="O1554" t="s">
        <v>43167</v>
      </c>
      <c r="P1554">
        <v>0</v>
      </c>
      <c r="Q1554">
        <v>1</v>
      </c>
      <c r="R1554" t="s">
        <v>43170</v>
      </c>
      <c r="S1554" t="s">
        <v>43297</v>
      </c>
      <c r="T1554" t="s">
        <v>44703</v>
      </c>
      <c r="U1554" t="s">
        <v>46458</v>
      </c>
      <c r="W1554" t="s">
        <v>39956</v>
      </c>
      <c r="X1554" t="s">
        <v>43172</v>
      </c>
    </row>
    <row r="1555" spans="1:24">
      <c r="A1555">
        <f>HYPERLINK("https://www.philgeps.gov.ph/GEPSNONPILOT/Tender/SplashBidNoticeAbstractUI.aspx?menuIndex=3&amp;refID=7084413&amp;Result=3","7084413")</f>
        <v>0</v>
      </c>
      <c r="B1555" t="s">
        <v>653</v>
      </c>
      <c r="C1555" t="s">
        <v>4916</v>
      </c>
      <c r="D1555" t="s">
        <v>17465</v>
      </c>
      <c r="E1555" t="s">
        <v>18860</v>
      </c>
      <c r="F1555" t="s">
        <v>30052</v>
      </c>
      <c r="G1555" t="s">
        <v>30059</v>
      </c>
      <c r="H1555" t="s">
        <v>15498</v>
      </c>
      <c r="I1555" t="s">
        <v>4119</v>
      </c>
      <c r="J1555" t="s">
        <v>31313</v>
      </c>
      <c r="K1555" t="s">
        <v>39025</v>
      </c>
      <c r="M1555" t="s">
        <v>39957</v>
      </c>
      <c r="N1555" t="s">
        <v>43166</v>
      </c>
      <c r="O1555" t="s">
        <v>43167</v>
      </c>
      <c r="P1555">
        <v>0</v>
      </c>
      <c r="Q1555">
        <v>3</v>
      </c>
      <c r="R1555" t="s">
        <v>43170</v>
      </c>
      <c r="S1555" t="s">
        <v>43297</v>
      </c>
      <c r="T1555" t="s">
        <v>44717</v>
      </c>
      <c r="U1555" t="s">
        <v>46459</v>
      </c>
      <c r="W1555" t="s">
        <v>39957</v>
      </c>
      <c r="X1555" t="s">
        <v>43172</v>
      </c>
    </row>
    <row r="1556" spans="1:24">
      <c r="A1556">
        <f>HYPERLINK("https://www.philgeps.gov.ph/GEPSNONPILOT/Tender/SplashBidNoticeAbstractUI.aspx?menuIndex=3&amp;refID=7084530&amp;Result=3","7084530")</f>
        <v>0</v>
      </c>
      <c r="B1556" t="s">
        <v>654</v>
      </c>
      <c r="C1556" t="s">
        <v>4917</v>
      </c>
      <c r="D1556" t="s">
        <v>17453</v>
      </c>
      <c r="E1556" t="s">
        <v>18861</v>
      </c>
      <c r="F1556" t="s">
        <v>30052</v>
      </c>
      <c r="G1556" t="s">
        <v>30060</v>
      </c>
      <c r="H1556" t="s">
        <v>15498</v>
      </c>
      <c r="I1556" t="s">
        <v>30088</v>
      </c>
      <c r="J1556" t="s">
        <v>31314</v>
      </c>
      <c r="K1556" t="s">
        <v>39029</v>
      </c>
      <c r="M1556" t="s">
        <v>39958</v>
      </c>
      <c r="N1556" t="s">
        <v>43166</v>
      </c>
      <c r="O1556" t="s">
        <v>43167</v>
      </c>
      <c r="P1556">
        <v>0</v>
      </c>
      <c r="Q1556">
        <v>7</v>
      </c>
      <c r="R1556" t="s">
        <v>43170</v>
      </c>
      <c r="S1556" t="s">
        <v>43297</v>
      </c>
      <c r="T1556" t="s">
        <v>44837</v>
      </c>
      <c r="U1556" t="s">
        <v>46460</v>
      </c>
      <c r="W1556" t="s">
        <v>39958</v>
      </c>
      <c r="X1556" t="s">
        <v>43172</v>
      </c>
    </row>
    <row r="1557" spans="1:24">
      <c r="A1557">
        <f>HYPERLINK("https://www.philgeps.gov.ph/GEPSNONPILOT/Tender/SplashBidNoticeAbstractUI.aspx?menuIndex=3&amp;refID=7084473&amp;Result=3","7084473")</f>
        <v>0</v>
      </c>
      <c r="B1557" t="s">
        <v>653</v>
      </c>
      <c r="C1557" t="s">
        <v>4916</v>
      </c>
      <c r="D1557" t="s">
        <v>17465</v>
      </c>
      <c r="E1557" t="s">
        <v>18862</v>
      </c>
      <c r="F1557" t="s">
        <v>30052</v>
      </c>
      <c r="G1557" t="s">
        <v>30059</v>
      </c>
      <c r="H1557" t="s">
        <v>15498</v>
      </c>
      <c r="I1557" t="s">
        <v>4119</v>
      </c>
      <c r="J1557" t="s">
        <v>31315</v>
      </c>
      <c r="K1557" t="s">
        <v>39025</v>
      </c>
      <c r="M1557" t="s">
        <v>39957</v>
      </c>
      <c r="N1557" t="s">
        <v>43166</v>
      </c>
      <c r="O1557" t="s">
        <v>43167</v>
      </c>
      <c r="P1557">
        <v>0</v>
      </c>
      <c r="Q1557">
        <v>4</v>
      </c>
      <c r="R1557" t="s">
        <v>43170</v>
      </c>
      <c r="S1557" t="s">
        <v>43297</v>
      </c>
      <c r="T1557" t="s">
        <v>44844</v>
      </c>
      <c r="U1557" t="s">
        <v>46459</v>
      </c>
      <c r="W1557" t="s">
        <v>39957</v>
      </c>
      <c r="X1557" t="s">
        <v>43172</v>
      </c>
    </row>
    <row r="1558" spans="1:24">
      <c r="A1558">
        <f>HYPERLINK("https://www.philgeps.gov.ph/GEPSNONPILOT/Tender/SplashBidNoticeAbstractUI.aspx?menuIndex=3&amp;refID=7084520&amp;Result=3","7084520")</f>
        <v>0</v>
      </c>
      <c r="B1558" t="s">
        <v>630</v>
      </c>
      <c r="C1558" t="s">
        <v>4918</v>
      </c>
      <c r="D1558" t="s">
        <v>17436</v>
      </c>
      <c r="E1558" t="s">
        <v>18863</v>
      </c>
      <c r="F1558" t="s">
        <v>30052</v>
      </c>
      <c r="G1558" t="s">
        <v>30059</v>
      </c>
      <c r="H1558" t="s">
        <v>15498</v>
      </c>
      <c r="I1558" t="s">
        <v>30095</v>
      </c>
      <c r="J1558" t="s">
        <v>30256</v>
      </c>
      <c r="K1558" t="s">
        <v>39025</v>
      </c>
      <c r="M1558" t="s">
        <v>39959</v>
      </c>
      <c r="N1558" t="s">
        <v>43166</v>
      </c>
      <c r="O1558" t="s">
        <v>43167</v>
      </c>
      <c r="P1558">
        <v>0</v>
      </c>
      <c r="Q1558">
        <v>1</v>
      </c>
      <c r="R1558" t="s">
        <v>43170</v>
      </c>
      <c r="S1558" t="s">
        <v>43297</v>
      </c>
      <c r="T1558" t="s">
        <v>44841</v>
      </c>
      <c r="U1558" t="s">
        <v>46461</v>
      </c>
      <c r="W1558" t="s">
        <v>39959</v>
      </c>
      <c r="X1558" t="s">
        <v>43172</v>
      </c>
    </row>
    <row r="1559" spans="1:24">
      <c r="A1559">
        <f>HYPERLINK("https://www.philgeps.gov.ph/GEPSNONPILOT/Tender/SplashBidNoticeAbstractUI.aspx?menuIndex=3&amp;refID=7084487&amp;Result=3","7084487")</f>
        <v>0</v>
      </c>
      <c r="B1559" t="s">
        <v>655</v>
      </c>
      <c r="C1559" t="s">
        <v>4919</v>
      </c>
      <c r="E1559" t="s">
        <v>18864</v>
      </c>
      <c r="F1559" t="s">
        <v>30052</v>
      </c>
      <c r="G1559" t="s">
        <v>30058</v>
      </c>
      <c r="H1559" t="s">
        <v>15498</v>
      </c>
      <c r="I1559" t="s">
        <v>3606</v>
      </c>
      <c r="J1559" t="s">
        <v>30605</v>
      </c>
      <c r="K1559" t="s">
        <v>39025</v>
      </c>
      <c r="M1559" t="s">
        <v>39960</v>
      </c>
      <c r="N1559" t="s">
        <v>43166</v>
      </c>
      <c r="O1559" t="s">
        <v>43167</v>
      </c>
      <c r="P1559">
        <v>0</v>
      </c>
      <c r="Q1559">
        <v>1</v>
      </c>
      <c r="R1559" t="s">
        <v>43170</v>
      </c>
      <c r="S1559" t="s">
        <v>43297</v>
      </c>
      <c r="T1559" t="s">
        <v>44681</v>
      </c>
      <c r="U1559" t="s">
        <v>46462</v>
      </c>
      <c r="W1559" t="s">
        <v>39960</v>
      </c>
      <c r="X1559" t="s">
        <v>43172</v>
      </c>
    </row>
    <row r="1560" spans="1:24">
      <c r="A1560">
        <f>HYPERLINK("https://www.philgeps.gov.ph/GEPSNONPILOT/Tender/SplashBidNoticeAbstractUI.aspx?menuIndex=3&amp;refID=7084588&amp;Result=3","7084588")</f>
        <v>0</v>
      </c>
      <c r="B1560" t="s">
        <v>656</v>
      </c>
      <c r="C1560" t="s">
        <v>4920</v>
      </c>
      <c r="D1560" t="s">
        <v>17465</v>
      </c>
      <c r="E1560" t="s">
        <v>18865</v>
      </c>
      <c r="F1560" t="s">
        <v>30052</v>
      </c>
      <c r="G1560" t="s">
        <v>30062</v>
      </c>
      <c r="H1560" t="s">
        <v>15498</v>
      </c>
      <c r="I1560" t="s">
        <v>4119</v>
      </c>
      <c r="J1560" t="s">
        <v>31316</v>
      </c>
      <c r="K1560" t="s">
        <v>39018</v>
      </c>
      <c r="M1560" t="s">
        <v>39961</v>
      </c>
      <c r="N1560" t="s">
        <v>43166</v>
      </c>
      <c r="O1560" t="s">
        <v>43167</v>
      </c>
      <c r="P1560">
        <v>0</v>
      </c>
      <c r="Q1560">
        <v>3</v>
      </c>
      <c r="R1560" t="s">
        <v>43170</v>
      </c>
      <c r="S1560" t="s">
        <v>43297</v>
      </c>
      <c r="T1560" t="s">
        <v>44734</v>
      </c>
      <c r="U1560" t="s">
        <v>46463</v>
      </c>
      <c r="W1560" t="s">
        <v>39961</v>
      </c>
      <c r="X1560" t="s">
        <v>43171</v>
      </c>
    </row>
    <row r="1561" spans="1:24">
      <c r="A1561">
        <f>HYPERLINK("https://www.philgeps.gov.ph/GEPSNONPILOT/Tender/SplashBidNoticeAbstractUI.aspx?menuIndex=3&amp;refID=7084279&amp;Result=3","7084279")</f>
        <v>0</v>
      </c>
      <c r="B1561" t="s">
        <v>657</v>
      </c>
      <c r="C1561" t="s">
        <v>4921</v>
      </c>
      <c r="D1561" t="s">
        <v>17415</v>
      </c>
      <c r="E1561" t="s">
        <v>17540</v>
      </c>
      <c r="F1561" t="s">
        <v>30052</v>
      </c>
      <c r="G1561" t="s">
        <v>30059</v>
      </c>
      <c r="H1561" t="s">
        <v>15498</v>
      </c>
      <c r="I1561" t="s">
        <v>8323</v>
      </c>
      <c r="J1561" t="s">
        <v>31317</v>
      </c>
      <c r="K1561" t="s">
        <v>39064</v>
      </c>
      <c r="M1561" t="s">
        <v>39962</v>
      </c>
      <c r="N1561" t="s">
        <v>43166</v>
      </c>
      <c r="O1561" t="s">
        <v>43167</v>
      </c>
      <c r="P1561">
        <v>0</v>
      </c>
      <c r="Q1561">
        <v>10</v>
      </c>
      <c r="R1561" t="s">
        <v>43170</v>
      </c>
      <c r="S1561" t="s">
        <v>43297</v>
      </c>
      <c r="T1561" t="s">
        <v>44732</v>
      </c>
      <c r="U1561" t="s">
        <v>46464</v>
      </c>
      <c r="W1561" t="s">
        <v>39962</v>
      </c>
      <c r="X1561" t="s">
        <v>43172</v>
      </c>
    </row>
    <row r="1562" spans="1:24">
      <c r="A1562">
        <f>HYPERLINK("https://www.philgeps.gov.ph/GEPSNONPILOT/Tender/SplashBidNoticeAbstractUI.aspx?menuIndex=3&amp;refID=7084154&amp;Result=3","7084154")</f>
        <v>0</v>
      </c>
      <c r="B1562" t="s">
        <v>141</v>
      </c>
      <c r="C1562" t="s">
        <v>4922</v>
      </c>
      <c r="D1562" t="s">
        <v>17447</v>
      </c>
      <c r="E1562" t="s">
        <v>18866</v>
      </c>
      <c r="F1562" t="s">
        <v>30052</v>
      </c>
      <c r="G1562" t="s">
        <v>30059</v>
      </c>
      <c r="H1562" t="s">
        <v>15498</v>
      </c>
      <c r="I1562" t="s">
        <v>4119</v>
      </c>
      <c r="J1562" t="s">
        <v>31318</v>
      </c>
      <c r="K1562" t="s">
        <v>39025</v>
      </c>
      <c r="M1562" t="s">
        <v>39939</v>
      </c>
      <c r="N1562" t="s">
        <v>43166</v>
      </c>
      <c r="O1562" t="s">
        <v>43167</v>
      </c>
      <c r="P1562">
        <v>0</v>
      </c>
      <c r="Q1562">
        <v>1</v>
      </c>
      <c r="R1562" t="s">
        <v>43170</v>
      </c>
      <c r="S1562" t="s">
        <v>43297</v>
      </c>
      <c r="T1562" t="s">
        <v>44837</v>
      </c>
      <c r="U1562" t="s">
        <v>46465</v>
      </c>
      <c r="V1562" t="s">
        <v>56997</v>
      </c>
      <c r="W1562" t="s">
        <v>39939</v>
      </c>
      <c r="X1562" t="s">
        <v>43172</v>
      </c>
    </row>
    <row r="1563" spans="1:24">
      <c r="A1563">
        <f>HYPERLINK("https://www.philgeps.gov.ph/GEPSNONPILOT/Tender/SplashBidNoticeAbstractUI.aspx?menuIndex=3&amp;refID=7084586&amp;Result=3","7084586")</f>
        <v>0</v>
      </c>
      <c r="B1563" t="s">
        <v>656</v>
      </c>
      <c r="C1563" t="s">
        <v>4923</v>
      </c>
      <c r="D1563" t="s">
        <v>17495</v>
      </c>
      <c r="E1563" t="s">
        <v>18867</v>
      </c>
      <c r="F1563" t="s">
        <v>30052</v>
      </c>
      <c r="G1563" t="s">
        <v>30062</v>
      </c>
      <c r="H1563" t="s">
        <v>15498</v>
      </c>
      <c r="I1563" t="s">
        <v>30071</v>
      </c>
      <c r="J1563" t="s">
        <v>31319</v>
      </c>
      <c r="K1563" t="s">
        <v>39018</v>
      </c>
      <c r="M1563" t="s">
        <v>39961</v>
      </c>
      <c r="N1563" t="s">
        <v>43166</v>
      </c>
      <c r="O1563" t="s">
        <v>43167</v>
      </c>
      <c r="P1563">
        <v>0</v>
      </c>
      <c r="Q1563">
        <v>1</v>
      </c>
      <c r="R1563" t="s">
        <v>43170</v>
      </c>
      <c r="S1563" t="s">
        <v>43297</v>
      </c>
      <c r="T1563" t="s">
        <v>44734</v>
      </c>
      <c r="U1563" t="s">
        <v>46466</v>
      </c>
      <c r="W1563" t="s">
        <v>39961</v>
      </c>
      <c r="X1563" t="s">
        <v>43171</v>
      </c>
    </row>
    <row r="1564" spans="1:24">
      <c r="A1564">
        <f>HYPERLINK("https://www.philgeps.gov.ph/GEPSNONPILOT/Tender/SplashBidNoticeAbstractUI.aspx?menuIndex=3&amp;refID=7084527&amp;Result=3","7084527")</f>
        <v>0</v>
      </c>
      <c r="B1564" t="s">
        <v>658</v>
      </c>
      <c r="C1564" t="s">
        <v>4924</v>
      </c>
      <c r="D1564" t="s">
        <v>17480</v>
      </c>
      <c r="E1564" t="s">
        <v>18868</v>
      </c>
      <c r="F1564" t="s">
        <v>30052</v>
      </c>
      <c r="G1564" t="s">
        <v>30063</v>
      </c>
      <c r="H1564" t="s">
        <v>15498</v>
      </c>
      <c r="I1564" t="s">
        <v>3736</v>
      </c>
      <c r="J1564" t="s">
        <v>31320</v>
      </c>
      <c r="K1564" t="s">
        <v>39046</v>
      </c>
      <c r="M1564" t="s">
        <v>39963</v>
      </c>
      <c r="N1564" t="s">
        <v>43166</v>
      </c>
      <c r="O1564" t="s">
        <v>43167</v>
      </c>
      <c r="P1564">
        <v>0</v>
      </c>
      <c r="Q1564">
        <v>3</v>
      </c>
      <c r="R1564" t="s">
        <v>43170</v>
      </c>
      <c r="S1564" t="s">
        <v>43297</v>
      </c>
      <c r="T1564" t="s">
        <v>44869</v>
      </c>
      <c r="U1564" t="s">
        <v>46467</v>
      </c>
      <c r="W1564" t="s">
        <v>39963</v>
      </c>
      <c r="X1564" t="s">
        <v>43172</v>
      </c>
    </row>
    <row r="1565" spans="1:24">
      <c r="A1565">
        <f>HYPERLINK("https://www.philgeps.gov.ph/GEPSNONPILOT/Tender/SplashBidNoticeAbstractUI.aspx?menuIndex=3&amp;refID=7084593&amp;Result=3","7084593")</f>
        <v>0</v>
      </c>
      <c r="B1565" t="s">
        <v>614</v>
      </c>
      <c r="C1565" t="s">
        <v>4925</v>
      </c>
      <c r="D1565" t="s">
        <v>17415</v>
      </c>
      <c r="E1565" t="s">
        <v>4925</v>
      </c>
      <c r="F1565" t="s">
        <v>30052</v>
      </c>
      <c r="G1565" t="s">
        <v>30061</v>
      </c>
      <c r="H1565" t="s">
        <v>15498</v>
      </c>
      <c r="I1565" t="s">
        <v>30070</v>
      </c>
      <c r="J1565" t="s">
        <v>31321</v>
      </c>
      <c r="K1565" t="s">
        <v>39025</v>
      </c>
      <c r="M1565" t="s">
        <v>39964</v>
      </c>
      <c r="N1565" t="s">
        <v>43166</v>
      </c>
      <c r="O1565" t="s">
        <v>43167</v>
      </c>
      <c r="P1565">
        <v>0</v>
      </c>
      <c r="Q1565">
        <v>8</v>
      </c>
      <c r="R1565" t="s">
        <v>43170</v>
      </c>
      <c r="S1565" t="s">
        <v>43297</v>
      </c>
      <c r="T1565" t="s">
        <v>44743</v>
      </c>
      <c r="U1565" t="s">
        <v>46468</v>
      </c>
      <c r="W1565" t="s">
        <v>39964</v>
      </c>
      <c r="X1565" t="s">
        <v>43171</v>
      </c>
    </row>
    <row r="1566" spans="1:24">
      <c r="A1566">
        <f>HYPERLINK("https://www.philgeps.gov.ph/GEPSNONPILOT/Tender/SplashBidNoticeAbstractUI.aspx?menuIndex=3&amp;refID=7084427&amp;Result=3","7084427")</f>
        <v>0</v>
      </c>
      <c r="B1566" t="s">
        <v>659</v>
      </c>
      <c r="C1566" t="s">
        <v>4926</v>
      </c>
      <c r="D1566" t="s">
        <v>17434</v>
      </c>
      <c r="E1566" t="s">
        <v>18869</v>
      </c>
      <c r="F1566" t="s">
        <v>30052</v>
      </c>
      <c r="G1566" t="s">
        <v>30061</v>
      </c>
      <c r="H1566" t="s">
        <v>15498</v>
      </c>
      <c r="I1566" t="s">
        <v>30139</v>
      </c>
      <c r="J1566" t="s">
        <v>30315</v>
      </c>
      <c r="K1566" t="s">
        <v>39017</v>
      </c>
      <c r="M1566" t="s">
        <v>39965</v>
      </c>
      <c r="N1566" t="s">
        <v>43166</v>
      </c>
      <c r="O1566" t="s">
        <v>43167</v>
      </c>
      <c r="P1566">
        <v>0</v>
      </c>
      <c r="Q1566">
        <v>7</v>
      </c>
      <c r="R1566" t="s">
        <v>43170</v>
      </c>
      <c r="S1566" t="s">
        <v>43297</v>
      </c>
      <c r="T1566" t="s">
        <v>44843</v>
      </c>
      <c r="U1566" t="s">
        <v>46469</v>
      </c>
      <c r="V1566" t="s">
        <v>56998</v>
      </c>
      <c r="W1566" t="s">
        <v>39965</v>
      </c>
      <c r="X1566" t="s">
        <v>43172</v>
      </c>
    </row>
    <row r="1567" spans="1:24">
      <c r="A1567">
        <f>HYPERLINK("https://www.philgeps.gov.ph/GEPSNONPILOT/Tender/SplashBidNoticeAbstractUI.aspx?menuIndex=3&amp;refID=7084592&amp;Result=3","7084592")</f>
        <v>0</v>
      </c>
      <c r="B1567" t="s">
        <v>656</v>
      </c>
      <c r="C1567" t="s">
        <v>4927</v>
      </c>
      <c r="D1567" t="s">
        <v>17465</v>
      </c>
      <c r="E1567" t="s">
        <v>18870</v>
      </c>
      <c r="F1567" t="s">
        <v>30052</v>
      </c>
      <c r="G1567" t="s">
        <v>30062</v>
      </c>
      <c r="H1567" t="s">
        <v>15498</v>
      </c>
      <c r="I1567" t="s">
        <v>4119</v>
      </c>
      <c r="J1567" t="s">
        <v>31322</v>
      </c>
      <c r="K1567" t="s">
        <v>39018</v>
      </c>
      <c r="M1567" t="s">
        <v>39961</v>
      </c>
      <c r="N1567" t="s">
        <v>43166</v>
      </c>
      <c r="O1567" t="s">
        <v>43167</v>
      </c>
      <c r="P1567">
        <v>0</v>
      </c>
      <c r="Q1567">
        <v>3</v>
      </c>
      <c r="R1567" t="s">
        <v>43170</v>
      </c>
      <c r="S1567" t="s">
        <v>43297</v>
      </c>
      <c r="T1567" t="s">
        <v>44734</v>
      </c>
      <c r="U1567" t="s">
        <v>46470</v>
      </c>
      <c r="W1567" t="s">
        <v>39961</v>
      </c>
      <c r="X1567" t="s">
        <v>43171</v>
      </c>
    </row>
    <row r="1568" spans="1:24">
      <c r="A1568">
        <f>HYPERLINK("https://www.philgeps.gov.ph/GEPSNONPILOT/Tender/SplashBidNoticeAbstractUI.aspx?menuIndex=3&amp;refID=7084568&amp;Result=3","7084568")</f>
        <v>0</v>
      </c>
      <c r="B1568" t="s">
        <v>660</v>
      </c>
      <c r="C1568" t="s">
        <v>4928</v>
      </c>
      <c r="D1568" t="s">
        <v>17448</v>
      </c>
      <c r="E1568" t="s">
        <v>17540</v>
      </c>
      <c r="F1568" t="s">
        <v>30052</v>
      </c>
      <c r="G1568" t="s">
        <v>30058</v>
      </c>
      <c r="H1568" t="s">
        <v>15498</v>
      </c>
      <c r="I1568" t="s">
        <v>3736</v>
      </c>
      <c r="J1568" t="s">
        <v>31323</v>
      </c>
      <c r="K1568" t="s">
        <v>39019</v>
      </c>
      <c r="M1568" t="s">
        <v>39966</v>
      </c>
      <c r="N1568" t="s">
        <v>43166</v>
      </c>
      <c r="O1568" t="s">
        <v>43167</v>
      </c>
      <c r="P1568">
        <v>0</v>
      </c>
      <c r="Q1568">
        <v>0</v>
      </c>
      <c r="R1568" t="s">
        <v>43170</v>
      </c>
      <c r="S1568" t="s">
        <v>43297</v>
      </c>
      <c r="T1568" t="s">
        <v>44750</v>
      </c>
      <c r="U1568" t="s">
        <v>46471</v>
      </c>
      <c r="W1568" t="s">
        <v>39966</v>
      </c>
      <c r="X1568" t="s">
        <v>43172</v>
      </c>
    </row>
    <row r="1569" spans="1:24">
      <c r="A1569">
        <f>HYPERLINK("https://www.philgeps.gov.ph/GEPSNONPILOT/Tender/SplashBidNoticeAbstractUI.aspx?menuIndex=3&amp;refID=7084587&amp;Result=3","7084587")</f>
        <v>0</v>
      </c>
      <c r="B1569" t="s">
        <v>656</v>
      </c>
      <c r="C1569" t="s">
        <v>4929</v>
      </c>
      <c r="D1569" t="s">
        <v>17465</v>
      </c>
      <c r="E1569" t="s">
        <v>18871</v>
      </c>
      <c r="F1569" t="s">
        <v>30052</v>
      </c>
      <c r="G1569" t="s">
        <v>30062</v>
      </c>
      <c r="H1569" t="s">
        <v>15498</v>
      </c>
      <c r="I1569" t="s">
        <v>4119</v>
      </c>
      <c r="J1569" t="s">
        <v>31324</v>
      </c>
      <c r="K1569" t="s">
        <v>39018</v>
      </c>
      <c r="M1569" t="s">
        <v>39961</v>
      </c>
      <c r="N1569" t="s">
        <v>43166</v>
      </c>
      <c r="O1569" t="s">
        <v>43167</v>
      </c>
      <c r="P1569">
        <v>0</v>
      </c>
      <c r="Q1569">
        <v>3</v>
      </c>
      <c r="R1569" t="s">
        <v>43170</v>
      </c>
      <c r="S1569" t="s">
        <v>43297</v>
      </c>
      <c r="T1569" t="s">
        <v>44734</v>
      </c>
      <c r="U1569" t="s">
        <v>46466</v>
      </c>
      <c r="W1569" t="s">
        <v>39961</v>
      </c>
      <c r="X1569" t="s">
        <v>43171</v>
      </c>
    </row>
    <row r="1570" spans="1:24">
      <c r="A1570">
        <f>HYPERLINK("https://www.philgeps.gov.ph/GEPSNONPILOT/Tender/SplashBidNoticeAbstractUI.aspx?menuIndex=3&amp;refID=7084567&amp;Result=3","7084567")</f>
        <v>0</v>
      </c>
      <c r="B1570" t="s">
        <v>661</v>
      </c>
      <c r="C1570" t="s">
        <v>4930</v>
      </c>
      <c r="D1570" t="s">
        <v>17415</v>
      </c>
      <c r="E1570" t="s">
        <v>17715</v>
      </c>
      <c r="F1570" t="s">
        <v>30052</v>
      </c>
      <c r="G1570" t="s">
        <v>30059</v>
      </c>
      <c r="H1570" t="s">
        <v>15498</v>
      </c>
      <c r="I1570" t="s">
        <v>3852</v>
      </c>
      <c r="J1570" t="s">
        <v>31325</v>
      </c>
      <c r="K1570" t="s">
        <v>39036</v>
      </c>
      <c r="M1570" t="s">
        <v>39967</v>
      </c>
      <c r="N1570" t="s">
        <v>43166</v>
      </c>
      <c r="O1570" t="s">
        <v>43167</v>
      </c>
      <c r="P1570">
        <v>0</v>
      </c>
      <c r="Q1570">
        <v>1</v>
      </c>
      <c r="R1570" t="s">
        <v>43170</v>
      </c>
      <c r="S1570" t="s">
        <v>43297</v>
      </c>
      <c r="T1570" t="s">
        <v>44698</v>
      </c>
      <c r="U1570" t="s">
        <v>46472</v>
      </c>
      <c r="V1570" t="s">
        <v>56940</v>
      </c>
      <c r="W1570" t="s">
        <v>39967</v>
      </c>
      <c r="X1570" t="s">
        <v>43172</v>
      </c>
    </row>
    <row r="1571" spans="1:24">
      <c r="A1571">
        <f>HYPERLINK("https://www.philgeps.gov.ph/GEPSNONPILOT/Tender/SplashBidNoticeAbstractUI.aspx?menuIndex=3&amp;refID=7084563&amp;Result=3","7084563")</f>
        <v>0</v>
      </c>
      <c r="B1571" t="s">
        <v>662</v>
      </c>
      <c r="C1571" t="s">
        <v>4931</v>
      </c>
      <c r="D1571" t="s">
        <v>17458</v>
      </c>
      <c r="E1571" t="s">
        <v>18872</v>
      </c>
      <c r="F1571" t="s">
        <v>30052</v>
      </c>
      <c r="G1571" t="s">
        <v>30058</v>
      </c>
      <c r="H1571" t="s">
        <v>15498</v>
      </c>
      <c r="I1571" t="s">
        <v>30125</v>
      </c>
      <c r="J1571" t="s">
        <v>31326</v>
      </c>
      <c r="K1571" t="s">
        <v>39034</v>
      </c>
      <c r="M1571" t="s">
        <v>39968</v>
      </c>
      <c r="N1571" t="s">
        <v>43166</v>
      </c>
      <c r="O1571" t="s">
        <v>43167</v>
      </c>
      <c r="P1571">
        <v>0</v>
      </c>
      <c r="Q1571">
        <v>1</v>
      </c>
      <c r="R1571" t="s">
        <v>43170</v>
      </c>
      <c r="S1571" t="s">
        <v>43297</v>
      </c>
      <c r="T1571" t="s">
        <v>44718</v>
      </c>
      <c r="U1571" t="s">
        <v>46473</v>
      </c>
      <c r="W1571" t="s">
        <v>39968</v>
      </c>
      <c r="X1571" t="s">
        <v>43172</v>
      </c>
    </row>
    <row r="1572" spans="1:24">
      <c r="A1572">
        <f>HYPERLINK("https://www.philgeps.gov.ph/GEPSNONPILOT/Tender/SplashBidNoticeAbstractUI.aspx?menuIndex=3&amp;refID=7084543&amp;Result=3","7084543")</f>
        <v>0</v>
      </c>
      <c r="B1572" t="s">
        <v>663</v>
      </c>
      <c r="C1572" t="s">
        <v>4932</v>
      </c>
      <c r="D1572" t="s">
        <v>17414</v>
      </c>
      <c r="E1572" t="s">
        <v>18873</v>
      </c>
      <c r="F1572" t="s">
        <v>30052</v>
      </c>
      <c r="G1572" t="s">
        <v>30059</v>
      </c>
      <c r="H1572" t="s">
        <v>15498</v>
      </c>
      <c r="I1572" t="s">
        <v>30146</v>
      </c>
      <c r="J1572" t="s">
        <v>30337</v>
      </c>
      <c r="K1572" t="s">
        <v>39017</v>
      </c>
      <c r="M1572" t="s">
        <v>39969</v>
      </c>
      <c r="N1572" t="s">
        <v>43166</v>
      </c>
      <c r="O1572" t="s">
        <v>43167</v>
      </c>
      <c r="P1572">
        <v>0</v>
      </c>
      <c r="Q1572">
        <v>1</v>
      </c>
      <c r="R1572" t="s">
        <v>43170</v>
      </c>
      <c r="S1572" t="s">
        <v>43297</v>
      </c>
      <c r="T1572" t="s">
        <v>44837</v>
      </c>
      <c r="U1572" t="s">
        <v>46474</v>
      </c>
      <c r="V1572" t="s">
        <v>56999</v>
      </c>
      <c r="W1572" t="s">
        <v>39969</v>
      </c>
      <c r="X1572" t="s">
        <v>43172</v>
      </c>
    </row>
    <row r="1573" spans="1:24">
      <c r="A1573">
        <f>HYPERLINK("https://www.philgeps.gov.ph/GEPSNONPILOT/Tender/SplashBidNoticeAbstractUI.aspx?menuIndex=3&amp;refID=7084590&amp;Result=3","7084590")</f>
        <v>0</v>
      </c>
      <c r="B1573" t="s">
        <v>656</v>
      </c>
      <c r="C1573" t="s">
        <v>4933</v>
      </c>
      <c r="D1573" t="s">
        <v>17465</v>
      </c>
      <c r="E1573" t="s">
        <v>18874</v>
      </c>
      <c r="F1573" t="s">
        <v>30052</v>
      </c>
      <c r="G1573" t="s">
        <v>30062</v>
      </c>
      <c r="H1573" t="s">
        <v>15498</v>
      </c>
      <c r="I1573" t="s">
        <v>4119</v>
      </c>
      <c r="J1573" t="s">
        <v>31316</v>
      </c>
      <c r="K1573" t="s">
        <v>39018</v>
      </c>
      <c r="M1573" t="s">
        <v>39961</v>
      </c>
      <c r="N1573" t="s">
        <v>43166</v>
      </c>
      <c r="O1573" t="s">
        <v>43167</v>
      </c>
      <c r="P1573">
        <v>0</v>
      </c>
      <c r="Q1573">
        <v>3</v>
      </c>
      <c r="R1573" t="s">
        <v>43170</v>
      </c>
      <c r="S1573" t="s">
        <v>43297</v>
      </c>
      <c r="T1573" t="s">
        <v>44734</v>
      </c>
      <c r="U1573" t="s">
        <v>46470</v>
      </c>
      <c r="W1573" t="s">
        <v>39961</v>
      </c>
      <c r="X1573" t="s">
        <v>43171</v>
      </c>
    </row>
    <row r="1574" spans="1:24">
      <c r="A1574">
        <f>HYPERLINK("https://www.philgeps.gov.ph/GEPSNONPILOT/Tender/SplashBidNoticeAbstractUI.aspx?menuIndex=3&amp;refID=7084542&amp;Result=3","7084542")</f>
        <v>0</v>
      </c>
      <c r="B1574" t="s">
        <v>664</v>
      </c>
      <c r="C1574" t="s">
        <v>4934</v>
      </c>
      <c r="D1574" t="s">
        <v>17466</v>
      </c>
      <c r="E1574" t="s">
        <v>18292</v>
      </c>
      <c r="F1574" t="s">
        <v>30052</v>
      </c>
      <c r="G1574" t="s">
        <v>30059</v>
      </c>
      <c r="H1574" t="s">
        <v>15498</v>
      </c>
      <c r="I1574" t="s">
        <v>30085</v>
      </c>
      <c r="J1574" t="s">
        <v>31327</v>
      </c>
      <c r="K1574" t="s">
        <v>39018</v>
      </c>
      <c r="L1574" t="s">
        <v>664</v>
      </c>
      <c r="M1574" t="s">
        <v>39970</v>
      </c>
      <c r="N1574" t="s">
        <v>43166</v>
      </c>
      <c r="O1574" t="s">
        <v>43167</v>
      </c>
      <c r="P1574">
        <v>0</v>
      </c>
      <c r="Q1574">
        <v>0</v>
      </c>
      <c r="R1574" t="s">
        <v>43170</v>
      </c>
      <c r="S1574" t="s">
        <v>43297</v>
      </c>
      <c r="T1574" t="s">
        <v>44870</v>
      </c>
      <c r="U1574" t="s">
        <v>46475</v>
      </c>
      <c r="V1574" t="s">
        <v>57000</v>
      </c>
      <c r="W1574" t="s">
        <v>39970</v>
      </c>
      <c r="X1574" t="s">
        <v>43172</v>
      </c>
    </row>
    <row r="1575" spans="1:24">
      <c r="A1575">
        <f>HYPERLINK("https://www.philgeps.gov.ph/GEPSNONPILOT/Tender/SplashBidNoticeAbstractUI.aspx?menuIndex=3&amp;refID=7084582&amp;Result=3","7084582")</f>
        <v>0</v>
      </c>
      <c r="B1575" t="s">
        <v>656</v>
      </c>
      <c r="C1575" t="s">
        <v>4923</v>
      </c>
      <c r="D1575" t="s">
        <v>17465</v>
      </c>
      <c r="E1575" t="s">
        <v>18867</v>
      </c>
      <c r="F1575" t="s">
        <v>30052</v>
      </c>
      <c r="G1575" t="s">
        <v>30062</v>
      </c>
      <c r="H1575" t="s">
        <v>15498</v>
      </c>
      <c r="I1575" t="s">
        <v>4119</v>
      </c>
      <c r="J1575" t="s">
        <v>31328</v>
      </c>
      <c r="K1575" t="s">
        <v>39018</v>
      </c>
      <c r="M1575" t="s">
        <v>39961</v>
      </c>
      <c r="N1575" t="s">
        <v>43166</v>
      </c>
      <c r="O1575" t="s">
        <v>43167</v>
      </c>
      <c r="P1575">
        <v>0</v>
      </c>
      <c r="Q1575">
        <v>4</v>
      </c>
      <c r="R1575" t="s">
        <v>43170</v>
      </c>
      <c r="S1575" t="s">
        <v>43297</v>
      </c>
      <c r="T1575" t="s">
        <v>44734</v>
      </c>
      <c r="U1575" t="s">
        <v>46466</v>
      </c>
      <c r="W1575" t="s">
        <v>39961</v>
      </c>
      <c r="X1575" t="s">
        <v>43172</v>
      </c>
    </row>
    <row r="1576" spans="1:24">
      <c r="A1576">
        <f>HYPERLINK("https://www.philgeps.gov.ph/GEPSNONPILOT/Tender/SplashBidNoticeAbstractUI.aspx?menuIndex=3&amp;refID=7084261&amp;Result=3","7084261")</f>
        <v>0</v>
      </c>
      <c r="B1576" t="s">
        <v>665</v>
      </c>
      <c r="C1576" t="s">
        <v>4935</v>
      </c>
      <c r="D1576" t="s">
        <v>17432</v>
      </c>
      <c r="E1576" t="s">
        <v>18875</v>
      </c>
      <c r="F1576" t="s">
        <v>30052</v>
      </c>
      <c r="G1576" t="s">
        <v>30059</v>
      </c>
      <c r="H1576" t="s">
        <v>15498</v>
      </c>
      <c r="I1576" t="s">
        <v>30070</v>
      </c>
      <c r="J1576" t="s">
        <v>31329</v>
      </c>
      <c r="K1576" t="s">
        <v>39029</v>
      </c>
      <c r="M1576" t="s">
        <v>39971</v>
      </c>
      <c r="N1576" t="s">
        <v>43166</v>
      </c>
      <c r="O1576" t="s">
        <v>43167</v>
      </c>
      <c r="P1576">
        <v>0</v>
      </c>
      <c r="Q1576">
        <v>0</v>
      </c>
      <c r="R1576" t="s">
        <v>43170</v>
      </c>
      <c r="S1576" t="s">
        <v>43297</v>
      </c>
      <c r="T1576" t="s">
        <v>44871</v>
      </c>
      <c r="U1576" t="s">
        <v>46476</v>
      </c>
      <c r="W1576" t="s">
        <v>39971</v>
      </c>
      <c r="X1576" t="s">
        <v>43172</v>
      </c>
    </row>
    <row r="1577" spans="1:24">
      <c r="A1577">
        <f>HYPERLINK("https://www.philgeps.gov.ph/GEPSNONPILOT/Tender/SplashBidNoticeAbstractUI.aspx?menuIndex=3&amp;refID=7084597&amp;Result=3","7084597")</f>
        <v>0</v>
      </c>
      <c r="B1577" t="s">
        <v>521</v>
      </c>
      <c r="C1577" t="s">
        <v>4936</v>
      </c>
      <c r="D1577" t="s">
        <v>17415</v>
      </c>
      <c r="E1577" t="s">
        <v>18575</v>
      </c>
      <c r="F1577" t="s">
        <v>30052</v>
      </c>
      <c r="G1577" t="s">
        <v>30061</v>
      </c>
      <c r="H1577" t="s">
        <v>15498</v>
      </c>
      <c r="I1577" t="s">
        <v>9238</v>
      </c>
      <c r="J1577" t="s">
        <v>31330</v>
      </c>
      <c r="K1577" t="s">
        <v>39019</v>
      </c>
      <c r="M1577" t="s">
        <v>39823</v>
      </c>
      <c r="N1577" t="s">
        <v>43166</v>
      </c>
      <c r="O1577" t="s">
        <v>43167</v>
      </c>
      <c r="P1577">
        <v>0</v>
      </c>
      <c r="Q1577">
        <v>6</v>
      </c>
      <c r="R1577" t="s">
        <v>43170</v>
      </c>
      <c r="S1577" t="s">
        <v>43297</v>
      </c>
      <c r="T1577" t="s">
        <v>44856</v>
      </c>
      <c r="U1577" t="s">
        <v>46477</v>
      </c>
      <c r="V1577" t="s">
        <v>56959</v>
      </c>
      <c r="W1577" t="s">
        <v>58603</v>
      </c>
      <c r="X1577" t="s">
        <v>43171</v>
      </c>
    </row>
    <row r="1578" spans="1:24">
      <c r="A1578">
        <f>HYPERLINK("https://www.philgeps.gov.ph/GEPSNONPILOT/Tender/SplashBidNoticeAbstractUI.aspx?menuIndex=3&amp;refID=7084628&amp;Result=3","7084628")</f>
        <v>0</v>
      </c>
      <c r="B1578" t="s">
        <v>666</v>
      </c>
      <c r="C1578" t="s">
        <v>4937</v>
      </c>
      <c r="D1578" t="s">
        <v>17448</v>
      </c>
      <c r="E1578" t="s">
        <v>18876</v>
      </c>
      <c r="F1578" t="s">
        <v>30052</v>
      </c>
      <c r="G1578" t="s">
        <v>30061</v>
      </c>
      <c r="H1578" t="s">
        <v>15498</v>
      </c>
      <c r="I1578" t="s">
        <v>30097</v>
      </c>
      <c r="J1578" t="s">
        <v>30207</v>
      </c>
      <c r="K1578" t="s">
        <v>39039</v>
      </c>
      <c r="M1578" t="s">
        <v>39972</v>
      </c>
      <c r="N1578" t="s">
        <v>43166</v>
      </c>
      <c r="O1578" t="s">
        <v>43167</v>
      </c>
      <c r="P1578">
        <v>0</v>
      </c>
      <c r="Q1578">
        <v>7</v>
      </c>
      <c r="R1578" t="s">
        <v>43170</v>
      </c>
      <c r="S1578" t="s">
        <v>43297</v>
      </c>
      <c r="T1578" t="s">
        <v>44714</v>
      </c>
      <c r="U1578" t="s">
        <v>46478</v>
      </c>
      <c r="W1578" t="s">
        <v>39972</v>
      </c>
      <c r="X1578" t="s">
        <v>43171</v>
      </c>
    </row>
    <row r="1579" spans="1:24">
      <c r="A1579">
        <f>HYPERLINK("https://www.philgeps.gov.ph/GEPSNONPILOT/Tender/SplashBidNoticeAbstractUI.aspx?menuIndex=3&amp;refID=7084594&amp;Result=3","7084594")</f>
        <v>0</v>
      </c>
      <c r="B1579" t="s">
        <v>534</v>
      </c>
      <c r="C1579" t="s">
        <v>4938</v>
      </c>
      <c r="D1579" t="s">
        <v>17467</v>
      </c>
      <c r="E1579" t="s">
        <v>18877</v>
      </c>
      <c r="F1579" t="s">
        <v>30052</v>
      </c>
      <c r="G1579" t="s">
        <v>30058</v>
      </c>
      <c r="H1579" t="s">
        <v>30067</v>
      </c>
      <c r="I1579" t="s">
        <v>3693</v>
      </c>
      <c r="J1579" t="s">
        <v>31331</v>
      </c>
      <c r="K1579" t="s">
        <v>39086</v>
      </c>
      <c r="M1579" t="s">
        <v>39836</v>
      </c>
      <c r="N1579" t="s">
        <v>43166</v>
      </c>
      <c r="O1579" t="s">
        <v>43167</v>
      </c>
      <c r="P1579">
        <v>0</v>
      </c>
      <c r="Q1579">
        <v>0</v>
      </c>
      <c r="R1579" t="s">
        <v>43170</v>
      </c>
      <c r="S1579" t="s">
        <v>43297</v>
      </c>
      <c r="T1579" t="s">
        <v>44842</v>
      </c>
      <c r="U1579" t="s">
        <v>46479</v>
      </c>
      <c r="W1579" t="s">
        <v>39836</v>
      </c>
      <c r="X1579" t="s">
        <v>43171</v>
      </c>
    </row>
    <row r="1580" spans="1:24">
      <c r="A1580">
        <f>HYPERLINK("https://www.philgeps.gov.ph/GEPSNONPILOT/Tender/SplashBidNoticeAbstractUI.aspx?menuIndex=3&amp;refID=7084625&amp;Result=3","7084625")</f>
        <v>0</v>
      </c>
      <c r="B1580" t="s">
        <v>667</v>
      </c>
      <c r="C1580" t="s">
        <v>4939</v>
      </c>
      <c r="E1580" t="s">
        <v>18878</v>
      </c>
      <c r="F1580" t="s">
        <v>30052</v>
      </c>
      <c r="G1580" t="s">
        <v>30059</v>
      </c>
      <c r="H1580" t="s">
        <v>15498</v>
      </c>
      <c r="I1580" t="s">
        <v>6691</v>
      </c>
      <c r="J1580" t="s">
        <v>31332</v>
      </c>
      <c r="K1580" t="s">
        <v>39025</v>
      </c>
      <c r="M1580" t="s">
        <v>39973</v>
      </c>
      <c r="N1580" t="s">
        <v>43166</v>
      </c>
      <c r="O1580" t="s">
        <v>43167</v>
      </c>
      <c r="P1580">
        <v>0</v>
      </c>
      <c r="Q1580">
        <v>5</v>
      </c>
      <c r="R1580" t="s">
        <v>43170</v>
      </c>
      <c r="S1580" t="s">
        <v>43297</v>
      </c>
      <c r="T1580" t="s">
        <v>44862</v>
      </c>
      <c r="U1580" t="s">
        <v>46480</v>
      </c>
      <c r="W1580" t="s">
        <v>39973</v>
      </c>
      <c r="X1580" t="s">
        <v>43171</v>
      </c>
    </row>
    <row r="1581" spans="1:24">
      <c r="A1581">
        <f>HYPERLINK("https://www.philgeps.gov.ph/GEPSNONPILOT/Tender/SplashBidNoticeAbstractUI.aspx?menuIndex=3&amp;refID=7084624&amp;Result=3","7084624")</f>
        <v>0</v>
      </c>
      <c r="B1581" t="s">
        <v>668</v>
      </c>
      <c r="C1581" t="s">
        <v>4940</v>
      </c>
      <c r="D1581" t="s">
        <v>17415</v>
      </c>
      <c r="E1581" t="s">
        <v>18879</v>
      </c>
      <c r="F1581" t="s">
        <v>30052</v>
      </c>
      <c r="G1581" t="s">
        <v>30059</v>
      </c>
      <c r="H1581" t="s">
        <v>15498</v>
      </c>
      <c r="I1581" t="s">
        <v>30082</v>
      </c>
      <c r="J1581" t="s">
        <v>30256</v>
      </c>
      <c r="K1581" t="s">
        <v>39017</v>
      </c>
      <c r="M1581" t="s">
        <v>39974</v>
      </c>
      <c r="N1581" t="s">
        <v>43166</v>
      </c>
      <c r="O1581" t="s">
        <v>43167</v>
      </c>
      <c r="P1581">
        <v>0</v>
      </c>
      <c r="Q1581">
        <v>2</v>
      </c>
      <c r="R1581" t="s">
        <v>43170</v>
      </c>
      <c r="S1581" t="s">
        <v>43297</v>
      </c>
      <c r="T1581" t="s">
        <v>44773</v>
      </c>
      <c r="U1581" t="s">
        <v>46481</v>
      </c>
      <c r="W1581" t="s">
        <v>39974</v>
      </c>
      <c r="X1581" t="s">
        <v>43171</v>
      </c>
    </row>
    <row r="1582" spans="1:24">
      <c r="A1582">
        <f>HYPERLINK("https://www.philgeps.gov.ph/GEPSNONPILOT/Tender/SplashBidNoticeAbstractUI.aspx?menuIndex=3&amp;refID=7084617&amp;Result=3","7084617")</f>
        <v>0</v>
      </c>
      <c r="B1582" t="s">
        <v>669</v>
      </c>
      <c r="C1582" t="s">
        <v>4941</v>
      </c>
      <c r="D1582" t="s">
        <v>17415</v>
      </c>
      <c r="E1582" t="s">
        <v>18880</v>
      </c>
      <c r="F1582" t="s">
        <v>30052</v>
      </c>
      <c r="G1582" t="s">
        <v>30059</v>
      </c>
      <c r="H1582" t="s">
        <v>15498</v>
      </c>
      <c r="I1582" t="s">
        <v>3852</v>
      </c>
      <c r="J1582" t="s">
        <v>31333</v>
      </c>
      <c r="K1582" t="s">
        <v>39017</v>
      </c>
      <c r="M1582" t="s">
        <v>39975</v>
      </c>
      <c r="N1582" t="s">
        <v>43166</v>
      </c>
      <c r="O1582" t="s">
        <v>43167</v>
      </c>
      <c r="P1582">
        <v>0</v>
      </c>
      <c r="Q1582">
        <v>3</v>
      </c>
      <c r="R1582" t="s">
        <v>43170</v>
      </c>
      <c r="S1582" t="s">
        <v>43297</v>
      </c>
      <c r="T1582" t="s">
        <v>44816</v>
      </c>
      <c r="U1582" t="s">
        <v>46482</v>
      </c>
      <c r="W1582" t="s">
        <v>39975</v>
      </c>
      <c r="X1582" t="s">
        <v>43171</v>
      </c>
    </row>
    <row r="1583" spans="1:24">
      <c r="A1583">
        <f>HYPERLINK("https://www.philgeps.gov.ph/GEPSNONPILOT/Tender/SplashBidNoticeAbstractUI.aspx?menuIndex=3&amp;refID=7084596&amp;Result=3","7084596")</f>
        <v>0</v>
      </c>
      <c r="B1583" t="s">
        <v>670</v>
      </c>
      <c r="C1583" t="s">
        <v>4942</v>
      </c>
      <c r="D1583" t="s">
        <v>17446</v>
      </c>
      <c r="E1583" t="s">
        <v>18881</v>
      </c>
      <c r="F1583" t="s">
        <v>30052</v>
      </c>
      <c r="G1583" t="s">
        <v>30058</v>
      </c>
      <c r="H1583" t="s">
        <v>15498</v>
      </c>
      <c r="I1583" t="s">
        <v>30096</v>
      </c>
      <c r="J1583" t="s">
        <v>31334</v>
      </c>
      <c r="K1583" t="s">
        <v>39025</v>
      </c>
      <c r="M1583" t="s">
        <v>39976</v>
      </c>
      <c r="N1583" t="s">
        <v>43166</v>
      </c>
      <c r="O1583" t="s">
        <v>43167</v>
      </c>
      <c r="P1583">
        <v>0</v>
      </c>
      <c r="Q1583">
        <v>6</v>
      </c>
      <c r="R1583" t="s">
        <v>43170</v>
      </c>
      <c r="S1583" t="s">
        <v>43297</v>
      </c>
      <c r="T1583" t="s">
        <v>44794</v>
      </c>
      <c r="U1583" t="s">
        <v>46483</v>
      </c>
      <c r="W1583" t="s">
        <v>42821</v>
      </c>
      <c r="X1583" t="s">
        <v>43171</v>
      </c>
    </row>
    <row r="1584" spans="1:24">
      <c r="A1584">
        <f>HYPERLINK("https://www.philgeps.gov.ph/GEPSNONPILOT/Tender/SplashBidNoticeAbstractUI.aspx?menuIndex=3&amp;refID=7084616&amp;Result=3","7084616")</f>
        <v>0</v>
      </c>
      <c r="B1584" t="s">
        <v>671</v>
      </c>
      <c r="C1584" t="s">
        <v>4943</v>
      </c>
      <c r="E1584" t="s">
        <v>18882</v>
      </c>
      <c r="F1584" t="s">
        <v>30052</v>
      </c>
      <c r="G1584" t="s">
        <v>30059</v>
      </c>
      <c r="H1584" t="s">
        <v>15498</v>
      </c>
      <c r="I1584" t="s">
        <v>30077</v>
      </c>
      <c r="J1584" t="s">
        <v>31335</v>
      </c>
      <c r="K1584" t="s">
        <v>39025</v>
      </c>
      <c r="M1584" t="s">
        <v>39977</v>
      </c>
      <c r="N1584" t="s">
        <v>43166</v>
      </c>
      <c r="O1584" t="s">
        <v>43167</v>
      </c>
      <c r="P1584">
        <v>0</v>
      </c>
      <c r="Q1584">
        <v>5</v>
      </c>
      <c r="R1584" t="s">
        <v>43170</v>
      </c>
      <c r="S1584" t="s">
        <v>43297</v>
      </c>
      <c r="T1584" t="s">
        <v>44717</v>
      </c>
      <c r="U1584" t="s">
        <v>46484</v>
      </c>
      <c r="W1584" t="s">
        <v>39977</v>
      </c>
      <c r="X1584" t="s">
        <v>43171</v>
      </c>
    </row>
    <row r="1585" spans="1:24">
      <c r="A1585">
        <f>HYPERLINK("https://www.philgeps.gov.ph/GEPSNONPILOT/Tender/SplashBidNoticeAbstractUI.aspx?menuIndex=3&amp;refID=7084304&amp;Result=3","7084304")</f>
        <v>0</v>
      </c>
      <c r="B1585" t="s">
        <v>672</v>
      </c>
      <c r="C1585" t="s">
        <v>4944</v>
      </c>
      <c r="D1585" t="s">
        <v>17418</v>
      </c>
      <c r="E1585" t="s">
        <v>18883</v>
      </c>
      <c r="F1585" t="s">
        <v>30052</v>
      </c>
      <c r="G1585" t="s">
        <v>30059</v>
      </c>
      <c r="H1585" t="s">
        <v>15498</v>
      </c>
      <c r="I1585" t="s">
        <v>3852</v>
      </c>
      <c r="J1585" t="s">
        <v>31336</v>
      </c>
      <c r="K1585" t="s">
        <v>39064</v>
      </c>
      <c r="M1585" t="s">
        <v>39978</v>
      </c>
      <c r="N1585" t="s">
        <v>43166</v>
      </c>
      <c r="O1585" t="s">
        <v>43167</v>
      </c>
      <c r="P1585">
        <v>0</v>
      </c>
      <c r="Q1585">
        <v>2</v>
      </c>
      <c r="R1585" t="s">
        <v>43170</v>
      </c>
      <c r="S1585" t="s">
        <v>43297</v>
      </c>
      <c r="T1585" t="s">
        <v>44872</v>
      </c>
      <c r="U1585" t="s">
        <v>46485</v>
      </c>
      <c r="W1585" t="s">
        <v>39978</v>
      </c>
      <c r="X1585" t="s">
        <v>43172</v>
      </c>
    </row>
    <row r="1586" spans="1:24">
      <c r="A1586">
        <f>HYPERLINK("https://www.philgeps.gov.ph/GEPSNONPILOT/Tender/SplashBidNoticeAbstractUI.aspx?menuIndex=3&amp;refID=7084613&amp;Result=3","7084613")</f>
        <v>0</v>
      </c>
      <c r="B1586" t="s">
        <v>673</v>
      </c>
      <c r="C1586" t="s">
        <v>4945</v>
      </c>
      <c r="D1586" t="s">
        <v>17432</v>
      </c>
      <c r="E1586" t="s">
        <v>18884</v>
      </c>
      <c r="F1586" t="s">
        <v>30052</v>
      </c>
      <c r="G1586" t="s">
        <v>30061</v>
      </c>
      <c r="H1586" t="s">
        <v>15498</v>
      </c>
      <c r="I1586" t="s">
        <v>30085</v>
      </c>
      <c r="J1586" t="s">
        <v>30207</v>
      </c>
      <c r="K1586" t="s">
        <v>39018</v>
      </c>
      <c r="M1586" t="s">
        <v>39979</v>
      </c>
      <c r="N1586" t="s">
        <v>43166</v>
      </c>
      <c r="O1586" t="s">
        <v>43167</v>
      </c>
      <c r="P1586">
        <v>0</v>
      </c>
      <c r="Q1586">
        <v>0</v>
      </c>
      <c r="R1586" t="s">
        <v>43170</v>
      </c>
      <c r="S1586" t="s">
        <v>43297</v>
      </c>
      <c r="T1586" t="s">
        <v>44679</v>
      </c>
      <c r="U1586" t="s">
        <v>46486</v>
      </c>
      <c r="W1586" t="s">
        <v>39979</v>
      </c>
      <c r="X1586" t="s">
        <v>43171</v>
      </c>
    </row>
    <row r="1587" spans="1:24">
      <c r="A1587">
        <f>HYPERLINK("https://www.philgeps.gov.ph/GEPSNONPILOT/Tender/SplashBidNoticeAbstractUI.aspx?menuIndex=3&amp;refID=7084627&amp;Result=3","7084627")</f>
        <v>0</v>
      </c>
      <c r="B1587" t="s">
        <v>674</v>
      </c>
      <c r="C1587" t="s">
        <v>4946</v>
      </c>
      <c r="D1587" t="s">
        <v>17422</v>
      </c>
      <c r="E1587" t="s">
        <v>18885</v>
      </c>
      <c r="F1587" t="s">
        <v>30052</v>
      </c>
      <c r="G1587" t="s">
        <v>30058</v>
      </c>
      <c r="H1587" t="s">
        <v>15498</v>
      </c>
      <c r="I1587" t="s">
        <v>3736</v>
      </c>
      <c r="J1587" t="s">
        <v>31337</v>
      </c>
      <c r="K1587" t="s">
        <v>39019</v>
      </c>
      <c r="M1587" t="s">
        <v>39980</v>
      </c>
      <c r="N1587" t="s">
        <v>43166</v>
      </c>
      <c r="O1587" t="s">
        <v>43167</v>
      </c>
      <c r="P1587">
        <v>0</v>
      </c>
      <c r="Q1587">
        <v>1</v>
      </c>
      <c r="R1587" t="s">
        <v>43170</v>
      </c>
      <c r="S1587" t="s">
        <v>43297</v>
      </c>
      <c r="T1587" t="s">
        <v>44869</v>
      </c>
      <c r="U1587" t="s">
        <v>46487</v>
      </c>
      <c r="W1587" t="s">
        <v>39980</v>
      </c>
      <c r="X1587" t="s">
        <v>43171</v>
      </c>
    </row>
    <row r="1588" spans="1:24">
      <c r="A1588">
        <f>HYPERLINK("https://www.philgeps.gov.ph/GEPSNONPILOT/Tender/SplashBidNoticeAbstractUI.aspx?menuIndex=3&amp;refID=7084610&amp;Result=3","7084610")</f>
        <v>0</v>
      </c>
      <c r="B1588" t="s">
        <v>675</v>
      </c>
      <c r="C1588" t="s">
        <v>4947</v>
      </c>
      <c r="E1588" t="s">
        <v>18034</v>
      </c>
      <c r="F1588" t="s">
        <v>30057</v>
      </c>
      <c r="G1588" t="s">
        <v>30058</v>
      </c>
      <c r="H1588" t="s">
        <v>30067</v>
      </c>
      <c r="I1588" t="s">
        <v>3693</v>
      </c>
      <c r="J1588" t="s">
        <v>30594</v>
      </c>
      <c r="K1588" t="s">
        <v>39025</v>
      </c>
      <c r="M1588" t="s">
        <v>39981</v>
      </c>
      <c r="N1588" t="s">
        <v>43166</v>
      </c>
      <c r="O1588" t="s">
        <v>43167</v>
      </c>
      <c r="P1588">
        <v>0</v>
      </c>
      <c r="Q1588">
        <v>0</v>
      </c>
      <c r="R1588" t="s">
        <v>43170</v>
      </c>
      <c r="S1588" t="s">
        <v>43297</v>
      </c>
      <c r="T1588" t="s">
        <v>44873</v>
      </c>
      <c r="U1588" t="s">
        <v>46488</v>
      </c>
      <c r="W1588" t="s">
        <v>39981</v>
      </c>
      <c r="X1588" t="s">
        <v>43171</v>
      </c>
    </row>
    <row r="1589" spans="1:24">
      <c r="A1589">
        <f>HYPERLINK("https://www.philgeps.gov.ph/GEPSNONPILOT/Tender/SplashBidNoticeAbstractUI.aspx?menuIndex=3&amp;refID=7084535&amp;Result=3","7084535")</f>
        <v>0</v>
      </c>
      <c r="B1589" t="s">
        <v>676</v>
      </c>
      <c r="C1589" t="s">
        <v>4948</v>
      </c>
      <c r="D1589" t="s">
        <v>17415</v>
      </c>
      <c r="E1589" t="s">
        <v>18886</v>
      </c>
      <c r="F1589" t="s">
        <v>30052</v>
      </c>
      <c r="G1589" t="s">
        <v>30059</v>
      </c>
      <c r="H1589" t="s">
        <v>15498</v>
      </c>
      <c r="I1589" t="s">
        <v>30084</v>
      </c>
      <c r="J1589" t="s">
        <v>30277</v>
      </c>
      <c r="K1589" t="s">
        <v>39046</v>
      </c>
      <c r="M1589" t="s">
        <v>39982</v>
      </c>
      <c r="N1589" t="s">
        <v>43166</v>
      </c>
      <c r="O1589" t="s">
        <v>43167</v>
      </c>
      <c r="P1589">
        <v>0</v>
      </c>
      <c r="Q1589">
        <v>8</v>
      </c>
      <c r="R1589" t="s">
        <v>43170</v>
      </c>
      <c r="S1589" t="s">
        <v>43297</v>
      </c>
      <c r="T1589" t="s">
        <v>44840</v>
      </c>
      <c r="U1589" t="s">
        <v>46489</v>
      </c>
      <c r="W1589" t="s">
        <v>39982</v>
      </c>
      <c r="X1589" t="s">
        <v>43172</v>
      </c>
    </row>
    <row r="1590" spans="1:24">
      <c r="A1590">
        <f>HYPERLINK("https://www.philgeps.gov.ph/GEPSNONPILOT/Tender/SplashBidNoticeAbstractUI.aspx?menuIndex=3&amp;refID=7084603&amp;Result=3","7084603")</f>
        <v>0</v>
      </c>
      <c r="B1590" t="s">
        <v>675</v>
      </c>
      <c r="C1590" t="s">
        <v>4949</v>
      </c>
      <c r="E1590" t="s">
        <v>17719</v>
      </c>
      <c r="F1590" t="s">
        <v>30052</v>
      </c>
      <c r="G1590" t="s">
        <v>30058</v>
      </c>
      <c r="H1590" t="s">
        <v>15498</v>
      </c>
      <c r="I1590" t="s">
        <v>30106</v>
      </c>
      <c r="J1590" t="s">
        <v>30594</v>
      </c>
      <c r="K1590" t="s">
        <v>39025</v>
      </c>
      <c r="M1590" t="s">
        <v>39981</v>
      </c>
      <c r="N1590" t="s">
        <v>43166</v>
      </c>
      <c r="O1590" t="s">
        <v>43167</v>
      </c>
      <c r="P1590">
        <v>0</v>
      </c>
      <c r="Q1590">
        <v>0</v>
      </c>
      <c r="R1590" t="s">
        <v>43170</v>
      </c>
      <c r="S1590" t="s">
        <v>43297</v>
      </c>
      <c r="T1590" t="s">
        <v>44724</v>
      </c>
      <c r="U1590" t="s">
        <v>46490</v>
      </c>
      <c r="W1590" t="s">
        <v>39981</v>
      </c>
      <c r="X1590" t="s">
        <v>43171</v>
      </c>
    </row>
    <row r="1591" spans="1:24">
      <c r="A1591">
        <f>HYPERLINK("https://www.philgeps.gov.ph/GEPSNONPILOT/Tender/SplashBidNoticeAbstractUI.aspx?menuIndex=3&amp;refID=7084621&amp;Result=3","7084621")</f>
        <v>0</v>
      </c>
      <c r="B1591" t="s">
        <v>677</v>
      </c>
      <c r="C1591" t="s">
        <v>4950</v>
      </c>
      <c r="D1591" t="s">
        <v>17415</v>
      </c>
      <c r="E1591" t="s">
        <v>18887</v>
      </c>
      <c r="F1591" t="s">
        <v>30052</v>
      </c>
      <c r="G1591" t="s">
        <v>30059</v>
      </c>
      <c r="H1591" t="s">
        <v>15498</v>
      </c>
      <c r="I1591" t="s">
        <v>30077</v>
      </c>
      <c r="J1591" t="s">
        <v>30248</v>
      </c>
      <c r="K1591" t="s">
        <v>39017</v>
      </c>
      <c r="M1591" t="s">
        <v>39983</v>
      </c>
      <c r="N1591" t="s">
        <v>43166</v>
      </c>
      <c r="O1591" t="s">
        <v>43167</v>
      </c>
      <c r="P1591">
        <v>0</v>
      </c>
      <c r="Q1591">
        <v>9</v>
      </c>
      <c r="R1591" t="s">
        <v>43170</v>
      </c>
      <c r="S1591" t="s">
        <v>43297</v>
      </c>
      <c r="T1591" t="s">
        <v>44806</v>
      </c>
      <c r="U1591" t="s">
        <v>46491</v>
      </c>
      <c r="W1591" t="s">
        <v>58607</v>
      </c>
      <c r="X1591" t="s">
        <v>43171</v>
      </c>
    </row>
    <row r="1592" spans="1:24">
      <c r="A1592">
        <f>HYPERLINK("https://www.philgeps.gov.ph/GEPSNONPILOT/Tender/SplashBidNoticeAbstractUI.aspx?menuIndex=3&amp;refID=7084555&amp;Result=3","7084555")</f>
        <v>0</v>
      </c>
      <c r="B1592" t="s">
        <v>664</v>
      </c>
      <c r="C1592" t="s">
        <v>4951</v>
      </c>
      <c r="D1592" t="s">
        <v>17466</v>
      </c>
      <c r="E1592" t="s">
        <v>17979</v>
      </c>
      <c r="F1592" t="s">
        <v>30052</v>
      </c>
      <c r="G1592" t="s">
        <v>30059</v>
      </c>
      <c r="H1592" t="s">
        <v>15498</v>
      </c>
      <c r="I1592" t="s">
        <v>30091</v>
      </c>
      <c r="J1592" t="s">
        <v>31338</v>
      </c>
      <c r="K1592" t="s">
        <v>39018</v>
      </c>
      <c r="L1592" t="s">
        <v>664</v>
      </c>
      <c r="M1592" t="s">
        <v>39970</v>
      </c>
      <c r="N1592" t="s">
        <v>43166</v>
      </c>
      <c r="O1592" t="s">
        <v>43167</v>
      </c>
      <c r="P1592">
        <v>0</v>
      </c>
      <c r="Q1592">
        <v>0</v>
      </c>
      <c r="R1592" t="s">
        <v>43170</v>
      </c>
      <c r="S1592" t="s">
        <v>43297</v>
      </c>
      <c r="T1592" t="s">
        <v>44870</v>
      </c>
      <c r="U1592" t="s">
        <v>46492</v>
      </c>
      <c r="V1592" t="s">
        <v>57000</v>
      </c>
      <c r="W1592" t="s">
        <v>39970</v>
      </c>
      <c r="X1592" t="s">
        <v>43172</v>
      </c>
    </row>
    <row r="1593" spans="1:24">
      <c r="A1593">
        <f>HYPERLINK("https://www.philgeps.gov.ph/GEPSNONPILOT/Tender/SplashBidNoticeAbstractUI.aspx?menuIndex=3&amp;refID=7084659&amp;Result=3","7084659")</f>
        <v>0</v>
      </c>
      <c r="B1593" t="s">
        <v>678</v>
      </c>
      <c r="C1593" t="s">
        <v>4952</v>
      </c>
      <c r="D1593" t="s">
        <v>17432</v>
      </c>
      <c r="E1593" t="s">
        <v>18888</v>
      </c>
      <c r="F1593" t="s">
        <v>30052</v>
      </c>
      <c r="G1593" t="s">
        <v>30058</v>
      </c>
      <c r="H1593" t="s">
        <v>30067</v>
      </c>
      <c r="I1593" t="s">
        <v>3693</v>
      </c>
      <c r="J1593" t="s">
        <v>31339</v>
      </c>
      <c r="K1593" t="s">
        <v>39087</v>
      </c>
      <c r="M1593" t="s">
        <v>39984</v>
      </c>
      <c r="N1593" t="s">
        <v>43166</v>
      </c>
      <c r="O1593" t="s">
        <v>43167</v>
      </c>
      <c r="P1593">
        <v>0</v>
      </c>
      <c r="Q1593">
        <v>0</v>
      </c>
      <c r="R1593" t="s">
        <v>43170</v>
      </c>
      <c r="S1593" t="s">
        <v>43297</v>
      </c>
      <c r="T1593" t="s">
        <v>44842</v>
      </c>
      <c r="U1593" t="s">
        <v>46493</v>
      </c>
      <c r="W1593" t="s">
        <v>39984</v>
      </c>
      <c r="X1593" t="s">
        <v>43171</v>
      </c>
    </row>
    <row r="1594" spans="1:24">
      <c r="A1594">
        <f>HYPERLINK("https://www.philgeps.gov.ph/GEPSNONPILOT/Tender/SplashBidNoticeAbstractUI.aspx?menuIndex=3&amp;refID=7084591&amp;Result=3","7084591")</f>
        <v>0</v>
      </c>
      <c r="B1594" t="s">
        <v>656</v>
      </c>
      <c r="C1594" t="s">
        <v>4953</v>
      </c>
      <c r="D1594" t="s">
        <v>17465</v>
      </c>
      <c r="E1594" t="s">
        <v>18889</v>
      </c>
      <c r="F1594" t="s">
        <v>30052</v>
      </c>
      <c r="G1594" t="s">
        <v>30062</v>
      </c>
      <c r="H1594" t="s">
        <v>15498</v>
      </c>
      <c r="I1594" t="s">
        <v>4119</v>
      </c>
      <c r="J1594" t="s">
        <v>31340</v>
      </c>
      <c r="K1594" t="s">
        <v>39018</v>
      </c>
      <c r="M1594" t="s">
        <v>39961</v>
      </c>
      <c r="N1594" t="s">
        <v>43166</v>
      </c>
      <c r="O1594" t="s">
        <v>43167</v>
      </c>
      <c r="P1594">
        <v>0</v>
      </c>
      <c r="Q1594">
        <v>4</v>
      </c>
      <c r="R1594" t="s">
        <v>43170</v>
      </c>
      <c r="S1594" t="s">
        <v>43297</v>
      </c>
      <c r="T1594" t="s">
        <v>44734</v>
      </c>
      <c r="U1594" t="s">
        <v>46466</v>
      </c>
      <c r="W1594" t="s">
        <v>39961</v>
      </c>
      <c r="X1594" t="s">
        <v>43171</v>
      </c>
    </row>
    <row r="1595" spans="1:24">
      <c r="A1595">
        <f>HYPERLINK("https://www.philgeps.gov.ph/GEPSNONPILOT/Tender/SplashBidNoticeAbstractUI.aspx?menuIndex=3&amp;refID=7084612&amp;Result=3","7084612")</f>
        <v>0</v>
      </c>
      <c r="B1595" t="s">
        <v>671</v>
      </c>
      <c r="C1595" t="s">
        <v>4954</v>
      </c>
      <c r="E1595" t="s">
        <v>18890</v>
      </c>
      <c r="F1595" t="s">
        <v>30052</v>
      </c>
      <c r="G1595" t="s">
        <v>30059</v>
      </c>
      <c r="H1595" t="s">
        <v>15498</v>
      </c>
      <c r="I1595" t="s">
        <v>30081</v>
      </c>
      <c r="J1595" t="s">
        <v>31341</v>
      </c>
      <c r="K1595" t="s">
        <v>39025</v>
      </c>
      <c r="M1595" t="s">
        <v>39977</v>
      </c>
      <c r="N1595" t="s">
        <v>43166</v>
      </c>
      <c r="O1595" t="s">
        <v>43167</v>
      </c>
      <c r="P1595">
        <v>0</v>
      </c>
      <c r="Q1595">
        <v>0</v>
      </c>
      <c r="R1595" t="s">
        <v>43170</v>
      </c>
      <c r="S1595" t="s">
        <v>43297</v>
      </c>
      <c r="T1595" t="s">
        <v>44717</v>
      </c>
      <c r="U1595" t="s">
        <v>46494</v>
      </c>
      <c r="W1595" t="s">
        <v>39977</v>
      </c>
      <c r="X1595" t="s">
        <v>43171</v>
      </c>
    </row>
    <row r="1596" spans="1:24">
      <c r="A1596">
        <f>HYPERLINK("https://www.philgeps.gov.ph/GEPSNONPILOT/Tender/SplashBidNoticeAbstractUI.aspx?menuIndex=3&amp;refID=7084656&amp;Result=3","7084656")</f>
        <v>0</v>
      </c>
      <c r="B1596" t="s">
        <v>679</v>
      </c>
      <c r="C1596" t="s">
        <v>4955</v>
      </c>
      <c r="D1596" t="s">
        <v>17419</v>
      </c>
      <c r="E1596" t="s">
        <v>18891</v>
      </c>
      <c r="F1596" t="s">
        <v>30052</v>
      </c>
      <c r="G1596" t="s">
        <v>30059</v>
      </c>
      <c r="H1596" t="s">
        <v>15498</v>
      </c>
      <c r="I1596" t="s">
        <v>30098</v>
      </c>
      <c r="J1596" t="s">
        <v>30903</v>
      </c>
      <c r="K1596" t="s">
        <v>39017</v>
      </c>
      <c r="M1596" t="s">
        <v>39985</v>
      </c>
      <c r="N1596" t="s">
        <v>43166</v>
      </c>
      <c r="O1596" t="s">
        <v>43167</v>
      </c>
      <c r="P1596">
        <v>0</v>
      </c>
      <c r="Q1596">
        <v>0</v>
      </c>
      <c r="R1596" t="s">
        <v>43170</v>
      </c>
      <c r="S1596" t="s">
        <v>43297</v>
      </c>
      <c r="T1596" t="s">
        <v>44717</v>
      </c>
      <c r="U1596" t="s">
        <v>46495</v>
      </c>
      <c r="W1596" t="s">
        <v>39985</v>
      </c>
      <c r="X1596" t="s">
        <v>43171</v>
      </c>
    </row>
    <row r="1597" spans="1:24">
      <c r="A1597">
        <f>HYPERLINK("https://www.philgeps.gov.ph/GEPSNONPILOT/Tender/SplashBidNoticeAbstractUI.aspx?menuIndex=3&amp;refID=7084608&amp;Result=3","7084608")</f>
        <v>0</v>
      </c>
      <c r="B1597" t="s">
        <v>675</v>
      </c>
      <c r="C1597" t="s">
        <v>4956</v>
      </c>
      <c r="E1597" t="s">
        <v>17602</v>
      </c>
      <c r="F1597" t="s">
        <v>30052</v>
      </c>
      <c r="G1597" t="s">
        <v>30058</v>
      </c>
      <c r="H1597" t="s">
        <v>30067</v>
      </c>
      <c r="I1597" t="s">
        <v>3693</v>
      </c>
      <c r="J1597" t="s">
        <v>30402</v>
      </c>
      <c r="K1597" t="s">
        <v>39025</v>
      </c>
      <c r="M1597" t="s">
        <v>39981</v>
      </c>
      <c r="N1597" t="s">
        <v>43166</v>
      </c>
      <c r="O1597" t="s">
        <v>43167</v>
      </c>
      <c r="P1597">
        <v>0</v>
      </c>
      <c r="Q1597">
        <v>0</v>
      </c>
      <c r="R1597" t="s">
        <v>43170</v>
      </c>
      <c r="S1597" t="s">
        <v>43297</v>
      </c>
      <c r="T1597" t="s">
        <v>44724</v>
      </c>
      <c r="U1597" t="s">
        <v>46496</v>
      </c>
      <c r="W1597" t="s">
        <v>39981</v>
      </c>
      <c r="X1597" t="s">
        <v>43171</v>
      </c>
    </row>
    <row r="1598" spans="1:24">
      <c r="A1598">
        <f>HYPERLINK("https://www.philgeps.gov.ph/GEPSNONPILOT/Tender/SplashBidNoticeAbstractUI.aspx?menuIndex=3&amp;refID=7084652&amp;Result=3","7084652")</f>
        <v>0</v>
      </c>
      <c r="B1598" t="s">
        <v>529</v>
      </c>
      <c r="C1598" t="s">
        <v>4615</v>
      </c>
      <c r="D1598" t="s">
        <v>17474</v>
      </c>
      <c r="E1598" t="s">
        <v>18892</v>
      </c>
      <c r="F1598" t="s">
        <v>30052</v>
      </c>
      <c r="G1598" t="s">
        <v>30058</v>
      </c>
      <c r="H1598" t="s">
        <v>15498</v>
      </c>
      <c r="I1598" t="s">
        <v>30094</v>
      </c>
      <c r="J1598" t="s">
        <v>31342</v>
      </c>
      <c r="K1598" t="s">
        <v>39034</v>
      </c>
      <c r="M1598" t="s">
        <v>39831</v>
      </c>
      <c r="N1598" t="s">
        <v>43166</v>
      </c>
      <c r="O1598" t="s">
        <v>43167</v>
      </c>
      <c r="P1598">
        <v>0</v>
      </c>
      <c r="Q1598">
        <v>0</v>
      </c>
      <c r="R1598" t="s">
        <v>43170</v>
      </c>
      <c r="S1598" t="s">
        <v>43297</v>
      </c>
      <c r="T1598" t="s">
        <v>44704</v>
      </c>
      <c r="U1598" t="s">
        <v>46497</v>
      </c>
      <c r="V1598" t="s">
        <v>57001</v>
      </c>
      <c r="W1598" t="s">
        <v>39831</v>
      </c>
      <c r="X1598" t="s">
        <v>43171</v>
      </c>
    </row>
    <row r="1599" spans="1:24">
      <c r="A1599">
        <f>HYPERLINK("https://www.philgeps.gov.ph/GEPSNONPILOT/Tender/SplashBidNoticeAbstractUI.aspx?menuIndex=3&amp;refID=7084650&amp;Result=3","7084650")</f>
        <v>0</v>
      </c>
      <c r="B1599" t="s">
        <v>678</v>
      </c>
      <c r="C1599" t="s">
        <v>4957</v>
      </c>
      <c r="D1599" t="s">
        <v>17432</v>
      </c>
      <c r="E1599" t="s">
        <v>18893</v>
      </c>
      <c r="F1599" t="s">
        <v>30052</v>
      </c>
      <c r="G1599" t="s">
        <v>30058</v>
      </c>
      <c r="H1599" t="s">
        <v>30067</v>
      </c>
      <c r="I1599" t="s">
        <v>3693</v>
      </c>
      <c r="J1599" t="s">
        <v>31343</v>
      </c>
      <c r="K1599" t="s">
        <v>39088</v>
      </c>
      <c r="M1599" t="s">
        <v>39984</v>
      </c>
      <c r="N1599" t="s">
        <v>43166</v>
      </c>
      <c r="O1599" t="s">
        <v>43167</v>
      </c>
      <c r="P1599">
        <v>0</v>
      </c>
      <c r="Q1599">
        <v>0</v>
      </c>
      <c r="R1599" t="s">
        <v>43170</v>
      </c>
      <c r="S1599" t="s">
        <v>43297</v>
      </c>
      <c r="T1599" t="s">
        <v>44874</v>
      </c>
      <c r="U1599" t="s">
        <v>46493</v>
      </c>
      <c r="W1599" t="s">
        <v>39984</v>
      </c>
      <c r="X1599" t="s">
        <v>43171</v>
      </c>
    </row>
    <row r="1600" spans="1:24">
      <c r="A1600">
        <f>HYPERLINK("https://www.philgeps.gov.ph/GEPSNONPILOT/Tender/SplashBidNoticeAbstractUI.aspx?menuIndex=3&amp;refID=7084649&amp;Result=3","7084649")</f>
        <v>0</v>
      </c>
      <c r="B1600" t="s">
        <v>680</v>
      </c>
      <c r="C1600" t="s">
        <v>4958</v>
      </c>
      <c r="D1600" t="s">
        <v>17424</v>
      </c>
      <c r="E1600" t="s">
        <v>18894</v>
      </c>
      <c r="F1600" t="s">
        <v>30052</v>
      </c>
      <c r="G1600" t="s">
        <v>30059</v>
      </c>
      <c r="H1600" t="s">
        <v>15498</v>
      </c>
      <c r="I1600" t="s">
        <v>4598</v>
      </c>
      <c r="J1600" t="s">
        <v>31344</v>
      </c>
      <c r="K1600" t="s">
        <v>39034</v>
      </c>
      <c r="M1600" t="s">
        <v>39986</v>
      </c>
      <c r="N1600" t="s">
        <v>43166</v>
      </c>
      <c r="O1600" t="s">
        <v>43167</v>
      </c>
      <c r="P1600">
        <v>0</v>
      </c>
      <c r="Q1600">
        <v>6</v>
      </c>
      <c r="R1600" t="s">
        <v>43170</v>
      </c>
      <c r="S1600" t="s">
        <v>43297</v>
      </c>
      <c r="T1600" t="s">
        <v>44710</v>
      </c>
      <c r="U1600" t="s">
        <v>46498</v>
      </c>
      <c r="W1600" t="s">
        <v>39986</v>
      </c>
      <c r="X1600" t="s">
        <v>43171</v>
      </c>
    </row>
    <row r="1601" spans="1:24">
      <c r="A1601">
        <f>HYPERLINK("https://www.philgeps.gov.ph/GEPSNONPILOT/Tender/SplashBidNoticeAbstractUI.aspx?menuIndex=3&amp;refID=7084648&amp;Result=3","7084648")</f>
        <v>0</v>
      </c>
      <c r="B1601" t="s">
        <v>679</v>
      </c>
      <c r="C1601" t="s">
        <v>4959</v>
      </c>
      <c r="D1601" t="s">
        <v>17419</v>
      </c>
      <c r="E1601" t="s">
        <v>18895</v>
      </c>
      <c r="F1601" t="s">
        <v>30052</v>
      </c>
      <c r="G1601" t="s">
        <v>30059</v>
      </c>
      <c r="H1601" t="s">
        <v>15498</v>
      </c>
      <c r="I1601" t="s">
        <v>30157</v>
      </c>
      <c r="J1601" t="s">
        <v>30454</v>
      </c>
      <c r="K1601" t="s">
        <v>39017</v>
      </c>
      <c r="M1601" t="s">
        <v>39985</v>
      </c>
      <c r="N1601" t="s">
        <v>43166</v>
      </c>
      <c r="O1601" t="s">
        <v>43167</v>
      </c>
      <c r="P1601">
        <v>0</v>
      </c>
      <c r="Q1601">
        <v>0</v>
      </c>
      <c r="R1601" t="s">
        <v>43170</v>
      </c>
      <c r="S1601" t="s">
        <v>43297</v>
      </c>
      <c r="T1601" t="s">
        <v>44717</v>
      </c>
      <c r="U1601" t="s">
        <v>46499</v>
      </c>
      <c r="W1601" t="s">
        <v>39985</v>
      </c>
      <c r="X1601" t="s">
        <v>43171</v>
      </c>
    </row>
    <row r="1602" spans="1:24">
      <c r="A1602">
        <f>HYPERLINK("https://www.philgeps.gov.ph/GEPSNONPILOT/Tender/SplashBidNoticeAbstractUI.aspx?menuIndex=3&amp;refID=7084644&amp;Result=3","7084644")</f>
        <v>0</v>
      </c>
      <c r="B1602" t="s">
        <v>681</v>
      </c>
      <c r="C1602" t="s">
        <v>4960</v>
      </c>
      <c r="D1602" t="s">
        <v>17468</v>
      </c>
      <c r="E1602" t="s">
        <v>18896</v>
      </c>
      <c r="F1602" t="s">
        <v>30052</v>
      </c>
      <c r="G1602" t="s">
        <v>30059</v>
      </c>
      <c r="H1602" t="s">
        <v>15498</v>
      </c>
      <c r="I1602" t="s">
        <v>8323</v>
      </c>
      <c r="J1602" t="s">
        <v>31345</v>
      </c>
      <c r="K1602" t="s">
        <v>39034</v>
      </c>
      <c r="M1602" t="s">
        <v>39987</v>
      </c>
      <c r="N1602" t="s">
        <v>43166</v>
      </c>
      <c r="O1602" t="s">
        <v>43167</v>
      </c>
      <c r="P1602">
        <v>0</v>
      </c>
      <c r="Q1602">
        <v>3</v>
      </c>
      <c r="R1602" t="s">
        <v>43170</v>
      </c>
      <c r="S1602" t="s">
        <v>43297</v>
      </c>
      <c r="T1602" t="s">
        <v>44698</v>
      </c>
      <c r="U1602" t="s">
        <v>46500</v>
      </c>
      <c r="W1602" t="s">
        <v>39987</v>
      </c>
      <c r="X1602" t="s">
        <v>43171</v>
      </c>
    </row>
    <row r="1603" spans="1:24">
      <c r="A1603">
        <f>HYPERLINK("https://www.philgeps.gov.ph/GEPSNONPILOT/Tender/SplashBidNoticeAbstractUI.aspx?menuIndex=3&amp;refID=7084640&amp;Result=3","7084640")</f>
        <v>0</v>
      </c>
      <c r="B1603" t="s">
        <v>682</v>
      </c>
      <c r="C1603" t="s">
        <v>4961</v>
      </c>
      <c r="D1603" t="s">
        <v>17447</v>
      </c>
      <c r="E1603" t="s">
        <v>18897</v>
      </c>
      <c r="F1603" t="s">
        <v>30052</v>
      </c>
      <c r="G1603" t="s">
        <v>30059</v>
      </c>
      <c r="H1603" t="s">
        <v>15498</v>
      </c>
      <c r="I1603" t="s">
        <v>8323</v>
      </c>
      <c r="J1603" t="s">
        <v>31346</v>
      </c>
      <c r="K1603" t="s">
        <v>39019</v>
      </c>
      <c r="M1603" t="s">
        <v>39988</v>
      </c>
      <c r="N1603" t="s">
        <v>43166</v>
      </c>
      <c r="O1603" t="s">
        <v>43167</v>
      </c>
      <c r="P1603">
        <v>0</v>
      </c>
      <c r="Q1603">
        <v>7</v>
      </c>
      <c r="R1603" t="s">
        <v>43170</v>
      </c>
      <c r="S1603" t="s">
        <v>43297</v>
      </c>
      <c r="T1603" t="s">
        <v>44735</v>
      </c>
      <c r="U1603" t="s">
        <v>46501</v>
      </c>
      <c r="W1603" t="s">
        <v>58608</v>
      </c>
      <c r="X1603" t="s">
        <v>43171</v>
      </c>
    </row>
    <row r="1604" spans="1:24">
      <c r="A1604">
        <f>HYPERLINK("https://www.philgeps.gov.ph/GEPSNONPILOT/Tender/SplashBidNoticeAbstractUI.aspx?menuIndex=3&amp;refID=7084638&amp;Result=3","7084638")</f>
        <v>0</v>
      </c>
      <c r="B1604" t="s">
        <v>683</v>
      </c>
      <c r="C1604" t="s">
        <v>4962</v>
      </c>
      <c r="D1604" t="s">
        <v>17448</v>
      </c>
      <c r="E1604" t="s">
        <v>18898</v>
      </c>
      <c r="F1604" t="s">
        <v>30052</v>
      </c>
      <c r="G1604" t="s">
        <v>30060</v>
      </c>
      <c r="H1604" t="s">
        <v>15498</v>
      </c>
      <c r="I1604" t="s">
        <v>30074</v>
      </c>
      <c r="J1604" t="s">
        <v>31198</v>
      </c>
      <c r="K1604" t="s">
        <v>39025</v>
      </c>
      <c r="M1604" t="s">
        <v>39989</v>
      </c>
      <c r="N1604" t="s">
        <v>43166</v>
      </c>
      <c r="O1604" t="s">
        <v>43167</v>
      </c>
      <c r="P1604">
        <v>0</v>
      </c>
      <c r="Q1604">
        <v>8</v>
      </c>
      <c r="R1604" t="s">
        <v>43170</v>
      </c>
      <c r="S1604" t="s">
        <v>43297</v>
      </c>
      <c r="T1604" t="s">
        <v>44735</v>
      </c>
      <c r="U1604" t="s">
        <v>46502</v>
      </c>
      <c r="W1604" t="s">
        <v>39989</v>
      </c>
      <c r="X1604" t="s">
        <v>43171</v>
      </c>
    </row>
    <row r="1605" spans="1:24">
      <c r="A1605">
        <f>HYPERLINK("https://www.philgeps.gov.ph/GEPSNONPILOT/Tender/SplashBidNoticeAbstractUI.aspx?menuIndex=3&amp;refID=7084658&amp;Result=3","7084658")</f>
        <v>0</v>
      </c>
      <c r="B1605" t="s">
        <v>236</v>
      </c>
      <c r="C1605" t="s">
        <v>4963</v>
      </c>
      <c r="D1605" t="s">
        <v>17476</v>
      </c>
      <c r="E1605" t="s">
        <v>18899</v>
      </c>
      <c r="F1605" t="s">
        <v>30052</v>
      </c>
      <c r="G1605" t="s">
        <v>30059</v>
      </c>
      <c r="H1605" t="s">
        <v>30069</v>
      </c>
      <c r="I1605" t="s">
        <v>6691</v>
      </c>
      <c r="J1605" t="s">
        <v>31347</v>
      </c>
      <c r="K1605" t="s">
        <v>39019</v>
      </c>
      <c r="M1605" t="s">
        <v>39920</v>
      </c>
      <c r="N1605" t="s">
        <v>43166</v>
      </c>
      <c r="O1605" t="s">
        <v>43167</v>
      </c>
      <c r="P1605">
        <v>0</v>
      </c>
      <c r="Q1605">
        <v>0</v>
      </c>
      <c r="R1605" t="s">
        <v>43170</v>
      </c>
      <c r="S1605" t="s">
        <v>43297</v>
      </c>
      <c r="T1605" t="s">
        <v>44875</v>
      </c>
      <c r="U1605" t="s">
        <v>46503</v>
      </c>
      <c r="V1605" t="s">
        <v>45722</v>
      </c>
      <c r="W1605" t="s">
        <v>39920</v>
      </c>
      <c r="X1605" t="s">
        <v>43171</v>
      </c>
    </row>
    <row r="1606" spans="1:24">
      <c r="A1606">
        <f>HYPERLINK("https://www.philgeps.gov.ph/GEPSNONPILOT/Tender/SplashBidNoticeAbstractUI.aspx?menuIndex=3&amp;refID=7084657&amp;Result=3","7084657")</f>
        <v>0</v>
      </c>
      <c r="B1606" t="s">
        <v>680</v>
      </c>
      <c r="C1606" t="s">
        <v>4964</v>
      </c>
      <c r="D1606" t="s">
        <v>17424</v>
      </c>
      <c r="E1606" t="s">
        <v>18900</v>
      </c>
      <c r="F1606" t="s">
        <v>30052</v>
      </c>
      <c r="G1606" t="s">
        <v>30061</v>
      </c>
      <c r="H1606" t="s">
        <v>15498</v>
      </c>
      <c r="I1606" t="s">
        <v>30070</v>
      </c>
      <c r="J1606" t="s">
        <v>30344</v>
      </c>
      <c r="K1606" t="s">
        <v>39034</v>
      </c>
      <c r="M1606" t="s">
        <v>39986</v>
      </c>
      <c r="N1606" t="s">
        <v>43166</v>
      </c>
      <c r="O1606" t="s">
        <v>43167</v>
      </c>
      <c r="P1606">
        <v>0</v>
      </c>
      <c r="Q1606">
        <v>5</v>
      </c>
      <c r="R1606" t="s">
        <v>43170</v>
      </c>
      <c r="S1606" t="s">
        <v>43297</v>
      </c>
      <c r="T1606" t="s">
        <v>44710</v>
      </c>
      <c r="U1606" t="s">
        <v>46504</v>
      </c>
      <c r="W1606" t="s">
        <v>39986</v>
      </c>
      <c r="X1606" t="s">
        <v>43171</v>
      </c>
    </row>
    <row r="1607" spans="1:24">
      <c r="A1607">
        <f>HYPERLINK("https://www.philgeps.gov.ph/GEPSNONPILOT/Tender/SplashBidNoticeAbstractUI.aspx?menuIndex=3&amp;refID=7084634&amp;Result=3","7084634")</f>
        <v>0</v>
      </c>
      <c r="B1607" t="s">
        <v>684</v>
      </c>
      <c r="C1607" t="s">
        <v>4965</v>
      </c>
      <c r="D1607" t="s">
        <v>17473</v>
      </c>
      <c r="E1607" t="s">
        <v>18901</v>
      </c>
      <c r="F1607" t="s">
        <v>30052</v>
      </c>
      <c r="G1607" t="s">
        <v>30062</v>
      </c>
      <c r="H1607" t="s">
        <v>15498</v>
      </c>
      <c r="I1607" t="s">
        <v>5961</v>
      </c>
      <c r="J1607" t="s">
        <v>31272</v>
      </c>
      <c r="K1607" t="s">
        <v>39029</v>
      </c>
      <c r="M1607" t="s">
        <v>39990</v>
      </c>
      <c r="N1607" t="s">
        <v>43166</v>
      </c>
      <c r="O1607" t="s">
        <v>43167</v>
      </c>
      <c r="P1607">
        <v>0</v>
      </c>
      <c r="Q1607">
        <v>3</v>
      </c>
      <c r="R1607" t="s">
        <v>43170</v>
      </c>
      <c r="S1607" t="s">
        <v>43297</v>
      </c>
      <c r="T1607" t="s">
        <v>44710</v>
      </c>
      <c r="U1607" t="s">
        <v>46505</v>
      </c>
      <c r="W1607" t="s">
        <v>39990</v>
      </c>
      <c r="X1607" t="s">
        <v>43171</v>
      </c>
    </row>
    <row r="1608" spans="1:24">
      <c r="A1608">
        <f>HYPERLINK("https://www.philgeps.gov.ph/GEPSNONPILOT/Tender/SplashBidNoticeAbstractUI.aspx?menuIndex=3&amp;refID=7084631&amp;Result=3","7084631")</f>
        <v>0</v>
      </c>
      <c r="B1608" t="s">
        <v>684</v>
      </c>
      <c r="C1608" t="s">
        <v>4966</v>
      </c>
      <c r="D1608" t="s">
        <v>17473</v>
      </c>
      <c r="E1608" t="s">
        <v>18902</v>
      </c>
      <c r="F1608" t="s">
        <v>30052</v>
      </c>
      <c r="G1608" t="s">
        <v>30062</v>
      </c>
      <c r="H1608" t="s">
        <v>15498</v>
      </c>
      <c r="I1608" t="s">
        <v>4650</v>
      </c>
      <c r="J1608" t="s">
        <v>30594</v>
      </c>
      <c r="K1608" t="s">
        <v>39029</v>
      </c>
      <c r="M1608" t="s">
        <v>39990</v>
      </c>
      <c r="N1608" t="s">
        <v>43166</v>
      </c>
      <c r="O1608" t="s">
        <v>43167</v>
      </c>
      <c r="P1608">
        <v>0</v>
      </c>
      <c r="Q1608">
        <v>10</v>
      </c>
      <c r="R1608" t="s">
        <v>43170</v>
      </c>
      <c r="S1608" t="s">
        <v>43297</v>
      </c>
      <c r="T1608" t="s">
        <v>44710</v>
      </c>
      <c r="U1608" t="s">
        <v>46506</v>
      </c>
      <c r="W1608" t="s">
        <v>39990</v>
      </c>
      <c r="X1608" t="s">
        <v>43171</v>
      </c>
    </row>
    <row r="1609" spans="1:24">
      <c r="A1609">
        <f>HYPERLINK("https://www.philgeps.gov.ph/GEPSNONPILOT/Tender/SplashBidNoticeAbstractUI.aspx?menuIndex=3&amp;refID=7084660&amp;Result=3","7084660")</f>
        <v>0</v>
      </c>
      <c r="B1609" t="s">
        <v>685</v>
      </c>
      <c r="C1609" t="s">
        <v>4967</v>
      </c>
      <c r="D1609" t="s">
        <v>17460</v>
      </c>
      <c r="E1609" t="s">
        <v>18903</v>
      </c>
      <c r="F1609" t="s">
        <v>30052</v>
      </c>
      <c r="G1609" t="s">
        <v>30058</v>
      </c>
      <c r="H1609" t="s">
        <v>15498</v>
      </c>
      <c r="I1609" t="s">
        <v>30096</v>
      </c>
      <c r="J1609" t="s">
        <v>31348</v>
      </c>
      <c r="K1609" t="s">
        <v>39029</v>
      </c>
      <c r="M1609" t="s">
        <v>39991</v>
      </c>
      <c r="N1609" t="s">
        <v>43166</v>
      </c>
      <c r="O1609" t="s">
        <v>43167</v>
      </c>
      <c r="P1609">
        <v>0</v>
      </c>
      <c r="Q1609">
        <v>6</v>
      </c>
      <c r="R1609" t="s">
        <v>43170</v>
      </c>
      <c r="S1609" t="s">
        <v>43297</v>
      </c>
      <c r="T1609" t="s">
        <v>44722</v>
      </c>
      <c r="U1609" t="s">
        <v>46507</v>
      </c>
      <c r="W1609" t="s">
        <v>39991</v>
      </c>
      <c r="X1609" t="s">
        <v>43171</v>
      </c>
    </row>
    <row r="1610" spans="1:24">
      <c r="A1610">
        <f>HYPERLINK("https://www.philgeps.gov.ph/GEPSNONPILOT/Tender/SplashBidNoticeAbstractUI.aspx?menuIndex=3&amp;refID=7084655&amp;Result=3","7084655")</f>
        <v>0</v>
      </c>
      <c r="B1610" t="s">
        <v>686</v>
      </c>
      <c r="C1610" t="s">
        <v>4968</v>
      </c>
      <c r="D1610" t="s">
        <v>17480</v>
      </c>
      <c r="E1610" t="s">
        <v>18904</v>
      </c>
      <c r="F1610" t="s">
        <v>30052</v>
      </c>
      <c r="G1610" t="s">
        <v>30058</v>
      </c>
      <c r="H1610" t="s">
        <v>15498</v>
      </c>
      <c r="I1610" t="s">
        <v>30076</v>
      </c>
      <c r="J1610" t="s">
        <v>31349</v>
      </c>
      <c r="K1610" t="s">
        <v>39029</v>
      </c>
      <c r="M1610" t="s">
        <v>39992</v>
      </c>
      <c r="N1610" t="s">
        <v>43166</v>
      </c>
      <c r="O1610" t="s">
        <v>43167</v>
      </c>
      <c r="P1610">
        <v>0</v>
      </c>
      <c r="Q1610">
        <v>3</v>
      </c>
      <c r="R1610" t="s">
        <v>43170</v>
      </c>
      <c r="S1610" t="s">
        <v>43297</v>
      </c>
      <c r="T1610" t="s">
        <v>44876</v>
      </c>
      <c r="U1610" t="s">
        <v>46508</v>
      </c>
      <c r="W1610" t="s">
        <v>39992</v>
      </c>
      <c r="X1610" t="s">
        <v>43171</v>
      </c>
    </row>
    <row r="1611" spans="1:24">
      <c r="A1611">
        <f>HYPERLINK("https://www.philgeps.gov.ph/GEPSNONPILOT/Tender/SplashBidNoticeAbstractUI.aspx?menuIndex=3&amp;refID=7084646&amp;Result=3","7084646")</f>
        <v>0</v>
      </c>
      <c r="B1611" t="s">
        <v>687</v>
      </c>
      <c r="C1611" t="s">
        <v>4969</v>
      </c>
      <c r="D1611" t="s">
        <v>17435</v>
      </c>
      <c r="E1611" t="s">
        <v>18905</v>
      </c>
      <c r="F1611" t="s">
        <v>30052</v>
      </c>
      <c r="G1611" t="s">
        <v>30061</v>
      </c>
      <c r="H1611" t="s">
        <v>15498</v>
      </c>
      <c r="I1611" t="s">
        <v>3736</v>
      </c>
      <c r="J1611" t="s">
        <v>31350</v>
      </c>
      <c r="K1611" t="s">
        <v>39017</v>
      </c>
      <c r="M1611" t="s">
        <v>39993</v>
      </c>
      <c r="N1611" t="s">
        <v>43166</v>
      </c>
      <c r="O1611" t="s">
        <v>43167</v>
      </c>
      <c r="P1611">
        <v>0</v>
      </c>
      <c r="Q1611">
        <v>2</v>
      </c>
      <c r="R1611" t="s">
        <v>43170</v>
      </c>
      <c r="S1611" t="s">
        <v>43297</v>
      </c>
      <c r="T1611" t="s">
        <v>44830</v>
      </c>
      <c r="U1611" t="s">
        <v>46509</v>
      </c>
      <c r="W1611" t="s">
        <v>39993</v>
      </c>
      <c r="X1611" t="s">
        <v>43171</v>
      </c>
    </row>
    <row r="1612" spans="1:24">
      <c r="A1612">
        <f>HYPERLINK("https://www.philgeps.gov.ph/GEPSNONPILOT/Tender/SplashBidNoticeAbstractUI.aspx?menuIndex=3&amp;refID=7084639&amp;Result=3","7084639")</f>
        <v>0</v>
      </c>
      <c r="B1612" t="s">
        <v>679</v>
      </c>
      <c r="C1612" t="s">
        <v>4970</v>
      </c>
      <c r="D1612" t="s">
        <v>17419</v>
      </c>
      <c r="E1612" t="s">
        <v>18906</v>
      </c>
      <c r="F1612" t="s">
        <v>30052</v>
      </c>
      <c r="G1612" t="s">
        <v>30059</v>
      </c>
      <c r="H1612" t="s">
        <v>15498</v>
      </c>
      <c r="I1612" t="s">
        <v>30073</v>
      </c>
      <c r="J1612" t="s">
        <v>31351</v>
      </c>
      <c r="K1612" t="s">
        <v>39017</v>
      </c>
      <c r="M1612" t="s">
        <v>39985</v>
      </c>
      <c r="N1612" t="s">
        <v>43166</v>
      </c>
      <c r="O1612" t="s">
        <v>43167</v>
      </c>
      <c r="P1612">
        <v>0</v>
      </c>
      <c r="Q1612">
        <v>0</v>
      </c>
      <c r="R1612" t="s">
        <v>43170</v>
      </c>
      <c r="S1612" t="s">
        <v>43297</v>
      </c>
      <c r="T1612" t="s">
        <v>44717</v>
      </c>
      <c r="U1612" t="s">
        <v>46510</v>
      </c>
      <c r="W1612" t="s">
        <v>39985</v>
      </c>
      <c r="X1612" t="s">
        <v>43171</v>
      </c>
    </row>
    <row r="1613" spans="1:24">
      <c r="A1613">
        <f>HYPERLINK("https://www.philgeps.gov.ph/GEPSNONPILOT/Tender/SplashBidNoticeAbstractUI.aspx?menuIndex=3&amp;refID=7084690&amp;Result=3","7084690")</f>
        <v>0</v>
      </c>
      <c r="B1613" t="s">
        <v>688</v>
      </c>
      <c r="C1613" t="s">
        <v>4971</v>
      </c>
      <c r="D1613" t="s">
        <v>17421</v>
      </c>
      <c r="E1613" t="s">
        <v>18907</v>
      </c>
      <c r="F1613" t="s">
        <v>30052</v>
      </c>
      <c r="G1613" t="s">
        <v>30058</v>
      </c>
      <c r="H1613" t="s">
        <v>15498</v>
      </c>
      <c r="I1613" t="s">
        <v>3736</v>
      </c>
      <c r="J1613" t="s">
        <v>31352</v>
      </c>
      <c r="K1613" t="s">
        <v>39017</v>
      </c>
      <c r="L1613" t="s">
        <v>688</v>
      </c>
      <c r="M1613" t="s">
        <v>39994</v>
      </c>
      <c r="N1613" t="s">
        <v>43166</v>
      </c>
      <c r="O1613" t="s">
        <v>43167</v>
      </c>
      <c r="P1613">
        <v>0</v>
      </c>
      <c r="Q1613">
        <v>0</v>
      </c>
      <c r="R1613" t="s">
        <v>43170</v>
      </c>
      <c r="S1613" t="s">
        <v>43297</v>
      </c>
      <c r="T1613" t="s">
        <v>44721</v>
      </c>
      <c r="U1613" t="s">
        <v>46511</v>
      </c>
      <c r="W1613" t="s">
        <v>39994</v>
      </c>
      <c r="X1613" t="s">
        <v>43171</v>
      </c>
    </row>
    <row r="1614" spans="1:24">
      <c r="A1614">
        <f>HYPERLINK("https://www.philgeps.gov.ph/GEPSNONPILOT/Tender/SplashBidNoticeAbstractUI.aspx?menuIndex=3&amp;refID=7084611&amp;Result=3","7084611")</f>
        <v>0</v>
      </c>
      <c r="B1614" t="s">
        <v>521</v>
      </c>
      <c r="C1614" t="s">
        <v>4972</v>
      </c>
      <c r="D1614" t="s">
        <v>17415</v>
      </c>
      <c r="E1614" t="s">
        <v>18575</v>
      </c>
      <c r="F1614" t="s">
        <v>30052</v>
      </c>
      <c r="G1614" t="s">
        <v>30061</v>
      </c>
      <c r="H1614" t="s">
        <v>15498</v>
      </c>
      <c r="I1614" t="s">
        <v>9238</v>
      </c>
      <c r="J1614" t="s">
        <v>31330</v>
      </c>
      <c r="K1614" t="s">
        <v>39019</v>
      </c>
      <c r="M1614" t="s">
        <v>39823</v>
      </c>
      <c r="N1614" t="s">
        <v>43166</v>
      </c>
      <c r="O1614" t="s">
        <v>43167</v>
      </c>
      <c r="P1614">
        <v>0</v>
      </c>
      <c r="Q1614">
        <v>3</v>
      </c>
      <c r="R1614" t="s">
        <v>43170</v>
      </c>
      <c r="S1614" t="s">
        <v>43297</v>
      </c>
      <c r="T1614" t="s">
        <v>44856</v>
      </c>
      <c r="U1614" t="s">
        <v>46512</v>
      </c>
      <c r="V1614" t="s">
        <v>56959</v>
      </c>
      <c r="W1614" t="s">
        <v>58603</v>
      </c>
      <c r="X1614" t="s">
        <v>43171</v>
      </c>
    </row>
    <row r="1615" spans="1:24">
      <c r="A1615">
        <f>HYPERLINK("https://www.philgeps.gov.ph/GEPSNONPILOT/Tender/SplashBidNoticeAbstractUI.aspx?menuIndex=3&amp;refID=7084632&amp;Result=3","7084632")</f>
        <v>0</v>
      </c>
      <c r="B1615" t="s">
        <v>684</v>
      </c>
      <c r="C1615" t="s">
        <v>4965</v>
      </c>
      <c r="D1615" t="s">
        <v>17473</v>
      </c>
      <c r="E1615" t="s">
        <v>18908</v>
      </c>
      <c r="F1615" t="s">
        <v>30052</v>
      </c>
      <c r="G1615" t="s">
        <v>30062</v>
      </c>
      <c r="H1615" t="s">
        <v>15498</v>
      </c>
      <c r="I1615" t="s">
        <v>5961</v>
      </c>
      <c r="J1615" t="s">
        <v>31353</v>
      </c>
      <c r="K1615" t="s">
        <v>39029</v>
      </c>
      <c r="M1615" t="s">
        <v>39990</v>
      </c>
      <c r="N1615" t="s">
        <v>43166</v>
      </c>
      <c r="O1615" t="s">
        <v>43167</v>
      </c>
      <c r="P1615">
        <v>0</v>
      </c>
      <c r="Q1615">
        <v>4</v>
      </c>
      <c r="R1615" t="s">
        <v>43170</v>
      </c>
      <c r="S1615" t="s">
        <v>43297</v>
      </c>
      <c r="T1615" t="s">
        <v>44710</v>
      </c>
      <c r="U1615" t="s">
        <v>46513</v>
      </c>
      <c r="W1615" t="s">
        <v>39990</v>
      </c>
      <c r="X1615" t="s">
        <v>43171</v>
      </c>
    </row>
    <row r="1616" spans="1:24">
      <c r="A1616">
        <f>HYPERLINK("https://www.philgeps.gov.ph/GEPSNONPILOT/Tender/SplashBidNoticeAbstractUI.aspx?menuIndex=3&amp;refID=7084677&amp;Result=3","7084677")</f>
        <v>0</v>
      </c>
      <c r="B1616" t="s">
        <v>689</v>
      </c>
      <c r="C1616" t="s">
        <v>4973</v>
      </c>
      <c r="D1616" t="s">
        <v>17475</v>
      </c>
      <c r="E1616" t="s">
        <v>18909</v>
      </c>
      <c r="F1616" t="s">
        <v>30052</v>
      </c>
      <c r="G1616" t="s">
        <v>30059</v>
      </c>
      <c r="H1616" t="s">
        <v>15498</v>
      </c>
      <c r="I1616" t="s">
        <v>4650</v>
      </c>
      <c r="J1616" t="s">
        <v>30337</v>
      </c>
      <c r="K1616" t="s">
        <v>39018</v>
      </c>
      <c r="M1616" t="s">
        <v>39995</v>
      </c>
      <c r="N1616" t="s">
        <v>43166</v>
      </c>
      <c r="O1616" t="s">
        <v>43167</v>
      </c>
      <c r="P1616">
        <v>0</v>
      </c>
      <c r="Q1616">
        <v>2</v>
      </c>
      <c r="R1616" t="s">
        <v>43170</v>
      </c>
      <c r="S1616" t="s">
        <v>43297</v>
      </c>
      <c r="T1616" t="s">
        <v>44870</v>
      </c>
      <c r="U1616" t="s">
        <v>46514</v>
      </c>
      <c r="V1616" t="s">
        <v>57002</v>
      </c>
      <c r="W1616" t="s">
        <v>39995</v>
      </c>
      <c r="X1616" t="s">
        <v>43171</v>
      </c>
    </row>
    <row r="1617" spans="1:24">
      <c r="A1617">
        <f>HYPERLINK("https://www.philgeps.gov.ph/GEPSNONPILOT/Tender/SplashBidNoticeAbstractUI.aspx?menuIndex=3&amp;refID=7084687&amp;Result=3","7084687")</f>
        <v>0</v>
      </c>
      <c r="B1617" t="s">
        <v>690</v>
      </c>
      <c r="C1617" t="s">
        <v>4974</v>
      </c>
      <c r="D1617" t="s">
        <v>17447</v>
      </c>
      <c r="E1617" t="s">
        <v>18910</v>
      </c>
      <c r="F1617" t="s">
        <v>30052</v>
      </c>
      <c r="G1617" t="s">
        <v>30061</v>
      </c>
      <c r="H1617" t="s">
        <v>15498</v>
      </c>
      <c r="I1617" t="s">
        <v>30078</v>
      </c>
      <c r="J1617" t="s">
        <v>30207</v>
      </c>
      <c r="K1617" t="s">
        <v>39018</v>
      </c>
      <c r="M1617" t="s">
        <v>39996</v>
      </c>
      <c r="N1617" t="s">
        <v>43166</v>
      </c>
      <c r="O1617" t="s">
        <v>43167</v>
      </c>
      <c r="P1617">
        <v>0</v>
      </c>
      <c r="Q1617">
        <v>1</v>
      </c>
      <c r="R1617" t="s">
        <v>43170</v>
      </c>
      <c r="S1617" t="s">
        <v>43297</v>
      </c>
      <c r="T1617" t="s">
        <v>44843</v>
      </c>
      <c r="U1617" t="s">
        <v>46515</v>
      </c>
      <c r="W1617" t="s">
        <v>39996</v>
      </c>
      <c r="X1617" t="s">
        <v>43171</v>
      </c>
    </row>
    <row r="1618" spans="1:24">
      <c r="A1618">
        <f>HYPERLINK("https://www.philgeps.gov.ph/GEPSNONPILOT/Tender/SplashBidNoticeAbstractUI.aspx?menuIndex=3&amp;refID=7084682&amp;Result=3","7084682")</f>
        <v>0</v>
      </c>
      <c r="B1618" t="s">
        <v>691</v>
      </c>
      <c r="C1618" t="s">
        <v>4975</v>
      </c>
      <c r="D1618" t="s">
        <v>17452</v>
      </c>
      <c r="E1618" t="s">
        <v>18911</v>
      </c>
      <c r="F1618" t="s">
        <v>30052</v>
      </c>
      <c r="G1618" t="s">
        <v>30059</v>
      </c>
      <c r="H1618" t="s">
        <v>15498</v>
      </c>
      <c r="I1618" t="s">
        <v>30109</v>
      </c>
      <c r="J1618" t="s">
        <v>31354</v>
      </c>
      <c r="K1618" t="s">
        <v>39025</v>
      </c>
      <c r="M1618" t="s">
        <v>39997</v>
      </c>
      <c r="N1618" t="s">
        <v>43166</v>
      </c>
      <c r="O1618" t="s">
        <v>43167</v>
      </c>
      <c r="P1618">
        <v>0</v>
      </c>
      <c r="Q1618">
        <v>0</v>
      </c>
      <c r="R1618" t="s">
        <v>43170</v>
      </c>
      <c r="S1618" t="s">
        <v>43297</v>
      </c>
      <c r="T1618" t="s">
        <v>44856</v>
      </c>
      <c r="U1618" t="s">
        <v>46516</v>
      </c>
      <c r="W1618" t="s">
        <v>39997</v>
      </c>
      <c r="X1618" t="s">
        <v>43171</v>
      </c>
    </row>
    <row r="1619" spans="1:24">
      <c r="A1619">
        <f>HYPERLINK("https://www.philgeps.gov.ph/GEPSNONPILOT/Tender/SplashBidNoticeAbstractUI.aspx?menuIndex=3&amp;refID=7084680&amp;Result=3","7084680")</f>
        <v>0</v>
      </c>
      <c r="B1619" t="s">
        <v>687</v>
      </c>
      <c r="C1619" t="s">
        <v>4976</v>
      </c>
      <c r="D1619" t="s">
        <v>17435</v>
      </c>
      <c r="E1619" t="s">
        <v>18912</v>
      </c>
      <c r="F1619" t="s">
        <v>30052</v>
      </c>
      <c r="G1619" t="s">
        <v>30061</v>
      </c>
      <c r="H1619" t="s">
        <v>15498</v>
      </c>
      <c r="I1619" t="s">
        <v>3736</v>
      </c>
      <c r="J1619" t="s">
        <v>31355</v>
      </c>
      <c r="K1619" t="s">
        <v>39017</v>
      </c>
      <c r="M1619" t="s">
        <v>39993</v>
      </c>
      <c r="N1619" t="s">
        <v>43166</v>
      </c>
      <c r="O1619" t="s">
        <v>43167</v>
      </c>
      <c r="P1619">
        <v>0</v>
      </c>
      <c r="Q1619">
        <v>1</v>
      </c>
      <c r="R1619" t="s">
        <v>43170</v>
      </c>
      <c r="S1619" t="s">
        <v>43297</v>
      </c>
      <c r="T1619" t="s">
        <v>44830</v>
      </c>
      <c r="U1619" t="s">
        <v>46517</v>
      </c>
      <c r="W1619" t="s">
        <v>39993</v>
      </c>
      <c r="X1619" t="s">
        <v>43171</v>
      </c>
    </row>
    <row r="1620" spans="1:24">
      <c r="A1620">
        <f>HYPERLINK("https://www.philgeps.gov.ph/GEPSNONPILOT/Tender/SplashBidNoticeAbstractUI.aspx?menuIndex=3&amp;refID=7084676&amp;Result=3","7084676")</f>
        <v>0</v>
      </c>
      <c r="B1620" t="s">
        <v>687</v>
      </c>
      <c r="C1620" t="s">
        <v>4977</v>
      </c>
      <c r="D1620" t="s">
        <v>17435</v>
      </c>
      <c r="E1620" t="s">
        <v>18913</v>
      </c>
      <c r="F1620" t="s">
        <v>30052</v>
      </c>
      <c r="G1620" t="s">
        <v>30061</v>
      </c>
      <c r="H1620" t="s">
        <v>15498</v>
      </c>
      <c r="I1620" t="s">
        <v>3736</v>
      </c>
      <c r="J1620" t="s">
        <v>31356</v>
      </c>
      <c r="K1620" t="s">
        <v>39017</v>
      </c>
      <c r="M1620" t="s">
        <v>39993</v>
      </c>
      <c r="N1620" t="s">
        <v>43166</v>
      </c>
      <c r="O1620" t="s">
        <v>43167</v>
      </c>
      <c r="P1620">
        <v>0</v>
      </c>
      <c r="Q1620">
        <v>2</v>
      </c>
      <c r="R1620" t="s">
        <v>43170</v>
      </c>
      <c r="S1620" t="s">
        <v>43297</v>
      </c>
      <c r="T1620" t="s">
        <v>44830</v>
      </c>
      <c r="U1620" t="s">
        <v>46518</v>
      </c>
      <c r="W1620" t="s">
        <v>39993</v>
      </c>
      <c r="X1620" t="s">
        <v>43171</v>
      </c>
    </row>
    <row r="1621" spans="1:24">
      <c r="A1621">
        <f>HYPERLINK("https://www.philgeps.gov.ph/GEPSNONPILOT/Tender/SplashBidNoticeAbstractUI.aspx?menuIndex=3&amp;refID=7084692&amp;Result=3","7084692")</f>
        <v>0</v>
      </c>
      <c r="B1621" t="s">
        <v>692</v>
      </c>
      <c r="C1621" t="s">
        <v>4978</v>
      </c>
      <c r="E1621" t="s">
        <v>18914</v>
      </c>
      <c r="F1621" t="s">
        <v>30052</v>
      </c>
      <c r="G1621" t="s">
        <v>30062</v>
      </c>
      <c r="H1621" t="s">
        <v>15498</v>
      </c>
      <c r="I1621" t="s">
        <v>30070</v>
      </c>
      <c r="J1621" t="s">
        <v>30538</v>
      </c>
      <c r="K1621" t="s">
        <v>39025</v>
      </c>
      <c r="M1621" t="s">
        <v>39998</v>
      </c>
      <c r="N1621" t="s">
        <v>43166</v>
      </c>
      <c r="O1621" t="s">
        <v>43167</v>
      </c>
      <c r="P1621">
        <v>0</v>
      </c>
      <c r="Q1621">
        <v>1</v>
      </c>
      <c r="R1621" t="s">
        <v>43170</v>
      </c>
      <c r="S1621" t="s">
        <v>43297</v>
      </c>
      <c r="T1621" t="s">
        <v>44679</v>
      </c>
      <c r="U1621" t="s">
        <v>46519</v>
      </c>
      <c r="W1621" t="s">
        <v>39998</v>
      </c>
      <c r="X1621" t="s">
        <v>43171</v>
      </c>
    </row>
    <row r="1622" spans="1:24">
      <c r="A1622">
        <f>HYPERLINK("https://www.philgeps.gov.ph/GEPSNONPILOT/Tender/SplashBidNoticeAbstractUI.aspx?menuIndex=3&amp;refID=7084635&amp;Result=3","7084635")</f>
        <v>0</v>
      </c>
      <c r="B1622" t="s">
        <v>684</v>
      </c>
      <c r="C1622" t="s">
        <v>4979</v>
      </c>
      <c r="D1622" t="s">
        <v>17473</v>
      </c>
      <c r="E1622" t="s">
        <v>18915</v>
      </c>
      <c r="F1622" t="s">
        <v>30052</v>
      </c>
      <c r="G1622" t="s">
        <v>30058</v>
      </c>
      <c r="H1622" t="s">
        <v>15498</v>
      </c>
      <c r="I1622" t="s">
        <v>30124</v>
      </c>
      <c r="J1622" t="s">
        <v>30532</v>
      </c>
      <c r="K1622" t="s">
        <v>39026</v>
      </c>
      <c r="M1622" t="s">
        <v>39999</v>
      </c>
      <c r="N1622" t="s">
        <v>43166</v>
      </c>
      <c r="O1622" t="s">
        <v>43167</v>
      </c>
      <c r="P1622">
        <v>0</v>
      </c>
      <c r="Q1622">
        <v>6</v>
      </c>
      <c r="R1622" t="s">
        <v>43170</v>
      </c>
      <c r="S1622" t="s">
        <v>43297</v>
      </c>
      <c r="T1622" t="s">
        <v>44835</v>
      </c>
      <c r="U1622" t="s">
        <v>46520</v>
      </c>
      <c r="W1622" t="s">
        <v>39999</v>
      </c>
      <c r="X1622" t="s">
        <v>43171</v>
      </c>
    </row>
    <row r="1623" spans="1:24">
      <c r="A1623">
        <f>HYPERLINK("https://www.philgeps.gov.ph/GEPSNONPILOT/Tender/SplashBidNoticeAbstractUI.aspx?menuIndex=3&amp;refID=7084730&amp;Result=3","7084730")</f>
        <v>0</v>
      </c>
      <c r="B1623" t="s">
        <v>693</v>
      </c>
      <c r="C1623" t="s">
        <v>4980</v>
      </c>
      <c r="D1623" t="s">
        <v>17421</v>
      </c>
      <c r="E1623" t="s">
        <v>18916</v>
      </c>
      <c r="F1623" t="s">
        <v>30052</v>
      </c>
      <c r="G1623" t="s">
        <v>30059</v>
      </c>
      <c r="H1623" t="s">
        <v>15498</v>
      </c>
      <c r="I1623" t="s">
        <v>4119</v>
      </c>
      <c r="J1623" t="s">
        <v>31357</v>
      </c>
      <c r="K1623" t="s">
        <v>39034</v>
      </c>
      <c r="M1623" t="s">
        <v>40000</v>
      </c>
      <c r="N1623" t="s">
        <v>43166</v>
      </c>
      <c r="O1623" t="s">
        <v>43167</v>
      </c>
      <c r="P1623">
        <v>0</v>
      </c>
      <c r="Q1623">
        <v>2</v>
      </c>
      <c r="R1623" t="s">
        <v>43170</v>
      </c>
      <c r="S1623" t="s">
        <v>43297</v>
      </c>
      <c r="T1623" t="s">
        <v>44843</v>
      </c>
      <c r="U1623" t="s">
        <v>45268</v>
      </c>
      <c r="W1623" t="s">
        <v>40000</v>
      </c>
      <c r="X1623" t="s">
        <v>43171</v>
      </c>
    </row>
    <row r="1624" spans="1:24">
      <c r="A1624">
        <f>HYPERLINK("https://www.philgeps.gov.ph/GEPSNONPILOT/Tender/SplashBidNoticeAbstractUI.aspx?menuIndex=3&amp;refID=7084729&amp;Result=3","7084729")</f>
        <v>0</v>
      </c>
      <c r="B1624" t="s">
        <v>694</v>
      </c>
      <c r="C1624" t="s">
        <v>4981</v>
      </c>
      <c r="D1624" t="s">
        <v>17476</v>
      </c>
      <c r="E1624" t="s">
        <v>18917</v>
      </c>
      <c r="F1624" t="s">
        <v>30052</v>
      </c>
      <c r="G1624" t="s">
        <v>30059</v>
      </c>
      <c r="H1624" t="s">
        <v>15498</v>
      </c>
      <c r="I1624" t="s">
        <v>3852</v>
      </c>
      <c r="J1624" t="s">
        <v>30209</v>
      </c>
      <c r="K1624" t="s">
        <v>39064</v>
      </c>
      <c r="M1624" t="s">
        <v>40001</v>
      </c>
      <c r="N1624" t="s">
        <v>43166</v>
      </c>
      <c r="O1624" t="s">
        <v>43167</v>
      </c>
      <c r="P1624">
        <v>0</v>
      </c>
      <c r="Q1624">
        <v>0</v>
      </c>
      <c r="R1624" t="s">
        <v>43170</v>
      </c>
      <c r="S1624" t="s">
        <v>43297</v>
      </c>
      <c r="T1624" t="s">
        <v>44844</v>
      </c>
      <c r="U1624" t="s">
        <v>46521</v>
      </c>
      <c r="W1624" t="s">
        <v>40001</v>
      </c>
      <c r="X1624" t="s">
        <v>43171</v>
      </c>
    </row>
    <row r="1625" spans="1:24">
      <c r="A1625">
        <f>HYPERLINK("https://www.philgeps.gov.ph/GEPSNONPILOT/Tender/SplashBidNoticeAbstractUI.aspx?menuIndex=3&amp;refID=7084727&amp;Result=3","7084727")</f>
        <v>0</v>
      </c>
      <c r="B1625" t="s">
        <v>695</v>
      </c>
      <c r="C1625" t="s">
        <v>4982</v>
      </c>
      <c r="D1625" t="s">
        <v>17415</v>
      </c>
      <c r="E1625" t="s">
        <v>18918</v>
      </c>
      <c r="F1625" t="s">
        <v>30052</v>
      </c>
      <c r="G1625" t="s">
        <v>30059</v>
      </c>
      <c r="H1625" t="s">
        <v>15498</v>
      </c>
      <c r="I1625" t="s">
        <v>30077</v>
      </c>
      <c r="J1625" t="s">
        <v>31358</v>
      </c>
      <c r="K1625" t="s">
        <v>39034</v>
      </c>
      <c r="M1625" t="s">
        <v>40002</v>
      </c>
      <c r="N1625" t="s">
        <v>43166</v>
      </c>
      <c r="O1625" t="s">
        <v>43167</v>
      </c>
      <c r="P1625">
        <v>0</v>
      </c>
      <c r="Q1625">
        <v>21</v>
      </c>
      <c r="R1625" t="s">
        <v>43170</v>
      </c>
      <c r="S1625" t="s">
        <v>43297</v>
      </c>
      <c r="T1625" t="s">
        <v>44837</v>
      </c>
      <c r="U1625" t="s">
        <v>46522</v>
      </c>
      <c r="V1625" t="s">
        <v>57003</v>
      </c>
      <c r="W1625" t="s">
        <v>40002</v>
      </c>
      <c r="X1625" t="s">
        <v>43171</v>
      </c>
    </row>
    <row r="1626" spans="1:24">
      <c r="A1626">
        <f>HYPERLINK("https://www.philgeps.gov.ph/GEPSNONPILOT/Tender/SplashBidNoticeAbstractUI.aspx?menuIndex=3&amp;refID=7084681&amp;Result=3","7084681")</f>
        <v>0</v>
      </c>
      <c r="B1626" t="s">
        <v>201</v>
      </c>
      <c r="C1626" t="s">
        <v>4983</v>
      </c>
      <c r="E1626" t="s">
        <v>18919</v>
      </c>
      <c r="F1626" t="s">
        <v>30052</v>
      </c>
      <c r="G1626" t="s">
        <v>30059</v>
      </c>
      <c r="H1626" t="s">
        <v>15498</v>
      </c>
      <c r="I1626" t="s">
        <v>30076</v>
      </c>
      <c r="J1626" t="s">
        <v>31359</v>
      </c>
      <c r="K1626" t="s">
        <v>39025</v>
      </c>
      <c r="M1626" t="s">
        <v>40003</v>
      </c>
      <c r="N1626" t="s">
        <v>43166</v>
      </c>
      <c r="O1626" t="s">
        <v>43167</v>
      </c>
      <c r="P1626">
        <v>0</v>
      </c>
      <c r="Q1626">
        <v>34</v>
      </c>
      <c r="R1626" t="s">
        <v>43170</v>
      </c>
      <c r="S1626" t="s">
        <v>43297</v>
      </c>
      <c r="T1626" t="s">
        <v>44732</v>
      </c>
      <c r="U1626" t="s">
        <v>46523</v>
      </c>
      <c r="W1626" t="s">
        <v>40003</v>
      </c>
      <c r="X1626" t="s">
        <v>43171</v>
      </c>
    </row>
    <row r="1627" spans="1:24">
      <c r="A1627">
        <f>HYPERLINK("https://www.philgeps.gov.ph/GEPSNONPILOT/Tender/SplashBidNoticeAbstractUI.aspx?menuIndex=3&amp;refID=7084719&amp;Result=3","7084719")</f>
        <v>0</v>
      </c>
      <c r="B1627" t="s">
        <v>694</v>
      </c>
      <c r="C1627" t="s">
        <v>4984</v>
      </c>
      <c r="D1627" t="s">
        <v>17476</v>
      </c>
      <c r="E1627" t="s">
        <v>18920</v>
      </c>
      <c r="F1627" t="s">
        <v>30052</v>
      </c>
      <c r="G1627" t="s">
        <v>30059</v>
      </c>
      <c r="H1627" t="s">
        <v>15498</v>
      </c>
      <c r="I1627" t="s">
        <v>30081</v>
      </c>
      <c r="J1627" t="s">
        <v>31360</v>
      </c>
      <c r="K1627" t="s">
        <v>39064</v>
      </c>
      <c r="M1627" t="s">
        <v>40001</v>
      </c>
      <c r="N1627" t="s">
        <v>43166</v>
      </c>
      <c r="O1627" t="s">
        <v>43167</v>
      </c>
      <c r="P1627">
        <v>0</v>
      </c>
      <c r="Q1627">
        <v>0</v>
      </c>
      <c r="R1627" t="s">
        <v>43170</v>
      </c>
      <c r="S1627" t="s">
        <v>43297</v>
      </c>
      <c r="T1627" t="s">
        <v>44844</v>
      </c>
      <c r="U1627" t="s">
        <v>46524</v>
      </c>
      <c r="W1627" t="s">
        <v>40001</v>
      </c>
      <c r="X1627" t="s">
        <v>43171</v>
      </c>
    </row>
    <row r="1628" spans="1:24">
      <c r="A1628">
        <f>HYPERLINK("https://www.philgeps.gov.ph/GEPSNONPILOT/Tender/SplashBidNoticeAbstractUI.aspx?menuIndex=3&amp;refID=7084718&amp;Result=3","7084718")</f>
        <v>0</v>
      </c>
      <c r="B1628" t="s">
        <v>687</v>
      </c>
      <c r="C1628" t="s">
        <v>4985</v>
      </c>
      <c r="D1628" t="s">
        <v>17435</v>
      </c>
      <c r="E1628" t="s">
        <v>18921</v>
      </c>
      <c r="F1628" t="s">
        <v>30052</v>
      </c>
      <c r="G1628" t="s">
        <v>30061</v>
      </c>
      <c r="H1628" t="s">
        <v>15498</v>
      </c>
      <c r="I1628" t="s">
        <v>30105</v>
      </c>
      <c r="J1628" t="s">
        <v>31361</v>
      </c>
      <c r="K1628" t="s">
        <v>39017</v>
      </c>
      <c r="M1628" t="s">
        <v>39993</v>
      </c>
      <c r="N1628" t="s">
        <v>43166</v>
      </c>
      <c r="O1628" t="s">
        <v>43167</v>
      </c>
      <c r="P1628">
        <v>0</v>
      </c>
      <c r="Q1628">
        <v>1</v>
      </c>
      <c r="R1628" t="s">
        <v>43170</v>
      </c>
      <c r="S1628" t="s">
        <v>43297</v>
      </c>
      <c r="T1628" t="s">
        <v>44830</v>
      </c>
      <c r="U1628" t="s">
        <v>46525</v>
      </c>
      <c r="W1628" t="s">
        <v>39993</v>
      </c>
      <c r="X1628" t="s">
        <v>43171</v>
      </c>
    </row>
    <row r="1629" spans="1:24">
      <c r="A1629">
        <f>HYPERLINK("https://www.philgeps.gov.ph/GEPSNONPILOT/Tender/SplashBidNoticeAbstractUI.aspx?menuIndex=3&amp;refID=7084689&amp;Result=3","7084689")</f>
        <v>0</v>
      </c>
      <c r="B1629" t="s">
        <v>687</v>
      </c>
      <c r="C1629" t="s">
        <v>4986</v>
      </c>
      <c r="D1629" t="s">
        <v>17435</v>
      </c>
      <c r="E1629" t="s">
        <v>18922</v>
      </c>
      <c r="F1629" t="s">
        <v>30052</v>
      </c>
      <c r="G1629" t="s">
        <v>30061</v>
      </c>
      <c r="H1629" t="s">
        <v>15498</v>
      </c>
      <c r="I1629" t="s">
        <v>3736</v>
      </c>
      <c r="J1629" t="s">
        <v>31362</v>
      </c>
      <c r="K1629" t="s">
        <v>39017</v>
      </c>
      <c r="M1629" t="s">
        <v>39993</v>
      </c>
      <c r="N1629" t="s">
        <v>43166</v>
      </c>
      <c r="O1629" t="s">
        <v>43167</v>
      </c>
      <c r="P1629">
        <v>0</v>
      </c>
      <c r="Q1629">
        <v>2</v>
      </c>
      <c r="R1629" t="s">
        <v>43170</v>
      </c>
      <c r="S1629" t="s">
        <v>43297</v>
      </c>
      <c r="T1629" t="s">
        <v>44830</v>
      </c>
      <c r="U1629" t="s">
        <v>46526</v>
      </c>
      <c r="W1629" t="s">
        <v>39993</v>
      </c>
      <c r="X1629" t="s">
        <v>43171</v>
      </c>
    </row>
    <row r="1630" spans="1:24">
      <c r="A1630">
        <f>HYPERLINK("https://www.philgeps.gov.ph/GEPSNONPILOT/Tender/SplashBidNoticeAbstractUI.aspx?menuIndex=3&amp;refID=7084716&amp;Result=3","7084716")</f>
        <v>0</v>
      </c>
      <c r="B1630" t="s">
        <v>499</v>
      </c>
      <c r="C1630" t="s">
        <v>4521</v>
      </c>
      <c r="D1630" t="s">
        <v>17465</v>
      </c>
      <c r="E1630" t="s">
        <v>18923</v>
      </c>
      <c r="F1630" t="s">
        <v>30052</v>
      </c>
      <c r="G1630" t="s">
        <v>30062</v>
      </c>
      <c r="H1630" t="s">
        <v>15498</v>
      </c>
      <c r="I1630" t="s">
        <v>4119</v>
      </c>
      <c r="J1630" t="s">
        <v>31117</v>
      </c>
      <c r="K1630" t="s">
        <v>39034</v>
      </c>
      <c r="M1630" t="s">
        <v>39800</v>
      </c>
      <c r="N1630" t="s">
        <v>43166</v>
      </c>
      <c r="O1630" t="s">
        <v>43167</v>
      </c>
      <c r="P1630">
        <v>0</v>
      </c>
      <c r="Q1630">
        <v>0</v>
      </c>
      <c r="R1630" t="s">
        <v>43170</v>
      </c>
      <c r="S1630" t="s">
        <v>43297</v>
      </c>
      <c r="T1630" t="s">
        <v>44679</v>
      </c>
      <c r="U1630" t="s">
        <v>46156</v>
      </c>
      <c r="W1630" t="s">
        <v>39800</v>
      </c>
      <c r="X1630" t="s">
        <v>43171</v>
      </c>
    </row>
    <row r="1631" spans="1:24">
      <c r="A1631">
        <f>HYPERLINK("https://www.philgeps.gov.ph/GEPSNONPILOT/Tender/SplashBidNoticeAbstractUI.aspx?menuIndex=3&amp;refID=7084714&amp;Result=3","7084714")</f>
        <v>0</v>
      </c>
      <c r="B1631" t="s">
        <v>696</v>
      </c>
      <c r="C1631" t="s">
        <v>4987</v>
      </c>
      <c r="D1631" t="s">
        <v>17432</v>
      </c>
      <c r="E1631" t="s">
        <v>18924</v>
      </c>
      <c r="F1631" t="s">
        <v>30052</v>
      </c>
      <c r="G1631" t="s">
        <v>30059</v>
      </c>
      <c r="H1631" t="s">
        <v>15498</v>
      </c>
      <c r="I1631" t="s">
        <v>30096</v>
      </c>
      <c r="J1631" t="s">
        <v>30528</v>
      </c>
      <c r="K1631" t="s">
        <v>39064</v>
      </c>
      <c r="M1631" t="s">
        <v>40004</v>
      </c>
      <c r="N1631" t="s">
        <v>43166</v>
      </c>
      <c r="O1631" t="s">
        <v>43167</v>
      </c>
      <c r="P1631">
        <v>0</v>
      </c>
      <c r="Q1631">
        <v>1</v>
      </c>
      <c r="R1631" t="s">
        <v>43170</v>
      </c>
      <c r="S1631" t="s">
        <v>43297</v>
      </c>
      <c r="T1631" t="s">
        <v>44806</v>
      </c>
      <c r="U1631" t="s">
        <v>46527</v>
      </c>
      <c r="W1631" t="s">
        <v>40004</v>
      </c>
      <c r="X1631" t="s">
        <v>43171</v>
      </c>
    </row>
    <row r="1632" spans="1:24">
      <c r="A1632">
        <f>HYPERLINK("https://www.philgeps.gov.ph/GEPSNONPILOT/Tender/SplashBidNoticeAbstractUI.aspx?menuIndex=3&amp;refID=7084684&amp;Result=3","7084684")</f>
        <v>0</v>
      </c>
      <c r="B1632" t="s">
        <v>697</v>
      </c>
      <c r="C1632" t="s">
        <v>4988</v>
      </c>
      <c r="D1632" t="s">
        <v>17456</v>
      </c>
      <c r="E1632" t="s">
        <v>18925</v>
      </c>
      <c r="F1632" t="s">
        <v>30052</v>
      </c>
      <c r="G1632" t="s">
        <v>30059</v>
      </c>
      <c r="H1632" t="s">
        <v>15498</v>
      </c>
      <c r="I1632" t="s">
        <v>4650</v>
      </c>
      <c r="J1632" t="s">
        <v>30377</v>
      </c>
      <c r="K1632" t="s">
        <v>39019</v>
      </c>
      <c r="M1632" t="s">
        <v>40005</v>
      </c>
      <c r="N1632" t="s">
        <v>43166</v>
      </c>
      <c r="O1632" t="s">
        <v>43167</v>
      </c>
      <c r="P1632">
        <v>0</v>
      </c>
      <c r="Q1632">
        <v>0</v>
      </c>
      <c r="R1632" t="s">
        <v>43170</v>
      </c>
      <c r="S1632" t="s">
        <v>43297</v>
      </c>
      <c r="T1632" t="s">
        <v>44717</v>
      </c>
      <c r="U1632" t="s">
        <v>46528</v>
      </c>
      <c r="W1632" t="s">
        <v>40005</v>
      </c>
      <c r="X1632" t="s">
        <v>43171</v>
      </c>
    </row>
    <row r="1633" spans="1:24">
      <c r="A1633">
        <f>HYPERLINK("https://www.philgeps.gov.ph/GEPSNONPILOT/Tender/SplashBidNoticeAbstractUI.aspx?menuIndex=3&amp;refID=7084728&amp;Result=3","7084728")</f>
        <v>0</v>
      </c>
      <c r="B1633" t="s">
        <v>698</v>
      </c>
      <c r="C1633" t="s">
        <v>4989</v>
      </c>
      <c r="D1633" t="s">
        <v>17440</v>
      </c>
      <c r="E1633" t="s">
        <v>18926</v>
      </c>
      <c r="F1633" t="s">
        <v>30052</v>
      </c>
      <c r="G1633" t="s">
        <v>30059</v>
      </c>
      <c r="H1633" t="s">
        <v>15498</v>
      </c>
      <c r="I1633" t="s">
        <v>30076</v>
      </c>
      <c r="J1633" t="s">
        <v>30256</v>
      </c>
      <c r="K1633" t="s">
        <v>39017</v>
      </c>
      <c r="M1633" t="s">
        <v>40006</v>
      </c>
      <c r="N1633" t="s">
        <v>43166</v>
      </c>
      <c r="O1633" t="s">
        <v>43167</v>
      </c>
      <c r="P1633">
        <v>0</v>
      </c>
      <c r="Q1633">
        <v>12</v>
      </c>
      <c r="R1633" t="s">
        <v>43170</v>
      </c>
      <c r="S1633" t="s">
        <v>43297</v>
      </c>
      <c r="T1633" t="s">
        <v>44771</v>
      </c>
      <c r="U1633" t="s">
        <v>46529</v>
      </c>
      <c r="W1633" t="s">
        <v>40006</v>
      </c>
      <c r="X1633" t="s">
        <v>43171</v>
      </c>
    </row>
    <row r="1634" spans="1:24">
      <c r="A1634">
        <f>HYPERLINK("https://www.philgeps.gov.ph/GEPSNONPILOT/Tender/SplashBidNoticeAbstractUI.aspx?menuIndex=3&amp;refID=7084709&amp;Result=3","7084709")</f>
        <v>0</v>
      </c>
      <c r="B1634" t="s">
        <v>699</v>
      </c>
      <c r="C1634" t="s">
        <v>4990</v>
      </c>
      <c r="D1634" t="s">
        <v>17430</v>
      </c>
      <c r="E1634" t="s">
        <v>18927</v>
      </c>
      <c r="F1634" t="s">
        <v>30052</v>
      </c>
      <c r="G1634" t="s">
        <v>30058</v>
      </c>
      <c r="H1634" t="s">
        <v>30067</v>
      </c>
      <c r="I1634" t="s">
        <v>3736</v>
      </c>
      <c r="J1634" t="s">
        <v>31363</v>
      </c>
      <c r="K1634" t="s">
        <v>39029</v>
      </c>
      <c r="M1634" t="s">
        <v>40007</v>
      </c>
      <c r="N1634" t="s">
        <v>43166</v>
      </c>
      <c r="O1634" t="s">
        <v>43167</v>
      </c>
      <c r="P1634">
        <v>0</v>
      </c>
      <c r="Q1634">
        <v>0</v>
      </c>
      <c r="R1634" t="s">
        <v>43170</v>
      </c>
      <c r="S1634" t="s">
        <v>43297</v>
      </c>
      <c r="T1634" t="s">
        <v>44725</v>
      </c>
      <c r="U1634" t="s">
        <v>46530</v>
      </c>
      <c r="V1634" t="s">
        <v>57004</v>
      </c>
      <c r="W1634" t="s">
        <v>40007</v>
      </c>
      <c r="X1634" t="s">
        <v>43171</v>
      </c>
    </row>
    <row r="1635" spans="1:24">
      <c r="A1635">
        <f>HYPERLINK("https://www.philgeps.gov.ph/GEPSNONPILOT/Tender/SplashBidNoticeAbstractUI.aspx?menuIndex=3&amp;refID=7084724&amp;Result=3","7084724")</f>
        <v>0</v>
      </c>
      <c r="B1635" t="s">
        <v>687</v>
      </c>
      <c r="C1635" t="s">
        <v>4991</v>
      </c>
      <c r="D1635" t="s">
        <v>17435</v>
      </c>
      <c r="E1635" t="s">
        <v>18928</v>
      </c>
      <c r="F1635" t="s">
        <v>30052</v>
      </c>
      <c r="G1635" t="s">
        <v>30061</v>
      </c>
      <c r="H1635" t="s">
        <v>15498</v>
      </c>
      <c r="I1635" t="s">
        <v>30070</v>
      </c>
      <c r="J1635" t="s">
        <v>31364</v>
      </c>
      <c r="K1635" t="s">
        <v>39017</v>
      </c>
      <c r="M1635" t="s">
        <v>39993</v>
      </c>
      <c r="N1635" t="s">
        <v>43166</v>
      </c>
      <c r="O1635" t="s">
        <v>43167</v>
      </c>
      <c r="P1635">
        <v>0</v>
      </c>
      <c r="Q1635">
        <v>1</v>
      </c>
      <c r="R1635" t="s">
        <v>43170</v>
      </c>
      <c r="S1635" t="s">
        <v>43297</v>
      </c>
      <c r="T1635" t="s">
        <v>44830</v>
      </c>
      <c r="U1635" t="s">
        <v>46531</v>
      </c>
      <c r="W1635" t="s">
        <v>39993</v>
      </c>
      <c r="X1635" t="s">
        <v>43171</v>
      </c>
    </row>
    <row r="1636" spans="1:24">
      <c r="A1636">
        <f>HYPERLINK("https://www.philgeps.gov.ph/GEPSNONPILOT/Tender/SplashBidNoticeAbstractUI.aspx?menuIndex=3&amp;refID=7084679&amp;Result=3","7084679")</f>
        <v>0</v>
      </c>
      <c r="B1636" t="s">
        <v>529</v>
      </c>
      <c r="C1636" t="s">
        <v>4614</v>
      </c>
      <c r="D1636" t="s">
        <v>17474</v>
      </c>
      <c r="E1636" t="s">
        <v>18929</v>
      </c>
      <c r="F1636" t="s">
        <v>30052</v>
      </c>
      <c r="G1636" t="s">
        <v>30058</v>
      </c>
      <c r="H1636" t="s">
        <v>15498</v>
      </c>
      <c r="I1636" t="s">
        <v>3736</v>
      </c>
      <c r="J1636" t="s">
        <v>31365</v>
      </c>
      <c r="K1636" t="s">
        <v>39034</v>
      </c>
      <c r="M1636" t="s">
        <v>39831</v>
      </c>
      <c r="N1636" t="s">
        <v>43166</v>
      </c>
      <c r="O1636" t="s">
        <v>43167</v>
      </c>
      <c r="P1636">
        <v>0</v>
      </c>
      <c r="Q1636">
        <v>0</v>
      </c>
      <c r="R1636" t="s">
        <v>43170</v>
      </c>
      <c r="S1636" t="s">
        <v>43297</v>
      </c>
      <c r="T1636" t="s">
        <v>44704</v>
      </c>
      <c r="U1636" t="s">
        <v>46532</v>
      </c>
      <c r="V1636" t="s">
        <v>57005</v>
      </c>
      <c r="W1636" t="s">
        <v>39831</v>
      </c>
      <c r="X1636" t="s">
        <v>43171</v>
      </c>
    </row>
    <row r="1637" spans="1:24">
      <c r="A1637">
        <f>HYPERLINK("https://www.philgeps.gov.ph/GEPSNONPILOT/Tender/SplashBidNoticeAbstractUI.aspx?menuIndex=3&amp;refID=7084743&amp;Result=3","7084743")</f>
        <v>0</v>
      </c>
      <c r="B1637" t="s">
        <v>568</v>
      </c>
      <c r="C1637" t="s">
        <v>4992</v>
      </c>
      <c r="D1637" t="s">
        <v>17437</v>
      </c>
      <c r="E1637" t="s">
        <v>18930</v>
      </c>
      <c r="F1637" t="s">
        <v>30052</v>
      </c>
      <c r="G1637" t="s">
        <v>30059</v>
      </c>
      <c r="H1637" t="s">
        <v>30067</v>
      </c>
      <c r="I1637" t="s">
        <v>3693</v>
      </c>
      <c r="J1637" t="s">
        <v>30227</v>
      </c>
      <c r="K1637" t="s">
        <v>39029</v>
      </c>
      <c r="M1637" t="s">
        <v>39870</v>
      </c>
      <c r="N1637" t="s">
        <v>43166</v>
      </c>
      <c r="O1637" t="s">
        <v>43167</v>
      </c>
      <c r="P1637">
        <v>0</v>
      </c>
      <c r="Q1637">
        <v>1</v>
      </c>
      <c r="R1637" t="s">
        <v>43170</v>
      </c>
      <c r="S1637" t="s">
        <v>43297</v>
      </c>
      <c r="T1637" t="s">
        <v>44710</v>
      </c>
      <c r="U1637" t="s">
        <v>46533</v>
      </c>
      <c r="V1637" t="s">
        <v>57006</v>
      </c>
      <c r="W1637" t="s">
        <v>39870</v>
      </c>
      <c r="X1637" t="s">
        <v>43171</v>
      </c>
    </row>
    <row r="1638" spans="1:24">
      <c r="A1638">
        <f>HYPERLINK("https://www.philgeps.gov.ph/GEPSNONPILOT/Tender/SplashBidNoticeAbstractUI.aspx?menuIndex=3&amp;refID=7084779&amp;Result=3","7084779")</f>
        <v>0</v>
      </c>
      <c r="B1638" t="s">
        <v>201</v>
      </c>
      <c r="C1638" t="s">
        <v>4993</v>
      </c>
      <c r="E1638" t="s">
        <v>18931</v>
      </c>
      <c r="F1638" t="s">
        <v>30052</v>
      </c>
      <c r="G1638" t="s">
        <v>30059</v>
      </c>
      <c r="H1638" t="s">
        <v>15498</v>
      </c>
      <c r="I1638" t="s">
        <v>30100</v>
      </c>
      <c r="J1638" t="s">
        <v>31366</v>
      </c>
      <c r="K1638" t="s">
        <v>39025</v>
      </c>
      <c r="M1638" t="s">
        <v>40008</v>
      </c>
      <c r="N1638" t="s">
        <v>43166</v>
      </c>
      <c r="O1638" t="s">
        <v>43167</v>
      </c>
      <c r="P1638">
        <v>0</v>
      </c>
      <c r="Q1638">
        <v>0</v>
      </c>
      <c r="R1638" t="s">
        <v>43170</v>
      </c>
      <c r="S1638" t="s">
        <v>43297</v>
      </c>
      <c r="T1638" t="s">
        <v>44714</v>
      </c>
      <c r="U1638" t="s">
        <v>46534</v>
      </c>
      <c r="W1638" t="s">
        <v>40008</v>
      </c>
      <c r="X1638" t="s">
        <v>43171</v>
      </c>
    </row>
    <row r="1639" spans="1:24">
      <c r="A1639">
        <f>HYPERLINK("https://www.philgeps.gov.ph/GEPSNONPILOT/Tender/SplashBidNoticeAbstractUI.aspx?menuIndex=3&amp;refID=7084713&amp;Result=3","7084713")</f>
        <v>0</v>
      </c>
      <c r="B1639" t="s">
        <v>682</v>
      </c>
      <c r="C1639" t="s">
        <v>4994</v>
      </c>
      <c r="D1639" t="s">
        <v>17447</v>
      </c>
      <c r="E1639" t="s">
        <v>18932</v>
      </c>
      <c r="F1639" t="s">
        <v>30052</v>
      </c>
      <c r="G1639" t="s">
        <v>30059</v>
      </c>
      <c r="H1639" t="s">
        <v>15498</v>
      </c>
      <c r="I1639" t="s">
        <v>30084</v>
      </c>
      <c r="J1639" t="s">
        <v>31177</v>
      </c>
      <c r="K1639" t="s">
        <v>39019</v>
      </c>
      <c r="M1639" t="s">
        <v>39988</v>
      </c>
      <c r="N1639" t="s">
        <v>43166</v>
      </c>
      <c r="O1639" t="s">
        <v>43167</v>
      </c>
      <c r="P1639">
        <v>0</v>
      </c>
      <c r="Q1639">
        <v>0</v>
      </c>
      <c r="R1639" t="s">
        <v>43170</v>
      </c>
      <c r="S1639" t="s">
        <v>43297</v>
      </c>
      <c r="T1639" t="s">
        <v>44735</v>
      </c>
      <c r="U1639" t="s">
        <v>46501</v>
      </c>
      <c r="W1639" t="s">
        <v>58608</v>
      </c>
      <c r="X1639" t="s">
        <v>43171</v>
      </c>
    </row>
    <row r="1640" spans="1:24">
      <c r="A1640">
        <f>HYPERLINK("https://www.philgeps.gov.ph/GEPSNONPILOT/Tender/SplashBidNoticeAbstractUI.aspx?menuIndex=3&amp;refID=7084776&amp;Result=3","7084776")</f>
        <v>0</v>
      </c>
      <c r="B1640" t="s">
        <v>700</v>
      </c>
      <c r="C1640" t="s">
        <v>4995</v>
      </c>
      <c r="D1640" t="s">
        <v>17458</v>
      </c>
      <c r="E1640" t="s">
        <v>18933</v>
      </c>
      <c r="F1640" t="s">
        <v>30052</v>
      </c>
      <c r="G1640" t="s">
        <v>30062</v>
      </c>
      <c r="H1640" t="s">
        <v>15498</v>
      </c>
      <c r="I1640" t="s">
        <v>4119</v>
      </c>
      <c r="J1640" t="s">
        <v>31367</v>
      </c>
      <c r="K1640" t="s">
        <v>39019</v>
      </c>
      <c r="M1640" t="s">
        <v>40009</v>
      </c>
      <c r="N1640" t="s">
        <v>43166</v>
      </c>
      <c r="O1640" t="s">
        <v>43167</v>
      </c>
      <c r="P1640">
        <v>0</v>
      </c>
      <c r="Q1640">
        <v>5</v>
      </c>
      <c r="R1640" t="s">
        <v>43170</v>
      </c>
      <c r="S1640" t="s">
        <v>43297</v>
      </c>
      <c r="T1640" t="s">
        <v>44717</v>
      </c>
      <c r="U1640" t="s">
        <v>46535</v>
      </c>
      <c r="W1640" t="s">
        <v>58609</v>
      </c>
      <c r="X1640" t="s">
        <v>43171</v>
      </c>
    </row>
    <row r="1641" spans="1:24">
      <c r="A1641">
        <f>HYPERLINK("https://www.philgeps.gov.ph/GEPSNONPILOT/Tender/SplashBidNoticeAbstractUI.aspx?menuIndex=3&amp;refID=7084711&amp;Result=3","7084711")</f>
        <v>0</v>
      </c>
      <c r="B1641" t="s">
        <v>687</v>
      </c>
      <c r="C1641" t="s">
        <v>4996</v>
      </c>
      <c r="D1641" t="s">
        <v>17435</v>
      </c>
      <c r="E1641" t="s">
        <v>18934</v>
      </c>
      <c r="F1641" t="s">
        <v>30052</v>
      </c>
      <c r="G1641" t="s">
        <v>30061</v>
      </c>
      <c r="H1641" t="s">
        <v>15498</v>
      </c>
      <c r="I1641" t="s">
        <v>30105</v>
      </c>
      <c r="J1641" t="s">
        <v>31368</v>
      </c>
      <c r="K1641" t="s">
        <v>39017</v>
      </c>
      <c r="M1641" t="s">
        <v>39993</v>
      </c>
      <c r="N1641" t="s">
        <v>43166</v>
      </c>
      <c r="O1641" t="s">
        <v>43167</v>
      </c>
      <c r="P1641">
        <v>0</v>
      </c>
      <c r="Q1641">
        <v>3</v>
      </c>
      <c r="R1641" t="s">
        <v>43170</v>
      </c>
      <c r="S1641" t="s">
        <v>43297</v>
      </c>
      <c r="T1641" t="s">
        <v>44830</v>
      </c>
      <c r="U1641" t="s">
        <v>46536</v>
      </c>
      <c r="W1641" t="s">
        <v>39993</v>
      </c>
      <c r="X1641" t="s">
        <v>43171</v>
      </c>
    </row>
    <row r="1642" spans="1:24">
      <c r="A1642">
        <f>HYPERLINK("https://www.philgeps.gov.ph/GEPSNONPILOT/Tender/SplashBidNoticeAbstractUI.aspx?menuIndex=3&amp;refID=7084705&amp;Result=3","7084705")</f>
        <v>0</v>
      </c>
      <c r="B1642" t="s">
        <v>687</v>
      </c>
      <c r="C1642" t="s">
        <v>4997</v>
      </c>
      <c r="D1642" t="s">
        <v>17435</v>
      </c>
      <c r="E1642" t="s">
        <v>18935</v>
      </c>
      <c r="F1642" t="s">
        <v>30052</v>
      </c>
      <c r="G1642" t="s">
        <v>30061</v>
      </c>
      <c r="H1642" t="s">
        <v>15498</v>
      </c>
      <c r="I1642" t="s">
        <v>3736</v>
      </c>
      <c r="J1642" t="s">
        <v>31362</v>
      </c>
      <c r="K1642" t="s">
        <v>39017</v>
      </c>
      <c r="M1642" t="s">
        <v>39993</v>
      </c>
      <c r="N1642" t="s">
        <v>43166</v>
      </c>
      <c r="O1642" t="s">
        <v>43167</v>
      </c>
      <c r="P1642">
        <v>0</v>
      </c>
      <c r="Q1642">
        <v>2</v>
      </c>
      <c r="R1642" t="s">
        <v>43170</v>
      </c>
      <c r="S1642" t="s">
        <v>43297</v>
      </c>
      <c r="T1642" t="s">
        <v>44830</v>
      </c>
      <c r="U1642" t="s">
        <v>46537</v>
      </c>
      <c r="W1642" t="s">
        <v>39993</v>
      </c>
      <c r="X1642" t="s">
        <v>43171</v>
      </c>
    </row>
    <row r="1643" spans="1:24">
      <c r="A1643">
        <f>HYPERLINK("https://www.philgeps.gov.ph/GEPSNONPILOT/Tender/SplashBidNoticeAbstractUI.aspx?menuIndex=3&amp;refID=7084773&amp;Result=3","7084773")</f>
        <v>0</v>
      </c>
      <c r="B1643" t="s">
        <v>701</v>
      </c>
      <c r="C1643" t="s">
        <v>4998</v>
      </c>
      <c r="D1643" t="s">
        <v>17419</v>
      </c>
      <c r="E1643" t="s">
        <v>18936</v>
      </c>
      <c r="F1643" t="s">
        <v>30052</v>
      </c>
      <c r="G1643" t="s">
        <v>30059</v>
      </c>
      <c r="H1643" t="s">
        <v>15498</v>
      </c>
      <c r="I1643" t="s">
        <v>3736</v>
      </c>
      <c r="J1643" t="s">
        <v>31369</v>
      </c>
      <c r="K1643" t="s">
        <v>39025</v>
      </c>
      <c r="M1643" t="s">
        <v>40010</v>
      </c>
      <c r="N1643" t="s">
        <v>43166</v>
      </c>
      <c r="O1643" t="s">
        <v>43167</v>
      </c>
      <c r="P1643">
        <v>0</v>
      </c>
      <c r="Q1643">
        <v>0</v>
      </c>
      <c r="R1643" t="s">
        <v>43170</v>
      </c>
      <c r="S1643" t="s">
        <v>43297</v>
      </c>
      <c r="T1643" t="s">
        <v>44717</v>
      </c>
      <c r="U1643" t="s">
        <v>46538</v>
      </c>
      <c r="W1643" t="s">
        <v>40010</v>
      </c>
      <c r="X1643" t="s">
        <v>43171</v>
      </c>
    </row>
    <row r="1644" spans="1:24">
      <c r="A1644">
        <f>HYPERLINK("https://www.philgeps.gov.ph/GEPSNONPILOT/Tender/SplashBidNoticeAbstractUI.aspx?menuIndex=3&amp;refID=7084704&amp;Result=3","7084704")</f>
        <v>0</v>
      </c>
      <c r="B1644" t="s">
        <v>702</v>
      </c>
      <c r="C1644" t="s">
        <v>4999</v>
      </c>
      <c r="D1644" t="s">
        <v>17453</v>
      </c>
      <c r="E1644" t="s">
        <v>18937</v>
      </c>
      <c r="F1644" t="s">
        <v>30052</v>
      </c>
      <c r="G1644" t="s">
        <v>30059</v>
      </c>
      <c r="H1644" t="s">
        <v>15498</v>
      </c>
      <c r="I1644" t="s">
        <v>4598</v>
      </c>
      <c r="J1644" t="s">
        <v>31370</v>
      </c>
      <c r="K1644" t="s">
        <v>39046</v>
      </c>
      <c r="M1644" t="s">
        <v>40011</v>
      </c>
      <c r="N1644" t="s">
        <v>43166</v>
      </c>
      <c r="O1644" t="s">
        <v>43167</v>
      </c>
      <c r="P1644">
        <v>0</v>
      </c>
      <c r="Q1644">
        <v>2</v>
      </c>
      <c r="R1644" t="s">
        <v>43170</v>
      </c>
      <c r="S1644" t="s">
        <v>43297</v>
      </c>
      <c r="T1644" t="s">
        <v>44735</v>
      </c>
      <c r="U1644" t="s">
        <v>46539</v>
      </c>
      <c r="V1644" t="s">
        <v>57007</v>
      </c>
      <c r="W1644" t="s">
        <v>40011</v>
      </c>
      <c r="X1644" t="s">
        <v>43171</v>
      </c>
    </row>
    <row r="1645" spans="1:24">
      <c r="A1645">
        <f>HYPERLINK("https://www.philgeps.gov.ph/GEPSNONPILOT/Tender/SplashBidNoticeAbstractUI.aspx?menuIndex=3&amp;refID=7084771&amp;Result=3","7084771")</f>
        <v>0</v>
      </c>
      <c r="B1645" t="s">
        <v>703</v>
      </c>
      <c r="C1645" t="s">
        <v>5000</v>
      </c>
      <c r="D1645" t="s">
        <v>17445</v>
      </c>
      <c r="E1645" t="s">
        <v>18938</v>
      </c>
      <c r="F1645" t="s">
        <v>30052</v>
      </c>
      <c r="G1645" t="s">
        <v>30058</v>
      </c>
      <c r="H1645" t="s">
        <v>30067</v>
      </c>
      <c r="I1645" t="s">
        <v>3693</v>
      </c>
      <c r="J1645" t="s">
        <v>31371</v>
      </c>
      <c r="K1645" t="s">
        <v>39031</v>
      </c>
      <c r="M1645" t="s">
        <v>40012</v>
      </c>
      <c r="N1645" t="s">
        <v>43166</v>
      </c>
      <c r="O1645" t="s">
        <v>43167</v>
      </c>
      <c r="P1645">
        <v>0</v>
      </c>
      <c r="Q1645">
        <v>0</v>
      </c>
      <c r="R1645" t="s">
        <v>43170</v>
      </c>
      <c r="S1645" t="s">
        <v>43297</v>
      </c>
      <c r="T1645" t="s">
        <v>44877</v>
      </c>
      <c r="U1645" t="s">
        <v>46540</v>
      </c>
      <c r="W1645" t="s">
        <v>40012</v>
      </c>
      <c r="X1645" t="s">
        <v>43171</v>
      </c>
    </row>
    <row r="1646" spans="1:24">
      <c r="A1646">
        <f>HYPERLINK("https://www.philgeps.gov.ph/GEPSNONPILOT/Tender/SplashBidNoticeAbstractUI.aspx?menuIndex=3&amp;refID=7084715&amp;Result=3","7084715")</f>
        <v>0</v>
      </c>
      <c r="B1646" t="s">
        <v>704</v>
      </c>
      <c r="C1646" t="s">
        <v>5001</v>
      </c>
      <c r="D1646" t="s">
        <v>17422</v>
      </c>
      <c r="E1646" t="s">
        <v>18939</v>
      </c>
      <c r="F1646" t="s">
        <v>30052</v>
      </c>
      <c r="G1646" t="s">
        <v>30061</v>
      </c>
      <c r="H1646" t="s">
        <v>15498</v>
      </c>
      <c r="I1646" t="s">
        <v>4642</v>
      </c>
      <c r="J1646" t="s">
        <v>30230</v>
      </c>
      <c r="K1646" t="s">
        <v>39019</v>
      </c>
      <c r="M1646" t="s">
        <v>40013</v>
      </c>
      <c r="N1646" t="s">
        <v>43166</v>
      </c>
      <c r="O1646" t="s">
        <v>43167</v>
      </c>
      <c r="P1646">
        <v>0</v>
      </c>
      <c r="Q1646">
        <v>1</v>
      </c>
      <c r="R1646" t="s">
        <v>43170</v>
      </c>
      <c r="S1646" t="s">
        <v>43297</v>
      </c>
      <c r="T1646" t="s">
        <v>44715</v>
      </c>
      <c r="U1646" t="s">
        <v>46541</v>
      </c>
      <c r="W1646" t="s">
        <v>40013</v>
      </c>
      <c r="X1646" t="s">
        <v>43171</v>
      </c>
    </row>
    <row r="1647" spans="1:24">
      <c r="A1647">
        <f>HYPERLINK("https://www.philgeps.gov.ph/GEPSNONPILOT/Tender/SplashBidNoticeAbstractUI.aspx?menuIndex=3&amp;refID=7084683&amp;Result=3","7084683")</f>
        <v>0</v>
      </c>
      <c r="B1647" t="s">
        <v>705</v>
      </c>
      <c r="C1647" t="s">
        <v>5002</v>
      </c>
      <c r="D1647" t="s">
        <v>17414</v>
      </c>
      <c r="E1647" t="s">
        <v>18940</v>
      </c>
      <c r="F1647" t="s">
        <v>30052</v>
      </c>
      <c r="G1647" t="s">
        <v>30059</v>
      </c>
      <c r="H1647" t="s">
        <v>15498</v>
      </c>
      <c r="I1647" t="s">
        <v>30120</v>
      </c>
      <c r="J1647" t="s">
        <v>31372</v>
      </c>
      <c r="K1647" t="s">
        <v>39017</v>
      </c>
      <c r="M1647" t="s">
        <v>40014</v>
      </c>
      <c r="N1647" t="s">
        <v>43166</v>
      </c>
      <c r="O1647" t="s">
        <v>43167</v>
      </c>
      <c r="P1647">
        <v>0</v>
      </c>
      <c r="Q1647">
        <v>0</v>
      </c>
      <c r="R1647" t="s">
        <v>43170</v>
      </c>
      <c r="S1647" t="s">
        <v>43297</v>
      </c>
      <c r="T1647" t="s">
        <v>44878</v>
      </c>
      <c r="U1647" t="s">
        <v>46542</v>
      </c>
      <c r="V1647" t="s">
        <v>57008</v>
      </c>
      <c r="W1647" t="s">
        <v>40014</v>
      </c>
      <c r="X1647" t="s">
        <v>43171</v>
      </c>
    </row>
    <row r="1648" spans="1:24">
      <c r="A1648">
        <f>HYPERLINK("https://www.philgeps.gov.ph/GEPSNONPILOT/Tender/SplashBidNoticeAbstractUI.aspx?menuIndex=3&amp;refID=7084763&amp;Result=3","7084763")</f>
        <v>0</v>
      </c>
      <c r="B1648" t="s">
        <v>706</v>
      </c>
      <c r="C1648" t="s">
        <v>5003</v>
      </c>
      <c r="D1648" t="s">
        <v>17436</v>
      </c>
      <c r="E1648" t="s">
        <v>18941</v>
      </c>
      <c r="F1648" t="s">
        <v>30052</v>
      </c>
      <c r="G1648" t="s">
        <v>30059</v>
      </c>
      <c r="H1648" t="s">
        <v>15498</v>
      </c>
      <c r="I1648" t="s">
        <v>30084</v>
      </c>
      <c r="J1648" t="s">
        <v>30377</v>
      </c>
      <c r="K1648" t="s">
        <v>39034</v>
      </c>
      <c r="M1648" t="s">
        <v>40015</v>
      </c>
      <c r="N1648" t="s">
        <v>43166</v>
      </c>
      <c r="O1648" t="s">
        <v>43167</v>
      </c>
      <c r="P1648">
        <v>0</v>
      </c>
      <c r="Q1648">
        <v>1</v>
      </c>
      <c r="R1648" t="s">
        <v>43170</v>
      </c>
      <c r="S1648" t="s">
        <v>43297</v>
      </c>
      <c r="T1648" t="s">
        <v>44717</v>
      </c>
      <c r="U1648" t="s">
        <v>46543</v>
      </c>
      <c r="W1648" t="s">
        <v>40015</v>
      </c>
      <c r="X1648" t="s">
        <v>43171</v>
      </c>
    </row>
    <row r="1649" spans="1:24">
      <c r="A1649">
        <f>HYPERLINK("https://www.philgeps.gov.ph/GEPSNONPILOT/Tender/SplashBidNoticeAbstractUI.aspx?menuIndex=3&amp;refID=7084762&amp;Result=3","7084762")</f>
        <v>0</v>
      </c>
      <c r="B1649" t="s">
        <v>694</v>
      </c>
      <c r="C1649" t="s">
        <v>5004</v>
      </c>
      <c r="D1649" t="s">
        <v>17476</v>
      </c>
      <c r="E1649" t="s">
        <v>18942</v>
      </c>
      <c r="F1649" t="s">
        <v>30052</v>
      </c>
      <c r="G1649" t="s">
        <v>30059</v>
      </c>
      <c r="H1649" t="s">
        <v>15498</v>
      </c>
      <c r="I1649" t="s">
        <v>30081</v>
      </c>
      <c r="J1649" t="s">
        <v>31005</v>
      </c>
      <c r="K1649" t="s">
        <v>39064</v>
      </c>
      <c r="M1649" t="s">
        <v>40001</v>
      </c>
      <c r="N1649" t="s">
        <v>43166</v>
      </c>
      <c r="O1649" t="s">
        <v>43167</v>
      </c>
      <c r="P1649">
        <v>0</v>
      </c>
      <c r="Q1649">
        <v>0</v>
      </c>
      <c r="R1649" t="s">
        <v>43170</v>
      </c>
      <c r="S1649" t="s">
        <v>43297</v>
      </c>
      <c r="T1649" t="s">
        <v>44844</v>
      </c>
      <c r="U1649" t="s">
        <v>46544</v>
      </c>
      <c r="W1649" t="s">
        <v>40001</v>
      </c>
      <c r="X1649" t="s">
        <v>43171</v>
      </c>
    </row>
    <row r="1650" spans="1:24">
      <c r="A1650">
        <f>HYPERLINK("https://www.philgeps.gov.ph/GEPSNONPILOT/Tender/SplashBidNoticeAbstractUI.aspx?menuIndex=3&amp;refID=7084775&amp;Result=3","7084775")</f>
        <v>0</v>
      </c>
      <c r="B1650" t="s">
        <v>707</v>
      </c>
      <c r="C1650" t="s">
        <v>5005</v>
      </c>
      <c r="D1650" t="s">
        <v>17438</v>
      </c>
      <c r="E1650" t="s">
        <v>18943</v>
      </c>
      <c r="F1650" t="s">
        <v>30052</v>
      </c>
      <c r="G1650" t="s">
        <v>30058</v>
      </c>
      <c r="H1650" t="s">
        <v>30067</v>
      </c>
      <c r="I1650" t="s">
        <v>3693</v>
      </c>
      <c r="J1650" t="s">
        <v>30222</v>
      </c>
      <c r="K1650" t="s">
        <v>39034</v>
      </c>
      <c r="M1650" t="s">
        <v>40016</v>
      </c>
      <c r="N1650" t="s">
        <v>43166</v>
      </c>
      <c r="O1650" t="s">
        <v>43167</v>
      </c>
      <c r="P1650">
        <v>0</v>
      </c>
      <c r="Q1650">
        <v>2</v>
      </c>
      <c r="R1650" t="s">
        <v>43170</v>
      </c>
      <c r="S1650" t="s">
        <v>43297</v>
      </c>
      <c r="T1650" t="s">
        <v>44752</v>
      </c>
      <c r="U1650" t="s">
        <v>46545</v>
      </c>
      <c r="W1650" t="s">
        <v>40016</v>
      </c>
      <c r="X1650" t="s">
        <v>43171</v>
      </c>
    </row>
    <row r="1651" spans="1:24">
      <c r="A1651">
        <f>HYPERLINK("https://www.philgeps.gov.ph/GEPSNONPILOT/Tender/SplashBidNoticeAbstractUI.aspx?menuIndex=3&amp;refID=7084774&amp;Result=3","7084774")</f>
        <v>0</v>
      </c>
      <c r="B1651" t="s">
        <v>708</v>
      </c>
      <c r="C1651" t="s">
        <v>5006</v>
      </c>
      <c r="D1651" t="s">
        <v>17415</v>
      </c>
      <c r="E1651" t="s">
        <v>18944</v>
      </c>
      <c r="F1651" t="s">
        <v>30052</v>
      </c>
      <c r="G1651" t="s">
        <v>30059</v>
      </c>
      <c r="H1651" t="s">
        <v>15498</v>
      </c>
      <c r="I1651" t="s">
        <v>30084</v>
      </c>
      <c r="J1651" t="s">
        <v>31163</v>
      </c>
      <c r="K1651" t="s">
        <v>39017</v>
      </c>
      <c r="M1651" t="s">
        <v>40017</v>
      </c>
      <c r="N1651" t="s">
        <v>43166</v>
      </c>
      <c r="O1651" t="s">
        <v>43167</v>
      </c>
      <c r="P1651">
        <v>0</v>
      </c>
      <c r="Q1651">
        <v>3</v>
      </c>
      <c r="R1651" t="s">
        <v>43170</v>
      </c>
      <c r="S1651" t="s">
        <v>43297</v>
      </c>
      <c r="T1651" t="s">
        <v>44732</v>
      </c>
      <c r="U1651" t="s">
        <v>46546</v>
      </c>
      <c r="V1651" t="s">
        <v>57009</v>
      </c>
      <c r="W1651" t="s">
        <v>40017</v>
      </c>
      <c r="X1651" t="s">
        <v>43171</v>
      </c>
    </row>
    <row r="1652" spans="1:24">
      <c r="A1652">
        <f>HYPERLINK("https://www.philgeps.gov.ph/GEPSNONPILOT/Tender/SplashBidNoticeAbstractUI.aspx?menuIndex=3&amp;refID=7084772&amp;Result=3","7084772")</f>
        <v>0</v>
      </c>
      <c r="B1652" t="s">
        <v>709</v>
      </c>
      <c r="C1652" t="s">
        <v>5007</v>
      </c>
      <c r="D1652" t="s">
        <v>17485</v>
      </c>
      <c r="E1652" t="s">
        <v>18945</v>
      </c>
      <c r="F1652" t="s">
        <v>30052</v>
      </c>
      <c r="G1652" t="s">
        <v>30059</v>
      </c>
      <c r="H1652" t="s">
        <v>15498</v>
      </c>
      <c r="I1652" t="s">
        <v>8323</v>
      </c>
      <c r="J1652" t="s">
        <v>31373</v>
      </c>
      <c r="K1652" t="s">
        <v>39019</v>
      </c>
      <c r="M1652" t="s">
        <v>40018</v>
      </c>
      <c r="N1652" t="s">
        <v>43166</v>
      </c>
      <c r="O1652" t="s">
        <v>43167</v>
      </c>
      <c r="P1652">
        <v>0</v>
      </c>
      <c r="Q1652">
        <v>0</v>
      </c>
      <c r="R1652" t="s">
        <v>43170</v>
      </c>
      <c r="S1652" t="s">
        <v>43297</v>
      </c>
      <c r="T1652" t="s">
        <v>44681</v>
      </c>
      <c r="U1652" t="s">
        <v>46547</v>
      </c>
      <c r="W1652" t="s">
        <v>40018</v>
      </c>
      <c r="X1652" t="s">
        <v>43171</v>
      </c>
    </row>
    <row r="1653" spans="1:24">
      <c r="A1653">
        <f>HYPERLINK("https://www.philgeps.gov.ph/GEPSNONPILOT/Tender/SplashBidNoticeAbstractUI.aspx?menuIndex=3&amp;refID=7084818&amp;Result=3","7084818")</f>
        <v>0</v>
      </c>
      <c r="B1653" t="s">
        <v>710</v>
      </c>
      <c r="C1653" t="s">
        <v>5008</v>
      </c>
      <c r="D1653" t="s">
        <v>17415</v>
      </c>
      <c r="E1653" t="s">
        <v>18946</v>
      </c>
      <c r="F1653" t="s">
        <v>30052</v>
      </c>
      <c r="G1653" t="s">
        <v>30062</v>
      </c>
      <c r="H1653" t="s">
        <v>15498</v>
      </c>
      <c r="I1653" t="s">
        <v>30070</v>
      </c>
      <c r="J1653" t="s">
        <v>31374</v>
      </c>
      <c r="K1653" t="s">
        <v>39017</v>
      </c>
      <c r="M1653" t="s">
        <v>40019</v>
      </c>
      <c r="N1653" t="s">
        <v>43166</v>
      </c>
      <c r="O1653" t="s">
        <v>43167</v>
      </c>
      <c r="P1653">
        <v>0</v>
      </c>
      <c r="Q1653">
        <v>3</v>
      </c>
      <c r="R1653" t="s">
        <v>43170</v>
      </c>
      <c r="S1653" t="s">
        <v>43297</v>
      </c>
      <c r="T1653" t="s">
        <v>44710</v>
      </c>
      <c r="U1653" t="s">
        <v>46548</v>
      </c>
      <c r="V1653" t="s">
        <v>57010</v>
      </c>
      <c r="W1653" t="s">
        <v>40019</v>
      </c>
      <c r="X1653" t="s">
        <v>43171</v>
      </c>
    </row>
    <row r="1654" spans="1:24">
      <c r="A1654">
        <f>HYPERLINK("https://www.philgeps.gov.ph/GEPSNONPILOT/Tender/SplashBidNoticeAbstractUI.aspx?menuIndex=3&amp;refID=7084768&amp;Result=3","7084768")</f>
        <v>0</v>
      </c>
      <c r="B1654" t="s">
        <v>711</v>
      </c>
      <c r="C1654" t="s">
        <v>5009</v>
      </c>
      <c r="D1654" t="s">
        <v>17496</v>
      </c>
      <c r="E1654" t="s">
        <v>18947</v>
      </c>
      <c r="F1654" t="s">
        <v>30052</v>
      </c>
      <c r="G1654" t="s">
        <v>30058</v>
      </c>
      <c r="H1654" t="s">
        <v>15498</v>
      </c>
      <c r="I1654" t="s">
        <v>30074</v>
      </c>
      <c r="J1654" t="s">
        <v>31375</v>
      </c>
      <c r="K1654" t="s">
        <v>39019</v>
      </c>
      <c r="M1654" t="s">
        <v>40020</v>
      </c>
      <c r="N1654" t="s">
        <v>43166</v>
      </c>
      <c r="O1654" t="s">
        <v>43167</v>
      </c>
      <c r="P1654">
        <v>0</v>
      </c>
      <c r="Q1654">
        <v>4</v>
      </c>
      <c r="R1654" t="s">
        <v>43170</v>
      </c>
      <c r="S1654" t="s">
        <v>43297</v>
      </c>
      <c r="T1654" t="s">
        <v>44827</v>
      </c>
      <c r="U1654" t="s">
        <v>46549</v>
      </c>
      <c r="V1654" t="s">
        <v>57011</v>
      </c>
      <c r="W1654" t="s">
        <v>40020</v>
      </c>
      <c r="X1654" t="s">
        <v>43171</v>
      </c>
    </row>
    <row r="1655" spans="1:24">
      <c r="A1655">
        <f>HYPERLINK("https://www.philgeps.gov.ph/GEPSNONPILOT/Tender/SplashBidNoticeAbstractUI.aspx?menuIndex=3&amp;refID=7084816&amp;Result=3","7084816")</f>
        <v>0</v>
      </c>
      <c r="B1655" t="s">
        <v>712</v>
      </c>
      <c r="C1655" t="s">
        <v>5010</v>
      </c>
      <c r="D1655" t="s">
        <v>17442</v>
      </c>
      <c r="E1655" t="s">
        <v>18948</v>
      </c>
      <c r="F1655" t="s">
        <v>30052</v>
      </c>
      <c r="G1655" t="s">
        <v>30059</v>
      </c>
      <c r="H1655" t="s">
        <v>15498</v>
      </c>
      <c r="I1655" t="s">
        <v>3736</v>
      </c>
      <c r="J1655" t="s">
        <v>31376</v>
      </c>
      <c r="K1655" t="s">
        <v>39019</v>
      </c>
      <c r="M1655" t="s">
        <v>40021</v>
      </c>
      <c r="N1655" t="s">
        <v>43166</v>
      </c>
      <c r="O1655" t="s">
        <v>43167</v>
      </c>
      <c r="P1655">
        <v>0</v>
      </c>
      <c r="Q1655">
        <v>3</v>
      </c>
      <c r="R1655" t="s">
        <v>43170</v>
      </c>
      <c r="S1655" t="s">
        <v>43297</v>
      </c>
      <c r="T1655" t="s">
        <v>44735</v>
      </c>
      <c r="U1655" t="s">
        <v>46550</v>
      </c>
      <c r="V1655" t="s">
        <v>57012</v>
      </c>
      <c r="W1655" t="s">
        <v>40021</v>
      </c>
      <c r="X1655" t="s">
        <v>43171</v>
      </c>
    </row>
    <row r="1656" spans="1:24">
      <c r="A1656">
        <f>HYPERLINK("https://www.philgeps.gov.ph/GEPSNONPILOT/Tender/SplashBidNoticeAbstractUI.aspx?menuIndex=3&amp;refID=7084766&amp;Result=3","7084766")</f>
        <v>0</v>
      </c>
      <c r="B1656" t="s">
        <v>682</v>
      </c>
      <c r="C1656" t="s">
        <v>5011</v>
      </c>
      <c r="D1656" t="s">
        <v>17447</v>
      </c>
      <c r="E1656" t="s">
        <v>18949</v>
      </c>
      <c r="F1656" t="s">
        <v>30052</v>
      </c>
      <c r="G1656" t="s">
        <v>30059</v>
      </c>
      <c r="H1656" t="s">
        <v>15498</v>
      </c>
      <c r="I1656" t="s">
        <v>4598</v>
      </c>
      <c r="J1656" t="s">
        <v>31377</v>
      </c>
      <c r="K1656" t="s">
        <v>39019</v>
      </c>
      <c r="M1656" t="s">
        <v>39988</v>
      </c>
      <c r="N1656" t="s">
        <v>43166</v>
      </c>
      <c r="O1656" t="s">
        <v>43167</v>
      </c>
      <c r="P1656">
        <v>0</v>
      </c>
      <c r="Q1656">
        <v>3</v>
      </c>
      <c r="R1656" t="s">
        <v>43170</v>
      </c>
      <c r="S1656" t="s">
        <v>43297</v>
      </c>
      <c r="T1656" t="s">
        <v>44735</v>
      </c>
      <c r="U1656" t="s">
        <v>46501</v>
      </c>
      <c r="W1656" t="s">
        <v>58608</v>
      </c>
      <c r="X1656" t="s">
        <v>43171</v>
      </c>
    </row>
    <row r="1657" spans="1:24">
      <c r="A1657">
        <f>HYPERLINK("https://www.philgeps.gov.ph/GEPSNONPILOT/Tender/SplashBidNoticeAbstractUI.aspx?menuIndex=3&amp;refID=7084808&amp;Result=3","7084808")</f>
        <v>0</v>
      </c>
      <c r="B1657" t="s">
        <v>707</v>
      </c>
      <c r="C1657" t="s">
        <v>5012</v>
      </c>
      <c r="D1657" t="s">
        <v>17438</v>
      </c>
      <c r="E1657" t="s">
        <v>18950</v>
      </c>
      <c r="F1657" t="s">
        <v>30052</v>
      </c>
      <c r="G1657" t="s">
        <v>30058</v>
      </c>
      <c r="H1657" t="s">
        <v>30067</v>
      </c>
      <c r="I1657" t="s">
        <v>3693</v>
      </c>
      <c r="J1657" t="s">
        <v>30297</v>
      </c>
      <c r="K1657" t="s">
        <v>39034</v>
      </c>
      <c r="M1657" t="s">
        <v>40016</v>
      </c>
      <c r="N1657" t="s">
        <v>43166</v>
      </c>
      <c r="O1657" t="s">
        <v>43167</v>
      </c>
      <c r="P1657">
        <v>0</v>
      </c>
      <c r="Q1657">
        <v>1</v>
      </c>
      <c r="R1657" t="s">
        <v>43170</v>
      </c>
      <c r="S1657" t="s">
        <v>43297</v>
      </c>
      <c r="T1657" t="s">
        <v>44752</v>
      </c>
      <c r="U1657" t="s">
        <v>46551</v>
      </c>
      <c r="W1657" t="s">
        <v>40016</v>
      </c>
      <c r="X1657" t="s">
        <v>43171</v>
      </c>
    </row>
    <row r="1658" spans="1:24">
      <c r="A1658">
        <f>HYPERLINK("https://www.philgeps.gov.ph/GEPSNONPILOT/Tender/SplashBidNoticeAbstractUI.aspx?menuIndex=3&amp;refID=7084759&amp;Result=3","7084759")</f>
        <v>0</v>
      </c>
      <c r="B1658" t="s">
        <v>713</v>
      </c>
      <c r="C1658" t="s">
        <v>5013</v>
      </c>
      <c r="E1658" t="s">
        <v>18951</v>
      </c>
      <c r="F1658" t="s">
        <v>30052</v>
      </c>
      <c r="G1658" t="s">
        <v>30059</v>
      </c>
      <c r="H1658" t="s">
        <v>15498</v>
      </c>
      <c r="I1658" t="s">
        <v>30073</v>
      </c>
      <c r="J1658" t="s">
        <v>31378</v>
      </c>
      <c r="K1658" t="s">
        <v>39025</v>
      </c>
      <c r="M1658" t="s">
        <v>40022</v>
      </c>
      <c r="N1658" t="s">
        <v>43166</v>
      </c>
      <c r="O1658" t="s">
        <v>43167</v>
      </c>
      <c r="P1658">
        <v>0</v>
      </c>
      <c r="Q1658">
        <v>0</v>
      </c>
      <c r="R1658" t="s">
        <v>43170</v>
      </c>
      <c r="S1658" t="s">
        <v>43297</v>
      </c>
      <c r="T1658" t="s">
        <v>44844</v>
      </c>
      <c r="U1658" t="s">
        <v>46552</v>
      </c>
      <c r="W1658" t="s">
        <v>40022</v>
      </c>
      <c r="X1658" t="s">
        <v>43171</v>
      </c>
    </row>
    <row r="1659" spans="1:24">
      <c r="A1659">
        <f>HYPERLINK("https://www.philgeps.gov.ph/GEPSNONPILOT/Tender/SplashBidNoticeAbstractUI.aspx?menuIndex=3&amp;refID=7084806&amp;Result=3","7084806")</f>
        <v>0</v>
      </c>
      <c r="B1659" t="s">
        <v>714</v>
      </c>
      <c r="C1659" t="s">
        <v>5014</v>
      </c>
      <c r="D1659" t="s">
        <v>17472</v>
      </c>
      <c r="E1659" t="s">
        <v>18952</v>
      </c>
      <c r="F1659" t="s">
        <v>30052</v>
      </c>
      <c r="G1659" t="s">
        <v>30059</v>
      </c>
      <c r="H1659" t="s">
        <v>15498</v>
      </c>
      <c r="I1659" t="s">
        <v>30097</v>
      </c>
      <c r="J1659" t="s">
        <v>31379</v>
      </c>
      <c r="K1659" t="s">
        <v>39029</v>
      </c>
      <c r="M1659" t="s">
        <v>40023</v>
      </c>
      <c r="N1659" t="s">
        <v>43166</v>
      </c>
      <c r="O1659" t="s">
        <v>43167</v>
      </c>
      <c r="P1659">
        <v>0</v>
      </c>
      <c r="Q1659">
        <v>6</v>
      </c>
      <c r="R1659" t="s">
        <v>43170</v>
      </c>
      <c r="S1659" t="s">
        <v>43297</v>
      </c>
      <c r="T1659" t="s">
        <v>44870</v>
      </c>
      <c r="U1659" t="s">
        <v>46553</v>
      </c>
      <c r="W1659" t="s">
        <v>40023</v>
      </c>
      <c r="X1659" t="s">
        <v>43171</v>
      </c>
    </row>
    <row r="1660" spans="1:24">
      <c r="A1660">
        <f>HYPERLINK("https://www.philgeps.gov.ph/GEPSNONPILOT/Tender/SplashBidNoticeAbstractUI.aspx?menuIndex=3&amp;refID=7084803&amp;Result=3","7084803")</f>
        <v>0</v>
      </c>
      <c r="B1660" t="s">
        <v>415</v>
      </c>
      <c r="C1660" t="s">
        <v>5015</v>
      </c>
      <c r="D1660" t="s">
        <v>17472</v>
      </c>
      <c r="E1660" t="s">
        <v>18953</v>
      </c>
      <c r="F1660" t="s">
        <v>30052</v>
      </c>
      <c r="G1660" t="s">
        <v>30058</v>
      </c>
      <c r="H1660" t="s">
        <v>15498</v>
      </c>
      <c r="I1660" t="s">
        <v>30073</v>
      </c>
      <c r="J1660" t="s">
        <v>31380</v>
      </c>
      <c r="K1660" t="s">
        <v>39034</v>
      </c>
      <c r="M1660" t="s">
        <v>40024</v>
      </c>
      <c r="N1660" t="s">
        <v>43166</v>
      </c>
      <c r="O1660" t="s">
        <v>43167</v>
      </c>
      <c r="P1660">
        <v>0</v>
      </c>
      <c r="Q1660">
        <v>0</v>
      </c>
      <c r="R1660" t="s">
        <v>43170</v>
      </c>
      <c r="S1660" t="s">
        <v>43297</v>
      </c>
      <c r="T1660" t="s">
        <v>44794</v>
      </c>
      <c r="U1660" t="s">
        <v>46554</v>
      </c>
      <c r="V1660" t="s">
        <v>57013</v>
      </c>
      <c r="W1660" t="s">
        <v>58610</v>
      </c>
      <c r="X1660" t="s">
        <v>43171</v>
      </c>
    </row>
    <row r="1661" spans="1:24">
      <c r="A1661">
        <f>HYPERLINK("https://www.philgeps.gov.ph/GEPSNONPILOT/Tender/SplashBidNoticeAbstractUI.aspx?menuIndex=3&amp;refID=7084798&amp;Result=3","7084798")</f>
        <v>0</v>
      </c>
      <c r="B1661" t="s">
        <v>617</v>
      </c>
      <c r="C1661" t="s">
        <v>5016</v>
      </c>
      <c r="D1661" t="s">
        <v>17486</v>
      </c>
      <c r="E1661" t="s">
        <v>17912</v>
      </c>
      <c r="F1661" t="s">
        <v>30052</v>
      </c>
      <c r="G1661" t="s">
        <v>30059</v>
      </c>
      <c r="H1661" t="s">
        <v>15498</v>
      </c>
      <c r="I1661" t="s">
        <v>3736</v>
      </c>
      <c r="J1661" t="s">
        <v>31293</v>
      </c>
      <c r="K1661" t="s">
        <v>39036</v>
      </c>
      <c r="M1661" t="s">
        <v>39919</v>
      </c>
      <c r="N1661" t="s">
        <v>43166</v>
      </c>
      <c r="O1661" t="s">
        <v>43167</v>
      </c>
      <c r="P1661">
        <v>0</v>
      </c>
      <c r="Q1661">
        <v>2</v>
      </c>
      <c r="R1661" t="s">
        <v>43170</v>
      </c>
      <c r="S1661" t="s">
        <v>43297</v>
      </c>
      <c r="T1661" t="s">
        <v>44718</v>
      </c>
      <c r="U1661" t="s">
        <v>46555</v>
      </c>
      <c r="W1661" t="s">
        <v>39919</v>
      </c>
      <c r="X1661" t="s">
        <v>43171</v>
      </c>
    </row>
    <row r="1662" spans="1:24">
      <c r="A1662">
        <f>HYPERLINK("https://www.philgeps.gov.ph/GEPSNONPILOT/Tender/SplashBidNoticeAbstractUI.aspx?menuIndex=3&amp;refID=7084821&amp;Result=3","7084821")</f>
        <v>0</v>
      </c>
      <c r="B1662" t="s">
        <v>715</v>
      </c>
      <c r="C1662" t="s">
        <v>5017</v>
      </c>
      <c r="D1662" t="s">
        <v>17456</v>
      </c>
      <c r="E1662" t="s">
        <v>18954</v>
      </c>
      <c r="F1662" t="s">
        <v>30052</v>
      </c>
      <c r="G1662" t="s">
        <v>30059</v>
      </c>
      <c r="H1662" t="s">
        <v>15498</v>
      </c>
      <c r="I1662" t="s">
        <v>30146</v>
      </c>
      <c r="J1662" t="s">
        <v>31381</v>
      </c>
      <c r="K1662" t="s">
        <v>39025</v>
      </c>
      <c r="M1662" t="s">
        <v>40025</v>
      </c>
      <c r="N1662" t="s">
        <v>43166</v>
      </c>
      <c r="O1662" t="s">
        <v>43167</v>
      </c>
      <c r="P1662">
        <v>0</v>
      </c>
      <c r="Q1662">
        <v>1</v>
      </c>
      <c r="R1662" t="s">
        <v>43170</v>
      </c>
      <c r="S1662" t="s">
        <v>43297</v>
      </c>
      <c r="T1662" t="s">
        <v>44678</v>
      </c>
      <c r="U1662" t="s">
        <v>46556</v>
      </c>
      <c r="W1662" t="s">
        <v>40025</v>
      </c>
      <c r="X1662" t="s">
        <v>43171</v>
      </c>
    </row>
    <row r="1663" spans="1:24">
      <c r="A1663">
        <f>HYPERLINK("https://www.philgeps.gov.ph/GEPSNONPILOT/Tender/SplashBidNoticeAbstractUI.aspx?menuIndex=3&amp;refID=7084796&amp;Result=3","7084796")</f>
        <v>0</v>
      </c>
      <c r="B1663" t="s">
        <v>716</v>
      </c>
      <c r="C1663" t="s">
        <v>5018</v>
      </c>
      <c r="D1663" t="s">
        <v>17456</v>
      </c>
      <c r="E1663" t="s">
        <v>18955</v>
      </c>
      <c r="F1663" t="s">
        <v>30052</v>
      </c>
      <c r="G1663" t="s">
        <v>30061</v>
      </c>
      <c r="H1663" t="s">
        <v>15498</v>
      </c>
      <c r="I1663" t="s">
        <v>6691</v>
      </c>
      <c r="J1663" t="s">
        <v>30528</v>
      </c>
      <c r="K1663" t="s">
        <v>39017</v>
      </c>
      <c r="M1663" t="s">
        <v>40026</v>
      </c>
      <c r="N1663" t="s">
        <v>43166</v>
      </c>
      <c r="O1663" t="s">
        <v>43167</v>
      </c>
      <c r="P1663">
        <v>0</v>
      </c>
      <c r="Q1663">
        <v>0</v>
      </c>
      <c r="R1663" t="s">
        <v>43170</v>
      </c>
      <c r="S1663" t="s">
        <v>43297</v>
      </c>
      <c r="T1663" t="s">
        <v>44734</v>
      </c>
      <c r="U1663" t="s">
        <v>46557</v>
      </c>
      <c r="W1663" t="s">
        <v>40026</v>
      </c>
      <c r="X1663" t="s">
        <v>43171</v>
      </c>
    </row>
    <row r="1664" spans="1:24">
      <c r="A1664">
        <f>HYPERLINK("https://www.philgeps.gov.ph/GEPSNONPILOT/Tender/SplashBidNoticeAbstractUI.aspx?menuIndex=3&amp;refID=7084793&amp;Result=3","7084793")</f>
        <v>0</v>
      </c>
      <c r="B1664" t="s">
        <v>620</v>
      </c>
      <c r="C1664" t="s">
        <v>5019</v>
      </c>
      <c r="D1664" t="s">
        <v>17427</v>
      </c>
      <c r="E1664" t="s">
        <v>18956</v>
      </c>
      <c r="F1664" t="s">
        <v>30052</v>
      </c>
      <c r="G1664" t="s">
        <v>30058</v>
      </c>
      <c r="H1664" t="s">
        <v>15498</v>
      </c>
      <c r="I1664" t="s">
        <v>30088</v>
      </c>
      <c r="J1664" t="s">
        <v>30397</v>
      </c>
      <c r="K1664" t="s">
        <v>39025</v>
      </c>
      <c r="M1664" t="s">
        <v>39923</v>
      </c>
      <c r="N1664" t="s">
        <v>43166</v>
      </c>
      <c r="O1664" t="s">
        <v>43167</v>
      </c>
      <c r="P1664">
        <v>0</v>
      </c>
      <c r="Q1664">
        <v>7</v>
      </c>
      <c r="R1664" t="s">
        <v>43170</v>
      </c>
      <c r="S1664" t="s">
        <v>43297</v>
      </c>
      <c r="T1664" t="s">
        <v>44684</v>
      </c>
      <c r="U1664" t="s">
        <v>46558</v>
      </c>
      <c r="W1664" t="s">
        <v>39923</v>
      </c>
      <c r="X1664" t="s">
        <v>43171</v>
      </c>
    </row>
    <row r="1665" spans="1:24">
      <c r="A1665">
        <f>HYPERLINK("https://www.philgeps.gov.ph/GEPSNONPILOT/Tender/SplashBidNoticeAbstractUI.aspx?menuIndex=3&amp;refID=7084812&amp;Result=3","7084812")</f>
        <v>0</v>
      </c>
      <c r="B1665" t="s">
        <v>717</v>
      </c>
      <c r="C1665" t="s">
        <v>5020</v>
      </c>
      <c r="D1665" t="s">
        <v>17449</v>
      </c>
      <c r="E1665" t="s">
        <v>18957</v>
      </c>
      <c r="F1665" t="s">
        <v>30052</v>
      </c>
      <c r="G1665" t="s">
        <v>30058</v>
      </c>
      <c r="H1665" t="s">
        <v>15498</v>
      </c>
      <c r="I1665" t="s">
        <v>30126</v>
      </c>
      <c r="J1665" t="s">
        <v>31382</v>
      </c>
      <c r="K1665" t="s">
        <v>39029</v>
      </c>
      <c r="M1665" t="s">
        <v>40027</v>
      </c>
      <c r="N1665" t="s">
        <v>43166</v>
      </c>
      <c r="O1665" t="s">
        <v>43167</v>
      </c>
      <c r="P1665">
        <v>0</v>
      </c>
      <c r="Q1665">
        <v>1</v>
      </c>
      <c r="R1665" t="s">
        <v>43170</v>
      </c>
      <c r="S1665" t="s">
        <v>43297</v>
      </c>
      <c r="T1665" t="s">
        <v>44679</v>
      </c>
      <c r="U1665" t="s">
        <v>46559</v>
      </c>
      <c r="W1665" t="s">
        <v>40027</v>
      </c>
      <c r="X1665" t="s">
        <v>43171</v>
      </c>
    </row>
    <row r="1666" spans="1:24">
      <c r="A1666">
        <f>HYPERLINK("https://www.philgeps.gov.ph/GEPSNONPILOT/Tender/SplashBidNoticeAbstractUI.aspx?menuIndex=3&amp;refID=7084828&amp;Result=3","7084828")</f>
        <v>0</v>
      </c>
      <c r="B1666" t="s">
        <v>718</v>
      </c>
      <c r="C1666" t="s">
        <v>5021</v>
      </c>
      <c r="D1666" t="s">
        <v>17476</v>
      </c>
      <c r="E1666" t="s">
        <v>18958</v>
      </c>
      <c r="F1666" t="s">
        <v>30052</v>
      </c>
      <c r="G1666" t="s">
        <v>30059</v>
      </c>
      <c r="H1666" t="s">
        <v>15498</v>
      </c>
      <c r="I1666" t="s">
        <v>30097</v>
      </c>
      <c r="J1666" t="s">
        <v>31383</v>
      </c>
      <c r="K1666" t="s">
        <v>39029</v>
      </c>
      <c r="M1666" t="s">
        <v>40028</v>
      </c>
      <c r="N1666" t="s">
        <v>43166</v>
      </c>
      <c r="O1666" t="s">
        <v>43167</v>
      </c>
      <c r="P1666">
        <v>0</v>
      </c>
      <c r="Q1666">
        <v>3</v>
      </c>
      <c r="R1666" t="s">
        <v>43170</v>
      </c>
      <c r="S1666" t="s">
        <v>43297</v>
      </c>
      <c r="T1666" t="s">
        <v>44837</v>
      </c>
      <c r="U1666" t="s">
        <v>46560</v>
      </c>
      <c r="W1666" t="s">
        <v>40028</v>
      </c>
      <c r="X1666" t="s">
        <v>43171</v>
      </c>
    </row>
    <row r="1667" spans="1:24">
      <c r="A1667">
        <f>HYPERLINK("https://www.philgeps.gov.ph/GEPSNONPILOT/Tender/SplashBidNoticeAbstractUI.aspx?menuIndex=3&amp;refID=7084800&amp;Result=3","7084800")</f>
        <v>0</v>
      </c>
      <c r="B1667" t="s">
        <v>719</v>
      </c>
      <c r="C1667" t="s">
        <v>5022</v>
      </c>
      <c r="D1667" t="s">
        <v>17461</v>
      </c>
      <c r="E1667" t="s">
        <v>18959</v>
      </c>
      <c r="F1667" t="s">
        <v>30052</v>
      </c>
      <c r="G1667" t="s">
        <v>30059</v>
      </c>
      <c r="H1667" t="s">
        <v>15498</v>
      </c>
      <c r="I1667" t="s">
        <v>4650</v>
      </c>
      <c r="J1667" t="s">
        <v>30377</v>
      </c>
      <c r="K1667" t="s">
        <v>39029</v>
      </c>
      <c r="M1667" t="s">
        <v>40029</v>
      </c>
      <c r="N1667" t="s">
        <v>43166</v>
      </c>
      <c r="O1667" t="s">
        <v>43167</v>
      </c>
      <c r="P1667">
        <v>0</v>
      </c>
      <c r="Q1667">
        <v>0</v>
      </c>
      <c r="R1667" t="s">
        <v>43170</v>
      </c>
      <c r="S1667" t="s">
        <v>43297</v>
      </c>
      <c r="T1667" t="s">
        <v>44773</v>
      </c>
      <c r="U1667" t="s">
        <v>46561</v>
      </c>
      <c r="W1667" t="s">
        <v>40029</v>
      </c>
      <c r="X1667" t="s">
        <v>43171</v>
      </c>
    </row>
    <row r="1668" spans="1:24">
      <c r="A1668">
        <f>HYPERLINK("https://www.philgeps.gov.ph/GEPSNONPILOT/Tender/SplashBidNoticeAbstractUI.aspx?menuIndex=3&amp;refID=7084799&amp;Result=3","7084799")</f>
        <v>0</v>
      </c>
      <c r="B1668" t="s">
        <v>682</v>
      </c>
      <c r="C1668" t="s">
        <v>5023</v>
      </c>
      <c r="D1668" t="s">
        <v>17447</v>
      </c>
      <c r="E1668" t="s">
        <v>18960</v>
      </c>
      <c r="F1668" t="s">
        <v>30052</v>
      </c>
      <c r="G1668" t="s">
        <v>30059</v>
      </c>
      <c r="H1668" t="s">
        <v>15498</v>
      </c>
      <c r="I1668" t="s">
        <v>30111</v>
      </c>
      <c r="J1668" t="s">
        <v>30967</v>
      </c>
      <c r="K1668" t="s">
        <v>39019</v>
      </c>
      <c r="M1668" t="s">
        <v>39988</v>
      </c>
      <c r="N1668" t="s">
        <v>43166</v>
      </c>
      <c r="O1668" t="s">
        <v>43167</v>
      </c>
      <c r="P1668">
        <v>0</v>
      </c>
      <c r="Q1668">
        <v>1</v>
      </c>
      <c r="R1668" t="s">
        <v>43170</v>
      </c>
      <c r="S1668" t="s">
        <v>43297</v>
      </c>
      <c r="T1668" t="s">
        <v>44735</v>
      </c>
      <c r="U1668" t="s">
        <v>46501</v>
      </c>
      <c r="W1668" t="s">
        <v>58608</v>
      </c>
      <c r="X1668" t="s">
        <v>43171</v>
      </c>
    </row>
    <row r="1669" spans="1:24">
      <c r="A1669">
        <f>HYPERLINK("https://www.philgeps.gov.ph/GEPSNONPILOT/Tender/SplashBidNoticeAbstractUI.aspx?menuIndex=3&amp;refID=7084866&amp;Result=3","7084866")</f>
        <v>0</v>
      </c>
      <c r="B1669" t="s">
        <v>720</v>
      </c>
      <c r="C1669" t="s">
        <v>5024</v>
      </c>
      <c r="E1669" t="s">
        <v>18916</v>
      </c>
      <c r="F1669" t="s">
        <v>30052</v>
      </c>
      <c r="G1669" t="s">
        <v>30058</v>
      </c>
      <c r="H1669" t="s">
        <v>30067</v>
      </c>
      <c r="I1669" t="s">
        <v>3736</v>
      </c>
      <c r="J1669" t="s">
        <v>31384</v>
      </c>
      <c r="K1669" t="s">
        <v>39025</v>
      </c>
      <c r="M1669" t="s">
        <v>40030</v>
      </c>
      <c r="N1669" t="s">
        <v>43166</v>
      </c>
      <c r="O1669" t="s">
        <v>43167</v>
      </c>
      <c r="P1669">
        <v>0</v>
      </c>
      <c r="Q1669">
        <v>0</v>
      </c>
      <c r="R1669" t="s">
        <v>43170</v>
      </c>
      <c r="S1669" t="s">
        <v>43297</v>
      </c>
      <c r="T1669" t="s">
        <v>44842</v>
      </c>
      <c r="U1669" t="s">
        <v>46562</v>
      </c>
      <c r="W1669" t="s">
        <v>40030</v>
      </c>
      <c r="X1669" t="s">
        <v>43171</v>
      </c>
    </row>
    <row r="1670" spans="1:24">
      <c r="A1670">
        <f>HYPERLINK("https://www.philgeps.gov.ph/GEPSNONPILOT/Tender/SplashBidNoticeAbstractUI.aspx?menuIndex=3&amp;refID=7084864&amp;Result=3","7084864")</f>
        <v>0</v>
      </c>
      <c r="B1670" t="s">
        <v>721</v>
      </c>
      <c r="C1670" t="s">
        <v>5025</v>
      </c>
      <c r="D1670" t="s">
        <v>17451</v>
      </c>
      <c r="E1670" t="s">
        <v>18961</v>
      </c>
      <c r="F1670" t="s">
        <v>30052</v>
      </c>
      <c r="G1670" t="s">
        <v>30058</v>
      </c>
      <c r="H1670" t="s">
        <v>30067</v>
      </c>
      <c r="I1670" t="s">
        <v>3693</v>
      </c>
      <c r="J1670" t="s">
        <v>31385</v>
      </c>
      <c r="K1670" t="s">
        <v>39034</v>
      </c>
      <c r="M1670" t="s">
        <v>40031</v>
      </c>
      <c r="N1670" t="s">
        <v>43166</v>
      </c>
      <c r="O1670" t="s">
        <v>43167</v>
      </c>
      <c r="P1670">
        <v>0</v>
      </c>
      <c r="Q1670">
        <v>0</v>
      </c>
      <c r="R1670" t="s">
        <v>43170</v>
      </c>
      <c r="S1670" t="s">
        <v>43297</v>
      </c>
      <c r="T1670" t="s">
        <v>44780</v>
      </c>
      <c r="U1670" t="s">
        <v>46563</v>
      </c>
      <c r="W1670" t="s">
        <v>40031</v>
      </c>
      <c r="X1670" t="s">
        <v>43171</v>
      </c>
    </row>
    <row r="1671" spans="1:24">
      <c r="A1671">
        <f>HYPERLINK("https://www.philgeps.gov.ph/GEPSNONPILOT/Tender/SplashBidNoticeAbstractUI.aspx?menuIndex=3&amp;refID=7084863&amp;Result=3","7084863")</f>
        <v>0</v>
      </c>
      <c r="B1671" t="s">
        <v>409</v>
      </c>
      <c r="C1671" t="s">
        <v>5026</v>
      </c>
      <c r="D1671" t="s">
        <v>17473</v>
      </c>
      <c r="E1671" t="s">
        <v>18962</v>
      </c>
      <c r="F1671" t="s">
        <v>30052</v>
      </c>
      <c r="G1671" t="s">
        <v>30059</v>
      </c>
      <c r="H1671" t="s">
        <v>15498</v>
      </c>
      <c r="I1671" t="s">
        <v>6691</v>
      </c>
      <c r="J1671" t="s">
        <v>30384</v>
      </c>
      <c r="K1671" t="s">
        <v>39025</v>
      </c>
      <c r="M1671" t="s">
        <v>40032</v>
      </c>
      <c r="N1671" t="s">
        <v>43166</v>
      </c>
      <c r="O1671" t="s">
        <v>43167</v>
      </c>
      <c r="P1671">
        <v>0</v>
      </c>
      <c r="Q1671">
        <v>0</v>
      </c>
      <c r="R1671" t="s">
        <v>43170</v>
      </c>
      <c r="S1671" t="s">
        <v>43297</v>
      </c>
      <c r="T1671" t="s">
        <v>44787</v>
      </c>
      <c r="U1671" t="s">
        <v>46564</v>
      </c>
      <c r="W1671" t="s">
        <v>40032</v>
      </c>
      <c r="X1671" t="s">
        <v>43171</v>
      </c>
    </row>
    <row r="1672" spans="1:24">
      <c r="A1672">
        <f>HYPERLINK("https://www.philgeps.gov.ph/GEPSNONPILOT/Tender/SplashBidNoticeAbstractUI.aspx?menuIndex=3&amp;refID=7084862&amp;Result=3","7084862")</f>
        <v>0</v>
      </c>
      <c r="B1672" t="s">
        <v>415</v>
      </c>
      <c r="C1672" t="s">
        <v>5027</v>
      </c>
      <c r="D1672" t="s">
        <v>17472</v>
      </c>
      <c r="E1672" t="s">
        <v>18963</v>
      </c>
      <c r="F1672" t="s">
        <v>30052</v>
      </c>
      <c r="G1672" t="s">
        <v>30058</v>
      </c>
      <c r="H1672" t="s">
        <v>15498</v>
      </c>
      <c r="I1672" t="s">
        <v>30075</v>
      </c>
      <c r="J1672" t="s">
        <v>30432</v>
      </c>
      <c r="K1672" t="s">
        <v>39034</v>
      </c>
      <c r="M1672" t="s">
        <v>40024</v>
      </c>
      <c r="N1672" t="s">
        <v>43166</v>
      </c>
      <c r="O1672" t="s">
        <v>43167</v>
      </c>
      <c r="P1672">
        <v>0</v>
      </c>
      <c r="Q1672">
        <v>3</v>
      </c>
      <c r="R1672" t="s">
        <v>43170</v>
      </c>
      <c r="S1672" t="s">
        <v>43297</v>
      </c>
      <c r="T1672" t="s">
        <v>44794</v>
      </c>
      <c r="U1672" t="s">
        <v>46554</v>
      </c>
      <c r="V1672" t="s">
        <v>57013</v>
      </c>
      <c r="W1672" t="s">
        <v>58610</v>
      </c>
      <c r="X1672" t="s">
        <v>43171</v>
      </c>
    </row>
    <row r="1673" spans="1:24">
      <c r="A1673">
        <f>HYPERLINK("https://www.philgeps.gov.ph/GEPSNONPILOT/Tender/SplashBidNoticeAbstractUI.aspx?menuIndex=3&amp;refID=7084853&amp;Result=3","7084853")</f>
        <v>0</v>
      </c>
      <c r="B1673" t="s">
        <v>722</v>
      </c>
      <c r="C1673" t="s">
        <v>5028</v>
      </c>
      <c r="D1673" t="s">
        <v>17474</v>
      </c>
      <c r="E1673" t="s">
        <v>18964</v>
      </c>
      <c r="F1673" t="s">
        <v>30055</v>
      </c>
      <c r="G1673" t="s">
        <v>30059</v>
      </c>
      <c r="H1673" t="s">
        <v>15498</v>
      </c>
      <c r="I1673" t="s">
        <v>30135</v>
      </c>
      <c r="J1673" t="s">
        <v>30292</v>
      </c>
      <c r="K1673" t="s">
        <v>39029</v>
      </c>
      <c r="M1673" t="s">
        <v>40033</v>
      </c>
      <c r="N1673" t="s">
        <v>43166</v>
      </c>
      <c r="O1673" t="s">
        <v>43167</v>
      </c>
      <c r="P1673">
        <v>0</v>
      </c>
      <c r="Q1673">
        <v>0</v>
      </c>
      <c r="R1673" t="s">
        <v>43170</v>
      </c>
      <c r="S1673" t="s">
        <v>43297</v>
      </c>
      <c r="T1673" t="s">
        <v>44754</v>
      </c>
      <c r="U1673" t="s">
        <v>46565</v>
      </c>
      <c r="V1673" t="s">
        <v>57014</v>
      </c>
      <c r="W1673" t="s">
        <v>58611</v>
      </c>
      <c r="X1673" t="s">
        <v>43171</v>
      </c>
    </row>
    <row r="1674" spans="1:24">
      <c r="A1674">
        <f>HYPERLINK("https://www.philgeps.gov.ph/GEPSNONPILOT/Tender/SplashBidNoticeAbstractUI.aspx?menuIndex=3&amp;refID=7084850&amp;Result=3","7084850")</f>
        <v>0</v>
      </c>
      <c r="B1674" t="s">
        <v>723</v>
      </c>
      <c r="C1674" t="s">
        <v>5029</v>
      </c>
      <c r="D1674" t="s">
        <v>17459</v>
      </c>
      <c r="E1674" t="s">
        <v>18965</v>
      </c>
      <c r="F1674" t="s">
        <v>30052</v>
      </c>
      <c r="G1674" t="s">
        <v>30059</v>
      </c>
      <c r="H1674" t="s">
        <v>15498</v>
      </c>
      <c r="I1674" t="s">
        <v>3852</v>
      </c>
      <c r="J1674" t="s">
        <v>31386</v>
      </c>
      <c r="K1674" t="s">
        <v>39034</v>
      </c>
      <c r="M1674" t="s">
        <v>40034</v>
      </c>
      <c r="N1674" t="s">
        <v>43166</v>
      </c>
      <c r="O1674" t="s">
        <v>43167</v>
      </c>
      <c r="P1674">
        <v>0</v>
      </c>
      <c r="Q1674">
        <v>0</v>
      </c>
      <c r="R1674" t="s">
        <v>43170</v>
      </c>
      <c r="S1674" t="s">
        <v>43297</v>
      </c>
      <c r="T1674" t="s">
        <v>44879</v>
      </c>
      <c r="U1674" t="s">
        <v>46566</v>
      </c>
      <c r="W1674" t="s">
        <v>40034</v>
      </c>
      <c r="X1674" t="s">
        <v>43171</v>
      </c>
    </row>
    <row r="1675" spans="1:24">
      <c r="A1675">
        <f>HYPERLINK("https://www.philgeps.gov.ph/GEPSNONPILOT/Tender/SplashBidNoticeAbstractUI.aspx?menuIndex=3&amp;refID=7084755&amp;Result=3","7084755")</f>
        <v>0</v>
      </c>
      <c r="B1675" t="s">
        <v>724</v>
      </c>
      <c r="C1675" t="s">
        <v>5030</v>
      </c>
      <c r="D1675" t="s">
        <v>17453</v>
      </c>
      <c r="E1675" t="s">
        <v>18966</v>
      </c>
      <c r="F1675" t="s">
        <v>30052</v>
      </c>
      <c r="G1675" t="s">
        <v>30058</v>
      </c>
      <c r="H1675" t="s">
        <v>15498</v>
      </c>
      <c r="I1675" t="s">
        <v>30070</v>
      </c>
      <c r="J1675" t="s">
        <v>31387</v>
      </c>
      <c r="K1675" t="s">
        <v>39019</v>
      </c>
      <c r="M1675" t="s">
        <v>40035</v>
      </c>
      <c r="N1675" t="s">
        <v>43166</v>
      </c>
      <c r="O1675" t="s">
        <v>43167</v>
      </c>
      <c r="P1675">
        <v>0</v>
      </c>
      <c r="Q1675">
        <v>1</v>
      </c>
      <c r="R1675" t="s">
        <v>43170</v>
      </c>
      <c r="S1675" t="s">
        <v>43297</v>
      </c>
      <c r="T1675" t="s">
        <v>44722</v>
      </c>
      <c r="U1675" t="s">
        <v>46567</v>
      </c>
      <c r="V1675" t="s">
        <v>57015</v>
      </c>
      <c r="W1675" t="s">
        <v>58612</v>
      </c>
      <c r="X1675" t="s">
        <v>43171</v>
      </c>
    </row>
    <row r="1676" spans="1:24">
      <c r="A1676">
        <f>HYPERLINK("https://www.philgeps.gov.ph/GEPSNONPILOT/Tender/SplashBidNoticeAbstractUI.aspx?menuIndex=3&amp;refID=7084769&amp;Result=3","7084769")</f>
        <v>0</v>
      </c>
      <c r="B1676" t="s">
        <v>725</v>
      </c>
      <c r="C1676" t="s">
        <v>5031</v>
      </c>
      <c r="D1676" t="s">
        <v>17427</v>
      </c>
      <c r="E1676" t="s">
        <v>18967</v>
      </c>
      <c r="F1676" t="s">
        <v>30052</v>
      </c>
      <c r="G1676" t="s">
        <v>30058</v>
      </c>
      <c r="H1676" t="s">
        <v>15498</v>
      </c>
      <c r="I1676" t="s">
        <v>30084</v>
      </c>
      <c r="J1676" t="s">
        <v>30248</v>
      </c>
      <c r="K1676" t="s">
        <v>39019</v>
      </c>
      <c r="M1676" t="s">
        <v>40036</v>
      </c>
      <c r="N1676" t="s">
        <v>43166</v>
      </c>
      <c r="O1676" t="s">
        <v>43167</v>
      </c>
      <c r="P1676">
        <v>0</v>
      </c>
      <c r="Q1676">
        <v>3</v>
      </c>
      <c r="R1676" t="s">
        <v>43170</v>
      </c>
      <c r="S1676" t="s">
        <v>43297</v>
      </c>
      <c r="T1676" t="s">
        <v>44718</v>
      </c>
      <c r="U1676" t="s">
        <v>46568</v>
      </c>
      <c r="W1676" t="s">
        <v>40036</v>
      </c>
      <c r="X1676" t="s">
        <v>43171</v>
      </c>
    </row>
    <row r="1677" spans="1:24">
      <c r="A1677">
        <f>HYPERLINK("https://www.philgeps.gov.ph/GEPSNONPILOT/Tender/SplashBidNoticeAbstractUI.aspx?menuIndex=3&amp;refID=7084844&amp;Result=3","7084844")</f>
        <v>0</v>
      </c>
      <c r="B1677" t="s">
        <v>669</v>
      </c>
      <c r="C1677" t="s">
        <v>5032</v>
      </c>
      <c r="D1677" t="s">
        <v>17415</v>
      </c>
      <c r="E1677" t="s">
        <v>18968</v>
      </c>
      <c r="F1677" t="s">
        <v>30052</v>
      </c>
      <c r="G1677" t="s">
        <v>30059</v>
      </c>
      <c r="H1677" t="s">
        <v>15498</v>
      </c>
      <c r="I1677" t="s">
        <v>3852</v>
      </c>
      <c r="J1677" t="s">
        <v>30530</v>
      </c>
      <c r="K1677" t="s">
        <v>39017</v>
      </c>
      <c r="M1677" t="s">
        <v>39975</v>
      </c>
      <c r="N1677" t="s">
        <v>43166</v>
      </c>
      <c r="O1677" t="s">
        <v>43167</v>
      </c>
      <c r="P1677">
        <v>0</v>
      </c>
      <c r="Q1677">
        <v>6</v>
      </c>
      <c r="R1677" t="s">
        <v>43170</v>
      </c>
      <c r="S1677" t="s">
        <v>43297</v>
      </c>
      <c r="T1677" t="s">
        <v>44816</v>
      </c>
      <c r="U1677" t="s">
        <v>46569</v>
      </c>
      <c r="W1677" t="s">
        <v>39975</v>
      </c>
      <c r="X1677" t="s">
        <v>43171</v>
      </c>
    </row>
    <row r="1678" spans="1:24">
      <c r="A1678">
        <f>HYPERLINK("https://www.philgeps.gov.ph/GEPSNONPILOT/Tender/SplashBidNoticeAbstractUI.aspx?menuIndex=3&amp;refID=7084838&amp;Result=3","7084838")</f>
        <v>0</v>
      </c>
      <c r="B1678" t="s">
        <v>614</v>
      </c>
      <c r="C1678" t="s">
        <v>5033</v>
      </c>
      <c r="D1678" t="s">
        <v>17415</v>
      </c>
      <c r="E1678" t="s">
        <v>5033</v>
      </c>
      <c r="F1678" t="s">
        <v>30052</v>
      </c>
      <c r="G1678" t="s">
        <v>30059</v>
      </c>
      <c r="H1678" t="s">
        <v>15498</v>
      </c>
      <c r="I1678" t="s">
        <v>30081</v>
      </c>
      <c r="J1678" t="s">
        <v>30256</v>
      </c>
      <c r="K1678" t="s">
        <v>39025</v>
      </c>
      <c r="M1678" t="s">
        <v>39964</v>
      </c>
      <c r="N1678" t="s">
        <v>43166</v>
      </c>
      <c r="O1678" t="s">
        <v>43167</v>
      </c>
      <c r="P1678">
        <v>0</v>
      </c>
      <c r="Q1678">
        <v>7</v>
      </c>
      <c r="R1678" t="s">
        <v>43170</v>
      </c>
      <c r="S1678" t="s">
        <v>43297</v>
      </c>
      <c r="T1678" t="s">
        <v>44826</v>
      </c>
      <c r="U1678" t="s">
        <v>46570</v>
      </c>
      <c r="W1678" t="s">
        <v>39964</v>
      </c>
      <c r="X1678" t="s">
        <v>43171</v>
      </c>
    </row>
    <row r="1679" spans="1:24">
      <c r="A1679">
        <f>HYPERLINK("https://www.philgeps.gov.ph/GEPSNONPILOT/Tender/SplashBidNoticeAbstractUI.aspx?menuIndex=3&amp;refID=7084857&amp;Result=3","7084857")</f>
        <v>0</v>
      </c>
      <c r="B1679" t="s">
        <v>707</v>
      </c>
      <c r="C1679" t="s">
        <v>5034</v>
      </c>
      <c r="D1679" t="s">
        <v>17438</v>
      </c>
      <c r="E1679" t="s">
        <v>18969</v>
      </c>
      <c r="F1679" t="s">
        <v>30052</v>
      </c>
      <c r="G1679" t="s">
        <v>30058</v>
      </c>
      <c r="H1679" t="s">
        <v>15498</v>
      </c>
      <c r="I1679" t="s">
        <v>30074</v>
      </c>
      <c r="J1679" t="s">
        <v>30281</v>
      </c>
      <c r="K1679" t="s">
        <v>39034</v>
      </c>
      <c r="M1679" t="s">
        <v>40016</v>
      </c>
      <c r="N1679" t="s">
        <v>43166</v>
      </c>
      <c r="O1679" t="s">
        <v>43167</v>
      </c>
      <c r="P1679">
        <v>0</v>
      </c>
      <c r="Q1679">
        <v>5</v>
      </c>
      <c r="R1679" t="s">
        <v>43170</v>
      </c>
      <c r="S1679" t="s">
        <v>43297</v>
      </c>
      <c r="T1679" t="s">
        <v>44752</v>
      </c>
      <c r="U1679" t="s">
        <v>46571</v>
      </c>
      <c r="W1679" t="s">
        <v>40016</v>
      </c>
      <c r="X1679" t="s">
        <v>43171</v>
      </c>
    </row>
    <row r="1680" spans="1:24">
      <c r="A1680">
        <f>HYPERLINK("https://www.philgeps.gov.ph/GEPSNONPILOT/Tender/SplashBidNoticeAbstractUI.aspx?menuIndex=3&amp;refID=7084858&amp;Result=3","7084858")</f>
        <v>0</v>
      </c>
      <c r="B1680" t="s">
        <v>726</v>
      </c>
      <c r="C1680" t="s">
        <v>5035</v>
      </c>
      <c r="D1680" t="s">
        <v>17477</v>
      </c>
      <c r="E1680" t="s">
        <v>18970</v>
      </c>
      <c r="F1680" t="s">
        <v>30052</v>
      </c>
      <c r="G1680" t="s">
        <v>30059</v>
      </c>
      <c r="H1680" t="s">
        <v>15498</v>
      </c>
      <c r="I1680" t="s">
        <v>30076</v>
      </c>
      <c r="J1680" t="s">
        <v>31388</v>
      </c>
      <c r="K1680" t="s">
        <v>39019</v>
      </c>
      <c r="M1680" t="s">
        <v>40037</v>
      </c>
      <c r="N1680" t="s">
        <v>43166</v>
      </c>
      <c r="O1680" t="s">
        <v>43167</v>
      </c>
      <c r="P1680">
        <v>0</v>
      </c>
      <c r="Q1680">
        <v>6</v>
      </c>
      <c r="R1680" t="s">
        <v>43170</v>
      </c>
      <c r="S1680" t="s">
        <v>43297</v>
      </c>
      <c r="T1680" t="s">
        <v>44714</v>
      </c>
      <c r="U1680" t="s">
        <v>46572</v>
      </c>
      <c r="W1680" t="s">
        <v>58613</v>
      </c>
      <c r="X1680" t="s">
        <v>43171</v>
      </c>
    </row>
    <row r="1681" spans="1:24">
      <c r="A1681">
        <f>HYPERLINK("https://www.philgeps.gov.ph/GEPSNONPILOT/Tender/SplashBidNoticeAbstractUI.aspx?menuIndex=3&amp;refID=7084833&amp;Result=3","7084833")</f>
        <v>0</v>
      </c>
      <c r="B1681" t="s">
        <v>727</v>
      </c>
      <c r="C1681" t="s">
        <v>5036</v>
      </c>
      <c r="D1681" t="s">
        <v>17465</v>
      </c>
      <c r="E1681" t="s">
        <v>5036</v>
      </c>
      <c r="F1681" t="s">
        <v>30052</v>
      </c>
      <c r="G1681" t="s">
        <v>30061</v>
      </c>
      <c r="H1681" t="s">
        <v>15498</v>
      </c>
      <c r="I1681" t="s">
        <v>3736</v>
      </c>
      <c r="J1681" t="s">
        <v>31389</v>
      </c>
      <c r="K1681" t="s">
        <v>39036</v>
      </c>
      <c r="M1681" t="s">
        <v>40038</v>
      </c>
      <c r="N1681" t="s">
        <v>43166</v>
      </c>
      <c r="O1681" t="s">
        <v>43167</v>
      </c>
      <c r="P1681">
        <v>0</v>
      </c>
      <c r="Q1681">
        <v>0</v>
      </c>
      <c r="R1681" t="s">
        <v>43170</v>
      </c>
      <c r="S1681" t="s">
        <v>43297</v>
      </c>
      <c r="T1681" t="s">
        <v>44764</v>
      </c>
      <c r="U1681" t="s">
        <v>46573</v>
      </c>
      <c r="W1681" t="s">
        <v>40038</v>
      </c>
      <c r="X1681" t="s">
        <v>43171</v>
      </c>
    </row>
    <row r="1682" spans="1:24">
      <c r="A1682">
        <f>HYPERLINK("https://www.philgeps.gov.ph/GEPSNONPILOT/Tender/SplashBidNoticeAbstractUI.aspx?menuIndex=3&amp;refID=7084847&amp;Result=3","7084847")</f>
        <v>0</v>
      </c>
      <c r="B1682" t="s">
        <v>728</v>
      </c>
      <c r="C1682" t="s">
        <v>5037</v>
      </c>
      <c r="D1682" t="s">
        <v>17451</v>
      </c>
      <c r="E1682" t="s">
        <v>18079</v>
      </c>
      <c r="F1682" t="s">
        <v>30052</v>
      </c>
      <c r="G1682" t="s">
        <v>30058</v>
      </c>
      <c r="H1682" t="s">
        <v>15498</v>
      </c>
      <c r="I1682" t="s">
        <v>30139</v>
      </c>
      <c r="J1682" t="s">
        <v>30330</v>
      </c>
      <c r="K1682" t="s">
        <v>39037</v>
      </c>
      <c r="M1682" t="s">
        <v>40039</v>
      </c>
      <c r="N1682" t="s">
        <v>43166</v>
      </c>
      <c r="O1682" t="s">
        <v>43167</v>
      </c>
      <c r="P1682">
        <v>0</v>
      </c>
      <c r="Q1682">
        <v>5</v>
      </c>
      <c r="R1682" t="s">
        <v>43170</v>
      </c>
      <c r="S1682" t="s">
        <v>43297</v>
      </c>
      <c r="T1682" t="s">
        <v>44681</v>
      </c>
      <c r="U1682" t="s">
        <v>46574</v>
      </c>
      <c r="V1682" t="s">
        <v>57016</v>
      </c>
      <c r="W1682" t="s">
        <v>40039</v>
      </c>
      <c r="X1682" t="s">
        <v>43171</v>
      </c>
    </row>
    <row r="1683" spans="1:24">
      <c r="A1683">
        <f>HYPERLINK("https://www.philgeps.gov.ph/GEPSNONPILOT/Tender/SplashBidNoticeAbstractUI.aspx?menuIndex=3&amp;refID=7084870&amp;Result=3","7084870")</f>
        <v>0</v>
      </c>
      <c r="B1683" t="s">
        <v>707</v>
      </c>
      <c r="C1683" t="s">
        <v>5038</v>
      </c>
      <c r="D1683" t="s">
        <v>17438</v>
      </c>
      <c r="E1683" t="s">
        <v>18971</v>
      </c>
      <c r="F1683" t="s">
        <v>30052</v>
      </c>
      <c r="G1683" t="s">
        <v>30058</v>
      </c>
      <c r="H1683" t="s">
        <v>15498</v>
      </c>
      <c r="I1683" t="s">
        <v>30070</v>
      </c>
      <c r="J1683" t="s">
        <v>31390</v>
      </c>
      <c r="K1683" t="s">
        <v>39034</v>
      </c>
      <c r="M1683" t="s">
        <v>40016</v>
      </c>
      <c r="N1683" t="s">
        <v>43166</v>
      </c>
      <c r="O1683" t="s">
        <v>43167</v>
      </c>
      <c r="P1683">
        <v>0</v>
      </c>
      <c r="Q1683">
        <v>1</v>
      </c>
      <c r="R1683" t="s">
        <v>43170</v>
      </c>
      <c r="S1683" t="s">
        <v>43297</v>
      </c>
      <c r="T1683" t="s">
        <v>44752</v>
      </c>
      <c r="U1683" t="s">
        <v>46571</v>
      </c>
      <c r="W1683" t="s">
        <v>40016</v>
      </c>
      <c r="X1683" t="s">
        <v>43171</v>
      </c>
    </row>
    <row r="1684" spans="1:24">
      <c r="A1684">
        <f>HYPERLINK("https://www.philgeps.gov.ph/GEPSNONPILOT/Tender/SplashBidNoticeAbstractUI.aspx?menuIndex=3&amp;refID=7084903&amp;Result=3","7084903")</f>
        <v>0</v>
      </c>
      <c r="B1684" t="s">
        <v>729</v>
      </c>
      <c r="C1684" t="s">
        <v>5039</v>
      </c>
      <c r="D1684" t="s">
        <v>17471</v>
      </c>
      <c r="E1684" t="s">
        <v>18972</v>
      </c>
      <c r="F1684" t="s">
        <v>30052</v>
      </c>
      <c r="G1684" t="s">
        <v>30059</v>
      </c>
      <c r="H1684" t="s">
        <v>15498</v>
      </c>
      <c r="I1684" t="s">
        <v>6691</v>
      </c>
      <c r="J1684" t="s">
        <v>30350</v>
      </c>
      <c r="K1684" t="s">
        <v>39029</v>
      </c>
      <c r="M1684" t="s">
        <v>40040</v>
      </c>
      <c r="N1684" t="s">
        <v>43166</v>
      </c>
      <c r="O1684" t="s">
        <v>43167</v>
      </c>
      <c r="P1684">
        <v>0</v>
      </c>
      <c r="Q1684">
        <v>0</v>
      </c>
      <c r="R1684" t="s">
        <v>43170</v>
      </c>
      <c r="S1684" t="s">
        <v>43297</v>
      </c>
      <c r="T1684" t="s">
        <v>44717</v>
      </c>
      <c r="U1684" t="s">
        <v>46575</v>
      </c>
      <c r="W1684" t="s">
        <v>40040</v>
      </c>
      <c r="X1684" t="s">
        <v>43171</v>
      </c>
    </row>
    <row r="1685" spans="1:24">
      <c r="A1685">
        <f>HYPERLINK("https://www.philgeps.gov.ph/GEPSNONPILOT/Tender/SplashBidNoticeAbstractUI.aspx?menuIndex=3&amp;refID=7084795&amp;Result=3","7084795")</f>
        <v>0</v>
      </c>
      <c r="B1685" t="s">
        <v>730</v>
      </c>
      <c r="C1685" t="s">
        <v>5040</v>
      </c>
      <c r="D1685" t="s">
        <v>17415</v>
      </c>
      <c r="E1685" t="s">
        <v>18973</v>
      </c>
      <c r="F1685" t="s">
        <v>30052</v>
      </c>
      <c r="G1685" t="s">
        <v>30059</v>
      </c>
      <c r="H1685" t="s">
        <v>30067</v>
      </c>
      <c r="I1685" t="s">
        <v>3693</v>
      </c>
      <c r="J1685" t="s">
        <v>30218</v>
      </c>
      <c r="K1685" t="s">
        <v>39025</v>
      </c>
      <c r="M1685" t="s">
        <v>40041</v>
      </c>
      <c r="N1685" t="s">
        <v>43166</v>
      </c>
      <c r="O1685" t="s">
        <v>43167</v>
      </c>
      <c r="P1685">
        <v>0</v>
      </c>
      <c r="Q1685">
        <v>3</v>
      </c>
      <c r="R1685" t="s">
        <v>43170</v>
      </c>
      <c r="S1685" t="s">
        <v>43297</v>
      </c>
      <c r="T1685" t="s">
        <v>44880</v>
      </c>
      <c r="U1685" t="s">
        <v>46576</v>
      </c>
      <c r="W1685" t="s">
        <v>40041</v>
      </c>
      <c r="X1685" t="s">
        <v>43171</v>
      </c>
    </row>
    <row r="1686" spans="1:24">
      <c r="A1686">
        <f>HYPERLINK("https://www.philgeps.gov.ph/GEPSNONPILOT/Tender/SplashBidNoticeAbstractUI.aspx?menuIndex=3&amp;refID=7084836&amp;Result=3","7084836")</f>
        <v>0</v>
      </c>
      <c r="B1686" t="s">
        <v>731</v>
      </c>
      <c r="C1686" t="s">
        <v>5041</v>
      </c>
      <c r="D1686" t="s">
        <v>17483</v>
      </c>
      <c r="E1686" t="s">
        <v>18974</v>
      </c>
      <c r="F1686" t="s">
        <v>30052</v>
      </c>
      <c r="G1686" t="s">
        <v>30059</v>
      </c>
      <c r="H1686" t="s">
        <v>15498</v>
      </c>
      <c r="I1686" t="s">
        <v>9238</v>
      </c>
      <c r="J1686" t="s">
        <v>30377</v>
      </c>
      <c r="K1686" t="s">
        <v>39023</v>
      </c>
      <c r="M1686" t="s">
        <v>40042</v>
      </c>
      <c r="N1686" t="s">
        <v>43166</v>
      </c>
      <c r="O1686" t="s">
        <v>43167</v>
      </c>
      <c r="P1686">
        <v>0</v>
      </c>
      <c r="Q1686">
        <v>1</v>
      </c>
      <c r="R1686" t="s">
        <v>43170</v>
      </c>
      <c r="S1686" t="s">
        <v>43297</v>
      </c>
      <c r="T1686" t="s">
        <v>44859</v>
      </c>
      <c r="U1686" t="s">
        <v>46577</v>
      </c>
      <c r="W1686" t="s">
        <v>40042</v>
      </c>
      <c r="X1686" t="s">
        <v>43171</v>
      </c>
    </row>
    <row r="1687" spans="1:24">
      <c r="A1687">
        <f>HYPERLINK("https://www.philgeps.gov.ph/GEPSNONPILOT/Tender/SplashBidNoticeAbstractUI.aspx?menuIndex=3&amp;refID=7084898&amp;Result=3","7084898")</f>
        <v>0</v>
      </c>
      <c r="B1687" t="s">
        <v>529</v>
      </c>
      <c r="C1687" t="s">
        <v>4614</v>
      </c>
      <c r="D1687" t="s">
        <v>17474</v>
      </c>
      <c r="E1687" t="s">
        <v>18975</v>
      </c>
      <c r="F1687" t="s">
        <v>30052</v>
      </c>
      <c r="G1687" t="s">
        <v>30058</v>
      </c>
      <c r="H1687" t="s">
        <v>15498</v>
      </c>
      <c r="I1687" t="s">
        <v>3736</v>
      </c>
      <c r="J1687" t="s">
        <v>31391</v>
      </c>
      <c r="K1687" t="s">
        <v>39034</v>
      </c>
      <c r="M1687" t="s">
        <v>39831</v>
      </c>
      <c r="N1687" t="s">
        <v>43166</v>
      </c>
      <c r="O1687" t="s">
        <v>43167</v>
      </c>
      <c r="P1687">
        <v>0</v>
      </c>
      <c r="Q1687">
        <v>0</v>
      </c>
      <c r="R1687" t="s">
        <v>43170</v>
      </c>
      <c r="S1687" t="s">
        <v>43297</v>
      </c>
      <c r="T1687" t="s">
        <v>44704</v>
      </c>
      <c r="U1687" t="s">
        <v>46578</v>
      </c>
      <c r="V1687" t="s">
        <v>57017</v>
      </c>
      <c r="W1687" t="s">
        <v>39831</v>
      </c>
      <c r="X1687" t="s">
        <v>43171</v>
      </c>
    </row>
    <row r="1688" spans="1:24">
      <c r="A1688">
        <f>HYPERLINK("https://www.philgeps.gov.ph/GEPSNONPILOT/Tender/SplashBidNoticeAbstractUI.aspx?menuIndex=3&amp;refID=7084897&amp;Result=3","7084897")</f>
        <v>0</v>
      </c>
      <c r="B1688" t="s">
        <v>732</v>
      </c>
      <c r="C1688" t="s">
        <v>5042</v>
      </c>
      <c r="E1688" t="s">
        <v>18976</v>
      </c>
      <c r="F1688" t="s">
        <v>30052</v>
      </c>
      <c r="G1688" t="s">
        <v>30065</v>
      </c>
      <c r="H1688" t="s">
        <v>30067</v>
      </c>
      <c r="I1688" t="s">
        <v>3693</v>
      </c>
      <c r="J1688" t="s">
        <v>30247</v>
      </c>
      <c r="K1688" t="s">
        <v>39031</v>
      </c>
      <c r="M1688" t="s">
        <v>40043</v>
      </c>
      <c r="N1688" t="s">
        <v>43166</v>
      </c>
      <c r="O1688" t="s">
        <v>43167</v>
      </c>
      <c r="P1688">
        <v>0</v>
      </c>
      <c r="Q1688">
        <v>0</v>
      </c>
      <c r="R1688" t="s">
        <v>43170</v>
      </c>
      <c r="S1688" t="s">
        <v>43297</v>
      </c>
      <c r="T1688" t="s">
        <v>44881</v>
      </c>
      <c r="U1688" t="s">
        <v>46579</v>
      </c>
      <c r="W1688" t="s">
        <v>40043</v>
      </c>
      <c r="X1688" t="s">
        <v>43171</v>
      </c>
    </row>
    <row r="1689" spans="1:24">
      <c r="A1689">
        <f>HYPERLINK("https://www.philgeps.gov.ph/GEPSNONPILOT/Tender/SplashBidNoticeAbstractUI.aspx?menuIndex=3&amp;refID=7084896&amp;Result=3","7084896")</f>
        <v>0</v>
      </c>
      <c r="B1689" t="s">
        <v>707</v>
      </c>
      <c r="C1689" t="s">
        <v>5043</v>
      </c>
      <c r="D1689" t="s">
        <v>17438</v>
      </c>
      <c r="E1689" t="s">
        <v>18971</v>
      </c>
      <c r="F1689" t="s">
        <v>30052</v>
      </c>
      <c r="G1689" t="s">
        <v>30058</v>
      </c>
      <c r="H1689" t="s">
        <v>15498</v>
      </c>
      <c r="I1689" t="s">
        <v>30074</v>
      </c>
      <c r="J1689" t="s">
        <v>30872</v>
      </c>
      <c r="K1689" t="s">
        <v>39034</v>
      </c>
      <c r="M1689" t="s">
        <v>40016</v>
      </c>
      <c r="N1689" t="s">
        <v>43166</v>
      </c>
      <c r="O1689" t="s">
        <v>43167</v>
      </c>
      <c r="P1689">
        <v>0</v>
      </c>
      <c r="Q1689">
        <v>3</v>
      </c>
      <c r="R1689" t="s">
        <v>43170</v>
      </c>
      <c r="S1689" t="s">
        <v>43297</v>
      </c>
      <c r="T1689" t="s">
        <v>44752</v>
      </c>
      <c r="U1689" t="s">
        <v>46580</v>
      </c>
      <c r="W1689" t="s">
        <v>40016</v>
      </c>
      <c r="X1689" t="s">
        <v>43171</v>
      </c>
    </row>
    <row r="1690" spans="1:24">
      <c r="A1690">
        <f>HYPERLINK("https://www.philgeps.gov.ph/GEPSNONPILOT/Tender/SplashBidNoticeAbstractUI.aspx?menuIndex=3&amp;refID=7084893&amp;Result=3","7084893")</f>
        <v>0</v>
      </c>
      <c r="B1690" t="s">
        <v>723</v>
      </c>
      <c r="C1690" t="s">
        <v>5044</v>
      </c>
      <c r="D1690" t="s">
        <v>17459</v>
      </c>
      <c r="E1690" t="s">
        <v>18977</v>
      </c>
      <c r="F1690" t="s">
        <v>30052</v>
      </c>
      <c r="G1690" t="s">
        <v>30058</v>
      </c>
      <c r="H1690" t="s">
        <v>15498</v>
      </c>
      <c r="I1690" t="s">
        <v>30070</v>
      </c>
      <c r="J1690" t="s">
        <v>31392</v>
      </c>
      <c r="K1690" t="s">
        <v>39034</v>
      </c>
      <c r="M1690" t="s">
        <v>40034</v>
      </c>
      <c r="N1690" t="s">
        <v>43166</v>
      </c>
      <c r="O1690" t="s">
        <v>43167</v>
      </c>
      <c r="P1690">
        <v>0</v>
      </c>
      <c r="Q1690">
        <v>0</v>
      </c>
      <c r="R1690" t="s">
        <v>43170</v>
      </c>
      <c r="S1690" t="s">
        <v>43297</v>
      </c>
      <c r="T1690" t="s">
        <v>44709</v>
      </c>
      <c r="U1690" t="s">
        <v>46581</v>
      </c>
      <c r="W1690" t="s">
        <v>40034</v>
      </c>
      <c r="X1690" t="s">
        <v>43171</v>
      </c>
    </row>
    <row r="1691" spans="1:24">
      <c r="A1691">
        <f>HYPERLINK("https://www.philgeps.gov.ph/GEPSNONPILOT/Tender/SplashBidNoticeAbstractUI.aspx?menuIndex=3&amp;refID=7084889&amp;Result=3","7084889")</f>
        <v>0</v>
      </c>
      <c r="B1691" t="s">
        <v>733</v>
      </c>
      <c r="C1691" t="s">
        <v>5045</v>
      </c>
      <c r="D1691" t="s">
        <v>17475</v>
      </c>
      <c r="E1691" t="s">
        <v>18978</v>
      </c>
      <c r="F1691" t="s">
        <v>30052</v>
      </c>
      <c r="G1691" t="s">
        <v>30059</v>
      </c>
      <c r="H1691" t="s">
        <v>15498</v>
      </c>
      <c r="I1691" t="s">
        <v>30070</v>
      </c>
      <c r="J1691" t="s">
        <v>31393</v>
      </c>
      <c r="K1691" t="s">
        <v>39025</v>
      </c>
      <c r="M1691" t="s">
        <v>40044</v>
      </c>
      <c r="N1691" t="s">
        <v>43166</v>
      </c>
      <c r="O1691" t="s">
        <v>43167</v>
      </c>
      <c r="P1691">
        <v>0</v>
      </c>
      <c r="Q1691">
        <v>2</v>
      </c>
      <c r="R1691" t="s">
        <v>43170</v>
      </c>
      <c r="S1691" t="s">
        <v>43297</v>
      </c>
      <c r="T1691" t="s">
        <v>44880</v>
      </c>
      <c r="U1691" t="s">
        <v>46582</v>
      </c>
      <c r="W1691" t="s">
        <v>40044</v>
      </c>
      <c r="X1691" t="s">
        <v>43171</v>
      </c>
    </row>
    <row r="1692" spans="1:24">
      <c r="A1692">
        <f>HYPERLINK("https://www.philgeps.gov.ph/GEPSNONPILOT/Tender/SplashBidNoticeAbstractUI.aspx?menuIndex=3&amp;refID=7084887&amp;Result=3","7084887")</f>
        <v>0</v>
      </c>
      <c r="B1692" t="s">
        <v>726</v>
      </c>
      <c r="C1692" t="s">
        <v>5046</v>
      </c>
      <c r="D1692" t="s">
        <v>17477</v>
      </c>
      <c r="E1692" t="s">
        <v>18979</v>
      </c>
      <c r="F1692" t="s">
        <v>30052</v>
      </c>
      <c r="G1692" t="s">
        <v>30061</v>
      </c>
      <c r="H1692" t="s">
        <v>15498</v>
      </c>
      <c r="I1692" t="s">
        <v>7228</v>
      </c>
      <c r="J1692" t="s">
        <v>31394</v>
      </c>
      <c r="K1692" t="s">
        <v>39019</v>
      </c>
      <c r="M1692" t="s">
        <v>40037</v>
      </c>
      <c r="N1692" t="s">
        <v>43166</v>
      </c>
      <c r="O1692" t="s">
        <v>43167</v>
      </c>
      <c r="P1692">
        <v>0</v>
      </c>
      <c r="Q1692">
        <v>1</v>
      </c>
      <c r="R1692" t="s">
        <v>43170</v>
      </c>
      <c r="S1692" t="s">
        <v>43297</v>
      </c>
      <c r="T1692" t="s">
        <v>44714</v>
      </c>
      <c r="U1692" t="s">
        <v>46583</v>
      </c>
      <c r="W1692" t="s">
        <v>58613</v>
      </c>
      <c r="X1692" t="s">
        <v>43171</v>
      </c>
    </row>
    <row r="1693" spans="1:24">
      <c r="A1693">
        <f>HYPERLINK("https://www.philgeps.gov.ph/GEPSNONPILOT/Tender/SplashBidNoticeAbstractUI.aspx?menuIndex=3&amp;refID=7084885&amp;Result=3","7084885")</f>
        <v>0</v>
      </c>
      <c r="B1693" t="s">
        <v>717</v>
      </c>
      <c r="C1693" t="s">
        <v>5047</v>
      </c>
      <c r="D1693" t="s">
        <v>17449</v>
      </c>
      <c r="E1693" t="s">
        <v>18980</v>
      </c>
      <c r="F1693" t="s">
        <v>30052</v>
      </c>
      <c r="G1693" t="s">
        <v>30058</v>
      </c>
      <c r="H1693" t="s">
        <v>30067</v>
      </c>
      <c r="I1693" t="s">
        <v>3693</v>
      </c>
      <c r="J1693" t="s">
        <v>30683</v>
      </c>
      <c r="K1693" t="s">
        <v>39086</v>
      </c>
      <c r="M1693" t="s">
        <v>40027</v>
      </c>
      <c r="N1693" t="s">
        <v>43166</v>
      </c>
      <c r="O1693" t="s">
        <v>43167</v>
      </c>
      <c r="P1693">
        <v>0</v>
      </c>
      <c r="Q1693">
        <v>0</v>
      </c>
      <c r="R1693" t="s">
        <v>43170</v>
      </c>
      <c r="S1693" t="s">
        <v>43297</v>
      </c>
      <c r="T1693" t="s">
        <v>44679</v>
      </c>
      <c r="U1693" t="s">
        <v>46584</v>
      </c>
      <c r="W1693" t="s">
        <v>40027</v>
      </c>
      <c r="X1693" t="s">
        <v>43171</v>
      </c>
    </row>
    <row r="1694" spans="1:24">
      <c r="A1694">
        <f>HYPERLINK("https://www.philgeps.gov.ph/GEPSNONPILOT/Tender/SplashBidNoticeAbstractUI.aspx?menuIndex=3&amp;refID=7084902&amp;Result=3","7084902")</f>
        <v>0</v>
      </c>
      <c r="B1694" t="s">
        <v>676</v>
      </c>
      <c r="C1694" t="s">
        <v>5048</v>
      </c>
      <c r="D1694" t="s">
        <v>17415</v>
      </c>
      <c r="E1694" t="s">
        <v>18981</v>
      </c>
      <c r="F1694" t="s">
        <v>30052</v>
      </c>
      <c r="G1694" t="s">
        <v>30059</v>
      </c>
      <c r="H1694" t="s">
        <v>15498</v>
      </c>
      <c r="I1694" t="s">
        <v>30098</v>
      </c>
      <c r="J1694" t="s">
        <v>31395</v>
      </c>
      <c r="K1694" t="s">
        <v>39019</v>
      </c>
      <c r="M1694" t="s">
        <v>40045</v>
      </c>
      <c r="N1694" t="s">
        <v>43166</v>
      </c>
      <c r="O1694" t="s">
        <v>43167</v>
      </c>
      <c r="P1694">
        <v>0</v>
      </c>
      <c r="Q1694">
        <v>2</v>
      </c>
      <c r="R1694" t="s">
        <v>43170</v>
      </c>
      <c r="S1694" t="s">
        <v>43297</v>
      </c>
      <c r="T1694" t="s">
        <v>44882</v>
      </c>
      <c r="U1694" t="s">
        <v>46585</v>
      </c>
      <c r="W1694" t="s">
        <v>40045</v>
      </c>
      <c r="X1694" t="s">
        <v>43171</v>
      </c>
    </row>
    <row r="1695" spans="1:24">
      <c r="A1695">
        <f>HYPERLINK("https://www.philgeps.gov.ph/GEPSNONPILOT/Tender/SplashBidNoticeAbstractUI.aspx?menuIndex=3&amp;refID=7084884&amp;Result=3","7084884")</f>
        <v>0</v>
      </c>
      <c r="B1695" t="s">
        <v>629</v>
      </c>
      <c r="C1695" t="s">
        <v>5049</v>
      </c>
      <c r="D1695" t="s">
        <v>17415</v>
      </c>
      <c r="E1695" t="s">
        <v>18982</v>
      </c>
      <c r="F1695" t="s">
        <v>30052</v>
      </c>
      <c r="G1695" t="s">
        <v>30062</v>
      </c>
      <c r="H1695" t="s">
        <v>15498</v>
      </c>
      <c r="I1695" t="s">
        <v>30070</v>
      </c>
      <c r="J1695" t="s">
        <v>31396</v>
      </c>
      <c r="K1695" t="s">
        <v>39019</v>
      </c>
      <c r="M1695" t="s">
        <v>40046</v>
      </c>
      <c r="N1695" t="s">
        <v>43166</v>
      </c>
      <c r="O1695" t="s">
        <v>43167</v>
      </c>
      <c r="P1695">
        <v>0</v>
      </c>
      <c r="Q1695">
        <v>4</v>
      </c>
      <c r="R1695" t="s">
        <v>43170</v>
      </c>
      <c r="S1695" t="s">
        <v>43297</v>
      </c>
      <c r="T1695" t="s">
        <v>44698</v>
      </c>
      <c r="U1695" t="s">
        <v>46586</v>
      </c>
      <c r="V1695" t="s">
        <v>57018</v>
      </c>
      <c r="W1695" t="s">
        <v>40046</v>
      </c>
      <c r="X1695" t="s">
        <v>43171</v>
      </c>
    </row>
    <row r="1696" spans="1:24">
      <c r="A1696">
        <f>HYPERLINK("https://www.philgeps.gov.ph/GEPSNONPILOT/Tender/SplashBidNoticeAbstractUI.aspx?menuIndex=3&amp;refID=7084882&amp;Result=3","7084882")</f>
        <v>0</v>
      </c>
      <c r="B1696" t="s">
        <v>734</v>
      </c>
      <c r="C1696" t="s">
        <v>5050</v>
      </c>
      <c r="D1696" t="s">
        <v>17469</v>
      </c>
      <c r="E1696" t="s">
        <v>18983</v>
      </c>
      <c r="F1696" t="s">
        <v>30052</v>
      </c>
      <c r="G1696" t="s">
        <v>30059</v>
      </c>
      <c r="H1696" t="s">
        <v>15498</v>
      </c>
      <c r="I1696" t="s">
        <v>30111</v>
      </c>
      <c r="J1696" t="s">
        <v>31397</v>
      </c>
      <c r="K1696" t="s">
        <v>39025</v>
      </c>
      <c r="M1696" t="s">
        <v>40047</v>
      </c>
      <c r="N1696" t="s">
        <v>43166</v>
      </c>
      <c r="O1696" t="s">
        <v>43167</v>
      </c>
      <c r="P1696">
        <v>0</v>
      </c>
      <c r="Q1696">
        <v>1</v>
      </c>
      <c r="R1696" t="s">
        <v>43170</v>
      </c>
      <c r="S1696" t="s">
        <v>43297</v>
      </c>
      <c r="T1696" t="s">
        <v>44843</v>
      </c>
      <c r="U1696" t="s">
        <v>46587</v>
      </c>
      <c r="W1696" t="s">
        <v>40047</v>
      </c>
      <c r="X1696" t="s">
        <v>43171</v>
      </c>
    </row>
    <row r="1697" spans="1:24">
      <c r="A1697">
        <f>HYPERLINK("https://www.philgeps.gov.ph/GEPSNONPILOT/Tender/SplashBidNoticeAbstractUI.aspx?menuIndex=3&amp;refID=7084900&amp;Result=3","7084900")</f>
        <v>0</v>
      </c>
      <c r="B1697" t="s">
        <v>617</v>
      </c>
      <c r="C1697" t="s">
        <v>5016</v>
      </c>
      <c r="D1697" t="s">
        <v>17486</v>
      </c>
      <c r="E1697" t="s">
        <v>18984</v>
      </c>
      <c r="F1697" t="s">
        <v>30052</v>
      </c>
      <c r="G1697" t="s">
        <v>30059</v>
      </c>
      <c r="H1697" t="s">
        <v>15498</v>
      </c>
      <c r="I1697" t="s">
        <v>3736</v>
      </c>
      <c r="J1697" t="s">
        <v>30330</v>
      </c>
      <c r="K1697" t="s">
        <v>39036</v>
      </c>
      <c r="M1697" t="s">
        <v>39919</v>
      </c>
      <c r="N1697" t="s">
        <v>43166</v>
      </c>
      <c r="O1697" t="s">
        <v>43167</v>
      </c>
      <c r="P1697">
        <v>0</v>
      </c>
      <c r="Q1697">
        <v>2</v>
      </c>
      <c r="R1697" t="s">
        <v>43170</v>
      </c>
      <c r="S1697" t="s">
        <v>43297</v>
      </c>
      <c r="T1697" t="s">
        <v>44718</v>
      </c>
      <c r="U1697" t="s">
        <v>46588</v>
      </c>
      <c r="W1697" t="s">
        <v>39919</v>
      </c>
      <c r="X1697" t="s">
        <v>43171</v>
      </c>
    </row>
    <row r="1698" spans="1:24">
      <c r="A1698">
        <f>HYPERLINK("https://www.philgeps.gov.ph/GEPSNONPILOT/Tender/SplashBidNoticeAbstractUI.aspx?menuIndex=3&amp;refID=7084881&amp;Result=3","7084881")</f>
        <v>0</v>
      </c>
      <c r="B1698" t="s">
        <v>212</v>
      </c>
      <c r="C1698" t="s">
        <v>5051</v>
      </c>
      <c r="D1698" t="s">
        <v>17447</v>
      </c>
      <c r="E1698" t="s">
        <v>18985</v>
      </c>
      <c r="F1698" t="s">
        <v>30052</v>
      </c>
      <c r="G1698" t="s">
        <v>30061</v>
      </c>
      <c r="H1698" t="s">
        <v>15498</v>
      </c>
      <c r="I1698" t="s">
        <v>4650</v>
      </c>
      <c r="J1698" t="s">
        <v>30248</v>
      </c>
      <c r="K1698" t="s">
        <v>39029</v>
      </c>
      <c r="M1698" t="s">
        <v>39502</v>
      </c>
      <c r="N1698" t="s">
        <v>43166</v>
      </c>
      <c r="O1698" t="s">
        <v>43167</v>
      </c>
      <c r="P1698">
        <v>0</v>
      </c>
      <c r="Q1698">
        <v>0</v>
      </c>
      <c r="R1698" t="s">
        <v>43170</v>
      </c>
      <c r="S1698" t="s">
        <v>43297</v>
      </c>
      <c r="T1698" t="s">
        <v>44708</v>
      </c>
      <c r="U1698" t="s">
        <v>46589</v>
      </c>
      <c r="W1698" t="s">
        <v>39502</v>
      </c>
      <c r="X1698" t="s">
        <v>43171</v>
      </c>
    </row>
    <row r="1699" spans="1:24">
      <c r="A1699">
        <f>HYPERLINK("https://www.philgeps.gov.ph/GEPSNONPILOT/Tender/SplashBidNoticeAbstractUI.aspx?menuIndex=3&amp;refID=7084878&amp;Result=3","7084878")</f>
        <v>0</v>
      </c>
      <c r="B1699" t="s">
        <v>735</v>
      </c>
      <c r="C1699" t="s">
        <v>5052</v>
      </c>
      <c r="D1699" t="s">
        <v>17436</v>
      </c>
      <c r="E1699" t="s">
        <v>18986</v>
      </c>
      <c r="F1699" t="s">
        <v>30052</v>
      </c>
      <c r="G1699" t="s">
        <v>30059</v>
      </c>
      <c r="H1699" t="s">
        <v>15498</v>
      </c>
      <c r="I1699" t="s">
        <v>3852</v>
      </c>
      <c r="J1699" t="s">
        <v>30330</v>
      </c>
      <c r="K1699" t="s">
        <v>39025</v>
      </c>
      <c r="M1699" t="s">
        <v>40048</v>
      </c>
      <c r="N1699" t="s">
        <v>43166</v>
      </c>
      <c r="O1699" t="s">
        <v>43167</v>
      </c>
      <c r="P1699">
        <v>0</v>
      </c>
      <c r="Q1699">
        <v>0</v>
      </c>
      <c r="R1699" t="s">
        <v>43170</v>
      </c>
      <c r="S1699" t="s">
        <v>43297</v>
      </c>
      <c r="T1699" t="s">
        <v>44699</v>
      </c>
      <c r="U1699" t="s">
        <v>46590</v>
      </c>
      <c r="W1699" t="s">
        <v>40048</v>
      </c>
      <c r="X1699" t="s">
        <v>43171</v>
      </c>
    </row>
    <row r="1700" spans="1:24">
      <c r="A1700">
        <f>HYPERLINK("https://www.philgeps.gov.ph/GEPSNONPILOT/Tender/SplashBidNoticeAbstractUI.aspx?menuIndex=3&amp;refID=7084875&amp;Result=3","7084875")</f>
        <v>0</v>
      </c>
      <c r="B1700" t="s">
        <v>736</v>
      </c>
      <c r="C1700" t="s">
        <v>5053</v>
      </c>
      <c r="D1700" t="s">
        <v>17455</v>
      </c>
      <c r="E1700" t="s">
        <v>18987</v>
      </c>
      <c r="F1700" t="s">
        <v>30052</v>
      </c>
      <c r="G1700" t="s">
        <v>30061</v>
      </c>
      <c r="H1700" t="s">
        <v>15498</v>
      </c>
      <c r="I1700" t="s">
        <v>30070</v>
      </c>
      <c r="J1700" t="s">
        <v>31398</v>
      </c>
      <c r="K1700" t="s">
        <v>39025</v>
      </c>
      <c r="M1700" t="s">
        <v>40049</v>
      </c>
      <c r="N1700" t="s">
        <v>43166</v>
      </c>
      <c r="O1700" t="s">
        <v>43167</v>
      </c>
      <c r="P1700">
        <v>0</v>
      </c>
      <c r="Q1700">
        <v>2</v>
      </c>
      <c r="R1700" t="s">
        <v>43170</v>
      </c>
      <c r="S1700" t="s">
        <v>43297</v>
      </c>
      <c r="T1700" t="s">
        <v>44744</v>
      </c>
      <c r="U1700" t="s">
        <v>46591</v>
      </c>
      <c r="W1700" t="s">
        <v>40049</v>
      </c>
      <c r="X1700" t="s">
        <v>43171</v>
      </c>
    </row>
    <row r="1701" spans="1:24">
      <c r="A1701">
        <f>HYPERLINK("https://www.philgeps.gov.ph/GEPSNONPILOT/Tender/SplashBidNoticeAbstractUI.aspx?menuIndex=3&amp;refID=7084891&amp;Result=3","7084891")</f>
        <v>0</v>
      </c>
      <c r="B1701" t="s">
        <v>720</v>
      </c>
      <c r="C1701" t="s">
        <v>5054</v>
      </c>
      <c r="E1701" t="s">
        <v>18988</v>
      </c>
      <c r="F1701" t="s">
        <v>30052</v>
      </c>
      <c r="G1701" t="s">
        <v>30060</v>
      </c>
      <c r="H1701" t="s">
        <v>30067</v>
      </c>
      <c r="I1701" t="s">
        <v>30071</v>
      </c>
      <c r="J1701" t="s">
        <v>31399</v>
      </c>
      <c r="K1701" t="s">
        <v>39025</v>
      </c>
      <c r="M1701" t="s">
        <v>40030</v>
      </c>
      <c r="N1701" t="s">
        <v>43166</v>
      </c>
      <c r="O1701" t="s">
        <v>43167</v>
      </c>
      <c r="P1701">
        <v>0</v>
      </c>
      <c r="Q1701">
        <v>0</v>
      </c>
      <c r="R1701" t="s">
        <v>43170</v>
      </c>
      <c r="S1701" t="s">
        <v>43297</v>
      </c>
      <c r="T1701" t="s">
        <v>44710</v>
      </c>
      <c r="U1701" t="s">
        <v>46592</v>
      </c>
      <c r="W1701" t="s">
        <v>40030</v>
      </c>
      <c r="X1701" t="s">
        <v>43171</v>
      </c>
    </row>
    <row r="1702" spans="1:24">
      <c r="A1702">
        <f>HYPERLINK("https://www.philgeps.gov.ph/GEPSNONPILOT/Tender/SplashBidNoticeAbstractUI.aspx?menuIndex=3&amp;refID=7084943&amp;Result=3","7084943")</f>
        <v>0</v>
      </c>
      <c r="B1702" t="s">
        <v>735</v>
      </c>
      <c r="C1702" t="s">
        <v>5055</v>
      </c>
      <c r="D1702" t="s">
        <v>17436</v>
      </c>
      <c r="E1702" t="s">
        <v>18989</v>
      </c>
      <c r="F1702" t="s">
        <v>30052</v>
      </c>
      <c r="G1702" t="s">
        <v>30059</v>
      </c>
      <c r="H1702" t="s">
        <v>15498</v>
      </c>
      <c r="I1702" t="s">
        <v>7228</v>
      </c>
      <c r="J1702" t="s">
        <v>31400</v>
      </c>
      <c r="K1702" t="s">
        <v>39025</v>
      </c>
      <c r="M1702" t="s">
        <v>40048</v>
      </c>
      <c r="N1702" t="s">
        <v>43166</v>
      </c>
      <c r="O1702" t="s">
        <v>43167</v>
      </c>
      <c r="P1702">
        <v>0</v>
      </c>
      <c r="Q1702">
        <v>0</v>
      </c>
      <c r="R1702" t="s">
        <v>43170</v>
      </c>
      <c r="S1702" t="s">
        <v>43297</v>
      </c>
      <c r="T1702" t="s">
        <v>44699</v>
      </c>
      <c r="U1702" t="s">
        <v>46593</v>
      </c>
      <c r="W1702" t="s">
        <v>40048</v>
      </c>
      <c r="X1702" t="s">
        <v>43171</v>
      </c>
    </row>
    <row r="1703" spans="1:24">
      <c r="A1703">
        <f>HYPERLINK("https://www.philgeps.gov.ph/GEPSNONPILOT/Tender/SplashBidNoticeAbstractUI.aspx?menuIndex=3&amp;refID=7084941&amp;Result=3","7084941")</f>
        <v>0</v>
      </c>
      <c r="B1703" t="s">
        <v>529</v>
      </c>
      <c r="C1703" t="s">
        <v>4615</v>
      </c>
      <c r="D1703" t="s">
        <v>17474</v>
      </c>
      <c r="E1703" t="s">
        <v>18990</v>
      </c>
      <c r="F1703" t="s">
        <v>30052</v>
      </c>
      <c r="G1703" t="s">
        <v>30058</v>
      </c>
      <c r="H1703" t="s">
        <v>15498</v>
      </c>
      <c r="I1703" t="s">
        <v>30094</v>
      </c>
      <c r="J1703" t="s">
        <v>31401</v>
      </c>
      <c r="K1703" t="s">
        <v>39034</v>
      </c>
      <c r="M1703" t="s">
        <v>39831</v>
      </c>
      <c r="N1703" t="s">
        <v>43166</v>
      </c>
      <c r="O1703" t="s">
        <v>43167</v>
      </c>
      <c r="P1703">
        <v>0</v>
      </c>
      <c r="Q1703">
        <v>0</v>
      </c>
      <c r="R1703" t="s">
        <v>43170</v>
      </c>
      <c r="S1703" t="s">
        <v>43297</v>
      </c>
      <c r="T1703" t="s">
        <v>44704</v>
      </c>
      <c r="U1703" t="s">
        <v>46594</v>
      </c>
      <c r="V1703" t="s">
        <v>57019</v>
      </c>
      <c r="W1703" t="s">
        <v>39831</v>
      </c>
      <c r="X1703" t="s">
        <v>43171</v>
      </c>
    </row>
    <row r="1704" spans="1:24">
      <c r="A1704">
        <f>HYPERLINK("https://www.philgeps.gov.ph/GEPSNONPILOT/Tender/SplashBidNoticeAbstractUI.aspx?menuIndex=3&amp;refID=7084938&amp;Result=3","7084938")</f>
        <v>0</v>
      </c>
      <c r="B1704" t="s">
        <v>737</v>
      </c>
      <c r="C1704" t="s">
        <v>5056</v>
      </c>
      <c r="D1704" t="s">
        <v>17460</v>
      </c>
      <c r="E1704" t="s">
        <v>18991</v>
      </c>
      <c r="F1704" t="s">
        <v>30052</v>
      </c>
      <c r="G1704" t="s">
        <v>30059</v>
      </c>
      <c r="H1704" t="s">
        <v>15498</v>
      </c>
      <c r="I1704" t="s">
        <v>4119</v>
      </c>
      <c r="J1704" t="s">
        <v>31402</v>
      </c>
      <c r="K1704" t="s">
        <v>39017</v>
      </c>
      <c r="M1704" t="s">
        <v>40050</v>
      </c>
      <c r="N1704" t="s">
        <v>43166</v>
      </c>
      <c r="O1704" t="s">
        <v>43167</v>
      </c>
      <c r="P1704">
        <v>0</v>
      </c>
      <c r="Q1704">
        <v>1</v>
      </c>
      <c r="R1704" t="s">
        <v>43170</v>
      </c>
      <c r="S1704" t="s">
        <v>43297</v>
      </c>
      <c r="T1704" t="s">
        <v>44705</v>
      </c>
      <c r="U1704" t="s">
        <v>46595</v>
      </c>
      <c r="V1704" t="s">
        <v>57020</v>
      </c>
      <c r="W1704" t="s">
        <v>40050</v>
      </c>
      <c r="X1704" t="s">
        <v>43171</v>
      </c>
    </row>
    <row r="1705" spans="1:24">
      <c r="A1705">
        <f>HYPERLINK("https://www.philgeps.gov.ph/GEPSNONPILOT/Tender/SplashBidNoticeAbstractUI.aspx?menuIndex=3&amp;refID=7084935&amp;Result=3","7084935")</f>
        <v>0</v>
      </c>
      <c r="B1705" t="s">
        <v>729</v>
      </c>
      <c r="C1705" t="s">
        <v>5057</v>
      </c>
      <c r="D1705" t="s">
        <v>17471</v>
      </c>
      <c r="E1705" t="s">
        <v>18992</v>
      </c>
      <c r="F1705" t="s">
        <v>30052</v>
      </c>
      <c r="G1705" t="s">
        <v>30059</v>
      </c>
      <c r="H1705" t="s">
        <v>15498</v>
      </c>
      <c r="I1705" t="s">
        <v>30073</v>
      </c>
      <c r="J1705" t="s">
        <v>30436</v>
      </c>
      <c r="K1705" t="s">
        <v>39023</v>
      </c>
      <c r="M1705" t="s">
        <v>40040</v>
      </c>
      <c r="N1705" t="s">
        <v>43166</v>
      </c>
      <c r="O1705" t="s">
        <v>43167</v>
      </c>
      <c r="P1705">
        <v>0</v>
      </c>
      <c r="Q1705">
        <v>0</v>
      </c>
      <c r="R1705" t="s">
        <v>43170</v>
      </c>
      <c r="S1705" t="s">
        <v>43297</v>
      </c>
      <c r="T1705" t="s">
        <v>44717</v>
      </c>
      <c r="U1705" t="s">
        <v>46596</v>
      </c>
      <c r="W1705" t="s">
        <v>40040</v>
      </c>
      <c r="X1705" t="s">
        <v>43171</v>
      </c>
    </row>
    <row r="1706" spans="1:24">
      <c r="A1706">
        <f>HYPERLINK("https://www.philgeps.gov.ph/GEPSNONPILOT/Tender/SplashBidNoticeAbstractUI.aspx?menuIndex=3&amp;refID=7084791&amp;Result=3","7084791")</f>
        <v>0</v>
      </c>
      <c r="B1706" t="s">
        <v>738</v>
      </c>
      <c r="C1706" t="s">
        <v>5058</v>
      </c>
      <c r="D1706" t="s">
        <v>17464</v>
      </c>
      <c r="E1706" t="s">
        <v>18993</v>
      </c>
      <c r="F1706" t="s">
        <v>30052</v>
      </c>
      <c r="G1706" t="s">
        <v>30059</v>
      </c>
      <c r="H1706" t="s">
        <v>15498</v>
      </c>
      <c r="I1706" t="s">
        <v>3736</v>
      </c>
      <c r="J1706" t="s">
        <v>31403</v>
      </c>
      <c r="K1706" t="s">
        <v>39025</v>
      </c>
      <c r="M1706" t="s">
        <v>40051</v>
      </c>
      <c r="N1706" t="s">
        <v>43166</v>
      </c>
      <c r="O1706" t="s">
        <v>43167</v>
      </c>
      <c r="P1706">
        <v>0</v>
      </c>
      <c r="Q1706">
        <v>0</v>
      </c>
      <c r="R1706" t="s">
        <v>43170</v>
      </c>
      <c r="S1706" t="s">
        <v>43297</v>
      </c>
      <c r="T1706" t="s">
        <v>44837</v>
      </c>
      <c r="U1706" t="s">
        <v>46597</v>
      </c>
      <c r="W1706" t="s">
        <v>40051</v>
      </c>
      <c r="X1706" t="s">
        <v>43171</v>
      </c>
    </row>
    <row r="1707" spans="1:24">
      <c r="A1707">
        <f>HYPERLINK("https://www.philgeps.gov.ph/GEPSNONPILOT/Tender/SplashBidNoticeAbstractUI.aspx?menuIndex=3&amp;refID=7084933&amp;Result=3","7084933")</f>
        <v>0</v>
      </c>
      <c r="B1707" t="s">
        <v>739</v>
      </c>
      <c r="C1707" t="s">
        <v>5059</v>
      </c>
      <c r="D1707" t="s">
        <v>17456</v>
      </c>
      <c r="E1707" t="s">
        <v>18994</v>
      </c>
      <c r="F1707" t="s">
        <v>30052</v>
      </c>
      <c r="G1707" t="s">
        <v>30059</v>
      </c>
      <c r="H1707" t="s">
        <v>15498</v>
      </c>
      <c r="I1707" t="s">
        <v>3736</v>
      </c>
      <c r="J1707" t="s">
        <v>30230</v>
      </c>
      <c r="K1707" t="s">
        <v>39019</v>
      </c>
      <c r="M1707" t="s">
        <v>40052</v>
      </c>
      <c r="N1707" t="s">
        <v>43166</v>
      </c>
      <c r="O1707" t="s">
        <v>43167</v>
      </c>
      <c r="P1707">
        <v>0</v>
      </c>
      <c r="Q1707">
        <v>0</v>
      </c>
      <c r="R1707" t="s">
        <v>43170</v>
      </c>
      <c r="S1707" t="s">
        <v>43297</v>
      </c>
      <c r="T1707" t="s">
        <v>44883</v>
      </c>
      <c r="U1707" t="s">
        <v>46598</v>
      </c>
      <c r="W1707" t="s">
        <v>40052</v>
      </c>
      <c r="X1707" t="s">
        <v>43171</v>
      </c>
    </row>
    <row r="1708" spans="1:24">
      <c r="A1708">
        <f>HYPERLINK("https://www.philgeps.gov.ph/GEPSNONPILOT/Tender/SplashBidNoticeAbstractUI.aspx?menuIndex=3&amp;refID=7084880&amp;Result=3","7084880")</f>
        <v>0</v>
      </c>
      <c r="B1708" t="s">
        <v>707</v>
      </c>
      <c r="C1708" t="s">
        <v>5060</v>
      </c>
      <c r="D1708" t="s">
        <v>17438</v>
      </c>
      <c r="E1708" t="s">
        <v>18971</v>
      </c>
      <c r="F1708" t="s">
        <v>30052</v>
      </c>
      <c r="G1708" t="s">
        <v>30058</v>
      </c>
      <c r="H1708" t="s">
        <v>30067</v>
      </c>
      <c r="I1708" t="s">
        <v>3693</v>
      </c>
      <c r="J1708" t="s">
        <v>31404</v>
      </c>
      <c r="K1708" t="s">
        <v>39034</v>
      </c>
      <c r="M1708" t="s">
        <v>40016</v>
      </c>
      <c r="N1708" t="s">
        <v>43166</v>
      </c>
      <c r="O1708" t="s">
        <v>43167</v>
      </c>
      <c r="P1708">
        <v>0</v>
      </c>
      <c r="Q1708">
        <v>3</v>
      </c>
      <c r="R1708" t="s">
        <v>43170</v>
      </c>
      <c r="S1708" t="s">
        <v>43297</v>
      </c>
      <c r="T1708" t="s">
        <v>44752</v>
      </c>
      <c r="U1708" t="s">
        <v>46599</v>
      </c>
      <c r="W1708" t="s">
        <v>40016</v>
      </c>
      <c r="X1708" t="s">
        <v>43171</v>
      </c>
    </row>
    <row r="1709" spans="1:24">
      <c r="A1709">
        <f>HYPERLINK("https://www.philgeps.gov.ph/GEPSNONPILOT/Tender/SplashBidNoticeAbstractUI.aspx?menuIndex=3&amp;refID=7084835&amp;Result=3","7084835")</f>
        <v>0</v>
      </c>
      <c r="B1709" t="s">
        <v>703</v>
      </c>
      <c r="C1709" t="s">
        <v>5061</v>
      </c>
      <c r="D1709" t="s">
        <v>17445</v>
      </c>
      <c r="E1709" t="s">
        <v>18995</v>
      </c>
      <c r="F1709" t="s">
        <v>30052</v>
      </c>
      <c r="G1709" t="s">
        <v>30058</v>
      </c>
      <c r="H1709" t="s">
        <v>30067</v>
      </c>
      <c r="I1709" t="s">
        <v>3693</v>
      </c>
      <c r="J1709" t="s">
        <v>31185</v>
      </c>
      <c r="K1709" t="s">
        <v>39022</v>
      </c>
      <c r="M1709" t="s">
        <v>40012</v>
      </c>
      <c r="N1709" t="s">
        <v>43166</v>
      </c>
      <c r="O1709" t="s">
        <v>43167</v>
      </c>
      <c r="P1709">
        <v>0</v>
      </c>
      <c r="Q1709">
        <v>1</v>
      </c>
      <c r="R1709" t="s">
        <v>43170</v>
      </c>
      <c r="S1709" t="s">
        <v>43297</v>
      </c>
      <c r="T1709" t="s">
        <v>44877</v>
      </c>
      <c r="U1709" t="s">
        <v>46600</v>
      </c>
      <c r="W1709" t="s">
        <v>40012</v>
      </c>
      <c r="X1709" t="s">
        <v>43171</v>
      </c>
    </row>
    <row r="1710" spans="1:24">
      <c r="A1710">
        <f>HYPERLINK("https://www.philgeps.gov.ph/GEPSNONPILOT/Tender/SplashBidNoticeAbstractUI.aspx?menuIndex=3&amp;refID=7084927&amp;Result=3","7084927")</f>
        <v>0</v>
      </c>
      <c r="B1710" t="s">
        <v>723</v>
      </c>
      <c r="C1710" t="s">
        <v>5044</v>
      </c>
      <c r="D1710" t="s">
        <v>17459</v>
      </c>
      <c r="E1710" t="s">
        <v>18996</v>
      </c>
      <c r="F1710" t="s">
        <v>30052</v>
      </c>
      <c r="G1710" t="s">
        <v>30058</v>
      </c>
      <c r="H1710" t="s">
        <v>15498</v>
      </c>
      <c r="I1710" t="s">
        <v>30070</v>
      </c>
      <c r="J1710" t="s">
        <v>31405</v>
      </c>
      <c r="K1710" t="s">
        <v>39034</v>
      </c>
      <c r="M1710" t="s">
        <v>40034</v>
      </c>
      <c r="N1710" t="s">
        <v>43166</v>
      </c>
      <c r="O1710" t="s">
        <v>43167</v>
      </c>
      <c r="P1710">
        <v>0</v>
      </c>
      <c r="Q1710">
        <v>0</v>
      </c>
      <c r="R1710" t="s">
        <v>43170</v>
      </c>
      <c r="S1710" t="s">
        <v>43297</v>
      </c>
      <c r="T1710" t="s">
        <v>44709</v>
      </c>
      <c r="U1710" t="s">
        <v>46601</v>
      </c>
      <c r="W1710" t="s">
        <v>40034</v>
      </c>
      <c r="X1710" t="s">
        <v>43171</v>
      </c>
    </row>
    <row r="1711" spans="1:24">
      <c r="A1711">
        <f>HYPERLINK("https://www.philgeps.gov.ph/GEPSNONPILOT/Tender/SplashBidNoticeAbstractUI.aspx?menuIndex=3&amp;refID=7084846&amp;Result=3","7084846")</f>
        <v>0</v>
      </c>
      <c r="B1711" t="s">
        <v>51</v>
      </c>
      <c r="C1711" t="s">
        <v>5062</v>
      </c>
      <c r="D1711" t="s">
        <v>17434</v>
      </c>
      <c r="E1711" t="s">
        <v>18997</v>
      </c>
      <c r="F1711" t="s">
        <v>30052</v>
      </c>
      <c r="G1711" t="s">
        <v>30061</v>
      </c>
      <c r="H1711" t="s">
        <v>15498</v>
      </c>
      <c r="I1711" t="s">
        <v>3852</v>
      </c>
      <c r="J1711" t="s">
        <v>30343</v>
      </c>
      <c r="K1711" t="s">
        <v>39029</v>
      </c>
      <c r="M1711" t="s">
        <v>39331</v>
      </c>
      <c r="N1711" t="s">
        <v>43166</v>
      </c>
      <c r="O1711" t="s">
        <v>43167</v>
      </c>
      <c r="P1711">
        <v>0</v>
      </c>
      <c r="Q1711">
        <v>0</v>
      </c>
      <c r="R1711" t="s">
        <v>43170</v>
      </c>
      <c r="S1711" t="s">
        <v>43297</v>
      </c>
      <c r="T1711" t="s">
        <v>44841</v>
      </c>
      <c r="U1711" t="s">
        <v>46602</v>
      </c>
      <c r="W1711" t="s">
        <v>39331</v>
      </c>
      <c r="X1711" t="s">
        <v>43171</v>
      </c>
    </row>
    <row r="1712" spans="1:24">
      <c r="A1712">
        <f>HYPERLINK("https://www.philgeps.gov.ph/GEPSNONPILOT/Tender/SplashBidNoticeAbstractUI.aspx?menuIndex=3&amp;refID=7084936&amp;Result=3","7084936")</f>
        <v>0</v>
      </c>
      <c r="B1712" t="s">
        <v>740</v>
      </c>
      <c r="C1712" t="s">
        <v>5063</v>
      </c>
      <c r="D1712" t="s">
        <v>17443</v>
      </c>
      <c r="E1712" t="s">
        <v>18998</v>
      </c>
      <c r="F1712" t="s">
        <v>30052</v>
      </c>
      <c r="G1712" t="s">
        <v>30060</v>
      </c>
      <c r="H1712" t="s">
        <v>30067</v>
      </c>
      <c r="I1712" t="s">
        <v>3693</v>
      </c>
      <c r="J1712" t="s">
        <v>31406</v>
      </c>
      <c r="K1712" t="s">
        <v>39019</v>
      </c>
      <c r="M1712" t="s">
        <v>40053</v>
      </c>
      <c r="N1712" t="s">
        <v>43166</v>
      </c>
      <c r="O1712" t="s">
        <v>43167</v>
      </c>
      <c r="P1712">
        <v>0</v>
      </c>
      <c r="Q1712">
        <v>0</v>
      </c>
      <c r="R1712" t="s">
        <v>43170</v>
      </c>
      <c r="S1712" t="s">
        <v>43297</v>
      </c>
      <c r="T1712" t="s">
        <v>44710</v>
      </c>
      <c r="U1712" t="s">
        <v>46603</v>
      </c>
      <c r="W1712" t="s">
        <v>40053</v>
      </c>
      <c r="X1712" t="s">
        <v>43171</v>
      </c>
    </row>
    <row r="1713" spans="1:24">
      <c r="A1713">
        <f>HYPERLINK("https://www.philgeps.gov.ph/GEPSNONPILOT/Tender/SplashBidNoticeAbstractUI.aspx?menuIndex=3&amp;refID=7084934&amp;Result=3","7084934")</f>
        <v>0</v>
      </c>
      <c r="B1713" t="s">
        <v>201</v>
      </c>
      <c r="C1713" t="s">
        <v>5064</v>
      </c>
      <c r="E1713" t="s">
        <v>18999</v>
      </c>
      <c r="F1713" t="s">
        <v>30052</v>
      </c>
      <c r="G1713" t="s">
        <v>30059</v>
      </c>
      <c r="H1713" t="s">
        <v>15498</v>
      </c>
      <c r="I1713" t="s">
        <v>30070</v>
      </c>
      <c r="J1713" t="s">
        <v>31407</v>
      </c>
      <c r="K1713" t="s">
        <v>39025</v>
      </c>
      <c r="M1713" t="s">
        <v>40054</v>
      </c>
      <c r="N1713" t="s">
        <v>43166</v>
      </c>
      <c r="O1713" t="s">
        <v>43167</v>
      </c>
      <c r="P1713">
        <v>0</v>
      </c>
      <c r="Q1713">
        <v>13</v>
      </c>
      <c r="R1713" t="s">
        <v>43170</v>
      </c>
      <c r="S1713" t="s">
        <v>43297</v>
      </c>
      <c r="T1713" t="s">
        <v>44714</v>
      </c>
      <c r="U1713" t="s">
        <v>46604</v>
      </c>
      <c r="W1713" t="s">
        <v>40054</v>
      </c>
      <c r="X1713" t="s">
        <v>43171</v>
      </c>
    </row>
    <row r="1714" spans="1:24">
      <c r="A1714">
        <f>HYPERLINK("https://www.philgeps.gov.ph/GEPSNONPILOT/Tender/SplashBidNoticeAbstractUI.aspx?menuIndex=3&amp;refID=7084920&amp;Result=3","7084920")</f>
        <v>0</v>
      </c>
      <c r="B1714" t="s">
        <v>620</v>
      </c>
      <c r="C1714" t="s">
        <v>5065</v>
      </c>
      <c r="D1714" t="s">
        <v>17427</v>
      </c>
      <c r="E1714" t="s">
        <v>19000</v>
      </c>
      <c r="F1714" t="s">
        <v>30053</v>
      </c>
      <c r="G1714" t="s">
        <v>30059</v>
      </c>
      <c r="H1714" t="s">
        <v>15498</v>
      </c>
      <c r="I1714" t="s">
        <v>30103</v>
      </c>
      <c r="J1714" t="s">
        <v>31408</v>
      </c>
      <c r="K1714" t="s">
        <v>39025</v>
      </c>
      <c r="M1714" t="s">
        <v>39923</v>
      </c>
      <c r="N1714" t="s">
        <v>43166</v>
      </c>
      <c r="O1714" t="s">
        <v>43167</v>
      </c>
      <c r="P1714">
        <v>0</v>
      </c>
      <c r="Q1714">
        <v>6</v>
      </c>
      <c r="R1714" t="s">
        <v>43170</v>
      </c>
      <c r="S1714" t="s">
        <v>43297</v>
      </c>
      <c r="T1714" t="s">
        <v>44721</v>
      </c>
      <c r="U1714" t="s">
        <v>46605</v>
      </c>
      <c r="W1714" t="s">
        <v>39923</v>
      </c>
      <c r="X1714" t="s">
        <v>43171</v>
      </c>
    </row>
    <row r="1715" spans="1:24">
      <c r="A1715">
        <f>HYPERLINK("https://www.philgeps.gov.ph/GEPSNONPILOT/Tender/SplashBidNoticeAbstractUI.aspx?menuIndex=3&amp;refID=7084915&amp;Result=3","7084915")</f>
        <v>0</v>
      </c>
      <c r="B1715" t="s">
        <v>635</v>
      </c>
      <c r="C1715" t="s">
        <v>5066</v>
      </c>
      <c r="D1715" t="s">
        <v>17427</v>
      </c>
      <c r="E1715" t="s">
        <v>19001</v>
      </c>
      <c r="F1715" t="s">
        <v>30052</v>
      </c>
      <c r="G1715" t="s">
        <v>30058</v>
      </c>
      <c r="H1715" t="s">
        <v>30067</v>
      </c>
      <c r="I1715" t="s">
        <v>3693</v>
      </c>
      <c r="J1715" t="s">
        <v>31409</v>
      </c>
      <c r="K1715" t="s">
        <v>39057</v>
      </c>
      <c r="M1715" t="s">
        <v>39938</v>
      </c>
      <c r="N1715" t="s">
        <v>43166</v>
      </c>
      <c r="O1715" t="s">
        <v>43167</v>
      </c>
      <c r="P1715">
        <v>0</v>
      </c>
      <c r="Q1715">
        <v>0</v>
      </c>
      <c r="R1715" t="s">
        <v>43170</v>
      </c>
      <c r="S1715" t="s">
        <v>43297</v>
      </c>
      <c r="T1715" t="s">
        <v>44829</v>
      </c>
      <c r="U1715" t="s">
        <v>46606</v>
      </c>
      <c r="W1715" t="s">
        <v>39938</v>
      </c>
      <c r="X1715" t="s">
        <v>43171</v>
      </c>
    </row>
    <row r="1716" spans="1:24">
      <c r="A1716">
        <f>HYPERLINK("https://www.philgeps.gov.ph/GEPSNONPILOT/Tender/SplashBidNoticeAbstractUI.aspx?menuIndex=3&amp;refID=7084911&amp;Result=3","7084911")</f>
        <v>0</v>
      </c>
      <c r="B1716" t="s">
        <v>739</v>
      </c>
      <c r="C1716" t="s">
        <v>5067</v>
      </c>
      <c r="D1716" t="s">
        <v>17456</v>
      </c>
      <c r="E1716" t="s">
        <v>19002</v>
      </c>
      <c r="F1716" t="s">
        <v>30052</v>
      </c>
      <c r="G1716" t="s">
        <v>30059</v>
      </c>
      <c r="H1716" t="s">
        <v>15498</v>
      </c>
      <c r="I1716" t="s">
        <v>30075</v>
      </c>
      <c r="J1716" t="s">
        <v>30292</v>
      </c>
      <c r="K1716" t="s">
        <v>39019</v>
      </c>
      <c r="M1716" t="s">
        <v>40052</v>
      </c>
      <c r="N1716" t="s">
        <v>43166</v>
      </c>
      <c r="O1716" t="s">
        <v>43167</v>
      </c>
      <c r="P1716">
        <v>0</v>
      </c>
      <c r="Q1716">
        <v>0</v>
      </c>
      <c r="R1716" t="s">
        <v>43170</v>
      </c>
      <c r="S1716" t="s">
        <v>43297</v>
      </c>
      <c r="T1716" t="s">
        <v>44843</v>
      </c>
      <c r="U1716" t="s">
        <v>46598</v>
      </c>
      <c r="W1716" t="s">
        <v>40052</v>
      </c>
      <c r="X1716" t="s">
        <v>43171</v>
      </c>
    </row>
    <row r="1717" spans="1:24">
      <c r="A1717">
        <f>HYPERLINK("https://www.philgeps.gov.ph/GEPSNONPILOT/Tender/SplashBidNoticeAbstractUI.aspx?menuIndex=3&amp;refID=7084910&amp;Result=3","7084910")</f>
        <v>0</v>
      </c>
      <c r="B1717" t="s">
        <v>741</v>
      </c>
      <c r="C1717" t="s">
        <v>5068</v>
      </c>
      <c r="D1717" t="s">
        <v>17425</v>
      </c>
      <c r="E1717" t="s">
        <v>19003</v>
      </c>
      <c r="F1717" t="s">
        <v>30052</v>
      </c>
      <c r="G1717" t="s">
        <v>30058</v>
      </c>
      <c r="H1717" t="s">
        <v>15498</v>
      </c>
      <c r="I1717" t="s">
        <v>30130</v>
      </c>
      <c r="J1717" t="s">
        <v>30281</v>
      </c>
      <c r="K1717" t="s">
        <v>39019</v>
      </c>
      <c r="M1717" t="s">
        <v>40055</v>
      </c>
      <c r="N1717" t="s">
        <v>43166</v>
      </c>
      <c r="O1717" t="s">
        <v>43167</v>
      </c>
      <c r="P1717">
        <v>0</v>
      </c>
      <c r="Q1717">
        <v>7</v>
      </c>
      <c r="R1717" t="s">
        <v>43170</v>
      </c>
      <c r="S1717" t="s">
        <v>43297</v>
      </c>
      <c r="T1717" t="s">
        <v>44807</v>
      </c>
      <c r="U1717" t="s">
        <v>46607</v>
      </c>
      <c r="W1717" t="s">
        <v>40055</v>
      </c>
      <c r="X1717" t="s">
        <v>43171</v>
      </c>
    </row>
    <row r="1718" spans="1:24">
      <c r="A1718">
        <f>HYPERLINK("https://www.philgeps.gov.ph/GEPSNONPILOT/Tender/SplashBidNoticeAbstractUI.aspx?menuIndex=3&amp;refID=7084929&amp;Result=3","7084929")</f>
        <v>0</v>
      </c>
      <c r="B1718" t="s">
        <v>415</v>
      </c>
      <c r="C1718" t="s">
        <v>5069</v>
      </c>
      <c r="D1718" t="s">
        <v>17472</v>
      </c>
      <c r="E1718" t="s">
        <v>19004</v>
      </c>
      <c r="F1718" t="s">
        <v>30052</v>
      </c>
      <c r="G1718" t="s">
        <v>30058</v>
      </c>
      <c r="H1718" t="s">
        <v>15498</v>
      </c>
      <c r="I1718" t="s">
        <v>30155</v>
      </c>
      <c r="J1718" t="s">
        <v>31410</v>
      </c>
      <c r="K1718" t="s">
        <v>39034</v>
      </c>
      <c r="M1718" t="s">
        <v>40024</v>
      </c>
      <c r="N1718" t="s">
        <v>43166</v>
      </c>
      <c r="O1718" t="s">
        <v>43167</v>
      </c>
      <c r="P1718">
        <v>0</v>
      </c>
      <c r="Q1718">
        <v>1</v>
      </c>
      <c r="R1718" t="s">
        <v>43170</v>
      </c>
      <c r="S1718" t="s">
        <v>43297</v>
      </c>
      <c r="T1718" t="s">
        <v>44794</v>
      </c>
      <c r="U1718" t="s">
        <v>46554</v>
      </c>
      <c r="V1718" t="s">
        <v>57013</v>
      </c>
      <c r="W1718" t="s">
        <v>58610</v>
      </c>
      <c r="X1718" t="s">
        <v>43171</v>
      </c>
    </row>
    <row r="1719" spans="1:24">
      <c r="A1719">
        <f>HYPERLINK("https://www.philgeps.gov.ph/GEPSNONPILOT/Tender/SplashBidNoticeAbstractUI.aspx?menuIndex=3&amp;refID=7084908&amp;Result=3","7084908")</f>
        <v>0</v>
      </c>
      <c r="B1719" t="s">
        <v>188</v>
      </c>
      <c r="C1719" t="s">
        <v>5070</v>
      </c>
      <c r="D1719" t="s">
        <v>17422</v>
      </c>
      <c r="E1719" t="s">
        <v>19005</v>
      </c>
      <c r="F1719" t="s">
        <v>30052</v>
      </c>
      <c r="G1719" t="s">
        <v>30059</v>
      </c>
      <c r="H1719" t="s">
        <v>15498</v>
      </c>
      <c r="I1719" t="s">
        <v>3736</v>
      </c>
      <c r="J1719" t="s">
        <v>31411</v>
      </c>
      <c r="K1719" t="s">
        <v>39019</v>
      </c>
      <c r="M1719" t="s">
        <v>39477</v>
      </c>
      <c r="N1719" t="s">
        <v>43166</v>
      </c>
      <c r="O1719" t="s">
        <v>43167</v>
      </c>
      <c r="P1719">
        <v>0</v>
      </c>
      <c r="Q1719">
        <v>1</v>
      </c>
      <c r="R1719" t="s">
        <v>43170</v>
      </c>
      <c r="S1719" t="s">
        <v>43297</v>
      </c>
      <c r="T1719" t="s">
        <v>44717</v>
      </c>
      <c r="U1719" t="s">
        <v>45497</v>
      </c>
      <c r="V1719" t="s">
        <v>56869</v>
      </c>
      <c r="W1719" t="s">
        <v>39477</v>
      </c>
      <c r="X1719" t="s">
        <v>43171</v>
      </c>
    </row>
    <row r="1720" spans="1:24">
      <c r="A1720">
        <f>HYPERLINK("https://www.philgeps.gov.ph/GEPSNONPILOT/Tender/SplashBidNoticeAbstractUI.aspx?menuIndex=3&amp;refID=7084869&amp;Result=3","7084869")</f>
        <v>0</v>
      </c>
      <c r="B1720" t="s">
        <v>521</v>
      </c>
      <c r="C1720" t="s">
        <v>5071</v>
      </c>
      <c r="D1720" t="s">
        <v>17415</v>
      </c>
      <c r="E1720" t="s">
        <v>19006</v>
      </c>
      <c r="F1720" t="s">
        <v>30052</v>
      </c>
      <c r="G1720" t="s">
        <v>30061</v>
      </c>
      <c r="H1720" t="s">
        <v>15498</v>
      </c>
      <c r="I1720" t="s">
        <v>9238</v>
      </c>
      <c r="J1720" t="s">
        <v>31412</v>
      </c>
      <c r="K1720" t="s">
        <v>39019</v>
      </c>
      <c r="M1720" t="s">
        <v>39823</v>
      </c>
      <c r="N1720" t="s">
        <v>43166</v>
      </c>
      <c r="O1720" t="s">
        <v>43167</v>
      </c>
      <c r="P1720">
        <v>0</v>
      </c>
      <c r="Q1720">
        <v>6</v>
      </c>
      <c r="R1720" t="s">
        <v>43170</v>
      </c>
      <c r="S1720" t="s">
        <v>43297</v>
      </c>
      <c r="T1720" t="s">
        <v>44856</v>
      </c>
      <c r="U1720" t="s">
        <v>46608</v>
      </c>
      <c r="V1720" t="s">
        <v>56959</v>
      </c>
      <c r="W1720" t="s">
        <v>58603</v>
      </c>
      <c r="X1720" t="s">
        <v>43171</v>
      </c>
    </row>
    <row r="1721" spans="1:24">
      <c r="A1721">
        <f>HYPERLINK("https://www.philgeps.gov.ph/GEPSNONPILOT/Tender/SplashBidNoticeAbstractUI.aspx?menuIndex=3&amp;refID=7084922&amp;Result=3","7084922")</f>
        <v>0</v>
      </c>
      <c r="B1721" t="s">
        <v>732</v>
      </c>
      <c r="C1721" t="s">
        <v>5072</v>
      </c>
      <c r="D1721" t="s">
        <v>17468</v>
      </c>
      <c r="E1721" t="s">
        <v>19007</v>
      </c>
      <c r="F1721" t="s">
        <v>30052</v>
      </c>
      <c r="G1721" t="s">
        <v>30058</v>
      </c>
      <c r="H1721" t="s">
        <v>30067</v>
      </c>
      <c r="I1721" t="s">
        <v>3693</v>
      </c>
      <c r="J1721" t="s">
        <v>30813</v>
      </c>
      <c r="K1721" t="s">
        <v>39026</v>
      </c>
      <c r="M1721" t="s">
        <v>40043</v>
      </c>
      <c r="N1721" t="s">
        <v>43166</v>
      </c>
      <c r="O1721" t="s">
        <v>43167</v>
      </c>
      <c r="P1721">
        <v>0</v>
      </c>
      <c r="Q1721">
        <v>0</v>
      </c>
      <c r="R1721" t="s">
        <v>43170</v>
      </c>
      <c r="S1721" t="s">
        <v>43297</v>
      </c>
      <c r="T1721" t="s">
        <v>44884</v>
      </c>
      <c r="U1721" t="s">
        <v>46609</v>
      </c>
      <c r="W1721" t="s">
        <v>40043</v>
      </c>
      <c r="X1721" t="s">
        <v>43171</v>
      </c>
    </row>
    <row r="1722" spans="1:24">
      <c r="A1722">
        <f>HYPERLINK("https://www.philgeps.gov.ph/GEPSNONPILOT/Tender/SplashBidNoticeAbstractUI.aspx?menuIndex=3&amp;refID=7084832&amp;Result=3","7084832")</f>
        <v>0</v>
      </c>
      <c r="B1722" t="s">
        <v>694</v>
      </c>
      <c r="C1722" t="s">
        <v>5073</v>
      </c>
      <c r="D1722" t="s">
        <v>17476</v>
      </c>
      <c r="E1722" t="s">
        <v>19008</v>
      </c>
      <c r="F1722" t="s">
        <v>30052</v>
      </c>
      <c r="G1722" t="s">
        <v>30059</v>
      </c>
      <c r="H1722" t="s">
        <v>15498</v>
      </c>
      <c r="I1722" t="s">
        <v>3736</v>
      </c>
      <c r="J1722" t="s">
        <v>31413</v>
      </c>
      <c r="K1722" t="s">
        <v>39064</v>
      </c>
      <c r="M1722" t="s">
        <v>40001</v>
      </c>
      <c r="N1722" t="s">
        <v>43166</v>
      </c>
      <c r="O1722" t="s">
        <v>43167</v>
      </c>
      <c r="P1722">
        <v>0</v>
      </c>
      <c r="Q1722">
        <v>0</v>
      </c>
      <c r="R1722" t="s">
        <v>43170</v>
      </c>
      <c r="S1722" t="s">
        <v>43297</v>
      </c>
      <c r="T1722" t="s">
        <v>44844</v>
      </c>
      <c r="U1722" t="s">
        <v>46610</v>
      </c>
      <c r="W1722" t="s">
        <v>40001</v>
      </c>
      <c r="X1722" t="s">
        <v>43171</v>
      </c>
    </row>
    <row r="1723" spans="1:24">
      <c r="A1723">
        <f>HYPERLINK("https://www.philgeps.gov.ph/GEPSNONPILOT/Tender/SplashBidNoticeAbstractUI.aspx?menuIndex=3&amp;refID=7084917&amp;Result=3","7084917")</f>
        <v>0</v>
      </c>
      <c r="B1723" t="s">
        <v>729</v>
      </c>
      <c r="C1723" t="s">
        <v>5074</v>
      </c>
      <c r="D1723" t="s">
        <v>17471</v>
      </c>
      <c r="E1723" t="s">
        <v>19009</v>
      </c>
      <c r="F1723" t="s">
        <v>30052</v>
      </c>
      <c r="G1723" t="s">
        <v>30059</v>
      </c>
      <c r="H1723" t="s">
        <v>15498</v>
      </c>
      <c r="I1723" t="s">
        <v>7228</v>
      </c>
      <c r="J1723" t="s">
        <v>31414</v>
      </c>
      <c r="K1723" t="s">
        <v>39029</v>
      </c>
      <c r="M1723" t="s">
        <v>40040</v>
      </c>
      <c r="N1723" t="s">
        <v>43166</v>
      </c>
      <c r="O1723" t="s">
        <v>43167</v>
      </c>
      <c r="P1723">
        <v>0</v>
      </c>
      <c r="Q1723">
        <v>0</v>
      </c>
      <c r="R1723" t="s">
        <v>43170</v>
      </c>
      <c r="S1723" t="s">
        <v>43297</v>
      </c>
      <c r="T1723" t="s">
        <v>44717</v>
      </c>
      <c r="U1723" t="s">
        <v>46611</v>
      </c>
      <c r="W1723" t="s">
        <v>40040</v>
      </c>
      <c r="X1723" t="s">
        <v>43171</v>
      </c>
    </row>
    <row r="1724" spans="1:24">
      <c r="A1724">
        <f>HYPERLINK("https://www.philgeps.gov.ph/GEPSNONPILOT/Tender/SplashBidNoticeAbstractUI.aspx?menuIndex=3&amp;refID=7084826&amp;Result=3","7084826")</f>
        <v>0</v>
      </c>
      <c r="B1724" t="s">
        <v>201</v>
      </c>
      <c r="C1724" t="s">
        <v>5075</v>
      </c>
      <c r="E1724" t="s">
        <v>19010</v>
      </c>
      <c r="F1724" t="s">
        <v>30052</v>
      </c>
      <c r="G1724" t="s">
        <v>30059</v>
      </c>
      <c r="H1724" t="s">
        <v>15498</v>
      </c>
      <c r="I1724" t="s">
        <v>30100</v>
      </c>
      <c r="J1724" t="s">
        <v>30417</v>
      </c>
      <c r="K1724" t="s">
        <v>39025</v>
      </c>
      <c r="M1724" t="s">
        <v>40008</v>
      </c>
      <c r="N1724" t="s">
        <v>43166</v>
      </c>
      <c r="O1724" t="s">
        <v>43167</v>
      </c>
      <c r="P1724">
        <v>0</v>
      </c>
      <c r="Q1724">
        <v>0</v>
      </c>
      <c r="R1724" t="s">
        <v>43170</v>
      </c>
      <c r="S1724" t="s">
        <v>43297</v>
      </c>
      <c r="T1724" t="s">
        <v>44714</v>
      </c>
      <c r="U1724" t="s">
        <v>46534</v>
      </c>
      <c r="W1724" t="s">
        <v>40008</v>
      </c>
      <c r="X1724" t="s">
        <v>43171</v>
      </c>
    </row>
    <row r="1725" spans="1:24">
      <c r="A1725">
        <f>HYPERLINK("https://www.philgeps.gov.ph/GEPSNONPILOT/Tender/SplashBidNoticeAbstractUI.aspx?menuIndex=3&amp;refID=7084987&amp;Result=3","7084987")</f>
        <v>0</v>
      </c>
      <c r="B1725" t="s">
        <v>729</v>
      </c>
      <c r="C1725" t="s">
        <v>5074</v>
      </c>
      <c r="D1725" t="s">
        <v>17471</v>
      </c>
      <c r="E1725" t="s">
        <v>19011</v>
      </c>
      <c r="F1725" t="s">
        <v>30052</v>
      </c>
      <c r="G1725" t="s">
        <v>30059</v>
      </c>
      <c r="H1725" t="s">
        <v>15498</v>
      </c>
      <c r="I1725" t="s">
        <v>7228</v>
      </c>
      <c r="J1725" t="s">
        <v>31415</v>
      </c>
      <c r="K1725" t="s">
        <v>39029</v>
      </c>
      <c r="M1725" t="s">
        <v>40040</v>
      </c>
      <c r="N1725" t="s">
        <v>43166</v>
      </c>
      <c r="O1725" t="s">
        <v>43167</v>
      </c>
      <c r="P1725">
        <v>0</v>
      </c>
      <c r="Q1725">
        <v>0</v>
      </c>
      <c r="R1725" t="s">
        <v>43170</v>
      </c>
      <c r="S1725" t="s">
        <v>43297</v>
      </c>
      <c r="T1725" t="s">
        <v>44717</v>
      </c>
      <c r="U1725" t="s">
        <v>46611</v>
      </c>
      <c r="W1725" t="s">
        <v>40040</v>
      </c>
      <c r="X1725" t="s">
        <v>43171</v>
      </c>
    </row>
    <row r="1726" spans="1:24">
      <c r="A1726">
        <f>HYPERLINK("https://www.philgeps.gov.ph/GEPSNONPILOT/Tender/SplashBidNoticeAbstractUI.aspx?menuIndex=3&amp;refID=7084926&amp;Result=3","7084926")</f>
        <v>0</v>
      </c>
      <c r="B1726" t="s">
        <v>742</v>
      </c>
      <c r="C1726" t="s">
        <v>5076</v>
      </c>
      <c r="D1726" t="s">
        <v>17455</v>
      </c>
      <c r="E1726" t="s">
        <v>19012</v>
      </c>
      <c r="F1726" t="s">
        <v>30052</v>
      </c>
      <c r="G1726" t="s">
        <v>30061</v>
      </c>
      <c r="H1726" t="s">
        <v>15498</v>
      </c>
      <c r="I1726" t="s">
        <v>30076</v>
      </c>
      <c r="J1726" t="s">
        <v>31416</v>
      </c>
      <c r="K1726" t="s">
        <v>39031</v>
      </c>
      <c r="M1726" t="s">
        <v>40056</v>
      </c>
      <c r="N1726" t="s">
        <v>43166</v>
      </c>
      <c r="O1726" t="s">
        <v>43167</v>
      </c>
      <c r="P1726">
        <v>0</v>
      </c>
      <c r="Q1726">
        <v>1</v>
      </c>
      <c r="R1726" t="s">
        <v>43170</v>
      </c>
      <c r="S1726" t="s">
        <v>43297</v>
      </c>
      <c r="T1726" t="s">
        <v>44837</v>
      </c>
      <c r="U1726" t="s">
        <v>46612</v>
      </c>
      <c r="W1726" t="s">
        <v>58614</v>
      </c>
      <c r="X1726" t="s">
        <v>43171</v>
      </c>
    </row>
    <row r="1727" spans="1:24">
      <c r="A1727">
        <f>HYPERLINK("https://www.philgeps.gov.ph/GEPSNONPILOT/Tender/SplashBidNoticeAbstractUI.aspx?menuIndex=3&amp;refID=7084925&amp;Result=3","7084925")</f>
        <v>0</v>
      </c>
      <c r="B1727" t="s">
        <v>743</v>
      </c>
      <c r="C1727" t="s">
        <v>5077</v>
      </c>
      <c r="D1727" t="s">
        <v>17458</v>
      </c>
      <c r="E1727" t="s">
        <v>19013</v>
      </c>
      <c r="F1727" t="s">
        <v>30052</v>
      </c>
      <c r="G1727" t="s">
        <v>30061</v>
      </c>
      <c r="H1727" t="s">
        <v>15498</v>
      </c>
      <c r="I1727" t="s">
        <v>30084</v>
      </c>
      <c r="J1727" t="s">
        <v>30218</v>
      </c>
      <c r="K1727" t="s">
        <v>39029</v>
      </c>
      <c r="M1727" t="s">
        <v>40057</v>
      </c>
      <c r="N1727" t="s">
        <v>43166</v>
      </c>
      <c r="O1727" t="s">
        <v>43167</v>
      </c>
      <c r="P1727">
        <v>0</v>
      </c>
      <c r="Q1727">
        <v>11</v>
      </c>
      <c r="R1727" t="s">
        <v>43170</v>
      </c>
      <c r="S1727" t="s">
        <v>43297</v>
      </c>
      <c r="T1727" t="s">
        <v>44837</v>
      </c>
      <c r="U1727" t="s">
        <v>46613</v>
      </c>
      <c r="W1727" t="s">
        <v>40057</v>
      </c>
      <c r="X1727" t="s">
        <v>43171</v>
      </c>
    </row>
    <row r="1728" spans="1:24">
      <c r="A1728">
        <f>HYPERLINK("https://www.philgeps.gov.ph/GEPSNONPILOT/Tender/SplashBidNoticeAbstractUI.aspx?menuIndex=3&amp;refID=7084867&amp;Result=3","7084867")</f>
        <v>0</v>
      </c>
      <c r="B1728" t="s">
        <v>617</v>
      </c>
      <c r="C1728" t="s">
        <v>5016</v>
      </c>
      <c r="D1728" t="s">
        <v>17486</v>
      </c>
      <c r="E1728" t="s">
        <v>19014</v>
      </c>
      <c r="F1728" t="s">
        <v>30052</v>
      </c>
      <c r="G1728" t="s">
        <v>30059</v>
      </c>
      <c r="H1728" t="s">
        <v>15498</v>
      </c>
      <c r="I1728" t="s">
        <v>3736</v>
      </c>
      <c r="J1728" t="s">
        <v>31417</v>
      </c>
      <c r="K1728" t="s">
        <v>39036</v>
      </c>
      <c r="M1728" t="s">
        <v>39919</v>
      </c>
      <c r="N1728" t="s">
        <v>43166</v>
      </c>
      <c r="O1728" t="s">
        <v>43167</v>
      </c>
      <c r="P1728">
        <v>0</v>
      </c>
      <c r="Q1728">
        <v>2</v>
      </c>
      <c r="R1728" t="s">
        <v>43170</v>
      </c>
      <c r="S1728" t="s">
        <v>43297</v>
      </c>
      <c r="T1728" t="s">
        <v>44718</v>
      </c>
      <c r="U1728" t="s">
        <v>46614</v>
      </c>
      <c r="W1728" t="s">
        <v>39919</v>
      </c>
      <c r="X1728" t="s">
        <v>43171</v>
      </c>
    </row>
    <row r="1729" spans="1:24">
      <c r="A1729">
        <f>HYPERLINK("https://www.philgeps.gov.ph/GEPSNONPILOT/Tender/SplashBidNoticeAbstractUI.aspx?menuIndex=3&amp;refID=7084982&amp;Result=3","7084982")</f>
        <v>0</v>
      </c>
      <c r="B1729" t="s">
        <v>736</v>
      </c>
      <c r="C1729" t="s">
        <v>5078</v>
      </c>
      <c r="D1729" t="s">
        <v>17455</v>
      </c>
      <c r="E1729" t="s">
        <v>19015</v>
      </c>
      <c r="F1729" t="s">
        <v>30052</v>
      </c>
      <c r="G1729" t="s">
        <v>30061</v>
      </c>
      <c r="H1729" t="s">
        <v>15498</v>
      </c>
      <c r="I1729" t="s">
        <v>30081</v>
      </c>
      <c r="J1729" t="s">
        <v>31418</v>
      </c>
      <c r="K1729" t="s">
        <v>39025</v>
      </c>
      <c r="M1729" t="s">
        <v>40049</v>
      </c>
      <c r="N1729" t="s">
        <v>43166</v>
      </c>
      <c r="O1729" t="s">
        <v>43167</v>
      </c>
      <c r="P1729">
        <v>0</v>
      </c>
      <c r="Q1729">
        <v>0</v>
      </c>
      <c r="R1729" t="s">
        <v>43170</v>
      </c>
      <c r="S1729" t="s">
        <v>43297</v>
      </c>
      <c r="T1729" t="s">
        <v>44744</v>
      </c>
      <c r="U1729" t="s">
        <v>46615</v>
      </c>
      <c r="W1729" t="s">
        <v>40049</v>
      </c>
      <c r="X1729" t="s">
        <v>43171</v>
      </c>
    </row>
    <row r="1730" spans="1:24">
      <c r="A1730">
        <f>HYPERLINK("https://www.philgeps.gov.ph/GEPSNONPILOT/Tender/SplashBidNoticeAbstractUI.aspx?menuIndex=3&amp;refID=7084981&amp;Result=3","7084981")</f>
        <v>0</v>
      </c>
      <c r="B1730" t="s">
        <v>529</v>
      </c>
      <c r="C1730" t="s">
        <v>4615</v>
      </c>
      <c r="D1730" t="s">
        <v>17474</v>
      </c>
      <c r="E1730" t="s">
        <v>19016</v>
      </c>
      <c r="F1730" t="s">
        <v>30052</v>
      </c>
      <c r="G1730" t="s">
        <v>30058</v>
      </c>
      <c r="H1730" t="s">
        <v>15498</v>
      </c>
      <c r="I1730" t="s">
        <v>30094</v>
      </c>
      <c r="J1730" t="s">
        <v>31419</v>
      </c>
      <c r="K1730" t="s">
        <v>39034</v>
      </c>
      <c r="M1730" t="s">
        <v>39831</v>
      </c>
      <c r="N1730" t="s">
        <v>43166</v>
      </c>
      <c r="O1730" t="s">
        <v>43167</v>
      </c>
      <c r="P1730">
        <v>0</v>
      </c>
      <c r="Q1730">
        <v>0</v>
      </c>
      <c r="R1730" t="s">
        <v>43170</v>
      </c>
      <c r="S1730" t="s">
        <v>43297</v>
      </c>
      <c r="T1730" t="s">
        <v>44704</v>
      </c>
      <c r="U1730" t="s">
        <v>46616</v>
      </c>
      <c r="V1730" t="s">
        <v>57021</v>
      </c>
      <c r="W1730" t="s">
        <v>39831</v>
      </c>
      <c r="X1730" t="s">
        <v>43171</v>
      </c>
    </row>
    <row r="1731" spans="1:24">
      <c r="A1731">
        <f>HYPERLINK("https://www.philgeps.gov.ph/GEPSNONPILOT/Tender/SplashBidNoticeAbstractUI.aspx?menuIndex=3&amp;refID=7084980&amp;Result=3","7084980")</f>
        <v>0</v>
      </c>
      <c r="B1731" t="s">
        <v>744</v>
      </c>
      <c r="C1731" t="s">
        <v>5079</v>
      </c>
      <c r="D1731" t="s">
        <v>17478</v>
      </c>
      <c r="E1731" t="s">
        <v>19017</v>
      </c>
      <c r="F1731" t="s">
        <v>30052</v>
      </c>
      <c r="G1731" t="s">
        <v>30061</v>
      </c>
      <c r="H1731" t="s">
        <v>15498</v>
      </c>
      <c r="I1731" t="s">
        <v>30084</v>
      </c>
      <c r="J1731" t="s">
        <v>31420</v>
      </c>
      <c r="K1731" t="s">
        <v>39019</v>
      </c>
      <c r="M1731" t="s">
        <v>40058</v>
      </c>
      <c r="N1731" t="s">
        <v>43166</v>
      </c>
      <c r="O1731" t="s">
        <v>43167</v>
      </c>
      <c r="P1731">
        <v>0</v>
      </c>
      <c r="Q1731">
        <v>1</v>
      </c>
      <c r="R1731" t="s">
        <v>43170</v>
      </c>
      <c r="S1731" t="s">
        <v>43297</v>
      </c>
      <c r="T1731" t="s">
        <v>44710</v>
      </c>
      <c r="U1731" t="s">
        <v>46617</v>
      </c>
      <c r="V1731" t="s">
        <v>57022</v>
      </c>
      <c r="W1731" t="s">
        <v>40058</v>
      </c>
      <c r="X1731" t="s">
        <v>43171</v>
      </c>
    </row>
    <row r="1732" spans="1:24">
      <c r="A1732">
        <f>HYPERLINK("https://www.philgeps.gov.ph/GEPSNONPILOT/Tender/SplashBidNoticeAbstractUI.aspx?menuIndex=3&amp;refID=7084977&amp;Result=3","7084977")</f>
        <v>0</v>
      </c>
      <c r="B1732" t="s">
        <v>741</v>
      </c>
      <c r="C1732" t="s">
        <v>5080</v>
      </c>
      <c r="D1732" t="s">
        <v>17425</v>
      </c>
      <c r="E1732" t="s">
        <v>19018</v>
      </c>
      <c r="F1732" t="s">
        <v>30052</v>
      </c>
      <c r="G1732" t="s">
        <v>30059</v>
      </c>
      <c r="H1732" t="s">
        <v>15498</v>
      </c>
      <c r="I1732" t="s">
        <v>30070</v>
      </c>
      <c r="J1732" t="s">
        <v>31421</v>
      </c>
      <c r="K1732" t="s">
        <v>39019</v>
      </c>
      <c r="M1732" t="s">
        <v>40055</v>
      </c>
      <c r="N1732" t="s">
        <v>43166</v>
      </c>
      <c r="O1732" t="s">
        <v>43167</v>
      </c>
      <c r="P1732">
        <v>0</v>
      </c>
      <c r="Q1732">
        <v>0</v>
      </c>
      <c r="R1732" t="s">
        <v>43170</v>
      </c>
      <c r="S1732" t="s">
        <v>43297</v>
      </c>
      <c r="T1732" t="s">
        <v>44806</v>
      </c>
      <c r="U1732" t="s">
        <v>46618</v>
      </c>
      <c r="W1732" t="s">
        <v>40055</v>
      </c>
      <c r="X1732" t="s">
        <v>43171</v>
      </c>
    </row>
    <row r="1733" spans="1:24">
      <c r="A1733">
        <f>HYPERLINK("https://www.philgeps.gov.ph/GEPSNONPILOT/Tender/SplashBidNoticeAbstractUI.aspx?menuIndex=3&amp;refID=7084975&amp;Result=3","7084975")</f>
        <v>0</v>
      </c>
      <c r="B1733" t="s">
        <v>745</v>
      </c>
      <c r="C1733" t="s">
        <v>5081</v>
      </c>
      <c r="D1733" t="s">
        <v>17476</v>
      </c>
      <c r="E1733" t="s">
        <v>19019</v>
      </c>
      <c r="F1733" t="s">
        <v>30052</v>
      </c>
      <c r="G1733" t="s">
        <v>30059</v>
      </c>
      <c r="H1733" t="s">
        <v>15498</v>
      </c>
      <c r="I1733" t="s">
        <v>30106</v>
      </c>
      <c r="J1733" t="s">
        <v>31422</v>
      </c>
      <c r="K1733" t="s">
        <v>39018</v>
      </c>
      <c r="M1733" t="s">
        <v>40059</v>
      </c>
      <c r="N1733" t="s">
        <v>43166</v>
      </c>
      <c r="O1733" t="s">
        <v>43167</v>
      </c>
      <c r="P1733">
        <v>0</v>
      </c>
      <c r="Q1733">
        <v>1</v>
      </c>
      <c r="R1733" t="s">
        <v>43170</v>
      </c>
      <c r="S1733" t="s">
        <v>43297</v>
      </c>
      <c r="T1733" t="s">
        <v>44681</v>
      </c>
      <c r="U1733" t="s">
        <v>46619</v>
      </c>
      <c r="W1733" t="s">
        <v>40059</v>
      </c>
      <c r="X1733" t="s">
        <v>43171</v>
      </c>
    </row>
    <row r="1734" spans="1:24">
      <c r="A1734">
        <f>HYPERLINK("https://www.philgeps.gov.ph/GEPSNONPILOT/Tender/SplashBidNoticeAbstractUI.aspx?menuIndex=3&amp;refID=7084974&amp;Result=3","7084974")</f>
        <v>0</v>
      </c>
      <c r="B1734" t="s">
        <v>729</v>
      </c>
      <c r="C1734" t="s">
        <v>5039</v>
      </c>
      <c r="D1734" t="s">
        <v>17471</v>
      </c>
      <c r="E1734" t="s">
        <v>19020</v>
      </c>
      <c r="F1734" t="s">
        <v>30052</v>
      </c>
      <c r="G1734" t="s">
        <v>30059</v>
      </c>
      <c r="H1734" t="s">
        <v>15498</v>
      </c>
      <c r="I1734" t="s">
        <v>6691</v>
      </c>
      <c r="J1734" t="s">
        <v>31423</v>
      </c>
      <c r="K1734" t="s">
        <v>39029</v>
      </c>
      <c r="M1734" t="s">
        <v>40040</v>
      </c>
      <c r="N1734" t="s">
        <v>43166</v>
      </c>
      <c r="O1734" t="s">
        <v>43167</v>
      </c>
      <c r="P1734">
        <v>0</v>
      </c>
      <c r="Q1734">
        <v>0</v>
      </c>
      <c r="R1734" t="s">
        <v>43170</v>
      </c>
      <c r="S1734" t="s">
        <v>43297</v>
      </c>
      <c r="T1734" t="s">
        <v>44717</v>
      </c>
      <c r="U1734" t="s">
        <v>46575</v>
      </c>
      <c r="W1734" t="s">
        <v>40040</v>
      </c>
      <c r="X1734" t="s">
        <v>43171</v>
      </c>
    </row>
    <row r="1735" spans="1:24">
      <c r="A1735">
        <f>HYPERLINK("https://www.philgeps.gov.ph/GEPSNONPILOT/Tender/SplashBidNoticeAbstractUI.aspx?menuIndex=3&amp;refID=7084970&amp;Result=3","7084970")</f>
        <v>0</v>
      </c>
      <c r="B1735" t="s">
        <v>746</v>
      </c>
      <c r="C1735" t="s">
        <v>5082</v>
      </c>
      <c r="D1735" t="s">
        <v>17421</v>
      </c>
      <c r="E1735" t="s">
        <v>19021</v>
      </c>
      <c r="F1735" t="s">
        <v>30052</v>
      </c>
      <c r="G1735" t="s">
        <v>30059</v>
      </c>
      <c r="H1735" t="s">
        <v>15498</v>
      </c>
      <c r="I1735" t="s">
        <v>3852</v>
      </c>
      <c r="J1735" t="s">
        <v>31424</v>
      </c>
      <c r="K1735" t="s">
        <v>39029</v>
      </c>
      <c r="M1735" t="s">
        <v>40060</v>
      </c>
      <c r="N1735" t="s">
        <v>43166</v>
      </c>
      <c r="O1735" t="s">
        <v>43167</v>
      </c>
      <c r="P1735">
        <v>0</v>
      </c>
      <c r="Q1735">
        <v>0</v>
      </c>
      <c r="R1735" t="s">
        <v>43170</v>
      </c>
      <c r="S1735" t="s">
        <v>43297</v>
      </c>
      <c r="T1735" t="s">
        <v>44678</v>
      </c>
      <c r="U1735" t="s">
        <v>46620</v>
      </c>
      <c r="W1735" t="s">
        <v>40060</v>
      </c>
      <c r="X1735" t="s">
        <v>43171</v>
      </c>
    </row>
    <row r="1736" spans="1:24">
      <c r="A1736">
        <f>HYPERLINK("https://www.philgeps.gov.ph/GEPSNONPILOT/Tender/SplashBidNoticeAbstractUI.aspx?menuIndex=3&amp;refID=7084904&amp;Result=3","7084904")</f>
        <v>0</v>
      </c>
      <c r="B1736" t="s">
        <v>736</v>
      </c>
      <c r="C1736" t="s">
        <v>5083</v>
      </c>
      <c r="D1736" t="s">
        <v>17455</v>
      </c>
      <c r="E1736" t="s">
        <v>19022</v>
      </c>
      <c r="F1736" t="s">
        <v>30052</v>
      </c>
      <c r="G1736" t="s">
        <v>30061</v>
      </c>
      <c r="H1736" t="s">
        <v>15498</v>
      </c>
      <c r="I1736" t="s">
        <v>30084</v>
      </c>
      <c r="J1736" t="s">
        <v>31425</v>
      </c>
      <c r="K1736" t="s">
        <v>39025</v>
      </c>
      <c r="M1736" t="s">
        <v>40049</v>
      </c>
      <c r="N1736" t="s">
        <v>43166</v>
      </c>
      <c r="O1736" t="s">
        <v>43167</v>
      </c>
      <c r="P1736">
        <v>0</v>
      </c>
      <c r="Q1736">
        <v>0</v>
      </c>
      <c r="R1736" t="s">
        <v>43170</v>
      </c>
      <c r="S1736" t="s">
        <v>43297</v>
      </c>
      <c r="T1736" t="s">
        <v>44744</v>
      </c>
      <c r="U1736" t="s">
        <v>46621</v>
      </c>
      <c r="W1736" t="s">
        <v>40049</v>
      </c>
      <c r="X1736" t="s">
        <v>43171</v>
      </c>
    </row>
    <row r="1737" spans="1:24">
      <c r="A1737">
        <f>HYPERLINK("https://www.philgeps.gov.ph/GEPSNONPILOT/Tender/SplashBidNoticeAbstractUI.aspx?menuIndex=3&amp;refID=7084966&amp;Result=3","7084966")</f>
        <v>0</v>
      </c>
      <c r="B1737" t="s">
        <v>617</v>
      </c>
      <c r="C1737" t="s">
        <v>5084</v>
      </c>
      <c r="D1737" t="s">
        <v>17486</v>
      </c>
      <c r="E1737" t="s">
        <v>19023</v>
      </c>
      <c r="F1737" t="s">
        <v>30052</v>
      </c>
      <c r="G1737" t="s">
        <v>30059</v>
      </c>
      <c r="H1737" t="s">
        <v>15498</v>
      </c>
      <c r="I1737" t="s">
        <v>3736</v>
      </c>
      <c r="J1737" t="s">
        <v>30207</v>
      </c>
      <c r="K1737" t="s">
        <v>39036</v>
      </c>
      <c r="M1737" t="s">
        <v>39919</v>
      </c>
      <c r="N1737" t="s">
        <v>43166</v>
      </c>
      <c r="O1737" t="s">
        <v>43167</v>
      </c>
      <c r="P1737">
        <v>0</v>
      </c>
      <c r="Q1737">
        <v>4</v>
      </c>
      <c r="R1737" t="s">
        <v>43170</v>
      </c>
      <c r="S1737" t="s">
        <v>43297</v>
      </c>
      <c r="T1737" t="s">
        <v>44718</v>
      </c>
      <c r="U1737" t="s">
        <v>46622</v>
      </c>
      <c r="W1737" t="s">
        <v>39919</v>
      </c>
      <c r="X1737" t="s">
        <v>43171</v>
      </c>
    </row>
    <row r="1738" spans="1:24">
      <c r="A1738">
        <f>HYPERLINK("https://www.philgeps.gov.ph/GEPSNONPILOT/Tender/SplashBidNoticeAbstractUI.aspx?menuIndex=3&amp;refID=7084963&amp;Result=3","7084963")</f>
        <v>0</v>
      </c>
      <c r="B1738" t="s">
        <v>747</v>
      </c>
      <c r="C1738" t="s">
        <v>5085</v>
      </c>
      <c r="E1738" t="s">
        <v>19024</v>
      </c>
      <c r="F1738" t="s">
        <v>30052</v>
      </c>
      <c r="G1738" t="s">
        <v>30058</v>
      </c>
      <c r="H1738" t="s">
        <v>15498</v>
      </c>
      <c r="I1738" t="s">
        <v>30091</v>
      </c>
      <c r="J1738" t="s">
        <v>31426</v>
      </c>
      <c r="K1738" t="s">
        <v>39031</v>
      </c>
      <c r="M1738" t="s">
        <v>40061</v>
      </c>
      <c r="N1738" t="s">
        <v>43166</v>
      </c>
      <c r="O1738" t="s">
        <v>43167</v>
      </c>
      <c r="P1738">
        <v>0</v>
      </c>
      <c r="Q1738">
        <v>9</v>
      </c>
      <c r="R1738" t="s">
        <v>43170</v>
      </c>
      <c r="S1738" t="s">
        <v>43297</v>
      </c>
      <c r="T1738" t="s">
        <v>44885</v>
      </c>
      <c r="U1738" t="s">
        <v>46623</v>
      </c>
      <c r="W1738" t="s">
        <v>40061</v>
      </c>
      <c r="X1738" t="s">
        <v>43171</v>
      </c>
    </row>
    <row r="1739" spans="1:24">
      <c r="A1739">
        <f>HYPERLINK("https://www.philgeps.gov.ph/GEPSNONPILOT/Tender/SplashBidNoticeAbstractUI.aspx?menuIndex=3&amp;refID=7084979&amp;Result=3","7084979")</f>
        <v>0</v>
      </c>
      <c r="B1739" t="s">
        <v>748</v>
      </c>
      <c r="C1739" t="s">
        <v>5086</v>
      </c>
      <c r="D1739" t="s">
        <v>17427</v>
      </c>
      <c r="E1739" t="s">
        <v>19025</v>
      </c>
      <c r="F1739" t="s">
        <v>30052</v>
      </c>
      <c r="G1739" t="s">
        <v>30058</v>
      </c>
      <c r="H1739" t="s">
        <v>15498</v>
      </c>
      <c r="I1739" t="s">
        <v>30098</v>
      </c>
      <c r="J1739" t="s">
        <v>30605</v>
      </c>
      <c r="K1739" t="s">
        <v>39019</v>
      </c>
      <c r="M1739" t="s">
        <v>40062</v>
      </c>
      <c r="N1739" t="s">
        <v>43166</v>
      </c>
      <c r="O1739" t="s">
        <v>43167</v>
      </c>
      <c r="P1739">
        <v>0</v>
      </c>
      <c r="Q1739">
        <v>2</v>
      </c>
      <c r="R1739" t="s">
        <v>43170</v>
      </c>
      <c r="S1739" t="s">
        <v>43297</v>
      </c>
      <c r="T1739" t="s">
        <v>44756</v>
      </c>
      <c r="U1739" t="s">
        <v>46624</v>
      </c>
      <c r="W1739" t="s">
        <v>40062</v>
      </c>
      <c r="X1739" t="s">
        <v>43171</v>
      </c>
    </row>
    <row r="1740" spans="1:24">
      <c r="A1740">
        <f>HYPERLINK("https://www.philgeps.gov.ph/GEPSNONPILOT/Tender/SplashBidNoticeAbstractUI.aspx?menuIndex=3&amp;refID=7084962&amp;Result=3","7084962")</f>
        <v>0</v>
      </c>
      <c r="B1740" t="s">
        <v>415</v>
      </c>
      <c r="C1740" t="s">
        <v>5087</v>
      </c>
      <c r="D1740" t="s">
        <v>17472</v>
      </c>
      <c r="E1740" t="s">
        <v>19026</v>
      </c>
      <c r="F1740" t="s">
        <v>30052</v>
      </c>
      <c r="G1740" t="s">
        <v>30058</v>
      </c>
      <c r="H1740" t="s">
        <v>15498</v>
      </c>
      <c r="I1740" t="s">
        <v>30076</v>
      </c>
      <c r="J1740" t="s">
        <v>31427</v>
      </c>
      <c r="K1740" t="s">
        <v>39034</v>
      </c>
      <c r="M1740" t="s">
        <v>40024</v>
      </c>
      <c r="N1740" t="s">
        <v>43166</v>
      </c>
      <c r="O1740" t="s">
        <v>43167</v>
      </c>
      <c r="P1740">
        <v>0</v>
      </c>
      <c r="Q1740">
        <v>9</v>
      </c>
      <c r="R1740" t="s">
        <v>43170</v>
      </c>
      <c r="S1740" t="s">
        <v>43297</v>
      </c>
      <c r="T1740" t="s">
        <v>44794</v>
      </c>
      <c r="U1740" t="s">
        <v>46554</v>
      </c>
      <c r="V1740" t="s">
        <v>57013</v>
      </c>
      <c r="W1740" t="s">
        <v>58610</v>
      </c>
      <c r="X1740" t="s">
        <v>43171</v>
      </c>
    </row>
    <row r="1741" spans="1:24">
      <c r="A1741">
        <f>HYPERLINK("https://www.philgeps.gov.ph/GEPSNONPILOT/Tender/SplashBidNoticeAbstractUI.aspx?menuIndex=3&amp;refID=7084959&amp;Result=3","7084959")</f>
        <v>0</v>
      </c>
      <c r="B1741" t="s">
        <v>749</v>
      </c>
      <c r="C1741" t="s">
        <v>5088</v>
      </c>
      <c r="D1741" t="s">
        <v>17444</v>
      </c>
      <c r="E1741" t="s">
        <v>19027</v>
      </c>
      <c r="F1741" t="s">
        <v>30052</v>
      </c>
      <c r="G1741" t="s">
        <v>30059</v>
      </c>
      <c r="H1741" t="s">
        <v>15498</v>
      </c>
      <c r="I1741" t="s">
        <v>3736</v>
      </c>
      <c r="J1741" t="s">
        <v>31428</v>
      </c>
      <c r="K1741" t="s">
        <v>39018</v>
      </c>
      <c r="M1741" t="s">
        <v>40063</v>
      </c>
      <c r="N1741" t="s">
        <v>43166</v>
      </c>
      <c r="O1741" t="s">
        <v>43167</v>
      </c>
      <c r="P1741">
        <v>0</v>
      </c>
      <c r="Q1741">
        <v>0</v>
      </c>
      <c r="R1741" t="s">
        <v>43170</v>
      </c>
      <c r="S1741" t="s">
        <v>43297</v>
      </c>
      <c r="T1741" t="s">
        <v>44717</v>
      </c>
      <c r="U1741" t="s">
        <v>46625</v>
      </c>
      <c r="W1741" t="s">
        <v>40063</v>
      </c>
      <c r="X1741" t="s">
        <v>43171</v>
      </c>
    </row>
    <row r="1742" spans="1:24">
      <c r="A1742">
        <f>HYPERLINK("https://www.philgeps.gov.ph/GEPSNONPILOT/Tender/SplashBidNoticeAbstractUI.aspx?menuIndex=3&amp;refID=7084951&amp;Result=3","7084951")</f>
        <v>0</v>
      </c>
      <c r="B1742" t="s">
        <v>750</v>
      </c>
      <c r="C1742" t="s">
        <v>5089</v>
      </c>
      <c r="D1742" t="s">
        <v>17422</v>
      </c>
      <c r="E1742" t="s">
        <v>19028</v>
      </c>
      <c r="F1742" t="s">
        <v>30052</v>
      </c>
      <c r="G1742" t="s">
        <v>30059</v>
      </c>
      <c r="H1742" t="s">
        <v>15498</v>
      </c>
      <c r="I1742" t="s">
        <v>8323</v>
      </c>
      <c r="J1742" t="s">
        <v>31429</v>
      </c>
      <c r="K1742" t="s">
        <v>39025</v>
      </c>
      <c r="M1742" t="s">
        <v>40064</v>
      </c>
      <c r="N1742" t="s">
        <v>43166</v>
      </c>
      <c r="O1742" t="s">
        <v>43167</v>
      </c>
      <c r="P1742">
        <v>0</v>
      </c>
      <c r="Q1742">
        <v>11</v>
      </c>
      <c r="R1742" t="s">
        <v>43170</v>
      </c>
      <c r="S1742" t="s">
        <v>43297</v>
      </c>
      <c r="T1742" t="s">
        <v>44773</v>
      </c>
      <c r="U1742" t="s">
        <v>46626</v>
      </c>
      <c r="W1742" t="s">
        <v>40064</v>
      </c>
      <c r="X1742" t="s">
        <v>43171</v>
      </c>
    </row>
    <row r="1743" spans="1:24">
      <c r="A1743">
        <f>HYPERLINK("https://www.philgeps.gov.ph/GEPSNONPILOT/Tender/SplashBidNoticeAbstractUI.aspx?menuIndex=3&amp;refID=7084969&amp;Result=3","7084969")</f>
        <v>0</v>
      </c>
      <c r="B1743" t="s">
        <v>732</v>
      </c>
      <c r="C1743" t="s">
        <v>5090</v>
      </c>
      <c r="E1743" t="s">
        <v>19029</v>
      </c>
      <c r="F1743" t="s">
        <v>30052</v>
      </c>
      <c r="G1743" t="s">
        <v>30058</v>
      </c>
      <c r="H1743" t="s">
        <v>30067</v>
      </c>
      <c r="I1743" t="s">
        <v>3693</v>
      </c>
      <c r="J1743" t="s">
        <v>30205</v>
      </c>
      <c r="K1743" t="s">
        <v>39057</v>
      </c>
      <c r="M1743" t="s">
        <v>40043</v>
      </c>
      <c r="N1743" t="s">
        <v>43166</v>
      </c>
      <c r="O1743" t="s">
        <v>43167</v>
      </c>
      <c r="P1743">
        <v>0</v>
      </c>
      <c r="Q1743">
        <v>0</v>
      </c>
      <c r="R1743" t="s">
        <v>43170</v>
      </c>
      <c r="S1743" t="s">
        <v>43297</v>
      </c>
      <c r="T1743" t="s">
        <v>44886</v>
      </c>
      <c r="U1743" t="s">
        <v>46627</v>
      </c>
      <c r="W1743" t="s">
        <v>40043</v>
      </c>
      <c r="X1743" t="s">
        <v>43171</v>
      </c>
    </row>
    <row r="1744" spans="1:24">
      <c r="A1744">
        <f>HYPERLINK("https://www.philgeps.gov.ph/GEPSNONPILOT/Tender/SplashBidNoticeAbstractUI.aspx?menuIndex=3&amp;refID=7084965&amp;Result=3","7084965")</f>
        <v>0</v>
      </c>
      <c r="B1744" t="s">
        <v>483</v>
      </c>
      <c r="C1744" t="s">
        <v>4481</v>
      </c>
      <c r="D1744" t="s">
        <v>17489</v>
      </c>
      <c r="E1744" t="s">
        <v>19030</v>
      </c>
      <c r="F1744" t="s">
        <v>30052</v>
      </c>
      <c r="G1744" t="s">
        <v>30061</v>
      </c>
      <c r="H1744" t="s">
        <v>15498</v>
      </c>
      <c r="I1744" t="s">
        <v>30081</v>
      </c>
      <c r="J1744" t="s">
        <v>31430</v>
      </c>
      <c r="K1744" t="s">
        <v>39017</v>
      </c>
      <c r="M1744" t="s">
        <v>39784</v>
      </c>
      <c r="N1744" t="s">
        <v>43166</v>
      </c>
      <c r="O1744" t="s">
        <v>43167</v>
      </c>
      <c r="P1744">
        <v>0</v>
      </c>
      <c r="Q1744">
        <v>0</v>
      </c>
      <c r="R1744" t="s">
        <v>43170</v>
      </c>
      <c r="S1744" t="s">
        <v>43297</v>
      </c>
      <c r="T1744" t="s">
        <v>44887</v>
      </c>
      <c r="U1744" t="s">
        <v>46628</v>
      </c>
      <c r="W1744" t="s">
        <v>39784</v>
      </c>
      <c r="X1744" t="s">
        <v>43171</v>
      </c>
    </row>
    <row r="1745" spans="1:24">
      <c r="A1745">
        <f>HYPERLINK("https://www.philgeps.gov.ph/GEPSNONPILOT/Tender/SplashBidNoticeAbstractUI.aspx?menuIndex=3&amp;refID=7084829&amp;Result=3","7084829")</f>
        <v>0</v>
      </c>
      <c r="B1745" t="s">
        <v>338</v>
      </c>
      <c r="C1745" t="s">
        <v>5091</v>
      </c>
      <c r="D1745" t="s">
        <v>17460</v>
      </c>
      <c r="E1745" t="s">
        <v>19031</v>
      </c>
      <c r="F1745" t="s">
        <v>30052</v>
      </c>
      <c r="G1745" t="s">
        <v>30059</v>
      </c>
      <c r="H1745" t="s">
        <v>15498</v>
      </c>
      <c r="I1745" t="s">
        <v>3852</v>
      </c>
      <c r="J1745" t="s">
        <v>31431</v>
      </c>
      <c r="K1745" t="s">
        <v>39019</v>
      </c>
      <c r="M1745" t="s">
        <v>39634</v>
      </c>
      <c r="N1745" t="s">
        <v>43166</v>
      </c>
      <c r="O1745" t="s">
        <v>43167</v>
      </c>
      <c r="P1745">
        <v>0</v>
      </c>
      <c r="Q1745">
        <v>0</v>
      </c>
      <c r="R1745" t="s">
        <v>43170</v>
      </c>
      <c r="S1745" t="s">
        <v>43297</v>
      </c>
      <c r="T1745" t="s">
        <v>44837</v>
      </c>
      <c r="U1745" t="s">
        <v>46629</v>
      </c>
      <c r="W1745" t="s">
        <v>39634</v>
      </c>
      <c r="X1745" t="s">
        <v>43171</v>
      </c>
    </row>
    <row r="1746" spans="1:24">
      <c r="A1746">
        <f>HYPERLINK("https://www.philgeps.gov.ph/GEPSNONPILOT/Tender/SplashBidNoticeAbstractUI.aspx?menuIndex=3&amp;refID=7084947&amp;Result=3","7084947")</f>
        <v>0</v>
      </c>
      <c r="B1746" t="s">
        <v>746</v>
      </c>
      <c r="C1746" t="s">
        <v>5092</v>
      </c>
      <c r="D1746" t="s">
        <v>17421</v>
      </c>
      <c r="E1746" t="s">
        <v>19032</v>
      </c>
      <c r="F1746" t="s">
        <v>30052</v>
      </c>
      <c r="G1746" t="s">
        <v>30059</v>
      </c>
      <c r="H1746" t="s">
        <v>15498</v>
      </c>
      <c r="I1746" t="s">
        <v>4650</v>
      </c>
      <c r="J1746" t="s">
        <v>30890</v>
      </c>
      <c r="K1746" t="s">
        <v>39037</v>
      </c>
      <c r="M1746" t="s">
        <v>40060</v>
      </c>
      <c r="N1746" t="s">
        <v>43166</v>
      </c>
      <c r="O1746" t="s">
        <v>43167</v>
      </c>
      <c r="P1746">
        <v>0</v>
      </c>
      <c r="Q1746">
        <v>4</v>
      </c>
      <c r="R1746" t="s">
        <v>43170</v>
      </c>
      <c r="S1746" t="s">
        <v>43297</v>
      </c>
      <c r="T1746" t="s">
        <v>44678</v>
      </c>
      <c r="U1746" t="s">
        <v>46630</v>
      </c>
      <c r="W1746" t="s">
        <v>40060</v>
      </c>
      <c r="X1746" t="s">
        <v>43171</v>
      </c>
    </row>
    <row r="1747" spans="1:24">
      <c r="A1747">
        <f>HYPERLINK("https://www.philgeps.gov.ph/GEPSNONPILOT/Tender/SplashBidNoticeAbstractUI.aspx?menuIndex=3&amp;refID=7084790&amp;Result=3","7084790")</f>
        <v>0</v>
      </c>
      <c r="B1747" t="s">
        <v>736</v>
      </c>
      <c r="C1747" t="s">
        <v>5093</v>
      </c>
      <c r="D1747" t="s">
        <v>17455</v>
      </c>
      <c r="E1747" t="s">
        <v>19033</v>
      </c>
      <c r="F1747" t="s">
        <v>30052</v>
      </c>
      <c r="G1747" t="s">
        <v>30061</v>
      </c>
      <c r="H1747" t="s">
        <v>15498</v>
      </c>
      <c r="I1747" t="s">
        <v>30084</v>
      </c>
      <c r="J1747" t="s">
        <v>30344</v>
      </c>
      <c r="K1747" t="s">
        <v>39025</v>
      </c>
      <c r="M1747" t="s">
        <v>40049</v>
      </c>
      <c r="N1747" t="s">
        <v>43166</v>
      </c>
      <c r="O1747" t="s">
        <v>43167</v>
      </c>
      <c r="P1747">
        <v>0</v>
      </c>
      <c r="Q1747">
        <v>0</v>
      </c>
      <c r="R1747" t="s">
        <v>43170</v>
      </c>
      <c r="S1747" t="s">
        <v>43297</v>
      </c>
      <c r="T1747" t="s">
        <v>44744</v>
      </c>
      <c r="U1747" t="s">
        <v>46631</v>
      </c>
      <c r="W1747" t="s">
        <v>40049</v>
      </c>
      <c r="X1747" t="s">
        <v>43171</v>
      </c>
    </row>
    <row r="1748" spans="1:24">
      <c r="A1748">
        <f>HYPERLINK("https://www.philgeps.gov.ph/GEPSNONPILOT/Tender/SplashBidNoticeAbstractUI.aspx?menuIndex=3&amp;refID=7084824&amp;Result=3","7084824")</f>
        <v>0</v>
      </c>
      <c r="B1748" t="s">
        <v>415</v>
      </c>
      <c r="C1748" t="s">
        <v>5094</v>
      </c>
      <c r="D1748" t="s">
        <v>17472</v>
      </c>
      <c r="E1748" t="s">
        <v>19034</v>
      </c>
      <c r="F1748" t="s">
        <v>30052</v>
      </c>
      <c r="G1748" t="s">
        <v>30058</v>
      </c>
      <c r="H1748" t="s">
        <v>15498</v>
      </c>
      <c r="I1748" t="s">
        <v>30081</v>
      </c>
      <c r="J1748" t="s">
        <v>31432</v>
      </c>
      <c r="K1748" t="s">
        <v>39034</v>
      </c>
      <c r="M1748" t="s">
        <v>40024</v>
      </c>
      <c r="N1748" t="s">
        <v>43166</v>
      </c>
      <c r="O1748" t="s">
        <v>43167</v>
      </c>
      <c r="P1748">
        <v>0</v>
      </c>
      <c r="Q1748">
        <v>2</v>
      </c>
      <c r="R1748" t="s">
        <v>43170</v>
      </c>
      <c r="S1748" t="s">
        <v>43297</v>
      </c>
      <c r="T1748" t="s">
        <v>44794</v>
      </c>
      <c r="U1748" t="s">
        <v>46554</v>
      </c>
      <c r="V1748" t="s">
        <v>57013</v>
      </c>
      <c r="W1748" t="s">
        <v>58610</v>
      </c>
      <c r="X1748" t="s">
        <v>43171</v>
      </c>
    </row>
    <row r="1749" spans="1:24">
      <c r="A1749">
        <f>HYPERLINK("https://www.philgeps.gov.ph/GEPSNONPILOT/Tender/SplashBidNoticeAbstractUI.aspx?menuIndex=3&amp;refID=7084786&amp;Result=3","7084786")</f>
        <v>0</v>
      </c>
      <c r="B1749" t="s">
        <v>701</v>
      </c>
      <c r="C1749" t="s">
        <v>5095</v>
      </c>
      <c r="D1749" t="s">
        <v>17419</v>
      </c>
      <c r="E1749" t="s">
        <v>19035</v>
      </c>
      <c r="F1749" t="s">
        <v>30052</v>
      </c>
      <c r="G1749" t="s">
        <v>30059</v>
      </c>
      <c r="H1749" t="s">
        <v>15498</v>
      </c>
      <c r="I1749" t="s">
        <v>3736</v>
      </c>
      <c r="J1749" t="s">
        <v>31433</v>
      </c>
      <c r="K1749" t="s">
        <v>39025</v>
      </c>
      <c r="M1749" t="s">
        <v>40010</v>
      </c>
      <c r="N1749" t="s">
        <v>43166</v>
      </c>
      <c r="O1749" t="s">
        <v>43167</v>
      </c>
      <c r="P1749">
        <v>0</v>
      </c>
      <c r="Q1749">
        <v>0</v>
      </c>
      <c r="R1749" t="s">
        <v>43170</v>
      </c>
      <c r="S1749" t="s">
        <v>43297</v>
      </c>
      <c r="T1749" t="s">
        <v>44717</v>
      </c>
      <c r="U1749" t="s">
        <v>46632</v>
      </c>
      <c r="W1749" t="s">
        <v>40010</v>
      </c>
      <c r="X1749" t="s">
        <v>43171</v>
      </c>
    </row>
    <row r="1750" spans="1:24">
      <c r="A1750">
        <f>HYPERLINK("https://www.philgeps.gov.ph/GEPSNONPILOT/Tender/SplashBidNoticeAbstractUI.aspx?menuIndex=3&amp;refID=7084958&amp;Result=3","7084958")</f>
        <v>0</v>
      </c>
      <c r="B1750" t="s">
        <v>743</v>
      </c>
      <c r="C1750" t="s">
        <v>5096</v>
      </c>
      <c r="D1750" t="s">
        <v>17458</v>
      </c>
      <c r="E1750" t="s">
        <v>19036</v>
      </c>
      <c r="F1750" t="s">
        <v>30052</v>
      </c>
      <c r="G1750" t="s">
        <v>30061</v>
      </c>
      <c r="H1750" t="s">
        <v>15498</v>
      </c>
      <c r="I1750" t="s">
        <v>30094</v>
      </c>
      <c r="J1750" t="s">
        <v>31434</v>
      </c>
      <c r="K1750" t="s">
        <v>39029</v>
      </c>
      <c r="M1750" t="s">
        <v>40057</v>
      </c>
      <c r="N1750" t="s">
        <v>43166</v>
      </c>
      <c r="O1750" t="s">
        <v>43167</v>
      </c>
      <c r="P1750">
        <v>0</v>
      </c>
      <c r="Q1750">
        <v>0</v>
      </c>
      <c r="R1750" t="s">
        <v>43170</v>
      </c>
      <c r="S1750" t="s">
        <v>43297</v>
      </c>
      <c r="T1750" t="s">
        <v>44691</v>
      </c>
      <c r="U1750" t="s">
        <v>46613</v>
      </c>
      <c r="W1750" t="s">
        <v>40057</v>
      </c>
      <c r="X1750" t="s">
        <v>43171</v>
      </c>
    </row>
    <row r="1751" spans="1:24">
      <c r="A1751">
        <f>HYPERLINK("https://www.philgeps.gov.ph/GEPSNONPILOT/Tender/SplashBidNoticeAbstractUI.aspx?menuIndex=3&amp;refID=7084930&amp;Result=3","7084930")</f>
        <v>0</v>
      </c>
      <c r="B1751" t="s">
        <v>751</v>
      </c>
      <c r="C1751" t="s">
        <v>5097</v>
      </c>
      <c r="D1751" t="s">
        <v>17485</v>
      </c>
      <c r="E1751" t="s">
        <v>19037</v>
      </c>
      <c r="F1751" t="s">
        <v>30052</v>
      </c>
      <c r="G1751" t="s">
        <v>30059</v>
      </c>
      <c r="H1751" t="s">
        <v>15498</v>
      </c>
      <c r="I1751" t="s">
        <v>30073</v>
      </c>
      <c r="J1751" t="s">
        <v>31435</v>
      </c>
      <c r="K1751" t="s">
        <v>39025</v>
      </c>
      <c r="M1751" t="s">
        <v>40065</v>
      </c>
      <c r="N1751" t="s">
        <v>43166</v>
      </c>
      <c r="O1751" t="s">
        <v>43167</v>
      </c>
      <c r="P1751">
        <v>0</v>
      </c>
      <c r="Q1751">
        <v>0</v>
      </c>
      <c r="R1751" t="s">
        <v>43170</v>
      </c>
      <c r="S1751" t="s">
        <v>43297</v>
      </c>
      <c r="T1751" t="s">
        <v>44777</v>
      </c>
      <c r="U1751" t="s">
        <v>46633</v>
      </c>
      <c r="W1751" t="s">
        <v>40065</v>
      </c>
      <c r="X1751" t="s">
        <v>43171</v>
      </c>
    </row>
    <row r="1752" spans="1:24">
      <c r="A1752">
        <f>HYPERLINK("https://www.philgeps.gov.ph/GEPSNONPILOT/Tender/SplashBidNoticeAbstractUI.aspx?menuIndex=3&amp;refID=7084948&amp;Result=3","7084948")</f>
        <v>0</v>
      </c>
      <c r="B1752" t="s">
        <v>722</v>
      </c>
      <c r="C1752" t="s">
        <v>5098</v>
      </c>
      <c r="D1752" t="s">
        <v>17474</v>
      </c>
      <c r="E1752" t="s">
        <v>19038</v>
      </c>
      <c r="F1752" t="s">
        <v>30055</v>
      </c>
      <c r="G1752" t="s">
        <v>30059</v>
      </c>
      <c r="H1752" t="s">
        <v>15498</v>
      </c>
      <c r="I1752" t="s">
        <v>3736</v>
      </c>
      <c r="J1752" t="s">
        <v>30508</v>
      </c>
      <c r="K1752" t="s">
        <v>39017</v>
      </c>
      <c r="M1752" t="s">
        <v>40033</v>
      </c>
      <c r="N1752" t="s">
        <v>43166</v>
      </c>
      <c r="O1752" t="s">
        <v>43167</v>
      </c>
      <c r="P1752">
        <v>0</v>
      </c>
      <c r="Q1752">
        <v>1</v>
      </c>
      <c r="R1752" t="s">
        <v>43170</v>
      </c>
      <c r="S1752" t="s">
        <v>43297</v>
      </c>
      <c r="T1752" t="s">
        <v>44754</v>
      </c>
      <c r="U1752" t="s">
        <v>46565</v>
      </c>
      <c r="V1752" t="s">
        <v>57014</v>
      </c>
      <c r="W1752" t="s">
        <v>58611</v>
      </c>
      <c r="X1752" t="s">
        <v>43171</v>
      </c>
    </row>
    <row r="1753" spans="1:24">
      <c r="A1753">
        <f>HYPERLINK("https://www.philgeps.gov.ph/GEPSNONPILOT/Tender/SplashBidNoticeAbstractUI.aspx?menuIndex=3&amp;refID=7084753&amp;Result=3","7084753")</f>
        <v>0</v>
      </c>
      <c r="B1753" t="s">
        <v>752</v>
      </c>
      <c r="C1753" t="s">
        <v>5099</v>
      </c>
      <c r="D1753" t="s">
        <v>17415</v>
      </c>
      <c r="E1753" t="s">
        <v>19039</v>
      </c>
      <c r="F1753" t="s">
        <v>30052</v>
      </c>
      <c r="G1753" t="s">
        <v>30060</v>
      </c>
      <c r="H1753" t="s">
        <v>15498</v>
      </c>
      <c r="I1753" t="s">
        <v>9238</v>
      </c>
      <c r="J1753" t="s">
        <v>31436</v>
      </c>
      <c r="K1753" t="s">
        <v>39035</v>
      </c>
      <c r="M1753" t="s">
        <v>40066</v>
      </c>
      <c r="N1753" t="s">
        <v>43166</v>
      </c>
      <c r="O1753" t="s">
        <v>43167</v>
      </c>
      <c r="P1753">
        <v>0</v>
      </c>
      <c r="Q1753">
        <v>15</v>
      </c>
      <c r="R1753" t="s">
        <v>43170</v>
      </c>
      <c r="S1753" t="s">
        <v>43297</v>
      </c>
      <c r="T1753" t="s">
        <v>44704</v>
      </c>
      <c r="U1753" t="s">
        <v>46634</v>
      </c>
      <c r="W1753" t="s">
        <v>40066</v>
      </c>
      <c r="X1753" t="s">
        <v>43171</v>
      </c>
    </row>
    <row r="1754" spans="1:24">
      <c r="A1754">
        <f>HYPERLINK("https://www.philgeps.gov.ph/GEPSNONPILOT/Tender/SplashBidNoticeAbstractUI.aspx?menuIndex=3&amp;refID=7084748&amp;Result=3","7084748")</f>
        <v>0</v>
      </c>
      <c r="B1754" t="s">
        <v>701</v>
      </c>
      <c r="C1754" t="s">
        <v>5100</v>
      </c>
      <c r="D1754" t="s">
        <v>17419</v>
      </c>
      <c r="E1754" t="s">
        <v>19040</v>
      </c>
      <c r="F1754" t="s">
        <v>30052</v>
      </c>
      <c r="G1754" t="s">
        <v>30059</v>
      </c>
      <c r="H1754" t="s">
        <v>15498</v>
      </c>
      <c r="I1754" t="s">
        <v>30073</v>
      </c>
      <c r="J1754" t="s">
        <v>31437</v>
      </c>
      <c r="K1754" t="s">
        <v>39025</v>
      </c>
      <c r="M1754" t="s">
        <v>40010</v>
      </c>
      <c r="N1754" t="s">
        <v>43166</v>
      </c>
      <c r="O1754" t="s">
        <v>43167</v>
      </c>
      <c r="P1754">
        <v>0</v>
      </c>
      <c r="Q1754">
        <v>0</v>
      </c>
      <c r="R1754" t="s">
        <v>43170</v>
      </c>
      <c r="S1754" t="s">
        <v>43297</v>
      </c>
      <c r="T1754" t="s">
        <v>44717</v>
      </c>
      <c r="U1754" t="s">
        <v>46635</v>
      </c>
      <c r="W1754" t="s">
        <v>40010</v>
      </c>
      <c r="X1754" t="s">
        <v>43171</v>
      </c>
    </row>
    <row r="1755" spans="1:24">
      <c r="A1755">
        <f>HYPERLINK("https://www.philgeps.gov.ph/GEPSNONPILOT/Tender/SplashBidNoticeAbstractUI.aspx?menuIndex=3&amp;refID=7084746&amp;Result=3","7084746")</f>
        <v>0</v>
      </c>
      <c r="B1755" t="s">
        <v>753</v>
      </c>
      <c r="C1755" t="s">
        <v>5101</v>
      </c>
      <c r="E1755" t="s">
        <v>19041</v>
      </c>
      <c r="F1755" t="s">
        <v>30052</v>
      </c>
      <c r="G1755" t="s">
        <v>30059</v>
      </c>
      <c r="H1755" t="s">
        <v>15498</v>
      </c>
      <c r="I1755" t="s">
        <v>30125</v>
      </c>
      <c r="J1755" t="s">
        <v>31438</v>
      </c>
      <c r="K1755" t="s">
        <v>39019</v>
      </c>
      <c r="M1755" t="s">
        <v>40067</v>
      </c>
      <c r="N1755" t="s">
        <v>43166</v>
      </c>
      <c r="O1755" t="s">
        <v>43167</v>
      </c>
      <c r="P1755">
        <v>0</v>
      </c>
      <c r="Q1755">
        <v>3</v>
      </c>
      <c r="R1755" t="s">
        <v>43170</v>
      </c>
      <c r="S1755" t="s">
        <v>43297</v>
      </c>
      <c r="T1755" t="s">
        <v>44870</v>
      </c>
      <c r="U1755" t="s">
        <v>46636</v>
      </c>
      <c r="W1755" t="s">
        <v>40067</v>
      </c>
      <c r="X1755" t="s">
        <v>43171</v>
      </c>
    </row>
    <row r="1756" spans="1:24">
      <c r="A1756">
        <f>HYPERLINK("https://www.philgeps.gov.ph/GEPSNONPILOT/Tender/SplashBidNoticeAbstractUI.aspx?menuIndex=3&amp;refID=7084733&amp;Result=3","7084733")</f>
        <v>0</v>
      </c>
      <c r="B1756" t="s">
        <v>754</v>
      </c>
      <c r="C1756" t="s">
        <v>5102</v>
      </c>
      <c r="D1756" t="s">
        <v>17488</v>
      </c>
      <c r="E1756" t="s">
        <v>19042</v>
      </c>
      <c r="F1756" t="s">
        <v>30052</v>
      </c>
      <c r="G1756" t="s">
        <v>30059</v>
      </c>
      <c r="H1756" t="s">
        <v>15498</v>
      </c>
      <c r="I1756" t="s">
        <v>3736</v>
      </c>
      <c r="J1756" t="s">
        <v>31439</v>
      </c>
      <c r="K1756" t="s">
        <v>39018</v>
      </c>
      <c r="M1756" t="s">
        <v>40068</v>
      </c>
      <c r="N1756" t="s">
        <v>43166</v>
      </c>
      <c r="O1756" t="s">
        <v>43167</v>
      </c>
      <c r="P1756">
        <v>0</v>
      </c>
      <c r="Q1756">
        <v>0</v>
      </c>
      <c r="R1756" t="s">
        <v>43170</v>
      </c>
      <c r="S1756" t="s">
        <v>43297</v>
      </c>
      <c r="T1756" t="s">
        <v>44832</v>
      </c>
      <c r="U1756" t="s">
        <v>46637</v>
      </c>
      <c r="V1756" t="s">
        <v>57023</v>
      </c>
      <c r="W1756" t="s">
        <v>40068</v>
      </c>
      <c r="X1756" t="s">
        <v>43171</v>
      </c>
    </row>
    <row r="1757" spans="1:24">
      <c r="A1757">
        <f>HYPERLINK("https://www.philgeps.gov.ph/GEPSNONPILOT/Tender/SplashBidNoticeAbstractUI.aspx?menuIndex=3&amp;refID=7084703&amp;Result=3","7084703")</f>
        <v>0</v>
      </c>
      <c r="B1757" t="s">
        <v>694</v>
      </c>
      <c r="C1757" t="s">
        <v>5103</v>
      </c>
      <c r="D1757" t="s">
        <v>17476</v>
      </c>
      <c r="E1757" t="s">
        <v>19043</v>
      </c>
      <c r="F1757" t="s">
        <v>30052</v>
      </c>
      <c r="G1757" t="s">
        <v>30059</v>
      </c>
      <c r="H1757" t="s">
        <v>15498</v>
      </c>
      <c r="I1757" t="s">
        <v>4650</v>
      </c>
      <c r="J1757" t="s">
        <v>31440</v>
      </c>
      <c r="K1757" t="s">
        <v>39064</v>
      </c>
      <c r="M1757" t="s">
        <v>40001</v>
      </c>
      <c r="N1757" t="s">
        <v>43166</v>
      </c>
      <c r="O1757" t="s">
        <v>43167</v>
      </c>
      <c r="P1757">
        <v>0</v>
      </c>
      <c r="Q1757">
        <v>2</v>
      </c>
      <c r="R1757" t="s">
        <v>43170</v>
      </c>
      <c r="S1757" t="s">
        <v>43297</v>
      </c>
      <c r="T1757" t="s">
        <v>44844</v>
      </c>
      <c r="U1757" t="s">
        <v>46638</v>
      </c>
      <c r="W1757" t="s">
        <v>40001</v>
      </c>
      <c r="X1757" t="s">
        <v>43171</v>
      </c>
    </row>
    <row r="1758" spans="1:24">
      <c r="A1758">
        <f>HYPERLINK("https://www.philgeps.gov.ph/GEPSNONPILOT/Tender/SplashBidNoticeAbstractUI.aspx?menuIndex=3&amp;refID=7084783&amp;Result=3","7084783")</f>
        <v>0</v>
      </c>
      <c r="B1758" t="s">
        <v>723</v>
      </c>
      <c r="C1758" t="s">
        <v>5104</v>
      </c>
      <c r="D1758" t="s">
        <v>17459</v>
      </c>
      <c r="E1758" t="s">
        <v>19044</v>
      </c>
      <c r="F1758" t="s">
        <v>30052</v>
      </c>
      <c r="G1758" t="s">
        <v>30059</v>
      </c>
      <c r="H1758" t="s">
        <v>15498</v>
      </c>
      <c r="I1758" t="s">
        <v>6691</v>
      </c>
      <c r="J1758" t="s">
        <v>31441</v>
      </c>
      <c r="K1758" t="s">
        <v>39029</v>
      </c>
      <c r="M1758" t="s">
        <v>40034</v>
      </c>
      <c r="N1758" t="s">
        <v>43166</v>
      </c>
      <c r="O1758" t="s">
        <v>43167</v>
      </c>
      <c r="P1758">
        <v>0</v>
      </c>
      <c r="Q1758">
        <v>0</v>
      </c>
      <c r="R1758" t="s">
        <v>43170</v>
      </c>
      <c r="S1758" t="s">
        <v>43297</v>
      </c>
      <c r="T1758" t="s">
        <v>44879</v>
      </c>
      <c r="U1758" t="s">
        <v>46566</v>
      </c>
      <c r="W1758" t="s">
        <v>40034</v>
      </c>
      <c r="X1758" t="s">
        <v>43171</v>
      </c>
    </row>
    <row r="1759" spans="1:24">
      <c r="A1759">
        <f>HYPERLINK("https://www.philgeps.gov.ph/GEPSNONPILOT/Tender/SplashBidNoticeAbstractUI.aspx?menuIndex=3&amp;refID=7084787&amp;Result=3","7084787")</f>
        <v>0</v>
      </c>
      <c r="B1759" t="s">
        <v>755</v>
      </c>
      <c r="C1759" t="s">
        <v>5105</v>
      </c>
      <c r="D1759" t="s">
        <v>17456</v>
      </c>
      <c r="E1759" t="s">
        <v>19045</v>
      </c>
      <c r="F1759" t="s">
        <v>30052</v>
      </c>
      <c r="G1759" t="s">
        <v>30059</v>
      </c>
      <c r="H1759" t="s">
        <v>15498</v>
      </c>
      <c r="I1759" t="s">
        <v>6691</v>
      </c>
      <c r="J1759" t="s">
        <v>30287</v>
      </c>
      <c r="K1759" t="s">
        <v>39018</v>
      </c>
      <c r="M1759" t="s">
        <v>40069</v>
      </c>
      <c r="N1759" t="s">
        <v>43166</v>
      </c>
      <c r="O1759" t="s">
        <v>43167</v>
      </c>
      <c r="P1759">
        <v>0</v>
      </c>
      <c r="Q1759">
        <v>0</v>
      </c>
      <c r="R1759" t="s">
        <v>43170</v>
      </c>
      <c r="S1759" t="s">
        <v>43297</v>
      </c>
      <c r="T1759" t="s">
        <v>44837</v>
      </c>
      <c r="U1759" t="s">
        <v>46639</v>
      </c>
      <c r="V1759" t="s">
        <v>57024</v>
      </c>
      <c r="W1759" t="s">
        <v>40069</v>
      </c>
      <c r="X1759" t="s">
        <v>43171</v>
      </c>
    </row>
    <row r="1760" spans="1:24">
      <c r="A1760">
        <f>HYPERLINK("https://www.philgeps.gov.ph/GEPSNONPILOT/Tender/SplashBidNoticeAbstractUI.aspx?menuIndex=3&amp;refID=7084737&amp;Result=3","7084737")</f>
        <v>0</v>
      </c>
      <c r="B1760" t="s">
        <v>617</v>
      </c>
      <c r="C1760" t="s">
        <v>5106</v>
      </c>
      <c r="D1760" t="s">
        <v>17486</v>
      </c>
      <c r="E1760" t="s">
        <v>17929</v>
      </c>
      <c r="F1760" t="s">
        <v>30052</v>
      </c>
      <c r="G1760" t="s">
        <v>30059</v>
      </c>
      <c r="H1760" t="s">
        <v>30069</v>
      </c>
      <c r="I1760" t="s">
        <v>3736</v>
      </c>
      <c r="J1760" t="s">
        <v>31442</v>
      </c>
      <c r="K1760" t="s">
        <v>39036</v>
      </c>
      <c r="M1760" t="s">
        <v>39919</v>
      </c>
      <c r="N1760" t="s">
        <v>43166</v>
      </c>
      <c r="O1760" t="s">
        <v>43167</v>
      </c>
      <c r="P1760">
        <v>0</v>
      </c>
      <c r="Q1760">
        <v>2</v>
      </c>
      <c r="R1760" t="s">
        <v>43170</v>
      </c>
      <c r="S1760" t="s">
        <v>43297</v>
      </c>
      <c r="T1760" t="s">
        <v>44718</v>
      </c>
      <c r="U1760" t="s">
        <v>46640</v>
      </c>
      <c r="W1760" t="s">
        <v>39919</v>
      </c>
      <c r="X1760" t="s">
        <v>43171</v>
      </c>
    </row>
    <row r="1761" spans="1:24">
      <c r="A1761">
        <f>HYPERLINK("https://www.philgeps.gov.ph/GEPSNONPILOT/Tender/SplashBidNoticeAbstractUI.aspx?menuIndex=3&amp;refID=7084784&amp;Result=3","7084784")</f>
        <v>0</v>
      </c>
      <c r="B1761" t="s">
        <v>756</v>
      </c>
      <c r="C1761" t="s">
        <v>5107</v>
      </c>
      <c r="D1761" t="s">
        <v>17424</v>
      </c>
      <c r="E1761" t="s">
        <v>19046</v>
      </c>
      <c r="F1761" t="s">
        <v>30052</v>
      </c>
      <c r="G1761" t="s">
        <v>30059</v>
      </c>
      <c r="H1761" t="s">
        <v>15498</v>
      </c>
      <c r="I1761" t="s">
        <v>3736</v>
      </c>
      <c r="J1761" t="s">
        <v>31443</v>
      </c>
      <c r="K1761" t="s">
        <v>39039</v>
      </c>
      <c r="M1761" t="s">
        <v>40070</v>
      </c>
      <c r="N1761" t="s">
        <v>43166</v>
      </c>
      <c r="O1761" t="s">
        <v>43167</v>
      </c>
      <c r="P1761">
        <v>0</v>
      </c>
      <c r="Q1761">
        <v>0</v>
      </c>
      <c r="R1761" t="s">
        <v>43170</v>
      </c>
      <c r="S1761" t="s">
        <v>43297</v>
      </c>
      <c r="T1761" t="s">
        <v>44735</v>
      </c>
      <c r="U1761" t="s">
        <v>46641</v>
      </c>
      <c r="W1761" t="s">
        <v>40070</v>
      </c>
      <c r="X1761" t="s">
        <v>43171</v>
      </c>
    </row>
    <row r="1762" spans="1:24">
      <c r="A1762">
        <f>HYPERLINK("https://www.philgeps.gov.ph/GEPSNONPILOT/Tender/SplashBidNoticeAbstractUI.aspx?menuIndex=3&amp;refID=7084674&amp;Result=3","7084674")</f>
        <v>0</v>
      </c>
      <c r="B1762" t="s">
        <v>691</v>
      </c>
      <c r="C1762" t="s">
        <v>5108</v>
      </c>
      <c r="D1762" t="s">
        <v>17452</v>
      </c>
      <c r="E1762" t="s">
        <v>19047</v>
      </c>
      <c r="F1762" t="s">
        <v>30052</v>
      </c>
      <c r="G1762" t="s">
        <v>30058</v>
      </c>
      <c r="H1762" t="s">
        <v>15498</v>
      </c>
      <c r="I1762" t="s">
        <v>4650</v>
      </c>
      <c r="J1762" t="s">
        <v>30287</v>
      </c>
      <c r="K1762" t="s">
        <v>39025</v>
      </c>
      <c r="M1762" t="s">
        <v>39997</v>
      </c>
      <c r="N1762" t="s">
        <v>43166</v>
      </c>
      <c r="O1762" t="s">
        <v>43167</v>
      </c>
      <c r="P1762">
        <v>0</v>
      </c>
      <c r="Q1762">
        <v>7</v>
      </c>
      <c r="R1762" t="s">
        <v>43170</v>
      </c>
      <c r="S1762" t="s">
        <v>43297</v>
      </c>
      <c r="T1762" t="s">
        <v>44733</v>
      </c>
      <c r="U1762" t="s">
        <v>46642</v>
      </c>
      <c r="W1762" t="s">
        <v>39997</v>
      </c>
      <c r="X1762" t="s">
        <v>43171</v>
      </c>
    </row>
    <row r="1763" spans="1:24">
      <c r="A1763">
        <f>HYPERLINK("https://www.philgeps.gov.ph/GEPSNONPILOT/Tender/SplashBidNoticeAbstractUI.aspx?menuIndex=3&amp;refID=7084673&amp;Result=3","7084673")</f>
        <v>0</v>
      </c>
      <c r="B1763" t="s">
        <v>682</v>
      </c>
      <c r="C1763" t="s">
        <v>5109</v>
      </c>
      <c r="D1763" t="s">
        <v>17447</v>
      </c>
      <c r="E1763" t="s">
        <v>19048</v>
      </c>
      <c r="F1763" t="s">
        <v>30052</v>
      </c>
      <c r="G1763" t="s">
        <v>30059</v>
      </c>
      <c r="H1763" t="s">
        <v>15498</v>
      </c>
      <c r="I1763" t="s">
        <v>30074</v>
      </c>
      <c r="J1763" t="s">
        <v>30402</v>
      </c>
      <c r="K1763" t="s">
        <v>39019</v>
      </c>
      <c r="M1763" t="s">
        <v>39988</v>
      </c>
      <c r="N1763" t="s">
        <v>43166</v>
      </c>
      <c r="O1763" t="s">
        <v>43167</v>
      </c>
      <c r="P1763">
        <v>0</v>
      </c>
      <c r="Q1763">
        <v>0</v>
      </c>
      <c r="R1763" t="s">
        <v>43170</v>
      </c>
      <c r="S1763" t="s">
        <v>43297</v>
      </c>
      <c r="T1763" t="s">
        <v>44735</v>
      </c>
      <c r="U1763" t="s">
        <v>46501</v>
      </c>
      <c r="W1763" t="s">
        <v>58608</v>
      </c>
      <c r="X1763" t="s">
        <v>43171</v>
      </c>
    </row>
    <row r="1764" spans="1:24">
      <c r="A1764">
        <f>HYPERLINK("https://www.philgeps.gov.ph/GEPSNONPILOT/Tender/SplashBidNoticeAbstractUI.aspx?menuIndex=3&amp;refID=7084697&amp;Result=3","7084697")</f>
        <v>0</v>
      </c>
      <c r="B1764" t="s">
        <v>691</v>
      </c>
      <c r="C1764" t="s">
        <v>5110</v>
      </c>
      <c r="D1764" t="s">
        <v>17452</v>
      </c>
      <c r="E1764" t="s">
        <v>19049</v>
      </c>
      <c r="F1764" t="s">
        <v>30052</v>
      </c>
      <c r="G1764" t="s">
        <v>30059</v>
      </c>
      <c r="H1764" t="s">
        <v>15498</v>
      </c>
      <c r="I1764" t="s">
        <v>30103</v>
      </c>
      <c r="J1764" t="s">
        <v>30337</v>
      </c>
      <c r="K1764" t="s">
        <v>39025</v>
      </c>
      <c r="M1764" t="s">
        <v>39997</v>
      </c>
      <c r="N1764" t="s">
        <v>43166</v>
      </c>
      <c r="O1764" t="s">
        <v>43167</v>
      </c>
      <c r="P1764">
        <v>0</v>
      </c>
      <c r="Q1764">
        <v>3</v>
      </c>
      <c r="R1764" t="s">
        <v>43170</v>
      </c>
      <c r="S1764" t="s">
        <v>43297</v>
      </c>
      <c r="T1764" t="s">
        <v>44856</v>
      </c>
      <c r="U1764" t="s">
        <v>46643</v>
      </c>
      <c r="W1764" t="s">
        <v>39997</v>
      </c>
      <c r="X1764" t="s">
        <v>43171</v>
      </c>
    </row>
    <row r="1765" spans="1:24">
      <c r="A1765">
        <f>HYPERLINK("https://www.philgeps.gov.ph/GEPSNONPILOT/Tender/SplashBidNoticeAbstractUI.aspx?menuIndex=3&amp;refID=7084670&amp;Result=3","7084670")</f>
        <v>0</v>
      </c>
      <c r="B1765" t="s">
        <v>678</v>
      </c>
      <c r="C1765" t="s">
        <v>5111</v>
      </c>
      <c r="D1765" t="s">
        <v>17432</v>
      </c>
      <c r="E1765" t="s">
        <v>19050</v>
      </c>
      <c r="F1765" t="s">
        <v>30052</v>
      </c>
      <c r="G1765" t="s">
        <v>30058</v>
      </c>
      <c r="H1765" t="s">
        <v>30067</v>
      </c>
      <c r="I1765" t="s">
        <v>3693</v>
      </c>
      <c r="J1765" t="s">
        <v>31444</v>
      </c>
      <c r="K1765" t="s">
        <v>39089</v>
      </c>
      <c r="M1765" t="s">
        <v>39984</v>
      </c>
      <c r="N1765" t="s">
        <v>43166</v>
      </c>
      <c r="O1765" t="s">
        <v>43167</v>
      </c>
      <c r="P1765">
        <v>0</v>
      </c>
      <c r="Q1765">
        <v>1</v>
      </c>
      <c r="R1765" t="s">
        <v>43170</v>
      </c>
      <c r="S1765" t="s">
        <v>43297</v>
      </c>
      <c r="T1765" t="s">
        <v>44842</v>
      </c>
      <c r="U1765" t="s">
        <v>46493</v>
      </c>
      <c r="W1765" t="s">
        <v>39984</v>
      </c>
      <c r="X1765" t="s">
        <v>43171</v>
      </c>
    </row>
    <row r="1766" spans="1:24">
      <c r="A1766">
        <f>HYPERLINK("https://www.philgeps.gov.ph/GEPSNONPILOT/Tender/SplashBidNoticeAbstractUI.aspx?menuIndex=3&amp;refID=7084785&amp;Result=3","7084785")</f>
        <v>0</v>
      </c>
      <c r="B1766" t="s">
        <v>757</v>
      </c>
      <c r="C1766" t="s">
        <v>5112</v>
      </c>
      <c r="D1766" t="s">
        <v>17462</v>
      </c>
      <c r="E1766" t="s">
        <v>19051</v>
      </c>
      <c r="F1766" t="s">
        <v>30052</v>
      </c>
      <c r="G1766" t="s">
        <v>30059</v>
      </c>
      <c r="H1766" t="s">
        <v>15498</v>
      </c>
      <c r="I1766" t="s">
        <v>3606</v>
      </c>
      <c r="J1766" t="s">
        <v>31445</v>
      </c>
      <c r="K1766" t="s">
        <v>39025</v>
      </c>
      <c r="M1766" t="s">
        <v>40071</v>
      </c>
      <c r="N1766" t="s">
        <v>43166</v>
      </c>
      <c r="O1766" t="s">
        <v>43167</v>
      </c>
      <c r="P1766">
        <v>0</v>
      </c>
      <c r="Q1766">
        <v>8</v>
      </c>
      <c r="R1766" t="s">
        <v>43170</v>
      </c>
      <c r="S1766" t="s">
        <v>43297</v>
      </c>
      <c r="T1766" t="s">
        <v>44888</v>
      </c>
      <c r="U1766" t="s">
        <v>46644</v>
      </c>
      <c r="W1766" t="s">
        <v>40071</v>
      </c>
      <c r="X1766" t="s">
        <v>43171</v>
      </c>
    </row>
    <row r="1767" spans="1:24">
      <c r="A1767">
        <f>HYPERLINK("https://www.philgeps.gov.ph/GEPSNONPILOT/Tender/SplashBidNoticeAbstractUI.aspx?menuIndex=3&amp;refID=7084668&amp;Result=3","7084668")</f>
        <v>0</v>
      </c>
      <c r="B1767" t="s">
        <v>521</v>
      </c>
      <c r="C1767" t="s">
        <v>5113</v>
      </c>
      <c r="D1767" t="s">
        <v>17415</v>
      </c>
      <c r="E1767" t="s">
        <v>19052</v>
      </c>
      <c r="F1767" t="s">
        <v>30052</v>
      </c>
      <c r="G1767" t="s">
        <v>30061</v>
      </c>
      <c r="H1767" t="s">
        <v>15498</v>
      </c>
      <c r="I1767" t="s">
        <v>9238</v>
      </c>
      <c r="J1767" t="s">
        <v>30605</v>
      </c>
      <c r="K1767" t="s">
        <v>39019</v>
      </c>
      <c r="M1767" t="s">
        <v>39823</v>
      </c>
      <c r="N1767" t="s">
        <v>43166</v>
      </c>
      <c r="O1767" t="s">
        <v>43167</v>
      </c>
      <c r="P1767">
        <v>0</v>
      </c>
      <c r="Q1767">
        <v>13</v>
      </c>
      <c r="R1767" t="s">
        <v>43170</v>
      </c>
      <c r="S1767" t="s">
        <v>43297</v>
      </c>
      <c r="T1767" t="s">
        <v>44856</v>
      </c>
      <c r="U1767" t="s">
        <v>46645</v>
      </c>
      <c r="V1767" t="s">
        <v>56959</v>
      </c>
      <c r="W1767" t="s">
        <v>58603</v>
      </c>
      <c r="X1767" t="s">
        <v>43171</v>
      </c>
    </row>
    <row r="1768" spans="1:24">
      <c r="A1768">
        <f>HYPERLINK("https://www.philgeps.gov.ph/GEPSNONPILOT/Tender/SplashBidNoticeAbstractUI.aspx?menuIndex=3&amp;refID=7084694&amp;Result=3","7084694")</f>
        <v>0</v>
      </c>
      <c r="B1768" t="s">
        <v>687</v>
      </c>
      <c r="C1768" t="s">
        <v>5114</v>
      </c>
      <c r="D1768" t="s">
        <v>17435</v>
      </c>
      <c r="E1768" t="s">
        <v>19053</v>
      </c>
      <c r="F1768" t="s">
        <v>30052</v>
      </c>
      <c r="G1768" t="s">
        <v>30061</v>
      </c>
      <c r="H1768" t="s">
        <v>15498</v>
      </c>
      <c r="I1768" t="s">
        <v>3736</v>
      </c>
      <c r="J1768" t="s">
        <v>31446</v>
      </c>
      <c r="K1768" t="s">
        <v>39017</v>
      </c>
      <c r="M1768" t="s">
        <v>39993</v>
      </c>
      <c r="N1768" t="s">
        <v>43166</v>
      </c>
      <c r="O1768" t="s">
        <v>43167</v>
      </c>
      <c r="P1768">
        <v>0</v>
      </c>
      <c r="Q1768">
        <v>1</v>
      </c>
      <c r="R1768" t="s">
        <v>43170</v>
      </c>
      <c r="S1768" t="s">
        <v>43297</v>
      </c>
      <c r="T1768" t="s">
        <v>44830</v>
      </c>
      <c r="U1768" t="s">
        <v>46646</v>
      </c>
      <c r="W1768" t="s">
        <v>39993</v>
      </c>
      <c r="X1768" t="s">
        <v>43171</v>
      </c>
    </row>
    <row r="1769" spans="1:24">
      <c r="A1769">
        <f>HYPERLINK("https://www.philgeps.gov.ph/GEPSNONPILOT/Tender/SplashBidNoticeAbstractUI.aspx?menuIndex=3&amp;refID=7084664&amp;Result=3","7084664")</f>
        <v>0</v>
      </c>
      <c r="B1769" t="s">
        <v>659</v>
      </c>
      <c r="C1769" t="s">
        <v>5115</v>
      </c>
      <c r="D1769" t="s">
        <v>17434</v>
      </c>
      <c r="E1769" t="s">
        <v>19054</v>
      </c>
      <c r="F1769" t="s">
        <v>30052</v>
      </c>
      <c r="G1769" t="s">
        <v>30058</v>
      </c>
      <c r="H1769" t="s">
        <v>30067</v>
      </c>
      <c r="I1769" t="s">
        <v>3693</v>
      </c>
      <c r="J1769" t="s">
        <v>31447</v>
      </c>
      <c r="K1769" t="s">
        <v>39026</v>
      </c>
      <c r="M1769" t="s">
        <v>39965</v>
      </c>
      <c r="N1769" t="s">
        <v>43166</v>
      </c>
      <c r="O1769" t="s">
        <v>43167</v>
      </c>
      <c r="P1769">
        <v>0</v>
      </c>
      <c r="Q1769">
        <v>0</v>
      </c>
      <c r="R1769" t="s">
        <v>43170</v>
      </c>
      <c r="S1769" t="s">
        <v>43297</v>
      </c>
      <c r="T1769" t="s">
        <v>44721</v>
      </c>
      <c r="U1769" t="s">
        <v>46647</v>
      </c>
      <c r="V1769" t="s">
        <v>57025</v>
      </c>
      <c r="W1769" t="s">
        <v>39965</v>
      </c>
      <c r="X1769" t="s">
        <v>43171</v>
      </c>
    </row>
    <row r="1770" spans="1:24">
      <c r="A1770">
        <f>HYPERLINK("https://www.philgeps.gov.ph/GEPSNONPILOT/Tender/SplashBidNoticeAbstractUI.aspx?menuIndex=3&amp;refID=7085035&amp;Result=3","7085035")</f>
        <v>0</v>
      </c>
      <c r="B1770" t="s">
        <v>236</v>
      </c>
      <c r="C1770" t="s">
        <v>5116</v>
      </c>
      <c r="D1770" t="s">
        <v>17483</v>
      </c>
      <c r="E1770" t="s">
        <v>19055</v>
      </c>
      <c r="F1770" t="s">
        <v>30052</v>
      </c>
      <c r="G1770" t="s">
        <v>30059</v>
      </c>
      <c r="H1770" t="s">
        <v>15498</v>
      </c>
      <c r="I1770" t="s">
        <v>30092</v>
      </c>
      <c r="J1770" t="s">
        <v>31448</v>
      </c>
      <c r="K1770" t="s">
        <v>39019</v>
      </c>
      <c r="M1770" t="s">
        <v>39920</v>
      </c>
      <c r="N1770" t="s">
        <v>43166</v>
      </c>
      <c r="O1770" t="s">
        <v>43167</v>
      </c>
      <c r="P1770">
        <v>0</v>
      </c>
      <c r="Q1770">
        <v>8</v>
      </c>
      <c r="R1770" t="s">
        <v>43170</v>
      </c>
      <c r="S1770" t="s">
        <v>43297</v>
      </c>
      <c r="T1770" t="s">
        <v>44773</v>
      </c>
      <c r="U1770" t="s">
        <v>46648</v>
      </c>
      <c r="V1770" t="s">
        <v>45722</v>
      </c>
      <c r="W1770" t="s">
        <v>39920</v>
      </c>
      <c r="X1770" t="s">
        <v>43171</v>
      </c>
    </row>
    <row r="1771" spans="1:24">
      <c r="A1771">
        <f>HYPERLINK("https://www.philgeps.gov.ph/GEPSNONPILOT/Tender/SplashBidNoticeAbstractUI.aspx?menuIndex=3&amp;refID=7084671&amp;Result=3","7084671")</f>
        <v>0</v>
      </c>
      <c r="B1771" t="s">
        <v>617</v>
      </c>
      <c r="C1771" t="s">
        <v>5016</v>
      </c>
      <c r="D1771" t="s">
        <v>17486</v>
      </c>
      <c r="E1771" t="s">
        <v>19056</v>
      </c>
      <c r="F1771" t="s">
        <v>30052</v>
      </c>
      <c r="G1771" t="s">
        <v>30059</v>
      </c>
      <c r="H1771" t="s">
        <v>15498</v>
      </c>
      <c r="I1771" t="s">
        <v>3736</v>
      </c>
      <c r="J1771" t="s">
        <v>31055</v>
      </c>
      <c r="K1771" t="s">
        <v>39036</v>
      </c>
      <c r="M1771" t="s">
        <v>39919</v>
      </c>
      <c r="N1771" t="s">
        <v>43166</v>
      </c>
      <c r="O1771" t="s">
        <v>43167</v>
      </c>
      <c r="P1771">
        <v>0</v>
      </c>
      <c r="Q1771">
        <v>2</v>
      </c>
      <c r="R1771" t="s">
        <v>43170</v>
      </c>
      <c r="S1771" t="s">
        <v>43297</v>
      </c>
      <c r="T1771" t="s">
        <v>44718</v>
      </c>
      <c r="U1771" t="s">
        <v>46649</v>
      </c>
      <c r="W1771" t="s">
        <v>39919</v>
      </c>
      <c r="X1771" t="s">
        <v>43171</v>
      </c>
    </row>
    <row r="1772" spans="1:24">
      <c r="A1772">
        <f>HYPERLINK("https://www.philgeps.gov.ph/GEPSNONPILOT/Tender/SplashBidNoticeAbstractUI.aspx?menuIndex=3&amp;refID=7084699&amp;Result=3","7084699")</f>
        <v>0</v>
      </c>
      <c r="B1772" t="s">
        <v>687</v>
      </c>
      <c r="C1772" t="s">
        <v>5117</v>
      </c>
      <c r="D1772" t="s">
        <v>17435</v>
      </c>
      <c r="E1772" t="s">
        <v>19057</v>
      </c>
      <c r="F1772" t="s">
        <v>30052</v>
      </c>
      <c r="G1772" t="s">
        <v>30061</v>
      </c>
      <c r="H1772" t="s">
        <v>15498</v>
      </c>
      <c r="I1772" t="s">
        <v>3736</v>
      </c>
      <c r="J1772" t="s">
        <v>31362</v>
      </c>
      <c r="K1772" t="s">
        <v>39017</v>
      </c>
      <c r="M1772" t="s">
        <v>39993</v>
      </c>
      <c r="N1772" t="s">
        <v>43166</v>
      </c>
      <c r="O1772" t="s">
        <v>43167</v>
      </c>
      <c r="P1772">
        <v>0</v>
      </c>
      <c r="Q1772">
        <v>2</v>
      </c>
      <c r="R1772" t="s">
        <v>43170</v>
      </c>
      <c r="S1772" t="s">
        <v>43297</v>
      </c>
      <c r="T1772" t="s">
        <v>44830</v>
      </c>
      <c r="U1772" t="s">
        <v>46650</v>
      </c>
      <c r="W1772" t="s">
        <v>39993</v>
      </c>
      <c r="X1772" t="s">
        <v>43171</v>
      </c>
    </row>
    <row r="1773" spans="1:24">
      <c r="A1773">
        <f>HYPERLINK("https://www.philgeps.gov.ph/GEPSNONPILOT/Tender/SplashBidNoticeAbstractUI.aspx?menuIndex=3&amp;refID=7084986&amp;Result=3","7084986")</f>
        <v>0</v>
      </c>
      <c r="B1773" t="s">
        <v>743</v>
      </c>
      <c r="C1773" t="s">
        <v>5118</v>
      </c>
      <c r="D1773" t="s">
        <v>17458</v>
      </c>
      <c r="E1773" t="s">
        <v>19058</v>
      </c>
      <c r="F1773" t="s">
        <v>30052</v>
      </c>
      <c r="G1773" t="s">
        <v>30061</v>
      </c>
      <c r="H1773" t="s">
        <v>15498</v>
      </c>
      <c r="I1773" t="s">
        <v>30146</v>
      </c>
      <c r="J1773" t="s">
        <v>31449</v>
      </c>
      <c r="K1773" t="s">
        <v>39029</v>
      </c>
      <c r="M1773" t="s">
        <v>40057</v>
      </c>
      <c r="N1773" t="s">
        <v>43166</v>
      </c>
      <c r="O1773" t="s">
        <v>43167</v>
      </c>
      <c r="P1773">
        <v>0</v>
      </c>
      <c r="Q1773">
        <v>1</v>
      </c>
      <c r="R1773" t="s">
        <v>43170</v>
      </c>
      <c r="S1773" t="s">
        <v>43297</v>
      </c>
      <c r="T1773" t="s">
        <v>44691</v>
      </c>
      <c r="U1773" t="s">
        <v>46613</v>
      </c>
      <c r="W1773" t="s">
        <v>40057</v>
      </c>
      <c r="X1773" t="s">
        <v>43171</v>
      </c>
    </row>
    <row r="1774" spans="1:24">
      <c r="A1774">
        <f>HYPERLINK("https://www.philgeps.gov.ph/GEPSNONPILOT/Tender/SplashBidNoticeAbstractUI.aspx?menuIndex=3&amp;refID=7084667&amp;Result=3","7084667")</f>
        <v>0</v>
      </c>
      <c r="B1774" t="s">
        <v>758</v>
      </c>
      <c r="C1774" t="s">
        <v>5119</v>
      </c>
      <c r="D1774" t="s">
        <v>17476</v>
      </c>
      <c r="E1774" t="s">
        <v>19059</v>
      </c>
      <c r="F1774" t="s">
        <v>30052</v>
      </c>
      <c r="G1774" t="s">
        <v>30059</v>
      </c>
      <c r="H1774" t="s">
        <v>15498</v>
      </c>
      <c r="I1774" t="s">
        <v>4119</v>
      </c>
      <c r="J1774" t="s">
        <v>31450</v>
      </c>
      <c r="K1774" t="s">
        <v>39017</v>
      </c>
      <c r="M1774" t="s">
        <v>40072</v>
      </c>
      <c r="N1774" t="s">
        <v>43166</v>
      </c>
      <c r="O1774" t="s">
        <v>43167</v>
      </c>
      <c r="P1774">
        <v>0</v>
      </c>
      <c r="Q1774">
        <v>8</v>
      </c>
      <c r="R1774" t="s">
        <v>43170</v>
      </c>
      <c r="S1774" t="s">
        <v>43297</v>
      </c>
      <c r="T1774" t="s">
        <v>44788</v>
      </c>
      <c r="U1774" t="s">
        <v>46651</v>
      </c>
      <c r="V1774" t="s">
        <v>57026</v>
      </c>
      <c r="W1774" t="s">
        <v>40072</v>
      </c>
      <c r="X1774" t="s">
        <v>43171</v>
      </c>
    </row>
    <row r="1775" spans="1:24">
      <c r="A1775">
        <f>HYPERLINK("https://www.philgeps.gov.ph/GEPSNONPILOT/Tender/SplashBidNoticeAbstractUI.aspx?menuIndex=3&amp;refID=7085025&amp;Result=3","7085025")</f>
        <v>0</v>
      </c>
      <c r="B1775" t="s">
        <v>201</v>
      </c>
      <c r="C1775" t="s">
        <v>5120</v>
      </c>
      <c r="E1775" t="s">
        <v>19060</v>
      </c>
      <c r="F1775" t="s">
        <v>30052</v>
      </c>
      <c r="G1775" t="s">
        <v>30058</v>
      </c>
      <c r="H1775" t="s">
        <v>15498</v>
      </c>
      <c r="I1775" t="s">
        <v>30076</v>
      </c>
      <c r="J1775" t="s">
        <v>31451</v>
      </c>
      <c r="K1775" t="s">
        <v>39025</v>
      </c>
      <c r="M1775" t="s">
        <v>40003</v>
      </c>
      <c r="N1775" t="s">
        <v>43166</v>
      </c>
      <c r="O1775" t="s">
        <v>43167</v>
      </c>
      <c r="P1775">
        <v>0</v>
      </c>
      <c r="Q1775">
        <v>40</v>
      </c>
      <c r="R1775" t="s">
        <v>43170</v>
      </c>
      <c r="S1775" t="s">
        <v>43297</v>
      </c>
      <c r="T1775" t="s">
        <v>44712</v>
      </c>
      <c r="U1775" t="s">
        <v>46652</v>
      </c>
      <c r="W1775" t="s">
        <v>40003</v>
      </c>
      <c r="X1775" t="s">
        <v>43171</v>
      </c>
    </row>
    <row r="1776" spans="1:24">
      <c r="A1776">
        <f>HYPERLINK("https://www.philgeps.gov.ph/GEPSNONPILOT/Tender/SplashBidNoticeAbstractUI.aspx?menuIndex=3&amp;refID=7085024&amp;Result=3","7085024")</f>
        <v>0</v>
      </c>
      <c r="B1776" t="s">
        <v>732</v>
      </c>
      <c r="C1776" t="s">
        <v>5121</v>
      </c>
      <c r="E1776" t="s">
        <v>19061</v>
      </c>
      <c r="F1776" t="s">
        <v>30052</v>
      </c>
      <c r="G1776" t="s">
        <v>30058</v>
      </c>
      <c r="H1776" t="s">
        <v>30067</v>
      </c>
      <c r="I1776" t="s">
        <v>3693</v>
      </c>
      <c r="J1776" t="s">
        <v>30247</v>
      </c>
      <c r="K1776" t="s">
        <v>39031</v>
      </c>
      <c r="M1776" t="s">
        <v>40043</v>
      </c>
      <c r="N1776" t="s">
        <v>43166</v>
      </c>
      <c r="O1776" t="s">
        <v>43167</v>
      </c>
      <c r="P1776">
        <v>0</v>
      </c>
      <c r="Q1776">
        <v>0</v>
      </c>
      <c r="R1776" t="s">
        <v>43170</v>
      </c>
      <c r="S1776" t="s">
        <v>43297</v>
      </c>
      <c r="T1776" t="s">
        <v>44884</v>
      </c>
      <c r="U1776" t="s">
        <v>46653</v>
      </c>
      <c r="W1776" t="s">
        <v>40043</v>
      </c>
      <c r="X1776" t="s">
        <v>43171</v>
      </c>
    </row>
    <row r="1777" spans="1:24">
      <c r="A1777">
        <f>HYPERLINK("https://www.philgeps.gov.ph/GEPSNONPILOT/Tender/SplashBidNoticeAbstractUI.aspx?menuIndex=3&amp;refID=7085023&amp;Result=3","7085023")</f>
        <v>0</v>
      </c>
      <c r="B1777" t="s">
        <v>759</v>
      </c>
      <c r="C1777" t="s">
        <v>5122</v>
      </c>
      <c r="D1777" t="s">
        <v>17416</v>
      </c>
      <c r="E1777" t="s">
        <v>19062</v>
      </c>
      <c r="F1777" t="s">
        <v>30052</v>
      </c>
      <c r="G1777" t="s">
        <v>30059</v>
      </c>
      <c r="H1777" t="s">
        <v>15498</v>
      </c>
      <c r="I1777" t="s">
        <v>30117</v>
      </c>
      <c r="J1777" t="s">
        <v>31452</v>
      </c>
      <c r="K1777" t="s">
        <v>39017</v>
      </c>
      <c r="M1777" t="s">
        <v>40073</v>
      </c>
      <c r="N1777" t="s">
        <v>43166</v>
      </c>
      <c r="O1777" t="s">
        <v>43167</v>
      </c>
      <c r="P1777">
        <v>0</v>
      </c>
      <c r="Q1777">
        <v>0</v>
      </c>
      <c r="R1777" t="s">
        <v>43170</v>
      </c>
      <c r="S1777" t="s">
        <v>43297</v>
      </c>
      <c r="T1777" t="s">
        <v>44733</v>
      </c>
      <c r="U1777" t="s">
        <v>46654</v>
      </c>
      <c r="W1777" t="s">
        <v>40073</v>
      </c>
      <c r="X1777" t="s">
        <v>43171</v>
      </c>
    </row>
    <row r="1778" spans="1:24">
      <c r="A1778">
        <f>HYPERLINK("https://www.philgeps.gov.ph/GEPSNONPILOT/Tender/SplashBidNoticeAbstractUI.aspx?menuIndex=3&amp;refID=7085016&amp;Result=3","7085016")</f>
        <v>0</v>
      </c>
      <c r="B1778" t="s">
        <v>729</v>
      </c>
      <c r="C1778" t="s">
        <v>5057</v>
      </c>
      <c r="D1778" t="s">
        <v>17471</v>
      </c>
      <c r="E1778" t="s">
        <v>19063</v>
      </c>
      <c r="F1778" t="s">
        <v>30052</v>
      </c>
      <c r="G1778" t="s">
        <v>30059</v>
      </c>
      <c r="H1778" t="s">
        <v>15498</v>
      </c>
      <c r="I1778" t="s">
        <v>30073</v>
      </c>
      <c r="J1778" t="s">
        <v>30788</v>
      </c>
      <c r="K1778" t="s">
        <v>39029</v>
      </c>
      <c r="M1778" t="s">
        <v>40040</v>
      </c>
      <c r="N1778" t="s">
        <v>43166</v>
      </c>
      <c r="O1778" t="s">
        <v>43167</v>
      </c>
      <c r="P1778">
        <v>0</v>
      </c>
      <c r="Q1778">
        <v>0</v>
      </c>
      <c r="R1778" t="s">
        <v>43170</v>
      </c>
      <c r="S1778" t="s">
        <v>43297</v>
      </c>
      <c r="T1778" t="s">
        <v>44717</v>
      </c>
      <c r="U1778" t="s">
        <v>46596</v>
      </c>
      <c r="W1778" t="s">
        <v>40040</v>
      </c>
      <c r="X1778" t="s">
        <v>43171</v>
      </c>
    </row>
    <row r="1779" spans="1:24">
      <c r="A1779">
        <f>HYPERLINK("https://www.philgeps.gov.ph/GEPSNONPILOT/Tender/SplashBidNoticeAbstractUI.aspx?menuIndex=3&amp;refID=7085028&amp;Result=3","7085028")</f>
        <v>0</v>
      </c>
      <c r="B1779" t="s">
        <v>645</v>
      </c>
      <c r="C1779" t="s">
        <v>5123</v>
      </c>
      <c r="D1779" t="s">
        <v>17464</v>
      </c>
      <c r="E1779" t="s">
        <v>19064</v>
      </c>
      <c r="F1779" t="s">
        <v>30052</v>
      </c>
      <c r="G1779" t="s">
        <v>30058</v>
      </c>
      <c r="H1779" t="s">
        <v>30067</v>
      </c>
      <c r="I1779" t="s">
        <v>3693</v>
      </c>
      <c r="J1779" t="s">
        <v>31453</v>
      </c>
      <c r="K1779" t="s">
        <v>39025</v>
      </c>
      <c r="M1779" t="s">
        <v>39949</v>
      </c>
      <c r="N1779" t="s">
        <v>43166</v>
      </c>
      <c r="O1779" t="s">
        <v>43167</v>
      </c>
      <c r="P1779">
        <v>0</v>
      </c>
      <c r="Q1779">
        <v>72</v>
      </c>
      <c r="R1779" t="s">
        <v>43170</v>
      </c>
      <c r="S1779" t="s">
        <v>43297</v>
      </c>
      <c r="T1779" t="s">
        <v>44722</v>
      </c>
      <c r="U1779" t="s">
        <v>46655</v>
      </c>
      <c r="W1779" t="s">
        <v>39949</v>
      </c>
      <c r="X1779" t="s">
        <v>43171</v>
      </c>
    </row>
    <row r="1780" spans="1:24">
      <c r="A1780">
        <f>HYPERLINK("https://www.philgeps.gov.ph/GEPSNONPILOT/Tender/SplashBidNoticeAbstractUI.aspx?menuIndex=3&amp;refID=7085008&amp;Result=3","7085008")</f>
        <v>0</v>
      </c>
      <c r="B1780" t="s">
        <v>212</v>
      </c>
      <c r="C1780" t="s">
        <v>5124</v>
      </c>
      <c r="D1780" t="s">
        <v>17447</v>
      </c>
      <c r="E1780" t="s">
        <v>19065</v>
      </c>
      <c r="F1780" t="s">
        <v>30052</v>
      </c>
      <c r="G1780" t="s">
        <v>30059</v>
      </c>
      <c r="H1780" t="s">
        <v>15498</v>
      </c>
      <c r="I1780" t="s">
        <v>30094</v>
      </c>
      <c r="J1780" t="s">
        <v>31454</v>
      </c>
      <c r="K1780" t="s">
        <v>39029</v>
      </c>
      <c r="M1780" t="s">
        <v>39502</v>
      </c>
      <c r="N1780" t="s">
        <v>43166</v>
      </c>
      <c r="O1780" t="s">
        <v>43167</v>
      </c>
      <c r="P1780">
        <v>0</v>
      </c>
      <c r="Q1780">
        <v>0</v>
      </c>
      <c r="R1780" t="s">
        <v>43170</v>
      </c>
      <c r="S1780" t="s">
        <v>43297</v>
      </c>
      <c r="T1780" t="s">
        <v>44708</v>
      </c>
      <c r="U1780" t="s">
        <v>46656</v>
      </c>
      <c r="W1780" t="s">
        <v>39502</v>
      </c>
      <c r="X1780" t="s">
        <v>43171</v>
      </c>
    </row>
    <row r="1781" spans="1:24">
      <c r="A1781">
        <f>HYPERLINK("https://www.philgeps.gov.ph/GEPSNONPILOT/Tender/SplashBidNoticeAbstractUI.aspx?menuIndex=3&amp;refID=7085027&amp;Result=3","7085027")</f>
        <v>0</v>
      </c>
      <c r="B1781" t="s">
        <v>620</v>
      </c>
      <c r="C1781" t="s">
        <v>5125</v>
      </c>
      <c r="D1781" t="s">
        <v>17427</v>
      </c>
      <c r="E1781" t="s">
        <v>19066</v>
      </c>
      <c r="F1781" t="s">
        <v>30052</v>
      </c>
      <c r="G1781" t="s">
        <v>30059</v>
      </c>
      <c r="H1781" t="s">
        <v>15498</v>
      </c>
      <c r="I1781" t="s">
        <v>30103</v>
      </c>
      <c r="J1781" t="s">
        <v>31455</v>
      </c>
      <c r="K1781" t="s">
        <v>39025</v>
      </c>
      <c r="M1781" t="s">
        <v>39923</v>
      </c>
      <c r="N1781" t="s">
        <v>43166</v>
      </c>
      <c r="O1781" t="s">
        <v>43167</v>
      </c>
      <c r="P1781">
        <v>0</v>
      </c>
      <c r="Q1781">
        <v>7</v>
      </c>
      <c r="R1781" t="s">
        <v>43170</v>
      </c>
      <c r="S1781" t="s">
        <v>43297</v>
      </c>
      <c r="T1781" t="s">
        <v>44721</v>
      </c>
      <c r="U1781" t="s">
        <v>46657</v>
      </c>
      <c r="W1781" t="s">
        <v>39923</v>
      </c>
      <c r="X1781" t="s">
        <v>43171</v>
      </c>
    </row>
    <row r="1782" spans="1:24">
      <c r="A1782">
        <f>HYPERLINK("https://www.philgeps.gov.ph/GEPSNONPILOT/Tender/SplashBidNoticeAbstractUI.aspx?menuIndex=3&amp;refID=7085007&amp;Result=3","7085007")</f>
        <v>0</v>
      </c>
      <c r="B1782" t="s">
        <v>743</v>
      </c>
      <c r="C1782" t="s">
        <v>5126</v>
      </c>
      <c r="D1782" t="s">
        <v>17458</v>
      </c>
      <c r="E1782" t="s">
        <v>19067</v>
      </c>
      <c r="F1782" t="s">
        <v>30052</v>
      </c>
      <c r="G1782" t="s">
        <v>30061</v>
      </c>
      <c r="H1782" t="s">
        <v>15498</v>
      </c>
      <c r="I1782" t="s">
        <v>30084</v>
      </c>
      <c r="J1782" t="s">
        <v>31456</v>
      </c>
      <c r="K1782" t="s">
        <v>39029</v>
      </c>
      <c r="M1782" t="s">
        <v>40057</v>
      </c>
      <c r="N1782" t="s">
        <v>43166</v>
      </c>
      <c r="O1782" t="s">
        <v>43167</v>
      </c>
      <c r="P1782">
        <v>0</v>
      </c>
      <c r="Q1782">
        <v>6</v>
      </c>
      <c r="R1782" t="s">
        <v>43170</v>
      </c>
      <c r="S1782" t="s">
        <v>43297</v>
      </c>
      <c r="T1782" t="s">
        <v>44691</v>
      </c>
      <c r="U1782" t="s">
        <v>46613</v>
      </c>
      <c r="W1782" t="s">
        <v>40057</v>
      </c>
      <c r="X1782" t="s">
        <v>43171</v>
      </c>
    </row>
    <row r="1783" spans="1:24">
      <c r="A1783">
        <f>HYPERLINK("https://www.philgeps.gov.ph/GEPSNONPILOT/Tender/SplashBidNoticeAbstractUI.aspx?menuIndex=3&amp;refID=7085003&amp;Result=3","7085003")</f>
        <v>0</v>
      </c>
      <c r="B1783" t="s">
        <v>645</v>
      </c>
      <c r="C1783" t="s">
        <v>5127</v>
      </c>
      <c r="D1783" t="s">
        <v>17464</v>
      </c>
      <c r="E1783" t="s">
        <v>19068</v>
      </c>
      <c r="F1783" t="s">
        <v>30052</v>
      </c>
      <c r="G1783" t="s">
        <v>30058</v>
      </c>
      <c r="H1783" t="s">
        <v>30067</v>
      </c>
      <c r="I1783" t="s">
        <v>3693</v>
      </c>
      <c r="J1783" t="s">
        <v>31457</v>
      </c>
      <c r="K1783" t="s">
        <v>39025</v>
      </c>
      <c r="M1783" t="s">
        <v>39949</v>
      </c>
      <c r="N1783" t="s">
        <v>43166</v>
      </c>
      <c r="O1783" t="s">
        <v>43167</v>
      </c>
      <c r="P1783">
        <v>0</v>
      </c>
      <c r="Q1783">
        <v>75</v>
      </c>
      <c r="R1783" t="s">
        <v>43170</v>
      </c>
      <c r="S1783" t="s">
        <v>43297</v>
      </c>
      <c r="T1783" t="s">
        <v>44722</v>
      </c>
      <c r="U1783" t="s">
        <v>46658</v>
      </c>
      <c r="W1783" t="s">
        <v>39949</v>
      </c>
      <c r="X1783" t="s">
        <v>43171</v>
      </c>
    </row>
    <row r="1784" spans="1:24">
      <c r="A1784">
        <f>HYPERLINK("https://www.philgeps.gov.ph/GEPSNONPILOT/Tender/SplashBidNoticeAbstractUI.aspx?menuIndex=3&amp;refID=7084997&amp;Result=3","7084997")</f>
        <v>0</v>
      </c>
      <c r="B1784" t="s">
        <v>749</v>
      </c>
      <c r="C1784" t="s">
        <v>5128</v>
      </c>
      <c r="D1784" t="s">
        <v>17444</v>
      </c>
      <c r="E1784" t="s">
        <v>19069</v>
      </c>
      <c r="F1784" t="s">
        <v>30052</v>
      </c>
      <c r="G1784" t="s">
        <v>30059</v>
      </c>
      <c r="H1784" t="s">
        <v>15498</v>
      </c>
      <c r="I1784" t="s">
        <v>3736</v>
      </c>
      <c r="J1784" t="s">
        <v>31458</v>
      </c>
      <c r="K1784" t="s">
        <v>39018</v>
      </c>
      <c r="M1784" t="s">
        <v>40063</v>
      </c>
      <c r="N1784" t="s">
        <v>43166</v>
      </c>
      <c r="O1784" t="s">
        <v>43167</v>
      </c>
      <c r="P1784">
        <v>0</v>
      </c>
      <c r="Q1784">
        <v>0</v>
      </c>
      <c r="R1784" t="s">
        <v>43170</v>
      </c>
      <c r="S1784" t="s">
        <v>43297</v>
      </c>
      <c r="T1784" t="s">
        <v>44717</v>
      </c>
      <c r="U1784" t="s">
        <v>46625</v>
      </c>
      <c r="W1784" t="s">
        <v>40063</v>
      </c>
      <c r="X1784" t="s">
        <v>43171</v>
      </c>
    </row>
    <row r="1785" spans="1:24">
      <c r="A1785">
        <f>HYPERLINK("https://www.philgeps.gov.ph/GEPSNONPILOT/Tender/SplashBidNoticeAbstractUI.aspx?menuIndex=3&amp;refID=7084994&amp;Result=3","7084994")</f>
        <v>0</v>
      </c>
      <c r="B1785" t="s">
        <v>653</v>
      </c>
      <c r="C1785" t="s">
        <v>5129</v>
      </c>
      <c r="D1785" t="s">
        <v>17465</v>
      </c>
      <c r="E1785" t="s">
        <v>19070</v>
      </c>
      <c r="F1785" t="s">
        <v>30052</v>
      </c>
      <c r="G1785" t="s">
        <v>30059</v>
      </c>
      <c r="H1785" t="s">
        <v>15498</v>
      </c>
      <c r="I1785" t="s">
        <v>30109</v>
      </c>
      <c r="J1785" t="s">
        <v>31459</v>
      </c>
      <c r="K1785" t="s">
        <v>39025</v>
      </c>
      <c r="M1785" t="s">
        <v>39957</v>
      </c>
      <c r="N1785" t="s">
        <v>43166</v>
      </c>
      <c r="O1785" t="s">
        <v>43167</v>
      </c>
      <c r="P1785">
        <v>0</v>
      </c>
      <c r="Q1785">
        <v>2</v>
      </c>
      <c r="R1785" t="s">
        <v>43170</v>
      </c>
      <c r="S1785" t="s">
        <v>43297</v>
      </c>
      <c r="T1785" t="s">
        <v>44717</v>
      </c>
      <c r="U1785" t="s">
        <v>46659</v>
      </c>
      <c r="W1785" t="s">
        <v>39957</v>
      </c>
      <c r="X1785" t="s">
        <v>43171</v>
      </c>
    </row>
    <row r="1786" spans="1:24">
      <c r="A1786">
        <f>HYPERLINK("https://www.philgeps.gov.ph/GEPSNONPILOT/Tender/SplashBidNoticeAbstractUI.aspx?menuIndex=3&amp;refID=7084993&amp;Result=3","7084993")</f>
        <v>0</v>
      </c>
      <c r="B1786" t="s">
        <v>760</v>
      </c>
      <c r="C1786" t="s">
        <v>5130</v>
      </c>
      <c r="D1786" t="s">
        <v>17415</v>
      </c>
      <c r="E1786" t="s">
        <v>19071</v>
      </c>
      <c r="F1786" t="s">
        <v>30052</v>
      </c>
      <c r="G1786" t="s">
        <v>30058</v>
      </c>
      <c r="H1786" t="s">
        <v>15498</v>
      </c>
      <c r="I1786" t="s">
        <v>30115</v>
      </c>
      <c r="J1786" t="s">
        <v>31460</v>
      </c>
      <c r="K1786" t="s">
        <v>39029</v>
      </c>
      <c r="M1786" t="s">
        <v>40074</v>
      </c>
      <c r="N1786" t="s">
        <v>43166</v>
      </c>
      <c r="O1786" t="s">
        <v>43167</v>
      </c>
      <c r="P1786">
        <v>0</v>
      </c>
      <c r="Q1786">
        <v>2</v>
      </c>
      <c r="R1786" t="s">
        <v>43170</v>
      </c>
      <c r="S1786" t="s">
        <v>43297</v>
      </c>
      <c r="T1786" t="s">
        <v>44802</v>
      </c>
      <c r="U1786" t="s">
        <v>46660</v>
      </c>
      <c r="W1786" t="s">
        <v>40074</v>
      </c>
      <c r="X1786" t="s">
        <v>43171</v>
      </c>
    </row>
    <row r="1787" spans="1:24">
      <c r="A1787">
        <f>HYPERLINK("https://www.philgeps.gov.ph/GEPSNONPILOT/Tender/SplashBidNoticeAbstractUI.aspx?menuIndex=3&amp;refID=7085031&amp;Result=3","7085031")</f>
        <v>0</v>
      </c>
      <c r="B1787" t="s">
        <v>188</v>
      </c>
      <c r="C1787" t="s">
        <v>5131</v>
      </c>
      <c r="D1787" t="s">
        <v>17481</v>
      </c>
      <c r="E1787" t="s">
        <v>19072</v>
      </c>
      <c r="F1787" t="s">
        <v>30052</v>
      </c>
      <c r="G1787" t="s">
        <v>30059</v>
      </c>
      <c r="H1787" t="s">
        <v>15498</v>
      </c>
      <c r="I1787" t="s">
        <v>3736</v>
      </c>
      <c r="J1787" t="s">
        <v>31461</v>
      </c>
      <c r="K1787" t="s">
        <v>39019</v>
      </c>
      <c r="M1787" t="s">
        <v>39477</v>
      </c>
      <c r="N1787" t="s">
        <v>43166</v>
      </c>
      <c r="O1787" t="s">
        <v>43167</v>
      </c>
      <c r="P1787">
        <v>0</v>
      </c>
      <c r="Q1787">
        <v>1</v>
      </c>
      <c r="R1787" t="s">
        <v>43170</v>
      </c>
      <c r="S1787" t="s">
        <v>43297</v>
      </c>
      <c r="T1787" t="s">
        <v>44717</v>
      </c>
      <c r="U1787" t="s">
        <v>46661</v>
      </c>
      <c r="V1787" t="s">
        <v>56869</v>
      </c>
      <c r="W1787" t="s">
        <v>39477</v>
      </c>
      <c r="X1787" t="s">
        <v>43171</v>
      </c>
    </row>
    <row r="1788" spans="1:24">
      <c r="A1788">
        <f>HYPERLINK("https://www.philgeps.gov.ph/GEPSNONPILOT/Tender/SplashBidNoticeAbstractUI.aspx?menuIndex=3&amp;refID=7084990&amp;Result=3","7084990")</f>
        <v>0</v>
      </c>
      <c r="B1788" t="s">
        <v>726</v>
      </c>
      <c r="C1788" t="s">
        <v>5132</v>
      </c>
      <c r="D1788" t="s">
        <v>17477</v>
      </c>
      <c r="E1788" t="s">
        <v>19073</v>
      </c>
      <c r="F1788" t="s">
        <v>30052</v>
      </c>
      <c r="G1788" t="s">
        <v>30061</v>
      </c>
      <c r="H1788" t="s">
        <v>15498</v>
      </c>
      <c r="I1788" t="s">
        <v>30070</v>
      </c>
      <c r="J1788" t="s">
        <v>31462</v>
      </c>
      <c r="K1788" t="s">
        <v>39019</v>
      </c>
      <c r="M1788" t="s">
        <v>40037</v>
      </c>
      <c r="N1788" t="s">
        <v>43166</v>
      </c>
      <c r="O1788" t="s">
        <v>43167</v>
      </c>
      <c r="P1788">
        <v>0</v>
      </c>
      <c r="Q1788">
        <v>4</v>
      </c>
      <c r="R1788" t="s">
        <v>43170</v>
      </c>
      <c r="S1788" t="s">
        <v>43297</v>
      </c>
      <c r="T1788" t="s">
        <v>44714</v>
      </c>
      <c r="U1788" t="s">
        <v>46662</v>
      </c>
      <c r="W1788" t="s">
        <v>58613</v>
      </c>
      <c r="X1788" t="s">
        <v>43171</v>
      </c>
    </row>
    <row r="1789" spans="1:24">
      <c r="A1789">
        <f>HYPERLINK("https://www.philgeps.gov.ph/GEPSNONPILOT/Tender/SplashBidNoticeAbstractUI.aspx?menuIndex=3&amp;refID=7084989&amp;Result=3","7084989")</f>
        <v>0</v>
      </c>
      <c r="B1789" t="s">
        <v>629</v>
      </c>
      <c r="C1789" t="s">
        <v>5133</v>
      </c>
      <c r="D1789" t="s">
        <v>17415</v>
      </c>
      <c r="E1789" t="s">
        <v>19074</v>
      </c>
      <c r="F1789" t="s">
        <v>30052</v>
      </c>
      <c r="G1789" t="s">
        <v>30062</v>
      </c>
      <c r="H1789" t="s">
        <v>15498</v>
      </c>
      <c r="I1789" t="s">
        <v>5961</v>
      </c>
      <c r="J1789" t="s">
        <v>30227</v>
      </c>
      <c r="K1789" t="s">
        <v>39019</v>
      </c>
      <c r="M1789" t="s">
        <v>39932</v>
      </c>
      <c r="N1789" t="s">
        <v>43166</v>
      </c>
      <c r="O1789" t="s">
        <v>43167</v>
      </c>
      <c r="P1789">
        <v>0</v>
      </c>
      <c r="Q1789">
        <v>14</v>
      </c>
      <c r="R1789" t="s">
        <v>43170</v>
      </c>
      <c r="S1789" t="s">
        <v>43297</v>
      </c>
      <c r="T1789" t="s">
        <v>44717</v>
      </c>
      <c r="U1789" t="s">
        <v>46663</v>
      </c>
      <c r="W1789" t="s">
        <v>39932</v>
      </c>
      <c r="X1789" t="s">
        <v>43171</v>
      </c>
    </row>
    <row r="1790" spans="1:24">
      <c r="A1790">
        <f>HYPERLINK("https://www.philgeps.gov.ph/GEPSNONPILOT/Tender/SplashBidNoticeAbstractUI.aspx?menuIndex=3&amp;refID=7084630&amp;Result=3","7084630")</f>
        <v>0</v>
      </c>
      <c r="B1790" t="s">
        <v>666</v>
      </c>
      <c r="C1790" t="s">
        <v>5134</v>
      </c>
      <c r="D1790" t="s">
        <v>17448</v>
      </c>
      <c r="E1790" t="s">
        <v>19075</v>
      </c>
      <c r="F1790" t="s">
        <v>30052</v>
      </c>
      <c r="G1790" t="s">
        <v>30061</v>
      </c>
      <c r="H1790" t="s">
        <v>15498</v>
      </c>
      <c r="I1790" t="s">
        <v>30097</v>
      </c>
      <c r="J1790" t="s">
        <v>30350</v>
      </c>
      <c r="K1790" t="s">
        <v>39039</v>
      </c>
      <c r="M1790" t="s">
        <v>39972</v>
      </c>
      <c r="N1790" t="s">
        <v>43166</v>
      </c>
      <c r="O1790" t="s">
        <v>43167</v>
      </c>
      <c r="P1790">
        <v>0</v>
      </c>
      <c r="Q1790">
        <v>7</v>
      </c>
      <c r="R1790" t="s">
        <v>43170</v>
      </c>
      <c r="S1790" t="s">
        <v>43297</v>
      </c>
      <c r="T1790" t="s">
        <v>44714</v>
      </c>
      <c r="U1790" t="s">
        <v>46664</v>
      </c>
      <c r="W1790" t="s">
        <v>39972</v>
      </c>
      <c r="X1790" t="s">
        <v>43171</v>
      </c>
    </row>
    <row r="1791" spans="1:24">
      <c r="A1791">
        <f>HYPERLINK("https://www.philgeps.gov.ph/GEPSNONPILOT/Tender/SplashBidNoticeAbstractUI.aspx?menuIndex=3&amp;refID=7085013&amp;Result=3","7085013")</f>
        <v>0</v>
      </c>
      <c r="B1791" t="s">
        <v>735</v>
      </c>
      <c r="C1791" t="s">
        <v>5135</v>
      </c>
      <c r="D1791" t="s">
        <v>17436</v>
      </c>
      <c r="E1791" t="s">
        <v>19076</v>
      </c>
      <c r="F1791" t="s">
        <v>30052</v>
      </c>
      <c r="G1791" t="s">
        <v>30059</v>
      </c>
      <c r="H1791" t="s">
        <v>15498</v>
      </c>
      <c r="I1791" t="s">
        <v>7228</v>
      </c>
      <c r="J1791" t="s">
        <v>31463</v>
      </c>
      <c r="K1791" t="s">
        <v>39025</v>
      </c>
      <c r="M1791" t="s">
        <v>40048</v>
      </c>
      <c r="N1791" t="s">
        <v>43166</v>
      </c>
      <c r="O1791" t="s">
        <v>43167</v>
      </c>
      <c r="P1791">
        <v>0</v>
      </c>
      <c r="Q1791">
        <v>0</v>
      </c>
      <c r="R1791" t="s">
        <v>43170</v>
      </c>
      <c r="S1791" t="s">
        <v>43297</v>
      </c>
      <c r="T1791" t="s">
        <v>44699</v>
      </c>
      <c r="U1791" t="s">
        <v>46665</v>
      </c>
      <c r="W1791" t="s">
        <v>40048</v>
      </c>
      <c r="X1791" t="s">
        <v>43171</v>
      </c>
    </row>
    <row r="1792" spans="1:24">
      <c r="A1792">
        <f>HYPERLINK("https://www.philgeps.gov.ph/GEPSNONPILOT/Tender/SplashBidNoticeAbstractUI.aspx?menuIndex=3&amp;refID=7084602&amp;Result=3","7084602")</f>
        <v>0</v>
      </c>
      <c r="B1792" t="s">
        <v>761</v>
      </c>
      <c r="C1792" t="s">
        <v>5136</v>
      </c>
      <c r="D1792" t="s">
        <v>17432</v>
      </c>
      <c r="E1792" t="s">
        <v>19077</v>
      </c>
      <c r="F1792" t="s">
        <v>30052</v>
      </c>
      <c r="G1792" t="s">
        <v>30059</v>
      </c>
      <c r="H1792" t="s">
        <v>15498</v>
      </c>
      <c r="I1792" t="s">
        <v>6304</v>
      </c>
      <c r="J1792" t="s">
        <v>30256</v>
      </c>
      <c r="K1792" t="s">
        <v>39017</v>
      </c>
      <c r="M1792" t="s">
        <v>40075</v>
      </c>
      <c r="N1792" t="s">
        <v>43166</v>
      </c>
      <c r="O1792" t="s">
        <v>43167</v>
      </c>
      <c r="P1792">
        <v>0</v>
      </c>
      <c r="Q1792">
        <v>0</v>
      </c>
      <c r="R1792" t="s">
        <v>43170</v>
      </c>
      <c r="S1792" t="s">
        <v>43297</v>
      </c>
      <c r="T1792" t="s">
        <v>44691</v>
      </c>
      <c r="U1792" t="s">
        <v>46666</v>
      </c>
      <c r="W1792" t="s">
        <v>40075</v>
      </c>
      <c r="X1792" t="s">
        <v>43171</v>
      </c>
    </row>
    <row r="1793" spans="1:24">
      <c r="A1793">
        <f>HYPERLINK("https://www.philgeps.gov.ph/GEPSNONPILOT/Tender/SplashBidNoticeAbstractUI.aspx?menuIndex=3&amp;refID=7085063&amp;Result=3","7085063")</f>
        <v>0</v>
      </c>
      <c r="B1793" t="s">
        <v>762</v>
      </c>
      <c r="C1793" t="s">
        <v>5137</v>
      </c>
      <c r="D1793" t="s">
        <v>17427</v>
      </c>
      <c r="E1793" t="s">
        <v>19078</v>
      </c>
      <c r="F1793" t="s">
        <v>30052</v>
      </c>
      <c r="G1793" t="s">
        <v>30059</v>
      </c>
      <c r="H1793" t="s">
        <v>15498</v>
      </c>
      <c r="I1793" t="s">
        <v>30084</v>
      </c>
      <c r="J1793" t="s">
        <v>31464</v>
      </c>
      <c r="K1793" t="s">
        <v>39019</v>
      </c>
      <c r="M1793" t="s">
        <v>40076</v>
      </c>
      <c r="N1793" t="s">
        <v>43166</v>
      </c>
      <c r="O1793" t="s">
        <v>43167</v>
      </c>
      <c r="P1793">
        <v>0</v>
      </c>
      <c r="Q1793">
        <v>3</v>
      </c>
      <c r="R1793" t="s">
        <v>43170</v>
      </c>
      <c r="S1793" t="s">
        <v>43297</v>
      </c>
      <c r="T1793" t="s">
        <v>44844</v>
      </c>
      <c r="U1793" t="s">
        <v>46667</v>
      </c>
      <c r="W1793" t="s">
        <v>40076</v>
      </c>
      <c r="X1793" t="s">
        <v>43171</v>
      </c>
    </row>
    <row r="1794" spans="1:24">
      <c r="A1794">
        <f>HYPERLINK("https://www.philgeps.gov.ph/GEPSNONPILOT/Tender/SplashBidNoticeAbstractUI.aspx?menuIndex=3&amp;refID=7085001&amp;Result=3","7085001")</f>
        <v>0</v>
      </c>
      <c r="B1794" t="s">
        <v>620</v>
      </c>
      <c r="C1794" t="s">
        <v>5138</v>
      </c>
      <c r="D1794" t="s">
        <v>17427</v>
      </c>
      <c r="E1794" t="s">
        <v>17673</v>
      </c>
      <c r="F1794" t="s">
        <v>30052</v>
      </c>
      <c r="G1794" t="s">
        <v>30059</v>
      </c>
      <c r="H1794" t="s">
        <v>15498</v>
      </c>
      <c r="I1794" t="s">
        <v>30088</v>
      </c>
      <c r="J1794" t="s">
        <v>30559</v>
      </c>
      <c r="K1794" t="s">
        <v>39025</v>
      </c>
      <c r="M1794" t="s">
        <v>39923</v>
      </c>
      <c r="N1794" t="s">
        <v>43166</v>
      </c>
      <c r="O1794" t="s">
        <v>43167</v>
      </c>
      <c r="P1794">
        <v>0</v>
      </c>
      <c r="Q1794">
        <v>12</v>
      </c>
      <c r="R1794" t="s">
        <v>43170</v>
      </c>
      <c r="S1794" t="s">
        <v>43297</v>
      </c>
      <c r="T1794" t="s">
        <v>44721</v>
      </c>
      <c r="U1794" t="s">
        <v>46668</v>
      </c>
      <c r="W1794" t="s">
        <v>39923</v>
      </c>
      <c r="X1794" t="s">
        <v>43171</v>
      </c>
    </row>
    <row r="1795" spans="1:24">
      <c r="A1795">
        <f>HYPERLINK("https://www.philgeps.gov.ph/GEPSNONPILOT/Tender/SplashBidNoticeAbstractUI.aspx?menuIndex=3&amp;refID=7085058&amp;Result=3","7085058")</f>
        <v>0</v>
      </c>
      <c r="B1795" t="s">
        <v>763</v>
      </c>
      <c r="C1795" t="s">
        <v>5139</v>
      </c>
      <c r="D1795" t="s">
        <v>17415</v>
      </c>
      <c r="E1795" t="s">
        <v>19079</v>
      </c>
      <c r="F1795" t="s">
        <v>30052</v>
      </c>
      <c r="G1795" t="s">
        <v>30061</v>
      </c>
      <c r="H1795" t="s">
        <v>15498</v>
      </c>
      <c r="I1795" t="s">
        <v>30070</v>
      </c>
      <c r="J1795" t="s">
        <v>31465</v>
      </c>
      <c r="K1795" t="s">
        <v>39019</v>
      </c>
      <c r="M1795" t="s">
        <v>40077</v>
      </c>
      <c r="N1795" t="s">
        <v>43166</v>
      </c>
      <c r="O1795" t="s">
        <v>43167</v>
      </c>
      <c r="P1795">
        <v>0</v>
      </c>
      <c r="Q1795">
        <v>13</v>
      </c>
      <c r="R1795" t="s">
        <v>43170</v>
      </c>
      <c r="S1795" t="s">
        <v>43297</v>
      </c>
      <c r="T1795" t="s">
        <v>44710</v>
      </c>
      <c r="U1795" t="s">
        <v>46669</v>
      </c>
      <c r="W1795" t="s">
        <v>40077</v>
      </c>
      <c r="X1795" t="s">
        <v>43171</v>
      </c>
    </row>
    <row r="1796" spans="1:24">
      <c r="A1796">
        <f>HYPERLINK("https://www.philgeps.gov.ph/GEPSNONPILOT/Tender/SplashBidNoticeAbstractUI.aspx?menuIndex=3&amp;refID=7085017&amp;Result=3","7085017")</f>
        <v>0</v>
      </c>
      <c r="B1796" t="s">
        <v>645</v>
      </c>
      <c r="C1796" t="s">
        <v>5140</v>
      </c>
      <c r="D1796" t="s">
        <v>17464</v>
      </c>
      <c r="E1796" t="s">
        <v>19080</v>
      </c>
      <c r="F1796" t="s">
        <v>30052</v>
      </c>
      <c r="G1796" t="s">
        <v>30058</v>
      </c>
      <c r="H1796" t="s">
        <v>30067</v>
      </c>
      <c r="I1796" t="s">
        <v>3693</v>
      </c>
      <c r="J1796" t="s">
        <v>31466</v>
      </c>
      <c r="K1796" t="s">
        <v>39025</v>
      </c>
      <c r="M1796" t="s">
        <v>39949</v>
      </c>
      <c r="N1796" t="s">
        <v>43166</v>
      </c>
      <c r="O1796" t="s">
        <v>43167</v>
      </c>
      <c r="P1796">
        <v>0</v>
      </c>
      <c r="Q1796">
        <v>74</v>
      </c>
      <c r="R1796" t="s">
        <v>43170</v>
      </c>
      <c r="S1796" t="s">
        <v>43297</v>
      </c>
      <c r="T1796" t="s">
        <v>44722</v>
      </c>
      <c r="U1796" t="s">
        <v>46670</v>
      </c>
      <c r="W1796" t="s">
        <v>39949</v>
      </c>
      <c r="X1796" t="s">
        <v>43171</v>
      </c>
    </row>
    <row r="1797" spans="1:24">
      <c r="A1797">
        <f>HYPERLINK("https://www.philgeps.gov.ph/GEPSNONPILOT/Tender/SplashBidNoticeAbstractUI.aspx?menuIndex=3&amp;refID=7085055&amp;Result=3","7085055")</f>
        <v>0</v>
      </c>
      <c r="B1797" t="s">
        <v>645</v>
      </c>
      <c r="C1797" t="s">
        <v>5141</v>
      </c>
      <c r="D1797" t="s">
        <v>17464</v>
      </c>
      <c r="E1797" t="s">
        <v>19081</v>
      </c>
      <c r="F1797" t="s">
        <v>30052</v>
      </c>
      <c r="G1797" t="s">
        <v>30058</v>
      </c>
      <c r="H1797" t="s">
        <v>30067</v>
      </c>
      <c r="I1797" t="s">
        <v>3693</v>
      </c>
      <c r="J1797" t="s">
        <v>31457</v>
      </c>
      <c r="K1797" t="s">
        <v>39025</v>
      </c>
      <c r="M1797" t="s">
        <v>39949</v>
      </c>
      <c r="N1797" t="s">
        <v>43166</v>
      </c>
      <c r="O1797" t="s">
        <v>43167</v>
      </c>
      <c r="P1797">
        <v>0</v>
      </c>
      <c r="Q1797">
        <v>72</v>
      </c>
      <c r="R1797" t="s">
        <v>43170</v>
      </c>
      <c r="S1797" t="s">
        <v>43297</v>
      </c>
      <c r="T1797" t="s">
        <v>44722</v>
      </c>
      <c r="U1797" t="s">
        <v>46671</v>
      </c>
      <c r="W1797" t="s">
        <v>39949</v>
      </c>
      <c r="X1797" t="s">
        <v>43171</v>
      </c>
    </row>
    <row r="1798" spans="1:24">
      <c r="A1798">
        <f>HYPERLINK("https://www.philgeps.gov.ph/GEPSNONPILOT/Tender/SplashBidNoticeAbstractUI.aspx?menuIndex=3&amp;refID=7084629&amp;Result=3","7084629")</f>
        <v>0</v>
      </c>
      <c r="B1798" t="s">
        <v>684</v>
      </c>
      <c r="C1798" t="s">
        <v>5142</v>
      </c>
      <c r="D1798" t="s">
        <v>17473</v>
      </c>
      <c r="E1798" t="s">
        <v>19082</v>
      </c>
      <c r="F1798" t="s">
        <v>30052</v>
      </c>
      <c r="G1798" t="s">
        <v>30059</v>
      </c>
      <c r="H1798" t="s">
        <v>15498</v>
      </c>
      <c r="I1798" t="s">
        <v>30100</v>
      </c>
      <c r="J1798" t="s">
        <v>30574</v>
      </c>
      <c r="K1798" t="s">
        <v>39065</v>
      </c>
      <c r="M1798" t="s">
        <v>39990</v>
      </c>
      <c r="N1798" t="s">
        <v>43166</v>
      </c>
      <c r="O1798" t="s">
        <v>43167</v>
      </c>
      <c r="P1798">
        <v>0</v>
      </c>
      <c r="Q1798">
        <v>1</v>
      </c>
      <c r="R1798" t="s">
        <v>43170</v>
      </c>
      <c r="S1798" t="s">
        <v>43297</v>
      </c>
      <c r="T1798" t="s">
        <v>44710</v>
      </c>
      <c r="U1798" t="s">
        <v>46672</v>
      </c>
      <c r="W1798" t="s">
        <v>39990</v>
      </c>
      <c r="X1798" t="s">
        <v>43171</v>
      </c>
    </row>
    <row r="1799" spans="1:24">
      <c r="A1799">
        <f>HYPERLINK("https://www.philgeps.gov.ph/GEPSNONPILOT/Tender/SplashBidNoticeAbstractUI.aspx?menuIndex=3&amp;refID=7085054&amp;Result=3","7085054")</f>
        <v>0</v>
      </c>
      <c r="B1799" t="s">
        <v>764</v>
      </c>
      <c r="C1799" t="s">
        <v>5143</v>
      </c>
      <c r="D1799" t="s">
        <v>17461</v>
      </c>
      <c r="E1799" t="s">
        <v>18103</v>
      </c>
      <c r="F1799" t="s">
        <v>30052</v>
      </c>
      <c r="G1799" t="s">
        <v>30059</v>
      </c>
      <c r="H1799" t="s">
        <v>15498</v>
      </c>
      <c r="I1799" t="s">
        <v>30084</v>
      </c>
      <c r="J1799" t="s">
        <v>30292</v>
      </c>
      <c r="K1799" t="s">
        <v>39025</v>
      </c>
      <c r="M1799" t="s">
        <v>40078</v>
      </c>
      <c r="N1799" t="s">
        <v>43166</v>
      </c>
      <c r="O1799" t="s">
        <v>43167</v>
      </c>
      <c r="P1799">
        <v>0</v>
      </c>
      <c r="Q1799">
        <v>0</v>
      </c>
      <c r="R1799" t="s">
        <v>43170</v>
      </c>
      <c r="S1799" t="s">
        <v>43297</v>
      </c>
      <c r="T1799" t="s">
        <v>44844</v>
      </c>
      <c r="U1799" t="s">
        <v>46673</v>
      </c>
      <c r="W1799" t="s">
        <v>58615</v>
      </c>
      <c r="X1799" t="s">
        <v>43171</v>
      </c>
    </row>
    <row r="1800" spans="1:24">
      <c r="A1800">
        <f>HYPERLINK("https://www.philgeps.gov.ph/GEPSNONPILOT/Tender/SplashBidNoticeAbstractUI.aspx?menuIndex=3&amp;refID=7085053&amp;Result=3","7085053")</f>
        <v>0</v>
      </c>
      <c r="B1800" t="s">
        <v>765</v>
      </c>
      <c r="C1800" t="s">
        <v>5144</v>
      </c>
      <c r="D1800" t="s">
        <v>17468</v>
      </c>
      <c r="E1800" t="s">
        <v>19083</v>
      </c>
      <c r="F1800" t="s">
        <v>30052</v>
      </c>
      <c r="G1800" t="s">
        <v>30059</v>
      </c>
      <c r="H1800" t="s">
        <v>15498</v>
      </c>
      <c r="I1800" t="s">
        <v>30092</v>
      </c>
      <c r="J1800" t="s">
        <v>31467</v>
      </c>
      <c r="K1800" t="s">
        <v>39046</v>
      </c>
      <c r="M1800" t="s">
        <v>40079</v>
      </c>
      <c r="N1800" t="s">
        <v>43166</v>
      </c>
      <c r="O1800" t="s">
        <v>43167</v>
      </c>
      <c r="P1800">
        <v>0</v>
      </c>
      <c r="Q1800">
        <v>2</v>
      </c>
      <c r="R1800" t="s">
        <v>43170</v>
      </c>
      <c r="S1800" t="s">
        <v>43297</v>
      </c>
      <c r="T1800" t="s">
        <v>44733</v>
      </c>
      <c r="U1800" t="s">
        <v>46674</v>
      </c>
      <c r="W1800" t="s">
        <v>40079</v>
      </c>
      <c r="X1800" t="s">
        <v>43171</v>
      </c>
    </row>
    <row r="1801" spans="1:24">
      <c r="A1801">
        <f>HYPERLINK("https://www.philgeps.gov.ph/GEPSNONPILOT/Tender/SplashBidNoticeAbstractUI.aspx?menuIndex=3&amp;refID=7085038&amp;Result=3","7085038")</f>
        <v>0</v>
      </c>
      <c r="B1801" t="s">
        <v>759</v>
      </c>
      <c r="C1801" t="s">
        <v>5145</v>
      </c>
      <c r="D1801" t="s">
        <v>17416</v>
      </c>
      <c r="E1801" t="s">
        <v>19084</v>
      </c>
      <c r="F1801" t="s">
        <v>30052</v>
      </c>
      <c r="G1801" t="s">
        <v>30059</v>
      </c>
      <c r="H1801" t="s">
        <v>15498</v>
      </c>
      <c r="I1801" t="s">
        <v>3736</v>
      </c>
      <c r="J1801" t="s">
        <v>31468</v>
      </c>
      <c r="K1801" t="s">
        <v>39017</v>
      </c>
      <c r="M1801" t="s">
        <v>40073</v>
      </c>
      <c r="N1801" t="s">
        <v>43166</v>
      </c>
      <c r="O1801" t="s">
        <v>43167</v>
      </c>
      <c r="P1801">
        <v>0</v>
      </c>
      <c r="Q1801">
        <v>0</v>
      </c>
      <c r="R1801" t="s">
        <v>43170</v>
      </c>
      <c r="S1801" t="s">
        <v>43297</v>
      </c>
      <c r="T1801" t="s">
        <v>44733</v>
      </c>
      <c r="U1801" t="s">
        <v>46675</v>
      </c>
      <c r="W1801" t="s">
        <v>40073</v>
      </c>
      <c r="X1801" t="s">
        <v>43171</v>
      </c>
    </row>
    <row r="1802" spans="1:24">
      <c r="A1802">
        <f>HYPERLINK("https://www.philgeps.gov.ph/GEPSNONPILOT/Tender/SplashBidNoticeAbstractUI.aspx?menuIndex=3&amp;refID=7085052&amp;Result=3","7085052")</f>
        <v>0</v>
      </c>
      <c r="B1802" t="s">
        <v>521</v>
      </c>
      <c r="C1802" t="s">
        <v>4595</v>
      </c>
      <c r="D1802" t="s">
        <v>17415</v>
      </c>
      <c r="E1802" t="s">
        <v>19085</v>
      </c>
      <c r="F1802" t="s">
        <v>30052</v>
      </c>
      <c r="G1802" t="s">
        <v>30061</v>
      </c>
      <c r="H1802" t="s">
        <v>15498</v>
      </c>
      <c r="I1802" t="s">
        <v>9238</v>
      </c>
      <c r="J1802" t="s">
        <v>31469</v>
      </c>
      <c r="K1802" t="s">
        <v>39019</v>
      </c>
      <c r="M1802" t="s">
        <v>39823</v>
      </c>
      <c r="N1802" t="s">
        <v>43166</v>
      </c>
      <c r="O1802" t="s">
        <v>43167</v>
      </c>
      <c r="P1802">
        <v>0</v>
      </c>
      <c r="Q1802">
        <v>5</v>
      </c>
      <c r="R1802" t="s">
        <v>43170</v>
      </c>
      <c r="S1802" t="s">
        <v>43297</v>
      </c>
      <c r="T1802" t="s">
        <v>44856</v>
      </c>
      <c r="U1802" t="s">
        <v>46676</v>
      </c>
      <c r="V1802" t="s">
        <v>56959</v>
      </c>
      <c r="W1802" t="s">
        <v>58603</v>
      </c>
      <c r="X1802" t="s">
        <v>43171</v>
      </c>
    </row>
    <row r="1803" spans="1:24">
      <c r="A1803">
        <f>HYPERLINK("https://www.philgeps.gov.ph/GEPSNONPILOT/Tender/SplashBidNoticeAbstractUI.aspx?menuIndex=3&amp;refID=7085050&amp;Result=3","7085050")</f>
        <v>0</v>
      </c>
      <c r="B1803" t="s">
        <v>693</v>
      </c>
      <c r="C1803" t="s">
        <v>5146</v>
      </c>
      <c r="D1803" t="s">
        <v>17421</v>
      </c>
      <c r="E1803" t="s">
        <v>18988</v>
      </c>
      <c r="F1803" t="s">
        <v>30052</v>
      </c>
      <c r="G1803" t="s">
        <v>30060</v>
      </c>
      <c r="H1803" t="s">
        <v>30067</v>
      </c>
      <c r="I1803" t="s">
        <v>30152</v>
      </c>
      <c r="J1803" t="s">
        <v>31470</v>
      </c>
      <c r="K1803" t="s">
        <v>39029</v>
      </c>
      <c r="M1803" t="s">
        <v>40000</v>
      </c>
      <c r="N1803" t="s">
        <v>43166</v>
      </c>
      <c r="O1803" t="s">
        <v>43167</v>
      </c>
      <c r="P1803">
        <v>0</v>
      </c>
      <c r="Q1803">
        <v>0</v>
      </c>
      <c r="R1803" t="s">
        <v>43170</v>
      </c>
      <c r="S1803" t="s">
        <v>43297</v>
      </c>
      <c r="T1803" t="s">
        <v>44717</v>
      </c>
      <c r="U1803" t="s">
        <v>46677</v>
      </c>
      <c r="W1803" t="s">
        <v>40000</v>
      </c>
      <c r="X1803" t="s">
        <v>43171</v>
      </c>
    </row>
    <row r="1804" spans="1:24">
      <c r="A1804">
        <f>HYPERLINK("https://www.philgeps.gov.ph/GEPSNONPILOT/Tender/SplashBidNoticeAbstractUI.aspx?menuIndex=3&amp;refID=7085060&amp;Result=3","7085060")</f>
        <v>0</v>
      </c>
      <c r="B1804" t="s">
        <v>759</v>
      </c>
      <c r="C1804" t="s">
        <v>5147</v>
      </c>
      <c r="D1804" t="s">
        <v>17416</v>
      </c>
      <c r="E1804" t="s">
        <v>19086</v>
      </c>
      <c r="F1804" t="s">
        <v>30052</v>
      </c>
      <c r="G1804" t="s">
        <v>30059</v>
      </c>
      <c r="H1804" t="s">
        <v>15498</v>
      </c>
      <c r="I1804" t="s">
        <v>3736</v>
      </c>
      <c r="J1804" t="s">
        <v>31471</v>
      </c>
      <c r="K1804" t="s">
        <v>39017</v>
      </c>
      <c r="M1804" t="s">
        <v>40073</v>
      </c>
      <c r="N1804" t="s">
        <v>43166</v>
      </c>
      <c r="O1804" t="s">
        <v>43167</v>
      </c>
      <c r="P1804">
        <v>0</v>
      </c>
      <c r="Q1804">
        <v>0</v>
      </c>
      <c r="R1804" t="s">
        <v>43170</v>
      </c>
      <c r="S1804" t="s">
        <v>43297</v>
      </c>
      <c r="T1804" t="s">
        <v>44733</v>
      </c>
      <c r="U1804" t="s">
        <v>46678</v>
      </c>
      <c r="W1804" t="s">
        <v>40073</v>
      </c>
      <c r="X1804" t="s">
        <v>43171</v>
      </c>
    </row>
    <row r="1805" spans="1:24">
      <c r="A1805">
        <f>HYPERLINK("https://www.philgeps.gov.ph/GEPSNONPILOT/Tender/SplashBidNoticeAbstractUI.aspx?menuIndex=3&amp;refID=7085047&amp;Result=3","7085047")</f>
        <v>0</v>
      </c>
      <c r="B1805" t="s">
        <v>629</v>
      </c>
      <c r="C1805" t="s">
        <v>5148</v>
      </c>
      <c r="D1805" t="s">
        <v>17415</v>
      </c>
      <c r="E1805" t="s">
        <v>19087</v>
      </c>
      <c r="F1805" t="s">
        <v>30052</v>
      </c>
      <c r="G1805" t="s">
        <v>30059</v>
      </c>
      <c r="H1805" t="s">
        <v>15498</v>
      </c>
      <c r="I1805" t="s">
        <v>30093</v>
      </c>
      <c r="J1805" t="s">
        <v>30297</v>
      </c>
      <c r="K1805" t="s">
        <v>39046</v>
      </c>
      <c r="M1805" t="s">
        <v>39932</v>
      </c>
      <c r="N1805" t="s">
        <v>43166</v>
      </c>
      <c r="O1805" t="s">
        <v>43167</v>
      </c>
      <c r="P1805">
        <v>0</v>
      </c>
      <c r="Q1805">
        <v>3</v>
      </c>
      <c r="R1805" t="s">
        <v>43170</v>
      </c>
      <c r="S1805" t="s">
        <v>43297</v>
      </c>
      <c r="T1805" t="s">
        <v>44710</v>
      </c>
      <c r="U1805" t="s">
        <v>46679</v>
      </c>
      <c r="W1805" t="s">
        <v>39932</v>
      </c>
      <c r="X1805" t="s">
        <v>43171</v>
      </c>
    </row>
    <row r="1806" spans="1:24">
      <c r="A1806">
        <f>HYPERLINK("https://www.philgeps.gov.ph/GEPSNONPILOT/Tender/SplashBidNoticeAbstractUI.aspx?menuIndex=3&amp;refID=7085056&amp;Result=3","7085056")</f>
        <v>0</v>
      </c>
      <c r="B1806" t="s">
        <v>766</v>
      </c>
      <c r="C1806" t="s">
        <v>5149</v>
      </c>
      <c r="D1806" t="s">
        <v>17455</v>
      </c>
      <c r="E1806" t="s">
        <v>19088</v>
      </c>
      <c r="F1806" t="s">
        <v>30052</v>
      </c>
      <c r="G1806" t="s">
        <v>30061</v>
      </c>
      <c r="H1806" t="s">
        <v>15498</v>
      </c>
      <c r="I1806" t="s">
        <v>30096</v>
      </c>
      <c r="J1806" t="s">
        <v>31472</v>
      </c>
      <c r="K1806" t="s">
        <v>39039</v>
      </c>
      <c r="M1806" t="s">
        <v>40080</v>
      </c>
      <c r="N1806" t="s">
        <v>43166</v>
      </c>
      <c r="O1806" t="s">
        <v>43167</v>
      </c>
      <c r="P1806">
        <v>0</v>
      </c>
      <c r="Q1806">
        <v>0</v>
      </c>
      <c r="R1806" t="s">
        <v>43170</v>
      </c>
      <c r="S1806" t="s">
        <v>43297</v>
      </c>
      <c r="T1806" t="s">
        <v>44868</v>
      </c>
      <c r="U1806" t="s">
        <v>46680</v>
      </c>
      <c r="W1806" t="s">
        <v>40080</v>
      </c>
      <c r="X1806" t="s">
        <v>43171</v>
      </c>
    </row>
    <row r="1807" spans="1:24">
      <c r="A1807">
        <f>HYPERLINK("https://www.philgeps.gov.ph/GEPSNONPILOT/Tender/SplashBidNoticeAbstractUI.aspx?menuIndex=3&amp;refID=7085044&amp;Result=3","7085044")</f>
        <v>0</v>
      </c>
      <c r="B1807" t="s">
        <v>767</v>
      </c>
      <c r="C1807" t="s">
        <v>5150</v>
      </c>
      <c r="D1807" t="s">
        <v>17487</v>
      </c>
      <c r="E1807" t="s">
        <v>19089</v>
      </c>
      <c r="F1807" t="s">
        <v>30052</v>
      </c>
      <c r="G1807" t="s">
        <v>30059</v>
      </c>
      <c r="H1807" t="s">
        <v>15498</v>
      </c>
      <c r="I1807" t="s">
        <v>30076</v>
      </c>
      <c r="J1807" t="s">
        <v>31473</v>
      </c>
      <c r="K1807" t="s">
        <v>39029</v>
      </c>
      <c r="M1807" t="s">
        <v>40081</v>
      </c>
      <c r="N1807" t="s">
        <v>43166</v>
      </c>
      <c r="O1807" t="s">
        <v>43167</v>
      </c>
      <c r="P1807">
        <v>0</v>
      </c>
      <c r="Q1807">
        <v>1</v>
      </c>
      <c r="R1807" t="s">
        <v>43170</v>
      </c>
      <c r="S1807" t="s">
        <v>43297</v>
      </c>
      <c r="T1807" t="s">
        <v>44856</v>
      </c>
      <c r="U1807" t="s">
        <v>46681</v>
      </c>
      <c r="V1807" t="s">
        <v>57027</v>
      </c>
      <c r="W1807" t="s">
        <v>40081</v>
      </c>
      <c r="X1807" t="s">
        <v>43171</v>
      </c>
    </row>
    <row r="1808" spans="1:24">
      <c r="A1808">
        <f>HYPERLINK("https://www.philgeps.gov.ph/GEPSNONPILOT/Tender/SplashBidNoticeAbstractUI.aspx?menuIndex=3&amp;refID=7085049&amp;Result=3","7085049")</f>
        <v>0</v>
      </c>
      <c r="B1808" t="s">
        <v>768</v>
      </c>
      <c r="C1808" t="s">
        <v>5151</v>
      </c>
      <c r="D1808" t="s">
        <v>17497</v>
      </c>
      <c r="E1808" t="s">
        <v>19090</v>
      </c>
      <c r="F1808" t="s">
        <v>30052</v>
      </c>
      <c r="G1808" t="s">
        <v>30059</v>
      </c>
      <c r="H1808" t="s">
        <v>15498</v>
      </c>
      <c r="I1808" t="s">
        <v>30144</v>
      </c>
      <c r="J1808" t="s">
        <v>30600</v>
      </c>
      <c r="K1808" t="s">
        <v>39029</v>
      </c>
      <c r="M1808" t="s">
        <v>40082</v>
      </c>
      <c r="N1808" t="s">
        <v>43166</v>
      </c>
      <c r="O1808" t="s">
        <v>43167</v>
      </c>
      <c r="P1808">
        <v>0</v>
      </c>
      <c r="Q1808">
        <v>0</v>
      </c>
      <c r="R1808" t="s">
        <v>43170</v>
      </c>
      <c r="S1808" t="s">
        <v>43297</v>
      </c>
      <c r="T1808" t="s">
        <v>44832</v>
      </c>
      <c r="U1808" t="s">
        <v>46682</v>
      </c>
      <c r="V1808" t="s">
        <v>57028</v>
      </c>
      <c r="W1808" t="s">
        <v>40082</v>
      </c>
      <c r="X1808" t="s">
        <v>43171</v>
      </c>
    </row>
    <row r="1809" spans="1:24">
      <c r="A1809">
        <f>HYPERLINK("https://www.philgeps.gov.ph/GEPSNONPILOT/Tender/SplashBidNoticeAbstractUI.aspx?menuIndex=3&amp;refID=7085040&amp;Result=3","7085040")</f>
        <v>0</v>
      </c>
      <c r="B1809" t="s">
        <v>645</v>
      </c>
      <c r="C1809" t="s">
        <v>5152</v>
      </c>
      <c r="D1809" t="s">
        <v>17464</v>
      </c>
      <c r="E1809" t="s">
        <v>19091</v>
      </c>
      <c r="F1809" t="s">
        <v>30052</v>
      </c>
      <c r="G1809" t="s">
        <v>30058</v>
      </c>
      <c r="H1809" t="s">
        <v>30067</v>
      </c>
      <c r="I1809" t="s">
        <v>3693</v>
      </c>
      <c r="J1809" t="s">
        <v>31474</v>
      </c>
      <c r="K1809" t="s">
        <v>39025</v>
      </c>
      <c r="M1809" t="s">
        <v>39949</v>
      </c>
      <c r="N1809" t="s">
        <v>43166</v>
      </c>
      <c r="O1809" t="s">
        <v>43167</v>
      </c>
      <c r="P1809">
        <v>0</v>
      </c>
      <c r="Q1809">
        <v>72</v>
      </c>
      <c r="R1809" t="s">
        <v>43170</v>
      </c>
      <c r="S1809" t="s">
        <v>43297</v>
      </c>
      <c r="T1809" t="s">
        <v>44722</v>
      </c>
      <c r="U1809" t="s">
        <v>46683</v>
      </c>
      <c r="W1809" t="s">
        <v>39949</v>
      </c>
      <c r="X1809" t="s">
        <v>43171</v>
      </c>
    </row>
    <row r="1810" spans="1:24">
      <c r="A1810">
        <f>HYPERLINK("https://www.philgeps.gov.ph/GEPSNONPILOT/Tender/SplashBidNoticeAbstractUI.aspx?menuIndex=3&amp;refID=7085046&amp;Result=3","7085046")</f>
        <v>0</v>
      </c>
      <c r="B1810" t="s">
        <v>726</v>
      </c>
      <c r="C1810" t="s">
        <v>5153</v>
      </c>
      <c r="D1810" t="s">
        <v>17477</v>
      </c>
      <c r="E1810" t="s">
        <v>19092</v>
      </c>
      <c r="F1810" t="s">
        <v>30052</v>
      </c>
      <c r="G1810" t="s">
        <v>30061</v>
      </c>
      <c r="H1810" t="s">
        <v>15498</v>
      </c>
      <c r="I1810" t="s">
        <v>7228</v>
      </c>
      <c r="J1810" t="s">
        <v>31475</v>
      </c>
      <c r="K1810" t="s">
        <v>39019</v>
      </c>
      <c r="M1810" t="s">
        <v>40037</v>
      </c>
      <c r="N1810" t="s">
        <v>43166</v>
      </c>
      <c r="O1810" t="s">
        <v>43167</v>
      </c>
      <c r="P1810">
        <v>0</v>
      </c>
      <c r="Q1810">
        <v>1</v>
      </c>
      <c r="R1810" t="s">
        <v>43170</v>
      </c>
      <c r="S1810" t="s">
        <v>43297</v>
      </c>
      <c r="T1810" t="s">
        <v>44714</v>
      </c>
      <c r="U1810" t="s">
        <v>46684</v>
      </c>
      <c r="W1810" t="s">
        <v>58613</v>
      </c>
      <c r="X1810" t="s">
        <v>43171</v>
      </c>
    </row>
    <row r="1811" spans="1:24">
      <c r="A1811">
        <f>HYPERLINK("https://www.philgeps.gov.ph/GEPSNONPILOT/Tender/SplashBidNoticeAbstractUI.aspx?menuIndex=3&amp;refID=7085037&amp;Result=3","7085037")</f>
        <v>0</v>
      </c>
      <c r="B1811" t="s">
        <v>766</v>
      </c>
      <c r="C1811" t="s">
        <v>4790</v>
      </c>
      <c r="D1811" t="s">
        <v>17455</v>
      </c>
      <c r="E1811" t="s">
        <v>19088</v>
      </c>
      <c r="F1811" t="s">
        <v>30052</v>
      </c>
      <c r="G1811" t="s">
        <v>30061</v>
      </c>
      <c r="H1811" t="s">
        <v>15498</v>
      </c>
      <c r="I1811" t="s">
        <v>4119</v>
      </c>
      <c r="J1811" t="s">
        <v>30417</v>
      </c>
      <c r="K1811" t="s">
        <v>39039</v>
      </c>
      <c r="M1811" t="s">
        <v>40080</v>
      </c>
      <c r="N1811" t="s">
        <v>43166</v>
      </c>
      <c r="O1811" t="s">
        <v>43167</v>
      </c>
      <c r="P1811">
        <v>0</v>
      </c>
      <c r="Q1811">
        <v>2</v>
      </c>
      <c r="R1811" t="s">
        <v>43170</v>
      </c>
      <c r="S1811" t="s">
        <v>43297</v>
      </c>
      <c r="T1811" t="s">
        <v>44868</v>
      </c>
      <c r="U1811" t="s">
        <v>45217</v>
      </c>
      <c r="W1811" t="s">
        <v>40080</v>
      </c>
      <c r="X1811" t="s">
        <v>43171</v>
      </c>
    </row>
    <row r="1812" spans="1:24">
      <c r="A1812">
        <f>HYPERLINK("https://www.philgeps.gov.ph/GEPSNONPILOT/Tender/SplashBidNoticeAbstractUI.aspx?menuIndex=3&amp;refID=7085026&amp;Result=3","7085026")</f>
        <v>0</v>
      </c>
      <c r="B1812" t="s">
        <v>695</v>
      </c>
      <c r="C1812" t="s">
        <v>5154</v>
      </c>
      <c r="D1812" t="s">
        <v>17415</v>
      </c>
      <c r="E1812" t="s">
        <v>19093</v>
      </c>
      <c r="F1812" t="s">
        <v>30052</v>
      </c>
      <c r="G1812" t="s">
        <v>30059</v>
      </c>
      <c r="H1812" t="s">
        <v>15498</v>
      </c>
      <c r="I1812" t="s">
        <v>4642</v>
      </c>
      <c r="J1812" t="s">
        <v>31476</v>
      </c>
      <c r="K1812" t="s">
        <v>39034</v>
      </c>
      <c r="M1812" t="s">
        <v>40002</v>
      </c>
      <c r="N1812" t="s">
        <v>43166</v>
      </c>
      <c r="O1812" t="s">
        <v>43167</v>
      </c>
      <c r="P1812">
        <v>0</v>
      </c>
      <c r="Q1812">
        <v>2</v>
      </c>
      <c r="R1812" t="s">
        <v>43170</v>
      </c>
      <c r="S1812" t="s">
        <v>43297</v>
      </c>
      <c r="T1812" t="s">
        <v>44837</v>
      </c>
      <c r="U1812" t="s">
        <v>46522</v>
      </c>
      <c r="V1812" t="s">
        <v>57003</v>
      </c>
      <c r="W1812" t="s">
        <v>40002</v>
      </c>
      <c r="X1812" t="s">
        <v>43171</v>
      </c>
    </row>
    <row r="1813" spans="1:24">
      <c r="A1813">
        <f>HYPERLINK("https://www.philgeps.gov.ph/GEPSNONPILOT/Tender/SplashBidNoticeAbstractUI.aspx?menuIndex=3&amp;refID=7085036&amp;Result=3","7085036")</f>
        <v>0</v>
      </c>
      <c r="B1813" t="s">
        <v>763</v>
      </c>
      <c r="C1813" t="s">
        <v>5155</v>
      </c>
      <c r="D1813" t="s">
        <v>17415</v>
      </c>
      <c r="E1813" t="s">
        <v>19094</v>
      </c>
      <c r="F1813" t="s">
        <v>30052</v>
      </c>
      <c r="G1813" t="s">
        <v>30059</v>
      </c>
      <c r="H1813" t="s">
        <v>15498</v>
      </c>
      <c r="I1813" t="s">
        <v>4598</v>
      </c>
      <c r="J1813" t="s">
        <v>31477</v>
      </c>
      <c r="K1813" t="s">
        <v>39029</v>
      </c>
      <c r="M1813" t="s">
        <v>40077</v>
      </c>
      <c r="N1813" t="s">
        <v>43166</v>
      </c>
      <c r="O1813" t="s">
        <v>43167</v>
      </c>
      <c r="P1813">
        <v>0</v>
      </c>
      <c r="Q1813">
        <v>12</v>
      </c>
      <c r="R1813" t="s">
        <v>43170</v>
      </c>
      <c r="S1813" t="s">
        <v>43297</v>
      </c>
      <c r="T1813" t="s">
        <v>44710</v>
      </c>
      <c r="U1813" t="s">
        <v>46685</v>
      </c>
      <c r="W1813" t="s">
        <v>40077</v>
      </c>
      <c r="X1813" t="s">
        <v>43171</v>
      </c>
    </row>
    <row r="1814" spans="1:24">
      <c r="A1814">
        <f>HYPERLINK("https://www.philgeps.gov.ph/GEPSNONPILOT/Tender/SplashBidNoticeAbstractUI.aspx?menuIndex=3&amp;refID=7084598&amp;Result=3","7084598")</f>
        <v>0</v>
      </c>
      <c r="B1814" t="s">
        <v>534</v>
      </c>
      <c r="C1814" t="s">
        <v>5156</v>
      </c>
      <c r="D1814" t="s">
        <v>17467</v>
      </c>
      <c r="E1814" t="s">
        <v>19095</v>
      </c>
      <c r="F1814" t="s">
        <v>30052</v>
      </c>
      <c r="G1814" t="s">
        <v>30060</v>
      </c>
      <c r="H1814" t="s">
        <v>15498</v>
      </c>
      <c r="I1814" t="s">
        <v>30070</v>
      </c>
      <c r="J1814" t="s">
        <v>30538</v>
      </c>
      <c r="K1814" t="s">
        <v>39019</v>
      </c>
      <c r="M1814" t="s">
        <v>39836</v>
      </c>
      <c r="N1814" t="s">
        <v>43166</v>
      </c>
      <c r="O1814" t="s">
        <v>43167</v>
      </c>
      <c r="P1814">
        <v>0</v>
      </c>
      <c r="Q1814">
        <v>1</v>
      </c>
      <c r="R1814" t="s">
        <v>43170</v>
      </c>
      <c r="S1814" t="s">
        <v>43297</v>
      </c>
      <c r="T1814" t="s">
        <v>44717</v>
      </c>
      <c r="U1814" t="s">
        <v>46686</v>
      </c>
      <c r="W1814" t="s">
        <v>39836</v>
      </c>
      <c r="X1814" t="s">
        <v>43171</v>
      </c>
    </row>
    <row r="1815" spans="1:24">
      <c r="A1815">
        <f>HYPERLINK("https://www.philgeps.gov.ph/GEPSNONPILOT/Tender/SplashBidNoticeAbstractUI.aspx?menuIndex=3&amp;refID=7085043&amp;Result=3","7085043")</f>
        <v>0</v>
      </c>
      <c r="B1815" t="s">
        <v>769</v>
      </c>
      <c r="C1815" t="s">
        <v>5157</v>
      </c>
      <c r="D1815" t="s">
        <v>17413</v>
      </c>
      <c r="E1815" t="s">
        <v>19096</v>
      </c>
      <c r="F1815" t="s">
        <v>30052</v>
      </c>
      <c r="G1815" t="s">
        <v>30059</v>
      </c>
      <c r="H1815" t="s">
        <v>30067</v>
      </c>
      <c r="I1815" t="s">
        <v>3693</v>
      </c>
      <c r="J1815" t="s">
        <v>31478</v>
      </c>
      <c r="K1815" t="s">
        <v>39090</v>
      </c>
      <c r="M1815" t="s">
        <v>40083</v>
      </c>
      <c r="N1815" t="s">
        <v>43166</v>
      </c>
      <c r="O1815" t="s">
        <v>43167</v>
      </c>
      <c r="P1815">
        <v>0</v>
      </c>
      <c r="Q1815">
        <v>1</v>
      </c>
      <c r="R1815" t="s">
        <v>43170</v>
      </c>
      <c r="S1815" t="s">
        <v>43297</v>
      </c>
      <c r="T1815" t="s">
        <v>44718</v>
      </c>
      <c r="U1815" t="s">
        <v>46687</v>
      </c>
      <c r="W1815" t="s">
        <v>40083</v>
      </c>
      <c r="X1815" t="s">
        <v>43171</v>
      </c>
    </row>
    <row r="1816" spans="1:24">
      <c r="A1816">
        <f>HYPERLINK("https://www.philgeps.gov.ph/GEPSNONPILOT/Tender/SplashBidNoticeAbstractUI.aspx?menuIndex=3&amp;refID=7084700&amp;Result=3","7084700")</f>
        <v>0</v>
      </c>
      <c r="B1816" t="s">
        <v>697</v>
      </c>
      <c r="C1816" t="s">
        <v>5158</v>
      </c>
      <c r="D1816" t="s">
        <v>17456</v>
      </c>
      <c r="E1816" t="s">
        <v>19097</v>
      </c>
      <c r="F1816" t="s">
        <v>30052</v>
      </c>
      <c r="G1816" t="s">
        <v>30059</v>
      </c>
      <c r="H1816" t="s">
        <v>15498</v>
      </c>
      <c r="I1816" t="s">
        <v>4650</v>
      </c>
      <c r="J1816" t="s">
        <v>30528</v>
      </c>
      <c r="K1816" t="s">
        <v>39019</v>
      </c>
      <c r="M1816" t="s">
        <v>40005</v>
      </c>
      <c r="N1816" t="s">
        <v>43166</v>
      </c>
      <c r="O1816" t="s">
        <v>43167</v>
      </c>
      <c r="P1816">
        <v>0</v>
      </c>
      <c r="Q1816">
        <v>0</v>
      </c>
      <c r="R1816" t="s">
        <v>43170</v>
      </c>
      <c r="S1816" t="s">
        <v>43297</v>
      </c>
      <c r="T1816" t="s">
        <v>44717</v>
      </c>
      <c r="U1816" t="s">
        <v>46688</v>
      </c>
      <c r="W1816" t="s">
        <v>40005</v>
      </c>
      <c r="X1816" t="s">
        <v>43171</v>
      </c>
    </row>
    <row r="1817" spans="1:24">
      <c r="A1817">
        <f>HYPERLINK("https://www.philgeps.gov.ph/GEPSNONPILOT/Tender/SplashBidNoticeAbstractUI.aspx?menuIndex=3&amp;refID=7085067&amp;Result=3","7085067")</f>
        <v>0</v>
      </c>
      <c r="B1817" t="s">
        <v>770</v>
      </c>
      <c r="C1817" t="s">
        <v>5159</v>
      </c>
      <c r="D1817" t="s">
        <v>17471</v>
      </c>
      <c r="E1817" t="s">
        <v>17799</v>
      </c>
      <c r="F1817" t="s">
        <v>30052</v>
      </c>
      <c r="G1817" t="s">
        <v>30060</v>
      </c>
      <c r="H1817" t="s">
        <v>15498</v>
      </c>
      <c r="I1817" t="s">
        <v>3736</v>
      </c>
      <c r="J1817" t="s">
        <v>31479</v>
      </c>
      <c r="K1817" t="s">
        <v>39019</v>
      </c>
      <c r="M1817" t="s">
        <v>40084</v>
      </c>
      <c r="N1817" t="s">
        <v>43166</v>
      </c>
      <c r="O1817" t="s">
        <v>43167</v>
      </c>
      <c r="P1817">
        <v>0</v>
      </c>
      <c r="Q1817">
        <v>1</v>
      </c>
      <c r="R1817" t="s">
        <v>43170</v>
      </c>
      <c r="S1817" t="s">
        <v>43297</v>
      </c>
      <c r="T1817" t="s">
        <v>44760</v>
      </c>
      <c r="U1817" t="s">
        <v>46689</v>
      </c>
      <c r="W1817" t="s">
        <v>40084</v>
      </c>
      <c r="X1817" t="s">
        <v>43171</v>
      </c>
    </row>
    <row r="1818" spans="1:24">
      <c r="A1818">
        <f>HYPERLINK("https://www.philgeps.gov.ph/GEPSNONPILOT/Tender/SplashBidNoticeAbstractUI.aspx?menuIndex=3&amp;refID=7085051&amp;Result=3","7085051")</f>
        <v>0</v>
      </c>
      <c r="B1818" t="s">
        <v>759</v>
      </c>
      <c r="C1818" t="s">
        <v>5160</v>
      </c>
      <c r="D1818" t="s">
        <v>17416</v>
      </c>
      <c r="E1818" t="s">
        <v>19098</v>
      </c>
      <c r="F1818" t="s">
        <v>30052</v>
      </c>
      <c r="G1818" t="s">
        <v>30059</v>
      </c>
      <c r="H1818" t="s">
        <v>15498</v>
      </c>
      <c r="I1818" t="s">
        <v>3736</v>
      </c>
      <c r="J1818" t="s">
        <v>31480</v>
      </c>
      <c r="K1818" t="s">
        <v>39017</v>
      </c>
      <c r="M1818" t="s">
        <v>40073</v>
      </c>
      <c r="N1818" t="s">
        <v>43166</v>
      </c>
      <c r="O1818" t="s">
        <v>43167</v>
      </c>
      <c r="P1818">
        <v>0</v>
      </c>
      <c r="Q1818">
        <v>0</v>
      </c>
      <c r="R1818" t="s">
        <v>43170</v>
      </c>
      <c r="S1818" t="s">
        <v>43297</v>
      </c>
      <c r="T1818" t="s">
        <v>44733</v>
      </c>
      <c r="U1818" t="s">
        <v>46690</v>
      </c>
      <c r="W1818" t="s">
        <v>40073</v>
      </c>
      <c r="X1818" t="s">
        <v>43171</v>
      </c>
    </row>
    <row r="1819" spans="1:24">
      <c r="A1819">
        <f>HYPERLINK("https://www.philgeps.gov.ph/GEPSNONPILOT/Tender/SplashBidNoticeAbstractUI.aspx?menuIndex=3&amp;refID=7085066&amp;Result=3","7085066")</f>
        <v>0</v>
      </c>
      <c r="B1819" t="s">
        <v>771</v>
      </c>
      <c r="C1819" t="s">
        <v>5161</v>
      </c>
      <c r="D1819" t="s">
        <v>17438</v>
      </c>
      <c r="E1819" t="s">
        <v>19099</v>
      </c>
      <c r="F1819" t="s">
        <v>30052</v>
      </c>
      <c r="G1819" t="s">
        <v>30059</v>
      </c>
      <c r="H1819" t="s">
        <v>15498</v>
      </c>
      <c r="I1819" t="s">
        <v>3736</v>
      </c>
      <c r="J1819" t="s">
        <v>31481</v>
      </c>
      <c r="K1819" t="s">
        <v>39019</v>
      </c>
      <c r="M1819" t="s">
        <v>40085</v>
      </c>
      <c r="N1819" t="s">
        <v>43166</v>
      </c>
      <c r="O1819" t="s">
        <v>43167</v>
      </c>
      <c r="P1819">
        <v>0</v>
      </c>
      <c r="Q1819">
        <v>0</v>
      </c>
      <c r="R1819" t="s">
        <v>43170</v>
      </c>
      <c r="S1819" t="s">
        <v>43297</v>
      </c>
      <c r="T1819" t="s">
        <v>44717</v>
      </c>
      <c r="U1819" t="s">
        <v>46691</v>
      </c>
      <c r="W1819" t="s">
        <v>40085</v>
      </c>
      <c r="X1819" t="s">
        <v>43171</v>
      </c>
    </row>
    <row r="1820" spans="1:24">
      <c r="A1820">
        <f>HYPERLINK("https://www.philgeps.gov.ph/GEPSNONPILOT/Tender/SplashBidNoticeAbstractUI.aspx?menuIndex=3&amp;refID=7085086&amp;Result=3","7085086")</f>
        <v>0</v>
      </c>
      <c r="B1820" t="s">
        <v>760</v>
      </c>
      <c r="C1820" t="s">
        <v>5162</v>
      </c>
      <c r="D1820" t="s">
        <v>17415</v>
      </c>
      <c r="E1820" t="s">
        <v>19100</v>
      </c>
      <c r="F1820" t="s">
        <v>30052</v>
      </c>
      <c r="G1820" t="s">
        <v>30058</v>
      </c>
      <c r="H1820" t="s">
        <v>30069</v>
      </c>
      <c r="I1820" t="s">
        <v>30100</v>
      </c>
      <c r="J1820" t="s">
        <v>31482</v>
      </c>
      <c r="K1820" t="s">
        <v>39091</v>
      </c>
      <c r="M1820" t="s">
        <v>40074</v>
      </c>
      <c r="N1820" t="s">
        <v>43166</v>
      </c>
      <c r="O1820" t="s">
        <v>43167</v>
      </c>
      <c r="P1820">
        <v>0</v>
      </c>
      <c r="Q1820">
        <v>0</v>
      </c>
      <c r="R1820" t="s">
        <v>43170</v>
      </c>
      <c r="S1820" t="s">
        <v>43297</v>
      </c>
      <c r="T1820" t="s">
        <v>44802</v>
      </c>
      <c r="U1820" t="s">
        <v>46692</v>
      </c>
      <c r="W1820" t="s">
        <v>40074</v>
      </c>
      <c r="X1820" t="s">
        <v>43171</v>
      </c>
    </row>
    <row r="1821" spans="1:24">
      <c r="A1821">
        <f>HYPERLINK("https://www.philgeps.gov.ph/GEPSNONPILOT/Tender/SplashBidNoticeAbstractUI.aspx?menuIndex=3&amp;refID=7085041&amp;Result=3","7085041")</f>
        <v>0</v>
      </c>
      <c r="B1821" t="s">
        <v>772</v>
      </c>
      <c r="C1821" t="s">
        <v>5163</v>
      </c>
      <c r="D1821" t="s">
        <v>17441</v>
      </c>
      <c r="E1821" t="s">
        <v>19101</v>
      </c>
      <c r="F1821" t="s">
        <v>30052</v>
      </c>
      <c r="G1821" t="s">
        <v>30059</v>
      </c>
      <c r="H1821" t="s">
        <v>15498</v>
      </c>
      <c r="I1821" t="s">
        <v>30077</v>
      </c>
      <c r="J1821" t="s">
        <v>31483</v>
      </c>
      <c r="K1821" t="s">
        <v>39019</v>
      </c>
      <c r="M1821" t="s">
        <v>40086</v>
      </c>
      <c r="N1821" t="s">
        <v>43166</v>
      </c>
      <c r="O1821" t="s">
        <v>43167</v>
      </c>
      <c r="P1821">
        <v>0</v>
      </c>
      <c r="Q1821">
        <v>7</v>
      </c>
      <c r="R1821" t="s">
        <v>43170</v>
      </c>
      <c r="S1821" t="s">
        <v>43297</v>
      </c>
      <c r="T1821" t="s">
        <v>44862</v>
      </c>
      <c r="U1821" t="s">
        <v>46693</v>
      </c>
      <c r="W1821" t="s">
        <v>40086</v>
      </c>
      <c r="X1821" t="s">
        <v>43171</v>
      </c>
    </row>
    <row r="1822" spans="1:24">
      <c r="A1822">
        <f>HYPERLINK("https://www.philgeps.gov.ph/GEPSNONPILOT/Tender/SplashBidNoticeAbstractUI.aspx?menuIndex=3&amp;refID=7085081&amp;Result=3","7085081")</f>
        <v>0</v>
      </c>
      <c r="B1822" t="s">
        <v>773</v>
      </c>
      <c r="C1822" t="s">
        <v>5164</v>
      </c>
      <c r="D1822" t="s">
        <v>17435</v>
      </c>
      <c r="E1822" t="s">
        <v>19102</v>
      </c>
      <c r="F1822" t="s">
        <v>30052</v>
      </c>
      <c r="G1822" t="s">
        <v>30059</v>
      </c>
      <c r="H1822" t="s">
        <v>15498</v>
      </c>
      <c r="I1822" t="s">
        <v>3852</v>
      </c>
      <c r="J1822" t="s">
        <v>31199</v>
      </c>
      <c r="K1822" t="s">
        <v>39019</v>
      </c>
      <c r="M1822" t="s">
        <v>40087</v>
      </c>
      <c r="N1822" t="s">
        <v>43166</v>
      </c>
      <c r="O1822" t="s">
        <v>43167</v>
      </c>
      <c r="P1822">
        <v>0</v>
      </c>
      <c r="Q1822">
        <v>3</v>
      </c>
      <c r="R1822" t="s">
        <v>43170</v>
      </c>
      <c r="S1822" t="s">
        <v>43297</v>
      </c>
      <c r="T1822" t="s">
        <v>44856</v>
      </c>
      <c r="U1822" t="s">
        <v>46694</v>
      </c>
      <c r="W1822" t="s">
        <v>40087</v>
      </c>
      <c r="X1822" t="s">
        <v>43171</v>
      </c>
    </row>
    <row r="1823" spans="1:24">
      <c r="A1823">
        <f>HYPERLINK("https://www.philgeps.gov.ph/GEPSNONPILOT/Tender/SplashBidNoticeAbstractUI.aspx?menuIndex=3&amp;refID=7085091&amp;Result=3","7085091")</f>
        <v>0</v>
      </c>
      <c r="B1823" t="s">
        <v>726</v>
      </c>
      <c r="C1823" t="s">
        <v>5153</v>
      </c>
      <c r="D1823" t="s">
        <v>17477</v>
      </c>
      <c r="E1823" t="s">
        <v>19103</v>
      </c>
      <c r="F1823" t="s">
        <v>30052</v>
      </c>
      <c r="G1823" t="s">
        <v>30061</v>
      </c>
      <c r="H1823" t="s">
        <v>15498</v>
      </c>
      <c r="I1823" t="s">
        <v>7228</v>
      </c>
      <c r="J1823" t="s">
        <v>31484</v>
      </c>
      <c r="K1823" t="s">
        <v>39019</v>
      </c>
      <c r="M1823" t="s">
        <v>40037</v>
      </c>
      <c r="N1823" t="s">
        <v>43166</v>
      </c>
      <c r="O1823" t="s">
        <v>43167</v>
      </c>
      <c r="P1823">
        <v>0</v>
      </c>
      <c r="Q1823">
        <v>0</v>
      </c>
      <c r="R1823" t="s">
        <v>43170</v>
      </c>
      <c r="S1823" t="s">
        <v>43297</v>
      </c>
      <c r="T1823" t="s">
        <v>44714</v>
      </c>
      <c r="U1823" t="s">
        <v>46695</v>
      </c>
      <c r="W1823" t="s">
        <v>58613</v>
      </c>
      <c r="X1823" t="s">
        <v>43171</v>
      </c>
    </row>
    <row r="1824" spans="1:24">
      <c r="A1824">
        <f>HYPERLINK("https://www.philgeps.gov.ph/GEPSNONPILOT/Tender/SplashBidNoticeAbstractUI.aspx?menuIndex=3&amp;refID=7085090&amp;Result=3","7085090")</f>
        <v>0</v>
      </c>
      <c r="B1824" t="s">
        <v>745</v>
      </c>
      <c r="C1824" t="s">
        <v>5165</v>
      </c>
      <c r="D1824" t="s">
        <v>17476</v>
      </c>
      <c r="E1824" t="s">
        <v>19104</v>
      </c>
      <c r="F1824" t="s">
        <v>30052</v>
      </c>
      <c r="G1824" t="s">
        <v>30059</v>
      </c>
      <c r="H1824" t="s">
        <v>15498</v>
      </c>
      <c r="I1824" t="s">
        <v>30118</v>
      </c>
      <c r="J1824" t="s">
        <v>31485</v>
      </c>
      <c r="K1824" t="s">
        <v>39018</v>
      </c>
      <c r="M1824" t="s">
        <v>40059</v>
      </c>
      <c r="N1824" t="s">
        <v>43166</v>
      </c>
      <c r="O1824" t="s">
        <v>43167</v>
      </c>
      <c r="P1824">
        <v>0</v>
      </c>
      <c r="Q1824">
        <v>1</v>
      </c>
      <c r="R1824" t="s">
        <v>43170</v>
      </c>
      <c r="S1824" t="s">
        <v>43297</v>
      </c>
      <c r="T1824" t="s">
        <v>44679</v>
      </c>
      <c r="U1824" t="s">
        <v>46696</v>
      </c>
      <c r="W1824" t="s">
        <v>40059</v>
      </c>
      <c r="X1824" t="s">
        <v>43171</v>
      </c>
    </row>
    <row r="1825" spans="1:24">
      <c r="A1825">
        <f>HYPERLINK("https://www.philgeps.gov.ph/GEPSNONPILOT/Tender/SplashBidNoticeAbstractUI.aspx?menuIndex=3&amp;refID=7085084&amp;Result=3","7085084")</f>
        <v>0</v>
      </c>
      <c r="B1825" t="s">
        <v>749</v>
      </c>
      <c r="C1825" t="s">
        <v>5166</v>
      </c>
      <c r="D1825" t="s">
        <v>17444</v>
      </c>
      <c r="E1825" t="s">
        <v>19105</v>
      </c>
      <c r="F1825" t="s">
        <v>30052</v>
      </c>
      <c r="G1825" t="s">
        <v>30059</v>
      </c>
      <c r="H1825" t="s">
        <v>15498</v>
      </c>
      <c r="I1825" t="s">
        <v>3736</v>
      </c>
      <c r="J1825" t="s">
        <v>31486</v>
      </c>
      <c r="K1825" t="s">
        <v>39018</v>
      </c>
      <c r="M1825" t="s">
        <v>40063</v>
      </c>
      <c r="N1825" t="s">
        <v>43166</v>
      </c>
      <c r="O1825" t="s">
        <v>43167</v>
      </c>
      <c r="P1825">
        <v>0</v>
      </c>
      <c r="Q1825">
        <v>0</v>
      </c>
      <c r="R1825" t="s">
        <v>43170</v>
      </c>
      <c r="S1825" t="s">
        <v>43297</v>
      </c>
      <c r="T1825" t="s">
        <v>44717</v>
      </c>
      <c r="U1825" t="s">
        <v>46625</v>
      </c>
      <c r="W1825" t="s">
        <v>40063</v>
      </c>
      <c r="X1825" t="s">
        <v>43171</v>
      </c>
    </row>
    <row r="1826" spans="1:24">
      <c r="A1826">
        <f>HYPERLINK("https://www.philgeps.gov.ph/GEPSNONPILOT/Tender/SplashBidNoticeAbstractUI.aspx?menuIndex=3&amp;refID=7085064&amp;Result=3","7085064")</f>
        <v>0</v>
      </c>
      <c r="B1826" t="s">
        <v>769</v>
      </c>
      <c r="C1826" t="s">
        <v>5167</v>
      </c>
      <c r="D1826" t="s">
        <v>17427</v>
      </c>
      <c r="E1826" t="s">
        <v>19106</v>
      </c>
      <c r="F1826" t="s">
        <v>30052</v>
      </c>
      <c r="G1826" t="s">
        <v>30059</v>
      </c>
      <c r="H1826" t="s">
        <v>30067</v>
      </c>
      <c r="I1826" t="s">
        <v>3693</v>
      </c>
      <c r="J1826" t="s">
        <v>31487</v>
      </c>
      <c r="K1826" t="s">
        <v>39046</v>
      </c>
      <c r="M1826" t="s">
        <v>40083</v>
      </c>
      <c r="N1826" t="s">
        <v>43166</v>
      </c>
      <c r="O1826" t="s">
        <v>43167</v>
      </c>
      <c r="P1826">
        <v>0</v>
      </c>
      <c r="Q1826">
        <v>1</v>
      </c>
      <c r="R1826" t="s">
        <v>43170</v>
      </c>
      <c r="S1826" t="s">
        <v>43297</v>
      </c>
      <c r="T1826" t="s">
        <v>44718</v>
      </c>
      <c r="U1826" t="s">
        <v>46687</v>
      </c>
      <c r="W1826" t="s">
        <v>40083</v>
      </c>
      <c r="X1826" t="s">
        <v>43171</v>
      </c>
    </row>
    <row r="1827" spans="1:24">
      <c r="A1827">
        <f>HYPERLINK("https://www.philgeps.gov.ph/GEPSNONPILOT/Tender/SplashBidNoticeAbstractUI.aspx?menuIndex=3&amp;refID=7085080&amp;Result=3","7085080")</f>
        <v>0</v>
      </c>
      <c r="B1827" t="s">
        <v>620</v>
      </c>
      <c r="C1827" t="s">
        <v>5168</v>
      </c>
      <c r="D1827" t="s">
        <v>17427</v>
      </c>
      <c r="E1827" t="s">
        <v>19107</v>
      </c>
      <c r="F1827" t="s">
        <v>30052</v>
      </c>
      <c r="G1827" t="s">
        <v>30059</v>
      </c>
      <c r="H1827" t="s">
        <v>15498</v>
      </c>
      <c r="I1827" t="s">
        <v>30088</v>
      </c>
      <c r="J1827" t="s">
        <v>31488</v>
      </c>
      <c r="K1827" t="s">
        <v>39025</v>
      </c>
      <c r="M1827" t="s">
        <v>39923</v>
      </c>
      <c r="N1827" t="s">
        <v>43166</v>
      </c>
      <c r="O1827" t="s">
        <v>43167</v>
      </c>
      <c r="P1827">
        <v>0</v>
      </c>
      <c r="Q1827">
        <v>2</v>
      </c>
      <c r="R1827" t="s">
        <v>43170</v>
      </c>
      <c r="S1827" t="s">
        <v>43297</v>
      </c>
      <c r="T1827" t="s">
        <v>44721</v>
      </c>
      <c r="U1827" t="s">
        <v>46697</v>
      </c>
      <c r="W1827" t="s">
        <v>39923</v>
      </c>
      <c r="X1827" t="s">
        <v>43171</v>
      </c>
    </row>
    <row r="1828" spans="1:24">
      <c r="A1828">
        <f>HYPERLINK("https://www.philgeps.gov.ph/GEPSNONPILOT/Tender/SplashBidNoticeAbstractUI.aspx?menuIndex=3&amp;refID=7084599&amp;Result=3","7084599")</f>
        <v>0</v>
      </c>
      <c r="B1828" t="s">
        <v>774</v>
      </c>
      <c r="C1828" t="s">
        <v>5169</v>
      </c>
      <c r="D1828" t="s">
        <v>17415</v>
      </c>
      <c r="E1828" t="s">
        <v>17540</v>
      </c>
      <c r="F1828" t="s">
        <v>30052</v>
      </c>
      <c r="G1828" t="s">
        <v>30059</v>
      </c>
      <c r="H1828" t="s">
        <v>15498</v>
      </c>
      <c r="I1828" t="s">
        <v>8323</v>
      </c>
      <c r="J1828" t="s">
        <v>31489</v>
      </c>
      <c r="K1828" t="s">
        <v>39064</v>
      </c>
      <c r="M1828" t="s">
        <v>40088</v>
      </c>
      <c r="N1828" t="s">
        <v>43166</v>
      </c>
      <c r="O1828" t="s">
        <v>43167</v>
      </c>
      <c r="P1828">
        <v>0</v>
      </c>
      <c r="Q1828">
        <v>10</v>
      </c>
      <c r="R1828" t="s">
        <v>43170</v>
      </c>
      <c r="S1828" t="s">
        <v>43297</v>
      </c>
      <c r="T1828" t="s">
        <v>44723</v>
      </c>
      <c r="U1828" t="s">
        <v>46698</v>
      </c>
      <c r="W1828" t="s">
        <v>40088</v>
      </c>
      <c r="X1828" t="s">
        <v>43171</v>
      </c>
    </row>
    <row r="1829" spans="1:24">
      <c r="A1829">
        <f>HYPERLINK("https://www.philgeps.gov.ph/GEPSNONPILOT/Tender/SplashBidNoticeAbstractUI.aspx?menuIndex=3&amp;refID=7085078&amp;Result=3","7085078")</f>
        <v>0</v>
      </c>
      <c r="B1829" t="s">
        <v>741</v>
      </c>
      <c r="C1829" t="s">
        <v>5170</v>
      </c>
      <c r="D1829" t="s">
        <v>17425</v>
      </c>
      <c r="E1829" t="s">
        <v>19108</v>
      </c>
      <c r="F1829" t="s">
        <v>30052</v>
      </c>
      <c r="G1829" t="s">
        <v>30059</v>
      </c>
      <c r="H1829" t="s">
        <v>15498</v>
      </c>
      <c r="I1829" t="s">
        <v>30070</v>
      </c>
      <c r="J1829" t="s">
        <v>31490</v>
      </c>
      <c r="K1829" t="s">
        <v>39019</v>
      </c>
      <c r="M1829" t="s">
        <v>40055</v>
      </c>
      <c r="N1829" t="s">
        <v>43166</v>
      </c>
      <c r="O1829" t="s">
        <v>43167</v>
      </c>
      <c r="P1829">
        <v>0</v>
      </c>
      <c r="Q1829">
        <v>0</v>
      </c>
      <c r="R1829" t="s">
        <v>43170</v>
      </c>
      <c r="S1829" t="s">
        <v>43297</v>
      </c>
      <c r="T1829" t="s">
        <v>44806</v>
      </c>
      <c r="U1829" t="s">
        <v>46699</v>
      </c>
      <c r="W1829" t="s">
        <v>40055</v>
      </c>
      <c r="X1829" t="s">
        <v>43171</v>
      </c>
    </row>
    <row r="1830" spans="1:24">
      <c r="A1830">
        <f>HYPERLINK("https://www.philgeps.gov.ph/GEPSNONPILOT/Tender/SplashBidNoticeAbstractUI.aspx?menuIndex=3&amp;refID=7085075&amp;Result=3","7085075")</f>
        <v>0</v>
      </c>
      <c r="B1830" t="s">
        <v>629</v>
      </c>
      <c r="C1830" t="s">
        <v>5171</v>
      </c>
      <c r="D1830" t="s">
        <v>17415</v>
      </c>
      <c r="E1830" t="s">
        <v>19109</v>
      </c>
      <c r="F1830" t="s">
        <v>30052</v>
      </c>
      <c r="G1830" t="s">
        <v>30061</v>
      </c>
      <c r="H1830" t="s">
        <v>15498</v>
      </c>
      <c r="I1830" t="s">
        <v>30105</v>
      </c>
      <c r="J1830" t="s">
        <v>31491</v>
      </c>
      <c r="K1830" t="s">
        <v>39019</v>
      </c>
      <c r="M1830" t="s">
        <v>40089</v>
      </c>
      <c r="N1830" t="s">
        <v>43166</v>
      </c>
      <c r="O1830" t="s">
        <v>43167</v>
      </c>
      <c r="P1830">
        <v>0</v>
      </c>
      <c r="Q1830">
        <v>5</v>
      </c>
      <c r="R1830" t="s">
        <v>43170</v>
      </c>
      <c r="S1830" t="s">
        <v>43297</v>
      </c>
      <c r="T1830" t="s">
        <v>44698</v>
      </c>
      <c r="U1830" t="s">
        <v>46700</v>
      </c>
      <c r="V1830" t="s">
        <v>57029</v>
      </c>
      <c r="W1830" t="s">
        <v>40089</v>
      </c>
      <c r="X1830" t="s">
        <v>43171</v>
      </c>
    </row>
    <row r="1831" spans="1:24">
      <c r="A1831">
        <f>HYPERLINK("https://www.philgeps.gov.ph/GEPSNONPILOT/Tender/SplashBidNoticeAbstractUI.aspx?menuIndex=3&amp;refID=7085088&amp;Result=3","7085088")</f>
        <v>0</v>
      </c>
      <c r="B1831" t="s">
        <v>775</v>
      </c>
      <c r="C1831" t="s">
        <v>5172</v>
      </c>
      <c r="D1831" t="s">
        <v>17415</v>
      </c>
      <c r="E1831" t="s">
        <v>19110</v>
      </c>
      <c r="F1831" t="s">
        <v>30052</v>
      </c>
      <c r="G1831" t="s">
        <v>30059</v>
      </c>
      <c r="H1831" t="s">
        <v>30069</v>
      </c>
      <c r="I1831" t="s">
        <v>30084</v>
      </c>
      <c r="J1831" t="s">
        <v>31492</v>
      </c>
      <c r="K1831" t="s">
        <v>39048</v>
      </c>
      <c r="M1831" t="s">
        <v>40090</v>
      </c>
      <c r="N1831" t="s">
        <v>43166</v>
      </c>
      <c r="O1831" t="s">
        <v>43167</v>
      </c>
      <c r="P1831">
        <v>0</v>
      </c>
      <c r="Q1831">
        <v>6</v>
      </c>
      <c r="R1831" t="s">
        <v>43170</v>
      </c>
      <c r="S1831" t="s">
        <v>43297</v>
      </c>
      <c r="T1831" t="s">
        <v>44862</v>
      </c>
      <c r="U1831" t="s">
        <v>46701</v>
      </c>
      <c r="W1831" t="s">
        <v>40090</v>
      </c>
      <c r="X1831" t="s">
        <v>43171</v>
      </c>
    </row>
    <row r="1832" spans="1:24">
      <c r="A1832">
        <f>HYPERLINK("https://www.philgeps.gov.ph/GEPSNONPILOT/Tender/SplashBidNoticeAbstractUI.aspx?menuIndex=3&amp;refID=7085073&amp;Result=3","7085073")</f>
        <v>0</v>
      </c>
      <c r="B1832" t="s">
        <v>759</v>
      </c>
      <c r="C1832" t="s">
        <v>5173</v>
      </c>
      <c r="D1832" t="s">
        <v>17416</v>
      </c>
      <c r="E1832" t="s">
        <v>19111</v>
      </c>
      <c r="F1832" t="s">
        <v>30052</v>
      </c>
      <c r="G1832" t="s">
        <v>30059</v>
      </c>
      <c r="H1832" t="s">
        <v>15498</v>
      </c>
      <c r="I1832" t="s">
        <v>30106</v>
      </c>
      <c r="J1832" t="s">
        <v>31493</v>
      </c>
      <c r="K1832" t="s">
        <v>39034</v>
      </c>
      <c r="M1832" t="s">
        <v>40073</v>
      </c>
      <c r="N1832" t="s">
        <v>43166</v>
      </c>
      <c r="O1832" t="s">
        <v>43167</v>
      </c>
      <c r="P1832">
        <v>0</v>
      </c>
      <c r="Q1832">
        <v>1</v>
      </c>
      <c r="R1832" t="s">
        <v>43170</v>
      </c>
      <c r="S1832" t="s">
        <v>43297</v>
      </c>
      <c r="T1832" t="s">
        <v>44733</v>
      </c>
      <c r="U1832" t="s">
        <v>46702</v>
      </c>
      <c r="W1832" t="s">
        <v>40073</v>
      </c>
      <c r="X1832" t="s">
        <v>43171</v>
      </c>
    </row>
    <row r="1833" spans="1:24">
      <c r="A1833">
        <f>HYPERLINK("https://www.philgeps.gov.ph/GEPSNONPILOT/Tender/SplashBidNoticeAbstractUI.aspx?menuIndex=3&amp;refID=7084601&amp;Result=3","7084601")</f>
        <v>0</v>
      </c>
      <c r="B1833" t="s">
        <v>675</v>
      </c>
      <c r="C1833" t="s">
        <v>5174</v>
      </c>
      <c r="E1833" t="s">
        <v>17799</v>
      </c>
      <c r="F1833" t="s">
        <v>30052</v>
      </c>
      <c r="G1833" t="s">
        <v>30058</v>
      </c>
      <c r="H1833" t="s">
        <v>15498</v>
      </c>
      <c r="I1833" t="s">
        <v>30096</v>
      </c>
      <c r="J1833" t="s">
        <v>30358</v>
      </c>
      <c r="K1833" t="s">
        <v>39025</v>
      </c>
      <c r="M1833" t="s">
        <v>39981</v>
      </c>
      <c r="N1833" t="s">
        <v>43166</v>
      </c>
      <c r="O1833" t="s">
        <v>43167</v>
      </c>
      <c r="P1833">
        <v>0</v>
      </c>
      <c r="Q1833">
        <v>0</v>
      </c>
      <c r="R1833" t="s">
        <v>43170</v>
      </c>
      <c r="S1833" t="s">
        <v>43297</v>
      </c>
      <c r="T1833" t="s">
        <v>44724</v>
      </c>
      <c r="U1833" t="s">
        <v>46703</v>
      </c>
      <c r="W1833" t="s">
        <v>39981</v>
      </c>
      <c r="X1833" t="s">
        <v>43171</v>
      </c>
    </row>
    <row r="1834" spans="1:24">
      <c r="A1834">
        <f>HYPERLINK("https://www.philgeps.gov.ph/GEPSNONPILOT/Tender/SplashBidNoticeAbstractUI.aspx?menuIndex=3&amp;refID=7084595&amp;Result=3","7084595")</f>
        <v>0</v>
      </c>
      <c r="B1834" t="s">
        <v>534</v>
      </c>
      <c r="C1834" t="s">
        <v>5175</v>
      </c>
      <c r="D1834" t="s">
        <v>17467</v>
      </c>
      <c r="E1834" t="s">
        <v>19112</v>
      </c>
      <c r="F1834" t="s">
        <v>30052</v>
      </c>
      <c r="G1834" t="s">
        <v>30058</v>
      </c>
      <c r="H1834" t="s">
        <v>30067</v>
      </c>
      <c r="I1834" t="s">
        <v>3693</v>
      </c>
      <c r="J1834" t="s">
        <v>31494</v>
      </c>
      <c r="K1834" t="s">
        <v>39033</v>
      </c>
      <c r="M1834" t="s">
        <v>39836</v>
      </c>
      <c r="N1834" t="s">
        <v>43166</v>
      </c>
      <c r="O1834" t="s">
        <v>43167</v>
      </c>
      <c r="P1834">
        <v>0</v>
      </c>
      <c r="Q1834">
        <v>0</v>
      </c>
      <c r="R1834" t="s">
        <v>43170</v>
      </c>
      <c r="S1834" t="s">
        <v>43297</v>
      </c>
      <c r="T1834" t="s">
        <v>44889</v>
      </c>
      <c r="U1834" t="s">
        <v>46704</v>
      </c>
      <c r="W1834" t="s">
        <v>39836</v>
      </c>
      <c r="X1834" t="s">
        <v>43171</v>
      </c>
    </row>
    <row r="1835" spans="1:24">
      <c r="A1835">
        <f>HYPERLINK("https://www.philgeps.gov.ph/GEPSNONPILOT/Tender/SplashBidNoticeAbstractUI.aspx?menuIndex=3&amp;refID=7085079&amp;Result=3","7085079")</f>
        <v>0</v>
      </c>
      <c r="B1835" t="s">
        <v>769</v>
      </c>
      <c r="C1835" t="s">
        <v>5176</v>
      </c>
      <c r="D1835" t="s">
        <v>17451</v>
      </c>
      <c r="E1835" t="s">
        <v>19113</v>
      </c>
      <c r="F1835" t="s">
        <v>30052</v>
      </c>
      <c r="G1835" t="s">
        <v>30059</v>
      </c>
      <c r="H1835" t="s">
        <v>30067</v>
      </c>
      <c r="I1835" t="s">
        <v>3693</v>
      </c>
      <c r="J1835" t="s">
        <v>31495</v>
      </c>
      <c r="K1835" t="s">
        <v>39046</v>
      </c>
      <c r="M1835" t="s">
        <v>40083</v>
      </c>
      <c r="N1835" t="s">
        <v>43166</v>
      </c>
      <c r="O1835" t="s">
        <v>43167</v>
      </c>
      <c r="P1835">
        <v>0</v>
      </c>
      <c r="Q1835">
        <v>0</v>
      </c>
      <c r="R1835" t="s">
        <v>43170</v>
      </c>
      <c r="S1835" t="s">
        <v>43297</v>
      </c>
      <c r="T1835" t="s">
        <v>44718</v>
      </c>
      <c r="U1835" t="s">
        <v>46687</v>
      </c>
      <c r="W1835" t="s">
        <v>40083</v>
      </c>
      <c r="X1835" t="s">
        <v>43171</v>
      </c>
    </row>
    <row r="1836" spans="1:24">
      <c r="A1836">
        <f>HYPERLINK("https://www.philgeps.gov.ph/GEPSNONPILOT/Tender/SplashBidNoticeAbstractUI.aspx?menuIndex=3&amp;refID=7085097&amp;Result=3","7085097")</f>
        <v>0</v>
      </c>
      <c r="B1836" t="s">
        <v>776</v>
      </c>
      <c r="C1836" t="s">
        <v>5177</v>
      </c>
      <c r="D1836" t="s">
        <v>17444</v>
      </c>
      <c r="E1836" t="s">
        <v>19114</v>
      </c>
      <c r="F1836" t="s">
        <v>30052</v>
      </c>
      <c r="G1836" t="s">
        <v>30059</v>
      </c>
      <c r="H1836" t="s">
        <v>15498</v>
      </c>
      <c r="I1836" t="s">
        <v>30077</v>
      </c>
      <c r="J1836" t="s">
        <v>31236</v>
      </c>
      <c r="K1836" t="s">
        <v>39019</v>
      </c>
      <c r="M1836" t="s">
        <v>40091</v>
      </c>
      <c r="N1836" t="s">
        <v>43166</v>
      </c>
      <c r="O1836" t="s">
        <v>43167</v>
      </c>
      <c r="P1836">
        <v>0</v>
      </c>
      <c r="Q1836">
        <v>3</v>
      </c>
      <c r="R1836" t="s">
        <v>43170</v>
      </c>
      <c r="S1836" t="s">
        <v>43297</v>
      </c>
      <c r="T1836" t="s">
        <v>44717</v>
      </c>
      <c r="U1836" t="s">
        <v>46705</v>
      </c>
      <c r="V1836" t="s">
        <v>57030</v>
      </c>
      <c r="W1836" t="s">
        <v>40091</v>
      </c>
      <c r="X1836" t="s">
        <v>43171</v>
      </c>
    </row>
    <row r="1837" spans="1:24">
      <c r="A1837">
        <f>HYPERLINK("https://www.philgeps.gov.ph/GEPSNONPILOT/Tender/SplashBidNoticeAbstractUI.aspx?menuIndex=3&amp;refID=7085076&amp;Result=3","7085076")</f>
        <v>0</v>
      </c>
      <c r="B1837" t="s">
        <v>732</v>
      </c>
      <c r="C1837" t="s">
        <v>5178</v>
      </c>
      <c r="E1837" t="s">
        <v>19115</v>
      </c>
      <c r="F1837" t="s">
        <v>30052</v>
      </c>
      <c r="G1837" t="s">
        <v>30058</v>
      </c>
      <c r="H1837" t="s">
        <v>30067</v>
      </c>
      <c r="I1837" t="s">
        <v>3693</v>
      </c>
      <c r="J1837" t="s">
        <v>31496</v>
      </c>
      <c r="K1837" t="s">
        <v>39092</v>
      </c>
      <c r="M1837" t="s">
        <v>40043</v>
      </c>
      <c r="N1837" t="s">
        <v>43166</v>
      </c>
      <c r="O1837" t="s">
        <v>43167</v>
      </c>
      <c r="P1837">
        <v>0</v>
      </c>
      <c r="Q1837">
        <v>0</v>
      </c>
      <c r="R1837" t="s">
        <v>43170</v>
      </c>
      <c r="S1837" t="s">
        <v>43297</v>
      </c>
      <c r="T1837" t="s">
        <v>44890</v>
      </c>
      <c r="U1837" t="s">
        <v>46706</v>
      </c>
      <c r="W1837" t="s">
        <v>40043</v>
      </c>
      <c r="X1837" t="s">
        <v>43171</v>
      </c>
    </row>
    <row r="1838" spans="1:24">
      <c r="A1838">
        <f>HYPERLINK("https://www.philgeps.gov.ph/GEPSNONPILOT/Tender/SplashBidNoticeAbstractUI.aspx?menuIndex=3&amp;refID=7085093&amp;Result=3","7085093")</f>
        <v>0</v>
      </c>
      <c r="B1838" t="s">
        <v>767</v>
      </c>
      <c r="C1838" t="s">
        <v>5179</v>
      </c>
      <c r="D1838" t="s">
        <v>17487</v>
      </c>
      <c r="E1838" t="s">
        <v>19116</v>
      </c>
      <c r="F1838" t="s">
        <v>30052</v>
      </c>
      <c r="G1838" t="s">
        <v>30059</v>
      </c>
      <c r="H1838" t="s">
        <v>15498</v>
      </c>
      <c r="I1838" t="s">
        <v>30073</v>
      </c>
      <c r="J1838" t="s">
        <v>31497</v>
      </c>
      <c r="K1838" t="s">
        <v>39029</v>
      </c>
      <c r="M1838" t="s">
        <v>40081</v>
      </c>
      <c r="N1838" t="s">
        <v>43166</v>
      </c>
      <c r="O1838" t="s">
        <v>43167</v>
      </c>
      <c r="P1838">
        <v>0</v>
      </c>
      <c r="Q1838">
        <v>0</v>
      </c>
      <c r="R1838" t="s">
        <v>43170</v>
      </c>
      <c r="S1838" t="s">
        <v>43297</v>
      </c>
      <c r="T1838" t="s">
        <v>44856</v>
      </c>
      <c r="U1838" t="s">
        <v>46707</v>
      </c>
      <c r="V1838" t="s">
        <v>57027</v>
      </c>
      <c r="W1838" t="s">
        <v>40081</v>
      </c>
      <c r="X1838" t="s">
        <v>43171</v>
      </c>
    </row>
    <row r="1839" spans="1:24">
      <c r="A1839">
        <f>HYPERLINK("https://www.philgeps.gov.ph/GEPSNONPILOT/Tender/SplashBidNoticeAbstractUI.aspx?menuIndex=3&amp;refID=7085085&amp;Result=3","7085085")</f>
        <v>0</v>
      </c>
      <c r="B1839" t="s">
        <v>777</v>
      </c>
      <c r="C1839" t="s">
        <v>5180</v>
      </c>
      <c r="E1839" t="s">
        <v>19117</v>
      </c>
      <c r="F1839" t="s">
        <v>30052</v>
      </c>
      <c r="G1839" t="s">
        <v>30059</v>
      </c>
      <c r="H1839" t="s">
        <v>15498</v>
      </c>
      <c r="I1839" t="s">
        <v>30073</v>
      </c>
      <c r="J1839" t="s">
        <v>31498</v>
      </c>
      <c r="K1839" t="s">
        <v>39025</v>
      </c>
      <c r="M1839" t="s">
        <v>40092</v>
      </c>
      <c r="N1839" t="s">
        <v>43166</v>
      </c>
      <c r="O1839" t="s">
        <v>43167</v>
      </c>
      <c r="P1839">
        <v>0</v>
      </c>
      <c r="Q1839">
        <v>0</v>
      </c>
      <c r="R1839" t="s">
        <v>43170</v>
      </c>
      <c r="S1839" t="s">
        <v>43297</v>
      </c>
      <c r="T1839" t="s">
        <v>44856</v>
      </c>
      <c r="U1839" t="s">
        <v>46708</v>
      </c>
      <c r="W1839" t="s">
        <v>40092</v>
      </c>
      <c r="X1839" t="s">
        <v>43171</v>
      </c>
    </row>
    <row r="1840" spans="1:24">
      <c r="A1840">
        <f>HYPERLINK("https://www.philgeps.gov.ph/GEPSNONPILOT/Tender/SplashBidNoticeAbstractUI.aspx?menuIndex=3&amp;refID=7085074&amp;Result=3","7085074")</f>
        <v>0</v>
      </c>
      <c r="B1840" t="s">
        <v>767</v>
      </c>
      <c r="C1840" t="s">
        <v>5181</v>
      </c>
      <c r="D1840" t="s">
        <v>17487</v>
      </c>
      <c r="E1840" t="s">
        <v>19118</v>
      </c>
      <c r="F1840" t="s">
        <v>30052</v>
      </c>
      <c r="G1840" t="s">
        <v>30059</v>
      </c>
      <c r="H1840" t="s">
        <v>15498</v>
      </c>
      <c r="I1840" t="s">
        <v>30096</v>
      </c>
      <c r="J1840" t="s">
        <v>31499</v>
      </c>
      <c r="K1840" t="s">
        <v>39029</v>
      </c>
      <c r="M1840" t="s">
        <v>40081</v>
      </c>
      <c r="N1840" t="s">
        <v>43166</v>
      </c>
      <c r="O1840" t="s">
        <v>43167</v>
      </c>
      <c r="P1840">
        <v>0</v>
      </c>
      <c r="Q1840">
        <v>3</v>
      </c>
      <c r="R1840" t="s">
        <v>43170</v>
      </c>
      <c r="S1840" t="s">
        <v>43297</v>
      </c>
      <c r="T1840" t="s">
        <v>44856</v>
      </c>
      <c r="U1840" t="s">
        <v>46709</v>
      </c>
      <c r="V1840" t="s">
        <v>57027</v>
      </c>
      <c r="W1840" t="s">
        <v>40081</v>
      </c>
      <c r="X1840" t="s">
        <v>43171</v>
      </c>
    </row>
    <row r="1841" spans="1:24">
      <c r="A1841">
        <f>HYPERLINK("https://www.philgeps.gov.ph/GEPSNONPILOT/Tender/SplashBidNoticeAbstractUI.aspx?menuIndex=3&amp;refID=7085119&amp;Result=3","7085119")</f>
        <v>0</v>
      </c>
      <c r="B1841" t="s">
        <v>778</v>
      </c>
      <c r="C1841" t="s">
        <v>5182</v>
      </c>
      <c r="D1841" t="s">
        <v>17424</v>
      </c>
      <c r="E1841" t="s">
        <v>19119</v>
      </c>
      <c r="F1841" t="s">
        <v>30052</v>
      </c>
      <c r="G1841" t="s">
        <v>30061</v>
      </c>
      <c r="H1841" t="s">
        <v>15498</v>
      </c>
      <c r="I1841" t="s">
        <v>30088</v>
      </c>
      <c r="J1841" t="s">
        <v>30337</v>
      </c>
      <c r="K1841" t="s">
        <v>39019</v>
      </c>
      <c r="M1841" t="s">
        <v>40093</v>
      </c>
      <c r="N1841" t="s">
        <v>43166</v>
      </c>
      <c r="O1841" t="s">
        <v>43167</v>
      </c>
      <c r="P1841">
        <v>0</v>
      </c>
      <c r="Q1841">
        <v>4</v>
      </c>
      <c r="R1841" t="s">
        <v>43170</v>
      </c>
      <c r="S1841" t="s">
        <v>43297</v>
      </c>
      <c r="T1841" t="s">
        <v>44708</v>
      </c>
      <c r="U1841" t="s">
        <v>46710</v>
      </c>
      <c r="W1841" t="s">
        <v>40093</v>
      </c>
      <c r="X1841" t="s">
        <v>43171</v>
      </c>
    </row>
    <row r="1842" spans="1:24">
      <c r="A1842">
        <f>HYPERLINK("https://www.philgeps.gov.ph/GEPSNONPILOT/Tender/SplashBidNoticeAbstractUI.aspx?menuIndex=3&amp;refID=7085118&amp;Result=3","7085118")</f>
        <v>0</v>
      </c>
      <c r="B1842" t="s">
        <v>779</v>
      </c>
      <c r="C1842" t="s">
        <v>5183</v>
      </c>
      <c r="E1842" t="s">
        <v>19120</v>
      </c>
      <c r="F1842" t="s">
        <v>30052</v>
      </c>
      <c r="G1842" t="s">
        <v>30059</v>
      </c>
      <c r="H1842" t="s">
        <v>15498</v>
      </c>
      <c r="I1842" t="s">
        <v>4650</v>
      </c>
      <c r="J1842" t="s">
        <v>30248</v>
      </c>
      <c r="K1842" t="s">
        <v>39017</v>
      </c>
      <c r="M1842" t="s">
        <v>40094</v>
      </c>
      <c r="N1842" t="s">
        <v>43166</v>
      </c>
      <c r="O1842" t="s">
        <v>43167</v>
      </c>
      <c r="P1842">
        <v>0</v>
      </c>
      <c r="Q1842">
        <v>1</v>
      </c>
      <c r="R1842" t="s">
        <v>43170</v>
      </c>
      <c r="S1842" t="s">
        <v>43297</v>
      </c>
      <c r="T1842" t="s">
        <v>44681</v>
      </c>
      <c r="U1842" t="s">
        <v>46711</v>
      </c>
      <c r="W1842" t="s">
        <v>40094</v>
      </c>
      <c r="X1842" t="s">
        <v>43171</v>
      </c>
    </row>
    <row r="1843" spans="1:24">
      <c r="A1843">
        <f>HYPERLINK("https://www.philgeps.gov.ph/GEPSNONPILOT/Tender/SplashBidNoticeAbstractUI.aspx?menuIndex=3&amp;refID=7085072&amp;Result=3","7085072")</f>
        <v>0</v>
      </c>
      <c r="B1843" t="s">
        <v>780</v>
      </c>
      <c r="C1843" t="s">
        <v>5184</v>
      </c>
      <c r="D1843" t="s">
        <v>17441</v>
      </c>
      <c r="E1843" t="s">
        <v>19121</v>
      </c>
      <c r="F1843" t="s">
        <v>30052</v>
      </c>
      <c r="G1843" t="s">
        <v>30059</v>
      </c>
      <c r="H1843" t="s">
        <v>30067</v>
      </c>
      <c r="I1843" t="s">
        <v>3693</v>
      </c>
      <c r="J1843" t="s">
        <v>31500</v>
      </c>
      <c r="K1843" t="s">
        <v>39025</v>
      </c>
      <c r="M1843" t="s">
        <v>40095</v>
      </c>
      <c r="N1843" t="s">
        <v>43166</v>
      </c>
      <c r="O1843" t="s">
        <v>43167</v>
      </c>
      <c r="P1843">
        <v>0</v>
      </c>
      <c r="Q1843">
        <v>1</v>
      </c>
      <c r="R1843" t="s">
        <v>43170</v>
      </c>
      <c r="S1843" t="s">
        <v>43297</v>
      </c>
      <c r="T1843" t="s">
        <v>44777</v>
      </c>
      <c r="U1843" t="s">
        <v>46712</v>
      </c>
      <c r="W1843" t="s">
        <v>40095</v>
      </c>
      <c r="X1843" t="s">
        <v>43171</v>
      </c>
    </row>
    <row r="1844" spans="1:24">
      <c r="A1844">
        <f>HYPERLINK("https://www.philgeps.gov.ph/GEPSNONPILOT/Tender/SplashBidNoticeAbstractUI.aspx?menuIndex=3&amp;refID=7085121&amp;Result=3","7085121")</f>
        <v>0</v>
      </c>
      <c r="B1844" t="s">
        <v>759</v>
      </c>
      <c r="C1844" t="s">
        <v>5185</v>
      </c>
      <c r="D1844" t="s">
        <v>17416</v>
      </c>
      <c r="E1844" t="s">
        <v>19122</v>
      </c>
      <c r="F1844" t="s">
        <v>30052</v>
      </c>
      <c r="G1844" t="s">
        <v>30059</v>
      </c>
      <c r="H1844" t="s">
        <v>30069</v>
      </c>
      <c r="I1844" t="s">
        <v>30158</v>
      </c>
      <c r="J1844" t="s">
        <v>31501</v>
      </c>
      <c r="K1844" t="s">
        <v>39017</v>
      </c>
      <c r="M1844" t="s">
        <v>40073</v>
      </c>
      <c r="N1844" t="s">
        <v>43166</v>
      </c>
      <c r="O1844" t="s">
        <v>43167</v>
      </c>
      <c r="P1844">
        <v>0</v>
      </c>
      <c r="Q1844">
        <v>2</v>
      </c>
      <c r="R1844" t="s">
        <v>43170</v>
      </c>
      <c r="S1844" t="s">
        <v>43297</v>
      </c>
      <c r="T1844" t="s">
        <v>44733</v>
      </c>
      <c r="U1844" t="s">
        <v>46713</v>
      </c>
      <c r="W1844" t="s">
        <v>40073</v>
      </c>
      <c r="X1844" t="s">
        <v>43171</v>
      </c>
    </row>
    <row r="1845" spans="1:24">
      <c r="A1845">
        <f>HYPERLINK("https://www.philgeps.gov.ph/GEPSNONPILOT/Tender/SplashBidNoticeAbstractUI.aspx?menuIndex=3&amp;refID=7085068&amp;Result=3","7085068")</f>
        <v>0</v>
      </c>
      <c r="B1845" t="s">
        <v>781</v>
      </c>
      <c r="C1845" t="s">
        <v>5186</v>
      </c>
      <c r="D1845" t="s">
        <v>17425</v>
      </c>
      <c r="E1845" t="s">
        <v>19123</v>
      </c>
      <c r="F1845" t="s">
        <v>30052</v>
      </c>
      <c r="G1845" t="s">
        <v>30059</v>
      </c>
      <c r="H1845" t="s">
        <v>15498</v>
      </c>
      <c r="I1845" t="s">
        <v>30073</v>
      </c>
      <c r="J1845" t="s">
        <v>31502</v>
      </c>
      <c r="K1845" t="s">
        <v>39019</v>
      </c>
      <c r="M1845" t="s">
        <v>40096</v>
      </c>
      <c r="N1845" t="s">
        <v>43166</v>
      </c>
      <c r="O1845" t="s">
        <v>43167</v>
      </c>
      <c r="P1845">
        <v>0</v>
      </c>
      <c r="Q1845">
        <v>0</v>
      </c>
      <c r="R1845" t="s">
        <v>43170</v>
      </c>
      <c r="S1845" t="s">
        <v>43297</v>
      </c>
      <c r="T1845" t="s">
        <v>44696</v>
      </c>
      <c r="U1845" t="s">
        <v>46714</v>
      </c>
      <c r="W1845" t="s">
        <v>40096</v>
      </c>
      <c r="X1845" t="s">
        <v>43171</v>
      </c>
    </row>
    <row r="1846" spans="1:24">
      <c r="A1846">
        <f>HYPERLINK("https://www.philgeps.gov.ph/GEPSNONPILOT/Tender/SplashBidNoticeAbstractUI.aspx?menuIndex=3&amp;refID=7085113&amp;Result=3","7085113")</f>
        <v>0</v>
      </c>
      <c r="B1846" t="s">
        <v>767</v>
      </c>
      <c r="C1846" t="s">
        <v>5187</v>
      </c>
      <c r="D1846" t="s">
        <v>17487</v>
      </c>
      <c r="E1846" t="s">
        <v>19124</v>
      </c>
      <c r="F1846" t="s">
        <v>30052</v>
      </c>
      <c r="G1846" t="s">
        <v>30059</v>
      </c>
      <c r="H1846" t="s">
        <v>15498</v>
      </c>
      <c r="I1846" t="s">
        <v>30096</v>
      </c>
      <c r="J1846" t="s">
        <v>31503</v>
      </c>
      <c r="K1846" t="s">
        <v>39029</v>
      </c>
      <c r="M1846" t="s">
        <v>40081</v>
      </c>
      <c r="N1846" t="s">
        <v>43166</v>
      </c>
      <c r="O1846" t="s">
        <v>43167</v>
      </c>
      <c r="P1846">
        <v>0</v>
      </c>
      <c r="Q1846">
        <v>4</v>
      </c>
      <c r="R1846" t="s">
        <v>43170</v>
      </c>
      <c r="S1846" t="s">
        <v>43297</v>
      </c>
      <c r="T1846" t="s">
        <v>44856</v>
      </c>
      <c r="U1846" t="s">
        <v>46715</v>
      </c>
      <c r="V1846" t="s">
        <v>57027</v>
      </c>
      <c r="W1846" t="s">
        <v>40081</v>
      </c>
      <c r="X1846" t="s">
        <v>43171</v>
      </c>
    </row>
    <row r="1847" spans="1:24">
      <c r="A1847">
        <f>HYPERLINK("https://www.philgeps.gov.ph/GEPSNONPILOT/Tender/SplashBidNoticeAbstractUI.aspx?menuIndex=3&amp;refID=7085096&amp;Result=3","7085096")</f>
        <v>0</v>
      </c>
      <c r="B1847" t="s">
        <v>781</v>
      </c>
      <c r="C1847" t="s">
        <v>5188</v>
      </c>
      <c r="D1847" t="s">
        <v>17425</v>
      </c>
      <c r="E1847" t="s">
        <v>19125</v>
      </c>
      <c r="F1847" t="s">
        <v>30052</v>
      </c>
      <c r="G1847" t="s">
        <v>30059</v>
      </c>
      <c r="H1847" t="s">
        <v>15498</v>
      </c>
      <c r="I1847" t="s">
        <v>30084</v>
      </c>
      <c r="J1847" t="s">
        <v>31504</v>
      </c>
      <c r="K1847" t="s">
        <v>39019</v>
      </c>
      <c r="M1847" t="s">
        <v>40096</v>
      </c>
      <c r="N1847" t="s">
        <v>43166</v>
      </c>
      <c r="O1847" t="s">
        <v>43167</v>
      </c>
      <c r="P1847">
        <v>0</v>
      </c>
      <c r="Q1847">
        <v>1</v>
      </c>
      <c r="R1847" t="s">
        <v>43170</v>
      </c>
      <c r="S1847" t="s">
        <v>43297</v>
      </c>
      <c r="T1847" t="s">
        <v>44696</v>
      </c>
      <c r="U1847" t="s">
        <v>46716</v>
      </c>
      <c r="W1847" t="s">
        <v>40096</v>
      </c>
      <c r="X1847" t="s">
        <v>43171</v>
      </c>
    </row>
    <row r="1848" spans="1:24">
      <c r="A1848">
        <f>HYPERLINK("https://www.philgeps.gov.ph/GEPSNONPILOT/Tender/SplashBidNoticeAbstractUI.aspx?menuIndex=3&amp;refID=7085094&amp;Result=3","7085094")</f>
        <v>0</v>
      </c>
      <c r="B1848" t="s">
        <v>409</v>
      </c>
      <c r="C1848" t="s">
        <v>5189</v>
      </c>
      <c r="D1848" t="s">
        <v>17473</v>
      </c>
      <c r="E1848" t="s">
        <v>19126</v>
      </c>
      <c r="F1848" t="s">
        <v>30052</v>
      </c>
      <c r="G1848" t="s">
        <v>30059</v>
      </c>
      <c r="H1848" t="s">
        <v>15498</v>
      </c>
      <c r="I1848" t="s">
        <v>9238</v>
      </c>
      <c r="J1848" t="s">
        <v>31505</v>
      </c>
      <c r="K1848" t="s">
        <v>39025</v>
      </c>
      <c r="M1848" t="s">
        <v>40032</v>
      </c>
      <c r="N1848" t="s">
        <v>43166</v>
      </c>
      <c r="O1848" t="s">
        <v>43167</v>
      </c>
      <c r="P1848">
        <v>0</v>
      </c>
      <c r="Q1848">
        <v>12</v>
      </c>
      <c r="R1848" t="s">
        <v>43170</v>
      </c>
      <c r="S1848" t="s">
        <v>43297</v>
      </c>
      <c r="T1848" t="s">
        <v>44787</v>
      </c>
      <c r="U1848" t="s">
        <v>46717</v>
      </c>
      <c r="W1848" t="s">
        <v>40032</v>
      </c>
      <c r="X1848" t="s">
        <v>43171</v>
      </c>
    </row>
    <row r="1849" spans="1:24">
      <c r="A1849">
        <f>HYPERLINK("https://www.philgeps.gov.ph/GEPSNONPILOT/Tender/SplashBidNoticeAbstractUI.aspx?menuIndex=3&amp;refID=7085112&amp;Result=3","7085112")</f>
        <v>0</v>
      </c>
      <c r="B1849" t="s">
        <v>782</v>
      </c>
      <c r="C1849" t="s">
        <v>5190</v>
      </c>
      <c r="D1849" t="s">
        <v>17415</v>
      </c>
      <c r="E1849" t="s">
        <v>19127</v>
      </c>
      <c r="F1849" t="s">
        <v>30052</v>
      </c>
      <c r="G1849" t="s">
        <v>30059</v>
      </c>
      <c r="H1849" t="s">
        <v>15498</v>
      </c>
      <c r="I1849" t="s">
        <v>30153</v>
      </c>
      <c r="J1849" t="s">
        <v>31506</v>
      </c>
      <c r="K1849" t="s">
        <v>39067</v>
      </c>
      <c r="M1849" t="s">
        <v>40097</v>
      </c>
      <c r="N1849" t="s">
        <v>43166</v>
      </c>
      <c r="O1849" t="s">
        <v>43167</v>
      </c>
      <c r="P1849">
        <v>0</v>
      </c>
      <c r="Q1849">
        <v>4</v>
      </c>
      <c r="R1849" t="s">
        <v>43170</v>
      </c>
      <c r="S1849" t="s">
        <v>43297</v>
      </c>
      <c r="T1849" t="s">
        <v>44717</v>
      </c>
      <c r="U1849" t="s">
        <v>46718</v>
      </c>
      <c r="W1849" t="s">
        <v>40097</v>
      </c>
      <c r="X1849" t="s">
        <v>43171</v>
      </c>
    </row>
    <row r="1850" spans="1:24">
      <c r="A1850">
        <f>HYPERLINK("https://www.philgeps.gov.ph/GEPSNONPILOT/Tender/SplashBidNoticeAbstractUI.aspx?menuIndex=3&amp;refID=7085106&amp;Result=3","7085106")</f>
        <v>0</v>
      </c>
      <c r="B1850" t="s">
        <v>760</v>
      </c>
      <c r="C1850" t="s">
        <v>5191</v>
      </c>
      <c r="D1850" t="s">
        <v>17415</v>
      </c>
      <c r="E1850" t="s">
        <v>19128</v>
      </c>
      <c r="F1850" t="s">
        <v>30052</v>
      </c>
      <c r="G1850" t="s">
        <v>30058</v>
      </c>
      <c r="H1850" t="s">
        <v>15498</v>
      </c>
      <c r="I1850" t="s">
        <v>30115</v>
      </c>
      <c r="J1850" t="s">
        <v>30218</v>
      </c>
      <c r="K1850" t="s">
        <v>39029</v>
      </c>
      <c r="M1850" t="s">
        <v>40074</v>
      </c>
      <c r="N1850" t="s">
        <v>43166</v>
      </c>
      <c r="O1850" t="s">
        <v>43167</v>
      </c>
      <c r="P1850">
        <v>0</v>
      </c>
      <c r="Q1850">
        <v>1</v>
      </c>
      <c r="R1850" t="s">
        <v>43170</v>
      </c>
      <c r="S1850" t="s">
        <v>43297</v>
      </c>
      <c r="T1850" t="s">
        <v>44802</v>
      </c>
      <c r="U1850" t="s">
        <v>46719</v>
      </c>
      <c r="W1850" t="s">
        <v>40074</v>
      </c>
      <c r="X1850" t="s">
        <v>43171</v>
      </c>
    </row>
    <row r="1851" spans="1:24">
      <c r="A1851">
        <f>HYPERLINK("https://www.philgeps.gov.ph/GEPSNONPILOT/Tender/SplashBidNoticeAbstractUI.aspx?menuIndex=3&amp;refID=7085117&amp;Result=3","7085117")</f>
        <v>0</v>
      </c>
      <c r="B1851" t="s">
        <v>645</v>
      </c>
      <c r="C1851" t="s">
        <v>5192</v>
      </c>
      <c r="D1851" t="s">
        <v>17464</v>
      </c>
      <c r="E1851" t="s">
        <v>19129</v>
      </c>
      <c r="F1851" t="s">
        <v>30052</v>
      </c>
      <c r="G1851" t="s">
        <v>30058</v>
      </c>
      <c r="H1851" t="s">
        <v>30067</v>
      </c>
      <c r="I1851" t="s">
        <v>3693</v>
      </c>
      <c r="J1851" t="s">
        <v>31507</v>
      </c>
      <c r="K1851" t="s">
        <v>39025</v>
      </c>
      <c r="M1851" t="s">
        <v>39949</v>
      </c>
      <c r="N1851" t="s">
        <v>43166</v>
      </c>
      <c r="O1851" t="s">
        <v>43167</v>
      </c>
      <c r="P1851">
        <v>0</v>
      </c>
      <c r="Q1851">
        <v>66</v>
      </c>
      <c r="R1851" t="s">
        <v>43170</v>
      </c>
      <c r="S1851" t="s">
        <v>43297</v>
      </c>
      <c r="T1851" t="s">
        <v>44722</v>
      </c>
      <c r="U1851" t="s">
        <v>46720</v>
      </c>
      <c r="W1851" t="s">
        <v>39949</v>
      </c>
      <c r="X1851" t="s">
        <v>43171</v>
      </c>
    </row>
    <row r="1852" spans="1:24">
      <c r="A1852">
        <f>HYPERLINK("https://www.philgeps.gov.ph/GEPSNONPILOT/Tender/SplashBidNoticeAbstractUI.aspx?menuIndex=3&amp;refID=7085105&amp;Result=3","7085105")</f>
        <v>0</v>
      </c>
      <c r="B1852" t="s">
        <v>141</v>
      </c>
      <c r="C1852" t="s">
        <v>5193</v>
      </c>
      <c r="E1852" t="s">
        <v>19130</v>
      </c>
      <c r="F1852" t="s">
        <v>30052</v>
      </c>
      <c r="G1852" t="s">
        <v>30058</v>
      </c>
      <c r="H1852" t="s">
        <v>15498</v>
      </c>
      <c r="I1852" t="s">
        <v>9238</v>
      </c>
      <c r="J1852" t="s">
        <v>31508</v>
      </c>
      <c r="K1852" t="s">
        <v>39025</v>
      </c>
      <c r="M1852" t="s">
        <v>40098</v>
      </c>
      <c r="N1852" t="s">
        <v>43166</v>
      </c>
      <c r="O1852" t="s">
        <v>43167</v>
      </c>
      <c r="P1852">
        <v>0</v>
      </c>
      <c r="Q1852">
        <v>21</v>
      </c>
      <c r="R1852" t="s">
        <v>43170</v>
      </c>
      <c r="S1852" t="s">
        <v>43297</v>
      </c>
      <c r="T1852" t="s">
        <v>44740</v>
      </c>
      <c r="U1852" t="s">
        <v>46721</v>
      </c>
      <c r="W1852" t="s">
        <v>40098</v>
      </c>
      <c r="X1852" t="s">
        <v>43171</v>
      </c>
    </row>
    <row r="1853" spans="1:24">
      <c r="A1853">
        <f>HYPERLINK("https://www.philgeps.gov.ph/GEPSNONPILOT/Tender/SplashBidNoticeAbstractUI.aspx?menuIndex=3&amp;refID=7085104&amp;Result=3","7085104")</f>
        <v>0</v>
      </c>
      <c r="B1853" t="s">
        <v>783</v>
      </c>
      <c r="C1853" t="s">
        <v>5194</v>
      </c>
      <c r="D1853" t="s">
        <v>17448</v>
      </c>
      <c r="E1853" t="s">
        <v>19131</v>
      </c>
      <c r="F1853" t="s">
        <v>30052</v>
      </c>
      <c r="G1853" t="s">
        <v>30059</v>
      </c>
      <c r="H1853" t="s">
        <v>15498</v>
      </c>
      <c r="I1853" t="s">
        <v>4598</v>
      </c>
      <c r="J1853" t="s">
        <v>31509</v>
      </c>
      <c r="K1853" t="s">
        <v>39017</v>
      </c>
      <c r="M1853" t="s">
        <v>40099</v>
      </c>
      <c r="N1853" t="s">
        <v>43166</v>
      </c>
      <c r="O1853" t="s">
        <v>43167</v>
      </c>
      <c r="P1853">
        <v>0</v>
      </c>
      <c r="Q1853">
        <v>2</v>
      </c>
      <c r="R1853" t="s">
        <v>43170</v>
      </c>
      <c r="S1853" t="s">
        <v>43297</v>
      </c>
      <c r="T1853" t="s">
        <v>44870</v>
      </c>
      <c r="U1853" t="s">
        <v>46722</v>
      </c>
      <c r="W1853" t="s">
        <v>40099</v>
      </c>
      <c r="X1853" t="s">
        <v>43171</v>
      </c>
    </row>
    <row r="1854" spans="1:24">
      <c r="A1854">
        <f>HYPERLINK("https://www.philgeps.gov.ph/GEPSNONPILOT/Tender/SplashBidNoticeAbstractUI.aspx?menuIndex=3&amp;refID=7085120&amp;Result=3","7085120")</f>
        <v>0</v>
      </c>
      <c r="B1854" t="s">
        <v>776</v>
      </c>
      <c r="C1854" t="s">
        <v>5195</v>
      </c>
      <c r="D1854" t="s">
        <v>17444</v>
      </c>
      <c r="E1854" t="s">
        <v>19132</v>
      </c>
      <c r="F1854" t="s">
        <v>30052</v>
      </c>
      <c r="G1854" t="s">
        <v>30059</v>
      </c>
      <c r="H1854" t="s">
        <v>15498</v>
      </c>
      <c r="I1854" t="s">
        <v>6691</v>
      </c>
      <c r="J1854" t="s">
        <v>31510</v>
      </c>
      <c r="K1854" t="s">
        <v>39034</v>
      </c>
      <c r="M1854" t="s">
        <v>40091</v>
      </c>
      <c r="N1854" t="s">
        <v>43166</v>
      </c>
      <c r="O1854" t="s">
        <v>43167</v>
      </c>
      <c r="P1854">
        <v>0</v>
      </c>
      <c r="Q1854">
        <v>1</v>
      </c>
      <c r="R1854" t="s">
        <v>43170</v>
      </c>
      <c r="S1854" t="s">
        <v>43297</v>
      </c>
      <c r="T1854" t="s">
        <v>44717</v>
      </c>
      <c r="U1854" t="s">
        <v>46723</v>
      </c>
      <c r="V1854" t="s">
        <v>57030</v>
      </c>
      <c r="W1854" t="s">
        <v>40091</v>
      </c>
      <c r="X1854" t="s">
        <v>43171</v>
      </c>
    </row>
    <row r="1855" spans="1:24">
      <c r="A1855">
        <f>HYPERLINK("https://www.philgeps.gov.ph/GEPSNONPILOT/Tender/SplashBidNoticeAbstractUI.aspx?menuIndex=3&amp;refID=7085102&amp;Result=3","7085102")</f>
        <v>0</v>
      </c>
      <c r="B1855" t="s">
        <v>759</v>
      </c>
      <c r="C1855" t="s">
        <v>5196</v>
      </c>
      <c r="D1855" t="s">
        <v>17416</v>
      </c>
      <c r="E1855" t="s">
        <v>19133</v>
      </c>
      <c r="F1855" t="s">
        <v>30052</v>
      </c>
      <c r="G1855" t="s">
        <v>30059</v>
      </c>
      <c r="H1855" t="s">
        <v>15498</v>
      </c>
      <c r="I1855" t="s">
        <v>3736</v>
      </c>
      <c r="J1855" t="s">
        <v>31511</v>
      </c>
      <c r="K1855" t="s">
        <v>39017</v>
      </c>
      <c r="M1855" t="s">
        <v>40073</v>
      </c>
      <c r="N1855" t="s">
        <v>43166</v>
      </c>
      <c r="O1855" t="s">
        <v>43167</v>
      </c>
      <c r="P1855">
        <v>0</v>
      </c>
      <c r="Q1855">
        <v>0</v>
      </c>
      <c r="R1855" t="s">
        <v>43170</v>
      </c>
      <c r="S1855" t="s">
        <v>43297</v>
      </c>
      <c r="T1855" t="s">
        <v>44733</v>
      </c>
      <c r="U1855" t="s">
        <v>46724</v>
      </c>
      <c r="W1855" t="s">
        <v>40073</v>
      </c>
      <c r="X1855" t="s">
        <v>43171</v>
      </c>
    </row>
    <row r="1856" spans="1:24">
      <c r="A1856">
        <f>HYPERLINK("https://www.philgeps.gov.ph/GEPSNONPILOT/Tender/SplashBidNoticeAbstractUI.aspx?menuIndex=3&amp;refID=7085115&amp;Result=3","7085115")</f>
        <v>0</v>
      </c>
      <c r="B1856" t="s">
        <v>201</v>
      </c>
      <c r="C1856" t="s">
        <v>5197</v>
      </c>
      <c r="E1856" t="s">
        <v>19134</v>
      </c>
      <c r="F1856" t="s">
        <v>30052</v>
      </c>
      <c r="G1856" t="s">
        <v>30058</v>
      </c>
      <c r="H1856" t="s">
        <v>15498</v>
      </c>
      <c r="I1856" t="s">
        <v>30076</v>
      </c>
      <c r="J1856" t="s">
        <v>31512</v>
      </c>
      <c r="K1856" t="s">
        <v>39025</v>
      </c>
      <c r="M1856" t="s">
        <v>40003</v>
      </c>
      <c r="N1856" t="s">
        <v>43166</v>
      </c>
      <c r="O1856" t="s">
        <v>43167</v>
      </c>
      <c r="P1856">
        <v>0</v>
      </c>
      <c r="Q1856">
        <v>11</v>
      </c>
      <c r="R1856" t="s">
        <v>43170</v>
      </c>
      <c r="S1856" t="s">
        <v>43297</v>
      </c>
      <c r="T1856" t="s">
        <v>44712</v>
      </c>
      <c r="U1856" t="s">
        <v>46725</v>
      </c>
      <c r="W1856" t="s">
        <v>40003</v>
      </c>
      <c r="X1856" t="s">
        <v>43171</v>
      </c>
    </row>
    <row r="1857" spans="1:24">
      <c r="A1857">
        <f>HYPERLINK("https://www.philgeps.gov.ph/GEPSNONPILOT/Tender/SplashBidNoticeAbstractUI.aspx?menuIndex=3&amp;refID=7085101&amp;Result=3","7085101")</f>
        <v>0</v>
      </c>
      <c r="B1857" t="s">
        <v>645</v>
      </c>
      <c r="C1857" t="s">
        <v>5198</v>
      </c>
      <c r="D1857" t="s">
        <v>17464</v>
      </c>
      <c r="E1857" t="s">
        <v>19135</v>
      </c>
      <c r="F1857" t="s">
        <v>30052</v>
      </c>
      <c r="G1857" t="s">
        <v>30058</v>
      </c>
      <c r="H1857" t="s">
        <v>30067</v>
      </c>
      <c r="I1857" t="s">
        <v>3693</v>
      </c>
      <c r="J1857" t="s">
        <v>31513</v>
      </c>
      <c r="K1857" t="s">
        <v>39025</v>
      </c>
      <c r="M1857" t="s">
        <v>39949</v>
      </c>
      <c r="N1857" t="s">
        <v>43166</v>
      </c>
      <c r="O1857" t="s">
        <v>43167</v>
      </c>
      <c r="P1857">
        <v>0</v>
      </c>
      <c r="Q1857">
        <v>71</v>
      </c>
      <c r="R1857" t="s">
        <v>43170</v>
      </c>
      <c r="S1857" t="s">
        <v>43297</v>
      </c>
      <c r="T1857" t="s">
        <v>44722</v>
      </c>
      <c r="U1857" t="s">
        <v>46726</v>
      </c>
      <c r="W1857" t="s">
        <v>39949</v>
      </c>
      <c r="X1857" t="s">
        <v>43171</v>
      </c>
    </row>
    <row r="1858" spans="1:24">
      <c r="A1858">
        <f>HYPERLINK("https://www.philgeps.gov.ph/GEPSNONPILOT/Tender/SplashBidNoticeAbstractUI.aspx?menuIndex=3&amp;refID=7085110&amp;Result=3","7085110")</f>
        <v>0</v>
      </c>
      <c r="B1858" t="s">
        <v>391</v>
      </c>
      <c r="C1858" t="s">
        <v>5199</v>
      </c>
      <c r="D1858" t="s">
        <v>17428</v>
      </c>
      <c r="E1858" t="s">
        <v>19136</v>
      </c>
      <c r="F1858" t="s">
        <v>30052</v>
      </c>
      <c r="G1858" t="s">
        <v>30059</v>
      </c>
      <c r="H1858" t="s">
        <v>15498</v>
      </c>
      <c r="I1858" t="s">
        <v>30084</v>
      </c>
      <c r="J1858" t="s">
        <v>31163</v>
      </c>
      <c r="K1858" t="s">
        <v>39037</v>
      </c>
      <c r="M1858" t="s">
        <v>40100</v>
      </c>
      <c r="N1858" t="s">
        <v>43166</v>
      </c>
      <c r="O1858" t="s">
        <v>43167</v>
      </c>
      <c r="P1858">
        <v>0</v>
      </c>
      <c r="Q1858">
        <v>1</v>
      </c>
      <c r="R1858" t="s">
        <v>43170</v>
      </c>
      <c r="S1858" t="s">
        <v>43297</v>
      </c>
      <c r="T1858" t="s">
        <v>44859</v>
      </c>
      <c r="U1858" t="s">
        <v>46727</v>
      </c>
      <c r="V1858" t="s">
        <v>57031</v>
      </c>
      <c r="W1858" t="s">
        <v>40100</v>
      </c>
      <c r="X1858" t="s">
        <v>43171</v>
      </c>
    </row>
    <row r="1859" spans="1:24">
      <c r="A1859">
        <f>HYPERLINK("https://www.philgeps.gov.ph/GEPSNONPILOT/Tender/SplashBidNoticeAbstractUI.aspx?menuIndex=3&amp;refID=7085107&amp;Result=3","7085107")</f>
        <v>0</v>
      </c>
      <c r="B1859" t="s">
        <v>620</v>
      </c>
      <c r="C1859" t="s">
        <v>5200</v>
      </c>
      <c r="D1859" t="s">
        <v>17427</v>
      </c>
      <c r="E1859" t="s">
        <v>19137</v>
      </c>
      <c r="F1859" t="s">
        <v>30052</v>
      </c>
      <c r="G1859" t="s">
        <v>30059</v>
      </c>
      <c r="H1859" t="s">
        <v>15498</v>
      </c>
      <c r="I1859" t="s">
        <v>4598</v>
      </c>
      <c r="J1859" t="s">
        <v>30890</v>
      </c>
      <c r="K1859" t="s">
        <v>39025</v>
      </c>
      <c r="M1859" t="s">
        <v>39923</v>
      </c>
      <c r="N1859" t="s">
        <v>43166</v>
      </c>
      <c r="O1859" t="s">
        <v>43167</v>
      </c>
      <c r="P1859">
        <v>0</v>
      </c>
      <c r="Q1859">
        <v>4</v>
      </c>
      <c r="R1859" t="s">
        <v>43170</v>
      </c>
      <c r="S1859" t="s">
        <v>43297</v>
      </c>
      <c r="T1859" t="s">
        <v>44736</v>
      </c>
      <c r="U1859" t="s">
        <v>46728</v>
      </c>
      <c r="W1859" t="s">
        <v>39923</v>
      </c>
      <c r="X1859" t="s">
        <v>43171</v>
      </c>
    </row>
    <row r="1860" spans="1:24">
      <c r="A1860">
        <f>HYPERLINK("https://www.philgeps.gov.ph/GEPSNONPILOT/Tender/SplashBidNoticeAbstractUI.aspx?menuIndex=3&amp;refID=7085103&amp;Result=3","7085103")</f>
        <v>0</v>
      </c>
      <c r="B1860" t="s">
        <v>777</v>
      </c>
      <c r="C1860" t="s">
        <v>5201</v>
      </c>
      <c r="E1860" t="s">
        <v>19138</v>
      </c>
      <c r="F1860" t="s">
        <v>30052</v>
      </c>
      <c r="G1860" t="s">
        <v>30059</v>
      </c>
      <c r="H1860" t="s">
        <v>15498</v>
      </c>
      <c r="I1860" t="s">
        <v>30073</v>
      </c>
      <c r="J1860" t="s">
        <v>31514</v>
      </c>
      <c r="K1860" t="s">
        <v>39025</v>
      </c>
      <c r="M1860" t="s">
        <v>40092</v>
      </c>
      <c r="N1860" t="s">
        <v>43166</v>
      </c>
      <c r="O1860" t="s">
        <v>43167</v>
      </c>
      <c r="P1860">
        <v>0</v>
      </c>
      <c r="Q1860">
        <v>0</v>
      </c>
      <c r="R1860" t="s">
        <v>43170</v>
      </c>
      <c r="S1860" t="s">
        <v>43297</v>
      </c>
      <c r="T1860" t="s">
        <v>44856</v>
      </c>
      <c r="U1860" t="s">
        <v>46729</v>
      </c>
      <c r="W1860" t="s">
        <v>40092</v>
      </c>
      <c r="X1860" t="s">
        <v>43171</v>
      </c>
    </row>
    <row r="1861" spans="1:24">
      <c r="A1861">
        <f>HYPERLINK("https://www.philgeps.gov.ph/GEPSNONPILOT/Tender/SplashBidNoticeAbstractUI.aspx?menuIndex=3&amp;refID=7085071&amp;Result=3","7085071")</f>
        <v>0</v>
      </c>
      <c r="B1861" t="s">
        <v>236</v>
      </c>
      <c r="C1861" t="s">
        <v>5202</v>
      </c>
      <c r="D1861" t="s">
        <v>17427</v>
      </c>
      <c r="E1861" t="s">
        <v>19139</v>
      </c>
      <c r="F1861" t="s">
        <v>30052</v>
      </c>
      <c r="G1861" t="s">
        <v>30059</v>
      </c>
      <c r="H1861" t="s">
        <v>15498</v>
      </c>
      <c r="I1861" t="s">
        <v>30126</v>
      </c>
      <c r="J1861" t="s">
        <v>31515</v>
      </c>
      <c r="K1861" t="s">
        <v>39019</v>
      </c>
      <c r="M1861" t="s">
        <v>39920</v>
      </c>
      <c r="N1861" t="s">
        <v>43166</v>
      </c>
      <c r="O1861" t="s">
        <v>43167</v>
      </c>
      <c r="P1861">
        <v>0</v>
      </c>
      <c r="Q1861">
        <v>2</v>
      </c>
      <c r="R1861" t="s">
        <v>43170</v>
      </c>
      <c r="S1861" t="s">
        <v>43297</v>
      </c>
      <c r="T1861" t="s">
        <v>44773</v>
      </c>
      <c r="U1861" t="s">
        <v>46730</v>
      </c>
      <c r="V1861" t="s">
        <v>45722</v>
      </c>
      <c r="W1861" t="s">
        <v>39920</v>
      </c>
      <c r="X1861" t="s">
        <v>43171</v>
      </c>
    </row>
    <row r="1862" spans="1:24">
      <c r="A1862">
        <f>HYPERLINK("https://www.philgeps.gov.ph/GEPSNONPILOT/Tender/SplashBidNoticeAbstractUI.aspx?menuIndex=3&amp;refID=7085125&amp;Result=3","7085125")</f>
        <v>0</v>
      </c>
      <c r="B1862" t="s">
        <v>719</v>
      </c>
      <c r="C1862" t="s">
        <v>5203</v>
      </c>
      <c r="D1862" t="s">
        <v>17461</v>
      </c>
      <c r="E1862" t="s">
        <v>19140</v>
      </c>
      <c r="F1862" t="s">
        <v>30052</v>
      </c>
      <c r="G1862" t="s">
        <v>30062</v>
      </c>
      <c r="H1862" t="s">
        <v>15498</v>
      </c>
      <c r="I1862" t="s">
        <v>30070</v>
      </c>
      <c r="J1862" t="s">
        <v>31516</v>
      </c>
      <c r="K1862" t="s">
        <v>39037</v>
      </c>
      <c r="M1862" t="s">
        <v>40029</v>
      </c>
      <c r="N1862" t="s">
        <v>43166</v>
      </c>
      <c r="O1862" t="s">
        <v>43167</v>
      </c>
      <c r="P1862">
        <v>0</v>
      </c>
      <c r="Q1862">
        <v>0</v>
      </c>
      <c r="R1862" t="s">
        <v>43170</v>
      </c>
      <c r="S1862" t="s">
        <v>43297</v>
      </c>
      <c r="T1862" t="s">
        <v>44773</v>
      </c>
      <c r="U1862" t="s">
        <v>46731</v>
      </c>
      <c r="W1862" t="s">
        <v>40029</v>
      </c>
      <c r="X1862" t="s">
        <v>43171</v>
      </c>
    </row>
    <row r="1863" spans="1:24">
      <c r="A1863">
        <f>HYPERLINK("https://www.philgeps.gov.ph/GEPSNONPILOT/Tender/SplashBidNoticeAbstractUI.aspx?menuIndex=3&amp;refID=7085144&amp;Result=3","7085144")</f>
        <v>0</v>
      </c>
      <c r="B1863" t="s">
        <v>749</v>
      </c>
      <c r="C1863" t="s">
        <v>5204</v>
      </c>
      <c r="D1863" t="s">
        <v>17444</v>
      </c>
      <c r="E1863" t="s">
        <v>19141</v>
      </c>
      <c r="F1863" t="s">
        <v>30052</v>
      </c>
      <c r="G1863" t="s">
        <v>30059</v>
      </c>
      <c r="H1863" t="s">
        <v>15498</v>
      </c>
      <c r="I1863" t="s">
        <v>3736</v>
      </c>
      <c r="J1863" t="s">
        <v>31486</v>
      </c>
      <c r="K1863" t="s">
        <v>39018</v>
      </c>
      <c r="M1863" t="s">
        <v>40063</v>
      </c>
      <c r="N1863" t="s">
        <v>43166</v>
      </c>
      <c r="O1863" t="s">
        <v>43167</v>
      </c>
      <c r="P1863">
        <v>0</v>
      </c>
      <c r="Q1863">
        <v>0</v>
      </c>
      <c r="R1863" t="s">
        <v>43170</v>
      </c>
      <c r="S1863" t="s">
        <v>43297</v>
      </c>
      <c r="T1863" t="s">
        <v>44717</v>
      </c>
      <c r="U1863" t="s">
        <v>46625</v>
      </c>
      <c r="W1863" t="s">
        <v>40063</v>
      </c>
      <c r="X1863" t="s">
        <v>43171</v>
      </c>
    </row>
    <row r="1864" spans="1:24">
      <c r="A1864">
        <f>HYPERLINK("https://www.philgeps.gov.ph/GEPSNONPILOT/Tender/SplashBidNoticeAbstractUI.aspx?menuIndex=3&amp;refID=7085139&amp;Result=3","7085139")</f>
        <v>0</v>
      </c>
      <c r="B1864" t="s">
        <v>784</v>
      </c>
      <c r="C1864" t="s">
        <v>5205</v>
      </c>
      <c r="E1864" t="s">
        <v>19142</v>
      </c>
      <c r="F1864" t="s">
        <v>30052</v>
      </c>
      <c r="G1864" t="s">
        <v>30059</v>
      </c>
      <c r="H1864" t="s">
        <v>15498</v>
      </c>
      <c r="I1864" t="s">
        <v>30071</v>
      </c>
      <c r="J1864" t="s">
        <v>30331</v>
      </c>
      <c r="K1864" t="s">
        <v>39025</v>
      </c>
      <c r="M1864" t="s">
        <v>40101</v>
      </c>
      <c r="N1864" t="s">
        <v>43166</v>
      </c>
      <c r="O1864" t="s">
        <v>43167</v>
      </c>
      <c r="P1864">
        <v>0</v>
      </c>
      <c r="Q1864">
        <v>0</v>
      </c>
      <c r="R1864" t="s">
        <v>43170</v>
      </c>
      <c r="S1864" t="s">
        <v>43297</v>
      </c>
      <c r="T1864" t="s">
        <v>44717</v>
      </c>
      <c r="U1864" t="s">
        <v>46732</v>
      </c>
      <c r="V1864" t="s">
        <v>57032</v>
      </c>
      <c r="W1864" t="s">
        <v>40101</v>
      </c>
      <c r="X1864" t="s">
        <v>43171</v>
      </c>
    </row>
    <row r="1865" spans="1:24">
      <c r="A1865">
        <f>HYPERLINK("https://www.philgeps.gov.ph/GEPSNONPILOT/Tender/SplashBidNoticeAbstractUI.aspx?menuIndex=3&amp;refID=7085134&amp;Result=3","7085134")</f>
        <v>0</v>
      </c>
      <c r="B1865" t="s">
        <v>777</v>
      </c>
      <c r="C1865" t="s">
        <v>5206</v>
      </c>
      <c r="E1865" t="s">
        <v>19143</v>
      </c>
      <c r="F1865" t="s">
        <v>30052</v>
      </c>
      <c r="G1865" t="s">
        <v>30059</v>
      </c>
      <c r="H1865" t="s">
        <v>15498</v>
      </c>
      <c r="I1865" t="s">
        <v>30073</v>
      </c>
      <c r="J1865" t="s">
        <v>30218</v>
      </c>
      <c r="K1865" t="s">
        <v>39025</v>
      </c>
      <c r="M1865" t="s">
        <v>40092</v>
      </c>
      <c r="N1865" t="s">
        <v>43166</v>
      </c>
      <c r="O1865" t="s">
        <v>43167</v>
      </c>
      <c r="P1865">
        <v>0</v>
      </c>
      <c r="Q1865">
        <v>0</v>
      </c>
      <c r="R1865" t="s">
        <v>43170</v>
      </c>
      <c r="S1865" t="s">
        <v>43297</v>
      </c>
      <c r="T1865" t="s">
        <v>44856</v>
      </c>
      <c r="U1865" t="s">
        <v>46733</v>
      </c>
      <c r="W1865" t="s">
        <v>40092</v>
      </c>
      <c r="X1865" t="s">
        <v>43171</v>
      </c>
    </row>
    <row r="1866" spans="1:24">
      <c r="A1866">
        <f>HYPERLINK("https://www.philgeps.gov.ph/GEPSNONPILOT/Tender/SplashBidNoticeAbstractUI.aspx?menuIndex=3&amp;refID=7085133&amp;Result=3","7085133")</f>
        <v>0</v>
      </c>
      <c r="B1866" t="s">
        <v>759</v>
      </c>
      <c r="C1866" t="s">
        <v>5207</v>
      </c>
      <c r="D1866" t="s">
        <v>17416</v>
      </c>
      <c r="E1866" t="s">
        <v>19144</v>
      </c>
      <c r="F1866" t="s">
        <v>30052</v>
      </c>
      <c r="G1866" t="s">
        <v>30059</v>
      </c>
      <c r="H1866" t="s">
        <v>15498</v>
      </c>
      <c r="I1866" t="s">
        <v>3852</v>
      </c>
      <c r="J1866" t="s">
        <v>30230</v>
      </c>
      <c r="K1866" t="s">
        <v>39017</v>
      </c>
      <c r="M1866" t="s">
        <v>40073</v>
      </c>
      <c r="N1866" t="s">
        <v>43166</v>
      </c>
      <c r="O1866" t="s">
        <v>43167</v>
      </c>
      <c r="P1866">
        <v>0</v>
      </c>
      <c r="Q1866">
        <v>0</v>
      </c>
      <c r="R1866" t="s">
        <v>43170</v>
      </c>
      <c r="S1866" t="s">
        <v>43297</v>
      </c>
      <c r="T1866" t="s">
        <v>44733</v>
      </c>
      <c r="U1866" t="s">
        <v>46734</v>
      </c>
      <c r="W1866" t="s">
        <v>40073</v>
      </c>
      <c r="X1866" t="s">
        <v>43171</v>
      </c>
    </row>
    <row r="1867" spans="1:24">
      <c r="A1867">
        <f>HYPERLINK("https://www.philgeps.gov.ph/GEPSNONPILOT/Tender/SplashBidNoticeAbstractUI.aspx?menuIndex=3&amp;refID=7085132&amp;Result=3","7085132")</f>
        <v>0</v>
      </c>
      <c r="B1867" t="s">
        <v>785</v>
      </c>
      <c r="C1867" t="s">
        <v>5208</v>
      </c>
      <c r="D1867" t="s">
        <v>17415</v>
      </c>
      <c r="E1867" t="s">
        <v>19145</v>
      </c>
      <c r="F1867" t="s">
        <v>30052</v>
      </c>
      <c r="G1867" t="s">
        <v>30059</v>
      </c>
      <c r="H1867" t="s">
        <v>15498</v>
      </c>
      <c r="I1867" t="s">
        <v>9238</v>
      </c>
      <c r="J1867" t="s">
        <v>31517</v>
      </c>
      <c r="K1867" t="s">
        <v>39017</v>
      </c>
      <c r="M1867" t="s">
        <v>40102</v>
      </c>
      <c r="N1867" t="s">
        <v>43166</v>
      </c>
      <c r="O1867" t="s">
        <v>43167</v>
      </c>
      <c r="P1867">
        <v>0</v>
      </c>
      <c r="Q1867">
        <v>2</v>
      </c>
      <c r="R1867" t="s">
        <v>43170</v>
      </c>
      <c r="S1867" t="s">
        <v>43297</v>
      </c>
      <c r="T1867" t="s">
        <v>44717</v>
      </c>
      <c r="U1867" t="s">
        <v>46735</v>
      </c>
      <c r="V1867" t="s">
        <v>57033</v>
      </c>
      <c r="W1867" t="s">
        <v>40102</v>
      </c>
      <c r="X1867" t="s">
        <v>43171</v>
      </c>
    </row>
    <row r="1868" spans="1:24">
      <c r="A1868">
        <f>HYPERLINK("https://www.philgeps.gov.ph/GEPSNONPILOT/Tender/SplashBidNoticeAbstractUI.aspx?menuIndex=3&amp;refID=7085131&amp;Result=3","7085131")</f>
        <v>0</v>
      </c>
      <c r="B1868" t="s">
        <v>188</v>
      </c>
      <c r="C1868" t="s">
        <v>5209</v>
      </c>
      <c r="D1868" t="s">
        <v>17422</v>
      </c>
      <c r="E1868" t="s">
        <v>19146</v>
      </c>
      <c r="F1868" t="s">
        <v>30052</v>
      </c>
      <c r="G1868" t="s">
        <v>30059</v>
      </c>
      <c r="H1868" t="s">
        <v>15498</v>
      </c>
      <c r="I1868" t="s">
        <v>3736</v>
      </c>
      <c r="J1868" t="s">
        <v>31518</v>
      </c>
      <c r="K1868" t="s">
        <v>39019</v>
      </c>
      <c r="M1868" t="s">
        <v>39477</v>
      </c>
      <c r="N1868" t="s">
        <v>43166</v>
      </c>
      <c r="O1868" t="s">
        <v>43167</v>
      </c>
      <c r="P1868">
        <v>0</v>
      </c>
      <c r="Q1868">
        <v>1</v>
      </c>
      <c r="R1868" t="s">
        <v>43170</v>
      </c>
      <c r="S1868" t="s">
        <v>43297</v>
      </c>
      <c r="T1868" t="s">
        <v>44717</v>
      </c>
      <c r="U1868" t="s">
        <v>45497</v>
      </c>
      <c r="V1868" t="s">
        <v>56869</v>
      </c>
      <c r="W1868" t="s">
        <v>39477</v>
      </c>
      <c r="X1868" t="s">
        <v>43171</v>
      </c>
    </row>
    <row r="1869" spans="1:24">
      <c r="A1869">
        <f>HYPERLINK("https://www.philgeps.gov.ph/GEPSNONPILOT/Tender/SplashBidNoticeAbstractUI.aspx?menuIndex=3&amp;refID=7085127&amp;Result=3","7085127")</f>
        <v>0</v>
      </c>
      <c r="B1869" t="s">
        <v>786</v>
      </c>
      <c r="C1869" t="s">
        <v>5210</v>
      </c>
      <c r="D1869" t="s">
        <v>17437</v>
      </c>
      <c r="E1869" t="s">
        <v>19147</v>
      </c>
      <c r="F1869" t="s">
        <v>30052</v>
      </c>
      <c r="G1869" t="s">
        <v>30058</v>
      </c>
      <c r="H1869" t="s">
        <v>15498</v>
      </c>
      <c r="I1869" t="s">
        <v>30074</v>
      </c>
      <c r="J1869" t="s">
        <v>31519</v>
      </c>
      <c r="K1869" t="s">
        <v>39023</v>
      </c>
      <c r="M1869" t="s">
        <v>40103</v>
      </c>
      <c r="N1869" t="s">
        <v>43166</v>
      </c>
      <c r="O1869" t="s">
        <v>43167</v>
      </c>
      <c r="P1869">
        <v>0</v>
      </c>
      <c r="Q1869">
        <v>0</v>
      </c>
      <c r="R1869" t="s">
        <v>43170</v>
      </c>
      <c r="S1869" t="s">
        <v>43297</v>
      </c>
      <c r="T1869" t="s">
        <v>44721</v>
      </c>
      <c r="U1869" t="s">
        <v>46736</v>
      </c>
      <c r="W1869" t="s">
        <v>40103</v>
      </c>
      <c r="X1869" t="s">
        <v>43171</v>
      </c>
    </row>
    <row r="1870" spans="1:24">
      <c r="A1870">
        <f>HYPERLINK("https://www.philgeps.gov.ph/GEPSNONPILOT/Tender/SplashBidNoticeAbstractUI.aspx?menuIndex=3&amp;refID=7085123&amp;Result=3","7085123")</f>
        <v>0</v>
      </c>
      <c r="B1870" t="s">
        <v>777</v>
      </c>
      <c r="C1870" t="s">
        <v>5211</v>
      </c>
      <c r="E1870" t="s">
        <v>19148</v>
      </c>
      <c r="F1870" t="s">
        <v>30052</v>
      </c>
      <c r="G1870" t="s">
        <v>30059</v>
      </c>
      <c r="H1870" t="s">
        <v>15498</v>
      </c>
      <c r="I1870" t="s">
        <v>30081</v>
      </c>
      <c r="J1870" t="s">
        <v>30587</v>
      </c>
      <c r="K1870" t="s">
        <v>39025</v>
      </c>
      <c r="M1870" t="s">
        <v>40092</v>
      </c>
      <c r="N1870" t="s">
        <v>43166</v>
      </c>
      <c r="O1870" t="s">
        <v>43167</v>
      </c>
      <c r="P1870">
        <v>0</v>
      </c>
      <c r="Q1870">
        <v>0</v>
      </c>
      <c r="R1870" t="s">
        <v>43170</v>
      </c>
      <c r="S1870" t="s">
        <v>43297</v>
      </c>
      <c r="T1870" t="s">
        <v>44856</v>
      </c>
      <c r="U1870" t="s">
        <v>46737</v>
      </c>
      <c r="W1870" t="s">
        <v>40092</v>
      </c>
      <c r="X1870" t="s">
        <v>43171</v>
      </c>
    </row>
    <row r="1871" spans="1:24">
      <c r="A1871">
        <f>HYPERLINK("https://www.philgeps.gov.ph/GEPSNONPILOT/Tender/SplashBidNoticeAbstractUI.aspx?menuIndex=3&amp;refID=7085157&amp;Result=3","7085157")</f>
        <v>0</v>
      </c>
      <c r="B1871" t="s">
        <v>645</v>
      </c>
      <c r="C1871" t="s">
        <v>5212</v>
      </c>
      <c r="D1871" t="s">
        <v>17464</v>
      </c>
      <c r="E1871" t="s">
        <v>19149</v>
      </c>
      <c r="F1871" t="s">
        <v>30052</v>
      </c>
      <c r="G1871" t="s">
        <v>30058</v>
      </c>
      <c r="H1871" t="s">
        <v>30067</v>
      </c>
      <c r="I1871" t="s">
        <v>3693</v>
      </c>
      <c r="J1871" t="s">
        <v>31520</v>
      </c>
      <c r="K1871" t="s">
        <v>39025</v>
      </c>
      <c r="M1871" t="s">
        <v>39949</v>
      </c>
      <c r="N1871" t="s">
        <v>43166</v>
      </c>
      <c r="O1871" t="s">
        <v>43167</v>
      </c>
      <c r="P1871">
        <v>0</v>
      </c>
      <c r="Q1871">
        <v>68</v>
      </c>
      <c r="R1871" t="s">
        <v>43170</v>
      </c>
      <c r="S1871" t="s">
        <v>43297</v>
      </c>
      <c r="T1871" t="s">
        <v>44722</v>
      </c>
      <c r="U1871" t="s">
        <v>46738</v>
      </c>
      <c r="W1871" t="s">
        <v>39949</v>
      </c>
      <c r="X1871" t="s">
        <v>43171</v>
      </c>
    </row>
    <row r="1872" spans="1:24">
      <c r="A1872">
        <f>HYPERLINK("https://www.philgeps.gov.ph/GEPSNONPILOT/Tender/SplashBidNoticeAbstractUI.aspx?menuIndex=3&amp;refID=7085154&amp;Result=3","7085154")</f>
        <v>0</v>
      </c>
      <c r="B1872" t="s">
        <v>787</v>
      </c>
      <c r="C1872" t="s">
        <v>5213</v>
      </c>
      <c r="D1872" t="s">
        <v>17476</v>
      </c>
      <c r="E1872" t="s">
        <v>19150</v>
      </c>
      <c r="F1872" t="s">
        <v>30052</v>
      </c>
      <c r="G1872" t="s">
        <v>30061</v>
      </c>
      <c r="H1872" t="s">
        <v>15498</v>
      </c>
      <c r="I1872" t="s">
        <v>30070</v>
      </c>
      <c r="J1872" t="s">
        <v>31521</v>
      </c>
      <c r="K1872" t="s">
        <v>39018</v>
      </c>
      <c r="M1872" t="s">
        <v>40104</v>
      </c>
      <c r="N1872" t="s">
        <v>43166</v>
      </c>
      <c r="O1872" t="s">
        <v>43167</v>
      </c>
      <c r="P1872">
        <v>0</v>
      </c>
      <c r="Q1872">
        <v>1</v>
      </c>
      <c r="R1872" t="s">
        <v>43170</v>
      </c>
      <c r="S1872" t="s">
        <v>43297</v>
      </c>
      <c r="T1872" t="s">
        <v>44843</v>
      </c>
      <c r="U1872" t="s">
        <v>46739</v>
      </c>
      <c r="W1872" t="s">
        <v>40104</v>
      </c>
      <c r="X1872" t="s">
        <v>43171</v>
      </c>
    </row>
    <row r="1873" spans="1:24">
      <c r="A1873">
        <f>HYPERLINK("https://www.philgeps.gov.ph/GEPSNONPILOT/Tender/SplashBidNoticeAbstractUI.aspx?menuIndex=3&amp;refID=7085130&amp;Result=3","7085130")</f>
        <v>0</v>
      </c>
      <c r="B1873" t="s">
        <v>645</v>
      </c>
      <c r="C1873" t="s">
        <v>5214</v>
      </c>
      <c r="D1873" t="s">
        <v>17464</v>
      </c>
      <c r="E1873" t="s">
        <v>19151</v>
      </c>
      <c r="F1873" t="s">
        <v>30052</v>
      </c>
      <c r="G1873" t="s">
        <v>30058</v>
      </c>
      <c r="H1873" t="s">
        <v>30067</v>
      </c>
      <c r="I1873" t="s">
        <v>3693</v>
      </c>
      <c r="J1873" t="s">
        <v>31522</v>
      </c>
      <c r="K1873" t="s">
        <v>39025</v>
      </c>
      <c r="M1873" t="s">
        <v>39949</v>
      </c>
      <c r="N1873" t="s">
        <v>43166</v>
      </c>
      <c r="O1873" t="s">
        <v>43167</v>
      </c>
      <c r="P1873">
        <v>0</v>
      </c>
      <c r="Q1873">
        <v>72</v>
      </c>
      <c r="R1873" t="s">
        <v>43170</v>
      </c>
      <c r="S1873" t="s">
        <v>43297</v>
      </c>
      <c r="T1873" t="s">
        <v>44722</v>
      </c>
      <c r="U1873" t="s">
        <v>46740</v>
      </c>
      <c r="W1873" t="s">
        <v>39949</v>
      </c>
      <c r="X1873" t="s">
        <v>43171</v>
      </c>
    </row>
    <row r="1874" spans="1:24">
      <c r="A1874">
        <f>HYPERLINK("https://www.philgeps.gov.ph/GEPSNONPILOT/Tender/SplashBidNoticeAbstractUI.aspx?menuIndex=3&amp;refID=7085141&amp;Result=3","7085141")</f>
        <v>0</v>
      </c>
      <c r="B1874" t="s">
        <v>759</v>
      </c>
      <c r="C1874" t="s">
        <v>5215</v>
      </c>
      <c r="D1874" t="s">
        <v>17416</v>
      </c>
      <c r="E1874" t="s">
        <v>19152</v>
      </c>
      <c r="F1874" t="s">
        <v>30052</v>
      </c>
      <c r="G1874" t="s">
        <v>30059</v>
      </c>
      <c r="H1874" t="s">
        <v>15498</v>
      </c>
      <c r="I1874" t="s">
        <v>3736</v>
      </c>
      <c r="J1874" t="s">
        <v>31523</v>
      </c>
      <c r="K1874" t="s">
        <v>39017</v>
      </c>
      <c r="M1874" t="s">
        <v>40073</v>
      </c>
      <c r="N1874" t="s">
        <v>43166</v>
      </c>
      <c r="O1874" t="s">
        <v>43167</v>
      </c>
      <c r="P1874">
        <v>0</v>
      </c>
      <c r="Q1874">
        <v>0</v>
      </c>
      <c r="R1874" t="s">
        <v>43170</v>
      </c>
      <c r="S1874" t="s">
        <v>43297</v>
      </c>
      <c r="T1874" t="s">
        <v>44733</v>
      </c>
      <c r="U1874" t="s">
        <v>46741</v>
      </c>
      <c r="W1874" t="s">
        <v>40073</v>
      </c>
      <c r="X1874" t="s">
        <v>43171</v>
      </c>
    </row>
    <row r="1875" spans="1:24">
      <c r="A1875">
        <f>HYPERLINK("https://www.philgeps.gov.ph/GEPSNONPILOT/Tender/SplashBidNoticeAbstractUI.aspx?menuIndex=3&amp;refID=7085151&amp;Result=3","7085151")</f>
        <v>0</v>
      </c>
      <c r="B1875" t="s">
        <v>777</v>
      </c>
      <c r="C1875" t="s">
        <v>5216</v>
      </c>
      <c r="E1875" t="s">
        <v>19153</v>
      </c>
      <c r="F1875" t="s">
        <v>30052</v>
      </c>
      <c r="G1875" t="s">
        <v>30059</v>
      </c>
      <c r="H1875" t="s">
        <v>15498</v>
      </c>
      <c r="I1875" t="s">
        <v>5961</v>
      </c>
      <c r="J1875" t="s">
        <v>31524</v>
      </c>
      <c r="K1875" t="s">
        <v>39025</v>
      </c>
      <c r="M1875" t="s">
        <v>40092</v>
      </c>
      <c r="N1875" t="s">
        <v>43166</v>
      </c>
      <c r="O1875" t="s">
        <v>43167</v>
      </c>
      <c r="P1875">
        <v>0</v>
      </c>
      <c r="Q1875">
        <v>1</v>
      </c>
      <c r="R1875" t="s">
        <v>43170</v>
      </c>
      <c r="S1875" t="s">
        <v>43297</v>
      </c>
      <c r="T1875" t="s">
        <v>44856</v>
      </c>
      <c r="U1875" t="s">
        <v>46742</v>
      </c>
      <c r="W1875" t="s">
        <v>40092</v>
      </c>
      <c r="X1875" t="s">
        <v>43171</v>
      </c>
    </row>
    <row r="1876" spans="1:24">
      <c r="A1876">
        <f>HYPERLINK("https://www.philgeps.gov.ph/GEPSNONPILOT/Tender/SplashBidNoticeAbstractUI.aspx?menuIndex=3&amp;refID=7085159&amp;Result=3","7085159")</f>
        <v>0</v>
      </c>
      <c r="B1876" t="s">
        <v>788</v>
      </c>
      <c r="C1876" t="s">
        <v>5217</v>
      </c>
      <c r="D1876" t="s">
        <v>17435</v>
      </c>
      <c r="E1876" t="s">
        <v>17838</v>
      </c>
      <c r="F1876" t="s">
        <v>30054</v>
      </c>
      <c r="G1876" t="s">
        <v>30058</v>
      </c>
      <c r="H1876" t="s">
        <v>30067</v>
      </c>
      <c r="I1876" t="s">
        <v>3693</v>
      </c>
      <c r="J1876" t="s">
        <v>30207</v>
      </c>
      <c r="K1876" t="s">
        <v>39029</v>
      </c>
      <c r="M1876" t="s">
        <v>40105</v>
      </c>
      <c r="N1876" t="s">
        <v>43166</v>
      </c>
      <c r="O1876" t="s">
        <v>43167</v>
      </c>
      <c r="P1876">
        <v>0</v>
      </c>
      <c r="Q1876">
        <v>0</v>
      </c>
      <c r="R1876" t="s">
        <v>43170</v>
      </c>
      <c r="S1876" t="s">
        <v>43297</v>
      </c>
      <c r="T1876" t="s">
        <v>44873</v>
      </c>
      <c r="U1876" t="s">
        <v>46743</v>
      </c>
      <c r="W1876" t="s">
        <v>40105</v>
      </c>
      <c r="X1876" t="s">
        <v>43171</v>
      </c>
    </row>
    <row r="1877" spans="1:24">
      <c r="A1877">
        <f>HYPERLINK("https://www.philgeps.gov.ph/GEPSNONPILOT/Tender/SplashBidNoticeAbstractUI.aspx?menuIndex=3&amp;refID=7085158&amp;Result=3","7085158")</f>
        <v>0</v>
      </c>
      <c r="B1877" t="s">
        <v>789</v>
      </c>
      <c r="C1877" t="s">
        <v>5218</v>
      </c>
      <c r="D1877" t="s">
        <v>17413</v>
      </c>
      <c r="E1877" t="s">
        <v>19154</v>
      </c>
      <c r="F1877" t="s">
        <v>30052</v>
      </c>
      <c r="G1877" t="s">
        <v>30058</v>
      </c>
      <c r="H1877" t="s">
        <v>30067</v>
      </c>
      <c r="I1877" t="s">
        <v>3693</v>
      </c>
      <c r="J1877" t="s">
        <v>31525</v>
      </c>
      <c r="K1877" t="s">
        <v>39023</v>
      </c>
      <c r="M1877" t="s">
        <v>40106</v>
      </c>
      <c r="N1877" t="s">
        <v>43166</v>
      </c>
      <c r="O1877" t="s">
        <v>43167</v>
      </c>
      <c r="P1877">
        <v>0</v>
      </c>
      <c r="Q1877">
        <v>0</v>
      </c>
      <c r="R1877" t="s">
        <v>43170</v>
      </c>
      <c r="S1877" t="s">
        <v>43297</v>
      </c>
      <c r="T1877" t="s">
        <v>44679</v>
      </c>
      <c r="U1877" t="s">
        <v>46744</v>
      </c>
      <c r="W1877" t="s">
        <v>40106</v>
      </c>
      <c r="X1877" t="s">
        <v>43171</v>
      </c>
    </row>
    <row r="1878" spans="1:24">
      <c r="A1878">
        <f>HYPERLINK("https://www.philgeps.gov.ph/GEPSNONPILOT/Tender/SplashBidNoticeAbstractUI.aspx?menuIndex=3&amp;refID=7085184&amp;Result=3","7085184")</f>
        <v>0</v>
      </c>
      <c r="B1878" t="s">
        <v>529</v>
      </c>
      <c r="C1878" t="s">
        <v>4615</v>
      </c>
      <c r="D1878" t="s">
        <v>17474</v>
      </c>
      <c r="E1878" t="s">
        <v>19155</v>
      </c>
      <c r="F1878" t="s">
        <v>30052</v>
      </c>
      <c r="G1878" t="s">
        <v>30058</v>
      </c>
      <c r="H1878" t="s">
        <v>15498</v>
      </c>
      <c r="I1878" t="s">
        <v>30094</v>
      </c>
      <c r="J1878" t="s">
        <v>31526</v>
      </c>
      <c r="K1878" t="s">
        <v>39034</v>
      </c>
      <c r="M1878" t="s">
        <v>39831</v>
      </c>
      <c r="N1878" t="s">
        <v>43166</v>
      </c>
      <c r="O1878" t="s">
        <v>43167</v>
      </c>
      <c r="P1878">
        <v>0</v>
      </c>
      <c r="Q1878">
        <v>0</v>
      </c>
      <c r="R1878" t="s">
        <v>43170</v>
      </c>
      <c r="S1878" t="s">
        <v>43297</v>
      </c>
      <c r="T1878" t="s">
        <v>44704</v>
      </c>
      <c r="U1878" t="s">
        <v>46745</v>
      </c>
      <c r="V1878" t="s">
        <v>57034</v>
      </c>
      <c r="W1878" t="s">
        <v>39831</v>
      </c>
      <c r="X1878" t="s">
        <v>43171</v>
      </c>
    </row>
    <row r="1879" spans="1:24">
      <c r="A1879">
        <f>HYPERLINK("https://www.philgeps.gov.ph/GEPSNONPILOT/Tender/SplashBidNoticeAbstractUI.aspx?menuIndex=3&amp;refID=7085182&amp;Result=3","7085182")</f>
        <v>0</v>
      </c>
      <c r="B1879" t="s">
        <v>765</v>
      </c>
      <c r="C1879" t="s">
        <v>5219</v>
      </c>
      <c r="D1879" t="s">
        <v>17468</v>
      </c>
      <c r="E1879" t="s">
        <v>19156</v>
      </c>
      <c r="F1879" t="s">
        <v>30052</v>
      </c>
      <c r="G1879" t="s">
        <v>30058</v>
      </c>
      <c r="H1879" t="s">
        <v>15498</v>
      </c>
      <c r="I1879" t="s">
        <v>30094</v>
      </c>
      <c r="J1879" t="s">
        <v>31527</v>
      </c>
      <c r="K1879" t="s">
        <v>39019</v>
      </c>
      <c r="M1879" t="s">
        <v>40079</v>
      </c>
      <c r="N1879" t="s">
        <v>43166</v>
      </c>
      <c r="O1879" t="s">
        <v>43167</v>
      </c>
      <c r="P1879">
        <v>0</v>
      </c>
      <c r="Q1879">
        <v>2</v>
      </c>
      <c r="R1879" t="s">
        <v>43170</v>
      </c>
      <c r="S1879" t="s">
        <v>43297</v>
      </c>
      <c r="T1879" t="s">
        <v>44891</v>
      </c>
      <c r="U1879" t="s">
        <v>46746</v>
      </c>
      <c r="W1879" t="s">
        <v>40079</v>
      </c>
      <c r="X1879" t="s">
        <v>43171</v>
      </c>
    </row>
    <row r="1880" spans="1:24">
      <c r="A1880">
        <f>HYPERLINK("https://www.philgeps.gov.ph/GEPSNONPILOT/Tender/SplashBidNoticeAbstractUI.aspx?menuIndex=3&amp;refID=7085181&amp;Result=3","7085181")</f>
        <v>0</v>
      </c>
      <c r="B1880" t="s">
        <v>790</v>
      </c>
      <c r="C1880" t="s">
        <v>5220</v>
      </c>
      <c r="D1880" t="s">
        <v>17421</v>
      </c>
      <c r="E1880" t="s">
        <v>19157</v>
      </c>
      <c r="F1880" t="s">
        <v>30052</v>
      </c>
      <c r="G1880" t="s">
        <v>30058</v>
      </c>
      <c r="H1880" t="s">
        <v>15498</v>
      </c>
      <c r="I1880" t="s">
        <v>3736</v>
      </c>
      <c r="J1880" t="s">
        <v>31528</v>
      </c>
      <c r="K1880" t="s">
        <v>39034</v>
      </c>
      <c r="L1880" t="s">
        <v>790</v>
      </c>
      <c r="M1880" t="s">
        <v>40107</v>
      </c>
      <c r="N1880" t="s">
        <v>43166</v>
      </c>
      <c r="O1880" t="s">
        <v>43167</v>
      </c>
      <c r="P1880">
        <v>0</v>
      </c>
      <c r="Q1880">
        <v>0</v>
      </c>
      <c r="R1880" t="s">
        <v>43170</v>
      </c>
      <c r="S1880" t="s">
        <v>43297</v>
      </c>
      <c r="T1880" t="s">
        <v>44713</v>
      </c>
      <c r="U1880" t="s">
        <v>46747</v>
      </c>
      <c r="V1880" t="s">
        <v>57035</v>
      </c>
      <c r="W1880" t="s">
        <v>40107</v>
      </c>
      <c r="X1880" t="s">
        <v>43171</v>
      </c>
    </row>
    <row r="1881" spans="1:24">
      <c r="A1881">
        <f>HYPERLINK("https://www.philgeps.gov.ph/GEPSNONPILOT/Tender/SplashBidNoticeAbstractUI.aspx?menuIndex=3&amp;refID=7085178&amp;Result=3","7085178")</f>
        <v>0</v>
      </c>
      <c r="B1881" t="s">
        <v>791</v>
      </c>
      <c r="C1881" t="s">
        <v>5221</v>
      </c>
      <c r="D1881" t="s">
        <v>17456</v>
      </c>
      <c r="E1881" t="s">
        <v>19158</v>
      </c>
      <c r="F1881" t="s">
        <v>30052</v>
      </c>
      <c r="G1881" t="s">
        <v>30059</v>
      </c>
      <c r="H1881" t="s">
        <v>15498</v>
      </c>
      <c r="I1881" t="s">
        <v>4650</v>
      </c>
      <c r="J1881" t="s">
        <v>30292</v>
      </c>
      <c r="K1881" t="s">
        <v>39017</v>
      </c>
      <c r="M1881" t="s">
        <v>40108</v>
      </c>
      <c r="N1881" t="s">
        <v>43166</v>
      </c>
      <c r="O1881" t="s">
        <v>43167</v>
      </c>
      <c r="P1881">
        <v>0</v>
      </c>
      <c r="Q1881">
        <v>6</v>
      </c>
      <c r="R1881" t="s">
        <v>43170</v>
      </c>
      <c r="S1881" t="s">
        <v>43297</v>
      </c>
      <c r="T1881" t="s">
        <v>44843</v>
      </c>
      <c r="U1881" t="s">
        <v>46748</v>
      </c>
      <c r="W1881" t="s">
        <v>40108</v>
      </c>
      <c r="X1881" t="s">
        <v>43171</v>
      </c>
    </row>
    <row r="1882" spans="1:24">
      <c r="A1882">
        <f>HYPERLINK("https://www.philgeps.gov.ph/GEPSNONPILOT/Tender/SplashBidNoticeAbstractUI.aspx?menuIndex=3&amp;refID=7085147&amp;Result=3","7085147")</f>
        <v>0</v>
      </c>
      <c r="B1882" t="s">
        <v>645</v>
      </c>
      <c r="C1882" t="s">
        <v>5222</v>
      </c>
      <c r="D1882" t="s">
        <v>17464</v>
      </c>
      <c r="E1882" t="s">
        <v>19159</v>
      </c>
      <c r="F1882" t="s">
        <v>30052</v>
      </c>
      <c r="G1882" t="s">
        <v>30058</v>
      </c>
      <c r="H1882" t="s">
        <v>30067</v>
      </c>
      <c r="I1882" t="s">
        <v>3693</v>
      </c>
      <c r="J1882" t="s">
        <v>31529</v>
      </c>
      <c r="K1882" t="s">
        <v>39025</v>
      </c>
      <c r="M1882" t="s">
        <v>39949</v>
      </c>
      <c r="N1882" t="s">
        <v>43166</v>
      </c>
      <c r="O1882" t="s">
        <v>43167</v>
      </c>
      <c r="P1882">
        <v>0</v>
      </c>
      <c r="Q1882">
        <v>71</v>
      </c>
      <c r="R1882" t="s">
        <v>43170</v>
      </c>
      <c r="S1882" t="s">
        <v>43297</v>
      </c>
      <c r="T1882" t="s">
        <v>44722</v>
      </c>
      <c r="U1882" t="s">
        <v>46749</v>
      </c>
      <c r="W1882" t="s">
        <v>39949</v>
      </c>
      <c r="X1882" t="s">
        <v>43171</v>
      </c>
    </row>
    <row r="1883" spans="1:24">
      <c r="A1883">
        <f>HYPERLINK("https://www.philgeps.gov.ph/GEPSNONPILOT/Tender/SplashBidNoticeAbstractUI.aspx?menuIndex=3&amp;refID=7085195&amp;Result=3","7085195")</f>
        <v>0</v>
      </c>
      <c r="B1883" t="s">
        <v>792</v>
      </c>
      <c r="C1883" t="s">
        <v>5223</v>
      </c>
      <c r="E1883" t="s">
        <v>19160</v>
      </c>
      <c r="F1883" t="s">
        <v>30052</v>
      </c>
      <c r="G1883" t="s">
        <v>30059</v>
      </c>
      <c r="H1883" t="s">
        <v>15498</v>
      </c>
      <c r="I1883" t="s">
        <v>30076</v>
      </c>
      <c r="J1883" t="s">
        <v>31530</v>
      </c>
      <c r="K1883" t="s">
        <v>39025</v>
      </c>
      <c r="M1883" t="s">
        <v>40109</v>
      </c>
      <c r="N1883" t="s">
        <v>43166</v>
      </c>
      <c r="O1883" t="s">
        <v>43167</v>
      </c>
      <c r="P1883">
        <v>0</v>
      </c>
      <c r="Q1883">
        <v>3</v>
      </c>
      <c r="R1883" t="s">
        <v>43170</v>
      </c>
      <c r="S1883" t="s">
        <v>43297</v>
      </c>
      <c r="T1883" t="s">
        <v>44735</v>
      </c>
      <c r="U1883" t="s">
        <v>46750</v>
      </c>
      <c r="V1883" t="s">
        <v>57036</v>
      </c>
      <c r="W1883" t="s">
        <v>40109</v>
      </c>
      <c r="X1883" t="s">
        <v>43171</v>
      </c>
    </row>
    <row r="1884" spans="1:24">
      <c r="A1884">
        <f>HYPERLINK("https://www.philgeps.gov.ph/GEPSNONPILOT/Tender/SplashBidNoticeAbstractUI.aspx?menuIndex=3&amp;refID=7085192&amp;Result=3","7085192")</f>
        <v>0</v>
      </c>
      <c r="B1884" t="s">
        <v>793</v>
      </c>
      <c r="C1884" t="s">
        <v>5224</v>
      </c>
      <c r="D1884" t="s">
        <v>17444</v>
      </c>
      <c r="E1884" t="s">
        <v>19161</v>
      </c>
      <c r="F1884" t="s">
        <v>30052</v>
      </c>
      <c r="G1884" t="s">
        <v>30059</v>
      </c>
      <c r="H1884" t="s">
        <v>15498</v>
      </c>
      <c r="I1884" t="s">
        <v>30084</v>
      </c>
      <c r="J1884" t="s">
        <v>31049</v>
      </c>
      <c r="K1884" t="s">
        <v>39017</v>
      </c>
      <c r="M1884" t="s">
        <v>40110</v>
      </c>
      <c r="N1884" t="s">
        <v>43166</v>
      </c>
      <c r="O1884" t="s">
        <v>43167</v>
      </c>
      <c r="P1884">
        <v>0</v>
      </c>
      <c r="Q1884">
        <v>0</v>
      </c>
      <c r="R1884" t="s">
        <v>43170</v>
      </c>
      <c r="S1884" t="s">
        <v>43297</v>
      </c>
      <c r="T1884" t="s">
        <v>44735</v>
      </c>
      <c r="U1884" t="s">
        <v>46751</v>
      </c>
      <c r="W1884" t="s">
        <v>40110</v>
      </c>
      <c r="X1884" t="s">
        <v>43171</v>
      </c>
    </row>
    <row r="1885" spans="1:24">
      <c r="A1885">
        <f>HYPERLINK("https://www.philgeps.gov.ph/GEPSNONPILOT/Tender/SplashBidNoticeAbstractUI.aspx?menuIndex=3&amp;refID=7085179&amp;Result=3","7085179")</f>
        <v>0</v>
      </c>
      <c r="B1885" t="s">
        <v>196</v>
      </c>
      <c r="C1885" t="s">
        <v>5225</v>
      </c>
      <c r="D1885" t="s">
        <v>17476</v>
      </c>
      <c r="E1885" t="s">
        <v>19162</v>
      </c>
      <c r="F1885" t="s">
        <v>30052</v>
      </c>
      <c r="G1885" t="s">
        <v>30059</v>
      </c>
      <c r="H1885" t="s">
        <v>15498</v>
      </c>
      <c r="I1885" t="s">
        <v>30088</v>
      </c>
      <c r="J1885" t="s">
        <v>31293</v>
      </c>
      <c r="K1885" t="s">
        <v>39017</v>
      </c>
      <c r="M1885" t="s">
        <v>39486</v>
      </c>
      <c r="N1885" t="s">
        <v>43166</v>
      </c>
      <c r="O1885" t="s">
        <v>43167</v>
      </c>
      <c r="P1885">
        <v>0</v>
      </c>
      <c r="Q1885">
        <v>2</v>
      </c>
      <c r="R1885" t="s">
        <v>43170</v>
      </c>
      <c r="S1885" t="s">
        <v>43297</v>
      </c>
      <c r="T1885" t="s">
        <v>44856</v>
      </c>
      <c r="U1885" t="s">
        <v>46752</v>
      </c>
      <c r="W1885" t="s">
        <v>39486</v>
      </c>
      <c r="X1885" t="s">
        <v>43171</v>
      </c>
    </row>
    <row r="1886" spans="1:24">
      <c r="A1886">
        <f>HYPERLINK("https://www.philgeps.gov.ph/GEPSNONPILOT/Tender/SplashBidNoticeAbstractUI.aspx?menuIndex=3&amp;refID=7085152&amp;Result=3","7085152")</f>
        <v>0</v>
      </c>
      <c r="B1886" t="s">
        <v>794</v>
      </c>
      <c r="C1886" t="s">
        <v>5226</v>
      </c>
      <c r="D1886" t="s">
        <v>17494</v>
      </c>
      <c r="E1886" t="s">
        <v>19163</v>
      </c>
      <c r="F1886" t="s">
        <v>30052</v>
      </c>
      <c r="G1886" t="s">
        <v>30058</v>
      </c>
      <c r="H1886" t="s">
        <v>15498</v>
      </c>
      <c r="I1886" t="s">
        <v>30074</v>
      </c>
      <c r="J1886" t="s">
        <v>31531</v>
      </c>
      <c r="K1886" t="s">
        <v>39037</v>
      </c>
      <c r="M1886" t="s">
        <v>40111</v>
      </c>
      <c r="N1886" t="s">
        <v>43166</v>
      </c>
      <c r="O1886" t="s">
        <v>43167</v>
      </c>
      <c r="P1886">
        <v>0</v>
      </c>
      <c r="Q1886">
        <v>2</v>
      </c>
      <c r="R1886" t="s">
        <v>43170</v>
      </c>
      <c r="S1886" t="s">
        <v>43297</v>
      </c>
      <c r="T1886" t="s">
        <v>44709</v>
      </c>
      <c r="U1886" t="s">
        <v>46753</v>
      </c>
      <c r="W1886" t="s">
        <v>40111</v>
      </c>
      <c r="X1886" t="s">
        <v>43171</v>
      </c>
    </row>
    <row r="1887" spans="1:24">
      <c r="A1887">
        <f>HYPERLINK("https://www.philgeps.gov.ph/GEPSNONPILOT/Tender/SplashBidNoticeAbstractUI.aspx?menuIndex=3&amp;refID=7085189&amp;Result=3","7085189")</f>
        <v>0</v>
      </c>
      <c r="B1887" t="s">
        <v>645</v>
      </c>
      <c r="C1887" t="s">
        <v>5227</v>
      </c>
      <c r="D1887" t="s">
        <v>17464</v>
      </c>
      <c r="E1887" t="s">
        <v>19164</v>
      </c>
      <c r="F1887" t="s">
        <v>30052</v>
      </c>
      <c r="G1887" t="s">
        <v>30058</v>
      </c>
      <c r="H1887" t="s">
        <v>30067</v>
      </c>
      <c r="I1887" t="s">
        <v>3693</v>
      </c>
      <c r="J1887" t="s">
        <v>31532</v>
      </c>
      <c r="K1887" t="s">
        <v>39025</v>
      </c>
      <c r="M1887" t="s">
        <v>39949</v>
      </c>
      <c r="N1887" t="s">
        <v>43166</v>
      </c>
      <c r="O1887" t="s">
        <v>43167</v>
      </c>
      <c r="P1887">
        <v>0</v>
      </c>
      <c r="Q1887">
        <v>47</v>
      </c>
      <c r="R1887" t="s">
        <v>43170</v>
      </c>
      <c r="S1887" t="s">
        <v>43297</v>
      </c>
      <c r="T1887" t="s">
        <v>44722</v>
      </c>
      <c r="U1887" t="s">
        <v>46754</v>
      </c>
      <c r="W1887" t="s">
        <v>39949</v>
      </c>
      <c r="X1887" t="s">
        <v>43171</v>
      </c>
    </row>
    <row r="1888" spans="1:24">
      <c r="A1888">
        <f>HYPERLINK("https://www.philgeps.gov.ph/GEPSNONPILOT/Tender/SplashBidNoticeAbstractUI.aspx?menuIndex=3&amp;refID=7085176&amp;Result=3","7085176")</f>
        <v>0</v>
      </c>
      <c r="B1888" t="s">
        <v>795</v>
      </c>
      <c r="C1888" t="s">
        <v>5228</v>
      </c>
      <c r="D1888" t="s">
        <v>17466</v>
      </c>
      <c r="E1888" t="s">
        <v>19165</v>
      </c>
      <c r="F1888" t="s">
        <v>30052</v>
      </c>
      <c r="G1888" t="s">
        <v>30059</v>
      </c>
      <c r="H1888" t="s">
        <v>15498</v>
      </c>
      <c r="I1888" t="s">
        <v>4119</v>
      </c>
      <c r="J1888" t="s">
        <v>31533</v>
      </c>
      <c r="K1888" t="s">
        <v>39029</v>
      </c>
      <c r="M1888" t="s">
        <v>40112</v>
      </c>
      <c r="N1888" t="s">
        <v>43166</v>
      </c>
      <c r="O1888" t="s">
        <v>43167</v>
      </c>
      <c r="P1888">
        <v>0</v>
      </c>
      <c r="Q1888">
        <v>2</v>
      </c>
      <c r="R1888" t="s">
        <v>43170</v>
      </c>
      <c r="S1888" t="s">
        <v>43297</v>
      </c>
      <c r="T1888" t="s">
        <v>44734</v>
      </c>
      <c r="U1888" t="s">
        <v>46755</v>
      </c>
      <c r="V1888" t="s">
        <v>57037</v>
      </c>
      <c r="W1888" t="s">
        <v>40112</v>
      </c>
      <c r="X1888" t="s">
        <v>43171</v>
      </c>
    </row>
    <row r="1889" spans="1:24">
      <c r="A1889">
        <f>HYPERLINK("https://www.philgeps.gov.ph/GEPSNONPILOT/Tender/SplashBidNoticeAbstractUI.aspx?menuIndex=3&amp;refID=7085153&amp;Result=3","7085153")</f>
        <v>0</v>
      </c>
      <c r="B1889" t="s">
        <v>726</v>
      </c>
      <c r="C1889" t="s">
        <v>5153</v>
      </c>
      <c r="E1889" t="s">
        <v>19166</v>
      </c>
      <c r="F1889" t="s">
        <v>30052</v>
      </c>
      <c r="G1889" t="s">
        <v>30061</v>
      </c>
      <c r="H1889" t="s">
        <v>15498</v>
      </c>
      <c r="I1889" t="s">
        <v>7228</v>
      </c>
      <c r="J1889" t="s">
        <v>31534</v>
      </c>
      <c r="K1889" t="s">
        <v>39019</v>
      </c>
      <c r="M1889" t="s">
        <v>40037</v>
      </c>
      <c r="N1889" t="s">
        <v>43166</v>
      </c>
      <c r="O1889" t="s">
        <v>43167</v>
      </c>
      <c r="P1889">
        <v>0</v>
      </c>
      <c r="Q1889">
        <v>0</v>
      </c>
      <c r="R1889" t="s">
        <v>43170</v>
      </c>
      <c r="S1889" t="s">
        <v>43297</v>
      </c>
      <c r="T1889" t="s">
        <v>44714</v>
      </c>
      <c r="U1889" t="s">
        <v>46756</v>
      </c>
      <c r="W1889" t="s">
        <v>58613</v>
      </c>
      <c r="X1889" t="s">
        <v>43171</v>
      </c>
    </row>
    <row r="1890" spans="1:24">
      <c r="A1890">
        <f>HYPERLINK("https://www.philgeps.gov.ph/GEPSNONPILOT/Tender/SplashBidNoticeAbstractUI.aspx?menuIndex=3&amp;refID=7085148&amp;Result=3","7085148")</f>
        <v>0</v>
      </c>
      <c r="B1890" t="s">
        <v>741</v>
      </c>
      <c r="C1890" t="s">
        <v>5229</v>
      </c>
      <c r="D1890" t="s">
        <v>17425</v>
      </c>
      <c r="E1890" t="s">
        <v>19167</v>
      </c>
      <c r="F1890" t="s">
        <v>30052</v>
      </c>
      <c r="G1890" t="s">
        <v>30059</v>
      </c>
      <c r="H1890" t="s">
        <v>15498</v>
      </c>
      <c r="I1890" t="s">
        <v>30070</v>
      </c>
      <c r="J1890" t="s">
        <v>31535</v>
      </c>
      <c r="K1890" t="s">
        <v>39019</v>
      </c>
      <c r="M1890" t="s">
        <v>40055</v>
      </c>
      <c r="N1890" t="s">
        <v>43166</v>
      </c>
      <c r="O1890" t="s">
        <v>43167</v>
      </c>
      <c r="P1890">
        <v>0</v>
      </c>
      <c r="Q1890">
        <v>0</v>
      </c>
      <c r="R1890" t="s">
        <v>43170</v>
      </c>
      <c r="S1890" t="s">
        <v>43297</v>
      </c>
      <c r="T1890" t="s">
        <v>44806</v>
      </c>
      <c r="U1890" t="s">
        <v>46757</v>
      </c>
      <c r="V1890" t="s">
        <v>57038</v>
      </c>
      <c r="W1890" t="s">
        <v>40055</v>
      </c>
      <c r="X1890" t="s">
        <v>43171</v>
      </c>
    </row>
    <row r="1891" spans="1:24">
      <c r="A1891">
        <f>HYPERLINK("https://www.philgeps.gov.ph/GEPSNONPILOT/Tender/SplashBidNoticeAbstractUI.aspx?menuIndex=3&amp;refID=7085172&amp;Result=3","7085172")</f>
        <v>0</v>
      </c>
      <c r="B1891" t="s">
        <v>760</v>
      </c>
      <c r="C1891" t="s">
        <v>5230</v>
      </c>
      <c r="D1891" t="s">
        <v>17415</v>
      </c>
      <c r="E1891" t="s">
        <v>19168</v>
      </c>
      <c r="F1891" t="s">
        <v>30052</v>
      </c>
      <c r="G1891" t="s">
        <v>30058</v>
      </c>
      <c r="H1891" t="s">
        <v>15498</v>
      </c>
      <c r="I1891" t="s">
        <v>3852</v>
      </c>
      <c r="J1891" t="s">
        <v>30207</v>
      </c>
      <c r="K1891" t="s">
        <v>39029</v>
      </c>
      <c r="M1891" t="s">
        <v>40074</v>
      </c>
      <c r="N1891" t="s">
        <v>43166</v>
      </c>
      <c r="O1891" t="s">
        <v>43167</v>
      </c>
      <c r="P1891">
        <v>0</v>
      </c>
      <c r="Q1891">
        <v>0</v>
      </c>
      <c r="R1891" t="s">
        <v>43170</v>
      </c>
      <c r="S1891" t="s">
        <v>43297</v>
      </c>
      <c r="T1891" t="s">
        <v>44802</v>
      </c>
      <c r="U1891" t="s">
        <v>46758</v>
      </c>
      <c r="W1891" t="s">
        <v>40074</v>
      </c>
      <c r="X1891" t="s">
        <v>43171</v>
      </c>
    </row>
    <row r="1892" spans="1:24">
      <c r="A1892">
        <f>HYPERLINK("https://www.philgeps.gov.ph/GEPSNONPILOT/Tender/SplashBidNoticeAbstractUI.aspx?menuIndex=3&amp;refID=7085163&amp;Result=3","7085163")</f>
        <v>0</v>
      </c>
      <c r="B1892" t="s">
        <v>796</v>
      </c>
      <c r="C1892" t="s">
        <v>5231</v>
      </c>
      <c r="D1892" t="s">
        <v>17476</v>
      </c>
      <c r="E1892" t="s">
        <v>19169</v>
      </c>
      <c r="F1892" t="s">
        <v>30052</v>
      </c>
      <c r="G1892" t="s">
        <v>30059</v>
      </c>
      <c r="H1892" t="s">
        <v>30069</v>
      </c>
      <c r="I1892" t="s">
        <v>30109</v>
      </c>
      <c r="J1892" t="s">
        <v>31536</v>
      </c>
      <c r="K1892" t="s">
        <v>39034</v>
      </c>
      <c r="M1892" t="s">
        <v>40113</v>
      </c>
      <c r="N1892" t="s">
        <v>43166</v>
      </c>
      <c r="O1892" t="s">
        <v>43167</v>
      </c>
      <c r="P1892">
        <v>0</v>
      </c>
      <c r="Q1892">
        <v>2</v>
      </c>
      <c r="R1892" t="s">
        <v>43170</v>
      </c>
      <c r="S1892" t="s">
        <v>43297</v>
      </c>
      <c r="T1892" t="s">
        <v>44721</v>
      </c>
      <c r="U1892" t="s">
        <v>46759</v>
      </c>
      <c r="W1892" t="s">
        <v>40113</v>
      </c>
      <c r="X1892" t="s">
        <v>43171</v>
      </c>
    </row>
    <row r="1893" spans="1:24">
      <c r="A1893">
        <f>HYPERLINK("https://www.philgeps.gov.ph/GEPSNONPILOT/Tender/SplashBidNoticeAbstractUI.aspx?menuIndex=3&amp;refID=7085186&amp;Result=3","7085186")</f>
        <v>0</v>
      </c>
      <c r="B1893" t="s">
        <v>797</v>
      </c>
      <c r="C1893" t="s">
        <v>5232</v>
      </c>
      <c r="D1893" t="s">
        <v>17459</v>
      </c>
      <c r="E1893" t="s">
        <v>19170</v>
      </c>
      <c r="F1893" t="s">
        <v>30052</v>
      </c>
      <c r="G1893" t="s">
        <v>30059</v>
      </c>
      <c r="H1893" t="s">
        <v>15498</v>
      </c>
      <c r="I1893" t="s">
        <v>30081</v>
      </c>
      <c r="J1893" t="s">
        <v>31537</v>
      </c>
      <c r="K1893" t="s">
        <v>39019</v>
      </c>
      <c r="M1893" t="s">
        <v>40114</v>
      </c>
      <c r="N1893" t="s">
        <v>43166</v>
      </c>
      <c r="O1893" t="s">
        <v>43167</v>
      </c>
      <c r="P1893">
        <v>0</v>
      </c>
      <c r="Q1893">
        <v>1</v>
      </c>
      <c r="R1893" t="s">
        <v>43170</v>
      </c>
      <c r="S1893" t="s">
        <v>43297</v>
      </c>
      <c r="T1893" t="s">
        <v>44777</v>
      </c>
      <c r="U1893" t="s">
        <v>46760</v>
      </c>
      <c r="W1893" t="s">
        <v>40114</v>
      </c>
      <c r="X1893" t="s">
        <v>43171</v>
      </c>
    </row>
    <row r="1894" spans="1:24">
      <c r="A1894">
        <f>HYPERLINK("https://www.philgeps.gov.ph/GEPSNONPILOT/Tender/SplashBidNoticeAbstractUI.aspx?menuIndex=3&amp;refID=7085187&amp;Result=3","7085187")</f>
        <v>0</v>
      </c>
      <c r="B1894" t="s">
        <v>798</v>
      </c>
      <c r="C1894" t="s">
        <v>5233</v>
      </c>
      <c r="D1894" t="s">
        <v>17435</v>
      </c>
      <c r="E1894" t="s">
        <v>19171</v>
      </c>
      <c r="F1894" t="s">
        <v>30055</v>
      </c>
      <c r="G1894" t="s">
        <v>30058</v>
      </c>
      <c r="H1894" t="s">
        <v>30067</v>
      </c>
      <c r="I1894" t="s">
        <v>3693</v>
      </c>
      <c r="J1894" t="s">
        <v>31157</v>
      </c>
      <c r="K1894" t="s">
        <v>39033</v>
      </c>
      <c r="M1894" t="s">
        <v>40115</v>
      </c>
      <c r="N1894" t="s">
        <v>43166</v>
      </c>
      <c r="O1894" t="s">
        <v>43167</v>
      </c>
      <c r="P1894">
        <v>0</v>
      </c>
      <c r="Q1894">
        <v>1</v>
      </c>
      <c r="R1894" t="s">
        <v>43170</v>
      </c>
      <c r="S1894" t="s">
        <v>43297</v>
      </c>
      <c r="T1894" t="s">
        <v>44828</v>
      </c>
      <c r="U1894" t="s">
        <v>46761</v>
      </c>
      <c r="V1894" t="s">
        <v>57039</v>
      </c>
      <c r="W1894" t="s">
        <v>40115</v>
      </c>
      <c r="X1894" t="s">
        <v>43171</v>
      </c>
    </row>
    <row r="1895" spans="1:24">
      <c r="A1895">
        <f>HYPERLINK("https://www.philgeps.gov.ph/GEPSNONPILOT/Tender/SplashBidNoticeAbstractUI.aspx?menuIndex=3&amp;refID=7085228&amp;Result=3","7085228")</f>
        <v>0</v>
      </c>
      <c r="B1895" t="s">
        <v>799</v>
      </c>
      <c r="C1895" t="s">
        <v>5234</v>
      </c>
      <c r="D1895" t="s">
        <v>17423</v>
      </c>
      <c r="E1895" t="s">
        <v>19172</v>
      </c>
      <c r="F1895" t="s">
        <v>30052</v>
      </c>
      <c r="G1895" t="s">
        <v>30058</v>
      </c>
      <c r="H1895" t="s">
        <v>15498</v>
      </c>
      <c r="I1895" t="s">
        <v>3736</v>
      </c>
      <c r="J1895" t="s">
        <v>31538</v>
      </c>
      <c r="K1895" t="s">
        <v>39093</v>
      </c>
      <c r="M1895" t="s">
        <v>40116</v>
      </c>
      <c r="N1895" t="s">
        <v>43166</v>
      </c>
      <c r="O1895" t="s">
        <v>43167</v>
      </c>
      <c r="P1895">
        <v>0</v>
      </c>
      <c r="Q1895">
        <v>3</v>
      </c>
      <c r="R1895" t="s">
        <v>43170</v>
      </c>
      <c r="S1895" t="s">
        <v>43297</v>
      </c>
      <c r="T1895" t="s">
        <v>44681</v>
      </c>
      <c r="U1895" t="s">
        <v>46762</v>
      </c>
      <c r="V1895" t="s">
        <v>57040</v>
      </c>
      <c r="W1895" t="s">
        <v>40116</v>
      </c>
      <c r="X1895" t="s">
        <v>43171</v>
      </c>
    </row>
    <row r="1896" spans="1:24">
      <c r="A1896">
        <f>HYPERLINK("https://www.philgeps.gov.ph/GEPSNONPILOT/Tender/SplashBidNoticeAbstractUI.aspx?menuIndex=3&amp;refID=7085194&amp;Result=3","7085194")</f>
        <v>0</v>
      </c>
      <c r="B1896" t="s">
        <v>734</v>
      </c>
      <c r="C1896" t="s">
        <v>5235</v>
      </c>
      <c r="D1896" t="s">
        <v>17469</v>
      </c>
      <c r="E1896" t="s">
        <v>19173</v>
      </c>
      <c r="F1896" t="s">
        <v>30052</v>
      </c>
      <c r="G1896" t="s">
        <v>30059</v>
      </c>
      <c r="H1896" t="s">
        <v>15498</v>
      </c>
      <c r="I1896" t="s">
        <v>30075</v>
      </c>
      <c r="J1896" t="s">
        <v>30545</v>
      </c>
      <c r="K1896" t="s">
        <v>39025</v>
      </c>
      <c r="M1896" t="s">
        <v>40047</v>
      </c>
      <c r="N1896" t="s">
        <v>43166</v>
      </c>
      <c r="O1896" t="s">
        <v>43167</v>
      </c>
      <c r="P1896">
        <v>0</v>
      </c>
      <c r="Q1896">
        <v>2</v>
      </c>
      <c r="R1896" t="s">
        <v>43170</v>
      </c>
      <c r="S1896" t="s">
        <v>43297</v>
      </c>
      <c r="T1896" t="s">
        <v>44843</v>
      </c>
      <c r="U1896" t="s">
        <v>46587</v>
      </c>
      <c r="W1896" t="s">
        <v>40047</v>
      </c>
      <c r="X1896" t="s">
        <v>43171</v>
      </c>
    </row>
    <row r="1897" spans="1:24">
      <c r="A1897">
        <f>HYPERLINK("https://www.philgeps.gov.ph/GEPSNONPILOT/Tender/SplashBidNoticeAbstractUI.aspx?menuIndex=3&amp;refID=7085235&amp;Result=3","7085235")</f>
        <v>0</v>
      </c>
      <c r="B1897" t="s">
        <v>624</v>
      </c>
      <c r="C1897" t="s">
        <v>5236</v>
      </c>
      <c r="D1897" t="s">
        <v>17442</v>
      </c>
      <c r="E1897" t="s">
        <v>19174</v>
      </c>
      <c r="F1897" t="s">
        <v>30052</v>
      </c>
      <c r="G1897" t="s">
        <v>30061</v>
      </c>
      <c r="H1897" t="s">
        <v>15498</v>
      </c>
      <c r="I1897" t="s">
        <v>30070</v>
      </c>
      <c r="J1897" t="s">
        <v>31539</v>
      </c>
      <c r="K1897" t="s">
        <v>39019</v>
      </c>
      <c r="M1897" t="s">
        <v>39927</v>
      </c>
      <c r="N1897" t="s">
        <v>43166</v>
      </c>
      <c r="O1897" t="s">
        <v>43167</v>
      </c>
      <c r="P1897">
        <v>0</v>
      </c>
      <c r="Q1897">
        <v>1</v>
      </c>
      <c r="R1897" t="s">
        <v>43170</v>
      </c>
      <c r="S1897" t="s">
        <v>43297</v>
      </c>
      <c r="T1897" t="s">
        <v>44710</v>
      </c>
      <c r="U1897" t="s">
        <v>46763</v>
      </c>
      <c r="V1897" t="s">
        <v>56989</v>
      </c>
      <c r="W1897" t="s">
        <v>39927</v>
      </c>
      <c r="X1897" t="s">
        <v>43171</v>
      </c>
    </row>
    <row r="1898" spans="1:24">
      <c r="A1898">
        <f>HYPERLINK("https://www.philgeps.gov.ph/GEPSNONPILOT/Tender/SplashBidNoticeAbstractUI.aspx?menuIndex=3&amp;refID=7085231&amp;Result=3","7085231")</f>
        <v>0</v>
      </c>
      <c r="B1898" t="s">
        <v>540</v>
      </c>
      <c r="C1898" t="s">
        <v>5237</v>
      </c>
      <c r="D1898" t="s">
        <v>17452</v>
      </c>
      <c r="E1898" t="s">
        <v>18454</v>
      </c>
      <c r="F1898" t="s">
        <v>30052</v>
      </c>
      <c r="G1898" t="s">
        <v>30059</v>
      </c>
      <c r="H1898" t="s">
        <v>15498</v>
      </c>
      <c r="I1898" t="s">
        <v>30081</v>
      </c>
      <c r="J1898" t="s">
        <v>30344</v>
      </c>
      <c r="K1898" t="s">
        <v>39029</v>
      </c>
      <c r="M1898" t="s">
        <v>39842</v>
      </c>
      <c r="N1898" t="s">
        <v>43166</v>
      </c>
      <c r="O1898" t="s">
        <v>43167</v>
      </c>
      <c r="P1898">
        <v>0</v>
      </c>
      <c r="Q1898">
        <v>0</v>
      </c>
      <c r="R1898" t="s">
        <v>43170</v>
      </c>
      <c r="S1898" t="s">
        <v>43297</v>
      </c>
      <c r="T1898" t="s">
        <v>44696</v>
      </c>
      <c r="U1898" t="s">
        <v>46764</v>
      </c>
      <c r="W1898" t="s">
        <v>39842</v>
      </c>
      <c r="X1898" t="s">
        <v>43171</v>
      </c>
    </row>
    <row r="1899" spans="1:24">
      <c r="A1899">
        <f>HYPERLINK("https://www.philgeps.gov.ph/GEPSNONPILOT/Tender/SplashBidNoticeAbstractUI.aspx?menuIndex=3&amp;refID=7085230&amp;Result=3","7085230")</f>
        <v>0</v>
      </c>
      <c r="B1899" t="s">
        <v>800</v>
      </c>
      <c r="C1899" t="s">
        <v>5238</v>
      </c>
      <c r="D1899" t="s">
        <v>17453</v>
      </c>
      <c r="E1899" t="s">
        <v>19175</v>
      </c>
      <c r="F1899" t="s">
        <v>30052</v>
      </c>
      <c r="G1899" t="s">
        <v>30061</v>
      </c>
      <c r="H1899" t="s">
        <v>15498</v>
      </c>
      <c r="I1899" t="s">
        <v>3736</v>
      </c>
      <c r="J1899" t="s">
        <v>31540</v>
      </c>
      <c r="K1899" t="s">
        <v>39018</v>
      </c>
      <c r="M1899" t="s">
        <v>40117</v>
      </c>
      <c r="N1899" t="s">
        <v>43166</v>
      </c>
      <c r="O1899" t="s">
        <v>43167</v>
      </c>
      <c r="P1899">
        <v>0</v>
      </c>
      <c r="Q1899">
        <v>1</v>
      </c>
      <c r="R1899" t="s">
        <v>43170</v>
      </c>
      <c r="S1899" t="s">
        <v>43297</v>
      </c>
      <c r="T1899" t="s">
        <v>44864</v>
      </c>
      <c r="U1899" t="s">
        <v>46765</v>
      </c>
      <c r="W1899" t="s">
        <v>40117</v>
      </c>
      <c r="X1899" t="s">
        <v>43171</v>
      </c>
    </row>
    <row r="1900" spans="1:24">
      <c r="A1900">
        <f>HYPERLINK("https://www.philgeps.gov.ph/GEPSNONPILOT/Tender/SplashBidNoticeAbstractUI.aspx?menuIndex=3&amp;refID=7085145&amp;Result=3","7085145")</f>
        <v>0</v>
      </c>
      <c r="B1900" t="s">
        <v>760</v>
      </c>
      <c r="C1900" t="s">
        <v>5239</v>
      </c>
      <c r="D1900" t="s">
        <v>17415</v>
      </c>
      <c r="E1900" t="s">
        <v>19176</v>
      </c>
      <c r="F1900" t="s">
        <v>30052</v>
      </c>
      <c r="G1900" t="s">
        <v>30058</v>
      </c>
      <c r="H1900" t="s">
        <v>15498</v>
      </c>
      <c r="I1900" t="s">
        <v>8323</v>
      </c>
      <c r="J1900" t="s">
        <v>30953</v>
      </c>
      <c r="K1900" t="s">
        <v>39034</v>
      </c>
      <c r="M1900" t="s">
        <v>40074</v>
      </c>
      <c r="N1900" t="s">
        <v>43166</v>
      </c>
      <c r="O1900" t="s">
        <v>43167</v>
      </c>
      <c r="P1900">
        <v>0</v>
      </c>
      <c r="Q1900">
        <v>4</v>
      </c>
      <c r="R1900" t="s">
        <v>43170</v>
      </c>
      <c r="S1900" t="s">
        <v>43297</v>
      </c>
      <c r="T1900" t="s">
        <v>44802</v>
      </c>
      <c r="U1900" t="s">
        <v>46766</v>
      </c>
      <c r="W1900" t="s">
        <v>40074</v>
      </c>
      <c r="X1900" t="s">
        <v>43171</v>
      </c>
    </row>
    <row r="1901" spans="1:24">
      <c r="A1901">
        <f>HYPERLINK("https://www.philgeps.gov.ph/GEPSNONPILOT/Tender/SplashBidNoticeAbstractUI.aspx?menuIndex=3&amp;refID=7085229&amp;Result=3","7085229")</f>
        <v>0</v>
      </c>
      <c r="B1901" t="s">
        <v>726</v>
      </c>
      <c r="C1901" t="s">
        <v>5153</v>
      </c>
      <c r="D1901" t="s">
        <v>17477</v>
      </c>
      <c r="E1901" t="s">
        <v>19177</v>
      </c>
      <c r="F1901" t="s">
        <v>30052</v>
      </c>
      <c r="G1901" t="s">
        <v>30061</v>
      </c>
      <c r="H1901" t="s">
        <v>15498</v>
      </c>
      <c r="I1901" t="s">
        <v>7228</v>
      </c>
      <c r="J1901" t="s">
        <v>30828</v>
      </c>
      <c r="K1901" t="s">
        <v>39019</v>
      </c>
      <c r="M1901" t="s">
        <v>40037</v>
      </c>
      <c r="N1901" t="s">
        <v>43166</v>
      </c>
      <c r="O1901" t="s">
        <v>43167</v>
      </c>
      <c r="P1901">
        <v>0</v>
      </c>
      <c r="Q1901">
        <v>0</v>
      </c>
      <c r="R1901" t="s">
        <v>43170</v>
      </c>
      <c r="S1901" t="s">
        <v>43297</v>
      </c>
      <c r="T1901" t="s">
        <v>44714</v>
      </c>
      <c r="U1901" t="s">
        <v>46767</v>
      </c>
      <c r="W1901" t="s">
        <v>58613</v>
      </c>
      <c r="X1901" t="s">
        <v>43171</v>
      </c>
    </row>
    <row r="1902" spans="1:24">
      <c r="A1902">
        <f>HYPERLINK("https://www.philgeps.gov.ph/GEPSNONPILOT/Tender/SplashBidNoticeAbstractUI.aspx?menuIndex=3&amp;refID=7085226&amp;Result=3","7085226")</f>
        <v>0</v>
      </c>
      <c r="B1902" t="s">
        <v>645</v>
      </c>
      <c r="C1902" t="s">
        <v>5240</v>
      </c>
      <c r="D1902" t="s">
        <v>17464</v>
      </c>
      <c r="E1902" t="s">
        <v>19178</v>
      </c>
      <c r="F1902" t="s">
        <v>30052</v>
      </c>
      <c r="G1902" t="s">
        <v>30065</v>
      </c>
      <c r="H1902" t="s">
        <v>30068</v>
      </c>
      <c r="I1902" t="s">
        <v>30068</v>
      </c>
      <c r="J1902" t="s">
        <v>31541</v>
      </c>
      <c r="K1902" t="s">
        <v>39025</v>
      </c>
      <c r="M1902" t="s">
        <v>39949</v>
      </c>
      <c r="N1902" t="s">
        <v>43166</v>
      </c>
      <c r="O1902" t="s">
        <v>43167</v>
      </c>
      <c r="P1902">
        <v>0</v>
      </c>
      <c r="Q1902">
        <v>6</v>
      </c>
      <c r="R1902" t="s">
        <v>43170</v>
      </c>
      <c r="S1902" t="s">
        <v>43297</v>
      </c>
      <c r="T1902" t="s">
        <v>44684</v>
      </c>
      <c r="U1902" t="s">
        <v>46768</v>
      </c>
      <c r="W1902" t="s">
        <v>39949</v>
      </c>
      <c r="X1902" t="s">
        <v>43171</v>
      </c>
    </row>
    <row r="1903" spans="1:24">
      <c r="A1903">
        <f>HYPERLINK("https://www.philgeps.gov.ph/GEPSNONPILOT/Tender/SplashBidNoticeAbstractUI.aspx?menuIndex=3&amp;refID=7085221&amp;Result=3","7085221")</f>
        <v>0</v>
      </c>
      <c r="B1903" t="s">
        <v>801</v>
      </c>
      <c r="C1903" t="s">
        <v>5241</v>
      </c>
      <c r="D1903" t="s">
        <v>17459</v>
      </c>
      <c r="E1903" t="s">
        <v>19179</v>
      </c>
      <c r="F1903" t="s">
        <v>30052</v>
      </c>
      <c r="G1903" t="s">
        <v>30059</v>
      </c>
      <c r="H1903" t="s">
        <v>15498</v>
      </c>
      <c r="I1903" t="s">
        <v>30145</v>
      </c>
      <c r="J1903" t="s">
        <v>31542</v>
      </c>
      <c r="K1903" t="s">
        <v>39018</v>
      </c>
      <c r="M1903" t="s">
        <v>40118</v>
      </c>
      <c r="N1903" t="s">
        <v>43166</v>
      </c>
      <c r="O1903" t="s">
        <v>43167</v>
      </c>
      <c r="P1903">
        <v>0</v>
      </c>
      <c r="Q1903">
        <v>0</v>
      </c>
      <c r="R1903" t="s">
        <v>43170</v>
      </c>
      <c r="S1903" t="s">
        <v>43297</v>
      </c>
      <c r="T1903" t="s">
        <v>44837</v>
      </c>
      <c r="U1903" t="s">
        <v>46769</v>
      </c>
      <c r="V1903" t="s">
        <v>57041</v>
      </c>
      <c r="W1903" t="s">
        <v>40118</v>
      </c>
      <c r="X1903" t="s">
        <v>43171</v>
      </c>
    </row>
    <row r="1904" spans="1:24">
      <c r="A1904">
        <f>HYPERLINK("https://www.philgeps.gov.ph/GEPSNONPILOT/Tender/SplashBidNoticeAbstractUI.aspx?menuIndex=3&amp;refID=7085220&amp;Result=3","7085220")</f>
        <v>0</v>
      </c>
      <c r="B1904" t="s">
        <v>802</v>
      </c>
      <c r="C1904" t="s">
        <v>5242</v>
      </c>
      <c r="D1904" t="s">
        <v>17415</v>
      </c>
      <c r="E1904" t="s">
        <v>19180</v>
      </c>
      <c r="F1904" t="s">
        <v>30052</v>
      </c>
      <c r="G1904" t="s">
        <v>30059</v>
      </c>
      <c r="H1904" t="s">
        <v>15498</v>
      </c>
      <c r="I1904" t="s">
        <v>4119</v>
      </c>
      <c r="J1904" t="s">
        <v>30845</v>
      </c>
      <c r="K1904" t="s">
        <v>39017</v>
      </c>
      <c r="M1904" t="s">
        <v>40119</v>
      </c>
      <c r="N1904" t="s">
        <v>43166</v>
      </c>
      <c r="O1904" t="s">
        <v>43167</v>
      </c>
      <c r="P1904">
        <v>0</v>
      </c>
      <c r="Q1904">
        <v>3</v>
      </c>
      <c r="R1904" t="s">
        <v>43170</v>
      </c>
      <c r="S1904" t="s">
        <v>43297</v>
      </c>
      <c r="T1904" t="s">
        <v>44732</v>
      </c>
      <c r="U1904" t="s">
        <v>46770</v>
      </c>
      <c r="W1904" t="s">
        <v>40119</v>
      </c>
      <c r="X1904" t="s">
        <v>43171</v>
      </c>
    </row>
    <row r="1905" spans="1:24">
      <c r="A1905">
        <f>HYPERLINK("https://www.philgeps.gov.ph/GEPSNONPILOT/Tender/SplashBidNoticeAbstractUI.aspx?menuIndex=3&amp;refID=7085213&amp;Result=3","7085213")</f>
        <v>0</v>
      </c>
      <c r="B1905" t="s">
        <v>803</v>
      </c>
      <c r="C1905" t="s">
        <v>5243</v>
      </c>
      <c r="D1905" t="s">
        <v>17476</v>
      </c>
      <c r="E1905" t="s">
        <v>19181</v>
      </c>
      <c r="F1905" t="s">
        <v>30052</v>
      </c>
      <c r="G1905" t="s">
        <v>30058</v>
      </c>
      <c r="H1905" t="s">
        <v>30067</v>
      </c>
      <c r="I1905" t="s">
        <v>3693</v>
      </c>
      <c r="J1905" t="s">
        <v>30222</v>
      </c>
      <c r="K1905" t="s">
        <v>39025</v>
      </c>
      <c r="M1905" t="s">
        <v>40120</v>
      </c>
      <c r="N1905" t="s">
        <v>43166</v>
      </c>
      <c r="O1905" t="s">
        <v>43167</v>
      </c>
      <c r="P1905">
        <v>0</v>
      </c>
      <c r="Q1905">
        <v>0</v>
      </c>
      <c r="R1905" t="s">
        <v>43170</v>
      </c>
      <c r="S1905" t="s">
        <v>43297</v>
      </c>
      <c r="T1905" t="s">
        <v>44892</v>
      </c>
      <c r="U1905" t="s">
        <v>46771</v>
      </c>
      <c r="W1905" t="s">
        <v>40120</v>
      </c>
      <c r="X1905" t="s">
        <v>43171</v>
      </c>
    </row>
    <row r="1906" spans="1:24">
      <c r="A1906">
        <f>HYPERLINK("https://www.philgeps.gov.ph/GEPSNONPILOT/Tender/SplashBidNoticeAbstractUI.aspx?menuIndex=3&amp;refID=7085234&amp;Result=3","7085234")</f>
        <v>0</v>
      </c>
      <c r="B1906" t="s">
        <v>804</v>
      </c>
      <c r="C1906" t="s">
        <v>5244</v>
      </c>
      <c r="D1906" t="s">
        <v>17470</v>
      </c>
      <c r="E1906" t="s">
        <v>19182</v>
      </c>
      <c r="F1906" t="s">
        <v>30052</v>
      </c>
      <c r="G1906" t="s">
        <v>30058</v>
      </c>
      <c r="H1906" t="s">
        <v>30067</v>
      </c>
      <c r="I1906" t="s">
        <v>3693</v>
      </c>
      <c r="J1906" t="s">
        <v>30766</v>
      </c>
      <c r="K1906" t="s">
        <v>39017</v>
      </c>
      <c r="M1906" t="s">
        <v>40121</v>
      </c>
      <c r="N1906" t="s">
        <v>43166</v>
      </c>
      <c r="O1906" t="s">
        <v>43167</v>
      </c>
      <c r="P1906">
        <v>0</v>
      </c>
      <c r="Q1906">
        <v>0</v>
      </c>
      <c r="R1906" t="s">
        <v>43170</v>
      </c>
      <c r="S1906" t="s">
        <v>43297</v>
      </c>
      <c r="T1906" t="s">
        <v>44681</v>
      </c>
      <c r="U1906" t="s">
        <v>46772</v>
      </c>
      <c r="W1906" t="s">
        <v>40121</v>
      </c>
      <c r="X1906" t="s">
        <v>43171</v>
      </c>
    </row>
    <row r="1907" spans="1:24">
      <c r="A1907">
        <f>HYPERLINK("https://www.philgeps.gov.ph/GEPSNONPILOT/Tender/SplashBidNoticeAbstractUI.aspx?menuIndex=3&amp;refID=7085174&amp;Result=3","7085174")</f>
        <v>0</v>
      </c>
      <c r="B1907" t="s">
        <v>141</v>
      </c>
      <c r="C1907" t="s">
        <v>5245</v>
      </c>
      <c r="D1907" t="s">
        <v>17447</v>
      </c>
      <c r="E1907" t="s">
        <v>19183</v>
      </c>
      <c r="F1907" t="s">
        <v>30052</v>
      </c>
      <c r="G1907" t="s">
        <v>30058</v>
      </c>
      <c r="H1907" t="s">
        <v>15498</v>
      </c>
      <c r="I1907" t="s">
        <v>9238</v>
      </c>
      <c r="J1907" t="s">
        <v>31543</v>
      </c>
      <c r="K1907" t="s">
        <v>39023</v>
      </c>
      <c r="M1907" t="s">
        <v>40098</v>
      </c>
      <c r="N1907" t="s">
        <v>43166</v>
      </c>
      <c r="O1907" t="s">
        <v>43167</v>
      </c>
      <c r="P1907">
        <v>0</v>
      </c>
      <c r="Q1907">
        <v>15</v>
      </c>
      <c r="R1907" t="s">
        <v>43170</v>
      </c>
      <c r="S1907" t="s">
        <v>43297</v>
      </c>
      <c r="T1907" t="s">
        <v>44809</v>
      </c>
      <c r="U1907" t="s">
        <v>46773</v>
      </c>
      <c r="V1907" t="s">
        <v>57042</v>
      </c>
      <c r="W1907" t="s">
        <v>40098</v>
      </c>
      <c r="X1907" t="s">
        <v>43171</v>
      </c>
    </row>
    <row r="1908" spans="1:24">
      <c r="A1908">
        <f>HYPERLINK("https://www.philgeps.gov.ph/GEPSNONPILOT/Tender/SplashBidNoticeAbstractUI.aspx?menuIndex=3&amp;refID=7085211&amp;Result=3","7085211")</f>
        <v>0</v>
      </c>
      <c r="B1908" t="s">
        <v>765</v>
      </c>
      <c r="C1908" t="s">
        <v>5246</v>
      </c>
      <c r="D1908" t="s">
        <v>17468</v>
      </c>
      <c r="E1908" t="s">
        <v>19184</v>
      </c>
      <c r="F1908" t="s">
        <v>30052</v>
      </c>
      <c r="G1908" t="s">
        <v>30058</v>
      </c>
      <c r="H1908" t="s">
        <v>15498</v>
      </c>
      <c r="I1908" t="s">
        <v>30084</v>
      </c>
      <c r="J1908" t="s">
        <v>31544</v>
      </c>
      <c r="K1908" t="s">
        <v>39019</v>
      </c>
      <c r="M1908" t="s">
        <v>40079</v>
      </c>
      <c r="N1908" t="s">
        <v>43166</v>
      </c>
      <c r="O1908" t="s">
        <v>43167</v>
      </c>
      <c r="P1908">
        <v>0</v>
      </c>
      <c r="Q1908">
        <v>5</v>
      </c>
      <c r="R1908" t="s">
        <v>43170</v>
      </c>
      <c r="S1908" t="s">
        <v>43297</v>
      </c>
      <c r="T1908" t="s">
        <v>44891</v>
      </c>
      <c r="U1908" t="s">
        <v>46774</v>
      </c>
      <c r="W1908" t="s">
        <v>40079</v>
      </c>
      <c r="X1908" t="s">
        <v>43171</v>
      </c>
    </row>
    <row r="1909" spans="1:24">
      <c r="A1909">
        <f>HYPERLINK("https://www.philgeps.gov.ph/GEPSNONPILOT/Tender/SplashBidNoticeAbstractUI.aspx?menuIndex=3&amp;refID=7085216&amp;Result=3","7085216")</f>
        <v>0</v>
      </c>
      <c r="B1909" t="s">
        <v>805</v>
      </c>
      <c r="C1909" t="s">
        <v>5247</v>
      </c>
      <c r="E1909" t="s">
        <v>19185</v>
      </c>
      <c r="F1909" t="s">
        <v>30052</v>
      </c>
      <c r="G1909" t="s">
        <v>30059</v>
      </c>
      <c r="H1909" t="s">
        <v>15498</v>
      </c>
      <c r="I1909" t="s">
        <v>30074</v>
      </c>
      <c r="J1909" t="s">
        <v>30308</v>
      </c>
      <c r="K1909" t="s">
        <v>39025</v>
      </c>
      <c r="M1909" t="s">
        <v>40122</v>
      </c>
      <c r="N1909" t="s">
        <v>43166</v>
      </c>
      <c r="O1909" t="s">
        <v>43167</v>
      </c>
      <c r="Q1909">
        <v>2</v>
      </c>
      <c r="R1909" t="s">
        <v>43170</v>
      </c>
      <c r="S1909" t="s">
        <v>43302</v>
      </c>
      <c r="T1909" t="s">
        <v>44893</v>
      </c>
      <c r="U1909" t="s">
        <v>46775</v>
      </c>
      <c r="W1909" t="s">
        <v>40122</v>
      </c>
      <c r="X1909" t="s">
        <v>43171</v>
      </c>
    </row>
    <row r="1910" spans="1:24">
      <c r="A1910">
        <f>HYPERLINK("https://www.philgeps.gov.ph/GEPSNONPILOT/Tender/SplashBidNoticeAbstractUI.aspx?menuIndex=3&amp;refID=7085207&amp;Result=3","7085207")</f>
        <v>0</v>
      </c>
      <c r="B1910" t="s">
        <v>798</v>
      </c>
      <c r="C1910" t="s">
        <v>5248</v>
      </c>
      <c r="D1910" t="s">
        <v>17435</v>
      </c>
      <c r="E1910" t="s">
        <v>19186</v>
      </c>
      <c r="F1910" t="s">
        <v>30055</v>
      </c>
      <c r="G1910" t="s">
        <v>30058</v>
      </c>
      <c r="H1910" t="s">
        <v>30067</v>
      </c>
      <c r="I1910" t="s">
        <v>3693</v>
      </c>
      <c r="J1910" t="s">
        <v>31545</v>
      </c>
      <c r="K1910" t="s">
        <v>39080</v>
      </c>
      <c r="M1910" t="s">
        <v>40115</v>
      </c>
      <c r="N1910" t="s">
        <v>43166</v>
      </c>
      <c r="O1910" t="s">
        <v>43167</v>
      </c>
      <c r="P1910">
        <v>0</v>
      </c>
      <c r="Q1910">
        <v>1</v>
      </c>
      <c r="R1910" t="s">
        <v>43170</v>
      </c>
      <c r="S1910" t="s">
        <v>43297</v>
      </c>
      <c r="T1910" t="s">
        <v>44828</v>
      </c>
      <c r="U1910" t="s">
        <v>46761</v>
      </c>
      <c r="V1910" t="s">
        <v>57043</v>
      </c>
      <c r="W1910" t="s">
        <v>40115</v>
      </c>
      <c r="X1910" t="s">
        <v>43171</v>
      </c>
    </row>
    <row r="1911" spans="1:24">
      <c r="A1911">
        <f>HYPERLINK("https://www.philgeps.gov.ph/GEPSNONPILOT/Tender/SplashBidNoticeAbstractUI.aspx?menuIndex=3&amp;refID=7085225&amp;Result=3","7085225")</f>
        <v>0</v>
      </c>
      <c r="B1911" t="s">
        <v>798</v>
      </c>
      <c r="C1911" t="s">
        <v>5249</v>
      </c>
      <c r="D1911" t="s">
        <v>17435</v>
      </c>
      <c r="E1911" t="s">
        <v>19187</v>
      </c>
      <c r="F1911" t="s">
        <v>30055</v>
      </c>
      <c r="G1911" t="s">
        <v>30058</v>
      </c>
      <c r="H1911" t="s">
        <v>30067</v>
      </c>
      <c r="I1911" t="s">
        <v>3693</v>
      </c>
      <c r="J1911" t="s">
        <v>31545</v>
      </c>
      <c r="K1911" t="s">
        <v>39080</v>
      </c>
      <c r="M1911" t="s">
        <v>40115</v>
      </c>
      <c r="N1911" t="s">
        <v>43166</v>
      </c>
      <c r="O1911" t="s">
        <v>43167</v>
      </c>
      <c r="P1911">
        <v>0</v>
      </c>
      <c r="Q1911">
        <v>1</v>
      </c>
      <c r="R1911" t="s">
        <v>43170</v>
      </c>
      <c r="S1911" t="s">
        <v>43297</v>
      </c>
      <c r="T1911" t="s">
        <v>44828</v>
      </c>
      <c r="U1911" t="s">
        <v>46761</v>
      </c>
      <c r="V1911" t="s">
        <v>57039</v>
      </c>
      <c r="W1911" t="s">
        <v>40115</v>
      </c>
      <c r="X1911" t="s">
        <v>43171</v>
      </c>
    </row>
    <row r="1912" spans="1:24">
      <c r="A1912">
        <f>HYPERLINK("https://www.philgeps.gov.ph/GEPSNONPILOT/Tender/SplashBidNoticeAbstractUI.aspx?menuIndex=3&amp;refID=7085205&amp;Result=3","7085205")</f>
        <v>0</v>
      </c>
      <c r="B1912" t="s">
        <v>694</v>
      </c>
      <c r="C1912" t="s">
        <v>5250</v>
      </c>
      <c r="D1912" t="s">
        <v>17476</v>
      </c>
      <c r="E1912" t="s">
        <v>19188</v>
      </c>
      <c r="F1912" t="s">
        <v>30052</v>
      </c>
      <c r="G1912" t="s">
        <v>30059</v>
      </c>
      <c r="H1912" t="s">
        <v>15498</v>
      </c>
      <c r="I1912" t="s">
        <v>3736</v>
      </c>
      <c r="J1912" t="s">
        <v>31546</v>
      </c>
      <c r="K1912" t="s">
        <v>39064</v>
      </c>
      <c r="M1912" t="s">
        <v>40001</v>
      </c>
      <c r="N1912" t="s">
        <v>43166</v>
      </c>
      <c r="O1912" t="s">
        <v>43167</v>
      </c>
      <c r="P1912">
        <v>0</v>
      </c>
      <c r="Q1912">
        <v>0</v>
      </c>
      <c r="R1912" t="s">
        <v>43170</v>
      </c>
      <c r="S1912" t="s">
        <v>43297</v>
      </c>
      <c r="T1912" t="s">
        <v>44844</v>
      </c>
      <c r="U1912" t="s">
        <v>46776</v>
      </c>
      <c r="W1912" t="s">
        <v>40001</v>
      </c>
      <c r="X1912" t="s">
        <v>43171</v>
      </c>
    </row>
    <row r="1913" spans="1:24">
      <c r="A1913">
        <f>HYPERLINK("https://www.philgeps.gov.ph/GEPSNONPILOT/Tender/SplashBidNoticeAbstractUI.aspx?menuIndex=3&amp;refID=7085196&amp;Result=3","7085196")</f>
        <v>0</v>
      </c>
      <c r="B1913" t="s">
        <v>806</v>
      </c>
      <c r="C1913" t="s">
        <v>5251</v>
      </c>
      <c r="D1913" t="s">
        <v>17423</v>
      </c>
      <c r="E1913" t="s">
        <v>19189</v>
      </c>
      <c r="F1913" t="s">
        <v>30052</v>
      </c>
      <c r="G1913" t="s">
        <v>30059</v>
      </c>
      <c r="H1913" t="s">
        <v>15498</v>
      </c>
      <c r="I1913" t="s">
        <v>4650</v>
      </c>
      <c r="J1913" t="s">
        <v>30551</v>
      </c>
      <c r="K1913" t="s">
        <v>39018</v>
      </c>
      <c r="M1913" t="s">
        <v>40123</v>
      </c>
      <c r="N1913" t="s">
        <v>43166</v>
      </c>
      <c r="O1913" t="s">
        <v>43167</v>
      </c>
      <c r="P1913">
        <v>0</v>
      </c>
      <c r="Q1913">
        <v>0</v>
      </c>
      <c r="R1913" t="s">
        <v>43170</v>
      </c>
      <c r="S1913" t="s">
        <v>43297</v>
      </c>
      <c r="T1913" t="s">
        <v>44777</v>
      </c>
      <c r="U1913" t="s">
        <v>46777</v>
      </c>
      <c r="W1913" t="s">
        <v>40123</v>
      </c>
      <c r="X1913" t="s">
        <v>43171</v>
      </c>
    </row>
    <row r="1914" spans="1:24">
      <c r="A1914">
        <f>HYPERLINK("https://www.philgeps.gov.ph/GEPSNONPILOT/Tender/SplashBidNoticeAbstractUI.aspx?menuIndex=3&amp;refID=7085140&amp;Result=3","7085140")</f>
        <v>0</v>
      </c>
      <c r="B1914" t="s">
        <v>768</v>
      </c>
      <c r="C1914" t="s">
        <v>5252</v>
      </c>
      <c r="D1914" t="s">
        <v>17498</v>
      </c>
      <c r="E1914" t="s">
        <v>19190</v>
      </c>
      <c r="F1914" t="s">
        <v>30052</v>
      </c>
      <c r="G1914" t="s">
        <v>30059</v>
      </c>
      <c r="H1914" t="s">
        <v>15498</v>
      </c>
      <c r="I1914" t="s">
        <v>30144</v>
      </c>
      <c r="J1914" t="s">
        <v>31547</v>
      </c>
      <c r="K1914" t="s">
        <v>39031</v>
      </c>
      <c r="M1914" t="s">
        <v>40082</v>
      </c>
      <c r="N1914" t="s">
        <v>43166</v>
      </c>
      <c r="O1914" t="s">
        <v>43167</v>
      </c>
      <c r="P1914">
        <v>0</v>
      </c>
      <c r="Q1914">
        <v>0</v>
      </c>
      <c r="R1914" t="s">
        <v>43170</v>
      </c>
      <c r="S1914" t="s">
        <v>43297</v>
      </c>
      <c r="T1914" t="s">
        <v>44832</v>
      </c>
      <c r="U1914" t="s">
        <v>46778</v>
      </c>
      <c r="V1914" t="s">
        <v>57028</v>
      </c>
      <c r="W1914" t="s">
        <v>40082</v>
      </c>
      <c r="X1914" t="s">
        <v>43171</v>
      </c>
    </row>
    <row r="1915" spans="1:24">
      <c r="A1915">
        <f>HYPERLINK("https://www.philgeps.gov.ph/GEPSNONPILOT/Tender/SplashBidNoticeAbstractUI.aspx?menuIndex=3&amp;refID=7085212&amp;Result=3","7085212")</f>
        <v>0</v>
      </c>
      <c r="B1915" t="s">
        <v>741</v>
      </c>
      <c r="C1915" t="s">
        <v>5253</v>
      </c>
      <c r="D1915" t="s">
        <v>17425</v>
      </c>
      <c r="E1915" t="s">
        <v>19191</v>
      </c>
      <c r="F1915" t="s">
        <v>30052</v>
      </c>
      <c r="G1915" t="s">
        <v>30059</v>
      </c>
      <c r="H1915" t="s">
        <v>15498</v>
      </c>
      <c r="I1915" t="s">
        <v>3606</v>
      </c>
      <c r="J1915" t="s">
        <v>31548</v>
      </c>
      <c r="K1915" t="s">
        <v>39019</v>
      </c>
      <c r="M1915" t="s">
        <v>40055</v>
      </c>
      <c r="N1915" t="s">
        <v>43166</v>
      </c>
      <c r="O1915" t="s">
        <v>43167</v>
      </c>
      <c r="P1915">
        <v>0</v>
      </c>
      <c r="Q1915">
        <v>0</v>
      </c>
      <c r="R1915" t="s">
        <v>43170</v>
      </c>
      <c r="S1915" t="s">
        <v>43297</v>
      </c>
      <c r="T1915" t="s">
        <v>44806</v>
      </c>
      <c r="U1915" t="s">
        <v>46779</v>
      </c>
      <c r="W1915" t="s">
        <v>40055</v>
      </c>
      <c r="X1915" t="s">
        <v>43171</v>
      </c>
    </row>
    <row r="1916" spans="1:24">
      <c r="A1916">
        <f>HYPERLINK("https://www.philgeps.gov.ph/GEPSNONPILOT/Tender/SplashBidNoticeAbstractUI.aspx?menuIndex=3&amp;refID=7085162&amp;Result=3","7085162")</f>
        <v>0</v>
      </c>
      <c r="B1916" t="s">
        <v>778</v>
      </c>
      <c r="C1916" t="s">
        <v>5254</v>
      </c>
      <c r="D1916" t="s">
        <v>17424</v>
      </c>
      <c r="E1916" t="s">
        <v>19192</v>
      </c>
      <c r="F1916" t="s">
        <v>30052</v>
      </c>
      <c r="G1916" t="s">
        <v>30061</v>
      </c>
      <c r="H1916" t="s">
        <v>15498</v>
      </c>
      <c r="I1916" t="s">
        <v>30076</v>
      </c>
      <c r="J1916" t="s">
        <v>31510</v>
      </c>
      <c r="K1916" t="s">
        <v>39019</v>
      </c>
      <c r="M1916" t="s">
        <v>40093</v>
      </c>
      <c r="N1916" t="s">
        <v>43166</v>
      </c>
      <c r="O1916" t="s">
        <v>43167</v>
      </c>
      <c r="P1916">
        <v>0</v>
      </c>
      <c r="Q1916">
        <v>1</v>
      </c>
      <c r="R1916" t="s">
        <v>43170</v>
      </c>
      <c r="S1916" t="s">
        <v>43297</v>
      </c>
      <c r="T1916" t="s">
        <v>44734</v>
      </c>
      <c r="U1916" t="s">
        <v>46780</v>
      </c>
      <c r="W1916" t="s">
        <v>40093</v>
      </c>
      <c r="X1916" t="s">
        <v>43171</v>
      </c>
    </row>
    <row r="1917" spans="1:24">
      <c r="A1917">
        <f>HYPERLINK("https://www.philgeps.gov.ph/GEPSNONPILOT/Tender/SplashBidNoticeAbstractUI.aspx?menuIndex=3&amp;refID=7085206&amp;Result=3","7085206")</f>
        <v>0</v>
      </c>
      <c r="B1917" t="s">
        <v>391</v>
      </c>
      <c r="C1917" t="s">
        <v>5255</v>
      </c>
      <c r="D1917" t="s">
        <v>17428</v>
      </c>
      <c r="E1917" t="s">
        <v>19193</v>
      </c>
      <c r="F1917" t="s">
        <v>30052</v>
      </c>
      <c r="G1917" t="s">
        <v>30059</v>
      </c>
      <c r="H1917" t="s">
        <v>15498</v>
      </c>
      <c r="I1917" t="s">
        <v>30071</v>
      </c>
      <c r="J1917" t="s">
        <v>31549</v>
      </c>
      <c r="K1917" t="s">
        <v>39037</v>
      </c>
      <c r="M1917" t="s">
        <v>40100</v>
      </c>
      <c r="N1917" t="s">
        <v>43166</v>
      </c>
      <c r="O1917" t="s">
        <v>43167</v>
      </c>
      <c r="P1917">
        <v>0</v>
      </c>
      <c r="Q1917">
        <v>0</v>
      </c>
      <c r="R1917" t="s">
        <v>43170</v>
      </c>
      <c r="S1917" t="s">
        <v>43297</v>
      </c>
      <c r="T1917" t="s">
        <v>44859</v>
      </c>
      <c r="U1917" t="s">
        <v>46781</v>
      </c>
      <c r="V1917" t="s">
        <v>57044</v>
      </c>
      <c r="W1917" t="s">
        <v>40100</v>
      </c>
      <c r="X1917" t="s">
        <v>43171</v>
      </c>
    </row>
    <row r="1918" spans="1:24">
      <c r="A1918">
        <f>HYPERLINK("https://www.philgeps.gov.ph/GEPSNONPILOT/Tender/SplashBidNoticeAbstractUI.aspx?menuIndex=3&amp;refID=7085199&amp;Result=3","7085199")</f>
        <v>0</v>
      </c>
      <c r="B1918" t="s">
        <v>807</v>
      </c>
      <c r="C1918" t="s">
        <v>5256</v>
      </c>
      <c r="D1918" t="s">
        <v>17427</v>
      </c>
      <c r="E1918" t="s">
        <v>19194</v>
      </c>
      <c r="F1918" t="s">
        <v>30052</v>
      </c>
      <c r="G1918" t="s">
        <v>30058</v>
      </c>
      <c r="H1918" t="s">
        <v>15498</v>
      </c>
      <c r="I1918" t="s">
        <v>30099</v>
      </c>
      <c r="J1918" t="s">
        <v>30215</v>
      </c>
      <c r="K1918" t="s">
        <v>39025</v>
      </c>
      <c r="M1918" t="s">
        <v>40124</v>
      </c>
      <c r="N1918" t="s">
        <v>43166</v>
      </c>
      <c r="O1918" t="s">
        <v>43167</v>
      </c>
      <c r="P1918">
        <v>0</v>
      </c>
      <c r="Q1918">
        <v>2</v>
      </c>
      <c r="R1918" t="s">
        <v>43170</v>
      </c>
      <c r="S1918" t="s">
        <v>43297</v>
      </c>
      <c r="T1918" t="s">
        <v>44816</v>
      </c>
      <c r="U1918" t="s">
        <v>46782</v>
      </c>
      <c r="V1918" t="s">
        <v>56838</v>
      </c>
      <c r="W1918" t="s">
        <v>40124</v>
      </c>
      <c r="X1918" t="s">
        <v>43171</v>
      </c>
    </row>
    <row r="1919" spans="1:24">
      <c r="A1919">
        <f>HYPERLINK("https://www.philgeps.gov.ph/GEPSNONPILOT/Tender/SplashBidNoticeAbstractUI.aspx?menuIndex=3&amp;refID=7085210&amp;Result=3","7085210")</f>
        <v>0</v>
      </c>
      <c r="B1919" t="s">
        <v>808</v>
      </c>
      <c r="C1919" t="s">
        <v>5257</v>
      </c>
      <c r="D1919" t="s">
        <v>17459</v>
      </c>
      <c r="E1919" t="s">
        <v>19195</v>
      </c>
      <c r="F1919" t="s">
        <v>30052</v>
      </c>
      <c r="G1919" t="s">
        <v>30059</v>
      </c>
      <c r="H1919" t="s">
        <v>15498</v>
      </c>
      <c r="I1919" t="s">
        <v>30076</v>
      </c>
      <c r="J1919" t="s">
        <v>31550</v>
      </c>
      <c r="K1919" t="s">
        <v>39018</v>
      </c>
      <c r="M1919" t="s">
        <v>40125</v>
      </c>
      <c r="N1919" t="s">
        <v>43166</v>
      </c>
      <c r="O1919" t="s">
        <v>43167</v>
      </c>
      <c r="P1919">
        <v>0</v>
      </c>
      <c r="Q1919">
        <v>3</v>
      </c>
      <c r="R1919" t="s">
        <v>43170</v>
      </c>
      <c r="S1919" t="s">
        <v>43297</v>
      </c>
      <c r="T1919" t="s">
        <v>44843</v>
      </c>
      <c r="U1919" t="s">
        <v>46783</v>
      </c>
      <c r="V1919" t="s">
        <v>57045</v>
      </c>
      <c r="W1919" t="s">
        <v>40125</v>
      </c>
      <c r="X1919" t="s">
        <v>43171</v>
      </c>
    </row>
    <row r="1920" spans="1:24">
      <c r="A1920">
        <f>HYPERLINK("https://www.philgeps.gov.ph/GEPSNONPILOT/Tender/SplashBidNoticeAbstractUI.aspx?menuIndex=3&amp;refID=7085161&amp;Result=3","7085161")</f>
        <v>0</v>
      </c>
      <c r="B1920" t="s">
        <v>779</v>
      </c>
      <c r="C1920" t="s">
        <v>5258</v>
      </c>
      <c r="E1920" t="s">
        <v>17965</v>
      </c>
      <c r="F1920" t="s">
        <v>30052</v>
      </c>
      <c r="G1920" t="s">
        <v>30058</v>
      </c>
      <c r="H1920" t="s">
        <v>30067</v>
      </c>
      <c r="I1920" t="s">
        <v>3693</v>
      </c>
      <c r="J1920" t="s">
        <v>30343</v>
      </c>
      <c r="K1920" t="s">
        <v>39046</v>
      </c>
      <c r="M1920" t="s">
        <v>40094</v>
      </c>
      <c r="N1920" t="s">
        <v>43166</v>
      </c>
      <c r="O1920" t="s">
        <v>43167</v>
      </c>
      <c r="P1920">
        <v>0</v>
      </c>
      <c r="Q1920">
        <v>0</v>
      </c>
      <c r="R1920" t="s">
        <v>43170</v>
      </c>
      <c r="S1920" t="s">
        <v>43297</v>
      </c>
      <c r="T1920" t="s">
        <v>44681</v>
      </c>
      <c r="U1920" t="s">
        <v>46784</v>
      </c>
      <c r="W1920" t="s">
        <v>40094</v>
      </c>
      <c r="X1920" t="s">
        <v>43171</v>
      </c>
    </row>
    <row r="1921" spans="1:24">
      <c r="A1921">
        <f>HYPERLINK("https://www.philgeps.gov.ph/GEPSNONPILOT/Tender/SplashBidNoticeAbstractUI.aspx?menuIndex=3&amp;refID=7085169&amp;Result=3","7085169")</f>
        <v>0</v>
      </c>
      <c r="B1921" t="s">
        <v>809</v>
      </c>
      <c r="C1921" t="s">
        <v>5259</v>
      </c>
      <c r="D1921" t="s">
        <v>17470</v>
      </c>
      <c r="E1921" t="s">
        <v>19196</v>
      </c>
      <c r="F1921" t="s">
        <v>30052</v>
      </c>
      <c r="G1921" t="s">
        <v>30058</v>
      </c>
      <c r="H1921" t="s">
        <v>15498</v>
      </c>
      <c r="I1921" t="s">
        <v>30151</v>
      </c>
      <c r="J1921" t="s">
        <v>31551</v>
      </c>
      <c r="K1921" t="s">
        <v>39025</v>
      </c>
      <c r="M1921" t="s">
        <v>40126</v>
      </c>
      <c r="N1921" t="s">
        <v>43166</v>
      </c>
      <c r="O1921" t="s">
        <v>43167</v>
      </c>
      <c r="P1921">
        <v>0</v>
      </c>
      <c r="Q1921">
        <v>2</v>
      </c>
      <c r="R1921" t="s">
        <v>43170</v>
      </c>
      <c r="S1921" t="s">
        <v>43297</v>
      </c>
      <c r="T1921" t="s">
        <v>44703</v>
      </c>
      <c r="U1921" t="s">
        <v>46785</v>
      </c>
      <c r="W1921" t="s">
        <v>40126</v>
      </c>
      <c r="X1921" t="s">
        <v>43171</v>
      </c>
    </row>
    <row r="1922" spans="1:24">
      <c r="A1922">
        <f>HYPERLINK("https://www.philgeps.gov.ph/GEPSNONPILOT/Tender/SplashBidNoticeAbstractUI.aspx?menuIndex=3&amp;refID=7085236&amp;Result=3","7085236")</f>
        <v>0</v>
      </c>
      <c r="B1922" t="s">
        <v>810</v>
      </c>
      <c r="C1922" t="s">
        <v>5260</v>
      </c>
      <c r="D1922" t="s">
        <v>17458</v>
      </c>
      <c r="E1922" t="s">
        <v>19197</v>
      </c>
      <c r="F1922" t="s">
        <v>30052</v>
      </c>
      <c r="G1922" t="s">
        <v>30062</v>
      </c>
      <c r="H1922" t="s">
        <v>15498</v>
      </c>
      <c r="I1922" t="s">
        <v>4119</v>
      </c>
      <c r="J1922" t="s">
        <v>31552</v>
      </c>
      <c r="K1922" t="s">
        <v>39025</v>
      </c>
      <c r="M1922" t="s">
        <v>40127</v>
      </c>
      <c r="N1922" t="s">
        <v>43166</v>
      </c>
      <c r="O1922" t="s">
        <v>43167</v>
      </c>
      <c r="P1922">
        <v>0</v>
      </c>
      <c r="Q1922">
        <v>5</v>
      </c>
      <c r="R1922" t="s">
        <v>43170</v>
      </c>
      <c r="S1922" t="s">
        <v>43297</v>
      </c>
      <c r="T1922" t="s">
        <v>44728</v>
      </c>
      <c r="U1922" t="s">
        <v>46786</v>
      </c>
      <c r="W1922" t="s">
        <v>40127</v>
      </c>
      <c r="X1922" t="s">
        <v>43171</v>
      </c>
    </row>
    <row r="1923" spans="1:24">
      <c r="A1923">
        <f>HYPERLINK("https://www.philgeps.gov.ph/GEPSNONPILOT/Tender/SplashBidNoticeAbstractUI.aspx?menuIndex=3&amp;refID=7085257&amp;Result=3","7085257")</f>
        <v>0</v>
      </c>
      <c r="B1923" t="s">
        <v>811</v>
      </c>
      <c r="C1923" t="s">
        <v>5261</v>
      </c>
      <c r="D1923" t="s">
        <v>17448</v>
      </c>
      <c r="E1923" t="s">
        <v>19198</v>
      </c>
      <c r="F1923" t="s">
        <v>30052</v>
      </c>
      <c r="G1923" t="s">
        <v>30058</v>
      </c>
      <c r="H1923" t="s">
        <v>30067</v>
      </c>
      <c r="I1923" t="s">
        <v>3693</v>
      </c>
      <c r="J1923" t="s">
        <v>31553</v>
      </c>
      <c r="K1923" t="s">
        <v>39029</v>
      </c>
      <c r="M1923" t="s">
        <v>40128</v>
      </c>
      <c r="N1923" t="s">
        <v>43166</v>
      </c>
      <c r="O1923" t="s">
        <v>43167</v>
      </c>
      <c r="P1923">
        <v>0</v>
      </c>
      <c r="Q1923">
        <v>0</v>
      </c>
      <c r="R1923" t="s">
        <v>43170</v>
      </c>
      <c r="S1923" t="s">
        <v>43297</v>
      </c>
      <c r="T1923" t="s">
        <v>44733</v>
      </c>
      <c r="U1923" t="s">
        <v>46787</v>
      </c>
      <c r="W1923" t="s">
        <v>40128</v>
      </c>
      <c r="X1923" t="s">
        <v>43171</v>
      </c>
    </row>
    <row r="1924" spans="1:24">
      <c r="A1924">
        <f>HYPERLINK("https://www.philgeps.gov.ph/GEPSNONPILOT/Tender/SplashBidNoticeAbstractUI.aspx?menuIndex=3&amp;refID=7085253&amp;Result=3","7085253")</f>
        <v>0</v>
      </c>
      <c r="B1924" t="s">
        <v>812</v>
      </c>
      <c r="C1924" t="s">
        <v>5262</v>
      </c>
      <c r="D1924" t="s">
        <v>17445</v>
      </c>
      <c r="E1924" t="s">
        <v>17540</v>
      </c>
      <c r="F1924" t="s">
        <v>30052</v>
      </c>
      <c r="G1924" t="s">
        <v>30061</v>
      </c>
      <c r="H1924" t="s">
        <v>15498</v>
      </c>
      <c r="I1924" t="s">
        <v>30097</v>
      </c>
      <c r="J1924" t="s">
        <v>31554</v>
      </c>
      <c r="K1924" t="s">
        <v>39029</v>
      </c>
      <c r="M1924" t="s">
        <v>40129</v>
      </c>
      <c r="N1924" t="s">
        <v>43166</v>
      </c>
      <c r="O1924" t="s">
        <v>43167</v>
      </c>
      <c r="P1924">
        <v>0</v>
      </c>
      <c r="Q1924">
        <v>4</v>
      </c>
      <c r="R1924" t="s">
        <v>43170</v>
      </c>
      <c r="S1924" t="s">
        <v>43297</v>
      </c>
      <c r="T1924" t="s">
        <v>44710</v>
      </c>
      <c r="U1924" t="s">
        <v>46788</v>
      </c>
      <c r="V1924" t="s">
        <v>57046</v>
      </c>
      <c r="W1924" t="s">
        <v>40129</v>
      </c>
      <c r="X1924" t="s">
        <v>43171</v>
      </c>
    </row>
    <row r="1925" spans="1:24">
      <c r="A1925">
        <f>HYPERLINK("https://www.philgeps.gov.ph/GEPSNONPILOT/Tender/SplashBidNoticeAbstractUI.aspx?menuIndex=3&amp;refID=7085251&amp;Result=3","7085251")</f>
        <v>0</v>
      </c>
      <c r="B1925" t="s">
        <v>541</v>
      </c>
      <c r="C1925" t="s">
        <v>4865</v>
      </c>
      <c r="D1925" t="s">
        <v>17458</v>
      </c>
      <c r="E1925" t="s">
        <v>19199</v>
      </c>
      <c r="F1925" t="s">
        <v>30052</v>
      </c>
      <c r="G1925" t="s">
        <v>30062</v>
      </c>
      <c r="H1925" t="s">
        <v>15498</v>
      </c>
      <c r="I1925" t="s">
        <v>30070</v>
      </c>
      <c r="J1925" t="s">
        <v>31555</v>
      </c>
      <c r="K1925" t="s">
        <v>39017</v>
      </c>
      <c r="M1925" t="s">
        <v>39843</v>
      </c>
      <c r="N1925" t="s">
        <v>43166</v>
      </c>
      <c r="O1925" t="s">
        <v>43167</v>
      </c>
      <c r="P1925">
        <v>0</v>
      </c>
      <c r="Q1925">
        <v>1</v>
      </c>
      <c r="R1925" t="s">
        <v>43170</v>
      </c>
      <c r="S1925" t="s">
        <v>43297</v>
      </c>
      <c r="T1925" t="s">
        <v>44773</v>
      </c>
      <c r="U1925" t="s">
        <v>46789</v>
      </c>
      <c r="W1925" t="s">
        <v>58604</v>
      </c>
      <c r="X1925" t="s">
        <v>43171</v>
      </c>
    </row>
    <row r="1926" spans="1:24">
      <c r="A1926">
        <f>HYPERLINK("https://www.philgeps.gov.ph/GEPSNONPILOT/Tender/SplashBidNoticeAbstractUI.aspx?menuIndex=3&amp;refID=7085248&amp;Result=3","7085248")</f>
        <v>0</v>
      </c>
      <c r="B1926" t="s">
        <v>813</v>
      </c>
      <c r="C1926" t="s">
        <v>5263</v>
      </c>
      <c r="D1926" t="s">
        <v>17426</v>
      </c>
      <c r="E1926" t="s">
        <v>18173</v>
      </c>
      <c r="F1926" t="s">
        <v>30052</v>
      </c>
      <c r="G1926" t="s">
        <v>30059</v>
      </c>
      <c r="H1926" t="s">
        <v>15498</v>
      </c>
      <c r="I1926" t="s">
        <v>6691</v>
      </c>
      <c r="J1926" t="s">
        <v>31556</v>
      </c>
      <c r="K1926" t="s">
        <v>39039</v>
      </c>
      <c r="M1926" t="s">
        <v>40130</v>
      </c>
      <c r="N1926" t="s">
        <v>43166</v>
      </c>
      <c r="O1926" t="s">
        <v>43167</v>
      </c>
      <c r="P1926">
        <v>0</v>
      </c>
      <c r="Q1926">
        <v>0</v>
      </c>
      <c r="R1926" t="s">
        <v>43170</v>
      </c>
      <c r="S1926" t="s">
        <v>43297</v>
      </c>
      <c r="T1926" t="s">
        <v>44894</v>
      </c>
      <c r="U1926" t="s">
        <v>46790</v>
      </c>
      <c r="W1926" t="s">
        <v>40130</v>
      </c>
      <c r="X1926" t="s">
        <v>43171</v>
      </c>
    </row>
    <row r="1927" spans="1:24">
      <c r="A1927">
        <f>HYPERLINK("https://www.philgeps.gov.ph/GEPSNONPILOT/Tender/SplashBidNoticeAbstractUI.aspx?menuIndex=3&amp;refID=7085246&amp;Result=3","7085246")</f>
        <v>0</v>
      </c>
      <c r="B1927" t="s">
        <v>814</v>
      </c>
      <c r="C1927" t="s">
        <v>5264</v>
      </c>
      <c r="D1927" t="s">
        <v>17424</v>
      </c>
      <c r="E1927" t="s">
        <v>19200</v>
      </c>
      <c r="F1927" t="s">
        <v>30052</v>
      </c>
      <c r="G1927" t="s">
        <v>30059</v>
      </c>
      <c r="H1927" t="s">
        <v>15498</v>
      </c>
      <c r="I1927" t="s">
        <v>30081</v>
      </c>
      <c r="J1927" t="s">
        <v>31557</v>
      </c>
      <c r="K1927" t="s">
        <v>39017</v>
      </c>
      <c r="M1927" t="s">
        <v>40131</v>
      </c>
      <c r="N1927" t="s">
        <v>43166</v>
      </c>
      <c r="O1927" t="s">
        <v>43167</v>
      </c>
      <c r="P1927">
        <v>0</v>
      </c>
      <c r="Q1927">
        <v>0</v>
      </c>
      <c r="R1927" t="s">
        <v>43170</v>
      </c>
      <c r="S1927" t="s">
        <v>43297</v>
      </c>
      <c r="T1927" t="s">
        <v>44724</v>
      </c>
      <c r="U1927" t="s">
        <v>46791</v>
      </c>
      <c r="W1927" t="s">
        <v>40131</v>
      </c>
      <c r="X1927" t="s">
        <v>43171</v>
      </c>
    </row>
    <row r="1928" spans="1:24">
      <c r="A1928">
        <f>HYPERLINK("https://www.philgeps.gov.ph/GEPSNONPILOT/Tender/SplashBidNoticeAbstractUI.aspx?menuIndex=3&amp;refID=7085245&amp;Result=3","7085245")</f>
        <v>0</v>
      </c>
      <c r="B1928" t="s">
        <v>815</v>
      </c>
      <c r="C1928" t="s">
        <v>5156</v>
      </c>
      <c r="D1928" t="s">
        <v>17432</v>
      </c>
      <c r="E1928" t="s">
        <v>17760</v>
      </c>
      <c r="F1928" t="s">
        <v>30052</v>
      </c>
      <c r="G1928" t="s">
        <v>30062</v>
      </c>
      <c r="H1928" t="s">
        <v>15498</v>
      </c>
      <c r="I1928" t="s">
        <v>30085</v>
      </c>
      <c r="J1928" t="s">
        <v>31558</v>
      </c>
      <c r="K1928" t="s">
        <v>39018</v>
      </c>
      <c r="M1928" t="s">
        <v>40132</v>
      </c>
      <c r="N1928" t="s">
        <v>43166</v>
      </c>
      <c r="O1928" t="s">
        <v>43167</v>
      </c>
      <c r="P1928">
        <v>0</v>
      </c>
      <c r="Q1928">
        <v>0</v>
      </c>
      <c r="R1928" t="s">
        <v>43170</v>
      </c>
      <c r="S1928" t="s">
        <v>43297</v>
      </c>
      <c r="T1928" t="s">
        <v>44735</v>
      </c>
      <c r="U1928" t="s">
        <v>46792</v>
      </c>
      <c r="W1928" t="s">
        <v>40132</v>
      </c>
      <c r="X1928" t="s">
        <v>43171</v>
      </c>
    </row>
    <row r="1929" spans="1:24">
      <c r="A1929">
        <f>HYPERLINK("https://www.philgeps.gov.ph/GEPSNONPILOT/Tender/SplashBidNoticeAbstractUI.aspx?menuIndex=3&amp;refID=7085243&amp;Result=3","7085243")</f>
        <v>0</v>
      </c>
      <c r="B1929" t="s">
        <v>808</v>
      </c>
      <c r="C1929" t="s">
        <v>5265</v>
      </c>
      <c r="D1929" t="s">
        <v>17459</v>
      </c>
      <c r="E1929" t="s">
        <v>19201</v>
      </c>
      <c r="F1929" t="s">
        <v>30052</v>
      </c>
      <c r="G1929" t="s">
        <v>30059</v>
      </c>
      <c r="H1929" t="s">
        <v>15498</v>
      </c>
      <c r="I1929" t="s">
        <v>3852</v>
      </c>
      <c r="J1929" t="s">
        <v>30208</v>
      </c>
      <c r="K1929" t="s">
        <v>39018</v>
      </c>
      <c r="M1929" t="s">
        <v>40125</v>
      </c>
      <c r="N1929" t="s">
        <v>43166</v>
      </c>
      <c r="O1929" t="s">
        <v>43167</v>
      </c>
      <c r="P1929">
        <v>0</v>
      </c>
      <c r="Q1929">
        <v>0</v>
      </c>
      <c r="R1929" t="s">
        <v>43170</v>
      </c>
      <c r="S1929" t="s">
        <v>43297</v>
      </c>
      <c r="T1929" t="s">
        <v>44843</v>
      </c>
      <c r="U1929" t="s">
        <v>46793</v>
      </c>
      <c r="V1929" t="s">
        <v>57045</v>
      </c>
      <c r="W1929" t="s">
        <v>40125</v>
      </c>
      <c r="X1929" t="s">
        <v>43171</v>
      </c>
    </row>
    <row r="1930" spans="1:24">
      <c r="A1930">
        <f>HYPERLINK("https://www.philgeps.gov.ph/GEPSNONPILOT/Tender/SplashBidNoticeAbstractUI.aspx?menuIndex=3&amp;refID=7085242&amp;Result=3","7085242")</f>
        <v>0</v>
      </c>
      <c r="B1930" t="s">
        <v>816</v>
      </c>
      <c r="C1930" t="s">
        <v>5266</v>
      </c>
      <c r="D1930" t="s">
        <v>17449</v>
      </c>
      <c r="E1930" t="s">
        <v>19202</v>
      </c>
      <c r="F1930" t="s">
        <v>30052</v>
      </c>
      <c r="G1930" t="s">
        <v>30058</v>
      </c>
      <c r="H1930" t="s">
        <v>15498</v>
      </c>
      <c r="I1930" t="s">
        <v>3606</v>
      </c>
      <c r="J1930" t="s">
        <v>31559</v>
      </c>
      <c r="K1930" t="s">
        <v>39029</v>
      </c>
      <c r="M1930" t="s">
        <v>40133</v>
      </c>
      <c r="N1930" t="s">
        <v>43166</v>
      </c>
      <c r="O1930" t="s">
        <v>43167</v>
      </c>
      <c r="P1930">
        <v>0</v>
      </c>
      <c r="Q1930">
        <v>4</v>
      </c>
      <c r="R1930" t="s">
        <v>43170</v>
      </c>
      <c r="S1930" t="s">
        <v>43297</v>
      </c>
      <c r="T1930" t="s">
        <v>44753</v>
      </c>
      <c r="U1930" t="s">
        <v>46794</v>
      </c>
      <c r="W1930" t="s">
        <v>40133</v>
      </c>
      <c r="X1930" t="s">
        <v>43171</v>
      </c>
    </row>
    <row r="1931" spans="1:24">
      <c r="A1931">
        <f>HYPERLINK("https://www.philgeps.gov.ph/GEPSNONPILOT/Tender/SplashBidNoticeAbstractUI.aspx?menuIndex=3&amp;refID=7085265&amp;Result=3","7085265")</f>
        <v>0</v>
      </c>
      <c r="B1931" t="s">
        <v>796</v>
      </c>
      <c r="C1931" t="s">
        <v>5267</v>
      </c>
      <c r="D1931" t="s">
        <v>17476</v>
      </c>
      <c r="E1931" t="s">
        <v>19203</v>
      </c>
      <c r="F1931" t="s">
        <v>30052</v>
      </c>
      <c r="G1931" t="s">
        <v>30059</v>
      </c>
      <c r="H1931" t="s">
        <v>30069</v>
      </c>
      <c r="I1931" t="s">
        <v>4650</v>
      </c>
      <c r="J1931" t="s">
        <v>31560</v>
      </c>
      <c r="K1931" t="s">
        <v>39034</v>
      </c>
      <c r="M1931" t="s">
        <v>40113</v>
      </c>
      <c r="N1931" t="s">
        <v>43166</v>
      </c>
      <c r="O1931" t="s">
        <v>43167</v>
      </c>
      <c r="P1931">
        <v>0</v>
      </c>
      <c r="Q1931">
        <v>0</v>
      </c>
      <c r="R1931" t="s">
        <v>43170</v>
      </c>
      <c r="S1931" t="s">
        <v>43297</v>
      </c>
      <c r="T1931" t="s">
        <v>44721</v>
      </c>
      <c r="U1931" t="s">
        <v>46795</v>
      </c>
      <c r="W1931" t="s">
        <v>40113</v>
      </c>
      <c r="X1931" t="s">
        <v>43171</v>
      </c>
    </row>
    <row r="1932" spans="1:24">
      <c r="A1932">
        <f>HYPERLINK("https://www.philgeps.gov.ph/GEPSNONPILOT/Tender/SplashBidNoticeAbstractUI.aspx?menuIndex=3&amp;refID=7085263&amp;Result=3","7085263")</f>
        <v>0</v>
      </c>
      <c r="B1932" t="s">
        <v>645</v>
      </c>
      <c r="C1932" t="s">
        <v>5268</v>
      </c>
      <c r="D1932" t="s">
        <v>17464</v>
      </c>
      <c r="E1932" t="s">
        <v>19204</v>
      </c>
      <c r="F1932" t="s">
        <v>30052</v>
      </c>
      <c r="G1932" t="s">
        <v>30065</v>
      </c>
      <c r="H1932" t="s">
        <v>30068</v>
      </c>
      <c r="I1932" t="s">
        <v>30068</v>
      </c>
      <c r="J1932" t="s">
        <v>31561</v>
      </c>
      <c r="K1932" t="s">
        <v>39025</v>
      </c>
      <c r="M1932" t="s">
        <v>39949</v>
      </c>
      <c r="N1932" t="s">
        <v>43166</v>
      </c>
      <c r="O1932" t="s">
        <v>43167</v>
      </c>
      <c r="P1932">
        <v>0</v>
      </c>
      <c r="Q1932">
        <v>4</v>
      </c>
      <c r="R1932" t="s">
        <v>43170</v>
      </c>
      <c r="S1932" t="s">
        <v>43297</v>
      </c>
      <c r="T1932" t="s">
        <v>44684</v>
      </c>
      <c r="U1932" t="s">
        <v>46796</v>
      </c>
      <c r="W1932" t="s">
        <v>39949</v>
      </c>
      <c r="X1932" t="s">
        <v>43171</v>
      </c>
    </row>
    <row r="1933" spans="1:24">
      <c r="A1933">
        <f>HYPERLINK("https://www.philgeps.gov.ph/GEPSNONPILOT/Tender/SplashBidNoticeAbstractUI.aspx?menuIndex=3&amp;refID=7085239&amp;Result=3","7085239")</f>
        <v>0</v>
      </c>
      <c r="B1933" t="s">
        <v>795</v>
      </c>
      <c r="C1933" t="s">
        <v>5269</v>
      </c>
      <c r="D1933" t="s">
        <v>17466</v>
      </c>
      <c r="E1933" t="s">
        <v>19205</v>
      </c>
      <c r="F1933" t="s">
        <v>30052</v>
      </c>
      <c r="G1933" t="s">
        <v>30059</v>
      </c>
      <c r="H1933" t="s">
        <v>15498</v>
      </c>
      <c r="I1933" t="s">
        <v>30094</v>
      </c>
      <c r="J1933" t="s">
        <v>31562</v>
      </c>
      <c r="K1933" t="s">
        <v>39029</v>
      </c>
      <c r="M1933" t="s">
        <v>40112</v>
      </c>
      <c r="N1933" t="s">
        <v>43166</v>
      </c>
      <c r="O1933" t="s">
        <v>43167</v>
      </c>
      <c r="P1933">
        <v>0</v>
      </c>
      <c r="Q1933">
        <v>0</v>
      </c>
      <c r="R1933" t="s">
        <v>43170</v>
      </c>
      <c r="S1933" t="s">
        <v>43297</v>
      </c>
      <c r="T1933" t="s">
        <v>44773</v>
      </c>
      <c r="U1933" t="s">
        <v>46797</v>
      </c>
      <c r="V1933" t="s">
        <v>57037</v>
      </c>
      <c r="W1933" t="s">
        <v>40112</v>
      </c>
      <c r="X1933" t="s">
        <v>43171</v>
      </c>
    </row>
    <row r="1934" spans="1:24">
      <c r="A1934">
        <f>HYPERLINK("https://www.philgeps.gov.ph/GEPSNONPILOT/Tender/SplashBidNoticeAbstractUI.aspx?menuIndex=3&amp;refID=7085259&amp;Result=3","7085259")</f>
        <v>0</v>
      </c>
      <c r="B1934" t="s">
        <v>817</v>
      </c>
      <c r="C1934" t="s">
        <v>5270</v>
      </c>
      <c r="D1934" t="s">
        <v>17474</v>
      </c>
      <c r="E1934" t="s">
        <v>19206</v>
      </c>
      <c r="F1934" t="s">
        <v>30052</v>
      </c>
      <c r="G1934" t="s">
        <v>30059</v>
      </c>
      <c r="H1934" t="s">
        <v>15498</v>
      </c>
      <c r="I1934" t="s">
        <v>30071</v>
      </c>
      <c r="J1934" t="s">
        <v>31563</v>
      </c>
      <c r="K1934" t="s">
        <v>39034</v>
      </c>
      <c r="M1934" t="s">
        <v>40134</v>
      </c>
      <c r="N1934" t="s">
        <v>43166</v>
      </c>
      <c r="O1934" t="s">
        <v>43167</v>
      </c>
      <c r="P1934">
        <v>0</v>
      </c>
      <c r="Q1934">
        <v>0</v>
      </c>
      <c r="R1934" t="s">
        <v>43170</v>
      </c>
      <c r="S1934" t="s">
        <v>43297</v>
      </c>
      <c r="T1934" t="s">
        <v>44734</v>
      </c>
      <c r="U1934" t="s">
        <v>46798</v>
      </c>
      <c r="W1934" t="s">
        <v>40134</v>
      </c>
      <c r="X1934" t="s">
        <v>43171</v>
      </c>
    </row>
    <row r="1935" spans="1:24">
      <c r="A1935">
        <f>HYPERLINK("https://www.philgeps.gov.ph/GEPSNONPILOT/Tender/SplashBidNoticeAbstractUI.aspx?menuIndex=3&amp;refID=7085258&amp;Result=3","7085258")</f>
        <v>0</v>
      </c>
      <c r="B1935" t="s">
        <v>798</v>
      </c>
      <c r="C1935" t="s">
        <v>5271</v>
      </c>
      <c r="D1935" t="s">
        <v>17435</v>
      </c>
      <c r="E1935" t="s">
        <v>19207</v>
      </c>
      <c r="F1935" t="s">
        <v>30055</v>
      </c>
      <c r="G1935" t="s">
        <v>30058</v>
      </c>
      <c r="H1935" t="s">
        <v>30067</v>
      </c>
      <c r="I1935" t="s">
        <v>3693</v>
      </c>
      <c r="J1935" t="s">
        <v>31564</v>
      </c>
      <c r="K1935" t="s">
        <v>39057</v>
      </c>
      <c r="M1935" t="s">
        <v>40115</v>
      </c>
      <c r="N1935" t="s">
        <v>43166</v>
      </c>
      <c r="O1935" t="s">
        <v>43167</v>
      </c>
      <c r="P1935">
        <v>0</v>
      </c>
      <c r="Q1935">
        <v>1</v>
      </c>
      <c r="R1935" t="s">
        <v>43170</v>
      </c>
      <c r="S1935" t="s">
        <v>43297</v>
      </c>
      <c r="T1935" t="s">
        <v>44828</v>
      </c>
      <c r="U1935" t="s">
        <v>46761</v>
      </c>
      <c r="V1935" t="s">
        <v>57039</v>
      </c>
      <c r="W1935" t="s">
        <v>40115</v>
      </c>
      <c r="X1935" t="s">
        <v>43171</v>
      </c>
    </row>
    <row r="1936" spans="1:24">
      <c r="A1936">
        <f>HYPERLINK("https://www.philgeps.gov.ph/GEPSNONPILOT/Tender/SplashBidNoticeAbstractUI.aspx?menuIndex=3&amp;refID=7085275&amp;Result=3","7085275")</f>
        <v>0</v>
      </c>
      <c r="B1936" t="s">
        <v>818</v>
      </c>
      <c r="C1936" t="s">
        <v>5272</v>
      </c>
      <c r="D1936" t="s">
        <v>17449</v>
      </c>
      <c r="E1936" t="s">
        <v>19208</v>
      </c>
      <c r="F1936" t="s">
        <v>30052</v>
      </c>
      <c r="G1936" t="s">
        <v>30061</v>
      </c>
      <c r="H1936" t="s">
        <v>15498</v>
      </c>
      <c r="I1936" t="s">
        <v>30070</v>
      </c>
      <c r="J1936" t="s">
        <v>30377</v>
      </c>
      <c r="K1936" t="s">
        <v>39017</v>
      </c>
      <c r="M1936" t="s">
        <v>40135</v>
      </c>
      <c r="N1936" t="s">
        <v>43166</v>
      </c>
      <c r="O1936" t="s">
        <v>43167</v>
      </c>
      <c r="P1936">
        <v>0</v>
      </c>
      <c r="Q1936">
        <v>0</v>
      </c>
      <c r="R1936" t="s">
        <v>43170</v>
      </c>
      <c r="S1936" t="s">
        <v>43297</v>
      </c>
      <c r="T1936" t="s">
        <v>44837</v>
      </c>
      <c r="U1936" t="s">
        <v>46799</v>
      </c>
      <c r="W1936" t="s">
        <v>40135</v>
      </c>
      <c r="X1936" t="s">
        <v>43171</v>
      </c>
    </row>
    <row r="1937" spans="1:24">
      <c r="A1937">
        <f>HYPERLINK("https://www.philgeps.gov.ph/GEPSNONPILOT/Tender/SplashBidNoticeAbstractUI.aspx?menuIndex=3&amp;refID=7085272&amp;Result=3","7085272")</f>
        <v>0</v>
      </c>
      <c r="B1937" t="s">
        <v>819</v>
      </c>
      <c r="C1937" t="s">
        <v>5273</v>
      </c>
      <c r="D1937" t="s">
        <v>17444</v>
      </c>
      <c r="E1937" t="s">
        <v>19209</v>
      </c>
      <c r="F1937" t="s">
        <v>30052</v>
      </c>
      <c r="G1937" t="s">
        <v>30059</v>
      </c>
      <c r="H1937" t="s">
        <v>15498</v>
      </c>
      <c r="I1937" t="s">
        <v>3852</v>
      </c>
      <c r="J1937" t="s">
        <v>31565</v>
      </c>
      <c r="K1937" t="s">
        <v>39025</v>
      </c>
      <c r="M1937" t="s">
        <v>40136</v>
      </c>
      <c r="N1937" t="s">
        <v>43166</v>
      </c>
      <c r="O1937" t="s">
        <v>43167</v>
      </c>
      <c r="P1937">
        <v>0</v>
      </c>
      <c r="Q1937">
        <v>0</v>
      </c>
      <c r="R1937" t="s">
        <v>43170</v>
      </c>
      <c r="S1937" t="s">
        <v>43297</v>
      </c>
      <c r="T1937" t="s">
        <v>44719</v>
      </c>
      <c r="U1937" t="s">
        <v>46800</v>
      </c>
      <c r="W1937" t="s">
        <v>40136</v>
      </c>
      <c r="X1937" t="s">
        <v>43171</v>
      </c>
    </row>
    <row r="1938" spans="1:24">
      <c r="A1938">
        <f>HYPERLINK("https://www.philgeps.gov.ph/GEPSNONPILOT/Tender/SplashBidNoticeAbstractUI.aspx?menuIndex=3&amp;refID=7085267&amp;Result=3","7085267")</f>
        <v>0</v>
      </c>
      <c r="B1938" t="s">
        <v>726</v>
      </c>
      <c r="C1938" t="s">
        <v>5274</v>
      </c>
      <c r="D1938" t="s">
        <v>17477</v>
      </c>
      <c r="E1938" t="s">
        <v>17653</v>
      </c>
      <c r="F1938" t="s">
        <v>30052</v>
      </c>
      <c r="G1938" t="s">
        <v>30061</v>
      </c>
      <c r="H1938" t="s">
        <v>15498</v>
      </c>
      <c r="I1938" t="s">
        <v>30096</v>
      </c>
      <c r="J1938" t="s">
        <v>31566</v>
      </c>
      <c r="K1938" t="s">
        <v>39019</v>
      </c>
      <c r="M1938" t="s">
        <v>40037</v>
      </c>
      <c r="N1938" t="s">
        <v>43166</v>
      </c>
      <c r="O1938" t="s">
        <v>43167</v>
      </c>
      <c r="P1938">
        <v>0</v>
      </c>
      <c r="Q1938">
        <v>5</v>
      </c>
      <c r="R1938" t="s">
        <v>43170</v>
      </c>
      <c r="S1938" t="s">
        <v>43297</v>
      </c>
      <c r="T1938" t="s">
        <v>44714</v>
      </c>
      <c r="U1938" t="s">
        <v>46801</v>
      </c>
      <c r="W1938" t="s">
        <v>58613</v>
      </c>
      <c r="X1938" t="s">
        <v>43171</v>
      </c>
    </row>
    <row r="1939" spans="1:24">
      <c r="A1939">
        <f>HYPERLINK("https://www.philgeps.gov.ph/GEPSNONPILOT/Tender/SplashBidNoticeAbstractUI.aspx?menuIndex=3&amp;refID=7085266&amp;Result=3","7085266")</f>
        <v>0</v>
      </c>
      <c r="B1939" t="s">
        <v>741</v>
      </c>
      <c r="C1939" t="s">
        <v>5275</v>
      </c>
      <c r="D1939" t="s">
        <v>17425</v>
      </c>
      <c r="E1939" t="s">
        <v>19210</v>
      </c>
      <c r="F1939" t="s">
        <v>30052</v>
      </c>
      <c r="G1939" t="s">
        <v>30059</v>
      </c>
      <c r="H1939" t="s">
        <v>15498</v>
      </c>
      <c r="I1939" t="s">
        <v>30076</v>
      </c>
      <c r="J1939" t="s">
        <v>31567</v>
      </c>
      <c r="K1939" t="s">
        <v>39019</v>
      </c>
      <c r="M1939" t="s">
        <v>40055</v>
      </c>
      <c r="N1939" t="s">
        <v>43166</v>
      </c>
      <c r="O1939" t="s">
        <v>43167</v>
      </c>
      <c r="P1939">
        <v>0</v>
      </c>
      <c r="Q1939">
        <v>0</v>
      </c>
      <c r="R1939" t="s">
        <v>43170</v>
      </c>
      <c r="S1939" t="s">
        <v>43297</v>
      </c>
      <c r="T1939" t="s">
        <v>44806</v>
      </c>
      <c r="U1939" t="s">
        <v>46802</v>
      </c>
      <c r="V1939" t="s">
        <v>57038</v>
      </c>
      <c r="W1939" t="s">
        <v>40055</v>
      </c>
      <c r="X1939" t="s">
        <v>43171</v>
      </c>
    </row>
    <row r="1940" spans="1:24">
      <c r="A1940">
        <f>HYPERLINK("https://www.philgeps.gov.ph/GEPSNONPILOT/Tender/SplashBidNoticeAbstractUI.aspx?menuIndex=3&amp;refID=7085295&amp;Result=3","7085295")</f>
        <v>0</v>
      </c>
      <c r="B1940" t="s">
        <v>820</v>
      </c>
      <c r="C1940" t="s">
        <v>5276</v>
      </c>
      <c r="D1940" t="s">
        <v>17472</v>
      </c>
      <c r="E1940" t="s">
        <v>19211</v>
      </c>
      <c r="F1940" t="s">
        <v>30052</v>
      </c>
      <c r="G1940" t="s">
        <v>30059</v>
      </c>
      <c r="H1940" t="s">
        <v>15498</v>
      </c>
      <c r="I1940" t="s">
        <v>30115</v>
      </c>
      <c r="J1940" t="s">
        <v>31568</v>
      </c>
      <c r="K1940" t="s">
        <v>39017</v>
      </c>
      <c r="M1940" t="s">
        <v>40137</v>
      </c>
      <c r="N1940" t="s">
        <v>43166</v>
      </c>
      <c r="O1940" t="s">
        <v>43167</v>
      </c>
      <c r="P1940">
        <v>0</v>
      </c>
      <c r="Q1940">
        <v>1</v>
      </c>
      <c r="R1940" t="s">
        <v>43170</v>
      </c>
      <c r="S1940" t="s">
        <v>43297</v>
      </c>
      <c r="T1940" t="s">
        <v>44798</v>
      </c>
      <c r="U1940" t="s">
        <v>46803</v>
      </c>
      <c r="V1940" t="s">
        <v>57047</v>
      </c>
      <c r="W1940" t="s">
        <v>40137</v>
      </c>
      <c r="X1940" t="s">
        <v>43171</v>
      </c>
    </row>
    <row r="1941" spans="1:24">
      <c r="A1941">
        <f>HYPERLINK("https://www.philgeps.gov.ph/GEPSNONPILOT/Tender/SplashBidNoticeAbstractUI.aspx?menuIndex=3&amp;refID=7085293&amp;Result=3","7085293")</f>
        <v>0</v>
      </c>
      <c r="B1941" t="s">
        <v>795</v>
      </c>
      <c r="C1941" t="s">
        <v>5277</v>
      </c>
      <c r="D1941" t="s">
        <v>17466</v>
      </c>
      <c r="E1941" t="s">
        <v>19212</v>
      </c>
      <c r="F1941" t="s">
        <v>30052</v>
      </c>
      <c r="G1941" t="s">
        <v>30059</v>
      </c>
      <c r="H1941" t="s">
        <v>15498</v>
      </c>
      <c r="I1941" t="s">
        <v>30071</v>
      </c>
      <c r="J1941" t="s">
        <v>30612</v>
      </c>
      <c r="K1941" t="s">
        <v>39029</v>
      </c>
      <c r="M1941" t="s">
        <v>40112</v>
      </c>
      <c r="N1941" t="s">
        <v>43166</v>
      </c>
      <c r="O1941" t="s">
        <v>43167</v>
      </c>
      <c r="P1941">
        <v>0</v>
      </c>
      <c r="Q1941">
        <v>3</v>
      </c>
      <c r="R1941" t="s">
        <v>43170</v>
      </c>
      <c r="S1941" t="s">
        <v>43297</v>
      </c>
      <c r="T1941" t="s">
        <v>44773</v>
      </c>
      <c r="U1941" t="s">
        <v>46797</v>
      </c>
      <c r="V1941" t="s">
        <v>57037</v>
      </c>
      <c r="W1941" t="s">
        <v>40112</v>
      </c>
      <c r="X1941" t="s">
        <v>43171</v>
      </c>
    </row>
    <row r="1942" spans="1:24">
      <c r="A1942">
        <f>HYPERLINK("https://www.philgeps.gov.ph/GEPSNONPILOT/Tender/SplashBidNoticeAbstractUI.aspx?menuIndex=3&amp;refID=7085255&amp;Result=3","7085255")</f>
        <v>0</v>
      </c>
      <c r="B1942" t="s">
        <v>821</v>
      </c>
      <c r="C1942" t="s">
        <v>5278</v>
      </c>
      <c r="E1942" t="s">
        <v>19213</v>
      </c>
      <c r="F1942" t="s">
        <v>30052</v>
      </c>
      <c r="G1942" t="s">
        <v>30058</v>
      </c>
      <c r="H1942" t="s">
        <v>15498</v>
      </c>
      <c r="I1942" t="s">
        <v>4119</v>
      </c>
      <c r="J1942" t="s">
        <v>31569</v>
      </c>
      <c r="K1942" t="s">
        <v>39025</v>
      </c>
      <c r="M1942" t="s">
        <v>40138</v>
      </c>
      <c r="N1942" t="s">
        <v>43166</v>
      </c>
      <c r="O1942" t="s">
        <v>43167</v>
      </c>
      <c r="P1942">
        <v>0</v>
      </c>
      <c r="Q1942">
        <v>2</v>
      </c>
      <c r="R1942" t="s">
        <v>43170</v>
      </c>
      <c r="S1942" t="s">
        <v>43297</v>
      </c>
      <c r="T1942" t="s">
        <v>44764</v>
      </c>
      <c r="U1942" t="s">
        <v>46804</v>
      </c>
      <c r="W1942" t="s">
        <v>40138</v>
      </c>
      <c r="X1942" t="s">
        <v>43171</v>
      </c>
    </row>
    <row r="1943" spans="1:24">
      <c r="A1943">
        <f>HYPERLINK("https://www.philgeps.gov.ph/GEPSNONPILOT/Tender/SplashBidNoticeAbstractUI.aspx?menuIndex=3&amp;refID=7085299&amp;Result=3","7085299")</f>
        <v>0</v>
      </c>
      <c r="B1943" t="s">
        <v>813</v>
      </c>
      <c r="C1943" t="s">
        <v>5279</v>
      </c>
      <c r="D1943" t="s">
        <v>17426</v>
      </c>
      <c r="E1943" t="s">
        <v>19214</v>
      </c>
      <c r="F1943" t="s">
        <v>30052</v>
      </c>
      <c r="G1943" t="s">
        <v>30059</v>
      </c>
      <c r="H1943" t="s">
        <v>15498</v>
      </c>
      <c r="I1943" t="s">
        <v>3852</v>
      </c>
      <c r="J1943" t="s">
        <v>31570</v>
      </c>
      <c r="K1943" t="s">
        <v>39039</v>
      </c>
      <c r="M1943" t="s">
        <v>40130</v>
      </c>
      <c r="N1943" t="s">
        <v>43166</v>
      </c>
      <c r="O1943" t="s">
        <v>43167</v>
      </c>
      <c r="P1943">
        <v>0</v>
      </c>
      <c r="Q1943">
        <v>0</v>
      </c>
      <c r="R1943" t="s">
        <v>43170</v>
      </c>
      <c r="S1943" t="s">
        <v>43297</v>
      </c>
      <c r="T1943" t="s">
        <v>44894</v>
      </c>
      <c r="U1943" t="s">
        <v>46805</v>
      </c>
      <c r="W1943" t="s">
        <v>40130</v>
      </c>
      <c r="X1943" t="s">
        <v>43171</v>
      </c>
    </row>
    <row r="1944" spans="1:24">
      <c r="A1944">
        <f>HYPERLINK("https://www.philgeps.gov.ph/GEPSNONPILOT/Tender/SplashBidNoticeAbstractUI.aspx?menuIndex=3&amp;refID=7085294&amp;Result=3","7085294")</f>
        <v>0</v>
      </c>
      <c r="B1944" t="s">
        <v>822</v>
      </c>
      <c r="C1944" t="s">
        <v>5280</v>
      </c>
      <c r="D1944" t="s">
        <v>17415</v>
      </c>
      <c r="E1944" t="s">
        <v>19215</v>
      </c>
      <c r="F1944" t="s">
        <v>30052</v>
      </c>
      <c r="G1944" t="s">
        <v>30062</v>
      </c>
      <c r="H1944" t="s">
        <v>15498</v>
      </c>
      <c r="I1944" t="s">
        <v>30070</v>
      </c>
      <c r="J1944" t="s">
        <v>31571</v>
      </c>
      <c r="K1944" t="s">
        <v>39019</v>
      </c>
      <c r="M1944" t="s">
        <v>40139</v>
      </c>
      <c r="N1944" t="s">
        <v>43166</v>
      </c>
      <c r="O1944" t="s">
        <v>43167</v>
      </c>
      <c r="P1944">
        <v>0</v>
      </c>
      <c r="Q1944">
        <v>7</v>
      </c>
      <c r="R1944" t="s">
        <v>43170</v>
      </c>
      <c r="S1944" t="s">
        <v>43297</v>
      </c>
      <c r="T1944" t="s">
        <v>44822</v>
      </c>
      <c r="U1944" t="s">
        <v>46806</v>
      </c>
      <c r="W1944" t="s">
        <v>40139</v>
      </c>
      <c r="X1944" t="s">
        <v>43171</v>
      </c>
    </row>
    <row r="1945" spans="1:24">
      <c r="A1945">
        <f>HYPERLINK("https://www.philgeps.gov.ph/GEPSNONPILOT/Tender/SplashBidNoticeAbstractUI.aspx?menuIndex=3&amp;refID=7085298&amp;Result=3","7085298")</f>
        <v>0</v>
      </c>
      <c r="B1945" t="s">
        <v>645</v>
      </c>
      <c r="C1945" t="s">
        <v>5281</v>
      </c>
      <c r="D1945" t="s">
        <v>17464</v>
      </c>
      <c r="E1945" t="s">
        <v>19216</v>
      </c>
      <c r="F1945" t="s">
        <v>30052</v>
      </c>
      <c r="G1945" t="s">
        <v>30065</v>
      </c>
      <c r="H1945" t="s">
        <v>30068</v>
      </c>
      <c r="I1945" t="s">
        <v>30068</v>
      </c>
      <c r="J1945" t="s">
        <v>31572</v>
      </c>
      <c r="K1945" t="s">
        <v>39025</v>
      </c>
      <c r="M1945" t="s">
        <v>39949</v>
      </c>
      <c r="N1945" t="s">
        <v>43166</v>
      </c>
      <c r="O1945" t="s">
        <v>43167</v>
      </c>
      <c r="P1945">
        <v>0</v>
      </c>
      <c r="Q1945">
        <v>4</v>
      </c>
      <c r="R1945" t="s">
        <v>43170</v>
      </c>
      <c r="S1945" t="s">
        <v>43297</v>
      </c>
      <c r="T1945" t="s">
        <v>44684</v>
      </c>
      <c r="U1945" t="s">
        <v>46807</v>
      </c>
      <c r="W1945" t="s">
        <v>39949</v>
      </c>
      <c r="X1945" t="s">
        <v>43171</v>
      </c>
    </row>
    <row r="1946" spans="1:24">
      <c r="A1946">
        <f>HYPERLINK("https://www.philgeps.gov.ph/GEPSNONPILOT/Tender/SplashBidNoticeAbstractUI.aspx?menuIndex=3&amp;refID=7085291&amp;Result=3","7085291")</f>
        <v>0</v>
      </c>
      <c r="B1946" t="s">
        <v>141</v>
      </c>
      <c r="C1946" t="s">
        <v>5282</v>
      </c>
      <c r="D1946" t="s">
        <v>17447</v>
      </c>
      <c r="E1946" t="s">
        <v>19217</v>
      </c>
      <c r="F1946" t="s">
        <v>30052</v>
      </c>
      <c r="G1946" t="s">
        <v>30058</v>
      </c>
      <c r="H1946" t="s">
        <v>15498</v>
      </c>
      <c r="I1946" t="s">
        <v>30128</v>
      </c>
      <c r="J1946" t="s">
        <v>30212</v>
      </c>
      <c r="K1946" t="s">
        <v>39046</v>
      </c>
      <c r="M1946" t="s">
        <v>40098</v>
      </c>
      <c r="N1946" t="s">
        <v>43166</v>
      </c>
      <c r="O1946" t="s">
        <v>43167</v>
      </c>
      <c r="P1946">
        <v>0</v>
      </c>
      <c r="Q1946">
        <v>14</v>
      </c>
      <c r="R1946" t="s">
        <v>43170</v>
      </c>
      <c r="S1946" t="s">
        <v>43297</v>
      </c>
      <c r="T1946" t="s">
        <v>44809</v>
      </c>
      <c r="U1946" t="s">
        <v>46808</v>
      </c>
      <c r="V1946" t="s">
        <v>57048</v>
      </c>
      <c r="W1946" t="s">
        <v>40098</v>
      </c>
      <c r="X1946" t="s">
        <v>43171</v>
      </c>
    </row>
    <row r="1947" spans="1:24">
      <c r="A1947">
        <f>HYPERLINK("https://www.philgeps.gov.ph/GEPSNONPILOT/Tender/SplashBidNoticeAbstractUI.aspx?menuIndex=3&amp;refID=7085290&amp;Result=3","7085290")</f>
        <v>0</v>
      </c>
      <c r="B1947" t="s">
        <v>789</v>
      </c>
      <c r="C1947" t="s">
        <v>5283</v>
      </c>
      <c r="D1947" t="s">
        <v>17413</v>
      </c>
      <c r="E1947" t="s">
        <v>19218</v>
      </c>
      <c r="F1947" t="s">
        <v>30052</v>
      </c>
      <c r="G1947" t="s">
        <v>30058</v>
      </c>
      <c r="H1947" t="s">
        <v>30068</v>
      </c>
      <c r="I1947" t="s">
        <v>3693</v>
      </c>
      <c r="J1947" t="s">
        <v>31573</v>
      </c>
      <c r="K1947" t="s">
        <v>39031</v>
      </c>
      <c r="M1947" t="s">
        <v>40106</v>
      </c>
      <c r="N1947" t="s">
        <v>43166</v>
      </c>
      <c r="O1947" t="s">
        <v>43167</v>
      </c>
      <c r="P1947">
        <v>0</v>
      </c>
      <c r="Q1947">
        <v>1</v>
      </c>
      <c r="R1947" t="s">
        <v>43170</v>
      </c>
      <c r="S1947" t="s">
        <v>43297</v>
      </c>
      <c r="T1947" t="s">
        <v>44679</v>
      </c>
      <c r="U1947" t="s">
        <v>46809</v>
      </c>
      <c r="W1947" t="s">
        <v>40106</v>
      </c>
      <c r="X1947" t="s">
        <v>43171</v>
      </c>
    </row>
    <row r="1948" spans="1:24">
      <c r="A1948">
        <f>HYPERLINK("https://www.philgeps.gov.ph/GEPSNONPILOT/Tender/SplashBidNoticeAbstractUI.aspx?menuIndex=3&amp;refID=7085261&amp;Result=3","7085261")</f>
        <v>0</v>
      </c>
      <c r="B1948" t="s">
        <v>765</v>
      </c>
      <c r="C1948" t="s">
        <v>5284</v>
      </c>
      <c r="D1948" t="s">
        <v>17468</v>
      </c>
      <c r="E1948" t="s">
        <v>19219</v>
      </c>
      <c r="F1948" t="s">
        <v>30052</v>
      </c>
      <c r="G1948" t="s">
        <v>30058</v>
      </c>
      <c r="H1948" t="s">
        <v>15498</v>
      </c>
      <c r="I1948" t="s">
        <v>7228</v>
      </c>
      <c r="J1948" t="s">
        <v>31574</v>
      </c>
      <c r="K1948" t="s">
        <v>39067</v>
      </c>
      <c r="M1948" t="s">
        <v>40079</v>
      </c>
      <c r="N1948" t="s">
        <v>43166</v>
      </c>
      <c r="O1948" t="s">
        <v>43167</v>
      </c>
      <c r="P1948">
        <v>0</v>
      </c>
      <c r="Q1948">
        <v>2</v>
      </c>
      <c r="R1948" t="s">
        <v>43170</v>
      </c>
      <c r="S1948" t="s">
        <v>43297</v>
      </c>
      <c r="T1948" t="s">
        <v>44891</v>
      </c>
      <c r="U1948" t="s">
        <v>46810</v>
      </c>
      <c r="W1948" t="s">
        <v>40079</v>
      </c>
      <c r="X1948" t="s">
        <v>43171</v>
      </c>
    </row>
    <row r="1949" spans="1:24">
      <c r="A1949">
        <f>HYPERLINK("https://www.philgeps.gov.ph/GEPSNONPILOT/Tender/SplashBidNoticeAbstractUI.aspx?menuIndex=3&amp;refID=7085256&amp;Result=3","7085256")</f>
        <v>0</v>
      </c>
      <c r="B1949" t="s">
        <v>529</v>
      </c>
      <c r="C1949" t="s">
        <v>4615</v>
      </c>
      <c r="D1949" t="s">
        <v>17474</v>
      </c>
      <c r="E1949" t="s">
        <v>19220</v>
      </c>
      <c r="F1949" t="s">
        <v>30052</v>
      </c>
      <c r="G1949" t="s">
        <v>30058</v>
      </c>
      <c r="H1949" t="s">
        <v>15498</v>
      </c>
      <c r="I1949" t="s">
        <v>30094</v>
      </c>
      <c r="J1949" t="s">
        <v>31575</v>
      </c>
      <c r="K1949" t="s">
        <v>39034</v>
      </c>
      <c r="M1949" t="s">
        <v>39831</v>
      </c>
      <c r="N1949" t="s">
        <v>43166</v>
      </c>
      <c r="O1949" t="s">
        <v>43167</v>
      </c>
      <c r="P1949">
        <v>0</v>
      </c>
      <c r="Q1949">
        <v>0</v>
      </c>
      <c r="R1949" t="s">
        <v>43170</v>
      </c>
      <c r="S1949" t="s">
        <v>43297</v>
      </c>
      <c r="T1949" t="s">
        <v>44704</v>
      </c>
      <c r="U1949" t="s">
        <v>46811</v>
      </c>
      <c r="V1949" t="s">
        <v>57049</v>
      </c>
      <c r="W1949" t="s">
        <v>39831</v>
      </c>
      <c r="X1949" t="s">
        <v>43171</v>
      </c>
    </row>
    <row r="1950" spans="1:24">
      <c r="A1950">
        <f>HYPERLINK("https://www.philgeps.gov.ph/GEPSNONPILOT/Tender/SplashBidNoticeAbstractUI.aspx?menuIndex=3&amp;refID=7085287&amp;Result=3","7085287")</f>
        <v>0</v>
      </c>
      <c r="B1950" t="s">
        <v>823</v>
      </c>
      <c r="C1950" t="s">
        <v>5285</v>
      </c>
      <c r="D1950" t="s">
        <v>17435</v>
      </c>
      <c r="E1950" t="s">
        <v>18483</v>
      </c>
      <c r="F1950" t="s">
        <v>30052</v>
      </c>
      <c r="G1950" t="s">
        <v>30059</v>
      </c>
      <c r="H1950" t="s">
        <v>15498</v>
      </c>
      <c r="I1950" t="s">
        <v>7228</v>
      </c>
      <c r="J1950" t="s">
        <v>30447</v>
      </c>
      <c r="K1950" t="s">
        <v>39025</v>
      </c>
      <c r="M1950" t="s">
        <v>40140</v>
      </c>
      <c r="N1950" t="s">
        <v>43166</v>
      </c>
      <c r="O1950" t="s">
        <v>43167</v>
      </c>
      <c r="P1950">
        <v>0</v>
      </c>
      <c r="Q1950">
        <v>0</v>
      </c>
      <c r="R1950" t="s">
        <v>43170</v>
      </c>
      <c r="S1950" t="s">
        <v>43297</v>
      </c>
      <c r="T1950" t="s">
        <v>44735</v>
      </c>
      <c r="U1950" t="s">
        <v>46812</v>
      </c>
      <c r="W1950" t="s">
        <v>40140</v>
      </c>
      <c r="X1950" t="s">
        <v>43171</v>
      </c>
    </row>
    <row r="1951" spans="1:24">
      <c r="A1951">
        <f>HYPERLINK("https://www.philgeps.gov.ph/GEPSNONPILOT/Tender/SplashBidNoticeAbstractUI.aspx?menuIndex=3&amp;refID=7085286&amp;Result=3","7085286")</f>
        <v>0</v>
      </c>
      <c r="B1951" t="s">
        <v>801</v>
      </c>
      <c r="C1951" t="s">
        <v>5286</v>
      </c>
      <c r="D1951" t="s">
        <v>17459</v>
      </c>
      <c r="E1951" t="s">
        <v>19221</v>
      </c>
      <c r="F1951" t="s">
        <v>30052</v>
      </c>
      <c r="G1951" t="s">
        <v>30059</v>
      </c>
      <c r="H1951" t="s">
        <v>15498</v>
      </c>
      <c r="I1951" t="s">
        <v>30114</v>
      </c>
      <c r="J1951" t="s">
        <v>31576</v>
      </c>
      <c r="K1951" t="s">
        <v>39018</v>
      </c>
      <c r="M1951" t="s">
        <v>40118</v>
      </c>
      <c r="N1951" t="s">
        <v>43166</v>
      </c>
      <c r="O1951" t="s">
        <v>43167</v>
      </c>
      <c r="P1951">
        <v>0</v>
      </c>
      <c r="Q1951">
        <v>6</v>
      </c>
      <c r="R1951" t="s">
        <v>43170</v>
      </c>
      <c r="S1951" t="s">
        <v>43297</v>
      </c>
      <c r="T1951" t="s">
        <v>44837</v>
      </c>
      <c r="U1951" t="s">
        <v>46813</v>
      </c>
      <c r="V1951" t="s">
        <v>57041</v>
      </c>
      <c r="W1951" t="s">
        <v>40118</v>
      </c>
      <c r="X1951" t="s">
        <v>43171</v>
      </c>
    </row>
    <row r="1952" spans="1:24">
      <c r="A1952">
        <f>HYPERLINK("https://www.philgeps.gov.ph/GEPSNONPILOT/Tender/SplashBidNoticeAbstractUI.aspx?menuIndex=3&amp;refID=7085289&amp;Result=3","7085289")</f>
        <v>0</v>
      </c>
      <c r="B1952" t="s">
        <v>824</v>
      </c>
      <c r="C1952" t="s">
        <v>5287</v>
      </c>
      <c r="D1952" t="s">
        <v>17446</v>
      </c>
      <c r="E1952" t="s">
        <v>19222</v>
      </c>
      <c r="F1952" t="s">
        <v>30052</v>
      </c>
      <c r="G1952" t="s">
        <v>30061</v>
      </c>
      <c r="H1952" t="s">
        <v>15498</v>
      </c>
      <c r="I1952" t="s">
        <v>30081</v>
      </c>
      <c r="J1952" t="s">
        <v>31577</v>
      </c>
      <c r="K1952" t="s">
        <v>39017</v>
      </c>
      <c r="M1952" t="s">
        <v>40141</v>
      </c>
      <c r="N1952" t="s">
        <v>43166</v>
      </c>
      <c r="O1952" t="s">
        <v>43167</v>
      </c>
      <c r="P1952">
        <v>0</v>
      </c>
      <c r="Q1952">
        <v>1</v>
      </c>
      <c r="R1952" t="s">
        <v>43170</v>
      </c>
      <c r="S1952" t="s">
        <v>43297</v>
      </c>
      <c r="T1952" t="s">
        <v>44832</v>
      </c>
      <c r="U1952" t="s">
        <v>46814</v>
      </c>
      <c r="W1952" t="s">
        <v>40141</v>
      </c>
      <c r="X1952" t="s">
        <v>43171</v>
      </c>
    </row>
    <row r="1953" spans="1:24">
      <c r="A1953">
        <f>HYPERLINK("https://www.philgeps.gov.ph/GEPSNONPILOT/Tender/SplashBidNoticeAbstractUI.aspx?menuIndex=3&amp;refID=7085260&amp;Result=3","7085260")</f>
        <v>0</v>
      </c>
      <c r="B1953" t="s">
        <v>825</v>
      </c>
      <c r="C1953" t="s">
        <v>5288</v>
      </c>
      <c r="D1953" t="s">
        <v>17445</v>
      </c>
      <c r="E1953" t="s">
        <v>19223</v>
      </c>
      <c r="F1953" t="s">
        <v>30052</v>
      </c>
      <c r="G1953" t="s">
        <v>30059</v>
      </c>
      <c r="H1953" t="s">
        <v>15498</v>
      </c>
      <c r="I1953" t="s">
        <v>3736</v>
      </c>
      <c r="J1953" t="s">
        <v>31578</v>
      </c>
      <c r="K1953" t="s">
        <v>39029</v>
      </c>
      <c r="M1953" t="s">
        <v>40142</v>
      </c>
      <c r="N1953" t="s">
        <v>43166</v>
      </c>
      <c r="O1953" t="s">
        <v>43167</v>
      </c>
      <c r="P1953">
        <v>0</v>
      </c>
      <c r="Q1953">
        <v>0</v>
      </c>
      <c r="R1953" t="s">
        <v>43170</v>
      </c>
      <c r="S1953" t="s">
        <v>43297</v>
      </c>
      <c r="T1953" t="s">
        <v>44844</v>
      </c>
      <c r="U1953" t="s">
        <v>46815</v>
      </c>
      <c r="W1953" t="s">
        <v>40142</v>
      </c>
      <c r="X1953" t="s">
        <v>43171</v>
      </c>
    </row>
    <row r="1954" spans="1:24">
      <c r="A1954">
        <f>HYPERLINK("https://www.philgeps.gov.ph/GEPSNONPILOT/Tender/SplashBidNoticeAbstractUI.aspx?menuIndex=3&amp;refID=7085288&amp;Result=3","7085288")</f>
        <v>0</v>
      </c>
      <c r="B1954" t="s">
        <v>826</v>
      </c>
      <c r="C1954" t="s">
        <v>5289</v>
      </c>
      <c r="D1954" t="s">
        <v>17415</v>
      </c>
      <c r="E1954" t="s">
        <v>19224</v>
      </c>
      <c r="F1954" t="s">
        <v>30052</v>
      </c>
      <c r="G1954" t="s">
        <v>30059</v>
      </c>
      <c r="H1954" t="s">
        <v>15498</v>
      </c>
      <c r="I1954" t="s">
        <v>30084</v>
      </c>
      <c r="J1954" t="s">
        <v>30222</v>
      </c>
      <c r="K1954" t="s">
        <v>39025</v>
      </c>
      <c r="M1954" t="s">
        <v>40143</v>
      </c>
      <c r="N1954" t="s">
        <v>43166</v>
      </c>
      <c r="O1954" t="s">
        <v>43167</v>
      </c>
      <c r="P1954">
        <v>0</v>
      </c>
      <c r="Q1954">
        <v>8</v>
      </c>
      <c r="R1954" t="s">
        <v>43170</v>
      </c>
      <c r="S1954" t="s">
        <v>43297</v>
      </c>
      <c r="T1954" t="s">
        <v>44681</v>
      </c>
      <c r="U1954" t="s">
        <v>46816</v>
      </c>
      <c r="W1954" t="s">
        <v>40143</v>
      </c>
      <c r="X1954" t="s">
        <v>43171</v>
      </c>
    </row>
    <row r="1955" spans="1:24">
      <c r="A1955">
        <f>HYPERLINK("https://www.philgeps.gov.ph/GEPSNONPILOT/Tender/SplashBidNoticeAbstractUI.aspx?menuIndex=3&amp;refID=7085297&amp;Result=3","7085297")</f>
        <v>0</v>
      </c>
      <c r="B1955" t="s">
        <v>358</v>
      </c>
      <c r="C1955" t="s">
        <v>5290</v>
      </c>
      <c r="D1955" t="s">
        <v>17421</v>
      </c>
      <c r="E1955" t="s">
        <v>18184</v>
      </c>
      <c r="F1955" t="s">
        <v>30052</v>
      </c>
      <c r="G1955" t="s">
        <v>30059</v>
      </c>
      <c r="H1955" t="s">
        <v>15498</v>
      </c>
      <c r="I1955" t="s">
        <v>30077</v>
      </c>
      <c r="J1955" t="s">
        <v>31579</v>
      </c>
      <c r="K1955" t="s">
        <v>39019</v>
      </c>
      <c r="M1955" t="s">
        <v>39655</v>
      </c>
      <c r="N1955" t="s">
        <v>43166</v>
      </c>
      <c r="O1955" t="s">
        <v>43167</v>
      </c>
      <c r="P1955">
        <v>0</v>
      </c>
      <c r="Q1955">
        <v>1</v>
      </c>
      <c r="R1955" t="s">
        <v>43170</v>
      </c>
      <c r="S1955" t="s">
        <v>43297</v>
      </c>
      <c r="T1955" t="s">
        <v>44773</v>
      </c>
      <c r="U1955" t="s">
        <v>46817</v>
      </c>
      <c r="W1955" t="s">
        <v>39655</v>
      </c>
      <c r="X1955" t="s">
        <v>43171</v>
      </c>
    </row>
    <row r="1956" spans="1:24">
      <c r="A1956">
        <f>HYPERLINK("https://www.philgeps.gov.ph/GEPSNONPILOT/Tender/SplashBidNoticeAbstractUI.aspx?menuIndex=3&amp;refID=7085303&amp;Result=3","7085303")</f>
        <v>0</v>
      </c>
      <c r="B1956" t="s">
        <v>827</v>
      </c>
      <c r="C1956" t="s">
        <v>5291</v>
      </c>
      <c r="D1956" t="s">
        <v>17456</v>
      </c>
      <c r="E1956" t="s">
        <v>19225</v>
      </c>
      <c r="F1956" t="s">
        <v>30052</v>
      </c>
      <c r="G1956" t="s">
        <v>30059</v>
      </c>
      <c r="H1956" t="s">
        <v>30067</v>
      </c>
      <c r="I1956" t="s">
        <v>6304</v>
      </c>
      <c r="J1956" t="s">
        <v>31580</v>
      </c>
      <c r="K1956" t="s">
        <v>39029</v>
      </c>
      <c r="M1956" t="s">
        <v>40144</v>
      </c>
      <c r="N1956" t="s">
        <v>43166</v>
      </c>
      <c r="O1956" t="s">
        <v>43167</v>
      </c>
      <c r="P1956">
        <v>0</v>
      </c>
      <c r="Q1956">
        <v>0</v>
      </c>
      <c r="R1956" t="s">
        <v>43170</v>
      </c>
      <c r="S1956" t="s">
        <v>43297</v>
      </c>
      <c r="T1956" t="s">
        <v>44715</v>
      </c>
      <c r="U1956" t="s">
        <v>46818</v>
      </c>
      <c r="W1956" t="s">
        <v>40144</v>
      </c>
      <c r="X1956" t="s">
        <v>43171</v>
      </c>
    </row>
    <row r="1957" spans="1:24">
      <c r="A1957">
        <f>HYPERLINK("https://www.philgeps.gov.ph/GEPSNONPILOT/Tender/SplashBidNoticeAbstractUI.aspx?menuIndex=3&amp;refID=7085324&amp;Result=3","7085324")</f>
        <v>0</v>
      </c>
      <c r="B1957" t="s">
        <v>742</v>
      </c>
      <c r="C1957" t="s">
        <v>5292</v>
      </c>
      <c r="D1957" t="s">
        <v>17455</v>
      </c>
      <c r="E1957" t="s">
        <v>18822</v>
      </c>
      <c r="F1957" t="s">
        <v>30052</v>
      </c>
      <c r="G1957" t="s">
        <v>30061</v>
      </c>
      <c r="H1957" t="s">
        <v>15498</v>
      </c>
      <c r="I1957" t="s">
        <v>30070</v>
      </c>
      <c r="J1957" t="s">
        <v>30428</v>
      </c>
      <c r="K1957" t="s">
        <v>39029</v>
      </c>
      <c r="M1957" t="s">
        <v>40056</v>
      </c>
      <c r="N1957" t="s">
        <v>43166</v>
      </c>
      <c r="O1957" t="s">
        <v>43167</v>
      </c>
      <c r="P1957">
        <v>0</v>
      </c>
      <c r="Q1957">
        <v>0</v>
      </c>
      <c r="R1957" t="s">
        <v>43170</v>
      </c>
      <c r="S1957" t="s">
        <v>43297</v>
      </c>
      <c r="T1957" t="s">
        <v>44837</v>
      </c>
      <c r="U1957" t="s">
        <v>46819</v>
      </c>
      <c r="W1957" t="s">
        <v>58614</v>
      </c>
      <c r="X1957" t="s">
        <v>43171</v>
      </c>
    </row>
    <row r="1958" spans="1:24">
      <c r="A1958">
        <f>HYPERLINK("https://www.philgeps.gov.ph/GEPSNONPILOT/Tender/SplashBidNoticeAbstractUI.aspx?menuIndex=3&amp;refID=7085254&amp;Result=3","7085254")</f>
        <v>0</v>
      </c>
      <c r="B1958" t="s">
        <v>645</v>
      </c>
      <c r="C1958" t="s">
        <v>5293</v>
      </c>
      <c r="D1958" t="s">
        <v>17464</v>
      </c>
      <c r="E1958" t="s">
        <v>19226</v>
      </c>
      <c r="F1958" t="s">
        <v>30052</v>
      </c>
      <c r="G1958" t="s">
        <v>30065</v>
      </c>
      <c r="H1958" t="s">
        <v>30068</v>
      </c>
      <c r="I1958" t="s">
        <v>30068</v>
      </c>
      <c r="J1958" t="s">
        <v>31581</v>
      </c>
      <c r="K1958" t="s">
        <v>39025</v>
      </c>
      <c r="M1958" t="s">
        <v>39949</v>
      </c>
      <c r="N1958" t="s">
        <v>43166</v>
      </c>
      <c r="O1958" t="s">
        <v>43167</v>
      </c>
      <c r="P1958">
        <v>0</v>
      </c>
      <c r="Q1958">
        <v>4</v>
      </c>
      <c r="R1958" t="s">
        <v>43170</v>
      </c>
      <c r="S1958" t="s">
        <v>43297</v>
      </c>
      <c r="T1958" t="s">
        <v>44684</v>
      </c>
      <c r="U1958" t="s">
        <v>46820</v>
      </c>
      <c r="W1958" t="s">
        <v>39949</v>
      </c>
      <c r="X1958" t="s">
        <v>43171</v>
      </c>
    </row>
    <row r="1959" spans="1:24">
      <c r="A1959">
        <f>HYPERLINK("https://www.philgeps.gov.ph/GEPSNONPILOT/Tender/SplashBidNoticeAbstractUI.aspx?menuIndex=3&amp;refID=7085322&amp;Result=3","7085322")</f>
        <v>0</v>
      </c>
      <c r="B1959" t="s">
        <v>800</v>
      </c>
      <c r="C1959" t="s">
        <v>5294</v>
      </c>
      <c r="D1959" t="s">
        <v>17453</v>
      </c>
      <c r="E1959" t="s">
        <v>19227</v>
      </c>
      <c r="F1959" t="s">
        <v>30052</v>
      </c>
      <c r="G1959" t="s">
        <v>30061</v>
      </c>
      <c r="H1959" t="s">
        <v>15498</v>
      </c>
      <c r="I1959" t="s">
        <v>30110</v>
      </c>
      <c r="J1959" t="s">
        <v>30218</v>
      </c>
      <c r="K1959" t="s">
        <v>39018</v>
      </c>
      <c r="M1959" t="s">
        <v>40117</v>
      </c>
      <c r="N1959" t="s">
        <v>43166</v>
      </c>
      <c r="O1959" t="s">
        <v>43167</v>
      </c>
      <c r="P1959">
        <v>0</v>
      </c>
      <c r="Q1959">
        <v>3</v>
      </c>
      <c r="R1959" t="s">
        <v>43170</v>
      </c>
      <c r="S1959" t="s">
        <v>43297</v>
      </c>
      <c r="T1959" t="s">
        <v>44837</v>
      </c>
      <c r="U1959" t="s">
        <v>46821</v>
      </c>
      <c r="W1959" t="s">
        <v>40117</v>
      </c>
      <c r="X1959" t="s">
        <v>43171</v>
      </c>
    </row>
    <row r="1960" spans="1:24">
      <c r="A1960">
        <f>HYPERLINK("https://www.philgeps.gov.ph/GEPSNONPILOT/Tender/SplashBidNoticeAbstractUI.aspx?menuIndex=3&amp;refID=7085329&amp;Result=3","7085329")</f>
        <v>0</v>
      </c>
      <c r="B1960" t="s">
        <v>645</v>
      </c>
      <c r="C1960" t="s">
        <v>5295</v>
      </c>
      <c r="D1960" t="s">
        <v>17464</v>
      </c>
      <c r="E1960" t="s">
        <v>19228</v>
      </c>
      <c r="F1960" t="s">
        <v>30052</v>
      </c>
      <c r="G1960" t="s">
        <v>30065</v>
      </c>
      <c r="H1960" t="s">
        <v>30068</v>
      </c>
      <c r="I1960" t="s">
        <v>30068</v>
      </c>
      <c r="J1960" t="s">
        <v>31582</v>
      </c>
      <c r="K1960" t="s">
        <v>39025</v>
      </c>
      <c r="M1960" t="s">
        <v>39949</v>
      </c>
      <c r="N1960" t="s">
        <v>43166</v>
      </c>
      <c r="O1960" t="s">
        <v>43167</v>
      </c>
      <c r="P1960">
        <v>0</v>
      </c>
      <c r="Q1960">
        <v>4</v>
      </c>
      <c r="R1960" t="s">
        <v>43170</v>
      </c>
      <c r="S1960" t="s">
        <v>43297</v>
      </c>
      <c r="T1960" t="s">
        <v>44684</v>
      </c>
      <c r="U1960" t="s">
        <v>46822</v>
      </c>
      <c r="W1960" t="s">
        <v>39949</v>
      </c>
      <c r="X1960" t="s">
        <v>43171</v>
      </c>
    </row>
    <row r="1961" spans="1:24">
      <c r="A1961">
        <f>HYPERLINK("https://www.philgeps.gov.ph/GEPSNONPILOT/Tender/SplashBidNoticeAbstractUI.aspx?menuIndex=3&amp;refID=7085285&amp;Result=3","7085285")</f>
        <v>0</v>
      </c>
      <c r="B1961" t="s">
        <v>798</v>
      </c>
      <c r="C1961" t="s">
        <v>5296</v>
      </c>
      <c r="D1961" t="s">
        <v>17435</v>
      </c>
      <c r="E1961" t="s">
        <v>19229</v>
      </c>
      <c r="F1961" t="s">
        <v>30055</v>
      </c>
      <c r="G1961" t="s">
        <v>30058</v>
      </c>
      <c r="H1961" t="s">
        <v>30067</v>
      </c>
      <c r="I1961" t="s">
        <v>3693</v>
      </c>
      <c r="J1961" t="s">
        <v>30645</v>
      </c>
      <c r="K1961" t="s">
        <v>39026</v>
      </c>
      <c r="M1961" t="s">
        <v>40115</v>
      </c>
      <c r="N1961" t="s">
        <v>43166</v>
      </c>
      <c r="O1961" t="s">
        <v>43167</v>
      </c>
      <c r="P1961">
        <v>0</v>
      </c>
      <c r="Q1961">
        <v>1</v>
      </c>
      <c r="R1961" t="s">
        <v>43170</v>
      </c>
      <c r="S1961" t="s">
        <v>43297</v>
      </c>
      <c r="T1961" t="s">
        <v>44828</v>
      </c>
      <c r="U1961" t="s">
        <v>46761</v>
      </c>
      <c r="V1961" t="s">
        <v>57039</v>
      </c>
      <c r="W1961" t="s">
        <v>40115</v>
      </c>
      <c r="X1961" t="s">
        <v>43171</v>
      </c>
    </row>
    <row r="1962" spans="1:24">
      <c r="A1962">
        <f>HYPERLINK("https://www.philgeps.gov.ph/GEPSNONPILOT/Tender/SplashBidNoticeAbstractUI.aspx?menuIndex=3&amp;refID=7085328&amp;Result=3","7085328")</f>
        <v>0</v>
      </c>
      <c r="B1962" t="s">
        <v>814</v>
      </c>
      <c r="C1962" t="s">
        <v>5297</v>
      </c>
      <c r="D1962" t="s">
        <v>17424</v>
      </c>
      <c r="E1962" t="s">
        <v>19230</v>
      </c>
      <c r="F1962" t="s">
        <v>30052</v>
      </c>
      <c r="G1962" t="s">
        <v>30059</v>
      </c>
      <c r="H1962" t="s">
        <v>15498</v>
      </c>
      <c r="I1962" t="s">
        <v>30109</v>
      </c>
      <c r="J1962" t="s">
        <v>31583</v>
      </c>
      <c r="K1962" t="s">
        <v>39017</v>
      </c>
      <c r="M1962" t="s">
        <v>40131</v>
      </c>
      <c r="N1962" t="s">
        <v>43166</v>
      </c>
      <c r="O1962" t="s">
        <v>43167</v>
      </c>
      <c r="P1962">
        <v>0</v>
      </c>
      <c r="Q1962">
        <v>2</v>
      </c>
      <c r="R1962" t="s">
        <v>43170</v>
      </c>
      <c r="S1962" t="s">
        <v>43297</v>
      </c>
      <c r="T1962" t="s">
        <v>44720</v>
      </c>
      <c r="U1962" t="s">
        <v>46823</v>
      </c>
      <c r="W1962" t="s">
        <v>40131</v>
      </c>
      <c r="X1962" t="s">
        <v>43171</v>
      </c>
    </row>
    <row r="1963" spans="1:24">
      <c r="A1963">
        <f>HYPERLINK("https://www.philgeps.gov.ph/GEPSNONPILOT/Tender/SplashBidNoticeAbstractUI.aspx?menuIndex=3&amp;refID=7085237&amp;Result=3","7085237")</f>
        <v>0</v>
      </c>
      <c r="B1963" t="s">
        <v>645</v>
      </c>
      <c r="C1963" t="s">
        <v>5298</v>
      </c>
      <c r="D1963" t="s">
        <v>17464</v>
      </c>
      <c r="E1963" t="s">
        <v>19231</v>
      </c>
      <c r="F1963" t="s">
        <v>30052</v>
      </c>
      <c r="G1963" t="s">
        <v>30065</v>
      </c>
      <c r="H1963" t="s">
        <v>30068</v>
      </c>
      <c r="I1963" t="s">
        <v>30068</v>
      </c>
      <c r="J1963" t="s">
        <v>31584</v>
      </c>
      <c r="K1963" t="s">
        <v>39025</v>
      </c>
      <c r="M1963" t="s">
        <v>39949</v>
      </c>
      <c r="N1963" t="s">
        <v>43166</v>
      </c>
      <c r="O1963" t="s">
        <v>43167</v>
      </c>
      <c r="P1963">
        <v>0</v>
      </c>
      <c r="Q1963">
        <v>5</v>
      </c>
      <c r="R1963" t="s">
        <v>43170</v>
      </c>
      <c r="S1963" t="s">
        <v>43297</v>
      </c>
      <c r="T1963" t="s">
        <v>44684</v>
      </c>
      <c r="U1963" t="s">
        <v>46824</v>
      </c>
      <c r="W1963" t="s">
        <v>39949</v>
      </c>
      <c r="X1963" t="s">
        <v>43171</v>
      </c>
    </row>
    <row r="1964" spans="1:24">
      <c r="A1964">
        <f>HYPERLINK("https://www.philgeps.gov.ph/GEPSNONPILOT/Tender/SplashBidNoticeAbstractUI.aspx?menuIndex=3&amp;refID=7085315&amp;Result=3","7085315")</f>
        <v>0</v>
      </c>
      <c r="B1964" t="s">
        <v>820</v>
      </c>
      <c r="C1964" t="s">
        <v>5299</v>
      </c>
      <c r="E1964" t="s">
        <v>19232</v>
      </c>
      <c r="F1964" t="s">
        <v>30052</v>
      </c>
      <c r="G1964" t="s">
        <v>30059</v>
      </c>
      <c r="H1964" t="s">
        <v>15498</v>
      </c>
      <c r="I1964" t="s">
        <v>7228</v>
      </c>
      <c r="J1964" t="s">
        <v>31585</v>
      </c>
      <c r="K1964" t="s">
        <v>39017</v>
      </c>
      <c r="M1964" t="s">
        <v>40137</v>
      </c>
      <c r="N1964" t="s">
        <v>43166</v>
      </c>
      <c r="O1964" t="s">
        <v>43167</v>
      </c>
      <c r="P1964">
        <v>0</v>
      </c>
      <c r="Q1964">
        <v>0</v>
      </c>
      <c r="R1964" t="s">
        <v>43170</v>
      </c>
      <c r="S1964" t="s">
        <v>43297</v>
      </c>
      <c r="T1964" t="s">
        <v>44798</v>
      </c>
      <c r="U1964" t="s">
        <v>46825</v>
      </c>
      <c r="V1964" t="s">
        <v>57047</v>
      </c>
      <c r="W1964" t="s">
        <v>40137</v>
      </c>
      <c r="X1964" t="s">
        <v>43171</v>
      </c>
    </row>
    <row r="1965" spans="1:24">
      <c r="A1965">
        <f>HYPERLINK("https://www.philgeps.gov.ph/GEPSNONPILOT/Tender/SplashBidNoticeAbstractUI.aspx?menuIndex=3&amp;refID=7085314&amp;Result=3","7085314")</f>
        <v>0</v>
      </c>
      <c r="B1965" t="s">
        <v>798</v>
      </c>
      <c r="C1965" t="s">
        <v>5300</v>
      </c>
      <c r="D1965" t="s">
        <v>17435</v>
      </c>
      <c r="E1965" t="s">
        <v>19233</v>
      </c>
      <c r="F1965" t="s">
        <v>30055</v>
      </c>
      <c r="G1965" t="s">
        <v>30058</v>
      </c>
      <c r="H1965" t="s">
        <v>30067</v>
      </c>
      <c r="I1965" t="s">
        <v>3693</v>
      </c>
      <c r="J1965" t="s">
        <v>31564</v>
      </c>
      <c r="K1965" t="s">
        <v>39057</v>
      </c>
      <c r="M1965" t="s">
        <v>40115</v>
      </c>
      <c r="N1965" t="s">
        <v>43166</v>
      </c>
      <c r="O1965" t="s">
        <v>43167</v>
      </c>
      <c r="P1965">
        <v>0</v>
      </c>
      <c r="Q1965">
        <v>2</v>
      </c>
      <c r="R1965" t="s">
        <v>43170</v>
      </c>
      <c r="S1965" t="s">
        <v>43297</v>
      </c>
      <c r="T1965" t="s">
        <v>44828</v>
      </c>
      <c r="U1965" t="s">
        <v>46761</v>
      </c>
      <c r="V1965" t="s">
        <v>57039</v>
      </c>
      <c r="W1965" t="s">
        <v>40115</v>
      </c>
      <c r="X1965" t="s">
        <v>43171</v>
      </c>
    </row>
    <row r="1966" spans="1:24">
      <c r="A1966">
        <f>HYPERLINK("https://www.philgeps.gov.ph/GEPSNONPILOT/Tender/SplashBidNoticeAbstractUI.aspx?menuIndex=3&amp;refID=7085363&amp;Result=3","7085363")</f>
        <v>0</v>
      </c>
      <c r="B1966" t="s">
        <v>828</v>
      </c>
      <c r="C1966" t="s">
        <v>5301</v>
      </c>
      <c r="D1966" t="s">
        <v>17422</v>
      </c>
      <c r="E1966" t="s">
        <v>19234</v>
      </c>
      <c r="F1966" t="s">
        <v>30052</v>
      </c>
      <c r="G1966" t="s">
        <v>30059</v>
      </c>
      <c r="H1966" t="s">
        <v>15498</v>
      </c>
      <c r="I1966" t="s">
        <v>30073</v>
      </c>
      <c r="J1966" t="s">
        <v>31586</v>
      </c>
      <c r="K1966" t="s">
        <v>39029</v>
      </c>
      <c r="M1966" t="s">
        <v>40145</v>
      </c>
      <c r="N1966" t="s">
        <v>43166</v>
      </c>
      <c r="O1966" t="s">
        <v>43167</v>
      </c>
      <c r="P1966">
        <v>0</v>
      </c>
      <c r="Q1966">
        <v>0</v>
      </c>
      <c r="R1966" t="s">
        <v>43170</v>
      </c>
      <c r="S1966" t="s">
        <v>43297</v>
      </c>
      <c r="T1966" t="s">
        <v>44856</v>
      </c>
      <c r="U1966" t="s">
        <v>46826</v>
      </c>
      <c r="W1966" t="s">
        <v>40145</v>
      </c>
      <c r="X1966" t="s">
        <v>43171</v>
      </c>
    </row>
    <row r="1967" spans="1:24">
      <c r="A1967">
        <f>HYPERLINK("https://www.philgeps.gov.ph/GEPSNONPILOT/Tender/SplashBidNoticeAbstractUI.aspx?menuIndex=3&amp;refID=7085361&amp;Result=3","7085361")</f>
        <v>0</v>
      </c>
      <c r="B1967" t="s">
        <v>789</v>
      </c>
      <c r="C1967" t="s">
        <v>5302</v>
      </c>
      <c r="D1967" t="s">
        <v>17413</v>
      </c>
      <c r="E1967" t="s">
        <v>19235</v>
      </c>
      <c r="F1967" t="s">
        <v>30052</v>
      </c>
      <c r="G1967" t="s">
        <v>30058</v>
      </c>
      <c r="H1967" t="s">
        <v>30068</v>
      </c>
      <c r="I1967" t="s">
        <v>3693</v>
      </c>
      <c r="J1967" t="s">
        <v>31587</v>
      </c>
      <c r="K1967" t="s">
        <v>39046</v>
      </c>
      <c r="M1967" t="s">
        <v>40106</v>
      </c>
      <c r="N1967" t="s">
        <v>43166</v>
      </c>
      <c r="O1967" t="s">
        <v>43167</v>
      </c>
      <c r="P1967">
        <v>0</v>
      </c>
      <c r="Q1967">
        <v>0</v>
      </c>
      <c r="R1967" t="s">
        <v>43170</v>
      </c>
      <c r="S1967" t="s">
        <v>43297</v>
      </c>
      <c r="T1967" t="s">
        <v>44679</v>
      </c>
      <c r="U1967" t="s">
        <v>46827</v>
      </c>
      <c r="W1967" t="s">
        <v>40106</v>
      </c>
      <c r="X1967" t="s">
        <v>43171</v>
      </c>
    </row>
    <row r="1968" spans="1:24">
      <c r="A1968">
        <f>HYPERLINK("https://www.philgeps.gov.ph/GEPSNONPILOT/Tender/SplashBidNoticeAbstractUI.aspx?menuIndex=3&amp;refID=7085359&amp;Result=3","7085359")</f>
        <v>0</v>
      </c>
      <c r="B1968" t="s">
        <v>808</v>
      </c>
      <c r="C1968" t="s">
        <v>5303</v>
      </c>
      <c r="D1968" t="s">
        <v>17459</v>
      </c>
      <c r="E1968" t="s">
        <v>19236</v>
      </c>
      <c r="F1968" t="s">
        <v>30052</v>
      </c>
      <c r="G1968" t="s">
        <v>30059</v>
      </c>
      <c r="H1968" t="s">
        <v>15498</v>
      </c>
      <c r="I1968" t="s">
        <v>3852</v>
      </c>
      <c r="J1968" t="s">
        <v>31588</v>
      </c>
      <c r="K1968" t="s">
        <v>39018</v>
      </c>
      <c r="M1968" t="s">
        <v>40125</v>
      </c>
      <c r="N1968" t="s">
        <v>43166</v>
      </c>
      <c r="O1968" t="s">
        <v>43167</v>
      </c>
      <c r="P1968">
        <v>0</v>
      </c>
      <c r="Q1968">
        <v>0</v>
      </c>
      <c r="R1968" t="s">
        <v>43170</v>
      </c>
      <c r="S1968" t="s">
        <v>43297</v>
      </c>
      <c r="T1968" t="s">
        <v>44843</v>
      </c>
      <c r="U1968" t="s">
        <v>46828</v>
      </c>
      <c r="V1968" t="s">
        <v>57045</v>
      </c>
      <c r="W1968" t="s">
        <v>40125</v>
      </c>
      <c r="X1968" t="s">
        <v>43171</v>
      </c>
    </row>
    <row r="1969" spans="1:24">
      <c r="A1969">
        <f>HYPERLINK("https://www.philgeps.gov.ph/GEPSNONPILOT/Tender/SplashBidNoticeAbstractUI.aspx?menuIndex=3&amp;refID=7085317&amp;Result=3","7085317")</f>
        <v>0</v>
      </c>
      <c r="B1969" t="s">
        <v>829</v>
      </c>
      <c r="C1969" t="s">
        <v>5304</v>
      </c>
      <c r="D1969" t="s">
        <v>17472</v>
      </c>
      <c r="E1969" t="s">
        <v>19237</v>
      </c>
      <c r="F1969" t="s">
        <v>30052</v>
      </c>
      <c r="G1969" t="s">
        <v>30058</v>
      </c>
      <c r="H1969" t="s">
        <v>30067</v>
      </c>
      <c r="I1969" t="s">
        <v>3693</v>
      </c>
      <c r="J1969" t="s">
        <v>31589</v>
      </c>
      <c r="K1969" t="s">
        <v>39031</v>
      </c>
      <c r="M1969" t="s">
        <v>40146</v>
      </c>
      <c r="N1969" t="s">
        <v>43166</v>
      </c>
      <c r="O1969" t="s">
        <v>43167</v>
      </c>
      <c r="P1969">
        <v>0</v>
      </c>
      <c r="Q1969">
        <v>0</v>
      </c>
      <c r="R1969" t="s">
        <v>43170</v>
      </c>
      <c r="S1969" t="s">
        <v>43297</v>
      </c>
      <c r="T1969" t="s">
        <v>44677</v>
      </c>
      <c r="U1969" t="s">
        <v>46829</v>
      </c>
      <c r="V1969" t="s">
        <v>57050</v>
      </c>
      <c r="W1969" t="s">
        <v>40146</v>
      </c>
      <c r="X1969" t="s">
        <v>43171</v>
      </c>
    </row>
    <row r="1970" spans="1:24">
      <c r="A1970">
        <f>HYPERLINK("https://www.philgeps.gov.ph/GEPSNONPILOT/Tender/SplashBidNoticeAbstractUI.aspx?menuIndex=3&amp;refID=7085358&amp;Result=3","7085358")</f>
        <v>0</v>
      </c>
      <c r="B1970" t="s">
        <v>726</v>
      </c>
      <c r="C1970" t="s">
        <v>5305</v>
      </c>
      <c r="D1970" t="s">
        <v>17477</v>
      </c>
      <c r="E1970" t="s">
        <v>19238</v>
      </c>
      <c r="F1970" t="s">
        <v>30052</v>
      </c>
      <c r="G1970" t="s">
        <v>30059</v>
      </c>
      <c r="H1970" t="s">
        <v>15498</v>
      </c>
      <c r="I1970" t="s">
        <v>30076</v>
      </c>
      <c r="J1970" t="s">
        <v>30248</v>
      </c>
      <c r="K1970" t="s">
        <v>39019</v>
      </c>
      <c r="M1970" t="s">
        <v>40037</v>
      </c>
      <c r="N1970" t="s">
        <v>43166</v>
      </c>
      <c r="O1970" t="s">
        <v>43167</v>
      </c>
      <c r="P1970">
        <v>0</v>
      </c>
      <c r="Q1970">
        <v>1</v>
      </c>
      <c r="R1970" t="s">
        <v>43170</v>
      </c>
      <c r="S1970" t="s">
        <v>43297</v>
      </c>
      <c r="T1970" t="s">
        <v>44714</v>
      </c>
      <c r="U1970" t="s">
        <v>46830</v>
      </c>
      <c r="W1970" t="s">
        <v>58613</v>
      </c>
      <c r="X1970" t="s">
        <v>43171</v>
      </c>
    </row>
    <row r="1971" spans="1:24">
      <c r="A1971">
        <f>HYPERLINK("https://www.philgeps.gov.ph/GEPSNONPILOT/Tender/SplashBidNoticeAbstractUI.aspx?menuIndex=3&amp;refID=7085321&amp;Result=3","7085321")</f>
        <v>0</v>
      </c>
      <c r="B1971" t="s">
        <v>645</v>
      </c>
      <c r="C1971" t="s">
        <v>5306</v>
      </c>
      <c r="D1971" t="s">
        <v>17464</v>
      </c>
      <c r="E1971" t="s">
        <v>19239</v>
      </c>
      <c r="F1971" t="s">
        <v>30052</v>
      </c>
      <c r="G1971" t="s">
        <v>30065</v>
      </c>
      <c r="H1971" t="s">
        <v>30068</v>
      </c>
      <c r="I1971" t="s">
        <v>30068</v>
      </c>
      <c r="J1971" t="s">
        <v>31590</v>
      </c>
      <c r="K1971" t="s">
        <v>39025</v>
      </c>
      <c r="M1971" t="s">
        <v>39949</v>
      </c>
      <c r="N1971" t="s">
        <v>43166</v>
      </c>
      <c r="O1971" t="s">
        <v>43167</v>
      </c>
      <c r="P1971">
        <v>0</v>
      </c>
      <c r="Q1971">
        <v>4</v>
      </c>
      <c r="R1971" t="s">
        <v>43170</v>
      </c>
      <c r="S1971" t="s">
        <v>43297</v>
      </c>
      <c r="T1971" t="s">
        <v>44684</v>
      </c>
      <c r="U1971" t="s">
        <v>46831</v>
      </c>
      <c r="W1971" t="s">
        <v>39949</v>
      </c>
      <c r="X1971" t="s">
        <v>43171</v>
      </c>
    </row>
    <row r="1972" spans="1:24">
      <c r="A1972">
        <f>HYPERLINK("https://www.philgeps.gov.ph/GEPSNONPILOT/Tender/SplashBidNoticeAbstractUI.aspx?menuIndex=3&amp;refID=7085318&amp;Result=3","7085318")</f>
        <v>0</v>
      </c>
      <c r="B1972" t="s">
        <v>830</v>
      </c>
      <c r="C1972" t="s">
        <v>5307</v>
      </c>
      <c r="E1972" t="s">
        <v>19240</v>
      </c>
      <c r="F1972" t="s">
        <v>30052</v>
      </c>
      <c r="G1972" t="s">
        <v>30059</v>
      </c>
      <c r="H1972" t="s">
        <v>30067</v>
      </c>
      <c r="I1972" t="s">
        <v>3693</v>
      </c>
      <c r="J1972" t="s">
        <v>30230</v>
      </c>
      <c r="K1972" t="s">
        <v>39025</v>
      </c>
      <c r="M1972" t="s">
        <v>40147</v>
      </c>
      <c r="N1972" t="s">
        <v>43166</v>
      </c>
      <c r="O1972" t="s">
        <v>43167</v>
      </c>
      <c r="P1972">
        <v>0</v>
      </c>
      <c r="Q1972">
        <v>0</v>
      </c>
      <c r="R1972" t="s">
        <v>43170</v>
      </c>
      <c r="S1972" t="s">
        <v>43297</v>
      </c>
      <c r="T1972" t="s">
        <v>44826</v>
      </c>
      <c r="U1972" t="s">
        <v>45722</v>
      </c>
      <c r="W1972" t="s">
        <v>40147</v>
      </c>
      <c r="X1972" t="s">
        <v>43171</v>
      </c>
    </row>
    <row r="1973" spans="1:24">
      <c r="A1973">
        <f>HYPERLINK("https://www.philgeps.gov.ph/GEPSNONPILOT/Tender/SplashBidNoticeAbstractUI.aspx?menuIndex=3&amp;refID=7085355&amp;Result=3","7085355")</f>
        <v>0</v>
      </c>
      <c r="B1973" t="s">
        <v>831</v>
      </c>
      <c r="C1973" t="s">
        <v>5308</v>
      </c>
      <c r="D1973" t="s">
        <v>17418</v>
      </c>
      <c r="E1973" t="s">
        <v>19241</v>
      </c>
      <c r="F1973" t="s">
        <v>30052</v>
      </c>
      <c r="G1973" t="s">
        <v>30058</v>
      </c>
      <c r="H1973" t="s">
        <v>15498</v>
      </c>
      <c r="I1973" t="s">
        <v>30097</v>
      </c>
      <c r="J1973" t="s">
        <v>30574</v>
      </c>
      <c r="K1973" t="s">
        <v>39029</v>
      </c>
      <c r="M1973" t="s">
        <v>40148</v>
      </c>
      <c r="N1973" t="s">
        <v>43166</v>
      </c>
      <c r="O1973" t="s">
        <v>43167</v>
      </c>
      <c r="P1973">
        <v>0</v>
      </c>
      <c r="Q1973">
        <v>4</v>
      </c>
      <c r="R1973" t="s">
        <v>43170</v>
      </c>
      <c r="S1973" t="s">
        <v>43297</v>
      </c>
      <c r="T1973" t="s">
        <v>44825</v>
      </c>
      <c r="U1973" t="s">
        <v>46832</v>
      </c>
      <c r="W1973" t="s">
        <v>40148</v>
      </c>
      <c r="X1973" t="s">
        <v>43171</v>
      </c>
    </row>
    <row r="1974" spans="1:24">
      <c r="A1974">
        <f>HYPERLINK("https://www.philgeps.gov.ph/GEPSNONPILOT/Tender/SplashBidNoticeAbstractUI.aspx?menuIndex=3&amp;refID=7085351&amp;Result=3","7085351")</f>
        <v>0</v>
      </c>
      <c r="B1974" t="s">
        <v>832</v>
      </c>
      <c r="C1974" t="s">
        <v>5309</v>
      </c>
      <c r="D1974" t="s">
        <v>17427</v>
      </c>
      <c r="E1974" t="s">
        <v>19242</v>
      </c>
      <c r="F1974" t="s">
        <v>30052</v>
      </c>
      <c r="G1974" t="s">
        <v>30059</v>
      </c>
      <c r="H1974" t="s">
        <v>15498</v>
      </c>
      <c r="I1974" t="s">
        <v>30092</v>
      </c>
      <c r="J1974" t="s">
        <v>30350</v>
      </c>
      <c r="K1974" t="s">
        <v>39036</v>
      </c>
      <c r="M1974" t="s">
        <v>40149</v>
      </c>
      <c r="N1974" t="s">
        <v>43166</v>
      </c>
      <c r="O1974" t="s">
        <v>43167</v>
      </c>
      <c r="P1974">
        <v>0</v>
      </c>
      <c r="Q1974">
        <v>1</v>
      </c>
      <c r="R1974" t="s">
        <v>43170</v>
      </c>
      <c r="S1974" t="s">
        <v>43297</v>
      </c>
      <c r="T1974" t="s">
        <v>44679</v>
      </c>
      <c r="U1974" t="s">
        <v>46833</v>
      </c>
      <c r="W1974" t="s">
        <v>40149</v>
      </c>
      <c r="X1974" t="s">
        <v>43171</v>
      </c>
    </row>
    <row r="1975" spans="1:24">
      <c r="A1975">
        <f>HYPERLINK("https://www.philgeps.gov.ph/GEPSNONPILOT/Tender/SplashBidNoticeAbstractUI.aspx?menuIndex=3&amp;refID=7085360&amp;Result=3","7085360")</f>
        <v>0</v>
      </c>
      <c r="B1975" t="s">
        <v>426</v>
      </c>
      <c r="C1975" t="s">
        <v>5310</v>
      </c>
      <c r="D1975" t="s">
        <v>17421</v>
      </c>
      <c r="E1975" t="s">
        <v>19243</v>
      </c>
      <c r="F1975" t="s">
        <v>30052</v>
      </c>
      <c r="G1975" t="s">
        <v>30059</v>
      </c>
      <c r="H1975" t="s">
        <v>15498</v>
      </c>
      <c r="I1975" t="s">
        <v>4650</v>
      </c>
      <c r="J1975" t="s">
        <v>31591</v>
      </c>
      <c r="K1975" t="s">
        <v>39036</v>
      </c>
      <c r="M1975" t="s">
        <v>39725</v>
      </c>
      <c r="N1975" t="s">
        <v>43166</v>
      </c>
      <c r="O1975" t="s">
        <v>43167</v>
      </c>
      <c r="P1975">
        <v>0</v>
      </c>
      <c r="Q1975">
        <v>0</v>
      </c>
      <c r="R1975" t="s">
        <v>43170</v>
      </c>
      <c r="S1975" t="s">
        <v>43297</v>
      </c>
      <c r="T1975" t="s">
        <v>44836</v>
      </c>
      <c r="U1975" t="s">
        <v>46834</v>
      </c>
      <c r="W1975" t="s">
        <v>39725</v>
      </c>
      <c r="X1975" t="s">
        <v>43171</v>
      </c>
    </row>
    <row r="1976" spans="1:24">
      <c r="A1976">
        <f>HYPERLINK("https://www.philgeps.gov.ph/GEPSNONPILOT/Tender/SplashBidNoticeAbstractUI.aspx?menuIndex=3&amp;refID=7085348&amp;Result=3","7085348")</f>
        <v>0</v>
      </c>
      <c r="B1976" t="s">
        <v>833</v>
      </c>
      <c r="C1976" t="s">
        <v>5311</v>
      </c>
      <c r="D1976" t="s">
        <v>17455</v>
      </c>
      <c r="E1976" t="s">
        <v>19244</v>
      </c>
      <c r="F1976" t="s">
        <v>30052</v>
      </c>
      <c r="G1976" t="s">
        <v>30061</v>
      </c>
      <c r="H1976" t="s">
        <v>15498</v>
      </c>
      <c r="I1976" t="s">
        <v>30084</v>
      </c>
      <c r="J1976" t="s">
        <v>31592</v>
      </c>
      <c r="K1976" t="s">
        <v>39025</v>
      </c>
      <c r="M1976" t="s">
        <v>40150</v>
      </c>
      <c r="N1976" t="s">
        <v>43166</v>
      </c>
      <c r="O1976" t="s">
        <v>43167</v>
      </c>
      <c r="P1976">
        <v>0</v>
      </c>
      <c r="Q1976">
        <v>9</v>
      </c>
      <c r="R1976" t="s">
        <v>43170</v>
      </c>
      <c r="S1976" t="s">
        <v>43297</v>
      </c>
      <c r="T1976" t="s">
        <v>44732</v>
      </c>
      <c r="U1976" t="s">
        <v>46835</v>
      </c>
      <c r="W1976" t="s">
        <v>40150</v>
      </c>
      <c r="X1976" t="s">
        <v>43171</v>
      </c>
    </row>
    <row r="1977" spans="1:24">
      <c r="A1977">
        <f>HYPERLINK("https://www.philgeps.gov.ph/GEPSNONPILOT/Tender/SplashBidNoticeAbstractUI.aspx?menuIndex=3&amp;refID=7085345&amp;Result=3","7085345")</f>
        <v>0</v>
      </c>
      <c r="B1977" t="s">
        <v>575</v>
      </c>
      <c r="C1977" t="s">
        <v>5312</v>
      </c>
      <c r="D1977" t="s">
        <v>17445</v>
      </c>
      <c r="E1977" t="s">
        <v>19245</v>
      </c>
      <c r="F1977" t="s">
        <v>30052</v>
      </c>
      <c r="G1977" t="s">
        <v>30059</v>
      </c>
      <c r="H1977" t="s">
        <v>15498</v>
      </c>
      <c r="I1977" t="s">
        <v>6691</v>
      </c>
      <c r="J1977" t="s">
        <v>31593</v>
      </c>
      <c r="K1977" t="s">
        <v>39025</v>
      </c>
      <c r="M1977" t="s">
        <v>39877</v>
      </c>
      <c r="N1977" t="s">
        <v>43166</v>
      </c>
      <c r="O1977" t="s">
        <v>43167</v>
      </c>
      <c r="P1977">
        <v>0</v>
      </c>
      <c r="Q1977">
        <v>0</v>
      </c>
      <c r="R1977" t="s">
        <v>43170</v>
      </c>
      <c r="S1977" t="s">
        <v>43297</v>
      </c>
      <c r="T1977" t="s">
        <v>44714</v>
      </c>
      <c r="U1977" t="s">
        <v>46342</v>
      </c>
      <c r="W1977" t="s">
        <v>39877</v>
      </c>
      <c r="X1977" t="s">
        <v>43171</v>
      </c>
    </row>
    <row r="1978" spans="1:24">
      <c r="A1978">
        <f>HYPERLINK("https://www.philgeps.gov.ph/GEPSNONPILOT/Tender/SplashBidNoticeAbstractUI.aspx?menuIndex=3&amp;refID=7085319&amp;Result=3","7085319")</f>
        <v>0</v>
      </c>
      <c r="B1978" t="s">
        <v>834</v>
      </c>
      <c r="C1978" t="s">
        <v>5313</v>
      </c>
      <c r="D1978" t="s">
        <v>17432</v>
      </c>
      <c r="E1978" t="s">
        <v>19246</v>
      </c>
      <c r="F1978" t="s">
        <v>30052</v>
      </c>
      <c r="G1978" t="s">
        <v>30061</v>
      </c>
      <c r="H1978" t="s">
        <v>15498</v>
      </c>
      <c r="I1978" t="s">
        <v>4119</v>
      </c>
      <c r="J1978" t="s">
        <v>31594</v>
      </c>
      <c r="K1978" t="s">
        <v>39018</v>
      </c>
      <c r="M1978" t="s">
        <v>40151</v>
      </c>
      <c r="N1978" t="s">
        <v>43166</v>
      </c>
      <c r="O1978" t="s">
        <v>43167</v>
      </c>
      <c r="P1978">
        <v>0</v>
      </c>
      <c r="Q1978">
        <v>0</v>
      </c>
      <c r="R1978" t="s">
        <v>43170</v>
      </c>
      <c r="S1978" t="s">
        <v>43297</v>
      </c>
      <c r="T1978" t="s">
        <v>44894</v>
      </c>
      <c r="U1978" t="s">
        <v>46836</v>
      </c>
      <c r="W1978" t="s">
        <v>40151</v>
      </c>
      <c r="X1978" t="s">
        <v>43171</v>
      </c>
    </row>
    <row r="1979" spans="1:24">
      <c r="A1979">
        <f>HYPERLINK("https://www.philgeps.gov.ph/GEPSNONPILOT/Tender/SplashBidNoticeAbstractUI.aspx?menuIndex=3&amp;refID=7085353&amp;Result=3","7085353")</f>
        <v>0</v>
      </c>
      <c r="B1979" t="s">
        <v>645</v>
      </c>
      <c r="C1979" t="s">
        <v>5314</v>
      </c>
      <c r="D1979" t="s">
        <v>17464</v>
      </c>
      <c r="E1979" t="s">
        <v>19247</v>
      </c>
      <c r="F1979" t="s">
        <v>30052</v>
      </c>
      <c r="G1979" t="s">
        <v>30065</v>
      </c>
      <c r="H1979" t="s">
        <v>30068</v>
      </c>
      <c r="I1979" t="s">
        <v>30068</v>
      </c>
      <c r="J1979" t="s">
        <v>31582</v>
      </c>
      <c r="K1979" t="s">
        <v>39025</v>
      </c>
      <c r="M1979" t="s">
        <v>39949</v>
      </c>
      <c r="N1979" t="s">
        <v>43166</v>
      </c>
      <c r="O1979" t="s">
        <v>43167</v>
      </c>
      <c r="P1979">
        <v>0</v>
      </c>
      <c r="Q1979">
        <v>4</v>
      </c>
      <c r="R1979" t="s">
        <v>43170</v>
      </c>
      <c r="S1979" t="s">
        <v>43297</v>
      </c>
      <c r="T1979" t="s">
        <v>44684</v>
      </c>
      <c r="U1979" t="s">
        <v>46837</v>
      </c>
      <c r="W1979" t="s">
        <v>39949</v>
      </c>
      <c r="X1979" t="s">
        <v>43171</v>
      </c>
    </row>
    <row r="1980" spans="1:24">
      <c r="A1980">
        <f>HYPERLINK("https://www.philgeps.gov.ph/GEPSNONPILOT/Tender/SplashBidNoticeAbstractUI.aspx?menuIndex=3&amp;refID=7085404&amp;Result=3","7085404")</f>
        <v>0</v>
      </c>
      <c r="B1980" t="s">
        <v>825</v>
      </c>
      <c r="C1980" t="s">
        <v>5315</v>
      </c>
      <c r="D1980" t="s">
        <v>17445</v>
      </c>
      <c r="E1980" t="s">
        <v>19248</v>
      </c>
      <c r="F1980" t="s">
        <v>30052</v>
      </c>
      <c r="G1980" t="s">
        <v>30059</v>
      </c>
      <c r="H1980" t="s">
        <v>15498</v>
      </c>
      <c r="I1980" t="s">
        <v>30159</v>
      </c>
      <c r="J1980" t="s">
        <v>31595</v>
      </c>
      <c r="K1980" t="s">
        <v>39029</v>
      </c>
      <c r="M1980" t="s">
        <v>40142</v>
      </c>
      <c r="N1980" t="s">
        <v>43166</v>
      </c>
      <c r="O1980" t="s">
        <v>43167</v>
      </c>
      <c r="P1980">
        <v>0</v>
      </c>
      <c r="Q1980">
        <v>0</v>
      </c>
      <c r="R1980" t="s">
        <v>43170</v>
      </c>
      <c r="S1980" t="s">
        <v>43297</v>
      </c>
      <c r="T1980" t="s">
        <v>44844</v>
      </c>
      <c r="U1980" t="s">
        <v>46838</v>
      </c>
      <c r="W1980" t="s">
        <v>40142</v>
      </c>
      <c r="X1980" t="s">
        <v>43171</v>
      </c>
    </row>
    <row r="1981" spans="1:24">
      <c r="A1981">
        <f>HYPERLINK("https://www.philgeps.gov.ph/GEPSNONPILOT/Tender/SplashBidNoticeAbstractUI.aspx?menuIndex=3&amp;refID=7085312&amp;Result=3","7085312")</f>
        <v>0</v>
      </c>
      <c r="B1981" t="s">
        <v>835</v>
      </c>
      <c r="C1981" t="s">
        <v>5316</v>
      </c>
      <c r="D1981" t="s">
        <v>17422</v>
      </c>
      <c r="E1981" t="s">
        <v>18342</v>
      </c>
      <c r="F1981" t="s">
        <v>30052</v>
      </c>
      <c r="G1981" t="s">
        <v>30058</v>
      </c>
      <c r="H1981" t="s">
        <v>15498</v>
      </c>
      <c r="I1981" t="s">
        <v>30093</v>
      </c>
      <c r="J1981" t="s">
        <v>30605</v>
      </c>
      <c r="K1981" t="s">
        <v>39025</v>
      </c>
      <c r="M1981" t="s">
        <v>40152</v>
      </c>
      <c r="N1981" t="s">
        <v>43166</v>
      </c>
      <c r="O1981" t="s">
        <v>43167</v>
      </c>
      <c r="P1981">
        <v>0</v>
      </c>
      <c r="Q1981">
        <v>0</v>
      </c>
      <c r="R1981" t="s">
        <v>43170</v>
      </c>
      <c r="S1981" t="s">
        <v>43297</v>
      </c>
      <c r="T1981" t="s">
        <v>44733</v>
      </c>
      <c r="U1981" t="s">
        <v>46839</v>
      </c>
      <c r="W1981" t="s">
        <v>40152</v>
      </c>
      <c r="X1981" t="s">
        <v>43171</v>
      </c>
    </row>
    <row r="1982" spans="1:24">
      <c r="A1982">
        <f>HYPERLINK("https://www.philgeps.gov.ph/GEPSNONPILOT/Tender/SplashBidNoticeAbstractUI.aspx?menuIndex=3&amp;refID=7085400&amp;Result=3","7085400")</f>
        <v>0</v>
      </c>
      <c r="B1982" t="s">
        <v>789</v>
      </c>
      <c r="C1982" t="s">
        <v>5317</v>
      </c>
      <c r="D1982" t="s">
        <v>17413</v>
      </c>
      <c r="E1982" t="s">
        <v>19249</v>
      </c>
      <c r="F1982" t="s">
        <v>30052</v>
      </c>
      <c r="G1982" t="s">
        <v>30058</v>
      </c>
      <c r="H1982" t="s">
        <v>15498</v>
      </c>
      <c r="I1982" t="s">
        <v>3606</v>
      </c>
      <c r="J1982" t="s">
        <v>30252</v>
      </c>
      <c r="K1982" t="s">
        <v>39029</v>
      </c>
      <c r="M1982" t="s">
        <v>40106</v>
      </c>
      <c r="N1982" t="s">
        <v>43166</v>
      </c>
      <c r="O1982" t="s">
        <v>43167</v>
      </c>
      <c r="P1982">
        <v>0</v>
      </c>
      <c r="Q1982">
        <v>3</v>
      </c>
      <c r="R1982" t="s">
        <v>43170</v>
      </c>
      <c r="S1982" t="s">
        <v>43297</v>
      </c>
      <c r="T1982" t="s">
        <v>44679</v>
      </c>
      <c r="U1982" t="s">
        <v>46840</v>
      </c>
      <c r="W1982" t="s">
        <v>40106</v>
      </c>
      <c r="X1982" t="s">
        <v>43171</v>
      </c>
    </row>
    <row r="1983" spans="1:24">
      <c r="A1983">
        <f>HYPERLINK("https://www.philgeps.gov.ph/GEPSNONPILOT/Tender/SplashBidNoticeAbstractUI.aspx?menuIndex=3&amp;refID=7085397&amp;Result=3","7085397")</f>
        <v>0</v>
      </c>
      <c r="B1983" t="s">
        <v>645</v>
      </c>
      <c r="C1983" t="s">
        <v>5318</v>
      </c>
      <c r="D1983" t="s">
        <v>17464</v>
      </c>
      <c r="E1983" t="s">
        <v>19250</v>
      </c>
      <c r="F1983" t="s">
        <v>30052</v>
      </c>
      <c r="G1983" t="s">
        <v>30065</v>
      </c>
      <c r="H1983" t="s">
        <v>30068</v>
      </c>
      <c r="I1983" t="s">
        <v>30068</v>
      </c>
      <c r="J1983" t="s">
        <v>31596</v>
      </c>
      <c r="K1983" t="s">
        <v>39025</v>
      </c>
      <c r="M1983" t="s">
        <v>39949</v>
      </c>
      <c r="N1983" t="s">
        <v>43166</v>
      </c>
      <c r="O1983" t="s">
        <v>43167</v>
      </c>
      <c r="P1983">
        <v>0</v>
      </c>
      <c r="Q1983">
        <v>3</v>
      </c>
      <c r="R1983" t="s">
        <v>43170</v>
      </c>
      <c r="S1983" t="s">
        <v>43297</v>
      </c>
      <c r="T1983" t="s">
        <v>44684</v>
      </c>
      <c r="U1983" t="s">
        <v>46841</v>
      </c>
      <c r="W1983" t="s">
        <v>39949</v>
      </c>
      <c r="X1983" t="s">
        <v>43171</v>
      </c>
    </row>
    <row r="1984" spans="1:24">
      <c r="A1984">
        <f>HYPERLINK("https://www.philgeps.gov.ph/GEPSNONPILOT/Tender/SplashBidNoticeAbstractUI.aspx?menuIndex=3&amp;refID=7085405&amp;Result=3","7085405")</f>
        <v>0</v>
      </c>
      <c r="B1984" t="s">
        <v>795</v>
      </c>
      <c r="C1984" t="s">
        <v>5319</v>
      </c>
      <c r="D1984" t="s">
        <v>17466</v>
      </c>
      <c r="E1984" t="s">
        <v>19251</v>
      </c>
      <c r="F1984" t="s">
        <v>30052</v>
      </c>
      <c r="G1984" t="s">
        <v>30059</v>
      </c>
      <c r="H1984" t="s">
        <v>15498</v>
      </c>
      <c r="I1984" t="s">
        <v>4642</v>
      </c>
      <c r="J1984" t="s">
        <v>31597</v>
      </c>
      <c r="K1984" t="s">
        <v>39029</v>
      </c>
      <c r="M1984" t="s">
        <v>40112</v>
      </c>
      <c r="N1984" t="s">
        <v>43166</v>
      </c>
      <c r="O1984" t="s">
        <v>43167</v>
      </c>
      <c r="P1984">
        <v>0</v>
      </c>
      <c r="Q1984">
        <v>4</v>
      </c>
      <c r="R1984" t="s">
        <v>43170</v>
      </c>
      <c r="S1984" t="s">
        <v>43297</v>
      </c>
      <c r="T1984" t="s">
        <v>44773</v>
      </c>
      <c r="U1984" t="s">
        <v>46797</v>
      </c>
      <c r="V1984" t="s">
        <v>57037</v>
      </c>
      <c r="W1984" t="s">
        <v>40112</v>
      </c>
      <c r="X1984" t="s">
        <v>43171</v>
      </c>
    </row>
    <row r="1985" spans="1:24">
      <c r="A1985">
        <f>HYPERLINK("https://www.philgeps.gov.ph/GEPSNONPILOT/Tender/SplashBidNoticeAbstractUI.aspx?menuIndex=3&amp;refID=7085394&amp;Result=3","7085394")</f>
        <v>0</v>
      </c>
      <c r="B1985" t="s">
        <v>836</v>
      </c>
      <c r="C1985" t="s">
        <v>5320</v>
      </c>
      <c r="D1985" t="s">
        <v>17458</v>
      </c>
      <c r="E1985" t="s">
        <v>18342</v>
      </c>
      <c r="F1985" t="s">
        <v>30052</v>
      </c>
      <c r="G1985" t="s">
        <v>30061</v>
      </c>
      <c r="H1985" t="s">
        <v>15498</v>
      </c>
      <c r="I1985" t="s">
        <v>30085</v>
      </c>
      <c r="J1985" t="s">
        <v>31598</v>
      </c>
      <c r="K1985" t="s">
        <v>39017</v>
      </c>
      <c r="M1985" t="s">
        <v>40153</v>
      </c>
      <c r="N1985" t="s">
        <v>43166</v>
      </c>
      <c r="O1985" t="s">
        <v>43167</v>
      </c>
      <c r="P1985">
        <v>0</v>
      </c>
      <c r="Q1985">
        <v>1</v>
      </c>
      <c r="R1985" t="s">
        <v>43170</v>
      </c>
      <c r="S1985" t="s">
        <v>43297</v>
      </c>
      <c r="T1985" t="s">
        <v>44715</v>
      </c>
      <c r="U1985" t="s">
        <v>46842</v>
      </c>
      <c r="V1985" t="s">
        <v>57051</v>
      </c>
      <c r="W1985" t="s">
        <v>40153</v>
      </c>
      <c r="X1985" t="s">
        <v>43171</v>
      </c>
    </row>
    <row r="1986" spans="1:24">
      <c r="A1986">
        <f>HYPERLINK("https://www.philgeps.gov.ph/GEPSNONPILOT/Tender/SplashBidNoticeAbstractUI.aspx?menuIndex=3&amp;refID=7085403&amp;Result=3","7085403")</f>
        <v>0</v>
      </c>
      <c r="B1986" t="s">
        <v>540</v>
      </c>
      <c r="C1986" t="s">
        <v>5321</v>
      </c>
      <c r="D1986" t="s">
        <v>17452</v>
      </c>
      <c r="E1986" t="s">
        <v>19252</v>
      </c>
      <c r="F1986" t="s">
        <v>30052</v>
      </c>
      <c r="G1986" t="s">
        <v>30059</v>
      </c>
      <c r="H1986" t="s">
        <v>15498</v>
      </c>
      <c r="I1986" t="s">
        <v>4119</v>
      </c>
      <c r="J1986" t="s">
        <v>31599</v>
      </c>
      <c r="K1986" t="s">
        <v>39029</v>
      </c>
      <c r="M1986" t="s">
        <v>39842</v>
      </c>
      <c r="N1986" t="s">
        <v>43166</v>
      </c>
      <c r="O1986" t="s">
        <v>43167</v>
      </c>
      <c r="P1986">
        <v>0</v>
      </c>
      <c r="Q1986">
        <v>0</v>
      </c>
      <c r="R1986" t="s">
        <v>43170</v>
      </c>
      <c r="S1986" t="s">
        <v>43297</v>
      </c>
      <c r="T1986" t="s">
        <v>44696</v>
      </c>
      <c r="U1986" t="s">
        <v>46843</v>
      </c>
      <c r="W1986" t="s">
        <v>39842</v>
      </c>
      <c r="X1986" t="s">
        <v>43171</v>
      </c>
    </row>
    <row r="1987" spans="1:24">
      <c r="A1987">
        <f>HYPERLINK("https://www.philgeps.gov.ph/GEPSNONPILOT/Tender/SplashBidNoticeAbstractUI.aspx?menuIndex=3&amp;refID=7085390&amp;Result=3","7085390")</f>
        <v>0</v>
      </c>
      <c r="B1987" t="s">
        <v>540</v>
      </c>
      <c r="C1987" t="s">
        <v>5322</v>
      </c>
      <c r="D1987" t="s">
        <v>17452</v>
      </c>
      <c r="E1987" t="s">
        <v>19253</v>
      </c>
      <c r="F1987" t="s">
        <v>30052</v>
      </c>
      <c r="G1987" t="s">
        <v>30059</v>
      </c>
      <c r="H1987" t="s">
        <v>15498</v>
      </c>
      <c r="I1987" t="s">
        <v>3736</v>
      </c>
      <c r="J1987" t="s">
        <v>30256</v>
      </c>
      <c r="K1987" t="s">
        <v>39029</v>
      </c>
      <c r="M1987" t="s">
        <v>39842</v>
      </c>
      <c r="N1987" t="s">
        <v>43166</v>
      </c>
      <c r="O1987" t="s">
        <v>43167</v>
      </c>
      <c r="P1987">
        <v>0</v>
      </c>
      <c r="Q1987">
        <v>0</v>
      </c>
      <c r="R1987" t="s">
        <v>43170</v>
      </c>
      <c r="S1987" t="s">
        <v>43297</v>
      </c>
      <c r="T1987" t="s">
        <v>44696</v>
      </c>
      <c r="U1987" t="s">
        <v>46844</v>
      </c>
      <c r="W1987" t="s">
        <v>39842</v>
      </c>
      <c r="X1987" t="s">
        <v>43171</v>
      </c>
    </row>
    <row r="1988" spans="1:24">
      <c r="A1988">
        <f>HYPERLINK("https://www.philgeps.gov.ph/GEPSNONPILOT/Tender/SplashBidNoticeAbstractUI.aspx?menuIndex=3&amp;refID=7085323&amp;Result=3","7085323")</f>
        <v>0</v>
      </c>
      <c r="B1988" t="s">
        <v>601</v>
      </c>
      <c r="C1988" t="s">
        <v>5323</v>
      </c>
      <c r="D1988" t="s">
        <v>17419</v>
      </c>
      <c r="E1988" t="s">
        <v>19254</v>
      </c>
      <c r="F1988" t="s">
        <v>30052</v>
      </c>
      <c r="G1988" t="s">
        <v>30059</v>
      </c>
      <c r="H1988" t="s">
        <v>15498</v>
      </c>
      <c r="I1988" t="s">
        <v>7228</v>
      </c>
      <c r="J1988" t="s">
        <v>31600</v>
      </c>
      <c r="K1988" t="s">
        <v>39025</v>
      </c>
      <c r="M1988" t="s">
        <v>39903</v>
      </c>
      <c r="N1988" t="s">
        <v>43166</v>
      </c>
      <c r="O1988" t="s">
        <v>43167</v>
      </c>
      <c r="P1988">
        <v>0</v>
      </c>
      <c r="Q1988">
        <v>0</v>
      </c>
      <c r="R1988" t="s">
        <v>43170</v>
      </c>
      <c r="S1988" t="s">
        <v>43297</v>
      </c>
      <c r="T1988" t="s">
        <v>44844</v>
      </c>
      <c r="U1988" t="s">
        <v>46845</v>
      </c>
      <c r="W1988" t="s">
        <v>39903</v>
      </c>
      <c r="X1988" t="s">
        <v>43171</v>
      </c>
    </row>
    <row r="1989" spans="1:24">
      <c r="A1989">
        <f>HYPERLINK("https://www.philgeps.gov.ph/GEPSNONPILOT/Tender/SplashBidNoticeAbstractUI.aspx?menuIndex=3&amp;refID=7085385&amp;Result=3","7085385")</f>
        <v>0</v>
      </c>
      <c r="B1989" t="s">
        <v>837</v>
      </c>
      <c r="C1989" t="s">
        <v>5324</v>
      </c>
      <c r="D1989" t="s">
        <v>17448</v>
      </c>
      <c r="E1989" t="s">
        <v>19255</v>
      </c>
      <c r="F1989" t="s">
        <v>30052</v>
      </c>
      <c r="G1989" t="s">
        <v>30058</v>
      </c>
      <c r="H1989" t="s">
        <v>30067</v>
      </c>
      <c r="I1989" t="s">
        <v>3693</v>
      </c>
      <c r="J1989" t="s">
        <v>31601</v>
      </c>
      <c r="K1989" t="s">
        <v>39046</v>
      </c>
      <c r="M1989" t="s">
        <v>40154</v>
      </c>
      <c r="N1989" t="s">
        <v>43166</v>
      </c>
      <c r="O1989" t="s">
        <v>43167</v>
      </c>
      <c r="P1989">
        <v>0</v>
      </c>
      <c r="Q1989">
        <v>0</v>
      </c>
      <c r="R1989" t="s">
        <v>43170</v>
      </c>
      <c r="S1989" t="s">
        <v>43297</v>
      </c>
      <c r="T1989" t="s">
        <v>44781</v>
      </c>
      <c r="U1989" t="s">
        <v>46846</v>
      </c>
      <c r="W1989" t="s">
        <v>40154</v>
      </c>
      <c r="X1989" t="s">
        <v>43171</v>
      </c>
    </row>
    <row r="1990" spans="1:24">
      <c r="A1990">
        <f>HYPERLINK("https://www.philgeps.gov.ph/GEPSNONPILOT/Tender/SplashBidNoticeAbstractUI.aspx?menuIndex=3&amp;refID=7085356&amp;Result=3","7085356")</f>
        <v>0</v>
      </c>
      <c r="B1990" t="s">
        <v>360</v>
      </c>
      <c r="C1990" t="s">
        <v>5325</v>
      </c>
      <c r="E1990" t="s">
        <v>19256</v>
      </c>
      <c r="F1990" t="s">
        <v>30052</v>
      </c>
      <c r="G1990" t="s">
        <v>30059</v>
      </c>
      <c r="H1990" t="s">
        <v>15498</v>
      </c>
      <c r="I1990" t="s">
        <v>9238</v>
      </c>
      <c r="J1990" t="s">
        <v>31602</v>
      </c>
      <c r="K1990" t="s">
        <v>39046</v>
      </c>
      <c r="M1990" t="s">
        <v>39657</v>
      </c>
      <c r="N1990" t="s">
        <v>43166</v>
      </c>
      <c r="O1990" t="s">
        <v>43167</v>
      </c>
      <c r="P1990">
        <v>0</v>
      </c>
      <c r="Q1990">
        <v>7</v>
      </c>
      <c r="R1990" t="s">
        <v>43170</v>
      </c>
      <c r="S1990" t="s">
        <v>43297</v>
      </c>
      <c r="T1990" t="s">
        <v>44895</v>
      </c>
      <c r="U1990" t="s">
        <v>46847</v>
      </c>
      <c r="V1990" t="s">
        <v>56908</v>
      </c>
      <c r="W1990" t="s">
        <v>41004</v>
      </c>
      <c r="X1990" t="s">
        <v>43171</v>
      </c>
    </row>
    <row r="1991" spans="1:24">
      <c r="A1991">
        <f>HYPERLINK("https://www.philgeps.gov.ph/GEPSNONPILOT/Tender/SplashBidNoticeAbstractUI.aspx?menuIndex=3&amp;refID=7085435&amp;Result=3","7085435")</f>
        <v>0</v>
      </c>
      <c r="B1991" t="s">
        <v>740</v>
      </c>
      <c r="C1991" t="s">
        <v>5326</v>
      </c>
      <c r="D1991" t="s">
        <v>17443</v>
      </c>
      <c r="E1991" t="s">
        <v>19257</v>
      </c>
      <c r="F1991" t="s">
        <v>30052</v>
      </c>
      <c r="G1991" t="s">
        <v>30061</v>
      </c>
      <c r="H1991" t="s">
        <v>30067</v>
      </c>
      <c r="I1991" t="s">
        <v>3736</v>
      </c>
      <c r="J1991" t="s">
        <v>31603</v>
      </c>
      <c r="K1991" t="s">
        <v>39034</v>
      </c>
      <c r="M1991" t="s">
        <v>40053</v>
      </c>
      <c r="N1991" t="s">
        <v>43166</v>
      </c>
      <c r="O1991" t="s">
        <v>43167</v>
      </c>
      <c r="P1991">
        <v>0</v>
      </c>
      <c r="Q1991">
        <v>0</v>
      </c>
      <c r="R1991" t="s">
        <v>43170</v>
      </c>
      <c r="S1991" t="s">
        <v>43297</v>
      </c>
      <c r="T1991" t="s">
        <v>44717</v>
      </c>
      <c r="U1991" t="s">
        <v>46848</v>
      </c>
      <c r="W1991" t="s">
        <v>40053</v>
      </c>
      <c r="X1991" t="s">
        <v>43171</v>
      </c>
    </row>
    <row r="1992" spans="1:24">
      <c r="A1992">
        <f>HYPERLINK("https://www.philgeps.gov.ph/GEPSNONPILOT/Tender/SplashBidNoticeAbstractUI.aspx?menuIndex=3&amp;refID=7085392&amp;Result=3","7085392")</f>
        <v>0</v>
      </c>
      <c r="B1992" t="s">
        <v>838</v>
      </c>
      <c r="C1992" t="s">
        <v>5327</v>
      </c>
      <c r="D1992" t="s">
        <v>17419</v>
      </c>
      <c r="E1992" t="s">
        <v>19258</v>
      </c>
      <c r="F1992" t="s">
        <v>30052</v>
      </c>
      <c r="G1992" t="s">
        <v>30061</v>
      </c>
      <c r="H1992" t="s">
        <v>15498</v>
      </c>
      <c r="I1992" t="s">
        <v>4650</v>
      </c>
      <c r="J1992" t="s">
        <v>31604</v>
      </c>
      <c r="K1992" t="s">
        <v>39029</v>
      </c>
      <c r="M1992" t="s">
        <v>40155</v>
      </c>
      <c r="N1992" t="s">
        <v>43166</v>
      </c>
      <c r="O1992" t="s">
        <v>43167</v>
      </c>
      <c r="P1992">
        <v>0</v>
      </c>
      <c r="Q1992">
        <v>1</v>
      </c>
      <c r="R1992" t="s">
        <v>43170</v>
      </c>
      <c r="S1992" t="s">
        <v>43297</v>
      </c>
      <c r="T1992" t="s">
        <v>44681</v>
      </c>
      <c r="U1992" t="s">
        <v>46849</v>
      </c>
      <c r="W1992" t="s">
        <v>40155</v>
      </c>
      <c r="X1992" t="s">
        <v>43171</v>
      </c>
    </row>
    <row r="1993" spans="1:24">
      <c r="A1993">
        <f>HYPERLINK("https://www.philgeps.gov.ph/GEPSNONPILOT/Tender/SplashBidNoticeAbstractUI.aspx?menuIndex=3&amp;refID=7085429&amp;Result=3","7085429")</f>
        <v>0</v>
      </c>
      <c r="B1993" t="s">
        <v>595</v>
      </c>
      <c r="C1993" t="s">
        <v>4834</v>
      </c>
      <c r="E1993" t="s">
        <v>19259</v>
      </c>
      <c r="F1993" t="s">
        <v>30052</v>
      </c>
      <c r="G1993" t="s">
        <v>30059</v>
      </c>
      <c r="H1993" t="s">
        <v>15498</v>
      </c>
      <c r="I1993" t="s">
        <v>30070</v>
      </c>
      <c r="J1993" t="s">
        <v>31605</v>
      </c>
      <c r="K1993" t="s">
        <v>39025</v>
      </c>
      <c r="M1993" t="s">
        <v>39897</v>
      </c>
      <c r="N1993" t="s">
        <v>43166</v>
      </c>
      <c r="O1993" t="s">
        <v>43167</v>
      </c>
      <c r="P1993">
        <v>0</v>
      </c>
      <c r="Q1993">
        <v>1</v>
      </c>
      <c r="R1993" t="s">
        <v>43170</v>
      </c>
      <c r="S1993" t="s">
        <v>43297</v>
      </c>
      <c r="T1993" t="s">
        <v>44685</v>
      </c>
      <c r="U1993" t="s">
        <v>46365</v>
      </c>
      <c r="W1993" t="s">
        <v>39897</v>
      </c>
      <c r="X1993" t="s">
        <v>43171</v>
      </c>
    </row>
    <row r="1994" spans="1:24">
      <c r="A1994">
        <f>HYPERLINK("https://www.philgeps.gov.ph/GEPSNONPILOT/Tender/SplashBidNoticeAbstractUI.aspx?menuIndex=3&amp;refID=7085391&amp;Result=3","7085391")</f>
        <v>0</v>
      </c>
      <c r="B1994" t="s">
        <v>802</v>
      </c>
      <c r="C1994" t="s">
        <v>5328</v>
      </c>
      <c r="D1994" t="s">
        <v>17415</v>
      </c>
      <c r="E1994" t="s">
        <v>19260</v>
      </c>
      <c r="F1994" t="s">
        <v>30052</v>
      </c>
      <c r="G1994" t="s">
        <v>30059</v>
      </c>
      <c r="H1994" t="s">
        <v>15498</v>
      </c>
      <c r="I1994" t="s">
        <v>4119</v>
      </c>
      <c r="J1994" t="s">
        <v>31123</v>
      </c>
      <c r="K1994" t="s">
        <v>39017</v>
      </c>
      <c r="M1994" t="s">
        <v>40119</v>
      </c>
      <c r="N1994" t="s">
        <v>43166</v>
      </c>
      <c r="O1994" t="s">
        <v>43167</v>
      </c>
      <c r="P1994">
        <v>0</v>
      </c>
      <c r="Q1994">
        <v>2</v>
      </c>
      <c r="R1994" t="s">
        <v>43170</v>
      </c>
      <c r="S1994" t="s">
        <v>43297</v>
      </c>
      <c r="T1994" t="s">
        <v>44732</v>
      </c>
      <c r="U1994" t="s">
        <v>46770</v>
      </c>
      <c r="W1994" t="s">
        <v>40119</v>
      </c>
      <c r="X1994" t="s">
        <v>43171</v>
      </c>
    </row>
    <row r="1995" spans="1:24">
      <c r="A1995">
        <f>HYPERLINK("https://www.philgeps.gov.ph/GEPSNONPILOT/Tender/SplashBidNoticeAbstractUI.aspx?menuIndex=3&amp;refID=7085428&amp;Result=3","7085428")</f>
        <v>0</v>
      </c>
      <c r="B1995" t="s">
        <v>839</v>
      </c>
      <c r="C1995" t="s">
        <v>5329</v>
      </c>
      <c r="D1995" t="s">
        <v>17422</v>
      </c>
      <c r="E1995" t="s">
        <v>18342</v>
      </c>
      <c r="F1995" t="s">
        <v>30052</v>
      </c>
      <c r="G1995" t="s">
        <v>30058</v>
      </c>
      <c r="H1995" t="s">
        <v>30067</v>
      </c>
      <c r="I1995" t="s">
        <v>3693</v>
      </c>
      <c r="J1995" t="s">
        <v>30350</v>
      </c>
      <c r="K1995" t="s">
        <v>39025</v>
      </c>
      <c r="M1995" t="s">
        <v>40156</v>
      </c>
      <c r="N1995" t="s">
        <v>43166</v>
      </c>
      <c r="O1995" t="s">
        <v>43167</v>
      </c>
      <c r="P1995">
        <v>0</v>
      </c>
      <c r="Q1995">
        <v>0</v>
      </c>
      <c r="R1995" t="s">
        <v>43170</v>
      </c>
      <c r="S1995" t="s">
        <v>43297</v>
      </c>
      <c r="T1995" t="s">
        <v>44689</v>
      </c>
      <c r="U1995" t="s">
        <v>46850</v>
      </c>
      <c r="W1995" t="s">
        <v>40156</v>
      </c>
      <c r="X1995" t="s">
        <v>43171</v>
      </c>
    </row>
    <row r="1996" spans="1:24">
      <c r="A1996">
        <f>HYPERLINK("https://www.philgeps.gov.ph/GEPSNONPILOT/Tender/SplashBidNoticeAbstractUI.aspx?menuIndex=3&amp;refID=7085425&amp;Result=3","7085425")</f>
        <v>0</v>
      </c>
      <c r="B1996" t="s">
        <v>790</v>
      </c>
      <c r="C1996" t="s">
        <v>5330</v>
      </c>
      <c r="D1996" t="s">
        <v>17421</v>
      </c>
      <c r="E1996" t="s">
        <v>19261</v>
      </c>
      <c r="F1996" t="s">
        <v>30052</v>
      </c>
      <c r="G1996" t="s">
        <v>30059</v>
      </c>
      <c r="H1996" t="s">
        <v>30067</v>
      </c>
      <c r="I1996" t="s">
        <v>30083</v>
      </c>
      <c r="J1996" t="s">
        <v>31606</v>
      </c>
      <c r="K1996" t="s">
        <v>39023</v>
      </c>
      <c r="L1996" t="s">
        <v>790</v>
      </c>
      <c r="M1996" t="s">
        <v>40107</v>
      </c>
      <c r="N1996" t="s">
        <v>43166</v>
      </c>
      <c r="O1996" t="s">
        <v>43167</v>
      </c>
      <c r="P1996">
        <v>0</v>
      </c>
      <c r="Q1996">
        <v>0</v>
      </c>
      <c r="R1996" t="s">
        <v>43170</v>
      </c>
      <c r="S1996" t="s">
        <v>43297</v>
      </c>
      <c r="T1996" t="s">
        <v>44713</v>
      </c>
      <c r="U1996" t="s">
        <v>46851</v>
      </c>
      <c r="W1996" t="s">
        <v>40107</v>
      </c>
      <c r="X1996" t="s">
        <v>43171</v>
      </c>
    </row>
    <row r="1997" spans="1:24">
      <c r="A1997">
        <f>HYPERLINK("https://www.philgeps.gov.ph/GEPSNONPILOT/Tender/SplashBidNoticeAbstractUI.aspx?menuIndex=3&amp;refID=7085424&amp;Result=3","7085424")</f>
        <v>0</v>
      </c>
      <c r="B1997" t="s">
        <v>823</v>
      </c>
      <c r="C1997" t="s">
        <v>5331</v>
      </c>
      <c r="D1997" t="s">
        <v>17435</v>
      </c>
      <c r="E1997" t="s">
        <v>18568</v>
      </c>
      <c r="F1997" t="s">
        <v>30052</v>
      </c>
      <c r="G1997" t="s">
        <v>30059</v>
      </c>
      <c r="H1997" t="s">
        <v>15498</v>
      </c>
      <c r="I1997" t="s">
        <v>5961</v>
      </c>
      <c r="J1997" t="s">
        <v>31607</v>
      </c>
      <c r="K1997" t="s">
        <v>39025</v>
      </c>
      <c r="M1997" t="s">
        <v>40140</v>
      </c>
      <c r="N1997" t="s">
        <v>43166</v>
      </c>
      <c r="O1997" t="s">
        <v>43167</v>
      </c>
      <c r="P1997">
        <v>0</v>
      </c>
      <c r="Q1997">
        <v>2</v>
      </c>
      <c r="R1997" t="s">
        <v>43170</v>
      </c>
      <c r="S1997" t="s">
        <v>43297</v>
      </c>
      <c r="T1997" t="s">
        <v>44734</v>
      </c>
      <c r="U1997" t="s">
        <v>46812</v>
      </c>
      <c r="W1997" t="s">
        <v>40140</v>
      </c>
      <c r="X1997" t="s">
        <v>43171</v>
      </c>
    </row>
    <row r="1998" spans="1:24">
      <c r="A1998">
        <f>HYPERLINK("https://www.philgeps.gov.ph/GEPSNONPILOT/Tender/SplashBidNoticeAbstractUI.aspx?menuIndex=3&amp;refID=7085357&amp;Result=3","7085357")</f>
        <v>0</v>
      </c>
      <c r="B1998" t="s">
        <v>541</v>
      </c>
      <c r="C1998" t="s">
        <v>5332</v>
      </c>
      <c r="D1998" t="s">
        <v>17458</v>
      </c>
      <c r="E1998" t="s">
        <v>19262</v>
      </c>
      <c r="F1998" t="s">
        <v>30052</v>
      </c>
      <c r="G1998" t="s">
        <v>30059</v>
      </c>
      <c r="H1998" t="s">
        <v>15498</v>
      </c>
      <c r="I1998" t="s">
        <v>30094</v>
      </c>
      <c r="J1998" t="s">
        <v>31608</v>
      </c>
      <c r="K1998" t="s">
        <v>39017</v>
      </c>
      <c r="M1998" t="s">
        <v>39843</v>
      </c>
      <c r="N1998" t="s">
        <v>43166</v>
      </c>
      <c r="O1998" t="s">
        <v>43167</v>
      </c>
      <c r="P1998">
        <v>0</v>
      </c>
      <c r="Q1998">
        <v>1</v>
      </c>
      <c r="R1998" t="s">
        <v>43170</v>
      </c>
      <c r="S1998" t="s">
        <v>43297</v>
      </c>
      <c r="T1998" t="s">
        <v>44773</v>
      </c>
      <c r="U1998" t="s">
        <v>46852</v>
      </c>
      <c r="W1998" t="s">
        <v>58604</v>
      </c>
      <c r="X1998" t="s">
        <v>43171</v>
      </c>
    </row>
    <row r="1999" spans="1:24">
      <c r="A1999">
        <f>HYPERLINK("https://www.philgeps.gov.ph/GEPSNONPILOT/Tender/SplashBidNoticeAbstractUI.aspx?menuIndex=3&amp;refID=7085399&amp;Result=3","7085399")</f>
        <v>0</v>
      </c>
      <c r="B1999" t="s">
        <v>595</v>
      </c>
      <c r="C1999" t="s">
        <v>5333</v>
      </c>
      <c r="E1999" t="s">
        <v>19263</v>
      </c>
      <c r="F1999" t="s">
        <v>30052</v>
      </c>
      <c r="G1999" t="s">
        <v>30059</v>
      </c>
      <c r="H1999" t="s">
        <v>15498</v>
      </c>
      <c r="I1999" t="s">
        <v>30116</v>
      </c>
      <c r="J1999" t="s">
        <v>31609</v>
      </c>
      <c r="K1999" t="s">
        <v>39025</v>
      </c>
      <c r="M1999" t="s">
        <v>39897</v>
      </c>
      <c r="N1999" t="s">
        <v>43166</v>
      </c>
      <c r="O1999" t="s">
        <v>43167</v>
      </c>
      <c r="P1999">
        <v>0</v>
      </c>
      <c r="Q1999">
        <v>2</v>
      </c>
      <c r="R1999" t="s">
        <v>43170</v>
      </c>
      <c r="S1999" t="s">
        <v>43297</v>
      </c>
      <c r="T1999" t="s">
        <v>44685</v>
      </c>
      <c r="U1999" t="s">
        <v>46365</v>
      </c>
      <c r="W1999" t="s">
        <v>39897</v>
      </c>
      <c r="X1999" t="s">
        <v>43171</v>
      </c>
    </row>
    <row r="2000" spans="1:24">
      <c r="A2000">
        <f>HYPERLINK("https://www.philgeps.gov.ph/GEPSNONPILOT/Tender/SplashBidNoticeAbstractUI.aspx?menuIndex=3&amp;refID=7085427&amp;Result=3","7085427")</f>
        <v>0</v>
      </c>
      <c r="B2000" t="s">
        <v>650</v>
      </c>
      <c r="C2000" t="s">
        <v>5334</v>
      </c>
      <c r="D2000" t="s">
        <v>17424</v>
      </c>
      <c r="E2000" t="s">
        <v>19264</v>
      </c>
      <c r="F2000" t="s">
        <v>30052</v>
      </c>
      <c r="G2000" t="s">
        <v>30059</v>
      </c>
      <c r="H2000" t="s">
        <v>15498</v>
      </c>
      <c r="I2000" t="s">
        <v>30160</v>
      </c>
      <c r="J2000" t="s">
        <v>31272</v>
      </c>
      <c r="K2000" t="s">
        <v>39018</v>
      </c>
      <c r="L2000" t="s">
        <v>650</v>
      </c>
      <c r="M2000" t="s">
        <v>39954</v>
      </c>
      <c r="N2000" t="s">
        <v>43166</v>
      </c>
      <c r="O2000" t="s">
        <v>43167</v>
      </c>
      <c r="P2000">
        <v>0</v>
      </c>
      <c r="Q2000">
        <v>2</v>
      </c>
      <c r="R2000" t="s">
        <v>43170</v>
      </c>
      <c r="S2000" t="s">
        <v>43297</v>
      </c>
      <c r="T2000" t="s">
        <v>44717</v>
      </c>
      <c r="U2000" t="s">
        <v>46853</v>
      </c>
      <c r="W2000" t="s">
        <v>39954</v>
      </c>
      <c r="X2000" t="s">
        <v>43171</v>
      </c>
    </row>
    <row r="2001" spans="1:24">
      <c r="A2001">
        <f>HYPERLINK("https://www.philgeps.gov.ph/GEPSNONPILOT/Tender/SplashBidNoticeAbstractUI.aspx?menuIndex=3&amp;refID=7085422&amp;Result=3","7085422")</f>
        <v>0</v>
      </c>
      <c r="B2001" t="s">
        <v>840</v>
      </c>
      <c r="C2001" t="s">
        <v>5335</v>
      </c>
      <c r="D2001" t="s">
        <v>17434</v>
      </c>
      <c r="E2001" t="s">
        <v>19265</v>
      </c>
      <c r="F2001" t="s">
        <v>30052</v>
      </c>
      <c r="G2001" t="s">
        <v>30058</v>
      </c>
      <c r="H2001" t="s">
        <v>15498</v>
      </c>
      <c r="I2001" t="s">
        <v>3606</v>
      </c>
      <c r="J2001" t="s">
        <v>30384</v>
      </c>
      <c r="K2001" t="s">
        <v>39018</v>
      </c>
      <c r="M2001" t="s">
        <v>40157</v>
      </c>
      <c r="N2001" t="s">
        <v>43166</v>
      </c>
      <c r="O2001" t="s">
        <v>43167</v>
      </c>
      <c r="P2001">
        <v>0</v>
      </c>
      <c r="Q2001">
        <v>0</v>
      </c>
      <c r="R2001" t="s">
        <v>43170</v>
      </c>
      <c r="S2001" t="s">
        <v>43297</v>
      </c>
      <c r="T2001" t="s">
        <v>44679</v>
      </c>
      <c r="U2001" t="s">
        <v>46854</v>
      </c>
      <c r="W2001" t="s">
        <v>40157</v>
      </c>
      <c r="X2001" t="s">
        <v>43171</v>
      </c>
    </row>
    <row r="2002" spans="1:24">
      <c r="A2002">
        <f>HYPERLINK("https://www.philgeps.gov.ph/GEPSNONPILOT/Tender/SplashBidNoticeAbstractUI.aspx?menuIndex=3&amp;refID=7085418&amp;Result=3","7085418")</f>
        <v>0</v>
      </c>
      <c r="B2002" t="s">
        <v>754</v>
      </c>
      <c r="C2002" t="s">
        <v>5336</v>
      </c>
      <c r="D2002" t="s">
        <v>17488</v>
      </c>
      <c r="E2002" t="s">
        <v>19266</v>
      </c>
      <c r="F2002" t="s">
        <v>30052</v>
      </c>
      <c r="G2002" t="s">
        <v>30059</v>
      </c>
      <c r="H2002" t="s">
        <v>15498</v>
      </c>
      <c r="I2002" t="s">
        <v>30076</v>
      </c>
      <c r="J2002" t="s">
        <v>30570</v>
      </c>
      <c r="K2002" t="s">
        <v>39018</v>
      </c>
      <c r="M2002" t="s">
        <v>40068</v>
      </c>
      <c r="N2002" t="s">
        <v>43166</v>
      </c>
      <c r="O2002" t="s">
        <v>43167</v>
      </c>
      <c r="P2002">
        <v>0</v>
      </c>
      <c r="Q2002">
        <v>1</v>
      </c>
      <c r="R2002" t="s">
        <v>43170</v>
      </c>
      <c r="S2002" t="s">
        <v>43297</v>
      </c>
      <c r="T2002" t="s">
        <v>44832</v>
      </c>
      <c r="U2002" t="s">
        <v>46855</v>
      </c>
      <c r="V2002" t="s">
        <v>57023</v>
      </c>
      <c r="W2002" t="s">
        <v>40068</v>
      </c>
      <c r="X2002" t="s">
        <v>43171</v>
      </c>
    </row>
    <row r="2003" spans="1:24">
      <c r="A2003">
        <f>HYPERLINK("https://www.philgeps.gov.ph/GEPSNONPILOT/Tender/SplashBidNoticeAbstractUI.aspx?menuIndex=3&amp;refID=7085416&amp;Result=3","7085416")</f>
        <v>0</v>
      </c>
      <c r="B2003" t="s">
        <v>841</v>
      </c>
      <c r="C2003" t="s">
        <v>5337</v>
      </c>
      <c r="D2003" t="s">
        <v>17456</v>
      </c>
      <c r="E2003" t="s">
        <v>19267</v>
      </c>
      <c r="F2003" t="s">
        <v>30052</v>
      </c>
      <c r="G2003" t="s">
        <v>30060</v>
      </c>
      <c r="H2003" t="s">
        <v>15498</v>
      </c>
      <c r="I2003" t="s">
        <v>30084</v>
      </c>
      <c r="J2003" t="s">
        <v>30556</v>
      </c>
      <c r="K2003" t="s">
        <v>39019</v>
      </c>
      <c r="M2003" t="s">
        <v>40158</v>
      </c>
      <c r="N2003" t="s">
        <v>43166</v>
      </c>
      <c r="O2003" t="s">
        <v>43167</v>
      </c>
      <c r="P2003">
        <v>0</v>
      </c>
      <c r="Q2003">
        <v>2</v>
      </c>
      <c r="R2003" t="s">
        <v>43170</v>
      </c>
      <c r="S2003" t="s">
        <v>43297</v>
      </c>
      <c r="T2003" t="s">
        <v>44870</v>
      </c>
      <c r="U2003" t="s">
        <v>46856</v>
      </c>
      <c r="W2003" t="s">
        <v>40158</v>
      </c>
      <c r="X2003" t="s">
        <v>43171</v>
      </c>
    </row>
    <row r="2004" spans="1:24">
      <c r="A2004">
        <f>HYPERLINK("https://www.philgeps.gov.ph/GEPSNONPILOT/Tender/SplashBidNoticeAbstractUI.aspx?menuIndex=3&amp;refID=7085415&amp;Result=3","7085415")</f>
        <v>0</v>
      </c>
      <c r="B2004" t="s">
        <v>706</v>
      </c>
      <c r="C2004" t="s">
        <v>5338</v>
      </c>
      <c r="D2004" t="s">
        <v>17436</v>
      </c>
      <c r="E2004" t="s">
        <v>19268</v>
      </c>
      <c r="F2004" t="s">
        <v>30052</v>
      </c>
      <c r="G2004" t="s">
        <v>30059</v>
      </c>
      <c r="H2004" t="s">
        <v>15498</v>
      </c>
      <c r="I2004" t="s">
        <v>7228</v>
      </c>
      <c r="J2004" t="s">
        <v>31610</v>
      </c>
      <c r="K2004" t="s">
        <v>39037</v>
      </c>
      <c r="M2004" t="s">
        <v>40015</v>
      </c>
      <c r="N2004" t="s">
        <v>43166</v>
      </c>
      <c r="O2004" t="s">
        <v>43167</v>
      </c>
      <c r="P2004">
        <v>0</v>
      </c>
      <c r="Q2004">
        <v>0</v>
      </c>
      <c r="R2004" t="s">
        <v>43170</v>
      </c>
      <c r="S2004" t="s">
        <v>43297</v>
      </c>
      <c r="T2004" t="s">
        <v>44717</v>
      </c>
      <c r="U2004" t="s">
        <v>46857</v>
      </c>
      <c r="W2004" t="s">
        <v>40015</v>
      </c>
      <c r="X2004" t="s">
        <v>43171</v>
      </c>
    </row>
    <row r="2005" spans="1:24">
      <c r="A2005">
        <f>HYPERLINK("https://www.philgeps.gov.ph/GEPSNONPILOT/Tender/SplashBidNoticeAbstractUI.aspx?menuIndex=3&amp;refID=7085414&amp;Result=3","7085414")</f>
        <v>0</v>
      </c>
      <c r="B2005" t="s">
        <v>842</v>
      </c>
      <c r="C2005" t="s">
        <v>5339</v>
      </c>
      <c r="D2005" t="s">
        <v>17421</v>
      </c>
      <c r="E2005" t="s">
        <v>19269</v>
      </c>
      <c r="F2005" t="s">
        <v>30052</v>
      </c>
      <c r="G2005" t="s">
        <v>30059</v>
      </c>
      <c r="H2005" t="s">
        <v>15498</v>
      </c>
      <c r="I2005" t="s">
        <v>3606</v>
      </c>
      <c r="J2005" t="s">
        <v>31611</v>
      </c>
      <c r="K2005" t="s">
        <v>39019</v>
      </c>
      <c r="M2005" t="s">
        <v>40159</v>
      </c>
      <c r="N2005" t="s">
        <v>43166</v>
      </c>
      <c r="O2005" t="s">
        <v>43167</v>
      </c>
      <c r="P2005">
        <v>0</v>
      </c>
      <c r="Q2005">
        <v>0</v>
      </c>
      <c r="R2005" t="s">
        <v>43170</v>
      </c>
      <c r="S2005" t="s">
        <v>43297</v>
      </c>
      <c r="T2005" t="s">
        <v>44717</v>
      </c>
      <c r="U2005" t="s">
        <v>46858</v>
      </c>
      <c r="W2005" t="s">
        <v>40159</v>
      </c>
      <c r="X2005" t="s">
        <v>43171</v>
      </c>
    </row>
    <row r="2006" spans="1:24">
      <c r="A2006">
        <f>HYPERLINK("https://www.philgeps.gov.ph/GEPSNONPILOT/Tender/SplashBidNoticeAbstractUI.aspx?menuIndex=3&amp;refID=7085413&amp;Result=3","7085413")</f>
        <v>0</v>
      </c>
      <c r="B2006" t="s">
        <v>843</v>
      </c>
      <c r="C2006" t="s">
        <v>5340</v>
      </c>
      <c r="D2006" t="s">
        <v>17421</v>
      </c>
      <c r="E2006" t="s">
        <v>19270</v>
      </c>
      <c r="F2006" t="s">
        <v>30052</v>
      </c>
      <c r="G2006" t="s">
        <v>30058</v>
      </c>
      <c r="H2006" t="s">
        <v>15498</v>
      </c>
      <c r="I2006" t="s">
        <v>30098</v>
      </c>
      <c r="J2006" t="s">
        <v>31196</v>
      </c>
      <c r="K2006" t="s">
        <v>39019</v>
      </c>
      <c r="M2006" t="s">
        <v>40160</v>
      </c>
      <c r="N2006" t="s">
        <v>43166</v>
      </c>
      <c r="O2006" t="s">
        <v>43167</v>
      </c>
      <c r="P2006">
        <v>0</v>
      </c>
      <c r="Q2006">
        <v>1</v>
      </c>
      <c r="R2006" t="s">
        <v>43170</v>
      </c>
      <c r="S2006" t="s">
        <v>43297</v>
      </c>
      <c r="T2006" t="s">
        <v>44721</v>
      </c>
      <c r="U2006" t="s">
        <v>46859</v>
      </c>
      <c r="W2006" t="s">
        <v>40160</v>
      </c>
      <c r="X2006" t="s">
        <v>43171</v>
      </c>
    </row>
    <row r="2007" spans="1:24">
      <c r="A2007">
        <f>HYPERLINK("https://www.philgeps.gov.ph/GEPSNONPILOT/Tender/SplashBidNoticeAbstractUI.aspx?menuIndex=3&amp;refID=7085423&amp;Result=3","7085423")</f>
        <v>0</v>
      </c>
      <c r="B2007" t="s">
        <v>540</v>
      </c>
      <c r="C2007" t="s">
        <v>5341</v>
      </c>
      <c r="D2007" t="s">
        <v>17452</v>
      </c>
      <c r="E2007" t="s">
        <v>19271</v>
      </c>
      <c r="F2007" t="s">
        <v>30052</v>
      </c>
      <c r="G2007" t="s">
        <v>30059</v>
      </c>
      <c r="H2007" t="s">
        <v>15498</v>
      </c>
      <c r="I2007" t="s">
        <v>30076</v>
      </c>
      <c r="J2007" t="s">
        <v>31612</v>
      </c>
      <c r="K2007" t="s">
        <v>39029</v>
      </c>
      <c r="M2007" t="s">
        <v>39842</v>
      </c>
      <c r="N2007" t="s">
        <v>43166</v>
      </c>
      <c r="O2007" t="s">
        <v>43167</v>
      </c>
      <c r="P2007">
        <v>0</v>
      </c>
      <c r="Q2007">
        <v>2</v>
      </c>
      <c r="R2007" t="s">
        <v>43170</v>
      </c>
      <c r="S2007" t="s">
        <v>43297</v>
      </c>
      <c r="T2007" t="s">
        <v>44696</v>
      </c>
      <c r="U2007" t="s">
        <v>46860</v>
      </c>
      <c r="W2007" t="s">
        <v>39842</v>
      </c>
      <c r="X2007" t="s">
        <v>43171</v>
      </c>
    </row>
    <row r="2008" spans="1:24">
      <c r="A2008">
        <f>HYPERLINK("https://www.philgeps.gov.ph/GEPSNONPILOT/Tender/SplashBidNoticeAbstractUI.aspx?menuIndex=3&amp;refID=7085409&amp;Result=3","7085409")</f>
        <v>0</v>
      </c>
      <c r="B2008" t="s">
        <v>844</v>
      </c>
      <c r="C2008" t="s">
        <v>5342</v>
      </c>
      <c r="D2008" t="s">
        <v>17428</v>
      </c>
      <c r="E2008" t="s">
        <v>5342</v>
      </c>
      <c r="F2008" t="s">
        <v>30052</v>
      </c>
      <c r="G2008" t="s">
        <v>30061</v>
      </c>
      <c r="H2008" t="s">
        <v>15498</v>
      </c>
      <c r="I2008" t="s">
        <v>4650</v>
      </c>
      <c r="J2008" t="s">
        <v>30528</v>
      </c>
      <c r="K2008" t="s">
        <v>39036</v>
      </c>
      <c r="L2008" t="s">
        <v>844</v>
      </c>
      <c r="M2008" t="s">
        <v>40161</v>
      </c>
      <c r="N2008" t="s">
        <v>43166</v>
      </c>
      <c r="O2008" t="s">
        <v>43167</v>
      </c>
      <c r="P2008">
        <v>0</v>
      </c>
      <c r="Q2008">
        <v>1</v>
      </c>
      <c r="R2008" t="s">
        <v>43170</v>
      </c>
      <c r="S2008" t="s">
        <v>43297</v>
      </c>
      <c r="T2008" t="s">
        <v>44788</v>
      </c>
      <c r="U2008" t="s">
        <v>46861</v>
      </c>
      <c r="W2008" t="s">
        <v>40161</v>
      </c>
      <c r="X2008" t="s">
        <v>43171</v>
      </c>
    </row>
    <row r="2009" spans="1:24">
      <c r="A2009">
        <f>HYPERLINK("https://www.philgeps.gov.ph/GEPSNONPILOT/Tender/SplashBidNoticeAbstractUI.aspx?menuIndex=3&amp;refID=7085389&amp;Result=3","7085389")</f>
        <v>0</v>
      </c>
      <c r="B2009" t="s">
        <v>845</v>
      </c>
      <c r="C2009" t="s">
        <v>5343</v>
      </c>
      <c r="E2009" t="s">
        <v>19272</v>
      </c>
      <c r="F2009" t="s">
        <v>30052</v>
      </c>
      <c r="G2009" t="s">
        <v>30059</v>
      </c>
      <c r="H2009" t="s">
        <v>15498</v>
      </c>
      <c r="I2009" t="s">
        <v>6691</v>
      </c>
      <c r="J2009" t="s">
        <v>30358</v>
      </c>
      <c r="K2009" t="s">
        <v>39025</v>
      </c>
      <c r="M2009" t="s">
        <v>40162</v>
      </c>
      <c r="N2009" t="s">
        <v>43166</v>
      </c>
      <c r="O2009" t="s">
        <v>43167</v>
      </c>
      <c r="P2009">
        <v>0</v>
      </c>
      <c r="Q2009">
        <v>0</v>
      </c>
      <c r="R2009" t="s">
        <v>43170</v>
      </c>
      <c r="S2009" t="s">
        <v>43297</v>
      </c>
      <c r="T2009" t="s">
        <v>44844</v>
      </c>
      <c r="U2009" t="s">
        <v>46862</v>
      </c>
      <c r="W2009" t="s">
        <v>40162</v>
      </c>
      <c r="X2009" t="s">
        <v>43171</v>
      </c>
    </row>
    <row r="2010" spans="1:24">
      <c r="A2010">
        <f>HYPERLINK("https://www.philgeps.gov.ph/GEPSNONPILOT/Tender/SplashBidNoticeAbstractUI.aspx?menuIndex=3&amp;refID=7085408&amp;Result=3","7085408")</f>
        <v>0</v>
      </c>
      <c r="B2010" t="s">
        <v>804</v>
      </c>
      <c r="C2010" t="s">
        <v>5344</v>
      </c>
      <c r="D2010" t="s">
        <v>17470</v>
      </c>
      <c r="E2010" t="s">
        <v>19273</v>
      </c>
      <c r="F2010" t="s">
        <v>30052</v>
      </c>
      <c r="G2010" t="s">
        <v>30058</v>
      </c>
      <c r="H2010" t="s">
        <v>30067</v>
      </c>
      <c r="I2010" t="s">
        <v>3693</v>
      </c>
      <c r="J2010" t="s">
        <v>31613</v>
      </c>
      <c r="K2010" t="s">
        <v>39017</v>
      </c>
      <c r="M2010" t="s">
        <v>40121</v>
      </c>
      <c r="N2010" t="s">
        <v>43166</v>
      </c>
      <c r="O2010" t="s">
        <v>43167</v>
      </c>
      <c r="P2010">
        <v>0</v>
      </c>
      <c r="Q2010">
        <v>0</v>
      </c>
      <c r="R2010" t="s">
        <v>43170</v>
      </c>
      <c r="S2010" t="s">
        <v>43297</v>
      </c>
      <c r="T2010" t="s">
        <v>44733</v>
      </c>
      <c r="U2010" t="s">
        <v>46863</v>
      </c>
      <c r="W2010" t="s">
        <v>40121</v>
      </c>
      <c r="X2010" t="s">
        <v>43171</v>
      </c>
    </row>
    <row r="2011" spans="1:24">
      <c r="A2011">
        <f>HYPERLINK("https://www.philgeps.gov.ph/GEPSNONPILOT/Tender/SplashBidNoticeAbstractUI.aspx?menuIndex=3&amp;refID=7085406&amp;Result=3","7085406")</f>
        <v>0</v>
      </c>
      <c r="B2011" t="s">
        <v>808</v>
      </c>
      <c r="C2011" t="s">
        <v>5345</v>
      </c>
      <c r="D2011" t="s">
        <v>17459</v>
      </c>
      <c r="E2011" t="s">
        <v>19274</v>
      </c>
      <c r="F2011" t="s">
        <v>30052</v>
      </c>
      <c r="G2011" t="s">
        <v>30059</v>
      </c>
      <c r="H2011" t="s">
        <v>15498</v>
      </c>
      <c r="I2011" t="s">
        <v>30076</v>
      </c>
      <c r="J2011" t="s">
        <v>31614</v>
      </c>
      <c r="K2011" t="s">
        <v>39018</v>
      </c>
      <c r="M2011" t="s">
        <v>40125</v>
      </c>
      <c r="N2011" t="s">
        <v>43166</v>
      </c>
      <c r="O2011" t="s">
        <v>43167</v>
      </c>
      <c r="P2011">
        <v>0</v>
      </c>
      <c r="Q2011">
        <v>10</v>
      </c>
      <c r="R2011" t="s">
        <v>43170</v>
      </c>
      <c r="S2011" t="s">
        <v>43297</v>
      </c>
      <c r="T2011" t="s">
        <v>44843</v>
      </c>
      <c r="U2011" t="s">
        <v>46864</v>
      </c>
      <c r="V2011" t="s">
        <v>57045</v>
      </c>
      <c r="W2011" t="s">
        <v>40125</v>
      </c>
      <c r="X2011" t="s">
        <v>43171</v>
      </c>
    </row>
    <row r="2012" spans="1:24">
      <c r="A2012">
        <f>HYPERLINK("https://www.philgeps.gov.ph/GEPSNONPILOT/Tender/SplashBidNoticeAbstractUI.aspx?menuIndex=3&amp;refID=7085380&amp;Result=3","7085380")</f>
        <v>0</v>
      </c>
      <c r="B2012" t="s">
        <v>846</v>
      </c>
      <c r="C2012" t="s">
        <v>5346</v>
      </c>
      <c r="D2012" t="s">
        <v>17421</v>
      </c>
      <c r="E2012" t="s">
        <v>17617</v>
      </c>
      <c r="F2012" t="s">
        <v>30052</v>
      </c>
      <c r="G2012" t="s">
        <v>30058</v>
      </c>
      <c r="H2012" t="s">
        <v>30067</v>
      </c>
      <c r="I2012" t="s">
        <v>3693</v>
      </c>
      <c r="J2012" t="s">
        <v>31615</v>
      </c>
      <c r="K2012" t="s">
        <v>39094</v>
      </c>
      <c r="M2012" t="s">
        <v>40163</v>
      </c>
      <c r="N2012" t="s">
        <v>43166</v>
      </c>
      <c r="O2012" t="s">
        <v>43167</v>
      </c>
      <c r="P2012">
        <v>0</v>
      </c>
      <c r="Q2012">
        <v>0</v>
      </c>
      <c r="R2012" t="s">
        <v>43170</v>
      </c>
      <c r="S2012" t="s">
        <v>43297</v>
      </c>
      <c r="T2012" t="s">
        <v>44709</v>
      </c>
      <c r="U2012" t="s">
        <v>46865</v>
      </c>
      <c r="V2012" t="s">
        <v>57052</v>
      </c>
      <c r="W2012" t="s">
        <v>40163</v>
      </c>
      <c r="X2012" t="s">
        <v>43171</v>
      </c>
    </row>
    <row r="2013" spans="1:24">
      <c r="A2013">
        <f>HYPERLINK("https://www.philgeps.gov.ph/GEPSNONPILOT/Tender/SplashBidNoticeAbstractUI.aspx?menuIndex=3&amp;refID=7085377&amp;Result=3","7085377")</f>
        <v>0</v>
      </c>
      <c r="B2013" t="s">
        <v>847</v>
      </c>
      <c r="C2013" t="s">
        <v>5347</v>
      </c>
      <c r="E2013" t="s">
        <v>19275</v>
      </c>
      <c r="F2013" t="s">
        <v>30052</v>
      </c>
      <c r="G2013" t="s">
        <v>30058</v>
      </c>
      <c r="H2013" t="s">
        <v>15498</v>
      </c>
      <c r="I2013" t="s">
        <v>30106</v>
      </c>
      <c r="J2013" t="s">
        <v>30277</v>
      </c>
      <c r="K2013" t="s">
        <v>39025</v>
      </c>
      <c r="M2013" t="s">
        <v>40164</v>
      </c>
      <c r="N2013" t="s">
        <v>43166</v>
      </c>
      <c r="O2013" t="s">
        <v>43167</v>
      </c>
      <c r="P2013">
        <v>0</v>
      </c>
      <c r="Q2013">
        <v>0</v>
      </c>
      <c r="R2013" t="s">
        <v>43170</v>
      </c>
      <c r="S2013" t="s">
        <v>43297</v>
      </c>
      <c r="T2013" t="s">
        <v>44764</v>
      </c>
      <c r="U2013" t="s">
        <v>46866</v>
      </c>
      <c r="W2013" t="s">
        <v>40164</v>
      </c>
      <c r="X2013" t="s">
        <v>43171</v>
      </c>
    </row>
    <row r="2014" spans="1:24">
      <c r="A2014">
        <f>HYPERLINK("https://www.philgeps.gov.ph/GEPSNONPILOT/Tender/SplashBidNoticeAbstractUI.aspx?menuIndex=3&amp;refID=7085375&amp;Result=3","7085375")</f>
        <v>0</v>
      </c>
      <c r="B2014" t="s">
        <v>645</v>
      </c>
      <c r="C2014" t="s">
        <v>5348</v>
      </c>
      <c r="D2014" t="s">
        <v>17464</v>
      </c>
      <c r="E2014" t="s">
        <v>19276</v>
      </c>
      <c r="F2014" t="s">
        <v>30052</v>
      </c>
      <c r="G2014" t="s">
        <v>30065</v>
      </c>
      <c r="H2014" t="s">
        <v>30068</v>
      </c>
      <c r="I2014" t="s">
        <v>30068</v>
      </c>
      <c r="J2014" t="s">
        <v>31616</v>
      </c>
      <c r="K2014" t="s">
        <v>39025</v>
      </c>
      <c r="M2014" t="s">
        <v>39949</v>
      </c>
      <c r="N2014" t="s">
        <v>43166</v>
      </c>
      <c r="O2014" t="s">
        <v>43167</v>
      </c>
      <c r="P2014">
        <v>0</v>
      </c>
      <c r="Q2014">
        <v>4</v>
      </c>
      <c r="R2014" t="s">
        <v>43170</v>
      </c>
      <c r="S2014" t="s">
        <v>43297</v>
      </c>
      <c r="T2014" t="s">
        <v>44684</v>
      </c>
      <c r="U2014" t="s">
        <v>46867</v>
      </c>
      <c r="W2014" t="s">
        <v>39949</v>
      </c>
      <c r="X2014" t="s">
        <v>43171</v>
      </c>
    </row>
    <row r="2015" spans="1:24">
      <c r="A2015">
        <f>HYPERLINK("https://www.philgeps.gov.ph/GEPSNONPILOT/Tender/SplashBidNoticeAbstractUI.aspx?menuIndex=3&amp;refID=7085407&amp;Result=3","7085407")</f>
        <v>0</v>
      </c>
      <c r="B2015" t="s">
        <v>848</v>
      </c>
      <c r="C2015" t="s">
        <v>5349</v>
      </c>
      <c r="D2015" t="s">
        <v>17466</v>
      </c>
      <c r="E2015" t="s">
        <v>18583</v>
      </c>
      <c r="F2015" t="s">
        <v>30052</v>
      </c>
      <c r="G2015" t="s">
        <v>30058</v>
      </c>
      <c r="H2015" t="s">
        <v>15498</v>
      </c>
      <c r="I2015" t="s">
        <v>4119</v>
      </c>
      <c r="J2015" t="s">
        <v>31177</v>
      </c>
      <c r="K2015" t="s">
        <v>39039</v>
      </c>
      <c r="M2015" t="s">
        <v>40165</v>
      </c>
      <c r="N2015" t="s">
        <v>43166</v>
      </c>
      <c r="O2015" t="s">
        <v>43167</v>
      </c>
      <c r="P2015">
        <v>0</v>
      </c>
      <c r="Q2015">
        <v>1</v>
      </c>
      <c r="R2015" t="s">
        <v>43170</v>
      </c>
      <c r="S2015" t="s">
        <v>43297</v>
      </c>
      <c r="T2015" t="s">
        <v>44681</v>
      </c>
      <c r="U2015" t="s">
        <v>46868</v>
      </c>
      <c r="W2015" t="s">
        <v>40165</v>
      </c>
      <c r="X2015" t="s">
        <v>43171</v>
      </c>
    </row>
    <row r="2016" spans="1:24">
      <c r="A2016">
        <f>HYPERLINK("https://www.philgeps.gov.ph/GEPSNONPILOT/Tender/SplashBidNoticeAbstractUI.aspx?menuIndex=3&amp;refID=7085371&amp;Result=3","7085371")</f>
        <v>0</v>
      </c>
      <c r="B2016" t="s">
        <v>849</v>
      </c>
      <c r="C2016" t="s">
        <v>5350</v>
      </c>
      <c r="D2016" t="s">
        <v>17415</v>
      </c>
      <c r="E2016" t="s">
        <v>19277</v>
      </c>
      <c r="F2016" t="s">
        <v>30052</v>
      </c>
      <c r="G2016" t="s">
        <v>30059</v>
      </c>
      <c r="H2016" t="s">
        <v>15498</v>
      </c>
      <c r="I2016" t="s">
        <v>30100</v>
      </c>
      <c r="J2016" t="s">
        <v>30868</v>
      </c>
      <c r="K2016" t="s">
        <v>39025</v>
      </c>
      <c r="M2016" t="s">
        <v>40166</v>
      </c>
      <c r="N2016" t="s">
        <v>43166</v>
      </c>
      <c r="O2016" t="s">
        <v>43167</v>
      </c>
      <c r="P2016">
        <v>0</v>
      </c>
      <c r="Q2016">
        <v>5</v>
      </c>
      <c r="R2016" t="s">
        <v>43170</v>
      </c>
      <c r="S2016" t="s">
        <v>43297</v>
      </c>
      <c r="T2016" t="s">
        <v>44732</v>
      </c>
      <c r="U2016" t="s">
        <v>46869</v>
      </c>
      <c r="W2016" t="s">
        <v>40166</v>
      </c>
      <c r="X2016" t="s">
        <v>43171</v>
      </c>
    </row>
    <row r="2017" spans="1:24">
      <c r="A2017">
        <f>HYPERLINK("https://www.philgeps.gov.ph/GEPSNONPILOT/Tender/SplashBidNoticeAbstractUI.aspx?menuIndex=3&amp;refID=7085383&amp;Result=3","7085383")</f>
        <v>0</v>
      </c>
      <c r="B2017" t="s">
        <v>843</v>
      </c>
      <c r="C2017" t="s">
        <v>5351</v>
      </c>
      <c r="D2017" t="s">
        <v>17421</v>
      </c>
      <c r="E2017" t="s">
        <v>19278</v>
      </c>
      <c r="F2017" t="s">
        <v>30052</v>
      </c>
      <c r="G2017" t="s">
        <v>30058</v>
      </c>
      <c r="H2017" t="s">
        <v>15498</v>
      </c>
      <c r="I2017" t="s">
        <v>30076</v>
      </c>
      <c r="J2017" t="s">
        <v>31617</v>
      </c>
      <c r="K2017" t="s">
        <v>39019</v>
      </c>
      <c r="M2017" t="s">
        <v>40160</v>
      </c>
      <c r="N2017" t="s">
        <v>43166</v>
      </c>
      <c r="O2017" t="s">
        <v>43167</v>
      </c>
      <c r="P2017">
        <v>0</v>
      </c>
      <c r="Q2017">
        <v>0</v>
      </c>
      <c r="R2017" t="s">
        <v>43170</v>
      </c>
      <c r="S2017" t="s">
        <v>43297</v>
      </c>
      <c r="T2017" t="s">
        <v>44721</v>
      </c>
      <c r="U2017" t="s">
        <v>46870</v>
      </c>
      <c r="W2017" t="s">
        <v>40160</v>
      </c>
      <c r="X2017" t="s">
        <v>43171</v>
      </c>
    </row>
    <row r="2018" spans="1:24">
      <c r="A2018">
        <f>HYPERLINK("https://www.philgeps.gov.ph/GEPSNONPILOT/Tender/SplashBidNoticeAbstractUI.aspx?menuIndex=3&amp;refID=7085367&amp;Result=3","7085367")</f>
        <v>0</v>
      </c>
      <c r="B2018" t="s">
        <v>741</v>
      </c>
      <c r="C2018" t="s">
        <v>5352</v>
      </c>
      <c r="D2018" t="s">
        <v>17425</v>
      </c>
      <c r="E2018" t="s">
        <v>19279</v>
      </c>
      <c r="F2018" t="s">
        <v>30052</v>
      </c>
      <c r="G2018" t="s">
        <v>30059</v>
      </c>
      <c r="H2018" t="s">
        <v>15498</v>
      </c>
      <c r="I2018" t="s">
        <v>30076</v>
      </c>
      <c r="J2018" t="s">
        <v>31618</v>
      </c>
      <c r="K2018" t="s">
        <v>39019</v>
      </c>
      <c r="M2018" t="s">
        <v>40055</v>
      </c>
      <c r="N2018" t="s">
        <v>43166</v>
      </c>
      <c r="O2018" t="s">
        <v>43167</v>
      </c>
      <c r="P2018">
        <v>0</v>
      </c>
      <c r="Q2018">
        <v>0</v>
      </c>
      <c r="R2018" t="s">
        <v>43170</v>
      </c>
      <c r="S2018" t="s">
        <v>43297</v>
      </c>
      <c r="T2018" t="s">
        <v>44806</v>
      </c>
      <c r="U2018" t="s">
        <v>46871</v>
      </c>
      <c r="V2018" t="s">
        <v>57038</v>
      </c>
      <c r="W2018" t="s">
        <v>40055</v>
      </c>
      <c r="X2018" t="s">
        <v>43171</v>
      </c>
    </row>
    <row r="2019" spans="1:24">
      <c r="A2019">
        <f>HYPERLINK("https://www.philgeps.gov.ph/GEPSNONPILOT/Tender/SplashBidNoticeAbstractUI.aspx?menuIndex=3&amp;refID=7085434&amp;Result=3","7085434")</f>
        <v>0</v>
      </c>
      <c r="B2019" t="s">
        <v>803</v>
      </c>
      <c r="C2019" t="s">
        <v>5353</v>
      </c>
      <c r="D2019" t="s">
        <v>17476</v>
      </c>
      <c r="E2019" t="s">
        <v>19280</v>
      </c>
      <c r="F2019" t="s">
        <v>30052</v>
      </c>
      <c r="G2019" t="s">
        <v>30058</v>
      </c>
      <c r="H2019" t="s">
        <v>30067</v>
      </c>
      <c r="I2019" t="s">
        <v>3693</v>
      </c>
      <c r="J2019" t="s">
        <v>30227</v>
      </c>
      <c r="K2019" t="s">
        <v>39025</v>
      </c>
      <c r="M2019" t="s">
        <v>40120</v>
      </c>
      <c r="N2019" t="s">
        <v>43166</v>
      </c>
      <c r="O2019" t="s">
        <v>43167</v>
      </c>
      <c r="P2019">
        <v>0</v>
      </c>
      <c r="Q2019">
        <v>0</v>
      </c>
      <c r="R2019" t="s">
        <v>43170</v>
      </c>
      <c r="S2019" t="s">
        <v>43297</v>
      </c>
      <c r="T2019" t="s">
        <v>44703</v>
      </c>
      <c r="U2019" t="s">
        <v>46771</v>
      </c>
      <c r="W2019" t="s">
        <v>40120</v>
      </c>
      <c r="X2019" t="s">
        <v>43171</v>
      </c>
    </row>
    <row r="2020" spans="1:24">
      <c r="A2020">
        <f>HYPERLINK("https://www.philgeps.gov.ph/GEPSNONPILOT/Tender/SplashBidNoticeAbstractUI.aspx?menuIndex=3&amp;refID=7085410&amp;Result=3","7085410")</f>
        <v>0</v>
      </c>
      <c r="B2020" t="s">
        <v>829</v>
      </c>
      <c r="C2020" t="s">
        <v>5354</v>
      </c>
      <c r="D2020" t="s">
        <v>17472</v>
      </c>
      <c r="E2020" t="s">
        <v>19281</v>
      </c>
      <c r="F2020" t="s">
        <v>30052</v>
      </c>
      <c r="G2020" t="s">
        <v>30058</v>
      </c>
      <c r="H2020" t="s">
        <v>30067</v>
      </c>
      <c r="I2020" t="s">
        <v>3693</v>
      </c>
      <c r="J2020" t="s">
        <v>31619</v>
      </c>
      <c r="K2020" t="s">
        <v>39031</v>
      </c>
      <c r="M2020" t="s">
        <v>40146</v>
      </c>
      <c r="N2020" t="s">
        <v>43166</v>
      </c>
      <c r="O2020" t="s">
        <v>43167</v>
      </c>
      <c r="P2020">
        <v>0</v>
      </c>
      <c r="Q2020">
        <v>0</v>
      </c>
      <c r="R2020" t="s">
        <v>43170</v>
      </c>
      <c r="S2020" t="s">
        <v>43297</v>
      </c>
      <c r="T2020" t="s">
        <v>44726</v>
      </c>
      <c r="U2020" t="s">
        <v>46872</v>
      </c>
      <c r="V2020" t="s">
        <v>57053</v>
      </c>
      <c r="W2020" t="s">
        <v>40146</v>
      </c>
      <c r="X2020" t="s">
        <v>43171</v>
      </c>
    </row>
    <row r="2021" spans="1:24">
      <c r="A2021">
        <f>HYPERLINK("https://www.philgeps.gov.ph/GEPSNONPILOT/Tender/SplashBidNoticeAbstractUI.aspx?menuIndex=3&amp;refID=7085336&amp;Result=3","7085336")</f>
        <v>0</v>
      </c>
      <c r="B2021" t="s">
        <v>850</v>
      </c>
      <c r="C2021" t="s">
        <v>5355</v>
      </c>
      <c r="D2021" t="s">
        <v>17415</v>
      </c>
      <c r="E2021" t="s">
        <v>19282</v>
      </c>
      <c r="F2021" t="s">
        <v>30052</v>
      </c>
      <c r="G2021" t="s">
        <v>30059</v>
      </c>
      <c r="H2021" t="s">
        <v>30068</v>
      </c>
      <c r="I2021" t="s">
        <v>30068</v>
      </c>
      <c r="J2021" t="s">
        <v>30402</v>
      </c>
      <c r="K2021" t="s">
        <v>39095</v>
      </c>
      <c r="M2021" t="s">
        <v>40167</v>
      </c>
      <c r="N2021" t="s">
        <v>43166</v>
      </c>
      <c r="O2021" t="s">
        <v>43167</v>
      </c>
      <c r="P2021">
        <v>0</v>
      </c>
      <c r="Q2021">
        <v>4</v>
      </c>
      <c r="R2021" t="s">
        <v>43170</v>
      </c>
      <c r="S2021" t="s">
        <v>43297</v>
      </c>
      <c r="T2021" t="s">
        <v>44714</v>
      </c>
      <c r="U2021" t="s">
        <v>46873</v>
      </c>
      <c r="V2021" t="s">
        <v>57054</v>
      </c>
      <c r="W2021" t="s">
        <v>40167</v>
      </c>
      <c r="X2021" t="s">
        <v>43171</v>
      </c>
    </row>
    <row r="2022" spans="1:24">
      <c r="A2022">
        <f>HYPERLINK("https://www.philgeps.gov.ph/GEPSNONPILOT/Tender/SplashBidNoticeAbstractUI.aspx?menuIndex=3&amp;refID=7085335&amp;Result=3","7085335")</f>
        <v>0</v>
      </c>
      <c r="B2022" t="s">
        <v>694</v>
      </c>
      <c r="C2022" t="s">
        <v>5356</v>
      </c>
      <c r="D2022" t="s">
        <v>17476</v>
      </c>
      <c r="E2022" t="s">
        <v>19283</v>
      </c>
      <c r="F2022" t="s">
        <v>30052</v>
      </c>
      <c r="G2022" t="s">
        <v>30059</v>
      </c>
      <c r="H2022" t="s">
        <v>15498</v>
      </c>
      <c r="I2022" t="s">
        <v>3736</v>
      </c>
      <c r="J2022" t="s">
        <v>31620</v>
      </c>
      <c r="K2022" t="s">
        <v>39064</v>
      </c>
      <c r="M2022" t="s">
        <v>40001</v>
      </c>
      <c r="N2022" t="s">
        <v>43166</v>
      </c>
      <c r="O2022" t="s">
        <v>43167</v>
      </c>
      <c r="P2022">
        <v>0</v>
      </c>
      <c r="Q2022">
        <v>0</v>
      </c>
      <c r="R2022" t="s">
        <v>43170</v>
      </c>
      <c r="S2022" t="s">
        <v>43297</v>
      </c>
      <c r="T2022" t="s">
        <v>44844</v>
      </c>
      <c r="U2022" t="s">
        <v>46874</v>
      </c>
      <c r="W2022" t="s">
        <v>40001</v>
      </c>
      <c r="X2022" t="s">
        <v>43171</v>
      </c>
    </row>
    <row r="2023" spans="1:24">
      <c r="A2023">
        <f>HYPERLINK("https://www.philgeps.gov.ph/GEPSNONPILOT/Tender/SplashBidNoticeAbstractUI.aspx?menuIndex=3&amp;refID=7085374&amp;Result=3","7085374")</f>
        <v>0</v>
      </c>
      <c r="B2023" t="s">
        <v>432</v>
      </c>
      <c r="C2023" t="s">
        <v>5357</v>
      </c>
      <c r="D2023" t="s">
        <v>17443</v>
      </c>
      <c r="E2023" t="s">
        <v>19284</v>
      </c>
      <c r="F2023" t="s">
        <v>30052</v>
      </c>
      <c r="G2023" t="s">
        <v>30059</v>
      </c>
      <c r="H2023" t="s">
        <v>15498</v>
      </c>
      <c r="I2023" t="s">
        <v>30097</v>
      </c>
      <c r="J2023" t="s">
        <v>30248</v>
      </c>
      <c r="K2023" t="s">
        <v>39037</v>
      </c>
      <c r="M2023" t="s">
        <v>39731</v>
      </c>
      <c r="N2023" t="s">
        <v>43166</v>
      </c>
      <c r="O2023" t="s">
        <v>43167</v>
      </c>
      <c r="P2023">
        <v>0</v>
      </c>
      <c r="Q2023">
        <v>1</v>
      </c>
      <c r="R2023" t="s">
        <v>43170</v>
      </c>
      <c r="S2023" t="s">
        <v>43297</v>
      </c>
      <c r="T2023" t="s">
        <v>44844</v>
      </c>
      <c r="U2023" t="s">
        <v>46024</v>
      </c>
      <c r="V2023" t="s">
        <v>57055</v>
      </c>
      <c r="W2023" t="s">
        <v>39731</v>
      </c>
      <c r="X2023" t="s">
        <v>43171</v>
      </c>
    </row>
    <row r="2024" spans="1:24">
      <c r="A2024">
        <f>HYPERLINK("https://www.philgeps.gov.ph/GEPSNONPILOT/Tender/SplashBidNoticeAbstractUI.aspx?menuIndex=3&amp;refID=7085331&amp;Result=3","7085331")</f>
        <v>0</v>
      </c>
      <c r="B2024" t="s">
        <v>851</v>
      </c>
      <c r="C2024" t="s">
        <v>5358</v>
      </c>
      <c r="D2024" t="s">
        <v>17443</v>
      </c>
      <c r="E2024" t="s">
        <v>19285</v>
      </c>
      <c r="F2024" t="s">
        <v>30052</v>
      </c>
      <c r="G2024" t="s">
        <v>30059</v>
      </c>
      <c r="H2024" t="s">
        <v>15498</v>
      </c>
      <c r="I2024" t="s">
        <v>8323</v>
      </c>
      <c r="J2024" t="s">
        <v>31621</v>
      </c>
      <c r="K2024" t="s">
        <v>39019</v>
      </c>
      <c r="L2024" t="s">
        <v>851</v>
      </c>
      <c r="M2024" t="s">
        <v>40168</v>
      </c>
      <c r="N2024" t="s">
        <v>43166</v>
      </c>
      <c r="O2024" t="s">
        <v>43167</v>
      </c>
      <c r="P2024">
        <v>0</v>
      </c>
      <c r="Q2024">
        <v>12</v>
      </c>
      <c r="R2024" t="s">
        <v>43170</v>
      </c>
      <c r="S2024" t="s">
        <v>43297</v>
      </c>
      <c r="T2024" t="s">
        <v>44837</v>
      </c>
      <c r="U2024" t="s">
        <v>46875</v>
      </c>
      <c r="W2024" t="s">
        <v>40168</v>
      </c>
      <c r="X2024" t="s">
        <v>43171</v>
      </c>
    </row>
    <row r="2025" spans="1:24">
      <c r="A2025">
        <f>HYPERLINK("https://www.philgeps.gov.ph/GEPSNONPILOT/Tender/SplashBidNoticeAbstractUI.aspx?menuIndex=3&amp;refID=7085439&amp;Result=3","7085439")</f>
        <v>0</v>
      </c>
      <c r="B2025" t="s">
        <v>765</v>
      </c>
      <c r="C2025" t="s">
        <v>5359</v>
      </c>
      <c r="D2025" t="s">
        <v>17468</v>
      </c>
      <c r="E2025" t="s">
        <v>19286</v>
      </c>
      <c r="F2025" t="s">
        <v>30052</v>
      </c>
      <c r="G2025" t="s">
        <v>30059</v>
      </c>
      <c r="H2025" t="s">
        <v>15498</v>
      </c>
      <c r="I2025" t="s">
        <v>3852</v>
      </c>
      <c r="J2025" t="s">
        <v>31622</v>
      </c>
      <c r="K2025" t="s">
        <v>39046</v>
      </c>
      <c r="M2025" t="s">
        <v>40079</v>
      </c>
      <c r="N2025" t="s">
        <v>43166</v>
      </c>
      <c r="O2025" t="s">
        <v>43167</v>
      </c>
      <c r="P2025">
        <v>0</v>
      </c>
      <c r="Q2025">
        <v>1</v>
      </c>
      <c r="R2025" t="s">
        <v>43170</v>
      </c>
      <c r="S2025" t="s">
        <v>43297</v>
      </c>
      <c r="T2025" t="s">
        <v>44733</v>
      </c>
      <c r="U2025" t="s">
        <v>46876</v>
      </c>
      <c r="W2025" t="s">
        <v>40079</v>
      </c>
      <c r="X2025" t="s">
        <v>43171</v>
      </c>
    </row>
    <row r="2026" spans="1:24">
      <c r="A2026">
        <f>HYPERLINK("https://www.philgeps.gov.ph/GEPSNONPILOT/Tender/SplashBidNoticeAbstractUI.aspx?menuIndex=3&amp;refID=7085411&amp;Result=3","7085411")</f>
        <v>0</v>
      </c>
      <c r="B2026" t="s">
        <v>198</v>
      </c>
      <c r="C2026" t="s">
        <v>3770</v>
      </c>
      <c r="D2026" t="s">
        <v>17415</v>
      </c>
      <c r="E2026" t="s">
        <v>19287</v>
      </c>
      <c r="F2026" t="s">
        <v>30052</v>
      </c>
      <c r="G2026" t="s">
        <v>30061</v>
      </c>
      <c r="H2026" t="s">
        <v>15498</v>
      </c>
      <c r="I2026" t="s">
        <v>30119</v>
      </c>
      <c r="J2026" t="s">
        <v>31014</v>
      </c>
      <c r="K2026" t="s">
        <v>39017</v>
      </c>
      <c r="M2026" t="s">
        <v>39488</v>
      </c>
      <c r="N2026" t="s">
        <v>43166</v>
      </c>
      <c r="O2026" t="s">
        <v>43167</v>
      </c>
      <c r="P2026">
        <v>0</v>
      </c>
      <c r="Q2026">
        <v>2</v>
      </c>
      <c r="R2026" t="s">
        <v>43170</v>
      </c>
      <c r="S2026" t="s">
        <v>43297</v>
      </c>
      <c r="T2026" t="s">
        <v>44714</v>
      </c>
      <c r="U2026" t="s">
        <v>46877</v>
      </c>
      <c r="W2026" t="s">
        <v>39488</v>
      </c>
      <c r="X2026" t="s">
        <v>43171</v>
      </c>
    </row>
    <row r="2027" spans="1:24">
      <c r="A2027">
        <f>HYPERLINK("https://www.philgeps.gov.ph/GEPSNONPILOT/Tender/SplashBidNoticeAbstractUI.aspx?menuIndex=3&amp;refID=7085480&amp;Result=3","7085480")</f>
        <v>0</v>
      </c>
      <c r="B2027" t="s">
        <v>852</v>
      </c>
      <c r="C2027" t="s">
        <v>5360</v>
      </c>
      <c r="D2027" t="s">
        <v>17440</v>
      </c>
      <c r="E2027" t="s">
        <v>19288</v>
      </c>
      <c r="F2027" t="s">
        <v>30055</v>
      </c>
      <c r="G2027" t="s">
        <v>30061</v>
      </c>
      <c r="H2027" t="s">
        <v>15498</v>
      </c>
      <c r="I2027" t="s">
        <v>4650</v>
      </c>
      <c r="J2027" t="s">
        <v>31623</v>
      </c>
      <c r="K2027" t="s">
        <v>39017</v>
      </c>
      <c r="M2027" t="s">
        <v>40169</v>
      </c>
      <c r="N2027" t="s">
        <v>43166</v>
      </c>
      <c r="O2027" t="s">
        <v>43167</v>
      </c>
      <c r="P2027">
        <v>0</v>
      </c>
      <c r="Q2027">
        <v>2</v>
      </c>
      <c r="R2027" t="s">
        <v>43170</v>
      </c>
      <c r="S2027" t="s">
        <v>43297</v>
      </c>
      <c r="T2027" t="s">
        <v>44843</v>
      </c>
      <c r="U2027" t="s">
        <v>46878</v>
      </c>
      <c r="W2027" t="s">
        <v>40169</v>
      </c>
      <c r="X2027" t="s">
        <v>43171</v>
      </c>
    </row>
    <row r="2028" spans="1:24">
      <c r="A2028">
        <f>HYPERLINK("https://www.philgeps.gov.ph/GEPSNONPILOT/Tender/SplashBidNoticeAbstractUI.aspx?menuIndex=3&amp;refID=7085342&amp;Result=3","7085342")</f>
        <v>0</v>
      </c>
      <c r="B2028" t="s">
        <v>853</v>
      </c>
      <c r="C2028" t="s">
        <v>5361</v>
      </c>
      <c r="D2028" t="s">
        <v>17422</v>
      </c>
      <c r="E2028" t="s">
        <v>18200</v>
      </c>
      <c r="F2028" t="s">
        <v>30052</v>
      </c>
      <c r="G2028" t="s">
        <v>30058</v>
      </c>
      <c r="H2028" t="s">
        <v>30067</v>
      </c>
      <c r="I2028" t="s">
        <v>3693</v>
      </c>
      <c r="J2028" t="s">
        <v>31624</v>
      </c>
      <c r="K2028" t="s">
        <v>39025</v>
      </c>
      <c r="M2028" t="s">
        <v>40170</v>
      </c>
      <c r="N2028" t="s">
        <v>43166</v>
      </c>
      <c r="O2028" t="s">
        <v>43167</v>
      </c>
      <c r="P2028">
        <v>0</v>
      </c>
      <c r="Q2028">
        <v>0</v>
      </c>
      <c r="R2028" t="s">
        <v>43170</v>
      </c>
      <c r="S2028" t="s">
        <v>43297</v>
      </c>
      <c r="T2028" t="s">
        <v>44793</v>
      </c>
      <c r="U2028" t="s">
        <v>46879</v>
      </c>
      <c r="W2028" t="s">
        <v>40170</v>
      </c>
      <c r="X2028" t="s">
        <v>43171</v>
      </c>
    </row>
    <row r="2029" spans="1:24">
      <c r="A2029">
        <f>HYPERLINK("https://www.philgeps.gov.ph/GEPSNONPILOT/Tender/SplashBidNoticeAbstractUI.aspx?menuIndex=3&amp;refID=7085476&amp;Result=3","7085476")</f>
        <v>0</v>
      </c>
      <c r="B2029" t="s">
        <v>838</v>
      </c>
      <c r="C2029" t="s">
        <v>5362</v>
      </c>
      <c r="D2029" t="s">
        <v>17419</v>
      </c>
      <c r="E2029" t="s">
        <v>19289</v>
      </c>
      <c r="F2029" t="s">
        <v>30052</v>
      </c>
      <c r="G2029" t="s">
        <v>30061</v>
      </c>
      <c r="H2029" t="s">
        <v>15498</v>
      </c>
      <c r="I2029" t="s">
        <v>4598</v>
      </c>
      <c r="J2029" t="s">
        <v>31625</v>
      </c>
      <c r="K2029" t="s">
        <v>39029</v>
      </c>
      <c r="M2029" t="s">
        <v>40155</v>
      </c>
      <c r="N2029" t="s">
        <v>43166</v>
      </c>
      <c r="O2029" t="s">
        <v>43167</v>
      </c>
      <c r="P2029">
        <v>0</v>
      </c>
      <c r="Q2029">
        <v>1</v>
      </c>
      <c r="R2029" t="s">
        <v>43170</v>
      </c>
      <c r="S2029" t="s">
        <v>43297</v>
      </c>
      <c r="T2029" t="s">
        <v>44681</v>
      </c>
      <c r="U2029" t="s">
        <v>46880</v>
      </c>
      <c r="W2029" t="s">
        <v>40155</v>
      </c>
      <c r="X2029" t="s">
        <v>43171</v>
      </c>
    </row>
    <row r="2030" spans="1:24">
      <c r="A2030">
        <f>HYPERLINK("https://www.philgeps.gov.ph/GEPSNONPILOT/Tender/SplashBidNoticeAbstractUI.aspx?menuIndex=3&amp;refID=7085473&amp;Result=3","7085473")</f>
        <v>0</v>
      </c>
      <c r="B2030" t="s">
        <v>790</v>
      </c>
      <c r="C2030" t="s">
        <v>5363</v>
      </c>
      <c r="D2030" t="s">
        <v>17421</v>
      </c>
      <c r="E2030" t="s">
        <v>19290</v>
      </c>
      <c r="F2030" t="s">
        <v>30052</v>
      </c>
      <c r="G2030" t="s">
        <v>30058</v>
      </c>
      <c r="H2030" t="s">
        <v>15498</v>
      </c>
      <c r="I2030" t="s">
        <v>3736</v>
      </c>
      <c r="J2030" t="s">
        <v>31626</v>
      </c>
      <c r="K2030" t="s">
        <v>39034</v>
      </c>
      <c r="L2030" t="s">
        <v>790</v>
      </c>
      <c r="M2030" t="s">
        <v>40107</v>
      </c>
      <c r="N2030" t="s">
        <v>43166</v>
      </c>
      <c r="O2030" t="s">
        <v>43167</v>
      </c>
      <c r="P2030">
        <v>0</v>
      </c>
      <c r="Q2030">
        <v>0</v>
      </c>
      <c r="R2030" t="s">
        <v>43170</v>
      </c>
      <c r="S2030" t="s">
        <v>43297</v>
      </c>
      <c r="T2030" t="s">
        <v>44713</v>
      </c>
      <c r="U2030" t="s">
        <v>46747</v>
      </c>
      <c r="V2030" t="s">
        <v>57056</v>
      </c>
      <c r="W2030" t="s">
        <v>40107</v>
      </c>
      <c r="X2030" t="s">
        <v>43171</v>
      </c>
    </row>
    <row r="2031" spans="1:24">
      <c r="A2031">
        <f>HYPERLINK("https://www.philgeps.gov.ph/GEPSNONPILOT/Tender/SplashBidNoticeAbstractUI.aspx?menuIndex=3&amp;refID=7085465&amp;Result=3","7085465")</f>
        <v>0</v>
      </c>
      <c r="B2031" t="s">
        <v>803</v>
      </c>
      <c r="C2031" t="s">
        <v>5364</v>
      </c>
      <c r="D2031" t="s">
        <v>17476</v>
      </c>
      <c r="E2031" t="s">
        <v>19291</v>
      </c>
      <c r="F2031" t="s">
        <v>30052</v>
      </c>
      <c r="G2031" t="s">
        <v>30058</v>
      </c>
      <c r="H2031" t="s">
        <v>15498</v>
      </c>
      <c r="I2031" t="s">
        <v>3736</v>
      </c>
      <c r="J2031" t="s">
        <v>30856</v>
      </c>
      <c r="K2031" t="s">
        <v>39025</v>
      </c>
      <c r="M2031" t="s">
        <v>40120</v>
      </c>
      <c r="N2031" t="s">
        <v>43166</v>
      </c>
      <c r="O2031" t="s">
        <v>43167</v>
      </c>
      <c r="P2031">
        <v>0</v>
      </c>
      <c r="Q2031">
        <v>0</v>
      </c>
      <c r="R2031" t="s">
        <v>43170</v>
      </c>
      <c r="S2031" t="s">
        <v>43297</v>
      </c>
      <c r="T2031" t="s">
        <v>44896</v>
      </c>
      <c r="U2031" t="s">
        <v>46771</v>
      </c>
      <c r="W2031" t="s">
        <v>40120</v>
      </c>
      <c r="X2031" t="s">
        <v>43171</v>
      </c>
    </row>
    <row r="2032" spans="1:24">
      <c r="A2032">
        <f>HYPERLINK("https://www.philgeps.gov.ph/GEPSNONPILOT/Tender/SplashBidNoticeAbstractUI.aspx?menuIndex=3&amp;refID=7085344&amp;Result=3","7085344")</f>
        <v>0</v>
      </c>
      <c r="B2032" t="s">
        <v>795</v>
      </c>
      <c r="C2032" t="s">
        <v>5365</v>
      </c>
      <c r="D2032" t="s">
        <v>17466</v>
      </c>
      <c r="E2032" t="s">
        <v>19292</v>
      </c>
      <c r="F2032" t="s">
        <v>30052</v>
      </c>
      <c r="G2032" t="s">
        <v>30059</v>
      </c>
      <c r="H2032" t="s">
        <v>15498</v>
      </c>
      <c r="I2032" t="s">
        <v>30071</v>
      </c>
      <c r="J2032" t="s">
        <v>31627</v>
      </c>
      <c r="K2032" t="s">
        <v>39029</v>
      </c>
      <c r="M2032" t="s">
        <v>40112</v>
      </c>
      <c r="N2032" t="s">
        <v>43166</v>
      </c>
      <c r="O2032" t="s">
        <v>43167</v>
      </c>
      <c r="P2032">
        <v>0</v>
      </c>
      <c r="Q2032">
        <v>0</v>
      </c>
      <c r="R2032" t="s">
        <v>43170</v>
      </c>
      <c r="S2032" t="s">
        <v>43297</v>
      </c>
      <c r="T2032" t="s">
        <v>44773</v>
      </c>
      <c r="U2032" t="s">
        <v>46797</v>
      </c>
      <c r="V2032" t="s">
        <v>57037</v>
      </c>
      <c r="W2032" t="s">
        <v>40112</v>
      </c>
      <c r="X2032" t="s">
        <v>43171</v>
      </c>
    </row>
    <row r="2033" spans="1:24">
      <c r="A2033">
        <f>HYPERLINK("https://www.philgeps.gov.ph/GEPSNONPILOT/Tender/SplashBidNoticeAbstractUI.aspx?menuIndex=3&amp;refID=7085339&amp;Result=3","7085339")</f>
        <v>0</v>
      </c>
      <c r="B2033" t="s">
        <v>854</v>
      </c>
      <c r="C2033" t="s">
        <v>5366</v>
      </c>
      <c r="D2033" t="s">
        <v>17445</v>
      </c>
      <c r="E2033" t="s">
        <v>19293</v>
      </c>
      <c r="F2033" t="s">
        <v>30052</v>
      </c>
      <c r="G2033" t="s">
        <v>30058</v>
      </c>
      <c r="H2033" t="s">
        <v>15498</v>
      </c>
      <c r="I2033" t="s">
        <v>30076</v>
      </c>
      <c r="J2033" t="s">
        <v>30227</v>
      </c>
      <c r="K2033" t="s">
        <v>39039</v>
      </c>
      <c r="M2033" t="s">
        <v>40171</v>
      </c>
      <c r="N2033" t="s">
        <v>43166</v>
      </c>
      <c r="O2033" t="s">
        <v>43167</v>
      </c>
      <c r="P2033">
        <v>0</v>
      </c>
      <c r="Q2033">
        <v>1</v>
      </c>
      <c r="R2033" t="s">
        <v>43170</v>
      </c>
      <c r="S2033" t="s">
        <v>43297</v>
      </c>
      <c r="T2033" t="s">
        <v>44681</v>
      </c>
      <c r="U2033" t="s">
        <v>46881</v>
      </c>
      <c r="W2033" t="s">
        <v>40171</v>
      </c>
      <c r="X2033" t="s">
        <v>43171</v>
      </c>
    </row>
    <row r="2034" spans="1:24">
      <c r="A2034">
        <f>HYPERLINK("https://www.philgeps.gov.ph/GEPSNONPILOT/Tender/SplashBidNoticeAbstractUI.aspx?menuIndex=3&amp;refID=7085453&amp;Result=3","7085453")</f>
        <v>0</v>
      </c>
      <c r="B2034" t="s">
        <v>705</v>
      </c>
      <c r="C2034" t="s">
        <v>5367</v>
      </c>
      <c r="D2034" t="s">
        <v>17414</v>
      </c>
      <c r="E2034" t="s">
        <v>19294</v>
      </c>
      <c r="F2034" t="s">
        <v>30052</v>
      </c>
      <c r="G2034" t="s">
        <v>30059</v>
      </c>
      <c r="H2034" t="s">
        <v>15498</v>
      </c>
      <c r="I2034" t="s">
        <v>30092</v>
      </c>
      <c r="J2034" t="s">
        <v>31628</v>
      </c>
      <c r="K2034" t="s">
        <v>39017</v>
      </c>
      <c r="M2034" t="s">
        <v>40014</v>
      </c>
      <c r="N2034" t="s">
        <v>43166</v>
      </c>
      <c r="O2034" t="s">
        <v>43167</v>
      </c>
      <c r="P2034">
        <v>0</v>
      </c>
      <c r="Q2034">
        <v>0</v>
      </c>
      <c r="R2034" t="s">
        <v>43170</v>
      </c>
      <c r="S2034" t="s">
        <v>43297</v>
      </c>
      <c r="T2034" t="s">
        <v>44897</v>
      </c>
      <c r="U2034" t="s">
        <v>46882</v>
      </c>
      <c r="V2034" t="s">
        <v>57008</v>
      </c>
      <c r="W2034" t="s">
        <v>40014</v>
      </c>
      <c r="X2034" t="s">
        <v>43171</v>
      </c>
    </row>
    <row r="2035" spans="1:24">
      <c r="A2035">
        <f>HYPERLINK("https://www.philgeps.gov.ph/GEPSNONPILOT/Tender/SplashBidNoticeAbstractUI.aspx?menuIndex=3&amp;refID=7085452&amp;Result=3","7085452")</f>
        <v>0</v>
      </c>
      <c r="B2035" t="s">
        <v>790</v>
      </c>
      <c r="C2035" t="s">
        <v>5368</v>
      </c>
      <c r="D2035" t="s">
        <v>17421</v>
      </c>
      <c r="E2035" t="s">
        <v>19295</v>
      </c>
      <c r="F2035" t="s">
        <v>30052</v>
      </c>
      <c r="G2035" t="s">
        <v>30059</v>
      </c>
      <c r="H2035" t="s">
        <v>30067</v>
      </c>
      <c r="I2035" t="s">
        <v>30100</v>
      </c>
      <c r="J2035" t="s">
        <v>31629</v>
      </c>
      <c r="K2035" t="s">
        <v>39023</v>
      </c>
      <c r="L2035" t="s">
        <v>790</v>
      </c>
      <c r="M2035" t="s">
        <v>40107</v>
      </c>
      <c r="N2035" t="s">
        <v>43166</v>
      </c>
      <c r="O2035" t="s">
        <v>43167</v>
      </c>
      <c r="P2035">
        <v>0</v>
      </c>
      <c r="Q2035">
        <v>0</v>
      </c>
      <c r="R2035" t="s">
        <v>43170</v>
      </c>
      <c r="S2035" t="s">
        <v>43297</v>
      </c>
      <c r="T2035" t="s">
        <v>44713</v>
      </c>
      <c r="U2035" t="s">
        <v>46883</v>
      </c>
      <c r="W2035" t="s">
        <v>40107</v>
      </c>
      <c r="X2035" t="s">
        <v>43171</v>
      </c>
    </row>
    <row r="2036" spans="1:24">
      <c r="A2036">
        <f>HYPERLINK("https://www.philgeps.gov.ph/GEPSNONPILOT/Tender/SplashBidNoticeAbstractUI.aspx?menuIndex=3&amp;refID=7085451&amp;Result=3","7085451")</f>
        <v>0</v>
      </c>
      <c r="B2036" t="s">
        <v>540</v>
      </c>
      <c r="C2036" t="s">
        <v>5369</v>
      </c>
      <c r="D2036" t="s">
        <v>17452</v>
      </c>
      <c r="E2036" t="s">
        <v>19296</v>
      </c>
      <c r="F2036" t="s">
        <v>30052</v>
      </c>
      <c r="G2036" t="s">
        <v>30059</v>
      </c>
      <c r="H2036" t="s">
        <v>15498</v>
      </c>
      <c r="I2036" t="s">
        <v>30114</v>
      </c>
      <c r="J2036" t="s">
        <v>31630</v>
      </c>
      <c r="K2036" t="s">
        <v>39029</v>
      </c>
      <c r="M2036" t="s">
        <v>39842</v>
      </c>
      <c r="N2036" t="s">
        <v>43166</v>
      </c>
      <c r="O2036" t="s">
        <v>43167</v>
      </c>
      <c r="P2036">
        <v>0</v>
      </c>
      <c r="Q2036">
        <v>1</v>
      </c>
      <c r="R2036" t="s">
        <v>43170</v>
      </c>
      <c r="S2036" t="s">
        <v>43297</v>
      </c>
      <c r="T2036" t="s">
        <v>44696</v>
      </c>
      <c r="U2036" t="s">
        <v>46884</v>
      </c>
      <c r="W2036" t="s">
        <v>39842</v>
      </c>
      <c r="X2036" t="s">
        <v>43171</v>
      </c>
    </row>
    <row r="2037" spans="1:24">
      <c r="A2037">
        <f>HYPERLINK("https://www.philgeps.gov.ph/GEPSNONPILOT/Tender/SplashBidNoticeAbstractUI.aspx?menuIndex=3&amp;refID=7085450&amp;Result=3","7085450")</f>
        <v>0</v>
      </c>
      <c r="B2037" t="s">
        <v>595</v>
      </c>
      <c r="C2037" t="s">
        <v>4834</v>
      </c>
      <c r="E2037" t="s">
        <v>19297</v>
      </c>
      <c r="F2037" t="s">
        <v>30052</v>
      </c>
      <c r="G2037" t="s">
        <v>30059</v>
      </c>
      <c r="H2037" t="s">
        <v>15498</v>
      </c>
      <c r="I2037" t="s">
        <v>30070</v>
      </c>
      <c r="J2037" t="s">
        <v>31631</v>
      </c>
      <c r="K2037" t="s">
        <v>39025</v>
      </c>
      <c r="M2037" t="s">
        <v>39897</v>
      </c>
      <c r="N2037" t="s">
        <v>43166</v>
      </c>
      <c r="O2037" t="s">
        <v>43167</v>
      </c>
      <c r="P2037">
        <v>0</v>
      </c>
      <c r="Q2037">
        <v>0</v>
      </c>
      <c r="R2037" t="s">
        <v>43170</v>
      </c>
      <c r="S2037" t="s">
        <v>43297</v>
      </c>
      <c r="T2037" t="s">
        <v>44685</v>
      </c>
      <c r="U2037" t="s">
        <v>46365</v>
      </c>
      <c r="W2037" t="s">
        <v>39897</v>
      </c>
      <c r="X2037" t="s">
        <v>43171</v>
      </c>
    </row>
    <row r="2038" spans="1:24">
      <c r="A2038">
        <f>HYPERLINK("https://www.philgeps.gov.ph/GEPSNONPILOT/Tender/SplashBidNoticeAbstractUI.aspx?menuIndex=3&amp;refID=7085447&amp;Result=3","7085447")</f>
        <v>0</v>
      </c>
      <c r="B2038" t="s">
        <v>340</v>
      </c>
      <c r="C2038" t="s">
        <v>5370</v>
      </c>
      <c r="D2038" t="s">
        <v>17486</v>
      </c>
      <c r="E2038" t="s">
        <v>19298</v>
      </c>
      <c r="F2038" t="s">
        <v>30052</v>
      </c>
      <c r="G2038" t="s">
        <v>30061</v>
      </c>
      <c r="H2038" t="s">
        <v>15498</v>
      </c>
      <c r="I2038" t="s">
        <v>30084</v>
      </c>
      <c r="J2038" t="s">
        <v>30574</v>
      </c>
      <c r="K2038" t="s">
        <v>39025</v>
      </c>
      <c r="M2038" t="s">
        <v>39636</v>
      </c>
      <c r="N2038" t="s">
        <v>43166</v>
      </c>
      <c r="O2038" t="s">
        <v>43167</v>
      </c>
      <c r="P2038">
        <v>0</v>
      </c>
      <c r="Q2038">
        <v>0</v>
      </c>
      <c r="R2038" t="s">
        <v>43170</v>
      </c>
      <c r="S2038" t="s">
        <v>43297</v>
      </c>
      <c r="T2038" t="s">
        <v>44837</v>
      </c>
      <c r="U2038" t="s">
        <v>46885</v>
      </c>
      <c r="V2038" t="s">
        <v>56903</v>
      </c>
      <c r="W2038" t="s">
        <v>39636</v>
      </c>
      <c r="X2038" t="s">
        <v>43171</v>
      </c>
    </row>
    <row r="2039" spans="1:24">
      <c r="A2039">
        <f>HYPERLINK("https://www.philgeps.gov.ph/GEPSNONPILOT/Tender/SplashBidNoticeAbstractUI.aspx?menuIndex=3&amp;refID=7085445&amp;Result=3","7085445")</f>
        <v>0</v>
      </c>
      <c r="B2039" t="s">
        <v>855</v>
      </c>
      <c r="C2039" t="s">
        <v>5371</v>
      </c>
      <c r="D2039" t="s">
        <v>17499</v>
      </c>
      <c r="E2039" t="s">
        <v>19299</v>
      </c>
      <c r="F2039" t="s">
        <v>30052</v>
      </c>
      <c r="G2039" t="s">
        <v>30059</v>
      </c>
      <c r="H2039" t="s">
        <v>15498</v>
      </c>
      <c r="I2039" t="s">
        <v>30070</v>
      </c>
      <c r="J2039" t="s">
        <v>31632</v>
      </c>
      <c r="K2039" t="s">
        <v>39034</v>
      </c>
      <c r="M2039" t="s">
        <v>40172</v>
      </c>
      <c r="N2039" t="s">
        <v>43166</v>
      </c>
      <c r="O2039" t="s">
        <v>43167</v>
      </c>
      <c r="P2039">
        <v>0</v>
      </c>
      <c r="Q2039">
        <v>3</v>
      </c>
      <c r="R2039" t="s">
        <v>43170</v>
      </c>
      <c r="S2039" t="s">
        <v>43297</v>
      </c>
      <c r="T2039" t="s">
        <v>44894</v>
      </c>
      <c r="U2039" t="s">
        <v>46886</v>
      </c>
      <c r="V2039" t="s">
        <v>57057</v>
      </c>
      <c r="W2039" t="s">
        <v>40172</v>
      </c>
      <c r="X2039" t="s">
        <v>43171</v>
      </c>
    </row>
    <row r="2040" spans="1:24">
      <c r="A2040">
        <f>HYPERLINK("https://www.philgeps.gov.ph/GEPSNONPILOT/Tender/SplashBidNoticeAbstractUI.aspx?menuIndex=3&amp;refID=7085444&amp;Result=3","7085444")</f>
        <v>0</v>
      </c>
      <c r="B2040" t="s">
        <v>849</v>
      </c>
      <c r="C2040" t="s">
        <v>5372</v>
      </c>
      <c r="D2040" t="s">
        <v>17415</v>
      </c>
      <c r="E2040" t="s">
        <v>19300</v>
      </c>
      <c r="F2040" t="s">
        <v>30052</v>
      </c>
      <c r="G2040" t="s">
        <v>30059</v>
      </c>
      <c r="H2040" t="s">
        <v>15498</v>
      </c>
      <c r="I2040" t="s">
        <v>30155</v>
      </c>
      <c r="J2040" t="s">
        <v>30831</v>
      </c>
      <c r="K2040" t="s">
        <v>39025</v>
      </c>
      <c r="M2040" t="s">
        <v>40166</v>
      </c>
      <c r="N2040" t="s">
        <v>43166</v>
      </c>
      <c r="O2040" t="s">
        <v>43167</v>
      </c>
      <c r="P2040">
        <v>0</v>
      </c>
      <c r="Q2040">
        <v>1</v>
      </c>
      <c r="R2040" t="s">
        <v>43170</v>
      </c>
      <c r="S2040" t="s">
        <v>43297</v>
      </c>
      <c r="T2040" t="s">
        <v>44732</v>
      </c>
      <c r="U2040" t="s">
        <v>46887</v>
      </c>
      <c r="W2040" t="s">
        <v>40166</v>
      </c>
      <c r="X2040" t="s">
        <v>43171</v>
      </c>
    </row>
    <row r="2041" spans="1:24">
      <c r="A2041">
        <f>HYPERLINK("https://www.philgeps.gov.ph/GEPSNONPILOT/Tender/SplashBidNoticeAbstractUI.aspx?menuIndex=3&amp;refID=7085441&amp;Result=3","7085441")</f>
        <v>0</v>
      </c>
      <c r="B2041" t="s">
        <v>856</v>
      </c>
      <c r="C2041" t="s">
        <v>5373</v>
      </c>
      <c r="E2041" t="s">
        <v>19301</v>
      </c>
      <c r="F2041" t="s">
        <v>30052</v>
      </c>
      <c r="G2041" t="s">
        <v>30061</v>
      </c>
      <c r="H2041" t="s">
        <v>15498</v>
      </c>
      <c r="I2041" t="s">
        <v>3852</v>
      </c>
      <c r="J2041" t="s">
        <v>31633</v>
      </c>
      <c r="K2041" t="s">
        <v>39019</v>
      </c>
      <c r="M2041" t="s">
        <v>40173</v>
      </c>
      <c r="N2041" t="s">
        <v>43166</v>
      </c>
      <c r="O2041" t="s">
        <v>43167</v>
      </c>
      <c r="P2041">
        <v>0</v>
      </c>
      <c r="Q2041">
        <v>0</v>
      </c>
      <c r="R2041" t="s">
        <v>43170</v>
      </c>
      <c r="S2041" t="s">
        <v>43297</v>
      </c>
      <c r="T2041" t="s">
        <v>44735</v>
      </c>
      <c r="U2041" t="s">
        <v>46888</v>
      </c>
      <c r="W2041" t="s">
        <v>40173</v>
      </c>
      <c r="X2041" t="s">
        <v>43171</v>
      </c>
    </row>
    <row r="2042" spans="1:24">
      <c r="A2042">
        <f>HYPERLINK("https://www.philgeps.gov.ph/GEPSNONPILOT/Tender/SplashBidNoticeAbstractUI.aspx?menuIndex=3&amp;refID=7085440&amp;Result=3","7085440")</f>
        <v>0</v>
      </c>
      <c r="B2042" t="s">
        <v>857</v>
      </c>
      <c r="C2042" t="s">
        <v>5374</v>
      </c>
      <c r="D2042" t="s">
        <v>17424</v>
      </c>
      <c r="E2042" t="s">
        <v>19302</v>
      </c>
      <c r="F2042" t="s">
        <v>30052</v>
      </c>
      <c r="G2042" t="s">
        <v>30059</v>
      </c>
      <c r="H2042" t="s">
        <v>15498</v>
      </c>
      <c r="I2042" t="s">
        <v>30161</v>
      </c>
      <c r="J2042" t="s">
        <v>31634</v>
      </c>
      <c r="K2042" t="s">
        <v>39019</v>
      </c>
      <c r="M2042" t="s">
        <v>40174</v>
      </c>
      <c r="N2042" t="s">
        <v>43166</v>
      </c>
      <c r="O2042" t="s">
        <v>43167</v>
      </c>
      <c r="P2042">
        <v>0</v>
      </c>
      <c r="Q2042">
        <v>1</v>
      </c>
      <c r="R2042" t="s">
        <v>43170</v>
      </c>
      <c r="S2042" t="s">
        <v>43297</v>
      </c>
      <c r="T2042" t="s">
        <v>44816</v>
      </c>
      <c r="U2042" t="s">
        <v>46889</v>
      </c>
      <c r="W2042" t="s">
        <v>40174</v>
      </c>
      <c r="X2042" t="s">
        <v>43171</v>
      </c>
    </row>
    <row r="2043" spans="1:24">
      <c r="A2043">
        <f>HYPERLINK("https://www.philgeps.gov.ph/GEPSNONPILOT/Tender/SplashBidNoticeAbstractUI.aspx?menuIndex=3&amp;refID=7085333&amp;Result=3","7085333")</f>
        <v>0</v>
      </c>
      <c r="B2043" t="s">
        <v>529</v>
      </c>
      <c r="C2043" t="s">
        <v>4615</v>
      </c>
      <c r="D2043" t="s">
        <v>17474</v>
      </c>
      <c r="E2043" t="s">
        <v>19303</v>
      </c>
      <c r="F2043" t="s">
        <v>30052</v>
      </c>
      <c r="G2043" t="s">
        <v>30058</v>
      </c>
      <c r="H2043" t="s">
        <v>15498</v>
      </c>
      <c r="I2043" t="s">
        <v>30094</v>
      </c>
      <c r="J2043" t="s">
        <v>31635</v>
      </c>
      <c r="K2043" t="s">
        <v>39034</v>
      </c>
      <c r="M2043" t="s">
        <v>39831</v>
      </c>
      <c r="N2043" t="s">
        <v>43166</v>
      </c>
      <c r="O2043" t="s">
        <v>43167</v>
      </c>
      <c r="P2043">
        <v>0</v>
      </c>
      <c r="Q2043">
        <v>0</v>
      </c>
      <c r="R2043" t="s">
        <v>43170</v>
      </c>
      <c r="S2043" t="s">
        <v>43297</v>
      </c>
      <c r="T2043" t="s">
        <v>44704</v>
      </c>
      <c r="U2043" t="s">
        <v>46890</v>
      </c>
      <c r="V2043" t="s">
        <v>57058</v>
      </c>
      <c r="W2043" t="s">
        <v>39831</v>
      </c>
      <c r="X2043" t="s">
        <v>43171</v>
      </c>
    </row>
    <row r="2044" spans="1:24">
      <c r="A2044">
        <f>HYPERLINK("https://www.philgeps.gov.ph/GEPSNONPILOT/Tender/SplashBidNoticeAbstractUI.aspx?menuIndex=3&amp;refID=7085437&amp;Result=3","7085437")</f>
        <v>0</v>
      </c>
      <c r="B2044" t="s">
        <v>843</v>
      </c>
      <c r="C2044" t="s">
        <v>5375</v>
      </c>
      <c r="D2044" t="s">
        <v>17421</v>
      </c>
      <c r="E2044" t="s">
        <v>19304</v>
      </c>
      <c r="F2044" t="s">
        <v>30052</v>
      </c>
      <c r="G2044" t="s">
        <v>30058</v>
      </c>
      <c r="H2044" t="s">
        <v>15498</v>
      </c>
      <c r="I2044" t="s">
        <v>30076</v>
      </c>
      <c r="J2044" t="s">
        <v>30384</v>
      </c>
      <c r="K2044" t="s">
        <v>39019</v>
      </c>
      <c r="M2044" t="s">
        <v>40160</v>
      </c>
      <c r="N2044" t="s">
        <v>43166</v>
      </c>
      <c r="O2044" t="s">
        <v>43167</v>
      </c>
      <c r="P2044">
        <v>0</v>
      </c>
      <c r="Q2044">
        <v>0</v>
      </c>
      <c r="R2044" t="s">
        <v>43170</v>
      </c>
      <c r="S2044" t="s">
        <v>43297</v>
      </c>
      <c r="T2044" t="s">
        <v>44721</v>
      </c>
      <c r="U2044" t="s">
        <v>46891</v>
      </c>
      <c r="W2044" t="s">
        <v>40160</v>
      </c>
      <c r="X2044" t="s">
        <v>43171</v>
      </c>
    </row>
    <row r="2045" spans="1:24">
      <c r="A2045">
        <f>HYPERLINK("https://www.philgeps.gov.ph/GEPSNONPILOT/Tender/SplashBidNoticeAbstractUI.aspx?menuIndex=3&amp;refID=7085310&amp;Result=3","7085310")</f>
        <v>0</v>
      </c>
      <c r="B2045" t="s">
        <v>830</v>
      </c>
      <c r="C2045" t="s">
        <v>5376</v>
      </c>
      <c r="E2045" t="s">
        <v>19305</v>
      </c>
      <c r="F2045" t="s">
        <v>30052</v>
      </c>
      <c r="G2045" t="s">
        <v>30059</v>
      </c>
      <c r="H2045" t="s">
        <v>15498</v>
      </c>
      <c r="I2045" t="s">
        <v>30084</v>
      </c>
      <c r="J2045" t="s">
        <v>30900</v>
      </c>
      <c r="K2045" t="s">
        <v>39025</v>
      </c>
      <c r="M2045" t="s">
        <v>40147</v>
      </c>
      <c r="N2045" t="s">
        <v>43166</v>
      </c>
      <c r="O2045" t="s">
        <v>43167</v>
      </c>
      <c r="P2045">
        <v>0</v>
      </c>
      <c r="Q2045">
        <v>7</v>
      </c>
      <c r="R2045" t="s">
        <v>43170</v>
      </c>
      <c r="S2045" t="s">
        <v>43297</v>
      </c>
      <c r="T2045" t="s">
        <v>44826</v>
      </c>
      <c r="U2045" t="s">
        <v>45722</v>
      </c>
      <c r="W2045" t="s">
        <v>40147</v>
      </c>
      <c r="X2045" t="s">
        <v>43171</v>
      </c>
    </row>
    <row r="2046" spans="1:24">
      <c r="A2046">
        <f>HYPERLINK("https://www.philgeps.gov.ph/GEPSNONPILOT/Tender/SplashBidNoticeAbstractUI.aspx?menuIndex=3&amp;refID=7085309&amp;Result=3","7085309")</f>
        <v>0</v>
      </c>
      <c r="B2046" t="s">
        <v>645</v>
      </c>
      <c r="C2046" t="s">
        <v>5377</v>
      </c>
      <c r="D2046" t="s">
        <v>17464</v>
      </c>
      <c r="E2046" t="s">
        <v>19306</v>
      </c>
      <c r="F2046" t="s">
        <v>30052</v>
      </c>
      <c r="G2046" t="s">
        <v>30065</v>
      </c>
      <c r="H2046" t="s">
        <v>30068</v>
      </c>
      <c r="I2046" t="s">
        <v>30068</v>
      </c>
      <c r="J2046" t="s">
        <v>31636</v>
      </c>
      <c r="K2046" t="s">
        <v>39025</v>
      </c>
      <c r="M2046" t="s">
        <v>39949</v>
      </c>
      <c r="N2046" t="s">
        <v>43166</v>
      </c>
      <c r="O2046" t="s">
        <v>43167</v>
      </c>
      <c r="P2046">
        <v>0</v>
      </c>
      <c r="Q2046">
        <v>5</v>
      </c>
      <c r="R2046" t="s">
        <v>43170</v>
      </c>
      <c r="S2046" t="s">
        <v>43297</v>
      </c>
      <c r="T2046" t="s">
        <v>44684</v>
      </c>
      <c r="U2046" t="s">
        <v>46892</v>
      </c>
      <c r="W2046" t="s">
        <v>39949</v>
      </c>
      <c r="X2046" t="s">
        <v>43171</v>
      </c>
    </row>
    <row r="2047" spans="1:24">
      <c r="A2047">
        <f>HYPERLINK("https://www.philgeps.gov.ph/GEPSNONPILOT/Tender/SplashBidNoticeAbstractUI.aspx?menuIndex=3&amp;refID=7085395&amp;Result=3","7085395")</f>
        <v>0</v>
      </c>
      <c r="B2047" t="s">
        <v>858</v>
      </c>
      <c r="C2047" t="s">
        <v>5378</v>
      </c>
      <c r="D2047" t="s">
        <v>17473</v>
      </c>
      <c r="E2047" t="s">
        <v>18233</v>
      </c>
      <c r="F2047" t="s">
        <v>30052</v>
      </c>
      <c r="G2047" t="s">
        <v>30058</v>
      </c>
      <c r="H2047" t="s">
        <v>30067</v>
      </c>
      <c r="I2047" t="s">
        <v>3693</v>
      </c>
      <c r="J2047" t="s">
        <v>30813</v>
      </c>
      <c r="K2047" t="s">
        <v>39026</v>
      </c>
      <c r="M2047" t="s">
        <v>40175</v>
      </c>
      <c r="N2047" t="s">
        <v>43166</v>
      </c>
      <c r="O2047" t="s">
        <v>43167</v>
      </c>
      <c r="P2047">
        <v>0</v>
      </c>
      <c r="Q2047">
        <v>0</v>
      </c>
      <c r="R2047" t="s">
        <v>43170</v>
      </c>
      <c r="S2047" t="s">
        <v>43297</v>
      </c>
      <c r="T2047" t="s">
        <v>44776</v>
      </c>
      <c r="U2047" t="s">
        <v>46893</v>
      </c>
      <c r="W2047" t="s">
        <v>40175</v>
      </c>
      <c r="X2047" t="s">
        <v>43171</v>
      </c>
    </row>
    <row r="2048" spans="1:24">
      <c r="A2048">
        <f>HYPERLINK("https://www.philgeps.gov.ph/GEPSNONPILOT/Tender/SplashBidNoticeAbstractUI.aspx?menuIndex=3&amp;refID=7085467&amp;Result=3","7085467")</f>
        <v>0</v>
      </c>
      <c r="B2048" t="s">
        <v>595</v>
      </c>
      <c r="C2048" t="s">
        <v>5379</v>
      </c>
      <c r="E2048" t="s">
        <v>19307</v>
      </c>
      <c r="F2048" t="s">
        <v>30052</v>
      </c>
      <c r="G2048" t="s">
        <v>30059</v>
      </c>
      <c r="H2048" t="s">
        <v>15498</v>
      </c>
      <c r="I2048" t="s">
        <v>30098</v>
      </c>
      <c r="J2048" t="s">
        <v>31637</v>
      </c>
      <c r="K2048" t="s">
        <v>39025</v>
      </c>
      <c r="M2048" t="s">
        <v>39897</v>
      </c>
      <c r="N2048" t="s">
        <v>43166</v>
      </c>
      <c r="O2048" t="s">
        <v>43167</v>
      </c>
      <c r="P2048">
        <v>0</v>
      </c>
      <c r="Q2048">
        <v>1</v>
      </c>
      <c r="R2048" t="s">
        <v>43170</v>
      </c>
      <c r="S2048" t="s">
        <v>43297</v>
      </c>
      <c r="T2048" t="s">
        <v>44685</v>
      </c>
      <c r="U2048" t="s">
        <v>46365</v>
      </c>
      <c r="W2048" t="s">
        <v>39897</v>
      </c>
      <c r="X2048" t="s">
        <v>43171</v>
      </c>
    </row>
    <row r="2049" spans="1:24">
      <c r="A2049">
        <f>HYPERLINK("https://www.philgeps.gov.ph/GEPSNONPILOT/Tender/SplashBidNoticeAbstractUI.aspx?menuIndex=3&amp;refID=7085330&amp;Result=3","7085330")</f>
        <v>0</v>
      </c>
      <c r="B2049" t="s">
        <v>798</v>
      </c>
      <c r="C2049" t="s">
        <v>5380</v>
      </c>
      <c r="D2049" t="s">
        <v>17435</v>
      </c>
      <c r="E2049" t="s">
        <v>19308</v>
      </c>
      <c r="F2049" t="s">
        <v>30055</v>
      </c>
      <c r="G2049" t="s">
        <v>30058</v>
      </c>
      <c r="H2049" t="s">
        <v>30067</v>
      </c>
      <c r="I2049" t="s">
        <v>3693</v>
      </c>
      <c r="J2049" t="s">
        <v>31160</v>
      </c>
      <c r="K2049" t="s">
        <v>39092</v>
      </c>
      <c r="M2049" t="s">
        <v>40115</v>
      </c>
      <c r="N2049" t="s">
        <v>43166</v>
      </c>
      <c r="O2049" t="s">
        <v>43167</v>
      </c>
      <c r="P2049">
        <v>0</v>
      </c>
      <c r="Q2049">
        <v>1</v>
      </c>
      <c r="R2049" t="s">
        <v>43170</v>
      </c>
      <c r="S2049" t="s">
        <v>43297</v>
      </c>
      <c r="T2049" t="s">
        <v>44828</v>
      </c>
      <c r="U2049" t="s">
        <v>46761</v>
      </c>
      <c r="V2049" t="s">
        <v>57059</v>
      </c>
      <c r="W2049" t="s">
        <v>40115</v>
      </c>
      <c r="X2049" t="s">
        <v>43171</v>
      </c>
    </row>
    <row r="2050" spans="1:24">
      <c r="A2050">
        <f>HYPERLINK("https://www.philgeps.gov.ph/GEPSNONPILOT/Tender/SplashBidNoticeAbstractUI.aspx?menuIndex=3&amp;refID=7085438&amp;Result=3","7085438")</f>
        <v>0</v>
      </c>
      <c r="B2050" t="s">
        <v>595</v>
      </c>
      <c r="C2050" t="s">
        <v>5381</v>
      </c>
      <c r="E2050" t="s">
        <v>19259</v>
      </c>
      <c r="F2050" t="s">
        <v>30052</v>
      </c>
      <c r="G2050" t="s">
        <v>30059</v>
      </c>
      <c r="H2050" t="s">
        <v>15498</v>
      </c>
      <c r="I2050" t="s">
        <v>4650</v>
      </c>
      <c r="J2050" t="s">
        <v>30612</v>
      </c>
      <c r="K2050" t="s">
        <v>39025</v>
      </c>
      <c r="M2050" t="s">
        <v>39897</v>
      </c>
      <c r="N2050" t="s">
        <v>43166</v>
      </c>
      <c r="O2050" t="s">
        <v>43167</v>
      </c>
      <c r="P2050">
        <v>0</v>
      </c>
      <c r="Q2050">
        <v>1</v>
      </c>
      <c r="R2050" t="s">
        <v>43170</v>
      </c>
      <c r="S2050" t="s">
        <v>43297</v>
      </c>
      <c r="T2050" t="s">
        <v>44685</v>
      </c>
      <c r="U2050" t="s">
        <v>46365</v>
      </c>
      <c r="W2050" t="s">
        <v>39897</v>
      </c>
      <c r="X2050" t="s">
        <v>43171</v>
      </c>
    </row>
    <row r="2051" spans="1:24">
      <c r="A2051">
        <f>HYPERLINK("https://www.philgeps.gov.ph/GEPSNONPILOT/Tender/SplashBidNoticeAbstractUI.aspx?menuIndex=3&amp;refID=7085528&amp;Result=3","7085528")</f>
        <v>0</v>
      </c>
      <c r="B2051" t="s">
        <v>696</v>
      </c>
      <c r="C2051" t="s">
        <v>5382</v>
      </c>
      <c r="D2051" t="s">
        <v>17432</v>
      </c>
      <c r="E2051" t="s">
        <v>19309</v>
      </c>
      <c r="F2051" t="s">
        <v>30052</v>
      </c>
      <c r="G2051" t="s">
        <v>30059</v>
      </c>
      <c r="H2051" t="s">
        <v>15498</v>
      </c>
      <c r="I2051" t="s">
        <v>30143</v>
      </c>
      <c r="J2051" t="s">
        <v>31456</v>
      </c>
      <c r="K2051" t="s">
        <v>39064</v>
      </c>
      <c r="M2051" t="s">
        <v>40004</v>
      </c>
      <c r="N2051" t="s">
        <v>43166</v>
      </c>
      <c r="O2051" t="s">
        <v>43167</v>
      </c>
      <c r="P2051">
        <v>0</v>
      </c>
      <c r="Q2051">
        <v>1</v>
      </c>
      <c r="R2051" t="s">
        <v>43170</v>
      </c>
      <c r="S2051" t="s">
        <v>43297</v>
      </c>
      <c r="T2051" t="s">
        <v>44806</v>
      </c>
      <c r="U2051" t="s">
        <v>46894</v>
      </c>
      <c r="W2051" t="s">
        <v>40004</v>
      </c>
      <c r="X2051" t="s">
        <v>43171</v>
      </c>
    </row>
    <row r="2052" spans="1:24">
      <c r="A2052">
        <f>HYPERLINK("https://www.philgeps.gov.ph/GEPSNONPILOT/Tender/SplashBidNoticeAbstractUI.aspx?menuIndex=3&amp;refID=7085527&amp;Result=3","7085527")</f>
        <v>0</v>
      </c>
      <c r="B2052" t="s">
        <v>767</v>
      </c>
      <c r="C2052" t="s">
        <v>5179</v>
      </c>
      <c r="D2052" t="s">
        <v>17487</v>
      </c>
      <c r="E2052" t="s">
        <v>19310</v>
      </c>
      <c r="F2052" t="s">
        <v>30052</v>
      </c>
      <c r="G2052" t="s">
        <v>30059</v>
      </c>
      <c r="H2052" t="s">
        <v>15498</v>
      </c>
      <c r="I2052" t="s">
        <v>30073</v>
      </c>
      <c r="J2052" t="s">
        <v>31638</v>
      </c>
      <c r="K2052" t="s">
        <v>39029</v>
      </c>
      <c r="M2052" t="s">
        <v>40081</v>
      </c>
      <c r="N2052" t="s">
        <v>43166</v>
      </c>
      <c r="O2052" t="s">
        <v>43167</v>
      </c>
      <c r="P2052">
        <v>0</v>
      </c>
      <c r="Q2052">
        <v>0</v>
      </c>
      <c r="R2052" t="s">
        <v>43170</v>
      </c>
      <c r="S2052" t="s">
        <v>43297</v>
      </c>
      <c r="T2052" t="s">
        <v>44856</v>
      </c>
      <c r="U2052" t="s">
        <v>46707</v>
      </c>
      <c r="V2052" t="s">
        <v>57027</v>
      </c>
      <c r="W2052" t="s">
        <v>40081</v>
      </c>
      <c r="X2052" t="s">
        <v>43171</v>
      </c>
    </row>
    <row r="2053" spans="1:24">
      <c r="A2053">
        <f>HYPERLINK("https://www.philgeps.gov.ph/GEPSNONPILOT/Tender/SplashBidNoticeAbstractUI.aspx?menuIndex=3&amp;refID=7085519&amp;Result=3","7085519")</f>
        <v>0</v>
      </c>
      <c r="B2053" t="s">
        <v>409</v>
      </c>
      <c r="C2053" t="s">
        <v>5383</v>
      </c>
      <c r="D2053" t="s">
        <v>17473</v>
      </c>
      <c r="E2053" t="s">
        <v>19311</v>
      </c>
      <c r="F2053" t="s">
        <v>30052</v>
      </c>
      <c r="G2053" t="s">
        <v>30059</v>
      </c>
      <c r="H2053" t="s">
        <v>15498</v>
      </c>
      <c r="I2053" t="s">
        <v>4119</v>
      </c>
      <c r="J2053" t="s">
        <v>31602</v>
      </c>
      <c r="K2053" t="s">
        <v>39034</v>
      </c>
      <c r="M2053" t="s">
        <v>39708</v>
      </c>
      <c r="N2053" t="s">
        <v>43166</v>
      </c>
      <c r="O2053" t="s">
        <v>43167</v>
      </c>
      <c r="P2053">
        <v>0</v>
      </c>
      <c r="Q2053">
        <v>4</v>
      </c>
      <c r="R2053" t="s">
        <v>43170</v>
      </c>
      <c r="S2053" t="s">
        <v>43297</v>
      </c>
      <c r="T2053" t="s">
        <v>44841</v>
      </c>
      <c r="U2053" t="s">
        <v>46895</v>
      </c>
      <c r="W2053" t="s">
        <v>39708</v>
      </c>
      <c r="X2053" t="s">
        <v>43171</v>
      </c>
    </row>
    <row r="2054" spans="1:24">
      <c r="A2054">
        <f>HYPERLINK("https://www.philgeps.gov.ph/GEPSNONPILOT/Tender/SplashBidNoticeAbstractUI.aspx?menuIndex=3&amp;refID=7085457&amp;Result=3","7085457")</f>
        <v>0</v>
      </c>
      <c r="B2054" t="s">
        <v>813</v>
      </c>
      <c r="C2054" t="s">
        <v>5384</v>
      </c>
      <c r="D2054" t="s">
        <v>17426</v>
      </c>
      <c r="E2054" t="s">
        <v>19312</v>
      </c>
      <c r="F2054" t="s">
        <v>30052</v>
      </c>
      <c r="G2054" t="s">
        <v>30058</v>
      </c>
      <c r="H2054" t="s">
        <v>30067</v>
      </c>
      <c r="I2054" t="s">
        <v>3693</v>
      </c>
      <c r="J2054" t="s">
        <v>30252</v>
      </c>
      <c r="K2054" t="s">
        <v>39046</v>
      </c>
      <c r="M2054" t="s">
        <v>40130</v>
      </c>
      <c r="N2054" t="s">
        <v>43166</v>
      </c>
      <c r="O2054" t="s">
        <v>43167</v>
      </c>
      <c r="P2054">
        <v>0</v>
      </c>
      <c r="Q2054">
        <v>0</v>
      </c>
      <c r="R2054" t="s">
        <v>43170</v>
      </c>
      <c r="S2054" t="s">
        <v>43297</v>
      </c>
      <c r="T2054" t="s">
        <v>44898</v>
      </c>
      <c r="U2054" t="s">
        <v>46896</v>
      </c>
      <c r="W2054" t="s">
        <v>40130</v>
      </c>
      <c r="X2054" t="s">
        <v>43171</v>
      </c>
    </row>
    <row r="2055" spans="1:24">
      <c r="A2055">
        <f>HYPERLINK("https://www.philgeps.gov.ph/GEPSNONPILOT/Tender/SplashBidNoticeAbstractUI.aspx?menuIndex=3&amp;refID=7085515&amp;Result=3","7085515")</f>
        <v>0</v>
      </c>
      <c r="B2055" t="s">
        <v>813</v>
      </c>
      <c r="C2055" t="s">
        <v>5385</v>
      </c>
      <c r="D2055" t="s">
        <v>17426</v>
      </c>
      <c r="E2055" t="s">
        <v>19313</v>
      </c>
      <c r="F2055" t="s">
        <v>30052</v>
      </c>
      <c r="G2055" t="s">
        <v>30058</v>
      </c>
      <c r="H2055" t="s">
        <v>30067</v>
      </c>
      <c r="I2055" t="s">
        <v>3693</v>
      </c>
      <c r="J2055" t="s">
        <v>30252</v>
      </c>
      <c r="K2055" t="s">
        <v>39046</v>
      </c>
      <c r="M2055" t="s">
        <v>40130</v>
      </c>
      <c r="N2055" t="s">
        <v>43166</v>
      </c>
      <c r="O2055" t="s">
        <v>43167</v>
      </c>
      <c r="P2055">
        <v>0</v>
      </c>
      <c r="Q2055">
        <v>0</v>
      </c>
      <c r="R2055" t="s">
        <v>43170</v>
      </c>
      <c r="S2055" t="s">
        <v>43297</v>
      </c>
      <c r="T2055" t="s">
        <v>44898</v>
      </c>
      <c r="U2055" t="s">
        <v>46896</v>
      </c>
      <c r="W2055" t="s">
        <v>40130</v>
      </c>
      <c r="X2055" t="s">
        <v>43171</v>
      </c>
    </row>
    <row r="2056" spans="1:24">
      <c r="A2056">
        <f>HYPERLINK("https://www.philgeps.gov.ph/GEPSNONPILOT/Tender/SplashBidNoticeAbstractUI.aspx?menuIndex=3&amp;refID=7085512&amp;Result=3","7085512")</f>
        <v>0</v>
      </c>
      <c r="B2056" t="s">
        <v>859</v>
      </c>
      <c r="C2056" t="s">
        <v>5386</v>
      </c>
      <c r="D2056" t="s">
        <v>17429</v>
      </c>
      <c r="E2056" t="s">
        <v>19314</v>
      </c>
      <c r="F2056" t="s">
        <v>30052</v>
      </c>
      <c r="G2056" t="s">
        <v>30059</v>
      </c>
      <c r="H2056" t="s">
        <v>15498</v>
      </c>
      <c r="I2056" t="s">
        <v>4650</v>
      </c>
      <c r="J2056" t="s">
        <v>31290</v>
      </c>
      <c r="K2056" t="s">
        <v>39039</v>
      </c>
      <c r="M2056" t="s">
        <v>40176</v>
      </c>
      <c r="N2056" t="s">
        <v>43166</v>
      </c>
      <c r="O2056" t="s">
        <v>43167</v>
      </c>
      <c r="P2056">
        <v>0</v>
      </c>
      <c r="Q2056">
        <v>0</v>
      </c>
      <c r="R2056" t="s">
        <v>43170</v>
      </c>
      <c r="S2056" t="s">
        <v>43297</v>
      </c>
      <c r="T2056" t="s">
        <v>44899</v>
      </c>
      <c r="U2056" t="s">
        <v>46897</v>
      </c>
      <c r="W2056" t="s">
        <v>40176</v>
      </c>
      <c r="X2056" t="s">
        <v>43171</v>
      </c>
    </row>
    <row r="2057" spans="1:24">
      <c r="A2057">
        <f>HYPERLINK("https://www.philgeps.gov.ph/GEPSNONPILOT/Tender/SplashBidNoticeAbstractUI.aspx?menuIndex=3&amp;refID=7085511&amp;Result=3","7085511")</f>
        <v>0</v>
      </c>
      <c r="B2057" t="s">
        <v>409</v>
      </c>
      <c r="C2057" t="s">
        <v>5387</v>
      </c>
      <c r="D2057" t="s">
        <v>17473</v>
      </c>
      <c r="E2057" t="s">
        <v>19315</v>
      </c>
      <c r="F2057" t="s">
        <v>30052</v>
      </c>
      <c r="G2057" t="s">
        <v>30059</v>
      </c>
      <c r="H2057" t="s">
        <v>15498</v>
      </c>
      <c r="I2057" t="s">
        <v>3606</v>
      </c>
      <c r="J2057" t="s">
        <v>31639</v>
      </c>
      <c r="K2057" t="s">
        <v>39034</v>
      </c>
      <c r="M2057" t="s">
        <v>39708</v>
      </c>
      <c r="N2057" t="s">
        <v>43166</v>
      </c>
      <c r="O2057" t="s">
        <v>43167</v>
      </c>
      <c r="P2057">
        <v>0</v>
      </c>
      <c r="Q2057">
        <v>0</v>
      </c>
      <c r="R2057" t="s">
        <v>43170</v>
      </c>
      <c r="S2057" t="s">
        <v>43297</v>
      </c>
      <c r="T2057" t="s">
        <v>44841</v>
      </c>
      <c r="U2057" t="s">
        <v>46898</v>
      </c>
      <c r="W2057" t="s">
        <v>39708</v>
      </c>
      <c r="X2057" t="s">
        <v>43171</v>
      </c>
    </row>
    <row r="2058" spans="1:24">
      <c r="A2058">
        <f>HYPERLINK("https://www.philgeps.gov.ph/GEPSNONPILOT/Tender/SplashBidNoticeAbstractUI.aspx?menuIndex=3&amp;refID=7085509&amp;Result=3","7085509")</f>
        <v>0</v>
      </c>
      <c r="B2058" t="s">
        <v>494</v>
      </c>
      <c r="C2058" t="s">
        <v>5388</v>
      </c>
      <c r="E2058" t="s">
        <v>19316</v>
      </c>
      <c r="F2058" t="s">
        <v>30052</v>
      </c>
      <c r="G2058" t="s">
        <v>30058</v>
      </c>
      <c r="H2058" t="s">
        <v>15498</v>
      </c>
      <c r="I2058" t="s">
        <v>30092</v>
      </c>
      <c r="J2058" t="s">
        <v>31640</v>
      </c>
      <c r="K2058" t="s">
        <v>39025</v>
      </c>
      <c r="M2058" t="s">
        <v>39795</v>
      </c>
      <c r="N2058" t="s">
        <v>43166</v>
      </c>
      <c r="O2058" t="s">
        <v>43167</v>
      </c>
      <c r="P2058">
        <v>0</v>
      </c>
      <c r="Q2058">
        <v>1</v>
      </c>
      <c r="R2058" t="s">
        <v>43170</v>
      </c>
      <c r="S2058" t="s">
        <v>43297</v>
      </c>
      <c r="T2058" t="s">
        <v>44712</v>
      </c>
      <c r="U2058" t="s">
        <v>46899</v>
      </c>
      <c r="W2058" t="s">
        <v>39795</v>
      </c>
      <c r="X2058" t="s">
        <v>43171</v>
      </c>
    </row>
    <row r="2059" spans="1:24">
      <c r="A2059">
        <f>HYPERLINK("https://www.philgeps.gov.ph/GEPSNONPILOT/Tender/SplashBidNoticeAbstractUI.aspx?menuIndex=3&amp;refID=7085504&amp;Result=3","7085504")</f>
        <v>0</v>
      </c>
      <c r="B2059" t="s">
        <v>860</v>
      </c>
      <c r="C2059" t="s">
        <v>5389</v>
      </c>
      <c r="D2059" t="s">
        <v>17484</v>
      </c>
      <c r="E2059" t="s">
        <v>19317</v>
      </c>
      <c r="F2059" t="s">
        <v>30052</v>
      </c>
      <c r="G2059" t="s">
        <v>30058</v>
      </c>
      <c r="H2059" t="s">
        <v>15498</v>
      </c>
      <c r="I2059" t="s">
        <v>4650</v>
      </c>
      <c r="J2059" t="s">
        <v>31641</v>
      </c>
      <c r="K2059" t="s">
        <v>39029</v>
      </c>
      <c r="M2059" t="s">
        <v>40177</v>
      </c>
      <c r="N2059" t="s">
        <v>43166</v>
      </c>
      <c r="O2059" t="s">
        <v>43167</v>
      </c>
      <c r="P2059">
        <v>0</v>
      </c>
      <c r="Q2059">
        <v>4</v>
      </c>
      <c r="R2059" t="s">
        <v>43170</v>
      </c>
      <c r="S2059" t="s">
        <v>43297</v>
      </c>
      <c r="T2059" t="s">
        <v>44684</v>
      </c>
      <c r="U2059" t="s">
        <v>46900</v>
      </c>
      <c r="W2059" t="s">
        <v>40177</v>
      </c>
      <c r="X2059" t="s">
        <v>43171</v>
      </c>
    </row>
    <row r="2060" spans="1:24">
      <c r="A2060">
        <f>HYPERLINK("https://www.philgeps.gov.ph/GEPSNONPILOT/Tender/SplashBidNoticeAbstractUI.aspx?menuIndex=3&amp;refID=7085449&amp;Result=3","7085449")</f>
        <v>0</v>
      </c>
      <c r="B2060" t="s">
        <v>795</v>
      </c>
      <c r="C2060" t="s">
        <v>5390</v>
      </c>
      <c r="D2060" t="s">
        <v>17466</v>
      </c>
      <c r="E2060" t="s">
        <v>19318</v>
      </c>
      <c r="F2060" t="s">
        <v>30052</v>
      </c>
      <c r="G2060" t="s">
        <v>30059</v>
      </c>
      <c r="H2060" t="s">
        <v>15498</v>
      </c>
      <c r="I2060" t="s">
        <v>6691</v>
      </c>
      <c r="J2060" t="s">
        <v>31642</v>
      </c>
      <c r="K2060" t="s">
        <v>39036</v>
      </c>
      <c r="M2060" t="s">
        <v>40112</v>
      </c>
      <c r="N2060" t="s">
        <v>43166</v>
      </c>
      <c r="O2060" t="s">
        <v>43167</v>
      </c>
      <c r="P2060">
        <v>0</v>
      </c>
      <c r="Q2060">
        <v>0</v>
      </c>
      <c r="R2060" t="s">
        <v>43170</v>
      </c>
      <c r="S2060" t="s">
        <v>43297</v>
      </c>
      <c r="T2060" t="s">
        <v>44773</v>
      </c>
      <c r="U2060" t="s">
        <v>46797</v>
      </c>
      <c r="V2060" t="s">
        <v>57037</v>
      </c>
      <c r="W2060" t="s">
        <v>40112</v>
      </c>
      <c r="X2060" t="s">
        <v>43171</v>
      </c>
    </row>
    <row r="2061" spans="1:24">
      <c r="A2061">
        <f>HYPERLINK("https://www.philgeps.gov.ph/GEPSNONPILOT/Tender/SplashBidNoticeAbstractUI.aspx?menuIndex=3&amp;refID=7085503&amp;Result=3","7085503")</f>
        <v>0</v>
      </c>
      <c r="B2061" t="s">
        <v>861</v>
      </c>
      <c r="C2061" t="s">
        <v>5391</v>
      </c>
      <c r="D2061" t="s">
        <v>17413</v>
      </c>
      <c r="E2061" t="s">
        <v>19319</v>
      </c>
      <c r="F2061" t="s">
        <v>30052</v>
      </c>
      <c r="G2061" t="s">
        <v>30059</v>
      </c>
      <c r="H2061" t="s">
        <v>15498</v>
      </c>
      <c r="I2061" t="s">
        <v>30081</v>
      </c>
      <c r="J2061" t="s">
        <v>31643</v>
      </c>
      <c r="K2061" t="s">
        <v>39064</v>
      </c>
      <c r="M2061" t="s">
        <v>40178</v>
      </c>
      <c r="N2061" t="s">
        <v>43166</v>
      </c>
      <c r="O2061" t="s">
        <v>43167</v>
      </c>
      <c r="P2061">
        <v>0</v>
      </c>
      <c r="Q2061">
        <v>0</v>
      </c>
      <c r="R2061" t="s">
        <v>43170</v>
      </c>
      <c r="S2061" t="s">
        <v>43297</v>
      </c>
      <c r="T2061" t="s">
        <v>44735</v>
      </c>
      <c r="U2061" t="s">
        <v>46901</v>
      </c>
      <c r="W2061" t="s">
        <v>40178</v>
      </c>
      <c r="X2061" t="s">
        <v>43171</v>
      </c>
    </row>
    <row r="2062" spans="1:24">
      <c r="A2062">
        <f>HYPERLINK("https://www.philgeps.gov.ph/GEPSNONPILOT/Tender/SplashBidNoticeAbstractUI.aspx?menuIndex=3&amp;refID=7085502&amp;Result=3","7085502")</f>
        <v>0</v>
      </c>
      <c r="B2062" t="s">
        <v>862</v>
      </c>
      <c r="C2062" t="s">
        <v>5392</v>
      </c>
      <c r="D2062" t="s">
        <v>17459</v>
      </c>
      <c r="E2062" t="s">
        <v>19320</v>
      </c>
      <c r="F2062" t="s">
        <v>30052</v>
      </c>
      <c r="G2062" t="s">
        <v>30059</v>
      </c>
      <c r="H2062" t="s">
        <v>30068</v>
      </c>
      <c r="I2062" t="s">
        <v>30162</v>
      </c>
      <c r="J2062" t="s">
        <v>31644</v>
      </c>
      <c r="K2062" t="s">
        <v>39025</v>
      </c>
      <c r="M2062" t="s">
        <v>40179</v>
      </c>
      <c r="N2062" t="s">
        <v>43166</v>
      </c>
      <c r="O2062" t="s">
        <v>43167</v>
      </c>
      <c r="P2062">
        <v>0</v>
      </c>
      <c r="Q2062">
        <v>2</v>
      </c>
      <c r="R2062" t="s">
        <v>43170</v>
      </c>
      <c r="S2062" t="s">
        <v>43297</v>
      </c>
      <c r="T2062" t="s">
        <v>44862</v>
      </c>
      <c r="U2062" t="s">
        <v>46902</v>
      </c>
      <c r="W2062" t="s">
        <v>40179</v>
      </c>
      <c r="X2062" t="s">
        <v>43171</v>
      </c>
    </row>
    <row r="2063" spans="1:24">
      <c r="A2063">
        <f>HYPERLINK("https://www.philgeps.gov.ph/GEPSNONPILOT/Tender/SplashBidNoticeAbstractUI.aspx?menuIndex=3&amp;refID=7085516&amp;Result=3","7085516")</f>
        <v>0</v>
      </c>
      <c r="B2063" t="s">
        <v>44</v>
      </c>
      <c r="C2063" t="s">
        <v>5393</v>
      </c>
      <c r="D2063" t="s">
        <v>17427</v>
      </c>
      <c r="E2063" t="s">
        <v>19321</v>
      </c>
      <c r="F2063" t="s">
        <v>30052</v>
      </c>
      <c r="G2063" t="s">
        <v>30059</v>
      </c>
      <c r="H2063" t="s">
        <v>15498</v>
      </c>
      <c r="I2063" t="s">
        <v>30084</v>
      </c>
      <c r="J2063" t="s">
        <v>31196</v>
      </c>
      <c r="K2063" t="s">
        <v>39019</v>
      </c>
      <c r="M2063" t="s">
        <v>40180</v>
      </c>
      <c r="N2063" t="s">
        <v>43166</v>
      </c>
      <c r="O2063" t="s">
        <v>43167</v>
      </c>
      <c r="P2063">
        <v>0</v>
      </c>
      <c r="Q2063">
        <v>3</v>
      </c>
      <c r="R2063" t="s">
        <v>43170</v>
      </c>
      <c r="S2063" t="s">
        <v>43297</v>
      </c>
      <c r="T2063" t="s">
        <v>44735</v>
      </c>
      <c r="U2063" t="s">
        <v>46903</v>
      </c>
      <c r="W2063" t="s">
        <v>40180</v>
      </c>
      <c r="X2063" t="s">
        <v>43171</v>
      </c>
    </row>
    <row r="2064" spans="1:24">
      <c r="A2064">
        <f>HYPERLINK("https://www.philgeps.gov.ph/GEPSNONPILOT/Tender/SplashBidNoticeAbstractUI.aspx?menuIndex=3&amp;refID=7085500&amp;Result=3","7085500")</f>
        <v>0</v>
      </c>
      <c r="B2064" t="s">
        <v>863</v>
      </c>
      <c r="C2064" t="s">
        <v>5394</v>
      </c>
      <c r="D2064" t="s">
        <v>17422</v>
      </c>
      <c r="E2064" t="s">
        <v>18200</v>
      </c>
      <c r="F2064" t="s">
        <v>30052</v>
      </c>
      <c r="G2064" t="s">
        <v>30058</v>
      </c>
      <c r="H2064" t="s">
        <v>30067</v>
      </c>
      <c r="I2064" t="s">
        <v>3693</v>
      </c>
      <c r="J2064" t="s">
        <v>30207</v>
      </c>
      <c r="K2064" t="s">
        <v>39025</v>
      </c>
      <c r="M2064" t="s">
        <v>40181</v>
      </c>
      <c r="N2064" t="s">
        <v>43166</v>
      </c>
      <c r="O2064" t="s">
        <v>43167</v>
      </c>
      <c r="P2064">
        <v>0</v>
      </c>
      <c r="Q2064">
        <v>0</v>
      </c>
      <c r="R2064" t="s">
        <v>43170</v>
      </c>
      <c r="S2064" t="s">
        <v>43297</v>
      </c>
      <c r="T2064" t="s">
        <v>44689</v>
      </c>
      <c r="U2064" t="s">
        <v>46904</v>
      </c>
      <c r="W2064" t="s">
        <v>40181</v>
      </c>
      <c r="X2064" t="s">
        <v>43171</v>
      </c>
    </row>
    <row r="2065" spans="1:24">
      <c r="A2065">
        <f>HYPERLINK("https://www.philgeps.gov.ph/GEPSNONPILOT/Tender/SplashBidNoticeAbstractUI.aspx?menuIndex=3&amp;refID=7085510&amp;Result=3","7085510")</f>
        <v>0</v>
      </c>
      <c r="B2065" t="s">
        <v>864</v>
      </c>
      <c r="C2065" t="s">
        <v>5395</v>
      </c>
      <c r="E2065" t="s">
        <v>19322</v>
      </c>
      <c r="F2065" t="s">
        <v>30052</v>
      </c>
      <c r="G2065" t="s">
        <v>30059</v>
      </c>
      <c r="H2065" t="s">
        <v>30069</v>
      </c>
      <c r="I2065" t="s">
        <v>30094</v>
      </c>
      <c r="J2065" t="s">
        <v>31645</v>
      </c>
      <c r="K2065" t="s">
        <v>39029</v>
      </c>
      <c r="M2065" t="s">
        <v>40182</v>
      </c>
      <c r="N2065" t="s">
        <v>43166</v>
      </c>
      <c r="O2065" t="s">
        <v>43167</v>
      </c>
      <c r="P2065">
        <v>0</v>
      </c>
      <c r="Q2065">
        <v>0</v>
      </c>
      <c r="R2065" t="s">
        <v>43170</v>
      </c>
      <c r="S2065" t="s">
        <v>43297</v>
      </c>
      <c r="T2065" t="s">
        <v>44705</v>
      </c>
      <c r="U2065" t="s">
        <v>46905</v>
      </c>
      <c r="W2065" t="s">
        <v>40182</v>
      </c>
      <c r="X2065" t="s">
        <v>43171</v>
      </c>
    </row>
    <row r="2066" spans="1:24">
      <c r="A2066">
        <f>HYPERLINK("https://www.philgeps.gov.ph/GEPSNONPILOT/Tender/SplashBidNoticeAbstractUI.aspx?menuIndex=3&amp;refID=7085570&amp;Result=3","7085570")</f>
        <v>0</v>
      </c>
      <c r="B2066" t="s">
        <v>865</v>
      </c>
      <c r="C2066" t="s">
        <v>5396</v>
      </c>
      <c r="D2066" t="s">
        <v>17462</v>
      </c>
      <c r="E2066" t="s">
        <v>19323</v>
      </c>
      <c r="F2066" t="s">
        <v>30052</v>
      </c>
      <c r="G2066" t="s">
        <v>30065</v>
      </c>
      <c r="H2066" t="s">
        <v>30067</v>
      </c>
      <c r="I2066" t="s">
        <v>3693</v>
      </c>
      <c r="J2066" t="s">
        <v>31646</v>
      </c>
      <c r="K2066" t="s">
        <v>39096</v>
      </c>
      <c r="M2066" t="s">
        <v>40183</v>
      </c>
      <c r="N2066" t="s">
        <v>43166</v>
      </c>
      <c r="O2066" t="s">
        <v>43167</v>
      </c>
      <c r="P2066">
        <v>0</v>
      </c>
      <c r="Q2066">
        <v>0</v>
      </c>
      <c r="R2066" t="s">
        <v>43170</v>
      </c>
      <c r="S2066" t="s">
        <v>43297</v>
      </c>
      <c r="T2066" t="s">
        <v>44709</v>
      </c>
      <c r="U2066" t="s">
        <v>46906</v>
      </c>
      <c r="W2066" t="s">
        <v>40183</v>
      </c>
      <c r="X2066" t="s">
        <v>43171</v>
      </c>
    </row>
    <row r="2067" spans="1:24">
      <c r="A2067">
        <f>HYPERLINK("https://www.philgeps.gov.ph/GEPSNONPILOT/Tender/SplashBidNoticeAbstractUI.aspx?menuIndex=3&amp;refID=7085567&amp;Result=3","7085567")</f>
        <v>0</v>
      </c>
      <c r="B2067" t="s">
        <v>777</v>
      </c>
      <c r="C2067" t="s">
        <v>5397</v>
      </c>
      <c r="E2067" t="s">
        <v>19324</v>
      </c>
      <c r="F2067" t="s">
        <v>30052</v>
      </c>
      <c r="G2067" t="s">
        <v>30059</v>
      </c>
      <c r="H2067" t="s">
        <v>15498</v>
      </c>
      <c r="I2067" t="s">
        <v>3736</v>
      </c>
      <c r="J2067" t="s">
        <v>31647</v>
      </c>
      <c r="K2067" t="s">
        <v>39025</v>
      </c>
      <c r="M2067" t="s">
        <v>40092</v>
      </c>
      <c r="N2067" t="s">
        <v>43166</v>
      </c>
      <c r="O2067" t="s">
        <v>43167</v>
      </c>
      <c r="P2067">
        <v>0</v>
      </c>
      <c r="Q2067">
        <v>0</v>
      </c>
      <c r="R2067" t="s">
        <v>43170</v>
      </c>
      <c r="S2067" t="s">
        <v>43297</v>
      </c>
      <c r="T2067" t="s">
        <v>44856</v>
      </c>
      <c r="U2067" t="s">
        <v>46907</v>
      </c>
      <c r="W2067" t="s">
        <v>40092</v>
      </c>
      <c r="X2067" t="s">
        <v>43171</v>
      </c>
    </row>
    <row r="2068" spans="1:24">
      <c r="A2068">
        <f>HYPERLINK("https://www.philgeps.gov.ph/GEPSNONPILOT/Tender/SplashBidNoticeAbstractUI.aspx?menuIndex=3&amp;refID=7085558&amp;Result=3","7085558")</f>
        <v>0</v>
      </c>
      <c r="B2068" t="s">
        <v>777</v>
      </c>
      <c r="C2068" t="s">
        <v>5398</v>
      </c>
      <c r="E2068" t="s">
        <v>19325</v>
      </c>
      <c r="F2068" t="s">
        <v>30052</v>
      </c>
      <c r="G2068" t="s">
        <v>30059</v>
      </c>
      <c r="H2068" t="s">
        <v>15498</v>
      </c>
      <c r="I2068" t="s">
        <v>30143</v>
      </c>
      <c r="J2068" t="s">
        <v>30218</v>
      </c>
      <c r="K2068" t="s">
        <v>39025</v>
      </c>
      <c r="M2068" t="s">
        <v>40092</v>
      </c>
      <c r="N2068" t="s">
        <v>43166</v>
      </c>
      <c r="O2068" t="s">
        <v>43167</v>
      </c>
      <c r="P2068">
        <v>0</v>
      </c>
      <c r="Q2068">
        <v>1</v>
      </c>
      <c r="R2068" t="s">
        <v>43170</v>
      </c>
      <c r="S2068" t="s">
        <v>43297</v>
      </c>
      <c r="T2068" t="s">
        <v>44856</v>
      </c>
      <c r="U2068" t="s">
        <v>46908</v>
      </c>
      <c r="W2068" t="s">
        <v>40092</v>
      </c>
      <c r="X2068" t="s">
        <v>43171</v>
      </c>
    </row>
    <row r="2069" spans="1:24">
      <c r="A2069">
        <f>HYPERLINK("https://www.philgeps.gov.ph/GEPSNONPILOT/Tender/SplashBidNoticeAbstractUI.aspx?menuIndex=3&amp;refID=7085572&amp;Result=3","7085572")</f>
        <v>0</v>
      </c>
      <c r="B2069" t="s">
        <v>860</v>
      </c>
      <c r="C2069" t="s">
        <v>5399</v>
      </c>
      <c r="D2069" t="s">
        <v>17484</v>
      </c>
      <c r="E2069" t="s">
        <v>19326</v>
      </c>
      <c r="F2069" t="s">
        <v>30052</v>
      </c>
      <c r="G2069" t="s">
        <v>30058</v>
      </c>
      <c r="H2069" t="s">
        <v>15498</v>
      </c>
      <c r="I2069" t="s">
        <v>3852</v>
      </c>
      <c r="J2069" t="s">
        <v>30222</v>
      </c>
      <c r="K2069" t="s">
        <v>39029</v>
      </c>
      <c r="M2069" t="s">
        <v>40177</v>
      </c>
      <c r="N2069" t="s">
        <v>43166</v>
      </c>
      <c r="O2069" t="s">
        <v>43167</v>
      </c>
      <c r="P2069">
        <v>0</v>
      </c>
      <c r="Q2069">
        <v>0</v>
      </c>
      <c r="R2069" t="s">
        <v>43170</v>
      </c>
      <c r="S2069" t="s">
        <v>43297</v>
      </c>
      <c r="T2069" t="s">
        <v>44684</v>
      </c>
      <c r="U2069" t="s">
        <v>46900</v>
      </c>
      <c r="W2069" t="s">
        <v>40177</v>
      </c>
      <c r="X2069" t="s">
        <v>43171</v>
      </c>
    </row>
    <row r="2070" spans="1:24">
      <c r="A2070">
        <f>HYPERLINK("https://www.philgeps.gov.ph/GEPSNONPILOT/Tender/SplashBidNoticeAbstractUI.aspx?menuIndex=3&amp;refID=7085553&amp;Result=3","7085553")</f>
        <v>0</v>
      </c>
      <c r="B2070" t="s">
        <v>324</v>
      </c>
      <c r="C2070" t="s">
        <v>5400</v>
      </c>
      <c r="D2070" t="s">
        <v>17434</v>
      </c>
      <c r="E2070" t="s">
        <v>17540</v>
      </c>
      <c r="F2070" t="s">
        <v>30052</v>
      </c>
      <c r="G2070" t="s">
        <v>30059</v>
      </c>
      <c r="H2070" t="s">
        <v>15498</v>
      </c>
      <c r="I2070" t="s">
        <v>30130</v>
      </c>
      <c r="J2070" t="s">
        <v>31648</v>
      </c>
      <c r="K2070" t="s">
        <v>39017</v>
      </c>
      <c r="M2070" t="s">
        <v>40184</v>
      </c>
      <c r="N2070" t="s">
        <v>43166</v>
      </c>
      <c r="O2070" t="s">
        <v>43167</v>
      </c>
      <c r="P2070">
        <v>0</v>
      </c>
      <c r="Q2070">
        <v>2</v>
      </c>
      <c r="R2070" t="s">
        <v>43170</v>
      </c>
      <c r="S2070" t="s">
        <v>43297</v>
      </c>
      <c r="T2070" t="s">
        <v>44870</v>
      </c>
      <c r="U2070" t="s">
        <v>46909</v>
      </c>
      <c r="V2070" t="s">
        <v>57060</v>
      </c>
      <c r="W2070" t="s">
        <v>40184</v>
      </c>
      <c r="X2070" t="s">
        <v>43171</v>
      </c>
    </row>
    <row r="2071" spans="1:24">
      <c r="A2071">
        <f>HYPERLINK("https://www.philgeps.gov.ph/GEPSNONPILOT/Tender/SplashBidNoticeAbstractUI.aspx?menuIndex=3&amp;refID=7085508&amp;Result=3","7085508")</f>
        <v>0</v>
      </c>
      <c r="B2071" t="s">
        <v>834</v>
      </c>
      <c r="C2071" t="s">
        <v>5401</v>
      </c>
      <c r="D2071" t="s">
        <v>17432</v>
      </c>
      <c r="E2071" t="s">
        <v>19327</v>
      </c>
      <c r="F2071" t="s">
        <v>30052</v>
      </c>
      <c r="G2071" t="s">
        <v>30061</v>
      </c>
      <c r="H2071" t="s">
        <v>15498</v>
      </c>
      <c r="I2071" t="s">
        <v>4119</v>
      </c>
      <c r="J2071" t="s">
        <v>31649</v>
      </c>
      <c r="K2071" t="s">
        <v>39018</v>
      </c>
      <c r="M2071" t="s">
        <v>40151</v>
      </c>
      <c r="N2071" t="s">
        <v>43166</v>
      </c>
      <c r="O2071" t="s">
        <v>43167</v>
      </c>
      <c r="P2071">
        <v>0</v>
      </c>
      <c r="Q2071">
        <v>0</v>
      </c>
      <c r="R2071" t="s">
        <v>43170</v>
      </c>
      <c r="S2071" t="s">
        <v>43297</v>
      </c>
      <c r="T2071" t="s">
        <v>44894</v>
      </c>
      <c r="U2071" t="s">
        <v>46910</v>
      </c>
      <c r="W2071" t="s">
        <v>40151</v>
      </c>
      <c r="X2071" t="s">
        <v>43171</v>
      </c>
    </row>
    <row r="2072" spans="1:24">
      <c r="A2072">
        <f>HYPERLINK("https://www.philgeps.gov.ph/GEPSNONPILOT/Tender/SplashBidNoticeAbstractUI.aspx?menuIndex=3&amp;refID=7085552&amp;Result=3","7085552")</f>
        <v>0</v>
      </c>
      <c r="B2072" t="s">
        <v>866</v>
      </c>
      <c r="C2072" t="s">
        <v>5402</v>
      </c>
      <c r="D2072" t="s">
        <v>17421</v>
      </c>
      <c r="E2072" t="s">
        <v>19328</v>
      </c>
      <c r="F2072" t="s">
        <v>30052</v>
      </c>
      <c r="G2072" t="s">
        <v>30058</v>
      </c>
      <c r="H2072" t="s">
        <v>15498</v>
      </c>
      <c r="I2072" t="s">
        <v>30075</v>
      </c>
      <c r="J2072" t="s">
        <v>30308</v>
      </c>
      <c r="K2072" t="s">
        <v>39034</v>
      </c>
      <c r="M2072" t="s">
        <v>40185</v>
      </c>
      <c r="N2072" t="s">
        <v>43166</v>
      </c>
      <c r="O2072" t="s">
        <v>43167</v>
      </c>
      <c r="P2072">
        <v>0</v>
      </c>
      <c r="Q2072">
        <v>0</v>
      </c>
      <c r="R2072" t="s">
        <v>43170</v>
      </c>
      <c r="S2072" t="s">
        <v>43297</v>
      </c>
      <c r="T2072" t="s">
        <v>44687</v>
      </c>
      <c r="U2072" t="s">
        <v>46911</v>
      </c>
      <c r="W2072" t="s">
        <v>40185</v>
      </c>
      <c r="X2072" t="s">
        <v>43171</v>
      </c>
    </row>
    <row r="2073" spans="1:24">
      <c r="A2073">
        <f>HYPERLINK("https://www.philgeps.gov.ph/GEPSNONPILOT/Tender/SplashBidNoticeAbstractUI.aspx?menuIndex=3&amp;refID=7085551&amp;Result=3","7085551")</f>
        <v>0</v>
      </c>
      <c r="B2073" t="s">
        <v>767</v>
      </c>
      <c r="C2073" t="s">
        <v>5403</v>
      </c>
      <c r="D2073" t="s">
        <v>17487</v>
      </c>
      <c r="E2073" t="s">
        <v>19329</v>
      </c>
      <c r="F2073" t="s">
        <v>30052</v>
      </c>
      <c r="G2073" t="s">
        <v>30059</v>
      </c>
      <c r="H2073" t="s">
        <v>15498</v>
      </c>
      <c r="I2073" t="s">
        <v>30078</v>
      </c>
      <c r="J2073" t="s">
        <v>31650</v>
      </c>
      <c r="K2073" t="s">
        <v>39029</v>
      </c>
      <c r="M2073" t="s">
        <v>40081</v>
      </c>
      <c r="N2073" t="s">
        <v>43166</v>
      </c>
      <c r="O2073" t="s">
        <v>43167</v>
      </c>
      <c r="P2073">
        <v>0</v>
      </c>
      <c r="Q2073">
        <v>0</v>
      </c>
      <c r="R2073" t="s">
        <v>43170</v>
      </c>
      <c r="S2073" t="s">
        <v>43297</v>
      </c>
      <c r="T2073" t="s">
        <v>44856</v>
      </c>
      <c r="U2073" t="s">
        <v>46912</v>
      </c>
      <c r="V2073" t="s">
        <v>57027</v>
      </c>
      <c r="W2073" t="s">
        <v>40081</v>
      </c>
      <c r="X2073" t="s">
        <v>43171</v>
      </c>
    </row>
    <row r="2074" spans="1:24">
      <c r="A2074">
        <f>HYPERLINK("https://www.philgeps.gov.ph/GEPSNONPILOT/Tender/SplashBidNoticeAbstractUI.aspx?menuIndex=3&amp;refID=7085564&amp;Result=3","7085564")</f>
        <v>0</v>
      </c>
      <c r="B2074" t="s">
        <v>603</v>
      </c>
      <c r="C2074" t="s">
        <v>5404</v>
      </c>
      <c r="D2074" t="s">
        <v>17441</v>
      </c>
      <c r="E2074" t="s">
        <v>19330</v>
      </c>
      <c r="F2074" t="s">
        <v>30052</v>
      </c>
      <c r="G2074" t="s">
        <v>30059</v>
      </c>
      <c r="H2074" t="s">
        <v>30067</v>
      </c>
      <c r="I2074" t="s">
        <v>3693</v>
      </c>
      <c r="J2074" t="s">
        <v>31651</v>
      </c>
      <c r="K2074" t="s">
        <v>39025</v>
      </c>
      <c r="L2074" t="s">
        <v>603</v>
      </c>
      <c r="M2074" t="s">
        <v>39905</v>
      </c>
      <c r="N2074" t="s">
        <v>43166</v>
      </c>
      <c r="O2074" t="s">
        <v>43167</v>
      </c>
      <c r="P2074">
        <v>0</v>
      </c>
      <c r="Q2074">
        <v>3</v>
      </c>
      <c r="R2074" t="s">
        <v>43170</v>
      </c>
      <c r="S2074" t="s">
        <v>43297</v>
      </c>
      <c r="T2074" t="s">
        <v>44714</v>
      </c>
      <c r="U2074" t="s">
        <v>46375</v>
      </c>
      <c r="W2074" t="s">
        <v>39905</v>
      </c>
      <c r="X2074" t="s">
        <v>43171</v>
      </c>
    </row>
    <row r="2075" spans="1:24">
      <c r="A2075">
        <f>HYPERLINK("https://www.philgeps.gov.ph/GEPSNONPILOT/Tender/SplashBidNoticeAbstractUI.aspx?menuIndex=3&amp;refID=7085549&amp;Result=3","7085549")</f>
        <v>0</v>
      </c>
      <c r="B2075" t="s">
        <v>603</v>
      </c>
      <c r="C2075" t="s">
        <v>5405</v>
      </c>
      <c r="D2075" t="s">
        <v>17441</v>
      </c>
      <c r="E2075" t="s">
        <v>19331</v>
      </c>
      <c r="F2075" t="s">
        <v>30052</v>
      </c>
      <c r="G2075" t="s">
        <v>30059</v>
      </c>
      <c r="H2075" t="s">
        <v>15498</v>
      </c>
      <c r="I2075" t="s">
        <v>30100</v>
      </c>
      <c r="J2075" t="s">
        <v>30319</v>
      </c>
      <c r="K2075" t="s">
        <v>39025</v>
      </c>
      <c r="L2075" t="s">
        <v>603</v>
      </c>
      <c r="M2075" t="s">
        <v>39905</v>
      </c>
      <c r="N2075" t="s">
        <v>43166</v>
      </c>
      <c r="O2075" t="s">
        <v>43167</v>
      </c>
      <c r="P2075">
        <v>0</v>
      </c>
      <c r="Q2075">
        <v>0</v>
      </c>
      <c r="R2075" t="s">
        <v>43170</v>
      </c>
      <c r="S2075" t="s">
        <v>43297</v>
      </c>
      <c r="T2075" t="s">
        <v>44714</v>
      </c>
      <c r="U2075" t="s">
        <v>46375</v>
      </c>
      <c r="W2075" t="s">
        <v>39905</v>
      </c>
      <c r="X2075" t="s">
        <v>43171</v>
      </c>
    </row>
    <row r="2076" spans="1:24">
      <c r="A2076">
        <f>HYPERLINK("https://www.philgeps.gov.ph/GEPSNONPILOT/Tender/SplashBidNoticeAbstractUI.aspx?menuIndex=3&amp;refID=7085547&amp;Result=3","7085547")</f>
        <v>0</v>
      </c>
      <c r="B2076" t="s">
        <v>867</v>
      </c>
      <c r="C2076" t="s">
        <v>5406</v>
      </c>
      <c r="D2076" t="s">
        <v>17453</v>
      </c>
      <c r="E2076" t="s">
        <v>17715</v>
      </c>
      <c r="F2076" t="s">
        <v>30052</v>
      </c>
      <c r="G2076" t="s">
        <v>30058</v>
      </c>
      <c r="H2076" t="s">
        <v>30067</v>
      </c>
      <c r="I2076" t="s">
        <v>30083</v>
      </c>
      <c r="J2076" t="s">
        <v>30277</v>
      </c>
      <c r="K2076" t="s">
        <v>39032</v>
      </c>
      <c r="L2076" t="s">
        <v>867</v>
      </c>
      <c r="M2076" t="s">
        <v>40186</v>
      </c>
      <c r="N2076" t="s">
        <v>43166</v>
      </c>
      <c r="O2076" t="s">
        <v>43167</v>
      </c>
      <c r="P2076">
        <v>0</v>
      </c>
      <c r="Q2076">
        <v>0</v>
      </c>
      <c r="R2076" t="s">
        <v>43170</v>
      </c>
      <c r="S2076" t="s">
        <v>43297</v>
      </c>
      <c r="T2076" t="s">
        <v>44681</v>
      </c>
      <c r="U2076" t="s">
        <v>46913</v>
      </c>
      <c r="W2076" t="s">
        <v>40186</v>
      </c>
      <c r="X2076" t="s">
        <v>43171</v>
      </c>
    </row>
    <row r="2077" spans="1:24">
      <c r="A2077">
        <f>HYPERLINK("https://www.philgeps.gov.ph/GEPSNONPILOT/Tender/SplashBidNoticeAbstractUI.aspx?menuIndex=3&amp;refID=7085557&amp;Result=3","7085557")</f>
        <v>0</v>
      </c>
      <c r="B2077" t="s">
        <v>868</v>
      </c>
      <c r="C2077" t="s">
        <v>5407</v>
      </c>
      <c r="D2077" t="s">
        <v>17422</v>
      </c>
      <c r="E2077" t="s">
        <v>19332</v>
      </c>
      <c r="F2077" t="s">
        <v>30052</v>
      </c>
      <c r="G2077" t="s">
        <v>30058</v>
      </c>
      <c r="H2077" t="s">
        <v>15498</v>
      </c>
      <c r="I2077" t="s">
        <v>3736</v>
      </c>
      <c r="J2077" t="s">
        <v>31652</v>
      </c>
      <c r="K2077" t="s">
        <v>39019</v>
      </c>
      <c r="M2077" t="s">
        <v>40187</v>
      </c>
      <c r="N2077" t="s">
        <v>43166</v>
      </c>
      <c r="O2077" t="s">
        <v>43167</v>
      </c>
      <c r="P2077">
        <v>0</v>
      </c>
      <c r="Q2077">
        <v>1</v>
      </c>
      <c r="R2077" t="s">
        <v>43170</v>
      </c>
      <c r="S2077" t="s">
        <v>43297</v>
      </c>
      <c r="T2077" t="s">
        <v>44900</v>
      </c>
      <c r="U2077" t="s">
        <v>46914</v>
      </c>
      <c r="V2077" t="s">
        <v>57061</v>
      </c>
      <c r="W2077" t="s">
        <v>40187</v>
      </c>
      <c r="X2077" t="s">
        <v>43171</v>
      </c>
    </row>
    <row r="2078" spans="1:24">
      <c r="A2078">
        <f>HYPERLINK("https://www.philgeps.gov.ph/GEPSNONPILOT/Tender/SplashBidNoticeAbstractUI.aspx?menuIndex=3&amp;refID=7085458&amp;Result=3","7085458")</f>
        <v>0</v>
      </c>
      <c r="B2078" t="s">
        <v>825</v>
      </c>
      <c r="C2078" t="s">
        <v>5408</v>
      </c>
      <c r="D2078" t="s">
        <v>17445</v>
      </c>
      <c r="E2078" t="s">
        <v>19333</v>
      </c>
      <c r="F2078" t="s">
        <v>30052</v>
      </c>
      <c r="G2078" t="s">
        <v>30059</v>
      </c>
      <c r="H2078" t="s">
        <v>15498</v>
      </c>
      <c r="I2078" t="s">
        <v>30159</v>
      </c>
      <c r="J2078" t="s">
        <v>31653</v>
      </c>
      <c r="K2078" t="s">
        <v>39029</v>
      </c>
      <c r="M2078" t="s">
        <v>40142</v>
      </c>
      <c r="N2078" t="s">
        <v>43166</v>
      </c>
      <c r="O2078" t="s">
        <v>43167</v>
      </c>
      <c r="P2078">
        <v>0</v>
      </c>
      <c r="Q2078">
        <v>0</v>
      </c>
      <c r="R2078" t="s">
        <v>43170</v>
      </c>
      <c r="S2078" t="s">
        <v>43297</v>
      </c>
      <c r="T2078" t="s">
        <v>44844</v>
      </c>
      <c r="U2078" t="s">
        <v>46915</v>
      </c>
      <c r="W2078" t="s">
        <v>40142</v>
      </c>
      <c r="X2078" t="s">
        <v>43171</v>
      </c>
    </row>
    <row r="2079" spans="1:24">
      <c r="A2079">
        <f>HYPERLINK("https://www.philgeps.gov.ph/GEPSNONPILOT/Tender/SplashBidNoticeAbstractUI.aspx?menuIndex=3&amp;refID=7085566&amp;Result=3","7085566")</f>
        <v>0</v>
      </c>
      <c r="B2079" t="s">
        <v>796</v>
      </c>
      <c r="C2079" t="s">
        <v>5409</v>
      </c>
      <c r="D2079" t="s">
        <v>17476</v>
      </c>
      <c r="E2079" t="s">
        <v>19334</v>
      </c>
      <c r="F2079" t="s">
        <v>30052</v>
      </c>
      <c r="G2079" t="s">
        <v>30059</v>
      </c>
      <c r="H2079" t="s">
        <v>30069</v>
      </c>
      <c r="I2079" t="s">
        <v>4650</v>
      </c>
      <c r="J2079" t="s">
        <v>30337</v>
      </c>
      <c r="K2079" t="s">
        <v>39034</v>
      </c>
      <c r="M2079" t="s">
        <v>40113</v>
      </c>
      <c r="N2079" t="s">
        <v>43166</v>
      </c>
      <c r="O2079" t="s">
        <v>43167</v>
      </c>
      <c r="P2079">
        <v>0</v>
      </c>
      <c r="Q2079">
        <v>0</v>
      </c>
      <c r="R2079" t="s">
        <v>43170</v>
      </c>
      <c r="S2079" t="s">
        <v>43297</v>
      </c>
      <c r="T2079" t="s">
        <v>44721</v>
      </c>
      <c r="U2079" t="s">
        <v>46916</v>
      </c>
      <c r="W2079" t="s">
        <v>40113</v>
      </c>
      <c r="X2079" t="s">
        <v>43171</v>
      </c>
    </row>
    <row r="2080" spans="1:24">
      <c r="A2080">
        <f>HYPERLINK("https://www.philgeps.gov.ph/GEPSNONPILOT/Tender/SplashBidNoticeAbstractUI.aspx?menuIndex=3&amp;refID=7085607&amp;Result=3","7085607")</f>
        <v>0</v>
      </c>
      <c r="B2080" t="s">
        <v>777</v>
      </c>
      <c r="C2080" t="s">
        <v>5410</v>
      </c>
      <c r="E2080" t="s">
        <v>19335</v>
      </c>
      <c r="F2080" t="s">
        <v>30052</v>
      </c>
      <c r="G2080" t="s">
        <v>30059</v>
      </c>
      <c r="H2080" t="s">
        <v>15498</v>
      </c>
      <c r="I2080" t="s">
        <v>30087</v>
      </c>
      <c r="J2080" t="s">
        <v>31654</v>
      </c>
      <c r="K2080" t="s">
        <v>39025</v>
      </c>
      <c r="M2080" t="s">
        <v>40092</v>
      </c>
      <c r="N2080" t="s">
        <v>43166</v>
      </c>
      <c r="O2080" t="s">
        <v>43167</v>
      </c>
      <c r="P2080">
        <v>0</v>
      </c>
      <c r="Q2080">
        <v>0</v>
      </c>
      <c r="R2080" t="s">
        <v>43170</v>
      </c>
      <c r="S2080" t="s">
        <v>43297</v>
      </c>
      <c r="T2080" t="s">
        <v>44856</v>
      </c>
      <c r="U2080" t="s">
        <v>46917</v>
      </c>
      <c r="W2080" t="s">
        <v>40092</v>
      </c>
      <c r="X2080" t="s">
        <v>43171</v>
      </c>
    </row>
    <row r="2081" spans="1:24">
      <c r="A2081">
        <f>HYPERLINK("https://www.philgeps.gov.ph/GEPSNONPILOT/Tender/SplashBidNoticeAbstractUI.aspx?menuIndex=3&amp;refID=7085606&amp;Result=3","7085606")</f>
        <v>0</v>
      </c>
      <c r="B2081" t="s">
        <v>869</v>
      </c>
      <c r="C2081" t="s">
        <v>5411</v>
      </c>
      <c r="D2081" t="s">
        <v>17422</v>
      </c>
      <c r="E2081" t="s">
        <v>17715</v>
      </c>
      <c r="F2081" t="s">
        <v>30052</v>
      </c>
      <c r="G2081" t="s">
        <v>30058</v>
      </c>
      <c r="H2081" t="s">
        <v>15498</v>
      </c>
      <c r="I2081" t="s">
        <v>3736</v>
      </c>
      <c r="J2081" t="s">
        <v>30230</v>
      </c>
      <c r="K2081" t="s">
        <v>39019</v>
      </c>
      <c r="M2081" t="s">
        <v>40188</v>
      </c>
      <c r="N2081" t="s">
        <v>43166</v>
      </c>
      <c r="O2081" t="s">
        <v>43167</v>
      </c>
      <c r="P2081">
        <v>0</v>
      </c>
      <c r="Q2081">
        <v>0</v>
      </c>
      <c r="R2081" t="s">
        <v>43170</v>
      </c>
      <c r="S2081" t="s">
        <v>43297</v>
      </c>
      <c r="T2081" t="s">
        <v>44820</v>
      </c>
      <c r="U2081" t="s">
        <v>46918</v>
      </c>
      <c r="V2081" t="s">
        <v>57062</v>
      </c>
      <c r="W2081" t="s">
        <v>40188</v>
      </c>
      <c r="X2081" t="s">
        <v>43171</v>
      </c>
    </row>
    <row r="2082" spans="1:24">
      <c r="A2082">
        <f>HYPERLINK("https://www.philgeps.gov.ph/GEPSNONPILOT/Tender/SplashBidNoticeAbstractUI.aspx?menuIndex=3&amp;refID=7085602&amp;Result=3","7085602")</f>
        <v>0</v>
      </c>
      <c r="B2082" t="s">
        <v>221</v>
      </c>
      <c r="C2082" t="s">
        <v>5412</v>
      </c>
      <c r="E2082" t="s">
        <v>19336</v>
      </c>
      <c r="F2082" t="s">
        <v>30052</v>
      </c>
      <c r="G2082" t="s">
        <v>30058</v>
      </c>
      <c r="H2082" t="s">
        <v>15498</v>
      </c>
      <c r="I2082" t="s">
        <v>3606</v>
      </c>
      <c r="J2082" t="s">
        <v>31655</v>
      </c>
      <c r="K2082" t="s">
        <v>39025</v>
      </c>
      <c r="M2082" t="s">
        <v>39511</v>
      </c>
      <c r="N2082" t="s">
        <v>43166</v>
      </c>
      <c r="O2082" t="s">
        <v>43167</v>
      </c>
      <c r="P2082">
        <v>0</v>
      </c>
      <c r="Q2082">
        <v>7</v>
      </c>
      <c r="R2082" t="s">
        <v>43170</v>
      </c>
      <c r="S2082" t="s">
        <v>43297</v>
      </c>
      <c r="T2082" t="s">
        <v>44901</v>
      </c>
      <c r="U2082" t="s">
        <v>46919</v>
      </c>
      <c r="V2082" t="s">
        <v>57063</v>
      </c>
      <c r="W2082" t="s">
        <v>39511</v>
      </c>
      <c r="X2082" t="s">
        <v>43171</v>
      </c>
    </row>
    <row r="2083" spans="1:24">
      <c r="A2083">
        <f>HYPERLINK("https://www.philgeps.gov.ph/GEPSNONPILOT/Tender/SplashBidNoticeAbstractUI.aspx?menuIndex=3&amp;refID=7085601&amp;Result=3","7085601")</f>
        <v>0</v>
      </c>
      <c r="B2083" t="s">
        <v>765</v>
      </c>
      <c r="C2083" t="s">
        <v>5413</v>
      </c>
      <c r="D2083" t="s">
        <v>17468</v>
      </c>
      <c r="E2083" t="s">
        <v>19337</v>
      </c>
      <c r="F2083" t="s">
        <v>30052</v>
      </c>
      <c r="G2083" t="s">
        <v>30059</v>
      </c>
      <c r="H2083" t="s">
        <v>15498</v>
      </c>
      <c r="I2083" t="s">
        <v>3852</v>
      </c>
      <c r="J2083" t="s">
        <v>30384</v>
      </c>
      <c r="K2083" t="s">
        <v>39046</v>
      </c>
      <c r="M2083" t="s">
        <v>40079</v>
      </c>
      <c r="N2083" t="s">
        <v>43166</v>
      </c>
      <c r="O2083" t="s">
        <v>43167</v>
      </c>
      <c r="P2083">
        <v>0</v>
      </c>
      <c r="Q2083">
        <v>0</v>
      </c>
      <c r="R2083" t="s">
        <v>43170</v>
      </c>
      <c r="S2083" t="s">
        <v>43297</v>
      </c>
      <c r="T2083" t="s">
        <v>44733</v>
      </c>
      <c r="U2083" t="s">
        <v>46920</v>
      </c>
      <c r="W2083" t="s">
        <v>40079</v>
      </c>
      <c r="X2083" t="s">
        <v>43171</v>
      </c>
    </row>
    <row r="2084" spans="1:24">
      <c r="A2084">
        <f>HYPERLINK("https://www.philgeps.gov.ph/GEPSNONPILOT/Tender/SplashBidNoticeAbstractUI.aspx?menuIndex=3&amp;refID=7085599&amp;Result=3","7085599")</f>
        <v>0</v>
      </c>
      <c r="B2084" t="s">
        <v>226</v>
      </c>
      <c r="C2084" t="s">
        <v>5414</v>
      </c>
      <c r="D2084" t="s">
        <v>17427</v>
      </c>
      <c r="E2084" t="s">
        <v>19338</v>
      </c>
      <c r="F2084" t="s">
        <v>30052</v>
      </c>
      <c r="G2084" t="s">
        <v>30059</v>
      </c>
      <c r="H2084" t="s">
        <v>15498</v>
      </c>
      <c r="I2084" t="s">
        <v>30076</v>
      </c>
      <c r="J2084" t="s">
        <v>31656</v>
      </c>
      <c r="K2084" t="s">
        <v>39034</v>
      </c>
      <c r="M2084" t="s">
        <v>39516</v>
      </c>
      <c r="N2084" t="s">
        <v>43166</v>
      </c>
      <c r="O2084" t="s">
        <v>43167</v>
      </c>
      <c r="P2084">
        <v>0</v>
      </c>
      <c r="Q2084">
        <v>9</v>
      </c>
      <c r="R2084" t="s">
        <v>43170</v>
      </c>
      <c r="S2084" t="s">
        <v>43297</v>
      </c>
      <c r="T2084" t="s">
        <v>44717</v>
      </c>
      <c r="U2084" t="s">
        <v>46921</v>
      </c>
      <c r="W2084" t="s">
        <v>39516</v>
      </c>
      <c r="X2084" t="s">
        <v>43171</v>
      </c>
    </row>
    <row r="2085" spans="1:24">
      <c r="A2085">
        <f>HYPERLINK("https://www.philgeps.gov.ph/GEPSNONPILOT/Tender/SplashBidNoticeAbstractUI.aspx?menuIndex=3&amp;refID=7085543&amp;Result=3","7085543")</f>
        <v>0</v>
      </c>
      <c r="B2085" t="s">
        <v>870</v>
      </c>
      <c r="C2085" t="s">
        <v>5415</v>
      </c>
      <c r="E2085" t="s">
        <v>19339</v>
      </c>
      <c r="F2085" t="s">
        <v>30052</v>
      </c>
      <c r="G2085" t="s">
        <v>30059</v>
      </c>
      <c r="H2085" t="s">
        <v>30069</v>
      </c>
      <c r="I2085" t="s">
        <v>30081</v>
      </c>
      <c r="J2085" t="s">
        <v>31657</v>
      </c>
      <c r="K2085" t="s">
        <v>39018</v>
      </c>
      <c r="M2085" t="s">
        <v>40189</v>
      </c>
      <c r="N2085" t="s">
        <v>43166</v>
      </c>
      <c r="O2085" t="s">
        <v>43167</v>
      </c>
      <c r="P2085">
        <v>0</v>
      </c>
      <c r="Q2085">
        <v>3</v>
      </c>
      <c r="R2085" t="s">
        <v>43170</v>
      </c>
      <c r="S2085" t="s">
        <v>43297</v>
      </c>
      <c r="T2085" t="s">
        <v>44843</v>
      </c>
      <c r="U2085" t="s">
        <v>46922</v>
      </c>
      <c r="W2085" t="s">
        <v>40189</v>
      </c>
      <c r="X2085" t="s">
        <v>43171</v>
      </c>
    </row>
    <row r="2086" spans="1:24">
      <c r="A2086">
        <f>HYPERLINK("https://www.philgeps.gov.ph/GEPSNONPILOT/Tender/SplashBidNoticeAbstractUI.aspx?menuIndex=3&amp;refID=7085520&amp;Result=3","7085520")</f>
        <v>0</v>
      </c>
      <c r="B2086" t="s">
        <v>871</v>
      </c>
      <c r="C2086" t="s">
        <v>5416</v>
      </c>
      <c r="D2086" t="s">
        <v>17445</v>
      </c>
      <c r="E2086" t="s">
        <v>19340</v>
      </c>
      <c r="F2086" t="s">
        <v>30052</v>
      </c>
      <c r="G2086" t="s">
        <v>30060</v>
      </c>
      <c r="H2086" t="s">
        <v>15498</v>
      </c>
      <c r="I2086" t="s">
        <v>30074</v>
      </c>
      <c r="J2086" t="s">
        <v>31658</v>
      </c>
      <c r="K2086" t="s">
        <v>39034</v>
      </c>
      <c r="M2086" t="s">
        <v>40190</v>
      </c>
      <c r="N2086" t="s">
        <v>43166</v>
      </c>
      <c r="O2086" t="s">
        <v>43167</v>
      </c>
      <c r="P2086">
        <v>0</v>
      </c>
      <c r="Q2086">
        <v>3</v>
      </c>
      <c r="R2086" t="s">
        <v>43170</v>
      </c>
      <c r="S2086" t="s">
        <v>43297</v>
      </c>
      <c r="T2086" t="s">
        <v>44732</v>
      </c>
      <c r="U2086" t="s">
        <v>46923</v>
      </c>
      <c r="W2086" t="s">
        <v>40190</v>
      </c>
      <c r="X2086" t="s">
        <v>43171</v>
      </c>
    </row>
    <row r="2087" spans="1:24">
      <c r="A2087">
        <f>HYPERLINK("https://www.philgeps.gov.ph/GEPSNONPILOT/Tender/SplashBidNoticeAbstractUI.aspx?menuIndex=3&amp;refID=7085609&amp;Result=3","7085609")</f>
        <v>0</v>
      </c>
      <c r="B2087" t="s">
        <v>767</v>
      </c>
      <c r="C2087" t="s">
        <v>5417</v>
      </c>
      <c r="D2087" t="s">
        <v>17487</v>
      </c>
      <c r="E2087" t="s">
        <v>19341</v>
      </c>
      <c r="F2087" t="s">
        <v>30052</v>
      </c>
      <c r="G2087" t="s">
        <v>30059</v>
      </c>
      <c r="H2087" t="s">
        <v>15498</v>
      </c>
      <c r="I2087" t="s">
        <v>30125</v>
      </c>
      <c r="J2087" t="s">
        <v>30890</v>
      </c>
      <c r="K2087" t="s">
        <v>39029</v>
      </c>
      <c r="M2087" t="s">
        <v>40081</v>
      </c>
      <c r="N2087" t="s">
        <v>43166</v>
      </c>
      <c r="O2087" t="s">
        <v>43167</v>
      </c>
      <c r="P2087">
        <v>0</v>
      </c>
      <c r="Q2087">
        <v>3</v>
      </c>
      <c r="R2087" t="s">
        <v>43170</v>
      </c>
      <c r="S2087" t="s">
        <v>43297</v>
      </c>
      <c r="T2087" t="s">
        <v>44856</v>
      </c>
      <c r="U2087" t="s">
        <v>46924</v>
      </c>
      <c r="V2087" t="s">
        <v>57027</v>
      </c>
      <c r="W2087" t="s">
        <v>40081</v>
      </c>
      <c r="X2087" t="s">
        <v>43171</v>
      </c>
    </row>
    <row r="2088" spans="1:24">
      <c r="A2088">
        <f>HYPERLINK("https://www.philgeps.gov.ph/GEPSNONPILOT/Tender/SplashBidNoticeAbstractUI.aspx?menuIndex=3&amp;refID=7085597&amp;Result=3","7085597")</f>
        <v>0</v>
      </c>
      <c r="B2088" t="s">
        <v>747</v>
      </c>
      <c r="C2088" t="s">
        <v>5418</v>
      </c>
      <c r="E2088" t="s">
        <v>19342</v>
      </c>
      <c r="F2088" t="s">
        <v>30052</v>
      </c>
      <c r="G2088" t="s">
        <v>30058</v>
      </c>
      <c r="H2088" t="s">
        <v>15498</v>
      </c>
      <c r="I2088" t="s">
        <v>30091</v>
      </c>
      <c r="J2088" t="s">
        <v>31659</v>
      </c>
      <c r="K2088" t="s">
        <v>39031</v>
      </c>
      <c r="M2088" t="s">
        <v>40061</v>
      </c>
      <c r="N2088" t="s">
        <v>43166</v>
      </c>
      <c r="O2088" t="s">
        <v>43167</v>
      </c>
      <c r="P2088">
        <v>0</v>
      </c>
      <c r="Q2088">
        <v>11</v>
      </c>
      <c r="R2088" t="s">
        <v>43170</v>
      </c>
      <c r="S2088" t="s">
        <v>43297</v>
      </c>
      <c r="T2088" t="s">
        <v>44902</v>
      </c>
      <c r="U2088" t="s">
        <v>46925</v>
      </c>
      <c r="W2088" t="s">
        <v>40061</v>
      </c>
      <c r="X2088" t="s">
        <v>43171</v>
      </c>
    </row>
    <row r="2089" spans="1:24">
      <c r="A2089">
        <f>HYPERLINK("https://www.philgeps.gov.ph/GEPSNONPILOT/Tender/SplashBidNoticeAbstractUI.aspx?menuIndex=3&amp;refID=7085591&amp;Result=3","7085591")</f>
        <v>0</v>
      </c>
      <c r="B2089" t="s">
        <v>872</v>
      </c>
      <c r="C2089" t="s">
        <v>5419</v>
      </c>
      <c r="D2089" t="s">
        <v>17415</v>
      </c>
      <c r="E2089" t="s">
        <v>17760</v>
      </c>
      <c r="F2089" t="s">
        <v>30052</v>
      </c>
      <c r="G2089" t="s">
        <v>30061</v>
      </c>
      <c r="H2089" t="s">
        <v>15498</v>
      </c>
      <c r="I2089" t="s">
        <v>4598</v>
      </c>
      <c r="J2089" t="s">
        <v>31660</v>
      </c>
      <c r="K2089" t="s">
        <v>39036</v>
      </c>
      <c r="M2089" t="s">
        <v>40191</v>
      </c>
      <c r="N2089" t="s">
        <v>43166</v>
      </c>
      <c r="O2089" t="s">
        <v>43167</v>
      </c>
      <c r="P2089">
        <v>0</v>
      </c>
      <c r="Q2089">
        <v>6</v>
      </c>
      <c r="R2089" t="s">
        <v>43170</v>
      </c>
      <c r="S2089" t="s">
        <v>43297</v>
      </c>
      <c r="T2089" t="s">
        <v>44735</v>
      </c>
      <c r="U2089" t="s">
        <v>46926</v>
      </c>
      <c r="V2089" t="s">
        <v>57064</v>
      </c>
      <c r="W2089" t="s">
        <v>40191</v>
      </c>
      <c r="X2089" t="s">
        <v>43171</v>
      </c>
    </row>
    <row r="2090" spans="1:24">
      <c r="A2090">
        <f>HYPERLINK("https://www.philgeps.gov.ph/GEPSNONPILOT/Tender/SplashBidNoticeAbstractUI.aspx?menuIndex=3&amp;refID=7085586&amp;Result=3","7085586")</f>
        <v>0</v>
      </c>
      <c r="B2090" t="s">
        <v>738</v>
      </c>
      <c r="C2090" t="s">
        <v>5058</v>
      </c>
      <c r="D2090" t="s">
        <v>17464</v>
      </c>
      <c r="E2090" t="s">
        <v>19343</v>
      </c>
      <c r="F2090" t="s">
        <v>30052</v>
      </c>
      <c r="G2090" t="s">
        <v>30059</v>
      </c>
      <c r="H2090" t="s">
        <v>15498</v>
      </c>
      <c r="I2090" t="s">
        <v>3736</v>
      </c>
      <c r="J2090" t="s">
        <v>31661</v>
      </c>
      <c r="K2090" t="s">
        <v>39025</v>
      </c>
      <c r="M2090" t="s">
        <v>40051</v>
      </c>
      <c r="N2090" t="s">
        <v>43166</v>
      </c>
      <c r="O2090" t="s">
        <v>43167</v>
      </c>
      <c r="P2090">
        <v>0</v>
      </c>
      <c r="Q2090">
        <v>0</v>
      </c>
      <c r="R2090" t="s">
        <v>43170</v>
      </c>
      <c r="S2090" t="s">
        <v>43297</v>
      </c>
      <c r="T2090" t="s">
        <v>44837</v>
      </c>
      <c r="U2090" t="s">
        <v>46927</v>
      </c>
      <c r="W2090" t="s">
        <v>40051</v>
      </c>
      <c r="X2090" t="s">
        <v>43171</v>
      </c>
    </row>
    <row r="2091" spans="1:24">
      <c r="A2091">
        <f>HYPERLINK("https://www.philgeps.gov.ph/GEPSNONPILOT/Tender/SplashBidNoticeAbstractUI.aspx?menuIndex=3&amp;refID=7085585&amp;Result=3","7085585")</f>
        <v>0</v>
      </c>
      <c r="B2091" t="s">
        <v>221</v>
      </c>
      <c r="C2091" t="s">
        <v>5420</v>
      </c>
      <c r="E2091" t="s">
        <v>19344</v>
      </c>
      <c r="F2091" t="s">
        <v>30052</v>
      </c>
      <c r="G2091" t="s">
        <v>30058</v>
      </c>
      <c r="H2091" t="s">
        <v>15498</v>
      </c>
      <c r="I2091" t="s">
        <v>3606</v>
      </c>
      <c r="J2091" t="s">
        <v>31662</v>
      </c>
      <c r="K2091" t="s">
        <v>39025</v>
      </c>
      <c r="M2091" t="s">
        <v>39511</v>
      </c>
      <c r="N2091" t="s">
        <v>43166</v>
      </c>
      <c r="O2091" t="s">
        <v>43167</v>
      </c>
      <c r="P2091">
        <v>0</v>
      </c>
      <c r="Q2091">
        <v>12</v>
      </c>
      <c r="R2091" t="s">
        <v>43170</v>
      </c>
      <c r="S2091" t="s">
        <v>43297</v>
      </c>
      <c r="T2091" t="s">
        <v>44901</v>
      </c>
      <c r="U2091" t="s">
        <v>46928</v>
      </c>
      <c r="V2091" t="s">
        <v>57065</v>
      </c>
      <c r="W2091" t="s">
        <v>39511</v>
      </c>
      <c r="X2091" t="s">
        <v>43171</v>
      </c>
    </row>
    <row r="2092" spans="1:24">
      <c r="A2092">
        <f>HYPERLINK("https://www.philgeps.gov.ph/GEPSNONPILOT/Tender/SplashBidNoticeAbstractUI.aspx?menuIndex=3&amp;refID=7085524&amp;Result=3","7085524")</f>
        <v>0</v>
      </c>
      <c r="B2092" t="s">
        <v>765</v>
      </c>
      <c r="C2092" t="s">
        <v>5421</v>
      </c>
      <c r="D2092" t="s">
        <v>17468</v>
      </c>
      <c r="E2092" t="s">
        <v>19345</v>
      </c>
      <c r="F2092" t="s">
        <v>30052</v>
      </c>
      <c r="G2092" t="s">
        <v>30059</v>
      </c>
      <c r="H2092" t="s">
        <v>15498</v>
      </c>
      <c r="I2092" t="s">
        <v>30074</v>
      </c>
      <c r="J2092" t="s">
        <v>30230</v>
      </c>
      <c r="K2092" t="s">
        <v>39029</v>
      </c>
      <c r="M2092" t="s">
        <v>40079</v>
      </c>
      <c r="N2092" t="s">
        <v>43166</v>
      </c>
      <c r="O2092" t="s">
        <v>43167</v>
      </c>
      <c r="P2092">
        <v>0</v>
      </c>
      <c r="Q2092">
        <v>0</v>
      </c>
      <c r="R2092" t="s">
        <v>43170</v>
      </c>
      <c r="S2092" t="s">
        <v>43297</v>
      </c>
      <c r="T2092" t="s">
        <v>44733</v>
      </c>
      <c r="U2092" t="s">
        <v>46929</v>
      </c>
      <c r="W2092" t="s">
        <v>40079</v>
      </c>
      <c r="X2092" t="s">
        <v>43171</v>
      </c>
    </row>
    <row r="2093" spans="1:24">
      <c r="A2093">
        <f>HYPERLINK("https://www.philgeps.gov.ph/GEPSNONPILOT/Tender/SplashBidNoticeAbstractUI.aspx?menuIndex=3&amp;refID=7085582&amp;Result=3","7085582")</f>
        <v>0</v>
      </c>
      <c r="B2093" t="s">
        <v>777</v>
      </c>
      <c r="C2093" t="s">
        <v>5422</v>
      </c>
      <c r="E2093" t="s">
        <v>19346</v>
      </c>
      <c r="F2093" t="s">
        <v>30052</v>
      </c>
      <c r="G2093" t="s">
        <v>30059</v>
      </c>
      <c r="H2093" t="s">
        <v>15498</v>
      </c>
      <c r="I2093" t="s">
        <v>3736</v>
      </c>
      <c r="J2093" t="s">
        <v>31663</v>
      </c>
      <c r="K2093" t="s">
        <v>39025</v>
      </c>
      <c r="M2093" t="s">
        <v>40092</v>
      </c>
      <c r="N2093" t="s">
        <v>43166</v>
      </c>
      <c r="O2093" t="s">
        <v>43167</v>
      </c>
      <c r="P2093">
        <v>0</v>
      </c>
      <c r="Q2093">
        <v>0</v>
      </c>
      <c r="R2093" t="s">
        <v>43170</v>
      </c>
      <c r="S2093" t="s">
        <v>43297</v>
      </c>
      <c r="T2093" t="s">
        <v>44856</v>
      </c>
      <c r="U2093" t="s">
        <v>46930</v>
      </c>
      <c r="W2093" t="s">
        <v>40092</v>
      </c>
      <c r="X2093" t="s">
        <v>43171</v>
      </c>
    </row>
    <row r="2094" spans="1:24">
      <c r="A2094">
        <f>HYPERLINK("https://www.philgeps.gov.ph/GEPSNONPILOT/Tender/SplashBidNoticeAbstractUI.aspx?menuIndex=3&amp;refID=7085589&amp;Result=3","7085589")</f>
        <v>0</v>
      </c>
      <c r="B2094" t="s">
        <v>620</v>
      </c>
      <c r="C2094" t="s">
        <v>5423</v>
      </c>
      <c r="D2094" t="s">
        <v>17427</v>
      </c>
      <c r="E2094" t="s">
        <v>19347</v>
      </c>
      <c r="F2094" t="s">
        <v>30052</v>
      </c>
      <c r="G2094" t="s">
        <v>30058</v>
      </c>
      <c r="H2094" t="s">
        <v>15498</v>
      </c>
      <c r="I2094" t="s">
        <v>30129</v>
      </c>
      <c r="J2094" t="s">
        <v>31664</v>
      </c>
      <c r="K2094" t="s">
        <v>39025</v>
      </c>
      <c r="M2094" t="s">
        <v>39923</v>
      </c>
      <c r="N2094" t="s">
        <v>43166</v>
      </c>
      <c r="O2094" t="s">
        <v>43167</v>
      </c>
      <c r="P2094">
        <v>0</v>
      </c>
      <c r="Q2094">
        <v>5</v>
      </c>
      <c r="R2094" t="s">
        <v>43170</v>
      </c>
      <c r="S2094" t="s">
        <v>43297</v>
      </c>
      <c r="T2094" t="s">
        <v>44701</v>
      </c>
      <c r="U2094" t="s">
        <v>46931</v>
      </c>
      <c r="W2094" t="s">
        <v>39923</v>
      </c>
      <c r="X2094" t="s">
        <v>43171</v>
      </c>
    </row>
    <row r="2095" spans="1:24">
      <c r="A2095">
        <f>HYPERLINK("https://www.philgeps.gov.ph/GEPSNONPILOT/Tender/SplashBidNoticeAbstractUI.aspx?menuIndex=3&amp;refID=7085592&amp;Result=3","7085592")</f>
        <v>0</v>
      </c>
      <c r="B2095" t="s">
        <v>777</v>
      </c>
      <c r="C2095" t="s">
        <v>5424</v>
      </c>
      <c r="E2095" t="s">
        <v>19348</v>
      </c>
      <c r="F2095" t="s">
        <v>30052</v>
      </c>
      <c r="G2095" t="s">
        <v>30059</v>
      </c>
      <c r="H2095" t="s">
        <v>15498</v>
      </c>
      <c r="I2095" t="s">
        <v>30092</v>
      </c>
      <c r="J2095" t="s">
        <v>31665</v>
      </c>
      <c r="K2095" t="s">
        <v>39025</v>
      </c>
      <c r="M2095" t="s">
        <v>40092</v>
      </c>
      <c r="N2095" t="s">
        <v>43166</v>
      </c>
      <c r="O2095" t="s">
        <v>43167</v>
      </c>
      <c r="P2095">
        <v>0</v>
      </c>
      <c r="Q2095">
        <v>0</v>
      </c>
      <c r="R2095" t="s">
        <v>43170</v>
      </c>
      <c r="S2095" t="s">
        <v>43297</v>
      </c>
      <c r="T2095" t="s">
        <v>44856</v>
      </c>
      <c r="U2095" t="s">
        <v>46932</v>
      </c>
      <c r="W2095" t="s">
        <v>40092</v>
      </c>
      <c r="X2095" t="s">
        <v>43171</v>
      </c>
    </row>
    <row r="2096" spans="1:24">
      <c r="A2096">
        <f>HYPERLINK("https://www.philgeps.gov.ph/GEPSNONPILOT/Tender/SplashBidNoticeAbstractUI.aspx?menuIndex=3&amp;refID=7085576&amp;Result=3","7085576")</f>
        <v>0</v>
      </c>
      <c r="B2096" t="s">
        <v>837</v>
      </c>
      <c r="C2096" t="s">
        <v>5324</v>
      </c>
      <c r="D2096" t="s">
        <v>17448</v>
      </c>
      <c r="E2096" t="s">
        <v>19349</v>
      </c>
      <c r="F2096" t="s">
        <v>30052</v>
      </c>
      <c r="G2096" t="s">
        <v>30058</v>
      </c>
      <c r="H2096" t="s">
        <v>30067</v>
      </c>
      <c r="I2096" t="s">
        <v>3693</v>
      </c>
      <c r="J2096" t="s">
        <v>31666</v>
      </c>
      <c r="K2096" t="s">
        <v>39046</v>
      </c>
      <c r="M2096" t="s">
        <v>40154</v>
      </c>
      <c r="N2096" t="s">
        <v>43166</v>
      </c>
      <c r="O2096" t="s">
        <v>43167</v>
      </c>
      <c r="P2096">
        <v>0</v>
      </c>
      <c r="Q2096">
        <v>0</v>
      </c>
      <c r="R2096" t="s">
        <v>43170</v>
      </c>
      <c r="S2096" t="s">
        <v>43297</v>
      </c>
      <c r="T2096" t="s">
        <v>44781</v>
      </c>
      <c r="U2096" t="s">
        <v>46846</v>
      </c>
      <c r="W2096" t="s">
        <v>40154</v>
      </c>
      <c r="X2096" t="s">
        <v>43171</v>
      </c>
    </row>
    <row r="2097" spans="1:24">
      <c r="A2097">
        <f>HYPERLINK("https://www.philgeps.gov.ph/GEPSNONPILOT/Tender/SplashBidNoticeAbstractUI.aspx?menuIndex=3&amp;refID=7085600&amp;Result=3","7085600")</f>
        <v>0</v>
      </c>
      <c r="B2097" t="s">
        <v>860</v>
      </c>
      <c r="C2097" t="s">
        <v>5425</v>
      </c>
      <c r="D2097" t="s">
        <v>17484</v>
      </c>
      <c r="E2097" t="s">
        <v>19350</v>
      </c>
      <c r="F2097" t="s">
        <v>30052</v>
      </c>
      <c r="G2097" t="s">
        <v>30058</v>
      </c>
      <c r="H2097" t="s">
        <v>15498</v>
      </c>
      <c r="I2097" t="s">
        <v>30092</v>
      </c>
      <c r="J2097" t="s">
        <v>31667</v>
      </c>
      <c r="K2097" t="s">
        <v>39029</v>
      </c>
      <c r="M2097" t="s">
        <v>40177</v>
      </c>
      <c r="N2097" t="s">
        <v>43166</v>
      </c>
      <c r="O2097" t="s">
        <v>43167</v>
      </c>
      <c r="P2097">
        <v>0</v>
      </c>
      <c r="Q2097">
        <v>0</v>
      </c>
      <c r="R2097" t="s">
        <v>43170</v>
      </c>
      <c r="S2097" t="s">
        <v>43297</v>
      </c>
      <c r="T2097" t="s">
        <v>44684</v>
      </c>
      <c r="U2097" t="s">
        <v>46900</v>
      </c>
      <c r="W2097" t="s">
        <v>40177</v>
      </c>
      <c r="X2097" t="s">
        <v>43171</v>
      </c>
    </row>
    <row r="2098" spans="1:24">
      <c r="A2098">
        <f>HYPERLINK("https://www.philgeps.gov.ph/GEPSNONPILOT/Tender/SplashBidNoticeAbstractUI.aspx?menuIndex=3&amp;refID=7085542&amp;Result=3","7085542")</f>
        <v>0</v>
      </c>
      <c r="B2098" t="s">
        <v>873</v>
      </c>
      <c r="C2098" t="s">
        <v>5426</v>
      </c>
      <c r="D2098" t="s">
        <v>17442</v>
      </c>
      <c r="E2098" t="s">
        <v>19351</v>
      </c>
      <c r="F2098" t="s">
        <v>30052</v>
      </c>
      <c r="G2098" t="s">
        <v>30058</v>
      </c>
      <c r="H2098" t="s">
        <v>30067</v>
      </c>
      <c r="I2098" t="s">
        <v>3693</v>
      </c>
      <c r="J2098" t="s">
        <v>31668</v>
      </c>
      <c r="K2098" t="s">
        <v>39031</v>
      </c>
      <c r="M2098" t="s">
        <v>40192</v>
      </c>
      <c r="N2098" t="s">
        <v>43166</v>
      </c>
      <c r="O2098" t="s">
        <v>43167</v>
      </c>
      <c r="P2098">
        <v>0</v>
      </c>
      <c r="Q2098">
        <v>0</v>
      </c>
      <c r="R2098" t="s">
        <v>43170</v>
      </c>
      <c r="S2098" t="s">
        <v>43297</v>
      </c>
      <c r="T2098" t="s">
        <v>44842</v>
      </c>
      <c r="U2098" t="s">
        <v>46933</v>
      </c>
      <c r="V2098" t="s">
        <v>57066</v>
      </c>
      <c r="W2098" t="s">
        <v>40192</v>
      </c>
      <c r="X2098" t="s">
        <v>43171</v>
      </c>
    </row>
    <row r="2099" spans="1:24">
      <c r="A2099">
        <f>HYPERLINK("https://www.philgeps.gov.ph/GEPSNONPILOT/Tender/SplashBidNoticeAbstractUI.aspx?menuIndex=3&amp;refID=7085583&amp;Result=3","7085583")</f>
        <v>0</v>
      </c>
      <c r="B2099" t="s">
        <v>874</v>
      </c>
      <c r="C2099" t="s">
        <v>5427</v>
      </c>
      <c r="D2099" t="s">
        <v>17428</v>
      </c>
      <c r="E2099" t="s">
        <v>19352</v>
      </c>
      <c r="F2099" t="s">
        <v>30052</v>
      </c>
      <c r="G2099" t="s">
        <v>30058</v>
      </c>
      <c r="H2099" t="s">
        <v>30067</v>
      </c>
      <c r="I2099" t="s">
        <v>3693</v>
      </c>
      <c r="J2099" t="s">
        <v>31669</v>
      </c>
      <c r="K2099" t="s">
        <v>39037</v>
      </c>
      <c r="M2099" t="s">
        <v>40193</v>
      </c>
      <c r="N2099" t="s">
        <v>43166</v>
      </c>
      <c r="O2099" t="s">
        <v>43167</v>
      </c>
      <c r="P2099">
        <v>0</v>
      </c>
      <c r="Q2099">
        <v>0</v>
      </c>
      <c r="R2099" t="s">
        <v>43170</v>
      </c>
      <c r="S2099" t="s">
        <v>43297</v>
      </c>
      <c r="T2099" t="s">
        <v>44828</v>
      </c>
      <c r="U2099" t="s">
        <v>46934</v>
      </c>
      <c r="W2099" t="s">
        <v>40193</v>
      </c>
      <c r="X2099" t="s">
        <v>43171</v>
      </c>
    </row>
    <row r="2100" spans="1:24">
      <c r="A2100">
        <f>HYPERLINK("https://www.philgeps.gov.ph/GEPSNONPILOT/Tender/SplashBidNoticeAbstractUI.aspx?menuIndex=3&amp;refID=7085541&amp;Result=3","7085541")</f>
        <v>0</v>
      </c>
      <c r="B2100" t="s">
        <v>860</v>
      </c>
      <c r="C2100" t="s">
        <v>5428</v>
      </c>
      <c r="D2100" t="s">
        <v>17484</v>
      </c>
      <c r="E2100" t="s">
        <v>19353</v>
      </c>
      <c r="F2100" t="s">
        <v>30052</v>
      </c>
      <c r="G2100" t="s">
        <v>30058</v>
      </c>
      <c r="H2100" t="s">
        <v>15498</v>
      </c>
      <c r="I2100" t="s">
        <v>30092</v>
      </c>
      <c r="J2100" t="s">
        <v>31670</v>
      </c>
      <c r="K2100" t="s">
        <v>39029</v>
      </c>
      <c r="M2100" t="s">
        <v>40177</v>
      </c>
      <c r="N2100" t="s">
        <v>43166</v>
      </c>
      <c r="O2100" t="s">
        <v>43167</v>
      </c>
      <c r="P2100">
        <v>0</v>
      </c>
      <c r="Q2100">
        <v>1</v>
      </c>
      <c r="R2100" t="s">
        <v>43170</v>
      </c>
      <c r="S2100" t="s">
        <v>43297</v>
      </c>
      <c r="T2100" t="s">
        <v>44684</v>
      </c>
      <c r="U2100" t="s">
        <v>46900</v>
      </c>
      <c r="W2100" t="s">
        <v>40177</v>
      </c>
      <c r="X2100" t="s">
        <v>43171</v>
      </c>
    </row>
    <row r="2101" spans="1:24">
      <c r="A2101">
        <f>HYPERLINK("https://www.philgeps.gov.ph/GEPSNONPILOT/Tender/SplashBidNoticeAbstractUI.aspx?menuIndex=3&amp;refID=7085596&amp;Result=3","7085596")</f>
        <v>0</v>
      </c>
      <c r="B2101" t="s">
        <v>875</v>
      </c>
      <c r="C2101" t="s">
        <v>5429</v>
      </c>
      <c r="D2101" t="s">
        <v>17492</v>
      </c>
      <c r="E2101" t="s">
        <v>19354</v>
      </c>
      <c r="F2101" t="s">
        <v>30052</v>
      </c>
      <c r="G2101" t="s">
        <v>30058</v>
      </c>
      <c r="H2101" t="s">
        <v>30067</v>
      </c>
      <c r="I2101" t="s">
        <v>3693</v>
      </c>
      <c r="J2101" t="s">
        <v>31671</v>
      </c>
      <c r="K2101" t="s">
        <v>39019</v>
      </c>
      <c r="M2101" t="s">
        <v>40194</v>
      </c>
      <c r="N2101" t="s">
        <v>43166</v>
      </c>
      <c r="O2101" t="s">
        <v>43167</v>
      </c>
      <c r="P2101">
        <v>0</v>
      </c>
      <c r="Q2101">
        <v>0</v>
      </c>
      <c r="R2101" t="s">
        <v>43170</v>
      </c>
      <c r="S2101" t="s">
        <v>43297</v>
      </c>
      <c r="T2101" t="s">
        <v>44677</v>
      </c>
      <c r="U2101" t="s">
        <v>46935</v>
      </c>
      <c r="W2101" t="s">
        <v>40194</v>
      </c>
      <c r="X2101" t="s">
        <v>43171</v>
      </c>
    </row>
    <row r="2102" spans="1:24">
      <c r="A2102">
        <f>HYPERLINK("https://www.philgeps.gov.ph/GEPSNONPILOT/Tender/SplashBidNoticeAbstractUI.aspx?menuIndex=3&amp;refID=7085577&amp;Result=3","7085577")</f>
        <v>0</v>
      </c>
      <c r="B2102" t="s">
        <v>777</v>
      </c>
      <c r="C2102" t="s">
        <v>5430</v>
      </c>
      <c r="E2102" t="s">
        <v>19355</v>
      </c>
      <c r="F2102" t="s">
        <v>30052</v>
      </c>
      <c r="G2102" t="s">
        <v>30059</v>
      </c>
      <c r="H2102" t="s">
        <v>15498</v>
      </c>
      <c r="I2102" t="s">
        <v>3736</v>
      </c>
      <c r="J2102" t="s">
        <v>31672</v>
      </c>
      <c r="K2102" t="s">
        <v>39025</v>
      </c>
      <c r="M2102" t="s">
        <v>40092</v>
      </c>
      <c r="N2102" t="s">
        <v>43166</v>
      </c>
      <c r="O2102" t="s">
        <v>43167</v>
      </c>
      <c r="P2102">
        <v>0</v>
      </c>
      <c r="Q2102">
        <v>0</v>
      </c>
      <c r="R2102" t="s">
        <v>43170</v>
      </c>
      <c r="S2102" t="s">
        <v>43297</v>
      </c>
      <c r="T2102" t="s">
        <v>44856</v>
      </c>
      <c r="U2102" t="s">
        <v>46936</v>
      </c>
      <c r="W2102" t="s">
        <v>40092</v>
      </c>
      <c r="X2102" t="s">
        <v>43171</v>
      </c>
    </row>
    <row r="2103" spans="1:24">
      <c r="A2103">
        <f>HYPERLINK("https://www.philgeps.gov.ph/GEPSNONPILOT/Tender/SplashBidNoticeAbstractUI.aspx?menuIndex=3&amp;refID=7085647&amp;Result=3","7085647")</f>
        <v>0</v>
      </c>
      <c r="B2103" t="s">
        <v>876</v>
      </c>
      <c r="C2103" t="s">
        <v>5431</v>
      </c>
      <c r="D2103" t="s">
        <v>17448</v>
      </c>
      <c r="E2103" t="s">
        <v>19356</v>
      </c>
      <c r="F2103" t="s">
        <v>30052</v>
      </c>
      <c r="G2103" t="s">
        <v>30062</v>
      </c>
      <c r="H2103" t="s">
        <v>15498</v>
      </c>
      <c r="I2103" t="s">
        <v>4119</v>
      </c>
      <c r="J2103" t="s">
        <v>31673</v>
      </c>
      <c r="K2103" t="s">
        <v>39025</v>
      </c>
      <c r="M2103" t="s">
        <v>40195</v>
      </c>
      <c r="N2103" t="s">
        <v>43166</v>
      </c>
      <c r="O2103" t="s">
        <v>43167</v>
      </c>
      <c r="P2103">
        <v>0</v>
      </c>
      <c r="Q2103">
        <v>4</v>
      </c>
      <c r="R2103" t="s">
        <v>43170</v>
      </c>
      <c r="S2103" t="s">
        <v>43297</v>
      </c>
      <c r="T2103" t="s">
        <v>44734</v>
      </c>
      <c r="U2103" t="s">
        <v>46937</v>
      </c>
      <c r="W2103" t="s">
        <v>40195</v>
      </c>
      <c r="X2103" t="s">
        <v>43171</v>
      </c>
    </row>
    <row r="2104" spans="1:24">
      <c r="A2104">
        <f>HYPERLINK("https://www.philgeps.gov.ph/GEPSNONPILOT/Tender/SplashBidNoticeAbstractUI.aspx?menuIndex=3&amp;refID=7085644&amp;Result=3","7085644")</f>
        <v>0</v>
      </c>
      <c r="B2104" t="s">
        <v>877</v>
      </c>
      <c r="C2104" t="s">
        <v>5432</v>
      </c>
      <c r="D2104" t="s">
        <v>17415</v>
      </c>
      <c r="E2104" t="s">
        <v>19357</v>
      </c>
      <c r="F2104" t="s">
        <v>30052</v>
      </c>
      <c r="G2104" t="s">
        <v>30059</v>
      </c>
      <c r="H2104" t="s">
        <v>15498</v>
      </c>
      <c r="I2104" t="s">
        <v>30091</v>
      </c>
      <c r="J2104" t="s">
        <v>31674</v>
      </c>
      <c r="K2104" t="s">
        <v>39017</v>
      </c>
      <c r="M2104" t="s">
        <v>40196</v>
      </c>
      <c r="N2104" t="s">
        <v>43166</v>
      </c>
      <c r="O2104" t="s">
        <v>43167</v>
      </c>
      <c r="P2104">
        <v>0</v>
      </c>
      <c r="Q2104">
        <v>1</v>
      </c>
      <c r="R2104" t="s">
        <v>43170</v>
      </c>
      <c r="S2104" t="s">
        <v>43297</v>
      </c>
      <c r="T2104" t="s">
        <v>44787</v>
      </c>
      <c r="U2104" t="s">
        <v>46938</v>
      </c>
      <c r="W2104" t="s">
        <v>40196</v>
      </c>
      <c r="X2104" t="s">
        <v>43171</v>
      </c>
    </row>
    <row r="2105" spans="1:24">
      <c r="A2105">
        <f>HYPERLINK("https://www.philgeps.gov.ph/GEPSNONPILOT/Tender/SplashBidNoticeAbstractUI.aspx?menuIndex=3&amp;refID=7085544&amp;Result=3","7085544")</f>
        <v>0</v>
      </c>
      <c r="B2105" t="s">
        <v>878</v>
      </c>
      <c r="C2105" t="s">
        <v>5433</v>
      </c>
      <c r="D2105" t="s">
        <v>17416</v>
      </c>
      <c r="E2105" t="s">
        <v>19358</v>
      </c>
      <c r="F2105" t="s">
        <v>30052</v>
      </c>
      <c r="G2105" t="s">
        <v>30058</v>
      </c>
      <c r="H2105" t="s">
        <v>15498</v>
      </c>
      <c r="I2105" t="s">
        <v>30070</v>
      </c>
      <c r="J2105" t="s">
        <v>31675</v>
      </c>
      <c r="K2105" t="s">
        <v>39029</v>
      </c>
      <c r="M2105" t="s">
        <v>40197</v>
      </c>
      <c r="N2105" t="s">
        <v>43166</v>
      </c>
      <c r="O2105" t="s">
        <v>43167</v>
      </c>
      <c r="P2105">
        <v>0</v>
      </c>
      <c r="Q2105">
        <v>2</v>
      </c>
      <c r="R2105" t="s">
        <v>43170</v>
      </c>
      <c r="S2105" t="s">
        <v>43297</v>
      </c>
      <c r="T2105" t="s">
        <v>44903</v>
      </c>
      <c r="U2105" t="s">
        <v>46939</v>
      </c>
      <c r="W2105" t="s">
        <v>40197</v>
      </c>
      <c r="X2105" t="s">
        <v>43171</v>
      </c>
    </row>
    <row r="2106" spans="1:24">
      <c r="A2106">
        <f>HYPERLINK("https://www.philgeps.gov.ph/GEPSNONPILOT/Tender/SplashBidNoticeAbstractUI.aspx?menuIndex=3&amp;refID=7085640&amp;Result=3","7085640")</f>
        <v>0</v>
      </c>
      <c r="B2106" t="s">
        <v>879</v>
      </c>
      <c r="C2106" t="s">
        <v>5434</v>
      </c>
      <c r="D2106" t="s">
        <v>17417</v>
      </c>
      <c r="E2106" t="s">
        <v>19359</v>
      </c>
      <c r="F2106" t="s">
        <v>30052</v>
      </c>
      <c r="G2106" t="s">
        <v>30059</v>
      </c>
      <c r="H2106" t="s">
        <v>15498</v>
      </c>
      <c r="I2106" t="s">
        <v>3736</v>
      </c>
      <c r="J2106" t="s">
        <v>31676</v>
      </c>
      <c r="K2106" t="s">
        <v>39025</v>
      </c>
      <c r="M2106" t="s">
        <v>40198</v>
      </c>
      <c r="N2106" t="s">
        <v>43166</v>
      </c>
      <c r="O2106" t="s">
        <v>43167</v>
      </c>
      <c r="P2106">
        <v>0</v>
      </c>
      <c r="Q2106">
        <v>0</v>
      </c>
      <c r="R2106" t="s">
        <v>43170</v>
      </c>
      <c r="S2106" t="s">
        <v>43297</v>
      </c>
      <c r="T2106" t="s">
        <v>44777</v>
      </c>
      <c r="U2106" t="s">
        <v>46940</v>
      </c>
      <c r="W2106" t="s">
        <v>40198</v>
      </c>
      <c r="X2106" t="s">
        <v>43171</v>
      </c>
    </row>
    <row r="2107" spans="1:24">
      <c r="A2107">
        <f>HYPERLINK("https://www.philgeps.gov.ph/GEPSNONPILOT/Tender/SplashBidNoticeAbstractUI.aspx?menuIndex=3&amp;refID=7085639&amp;Result=3","7085639")</f>
        <v>0</v>
      </c>
      <c r="B2107" t="s">
        <v>880</v>
      </c>
      <c r="C2107" t="s">
        <v>5435</v>
      </c>
      <c r="D2107" t="s">
        <v>17484</v>
      </c>
      <c r="E2107" t="s">
        <v>19360</v>
      </c>
      <c r="F2107" t="s">
        <v>30052</v>
      </c>
      <c r="G2107" t="s">
        <v>30061</v>
      </c>
      <c r="H2107" t="s">
        <v>15498</v>
      </c>
      <c r="I2107" t="s">
        <v>30085</v>
      </c>
      <c r="J2107" t="s">
        <v>30344</v>
      </c>
      <c r="K2107" t="s">
        <v>39018</v>
      </c>
      <c r="M2107" t="s">
        <v>40199</v>
      </c>
      <c r="N2107" t="s">
        <v>43166</v>
      </c>
      <c r="O2107" t="s">
        <v>43167</v>
      </c>
      <c r="P2107">
        <v>0</v>
      </c>
      <c r="Q2107">
        <v>1</v>
      </c>
      <c r="R2107" t="s">
        <v>43170</v>
      </c>
      <c r="S2107" t="s">
        <v>43297</v>
      </c>
      <c r="T2107" t="s">
        <v>44734</v>
      </c>
      <c r="U2107" t="s">
        <v>46941</v>
      </c>
      <c r="V2107" t="s">
        <v>57067</v>
      </c>
      <c r="W2107" t="s">
        <v>40199</v>
      </c>
      <c r="X2107" t="s">
        <v>43171</v>
      </c>
    </row>
    <row r="2108" spans="1:24">
      <c r="A2108">
        <f>HYPERLINK("https://www.philgeps.gov.ph/GEPSNONPILOT/Tender/SplashBidNoticeAbstractUI.aspx?menuIndex=3&amp;refID=7085635&amp;Result=3","7085635")</f>
        <v>0</v>
      </c>
      <c r="B2108" t="s">
        <v>738</v>
      </c>
      <c r="C2108" t="s">
        <v>5058</v>
      </c>
      <c r="D2108" t="s">
        <v>17464</v>
      </c>
      <c r="E2108" t="s">
        <v>19361</v>
      </c>
      <c r="F2108" t="s">
        <v>30052</v>
      </c>
      <c r="G2108" t="s">
        <v>30059</v>
      </c>
      <c r="H2108" t="s">
        <v>15498</v>
      </c>
      <c r="I2108" t="s">
        <v>3736</v>
      </c>
      <c r="J2108" t="s">
        <v>31677</v>
      </c>
      <c r="K2108" t="s">
        <v>39025</v>
      </c>
      <c r="M2108" t="s">
        <v>40051</v>
      </c>
      <c r="N2108" t="s">
        <v>43166</v>
      </c>
      <c r="O2108" t="s">
        <v>43167</v>
      </c>
      <c r="P2108">
        <v>0</v>
      </c>
      <c r="Q2108">
        <v>1</v>
      </c>
      <c r="R2108" t="s">
        <v>43170</v>
      </c>
      <c r="S2108" t="s">
        <v>43297</v>
      </c>
      <c r="T2108" t="s">
        <v>44837</v>
      </c>
      <c r="U2108" t="s">
        <v>46942</v>
      </c>
      <c r="W2108" t="s">
        <v>40051</v>
      </c>
      <c r="X2108" t="s">
        <v>43171</v>
      </c>
    </row>
    <row r="2109" spans="1:24">
      <c r="A2109">
        <f>HYPERLINK("https://www.philgeps.gov.ph/GEPSNONPILOT/Tender/SplashBidNoticeAbstractUI.aspx?menuIndex=3&amp;refID=7085634&amp;Result=3","7085634")</f>
        <v>0</v>
      </c>
      <c r="B2109" t="s">
        <v>221</v>
      </c>
      <c r="C2109" t="s">
        <v>5436</v>
      </c>
      <c r="E2109" t="s">
        <v>19362</v>
      </c>
      <c r="F2109" t="s">
        <v>30052</v>
      </c>
      <c r="G2109" t="s">
        <v>30058</v>
      </c>
      <c r="H2109" t="s">
        <v>15498</v>
      </c>
      <c r="I2109" t="s">
        <v>7228</v>
      </c>
      <c r="J2109" t="s">
        <v>31678</v>
      </c>
      <c r="K2109" t="s">
        <v>39025</v>
      </c>
      <c r="M2109" t="s">
        <v>39511</v>
      </c>
      <c r="N2109" t="s">
        <v>43166</v>
      </c>
      <c r="O2109" t="s">
        <v>43167</v>
      </c>
      <c r="P2109">
        <v>0</v>
      </c>
      <c r="Q2109">
        <v>2</v>
      </c>
      <c r="R2109" t="s">
        <v>43170</v>
      </c>
      <c r="S2109" t="s">
        <v>43297</v>
      </c>
      <c r="T2109" t="s">
        <v>44901</v>
      </c>
      <c r="U2109" t="s">
        <v>46943</v>
      </c>
      <c r="V2109" t="s">
        <v>57068</v>
      </c>
      <c r="W2109" t="s">
        <v>39511</v>
      </c>
      <c r="X2109" t="s">
        <v>43171</v>
      </c>
    </row>
    <row r="2110" spans="1:24">
      <c r="A2110">
        <f>HYPERLINK("https://www.philgeps.gov.ph/GEPSNONPILOT/Tender/SplashBidNoticeAbstractUI.aspx?menuIndex=3&amp;refID=7085628&amp;Result=3","7085628")</f>
        <v>0</v>
      </c>
      <c r="B2110" t="s">
        <v>881</v>
      </c>
      <c r="C2110" t="s">
        <v>5437</v>
      </c>
      <c r="E2110" t="s">
        <v>5437</v>
      </c>
      <c r="F2110" t="s">
        <v>30052</v>
      </c>
      <c r="G2110" t="s">
        <v>30059</v>
      </c>
      <c r="H2110" t="s">
        <v>15498</v>
      </c>
      <c r="I2110" t="s">
        <v>30076</v>
      </c>
      <c r="J2110" t="s">
        <v>30277</v>
      </c>
      <c r="K2110" t="s">
        <v>39025</v>
      </c>
      <c r="M2110" t="s">
        <v>40200</v>
      </c>
      <c r="N2110" t="s">
        <v>43166</v>
      </c>
      <c r="O2110" t="s">
        <v>43167</v>
      </c>
      <c r="P2110">
        <v>0</v>
      </c>
      <c r="Q2110">
        <v>2</v>
      </c>
      <c r="R2110" t="s">
        <v>43170</v>
      </c>
      <c r="S2110" t="s">
        <v>43297</v>
      </c>
      <c r="T2110" t="s">
        <v>44777</v>
      </c>
      <c r="U2110" t="s">
        <v>46681</v>
      </c>
      <c r="W2110" t="s">
        <v>40200</v>
      </c>
      <c r="X2110" t="s">
        <v>43171</v>
      </c>
    </row>
    <row r="2111" spans="1:24">
      <c r="A2111">
        <f>HYPERLINK("https://www.philgeps.gov.ph/GEPSNONPILOT/Tender/SplashBidNoticeAbstractUI.aspx?menuIndex=3&amp;refID=7085624&amp;Result=3","7085624")</f>
        <v>0</v>
      </c>
      <c r="B2111" t="s">
        <v>882</v>
      </c>
      <c r="C2111" t="s">
        <v>5438</v>
      </c>
      <c r="D2111" t="s">
        <v>17476</v>
      </c>
      <c r="E2111" t="s">
        <v>19363</v>
      </c>
      <c r="F2111" t="s">
        <v>30052</v>
      </c>
      <c r="G2111" t="s">
        <v>30059</v>
      </c>
      <c r="H2111" t="s">
        <v>30067</v>
      </c>
      <c r="I2111" t="s">
        <v>3693</v>
      </c>
      <c r="J2111" t="s">
        <v>31679</v>
      </c>
      <c r="K2111" t="s">
        <v>39086</v>
      </c>
      <c r="M2111" t="s">
        <v>40201</v>
      </c>
      <c r="N2111" t="s">
        <v>43166</v>
      </c>
      <c r="O2111" t="s">
        <v>43167</v>
      </c>
      <c r="P2111">
        <v>0</v>
      </c>
      <c r="Q2111">
        <v>0</v>
      </c>
      <c r="R2111" t="s">
        <v>43170</v>
      </c>
      <c r="S2111" t="s">
        <v>43297</v>
      </c>
      <c r="T2111" t="s">
        <v>44844</v>
      </c>
      <c r="U2111" t="s">
        <v>46944</v>
      </c>
      <c r="W2111" t="s">
        <v>40201</v>
      </c>
      <c r="X2111" t="s">
        <v>43171</v>
      </c>
    </row>
    <row r="2112" spans="1:24">
      <c r="A2112">
        <f>HYPERLINK("https://www.philgeps.gov.ph/GEPSNONPILOT/Tender/SplashBidNoticeAbstractUI.aspx?menuIndex=3&amp;refID=7085579&amp;Result=3","7085579")</f>
        <v>0</v>
      </c>
      <c r="B2112" t="s">
        <v>603</v>
      </c>
      <c r="C2112" t="s">
        <v>5439</v>
      </c>
      <c r="D2112" t="s">
        <v>17441</v>
      </c>
      <c r="E2112" t="s">
        <v>19364</v>
      </c>
      <c r="F2112" t="s">
        <v>30052</v>
      </c>
      <c r="G2112" t="s">
        <v>30059</v>
      </c>
      <c r="H2112" t="s">
        <v>15498</v>
      </c>
      <c r="I2112" t="s">
        <v>30081</v>
      </c>
      <c r="J2112" t="s">
        <v>31680</v>
      </c>
      <c r="K2112" t="s">
        <v>39025</v>
      </c>
      <c r="L2112" t="s">
        <v>603</v>
      </c>
      <c r="M2112" t="s">
        <v>39905</v>
      </c>
      <c r="N2112" t="s">
        <v>43166</v>
      </c>
      <c r="O2112" t="s">
        <v>43167</v>
      </c>
      <c r="P2112">
        <v>0</v>
      </c>
      <c r="Q2112">
        <v>0</v>
      </c>
      <c r="R2112" t="s">
        <v>43170</v>
      </c>
      <c r="S2112" t="s">
        <v>43297</v>
      </c>
      <c r="T2112" t="s">
        <v>44714</v>
      </c>
      <c r="U2112" t="s">
        <v>46375</v>
      </c>
      <c r="W2112" t="s">
        <v>39905</v>
      </c>
      <c r="X2112" t="s">
        <v>43171</v>
      </c>
    </row>
    <row r="2113" spans="1:24">
      <c r="A2113">
        <f>HYPERLINK("https://www.philgeps.gov.ph/GEPSNONPILOT/Tender/SplashBidNoticeAbstractUI.aspx?menuIndex=3&amp;refID=7085641&amp;Result=3","7085641")</f>
        <v>0</v>
      </c>
      <c r="B2113" t="s">
        <v>767</v>
      </c>
      <c r="C2113" t="s">
        <v>5232</v>
      </c>
      <c r="D2113" t="s">
        <v>17487</v>
      </c>
      <c r="E2113" t="s">
        <v>19365</v>
      </c>
      <c r="F2113" t="s">
        <v>30052</v>
      </c>
      <c r="G2113" t="s">
        <v>30059</v>
      </c>
      <c r="H2113" t="s">
        <v>15498</v>
      </c>
      <c r="I2113" t="s">
        <v>30081</v>
      </c>
      <c r="J2113" t="s">
        <v>30248</v>
      </c>
      <c r="K2113" t="s">
        <v>39029</v>
      </c>
      <c r="M2113" t="s">
        <v>40081</v>
      </c>
      <c r="N2113" t="s">
        <v>43166</v>
      </c>
      <c r="O2113" t="s">
        <v>43167</v>
      </c>
      <c r="P2113">
        <v>0</v>
      </c>
      <c r="Q2113">
        <v>1</v>
      </c>
      <c r="R2113" t="s">
        <v>43170</v>
      </c>
      <c r="S2113" t="s">
        <v>43297</v>
      </c>
      <c r="T2113" t="s">
        <v>44856</v>
      </c>
      <c r="U2113" t="s">
        <v>46945</v>
      </c>
      <c r="V2113" t="s">
        <v>57027</v>
      </c>
      <c r="W2113" t="s">
        <v>40081</v>
      </c>
      <c r="X2113" t="s">
        <v>43171</v>
      </c>
    </row>
    <row r="2114" spans="1:24">
      <c r="A2114">
        <f>HYPERLINK("https://www.philgeps.gov.ph/GEPSNONPILOT/Tender/SplashBidNoticeAbstractUI.aspx?menuIndex=3&amp;refID=7085630&amp;Result=3","7085630")</f>
        <v>0</v>
      </c>
      <c r="B2114" t="s">
        <v>883</v>
      </c>
      <c r="C2114" t="s">
        <v>5440</v>
      </c>
      <c r="D2114" t="s">
        <v>17464</v>
      </c>
      <c r="E2114" t="s">
        <v>17760</v>
      </c>
      <c r="F2114" t="s">
        <v>30055</v>
      </c>
      <c r="G2114" t="s">
        <v>30059</v>
      </c>
      <c r="H2114" t="s">
        <v>30068</v>
      </c>
      <c r="I2114" t="s">
        <v>30068</v>
      </c>
      <c r="J2114" t="s">
        <v>30350</v>
      </c>
      <c r="K2114" t="s">
        <v>39029</v>
      </c>
      <c r="M2114" t="s">
        <v>40202</v>
      </c>
      <c r="N2114" t="s">
        <v>43166</v>
      </c>
      <c r="O2114" t="s">
        <v>43167</v>
      </c>
      <c r="P2114">
        <v>0</v>
      </c>
      <c r="Q2114">
        <v>5</v>
      </c>
      <c r="R2114" t="s">
        <v>43170</v>
      </c>
      <c r="S2114" t="s">
        <v>43297</v>
      </c>
      <c r="T2114" t="s">
        <v>44724</v>
      </c>
      <c r="U2114" t="s">
        <v>46946</v>
      </c>
      <c r="W2114" t="s">
        <v>40202</v>
      </c>
      <c r="X2114" t="s">
        <v>43171</v>
      </c>
    </row>
    <row r="2115" spans="1:24">
      <c r="A2115">
        <f>HYPERLINK("https://www.philgeps.gov.ph/GEPSNONPILOT/Tender/SplashBidNoticeAbstractUI.aspx?menuIndex=3&amp;refID=7085574&amp;Result=3","7085574")</f>
        <v>0</v>
      </c>
      <c r="B2115" t="s">
        <v>221</v>
      </c>
      <c r="C2115" t="s">
        <v>5441</v>
      </c>
      <c r="E2115" t="s">
        <v>19366</v>
      </c>
      <c r="F2115" t="s">
        <v>30052</v>
      </c>
      <c r="G2115" t="s">
        <v>30058</v>
      </c>
      <c r="H2115" t="s">
        <v>30067</v>
      </c>
      <c r="I2115" t="s">
        <v>3693</v>
      </c>
      <c r="J2115" t="s">
        <v>31681</v>
      </c>
      <c r="K2115" t="s">
        <v>39025</v>
      </c>
      <c r="M2115" t="s">
        <v>39511</v>
      </c>
      <c r="N2115" t="s">
        <v>43166</v>
      </c>
      <c r="O2115" t="s">
        <v>43167</v>
      </c>
      <c r="P2115">
        <v>0</v>
      </c>
      <c r="Q2115">
        <v>3</v>
      </c>
      <c r="R2115" t="s">
        <v>43170</v>
      </c>
      <c r="S2115" t="s">
        <v>43297</v>
      </c>
      <c r="T2115" t="s">
        <v>44901</v>
      </c>
      <c r="U2115" t="s">
        <v>46947</v>
      </c>
      <c r="V2115" t="s">
        <v>57069</v>
      </c>
      <c r="W2115" t="s">
        <v>39511</v>
      </c>
      <c r="X2115" t="s">
        <v>43171</v>
      </c>
    </row>
    <row r="2116" spans="1:24">
      <c r="A2116">
        <f>HYPERLINK("https://www.philgeps.gov.ph/GEPSNONPILOT/Tender/SplashBidNoticeAbstractUI.aspx?menuIndex=3&amp;refID=7085623&amp;Result=3","7085623")</f>
        <v>0</v>
      </c>
      <c r="B2116" t="s">
        <v>874</v>
      </c>
      <c r="C2116" t="s">
        <v>5442</v>
      </c>
      <c r="D2116" t="s">
        <v>17428</v>
      </c>
      <c r="E2116" t="s">
        <v>19367</v>
      </c>
      <c r="F2116" t="s">
        <v>30052</v>
      </c>
      <c r="G2116" t="s">
        <v>30058</v>
      </c>
      <c r="H2116" t="s">
        <v>30067</v>
      </c>
      <c r="I2116" t="s">
        <v>3693</v>
      </c>
      <c r="J2116" t="s">
        <v>31682</v>
      </c>
      <c r="K2116" t="s">
        <v>39019</v>
      </c>
      <c r="M2116" t="s">
        <v>40193</v>
      </c>
      <c r="N2116" t="s">
        <v>43166</v>
      </c>
      <c r="O2116" t="s">
        <v>43167</v>
      </c>
      <c r="P2116">
        <v>0</v>
      </c>
      <c r="Q2116">
        <v>0</v>
      </c>
      <c r="R2116" t="s">
        <v>43170</v>
      </c>
      <c r="S2116" t="s">
        <v>43297</v>
      </c>
      <c r="T2116" t="s">
        <v>44828</v>
      </c>
      <c r="U2116" t="s">
        <v>46948</v>
      </c>
      <c r="W2116" t="s">
        <v>40193</v>
      </c>
      <c r="X2116" t="s">
        <v>43171</v>
      </c>
    </row>
    <row r="2117" spans="1:24">
      <c r="A2117">
        <f>HYPERLINK("https://www.philgeps.gov.ph/GEPSNONPILOT/Tender/SplashBidNoticeAbstractUI.aspx?menuIndex=3&amp;refID=7085619&amp;Result=3","7085619")</f>
        <v>0</v>
      </c>
      <c r="B2117" t="s">
        <v>884</v>
      </c>
      <c r="C2117" t="s">
        <v>5443</v>
      </c>
      <c r="D2117" t="s">
        <v>17459</v>
      </c>
      <c r="E2117" t="s">
        <v>19368</v>
      </c>
      <c r="F2117" t="s">
        <v>30052</v>
      </c>
      <c r="G2117" t="s">
        <v>30059</v>
      </c>
      <c r="H2117" t="s">
        <v>15498</v>
      </c>
      <c r="I2117" t="s">
        <v>30070</v>
      </c>
      <c r="J2117" t="s">
        <v>31683</v>
      </c>
      <c r="K2117" t="s">
        <v>39029</v>
      </c>
      <c r="M2117" t="s">
        <v>40203</v>
      </c>
      <c r="N2117" t="s">
        <v>43166</v>
      </c>
      <c r="O2117" t="s">
        <v>43167</v>
      </c>
      <c r="P2117">
        <v>0</v>
      </c>
      <c r="Q2117">
        <v>3</v>
      </c>
      <c r="R2117" t="s">
        <v>43170</v>
      </c>
      <c r="S2117" t="s">
        <v>43297</v>
      </c>
      <c r="T2117" t="s">
        <v>44862</v>
      </c>
      <c r="U2117" t="s">
        <v>46949</v>
      </c>
      <c r="V2117" t="s">
        <v>57070</v>
      </c>
      <c r="W2117" t="s">
        <v>40203</v>
      </c>
      <c r="X2117" t="s">
        <v>43171</v>
      </c>
    </row>
    <row r="2118" spans="1:24">
      <c r="A2118">
        <f>HYPERLINK("https://www.philgeps.gov.ph/GEPSNONPILOT/Tender/SplashBidNoticeAbstractUI.aspx?menuIndex=3&amp;refID=7085536&amp;Result=3","7085536")</f>
        <v>0</v>
      </c>
      <c r="B2118" t="s">
        <v>696</v>
      </c>
      <c r="C2118" t="s">
        <v>5444</v>
      </c>
      <c r="D2118" t="s">
        <v>17432</v>
      </c>
      <c r="E2118" t="s">
        <v>19369</v>
      </c>
      <c r="F2118" t="s">
        <v>30052</v>
      </c>
      <c r="G2118" t="s">
        <v>30059</v>
      </c>
      <c r="H2118" t="s">
        <v>15498</v>
      </c>
      <c r="I2118" t="s">
        <v>30128</v>
      </c>
      <c r="J2118" t="s">
        <v>30207</v>
      </c>
      <c r="K2118" t="s">
        <v>39064</v>
      </c>
      <c r="M2118" t="s">
        <v>40004</v>
      </c>
      <c r="N2118" t="s">
        <v>43166</v>
      </c>
      <c r="O2118" t="s">
        <v>43167</v>
      </c>
      <c r="P2118">
        <v>0</v>
      </c>
      <c r="Q2118">
        <v>1</v>
      </c>
      <c r="R2118" t="s">
        <v>43170</v>
      </c>
      <c r="S2118" t="s">
        <v>43297</v>
      </c>
      <c r="T2118" t="s">
        <v>44806</v>
      </c>
      <c r="U2118" t="s">
        <v>46950</v>
      </c>
      <c r="W2118" t="s">
        <v>40004</v>
      </c>
      <c r="X2118" t="s">
        <v>43171</v>
      </c>
    </row>
    <row r="2119" spans="1:24">
      <c r="A2119">
        <f>HYPERLINK("https://www.philgeps.gov.ph/GEPSNONPILOT/Tender/SplashBidNoticeAbstractUI.aspx?menuIndex=3&amp;refID=7085614&amp;Result=3","7085614")</f>
        <v>0</v>
      </c>
      <c r="B2119" t="s">
        <v>860</v>
      </c>
      <c r="C2119" t="s">
        <v>5445</v>
      </c>
      <c r="D2119" t="s">
        <v>17484</v>
      </c>
      <c r="E2119" t="s">
        <v>19370</v>
      </c>
      <c r="F2119" t="s">
        <v>30052</v>
      </c>
      <c r="G2119" t="s">
        <v>30058</v>
      </c>
      <c r="H2119" t="s">
        <v>15498</v>
      </c>
      <c r="I2119" t="s">
        <v>30092</v>
      </c>
      <c r="J2119" t="s">
        <v>31684</v>
      </c>
      <c r="K2119" t="s">
        <v>39029</v>
      </c>
      <c r="M2119" t="s">
        <v>40177</v>
      </c>
      <c r="N2119" t="s">
        <v>43166</v>
      </c>
      <c r="O2119" t="s">
        <v>43167</v>
      </c>
      <c r="P2119">
        <v>0</v>
      </c>
      <c r="Q2119">
        <v>0</v>
      </c>
      <c r="R2119" t="s">
        <v>43170</v>
      </c>
      <c r="S2119" t="s">
        <v>43297</v>
      </c>
      <c r="T2119" t="s">
        <v>44684</v>
      </c>
      <c r="U2119" t="s">
        <v>46900</v>
      </c>
      <c r="W2119" t="s">
        <v>40177</v>
      </c>
      <c r="X2119" t="s">
        <v>43171</v>
      </c>
    </row>
    <row r="2120" spans="1:24">
      <c r="A2120">
        <f>HYPERLINK("https://www.philgeps.gov.ph/GEPSNONPILOT/Tender/SplashBidNoticeAbstractUI.aspx?menuIndex=3&amp;refID=7085618&amp;Result=3","7085618")</f>
        <v>0</v>
      </c>
      <c r="B2120" t="s">
        <v>221</v>
      </c>
      <c r="C2120" t="s">
        <v>5446</v>
      </c>
      <c r="E2120" t="s">
        <v>19371</v>
      </c>
      <c r="F2120" t="s">
        <v>30052</v>
      </c>
      <c r="G2120" t="s">
        <v>30058</v>
      </c>
      <c r="H2120" t="s">
        <v>15498</v>
      </c>
      <c r="I2120" t="s">
        <v>3606</v>
      </c>
      <c r="J2120" t="s">
        <v>31685</v>
      </c>
      <c r="K2120" t="s">
        <v>39025</v>
      </c>
      <c r="M2120" t="s">
        <v>39511</v>
      </c>
      <c r="N2120" t="s">
        <v>43166</v>
      </c>
      <c r="O2120" t="s">
        <v>43167</v>
      </c>
      <c r="P2120">
        <v>0</v>
      </c>
      <c r="Q2120">
        <v>6</v>
      </c>
      <c r="R2120" t="s">
        <v>43170</v>
      </c>
      <c r="S2120" t="s">
        <v>43297</v>
      </c>
      <c r="T2120" t="s">
        <v>44901</v>
      </c>
      <c r="U2120" t="s">
        <v>46928</v>
      </c>
      <c r="V2120" t="s">
        <v>57071</v>
      </c>
      <c r="W2120" t="s">
        <v>39511</v>
      </c>
      <c r="X2120" t="s">
        <v>43171</v>
      </c>
    </row>
    <row r="2121" spans="1:24">
      <c r="A2121">
        <f>HYPERLINK("https://www.philgeps.gov.ph/GEPSNONPILOT/Tender/SplashBidNoticeAbstractUI.aspx?menuIndex=3&amp;refID=7085622&amp;Result=3","7085622")</f>
        <v>0</v>
      </c>
      <c r="B2121" t="s">
        <v>777</v>
      </c>
      <c r="C2121" t="s">
        <v>5447</v>
      </c>
      <c r="E2121" t="s">
        <v>19372</v>
      </c>
      <c r="F2121" t="s">
        <v>30052</v>
      </c>
      <c r="G2121" t="s">
        <v>30059</v>
      </c>
      <c r="H2121" t="s">
        <v>15498</v>
      </c>
      <c r="I2121" t="s">
        <v>3736</v>
      </c>
      <c r="J2121" t="s">
        <v>31686</v>
      </c>
      <c r="K2121" t="s">
        <v>39025</v>
      </c>
      <c r="M2121" t="s">
        <v>40092</v>
      </c>
      <c r="N2121" t="s">
        <v>43166</v>
      </c>
      <c r="O2121" t="s">
        <v>43167</v>
      </c>
      <c r="P2121">
        <v>0</v>
      </c>
      <c r="Q2121">
        <v>0</v>
      </c>
      <c r="R2121" t="s">
        <v>43170</v>
      </c>
      <c r="S2121" t="s">
        <v>43297</v>
      </c>
      <c r="T2121" t="s">
        <v>44856</v>
      </c>
      <c r="U2121" t="s">
        <v>46951</v>
      </c>
      <c r="W2121" t="s">
        <v>40092</v>
      </c>
      <c r="X2121" t="s">
        <v>43171</v>
      </c>
    </row>
    <row r="2122" spans="1:24">
      <c r="A2122">
        <f>HYPERLINK("https://www.philgeps.gov.ph/GEPSNONPILOT/Tender/SplashBidNoticeAbstractUI.aspx?menuIndex=3&amp;refID=7085642&amp;Result=3","7085642")</f>
        <v>0</v>
      </c>
      <c r="B2122" t="s">
        <v>885</v>
      </c>
      <c r="C2122" t="s">
        <v>5448</v>
      </c>
      <c r="D2122" t="s">
        <v>17424</v>
      </c>
      <c r="E2122" t="s">
        <v>19373</v>
      </c>
      <c r="F2122" t="s">
        <v>30052</v>
      </c>
      <c r="G2122" t="s">
        <v>30059</v>
      </c>
      <c r="H2122" t="s">
        <v>15498</v>
      </c>
      <c r="I2122" t="s">
        <v>12885</v>
      </c>
      <c r="J2122" t="s">
        <v>31687</v>
      </c>
      <c r="K2122" t="s">
        <v>39029</v>
      </c>
      <c r="M2122" t="s">
        <v>40204</v>
      </c>
      <c r="N2122" t="s">
        <v>43166</v>
      </c>
      <c r="O2122" t="s">
        <v>43167</v>
      </c>
      <c r="P2122">
        <v>0</v>
      </c>
      <c r="Q2122">
        <v>5</v>
      </c>
      <c r="R2122" t="s">
        <v>43170</v>
      </c>
      <c r="S2122" t="s">
        <v>43297</v>
      </c>
      <c r="T2122" t="s">
        <v>44864</v>
      </c>
      <c r="U2122" t="s">
        <v>46952</v>
      </c>
      <c r="W2122" t="s">
        <v>58616</v>
      </c>
      <c r="X2122" t="s">
        <v>43171</v>
      </c>
    </row>
    <row r="2123" spans="1:24">
      <c r="A2123">
        <f>HYPERLINK("https://www.philgeps.gov.ph/GEPSNONPILOT/Tender/SplashBidNoticeAbstractUI.aspx?menuIndex=3&amp;refID=7085535&amp;Result=3","7085535")</f>
        <v>0</v>
      </c>
      <c r="B2123" t="s">
        <v>878</v>
      </c>
      <c r="C2123" t="s">
        <v>5449</v>
      </c>
      <c r="D2123" t="s">
        <v>17416</v>
      </c>
      <c r="E2123" t="s">
        <v>19374</v>
      </c>
      <c r="F2123" t="s">
        <v>30052</v>
      </c>
      <c r="G2123" t="s">
        <v>30058</v>
      </c>
      <c r="H2123" t="s">
        <v>15498</v>
      </c>
      <c r="I2123" t="s">
        <v>4119</v>
      </c>
      <c r="J2123" t="s">
        <v>31284</v>
      </c>
      <c r="K2123" t="s">
        <v>39029</v>
      </c>
      <c r="M2123" t="s">
        <v>40197</v>
      </c>
      <c r="N2123" t="s">
        <v>43166</v>
      </c>
      <c r="O2123" t="s">
        <v>43167</v>
      </c>
      <c r="P2123">
        <v>0</v>
      </c>
      <c r="Q2123">
        <v>2</v>
      </c>
      <c r="R2123" t="s">
        <v>43170</v>
      </c>
      <c r="S2123" t="s">
        <v>43297</v>
      </c>
      <c r="T2123" t="s">
        <v>44730</v>
      </c>
      <c r="U2123" t="s">
        <v>46953</v>
      </c>
      <c r="W2123" t="s">
        <v>40197</v>
      </c>
      <c r="X2123" t="s">
        <v>43171</v>
      </c>
    </row>
    <row r="2124" spans="1:24">
      <c r="A2124">
        <f>HYPERLINK("https://www.philgeps.gov.ph/GEPSNONPILOT/Tender/SplashBidNoticeAbstractUI.aspx?menuIndex=3&amp;refID=7085533&amp;Result=3","7085533")</f>
        <v>0</v>
      </c>
      <c r="B2124" t="s">
        <v>603</v>
      </c>
      <c r="C2124" t="s">
        <v>5450</v>
      </c>
      <c r="D2124" t="s">
        <v>17441</v>
      </c>
      <c r="E2124" t="s">
        <v>19375</v>
      </c>
      <c r="F2124" t="s">
        <v>30052</v>
      </c>
      <c r="G2124" t="s">
        <v>30059</v>
      </c>
      <c r="H2124" t="s">
        <v>15498</v>
      </c>
      <c r="I2124" t="s">
        <v>9238</v>
      </c>
      <c r="J2124" t="s">
        <v>31688</v>
      </c>
      <c r="K2124" t="s">
        <v>39025</v>
      </c>
      <c r="L2124" t="s">
        <v>603</v>
      </c>
      <c r="M2124" t="s">
        <v>39905</v>
      </c>
      <c r="N2124" t="s">
        <v>43166</v>
      </c>
      <c r="O2124" t="s">
        <v>43167</v>
      </c>
      <c r="P2124">
        <v>0</v>
      </c>
      <c r="Q2124">
        <v>9</v>
      </c>
      <c r="R2124" t="s">
        <v>43170</v>
      </c>
      <c r="S2124" t="s">
        <v>43297</v>
      </c>
      <c r="T2124" t="s">
        <v>44714</v>
      </c>
      <c r="U2124" t="s">
        <v>46375</v>
      </c>
      <c r="W2124" t="s">
        <v>39905</v>
      </c>
      <c r="X2124" t="s">
        <v>43171</v>
      </c>
    </row>
    <row r="2125" spans="1:24">
      <c r="A2125">
        <f>HYPERLINK("https://www.philgeps.gov.ph/GEPSNONPILOT/Tender/SplashBidNoticeAbstractUI.aspx?menuIndex=3&amp;refID=7085494&amp;Result=3","7085494")</f>
        <v>0</v>
      </c>
      <c r="B2125" t="s">
        <v>843</v>
      </c>
      <c r="C2125" t="s">
        <v>5451</v>
      </c>
      <c r="D2125" t="s">
        <v>17421</v>
      </c>
      <c r="E2125" t="s">
        <v>19376</v>
      </c>
      <c r="F2125" t="s">
        <v>30052</v>
      </c>
      <c r="G2125" t="s">
        <v>30058</v>
      </c>
      <c r="H2125" t="s">
        <v>15498</v>
      </c>
      <c r="I2125" t="s">
        <v>30070</v>
      </c>
      <c r="J2125" t="s">
        <v>31689</v>
      </c>
      <c r="K2125" t="s">
        <v>39019</v>
      </c>
      <c r="M2125" t="s">
        <v>40160</v>
      </c>
      <c r="N2125" t="s">
        <v>43166</v>
      </c>
      <c r="O2125" t="s">
        <v>43167</v>
      </c>
      <c r="P2125">
        <v>0</v>
      </c>
      <c r="Q2125">
        <v>2</v>
      </c>
      <c r="R2125" t="s">
        <v>43170</v>
      </c>
      <c r="S2125" t="s">
        <v>43297</v>
      </c>
      <c r="T2125" t="s">
        <v>44721</v>
      </c>
      <c r="U2125" t="s">
        <v>46954</v>
      </c>
      <c r="W2125" t="s">
        <v>40160</v>
      </c>
      <c r="X2125" t="s">
        <v>43171</v>
      </c>
    </row>
    <row r="2126" spans="1:24">
      <c r="A2126">
        <f>HYPERLINK("https://www.philgeps.gov.ph/GEPSNONPILOT/Tender/SplashBidNoticeAbstractUI.aspx?menuIndex=3&amp;refID=7085617&amp;Result=3","7085617")</f>
        <v>0</v>
      </c>
      <c r="B2126" t="s">
        <v>867</v>
      </c>
      <c r="C2126" t="s">
        <v>5452</v>
      </c>
      <c r="D2126" t="s">
        <v>17453</v>
      </c>
      <c r="E2126" t="s">
        <v>17650</v>
      </c>
      <c r="F2126" t="s">
        <v>30052</v>
      </c>
      <c r="G2126" t="s">
        <v>30058</v>
      </c>
      <c r="H2126" t="s">
        <v>30067</v>
      </c>
      <c r="I2126" t="s">
        <v>3693</v>
      </c>
      <c r="J2126" t="s">
        <v>30207</v>
      </c>
      <c r="K2126" t="s">
        <v>39029</v>
      </c>
      <c r="L2126" t="s">
        <v>867</v>
      </c>
      <c r="M2126" t="s">
        <v>40186</v>
      </c>
      <c r="N2126" t="s">
        <v>43166</v>
      </c>
      <c r="O2126" t="s">
        <v>43167</v>
      </c>
      <c r="P2126">
        <v>0</v>
      </c>
      <c r="Q2126">
        <v>0</v>
      </c>
      <c r="R2126" t="s">
        <v>43170</v>
      </c>
      <c r="S2126" t="s">
        <v>43297</v>
      </c>
      <c r="T2126" t="s">
        <v>44681</v>
      </c>
      <c r="U2126" t="s">
        <v>46955</v>
      </c>
      <c r="W2126" t="s">
        <v>40186</v>
      </c>
      <c r="X2126" t="s">
        <v>43171</v>
      </c>
    </row>
    <row r="2127" spans="1:24">
      <c r="A2127">
        <f>HYPERLINK("https://www.philgeps.gov.ph/GEPSNONPILOT/Tender/SplashBidNoticeAbstractUI.aspx?menuIndex=3&amp;refID=7085615&amp;Result=3","7085615")</f>
        <v>0</v>
      </c>
      <c r="B2127" t="s">
        <v>838</v>
      </c>
      <c r="C2127" t="s">
        <v>5453</v>
      </c>
      <c r="D2127" t="s">
        <v>17419</v>
      </c>
      <c r="E2127" t="s">
        <v>19377</v>
      </c>
      <c r="F2127" t="s">
        <v>30052</v>
      </c>
      <c r="G2127" t="s">
        <v>30061</v>
      </c>
      <c r="H2127" t="s">
        <v>15498</v>
      </c>
      <c r="I2127" t="s">
        <v>4650</v>
      </c>
      <c r="J2127" t="s">
        <v>31690</v>
      </c>
      <c r="K2127" t="s">
        <v>39029</v>
      </c>
      <c r="M2127" t="s">
        <v>40155</v>
      </c>
      <c r="N2127" t="s">
        <v>43166</v>
      </c>
      <c r="O2127" t="s">
        <v>43167</v>
      </c>
      <c r="P2127">
        <v>0</v>
      </c>
      <c r="Q2127">
        <v>1</v>
      </c>
      <c r="R2127" t="s">
        <v>43170</v>
      </c>
      <c r="S2127" t="s">
        <v>43297</v>
      </c>
      <c r="T2127" t="s">
        <v>44681</v>
      </c>
      <c r="U2127" t="s">
        <v>46956</v>
      </c>
      <c r="W2127" t="s">
        <v>40155</v>
      </c>
      <c r="X2127" t="s">
        <v>43171</v>
      </c>
    </row>
    <row r="2128" spans="1:24">
      <c r="A2128">
        <f>HYPERLINK("https://www.philgeps.gov.ph/GEPSNONPILOT/Tender/SplashBidNoticeAbstractUI.aspx?menuIndex=3&amp;refID=7085610&amp;Result=3","7085610")</f>
        <v>0</v>
      </c>
      <c r="B2128" t="s">
        <v>603</v>
      </c>
      <c r="C2128" t="s">
        <v>5454</v>
      </c>
      <c r="D2128" t="s">
        <v>17441</v>
      </c>
      <c r="E2128" t="s">
        <v>19378</v>
      </c>
      <c r="F2128" t="s">
        <v>30052</v>
      </c>
      <c r="G2128" t="s">
        <v>30059</v>
      </c>
      <c r="H2128" t="s">
        <v>15498</v>
      </c>
      <c r="I2128" t="s">
        <v>4650</v>
      </c>
      <c r="J2128" t="s">
        <v>31691</v>
      </c>
      <c r="K2128" t="s">
        <v>39025</v>
      </c>
      <c r="L2128" t="s">
        <v>603</v>
      </c>
      <c r="M2128" t="s">
        <v>39905</v>
      </c>
      <c r="N2128" t="s">
        <v>43166</v>
      </c>
      <c r="O2128" t="s">
        <v>43167</v>
      </c>
      <c r="P2128">
        <v>0</v>
      </c>
      <c r="Q2128">
        <v>1</v>
      </c>
      <c r="R2128" t="s">
        <v>43170</v>
      </c>
      <c r="S2128" t="s">
        <v>43297</v>
      </c>
      <c r="T2128" t="s">
        <v>44714</v>
      </c>
      <c r="U2128" t="s">
        <v>46375</v>
      </c>
      <c r="W2128" t="s">
        <v>39905</v>
      </c>
      <c r="X2128" t="s">
        <v>43171</v>
      </c>
    </row>
    <row r="2129" spans="1:24">
      <c r="A2129">
        <f>HYPERLINK("https://www.philgeps.gov.ph/GEPSNONPILOT/Tender/SplashBidNoticeAbstractUI.aspx?menuIndex=3&amp;refID=7085307&amp;Result=3","7085307")</f>
        <v>0</v>
      </c>
      <c r="B2129" t="s">
        <v>694</v>
      </c>
      <c r="C2129" t="s">
        <v>5455</v>
      </c>
      <c r="D2129" t="s">
        <v>17476</v>
      </c>
      <c r="E2129" t="s">
        <v>19379</v>
      </c>
      <c r="F2129" t="s">
        <v>30052</v>
      </c>
      <c r="G2129" t="s">
        <v>30059</v>
      </c>
      <c r="H2129" t="s">
        <v>15498</v>
      </c>
      <c r="I2129" t="s">
        <v>3736</v>
      </c>
      <c r="J2129" t="s">
        <v>31692</v>
      </c>
      <c r="K2129" t="s">
        <v>39064</v>
      </c>
      <c r="M2129" t="s">
        <v>40001</v>
      </c>
      <c r="N2129" t="s">
        <v>43166</v>
      </c>
      <c r="O2129" t="s">
        <v>43167</v>
      </c>
      <c r="P2129">
        <v>0</v>
      </c>
      <c r="Q2129">
        <v>0</v>
      </c>
      <c r="R2129" t="s">
        <v>43170</v>
      </c>
      <c r="S2129" t="s">
        <v>43297</v>
      </c>
      <c r="T2129" t="s">
        <v>44844</v>
      </c>
      <c r="U2129" t="s">
        <v>46957</v>
      </c>
      <c r="W2129" t="s">
        <v>40001</v>
      </c>
      <c r="X2129" t="s">
        <v>43171</v>
      </c>
    </row>
    <row r="2130" spans="1:24">
      <c r="A2130">
        <f>HYPERLINK("https://www.philgeps.gov.ph/GEPSNONPILOT/Tender/SplashBidNoticeAbstractUI.aspx?menuIndex=3&amp;refID=7085499&amp;Result=3","7085499")</f>
        <v>0</v>
      </c>
      <c r="B2130" t="s">
        <v>886</v>
      </c>
      <c r="C2130" t="s">
        <v>5456</v>
      </c>
      <c r="D2130" t="s">
        <v>17419</v>
      </c>
      <c r="E2130" t="s">
        <v>19380</v>
      </c>
      <c r="F2130" t="s">
        <v>30052</v>
      </c>
      <c r="G2130" t="s">
        <v>30059</v>
      </c>
      <c r="H2130" t="s">
        <v>15498</v>
      </c>
      <c r="I2130" t="s">
        <v>30074</v>
      </c>
      <c r="J2130" t="s">
        <v>30287</v>
      </c>
      <c r="K2130" t="s">
        <v>39036</v>
      </c>
      <c r="M2130" t="s">
        <v>40205</v>
      </c>
      <c r="N2130" t="s">
        <v>43166</v>
      </c>
      <c r="O2130" t="s">
        <v>43167</v>
      </c>
      <c r="P2130">
        <v>0</v>
      </c>
      <c r="Q2130">
        <v>0</v>
      </c>
      <c r="R2130" t="s">
        <v>43170</v>
      </c>
      <c r="S2130" t="s">
        <v>43297</v>
      </c>
      <c r="T2130" t="s">
        <v>44856</v>
      </c>
      <c r="U2130" t="s">
        <v>46958</v>
      </c>
      <c r="W2130" t="s">
        <v>40205</v>
      </c>
      <c r="X2130" t="s">
        <v>43171</v>
      </c>
    </row>
    <row r="2131" spans="1:24">
      <c r="A2131">
        <f>HYPERLINK("https://www.philgeps.gov.ph/GEPSNONPILOT/Tender/SplashBidNoticeAbstractUI.aspx?menuIndex=3&amp;refID=7085532&amp;Result=3","7085532")</f>
        <v>0</v>
      </c>
      <c r="B2131" t="s">
        <v>541</v>
      </c>
      <c r="C2131" t="s">
        <v>4865</v>
      </c>
      <c r="D2131" t="s">
        <v>17458</v>
      </c>
      <c r="E2131" t="s">
        <v>19381</v>
      </c>
      <c r="F2131" t="s">
        <v>30052</v>
      </c>
      <c r="G2131" t="s">
        <v>30062</v>
      </c>
      <c r="H2131" t="s">
        <v>15498</v>
      </c>
      <c r="I2131" t="s">
        <v>30070</v>
      </c>
      <c r="J2131" t="s">
        <v>31693</v>
      </c>
      <c r="K2131" t="s">
        <v>39017</v>
      </c>
      <c r="M2131" t="s">
        <v>39843</v>
      </c>
      <c r="N2131" t="s">
        <v>43166</v>
      </c>
      <c r="O2131" t="s">
        <v>43167</v>
      </c>
      <c r="P2131">
        <v>0</v>
      </c>
      <c r="Q2131">
        <v>1</v>
      </c>
      <c r="R2131" t="s">
        <v>43170</v>
      </c>
      <c r="S2131" t="s">
        <v>43297</v>
      </c>
      <c r="T2131" t="s">
        <v>44773</v>
      </c>
      <c r="U2131" t="s">
        <v>46789</v>
      </c>
      <c r="W2131" t="s">
        <v>58604</v>
      </c>
      <c r="X2131" t="s">
        <v>43171</v>
      </c>
    </row>
    <row r="2132" spans="1:24">
      <c r="A2132">
        <f>HYPERLINK("https://www.philgeps.gov.ph/GEPSNONPILOT/Tender/SplashBidNoticeAbstractUI.aspx?menuIndex=3&amp;refID=7085493&amp;Result=3","7085493")</f>
        <v>0</v>
      </c>
      <c r="B2132" t="s">
        <v>765</v>
      </c>
      <c r="C2132" t="s">
        <v>5457</v>
      </c>
      <c r="D2132" t="s">
        <v>17468</v>
      </c>
      <c r="E2132" t="s">
        <v>19382</v>
      </c>
      <c r="F2132" t="s">
        <v>30052</v>
      </c>
      <c r="G2132" t="s">
        <v>30059</v>
      </c>
      <c r="H2132" t="s">
        <v>15498</v>
      </c>
      <c r="I2132" t="s">
        <v>30071</v>
      </c>
      <c r="J2132" t="s">
        <v>31694</v>
      </c>
      <c r="K2132" t="s">
        <v>39046</v>
      </c>
      <c r="M2132" t="s">
        <v>40079</v>
      </c>
      <c r="N2132" t="s">
        <v>43166</v>
      </c>
      <c r="O2132" t="s">
        <v>43167</v>
      </c>
      <c r="P2132">
        <v>0</v>
      </c>
      <c r="Q2132">
        <v>3</v>
      </c>
      <c r="R2132" t="s">
        <v>43170</v>
      </c>
      <c r="S2132" t="s">
        <v>43297</v>
      </c>
      <c r="T2132" t="s">
        <v>44733</v>
      </c>
      <c r="U2132" t="s">
        <v>46959</v>
      </c>
      <c r="W2132" t="s">
        <v>40079</v>
      </c>
      <c r="X2132" t="s">
        <v>43171</v>
      </c>
    </row>
    <row r="2133" spans="1:24">
      <c r="A2133">
        <f>HYPERLINK("https://www.philgeps.gov.ph/GEPSNONPILOT/Tender/SplashBidNoticeAbstractUI.aspx?menuIndex=3&amp;refID=7085283&amp;Result=3","7085283")</f>
        <v>0</v>
      </c>
      <c r="B2133" t="s">
        <v>887</v>
      </c>
      <c r="C2133" t="s">
        <v>5458</v>
      </c>
      <c r="D2133" t="s">
        <v>17474</v>
      </c>
      <c r="E2133" t="s">
        <v>17892</v>
      </c>
      <c r="F2133" t="s">
        <v>30052</v>
      </c>
      <c r="G2133" t="s">
        <v>30058</v>
      </c>
      <c r="H2133" t="s">
        <v>30067</v>
      </c>
      <c r="I2133" t="s">
        <v>3693</v>
      </c>
      <c r="J2133" t="s">
        <v>31695</v>
      </c>
      <c r="K2133" t="s">
        <v>39031</v>
      </c>
      <c r="M2133" t="s">
        <v>40206</v>
      </c>
      <c r="N2133" t="s">
        <v>43166</v>
      </c>
      <c r="O2133" t="s">
        <v>43167</v>
      </c>
      <c r="P2133">
        <v>0</v>
      </c>
      <c r="Q2133">
        <v>1</v>
      </c>
      <c r="R2133" t="s">
        <v>43170</v>
      </c>
      <c r="S2133" t="s">
        <v>43297</v>
      </c>
      <c r="T2133" t="s">
        <v>44807</v>
      </c>
      <c r="U2133" t="s">
        <v>46960</v>
      </c>
      <c r="W2133" t="s">
        <v>40206</v>
      </c>
      <c r="X2133" t="s">
        <v>43171</v>
      </c>
    </row>
    <row r="2134" spans="1:24">
      <c r="A2134">
        <f>HYPERLINK("https://www.philgeps.gov.ph/GEPSNONPILOT/Tender/SplashBidNoticeAbstractUI.aspx?menuIndex=3&amp;refID=7085282&amp;Result=3","7085282")</f>
        <v>0</v>
      </c>
      <c r="B2134" t="s">
        <v>830</v>
      </c>
      <c r="C2134" t="s">
        <v>5459</v>
      </c>
      <c r="E2134" t="s">
        <v>19383</v>
      </c>
      <c r="F2134" t="s">
        <v>30052</v>
      </c>
      <c r="G2134" t="s">
        <v>30059</v>
      </c>
      <c r="H2134" t="s">
        <v>15498</v>
      </c>
      <c r="I2134" t="s">
        <v>3736</v>
      </c>
      <c r="J2134" t="s">
        <v>30299</v>
      </c>
      <c r="K2134" t="s">
        <v>39025</v>
      </c>
      <c r="M2134" t="s">
        <v>40147</v>
      </c>
      <c r="N2134" t="s">
        <v>43166</v>
      </c>
      <c r="O2134" t="s">
        <v>43167</v>
      </c>
      <c r="P2134">
        <v>0</v>
      </c>
      <c r="Q2134">
        <v>0</v>
      </c>
      <c r="R2134" t="s">
        <v>43170</v>
      </c>
      <c r="S2134" t="s">
        <v>43297</v>
      </c>
      <c r="T2134" t="s">
        <v>44826</v>
      </c>
      <c r="U2134" t="s">
        <v>45722</v>
      </c>
      <c r="W2134" t="s">
        <v>40147</v>
      </c>
      <c r="X2134" t="s">
        <v>43171</v>
      </c>
    </row>
    <row r="2135" spans="1:24">
      <c r="A2135">
        <f>HYPERLINK("https://www.philgeps.gov.ph/GEPSNONPILOT/Tender/SplashBidNoticeAbstractUI.aspx?menuIndex=3&amp;refID=7085613&amp;Result=3","7085613")</f>
        <v>0</v>
      </c>
      <c r="B2135" t="s">
        <v>888</v>
      </c>
      <c r="C2135" t="s">
        <v>5460</v>
      </c>
      <c r="D2135" t="s">
        <v>17481</v>
      </c>
      <c r="E2135" t="s">
        <v>19384</v>
      </c>
      <c r="F2135" t="s">
        <v>30052</v>
      </c>
      <c r="G2135" t="s">
        <v>30058</v>
      </c>
      <c r="H2135" t="s">
        <v>15498</v>
      </c>
      <c r="I2135" t="s">
        <v>3736</v>
      </c>
      <c r="J2135" t="s">
        <v>31696</v>
      </c>
      <c r="K2135" t="s">
        <v>39019</v>
      </c>
      <c r="M2135" t="s">
        <v>40207</v>
      </c>
      <c r="N2135" t="s">
        <v>43166</v>
      </c>
      <c r="O2135" t="s">
        <v>43167</v>
      </c>
      <c r="P2135">
        <v>0</v>
      </c>
      <c r="Q2135">
        <v>0</v>
      </c>
      <c r="R2135" t="s">
        <v>43170</v>
      </c>
      <c r="S2135" t="s">
        <v>43297</v>
      </c>
      <c r="T2135" t="s">
        <v>44904</v>
      </c>
      <c r="U2135" t="s">
        <v>46961</v>
      </c>
      <c r="V2135" t="s">
        <v>57072</v>
      </c>
      <c r="W2135" t="s">
        <v>40207</v>
      </c>
      <c r="X2135" t="s">
        <v>43171</v>
      </c>
    </row>
    <row r="2136" spans="1:24">
      <c r="A2136">
        <f>HYPERLINK("https://www.philgeps.gov.ph/GEPSNONPILOT/Tender/SplashBidNoticeAbstractUI.aspx?menuIndex=3&amp;refID=7085276&amp;Result=3","7085276")</f>
        <v>0</v>
      </c>
      <c r="B2136" t="s">
        <v>889</v>
      </c>
      <c r="C2136" t="s">
        <v>5461</v>
      </c>
      <c r="D2136" t="s">
        <v>17421</v>
      </c>
      <c r="E2136" t="s">
        <v>19385</v>
      </c>
      <c r="F2136" t="s">
        <v>30052</v>
      </c>
      <c r="G2136" t="s">
        <v>30059</v>
      </c>
      <c r="H2136" t="s">
        <v>15498</v>
      </c>
      <c r="I2136" t="s">
        <v>30084</v>
      </c>
      <c r="J2136" t="s">
        <v>31697</v>
      </c>
      <c r="K2136" t="s">
        <v>39029</v>
      </c>
      <c r="M2136" t="s">
        <v>40208</v>
      </c>
      <c r="N2136" t="s">
        <v>43166</v>
      </c>
      <c r="O2136" t="s">
        <v>43167</v>
      </c>
      <c r="P2136">
        <v>0</v>
      </c>
      <c r="Q2136">
        <v>1</v>
      </c>
      <c r="R2136" t="s">
        <v>43170</v>
      </c>
      <c r="S2136" t="s">
        <v>43297</v>
      </c>
      <c r="T2136" t="s">
        <v>44888</v>
      </c>
      <c r="U2136" t="s">
        <v>46962</v>
      </c>
      <c r="W2136" t="s">
        <v>40208</v>
      </c>
      <c r="X2136" t="s">
        <v>43171</v>
      </c>
    </row>
    <row r="2137" spans="1:24">
      <c r="A2137">
        <f>HYPERLINK("https://www.philgeps.gov.ph/GEPSNONPILOT/Tender/SplashBidNoticeAbstractUI.aspx?menuIndex=3&amp;refID=7085308&amp;Result=3","7085308")</f>
        <v>0</v>
      </c>
      <c r="B2137" t="s">
        <v>876</v>
      </c>
      <c r="C2137" t="s">
        <v>5462</v>
      </c>
      <c r="E2137" t="s">
        <v>19386</v>
      </c>
      <c r="F2137" t="s">
        <v>30052</v>
      </c>
      <c r="G2137" t="s">
        <v>30062</v>
      </c>
      <c r="H2137" t="s">
        <v>15498</v>
      </c>
      <c r="I2137" t="s">
        <v>30070</v>
      </c>
      <c r="J2137" t="s">
        <v>31698</v>
      </c>
      <c r="K2137" t="s">
        <v>39025</v>
      </c>
      <c r="M2137" t="s">
        <v>40195</v>
      </c>
      <c r="N2137" t="s">
        <v>43166</v>
      </c>
      <c r="O2137" t="s">
        <v>43167</v>
      </c>
      <c r="P2137">
        <v>0</v>
      </c>
      <c r="Q2137">
        <v>0</v>
      </c>
      <c r="R2137" t="s">
        <v>43170</v>
      </c>
      <c r="S2137" t="s">
        <v>43297</v>
      </c>
      <c r="T2137" t="s">
        <v>44734</v>
      </c>
      <c r="U2137" t="s">
        <v>46963</v>
      </c>
      <c r="W2137" t="s">
        <v>40195</v>
      </c>
      <c r="X2137" t="s">
        <v>43171</v>
      </c>
    </row>
    <row r="2138" spans="1:24">
      <c r="A2138">
        <f>HYPERLINK("https://www.philgeps.gov.ph/GEPSNONPILOT/Tender/SplashBidNoticeAbstractUI.aspx?menuIndex=3&amp;refID=7085653&amp;Result=3","7085653")</f>
        <v>0</v>
      </c>
      <c r="B2138" t="s">
        <v>885</v>
      </c>
      <c r="C2138" t="s">
        <v>5463</v>
      </c>
      <c r="D2138" t="s">
        <v>17424</v>
      </c>
      <c r="E2138" t="s">
        <v>19387</v>
      </c>
      <c r="F2138" t="s">
        <v>30052</v>
      </c>
      <c r="G2138" t="s">
        <v>30059</v>
      </c>
      <c r="H2138" t="s">
        <v>15498</v>
      </c>
      <c r="I2138" t="s">
        <v>30076</v>
      </c>
      <c r="J2138" t="s">
        <v>31699</v>
      </c>
      <c r="K2138" t="s">
        <v>39029</v>
      </c>
      <c r="M2138" t="s">
        <v>40204</v>
      </c>
      <c r="N2138" t="s">
        <v>43166</v>
      </c>
      <c r="O2138" t="s">
        <v>43167</v>
      </c>
      <c r="P2138">
        <v>0</v>
      </c>
      <c r="Q2138">
        <v>2</v>
      </c>
      <c r="R2138" t="s">
        <v>43170</v>
      </c>
      <c r="S2138" t="s">
        <v>43297</v>
      </c>
      <c r="T2138" t="s">
        <v>44864</v>
      </c>
      <c r="U2138" t="s">
        <v>46952</v>
      </c>
      <c r="W2138" t="s">
        <v>58616</v>
      </c>
      <c r="X2138" t="s">
        <v>43171</v>
      </c>
    </row>
    <row r="2139" spans="1:24">
      <c r="A2139">
        <f>HYPERLINK("https://www.philgeps.gov.ph/GEPSNONPILOT/Tender/SplashBidNoticeAbstractUI.aspx?menuIndex=3&amp;refID=7085652&amp;Result=3","7085652")</f>
        <v>0</v>
      </c>
      <c r="B2139" t="s">
        <v>360</v>
      </c>
      <c r="C2139" t="s">
        <v>5464</v>
      </c>
      <c r="E2139" t="s">
        <v>19388</v>
      </c>
      <c r="F2139" t="s">
        <v>30052</v>
      </c>
      <c r="G2139" t="s">
        <v>30059</v>
      </c>
      <c r="H2139" t="s">
        <v>15498</v>
      </c>
      <c r="I2139" t="s">
        <v>9238</v>
      </c>
      <c r="J2139" t="s">
        <v>31700</v>
      </c>
      <c r="K2139" t="s">
        <v>39046</v>
      </c>
      <c r="M2139" t="s">
        <v>39657</v>
      </c>
      <c r="N2139" t="s">
        <v>43166</v>
      </c>
      <c r="O2139" t="s">
        <v>43167</v>
      </c>
      <c r="P2139">
        <v>0</v>
      </c>
      <c r="Q2139">
        <v>11</v>
      </c>
      <c r="R2139" t="s">
        <v>43170</v>
      </c>
      <c r="S2139" t="s">
        <v>43297</v>
      </c>
      <c r="T2139" t="s">
        <v>44895</v>
      </c>
      <c r="U2139" t="s">
        <v>46847</v>
      </c>
      <c r="V2139" t="s">
        <v>56908</v>
      </c>
      <c r="W2139" t="s">
        <v>41004</v>
      </c>
      <c r="X2139" t="s">
        <v>43171</v>
      </c>
    </row>
    <row r="2140" spans="1:24">
      <c r="A2140">
        <f>HYPERLINK("https://www.philgeps.gov.ph/GEPSNONPILOT/Tender/SplashBidNoticeAbstractUI.aspx?menuIndex=3&amp;refID=7085675&amp;Result=3","7085675")</f>
        <v>0</v>
      </c>
      <c r="B2140" t="s">
        <v>874</v>
      </c>
      <c r="C2140" t="s">
        <v>5465</v>
      </c>
      <c r="D2140" t="s">
        <v>17428</v>
      </c>
      <c r="E2140" t="s">
        <v>19389</v>
      </c>
      <c r="F2140" t="s">
        <v>30052</v>
      </c>
      <c r="G2140" t="s">
        <v>30058</v>
      </c>
      <c r="H2140" t="s">
        <v>30067</v>
      </c>
      <c r="I2140" t="s">
        <v>3693</v>
      </c>
      <c r="J2140" t="s">
        <v>31701</v>
      </c>
      <c r="K2140" t="s">
        <v>39097</v>
      </c>
      <c r="M2140" t="s">
        <v>40193</v>
      </c>
      <c r="N2140" t="s">
        <v>43166</v>
      </c>
      <c r="O2140" t="s">
        <v>43167</v>
      </c>
      <c r="P2140">
        <v>0</v>
      </c>
      <c r="Q2140">
        <v>0</v>
      </c>
      <c r="R2140" t="s">
        <v>43170</v>
      </c>
      <c r="S2140" t="s">
        <v>43297</v>
      </c>
      <c r="T2140" t="s">
        <v>44905</v>
      </c>
      <c r="U2140" t="s">
        <v>46964</v>
      </c>
      <c r="W2140" t="s">
        <v>40193</v>
      </c>
      <c r="X2140" t="s">
        <v>43171</v>
      </c>
    </row>
    <row r="2141" spans="1:24">
      <c r="A2141">
        <f>HYPERLINK("https://www.philgeps.gov.ph/GEPSNONPILOT/Tender/SplashBidNoticeAbstractUI.aspx?menuIndex=3&amp;refID=7085673&amp;Result=3","7085673")</f>
        <v>0</v>
      </c>
      <c r="B2141" t="s">
        <v>679</v>
      </c>
      <c r="C2141" t="s">
        <v>5466</v>
      </c>
      <c r="D2141" t="s">
        <v>17419</v>
      </c>
      <c r="E2141" t="s">
        <v>19390</v>
      </c>
      <c r="F2141" t="s">
        <v>30052</v>
      </c>
      <c r="G2141" t="s">
        <v>30058</v>
      </c>
      <c r="H2141" t="s">
        <v>15498</v>
      </c>
      <c r="I2141" t="s">
        <v>3736</v>
      </c>
      <c r="J2141" t="s">
        <v>31702</v>
      </c>
      <c r="K2141" t="s">
        <v>39034</v>
      </c>
      <c r="M2141" t="s">
        <v>39985</v>
      </c>
      <c r="N2141" t="s">
        <v>43166</v>
      </c>
      <c r="O2141" t="s">
        <v>43167</v>
      </c>
      <c r="P2141">
        <v>0</v>
      </c>
      <c r="Q2141">
        <v>0</v>
      </c>
      <c r="R2141" t="s">
        <v>43170</v>
      </c>
      <c r="S2141" t="s">
        <v>43297</v>
      </c>
      <c r="T2141" t="s">
        <v>44699</v>
      </c>
      <c r="U2141" t="s">
        <v>46965</v>
      </c>
      <c r="W2141" t="s">
        <v>39985</v>
      </c>
      <c r="X2141" t="s">
        <v>43171</v>
      </c>
    </row>
    <row r="2142" spans="1:24">
      <c r="A2142">
        <f>HYPERLINK("https://www.philgeps.gov.ph/GEPSNONPILOT/Tender/SplashBidNoticeAbstractUI.aspx?menuIndex=3&amp;refID=7085680&amp;Result=3","7085680")</f>
        <v>0</v>
      </c>
      <c r="B2142" t="s">
        <v>890</v>
      </c>
      <c r="C2142" t="s">
        <v>5467</v>
      </c>
      <c r="E2142" t="s">
        <v>19391</v>
      </c>
      <c r="F2142" t="s">
        <v>30052</v>
      </c>
      <c r="G2142" t="s">
        <v>30059</v>
      </c>
      <c r="H2142" t="s">
        <v>15498</v>
      </c>
      <c r="I2142" t="s">
        <v>30077</v>
      </c>
      <c r="J2142" t="s">
        <v>30426</v>
      </c>
      <c r="K2142" t="s">
        <v>39019</v>
      </c>
      <c r="M2142" t="s">
        <v>40209</v>
      </c>
      <c r="N2142" t="s">
        <v>43166</v>
      </c>
      <c r="O2142" t="s">
        <v>43167</v>
      </c>
      <c r="P2142">
        <v>0</v>
      </c>
      <c r="Q2142">
        <v>3</v>
      </c>
      <c r="R2142" t="s">
        <v>43170</v>
      </c>
      <c r="S2142" t="s">
        <v>43297</v>
      </c>
      <c r="T2142" t="s">
        <v>44720</v>
      </c>
      <c r="U2142" t="s">
        <v>46966</v>
      </c>
      <c r="W2142" t="s">
        <v>40209</v>
      </c>
      <c r="X2142" t="s">
        <v>43171</v>
      </c>
    </row>
    <row r="2143" spans="1:24">
      <c r="A2143">
        <f>HYPERLINK("https://www.philgeps.gov.ph/GEPSNONPILOT/Tender/SplashBidNoticeAbstractUI.aspx?menuIndex=3&amp;refID=7085492&amp;Result=3","7085492")</f>
        <v>0</v>
      </c>
      <c r="B2143" t="s">
        <v>795</v>
      </c>
      <c r="C2143" t="s">
        <v>5468</v>
      </c>
      <c r="D2143" t="s">
        <v>17466</v>
      </c>
      <c r="E2143" t="s">
        <v>19392</v>
      </c>
      <c r="F2143" t="s">
        <v>30052</v>
      </c>
      <c r="G2143" t="s">
        <v>30059</v>
      </c>
      <c r="H2143" t="s">
        <v>15498</v>
      </c>
      <c r="I2143" t="s">
        <v>30096</v>
      </c>
      <c r="J2143" t="s">
        <v>31703</v>
      </c>
      <c r="K2143" t="s">
        <v>39029</v>
      </c>
      <c r="M2143" t="s">
        <v>40112</v>
      </c>
      <c r="N2143" t="s">
        <v>43166</v>
      </c>
      <c r="O2143" t="s">
        <v>43167</v>
      </c>
      <c r="P2143">
        <v>0</v>
      </c>
      <c r="Q2143">
        <v>1</v>
      </c>
      <c r="R2143" t="s">
        <v>43170</v>
      </c>
      <c r="S2143" t="s">
        <v>43297</v>
      </c>
      <c r="T2143" t="s">
        <v>44773</v>
      </c>
      <c r="U2143" t="s">
        <v>46797</v>
      </c>
      <c r="V2143" t="s">
        <v>57037</v>
      </c>
      <c r="W2143" t="s">
        <v>40112</v>
      </c>
      <c r="X2143" t="s">
        <v>43171</v>
      </c>
    </row>
    <row r="2144" spans="1:24">
      <c r="A2144">
        <f>HYPERLINK("https://www.philgeps.gov.ph/GEPSNONPILOT/Tender/SplashBidNoticeAbstractUI.aspx?menuIndex=3&amp;refID=7085678&amp;Result=3","7085678")</f>
        <v>0</v>
      </c>
      <c r="B2144" t="s">
        <v>891</v>
      </c>
      <c r="C2144" t="s">
        <v>5469</v>
      </c>
      <c r="D2144" t="s">
        <v>17468</v>
      </c>
      <c r="E2144" t="s">
        <v>19393</v>
      </c>
      <c r="F2144" t="s">
        <v>30052</v>
      </c>
      <c r="G2144" t="s">
        <v>30059</v>
      </c>
      <c r="H2144" t="s">
        <v>15498</v>
      </c>
      <c r="I2144" t="s">
        <v>30076</v>
      </c>
      <c r="J2144" t="s">
        <v>31704</v>
      </c>
      <c r="K2144" t="s">
        <v>39029</v>
      </c>
      <c r="M2144" t="s">
        <v>40210</v>
      </c>
      <c r="N2144" t="s">
        <v>43166</v>
      </c>
      <c r="O2144" t="s">
        <v>43167</v>
      </c>
      <c r="P2144">
        <v>0</v>
      </c>
      <c r="Q2144">
        <v>2</v>
      </c>
      <c r="R2144" t="s">
        <v>43170</v>
      </c>
      <c r="S2144" t="s">
        <v>43297</v>
      </c>
      <c r="T2144" t="s">
        <v>44844</v>
      </c>
      <c r="U2144" t="s">
        <v>46967</v>
      </c>
      <c r="W2144" t="s">
        <v>40210</v>
      </c>
      <c r="X2144" t="s">
        <v>43171</v>
      </c>
    </row>
    <row r="2145" spans="1:24">
      <c r="A2145">
        <f>HYPERLINK("https://www.philgeps.gov.ph/GEPSNONPILOT/Tender/SplashBidNoticeAbstractUI.aspx?menuIndex=3&amp;refID=7085650&amp;Result=3","7085650")</f>
        <v>0</v>
      </c>
      <c r="B2145" t="s">
        <v>874</v>
      </c>
      <c r="C2145" t="s">
        <v>5470</v>
      </c>
      <c r="D2145" t="s">
        <v>17428</v>
      </c>
      <c r="E2145" t="s">
        <v>19394</v>
      </c>
      <c r="F2145" t="s">
        <v>30052</v>
      </c>
      <c r="G2145" t="s">
        <v>30058</v>
      </c>
      <c r="H2145" t="s">
        <v>30067</v>
      </c>
      <c r="I2145" t="s">
        <v>3693</v>
      </c>
      <c r="J2145" t="s">
        <v>31705</v>
      </c>
      <c r="K2145" t="s">
        <v>39046</v>
      </c>
      <c r="M2145" t="s">
        <v>40193</v>
      </c>
      <c r="N2145" t="s">
        <v>43166</v>
      </c>
      <c r="O2145" t="s">
        <v>43167</v>
      </c>
      <c r="P2145">
        <v>0</v>
      </c>
      <c r="Q2145">
        <v>0</v>
      </c>
      <c r="R2145" t="s">
        <v>43170</v>
      </c>
      <c r="S2145" t="s">
        <v>43297</v>
      </c>
      <c r="T2145" t="s">
        <v>44828</v>
      </c>
      <c r="U2145" t="s">
        <v>46968</v>
      </c>
      <c r="W2145" t="s">
        <v>40193</v>
      </c>
      <c r="X2145" t="s">
        <v>43171</v>
      </c>
    </row>
    <row r="2146" spans="1:24">
      <c r="A2146">
        <f>HYPERLINK("https://www.philgeps.gov.ph/GEPSNONPILOT/Tender/SplashBidNoticeAbstractUI.aspx?menuIndex=3&amp;refID=7085676&amp;Result=3","7085676")</f>
        <v>0</v>
      </c>
      <c r="B2146" t="s">
        <v>892</v>
      </c>
      <c r="C2146" t="s">
        <v>5471</v>
      </c>
      <c r="D2146" t="s">
        <v>17471</v>
      </c>
      <c r="E2146" t="s">
        <v>19395</v>
      </c>
      <c r="F2146" t="s">
        <v>30052</v>
      </c>
      <c r="G2146" t="s">
        <v>30059</v>
      </c>
      <c r="H2146" t="s">
        <v>15498</v>
      </c>
      <c r="I2146" t="s">
        <v>7228</v>
      </c>
      <c r="J2146" t="s">
        <v>31706</v>
      </c>
      <c r="K2146" t="s">
        <v>39018</v>
      </c>
      <c r="M2146" t="s">
        <v>40211</v>
      </c>
      <c r="N2146" t="s">
        <v>43166</v>
      </c>
      <c r="O2146" t="s">
        <v>43167</v>
      </c>
      <c r="P2146">
        <v>0</v>
      </c>
      <c r="Q2146">
        <v>0</v>
      </c>
      <c r="R2146" t="s">
        <v>43170</v>
      </c>
      <c r="S2146" t="s">
        <v>43297</v>
      </c>
      <c r="T2146" t="s">
        <v>44844</v>
      </c>
      <c r="U2146" t="s">
        <v>46969</v>
      </c>
      <c r="V2146" t="s">
        <v>57073</v>
      </c>
      <c r="W2146" t="s">
        <v>40211</v>
      </c>
      <c r="X2146" t="s">
        <v>43171</v>
      </c>
    </row>
    <row r="2147" spans="1:24">
      <c r="A2147">
        <f>HYPERLINK("https://www.philgeps.gov.ph/GEPSNONPILOT/Tender/SplashBidNoticeAbstractUI.aspx?menuIndex=3&amp;refID=7085672&amp;Result=3","7085672")</f>
        <v>0</v>
      </c>
      <c r="B2147" t="s">
        <v>860</v>
      </c>
      <c r="C2147" t="s">
        <v>5472</v>
      </c>
      <c r="D2147" t="s">
        <v>17484</v>
      </c>
      <c r="E2147" t="s">
        <v>19396</v>
      </c>
      <c r="F2147" t="s">
        <v>30052</v>
      </c>
      <c r="G2147" t="s">
        <v>30058</v>
      </c>
      <c r="H2147" t="s">
        <v>15498</v>
      </c>
      <c r="I2147" t="s">
        <v>30144</v>
      </c>
      <c r="J2147" t="s">
        <v>30222</v>
      </c>
      <c r="K2147" t="s">
        <v>39029</v>
      </c>
      <c r="M2147" t="s">
        <v>40177</v>
      </c>
      <c r="N2147" t="s">
        <v>43166</v>
      </c>
      <c r="O2147" t="s">
        <v>43167</v>
      </c>
      <c r="P2147">
        <v>0</v>
      </c>
      <c r="Q2147">
        <v>0</v>
      </c>
      <c r="R2147" t="s">
        <v>43170</v>
      </c>
      <c r="S2147" t="s">
        <v>43297</v>
      </c>
      <c r="T2147" t="s">
        <v>44684</v>
      </c>
      <c r="U2147" t="s">
        <v>46900</v>
      </c>
      <c r="W2147" t="s">
        <v>40177</v>
      </c>
      <c r="X2147" t="s">
        <v>43171</v>
      </c>
    </row>
    <row r="2148" spans="1:24">
      <c r="A2148">
        <f>HYPERLINK("https://www.philgeps.gov.ph/GEPSNONPILOT/Tender/SplashBidNoticeAbstractUI.aspx?menuIndex=3&amp;refID=7085306&amp;Result=3","7085306")</f>
        <v>0</v>
      </c>
      <c r="B2148" t="s">
        <v>893</v>
      </c>
      <c r="C2148" t="s">
        <v>5473</v>
      </c>
      <c r="D2148" t="s">
        <v>17460</v>
      </c>
      <c r="E2148" t="s">
        <v>19397</v>
      </c>
      <c r="F2148" t="s">
        <v>30052</v>
      </c>
      <c r="G2148" t="s">
        <v>30059</v>
      </c>
      <c r="H2148" t="s">
        <v>15498</v>
      </c>
      <c r="I2148" t="s">
        <v>4119</v>
      </c>
      <c r="J2148" t="s">
        <v>30514</v>
      </c>
      <c r="K2148" t="s">
        <v>39036</v>
      </c>
      <c r="M2148" t="s">
        <v>40212</v>
      </c>
      <c r="N2148" t="s">
        <v>43166</v>
      </c>
      <c r="O2148" t="s">
        <v>43167</v>
      </c>
      <c r="P2148">
        <v>0</v>
      </c>
      <c r="Q2148">
        <v>3</v>
      </c>
      <c r="R2148" t="s">
        <v>43170</v>
      </c>
      <c r="S2148" t="s">
        <v>43297</v>
      </c>
      <c r="T2148" t="s">
        <v>44710</v>
      </c>
      <c r="U2148" t="s">
        <v>46970</v>
      </c>
      <c r="V2148" t="s">
        <v>57074</v>
      </c>
      <c r="W2148" t="s">
        <v>40212</v>
      </c>
      <c r="X2148" t="s">
        <v>43171</v>
      </c>
    </row>
    <row r="2149" spans="1:24">
      <c r="A2149">
        <f>HYPERLINK("https://www.philgeps.gov.ph/GEPSNONPILOT/Tender/SplashBidNoticeAbstractUI.aspx?menuIndex=3&amp;refID=7085670&amp;Result=3","7085670")</f>
        <v>0</v>
      </c>
      <c r="B2149" t="s">
        <v>879</v>
      </c>
      <c r="C2149" t="s">
        <v>5474</v>
      </c>
      <c r="D2149" t="s">
        <v>17417</v>
      </c>
      <c r="E2149" t="s">
        <v>19398</v>
      </c>
      <c r="F2149" t="s">
        <v>30052</v>
      </c>
      <c r="G2149" t="s">
        <v>30059</v>
      </c>
      <c r="H2149" t="s">
        <v>15498</v>
      </c>
      <c r="I2149" t="s">
        <v>7228</v>
      </c>
      <c r="J2149" t="s">
        <v>30446</v>
      </c>
      <c r="K2149" t="s">
        <v>39025</v>
      </c>
      <c r="M2149" t="s">
        <v>40198</v>
      </c>
      <c r="N2149" t="s">
        <v>43166</v>
      </c>
      <c r="O2149" t="s">
        <v>43167</v>
      </c>
      <c r="P2149">
        <v>0</v>
      </c>
      <c r="Q2149">
        <v>0</v>
      </c>
      <c r="R2149" t="s">
        <v>43170</v>
      </c>
      <c r="S2149" t="s">
        <v>43297</v>
      </c>
      <c r="T2149" t="s">
        <v>44777</v>
      </c>
      <c r="U2149" t="s">
        <v>46940</v>
      </c>
      <c r="W2149" t="s">
        <v>40198</v>
      </c>
      <c r="X2149" t="s">
        <v>43171</v>
      </c>
    </row>
    <row r="2150" spans="1:24">
      <c r="A2150">
        <f>HYPERLINK("https://www.philgeps.gov.ph/GEPSNONPILOT/Tender/SplashBidNoticeAbstractUI.aspx?menuIndex=3&amp;refID=7085669&amp;Result=3","7085669")</f>
        <v>0</v>
      </c>
      <c r="B2150" t="s">
        <v>894</v>
      </c>
      <c r="C2150" t="s">
        <v>5475</v>
      </c>
      <c r="D2150" t="s">
        <v>17432</v>
      </c>
      <c r="E2150" t="s">
        <v>19399</v>
      </c>
      <c r="F2150" t="s">
        <v>30055</v>
      </c>
      <c r="G2150" t="s">
        <v>30059</v>
      </c>
      <c r="H2150" t="s">
        <v>15498</v>
      </c>
      <c r="I2150" t="s">
        <v>4650</v>
      </c>
      <c r="J2150" t="s">
        <v>31707</v>
      </c>
      <c r="K2150" t="s">
        <v>39018</v>
      </c>
      <c r="M2150" t="s">
        <v>40213</v>
      </c>
      <c r="N2150" t="s">
        <v>43166</v>
      </c>
      <c r="O2150" t="s">
        <v>43167</v>
      </c>
      <c r="P2150">
        <v>0</v>
      </c>
      <c r="Q2150">
        <v>0</v>
      </c>
      <c r="R2150" t="s">
        <v>43170</v>
      </c>
      <c r="S2150" t="s">
        <v>43297</v>
      </c>
      <c r="T2150" t="s">
        <v>44797</v>
      </c>
      <c r="U2150" t="s">
        <v>46351</v>
      </c>
      <c r="W2150" t="s">
        <v>40213</v>
      </c>
      <c r="X2150" t="s">
        <v>43171</v>
      </c>
    </row>
    <row r="2151" spans="1:24">
      <c r="A2151">
        <f>HYPERLINK("https://www.philgeps.gov.ph/GEPSNONPILOT/Tender/SplashBidNoticeAbstractUI.aspx?menuIndex=3&amp;refID=7085662&amp;Result=3","7085662")</f>
        <v>0</v>
      </c>
      <c r="B2151" t="s">
        <v>415</v>
      </c>
      <c r="C2151" t="s">
        <v>5476</v>
      </c>
      <c r="D2151" t="s">
        <v>17472</v>
      </c>
      <c r="E2151" t="s">
        <v>18363</v>
      </c>
      <c r="F2151" t="s">
        <v>30052</v>
      </c>
      <c r="G2151" t="s">
        <v>30059</v>
      </c>
      <c r="H2151" t="s">
        <v>15498</v>
      </c>
      <c r="I2151" t="s">
        <v>6691</v>
      </c>
      <c r="J2151" t="s">
        <v>30374</v>
      </c>
      <c r="K2151" t="s">
        <v>39034</v>
      </c>
      <c r="M2151" t="s">
        <v>39714</v>
      </c>
      <c r="N2151" t="s">
        <v>43166</v>
      </c>
      <c r="O2151" t="s">
        <v>43167</v>
      </c>
      <c r="P2151">
        <v>0</v>
      </c>
      <c r="Q2151">
        <v>0</v>
      </c>
      <c r="R2151" t="s">
        <v>43170</v>
      </c>
      <c r="S2151" t="s">
        <v>43297</v>
      </c>
      <c r="T2151" t="s">
        <v>44685</v>
      </c>
      <c r="U2151" t="s">
        <v>46971</v>
      </c>
      <c r="W2151" t="s">
        <v>39714</v>
      </c>
      <c r="X2151" t="s">
        <v>43171</v>
      </c>
    </row>
    <row r="2152" spans="1:24">
      <c r="A2152">
        <f>HYPERLINK("https://www.philgeps.gov.ph/GEPSNONPILOT/Tender/SplashBidNoticeAbstractUI.aspx?menuIndex=3&amp;refID=7085302&amp;Result=3","7085302")</f>
        <v>0</v>
      </c>
      <c r="B2152" t="s">
        <v>830</v>
      </c>
      <c r="C2152" t="s">
        <v>5477</v>
      </c>
      <c r="E2152" t="s">
        <v>19400</v>
      </c>
      <c r="F2152" t="s">
        <v>30052</v>
      </c>
      <c r="G2152" t="s">
        <v>30059</v>
      </c>
      <c r="H2152" t="s">
        <v>15498</v>
      </c>
      <c r="I2152" t="s">
        <v>3852</v>
      </c>
      <c r="J2152" t="s">
        <v>30545</v>
      </c>
      <c r="K2152" t="s">
        <v>39025</v>
      </c>
      <c r="M2152" t="s">
        <v>40147</v>
      </c>
      <c r="N2152" t="s">
        <v>43166</v>
      </c>
      <c r="O2152" t="s">
        <v>43167</v>
      </c>
      <c r="P2152">
        <v>0</v>
      </c>
      <c r="Q2152">
        <v>6</v>
      </c>
      <c r="R2152" t="s">
        <v>43170</v>
      </c>
      <c r="S2152" t="s">
        <v>43297</v>
      </c>
      <c r="T2152" t="s">
        <v>44826</v>
      </c>
      <c r="U2152" t="s">
        <v>45722</v>
      </c>
      <c r="W2152" t="s">
        <v>40147</v>
      </c>
      <c r="X2152" t="s">
        <v>43171</v>
      </c>
    </row>
    <row r="2153" spans="1:24">
      <c r="A2153">
        <f>HYPERLINK("https://www.philgeps.gov.ph/GEPSNONPILOT/Tender/SplashBidNoticeAbstractUI.aspx?menuIndex=3&amp;refID=7085660&amp;Result=3","7085660")</f>
        <v>0</v>
      </c>
      <c r="B2153" t="s">
        <v>726</v>
      </c>
      <c r="C2153" t="s">
        <v>5478</v>
      </c>
      <c r="D2153" t="s">
        <v>17477</v>
      </c>
      <c r="E2153" t="s">
        <v>19401</v>
      </c>
      <c r="F2153" t="s">
        <v>30052</v>
      </c>
      <c r="G2153" t="s">
        <v>30059</v>
      </c>
      <c r="H2153" t="s">
        <v>15498</v>
      </c>
      <c r="I2153" t="s">
        <v>30076</v>
      </c>
      <c r="J2153" t="s">
        <v>30287</v>
      </c>
      <c r="K2153" t="s">
        <v>39019</v>
      </c>
      <c r="M2153" t="s">
        <v>40037</v>
      </c>
      <c r="N2153" t="s">
        <v>43166</v>
      </c>
      <c r="O2153" t="s">
        <v>43167</v>
      </c>
      <c r="P2153">
        <v>0</v>
      </c>
      <c r="Q2153">
        <v>1</v>
      </c>
      <c r="R2153" t="s">
        <v>43170</v>
      </c>
      <c r="S2153" t="s">
        <v>43297</v>
      </c>
      <c r="T2153" t="s">
        <v>44714</v>
      </c>
      <c r="U2153" t="s">
        <v>46972</v>
      </c>
      <c r="W2153" t="s">
        <v>58613</v>
      </c>
      <c r="X2153" t="s">
        <v>43171</v>
      </c>
    </row>
    <row r="2154" spans="1:24">
      <c r="A2154">
        <f>HYPERLINK("https://www.philgeps.gov.ph/GEPSNONPILOT/Tender/SplashBidNoticeAbstractUI.aspx?menuIndex=3&amp;refID=7085659&amp;Result=3","7085659")</f>
        <v>0</v>
      </c>
      <c r="B2154" t="s">
        <v>879</v>
      </c>
      <c r="C2154" t="s">
        <v>5479</v>
      </c>
      <c r="D2154" t="s">
        <v>17417</v>
      </c>
      <c r="E2154" t="s">
        <v>19402</v>
      </c>
      <c r="F2154" t="s">
        <v>30052</v>
      </c>
      <c r="G2154" t="s">
        <v>30059</v>
      </c>
      <c r="H2154" t="s">
        <v>15498</v>
      </c>
      <c r="I2154" t="s">
        <v>30084</v>
      </c>
      <c r="J2154" t="s">
        <v>30256</v>
      </c>
      <c r="K2154" t="s">
        <v>39025</v>
      </c>
      <c r="M2154" t="s">
        <v>40198</v>
      </c>
      <c r="N2154" t="s">
        <v>43166</v>
      </c>
      <c r="O2154" t="s">
        <v>43167</v>
      </c>
      <c r="P2154">
        <v>0</v>
      </c>
      <c r="Q2154">
        <v>0</v>
      </c>
      <c r="R2154" t="s">
        <v>43170</v>
      </c>
      <c r="S2154" t="s">
        <v>43297</v>
      </c>
      <c r="T2154" t="s">
        <v>44777</v>
      </c>
      <c r="U2154" t="s">
        <v>46940</v>
      </c>
      <c r="W2154" t="s">
        <v>40198</v>
      </c>
      <c r="X2154" t="s">
        <v>43171</v>
      </c>
    </row>
    <row r="2155" spans="1:24">
      <c r="A2155">
        <f>HYPERLINK("https://www.philgeps.gov.ph/GEPSNONPILOT/Tender/SplashBidNoticeAbstractUI.aspx?menuIndex=3&amp;refID=7085683&amp;Result=3","7085683")</f>
        <v>0</v>
      </c>
      <c r="B2155" t="s">
        <v>838</v>
      </c>
      <c r="C2155" t="s">
        <v>5480</v>
      </c>
      <c r="D2155" t="s">
        <v>17419</v>
      </c>
      <c r="E2155" t="s">
        <v>19403</v>
      </c>
      <c r="F2155" t="s">
        <v>30052</v>
      </c>
      <c r="G2155" t="s">
        <v>30061</v>
      </c>
      <c r="H2155" t="s">
        <v>15498</v>
      </c>
      <c r="I2155" t="s">
        <v>4650</v>
      </c>
      <c r="J2155" t="s">
        <v>31708</v>
      </c>
      <c r="K2155" t="s">
        <v>39029</v>
      </c>
      <c r="M2155" t="s">
        <v>40155</v>
      </c>
      <c r="N2155" t="s">
        <v>43166</v>
      </c>
      <c r="O2155" t="s">
        <v>43167</v>
      </c>
      <c r="P2155">
        <v>0</v>
      </c>
      <c r="Q2155">
        <v>4</v>
      </c>
      <c r="R2155" t="s">
        <v>43170</v>
      </c>
      <c r="S2155" t="s">
        <v>43297</v>
      </c>
      <c r="T2155" t="s">
        <v>44681</v>
      </c>
      <c r="U2155" t="s">
        <v>46973</v>
      </c>
      <c r="W2155" t="s">
        <v>40155</v>
      </c>
      <c r="X2155" t="s">
        <v>43171</v>
      </c>
    </row>
    <row r="2156" spans="1:24">
      <c r="A2156">
        <f>HYPERLINK("https://www.philgeps.gov.ph/GEPSNONPILOT/Tender/SplashBidNoticeAbstractUI.aspx?menuIndex=3&amp;refID=7085656&amp;Result=3","7085656")</f>
        <v>0</v>
      </c>
      <c r="B2156" t="s">
        <v>679</v>
      </c>
      <c r="C2156" t="s">
        <v>5481</v>
      </c>
      <c r="D2156" t="s">
        <v>17419</v>
      </c>
      <c r="E2156" t="s">
        <v>19404</v>
      </c>
      <c r="F2156" t="s">
        <v>30052</v>
      </c>
      <c r="G2156" t="s">
        <v>30058</v>
      </c>
      <c r="H2156" t="s">
        <v>15498</v>
      </c>
      <c r="I2156" t="s">
        <v>3736</v>
      </c>
      <c r="J2156" t="s">
        <v>31709</v>
      </c>
      <c r="K2156" t="s">
        <v>39034</v>
      </c>
      <c r="M2156" t="s">
        <v>39985</v>
      </c>
      <c r="N2156" t="s">
        <v>43166</v>
      </c>
      <c r="O2156" t="s">
        <v>43167</v>
      </c>
      <c r="P2156">
        <v>0</v>
      </c>
      <c r="Q2156">
        <v>0</v>
      </c>
      <c r="R2156" t="s">
        <v>43170</v>
      </c>
      <c r="S2156" t="s">
        <v>43297</v>
      </c>
      <c r="T2156" t="s">
        <v>44699</v>
      </c>
      <c r="U2156" t="s">
        <v>46974</v>
      </c>
      <c r="W2156" t="s">
        <v>39985</v>
      </c>
      <c r="X2156" t="s">
        <v>43171</v>
      </c>
    </row>
    <row r="2157" spans="1:24">
      <c r="A2157">
        <f>HYPERLINK("https://www.philgeps.gov.ph/GEPSNONPILOT/Tender/SplashBidNoticeAbstractUI.aspx?menuIndex=3&amp;refID=7085702&amp;Result=3","7085702")</f>
        <v>0</v>
      </c>
      <c r="B2157" t="s">
        <v>895</v>
      </c>
      <c r="C2157" t="s">
        <v>5482</v>
      </c>
      <c r="D2157" t="s">
        <v>17466</v>
      </c>
      <c r="E2157" t="s">
        <v>19405</v>
      </c>
      <c r="F2157" t="s">
        <v>30052</v>
      </c>
      <c r="G2157" t="s">
        <v>30061</v>
      </c>
      <c r="H2157" t="s">
        <v>15498</v>
      </c>
      <c r="I2157" t="s">
        <v>30105</v>
      </c>
      <c r="J2157" t="s">
        <v>31710</v>
      </c>
      <c r="K2157" t="s">
        <v>39036</v>
      </c>
      <c r="M2157" t="s">
        <v>40214</v>
      </c>
      <c r="N2157" t="s">
        <v>43166</v>
      </c>
      <c r="O2157" t="s">
        <v>43167</v>
      </c>
      <c r="P2157">
        <v>0</v>
      </c>
      <c r="Q2157">
        <v>2</v>
      </c>
      <c r="R2157" t="s">
        <v>43170</v>
      </c>
      <c r="S2157" t="s">
        <v>43297</v>
      </c>
      <c r="T2157" t="s">
        <v>44698</v>
      </c>
      <c r="U2157" t="s">
        <v>46351</v>
      </c>
      <c r="W2157" t="s">
        <v>40214</v>
      </c>
      <c r="X2157" t="s">
        <v>43171</v>
      </c>
    </row>
    <row r="2158" spans="1:24">
      <c r="A2158">
        <f>HYPERLINK("https://www.philgeps.gov.ph/GEPSNONPILOT/Tender/SplashBidNoticeAbstractUI.aspx?menuIndex=3&amp;refID=7085305&amp;Result=3","7085305")</f>
        <v>0</v>
      </c>
      <c r="B2158" t="s">
        <v>782</v>
      </c>
      <c r="C2158" t="s">
        <v>5483</v>
      </c>
      <c r="D2158" t="s">
        <v>17415</v>
      </c>
      <c r="E2158" t="s">
        <v>19406</v>
      </c>
      <c r="F2158" t="s">
        <v>30052</v>
      </c>
      <c r="G2158" t="s">
        <v>30061</v>
      </c>
      <c r="H2158" t="s">
        <v>15498</v>
      </c>
      <c r="I2158" t="s">
        <v>30096</v>
      </c>
      <c r="J2158" t="s">
        <v>30365</v>
      </c>
      <c r="K2158" t="s">
        <v>39098</v>
      </c>
      <c r="M2158" t="s">
        <v>40097</v>
      </c>
      <c r="N2158" t="s">
        <v>43166</v>
      </c>
      <c r="O2158" t="s">
        <v>43167</v>
      </c>
      <c r="P2158">
        <v>0</v>
      </c>
      <c r="Q2158">
        <v>9</v>
      </c>
      <c r="R2158" t="s">
        <v>43170</v>
      </c>
      <c r="S2158" t="s">
        <v>43297</v>
      </c>
      <c r="T2158" t="s">
        <v>44717</v>
      </c>
      <c r="U2158" t="s">
        <v>46975</v>
      </c>
      <c r="W2158" t="s">
        <v>40097</v>
      </c>
      <c r="X2158" t="s">
        <v>43171</v>
      </c>
    </row>
    <row r="2159" spans="1:24">
      <c r="A2159">
        <f>HYPERLINK("https://www.philgeps.gov.ph/GEPSNONPILOT/Tender/SplashBidNoticeAbstractUI.aspx?menuIndex=3&amp;refID=7085668&amp;Result=3","7085668")</f>
        <v>0</v>
      </c>
      <c r="B2159" t="s">
        <v>541</v>
      </c>
      <c r="C2159" t="s">
        <v>4865</v>
      </c>
      <c r="D2159" t="s">
        <v>17458</v>
      </c>
      <c r="E2159" t="s">
        <v>19407</v>
      </c>
      <c r="F2159" t="s">
        <v>30052</v>
      </c>
      <c r="G2159" t="s">
        <v>30062</v>
      </c>
      <c r="H2159" t="s">
        <v>15498</v>
      </c>
      <c r="I2159" t="s">
        <v>30070</v>
      </c>
      <c r="J2159" t="s">
        <v>31711</v>
      </c>
      <c r="K2159" t="s">
        <v>39017</v>
      </c>
      <c r="M2159" t="s">
        <v>39843</v>
      </c>
      <c r="N2159" t="s">
        <v>43166</v>
      </c>
      <c r="O2159" t="s">
        <v>43167</v>
      </c>
      <c r="P2159">
        <v>0</v>
      </c>
      <c r="Q2159">
        <v>1</v>
      </c>
      <c r="R2159" t="s">
        <v>43170</v>
      </c>
      <c r="S2159" t="s">
        <v>43297</v>
      </c>
      <c r="T2159" t="s">
        <v>44773</v>
      </c>
      <c r="U2159" t="s">
        <v>46789</v>
      </c>
      <c r="W2159" t="s">
        <v>58604</v>
      </c>
      <c r="X2159" t="s">
        <v>43171</v>
      </c>
    </row>
    <row r="2160" spans="1:24">
      <c r="A2160">
        <f>HYPERLINK("https://www.philgeps.gov.ph/GEPSNONPILOT/Tender/SplashBidNoticeAbstractUI.aspx?menuIndex=3&amp;refID=7085709&amp;Result=3","7085709")</f>
        <v>0</v>
      </c>
      <c r="B2160" t="s">
        <v>871</v>
      </c>
      <c r="C2160" t="s">
        <v>5484</v>
      </c>
      <c r="D2160" t="s">
        <v>17445</v>
      </c>
      <c r="E2160" t="s">
        <v>19340</v>
      </c>
      <c r="F2160" t="s">
        <v>30052</v>
      </c>
      <c r="G2160" t="s">
        <v>30060</v>
      </c>
      <c r="H2160" t="s">
        <v>15498</v>
      </c>
      <c r="I2160" t="s">
        <v>30150</v>
      </c>
      <c r="J2160" t="s">
        <v>30252</v>
      </c>
      <c r="K2160" t="s">
        <v>39034</v>
      </c>
      <c r="M2160" t="s">
        <v>40190</v>
      </c>
      <c r="N2160" t="s">
        <v>43166</v>
      </c>
      <c r="O2160" t="s">
        <v>43167</v>
      </c>
      <c r="P2160">
        <v>0</v>
      </c>
      <c r="Q2160">
        <v>5</v>
      </c>
      <c r="R2160" t="s">
        <v>43170</v>
      </c>
      <c r="S2160" t="s">
        <v>43297</v>
      </c>
      <c r="T2160" t="s">
        <v>44732</v>
      </c>
      <c r="U2160" t="s">
        <v>46976</v>
      </c>
      <c r="W2160" t="s">
        <v>40190</v>
      </c>
      <c r="X2160" t="s">
        <v>43171</v>
      </c>
    </row>
    <row r="2161" spans="1:24">
      <c r="A2161">
        <f>HYPERLINK("https://www.philgeps.gov.ph/GEPSNONPILOT/Tender/SplashBidNoticeAbstractUI.aspx?menuIndex=3&amp;refID=7085655&amp;Result=3","7085655")</f>
        <v>0</v>
      </c>
      <c r="B2161" t="s">
        <v>795</v>
      </c>
      <c r="C2161" t="s">
        <v>5485</v>
      </c>
      <c r="D2161" t="s">
        <v>17466</v>
      </c>
      <c r="E2161" t="s">
        <v>19408</v>
      </c>
      <c r="F2161" t="s">
        <v>30052</v>
      </c>
      <c r="G2161" t="s">
        <v>30059</v>
      </c>
      <c r="H2161" t="s">
        <v>15498</v>
      </c>
      <c r="I2161" t="s">
        <v>30076</v>
      </c>
      <c r="J2161" t="s">
        <v>31051</v>
      </c>
      <c r="K2161" t="s">
        <v>39029</v>
      </c>
      <c r="M2161" t="s">
        <v>40112</v>
      </c>
      <c r="N2161" t="s">
        <v>43166</v>
      </c>
      <c r="O2161" t="s">
        <v>43167</v>
      </c>
      <c r="P2161">
        <v>0</v>
      </c>
      <c r="Q2161">
        <v>3</v>
      </c>
      <c r="R2161" t="s">
        <v>43170</v>
      </c>
      <c r="S2161" t="s">
        <v>43297</v>
      </c>
      <c r="T2161" t="s">
        <v>44773</v>
      </c>
      <c r="U2161" t="s">
        <v>46977</v>
      </c>
      <c r="V2161" t="s">
        <v>57037</v>
      </c>
      <c r="W2161" t="s">
        <v>40112</v>
      </c>
      <c r="X2161" t="s">
        <v>43171</v>
      </c>
    </row>
    <row r="2162" spans="1:24">
      <c r="A2162">
        <f>HYPERLINK("https://www.philgeps.gov.ph/GEPSNONPILOT/Tender/SplashBidNoticeAbstractUI.aspx?menuIndex=3&amp;refID=7085671&amp;Result=3","7085671")</f>
        <v>0</v>
      </c>
      <c r="B2162" t="s">
        <v>838</v>
      </c>
      <c r="C2162" t="s">
        <v>5486</v>
      </c>
      <c r="D2162" t="s">
        <v>17419</v>
      </c>
      <c r="E2162" t="s">
        <v>19409</v>
      </c>
      <c r="F2162" t="s">
        <v>30052</v>
      </c>
      <c r="G2162" t="s">
        <v>30061</v>
      </c>
      <c r="H2162" t="s">
        <v>15498</v>
      </c>
      <c r="I2162" t="s">
        <v>4650</v>
      </c>
      <c r="J2162" t="s">
        <v>31712</v>
      </c>
      <c r="K2162" t="s">
        <v>39029</v>
      </c>
      <c r="M2162" t="s">
        <v>40155</v>
      </c>
      <c r="N2162" t="s">
        <v>43166</v>
      </c>
      <c r="O2162" t="s">
        <v>43167</v>
      </c>
      <c r="P2162">
        <v>0</v>
      </c>
      <c r="Q2162">
        <v>4</v>
      </c>
      <c r="R2162" t="s">
        <v>43170</v>
      </c>
      <c r="S2162" t="s">
        <v>43297</v>
      </c>
      <c r="T2162" t="s">
        <v>44681</v>
      </c>
      <c r="U2162" t="s">
        <v>46978</v>
      </c>
      <c r="W2162" t="s">
        <v>40155</v>
      </c>
      <c r="X2162" t="s">
        <v>43171</v>
      </c>
    </row>
    <row r="2163" spans="1:24">
      <c r="A2163">
        <f>HYPERLINK("https://www.philgeps.gov.ph/GEPSNONPILOT/Tender/SplashBidNoticeAbstractUI.aspx?menuIndex=3&amp;refID=7085704&amp;Result=3","7085704")</f>
        <v>0</v>
      </c>
      <c r="B2163" t="s">
        <v>409</v>
      </c>
      <c r="C2163" t="s">
        <v>5487</v>
      </c>
      <c r="D2163" t="s">
        <v>17473</v>
      </c>
      <c r="E2163" t="s">
        <v>19410</v>
      </c>
      <c r="F2163" t="s">
        <v>30052</v>
      </c>
      <c r="G2163" t="s">
        <v>30059</v>
      </c>
      <c r="H2163" t="s">
        <v>15498</v>
      </c>
      <c r="I2163" t="s">
        <v>30084</v>
      </c>
      <c r="J2163" t="s">
        <v>31713</v>
      </c>
      <c r="K2163" t="s">
        <v>39034</v>
      </c>
      <c r="M2163" t="s">
        <v>39708</v>
      </c>
      <c r="N2163" t="s">
        <v>43166</v>
      </c>
      <c r="O2163" t="s">
        <v>43167</v>
      </c>
      <c r="P2163">
        <v>0</v>
      </c>
      <c r="Q2163">
        <v>4</v>
      </c>
      <c r="R2163" t="s">
        <v>43170</v>
      </c>
      <c r="S2163" t="s">
        <v>43297</v>
      </c>
      <c r="T2163" t="s">
        <v>44841</v>
      </c>
      <c r="U2163" t="s">
        <v>46979</v>
      </c>
      <c r="W2163" t="s">
        <v>39708</v>
      </c>
      <c r="X2163" t="s">
        <v>43171</v>
      </c>
    </row>
    <row r="2164" spans="1:24">
      <c r="A2164">
        <f>HYPERLINK("https://www.philgeps.gov.ph/GEPSNONPILOT/Tender/SplashBidNoticeAbstractUI.aspx?menuIndex=3&amp;refID=7085701&amp;Result=3","7085701")</f>
        <v>0</v>
      </c>
      <c r="B2164" t="s">
        <v>896</v>
      </c>
      <c r="C2164" t="s">
        <v>5488</v>
      </c>
      <c r="D2164" t="s">
        <v>17440</v>
      </c>
      <c r="E2164" t="s">
        <v>19411</v>
      </c>
      <c r="F2164" t="s">
        <v>30052</v>
      </c>
      <c r="G2164" t="s">
        <v>30058</v>
      </c>
      <c r="H2164" t="s">
        <v>15498</v>
      </c>
      <c r="I2164" t="s">
        <v>30106</v>
      </c>
      <c r="J2164" t="s">
        <v>31714</v>
      </c>
      <c r="K2164" t="s">
        <v>39025</v>
      </c>
      <c r="M2164" t="s">
        <v>40215</v>
      </c>
      <c r="N2164" t="s">
        <v>43166</v>
      </c>
      <c r="O2164" t="s">
        <v>43167</v>
      </c>
      <c r="P2164">
        <v>0</v>
      </c>
      <c r="Q2164">
        <v>8</v>
      </c>
      <c r="R2164" t="s">
        <v>43170</v>
      </c>
      <c r="S2164" t="s">
        <v>43297</v>
      </c>
      <c r="T2164" t="s">
        <v>44901</v>
      </c>
      <c r="U2164" t="s">
        <v>46980</v>
      </c>
      <c r="V2164" t="s">
        <v>57075</v>
      </c>
      <c r="W2164" t="s">
        <v>40215</v>
      </c>
      <c r="X2164" t="s">
        <v>43171</v>
      </c>
    </row>
    <row r="2165" spans="1:24">
      <c r="A2165">
        <f>HYPERLINK("https://www.philgeps.gov.ph/GEPSNONPILOT/Tender/SplashBidNoticeAbstractUI.aspx?menuIndex=3&amp;refID=7085700&amp;Result=3","7085700")</f>
        <v>0</v>
      </c>
      <c r="B2165" t="s">
        <v>897</v>
      </c>
      <c r="C2165" t="s">
        <v>5489</v>
      </c>
      <c r="D2165" t="s">
        <v>17470</v>
      </c>
      <c r="E2165" t="s">
        <v>19412</v>
      </c>
      <c r="F2165" t="s">
        <v>30052</v>
      </c>
      <c r="G2165" t="s">
        <v>30058</v>
      </c>
      <c r="H2165" t="s">
        <v>30067</v>
      </c>
      <c r="I2165" t="s">
        <v>3693</v>
      </c>
      <c r="J2165" t="s">
        <v>30542</v>
      </c>
      <c r="K2165" t="s">
        <v>39057</v>
      </c>
      <c r="M2165" t="s">
        <v>40216</v>
      </c>
      <c r="N2165" t="s">
        <v>43166</v>
      </c>
      <c r="O2165" t="s">
        <v>43167</v>
      </c>
      <c r="P2165">
        <v>0</v>
      </c>
      <c r="Q2165">
        <v>0</v>
      </c>
      <c r="R2165" t="s">
        <v>43170</v>
      </c>
      <c r="S2165" t="s">
        <v>43297</v>
      </c>
      <c r="T2165" t="s">
        <v>44906</v>
      </c>
      <c r="U2165" t="s">
        <v>46981</v>
      </c>
      <c r="W2165" t="s">
        <v>40216</v>
      </c>
      <c r="X2165" t="s">
        <v>43171</v>
      </c>
    </row>
    <row r="2166" spans="1:24">
      <c r="A2166">
        <f>HYPERLINK("https://www.philgeps.gov.ph/GEPSNONPILOT/Tender/SplashBidNoticeAbstractUI.aspx?menuIndex=3&amp;refID=7085710&amp;Result=3","7085710")</f>
        <v>0</v>
      </c>
      <c r="B2166" t="s">
        <v>726</v>
      </c>
      <c r="C2166" t="s">
        <v>5153</v>
      </c>
      <c r="D2166" t="s">
        <v>17477</v>
      </c>
      <c r="E2166" t="s">
        <v>17888</v>
      </c>
      <c r="F2166" t="s">
        <v>30052</v>
      </c>
      <c r="G2166" t="s">
        <v>30061</v>
      </c>
      <c r="H2166" t="s">
        <v>15498</v>
      </c>
      <c r="I2166" t="s">
        <v>7228</v>
      </c>
      <c r="J2166" t="s">
        <v>31715</v>
      </c>
      <c r="K2166" t="s">
        <v>39019</v>
      </c>
      <c r="M2166" t="s">
        <v>40037</v>
      </c>
      <c r="N2166" t="s">
        <v>43166</v>
      </c>
      <c r="O2166" t="s">
        <v>43167</v>
      </c>
      <c r="P2166">
        <v>0</v>
      </c>
      <c r="Q2166">
        <v>1</v>
      </c>
      <c r="R2166" t="s">
        <v>43170</v>
      </c>
      <c r="S2166" t="s">
        <v>43297</v>
      </c>
      <c r="T2166" t="s">
        <v>44714</v>
      </c>
      <c r="U2166" t="s">
        <v>46982</v>
      </c>
      <c r="W2166" t="s">
        <v>58613</v>
      </c>
      <c r="X2166" t="s">
        <v>43171</v>
      </c>
    </row>
    <row r="2167" spans="1:24">
      <c r="A2167">
        <f>HYPERLINK("https://www.philgeps.gov.ph/GEPSNONPILOT/Tender/SplashBidNoticeAbstractUI.aspx?menuIndex=3&amp;refID=7085699&amp;Result=3","7085699")</f>
        <v>0</v>
      </c>
      <c r="B2167" t="s">
        <v>637</v>
      </c>
      <c r="C2167" t="s">
        <v>5490</v>
      </c>
      <c r="D2167" t="s">
        <v>17468</v>
      </c>
      <c r="E2167" t="s">
        <v>19413</v>
      </c>
      <c r="F2167" t="s">
        <v>30052</v>
      </c>
      <c r="G2167" t="s">
        <v>30059</v>
      </c>
      <c r="H2167" t="s">
        <v>15498</v>
      </c>
      <c r="I2167" t="s">
        <v>30084</v>
      </c>
      <c r="J2167" t="s">
        <v>30337</v>
      </c>
      <c r="K2167" t="s">
        <v>39025</v>
      </c>
      <c r="M2167" t="s">
        <v>39941</v>
      </c>
      <c r="N2167" t="s">
        <v>43166</v>
      </c>
      <c r="O2167" t="s">
        <v>43167</v>
      </c>
      <c r="P2167">
        <v>0</v>
      </c>
      <c r="Q2167">
        <v>1</v>
      </c>
      <c r="R2167" t="s">
        <v>43170</v>
      </c>
      <c r="S2167" t="s">
        <v>43297</v>
      </c>
      <c r="T2167" t="s">
        <v>44732</v>
      </c>
      <c r="U2167" t="s">
        <v>46983</v>
      </c>
      <c r="W2167" t="s">
        <v>39941</v>
      </c>
      <c r="X2167" t="s">
        <v>43171</v>
      </c>
    </row>
    <row r="2168" spans="1:24">
      <c r="A2168">
        <f>HYPERLINK("https://www.philgeps.gov.ph/GEPSNONPILOT/Tender/SplashBidNoticeAbstractUI.aspx?menuIndex=3&amp;refID=7085698&amp;Result=3","7085698")</f>
        <v>0</v>
      </c>
      <c r="B2168" t="s">
        <v>360</v>
      </c>
      <c r="C2168" t="s">
        <v>5491</v>
      </c>
      <c r="E2168" t="s">
        <v>19414</v>
      </c>
      <c r="F2168" t="s">
        <v>30052</v>
      </c>
      <c r="G2168" t="s">
        <v>30059</v>
      </c>
      <c r="H2168" t="s">
        <v>15498</v>
      </c>
      <c r="I2168" t="s">
        <v>30117</v>
      </c>
      <c r="J2168" t="s">
        <v>31716</v>
      </c>
      <c r="K2168" t="s">
        <v>39046</v>
      </c>
      <c r="M2168" t="s">
        <v>39657</v>
      </c>
      <c r="N2168" t="s">
        <v>43166</v>
      </c>
      <c r="O2168" t="s">
        <v>43167</v>
      </c>
      <c r="P2168">
        <v>0</v>
      </c>
      <c r="Q2168">
        <v>2</v>
      </c>
      <c r="R2168" t="s">
        <v>43170</v>
      </c>
      <c r="S2168" t="s">
        <v>43297</v>
      </c>
      <c r="T2168" t="s">
        <v>44895</v>
      </c>
      <c r="U2168" t="s">
        <v>46847</v>
      </c>
      <c r="V2168" t="s">
        <v>56908</v>
      </c>
      <c r="W2168" t="s">
        <v>41004</v>
      </c>
      <c r="X2168" t="s">
        <v>43171</v>
      </c>
    </row>
    <row r="2169" spans="1:24">
      <c r="A2169">
        <f>HYPERLINK("https://www.philgeps.gov.ph/GEPSNONPILOT/Tender/SplashBidNoticeAbstractUI.aspx?menuIndex=3&amp;refID=7085695&amp;Result=3","7085695")</f>
        <v>0</v>
      </c>
      <c r="B2169" t="s">
        <v>898</v>
      </c>
      <c r="C2169" t="s">
        <v>5492</v>
      </c>
      <c r="D2169" t="s">
        <v>17449</v>
      </c>
      <c r="E2169" t="s">
        <v>19415</v>
      </c>
      <c r="F2169" t="s">
        <v>30052</v>
      </c>
      <c r="G2169" t="s">
        <v>30059</v>
      </c>
      <c r="H2169" t="s">
        <v>15498</v>
      </c>
      <c r="I2169" t="s">
        <v>30097</v>
      </c>
      <c r="J2169" t="s">
        <v>31717</v>
      </c>
      <c r="K2169" t="s">
        <v>39034</v>
      </c>
      <c r="M2169" t="s">
        <v>40217</v>
      </c>
      <c r="N2169" t="s">
        <v>43166</v>
      </c>
      <c r="O2169" t="s">
        <v>43167</v>
      </c>
      <c r="P2169">
        <v>0</v>
      </c>
      <c r="Q2169">
        <v>0</v>
      </c>
      <c r="R2169" t="s">
        <v>43170</v>
      </c>
      <c r="S2169" t="s">
        <v>43297</v>
      </c>
      <c r="T2169" t="s">
        <v>44816</v>
      </c>
      <c r="U2169" t="s">
        <v>46984</v>
      </c>
      <c r="W2169" t="s">
        <v>40217</v>
      </c>
      <c r="X2169" t="s">
        <v>43171</v>
      </c>
    </row>
    <row r="2170" spans="1:24">
      <c r="A2170">
        <f>HYPERLINK("https://www.philgeps.gov.ph/GEPSNONPILOT/Tender/SplashBidNoticeAbstractUI.aspx?menuIndex=3&amp;refID=7085694&amp;Result=3","7085694")</f>
        <v>0</v>
      </c>
      <c r="B2170" t="s">
        <v>899</v>
      </c>
      <c r="C2170" t="s">
        <v>5493</v>
      </c>
      <c r="D2170" t="s">
        <v>17476</v>
      </c>
      <c r="E2170" t="s">
        <v>19416</v>
      </c>
      <c r="F2170" t="s">
        <v>30052</v>
      </c>
      <c r="G2170" t="s">
        <v>30061</v>
      </c>
      <c r="H2170" t="s">
        <v>15498</v>
      </c>
      <c r="I2170" t="s">
        <v>30096</v>
      </c>
      <c r="J2170" t="s">
        <v>31718</v>
      </c>
      <c r="K2170" t="s">
        <v>39017</v>
      </c>
      <c r="M2170" t="s">
        <v>40218</v>
      </c>
      <c r="N2170" t="s">
        <v>43166</v>
      </c>
      <c r="O2170" t="s">
        <v>43167</v>
      </c>
      <c r="P2170">
        <v>0</v>
      </c>
      <c r="Q2170">
        <v>1</v>
      </c>
      <c r="R2170" t="s">
        <v>43170</v>
      </c>
      <c r="S2170" t="s">
        <v>43297</v>
      </c>
      <c r="T2170" t="s">
        <v>44806</v>
      </c>
      <c r="U2170" t="s">
        <v>46985</v>
      </c>
      <c r="W2170" t="s">
        <v>40218</v>
      </c>
      <c r="X2170" t="s">
        <v>43171</v>
      </c>
    </row>
    <row r="2171" spans="1:24">
      <c r="A2171">
        <f>HYPERLINK("https://www.philgeps.gov.ph/GEPSNONPILOT/Tender/SplashBidNoticeAbstractUI.aspx?menuIndex=3&amp;refID=7085679&amp;Result=3","7085679")</f>
        <v>0</v>
      </c>
      <c r="B2171" t="s">
        <v>409</v>
      </c>
      <c r="C2171" t="s">
        <v>5494</v>
      </c>
      <c r="D2171" t="s">
        <v>17473</v>
      </c>
      <c r="E2171" t="s">
        <v>19417</v>
      </c>
      <c r="F2171" t="s">
        <v>30052</v>
      </c>
      <c r="G2171" t="s">
        <v>30059</v>
      </c>
      <c r="H2171" t="s">
        <v>15498</v>
      </c>
      <c r="I2171" t="s">
        <v>3736</v>
      </c>
      <c r="J2171" t="s">
        <v>31719</v>
      </c>
      <c r="K2171" t="s">
        <v>39034</v>
      </c>
      <c r="M2171" t="s">
        <v>39708</v>
      </c>
      <c r="N2171" t="s">
        <v>43166</v>
      </c>
      <c r="O2171" t="s">
        <v>43167</v>
      </c>
      <c r="P2171">
        <v>0</v>
      </c>
      <c r="Q2171">
        <v>0</v>
      </c>
      <c r="R2171" t="s">
        <v>43170</v>
      </c>
      <c r="S2171" t="s">
        <v>43297</v>
      </c>
      <c r="T2171" t="s">
        <v>44734</v>
      </c>
      <c r="U2171" t="s">
        <v>46986</v>
      </c>
      <c r="W2171" t="s">
        <v>39708</v>
      </c>
      <c r="X2171" t="s">
        <v>43171</v>
      </c>
    </row>
    <row r="2172" spans="1:24">
      <c r="A2172">
        <f>HYPERLINK("https://www.philgeps.gov.ph/GEPSNONPILOT/Tender/SplashBidNoticeAbstractUI.aspx?menuIndex=3&amp;refID=7085703&amp;Result=3","7085703")</f>
        <v>0</v>
      </c>
      <c r="B2172" t="s">
        <v>868</v>
      </c>
      <c r="C2172" t="s">
        <v>5495</v>
      </c>
      <c r="D2172" t="s">
        <v>17422</v>
      </c>
      <c r="E2172" t="s">
        <v>19418</v>
      </c>
      <c r="F2172" t="s">
        <v>30052</v>
      </c>
      <c r="G2172" t="s">
        <v>30058</v>
      </c>
      <c r="H2172" t="s">
        <v>15498</v>
      </c>
      <c r="I2172" t="s">
        <v>3736</v>
      </c>
      <c r="J2172" t="s">
        <v>31720</v>
      </c>
      <c r="K2172" t="s">
        <v>39037</v>
      </c>
      <c r="M2172" t="s">
        <v>40187</v>
      </c>
      <c r="N2172" t="s">
        <v>43166</v>
      </c>
      <c r="O2172" t="s">
        <v>43167</v>
      </c>
      <c r="P2172">
        <v>0</v>
      </c>
      <c r="Q2172">
        <v>2</v>
      </c>
      <c r="R2172" t="s">
        <v>43170</v>
      </c>
      <c r="S2172" t="s">
        <v>43297</v>
      </c>
      <c r="T2172" t="s">
        <v>44907</v>
      </c>
      <c r="U2172" t="s">
        <v>46987</v>
      </c>
      <c r="V2172" t="s">
        <v>57076</v>
      </c>
      <c r="W2172" t="s">
        <v>40187</v>
      </c>
      <c r="X2172" t="s">
        <v>43171</v>
      </c>
    </row>
    <row r="2173" spans="1:24">
      <c r="A2173">
        <f>HYPERLINK("https://www.philgeps.gov.ph/GEPSNONPILOT/Tender/SplashBidNoticeAbstractUI.aspx?menuIndex=3&amp;refID=7085690&amp;Result=3","7085690")</f>
        <v>0</v>
      </c>
      <c r="B2173" t="s">
        <v>825</v>
      </c>
      <c r="C2173" t="s">
        <v>5496</v>
      </c>
      <c r="D2173" t="s">
        <v>17445</v>
      </c>
      <c r="E2173" t="s">
        <v>19419</v>
      </c>
      <c r="F2173" t="s">
        <v>30052</v>
      </c>
      <c r="G2173" t="s">
        <v>30059</v>
      </c>
      <c r="H2173" t="s">
        <v>15498</v>
      </c>
      <c r="I2173" t="s">
        <v>30159</v>
      </c>
      <c r="J2173" t="s">
        <v>31721</v>
      </c>
      <c r="K2173" t="s">
        <v>39029</v>
      </c>
      <c r="M2173" t="s">
        <v>40142</v>
      </c>
      <c r="N2173" t="s">
        <v>43166</v>
      </c>
      <c r="O2173" t="s">
        <v>43167</v>
      </c>
      <c r="P2173">
        <v>0</v>
      </c>
      <c r="Q2173">
        <v>0</v>
      </c>
      <c r="R2173" t="s">
        <v>43170</v>
      </c>
      <c r="S2173" t="s">
        <v>43297</v>
      </c>
      <c r="T2173" t="s">
        <v>44844</v>
      </c>
      <c r="U2173" t="s">
        <v>46988</v>
      </c>
      <c r="W2173" t="s">
        <v>40142</v>
      </c>
      <c r="X2173" t="s">
        <v>43171</v>
      </c>
    </row>
    <row r="2174" spans="1:24">
      <c r="A2174">
        <f>HYPERLINK("https://www.philgeps.gov.ph/GEPSNONPILOT/Tender/SplashBidNoticeAbstractUI.aspx?menuIndex=3&amp;refID=7085755&amp;Result=3","7085755")</f>
        <v>0</v>
      </c>
      <c r="B2174" t="s">
        <v>900</v>
      </c>
      <c r="C2174" t="s">
        <v>5497</v>
      </c>
      <c r="D2174" t="s">
        <v>17443</v>
      </c>
      <c r="E2174" t="s">
        <v>19420</v>
      </c>
      <c r="F2174" t="s">
        <v>30052</v>
      </c>
      <c r="G2174" t="s">
        <v>30059</v>
      </c>
      <c r="H2174" t="s">
        <v>15498</v>
      </c>
      <c r="I2174" t="s">
        <v>30071</v>
      </c>
      <c r="J2174" t="s">
        <v>31722</v>
      </c>
      <c r="K2174" t="s">
        <v>39017</v>
      </c>
      <c r="M2174" t="s">
        <v>40219</v>
      </c>
      <c r="N2174" t="s">
        <v>43166</v>
      </c>
      <c r="O2174" t="s">
        <v>43167</v>
      </c>
      <c r="P2174">
        <v>0</v>
      </c>
      <c r="Q2174">
        <v>0</v>
      </c>
      <c r="R2174" t="s">
        <v>43170</v>
      </c>
      <c r="S2174" t="s">
        <v>43297</v>
      </c>
      <c r="T2174" t="s">
        <v>44832</v>
      </c>
      <c r="U2174" t="s">
        <v>46989</v>
      </c>
      <c r="W2174" t="s">
        <v>40219</v>
      </c>
      <c r="X2174" t="s">
        <v>43171</v>
      </c>
    </row>
    <row r="2175" spans="1:24">
      <c r="A2175">
        <f>HYPERLINK("https://www.philgeps.gov.ph/GEPSNONPILOT/Tender/SplashBidNoticeAbstractUI.aspx?menuIndex=3&amp;refID=7085697&amp;Result=3","7085697")</f>
        <v>0</v>
      </c>
      <c r="B2175" t="s">
        <v>901</v>
      </c>
      <c r="C2175" t="s">
        <v>5498</v>
      </c>
      <c r="D2175" t="s">
        <v>17414</v>
      </c>
      <c r="E2175" t="s">
        <v>19421</v>
      </c>
      <c r="F2175" t="s">
        <v>30052</v>
      </c>
      <c r="G2175" t="s">
        <v>30061</v>
      </c>
      <c r="H2175" t="s">
        <v>15498</v>
      </c>
      <c r="I2175" t="s">
        <v>30078</v>
      </c>
      <c r="J2175" t="s">
        <v>31723</v>
      </c>
      <c r="K2175" t="s">
        <v>39019</v>
      </c>
      <c r="M2175" t="s">
        <v>40220</v>
      </c>
      <c r="N2175" t="s">
        <v>43166</v>
      </c>
      <c r="O2175" t="s">
        <v>43167</v>
      </c>
      <c r="P2175">
        <v>0</v>
      </c>
      <c r="Q2175">
        <v>1</v>
      </c>
      <c r="R2175" t="s">
        <v>43170</v>
      </c>
      <c r="S2175" t="s">
        <v>43297</v>
      </c>
      <c r="T2175" t="s">
        <v>44717</v>
      </c>
      <c r="U2175" t="s">
        <v>46990</v>
      </c>
      <c r="W2175" t="s">
        <v>40220</v>
      </c>
      <c r="X2175" t="s">
        <v>43171</v>
      </c>
    </row>
    <row r="2176" spans="1:24">
      <c r="A2176">
        <f>HYPERLINK("https://www.philgeps.gov.ph/GEPSNONPILOT/Tender/SplashBidNoticeAbstractUI.aspx?menuIndex=3&amp;refID=7085748&amp;Result=3","7085748")</f>
        <v>0</v>
      </c>
      <c r="B2176" t="s">
        <v>799</v>
      </c>
      <c r="C2176" t="s">
        <v>5499</v>
      </c>
      <c r="D2176" t="s">
        <v>17423</v>
      </c>
      <c r="E2176" t="s">
        <v>19422</v>
      </c>
      <c r="F2176" t="s">
        <v>30052</v>
      </c>
      <c r="G2176" t="s">
        <v>30058</v>
      </c>
      <c r="H2176" t="s">
        <v>15498</v>
      </c>
      <c r="I2176" t="s">
        <v>3736</v>
      </c>
      <c r="J2176" t="s">
        <v>31724</v>
      </c>
      <c r="K2176" t="s">
        <v>39043</v>
      </c>
      <c r="M2176" t="s">
        <v>40116</v>
      </c>
      <c r="N2176" t="s">
        <v>43166</v>
      </c>
      <c r="O2176" t="s">
        <v>43167</v>
      </c>
      <c r="P2176">
        <v>0</v>
      </c>
      <c r="Q2176">
        <v>0</v>
      </c>
      <c r="R2176" t="s">
        <v>43170</v>
      </c>
      <c r="S2176" t="s">
        <v>43297</v>
      </c>
      <c r="T2176" t="s">
        <v>44681</v>
      </c>
      <c r="U2176" t="s">
        <v>46991</v>
      </c>
      <c r="V2176" t="s">
        <v>57040</v>
      </c>
      <c r="W2176" t="s">
        <v>40116</v>
      </c>
      <c r="X2176" t="s">
        <v>43171</v>
      </c>
    </row>
    <row r="2177" spans="1:24">
      <c r="A2177">
        <f>HYPERLINK("https://www.philgeps.gov.ph/GEPSNONPILOT/Tender/SplashBidNoticeAbstractUI.aspx?menuIndex=3&amp;refID=7085674&amp;Result=3","7085674")</f>
        <v>0</v>
      </c>
      <c r="B2177" t="s">
        <v>882</v>
      </c>
      <c r="C2177" t="s">
        <v>5500</v>
      </c>
      <c r="D2177" t="s">
        <v>17476</v>
      </c>
      <c r="E2177" t="s">
        <v>19423</v>
      </c>
      <c r="F2177" t="s">
        <v>30052</v>
      </c>
      <c r="G2177" t="s">
        <v>30059</v>
      </c>
      <c r="H2177" t="s">
        <v>15498</v>
      </c>
      <c r="I2177" t="s">
        <v>8323</v>
      </c>
      <c r="J2177" t="s">
        <v>31725</v>
      </c>
      <c r="K2177" t="s">
        <v>39017</v>
      </c>
      <c r="M2177" t="s">
        <v>40201</v>
      </c>
      <c r="N2177" t="s">
        <v>43166</v>
      </c>
      <c r="O2177" t="s">
        <v>43167</v>
      </c>
      <c r="P2177">
        <v>0</v>
      </c>
      <c r="Q2177">
        <v>4</v>
      </c>
      <c r="R2177" t="s">
        <v>43170</v>
      </c>
      <c r="S2177" t="s">
        <v>43297</v>
      </c>
      <c r="T2177" t="s">
        <v>44844</v>
      </c>
      <c r="U2177" t="s">
        <v>46944</v>
      </c>
      <c r="W2177" t="s">
        <v>40201</v>
      </c>
      <c r="X2177" t="s">
        <v>43171</v>
      </c>
    </row>
    <row r="2178" spans="1:24">
      <c r="A2178">
        <f>HYPERLINK("https://www.philgeps.gov.ph/GEPSNONPILOT/Tender/SplashBidNoticeAbstractUI.aspx?menuIndex=3&amp;refID=7085707&amp;Result=3","7085707")</f>
        <v>0</v>
      </c>
      <c r="B2178" t="s">
        <v>860</v>
      </c>
      <c r="C2178" t="s">
        <v>5501</v>
      </c>
      <c r="D2178" t="s">
        <v>17484</v>
      </c>
      <c r="E2178" t="s">
        <v>19424</v>
      </c>
      <c r="F2178" t="s">
        <v>30052</v>
      </c>
      <c r="G2178" t="s">
        <v>30058</v>
      </c>
      <c r="H2178" t="s">
        <v>15498</v>
      </c>
      <c r="I2178" t="s">
        <v>30117</v>
      </c>
      <c r="J2178" t="s">
        <v>31726</v>
      </c>
      <c r="K2178" t="s">
        <v>39029</v>
      </c>
      <c r="M2178" t="s">
        <v>40177</v>
      </c>
      <c r="N2178" t="s">
        <v>43166</v>
      </c>
      <c r="O2178" t="s">
        <v>43167</v>
      </c>
      <c r="P2178">
        <v>0</v>
      </c>
      <c r="Q2178">
        <v>0</v>
      </c>
      <c r="R2178" t="s">
        <v>43170</v>
      </c>
      <c r="S2178" t="s">
        <v>43297</v>
      </c>
      <c r="T2178" t="s">
        <v>44684</v>
      </c>
      <c r="U2178" t="s">
        <v>46900</v>
      </c>
      <c r="W2178" t="s">
        <v>40177</v>
      </c>
      <c r="X2178" t="s">
        <v>43171</v>
      </c>
    </row>
    <row r="2179" spans="1:24">
      <c r="A2179">
        <f>HYPERLINK("https://www.philgeps.gov.ph/GEPSNONPILOT/Tender/SplashBidNoticeAbstractUI.aspx?menuIndex=3&amp;refID=7085746&amp;Result=3","7085746")</f>
        <v>0</v>
      </c>
      <c r="B2179" t="s">
        <v>795</v>
      </c>
      <c r="C2179" t="s">
        <v>5502</v>
      </c>
      <c r="D2179" t="s">
        <v>17466</v>
      </c>
      <c r="E2179" t="s">
        <v>19425</v>
      </c>
      <c r="F2179" t="s">
        <v>30052</v>
      </c>
      <c r="G2179" t="s">
        <v>30059</v>
      </c>
      <c r="H2179" t="s">
        <v>15498</v>
      </c>
      <c r="I2179" t="s">
        <v>30081</v>
      </c>
      <c r="J2179" t="s">
        <v>31480</v>
      </c>
      <c r="K2179" t="s">
        <v>39029</v>
      </c>
      <c r="M2179" t="s">
        <v>40112</v>
      </c>
      <c r="N2179" t="s">
        <v>43166</v>
      </c>
      <c r="O2179" t="s">
        <v>43167</v>
      </c>
      <c r="P2179">
        <v>0</v>
      </c>
      <c r="Q2179">
        <v>0</v>
      </c>
      <c r="R2179" t="s">
        <v>43170</v>
      </c>
      <c r="S2179" t="s">
        <v>43297</v>
      </c>
      <c r="T2179" t="s">
        <v>44773</v>
      </c>
      <c r="U2179" t="s">
        <v>46797</v>
      </c>
      <c r="V2179" t="s">
        <v>57037</v>
      </c>
      <c r="W2179" t="s">
        <v>40112</v>
      </c>
      <c r="X2179" t="s">
        <v>43171</v>
      </c>
    </row>
    <row r="2180" spans="1:24">
      <c r="A2180">
        <f>HYPERLINK("https://www.philgeps.gov.ph/GEPSNONPILOT/Tender/SplashBidNoticeAbstractUI.aspx?menuIndex=3&amp;refID=7085745&amp;Result=3","7085745")</f>
        <v>0</v>
      </c>
      <c r="B2180" t="s">
        <v>902</v>
      </c>
      <c r="C2180" t="s">
        <v>5503</v>
      </c>
      <c r="D2180" t="s">
        <v>17444</v>
      </c>
      <c r="E2180" t="s">
        <v>19426</v>
      </c>
      <c r="F2180" t="s">
        <v>30052</v>
      </c>
      <c r="G2180" t="s">
        <v>30059</v>
      </c>
      <c r="H2180" t="s">
        <v>15498</v>
      </c>
      <c r="I2180" t="s">
        <v>4119</v>
      </c>
      <c r="J2180" t="s">
        <v>31727</v>
      </c>
      <c r="K2180" t="s">
        <v>39017</v>
      </c>
      <c r="M2180" t="s">
        <v>40221</v>
      </c>
      <c r="N2180" t="s">
        <v>43166</v>
      </c>
      <c r="O2180" t="s">
        <v>43167</v>
      </c>
      <c r="P2180">
        <v>0</v>
      </c>
      <c r="Q2180">
        <v>0</v>
      </c>
      <c r="R2180" t="s">
        <v>43170</v>
      </c>
      <c r="S2180" t="s">
        <v>43297</v>
      </c>
      <c r="T2180" t="s">
        <v>44705</v>
      </c>
      <c r="U2180" t="s">
        <v>46992</v>
      </c>
      <c r="W2180" t="s">
        <v>40221</v>
      </c>
      <c r="X2180" t="s">
        <v>43171</v>
      </c>
    </row>
    <row r="2181" spans="1:24">
      <c r="A2181">
        <f>HYPERLINK("https://www.philgeps.gov.ph/GEPSNONPILOT/Tender/SplashBidNoticeAbstractUI.aspx?menuIndex=3&amp;refID=7085736&amp;Result=3","7085736")</f>
        <v>0</v>
      </c>
      <c r="B2181" t="s">
        <v>687</v>
      </c>
      <c r="C2181" t="s">
        <v>5504</v>
      </c>
      <c r="D2181" t="s">
        <v>17435</v>
      </c>
      <c r="E2181" t="s">
        <v>19427</v>
      </c>
      <c r="F2181" t="s">
        <v>30052</v>
      </c>
      <c r="G2181" t="s">
        <v>30058</v>
      </c>
      <c r="H2181" t="s">
        <v>30067</v>
      </c>
      <c r="I2181" t="s">
        <v>3693</v>
      </c>
      <c r="J2181" t="s">
        <v>31728</v>
      </c>
      <c r="K2181" t="s">
        <v>39057</v>
      </c>
      <c r="M2181" t="s">
        <v>40222</v>
      </c>
      <c r="N2181" t="s">
        <v>43166</v>
      </c>
      <c r="O2181" t="s">
        <v>43167</v>
      </c>
      <c r="P2181">
        <v>0</v>
      </c>
      <c r="Q2181">
        <v>0</v>
      </c>
      <c r="R2181" t="s">
        <v>43170</v>
      </c>
      <c r="S2181" t="s">
        <v>43297</v>
      </c>
      <c r="T2181" t="s">
        <v>44684</v>
      </c>
      <c r="U2181" t="s">
        <v>46993</v>
      </c>
      <c r="W2181" t="s">
        <v>40222</v>
      </c>
      <c r="X2181" t="s">
        <v>43171</v>
      </c>
    </row>
    <row r="2182" spans="1:24">
      <c r="A2182">
        <f>HYPERLINK("https://www.philgeps.gov.ph/GEPSNONPILOT/Tender/SplashBidNoticeAbstractUI.aspx?menuIndex=3&amp;refID=7085734&amp;Result=3","7085734")</f>
        <v>0</v>
      </c>
      <c r="B2182" t="s">
        <v>903</v>
      </c>
      <c r="C2182" t="s">
        <v>5505</v>
      </c>
      <c r="E2182" t="s">
        <v>19428</v>
      </c>
      <c r="F2182" t="s">
        <v>30052</v>
      </c>
      <c r="G2182" t="s">
        <v>30059</v>
      </c>
      <c r="H2182" t="s">
        <v>15498</v>
      </c>
      <c r="I2182" t="s">
        <v>30109</v>
      </c>
      <c r="J2182" t="s">
        <v>31729</v>
      </c>
      <c r="K2182" t="s">
        <v>39025</v>
      </c>
      <c r="M2182" t="s">
        <v>40223</v>
      </c>
      <c r="N2182" t="s">
        <v>43166</v>
      </c>
      <c r="O2182" t="s">
        <v>43167</v>
      </c>
      <c r="P2182">
        <v>0</v>
      </c>
      <c r="Q2182">
        <v>0</v>
      </c>
      <c r="R2182" t="s">
        <v>43170</v>
      </c>
      <c r="S2182" t="s">
        <v>43297</v>
      </c>
      <c r="T2182" t="s">
        <v>44862</v>
      </c>
      <c r="U2182" t="s">
        <v>46994</v>
      </c>
      <c r="W2182" t="s">
        <v>40223</v>
      </c>
      <c r="X2182" t="s">
        <v>43171</v>
      </c>
    </row>
    <row r="2183" spans="1:24">
      <c r="A2183">
        <f>HYPERLINK("https://www.philgeps.gov.ph/GEPSNONPILOT/Tender/SplashBidNoticeAbstractUI.aspx?menuIndex=3&amp;refID=7085730&amp;Result=3","7085730")</f>
        <v>0</v>
      </c>
      <c r="B2183" t="s">
        <v>360</v>
      </c>
      <c r="C2183" t="s">
        <v>5506</v>
      </c>
      <c r="E2183" t="s">
        <v>19429</v>
      </c>
      <c r="F2183" t="s">
        <v>30052</v>
      </c>
      <c r="G2183" t="s">
        <v>30059</v>
      </c>
      <c r="H2183" t="s">
        <v>15498</v>
      </c>
      <c r="I2183" t="s">
        <v>30091</v>
      </c>
      <c r="J2183" t="s">
        <v>31730</v>
      </c>
      <c r="K2183" t="s">
        <v>39054</v>
      </c>
      <c r="M2183" t="s">
        <v>39657</v>
      </c>
      <c r="N2183" t="s">
        <v>43166</v>
      </c>
      <c r="O2183" t="s">
        <v>43167</v>
      </c>
      <c r="P2183">
        <v>0</v>
      </c>
      <c r="Q2183">
        <v>5</v>
      </c>
      <c r="R2183" t="s">
        <v>43170</v>
      </c>
      <c r="S2183" t="s">
        <v>43297</v>
      </c>
      <c r="T2183" t="s">
        <v>44895</v>
      </c>
      <c r="U2183" t="s">
        <v>46847</v>
      </c>
      <c r="V2183" t="s">
        <v>56908</v>
      </c>
      <c r="W2183" t="s">
        <v>41004</v>
      </c>
      <c r="X2183" t="s">
        <v>43171</v>
      </c>
    </row>
    <row r="2184" spans="1:24">
      <c r="A2184">
        <f>HYPERLINK("https://www.philgeps.gov.ph/GEPSNONPILOT/Tender/SplashBidNoticeAbstractUI.aspx?menuIndex=3&amp;refID=7085753&amp;Result=3","7085753")</f>
        <v>0</v>
      </c>
      <c r="B2184" t="s">
        <v>637</v>
      </c>
      <c r="C2184" t="s">
        <v>5507</v>
      </c>
      <c r="D2184" t="s">
        <v>17468</v>
      </c>
      <c r="E2184" t="s">
        <v>19430</v>
      </c>
      <c r="F2184" t="s">
        <v>30052</v>
      </c>
      <c r="G2184" t="s">
        <v>30059</v>
      </c>
      <c r="H2184" t="s">
        <v>15498</v>
      </c>
      <c r="I2184" t="s">
        <v>5961</v>
      </c>
      <c r="J2184" t="s">
        <v>31731</v>
      </c>
      <c r="K2184" t="s">
        <v>39025</v>
      </c>
      <c r="M2184" t="s">
        <v>39941</v>
      </c>
      <c r="N2184" t="s">
        <v>43166</v>
      </c>
      <c r="O2184" t="s">
        <v>43167</v>
      </c>
      <c r="P2184">
        <v>0</v>
      </c>
      <c r="Q2184">
        <v>7</v>
      </c>
      <c r="R2184" t="s">
        <v>43170</v>
      </c>
      <c r="S2184" t="s">
        <v>43297</v>
      </c>
      <c r="T2184" t="s">
        <v>44732</v>
      </c>
      <c r="U2184" t="s">
        <v>46995</v>
      </c>
      <c r="W2184" t="s">
        <v>39941</v>
      </c>
      <c r="X2184" t="s">
        <v>43171</v>
      </c>
    </row>
    <row r="2185" spans="1:24">
      <c r="A2185">
        <f>HYPERLINK("https://www.philgeps.gov.ph/GEPSNONPILOT/Tender/SplashBidNoticeAbstractUI.aspx?menuIndex=3&amp;refID=7085725&amp;Result=3","7085725")</f>
        <v>0</v>
      </c>
      <c r="B2185" t="s">
        <v>637</v>
      </c>
      <c r="C2185" t="s">
        <v>5508</v>
      </c>
      <c r="D2185" t="s">
        <v>17468</v>
      </c>
      <c r="E2185" t="s">
        <v>19431</v>
      </c>
      <c r="F2185" t="s">
        <v>30052</v>
      </c>
      <c r="G2185" t="s">
        <v>30059</v>
      </c>
      <c r="H2185" t="s">
        <v>15498</v>
      </c>
      <c r="I2185" t="s">
        <v>4650</v>
      </c>
      <c r="J2185" t="s">
        <v>30337</v>
      </c>
      <c r="K2185" t="s">
        <v>39025</v>
      </c>
      <c r="M2185" t="s">
        <v>39941</v>
      </c>
      <c r="N2185" t="s">
        <v>43166</v>
      </c>
      <c r="O2185" t="s">
        <v>43167</v>
      </c>
      <c r="P2185">
        <v>0</v>
      </c>
      <c r="Q2185">
        <v>4</v>
      </c>
      <c r="R2185" t="s">
        <v>43170</v>
      </c>
      <c r="S2185" t="s">
        <v>43297</v>
      </c>
      <c r="T2185" t="s">
        <v>44732</v>
      </c>
      <c r="U2185" t="s">
        <v>46996</v>
      </c>
      <c r="W2185" t="s">
        <v>39941</v>
      </c>
      <c r="X2185" t="s">
        <v>43171</v>
      </c>
    </row>
    <row r="2186" spans="1:24">
      <c r="A2186">
        <f>HYPERLINK("https://www.philgeps.gov.ph/GEPSNONPILOT/Tender/SplashBidNoticeAbstractUI.aspx?menuIndex=3&amp;refID=7085708&amp;Result=3","7085708")</f>
        <v>0</v>
      </c>
      <c r="B2186" t="s">
        <v>580</v>
      </c>
      <c r="C2186" t="s">
        <v>5509</v>
      </c>
      <c r="D2186" t="s">
        <v>17415</v>
      </c>
      <c r="E2186" t="s">
        <v>19432</v>
      </c>
      <c r="F2186" t="s">
        <v>30052</v>
      </c>
      <c r="G2186" t="s">
        <v>30059</v>
      </c>
      <c r="H2186" t="s">
        <v>30068</v>
      </c>
      <c r="I2186" t="s">
        <v>30068</v>
      </c>
      <c r="J2186" t="s">
        <v>30900</v>
      </c>
      <c r="K2186" t="s">
        <v>39099</v>
      </c>
      <c r="M2186" t="s">
        <v>40224</v>
      </c>
      <c r="N2186" t="s">
        <v>43166</v>
      </c>
      <c r="O2186" t="s">
        <v>43167</v>
      </c>
      <c r="P2186">
        <v>0</v>
      </c>
      <c r="Q2186">
        <v>3</v>
      </c>
      <c r="R2186" t="s">
        <v>43170</v>
      </c>
      <c r="S2186" t="s">
        <v>43297</v>
      </c>
      <c r="T2186" t="s">
        <v>44837</v>
      </c>
      <c r="U2186" t="s">
        <v>46997</v>
      </c>
      <c r="V2186" t="s">
        <v>57077</v>
      </c>
      <c r="W2186" t="s">
        <v>40224</v>
      </c>
      <c r="X2186" t="s">
        <v>43171</v>
      </c>
    </row>
    <row r="2187" spans="1:24">
      <c r="A2187">
        <f>HYPERLINK("https://www.philgeps.gov.ph/GEPSNONPILOT/Tender/SplashBidNoticeAbstractUI.aspx?menuIndex=3&amp;refID=7085782&amp;Result=3","7085782")</f>
        <v>0</v>
      </c>
      <c r="B2187" t="s">
        <v>687</v>
      </c>
      <c r="C2187" t="s">
        <v>5510</v>
      </c>
      <c r="D2187" t="s">
        <v>17435</v>
      </c>
      <c r="E2187" t="s">
        <v>19433</v>
      </c>
      <c r="F2187" t="s">
        <v>30052</v>
      </c>
      <c r="G2187" t="s">
        <v>30058</v>
      </c>
      <c r="H2187" t="s">
        <v>30067</v>
      </c>
      <c r="I2187" t="s">
        <v>3693</v>
      </c>
      <c r="J2187" t="s">
        <v>31732</v>
      </c>
      <c r="K2187" t="s">
        <v>39100</v>
      </c>
      <c r="M2187" t="s">
        <v>40222</v>
      </c>
      <c r="N2187" t="s">
        <v>43166</v>
      </c>
      <c r="O2187" t="s">
        <v>43167</v>
      </c>
      <c r="P2187">
        <v>0</v>
      </c>
      <c r="Q2187">
        <v>0</v>
      </c>
      <c r="R2187" t="s">
        <v>43170</v>
      </c>
      <c r="S2187" t="s">
        <v>43297</v>
      </c>
      <c r="T2187" t="s">
        <v>44684</v>
      </c>
      <c r="U2187" t="s">
        <v>46998</v>
      </c>
      <c r="W2187" t="s">
        <v>40222</v>
      </c>
      <c r="X2187" t="s">
        <v>43171</v>
      </c>
    </row>
    <row r="2188" spans="1:24">
      <c r="A2188">
        <f>HYPERLINK("https://www.philgeps.gov.ph/GEPSNONPILOT/Tender/SplashBidNoticeAbstractUI.aspx?menuIndex=3&amp;refID=7085693&amp;Result=3","7085693")</f>
        <v>0</v>
      </c>
      <c r="B2188" t="s">
        <v>904</v>
      </c>
      <c r="C2188" t="s">
        <v>5511</v>
      </c>
      <c r="D2188" t="s">
        <v>17466</v>
      </c>
      <c r="E2188" t="s">
        <v>19434</v>
      </c>
      <c r="F2188" t="s">
        <v>30052</v>
      </c>
      <c r="G2188" t="s">
        <v>30061</v>
      </c>
      <c r="H2188" t="s">
        <v>15498</v>
      </c>
      <c r="I2188" t="s">
        <v>30119</v>
      </c>
      <c r="J2188" t="s">
        <v>31733</v>
      </c>
      <c r="K2188" t="s">
        <v>39029</v>
      </c>
      <c r="M2188" t="s">
        <v>40225</v>
      </c>
      <c r="N2188" t="s">
        <v>43166</v>
      </c>
      <c r="O2188" t="s">
        <v>43167</v>
      </c>
      <c r="P2188">
        <v>0</v>
      </c>
      <c r="Q2188">
        <v>1</v>
      </c>
      <c r="R2188" t="s">
        <v>43170</v>
      </c>
      <c r="S2188" t="s">
        <v>43297</v>
      </c>
      <c r="T2188" t="s">
        <v>44723</v>
      </c>
      <c r="U2188" t="s">
        <v>46999</v>
      </c>
      <c r="W2188" t="s">
        <v>40225</v>
      </c>
      <c r="X2188" t="s">
        <v>43171</v>
      </c>
    </row>
    <row r="2189" spans="1:24">
      <c r="A2189">
        <f>HYPERLINK("https://www.philgeps.gov.ph/GEPSNONPILOT/Tender/SplashBidNoticeAbstractUI.aspx?menuIndex=3&amp;refID=7085790&amp;Result=3","7085790")</f>
        <v>0</v>
      </c>
      <c r="B2189" t="s">
        <v>905</v>
      </c>
      <c r="C2189" t="s">
        <v>4312</v>
      </c>
      <c r="D2189" t="s">
        <v>17449</v>
      </c>
      <c r="E2189" t="s">
        <v>19435</v>
      </c>
      <c r="F2189" t="s">
        <v>30052</v>
      </c>
      <c r="G2189" t="s">
        <v>30059</v>
      </c>
      <c r="H2189" t="s">
        <v>15498</v>
      </c>
      <c r="I2189" t="s">
        <v>30074</v>
      </c>
      <c r="J2189" t="s">
        <v>30358</v>
      </c>
      <c r="K2189" t="s">
        <v>39019</v>
      </c>
      <c r="M2189" t="s">
        <v>40226</v>
      </c>
      <c r="N2189" t="s">
        <v>43166</v>
      </c>
      <c r="O2189" t="s">
        <v>43167</v>
      </c>
      <c r="P2189">
        <v>0</v>
      </c>
      <c r="Q2189">
        <v>0</v>
      </c>
      <c r="R2189" t="s">
        <v>43170</v>
      </c>
      <c r="S2189" t="s">
        <v>43297</v>
      </c>
      <c r="T2189" t="s">
        <v>44717</v>
      </c>
      <c r="U2189" t="s">
        <v>47000</v>
      </c>
      <c r="W2189" t="s">
        <v>40226</v>
      </c>
      <c r="X2189" t="s">
        <v>43171</v>
      </c>
    </row>
    <row r="2190" spans="1:24">
      <c r="A2190">
        <f>HYPERLINK("https://www.philgeps.gov.ph/GEPSNONPILOT/Tender/SplashBidNoticeAbstractUI.aspx?menuIndex=3&amp;refID=7085786&amp;Result=3","7085786")</f>
        <v>0</v>
      </c>
      <c r="B2190" t="s">
        <v>906</v>
      </c>
      <c r="C2190" t="s">
        <v>5512</v>
      </c>
      <c r="D2190" t="s">
        <v>17448</v>
      </c>
      <c r="E2190" t="s">
        <v>19436</v>
      </c>
      <c r="F2190" t="s">
        <v>30052</v>
      </c>
      <c r="G2190" t="s">
        <v>30062</v>
      </c>
      <c r="H2190" t="s">
        <v>15498</v>
      </c>
      <c r="I2190" t="s">
        <v>30084</v>
      </c>
      <c r="J2190" t="s">
        <v>30538</v>
      </c>
      <c r="K2190" t="s">
        <v>39018</v>
      </c>
      <c r="M2190" t="s">
        <v>40227</v>
      </c>
      <c r="N2190" t="s">
        <v>43166</v>
      </c>
      <c r="O2190" t="s">
        <v>43167</v>
      </c>
      <c r="P2190">
        <v>0</v>
      </c>
      <c r="Q2190">
        <v>3</v>
      </c>
      <c r="R2190" t="s">
        <v>43170</v>
      </c>
      <c r="S2190" t="s">
        <v>43297</v>
      </c>
      <c r="T2190" t="s">
        <v>44717</v>
      </c>
      <c r="U2190" t="s">
        <v>47001</v>
      </c>
      <c r="W2190" t="s">
        <v>40227</v>
      </c>
      <c r="X2190" t="s">
        <v>43171</v>
      </c>
    </row>
    <row r="2191" spans="1:24">
      <c r="A2191">
        <f>HYPERLINK("https://www.philgeps.gov.ph/GEPSNONPILOT/Tender/SplashBidNoticeAbstractUI.aspx?menuIndex=3&amp;refID=7085742&amp;Result=3","7085742")</f>
        <v>0</v>
      </c>
      <c r="B2191" t="s">
        <v>860</v>
      </c>
      <c r="C2191" t="s">
        <v>5513</v>
      </c>
      <c r="D2191" t="s">
        <v>17484</v>
      </c>
      <c r="E2191" t="s">
        <v>19437</v>
      </c>
      <c r="F2191" t="s">
        <v>30052</v>
      </c>
      <c r="G2191" t="s">
        <v>30058</v>
      </c>
      <c r="H2191" t="s">
        <v>15498</v>
      </c>
      <c r="I2191" t="s">
        <v>30092</v>
      </c>
      <c r="J2191" t="s">
        <v>31734</v>
      </c>
      <c r="K2191" t="s">
        <v>39029</v>
      </c>
      <c r="M2191" t="s">
        <v>40177</v>
      </c>
      <c r="N2191" t="s">
        <v>43166</v>
      </c>
      <c r="O2191" t="s">
        <v>43167</v>
      </c>
      <c r="P2191">
        <v>0</v>
      </c>
      <c r="Q2191">
        <v>0</v>
      </c>
      <c r="R2191" t="s">
        <v>43170</v>
      </c>
      <c r="S2191" t="s">
        <v>43297</v>
      </c>
      <c r="T2191" t="s">
        <v>44684</v>
      </c>
      <c r="U2191" t="s">
        <v>46900</v>
      </c>
      <c r="W2191" t="s">
        <v>40177</v>
      </c>
      <c r="X2191" t="s">
        <v>43171</v>
      </c>
    </row>
    <row r="2192" spans="1:24">
      <c r="A2192">
        <f>HYPERLINK("https://www.philgeps.gov.ph/GEPSNONPILOT/Tender/SplashBidNoticeAbstractUI.aspx?menuIndex=3&amp;refID=7085785&amp;Result=3","7085785")</f>
        <v>0</v>
      </c>
      <c r="B2192" t="s">
        <v>260</v>
      </c>
      <c r="C2192" t="s">
        <v>5514</v>
      </c>
      <c r="D2192" t="s">
        <v>17452</v>
      </c>
      <c r="E2192" t="s">
        <v>19438</v>
      </c>
      <c r="F2192" t="s">
        <v>30052</v>
      </c>
      <c r="G2192" t="s">
        <v>30059</v>
      </c>
      <c r="H2192" t="s">
        <v>15498</v>
      </c>
      <c r="I2192" t="s">
        <v>30084</v>
      </c>
      <c r="J2192" t="s">
        <v>31735</v>
      </c>
      <c r="K2192" t="s">
        <v>39029</v>
      </c>
      <c r="M2192" t="s">
        <v>40228</v>
      </c>
      <c r="N2192" t="s">
        <v>43166</v>
      </c>
      <c r="O2192" t="s">
        <v>43167</v>
      </c>
      <c r="P2192">
        <v>0</v>
      </c>
      <c r="Q2192">
        <v>3</v>
      </c>
      <c r="R2192" t="s">
        <v>43170</v>
      </c>
      <c r="S2192" t="s">
        <v>43297</v>
      </c>
      <c r="T2192" t="s">
        <v>44856</v>
      </c>
      <c r="U2192" t="s">
        <v>47002</v>
      </c>
      <c r="W2192" t="s">
        <v>40228</v>
      </c>
      <c r="X2192" t="s">
        <v>43171</v>
      </c>
    </row>
    <row r="2193" spans="1:24">
      <c r="A2193">
        <f>HYPERLINK("https://www.philgeps.gov.ph/GEPSNONPILOT/Tender/SplashBidNoticeAbstractUI.aspx?menuIndex=3&amp;refID=7085754&amp;Result=3","7085754")</f>
        <v>0</v>
      </c>
      <c r="B2193" t="s">
        <v>415</v>
      </c>
      <c r="C2193" t="s">
        <v>5515</v>
      </c>
      <c r="D2193" t="s">
        <v>17472</v>
      </c>
      <c r="E2193" t="s">
        <v>18363</v>
      </c>
      <c r="F2193" t="s">
        <v>30052</v>
      </c>
      <c r="G2193" t="s">
        <v>30059</v>
      </c>
      <c r="H2193" t="s">
        <v>15498</v>
      </c>
      <c r="I2193" t="s">
        <v>6691</v>
      </c>
      <c r="J2193" t="s">
        <v>31736</v>
      </c>
      <c r="K2193" t="s">
        <v>39034</v>
      </c>
      <c r="M2193" t="s">
        <v>39714</v>
      </c>
      <c r="N2193" t="s">
        <v>43166</v>
      </c>
      <c r="O2193" t="s">
        <v>43167</v>
      </c>
      <c r="P2193">
        <v>0</v>
      </c>
      <c r="Q2193">
        <v>0</v>
      </c>
      <c r="R2193" t="s">
        <v>43170</v>
      </c>
      <c r="S2193" t="s">
        <v>43297</v>
      </c>
      <c r="T2193" t="s">
        <v>44685</v>
      </c>
      <c r="U2193" t="s">
        <v>47003</v>
      </c>
      <c r="W2193" t="s">
        <v>39714</v>
      </c>
      <c r="X2193" t="s">
        <v>43171</v>
      </c>
    </row>
    <row r="2194" spans="1:24">
      <c r="A2194">
        <f>HYPERLINK("https://www.philgeps.gov.ph/GEPSNONPILOT/Tender/SplashBidNoticeAbstractUI.aspx?menuIndex=3&amp;refID=7085784&amp;Result=3","7085784")</f>
        <v>0</v>
      </c>
      <c r="B2194" t="s">
        <v>907</v>
      </c>
      <c r="C2194" t="s">
        <v>5516</v>
      </c>
      <c r="D2194" t="s">
        <v>17415</v>
      </c>
      <c r="E2194" t="s">
        <v>17715</v>
      </c>
      <c r="F2194" t="s">
        <v>30052</v>
      </c>
      <c r="G2194" t="s">
        <v>30059</v>
      </c>
      <c r="H2194" t="s">
        <v>15498</v>
      </c>
      <c r="I2194" t="s">
        <v>3852</v>
      </c>
      <c r="J2194" t="s">
        <v>30350</v>
      </c>
      <c r="K2194" t="s">
        <v>39036</v>
      </c>
      <c r="M2194" t="s">
        <v>40229</v>
      </c>
      <c r="N2194" t="s">
        <v>43166</v>
      </c>
      <c r="O2194" t="s">
        <v>43167</v>
      </c>
      <c r="P2194">
        <v>0</v>
      </c>
      <c r="Q2194">
        <v>1</v>
      </c>
      <c r="R2194" t="s">
        <v>43170</v>
      </c>
      <c r="S2194" t="s">
        <v>43297</v>
      </c>
      <c r="T2194" t="s">
        <v>44737</v>
      </c>
      <c r="U2194" t="s">
        <v>47004</v>
      </c>
      <c r="V2194" t="s">
        <v>56940</v>
      </c>
      <c r="W2194" t="s">
        <v>40229</v>
      </c>
      <c r="X2194" t="s">
        <v>43171</v>
      </c>
    </row>
    <row r="2195" spans="1:24">
      <c r="A2195">
        <f>HYPERLINK("https://www.philgeps.gov.ph/GEPSNONPILOT/Tender/SplashBidNoticeAbstractUI.aspx?menuIndex=3&amp;refID=7085778&amp;Result=3","7085778")</f>
        <v>0</v>
      </c>
      <c r="B2195" t="s">
        <v>415</v>
      </c>
      <c r="C2195" t="s">
        <v>5517</v>
      </c>
      <c r="D2195" t="s">
        <v>17472</v>
      </c>
      <c r="E2195" t="s">
        <v>18363</v>
      </c>
      <c r="F2195" t="s">
        <v>30052</v>
      </c>
      <c r="G2195" t="s">
        <v>30061</v>
      </c>
      <c r="H2195" t="s">
        <v>15498</v>
      </c>
      <c r="I2195" t="s">
        <v>30076</v>
      </c>
      <c r="J2195" t="s">
        <v>31737</v>
      </c>
      <c r="K2195" t="s">
        <v>39034</v>
      </c>
      <c r="M2195" t="s">
        <v>39714</v>
      </c>
      <c r="N2195" t="s">
        <v>43166</v>
      </c>
      <c r="O2195" t="s">
        <v>43167</v>
      </c>
      <c r="P2195">
        <v>0</v>
      </c>
      <c r="Q2195">
        <v>3</v>
      </c>
      <c r="R2195" t="s">
        <v>43170</v>
      </c>
      <c r="S2195" t="s">
        <v>43297</v>
      </c>
      <c r="T2195" t="s">
        <v>44685</v>
      </c>
      <c r="U2195" t="s">
        <v>47005</v>
      </c>
      <c r="W2195" t="s">
        <v>39714</v>
      </c>
      <c r="X2195" t="s">
        <v>43171</v>
      </c>
    </row>
    <row r="2196" spans="1:24">
      <c r="A2196">
        <f>HYPERLINK("https://www.philgeps.gov.ph/GEPSNONPILOT/Tender/SplashBidNoticeAbstractUI.aspx?menuIndex=3&amp;refID=7085728&amp;Result=3","7085728")</f>
        <v>0</v>
      </c>
      <c r="B2196" t="s">
        <v>900</v>
      </c>
      <c r="C2196" t="s">
        <v>5518</v>
      </c>
      <c r="D2196" t="s">
        <v>17443</v>
      </c>
      <c r="E2196" t="s">
        <v>19439</v>
      </c>
      <c r="F2196" t="s">
        <v>30052</v>
      </c>
      <c r="G2196" t="s">
        <v>30059</v>
      </c>
      <c r="H2196" t="s">
        <v>15498</v>
      </c>
      <c r="I2196" t="s">
        <v>30071</v>
      </c>
      <c r="J2196" t="s">
        <v>31738</v>
      </c>
      <c r="K2196" t="s">
        <v>39017</v>
      </c>
      <c r="M2196" t="s">
        <v>40219</v>
      </c>
      <c r="N2196" t="s">
        <v>43166</v>
      </c>
      <c r="O2196" t="s">
        <v>43167</v>
      </c>
      <c r="P2196">
        <v>0</v>
      </c>
      <c r="Q2196">
        <v>0</v>
      </c>
      <c r="R2196" t="s">
        <v>43170</v>
      </c>
      <c r="S2196" t="s">
        <v>43297</v>
      </c>
      <c r="T2196" t="s">
        <v>44832</v>
      </c>
      <c r="U2196" t="s">
        <v>46989</v>
      </c>
      <c r="W2196" t="s">
        <v>40219</v>
      </c>
      <c r="X2196" t="s">
        <v>43171</v>
      </c>
    </row>
    <row r="2197" spans="1:24">
      <c r="A2197">
        <f>HYPERLINK("https://www.philgeps.gov.ph/GEPSNONPILOT/Tender/SplashBidNoticeAbstractUI.aspx?menuIndex=3&amp;refID=7085772&amp;Result=3","7085772")</f>
        <v>0</v>
      </c>
      <c r="B2197" t="s">
        <v>541</v>
      </c>
      <c r="C2197" t="s">
        <v>4865</v>
      </c>
      <c r="D2197" t="s">
        <v>17458</v>
      </c>
      <c r="E2197" t="s">
        <v>19440</v>
      </c>
      <c r="F2197" t="s">
        <v>30052</v>
      </c>
      <c r="G2197" t="s">
        <v>30062</v>
      </c>
      <c r="H2197" t="s">
        <v>15498</v>
      </c>
      <c r="I2197" t="s">
        <v>30070</v>
      </c>
      <c r="J2197" t="s">
        <v>31739</v>
      </c>
      <c r="K2197" t="s">
        <v>39017</v>
      </c>
      <c r="M2197" t="s">
        <v>39843</v>
      </c>
      <c r="N2197" t="s">
        <v>43166</v>
      </c>
      <c r="O2197" t="s">
        <v>43167</v>
      </c>
      <c r="P2197">
        <v>0</v>
      </c>
      <c r="Q2197">
        <v>1</v>
      </c>
      <c r="R2197" t="s">
        <v>43170</v>
      </c>
      <c r="S2197" t="s">
        <v>43297</v>
      </c>
      <c r="T2197" t="s">
        <v>44773</v>
      </c>
      <c r="U2197" t="s">
        <v>46789</v>
      </c>
      <c r="W2197" t="s">
        <v>58604</v>
      </c>
      <c r="X2197" t="s">
        <v>43171</v>
      </c>
    </row>
    <row r="2198" spans="1:24">
      <c r="A2198">
        <f>HYPERLINK("https://www.philgeps.gov.ph/GEPSNONPILOT/Tender/SplashBidNoticeAbstractUI.aspx?menuIndex=3&amp;refID=7085770&amp;Result=3","7085770")</f>
        <v>0</v>
      </c>
      <c r="B2198" t="s">
        <v>868</v>
      </c>
      <c r="C2198" t="s">
        <v>5519</v>
      </c>
      <c r="D2198" t="s">
        <v>17422</v>
      </c>
      <c r="E2198" t="s">
        <v>19441</v>
      </c>
      <c r="F2198" t="s">
        <v>30052</v>
      </c>
      <c r="G2198" t="s">
        <v>30059</v>
      </c>
      <c r="H2198" t="s">
        <v>15498</v>
      </c>
      <c r="I2198" t="s">
        <v>3736</v>
      </c>
      <c r="J2198" t="s">
        <v>31740</v>
      </c>
      <c r="K2198" t="s">
        <v>39019</v>
      </c>
      <c r="M2198" t="s">
        <v>40187</v>
      </c>
      <c r="N2198" t="s">
        <v>43166</v>
      </c>
      <c r="O2198" t="s">
        <v>43167</v>
      </c>
      <c r="P2198">
        <v>0</v>
      </c>
      <c r="Q2198">
        <v>0</v>
      </c>
      <c r="R2198" t="s">
        <v>43170</v>
      </c>
      <c r="S2198" t="s">
        <v>43297</v>
      </c>
      <c r="T2198" t="s">
        <v>44705</v>
      </c>
      <c r="U2198" t="s">
        <v>46987</v>
      </c>
      <c r="V2198" t="s">
        <v>57078</v>
      </c>
      <c r="W2198" t="s">
        <v>40187</v>
      </c>
      <c r="X2198" t="s">
        <v>43171</v>
      </c>
    </row>
    <row r="2199" spans="1:24">
      <c r="A2199">
        <f>HYPERLINK("https://www.philgeps.gov.ph/GEPSNONPILOT/Tender/SplashBidNoticeAbstractUI.aspx?menuIndex=3&amp;refID=7085769&amp;Result=3","7085769")</f>
        <v>0</v>
      </c>
      <c r="B2199" t="s">
        <v>753</v>
      </c>
      <c r="C2199" t="s">
        <v>5520</v>
      </c>
      <c r="E2199" t="s">
        <v>19442</v>
      </c>
      <c r="F2199" t="s">
        <v>30052</v>
      </c>
      <c r="G2199" t="s">
        <v>30059</v>
      </c>
      <c r="H2199" t="s">
        <v>15498</v>
      </c>
      <c r="I2199" t="s">
        <v>30077</v>
      </c>
      <c r="J2199" t="s">
        <v>30207</v>
      </c>
      <c r="K2199" t="s">
        <v>39029</v>
      </c>
      <c r="M2199" t="s">
        <v>40067</v>
      </c>
      <c r="N2199" t="s">
        <v>43166</v>
      </c>
      <c r="O2199" t="s">
        <v>43167</v>
      </c>
      <c r="P2199">
        <v>0</v>
      </c>
      <c r="Q2199">
        <v>2</v>
      </c>
      <c r="R2199" t="s">
        <v>43170</v>
      </c>
      <c r="S2199" t="s">
        <v>43297</v>
      </c>
      <c r="T2199" t="s">
        <v>44841</v>
      </c>
      <c r="U2199" t="s">
        <v>47006</v>
      </c>
      <c r="W2199" t="s">
        <v>40067</v>
      </c>
      <c r="X2199" t="s">
        <v>43171</v>
      </c>
    </row>
    <row r="2200" spans="1:24">
      <c r="A2200">
        <f>HYPERLINK("https://www.philgeps.gov.ph/GEPSNONPILOT/Tender/SplashBidNoticeAbstractUI.aspx?menuIndex=3&amp;refID=7085766&amp;Result=3","7085766")</f>
        <v>0</v>
      </c>
      <c r="B2200" t="s">
        <v>902</v>
      </c>
      <c r="C2200" t="s">
        <v>5503</v>
      </c>
      <c r="D2200" t="s">
        <v>17444</v>
      </c>
      <c r="E2200" t="s">
        <v>19443</v>
      </c>
      <c r="F2200" t="s">
        <v>30052</v>
      </c>
      <c r="G2200" t="s">
        <v>30059</v>
      </c>
      <c r="H2200" t="s">
        <v>15498</v>
      </c>
      <c r="I2200" t="s">
        <v>4119</v>
      </c>
      <c r="J2200" t="s">
        <v>30248</v>
      </c>
      <c r="K2200" t="s">
        <v>39017</v>
      </c>
      <c r="M2200" t="s">
        <v>40221</v>
      </c>
      <c r="N2200" t="s">
        <v>43166</v>
      </c>
      <c r="O2200" t="s">
        <v>43167</v>
      </c>
      <c r="P2200">
        <v>0</v>
      </c>
      <c r="Q2200">
        <v>0</v>
      </c>
      <c r="R2200" t="s">
        <v>43170</v>
      </c>
      <c r="S2200" t="s">
        <v>43297</v>
      </c>
      <c r="T2200" t="s">
        <v>44705</v>
      </c>
      <c r="U2200" t="s">
        <v>47007</v>
      </c>
      <c r="W2200" t="s">
        <v>40221</v>
      </c>
      <c r="X2200" t="s">
        <v>43171</v>
      </c>
    </row>
    <row r="2201" spans="1:24">
      <c r="A2201">
        <f>HYPERLINK("https://www.philgeps.gov.ph/GEPSNONPILOT/Tender/SplashBidNoticeAbstractUI.aspx?menuIndex=3&amp;refID=7085789&amp;Result=3","7085789")</f>
        <v>0</v>
      </c>
      <c r="B2201" t="s">
        <v>908</v>
      </c>
      <c r="C2201" t="s">
        <v>5521</v>
      </c>
      <c r="D2201" t="s">
        <v>17445</v>
      </c>
      <c r="E2201" t="s">
        <v>19444</v>
      </c>
      <c r="F2201" t="s">
        <v>30052</v>
      </c>
      <c r="G2201" t="s">
        <v>30059</v>
      </c>
      <c r="H2201" t="s">
        <v>15498</v>
      </c>
      <c r="I2201" t="s">
        <v>30096</v>
      </c>
      <c r="J2201" t="s">
        <v>31741</v>
      </c>
      <c r="K2201" t="s">
        <v>39034</v>
      </c>
      <c r="M2201" t="s">
        <v>40230</v>
      </c>
      <c r="N2201" t="s">
        <v>43166</v>
      </c>
      <c r="O2201" t="s">
        <v>43167</v>
      </c>
      <c r="P2201">
        <v>0</v>
      </c>
      <c r="Q2201">
        <v>10</v>
      </c>
      <c r="R2201" t="s">
        <v>43170</v>
      </c>
      <c r="S2201" t="s">
        <v>43297</v>
      </c>
      <c r="T2201" t="s">
        <v>44696</v>
      </c>
      <c r="U2201" t="s">
        <v>47008</v>
      </c>
      <c r="V2201" t="s">
        <v>57079</v>
      </c>
      <c r="W2201" t="s">
        <v>40230</v>
      </c>
      <c r="X2201" t="s">
        <v>43171</v>
      </c>
    </row>
    <row r="2202" spans="1:24">
      <c r="A2202">
        <f>HYPERLINK("https://www.philgeps.gov.ph/GEPSNONPILOT/Tender/SplashBidNoticeAbstractUI.aspx?menuIndex=3&amp;refID=7085763&amp;Result=3","7085763")</f>
        <v>0</v>
      </c>
      <c r="B2202" t="s">
        <v>825</v>
      </c>
      <c r="C2202" t="s">
        <v>5522</v>
      </c>
      <c r="D2202" t="s">
        <v>17445</v>
      </c>
      <c r="E2202" t="s">
        <v>19445</v>
      </c>
      <c r="F2202" t="s">
        <v>30052</v>
      </c>
      <c r="G2202" t="s">
        <v>30059</v>
      </c>
      <c r="H2202" t="s">
        <v>15498</v>
      </c>
      <c r="I2202" t="s">
        <v>30159</v>
      </c>
      <c r="J2202" t="s">
        <v>31742</v>
      </c>
      <c r="K2202" t="s">
        <v>39029</v>
      </c>
      <c r="M2202" t="s">
        <v>40142</v>
      </c>
      <c r="N2202" t="s">
        <v>43166</v>
      </c>
      <c r="O2202" t="s">
        <v>43167</v>
      </c>
      <c r="P2202">
        <v>0</v>
      </c>
      <c r="Q2202">
        <v>0</v>
      </c>
      <c r="R2202" t="s">
        <v>43170</v>
      </c>
      <c r="S2202" t="s">
        <v>43297</v>
      </c>
      <c r="T2202" t="s">
        <v>44844</v>
      </c>
      <c r="U2202" t="s">
        <v>47009</v>
      </c>
      <c r="W2202" t="s">
        <v>40142</v>
      </c>
      <c r="X2202" t="s">
        <v>43171</v>
      </c>
    </row>
    <row r="2203" spans="1:24">
      <c r="A2203">
        <f>HYPERLINK("https://www.philgeps.gov.ph/GEPSNONPILOT/Tender/SplashBidNoticeAbstractUI.aspx?menuIndex=3&amp;refID=7085760&amp;Result=3","7085760")</f>
        <v>0</v>
      </c>
      <c r="B2203" t="s">
        <v>838</v>
      </c>
      <c r="C2203" t="s">
        <v>5523</v>
      </c>
      <c r="D2203" t="s">
        <v>17419</v>
      </c>
      <c r="E2203" t="s">
        <v>19446</v>
      </c>
      <c r="F2203" t="s">
        <v>30052</v>
      </c>
      <c r="G2203" t="s">
        <v>30061</v>
      </c>
      <c r="H2203" t="s">
        <v>15498</v>
      </c>
      <c r="I2203" t="s">
        <v>4650</v>
      </c>
      <c r="J2203" t="s">
        <v>30497</v>
      </c>
      <c r="K2203" t="s">
        <v>39029</v>
      </c>
      <c r="M2203" t="s">
        <v>40155</v>
      </c>
      <c r="N2203" t="s">
        <v>43166</v>
      </c>
      <c r="O2203" t="s">
        <v>43167</v>
      </c>
      <c r="P2203">
        <v>0</v>
      </c>
      <c r="Q2203">
        <v>1</v>
      </c>
      <c r="R2203" t="s">
        <v>43170</v>
      </c>
      <c r="S2203" t="s">
        <v>43297</v>
      </c>
      <c r="T2203" t="s">
        <v>44681</v>
      </c>
      <c r="U2203" t="s">
        <v>47010</v>
      </c>
      <c r="W2203" t="s">
        <v>40155</v>
      </c>
      <c r="X2203" t="s">
        <v>43171</v>
      </c>
    </row>
    <row r="2204" spans="1:24">
      <c r="A2204">
        <f>HYPERLINK("https://www.philgeps.gov.ph/GEPSNONPILOT/Tender/SplashBidNoticeAbstractUI.aspx?menuIndex=3&amp;refID=7085774&amp;Result=3","7085774")</f>
        <v>0</v>
      </c>
      <c r="B2204" t="s">
        <v>694</v>
      </c>
      <c r="C2204" t="s">
        <v>5524</v>
      </c>
      <c r="D2204" t="s">
        <v>17476</v>
      </c>
      <c r="E2204" t="s">
        <v>19447</v>
      </c>
      <c r="F2204" t="s">
        <v>30052</v>
      </c>
      <c r="G2204" t="s">
        <v>30059</v>
      </c>
      <c r="H2204" t="s">
        <v>15498</v>
      </c>
      <c r="I2204" t="s">
        <v>3736</v>
      </c>
      <c r="J2204" t="s">
        <v>31743</v>
      </c>
      <c r="K2204" t="s">
        <v>39064</v>
      </c>
      <c r="M2204" t="s">
        <v>40001</v>
      </c>
      <c r="N2204" t="s">
        <v>43166</v>
      </c>
      <c r="O2204" t="s">
        <v>43167</v>
      </c>
      <c r="P2204">
        <v>0</v>
      </c>
      <c r="Q2204">
        <v>0</v>
      </c>
      <c r="R2204" t="s">
        <v>43170</v>
      </c>
      <c r="S2204" t="s">
        <v>43297</v>
      </c>
      <c r="T2204" t="s">
        <v>44844</v>
      </c>
      <c r="U2204" t="s">
        <v>47011</v>
      </c>
      <c r="W2204" t="s">
        <v>40001</v>
      </c>
      <c r="X2204" t="s">
        <v>43171</v>
      </c>
    </row>
    <row r="2205" spans="1:24">
      <c r="A2205">
        <f>HYPERLINK("https://www.philgeps.gov.ph/GEPSNONPILOT/Tender/SplashBidNoticeAbstractUI.aspx?menuIndex=3&amp;refID=7085759&amp;Result=3","7085759")</f>
        <v>0</v>
      </c>
      <c r="B2205" t="s">
        <v>415</v>
      </c>
      <c r="C2205" t="s">
        <v>5525</v>
      </c>
      <c r="D2205" t="s">
        <v>17472</v>
      </c>
      <c r="E2205" t="s">
        <v>18363</v>
      </c>
      <c r="F2205" t="s">
        <v>30052</v>
      </c>
      <c r="G2205" t="s">
        <v>30059</v>
      </c>
      <c r="H2205" t="s">
        <v>15498</v>
      </c>
      <c r="I2205" t="s">
        <v>6691</v>
      </c>
      <c r="J2205" t="s">
        <v>31744</v>
      </c>
      <c r="K2205" t="s">
        <v>39034</v>
      </c>
      <c r="M2205" t="s">
        <v>39714</v>
      </c>
      <c r="N2205" t="s">
        <v>43166</v>
      </c>
      <c r="O2205" t="s">
        <v>43167</v>
      </c>
      <c r="P2205">
        <v>0</v>
      </c>
      <c r="Q2205">
        <v>0</v>
      </c>
      <c r="R2205" t="s">
        <v>43170</v>
      </c>
      <c r="S2205" t="s">
        <v>43297</v>
      </c>
      <c r="T2205" t="s">
        <v>44685</v>
      </c>
      <c r="U2205" t="s">
        <v>47012</v>
      </c>
      <c r="W2205" t="s">
        <v>39714</v>
      </c>
      <c r="X2205" t="s">
        <v>43171</v>
      </c>
    </row>
    <row r="2206" spans="1:24">
      <c r="A2206">
        <f>HYPERLINK("https://www.philgeps.gov.ph/GEPSNONPILOT/Tender/SplashBidNoticeAbstractUI.aspx?menuIndex=3&amp;refID=7085757&amp;Result=3","7085757")</f>
        <v>0</v>
      </c>
      <c r="B2206" t="s">
        <v>236</v>
      </c>
      <c r="C2206" t="s">
        <v>5526</v>
      </c>
      <c r="D2206" t="s">
        <v>17476</v>
      </c>
      <c r="E2206" t="s">
        <v>19448</v>
      </c>
      <c r="F2206" t="s">
        <v>30052</v>
      </c>
      <c r="G2206" t="s">
        <v>30059</v>
      </c>
      <c r="H2206" t="s">
        <v>15498</v>
      </c>
      <c r="I2206" t="s">
        <v>3852</v>
      </c>
      <c r="J2206" t="s">
        <v>30218</v>
      </c>
      <c r="K2206" t="s">
        <v>39037</v>
      </c>
      <c r="M2206" t="s">
        <v>40231</v>
      </c>
      <c r="N2206" t="s">
        <v>43166</v>
      </c>
      <c r="O2206" t="s">
        <v>43167</v>
      </c>
      <c r="P2206">
        <v>0</v>
      </c>
      <c r="Q2206">
        <v>3</v>
      </c>
      <c r="R2206" t="s">
        <v>43170</v>
      </c>
      <c r="S2206" t="s">
        <v>43297</v>
      </c>
      <c r="T2206" t="s">
        <v>44715</v>
      </c>
      <c r="U2206" t="s">
        <v>47013</v>
      </c>
      <c r="W2206" t="s">
        <v>40231</v>
      </c>
      <c r="X2206" t="s">
        <v>43171</v>
      </c>
    </row>
    <row r="2207" spans="1:24">
      <c r="A2207">
        <f>HYPERLINK("https://www.philgeps.gov.ph/GEPSNONPILOT/Tender/SplashBidNoticeAbstractUI.aspx?menuIndex=3&amp;refID=7085719&amp;Result=3","7085719")</f>
        <v>0</v>
      </c>
      <c r="B2207" t="s">
        <v>909</v>
      </c>
      <c r="C2207" t="s">
        <v>5527</v>
      </c>
      <c r="D2207" t="s">
        <v>17484</v>
      </c>
      <c r="E2207" t="s">
        <v>19449</v>
      </c>
      <c r="F2207" t="s">
        <v>30052</v>
      </c>
      <c r="G2207" t="s">
        <v>30059</v>
      </c>
      <c r="H2207" t="s">
        <v>15498</v>
      </c>
      <c r="I2207" t="s">
        <v>30094</v>
      </c>
      <c r="J2207" t="s">
        <v>31745</v>
      </c>
      <c r="K2207" t="s">
        <v>39029</v>
      </c>
      <c r="M2207" t="s">
        <v>40232</v>
      </c>
      <c r="N2207" t="s">
        <v>43166</v>
      </c>
      <c r="O2207" t="s">
        <v>43167</v>
      </c>
      <c r="P2207">
        <v>0</v>
      </c>
      <c r="Q2207">
        <v>0</v>
      </c>
      <c r="R2207" t="s">
        <v>43170</v>
      </c>
      <c r="S2207" t="s">
        <v>43297</v>
      </c>
      <c r="T2207" t="s">
        <v>44791</v>
      </c>
      <c r="U2207" t="s">
        <v>47014</v>
      </c>
      <c r="W2207" t="s">
        <v>40232</v>
      </c>
      <c r="X2207" t="s">
        <v>43171</v>
      </c>
    </row>
    <row r="2208" spans="1:24">
      <c r="A2208">
        <f>HYPERLINK("https://www.philgeps.gov.ph/GEPSNONPILOT/Tender/SplashBidNoticeAbstractUI.aspx?menuIndex=3&amp;refID=7085718&amp;Result=3","7085718")</f>
        <v>0</v>
      </c>
      <c r="B2208" t="s">
        <v>910</v>
      </c>
      <c r="C2208" t="s">
        <v>5528</v>
      </c>
      <c r="D2208" t="s">
        <v>17427</v>
      </c>
      <c r="E2208" t="s">
        <v>19450</v>
      </c>
      <c r="F2208" t="s">
        <v>30052</v>
      </c>
      <c r="G2208" t="s">
        <v>30059</v>
      </c>
      <c r="H2208" t="s">
        <v>15498</v>
      </c>
      <c r="I2208" t="s">
        <v>30103</v>
      </c>
      <c r="J2208" t="s">
        <v>31746</v>
      </c>
      <c r="K2208" t="s">
        <v>39017</v>
      </c>
      <c r="M2208" t="s">
        <v>40233</v>
      </c>
      <c r="N2208" t="s">
        <v>43166</v>
      </c>
      <c r="O2208" t="s">
        <v>43167</v>
      </c>
      <c r="P2208">
        <v>0</v>
      </c>
      <c r="Q2208">
        <v>4</v>
      </c>
      <c r="R2208" t="s">
        <v>43170</v>
      </c>
      <c r="S2208" t="s">
        <v>43297</v>
      </c>
      <c r="T2208" t="s">
        <v>44837</v>
      </c>
      <c r="U2208" t="s">
        <v>47015</v>
      </c>
      <c r="W2208" t="s">
        <v>40233</v>
      </c>
      <c r="X2208" t="s">
        <v>43171</v>
      </c>
    </row>
    <row r="2209" spans="1:24">
      <c r="A2209">
        <f>HYPERLINK("https://www.philgeps.gov.ph/GEPSNONPILOT/Tender/SplashBidNoticeAbstractUI.aspx?menuIndex=3&amp;refID=7085762&amp;Result=3","7085762")</f>
        <v>0</v>
      </c>
      <c r="B2209" t="s">
        <v>911</v>
      </c>
      <c r="C2209" t="s">
        <v>5529</v>
      </c>
      <c r="D2209" t="s">
        <v>17484</v>
      </c>
      <c r="E2209" t="s">
        <v>19451</v>
      </c>
      <c r="F2209" t="s">
        <v>30052</v>
      </c>
      <c r="G2209" t="s">
        <v>30058</v>
      </c>
      <c r="H2209" t="s">
        <v>30069</v>
      </c>
      <c r="I2209" t="s">
        <v>30074</v>
      </c>
      <c r="J2209" t="s">
        <v>30215</v>
      </c>
      <c r="K2209" t="s">
        <v>39029</v>
      </c>
      <c r="M2209" t="s">
        <v>40234</v>
      </c>
      <c r="N2209" t="s">
        <v>43166</v>
      </c>
      <c r="O2209" t="s">
        <v>43167</v>
      </c>
      <c r="P2209">
        <v>0</v>
      </c>
      <c r="Q2209">
        <v>5</v>
      </c>
      <c r="R2209" t="s">
        <v>43170</v>
      </c>
      <c r="S2209" t="s">
        <v>43297</v>
      </c>
      <c r="T2209" t="s">
        <v>44726</v>
      </c>
      <c r="U2209" t="s">
        <v>47016</v>
      </c>
      <c r="V2209" t="s">
        <v>57080</v>
      </c>
      <c r="W2209" t="s">
        <v>40234</v>
      </c>
      <c r="X2209" t="s">
        <v>43171</v>
      </c>
    </row>
    <row r="2210" spans="1:24">
      <c r="A2210">
        <f>HYPERLINK("https://www.philgeps.gov.ph/GEPSNONPILOT/Tender/SplashBidNoticeAbstractUI.aspx?menuIndex=3&amp;refID=7085717&amp;Result=3","7085717")</f>
        <v>0</v>
      </c>
      <c r="B2210" t="s">
        <v>912</v>
      </c>
      <c r="C2210" t="s">
        <v>5530</v>
      </c>
      <c r="D2210" t="s">
        <v>17440</v>
      </c>
      <c r="E2210" t="s">
        <v>19452</v>
      </c>
      <c r="F2210" t="s">
        <v>30052</v>
      </c>
      <c r="G2210" t="s">
        <v>30058</v>
      </c>
      <c r="H2210" t="s">
        <v>15498</v>
      </c>
      <c r="I2210" t="s">
        <v>3606</v>
      </c>
      <c r="J2210" t="s">
        <v>31747</v>
      </c>
      <c r="K2210" t="s">
        <v>39034</v>
      </c>
      <c r="M2210" t="s">
        <v>40235</v>
      </c>
      <c r="N2210" t="s">
        <v>43166</v>
      </c>
      <c r="O2210" t="s">
        <v>43167</v>
      </c>
      <c r="P2210">
        <v>0</v>
      </c>
      <c r="Q2210">
        <v>12</v>
      </c>
      <c r="R2210" t="s">
        <v>43170</v>
      </c>
      <c r="S2210" t="s">
        <v>43297</v>
      </c>
      <c r="T2210" t="s">
        <v>44907</v>
      </c>
      <c r="U2210" t="s">
        <v>47017</v>
      </c>
      <c r="W2210" t="s">
        <v>40235</v>
      </c>
      <c r="X2210" t="s">
        <v>43171</v>
      </c>
    </row>
    <row r="2211" spans="1:24">
      <c r="A2211">
        <f>HYPERLINK("https://www.philgeps.gov.ph/GEPSNONPILOT/Tender/SplashBidNoticeAbstractUI.aspx?menuIndex=3&amp;refID=7085771&amp;Result=3","7085771")</f>
        <v>0</v>
      </c>
      <c r="B2211" t="s">
        <v>913</v>
      </c>
      <c r="C2211" t="s">
        <v>5531</v>
      </c>
      <c r="D2211" t="s">
        <v>17472</v>
      </c>
      <c r="E2211" t="s">
        <v>19453</v>
      </c>
      <c r="F2211" t="s">
        <v>30052</v>
      </c>
      <c r="G2211" t="s">
        <v>30059</v>
      </c>
      <c r="H2211" t="s">
        <v>15498</v>
      </c>
      <c r="I2211" t="s">
        <v>30078</v>
      </c>
      <c r="J2211" t="s">
        <v>31748</v>
      </c>
      <c r="K2211" t="s">
        <v>39018</v>
      </c>
      <c r="M2211" t="s">
        <v>40236</v>
      </c>
      <c r="N2211" t="s">
        <v>43166</v>
      </c>
      <c r="O2211" t="s">
        <v>43167</v>
      </c>
      <c r="P2211">
        <v>0</v>
      </c>
      <c r="Q2211">
        <v>1</v>
      </c>
      <c r="R2211" t="s">
        <v>43170</v>
      </c>
      <c r="S2211" t="s">
        <v>43297</v>
      </c>
      <c r="T2211" t="s">
        <v>44717</v>
      </c>
      <c r="U2211" t="s">
        <v>47018</v>
      </c>
      <c r="W2211" t="s">
        <v>40236</v>
      </c>
      <c r="X2211" t="s">
        <v>43171</v>
      </c>
    </row>
    <row r="2212" spans="1:24">
      <c r="A2212">
        <f>HYPERLINK("https://www.philgeps.gov.ph/GEPSNONPILOT/Tender/SplashBidNoticeAbstractUI.aspx?menuIndex=3&amp;refID=7085713&amp;Result=3","7085713")</f>
        <v>0</v>
      </c>
      <c r="B2212" t="s">
        <v>758</v>
      </c>
      <c r="C2212" t="s">
        <v>5008</v>
      </c>
      <c r="D2212" t="s">
        <v>17476</v>
      </c>
      <c r="E2212" t="s">
        <v>19059</v>
      </c>
      <c r="F2212" t="s">
        <v>30052</v>
      </c>
      <c r="G2212" t="s">
        <v>30059</v>
      </c>
      <c r="H2212" t="s">
        <v>15498</v>
      </c>
      <c r="I2212" t="s">
        <v>4119</v>
      </c>
      <c r="J2212" t="s">
        <v>31749</v>
      </c>
      <c r="K2212" t="s">
        <v>39017</v>
      </c>
      <c r="M2212" t="s">
        <v>40072</v>
      </c>
      <c r="N2212" t="s">
        <v>43166</v>
      </c>
      <c r="O2212" t="s">
        <v>43167</v>
      </c>
      <c r="P2212">
        <v>0</v>
      </c>
      <c r="Q2212">
        <v>1</v>
      </c>
      <c r="R2212" t="s">
        <v>43170</v>
      </c>
      <c r="S2212" t="s">
        <v>43297</v>
      </c>
      <c r="T2212" t="s">
        <v>44788</v>
      </c>
      <c r="U2212" t="s">
        <v>47019</v>
      </c>
      <c r="V2212" t="s">
        <v>57081</v>
      </c>
      <c r="W2212" t="s">
        <v>40072</v>
      </c>
      <c r="X2212" t="s">
        <v>43171</v>
      </c>
    </row>
    <row r="2213" spans="1:24">
      <c r="A2213">
        <f>HYPERLINK("https://www.philgeps.gov.ph/GEPSNONPILOT/Tender/SplashBidNoticeAbstractUI.aspx?menuIndex=3&amp;refID=7085767&amp;Result=3","7085767")</f>
        <v>0</v>
      </c>
      <c r="B2213" t="s">
        <v>360</v>
      </c>
      <c r="C2213" t="s">
        <v>5532</v>
      </c>
      <c r="E2213" t="s">
        <v>19454</v>
      </c>
      <c r="F2213" t="s">
        <v>30052</v>
      </c>
      <c r="G2213" t="s">
        <v>30059</v>
      </c>
      <c r="H2213" t="s">
        <v>15498</v>
      </c>
      <c r="I2213" t="s">
        <v>30091</v>
      </c>
      <c r="J2213" t="s">
        <v>30625</v>
      </c>
      <c r="K2213" t="s">
        <v>39029</v>
      </c>
      <c r="M2213" t="s">
        <v>39657</v>
      </c>
      <c r="N2213" t="s">
        <v>43166</v>
      </c>
      <c r="O2213" t="s">
        <v>43167</v>
      </c>
      <c r="P2213">
        <v>0</v>
      </c>
      <c r="Q2213">
        <v>8</v>
      </c>
      <c r="R2213" t="s">
        <v>43170</v>
      </c>
      <c r="S2213" t="s">
        <v>43297</v>
      </c>
      <c r="T2213" t="s">
        <v>44895</v>
      </c>
      <c r="U2213" t="s">
        <v>46847</v>
      </c>
      <c r="V2213" t="s">
        <v>57082</v>
      </c>
      <c r="W2213" t="s">
        <v>41004</v>
      </c>
      <c r="X2213" t="s">
        <v>43171</v>
      </c>
    </row>
    <row r="2214" spans="1:24">
      <c r="A2214">
        <f>HYPERLINK("https://www.philgeps.gov.ph/GEPSNONPILOT/Tender/SplashBidNoticeAbstractUI.aspx?menuIndex=3&amp;refID=7085688&amp;Result=3","7085688")</f>
        <v>0</v>
      </c>
      <c r="B2214" t="s">
        <v>415</v>
      </c>
      <c r="C2214" t="s">
        <v>5533</v>
      </c>
      <c r="D2214" t="s">
        <v>17472</v>
      </c>
      <c r="E2214" t="s">
        <v>18363</v>
      </c>
      <c r="F2214" t="s">
        <v>30052</v>
      </c>
      <c r="G2214" t="s">
        <v>30059</v>
      </c>
      <c r="H2214" t="s">
        <v>15498</v>
      </c>
      <c r="I2214" t="s">
        <v>30134</v>
      </c>
      <c r="J2214" t="s">
        <v>30292</v>
      </c>
      <c r="K2214" t="s">
        <v>39034</v>
      </c>
      <c r="M2214" t="s">
        <v>39714</v>
      </c>
      <c r="N2214" t="s">
        <v>43166</v>
      </c>
      <c r="O2214" t="s">
        <v>43167</v>
      </c>
      <c r="P2214">
        <v>0</v>
      </c>
      <c r="Q2214">
        <v>0</v>
      </c>
      <c r="R2214" t="s">
        <v>43170</v>
      </c>
      <c r="S2214" t="s">
        <v>43297</v>
      </c>
      <c r="T2214" t="s">
        <v>44685</v>
      </c>
      <c r="U2214" t="s">
        <v>47020</v>
      </c>
      <c r="W2214" t="s">
        <v>39714</v>
      </c>
      <c r="X2214" t="s">
        <v>43171</v>
      </c>
    </row>
    <row r="2215" spans="1:24">
      <c r="A2215">
        <f>HYPERLINK("https://www.philgeps.gov.ph/GEPSNONPILOT/Tender/SplashBidNoticeAbstractUI.aspx?menuIndex=3&amp;refID=7085687&amp;Result=3","7085687")</f>
        <v>0</v>
      </c>
      <c r="B2215" t="s">
        <v>795</v>
      </c>
      <c r="C2215" t="s">
        <v>5534</v>
      </c>
      <c r="D2215" t="s">
        <v>17466</v>
      </c>
      <c r="E2215" t="s">
        <v>19455</v>
      </c>
      <c r="F2215" t="s">
        <v>30052</v>
      </c>
      <c r="G2215" t="s">
        <v>30059</v>
      </c>
      <c r="H2215" t="s">
        <v>15498</v>
      </c>
      <c r="I2215" t="s">
        <v>30071</v>
      </c>
      <c r="J2215" t="s">
        <v>31750</v>
      </c>
      <c r="K2215" t="s">
        <v>39029</v>
      </c>
      <c r="M2215" t="s">
        <v>40112</v>
      </c>
      <c r="N2215" t="s">
        <v>43166</v>
      </c>
      <c r="O2215" t="s">
        <v>43167</v>
      </c>
      <c r="P2215">
        <v>0</v>
      </c>
      <c r="Q2215">
        <v>0</v>
      </c>
      <c r="R2215" t="s">
        <v>43170</v>
      </c>
      <c r="S2215" t="s">
        <v>43297</v>
      </c>
      <c r="T2215" t="s">
        <v>44773</v>
      </c>
      <c r="U2215" t="s">
        <v>46797</v>
      </c>
      <c r="V2215" t="s">
        <v>57037</v>
      </c>
      <c r="W2215" t="s">
        <v>40112</v>
      </c>
      <c r="X2215" t="s">
        <v>43171</v>
      </c>
    </row>
    <row r="2216" spans="1:24">
      <c r="A2216">
        <f>HYPERLINK("https://www.philgeps.gov.ph/GEPSNONPILOT/Tender/SplashBidNoticeAbstractUI.aspx?menuIndex=3&amp;refID=7085716&amp;Result=3","7085716")</f>
        <v>0</v>
      </c>
      <c r="B2216" t="s">
        <v>797</v>
      </c>
      <c r="C2216" t="s">
        <v>5535</v>
      </c>
      <c r="E2216" t="s">
        <v>19456</v>
      </c>
      <c r="F2216" t="s">
        <v>30052</v>
      </c>
      <c r="G2216" t="s">
        <v>30059</v>
      </c>
      <c r="H2216" t="s">
        <v>15498</v>
      </c>
      <c r="I2216" t="s">
        <v>30100</v>
      </c>
      <c r="J2216" t="s">
        <v>30209</v>
      </c>
      <c r="K2216" t="s">
        <v>39098</v>
      </c>
      <c r="M2216" t="s">
        <v>40114</v>
      </c>
      <c r="N2216" t="s">
        <v>43166</v>
      </c>
      <c r="O2216" t="s">
        <v>43167</v>
      </c>
      <c r="P2216">
        <v>0</v>
      </c>
      <c r="Q2216">
        <v>1</v>
      </c>
      <c r="R2216" t="s">
        <v>43170</v>
      </c>
      <c r="S2216" t="s">
        <v>43297</v>
      </c>
      <c r="T2216" t="s">
        <v>44777</v>
      </c>
      <c r="U2216" t="s">
        <v>47021</v>
      </c>
      <c r="W2216" t="s">
        <v>40114</v>
      </c>
      <c r="X2216" t="s">
        <v>43171</v>
      </c>
    </row>
    <row r="2217" spans="1:24">
      <c r="A2217">
        <f>HYPERLINK("https://www.philgeps.gov.ph/GEPSNONPILOT/Tender/SplashBidNoticeAbstractUI.aspx?menuIndex=3&amp;refID=7085712&amp;Result=3","7085712")</f>
        <v>0</v>
      </c>
      <c r="B2217" t="s">
        <v>838</v>
      </c>
      <c r="C2217" t="s">
        <v>5536</v>
      </c>
      <c r="D2217" t="s">
        <v>17419</v>
      </c>
      <c r="E2217" t="s">
        <v>19457</v>
      </c>
      <c r="F2217" t="s">
        <v>30052</v>
      </c>
      <c r="G2217" t="s">
        <v>30061</v>
      </c>
      <c r="H2217" t="s">
        <v>15498</v>
      </c>
      <c r="I2217" t="s">
        <v>30108</v>
      </c>
      <c r="J2217" t="s">
        <v>31751</v>
      </c>
      <c r="K2217" t="s">
        <v>39029</v>
      </c>
      <c r="M2217" t="s">
        <v>40155</v>
      </c>
      <c r="N2217" t="s">
        <v>43166</v>
      </c>
      <c r="O2217" t="s">
        <v>43167</v>
      </c>
      <c r="P2217">
        <v>0</v>
      </c>
      <c r="Q2217">
        <v>1</v>
      </c>
      <c r="R2217" t="s">
        <v>43170</v>
      </c>
      <c r="S2217" t="s">
        <v>43297</v>
      </c>
      <c r="T2217" t="s">
        <v>44681</v>
      </c>
      <c r="U2217" t="s">
        <v>47022</v>
      </c>
      <c r="W2217" t="s">
        <v>40155</v>
      </c>
      <c r="X2217" t="s">
        <v>43171</v>
      </c>
    </row>
    <row r="2218" spans="1:24">
      <c r="A2218">
        <f>HYPERLINK("https://www.philgeps.gov.ph/GEPSNONPILOT/Tender/SplashBidNoticeAbstractUI.aspx?menuIndex=3&amp;refID=7085793&amp;Result=3","7085793")</f>
        <v>0</v>
      </c>
      <c r="B2218" t="s">
        <v>753</v>
      </c>
      <c r="C2218" t="s">
        <v>4650</v>
      </c>
      <c r="E2218" t="s">
        <v>19458</v>
      </c>
      <c r="F2218" t="s">
        <v>30052</v>
      </c>
      <c r="G2218" t="s">
        <v>30059</v>
      </c>
      <c r="H2218" t="s">
        <v>15498</v>
      </c>
      <c r="I2218" t="s">
        <v>4650</v>
      </c>
      <c r="J2218" t="s">
        <v>31752</v>
      </c>
      <c r="K2218" t="s">
        <v>39019</v>
      </c>
      <c r="M2218" t="s">
        <v>40067</v>
      </c>
      <c r="N2218" t="s">
        <v>43166</v>
      </c>
      <c r="O2218" t="s">
        <v>43167</v>
      </c>
      <c r="P2218">
        <v>0</v>
      </c>
      <c r="Q2218">
        <v>0</v>
      </c>
      <c r="R2218" t="s">
        <v>43170</v>
      </c>
      <c r="S2218" t="s">
        <v>43297</v>
      </c>
      <c r="T2218" t="s">
        <v>44841</v>
      </c>
      <c r="U2218" t="s">
        <v>47023</v>
      </c>
      <c r="W2218" t="s">
        <v>40067</v>
      </c>
      <c r="X2218" t="s">
        <v>43171</v>
      </c>
    </row>
    <row r="2219" spans="1:24">
      <c r="A2219">
        <f>HYPERLINK("https://www.philgeps.gov.ph/GEPSNONPILOT/Tender/SplashBidNoticeAbstractUI.aspx?menuIndex=3&amp;refID=7085814&amp;Result=3","7085814")</f>
        <v>0</v>
      </c>
      <c r="B2219" t="s">
        <v>906</v>
      </c>
      <c r="C2219" t="s">
        <v>5537</v>
      </c>
      <c r="D2219" t="s">
        <v>17448</v>
      </c>
      <c r="E2219" t="s">
        <v>19459</v>
      </c>
      <c r="F2219" t="s">
        <v>30052</v>
      </c>
      <c r="G2219" t="s">
        <v>30062</v>
      </c>
      <c r="H2219" t="s">
        <v>15498</v>
      </c>
      <c r="I2219" t="s">
        <v>30084</v>
      </c>
      <c r="J2219" t="s">
        <v>31560</v>
      </c>
      <c r="K2219" t="s">
        <v>39018</v>
      </c>
      <c r="M2219" t="s">
        <v>40227</v>
      </c>
      <c r="N2219" t="s">
        <v>43166</v>
      </c>
      <c r="O2219" t="s">
        <v>43167</v>
      </c>
      <c r="P2219">
        <v>0</v>
      </c>
      <c r="Q2219">
        <v>2</v>
      </c>
      <c r="R2219" t="s">
        <v>43170</v>
      </c>
      <c r="S2219" t="s">
        <v>43297</v>
      </c>
      <c r="T2219" t="s">
        <v>44717</v>
      </c>
      <c r="U2219" t="s">
        <v>47024</v>
      </c>
      <c r="W2219" t="s">
        <v>40227</v>
      </c>
      <c r="X2219" t="s">
        <v>43171</v>
      </c>
    </row>
    <row r="2220" spans="1:24">
      <c r="A2220">
        <f>HYPERLINK("https://www.philgeps.gov.ph/GEPSNONPILOT/Tender/SplashBidNoticeAbstractUI.aspx?menuIndex=3&amp;refID=7085813&amp;Result=3","7085813")</f>
        <v>0</v>
      </c>
      <c r="B2220" t="s">
        <v>838</v>
      </c>
      <c r="C2220" t="s">
        <v>5538</v>
      </c>
      <c r="D2220" t="s">
        <v>17419</v>
      </c>
      <c r="E2220" t="s">
        <v>19460</v>
      </c>
      <c r="F2220" t="s">
        <v>30052</v>
      </c>
      <c r="G2220" t="s">
        <v>30061</v>
      </c>
      <c r="H2220" t="s">
        <v>15498</v>
      </c>
      <c r="I2220" t="s">
        <v>4650</v>
      </c>
      <c r="J2220" t="s">
        <v>31753</v>
      </c>
      <c r="K2220" t="s">
        <v>39029</v>
      </c>
      <c r="M2220" t="s">
        <v>40155</v>
      </c>
      <c r="N2220" t="s">
        <v>43166</v>
      </c>
      <c r="O2220" t="s">
        <v>43167</v>
      </c>
      <c r="P2220">
        <v>0</v>
      </c>
      <c r="Q2220">
        <v>1</v>
      </c>
      <c r="R2220" t="s">
        <v>43170</v>
      </c>
      <c r="S2220" t="s">
        <v>43297</v>
      </c>
      <c r="T2220" t="s">
        <v>44681</v>
      </c>
      <c r="U2220" t="s">
        <v>47025</v>
      </c>
      <c r="W2220" t="s">
        <v>40155</v>
      </c>
      <c r="X2220" t="s">
        <v>43171</v>
      </c>
    </row>
    <row r="2221" spans="1:24">
      <c r="A2221">
        <f>HYPERLINK("https://www.philgeps.gov.ph/GEPSNONPILOT/Tender/SplashBidNoticeAbstractUI.aspx?menuIndex=3&amp;refID=7085812&amp;Result=3","7085812")</f>
        <v>0</v>
      </c>
      <c r="B2221" t="s">
        <v>914</v>
      </c>
      <c r="C2221" t="s">
        <v>5539</v>
      </c>
      <c r="D2221" t="s">
        <v>17449</v>
      </c>
      <c r="E2221" t="s">
        <v>19461</v>
      </c>
      <c r="F2221" t="s">
        <v>30052</v>
      </c>
      <c r="G2221" t="s">
        <v>30059</v>
      </c>
      <c r="H2221" t="s">
        <v>15498</v>
      </c>
      <c r="I2221" t="s">
        <v>30097</v>
      </c>
      <c r="J2221" t="s">
        <v>30287</v>
      </c>
      <c r="K2221" t="s">
        <v>39018</v>
      </c>
      <c r="M2221" t="s">
        <v>40237</v>
      </c>
      <c r="N2221" t="s">
        <v>43166</v>
      </c>
      <c r="O2221" t="s">
        <v>43167</v>
      </c>
      <c r="P2221">
        <v>0</v>
      </c>
      <c r="Q2221">
        <v>0</v>
      </c>
      <c r="R2221" t="s">
        <v>43170</v>
      </c>
      <c r="S2221" t="s">
        <v>43297</v>
      </c>
      <c r="T2221" t="s">
        <v>44864</v>
      </c>
      <c r="U2221" t="s">
        <v>47026</v>
      </c>
      <c r="W2221" t="s">
        <v>40237</v>
      </c>
      <c r="X2221" t="s">
        <v>43171</v>
      </c>
    </row>
    <row r="2222" spans="1:24">
      <c r="A2222">
        <f>HYPERLINK("https://www.philgeps.gov.ph/GEPSNONPILOT/Tender/SplashBidNoticeAbstractUI.aspx?menuIndex=3&amp;refID=7085811&amp;Result=3","7085811")</f>
        <v>0</v>
      </c>
      <c r="B2222" t="s">
        <v>799</v>
      </c>
      <c r="C2222" t="s">
        <v>5540</v>
      </c>
      <c r="D2222" t="s">
        <v>17423</v>
      </c>
      <c r="E2222" t="s">
        <v>19462</v>
      </c>
      <c r="F2222" t="s">
        <v>30052</v>
      </c>
      <c r="G2222" t="s">
        <v>30058</v>
      </c>
      <c r="H2222" t="s">
        <v>15498</v>
      </c>
      <c r="I2222" t="s">
        <v>30163</v>
      </c>
      <c r="J2222" t="s">
        <v>31754</v>
      </c>
      <c r="K2222" t="s">
        <v>39029</v>
      </c>
      <c r="M2222" t="s">
        <v>40116</v>
      </c>
      <c r="N2222" t="s">
        <v>43166</v>
      </c>
      <c r="O2222" t="s">
        <v>43167</v>
      </c>
      <c r="P2222">
        <v>0</v>
      </c>
      <c r="Q2222">
        <v>0</v>
      </c>
      <c r="R2222" t="s">
        <v>43170</v>
      </c>
      <c r="S2222" t="s">
        <v>43297</v>
      </c>
      <c r="T2222" t="s">
        <v>44681</v>
      </c>
      <c r="U2222" t="s">
        <v>47027</v>
      </c>
      <c r="V2222" t="s">
        <v>57040</v>
      </c>
      <c r="W2222" t="s">
        <v>40116</v>
      </c>
      <c r="X2222" t="s">
        <v>43171</v>
      </c>
    </row>
    <row r="2223" spans="1:24">
      <c r="A2223">
        <f>HYPERLINK("https://www.philgeps.gov.ph/GEPSNONPILOT/Tender/SplashBidNoticeAbstractUI.aspx?menuIndex=3&amp;refID=7085783&amp;Result=3","7085783")</f>
        <v>0</v>
      </c>
      <c r="B2223" t="s">
        <v>795</v>
      </c>
      <c r="C2223" t="s">
        <v>5541</v>
      </c>
      <c r="D2223" t="s">
        <v>17466</v>
      </c>
      <c r="E2223" t="s">
        <v>19463</v>
      </c>
      <c r="F2223" t="s">
        <v>30052</v>
      </c>
      <c r="G2223" t="s">
        <v>30059</v>
      </c>
      <c r="H2223" t="s">
        <v>15498</v>
      </c>
      <c r="I2223" t="s">
        <v>30074</v>
      </c>
      <c r="J2223" t="s">
        <v>30521</v>
      </c>
      <c r="K2223" t="s">
        <v>39029</v>
      </c>
      <c r="M2223" t="s">
        <v>40112</v>
      </c>
      <c r="N2223" t="s">
        <v>43166</v>
      </c>
      <c r="O2223" t="s">
        <v>43167</v>
      </c>
      <c r="P2223">
        <v>0</v>
      </c>
      <c r="Q2223">
        <v>0</v>
      </c>
      <c r="R2223" t="s">
        <v>43170</v>
      </c>
      <c r="S2223" t="s">
        <v>43297</v>
      </c>
      <c r="T2223" t="s">
        <v>44773</v>
      </c>
      <c r="U2223" t="s">
        <v>46797</v>
      </c>
      <c r="V2223" t="s">
        <v>57037</v>
      </c>
      <c r="W2223" t="s">
        <v>40112</v>
      </c>
      <c r="X2223" t="s">
        <v>43171</v>
      </c>
    </row>
    <row r="2224" spans="1:24">
      <c r="A2224">
        <f>HYPERLINK("https://www.philgeps.gov.ph/GEPSNONPILOT/Tender/SplashBidNoticeAbstractUI.aspx?menuIndex=3&amp;refID=7085809&amp;Result=3","7085809")</f>
        <v>0</v>
      </c>
      <c r="B2224" t="s">
        <v>868</v>
      </c>
      <c r="C2224" t="s">
        <v>5542</v>
      </c>
      <c r="D2224" t="s">
        <v>17422</v>
      </c>
      <c r="E2224" t="s">
        <v>19464</v>
      </c>
      <c r="F2224" t="s">
        <v>30052</v>
      </c>
      <c r="G2224" t="s">
        <v>30059</v>
      </c>
      <c r="H2224" t="s">
        <v>15498</v>
      </c>
      <c r="I2224" t="s">
        <v>3736</v>
      </c>
      <c r="J2224" t="s">
        <v>31755</v>
      </c>
      <c r="K2224" t="s">
        <v>39019</v>
      </c>
      <c r="M2224" t="s">
        <v>40187</v>
      </c>
      <c r="N2224" t="s">
        <v>43166</v>
      </c>
      <c r="O2224" t="s">
        <v>43167</v>
      </c>
      <c r="P2224">
        <v>0</v>
      </c>
      <c r="Q2224">
        <v>0</v>
      </c>
      <c r="R2224" t="s">
        <v>43170</v>
      </c>
      <c r="S2224" t="s">
        <v>43297</v>
      </c>
      <c r="T2224" t="s">
        <v>44705</v>
      </c>
      <c r="U2224" t="s">
        <v>46987</v>
      </c>
      <c r="V2224" t="s">
        <v>57083</v>
      </c>
      <c r="W2224" t="s">
        <v>40187</v>
      </c>
      <c r="X2224" t="s">
        <v>43171</v>
      </c>
    </row>
    <row r="2225" spans="1:24">
      <c r="A2225">
        <f>HYPERLINK("https://www.philgeps.gov.ph/GEPSNONPILOT/Tender/SplashBidNoticeAbstractUI.aspx?menuIndex=3&amp;refID=7085685&amp;Result=3","7085685")</f>
        <v>0</v>
      </c>
      <c r="B2225" t="s">
        <v>874</v>
      </c>
      <c r="C2225" t="s">
        <v>5543</v>
      </c>
      <c r="D2225" t="s">
        <v>17428</v>
      </c>
      <c r="E2225" t="s">
        <v>19465</v>
      </c>
      <c r="F2225" t="s">
        <v>30052</v>
      </c>
      <c r="G2225" t="s">
        <v>30058</v>
      </c>
      <c r="H2225" t="s">
        <v>30067</v>
      </c>
      <c r="I2225" t="s">
        <v>3693</v>
      </c>
      <c r="J2225" t="s">
        <v>31756</v>
      </c>
      <c r="K2225" t="s">
        <v>39032</v>
      </c>
      <c r="M2225" t="s">
        <v>40193</v>
      </c>
      <c r="N2225" t="s">
        <v>43166</v>
      </c>
      <c r="O2225" t="s">
        <v>43167</v>
      </c>
      <c r="P2225">
        <v>0</v>
      </c>
      <c r="Q2225">
        <v>0</v>
      </c>
      <c r="R2225" t="s">
        <v>43170</v>
      </c>
      <c r="S2225" t="s">
        <v>43297</v>
      </c>
      <c r="T2225" t="s">
        <v>44905</v>
      </c>
      <c r="U2225" t="s">
        <v>47028</v>
      </c>
      <c r="W2225" t="s">
        <v>40193</v>
      </c>
      <c r="X2225" t="s">
        <v>43171</v>
      </c>
    </row>
    <row r="2226" spans="1:24">
      <c r="A2226">
        <f>HYPERLINK("https://www.philgeps.gov.ph/GEPSNONPILOT/Tender/SplashBidNoticeAbstractUI.aspx?menuIndex=3&amp;refID=7085807&amp;Result=3","7085807")</f>
        <v>0</v>
      </c>
      <c r="B2226" t="s">
        <v>915</v>
      </c>
      <c r="C2226" t="s">
        <v>5544</v>
      </c>
      <c r="D2226" t="s">
        <v>17457</v>
      </c>
      <c r="E2226" t="s">
        <v>19466</v>
      </c>
      <c r="F2226" t="s">
        <v>30052</v>
      </c>
      <c r="G2226" t="s">
        <v>30060</v>
      </c>
      <c r="H2226" t="s">
        <v>15498</v>
      </c>
      <c r="I2226" t="s">
        <v>30076</v>
      </c>
      <c r="J2226" t="s">
        <v>31757</v>
      </c>
      <c r="K2226" t="s">
        <v>39019</v>
      </c>
      <c r="M2226" t="s">
        <v>40238</v>
      </c>
      <c r="N2226" t="s">
        <v>43166</v>
      </c>
      <c r="O2226" t="s">
        <v>43167</v>
      </c>
      <c r="P2226">
        <v>0</v>
      </c>
      <c r="Q2226">
        <v>0</v>
      </c>
      <c r="R2226" t="s">
        <v>43170</v>
      </c>
      <c r="S2226" t="s">
        <v>43297</v>
      </c>
      <c r="T2226" t="s">
        <v>44844</v>
      </c>
      <c r="U2226" t="s">
        <v>47029</v>
      </c>
      <c r="W2226" t="s">
        <v>40238</v>
      </c>
      <c r="X2226" t="s">
        <v>43171</v>
      </c>
    </row>
    <row r="2227" spans="1:24">
      <c r="A2227">
        <f>HYPERLINK("https://www.philgeps.gov.ph/GEPSNONPILOT/Tender/SplashBidNoticeAbstractUI.aspx?menuIndex=3&amp;refID=7085805&amp;Result=3","7085805")</f>
        <v>0</v>
      </c>
      <c r="B2227" t="s">
        <v>415</v>
      </c>
      <c r="C2227" t="s">
        <v>5545</v>
      </c>
      <c r="D2227" t="s">
        <v>17472</v>
      </c>
      <c r="E2227" t="s">
        <v>19467</v>
      </c>
      <c r="F2227" t="s">
        <v>30052</v>
      </c>
      <c r="G2227" t="s">
        <v>30058</v>
      </c>
      <c r="H2227" t="s">
        <v>30067</v>
      </c>
      <c r="I2227" t="s">
        <v>3693</v>
      </c>
      <c r="J2227" t="s">
        <v>31758</v>
      </c>
      <c r="K2227" t="s">
        <v>39101</v>
      </c>
      <c r="M2227" t="s">
        <v>40024</v>
      </c>
      <c r="N2227" t="s">
        <v>43166</v>
      </c>
      <c r="O2227" t="s">
        <v>43167</v>
      </c>
      <c r="P2227">
        <v>0</v>
      </c>
      <c r="Q2227">
        <v>0</v>
      </c>
      <c r="R2227" t="s">
        <v>43170</v>
      </c>
      <c r="S2227" t="s">
        <v>43297</v>
      </c>
      <c r="T2227" t="s">
        <v>44702</v>
      </c>
      <c r="U2227" t="s">
        <v>47030</v>
      </c>
      <c r="V2227" t="s">
        <v>57084</v>
      </c>
      <c r="W2227" t="s">
        <v>58610</v>
      </c>
      <c r="X2227" t="s">
        <v>43171</v>
      </c>
    </row>
    <row r="2228" spans="1:24">
      <c r="A2228">
        <f>HYPERLINK("https://www.philgeps.gov.ph/GEPSNONPILOT/Tender/SplashBidNoticeAbstractUI.aspx?menuIndex=3&amp;refID=7085735&amp;Result=3","7085735")</f>
        <v>0</v>
      </c>
      <c r="B2228" t="s">
        <v>905</v>
      </c>
      <c r="C2228" t="s">
        <v>5546</v>
      </c>
      <c r="D2228" t="s">
        <v>17449</v>
      </c>
      <c r="E2228" t="s">
        <v>19468</v>
      </c>
      <c r="F2228" t="s">
        <v>30052</v>
      </c>
      <c r="G2228" t="s">
        <v>30059</v>
      </c>
      <c r="H2228" t="s">
        <v>15498</v>
      </c>
      <c r="I2228" t="s">
        <v>3736</v>
      </c>
      <c r="J2228" t="s">
        <v>30292</v>
      </c>
      <c r="K2228" t="s">
        <v>39025</v>
      </c>
      <c r="M2228" t="s">
        <v>40226</v>
      </c>
      <c r="N2228" t="s">
        <v>43166</v>
      </c>
      <c r="O2228" t="s">
        <v>43167</v>
      </c>
      <c r="P2228">
        <v>0</v>
      </c>
      <c r="Q2228">
        <v>0</v>
      </c>
      <c r="R2228" t="s">
        <v>43170</v>
      </c>
      <c r="S2228" t="s">
        <v>43297</v>
      </c>
      <c r="T2228" t="s">
        <v>44717</v>
      </c>
      <c r="U2228" t="s">
        <v>47031</v>
      </c>
      <c r="W2228" t="s">
        <v>40226</v>
      </c>
      <c r="X2228" t="s">
        <v>43171</v>
      </c>
    </row>
    <row r="2229" spans="1:24">
      <c r="A2229">
        <f>HYPERLINK("https://www.philgeps.gov.ph/GEPSNONPILOT/Tender/SplashBidNoticeAbstractUI.aspx?menuIndex=3&amp;refID=7085795&amp;Result=3","7085795")</f>
        <v>0</v>
      </c>
      <c r="B2229" t="s">
        <v>916</v>
      </c>
      <c r="C2229" t="s">
        <v>5547</v>
      </c>
      <c r="D2229" t="s">
        <v>17415</v>
      </c>
      <c r="E2229" t="s">
        <v>19469</v>
      </c>
      <c r="F2229" t="s">
        <v>30052</v>
      </c>
      <c r="G2229" t="s">
        <v>30059</v>
      </c>
      <c r="H2229" t="s">
        <v>15498</v>
      </c>
      <c r="I2229" t="s">
        <v>3736</v>
      </c>
      <c r="J2229" t="s">
        <v>31759</v>
      </c>
      <c r="K2229" t="s">
        <v>39029</v>
      </c>
      <c r="M2229" t="s">
        <v>40239</v>
      </c>
      <c r="N2229" t="s">
        <v>43166</v>
      </c>
      <c r="O2229" t="s">
        <v>43167</v>
      </c>
      <c r="P2229">
        <v>0</v>
      </c>
      <c r="Q2229">
        <v>2</v>
      </c>
      <c r="R2229" t="s">
        <v>43170</v>
      </c>
      <c r="S2229" t="s">
        <v>43297</v>
      </c>
      <c r="T2229" t="s">
        <v>44837</v>
      </c>
      <c r="U2229" t="s">
        <v>47032</v>
      </c>
      <c r="W2229" t="s">
        <v>40239</v>
      </c>
      <c r="X2229" t="s">
        <v>43171</v>
      </c>
    </row>
    <row r="2230" spans="1:24">
      <c r="A2230">
        <f>HYPERLINK("https://www.philgeps.gov.ph/GEPSNONPILOT/Tender/SplashBidNoticeAbstractUI.aspx?menuIndex=3&amp;refID=7085823&amp;Result=3","7085823")</f>
        <v>0</v>
      </c>
      <c r="B2230" t="s">
        <v>825</v>
      </c>
      <c r="C2230" t="s">
        <v>5548</v>
      </c>
      <c r="D2230" t="s">
        <v>17445</v>
      </c>
      <c r="E2230" t="s">
        <v>19470</v>
      </c>
      <c r="F2230" t="s">
        <v>30052</v>
      </c>
      <c r="G2230" t="s">
        <v>30059</v>
      </c>
      <c r="H2230" t="s">
        <v>15498</v>
      </c>
      <c r="I2230" t="s">
        <v>30159</v>
      </c>
      <c r="J2230" t="s">
        <v>31760</v>
      </c>
      <c r="K2230" t="s">
        <v>39029</v>
      </c>
      <c r="M2230" t="s">
        <v>40142</v>
      </c>
      <c r="N2230" t="s">
        <v>43166</v>
      </c>
      <c r="O2230" t="s">
        <v>43167</v>
      </c>
      <c r="P2230">
        <v>0</v>
      </c>
      <c r="Q2230">
        <v>0</v>
      </c>
      <c r="R2230" t="s">
        <v>43170</v>
      </c>
      <c r="S2230" t="s">
        <v>43297</v>
      </c>
      <c r="T2230" t="s">
        <v>44844</v>
      </c>
      <c r="U2230" t="s">
        <v>47033</v>
      </c>
      <c r="W2230" t="s">
        <v>40142</v>
      </c>
      <c r="X2230" t="s">
        <v>43171</v>
      </c>
    </row>
    <row r="2231" spans="1:24">
      <c r="A2231">
        <f>HYPERLINK("https://www.philgeps.gov.ph/GEPSNONPILOT/Tender/SplashBidNoticeAbstractUI.aspx?menuIndex=3&amp;refID=7085821&amp;Result=3","7085821")</f>
        <v>0</v>
      </c>
      <c r="B2231" t="s">
        <v>797</v>
      </c>
      <c r="C2231" t="s">
        <v>5549</v>
      </c>
      <c r="E2231" t="s">
        <v>19471</v>
      </c>
      <c r="F2231" t="s">
        <v>30052</v>
      </c>
      <c r="G2231" t="s">
        <v>30059</v>
      </c>
      <c r="H2231" t="s">
        <v>15498</v>
      </c>
      <c r="I2231" t="s">
        <v>30164</v>
      </c>
      <c r="J2231" t="s">
        <v>30596</v>
      </c>
      <c r="K2231" t="s">
        <v>39017</v>
      </c>
      <c r="M2231" t="s">
        <v>40114</v>
      </c>
      <c r="N2231" t="s">
        <v>43166</v>
      </c>
      <c r="O2231" t="s">
        <v>43167</v>
      </c>
      <c r="P2231">
        <v>0</v>
      </c>
      <c r="Q2231">
        <v>2</v>
      </c>
      <c r="R2231" t="s">
        <v>43170</v>
      </c>
      <c r="S2231" t="s">
        <v>43297</v>
      </c>
      <c r="T2231" t="s">
        <v>44777</v>
      </c>
      <c r="U2231" t="s">
        <v>47034</v>
      </c>
      <c r="W2231" t="s">
        <v>40114</v>
      </c>
      <c r="X2231" t="s">
        <v>43171</v>
      </c>
    </row>
    <row r="2232" spans="1:24">
      <c r="A2232">
        <f>HYPERLINK("https://www.philgeps.gov.ph/GEPSNONPILOT/Tender/SplashBidNoticeAbstractUI.aspx?menuIndex=3&amp;refID=7085816&amp;Result=3","7085816")</f>
        <v>0</v>
      </c>
      <c r="B2232" t="s">
        <v>620</v>
      </c>
      <c r="C2232" t="s">
        <v>5550</v>
      </c>
      <c r="D2232" t="s">
        <v>17427</v>
      </c>
      <c r="E2232" t="s">
        <v>19472</v>
      </c>
      <c r="F2232" t="s">
        <v>30052</v>
      </c>
      <c r="G2232" t="s">
        <v>30059</v>
      </c>
      <c r="H2232" t="s">
        <v>15498</v>
      </c>
      <c r="I2232" t="s">
        <v>9238</v>
      </c>
      <c r="J2232" t="s">
        <v>30252</v>
      </c>
      <c r="K2232" t="s">
        <v>39025</v>
      </c>
      <c r="M2232" t="s">
        <v>39923</v>
      </c>
      <c r="N2232" t="s">
        <v>43166</v>
      </c>
      <c r="O2232" t="s">
        <v>43167</v>
      </c>
      <c r="P2232">
        <v>0</v>
      </c>
      <c r="Q2232">
        <v>15</v>
      </c>
      <c r="R2232" t="s">
        <v>43170</v>
      </c>
      <c r="S2232" t="s">
        <v>43297</v>
      </c>
      <c r="T2232" t="s">
        <v>44732</v>
      </c>
      <c r="U2232" t="s">
        <v>47035</v>
      </c>
      <c r="W2232" t="s">
        <v>39923</v>
      </c>
      <c r="X2232" t="s">
        <v>43171</v>
      </c>
    </row>
    <row r="2233" spans="1:24">
      <c r="A2233">
        <f>HYPERLINK("https://www.philgeps.gov.ph/GEPSNONPILOT/Tender/SplashBidNoticeAbstractUI.aspx?menuIndex=3&amp;refID=7085803&amp;Result=3","7085803")</f>
        <v>0</v>
      </c>
      <c r="B2233" t="s">
        <v>881</v>
      </c>
      <c r="C2233" t="s">
        <v>5551</v>
      </c>
      <c r="E2233" t="s">
        <v>5551</v>
      </c>
      <c r="F2233" t="s">
        <v>30052</v>
      </c>
      <c r="G2233" t="s">
        <v>30059</v>
      </c>
      <c r="H2233" t="s">
        <v>15498</v>
      </c>
      <c r="I2233" t="s">
        <v>30076</v>
      </c>
      <c r="J2233" t="s">
        <v>31761</v>
      </c>
      <c r="K2233" t="s">
        <v>39025</v>
      </c>
      <c r="M2233" t="s">
        <v>40200</v>
      </c>
      <c r="N2233" t="s">
        <v>43166</v>
      </c>
      <c r="O2233" t="s">
        <v>43167</v>
      </c>
      <c r="P2233">
        <v>0</v>
      </c>
      <c r="Q2233">
        <v>4</v>
      </c>
      <c r="R2233" t="s">
        <v>43170</v>
      </c>
      <c r="S2233" t="s">
        <v>43297</v>
      </c>
      <c r="T2233" t="s">
        <v>44777</v>
      </c>
      <c r="U2233" t="s">
        <v>46681</v>
      </c>
      <c r="W2233" t="s">
        <v>40200</v>
      </c>
      <c r="X2233" t="s">
        <v>43171</v>
      </c>
    </row>
    <row r="2234" spans="1:24">
      <c r="A2234">
        <f>HYPERLINK("https://www.philgeps.gov.ph/GEPSNONPILOT/Tender/SplashBidNoticeAbstractUI.aspx?menuIndex=3&amp;refID=7085808&amp;Result=3","7085808")</f>
        <v>0</v>
      </c>
      <c r="B2234" t="s">
        <v>821</v>
      </c>
      <c r="C2234" t="s">
        <v>5552</v>
      </c>
      <c r="E2234" t="s">
        <v>19213</v>
      </c>
      <c r="F2234" t="s">
        <v>30052</v>
      </c>
      <c r="G2234" t="s">
        <v>30058</v>
      </c>
      <c r="H2234" t="s">
        <v>15498</v>
      </c>
      <c r="I2234" t="s">
        <v>30111</v>
      </c>
      <c r="J2234" t="s">
        <v>30559</v>
      </c>
      <c r="K2234" t="s">
        <v>39025</v>
      </c>
      <c r="M2234" t="s">
        <v>40138</v>
      </c>
      <c r="N2234" t="s">
        <v>43166</v>
      </c>
      <c r="O2234" t="s">
        <v>43167</v>
      </c>
      <c r="P2234">
        <v>0</v>
      </c>
      <c r="Q2234">
        <v>3</v>
      </c>
      <c r="R2234" t="s">
        <v>43170</v>
      </c>
      <c r="S2234" t="s">
        <v>43297</v>
      </c>
      <c r="T2234" t="s">
        <v>44764</v>
      </c>
      <c r="U2234" t="s">
        <v>47036</v>
      </c>
      <c r="W2234" t="s">
        <v>40138</v>
      </c>
      <c r="X2234" t="s">
        <v>43171</v>
      </c>
    </row>
    <row r="2235" spans="1:24">
      <c r="A2235">
        <f>HYPERLINK("https://www.philgeps.gov.ph/GEPSNONPILOT/Tender/SplashBidNoticeAbstractUI.aspx?menuIndex=3&amp;refID=7085797&amp;Result=3","7085797")</f>
        <v>0</v>
      </c>
      <c r="B2235" t="s">
        <v>838</v>
      </c>
      <c r="C2235" t="s">
        <v>5553</v>
      </c>
      <c r="D2235" t="s">
        <v>17419</v>
      </c>
      <c r="E2235" t="s">
        <v>19473</v>
      </c>
      <c r="F2235" t="s">
        <v>30052</v>
      </c>
      <c r="G2235" t="s">
        <v>30061</v>
      </c>
      <c r="H2235" t="s">
        <v>15498</v>
      </c>
      <c r="I2235" t="s">
        <v>30076</v>
      </c>
      <c r="J2235" t="s">
        <v>31762</v>
      </c>
      <c r="K2235" t="s">
        <v>39029</v>
      </c>
      <c r="M2235" t="s">
        <v>40155</v>
      </c>
      <c r="N2235" t="s">
        <v>43166</v>
      </c>
      <c r="O2235" t="s">
        <v>43167</v>
      </c>
      <c r="P2235">
        <v>0</v>
      </c>
      <c r="Q2235">
        <v>2</v>
      </c>
      <c r="R2235" t="s">
        <v>43170</v>
      </c>
      <c r="S2235" t="s">
        <v>43297</v>
      </c>
      <c r="T2235" t="s">
        <v>44681</v>
      </c>
      <c r="U2235" t="s">
        <v>47037</v>
      </c>
      <c r="W2235" t="s">
        <v>40155</v>
      </c>
      <c r="X2235" t="s">
        <v>43171</v>
      </c>
    </row>
    <row r="2236" spans="1:24">
      <c r="A2236">
        <f>HYPERLINK("https://www.philgeps.gov.ph/GEPSNONPILOT/Tender/SplashBidNoticeAbstractUI.aspx?menuIndex=3&amp;refID=7085796&amp;Result=3","7085796")</f>
        <v>0</v>
      </c>
      <c r="B2236" t="s">
        <v>846</v>
      </c>
      <c r="C2236" t="s">
        <v>5554</v>
      </c>
      <c r="D2236" t="s">
        <v>17421</v>
      </c>
      <c r="E2236" t="s">
        <v>17727</v>
      </c>
      <c r="F2236" t="s">
        <v>30052</v>
      </c>
      <c r="G2236" t="s">
        <v>30058</v>
      </c>
      <c r="H2236" t="s">
        <v>30067</v>
      </c>
      <c r="I2236" t="s">
        <v>3693</v>
      </c>
      <c r="J2236" t="s">
        <v>31763</v>
      </c>
      <c r="K2236" t="s">
        <v>39094</v>
      </c>
      <c r="M2236" t="s">
        <v>40163</v>
      </c>
      <c r="N2236" t="s">
        <v>43166</v>
      </c>
      <c r="O2236" t="s">
        <v>43167</v>
      </c>
      <c r="P2236">
        <v>0</v>
      </c>
      <c r="Q2236">
        <v>1</v>
      </c>
      <c r="R2236" t="s">
        <v>43170</v>
      </c>
      <c r="S2236" t="s">
        <v>43297</v>
      </c>
      <c r="T2236" t="s">
        <v>44801</v>
      </c>
      <c r="U2236" t="s">
        <v>47038</v>
      </c>
      <c r="V2236" t="s">
        <v>57085</v>
      </c>
      <c r="W2236" t="s">
        <v>40163</v>
      </c>
      <c r="X2236" t="s">
        <v>43171</v>
      </c>
    </row>
    <row r="2237" spans="1:24">
      <c r="A2237">
        <f>HYPERLINK("https://www.philgeps.gov.ph/GEPSNONPILOT/Tender/SplashBidNoticeAbstractUI.aspx?menuIndex=3&amp;refID=7085817&amp;Result=3","7085817")</f>
        <v>0</v>
      </c>
      <c r="B2237" t="s">
        <v>694</v>
      </c>
      <c r="C2237" t="s">
        <v>5555</v>
      </c>
      <c r="D2237" t="s">
        <v>17476</v>
      </c>
      <c r="E2237" t="s">
        <v>19474</v>
      </c>
      <c r="F2237" t="s">
        <v>30052</v>
      </c>
      <c r="G2237" t="s">
        <v>30059</v>
      </c>
      <c r="H2237" t="s">
        <v>15498</v>
      </c>
      <c r="I2237" t="s">
        <v>30074</v>
      </c>
      <c r="J2237" t="s">
        <v>30291</v>
      </c>
      <c r="K2237" t="s">
        <v>39064</v>
      </c>
      <c r="M2237" t="s">
        <v>40001</v>
      </c>
      <c r="N2237" t="s">
        <v>43166</v>
      </c>
      <c r="O2237" t="s">
        <v>43167</v>
      </c>
      <c r="P2237">
        <v>0</v>
      </c>
      <c r="Q2237">
        <v>1</v>
      </c>
      <c r="R2237" t="s">
        <v>43170</v>
      </c>
      <c r="S2237" t="s">
        <v>43297</v>
      </c>
      <c r="T2237" t="s">
        <v>44844</v>
      </c>
      <c r="U2237" t="s">
        <v>47039</v>
      </c>
      <c r="W2237" t="s">
        <v>40001</v>
      </c>
      <c r="X2237" t="s">
        <v>43171</v>
      </c>
    </row>
    <row r="2238" spans="1:24">
      <c r="A2238">
        <f>HYPERLINK("https://www.philgeps.gov.ph/GEPSNONPILOT/Tender/SplashBidNoticeAbstractUI.aspx?menuIndex=3&amp;refID=7085804&amp;Result=3","7085804")</f>
        <v>0</v>
      </c>
      <c r="B2238" t="s">
        <v>908</v>
      </c>
      <c r="C2238" t="s">
        <v>5556</v>
      </c>
      <c r="D2238" t="s">
        <v>17445</v>
      </c>
      <c r="E2238" t="s">
        <v>19475</v>
      </c>
      <c r="F2238" t="s">
        <v>30052</v>
      </c>
      <c r="G2238" t="s">
        <v>30059</v>
      </c>
      <c r="H2238" t="s">
        <v>15498</v>
      </c>
      <c r="I2238" t="s">
        <v>30140</v>
      </c>
      <c r="J2238" t="s">
        <v>30248</v>
      </c>
      <c r="K2238" t="s">
        <v>39034</v>
      </c>
      <c r="M2238" t="s">
        <v>40230</v>
      </c>
      <c r="N2238" t="s">
        <v>43166</v>
      </c>
      <c r="O2238" t="s">
        <v>43167</v>
      </c>
      <c r="P2238">
        <v>0</v>
      </c>
      <c r="Q2238">
        <v>5</v>
      </c>
      <c r="R2238" t="s">
        <v>43170</v>
      </c>
      <c r="S2238" t="s">
        <v>43297</v>
      </c>
      <c r="T2238" t="s">
        <v>44696</v>
      </c>
      <c r="U2238" t="s">
        <v>47008</v>
      </c>
      <c r="V2238" t="s">
        <v>57079</v>
      </c>
      <c r="W2238" t="s">
        <v>40230</v>
      </c>
      <c r="X2238" t="s">
        <v>43171</v>
      </c>
    </row>
    <row r="2239" spans="1:24">
      <c r="A2239">
        <f>HYPERLINK("https://www.philgeps.gov.ph/GEPSNONPILOT/Tender/SplashBidNoticeAbstractUI.aspx?menuIndex=3&amp;refID=7085849&amp;Result=3","7085849")</f>
        <v>0</v>
      </c>
      <c r="B2239" t="s">
        <v>917</v>
      </c>
      <c r="C2239" t="s">
        <v>5557</v>
      </c>
      <c r="D2239" t="s">
        <v>17415</v>
      </c>
      <c r="E2239" t="s">
        <v>19476</v>
      </c>
      <c r="F2239" t="s">
        <v>30052</v>
      </c>
      <c r="G2239" t="s">
        <v>30062</v>
      </c>
      <c r="H2239" t="s">
        <v>15498</v>
      </c>
      <c r="I2239" t="s">
        <v>4119</v>
      </c>
      <c r="J2239" t="s">
        <v>31358</v>
      </c>
      <c r="K2239" t="s">
        <v>39025</v>
      </c>
      <c r="M2239" t="s">
        <v>40240</v>
      </c>
      <c r="N2239" t="s">
        <v>43166</v>
      </c>
      <c r="O2239" t="s">
        <v>43167</v>
      </c>
      <c r="P2239">
        <v>0</v>
      </c>
      <c r="Q2239">
        <v>11</v>
      </c>
      <c r="R2239" t="s">
        <v>43170</v>
      </c>
      <c r="S2239" t="s">
        <v>43297</v>
      </c>
      <c r="T2239" t="s">
        <v>44723</v>
      </c>
      <c r="U2239" t="s">
        <v>47040</v>
      </c>
      <c r="W2239" t="s">
        <v>40240</v>
      </c>
      <c r="X2239" t="s">
        <v>43171</v>
      </c>
    </row>
    <row r="2240" spans="1:24">
      <c r="A2240">
        <f>HYPERLINK("https://www.philgeps.gov.ph/GEPSNONPILOT/Tender/SplashBidNoticeAbstractUI.aspx?menuIndex=3&amp;refID=7085824&amp;Result=3","7085824")</f>
        <v>0</v>
      </c>
      <c r="B2240" t="s">
        <v>918</v>
      </c>
      <c r="C2240" t="s">
        <v>5558</v>
      </c>
      <c r="D2240" t="s">
        <v>17424</v>
      </c>
      <c r="E2240" t="s">
        <v>19477</v>
      </c>
      <c r="F2240" t="s">
        <v>30052</v>
      </c>
      <c r="G2240" t="s">
        <v>30063</v>
      </c>
      <c r="H2240" t="s">
        <v>30067</v>
      </c>
      <c r="I2240" t="s">
        <v>3693</v>
      </c>
      <c r="J2240" t="s">
        <v>31764</v>
      </c>
      <c r="K2240" t="s">
        <v>39020</v>
      </c>
      <c r="M2240" t="s">
        <v>40241</v>
      </c>
      <c r="N2240" t="s">
        <v>43166</v>
      </c>
      <c r="O2240" t="s">
        <v>43167</v>
      </c>
      <c r="P2240">
        <v>0</v>
      </c>
      <c r="Q2240">
        <v>3</v>
      </c>
      <c r="R2240" t="s">
        <v>43170</v>
      </c>
      <c r="S2240" t="s">
        <v>43297</v>
      </c>
      <c r="T2240" t="s">
        <v>44684</v>
      </c>
      <c r="U2240" t="s">
        <v>47041</v>
      </c>
      <c r="V2240" t="s">
        <v>57086</v>
      </c>
      <c r="W2240" t="s">
        <v>40241</v>
      </c>
      <c r="X2240" t="s">
        <v>43171</v>
      </c>
    </row>
    <row r="2241" spans="1:24">
      <c r="A2241">
        <f>HYPERLINK("https://www.philgeps.gov.ph/GEPSNONPILOT/Tender/SplashBidNoticeAbstractUI.aspx?menuIndex=3&amp;refID=7085847&amp;Result=3","7085847")</f>
        <v>0</v>
      </c>
      <c r="B2241" t="s">
        <v>694</v>
      </c>
      <c r="C2241" t="s">
        <v>5559</v>
      </c>
      <c r="D2241" t="s">
        <v>17476</v>
      </c>
      <c r="E2241" t="s">
        <v>19478</v>
      </c>
      <c r="F2241" t="s">
        <v>30052</v>
      </c>
      <c r="G2241" t="s">
        <v>30059</v>
      </c>
      <c r="H2241" t="s">
        <v>15498</v>
      </c>
      <c r="I2241" t="s">
        <v>30081</v>
      </c>
      <c r="J2241" t="s">
        <v>30300</v>
      </c>
      <c r="K2241" t="s">
        <v>39064</v>
      </c>
      <c r="M2241" t="s">
        <v>40001</v>
      </c>
      <c r="N2241" t="s">
        <v>43166</v>
      </c>
      <c r="O2241" t="s">
        <v>43167</v>
      </c>
      <c r="P2241">
        <v>0</v>
      </c>
      <c r="Q2241">
        <v>0</v>
      </c>
      <c r="R2241" t="s">
        <v>43170</v>
      </c>
      <c r="S2241" t="s">
        <v>43297</v>
      </c>
      <c r="T2241" t="s">
        <v>44844</v>
      </c>
      <c r="U2241" t="s">
        <v>47042</v>
      </c>
      <c r="W2241" t="s">
        <v>40001</v>
      </c>
      <c r="X2241" t="s">
        <v>43171</v>
      </c>
    </row>
    <row r="2242" spans="1:24">
      <c r="A2242">
        <f>HYPERLINK("https://www.philgeps.gov.ph/GEPSNONPILOT/Tender/SplashBidNoticeAbstractUI.aspx?menuIndex=3&amp;refID=7085846&amp;Result=3","7085846")</f>
        <v>0</v>
      </c>
      <c r="B2242" t="s">
        <v>919</v>
      </c>
      <c r="C2242" t="s">
        <v>5560</v>
      </c>
      <c r="E2242" t="s">
        <v>19479</v>
      </c>
      <c r="F2242" t="s">
        <v>30052</v>
      </c>
      <c r="G2242" t="s">
        <v>30058</v>
      </c>
      <c r="H2242" t="s">
        <v>30067</v>
      </c>
      <c r="I2242" t="s">
        <v>3693</v>
      </c>
      <c r="J2242" t="s">
        <v>31765</v>
      </c>
      <c r="K2242" t="s">
        <v>39025</v>
      </c>
      <c r="M2242" t="s">
        <v>40242</v>
      </c>
      <c r="N2242" t="s">
        <v>43166</v>
      </c>
      <c r="O2242" t="s">
        <v>43167</v>
      </c>
      <c r="P2242">
        <v>0</v>
      </c>
      <c r="Q2242">
        <v>0</v>
      </c>
      <c r="R2242" t="s">
        <v>43170</v>
      </c>
      <c r="S2242" t="s">
        <v>43297</v>
      </c>
      <c r="T2242" t="s">
        <v>44842</v>
      </c>
      <c r="U2242" t="s">
        <v>47043</v>
      </c>
      <c r="W2242" t="s">
        <v>43101</v>
      </c>
      <c r="X2242" t="s">
        <v>43171</v>
      </c>
    </row>
    <row r="2243" spans="1:24">
      <c r="A2243">
        <f>HYPERLINK("https://www.philgeps.gov.ph/GEPSNONPILOT/Tender/SplashBidNoticeAbstractUI.aspx?menuIndex=3&amp;refID=7085845&amp;Result=3","7085845")</f>
        <v>0</v>
      </c>
      <c r="B2243" t="s">
        <v>915</v>
      </c>
      <c r="C2243" t="s">
        <v>5561</v>
      </c>
      <c r="D2243" t="s">
        <v>17457</v>
      </c>
      <c r="E2243" t="s">
        <v>19480</v>
      </c>
      <c r="F2243" t="s">
        <v>30052</v>
      </c>
      <c r="G2243" t="s">
        <v>30059</v>
      </c>
      <c r="H2243" t="s">
        <v>15498</v>
      </c>
      <c r="I2243" t="s">
        <v>30094</v>
      </c>
      <c r="J2243" t="s">
        <v>31766</v>
      </c>
      <c r="K2243" t="s">
        <v>39019</v>
      </c>
      <c r="M2243" t="s">
        <v>40238</v>
      </c>
      <c r="N2243" t="s">
        <v>43166</v>
      </c>
      <c r="O2243" t="s">
        <v>43167</v>
      </c>
      <c r="P2243">
        <v>0</v>
      </c>
      <c r="Q2243">
        <v>0</v>
      </c>
      <c r="R2243" t="s">
        <v>43170</v>
      </c>
      <c r="S2243" t="s">
        <v>43297</v>
      </c>
      <c r="T2243" t="s">
        <v>44844</v>
      </c>
      <c r="U2243" t="s">
        <v>47044</v>
      </c>
      <c r="W2243" t="s">
        <v>40238</v>
      </c>
      <c r="X2243" t="s">
        <v>43171</v>
      </c>
    </row>
    <row r="2244" spans="1:24">
      <c r="A2244">
        <f>HYPERLINK("https://www.philgeps.gov.ph/GEPSNONPILOT/Tender/SplashBidNoticeAbstractUI.aspx?menuIndex=3&amp;refID=7085838&amp;Result=3","7085838")</f>
        <v>0</v>
      </c>
      <c r="B2244" t="s">
        <v>415</v>
      </c>
      <c r="C2244" t="s">
        <v>5562</v>
      </c>
      <c r="D2244" t="s">
        <v>17472</v>
      </c>
      <c r="E2244" t="s">
        <v>18363</v>
      </c>
      <c r="F2244" t="s">
        <v>30052</v>
      </c>
      <c r="G2244" t="s">
        <v>30061</v>
      </c>
      <c r="H2244" t="s">
        <v>15498</v>
      </c>
      <c r="I2244" t="s">
        <v>30081</v>
      </c>
      <c r="J2244" t="s">
        <v>31370</v>
      </c>
      <c r="K2244" t="s">
        <v>39034</v>
      </c>
      <c r="M2244" t="s">
        <v>39714</v>
      </c>
      <c r="N2244" t="s">
        <v>43166</v>
      </c>
      <c r="O2244" t="s">
        <v>43167</v>
      </c>
      <c r="P2244">
        <v>0</v>
      </c>
      <c r="Q2244">
        <v>0</v>
      </c>
      <c r="R2244" t="s">
        <v>43170</v>
      </c>
      <c r="S2244" t="s">
        <v>43297</v>
      </c>
      <c r="T2244" t="s">
        <v>44685</v>
      </c>
      <c r="U2244" t="s">
        <v>47045</v>
      </c>
      <c r="W2244" t="s">
        <v>39714</v>
      </c>
      <c r="X2244" t="s">
        <v>43171</v>
      </c>
    </row>
    <row r="2245" spans="1:24">
      <c r="A2245">
        <f>HYPERLINK("https://www.philgeps.gov.ph/GEPSNONPILOT/Tender/SplashBidNoticeAbstractUI.aspx?menuIndex=3&amp;refID=7085835&amp;Result=3","7085835")</f>
        <v>0</v>
      </c>
      <c r="B2245" t="s">
        <v>920</v>
      </c>
      <c r="C2245" t="s">
        <v>5563</v>
      </c>
      <c r="D2245" t="s">
        <v>17415</v>
      </c>
      <c r="E2245" t="s">
        <v>19481</v>
      </c>
      <c r="F2245" t="s">
        <v>30052</v>
      </c>
      <c r="G2245" t="s">
        <v>30058</v>
      </c>
      <c r="H2245" t="s">
        <v>15498</v>
      </c>
      <c r="I2245" t="s">
        <v>3852</v>
      </c>
      <c r="J2245" t="s">
        <v>31767</v>
      </c>
      <c r="K2245" t="s">
        <v>39017</v>
      </c>
      <c r="M2245" t="s">
        <v>40243</v>
      </c>
      <c r="N2245" t="s">
        <v>43166</v>
      </c>
      <c r="O2245" t="s">
        <v>43167</v>
      </c>
      <c r="P2245">
        <v>0</v>
      </c>
      <c r="Q2245">
        <v>1</v>
      </c>
      <c r="R2245" t="s">
        <v>43170</v>
      </c>
      <c r="S2245" t="s">
        <v>43297</v>
      </c>
      <c r="T2245" t="s">
        <v>44753</v>
      </c>
      <c r="U2245" t="s">
        <v>47046</v>
      </c>
      <c r="W2245" t="s">
        <v>40243</v>
      </c>
      <c r="X2245" t="s">
        <v>43171</v>
      </c>
    </row>
    <row r="2246" spans="1:24">
      <c r="A2246">
        <f>HYPERLINK("https://www.philgeps.gov.ph/GEPSNONPILOT/Tender/SplashBidNoticeAbstractUI.aspx?menuIndex=3&amp;refID=7085711&amp;Result=3","7085711")</f>
        <v>0</v>
      </c>
      <c r="B2246" t="s">
        <v>921</v>
      </c>
      <c r="C2246" t="s">
        <v>5564</v>
      </c>
      <c r="D2246" t="s">
        <v>17421</v>
      </c>
      <c r="E2246" t="s">
        <v>19482</v>
      </c>
      <c r="F2246" t="s">
        <v>30052</v>
      </c>
      <c r="G2246" t="s">
        <v>30059</v>
      </c>
      <c r="H2246" t="s">
        <v>15498</v>
      </c>
      <c r="I2246" t="s">
        <v>4650</v>
      </c>
      <c r="J2246" t="s">
        <v>30256</v>
      </c>
      <c r="K2246" t="s">
        <v>39025</v>
      </c>
      <c r="M2246" t="s">
        <v>40244</v>
      </c>
      <c r="N2246" t="s">
        <v>43166</v>
      </c>
      <c r="O2246" t="s">
        <v>43167</v>
      </c>
      <c r="P2246">
        <v>0</v>
      </c>
      <c r="Q2246">
        <v>3</v>
      </c>
      <c r="R2246" t="s">
        <v>43170</v>
      </c>
      <c r="S2246" t="s">
        <v>43297</v>
      </c>
      <c r="T2246" t="s">
        <v>44717</v>
      </c>
      <c r="U2246" t="s">
        <v>47047</v>
      </c>
      <c r="W2246" t="s">
        <v>40244</v>
      </c>
      <c r="X2246" t="s">
        <v>43171</v>
      </c>
    </row>
    <row r="2247" spans="1:24">
      <c r="A2247">
        <f>HYPERLINK("https://www.philgeps.gov.ph/GEPSNONPILOT/Tender/SplashBidNoticeAbstractUI.aspx?menuIndex=3&amp;refID=7085848&amp;Result=3","7085848")</f>
        <v>0</v>
      </c>
      <c r="B2247" t="s">
        <v>684</v>
      </c>
      <c r="C2247" t="s">
        <v>5565</v>
      </c>
      <c r="D2247" t="s">
        <v>17473</v>
      </c>
      <c r="E2247" t="s">
        <v>19483</v>
      </c>
      <c r="F2247" t="s">
        <v>30052</v>
      </c>
      <c r="G2247" t="s">
        <v>30059</v>
      </c>
      <c r="H2247" t="s">
        <v>15498</v>
      </c>
      <c r="I2247" t="s">
        <v>30100</v>
      </c>
      <c r="J2247" t="s">
        <v>30343</v>
      </c>
      <c r="K2247" t="s">
        <v>39019</v>
      </c>
      <c r="M2247" t="s">
        <v>39990</v>
      </c>
      <c r="N2247" t="s">
        <v>43166</v>
      </c>
      <c r="O2247" t="s">
        <v>43167</v>
      </c>
      <c r="P2247">
        <v>0</v>
      </c>
      <c r="Q2247">
        <v>1</v>
      </c>
      <c r="R2247" t="s">
        <v>43170</v>
      </c>
      <c r="S2247" t="s">
        <v>43297</v>
      </c>
      <c r="T2247" t="s">
        <v>44710</v>
      </c>
      <c r="U2247" t="s">
        <v>47048</v>
      </c>
      <c r="W2247" t="s">
        <v>39990</v>
      </c>
      <c r="X2247" t="s">
        <v>43171</v>
      </c>
    </row>
    <row r="2248" spans="1:24">
      <c r="A2248">
        <f>HYPERLINK("https://www.philgeps.gov.ph/GEPSNONPILOT/Tender/SplashBidNoticeAbstractUI.aspx?menuIndex=3&amp;refID=7085827&amp;Result=3","7085827")</f>
        <v>0</v>
      </c>
      <c r="B2248" t="s">
        <v>415</v>
      </c>
      <c r="C2248" t="s">
        <v>5566</v>
      </c>
      <c r="D2248" t="s">
        <v>17472</v>
      </c>
      <c r="E2248" t="s">
        <v>19484</v>
      </c>
      <c r="F2248" t="s">
        <v>30052</v>
      </c>
      <c r="G2248" t="s">
        <v>30058</v>
      </c>
      <c r="H2248" t="s">
        <v>30067</v>
      </c>
      <c r="I2248" t="s">
        <v>3693</v>
      </c>
      <c r="J2248" t="s">
        <v>31768</v>
      </c>
      <c r="K2248" t="s">
        <v>39102</v>
      </c>
      <c r="M2248" t="s">
        <v>40024</v>
      </c>
      <c r="N2248" t="s">
        <v>43166</v>
      </c>
      <c r="O2248" t="s">
        <v>43167</v>
      </c>
      <c r="P2248">
        <v>0</v>
      </c>
      <c r="Q2248">
        <v>0</v>
      </c>
      <c r="R2248" t="s">
        <v>43170</v>
      </c>
      <c r="S2248" t="s">
        <v>43297</v>
      </c>
      <c r="T2248" t="s">
        <v>44702</v>
      </c>
      <c r="U2248" t="s">
        <v>47030</v>
      </c>
      <c r="V2248" t="s">
        <v>57084</v>
      </c>
      <c r="W2248" t="s">
        <v>58610</v>
      </c>
      <c r="X2248" t="s">
        <v>43171</v>
      </c>
    </row>
    <row r="2249" spans="1:24">
      <c r="A2249">
        <f>HYPERLINK("https://www.philgeps.gov.ph/GEPSNONPILOT/Tender/SplashBidNoticeAbstractUI.aspx?menuIndex=3&amp;refID=7085829&amp;Result=3","7085829")</f>
        <v>0</v>
      </c>
      <c r="B2249" t="s">
        <v>922</v>
      </c>
      <c r="C2249" t="s">
        <v>5567</v>
      </c>
      <c r="D2249" t="s">
        <v>17449</v>
      </c>
      <c r="E2249" t="s">
        <v>17922</v>
      </c>
      <c r="F2249" t="s">
        <v>30052</v>
      </c>
      <c r="G2249" t="s">
        <v>30060</v>
      </c>
      <c r="H2249" t="s">
        <v>15498</v>
      </c>
      <c r="I2249" t="s">
        <v>30084</v>
      </c>
      <c r="J2249" t="s">
        <v>31769</v>
      </c>
      <c r="K2249" t="s">
        <v>39064</v>
      </c>
      <c r="M2249" t="s">
        <v>40245</v>
      </c>
      <c r="N2249" t="s">
        <v>43166</v>
      </c>
      <c r="O2249" t="s">
        <v>43167</v>
      </c>
      <c r="P2249">
        <v>0</v>
      </c>
      <c r="Q2249">
        <v>0</v>
      </c>
      <c r="R2249" t="s">
        <v>43170</v>
      </c>
      <c r="S2249" t="s">
        <v>43297</v>
      </c>
      <c r="T2249" t="s">
        <v>44715</v>
      </c>
      <c r="U2249" t="s">
        <v>47049</v>
      </c>
      <c r="V2249" t="s">
        <v>57087</v>
      </c>
      <c r="W2249" t="s">
        <v>40245</v>
      </c>
      <c r="X2249" t="s">
        <v>43171</v>
      </c>
    </row>
    <row r="2250" spans="1:24">
      <c r="A2250">
        <f>HYPERLINK("https://www.philgeps.gov.ph/GEPSNONPILOT/Tender/SplashBidNoticeAbstractUI.aspx?menuIndex=3&amp;refID=7085861&amp;Result=3","7085861")</f>
        <v>0</v>
      </c>
      <c r="B2250" t="s">
        <v>799</v>
      </c>
      <c r="C2250" t="s">
        <v>5568</v>
      </c>
      <c r="D2250" t="s">
        <v>17423</v>
      </c>
      <c r="E2250" t="s">
        <v>19485</v>
      </c>
      <c r="F2250" t="s">
        <v>30052</v>
      </c>
      <c r="G2250" t="s">
        <v>30058</v>
      </c>
      <c r="H2250" t="s">
        <v>15498</v>
      </c>
      <c r="I2250" t="s">
        <v>3736</v>
      </c>
      <c r="J2250" t="s">
        <v>31770</v>
      </c>
      <c r="K2250" t="s">
        <v>39044</v>
      </c>
      <c r="M2250" t="s">
        <v>40116</v>
      </c>
      <c r="N2250" t="s">
        <v>43166</v>
      </c>
      <c r="O2250" t="s">
        <v>43167</v>
      </c>
      <c r="P2250">
        <v>0</v>
      </c>
      <c r="Q2250">
        <v>0</v>
      </c>
      <c r="R2250" t="s">
        <v>43170</v>
      </c>
      <c r="S2250" t="s">
        <v>43297</v>
      </c>
      <c r="T2250" t="s">
        <v>44681</v>
      </c>
      <c r="U2250" t="s">
        <v>47050</v>
      </c>
      <c r="V2250" t="s">
        <v>57040</v>
      </c>
      <c r="W2250" t="s">
        <v>40116</v>
      </c>
      <c r="X2250" t="s">
        <v>43171</v>
      </c>
    </row>
    <row r="2251" spans="1:24">
      <c r="A2251">
        <f>HYPERLINK("https://www.philgeps.gov.ph/GEPSNONPILOT/Tender/SplashBidNoticeAbstractUI.aspx?menuIndex=3&amp;refID=7085810&amp;Result=3","7085810")</f>
        <v>0</v>
      </c>
      <c r="B2251" t="s">
        <v>923</v>
      </c>
      <c r="C2251" t="s">
        <v>5569</v>
      </c>
      <c r="E2251" t="s">
        <v>19486</v>
      </c>
      <c r="F2251" t="s">
        <v>30052</v>
      </c>
      <c r="G2251" t="s">
        <v>30058</v>
      </c>
      <c r="H2251" t="s">
        <v>15498</v>
      </c>
      <c r="I2251" t="s">
        <v>30151</v>
      </c>
      <c r="J2251" t="s">
        <v>30252</v>
      </c>
      <c r="K2251" t="s">
        <v>39025</v>
      </c>
      <c r="M2251" t="s">
        <v>40246</v>
      </c>
      <c r="N2251" t="s">
        <v>43166</v>
      </c>
      <c r="O2251" t="s">
        <v>43167</v>
      </c>
      <c r="P2251">
        <v>0</v>
      </c>
      <c r="Q2251">
        <v>2</v>
      </c>
      <c r="R2251" t="s">
        <v>43170</v>
      </c>
      <c r="S2251" t="s">
        <v>43297</v>
      </c>
      <c r="T2251" t="s">
        <v>44679</v>
      </c>
      <c r="U2251" t="s">
        <v>47051</v>
      </c>
      <c r="W2251" t="s">
        <v>40246</v>
      </c>
      <c r="X2251" t="s">
        <v>43171</v>
      </c>
    </row>
    <row r="2252" spans="1:24">
      <c r="A2252">
        <f>HYPERLINK("https://www.philgeps.gov.ph/GEPSNONPILOT/Tender/SplashBidNoticeAbstractUI.aspx?menuIndex=3&amp;refID=7085858&amp;Result=3","7085858")</f>
        <v>0</v>
      </c>
      <c r="B2252" t="s">
        <v>924</v>
      </c>
      <c r="C2252" t="s">
        <v>5570</v>
      </c>
      <c r="E2252" t="s">
        <v>19487</v>
      </c>
      <c r="F2252" t="s">
        <v>30052</v>
      </c>
      <c r="G2252" t="s">
        <v>30058</v>
      </c>
      <c r="H2252" t="s">
        <v>30067</v>
      </c>
      <c r="I2252" t="s">
        <v>3693</v>
      </c>
      <c r="J2252" t="s">
        <v>31771</v>
      </c>
      <c r="K2252" t="s">
        <v>39025</v>
      </c>
      <c r="M2252" t="s">
        <v>40247</v>
      </c>
      <c r="N2252" t="s">
        <v>43166</v>
      </c>
      <c r="O2252" t="s">
        <v>43167</v>
      </c>
      <c r="P2252">
        <v>0</v>
      </c>
      <c r="Q2252">
        <v>5</v>
      </c>
      <c r="R2252" t="s">
        <v>43170</v>
      </c>
      <c r="S2252" t="s">
        <v>43297</v>
      </c>
      <c r="T2252" t="s">
        <v>44842</v>
      </c>
      <c r="U2252" t="s">
        <v>47052</v>
      </c>
      <c r="W2252" t="s">
        <v>58617</v>
      </c>
      <c r="X2252" t="s">
        <v>43171</v>
      </c>
    </row>
    <row r="2253" spans="1:24">
      <c r="A2253">
        <f>HYPERLINK("https://www.philgeps.gov.ph/GEPSNONPILOT/Tender/SplashBidNoticeAbstractUI.aspx?menuIndex=3&amp;refID=7085856&amp;Result=3","7085856")</f>
        <v>0</v>
      </c>
      <c r="B2253" t="s">
        <v>925</v>
      </c>
      <c r="C2253" t="s">
        <v>5571</v>
      </c>
      <c r="D2253" t="s">
        <v>17474</v>
      </c>
      <c r="E2253" t="s">
        <v>19488</v>
      </c>
      <c r="F2253" t="s">
        <v>30052</v>
      </c>
      <c r="G2253" t="s">
        <v>30058</v>
      </c>
      <c r="H2253" t="s">
        <v>30067</v>
      </c>
      <c r="I2253" t="s">
        <v>3693</v>
      </c>
      <c r="J2253" t="s">
        <v>31772</v>
      </c>
      <c r="K2253" t="s">
        <v>39086</v>
      </c>
      <c r="M2253" t="s">
        <v>40248</v>
      </c>
      <c r="N2253" t="s">
        <v>43166</v>
      </c>
      <c r="O2253" t="s">
        <v>43167</v>
      </c>
      <c r="P2253">
        <v>0</v>
      </c>
      <c r="Q2253">
        <v>0</v>
      </c>
      <c r="R2253" t="s">
        <v>43170</v>
      </c>
      <c r="S2253" t="s">
        <v>43297</v>
      </c>
      <c r="T2253" t="s">
        <v>44842</v>
      </c>
      <c r="U2253" t="s">
        <v>47053</v>
      </c>
      <c r="W2253" t="s">
        <v>40248</v>
      </c>
      <c r="X2253" t="s">
        <v>43171</v>
      </c>
    </row>
    <row r="2254" spans="1:24">
      <c r="A2254">
        <f>HYPERLINK("https://www.philgeps.gov.ph/GEPSNONPILOT/Tender/SplashBidNoticeAbstractUI.aspx?menuIndex=3&amp;refID=7085834&amp;Result=3","7085834")</f>
        <v>0</v>
      </c>
      <c r="B2254" t="s">
        <v>694</v>
      </c>
      <c r="C2254" t="s">
        <v>5572</v>
      </c>
      <c r="D2254" t="s">
        <v>17476</v>
      </c>
      <c r="E2254" t="s">
        <v>19489</v>
      </c>
      <c r="F2254" t="s">
        <v>30052</v>
      </c>
      <c r="G2254" t="s">
        <v>30059</v>
      </c>
      <c r="H2254" t="s">
        <v>15498</v>
      </c>
      <c r="I2254" t="s">
        <v>30081</v>
      </c>
      <c r="J2254" t="s">
        <v>31773</v>
      </c>
      <c r="K2254" t="s">
        <v>39064</v>
      </c>
      <c r="M2254" t="s">
        <v>40001</v>
      </c>
      <c r="N2254" t="s">
        <v>43166</v>
      </c>
      <c r="O2254" t="s">
        <v>43167</v>
      </c>
      <c r="P2254">
        <v>0</v>
      </c>
      <c r="Q2254">
        <v>0</v>
      </c>
      <c r="R2254" t="s">
        <v>43170</v>
      </c>
      <c r="S2254" t="s">
        <v>43297</v>
      </c>
      <c r="T2254" t="s">
        <v>44844</v>
      </c>
      <c r="U2254" t="s">
        <v>47054</v>
      </c>
      <c r="W2254" t="s">
        <v>40001</v>
      </c>
      <c r="X2254" t="s">
        <v>43171</v>
      </c>
    </row>
    <row r="2255" spans="1:24">
      <c r="A2255">
        <f>HYPERLINK("https://www.philgeps.gov.ph/GEPSNONPILOT/Tender/SplashBidNoticeAbstractUI.aspx?menuIndex=3&amp;refID=7085828&amp;Result=3","7085828")</f>
        <v>0</v>
      </c>
      <c r="B2255" t="s">
        <v>701</v>
      </c>
      <c r="C2255" t="s">
        <v>5573</v>
      </c>
      <c r="D2255" t="s">
        <v>17419</v>
      </c>
      <c r="E2255" t="s">
        <v>19490</v>
      </c>
      <c r="F2255" t="s">
        <v>30052</v>
      </c>
      <c r="G2255" t="s">
        <v>30059</v>
      </c>
      <c r="H2255" t="s">
        <v>15498</v>
      </c>
      <c r="I2255" t="s">
        <v>30073</v>
      </c>
      <c r="J2255" t="s">
        <v>31774</v>
      </c>
      <c r="K2255" t="s">
        <v>39025</v>
      </c>
      <c r="M2255" t="s">
        <v>40010</v>
      </c>
      <c r="N2255" t="s">
        <v>43166</v>
      </c>
      <c r="O2255" t="s">
        <v>43167</v>
      </c>
      <c r="P2255">
        <v>0</v>
      </c>
      <c r="Q2255">
        <v>0</v>
      </c>
      <c r="R2255" t="s">
        <v>43170</v>
      </c>
      <c r="S2255" t="s">
        <v>43297</v>
      </c>
      <c r="T2255" t="s">
        <v>44717</v>
      </c>
      <c r="U2255" t="s">
        <v>47055</v>
      </c>
      <c r="W2255" t="s">
        <v>40010</v>
      </c>
      <c r="X2255" t="s">
        <v>43171</v>
      </c>
    </row>
    <row r="2256" spans="1:24">
      <c r="A2256">
        <f>HYPERLINK("https://www.philgeps.gov.ph/GEPSNONPILOT/Tender/SplashBidNoticeAbstractUI.aspx?menuIndex=3&amp;refID=7085869&amp;Result=3","7085869")</f>
        <v>0</v>
      </c>
      <c r="B2256" t="s">
        <v>919</v>
      </c>
      <c r="C2256" t="s">
        <v>5574</v>
      </c>
      <c r="E2256" t="s">
        <v>19491</v>
      </c>
      <c r="F2256" t="s">
        <v>30052</v>
      </c>
      <c r="G2256" t="s">
        <v>30058</v>
      </c>
      <c r="H2256" t="s">
        <v>30067</v>
      </c>
      <c r="I2256" t="s">
        <v>3693</v>
      </c>
      <c r="J2256" t="s">
        <v>31765</v>
      </c>
      <c r="K2256" t="s">
        <v>39025</v>
      </c>
      <c r="M2256" t="s">
        <v>40242</v>
      </c>
      <c r="N2256" t="s">
        <v>43166</v>
      </c>
      <c r="O2256" t="s">
        <v>43167</v>
      </c>
      <c r="P2256">
        <v>0</v>
      </c>
      <c r="Q2256">
        <v>0</v>
      </c>
      <c r="R2256" t="s">
        <v>43170</v>
      </c>
      <c r="S2256" t="s">
        <v>43297</v>
      </c>
      <c r="T2256" t="s">
        <v>44842</v>
      </c>
      <c r="U2256" t="s">
        <v>47056</v>
      </c>
      <c r="W2256" t="s">
        <v>43101</v>
      </c>
      <c r="X2256" t="s">
        <v>43171</v>
      </c>
    </row>
    <row r="2257" spans="1:24">
      <c r="A2257">
        <f>HYPERLINK("https://www.philgeps.gov.ph/GEPSNONPILOT/Tender/SplashBidNoticeAbstractUI.aspx?menuIndex=3&amp;refID=7085865&amp;Result=3","7085865")</f>
        <v>0</v>
      </c>
      <c r="B2257" t="s">
        <v>868</v>
      </c>
      <c r="C2257" t="s">
        <v>5575</v>
      </c>
      <c r="D2257" t="s">
        <v>17422</v>
      </c>
      <c r="E2257" t="s">
        <v>19492</v>
      </c>
      <c r="F2257" t="s">
        <v>30052</v>
      </c>
      <c r="G2257" t="s">
        <v>30058</v>
      </c>
      <c r="H2257" t="s">
        <v>15498</v>
      </c>
      <c r="I2257" t="s">
        <v>3736</v>
      </c>
      <c r="J2257" t="s">
        <v>31775</v>
      </c>
      <c r="K2257" t="s">
        <v>39023</v>
      </c>
      <c r="M2257" t="s">
        <v>40187</v>
      </c>
      <c r="N2257" t="s">
        <v>43166</v>
      </c>
      <c r="O2257" t="s">
        <v>43167</v>
      </c>
      <c r="P2257">
        <v>0</v>
      </c>
      <c r="Q2257">
        <v>1</v>
      </c>
      <c r="R2257" t="s">
        <v>43170</v>
      </c>
      <c r="S2257" t="s">
        <v>43297</v>
      </c>
      <c r="T2257" t="s">
        <v>44908</v>
      </c>
      <c r="U2257" t="s">
        <v>46987</v>
      </c>
      <c r="V2257" t="s">
        <v>57088</v>
      </c>
      <c r="W2257" t="s">
        <v>40187</v>
      </c>
      <c r="X2257" t="s">
        <v>43171</v>
      </c>
    </row>
    <row r="2258" spans="1:24">
      <c r="A2258">
        <f>HYPERLINK("https://www.philgeps.gov.ph/GEPSNONPILOT/Tender/SplashBidNoticeAbstractUI.aspx?menuIndex=3&amp;refID=7085860&amp;Result=3","7085860")</f>
        <v>0</v>
      </c>
      <c r="B2258" t="s">
        <v>926</v>
      </c>
      <c r="C2258" t="s">
        <v>5576</v>
      </c>
      <c r="D2258" t="s">
        <v>17466</v>
      </c>
      <c r="E2258" t="s">
        <v>19493</v>
      </c>
      <c r="F2258" t="s">
        <v>30052</v>
      </c>
      <c r="G2258" t="s">
        <v>30062</v>
      </c>
      <c r="H2258" t="s">
        <v>15498</v>
      </c>
      <c r="I2258" t="s">
        <v>30070</v>
      </c>
      <c r="J2258" t="s">
        <v>31776</v>
      </c>
      <c r="K2258" t="s">
        <v>39034</v>
      </c>
      <c r="M2258" t="s">
        <v>40249</v>
      </c>
      <c r="N2258" t="s">
        <v>43166</v>
      </c>
      <c r="O2258" t="s">
        <v>43167</v>
      </c>
      <c r="P2258">
        <v>0</v>
      </c>
      <c r="Q2258">
        <v>2</v>
      </c>
      <c r="R2258" t="s">
        <v>43170</v>
      </c>
      <c r="S2258" t="s">
        <v>43297</v>
      </c>
      <c r="T2258" t="s">
        <v>44803</v>
      </c>
      <c r="U2258" t="s">
        <v>47057</v>
      </c>
      <c r="W2258" t="s">
        <v>40249</v>
      </c>
      <c r="X2258" t="s">
        <v>43171</v>
      </c>
    </row>
    <row r="2259" spans="1:24">
      <c r="A2259">
        <f>HYPERLINK("https://www.philgeps.gov.ph/GEPSNONPILOT/Tender/SplashBidNoticeAbstractUI.aspx?menuIndex=3&amp;refID=7085863&amp;Result=3","7085863")</f>
        <v>0</v>
      </c>
      <c r="B2259" t="s">
        <v>415</v>
      </c>
      <c r="C2259" t="s">
        <v>5577</v>
      </c>
      <c r="D2259" t="s">
        <v>17472</v>
      </c>
      <c r="E2259" t="s">
        <v>18363</v>
      </c>
      <c r="F2259" t="s">
        <v>30052</v>
      </c>
      <c r="G2259" t="s">
        <v>30061</v>
      </c>
      <c r="H2259" t="s">
        <v>15498</v>
      </c>
      <c r="I2259" t="s">
        <v>30073</v>
      </c>
      <c r="J2259" t="s">
        <v>31777</v>
      </c>
      <c r="K2259" t="s">
        <v>39034</v>
      </c>
      <c r="M2259" t="s">
        <v>39714</v>
      </c>
      <c r="N2259" t="s">
        <v>43166</v>
      </c>
      <c r="O2259" t="s">
        <v>43167</v>
      </c>
      <c r="P2259">
        <v>0</v>
      </c>
      <c r="Q2259">
        <v>0</v>
      </c>
      <c r="R2259" t="s">
        <v>43170</v>
      </c>
      <c r="S2259" t="s">
        <v>43297</v>
      </c>
      <c r="T2259" t="s">
        <v>44685</v>
      </c>
      <c r="U2259" t="s">
        <v>47058</v>
      </c>
      <c r="W2259" t="s">
        <v>39714</v>
      </c>
      <c r="X2259" t="s">
        <v>43171</v>
      </c>
    </row>
    <row r="2260" spans="1:24">
      <c r="A2260">
        <f>HYPERLINK("https://www.philgeps.gov.ph/GEPSNONPILOT/Tender/SplashBidNoticeAbstractUI.aspx?menuIndex=3&amp;refID=7085888&amp;Result=3","7085888")</f>
        <v>0</v>
      </c>
      <c r="B2260" t="s">
        <v>927</v>
      </c>
      <c r="C2260" t="s">
        <v>5578</v>
      </c>
      <c r="D2260" t="s">
        <v>17458</v>
      </c>
      <c r="E2260" t="s">
        <v>19494</v>
      </c>
      <c r="F2260" t="s">
        <v>30052</v>
      </c>
      <c r="G2260" t="s">
        <v>30058</v>
      </c>
      <c r="H2260" t="s">
        <v>15498</v>
      </c>
      <c r="I2260" t="s">
        <v>30073</v>
      </c>
      <c r="J2260" t="s">
        <v>30230</v>
      </c>
      <c r="K2260" t="s">
        <v>39018</v>
      </c>
      <c r="M2260" t="s">
        <v>40250</v>
      </c>
      <c r="N2260" t="s">
        <v>43166</v>
      </c>
      <c r="O2260" t="s">
        <v>43167</v>
      </c>
      <c r="P2260">
        <v>0</v>
      </c>
      <c r="Q2260">
        <v>0</v>
      </c>
      <c r="R2260" t="s">
        <v>43170</v>
      </c>
      <c r="S2260" t="s">
        <v>43297</v>
      </c>
      <c r="T2260" t="s">
        <v>44703</v>
      </c>
      <c r="U2260" t="s">
        <v>47059</v>
      </c>
      <c r="W2260" t="s">
        <v>40250</v>
      </c>
      <c r="X2260" t="s">
        <v>43171</v>
      </c>
    </row>
    <row r="2261" spans="1:24">
      <c r="A2261">
        <f>HYPERLINK("https://www.philgeps.gov.ph/GEPSNONPILOT/Tender/SplashBidNoticeAbstractUI.aspx?menuIndex=3&amp;refID=7085851&amp;Result=3","7085851")</f>
        <v>0</v>
      </c>
      <c r="B2261" t="s">
        <v>838</v>
      </c>
      <c r="C2261" t="s">
        <v>5579</v>
      </c>
      <c r="D2261" t="s">
        <v>17419</v>
      </c>
      <c r="E2261" t="s">
        <v>19495</v>
      </c>
      <c r="F2261" t="s">
        <v>30052</v>
      </c>
      <c r="G2261" t="s">
        <v>30061</v>
      </c>
      <c r="H2261" t="s">
        <v>15498</v>
      </c>
      <c r="I2261" t="s">
        <v>3736</v>
      </c>
      <c r="J2261" t="s">
        <v>30337</v>
      </c>
      <c r="K2261" t="s">
        <v>39029</v>
      </c>
      <c r="M2261" t="s">
        <v>40155</v>
      </c>
      <c r="N2261" t="s">
        <v>43166</v>
      </c>
      <c r="O2261" t="s">
        <v>43167</v>
      </c>
      <c r="P2261">
        <v>0</v>
      </c>
      <c r="Q2261">
        <v>0</v>
      </c>
      <c r="R2261" t="s">
        <v>43170</v>
      </c>
      <c r="S2261" t="s">
        <v>43297</v>
      </c>
      <c r="T2261" t="s">
        <v>44681</v>
      </c>
      <c r="U2261" t="s">
        <v>47060</v>
      </c>
      <c r="W2261" t="s">
        <v>40155</v>
      </c>
      <c r="X2261" t="s">
        <v>43171</v>
      </c>
    </row>
    <row r="2262" spans="1:24">
      <c r="A2262">
        <f>HYPERLINK("https://www.philgeps.gov.ph/GEPSNONPILOT/Tender/SplashBidNoticeAbstractUI.aspx?menuIndex=3&amp;refID=7085887&amp;Result=3","7085887")</f>
        <v>0</v>
      </c>
      <c r="B2262" t="s">
        <v>790</v>
      </c>
      <c r="C2262" t="s">
        <v>5580</v>
      </c>
      <c r="D2262" t="s">
        <v>17421</v>
      </c>
      <c r="E2262" t="s">
        <v>19496</v>
      </c>
      <c r="F2262" t="s">
        <v>30052</v>
      </c>
      <c r="G2262" t="s">
        <v>30059</v>
      </c>
      <c r="H2262" t="s">
        <v>30067</v>
      </c>
      <c r="I2262" t="s">
        <v>30083</v>
      </c>
      <c r="J2262" t="s">
        <v>31778</v>
      </c>
      <c r="K2262" t="s">
        <v>39065</v>
      </c>
      <c r="L2262" t="s">
        <v>790</v>
      </c>
      <c r="M2262" t="s">
        <v>40107</v>
      </c>
      <c r="N2262" t="s">
        <v>43166</v>
      </c>
      <c r="O2262" t="s">
        <v>43167</v>
      </c>
      <c r="P2262">
        <v>0</v>
      </c>
      <c r="Q2262">
        <v>0</v>
      </c>
      <c r="R2262" t="s">
        <v>43170</v>
      </c>
      <c r="S2262" t="s">
        <v>43297</v>
      </c>
      <c r="T2262" t="s">
        <v>44713</v>
      </c>
      <c r="U2262" t="s">
        <v>46851</v>
      </c>
      <c r="W2262" t="s">
        <v>40107</v>
      </c>
      <c r="X2262" t="s">
        <v>43171</v>
      </c>
    </row>
    <row r="2263" spans="1:24">
      <c r="A2263">
        <f>HYPERLINK("https://www.philgeps.gov.ph/GEPSNONPILOT/Tender/SplashBidNoticeAbstractUI.aspx?menuIndex=3&amp;refID=7085885&amp;Result=3","7085885")</f>
        <v>0</v>
      </c>
      <c r="B2263" t="s">
        <v>360</v>
      </c>
      <c r="C2263" t="s">
        <v>5581</v>
      </c>
      <c r="E2263" t="s">
        <v>19497</v>
      </c>
      <c r="F2263" t="s">
        <v>30052</v>
      </c>
      <c r="G2263" t="s">
        <v>30059</v>
      </c>
      <c r="H2263" t="s">
        <v>15498</v>
      </c>
      <c r="I2263" t="s">
        <v>30092</v>
      </c>
      <c r="J2263" t="s">
        <v>31779</v>
      </c>
      <c r="K2263" t="s">
        <v>39034</v>
      </c>
      <c r="M2263" t="s">
        <v>39657</v>
      </c>
      <c r="N2263" t="s">
        <v>43166</v>
      </c>
      <c r="O2263" t="s">
        <v>43167</v>
      </c>
      <c r="P2263">
        <v>0</v>
      </c>
      <c r="Q2263">
        <v>0</v>
      </c>
      <c r="R2263" t="s">
        <v>43170</v>
      </c>
      <c r="S2263" t="s">
        <v>43297</v>
      </c>
      <c r="T2263" t="s">
        <v>44895</v>
      </c>
      <c r="U2263" t="s">
        <v>46847</v>
      </c>
      <c r="V2263" t="s">
        <v>56908</v>
      </c>
      <c r="W2263" t="s">
        <v>41004</v>
      </c>
      <c r="X2263" t="s">
        <v>43171</v>
      </c>
    </row>
    <row r="2264" spans="1:24">
      <c r="A2264">
        <f>HYPERLINK("https://www.philgeps.gov.ph/GEPSNONPILOT/Tender/SplashBidNoticeAbstractUI.aspx?menuIndex=3&amp;refID=7085864&amp;Result=3","7085864")</f>
        <v>0</v>
      </c>
      <c r="B2264" t="s">
        <v>928</v>
      </c>
      <c r="C2264" t="s">
        <v>5582</v>
      </c>
      <c r="D2264" t="s">
        <v>17462</v>
      </c>
      <c r="E2264" t="s">
        <v>19498</v>
      </c>
      <c r="F2264" t="s">
        <v>30052</v>
      </c>
      <c r="G2264" t="s">
        <v>30059</v>
      </c>
      <c r="H2264" t="s">
        <v>15498</v>
      </c>
      <c r="I2264" t="s">
        <v>30075</v>
      </c>
      <c r="J2264" t="s">
        <v>31780</v>
      </c>
      <c r="K2264" t="s">
        <v>39036</v>
      </c>
      <c r="M2264" t="s">
        <v>40251</v>
      </c>
      <c r="N2264" t="s">
        <v>43166</v>
      </c>
      <c r="O2264" t="s">
        <v>43167</v>
      </c>
      <c r="P2264">
        <v>0</v>
      </c>
      <c r="Q2264">
        <v>0</v>
      </c>
      <c r="R2264" t="s">
        <v>43170</v>
      </c>
      <c r="S2264" t="s">
        <v>43297</v>
      </c>
      <c r="T2264" t="s">
        <v>44832</v>
      </c>
      <c r="U2264" t="s">
        <v>47061</v>
      </c>
      <c r="V2264" t="s">
        <v>57089</v>
      </c>
      <c r="W2264" t="s">
        <v>40251</v>
      </c>
      <c r="X2264" t="s">
        <v>43171</v>
      </c>
    </row>
    <row r="2265" spans="1:24">
      <c r="A2265">
        <f>HYPERLINK("https://www.philgeps.gov.ph/GEPSNONPILOT/Tender/SplashBidNoticeAbstractUI.aspx?menuIndex=3&amp;refID=7085893&amp;Result=3","7085893")</f>
        <v>0</v>
      </c>
      <c r="B2265" t="s">
        <v>903</v>
      </c>
      <c r="C2265" t="s">
        <v>5583</v>
      </c>
      <c r="E2265" t="s">
        <v>19499</v>
      </c>
      <c r="F2265" t="s">
        <v>30052</v>
      </c>
      <c r="G2265" t="s">
        <v>30059</v>
      </c>
      <c r="H2265" t="s">
        <v>15498</v>
      </c>
      <c r="I2265" t="s">
        <v>9238</v>
      </c>
      <c r="J2265" t="s">
        <v>31189</v>
      </c>
      <c r="K2265" t="s">
        <v>39025</v>
      </c>
      <c r="M2265" t="s">
        <v>40223</v>
      </c>
      <c r="N2265" t="s">
        <v>43166</v>
      </c>
      <c r="O2265" t="s">
        <v>43167</v>
      </c>
      <c r="P2265">
        <v>0</v>
      </c>
      <c r="Q2265">
        <v>4</v>
      </c>
      <c r="R2265" t="s">
        <v>43170</v>
      </c>
      <c r="S2265" t="s">
        <v>43297</v>
      </c>
      <c r="T2265" t="s">
        <v>44862</v>
      </c>
      <c r="U2265" t="s">
        <v>47062</v>
      </c>
      <c r="W2265" t="s">
        <v>40223</v>
      </c>
      <c r="X2265" t="s">
        <v>43171</v>
      </c>
    </row>
    <row r="2266" spans="1:24">
      <c r="A2266">
        <f>HYPERLINK("https://www.philgeps.gov.ph/GEPSNONPILOT/Tender/SplashBidNoticeAbstractUI.aspx?menuIndex=3&amp;refID=7085889&amp;Result=3","7085889")</f>
        <v>0</v>
      </c>
      <c r="B2266" t="s">
        <v>415</v>
      </c>
      <c r="C2266" t="s">
        <v>5584</v>
      </c>
      <c r="D2266" t="s">
        <v>17472</v>
      </c>
      <c r="E2266" t="s">
        <v>18363</v>
      </c>
      <c r="F2266" t="s">
        <v>30052</v>
      </c>
      <c r="G2266" t="s">
        <v>30061</v>
      </c>
      <c r="H2266" t="s">
        <v>15498</v>
      </c>
      <c r="I2266" t="s">
        <v>30070</v>
      </c>
      <c r="J2266" t="s">
        <v>31781</v>
      </c>
      <c r="K2266" t="s">
        <v>39034</v>
      </c>
      <c r="M2266" t="s">
        <v>39714</v>
      </c>
      <c r="N2266" t="s">
        <v>43166</v>
      </c>
      <c r="O2266" t="s">
        <v>43167</v>
      </c>
      <c r="P2266">
        <v>0</v>
      </c>
      <c r="Q2266">
        <v>0</v>
      </c>
      <c r="R2266" t="s">
        <v>43170</v>
      </c>
      <c r="S2266" t="s">
        <v>43297</v>
      </c>
      <c r="T2266" t="s">
        <v>44685</v>
      </c>
      <c r="U2266" t="s">
        <v>47063</v>
      </c>
      <c r="W2266" t="s">
        <v>39714</v>
      </c>
      <c r="X2266" t="s">
        <v>43171</v>
      </c>
    </row>
    <row r="2267" spans="1:24">
      <c r="A2267">
        <f>HYPERLINK("https://www.philgeps.gov.ph/GEPSNONPILOT/Tender/SplashBidNoticeAbstractUI.aspx?menuIndex=3&amp;refID=7085892&amp;Result=3","7085892")</f>
        <v>0</v>
      </c>
      <c r="B2267" t="s">
        <v>918</v>
      </c>
      <c r="C2267" t="s">
        <v>5585</v>
      </c>
      <c r="D2267" t="s">
        <v>17424</v>
      </c>
      <c r="E2267" t="s">
        <v>19500</v>
      </c>
      <c r="F2267" t="s">
        <v>30052</v>
      </c>
      <c r="G2267" t="s">
        <v>30063</v>
      </c>
      <c r="H2267" t="s">
        <v>30067</v>
      </c>
      <c r="I2267" t="s">
        <v>3693</v>
      </c>
      <c r="J2267" t="s">
        <v>31782</v>
      </c>
      <c r="K2267" t="s">
        <v>39020</v>
      </c>
      <c r="M2267" t="s">
        <v>40241</v>
      </c>
      <c r="N2267" t="s">
        <v>43166</v>
      </c>
      <c r="O2267" t="s">
        <v>43167</v>
      </c>
      <c r="P2267">
        <v>0</v>
      </c>
      <c r="Q2267">
        <v>3</v>
      </c>
      <c r="R2267" t="s">
        <v>43170</v>
      </c>
      <c r="S2267" t="s">
        <v>43297</v>
      </c>
      <c r="T2267" t="s">
        <v>44684</v>
      </c>
      <c r="U2267" t="s">
        <v>47064</v>
      </c>
      <c r="V2267" t="s">
        <v>57086</v>
      </c>
      <c r="W2267" t="s">
        <v>40241</v>
      </c>
      <c r="X2267" t="s">
        <v>43171</v>
      </c>
    </row>
    <row r="2268" spans="1:24">
      <c r="A2268">
        <f>HYPERLINK("https://www.philgeps.gov.ph/GEPSNONPILOT/Tender/SplashBidNoticeAbstractUI.aspx?menuIndex=3&amp;refID=7085891&amp;Result=3","7085891")</f>
        <v>0</v>
      </c>
      <c r="B2268" t="s">
        <v>684</v>
      </c>
      <c r="C2268" t="s">
        <v>5586</v>
      </c>
      <c r="D2268" t="s">
        <v>17473</v>
      </c>
      <c r="E2268" t="s">
        <v>19501</v>
      </c>
      <c r="F2268" t="s">
        <v>30052</v>
      </c>
      <c r="G2268" t="s">
        <v>30062</v>
      </c>
      <c r="H2268" t="s">
        <v>15498</v>
      </c>
      <c r="I2268" t="s">
        <v>30151</v>
      </c>
      <c r="J2268" t="s">
        <v>30691</v>
      </c>
      <c r="K2268" t="s">
        <v>39029</v>
      </c>
      <c r="M2268" t="s">
        <v>39990</v>
      </c>
      <c r="N2268" t="s">
        <v>43166</v>
      </c>
      <c r="O2268" t="s">
        <v>43167</v>
      </c>
      <c r="P2268">
        <v>0</v>
      </c>
      <c r="Q2268">
        <v>4</v>
      </c>
      <c r="R2268" t="s">
        <v>43170</v>
      </c>
      <c r="S2268" t="s">
        <v>43297</v>
      </c>
      <c r="T2268" t="s">
        <v>44710</v>
      </c>
      <c r="U2268" t="s">
        <v>47065</v>
      </c>
      <c r="W2268" t="s">
        <v>39990</v>
      </c>
      <c r="X2268" t="s">
        <v>43171</v>
      </c>
    </row>
    <row r="2269" spans="1:24">
      <c r="A2269">
        <f>HYPERLINK("https://www.philgeps.gov.ph/GEPSNONPILOT/Tender/SplashBidNoticeAbstractUI.aspx?menuIndex=3&amp;refID=7085883&amp;Result=3","7085883")</f>
        <v>0</v>
      </c>
      <c r="B2269" t="s">
        <v>929</v>
      </c>
      <c r="C2269" t="s">
        <v>5587</v>
      </c>
      <c r="D2269" t="s">
        <v>17415</v>
      </c>
      <c r="E2269" t="s">
        <v>19502</v>
      </c>
      <c r="F2269" t="s">
        <v>30052</v>
      </c>
      <c r="G2269" t="s">
        <v>30061</v>
      </c>
      <c r="H2269" t="s">
        <v>15498</v>
      </c>
      <c r="I2269" t="s">
        <v>30125</v>
      </c>
      <c r="J2269" t="s">
        <v>30299</v>
      </c>
      <c r="K2269" t="s">
        <v>39019</v>
      </c>
      <c r="M2269" t="s">
        <v>40252</v>
      </c>
      <c r="N2269" t="s">
        <v>43166</v>
      </c>
      <c r="O2269" t="s">
        <v>43167</v>
      </c>
      <c r="P2269">
        <v>0</v>
      </c>
      <c r="Q2269">
        <v>3</v>
      </c>
      <c r="R2269" t="s">
        <v>43170</v>
      </c>
      <c r="S2269" t="s">
        <v>43297</v>
      </c>
      <c r="T2269" t="s">
        <v>44837</v>
      </c>
      <c r="U2269" t="s">
        <v>47066</v>
      </c>
      <c r="W2269" t="s">
        <v>40252</v>
      </c>
      <c r="X2269" t="s">
        <v>43171</v>
      </c>
    </row>
    <row r="2270" spans="1:24">
      <c r="A2270">
        <f>HYPERLINK("https://www.philgeps.gov.ph/GEPSNONPILOT/Tender/SplashBidNoticeAbstractUI.aspx?menuIndex=3&amp;refID=7085880&amp;Result=3","7085880")</f>
        <v>0</v>
      </c>
      <c r="B2270" t="s">
        <v>930</v>
      </c>
      <c r="C2270" t="s">
        <v>5588</v>
      </c>
      <c r="E2270" t="s">
        <v>19503</v>
      </c>
      <c r="F2270" t="s">
        <v>30052</v>
      </c>
      <c r="G2270" t="s">
        <v>30061</v>
      </c>
      <c r="H2270" t="s">
        <v>15498</v>
      </c>
      <c r="I2270" t="s">
        <v>4650</v>
      </c>
      <c r="J2270" t="s">
        <v>31783</v>
      </c>
      <c r="K2270" t="s">
        <v>39025</v>
      </c>
      <c r="M2270" t="s">
        <v>40253</v>
      </c>
      <c r="N2270" t="s">
        <v>43166</v>
      </c>
      <c r="O2270" t="s">
        <v>43167</v>
      </c>
      <c r="P2270">
        <v>0</v>
      </c>
      <c r="Q2270">
        <v>10</v>
      </c>
      <c r="R2270" t="s">
        <v>43170</v>
      </c>
      <c r="S2270" t="s">
        <v>43297</v>
      </c>
      <c r="T2270" t="s">
        <v>44735</v>
      </c>
      <c r="U2270" t="s">
        <v>47067</v>
      </c>
      <c r="W2270" t="s">
        <v>40253</v>
      </c>
      <c r="X2270" t="s">
        <v>43171</v>
      </c>
    </row>
    <row r="2271" spans="1:24">
      <c r="A2271">
        <f>HYPERLINK("https://www.philgeps.gov.ph/GEPSNONPILOT/Tender/SplashBidNoticeAbstractUI.aspx?menuIndex=3&amp;refID=7085879&amp;Result=3","7085879")</f>
        <v>0</v>
      </c>
      <c r="B2271" t="s">
        <v>627</v>
      </c>
      <c r="C2271" t="s">
        <v>3461</v>
      </c>
      <c r="D2271" t="s">
        <v>17470</v>
      </c>
      <c r="E2271" t="s">
        <v>19504</v>
      </c>
      <c r="F2271" t="s">
        <v>30052</v>
      </c>
      <c r="G2271" t="s">
        <v>30058</v>
      </c>
      <c r="H2271" t="s">
        <v>30067</v>
      </c>
      <c r="I2271" t="s">
        <v>3693</v>
      </c>
      <c r="J2271" t="s">
        <v>31784</v>
      </c>
      <c r="K2271" t="s">
        <v>39023</v>
      </c>
      <c r="M2271" t="s">
        <v>39930</v>
      </c>
      <c r="N2271" t="s">
        <v>43166</v>
      </c>
      <c r="O2271" t="s">
        <v>43167</v>
      </c>
      <c r="P2271">
        <v>0</v>
      </c>
      <c r="Q2271">
        <v>0</v>
      </c>
      <c r="R2271" t="s">
        <v>43170</v>
      </c>
      <c r="S2271" t="s">
        <v>43297</v>
      </c>
      <c r="T2271" t="s">
        <v>44709</v>
      </c>
      <c r="U2271" t="s">
        <v>47068</v>
      </c>
      <c r="W2271" t="s">
        <v>39930</v>
      </c>
      <c r="X2271" t="s">
        <v>43171</v>
      </c>
    </row>
    <row r="2272" spans="1:24">
      <c r="A2272">
        <f>HYPERLINK("https://www.philgeps.gov.ph/GEPSNONPILOT/Tender/SplashBidNoticeAbstractUI.aspx?menuIndex=3&amp;refID=7085826&amp;Result=3","7085826")</f>
        <v>0</v>
      </c>
      <c r="B2272" t="s">
        <v>665</v>
      </c>
      <c r="C2272" t="s">
        <v>5589</v>
      </c>
      <c r="D2272" t="s">
        <v>17432</v>
      </c>
      <c r="E2272" t="s">
        <v>19505</v>
      </c>
      <c r="F2272" t="s">
        <v>30052</v>
      </c>
      <c r="G2272" t="s">
        <v>30059</v>
      </c>
      <c r="H2272" t="s">
        <v>15498</v>
      </c>
      <c r="I2272" t="s">
        <v>9238</v>
      </c>
      <c r="J2272" t="s">
        <v>30594</v>
      </c>
      <c r="K2272" t="s">
        <v>39029</v>
      </c>
      <c r="M2272" t="s">
        <v>39971</v>
      </c>
      <c r="N2272" t="s">
        <v>43166</v>
      </c>
      <c r="O2272" t="s">
        <v>43167</v>
      </c>
      <c r="P2272">
        <v>0</v>
      </c>
      <c r="Q2272">
        <v>9</v>
      </c>
      <c r="R2272" t="s">
        <v>43170</v>
      </c>
      <c r="S2272" t="s">
        <v>43297</v>
      </c>
      <c r="T2272" t="s">
        <v>44871</v>
      </c>
      <c r="U2272" t="s">
        <v>47069</v>
      </c>
      <c r="W2272" t="s">
        <v>39971</v>
      </c>
      <c r="X2272" t="s">
        <v>43171</v>
      </c>
    </row>
    <row r="2273" spans="1:24">
      <c r="A2273">
        <f>HYPERLINK("https://www.philgeps.gov.ph/GEPSNONPILOT/Tender/SplashBidNoticeAbstractUI.aspx?menuIndex=3&amp;refID=7085832&amp;Result=3","7085832")</f>
        <v>0</v>
      </c>
      <c r="B2273" t="s">
        <v>838</v>
      </c>
      <c r="C2273" t="s">
        <v>5590</v>
      </c>
      <c r="D2273" t="s">
        <v>17419</v>
      </c>
      <c r="E2273" t="s">
        <v>19506</v>
      </c>
      <c r="F2273" t="s">
        <v>30052</v>
      </c>
      <c r="G2273" t="s">
        <v>30061</v>
      </c>
      <c r="H2273" t="s">
        <v>15498</v>
      </c>
      <c r="I2273" t="s">
        <v>4650</v>
      </c>
      <c r="J2273" t="s">
        <v>31785</v>
      </c>
      <c r="K2273" t="s">
        <v>39029</v>
      </c>
      <c r="M2273" t="s">
        <v>40155</v>
      </c>
      <c r="N2273" t="s">
        <v>43166</v>
      </c>
      <c r="O2273" t="s">
        <v>43167</v>
      </c>
      <c r="P2273">
        <v>0</v>
      </c>
      <c r="Q2273">
        <v>1</v>
      </c>
      <c r="R2273" t="s">
        <v>43170</v>
      </c>
      <c r="S2273" t="s">
        <v>43297</v>
      </c>
      <c r="T2273" t="s">
        <v>44681</v>
      </c>
      <c r="U2273" t="s">
        <v>47070</v>
      </c>
      <c r="W2273" t="s">
        <v>40155</v>
      </c>
      <c r="X2273" t="s">
        <v>43171</v>
      </c>
    </row>
    <row r="2274" spans="1:24">
      <c r="A2274">
        <f>HYPERLINK("https://www.philgeps.gov.ph/GEPSNONPILOT/Tender/SplashBidNoticeAbstractUI.aspx?menuIndex=3&amp;refID=7085886&amp;Result=3","7085886")</f>
        <v>0</v>
      </c>
      <c r="B2274" t="s">
        <v>838</v>
      </c>
      <c r="C2274" t="s">
        <v>5591</v>
      </c>
      <c r="D2274" t="s">
        <v>17419</v>
      </c>
      <c r="E2274" t="s">
        <v>19507</v>
      </c>
      <c r="F2274" t="s">
        <v>30052</v>
      </c>
      <c r="G2274" t="s">
        <v>30061</v>
      </c>
      <c r="H2274" t="s">
        <v>15498</v>
      </c>
      <c r="I2274" t="s">
        <v>4598</v>
      </c>
      <c r="J2274" t="s">
        <v>31786</v>
      </c>
      <c r="K2274" t="s">
        <v>39029</v>
      </c>
      <c r="M2274" t="s">
        <v>40155</v>
      </c>
      <c r="N2274" t="s">
        <v>43166</v>
      </c>
      <c r="O2274" t="s">
        <v>43167</v>
      </c>
      <c r="P2274">
        <v>0</v>
      </c>
      <c r="Q2274">
        <v>1</v>
      </c>
      <c r="R2274" t="s">
        <v>43170</v>
      </c>
      <c r="S2274" t="s">
        <v>43297</v>
      </c>
      <c r="T2274" t="s">
        <v>44681</v>
      </c>
      <c r="U2274" t="s">
        <v>47071</v>
      </c>
      <c r="W2274" t="s">
        <v>40155</v>
      </c>
      <c r="X2274" t="s">
        <v>43171</v>
      </c>
    </row>
    <row r="2275" spans="1:24">
      <c r="A2275">
        <f>HYPERLINK("https://www.philgeps.gov.ph/GEPSNONPILOT/Tender/SplashBidNoticeAbstractUI.aspx?menuIndex=3&amp;refID=7085871&amp;Result=3","7085871")</f>
        <v>0</v>
      </c>
      <c r="B2275" t="s">
        <v>918</v>
      </c>
      <c r="C2275" t="s">
        <v>5592</v>
      </c>
      <c r="D2275" t="s">
        <v>17424</v>
      </c>
      <c r="E2275" t="s">
        <v>19508</v>
      </c>
      <c r="F2275" t="s">
        <v>30052</v>
      </c>
      <c r="G2275" t="s">
        <v>30063</v>
      </c>
      <c r="H2275" t="s">
        <v>30067</v>
      </c>
      <c r="I2275" t="s">
        <v>3693</v>
      </c>
      <c r="J2275" t="s">
        <v>31787</v>
      </c>
      <c r="K2275" t="s">
        <v>39020</v>
      </c>
      <c r="M2275" t="s">
        <v>40241</v>
      </c>
      <c r="N2275" t="s">
        <v>43166</v>
      </c>
      <c r="O2275" t="s">
        <v>43167</v>
      </c>
      <c r="P2275">
        <v>0</v>
      </c>
      <c r="Q2275">
        <v>4</v>
      </c>
      <c r="R2275" t="s">
        <v>43170</v>
      </c>
      <c r="S2275" t="s">
        <v>43297</v>
      </c>
      <c r="T2275" t="s">
        <v>44684</v>
      </c>
      <c r="U2275" t="s">
        <v>47072</v>
      </c>
      <c r="V2275" t="s">
        <v>57086</v>
      </c>
      <c r="W2275" t="s">
        <v>40241</v>
      </c>
      <c r="X2275" t="s">
        <v>43171</v>
      </c>
    </row>
    <row r="2276" spans="1:24">
      <c r="A2276">
        <f>HYPERLINK("https://www.philgeps.gov.ph/GEPSNONPILOT/Tender/SplashBidNoticeAbstractUI.aspx?menuIndex=3&amp;refID=7085896&amp;Result=3","7085896")</f>
        <v>0</v>
      </c>
      <c r="B2276" t="s">
        <v>753</v>
      </c>
      <c r="C2276" t="s">
        <v>5593</v>
      </c>
      <c r="E2276" t="s">
        <v>19509</v>
      </c>
      <c r="F2276" t="s">
        <v>30052</v>
      </c>
      <c r="G2276" t="s">
        <v>30059</v>
      </c>
      <c r="H2276" t="s">
        <v>15498</v>
      </c>
      <c r="I2276" t="s">
        <v>30094</v>
      </c>
      <c r="J2276" t="s">
        <v>31788</v>
      </c>
      <c r="K2276" t="s">
        <v>39034</v>
      </c>
      <c r="M2276" t="s">
        <v>40067</v>
      </c>
      <c r="N2276" t="s">
        <v>43166</v>
      </c>
      <c r="O2276" t="s">
        <v>43167</v>
      </c>
      <c r="P2276">
        <v>0</v>
      </c>
      <c r="Q2276">
        <v>0</v>
      </c>
      <c r="R2276" t="s">
        <v>43170</v>
      </c>
      <c r="S2276" t="s">
        <v>43297</v>
      </c>
      <c r="T2276" t="s">
        <v>44841</v>
      </c>
      <c r="U2276" t="s">
        <v>47073</v>
      </c>
      <c r="W2276" t="s">
        <v>40067</v>
      </c>
      <c r="X2276" t="s">
        <v>43171</v>
      </c>
    </row>
    <row r="2277" spans="1:24">
      <c r="A2277">
        <f>HYPERLINK("https://www.philgeps.gov.ph/GEPSNONPILOT/Tender/SplashBidNoticeAbstractUI.aspx?menuIndex=3&amp;refID=7085876&amp;Result=3","7085876")</f>
        <v>0</v>
      </c>
      <c r="B2277" t="s">
        <v>915</v>
      </c>
      <c r="C2277" t="s">
        <v>5594</v>
      </c>
      <c r="D2277" t="s">
        <v>17457</v>
      </c>
      <c r="E2277" t="s">
        <v>19510</v>
      </c>
      <c r="F2277" t="s">
        <v>30052</v>
      </c>
      <c r="G2277" t="s">
        <v>30059</v>
      </c>
      <c r="H2277" t="s">
        <v>15498</v>
      </c>
      <c r="I2277" t="s">
        <v>30081</v>
      </c>
      <c r="J2277" t="s">
        <v>30402</v>
      </c>
      <c r="K2277" t="s">
        <v>39019</v>
      </c>
      <c r="M2277" t="s">
        <v>40238</v>
      </c>
      <c r="N2277" t="s">
        <v>43166</v>
      </c>
      <c r="O2277" t="s">
        <v>43167</v>
      </c>
      <c r="P2277">
        <v>0</v>
      </c>
      <c r="Q2277">
        <v>0</v>
      </c>
      <c r="R2277" t="s">
        <v>43170</v>
      </c>
      <c r="S2277" t="s">
        <v>43297</v>
      </c>
      <c r="T2277" t="s">
        <v>44844</v>
      </c>
      <c r="U2277" t="s">
        <v>47074</v>
      </c>
      <c r="W2277" t="s">
        <v>40238</v>
      </c>
      <c r="X2277" t="s">
        <v>43171</v>
      </c>
    </row>
    <row r="2278" spans="1:24">
      <c r="A2278">
        <f>HYPERLINK("https://www.philgeps.gov.ph/GEPSNONPILOT/Tender/SplashBidNoticeAbstractUI.aspx?menuIndex=3&amp;refID=7085915&amp;Result=3","7085915")</f>
        <v>0</v>
      </c>
      <c r="B2278" t="s">
        <v>741</v>
      </c>
      <c r="C2278" t="s">
        <v>5595</v>
      </c>
      <c r="D2278" t="s">
        <v>17425</v>
      </c>
      <c r="E2278" t="s">
        <v>19511</v>
      </c>
      <c r="F2278" t="s">
        <v>30052</v>
      </c>
      <c r="G2278" t="s">
        <v>30059</v>
      </c>
      <c r="H2278" t="s">
        <v>15498</v>
      </c>
      <c r="I2278" t="s">
        <v>30073</v>
      </c>
      <c r="J2278" t="s">
        <v>31789</v>
      </c>
      <c r="K2278" t="s">
        <v>39019</v>
      </c>
      <c r="M2278" t="s">
        <v>40055</v>
      </c>
      <c r="N2278" t="s">
        <v>43166</v>
      </c>
      <c r="O2278" t="s">
        <v>43167</v>
      </c>
      <c r="P2278">
        <v>0</v>
      </c>
      <c r="Q2278">
        <v>0</v>
      </c>
      <c r="R2278" t="s">
        <v>43170</v>
      </c>
      <c r="S2278" t="s">
        <v>43297</v>
      </c>
      <c r="T2278" t="s">
        <v>44696</v>
      </c>
      <c r="U2278" t="s">
        <v>47075</v>
      </c>
      <c r="W2278" t="s">
        <v>40055</v>
      </c>
      <c r="X2278" t="s">
        <v>43171</v>
      </c>
    </row>
    <row r="2279" spans="1:24">
      <c r="A2279">
        <f>HYPERLINK("https://www.philgeps.gov.ph/GEPSNONPILOT/Tender/SplashBidNoticeAbstractUI.aspx?menuIndex=3&amp;refID=7085875&amp;Result=3","7085875")</f>
        <v>0</v>
      </c>
      <c r="B2279" t="s">
        <v>694</v>
      </c>
      <c r="C2279" t="s">
        <v>5596</v>
      </c>
      <c r="D2279" t="s">
        <v>17476</v>
      </c>
      <c r="E2279" t="s">
        <v>19512</v>
      </c>
      <c r="F2279" t="s">
        <v>30052</v>
      </c>
      <c r="G2279" t="s">
        <v>30059</v>
      </c>
      <c r="H2279" t="s">
        <v>15498</v>
      </c>
      <c r="I2279" t="s">
        <v>30081</v>
      </c>
      <c r="J2279" t="s">
        <v>31186</v>
      </c>
      <c r="K2279" t="s">
        <v>39064</v>
      </c>
      <c r="M2279" t="s">
        <v>40001</v>
      </c>
      <c r="N2279" t="s">
        <v>43166</v>
      </c>
      <c r="O2279" t="s">
        <v>43167</v>
      </c>
      <c r="P2279">
        <v>0</v>
      </c>
      <c r="Q2279">
        <v>0</v>
      </c>
      <c r="R2279" t="s">
        <v>43170</v>
      </c>
      <c r="S2279" t="s">
        <v>43297</v>
      </c>
      <c r="T2279" t="s">
        <v>44844</v>
      </c>
      <c r="U2279" t="s">
        <v>47076</v>
      </c>
      <c r="W2279" t="s">
        <v>40001</v>
      </c>
      <c r="X2279" t="s">
        <v>43171</v>
      </c>
    </row>
    <row r="2280" spans="1:24">
      <c r="A2280">
        <f>HYPERLINK("https://www.philgeps.gov.ph/GEPSNONPILOT/Tender/SplashBidNoticeAbstractUI.aspx?menuIndex=3&amp;refID=7085909&amp;Result=3","7085909")</f>
        <v>0</v>
      </c>
      <c r="B2280" t="s">
        <v>930</v>
      </c>
      <c r="C2280" t="s">
        <v>5597</v>
      </c>
      <c r="E2280" t="s">
        <v>19513</v>
      </c>
      <c r="F2280" t="s">
        <v>30052</v>
      </c>
      <c r="G2280" t="s">
        <v>30061</v>
      </c>
      <c r="H2280" t="s">
        <v>15498</v>
      </c>
      <c r="I2280" t="s">
        <v>30086</v>
      </c>
      <c r="J2280" t="s">
        <v>30256</v>
      </c>
      <c r="K2280" t="s">
        <v>39025</v>
      </c>
      <c r="M2280" t="s">
        <v>40253</v>
      </c>
      <c r="N2280" t="s">
        <v>43166</v>
      </c>
      <c r="O2280" t="s">
        <v>43167</v>
      </c>
      <c r="P2280">
        <v>0</v>
      </c>
      <c r="Q2280">
        <v>4</v>
      </c>
      <c r="R2280" t="s">
        <v>43170</v>
      </c>
      <c r="S2280" t="s">
        <v>43297</v>
      </c>
      <c r="T2280" t="s">
        <v>44735</v>
      </c>
      <c r="U2280" t="s">
        <v>47077</v>
      </c>
      <c r="W2280" t="s">
        <v>40253</v>
      </c>
      <c r="X2280" t="s">
        <v>43171</v>
      </c>
    </row>
    <row r="2281" spans="1:24">
      <c r="A2281">
        <f>HYPERLINK("https://www.philgeps.gov.ph/GEPSNONPILOT/Tender/SplashBidNoticeAbstractUI.aspx?menuIndex=3&amp;refID=7085878&amp;Result=3","7085878")</f>
        <v>0</v>
      </c>
      <c r="B2281" t="s">
        <v>684</v>
      </c>
      <c r="C2281" t="s">
        <v>5598</v>
      </c>
      <c r="D2281" t="s">
        <v>17473</v>
      </c>
      <c r="E2281" t="s">
        <v>19514</v>
      </c>
      <c r="F2281" t="s">
        <v>30052</v>
      </c>
      <c r="G2281" t="s">
        <v>30062</v>
      </c>
      <c r="H2281" t="s">
        <v>15498</v>
      </c>
      <c r="I2281" t="s">
        <v>30100</v>
      </c>
      <c r="J2281" t="s">
        <v>31477</v>
      </c>
      <c r="K2281" t="s">
        <v>39029</v>
      </c>
      <c r="M2281" t="s">
        <v>39990</v>
      </c>
      <c r="N2281" t="s">
        <v>43166</v>
      </c>
      <c r="O2281" t="s">
        <v>43167</v>
      </c>
      <c r="P2281">
        <v>0</v>
      </c>
      <c r="Q2281">
        <v>0</v>
      </c>
      <c r="R2281" t="s">
        <v>43170</v>
      </c>
      <c r="S2281" t="s">
        <v>43297</v>
      </c>
      <c r="T2281" t="s">
        <v>44710</v>
      </c>
      <c r="U2281" t="s">
        <v>47078</v>
      </c>
      <c r="W2281" t="s">
        <v>39990</v>
      </c>
      <c r="X2281" t="s">
        <v>43171</v>
      </c>
    </row>
    <row r="2282" spans="1:24">
      <c r="A2282">
        <f>HYPERLINK("https://www.philgeps.gov.ph/GEPSNONPILOT/Tender/SplashBidNoticeAbstractUI.aspx?menuIndex=3&amp;refID=7085895&amp;Result=3","7085895")</f>
        <v>0</v>
      </c>
      <c r="B2282" t="s">
        <v>931</v>
      </c>
      <c r="C2282" t="s">
        <v>5599</v>
      </c>
      <c r="D2282" t="s">
        <v>17453</v>
      </c>
      <c r="E2282" t="s">
        <v>18926</v>
      </c>
      <c r="F2282" t="s">
        <v>30052</v>
      </c>
      <c r="G2282" t="s">
        <v>30059</v>
      </c>
      <c r="H2282" t="s">
        <v>15498</v>
      </c>
      <c r="I2282" t="s">
        <v>3736</v>
      </c>
      <c r="J2282" t="s">
        <v>31790</v>
      </c>
      <c r="K2282" t="s">
        <v>39018</v>
      </c>
      <c r="M2282" t="s">
        <v>40254</v>
      </c>
      <c r="N2282" t="s">
        <v>43166</v>
      </c>
      <c r="O2282" t="s">
        <v>43167</v>
      </c>
      <c r="P2282">
        <v>0</v>
      </c>
      <c r="Q2282">
        <v>0</v>
      </c>
      <c r="R2282" t="s">
        <v>43170</v>
      </c>
      <c r="S2282" t="s">
        <v>43297</v>
      </c>
      <c r="T2282" t="s">
        <v>44837</v>
      </c>
      <c r="U2282" t="s">
        <v>47079</v>
      </c>
      <c r="W2282" t="s">
        <v>40254</v>
      </c>
      <c r="X2282" t="s">
        <v>43171</v>
      </c>
    </row>
    <row r="2283" spans="1:24">
      <c r="A2283">
        <f>HYPERLINK("https://www.philgeps.gov.ph/GEPSNONPILOT/Tender/SplashBidNoticeAbstractUI.aspx?menuIndex=3&amp;refID=7085906&amp;Result=3","7085906")</f>
        <v>0</v>
      </c>
      <c r="B2283" t="s">
        <v>838</v>
      </c>
      <c r="C2283" t="s">
        <v>5600</v>
      </c>
      <c r="D2283" t="s">
        <v>17419</v>
      </c>
      <c r="E2283" t="s">
        <v>19515</v>
      </c>
      <c r="F2283" t="s">
        <v>30052</v>
      </c>
      <c r="G2283" t="s">
        <v>30061</v>
      </c>
      <c r="H2283" t="s">
        <v>15498</v>
      </c>
      <c r="I2283" t="s">
        <v>30142</v>
      </c>
      <c r="J2283" t="s">
        <v>30287</v>
      </c>
      <c r="K2283" t="s">
        <v>39029</v>
      </c>
      <c r="M2283" t="s">
        <v>40155</v>
      </c>
      <c r="N2283" t="s">
        <v>43166</v>
      </c>
      <c r="O2283" t="s">
        <v>43167</v>
      </c>
      <c r="P2283">
        <v>0</v>
      </c>
      <c r="Q2283">
        <v>3</v>
      </c>
      <c r="R2283" t="s">
        <v>43170</v>
      </c>
      <c r="S2283" t="s">
        <v>43297</v>
      </c>
      <c r="T2283" t="s">
        <v>44681</v>
      </c>
      <c r="U2283" t="s">
        <v>47080</v>
      </c>
      <c r="W2283" t="s">
        <v>40155</v>
      </c>
      <c r="X2283" t="s">
        <v>43171</v>
      </c>
    </row>
    <row r="2284" spans="1:24">
      <c r="A2284">
        <f>HYPERLINK("https://www.philgeps.gov.ph/GEPSNONPILOT/Tender/SplashBidNoticeAbstractUI.aspx?menuIndex=3&amp;refID=7085905&amp;Result=3","7085905")</f>
        <v>0</v>
      </c>
      <c r="B2284" t="s">
        <v>925</v>
      </c>
      <c r="C2284" t="s">
        <v>5601</v>
      </c>
      <c r="D2284" t="s">
        <v>17474</v>
      </c>
      <c r="E2284" t="s">
        <v>19516</v>
      </c>
      <c r="F2284" t="s">
        <v>30052</v>
      </c>
      <c r="G2284" t="s">
        <v>30058</v>
      </c>
      <c r="H2284" t="s">
        <v>30067</v>
      </c>
      <c r="I2284" t="s">
        <v>3693</v>
      </c>
      <c r="J2284" t="s">
        <v>31772</v>
      </c>
      <c r="K2284" t="s">
        <v>39086</v>
      </c>
      <c r="M2284" t="s">
        <v>40248</v>
      </c>
      <c r="N2284" t="s">
        <v>43166</v>
      </c>
      <c r="O2284" t="s">
        <v>43167</v>
      </c>
      <c r="P2284">
        <v>0</v>
      </c>
      <c r="Q2284">
        <v>0</v>
      </c>
      <c r="R2284" t="s">
        <v>43170</v>
      </c>
      <c r="S2284" t="s">
        <v>43297</v>
      </c>
      <c r="T2284" t="s">
        <v>44842</v>
      </c>
      <c r="U2284" t="s">
        <v>47053</v>
      </c>
      <c r="W2284" t="s">
        <v>40248</v>
      </c>
      <c r="X2284" t="s">
        <v>43171</v>
      </c>
    </row>
    <row r="2285" spans="1:24">
      <c r="A2285">
        <f>HYPERLINK("https://www.philgeps.gov.ph/GEPSNONPILOT/Tender/SplashBidNoticeAbstractUI.aspx?menuIndex=3&amp;refID=7085914&amp;Result=3","7085914")</f>
        <v>0</v>
      </c>
      <c r="B2285" t="s">
        <v>932</v>
      </c>
      <c r="C2285" t="s">
        <v>5602</v>
      </c>
      <c r="D2285" t="s">
        <v>17462</v>
      </c>
      <c r="E2285" t="s">
        <v>19517</v>
      </c>
      <c r="F2285" t="s">
        <v>30052</v>
      </c>
      <c r="G2285" t="s">
        <v>30062</v>
      </c>
      <c r="H2285" t="s">
        <v>15498</v>
      </c>
      <c r="I2285" t="s">
        <v>30084</v>
      </c>
      <c r="J2285" t="s">
        <v>30374</v>
      </c>
      <c r="K2285" t="s">
        <v>39025</v>
      </c>
      <c r="M2285" t="s">
        <v>40255</v>
      </c>
      <c r="N2285" t="s">
        <v>43166</v>
      </c>
      <c r="O2285" t="s">
        <v>43167</v>
      </c>
      <c r="P2285">
        <v>0</v>
      </c>
      <c r="Q2285">
        <v>0</v>
      </c>
      <c r="R2285" t="s">
        <v>43170</v>
      </c>
      <c r="S2285" t="s">
        <v>43297</v>
      </c>
      <c r="T2285" t="s">
        <v>44843</v>
      </c>
      <c r="U2285" t="s">
        <v>47081</v>
      </c>
      <c r="W2285" t="s">
        <v>40255</v>
      </c>
      <c r="X2285" t="s">
        <v>43171</v>
      </c>
    </row>
    <row r="2286" spans="1:24">
      <c r="A2286">
        <f>HYPERLINK("https://www.philgeps.gov.ph/GEPSNONPILOT/Tender/SplashBidNoticeAbstractUI.aspx?menuIndex=3&amp;refID=7085903&amp;Result=3","7085903")</f>
        <v>0</v>
      </c>
      <c r="B2286" t="s">
        <v>933</v>
      </c>
      <c r="C2286" t="s">
        <v>5603</v>
      </c>
      <c r="D2286" t="s">
        <v>17456</v>
      </c>
      <c r="E2286" t="s">
        <v>19518</v>
      </c>
      <c r="F2286" t="s">
        <v>30052</v>
      </c>
      <c r="G2286" t="s">
        <v>30058</v>
      </c>
      <c r="H2286" t="s">
        <v>30067</v>
      </c>
      <c r="I2286" t="s">
        <v>3693</v>
      </c>
      <c r="J2286" t="s">
        <v>31791</v>
      </c>
      <c r="K2286" t="s">
        <v>39045</v>
      </c>
      <c r="M2286" t="s">
        <v>40256</v>
      </c>
      <c r="N2286" t="s">
        <v>43166</v>
      </c>
      <c r="O2286" t="s">
        <v>43167</v>
      </c>
      <c r="P2286">
        <v>0</v>
      </c>
      <c r="Q2286">
        <v>0</v>
      </c>
      <c r="R2286" t="s">
        <v>43170</v>
      </c>
      <c r="S2286" t="s">
        <v>43297</v>
      </c>
      <c r="T2286" t="s">
        <v>44786</v>
      </c>
      <c r="U2286" t="s">
        <v>47082</v>
      </c>
      <c r="W2286" t="s">
        <v>40256</v>
      </c>
      <c r="X2286" t="s">
        <v>43171</v>
      </c>
    </row>
    <row r="2287" spans="1:24">
      <c r="A2287">
        <f>HYPERLINK("https://www.philgeps.gov.ph/GEPSNONPILOT/Tender/SplashBidNoticeAbstractUI.aspx?menuIndex=3&amp;refID=7085929&amp;Result=3","7085929")</f>
        <v>0</v>
      </c>
      <c r="B2287" t="s">
        <v>915</v>
      </c>
      <c r="C2287" t="s">
        <v>5604</v>
      </c>
      <c r="D2287" t="s">
        <v>17457</v>
      </c>
      <c r="E2287" t="s">
        <v>19519</v>
      </c>
      <c r="F2287" t="s">
        <v>30052</v>
      </c>
      <c r="G2287" t="s">
        <v>30059</v>
      </c>
      <c r="H2287" t="s">
        <v>15498</v>
      </c>
      <c r="I2287" t="s">
        <v>6691</v>
      </c>
      <c r="J2287" t="s">
        <v>30402</v>
      </c>
      <c r="K2287" t="s">
        <v>39019</v>
      </c>
      <c r="M2287" t="s">
        <v>40238</v>
      </c>
      <c r="N2287" t="s">
        <v>43166</v>
      </c>
      <c r="O2287" t="s">
        <v>43167</v>
      </c>
      <c r="P2287">
        <v>0</v>
      </c>
      <c r="Q2287">
        <v>0</v>
      </c>
      <c r="R2287" t="s">
        <v>43170</v>
      </c>
      <c r="S2287" t="s">
        <v>43297</v>
      </c>
      <c r="T2287" t="s">
        <v>44844</v>
      </c>
      <c r="U2287" t="s">
        <v>47083</v>
      </c>
      <c r="W2287" t="s">
        <v>40238</v>
      </c>
      <c r="X2287" t="s">
        <v>43171</v>
      </c>
    </row>
    <row r="2288" spans="1:24">
      <c r="A2288">
        <f>HYPERLINK("https://www.philgeps.gov.ph/GEPSNONPILOT/Tender/SplashBidNoticeAbstractUI.aspx?menuIndex=3&amp;refID=7085913&amp;Result=3","7085913")</f>
        <v>0</v>
      </c>
      <c r="B2288" t="s">
        <v>926</v>
      </c>
      <c r="C2288" t="s">
        <v>5605</v>
      </c>
      <c r="D2288" t="s">
        <v>17466</v>
      </c>
      <c r="E2288" t="s">
        <v>19493</v>
      </c>
      <c r="F2288" t="s">
        <v>30052</v>
      </c>
      <c r="G2288" t="s">
        <v>30059</v>
      </c>
      <c r="H2288" t="s">
        <v>15498</v>
      </c>
      <c r="I2288" t="s">
        <v>30070</v>
      </c>
      <c r="J2288" t="s">
        <v>31792</v>
      </c>
      <c r="K2288" t="s">
        <v>39034</v>
      </c>
      <c r="M2288" t="s">
        <v>40249</v>
      </c>
      <c r="N2288" t="s">
        <v>43166</v>
      </c>
      <c r="O2288" t="s">
        <v>43167</v>
      </c>
      <c r="P2288">
        <v>0</v>
      </c>
      <c r="Q2288">
        <v>1</v>
      </c>
      <c r="R2288" t="s">
        <v>43170</v>
      </c>
      <c r="S2288" t="s">
        <v>43297</v>
      </c>
      <c r="T2288" t="s">
        <v>44803</v>
      </c>
      <c r="U2288" t="s">
        <v>47084</v>
      </c>
      <c r="W2288" t="s">
        <v>40249</v>
      </c>
      <c r="X2288" t="s">
        <v>43171</v>
      </c>
    </row>
    <row r="2289" spans="1:24">
      <c r="A2289">
        <f>HYPERLINK("https://www.philgeps.gov.ph/GEPSNONPILOT/Tender/SplashBidNoticeAbstractUI.aspx?menuIndex=3&amp;refID=7085908&amp;Result=3","7085908")</f>
        <v>0</v>
      </c>
      <c r="B2289" t="s">
        <v>544</v>
      </c>
      <c r="C2289" t="s">
        <v>5606</v>
      </c>
      <c r="D2289" t="s">
        <v>17434</v>
      </c>
      <c r="E2289" t="s">
        <v>19520</v>
      </c>
      <c r="F2289" t="s">
        <v>30052</v>
      </c>
      <c r="G2289" t="s">
        <v>30061</v>
      </c>
      <c r="H2289" t="s">
        <v>15498</v>
      </c>
      <c r="I2289" t="s">
        <v>4119</v>
      </c>
      <c r="J2289" t="s">
        <v>31708</v>
      </c>
      <c r="K2289" t="s">
        <v>39018</v>
      </c>
      <c r="M2289" t="s">
        <v>40257</v>
      </c>
      <c r="N2289" t="s">
        <v>43166</v>
      </c>
      <c r="O2289" t="s">
        <v>43167</v>
      </c>
      <c r="P2289">
        <v>0</v>
      </c>
      <c r="Q2289">
        <v>7</v>
      </c>
      <c r="R2289" t="s">
        <v>43170</v>
      </c>
      <c r="S2289" t="s">
        <v>43297</v>
      </c>
      <c r="T2289" t="s">
        <v>44735</v>
      </c>
      <c r="U2289" t="s">
        <v>47085</v>
      </c>
      <c r="W2289" t="s">
        <v>40257</v>
      </c>
      <c r="X2289" t="s">
        <v>43171</v>
      </c>
    </row>
    <row r="2290" spans="1:24">
      <c r="A2290">
        <f>HYPERLINK("https://www.philgeps.gov.ph/GEPSNONPILOT/Tender/SplashBidNoticeAbstractUI.aspx?menuIndex=3&amp;refID=7085926&amp;Result=3","7085926")</f>
        <v>0</v>
      </c>
      <c r="B2290" t="s">
        <v>799</v>
      </c>
      <c r="C2290" t="s">
        <v>5607</v>
      </c>
      <c r="D2290" t="s">
        <v>17423</v>
      </c>
      <c r="E2290" t="s">
        <v>19521</v>
      </c>
      <c r="F2290" t="s">
        <v>30052</v>
      </c>
      <c r="G2290" t="s">
        <v>30058</v>
      </c>
      <c r="H2290" t="s">
        <v>15498</v>
      </c>
      <c r="I2290" t="s">
        <v>3736</v>
      </c>
      <c r="J2290" t="s">
        <v>31793</v>
      </c>
      <c r="K2290" t="s">
        <v>39037</v>
      </c>
      <c r="M2290" t="s">
        <v>40116</v>
      </c>
      <c r="N2290" t="s">
        <v>43166</v>
      </c>
      <c r="O2290" t="s">
        <v>43167</v>
      </c>
      <c r="P2290">
        <v>0</v>
      </c>
      <c r="Q2290">
        <v>0</v>
      </c>
      <c r="R2290" t="s">
        <v>43170</v>
      </c>
      <c r="S2290" t="s">
        <v>43297</v>
      </c>
      <c r="T2290" t="s">
        <v>44681</v>
      </c>
      <c r="U2290" t="s">
        <v>47086</v>
      </c>
      <c r="V2290" t="s">
        <v>57090</v>
      </c>
      <c r="W2290" t="s">
        <v>40116</v>
      </c>
      <c r="X2290" t="s">
        <v>43171</v>
      </c>
    </row>
    <row r="2291" spans="1:24">
      <c r="A2291">
        <f>HYPERLINK("https://www.philgeps.gov.ph/GEPSNONPILOT/Tender/SplashBidNoticeAbstractUI.aspx?menuIndex=3&amp;refID=7085855&amp;Result=3","7085855")</f>
        <v>0</v>
      </c>
      <c r="B2291" t="s">
        <v>930</v>
      </c>
      <c r="C2291" t="s">
        <v>5608</v>
      </c>
      <c r="E2291" t="s">
        <v>19522</v>
      </c>
      <c r="F2291" t="s">
        <v>30052</v>
      </c>
      <c r="G2291" t="s">
        <v>30061</v>
      </c>
      <c r="H2291" t="s">
        <v>15498</v>
      </c>
      <c r="I2291" t="s">
        <v>30081</v>
      </c>
      <c r="J2291" t="s">
        <v>31186</v>
      </c>
      <c r="K2291" t="s">
        <v>39025</v>
      </c>
      <c r="M2291" t="s">
        <v>40253</v>
      </c>
      <c r="N2291" t="s">
        <v>43166</v>
      </c>
      <c r="O2291" t="s">
        <v>43167</v>
      </c>
      <c r="P2291">
        <v>0</v>
      </c>
      <c r="Q2291">
        <v>3</v>
      </c>
      <c r="R2291" t="s">
        <v>43170</v>
      </c>
      <c r="S2291" t="s">
        <v>43297</v>
      </c>
      <c r="T2291" t="s">
        <v>44735</v>
      </c>
      <c r="U2291" t="s">
        <v>47077</v>
      </c>
      <c r="W2291" t="s">
        <v>40253</v>
      </c>
      <c r="X2291" t="s">
        <v>43171</v>
      </c>
    </row>
    <row r="2292" spans="1:24">
      <c r="A2292">
        <f>HYPERLINK("https://www.philgeps.gov.ph/GEPSNONPILOT/Tender/SplashBidNoticeAbstractUI.aspx?menuIndex=3&amp;refID=7085925&amp;Result=3","7085925")</f>
        <v>0</v>
      </c>
      <c r="B2292" t="s">
        <v>795</v>
      </c>
      <c r="C2292" t="s">
        <v>5609</v>
      </c>
      <c r="D2292" t="s">
        <v>17466</v>
      </c>
      <c r="E2292" t="s">
        <v>19523</v>
      </c>
      <c r="F2292" t="s">
        <v>30052</v>
      </c>
      <c r="G2292" t="s">
        <v>30059</v>
      </c>
      <c r="H2292" t="s">
        <v>15498</v>
      </c>
      <c r="I2292" t="s">
        <v>3852</v>
      </c>
      <c r="J2292" t="s">
        <v>31794</v>
      </c>
      <c r="K2292" t="s">
        <v>39029</v>
      </c>
      <c r="M2292" t="s">
        <v>40112</v>
      </c>
      <c r="N2292" t="s">
        <v>43166</v>
      </c>
      <c r="O2292" t="s">
        <v>43167</v>
      </c>
      <c r="P2292">
        <v>0</v>
      </c>
      <c r="Q2292">
        <v>1</v>
      </c>
      <c r="R2292" t="s">
        <v>43170</v>
      </c>
      <c r="S2292" t="s">
        <v>43297</v>
      </c>
      <c r="T2292" t="s">
        <v>44773</v>
      </c>
      <c r="U2292" t="s">
        <v>46797</v>
      </c>
      <c r="V2292" t="s">
        <v>57037</v>
      </c>
      <c r="W2292" t="s">
        <v>40112</v>
      </c>
      <c r="X2292" t="s">
        <v>43171</v>
      </c>
    </row>
    <row r="2293" spans="1:24">
      <c r="A2293">
        <f>HYPERLINK("https://www.philgeps.gov.ph/GEPSNONPILOT/Tender/SplashBidNoticeAbstractUI.aspx?menuIndex=3&amp;refID=7085919&amp;Result=3","7085919")</f>
        <v>0</v>
      </c>
      <c r="B2293" t="s">
        <v>260</v>
      </c>
      <c r="C2293" t="s">
        <v>5610</v>
      </c>
      <c r="D2293" t="s">
        <v>17452</v>
      </c>
      <c r="E2293" t="s">
        <v>19524</v>
      </c>
      <c r="F2293" t="s">
        <v>30052</v>
      </c>
      <c r="G2293" t="s">
        <v>30059</v>
      </c>
      <c r="H2293" t="s">
        <v>15498</v>
      </c>
      <c r="I2293" t="s">
        <v>30118</v>
      </c>
      <c r="J2293" t="s">
        <v>31795</v>
      </c>
      <c r="K2293" t="s">
        <v>39037</v>
      </c>
      <c r="M2293" t="s">
        <v>40228</v>
      </c>
      <c r="N2293" t="s">
        <v>43166</v>
      </c>
      <c r="O2293" t="s">
        <v>43167</v>
      </c>
      <c r="P2293">
        <v>0</v>
      </c>
      <c r="Q2293">
        <v>7</v>
      </c>
      <c r="R2293" t="s">
        <v>43170</v>
      </c>
      <c r="S2293" t="s">
        <v>43297</v>
      </c>
      <c r="T2293" t="s">
        <v>44856</v>
      </c>
      <c r="U2293" t="s">
        <v>47002</v>
      </c>
      <c r="W2293" t="s">
        <v>40228</v>
      </c>
      <c r="X2293" t="s">
        <v>43171</v>
      </c>
    </row>
    <row r="2294" spans="1:24">
      <c r="A2294">
        <f>HYPERLINK("https://www.philgeps.gov.ph/GEPSNONPILOT/Tender/SplashBidNoticeAbstractUI.aspx?menuIndex=3&amp;refID=7085902&amp;Result=3","7085902")</f>
        <v>0</v>
      </c>
      <c r="B2294" t="s">
        <v>934</v>
      </c>
      <c r="C2294" t="s">
        <v>5611</v>
      </c>
      <c r="D2294" t="s">
        <v>17424</v>
      </c>
      <c r="E2294" t="s">
        <v>19525</v>
      </c>
      <c r="F2294" t="s">
        <v>30052</v>
      </c>
      <c r="G2294" t="s">
        <v>30059</v>
      </c>
      <c r="H2294" t="s">
        <v>15498</v>
      </c>
      <c r="I2294" t="s">
        <v>4650</v>
      </c>
      <c r="J2294" t="s">
        <v>30374</v>
      </c>
      <c r="K2294" t="s">
        <v>39029</v>
      </c>
      <c r="M2294" t="s">
        <v>40258</v>
      </c>
      <c r="N2294" t="s">
        <v>43166</v>
      </c>
      <c r="O2294" t="s">
        <v>43167</v>
      </c>
      <c r="P2294">
        <v>0</v>
      </c>
      <c r="Q2294">
        <v>2</v>
      </c>
      <c r="R2294" t="s">
        <v>43170</v>
      </c>
      <c r="S2294" t="s">
        <v>43297</v>
      </c>
      <c r="T2294" t="s">
        <v>44909</v>
      </c>
      <c r="U2294" t="s">
        <v>47087</v>
      </c>
      <c r="V2294" t="s">
        <v>57091</v>
      </c>
      <c r="W2294" t="s">
        <v>40258</v>
      </c>
      <c r="X2294" t="s">
        <v>43171</v>
      </c>
    </row>
    <row r="2295" spans="1:24">
      <c r="A2295">
        <f>HYPERLINK("https://www.philgeps.gov.ph/GEPSNONPILOT/Tender/SplashBidNoticeAbstractUI.aspx?menuIndex=3&amp;refID=7085899&amp;Result=3","7085899")</f>
        <v>0</v>
      </c>
      <c r="B2295" t="s">
        <v>935</v>
      </c>
      <c r="C2295" t="s">
        <v>5612</v>
      </c>
      <c r="D2295" t="s">
        <v>17441</v>
      </c>
      <c r="E2295" t="s">
        <v>19526</v>
      </c>
      <c r="F2295" t="s">
        <v>30052</v>
      </c>
      <c r="G2295" t="s">
        <v>30059</v>
      </c>
      <c r="H2295" t="s">
        <v>15498</v>
      </c>
      <c r="I2295" t="s">
        <v>4598</v>
      </c>
      <c r="J2295" t="s">
        <v>31593</v>
      </c>
      <c r="K2295" t="s">
        <v>39064</v>
      </c>
      <c r="M2295" t="s">
        <v>40259</v>
      </c>
      <c r="N2295" t="s">
        <v>43166</v>
      </c>
      <c r="O2295" t="s">
        <v>43167</v>
      </c>
      <c r="P2295">
        <v>0</v>
      </c>
      <c r="Q2295">
        <v>6</v>
      </c>
      <c r="R2295" t="s">
        <v>43170</v>
      </c>
      <c r="S2295" t="s">
        <v>43297</v>
      </c>
      <c r="T2295" t="s">
        <v>44870</v>
      </c>
      <c r="U2295" t="s">
        <v>47088</v>
      </c>
      <c r="W2295" t="s">
        <v>40259</v>
      </c>
      <c r="X2295" t="s">
        <v>43171</v>
      </c>
    </row>
    <row r="2296" spans="1:24">
      <c r="A2296">
        <f>HYPERLINK("https://www.philgeps.gov.ph/GEPSNONPILOT/Tender/SplashBidNoticeAbstractUI.aspx?menuIndex=3&amp;refID=7085928&amp;Result=3","7085928")</f>
        <v>0</v>
      </c>
      <c r="B2296" t="s">
        <v>932</v>
      </c>
      <c r="C2296" t="s">
        <v>5613</v>
      </c>
      <c r="D2296" t="s">
        <v>17462</v>
      </c>
      <c r="E2296" t="s">
        <v>19527</v>
      </c>
      <c r="F2296" t="s">
        <v>30052</v>
      </c>
      <c r="G2296" t="s">
        <v>30059</v>
      </c>
      <c r="H2296" t="s">
        <v>15498</v>
      </c>
      <c r="I2296" t="s">
        <v>30094</v>
      </c>
      <c r="J2296" t="s">
        <v>31796</v>
      </c>
      <c r="K2296" t="s">
        <v>39025</v>
      </c>
      <c r="M2296" t="s">
        <v>40255</v>
      </c>
      <c r="N2296" t="s">
        <v>43166</v>
      </c>
      <c r="O2296" t="s">
        <v>43167</v>
      </c>
      <c r="P2296">
        <v>0</v>
      </c>
      <c r="Q2296">
        <v>0</v>
      </c>
      <c r="R2296" t="s">
        <v>43170</v>
      </c>
      <c r="S2296" t="s">
        <v>43297</v>
      </c>
      <c r="T2296" t="s">
        <v>44843</v>
      </c>
      <c r="U2296" t="s">
        <v>47089</v>
      </c>
      <c r="W2296" t="s">
        <v>40255</v>
      </c>
      <c r="X2296" t="s">
        <v>43171</v>
      </c>
    </row>
    <row r="2297" spans="1:24">
      <c r="A2297">
        <f>HYPERLINK("https://www.philgeps.gov.ph/GEPSNONPILOT/Tender/SplashBidNoticeAbstractUI.aspx?menuIndex=3&amp;refID=7085850&amp;Result=3","7085850")</f>
        <v>0</v>
      </c>
      <c r="B2297" t="s">
        <v>415</v>
      </c>
      <c r="C2297" t="s">
        <v>5614</v>
      </c>
      <c r="D2297" t="s">
        <v>17472</v>
      </c>
      <c r="E2297" t="s">
        <v>18363</v>
      </c>
      <c r="F2297" t="s">
        <v>30052</v>
      </c>
      <c r="G2297" t="s">
        <v>30061</v>
      </c>
      <c r="H2297" t="s">
        <v>15498</v>
      </c>
      <c r="I2297" t="s">
        <v>30076</v>
      </c>
      <c r="J2297" t="s">
        <v>31797</v>
      </c>
      <c r="K2297" t="s">
        <v>39034</v>
      </c>
      <c r="M2297" t="s">
        <v>39714</v>
      </c>
      <c r="N2297" t="s">
        <v>43166</v>
      </c>
      <c r="O2297" t="s">
        <v>43167</v>
      </c>
      <c r="P2297">
        <v>0</v>
      </c>
      <c r="Q2297">
        <v>4</v>
      </c>
      <c r="R2297" t="s">
        <v>43170</v>
      </c>
      <c r="S2297" t="s">
        <v>43297</v>
      </c>
      <c r="T2297" t="s">
        <v>44685</v>
      </c>
      <c r="U2297" t="s">
        <v>47090</v>
      </c>
      <c r="W2297" t="s">
        <v>39714</v>
      </c>
      <c r="X2297" t="s">
        <v>43171</v>
      </c>
    </row>
    <row r="2298" spans="1:24">
      <c r="A2298">
        <f>HYPERLINK("https://www.philgeps.gov.ph/GEPSNONPILOT/Tender/SplashBidNoticeAbstractUI.aspx?menuIndex=3&amp;refID=7085927&amp;Result=3","7085927")</f>
        <v>0</v>
      </c>
      <c r="B2298" t="s">
        <v>415</v>
      </c>
      <c r="C2298" t="s">
        <v>5615</v>
      </c>
      <c r="D2298" t="s">
        <v>17472</v>
      </c>
      <c r="E2298" t="s">
        <v>19528</v>
      </c>
      <c r="F2298" t="s">
        <v>30052</v>
      </c>
      <c r="G2298" t="s">
        <v>30058</v>
      </c>
      <c r="H2298" t="s">
        <v>30067</v>
      </c>
      <c r="I2298" t="s">
        <v>3693</v>
      </c>
      <c r="J2298" t="s">
        <v>31798</v>
      </c>
      <c r="K2298" t="s">
        <v>39026</v>
      </c>
      <c r="M2298" t="s">
        <v>40024</v>
      </c>
      <c r="N2298" t="s">
        <v>43166</v>
      </c>
      <c r="O2298" t="s">
        <v>43167</v>
      </c>
      <c r="P2298">
        <v>0</v>
      </c>
      <c r="Q2298">
        <v>1</v>
      </c>
      <c r="R2298" t="s">
        <v>43170</v>
      </c>
      <c r="S2298" t="s">
        <v>43297</v>
      </c>
      <c r="T2298" t="s">
        <v>44702</v>
      </c>
      <c r="U2298" t="s">
        <v>47030</v>
      </c>
      <c r="V2298" t="s">
        <v>57084</v>
      </c>
      <c r="W2298" t="s">
        <v>58610</v>
      </c>
      <c r="X2298" t="s">
        <v>43171</v>
      </c>
    </row>
    <row r="2299" spans="1:24">
      <c r="A2299">
        <f>HYPERLINK("https://www.philgeps.gov.ph/GEPSNONPILOT/Tender/SplashBidNoticeAbstractUI.aspx?menuIndex=3&amp;refID=7085872&amp;Result=3","7085872")</f>
        <v>0</v>
      </c>
      <c r="B2299" t="s">
        <v>936</v>
      </c>
      <c r="C2299" t="s">
        <v>5616</v>
      </c>
      <c r="D2299" t="s">
        <v>17424</v>
      </c>
      <c r="E2299" t="s">
        <v>19529</v>
      </c>
      <c r="F2299" t="s">
        <v>30052</v>
      </c>
      <c r="G2299" t="s">
        <v>30058</v>
      </c>
      <c r="H2299" t="s">
        <v>15498</v>
      </c>
      <c r="I2299" t="s">
        <v>3736</v>
      </c>
      <c r="J2299" t="s">
        <v>31799</v>
      </c>
      <c r="K2299" t="s">
        <v>39019</v>
      </c>
      <c r="M2299" t="s">
        <v>40260</v>
      </c>
      <c r="N2299" t="s">
        <v>43166</v>
      </c>
      <c r="O2299" t="s">
        <v>43167</v>
      </c>
      <c r="P2299">
        <v>0</v>
      </c>
      <c r="Q2299">
        <v>0</v>
      </c>
      <c r="R2299" t="s">
        <v>43170</v>
      </c>
      <c r="S2299" t="s">
        <v>43297</v>
      </c>
      <c r="T2299" t="s">
        <v>44724</v>
      </c>
      <c r="U2299" t="s">
        <v>47091</v>
      </c>
      <c r="V2299" t="s">
        <v>57092</v>
      </c>
      <c r="W2299" t="s">
        <v>40260</v>
      </c>
      <c r="X2299" t="s">
        <v>43171</v>
      </c>
    </row>
    <row r="2300" spans="1:24">
      <c r="A2300">
        <f>HYPERLINK("https://www.philgeps.gov.ph/GEPSNONPILOT/Tender/SplashBidNoticeAbstractUI.aspx?menuIndex=3&amp;refID=7085898&amp;Result=3","7085898")</f>
        <v>0</v>
      </c>
      <c r="B2300" t="s">
        <v>926</v>
      </c>
      <c r="C2300" t="s">
        <v>5617</v>
      </c>
      <c r="D2300" t="s">
        <v>17466</v>
      </c>
      <c r="E2300" t="s">
        <v>19493</v>
      </c>
      <c r="F2300" t="s">
        <v>30052</v>
      </c>
      <c r="G2300" t="s">
        <v>30059</v>
      </c>
      <c r="H2300" t="s">
        <v>15498</v>
      </c>
      <c r="I2300" t="s">
        <v>30070</v>
      </c>
      <c r="J2300" t="s">
        <v>31206</v>
      </c>
      <c r="K2300" t="s">
        <v>39034</v>
      </c>
      <c r="M2300" t="s">
        <v>40249</v>
      </c>
      <c r="N2300" t="s">
        <v>43166</v>
      </c>
      <c r="O2300" t="s">
        <v>43167</v>
      </c>
      <c r="P2300">
        <v>0</v>
      </c>
      <c r="Q2300">
        <v>2</v>
      </c>
      <c r="R2300" t="s">
        <v>43170</v>
      </c>
      <c r="S2300" t="s">
        <v>43297</v>
      </c>
      <c r="T2300" t="s">
        <v>44803</v>
      </c>
      <c r="U2300" t="s">
        <v>47092</v>
      </c>
      <c r="W2300" t="s">
        <v>40249</v>
      </c>
      <c r="X2300" t="s">
        <v>43171</v>
      </c>
    </row>
    <row r="2301" spans="1:24">
      <c r="A2301">
        <f>HYPERLINK("https://www.philgeps.gov.ph/GEPSNONPILOT/Tender/SplashBidNoticeAbstractUI.aspx?menuIndex=3&amp;refID=7085924&amp;Result=3","7085924")</f>
        <v>0</v>
      </c>
      <c r="B2301" t="s">
        <v>838</v>
      </c>
      <c r="C2301" t="s">
        <v>5618</v>
      </c>
      <c r="D2301" t="s">
        <v>17419</v>
      </c>
      <c r="E2301" t="s">
        <v>19530</v>
      </c>
      <c r="F2301" t="s">
        <v>30052</v>
      </c>
      <c r="G2301" t="s">
        <v>30061</v>
      </c>
      <c r="H2301" t="s">
        <v>15498</v>
      </c>
      <c r="I2301" t="s">
        <v>4650</v>
      </c>
      <c r="J2301" t="s">
        <v>31800</v>
      </c>
      <c r="K2301" t="s">
        <v>39029</v>
      </c>
      <c r="M2301" t="s">
        <v>40155</v>
      </c>
      <c r="N2301" t="s">
        <v>43166</v>
      </c>
      <c r="O2301" t="s">
        <v>43167</v>
      </c>
      <c r="P2301">
        <v>0</v>
      </c>
      <c r="Q2301">
        <v>1</v>
      </c>
      <c r="R2301" t="s">
        <v>43170</v>
      </c>
      <c r="S2301" t="s">
        <v>43297</v>
      </c>
      <c r="T2301" t="s">
        <v>44681</v>
      </c>
      <c r="U2301" t="s">
        <v>47093</v>
      </c>
      <c r="W2301" t="s">
        <v>40155</v>
      </c>
      <c r="X2301" t="s">
        <v>43171</v>
      </c>
    </row>
    <row r="2302" spans="1:24">
      <c r="A2302">
        <f>HYPERLINK("https://www.philgeps.gov.ph/GEPSNONPILOT/Tender/SplashBidNoticeAbstractUI.aspx?menuIndex=3&amp;refID=7085931&amp;Result=3","7085931")</f>
        <v>0</v>
      </c>
      <c r="B2302" t="s">
        <v>825</v>
      </c>
      <c r="C2302" t="s">
        <v>5619</v>
      </c>
      <c r="D2302" t="s">
        <v>17445</v>
      </c>
      <c r="E2302" t="s">
        <v>19531</v>
      </c>
      <c r="F2302" t="s">
        <v>30052</v>
      </c>
      <c r="G2302" t="s">
        <v>30059</v>
      </c>
      <c r="H2302" t="s">
        <v>15498</v>
      </c>
      <c r="I2302" t="s">
        <v>30159</v>
      </c>
      <c r="J2302" t="s">
        <v>31801</v>
      </c>
      <c r="K2302" t="s">
        <v>39029</v>
      </c>
      <c r="M2302" t="s">
        <v>40142</v>
      </c>
      <c r="N2302" t="s">
        <v>43166</v>
      </c>
      <c r="O2302" t="s">
        <v>43167</v>
      </c>
      <c r="P2302">
        <v>0</v>
      </c>
      <c r="Q2302">
        <v>0</v>
      </c>
      <c r="R2302" t="s">
        <v>43170</v>
      </c>
      <c r="S2302" t="s">
        <v>43297</v>
      </c>
      <c r="T2302" t="s">
        <v>44844</v>
      </c>
      <c r="U2302" t="s">
        <v>47094</v>
      </c>
      <c r="W2302" t="s">
        <v>40142</v>
      </c>
      <c r="X2302" t="s">
        <v>43171</v>
      </c>
    </row>
    <row r="2303" spans="1:24">
      <c r="A2303">
        <f>HYPERLINK("https://www.philgeps.gov.ph/GEPSNONPILOT/Tender/SplashBidNoticeAbstractUI.aspx?menuIndex=3&amp;refID=7085950&amp;Result=3","7085950")</f>
        <v>0</v>
      </c>
      <c r="B2303" t="s">
        <v>741</v>
      </c>
      <c r="C2303" t="s">
        <v>5620</v>
      </c>
      <c r="D2303" t="s">
        <v>17425</v>
      </c>
      <c r="E2303" t="s">
        <v>19532</v>
      </c>
      <c r="F2303" t="s">
        <v>30052</v>
      </c>
      <c r="G2303" t="s">
        <v>30059</v>
      </c>
      <c r="H2303" t="s">
        <v>15498</v>
      </c>
      <c r="I2303" t="s">
        <v>30073</v>
      </c>
      <c r="J2303" t="s">
        <v>31802</v>
      </c>
      <c r="K2303" t="s">
        <v>39019</v>
      </c>
      <c r="M2303" t="s">
        <v>40055</v>
      </c>
      <c r="N2303" t="s">
        <v>43166</v>
      </c>
      <c r="O2303" t="s">
        <v>43167</v>
      </c>
      <c r="P2303">
        <v>0</v>
      </c>
      <c r="Q2303">
        <v>0</v>
      </c>
      <c r="R2303" t="s">
        <v>43170</v>
      </c>
      <c r="S2303" t="s">
        <v>43297</v>
      </c>
      <c r="T2303" t="s">
        <v>44696</v>
      </c>
      <c r="U2303" t="s">
        <v>47095</v>
      </c>
      <c r="W2303" t="s">
        <v>40055</v>
      </c>
      <c r="X2303" t="s">
        <v>43171</v>
      </c>
    </row>
    <row r="2304" spans="1:24">
      <c r="A2304">
        <f>HYPERLINK("https://www.philgeps.gov.ph/GEPSNONPILOT/Tender/SplashBidNoticeAbstractUI.aspx?menuIndex=3&amp;refID=7085943&amp;Result=3","7085943")</f>
        <v>0</v>
      </c>
      <c r="B2304" t="s">
        <v>937</v>
      </c>
      <c r="C2304" t="s">
        <v>5621</v>
      </c>
      <c r="D2304" t="s">
        <v>17428</v>
      </c>
      <c r="E2304" t="s">
        <v>19533</v>
      </c>
      <c r="F2304" t="s">
        <v>30052</v>
      </c>
      <c r="G2304" t="s">
        <v>30059</v>
      </c>
      <c r="H2304" t="s">
        <v>30069</v>
      </c>
      <c r="I2304" t="s">
        <v>30100</v>
      </c>
      <c r="J2304" t="s">
        <v>31803</v>
      </c>
      <c r="K2304" t="s">
        <v>39046</v>
      </c>
      <c r="M2304" t="s">
        <v>40261</v>
      </c>
      <c r="N2304" t="s">
        <v>43166</v>
      </c>
      <c r="O2304" t="s">
        <v>43167</v>
      </c>
      <c r="Q2304">
        <v>1</v>
      </c>
      <c r="R2304" t="s">
        <v>43170</v>
      </c>
      <c r="S2304" t="s">
        <v>43303</v>
      </c>
      <c r="T2304" t="s">
        <v>44888</v>
      </c>
      <c r="U2304" t="s">
        <v>47096</v>
      </c>
      <c r="W2304" t="s">
        <v>40261</v>
      </c>
      <c r="X2304" t="s">
        <v>43171</v>
      </c>
    </row>
    <row r="2305" spans="1:24">
      <c r="A2305">
        <f>HYPERLINK("https://www.philgeps.gov.ph/GEPSNONPILOT/Tender/SplashBidNoticeAbstractUI.aspx?menuIndex=3&amp;refID=7085942&amp;Result=3","7085942")</f>
        <v>0</v>
      </c>
      <c r="B2305" t="s">
        <v>918</v>
      </c>
      <c r="C2305" t="s">
        <v>5622</v>
      </c>
      <c r="D2305" t="s">
        <v>17424</v>
      </c>
      <c r="E2305" t="s">
        <v>19534</v>
      </c>
      <c r="F2305" t="s">
        <v>30052</v>
      </c>
      <c r="G2305" t="s">
        <v>30063</v>
      </c>
      <c r="H2305" t="s">
        <v>30067</v>
      </c>
      <c r="I2305" t="s">
        <v>3693</v>
      </c>
      <c r="J2305" t="s">
        <v>31804</v>
      </c>
      <c r="K2305" t="s">
        <v>39020</v>
      </c>
      <c r="M2305" t="s">
        <v>40241</v>
      </c>
      <c r="N2305" t="s">
        <v>43166</v>
      </c>
      <c r="O2305" t="s">
        <v>43167</v>
      </c>
      <c r="P2305">
        <v>0</v>
      </c>
      <c r="Q2305">
        <v>4</v>
      </c>
      <c r="R2305" t="s">
        <v>43170</v>
      </c>
      <c r="S2305" t="s">
        <v>43297</v>
      </c>
      <c r="T2305" t="s">
        <v>44684</v>
      </c>
      <c r="U2305" t="s">
        <v>47097</v>
      </c>
      <c r="V2305" t="s">
        <v>57086</v>
      </c>
      <c r="W2305" t="s">
        <v>40241</v>
      </c>
      <c r="X2305" t="s">
        <v>43171</v>
      </c>
    </row>
    <row r="2306" spans="1:24">
      <c r="A2306">
        <f>HYPERLINK("https://www.philgeps.gov.ph/GEPSNONPILOT/Tender/SplashBidNoticeAbstractUI.aspx?menuIndex=3&amp;refID=7085941&amp;Result=3","7085941")</f>
        <v>0</v>
      </c>
      <c r="B2306" t="s">
        <v>797</v>
      </c>
      <c r="C2306" t="s">
        <v>5623</v>
      </c>
      <c r="D2306" t="s">
        <v>17459</v>
      </c>
      <c r="E2306" t="s">
        <v>19535</v>
      </c>
      <c r="F2306" t="s">
        <v>30052</v>
      </c>
      <c r="G2306" t="s">
        <v>30059</v>
      </c>
      <c r="H2306" t="s">
        <v>15498</v>
      </c>
      <c r="I2306" t="s">
        <v>30108</v>
      </c>
      <c r="J2306" t="s">
        <v>31805</v>
      </c>
      <c r="K2306" t="s">
        <v>39029</v>
      </c>
      <c r="M2306" t="s">
        <v>40114</v>
      </c>
      <c r="N2306" t="s">
        <v>43166</v>
      </c>
      <c r="O2306" t="s">
        <v>43167</v>
      </c>
      <c r="P2306">
        <v>0</v>
      </c>
      <c r="Q2306">
        <v>3</v>
      </c>
      <c r="R2306" t="s">
        <v>43170</v>
      </c>
      <c r="S2306" t="s">
        <v>43297</v>
      </c>
      <c r="T2306" t="s">
        <v>44777</v>
      </c>
      <c r="U2306" t="s">
        <v>47098</v>
      </c>
      <c r="W2306" t="s">
        <v>40114</v>
      </c>
      <c r="X2306" t="s">
        <v>43171</v>
      </c>
    </row>
    <row r="2307" spans="1:24">
      <c r="A2307">
        <f>HYPERLINK("https://www.philgeps.gov.ph/GEPSNONPILOT/Tender/SplashBidNoticeAbstractUI.aspx?menuIndex=3&amp;refID=7085940&amp;Result=3","7085940")</f>
        <v>0</v>
      </c>
      <c r="B2307" t="s">
        <v>926</v>
      </c>
      <c r="C2307" t="s">
        <v>5624</v>
      </c>
      <c r="D2307" t="s">
        <v>17466</v>
      </c>
      <c r="E2307" t="s">
        <v>19493</v>
      </c>
      <c r="F2307" t="s">
        <v>30052</v>
      </c>
      <c r="G2307" t="s">
        <v>30059</v>
      </c>
      <c r="H2307" t="s">
        <v>15498</v>
      </c>
      <c r="I2307" t="s">
        <v>30070</v>
      </c>
      <c r="J2307" t="s">
        <v>31806</v>
      </c>
      <c r="K2307" t="s">
        <v>39034</v>
      </c>
      <c r="M2307" t="s">
        <v>40249</v>
      </c>
      <c r="N2307" t="s">
        <v>43166</v>
      </c>
      <c r="O2307" t="s">
        <v>43167</v>
      </c>
      <c r="P2307">
        <v>0</v>
      </c>
      <c r="Q2307">
        <v>1</v>
      </c>
      <c r="R2307" t="s">
        <v>43170</v>
      </c>
      <c r="S2307" t="s">
        <v>43297</v>
      </c>
      <c r="T2307" t="s">
        <v>44803</v>
      </c>
      <c r="U2307" t="s">
        <v>47099</v>
      </c>
      <c r="W2307" t="s">
        <v>40249</v>
      </c>
      <c r="X2307" t="s">
        <v>43171</v>
      </c>
    </row>
    <row r="2308" spans="1:24">
      <c r="A2308">
        <f>HYPERLINK("https://www.philgeps.gov.ph/GEPSNONPILOT/Tender/SplashBidNoticeAbstractUI.aspx?menuIndex=3&amp;refID=7085937&amp;Result=3","7085937")</f>
        <v>0</v>
      </c>
      <c r="B2308" t="s">
        <v>188</v>
      </c>
      <c r="C2308" t="s">
        <v>5625</v>
      </c>
      <c r="D2308" t="s">
        <v>17481</v>
      </c>
      <c r="E2308" t="s">
        <v>19536</v>
      </c>
      <c r="F2308" t="s">
        <v>30052</v>
      </c>
      <c r="G2308" t="s">
        <v>30059</v>
      </c>
      <c r="H2308" t="s">
        <v>15498</v>
      </c>
      <c r="I2308" t="s">
        <v>3736</v>
      </c>
      <c r="J2308" t="s">
        <v>31807</v>
      </c>
      <c r="K2308" t="s">
        <v>39019</v>
      </c>
      <c r="M2308" t="s">
        <v>39477</v>
      </c>
      <c r="N2308" t="s">
        <v>43166</v>
      </c>
      <c r="O2308" t="s">
        <v>43167</v>
      </c>
      <c r="P2308">
        <v>0</v>
      </c>
      <c r="Q2308">
        <v>1</v>
      </c>
      <c r="R2308" t="s">
        <v>43170</v>
      </c>
      <c r="S2308" t="s">
        <v>43297</v>
      </c>
      <c r="T2308" t="s">
        <v>44717</v>
      </c>
      <c r="U2308" t="s">
        <v>45497</v>
      </c>
      <c r="V2308" t="s">
        <v>57093</v>
      </c>
      <c r="W2308" t="s">
        <v>39477</v>
      </c>
      <c r="X2308" t="s">
        <v>43171</v>
      </c>
    </row>
    <row r="2309" spans="1:24">
      <c r="A2309">
        <f>HYPERLINK("https://www.philgeps.gov.ph/GEPSNONPILOT/Tender/SplashBidNoticeAbstractUI.aspx?menuIndex=3&amp;refID=7085936&amp;Result=3","7085936")</f>
        <v>0</v>
      </c>
      <c r="B2309" t="s">
        <v>930</v>
      </c>
      <c r="C2309" t="s">
        <v>5626</v>
      </c>
      <c r="E2309" t="s">
        <v>19537</v>
      </c>
      <c r="F2309" t="s">
        <v>30052</v>
      </c>
      <c r="G2309" t="s">
        <v>30061</v>
      </c>
      <c r="H2309" t="s">
        <v>15498</v>
      </c>
      <c r="I2309" t="s">
        <v>4650</v>
      </c>
      <c r="J2309" t="s">
        <v>30263</v>
      </c>
      <c r="K2309" t="s">
        <v>39025</v>
      </c>
      <c r="M2309" t="s">
        <v>40253</v>
      </c>
      <c r="N2309" t="s">
        <v>43166</v>
      </c>
      <c r="O2309" t="s">
        <v>43167</v>
      </c>
      <c r="P2309">
        <v>0</v>
      </c>
      <c r="Q2309">
        <v>7</v>
      </c>
      <c r="R2309" t="s">
        <v>43170</v>
      </c>
      <c r="S2309" t="s">
        <v>43297</v>
      </c>
      <c r="T2309" t="s">
        <v>44735</v>
      </c>
      <c r="U2309" t="s">
        <v>47077</v>
      </c>
      <c r="W2309" t="s">
        <v>40253</v>
      </c>
      <c r="X2309" t="s">
        <v>43171</v>
      </c>
    </row>
    <row r="2310" spans="1:24">
      <c r="A2310">
        <f>HYPERLINK("https://www.philgeps.gov.ph/GEPSNONPILOT/Tender/SplashBidNoticeAbstractUI.aspx?menuIndex=3&amp;refID=7085932&amp;Result=3","7085932")</f>
        <v>0</v>
      </c>
      <c r="B2310" t="s">
        <v>790</v>
      </c>
      <c r="C2310" t="s">
        <v>5627</v>
      </c>
      <c r="D2310" t="s">
        <v>17421</v>
      </c>
      <c r="E2310" t="s">
        <v>19538</v>
      </c>
      <c r="F2310" t="s">
        <v>30052</v>
      </c>
      <c r="G2310" t="s">
        <v>30058</v>
      </c>
      <c r="H2310" t="s">
        <v>30067</v>
      </c>
      <c r="I2310" t="s">
        <v>30100</v>
      </c>
      <c r="J2310" t="s">
        <v>31808</v>
      </c>
      <c r="K2310" t="s">
        <v>39065</v>
      </c>
      <c r="L2310" t="s">
        <v>790</v>
      </c>
      <c r="M2310" t="s">
        <v>40107</v>
      </c>
      <c r="N2310" t="s">
        <v>43166</v>
      </c>
      <c r="O2310" t="s">
        <v>43167</v>
      </c>
      <c r="P2310">
        <v>0</v>
      </c>
      <c r="Q2310">
        <v>0</v>
      </c>
      <c r="R2310" t="s">
        <v>43170</v>
      </c>
      <c r="S2310" t="s">
        <v>43297</v>
      </c>
      <c r="T2310" t="s">
        <v>44713</v>
      </c>
      <c r="U2310" t="s">
        <v>46883</v>
      </c>
      <c r="V2310" t="s">
        <v>57094</v>
      </c>
      <c r="W2310" t="s">
        <v>40107</v>
      </c>
      <c r="X2310" t="s">
        <v>43171</v>
      </c>
    </row>
    <row r="2311" spans="1:24">
      <c r="A2311">
        <f>HYPERLINK("https://www.philgeps.gov.ph/GEPSNONPILOT/Tender/SplashBidNoticeAbstractUI.aspx?menuIndex=3&amp;refID=7085930&amp;Result=3","7085930")</f>
        <v>0</v>
      </c>
      <c r="B2311" t="s">
        <v>617</v>
      </c>
      <c r="C2311" t="s">
        <v>5628</v>
      </c>
      <c r="D2311" t="s">
        <v>17486</v>
      </c>
      <c r="E2311" t="s">
        <v>19539</v>
      </c>
      <c r="F2311" t="s">
        <v>30052</v>
      </c>
      <c r="G2311" t="s">
        <v>30059</v>
      </c>
      <c r="H2311" t="s">
        <v>15498</v>
      </c>
      <c r="I2311" t="s">
        <v>3736</v>
      </c>
      <c r="J2311" t="s">
        <v>31186</v>
      </c>
      <c r="K2311" t="s">
        <v>39036</v>
      </c>
      <c r="M2311" t="s">
        <v>39919</v>
      </c>
      <c r="N2311" t="s">
        <v>43166</v>
      </c>
      <c r="O2311" t="s">
        <v>43167</v>
      </c>
      <c r="P2311">
        <v>0</v>
      </c>
      <c r="Q2311">
        <v>2</v>
      </c>
      <c r="R2311" t="s">
        <v>43170</v>
      </c>
      <c r="S2311" t="s">
        <v>43297</v>
      </c>
      <c r="T2311" t="s">
        <v>44718</v>
      </c>
      <c r="U2311" t="s">
        <v>47100</v>
      </c>
      <c r="W2311" t="s">
        <v>39919</v>
      </c>
      <c r="X2311" t="s">
        <v>43171</v>
      </c>
    </row>
    <row r="2312" spans="1:24">
      <c r="A2312">
        <f>HYPERLINK("https://www.philgeps.gov.ph/GEPSNONPILOT/Tender/SplashBidNoticeAbstractUI.aspx?menuIndex=3&amp;refID=7085961&amp;Result=3","7085961")</f>
        <v>0</v>
      </c>
      <c r="B2312" t="s">
        <v>938</v>
      </c>
      <c r="C2312" t="s">
        <v>5629</v>
      </c>
      <c r="D2312" t="s">
        <v>17466</v>
      </c>
      <c r="E2312" t="s">
        <v>19540</v>
      </c>
      <c r="F2312" t="s">
        <v>30052</v>
      </c>
      <c r="G2312" t="s">
        <v>30058</v>
      </c>
      <c r="H2312" t="s">
        <v>30067</v>
      </c>
      <c r="I2312" t="s">
        <v>3693</v>
      </c>
      <c r="J2312" t="s">
        <v>31809</v>
      </c>
      <c r="K2312" t="s">
        <v>39025</v>
      </c>
      <c r="M2312" t="s">
        <v>40262</v>
      </c>
      <c r="N2312" t="s">
        <v>43166</v>
      </c>
      <c r="O2312" t="s">
        <v>43167</v>
      </c>
      <c r="P2312">
        <v>0</v>
      </c>
      <c r="Q2312">
        <v>0</v>
      </c>
      <c r="R2312" t="s">
        <v>43170</v>
      </c>
      <c r="S2312" t="s">
        <v>43297</v>
      </c>
      <c r="T2312" t="s">
        <v>44681</v>
      </c>
      <c r="U2312" t="s">
        <v>47101</v>
      </c>
      <c r="W2312" t="s">
        <v>40262</v>
      </c>
      <c r="X2312" t="s">
        <v>43171</v>
      </c>
    </row>
    <row r="2313" spans="1:24">
      <c r="A2313">
        <f>HYPERLINK("https://www.philgeps.gov.ph/GEPSNONPILOT/Tender/SplashBidNoticeAbstractUI.aspx?menuIndex=3&amp;refID=7085956&amp;Result=3","7085956")</f>
        <v>0</v>
      </c>
      <c r="B2313" t="s">
        <v>939</v>
      </c>
      <c r="C2313" t="s">
        <v>5630</v>
      </c>
      <c r="D2313" t="s">
        <v>17476</v>
      </c>
      <c r="E2313" t="s">
        <v>17922</v>
      </c>
      <c r="F2313" t="s">
        <v>30052</v>
      </c>
      <c r="G2313" t="s">
        <v>30058</v>
      </c>
      <c r="H2313" t="s">
        <v>30067</v>
      </c>
      <c r="I2313" t="s">
        <v>3693</v>
      </c>
      <c r="J2313" t="s">
        <v>31810</v>
      </c>
      <c r="K2313" t="s">
        <v>39023</v>
      </c>
      <c r="M2313" t="s">
        <v>40263</v>
      </c>
      <c r="N2313" t="s">
        <v>43166</v>
      </c>
      <c r="O2313" t="s">
        <v>43167</v>
      </c>
      <c r="P2313">
        <v>0</v>
      </c>
      <c r="Q2313">
        <v>0</v>
      </c>
      <c r="R2313" t="s">
        <v>43170</v>
      </c>
      <c r="S2313" t="s">
        <v>43297</v>
      </c>
      <c r="T2313" t="s">
        <v>44853</v>
      </c>
      <c r="U2313" t="s">
        <v>47102</v>
      </c>
      <c r="V2313" t="s">
        <v>57095</v>
      </c>
      <c r="W2313" t="s">
        <v>40263</v>
      </c>
      <c r="X2313" t="s">
        <v>43171</v>
      </c>
    </row>
    <row r="2314" spans="1:24">
      <c r="A2314">
        <f>HYPERLINK("https://www.philgeps.gov.ph/GEPSNONPILOT/Tender/SplashBidNoticeAbstractUI.aspx?menuIndex=3&amp;refID=7085955&amp;Result=3","7085955")</f>
        <v>0</v>
      </c>
      <c r="B2314" t="s">
        <v>868</v>
      </c>
      <c r="C2314" t="s">
        <v>5631</v>
      </c>
      <c r="D2314" t="s">
        <v>17422</v>
      </c>
      <c r="E2314" t="s">
        <v>19541</v>
      </c>
      <c r="F2314" t="s">
        <v>30052</v>
      </c>
      <c r="G2314" t="s">
        <v>30058</v>
      </c>
      <c r="H2314" t="s">
        <v>15498</v>
      </c>
      <c r="I2314" t="s">
        <v>3736</v>
      </c>
      <c r="J2314" t="s">
        <v>31811</v>
      </c>
      <c r="K2314" t="s">
        <v>39031</v>
      </c>
      <c r="M2314" t="s">
        <v>40187</v>
      </c>
      <c r="N2314" t="s">
        <v>43166</v>
      </c>
      <c r="O2314" t="s">
        <v>43167</v>
      </c>
      <c r="P2314">
        <v>0</v>
      </c>
      <c r="Q2314">
        <v>2</v>
      </c>
      <c r="R2314" t="s">
        <v>43170</v>
      </c>
      <c r="S2314" t="s">
        <v>43297</v>
      </c>
      <c r="T2314" t="s">
        <v>44790</v>
      </c>
      <c r="U2314" t="s">
        <v>46987</v>
      </c>
      <c r="V2314" t="s">
        <v>57096</v>
      </c>
      <c r="W2314" t="s">
        <v>40187</v>
      </c>
      <c r="X2314" t="s">
        <v>43171</v>
      </c>
    </row>
    <row r="2315" spans="1:24">
      <c r="A2315">
        <f>HYPERLINK("https://www.philgeps.gov.ph/GEPSNONPILOT/Tender/SplashBidNoticeAbstractUI.aspx?menuIndex=3&amp;refID=7085960&amp;Result=3","7085960")</f>
        <v>0</v>
      </c>
      <c r="B2315" t="s">
        <v>260</v>
      </c>
      <c r="C2315" t="s">
        <v>5632</v>
      </c>
      <c r="D2315" t="s">
        <v>17452</v>
      </c>
      <c r="E2315" t="s">
        <v>19542</v>
      </c>
      <c r="F2315" t="s">
        <v>30052</v>
      </c>
      <c r="G2315" t="s">
        <v>30059</v>
      </c>
      <c r="H2315" t="s">
        <v>15498</v>
      </c>
      <c r="I2315" t="s">
        <v>30084</v>
      </c>
      <c r="J2315" t="s">
        <v>30292</v>
      </c>
      <c r="K2315" t="s">
        <v>39037</v>
      </c>
      <c r="M2315" t="s">
        <v>40228</v>
      </c>
      <c r="N2315" t="s">
        <v>43166</v>
      </c>
      <c r="O2315" t="s">
        <v>43167</v>
      </c>
      <c r="P2315">
        <v>0</v>
      </c>
      <c r="Q2315">
        <v>2</v>
      </c>
      <c r="R2315" t="s">
        <v>43170</v>
      </c>
      <c r="S2315" t="s">
        <v>43297</v>
      </c>
      <c r="T2315" t="s">
        <v>44856</v>
      </c>
      <c r="U2315" t="s">
        <v>47103</v>
      </c>
      <c r="W2315" t="s">
        <v>40228</v>
      </c>
      <c r="X2315" t="s">
        <v>43171</v>
      </c>
    </row>
    <row r="2316" spans="1:24">
      <c r="A2316">
        <f>HYPERLINK("https://www.philgeps.gov.ph/GEPSNONPILOT/Tender/SplashBidNoticeAbstractUI.aspx?menuIndex=3&amp;refID=7085958&amp;Result=3","7085958")</f>
        <v>0</v>
      </c>
      <c r="B2316" t="s">
        <v>918</v>
      </c>
      <c r="C2316" t="s">
        <v>5633</v>
      </c>
      <c r="D2316" t="s">
        <v>17424</v>
      </c>
      <c r="E2316" t="s">
        <v>19543</v>
      </c>
      <c r="F2316" t="s">
        <v>30052</v>
      </c>
      <c r="G2316" t="s">
        <v>30063</v>
      </c>
      <c r="H2316" t="s">
        <v>30067</v>
      </c>
      <c r="I2316" t="s">
        <v>3693</v>
      </c>
      <c r="J2316" t="s">
        <v>31812</v>
      </c>
      <c r="K2316" t="s">
        <v>39020</v>
      </c>
      <c r="M2316" t="s">
        <v>40241</v>
      </c>
      <c r="N2316" t="s">
        <v>43166</v>
      </c>
      <c r="O2316" t="s">
        <v>43167</v>
      </c>
      <c r="P2316">
        <v>0</v>
      </c>
      <c r="Q2316">
        <v>4</v>
      </c>
      <c r="R2316" t="s">
        <v>43170</v>
      </c>
      <c r="S2316" t="s">
        <v>43297</v>
      </c>
      <c r="T2316" t="s">
        <v>44684</v>
      </c>
      <c r="U2316" t="s">
        <v>47104</v>
      </c>
      <c r="V2316" t="s">
        <v>57086</v>
      </c>
      <c r="W2316" t="s">
        <v>40241</v>
      </c>
      <c r="X2316" t="s">
        <v>43171</v>
      </c>
    </row>
    <row r="2317" spans="1:24">
      <c r="A2317">
        <f>HYPERLINK("https://www.philgeps.gov.ph/GEPSNONPILOT/Tender/SplashBidNoticeAbstractUI.aspx?menuIndex=3&amp;refID=7085962&amp;Result=3","7085962")</f>
        <v>0</v>
      </c>
      <c r="B2317" t="s">
        <v>859</v>
      </c>
      <c r="C2317" t="s">
        <v>5634</v>
      </c>
      <c r="D2317" t="s">
        <v>17442</v>
      </c>
      <c r="E2317" t="s">
        <v>19544</v>
      </c>
      <c r="F2317" t="s">
        <v>30052</v>
      </c>
      <c r="G2317" t="s">
        <v>30059</v>
      </c>
      <c r="H2317" t="s">
        <v>15498</v>
      </c>
      <c r="I2317" t="s">
        <v>6691</v>
      </c>
      <c r="J2317" t="s">
        <v>30591</v>
      </c>
      <c r="K2317" t="s">
        <v>39039</v>
      </c>
      <c r="M2317" t="s">
        <v>40176</v>
      </c>
      <c r="N2317" t="s">
        <v>43166</v>
      </c>
      <c r="O2317" t="s">
        <v>43167</v>
      </c>
      <c r="P2317">
        <v>0</v>
      </c>
      <c r="Q2317">
        <v>0</v>
      </c>
      <c r="R2317" t="s">
        <v>43170</v>
      </c>
      <c r="S2317" t="s">
        <v>43297</v>
      </c>
      <c r="T2317" t="s">
        <v>44717</v>
      </c>
      <c r="U2317" t="s">
        <v>47105</v>
      </c>
      <c r="W2317" t="s">
        <v>40176</v>
      </c>
      <c r="X2317" t="s">
        <v>43171</v>
      </c>
    </row>
    <row r="2318" spans="1:24">
      <c r="A2318">
        <f>HYPERLINK("https://www.philgeps.gov.ph/GEPSNONPILOT/Tender/SplashBidNoticeAbstractUI.aspx?menuIndex=3&amp;refID=7085976&amp;Result=3","7085976")</f>
        <v>0</v>
      </c>
      <c r="B2318" t="s">
        <v>802</v>
      </c>
      <c r="C2318" t="s">
        <v>5635</v>
      </c>
      <c r="D2318" t="s">
        <v>17415</v>
      </c>
      <c r="E2318" t="s">
        <v>19545</v>
      </c>
      <c r="F2318" t="s">
        <v>30052</v>
      </c>
      <c r="G2318" t="s">
        <v>30059</v>
      </c>
      <c r="H2318" t="s">
        <v>15498</v>
      </c>
      <c r="I2318" t="s">
        <v>9238</v>
      </c>
      <c r="J2318" t="s">
        <v>31014</v>
      </c>
      <c r="K2318" t="s">
        <v>39017</v>
      </c>
      <c r="M2318" t="s">
        <v>40119</v>
      </c>
      <c r="N2318" t="s">
        <v>43166</v>
      </c>
      <c r="O2318" t="s">
        <v>43167</v>
      </c>
      <c r="P2318">
        <v>0</v>
      </c>
      <c r="Q2318">
        <v>6</v>
      </c>
      <c r="R2318" t="s">
        <v>43170</v>
      </c>
      <c r="S2318" t="s">
        <v>43297</v>
      </c>
      <c r="T2318" t="s">
        <v>44732</v>
      </c>
      <c r="U2318" t="s">
        <v>46770</v>
      </c>
      <c r="W2318" t="s">
        <v>40119</v>
      </c>
      <c r="X2318" t="s">
        <v>43171</v>
      </c>
    </row>
    <row r="2319" spans="1:24">
      <c r="A2319">
        <f>HYPERLINK("https://www.philgeps.gov.ph/GEPSNONPILOT/Tender/SplashBidNoticeAbstractUI.aspx?menuIndex=3&amp;refID=7085974&amp;Result=3","7085974")</f>
        <v>0</v>
      </c>
      <c r="B2319" t="s">
        <v>940</v>
      </c>
      <c r="C2319" t="s">
        <v>5636</v>
      </c>
      <c r="D2319" t="s">
        <v>17449</v>
      </c>
      <c r="E2319" t="s">
        <v>19546</v>
      </c>
      <c r="F2319" t="s">
        <v>30052</v>
      </c>
      <c r="G2319" t="s">
        <v>30061</v>
      </c>
      <c r="H2319" t="s">
        <v>15498</v>
      </c>
      <c r="I2319" t="s">
        <v>30098</v>
      </c>
      <c r="J2319" t="s">
        <v>30207</v>
      </c>
      <c r="K2319" t="s">
        <v>39034</v>
      </c>
      <c r="M2319" t="s">
        <v>40264</v>
      </c>
      <c r="N2319" t="s">
        <v>43166</v>
      </c>
      <c r="O2319" t="s">
        <v>43167</v>
      </c>
      <c r="P2319">
        <v>0</v>
      </c>
      <c r="Q2319">
        <v>2</v>
      </c>
      <c r="R2319" t="s">
        <v>43170</v>
      </c>
      <c r="S2319" t="s">
        <v>43297</v>
      </c>
      <c r="T2319" t="s">
        <v>44870</v>
      </c>
      <c r="U2319" t="s">
        <v>47106</v>
      </c>
      <c r="W2319" t="s">
        <v>40264</v>
      </c>
      <c r="X2319" t="s">
        <v>43171</v>
      </c>
    </row>
    <row r="2320" spans="1:24">
      <c r="A2320">
        <f>HYPERLINK("https://www.philgeps.gov.ph/GEPSNONPILOT/Tender/SplashBidNoticeAbstractUI.aspx?menuIndex=3&amp;refID=7085973&amp;Result=3","7085973")</f>
        <v>0</v>
      </c>
      <c r="B2320" t="s">
        <v>941</v>
      </c>
      <c r="C2320" t="s">
        <v>5637</v>
      </c>
      <c r="D2320" t="s">
        <v>17415</v>
      </c>
      <c r="E2320" t="s">
        <v>19547</v>
      </c>
      <c r="F2320" t="s">
        <v>30052</v>
      </c>
      <c r="G2320" t="s">
        <v>30059</v>
      </c>
      <c r="H2320" t="s">
        <v>15498</v>
      </c>
      <c r="I2320" t="s">
        <v>7228</v>
      </c>
      <c r="J2320" t="s">
        <v>31813</v>
      </c>
      <c r="K2320" t="s">
        <v>39025</v>
      </c>
      <c r="M2320" t="s">
        <v>40265</v>
      </c>
      <c r="N2320" t="s">
        <v>43166</v>
      </c>
      <c r="O2320" t="s">
        <v>43167</v>
      </c>
      <c r="P2320">
        <v>0</v>
      </c>
      <c r="Q2320">
        <v>1</v>
      </c>
      <c r="R2320" t="s">
        <v>43170</v>
      </c>
      <c r="S2320" t="s">
        <v>43297</v>
      </c>
      <c r="T2320" t="s">
        <v>44862</v>
      </c>
      <c r="U2320" t="s">
        <v>47107</v>
      </c>
      <c r="W2320" t="s">
        <v>40265</v>
      </c>
      <c r="X2320" t="s">
        <v>43171</v>
      </c>
    </row>
    <row r="2321" spans="1:24">
      <c r="A2321">
        <f>HYPERLINK("https://www.philgeps.gov.ph/GEPSNONPILOT/Tender/SplashBidNoticeAbstractUI.aspx?menuIndex=3&amp;refID=7085972&amp;Result=3","7085972")</f>
        <v>0</v>
      </c>
      <c r="B2321" t="s">
        <v>942</v>
      </c>
      <c r="C2321" t="s">
        <v>5638</v>
      </c>
      <c r="D2321" t="s">
        <v>17414</v>
      </c>
      <c r="E2321" t="s">
        <v>19548</v>
      </c>
      <c r="F2321" t="s">
        <v>30052</v>
      </c>
      <c r="G2321" t="s">
        <v>30059</v>
      </c>
      <c r="H2321" t="s">
        <v>15498</v>
      </c>
      <c r="I2321" t="s">
        <v>30127</v>
      </c>
      <c r="J2321" t="s">
        <v>30343</v>
      </c>
      <c r="K2321" t="s">
        <v>39037</v>
      </c>
      <c r="M2321" t="s">
        <v>40266</v>
      </c>
      <c r="N2321" t="s">
        <v>43166</v>
      </c>
      <c r="O2321" t="s">
        <v>43167</v>
      </c>
      <c r="P2321">
        <v>0</v>
      </c>
      <c r="Q2321">
        <v>0</v>
      </c>
      <c r="R2321" t="s">
        <v>43170</v>
      </c>
      <c r="S2321" t="s">
        <v>43297</v>
      </c>
      <c r="T2321" t="s">
        <v>44826</v>
      </c>
      <c r="U2321" t="s">
        <v>47108</v>
      </c>
      <c r="V2321" t="s">
        <v>57097</v>
      </c>
      <c r="W2321" t="s">
        <v>58618</v>
      </c>
      <c r="X2321" t="s">
        <v>43171</v>
      </c>
    </row>
    <row r="2322" spans="1:24">
      <c r="A2322">
        <f>HYPERLINK("https://www.philgeps.gov.ph/GEPSNONPILOT/Tender/SplashBidNoticeAbstractUI.aspx?menuIndex=3&amp;refID=7085975&amp;Result=3","7085975")</f>
        <v>0</v>
      </c>
      <c r="B2322" t="s">
        <v>943</v>
      </c>
      <c r="C2322" t="s">
        <v>5639</v>
      </c>
      <c r="D2322" t="s">
        <v>17482</v>
      </c>
      <c r="E2322" t="s">
        <v>19549</v>
      </c>
      <c r="F2322" t="s">
        <v>30052</v>
      </c>
      <c r="G2322" t="s">
        <v>30065</v>
      </c>
      <c r="H2322" t="s">
        <v>15498</v>
      </c>
      <c r="I2322" t="s">
        <v>30076</v>
      </c>
      <c r="J2322" t="s">
        <v>31199</v>
      </c>
      <c r="K2322" t="s">
        <v>39025</v>
      </c>
      <c r="M2322" t="s">
        <v>40267</v>
      </c>
      <c r="N2322" t="s">
        <v>43166</v>
      </c>
      <c r="O2322" t="s">
        <v>43167</v>
      </c>
      <c r="P2322">
        <v>0</v>
      </c>
      <c r="Q2322">
        <v>0</v>
      </c>
      <c r="R2322" t="s">
        <v>43170</v>
      </c>
      <c r="S2322" t="s">
        <v>43297</v>
      </c>
      <c r="T2322" t="s">
        <v>44839</v>
      </c>
      <c r="U2322" t="s">
        <v>47109</v>
      </c>
      <c r="V2322" t="s">
        <v>57098</v>
      </c>
      <c r="W2322" t="s">
        <v>40267</v>
      </c>
      <c r="X2322" t="s">
        <v>43171</v>
      </c>
    </row>
    <row r="2323" spans="1:24">
      <c r="A2323">
        <f>HYPERLINK("https://www.philgeps.gov.ph/GEPSNONPILOT/Tender/SplashBidNoticeAbstractUI.aspx?menuIndex=3&amp;refID=7085963&amp;Result=3","7085963")</f>
        <v>0</v>
      </c>
      <c r="B2323" t="s">
        <v>415</v>
      </c>
      <c r="C2323" t="s">
        <v>5640</v>
      </c>
      <c r="D2323" t="s">
        <v>17472</v>
      </c>
      <c r="E2323" t="s">
        <v>18363</v>
      </c>
      <c r="F2323" t="s">
        <v>30052</v>
      </c>
      <c r="G2323" t="s">
        <v>30061</v>
      </c>
      <c r="H2323" t="s">
        <v>15498</v>
      </c>
      <c r="I2323" t="s">
        <v>30081</v>
      </c>
      <c r="J2323" t="s">
        <v>31813</v>
      </c>
      <c r="K2323" t="s">
        <v>39034</v>
      </c>
      <c r="M2323" t="s">
        <v>39714</v>
      </c>
      <c r="N2323" t="s">
        <v>43166</v>
      </c>
      <c r="O2323" t="s">
        <v>43167</v>
      </c>
      <c r="P2323">
        <v>0</v>
      </c>
      <c r="Q2323">
        <v>0</v>
      </c>
      <c r="R2323" t="s">
        <v>43170</v>
      </c>
      <c r="S2323" t="s">
        <v>43297</v>
      </c>
      <c r="T2323" t="s">
        <v>44685</v>
      </c>
      <c r="U2323" t="s">
        <v>47110</v>
      </c>
      <c r="W2323" t="s">
        <v>39714</v>
      </c>
      <c r="X2323" t="s">
        <v>43171</v>
      </c>
    </row>
    <row r="2324" spans="1:24">
      <c r="A2324">
        <f>HYPERLINK("https://www.philgeps.gov.ph/GEPSNONPILOT/Tender/SplashBidNoticeAbstractUI.aspx?menuIndex=3&amp;refID=7085986&amp;Result=3","7085986")</f>
        <v>0</v>
      </c>
      <c r="B2324" t="s">
        <v>501</v>
      </c>
      <c r="C2324" t="s">
        <v>5641</v>
      </c>
      <c r="E2324" t="s">
        <v>19550</v>
      </c>
      <c r="F2324" t="s">
        <v>30052</v>
      </c>
      <c r="G2324" t="s">
        <v>30059</v>
      </c>
      <c r="H2324" t="s">
        <v>15498</v>
      </c>
      <c r="I2324" t="s">
        <v>30118</v>
      </c>
      <c r="J2324" t="s">
        <v>31814</v>
      </c>
      <c r="K2324" t="s">
        <v>39025</v>
      </c>
      <c r="M2324" t="s">
        <v>39802</v>
      </c>
      <c r="N2324" t="s">
        <v>43166</v>
      </c>
      <c r="O2324" t="s">
        <v>43167</v>
      </c>
      <c r="P2324">
        <v>0</v>
      </c>
      <c r="Q2324">
        <v>4</v>
      </c>
      <c r="R2324" t="s">
        <v>43170</v>
      </c>
      <c r="S2324" t="s">
        <v>43297</v>
      </c>
      <c r="T2324" t="s">
        <v>44826</v>
      </c>
      <c r="U2324" t="s">
        <v>47111</v>
      </c>
      <c r="V2324" t="s">
        <v>56949</v>
      </c>
      <c r="W2324" t="s">
        <v>39802</v>
      </c>
      <c r="X2324" t="s">
        <v>43171</v>
      </c>
    </row>
    <row r="2325" spans="1:24">
      <c r="A2325">
        <f>HYPERLINK("https://www.philgeps.gov.ph/GEPSNONPILOT/Tender/SplashBidNoticeAbstractUI.aspx?menuIndex=3&amp;refID=7085983&amp;Result=3","7085983")</f>
        <v>0</v>
      </c>
      <c r="B2325" t="s">
        <v>944</v>
      </c>
      <c r="C2325" t="s">
        <v>5642</v>
      </c>
      <c r="D2325" t="s">
        <v>17434</v>
      </c>
      <c r="E2325" t="s">
        <v>19551</v>
      </c>
      <c r="F2325" t="s">
        <v>30052</v>
      </c>
      <c r="G2325" t="s">
        <v>30059</v>
      </c>
      <c r="H2325" t="s">
        <v>15498</v>
      </c>
      <c r="I2325" t="s">
        <v>30074</v>
      </c>
      <c r="J2325" t="s">
        <v>30528</v>
      </c>
      <c r="K2325" t="s">
        <v>39036</v>
      </c>
      <c r="M2325" t="s">
        <v>40268</v>
      </c>
      <c r="N2325" t="s">
        <v>43166</v>
      </c>
      <c r="O2325" t="s">
        <v>43167</v>
      </c>
      <c r="P2325">
        <v>0</v>
      </c>
      <c r="Q2325">
        <v>0</v>
      </c>
      <c r="R2325" t="s">
        <v>43170</v>
      </c>
      <c r="S2325" t="s">
        <v>43297</v>
      </c>
      <c r="T2325" t="s">
        <v>44894</v>
      </c>
      <c r="U2325" t="s">
        <v>47112</v>
      </c>
      <c r="W2325" t="s">
        <v>40268</v>
      </c>
      <c r="X2325" t="s">
        <v>43171</v>
      </c>
    </row>
    <row r="2326" spans="1:24">
      <c r="A2326">
        <f>HYPERLINK("https://www.philgeps.gov.ph/GEPSNONPILOT/Tender/SplashBidNoticeAbstractUI.aspx?menuIndex=3&amp;refID=7085982&amp;Result=3","7085982")</f>
        <v>0</v>
      </c>
      <c r="B2326" t="s">
        <v>918</v>
      </c>
      <c r="C2326" t="s">
        <v>5643</v>
      </c>
      <c r="D2326" t="s">
        <v>17424</v>
      </c>
      <c r="E2326" t="s">
        <v>19552</v>
      </c>
      <c r="F2326" t="s">
        <v>30052</v>
      </c>
      <c r="G2326" t="s">
        <v>30063</v>
      </c>
      <c r="H2326" t="s">
        <v>30067</v>
      </c>
      <c r="I2326" t="s">
        <v>3693</v>
      </c>
      <c r="J2326" t="s">
        <v>31815</v>
      </c>
      <c r="K2326" t="s">
        <v>39020</v>
      </c>
      <c r="M2326" t="s">
        <v>40241</v>
      </c>
      <c r="N2326" t="s">
        <v>43166</v>
      </c>
      <c r="O2326" t="s">
        <v>43167</v>
      </c>
      <c r="P2326">
        <v>0</v>
      </c>
      <c r="Q2326">
        <v>4</v>
      </c>
      <c r="R2326" t="s">
        <v>43170</v>
      </c>
      <c r="S2326" t="s">
        <v>43297</v>
      </c>
      <c r="T2326" t="s">
        <v>44684</v>
      </c>
      <c r="U2326" t="s">
        <v>47113</v>
      </c>
      <c r="V2326" t="s">
        <v>57086</v>
      </c>
      <c r="W2326" t="s">
        <v>40241</v>
      </c>
      <c r="X2326" t="s">
        <v>43171</v>
      </c>
    </row>
    <row r="2327" spans="1:24">
      <c r="A2327">
        <f>HYPERLINK("https://www.philgeps.gov.ph/GEPSNONPILOT/Tender/SplashBidNoticeAbstractUI.aspx?menuIndex=3&amp;refID=7085971&amp;Result=3","7085971")</f>
        <v>0</v>
      </c>
      <c r="B2327" t="s">
        <v>915</v>
      </c>
      <c r="C2327" t="s">
        <v>5644</v>
      </c>
      <c r="D2327" t="s">
        <v>17457</v>
      </c>
      <c r="E2327" t="s">
        <v>19553</v>
      </c>
      <c r="F2327" t="s">
        <v>30052</v>
      </c>
      <c r="G2327" t="s">
        <v>30059</v>
      </c>
      <c r="H2327" t="s">
        <v>15498</v>
      </c>
      <c r="I2327" t="s">
        <v>30152</v>
      </c>
      <c r="J2327" t="s">
        <v>30207</v>
      </c>
      <c r="K2327" t="s">
        <v>39019</v>
      </c>
      <c r="M2327" t="s">
        <v>40238</v>
      </c>
      <c r="N2327" t="s">
        <v>43166</v>
      </c>
      <c r="O2327" t="s">
        <v>43167</v>
      </c>
      <c r="P2327">
        <v>0</v>
      </c>
      <c r="Q2327">
        <v>0</v>
      </c>
      <c r="R2327" t="s">
        <v>43170</v>
      </c>
      <c r="S2327" t="s">
        <v>43297</v>
      </c>
      <c r="T2327" t="s">
        <v>44844</v>
      </c>
      <c r="U2327" t="s">
        <v>47114</v>
      </c>
      <c r="W2327" t="s">
        <v>40238</v>
      </c>
      <c r="X2327" t="s">
        <v>43171</v>
      </c>
    </row>
    <row r="2328" spans="1:24">
      <c r="A2328">
        <f>HYPERLINK("https://www.philgeps.gov.ph/GEPSNONPILOT/Tender/SplashBidNoticeAbstractUI.aspx?menuIndex=3&amp;refID=7085980&amp;Result=3","7085980")</f>
        <v>0</v>
      </c>
      <c r="B2328" t="s">
        <v>937</v>
      </c>
      <c r="C2328" t="s">
        <v>5645</v>
      </c>
      <c r="D2328" t="s">
        <v>17428</v>
      </c>
      <c r="E2328" t="s">
        <v>19554</v>
      </c>
      <c r="F2328" t="s">
        <v>30052</v>
      </c>
      <c r="G2328" t="s">
        <v>30059</v>
      </c>
      <c r="H2328" t="s">
        <v>30069</v>
      </c>
      <c r="I2328" t="s">
        <v>30100</v>
      </c>
      <c r="J2328" t="s">
        <v>31816</v>
      </c>
      <c r="K2328" t="s">
        <v>39048</v>
      </c>
      <c r="M2328" t="s">
        <v>40261</v>
      </c>
      <c r="N2328" t="s">
        <v>43166</v>
      </c>
      <c r="O2328" t="s">
        <v>43167</v>
      </c>
      <c r="Q2328">
        <v>2</v>
      </c>
      <c r="R2328" t="s">
        <v>43170</v>
      </c>
      <c r="S2328" t="s">
        <v>43304</v>
      </c>
      <c r="T2328" t="s">
        <v>44888</v>
      </c>
      <c r="U2328" t="s">
        <v>47115</v>
      </c>
      <c r="W2328" t="s">
        <v>40261</v>
      </c>
      <c r="X2328" t="s">
        <v>43171</v>
      </c>
    </row>
    <row r="2329" spans="1:24">
      <c r="A2329">
        <f>HYPERLINK("https://www.philgeps.gov.ph/GEPSNONPILOT/Tender/SplashBidNoticeAbstractUI.aspx?menuIndex=3&amp;refID=7085979&amp;Result=3","7085979")</f>
        <v>0</v>
      </c>
      <c r="B2329" t="s">
        <v>836</v>
      </c>
      <c r="C2329" t="s">
        <v>5646</v>
      </c>
      <c r="D2329" t="s">
        <v>17458</v>
      </c>
      <c r="E2329" t="s">
        <v>17919</v>
      </c>
      <c r="F2329" t="s">
        <v>30052</v>
      </c>
      <c r="G2329" t="s">
        <v>30061</v>
      </c>
      <c r="H2329" t="s">
        <v>15498</v>
      </c>
      <c r="I2329" t="s">
        <v>30085</v>
      </c>
      <c r="J2329" t="s">
        <v>31817</v>
      </c>
      <c r="K2329" t="s">
        <v>39017</v>
      </c>
      <c r="M2329" t="s">
        <v>40153</v>
      </c>
      <c r="N2329" t="s">
        <v>43166</v>
      </c>
      <c r="O2329" t="s">
        <v>43167</v>
      </c>
      <c r="P2329">
        <v>0</v>
      </c>
      <c r="Q2329">
        <v>1</v>
      </c>
      <c r="R2329" t="s">
        <v>43170</v>
      </c>
      <c r="S2329" t="s">
        <v>43297</v>
      </c>
      <c r="T2329" t="s">
        <v>44715</v>
      </c>
      <c r="U2329" t="s">
        <v>46842</v>
      </c>
      <c r="V2329" t="s">
        <v>57099</v>
      </c>
      <c r="W2329" t="s">
        <v>40153</v>
      </c>
      <c r="X2329" t="s">
        <v>43171</v>
      </c>
    </row>
    <row r="2330" spans="1:24">
      <c r="A2330">
        <f>HYPERLINK("https://www.philgeps.gov.ph/GEPSNONPILOT/Tender/SplashBidNoticeAbstractUI.aspx?menuIndex=3&amp;refID=7085977&amp;Result=3","7085977")</f>
        <v>0</v>
      </c>
      <c r="B2330" t="s">
        <v>415</v>
      </c>
      <c r="C2330" t="s">
        <v>5647</v>
      </c>
      <c r="D2330" t="s">
        <v>17472</v>
      </c>
      <c r="E2330" t="s">
        <v>18363</v>
      </c>
      <c r="F2330" t="s">
        <v>30052</v>
      </c>
      <c r="G2330" t="s">
        <v>30061</v>
      </c>
      <c r="H2330" t="s">
        <v>15498</v>
      </c>
      <c r="I2330" t="s">
        <v>30073</v>
      </c>
      <c r="J2330" t="s">
        <v>31818</v>
      </c>
      <c r="K2330" t="s">
        <v>39034</v>
      </c>
      <c r="M2330" t="s">
        <v>39714</v>
      </c>
      <c r="N2330" t="s">
        <v>43166</v>
      </c>
      <c r="O2330" t="s">
        <v>43167</v>
      </c>
      <c r="P2330">
        <v>0</v>
      </c>
      <c r="Q2330">
        <v>0</v>
      </c>
      <c r="R2330" t="s">
        <v>43170</v>
      </c>
      <c r="S2330" t="s">
        <v>43297</v>
      </c>
      <c r="T2330" t="s">
        <v>44685</v>
      </c>
      <c r="U2330" t="s">
        <v>47116</v>
      </c>
      <c r="W2330" t="s">
        <v>39714</v>
      </c>
      <c r="X2330" t="s">
        <v>43171</v>
      </c>
    </row>
    <row r="2331" spans="1:24">
      <c r="A2331">
        <f>HYPERLINK("https://www.philgeps.gov.ph/GEPSNONPILOT/Tender/SplashBidNoticeAbstractUI.aspx?menuIndex=3&amp;refID=7085981&amp;Result=3","7085981")</f>
        <v>0</v>
      </c>
      <c r="B2331" t="s">
        <v>931</v>
      </c>
      <c r="C2331" t="s">
        <v>5648</v>
      </c>
      <c r="D2331" t="s">
        <v>17453</v>
      </c>
      <c r="E2331" t="s">
        <v>19555</v>
      </c>
      <c r="F2331" t="s">
        <v>30052</v>
      </c>
      <c r="G2331" t="s">
        <v>30058</v>
      </c>
      <c r="H2331" t="s">
        <v>30067</v>
      </c>
      <c r="I2331" t="s">
        <v>3693</v>
      </c>
      <c r="J2331" t="s">
        <v>30588</v>
      </c>
      <c r="K2331" t="s">
        <v>39049</v>
      </c>
      <c r="M2331" t="s">
        <v>40254</v>
      </c>
      <c r="N2331" t="s">
        <v>43166</v>
      </c>
      <c r="O2331" t="s">
        <v>43167</v>
      </c>
      <c r="P2331">
        <v>0</v>
      </c>
      <c r="Q2331">
        <v>0</v>
      </c>
      <c r="R2331" t="s">
        <v>43170</v>
      </c>
      <c r="S2331" t="s">
        <v>43297</v>
      </c>
      <c r="T2331" t="s">
        <v>44721</v>
      </c>
      <c r="U2331" t="s">
        <v>47117</v>
      </c>
      <c r="W2331" t="s">
        <v>40254</v>
      </c>
      <c r="X2331" t="s">
        <v>43171</v>
      </c>
    </row>
    <row r="2332" spans="1:24">
      <c r="A2332">
        <f>HYPERLINK("https://www.philgeps.gov.ph/GEPSNONPILOT/Tender/SplashBidNoticeAbstractUI.aspx?menuIndex=3&amp;refID=7085954&amp;Result=3","7085954")</f>
        <v>0</v>
      </c>
      <c r="B2332" t="s">
        <v>415</v>
      </c>
      <c r="C2332" t="s">
        <v>5649</v>
      </c>
      <c r="D2332" t="s">
        <v>17472</v>
      </c>
      <c r="E2332" t="s">
        <v>18363</v>
      </c>
      <c r="F2332" t="s">
        <v>30052</v>
      </c>
      <c r="G2332" t="s">
        <v>30061</v>
      </c>
      <c r="H2332" t="s">
        <v>15498</v>
      </c>
      <c r="I2332" t="s">
        <v>30139</v>
      </c>
      <c r="J2332" t="s">
        <v>30292</v>
      </c>
      <c r="K2332" t="s">
        <v>39034</v>
      </c>
      <c r="M2332" t="s">
        <v>39714</v>
      </c>
      <c r="N2332" t="s">
        <v>43166</v>
      </c>
      <c r="O2332" t="s">
        <v>43167</v>
      </c>
      <c r="P2332">
        <v>0</v>
      </c>
      <c r="Q2332">
        <v>3</v>
      </c>
      <c r="R2332" t="s">
        <v>43170</v>
      </c>
      <c r="S2332" t="s">
        <v>43297</v>
      </c>
      <c r="T2332" t="s">
        <v>44685</v>
      </c>
      <c r="U2332" t="s">
        <v>47118</v>
      </c>
      <c r="W2332" t="s">
        <v>39714</v>
      </c>
      <c r="X2332" t="s">
        <v>43171</v>
      </c>
    </row>
    <row r="2333" spans="1:24">
      <c r="A2333">
        <f>HYPERLINK("https://www.philgeps.gov.ph/GEPSNONPILOT/Tender/SplashBidNoticeAbstractUI.aspx?menuIndex=3&amp;refID=7085967&amp;Result=3","7085967")</f>
        <v>0</v>
      </c>
      <c r="B2333" t="s">
        <v>936</v>
      </c>
      <c r="C2333" t="s">
        <v>5650</v>
      </c>
      <c r="D2333" t="s">
        <v>17424</v>
      </c>
      <c r="E2333" t="s">
        <v>19556</v>
      </c>
      <c r="F2333" t="s">
        <v>30052</v>
      </c>
      <c r="G2333" t="s">
        <v>30058</v>
      </c>
      <c r="H2333" t="s">
        <v>15498</v>
      </c>
      <c r="I2333" t="s">
        <v>3736</v>
      </c>
      <c r="J2333" t="s">
        <v>31819</v>
      </c>
      <c r="K2333" t="s">
        <v>39019</v>
      </c>
      <c r="M2333" t="s">
        <v>40260</v>
      </c>
      <c r="N2333" t="s">
        <v>43166</v>
      </c>
      <c r="O2333" t="s">
        <v>43167</v>
      </c>
      <c r="P2333">
        <v>0</v>
      </c>
      <c r="Q2333">
        <v>0</v>
      </c>
      <c r="R2333" t="s">
        <v>43170</v>
      </c>
      <c r="S2333" t="s">
        <v>43297</v>
      </c>
      <c r="T2333" t="s">
        <v>44724</v>
      </c>
      <c r="U2333" t="s">
        <v>47119</v>
      </c>
      <c r="V2333" t="s">
        <v>57100</v>
      </c>
      <c r="W2333" t="s">
        <v>40260</v>
      </c>
      <c r="X2333" t="s">
        <v>43171</v>
      </c>
    </row>
    <row r="2334" spans="1:24">
      <c r="A2334">
        <f>HYPERLINK("https://www.philgeps.gov.ph/GEPSNONPILOT/Tender/SplashBidNoticeAbstractUI.aspx?menuIndex=3&amp;refID=7085978&amp;Result=3","7085978")</f>
        <v>0</v>
      </c>
      <c r="B2334" t="s">
        <v>544</v>
      </c>
      <c r="C2334" t="s">
        <v>5651</v>
      </c>
      <c r="D2334" t="s">
        <v>17434</v>
      </c>
      <c r="E2334" t="s">
        <v>19557</v>
      </c>
      <c r="F2334" t="s">
        <v>30052</v>
      </c>
      <c r="G2334" t="s">
        <v>30061</v>
      </c>
      <c r="H2334" t="s">
        <v>15498</v>
      </c>
      <c r="I2334" t="s">
        <v>4119</v>
      </c>
      <c r="J2334" t="s">
        <v>30514</v>
      </c>
      <c r="K2334" t="s">
        <v>39018</v>
      </c>
      <c r="M2334" t="s">
        <v>40257</v>
      </c>
      <c r="N2334" t="s">
        <v>43166</v>
      </c>
      <c r="O2334" t="s">
        <v>43167</v>
      </c>
      <c r="P2334">
        <v>0</v>
      </c>
      <c r="Q2334">
        <v>3</v>
      </c>
      <c r="R2334" t="s">
        <v>43170</v>
      </c>
      <c r="S2334" t="s">
        <v>43297</v>
      </c>
      <c r="T2334" t="s">
        <v>44735</v>
      </c>
      <c r="U2334" t="s">
        <v>47120</v>
      </c>
      <c r="W2334" t="s">
        <v>40257</v>
      </c>
      <c r="X2334" t="s">
        <v>43171</v>
      </c>
    </row>
    <row r="2335" spans="1:24">
      <c r="A2335">
        <f>HYPERLINK("https://www.philgeps.gov.ph/GEPSNONPILOT/Tender/SplashBidNoticeAbstractUI.aspx?menuIndex=3&amp;refID=7085964&amp;Result=3","7085964")</f>
        <v>0</v>
      </c>
      <c r="B2335" t="s">
        <v>945</v>
      </c>
      <c r="C2335" t="s">
        <v>5652</v>
      </c>
      <c r="D2335" t="s">
        <v>17443</v>
      </c>
      <c r="E2335" t="s">
        <v>19558</v>
      </c>
      <c r="F2335" t="s">
        <v>30052</v>
      </c>
      <c r="G2335" t="s">
        <v>30058</v>
      </c>
      <c r="H2335" t="s">
        <v>15498</v>
      </c>
      <c r="I2335" t="s">
        <v>7228</v>
      </c>
      <c r="J2335" t="s">
        <v>30338</v>
      </c>
      <c r="K2335" t="s">
        <v>39034</v>
      </c>
      <c r="M2335" t="s">
        <v>40269</v>
      </c>
      <c r="N2335" t="s">
        <v>43166</v>
      </c>
      <c r="O2335" t="s">
        <v>43167</v>
      </c>
      <c r="P2335">
        <v>0</v>
      </c>
      <c r="Q2335">
        <v>0</v>
      </c>
      <c r="R2335" t="s">
        <v>43170</v>
      </c>
      <c r="S2335" t="s">
        <v>43297</v>
      </c>
      <c r="T2335" t="s">
        <v>44733</v>
      </c>
      <c r="U2335" t="s">
        <v>47121</v>
      </c>
      <c r="V2335" t="s">
        <v>57101</v>
      </c>
      <c r="W2335" t="s">
        <v>40269</v>
      </c>
      <c r="X2335" t="s">
        <v>43171</v>
      </c>
    </row>
    <row r="2336" spans="1:24">
      <c r="A2336">
        <f>HYPERLINK("https://www.philgeps.gov.ph/GEPSNONPILOT/Tender/SplashBidNoticeAbstractUI.aspx?menuIndex=3&amp;refID=7085992&amp;Result=3","7085992")</f>
        <v>0</v>
      </c>
      <c r="B2336" t="s">
        <v>946</v>
      </c>
      <c r="C2336" t="s">
        <v>5653</v>
      </c>
      <c r="D2336" t="s">
        <v>17456</v>
      </c>
      <c r="E2336" t="s">
        <v>19559</v>
      </c>
      <c r="F2336" t="s">
        <v>30052</v>
      </c>
      <c r="G2336" t="s">
        <v>30059</v>
      </c>
      <c r="H2336" t="s">
        <v>15498</v>
      </c>
      <c r="I2336" t="s">
        <v>9238</v>
      </c>
      <c r="J2336" t="s">
        <v>31820</v>
      </c>
      <c r="K2336" t="s">
        <v>39017</v>
      </c>
      <c r="M2336" t="s">
        <v>40270</v>
      </c>
      <c r="N2336" t="s">
        <v>43166</v>
      </c>
      <c r="O2336" t="s">
        <v>43167</v>
      </c>
      <c r="P2336">
        <v>0</v>
      </c>
      <c r="Q2336">
        <v>1</v>
      </c>
      <c r="R2336" t="s">
        <v>43170</v>
      </c>
      <c r="S2336" t="s">
        <v>43297</v>
      </c>
      <c r="T2336" t="s">
        <v>44773</v>
      </c>
      <c r="U2336" t="s">
        <v>47122</v>
      </c>
      <c r="W2336" t="s">
        <v>40270</v>
      </c>
      <c r="X2336" t="s">
        <v>43171</v>
      </c>
    </row>
    <row r="2337" spans="1:24">
      <c r="A2337">
        <f>HYPERLINK("https://www.philgeps.gov.ph/GEPSNONPILOT/Tender/SplashBidNoticeAbstractUI.aspx?menuIndex=3&amp;refID=7085970&amp;Result=3","7085970")</f>
        <v>0</v>
      </c>
      <c r="B2337" t="s">
        <v>838</v>
      </c>
      <c r="C2337" t="s">
        <v>5654</v>
      </c>
      <c r="D2337" t="s">
        <v>17419</v>
      </c>
      <c r="E2337" t="s">
        <v>19560</v>
      </c>
      <c r="F2337" t="s">
        <v>30052</v>
      </c>
      <c r="G2337" t="s">
        <v>30061</v>
      </c>
      <c r="H2337" t="s">
        <v>15498</v>
      </c>
      <c r="I2337" t="s">
        <v>30098</v>
      </c>
      <c r="J2337" t="s">
        <v>30900</v>
      </c>
      <c r="K2337" t="s">
        <v>39029</v>
      </c>
      <c r="M2337" t="s">
        <v>40155</v>
      </c>
      <c r="N2337" t="s">
        <v>43166</v>
      </c>
      <c r="O2337" t="s">
        <v>43167</v>
      </c>
      <c r="P2337">
        <v>0</v>
      </c>
      <c r="Q2337">
        <v>3</v>
      </c>
      <c r="R2337" t="s">
        <v>43170</v>
      </c>
      <c r="S2337" t="s">
        <v>43297</v>
      </c>
      <c r="T2337" t="s">
        <v>44681</v>
      </c>
      <c r="U2337" t="s">
        <v>47123</v>
      </c>
      <c r="W2337" t="s">
        <v>40155</v>
      </c>
      <c r="X2337" t="s">
        <v>43171</v>
      </c>
    </row>
    <row r="2338" spans="1:24">
      <c r="A2338">
        <f>HYPERLINK("https://www.philgeps.gov.ph/GEPSNONPILOT/Tender/SplashBidNoticeAbstractUI.aspx?menuIndex=3&amp;refID=7086013&amp;Result=3","7086013")</f>
        <v>0</v>
      </c>
      <c r="B2338" t="s">
        <v>947</v>
      </c>
      <c r="C2338" t="s">
        <v>5655</v>
      </c>
      <c r="D2338" t="s">
        <v>17415</v>
      </c>
      <c r="E2338" t="s">
        <v>19561</v>
      </c>
      <c r="F2338" t="s">
        <v>30052</v>
      </c>
      <c r="G2338" t="s">
        <v>30059</v>
      </c>
      <c r="H2338" t="s">
        <v>15498</v>
      </c>
      <c r="I2338" t="s">
        <v>30100</v>
      </c>
      <c r="J2338" t="s">
        <v>31821</v>
      </c>
      <c r="K2338" t="s">
        <v>39025</v>
      </c>
      <c r="M2338" t="s">
        <v>40271</v>
      </c>
      <c r="N2338" t="s">
        <v>43166</v>
      </c>
      <c r="O2338" t="s">
        <v>43167</v>
      </c>
      <c r="P2338">
        <v>0</v>
      </c>
      <c r="Q2338">
        <v>1</v>
      </c>
      <c r="R2338" t="s">
        <v>43170</v>
      </c>
      <c r="S2338" t="s">
        <v>43297</v>
      </c>
      <c r="T2338" t="s">
        <v>44870</v>
      </c>
      <c r="U2338" t="s">
        <v>47124</v>
      </c>
      <c r="W2338" t="s">
        <v>40271</v>
      </c>
      <c r="X2338" t="s">
        <v>43171</v>
      </c>
    </row>
    <row r="2339" spans="1:24">
      <c r="A2339">
        <f>HYPERLINK("https://www.philgeps.gov.ph/GEPSNONPILOT/Tender/SplashBidNoticeAbstractUI.aspx?menuIndex=3&amp;refID=7085949&amp;Result=3","7085949")</f>
        <v>0</v>
      </c>
      <c r="B2339" t="s">
        <v>694</v>
      </c>
      <c r="C2339" t="s">
        <v>5656</v>
      </c>
      <c r="D2339" t="s">
        <v>17476</v>
      </c>
      <c r="E2339" t="s">
        <v>19562</v>
      </c>
      <c r="F2339" t="s">
        <v>30052</v>
      </c>
      <c r="G2339" t="s">
        <v>30059</v>
      </c>
      <c r="H2339" t="s">
        <v>15498</v>
      </c>
      <c r="I2339" t="s">
        <v>30074</v>
      </c>
      <c r="J2339" t="s">
        <v>30405</v>
      </c>
      <c r="K2339" t="s">
        <v>39064</v>
      </c>
      <c r="M2339" t="s">
        <v>40001</v>
      </c>
      <c r="N2339" t="s">
        <v>43166</v>
      </c>
      <c r="O2339" t="s">
        <v>43167</v>
      </c>
      <c r="P2339">
        <v>0</v>
      </c>
      <c r="Q2339">
        <v>2</v>
      </c>
      <c r="R2339" t="s">
        <v>43170</v>
      </c>
      <c r="S2339" t="s">
        <v>43297</v>
      </c>
      <c r="T2339" t="s">
        <v>44844</v>
      </c>
      <c r="U2339" t="s">
        <v>47125</v>
      </c>
      <c r="W2339" t="s">
        <v>40001</v>
      </c>
      <c r="X2339" t="s">
        <v>43171</v>
      </c>
    </row>
    <row r="2340" spans="1:24">
      <c r="A2340">
        <f>HYPERLINK("https://www.philgeps.gov.ph/GEPSNONPILOT/Tender/SplashBidNoticeAbstractUI.aspx?menuIndex=3&amp;refID=7086011&amp;Result=3","7086011")</f>
        <v>0</v>
      </c>
      <c r="B2340" t="s">
        <v>948</v>
      </c>
      <c r="C2340" t="s">
        <v>5657</v>
      </c>
      <c r="D2340" t="s">
        <v>17422</v>
      </c>
      <c r="E2340" t="s">
        <v>19563</v>
      </c>
      <c r="F2340" t="s">
        <v>30052</v>
      </c>
      <c r="G2340" t="s">
        <v>30059</v>
      </c>
      <c r="H2340" t="s">
        <v>15498</v>
      </c>
      <c r="I2340" t="s">
        <v>30165</v>
      </c>
      <c r="J2340" t="s">
        <v>31397</v>
      </c>
      <c r="K2340" t="s">
        <v>39029</v>
      </c>
      <c r="M2340" t="s">
        <v>40272</v>
      </c>
      <c r="N2340" t="s">
        <v>43166</v>
      </c>
      <c r="O2340" t="s">
        <v>43167</v>
      </c>
      <c r="P2340">
        <v>0</v>
      </c>
      <c r="Q2340">
        <v>1</v>
      </c>
      <c r="R2340" t="s">
        <v>43170</v>
      </c>
      <c r="S2340" t="s">
        <v>43297</v>
      </c>
      <c r="T2340" t="s">
        <v>44735</v>
      </c>
      <c r="U2340" t="s">
        <v>47126</v>
      </c>
      <c r="W2340" t="s">
        <v>40272</v>
      </c>
      <c r="X2340" t="s">
        <v>43171</v>
      </c>
    </row>
    <row r="2341" spans="1:24">
      <c r="A2341">
        <f>HYPERLINK("https://www.philgeps.gov.ph/GEPSNONPILOT/Tender/SplashBidNoticeAbstractUI.aspx?menuIndex=3&amp;refID=7086010&amp;Result=3","7086010")</f>
        <v>0</v>
      </c>
      <c r="B2341" t="s">
        <v>949</v>
      </c>
      <c r="C2341" t="s">
        <v>5658</v>
      </c>
      <c r="D2341" t="s">
        <v>17458</v>
      </c>
      <c r="E2341" t="s">
        <v>19564</v>
      </c>
      <c r="F2341" t="s">
        <v>30052</v>
      </c>
      <c r="G2341" t="s">
        <v>30059</v>
      </c>
      <c r="H2341" t="s">
        <v>15498</v>
      </c>
      <c r="I2341" t="s">
        <v>30070</v>
      </c>
      <c r="J2341" t="s">
        <v>31822</v>
      </c>
      <c r="K2341" t="s">
        <v>39036</v>
      </c>
      <c r="M2341" t="s">
        <v>40273</v>
      </c>
      <c r="N2341" t="s">
        <v>43166</v>
      </c>
      <c r="O2341" t="s">
        <v>43167</v>
      </c>
      <c r="P2341">
        <v>0</v>
      </c>
      <c r="Q2341">
        <v>1</v>
      </c>
      <c r="R2341" t="s">
        <v>43170</v>
      </c>
      <c r="S2341" t="s">
        <v>43297</v>
      </c>
      <c r="T2341" t="s">
        <v>44910</v>
      </c>
      <c r="U2341" t="s">
        <v>47127</v>
      </c>
      <c r="W2341" t="s">
        <v>40273</v>
      </c>
      <c r="X2341" t="s">
        <v>43171</v>
      </c>
    </row>
    <row r="2342" spans="1:24">
      <c r="A2342">
        <f>HYPERLINK("https://www.philgeps.gov.ph/GEPSNONPILOT/Tender/SplashBidNoticeAbstractUI.aspx?menuIndex=3&amp;refID=7086008&amp;Result=3","7086008")</f>
        <v>0</v>
      </c>
      <c r="B2342" t="s">
        <v>936</v>
      </c>
      <c r="C2342" t="s">
        <v>5659</v>
      </c>
      <c r="D2342" t="s">
        <v>17424</v>
      </c>
      <c r="E2342" t="s">
        <v>19565</v>
      </c>
      <c r="F2342" t="s">
        <v>30052</v>
      </c>
      <c r="G2342" t="s">
        <v>30058</v>
      </c>
      <c r="H2342" t="s">
        <v>15498</v>
      </c>
      <c r="I2342" t="s">
        <v>3736</v>
      </c>
      <c r="J2342" t="s">
        <v>31823</v>
      </c>
      <c r="K2342" t="s">
        <v>39019</v>
      </c>
      <c r="M2342" t="s">
        <v>40260</v>
      </c>
      <c r="N2342" t="s">
        <v>43166</v>
      </c>
      <c r="O2342" t="s">
        <v>43167</v>
      </c>
      <c r="P2342">
        <v>0</v>
      </c>
      <c r="Q2342">
        <v>1</v>
      </c>
      <c r="R2342" t="s">
        <v>43170</v>
      </c>
      <c r="S2342" t="s">
        <v>43297</v>
      </c>
      <c r="T2342" t="s">
        <v>44724</v>
      </c>
      <c r="U2342" t="s">
        <v>47128</v>
      </c>
      <c r="V2342" t="s">
        <v>57102</v>
      </c>
      <c r="W2342" t="s">
        <v>40260</v>
      </c>
      <c r="X2342" t="s">
        <v>43171</v>
      </c>
    </row>
    <row r="2343" spans="1:24">
      <c r="A2343">
        <f>HYPERLINK("https://www.philgeps.gov.ph/GEPSNONPILOT/Tender/SplashBidNoticeAbstractUI.aspx?menuIndex=3&amp;refID=7086007&amp;Result=3","7086007")</f>
        <v>0</v>
      </c>
      <c r="B2343" t="s">
        <v>915</v>
      </c>
      <c r="C2343" t="s">
        <v>5660</v>
      </c>
      <c r="D2343" t="s">
        <v>17457</v>
      </c>
      <c r="E2343" t="s">
        <v>19566</v>
      </c>
      <c r="F2343" t="s">
        <v>30052</v>
      </c>
      <c r="G2343" t="s">
        <v>30059</v>
      </c>
      <c r="H2343" t="s">
        <v>15498</v>
      </c>
      <c r="I2343" t="s">
        <v>30081</v>
      </c>
      <c r="J2343" t="s">
        <v>31189</v>
      </c>
      <c r="K2343" t="s">
        <v>39019</v>
      </c>
      <c r="M2343" t="s">
        <v>40238</v>
      </c>
      <c r="N2343" t="s">
        <v>43166</v>
      </c>
      <c r="O2343" t="s">
        <v>43167</v>
      </c>
      <c r="P2343">
        <v>0</v>
      </c>
      <c r="Q2343">
        <v>0</v>
      </c>
      <c r="R2343" t="s">
        <v>43170</v>
      </c>
      <c r="S2343" t="s">
        <v>43297</v>
      </c>
      <c r="T2343" t="s">
        <v>44844</v>
      </c>
      <c r="U2343" t="s">
        <v>47129</v>
      </c>
      <c r="W2343" t="s">
        <v>40238</v>
      </c>
      <c r="X2343" t="s">
        <v>43171</v>
      </c>
    </row>
    <row r="2344" spans="1:24">
      <c r="A2344">
        <f>HYPERLINK("https://www.philgeps.gov.ph/GEPSNONPILOT/Tender/SplashBidNoticeAbstractUI.aspx?menuIndex=3&amp;refID=7086006&amp;Result=3","7086006")</f>
        <v>0</v>
      </c>
      <c r="B2344" t="s">
        <v>942</v>
      </c>
      <c r="C2344" t="s">
        <v>5661</v>
      </c>
      <c r="D2344" t="s">
        <v>17414</v>
      </c>
      <c r="E2344" t="s">
        <v>19567</v>
      </c>
      <c r="F2344" t="s">
        <v>30052</v>
      </c>
      <c r="G2344" t="s">
        <v>30059</v>
      </c>
      <c r="H2344" t="s">
        <v>15498</v>
      </c>
      <c r="I2344" t="s">
        <v>6304</v>
      </c>
      <c r="J2344" t="s">
        <v>30358</v>
      </c>
      <c r="K2344" t="s">
        <v>39037</v>
      </c>
      <c r="M2344" t="s">
        <v>40266</v>
      </c>
      <c r="N2344" t="s">
        <v>43166</v>
      </c>
      <c r="O2344" t="s">
        <v>43167</v>
      </c>
      <c r="P2344">
        <v>0</v>
      </c>
      <c r="Q2344">
        <v>0</v>
      </c>
      <c r="R2344" t="s">
        <v>43170</v>
      </c>
      <c r="S2344" t="s">
        <v>43297</v>
      </c>
      <c r="T2344" t="s">
        <v>44832</v>
      </c>
      <c r="U2344" t="s">
        <v>47130</v>
      </c>
      <c r="V2344" t="s">
        <v>57097</v>
      </c>
      <c r="W2344" t="s">
        <v>58618</v>
      </c>
      <c r="X2344" t="s">
        <v>43171</v>
      </c>
    </row>
    <row r="2345" spans="1:24">
      <c r="A2345">
        <f>HYPERLINK("https://www.philgeps.gov.ph/GEPSNONPILOT/Tender/SplashBidNoticeAbstractUI.aspx?menuIndex=3&amp;refID=7086004&amp;Result=3","7086004")</f>
        <v>0</v>
      </c>
      <c r="B2345" t="s">
        <v>937</v>
      </c>
      <c r="C2345" t="s">
        <v>5662</v>
      </c>
      <c r="D2345" t="s">
        <v>17428</v>
      </c>
      <c r="E2345" t="s">
        <v>19568</v>
      </c>
      <c r="F2345" t="s">
        <v>30052</v>
      </c>
      <c r="G2345" t="s">
        <v>30062</v>
      </c>
      <c r="H2345" t="s">
        <v>15498</v>
      </c>
      <c r="I2345" t="s">
        <v>4650</v>
      </c>
      <c r="J2345" t="s">
        <v>30248</v>
      </c>
      <c r="K2345" t="s">
        <v>39019</v>
      </c>
      <c r="M2345" t="s">
        <v>40261</v>
      </c>
      <c r="N2345" t="s">
        <v>43166</v>
      </c>
      <c r="O2345" t="s">
        <v>43167</v>
      </c>
      <c r="Q2345">
        <v>0</v>
      </c>
      <c r="R2345" t="s">
        <v>43170</v>
      </c>
      <c r="S2345" t="s">
        <v>43305</v>
      </c>
      <c r="T2345" t="s">
        <v>44888</v>
      </c>
      <c r="U2345" t="s">
        <v>47131</v>
      </c>
      <c r="W2345" t="s">
        <v>40261</v>
      </c>
      <c r="X2345" t="s">
        <v>43171</v>
      </c>
    </row>
    <row r="2346" spans="1:24">
      <c r="A2346">
        <f>HYPERLINK("https://www.philgeps.gov.ph/GEPSNONPILOT/Tender/SplashBidNoticeAbstractUI.aspx?menuIndex=3&amp;refID=7086003&amp;Result=3","7086003")</f>
        <v>0</v>
      </c>
      <c r="B2346" t="s">
        <v>950</v>
      </c>
      <c r="C2346" t="s">
        <v>5663</v>
      </c>
      <c r="D2346" t="s">
        <v>17415</v>
      </c>
      <c r="E2346" t="s">
        <v>19569</v>
      </c>
      <c r="F2346" t="s">
        <v>30052</v>
      </c>
      <c r="G2346" t="s">
        <v>30058</v>
      </c>
      <c r="H2346" t="s">
        <v>15498</v>
      </c>
      <c r="I2346" t="s">
        <v>30098</v>
      </c>
      <c r="J2346" t="s">
        <v>30633</v>
      </c>
      <c r="K2346" t="s">
        <v>39029</v>
      </c>
      <c r="M2346" t="s">
        <v>40274</v>
      </c>
      <c r="N2346" t="s">
        <v>43166</v>
      </c>
      <c r="O2346" t="s">
        <v>43167</v>
      </c>
      <c r="P2346">
        <v>0</v>
      </c>
      <c r="Q2346">
        <v>3</v>
      </c>
      <c r="R2346" t="s">
        <v>43170</v>
      </c>
      <c r="S2346" t="s">
        <v>43297</v>
      </c>
      <c r="T2346" t="s">
        <v>44681</v>
      </c>
      <c r="U2346" t="s">
        <v>47132</v>
      </c>
      <c r="V2346" t="s">
        <v>57103</v>
      </c>
      <c r="W2346" t="s">
        <v>40274</v>
      </c>
      <c r="X2346" t="s">
        <v>43171</v>
      </c>
    </row>
    <row r="2347" spans="1:24">
      <c r="A2347">
        <f>HYPERLINK("https://www.philgeps.gov.ph/GEPSNONPILOT/Tender/SplashBidNoticeAbstractUI.aspx?menuIndex=3&amp;refID=7085952&amp;Result=3","7085952")</f>
        <v>0</v>
      </c>
      <c r="B2347" t="s">
        <v>607</v>
      </c>
      <c r="C2347" t="s">
        <v>5664</v>
      </c>
      <c r="D2347" t="s">
        <v>17459</v>
      </c>
      <c r="E2347" t="s">
        <v>19570</v>
      </c>
      <c r="F2347" t="s">
        <v>30052</v>
      </c>
      <c r="G2347" t="s">
        <v>30059</v>
      </c>
      <c r="H2347" t="s">
        <v>15498</v>
      </c>
      <c r="I2347" t="s">
        <v>30109</v>
      </c>
      <c r="J2347" t="s">
        <v>31824</v>
      </c>
      <c r="K2347" t="s">
        <v>39037</v>
      </c>
      <c r="M2347" t="s">
        <v>39909</v>
      </c>
      <c r="N2347" t="s">
        <v>43166</v>
      </c>
      <c r="O2347" t="s">
        <v>43167</v>
      </c>
      <c r="P2347">
        <v>0</v>
      </c>
      <c r="Q2347">
        <v>0</v>
      </c>
      <c r="R2347" t="s">
        <v>43170</v>
      </c>
      <c r="S2347" t="s">
        <v>43297</v>
      </c>
      <c r="T2347" t="s">
        <v>44714</v>
      </c>
      <c r="U2347" t="s">
        <v>47133</v>
      </c>
      <c r="W2347" t="s">
        <v>39909</v>
      </c>
      <c r="X2347" t="s">
        <v>43171</v>
      </c>
    </row>
    <row r="2348" spans="1:24">
      <c r="A2348">
        <f>HYPERLINK("https://www.philgeps.gov.ph/GEPSNONPILOT/Tender/SplashBidNoticeAbstractUI.aspx?menuIndex=3&amp;refID=7086001&amp;Result=3","7086001")</f>
        <v>0</v>
      </c>
      <c r="B2348" t="s">
        <v>415</v>
      </c>
      <c r="C2348" t="s">
        <v>5665</v>
      </c>
      <c r="D2348" t="s">
        <v>17472</v>
      </c>
      <c r="E2348" t="s">
        <v>18363</v>
      </c>
      <c r="F2348" t="s">
        <v>30052</v>
      </c>
      <c r="G2348" t="s">
        <v>30061</v>
      </c>
      <c r="H2348" t="s">
        <v>15498</v>
      </c>
      <c r="I2348" t="s">
        <v>30084</v>
      </c>
      <c r="J2348" t="s">
        <v>30545</v>
      </c>
      <c r="K2348" t="s">
        <v>39034</v>
      </c>
      <c r="M2348" t="s">
        <v>39714</v>
      </c>
      <c r="N2348" t="s">
        <v>43166</v>
      </c>
      <c r="O2348" t="s">
        <v>43167</v>
      </c>
      <c r="P2348">
        <v>0</v>
      </c>
      <c r="Q2348">
        <v>1</v>
      </c>
      <c r="R2348" t="s">
        <v>43170</v>
      </c>
      <c r="S2348" t="s">
        <v>43297</v>
      </c>
      <c r="T2348" t="s">
        <v>44685</v>
      </c>
      <c r="U2348" t="s">
        <v>47134</v>
      </c>
      <c r="W2348" t="s">
        <v>39714</v>
      </c>
      <c r="X2348" t="s">
        <v>43171</v>
      </c>
    </row>
    <row r="2349" spans="1:24">
      <c r="A2349">
        <f>HYPERLINK("https://www.philgeps.gov.ph/GEPSNONPILOT/Tender/SplashBidNoticeAbstractUI.aspx?menuIndex=3&amp;refID=7086000&amp;Result=3","7086000")</f>
        <v>0</v>
      </c>
      <c r="B2349" t="s">
        <v>838</v>
      </c>
      <c r="C2349" t="s">
        <v>5666</v>
      </c>
      <c r="D2349" t="s">
        <v>17419</v>
      </c>
      <c r="E2349" t="s">
        <v>19571</v>
      </c>
      <c r="F2349" t="s">
        <v>30052</v>
      </c>
      <c r="G2349" t="s">
        <v>30061</v>
      </c>
      <c r="H2349" t="s">
        <v>15498</v>
      </c>
      <c r="I2349" t="s">
        <v>4650</v>
      </c>
      <c r="J2349" t="s">
        <v>31236</v>
      </c>
      <c r="K2349" t="s">
        <v>39029</v>
      </c>
      <c r="M2349" t="s">
        <v>40155</v>
      </c>
      <c r="N2349" t="s">
        <v>43166</v>
      </c>
      <c r="O2349" t="s">
        <v>43167</v>
      </c>
      <c r="P2349">
        <v>0</v>
      </c>
      <c r="Q2349">
        <v>2</v>
      </c>
      <c r="R2349" t="s">
        <v>43170</v>
      </c>
      <c r="S2349" t="s">
        <v>43297</v>
      </c>
      <c r="T2349" t="s">
        <v>44681</v>
      </c>
      <c r="U2349" t="s">
        <v>47135</v>
      </c>
      <c r="W2349" t="s">
        <v>40155</v>
      </c>
      <c r="X2349" t="s">
        <v>43171</v>
      </c>
    </row>
    <row r="2350" spans="1:24">
      <c r="A2350">
        <f>HYPERLINK("https://www.philgeps.gov.ph/GEPSNONPILOT/Tender/SplashBidNoticeAbstractUI.aspx?menuIndex=3&amp;refID=7085996&amp;Result=3","7085996")</f>
        <v>0</v>
      </c>
      <c r="B2350" t="s">
        <v>607</v>
      </c>
      <c r="C2350" t="s">
        <v>5667</v>
      </c>
      <c r="D2350" t="s">
        <v>17459</v>
      </c>
      <c r="E2350" t="s">
        <v>19572</v>
      </c>
      <c r="F2350" t="s">
        <v>30052</v>
      </c>
      <c r="G2350" t="s">
        <v>30059</v>
      </c>
      <c r="H2350" t="s">
        <v>15498</v>
      </c>
      <c r="I2350" t="s">
        <v>30091</v>
      </c>
      <c r="J2350" t="s">
        <v>31825</v>
      </c>
      <c r="K2350" t="s">
        <v>39046</v>
      </c>
      <c r="M2350" t="s">
        <v>39909</v>
      </c>
      <c r="N2350" t="s">
        <v>43166</v>
      </c>
      <c r="O2350" t="s">
        <v>43167</v>
      </c>
      <c r="P2350">
        <v>0</v>
      </c>
      <c r="Q2350">
        <v>3</v>
      </c>
      <c r="R2350" t="s">
        <v>43170</v>
      </c>
      <c r="S2350" t="s">
        <v>43297</v>
      </c>
      <c r="T2350" t="s">
        <v>44714</v>
      </c>
      <c r="U2350" t="s">
        <v>47136</v>
      </c>
      <c r="W2350" t="s">
        <v>39909</v>
      </c>
      <c r="X2350" t="s">
        <v>43171</v>
      </c>
    </row>
    <row r="2351" spans="1:24">
      <c r="A2351">
        <f>HYPERLINK("https://www.philgeps.gov.ph/GEPSNONPILOT/Tender/SplashBidNoticeAbstractUI.aspx?menuIndex=3&amp;refID=7086009&amp;Result=3","7086009")</f>
        <v>0</v>
      </c>
      <c r="B2351" t="s">
        <v>901</v>
      </c>
      <c r="C2351" t="s">
        <v>5668</v>
      </c>
      <c r="D2351" t="s">
        <v>17414</v>
      </c>
      <c r="E2351" t="s">
        <v>19573</v>
      </c>
      <c r="F2351" t="s">
        <v>30052</v>
      </c>
      <c r="G2351" t="s">
        <v>30061</v>
      </c>
      <c r="H2351" t="s">
        <v>15498</v>
      </c>
      <c r="I2351" t="s">
        <v>30073</v>
      </c>
      <c r="J2351" t="s">
        <v>31826</v>
      </c>
      <c r="K2351" t="s">
        <v>39019</v>
      </c>
      <c r="M2351" t="s">
        <v>40220</v>
      </c>
      <c r="N2351" t="s">
        <v>43166</v>
      </c>
      <c r="O2351" t="s">
        <v>43167</v>
      </c>
      <c r="P2351">
        <v>0</v>
      </c>
      <c r="Q2351">
        <v>0</v>
      </c>
      <c r="R2351" t="s">
        <v>43170</v>
      </c>
      <c r="S2351" t="s">
        <v>43297</v>
      </c>
      <c r="T2351" t="s">
        <v>44859</v>
      </c>
      <c r="U2351" t="s">
        <v>47137</v>
      </c>
      <c r="W2351" t="s">
        <v>40220</v>
      </c>
      <c r="X2351" t="s">
        <v>43171</v>
      </c>
    </row>
    <row r="2352" spans="1:24">
      <c r="A2352">
        <f>HYPERLINK("https://www.philgeps.gov.ph/GEPSNONPILOT/Tender/SplashBidNoticeAbstractUI.aspx?menuIndex=3&amp;refID=7085995&amp;Result=3","7085995")</f>
        <v>0</v>
      </c>
      <c r="B2352" t="s">
        <v>188</v>
      </c>
      <c r="C2352" t="s">
        <v>5669</v>
      </c>
      <c r="D2352" t="s">
        <v>17481</v>
      </c>
      <c r="E2352" t="s">
        <v>19574</v>
      </c>
      <c r="F2352" t="s">
        <v>30052</v>
      </c>
      <c r="G2352" t="s">
        <v>30059</v>
      </c>
      <c r="H2352" t="s">
        <v>15498</v>
      </c>
      <c r="I2352" t="s">
        <v>3736</v>
      </c>
      <c r="J2352" t="s">
        <v>31827</v>
      </c>
      <c r="K2352" t="s">
        <v>39019</v>
      </c>
      <c r="M2352" t="s">
        <v>39477</v>
      </c>
      <c r="N2352" t="s">
        <v>43166</v>
      </c>
      <c r="O2352" t="s">
        <v>43167</v>
      </c>
      <c r="P2352">
        <v>0</v>
      </c>
      <c r="Q2352">
        <v>1</v>
      </c>
      <c r="R2352" t="s">
        <v>43170</v>
      </c>
      <c r="S2352" t="s">
        <v>43297</v>
      </c>
      <c r="T2352" t="s">
        <v>44717</v>
      </c>
      <c r="U2352" t="s">
        <v>45497</v>
      </c>
      <c r="V2352" t="s">
        <v>57104</v>
      </c>
      <c r="W2352" t="s">
        <v>39477</v>
      </c>
      <c r="X2352" t="s">
        <v>43171</v>
      </c>
    </row>
    <row r="2353" spans="1:24">
      <c r="A2353">
        <f>HYPERLINK("https://www.philgeps.gov.ph/GEPSNONPILOT/Tender/SplashBidNoticeAbstractUI.aspx?menuIndex=3&amp;refID=7085994&amp;Result=3","7085994")</f>
        <v>0</v>
      </c>
      <c r="B2353" t="s">
        <v>697</v>
      </c>
      <c r="C2353" t="s">
        <v>5670</v>
      </c>
      <c r="D2353" t="s">
        <v>17456</v>
      </c>
      <c r="E2353" t="s">
        <v>19575</v>
      </c>
      <c r="F2353" t="s">
        <v>30052</v>
      </c>
      <c r="G2353" t="s">
        <v>30059</v>
      </c>
      <c r="H2353" t="s">
        <v>15498</v>
      </c>
      <c r="I2353" t="s">
        <v>30092</v>
      </c>
      <c r="J2353" t="s">
        <v>31828</v>
      </c>
      <c r="K2353" t="s">
        <v>39019</v>
      </c>
      <c r="M2353" t="s">
        <v>40005</v>
      </c>
      <c r="N2353" t="s">
        <v>43166</v>
      </c>
      <c r="O2353" t="s">
        <v>43167</v>
      </c>
      <c r="P2353">
        <v>0</v>
      </c>
      <c r="Q2353">
        <v>1</v>
      </c>
      <c r="R2353" t="s">
        <v>43170</v>
      </c>
      <c r="S2353" t="s">
        <v>43297</v>
      </c>
      <c r="T2353" t="s">
        <v>44717</v>
      </c>
      <c r="U2353" t="s">
        <v>47138</v>
      </c>
      <c r="W2353" t="s">
        <v>40005</v>
      </c>
      <c r="X2353" t="s">
        <v>43171</v>
      </c>
    </row>
    <row r="2354" spans="1:24">
      <c r="A2354">
        <f>HYPERLINK("https://www.philgeps.gov.ph/GEPSNONPILOT/Tender/SplashBidNoticeAbstractUI.aspx?menuIndex=3&amp;refID=7085991&amp;Result=3","7085991")</f>
        <v>0</v>
      </c>
      <c r="B2354" t="s">
        <v>694</v>
      </c>
      <c r="C2354" t="s">
        <v>5671</v>
      </c>
      <c r="D2354" t="s">
        <v>17476</v>
      </c>
      <c r="E2354" t="s">
        <v>19576</v>
      </c>
      <c r="F2354" t="s">
        <v>30052</v>
      </c>
      <c r="G2354" t="s">
        <v>30059</v>
      </c>
      <c r="H2354" t="s">
        <v>15498</v>
      </c>
      <c r="I2354" t="s">
        <v>30070</v>
      </c>
      <c r="J2354" t="s">
        <v>31829</v>
      </c>
      <c r="K2354" t="s">
        <v>39064</v>
      </c>
      <c r="M2354" t="s">
        <v>40001</v>
      </c>
      <c r="N2354" t="s">
        <v>43166</v>
      </c>
      <c r="O2354" t="s">
        <v>43167</v>
      </c>
      <c r="P2354">
        <v>0</v>
      </c>
      <c r="Q2354">
        <v>1</v>
      </c>
      <c r="R2354" t="s">
        <v>43170</v>
      </c>
      <c r="S2354" t="s">
        <v>43297</v>
      </c>
      <c r="T2354" t="s">
        <v>44844</v>
      </c>
      <c r="U2354" t="s">
        <v>47139</v>
      </c>
      <c r="W2354" t="s">
        <v>40001</v>
      </c>
      <c r="X2354" t="s">
        <v>43171</v>
      </c>
    </row>
    <row r="2355" spans="1:24">
      <c r="A2355">
        <f>HYPERLINK("https://www.philgeps.gov.ph/GEPSNONPILOT/Tender/SplashBidNoticeAbstractUI.aspx?menuIndex=3&amp;refID=7085946&amp;Result=3","7085946")</f>
        <v>0</v>
      </c>
      <c r="B2355" t="s">
        <v>415</v>
      </c>
      <c r="C2355" t="s">
        <v>5672</v>
      </c>
      <c r="D2355" t="s">
        <v>17472</v>
      </c>
      <c r="E2355" t="s">
        <v>18363</v>
      </c>
      <c r="F2355" t="s">
        <v>30052</v>
      </c>
      <c r="G2355" t="s">
        <v>30061</v>
      </c>
      <c r="H2355" t="s">
        <v>15498</v>
      </c>
      <c r="I2355" t="s">
        <v>30128</v>
      </c>
      <c r="J2355" t="s">
        <v>30248</v>
      </c>
      <c r="K2355" t="s">
        <v>39034</v>
      </c>
      <c r="M2355" t="s">
        <v>39714</v>
      </c>
      <c r="N2355" t="s">
        <v>43166</v>
      </c>
      <c r="O2355" t="s">
        <v>43167</v>
      </c>
      <c r="P2355">
        <v>0</v>
      </c>
      <c r="Q2355">
        <v>2</v>
      </c>
      <c r="R2355" t="s">
        <v>43170</v>
      </c>
      <c r="S2355" t="s">
        <v>43297</v>
      </c>
      <c r="T2355" t="s">
        <v>44685</v>
      </c>
      <c r="U2355" t="s">
        <v>47140</v>
      </c>
      <c r="W2355" t="s">
        <v>39714</v>
      </c>
      <c r="X2355" t="s">
        <v>43171</v>
      </c>
    </row>
    <row r="2356" spans="1:24">
      <c r="A2356">
        <f>HYPERLINK("https://www.philgeps.gov.ph/GEPSNONPILOT/Tender/SplashBidNoticeAbstractUI.aspx?menuIndex=3&amp;refID=7086002&amp;Result=3","7086002")</f>
        <v>0</v>
      </c>
      <c r="B2356" t="s">
        <v>825</v>
      </c>
      <c r="C2356" t="s">
        <v>5673</v>
      </c>
      <c r="D2356" t="s">
        <v>17445</v>
      </c>
      <c r="E2356" t="s">
        <v>19577</v>
      </c>
      <c r="F2356" t="s">
        <v>30052</v>
      </c>
      <c r="G2356" t="s">
        <v>30059</v>
      </c>
      <c r="H2356" t="s">
        <v>15498</v>
      </c>
      <c r="I2356" t="s">
        <v>30159</v>
      </c>
      <c r="J2356" t="s">
        <v>31830</v>
      </c>
      <c r="K2356" t="s">
        <v>39029</v>
      </c>
      <c r="M2356" t="s">
        <v>40142</v>
      </c>
      <c r="N2356" t="s">
        <v>43166</v>
      </c>
      <c r="O2356" t="s">
        <v>43167</v>
      </c>
      <c r="P2356">
        <v>0</v>
      </c>
      <c r="Q2356">
        <v>0</v>
      </c>
      <c r="R2356" t="s">
        <v>43170</v>
      </c>
      <c r="S2356" t="s">
        <v>43297</v>
      </c>
      <c r="T2356" t="s">
        <v>44844</v>
      </c>
      <c r="U2356" t="s">
        <v>47141</v>
      </c>
      <c r="W2356" t="s">
        <v>40142</v>
      </c>
      <c r="X2356" t="s">
        <v>43171</v>
      </c>
    </row>
    <row r="2357" spans="1:24">
      <c r="A2357">
        <f>HYPERLINK("https://www.philgeps.gov.ph/GEPSNONPILOT/Tender/SplashBidNoticeAbstractUI.aspx?menuIndex=3&amp;refID=7086018&amp;Result=3","7086018")</f>
        <v>0</v>
      </c>
      <c r="B2357" t="s">
        <v>951</v>
      </c>
      <c r="C2357" t="s">
        <v>5674</v>
      </c>
      <c r="D2357" t="s">
        <v>17422</v>
      </c>
      <c r="E2357" t="s">
        <v>19578</v>
      </c>
      <c r="F2357" t="s">
        <v>30052</v>
      </c>
      <c r="G2357" t="s">
        <v>30059</v>
      </c>
      <c r="H2357" t="s">
        <v>15498</v>
      </c>
      <c r="I2357" t="s">
        <v>9238</v>
      </c>
      <c r="J2357" t="s">
        <v>30358</v>
      </c>
      <c r="K2357" t="s">
        <v>39036</v>
      </c>
      <c r="M2357" t="s">
        <v>40275</v>
      </c>
      <c r="N2357" t="s">
        <v>43166</v>
      </c>
      <c r="O2357" t="s">
        <v>43167</v>
      </c>
      <c r="P2357">
        <v>0</v>
      </c>
      <c r="Q2357">
        <v>6</v>
      </c>
      <c r="R2357" t="s">
        <v>43170</v>
      </c>
      <c r="S2357" t="s">
        <v>43297</v>
      </c>
      <c r="T2357" t="s">
        <v>44714</v>
      </c>
      <c r="U2357" t="s">
        <v>47142</v>
      </c>
      <c r="W2357" t="s">
        <v>40275</v>
      </c>
      <c r="X2357" t="s">
        <v>43171</v>
      </c>
    </row>
    <row r="2358" spans="1:24">
      <c r="A2358">
        <f>HYPERLINK("https://www.philgeps.gov.ph/GEPSNONPILOT/Tender/SplashBidNoticeAbstractUI.aspx?menuIndex=3&amp;refID=7086017&amp;Result=3","7086017")</f>
        <v>0</v>
      </c>
      <c r="B2358" t="s">
        <v>260</v>
      </c>
      <c r="C2358" t="s">
        <v>5675</v>
      </c>
      <c r="D2358" t="s">
        <v>17452</v>
      </c>
      <c r="E2358" t="s">
        <v>19579</v>
      </c>
      <c r="F2358" t="s">
        <v>30052</v>
      </c>
      <c r="G2358" t="s">
        <v>30059</v>
      </c>
      <c r="H2358" t="s">
        <v>15498</v>
      </c>
      <c r="I2358" t="s">
        <v>3736</v>
      </c>
      <c r="J2358" t="s">
        <v>31831</v>
      </c>
      <c r="K2358" t="s">
        <v>39023</v>
      </c>
      <c r="M2358" t="s">
        <v>40228</v>
      </c>
      <c r="N2358" t="s">
        <v>43166</v>
      </c>
      <c r="O2358" t="s">
        <v>43167</v>
      </c>
      <c r="P2358">
        <v>0</v>
      </c>
      <c r="Q2358">
        <v>0</v>
      </c>
      <c r="R2358" t="s">
        <v>43170</v>
      </c>
      <c r="S2358" t="s">
        <v>43297</v>
      </c>
      <c r="T2358" t="s">
        <v>44856</v>
      </c>
      <c r="U2358" t="s">
        <v>47002</v>
      </c>
      <c r="W2358" t="s">
        <v>40228</v>
      </c>
      <c r="X2358" t="s">
        <v>43171</v>
      </c>
    </row>
    <row r="2359" spans="1:24">
      <c r="A2359">
        <f>HYPERLINK("https://www.philgeps.gov.ph/GEPSNONPILOT/Tender/SplashBidNoticeAbstractUI.aspx?menuIndex=3&amp;refID=7086014&amp;Result=3","7086014")</f>
        <v>0</v>
      </c>
      <c r="B2359" t="s">
        <v>952</v>
      </c>
      <c r="C2359" t="s">
        <v>5676</v>
      </c>
      <c r="D2359" t="s">
        <v>17476</v>
      </c>
      <c r="E2359" t="s">
        <v>18458</v>
      </c>
      <c r="F2359" t="s">
        <v>30052</v>
      </c>
      <c r="G2359" t="s">
        <v>30059</v>
      </c>
      <c r="H2359" t="s">
        <v>30067</v>
      </c>
      <c r="I2359" t="s">
        <v>3693</v>
      </c>
      <c r="J2359" t="s">
        <v>31832</v>
      </c>
      <c r="K2359" t="s">
        <v>39029</v>
      </c>
      <c r="M2359" t="s">
        <v>40276</v>
      </c>
      <c r="N2359" t="s">
        <v>43166</v>
      </c>
      <c r="O2359" t="s">
        <v>43167</v>
      </c>
      <c r="P2359">
        <v>0</v>
      </c>
      <c r="Q2359">
        <v>0</v>
      </c>
      <c r="R2359" t="s">
        <v>43170</v>
      </c>
      <c r="S2359" t="s">
        <v>43297</v>
      </c>
      <c r="T2359" t="s">
        <v>44844</v>
      </c>
      <c r="U2359" t="s">
        <v>47143</v>
      </c>
      <c r="W2359" t="s">
        <v>40276</v>
      </c>
      <c r="X2359" t="s">
        <v>43171</v>
      </c>
    </row>
    <row r="2360" spans="1:24">
      <c r="A2360">
        <f>HYPERLINK("https://www.philgeps.gov.ph/GEPSNONPILOT/Tender/SplashBidNoticeAbstractUI.aspx?menuIndex=3&amp;refID=7085998&amp;Result=3","7085998")</f>
        <v>0</v>
      </c>
      <c r="B2360" t="s">
        <v>822</v>
      </c>
      <c r="C2360" t="s">
        <v>5677</v>
      </c>
      <c r="D2360" t="s">
        <v>17415</v>
      </c>
      <c r="E2360" t="s">
        <v>19580</v>
      </c>
      <c r="F2360" t="s">
        <v>30052</v>
      </c>
      <c r="G2360" t="s">
        <v>30059</v>
      </c>
      <c r="H2360" t="s">
        <v>15498</v>
      </c>
      <c r="I2360" t="s">
        <v>30076</v>
      </c>
      <c r="J2360" t="s">
        <v>31833</v>
      </c>
      <c r="K2360" t="s">
        <v>39034</v>
      </c>
      <c r="M2360" t="s">
        <v>40277</v>
      </c>
      <c r="N2360" t="s">
        <v>43166</v>
      </c>
      <c r="O2360" t="s">
        <v>43167</v>
      </c>
      <c r="P2360">
        <v>0</v>
      </c>
      <c r="Q2360">
        <v>3</v>
      </c>
      <c r="R2360" t="s">
        <v>43170</v>
      </c>
      <c r="S2360" t="s">
        <v>43297</v>
      </c>
      <c r="T2360" t="s">
        <v>44710</v>
      </c>
      <c r="U2360" t="s">
        <v>47144</v>
      </c>
      <c r="W2360" t="s">
        <v>40277</v>
      </c>
      <c r="X2360" t="s">
        <v>43171</v>
      </c>
    </row>
    <row r="2361" spans="1:24">
      <c r="A2361">
        <f>HYPERLINK("https://www.philgeps.gov.ph/GEPSNONPILOT/Tender/SplashBidNoticeAbstractUI.aspx?menuIndex=3&amp;refID=7086041&amp;Result=3","7086041")</f>
        <v>0</v>
      </c>
      <c r="B2361" t="s">
        <v>607</v>
      </c>
      <c r="C2361" t="s">
        <v>5678</v>
      </c>
      <c r="D2361" t="s">
        <v>17459</v>
      </c>
      <c r="E2361" t="s">
        <v>19581</v>
      </c>
      <c r="F2361" t="s">
        <v>30052</v>
      </c>
      <c r="G2361" t="s">
        <v>30059</v>
      </c>
      <c r="H2361" t="s">
        <v>15498</v>
      </c>
      <c r="I2361" t="s">
        <v>4598</v>
      </c>
      <c r="J2361" t="s">
        <v>31834</v>
      </c>
      <c r="K2361" t="s">
        <v>39019</v>
      </c>
      <c r="M2361" t="s">
        <v>39909</v>
      </c>
      <c r="N2361" t="s">
        <v>43166</v>
      </c>
      <c r="O2361" t="s">
        <v>43167</v>
      </c>
      <c r="P2361">
        <v>0</v>
      </c>
      <c r="Q2361">
        <v>4</v>
      </c>
      <c r="R2361" t="s">
        <v>43170</v>
      </c>
      <c r="S2361" t="s">
        <v>43297</v>
      </c>
      <c r="T2361" t="s">
        <v>44714</v>
      </c>
      <c r="U2361" t="s">
        <v>47145</v>
      </c>
      <c r="W2361" t="s">
        <v>39909</v>
      </c>
      <c r="X2361" t="s">
        <v>43171</v>
      </c>
    </row>
    <row r="2362" spans="1:24">
      <c r="A2362">
        <f>HYPERLINK("https://www.philgeps.gov.ph/GEPSNONPILOT/Tender/SplashBidNoticeAbstractUI.aspx?menuIndex=3&amp;refID=7085989&amp;Result=3","7085989")</f>
        <v>0</v>
      </c>
      <c r="B2362" t="s">
        <v>415</v>
      </c>
      <c r="C2362" t="s">
        <v>5679</v>
      </c>
      <c r="D2362" t="s">
        <v>17472</v>
      </c>
      <c r="E2362" t="s">
        <v>18363</v>
      </c>
      <c r="F2362" t="s">
        <v>30052</v>
      </c>
      <c r="G2362" t="s">
        <v>30061</v>
      </c>
      <c r="H2362" t="s">
        <v>15498</v>
      </c>
      <c r="I2362" t="s">
        <v>30073</v>
      </c>
      <c r="J2362" t="s">
        <v>31818</v>
      </c>
      <c r="K2362" t="s">
        <v>39034</v>
      </c>
      <c r="M2362" t="s">
        <v>39714</v>
      </c>
      <c r="N2362" t="s">
        <v>43166</v>
      </c>
      <c r="O2362" t="s">
        <v>43167</v>
      </c>
      <c r="P2362">
        <v>0</v>
      </c>
      <c r="Q2362">
        <v>0</v>
      </c>
      <c r="R2362" t="s">
        <v>43170</v>
      </c>
      <c r="S2362" t="s">
        <v>43297</v>
      </c>
      <c r="T2362" t="s">
        <v>44685</v>
      </c>
      <c r="U2362" t="s">
        <v>47116</v>
      </c>
      <c r="W2362" t="s">
        <v>39714</v>
      </c>
      <c r="X2362" t="s">
        <v>43171</v>
      </c>
    </row>
    <row r="2363" spans="1:24">
      <c r="A2363">
        <f>HYPERLINK("https://www.philgeps.gov.ph/GEPSNONPILOT/Tender/SplashBidNoticeAbstractUI.aspx?menuIndex=3&amp;refID=7085965&amp;Result=3","7085965")</f>
        <v>0</v>
      </c>
      <c r="B2363" t="s">
        <v>953</v>
      </c>
      <c r="C2363" t="s">
        <v>5680</v>
      </c>
      <c r="D2363" t="s">
        <v>17419</v>
      </c>
      <c r="E2363" t="s">
        <v>19582</v>
      </c>
      <c r="F2363" t="s">
        <v>30052</v>
      </c>
      <c r="G2363" t="s">
        <v>30059</v>
      </c>
      <c r="H2363" t="s">
        <v>15498</v>
      </c>
      <c r="I2363" t="s">
        <v>30151</v>
      </c>
      <c r="J2363" t="s">
        <v>30277</v>
      </c>
      <c r="K2363" t="s">
        <v>39019</v>
      </c>
      <c r="M2363" t="s">
        <v>40278</v>
      </c>
      <c r="N2363" t="s">
        <v>43166</v>
      </c>
      <c r="O2363" t="s">
        <v>43167</v>
      </c>
      <c r="P2363">
        <v>0</v>
      </c>
      <c r="Q2363">
        <v>3</v>
      </c>
      <c r="R2363" t="s">
        <v>43170</v>
      </c>
      <c r="S2363" t="s">
        <v>43297</v>
      </c>
      <c r="T2363" t="s">
        <v>44723</v>
      </c>
      <c r="U2363" t="s">
        <v>47146</v>
      </c>
      <c r="W2363" t="s">
        <v>40278</v>
      </c>
      <c r="X2363" t="s">
        <v>43171</v>
      </c>
    </row>
    <row r="2364" spans="1:24">
      <c r="A2364">
        <f>HYPERLINK("https://www.philgeps.gov.ph/GEPSNONPILOT/Tender/SplashBidNoticeAbstractUI.aspx?menuIndex=3&amp;refID=7086038&amp;Result=3","7086038")</f>
        <v>0</v>
      </c>
      <c r="B2364" t="s">
        <v>762</v>
      </c>
      <c r="C2364" t="s">
        <v>5681</v>
      </c>
      <c r="D2364" t="s">
        <v>17427</v>
      </c>
      <c r="E2364" t="s">
        <v>19583</v>
      </c>
      <c r="F2364" t="s">
        <v>30052</v>
      </c>
      <c r="G2364" t="s">
        <v>30059</v>
      </c>
      <c r="H2364" t="s">
        <v>15498</v>
      </c>
      <c r="I2364" t="s">
        <v>4650</v>
      </c>
      <c r="J2364" t="s">
        <v>30743</v>
      </c>
      <c r="K2364" t="s">
        <v>39019</v>
      </c>
      <c r="M2364" t="s">
        <v>40076</v>
      </c>
      <c r="N2364" t="s">
        <v>43166</v>
      </c>
      <c r="O2364" t="s">
        <v>43167</v>
      </c>
      <c r="P2364">
        <v>0</v>
      </c>
      <c r="Q2364">
        <v>7</v>
      </c>
      <c r="R2364" t="s">
        <v>43170</v>
      </c>
      <c r="S2364" t="s">
        <v>43297</v>
      </c>
      <c r="T2364" t="s">
        <v>44844</v>
      </c>
      <c r="U2364" t="s">
        <v>46667</v>
      </c>
      <c r="W2364" t="s">
        <v>40076</v>
      </c>
      <c r="X2364" t="s">
        <v>43171</v>
      </c>
    </row>
    <row r="2365" spans="1:24">
      <c r="A2365">
        <f>HYPERLINK("https://www.philgeps.gov.ph/GEPSNONPILOT/Tender/SplashBidNoticeAbstractUI.aspx?menuIndex=3&amp;refID=7086036&amp;Result=3","7086036")</f>
        <v>0</v>
      </c>
      <c r="B2365" t="s">
        <v>925</v>
      </c>
      <c r="C2365" t="s">
        <v>5682</v>
      </c>
      <c r="D2365" t="s">
        <v>17474</v>
      </c>
      <c r="E2365" t="s">
        <v>19584</v>
      </c>
      <c r="F2365" t="s">
        <v>30052</v>
      </c>
      <c r="G2365" t="s">
        <v>30058</v>
      </c>
      <c r="H2365" t="s">
        <v>30067</v>
      </c>
      <c r="I2365" t="s">
        <v>3693</v>
      </c>
      <c r="J2365" t="s">
        <v>31835</v>
      </c>
      <c r="K2365" t="s">
        <v>39103</v>
      </c>
      <c r="M2365" t="s">
        <v>40248</v>
      </c>
      <c r="N2365" t="s">
        <v>43166</v>
      </c>
      <c r="O2365" t="s">
        <v>43167</v>
      </c>
      <c r="P2365">
        <v>0</v>
      </c>
      <c r="Q2365">
        <v>2</v>
      </c>
      <c r="R2365" t="s">
        <v>43170</v>
      </c>
      <c r="S2365" t="s">
        <v>43297</v>
      </c>
      <c r="T2365" t="s">
        <v>44842</v>
      </c>
      <c r="U2365" t="s">
        <v>47053</v>
      </c>
      <c r="W2365" t="s">
        <v>40248</v>
      </c>
      <c r="X2365" t="s">
        <v>43171</v>
      </c>
    </row>
    <row r="2366" spans="1:24">
      <c r="A2366">
        <f>HYPERLINK("https://www.philgeps.gov.ph/GEPSNONPILOT/Tender/SplashBidNoticeAbstractUI.aspx?menuIndex=3&amp;refID=7086034&amp;Result=3","7086034")</f>
        <v>0</v>
      </c>
      <c r="B2366" t="s">
        <v>501</v>
      </c>
      <c r="C2366" t="s">
        <v>5683</v>
      </c>
      <c r="E2366" t="s">
        <v>19585</v>
      </c>
      <c r="F2366" t="s">
        <v>30052</v>
      </c>
      <c r="G2366" t="s">
        <v>30059</v>
      </c>
      <c r="H2366" t="s">
        <v>15498</v>
      </c>
      <c r="I2366" t="s">
        <v>30105</v>
      </c>
      <c r="J2366" t="s">
        <v>30405</v>
      </c>
      <c r="K2366" t="s">
        <v>39025</v>
      </c>
      <c r="M2366" t="s">
        <v>39802</v>
      </c>
      <c r="N2366" t="s">
        <v>43166</v>
      </c>
      <c r="O2366" t="s">
        <v>43167</v>
      </c>
      <c r="P2366">
        <v>0</v>
      </c>
      <c r="Q2366">
        <v>5</v>
      </c>
      <c r="R2366" t="s">
        <v>43170</v>
      </c>
      <c r="S2366" t="s">
        <v>43297</v>
      </c>
      <c r="T2366" t="s">
        <v>44826</v>
      </c>
      <c r="U2366" t="s">
        <v>47147</v>
      </c>
      <c r="V2366" t="s">
        <v>56949</v>
      </c>
      <c r="W2366" t="s">
        <v>39802</v>
      </c>
      <c r="X2366" t="s">
        <v>43171</v>
      </c>
    </row>
    <row r="2367" spans="1:24">
      <c r="A2367">
        <f>HYPERLINK("https://www.philgeps.gov.ph/GEPSNONPILOT/Tender/SplashBidNoticeAbstractUI.aspx?menuIndex=3&amp;refID=7086031&amp;Result=3","7086031")</f>
        <v>0</v>
      </c>
      <c r="B2367" t="s">
        <v>694</v>
      </c>
      <c r="C2367" t="s">
        <v>5684</v>
      </c>
      <c r="D2367" t="s">
        <v>17476</v>
      </c>
      <c r="E2367" t="s">
        <v>19586</v>
      </c>
      <c r="F2367" t="s">
        <v>30052</v>
      </c>
      <c r="G2367" t="s">
        <v>30059</v>
      </c>
      <c r="H2367" t="s">
        <v>15498</v>
      </c>
      <c r="I2367" t="s">
        <v>4650</v>
      </c>
      <c r="J2367" t="s">
        <v>31836</v>
      </c>
      <c r="K2367" t="s">
        <v>39064</v>
      </c>
      <c r="M2367" t="s">
        <v>40001</v>
      </c>
      <c r="N2367" t="s">
        <v>43166</v>
      </c>
      <c r="O2367" t="s">
        <v>43167</v>
      </c>
      <c r="P2367">
        <v>0</v>
      </c>
      <c r="Q2367">
        <v>2</v>
      </c>
      <c r="R2367" t="s">
        <v>43170</v>
      </c>
      <c r="S2367" t="s">
        <v>43297</v>
      </c>
      <c r="T2367" t="s">
        <v>44844</v>
      </c>
      <c r="U2367" t="s">
        <v>47148</v>
      </c>
      <c r="W2367" t="s">
        <v>40001</v>
      </c>
      <c r="X2367" t="s">
        <v>43171</v>
      </c>
    </row>
    <row r="2368" spans="1:24">
      <c r="A2368">
        <f>HYPERLINK("https://www.philgeps.gov.ph/GEPSNONPILOT/Tender/SplashBidNoticeAbstractUI.aspx?menuIndex=3&amp;refID=7086028&amp;Result=3","7086028")</f>
        <v>0</v>
      </c>
      <c r="B2368" t="s">
        <v>937</v>
      </c>
      <c r="C2368" t="s">
        <v>5150</v>
      </c>
      <c r="D2368" t="s">
        <v>17428</v>
      </c>
      <c r="E2368" t="s">
        <v>19587</v>
      </c>
      <c r="F2368" t="s">
        <v>30052</v>
      </c>
      <c r="G2368" t="s">
        <v>30059</v>
      </c>
      <c r="H2368" t="s">
        <v>15498</v>
      </c>
      <c r="I2368" t="s">
        <v>30076</v>
      </c>
      <c r="J2368" t="s">
        <v>31837</v>
      </c>
      <c r="K2368" t="s">
        <v>39019</v>
      </c>
      <c r="M2368" t="s">
        <v>40261</v>
      </c>
      <c r="N2368" t="s">
        <v>43166</v>
      </c>
      <c r="O2368" t="s">
        <v>43167</v>
      </c>
      <c r="Q2368">
        <v>1</v>
      </c>
      <c r="R2368" t="s">
        <v>43170</v>
      </c>
      <c r="S2368" t="s">
        <v>43306</v>
      </c>
      <c r="T2368" t="s">
        <v>44888</v>
      </c>
      <c r="U2368" t="s">
        <v>47149</v>
      </c>
      <c r="W2368" t="s">
        <v>40261</v>
      </c>
      <c r="X2368" t="s">
        <v>43171</v>
      </c>
    </row>
    <row r="2369" spans="1:24">
      <c r="A2369">
        <f>HYPERLINK("https://www.philgeps.gov.ph/GEPSNONPILOT/Tender/SplashBidNoticeAbstractUI.aspx?menuIndex=3&amp;refID=7085993&amp;Result=3","7085993")</f>
        <v>0</v>
      </c>
      <c r="B2369" t="s">
        <v>795</v>
      </c>
      <c r="C2369" t="s">
        <v>5685</v>
      </c>
      <c r="D2369" t="s">
        <v>17466</v>
      </c>
      <c r="E2369" t="s">
        <v>19588</v>
      </c>
      <c r="F2369" t="s">
        <v>30052</v>
      </c>
      <c r="G2369" t="s">
        <v>30059</v>
      </c>
      <c r="H2369" t="s">
        <v>15498</v>
      </c>
      <c r="I2369" t="s">
        <v>30073</v>
      </c>
      <c r="J2369" t="s">
        <v>31838</v>
      </c>
      <c r="K2369" t="s">
        <v>39029</v>
      </c>
      <c r="M2369" t="s">
        <v>40112</v>
      </c>
      <c r="N2369" t="s">
        <v>43166</v>
      </c>
      <c r="O2369" t="s">
        <v>43167</v>
      </c>
      <c r="P2369">
        <v>0</v>
      </c>
      <c r="Q2369">
        <v>0</v>
      </c>
      <c r="R2369" t="s">
        <v>43170</v>
      </c>
      <c r="S2369" t="s">
        <v>43297</v>
      </c>
      <c r="T2369" t="s">
        <v>44773</v>
      </c>
      <c r="U2369" t="s">
        <v>46797</v>
      </c>
      <c r="V2369" t="s">
        <v>57037</v>
      </c>
      <c r="W2369" t="s">
        <v>40112</v>
      </c>
      <c r="X2369" t="s">
        <v>43171</v>
      </c>
    </row>
    <row r="2370" spans="1:24">
      <c r="A2370">
        <f>HYPERLINK("https://www.philgeps.gov.ph/GEPSNONPILOT/Tender/SplashBidNoticeAbstractUI.aspx?menuIndex=3&amp;refID=7086040&amp;Result=3","7086040")</f>
        <v>0</v>
      </c>
      <c r="B2370" t="s">
        <v>145</v>
      </c>
      <c r="C2370" t="s">
        <v>5686</v>
      </c>
      <c r="D2370" t="s">
        <v>17453</v>
      </c>
      <c r="E2370" t="s">
        <v>19589</v>
      </c>
      <c r="F2370" t="s">
        <v>30052</v>
      </c>
      <c r="G2370" t="s">
        <v>30058</v>
      </c>
      <c r="H2370" t="s">
        <v>15498</v>
      </c>
      <c r="I2370" t="s">
        <v>30088</v>
      </c>
      <c r="J2370" t="s">
        <v>31839</v>
      </c>
      <c r="K2370" t="s">
        <v>39046</v>
      </c>
      <c r="M2370" t="s">
        <v>40279</v>
      </c>
      <c r="N2370" t="s">
        <v>43166</v>
      </c>
      <c r="O2370" t="s">
        <v>43167</v>
      </c>
      <c r="P2370">
        <v>0</v>
      </c>
      <c r="Q2370">
        <v>7</v>
      </c>
      <c r="R2370" t="s">
        <v>43170</v>
      </c>
      <c r="S2370" t="s">
        <v>43297</v>
      </c>
      <c r="T2370" t="s">
        <v>44911</v>
      </c>
      <c r="U2370" t="s">
        <v>47150</v>
      </c>
      <c r="W2370" t="s">
        <v>58619</v>
      </c>
      <c r="X2370" t="s">
        <v>43171</v>
      </c>
    </row>
    <row r="2371" spans="1:24">
      <c r="A2371">
        <f>HYPERLINK("https://www.philgeps.gov.ph/GEPSNONPILOT/Tender/SplashBidNoticeAbstractUI.aspx?menuIndex=3&amp;refID=7086027&amp;Result=3","7086027")</f>
        <v>0</v>
      </c>
      <c r="B2371" t="s">
        <v>954</v>
      </c>
      <c r="C2371" t="s">
        <v>5687</v>
      </c>
      <c r="D2371" t="s">
        <v>17463</v>
      </c>
      <c r="E2371" t="s">
        <v>19590</v>
      </c>
      <c r="F2371" t="s">
        <v>30052</v>
      </c>
      <c r="G2371" t="s">
        <v>30062</v>
      </c>
      <c r="H2371" t="s">
        <v>15498</v>
      </c>
      <c r="I2371" t="s">
        <v>4650</v>
      </c>
      <c r="J2371" t="s">
        <v>31840</v>
      </c>
      <c r="K2371" t="s">
        <v>39037</v>
      </c>
      <c r="M2371" t="s">
        <v>40280</v>
      </c>
      <c r="N2371" t="s">
        <v>43166</v>
      </c>
      <c r="O2371" t="s">
        <v>43167</v>
      </c>
      <c r="P2371">
        <v>0</v>
      </c>
      <c r="Q2371">
        <v>0</v>
      </c>
      <c r="R2371" t="s">
        <v>43170</v>
      </c>
      <c r="S2371" t="s">
        <v>43297</v>
      </c>
      <c r="T2371" t="s">
        <v>44816</v>
      </c>
      <c r="U2371" t="s">
        <v>47151</v>
      </c>
      <c r="W2371" t="s">
        <v>40280</v>
      </c>
      <c r="X2371" t="s">
        <v>43171</v>
      </c>
    </row>
    <row r="2372" spans="1:24">
      <c r="A2372">
        <f>HYPERLINK("https://www.philgeps.gov.ph/GEPSNONPILOT/Tender/SplashBidNoticeAbstractUI.aspx?menuIndex=3&amp;refID=7086024&amp;Result=3","7086024")</f>
        <v>0</v>
      </c>
      <c r="B2372" t="s">
        <v>607</v>
      </c>
      <c r="C2372" t="s">
        <v>5688</v>
      </c>
      <c r="D2372" t="s">
        <v>17459</v>
      </c>
      <c r="E2372" t="s">
        <v>19591</v>
      </c>
      <c r="F2372" t="s">
        <v>30052</v>
      </c>
      <c r="G2372" t="s">
        <v>30059</v>
      </c>
      <c r="H2372" t="s">
        <v>15498</v>
      </c>
      <c r="I2372" t="s">
        <v>6691</v>
      </c>
      <c r="J2372" t="s">
        <v>30302</v>
      </c>
      <c r="K2372" t="s">
        <v>39019</v>
      </c>
      <c r="M2372" t="s">
        <v>39909</v>
      </c>
      <c r="N2372" t="s">
        <v>43166</v>
      </c>
      <c r="O2372" t="s">
        <v>43167</v>
      </c>
      <c r="P2372">
        <v>0</v>
      </c>
      <c r="Q2372">
        <v>1</v>
      </c>
      <c r="R2372" t="s">
        <v>43170</v>
      </c>
      <c r="S2372" t="s">
        <v>43297</v>
      </c>
      <c r="T2372" t="s">
        <v>44714</v>
      </c>
      <c r="U2372" t="s">
        <v>47152</v>
      </c>
      <c r="W2372" t="s">
        <v>39909</v>
      </c>
      <c r="X2372" t="s">
        <v>43171</v>
      </c>
    </row>
    <row r="2373" spans="1:24">
      <c r="A2373">
        <f>HYPERLINK("https://www.philgeps.gov.ph/GEPSNONPILOT/Tender/SplashBidNoticeAbstractUI.aspx?menuIndex=3&amp;refID=7086023&amp;Result=3","7086023")</f>
        <v>0</v>
      </c>
      <c r="B2373" t="s">
        <v>697</v>
      </c>
      <c r="C2373" t="s">
        <v>5689</v>
      </c>
      <c r="D2373" t="s">
        <v>17456</v>
      </c>
      <c r="E2373" t="s">
        <v>19592</v>
      </c>
      <c r="F2373" t="s">
        <v>30052</v>
      </c>
      <c r="G2373" t="s">
        <v>30059</v>
      </c>
      <c r="H2373" t="s">
        <v>15498</v>
      </c>
      <c r="I2373" t="s">
        <v>30092</v>
      </c>
      <c r="J2373" t="s">
        <v>31841</v>
      </c>
      <c r="K2373" t="s">
        <v>39019</v>
      </c>
      <c r="M2373" t="s">
        <v>40005</v>
      </c>
      <c r="N2373" t="s">
        <v>43166</v>
      </c>
      <c r="O2373" t="s">
        <v>43167</v>
      </c>
      <c r="P2373">
        <v>0</v>
      </c>
      <c r="Q2373">
        <v>0</v>
      </c>
      <c r="R2373" t="s">
        <v>43170</v>
      </c>
      <c r="S2373" t="s">
        <v>43297</v>
      </c>
      <c r="T2373" t="s">
        <v>44717</v>
      </c>
      <c r="U2373" t="s">
        <v>47153</v>
      </c>
      <c r="W2373" t="s">
        <v>40005</v>
      </c>
      <c r="X2373" t="s">
        <v>43171</v>
      </c>
    </row>
    <row r="2374" spans="1:24">
      <c r="A2374">
        <f>HYPERLINK("https://www.philgeps.gov.ph/GEPSNONPILOT/Tender/SplashBidNoticeAbstractUI.aspx?menuIndex=3&amp;refID=7086022&amp;Result=3","7086022")</f>
        <v>0</v>
      </c>
      <c r="B2374" t="s">
        <v>881</v>
      </c>
      <c r="C2374" t="s">
        <v>5690</v>
      </c>
      <c r="E2374" t="s">
        <v>5690</v>
      </c>
      <c r="F2374" t="s">
        <v>30052</v>
      </c>
      <c r="G2374" t="s">
        <v>30059</v>
      </c>
      <c r="H2374" t="s">
        <v>15498</v>
      </c>
      <c r="I2374" t="s">
        <v>30076</v>
      </c>
      <c r="J2374" t="s">
        <v>31580</v>
      </c>
      <c r="K2374" t="s">
        <v>39025</v>
      </c>
      <c r="M2374" t="s">
        <v>40200</v>
      </c>
      <c r="N2374" t="s">
        <v>43166</v>
      </c>
      <c r="O2374" t="s">
        <v>43167</v>
      </c>
      <c r="P2374">
        <v>0</v>
      </c>
      <c r="Q2374">
        <v>1</v>
      </c>
      <c r="R2374" t="s">
        <v>43170</v>
      </c>
      <c r="S2374" t="s">
        <v>43297</v>
      </c>
      <c r="T2374" t="s">
        <v>44777</v>
      </c>
      <c r="U2374" t="s">
        <v>46681</v>
      </c>
      <c r="W2374" t="s">
        <v>40200</v>
      </c>
      <c r="X2374" t="s">
        <v>43171</v>
      </c>
    </row>
    <row r="2375" spans="1:24">
      <c r="A2375">
        <f>HYPERLINK("https://www.philgeps.gov.ph/GEPSNONPILOT/Tender/SplashBidNoticeAbstractUI.aspx?menuIndex=3&amp;refID=7086033&amp;Result=3","7086033")</f>
        <v>0</v>
      </c>
      <c r="B2375" t="s">
        <v>955</v>
      </c>
      <c r="C2375" t="s">
        <v>5691</v>
      </c>
      <c r="D2375" t="s">
        <v>17494</v>
      </c>
      <c r="E2375" t="s">
        <v>19593</v>
      </c>
      <c r="F2375" t="s">
        <v>30055</v>
      </c>
      <c r="G2375" t="s">
        <v>30059</v>
      </c>
      <c r="H2375" t="s">
        <v>15498</v>
      </c>
      <c r="I2375" t="s">
        <v>3693</v>
      </c>
      <c r="J2375" t="s">
        <v>31842</v>
      </c>
      <c r="K2375" t="s">
        <v>39025</v>
      </c>
      <c r="M2375" t="s">
        <v>40281</v>
      </c>
      <c r="N2375" t="s">
        <v>43166</v>
      </c>
      <c r="O2375" t="s">
        <v>43167</v>
      </c>
      <c r="P2375">
        <v>0</v>
      </c>
      <c r="Q2375">
        <v>0</v>
      </c>
      <c r="R2375" t="s">
        <v>43170</v>
      </c>
      <c r="S2375" t="s">
        <v>43297</v>
      </c>
      <c r="T2375" t="s">
        <v>44912</v>
      </c>
      <c r="U2375" t="s">
        <v>47154</v>
      </c>
      <c r="W2375" t="s">
        <v>40281</v>
      </c>
      <c r="X2375" t="s">
        <v>43171</v>
      </c>
    </row>
    <row r="2376" spans="1:24">
      <c r="A2376">
        <f>HYPERLINK("https://www.philgeps.gov.ph/GEPSNONPILOT/Tender/SplashBidNoticeAbstractUI.aspx?menuIndex=3&amp;refID=7086046&amp;Result=3","7086046")</f>
        <v>0</v>
      </c>
      <c r="B2376" t="s">
        <v>415</v>
      </c>
      <c r="C2376" t="s">
        <v>5692</v>
      </c>
      <c r="D2376" t="s">
        <v>17472</v>
      </c>
      <c r="E2376" t="s">
        <v>18363</v>
      </c>
      <c r="F2376" t="s">
        <v>30052</v>
      </c>
      <c r="G2376" t="s">
        <v>30061</v>
      </c>
      <c r="H2376" t="s">
        <v>15498</v>
      </c>
      <c r="I2376" t="s">
        <v>30084</v>
      </c>
      <c r="J2376" t="s">
        <v>30358</v>
      </c>
      <c r="K2376" t="s">
        <v>39034</v>
      </c>
      <c r="M2376" t="s">
        <v>39714</v>
      </c>
      <c r="N2376" t="s">
        <v>43166</v>
      </c>
      <c r="O2376" t="s">
        <v>43167</v>
      </c>
      <c r="P2376">
        <v>0</v>
      </c>
      <c r="Q2376">
        <v>0</v>
      </c>
      <c r="R2376" t="s">
        <v>43170</v>
      </c>
      <c r="S2376" t="s">
        <v>43297</v>
      </c>
      <c r="T2376" t="s">
        <v>44685</v>
      </c>
      <c r="U2376" t="s">
        <v>47155</v>
      </c>
      <c r="W2376" t="s">
        <v>39714</v>
      </c>
      <c r="X2376" t="s">
        <v>43171</v>
      </c>
    </row>
    <row r="2377" spans="1:24">
      <c r="A2377">
        <f>HYPERLINK("https://www.philgeps.gov.ph/GEPSNONPILOT/Tender/SplashBidNoticeAbstractUI.aspx?menuIndex=3&amp;refID=7085947&amp;Result=3","7085947")</f>
        <v>0</v>
      </c>
      <c r="B2377" t="s">
        <v>838</v>
      </c>
      <c r="C2377" t="s">
        <v>5693</v>
      </c>
      <c r="D2377" t="s">
        <v>17419</v>
      </c>
      <c r="E2377" t="s">
        <v>19594</v>
      </c>
      <c r="F2377" t="s">
        <v>30052</v>
      </c>
      <c r="G2377" t="s">
        <v>30061</v>
      </c>
      <c r="H2377" t="s">
        <v>15498</v>
      </c>
      <c r="I2377" t="s">
        <v>4650</v>
      </c>
      <c r="J2377" t="s">
        <v>31033</v>
      </c>
      <c r="K2377" t="s">
        <v>39029</v>
      </c>
      <c r="M2377" t="s">
        <v>40155</v>
      </c>
      <c r="N2377" t="s">
        <v>43166</v>
      </c>
      <c r="O2377" t="s">
        <v>43167</v>
      </c>
      <c r="P2377">
        <v>0</v>
      </c>
      <c r="Q2377">
        <v>1</v>
      </c>
      <c r="R2377" t="s">
        <v>43170</v>
      </c>
      <c r="S2377" t="s">
        <v>43297</v>
      </c>
      <c r="T2377" t="s">
        <v>44681</v>
      </c>
      <c r="U2377" t="s">
        <v>47156</v>
      </c>
      <c r="W2377" t="s">
        <v>40155</v>
      </c>
      <c r="X2377" t="s">
        <v>43171</v>
      </c>
    </row>
    <row r="2378" spans="1:24">
      <c r="A2378">
        <f>HYPERLINK("https://www.philgeps.gov.ph/GEPSNONPILOT/Tender/SplashBidNoticeAbstractUI.aspx?menuIndex=3&amp;refID=7086070&amp;Result=3","7086070")</f>
        <v>0</v>
      </c>
      <c r="B2378" t="s">
        <v>956</v>
      </c>
      <c r="C2378" t="s">
        <v>5694</v>
      </c>
      <c r="D2378" t="s">
        <v>17441</v>
      </c>
      <c r="E2378" t="s">
        <v>19595</v>
      </c>
      <c r="F2378" t="s">
        <v>30052</v>
      </c>
      <c r="G2378" t="s">
        <v>30059</v>
      </c>
      <c r="H2378" t="s">
        <v>15498</v>
      </c>
      <c r="I2378" t="s">
        <v>30151</v>
      </c>
      <c r="J2378" t="s">
        <v>31843</v>
      </c>
      <c r="K2378" t="s">
        <v>39025</v>
      </c>
      <c r="M2378" t="s">
        <v>40282</v>
      </c>
      <c r="N2378" t="s">
        <v>43166</v>
      </c>
      <c r="O2378" t="s">
        <v>43167</v>
      </c>
      <c r="P2378">
        <v>0</v>
      </c>
      <c r="Q2378">
        <v>9</v>
      </c>
      <c r="R2378" t="s">
        <v>43170</v>
      </c>
      <c r="S2378" t="s">
        <v>43297</v>
      </c>
      <c r="T2378" t="s">
        <v>44913</v>
      </c>
      <c r="U2378" t="s">
        <v>47157</v>
      </c>
      <c r="W2378" t="s">
        <v>40282</v>
      </c>
      <c r="X2378" t="s">
        <v>43171</v>
      </c>
    </row>
    <row r="2379" spans="1:24">
      <c r="A2379">
        <f>HYPERLINK("https://www.philgeps.gov.ph/GEPSNONPILOT/Tender/SplashBidNoticeAbstractUI.aspx?menuIndex=3&amp;refID=7086067&amp;Result=3","7086067")</f>
        <v>0</v>
      </c>
      <c r="B2379" t="s">
        <v>946</v>
      </c>
      <c r="C2379" t="s">
        <v>5695</v>
      </c>
      <c r="D2379" t="s">
        <v>17456</v>
      </c>
      <c r="E2379" t="s">
        <v>19596</v>
      </c>
      <c r="F2379" t="s">
        <v>30052</v>
      </c>
      <c r="G2379" t="s">
        <v>30059</v>
      </c>
      <c r="H2379" t="s">
        <v>15498</v>
      </c>
      <c r="I2379" t="s">
        <v>7228</v>
      </c>
      <c r="J2379" t="s">
        <v>31844</v>
      </c>
      <c r="K2379" t="s">
        <v>39017</v>
      </c>
      <c r="M2379" t="s">
        <v>40270</v>
      </c>
      <c r="N2379" t="s">
        <v>43166</v>
      </c>
      <c r="O2379" t="s">
        <v>43167</v>
      </c>
      <c r="P2379">
        <v>0</v>
      </c>
      <c r="Q2379">
        <v>0</v>
      </c>
      <c r="R2379" t="s">
        <v>43170</v>
      </c>
      <c r="S2379" t="s">
        <v>43297</v>
      </c>
      <c r="T2379" t="s">
        <v>44777</v>
      </c>
      <c r="U2379" t="s">
        <v>47158</v>
      </c>
      <c r="W2379" t="s">
        <v>40270</v>
      </c>
      <c r="X2379" t="s">
        <v>43171</v>
      </c>
    </row>
    <row r="2380" spans="1:24">
      <c r="A2380">
        <f>HYPERLINK("https://www.philgeps.gov.ph/GEPSNONPILOT/Tender/SplashBidNoticeAbstractUI.aspx?menuIndex=3&amp;refID=7086025&amp;Result=3","7086025")</f>
        <v>0</v>
      </c>
      <c r="B2380" t="s">
        <v>915</v>
      </c>
      <c r="C2380" t="s">
        <v>5696</v>
      </c>
      <c r="D2380" t="s">
        <v>17457</v>
      </c>
      <c r="E2380" t="s">
        <v>19597</v>
      </c>
      <c r="F2380" t="s">
        <v>30052</v>
      </c>
      <c r="G2380" t="s">
        <v>30059</v>
      </c>
      <c r="H2380" t="s">
        <v>15498</v>
      </c>
      <c r="I2380" t="s">
        <v>30081</v>
      </c>
      <c r="J2380" t="s">
        <v>30996</v>
      </c>
      <c r="K2380" t="s">
        <v>39019</v>
      </c>
      <c r="M2380" t="s">
        <v>40238</v>
      </c>
      <c r="N2380" t="s">
        <v>43166</v>
      </c>
      <c r="O2380" t="s">
        <v>43167</v>
      </c>
      <c r="P2380">
        <v>0</v>
      </c>
      <c r="Q2380">
        <v>0</v>
      </c>
      <c r="R2380" t="s">
        <v>43170</v>
      </c>
      <c r="S2380" t="s">
        <v>43297</v>
      </c>
      <c r="T2380" t="s">
        <v>44844</v>
      </c>
      <c r="U2380" t="s">
        <v>47159</v>
      </c>
      <c r="W2380" t="s">
        <v>40238</v>
      </c>
      <c r="X2380" t="s">
        <v>43171</v>
      </c>
    </row>
    <row r="2381" spans="1:24">
      <c r="A2381">
        <f>HYPERLINK("https://www.philgeps.gov.ph/GEPSNONPILOT/Tender/SplashBidNoticeAbstractUI.aspx?menuIndex=3&amp;refID=7086015&amp;Result=3","7086015")</f>
        <v>0</v>
      </c>
      <c r="B2381" t="s">
        <v>957</v>
      </c>
      <c r="C2381" t="s">
        <v>5697</v>
      </c>
      <c r="D2381" t="s">
        <v>17415</v>
      </c>
      <c r="E2381" t="s">
        <v>19598</v>
      </c>
      <c r="F2381" t="s">
        <v>30052</v>
      </c>
      <c r="G2381" t="s">
        <v>30062</v>
      </c>
      <c r="H2381" t="s">
        <v>15498</v>
      </c>
      <c r="I2381" t="s">
        <v>4119</v>
      </c>
      <c r="J2381" t="s">
        <v>30358</v>
      </c>
      <c r="K2381" t="s">
        <v>39017</v>
      </c>
      <c r="M2381" t="s">
        <v>40283</v>
      </c>
      <c r="N2381" t="s">
        <v>43166</v>
      </c>
      <c r="O2381" t="s">
        <v>43167</v>
      </c>
      <c r="P2381">
        <v>0</v>
      </c>
      <c r="Q2381">
        <v>4</v>
      </c>
      <c r="R2381" t="s">
        <v>43170</v>
      </c>
      <c r="S2381" t="s">
        <v>43297</v>
      </c>
      <c r="T2381" t="s">
        <v>44734</v>
      </c>
      <c r="U2381" t="s">
        <v>47160</v>
      </c>
      <c r="W2381" t="s">
        <v>58620</v>
      </c>
      <c r="X2381" t="s">
        <v>43171</v>
      </c>
    </row>
    <row r="2382" spans="1:24">
      <c r="A2382">
        <f>HYPERLINK("https://www.philgeps.gov.ph/GEPSNONPILOT/Tender/SplashBidNoticeAbstractUI.aspx?menuIndex=3&amp;refID=7086064&amp;Result=3","7086064")</f>
        <v>0</v>
      </c>
      <c r="B2382" t="s">
        <v>727</v>
      </c>
      <c r="C2382" t="s">
        <v>5698</v>
      </c>
      <c r="D2382" t="s">
        <v>17465</v>
      </c>
      <c r="E2382" t="s">
        <v>5698</v>
      </c>
      <c r="F2382" t="s">
        <v>30052</v>
      </c>
      <c r="G2382" t="s">
        <v>30061</v>
      </c>
      <c r="H2382" t="s">
        <v>15498</v>
      </c>
      <c r="I2382" t="s">
        <v>3736</v>
      </c>
      <c r="J2382" t="s">
        <v>31845</v>
      </c>
      <c r="K2382" t="s">
        <v>39036</v>
      </c>
      <c r="M2382" t="s">
        <v>40038</v>
      </c>
      <c r="N2382" t="s">
        <v>43166</v>
      </c>
      <c r="O2382" t="s">
        <v>43167</v>
      </c>
      <c r="P2382">
        <v>0</v>
      </c>
      <c r="Q2382">
        <v>0</v>
      </c>
      <c r="R2382" t="s">
        <v>43170</v>
      </c>
      <c r="S2382" t="s">
        <v>43297</v>
      </c>
      <c r="T2382" t="s">
        <v>44764</v>
      </c>
      <c r="U2382" t="s">
        <v>47161</v>
      </c>
      <c r="W2382" t="s">
        <v>40038</v>
      </c>
      <c r="X2382" t="s">
        <v>43171</v>
      </c>
    </row>
    <row r="2383" spans="1:24">
      <c r="A2383">
        <f>HYPERLINK("https://www.philgeps.gov.ph/GEPSNONPILOT/Tender/SplashBidNoticeAbstractUI.aspx?menuIndex=3&amp;refID=7086061&amp;Result=3","7086061")</f>
        <v>0</v>
      </c>
      <c r="B2383" t="s">
        <v>950</v>
      </c>
      <c r="C2383" t="s">
        <v>5699</v>
      </c>
      <c r="D2383" t="s">
        <v>17415</v>
      </c>
      <c r="E2383" t="s">
        <v>19599</v>
      </c>
      <c r="F2383" t="s">
        <v>30052</v>
      </c>
      <c r="G2383" t="s">
        <v>30058</v>
      </c>
      <c r="H2383" t="s">
        <v>15498</v>
      </c>
      <c r="I2383" t="s">
        <v>30157</v>
      </c>
      <c r="J2383" t="s">
        <v>30209</v>
      </c>
      <c r="K2383" t="s">
        <v>39029</v>
      </c>
      <c r="M2383" t="s">
        <v>40274</v>
      </c>
      <c r="N2383" t="s">
        <v>43166</v>
      </c>
      <c r="O2383" t="s">
        <v>43167</v>
      </c>
      <c r="P2383">
        <v>0</v>
      </c>
      <c r="Q2383">
        <v>3</v>
      </c>
      <c r="R2383" t="s">
        <v>43170</v>
      </c>
      <c r="S2383" t="s">
        <v>43297</v>
      </c>
      <c r="T2383" t="s">
        <v>44681</v>
      </c>
      <c r="U2383" t="s">
        <v>47162</v>
      </c>
      <c r="V2383" t="s">
        <v>57103</v>
      </c>
      <c r="W2383" t="s">
        <v>40274</v>
      </c>
      <c r="X2383" t="s">
        <v>43171</v>
      </c>
    </row>
    <row r="2384" spans="1:24">
      <c r="A2384">
        <f>HYPERLINK("https://www.philgeps.gov.ph/GEPSNONPILOT/Tender/SplashBidNoticeAbstractUI.aspx?menuIndex=3&amp;refID=7086068&amp;Result=3","7086068")</f>
        <v>0</v>
      </c>
      <c r="B2384" t="s">
        <v>737</v>
      </c>
      <c r="C2384" t="s">
        <v>5700</v>
      </c>
      <c r="D2384" t="s">
        <v>17460</v>
      </c>
      <c r="E2384" t="s">
        <v>19600</v>
      </c>
      <c r="F2384" t="s">
        <v>30052</v>
      </c>
      <c r="G2384" t="s">
        <v>30059</v>
      </c>
      <c r="H2384" t="s">
        <v>15498</v>
      </c>
      <c r="I2384" t="s">
        <v>30096</v>
      </c>
      <c r="J2384" t="s">
        <v>31846</v>
      </c>
      <c r="K2384" t="s">
        <v>39017</v>
      </c>
      <c r="M2384" t="s">
        <v>40050</v>
      </c>
      <c r="N2384" t="s">
        <v>43166</v>
      </c>
      <c r="O2384" t="s">
        <v>43167</v>
      </c>
      <c r="P2384">
        <v>0</v>
      </c>
      <c r="Q2384">
        <v>0</v>
      </c>
      <c r="R2384" t="s">
        <v>43170</v>
      </c>
      <c r="S2384" t="s">
        <v>43297</v>
      </c>
      <c r="T2384" t="s">
        <v>44705</v>
      </c>
      <c r="U2384" t="s">
        <v>47163</v>
      </c>
      <c r="V2384" t="s">
        <v>57020</v>
      </c>
      <c r="W2384" t="s">
        <v>40050</v>
      </c>
      <c r="X2384" t="s">
        <v>43171</v>
      </c>
    </row>
    <row r="2385" spans="1:24">
      <c r="A2385">
        <f>HYPERLINK("https://www.philgeps.gov.ph/GEPSNONPILOT/Tender/SplashBidNoticeAbstractUI.aspx?menuIndex=3&amp;refID=7086030&amp;Result=3","7086030")</f>
        <v>0</v>
      </c>
      <c r="B2385" t="s">
        <v>821</v>
      </c>
      <c r="C2385" t="s">
        <v>5701</v>
      </c>
      <c r="E2385" t="s">
        <v>19213</v>
      </c>
      <c r="F2385" t="s">
        <v>30052</v>
      </c>
      <c r="G2385" t="s">
        <v>30058</v>
      </c>
      <c r="H2385" t="s">
        <v>15498</v>
      </c>
      <c r="I2385" t="s">
        <v>30106</v>
      </c>
      <c r="J2385" t="s">
        <v>31847</v>
      </c>
      <c r="K2385" t="s">
        <v>39025</v>
      </c>
      <c r="M2385" t="s">
        <v>40138</v>
      </c>
      <c r="N2385" t="s">
        <v>43166</v>
      </c>
      <c r="O2385" t="s">
        <v>43167</v>
      </c>
      <c r="P2385">
        <v>0</v>
      </c>
      <c r="Q2385">
        <v>1</v>
      </c>
      <c r="R2385" t="s">
        <v>43170</v>
      </c>
      <c r="S2385" t="s">
        <v>43297</v>
      </c>
      <c r="T2385" t="s">
        <v>44764</v>
      </c>
      <c r="U2385" t="s">
        <v>47164</v>
      </c>
      <c r="W2385" t="s">
        <v>40138</v>
      </c>
      <c r="X2385" t="s">
        <v>43171</v>
      </c>
    </row>
    <row r="2386" spans="1:24">
      <c r="A2386">
        <f>HYPERLINK("https://www.philgeps.gov.ph/GEPSNONPILOT/Tender/SplashBidNoticeAbstractUI.aspx?menuIndex=3&amp;refID=7086060&amp;Result=3","7086060")</f>
        <v>0</v>
      </c>
      <c r="B2386" t="s">
        <v>145</v>
      </c>
      <c r="C2386" t="s">
        <v>5702</v>
      </c>
      <c r="D2386" t="s">
        <v>17453</v>
      </c>
      <c r="E2386" t="s">
        <v>19601</v>
      </c>
      <c r="F2386" t="s">
        <v>30052</v>
      </c>
      <c r="G2386" t="s">
        <v>30058</v>
      </c>
      <c r="H2386" t="s">
        <v>15498</v>
      </c>
      <c r="I2386" t="s">
        <v>30088</v>
      </c>
      <c r="J2386" t="s">
        <v>31848</v>
      </c>
      <c r="K2386" t="s">
        <v>39046</v>
      </c>
      <c r="M2386" t="s">
        <v>40279</v>
      </c>
      <c r="N2386" t="s">
        <v>43166</v>
      </c>
      <c r="O2386" t="s">
        <v>43167</v>
      </c>
      <c r="P2386">
        <v>0</v>
      </c>
      <c r="Q2386">
        <v>9</v>
      </c>
      <c r="R2386" t="s">
        <v>43170</v>
      </c>
      <c r="S2386" t="s">
        <v>43297</v>
      </c>
      <c r="T2386" t="s">
        <v>44911</v>
      </c>
      <c r="U2386" t="s">
        <v>47165</v>
      </c>
      <c r="W2386" t="s">
        <v>58619</v>
      </c>
      <c r="X2386" t="s">
        <v>43171</v>
      </c>
    </row>
    <row r="2387" spans="1:24">
      <c r="A2387">
        <f>HYPERLINK("https://www.philgeps.gov.ph/GEPSNONPILOT/Tender/SplashBidNoticeAbstractUI.aspx?menuIndex=3&amp;refID=7086066&amp;Result=3","7086066")</f>
        <v>0</v>
      </c>
      <c r="B2387" t="s">
        <v>859</v>
      </c>
      <c r="C2387" t="s">
        <v>5703</v>
      </c>
      <c r="D2387" t="s">
        <v>17442</v>
      </c>
      <c r="E2387" t="s">
        <v>19602</v>
      </c>
      <c r="F2387" t="s">
        <v>30052</v>
      </c>
      <c r="G2387" t="s">
        <v>30061</v>
      </c>
      <c r="H2387" t="s">
        <v>15498</v>
      </c>
      <c r="I2387" t="s">
        <v>30070</v>
      </c>
      <c r="J2387" t="s">
        <v>30256</v>
      </c>
      <c r="K2387" t="s">
        <v>39039</v>
      </c>
      <c r="M2387" t="s">
        <v>40176</v>
      </c>
      <c r="N2387" t="s">
        <v>43166</v>
      </c>
      <c r="O2387" t="s">
        <v>43167</v>
      </c>
      <c r="P2387">
        <v>0</v>
      </c>
      <c r="Q2387">
        <v>0</v>
      </c>
      <c r="R2387" t="s">
        <v>43170</v>
      </c>
      <c r="S2387" t="s">
        <v>43297</v>
      </c>
      <c r="T2387" t="s">
        <v>44717</v>
      </c>
      <c r="U2387" t="s">
        <v>47166</v>
      </c>
      <c r="W2387" t="s">
        <v>40176</v>
      </c>
      <c r="X2387" t="s">
        <v>43171</v>
      </c>
    </row>
    <row r="2388" spans="1:24">
      <c r="A2388">
        <f>HYPERLINK("https://www.philgeps.gov.ph/GEPSNONPILOT/Tender/SplashBidNoticeAbstractUI.aspx?menuIndex=3&amp;refID=7086065&amp;Result=3","7086065")</f>
        <v>0</v>
      </c>
      <c r="B2388" t="s">
        <v>415</v>
      </c>
      <c r="C2388" t="s">
        <v>5704</v>
      </c>
      <c r="D2388" t="s">
        <v>17472</v>
      </c>
      <c r="E2388" t="s">
        <v>18363</v>
      </c>
      <c r="F2388" t="s">
        <v>30052</v>
      </c>
      <c r="G2388" t="s">
        <v>30061</v>
      </c>
      <c r="H2388" t="s">
        <v>15498</v>
      </c>
      <c r="I2388" t="s">
        <v>30096</v>
      </c>
      <c r="J2388" t="s">
        <v>31849</v>
      </c>
      <c r="K2388" t="s">
        <v>39034</v>
      </c>
      <c r="M2388" t="s">
        <v>39714</v>
      </c>
      <c r="N2388" t="s">
        <v>43166</v>
      </c>
      <c r="O2388" t="s">
        <v>43167</v>
      </c>
      <c r="P2388">
        <v>0</v>
      </c>
      <c r="Q2388">
        <v>0</v>
      </c>
      <c r="R2388" t="s">
        <v>43170</v>
      </c>
      <c r="S2388" t="s">
        <v>43297</v>
      </c>
      <c r="T2388" t="s">
        <v>44685</v>
      </c>
      <c r="U2388" t="s">
        <v>47167</v>
      </c>
      <c r="W2388" t="s">
        <v>39714</v>
      </c>
      <c r="X2388" t="s">
        <v>43171</v>
      </c>
    </row>
    <row r="2389" spans="1:24">
      <c r="A2389">
        <f>HYPERLINK("https://www.philgeps.gov.ph/GEPSNONPILOT/Tender/SplashBidNoticeAbstractUI.aspx?menuIndex=3&amp;refID=7086051&amp;Result=3","7086051")</f>
        <v>0</v>
      </c>
      <c r="B2389" t="s">
        <v>797</v>
      </c>
      <c r="C2389" t="s">
        <v>5705</v>
      </c>
      <c r="D2389" t="s">
        <v>17459</v>
      </c>
      <c r="E2389" t="s">
        <v>19603</v>
      </c>
      <c r="F2389" t="s">
        <v>30052</v>
      </c>
      <c r="G2389" t="s">
        <v>30059</v>
      </c>
      <c r="H2389" t="s">
        <v>15498</v>
      </c>
      <c r="I2389" t="s">
        <v>30092</v>
      </c>
      <c r="J2389" t="s">
        <v>30207</v>
      </c>
      <c r="K2389" t="s">
        <v>39025</v>
      </c>
      <c r="M2389" t="s">
        <v>40114</v>
      </c>
      <c r="N2389" t="s">
        <v>43166</v>
      </c>
      <c r="O2389" t="s">
        <v>43167</v>
      </c>
      <c r="P2389">
        <v>0</v>
      </c>
      <c r="Q2389">
        <v>0</v>
      </c>
      <c r="R2389" t="s">
        <v>43170</v>
      </c>
      <c r="S2389" t="s">
        <v>43297</v>
      </c>
      <c r="T2389" t="s">
        <v>44777</v>
      </c>
      <c r="U2389" t="s">
        <v>47168</v>
      </c>
      <c r="W2389" t="s">
        <v>40114</v>
      </c>
      <c r="X2389" t="s">
        <v>43171</v>
      </c>
    </row>
    <row r="2390" spans="1:24">
      <c r="A2390">
        <f>HYPERLINK("https://www.philgeps.gov.ph/GEPSNONPILOT/Tender/SplashBidNoticeAbstractUI.aspx?menuIndex=3&amp;refID=7086039&amp;Result=3","7086039")</f>
        <v>0</v>
      </c>
      <c r="B2390" t="s">
        <v>958</v>
      </c>
      <c r="C2390" t="s">
        <v>5706</v>
      </c>
      <c r="D2390" t="s">
        <v>17466</v>
      </c>
      <c r="E2390" t="s">
        <v>19604</v>
      </c>
      <c r="F2390" t="s">
        <v>30052</v>
      </c>
      <c r="G2390" t="s">
        <v>30059</v>
      </c>
      <c r="H2390" t="s">
        <v>15498</v>
      </c>
      <c r="I2390" t="s">
        <v>30097</v>
      </c>
      <c r="J2390" t="s">
        <v>31099</v>
      </c>
      <c r="K2390" t="s">
        <v>39019</v>
      </c>
      <c r="M2390" t="s">
        <v>40284</v>
      </c>
      <c r="N2390" t="s">
        <v>43166</v>
      </c>
      <c r="O2390" t="s">
        <v>43167</v>
      </c>
      <c r="P2390">
        <v>0</v>
      </c>
      <c r="Q2390">
        <v>3</v>
      </c>
      <c r="R2390" t="s">
        <v>43170</v>
      </c>
      <c r="S2390" t="s">
        <v>43297</v>
      </c>
      <c r="T2390" t="s">
        <v>44678</v>
      </c>
      <c r="U2390" t="s">
        <v>47169</v>
      </c>
      <c r="W2390" t="s">
        <v>58621</v>
      </c>
      <c r="X2390" t="s">
        <v>43171</v>
      </c>
    </row>
    <row r="2391" spans="1:24">
      <c r="A2391">
        <f>HYPERLINK("https://www.philgeps.gov.ph/GEPSNONPILOT/Tender/SplashBidNoticeAbstractUI.aspx?menuIndex=3&amp;refID=7086053&amp;Result=3","7086053")</f>
        <v>0</v>
      </c>
      <c r="B2391" t="s">
        <v>802</v>
      </c>
      <c r="C2391" t="s">
        <v>5707</v>
      </c>
      <c r="D2391" t="s">
        <v>17415</v>
      </c>
      <c r="E2391" t="s">
        <v>19605</v>
      </c>
      <c r="F2391" t="s">
        <v>30052</v>
      </c>
      <c r="G2391" t="s">
        <v>30059</v>
      </c>
      <c r="H2391" t="s">
        <v>15498</v>
      </c>
      <c r="I2391" t="s">
        <v>4119</v>
      </c>
      <c r="J2391" t="s">
        <v>31850</v>
      </c>
      <c r="K2391" t="s">
        <v>39017</v>
      </c>
      <c r="M2391" t="s">
        <v>40119</v>
      </c>
      <c r="N2391" t="s">
        <v>43166</v>
      </c>
      <c r="O2391" t="s">
        <v>43167</v>
      </c>
      <c r="P2391">
        <v>0</v>
      </c>
      <c r="Q2391">
        <v>7</v>
      </c>
      <c r="R2391" t="s">
        <v>43170</v>
      </c>
      <c r="S2391" t="s">
        <v>43297</v>
      </c>
      <c r="T2391" t="s">
        <v>44732</v>
      </c>
      <c r="U2391" t="s">
        <v>46770</v>
      </c>
      <c r="W2391" t="s">
        <v>40119</v>
      </c>
      <c r="X2391" t="s">
        <v>43171</v>
      </c>
    </row>
    <row r="2392" spans="1:24">
      <c r="A2392">
        <f>HYPERLINK("https://www.philgeps.gov.ph/GEPSNONPILOT/Tender/SplashBidNoticeAbstractUI.aspx?menuIndex=3&amp;refID=7086050&amp;Result=3","7086050")</f>
        <v>0</v>
      </c>
      <c r="B2392" t="s">
        <v>544</v>
      </c>
      <c r="C2392" t="s">
        <v>5708</v>
      </c>
      <c r="D2392" t="s">
        <v>17434</v>
      </c>
      <c r="E2392" t="s">
        <v>19606</v>
      </c>
      <c r="F2392" t="s">
        <v>30052</v>
      </c>
      <c r="G2392" t="s">
        <v>30061</v>
      </c>
      <c r="H2392" t="s">
        <v>15498</v>
      </c>
      <c r="I2392" t="s">
        <v>4119</v>
      </c>
      <c r="J2392" t="s">
        <v>30593</v>
      </c>
      <c r="K2392" t="s">
        <v>39018</v>
      </c>
      <c r="M2392" t="s">
        <v>40257</v>
      </c>
      <c r="N2392" t="s">
        <v>43166</v>
      </c>
      <c r="O2392" t="s">
        <v>43167</v>
      </c>
      <c r="P2392">
        <v>0</v>
      </c>
      <c r="Q2392">
        <v>4</v>
      </c>
      <c r="R2392" t="s">
        <v>43170</v>
      </c>
      <c r="S2392" t="s">
        <v>43297</v>
      </c>
      <c r="T2392" t="s">
        <v>44735</v>
      </c>
      <c r="U2392" t="s">
        <v>47170</v>
      </c>
      <c r="W2392" t="s">
        <v>40257</v>
      </c>
      <c r="X2392" t="s">
        <v>43171</v>
      </c>
    </row>
    <row r="2393" spans="1:24">
      <c r="A2393">
        <f>HYPERLINK("https://www.philgeps.gov.ph/GEPSNONPILOT/Tender/SplashBidNoticeAbstractUI.aspx?menuIndex=3&amp;refID=7086062&amp;Result=3","7086062")</f>
        <v>0</v>
      </c>
      <c r="B2393" t="s">
        <v>925</v>
      </c>
      <c r="C2393" t="s">
        <v>5709</v>
      </c>
      <c r="D2393" t="s">
        <v>17474</v>
      </c>
      <c r="E2393" t="s">
        <v>19607</v>
      </c>
      <c r="F2393" t="s">
        <v>30052</v>
      </c>
      <c r="G2393" t="s">
        <v>30058</v>
      </c>
      <c r="H2393" t="s">
        <v>30067</v>
      </c>
      <c r="I2393" t="s">
        <v>3693</v>
      </c>
      <c r="J2393" t="s">
        <v>31851</v>
      </c>
      <c r="K2393" t="s">
        <v>39104</v>
      </c>
      <c r="M2393" t="s">
        <v>40248</v>
      </c>
      <c r="N2393" t="s">
        <v>43166</v>
      </c>
      <c r="O2393" t="s">
        <v>43167</v>
      </c>
      <c r="P2393">
        <v>0</v>
      </c>
      <c r="Q2393">
        <v>2</v>
      </c>
      <c r="R2393" t="s">
        <v>43170</v>
      </c>
      <c r="S2393" t="s">
        <v>43297</v>
      </c>
      <c r="T2393" t="s">
        <v>44842</v>
      </c>
      <c r="U2393" t="s">
        <v>47053</v>
      </c>
      <c r="W2393" t="s">
        <v>40248</v>
      </c>
      <c r="X2393" t="s">
        <v>43171</v>
      </c>
    </row>
    <row r="2394" spans="1:24">
      <c r="A2394">
        <f>HYPERLINK("https://www.philgeps.gov.ph/GEPSNONPILOT/Tender/SplashBidNoticeAbstractUI.aspx?menuIndex=3&amp;refID=7086045&amp;Result=3","7086045")</f>
        <v>0</v>
      </c>
      <c r="B2394" t="s">
        <v>950</v>
      </c>
      <c r="C2394" t="s">
        <v>5710</v>
      </c>
      <c r="D2394" t="s">
        <v>17415</v>
      </c>
      <c r="E2394" t="s">
        <v>19608</v>
      </c>
      <c r="F2394" t="s">
        <v>30052</v>
      </c>
      <c r="G2394" t="s">
        <v>30058</v>
      </c>
      <c r="H2394" t="s">
        <v>15498</v>
      </c>
      <c r="I2394" t="s">
        <v>7228</v>
      </c>
      <c r="J2394" t="s">
        <v>31852</v>
      </c>
      <c r="K2394" t="s">
        <v>39029</v>
      </c>
      <c r="M2394" t="s">
        <v>40274</v>
      </c>
      <c r="N2394" t="s">
        <v>43166</v>
      </c>
      <c r="O2394" t="s">
        <v>43167</v>
      </c>
      <c r="P2394">
        <v>0</v>
      </c>
      <c r="Q2394">
        <v>0</v>
      </c>
      <c r="R2394" t="s">
        <v>43170</v>
      </c>
      <c r="S2394" t="s">
        <v>43297</v>
      </c>
      <c r="T2394" t="s">
        <v>44681</v>
      </c>
      <c r="U2394" t="s">
        <v>47171</v>
      </c>
      <c r="V2394" t="s">
        <v>57103</v>
      </c>
      <c r="W2394" t="s">
        <v>40274</v>
      </c>
      <c r="X2394" t="s">
        <v>43171</v>
      </c>
    </row>
    <row r="2395" spans="1:24">
      <c r="A2395">
        <f>HYPERLINK("https://www.philgeps.gov.ph/GEPSNONPILOT/Tender/SplashBidNoticeAbstractUI.aspx?menuIndex=3&amp;refID=7086059&amp;Result=3","7086059")</f>
        <v>0</v>
      </c>
      <c r="B2395" t="s">
        <v>954</v>
      </c>
      <c r="C2395" t="s">
        <v>5711</v>
      </c>
      <c r="D2395" t="s">
        <v>17463</v>
      </c>
      <c r="E2395" t="s">
        <v>19609</v>
      </c>
      <c r="F2395" t="s">
        <v>30052</v>
      </c>
      <c r="G2395" t="s">
        <v>30062</v>
      </c>
      <c r="H2395" t="s">
        <v>15498</v>
      </c>
      <c r="I2395" t="s">
        <v>4650</v>
      </c>
      <c r="J2395" t="s">
        <v>31853</v>
      </c>
      <c r="K2395" t="s">
        <v>39029</v>
      </c>
      <c r="M2395" t="s">
        <v>40280</v>
      </c>
      <c r="N2395" t="s">
        <v>43166</v>
      </c>
      <c r="O2395" t="s">
        <v>43167</v>
      </c>
      <c r="P2395">
        <v>0</v>
      </c>
      <c r="Q2395">
        <v>0</v>
      </c>
      <c r="R2395" t="s">
        <v>43170</v>
      </c>
      <c r="S2395" t="s">
        <v>43297</v>
      </c>
      <c r="T2395" t="s">
        <v>44816</v>
      </c>
      <c r="U2395" t="s">
        <v>47172</v>
      </c>
      <c r="W2395" t="s">
        <v>40280</v>
      </c>
      <c r="X2395" t="s">
        <v>43171</v>
      </c>
    </row>
    <row r="2396" spans="1:24">
      <c r="A2396">
        <f>HYPERLINK("https://www.philgeps.gov.ph/GEPSNONPILOT/Tender/SplashBidNoticeAbstractUI.aspx?menuIndex=3&amp;refID=7086043&amp;Result=3","7086043")</f>
        <v>0</v>
      </c>
      <c r="B2396" t="s">
        <v>959</v>
      </c>
      <c r="C2396" t="s">
        <v>5712</v>
      </c>
      <c r="D2396" t="s">
        <v>17422</v>
      </c>
      <c r="E2396" t="s">
        <v>19610</v>
      </c>
      <c r="F2396" t="s">
        <v>30052</v>
      </c>
      <c r="G2396" t="s">
        <v>30058</v>
      </c>
      <c r="H2396" t="s">
        <v>15498</v>
      </c>
      <c r="I2396" t="s">
        <v>30083</v>
      </c>
      <c r="J2396" t="s">
        <v>31854</v>
      </c>
      <c r="K2396" t="s">
        <v>39029</v>
      </c>
      <c r="M2396" t="s">
        <v>40285</v>
      </c>
      <c r="N2396" t="s">
        <v>43166</v>
      </c>
      <c r="O2396" t="s">
        <v>43167</v>
      </c>
      <c r="P2396">
        <v>0</v>
      </c>
      <c r="Q2396">
        <v>0</v>
      </c>
      <c r="R2396" t="s">
        <v>43170</v>
      </c>
      <c r="S2396" t="s">
        <v>43297</v>
      </c>
      <c r="T2396" t="s">
        <v>44750</v>
      </c>
      <c r="U2396" t="s">
        <v>47173</v>
      </c>
      <c r="V2396" t="s">
        <v>57105</v>
      </c>
      <c r="W2396" t="s">
        <v>40285</v>
      </c>
      <c r="X2396" t="s">
        <v>43171</v>
      </c>
    </row>
    <row r="2397" spans="1:24">
      <c r="A2397">
        <f>HYPERLINK("https://www.philgeps.gov.ph/GEPSNONPILOT/Tender/SplashBidNoticeAbstractUI.aspx?menuIndex=3&amp;refID=7086021&amp;Result=3","7086021")</f>
        <v>0</v>
      </c>
      <c r="B2397" t="s">
        <v>145</v>
      </c>
      <c r="C2397" t="s">
        <v>5713</v>
      </c>
      <c r="D2397" t="s">
        <v>17453</v>
      </c>
      <c r="E2397" t="s">
        <v>19611</v>
      </c>
      <c r="F2397" t="s">
        <v>30052</v>
      </c>
      <c r="G2397" t="s">
        <v>30058</v>
      </c>
      <c r="H2397" t="s">
        <v>15498</v>
      </c>
      <c r="I2397" t="s">
        <v>30088</v>
      </c>
      <c r="J2397" t="s">
        <v>31855</v>
      </c>
      <c r="K2397" t="s">
        <v>39046</v>
      </c>
      <c r="M2397" t="s">
        <v>40279</v>
      </c>
      <c r="N2397" t="s">
        <v>43166</v>
      </c>
      <c r="O2397" t="s">
        <v>43167</v>
      </c>
      <c r="P2397">
        <v>0</v>
      </c>
      <c r="Q2397">
        <v>6</v>
      </c>
      <c r="R2397" t="s">
        <v>43170</v>
      </c>
      <c r="S2397" t="s">
        <v>43297</v>
      </c>
      <c r="T2397" t="s">
        <v>44911</v>
      </c>
      <c r="U2397" t="s">
        <v>47174</v>
      </c>
      <c r="W2397" t="s">
        <v>58619</v>
      </c>
      <c r="X2397" t="s">
        <v>43171</v>
      </c>
    </row>
    <row r="2398" spans="1:24">
      <c r="A2398">
        <f>HYPERLINK("https://www.philgeps.gov.ph/GEPSNONPILOT/Tender/SplashBidNoticeAbstractUI.aspx?menuIndex=3&amp;refID=7086054&amp;Result=3","7086054")</f>
        <v>0</v>
      </c>
      <c r="B2398" t="s">
        <v>949</v>
      </c>
      <c r="C2398" t="s">
        <v>5714</v>
      </c>
      <c r="D2398" t="s">
        <v>17458</v>
      </c>
      <c r="E2398" t="s">
        <v>19612</v>
      </c>
      <c r="F2398" t="s">
        <v>30052</v>
      </c>
      <c r="G2398" t="s">
        <v>30059</v>
      </c>
      <c r="H2398" t="s">
        <v>15498</v>
      </c>
      <c r="I2398" t="s">
        <v>4598</v>
      </c>
      <c r="J2398" t="s">
        <v>30287</v>
      </c>
      <c r="K2398" t="s">
        <v>39034</v>
      </c>
      <c r="M2398" t="s">
        <v>40273</v>
      </c>
      <c r="N2398" t="s">
        <v>43166</v>
      </c>
      <c r="O2398" t="s">
        <v>43167</v>
      </c>
      <c r="P2398">
        <v>0</v>
      </c>
      <c r="Q2398">
        <v>3</v>
      </c>
      <c r="R2398" t="s">
        <v>43170</v>
      </c>
      <c r="S2398" t="s">
        <v>43297</v>
      </c>
      <c r="T2398" t="s">
        <v>44880</v>
      </c>
      <c r="U2398" t="s">
        <v>47127</v>
      </c>
      <c r="W2398" t="s">
        <v>40273</v>
      </c>
      <c r="X2398" t="s">
        <v>43171</v>
      </c>
    </row>
    <row r="2399" spans="1:24">
      <c r="A2399">
        <f>HYPERLINK("https://www.philgeps.gov.ph/GEPSNONPILOT/Tender/SplashBidNoticeAbstractUI.aspx?menuIndex=3&amp;refID=7086049&amp;Result=3","7086049")</f>
        <v>0</v>
      </c>
      <c r="B2399" t="s">
        <v>937</v>
      </c>
      <c r="C2399" t="s">
        <v>5715</v>
      </c>
      <c r="D2399" t="s">
        <v>17428</v>
      </c>
      <c r="E2399" t="s">
        <v>19613</v>
      </c>
      <c r="F2399" t="s">
        <v>30052</v>
      </c>
      <c r="G2399" t="s">
        <v>30059</v>
      </c>
      <c r="H2399" t="s">
        <v>15498</v>
      </c>
      <c r="I2399" t="s">
        <v>30130</v>
      </c>
      <c r="J2399" t="s">
        <v>31856</v>
      </c>
      <c r="K2399" t="s">
        <v>39019</v>
      </c>
      <c r="M2399" t="s">
        <v>40261</v>
      </c>
      <c r="N2399" t="s">
        <v>43166</v>
      </c>
      <c r="O2399" t="s">
        <v>43167</v>
      </c>
      <c r="Q2399">
        <v>2</v>
      </c>
      <c r="R2399" t="s">
        <v>43170</v>
      </c>
      <c r="S2399" t="s">
        <v>43307</v>
      </c>
      <c r="T2399" t="s">
        <v>44888</v>
      </c>
      <c r="U2399" t="s">
        <v>47175</v>
      </c>
      <c r="W2399" t="s">
        <v>40261</v>
      </c>
      <c r="X2399" t="s">
        <v>43171</v>
      </c>
    </row>
    <row r="2400" spans="1:24">
      <c r="A2400">
        <f>HYPERLINK("https://www.philgeps.gov.ph/GEPSNONPILOT/Tender/SplashBidNoticeAbstractUI.aspx?menuIndex=3&amp;refID=7086055&amp;Result=3","7086055")</f>
        <v>0</v>
      </c>
      <c r="B2400" t="s">
        <v>838</v>
      </c>
      <c r="C2400" t="s">
        <v>5716</v>
      </c>
      <c r="D2400" t="s">
        <v>17419</v>
      </c>
      <c r="E2400" t="s">
        <v>18476</v>
      </c>
      <c r="F2400" t="s">
        <v>30052</v>
      </c>
      <c r="G2400" t="s">
        <v>30061</v>
      </c>
      <c r="H2400" t="s">
        <v>15498</v>
      </c>
      <c r="I2400" t="s">
        <v>30076</v>
      </c>
      <c r="J2400" t="s">
        <v>31857</v>
      </c>
      <c r="K2400" t="s">
        <v>39029</v>
      </c>
      <c r="M2400" t="s">
        <v>40155</v>
      </c>
      <c r="N2400" t="s">
        <v>43166</v>
      </c>
      <c r="O2400" t="s">
        <v>43167</v>
      </c>
      <c r="P2400">
        <v>0</v>
      </c>
      <c r="Q2400">
        <v>5</v>
      </c>
      <c r="R2400" t="s">
        <v>43170</v>
      </c>
      <c r="S2400" t="s">
        <v>43297</v>
      </c>
      <c r="T2400" t="s">
        <v>44681</v>
      </c>
      <c r="U2400" t="s">
        <v>47176</v>
      </c>
      <c r="W2400" t="s">
        <v>40155</v>
      </c>
      <c r="X2400" t="s">
        <v>43171</v>
      </c>
    </row>
    <row r="2401" spans="1:24">
      <c r="A2401">
        <f>HYPERLINK("https://www.philgeps.gov.ph/GEPSNONPILOT/Tender/SplashBidNoticeAbstractUI.aspx?menuIndex=3&amp;refID=7086048&amp;Result=3","7086048")</f>
        <v>0</v>
      </c>
      <c r="B2401" t="s">
        <v>946</v>
      </c>
      <c r="C2401" t="s">
        <v>5695</v>
      </c>
      <c r="D2401" t="s">
        <v>17456</v>
      </c>
      <c r="E2401" t="s">
        <v>19614</v>
      </c>
      <c r="F2401" t="s">
        <v>30052</v>
      </c>
      <c r="G2401" t="s">
        <v>30059</v>
      </c>
      <c r="H2401" t="s">
        <v>15498</v>
      </c>
      <c r="I2401" t="s">
        <v>9238</v>
      </c>
      <c r="J2401" t="s">
        <v>30545</v>
      </c>
      <c r="K2401" t="s">
        <v>39017</v>
      </c>
      <c r="M2401" t="s">
        <v>40270</v>
      </c>
      <c r="N2401" t="s">
        <v>43166</v>
      </c>
      <c r="O2401" t="s">
        <v>43167</v>
      </c>
      <c r="P2401">
        <v>0</v>
      </c>
      <c r="Q2401">
        <v>1</v>
      </c>
      <c r="R2401" t="s">
        <v>43170</v>
      </c>
      <c r="S2401" t="s">
        <v>43297</v>
      </c>
      <c r="T2401" t="s">
        <v>44773</v>
      </c>
      <c r="U2401" t="s">
        <v>47177</v>
      </c>
      <c r="W2401" t="s">
        <v>40270</v>
      </c>
      <c r="X2401" t="s">
        <v>43171</v>
      </c>
    </row>
    <row r="2402" spans="1:24">
      <c r="A2402">
        <f>HYPERLINK("https://www.philgeps.gov.ph/GEPSNONPILOT/Tender/SplashBidNoticeAbstractUI.aspx?menuIndex=3&amp;refID=7086074&amp;Result=3","7086074")</f>
        <v>0</v>
      </c>
      <c r="B2402" t="s">
        <v>960</v>
      </c>
      <c r="C2402" t="s">
        <v>5717</v>
      </c>
      <c r="D2402" t="s">
        <v>17415</v>
      </c>
      <c r="E2402" t="s">
        <v>19615</v>
      </c>
      <c r="F2402" t="s">
        <v>30052</v>
      </c>
      <c r="G2402" t="s">
        <v>30059</v>
      </c>
      <c r="H2402" t="s">
        <v>15498</v>
      </c>
      <c r="I2402" t="s">
        <v>8323</v>
      </c>
      <c r="J2402" t="s">
        <v>31858</v>
      </c>
      <c r="K2402" t="s">
        <v>39019</v>
      </c>
      <c r="M2402" t="s">
        <v>40286</v>
      </c>
      <c r="N2402" t="s">
        <v>43166</v>
      </c>
      <c r="O2402" t="s">
        <v>43167</v>
      </c>
      <c r="P2402">
        <v>0</v>
      </c>
      <c r="Q2402">
        <v>10</v>
      </c>
      <c r="R2402" t="s">
        <v>43170</v>
      </c>
      <c r="S2402" t="s">
        <v>43297</v>
      </c>
      <c r="T2402" t="s">
        <v>44735</v>
      </c>
      <c r="U2402" t="s">
        <v>47178</v>
      </c>
      <c r="V2402" t="s">
        <v>57106</v>
      </c>
      <c r="W2402" t="s">
        <v>40286</v>
      </c>
      <c r="X2402" t="s">
        <v>43171</v>
      </c>
    </row>
    <row r="2403" spans="1:24">
      <c r="A2403">
        <f>HYPERLINK("https://www.philgeps.gov.ph/GEPSNONPILOT/Tender/SplashBidNoticeAbstractUI.aspx?menuIndex=3&amp;refID=7086094&amp;Result=3","7086094")</f>
        <v>0</v>
      </c>
      <c r="B2403" t="s">
        <v>415</v>
      </c>
      <c r="C2403" t="s">
        <v>5718</v>
      </c>
      <c r="D2403" t="s">
        <v>17472</v>
      </c>
      <c r="E2403" t="s">
        <v>18363</v>
      </c>
      <c r="F2403" t="s">
        <v>30052</v>
      </c>
      <c r="G2403" t="s">
        <v>30061</v>
      </c>
      <c r="H2403" t="s">
        <v>15498</v>
      </c>
      <c r="I2403" t="s">
        <v>30073</v>
      </c>
      <c r="J2403" t="s">
        <v>31859</v>
      </c>
      <c r="K2403" t="s">
        <v>39034</v>
      </c>
      <c r="M2403" t="s">
        <v>39714</v>
      </c>
      <c r="N2403" t="s">
        <v>43166</v>
      </c>
      <c r="O2403" t="s">
        <v>43167</v>
      </c>
      <c r="P2403">
        <v>0</v>
      </c>
      <c r="Q2403">
        <v>0</v>
      </c>
      <c r="R2403" t="s">
        <v>43170</v>
      </c>
      <c r="S2403" t="s">
        <v>43297</v>
      </c>
      <c r="T2403" t="s">
        <v>44685</v>
      </c>
      <c r="U2403" t="s">
        <v>47179</v>
      </c>
      <c r="W2403" t="s">
        <v>39714</v>
      </c>
      <c r="X2403" t="s">
        <v>43171</v>
      </c>
    </row>
    <row r="2404" spans="1:24">
      <c r="A2404">
        <f>HYPERLINK("https://www.philgeps.gov.ph/GEPSNONPILOT/Tender/SplashBidNoticeAbstractUI.aspx?menuIndex=3&amp;refID=7086093&amp;Result=3","7086093")</f>
        <v>0</v>
      </c>
      <c r="B2404" t="s">
        <v>194</v>
      </c>
      <c r="C2404" t="s">
        <v>5719</v>
      </c>
      <c r="D2404" t="s">
        <v>17438</v>
      </c>
      <c r="E2404" t="s">
        <v>19616</v>
      </c>
      <c r="F2404" t="s">
        <v>30052</v>
      </c>
      <c r="G2404" t="s">
        <v>30059</v>
      </c>
      <c r="H2404" t="s">
        <v>15498</v>
      </c>
      <c r="I2404" t="s">
        <v>30081</v>
      </c>
      <c r="J2404" t="s">
        <v>31860</v>
      </c>
      <c r="K2404" t="s">
        <v>39029</v>
      </c>
      <c r="M2404" t="s">
        <v>39484</v>
      </c>
      <c r="N2404" t="s">
        <v>43166</v>
      </c>
      <c r="O2404" t="s">
        <v>43167</v>
      </c>
      <c r="P2404">
        <v>0</v>
      </c>
      <c r="Q2404">
        <v>0</v>
      </c>
      <c r="R2404" t="s">
        <v>43170</v>
      </c>
      <c r="S2404" t="s">
        <v>43297</v>
      </c>
      <c r="T2404" t="s">
        <v>44717</v>
      </c>
      <c r="U2404" t="s">
        <v>47180</v>
      </c>
      <c r="W2404" t="s">
        <v>39484</v>
      </c>
      <c r="X2404" t="s">
        <v>43171</v>
      </c>
    </row>
    <row r="2405" spans="1:24">
      <c r="A2405">
        <f>HYPERLINK("https://www.philgeps.gov.ph/GEPSNONPILOT/Tender/SplashBidNoticeAbstractUI.aspx?menuIndex=3&amp;refID=7086090&amp;Result=3","7086090")</f>
        <v>0</v>
      </c>
      <c r="B2405" t="s">
        <v>825</v>
      </c>
      <c r="C2405" t="s">
        <v>5720</v>
      </c>
      <c r="D2405" t="s">
        <v>17445</v>
      </c>
      <c r="E2405" t="s">
        <v>19617</v>
      </c>
      <c r="F2405" t="s">
        <v>30052</v>
      </c>
      <c r="G2405" t="s">
        <v>30059</v>
      </c>
      <c r="H2405" t="s">
        <v>15498</v>
      </c>
      <c r="I2405" t="s">
        <v>30159</v>
      </c>
      <c r="J2405" t="s">
        <v>31861</v>
      </c>
      <c r="K2405" t="s">
        <v>39029</v>
      </c>
      <c r="M2405" t="s">
        <v>40142</v>
      </c>
      <c r="N2405" t="s">
        <v>43166</v>
      </c>
      <c r="O2405" t="s">
        <v>43167</v>
      </c>
      <c r="P2405">
        <v>0</v>
      </c>
      <c r="Q2405">
        <v>0</v>
      </c>
      <c r="R2405" t="s">
        <v>43170</v>
      </c>
      <c r="S2405" t="s">
        <v>43297</v>
      </c>
      <c r="T2405" t="s">
        <v>44844</v>
      </c>
      <c r="U2405" t="s">
        <v>47181</v>
      </c>
      <c r="W2405" t="s">
        <v>40142</v>
      </c>
      <c r="X2405" t="s">
        <v>43171</v>
      </c>
    </row>
    <row r="2406" spans="1:24">
      <c r="A2406">
        <f>HYPERLINK("https://www.philgeps.gov.ph/GEPSNONPILOT/Tender/SplashBidNoticeAbstractUI.aspx?menuIndex=3&amp;refID=7086087&amp;Result=3","7086087")</f>
        <v>0</v>
      </c>
      <c r="B2406" t="s">
        <v>607</v>
      </c>
      <c r="C2406" t="s">
        <v>5721</v>
      </c>
      <c r="D2406" t="s">
        <v>17459</v>
      </c>
      <c r="E2406" t="s">
        <v>19618</v>
      </c>
      <c r="F2406" t="s">
        <v>30052</v>
      </c>
      <c r="G2406" t="s">
        <v>30059</v>
      </c>
      <c r="H2406" t="s">
        <v>15498</v>
      </c>
      <c r="I2406" t="s">
        <v>30096</v>
      </c>
      <c r="J2406" t="s">
        <v>31862</v>
      </c>
      <c r="K2406" t="s">
        <v>39046</v>
      </c>
      <c r="M2406" t="s">
        <v>39909</v>
      </c>
      <c r="N2406" t="s">
        <v>43166</v>
      </c>
      <c r="O2406" t="s">
        <v>43167</v>
      </c>
      <c r="P2406">
        <v>0</v>
      </c>
      <c r="Q2406">
        <v>2</v>
      </c>
      <c r="R2406" t="s">
        <v>43170</v>
      </c>
      <c r="S2406" t="s">
        <v>43297</v>
      </c>
      <c r="T2406" t="s">
        <v>44714</v>
      </c>
      <c r="U2406" t="s">
        <v>47182</v>
      </c>
      <c r="W2406" t="s">
        <v>39909</v>
      </c>
      <c r="X2406" t="s">
        <v>43171</v>
      </c>
    </row>
    <row r="2407" spans="1:24">
      <c r="A2407">
        <f>HYPERLINK("https://www.philgeps.gov.ph/GEPSNONPILOT/Tender/SplashBidNoticeAbstractUI.aspx?menuIndex=3&amp;refID=7086085&amp;Result=3","7086085")</f>
        <v>0</v>
      </c>
      <c r="B2407" t="s">
        <v>260</v>
      </c>
      <c r="C2407" t="s">
        <v>5722</v>
      </c>
      <c r="D2407" t="s">
        <v>17452</v>
      </c>
      <c r="E2407" t="s">
        <v>19619</v>
      </c>
      <c r="F2407" t="s">
        <v>30052</v>
      </c>
      <c r="G2407" t="s">
        <v>30059</v>
      </c>
      <c r="H2407" t="s">
        <v>15498</v>
      </c>
      <c r="I2407" t="s">
        <v>30111</v>
      </c>
      <c r="J2407" t="s">
        <v>30330</v>
      </c>
      <c r="K2407" t="s">
        <v>39029</v>
      </c>
      <c r="M2407" t="s">
        <v>40228</v>
      </c>
      <c r="N2407" t="s">
        <v>43166</v>
      </c>
      <c r="O2407" t="s">
        <v>43167</v>
      </c>
      <c r="P2407">
        <v>0</v>
      </c>
      <c r="Q2407">
        <v>4</v>
      </c>
      <c r="R2407" t="s">
        <v>43170</v>
      </c>
      <c r="S2407" t="s">
        <v>43297</v>
      </c>
      <c r="T2407" t="s">
        <v>44856</v>
      </c>
      <c r="U2407" t="s">
        <v>47002</v>
      </c>
      <c r="W2407" t="s">
        <v>40228</v>
      </c>
      <c r="X2407" t="s">
        <v>43171</v>
      </c>
    </row>
    <row r="2408" spans="1:24">
      <c r="A2408">
        <f>HYPERLINK("https://www.philgeps.gov.ph/GEPSNONPILOT/Tender/SplashBidNoticeAbstractUI.aspx?menuIndex=3&amp;refID=7086083&amp;Result=3","7086083")</f>
        <v>0</v>
      </c>
      <c r="B2408" t="s">
        <v>937</v>
      </c>
      <c r="C2408" t="s">
        <v>4790</v>
      </c>
      <c r="D2408" t="s">
        <v>17428</v>
      </c>
      <c r="E2408" t="s">
        <v>19620</v>
      </c>
      <c r="F2408" t="s">
        <v>30052</v>
      </c>
      <c r="G2408" t="s">
        <v>30062</v>
      </c>
      <c r="H2408" t="s">
        <v>15498</v>
      </c>
      <c r="I2408" t="s">
        <v>30070</v>
      </c>
      <c r="J2408" t="s">
        <v>31800</v>
      </c>
      <c r="K2408" t="s">
        <v>39019</v>
      </c>
      <c r="M2408" t="s">
        <v>40261</v>
      </c>
      <c r="N2408" t="s">
        <v>43166</v>
      </c>
      <c r="O2408" t="s">
        <v>43167</v>
      </c>
      <c r="Q2408">
        <v>0</v>
      </c>
      <c r="R2408" t="s">
        <v>43170</v>
      </c>
      <c r="S2408" t="s">
        <v>43308</v>
      </c>
      <c r="T2408" t="s">
        <v>44888</v>
      </c>
      <c r="U2408" t="s">
        <v>47183</v>
      </c>
      <c r="W2408" t="s">
        <v>40261</v>
      </c>
      <c r="X2408" t="s">
        <v>43171</v>
      </c>
    </row>
    <row r="2409" spans="1:24">
      <c r="A2409">
        <f>HYPERLINK("https://www.philgeps.gov.ph/GEPSNONPILOT/Tender/SplashBidNoticeAbstractUI.aspx?menuIndex=3&amp;refID=7086075&amp;Result=3","7086075")</f>
        <v>0</v>
      </c>
      <c r="B2409" t="s">
        <v>194</v>
      </c>
      <c r="C2409" t="s">
        <v>5719</v>
      </c>
      <c r="D2409" t="s">
        <v>17438</v>
      </c>
      <c r="E2409" t="s">
        <v>19621</v>
      </c>
      <c r="F2409" t="s">
        <v>30052</v>
      </c>
      <c r="G2409" t="s">
        <v>30059</v>
      </c>
      <c r="H2409" t="s">
        <v>15498</v>
      </c>
      <c r="I2409" t="s">
        <v>30081</v>
      </c>
      <c r="J2409" t="s">
        <v>31863</v>
      </c>
      <c r="K2409" t="s">
        <v>39029</v>
      </c>
      <c r="M2409" t="s">
        <v>39484</v>
      </c>
      <c r="N2409" t="s">
        <v>43166</v>
      </c>
      <c r="O2409" t="s">
        <v>43167</v>
      </c>
      <c r="P2409">
        <v>0</v>
      </c>
      <c r="Q2409">
        <v>0</v>
      </c>
      <c r="R2409" t="s">
        <v>43170</v>
      </c>
      <c r="S2409" t="s">
        <v>43297</v>
      </c>
      <c r="T2409" t="s">
        <v>44717</v>
      </c>
      <c r="U2409" t="s">
        <v>47184</v>
      </c>
      <c r="W2409" t="s">
        <v>39484</v>
      </c>
      <c r="X2409" t="s">
        <v>43171</v>
      </c>
    </row>
    <row r="2410" spans="1:24">
      <c r="A2410">
        <f>HYPERLINK("https://www.philgeps.gov.ph/GEPSNONPILOT/Tender/SplashBidNoticeAbstractUI.aspx?menuIndex=3&amp;refID=7086072&amp;Result=3","7086072")</f>
        <v>0</v>
      </c>
      <c r="B2410" t="s">
        <v>961</v>
      </c>
      <c r="C2410" t="s">
        <v>5723</v>
      </c>
      <c r="D2410" t="s">
        <v>17480</v>
      </c>
      <c r="E2410" t="s">
        <v>19622</v>
      </c>
      <c r="F2410" t="s">
        <v>30052</v>
      </c>
      <c r="G2410" t="s">
        <v>30058</v>
      </c>
      <c r="H2410" t="s">
        <v>15498</v>
      </c>
      <c r="I2410" t="s">
        <v>30084</v>
      </c>
      <c r="J2410" t="s">
        <v>31864</v>
      </c>
      <c r="K2410" t="s">
        <v>39029</v>
      </c>
      <c r="M2410" t="s">
        <v>40287</v>
      </c>
      <c r="N2410" t="s">
        <v>43166</v>
      </c>
      <c r="O2410" t="s">
        <v>43167</v>
      </c>
      <c r="P2410">
        <v>0</v>
      </c>
      <c r="Q2410">
        <v>10</v>
      </c>
      <c r="R2410" t="s">
        <v>43170</v>
      </c>
      <c r="S2410" t="s">
        <v>43297</v>
      </c>
      <c r="T2410" t="s">
        <v>44790</v>
      </c>
      <c r="U2410" t="s">
        <v>47185</v>
      </c>
      <c r="W2410" t="s">
        <v>40287</v>
      </c>
      <c r="X2410" t="s">
        <v>43171</v>
      </c>
    </row>
    <row r="2411" spans="1:24">
      <c r="A2411">
        <f>HYPERLINK("https://www.philgeps.gov.ph/GEPSNONPILOT/Tender/SplashBidNoticeAbstractUI.aspx?menuIndex=3&amp;refID=7086095&amp;Result=3","7086095")</f>
        <v>0</v>
      </c>
      <c r="B2411" t="s">
        <v>925</v>
      </c>
      <c r="C2411" t="s">
        <v>5724</v>
      </c>
      <c r="D2411" t="s">
        <v>17474</v>
      </c>
      <c r="E2411" t="s">
        <v>19623</v>
      </c>
      <c r="F2411" t="s">
        <v>30052</v>
      </c>
      <c r="G2411" t="s">
        <v>30058</v>
      </c>
      <c r="H2411" t="s">
        <v>30067</v>
      </c>
      <c r="I2411" t="s">
        <v>3693</v>
      </c>
      <c r="J2411" t="s">
        <v>31851</v>
      </c>
      <c r="K2411" t="s">
        <v>39104</v>
      </c>
      <c r="M2411" t="s">
        <v>40248</v>
      </c>
      <c r="N2411" t="s">
        <v>43166</v>
      </c>
      <c r="O2411" t="s">
        <v>43167</v>
      </c>
      <c r="P2411">
        <v>0</v>
      </c>
      <c r="Q2411">
        <v>2</v>
      </c>
      <c r="R2411" t="s">
        <v>43170</v>
      </c>
      <c r="S2411" t="s">
        <v>43297</v>
      </c>
      <c r="T2411" t="s">
        <v>44842</v>
      </c>
      <c r="U2411" t="s">
        <v>47053</v>
      </c>
      <c r="W2411" t="s">
        <v>40248</v>
      </c>
      <c r="X2411" t="s">
        <v>43171</v>
      </c>
    </row>
    <row r="2412" spans="1:24">
      <c r="A2412">
        <f>HYPERLINK("https://www.philgeps.gov.ph/GEPSNONPILOT/Tender/SplashBidNoticeAbstractUI.aspx?menuIndex=3&amp;refID=7086109&amp;Result=3","7086109")</f>
        <v>0</v>
      </c>
      <c r="B2412" t="s">
        <v>415</v>
      </c>
      <c r="C2412" t="s">
        <v>5725</v>
      </c>
      <c r="D2412" t="s">
        <v>17472</v>
      </c>
      <c r="E2412" t="s">
        <v>18363</v>
      </c>
      <c r="F2412" t="s">
        <v>30052</v>
      </c>
      <c r="G2412" t="s">
        <v>30061</v>
      </c>
      <c r="H2412" t="s">
        <v>15498</v>
      </c>
      <c r="I2412" t="s">
        <v>30073</v>
      </c>
      <c r="J2412" t="s">
        <v>31865</v>
      </c>
      <c r="K2412" t="s">
        <v>39034</v>
      </c>
      <c r="M2412" t="s">
        <v>39714</v>
      </c>
      <c r="N2412" t="s">
        <v>43166</v>
      </c>
      <c r="O2412" t="s">
        <v>43167</v>
      </c>
      <c r="P2412">
        <v>0</v>
      </c>
      <c r="Q2412">
        <v>0</v>
      </c>
      <c r="R2412" t="s">
        <v>43170</v>
      </c>
      <c r="S2412" t="s">
        <v>43297</v>
      </c>
      <c r="T2412" t="s">
        <v>44685</v>
      </c>
      <c r="U2412" t="s">
        <v>47186</v>
      </c>
      <c r="W2412" t="s">
        <v>39714</v>
      </c>
      <c r="X2412" t="s">
        <v>43171</v>
      </c>
    </row>
    <row r="2413" spans="1:24">
      <c r="A2413">
        <f>HYPERLINK("https://www.philgeps.gov.ph/GEPSNONPILOT/Tender/SplashBidNoticeAbstractUI.aspx?menuIndex=3&amp;refID=7086108&amp;Result=3","7086108")</f>
        <v>0</v>
      </c>
      <c r="B2413" t="s">
        <v>802</v>
      </c>
      <c r="C2413" t="s">
        <v>5726</v>
      </c>
      <c r="D2413" t="s">
        <v>17415</v>
      </c>
      <c r="E2413" t="s">
        <v>19624</v>
      </c>
      <c r="F2413" t="s">
        <v>30052</v>
      </c>
      <c r="G2413" t="s">
        <v>30059</v>
      </c>
      <c r="H2413" t="s">
        <v>15498</v>
      </c>
      <c r="I2413" t="s">
        <v>4119</v>
      </c>
      <c r="J2413" t="s">
        <v>31866</v>
      </c>
      <c r="K2413" t="s">
        <v>39017</v>
      </c>
      <c r="M2413" t="s">
        <v>40119</v>
      </c>
      <c r="N2413" t="s">
        <v>43166</v>
      </c>
      <c r="O2413" t="s">
        <v>43167</v>
      </c>
      <c r="P2413">
        <v>0</v>
      </c>
      <c r="Q2413">
        <v>4</v>
      </c>
      <c r="R2413" t="s">
        <v>43170</v>
      </c>
      <c r="S2413" t="s">
        <v>43297</v>
      </c>
      <c r="T2413" t="s">
        <v>44732</v>
      </c>
      <c r="U2413" t="s">
        <v>46770</v>
      </c>
      <c r="W2413" t="s">
        <v>40119</v>
      </c>
      <c r="X2413" t="s">
        <v>43171</v>
      </c>
    </row>
    <row r="2414" spans="1:24">
      <c r="A2414">
        <f>HYPERLINK("https://www.philgeps.gov.ph/GEPSNONPILOT/Tender/SplashBidNoticeAbstractUI.aspx?menuIndex=3&amp;refID=7086104&amp;Result=3","7086104")</f>
        <v>0</v>
      </c>
      <c r="B2414" t="s">
        <v>949</v>
      </c>
      <c r="C2414" t="s">
        <v>5727</v>
      </c>
      <c r="D2414" t="s">
        <v>17458</v>
      </c>
      <c r="E2414" t="s">
        <v>19625</v>
      </c>
      <c r="F2414" t="s">
        <v>30052</v>
      </c>
      <c r="G2414" t="s">
        <v>30059</v>
      </c>
      <c r="H2414" t="s">
        <v>15498</v>
      </c>
      <c r="I2414" t="s">
        <v>30111</v>
      </c>
      <c r="J2414" t="s">
        <v>30395</v>
      </c>
      <c r="K2414" t="s">
        <v>39036</v>
      </c>
      <c r="M2414" t="s">
        <v>40273</v>
      </c>
      <c r="N2414" t="s">
        <v>43166</v>
      </c>
      <c r="O2414" t="s">
        <v>43167</v>
      </c>
      <c r="P2414">
        <v>0</v>
      </c>
      <c r="Q2414">
        <v>0</v>
      </c>
      <c r="R2414" t="s">
        <v>43170</v>
      </c>
      <c r="S2414" t="s">
        <v>43297</v>
      </c>
      <c r="T2414" t="s">
        <v>44914</v>
      </c>
      <c r="U2414" t="s">
        <v>47127</v>
      </c>
      <c r="W2414" t="s">
        <v>40273</v>
      </c>
      <c r="X2414" t="s">
        <v>43171</v>
      </c>
    </row>
    <row r="2415" spans="1:24">
      <c r="A2415">
        <f>HYPERLINK("https://www.philgeps.gov.ph/GEPSNONPILOT/Tender/SplashBidNoticeAbstractUI.aspx?menuIndex=3&amp;refID=7086103&amp;Result=3","7086103")</f>
        <v>0</v>
      </c>
      <c r="B2415" t="s">
        <v>962</v>
      </c>
      <c r="C2415" t="s">
        <v>5728</v>
      </c>
      <c r="D2415" t="s">
        <v>17460</v>
      </c>
      <c r="E2415" t="s">
        <v>19626</v>
      </c>
      <c r="F2415" t="s">
        <v>30052</v>
      </c>
      <c r="G2415" t="s">
        <v>30059</v>
      </c>
      <c r="H2415" t="s">
        <v>15498</v>
      </c>
      <c r="I2415" t="s">
        <v>6691</v>
      </c>
      <c r="J2415" t="s">
        <v>31867</v>
      </c>
      <c r="K2415" t="s">
        <v>39105</v>
      </c>
      <c r="M2415" t="s">
        <v>40288</v>
      </c>
      <c r="N2415" t="s">
        <v>43166</v>
      </c>
      <c r="O2415" t="s">
        <v>43167</v>
      </c>
      <c r="P2415">
        <v>0</v>
      </c>
      <c r="Q2415">
        <v>0</v>
      </c>
      <c r="R2415" t="s">
        <v>43170</v>
      </c>
      <c r="S2415" t="s">
        <v>43297</v>
      </c>
      <c r="T2415" t="s">
        <v>44864</v>
      </c>
      <c r="U2415" t="s">
        <v>47187</v>
      </c>
      <c r="W2415" t="s">
        <v>40288</v>
      </c>
      <c r="X2415" t="s">
        <v>43171</v>
      </c>
    </row>
    <row r="2416" spans="1:24">
      <c r="A2416">
        <f>HYPERLINK("https://www.philgeps.gov.ph/GEPSNONPILOT/Tender/SplashBidNoticeAbstractUI.aspx?menuIndex=3&amp;refID=7086112&amp;Result=3","7086112")</f>
        <v>0</v>
      </c>
      <c r="B2416" t="s">
        <v>544</v>
      </c>
      <c r="C2416" t="s">
        <v>5729</v>
      </c>
      <c r="D2416" t="s">
        <v>17434</v>
      </c>
      <c r="E2416" t="s">
        <v>19627</v>
      </c>
      <c r="F2416" t="s">
        <v>30052</v>
      </c>
      <c r="G2416" t="s">
        <v>30061</v>
      </c>
      <c r="H2416" t="s">
        <v>15498</v>
      </c>
      <c r="I2416" t="s">
        <v>4119</v>
      </c>
      <c r="J2416" t="s">
        <v>30398</v>
      </c>
      <c r="K2416" t="s">
        <v>39018</v>
      </c>
      <c r="M2416" t="s">
        <v>40257</v>
      </c>
      <c r="N2416" t="s">
        <v>43166</v>
      </c>
      <c r="O2416" t="s">
        <v>43167</v>
      </c>
      <c r="P2416">
        <v>0</v>
      </c>
      <c r="Q2416">
        <v>2</v>
      </c>
      <c r="R2416" t="s">
        <v>43170</v>
      </c>
      <c r="S2416" t="s">
        <v>43297</v>
      </c>
      <c r="T2416" t="s">
        <v>44735</v>
      </c>
      <c r="U2416" t="s">
        <v>47188</v>
      </c>
      <c r="W2416" t="s">
        <v>40257</v>
      </c>
      <c r="X2416" t="s">
        <v>43171</v>
      </c>
    </row>
    <row r="2417" spans="1:24">
      <c r="A2417">
        <f>HYPERLINK("https://www.philgeps.gov.ph/GEPSNONPILOT/Tender/SplashBidNoticeAbstractUI.aspx?menuIndex=3&amp;refID=7086110&amp;Result=3","7086110")</f>
        <v>0</v>
      </c>
      <c r="B2417" t="s">
        <v>963</v>
      </c>
      <c r="C2417" t="s">
        <v>5730</v>
      </c>
      <c r="D2417" t="s">
        <v>17427</v>
      </c>
      <c r="E2417" t="s">
        <v>19628</v>
      </c>
      <c r="F2417" t="s">
        <v>30052</v>
      </c>
      <c r="G2417" t="s">
        <v>30061</v>
      </c>
      <c r="H2417" t="s">
        <v>15498</v>
      </c>
      <c r="I2417" t="s">
        <v>30072</v>
      </c>
      <c r="J2417" t="s">
        <v>30384</v>
      </c>
      <c r="K2417" t="s">
        <v>39059</v>
      </c>
      <c r="L2417" t="s">
        <v>963</v>
      </c>
      <c r="M2417" t="s">
        <v>40289</v>
      </c>
      <c r="N2417" t="s">
        <v>43166</v>
      </c>
      <c r="O2417" t="s">
        <v>43167</v>
      </c>
      <c r="P2417">
        <v>0</v>
      </c>
      <c r="Q2417">
        <v>2</v>
      </c>
      <c r="R2417" t="s">
        <v>43170</v>
      </c>
      <c r="S2417" t="s">
        <v>43297</v>
      </c>
      <c r="T2417" t="s">
        <v>44837</v>
      </c>
      <c r="U2417" t="s">
        <v>47189</v>
      </c>
      <c r="W2417" t="s">
        <v>40289</v>
      </c>
      <c r="X2417" t="s">
        <v>43171</v>
      </c>
    </row>
    <row r="2418" spans="1:24">
      <c r="A2418">
        <f>HYPERLINK("https://www.philgeps.gov.ph/GEPSNONPILOT/Tender/SplashBidNoticeAbstractUI.aspx?menuIndex=3&amp;refID=7086099&amp;Result=3","7086099")</f>
        <v>0</v>
      </c>
      <c r="B2418" t="s">
        <v>950</v>
      </c>
      <c r="C2418" t="s">
        <v>5731</v>
      </c>
      <c r="D2418" t="s">
        <v>17415</v>
      </c>
      <c r="E2418" t="s">
        <v>19629</v>
      </c>
      <c r="F2418" t="s">
        <v>30052</v>
      </c>
      <c r="G2418" t="s">
        <v>30058</v>
      </c>
      <c r="H2418" t="s">
        <v>15498</v>
      </c>
      <c r="I2418" t="s">
        <v>30074</v>
      </c>
      <c r="J2418" t="s">
        <v>31868</v>
      </c>
      <c r="K2418" t="s">
        <v>39029</v>
      </c>
      <c r="M2418" t="s">
        <v>40274</v>
      </c>
      <c r="N2418" t="s">
        <v>43166</v>
      </c>
      <c r="O2418" t="s">
        <v>43167</v>
      </c>
      <c r="P2418">
        <v>0</v>
      </c>
      <c r="Q2418">
        <v>7</v>
      </c>
      <c r="R2418" t="s">
        <v>43170</v>
      </c>
      <c r="S2418" t="s">
        <v>43297</v>
      </c>
      <c r="T2418" t="s">
        <v>44794</v>
      </c>
      <c r="U2418" t="s">
        <v>47190</v>
      </c>
      <c r="V2418" t="s">
        <v>57103</v>
      </c>
      <c r="W2418" t="s">
        <v>40274</v>
      </c>
      <c r="X2418" t="s">
        <v>43171</v>
      </c>
    </row>
    <row r="2419" spans="1:24">
      <c r="A2419">
        <f>HYPERLINK("https://www.philgeps.gov.ph/GEPSNONPILOT/Tender/SplashBidNoticeAbstractUI.aspx?menuIndex=3&amp;refID=7086135&amp;Result=3","7086135")</f>
        <v>0</v>
      </c>
      <c r="B2419" t="s">
        <v>933</v>
      </c>
      <c r="C2419" t="s">
        <v>5732</v>
      </c>
      <c r="D2419" t="s">
        <v>17456</v>
      </c>
      <c r="E2419" t="s">
        <v>19630</v>
      </c>
      <c r="F2419" t="s">
        <v>30052</v>
      </c>
      <c r="G2419" t="s">
        <v>30058</v>
      </c>
      <c r="H2419" t="s">
        <v>30067</v>
      </c>
      <c r="I2419" t="s">
        <v>3693</v>
      </c>
      <c r="J2419" t="s">
        <v>31869</v>
      </c>
      <c r="K2419" t="s">
        <v>39106</v>
      </c>
      <c r="M2419" t="s">
        <v>40256</v>
      </c>
      <c r="N2419" t="s">
        <v>43166</v>
      </c>
      <c r="O2419" t="s">
        <v>43167</v>
      </c>
      <c r="P2419">
        <v>0</v>
      </c>
      <c r="Q2419">
        <v>0</v>
      </c>
      <c r="R2419" t="s">
        <v>43170</v>
      </c>
      <c r="S2419" t="s">
        <v>43297</v>
      </c>
      <c r="T2419" t="s">
        <v>44786</v>
      </c>
      <c r="U2419" t="s">
        <v>47082</v>
      </c>
      <c r="W2419" t="s">
        <v>40256</v>
      </c>
      <c r="X2419" t="s">
        <v>43171</v>
      </c>
    </row>
    <row r="2420" spans="1:24">
      <c r="A2420">
        <f>HYPERLINK("https://www.philgeps.gov.ph/GEPSNONPILOT/Tender/SplashBidNoticeAbstractUI.aspx?menuIndex=3&amp;refID=7086106&amp;Result=3","7086106")</f>
        <v>0</v>
      </c>
      <c r="B2420" t="s">
        <v>964</v>
      </c>
      <c r="C2420" t="s">
        <v>5733</v>
      </c>
      <c r="D2420" t="s">
        <v>17415</v>
      </c>
      <c r="E2420" t="s">
        <v>19631</v>
      </c>
      <c r="F2420" t="s">
        <v>30052</v>
      </c>
      <c r="G2420" t="s">
        <v>30061</v>
      </c>
      <c r="H2420" t="s">
        <v>15498</v>
      </c>
      <c r="I2420" t="s">
        <v>4119</v>
      </c>
      <c r="J2420" t="s">
        <v>31870</v>
      </c>
      <c r="K2420" t="s">
        <v>39019</v>
      </c>
      <c r="M2420" t="s">
        <v>40290</v>
      </c>
      <c r="N2420" t="s">
        <v>43166</v>
      </c>
      <c r="O2420" t="s">
        <v>43167</v>
      </c>
      <c r="P2420">
        <v>0</v>
      </c>
      <c r="Q2420">
        <v>9</v>
      </c>
      <c r="R2420" t="s">
        <v>43170</v>
      </c>
      <c r="S2420" t="s">
        <v>43297</v>
      </c>
      <c r="T2420" t="s">
        <v>44714</v>
      </c>
      <c r="U2420" t="s">
        <v>47191</v>
      </c>
      <c r="V2420" t="s">
        <v>57107</v>
      </c>
      <c r="W2420" t="s">
        <v>40290</v>
      </c>
      <c r="X2420" t="s">
        <v>43171</v>
      </c>
    </row>
    <row r="2421" spans="1:24">
      <c r="A2421">
        <f>HYPERLINK("https://www.philgeps.gov.ph/GEPSNONPILOT/Tender/SplashBidNoticeAbstractUI.aspx?menuIndex=3&amp;refID=7086132&amp;Result=3","7086132")</f>
        <v>0</v>
      </c>
      <c r="B2421" t="s">
        <v>925</v>
      </c>
      <c r="C2421" t="s">
        <v>5734</v>
      </c>
      <c r="D2421" t="s">
        <v>17474</v>
      </c>
      <c r="E2421" t="s">
        <v>19632</v>
      </c>
      <c r="F2421" t="s">
        <v>30052</v>
      </c>
      <c r="G2421" t="s">
        <v>30058</v>
      </c>
      <c r="H2421" t="s">
        <v>30067</v>
      </c>
      <c r="I2421" t="s">
        <v>3693</v>
      </c>
      <c r="J2421" t="s">
        <v>31835</v>
      </c>
      <c r="K2421" t="s">
        <v>39074</v>
      </c>
      <c r="M2421" t="s">
        <v>40248</v>
      </c>
      <c r="N2421" t="s">
        <v>43166</v>
      </c>
      <c r="O2421" t="s">
        <v>43167</v>
      </c>
      <c r="P2421">
        <v>0</v>
      </c>
      <c r="Q2421">
        <v>2</v>
      </c>
      <c r="R2421" t="s">
        <v>43170</v>
      </c>
      <c r="S2421" t="s">
        <v>43297</v>
      </c>
      <c r="T2421" t="s">
        <v>44842</v>
      </c>
      <c r="U2421" t="s">
        <v>47053</v>
      </c>
      <c r="W2421" t="s">
        <v>40248</v>
      </c>
      <c r="X2421" t="s">
        <v>43171</v>
      </c>
    </row>
    <row r="2422" spans="1:24">
      <c r="A2422">
        <f>HYPERLINK("https://www.philgeps.gov.ph/GEPSNONPILOT/Tender/SplashBidNoticeAbstractUI.aspx?menuIndex=3&amp;refID=7086131&amp;Result=3","7086131")</f>
        <v>0</v>
      </c>
      <c r="B2422" t="s">
        <v>965</v>
      </c>
      <c r="C2422" t="s">
        <v>5735</v>
      </c>
      <c r="D2422" t="s">
        <v>17466</v>
      </c>
      <c r="E2422" t="s">
        <v>19633</v>
      </c>
      <c r="F2422" t="s">
        <v>30055</v>
      </c>
      <c r="G2422" t="s">
        <v>30059</v>
      </c>
      <c r="H2422" t="s">
        <v>15498</v>
      </c>
      <c r="I2422" t="s">
        <v>8323</v>
      </c>
      <c r="J2422" t="s">
        <v>31111</v>
      </c>
      <c r="K2422" t="s">
        <v>39017</v>
      </c>
      <c r="M2422" t="s">
        <v>40291</v>
      </c>
      <c r="N2422" t="s">
        <v>43166</v>
      </c>
      <c r="O2422" t="s">
        <v>43167</v>
      </c>
      <c r="P2422">
        <v>0</v>
      </c>
      <c r="Q2422">
        <v>1</v>
      </c>
      <c r="R2422" t="s">
        <v>43170</v>
      </c>
      <c r="S2422" t="s">
        <v>43297</v>
      </c>
      <c r="T2422" t="s">
        <v>44679</v>
      </c>
      <c r="U2422" t="s">
        <v>47192</v>
      </c>
      <c r="W2422" t="s">
        <v>40291</v>
      </c>
      <c r="X2422" t="s">
        <v>43171</v>
      </c>
    </row>
    <row r="2423" spans="1:24">
      <c r="A2423">
        <f>HYPERLINK("https://www.philgeps.gov.ph/GEPSNONPILOT/Tender/SplashBidNoticeAbstractUI.aspx?menuIndex=3&amp;refID=7086076&amp;Result=3","7086076")</f>
        <v>0</v>
      </c>
      <c r="B2423" t="s">
        <v>966</v>
      </c>
      <c r="C2423" t="s">
        <v>5736</v>
      </c>
      <c r="D2423" t="s">
        <v>17448</v>
      </c>
      <c r="E2423" t="s">
        <v>19634</v>
      </c>
      <c r="F2423" t="s">
        <v>30052</v>
      </c>
      <c r="G2423" t="s">
        <v>30061</v>
      </c>
      <c r="H2423" t="s">
        <v>15498</v>
      </c>
      <c r="I2423" t="s">
        <v>3736</v>
      </c>
      <c r="J2423" t="s">
        <v>31871</v>
      </c>
      <c r="K2423" t="s">
        <v>39017</v>
      </c>
      <c r="M2423" t="s">
        <v>40292</v>
      </c>
      <c r="N2423" t="s">
        <v>43166</v>
      </c>
      <c r="O2423" t="s">
        <v>43167</v>
      </c>
      <c r="P2423">
        <v>0</v>
      </c>
      <c r="Q2423">
        <v>0</v>
      </c>
      <c r="R2423" t="s">
        <v>43170</v>
      </c>
      <c r="S2423" t="s">
        <v>43297</v>
      </c>
      <c r="T2423" t="s">
        <v>44715</v>
      </c>
      <c r="U2423" t="s">
        <v>47193</v>
      </c>
      <c r="W2423" t="s">
        <v>40292</v>
      </c>
      <c r="X2423" t="s">
        <v>43171</v>
      </c>
    </row>
    <row r="2424" spans="1:24">
      <c r="A2424">
        <f>HYPERLINK("https://www.philgeps.gov.ph/GEPSNONPILOT/Tender/SplashBidNoticeAbstractUI.aspx?menuIndex=3&amp;refID=7086115&amp;Result=3","7086115")</f>
        <v>0</v>
      </c>
      <c r="B2424" t="s">
        <v>954</v>
      </c>
      <c r="C2424" t="s">
        <v>5737</v>
      </c>
      <c r="D2424" t="s">
        <v>17463</v>
      </c>
      <c r="E2424" t="s">
        <v>19635</v>
      </c>
      <c r="F2424" t="s">
        <v>30052</v>
      </c>
      <c r="G2424" t="s">
        <v>30062</v>
      </c>
      <c r="H2424" t="s">
        <v>15498</v>
      </c>
      <c r="I2424" t="s">
        <v>4650</v>
      </c>
      <c r="J2424" t="s">
        <v>30402</v>
      </c>
      <c r="K2424" t="s">
        <v>39029</v>
      </c>
      <c r="M2424" t="s">
        <v>40280</v>
      </c>
      <c r="N2424" t="s">
        <v>43166</v>
      </c>
      <c r="O2424" t="s">
        <v>43167</v>
      </c>
      <c r="P2424">
        <v>0</v>
      </c>
      <c r="Q2424">
        <v>1</v>
      </c>
      <c r="R2424" t="s">
        <v>43170</v>
      </c>
      <c r="S2424" t="s">
        <v>43297</v>
      </c>
      <c r="T2424" t="s">
        <v>44816</v>
      </c>
      <c r="U2424" t="s">
        <v>47194</v>
      </c>
      <c r="W2424" t="s">
        <v>40280</v>
      </c>
      <c r="X2424" t="s">
        <v>43171</v>
      </c>
    </row>
    <row r="2425" spans="1:24">
      <c r="A2425">
        <f>HYPERLINK("https://www.philgeps.gov.ph/GEPSNONPILOT/Tender/SplashBidNoticeAbstractUI.aspx?menuIndex=3&amp;refID=7086129&amp;Result=3","7086129")</f>
        <v>0</v>
      </c>
      <c r="B2425" t="s">
        <v>868</v>
      </c>
      <c r="C2425" t="s">
        <v>5738</v>
      </c>
      <c r="D2425" t="s">
        <v>17422</v>
      </c>
      <c r="E2425" t="s">
        <v>19636</v>
      </c>
      <c r="F2425" t="s">
        <v>30052</v>
      </c>
      <c r="G2425" t="s">
        <v>30059</v>
      </c>
      <c r="H2425" t="s">
        <v>30069</v>
      </c>
      <c r="I2425" t="s">
        <v>30082</v>
      </c>
      <c r="J2425" t="s">
        <v>31872</v>
      </c>
      <c r="K2425" t="s">
        <v>39019</v>
      </c>
      <c r="M2425" t="s">
        <v>40187</v>
      </c>
      <c r="N2425" t="s">
        <v>43166</v>
      </c>
      <c r="O2425" t="s">
        <v>43167</v>
      </c>
      <c r="P2425">
        <v>0</v>
      </c>
      <c r="Q2425">
        <v>0</v>
      </c>
      <c r="R2425" t="s">
        <v>43170</v>
      </c>
      <c r="S2425" t="s">
        <v>43297</v>
      </c>
      <c r="T2425" t="s">
        <v>44710</v>
      </c>
      <c r="U2425" t="s">
        <v>46987</v>
      </c>
      <c r="V2425" t="s">
        <v>57108</v>
      </c>
      <c r="W2425" t="s">
        <v>40187</v>
      </c>
      <c r="X2425" t="s">
        <v>43171</v>
      </c>
    </row>
    <row r="2426" spans="1:24">
      <c r="A2426">
        <f>HYPERLINK("https://www.philgeps.gov.ph/GEPSNONPILOT/Tender/SplashBidNoticeAbstractUI.aspx?menuIndex=3&amp;refID=7086141&amp;Result=3","7086141")</f>
        <v>0</v>
      </c>
      <c r="B2426" t="s">
        <v>802</v>
      </c>
      <c r="C2426" t="s">
        <v>5739</v>
      </c>
      <c r="D2426" t="s">
        <v>17415</v>
      </c>
      <c r="E2426" t="s">
        <v>19637</v>
      </c>
      <c r="F2426" t="s">
        <v>30052</v>
      </c>
      <c r="G2426" t="s">
        <v>30059</v>
      </c>
      <c r="H2426" t="s">
        <v>15498</v>
      </c>
      <c r="I2426" t="s">
        <v>4119</v>
      </c>
      <c r="J2426" t="s">
        <v>30402</v>
      </c>
      <c r="K2426" t="s">
        <v>39017</v>
      </c>
      <c r="M2426" t="s">
        <v>40119</v>
      </c>
      <c r="N2426" t="s">
        <v>43166</v>
      </c>
      <c r="O2426" t="s">
        <v>43167</v>
      </c>
      <c r="P2426">
        <v>0</v>
      </c>
      <c r="Q2426">
        <v>1</v>
      </c>
      <c r="R2426" t="s">
        <v>43170</v>
      </c>
      <c r="S2426" t="s">
        <v>43297</v>
      </c>
      <c r="T2426" t="s">
        <v>44732</v>
      </c>
      <c r="U2426" t="s">
        <v>46770</v>
      </c>
      <c r="W2426" t="s">
        <v>40119</v>
      </c>
      <c r="X2426" t="s">
        <v>43171</v>
      </c>
    </row>
    <row r="2427" spans="1:24">
      <c r="A2427">
        <f>HYPERLINK("https://www.philgeps.gov.ph/GEPSNONPILOT/Tender/SplashBidNoticeAbstractUI.aspx?menuIndex=3&amp;refID=7086139&amp;Result=3","7086139")</f>
        <v>0</v>
      </c>
      <c r="B2427" t="s">
        <v>949</v>
      </c>
      <c r="C2427" t="s">
        <v>5740</v>
      </c>
      <c r="D2427" t="s">
        <v>17458</v>
      </c>
      <c r="E2427" t="s">
        <v>19638</v>
      </c>
      <c r="F2427" t="s">
        <v>30052</v>
      </c>
      <c r="G2427" t="s">
        <v>30059</v>
      </c>
      <c r="H2427" t="s">
        <v>15498</v>
      </c>
      <c r="I2427" t="s">
        <v>4650</v>
      </c>
      <c r="J2427" t="s">
        <v>30586</v>
      </c>
      <c r="K2427" t="s">
        <v>39034</v>
      </c>
      <c r="M2427" t="s">
        <v>40273</v>
      </c>
      <c r="N2427" t="s">
        <v>43166</v>
      </c>
      <c r="O2427" t="s">
        <v>43167</v>
      </c>
      <c r="P2427">
        <v>0</v>
      </c>
      <c r="Q2427">
        <v>2</v>
      </c>
      <c r="R2427" t="s">
        <v>43170</v>
      </c>
      <c r="S2427" t="s">
        <v>43297</v>
      </c>
      <c r="T2427" t="s">
        <v>44744</v>
      </c>
      <c r="U2427" t="s">
        <v>47127</v>
      </c>
      <c r="W2427" t="s">
        <v>40273</v>
      </c>
      <c r="X2427" t="s">
        <v>43171</v>
      </c>
    </row>
    <row r="2428" spans="1:24">
      <c r="A2428">
        <f>HYPERLINK("https://www.philgeps.gov.ph/GEPSNONPILOT/Tender/SplashBidNoticeAbstractUI.aspx?menuIndex=3&amp;refID=7086128&amp;Result=3","7086128")</f>
        <v>0</v>
      </c>
      <c r="B2428" t="s">
        <v>967</v>
      </c>
      <c r="C2428" t="s">
        <v>5741</v>
      </c>
      <c r="D2428" t="s">
        <v>17458</v>
      </c>
      <c r="E2428" t="s">
        <v>19639</v>
      </c>
      <c r="F2428" t="s">
        <v>30052</v>
      </c>
      <c r="G2428" t="s">
        <v>30059</v>
      </c>
      <c r="H2428" t="s">
        <v>15498</v>
      </c>
      <c r="I2428" t="s">
        <v>3852</v>
      </c>
      <c r="J2428" t="s">
        <v>31873</v>
      </c>
      <c r="K2428" t="s">
        <v>39017</v>
      </c>
      <c r="M2428" t="s">
        <v>40293</v>
      </c>
      <c r="N2428" t="s">
        <v>43166</v>
      </c>
      <c r="O2428" t="s">
        <v>43167</v>
      </c>
      <c r="P2428">
        <v>0</v>
      </c>
      <c r="Q2428">
        <v>0</v>
      </c>
      <c r="R2428" t="s">
        <v>43170</v>
      </c>
      <c r="S2428" t="s">
        <v>43297</v>
      </c>
      <c r="T2428" t="s">
        <v>44915</v>
      </c>
      <c r="U2428" t="s">
        <v>47195</v>
      </c>
      <c r="W2428" t="s">
        <v>40293</v>
      </c>
      <c r="X2428" t="s">
        <v>43171</v>
      </c>
    </row>
    <row r="2429" spans="1:24">
      <c r="A2429">
        <f>HYPERLINK("https://www.philgeps.gov.ph/GEPSNONPILOT/Tender/SplashBidNoticeAbstractUI.aspx?menuIndex=3&amp;refID=7086125&amp;Result=3","7086125")</f>
        <v>0</v>
      </c>
      <c r="B2429" t="s">
        <v>694</v>
      </c>
      <c r="C2429" t="s">
        <v>5742</v>
      </c>
      <c r="D2429" t="s">
        <v>17476</v>
      </c>
      <c r="E2429" t="s">
        <v>19640</v>
      </c>
      <c r="F2429" t="s">
        <v>30052</v>
      </c>
      <c r="G2429" t="s">
        <v>30059</v>
      </c>
      <c r="H2429" t="s">
        <v>15498</v>
      </c>
      <c r="I2429" t="s">
        <v>30081</v>
      </c>
      <c r="J2429" t="s">
        <v>31499</v>
      </c>
      <c r="K2429" t="s">
        <v>39064</v>
      </c>
      <c r="M2429" t="s">
        <v>40001</v>
      </c>
      <c r="N2429" t="s">
        <v>43166</v>
      </c>
      <c r="O2429" t="s">
        <v>43167</v>
      </c>
      <c r="P2429">
        <v>0</v>
      </c>
      <c r="Q2429">
        <v>0</v>
      </c>
      <c r="R2429" t="s">
        <v>43170</v>
      </c>
      <c r="S2429" t="s">
        <v>43297</v>
      </c>
      <c r="T2429" t="s">
        <v>44844</v>
      </c>
      <c r="U2429" t="s">
        <v>47196</v>
      </c>
      <c r="W2429" t="s">
        <v>40001</v>
      </c>
      <c r="X2429" t="s">
        <v>43171</v>
      </c>
    </row>
    <row r="2430" spans="1:24">
      <c r="A2430">
        <f>HYPERLINK("https://www.philgeps.gov.ph/GEPSNONPILOT/Tender/SplashBidNoticeAbstractUI.aspx?menuIndex=3&amp;refID=7086142&amp;Result=3","7086142")</f>
        <v>0</v>
      </c>
      <c r="B2430" t="s">
        <v>194</v>
      </c>
      <c r="C2430" t="s">
        <v>5719</v>
      </c>
      <c r="D2430" t="s">
        <v>17438</v>
      </c>
      <c r="E2430" t="s">
        <v>19641</v>
      </c>
      <c r="F2430" t="s">
        <v>30052</v>
      </c>
      <c r="G2430" t="s">
        <v>30059</v>
      </c>
      <c r="H2430" t="s">
        <v>15498</v>
      </c>
      <c r="I2430" t="s">
        <v>30081</v>
      </c>
      <c r="J2430" t="s">
        <v>31874</v>
      </c>
      <c r="K2430" t="s">
        <v>39029</v>
      </c>
      <c r="M2430" t="s">
        <v>39484</v>
      </c>
      <c r="N2430" t="s">
        <v>43166</v>
      </c>
      <c r="O2430" t="s">
        <v>43167</v>
      </c>
      <c r="P2430">
        <v>0</v>
      </c>
      <c r="Q2430">
        <v>0</v>
      </c>
      <c r="R2430" t="s">
        <v>43170</v>
      </c>
      <c r="S2430" t="s">
        <v>43297</v>
      </c>
      <c r="T2430" t="s">
        <v>44717</v>
      </c>
      <c r="U2430" t="s">
        <v>47197</v>
      </c>
      <c r="W2430" t="s">
        <v>39484</v>
      </c>
      <c r="X2430" t="s">
        <v>43171</v>
      </c>
    </row>
    <row r="2431" spans="1:24">
      <c r="A2431">
        <f>HYPERLINK("https://www.philgeps.gov.ph/GEPSNONPILOT/Tender/SplashBidNoticeAbstractUI.aspx?menuIndex=3&amp;refID=7086137&amp;Result=3","7086137")</f>
        <v>0</v>
      </c>
      <c r="B2431" t="s">
        <v>915</v>
      </c>
      <c r="C2431" t="s">
        <v>5696</v>
      </c>
      <c r="D2431" t="s">
        <v>17457</v>
      </c>
      <c r="E2431" t="s">
        <v>19642</v>
      </c>
      <c r="F2431" t="s">
        <v>30052</v>
      </c>
      <c r="G2431" t="s">
        <v>30059</v>
      </c>
      <c r="H2431" t="s">
        <v>15498</v>
      </c>
      <c r="I2431" t="s">
        <v>30081</v>
      </c>
      <c r="J2431" t="s">
        <v>31875</v>
      </c>
      <c r="K2431" t="s">
        <v>39019</v>
      </c>
      <c r="M2431" t="s">
        <v>40238</v>
      </c>
      <c r="N2431" t="s">
        <v>43166</v>
      </c>
      <c r="O2431" t="s">
        <v>43167</v>
      </c>
      <c r="P2431">
        <v>0</v>
      </c>
      <c r="Q2431">
        <v>0</v>
      </c>
      <c r="R2431" t="s">
        <v>43170</v>
      </c>
      <c r="S2431" t="s">
        <v>43297</v>
      </c>
      <c r="T2431" t="s">
        <v>44844</v>
      </c>
      <c r="U2431" t="s">
        <v>47198</v>
      </c>
      <c r="W2431" t="s">
        <v>40238</v>
      </c>
      <c r="X2431" t="s">
        <v>43171</v>
      </c>
    </row>
    <row r="2432" spans="1:24">
      <c r="A2432">
        <f>HYPERLINK("https://www.philgeps.gov.ph/GEPSNONPILOT/Tender/SplashBidNoticeAbstractUI.aspx?menuIndex=3&amp;refID=7086121&amp;Result=3","7086121")</f>
        <v>0</v>
      </c>
      <c r="B2432" t="s">
        <v>194</v>
      </c>
      <c r="C2432" t="s">
        <v>5719</v>
      </c>
      <c r="D2432" t="s">
        <v>17438</v>
      </c>
      <c r="E2432" t="s">
        <v>19643</v>
      </c>
      <c r="F2432" t="s">
        <v>30052</v>
      </c>
      <c r="G2432" t="s">
        <v>30059</v>
      </c>
      <c r="H2432" t="s">
        <v>15498</v>
      </c>
      <c r="I2432" t="s">
        <v>30081</v>
      </c>
      <c r="J2432" t="s">
        <v>31876</v>
      </c>
      <c r="K2432" t="s">
        <v>39029</v>
      </c>
      <c r="M2432" t="s">
        <v>39484</v>
      </c>
      <c r="N2432" t="s">
        <v>43166</v>
      </c>
      <c r="O2432" t="s">
        <v>43167</v>
      </c>
      <c r="P2432">
        <v>0</v>
      </c>
      <c r="Q2432">
        <v>0</v>
      </c>
      <c r="R2432" t="s">
        <v>43170</v>
      </c>
      <c r="S2432" t="s">
        <v>43297</v>
      </c>
      <c r="T2432" t="s">
        <v>44717</v>
      </c>
      <c r="U2432" t="s">
        <v>47199</v>
      </c>
      <c r="W2432" t="s">
        <v>39484</v>
      </c>
      <c r="X2432" t="s">
        <v>43171</v>
      </c>
    </row>
    <row r="2433" spans="1:24">
      <c r="A2433">
        <f>HYPERLINK("https://www.philgeps.gov.ph/GEPSNONPILOT/Tender/SplashBidNoticeAbstractUI.aspx?menuIndex=3&amp;refID=7086071&amp;Result=3","7086071")</f>
        <v>0</v>
      </c>
      <c r="B2433" t="s">
        <v>968</v>
      </c>
      <c r="C2433" t="s">
        <v>5743</v>
      </c>
      <c r="D2433" t="s">
        <v>17444</v>
      </c>
      <c r="E2433" t="s">
        <v>19644</v>
      </c>
      <c r="F2433" t="s">
        <v>30052</v>
      </c>
      <c r="G2433" t="s">
        <v>30059</v>
      </c>
      <c r="H2433" t="s">
        <v>15498</v>
      </c>
      <c r="I2433" t="s">
        <v>30081</v>
      </c>
      <c r="J2433" t="s">
        <v>31877</v>
      </c>
      <c r="K2433" t="s">
        <v>39029</v>
      </c>
      <c r="M2433" t="s">
        <v>40294</v>
      </c>
      <c r="N2433" t="s">
        <v>43166</v>
      </c>
      <c r="O2433" t="s">
        <v>43167</v>
      </c>
      <c r="P2433">
        <v>0</v>
      </c>
      <c r="Q2433">
        <v>0</v>
      </c>
      <c r="R2433" t="s">
        <v>43170</v>
      </c>
      <c r="S2433" t="s">
        <v>43297</v>
      </c>
      <c r="T2433" t="s">
        <v>44830</v>
      </c>
      <c r="U2433" t="s">
        <v>47200</v>
      </c>
      <c r="W2433" t="s">
        <v>40294</v>
      </c>
      <c r="X2433" t="s">
        <v>43171</v>
      </c>
    </row>
    <row r="2434" spans="1:24">
      <c r="A2434">
        <f>HYPERLINK("https://www.philgeps.gov.ph/GEPSNONPILOT/Tender/SplashBidNoticeAbstractUI.aspx?menuIndex=3&amp;refID=7086117&amp;Result=3","7086117")</f>
        <v>0</v>
      </c>
      <c r="B2434" t="s">
        <v>838</v>
      </c>
      <c r="C2434" t="s">
        <v>5744</v>
      </c>
      <c r="D2434" t="s">
        <v>17419</v>
      </c>
      <c r="E2434" t="s">
        <v>19645</v>
      </c>
      <c r="F2434" t="s">
        <v>30052</v>
      </c>
      <c r="G2434" t="s">
        <v>30061</v>
      </c>
      <c r="H2434" t="s">
        <v>15498</v>
      </c>
      <c r="I2434" t="s">
        <v>3736</v>
      </c>
      <c r="J2434" t="s">
        <v>30772</v>
      </c>
      <c r="K2434" t="s">
        <v>39029</v>
      </c>
      <c r="M2434" t="s">
        <v>40155</v>
      </c>
      <c r="N2434" t="s">
        <v>43166</v>
      </c>
      <c r="O2434" t="s">
        <v>43167</v>
      </c>
      <c r="P2434">
        <v>0</v>
      </c>
      <c r="Q2434">
        <v>0</v>
      </c>
      <c r="R2434" t="s">
        <v>43170</v>
      </c>
      <c r="S2434" t="s">
        <v>43297</v>
      </c>
      <c r="T2434" t="s">
        <v>44681</v>
      </c>
      <c r="U2434" t="s">
        <v>47201</v>
      </c>
      <c r="W2434" t="s">
        <v>40155</v>
      </c>
      <c r="X2434" t="s">
        <v>43171</v>
      </c>
    </row>
    <row r="2435" spans="1:24">
      <c r="A2435">
        <f>HYPERLINK("https://www.philgeps.gov.ph/GEPSNONPILOT/Tender/SplashBidNoticeAbstractUI.aspx?menuIndex=3&amp;refID=7086123&amp;Result=3","7086123")</f>
        <v>0</v>
      </c>
      <c r="B2435" t="s">
        <v>415</v>
      </c>
      <c r="C2435" t="s">
        <v>5745</v>
      </c>
      <c r="D2435" t="s">
        <v>17472</v>
      </c>
      <c r="E2435" t="s">
        <v>18363</v>
      </c>
      <c r="F2435" t="s">
        <v>30052</v>
      </c>
      <c r="G2435" t="s">
        <v>30061</v>
      </c>
      <c r="H2435" t="s">
        <v>15498</v>
      </c>
      <c r="I2435" t="s">
        <v>30073</v>
      </c>
      <c r="J2435" t="s">
        <v>31368</v>
      </c>
      <c r="K2435" t="s">
        <v>39034</v>
      </c>
      <c r="M2435" t="s">
        <v>39714</v>
      </c>
      <c r="N2435" t="s">
        <v>43166</v>
      </c>
      <c r="O2435" t="s">
        <v>43167</v>
      </c>
      <c r="P2435">
        <v>0</v>
      </c>
      <c r="Q2435">
        <v>0</v>
      </c>
      <c r="R2435" t="s">
        <v>43170</v>
      </c>
      <c r="S2435" t="s">
        <v>43297</v>
      </c>
      <c r="T2435" t="s">
        <v>44685</v>
      </c>
      <c r="U2435" t="s">
        <v>47202</v>
      </c>
      <c r="W2435" t="s">
        <v>39714</v>
      </c>
      <c r="X2435" t="s">
        <v>43171</v>
      </c>
    </row>
    <row r="2436" spans="1:24">
      <c r="A2436">
        <f>HYPERLINK("https://www.philgeps.gov.ph/GEPSNONPILOT/Tender/SplashBidNoticeAbstractUI.aspx?menuIndex=3&amp;refID=7086096&amp;Result=3","7086096")</f>
        <v>0</v>
      </c>
      <c r="B2436" t="s">
        <v>958</v>
      </c>
      <c r="C2436" t="s">
        <v>5746</v>
      </c>
      <c r="D2436" t="s">
        <v>17466</v>
      </c>
      <c r="E2436" t="s">
        <v>19646</v>
      </c>
      <c r="F2436" t="s">
        <v>30052</v>
      </c>
      <c r="G2436" t="s">
        <v>30059</v>
      </c>
      <c r="H2436" t="s">
        <v>15498</v>
      </c>
      <c r="I2436" t="s">
        <v>3736</v>
      </c>
      <c r="J2436" t="s">
        <v>31878</v>
      </c>
      <c r="K2436" t="s">
        <v>39019</v>
      </c>
      <c r="M2436" t="s">
        <v>40284</v>
      </c>
      <c r="N2436" t="s">
        <v>43166</v>
      </c>
      <c r="O2436" t="s">
        <v>43167</v>
      </c>
      <c r="P2436">
        <v>0</v>
      </c>
      <c r="Q2436">
        <v>0</v>
      </c>
      <c r="R2436" t="s">
        <v>43170</v>
      </c>
      <c r="S2436" t="s">
        <v>43297</v>
      </c>
      <c r="T2436" t="s">
        <v>44678</v>
      </c>
      <c r="U2436" t="s">
        <v>47203</v>
      </c>
      <c r="W2436" t="s">
        <v>58621</v>
      </c>
      <c r="X2436" t="s">
        <v>43171</v>
      </c>
    </row>
    <row r="2437" spans="1:24">
      <c r="A2437">
        <f>HYPERLINK("https://www.philgeps.gov.ph/GEPSNONPILOT/Tender/SplashBidNoticeAbstractUI.aspx?menuIndex=3&amp;refID=7086157&amp;Result=3","7086157")</f>
        <v>0</v>
      </c>
      <c r="B2437" t="s">
        <v>960</v>
      </c>
      <c r="C2437" t="s">
        <v>5747</v>
      </c>
      <c r="D2437" t="s">
        <v>17415</v>
      </c>
      <c r="E2437" t="s">
        <v>19647</v>
      </c>
      <c r="F2437" t="s">
        <v>30052</v>
      </c>
      <c r="G2437" t="s">
        <v>30059</v>
      </c>
      <c r="H2437" t="s">
        <v>15498</v>
      </c>
      <c r="I2437" t="s">
        <v>8323</v>
      </c>
      <c r="J2437" t="s">
        <v>31879</v>
      </c>
      <c r="K2437" t="s">
        <v>39019</v>
      </c>
      <c r="M2437" t="s">
        <v>40286</v>
      </c>
      <c r="N2437" t="s">
        <v>43166</v>
      </c>
      <c r="O2437" t="s">
        <v>43167</v>
      </c>
      <c r="P2437">
        <v>0</v>
      </c>
      <c r="Q2437">
        <v>10</v>
      </c>
      <c r="R2437" t="s">
        <v>43170</v>
      </c>
      <c r="S2437" t="s">
        <v>43297</v>
      </c>
      <c r="T2437" t="s">
        <v>44735</v>
      </c>
      <c r="U2437" t="s">
        <v>47204</v>
      </c>
      <c r="V2437" t="s">
        <v>57109</v>
      </c>
      <c r="W2437" t="s">
        <v>40286</v>
      </c>
      <c r="X2437" t="s">
        <v>43171</v>
      </c>
    </row>
    <row r="2438" spans="1:24">
      <c r="A2438">
        <f>HYPERLINK("https://www.philgeps.gov.ph/GEPSNONPILOT/Tender/SplashBidNoticeAbstractUI.aspx?menuIndex=3&amp;refID=7086153&amp;Result=3","7086153")</f>
        <v>0</v>
      </c>
      <c r="B2438" t="s">
        <v>838</v>
      </c>
      <c r="C2438" t="s">
        <v>5748</v>
      </c>
      <c r="D2438" t="s">
        <v>17419</v>
      </c>
      <c r="E2438" t="s">
        <v>19648</v>
      </c>
      <c r="F2438" t="s">
        <v>30052</v>
      </c>
      <c r="G2438" t="s">
        <v>30061</v>
      </c>
      <c r="H2438" t="s">
        <v>15498</v>
      </c>
      <c r="I2438" t="s">
        <v>9238</v>
      </c>
      <c r="J2438" t="s">
        <v>30256</v>
      </c>
      <c r="K2438" t="s">
        <v>39029</v>
      </c>
      <c r="M2438" t="s">
        <v>40155</v>
      </c>
      <c r="N2438" t="s">
        <v>43166</v>
      </c>
      <c r="O2438" t="s">
        <v>43167</v>
      </c>
      <c r="P2438">
        <v>0</v>
      </c>
      <c r="Q2438">
        <v>3</v>
      </c>
      <c r="R2438" t="s">
        <v>43170</v>
      </c>
      <c r="S2438" t="s">
        <v>43297</v>
      </c>
      <c r="T2438" t="s">
        <v>44681</v>
      </c>
      <c r="U2438" t="s">
        <v>47205</v>
      </c>
      <c r="W2438" t="s">
        <v>40155</v>
      </c>
      <c r="X2438" t="s">
        <v>43171</v>
      </c>
    </row>
    <row r="2439" spans="1:24">
      <c r="A2439">
        <f>HYPERLINK("https://www.philgeps.gov.ph/GEPSNONPILOT/Tender/SplashBidNoticeAbstractUI.aspx?menuIndex=3&amp;refID=7086181&amp;Result=3","7086181")</f>
        <v>0</v>
      </c>
      <c r="B2439" t="s">
        <v>607</v>
      </c>
      <c r="C2439" t="s">
        <v>5749</v>
      </c>
      <c r="D2439" t="s">
        <v>17459</v>
      </c>
      <c r="E2439" t="s">
        <v>19649</v>
      </c>
      <c r="F2439" t="s">
        <v>30052</v>
      </c>
      <c r="G2439" t="s">
        <v>30059</v>
      </c>
      <c r="H2439" t="s">
        <v>15498</v>
      </c>
      <c r="I2439" t="s">
        <v>30096</v>
      </c>
      <c r="J2439" t="s">
        <v>31880</v>
      </c>
      <c r="K2439" t="s">
        <v>39019</v>
      </c>
      <c r="M2439" t="s">
        <v>39909</v>
      </c>
      <c r="N2439" t="s">
        <v>43166</v>
      </c>
      <c r="O2439" t="s">
        <v>43167</v>
      </c>
      <c r="P2439">
        <v>0</v>
      </c>
      <c r="Q2439">
        <v>2</v>
      </c>
      <c r="R2439" t="s">
        <v>43170</v>
      </c>
      <c r="S2439" t="s">
        <v>43297</v>
      </c>
      <c r="T2439" t="s">
        <v>44714</v>
      </c>
      <c r="U2439" t="s">
        <v>47206</v>
      </c>
      <c r="W2439" t="s">
        <v>39909</v>
      </c>
      <c r="X2439" t="s">
        <v>43171</v>
      </c>
    </row>
    <row r="2440" spans="1:24">
      <c r="A2440">
        <f>HYPERLINK("https://www.philgeps.gov.ph/GEPSNONPILOT/Tender/SplashBidNoticeAbstractUI.aspx?menuIndex=3&amp;refID=7086184&amp;Result=3","7086184")</f>
        <v>0</v>
      </c>
      <c r="B2440" t="s">
        <v>969</v>
      </c>
      <c r="C2440" t="s">
        <v>5750</v>
      </c>
      <c r="D2440" t="s">
        <v>17449</v>
      </c>
      <c r="E2440" t="s">
        <v>19650</v>
      </c>
      <c r="F2440" t="s">
        <v>30052</v>
      </c>
      <c r="G2440" t="s">
        <v>30061</v>
      </c>
      <c r="H2440" t="s">
        <v>15498</v>
      </c>
      <c r="I2440" t="s">
        <v>3693</v>
      </c>
      <c r="J2440" t="s">
        <v>30306</v>
      </c>
      <c r="K2440" t="s">
        <v>39034</v>
      </c>
      <c r="M2440" t="s">
        <v>40295</v>
      </c>
      <c r="N2440" t="s">
        <v>43166</v>
      </c>
      <c r="O2440" t="s">
        <v>43167</v>
      </c>
      <c r="P2440">
        <v>0</v>
      </c>
      <c r="Q2440">
        <v>0</v>
      </c>
      <c r="R2440" t="s">
        <v>43170</v>
      </c>
      <c r="S2440" t="s">
        <v>43297</v>
      </c>
      <c r="T2440" t="s">
        <v>44714</v>
      </c>
      <c r="U2440" t="s">
        <v>47207</v>
      </c>
      <c r="W2440" t="s">
        <v>40295</v>
      </c>
      <c r="X2440" t="s">
        <v>43171</v>
      </c>
    </row>
    <row r="2441" spans="1:24">
      <c r="A2441">
        <f>HYPERLINK("https://www.philgeps.gov.ph/GEPSNONPILOT/Tender/SplashBidNoticeAbstractUI.aspx?menuIndex=3&amp;refID=7086098&amp;Result=3","7086098")</f>
        <v>0</v>
      </c>
      <c r="B2441" t="s">
        <v>830</v>
      </c>
      <c r="C2441" t="s">
        <v>5751</v>
      </c>
      <c r="E2441" t="s">
        <v>19651</v>
      </c>
      <c r="F2441" t="s">
        <v>30052</v>
      </c>
      <c r="G2441" t="s">
        <v>30059</v>
      </c>
      <c r="H2441" t="s">
        <v>15498</v>
      </c>
      <c r="I2441" t="s">
        <v>30103</v>
      </c>
      <c r="J2441" t="s">
        <v>31881</v>
      </c>
      <c r="K2441" t="s">
        <v>39025</v>
      </c>
      <c r="M2441" t="s">
        <v>40147</v>
      </c>
      <c r="N2441" t="s">
        <v>43166</v>
      </c>
      <c r="O2441" t="s">
        <v>43167</v>
      </c>
      <c r="P2441">
        <v>0</v>
      </c>
      <c r="Q2441">
        <v>1</v>
      </c>
      <c r="R2441" t="s">
        <v>43170</v>
      </c>
      <c r="S2441" t="s">
        <v>43297</v>
      </c>
      <c r="T2441" t="s">
        <v>44723</v>
      </c>
      <c r="U2441" t="s">
        <v>45722</v>
      </c>
      <c r="W2441" t="s">
        <v>40147</v>
      </c>
      <c r="X2441" t="s">
        <v>43171</v>
      </c>
    </row>
    <row r="2442" spans="1:24">
      <c r="A2442">
        <f>HYPERLINK("https://www.philgeps.gov.ph/GEPSNONPILOT/Tender/SplashBidNoticeAbstractUI.aspx?menuIndex=3&amp;refID=7086182&amp;Result=3","7086182")</f>
        <v>0</v>
      </c>
      <c r="B2442" t="s">
        <v>881</v>
      </c>
      <c r="C2442" t="s">
        <v>5752</v>
      </c>
      <c r="E2442" t="s">
        <v>5752</v>
      </c>
      <c r="F2442" t="s">
        <v>30052</v>
      </c>
      <c r="G2442" t="s">
        <v>30059</v>
      </c>
      <c r="H2442" t="s">
        <v>15498</v>
      </c>
      <c r="I2442" t="s">
        <v>3606</v>
      </c>
      <c r="J2442" t="s">
        <v>30297</v>
      </c>
      <c r="K2442" t="s">
        <v>39025</v>
      </c>
      <c r="M2442" t="s">
        <v>40200</v>
      </c>
      <c r="N2442" t="s">
        <v>43166</v>
      </c>
      <c r="O2442" t="s">
        <v>43167</v>
      </c>
      <c r="P2442">
        <v>0</v>
      </c>
      <c r="Q2442">
        <v>0</v>
      </c>
      <c r="R2442" t="s">
        <v>43170</v>
      </c>
      <c r="S2442" t="s">
        <v>43297</v>
      </c>
      <c r="T2442" t="s">
        <v>44777</v>
      </c>
      <c r="U2442" t="s">
        <v>47208</v>
      </c>
      <c r="W2442" t="s">
        <v>40200</v>
      </c>
      <c r="X2442" t="s">
        <v>43171</v>
      </c>
    </row>
    <row r="2443" spans="1:24">
      <c r="A2443">
        <f>HYPERLINK("https://www.philgeps.gov.ph/GEPSNONPILOT/Tender/SplashBidNoticeAbstractUI.aspx?menuIndex=3&amp;refID=7086180&amp;Result=3","7086180")</f>
        <v>0</v>
      </c>
      <c r="B2443" t="s">
        <v>409</v>
      </c>
      <c r="C2443" t="s">
        <v>5662</v>
      </c>
      <c r="D2443" t="s">
        <v>17473</v>
      </c>
      <c r="E2443" t="s">
        <v>19652</v>
      </c>
      <c r="F2443" t="s">
        <v>30052</v>
      </c>
      <c r="G2443" t="s">
        <v>30060</v>
      </c>
      <c r="H2443" t="s">
        <v>15498</v>
      </c>
      <c r="I2443" t="s">
        <v>4650</v>
      </c>
      <c r="J2443" t="s">
        <v>30218</v>
      </c>
      <c r="K2443" t="s">
        <v>39034</v>
      </c>
      <c r="M2443" t="s">
        <v>40296</v>
      </c>
      <c r="N2443" t="s">
        <v>43166</v>
      </c>
      <c r="O2443" t="s">
        <v>43167</v>
      </c>
      <c r="P2443">
        <v>0</v>
      </c>
      <c r="Q2443">
        <v>3</v>
      </c>
      <c r="R2443" t="s">
        <v>43170</v>
      </c>
      <c r="S2443" t="s">
        <v>43297</v>
      </c>
      <c r="T2443" t="s">
        <v>44780</v>
      </c>
      <c r="U2443" t="s">
        <v>47209</v>
      </c>
      <c r="W2443" t="s">
        <v>40296</v>
      </c>
      <c r="X2443" t="s">
        <v>43171</v>
      </c>
    </row>
    <row r="2444" spans="1:24">
      <c r="A2444">
        <f>HYPERLINK("https://www.philgeps.gov.ph/GEPSNONPILOT/Tender/SplashBidNoticeAbstractUI.aspx?menuIndex=3&amp;refID=7086178&amp;Result=3","7086178")</f>
        <v>0</v>
      </c>
      <c r="B2444" t="s">
        <v>260</v>
      </c>
      <c r="C2444" t="s">
        <v>5753</v>
      </c>
      <c r="D2444" t="s">
        <v>17452</v>
      </c>
      <c r="E2444" t="s">
        <v>19653</v>
      </c>
      <c r="F2444" t="s">
        <v>30052</v>
      </c>
      <c r="G2444" t="s">
        <v>30059</v>
      </c>
      <c r="H2444" t="s">
        <v>15498</v>
      </c>
      <c r="I2444" t="s">
        <v>30081</v>
      </c>
      <c r="J2444" t="s">
        <v>30358</v>
      </c>
      <c r="K2444" t="s">
        <v>39029</v>
      </c>
      <c r="M2444" t="s">
        <v>40228</v>
      </c>
      <c r="N2444" t="s">
        <v>43166</v>
      </c>
      <c r="O2444" t="s">
        <v>43167</v>
      </c>
      <c r="P2444">
        <v>0</v>
      </c>
      <c r="Q2444">
        <v>0</v>
      </c>
      <c r="R2444" t="s">
        <v>43170</v>
      </c>
      <c r="S2444" t="s">
        <v>43297</v>
      </c>
      <c r="T2444" t="s">
        <v>44856</v>
      </c>
      <c r="U2444" t="s">
        <v>47002</v>
      </c>
      <c r="W2444" t="s">
        <v>40228</v>
      </c>
      <c r="X2444" t="s">
        <v>43171</v>
      </c>
    </row>
    <row r="2445" spans="1:24">
      <c r="A2445">
        <f>HYPERLINK("https://www.philgeps.gov.ph/GEPSNONPILOT/Tender/SplashBidNoticeAbstractUI.aspx?menuIndex=3&amp;refID=7086122&amp;Result=3","7086122")</f>
        <v>0</v>
      </c>
      <c r="B2445" t="s">
        <v>970</v>
      </c>
      <c r="C2445" t="s">
        <v>5754</v>
      </c>
      <c r="D2445" t="s">
        <v>17428</v>
      </c>
      <c r="E2445" t="s">
        <v>19654</v>
      </c>
      <c r="F2445" t="s">
        <v>30052</v>
      </c>
      <c r="G2445" t="s">
        <v>30058</v>
      </c>
      <c r="H2445" t="s">
        <v>30067</v>
      </c>
      <c r="I2445" t="s">
        <v>3693</v>
      </c>
      <c r="J2445" t="s">
        <v>31882</v>
      </c>
      <c r="K2445" t="s">
        <v>39065</v>
      </c>
      <c r="M2445" t="s">
        <v>40297</v>
      </c>
      <c r="N2445" t="s">
        <v>43166</v>
      </c>
      <c r="O2445" t="s">
        <v>43167</v>
      </c>
      <c r="P2445">
        <v>0</v>
      </c>
      <c r="Q2445">
        <v>1</v>
      </c>
      <c r="R2445" t="s">
        <v>43170</v>
      </c>
      <c r="S2445" t="s">
        <v>43297</v>
      </c>
      <c r="T2445" t="s">
        <v>44677</v>
      </c>
      <c r="U2445" t="s">
        <v>47210</v>
      </c>
      <c r="W2445" t="s">
        <v>40297</v>
      </c>
      <c r="X2445" t="s">
        <v>43171</v>
      </c>
    </row>
    <row r="2446" spans="1:24">
      <c r="A2446">
        <f>HYPERLINK("https://www.philgeps.gov.ph/GEPSNONPILOT/Tender/SplashBidNoticeAbstractUI.aspx?menuIndex=3&amp;refID=7086176&amp;Result=3","7086176")</f>
        <v>0</v>
      </c>
      <c r="B2446" t="s">
        <v>931</v>
      </c>
      <c r="C2446" t="s">
        <v>5755</v>
      </c>
      <c r="D2446" t="s">
        <v>17453</v>
      </c>
      <c r="E2446" t="s">
        <v>19655</v>
      </c>
      <c r="F2446" t="s">
        <v>30052</v>
      </c>
      <c r="G2446" t="s">
        <v>30059</v>
      </c>
      <c r="H2446" t="s">
        <v>15498</v>
      </c>
      <c r="I2446" t="s">
        <v>3736</v>
      </c>
      <c r="J2446" t="s">
        <v>31883</v>
      </c>
      <c r="K2446" t="s">
        <v>39018</v>
      </c>
      <c r="M2446" t="s">
        <v>40254</v>
      </c>
      <c r="N2446" t="s">
        <v>43166</v>
      </c>
      <c r="O2446" t="s">
        <v>43167</v>
      </c>
      <c r="P2446">
        <v>0</v>
      </c>
      <c r="Q2446">
        <v>1</v>
      </c>
      <c r="R2446" t="s">
        <v>43170</v>
      </c>
      <c r="S2446" t="s">
        <v>43297</v>
      </c>
      <c r="T2446" t="s">
        <v>44732</v>
      </c>
      <c r="U2446" t="s">
        <v>47211</v>
      </c>
      <c r="W2446" t="s">
        <v>40254</v>
      </c>
      <c r="X2446" t="s">
        <v>43171</v>
      </c>
    </row>
    <row r="2447" spans="1:24">
      <c r="A2447">
        <f>HYPERLINK("https://www.philgeps.gov.ph/GEPSNONPILOT/Tender/SplashBidNoticeAbstractUI.aspx?menuIndex=3&amp;refID=7086116&amp;Result=3","7086116")</f>
        <v>0</v>
      </c>
      <c r="B2447" t="s">
        <v>971</v>
      </c>
      <c r="C2447" t="s">
        <v>5756</v>
      </c>
      <c r="D2447" t="s">
        <v>17486</v>
      </c>
      <c r="E2447" t="s">
        <v>19656</v>
      </c>
      <c r="F2447" t="s">
        <v>30052</v>
      </c>
      <c r="G2447" t="s">
        <v>30059</v>
      </c>
      <c r="H2447" t="s">
        <v>15498</v>
      </c>
      <c r="I2447" t="s">
        <v>30070</v>
      </c>
      <c r="J2447" t="s">
        <v>31884</v>
      </c>
      <c r="K2447" t="s">
        <v>39029</v>
      </c>
      <c r="M2447" t="s">
        <v>40298</v>
      </c>
      <c r="N2447" t="s">
        <v>43166</v>
      </c>
      <c r="O2447" t="s">
        <v>43167</v>
      </c>
      <c r="P2447">
        <v>0</v>
      </c>
      <c r="Q2447">
        <v>0</v>
      </c>
      <c r="R2447" t="s">
        <v>43170</v>
      </c>
      <c r="S2447" t="s">
        <v>43297</v>
      </c>
      <c r="T2447" t="s">
        <v>44843</v>
      </c>
      <c r="U2447" t="s">
        <v>47212</v>
      </c>
      <c r="W2447" t="s">
        <v>40298</v>
      </c>
      <c r="X2447" t="s">
        <v>43171</v>
      </c>
    </row>
    <row r="2448" spans="1:24">
      <c r="A2448">
        <f>HYPERLINK("https://www.philgeps.gov.ph/GEPSNONPILOT/Tender/SplashBidNoticeAbstractUI.aspx?menuIndex=3&amp;refID=7086179&amp;Result=3","7086179")</f>
        <v>0</v>
      </c>
      <c r="B2448" t="s">
        <v>915</v>
      </c>
      <c r="C2448" t="s">
        <v>5757</v>
      </c>
      <c r="D2448" t="s">
        <v>17457</v>
      </c>
      <c r="E2448" t="s">
        <v>19657</v>
      </c>
      <c r="F2448" t="s">
        <v>30052</v>
      </c>
      <c r="G2448" t="s">
        <v>30060</v>
      </c>
      <c r="H2448" t="s">
        <v>15498</v>
      </c>
      <c r="I2448" t="s">
        <v>30076</v>
      </c>
      <c r="J2448" t="s">
        <v>31885</v>
      </c>
      <c r="K2448" t="s">
        <v>39019</v>
      </c>
      <c r="M2448" t="s">
        <v>40238</v>
      </c>
      <c r="N2448" t="s">
        <v>43166</v>
      </c>
      <c r="O2448" t="s">
        <v>43167</v>
      </c>
      <c r="P2448">
        <v>0</v>
      </c>
      <c r="Q2448">
        <v>1</v>
      </c>
      <c r="R2448" t="s">
        <v>43170</v>
      </c>
      <c r="S2448" t="s">
        <v>43297</v>
      </c>
      <c r="T2448" t="s">
        <v>44844</v>
      </c>
      <c r="U2448" t="s">
        <v>47213</v>
      </c>
      <c r="W2448" t="s">
        <v>40238</v>
      </c>
      <c r="X2448" t="s">
        <v>43171</v>
      </c>
    </row>
    <row r="2449" spans="1:24">
      <c r="A2449">
        <f>HYPERLINK("https://www.philgeps.gov.ph/GEPSNONPILOT/Tender/SplashBidNoticeAbstractUI.aspx?menuIndex=3&amp;refID=7086166&amp;Result=3","7086166")</f>
        <v>0</v>
      </c>
      <c r="B2449" t="s">
        <v>956</v>
      </c>
      <c r="C2449" t="s">
        <v>5758</v>
      </c>
      <c r="D2449" t="s">
        <v>17441</v>
      </c>
      <c r="E2449" t="s">
        <v>19658</v>
      </c>
      <c r="F2449" t="s">
        <v>30052</v>
      </c>
      <c r="G2449" t="s">
        <v>30058</v>
      </c>
      <c r="H2449" t="s">
        <v>15498</v>
      </c>
      <c r="I2449" t="s">
        <v>30097</v>
      </c>
      <c r="J2449" t="s">
        <v>31886</v>
      </c>
      <c r="K2449" t="s">
        <v>39025</v>
      </c>
      <c r="M2449" t="s">
        <v>40282</v>
      </c>
      <c r="N2449" t="s">
        <v>43166</v>
      </c>
      <c r="O2449" t="s">
        <v>43167</v>
      </c>
      <c r="P2449">
        <v>0</v>
      </c>
      <c r="Q2449">
        <v>5</v>
      </c>
      <c r="R2449" t="s">
        <v>43170</v>
      </c>
      <c r="S2449" t="s">
        <v>43297</v>
      </c>
      <c r="T2449" t="s">
        <v>44916</v>
      </c>
      <c r="U2449" t="s">
        <v>47214</v>
      </c>
      <c r="W2449" t="s">
        <v>40282</v>
      </c>
      <c r="X2449" t="s">
        <v>43171</v>
      </c>
    </row>
    <row r="2450" spans="1:24">
      <c r="A2450">
        <f>HYPERLINK("https://www.philgeps.gov.ph/GEPSNONPILOT/Tender/SplashBidNoticeAbstractUI.aspx?menuIndex=3&amp;refID=7086134&amp;Result=3","7086134")</f>
        <v>0</v>
      </c>
      <c r="B2450" t="s">
        <v>607</v>
      </c>
      <c r="C2450" t="s">
        <v>5759</v>
      </c>
      <c r="D2450" t="s">
        <v>17459</v>
      </c>
      <c r="E2450" t="s">
        <v>19659</v>
      </c>
      <c r="F2450" t="s">
        <v>30052</v>
      </c>
      <c r="G2450" t="s">
        <v>30059</v>
      </c>
      <c r="H2450" t="s">
        <v>15498</v>
      </c>
      <c r="I2450" t="s">
        <v>3852</v>
      </c>
      <c r="J2450" t="s">
        <v>31887</v>
      </c>
      <c r="K2450" t="s">
        <v>39019</v>
      </c>
      <c r="M2450" t="s">
        <v>39909</v>
      </c>
      <c r="N2450" t="s">
        <v>43166</v>
      </c>
      <c r="O2450" t="s">
        <v>43167</v>
      </c>
      <c r="P2450">
        <v>0</v>
      </c>
      <c r="Q2450">
        <v>1</v>
      </c>
      <c r="R2450" t="s">
        <v>43170</v>
      </c>
      <c r="S2450" t="s">
        <v>43297</v>
      </c>
      <c r="T2450" t="s">
        <v>44714</v>
      </c>
      <c r="U2450" t="s">
        <v>47215</v>
      </c>
      <c r="W2450" t="s">
        <v>39909</v>
      </c>
      <c r="X2450" t="s">
        <v>43171</v>
      </c>
    </row>
    <row r="2451" spans="1:24">
      <c r="A2451">
        <f>HYPERLINK("https://www.philgeps.gov.ph/GEPSNONPILOT/Tender/SplashBidNoticeAbstractUI.aspx?menuIndex=3&amp;refID=7086175&amp;Result=3","7086175")</f>
        <v>0</v>
      </c>
      <c r="B2451" t="s">
        <v>544</v>
      </c>
      <c r="C2451" t="s">
        <v>5760</v>
      </c>
      <c r="D2451" t="s">
        <v>17434</v>
      </c>
      <c r="E2451" t="s">
        <v>19660</v>
      </c>
      <c r="F2451" t="s">
        <v>30052</v>
      </c>
      <c r="G2451" t="s">
        <v>30061</v>
      </c>
      <c r="H2451" t="s">
        <v>15498</v>
      </c>
      <c r="I2451" t="s">
        <v>30109</v>
      </c>
      <c r="J2451" t="s">
        <v>30374</v>
      </c>
      <c r="K2451" t="s">
        <v>39018</v>
      </c>
      <c r="M2451" t="s">
        <v>40257</v>
      </c>
      <c r="N2451" t="s">
        <v>43166</v>
      </c>
      <c r="O2451" t="s">
        <v>43167</v>
      </c>
      <c r="P2451">
        <v>0</v>
      </c>
      <c r="Q2451">
        <v>3</v>
      </c>
      <c r="R2451" t="s">
        <v>43170</v>
      </c>
      <c r="S2451" t="s">
        <v>43297</v>
      </c>
      <c r="T2451" t="s">
        <v>44735</v>
      </c>
      <c r="U2451" t="s">
        <v>47216</v>
      </c>
      <c r="W2451" t="s">
        <v>40257</v>
      </c>
      <c r="X2451" t="s">
        <v>43171</v>
      </c>
    </row>
    <row r="2452" spans="1:24">
      <c r="A2452">
        <f>HYPERLINK("https://www.philgeps.gov.ph/GEPSNONPILOT/Tender/SplashBidNoticeAbstractUI.aspx?menuIndex=3&amp;refID=7086165&amp;Result=3","7086165")</f>
        <v>0</v>
      </c>
      <c r="B2452" t="s">
        <v>908</v>
      </c>
      <c r="C2452" t="s">
        <v>5761</v>
      </c>
      <c r="D2452" t="s">
        <v>17445</v>
      </c>
      <c r="E2452" t="s">
        <v>19120</v>
      </c>
      <c r="F2452" t="s">
        <v>30052</v>
      </c>
      <c r="G2452" t="s">
        <v>30059</v>
      </c>
      <c r="H2452" t="s">
        <v>15498</v>
      </c>
      <c r="I2452" t="s">
        <v>8758</v>
      </c>
      <c r="J2452" t="s">
        <v>31272</v>
      </c>
      <c r="K2452" t="s">
        <v>39034</v>
      </c>
      <c r="M2452" t="s">
        <v>40230</v>
      </c>
      <c r="N2452" t="s">
        <v>43166</v>
      </c>
      <c r="O2452" t="s">
        <v>43167</v>
      </c>
      <c r="P2452">
        <v>0</v>
      </c>
      <c r="Q2452">
        <v>2</v>
      </c>
      <c r="R2452" t="s">
        <v>43170</v>
      </c>
      <c r="S2452" t="s">
        <v>43297</v>
      </c>
      <c r="T2452" t="s">
        <v>44696</v>
      </c>
      <c r="U2452" t="s">
        <v>47008</v>
      </c>
      <c r="V2452" t="s">
        <v>57079</v>
      </c>
      <c r="W2452" t="s">
        <v>40230</v>
      </c>
      <c r="X2452" t="s">
        <v>43171</v>
      </c>
    </row>
    <row r="2453" spans="1:24">
      <c r="A2453">
        <f>HYPERLINK("https://www.philgeps.gov.ph/GEPSNONPILOT/Tender/SplashBidNoticeAbstractUI.aspx?menuIndex=3&amp;refID=7086162&amp;Result=3","7086162")</f>
        <v>0</v>
      </c>
      <c r="B2453" t="s">
        <v>972</v>
      </c>
      <c r="C2453" t="s">
        <v>5762</v>
      </c>
      <c r="D2453" t="s">
        <v>17454</v>
      </c>
      <c r="E2453" t="s">
        <v>19661</v>
      </c>
      <c r="F2453" t="s">
        <v>30052</v>
      </c>
      <c r="G2453" t="s">
        <v>30059</v>
      </c>
      <c r="H2453" t="s">
        <v>15498</v>
      </c>
      <c r="I2453" t="s">
        <v>6691</v>
      </c>
      <c r="J2453" t="s">
        <v>30256</v>
      </c>
      <c r="K2453" t="s">
        <v>39036</v>
      </c>
      <c r="M2453" t="s">
        <v>40299</v>
      </c>
      <c r="N2453" t="s">
        <v>43166</v>
      </c>
      <c r="O2453" t="s">
        <v>43167</v>
      </c>
      <c r="P2453">
        <v>0</v>
      </c>
      <c r="Q2453">
        <v>0</v>
      </c>
      <c r="R2453" t="s">
        <v>43170</v>
      </c>
      <c r="S2453" t="s">
        <v>43297</v>
      </c>
      <c r="T2453" t="s">
        <v>44856</v>
      </c>
      <c r="U2453" t="s">
        <v>47217</v>
      </c>
      <c r="W2453" t="s">
        <v>40299</v>
      </c>
      <c r="X2453" t="s">
        <v>43171</v>
      </c>
    </row>
    <row r="2454" spans="1:24">
      <c r="A2454">
        <f>HYPERLINK("https://www.philgeps.gov.ph/GEPSNONPILOT/Tender/SplashBidNoticeAbstractUI.aspx?menuIndex=3&amp;refID=7086161&amp;Result=3","7086161")</f>
        <v>0</v>
      </c>
      <c r="B2454" t="s">
        <v>607</v>
      </c>
      <c r="C2454" t="s">
        <v>5763</v>
      </c>
      <c r="D2454" t="s">
        <v>17459</v>
      </c>
      <c r="E2454" t="s">
        <v>19662</v>
      </c>
      <c r="F2454" t="s">
        <v>30052</v>
      </c>
      <c r="G2454" t="s">
        <v>30059</v>
      </c>
      <c r="H2454" t="s">
        <v>15498</v>
      </c>
      <c r="I2454" t="s">
        <v>30109</v>
      </c>
      <c r="J2454" t="s">
        <v>31888</v>
      </c>
      <c r="K2454" t="s">
        <v>39019</v>
      </c>
      <c r="M2454" t="s">
        <v>39909</v>
      </c>
      <c r="N2454" t="s">
        <v>43166</v>
      </c>
      <c r="O2454" t="s">
        <v>43167</v>
      </c>
      <c r="P2454">
        <v>0</v>
      </c>
      <c r="Q2454">
        <v>0</v>
      </c>
      <c r="R2454" t="s">
        <v>43170</v>
      </c>
      <c r="S2454" t="s">
        <v>43297</v>
      </c>
      <c r="T2454" t="s">
        <v>44714</v>
      </c>
      <c r="U2454" t="s">
        <v>47218</v>
      </c>
      <c r="W2454" t="s">
        <v>39909</v>
      </c>
      <c r="X2454" t="s">
        <v>43171</v>
      </c>
    </row>
    <row r="2455" spans="1:24">
      <c r="A2455">
        <f>HYPERLINK("https://www.philgeps.gov.ph/GEPSNONPILOT/Tender/SplashBidNoticeAbstractUI.aspx?menuIndex=3&amp;refID=7086152&amp;Result=3","7086152")</f>
        <v>0</v>
      </c>
      <c r="B2455" t="s">
        <v>950</v>
      </c>
      <c r="C2455" t="s">
        <v>5764</v>
      </c>
      <c r="D2455" t="s">
        <v>17415</v>
      </c>
      <c r="E2455" t="s">
        <v>19663</v>
      </c>
      <c r="F2455" t="s">
        <v>30052</v>
      </c>
      <c r="G2455" t="s">
        <v>30058</v>
      </c>
      <c r="H2455" t="s">
        <v>15498</v>
      </c>
      <c r="I2455" t="s">
        <v>3606</v>
      </c>
      <c r="J2455" t="s">
        <v>31889</v>
      </c>
      <c r="K2455" t="s">
        <v>39029</v>
      </c>
      <c r="M2455" t="s">
        <v>40274</v>
      </c>
      <c r="N2455" t="s">
        <v>43166</v>
      </c>
      <c r="O2455" t="s">
        <v>43167</v>
      </c>
      <c r="P2455">
        <v>0</v>
      </c>
      <c r="Q2455">
        <v>3</v>
      </c>
      <c r="R2455" t="s">
        <v>43170</v>
      </c>
      <c r="S2455" t="s">
        <v>43297</v>
      </c>
      <c r="T2455" t="s">
        <v>44681</v>
      </c>
      <c r="U2455" t="s">
        <v>47219</v>
      </c>
      <c r="V2455" t="s">
        <v>57103</v>
      </c>
      <c r="W2455" t="s">
        <v>40274</v>
      </c>
      <c r="X2455" t="s">
        <v>43171</v>
      </c>
    </row>
    <row r="2456" spans="1:24">
      <c r="A2456">
        <f>HYPERLINK("https://www.philgeps.gov.ph/GEPSNONPILOT/Tender/SplashBidNoticeAbstractUI.aspx?menuIndex=3&amp;refID=7086170&amp;Result=3","7086170")</f>
        <v>0</v>
      </c>
      <c r="B2456" t="s">
        <v>859</v>
      </c>
      <c r="C2456" t="s">
        <v>5765</v>
      </c>
      <c r="D2456" t="s">
        <v>17442</v>
      </c>
      <c r="E2456" t="s">
        <v>19664</v>
      </c>
      <c r="F2456" t="s">
        <v>30052</v>
      </c>
      <c r="G2456" t="s">
        <v>30061</v>
      </c>
      <c r="H2456" t="s">
        <v>15498</v>
      </c>
      <c r="I2456" t="s">
        <v>30070</v>
      </c>
      <c r="J2456" t="s">
        <v>30292</v>
      </c>
      <c r="K2456" t="s">
        <v>39039</v>
      </c>
      <c r="M2456" t="s">
        <v>40176</v>
      </c>
      <c r="N2456" t="s">
        <v>43166</v>
      </c>
      <c r="O2456" t="s">
        <v>43167</v>
      </c>
      <c r="P2456">
        <v>0</v>
      </c>
      <c r="Q2456">
        <v>0</v>
      </c>
      <c r="R2456" t="s">
        <v>43170</v>
      </c>
      <c r="S2456" t="s">
        <v>43297</v>
      </c>
      <c r="T2456" t="s">
        <v>44717</v>
      </c>
      <c r="U2456" t="s">
        <v>47220</v>
      </c>
      <c r="W2456" t="s">
        <v>40176</v>
      </c>
      <c r="X2456" t="s">
        <v>43171</v>
      </c>
    </row>
    <row r="2457" spans="1:24">
      <c r="A2457">
        <f>HYPERLINK("https://www.philgeps.gov.ph/GEPSNONPILOT/Tender/SplashBidNoticeAbstractUI.aspx?menuIndex=3&amp;refID=7086172&amp;Result=3","7086172")</f>
        <v>0</v>
      </c>
      <c r="B2457" t="s">
        <v>797</v>
      </c>
      <c r="C2457" t="s">
        <v>5766</v>
      </c>
      <c r="D2457" t="s">
        <v>17500</v>
      </c>
      <c r="E2457" t="s">
        <v>19665</v>
      </c>
      <c r="F2457" t="s">
        <v>30052</v>
      </c>
      <c r="G2457" t="s">
        <v>30059</v>
      </c>
      <c r="H2457" t="s">
        <v>15498</v>
      </c>
      <c r="I2457" t="s">
        <v>30099</v>
      </c>
      <c r="J2457" t="s">
        <v>31890</v>
      </c>
      <c r="K2457" t="s">
        <v>39025</v>
      </c>
      <c r="M2457" t="s">
        <v>40114</v>
      </c>
      <c r="N2457" t="s">
        <v>43166</v>
      </c>
      <c r="O2457" t="s">
        <v>43167</v>
      </c>
      <c r="P2457">
        <v>0</v>
      </c>
      <c r="Q2457">
        <v>2</v>
      </c>
      <c r="R2457" t="s">
        <v>43170</v>
      </c>
      <c r="S2457" t="s">
        <v>43297</v>
      </c>
      <c r="T2457" t="s">
        <v>44777</v>
      </c>
      <c r="U2457" t="s">
        <v>47221</v>
      </c>
      <c r="W2457" t="s">
        <v>40114</v>
      </c>
      <c r="X2457" t="s">
        <v>43171</v>
      </c>
    </row>
    <row r="2458" spans="1:24">
      <c r="A2458">
        <f>HYPERLINK("https://www.philgeps.gov.ph/GEPSNONPILOT/Tender/SplashBidNoticeAbstractUI.aspx?menuIndex=3&amp;refID=7086160&amp;Result=3","7086160")</f>
        <v>0</v>
      </c>
      <c r="B2458" t="s">
        <v>802</v>
      </c>
      <c r="C2458" t="s">
        <v>5767</v>
      </c>
      <c r="D2458" t="s">
        <v>17415</v>
      </c>
      <c r="E2458" t="s">
        <v>19666</v>
      </c>
      <c r="F2458" t="s">
        <v>30052</v>
      </c>
      <c r="G2458" t="s">
        <v>30059</v>
      </c>
      <c r="H2458" t="s">
        <v>15498</v>
      </c>
      <c r="I2458" t="s">
        <v>30116</v>
      </c>
      <c r="J2458" t="s">
        <v>30337</v>
      </c>
      <c r="K2458" t="s">
        <v>39017</v>
      </c>
      <c r="M2458" t="s">
        <v>40119</v>
      </c>
      <c r="N2458" t="s">
        <v>43166</v>
      </c>
      <c r="O2458" t="s">
        <v>43167</v>
      </c>
      <c r="P2458">
        <v>0</v>
      </c>
      <c r="Q2458">
        <v>3</v>
      </c>
      <c r="R2458" t="s">
        <v>43170</v>
      </c>
      <c r="S2458" t="s">
        <v>43297</v>
      </c>
      <c r="T2458" t="s">
        <v>44732</v>
      </c>
      <c r="U2458" t="s">
        <v>46770</v>
      </c>
      <c r="W2458" t="s">
        <v>40119</v>
      </c>
      <c r="X2458" t="s">
        <v>43171</v>
      </c>
    </row>
    <row r="2459" spans="1:24">
      <c r="A2459">
        <f>HYPERLINK("https://www.philgeps.gov.ph/GEPSNONPILOT/Tender/SplashBidNoticeAbstractUI.aspx?menuIndex=3&amp;refID=7086154&amp;Result=3","7086154")</f>
        <v>0</v>
      </c>
      <c r="B2459" t="s">
        <v>973</v>
      </c>
      <c r="C2459" t="s">
        <v>5768</v>
      </c>
      <c r="D2459" t="s">
        <v>17494</v>
      </c>
      <c r="E2459" t="s">
        <v>19667</v>
      </c>
      <c r="F2459" t="s">
        <v>30052</v>
      </c>
      <c r="G2459" t="s">
        <v>30059</v>
      </c>
      <c r="H2459" t="s">
        <v>15498</v>
      </c>
      <c r="I2459" t="s">
        <v>30103</v>
      </c>
      <c r="J2459" t="s">
        <v>30508</v>
      </c>
      <c r="K2459" t="s">
        <v>39019</v>
      </c>
      <c r="M2459" t="s">
        <v>40300</v>
      </c>
      <c r="N2459" t="s">
        <v>43166</v>
      </c>
      <c r="O2459" t="s">
        <v>43167</v>
      </c>
      <c r="P2459">
        <v>0</v>
      </c>
      <c r="Q2459">
        <v>0</v>
      </c>
      <c r="R2459" t="s">
        <v>43170</v>
      </c>
      <c r="S2459" t="s">
        <v>43297</v>
      </c>
      <c r="T2459" t="s">
        <v>44717</v>
      </c>
      <c r="U2459" t="s">
        <v>47222</v>
      </c>
      <c r="W2459" t="s">
        <v>40300</v>
      </c>
      <c r="X2459" t="s">
        <v>43171</v>
      </c>
    </row>
    <row r="2460" spans="1:24">
      <c r="A2460">
        <f>HYPERLINK("https://www.philgeps.gov.ph/GEPSNONPILOT/Tender/SplashBidNoticeAbstractUI.aspx?menuIndex=3&amp;refID=7086190&amp;Result=3","7086190")</f>
        <v>0</v>
      </c>
      <c r="B2460" t="s">
        <v>974</v>
      </c>
      <c r="C2460" t="s">
        <v>5769</v>
      </c>
      <c r="D2460" t="s">
        <v>17453</v>
      </c>
      <c r="E2460" t="s">
        <v>19668</v>
      </c>
      <c r="F2460" t="s">
        <v>30052</v>
      </c>
      <c r="G2460" t="s">
        <v>30059</v>
      </c>
      <c r="H2460" t="s">
        <v>15498</v>
      </c>
      <c r="I2460" t="s">
        <v>30092</v>
      </c>
      <c r="J2460" t="s">
        <v>31891</v>
      </c>
      <c r="K2460" t="s">
        <v>39017</v>
      </c>
      <c r="M2460" t="s">
        <v>40301</v>
      </c>
      <c r="N2460" t="s">
        <v>43166</v>
      </c>
      <c r="O2460" t="s">
        <v>43167</v>
      </c>
      <c r="P2460">
        <v>0</v>
      </c>
      <c r="Q2460">
        <v>3</v>
      </c>
      <c r="R2460" t="s">
        <v>43170</v>
      </c>
      <c r="S2460" t="s">
        <v>43297</v>
      </c>
      <c r="T2460" t="s">
        <v>44856</v>
      </c>
      <c r="U2460" t="s">
        <v>46634</v>
      </c>
      <c r="W2460" t="s">
        <v>40301</v>
      </c>
      <c r="X2460" t="s">
        <v>43171</v>
      </c>
    </row>
    <row r="2461" spans="1:24">
      <c r="A2461">
        <f>HYPERLINK("https://www.philgeps.gov.ph/GEPSNONPILOT/Tender/SplashBidNoticeAbstractUI.aspx?menuIndex=3&amp;refID=7086209&amp;Result=3","7086209")</f>
        <v>0</v>
      </c>
      <c r="B2461" t="s">
        <v>974</v>
      </c>
      <c r="C2461" t="s">
        <v>5770</v>
      </c>
      <c r="D2461" t="s">
        <v>17453</v>
      </c>
      <c r="E2461" t="s">
        <v>19669</v>
      </c>
      <c r="F2461" t="s">
        <v>30052</v>
      </c>
      <c r="G2461" t="s">
        <v>30059</v>
      </c>
      <c r="H2461" t="s">
        <v>15498</v>
      </c>
      <c r="I2461" t="s">
        <v>30076</v>
      </c>
      <c r="J2461" t="s">
        <v>30447</v>
      </c>
      <c r="K2461" t="s">
        <v>39017</v>
      </c>
      <c r="M2461" t="s">
        <v>40301</v>
      </c>
      <c r="N2461" t="s">
        <v>43166</v>
      </c>
      <c r="O2461" t="s">
        <v>43167</v>
      </c>
      <c r="P2461">
        <v>0</v>
      </c>
      <c r="Q2461">
        <v>2</v>
      </c>
      <c r="R2461" t="s">
        <v>43170</v>
      </c>
      <c r="S2461" t="s">
        <v>43297</v>
      </c>
      <c r="T2461" t="s">
        <v>44856</v>
      </c>
      <c r="U2461" t="s">
        <v>46634</v>
      </c>
      <c r="W2461" t="s">
        <v>40301</v>
      </c>
      <c r="X2461" t="s">
        <v>43171</v>
      </c>
    </row>
    <row r="2462" spans="1:24">
      <c r="A2462">
        <f>HYPERLINK("https://www.philgeps.gov.ph/GEPSNONPILOT/Tender/SplashBidNoticeAbstractUI.aspx?menuIndex=3&amp;refID=7086124&amp;Result=3","7086124")</f>
        <v>0</v>
      </c>
      <c r="B2462" t="s">
        <v>767</v>
      </c>
      <c r="C2462" t="s">
        <v>4790</v>
      </c>
      <c r="D2462" t="s">
        <v>17487</v>
      </c>
      <c r="E2462" t="s">
        <v>19670</v>
      </c>
      <c r="F2462" t="s">
        <v>30052</v>
      </c>
      <c r="G2462" t="s">
        <v>30059</v>
      </c>
      <c r="H2462" t="s">
        <v>15498</v>
      </c>
      <c r="I2462" t="s">
        <v>30070</v>
      </c>
      <c r="J2462" t="s">
        <v>30248</v>
      </c>
      <c r="K2462" t="s">
        <v>39029</v>
      </c>
      <c r="M2462" t="s">
        <v>40081</v>
      </c>
      <c r="N2462" t="s">
        <v>43166</v>
      </c>
      <c r="O2462" t="s">
        <v>43167</v>
      </c>
      <c r="P2462">
        <v>0</v>
      </c>
      <c r="Q2462">
        <v>2</v>
      </c>
      <c r="R2462" t="s">
        <v>43170</v>
      </c>
      <c r="S2462" t="s">
        <v>43297</v>
      </c>
      <c r="T2462" t="s">
        <v>44856</v>
      </c>
      <c r="U2462" t="s">
        <v>45217</v>
      </c>
      <c r="V2462" t="s">
        <v>57027</v>
      </c>
      <c r="W2462" t="s">
        <v>40081</v>
      </c>
      <c r="X2462" t="s">
        <v>43171</v>
      </c>
    </row>
    <row r="2463" spans="1:24">
      <c r="A2463">
        <f>HYPERLINK("https://www.philgeps.gov.ph/GEPSNONPILOT/Tender/SplashBidNoticeAbstractUI.aspx?menuIndex=3&amp;refID=7086208&amp;Result=3","7086208")</f>
        <v>0</v>
      </c>
      <c r="B2463" t="s">
        <v>972</v>
      </c>
      <c r="C2463" t="s">
        <v>5771</v>
      </c>
      <c r="D2463" t="s">
        <v>17454</v>
      </c>
      <c r="E2463" t="s">
        <v>19661</v>
      </c>
      <c r="F2463" t="s">
        <v>30052</v>
      </c>
      <c r="G2463" t="s">
        <v>30059</v>
      </c>
      <c r="H2463" t="s">
        <v>15498</v>
      </c>
      <c r="I2463" t="s">
        <v>8323</v>
      </c>
      <c r="J2463" t="s">
        <v>31892</v>
      </c>
      <c r="K2463" t="s">
        <v>39036</v>
      </c>
      <c r="M2463" t="s">
        <v>40299</v>
      </c>
      <c r="N2463" t="s">
        <v>43166</v>
      </c>
      <c r="O2463" t="s">
        <v>43167</v>
      </c>
      <c r="P2463">
        <v>0</v>
      </c>
      <c r="Q2463">
        <v>3</v>
      </c>
      <c r="R2463" t="s">
        <v>43170</v>
      </c>
      <c r="S2463" t="s">
        <v>43297</v>
      </c>
      <c r="T2463" t="s">
        <v>44856</v>
      </c>
      <c r="U2463" t="s">
        <v>47223</v>
      </c>
      <c r="W2463" t="s">
        <v>40299</v>
      </c>
      <c r="X2463" t="s">
        <v>43171</v>
      </c>
    </row>
    <row r="2464" spans="1:24">
      <c r="A2464">
        <f>HYPERLINK("https://www.philgeps.gov.ph/GEPSNONPILOT/Tender/SplashBidNoticeAbstractUI.aspx?menuIndex=3&amp;refID=7086205&amp;Result=3","7086205")</f>
        <v>0</v>
      </c>
      <c r="B2464" t="s">
        <v>415</v>
      </c>
      <c r="C2464" t="s">
        <v>5772</v>
      </c>
      <c r="D2464" t="s">
        <v>17472</v>
      </c>
      <c r="E2464" t="s">
        <v>18363</v>
      </c>
      <c r="F2464" t="s">
        <v>30052</v>
      </c>
      <c r="G2464" t="s">
        <v>30061</v>
      </c>
      <c r="H2464" t="s">
        <v>15498</v>
      </c>
      <c r="I2464" t="s">
        <v>30073</v>
      </c>
      <c r="J2464" t="s">
        <v>31893</v>
      </c>
      <c r="K2464" t="s">
        <v>39034</v>
      </c>
      <c r="M2464" t="s">
        <v>39714</v>
      </c>
      <c r="N2464" t="s">
        <v>43166</v>
      </c>
      <c r="O2464" t="s">
        <v>43167</v>
      </c>
      <c r="P2464">
        <v>0</v>
      </c>
      <c r="Q2464">
        <v>0</v>
      </c>
      <c r="R2464" t="s">
        <v>43170</v>
      </c>
      <c r="S2464" t="s">
        <v>43297</v>
      </c>
      <c r="T2464" t="s">
        <v>44685</v>
      </c>
      <c r="U2464" t="s">
        <v>47224</v>
      </c>
      <c r="W2464" t="s">
        <v>39714</v>
      </c>
      <c r="X2464" t="s">
        <v>43171</v>
      </c>
    </row>
    <row r="2465" spans="1:24">
      <c r="A2465">
        <f>HYPERLINK("https://www.philgeps.gov.ph/GEPSNONPILOT/Tender/SplashBidNoticeAbstractUI.aspx?menuIndex=3&amp;refID=7086204&amp;Result=3","7086204")</f>
        <v>0</v>
      </c>
      <c r="B2465" t="s">
        <v>261</v>
      </c>
      <c r="C2465" t="s">
        <v>5773</v>
      </c>
      <c r="D2465" t="s">
        <v>17454</v>
      </c>
      <c r="E2465" t="s">
        <v>19671</v>
      </c>
      <c r="F2465" t="s">
        <v>30052</v>
      </c>
      <c r="G2465" t="s">
        <v>30061</v>
      </c>
      <c r="H2465" t="s">
        <v>15498</v>
      </c>
      <c r="I2465" t="s">
        <v>30070</v>
      </c>
      <c r="J2465" t="s">
        <v>31894</v>
      </c>
      <c r="K2465" t="s">
        <v>39017</v>
      </c>
      <c r="M2465" t="s">
        <v>39552</v>
      </c>
      <c r="N2465" t="s">
        <v>43166</v>
      </c>
      <c r="O2465" t="s">
        <v>43167</v>
      </c>
      <c r="P2465">
        <v>0</v>
      </c>
      <c r="Q2465">
        <v>0</v>
      </c>
      <c r="R2465" t="s">
        <v>43170</v>
      </c>
      <c r="S2465" t="s">
        <v>43297</v>
      </c>
      <c r="T2465" t="s">
        <v>44864</v>
      </c>
      <c r="U2465" t="s">
        <v>47225</v>
      </c>
      <c r="W2465" t="s">
        <v>39552</v>
      </c>
      <c r="X2465" t="s">
        <v>43171</v>
      </c>
    </row>
    <row r="2466" spans="1:24">
      <c r="A2466">
        <f>HYPERLINK("https://www.philgeps.gov.ph/GEPSNONPILOT/Tender/SplashBidNoticeAbstractUI.aspx?menuIndex=3&amp;refID=7086202&amp;Result=3","7086202")</f>
        <v>0</v>
      </c>
      <c r="B2466" t="s">
        <v>944</v>
      </c>
      <c r="C2466" t="s">
        <v>5774</v>
      </c>
      <c r="D2466" t="s">
        <v>17434</v>
      </c>
      <c r="E2466" t="s">
        <v>19672</v>
      </c>
      <c r="F2466" t="s">
        <v>30052</v>
      </c>
      <c r="G2466" t="s">
        <v>30059</v>
      </c>
      <c r="H2466" t="s">
        <v>15498</v>
      </c>
      <c r="I2466" t="s">
        <v>30074</v>
      </c>
      <c r="J2466" t="s">
        <v>30559</v>
      </c>
      <c r="K2466" t="s">
        <v>39036</v>
      </c>
      <c r="M2466" t="s">
        <v>40268</v>
      </c>
      <c r="N2466" t="s">
        <v>43166</v>
      </c>
      <c r="O2466" t="s">
        <v>43167</v>
      </c>
      <c r="P2466">
        <v>0</v>
      </c>
      <c r="Q2466">
        <v>1</v>
      </c>
      <c r="R2466" t="s">
        <v>43170</v>
      </c>
      <c r="S2466" t="s">
        <v>43297</v>
      </c>
      <c r="T2466" t="s">
        <v>44894</v>
      </c>
      <c r="U2466" t="s">
        <v>47112</v>
      </c>
      <c r="W2466" t="s">
        <v>40268</v>
      </c>
      <c r="X2466" t="s">
        <v>43171</v>
      </c>
    </row>
    <row r="2467" spans="1:24">
      <c r="A2467">
        <f>HYPERLINK("https://www.philgeps.gov.ph/GEPSNONPILOT/Tender/SplashBidNoticeAbstractUI.aspx?menuIndex=3&amp;refID=7086200&amp;Result=3","7086200")</f>
        <v>0</v>
      </c>
      <c r="B2467" t="s">
        <v>975</v>
      </c>
      <c r="C2467" t="s">
        <v>5775</v>
      </c>
      <c r="D2467" t="s">
        <v>17415</v>
      </c>
      <c r="E2467" t="s">
        <v>19673</v>
      </c>
      <c r="F2467" t="s">
        <v>30052</v>
      </c>
      <c r="G2467" t="s">
        <v>30058</v>
      </c>
      <c r="H2467" t="s">
        <v>15498</v>
      </c>
      <c r="I2467" t="s">
        <v>3736</v>
      </c>
      <c r="J2467" t="s">
        <v>31895</v>
      </c>
      <c r="K2467" t="s">
        <v>39017</v>
      </c>
      <c r="M2467" t="s">
        <v>40302</v>
      </c>
      <c r="N2467" t="s">
        <v>43166</v>
      </c>
      <c r="O2467" t="s">
        <v>43167</v>
      </c>
      <c r="Q2467">
        <v>2</v>
      </c>
      <c r="R2467" t="s">
        <v>43170</v>
      </c>
      <c r="S2467" t="s">
        <v>43309</v>
      </c>
      <c r="T2467" t="s">
        <v>44677</v>
      </c>
      <c r="U2467" t="s">
        <v>47226</v>
      </c>
      <c r="V2467" t="s">
        <v>57110</v>
      </c>
      <c r="W2467" t="s">
        <v>40302</v>
      </c>
      <c r="X2467" t="s">
        <v>43171</v>
      </c>
    </row>
    <row r="2468" spans="1:24">
      <c r="A2468">
        <f>HYPERLINK("https://www.philgeps.gov.ph/GEPSNONPILOT/Tender/SplashBidNoticeAbstractUI.aspx?menuIndex=3&amp;refID=7086197&amp;Result=3","7086197")</f>
        <v>0</v>
      </c>
      <c r="B2468" t="s">
        <v>194</v>
      </c>
      <c r="C2468" t="s">
        <v>5776</v>
      </c>
      <c r="D2468" t="s">
        <v>17438</v>
      </c>
      <c r="E2468" t="s">
        <v>18038</v>
      </c>
      <c r="F2468" t="s">
        <v>30052</v>
      </c>
      <c r="G2468" t="s">
        <v>30059</v>
      </c>
      <c r="H2468" t="s">
        <v>15498</v>
      </c>
      <c r="I2468" t="s">
        <v>30073</v>
      </c>
      <c r="J2468" t="s">
        <v>31896</v>
      </c>
      <c r="K2468" t="s">
        <v>39029</v>
      </c>
      <c r="M2468" t="s">
        <v>39484</v>
      </c>
      <c r="N2468" t="s">
        <v>43166</v>
      </c>
      <c r="O2468" t="s">
        <v>43167</v>
      </c>
      <c r="P2468">
        <v>0</v>
      </c>
      <c r="Q2468">
        <v>0</v>
      </c>
      <c r="R2468" t="s">
        <v>43170</v>
      </c>
      <c r="S2468" t="s">
        <v>43297</v>
      </c>
      <c r="T2468" t="s">
        <v>44717</v>
      </c>
      <c r="U2468" t="s">
        <v>47227</v>
      </c>
      <c r="W2468" t="s">
        <v>39484</v>
      </c>
      <c r="X2468" t="s">
        <v>43171</v>
      </c>
    </row>
    <row r="2469" spans="1:24">
      <c r="A2469">
        <f>HYPERLINK("https://www.philgeps.gov.ph/GEPSNONPILOT/Tender/SplashBidNoticeAbstractUI.aspx?menuIndex=3&amp;refID=7086214&amp;Result=3","7086214")</f>
        <v>0</v>
      </c>
      <c r="B2469" t="s">
        <v>502</v>
      </c>
      <c r="C2469" t="s">
        <v>5777</v>
      </c>
      <c r="D2469" t="s">
        <v>17445</v>
      </c>
      <c r="E2469" t="s">
        <v>18546</v>
      </c>
      <c r="F2469" t="s">
        <v>30052</v>
      </c>
      <c r="G2469" t="s">
        <v>30059</v>
      </c>
      <c r="H2469" t="s">
        <v>15498</v>
      </c>
      <c r="I2469" t="s">
        <v>30136</v>
      </c>
      <c r="J2469" t="s">
        <v>30300</v>
      </c>
      <c r="K2469" t="s">
        <v>39037</v>
      </c>
      <c r="M2469" t="s">
        <v>39803</v>
      </c>
      <c r="N2469" t="s">
        <v>43166</v>
      </c>
      <c r="O2469" t="s">
        <v>43167</v>
      </c>
      <c r="P2469">
        <v>0</v>
      </c>
      <c r="Q2469">
        <v>0</v>
      </c>
      <c r="R2469" t="s">
        <v>43170</v>
      </c>
      <c r="S2469" t="s">
        <v>43297</v>
      </c>
      <c r="T2469" t="s">
        <v>44698</v>
      </c>
      <c r="U2469" t="s">
        <v>47228</v>
      </c>
      <c r="V2469" t="s">
        <v>57111</v>
      </c>
      <c r="W2469" t="s">
        <v>39803</v>
      </c>
      <c r="X2469" t="s">
        <v>43171</v>
      </c>
    </row>
    <row r="2470" spans="1:24">
      <c r="A2470">
        <f>HYPERLINK("https://www.philgeps.gov.ph/GEPSNONPILOT/Tender/SplashBidNoticeAbstractUI.aspx?menuIndex=3&amp;refID=7086210&amp;Result=3","7086210")</f>
        <v>0</v>
      </c>
      <c r="B2470" t="s">
        <v>607</v>
      </c>
      <c r="C2470" t="s">
        <v>5778</v>
      </c>
      <c r="D2470" t="s">
        <v>17459</v>
      </c>
      <c r="E2470" t="s">
        <v>19674</v>
      </c>
      <c r="F2470" t="s">
        <v>30052</v>
      </c>
      <c r="G2470" t="s">
        <v>30059</v>
      </c>
      <c r="H2470" t="s">
        <v>15498</v>
      </c>
      <c r="I2470" t="s">
        <v>6691</v>
      </c>
      <c r="J2470" t="s">
        <v>30587</v>
      </c>
      <c r="K2470" t="s">
        <v>39034</v>
      </c>
      <c r="M2470" t="s">
        <v>39909</v>
      </c>
      <c r="N2470" t="s">
        <v>43166</v>
      </c>
      <c r="O2470" t="s">
        <v>43167</v>
      </c>
      <c r="P2470">
        <v>0</v>
      </c>
      <c r="Q2470">
        <v>1</v>
      </c>
      <c r="R2470" t="s">
        <v>43170</v>
      </c>
      <c r="S2470" t="s">
        <v>43297</v>
      </c>
      <c r="T2470" t="s">
        <v>44714</v>
      </c>
      <c r="U2470" t="s">
        <v>47229</v>
      </c>
      <c r="W2470" t="s">
        <v>39909</v>
      </c>
      <c r="X2470" t="s">
        <v>43171</v>
      </c>
    </row>
    <row r="2471" spans="1:24">
      <c r="A2471">
        <f>HYPERLINK("https://www.philgeps.gov.ph/GEPSNONPILOT/Tender/SplashBidNoticeAbstractUI.aspx?menuIndex=3&amp;refID=7086213&amp;Result=3","7086213")</f>
        <v>0</v>
      </c>
      <c r="B2471" t="s">
        <v>976</v>
      </c>
      <c r="C2471" t="s">
        <v>5779</v>
      </c>
      <c r="D2471" t="s">
        <v>17424</v>
      </c>
      <c r="E2471" t="s">
        <v>19675</v>
      </c>
      <c r="F2471" t="s">
        <v>30052</v>
      </c>
      <c r="G2471" t="s">
        <v>30059</v>
      </c>
      <c r="H2471" t="s">
        <v>15498</v>
      </c>
      <c r="I2471" t="s">
        <v>4650</v>
      </c>
      <c r="J2471" t="s">
        <v>31897</v>
      </c>
      <c r="K2471" t="s">
        <v>39023</v>
      </c>
      <c r="M2471" t="s">
        <v>40303</v>
      </c>
      <c r="N2471" t="s">
        <v>43166</v>
      </c>
      <c r="O2471" t="s">
        <v>43167</v>
      </c>
      <c r="P2471">
        <v>0</v>
      </c>
      <c r="Q2471">
        <v>0</v>
      </c>
      <c r="R2471" t="s">
        <v>43170</v>
      </c>
      <c r="S2471" t="s">
        <v>43297</v>
      </c>
      <c r="T2471" t="s">
        <v>44717</v>
      </c>
      <c r="U2471" t="s">
        <v>47230</v>
      </c>
      <c r="W2471" t="s">
        <v>40303</v>
      </c>
      <c r="X2471" t="s">
        <v>43171</v>
      </c>
    </row>
    <row r="2472" spans="1:24">
      <c r="A2472">
        <f>HYPERLINK("https://www.philgeps.gov.ph/GEPSNONPILOT/Tender/SplashBidNoticeAbstractUI.aspx?menuIndex=3&amp;refID=7086207&amp;Result=3","7086207")</f>
        <v>0</v>
      </c>
      <c r="B2472" t="s">
        <v>915</v>
      </c>
      <c r="C2472" t="s">
        <v>5780</v>
      </c>
      <c r="D2472" t="s">
        <v>17457</v>
      </c>
      <c r="E2472" t="s">
        <v>19676</v>
      </c>
      <c r="F2472" t="s">
        <v>30052</v>
      </c>
      <c r="G2472" t="s">
        <v>30059</v>
      </c>
      <c r="H2472" t="s">
        <v>15498</v>
      </c>
      <c r="I2472" t="s">
        <v>30076</v>
      </c>
      <c r="J2472" t="s">
        <v>31898</v>
      </c>
      <c r="K2472" t="s">
        <v>39019</v>
      </c>
      <c r="M2472" t="s">
        <v>40238</v>
      </c>
      <c r="N2472" t="s">
        <v>43166</v>
      </c>
      <c r="O2472" t="s">
        <v>43167</v>
      </c>
      <c r="P2472">
        <v>0</v>
      </c>
      <c r="Q2472">
        <v>2</v>
      </c>
      <c r="R2472" t="s">
        <v>43170</v>
      </c>
      <c r="S2472" t="s">
        <v>43297</v>
      </c>
      <c r="T2472" t="s">
        <v>44844</v>
      </c>
      <c r="U2472" t="s">
        <v>47231</v>
      </c>
      <c r="W2472" t="s">
        <v>40238</v>
      </c>
      <c r="X2472" t="s">
        <v>43171</v>
      </c>
    </row>
    <row r="2473" spans="1:24">
      <c r="A2473">
        <f>HYPERLINK("https://www.philgeps.gov.ph/GEPSNONPILOT/Tender/SplashBidNoticeAbstractUI.aspx?menuIndex=3&amp;refID=7086212&amp;Result=3","7086212")</f>
        <v>0</v>
      </c>
      <c r="B2473" t="s">
        <v>977</v>
      </c>
      <c r="C2473" t="s">
        <v>5781</v>
      </c>
      <c r="D2473" t="s">
        <v>17484</v>
      </c>
      <c r="E2473" t="s">
        <v>19677</v>
      </c>
      <c r="F2473" t="s">
        <v>30052</v>
      </c>
      <c r="G2473" t="s">
        <v>30059</v>
      </c>
      <c r="H2473" t="s">
        <v>15498</v>
      </c>
      <c r="I2473" t="s">
        <v>4650</v>
      </c>
      <c r="J2473" t="s">
        <v>30337</v>
      </c>
      <c r="K2473" t="s">
        <v>39017</v>
      </c>
      <c r="M2473" t="s">
        <v>40304</v>
      </c>
      <c r="N2473" t="s">
        <v>43166</v>
      </c>
      <c r="O2473" t="s">
        <v>43167</v>
      </c>
      <c r="P2473">
        <v>0</v>
      </c>
      <c r="Q2473">
        <v>0</v>
      </c>
      <c r="R2473" t="s">
        <v>43170</v>
      </c>
      <c r="S2473" t="s">
        <v>43297</v>
      </c>
      <c r="T2473" t="s">
        <v>44870</v>
      </c>
      <c r="U2473" t="s">
        <v>47232</v>
      </c>
      <c r="W2473" t="s">
        <v>40304</v>
      </c>
      <c r="X2473" t="s">
        <v>43171</v>
      </c>
    </row>
    <row r="2474" spans="1:24">
      <c r="A2474">
        <f>HYPERLINK("https://www.philgeps.gov.ph/GEPSNONPILOT/Tender/SplashBidNoticeAbstractUI.aspx?menuIndex=3&amp;refID=7086196&amp;Result=3","7086196")</f>
        <v>0</v>
      </c>
      <c r="B2474" t="s">
        <v>908</v>
      </c>
      <c r="C2474" t="s">
        <v>5782</v>
      </c>
      <c r="D2474" t="s">
        <v>17445</v>
      </c>
      <c r="E2474" t="s">
        <v>17965</v>
      </c>
      <c r="F2474" t="s">
        <v>30052</v>
      </c>
      <c r="G2474" t="s">
        <v>30059</v>
      </c>
      <c r="H2474" t="s">
        <v>15498</v>
      </c>
      <c r="I2474" t="s">
        <v>30115</v>
      </c>
      <c r="J2474" t="s">
        <v>31899</v>
      </c>
      <c r="K2474" t="s">
        <v>39034</v>
      </c>
      <c r="M2474" t="s">
        <v>40230</v>
      </c>
      <c r="N2474" t="s">
        <v>43166</v>
      </c>
      <c r="O2474" t="s">
        <v>43167</v>
      </c>
      <c r="P2474">
        <v>0</v>
      </c>
      <c r="Q2474">
        <v>11</v>
      </c>
      <c r="R2474" t="s">
        <v>43170</v>
      </c>
      <c r="S2474" t="s">
        <v>43297</v>
      </c>
      <c r="T2474" t="s">
        <v>44696</v>
      </c>
      <c r="U2474" t="s">
        <v>47008</v>
      </c>
      <c r="V2474" t="s">
        <v>57079</v>
      </c>
      <c r="W2474" t="s">
        <v>40230</v>
      </c>
      <c r="X2474" t="s">
        <v>43171</v>
      </c>
    </row>
    <row r="2475" spans="1:24">
      <c r="A2475">
        <f>HYPERLINK("https://www.philgeps.gov.ph/GEPSNONPILOT/Tender/SplashBidNoticeAbstractUI.aspx?menuIndex=3&amp;refID=7086194&amp;Result=3","7086194")</f>
        <v>0</v>
      </c>
      <c r="B2475" t="s">
        <v>978</v>
      </c>
      <c r="C2475" t="s">
        <v>5783</v>
      </c>
      <c r="D2475" t="s">
        <v>17421</v>
      </c>
      <c r="E2475" t="s">
        <v>19678</v>
      </c>
      <c r="F2475" t="s">
        <v>30052</v>
      </c>
      <c r="G2475" t="s">
        <v>30058</v>
      </c>
      <c r="H2475" t="s">
        <v>15498</v>
      </c>
      <c r="I2475" t="s">
        <v>6691</v>
      </c>
      <c r="J2475" t="s">
        <v>31900</v>
      </c>
      <c r="K2475" t="s">
        <v>39029</v>
      </c>
      <c r="M2475" t="s">
        <v>40305</v>
      </c>
      <c r="N2475" t="s">
        <v>43166</v>
      </c>
      <c r="O2475" t="s">
        <v>43167</v>
      </c>
      <c r="P2475">
        <v>0</v>
      </c>
      <c r="Q2475">
        <v>0</v>
      </c>
      <c r="R2475" t="s">
        <v>43170</v>
      </c>
      <c r="S2475" t="s">
        <v>43297</v>
      </c>
      <c r="T2475" t="s">
        <v>44724</v>
      </c>
      <c r="U2475" t="s">
        <v>47233</v>
      </c>
      <c r="W2475" t="s">
        <v>40305</v>
      </c>
      <c r="X2475" t="s">
        <v>43171</v>
      </c>
    </row>
    <row r="2476" spans="1:24">
      <c r="A2476">
        <f>HYPERLINK("https://www.philgeps.gov.ph/GEPSNONPILOT/Tender/SplashBidNoticeAbstractUI.aspx?menuIndex=3&amp;refID=7086186&amp;Result=3","7086186")</f>
        <v>0</v>
      </c>
      <c r="B2476" t="s">
        <v>979</v>
      </c>
      <c r="C2476" t="s">
        <v>5784</v>
      </c>
      <c r="D2476" t="s">
        <v>17448</v>
      </c>
      <c r="E2476" t="s">
        <v>19679</v>
      </c>
      <c r="F2476" t="s">
        <v>30052</v>
      </c>
      <c r="G2476" t="s">
        <v>30061</v>
      </c>
      <c r="H2476" t="s">
        <v>15498</v>
      </c>
      <c r="I2476" t="s">
        <v>3736</v>
      </c>
      <c r="J2476" t="s">
        <v>30337</v>
      </c>
      <c r="K2476" t="s">
        <v>39060</v>
      </c>
      <c r="M2476" t="s">
        <v>40306</v>
      </c>
      <c r="N2476" t="s">
        <v>43166</v>
      </c>
      <c r="O2476" t="s">
        <v>43167</v>
      </c>
      <c r="P2476">
        <v>0</v>
      </c>
      <c r="Q2476">
        <v>0</v>
      </c>
      <c r="R2476" t="s">
        <v>43170</v>
      </c>
      <c r="S2476" t="s">
        <v>43297</v>
      </c>
      <c r="T2476" t="s">
        <v>44862</v>
      </c>
      <c r="U2476" t="s">
        <v>47234</v>
      </c>
      <c r="W2476" t="s">
        <v>40306</v>
      </c>
      <c r="X2476" t="s">
        <v>43171</v>
      </c>
    </row>
    <row r="2477" spans="1:24">
      <c r="A2477">
        <f>HYPERLINK("https://www.philgeps.gov.ph/GEPSNONPILOT/Tender/SplashBidNoticeAbstractUI.aspx?menuIndex=3&amp;refID=7086158&amp;Result=3","7086158")</f>
        <v>0</v>
      </c>
      <c r="B2477" t="s">
        <v>194</v>
      </c>
      <c r="C2477" t="s">
        <v>5719</v>
      </c>
      <c r="D2477" t="s">
        <v>17438</v>
      </c>
      <c r="E2477" t="s">
        <v>19680</v>
      </c>
      <c r="F2477" t="s">
        <v>30052</v>
      </c>
      <c r="G2477" t="s">
        <v>30059</v>
      </c>
      <c r="H2477" t="s">
        <v>15498</v>
      </c>
      <c r="I2477" t="s">
        <v>30094</v>
      </c>
      <c r="J2477" t="s">
        <v>31901</v>
      </c>
      <c r="K2477" t="s">
        <v>39029</v>
      </c>
      <c r="M2477" t="s">
        <v>39484</v>
      </c>
      <c r="N2477" t="s">
        <v>43166</v>
      </c>
      <c r="O2477" t="s">
        <v>43167</v>
      </c>
      <c r="P2477">
        <v>0</v>
      </c>
      <c r="Q2477">
        <v>0</v>
      </c>
      <c r="R2477" t="s">
        <v>43170</v>
      </c>
      <c r="S2477" t="s">
        <v>43297</v>
      </c>
      <c r="T2477" t="s">
        <v>44717</v>
      </c>
      <c r="U2477" t="s">
        <v>47235</v>
      </c>
      <c r="W2477" t="s">
        <v>39484</v>
      </c>
      <c r="X2477" t="s">
        <v>43171</v>
      </c>
    </row>
    <row r="2478" spans="1:24">
      <c r="A2478">
        <f>HYPERLINK("https://www.philgeps.gov.ph/GEPSNONPILOT/Tender/SplashBidNoticeAbstractUI.aspx?menuIndex=3&amp;refID=7086195&amp;Result=3","7086195")</f>
        <v>0</v>
      </c>
      <c r="B2478" t="s">
        <v>851</v>
      </c>
      <c r="C2478" t="s">
        <v>5785</v>
      </c>
      <c r="D2478" t="s">
        <v>17484</v>
      </c>
      <c r="E2478" t="s">
        <v>19681</v>
      </c>
      <c r="F2478" t="s">
        <v>30052</v>
      </c>
      <c r="G2478" t="s">
        <v>30059</v>
      </c>
      <c r="H2478" t="s">
        <v>15498</v>
      </c>
      <c r="I2478" t="s">
        <v>8323</v>
      </c>
      <c r="J2478" t="s">
        <v>31902</v>
      </c>
      <c r="K2478" t="s">
        <v>39105</v>
      </c>
      <c r="L2478" t="s">
        <v>851</v>
      </c>
      <c r="M2478" t="s">
        <v>40168</v>
      </c>
      <c r="N2478" t="s">
        <v>43166</v>
      </c>
      <c r="O2478" t="s">
        <v>43167</v>
      </c>
      <c r="P2478">
        <v>0</v>
      </c>
      <c r="Q2478">
        <v>6</v>
      </c>
      <c r="R2478" t="s">
        <v>43170</v>
      </c>
      <c r="S2478" t="s">
        <v>43297</v>
      </c>
      <c r="T2478" t="s">
        <v>44837</v>
      </c>
      <c r="U2478" t="s">
        <v>47236</v>
      </c>
      <c r="W2478" t="s">
        <v>40168</v>
      </c>
      <c r="X2478" t="s">
        <v>43171</v>
      </c>
    </row>
    <row r="2479" spans="1:24">
      <c r="A2479">
        <f>HYPERLINK("https://www.philgeps.gov.ph/GEPSNONPILOT/Tender/SplashBidNoticeAbstractUI.aspx?menuIndex=3&amp;refID=7086192&amp;Result=3","7086192")</f>
        <v>0</v>
      </c>
      <c r="B2479" t="s">
        <v>415</v>
      </c>
      <c r="C2479" t="s">
        <v>5786</v>
      </c>
      <c r="D2479" t="s">
        <v>17472</v>
      </c>
      <c r="E2479" t="s">
        <v>18363</v>
      </c>
      <c r="F2479" t="s">
        <v>30052</v>
      </c>
      <c r="G2479" t="s">
        <v>30061</v>
      </c>
      <c r="H2479" t="s">
        <v>15498</v>
      </c>
      <c r="I2479" t="s">
        <v>30071</v>
      </c>
      <c r="J2479" t="s">
        <v>31903</v>
      </c>
      <c r="K2479" t="s">
        <v>39034</v>
      </c>
      <c r="M2479" t="s">
        <v>39714</v>
      </c>
      <c r="N2479" t="s">
        <v>43166</v>
      </c>
      <c r="O2479" t="s">
        <v>43167</v>
      </c>
      <c r="P2479">
        <v>0</v>
      </c>
      <c r="Q2479">
        <v>0</v>
      </c>
      <c r="R2479" t="s">
        <v>43170</v>
      </c>
      <c r="S2479" t="s">
        <v>43297</v>
      </c>
      <c r="T2479" t="s">
        <v>44685</v>
      </c>
      <c r="U2479" t="s">
        <v>47237</v>
      </c>
      <c r="W2479" t="s">
        <v>39714</v>
      </c>
      <c r="X2479" t="s">
        <v>43171</v>
      </c>
    </row>
    <row r="2480" spans="1:24">
      <c r="A2480">
        <f>HYPERLINK("https://www.philgeps.gov.ph/GEPSNONPILOT/Tender/SplashBidNoticeAbstractUI.aspx?menuIndex=3&amp;refID=7086240&amp;Result=3","7086240")</f>
        <v>0</v>
      </c>
      <c r="B2480" t="s">
        <v>727</v>
      </c>
      <c r="C2480" t="s">
        <v>5787</v>
      </c>
      <c r="D2480" t="s">
        <v>17465</v>
      </c>
      <c r="E2480" t="s">
        <v>5787</v>
      </c>
      <c r="F2480" t="s">
        <v>30052</v>
      </c>
      <c r="G2480" t="s">
        <v>30061</v>
      </c>
      <c r="H2480" t="s">
        <v>15498</v>
      </c>
      <c r="I2480" t="s">
        <v>4119</v>
      </c>
      <c r="J2480" t="s">
        <v>31904</v>
      </c>
      <c r="K2480" t="s">
        <v>39036</v>
      </c>
      <c r="M2480" t="s">
        <v>40038</v>
      </c>
      <c r="N2480" t="s">
        <v>43166</v>
      </c>
      <c r="O2480" t="s">
        <v>43167</v>
      </c>
      <c r="P2480">
        <v>0</v>
      </c>
      <c r="Q2480">
        <v>1</v>
      </c>
      <c r="R2480" t="s">
        <v>43170</v>
      </c>
      <c r="S2480" t="s">
        <v>43297</v>
      </c>
      <c r="T2480" t="s">
        <v>44764</v>
      </c>
      <c r="U2480" t="s">
        <v>47238</v>
      </c>
      <c r="W2480" t="s">
        <v>40038</v>
      </c>
      <c r="X2480" t="s">
        <v>43171</v>
      </c>
    </row>
    <row r="2481" spans="1:24">
      <c r="A2481">
        <f>HYPERLINK("https://www.philgeps.gov.ph/GEPSNONPILOT/Tender/SplashBidNoticeAbstractUI.aspx?menuIndex=3&amp;refID=7086216&amp;Result=3","7086216")</f>
        <v>0</v>
      </c>
      <c r="B2481" t="s">
        <v>980</v>
      </c>
      <c r="C2481" t="s">
        <v>5788</v>
      </c>
      <c r="D2481" t="s">
        <v>17437</v>
      </c>
      <c r="E2481" t="s">
        <v>19682</v>
      </c>
      <c r="F2481" t="s">
        <v>30052</v>
      </c>
      <c r="G2481" t="s">
        <v>30058</v>
      </c>
      <c r="H2481" t="s">
        <v>30067</v>
      </c>
      <c r="I2481" t="s">
        <v>3693</v>
      </c>
      <c r="J2481" t="s">
        <v>31855</v>
      </c>
      <c r="K2481" t="s">
        <v>39022</v>
      </c>
      <c r="M2481" t="s">
        <v>40307</v>
      </c>
      <c r="N2481" t="s">
        <v>43166</v>
      </c>
      <c r="O2481" t="s">
        <v>43167</v>
      </c>
      <c r="P2481">
        <v>0</v>
      </c>
      <c r="Q2481">
        <v>0</v>
      </c>
      <c r="R2481" t="s">
        <v>43170</v>
      </c>
      <c r="S2481" t="s">
        <v>43297</v>
      </c>
      <c r="T2481" t="s">
        <v>44917</v>
      </c>
      <c r="U2481" t="s">
        <v>47239</v>
      </c>
      <c r="W2481" t="s">
        <v>40307</v>
      </c>
      <c r="X2481" t="s">
        <v>43171</v>
      </c>
    </row>
    <row r="2482" spans="1:24">
      <c r="A2482">
        <f>HYPERLINK("https://www.philgeps.gov.ph/GEPSNONPILOT/Tender/SplashBidNoticeAbstractUI.aspx?menuIndex=3&amp;refID=7086234&amp;Result=3","7086234")</f>
        <v>0</v>
      </c>
      <c r="B2482" t="s">
        <v>260</v>
      </c>
      <c r="C2482" t="s">
        <v>5789</v>
      </c>
      <c r="D2482" t="s">
        <v>17452</v>
      </c>
      <c r="E2482" t="s">
        <v>19683</v>
      </c>
      <c r="F2482" t="s">
        <v>30052</v>
      </c>
      <c r="G2482" t="s">
        <v>30059</v>
      </c>
      <c r="H2482" t="s">
        <v>15498</v>
      </c>
      <c r="I2482" t="s">
        <v>5961</v>
      </c>
      <c r="J2482" t="s">
        <v>31342</v>
      </c>
      <c r="K2482" t="s">
        <v>39034</v>
      </c>
      <c r="M2482" t="s">
        <v>40228</v>
      </c>
      <c r="N2482" t="s">
        <v>43166</v>
      </c>
      <c r="O2482" t="s">
        <v>43167</v>
      </c>
      <c r="P2482">
        <v>0</v>
      </c>
      <c r="Q2482">
        <v>3</v>
      </c>
      <c r="R2482" t="s">
        <v>43170</v>
      </c>
      <c r="S2482" t="s">
        <v>43297</v>
      </c>
      <c r="T2482" t="s">
        <v>44856</v>
      </c>
      <c r="U2482" t="s">
        <v>47002</v>
      </c>
      <c r="W2482" t="s">
        <v>40228</v>
      </c>
      <c r="X2482" t="s">
        <v>43171</v>
      </c>
    </row>
    <row r="2483" spans="1:24">
      <c r="A2483">
        <f>HYPERLINK("https://www.philgeps.gov.ph/GEPSNONPILOT/Tender/SplashBidNoticeAbstractUI.aspx?menuIndex=3&amp;refID=7086230&amp;Result=3","7086230")</f>
        <v>0</v>
      </c>
      <c r="B2483" t="s">
        <v>981</v>
      </c>
      <c r="C2483" t="s">
        <v>5790</v>
      </c>
      <c r="D2483" t="s">
        <v>17476</v>
      </c>
      <c r="E2483" t="s">
        <v>19684</v>
      </c>
      <c r="F2483" t="s">
        <v>30052</v>
      </c>
      <c r="G2483" t="s">
        <v>30059</v>
      </c>
      <c r="H2483" t="s">
        <v>15498</v>
      </c>
      <c r="I2483" t="s">
        <v>30096</v>
      </c>
      <c r="J2483" t="s">
        <v>31905</v>
      </c>
      <c r="K2483" t="s">
        <v>39017</v>
      </c>
      <c r="M2483" t="s">
        <v>40308</v>
      </c>
      <c r="N2483" t="s">
        <v>43166</v>
      </c>
      <c r="O2483" t="s">
        <v>43167</v>
      </c>
      <c r="P2483">
        <v>0</v>
      </c>
      <c r="Q2483">
        <v>0</v>
      </c>
      <c r="R2483" t="s">
        <v>43170</v>
      </c>
      <c r="S2483" t="s">
        <v>43297</v>
      </c>
      <c r="T2483" t="s">
        <v>44844</v>
      </c>
      <c r="U2483" t="s">
        <v>47240</v>
      </c>
      <c r="W2483" t="s">
        <v>58622</v>
      </c>
      <c r="X2483" t="s">
        <v>43171</v>
      </c>
    </row>
    <row r="2484" spans="1:24">
      <c r="A2484">
        <f>HYPERLINK("https://www.philgeps.gov.ph/GEPSNONPILOT/Tender/SplashBidNoticeAbstractUI.aspx?menuIndex=3&amp;refID=7086228&amp;Result=3","7086228")</f>
        <v>0</v>
      </c>
      <c r="B2484" t="s">
        <v>982</v>
      </c>
      <c r="C2484" t="s">
        <v>5791</v>
      </c>
      <c r="D2484" t="s">
        <v>17446</v>
      </c>
      <c r="E2484" t="s">
        <v>19685</v>
      </c>
      <c r="F2484" t="s">
        <v>30052</v>
      </c>
      <c r="G2484" t="s">
        <v>30058</v>
      </c>
      <c r="H2484" t="s">
        <v>30067</v>
      </c>
      <c r="I2484" t="s">
        <v>3693</v>
      </c>
      <c r="J2484" t="s">
        <v>30222</v>
      </c>
      <c r="K2484" t="s">
        <v>39107</v>
      </c>
      <c r="M2484" t="s">
        <v>40309</v>
      </c>
      <c r="N2484" t="s">
        <v>43166</v>
      </c>
      <c r="O2484" t="s">
        <v>43167</v>
      </c>
      <c r="P2484">
        <v>0</v>
      </c>
      <c r="Q2484">
        <v>0</v>
      </c>
      <c r="R2484" t="s">
        <v>43170</v>
      </c>
      <c r="S2484" t="s">
        <v>43297</v>
      </c>
      <c r="T2484" t="s">
        <v>44724</v>
      </c>
      <c r="U2484" t="s">
        <v>47241</v>
      </c>
      <c r="W2484" t="s">
        <v>40309</v>
      </c>
      <c r="X2484" t="s">
        <v>43171</v>
      </c>
    </row>
    <row r="2485" spans="1:24">
      <c r="A2485">
        <f>HYPERLINK("https://www.philgeps.gov.ph/GEPSNONPILOT/Tender/SplashBidNoticeAbstractUI.aspx?menuIndex=3&amp;refID=7086227&amp;Result=3","7086227")</f>
        <v>0</v>
      </c>
      <c r="B2485" t="s">
        <v>974</v>
      </c>
      <c r="C2485" t="s">
        <v>5792</v>
      </c>
      <c r="D2485" t="s">
        <v>17453</v>
      </c>
      <c r="E2485" t="s">
        <v>19686</v>
      </c>
      <c r="F2485" t="s">
        <v>30052</v>
      </c>
      <c r="G2485" t="s">
        <v>30059</v>
      </c>
      <c r="H2485" t="s">
        <v>15498</v>
      </c>
      <c r="I2485" t="s">
        <v>30094</v>
      </c>
      <c r="J2485" t="s">
        <v>30337</v>
      </c>
      <c r="K2485" t="s">
        <v>39017</v>
      </c>
      <c r="M2485" t="s">
        <v>40301</v>
      </c>
      <c r="N2485" t="s">
        <v>43166</v>
      </c>
      <c r="O2485" t="s">
        <v>43167</v>
      </c>
      <c r="P2485">
        <v>0</v>
      </c>
      <c r="Q2485">
        <v>0</v>
      </c>
      <c r="R2485" t="s">
        <v>43170</v>
      </c>
      <c r="S2485" t="s">
        <v>43297</v>
      </c>
      <c r="T2485" t="s">
        <v>44856</v>
      </c>
      <c r="U2485" t="s">
        <v>46634</v>
      </c>
      <c r="W2485" t="s">
        <v>40301</v>
      </c>
      <c r="X2485" t="s">
        <v>43171</v>
      </c>
    </row>
    <row r="2486" spans="1:24">
      <c r="A2486">
        <f>HYPERLINK("https://www.philgeps.gov.ph/GEPSNONPILOT/Tender/SplashBidNoticeAbstractUI.aspx?menuIndex=3&amp;refID=7086226&amp;Result=3","7086226")</f>
        <v>0</v>
      </c>
      <c r="B2486" t="s">
        <v>983</v>
      </c>
      <c r="C2486" t="s">
        <v>5793</v>
      </c>
      <c r="D2486" t="s">
        <v>17455</v>
      </c>
      <c r="E2486" t="s">
        <v>19405</v>
      </c>
      <c r="F2486" t="s">
        <v>30052</v>
      </c>
      <c r="G2486" t="s">
        <v>30059</v>
      </c>
      <c r="H2486" t="s">
        <v>15498</v>
      </c>
      <c r="I2486" t="s">
        <v>30070</v>
      </c>
      <c r="J2486" t="s">
        <v>30497</v>
      </c>
      <c r="K2486" t="s">
        <v>39034</v>
      </c>
      <c r="M2486" t="s">
        <v>40310</v>
      </c>
      <c r="N2486" t="s">
        <v>43166</v>
      </c>
      <c r="O2486" t="s">
        <v>43167</v>
      </c>
      <c r="P2486">
        <v>0</v>
      </c>
      <c r="Q2486">
        <v>4</v>
      </c>
      <c r="R2486" t="s">
        <v>43170</v>
      </c>
      <c r="S2486" t="s">
        <v>43297</v>
      </c>
      <c r="T2486" t="s">
        <v>44719</v>
      </c>
      <c r="U2486" t="s">
        <v>47242</v>
      </c>
      <c r="W2486" t="s">
        <v>40310</v>
      </c>
      <c r="X2486" t="s">
        <v>43171</v>
      </c>
    </row>
    <row r="2487" spans="1:24">
      <c r="A2487">
        <f>HYPERLINK("https://www.philgeps.gov.ph/GEPSNONPILOT/Tender/SplashBidNoticeAbstractUI.aspx?menuIndex=3&amp;refID=7086225&amp;Result=3","7086225")</f>
        <v>0</v>
      </c>
      <c r="B2487" t="s">
        <v>984</v>
      </c>
      <c r="C2487" t="s">
        <v>5794</v>
      </c>
      <c r="D2487" t="s">
        <v>17455</v>
      </c>
      <c r="E2487" t="s">
        <v>19687</v>
      </c>
      <c r="F2487" t="s">
        <v>30052</v>
      </c>
      <c r="G2487" t="s">
        <v>30058</v>
      </c>
      <c r="H2487" t="s">
        <v>30067</v>
      </c>
      <c r="I2487" t="s">
        <v>30106</v>
      </c>
      <c r="J2487" t="s">
        <v>31906</v>
      </c>
      <c r="K2487" t="s">
        <v>39029</v>
      </c>
      <c r="M2487" t="s">
        <v>40311</v>
      </c>
      <c r="N2487" t="s">
        <v>43166</v>
      </c>
      <c r="O2487" t="s">
        <v>43167</v>
      </c>
      <c r="P2487">
        <v>0</v>
      </c>
      <c r="Q2487">
        <v>2</v>
      </c>
      <c r="R2487" t="s">
        <v>43170</v>
      </c>
      <c r="S2487" t="s">
        <v>43297</v>
      </c>
      <c r="T2487" t="s">
        <v>44752</v>
      </c>
      <c r="U2487" t="s">
        <v>47243</v>
      </c>
      <c r="W2487" t="s">
        <v>40311</v>
      </c>
      <c r="X2487" t="s">
        <v>43171</v>
      </c>
    </row>
    <row r="2488" spans="1:24">
      <c r="A2488">
        <f>HYPERLINK("https://www.philgeps.gov.ph/GEPSNONPILOT/Tender/SplashBidNoticeAbstractUI.aspx?menuIndex=3&amp;refID=7086223&amp;Result=3","7086223")</f>
        <v>0</v>
      </c>
      <c r="B2488" t="s">
        <v>415</v>
      </c>
      <c r="C2488" t="s">
        <v>5795</v>
      </c>
      <c r="D2488" t="s">
        <v>17472</v>
      </c>
      <c r="E2488" t="s">
        <v>18363</v>
      </c>
      <c r="F2488" t="s">
        <v>30052</v>
      </c>
      <c r="G2488" t="s">
        <v>30061</v>
      </c>
      <c r="H2488" t="s">
        <v>15498</v>
      </c>
      <c r="I2488" t="s">
        <v>30073</v>
      </c>
      <c r="J2488" t="s">
        <v>31907</v>
      </c>
      <c r="K2488" t="s">
        <v>39034</v>
      </c>
      <c r="M2488" t="s">
        <v>39714</v>
      </c>
      <c r="N2488" t="s">
        <v>43166</v>
      </c>
      <c r="O2488" t="s">
        <v>43167</v>
      </c>
      <c r="P2488">
        <v>0</v>
      </c>
      <c r="Q2488">
        <v>0</v>
      </c>
      <c r="R2488" t="s">
        <v>43170</v>
      </c>
      <c r="S2488" t="s">
        <v>43297</v>
      </c>
      <c r="T2488" t="s">
        <v>44685</v>
      </c>
      <c r="U2488" t="s">
        <v>47244</v>
      </c>
      <c r="W2488" t="s">
        <v>39714</v>
      </c>
      <c r="X2488" t="s">
        <v>43171</v>
      </c>
    </row>
    <row r="2489" spans="1:24">
      <c r="A2489">
        <f>HYPERLINK("https://www.philgeps.gov.ph/GEPSNONPILOT/Tender/SplashBidNoticeAbstractUI.aspx?menuIndex=3&amp;refID=7086191&amp;Result=3","7086191")</f>
        <v>0</v>
      </c>
      <c r="B2489" t="s">
        <v>963</v>
      </c>
      <c r="C2489" t="s">
        <v>5796</v>
      </c>
      <c r="D2489" t="s">
        <v>17427</v>
      </c>
      <c r="E2489" t="s">
        <v>19688</v>
      </c>
      <c r="F2489" t="s">
        <v>30052</v>
      </c>
      <c r="G2489" t="s">
        <v>30061</v>
      </c>
      <c r="H2489" t="s">
        <v>30069</v>
      </c>
      <c r="I2489" t="s">
        <v>30072</v>
      </c>
      <c r="J2489" t="s">
        <v>31644</v>
      </c>
      <c r="K2489" t="s">
        <v>39059</v>
      </c>
      <c r="L2489" t="s">
        <v>963</v>
      </c>
      <c r="M2489" t="s">
        <v>40289</v>
      </c>
      <c r="N2489" t="s">
        <v>43166</v>
      </c>
      <c r="O2489" t="s">
        <v>43167</v>
      </c>
      <c r="P2489">
        <v>0</v>
      </c>
      <c r="Q2489">
        <v>2</v>
      </c>
      <c r="R2489" t="s">
        <v>43170</v>
      </c>
      <c r="S2489" t="s">
        <v>43297</v>
      </c>
      <c r="T2489" t="s">
        <v>44837</v>
      </c>
      <c r="U2489" t="s">
        <v>47245</v>
      </c>
      <c r="W2489" t="s">
        <v>40289</v>
      </c>
      <c r="X2489" t="s">
        <v>43171</v>
      </c>
    </row>
    <row r="2490" spans="1:24">
      <c r="A2490">
        <f>HYPERLINK("https://www.philgeps.gov.ph/GEPSNONPILOT/Tender/SplashBidNoticeAbstractUI.aspx?menuIndex=3&amp;refID=7086217&amp;Result=3","7086217")</f>
        <v>0</v>
      </c>
      <c r="B2490" t="s">
        <v>985</v>
      </c>
      <c r="C2490" t="s">
        <v>5797</v>
      </c>
      <c r="D2490" t="s">
        <v>17456</v>
      </c>
      <c r="E2490" t="s">
        <v>19689</v>
      </c>
      <c r="F2490" t="s">
        <v>30052</v>
      </c>
      <c r="G2490" t="s">
        <v>30059</v>
      </c>
      <c r="H2490" t="s">
        <v>15498</v>
      </c>
      <c r="I2490" t="s">
        <v>3736</v>
      </c>
      <c r="J2490" t="s">
        <v>31908</v>
      </c>
      <c r="K2490" t="s">
        <v>39017</v>
      </c>
      <c r="M2490" t="s">
        <v>40312</v>
      </c>
      <c r="N2490" t="s">
        <v>43166</v>
      </c>
      <c r="O2490" t="s">
        <v>43167</v>
      </c>
      <c r="P2490">
        <v>0</v>
      </c>
      <c r="Q2490">
        <v>0</v>
      </c>
      <c r="R2490" t="s">
        <v>43170</v>
      </c>
      <c r="S2490" t="s">
        <v>43297</v>
      </c>
      <c r="T2490" t="s">
        <v>44728</v>
      </c>
      <c r="U2490" t="s">
        <v>47246</v>
      </c>
      <c r="W2490" t="s">
        <v>40312</v>
      </c>
      <c r="X2490" t="s">
        <v>43171</v>
      </c>
    </row>
    <row r="2491" spans="1:24">
      <c r="A2491">
        <f>HYPERLINK("https://www.philgeps.gov.ph/GEPSNONPILOT/Tender/SplashBidNoticeAbstractUI.aspx?menuIndex=3&amp;refID=7086250&amp;Result=3","7086250")</f>
        <v>0</v>
      </c>
      <c r="B2491" t="s">
        <v>568</v>
      </c>
      <c r="C2491" t="s">
        <v>5798</v>
      </c>
      <c r="D2491" t="s">
        <v>17437</v>
      </c>
      <c r="E2491" t="s">
        <v>19690</v>
      </c>
      <c r="F2491" t="s">
        <v>30052</v>
      </c>
      <c r="G2491" t="s">
        <v>30059</v>
      </c>
      <c r="H2491" t="s">
        <v>15498</v>
      </c>
      <c r="I2491" t="s">
        <v>9238</v>
      </c>
      <c r="J2491" t="s">
        <v>31909</v>
      </c>
      <c r="K2491" t="s">
        <v>39029</v>
      </c>
      <c r="M2491" t="s">
        <v>39870</v>
      </c>
      <c r="N2491" t="s">
        <v>43166</v>
      </c>
      <c r="O2491" t="s">
        <v>43167</v>
      </c>
      <c r="P2491">
        <v>0</v>
      </c>
      <c r="Q2491">
        <v>9</v>
      </c>
      <c r="R2491" t="s">
        <v>43170</v>
      </c>
      <c r="S2491" t="s">
        <v>43297</v>
      </c>
      <c r="T2491" t="s">
        <v>44710</v>
      </c>
      <c r="U2491" t="s">
        <v>47247</v>
      </c>
      <c r="V2491" t="s">
        <v>57112</v>
      </c>
      <c r="W2491" t="s">
        <v>39870</v>
      </c>
      <c r="X2491" t="s">
        <v>43171</v>
      </c>
    </row>
    <row r="2492" spans="1:24">
      <c r="A2492">
        <f>HYPERLINK("https://www.philgeps.gov.ph/GEPSNONPILOT/Tender/SplashBidNoticeAbstractUI.aspx?menuIndex=3&amp;refID=7086235&amp;Result=3","7086235")</f>
        <v>0</v>
      </c>
      <c r="B2492" t="s">
        <v>915</v>
      </c>
      <c r="C2492" t="s">
        <v>5799</v>
      </c>
      <c r="D2492" t="s">
        <v>17457</v>
      </c>
      <c r="E2492" t="s">
        <v>19691</v>
      </c>
      <c r="F2492" t="s">
        <v>30052</v>
      </c>
      <c r="G2492" t="s">
        <v>30059</v>
      </c>
      <c r="H2492" t="s">
        <v>15498</v>
      </c>
      <c r="I2492" t="s">
        <v>4598</v>
      </c>
      <c r="J2492" t="s">
        <v>31910</v>
      </c>
      <c r="K2492" t="s">
        <v>39019</v>
      </c>
      <c r="M2492" t="s">
        <v>40238</v>
      </c>
      <c r="N2492" t="s">
        <v>43166</v>
      </c>
      <c r="O2492" t="s">
        <v>43167</v>
      </c>
      <c r="P2492">
        <v>0</v>
      </c>
      <c r="Q2492">
        <v>1</v>
      </c>
      <c r="R2492" t="s">
        <v>43170</v>
      </c>
      <c r="S2492" t="s">
        <v>43297</v>
      </c>
      <c r="T2492" t="s">
        <v>44844</v>
      </c>
      <c r="U2492" t="s">
        <v>47248</v>
      </c>
      <c r="W2492" t="s">
        <v>40238</v>
      </c>
      <c r="X2492" t="s">
        <v>43171</v>
      </c>
    </row>
    <row r="2493" spans="1:24">
      <c r="A2493">
        <f>HYPERLINK("https://www.philgeps.gov.ph/GEPSNONPILOT/Tender/SplashBidNoticeAbstractUI.aspx?menuIndex=3&amp;refID=7086247&amp;Result=3","7086247")</f>
        <v>0</v>
      </c>
      <c r="B2493" t="s">
        <v>986</v>
      </c>
      <c r="C2493" t="s">
        <v>5800</v>
      </c>
      <c r="D2493" t="s">
        <v>17435</v>
      </c>
      <c r="E2493" t="s">
        <v>19692</v>
      </c>
      <c r="F2493" t="s">
        <v>30052</v>
      </c>
      <c r="G2493" t="s">
        <v>30058</v>
      </c>
      <c r="H2493" t="s">
        <v>15498</v>
      </c>
      <c r="I2493" t="s">
        <v>30077</v>
      </c>
      <c r="J2493" t="s">
        <v>30207</v>
      </c>
      <c r="K2493" t="s">
        <v>39017</v>
      </c>
      <c r="M2493" t="s">
        <v>40313</v>
      </c>
      <c r="N2493" t="s">
        <v>43166</v>
      </c>
      <c r="O2493" t="s">
        <v>43167</v>
      </c>
      <c r="P2493">
        <v>0</v>
      </c>
      <c r="Q2493">
        <v>2</v>
      </c>
      <c r="R2493" t="s">
        <v>43170</v>
      </c>
      <c r="S2493" t="s">
        <v>43297</v>
      </c>
      <c r="T2493" t="s">
        <v>44733</v>
      </c>
      <c r="U2493" t="s">
        <v>47249</v>
      </c>
      <c r="W2493" t="s">
        <v>40313</v>
      </c>
      <c r="X2493" t="s">
        <v>43171</v>
      </c>
    </row>
    <row r="2494" spans="1:24">
      <c r="A2494">
        <f>HYPERLINK("https://www.philgeps.gov.ph/GEPSNONPILOT/Tender/SplashBidNoticeAbstractUI.aspx?menuIndex=3&amp;refID=7086220&amp;Result=3","7086220")</f>
        <v>0</v>
      </c>
      <c r="B2494" t="s">
        <v>236</v>
      </c>
      <c r="C2494" t="s">
        <v>5801</v>
      </c>
      <c r="D2494" t="s">
        <v>17427</v>
      </c>
      <c r="E2494" t="s">
        <v>19693</v>
      </c>
      <c r="F2494" t="s">
        <v>30052</v>
      </c>
      <c r="G2494" t="s">
        <v>30059</v>
      </c>
      <c r="H2494" t="s">
        <v>15498</v>
      </c>
      <c r="I2494" t="s">
        <v>3736</v>
      </c>
      <c r="J2494" t="s">
        <v>31554</v>
      </c>
      <c r="K2494" t="s">
        <v>39019</v>
      </c>
      <c r="M2494" t="s">
        <v>39920</v>
      </c>
      <c r="N2494" t="s">
        <v>43166</v>
      </c>
      <c r="O2494" t="s">
        <v>43167</v>
      </c>
      <c r="P2494">
        <v>0</v>
      </c>
      <c r="Q2494">
        <v>1</v>
      </c>
      <c r="R2494" t="s">
        <v>43170</v>
      </c>
      <c r="S2494" t="s">
        <v>43297</v>
      </c>
      <c r="T2494" t="s">
        <v>44826</v>
      </c>
      <c r="U2494" t="s">
        <v>47250</v>
      </c>
      <c r="V2494" t="s">
        <v>45722</v>
      </c>
      <c r="W2494" t="s">
        <v>39920</v>
      </c>
      <c r="X2494" t="s">
        <v>43171</v>
      </c>
    </row>
    <row r="2495" spans="1:24">
      <c r="A2495">
        <f>HYPERLINK("https://www.philgeps.gov.ph/GEPSNONPILOT/Tender/SplashBidNoticeAbstractUI.aspx?menuIndex=3&amp;refID=7086224&amp;Result=3","7086224")</f>
        <v>0</v>
      </c>
      <c r="B2495" t="s">
        <v>890</v>
      </c>
      <c r="C2495" t="s">
        <v>5802</v>
      </c>
      <c r="E2495" t="s">
        <v>19694</v>
      </c>
      <c r="F2495" t="s">
        <v>30052</v>
      </c>
      <c r="G2495" t="s">
        <v>30059</v>
      </c>
      <c r="H2495" t="s">
        <v>15498</v>
      </c>
      <c r="I2495" t="s">
        <v>30070</v>
      </c>
      <c r="J2495" t="s">
        <v>31292</v>
      </c>
      <c r="K2495" t="s">
        <v>39034</v>
      </c>
      <c r="M2495" t="s">
        <v>40209</v>
      </c>
      <c r="N2495" t="s">
        <v>43166</v>
      </c>
      <c r="O2495" t="s">
        <v>43167</v>
      </c>
      <c r="P2495">
        <v>0</v>
      </c>
      <c r="Q2495">
        <v>1</v>
      </c>
      <c r="R2495" t="s">
        <v>43170</v>
      </c>
      <c r="S2495" t="s">
        <v>43297</v>
      </c>
      <c r="T2495" t="s">
        <v>44720</v>
      </c>
      <c r="U2495" t="s">
        <v>47251</v>
      </c>
      <c r="W2495" t="s">
        <v>40209</v>
      </c>
      <c r="X2495" t="s">
        <v>43171</v>
      </c>
    </row>
    <row r="2496" spans="1:24">
      <c r="A2496">
        <f>HYPERLINK("https://www.philgeps.gov.ph/GEPSNONPILOT/Tender/SplashBidNoticeAbstractUI.aspx?menuIndex=3&amp;refID=7086261&amp;Result=3","7086261")</f>
        <v>0</v>
      </c>
      <c r="B2496" t="s">
        <v>915</v>
      </c>
      <c r="C2496" t="s">
        <v>5803</v>
      </c>
      <c r="D2496" t="s">
        <v>17457</v>
      </c>
      <c r="E2496" t="s">
        <v>19695</v>
      </c>
      <c r="F2496" t="s">
        <v>30052</v>
      </c>
      <c r="G2496" t="s">
        <v>30059</v>
      </c>
      <c r="H2496" t="s">
        <v>15498</v>
      </c>
      <c r="I2496" t="s">
        <v>30109</v>
      </c>
      <c r="J2496" t="s">
        <v>31911</v>
      </c>
      <c r="K2496" t="s">
        <v>39019</v>
      </c>
      <c r="M2496" t="s">
        <v>40238</v>
      </c>
      <c r="N2496" t="s">
        <v>43166</v>
      </c>
      <c r="O2496" t="s">
        <v>43167</v>
      </c>
      <c r="P2496">
        <v>0</v>
      </c>
      <c r="Q2496">
        <v>1</v>
      </c>
      <c r="R2496" t="s">
        <v>43170</v>
      </c>
      <c r="S2496" t="s">
        <v>43297</v>
      </c>
      <c r="T2496" t="s">
        <v>44844</v>
      </c>
      <c r="U2496" t="s">
        <v>47252</v>
      </c>
      <c r="W2496" t="s">
        <v>40238</v>
      </c>
      <c r="X2496" t="s">
        <v>43171</v>
      </c>
    </row>
    <row r="2497" spans="1:24">
      <c r="A2497">
        <f>HYPERLINK("https://www.philgeps.gov.ph/GEPSNONPILOT/Tender/SplashBidNoticeAbstractUI.aspx?menuIndex=3&amp;refID=7086249&amp;Result=3","7086249")</f>
        <v>0</v>
      </c>
      <c r="B2497" t="s">
        <v>875</v>
      </c>
      <c r="C2497" t="s">
        <v>5804</v>
      </c>
      <c r="D2497" t="s">
        <v>17492</v>
      </c>
      <c r="E2497" t="s">
        <v>19696</v>
      </c>
      <c r="F2497" t="s">
        <v>30052</v>
      </c>
      <c r="G2497" t="s">
        <v>30058</v>
      </c>
      <c r="H2497" t="s">
        <v>30067</v>
      </c>
      <c r="I2497" t="s">
        <v>3693</v>
      </c>
      <c r="J2497" t="s">
        <v>31912</v>
      </c>
      <c r="K2497" t="s">
        <v>39017</v>
      </c>
      <c r="M2497" t="s">
        <v>40194</v>
      </c>
      <c r="N2497" t="s">
        <v>43166</v>
      </c>
      <c r="O2497" t="s">
        <v>43167</v>
      </c>
      <c r="P2497">
        <v>0</v>
      </c>
      <c r="Q2497">
        <v>0</v>
      </c>
      <c r="R2497" t="s">
        <v>43170</v>
      </c>
      <c r="S2497" t="s">
        <v>43297</v>
      </c>
      <c r="T2497" t="s">
        <v>44677</v>
      </c>
      <c r="U2497" t="s">
        <v>47253</v>
      </c>
      <c r="W2497" t="s">
        <v>40194</v>
      </c>
      <c r="X2497" t="s">
        <v>43171</v>
      </c>
    </row>
    <row r="2498" spans="1:24">
      <c r="A2498">
        <f>HYPERLINK("https://www.philgeps.gov.ph/GEPSNONPILOT/Tender/SplashBidNoticeAbstractUI.aspx?menuIndex=3&amp;refID=7086245&amp;Result=3","7086245")</f>
        <v>0</v>
      </c>
      <c r="B2498" t="s">
        <v>859</v>
      </c>
      <c r="C2498" t="s">
        <v>5805</v>
      </c>
      <c r="D2498" t="s">
        <v>17442</v>
      </c>
      <c r="E2498" t="s">
        <v>19697</v>
      </c>
      <c r="F2498" t="s">
        <v>30052</v>
      </c>
      <c r="G2498" t="s">
        <v>30059</v>
      </c>
      <c r="H2498" t="s">
        <v>15498</v>
      </c>
      <c r="I2498" t="s">
        <v>6691</v>
      </c>
      <c r="J2498" t="s">
        <v>31913</v>
      </c>
      <c r="K2498" t="s">
        <v>39039</v>
      </c>
      <c r="M2498" t="s">
        <v>40176</v>
      </c>
      <c r="N2498" t="s">
        <v>43166</v>
      </c>
      <c r="O2498" t="s">
        <v>43167</v>
      </c>
      <c r="P2498">
        <v>0</v>
      </c>
      <c r="Q2498">
        <v>0</v>
      </c>
      <c r="R2498" t="s">
        <v>43170</v>
      </c>
      <c r="S2498" t="s">
        <v>43297</v>
      </c>
      <c r="T2498" t="s">
        <v>44717</v>
      </c>
      <c r="U2498" t="s">
        <v>47254</v>
      </c>
      <c r="W2498" t="s">
        <v>40176</v>
      </c>
      <c r="X2498" t="s">
        <v>43171</v>
      </c>
    </row>
    <row r="2499" spans="1:24">
      <c r="A2499">
        <f>HYPERLINK("https://www.philgeps.gov.ph/GEPSNONPILOT/Tender/SplashBidNoticeAbstractUI.aspx?menuIndex=3&amp;refID=7086254&amp;Result=3","7086254")</f>
        <v>0</v>
      </c>
      <c r="B2499" t="s">
        <v>987</v>
      </c>
      <c r="C2499" t="s">
        <v>5806</v>
      </c>
      <c r="D2499" t="s">
        <v>17415</v>
      </c>
      <c r="E2499" t="s">
        <v>19698</v>
      </c>
      <c r="F2499" t="s">
        <v>30052</v>
      </c>
      <c r="G2499" t="s">
        <v>30059</v>
      </c>
      <c r="H2499" t="s">
        <v>15498</v>
      </c>
      <c r="I2499" t="s">
        <v>30070</v>
      </c>
      <c r="J2499" t="s">
        <v>31914</v>
      </c>
      <c r="K2499" t="s">
        <v>39025</v>
      </c>
      <c r="M2499" t="s">
        <v>40314</v>
      </c>
      <c r="N2499" t="s">
        <v>43166</v>
      </c>
      <c r="O2499" t="s">
        <v>43167</v>
      </c>
      <c r="P2499">
        <v>0</v>
      </c>
      <c r="Q2499">
        <v>3</v>
      </c>
      <c r="R2499" t="s">
        <v>43170</v>
      </c>
      <c r="S2499" t="s">
        <v>43297</v>
      </c>
      <c r="T2499" t="s">
        <v>44870</v>
      </c>
      <c r="U2499" t="s">
        <v>47255</v>
      </c>
      <c r="W2499" t="s">
        <v>40314</v>
      </c>
      <c r="X2499" t="s">
        <v>43171</v>
      </c>
    </row>
    <row r="2500" spans="1:24">
      <c r="A2500">
        <f>HYPERLINK("https://www.philgeps.gov.ph/GEPSNONPILOT/Tender/SplashBidNoticeAbstractUI.aspx?menuIndex=3&amp;refID=7086221&amp;Result=3","7086221")</f>
        <v>0</v>
      </c>
      <c r="B2500" t="s">
        <v>988</v>
      </c>
      <c r="C2500" t="s">
        <v>5807</v>
      </c>
      <c r="D2500" t="s">
        <v>17437</v>
      </c>
      <c r="E2500" t="s">
        <v>19699</v>
      </c>
      <c r="F2500" t="s">
        <v>30052</v>
      </c>
      <c r="G2500" t="s">
        <v>30058</v>
      </c>
      <c r="H2500" t="s">
        <v>15498</v>
      </c>
      <c r="I2500" t="s">
        <v>30129</v>
      </c>
      <c r="J2500" t="s">
        <v>30343</v>
      </c>
      <c r="K2500" t="s">
        <v>39064</v>
      </c>
      <c r="M2500" t="s">
        <v>40315</v>
      </c>
      <c r="N2500" t="s">
        <v>43166</v>
      </c>
      <c r="O2500" t="s">
        <v>43167</v>
      </c>
      <c r="P2500">
        <v>0</v>
      </c>
      <c r="Q2500">
        <v>1</v>
      </c>
      <c r="R2500" t="s">
        <v>43170</v>
      </c>
      <c r="S2500" t="s">
        <v>43297</v>
      </c>
      <c r="T2500" t="s">
        <v>44724</v>
      </c>
      <c r="U2500" t="s">
        <v>47256</v>
      </c>
      <c r="W2500" t="s">
        <v>40315</v>
      </c>
      <c r="X2500" t="s">
        <v>43171</v>
      </c>
    </row>
    <row r="2501" spans="1:24">
      <c r="A2501">
        <f>HYPERLINK("https://www.philgeps.gov.ph/GEPSNONPILOT/Tender/SplashBidNoticeAbstractUI.aspx?menuIndex=3&amp;refID=7086282&amp;Result=3","7086282")</f>
        <v>0</v>
      </c>
      <c r="B2501" t="s">
        <v>415</v>
      </c>
      <c r="C2501" t="s">
        <v>5808</v>
      </c>
      <c r="D2501" t="s">
        <v>17472</v>
      </c>
      <c r="E2501" t="s">
        <v>18363</v>
      </c>
      <c r="F2501" t="s">
        <v>30052</v>
      </c>
      <c r="G2501" t="s">
        <v>30061</v>
      </c>
      <c r="H2501" t="s">
        <v>15498</v>
      </c>
      <c r="I2501" t="s">
        <v>3693</v>
      </c>
      <c r="J2501" t="s">
        <v>31915</v>
      </c>
      <c r="K2501" t="s">
        <v>39034</v>
      </c>
      <c r="M2501" t="s">
        <v>39714</v>
      </c>
      <c r="N2501" t="s">
        <v>43166</v>
      </c>
      <c r="O2501" t="s">
        <v>43167</v>
      </c>
      <c r="P2501">
        <v>0</v>
      </c>
      <c r="Q2501">
        <v>0</v>
      </c>
      <c r="R2501" t="s">
        <v>43170</v>
      </c>
      <c r="S2501" t="s">
        <v>43297</v>
      </c>
      <c r="T2501" t="s">
        <v>44685</v>
      </c>
      <c r="U2501" t="s">
        <v>47257</v>
      </c>
      <c r="W2501" t="s">
        <v>39714</v>
      </c>
      <c r="X2501" t="s">
        <v>43171</v>
      </c>
    </row>
    <row r="2502" spans="1:24">
      <c r="A2502">
        <f>HYPERLINK("https://www.philgeps.gov.ph/GEPSNONPILOT/Tender/SplashBidNoticeAbstractUI.aspx?menuIndex=3&amp;refID=7086189&amp;Result=3","7086189")</f>
        <v>0</v>
      </c>
      <c r="B2502" t="s">
        <v>936</v>
      </c>
      <c r="C2502" t="s">
        <v>5809</v>
      </c>
      <c r="D2502" t="s">
        <v>17424</v>
      </c>
      <c r="E2502" t="s">
        <v>19700</v>
      </c>
      <c r="F2502" t="s">
        <v>30052</v>
      </c>
      <c r="G2502" t="s">
        <v>30058</v>
      </c>
      <c r="H2502" t="s">
        <v>15498</v>
      </c>
      <c r="I2502" t="s">
        <v>3736</v>
      </c>
      <c r="J2502" t="s">
        <v>31916</v>
      </c>
      <c r="K2502" t="s">
        <v>39019</v>
      </c>
      <c r="M2502" t="s">
        <v>40260</v>
      </c>
      <c r="N2502" t="s">
        <v>43166</v>
      </c>
      <c r="O2502" t="s">
        <v>43167</v>
      </c>
      <c r="P2502">
        <v>0</v>
      </c>
      <c r="Q2502">
        <v>0</v>
      </c>
      <c r="R2502" t="s">
        <v>43170</v>
      </c>
      <c r="S2502" t="s">
        <v>43297</v>
      </c>
      <c r="T2502" t="s">
        <v>44724</v>
      </c>
      <c r="U2502" t="s">
        <v>47258</v>
      </c>
      <c r="V2502" t="s">
        <v>57113</v>
      </c>
      <c r="W2502" t="s">
        <v>40260</v>
      </c>
      <c r="X2502" t="s">
        <v>43171</v>
      </c>
    </row>
    <row r="2503" spans="1:24">
      <c r="A2503">
        <f>HYPERLINK("https://www.philgeps.gov.ph/GEPSNONPILOT/Tender/SplashBidNoticeAbstractUI.aspx?menuIndex=3&amp;refID=7086281&amp;Result=3","7086281")</f>
        <v>0</v>
      </c>
      <c r="B2503" t="s">
        <v>915</v>
      </c>
      <c r="C2503" t="s">
        <v>5810</v>
      </c>
      <c r="D2503" t="s">
        <v>17457</v>
      </c>
      <c r="E2503" t="s">
        <v>19701</v>
      </c>
      <c r="F2503" t="s">
        <v>30052</v>
      </c>
      <c r="G2503" t="s">
        <v>30059</v>
      </c>
      <c r="H2503" t="s">
        <v>15498</v>
      </c>
      <c r="I2503" t="s">
        <v>4119</v>
      </c>
      <c r="J2503" t="s">
        <v>31917</v>
      </c>
      <c r="K2503" t="s">
        <v>39019</v>
      </c>
      <c r="M2503" t="s">
        <v>40238</v>
      </c>
      <c r="N2503" t="s">
        <v>43166</v>
      </c>
      <c r="O2503" t="s">
        <v>43167</v>
      </c>
      <c r="P2503">
        <v>0</v>
      </c>
      <c r="Q2503">
        <v>5</v>
      </c>
      <c r="R2503" t="s">
        <v>43170</v>
      </c>
      <c r="S2503" t="s">
        <v>43297</v>
      </c>
      <c r="T2503" t="s">
        <v>44844</v>
      </c>
      <c r="U2503" t="s">
        <v>47259</v>
      </c>
      <c r="W2503" t="s">
        <v>40238</v>
      </c>
      <c r="X2503" t="s">
        <v>43171</v>
      </c>
    </row>
    <row r="2504" spans="1:24">
      <c r="A2504">
        <f>HYPERLINK("https://www.philgeps.gov.ph/GEPSNONPILOT/Tender/SplashBidNoticeAbstractUI.aspx?menuIndex=3&amp;refID=7086252&amp;Result=3","7086252")</f>
        <v>0</v>
      </c>
      <c r="B2504" t="s">
        <v>415</v>
      </c>
      <c r="C2504" t="s">
        <v>5811</v>
      </c>
      <c r="D2504" t="s">
        <v>17472</v>
      </c>
      <c r="E2504" t="s">
        <v>18363</v>
      </c>
      <c r="F2504" t="s">
        <v>30052</v>
      </c>
      <c r="G2504" t="s">
        <v>30061</v>
      </c>
      <c r="H2504" t="s">
        <v>15498</v>
      </c>
      <c r="I2504" t="s">
        <v>30073</v>
      </c>
      <c r="J2504" t="s">
        <v>31918</v>
      </c>
      <c r="K2504" t="s">
        <v>39034</v>
      </c>
      <c r="M2504" t="s">
        <v>39714</v>
      </c>
      <c r="N2504" t="s">
        <v>43166</v>
      </c>
      <c r="O2504" t="s">
        <v>43167</v>
      </c>
      <c r="P2504">
        <v>0</v>
      </c>
      <c r="Q2504">
        <v>0</v>
      </c>
      <c r="R2504" t="s">
        <v>43170</v>
      </c>
      <c r="S2504" t="s">
        <v>43297</v>
      </c>
      <c r="T2504" t="s">
        <v>44685</v>
      </c>
      <c r="U2504" t="s">
        <v>47260</v>
      </c>
      <c r="W2504" t="s">
        <v>39714</v>
      </c>
      <c r="X2504" t="s">
        <v>43171</v>
      </c>
    </row>
    <row r="2505" spans="1:24">
      <c r="A2505">
        <f>HYPERLINK("https://www.philgeps.gov.ph/GEPSNONPILOT/Tender/SplashBidNoticeAbstractUI.aspx?menuIndex=3&amp;refID=7086280&amp;Result=3","7086280")</f>
        <v>0</v>
      </c>
      <c r="B2505" t="s">
        <v>989</v>
      </c>
      <c r="C2505" t="s">
        <v>5812</v>
      </c>
      <c r="D2505" t="s">
        <v>17478</v>
      </c>
      <c r="E2505" t="s">
        <v>19702</v>
      </c>
      <c r="F2505" t="s">
        <v>30052</v>
      </c>
      <c r="G2505" t="s">
        <v>30058</v>
      </c>
      <c r="H2505" t="s">
        <v>30068</v>
      </c>
      <c r="I2505" t="s">
        <v>30166</v>
      </c>
      <c r="J2505" t="s">
        <v>30581</v>
      </c>
      <c r="K2505" t="s">
        <v>39023</v>
      </c>
      <c r="M2505" t="s">
        <v>40316</v>
      </c>
      <c r="N2505" t="s">
        <v>43166</v>
      </c>
      <c r="O2505" t="s">
        <v>43167</v>
      </c>
      <c r="P2505">
        <v>0</v>
      </c>
      <c r="Q2505">
        <v>1</v>
      </c>
      <c r="R2505" t="s">
        <v>43170</v>
      </c>
      <c r="S2505" t="s">
        <v>43297</v>
      </c>
      <c r="T2505" t="s">
        <v>44736</v>
      </c>
      <c r="U2505" t="s">
        <v>47261</v>
      </c>
      <c r="W2505" t="s">
        <v>40316</v>
      </c>
      <c r="X2505" t="s">
        <v>43171</v>
      </c>
    </row>
    <row r="2506" spans="1:24">
      <c r="A2506">
        <f>HYPERLINK("https://www.philgeps.gov.ph/GEPSNONPILOT/Tender/SplashBidNoticeAbstractUI.aspx?menuIndex=3&amp;refID=7086279&amp;Result=3","7086279")</f>
        <v>0</v>
      </c>
      <c r="B2506" t="s">
        <v>936</v>
      </c>
      <c r="C2506" t="s">
        <v>5813</v>
      </c>
      <c r="D2506" t="s">
        <v>17424</v>
      </c>
      <c r="E2506" t="s">
        <v>19703</v>
      </c>
      <c r="F2506" t="s">
        <v>30052</v>
      </c>
      <c r="G2506" t="s">
        <v>30059</v>
      </c>
      <c r="H2506" t="s">
        <v>15498</v>
      </c>
      <c r="I2506" t="s">
        <v>30081</v>
      </c>
      <c r="J2506" t="s">
        <v>31919</v>
      </c>
      <c r="K2506" t="s">
        <v>39017</v>
      </c>
      <c r="M2506" t="s">
        <v>40260</v>
      </c>
      <c r="N2506" t="s">
        <v>43166</v>
      </c>
      <c r="O2506" t="s">
        <v>43167</v>
      </c>
      <c r="P2506">
        <v>0</v>
      </c>
      <c r="Q2506">
        <v>2</v>
      </c>
      <c r="R2506" t="s">
        <v>43170</v>
      </c>
      <c r="S2506" t="s">
        <v>43297</v>
      </c>
      <c r="T2506" t="s">
        <v>44844</v>
      </c>
      <c r="U2506" t="s">
        <v>47262</v>
      </c>
      <c r="V2506" t="s">
        <v>57114</v>
      </c>
      <c r="W2506" t="s">
        <v>40260</v>
      </c>
      <c r="X2506" t="s">
        <v>43171</v>
      </c>
    </row>
    <row r="2507" spans="1:24">
      <c r="A2507">
        <f>HYPERLINK("https://www.philgeps.gov.ph/GEPSNONPILOT/Tender/SplashBidNoticeAbstractUI.aspx?menuIndex=3&amp;refID=7086257&amp;Result=3","7086257")</f>
        <v>0</v>
      </c>
      <c r="B2507" t="s">
        <v>990</v>
      </c>
      <c r="C2507" t="s">
        <v>5814</v>
      </c>
      <c r="D2507" t="s">
        <v>17474</v>
      </c>
      <c r="E2507" t="s">
        <v>19704</v>
      </c>
      <c r="F2507" t="s">
        <v>30052</v>
      </c>
      <c r="G2507" t="s">
        <v>30058</v>
      </c>
      <c r="H2507" t="s">
        <v>15498</v>
      </c>
      <c r="I2507" t="s">
        <v>30097</v>
      </c>
      <c r="J2507" t="s">
        <v>31920</v>
      </c>
      <c r="K2507" t="s">
        <v>39029</v>
      </c>
      <c r="M2507" t="s">
        <v>40317</v>
      </c>
      <c r="N2507" t="s">
        <v>43166</v>
      </c>
      <c r="O2507" t="s">
        <v>43167</v>
      </c>
      <c r="P2507">
        <v>0</v>
      </c>
      <c r="Q2507">
        <v>7</v>
      </c>
      <c r="R2507" t="s">
        <v>43170</v>
      </c>
      <c r="S2507" t="s">
        <v>43297</v>
      </c>
      <c r="T2507" t="s">
        <v>44918</v>
      </c>
      <c r="U2507" t="s">
        <v>47263</v>
      </c>
      <c r="V2507" t="s">
        <v>57115</v>
      </c>
      <c r="W2507" t="s">
        <v>40317</v>
      </c>
      <c r="X2507" t="s">
        <v>43171</v>
      </c>
    </row>
    <row r="2508" spans="1:24">
      <c r="A2508">
        <f>HYPERLINK("https://www.philgeps.gov.ph/GEPSNONPILOT/Tender/SplashBidNoticeAbstractUI.aspx?menuIndex=3&amp;refID=7086288&amp;Result=3","7086288")</f>
        <v>0</v>
      </c>
      <c r="B2508" t="s">
        <v>859</v>
      </c>
      <c r="C2508" t="s">
        <v>5815</v>
      </c>
      <c r="D2508" t="s">
        <v>17442</v>
      </c>
      <c r="E2508" t="s">
        <v>19705</v>
      </c>
      <c r="F2508" t="s">
        <v>30052</v>
      </c>
      <c r="G2508" t="s">
        <v>30059</v>
      </c>
      <c r="H2508" t="s">
        <v>15498</v>
      </c>
      <c r="I2508" t="s">
        <v>6691</v>
      </c>
      <c r="J2508" t="s">
        <v>31913</v>
      </c>
      <c r="K2508" t="s">
        <v>39039</v>
      </c>
      <c r="M2508" t="s">
        <v>40176</v>
      </c>
      <c r="N2508" t="s">
        <v>43166</v>
      </c>
      <c r="O2508" t="s">
        <v>43167</v>
      </c>
      <c r="P2508">
        <v>0</v>
      </c>
      <c r="Q2508">
        <v>0</v>
      </c>
      <c r="R2508" t="s">
        <v>43170</v>
      </c>
      <c r="S2508" t="s">
        <v>43297</v>
      </c>
      <c r="T2508" t="s">
        <v>44717</v>
      </c>
      <c r="U2508" t="s">
        <v>47264</v>
      </c>
      <c r="W2508" t="s">
        <v>40176</v>
      </c>
      <c r="X2508" t="s">
        <v>43171</v>
      </c>
    </row>
    <row r="2509" spans="1:24">
      <c r="A2509">
        <f>HYPERLINK("https://www.philgeps.gov.ph/GEPSNONPILOT/Tender/SplashBidNoticeAbstractUI.aspx?menuIndex=3&amp;refID=7086286&amp;Result=3","7086286")</f>
        <v>0</v>
      </c>
      <c r="B2509" t="s">
        <v>991</v>
      </c>
      <c r="C2509" t="s">
        <v>5816</v>
      </c>
      <c r="D2509" t="s">
        <v>17444</v>
      </c>
      <c r="E2509" t="s">
        <v>19328</v>
      </c>
      <c r="F2509" t="s">
        <v>30055</v>
      </c>
      <c r="G2509" t="s">
        <v>30062</v>
      </c>
      <c r="H2509" t="s">
        <v>30067</v>
      </c>
      <c r="I2509" t="s">
        <v>3736</v>
      </c>
      <c r="J2509" t="s">
        <v>31921</v>
      </c>
      <c r="K2509" t="s">
        <v>39037</v>
      </c>
      <c r="M2509" t="s">
        <v>40318</v>
      </c>
      <c r="N2509" t="s">
        <v>43166</v>
      </c>
      <c r="O2509" t="s">
        <v>43167</v>
      </c>
      <c r="P2509">
        <v>0</v>
      </c>
      <c r="Q2509">
        <v>0</v>
      </c>
      <c r="R2509" t="s">
        <v>43170</v>
      </c>
      <c r="S2509" t="s">
        <v>43297</v>
      </c>
      <c r="T2509" t="s">
        <v>44681</v>
      </c>
      <c r="U2509" t="s">
        <v>47265</v>
      </c>
      <c r="V2509" t="s">
        <v>57116</v>
      </c>
      <c r="W2509" t="s">
        <v>40318</v>
      </c>
      <c r="X2509" t="s">
        <v>43171</v>
      </c>
    </row>
    <row r="2510" spans="1:24">
      <c r="A2510">
        <f>HYPERLINK("https://www.philgeps.gov.ph/GEPSNONPILOT/Tender/SplashBidNoticeAbstractUI.aspx?menuIndex=3&amp;refID=7086276&amp;Result=3","7086276")</f>
        <v>0</v>
      </c>
      <c r="B2510" t="s">
        <v>944</v>
      </c>
      <c r="C2510" t="s">
        <v>5817</v>
      </c>
      <c r="D2510" t="s">
        <v>17434</v>
      </c>
      <c r="E2510" t="s">
        <v>19706</v>
      </c>
      <c r="F2510" t="s">
        <v>30052</v>
      </c>
      <c r="G2510" t="s">
        <v>30059</v>
      </c>
      <c r="H2510" t="s">
        <v>15498</v>
      </c>
      <c r="I2510" t="s">
        <v>30151</v>
      </c>
      <c r="J2510" t="s">
        <v>31922</v>
      </c>
      <c r="K2510" t="s">
        <v>39067</v>
      </c>
      <c r="M2510" t="s">
        <v>40268</v>
      </c>
      <c r="N2510" t="s">
        <v>43166</v>
      </c>
      <c r="O2510" t="s">
        <v>43167</v>
      </c>
      <c r="P2510">
        <v>0</v>
      </c>
      <c r="Q2510">
        <v>3</v>
      </c>
      <c r="R2510" t="s">
        <v>43170</v>
      </c>
      <c r="S2510" t="s">
        <v>43297</v>
      </c>
      <c r="T2510" t="s">
        <v>44766</v>
      </c>
      <c r="U2510" t="s">
        <v>47112</v>
      </c>
      <c r="W2510" t="s">
        <v>40268</v>
      </c>
      <c r="X2510" t="s">
        <v>43171</v>
      </c>
    </row>
    <row r="2511" spans="1:24">
      <c r="A2511">
        <f>HYPERLINK("https://www.philgeps.gov.ph/GEPSNONPILOT/Tender/SplashBidNoticeAbstractUI.aspx?menuIndex=3&amp;refID=7086274&amp;Result=3","7086274")</f>
        <v>0</v>
      </c>
      <c r="B2511" t="s">
        <v>992</v>
      </c>
      <c r="C2511" t="s">
        <v>5818</v>
      </c>
      <c r="D2511" t="s">
        <v>17415</v>
      </c>
      <c r="E2511" t="s">
        <v>19707</v>
      </c>
      <c r="F2511" t="s">
        <v>30052</v>
      </c>
      <c r="G2511" t="s">
        <v>30059</v>
      </c>
      <c r="H2511" t="s">
        <v>15498</v>
      </c>
      <c r="I2511" t="s">
        <v>30167</v>
      </c>
      <c r="J2511" t="s">
        <v>31923</v>
      </c>
      <c r="K2511" t="s">
        <v>39099</v>
      </c>
      <c r="M2511" t="s">
        <v>40319</v>
      </c>
      <c r="N2511" t="s">
        <v>43166</v>
      </c>
      <c r="O2511" t="s">
        <v>43167</v>
      </c>
      <c r="P2511">
        <v>0</v>
      </c>
      <c r="Q2511">
        <v>2</v>
      </c>
      <c r="R2511" t="s">
        <v>43170</v>
      </c>
      <c r="S2511" t="s">
        <v>43297</v>
      </c>
      <c r="T2511" t="s">
        <v>44806</v>
      </c>
      <c r="U2511" t="s">
        <v>47266</v>
      </c>
      <c r="V2511" t="s">
        <v>57117</v>
      </c>
      <c r="W2511" t="s">
        <v>40319</v>
      </c>
      <c r="X2511" t="s">
        <v>43171</v>
      </c>
    </row>
    <row r="2512" spans="1:24">
      <c r="A2512">
        <f>HYPERLINK("https://www.philgeps.gov.ph/GEPSNONPILOT/Tender/SplashBidNoticeAbstractUI.aspx?menuIndex=3&amp;refID=7086284&amp;Result=3","7086284")</f>
        <v>0</v>
      </c>
      <c r="B2512" t="s">
        <v>993</v>
      </c>
      <c r="C2512" t="s">
        <v>5819</v>
      </c>
      <c r="D2512" t="s">
        <v>17425</v>
      </c>
      <c r="E2512" t="s">
        <v>19708</v>
      </c>
      <c r="F2512" t="s">
        <v>30052</v>
      </c>
      <c r="G2512" t="s">
        <v>30061</v>
      </c>
      <c r="H2512" t="s">
        <v>15498</v>
      </c>
      <c r="I2512" t="s">
        <v>6691</v>
      </c>
      <c r="J2512" t="s">
        <v>31924</v>
      </c>
      <c r="K2512" t="s">
        <v>39025</v>
      </c>
      <c r="L2512" t="s">
        <v>993</v>
      </c>
      <c r="M2512" t="s">
        <v>40320</v>
      </c>
      <c r="N2512" t="s">
        <v>43166</v>
      </c>
      <c r="O2512" t="s">
        <v>43167</v>
      </c>
      <c r="P2512">
        <v>0</v>
      </c>
      <c r="Q2512">
        <v>0</v>
      </c>
      <c r="R2512" t="s">
        <v>43170</v>
      </c>
      <c r="S2512" t="s">
        <v>43297</v>
      </c>
      <c r="T2512" t="s">
        <v>44837</v>
      </c>
      <c r="U2512" t="s">
        <v>47267</v>
      </c>
      <c r="W2512" t="s">
        <v>40320</v>
      </c>
      <c r="X2512" t="s">
        <v>43171</v>
      </c>
    </row>
    <row r="2513" spans="1:24">
      <c r="A2513">
        <f>HYPERLINK("https://www.philgeps.gov.ph/GEPSNONPILOT/Tender/SplashBidNoticeAbstractUI.aspx?menuIndex=3&amp;refID=7086273&amp;Result=3","7086273")</f>
        <v>0</v>
      </c>
      <c r="B2513" t="s">
        <v>994</v>
      </c>
      <c r="C2513" t="s">
        <v>5820</v>
      </c>
      <c r="E2513" t="s">
        <v>18579</v>
      </c>
      <c r="F2513" t="s">
        <v>30052</v>
      </c>
      <c r="G2513" t="s">
        <v>30058</v>
      </c>
      <c r="H2513" t="s">
        <v>15498</v>
      </c>
      <c r="I2513" t="s">
        <v>3736</v>
      </c>
      <c r="J2513" t="s">
        <v>31925</v>
      </c>
      <c r="K2513" t="s">
        <v>39017</v>
      </c>
      <c r="M2513" t="s">
        <v>40321</v>
      </c>
      <c r="N2513" t="s">
        <v>43166</v>
      </c>
      <c r="O2513" t="s">
        <v>43167</v>
      </c>
      <c r="P2513">
        <v>0</v>
      </c>
      <c r="Q2513">
        <v>0</v>
      </c>
      <c r="R2513" t="s">
        <v>43170</v>
      </c>
      <c r="S2513" t="s">
        <v>43297</v>
      </c>
      <c r="T2513" t="s">
        <v>44699</v>
      </c>
      <c r="U2513" t="s">
        <v>47268</v>
      </c>
      <c r="W2513" t="s">
        <v>40321</v>
      </c>
      <c r="X2513" t="s">
        <v>43171</v>
      </c>
    </row>
    <row r="2514" spans="1:24">
      <c r="A2514">
        <f>HYPERLINK("https://www.philgeps.gov.ph/GEPSNONPILOT/Tender/SplashBidNoticeAbstractUI.aspx?menuIndex=3&amp;refID=7086271&amp;Result=3","7086271")</f>
        <v>0</v>
      </c>
      <c r="B2514" t="s">
        <v>260</v>
      </c>
      <c r="C2514" t="s">
        <v>5821</v>
      </c>
      <c r="D2514" t="s">
        <v>17452</v>
      </c>
      <c r="E2514" t="s">
        <v>19709</v>
      </c>
      <c r="F2514" t="s">
        <v>30052</v>
      </c>
      <c r="G2514" t="s">
        <v>30059</v>
      </c>
      <c r="H2514" t="s">
        <v>15498</v>
      </c>
      <c r="I2514" t="s">
        <v>3736</v>
      </c>
      <c r="J2514" t="s">
        <v>31926</v>
      </c>
      <c r="K2514" t="s">
        <v>39019</v>
      </c>
      <c r="M2514" t="s">
        <v>40228</v>
      </c>
      <c r="N2514" t="s">
        <v>43166</v>
      </c>
      <c r="O2514" t="s">
        <v>43167</v>
      </c>
      <c r="P2514">
        <v>0</v>
      </c>
      <c r="Q2514">
        <v>1</v>
      </c>
      <c r="R2514" t="s">
        <v>43170</v>
      </c>
      <c r="S2514" t="s">
        <v>43297</v>
      </c>
      <c r="T2514" t="s">
        <v>44856</v>
      </c>
      <c r="U2514" t="s">
        <v>47002</v>
      </c>
      <c r="W2514" t="s">
        <v>40228</v>
      </c>
      <c r="X2514" t="s">
        <v>43171</v>
      </c>
    </row>
    <row r="2515" spans="1:24">
      <c r="A2515">
        <f>HYPERLINK("https://www.philgeps.gov.ph/GEPSNONPILOT/Tender/SplashBidNoticeAbstractUI.aspx?menuIndex=3&amp;refID=7086269&amp;Result=3","7086269")</f>
        <v>0</v>
      </c>
      <c r="B2515" t="s">
        <v>855</v>
      </c>
      <c r="C2515" t="s">
        <v>5822</v>
      </c>
      <c r="D2515" t="s">
        <v>17415</v>
      </c>
      <c r="E2515" t="s">
        <v>19710</v>
      </c>
      <c r="F2515" t="s">
        <v>30052</v>
      </c>
      <c r="G2515" t="s">
        <v>30060</v>
      </c>
      <c r="H2515" t="s">
        <v>15498</v>
      </c>
      <c r="I2515" t="s">
        <v>30111</v>
      </c>
      <c r="J2515" t="s">
        <v>31927</v>
      </c>
      <c r="K2515" t="s">
        <v>39017</v>
      </c>
      <c r="M2515" t="s">
        <v>40172</v>
      </c>
      <c r="N2515" t="s">
        <v>43166</v>
      </c>
      <c r="O2515" t="s">
        <v>43167</v>
      </c>
      <c r="P2515">
        <v>0</v>
      </c>
      <c r="Q2515">
        <v>10</v>
      </c>
      <c r="R2515" t="s">
        <v>43170</v>
      </c>
      <c r="S2515" t="s">
        <v>43297</v>
      </c>
      <c r="T2515" t="s">
        <v>44715</v>
      </c>
      <c r="U2515" t="s">
        <v>47269</v>
      </c>
      <c r="W2515" t="s">
        <v>40172</v>
      </c>
      <c r="X2515" t="s">
        <v>43171</v>
      </c>
    </row>
    <row r="2516" spans="1:24">
      <c r="A2516">
        <f>HYPERLINK("https://www.philgeps.gov.ph/GEPSNONPILOT/Tender/SplashBidNoticeAbstractUI.aspx?menuIndex=3&amp;refID=7086258&amp;Result=3","7086258")</f>
        <v>0</v>
      </c>
      <c r="B2516" t="s">
        <v>977</v>
      </c>
      <c r="C2516" t="s">
        <v>5823</v>
      </c>
      <c r="D2516" t="s">
        <v>17484</v>
      </c>
      <c r="E2516" t="s">
        <v>19711</v>
      </c>
      <c r="F2516" t="s">
        <v>30052</v>
      </c>
      <c r="G2516" t="s">
        <v>30058</v>
      </c>
      <c r="H2516" t="s">
        <v>15498</v>
      </c>
      <c r="I2516" t="s">
        <v>3852</v>
      </c>
      <c r="J2516" t="s">
        <v>31928</v>
      </c>
      <c r="K2516" t="s">
        <v>39029</v>
      </c>
      <c r="M2516" t="s">
        <v>40304</v>
      </c>
      <c r="N2516" t="s">
        <v>43166</v>
      </c>
      <c r="O2516" t="s">
        <v>43167</v>
      </c>
      <c r="P2516">
        <v>0</v>
      </c>
      <c r="Q2516">
        <v>0</v>
      </c>
      <c r="R2516" t="s">
        <v>43170</v>
      </c>
      <c r="S2516" t="s">
        <v>43297</v>
      </c>
      <c r="T2516" t="s">
        <v>44892</v>
      </c>
      <c r="U2516" t="s">
        <v>47270</v>
      </c>
      <c r="W2516" t="s">
        <v>40304</v>
      </c>
      <c r="X2516" t="s">
        <v>43171</v>
      </c>
    </row>
    <row r="2517" spans="1:24">
      <c r="A2517">
        <f>HYPERLINK("https://www.philgeps.gov.ph/GEPSNONPILOT/Tender/SplashBidNoticeAbstractUI.aspx?menuIndex=3&amp;refID=7086265&amp;Result=3","7086265")</f>
        <v>0</v>
      </c>
      <c r="B2517" t="s">
        <v>995</v>
      </c>
      <c r="C2517" t="s">
        <v>5824</v>
      </c>
      <c r="D2517" t="s">
        <v>17441</v>
      </c>
      <c r="E2517" t="s">
        <v>19712</v>
      </c>
      <c r="F2517" t="s">
        <v>30052</v>
      </c>
      <c r="G2517" t="s">
        <v>30058</v>
      </c>
      <c r="H2517" t="s">
        <v>15498</v>
      </c>
      <c r="I2517" t="s">
        <v>3606</v>
      </c>
      <c r="J2517" t="s">
        <v>31929</v>
      </c>
      <c r="K2517" t="s">
        <v>39046</v>
      </c>
      <c r="M2517" t="s">
        <v>40322</v>
      </c>
      <c r="N2517" t="s">
        <v>43166</v>
      </c>
      <c r="O2517" t="s">
        <v>43167</v>
      </c>
      <c r="P2517">
        <v>0</v>
      </c>
      <c r="Q2517">
        <v>9</v>
      </c>
      <c r="R2517" t="s">
        <v>43170</v>
      </c>
      <c r="S2517" t="s">
        <v>43297</v>
      </c>
      <c r="T2517" t="s">
        <v>44784</v>
      </c>
      <c r="U2517" t="s">
        <v>47271</v>
      </c>
      <c r="W2517" t="s">
        <v>40322</v>
      </c>
      <c r="X2517" t="s">
        <v>43171</v>
      </c>
    </row>
    <row r="2518" spans="1:24">
      <c r="A2518">
        <f>HYPERLINK("https://www.philgeps.gov.ph/GEPSNONPILOT/Tender/SplashBidNoticeAbstractUI.aspx?menuIndex=3&amp;refID=7086238&amp;Result=3","7086238")</f>
        <v>0</v>
      </c>
      <c r="B2518" t="s">
        <v>974</v>
      </c>
      <c r="C2518" t="s">
        <v>5825</v>
      </c>
      <c r="D2518" t="s">
        <v>17453</v>
      </c>
      <c r="E2518" t="s">
        <v>19713</v>
      </c>
      <c r="F2518" t="s">
        <v>30052</v>
      </c>
      <c r="G2518" t="s">
        <v>30059</v>
      </c>
      <c r="H2518" t="s">
        <v>15498</v>
      </c>
      <c r="I2518" t="s">
        <v>8323</v>
      </c>
      <c r="J2518" t="s">
        <v>30252</v>
      </c>
      <c r="K2518" t="s">
        <v>39017</v>
      </c>
      <c r="M2518" t="s">
        <v>40301</v>
      </c>
      <c r="N2518" t="s">
        <v>43166</v>
      </c>
      <c r="O2518" t="s">
        <v>43167</v>
      </c>
      <c r="P2518">
        <v>0</v>
      </c>
      <c r="Q2518">
        <v>15</v>
      </c>
      <c r="R2518" t="s">
        <v>43170</v>
      </c>
      <c r="S2518" t="s">
        <v>43297</v>
      </c>
      <c r="T2518" t="s">
        <v>44856</v>
      </c>
      <c r="U2518" t="s">
        <v>46634</v>
      </c>
      <c r="W2518" t="s">
        <v>40301</v>
      </c>
      <c r="X2518" t="s">
        <v>43171</v>
      </c>
    </row>
    <row r="2519" spans="1:24">
      <c r="A2519">
        <f>HYPERLINK("https://www.philgeps.gov.ph/GEPSNONPILOT/Tender/SplashBidNoticeAbstractUI.aspx?menuIndex=3&amp;refID=7086272&amp;Result=3","7086272")</f>
        <v>0</v>
      </c>
      <c r="B2519" t="s">
        <v>415</v>
      </c>
      <c r="C2519" t="s">
        <v>5826</v>
      </c>
      <c r="D2519" t="s">
        <v>17472</v>
      </c>
      <c r="E2519" t="s">
        <v>18363</v>
      </c>
      <c r="F2519" t="s">
        <v>30052</v>
      </c>
      <c r="G2519" t="s">
        <v>30061</v>
      </c>
      <c r="H2519" t="s">
        <v>15498</v>
      </c>
      <c r="I2519" t="s">
        <v>30073</v>
      </c>
      <c r="J2519" t="s">
        <v>31930</v>
      </c>
      <c r="K2519" t="s">
        <v>39034</v>
      </c>
      <c r="M2519" t="s">
        <v>39714</v>
      </c>
      <c r="N2519" t="s">
        <v>43166</v>
      </c>
      <c r="O2519" t="s">
        <v>43167</v>
      </c>
      <c r="P2519">
        <v>0</v>
      </c>
      <c r="Q2519">
        <v>0</v>
      </c>
      <c r="R2519" t="s">
        <v>43170</v>
      </c>
      <c r="S2519" t="s">
        <v>43297</v>
      </c>
      <c r="T2519" t="s">
        <v>44685</v>
      </c>
      <c r="U2519" t="s">
        <v>47272</v>
      </c>
      <c r="W2519" t="s">
        <v>39714</v>
      </c>
      <c r="X2519" t="s">
        <v>43171</v>
      </c>
    </row>
    <row r="2520" spans="1:24">
      <c r="A2520">
        <f>HYPERLINK("https://www.philgeps.gov.ph/GEPSNONPILOT/Tender/SplashBidNoticeAbstractUI.aspx?menuIndex=3&amp;refID=7086323&amp;Result=3","7086323")</f>
        <v>0</v>
      </c>
      <c r="B2520" t="s">
        <v>703</v>
      </c>
      <c r="C2520" t="s">
        <v>5827</v>
      </c>
      <c r="D2520" t="s">
        <v>17445</v>
      </c>
      <c r="E2520" t="s">
        <v>19714</v>
      </c>
      <c r="F2520" t="s">
        <v>30052</v>
      </c>
      <c r="G2520" t="s">
        <v>30058</v>
      </c>
      <c r="H2520" t="s">
        <v>15498</v>
      </c>
      <c r="I2520" t="s">
        <v>3693</v>
      </c>
      <c r="J2520" t="s">
        <v>31835</v>
      </c>
      <c r="K2520" t="s">
        <v>39057</v>
      </c>
      <c r="M2520" t="s">
        <v>40012</v>
      </c>
      <c r="N2520" t="s">
        <v>43166</v>
      </c>
      <c r="O2520" t="s">
        <v>43167</v>
      </c>
      <c r="P2520">
        <v>0</v>
      </c>
      <c r="Q2520">
        <v>1</v>
      </c>
      <c r="R2520" t="s">
        <v>43170</v>
      </c>
      <c r="S2520" t="s">
        <v>43297</v>
      </c>
      <c r="T2520" t="s">
        <v>44877</v>
      </c>
      <c r="U2520" t="s">
        <v>47273</v>
      </c>
      <c r="W2520" t="s">
        <v>40012</v>
      </c>
      <c r="X2520" t="s">
        <v>43171</v>
      </c>
    </row>
    <row r="2521" spans="1:24">
      <c r="A2521">
        <f>HYPERLINK("https://www.philgeps.gov.ph/GEPSNONPILOT/Tender/SplashBidNoticeAbstractUI.aspx?menuIndex=3&amp;refID=7086295&amp;Result=3","7086295")</f>
        <v>0</v>
      </c>
      <c r="B2521" t="s">
        <v>996</v>
      </c>
      <c r="C2521" t="s">
        <v>5828</v>
      </c>
      <c r="D2521" t="s">
        <v>17415</v>
      </c>
      <c r="E2521" t="s">
        <v>19715</v>
      </c>
      <c r="F2521" t="s">
        <v>30052</v>
      </c>
      <c r="G2521" t="s">
        <v>30059</v>
      </c>
      <c r="H2521" t="s">
        <v>30069</v>
      </c>
      <c r="I2521" t="s">
        <v>6691</v>
      </c>
      <c r="J2521" t="s">
        <v>30256</v>
      </c>
      <c r="K2521" t="s">
        <v>39048</v>
      </c>
      <c r="M2521" t="s">
        <v>40323</v>
      </c>
      <c r="N2521" t="s">
        <v>43166</v>
      </c>
      <c r="O2521" t="s">
        <v>43167</v>
      </c>
      <c r="P2521">
        <v>0</v>
      </c>
      <c r="Q2521">
        <v>2</v>
      </c>
      <c r="R2521" t="s">
        <v>43170</v>
      </c>
      <c r="S2521" t="s">
        <v>43297</v>
      </c>
      <c r="T2521" t="s">
        <v>44826</v>
      </c>
      <c r="U2521" t="s">
        <v>47274</v>
      </c>
      <c r="V2521" t="s">
        <v>57118</v>
      </c>
      <c r="W2521" t="s">
        <v>40323</v>
      </c>
      <c r="X2521" t="s">
        <v>43171</v>
      </c>
    </row>
    <row r="2522" spans="1:24">
      <c r="A2522">
        <f>HYPERLINK("https://www.philgeps.gov.ph/GEPSNONPILOT/Tender/SplashBidNoticeAbstractUI.aspx?menuIndex=3&amp;refID=7086287&amp;Result=3","7086287")</f>
        <v>0</v>
      </c>
      <c r="B2522" t="s">
        <v>752</v>
      </c>
      <c r="C2522" t="s">
        <v>5829</v>
      </c>
      <c r="D2522" t="s">
        <v>17415</v>
      </c>
      <c r="E2522" t="s">
        <v>5829</v>
      </c>
      <c r="F2522" t="s">
        <v>30052</v>
      </c>
      <c r="G2522" t="s">
        <v>30061</v>
      </c>
      <c r="H2522" t="s">
        <v>15498</v>
      </c>
      <c r="I2522" t="s">
        <v>3606</v>
      </c>
      <c r="J2522" t="s">
        <v>31931</v>
      </c>
      <c r="K2522" t="s">
        <v>39017</v>
      </c>
      <c r="M2522" t="s">
        <v>40324</v>
      </c>
      <c r="N2522" t="s">
        <v>43166</v>
      </c>
      <c r="O2522" t="s">
        <v>43167</v>
      </c>
      <c r="P2522">
        <v>0</v>
      </c>
      <c r="Q2522">
        <v>7</v>
      </c>
      <c r="R2522" t="s">
        <v>43170</v>
      </c>
      <c r="S2522" t="s">
        <v>43297</v>
      </c>
      <c r="T2522" t="s">
        <v>44767</v>
      </c>
      <c r="U2522" t="s">
        <v>47275</v>
      </c>
      <c r="W2522" t="s">
        <v>40324</v>
      </c>
      <c r="X2522" t="s">
        <v>43171</v>
      </c>
    </row>
    <row r="2523" spans="1:24">
      <c r="A2523">
        <f>HYPERLINK("https://www.philgeps.gov.ph/GEPSNONPILOT/Tender/SplashBidNoticeAbstractUI.aspx?menuIndex=3&amp;refID=7086275&amp;Result=3","7086275")</f>
        <v>0</v>
      </c>
      <c r="B2523" t="s">
        <v>502</v>
      </c>
      <c r="C2523" t="s">
        <v>5830</v>
      </c>
      <c r="D2523" t="s">
        <v>17445</v>
      </c>
      <c r="E2523" t="s">
        <v>18545</v>
      </c>
      <c r="F2523" t="s">
        <v>30052</v>
      </c>
      <c r="G2523" t="s">
        <v>30059</v>
      </c>
      <c r="H2523" t="s">
        <v>15498</v>
      </c>
      <c r="I2523" t="s">
        <v>30097</v>
      </c>
      <c r="J2523" t="s">
        <v>31932</v>
      </c>
      <c r="K2523" t="s">
        <v>39037</v>
      </c>
      <c r="M2523" t="s">
        <v>39803</v>
      </c>
      <c r="N2523" t="s">
        <v>43166</v>
      </c>
      <c r="O2523" t="s">
        <v>43167</v>
      </c>
      <c r="P2523">
        <v>0</v>
      </c>
      <c r="Q2523">
        <v>0</v>
      </c>
      <c r="R2523" t="s">
        <v>43170</v>
      </c>
      <c r="S2523" t="s">
        <v>43297</v>
      </c>
      <c r="T2523" t="s">
        <v>44698</v>
      </c>
      <c r="U2523" t="s">
        <v>47276</v>
      </c>
      <c r="V2523" t="s">
        <v>57111</v>
      </c>
      <c r="W2523" t="s">
        <v>39803</v>
      </c>
      <c r="X2523" t="s">
        <v>43171</v>
      </c>
    </row>
    <row r="2524" spans="1:24">
      <c r="A2524">
        <f>HYPERLINK("https://www.philgeps.gov.ph/GEPSNONPILOT/Tender/SplashBidNoticeAbstractUI.aspx?menuIndex=3&amp;refID=7086319&amp;Result=3","7086319")</f>
        <v>0</v>
      </c>
      <c r="B2524" t="s">
        <v>985</v>
      </c>
      <c r="C2524" t="s">
        <v>5831</v>
      </c>
      <c r="D2524" t="s">
        <v>17456</v>
      </c>
      <c r="E2524" t="s">
        <v>19716</v>
      </c>
      <c r="F2524" t="s">
        <v>30052</v>
      </c>
      <c r="G2524" t="s">
        <v>30059</v>
      </c>
      <c r="H2524" t="s">
        <v>15498</v>
      </c>
      <c r="I2524" t="s">
        <v>3736</v>
      </c>
      <c r="J2524" t="s">
        <v>31933</v>
      </c>
      <c r="K2524" t="s">
        <v>39017</v>
      </c>
      <c r="M2524" t="s">
        <v>40312</v>
      </c>
      <c r="N2524" t="s">
        <v>43166</v>
      </c>
      <c r="O2524" t="s">
        <v>43167</v>
      </c>
      <c r="P2524">
        <v>0</v>
      </c>
      <c r="Q2524">
        <v>1</v>
      </c>
      <c r="R2524" t="s">
        <v>43170</v>
      </c>
      <c r="S2524" t="s">
        <v>43297</v>
      </c>
      <c r="T2524" t="s">
        <v>44728</v>
      </c>
      <c r="U2524" t="s">
        <v>47246</v>
      </c>
      <c r="W2524" t="s">
        <v>40312</v>
      </c>
      <c r="X2524" t="s">
        <v>43171</v>
      </c>
    </row>
    <row r="2525" spans="1:24">
      <c r="A2525">
        <f>HYPERLINK("https://www.philgeps.gov.ph/GEPSNONPILOT/Tender/SplashBidNoticeAbstractUI.aspx?menuIndex=3&amp;refID=7086315&amp;Result=3","7086315")</f>
        <v>0</v>
      </c>
      <c r="B2525" t="s">
        <v>997</v>
      </c>
      <c r="C2525" t="s">
        <v>5832</v>
      </c>
      <c r="D2525" t="s">
        <v>17419</v>
      </c>
      <c r="E2525" t="s">
        <v>19717</v>
      </c>
      <c r="F2525" t="s">
        <v>30052</v>
      </c>
      <c r="G2525" t="s">
        <v>30059</v>
      </c>
      <c r="H2525" t="s">
        <v>15498</v>
      </c>
      <c r="I2525" t="s">
        <v>6691</v>
      </c>
      <c r="J2525" t="s">
        <v>31934</v>
      </c>
      <c r="K2525" t="s">
        <v>39036</v>
      </c>
      <c r="M2525" t="s">
        <v>40325</v>
      </c>
      <c r="N2525" t="s">
        <v>43166</v>
      </c>
      <c r="O2525" t="s">
        <v>43167</v>
      </c>
      <c r="P2525">
        <v>0</v>
      </c>
      <c r="Q2525">
        <v>1</v>
      </c>
      <c r="R2525" t="s">
        <v>43170</v>
      </c>
      <c r="S2525" t="s">
        <v>43297</v>
      </c>
      <c r="T2525" t="s">
        <v>44837</v>
      </c>
      <c r="U2525" t="s">
        <v>47277</v>
      </c>
      <c r="W2525" t="s">
        <v>40325</v>
      </c>
      <c r="X2525" t="s">
        <v>43171</v>
      </c>
    </row>
    <row r="2526" spans="1:24">
      <c r="A2526">
        <f>HYPERLINK("https://www.philgeps.gov.ph/GEPSNONPILOT/Tender/SplashBidNoticeAbstractUI.aspx?menuIndex=3&amp;refID=7086314&amp;Result=3","7086314")</f>
        <v>0</v>
      </c>
      <c r="B2526" t="s">
        <v>415</v>
      </c>
      <c r="C2526" t="s">
        <v>5833</v>
      </c>
      <c r="D2526" t="s">
        <v>17472</v>
      </c>
      <c r="E2526" t="s">
        <v>18363</v>
      </c>
      <c r="F2526" t="s">
        <v>30052</v>
      </c>
      <c r="G2526" t="s">
        <v>30061</v>
      </c>
      <c r="H2526" t="s">
        <v>15498</v>
      </c>
      <c r="I2526" t="s">
        <v>3693</v>
      </c>
      <c r="J2526" t="s">
        <v>31915</v>
      </c>
      <c r="K2526" t="s">
        <v>39034</v>
      </c>
      <c r="M2526" t="s">
        <v>39714</v>
      </c>
      <c r="N2526" t="s">
        <v>43166</v>
      </c>
      <c r="O2526" t="s">
        <v>43167</v>
      </c>
      <c r="P2526">
        <v>0</v>
      </c>
      <c r="Q2526">
        <v>0</v>
      </c>
      <c r="R2526" t="s">
        <v>43170</v>
      </c>
      <c r="S2526" t="s">
        <v>43297</v>
      </c>
      <c r="T2526" t="s">
        <v>44685</v>
      </c>
      <c r="U2526" t="s">
        <v>47257</v>
      </c>
      <c r="W2526" t="s">
        <v>39714</v>
      </c>
      <c r="X2526" t="s">
        <v>43171</v>
      </c>
    </row>
    <row r="2527" spans="1:24">
      <c r="A2527">
        <f>HYPERLINK("https://www.philgeps.gov.ph/GEPSNONPILOT/Tender/SplashBidNoticeAbstractUI.aspx?menuIndex=3&amp;refID=7086310&amp;Result=3","7086310")</f>
        <v>0</v>
      </c>
      <c r="B2527" t="s">
        <v>705</v>
      </c>
      <c r="C2527" t="s">
        <v>5834</v>
      </c>
      <c r="D2527" t="s">
        <v>17414</v>
      </c>
      <c r="E2527" t="s">
        <v>19718</v>
      </c>
      <c r="F2527" t="s">
        <v>30052</v>
      </c>
      <c r="G2527" t="s">
        <v>30059</v>
      </c>
      <c r="H2527" t="s">
        <v>15498</v>
      </c>
      <c r="I2527" t="s">
        <v>3852</v>
      </c>
      <c r="J2527" t="s">
        <v>31935</v>
      </c>
      <c r="K2527" t="s">
        <v>39017</v>
      </c>
      <c r="M2527" t="s">
        <v>40014</v>
      </c>
      <c r="N2527" t="s">
        <v>43166</v>
      </c>
      <c r="O2527" t="s">
        <v>43167</v>
      </c>
      <c r="P2527">
        <v>0</v>
      </c>
      <c r="Q2527">
        <v>1</v>
      </c>
      <c r="R2527" t="s">
        <v>43170</v>
      </c>
      <c r="S2527" t="s">
        <v>43297</v>
      </c>
      <c r="T2527" t="s">
        <v>44777</v>
      </c>
      <c r="U2527" t="s">
        <v>47278</v>
      </c>
      <c r="V2527" t="s">
        <v>57119</v>
      </c>
      <c r="W2527" t="s">
        <v>40014</v>
      </c>
      <c r="X2527" t="s">
        <v>43171</v>
      </c>
    </row>
    <row r="2528" spans="1:24">
      <c r="A2528">
        <f>HYPERLINK("https://www.philgeps.gov.ph/GEPSNONPILOT/Tender/SplashBidNoticeAbstractUI.aspx?menuIndex=3&amp;refID=7086304&amp;Result=3","7086304")</f>
        <v>0</v>
      </c>
      <c r="B2528" t="s">
        <v>860</v>
      </c>
      <c r="C2528" t="s">
        <v>5835</v>
      </c>
      <c r="D2528" t="s">
        <v>17484</v>
      </c>
      <c r="E2528" t="s">
        <v>19719</v>
      </c>
      <c r="F2528" t="s">
        <v>30052</v>
      </c>
      <c r="G2528" t="s">
        <v>30059</v>
      </c>
      <c r="H2528" t="s">
        <v>15498</v>
      </c>
      <c r="I2528" t="s">
        <v>30094</v>
      </c>
      <c r="J2528" t="s">
        <v>31936</v>
      </c>
      <c r="K2528" t="s">
        <v>39029</v>
      </c>
      <c r="M2528" t="s">
        <v>40326</v>
      </c>
      <c r="N2528" t="s">
        <v>43166</v>
      </c>
      <c r="O2528" t="s">
        <v>43167</v>
      </c>
      <c r="P2528">
        <v>0</v>
      </c>
      <c r="Q2528">
        <v>0</v>
      </c>
      <c r="R2528" t="s">
        <v>43170</v>
      </c>
      <c r="S2528" t="s">
        <v>43297</v>
      </c>
      <c r="T2528" t="s">
        <v>44856</v>
      </c>
      <c r="U2528" t="s">
        <v>47279</v>
      </c>
      <c r="W2528" t="s">
        <v>40326</v>
      </c>
      <c r="X2528" t="s">
        <v>43171</v>
      </c>
    </row>
    <row r="2529" spans="1:24">
      <c r="A2529">
        <f>HYPERLINK("https://www.philgeps.gov.ph/GEPSNONPILOT/Tender/SplashBidNoticeAbstractUI.aspx?menuIndex=3&amp;refID=7086289&amp;Result=3","7086289")</f>
        <v>0</v>
      </c>
      <c r="B2529" t="s">
        <v>998</v>
      </c>
      <c r="C2529" t="s">
        <v>5836</v>
      </c>
      <c r="D2529" t="s">
        <v>17448</v>
      </c>
      <c r="E2529" t="s">
        <v>19444</v>
      </c>
      <c r="F2529" t="s">
        <v>30052</v>
      </c>
      <c r="G2529" t="s">
        <v>30059</v>
      </c>
      <c r="H2529" t="s">
        <v>15498</v>
      </c>
      <c r="I2529" t="s">
        <v>6304</v>
      </c>
      <c r="J2529" t="s">
        <v>31937</v>
      </c>
      <c r="K2529" t="s">
        <v>39017</v>
      </c>
      <c r="M2529" t="s">
        <v>40327</v>
      </c>
      <c r="N2529" t="s">
        <v>43166</v>
      </c>
      <c r="O2529" t="s">
        <v>43167</v>
      </c>
      <c r="P2529">
        <v>0</v>
      </c>
      <c r="Q2529">
        <v>1</v>
      </c>
      <c r="R2529" t="s">
        <v>43170</v>
      </c>
      <c r="S2529" t="s">
        <v>43297</v>
      </c>
      <c r="T2529" t="s">
        <v>44717</v>
      </c>
      <c r="U2529" t="s">
        <v>47280</v>
      </c>
      <c r="W2529" t="s">
        <v>40327</v>
      </c>
      <c r="X2529" t="s">
        <v>43171</v>
      </c>
    </row>
    <row r="2530" spans="1:24">
      <c r="A2530">
        <f>HYPERLINK("https://www.philgeps.gov.ph/GEPSNONPILOT/Tender/SplashBidNoticeAbstractUI.aspx?menuIndex=3&amp;refID=7086321&amp;Result=3","7086321")</f>
        <v>0</v>
      </c>
      <c r="B2530" t="s">
        <v>999</v>
      </c>
      <c r="C2530" t="s">
        <v>5837</v>
      </c>
      <c r="D2530" t="s">
        <v>17453</v>
      </c>
      <c r="E2530" t="s">
        <v>19720</v>
      </c>
      <c r="F2530" t="s">
        <v>30052</v>
      </c>
      <c r="G2530" t="s">
        <v>30058</v>
      </c>
      <c r="H2530" t="s">
        <v>30067</v>
      </c>
      <c r="I2530" t="s">
        <v>3693</v>
      </c>
      <c r="J2530" t="s">
        <v>31938</v>
      </c>
      <c r="K2530" t="s">
        <v>39108</v>
      </c>
      <c r="M2530" t="s">
        <v>40328</v>
      </c>
      <c r="N2530" t="s">
        <v>43166</v>
      </c>
      <c r="O2530" t="s">
        <v>43167</v>
      </c>
      <c r="P2530">
        <v>0</v>
      </c>
      <c r="Q2530">
        <v>0</v>
      </c>
      <c r="R2530" t="s">
        <v>43170</v>
      </c>
      <c r="S2530" t="s">
        <v>43297</v>
      </c>
      <c r="T2530" t="s">
        <v>44794</v>
      </c>
      <c r="U2530" t="s">
        <v>47281</v>
      </c>
      <c r="V2530" t="s">
        <v>57120</v>
      </c>
      <c r="W2530" t="s">
        <v>40328</v>
      </c>
      <c r="X2530" t="s">
        <v>43171</v>
      </c>
    </row>
    <row r="2531" spans="1:24">
      <c r="A2531">
        <f>HYPERLINK("https://www.philgeps.gov.ph/GEPSNONPILOT/Tender/SplashBidNoticeAbstractUI.aspx?menuIndex=3&amp;refID=7086325&amp;Result=3","7086325")</f>
        <v>0</v>
      </c>
      <c r="B2531" t="s">
        <v>977</v>
      </c>
      <c r="C2531" t="s">
        <v>5838</v>
      </c>
      <c r="D2531" t="s">
        <v>17484</v>
      </c>
      <c r="E2531" t="s">
        <v>19721</v>
      </c>
      <c r="F2531" t="s">
        <v>30052</v>
      </c>
      <c r="G2531" t="s">
        <v>30058</v>
      </c>
      <c r="H2531" t="s">
        <v>15498</v>
      </c>
      <c r="I2531" t="s">
        <v>30092</v>
      </c>
      <c r="J2531" t="s">
        <v>31939</v>
      </c>
      <c r="K2531" t="s">
        <v>39029</v>
      </c>
      <c r="M2531" t="s">
        <v>40304</v>
      </c>
      <c r="N2531" t="s">
        <v>43166</v>
      </c>
      <c r="O2531" t="s">
        <v>43167</v>
      </c>
      <c r="P2531">
        <v>0</v>
      </c>
      <c r="Q2531">
        <v>0</v>
      </c>
      <c r="R2531" t="s">
        <v>43170</v>
      </c>
      <c r="S2531" t="s">
        <v>43297</v>
      </c>
      <c r="T2531" t="s">
        <v>44892</v>
      </c>
      <c r="U2531" t="s">
        <v>47282</v>
      </c>
      <c r="W2531" t="s">
        <v>40304</v>
      </c>
      <c r="X2531" t="s">
        <v>43171</v>
      </c>
    </row>
    <row r="2532" spans="1:24">
      <c r="A2532">
        <f>HYPERLINK("https://www.philgeps.gov.ph/GEPSNONPILOT/Tender/SplashBidNoticeAbstractUI.aspx?menuIndex=3&amp;refID=7086324&amp;Result=3","7086324")</f>
        <v>0</v>
      </c>
      <c r="B2532" t="s">
        <v>415</v>
      </c>
      <c r="C2532" t="s">
        <v>5839</v>
      </c>
      <c r="D2532" t="s">
        <v>17472</v>
      </c>
      <c r="E2532" t="s">
        <v>18363</v>
      </c>
      <c r="F2532" t="s">
        <v>30052</v>
      </c>
      <c r="G2532" t="s">
        <v>30061</v>
      </c>
      <c r="H2532" t="s">
        <v>15498</v>
      </c>
      <c r="I2532" t="s">
        <v>3693</v>
      </c>
      <c r="J2532" t="s">
        <v>31915</v>
      </c>
      <c r="K2532" t="s">
        <v>39034</v>
      </c>
      <c r="M2532" t="s">
        <v>39714</v>
      </c>
      <c r="N2532" t="s">
        <v>43166</v>
      </c>
      <c r="O2532" t="s">
        <v>43167</v>
      </c>
      <c r="P2532">
        <v>0</v>
      </c>
      <c r="Q2532">
        <v>0</v>
      </c>
      <c r="R2532" t="s">
        <v>43170</v>
      </c>
      <c r="S2532" t="s">
        <v>43297</v>
      </c>
      <c r="T2532" t="s">
        <v>44685</v>
      </c>
      <c r="U2532" t="s">
        <v>47257</v>
      </c>
      <c r="W2532" t="s">
        <v>39714</v>
      </c>
      <c r="X2532" t="s">
        <v>43171</v>
      </c>
    </row>
    <row r="2533" spans="1:24">
      <c r="A2533">
        <f>HYPERLINK("https://www.philgeps.gov.ph/GEPSNONPILOT/Tender/SplashBidNoticeAbstractUI.aspx?menuIndex=3&amp;refID=7086303&amp;Result=3","7086303")</f>
        <v>0</v>
      </c>
      <c r="B2533" t="s">
        <v>260</v>
      </c>
      <c r="C2533" t="s">
        <v>5840</v>
      </c>
      <c r="D2533" t="s">
        <v>17452</v>
      </c>
      <c r="E2533" t="s">
        <v>19722</v>
      </c>
      <c r="F2533" t="s">
        <v>30052</v>
      </c>
      <c r="G2533" t="s">
        <v>30059</v>
      </c>
      <c r="H2533" t="s">
        <v>15498</v>
      </c>
      <c r="I2533" t="s">
        <v>30096</v>
      </c>
      <c r="J2533" t="s">
        <v>30384</v>
      </c>
      <c r="K2533" t="s">
        <v>39029</v>
      </c>
      <c r="M2533" t="s">
        <v>40228</v>
      </c>
      <c r="N2533" t="s">
        <v>43166</v>
      </c>
      <c r="O2533" t="s">
        <v>43167</v>
      </c>
      <c r="P2533">
        <v>0</v>
      </c>
      <c r="Q2533">
        <v>2</v>
      </c>
      <c r="R2533" t="s">
        <v>43170</v>
      </c>
      <c r="S2533" t="s">
        <v>43297</v>
      </c>
      <c r="T2533" t="s">
        <v>44856</v>
      </c>
      <c r="U2533" t="s">
        <v>47002</v>
      </c>
      <c r="W2533" t="s">
        <v>40228</v>
      </c>
      <c r="X2533" t="s">
        <v>43171</v>
      </c>
    </row>
    <row r="2534" spans="1:24">
      <c r="A2534">
        <f>HYPERLINK("https://www.philgeps.gov.ph/GEPSNONPILOT/Tender/SplashBidNoticeAbstractUI.aspx?menuIndex=3&amp;refID=7086306&amp;Result=3","7086306")</f>
        <v>0</v>
      </c>
      <c r="B2534" t="s">
        <v>1000</v>
      </c>
      <c r="C2534" t="s">
        <v>5841</v>
      </c>
      <c r="D2534" t="s">
        <v>17422</v>
      </c>
      <c r="E2534" t="s">
        <v>19723</v>
      </c>
      <c r="F2534" t="s">
        <v>30052</v>
      </c>
      <c r="G2534" t="s">
        <v>30059</v>
      </c>
      <c r="H2534" t="s">
        <v>15498</v>
      </c>
      <c r="I2534" t="s">
        <v>30070</v>
      </c>
      <c r="J2534" t="s">
        <v>31940</v>
      </c>
      <c r="K2534" t="s">
        <v>39064</v>
      </c>
      <c r="M2534" t="s">
        <v>40329</v>
      </c>
      <c r="N2534" t="s">
        <v>43166</v>
      </c>
      <c r="O2534" t="s">
        <v>43167</v>
      </c>
      <c r="P2534">
        <v>0</v>
      </c>
      <c r="Q2534">
        <v>1</v>
      </c>
      <c r="R2534" t="s">
        <v>43170</v>
      </c>
      <c r="S2534" t="s">
        <v>43297</v>
      </c>
      <c r="T2534" t="s">
        <v>44844</v>
      </c>
      <c r="U2534" t="s">
        <v>47283</v>
      </c>
      <c r="W2534" t="s">
        <v>40329</v>
      </c>
      <c r="X2534" t="s">
        <v>43171</v>
      </c>
    </row>
    <row r="2535" spans="1:24">
      <c r="A2535">
        <f>HYPERLINK("https://www.philgeps.gov.ph/GEPSNONPILOT/Tender/SplashBidNoticeAbstractUI.aspx?menuIndex=3&amp;refID=7086299&amp;Result=3","7086299")</f>
        <v>0</v>
      </c>
      <c r="B2535" t="s">
        <v>971</v>
      </c>
      <c r="C2535" t="s">
        <v>5842</v>
      </c>
      <c r="D2535" t="s">
        <v>17486</v>
      </c>
      <c r="E2535" t="s">
        <v>19724</v>
      </c>
      <c r="F2535" t="s">
        <v>30052</v>
      </c>
      <c r="G2535" t="s">
        <v>30059</v>
      </c>
      <c r="H2535" t="s">
        <v>15498</v>
      </c>
      <c r="I2535" t="s">
        <v>30115</v>
      </c>
      <c r="J2535" t="s">
        <v>30350</v>
      </c>
      <c r="K2535" t="s">
        <v>39019</v>
      </c>
      <c r="M2535" t="s">
        <v>40298</v>
      </c>
      <c r="N2535" t="s">
        <v>43166</v>
      </c>
      <c r="O2535" t="s">
        <v>43167</v>
      </c>
      <c r="P2535">
        <v>0</v>
      </c>
      <c r="Q2535">
        <v>2</v>
      </c>
      <c r="R2535" t="s">
        <v>43170</v>
      </c>
      <c r="S2535" t="s">
        <v>43297</v>
      </c>
      <c r="T2535" t="s">
        <v>44843</v>
      </c>
      <c r="U2535" t="s">
        <v>47284</v>
      </c>
      <c r="W2535" t="s">
        <v>40298</v>
      </c>
      <c r="X2535" t="s">
        <v>43171</v>
      </c>
    </row>
    <row r="2536" spans="1:24">
      <c r="A2536">
        <f>HYPERLINK("https://www.philgeps.gov.ph/GEPSNONPILOT/Tender/SplashBidNoticeAbstractUI.aspx?menuIndex=3&amp;refID=7086326&amp;Result=3","7086326")</f>
        <v>0</v>
      </c>
      <c r="B2536" t="s">
        <v>931</v>
      </c>
      <c r="C2536" t="s">
        <v>5843</v>
      </c>
      <c r="D2536" t="s">
        <v>17453</v>
      </c>
      <c r="E2536" t="s">
        <v>19725</v>
      </c>
      <c r="F2536" t="s">
        <v>30052</v>
      </c>
      <c r="G2536" t="s">
        <v>30059</v>
      </c>
      <c r="H2536" t="s">
        <v>15498</v>
      </c>
      <c r="I2536" t="s">
        <v>3736</v>
      </c>
      <c r="J2536" t="s">
        <v>31941</v>
      </c>
      <c r="K2536" t="s">
        <v>39018</v>
      </c>
      <c r="M2536" t="s">
        <v>40254</v>
      </c>
      <c r="N2536" t="s">
        <v>43166</v>
      </c>
      <c r="O2536" t="s">
        <v>43167</v>
      </c>
      <c r="P2536">
        <v>0</v>
      </c>
      <c r="Q2536">
        <v>0</v>
      </c>
      <c r="R2536" t="s">
        <v>43170</v>
      </c>
      <c r="S2536" t="s">
        <v>43297</v>
      </c>
      <c r="T2536" t="s">
        <v>44732</v>
      </c>
      <c r="U2536" t="s">
        <v>47285</v>
      </c>
      <c r="W2536" t="s">
        <v>40254</v>
      </c>
      <c r="X2536" t="s">
        <v>43171</v>
      </c>
    </row>
    <row r="2537" spans="1:24">
      <c r="A2537">
        <f>HYPERLINK("https://www.philgeps.gov.ph/GEPSNONPILOT/Tender/SplashBidNoticeAbstractUI.aspx?menuIndex=3&amp;refID=7086331&amp;Result=3","7086331")</f>
        <v>0</v>
      </c>
      <c r="B2537" t="s">
        <v>667</v>
      </c>
      <c r="C2537" t="s">
        <v>5844</v>
      </c>
      <c r="E2537" t="s">
        <v>19726</v>
      </c>
      <c r="F2537" t="s">
        <v>30052</v>
      </c>
      <c r="G2537" t="s">
        <v>30059</v>
      </c>
      <c r="H2537" t="s">
        <v>15498</v>
      </c>
      <c r="I2537" t="s">
        <v>8323</v>
      </c>
      <c r="J2537" t="s">
        <v>31942</v>
      </c>
      <c r="K2537" t="s">
        <v>39052</v>
      </c>
      <c r="M2537" t="s">
        <v>39973</v>
      </c>
      <c r="N2537" t="s">
        <v>43166</v>
      </c>
      <c r="O2537" t="s">
        <v>43167</v>
      </c>
      <c r="P2537">
        <v>0</v>
      </c>
      <c r="Q2537">
        <v>9</v>
      </c>
      <c r="R2537" t="s">
        <v>43170</v>
      </c>
      <c r="S2537" t="s">
        <v>43297</v>
      </c>
      <c r="T2537" t="s">
        <v>44862</v>
      </c>
      <c r="U2537" t="s">
        <v>47286</v>
      </c>
      <c r="W2537" t="s">
        <v>39973</v>
      </c>
      <c r="X2537" t="s">
        <v>43171</v>
      </c>
    </row>
    <row r="2538" spans="1:24">
      <c r="A2538">
        <f>HYPERLINK("https://www.philgeps.gov.ph/GEPSNONPILOT/Tender/SplashBidNoticeAbstractUI.aspx?menuIndex=3&amp;refID=7086362&amp;Result=3","7086362")</f>
        <v>0</v>
      </c>
      <c r="B2538" t="s">
        <v>1001</v>
      </c>
      <c r="C2538" t="s">
        <v>5845</v>
      </c>
      <c r="D2538" t="s">
        <v>17415</v>
      </c>
      <c r="E2538" t="s">
        <v>19727</v>
      </c>
      <c r="F2538" t="s">
        <v>30052</v>
      </c>
      <c r="G2538" t="s">
        <v>30059</v>
      </c>
      <c r="H2538" t="s">
        <v>15498</v>
      </c>
      <c r="I2538" t="s">
        <v>30096</v>
      </c>
      <c r="J2538" t="s">
        <v>31943</v>
      </c>
      <c r="K2538" t="s">
        <v>39029</v>
      </c>
      <c r="M2538" t="s">
        <v>40330</v>
      </c>
      <c r="N2538" t="s">
        <v>43166</v>
      </c>
      <c r="O2538" t="s">
        <v>43167</v>
      </c>
      <c r="P2538">
        <v>0</v>
      </c>
      <c r="Q2538">
        <v>9</v>
      </c>
      <c r="R2538" t="s">
        <v>43170</v>
      </c>
      <c r="S2538" t="s">
        <v>43297</v>
      </c>
      <c r="T2538" t="s">
        <v>44919</v>
      </c>
      <c r="U2538" t="s">
        <v>47287</v>
      </c>
      <c r="W2538" t="s">
        <v>40330</v>
      </c>
      <c r="X2538" t="s">
        <v>43171</v>
      </c>
    </row>
    <row r="2539" spans="1:24">
      <c r="A2539">
        <f>HYPERLINK("https://www.philgeps.gov.ph/GEPSNONPILOT/Tender/SplashBidNoticeAbstractUI.aspx?menuIndex=3&amp;refID=7086359&amp;Result=3","7086359")</f>
        <v>0</v>
      </c>
      <c r="B2539" t="s">
        <v>1002</v>
      </c>
      <c r="C2539" t="s">
        <v>5846</v>
      </c>
      <c r="D2539" t="s">
        <v>17465</v>
      </c>
      <c r="E2539" t="s">
        <v>19728</v>
      </c>
      <c r="F2539" t="s">
        <v>30052</v>
      </c>
      <c r="G2539" t="s">
        <v>30059</v>
      </c>
      <c r="H2539" t="s">
        <v>15498</v>
      </c>
      <c r="I2539" t="s">
        <v>3606</v>
      </c>
      <c r="J2539" t="s">
        <v>31944</v>
      </c>
      <c r="K2539" t="s">
        <v>39034</v>
      </c>
      <c r="M2539" t="s">
        <v>40331</v>
      </c>
      <c r="N2539" t="s">
        <v>43166</v>
      </c>
      <c r="O2539" t="s">
        <v>43167</v>
      </c>
      <c r="P2539">
        <v>0</v>
      </c>
      <c r="Q2539">
        <v>0</v>
      </c>
      <c r="R2539" t="s">
        <v>43170</v>
      </c>
      <c r="S2539" t="s">
        <v>43297</v>
      </c>
      <c r="T2539" t="s">
        <v>44734</v>
      </c>
      <c r="U2539" t="s">
        <v>47288</v>
      </c>
      <c r="W2539" t="s">
        <v>40331</v>
      </c>
      <c r="X2539" t="s">
        <v>43171</v>
      </c>
    </row>
    <row r="2540" spans="1:24">
      <c r="A2540">
        <f>HYPERLINK("https://www.philgeps.gov.ph/GEPSNONPILOT/Tender/SplashBidNoticeAbstractUI.aspx?menuIndex=3&amp;refID=7086302&amp;Result=3","7086302")</f>
        <v>0</v>
      </c>
      <c r="B2540" t="s">
        <v>1003</v>
      </c>
      <c r="C2540" t="s">
        <v>5847</v>
      </c>
      <c r="D2540" t="s">
        <v>17437</v>
      </c>
      <c r="E2540" t="s">
        <v>19729</v>
      </c>
      <c r="F2540" t="s">
        <v>30052</v>
      </c>
      <c r="G2540" t="s">
        <v>30059</v>
      </c>
      <c r="H2540" t="s">
        <v>15498</v>
      </c>
      <c r="I2540" t="s">
        <v>30125</v>
      </c>
      <c r="J2540" t="s">
        <v>31945</v>
      </c>
      <c r="K2540" t="s">
        <v>39017</v>
      </c>
      <c r="M2540" t="s">
        <v>40332</v>
      </c>
      <c r="N2540" t="s">
        <v>43166</v>
      </c>
      <c r="O2540" t="s">
        <v>43167</v>
      </c>
      <c r="P2540">
        <v>0</v>
      </c>
      <c r="Q2540">
        <v>0</v>
      </c>
      <c r="R2540" t="s">
        <v>43170</v>
      </c>
      <c r="S2540" t="s">
        <v>43297</v>
      </c>
      <c r="T2540" t="s">
        <v>44698</v>
      </c>
      <c r="U2540" t="s">
        <v>47289</v>
      </c>
      <c r="V2540" t="s">
        <v>57121</v>
      </c>
      <c r="W2540" t="s">
        <v>40332</v>
      </c>
      <c r="X2540" t="s">
        <v>43171</v>
      </c>
    </row>
    <row r="2541" spans="1:24">
      <c r="A2541">
        <f>HYPERLINK("https://www.philgeps.gov.ph/GEPSNONPILOT/Tender/SplashBidNoticeAbstractUI.aspx?menuIndex=3&amp;refID=7086358&amp;Result=3","7086358")</f>
        <v>0</v>
      </c>
      <c r="B2541" t="s">
        <v>736</v>
      </c>
      <c r="C2541" t="s">
        <v>5848</v>
      </c>
      <c r="D2541" t="s">
        <v>17455</v>
      </c>
      <c r="E2541" t="s">
        <v>19730</v>
      </c>
      <c r="F2541" t="s">
        <v>30052</v>
      </c>
      <c r="G2541" t="s">
        <v>30061</v>
      </c>
      <c r="H2541" t="s">
        <v>15498</v>
      </c>
      <c r="I2541" t="s">
        <v>30074</v>
      </c>
      <c r="J2541" t="s">
        <v>31446</v>
      </c>
      <c r="K2541" t="s">
        <v>39025</v>
      </c>
      <c r="M2541" t="s">
        <v>40049</v>
      </c>
      <c r="N2541" t="s">
        <v>43166</v>
      </c>
      <c r="O2541" t="s">
        <v>43167</v>
      </c>
      <c r="P2541">
        <v>0</v>
      </c>
      <c r="Q2541">
        <v>2</v>
      </c>
      <c r="R2541" t="s">
        <v>43170</v>
      </c>
      <c r="S2541" t="s">
        <v>43297</v>
      </c>
      <c r="T2541" t="s">
        <v>44744</v>
      </c>
      <c r="U2541" t="s">
        <v>47290</v>
      </c>
      <c r="W2541" t="s">
        <v>40049</v>
      </c>
      <c r="X2541" t="s">
        <v>43171</v>
      </c>
    </row>
    <row r="2542" spans="1:24">
      <c r="A2542">
        <f>HYPERLINK("https://www.philgeps.gov.ph/GEPSNONPILOT/Tender/SplashBidNoticeAbstractUI.aspx?menuIndex=3&amp;refID=7086356&amp;Result=3","7086356")</f>
        <v>0</v>
      </c>
      <c r="B2542" t="s">
        <v>698</v>
      </c>
      <c r="C2542" t="s">
        <v>5849</v>
      </c>
      <c r="D2542" t="s">
        <v>17440</v>
      </c>
      <c r="E2542" t="s">
        <v>19731</v>
      </c>
      <c r="F2542" t="s">
        <v>30052</v>
      </c>
      <c r="G2542" t="s">
        <v>30058</v>
      </c>
      <c r="H2542" t="s">
        <v>15498</v>
      </c>
      <c r="I2542" t="s">
        <v>30076</v>
      </c>
      <c r="J2542" t="s">
        <v>31946</v>
      </c>
      <c r="K2542" t="s">
        <v>39037</v>
      </c>
      <c r="M2542" t="s">
        <v>40006</v>
      </c>
      <c r="N2542" t="s">
        <v>43166</v>
      </c>
      <c r="O2542" t="s">
        <v>43167</v>
      </c>
      <c r="P2542">
        <v>0</v>
      </c>
      <c r="Q2542">
        <v>1</v>
      </c>
      <c r="R2542" t="s">
        <v>43170</v>
      </c>
      <c r="S2542" t="s">
        <v>43297</v>
      </c>
      <c r="T2542" t="s">
        <v>44721</v>
      </c>
      <c r="U2542" t="s">
        <v>47291</v>
      </c>
      <c r="W2542" t="s">
        <v>40006</v>
      </c>
      <c r="X2542" t="s">
        <v>43171</v>
      </c>
    </row>
    <row r="2543" spans="1:24">
      <c r="A2543">
        <f>HYPERLINK("https://www.philgeps.gov.ph/GEPSNONPILOT/Tender/SplashBidNoticeAbstractUI.aspx?menuIndex=3&amp;refID=7086328&amp;Result=3","7086328")</f>
        <v>0</v>
      </c>
      <c r="B2543" t="s">
        <v>236</v>
      </c>
      <c r="C2543" t="s">
        <v>5850</v>
      </c>
      <c r="D2543" t="s">
        <v>17427</v>
      </c>
      <c r="E2543" t="s">
        <v>19732</v>
      </c>
      <c r="F2543" t="s">
        <v>30052</v>
      </c>
      <c r="G2543" t="s">
        <v>30059</v>
      </c>
      <c r="H2543" t="s">
        <v>15498</v>
      </c>
      <c r="I2543" t="s">
        <v>30087</v>
      </c>
      <c r="J2543" t="s">
        <v>31947</v>
      </c>
      <c r="K2543" t="s">
        <v>39019</v>
      </c>
      <c r="M2543" t="s">
        <v>39920</v>
      </c>
      <c r="N2543" t="s">
        <v>43166</v>
      </c>
      <c r="O2543" t="s">
        <v>43167</v>
      </c>
      <c r="P2543">
        <v>0</v>
      </c>
      <c r="Q2543">
        <v>1</v>
      </c>
      <c r="R2543" t="s">
        <v>43170</v>
      </c>
      <c r="S2543" t="s">
        <v>43297</v>
      </c>
      <c r="T2543" t="s">
        <v>44773</v>
      </c>
      <c r="U2543" t="s">
        <v>47292</v>
      </c>
      <c r="V2543" t="s">
        <v>45722</v>
      </c>
      <c r="W2543" t="s">
        <v>39920</v>
      </c>
      <c r="X2543" t="s">
        <v>43171</v>
      </c>
    </row>
    <row r="2544" spans="1:24">
      <c r="A2544">
        <f>HYPERLINK("https://www.philgeps.gov.ph/GEPSNONPILOT/Tender/SplashBidNoticeAbstractUI.aspx?menuIndex=3&amp;refID=7086365&amp;Result=3","7086365")</f>
        <v>0</v>
      </c>
      <c r="B2544" t="s">
        <v>1004</v>
      </c>
      <c r="C2544" t="s">
        <v>5851</v>
      </c>
      <c r="D2544" t="s">
        <v>17454</v>
      </c>
      <c r="E2544" t="s">
        <v>19733</v>
      </c>
      <c r="F2544" t="s">
        <v>30052</v>
      </c>
      <c r="G2544" t="s">
        <v>30059</v>
      </c>
      <c r="H2544" t="s">
        <v>15498</v>
      </c>
      <c r="I2544" t="s">
        <v>3606</v>
      </c>
      <c r="J2544" t="s">
        <v>31344</v>
      </c>
      <c r="K2544" t="s">
        <v>39029</v>
      </c>
      <c r="M2544" t="s">
        <v>40333</v>
      </c>
      <c r="N2544" t="s">
        <v>43166</v>
      </c>
      <c r="O2544" t="s">
        <v>43167</v>
      </c>
      <c r="P2544">
        <v>0</v>
      </c>
      <c r="Q2544">
        <v>6</v>
      </c>
      <c r="R2544" t="s">
        <v>43170</v>
      </c>
      <c r="S2544" t="s">
        <v>43297</v>
      </c>
      <c r="T2544" t="s">
        <v>44705</v>
      </c>
      <c r="U2544" t="s">
        <v>47293</v>
      </c>
      <c r="W2544" t="s">
        <v>40333</v>
      </c>
      <c r="X2544" t="s">
        <v>43171</v>
      </c>
    </row>
    <row r="2545" spans="1:24">
      <c r="A2545">
        <f>HYPERLINK("https://www.philgeps.gov.ph/GEPSNONPILOT/Tender/SplashBidNoticeAbstractUI.aspx?menuIndex=3&amp;refID=7086309&amp;Result=3","7086309")</f>
        <v>0</v>
      </c>
      <c r="B2545" t="s">
        <v>881</v>
      </c>
      <c r="C2545" t="s">
        <v>5852</v>
      </c>
      <c r="E2545" t="s">
        <v>5852</v>
      </c>
      <c r="F2545" t="s">
        <v>30052</v>
      </c>
      <c r="G2545" t="s">
        <v>30059</v>
      </c>
      <c r="H2545" t="s">
        <v>15498</v>
      </c>
      <c r="I2545" t="s">
        <v>30076</v>
      </c>
      <c r="J2545" t="s">
        <v>31948</v>
      </c>
      <c r="K2545" t="s">
        <v>39025</v>
      </c>
      <c r="M2545" t="s">
        <v>40200</v>
      </c>
      <c r="N2545" t="s">
        <v>43166</v>
      </c>
      <c r="O2545" t="s">
        <v>43167</v>
      </c>
      <c r="P2545">
        <v>0</v>
      </c>
      <c r="Q2545">
        <v>0</v>
      </c>
      <c r="R2545" t="s">
        <v>43170</v>
      </c>
      <c r="S2545" t="s">
        <v>43297</v>
      </c>
      <c r="T2545" t="s">
        <v>44777</v>
      </c>
      <c r="U2545" t="s">
        <v>46681</v>
      </c>
      <c r="W2545" t="s">
        <v>40200</v>
      </c>
      <c r="X2545" t="s">
        <v>43171</v>
      </c>
    </row>
    <row r="2546" spans="1:24">
      <c r="A2546">
        <f>HYPERLINK("https://www.philgeps.gov.ph/GEPSNONPILOT/Tender/SplashBidNoticeAbstractUI.aspx?menuIndex=3&amp;refID=7086293&amp;Result=3","7086293")</f>
        <v>0</v>
      </c>
      <c r="B2546" t="s">
        <v>703</v>
      </c>
      <c r="C2546" t="s">
        <v>5853</v>
      </c>
      <c r="D2546" t="s">
        <v>17445</v>
      </c>
      <c r="E2546" t="s">
        <v>19734</v>
      </c>
      <c r="F2546" t="s">
        <v>30052</v>
      </c>
      <c r="G2546" t="s">
        <v>30058</v>
      </c>
      <c r="H2546" t="s">
        <v>30067</v>
      </c>
      <c r="I2546" t="s">
        <v>3693</v>
      </c>
      <c r="J2546" t="s">
        <v>31835</v>
      </c>
      <c r="K2546" t="s">
        <v>39057</v>
      </c>
      <c r="M2546" t="s">
        <v>40012</v>
      </c>
      <c r="N2546" t="s">
        <v>43166</v>
      </c>
      <c r="O2546" t="s">
        <v>43167</v>
      </c>
      <c r="P2546">
        <v>0</v>
      </c>
      <c r="Q2546">
        <v>0</v>
      </c>
      <c r="R2546" t="s">
        <v>43170</v>
      </c>
      <c r="S2546" t="s">
        <v>43297</v>
      </c>
      <c r="T2546" t="s">
        <v>44877</v>
      </c>
      <c r="U2546" t="s">
        <v>47273</v>
      </c>
      <c r="W2546" t="s">
        <v>40012</v>
      </c>
      <c r="X2546" t="s">
        <v>43171</v>
      </c>
    </row>
    <row r="2547" spans="1:24">
      <c r="A2547">
        <f>HYPERLINK("https://www.philgeps.gov.ph/GEPSNONPILOT/Tender/SplashBidNoticeAbstractUI.aspx?menuIndex=3&amp;refID=7086366&amp;Result=3","7086366")</f>
        <v>0</v>
      </c>
      <c r="B2547" t="s">
        <v>985</v>
      </c>
      <c r="C2547" t="s">
        <v>5854</v>
      </c>
      <c r="D2547" t="s">
        <v>17456</v>
      </c>
      <c r="E2547" t="s">
        <v>19735</v>
      </c>
      <c r="F2547" t="s">
        <v>30052</v>
      </c>
      <c r="G2547" t="s">
        <v>30059</v>
      </c>
      <c r="H2547" t="s">
        <v>15498</v>
      </c>
      <c r="I2547" t="s">
        <v>3736</v>
      </c>
      <c r="J2547" t="s">
        <v>31949</v>
      </c>
      <c r="K2547" t="s">
        <v>39017</v>
      </c>
      <c r="M2547" t="s">
        <v>40312</v>
      </c>
      <c r="N2547" t="s">
        <v>43166</v>
      </c>
      <c r="O2547" t="s">
        <v>43167</v>
      </c>
      <c r="P2547">
        <v>0</v>
      </c>
      <c r="Q2547">
        <v>0</v>
      </c>
      <c r="R2547" t="s">
        <v>43170</v>
      </c>
      <c r="S2547" t="s">
        <v>43297</v>
      </c>
      <c r="T2547" t="s">
        <v>44728</v>
      </c>
      <c r="U2547" t="s">
        <v>47246</v>
      </c>
      <c r="W2547" t="s">
        <v>40312</v>
      </c>
      <c r="X2547" t="s">
        <v>43171</v>
      </c>
    </row>
    <row r="2548" spans="1:24">
      <c r="A2548">
        <f>HYPERLINK("https://www.philgeps.gov.ph/GEPSNONPILOT/Tender/SplashBidNoticeAbstractUI.aspx?menuIndex=3&amp;refID=7086353&amp;Result=3","7086353")</f>
        <v>0</v>
      </c>
      <c r="B2548" t="s">
        <v>415</v>
      </c>
      <c r="C2548" t="s">
        <v>5855</v>
      </c>
      <c r="D2548" t="s">
        <v>17472</v>
      </c>
      <c r="E2548" t="s">
        <v>18363</v>
      </c>
      <c r="F2548" t="s">
        <v>30052</v>
      </c>
      <c r="G2548" t="s">
        <v>30061</v>
      </c>
      <c r="H2548" t="s">
        <v>15498</v>
      </c>
      <c r="I2548" t="s">
        <v>3693</v>
      </c>
      <c r="J2548" t="s">
        <v>31915</v>
      </c>
      <c r="K2548" t="s">
        <v>39034</v>
      </c>
      <c r="M2548" t="s">
        <v>39714</v>
      </c>
      <c r="N2548" t="s">
        <v>43166</v>
      </c>
      <c r="O2548" t="s">
        <v>43167</v>
      </c>
      <c r="P2548">
        <v>0</v>
      </c>
      <c r="Q2548">
        <v>0</v>
      </c>
      <c r="R2548" t="s">
        <v>43170</v>
      </c>
      <c r="S2548" t="s">
        <v>43297</v>
      </c>
      <c r="T2548" t="s">
        <v>44685</v>
      </c>
      <c r="U2548" t="s">
        <v>47257</v>
      </c>
      <c r="W2548" t="s">
        <v>39714</v>
      </c>
      <c r="X2548" t="s">
        <v>43171</v>
      </c>
    </row>
    <row r="2549" spans="1:24">
      <c r="A2549">
        <f>HYPERLINK("https://www.philgeps.gov.ph/GEPSNONPILOT/Tender/SplashBidNoticeAbstractUI.aspx?menuIndex=3&amp;refID=7086364&amp;Result=3","7086364")</f>
        <v>0</v>
      </c>
      <c r="B2549" t="s">
        <v>1005</v>
      </c>
      <c r="C2549" t="s">
        <v>4272</v>
      </c>
      <c r="D2549" t="s">
        <v>17459</v>
      </c>
      <c r="E2549" t="s">
        <v>19736</v>
      </c>
      <c r="F2549" t="s">
        <v>30052</v>
      </c>
      <c r="G2549" t="s">
        <v>30059</v>
      </c>
      <c r="H2549" t="s">
        <v>15498</v>
      </c>
      <c r="I2549" t="s">
        <v>30085</v>
      </c>
      <c r="J2549" t="s">
        <v>31950</v>
      </c>
      <c r="K2549" t="s">
        <v>39034</v>
      </c>
      <c r="M2549" t="s">
        <v>40334</v>
      </c>
      <c r="N2549" t="s">
        <v>43166</v>
      </c>
      <c r="O2549" t="s">
        <v>43167</v>
      </c>
      <c r="P2549">
        <v>0</v>
      </c>
      <c r="Q2549">
        <v>3</v>
      </c>
      <c r="R2549" t="s">
        <v>43170</v>
      </c>
      <c r="S2549" t="s">
        <v>43297</v>
      </c>
      <c r="T2549" t="s">
        <v>44841</v>
      </c>
      <c r="U2549" t="s">
        <v>47294</v>
      </c>
      <c r="W2549" t="s">
        <v>40334</v>
      </c>
      <c r="X2549" t="s">
        <v>43171</v>
      </c>
    </row>
    <row r="2550" spans="1:24">
      <c r="A2550">
        <f>HYPERLINK("https://www.philgeps.gov.ph/GEPSNONPILOT/Tender/SplashBidNoticeAbstractUI.aspx?menuIndex=3&amp;refID=7086349&amp;Result=3","7086349")</f>
        <v>0</v>
      </c>
      <c r="B2550" t="s">
        <v>521</v>
      </c>
      <c r="C2550" t="s">
        <v>5856</v>
      </c>
      <c r="D2550" t="s">
        <v>17415</v>
      </c>
      <c r="E2550" t="s">
        <v>19737</v>
      </c>
      <c r="F2550" t="s">
        <v>30052</v>
      </c>
      <c r="G2550" t="s">
        <v>30061</v>
      </c>
      <c r="H2550" t="s">
        <v>15498</v>
      </c>
      <c r="I2550" t="s">
        <v>4650</v>
      </c>
      <c r="J2550" t="s">
        <v>30218</v>
      </c>
      <c r="K2550" t="s">
        <v>39019</v>
      </c>
      <c r="M2550" t="s">
        <v>39823</v>
      </c>
      <c r="N2550" t="s">
        <v>43166</v>
      </c>
      <c r="O2550" t="s">
        <v>43167</v>
      </c>
      <c r="P2550">
        <v>0</v>
      </c>
      <c r="Q2550">
        <v>12</v>
      </c>
      <c r="R2550" t="s">
        <v>43170</v>
      </c>
      <c r="S2550" t="s">
        <v>43297</v>
      </c>
      <c r="T2550" t="s">
        <v>44856</v>
      </c>
      <c r="U2550" t="s">
        <v>47295</v>
      </c>
      <c r="W2550" t="s">
        <v>39823</v>
      </c>
      <c r="X2550" t="s">
        <v>43171</v>
      </c>
    </row>
    <row r="2551" spans="1:24">
      <c r="A2551">
        <f>HYPERLINK("https://www.philgeps.gov.ph/GEPSNONPILOT/Tender/SplashBidNoticeAbstractUI.aspx?menuIndex=3&amp;refID=7086348&amp;Result=3","7086348")</f>
        <v>0</v>
      </c>
      <c r="B2551" t="s">
        <v>1006</v>
      </c>
      <c r="C2551" t="s">
        <v>5857</v>
      </c>
      <c r="D2551" t="s">
        <v>17424</v>
      </c>
      <c r="E2551" t="s">
        <v>19738</v>
      </c>
      <c r="F2551" t="s">
        <v>30052</v>
      </c>
      <c r="G2551" t="s">
        <v>30062</v>
      </c>
      <c r="H2551" t="s">
        <v>15498</v>
      </c>
      <c r="I2551" t="s">
        <v>4119</v>
      </c>
      <c r="J2551" t="s">
        <v>31951</v>
      </c>
      <c r="K2551" t="s">
        <v>39019</v>
      </c>
      <c r="M2551" t="s">
        <v>40335</v>
      </c>
      <c r="N2551" t="s">
        <v>43166</v>
      </c>
      <c r="O2551" t="s">
        <v>43167</v>
      </c>
      <c r="P2551">
        <v>0</v>
      </c>
      <c r="Q2551">
        <v>1</v>
      </c>
      <c r="R2551" t="s">
        <v>43170</v>
      </c>
      <c r="S2551" t="s">
        <v>43297</v>
      </c>
      <c r="T2551" t="s">
        <v>44681</v>
      </c>
      <c r="U2551" t="s">
        <v>47296</v>
      </c>
      <c r="W2551" t="s">
        <v>40335</v>
      </c>
      <c r="X2551" t="s">
        <v>43171</v>
      </c>
    </row>
    <row r="2552" spans="1:24">
      <c r="A2552">
        <f>HYPERLINK("https://www.philgeps.gov.ph/GEPSNONPILOT/Tender/SplashBidNoticeAbstractUI.aspx?menuIndex=3&amp;refID=7086345&amp;Result=3","7086345")</f>
        <v>0</v>
      </c>
      <c r="B2552" t="s">
        <v>415</v>
      </c>
      <c r="C2552" t="s">
        <v>5858</v>
      </c>
      <c r="D2552" t="s">
        <v>17472</v>
      </c>
      <c r="E2552" t="s">
        <v>18363</v>
      </c>
      <c r="F2552" t="s">
        <v>30052</v>
      </c>
      <c r="G2552" t="s">
        <v>30061</v>
      </c>
      <c r="H2552" t="s">
        <v>15498</v>
      </c>
      <c r="I2552" t="s">
        <v>3693</v>
      </c>
      <c r="J2552" t="s">
        <v>31915</v>
      </c>
      <c r="K2552" t="s">
        <v>39034</v>
      </c>
      <c r="M2552" t="s">
        <v>39714</v>
      </c>
      <c r="N2552" t="s">
        <v>43166</v>
      </c>
      <c r="O2552" t="s">
        <v>43167</v>
      </c>
      <c r="P2552">
        <v>0</v>
      </c>
      <c r="Q2552">
        <v>0</v>
      </c>
      <c r="R2552" t="s">
        <v>43170</v>
      </c>
      <c r="S2552" t="s">
        <v>43297</v>
      </c>
      <c r="T2552" t="s">
        <v>44685</v>
      </c>
      <c r="U2552" t="s">
        <v>47257</v>
      </c>
      <c r="W2552" t="s">
        <v>39714</v>
      </c>
      <c r="X2552" t="s">
        <v>43171</v>
      </c>
    </row>
    <row r="2553" spans="1:24">
      <c r="A2553">
        <f>HYPERLINK("https://www.philgeps.gov.ph/GEPSNONPILOT/Tender/SplashBidNoticeAbstractUI.aspx?menuIndex=3&amp;refID=7086337&amp;Result=3","7086337")</f>
        <v>0</v>
      </c>
      <c r="B2553" t="s">
        <v>415</v>
      </c>
      <c r="C2553" t="s">
        <v>5859</v>
      </c>
      <c r="D2553" t="s">
        <v>17472</v>
      </c>
      <c r="E2553" t="s">
        <v>18363</v>
      </c>
      <c r="F2553" t="s">
        <v>30052</v>
      </c>
      <c r="G2553" t="s">
        <v>30061</v>
      </c>
      <c r="H2553" t="s">
        <v>15498</v>
      </c>
      <c r="I2553" t="s">
        <v>3693</v>
      </c>
      <c r="J2553" t="s">
        <v>31915</v>
      </c>
      <c r="K2553" t="s">
        <v>39034</v>
      </c>
      <c r="M2553" t="s">
        <v>39714</v>
      </c>
      <c r="N2553" t="s">
        <v>43166</v>
      </c>
      <c r="O2553" t="s">
        <v>43167</v>
      </c>
      <c r="P2553">
        <v>0</v>
      </c>
      <c r="Q2553">
        <v>0</v>
      </c>
      <c r="R2553" t="s">
        <v>43170</v>
      </c>
      <c r="S2553" t="s">
        <v>43297</v>
      </c>
      <c r="T2553" t="s">
        <v>44685</v>
      </c>
      <c r="U2553" t="s">
        <v>47257</v>
      </c>
      <c r="W2553" t="s">
        <v>39714</v>
      </c>
      <c r="X2553" t="s">
        <v>43171</v>
      </c>
    </row>
    <row r="2554" spans="1:24">
      <c r="A2554">
        <f>HYPERLINK("https://www.philgeps.gov.ph/GEPSNONPILOT/Tender/SplashBidNoticeAbstractUI.aspx?menuIndex=3&amp;refID=7086352&amp;Result=3","7086352")</f>
        <v>0</v>
      </c>
      <c r="B2554" t="s">
        <v>1007</v>
      </c>
      <c r="C2554" t="s">
        <v>5860</v>
      </c>
      <c r="D2554" t="s">
        <v>17461</v>
      </c>
      <c r="E2554" t="s">
        <v>19739</v>
      </c>
      <c r="F2554" t="s">
        <v>30052</v>
      </c>
      <c r="G2554" t="s">
        <v>30061</v>
      </c>
      <c r="H2554" t="s">
        <v>15498</v>
      </c>
      <c r="I2554" t="s">
        <v>30105</v>
      </c>
      <c r="J2554" t="s">
        <v>31952</v>
      </c>
      <c r="K2554" t="s">
        <v>39025</v>
      </c>
      <c r="M2554" t="s">
        <v>40336</v>
      </c>
      <c r="N2554" t="s">
        <v>43166</v>
      </c>
      <c r="O2554" t="s">
        <v>43167</v>
      </c>
      <c r="P2554">
        <v>0</v>
      </c>
      <c r="Q2554">
        <v>2</v>
      </c>
      <c r="R2554" t="s">
        <v>43170</v>
      </c>
      <c r="S2554" t="s">
        <v>43297</v>
      </c>
      <c r="T2554" t="s">
        <v>44764</v>
      </c>
      <c r="U2554" t="s">
        <v>47297</v>
      </c>
      <c r="W2554" t="s">
        <v>40336</v>
      </c>
      <c r="X2554" t="s">
        <v>43171</v>
      </c>
    </row>
    <row r="2555" spans="1:24">
      <c r="A2555">
        <f>HYPERLINK("https://www.philgeps.gov.ph/GEPSNONPILOT/Tender/SplashBidNoticeAbstractUI.aspx?menuIndex=3&amp;refID=7086360&amp;Result=3","7086360")</f>
        <v>0</v>
      </c>
      <c r="B2555" t="s">
        <v>1008</v>
      </c>
      <c r="C2555" t="s">
        <v>5861</v>
      </c>
      <c r="D2555" t="s">
        <v>17415</v>
      </c>
      <c r="E2555" t="s">
        <v>19740</v>
      </c>
      <c r="F2555" t="s">
        <v>30052</v>
      </c>
      <c r="G2555" t="s">
        <v>30059</v>
      </c>
      <c r="H2555" t="s">
        <v>15498</v>
      </c>
      <c r="I2555" t="s">
        <v>30081</v>
      </c>
      <c r="J2555" t="s">
        <v>31189</v>
      </c>
      <c r="K2555" t="s">
        <v>39019</v>
      </c>
      <c r="M2555" t="s">
        <v>40337</v>
      </c>
      <c r="N2555" t="s">
        <v>43166</v>
      </c>
      <c r="O2555" t="s">
        <v>43167</v>
      </c>
      <c r="P2555">
        <v>0</v>
      </c>
      <c r="Q2555">
        <v>0</v>
      </c>
      <c r="R2555" t="s">
        <v>43170</v>
      </c>
      <c r="S2555" t="s">
        <v>43297</v>
      </c>
      <c r="T2555" t="s">
        <v>44844</v>
      </c>
      <c r="U2555" t="s">
        <v>47298</v>
      </c>
      <c r="V2555" t="s">
        <v>57122</v>
      </c>
      <c r="W2555" t="s">
        <v>40337</v>
      </c>
      <c r="X2555" t="s">
        <v>43171</v>
      </c>
    </row>
    <row r="2556" spans="1:24">
      <c r="A2556">
        <f>HYPERLINK("https://www.philgeps.gov.ph/GEPSNONPILOT/Tender/SplashBidNoticeAbstractUI.aspx?menuIndex=3&amp;refID=7086334&amp;Result=3","7086334")</f>
        <v>0</v>
      </c>
      <c r="B2556" t="s">
        <v>1009</v>
      </c>
      <c r="C2556" t="s">
        <v>5862</v>
      </c>
      <c r="D2556" t="s">
        <v>17474</v>
      </c>
      <c r="E2556" t="s">
        <v>19741</v>
      </c>
      <c r="F2556" t="s">
        <v>30052</v>
      </c>
      <c r="G2556" t="s">
        <v>30058</v>
      </c>
      <c r="H2556" t="s">
        <v>30067</v>
      </c>
      <c r="I2556" t="s">
        <v>3693</v>
      </c>
      <c r="J2556" t="s">
        <v>30277</v>
      </c>
      <c r="K2556" t="s">
        <v>39029</v>
      </c>
      <c r="M2556" t="s">
        <v>40338</v>
      </c>
      <c r="N2556" t="s">
        <v>43166</v>
      </c>
      <c r="O2556" t="s">
        <v>43167</v>
      </c>
      <c r="P2556">
        <v>0</v>
      </c>
      <c r="Q2556">
        <v>2</v>
      </c>
      <c r="R2556" t="s">
        <v>43170</v>
      </c>
      <c r="S2556" t="s">
        <v>43297</v>
      </c>
      <c r="T2556" t="s">
        <v>44807</v>
      </c>
      <c r="U2556" t="s">
        <v>47299</v>
      </c>
      <c r="W2556" t="s">
        <v>40338</v>
      </c>
      <c r="X2556" t="s">
        <v>43171</v>
      </c>
    </row>
    <row r="2557" spans="1:24">
      <c r="A2557">
        <f>HYPERLINK("https://www.philgeps.gov.ph/GEPSNONPILOT/Tender/SplashBidNoticeAbstractUI.aspx?menuIndex=3&amp;refID=7086301&amp;Result=3","7086301")</f>
        <v>0</v>
      </c>
      <c r="B2557" t="s">
        <v>1010</v>
      </c>
      <c r="C2557" t="s">
        <v>5863</v>
      </c>
      <c r="D2557" t="s">
        <v>17464</v>
      </c>
      <c r="E2557" t="s">
        <v>19742</v>
      </c>
      <c r="F2557" t="s">
        <v>30052</v>
      </c>
      <c r="G2557" t="s">
        <v>30059</v>
      </c>
      <c r="H2557" t="s">
        <v>15498</v>
      </c>
      <c r="I2557" t="s">
        <v>30085</v>
      </c>
      <c r="J2557" t="s">
        <v>30405</v>
      </c>
      <c r="K2557" t="s">
        <v>39036</v>
      </c>
      <c r="M2557" t="s">
        <v>40339</v>
      </c>
      <c r="N2557" t="s">
        <v>43166</v>
      </c>
      <c r="O2557" t="s">
        <v>43167</v>
      </c>
      <c r="P2557">
        <v>0</v>
      </c>
      <c r="Q2557">
        <v>4</v>
      </c>
      <c r="R2557" t="s">
        <v>43170</v>
      </c>
      <c r="S2557" t="s">
        <v>43297</v>
      </c>
      <c r="T2557" t="s">
        <v>44870</v>
      </c>
      <c r="U2557" t="s">
        <v>47300</v>
      </c>
      <c r="W2557" t="s">
        <v>40339</v>
      </c>
      <c r="X2557" t="s">
        <v>43171</v>
      </c>
    </row>
    <row r="2558" spans="1:24">
      <c r="A2558">
        <f>HYPERLINK("https://www.philgeps.gov.ph/GEPSNONPILOT/Tender/SplashBidNoticeAbstractUI.aspx?menuIndex=3&amp;refID=7086368&amp;Result=3","7086368")</f>
        <v>0</v>
      </c>
      <c r="B2558" t="s">
        <v>260</v>
      </c>
      <c r="C2558" t="s">
        <v>5864</v>
      </c>
      <c r="D2558" t="s">
        <v>17452</v>
      </c>
      <c r="E2558" t="s">
        <v>19743</v>
      </c>
      <c r="F2558" t="s">
        <v>30052</v>
      </c>
      <c r="G2558" t="s">
        <v>30059</v>
      </c>
      <c r="H2558" t="s">
        <v>15498</v>
      </c>
      <c r="I2558" t="s">
        <v>30070</v>
      </c>
      <c r="J2558" t="s">
        <v>31953</v>
      </c>
      <c r="K2558" t="s">
        <v>39037</v>
      </c>
      <c r="M2558" t="s">
        <v>40228</v>
      </c>
      <c r="N2558" t="s">
        <v>43166</v>
      </c>
      <c r="O2558" t="s">
        <v>43167</v>
      </c>
      <c r="P2558">
        <v>0</v>
      </c>
      <c r="Q2558">
        <v>4</v>
      </c>
      <c r="R2558" t="s">
        <v>43170</v>
      </c>
      <c r="S2558" t="s">
        <v>43297</v>
      </c>
      <c r="T2558" t="s">
        <v>44856</v>
      </c>
      <c r="U2558" t="s">
        <v>47002</v>
      </c>
      <c r="W2558" t="s">
        <v>40228</v>
      </c>
      <c r="X2558" t="s">
        <v>43171</v>
      </c>
    </row>
    <row r="2559" spans="1:24">
      <c r="A2559">
        <f>HYPERLINK("https://www.philgeps.gov.ph/GEPSNONPILOT/Tender/SplashBidNoticeAbstractUI.aspx?menuIndex=3&amp;refID=7086398&amp;Result=3","7086398")</f>
        <v>0</v>
      </c>
      <c r="B2559" t="s">
        <v>537</v>
      </c>
      <c r="C2559" t="s">
        <v>5865</v>
      </c>
      <c r="D2559" t="s">
        <v>17456</v>
      </c>
      <c r="E2559" t="s">
        <v>19744</v>
      </c>
      <c r="F2559" t="s">
        <v>30052</v>
      </c>
      <c r="G2559" t="s">
        <v>30059</v>
      </c>
      <c r="H2559" t="s">
        <v>15498</v>
      </c>
      <c r="I2559" t="s">
        <v>30076</v>
      </c>
      <c r="J2559" t="s">
        <v>31954</v>
      </c>
      <c r="K2559" t="s">
        <v>39034</v>
      </c>
      <c r="M2559" t="s">
        <v>39839</v>
      </c>
      <c r="N2559" t="s">
        <v>43166</v>
      </c>
      <c r="O2559" t="s">
        <v>43167</v>
      </c>
      <c r="P2559">
        <v>0</v>
      </c>
      <c r="Q2559">
        <v>3</v>
      </c>
      <c r="R2559" t="s">
        <v>43170</v>
      </c>
      <c r="S2559" t="s">
        <v>43297</v>
      </c>
      <c r="T2559" t="s">
        <v>44837</v>
      </c>
      <c r="U2559" t="s">
        <v>47301</v>
      </c>
      <c r="V2559" t="s">
        <v>56968</v>
      </c>
      <c r="W2559" t="s">
        <v>39839</v>
      </c>
      <c r="X2559" t="s">
        <v>43171</v>
      </c>
    </row>
    <row r="2560" spans="1:24">
      <c r="A2560">
        <f>HYPERLINK("https://www.philgeps.gov.ph/GEPSNONPILOT/Tender/SplashBidNoticeAbstractUI.aspx?menuIndex=3&amp;refID=7086393&amp;Result=3","7086393")</f>
        <v>0</v>
      </c>
      <c r="B2560" t="s">
        <v>1011</v>
      </c>
      <c r="C2560" t="s">
        <v>5866</v>
      </c>
      <c r="D2560" t="s">
        <v>17476</v>
      </c>
      <c r="E2560" t="s">
        <v>19745</v>
      </c>
      <c r="F2560" t="s">
        <v>30052</v>
      </c>
      <c r="G2560" t="s">
        <v>30061</v>
      </c>
      <c r="H2560" t="s">
        <v>15498</v>
      </c>
      <c r="I2560" t="s">
        <v>4642</v>
      </c>
      <c r="J2560" t="s">
        <v>31955</v>
      </c>
      <c r="K2560" t="s">
        <v>39029</v>
      </c>
      <c r="M2560" t="s">
        <v>40340</v>
      </c>
      <c r="N2560" t="s">
        <v>43166</v>
      </c>
      <c r="O2560" t="s">
        <v>43167</v>
      </c>
      <c r="P2560">
        <v>0</v>
      </c>
      <c r="Q2560">
        <v>1</v>
      </c>
      <c r="R2560" t="s">
        <v>43170</v>
      </c>
      <c r="S2560" t="s">
        <v>43297</v>
      </c>
      <c r="T2560" t="s">
        <v>44710</v>
      </c>
      <c r="U2560" t="s">
        <v>47302</v>
      </c>
      <c r="W2560" t="s">
        <v>40340</v>
      </c>
      <c r="X2560" t="s">
        <v>43171</v>
      </c>
    </row>
    <row r="2561" spans="1:24">
      <c r="A2561">
        <f>HYPERLINK("https://www.philgeps.gov.ph/GEPSNONPILOT/Tender/SplashBidNoticeAbstractUI.aspx?menuIndex=3&amp;refID=7086342&amp;Result=3","7086342")</f>
        <v>0</v>
      </c>
      <c r="B2561" t="s">
        <v>985</v>
      </c>
      <c r="C2561" t="s">
        <v>5867</v>
      </c>
      <c r="D2561" t="s">
        <v>17456</v>
      </c>
      <c r="E2561" t="s">
        <v>19746</v>
      </c>
      <c r="F2561" t="s">
        <v>30052</v>
      </c>
      <c r="G2561" t="s">
        <v>30059</v>
      </c>
      <c r="H2561" t="s">
        <v>15498</v>
      </c>
      <c r="I2561" t="s">
        <v>3736</v>
      </c>
      <c r="J2561" t="s">
        <v>31956</v>
      </c>
      <c r="K2561" t="s">
        <v>39017</v>
      </c>
      <c r="M2561" t="s">
        <v>40312</v>
      </c>
      <c r="N2561" t="s">
        <v>43166</v>
      </c>
      <c r="O2561" t="s">
        <v>43167</v>
      </c>
      <c r="P2561">
        <v>0</v>
      </c>
      <c r="Q2561">
        <v>0</v>
      </c>
      <c r="R2561" t="s">
        <v>43170</v>
      </c>
      <c r="S2561" t="s">
        <v>43297</v>
      </c>
      <c r="T2561" t="s">
        <v>44728</v>
      </c>
      <c r="U2561" t="s">
        <v>47303</v>
      </c>
      <c r="W2561" t="s">
        <v>40312</v>
      </c>
      <c r="X2561" t="s">
        <v>43171</v>
      </c>
    </row>
    <row r="2562" spans="1:24">
      <c r="A2562">
        <f>HYPERLINK("https://www.philgeps.gov.ph/GEPSNONPILOT/Tender/SplashBidNoticeAbstractUI.aspx?menuIndex=3&amp;refID=7086411&amp;Result=3","7086411")</f>
        <v>0</v>
      </c>
      <c r="B2562" t="s">
        <v>617</v>
      </c>
      <c r="C2562" t="s">
        <v>5868</v>
      </c>
      <c r="D2562" t="s">
        <v>17486</v>
      </c>
      <c r="E2562" t="s">
        <v>19747</v>
      </c>
      <c r="F2562" t="s">
        <v>30052</v>
      </c>
      <c r="G2562" t="s">
        <v>30059</v>
      </c>
      <c r="H2562" t="s">
        <v>15498</v>
      </c>
      <c r="I2562" t="s">
        <v>5961</v>
      </c>
      <c r="J2562" t="s">
        <v>31957</v>
      </c>
      <c r="K2562" t="s">
        <v>39017</v>
      </c>
      <c r="M2562" t="s">
        <v>39919</v>
      </c>
      <c r="N2562" t="s">
        <v>43166</v>
      </c>
      <c r="O2562" t="s">
        <v>43167</v>
      </c>
      <c r="P2562">
        <v>0</v>
      </c>
      <c r="Q2562">
        <v>7</v>
      </c>
      <c r="R2562" t="s">
        <v>43170</v>
      </c>
      <c r="S2562" t="s">
        <v>43297</v>
      </c>
      <c r="T2562" t="s">
        <v>44718</v>
      </c>
      <c r="U2562" t="s">
        <v>47304</v>
      </c>
      <c r="W2562" t="s">
        <v>39919</v>
      </c>
      <c r="X2562" t="s">
        <v>43171</v>
      </c>
    </row>
    <row r="2563" spans="1:24">
      <c r="A2563">
        <f>HYPERLINK("https://www.philgeps.gov.ph/GEPSNONPILOT/Tender/SplashBidNoticeAbstractUI.aspx?menuIndex=3&amp;refID=7086410&amp;Result=3","7086410")</f>
        <v>0</v>
      </c>
      <c r="B2563" t="s">
        <v>415</v>
      </c>
      <c r="C2563" t="s">
        <v>5869</v>
      </c>
      <c r="D2563" t="s">
        <v>17472</v>
      </c>
      <c r="E2563" t="s">
        <v>18363</v>
      </c>
      <c r="F2563" t="s">
        <v>30052</v>
      </c>
      <c r="G2563" t="s">
        <v>30061</v>
      </c>
      <c r="H2563" t="s">
        <v>15498</v>
      </c>
      <c r="I2563" t="s">
        <v>3693</v>
      </c>
      <c r="J2563" t="s">
        <v>31915</v>
      </c>
      <c r="K2563" t="s">
        <v>39034</v>
      </c>
      <c r="M2563" t="s">
        <v>39714</v>
      </c>
      <c r="N2563" t="s">
        <v>43166</v>
      </c>
      <c r="O2563" t="s">
        <v>43167</v>
      </c>
      <c r="P2563">
        <v>0</v>
      </c>
      <c r="Q2563">
        <v>0</v>
      </c>
      <c r="R2563" t="s">
        <v>43170</v>
      </c>
      <c r="S2563" t="s">
        <v>43297</v>
      </c>
      <c r="T2563" t="s">
        <v>44685</v>
      </c>
      <c r="U2563" t="s">
        <v>47257</v>
      </c>
      <c r="W2563" t="s">
        <v>39714</v>
      </c>
      <c r="X2563" t="s">
        <v>43171</v>
      </c>
    </row>
    <row r="2564" spans="1:24">
      <c r="A2564">
        <f>HYPERLINK("https://www.philgeps.gov.ph/GEPSNONPILOT/Tender/SplashBidNoticeAbstractUI.aspx?menuIndex=3&amp;refID=7086404&amp;Result=3","7086404")</f>
        <v>0</v>
      </c>
      <c r="B2564" t="s">
        <v>236</v>
      </c>
      <c r="C2564" t="s">
        <v>5870</v>
      </c>
      <c r="D2564" t="s">
        <v>17427</v>
      </c>
      <c r="E2564" t="s">
        <v>19748</v>
      </c>
      <c r="F2564" t="s">
        <v>30052</v>
      </c>
      <c r="G2564" t="s">
        <v>30059</v>
      </c>
      <c r="H2564" t="s">
        <v>15498</v>
      </c>
      <c r="I2564" t="s">
        <v>30087</v>
      </c>
      <c r="J2564" t="s">
        <v>31958</v>
      </c>
      <c r="K2564" t="s">
        <v>39019</v>
      </c>
      <c r="M2564" t="s">
        <v>39920</v>
      </c>
      <c r="N2564" t="s">
        <v>43166</v>
      </c>
      <c r="O2564" t="s">
        <v>43167</v>
      </c>
      <c r="P2564">
        <v>0</v>
      </c>
      <c r="Q2564">
        <v>0</v>
      </c>
      <c r="R2564" t="s">
        <v>43170</v>
      </c>
      <c r="S2564" t="s">
        <v>43297</v>
      </c>
      <c r="T2564" t="s">
        <v>44826</v>
      </c>
      <c r="U2564" t="s">
        <v>47305</v>
      </c>
      <c r="V2564" t="s">
        <v>45722</v>
      </c>
      <c r="W2564" t="s">
        <v>39920</v>
      </c>
      <c r="X2564" t="s">
        <v>43171</v>
      </c>
    </row>
    <row r="2565" spans="1:24">
      <c r="A2565">
        <f>HYPERLINK("https://www.philgeps.gov.ph/GEPSNONPILOT/Tender/SplashBidNoticeAbstractUI.aspx?menuIndex=3&amp;refID=7086397&amp;Result=3","7086397")</f>
        <v>0</v>
      </c>
      <c r="B2565" t="s">
        <v>415</v>
      </c>
      <c r="C2565" t="s">
        <v>5871</v>
      </c>
      <c r="D2565" t="s">
        <v>17472</v>
      </c>
      <c r="E2565" t="s">
        <v>18363</v>
      </c>
      <c r="F2565" t="s">
        <v>30052</v>
      </c>
      <c r="G2565" t="s">
        <v>30061</v>
      </c>
      <c r="H2565" t="s">
        <v>15498</v>
      </c>
      <c r="I2565" t="s">
        <v>3693</v>
      </c>
      <c r="J2565" t="s">
        <v>31915</v>
      </c>
      <c r="K2565" t="s">
        <v>39034</v>
      </c>
      <c r="M2565" t="s">
        <v>39714</v>
      </c>
      <c r="N2565" t="s">
        <v>43166</v>
      </c>
      <c r="O2565" t="s">
        <v>43167</v>
      </c>
      <c r="P2565">
        <v>0</v>
      </c>
      <c r="Q2565">
        <v>0</v>
      </c>
      <c r="R2565" t="s">
        <v>43170</v>
      </c>
      <c r="S2565" t="s">
        <v>43297</v>
      </c>
      <c r="T2565" t="s">
        <v>44685</v>
      </c>
      <c r="U2565" t="s">
        <v>47257</v>
      </c>
      <c r="W2565" t="s">
        <v>39714</v>
      </c>
      <c r="X2565" t="s">
        <v>43171</v>
      </c>
    </row>
    <row r="2566" spans="1:24">
      <c r="A2566">
        <f>HYPERLINK("https://www.philgeps.gov.ph/GEPSNONPILOT/Tender/SplashBidNoticeAbstractUI.aspx?menuIndex=3&amp;refID=7086395&amp;Result=3","7086395")</f>
        <v>0</v>
      </c>
      <c r="B2566" t="s">
        <v>1012</v>
      </c>
      <c r="C2566" t="s">
        <v>3459</v>
      </c>
      <c r="D2566" t="s">
        <v>17449</v>
      </c>
      <c r="E2566" t="s">
        <v>19749</v>
      </c>
      <c r="F2566" t="s">
        <v>30052</v>
      </c>
      <c r="G2566" t="s">
        <v>30059</v>
      </c>
      <c r="H2566" t="s">
        <v>15498</v>
      </c>
      <c r="I2566" t="s">
        <v>30070</v>
      </c>
      <c r="J2566" t="s">
        <v>31959</v>
      </c>
      <c r="K2566" t="s">
        <v>39029</v>
      </c>
      <c r="M2566" t="s">
        <v>40341</v>
      </c>
      <c r="N2566" t="s">
        <v>43166</v>
      </c>
      <c r="O2566" t="s">
        <v>43167</v>
      </c>
      <c r="P2566">
        <v>0</v>
      </c>
      <c r="Q2566">
        <v>1</v>
      </c>
      <c r="R2566" t="s">
        <v>43170</v>
      </c>
      <c r="S2566" t="s">
        <v>43297</v>
      </c>
      <c r="T2566" t="s">
        <v>44717</v>
      </c>
      <c r="U2566" t="s">
        <v>47306</v>
      </c>
      <c r="W2566" t="s">
        <v>40341</v>
      </c>
      <c r="X2566" t="s">
        <v>43171</v>
      </c>
    </row>
    <row r="2567" spans="1:24">
      <c r="A2567">
        <f>HYPERLINK("https://www.philgeps.gov.ph/GEPSNONPILOT/Tender/SplashBidNoticeAbstractUI.aspx?menuIndex=3&amp;refID=7086403&amp;Result=3","7086403")</f>
        <v>0</v>
      </c>
      <c r="B2567" t="s">
        <v>859</v>
      </c>
      <c r="C2567" t="s">
        <v>5872</v>
      </c>
      <c r="D2567" t="s">
        <v>17442</v>
      </c>
      <c r="E2567" t="s">
        <v>19750</v>
      </c>
      <c r="F2567" t="s">
        <v>30052</v>
      </c>
      <c r="G2567" t="s">
        <v>30061</v>
      </c>
      <c r="H2567" t="s">
        <v>15498</v>
      </c>
      <c r="I2567" t="s">
        <v>30070</v>
      </c>
      <c r="J2567" t="s">
        <v>30248</v>
      </c>
      <c r="K2567" t="s">
        <v>39039</v>
      </c>
      <c r="M2567" t="s">
        <v>40176</v>
      </c>
      <c r="N2567" t="s">
        <v>43166</v>
      </c>
      <c r="O2567" t="s">
        <v>43167</v>
      </c>
      <c r="P2567">
        <v>0</v>
      </c>
      <c r="Q2567">
        <v>0</v>
      </c>
      <c r="R2567" t="s">
        <v>43170</v>
      </c>
      <c r="S2567" t="s">
        <v>43297</v>
      </c>
      <c r="T2567" t="s">
        <v>44717</v>
      </c>
      <c r="U2567" t="s">
        <v>47307</v>
      </c>
      <c r="W2567" t="s">
        <v>40176</v>
      </c>
      <c r="X2567" t="s">
        <v>43171</v>
      </c>
    </row>
    <row r="2568" spans="1:24">
      <c r="A2568">
        <f>HYPERLINK("https://www.philgeps.gov.ph/GEPSNONPILOT/Tender/SplashBidNoticeAbstractUI.aspx?menuIndex=3&amp;refID=7086387&amp;Result=3","7086387")</f>
        <v>0</v>
      </c>
      <c r="B2568" t="s">
        <v>985</v>
      </c>
      <c r="C2568" t="s">
        <v>5873</v>
      </c>
      <c r="D2568" t="s">
        <v>17456</v>
      </c>
      <c r="E2568" t="s">
        <v>19751</v>
      </c>
      <c r="F2568" t="s">
        <v>30052</v>
      </c>
      <c r="G2568" t="s">
        <v>30059</v>
      </c>
      <c r="H2568" t="s">
        <v>15498</v>
      </c>
      <c r="I2568" t="s">
        <v>3736</v>
      </c>
      <c r="J2568" t="s">
        <v>30292</v>
      </c>
      <c r="K2568" t="s">
        <v>39017</v>
      </c>
      <c r="M2568" t="s">
        <v>40312</v>
      </c>
      <c r="N2568" t="s">
        <v>43166</v>
      </c>
      <c r="O2568" t="s">
        <v>43167</v>
      </c>
      <c r="P2568">
        <v>0</v>
      </c>
      <c r="Q2568">
        <v>0</v>
      </c>
      <c r="R2568" t="s">
        <v>43170</v>
      </c>
      <c r="S2568" t="s">
        <v>43297</v>
      </c>
      <c r="T2568" t="s">
        <v>44728</v>
      </c>
      <c r="U2568" t="s">
        <v>47246</v>
      </c>
      <c r="W2568" t="s">
        <v>40312</v>
      </c>
      <c r="X2568" t="s">
        <v>43171</v>
      </c>
    </row>
    <row r="2569" spans="1:24">
      <c r="A2569">
        <f>HYPERLINK("https://www.philgeps.gov.ph/GEPSNONPILOT/Tender/SplashBidNoticeAbstractUI.aspx?menuIndex=3&amp;refID=7086385&amp;Result=3","7086385")</f>
        <v>0</v>
      </c>
      <c r="B2569" t="s">
        <v>1013</v>
      </c>
      <c r="C2569" t="s">
        <v>5874</v>
      </c>
      <c r="D2569" t="s">
        <v>17460</v>
      </c>
      <c r="E2569" t="s">
        <v>19752</v>
      </c>
      <c r="F2569" t="s">
        <v>30052</v>
      </c>
      <c r="G2569" t="s">
        <v>30058</v>
      </c>
      <c r="H2569" t="s">
        <v>30067</v>
      </c>
      <c r="I2569" t="s">
        <v>3693</v>
      </c>
      <c r="J2569" t="s">
        <v>30230</v>
      </c>
      <c r="K2569" t="s">
        <v>39046</v>
      </c>
      <c r="M2569" t="s">
        <v>40342</v>
      </c>
      <c r="N2569" t="s">
        <v>43166</v>
      </c>
      <c r="O2569" t="s">
        <v>43167</v>
      </c>
      <c r="P2569">
        <v>0</v>
      </c>
      <c r="Q2569">
        <v>0</v>
      </c>
      <c r="R2569" t="s">
        <v>43170</v>
      </c>
      <c r="S2569" t="s">
        <v>43297</v>
      </c>
      <c r="T2569" t="s">
        <v>44681</v>
      </c>
      <c r="U2569" t="s">
        <v>47308</v>
      </c>
      <c r="W2569" t="s">
        <v>40342</v>
      </c>
      <c r="X2569" t="s">
        <v>43171</v>
      </c>
    </row>
    <row r="2570" spans="1:24">
      <c r="A2570">
        <f>HYPERLINK("https://www.philgeps.gov.ph/GEPSNONPILOT/Tender/SplashBidNoticeAbstractUI.aspx?menuIndex=3&amp;refID=7086382&amp;Result=3","7086382")</f>
        <v>0</v>
      </c>
      <c r="B2570" t="s">
        <v>998</v>
      </c>
      <c r="C2570" t="s">
        <v>5875</v>
      </c>
      <c r="D2570" t="s">
        <v>17448</v>
      </c>
      <c r="E2570" t="s">
        <v>19475</v>
      </c>
      <c r="F2570" t="s">
        <v>30052</v>
      </c>
      <c r="G2570" t="s">
        <v>30059</v>
      </c>
      <c r="H2570" t="s">
        <v>15498</v>
      </c>
      <c r="I2570" t="s">
        <v>30071</v>
      </c>
      <c r="J2570" t="s">
        <v>31960</v>
      </c>
      <c r="K2570" t="s">
        <v>39017</v>
      </c>
      <c r="M2570" t="s">
        <v>40327</v>
      </c>
      <c r="N2570" t="s">
        <v>43166</v>
      </c>
      <c r="O2570" t="s">
        <v>43167</v>
      </c>
      <c r="P2570">
        <v>0</v>
      </c>
      <c r="Q2570">
        <v>1</v>
      </c>
      <c r="R2570" t="s">
        <v>43170</v>
      </c>
      <c r="S2570" t="s">
        <v>43297</v>
      </c>
      <c r="T2570" t="s">
        <v>44717</v>
      </c>
      <c r="U2570" t="s">
        <v>47309</v>
      </c>
      <c r="W2570" t="s">
        <v>40327</v>
      </c>
      <c r="X2570" t="s">
        <v>43171</v>
      </c>
    </row>
    <row r="2571" spans="1:24">
      <c r="A2571">
        <f>HYPERLINK("https://www.philgeps.gov.ph/GEPSNONPILOT/Tender/SplashBidNoticeAbstractUI.aspx?menuIndex=3&amp;refID=7086389&amp;Result=3","7086389")</f>
        <v>0</v>
      </c>
      <c r="B2571" t="s">
        <v>1014</v>
      </c>
      <c r="C2571" t="s">
        <v>5876</v>
      </c>
      <c r="D2571" t="s">
        <v>17465</v>
      </c>
      <c r="E2571" t="s">
        <v>19753</v>
      </c>
      <c r="F2571" t="s">
        <v>30052</v>
      </c>
      <c r="G2571" t="s">
        <v>30059</v>
      </c>
      <c r="H2571" t="s">
        <v>15498</v>
      </c>
      <c r="I2571" t="s">
        <v>30076</v>
      </c>
      <c r="J2571" t="s">
        <v>31961</v>
      </c>
      <c r="K2571" t="s">
        <v>39025</v>
      </c>
      <c r="M2571" t="s">
        <v>40343</v>
      </c>
      <c r="N2571" t="s">
        <v>43166</v>
      </c>
      <c r="O2571" t="s">
        <v>43167</v>
      </c>
      <c r="P2571">
        <v>0</v>
      </c>
      <c r="Q2571">
        <v>2</v>
      </c>
      <c r="R2571" t="s">
        <v>43170</v>
      </c>
      <c r="S2571" t="s">
        <v>43297</v>
      </c>
      <c r="T2571" t="s">
        <v>44837</v>
      </c>
      <c r="U2571" t="s">
        <v>47310</v>
      </c>
      <c r="W2571" t="s">
        <v>58623</v>
      </c>
      <c r="X2571" t="s">
        <v>43171</v>
      </c>
    </row>
    <row r="2572" spans="1:24">
      <c r="A2572">
        <f>HYPERLINK("https://www.philgeps.gov.ph/GEPSNONPILOT/Tender/SplashBidNoticeAbstractUI.aspx?menuIndex=3&amp;refID=7086386&amp;Result=3","7086386")</f>
        <v>0</v>
      </c>
      <c r="B2572" t="s">
        <v>1001</v>
      </c>
      <c r="C2572" t="s">
        <v>5845</v>
      </c>
      <c r="D2572" t="s">
        <v>17415</v>
      </c>
      <c r="E2572" t="s">
        <v>19754</v>
      </c>
      <c r="F2572" t="s">
        <v>30052</v>
      </c>
      <c r="G2572" t="s">
        <v>30059</v>
      </c>
      <c r="H2572" t="s">
        <v>15498</v>
      </c>
      <c r="I2572" t="s">
        <v>30096</v>
      </c>
      <c r="J2572" t="s">
        <v>31962</v>
      </c>
      <c r="K2572" t="s">
        <v>39023</v>
      </c>
      <c r="M2572" t="s">
        <v>40330</v>
      </c>
      <c r="N2572" t="s">
        <v>43166</v>
      </c>
      <c r="O2572" t="s">
        <v>43167</v>
      </c>
      <c r="P2572">
        <v>0</v>
      </c>
      <c r="Q2572">
        <v>2</v>
      </c>
      <c r="R2572" t="s">
        <v>43170</v>
      </c>
      <c r="S2572" t="s">
        <v>43297</v>
      </c>
      <c r="T2572" t="s">
        <v>44710</v>
      </c>
      <c r="U2572" t="s">
        <v>47311</v>
      </c>
      <c r="W2572" t="s">
        <v>40330</v>
      </c>
      <c r="X2572" t="s">
        <v>43171</v>
      </c>
    </row>
    <row r="2573" spans="1:24">
      <c r="A2573">
        <f>HYPERLINK("https://www.philgeps.gov.ph/GEPSNONPILOT/Tender/SplashBidNoticeAbstractUI.aspx?menuIndex=3&amp;refID=7086367&amp;Result=3","7086367")</f>
        <v>0</v>
      </c>
      <c r="B2573" t="s">
        <v>1015</v>
      </c>
      <c r="C2573" t="s">
        <v>5877</v>
      </c>
      <c r="D2573" t="s">
        <v>17415</v>
      </c>
      <c r="E2573" t="s">
        <v>19755</v>
      </c>
      <c r="F2573" t="s">
        <v>30052</v>
      </c>
      <c r="G2573" t="s">
        <v>30062</v>
      </c>
      <c r="H2573" t="s">
        <v>15498</v>
      </c>
      <c r="I2573" t="s">
        <v>30070</v>
      </c>
      <c r="J2573" t="s">
        <v>30248</v>
      </c>
      <c r="K2573" t="s">
        <v>39017</v>
      </c>
      <c r="M2573" t="s">
        <v>40344</v>
      </c>
      <c r="N2573" t="s">
        <v>43166</v>
      </c>
      <c r="O2573" t="s">
        <v>43167</v>
      </c>
      <c r="P2573">
        <v>0</v>
      </c>
      <c r="Q2573">
        <v>0</v>
      </c>
      <c r="R2573" t="s">
        <v>43170</v>
      </c>
      <c r="S2573" t="s">
        <v>43297</v>
      </c>
      <c r="T2573" t="s">
        <v>44806</v>
      </c>
      <c r="U2573" t="s">
        <v>47312</v>
      </c>
      <c r="V2573" t="s">
        <v>57123</v>
      </c>
      <c r="W2573" t="s">
        <v>40344</v>
      </c>
      <c r="X2573" t="s">
        <v>43171</v>
      </c>
    </row>
    <row r="2574" spans="1:24">
      <c r="A2574">
        <f>HYPERLINK("https://www.philgeps.gov.ph/GEPSNONPILOT/Tender/SplashBidNoticeAbstractUI.aspx?menuIndex=3&amp;refID=7086373&amp;Result=3","7086373")</f>
        <v>0</v>
      </c>
      <c r="B2574" t="s">
        <v>511</v>
      </c>
      <c r="C2574" t="s">
        <v>5878</v>
      </c>
      <c r="D2574" t="s">
        <v>17480</v>
      </c>
      <c r="E2574" t="s">
        <v>19756</v>
      </c>
      <c r="F2574" t="s">
        <v>30052</v>
      </c>
      <c r="G2574" t="s">
        <v>30058</v>
      </c>
      <c r="H2574" t="s">
        <v>15498</v>
      </c>
      <c r="I2574" t="s">
        <v>30135</v>
      </c>
      <c r="J2574" t="s">
        <v>31963</v>
      </c>
      <c r="K2574" t="s">
        <v>39025</v>
      </c>
      <c r="M2574" t="s">
        <v>39812</v>
      </c>
      <c r="N2574" t="s">
        <v>43166</v>
      </c>
      <c r="O2574" t="s">
        <v>43167</v>
      </c>
      <c r="P2574">
        <v>0</v>
      </c>
      <c r="Q2574">
        <v>3</v>
      </c>
      <c r="R2574" t="s">
        <v>43170</v>
      </c>
      <c r="S2574" t="s">
        <v>43297</v>
      </c>
      <c r="T2574" t="s">
        <v>44827</v>
      </c>
      <c r="U2574" t="s">
        <v>46174</v>
      </c>
      <c r="V2574" t="s">
        <v>57124</v>
      </c>
      <c r="W2574" t="s">
        <v>39812</v>
      </c>
      <c r="X2574" t="s">
        <v>43171</v>
      </c>
    </row>
    <row r="2575" spans="1:24">
      <c r="A2575">
        <f>HYPERLINK("https://www.philgeps.gov.ph/GEPSNONPILOT/Tender/SplashBidNoticeAbstractUI.aspx?menuIndex=3&amp;refID=7086381&amp;Result=3","7086381")</f>
        <v>0</v>
      </c>
      <c r="B2575" t="s">
        <v>1008</v>
      </c>
      <c r="C2575" t="s">
        <v>5879</v>
      </c>
      <c r="D2575" t="s">
        <v>17415</v>
      </c>
      <c r="E2575" t="s">
        <v>19757</v>
      </c>
      <c r="F2575" t="s">
        <v>30052</v>
      </c>
      <c r="G2575" t="s">
        <v>30059</v>
      </c>
      <c r="H2575" t="s">
        <v>15498</v>
      </c>
      <c r="I2575" t="s">
        <v>3736</v>
      </c>
      <c r="J2575" t="s">
        <v>31964</v>
      </c>
      <c r="K2575" t="s">
        <v>39019</v>
      </c>
      <c r="M2575" t="s">
        <v>40337</v>
      </c>
      <c r="N2575" t="s">
        <v>43166</v>
      </c>
      <c r="O2575" t="s">
        <v>43167</v>
      </c>
      <c r="P2575">
        <v>0</v>
      </c>
      <c r="Q2575">
        <v>0</v>
      </c>
      <c r="R2575" t="s">
        <v>43170</v>
      </c>
      <c r="S2575" t="s">
        <v>43297</v>
      </c>
      <c r="T2575" t="s">
        <v>44844</v>
      </c>
      <c r="U2575" t="s">
        <v>47313</v>
      </c>
      <c r="V2575" t="s">
        <v>57122</v>
      </c>
      <c r="W2575" t="s">
        <v>40337</v>
      </c>
      <c r="X2575" t="s">
        <v>43171</v>
      </c>
    </row>
    <row r="2576" spans="1:24">
      <c r="A2576">
        <f>HYPERLINK("https://www.philgeps.gov.ph/GEPSNONPILOT/Tender/SplashBidNoticeAbstractUI.aspx?menuIndex=3&amp;refID=7086444&amp;Result=3","7086444")</f>
        <v>0</v>
      </c>
      <c r="B2576" t="s">
        <v>1016</v>
      </c>
      <c r="C2576" t="s">
        <v>5880</v>
      </c>
      <c r="D2576" t="s">
        <v>17415</v>
      </c>
      <c r="E2576" t="s">
        <v>19758</v>
      </c>
      <c r="F2576" t="s">
        <v>30052</v>
      </c>
      <c r="G2576" t="s">
        <v>30059</v>
      </c>
      <c r="H2576" t="s">
        <v>15498</v>
      </c>
      <c r="I2576" t="s">
        <v>30085</v>
      </c>
      <c r="J2576" t="s">
        <v>31965</v>
      </c>
      <c r="K2576" t="s">
        <v>39019</v>
      </c>
      <c r="M2576" t="s">
        <v>40345</v>
      </c>
      <c r="N2576" t="s">
        <v>43166</v>
      </c>
      <c r="O2576" t="s">
        <v>43167</v>
      </c>
      <c r="P2576">
        <v>0</v>
      </c>
      <c r="Q2576">
        <v>6</v>
      </c>
      <c r="R2576" t="s">
        <v>43170</v>
      </c>
      <c r="S2576" t="s">
        <v>43297</v>
      </c>
      <c r="T2576" t="s">
        <v>44841</v>
      </c>
      <c r="U2576" t="s">
        <v>47314</v>
      </c>
      <c r="W2576" t="s">
        <v>40345</v>
      </c>
      <c r="X2576" t="s">
        <v>43171</v>
      </c>
    </row>
    <row r="2577" spans="1:24">
      <c r="A2577">
        <f>HYPERLINK("https://www.philgeps.gov.ph/GEPSNONPILOT/Tender/SplashBidNoticeAbstractUI.aspx?menuIndex=3&amp;refID=7086379&amp;Result=3","7086379")</f>
        <v>0</v>
      </c>
      <c r="B2577" t="s">
        <v>1017</v>
      </c>
      <c r="C2577" t="s">
        <v>5881</v>
      </c>
      <c r="D2577" t="s">
        <v>17444</v>
      </c>
      <c r="E2577" t="s">
        <v>19759</v>
      </c>
      <c r="F2577" t="s">
        <v>30052</v>
      </c>
      <c r="G2577" t="s">
        <v>30059</v>
      </c>
      <c r="H2577" t="s">
        <v>15498</v>
      </c>
      <c r="I2577" t="s">
        <v>30084</v>
      </c>
      <c r="J2577" t="s">
        <v>31966</v>
      </c>
      <c r="K2577" t="s">
        <v>39019</v>
      </c>
      <c r="M2577" t="s">
        <v>40346</v>
      </c>
      <c r="N2577" t="s">
        <v>43166</v>
      </c>
      <c r="O2577" t="s">
        <v>43167</v>
      </c>
      <c r="P2577">
        <v>0</v>
      </c>
      <c r="Q2577">
        <v>0</v>
      </c>
      <c r="R2577" t="s">
        <v>43170</v>
      </c>
      <c r="S2577" t="s">
        <v>43297</v>
      </c>
      <c r="T2577" t="s">
        <v>44698</v>
      </c>
      <c r="U2577" t="s">
        <v>47315</v>
      </c>
      <c r="W2577" t="s">
        <v>40346</v>
      </c>
      <c r="X2577" t="s">
        <v>43171</v>
      </c>
    </row>
    <row r="2578" spans="1:24">
      <c r="A2578">
        <f>HYPERLINK("https://www.philgeps.gov.ph/GEPSNONPILOT/Tender/SplashBidNoticeAbstractUI.aspx?menuIndex=3&amp;refID=7086442&amp;Result=3","7086442")</f>
        <v>0</v>
      </c>
      <c r="B2578" t="s">
        <v>1018</v>
      </c>
      <c r="C2578" t="s">
        <v>4662</v>
      </c>
      <c r="E2578" t="s">
        <v>19760</v>
      </c>
      <c r="F2578" t="s">
        <v>30052</v>
      </c>
      <c r="G2578" t="s">
        <v>30061</v>
      </c>
      <c r="H2578" t="s">
        <v>15498</v>
      </c>
      <c r="I2578" t="s">
        <v>30070</v>
      </c>
      <c r="J2578" t="s">
        <v>31967</v>
      </c>
      <c r="K2578" t="s">
        <v>39025</v>
      </c>
      <c r="M2578" t="s">
        <v>40347</v>
      </c>
      <c r="N2578" t="s">
        <v>43166</v>
      </c>
      <c r="O2578" t="s">
        <v>43167</v>
      </c>
      <c r="P2578">
        <v>0</v>
      </c>
      <c r="Q2578">
        <v>0</v>
      </c>
      <c r="R2578" t="s">
        <v>43170</v>
      </c>
      <c r="S2578" t="s">
        <v>43297</v>
      </c>
      <c r="T2578" t="s">
        <v>44847</v>
      </c>
      <c r="U2578" t="s">
        <v>45217</v>
      </c>
      <c r="W2578" t="s">
        <v>40347</v>
      </c>
      <c r="X2578" t="s">
        <v>43171</v>
      </c>
    </row>
    <row r="2579" spans="1:24">
      <c r="A2579">
        <f>HYPERLINK("https://www.philgeps.gov.ph/GEPSNONPILOT/Tender/SplashBidNoticeAbstractUI.aspx?menuIndex=3&amp;refID=7086376&amp;Result=3","7086376")</f>
        <v>0</v>
      </c>
      <c r="B2579" t="s">
        <v>915</v>
      </c>
      <c r="C2579" t="s">
        <v>5882</v>
      </c>
      <c r="D2579" t="s">
        <v>17457</v>
      </c>
      <c r="E2579" t="s">
        <v>19761</v>
      </c>
      <c r="F2579" t="s">
        <v>30052</v>
      </c>
      <c r="G2579" t="s">
        <v>30060</v>
      </c>
      <c r="H2579" t="s">
        <v>15498</v>
      </c>
      <c r="I2579" t="s">
        <v>30111</v>
      </c>
      <c r="J2579" t="s">
        <v>31644</v>
      </c>
      <c r="K2579" t="s">
        <v>39019</v>
      </c>
      <c r="M2579" t="s">
        <v>40238</v>
      </c>
      <c r="N2579" t="s">
        <v>43166</v>
      </c>
      <c r="O2579" t="s">
        <v>43167</v>
      </c>
      <c r="P2579">
        <v>0</v>
      </c>
      <c r="Q2579">
        <v>1</v>
      </c>
      <c r="R2579" t="s">
        <v>43170</v>
      </c>
      <c r="S2579" t="s">
        <v>43297</v>
      </c>
      <c r="T2579" t="s">
        <v>44844</v>
      </c>
      <c r="U2579" t="s">
        <v>47316</v>
      </c>
      <c r="W2579" t="s">
        <v>40238</v>
      </c>
      <c r="X2579" t="s">
        <v>43171</v>
      </c>
    </row>
    <row r="2580" spans="1:24">
      <c r="A2580">
        <f>HYPERLINK("https://www.philgeps.gov.ph/GEPSNONPILOT/Tender/SplashBidNoticeAbstractUI.aspx?menuIndex=3&amp;refID=7086440&amp;Result=3","7086440")</f>
        <v>0</v>
      </c>
      <c r="B2580" t="s">
        <v>1019</v>
      </c>
      <c r="C2580" t="s">
        <v>5883</v>
      </c>
      <c r="D2580" t="s">
        <v>17444</v>
      </c>
      <c r="E2580" t="s">
        <v>19762</v>
      </c>
      <c r="F2580" t="s">
        <v>30052</v>
      </c>
      <c r="G2580" t="s">
        <v>30058</v>
      </c>
      <c r="H2580" t="s">
        <v>15498</v>
      </c>
      <c r="I2580" t="s">
        <v>6691</v>
      </c>
      <c r="J2580" t="s">
        <v>31968</v>
      </c>
      <c r="K2580" t="s">
        <v>39025</v>
      </c>
      <c r="M2580" t="s">
        <v>40348</v>
      </c>
      <c r="N2580" t="s">
        <v>43166</v>
      </c>
      <c r="O2580" t="s">
        <v>43167</v>
      </c>
      <c r="P2580">
        <v>0</v>
      </c>
      <c r="Q2580">
        <v>1</v>
      </c>
      <c r="R2580" t="s">
        <v>43170</v>
      </c>
      <c r="S2580" t="s">
        <v>43297</v>
      </c>
      <c r="T2580" t="s">
        <v>44794</v>
      </c>
      <c r="U2580" t="s">
        <v>47317</v>
      </c>
      <c r="V2580" t="s">
        <v>57125</v>
      </c>
      <c r="W2580" t="s">
        <v>40348</v>
      </c>
      <c r="X2580" t="s">
        <v>43171</v>
      </c>
    </row>
    <row r="2581" spans="1:24">
      <c r="A2581">
        <f>HYPERLINK("https://www.philgeps.gov.ph/GEPSNONPILOT/Tender/SplashBidNoticeAbstractUI.aspx?menuIndex=3&amp;refID=7086400&amp;Result=3","7086400")</f>
        <v>0</v>
      </c>
      <c r="B2581" t="s">
        <v>1018</v>
      </c>
      <c r="C2581" t="s">
        <v>5884</v>
      </c>
      <c r="E2581" t="s">
        <v>19763</v>
      </c>
      <c r="F2581" t="s">
        <v>30052</v>
      </c>
      <c r="G2581" t="s">
        <v>30059</v>
      </c>
      <c r="H2581" t="s">
        <v>15498</v>
      </c>
      <c r="I2581" t="s">
        <v>30118</v>
      </c>
      <c r="J2581" t="s">
        <v>30771</v>
      </c>
      <c r="K2581" t="s">
        <v>39025</v>
      </c>
      <c r="M2581" t="s">
        <v>40347</v>
      </c>
      <c r="N2581" t="s">
        <v>43166</v>
      </c>
      <c r="O2581" t="s">
        <v>43167</v>
      </c>
      <c r="P2581">
        <v>0</v>
      </c>
      <c r="Q2581">
        <v>0</v>
      </c>
      <c r="R2581" t="s">
        <v>43170</v>
      </c>
      <c r="S2581" t="s">
        <v>43297</v>
      </c>
      <c r="T2581" t="s">
        <v>44847</v>
      </c>
      <c r="U2581" t="s">
        <v>47318</v>
      </c>
      <c r="W2581" t="s">
        <v>40347</v>
      </c>
      <c r="X2581" t="s">
        <v>43171</v>
      </c>
    </row>
    <row r="2582" spans="1:24">
      <c r="A2582">
        <f>HYPERLINK("https://www.philgeps.gov.ph/GEPSNONPILOT/Tender/SplashBidNoticeAbstractUI.aspx?menuIndex=3&amp;refID=7086436&amp;Result=3","7086436")</f>
        <v>0</v>
      </c>
      <c r="B2582" t="s">
        <v>933</v>
      </c>
      <c r="C2582" t="s">
        <v>5885</v>
      </c>
      <c r="D2582" t="s">
        <v>17456</v>
      </c>
      <c r="E2582" t="s">
        <v>19764</v>
      </c>
      <c r="F2582" t="s">
        <v>30052</v>
      </c>
      <c r="G2582" t="s">
        <v>30058</v>
      </c>
      <c r="H2582" t="s">
        <v>30067</v>
      </c>
      <c r="I2582" t="s">
        <v>3693</v>
      </c>
      <c r="J2582" t="s">
        <v>31969</v>
      </c>
      <c r="K2582" t="s">
        <v>39061</v>
      </c>
      <c r="M2582" t="s">
        <v>40256</v>
      </c>
      <c r="N2582" t="s">
        <v>43166</v>
      </c>
      <c r="O2582" t="s">
        <v>43167</v>
      </c>
      <c r="P2582">
        <v>0</v>
      </c>
      <c r="Q2582">
        <v>0</v>
      </c>
      <c r="R2582" t="s">
        <v>43170</v>
      </c>
      <c r="S2582" t="s">
        <v>43297</v>
      </c>
      <c r="T2582" t="s">
        <v>44786</v>
      </c>
      <c r="U2582" t="s">
        <v>47082</v>
      </c>
      <c r="W2582" t="s">
        <v>40256</v>
      </c>
      <c r="X2582" t="s">
        <v>43171</v>
      </c>
    </row>
    <row r="2583" spans="1:24">
      <c r="A2583">
        <f>HYPERLINK("https://www.philgeps.gov.ph/GEPSNONPILOT/Tender/SplashBidNoticeAbstractUI.aspx?menuIndex=3&amp;refID=7086346&amp;Result=3","7086346")</f>
        <v>0</v>
      </c>
      <c r="B2583" t="s">
        <v>997</v>
      </c>
      <c r="C2583" t="s">
        <v>5886</v>
      </c>
      <c r="D2583" t="s">
        <v>17421</v>
      </c>
      <c r="E2583" t="s">
        <v>19765</v>
      </c>
      <c r="F2583" t="s">
        <v>30052</v>
      </c>
      <c r="G2583" t="s">
        <v>30059</v>
      </c>
      <c r="H2583" t="s">
        <v>15498</v>
      </c>
      <c r="I2583" t="s">
        <v>6691</v>
      </c>
      <c r="J2583" t="s">
        <v>31970</v>
      </c>
      <c r="K2583" t="s">
        <v>39036</v>
      </c>
      <c r="M2583" t="s">
        <v>40325</v>
      </c>
      <c r="N2583" t="s">
        <v>43166</v>
      </c>
      <c r="O2583" t="s">
        <v>43167</v>
      </c>
      <c r="P2583">
        <v>0</v>
      </c>
      <c r="Q2583">
        <v>1</v>
      </c>
      <c r="R2583" t="s">
        <v>43170</v>
      </c>
      <c r="S2583" t="s">
        <v>43297</v>
      </c>
      <c r="T2583" t="s">
        <v>44837</v>
      </c>
      <c r="U2583" t="s">
        <v>47319</v>
      </c>
      <c r="W2583" t="s">
        <v>40325</v>
      </c>
      <c r="X2583" t="s">
        <v>43171</v>
      </c>
    </row>
    <row r="2584" spans="1:24">
      <c r="A2584">
        <f>HYPERLINK("https://www.philgeps.gov.ph/GEPSNONPILOT/Tender/SplashBidNoticeAbstractUI.aspx?menuIndex=3&amp;refID=7086443&amp;Result=3","7086443")</f>
        <v>0</v>
      </c>
      <c r="B2584" t="s">
        <v>1020</v>
      </c>
      <c r="C2584" t="s">
        <v>5887</v>
      </c>
      <c r="D2584" t="s">
        <v>17421</v>
      </c>
      <c r="E2584" t="s">
        <v>19766</v>
      </c>
      <c r="F2584" t="s">
        <v>30052</v>
      </c>
      <c r="G2584" t="s">
        <v>30058</v>
      </c>
      <c r="H2584" t="s">
        <v>15498</v>
      </c>
      <c r="I2584" t="s">
        <v>3852</v>
      </c>
      <c r="J2584" t="s">
        <v>31971</v>
      </c>
      <c r="K2584" t="s">
        <v>39037</v>
      </c>
      <c r="M2584" t="s">
        <v>40349</v>
      </c>
      <c r="N2584" t="s">
        <v>43166</v>
      </c>
      <c r="O2584" t="s">
        <v>43167</v>
      </c>
      <c r="P2584">
        <v>0</v>
      </c>
      <c r="Q2584">
        <v>0</v>
      </c>
      <c r="R2584" t="s">
        <v>43170</v>
      </c>
      <c r="S2584" t="s">
        <v>43297</v>
      </c>
      <c r="T2584" t="s">
        <v>44681</v>
      </c>
      <c r="U2584" t="s">
        <v>47320</v>
      </c>
      <c r="W2584" t="s">
        <v>40349</v>
      </c>
      <c r="X2584" t="s">
        <v>43171</v>
      </c>
    </row>
    <row r="2585" spans="1:24">
      <c r="A2585">
        <f>HYPERLINK("https://www.philgeps.gov.ph/GEPSNONPILOT/Tender/SplashBidNoticeAbstractUI.aspx?menuIndex=3&amp;refID=7086430&amp;Result=3","7086430")</f>
        <v>0</v>
      </c>
      <c r="B2585" t="s">
        <v>1021</v>
      </c>
      <c r="C2585" t="s">
        <v>5888</v>
      </c>
      <c r="D2585" t="s">
        <v>17416</v>
      </c>
      <c r="E2585" t="s">
        <v>19767</v>
      </c>
      <c r="F2585" t="s">
        <v>30052</v>
      </c>
      <c r="G2585" t="s">
        <v>30062</v>
      </c>
      <c r="H2585" t="s">
        <v>15498</v>
      </c>
      <c r="I2585" t="s">
        <v>30070</v>
      </c>
      <c r="J2585" t="s">
        <v>31972</v>
      </c>
      <c r="K2585" t="s">
        <v>39039</v>
      </c>
      <c r="M2585" t="s">
        <v>40350</v>
      </c>
      <c r="N2585" t="s">
        <v>43166</v>
      </c>
      <c r="O2585" t="s">
        <v>43167</v>
      </c>
      <c r="P2585">
        <v>0</v>
      </c>
      <c r="Q2585">
        <v>3</v>
      </c>
      <c r="R2585" t="s">
        <v>43170</v>
      </c>
      <c r="S2585" t="s">
        <v>43297</v>
      </c>
      <c r="T2585" t="s">
        <v>44773</v>
      </c>
      <c r="U2585" t="s">
        <v>47321</v>
      </c>
      <c r="W2585" t="s">
        <v>40350</v>
      </c>
      <c r="X2585" t="s">
        <v>43171</v>
      </c>
    </row>
    <row r="2586" spans="1:24">
      <c r="A2586">
        <f>HYPERLINK("https://www.philgeps.gov.ph/GEPSNONPILOT/Tender/SplashBidNoticeAbstractUI.aspx?menuIndex=3&amp;refID=7086429&amp;Result=3","7086429")</f>
        <v>0</v>
      </c>
      <c r="B2586" t="s">
        <v>1008</v>
      </c>
      <c r="C2586" t="s">
        <v>5889</v>
      </c>
      <c r="D2586" t="s">
        <v>17415</v>
      </c>
      <c r="E2586" t="s">
        <v>19768</v>
      </c>
      <c r="F2586" t="s">
        <v>30052</v>
      </c>
      <c r="G2586" t="s">
        <v>30059</v>
      </c>
      <c r="H2586" t="s">
        <v>30069</v>
      </c>
      <c r="I2586" t="s">
        <v>6691</v>
      </c>
      <c r="J2586" t="s">
        <v>31973</v>
      </c>
      <c r="K2586" t="s">
        <v>39026</v>
      </c>
      <c r="M2586" t="s">
        <v>40337</v>
      </c>
      <c r="N2586" t="s">
        <v>43166</v>
      </c>
      <c r="O2586" t="s">
        <v>43167</v>
      </c>
      <c r="P2586">
        <v>0</v>
      </c>
      <c r="Q2586">
        <v>1</v>
      </c>
      <c r="R2586" t="s">
        <v>43170</v>
      </c>
      <c r="S2586" t="s">
        <v>43297</v>
      </c>
      <c r="T2586" t="s">
        <v>44844</v>
      </c>
      <c r="U2586" t="s">
        <v>47322</v>
      </c>
      <c r="V2586" t="s">
        <v>57122</v>
      </c>
      <c r="W2586" t="s">
        <v>40337</v>
      </c>
      <c r="X2586" t="s">
        <v>43171</v>
      </c>
    </row>
    <row r="2587" spans="1:24">
      <c r="A2587">
        <f>HYPERLINK("https://www.philgeps.gov.ph/GEPSNONPILOT/Tender/SplashBidNoticeAbstractUI.aspx?menuIndex=3&amp;refID=7086428&amp;Result=3","7086428")</f>
        <v>0</v>
      </c>
      <c r="B2587" t="s">
        <v>694</v>
      </c>
      <c r="C2587" t="s">
        <v>5890</v>
      </c>
      <c r="D2587" t="s">
        <v>17476</v>
      </c>
      <c r="E2587" t="s">
        <v>19769</v>
      </c>
      <c r="F2587" t="s">
        <v>30052</v>
      </c>
      <c r="G2587" t="s">
        <v>30059</v>
      </c>
      <c r="H2587" t="s">
        <v>15498</v>
      </c>
      <c r="I2587" t="s">
        <v>4650</v>
      </c>
      <c r="J2587" t="s">
        <v>31974</v>
      </c>
      <c r="K2587" t="s">
        <v>39064</v>
      </c>
      <c r="M2587" t="s">
        <v>40001</v>
      </c>
      <c r="N2587" t="s">
        <v>43166</v>
      </c>
      <c r="O2587" t="s">
        <v>43167</v>
      </c>
      <c r="P2587">
        <v>0</v>
      </c>
      <c r="Q2587">
        <v>0</v>
      </c>
      <c r="R2587" t="s">
        <v>43170</v>
      </c>
      <c r="S2587" t="s">
        <v>43297</v>
      </c>
      <c r="T2587" t="s">
        <v>44844</v>
      </c>
      <c r="U2587" t="s">
        <v>47323</v>
      </c>
      <c r="W2587" t="s">
        <v>40001</v>
      </c>
      <c r="X2587" t="s">
        <v>43171</v>
      </c>
    </row>
    <row r="2588" spans="1:24">
      <c r="A2588">
        <f>HYPERLINK("https://www.philgeps.gov.ph/GEPSNONPILOT/Tender/SplashBidNoticeAbstractUI.aspx?menuIndex=3&amp;refID=7086441&amp;Result=3","7086441")</f>
        <v>0</v>
      </c>
      <c r="B2588" t="s">
        <v>1022</v>
      </c>
      <c r="C2588" t="s">
        <v>5891</v>
      </c>
      <c r="D2588" t="s">
        <v>17425</v>
      </c>
      <c r="E2588" t="s">
        <v>19770</v>
      </c>
      <c r="F2588" t="s">
        <v>30052</v>
      </c>
      <c r="G2588" t="s">
        <v>30058</v>
      </c>
      <c r="H2588" t="s">
        <v>15498</v>
      </c>
      <c r="I2588" t="s">
        <v>30073</v>
      </c>
      <c r="J2588" t="s">
        <v>31975</v>
      </c>
      <c r="K2588" t="s">
        <v>39064</v>
      </c>
      <c r="M2588" t="s">
        <v>40351</v>
      </c>
      <c r="N2588" t="s">
        <v>43166</v>
      </c>
      <c r="O2588" t="s">
        <v>43167</v>
      </c>
      <c r="P2588">
        <v>0</v>
      </c>
      <c r="Q2588">
        <v>0</v>
      </c>
      <c r="R2588" t="s">
        <v>43170</v>
      </c>
      <c r="S2588" t="s">
        <v>43297</v>
      </c>
      <c r="T2588" t="s">
        <v>44730</v>
      </c>
      <c r="U2588" t="s">
        <v>47324</v>
      </c>
      <c r="W2588" t="s">
        <v>40351</v>
      </c>
      <c r="X2588" t="s">
        <v>43171</v>
      </c>
    </row>
    <row r="2589" spans="1:24">
      <c r="A2589">
        <f>HYPERLINK("https://www.philgeps.gov.ph/GEPSNONPILOT/Tender/SplashBidNoticeAbstractUI.aspx?menuIndex=3&amp;refID=7086424&amp;Result=3","7086424")</f>
        <v>0</v>
      </c>
      <c r="B2589" t="s">
        <v>1014</v>
      </c>
      <c r="C2589" t="s">
        <v>5892</v>
      </c>
      <c r="D2589" t="s">
        <v>17465</v>
      </c>
      <c r="E2589" t="s">
        <v>19771</v>
      </c>
      <c r="F2589" t="s">
        <v>30052</v>
      </c>
      <c r="G2589" t="s">
        <v>30059</v>
      </c>
      <c r="H2589" t="s">
        <v>15498</v>
      </c>
      <c r="I2589" t="s">
        <v>30073</v>
      </c>
      <c r="J2589" t="s">
        <v>31744</v>
      </c>
      <c r="K2589" t="s">
        <v>39025</v>
      </c>
      <c r="M2589" t="s">
        <v>40343</v>
      </c>
      <c r="N2589" t="s">
        <v>43166</v>
      </c>
      <c r="O2589" t="s">
        <v>43167</v>
      </c>
      <c r="P2589">
        <v>0</v>
      </c>
      <c r="Q2589">
        <v>0</v>
      </c>
      <c r="R2589" t="s">
        <v>43170</v>
      </c>
      <c r="S2589" t="s">
        <v>43297</v>
      </c>
      <c r="T2589" t="s">
        <v>44837</v>
      </c>
      <c r="U2589" t="s">
        <v>47310</v>
      </c>
      <c r="W2589" t="s">
        <v>58623</v>
      </c>
      <c r="X2589" t="s">
        <v>43171</v>
      </c>
    </row>
    <row r="2590" spans="1:24">
      <c r="A2590">
        <f>HYPERLINK("https://www.philgeps.gov.ph/GEPSNONPILOT/Tender/SplashBidNoticeAbstractUI.aspx?menuIndex=3&amp;refID=7086480&amp;Result=3","7086480")</f>
        <v>0</v>
      </c>
      <c r="B2590" t="s">
        <v>988</v>
      </c>
      <c r="C2590" t="s">
        <v>5893</v>
      </c>
      <c r="D2590" t="s">
        <v>17437</v>
      </c>
      <c r="E2590" t="s">
        <v>18666</v>
      </c>
      <c r="F2590" t="s">
        <v>30052</v>
      </c>
      <c r="G2590" t="s">
        <v>30058</v>
      </c>
      <c r="H2590" t="s">
        <v>15498</v>
      </c>
      <c r="I2590" t="s">
        <v>30070</v>
      </c>
      <c r="J2590" t="s">
        <v>31976</v>
      </c>
      <c r="K2590" t="s">
        <v>39064</v>
      </c>
      <c r="M2590" t="s">
        <v>40315</v>
      </c>
      <c r="N2590" t="s">
        <v>43166</v>
      </c>
      <c r="O2590" t="s">
        <v>43167</v>
      </c>
      <c r="P2590">
        <v>0</v>
      </c>
      <c r="Q2590">
        <v>1</v>
      </c>
      <c r="R2590" t="s">
        <v>43170</v>
      </c>
      <c r="S2590" t="s">
        <v>43297</v>
      </c>
      <c r="T2590" t="s">
        <v>44724</v>
      </c>
      <c r="U2590" t="s">
        <v>47256</v>
      </c>
      <c r="W2590" t="s">
        <v>40315</v>
      </c>
      <c r="X2590" t="s">
        <v>43171</v>
      </c>
    </row>
    <row r="2591" spans="1:24">
      <c r="A2591">
        <f>HYPERLINK("https://www.philgeps.gov.ph/GEPSNONPILOT/Tender/SplashBidNoticeAbstractUI.aspx?menuIndex=3&amp;refID=7086432&amp;Result=3","7086432")</f>
        <v>0</v>
      </c>
      <c r="B2591" t="s">
        <v>415</v>
      </c>
      <c r="C2591" t="s">
        <v>5894</v>
      </c>
      <c r="D2591" t="s">
        <v>17472</v>
      </c>
      <c r="E2591" t="s">
        <v>18363</v>
      </c>
      <c r="F2591" t="s">
        <v>30052</v>
      </c>
      <c r="G2591" t="s">
        <v>30061</v>
      </c>
      <c r="H2591" t="s">
        <v>15498</v>
      </c>
      <c r="I2591" t="s">
        <v>30084</v>
      </c>
      <c r="J2591" t="s">
        <v>31977</v>
      </c>
      <c r="K2591" t="s">
        <v>39034</v>
      </c>
      <c r="M2591" t="s">
        <v>39714</v>
      </c>
      <c r="N2591" t="s">
        <v>43166</v>
      </c>
      <c r="O2591" t="s">
        <v>43167</v>
      </c>
      <c r="P2591">
        <v>0</v>
      </c>
      <c r="Q2591">
        <v>2</v>
      </c>
      <c r="R2591" t="s">
        <v>43170</v>
      </c>
      <c r="S2591" t="s">
        <v>43297</v>
      </c>
      <c r="T2591" t="s">
        <v>44685</v>
      </c>
      <c r="U2591" t="s">
        <v>47325</v>
      </c>
      <c r="W2591" t="s">
        <v>39714</v>
      </c>
      <c r="X2591" t="s">
        <v>43171</v>
      </c>
    </row>
    <row r="2592" spans="1:24">
      <c r="A2592">
        <f>HYPERLINK("https://www.philgeps.gov.ph/GEPSNONPILOT/Tender/SplashBidNoticeAbstractUI.aspx?menuIndex=3&amp;refID=7086431&amp;Result=3","7086431")</f>
        <v>0</v>
      </c>
      <c r="B2592" t="s">
        <v>1018</v>
      </c>
      <c r="C2592" t="s">
        <v>5884</v>
      </c>
      <c r="E2592" t="s">
        <v>19772</v>
      </c>
      <c r="F2592" t="s">
        <v>30052</v>
      </c>
      <c r="G2592" t="s">
        <v>30059</v>
      </c>
      <c r="H2592" t="s">
        <v>15498</v>
      </c>
      <c r="I2592" t="s">
        <v>30118</v>
      </c>
      <c r="J2592" t="s">
        <v>31978</v>
      </c>
      <c r="K2592" t="s">
        <v>39025</v>
      </c>
      <c r="M2592" t="s">
        <v>40347</v>
      </c>
      <c r="N2592" t="s">
        <v>43166</v>
      </c>
      <c r="O2592" t="s">
        <v>43167</v>
      </c>
      <c r="P2592">
        <v>0</v>
      </c>
      <c r="Q2592">
        <v>0</v>
      </c>
      <c r="R2592" t="s">
        <v>43170</v>
      </c>
      <c r="S2592" t="s">
        <v>43297</v>
      </c>
      <c r="T2592" t="s">
        <v>44847</v>
      </c>
      <c r="U2592" t="s">
        <v>47318</v>
      </c>
      <c r="W2592" t="s">
        <v>40347</v>
      </c>
      <c r="X2592" t="s">
        <v>43171</v>
      </c>
    </row>
    <row r="2593" spans="1:24">
      <c r="A2593">
        <f>HYPERLINK("https://www.philgeps.gov.ph/GEPSNONPILOT/Tender/SplashBidNoticeAbstractUI.aspx?menuIndex=3&amp;refID=7086483&amp;Result=3","7086483")</f>
        <v>0</v>
      </c>
      <c r="B2593" t="s">
        <v>705</v>
      </c>
      <c r="C2593" t="s">
        <v>5895</v>
      </c>
      <c r="D2593" t="s">
        <v>17414</v>
      </c>
      <c r="E2593" t="s">
        <v>19773</v>
      </c>
      <c r="F2593" t="s">
        <v>30052</v>
      </c>
      <c r="G2593" t="s">
        <v>30059</v>
      </c>
      <c r="H2593" t="s">
        <v>15498</v>
      </c>
      <c r="I2593" t="s">
        <v>30081</v>
      </c>
      <c r="J2593" t="s">
        <v>31979</v>
      </c>
      <c r="K2593" t="s">
        <v>39017</v>
      </c>
      <c r="M2593" t="s">
        <v>40014</v>
      </c>
      <c r="N2593" t="s">
        <v>43166</v>
      </c>
      <c r="O2593" t="s">
        <v>43167</v>
      </c>
      <c r="P2593">
        <v>0</v>
      </c>
      <c r="Q2593">
        <v>0</v>
      </c>
      <c r="R2593" t="s">
        <v>43170</v>
      </c>
      <c r="S2593" t="s">
        <v>43297</v>
      </c>
      <c r="T2593" t="s">
        <v>44920</v>
      </c>
      <c r="U2593" t="s">
        <v>47326</v>
      </c>
      <c r="V2593" t="s">
        <v>57119</v>
      </c>
      <c r="W2593" t="s">
        <v>40014</v>
      </c>
      <c r="X2593" t="s">
        <v>43171</v>
      </c>
    </row>
    <row r="2594" spans="1:24">
      <c r="A2594">
        <f>HYPERLINK("https://www.philgeps.gov.ph/GEPSNONPILOT/Tender/SplashBidNoticeAbstractUI.aspx?menuIndex=3&amp;refID=7086482&amp;Result=3","7086482")</f>
        <v>0</v>
      </c>
      <c r="B2594" t="s">
        <v>243</v>
      </c>
      <c r="C2594" t="s">
        <v>5896</v>
      </c>
      <c r="D2594" t="s">
        <v>17447</v>
      </c>
      <c r="E2594" t="s">
        <v>19340</v>
      </c>
      <c r="F2594" t="s">
        <v>30052</v>
      </c>
      <c r="G2594" t="s">
        <v>30061</v>
      </c>
      <c r="H2594" t="s">
        <v>15498</v>
      </c>
      <c r="I2594" t="s">
        <v>7228</v>
      </c>
      <c r="J2594" t="s">
        <v>31980</v>
      </c>
      <c r="K2594" t="s">
        <v>39034</v>
      </c>
      <c r="M2594" t="s">
        <v>39533</v>
      </c>
      <c r="N2594" t="s">
        <v>43166</v>
      </c>
      <c r="O2594" t="s">
        <v>43167</v>
      </c>
      <c r="P2594">
        <v>0</v>
      </c>
      <c r="Q2594">
        <v>2</v>
      </c>
      <c r="R2594" t="s">
        <v>43170</v>
      </c>
      <c r="S2594" t="s">
        <v>43297</v>
      </c>
      <c r="T2594" t="s">
        <v>44714</v>
      </c>
      <c r="U2594" t="s">
        <v>47327</v>
      </c>
      <c r="W2594" t="s">
        <v>58595</v>
      </c>
      <c r="X2594" t="s">
        <v>43171</v>
      </c>
    </row>
    <row r="2595" spans="1:24">
      <c r="A2595">
        <f>HYPERLINK("https://www.philgeps.gov.ph/GEPSNONPILOT/Tender/SplashBidNoticeAbstractUI.aspx?menuIndex=3&amp;refID=7086476&amp;Result=3","7086476")</f>
        <v>0</v>
      </c>
      <c r="B2595" t="s">
        <v>415</v>
      </c>
      <c r="C2595" t="s">
        <v>5897</v>
      </c>
      <c r="D2595" t="s">
        <v>17472</v>
      </c>
      <c r="E2595" t="s">
        <v>18363</v>
      </c>
      <c r="F2595" t="s">
        <v>30052</v>
      </c>
      <c r="G2595" t="s">
        <v>30061</v>
      </c>
      <c r="H2595" t="s">
        <v>15498</v>
      </c>
      <c r="I2595" t="s">
        <v>30076</v>
      </c>
      <c r="J2595" t="s">
        <v>31981</v>
      </c>
      <c r="K2595" t="s">
        <v>39034</v>
      </c>
      <c r="M2595" t="s">
        <v>39714</v>
      </c>
      <c r="N2595" t="s">
        <v>43166</v>
      </c>
      <c r="O2595" t="s">
        <v>43167</v>
      </c>
      <c r="P2595">
        <v>0</v>
      </c>
      <c r="Q2595">
        <v>2</v>
      </c>
      <c r="R2595" t="s">
        <v>43170</v>
      </c>
      <c r="S2595" t="s">
        <v>43297</v>
      </c>
      <c r="T2595" t="s">
        <v>44685</v>
      </c>
      <c r="U2595" t="s">
        <v>47328</v>
      </c>
      <c r="W2595" t="s">
        <v>39714</v>
      </c>
      <c r="X2595" t="s">
        <v>43171</v>
      </c>
    </row>
    <row r="2596" spans="1:24">
      <c r="A2596">
        <f>HYPERLINK("https://www.philgeps.gov.ph/GEPSNONPILOT/Tender/SplashBidNoticeAbstractUI.aspx?menuIndex=3&amp;refID=7086473&amp;Result=3","7086473")</f>
        <v>0</v>
      </c>
      <c r="B2596" t="s">
        <v>970</v>
      </c>
      <c r="C2596" t="s">
        <v>5898</v>
      </c>
      <c r="D2596" t="s">
        <v>17428</v>
      </c>
      <c r="E2596" t="s">
        <v>19774</v>
      </c>
      <c r="F2596" t="s">
        <v>30052</v>
      </c>
      <c r="G2596" t="s">
        <v>30058</v>
      </c>
      <c r="H2596" t="s">
        <v>30067</v>
      </c>
      <c r="I2596" t="s">
        <v>3693</v>
      </c>
      <c r="J2596" t="s">
        <v>31982</v>
      </c>
      <c r="K2596" t="s">
        <v>39104</v>
      </c>
      <c r="M2596" t="s">
        <v>40297</v>
      </c>
      <c r="N2596" t="s">
        <v>43166</v>
      </c>
      <c r="O2596" t="s">
        <v>43167</v>
      </c>
      <c r="P2596">
        <v>0</v>
      </c>
      <c r="Q2596">
        <v>1</v>
      </c>
      <c r="R2596" t="s">
        <v>43170</v>
      </c>
      <c r="S2596" t="s">
        <v>43297</v>
      </c>
      <c r="T2596" t="s">
        <v>44677</v>
      </c>
      <c r="U2596" t="s">
        <v>47329</v>
      </c>
      <c r="W2596" t="s">
        <v>40297</v>
      </c>
      <c r="X2596" t="s">
        <v>43171</v>
      </c>
    </row>
    <row r="2597" spans="1:24">
      <c r="A2597">
        <f>HYPERLINK("https://www.philgeps.gov.ph/GEPSNONPILOT/Tender/SplashBidNoticeAbstractUI.aspx?menuIndex=3&amp;refID=7086471&amp;Result=3","7086471")</f>
        <v>0</v>
      </c>
      <c r="B2597" t="s">
        <v>694</v>
      </c>
      <c r="C2597" t="s">
        <v>5899</v>
      </c>
      <c r="D2597" t="s">
        <v>17476</v>
      </c>
      <c r="E2597" t="s">
        <v>19775</v>
      </c>
      <c r="F2597" t="s">
        <v>30052</v>
      </c>
      <c r="G2597" t="s">
        <v>30059</v>
      </c>
      <c r="H2597" t="s">
        <v>15498</v>
      </c>
      <c r="I2597" t="s">
        <v>30092</v>
      </c>
      <c r="J2597" t="s">
        <v>31370</v>
      </c>
      <c r="K2597" t="s">
        <v>39064</v>
      </c>
      <c r="M2597" t="s">
        <v>40001</v>
      </c>
      <c r="N2597" t="s">
        <v>43166</v>
      </c>
      <c r="O2597" t="s">
        <v>43167</v>
      </c>
      <c r="P2597">
        <v>0</v>
      </c>
      <c r="Q2597">
        <v>0</v>
      </c>
      <c r="R2597" t="s">
        <v>43170</v>
      </c>
      <c r="S2597" t="s">
        <v>43297</v>
      </c>
      <c r="T2597" t="s">
        <v>44844</v>
      </c>
      <c r="U2597" t="s">
        <v>47330</v>
      </c>
      <c r="W2597" t="s">
        <v>40001</v>
      </c>
      <c r="X2597" t="s">
        <v>43171</v>
      </c>
    </row>
    <row r="2598" spans="1:24">
      <c r="A2598">
        <f>HYPERLINK("https://www.philgeps.gov.ph/GEPSNONPILOT/Tender/SplashBidNoticeAbstractUI.aspx?menuIndex=3&amp;refID=7086479&amp;Result=3","7086479")</f>
        <v>0</v>
      </c>
      <c r="B2598" t="s">
        <v>1023</v>
      </c>
      <c r="C2598" t="s">
        <v>5900</v>
      </c>
      <c r="D2598" t="s">
        <v>17456</v>
      </c>
      <c r="E2598" t="s">
        <v>19776</v>
      </c>
      <c r="F2598" t="s">
        <v>30052</v>
      </c>
      <c r="G2598" t="s">
        <v>30058</v>
      </c>
      <c r="H2598" t="s">
        <v>30067</v>
      </c>
      <c r="I2598" t="s">
        <v>3693</v>
      </c>
      <c r="J2598" t="s">
        <v>31983</v>
      </c>
      <c r="K2598" t="s">
        <v>39025</v>
      </c>
      <c r="M2598" t="s">
        <v>40352</v>
      </c>
      <c r="N2598" t="s">
        <v>43166</v>
      </c>
      <c r="O2598" t="s">
        <v>43167</v>
      </c>
      <c r="P2598">
        <v>0</v>
      </c>
      <c r="Q2598">
        <v>0</v>
      </c>
      <c r="R2598" t="s">
        <v>43170</v>
      </c>
      <c r="S2598" t="s">
        <v>43297</v>
      </c>
      <c r="T2598" t="s">
        <v>44703</v>
      </c>
      <c r="U2598" t="s">
        <v>47331</v>
      </c>
      <c r="W2598" t="s">
        <v>40352</v>
      </c>
      <c r="X2598" t="s">
        <v>43171</v>
      </c>
    </row>
    <row r="2599" spans="1:24">
      <c r="A2599">
        <f>HYPERLINK("https://www.philgeps.gov.ph/GEPSNONPILOT/Tender/SplashBidNoticeAbstractUI.aspx?menuIndex=3&amp;refID=7086470&amp;Result=3","7086470")</f>
        <v>0</v>
      </c>
      <c r="B2599" t="s">
        <v>1024</v>
      </c>
      <c r="C2599" t="s">
        <v>5901</v>
      </c>
      <c r="D2599" t="s">
        <v>17432</v>
      </c>
      <c r="E2599" t="s">
        <v>19777</v>
      </c>
      <c r="F2599" t="s">
        <v>30052</v>
      </c>
      <c r="G2599" t="s">
        <v>30058</v>
      </c>
      <c r="H2599" t="s">
        <v>30067</v>
      </c>
      <c r="I2599" t="s">
        <v>3693</v>
      </c>
      <c r="J2599" t="s">
        <v>31984</v>
      </c>
      <c r="K2599" t="s">
        <v>39026</v>
      </c>
      <c r="M2599" t="s">
        <v>40353</v>
      </c>
      <c r="N2599" t="s">
        <v>43166</v>
      </c>
      <c r="O2599" t="s">
        <v>43167</v>
      </c>
      <c r="P2599">
        <v>0</v>
      </c>
      <c r="Q2599">
        <v>1</v>
      </c>
      <c r="R2599" t="s">
        <v>43170</v>
      </c>
      <c r="S2599" t="s">
        <v>43297</v>
      </c>
      <c r="T2599" t="s">
        <v>44702</v>
      </c>
      <c r="U2599" t="s">
        <v>47332</v>
      </c>
      <c r="W2599" t="s">
        <v>40353</v>
      </c>
      <c r="X2599" t="s">
        <v>43171</v>
      </c>
    </row>
    <row r="2600" spans="1:24">
      <c r="A2600">
        <f>HYPERLINK("https://www.philgeps.gov.ph/GEPSNONPILOT/Tender/SplashBidNoticeAbstractUI.aspx?menuIndex=3&amp;refID=7086481&amp;Result=3","7086481")</f>
        <v>0</v>
      </c>
      <c r="B2600" t="s">
        <v>1018</v>
      </c>
      <c r="C2600" t="s">
        <v>5902</v>
      </c>
      <c r="E2600" t="s">
        <v>19778</v>
      </c>
      <c r="F2600" t="s">
        <v>30052</v>
      </c>
      <c r="G2600" t="s">
        <v>30058</v>
      </c>
      <c r="H2600" t="s">
        <v>15498</v>
      </c>
      <c r="I2600" t="s">
        <v>30073</v>
      </c>
      <c r="J2600" t="s">
        <v>30771</v>
      </c>
      <c r="K2600" t="s">
        <v>39025</v>
      </c>
      <c r="M2600" t="s">
        <v>40347</v>
      </c>
      <c r="N2600" t="s">
        <v>43166</v>
      </c>
      <c r="O2600" t="s">
        <v>43167</v>
      </c>
      <c r="P2600">
        <v>0</v>
      </c>
      <c r="Q2600">
        <v>0</v>
      </c>
      <c r="R2600" t="s">
        <v>43170</v>
      </c>
      <c r="S2600" t="s">
        <v>43297</v>
      </c>
      <c r="T2600" t="s">
        <v>44921</v>
      </c>
      <c r="U2600" t="s">
        <v>47333</v>
      </c>
      <c r="W2600" t="s">
        <v>40347</v>
      </c>
      <c r="X2600" t="s">
        <v>43171</v>
      </c>
    </row>
    <row r="2601" spans="1:24">
      <c r="A2601">
        <f>HYPERLINK("https://www.philgeps.gov.ph/GEPSNONPILOT/Tender/SplashBidNoticeAbstractUI.aspx?menuIndex=3&amp;refID=7086467&amp;Result=3","7086467")</f>
        <v>0</v>
      </c>
      <c r="B2601" t="s">
        <v>1025</v>
      </c>
      <c r="C2601" t="s">
        <v>5903</v>
      </c>
      <c r="D2601" t="s">
        <v>17455</v>
      </c>
      <c r="E2601" t="s">
        <v>19779</v>
      </c>
      <c r="F2601" t="s">
        <v>30052</v>
      </c>
      <c r="G2601" t="s">
        <v>30062</v>
      </c>
      <c r="H2601" t="s">
        <v>15498</v>
      </c>
      <c r="I2601" t="s">
        <v>30070</v>
      </c>
      <c r="J2601" t="s">
        <v>31985</v>
      </c>
      <c r="K2601" t="s">
        <v>39025</v>
      </c>
      <c r="M2601" t="s">
        <v>40354</v>
      </c>
      <c r="N2601" t="s">
        <v>43166</v>
      </c>
      <c r="O2601" t="s">
        <v>43167</v>
      </c>
      <c r="P2601">
        <v>0</v>
      </c>
      <c r="Q2601">
        <v>6</v>
      </c>
      <c r="R2601" t="s">
        <v>43170</v>
      </c>
      <c r="S2601" t="s">
        <v>43297</v>
      </c>
      <c r="T2601" t="s">
        <v>44714</v>
      </c>
      <c r="U2601" t="s">
        <v>47334</v>
      </c>
      <c r="W2601" t="s">
        <v>40354</v>
      </c>
      <c r="X2601" t="s">
        <v>43171</v>
      </c>
    </row>
    <row r="2602" spans="1:24">
      <c r="A2602">
        <f>HYPERLINK("https://www.philgeps.gov.ph/GEPSNONPILOT/Tender/SplashBidNoticeAbstractUI.aspx?menuIndex=3&amp;refID=7086438&amp;Result=3","7086438")</f>
        <v>0</v>
      </c>
      <c r="B2602" t="s">
        <v>1026</v>
      </c>
      <c r="C2602" t="s">
        <v>5904</v>
      </c>
      <c r="D2602" t="s">
        <v>17444</v>
      </c>
      <c r="E2602" t="s">
        <v>19780</v>
      </c>
      <c r="F2602" t="s">
        <v>30052</v>
      </c>
      <c r="G2602" t="s">
        <v>30058</v>
      </c>
      <c r="H2602" t="s">
        <v>15498</v>
      </c>
      <c r="I2602" t="s">
        <v>4650</v>
      </c>
      <c r="J2602" t="s">
        <v>31986</v>
      </c>
      <c r="K2602" t="s">
        <v>39029</v>
      </c>
      <c r="M2602" t="s">
        <v>40355</v>
      </c>
      <c r="N2602" t="s">
        <v>43166</v>
      </c>
      <c r="O2602" t="s">
        <v>43167</v>
      </c>
      <c r="P2602">
        <v>0</v>
      </c>
      <c r="Q2602">
        <v>1</v>
      </c>
      <c r="R2602" t="s">
        <v>43170</v>
      </c>
      <c r="S2602" t="s">
        <v>43297</v>
      </c>
      <c r="T2602" t="s">
        <v>44677</v>
      </c>
      <c r="U2602" t="s">
        <v>47335</v>
      </c>
      <c r="W2602" t="s">
        <v>40355</v>
      </c>
      <c r="X2602" t="s">
        <v>43171</v>
      </c>
    </row>
    <row r="2603" spans="1:24">
      <c r="A2603">
        <f>HYPERLINK("https://www.philgeps.gov.ph/GEPSNONPILOT/Tender/SplashBidNoticeAbstractUI.aspx?menuIndex=3&amp;refID=7086462&amp;Result=3","7086462")</f>
        <v>0</v>
      </c>
      <c r="B2603" t="s">
        <v>1018</v>
      </c>
      <c r="C2603" t="s">
        <v>3615</v>
      </c>
      <c r="E2603" t="s">
        <v>19781</v>
      </c>
      <c r="F2603" t="s">
        <v>30052</v>
      </c>
      <c r="G2603" t="s">
        <v>30058</v>
      </c>
      <c r="H2603" t="s">
        <v>15498</v>
      </c>
      <c r="I2603" t="s">
        <v>3736</v>
      </c>
      <c r="J2603" t="s">
        <v>31987</v>
      </c>
      <c r="K2603" t="s">
        <v>39025</v>
      </c>
      <c r="M2603" t="s">
        <v>40347</v>
      </c>
      <c r="N2603" t="s">
        <v>43166</v>
      </c>
      <c r="O2603" t="s">
        <v>43167</v>
      </c>
      <c r="P2603">
        <v>0</v>
      </c>
      <c r="Q2603">
        <v>0</v>
      </c>
      <c r="R2603" t="s">
        <v>43170</v>
      </c>
      <c r="S2603" t="s">
        <v>43297</v>
      </c>
      <c r="T2603" t="s">
        <v>44921</v>
      </c>
      <c r="U2603" t="s">
        <v>47336</v>
      </c>
      <c r="W2603" t="s">
        <v>40347</v>
      </c>
      <c r="X2603" t="s">
        <v>43171</v>
      </c>
    </row>
    <row r="2604" spans="1:24">
      <c r="A2604">
        <f>HYPERLINK("https://www.philgeps.gov.ph/GEPSNONPILOT/Tender/SplashBidNoticeAbstractUI.aspx?menuIndex=3&amp;refID=7086472&amp;Result=3","7086472")</f>
        <v>0</v>
      </c>
      <c r="B2604" t="s">
        <v>1027</v>
      </c>
      <c r="C2604" t="s">
        <v>5905</v>
      </c>
      <c r="D2604" t="s">
        <v>17484</v>
      </c>
      <c r="E2604" t="s">
        <v>19782</v>
      </c>
      <c r="F2604" t="s">
        <v>30052</v>
      </c>
      <c r="G2604" t="s">
        <v>30059</v>
      </c>
      <c r="H2604" t="s">
        <v>15498</v>
      </c>
      <c r="I2604" t="s">
        <v>3693</v>
      </c>
      <c r="J2604" t="s">
        <v>30207</v>
      </c>
      <c r="K2604" t="s">
        <v>39017</v>
      </c>
      <c r="M2604" t="s">
        <v>40356</v>
      </c>
      <c r="N2604" t="s">
        <v>43166</v>
      </c>
      <c r="O2604" t="s">
        <v>43167</v>
      </c>
      <c r="P2604">
        <v>0</v>
      </c>
      <c r="Q2604">
        <v>0</v>
      </c>
      <c r="R2604" t="s">
        <v>43170</v>
      </c>
      <c r="S2604" t="s">
        <v>43297</v>
      </c>
      <c r="T2604" t="s">
        <v>44710</v>
      </c>
      <c r="U2604" t="s">
        <v>47337</v>
      </c>
      <c r="V2604" t="s">
        <v>57126</v>
      </c>
      <c r="W2604" t="s">
        <v>40356</v>
      </c>
      <c r="X2604" t="s">
        <v>43171</v>
      </c>
    </row>
    <row r="2605" spans="1:24">
      <c r="A2605">
        <f>HYPERLINK("https://www.philgeps.gov.ph/GEPSNONPILOT/Tender/SplashBidNoticeAbstractUI.aspx?menuIndex=3&amp;refID=7086460&amp;Result=3","7086460")</f>
        <v>0</v>
      </c>
      <c r="B2605" t="s">
        <v>236</v>
      </c>
      <c r="C2605" t="s">
        <v>5906</v>
      </c>
      <c r="D2605" t="s">
        <v>17427</v>
      </c>
      <c r="E2605" t="s">
        <v>19783</v>
      </c>
      <c r="F2605" t="s">
        <v>30052</v>
      </c>
      <c r="G2605" t="s">
        <v>30059</v>
      </c>
      <c r="H2605" t="s">
        <v>15498</v>
      </c>
      <c r="I2605" t="s">
        <v>3736</v>
      </c>
      <c r="J2605" t="s">
        <v>31988</v>
      </c>
      <c r="K2605" t="s">
        <v>39023</v>
      </c>
      <c r="M2605" t="s">
        <v>39920</v>
      </c>
      <c r="N2605" t="s">
        <v>43166</v>
      </c>
      <c r="O2605" t="s">
        <v>43167</v>
      </c>
      <c r="P2605">
        <v>0</v>
      </c>
      <c r="Q2605">
        <v>0</v>
      </c>
      <c r="R2605" t="s">
        <v>43170</v>
      </c>
      <c r="S2605" t="s">
        <v>43297</v>
      </c>
      <c r="T2605" t="s">
        <v>44826</v>
      </c>
      <c r="U2605" t="s">
        <v>47338</v>
      </c>
      <c r="V2605" t="s">
        <v>45722</v>
      </c>
      <c r="W2605" t="s">
        <v>39920</v>
      </c>
      <c r="X2605" t="s">
        <v>43171</v>
      </c>
    </row>
    <row r="2606" spans="1:24">
      <c r="A2606">
        <f>HYPERLINK("https://www.philgeps.gov.ph/GEPSNONPILOT/Tender/SplashBidNoticeAbstractUI.aspx?menuIndex=3&amp;refID=7086363&amp;Result=3","7086363")</f>
        <v>0</v>
      </c>
      <c r="B2606" t="s">
        <v>415</v>
      </c>
      <c r="C2606" t="s">
        <v>5907</v>
      </c>
      <c r="D2606" t="s">
        <v>17472</v>
      </c>
      <c r="E2606" t="s">
        <v>18363</v>
      </c>
      <c r="F2606" t="s">
        <v>30052</v>
      </c>
      <c r="G2606" t="s">
        <v>30061</v>
      </c>
      <c r="H2606" t="s">
        <v>15498</v>
      </c>
      <c r="I2606" t="s">
        <v>3693</v>
      </c>
      <c r="J2606" t="s">
        <v>31915</v>
      </c>
      <c r="K2606" t="s">
        <v>39034</v>
      </c>
      <c r="M2606" t="s">
        <v>39714</v>
      </c>
      <c r="N2606" t="s">
        <v>43166</v>
      </c>
      <c r="O2606" t="s">
        <v>43167</v>
      </c>
      <c r="P2606">
        <v>0</v>
      </c>
      <c r="Q2606">
        <v>0</v>
      </c>
      <c r="R2606" t="s">
        <v>43170</v>
      </c>
      <c r="S2606" t="s">
        <v>43297</v>
      </c>
      <c r="T2606" t="s">
        <v>44685</v>
      </c>
      <c r="U2606" t="s">
        <v>47257</v>
      </c>
      <c r="W2606" t="s">
        <v>39714</v>
      </c>
      <c r="X2606" t="s">
        <v>43171</v>
      </c>
    </row>
    <row r="2607" spans="1:24">
      <c r="A2607">
        <f>HYPERLINK("https://www.philgeps.gov.ph/GEPSNONPILOT/Tender/SplashBidNoticeAbstractUI.aspx?menuIndex=3&amp;refID=7086456&amp;Result=3","7086456")</f>
        <v>0</v>
      </c>
      <c r="B2607" t="s">
        <v>1024</v>
      </c>
      <c r="C2607" t="s">
        <v>5908</v>
      </c>
      <c r="D2607" t="s">
        <v>17432</v>
      </c>
      <c r="E2607" t="s">
        <v>19784</v>
      </c>
      <c r="F2607" t="s">
        <v>30052</v>
      </c>
      <c r="G2607" t="s">
        <v>30058</v>
      </c>
      <c r="H2607" t="s">
        <v>30067</v>
      </c>
      <c r="I2607" t="s">
        <v>3693</v>
      </c>
      <c r="J2607" t="s">
        <v>31984</v>
      </c>
      <c r="K2607" t="s">
        <v>39026</v>
      </c>
      <c r="M2607" t="s">
        <v>40353</v>
      </c>
      <c r="N2607" t="s">
        <v>43166</v>
      </c>
      <c r="O2607" t="s">
        <v>43167</v>
      </c>
      <c r="P2607">
        <v>0</v>
      </c>
      <c r="Q2607">
        <v>1</v>
      </c>
      <c r="R2607" t="s">
        <v>43170</v>
      </c>
      <c r="S2607" t="s">
        <v>43297</v>
      </c>
      <c r="T2607" t="s">
        <v>44702</v>
      </c>
      <c r="U2607" t="s">
        <v>47339</v>
      </c>
      <c r="W2607" t="s">
        <v>40353</v>
      </c>
      <c r="X2607" t="s">
        <v>43171</v>
      </c>
    </row>
    <row r="2608" spans="1:24">
      <c r="A2608">
        <f>HYPERLINK("https://www.philgeps.gov.ph/GEPSNONPILOT/Tender/SplashBidNoticeAbstractUI.aspx?menuIndex=3&amp;refID=7086464&amp;Result=3","7086464")</f>
        <v>0</v>
      </c>
      <c r="B2608" t="s">
        <v>415</v>
      </c>
      <c r="C2608" t="s">
        <v>5909</v>
      </c>
      <c r="D2608" t="s">
        <v>17472</v>
      </c>
      <c r="E2608" t="s">
        <v>18363</v>
      </c>
      <c r="F2608" t="s">
        <v>30052</v>
      </c>
      <c r="G2608" t="s">
        <v>30061</v>
      </c>
      <c r="H2608" t="s">
        <v>15498</v>
      </c>
      <c r="I2608" t="s">
        <v>30076</v>
      </c>
      <c r="J2608" t="s">
        <v>31989</v>
      </c>
      <c r="K2608" t="s">
        <v>39034</v>
      </c>
      <c r="M2608" t="s">
        <v>39714</v>
      </c>
      <c r="N2608" t="s">
        <v>43166</v>
      </c>
      <c r="O2608" t="s">
        <v>43167</v>
      </c>
      <c r="P2608">
        <v>0</v>
      </c>
      <c r="Q2608">
        <v>0</v>
      </c>
      <c r="R2608" t="s">
        <v>43170</v>
      </c>
      <c r="S2608" t="s">
        <v>43297</v>
      </c>
      <c r="T2608" t="s">
        <v>44685</v>
      </c>
      <c r="U2608" t="s">
        <v>47340</v>
      </c>
      <c r="W2608" t="s">
        <v>39714</v>
      </c>
      <c r="X2608" t="s">
        <v>43171</v>
      </c>
    </row>
    <row r="2609" spans="1:24">
      <c r="A2609">
        <f>HYPERLINK("https://www.philgeps.gov.ph/GEPSNONPILOT/Tender/SplashBidNoticeAbstractUI.aspx?menuIndex=3&amp;refID=7086517&amp;Result=3","7086517")</f>
        <v>0</v>
      </c>
      <c r="B2609" t="s">
        <v>1028</v>
      </c>
      <c r="C2609" t="s">
        <v>5910</v>
      </c>
      <c r="D2609" t="s">
        <v>17450</v>
      </c>
      <c r="E2609" t="s">
        <v>19785</v>
      </c>
      <c r="F2609" t="s">
        <v>30052</v>
      </c>
      <c r="G2609" t="s">
        <v>30059</v>
      </c>
      <c r="H2609" t="s">
        <v>15498</v>
      </c>
      <c r="I2609" t="s">
        <v>6691</v>
      </c>
      <c r="J2609" t="s">
        <v>31990</v>
      </c>
      <c r="K2609" t="s">
        <v>39035</v>
      </c>
      <c r="M2609" t="s">
        <v>40357</v>
      </c>
      <c r="N2609" t="s">
        <v>43166</v>
      </c>
      <c r="O2609" t="s">
        <v>43167</v>
      </c>
      <c r="P2609">
        <v>0</v>
      </c>
      <c r="Q2609">
        <v>0</v>
      </c>
      <c r="R2609" t="s">
        <v>43170</v>
      </c>
      <c r="S2609" t="s">
        <v>43297</v>
      </c>
      <c r="T2609" t="s">
        <v>44691</v>
      </c>
      <c r="U2609" t="s">
        <v>47341</v>
      </c>
      <c r="W2609" t="s">
        <v>40357</v>
      </c>
      <c r="X2609" t="s">
        <v>43171</v>
      </c>
    </row>
    <row r="2610" spans="1:24">
      <c r="A2610">
        <f>HYPERLINK("https://www.philgeps.gov.ph/GEPSNONPILOT/Tender/SplashBidNoticeAbstractUI.aspx?menuIndex=3&amp;refID=7086468&amp;Result=3","7086468")</f>
        <v>0</v>
      </c>
      <c r="B2610" t="s">
        <v>682</v>
      </c>
      <c r="C2610" t="s">
        <v>5911</v>
      </c>
      <c r="D2610" t="s">
        <v>17447</v>
      </c>
      <c r="E2610" t="s">
        <v>19786</v>
      </c>
      <c r="F2610" t="s">
        <v>30052</v>
      </c>
      <c r="G2610" t="s">
        <v>30059</v>
      </c>
      <c r="H2610" t="s">
        <v>15498</v>
      </c>
      <c r="I2610" t="s">
        <v>4598</v>
      </c>
      <c r="J2610" t="s">
        <v>30326</v>
      </c>
      <c r="K2610" t="s">
        <v>39019</v>
      </c>
      <c r="M2610" t="s">
        <v>39988</v>
      </c>
      <c r="N2610" t="s">
        <v>43166</v>
      </c>
      <c r="O2610" t="s">
        <v>43167</v>
      </c>
      <c r="P2610">
        <v>0</v>
      </c>
      <c r="Q2610">
        <v>2</v>
      </c>
      <c r="R2610" t="s">
        <v>43170</v>
      </c>
      <c r="S2610" t="s">
        <v>43297</v>
      </c>
      <c r="T2610" t="s">
        <v>44735</v>
      </c>
      <c r="U2610" t="s">
        <v>46501</v>
      </c>
      <c r="W2610" t="s">
        <v>58608</v>
      </c>
      <c r="X2610" t="s">
        <v>43171</v>
      </c>
    </row>
    <row r="2611" spans="1:24">
      <c r="A2611">
        <f>HYPERLINK("https://www.philgeps.gov.ph/GEPSNONPILOT/Tender/SplashBidNoticeAbstractUI.aspx?menuIndex=3&amp;refID=7086513&amp;Result=3","7086513")</f>
        <v>0</v>
      </c>
      <c r="B2611" t="s">
        <v>1029</v>
      </c>
      <c r="C2611" t="s">
        <v>5912</v>
      </c>
      <c r="D2611" t="s">
        <v>17449</v>
      </c>
      <c r="E2611" t="s">
        <v>19787</v>
      </c>
      <c r="F2611" t="s">
        <v>30052</v>
      </c>
      <c r="G2611" t="s">
        <v>30059</v>
      </c>
      <c r="H2611" t="s">
        <v>15498</v>
      </c>
      <c r="I2611" t="s">
        <v>30071</v>
      </c>
      <c r="J2611" t="s">
        <v>31991</v>
      </c>
      <c r="K2611" t="s">
        <v>39029</v>
      </c>
      <c r="M2611" t="s">
        <v>40358</v>
      </c>
      <c r="N2611" t="s">
        <v>43166</v>
      </c>
      <c r="O2611" t="s">
        <v>43167</v>
      </c>
      <c r="P2611">
        <v>0</v>
      </c>
      <c r="Q2611">
        <v>0</v>
      </c>
      <c r="R2611" t="s">
        <v>43170</v>
      </c>
      <c r="S2611" t="s">
        <v>43297</v>
      </c>
      <c r="T2611" t="s">
        <v>44837</v>
      </c>
      <c r="U2611" t="s">
        <v>47342</v>
      </c>
      <c r="W2611" t="s">
        <v>40358</v>
      </c>
      <c r="X2611" t="s">
        <v>43171</v>
      </c>
    </row>
    <row r="2612" spans="1:24">
      <c r="A2612">
        <f>HYPERLINK("https://www.philgeps.gov.ph/GEPSNONPILOT/Tender/SplashBidNoticeAbstractUI.aspx?menuIndex=3&amp;refID=7086509&amp;Result=3","7086509")</f>
        <v>0</v>
      </c>
      <c r="B2612" t="s">
        <v>1030</v>
      </c>
      <c r="C2612" t="s">
        <v>5913</v>
      </c>
      <c r="D2612" t="s">
        <v>17435</v>
      </c>
      <c r="E2612" t="s">
        <v>19788</v>
      </c>
      <c r="F2612" t="s">
        <v>30052</v>
      </c>
      <c r="G2612" t="s">
        <v>30061</v>
      </c>
      <c r="H2612" t="s">
        <v>15498</v>
      </c>
      <c r="I2612" t="s">
        <v>5961</v>
      </c>
      <c r="J2612" t="s">
        <v>30327</v>
      </c>
      <c r="K2612" t="s">
        <v>39017</v>
      </c>
      <c r="M2612" t="s">
        <v>40359</v>
      </c>
      <c r="N2612" t="s">
        <v>43166</v>
      </c>
      <c r="O2612" t="s">
        <v>43167</v>
      </c>
      <c r="P2612">
        <v>0</v>
      </c>
      <c r="Q2612">
        <v>0</v>
      </c>
      <c r="R2612" t="s">
        <v>43170</v>
      </c>
      <c r="S2612" t="s">
        <v>43297</v>
      </c>
      <c r="T2612" t="s">
        <v>44777</v>
      </c>
      <c r="U2612" t="s">
        <v>47343</v>
      </c>
      <c r="V2612" t="s">
        <v>57127</v>
      </c>
      <c r="W2612" t="s">
        <v>40359</v>
      </c>
      <c r="X2612" t="s">
        <v>43171</v>
      </c>
    </row>
    <row r="2613" spans="1:24">
      <c r="A2613">
        <f>HYPERLINK("https://www.philgeps.gov.ph/GEPSNONPILOT/Tender/SplashBidNoticeAbstractUI.aspx?menuIndex=3&amp;refID=7086423&amp;Result=3","7086423")</f>
        <v>0</v>
      </c>
      <c r="B2613" t="s">
        <v>415</v>
      </c>
      <c r="C2613" t="s">
        <v>5914</v>
      </c>
      <c r="D2613" t="s">
        <v>17472</v>
      </c>
      <c r="E2613" t="s">
        <v>18363</v>
      </c>
      <c r="F2613" t="s">
        <v>30052</v>
      </c>
      <c r="G2613" t="s">
        <v>30061</v>
      </c>
      <c r="H2613" t="s">
        <v>15498</v>
      </c>
      <c r="I2613" t="s">
        <v>30071</v>
      </c>
      <c r="J2613" t="s">
        <v>31992</v>
      </c>
      <c r="K2613" t="s">
        <v>39034</v>
      </c>
      <c r="M2613" t="s">
        <v>39714</v>
      </c>
      <c r="N2613" t="s">
        <v>43166</v>
      </c>
      <c r="O2613" t="s">
        <v>43167</v>
      </c>
      <c r="P2613">
        <v>0</v>
      </c>
      <c r="Q2613">
        <v>0</v>
      </c>
      <c r="R2613" t="s">
        <v>43170</v>
      </c>
      <c r="S2613" t="s">
        <v>43297</v>
      </c>
      <c r="T2613" t="s">
        <v>44685</v>
      </c>
      <c r="U2613" t="s">
        <v>47344</v>
      </c>
      <c r="W2613" t="s">
        <v>39714</v>
      </c>
      <c r="X2613" t="s">
        <v>43171</v>
      </c>
    </row>
    <row r="2614" spans="1:24">
      <c r="A2614">
        <f>HYPERLINK("https://www.philgeps.gov.ph/GEPSNONPILOT/Tender/SplashBidNoticeAbstractUI.aspx?menuIndex=3&amp;refID=7086506&amp;Result=3","7086506")</f>
        <v>0</v>
      </c>
      <c r="B2614" t="s">
        <v>1022</v>
      </c>
      <c r="C2614" t="s">
        <v>5915</v>
      </c>
      <c r="E2614" t="s">
        <v>19789</v>
      </c>
      <c r="F2614" t="s">
        <v>30052</v>
      </c>
      <c r="G2614" t="s">
        <v>30058</v>
      </c>
      <c r="H2614" t="s">
        <v>15498</v>
      </c>
      <c r="I2614" t="s">
        <v>30094</v>
      </c>
      <c r="J2614" t="s">
        <v>30788</v>
      </c>
      <c r="K2614" t="s">
        <v>39064</v>
      </c>
      <c r="M2614" t="s">
        <v>40351</v>
      </c>
      <c r="N2614" t="s">
        <v>43166</v>
      </c>
      <c r="O2614" t="s">
        <v>43167</v>
      </c>
      <c r="P2614">
        <v>0</v>
      </c>
      <c r="Q2614">
        <v>1</v>
      </c>
      <c r="R2614" t="s">
        <v>43170</v>
      </c>
      <c r="S2614" t="s">
        <v>43297</v>
      </c>
      <c r="T2614" t="s">
        <v>44730</v>
      </c>
      <c r="U2614" t="s">
        <v>47345</v>
      </c>
      <c r="W2614" t="s">
        <v>40351</v>
      </c>
      <c r="X2614" t="s">
        <v>43171</v>
      </c>
    </row>
    <row r="2615" spans="1:24">
      <c r="A2615">
        <f>HYPERLINK("https://www.philgeps.gov.ph/GEPSNONPILOT/Tender/SplashBidNoticeAbstractUI.aspx?menuIndex=3&amp;refID=7086458&amp;Result=3","7086458")</f>
        <v>0</v>
      </c>
      <c r="B2615" t="s">
        <v>691</v>
      </c>
      <c r="C2615" t="s">
        <v>5916</v>
      </c>
      <c r="D2615" t="s">
        <v>17452</v>
      </c>
      <c r="E2615" t="s">
        <v>19790</v>
      </c>
      <c r="F2615" t="s">
        <v>30052</v>
      </c>
      <c r="G2615" t="s">
        <v>30058</v>
      </c>
      <c r="H2615" t="s">
        <v>15498</v>
      </c>
      <c r="I2615" t="s">
        <v>7228</v>
      </c>
      <c r="J2615" t="s">
        <v>31993</v>
      </c>
      <c r="K2615" t="s">
        <v>39025</v>
      </c>
      <c r="M2615" t="s">
        <v>39997</v>
      </c>
      <c r="N2615" t="s">
        <v>43166</v>
      </c>
      <c r="O2615" t="s">
        <v>43167</v>
      </c>
      <c r="P2615">
        <v>0</v>
      </c>
      <c r="Q2615">
        <v>0</v>
      </c>
      <c r="R2615" t="s">
        <v>43170</v>
      </c>
      <c r="S2615" t="s">
        <v>43297</v>
      </c>
      <c r="T2615" t="s">
        <v>44733</v>
      </c>
      <c r="U2615" t="s">
        <v>47346</v>
      </c>
      <c r="W2615" t="s">
        <v>39997</v>
      </c>
      <c r="X2615" t="s">
        <v>43171</v>
      </c>
    </row>
    <row r="2616" spans="1:24">
      <c r="A2616">
        <f>HYPERLINK("https://www.philgeps.gov.ph/GEPSNONPILOT/Tender/SplashBidNoticeAbstractUI.aspx?menuIndex=3&amp;refID=7086291&amp;Result=3","7086291")</f>
        <v>0</v>
      </c>
      <c r="B2616" t="s">
        <v>977</v>
      </c>
      <c r="C2616" t="s">
        <v>5917</v>
      </c>
      <c r="D2616" t="s">
        <v>17484</v>
      </c>
      <c r="E2616" t="s">
        <v>19791</v>
      </c>
      <c r="F2616" t="s">
        <v>30052</v>
      </c>
      <c r="G2616" t="s">
        <v>30058</v>
      </c>
      <c r="H2616" t="s">
        <v>15498</v>
      </c>
      <c r="I2616" t="s">
        <v>4650</v>
      </c>
      <c r="J2616" t="s">
        <v>31994</v>
      </c>
      <c r="K2616" t="s">
        <v>39029</v>
      </c>
      <c r="M2616" t="s">
        <v>40304</v>
      </c>
      <c r="N2616" t="s">
        <v>43166</v>
      </c>
      <c r="O2616" t="s">
        <v>43167</v>
      </c>
      <c r="P2616">
        <v>0</v>
      </c>
      <c r="Q2616">
        <v>0</v>
      </c>
      <c r="R2616" t="s">
        <v>43170</v>
      </c>
      <c r="S2616" t="s">
        <v>43297</v>
      </c>
      <c r="T2616" t="s">
        <v>44892</v>
      </c>
      <c r="U2616" t="s">
        <v>47347</v>
      </c>
      <c r="W2616" t="s">
        <v>40304</v>
      </c>
      <c r="X2616" t="s">
        <v>43171</v>
      </c>
    </row>
    <row r="2617" spans="1:24">
      <c r="A2617">
        <f>HYPERLINK("https://www.philgeps.gov.ph/GEPSNONPILOT/Tender/SplashBidNoticeAbstractUI.aspx?menuIndex=3&amp;refID=7086500&amp;Result=3","7086500")</f>
        <v>0</v>
      </c>
      <c r="B2617" t="s">
        <v>1018</v>
      </c>
      <c r="C2617" t="s">
        <v>5918</v>
      </c>
      <c r="E2617" t="s">
        <v>19792</v>
      </c>
      <c r="F2617" t="s">
        <v>30052</v>
      </c>
      <c r="G2617" t="s">
        <v>30058</v>
      </c>
      <c r="H2617" t="s">
        <v>15498</v>
      </c>
      <c r="I2617" t="s">
        <v>30097</v>
      </c>
      <c r="J2617" t="s">
        <v>31995</v>
      </c>
      <c r="K2617" t="s">
        <v>39025</v>
      </c>
      <c r="M2617" t="s">
        <v>40347</v>
      </c>
      <c r="N2617" t="s">
        <v>43166</v>
      </c>
      <c r="O2617" t="s">
        <v>43167</v>
      </c>
      <c r="P2617">
        <v>0</v>
      </c>
      <c r="Q2617">
        <v>0</v>
      </c>
      <c r="R2617" t="s">
        <v>43170</v>
      </c>
      <c r="S2617" t="s">
        <v>43297</v>
      </c>
      <c r="T2617" t="s">
        <v>44921</v>
      </c>
      <c r="U2617" t="s">
        <v>47348</v>
      </c>
      <c r="W2617" t="s">
        <v>40347</v>
      </c>
      <c r="X2617" t="s">
        <v>43171</v>
      </c>
    </row>
    <row r="2618" spans="1:24">
      <c r="A2618">
        <f>HYPERLINK("https://www.philgeps.gov.ph/GEPSNONPILOT/Tender/SplashBidNoticeAbstractUI.aspx?menuIndex=3&amp;refID=7086515&amp;Result=3","7086515")</f>
        <v>0</v>
      </c>
      <c r="B2618" t="s">
        <v>1031</v>
      </c>
      <c r="C2618" t="s">
        <v>5919</v>
      </c>
      <c r="D2618" t="s">
        <v>17415</v>
      </c>
      <c r="E2618" t="s">
        <v>19793</v>
      </c>
      <c r="F2618" t="s">
        <v>30052</v>
      </c>
      <c r="G2618" t="s">
        <v>30058</v>
      </c>
      <c r="H2618" t="s">
        <v>15498</v>
      </c>
      <c r="I2618" t="s">
        <v>30140</v>
      </c>
      <c r="J2618" t="s">
        <v>31996</v>
      </c>
      <c r="K2618" t="s">
        <v>39017</v>
      </c>
      <c r="M2618" t="s">
        <v>40360</v>
      </c>
      <c r="N2618" t="s">
        <v>43166</v>
      </c>
      <c r="O2618" t="s">
        <v>43167</v>
      </c>
      <c r="P2618">
        <v>0</v>
      </c>
      <c r="Q2618">
        <v>0</v>
      </c>
      <c r="R2618" t="s">
        <v>43170</v>
      </c>
      <c r="S2618" t="s">
        <v>43297</v>
      </c>
      <c r="T2618" t="s">
        <v>44721</v>
      </c>
      <c r="U2618" t="s">
        <v>47349</v>
      </c>
      <c r="W2618" t="s">
        <v>40360</v>
      </c>
      <c r="X2618" t="s">
        <v>43171</v>
      </c>
    </row>
    <row r="2619" spans="1:24">
      <c r="A2619">
        <f>HYPERLINK("https://www.philgeps.gov.ph/GEPSNONPILOT/Tender/SplashBidNoticeAbstractUI.aspx?menuIndex=3&amp;refID=7086497&amp;Result=3","7086497")</f>
        <v>0</v>
      </c>
      <c r="B2619" t="s">
        <v>1030</v>
      </c>
      <c r="C2619" t="s">
        <v>5920</v>
      </c>
      <c r="D2619" t="s">
        <v>17435</v>
      </c>
      <c r="E2619" t="s">
        <v>19788</v>
      </c>
      <c r="F2619" t="s">
        <v>30052</v>
      </c>
      <c r="G2619" t="s">
        <v>30061</v>
      </c>
      <c r="H2619" t="s">
        <v>15498</v>
      </c>
      <c r="I2619" t="s">
        <v>5961</v>
      </c>
      <c r="J2619" t="s">
        <v>31997</v>
      </c>
      <c r="K2619" t="s">
        <v>39017</v>
      </c>
      <c r="M2619" t="s">
        <v>40359</v>
      </c>
      <c r="N2619" t="s">
        <v>43166</v>
      </c>
      <c r="O2619" t="s">
        <v>43167</v>
      </c>
      <c r="P2619">
        <v>0</v>
      </c>
      <c r="Q2619">
        <v>0</v>
      </c>
      <c r="R2619" t="s">
        <v>43170</v>
      </c>
      <c r="S2619" t="s">
        <v>43297</v>
      </c>
      <c r="T2619" t="s">
        <v>44777</v>
      </c>
      <c r="U2619" t="s">
        <v>47350</v>
      </c>
      <c r="V2619" t="s">
        <v>57127</v>
      </c>
      <c r="W2619" t="s">
        <v>40359</v>
      </c>
      <c r="X2619" t="s">
        <v>43171</v>
      </c>
    </row>
    <row r="2620" spans="1:24">
      <c r="A2620">
        <f>HYPERLINK("https://www.philgeps.gov.ph/GEPSNONPILOT/Tender/SplashBidNoticeAbstractUI.aspx?menuIndex=3&amp;refID=7086494&amp;Result=3","7086494")</f>
        <v>0</v>
      </c>
      <c r="B2620" t="s">
        <v>1032</v>
      </c>
      <c r="C2620" t="s">
        <v>5921</v>
      </c>
      <c r="D2620" t="s">
        <v>17485</v>
      </c>
      <c r="E2620" t="s">
        <v>19794</v>
      </c>
      <c r="F2620" t="s">
        <v>30052</v>
      </c>
      <c r="G2620" t="s">
        <v>30061</v>
      </c>
      <c r="H2620" t="s">
        <v>15498</v>
      </c>
      <c r="I2620" t="s">
        <v>30080</v>
      </c>
      <c r="J2620" t="s">
        <v>31998</v>
      </c>
      <c r="K2620" t="s">
        <v>39019</v>
      </c>
      <c r="M2620" t="s">
        <v>40361</v>
      </c>
      <c r="N2620" t="s">
        <v>43166</v>
      </c>
      <c r="O2620" t="s">
        <v>43167</v>
      </c>
      <c r="P2620">
        <v>0</v>
      </c>
      <c r="Q2620">
        <v>1</v>
      </c>
      <c r="R2620" t="s">
        <v>43170</v>
      </c>
      <c r="S2620" t="s">
        <v>43297</v>
      </c>
      <c r="T2620" t="s">
        <v>44698</v>
      </c>
      <c r="U2620" t="s">
        <v>47351</v>
      </c>
      <c r="W2620" t="s">
        <v>40361</v>
      </c>
      <c r="X2620" t="s">
        <v>43171</v>
      </c>
    </row>
    <row r="2621" spans="1:24">
      <c r="A2621">
        <f>HYPERLINK("https://www.philgeps.gov.ph/GEPSNONPILOT/Tender/SplashBidNoticeAbstractUI.aspx?menuIndex=3&amp;refID=7086508&amp;Result=3","7086508")</f>
        <v>0</v>
      </c>
      <c r="B2621" t="s">
        <v>881</v>
      </c>
      <c r="C2621" t="s">
        <v>5922</v>
      </c>
      <c r="E2621" t="s">
        <v>5922</v>
      </c>
      <c r="F2621" t="s">
        <v>30052</v>
      </c>
      <c r="G2621" t="s">
        <v>30059</v>
      </c>
      <c r="H2621" t="s">
        <v>15498</v>
      </c>
      <c r="I2621" t="s">
        <v>30076</v>
      </c>
      <c r="J2621" t="s">
        <v>31999</v>
      </c>
      <c r="K2621" t="s">
        <v>39025</v>
      </c>
      <c r="M2621" t="s">
        <v>40200</v>
      </c>
      <c r="N2621" t="s">
        <v>43166</v>
      </c>
      <c r="O2621" t="s">
        <v>43167</v>
      </c>
      <c r="P2621">
        <v>0</v>
      </c>
      <c r="Q2621">
        <v>0</v>
      </c>
      <c r="R2621" t="s">
        <v>43170</v>
      </c>
      <c r="S2621" t="s">
        <v>43297</v>
      </c>
      <c r="T2621" t="s">
        <v>44777</v>
      </c>
      <c r="U2621" t="s">
        <v>46681</v>
      </c>
      <c r="W2621" t="s">
        <v>40200</v>
      </c>
      <c r="X2621" t="s">
        <v>43171</v>
      </c>
    </row>
    <row r="2622" spans="1:24">
      <c r="A2622">
        <f>HYPERLINK("https://www.philgeps.gov.ph/GEPSNONPILOT/Tender/SplashBidNoticeAbstractUI.aspx?menuIndex=3&amp;refID=7086493&amp;Result=3","7086493")</f>
        <v>0</v>
      </c>
      <c r="B2622" t="s">
        <v>1033</v>
      </c>
      <c r="C2622" t="s">
        <v>5923</v>
      </c>
      <c r="D2622" t="s">
        <v>17471</v>
      </c>
      <c r="E2622" t="s">
        <v>19795</v>
      </c>
      <c r="F2622" t="s">
        <v>30052</v>
      </c>
      <c r="G2622" t="s">
        <v>30061</v>
      </c>
      <c r="H2622" t="s">
        <v>15498</v>
      </c>
      <c r="I2622" t="s">
        <v>3736</v>
      </c>
      <c r="J2622" t="s">
        <v>32000</v>
      </c>
      <c r="K2622" t="s">
        <v>39039</v>
      </c>
      <c r="M2622" t="s">
        <v>40362</v>
      </c>
      <c r="N2622" t="s">
        <v>43166</v>
      </c>
      <c r="O2622" t="s">
        <v>43167</v>
      </c>
      <c r="P2622">
        <v>0</v>
      </c>
      <c r="Q2622">
        <v>0</v>
      </c>
      <c r="R2622" t="s">
        <v>43170</v>
      </c>
      <c r="S2622" t="s">
        <v>43297</v>
      </c>
      <c r="T2622" t="s">
        <v>44735</v>
      </c>
      <c r="U2622" t="s">
        <v>47352</v>
      </c>
      <c r="W2622" t="s">
        <v>40362</v>
      </c>
      <c r="X2622" t="s">
        <v>43171</v>
      </c>
    </row>
    <row r="2623" spans="1:24">
      <c r="A2623">
        <f>HYPERLINK("https://www.philgeps.gov.ph/GEPSNONPILOT/Tender/SplashBidNoticeAbstractUI.aspx?menuIndex=3&amp;refID=7086490&amp;Result=3","7086490")</f>
        <v>0</v>
      </c>
      <c r="B2623" t="s">
        <v>415</v>
      </c>
      <c r="C2623" t="s">
        <v>5924</v>
      </c>
      <c r="D2623" t="s">
        <v>17472</v>
      </c>
      <c r="E2623" t="s">
        <v>18363</v>
      </c>
      <c r="F2623" t="s">
        <v>30052</v>
      </c>
      <c r="G2623" t="s">
        <v>30061</v>
      </c>
      <c r="H2623" t="s">
        <v>15498</v>
      </c>
      <c r="I2623" t="s">
        <v>30081</v>
      </c>
      <c r="J2623" t="s">
        <v>30358</v>
      </c>
      <c r="K2623" t="s">
        <v>39034</v>
      </c>
      <c r="M2623" t="s">
        <v>39714</v>
      </c>
      <c r="N2623" t="s">
        <v>43166</v>
      </c>
      <c r="O2623" t="s">
        <v>43167</v>
      </c>
      <c r="P2623">
        <v>0</v>
      </c>
      <c r="Q2623">
        <v>0</v>
      </c>
      <c r="R2623" t="s">
        <v>43170</v>
      </c>
      <c r="S2623" t="s">
        <v>43297</v>
      </c>
      <c r="T2623" t="s">
        <v>44685</v>
      </c>
      <c r="U2623" t="s">
        <v>47353</v>
      </c>
      <c r="W2623" t="s">
        <v>39714</v>
      </c>
      <c r="X2623" t="s">
        <v>43171</v>
      </c>
    </row>
    <row r="2624" spans="1:24">
      <c r="A2624">
        <f>HYPERLINK("https://www.philgeps.gov.ph/GEPSNONPILOT/Tender/SplashBidNoticeAbstractUI.aspx?menuIndex=3&amp;refID=7086487&amp;Result=3","7086487")</f>
        <v>0</v>
      </c>
      <c r="B2624" t="s">
        <v>617</v>
      </c>
      <c r="C2624" t="s">
        <v>5925</v>
      </c>
      <c r="D2624" t="s">
        <v>17486</v>
      </c>
      <c r="E2624" t="s">
        <v>19796</v>
      </c>
      <c r="F2624" t="s">
        <v>30052</v>
      </c>
      <c r="G2624" t="s">
        <v>30059</v>
      </c>
      <c r="H2624" t="s">
        <v>15498</v>
      </c>
      <c r="I2624" t="s">
        <v>5961</v>
      </c>
      <c r="J2624" t="s">
        <v>32001</v>
      </c>
      <c r="K2624" t="s">
        <v>39017</v>
      </c>
      <c r="M2624" t="s">
        <v>39919</v>
      </c>
      <c r="N2624" t="s">
        <v>43166</v>
      </c>
      <c r="O2624" t="s">
        <v>43167</v>
      </c>
      <c r="P2624">
        <v>0</v>
      </c>
      <c r="Q2624">
        <v>7</v>
      </c>
      <c r="R2624" t="s">
        <v>43170</v>
      </c>
      <c r="S2624" t="s">
        <v>43297</v>
      </c>
      <c r="T2624" t="s">
        <v>44718</v>
      </c>
      <c r="U2624" t="s">
        <v>47354</v>
      </c>
      <c r="W2624" t="s">
        <v>39919</v>
      </c>
      <c r="X2624" t="s">
        <v>43171</v>
      </c>
    </row>
    <row r="2625" spans="1:24">
      <c r="A2625">
        <f>HYPERLINK("https://www.philgeps.gov.ph/GEPSNONPILOT/Tender/SplashBidNoticeAbstractUI.aspx?menuIndex=3&amp;refID=7086501&amp;Result=3","7086501")</f>
        <v>0</v>
      </c>
      <c r="B2625" t="s">
        <v>1034</v>
      </c>
      <c r="C2625" t="s">
        <v>5926</v>
      </c>
      <c r="D2625" t="s">
        <v>17473</v>
      </c>
      <c r="E2625" t="s">
        <v>19797</v>
      </c>
      <c r="F2625" t="s">
        <v>30052</v>
      </c>
      <c r="G2625" t="s">
        <v>30059</v>
      </c>
      <c r="H2625" t="s">
        <v>15498</v>
      </c>
      <c r="I2625" t="s">
        <v>30097</v>
      </c>
      <c r="J2625" t="s">
        <v>32002</v>
      </c>
      <c r="K2625" t="s">
        <v>39017</v>
      </c>
      <c r="M2625" t="s">
        <v>40363</v>
      </c>
      <c r="N2625" t="s">
        <v>43166</v>
      </c>
      <c r="O2625" t="s">
        <v>43167</v>
      </c>
      <c r="P2625">
        <v>0</v>
      </c>
      <c r="Q2625">
        <v>5</v>
      </c>
      <c r="R2625" t="s">
        <v>43170</v>
      </c>
      <c r="S2625" t="s">
        <v>43297</v>
      </c>
      <c r="T2625" t="s">
        <v>44710</v>
      </c>
      <c r="U2625" t="s">
        <v>47355</v>
      </c>
      <c r="W2625" t="s">
        <v>40363</v>
      </c>
      <c r="X2625" t="s">
        <v>43171</v>
      </c>
    </row>
    <row r="2626" spans="1:24">
      <c r="A2626">
        <f>HYPERLINK("https://www.philgeps.gov.ph/GEPSNONPILOT/Tender/SplashBidNoticeAbstractUI.aspx?menuIndex=3&amp;refID=7086486&amp;Result=3","7086486")</f>
        <v>0</v>
      </c>
      <c r="B2626" t="s">
        <v>1035</v>
      </c>
      <c r="C2626" t="s">
        <v>5927</v>
      </c>
      <c r="D2626" t="s">
        <v>17467</v>
      </c>
      <c r="E2626" t="s">
        <v>19798</v>
      </c>
      <c r="F2626" t="s">
        <v>30052</v>
      </c>
      <c r="G2626" t="s">
        <v>30059</v>
      </c>
      <c r="H2626" t="s">
        <v>15498</v>
      </c>
      <c r="I2626" t="s">
        <v>30073</v>
      </c>
      <c r="J2626" t="s">
        <v>31697</v>
      </c>
      <c r="K2626" t="s">
        <v>39019</v>
      </c>
      <c r="M2626" t="s">
        <v>40364</v>
      </c>
      <c r="N2626" t="s">
        <v>43166</v>
      </c>
      <c r="O2626" t="s">
        <v>43167</v>
      </c>
      <c r="P2626">
        <v>0</v>
      </c>
      <c r="Q2626">
        <v>0</v>
      </c>
      <c r="R2626" t="s">
        <v>43170</v>
      </c>
      <c r="S2626" t="s">
        <v>43297</v>
      </c>
      <c r="T2626" t="s">
        <v>44806</v>
      </c>
      <c r="U2626" t="s">
        <v>47356</v>
      </c>
      <c r="W2626" t="s">
        <v>40364</v>
      </c>
      <c r="X2626" t="s">
        <v>43171</v>
      </c>
    </row>
    <row r="2627" spans="1:24">
      <c r="A2627">
        <f>HYPERLINK("https://www.philgeps.gov.ph/GEPSNONPILOT/Tender/SplashBidNoticeAbstractUI.aspx?menuIndex=3&amp;refID=7086484&amp;Result=3","7086484")</f>
        <v>0</v>
      </c>
      <c r="B2627" t="s">
        <v>1029</v>
      </c>
      <c r="C2627" t="s">
        <v>5928</v>
      </c>
      <c r="D2627" t="s">
        <v>17449</v>
      </c>
      <c r="E2627" t="s">
        <v>19799</v>
      </c>
      <c r="F2627" t="s">
        <v>30052</v>
      </c>
      <c r="G2627" t="s">
        <v>30059</v>
      </c>
      <c r="H2627" t="s">
        <v>15498</v>
      </c>
      <c r="I2627" t="s">
        <v>30071</v>
      </c>
      <c r="J2627" t="s">
        <v>31991</v>
      </c>
      <c r="K2627" t="s">
        <v>39029</v>
      </c>
      <c r="M2627" t="s">
        <v>40358</v>
      </c>
      <c r="N2627" t="s">
        <v>43166</v>
      </c>
      <c r="O2627" t="s">
        <v>43167</v>
      </c>
      <c r="P2627">
        <v>0</v>
      </c>
      <c r="Q2627">
        <v>0</v>
      </c>
      <c r="R2627" t="s">
        <v>43170</v>
      </c>
      <c r="S2627" t="s">
        <v>43297</v>
      </c>
      <c r="T2627" t="s">
        <v>44837</v>
      </c>
      <c r="U2627" t="s">
        <v>47357</v>
      </c>
      <c r="W2627" t="s">
        <v>40358</v>
      </c>
      <c r="X2627" t="s">
        <v>43171</v>
      </c>
    </row>
    <row r="2628" spans="1:24">
      <c r="A2628">
        <f>HYPERLINK("https://www.philgeps.gov.ph/GEPSNONPILOT/Tender/SplashBidNoticeAbstractUI.aspx?menuIndex=3&amp;refID=7086449&amp;Result=3","7086449")</f>
        <v>0</v>
      </c>
      <c r="B2628" t="s">
        <v>1036</v>
      </c>
      <c r="C2628" t="s">
        <v>5929</v>
      </c>
      <c r="D2628" t="s">
        <v>17421</v>
      </c>
      <c r="E2628" t="s">
        <v>17892</v>
      </c>
      <c r="F2628" t="s">
        <v>30052</v>
      </c>
      <c r="G2628" t="s">
        <v>30059</v>
      </c>
      <c r="H2628" t="s">
        <v>15498</v>
      </c>
      <c r="I2628" t="s">
        <v>30096</v>
      </c>
      <c r="J2628" t="s">
        <v>30337</v>
      </c>
      <c r="K2628" t="s">
        <v>39017</v>
      </c>
      <c r="L2628" t="s">
        <v>1036</v>
      </c>
      <c r="M2628" t="s">
        <v>40365</v>
      </c>
      <c r="N2628" t="s">
        <v>43166</v>
      </c>
      <c r="O2628" t="s">
        <v>43167</v>
      </c>
      <c r="P2628">
        <v>0</v>
      </c>
      <c r="Q2628">
        <v>0</v>
      </c>
      <c r="R2628" t="s">
        <v>43170</v>
      </c>
      <c r="S2628" t="s">
        <v>43297</v>
      </c>
      <c r="T2628" t="s">
        <v>44710</v>
      </c>
      <c r="U2628" t="s">
        <v>47358</v>
      </c>
      <c r="W2628" t="s">
        <v>40365</v>
      </c>
      <c r="X2628" t="s">
        <v>43171</v>
      </c>
    </row>
    <row r="2629" spans="1:24">
      <c r="A2629">
        <f>HYPERLINK("https://www.philgeps.gov.ph/GEPSNONPILOT/Tender/SplashBidNoticeAbstractUI.aspx?menuIndex=3&amp;refID=7086510&amp;Result=3","7086510")</f>
        <v>0</v>
      </c>
      <c r="B2629" t="s">
        <v>1021</v>
      </c>
      <c r="C2629" t="s">
        <v>5930</v>
      </c>
      <c r="D2629" t="s">
        <v>17416</v>
      </c>
      <c r="E2629" t="s">
        <v>19800</v>
      </c>
      <c r="F2629" t="s">
        <v>30052</v>
      </c>
      <c r="G2629" t="s">
        <v>30062</v>
      </c>
      <c r="H2629" t="s">
        <v>15498</v>
      </c>
      <c r="I2629" t="s">
        <v>30109</v>
      </c>
      <c r="J2629" t="s">
        <v>32003</v>
      </c>
      <c r="K2629" t="s">
        <v>39039</v>
      </c>
      <c r="M2629" t="s">
        <v>40350</v>
      </c>
      <c r="N2629" t="s">
        <v>43166</v>
      </c>
      <c r="O2629" t="s">
        <v>43167</v>
      </c>
      <c r="P2629">
        <v>0</v>
      </c>
      <c r="Q2629">
        <v>2</v>
      </c>
      <c r="R2629" t="s">
        <v>43170</v>
      </c>
      <c r="S2629" t="s">
        <v>43297</v>
      </c>
      <c r="T2629" t="s">
        <v>44832</v>
      </c>
      <c r="U2629" t="s">
        <v>47359</v>
      </c>
      <c r="W2629" t="s">
        <v>40350</v>
      </c>
      <c r="X2629" t="s">
        <v>43171</v>
      </c>
    </row>
    <row r="2630" spans="1:24">
      <c r="A2630">
        <f>HYPERLINK("https://www.philgeps.gov.ph/GEPSNONPILOT/Tender/SplashBidNoticeAbstractUI.aspx?menuIndex=3&amp;refID=7086445&amp;Result=3","7086445")</f>
        <v>0</v>
      </c>
      <c r="B2630" t="s">
        <v>260</v>
      </c>
      <c r="C2630" t="s">
        <v>5931</v>
      </c>
      <c r="D2630" t="s">
        <v>17452</v>
      </c>
      <c r="E2630" t="s">
        <v>19801</v>
      </c>
      <c r="F2630" t="s">
        <v>30052</v>
      </c>
      <c r="G2630" t="s">
        <v>30059</v>
      </c>
      <c r="H2630" t="s">
        <v>15498</v>
      </c>
      <c r="I2630" t="s">
        <v>4650</v>
      </c>
      <c r="J2630" t="s">
        <v>32004</v>
      </c>
      <c r="K2630" t="s">
        <v>39029</v>
      </c>
      <c r="M2630" t="s">
        <v>40228</v>
      </c>
      <c r="N2630" t="s">
        <v>43166</v>
      </c>
      <c r="O2630" t="s">
        <v>43167</v>
      </c>
      <c r="P2630">
        <v>0</v>
      </c>
      <c r="Q2630">
        <v>5</v>
      </c>
      <c r="R2630" t="s">
        <v>43170</v>
      </c>
      <c r="S2630" t="s">
        <v>43297</v>
      </c>
      <c r="T2630" t="s">
        <v>44856</v>
      </c>
      <c r="U2630" t="s">
        <v>47002</v>
      </c>
      <c r="W2630" t="s">
        <v>40228</v>
      </c>
      <c r="X2630" t="s">
        <v>43171</v>
      </c>
    </row>
    <row r="2631" spans="1:24">
      <c r="A2631">
        <f>HYPERLINK("https://www.philgeps.gov.ph/GEPSNONPILOT/Tender/SplashBidNoticeAbstractUI.aspx?menuIndex=3&amp;refID=7086422&amp;Result=3","7086422")</f>
        <v>0</v>
      </c>
      <c r="B2631" t="s">
        <v>1024</v>
      </c>
      <c r="C2631" t="s">
        <v>5932</v>
      </c>
      <c r="D2631" t="s">
        <v>17432</v>
      </c>
      <c r="E2631" t="s">
        <v>19802</v>
      </c>
      <c r="F2631" t="s">
        <v>30052</v>
      </c>
      <c r="G2631" t="s">
        <v>30058</v>
      </c>
      <c r="H2631" t="s">
        <v>30067</v>
      </c>
      <c r="I2631" t="s">
        <v>3693</v>
      </c>
      <c r="J2631" t="s">
        <v>32005</v>
      </c>
      <c r="K2631" t="s">
        <v>39078</v>
      </c>
      <c r="M2631" t="s">
        <v>40353</v>
      </c>
      <c r="N2631" t="s">
        <v>43166</v>
      </c>
      <c r="O2631" t="s">
        <v>43167</v>
      </c>
      <c r="P2631">
        <v>0</v>
      </c>
      <c r="Q2631">
        <v>1</v>
      </c>
      <c r="R2631" t="s">
        <v>43170</v>
      </c>
      <c r="S2631" t="s">
        <v>43297</v>
      </c>
      <c r="T2631" t="s">
        <v>44702</v>
      </c>
      <c r="U2631" t="s">
        <v>47360</v>
      </c>
      <c r="W2631" t="s">
        <v>40353</v>
      </c>
      <c r="X2631" t="s">
        <v>43171</v>
      </c>
    </row>
    <row r="2632" spans="1:24">
      <c r="A2632">
        <f>HYPERLINK("https://www.philgeps.gov.ph/GEPSNONPILOT/Tender/SplashBidNoticeAbstractUI.aspx?menuIndex=3&amp;refID=7086505&amp;Result=3","7086505")</f>
        <v>0</v>
      </c>
      <c r="B2632" t="s">
        <v>990</v>
      </c>
      <c r="C2632" t="s">
        <v>5933</v>
      </c>
      <c r="D2632" t="s">
        <v>17474</v>
      </c>
      <c r="E2632" t="s">
        <v>19803</v>
      </c>
      <c r="F2632" t="s">
        <v>30052</v>
      </c>
      <c r="G2632" t="s">
        <v>30061</v>
      </c>
      <c r="H2632" t="s">
        <v>15498</v>
      </c>
      <c r="I2632" t="s">
        <v>30097</v>
      </c>
      <c r="J2632" t="s">
        <v>30343</v>
      </c>
      <c r="K2632" t="s">
        <v>39029</v>
      </c>
      <c r="M2632" t="s">
        <v>40317</v>
      </c>
      <c r="N2632" t="s">
        <v>43166</v>
      </c>
      <c r="O2632" t="s">
        <v>43167</v>
      </c>
      <c r="P2632">
        <v>0</v>
      </c>
      <c r="Q2632">
        <v>10</v>
      </c>
      <c r="R2632" t="s">
        <v>43170</v>
      </c>
      <c r="S2632" t="s">
        <v>43297</v>
      </c>
      <c r="T2632" t="s">
        <v>44710</v>
      </c>
      <c r="U2632" t="s">
        <v>47361</v>
      </c>
      <c r="V2632" t="s">
        <v>57128</v>
      </c>
      <c r="W2632" t="s">
        <v>40317</v>
      </c>
      <c r="X2632" t="s">
        <v>43171</v>
      </c>
    </row>
    <row r="2633" spans="1:24">
      <c r="A2633">
        <f>HYPERLINK("https://www.philgeps.gov.ph/GEPSNONPILOT/Tender/SplashBidNoticeAbstractUI.aspx?menuIndex=3&amp;refID=7086488&amp;Result=3","7086488")</f>
        <v>0</v>
      </c>
      <c r="B2633" t="s">
        <v>407</v>
      </c>
      <c r="C2633" t="s">
        <v>5934</v>
      </c>
      <c r="D2633" t="s">
        <v>17421</v>
      </c>
      <c r="E2633" t="s">
        <v>19804</v>
      </c>
      <c r="F2633" t="s">
        <v>30052</v>
      </c>
      <c r="G2633" t="s">
        <v>30059</v>
      </c>
      <c r="H2633" t="s">
        <v>15498</v>
      </c>
      <c r="I2633" t="s">
        <v>3606</v>
      </c>
      <c r="J2633" t="s">
        <v>30929</v>
      </c>
      <c r="K2633" t="s">
        <v>39034</v>
      </c>
      <c r="M2633" t="s">
        <v>40366</v>
      </c>
      <c r="N2633" t="s">
        <v>43166</v>
      </c>
      <c r="O2633" t="s">
        <v>43167</v>
      </c>
      <c r="P2633">
        <v>0</v>
      </c>
      <c r="Q2633">
        <v>2</v>
      </c>
      <c r="R2633" t="s">
        <v>43170</v>
      </c>
      <c r="S2633" t="s">
        <v>43297</v>
      </c>
      <c r="T2633" t="s">
        <v>44735</v>
      </c>
      <c r="U2633" t="s">
        <v>47362</v>
      </c>
      <c r="W2633" t="s">
        <v>40366</v>
      </c>
      <c r="X2633" t="s">
        <v>43171</v>
      </c>
    </row>
    <row r="2634" spans="1:24">
      <c r="A2634">
        <f>HYPERLINK("https://www.philgeps.gov.ph/GEPSNONPILOT/Tender/SplashBidNoticeAbstractUI.aspx?menuIndex=3&amp;refID=7086557&amp;Result=3","7086557")</f>
        <v>0</v>
      </c>
      <c r="B2634" t="s">
        <v>1037</v>
      </c>
      <c r="C2634" t="s">
        <v>5935</v>
      </c>
      <c r="D2634" t="s">
        <v>17478</v>
      </c>
      <c r="E2634" t="s">
        <v>19805</v>
      </c>
      <c r="F2634" t="s">
        <v>30052</v>
      </c>
      <c r="G2634" t="s">
        <v>30059</v>
      </c>
      <c r="H2634" t="s">
        <v>15498</v>
      </c>
      <c r="I2634" t="s">
        <v>30070</v>
      </c>
      <c r="J2634" t="s">
        <v>32006</v>
      </c>
      <c r="K2634" t="s">
        <v>39039</v>
      </c>
      <c r="M2634" t="s">
        <v>40367</v>
      </c>
      <c r="N2634" t="s">
        <v>43166</v>
      </c>
      <c r="O2634" t="s">
        <v>43167</v>
      </c>
      <c r="P2634">
        <v>0</v>
      </c>
      <c r="Q2634">
        <v>1</v>
      </c>
      <c r="R2634" t="s">
        <v>43170</v>
      </c>
      <c r="S2634" t="s">
        <v>43297</v>
      </c>
      <c r="T2634" t="s">
        <v>44724</v>
      </c>
      <c r="U2634" t="s">
        <v>47363</v>
      </c>
      <c r="W2634" t="s">
        <v>40367</v>
      </c>
      <c r="X2634" t="s">
        <v>43171</v>
      </c>
    </row>
    <row r="2635" spans="1:24">
      <c r="A2635">
        <f>HYPERLINK("https://www.philgeps.gov.ph/GEPSNONPILOT/Tender/SplashBidNoticeAbstractUI.aspx?menuIndex=3&amp;refID=7086499&amp;Result=3","7086499")</f>
        <v>0</v>
      </c>
      <c r="B2635" t="s">
        <v>694</v>
      </c>
      <c r="C2635" t="s">
        <v>5936</v>
      </c>
      <c r="D2635" t="s">
        <v>17476</v>
      </c>
      <c r="E2635" t="s">
        <v>19806</v>
      </c>
      <c r="F2635" t="s">
        <v>30052</v>
      </c>
      <c r="G2635" t="s">
        <v>30059</v>
      </c>
      <c r="H2635" t="s">
        <v>15498</v>
      </c>
      <c r="I2635" t="s">
        <v>8323</v>
      </c>
      <c r="J2635" t="s">
        <v>32007</v>
      </c>
      <c r="K2635" t="s">
        <v>39064</v>
      </c>
      <c r="M2635" t="s">
        <v>40001</v>
      </c>
      <c r="N2635" t="s">
        <v>43166</v>
      </c>
      <c r="O2635" t="s">
        <v>43167</v>
      </c>
      <c r="P2635">
        <v>0</v>
      </c>
      <c r="Q2635">
        <v>5</v>
      </c>
      <c r="R2635" t="s">
        <v>43170</v>
      </c>
      <c r="S2635" t="s">
        <v>43297</v>
      </c>
      <c r="T2635" t="s">
        <v>44844</v>
      </c>
      <c r="U2635" t="s">
        <v>47364</v>
      </c>
      <c r="W2635" t="s">
        <v>40001</v>
      </c>
      <c r="X2635" t="s">
        <v>43171</v>
      </c>
    </row>
    <row r="2636" spans="1:24">
      <c r="A2636">
        <f>HYPERLINK("https://www.philgeps.gov.ph/GEPSNONPILOT/Tender/SplashBidNoticeAbstractUI.aspx?menuIndex=3&amp;refID=7086553&amp;Result=3","7086553")</f>
        <v>0</v>
      </c>
      <c r="B2636" t="s">
        <v>822</v>
      </c>
      <c r="C2636" t="s">
        <v>5937</v>
      </c>
      <c r="E2636" t="s">
        <v>19807</v>
      </c>
      <c r="F2636" t="s">
        <v>30052</v>
      </c>
      <c r="G2636" t="s">
        <v>30059</v>
      </c>
      <c r="H2636" t="s">
        <v>15498</v>
      </c>
      <c r="I2636" t="s">
        <v>30070</v>
      </c>
      <c r="J2636" t="s">
        <v>30256</v>
      </c>
      <c r="K2636" t="s">
        <v>39025</v>
      </c>
      <c r="M2636" t="s">
        <v>40368</v>
      </c>
      <c r="N2636" t="s">
        <v>43166</v>
      </c>
      <c r="O2636" t="s">
        <v>43167</v>
      </c>
      <c r="P2636">
        <v>0</v>
      </c>
      <c r="Q2636">
        <v>6</v>
      </c>
      <c r="R2636" t="s">
        <v>43170</v>
      </c>
      <c r="S2636" t="s">
        <v>43297</v>
      </c>
      <c r="T2636" t="s">
        <v>44844</v>
      </c>
      <c r="U2636" t="s">
        <v>47365</v>
      </c>
      <c r="W2636" t="s">
        <v>40368</v>
      </c>
      <c r="X2636" t="s">
        <v>43171</v>
      </c>
    </row>
    <row r="2637" spans="1:24">
      <c r="A2637">
        <f>HYPERLINK("https://www.philgeps.gov.ph/GEPSNONPILOT/Tender/SplashBidNoticeAbstractUI.aspx?menuIndex=3&amp;refID=7086496&amp;Result=3","7086496")</f>
        <v>0</v>
      </c>
      <c r="B2637" t="s">
        <v>1024</v>
      </c>
      <c r="C2637" t="s">
        <v>5938</v>
      </c>
      <c r="D2637" t="s">
        <v>17432</v>
      </c>
      <c r="E2637" t="s">
        <v>19808</v>
      </c>
      <c r="F2637" t="s">
        <v>30052</v>
      </c>
      <c r="G2637" t="s">
        <v>30058</v>
      </c>
      <c r="H2637" t="s">
        <v>30067</v>
      </c>
      <c r="I2637" t="s">
        <v>3693</v>
      </c>
      <c r="J2637" t="s">
        <v>32008</v>
      </c>
      <c r="K2637" t="s">
        <v>39061</v>
      </c>
      <c r="M2637" t="s">
        <v>40353</v>
      </c>
      <c r="N2637" t="s">
        <v>43166</v>
      </c>
      <c r="O2637" t="s">
        <v>43167</v>
      </c>
      <c r="P2637">
        <v>0</v>
      </c>
      <c r="Q2637">
        <v>3</v>
      </c>
      <c r="R2637" t="s">
        <v>43170</v>
      </c>
      <c r="S2637" t="s">
        <v>43297</v>
      </c>
      <c r="T2637" t="s">
        <v>44702</v>
      </c>
      <c r="U2637" t="s">
        <v>47366</v>
      </c>
      <c r="W2637" t="s">
        <v>40353</v>
      </c>
      <c r="X2637" t="s">
        <v>43171</v>
      </c>
    </row>
    <row r="2638" spans="1:24">
      <c r="A2638">
        <f>HYPERLINK("https://www.philgeps.gov.ph/GEPSNONPILOT/Tender/SplashBidNoticeAbstractUI.aspx?menuIndex=3&amp;refID=7086551&amp;Result=3","7086551")</f>
        <v>0</v>
      </c>
      <c r="B2638" t="s">
        <v>1038</v>
      </c>
      <c r="C2638" t="s">
        <v>5939</v>
      </c>
      <c r="D2638" t="s">
        <v>17436</v>
      </c>
      <c r="E2638" t="s">
        <v>19809</v>
      </c>
      <c r="F2638" t="s">
        <v>30052</v>
      </c>
      <c r="G2638" t="s">
        <v>30059</v>
      </c>
      <c r="H2638" t="s">
        <v>15498</v>
      </c>
      <c r="I2638" t="s">
        <v>4650</v>
      </c>
      <c r="J2638" t="s">
        <v>31189</v>
      </c>
      <c r="K2638" t="s">
        <v>39025</v>
      </c>
      <c r="M2638" t="s">
        <v>40369</v>
      </c>
      <c r="N2638" t="s">
        <v>43166</v>
      </c>
      <c r="O2638" t="s">
        <v>43167</v>
      </c>
      <c r="P2638">
        <v>0</v>
      </c>
      <c r="Q2638">
        <v>1</v>
      </c>
      <c r="R2638" t="s">
        <v>43170</v>
      </c>
      <c r="S2638" t="s">
        <v>43297</v>
      </c>
      <c r="T2638" t="s">
        <v>44777</v>
      </c>
      <c r="U2638" t="s">
        <v>47367</v>
      </c>
      <c r="W2638" t="s">
        <v>40369</v>
      </c>
      <c r="X2638" t="s">
        <v>43171</v>
      </c>
    </row>
    <row r="2639" spans="1:24">
      <c r="A2639">
        <f>HYPERLINK("https://www.philgeps.gov.ph/GEPSNONPILOT/Tender/SplashBidNoticeAbstractUI.aspx?menuIndex=3&amp;refID=7086543&amp;Result=3","7086543")</f>
        <v>0</v>
      </c>
      <c r="B2639" t="s">
        <v>1039</v>
      </c>
      <c r="C2639" t="s">
        <v>5940</v>
      </c>
      <c r="D2639" t="s">
        <v>17415</v>
      </c>
      <c r="E2639" t="s">
        <v>17922</v>
      </c>
      <c r="F2639" t="s">
        <v>30052</v>
      </c>
      <c r="G2639" t="s">
        <v>30061</v>
      </c>
      <c r="H2639" t="s">
        <v>15498</v>
      </c>
      <c r="I2639" t="s">
        <v>7228</v>
      </c>
      <c r="J2639" t="s">
        <v>30559</v>
      </c>
      <c r="K2639" t="s">
        <v>39041</v>
      </c>
      <c r="M2639" t="s">
        <v>40370</v>
      </c>
      <c r="N2639" t="s">
        <v>43166</v>
      </c>
      <c r="O2639" t="s">
        <v>43167</v>
      </c>
      <c r="P2639">
        <v>0</v>
      </c>
      <c r="Q2639">
        <v>0</v>
      </c>
      <c r="R2639" t="s">
        <v>43170</v>
      </c>
      <c r="S2639" t="s">
        <v>43297</v>
      </c>
      <c r="T2639" t="s">
        <v>44679</v>
      </c>
      <c r="U2639" t="s">
        <v>47368</v>
      </c>
      <c r="W2639" t="s">
        <v>40370</v>
      </c>
      <c r="X2639" t="s">
        <v>43171</v>
      </c>
    </row>
    <row r="2640" spans="1:24">
      <c r="A2640">
        <f>HYPERLINK("https://www.philgeps.gov.ph/GEPSNONPILOT/Tender/SplashBidNoticeAbstractUI.aspx?menuIndex=3&amp;refID=7086421&amp;Result=3","7086421")</f>
        <v>0</v>
      </c>
      <c r="B2640" t="s">
        <v>511</v>
      </c>
      <c r="C2640" t="s">
        <v>5941</v>
      </c>
      <c r="D2640" t="s">
        <v>17480</v>
      </c>
      <c r="E2640" t="s">
        <v>19810</v>
      </c>
      <c r="F2640" t="s">
        <v>30052</v>
      </c>
      <c r="G2640" t="s">
        <v>30058</v>
      </c>
      <c r="H2640" t="s">
        <v>15498</v>
      </c>
      <c r="I2640" t="s">
        <v>30135</v>
      </c>
      <c r="J2640" t="s">
        <v>32009</v>
      </c>
      <c r="K2640" t="s">
        <v>39023</v>
      </c>
      <c r="M2640" t="s">
        <v>39812</v>
      </c>
      <c r="N2640" t="s">
        <v>43166</v>
      </c>
      <c r="O2640" t="s">
        <v>43167</v>
      </c>
      <c r="P2640">
        <v>0</v>
      </c>
      <c r="Q2640">
        <v>5</v>
      </c>
      <c r="R2640" t="s">
        <v>43170</v>
      </c>
      <c r="S2640" t="s">
        <v>43297</v>
      </c>
      <c r="T2640" t="s">
        <v>44827</v>
      </c>
      <c r="U2640" t="s">
        <v>46174</v>
      </c>
      <c r="V2640" t="s">
        <v>57124</v>
      </c>
      <c r="W2640" t="s">
        <v>39812</v>
      </c>
      <c r="X2640" t="s">
        <v>43171</v>
      </c>
    </row>
    <row r="2641" spans="1:24">
      <c r="A2641">
        <f>HYPERLINK("https://www.philgeps.gov.ph/GEPSNONPILOT/Tender/SplashBidNoticeAbstractUI.aspx?menuIndex=3&amp;refID=7086542&amp;Result=3","7086542")</f>
        <v>0</v>
      </c>
      <c r="B2641" t="s">
        <v>1040</v>
      </c>
      <c r="C2641" t="s">
        <v>4251</v>
      </c>
      <c r="D2641" t="s">
        <v>17432</v>
      </c>
      <c r="E2641" t="s">
        <v>19811</v>
      </c>
      <c r="F2641" t="s">
        <v>30052</v>
      </c>
      <c r="G2641" t="s">
        <v>30058</v>
      </c>
      <c r="H2641" t="s">
        <v>15498</v>
      </c>
      <c r="I2641" t="s">
        <v>30081</v>
      </c>
      <c r="J2641" t="s">
        <v>32010</v>
      </c>
      <c r="K2641" t="s">
        <v>39029</v>
      </c>
      <c r="M2641" t="s">
        <v>40371</v>
      </c>
      <c r="N2641" t="s">
        <v>43166</v>
      </c>
      <c r="O2641" t="s">
        <v>43167</v>
      </c>
      <c r="P2641">
        <v>0</v>
      </c>
      <c r="Q2641">
        <v>3</v>
      </c>
      <c r="R2641" t="s">
        <v>43170</v>
      </c>
      <c r="S2641" t="s">
        <v>43297</v>
      </c>
      <c r="T2641" t="s">
        <v>44679</v>
      </c>
      <c r="U2641" t="s">
        <v>47369</v>
      </c>
      <c r="W2641" t="s">
        <v>40371</v>
      </c>
      <c r="X2641" t="s">
        <v>43171</v>
      </c>
    </row>
    <row r="2642" spans="1:24">
      <c r="A2642">
        <f>HYPERLINK("https://www.philgeps.gov.ph/GEPSNONPILOT/Tender/SplashBidNoticeAbstractUI.aspx?menuIndex=3&amp;refID=7086556&amp;Result=3","7086556")</f>
        <v>0</v>
      </c>
      <c r="B2642" t="s">
        <v>1018</v>
      </c>
      <c r="C2642" t="s">
        <v>3615</v>
      </c>
      <c r="E2642" t="s">
        <v>19812</v>
      </c>
      <c r="F2642" t="s">
        <v>30052</v>
      </c>
      <c r="G2642" t="s">
        <v>30058</v>
      </c>
      <c r="H2642" t="s">
        <v>15498</v>
      </c>
      <c r="I2642" t="s">
        <v>3736</v>
      </c>
      <c r="J2642" t="s">
        <v>30208</v>
      </c>
      <c r="K2642" t="s">
        <v>39025</v>
      </c>
      <c r="M2642" t="s">
        <v>40347</v>
      </c>
      <c r="N2642" t="s">
        <v>43166</v>
      </c>
      <c r="O2642" t="s">
        <v>43167</v>
      </c>
      <c r="P2642">
        <v>0</v>
      </c>
      <c r="Q2642">
        <v>0</v>
      </c>
      <c r="R2642" t="s">
        <v>43170</v>
      </c>
      <c r="S2642" t="s">
        <v>43297</v>
      </c>
      <c r="T2642" t="s">
        <v>44922</v>
      </c>
      <c r="U2642" t="s">
        <v>47370</v>
      </c>
      <c r="W2642" t="s">
        <v>40347</v>
      </c>
      <c r="X2642" t="s">
        <v>43171</v>
      </c>
    </row>
    <row r="2643" spans="1:24">
      <c r="A2643">
        <f>HYPERLINK("https://www.philgeps.gov.ph/GEPSNONPILOT/Tender/SplashBidNoticeAbstractUI.aspx?menuIndex=3&amp;refID=7086452&amp;Result=3","7086452")</f>
        <v>0</v>
      </c>
      <c r="B2643" t="s">
        <v>694</v>
      </c>
      <c r="C2643" t="s">
        <v>5942</v>
      </c>
      <c r="D2643" t="s">
        <v>17476</v>
      </c>
      <c r="E2643" t="s">
        <v>19813</v>
      </c>
      <c r="F2643" t="s">
        <v>30052</v>
      </c>
      <c r="G2643" t="s">
        <v>30059</v>
      </c>
      <c r="H2643" t="s">
        <v>15498</v>
      </c>
      <c r="I2643" t="s">
        <v>4650</v>
      </c>
      <c r="J2643" t="s">
        <v>32011</v>
      </c>
      <c r="K2643" t="s">
        <v>39064</v>
      </c>
      <c r="M2643" t="s">
        <v>40001</v>
      </c>
      <c r="N2643" t="s">
        <v>43166</v>
      </c>
      <c r="O2643" t="s">
        <v>43167</v>
      </c>
      <c r="P2643">
        <v>0</v>
      </c>
      <c r="Q2643">
        <v>3</v>
      </c>
      <c r="R2643" t="s">
        <v>43170</v>
      </c>
      <c r="S2643" t="s">
        <v>43297</v>
      </c>
      <c r="T2643" t="s">
        <v>44844</v>
      </c>
      <c r="U2643" t="s">
        <v>47371</v>
      </c>
      <c r="W2643" t="s">
        <v>40001</v>
      </c>
      <c r="X2643" t="s">
        <v>43171</v>
      </c>
    </row>
    <row r="2644" spans="1:24">
      <c r="A2644">
        <f>HYPERLINK("https://www.philgeps.gov.ph/GEPSNONPILOT/Tender/SplashBidNoticeAbstractUI.aspx?menuIndex=3&amp;refID=7086536&amp;Result=3","7086536")</f>
        <v>0</v>
      </c>
      <c r="B2644" t="s">
        <v>1018</v>
      </c>
      <c r="C2644" t="s">
        <v>3615</v>
      </c>
      <c r="E2644" t="s">
        <v>19814</v>
      </c>
      <c r="F2644" t="s">
        <v>30052</v>
      </c>
      <c r="G2644" t="s">
        <v>30058</v>
      </c>
      <c r="H2644" t="s">
        <v>15498</v>
      </c>
      <c r="I2644" t="s">
        <v>3736</v>
      </c>
      <c r="J2644" t="s">
        <v>30218</v>
      </c>
      <c r="K2644" t="s">
        <v>39025</v>
      </c>
      <c r="M2644" t="s">
        <v>40347</v>
      </c>
      <c r="N2644" t="s">
        <v>43166</v>
      </c>
      <c r="O2644" t="s">
        <v>43167</v>
      </c>
      <c r="P2644">
        <v>0</v>
      </c>
      <c r="Q2644">
        <v>0</v>
      </c>
      <c r="R2644" t="s">
        <v>43170</v>
      </c>
      <c r="S2644" t="s">
        <v>43297</v>
      </c>
      <c r="T2644" t="s">
        <v>44921</v>
      </c>
      <c r="U2644" t="s">
        <v>47372</v>
      </c>
      <c r="W2644" t="s">
        <v>40347</v>
      </c>
      <c r="X2644" t="s">
        <v>43171</v>
      </c>
    </row>
    <row r="2645" spans="1:24">
      <c r="A2645">
        <f>HYPERLINK("https://www.philgeps.gov.ph/GEPSNONPILOT/Tender/SplashBidNoticeAbstractUI.aspx?menuIndex=3&amp;refID=7086552&amp;Result=3","7086552")</f>
        <v>0</v>
      </c>
      <c r="B2645" t="s">
        <v>298</v>
      </c>
      <c r="C2645" t="s">
        <v>5943</v>
      </c>
      <c r="D2645" t="s">
        <v>17468</v>
      </c>
      <c r="E2645" t="s">
        <v>19815</v>
      </c>
      <c r="F2645" t="s">
        <v>30052</v>
      </c>
      <c r="G2645" t="s">
        <v>30059</v>
      </c>
      <c r="H2645" t="s">
        <v>15498</v>
      </c>
      <c r="I2645" t="s">
        <v>3852</v>
      </c>
      <c r="J2645" t="s">
        <v>32012</v>
      </c>
      <c r="K2645" t="s">
        <v>39019</v>
      </c>
      <c r="M2645" t="s">
        <v>40372</v>
      </c>
      <c r="N2645" t="s">
        <v>43166</v>
      </c>
      <c r="O2645" t="s">
        <v>43167</v>
      </c>
      <c r="P2645">
        <v>0</v>
      </c>
      <c r="Q2645">
        <v>0</v>
      </c>
      <c r="R2645" t="s">
        <v>43170</v>
      </c>
      <c r="S2645" t="s">
        <v>43297</v>
      </c>
      <c r="T2645" t="s">
        <v>44856</v>
      </c>
      <c r="U2645" t="s">
        <v>47373</v>
      </c>
      <c r="W2645" t="s">
        <v>40372</v>
      </c>
      <c r="X2645" t="s">
        <v>43171</v>
      </c>
    </row>
    <row r="2646" spans="1:24">
      <c r="A2646">
        <f>HYPERLINK("https://www.philgeps.gov.ph/GEPSNONPILOT/Tender/SplashBidNoticeAbstractUI.aspx?menuIndex=3&amp;refID=7086528&amp;Result=3","7086528")</f>
        <v>0</v>
      </c>
      <c r="B2646" t="s">
        <v>1018</v>
      </c>
      <c r="C2646" t="s">
        <v>5918</v>
      </c>
      <c r="E2646" t="s">
        <v>19816</v>
      </c>
      <c r="F2646" t="s">
        <v>30052</v>
      </c>
      <c r="G2646" t="s">
        <v>30058</v>
      </c>
      <c r="H2646" t="s">
        <v>15498</v>
      </c>
      <c r="I2646" t="s">
        <v>30097</v>
      </c>
      <c r="J2646" t="s">
        <v>32013</v>
      </c>
      <c r="K2646" t="s">
        <v>39025</v>
      </c>
      <c r="M2646" t="s">
        <v>40347</v>
      </c>
      <c r="N2646" t="s">
        <v>43166</v>
      </c>
      <c r="O2646" t="s">
        <v>43167</v>
      </c>
      <c r="P2646">
        <v>0</v>
      </c>
      <c r="Q2646">
        <v>0</v>
      </c>
      <c r="R2646" t="s">
        <v>43170</v>
      </c>
      <c r="S2646" t="s">
        <v>43297</v>
      </c>
      <c r="T2646" t="s">
        <v>44921</v>
      </c>
      <c r="U2646" t="s">
        <v>47374</v>
      </c>
      <c r="W2646" t="s">
        <v>40347</v>
      </c>
      <c r="X2646" t="s">
        <v>43171</v>
      </c>
    </row>
    <row r="2647" spans="1:24">
      <c r="A2647">
        <f>HYPERLINK("https://www.philgeps.gov.ph/GEPSNONPILOT/Tender/SplashBidNoticeAbstractUI.aspx?menuIndex=3&amp;refID=7086549&amp;Result=3","7086549")</f>
        <v>0</v>
      </c>
      <c r="B2647" t="s">
        <v>407</v>
      </c>
      <c r="C2647" t="s">
        <v>5944</v>
      </c>
      <c r="D2647" t="s">
        <v>17421</v>
      </c>
      <c r="E2647" t="s">
        <v>19817</v>
      </c>
      <c r="F2647" t="s">
        <v>30052</v>
      </c>
      <c r="G2647" t="s">
        <v>30059</v>
      </c>
      <c r="H2647" t="s">
        <v>15498</v>
      </c>
      <c r="I2647" t="s">
        <v>3606</v>
      </c>
      <c r="J2647" t="s">
        <v>32014</v>
      </c>
      <c r="K2647" t="s">
        <v>39034</v>
      </c>
      <c r="M2647" t="s">
        <v>40366</v>
      </c>
      <c r="N2647" t="s">
        <v>43166</v>
      </c>
      <c r="O2647" t="s">
        <v>43167</v>
      </c>
      <c r="P2647">
        <v>0</v>
      </c>
      <c r="Q2647">
        <v>2</v>
      </c>
      <c r="R2647" t="s">
        <v>43170</v>
      </c>
      <c r="S2647" t="s">
        <v>43297</v>
      </c>
      <c r="T2647" t="s">
        <v>44735</v>
      </c>
      <c r="U2647" t="s">
        <v>47375</v>
      </c>
      <c r="W2647" t="s">
        <v>40366</v>
      </c>
      <c r="X2647" t="s">
        <v>43171</v>
      </c>
    </row>
    <row r="2648" spans="1:24">
      <c r="A2648">
        <f>HYPERLINK("https://www.philgeps.gov.ph/GEPSNONPILOT/Tender/SplashBidNoticeAbstractUI.aspx?menuIndex=3&amp;refID=7086592&amp;Result=3","7086592")</f>
        <v>0</v>
      </c>
      <c r="B2648" t="s">
        <v>626</v>
      </c>
      <c r="C2648" t="s">
        <v>5945</v>
      </c>
      <c r="D2648" t="s">
        <v>17459</v>
      </c>
      <c r="E2648" t="s">
        <v>19818</v>
      </c>
      <c r="F2648" t="s">
        <v>30052</v>
      </c>
      <c r="G2648" t="s">
        <v>30059</v>
      </c>
      <c r="H2648" t="s">
        <v>15498</v>
      </c>
      <c r="I2648" t="s">
        <v>30134</v>
      </c>
      <c r="J2648" t="s">
        <v>32015</v>
      </c>
      <c r="K2648" t="s">
        <v>39036</v>
      </c>
      <c r="M2648" t="s">
        <v>40373</v>
      </c>
      <c r="N2648" t="s">
        <v>43166</v>
      </c>
      <c r="O2648" t="s">
        <v>43167</v>
      </c>
      <c r="P2648">
        <v>0</v>
      </c>
      <c r="Q2648">
        <v>2</v>
      </c>
      <c r="R2648" t="s">
        <v>43170</v>
      </c>
      <c r="S2648" t="s">
        <v>43297</v>
      </c>
      <c r="T2648" t="s">
        <v>44698</v>
      </c>
      <c r="U2648" t="s">
        <v>47376</v>
      </c>
      <c r="W2648" t="s">
        <v>40373</v>
      </c>
      <c r="X2648" t="s">
        <v>43171</v>
      </c>
    </row>
    <row r="2649" spans="1:24">
      <c r="A2649">
        <f>HYPERLINK("https://www.philgeps.gov.ph/GEPSNONPILOT/Tender/SplashBidNoticeAbstractUI.aspx?menuIndex=3&amp;refID=7086537&amp;Result=3","7086537")</f>
        <v>0</v>
      </c>
      <c r="B2649" t="s">
        <v>682</v>
      </c>
      <c r="C2649" t="s">
        <v>5946</v>
      </c>
      <c r="D2649" t="s">
        <v>17447</v>
      </c>
      <c r="E2649" t="s">
        <v>19819</v>
      </c>
      <c r="F2649" t="s">
        <v>30052</v>
      </c>
      <c r="G2649" t="s">
        <v>30059</v>
      </c>
      <c r="H2649" t="s">
        <v>15498</v>
      </c>
      <c r="I2649" t="s">
        <v>4598</v>
      </c>
      <c r="J2649" t="s">
        <v>31307</v>
      </c>
      <c r="K2649" t="s">
        <v>39019</v>
      </c>
      <c r="M2649" t="s">
        <v>39988</v>
      </c>
      <c r="N2649" t="s">
        <v>43166</v>
      </c>
      <c r="O2649" t="s">
        <v>43167</v>
      </c>
      <c r="P2649">
        <v>0</v>
      </c>
      <c r="Q2649">
        <v>4</v>
      </c>
      <c r="R2649" t="s">
        <v>43170</v>
      </c>
      <c r="S2649" t="s">
        <v>43297</v>
      </c>
      <c r="T2649" t="s">
        <v>44735</v>
      </c>
      <c r="U2649" t="s">
        <v>46501</v>
      </c>
      <c r="W2649" t="s">
        <v>58608</v>
      </c>
      <c r="X2649" t="s">
        <v>43171</v>
      </c>
    </row>
    <row r="2650" spans="1:24">
      <c r="A2650">
        <f>HYPERLINK("https://www.philgeps.gov.ph/GEPSNONPILOT/Tender/SplashBidNoticeAbstractUI.aspx?menuIndex=3&amp;refID=7086530&amp;Result=3","7086530")</f>
        <v>0</v>
      </c>
      <c r="B2650" t="s">
        <v>933</v>
      </c>
      <c r="C2650" t="s">
        <v>5947</v>
      </c>
      <c r="D2650" t="s">
        <v>17456</v>
      </c>
      <c r="E2650" t="s">
        <v>19820</v>
      </c>
      <c r="F2650" t="s">
        <v>30052</v>
      </c>
      <c r="G2650" t="s">
        <v>30058</v>
      </c>
      <c r="H2650" t="s">
        <v>30067</v>
      </c>
      <c r="I2650" t="s">
        <v>3693</v>
      </c>
      <c r="J2650" t="s">
        <v>32016</v>
      </c>
      <c r="K2650" t="s">
        <v>39044</v>
      </c>
      <c r="M2650" t="s">
        <v>40256</v>
      </c>
      <c r="N2650" t="s">
        <v>43166</v>
      </c>
      <c r="O2650" t="s">
        <v>43167</v>
      </c>
      <c r="P2650">
        <v>0</v>
      </c>
      <c r="Q2650">
        <v>0</v>
      </c>
      <c r="R2650" t="s">
        <v>43170</v>
      </c>
      <c r="S2650" t="s">
        <v>43297</v>
      </c>
      <c r="T2650" t="s">
        <v>44786</v>
      </c>
      <c r="U2650" t="s">
        <v>47082</v>
      </c>
      <c r="W2650" t="s">
        <v>40256</v>
      </c>
      <c r="X2650" t="s">
        <v>43171</v>
      </c>
    </row>
    <row r="2651" spans="1:24">
      <c r="A2651">
        <f>HYPERLINK("https://www.philgeps.gov.ph/GEPSNONPILOT/Tender/SplashBidNoticeAbstractUI.aspx?menuIndex=3&amp;refID=7086526&amp;Result=3","7086526")</f>
        <v>0</v>
      </c>
      <c r="B2651" t="s">
        <v>1025</v>
      </c>
      <c r="C2651" t="s">
        <v>5948</v>
      </c>
      <c r="D2651" t="s">
        <v>17455</v>
      </c>
      <c r="E2651" t="s">
        <v>19821</v>
      </c>
      <c r="F2651" t="s">
        <v>30052</v>
      </c>
      <c r="G2651" t="s">
        <v>30059</v>
      </c>
      <c r="H2651" t="s">
        <v>15498</v>
      </c>
      <c r="I2651" t="s">
        <v>30084</v>
      </c>
      <c r="J2651" t="s">
        <v>32017</v>
      </c>
      <c r="K2651" t="s">
        <v>39025</v>
      </c>
      <c r="M2651" t="s">
        <v>40354</v>
      </c>
      <c r="N2651" t="s">
        <v>43166</v>
      </c>
      <c r="O2651" t="s">
        <v>43167</v>
      </c>
      <c r="P2651">
        <v>0</v>
      </c>
      <c r="Q2651">
        <v>5</v>
      </c>
      <c r="R2651" t="s">
        <v>43170</v>
      </c>
      <c r="S2651" t="s">
        <v>43297</v>
      </c>
      <c r="T2651" t="s">
        <v>44714</v>
      </c>
      <c r="U2651" t="s">
        <v>47334</v>
      </c>
      <c r="W2651" t="s">
        <v>40354</v>
      </c>
      <c r="X2651" t="s">
        <v>43171</v>
      </c>
    </row>
    <row r="2652" spans="1:24">
      <c r="A2652">
        <f>HYPERLINK("https://www.philgeps.gov.ph/GEPSNONPILOT/Tender/SplashBidNoticeAbstractUI.aspx?menuIndex=3&amp;refID=7086586&amp;Result=3","7086586")</f>
        <v>0</v>
      </c>
      <c r="B2652" t="s">
        <v>1003</v>
      </c>
      <c r="C2652" t="s">
        <v>5949</v>
      </c>
      <c r="D2652" t="s">
        <v>17437</v>
      </c>
      <c r="E2652" t="s">
        <v>19822</v>
      </c>
      <c r="F2652" t="s">
        <v>30052</v>
      </c>
      <c r="G2652" t="s">
        <v>30059</v>
      </c>
      <c r="H2652" t="s">
        <v>15498</v>
      </c>
      <c r="I2652" t="s">
        <v>3736</v>
      </c>
      <c r="J2652" t="s">
        <v>32018</v>
      </c>
      <c r="K2652" t="s">
        <v>39017</v>
      </c>
      <c r="M2652" t="s">
        <v>40332</v>
      </c>
      <c r="N2652" t="s">
        <v>43166</v>
      </c>
      <c r="O2652" t="s">
        <v>43167</v>
      </c>
      <c r="P2652">
        <v>0</v>
      </c>
      <c r="Q2652">
        <v>0</v>
      </c>
      <c r="R2652" t="s">
        <v>43170</v>
      </c>
      <c r="S2652" t="s">
        <v>43297</v>
      </c>
      <c r="T2652" t="s">
        <v>44698</v>
      </c>
      <c r="U2652" t="s">
        <v>47377</v>
      </c>
      <c r="W2652" t="s">
        <v>40332</v>
      </c>
      <c r="X2652" t="s">
        <v>43171</v>
      </c>
    </row>
    <row r="2653" spans="1:24">
      <c r="A2653">
        <f>HYPERLINK("https://www.philgeps.gov.ph/GEPSNONPILOT/Tender/SplashBidNoticeAbstractUI.aspx?menuIndex=3&amp;refID=7086583&amp;Result=3","7086583")</f>
        <v>0</v>
      </c>
      <c r="B2653" t="s">
        <v>1041</v>
      </c>
      <c r="C2653" t="s">
        <v>5950</v>
      </c>
      <c r="D2653" t="s">
        <v>17449</v>
      </c>
      <c r="E2653" t="s">
        <v>17602</v>
      </c>
      <c r="F2653" t="s">
        <v>30052</v>
      </c>
      <c r="G2653" t="s">
        <v>30059</v>
      </c>
      <c r="H2653" t="s">
        <v>15498</v>
      </c>
      <c r="I2653" t="s">
        <v>30124</v>
      </c>
      <c r="J2653" t="s">
        <v>31062</v>
      </c>
      <c r="K2653" t="s">
        <v>39019</v>
      </c>
      <c r="M2653" t="s">
        <v>40374</v>
      </c>
      <c r="N2653" t="s">
        <v>43166</v>
      </c>
      <c r="O2653" t="s">
        <v>43167</v>
      </c>
      <c r="P2653">
        <v>0</v>
      </c>
      <c r="Q2653">
        <v>1</v>
      </c>
      <c r="R2653" t="s">
        <v>43170</v>
      </c>
      <c r="S2653" t="s">
        <v>43297</v>
      </c>
      <c r="T2653" t="s">
        <v>44837</v>
      </c>
      <c r="U2653" t="s">
        <v>47378</v>
      </c>
      <c r="W2653" t="s">
        <v>40374</v>
      </c>
      <c r="X2653" t="s">
        <v>43171</v>
      </c>
    </row>
    <row r="2654" spans="1:24">
      <c r="A2654">
        <f>HYPERLINK("https://www.philgeps.gov.ph/GEPSNONPILOT/Tender/SplashBidNoticeAbstractUI.aspx?menuIndex=3&amp;refID=7086591&amp;Result=3","7086591")</f>
        <v>0</v>
      </c>
      <c r="B2654" t="s">
        <v>1042</v>
      </c>
      <c r="C2654" t="s">
        <v>5951</v>
      </c>
      <c r="D2654" t="s">
        <v>17441</v>
      </c>
      <c r="E2654" t="s">
        <v>5951</v>
      </c>
      <c r="F2654" t="s">
        <v>30052</v>
      </c>
      <c r="G2654" t="s">
        <v>30061</v>
      </c>
      <c r="H2654" t="s">
        <v>15498</v>
      </c>
      <c r="I2654" t="s">
        <v>30070</v>
      </c>
      <c r="J2654" t="s">
        <v>30327</v>
      </c>
      <c r="K2654" t="s">
        <v>39036</v>
      </c>
      <c r="M2654" t="s">
        <v>40375</v>
      </c>
      <c r="N2654" t="s">
        <v>43166</v>
      </c>
      <c r="O2654" t="s">
        <v>43167</v>
      </c>
      <c r="P2654">
        <v>0</v>
      </c>
      <c r="Q2654">
        <v>0</v>
      </c>
      <c r="R2654" t="s">
        <v>43170</v>
      </c>
      <c r="S2654" t="s">
        <v>43297</v>
      </c>
      <c r="T2654" t="s">
        <v>44856</v>
      </c>
      <c r="U2654" t="s">
        <v>47379</v>
      </c>
      <c r="W2654" t="s">
        <v>40375</v>
      </c>
      <c r="X2654" t="s">
        <v>43171</v>
      </c>
    </row>
    <row r="2655" spans="1:24">
      <c r="A2655">
        <f>HYPERLINK("https://www.philgeps.gov.ph/GEPSNONPILOT/Tender/SplashBidNoticeAbstractUI.aspx?menuIndex=3&amp;refID=7086580&amp;Result=3","7086580")</f>
        <v>0</v>
      </c>
      <c r="B2655" t="s">
        <v>1021</v>
      </c>
      <c r="C2655" t="s">
        <v>5952</v>
      </c>
      <c r="D2655" t="s">
        <v>17416</v>
      </c>
      <c r="E2655" t="s">
        <v>19823</v>
      </c>
      <c r="F2655" t="s">
        <v>30052</v>
      </c>
      <c r="G2655" t="s">
        <v>30059</v>
      </c>
      <c r="H2655" t="s">
        <v>15498</v>
      </c>
      <c r="I2655" t="s">
        <v>3736</v>
      </c>
      <c r="J2655" t="s">
        <v>32019</v>
      </c>
      <c r="K2655" t="s">
        <v>39039</v>
      </c>
      <c r="M2655" t="s">
        <v>40350</v>
      </c>
      <c r="N2655" t="s">
        <v>43166</v>
      </c>
      <c r="O2655" t="s">
        <v>43167</v>
      </c>
      <c r="P2655">
        <v>0</v>
      </c>
      <c r="Q2655">
        <v>0</v>
      </c>
      <c r="R2655" t="s">
        <v>43170</v>
      </c>
      <c r="S2655" t="s">
        <v>43297</v>
      </c>
      <c r="T2655" t="s">
        <v>44710</v>
      </c>
      <c r="U2655" t="s">
        <v>47380</v>
      </c>
      <c r="W2655" t="s">
        <v>40350</v>
      </c>
      <c r="X2655" t="s">
        <v>43171</v>
      </c>
    </row>
    <row r="2656" spans="1:24">
      <c r="A2656">
        <f>HYPERLINK("https://www.philgeps.gov.ph/GEPSNONPILOT/Tender/SplashBidNoticeAbstractUI.aspx?menuIndex=3&amp;refID=7086579&amp;Result=3","7086579")</f>
        <v>0</v>
      </c>
      <c r="B2656" t="s">
        <v>581</v>
      </c>
      <c r="C2656" t="s">
        <v>5953</v>
      </c>
      <c r="D2656" t="s">
        <v>17476</v>
      </c>
      <c r="E2656" t="s">
        <v>18294</v>
      </c>
      <c r="F2656" t="s">
        <v>30052</v>
      </c>
      <c r="G2656" t="s">
        <v>30058</v>
      </c>
      <c r="H2656" t="s">
        <v>15498</v>
      </c>
      <c r="I2656" t="s">
        <v>5961</v>
      </c>
      <c r="J2656" t="s">
        <v>32020</v>
      </c>
      <c r="K2656" t="s">
        <v>39029</v>
      </c>
      <c r="M2656" t="s">
        <v>39883</v>
      </c>
      <c r="N2656" t="s">
        <v>43166</v>
      </c>
      <c r="O2656" t="s">
        <v>43167</v>
      </c>
      <c r="P2656">
        <v>0</v>
      </c>
      <c r="Q2656">
        <v>0</v>
      </c>
      <c r="R2656" t="s">
        <v>43170</v>
      </c>
      <c r="S2656" t="s">
        <v>43297</v>
      </c>
      <c r="T2656" t="s">
        <v>44776</v>
      </c>
      <c r="U2656" t="s">
        <v>47381</v>
      </c>
      <c r="V2656" t="s">
        <v>56845</v>
      </c>
      <c r="W2656" t="s">
        <v>39883</v>
      </c>
      <c r="X2656" t="s">
        <v>43171</v>
      </c>
    </row>
    <row r="2657" spans="1:24">
      <c r="A2657">
        <f>HYPERLINK("https://www.philgeps.gov.ph/GEPSNONPILOT/Tender/SplashBidNoticeAbstractUI.aspx?menuIndex=3&amp;refID=7086574&amp;Result=3","7086574")</f>
        <v>0</v>
      </c>
      <c r="B2657" t="s">
        <v>1039</v>
      </c>
      <c r="C2657" t="s">
        <v>5954</v>
      </c>
      <c r="D2657" t="s">
        <v>17415</v>
      </c>
      <c r="E2657" t="s">
        <v>17922</v>
      </c>
      <c r="F2657" t="s">
        <v>30052</v>
      </c>
      <c r="G2657" t="s">
        <v>30061</v>
      </c>
      <c r="H2657" t="s">
        <v>15498</v>
      </c>
      <c r="I2657" t="s">
        <v>30094</v>
      </c>
      <c r="J2657" t="s">
        <v>30230</v>
      </c>
      <c r="K2657" t="s">
        <v>39041</v>
      </c>
      <c r="M2657" t="s">
        <v>40370</v>
      </c>
      <c r="N2657" t="s">
        <v>43166</v>
      </c>
      <c r="O2657" t="s">
        <v>43167</v>
      </c>
      <c r="P2657">
        <v>0</v>
      </c>
      <c r="Q2657">
        <v>0</v>
      </c>
      <c r="R2657" t="s">
        <v>43170</v>
      </c>
      <c r="S2657" t="s">
        <v>43297</v>
      </c>
      <c r="T2657" t="s">
        <v>44679</v>
      </c>
      <c r="U2657" t="s">
        <v>47382</v>
      </c>
      <c r="W2657" t="s">
        <v>40370</v>
      </c>
      <c r="X2657" t="s">
        <v>43171</v>
      </c>
    </row>
    <row r="2658" spans="1:24">
      <c r="A2658">
        <f>HYPERLINK("https://www.philgeps.gov.ph/GEPSNONPILOT/Tender/SplashBidNoticeAbstractUI.aspx?menuIndex=3&amp;refID=7086584&amp;Result=3","7086584")</f>
        <v>0</v>
      </c>
      <c r="B2658" t="s">
        <v>1043</v>
      </c>
      <c r="C2658" t="s">
        <v>5955</v>
      </c>
      <c r="D2658" t="s">
        <v>17415</v>
      </c>
      <c r="E2658" t="s">
        <v>19598</v>
      </c>
      <c r="F2658" t="s">
        <v>30052</v>
      </c>
      <c r="G2658" t="s">
        <v>30059</v>
      </c>
      <c r="H2658" t="s">
        <v>15498</v>
      </c>
      <c r="I2658" t="s">
        <v>30096</v>
      </c>
      <c r="J2658" t="s">
        <v>30263</v>
      </c>
      <c r="K2658" t="s">
        <v>39019</v>
      </c>
      <c r="M2658" t="s">
        <v>40376</v>
      </c>
      <c r="N2658" t="s">
        <v>43166</v>
      </c>
      <c r="O2658" t="s">
        <v>43167</v>
      </c>
      <c r="P2658">
        <v>0</v>
      </c>
      <c r="Q2658">
        <v>0</v>
      </c>
      <c r="R2658" t="s">
        <v>43170</v>
      </c>
      <c r="S2658" t="s">
        <v>43297</v>
      </c>
      <c r="T2658" t="s">
        <v>44837</v>
      </c>
      <c r="U2658" t="s">
        <v>47383</v>
      </c>
      <c r="W2658" t="s">
        <v>40376</v>
      </c>
      <c r="X2658" t="s">
        <v>43171</v>
      </c>
    </row>
    <row r="2659" spans="1:24">
      <c r="A2659">
        <f>HYPERLINK("https://www.philgeps.gov.ph/GEPSNONPILOT/Tender/SplashBidNoticeAbstractUI.aspx?menuIndex=3&amp;refID=7086571&amp;Result=3","7086571")</f>
        <v>0</v>
      </c>
      <c r="B2659" t="s">
        <v>415</v>
      </c>
      <c r="C2659" t="s">
        <v>5956</v>
      </c>
      <c r="D2659" t="s">
        <v>17472</v>
      </c>
      <c r="E2659" t="s">
        <v>18363</v>
      </c>
      <c r="F2659" t="s">
        <v>30052</v>
      </c>
      <c r="G2659" t="s">
        <v>30061</v>
      </c>
      <c r="H2659" t="s">
        <v>15498</v>
      </c>
      <c r="I2659" t="s">
        <v>30076</v>
      </c>
      <c r="J2659" t="s">
        <v>32021</v>
      </c>
      <c r="K2659" t="s">
        <v>39034</v>
      </c>
      <c r="M2659" t="s">
        <v>39714</v>
      </c>
      <c r="N2659" t="s">
        <v>43166</v>
      </c>
      <c r="O2659" t="s">
        <v>43167</v>
      </c>
      <c r="P2659">
        <v>0</v>
      </c>
      <c r="Q2659">
        <v>1</v>
      </c>
      <c r="R2659" t="s">
        <v>43170</v>
      </c>
      <c r="S2659" t="s">
        <v>43297</v>
      </c>
      <c r="T2659" t="s">
        <v>44685</v>
      </c>
      <c r="U2659" t="s">
        <v>47384</v>
      </c>
      <c r="W2659" t="s">
        <v>39714</v>
      </c>
      <c r="X2659" t="s">
        <v>43171</v>
      </c>
    </row>
    <row r="2660" spans="1:24">
      <c r="A2660">
        <f>HYPERLINK("https://www.philgeps.gov.ph/GEPSNONPILOT/Tender/SplashBidNoticeAbstractUI.aspx?menuIndex=3&amp;refID=7086582&amp;Result=3","7086582")</f>
        <v>0</v>
      </c>
      <c r="B2660" t="s">
        <v>415</v>
      </c>
      <c r="C2660" t="s">
        <v>5957</v>
      </c>
      <c r="D2660" t="s">
        <v>17472</v>
      </c>
      <c r="E2660" t="s">
        <v>18363</v>
      </c>
      <c r="F2660" t="s">
        <v>30052</v>
      </c>
      <c r="G2660" t="s">
        <v>30061</v>
      </c>
      <c r="H2660" t="s">
        <v>15498</v>
      </c>
      <c r="I2660" t="s">
        <v>30081</v>
      </c>
      <c r="J2660" t="s">
        <v>32022</v>
      </c>
      <c r="K2660" t="s">
        <v>39034</v>
      </c>
      <c r="M2660" t="s">
        <v>39714</v>
      </c>
      <c r="N2660" t="s">
        <v>43166</v>
      </c>
      <c r="O2660" t="s">
        <v>43167</v>
      </c>
      <c r="P2660">
        <v>0</v>
      </c>
      <c r="Q2660">
        <v>0</v>
      </c>
      <c r="R2660" t="s">
        <v>43170</v>
      </c>
      <c r="S2660" t="s">
        <v>43297</v>
      </c>
      <c r="T2660" t="s">
        <v>44685</v>
      </c>
      <c r="U2660" t="s">
        <v>47385</v>
      </c>
      <c r="W2660" t="s">
        <v>39714</v>
      </c>
      <c r="X2660" t="s">
        <v>43171</v>
      </c>
    </row>
    <row r="2661" spans="1:24">
      <c r="A2661">
        <f>HYPERLINK("https://www.philgeps.gov.ph/GEPSNONPILOT/Tender/SplashBidNoticeAbstractUI.aspx?menuIndex=3&amp;refID=7086570&amp;Result=3","7086570")</f>
        <v>0</v>
      </c>
      <c r="B2661" t="s">
        <v>931</v>
      </c>
      <c r="C2661" t="s">
        <v>5958</v>
      </c>
      <c r="D2661" t="s">
        <v>17453</v>
      </c>
      <c r="E2661" t="s">
        <v>19824</v>
      </c>
      <c r="F2661" t="s">
        <v>30052</v>
      </c>
      <c r="G2661" t="s">
        <v>30059</v>
      </c>
      <c r="H2661" t="s">
        <v>15498</v>
      </c>
      <c r="I2661" t="s">
        <v>3736</v>
      </c>
      <c r="J2661" t="s">
        <v>32023</v>
      </c>
      <c r="K2661" t="s">
        <v>39036</v>
      </c>
      <c r="M2661" t="s">
        <v>40254</v>
      </c>
      <c r="N2661" t="s">
        <v>43166</v>
      </c>
      <c r="O2661" t="s">
        <v>43167</v>
      </c>
      <c r="P2661">
        <v>0</v>
      </c>
      <c r="Q2661">
        <v>1</v>
      </c>
      <c r="R2661" t="s">
        <v>43170</v>
      </c>
      <c r="S2661" t="s">
        <v>43297</v>
      </c>
      <c r="T2661" t="s">
        <v>44732</v>
      </c>
      <c r="U2661" t="s">
        <v>47386</v>
      </c>
      <c r="W2661" t="s">
        <v>40254</v>
      </c>
      <c r="X2661" t="s">
        <v>43171</v>
      </c>
    </row>
    <row r="2662" spans="1:24">
      <c r="A2662">
        <f>HYPERLINK("https://www.philgeps.gov.ph/GEPSNONPILOT/Tender/SplashBidNoticeAbstractUI.aspx?menuIndex=3&amp;refID=7086565&amp;Result=3","7086565")</f>
        <v>0</v>
      </c>
      <c r="B2662" t="s">
        <v>127</v>
      </c>
      <c r="C2662" t="s">
        <v>5959</v>
      </c>
      <c r="D2662" t="s">
        <v>17434</v>
      </c>
      <c r="E2662" t="s">
        <v>19825</v>
      </c>
      <c r="F2662" t="s">
        <v>30052</v>
      </c>
      <c r="G2662" t="s">
        <v>30059</v>
      </c>
      <c r="H2662" t="s">
        <v>15498</v>
      </c>
      <c r="I2662" t="s">
        <v>30100</v>
      </c>
      <c r="J2662" t="s">
        <v>32024</v>
      </c>
      <c r="K2662" t="s">
        <v>39025</v>
      </c>
      <c r="M2662" t="s">
        <v>40377</v>
      </c>
      <c r="N2662" t="s">
        <v>43166</v>
      </c>
      <c r="O2662" t="s">
        <v>43167</v>
      </c>
      <c r="P2662">
        <v>0</v>
      </c>
      <c r="Q2662">
        <v>0</v>
      </c>
      <c r="R2662" t="s">
        <v>43170</v>
      </c>
      <c r="S2662" t="s">
        <v>43297</v>
      </c>
      <c r="T2662" t="s">
        <v>44732</v>
      </c>
      <c r="U2662" t="s">
        <v>47387</v>
      </c>
      <c r="V2662" t="s">
        <v>57129</v>
      </c>
      <c r="W2662" t="s">
        <v>40377</v>
      </c>
      <c r="X2662" t="s">
        <v>43171</v>
      </c>
    </row>
    <row r="2663" spans="1:24">
      <c r="A2663">
        <f>HYPERLINK("https://www.philgeps.gov.ph/GEPSNONPILOT/Tender/SplashBidNoticeAbstractUI.aspx?menuIndex=3&amp;refID=7086576&amp;Result=3","7086576")</f>
        <v>0</v>
      </c>
      <c r="B2663" t="s">
        <v>1042</v>
      </c>
      <c r="C2663" t="s">
        <v>5960</v>
      </c>
      <c r="D2663" t="s">
        <v>17441</v>
      </c>
      <c r="E2663" t="s">
        <v>5960</v>
      </c>
      <c r="F2663" t="s">
        <v>30052</v>
      </c>
      <c r="G2663" t="s">
        <v>30061</v>
      </c>
      <c r="H2663" t="s">
        <v>15498</v>
      </c>
      <c r="I2663" t="s">
        <v>4119</v>
      </c>
      <c r="J2663" t="s">
        <v>30895</v>
      </c>
      <c r="K2663" t="s">
        <v>39036</v>
      </c>
      <c r="M2663" t="s">
        <v>40375</v>
      </c>
      <c r="N2663" t="s">
        <v>43166</v>
      </c>
      <c r="O2663" t="s">
        <v>43167</v>
      </c>
      <c r="P2663">
        <v>0</v>
      </c>
      <c r="Q2663">
        <v>1</v>
      </c>
      <c r="R2663" t="s">
        <v>43170</v>
      </c>
      <c r="S2663" t="s">
        <v>43297</v>
      </c>
      <c r="T2663" t="s">
        <v>44856</v>
      </c>
      <c r="U2663" t="s">
        <v>47388</v>
      </c>
      <c r="W2663" t="s">
        <v>40375</v>
      </c>
      <c r="X2663" t="s">
        <v>43171</v>
      </c>
    </row>
    <row r="2664" spans="1:24">
      <c r="A2664">
        <f>HYPERLINK("https://www.philgeps.gov.ph/GEPSNONPILOT/Tender/SplashBidNoticeAbstractUI.aspx?menuIndex=3&amp;refID=7086564&amp;Result=3","7086564")</f>
        <v>0</v>
      </c>
      <c r="B2664" t="s">
        <v>1039</v>
      </c>
      <c r="C2664" t="s">
        <v>5961</v>
      </c>
      <c r="D2664" t="s">
        <v>17415</v>
      </c>
      <c r="E2664" t="s">
        <v>17922</v>
      </c>
      <c r="F2664" t="s">
        <v>30052</v>
      </c>
      <c r="G2664" t="s">
        <v>30061</v>
      </c>
      <c r="H2664" t="s">
        <v>15498</v>
      </c>
      <c r="I2664" t="s">
        <v>5961</v>
      </c>
      <c r="J2664" t="s">
        <v>30230</v>
      </c>
      <c r="K2664" t="s">
        <v>39041</v>
      </c>
      <c r="M2664" t="s">
        <v>40370</v>
      </c>
      <c r="N2664" t="s">
        <v>43166</v>
      </c>
      <c r="O2664" t="s">
        <v>43167</v>
      </c>
      <c r="P2664">
        <v>0</v>
      </c>
      <c r="Q2664">
        <v>5</v>
      </c>
      <c r="R2664" t="s">
        <v>43170</v>
      </c>
      <c r="S2664" t="s">
        <v>43297</v>
      </c>
      <c r="T2664" t="s">
        <v>44679</v>
      </c>
      <c r="U2664" t="s">
        <v>47389</v>
      </c>
      <c r="W2664" t="s">
        <v>40370</v>
      </c>
      <c r="X2664" t="s">
        <v>43171</v>
      </c>
    </row>
    <row r="2665" spans="1:24">
      <c r="A2665">
        <f>HYPERLINK("https://www.philgeps.gov.ph/GEPSNONPILOT/Tender/SplashBidNoticeAbstractUI.aspx?menuIndex=3&amp;refID=7086573&amp;Result=3","7086573")</f>
        <v>0</v>
      </c>
      <c r="B2665" t="s">
        <v>1044</v>
      </c>
      <c r="C2665" t="s">
        <v>5962</v>
      </c>
      <c r="D2665" t="s">
        <v>17415</v>
      </c>
      <c r="E2665" t="s">
        <v>19826</v>
      </c>
      <c r="F2665" t="s">
        <v>30052</v>
      </c>
      <c r="G2665" t="s">
        <v>30059</v>
      </c>
      <c r="H2665" t="s">
        <v>15498</v>
      </c>
      <c r="I2665" t="s">
        <v>4650</v>
      </c>
      <c r="J2665" t="s">
        <v>32025</v>
      </c>
      <c r="K2665" t="s">
        <v>39025</v>
      </c>
      <c r="M2665" t="s">
        <v>40378</v>
      </c>
      <c r="N2665" t="s">
        <v>43166</v>
      </c>
      <c r="O2665" t="s">
        <v>43167</v>
      </c>
      <c r="P2665">
        <v>0</v>
      </c>
      <c r="Q2665">
        <v>4</v>
      </c>
      <c r="R2665" t="s">
        <v>43170</v>
      </c>
      <c r="S2665" t="s">
        <v>43297</v>
      </c>
      <c r="T2665" t="s">
        <v>44837</v>
      </c>
      <c r="U2665" t="s">
        <v>47390</v>
      </c>
      <c r="W2665" t="s">
        <v>40378</v>
      </c>
      <c r="X2665" t="s">
        <v>43171</v>
      </c>
    </row>
    <row r="2666" spans="1:24">
      <c r="A2666">
        <f>HYPERLINK("https://www.philgeps.gov.ph/GEPSNONPILOT/Tender/SplashBidNoticeAbstractUI.aspx?menuIndex=3&amp;refID=7086522&amp;Result=3","7086522")</f>
        <v>0</v>
      </c>
      <c r="B2666" t="s">
        <v>727</v>
      </c>
      <c r="C2666" t="s">
        <v>5963</v>
      </c>
      <c r="D2666" t="s">
        <v>17465</v>
      </c>
      <c r="E2666" t="s">
        <v>5963</v>
      </c>
      <c r="F2666" t="s">
        <v>30052</v>
      </c>
      <c r="G2666" t="s">
        <v>30061</v>
      </c>
      <c r="H2666" t="s">
        <v>15498</v>
      </c>
      <c r="I2666" t="s">
        <v>4119</v>
      </c>
      <c r="J2666" t="s">
        <v>32026</v>
      </c>
      <c r="K2666" t="s">
        <v>39036</v>
      </c>
      <c r="M2666" t="s">
        <v>40038</v>
      </c>
      <c r="N2666" t="s">
        <v>43166</v>
      </c>
      <c r="O2666" t="s">
        <v>43167</v>
      </c>
      <c r="P2666">
        <v>0</v>
      </c>
      <c r="Q2666">
        <v>1</v>
      </c>
      <c r="R2666" t="s">
        <v>43170</v>
      </c>
      <c r="S2666" t="s">
        <v>43297</v>
      </c>
      <c r="T2666" t="s">
        <v>44764</v>
      </c>
      <c r="U2666" t="s">
        <v>47391</v>
      </c>
      <c r="W2666" t="s">
        <v>40038</v>
      </c>
      <c r="X2666" t="s">
        <v>43171</v>
      </c>
    </row>
    <row r="2667" spans="1:24">
      <c r="A2667">
        <f>HYPERLINK("https://www.philgeps.gov.ph/GEPSNONPILOT/Tender/SplashBidNoticeAbstractUI.aspx?menuIndex=3&amp;refID=7086567&amp;Result=3","7086567")</f>
        <v>0</v>
      </c>
      <c r="B2667" t="s">
        <v>1008</v>
      </c>
      <c r="C2667" t="s">
        <v>5964</v>
      </c>
      <c r="D2667" t="s">
        <v>17415</v>
      </c>
      <c r="E2667" t="s">
        <v>19827</v>
      </c>
      <c r="F2667" t="s">
        <v>30052</v>
      </c>
      <c r="G2667" t="s">
        <v>30059</v>
      </c>
      <c r="H2667" t="s">
        <v>15498</v>
      </c>
      <c r="I2667" t="s">
        <v>30076</v>
      </c>
      <c r="J2667" t="s">
        <v>30350</v>
      </c>
      <c r="K2667" t="s">
        <v>39019</v>
      </c>
      <c r="M2667" t="s">
        <v>40337</v>
      </c>
      <c r="N2667" t="s">
        <v>43166</v>
      </c>
      <c r="O2667" t="s">
        <v>43167</v>
      </c>
      <c r="P2667">
        <v>0</v>
      </c>
      <c r="Q2667">
        <v>0</v>
      </c>
      <c r="R2667" t="s">
        <v>43170</v>
      </c>
      <c r="S2667" t="s">
        <v>43297</v>
      </c>
      <c r="T2667" t="s">
        <v>44844</v>
      </c>
      <c r="U2667" t="s">
        <v>47392</v>
      </c>
      <c r="V2667" t="s">
        <v>57122</v>
      </c>
      <c r="W2667" t="s">
        <v>40337</v>
      </c>
      <c r="X2667" t="s">
        <v>43171</v>
      </c>
    </row>
    <row r="2668" spans="1:24">
      <c r="A2668">
        <f>HYPERLINK("https://www.philgeps.gov.ph/GEPSNONPILOT/Tender/SplashBidNoticeAbstractUI.aspx?menuIndex=3&amp;refID=7086558&amp;Result=3","7086558")</f>
        <v>0</v>
      </c>
      <c r="B2668" t="s">
        <v>694</v>
      </c>
      <c r="C2668" t="s">
        <v>5965</v>
      </c>
      <c r="D2668" t="s">
        <v>17476</v>
      </c>
      <c r="E2668" t="s">
        <v>19828</v>
      </c>
      <c r="F2668" t="s">
        <v>30052</v>
      </c>
      <c r="G2668" t="s">
        <v>30059</v>
      </c>
      <c r="H2668" t="s">
        <v>15498</v>
      </c>
      <c r="I2668" t="s">
        <v>4650</v>
      </c>
      <c r="J2668" t="s">
        <v>30915</v>
      </c>
      <c r="K2668" t="s">
        <v>39064</v>
      </c>
      <c r="M2668" t="s">
        <v>40001</v>
      </c>
      <c r="N2668" t="s">
        <v>43166</v>
      </c>
      <c r="O2668" t="s">
        <v>43167</v>
      </c>
      <c r="P2668">
        <v>0</v>
      </c>
      <c r="Q2668">
        <v>0</v>
      </c>
      <c r="R2668" t="s">
        <v>43170</v>
      </c>
      <c r="S2668" t="s">
        <v>43297</v>
      </c>
      <c r="T2668" t="s">
        <v>44893</v>
      </c>
      <c r="U2668" t="s">
        <v>47393</v>
      </c>
      <c r="W2668" t="s">
        <v>40001</v>
      </c>
      <c r="X2668" t="s">
        <v>43171</v>
      </c>
    </row>
    <row r="2669" spans="1:24">
      <c r="A2669">
        <f>HYPERLINK("https://www.philgeps.gov.ph/GEPSNONPILOT/Tender/SplashBidNoticeAbstractUI.aspx?menuIndex=3&amp;refID=7086521&amp;Result=3","7086521")</f>
        <v>0</v>
      </c>
      <c r="B2669" t="s">
        <v>818</v>
      </c>
      <c r="C2669" t="s">
        <v>5966</v>
      </c>
      <c r="D2669" t="s">
        <v>17449</v>
      </c>
      <c r="E2669" t="s">
        <v>19208</v>
      </c>
      <c r="F2669" t="s">
        <v>30052</v>
      </c>
      <c r="G2669" t="s">
        <v>30059</v>
      </c>
      <c r="H2669" t="s">
        <v>15498</v>
      </c>
      <c r="I2669" t="s">
        <v>30151</v>
      </c>
      <c r="J2669" t="s">
        <v>31272</v>
      </c>
      <c r="K2669" t="s">
        <v>39017</v>
      </c>
      <c r="M2669" t="s">
        <v>40135</v>
      </c>
      <c r="N2669" t="s">
        <v>43166</v>
      </c>
      <c r="O2669" t="s">
        <v>43167</v>
      </c>
      <c r="P2669">
        <v>0</v>
      </c>
      <c r="Q2669">
        <v>2</v>
      </c>
      <c r="R2669" t="s">
        <v>43170</v>
      </c>
      <c r="S2669" t="s">
        <v>43297</v>
      </c>
      <c r="T2669" t="s">
        <v>44732</v>
      </c>
      <c r="U2669" t="s">
        <v>47394</v>
      </c>
      <c r="W2669" t="s">
        <v>40135</v>
      </c>
      <c r="X2669" t="s">
        <v>43171</v>
      </c>
    </row>
    <row r="2670" spans="1:24">
      <c r="A2670">
        <f>HYPERLINK("https://www.philgeps.gov.ph/GEPSNONPILOT/Tender/SplashBidNoticeAbstractUI.aspx?menuIndex=3&amp;refID=7086520&amp;Result=3","7086520")</f>
        <v>0</v>
      </c>
      <c r="B2670" t="s">
        <v>1045</v>
      </c>
      <c r="C2670" t="s">
        <v>5967</v>
      </c>
      <c r="E2670" t="s">
        <v>18611</v>
      </c>
      <c r="F2670" t="s">
        <v>30052</v>
      </c>
      <c r="G2670" t="s">
        <v>30058</v>
      </c>
      <c r="H2670" t="s">
        <v>15498</v>
      </c>
      <c r="I2670" t="s">
        <v>3736</v>
      </c>
      <c r="J2670" t="s">
        <v>32027</v>
      </c>
      <c r="K2670" t="s">
        <v>39025</v>
      </c>
      <c r="M2670" t="s">
        <v>40379</v>
      </c>
      <c r="N2670" t="s">
        <v>43166</v>
      </c>
      <c r="O2670" t="s">
        <v>43167</v>
      </c>
      <c r="P2670">
        <v>0</v>
      </c>
      <c r="Q2670">
        <v>0</v>
      </c>
      <c r="R2670" t="s">
        <v>43170</v>
      </c>
      <c r="S2670" t="s">
        <v>43297</v>
      </c>
      <c r="T2670" t="s">
        <v>44681</v>
      </c>
      <c r="U2670" t="s">
        <v>47395</v>
      </c>
      <c r="W2670" t="s">
        <v>40379</v>
      </c>
      <c r="X2670" t="s">
        <v>43171</v>
      </c>
    </row>
    <row r="2671" spans="1:24">
      <c r="A2671">
        <f>HYPERLINK("https://www.philgeps.gov.ph/GEPSNONPILOT/Tender/SplashBidNoticeAbstractUI.aspx?menuIndex=3&amp;refID=7086519&amp;Result=3","7086519")</f>
        <v>0</v>
      </c>
      <c r="B2671" t="s">
        <v>1046</v>
      </c>
      <c r="C2671" t="s">
        <v>5968</v>
      </c>
      <c r="E2671" t="s">
        <v>19829</v>
      </c>
      <c r="F2671" t="s">
        <v>30052</v>
      </c>
      <c r="G2671" t="s">
        <v>30058</v>
      </c>
      <c r="H2671" t="s">
        <v>15498</v>
      </c>
      <c r="I2671" t="s">
        <v>30077</v>
      </c>
      <c r="J2671" t="s">
        <v>30600</v>
      </c>
      <c r="K2671" t="s">
        <v>39036</v>
      </c>
      <c r="N2671" t="s">
        <v>43166</v>
      </c>
      <c r="O2671" t="s">
        <v>43167</v>
      </c>
      <c r="P2671">
        <v>0</v>
      </c>
      <c r="Q2671">
        <v>2</v>
      </c>
      <c r="R2671" t="s">
        <v>43170</v>
      </c>
      <c r="S2671" t="s">
        <v>43297</v>
      </c>
      <c r="T2671" t="s">
        <v>44820</v>
      </c>
      <c r="U2671" t="s">
        <v>47396</v>
      </c>
      <c r="W2671" t="s">
        <v>40388</v>
      </c>
      <c r="X2671" t="s">
        <v>43171</v>
      </c>
    </row>
    <row r="2672" spans="1:24">
      <c r="A2672">
        <f>HYPERLINK("https://www.philgeps.gov.ph/GEPSNONPILOT/Tender/SplashBidNoticeAbstractUI.aspx?menuIndex=3&amp;refID=7086416&amp;Result=3","7086416")</f>
        <v>0</v>
      </c>
      <c r="B2672" t="s">
        <v>1018</v>
      </c>
      <c r="C2672" t="s">
        <v>4662</v>
      </c>
      <c r="E2672" t="s">
        <v>19830</v>
      </c>
      <c r="F2672" t="s">
        <v>30052</v>
      </c>
      <c r="G2672" t="s">
        <v>30061</v>
      </c>
      <c r="H2672" t="s">
        <v>15498</v>
      </c>
      <c r="I2672" t="s">
        <v>30070</v>
      </c>
      <c r="J2672" t="s">
        <v>32028</v>
      </c>
      <c r="K2672" t="s">
        <v>39025</v>
      </c>
      <c r="M2672" t="s">
        <v>40347</v>
      </c>
      <c r="N2672" t="s">
        <v>43166</v>
      </c>
      <c r="O2672" t="s">
        <v>43167</v>
      </c>
      <c r="P2672">
        <v>0</v>
      </c>
      <c r="Q2672">
        <v>1</v>
      </c>
      <c r="R2672" t="s">
        <v>43170</v>
      </c>
      <c r="S2672" t="s">
        <v>43297</v>
      </c>
      <c r="T2672" t="s">
        <v>44847</v>
      </c>
      <c r="U2672" t="s">
        <v>45217</v>
      </c>
      <c r="W2672" t="s">
        <v>40347</v>
      </c>
      <c r="X2672" t="s">
        <v>43171</v>
      </c>
    </row>
    <row r="2673" spans="1:24">
      <c r="A2673">
        <f>HYPERLINK("https://www.philgeps.gov.ph/GEPSNONPILOT/Tender/SplashBidNoticeAbstractUI.aspx?menuIndex=3&amp;refID=7086562&amp;Result=3","7086562")</f>
        <v>0</v>
      </c>
      <c r="B2673" t="s">
        <v>1047</v>
      </c>
      <c r="C2673" t="s">
        <v>5969</v>
      </c>
      <c r="D2673" t="s">
        <v>17476</v>
      </c>
      <c r="E2673" t="s">
        <v>19831</v>
      </c>
      <c r="F2673" t="s">
        <v>30052</v>
      </c>
      <c r="G2673" t="s">
        <v>30058</v>
      </c>
      <c r="H2673" t="s">
        <v>15498</v>
      </c>
      <c r="I2673" t="s">
        <v>30094</v>
      </c>
      <c r="J2673" t="s">
        <v>30207</v>
      </c>
      <c r="K2673" t="s">
        <v>39017</v>
      </c>
      <c r="M2673" t="s">
        <v>40380</v>
      </c>
      <c r="N2673" t="s">
        <v>43166</v>
      </c>
      <c r="O2673" t="s">
        <v>43167</v>
      </c>
      <c r="P2673">
        <v>0</v>
      </c>
      <c r="Q2673">
        <v>0</v>
      </c>
      <c r="R2673" t="s">
        <v>43170</v>
      </c>
      <c r="S2673" t="s">
        <v>43297</v>
      </c>
      <c r="T2673" t="s">
        <v>44892</v>
      </c>
      <c r="U2673" t="s">
        <v>47397</v>
      </c>
      <c r="W2673" t="s">
        <v>58624</v>
      </c>
      <c r="X2673" t="s">
        <v>43171</v>
      </c>
    </row>
    <row r="2674" spans="1:24">
      <c r="A2674">
        <f>HYPERLINK("https://www.philgeps.gov.ph/GEPSNONPILOT/Tender/SplashBidNoticeAbstractUI.aspx?menuIndex=3&amp;refID=7086415&amp;Result=3","7086415")</f>
        <v>0</v>
      </c>
      <c r="B2674" t="s">
        <v>818</v>
      </c>
      <c r="C2674" t="s">
        <v>5272</v>
      </c>
      <c r="D2674" t="s">
        <v>17449</v>
      </c>
      <c r="E2674" t="s">
        <v>19208</v>
      </c>
      <c r="F2674" t="s">
        <v>30052</v>
      </c>
      <c r="G2674" t="s">
        <v>30061</v>
      </c>
      <c r="H2674" t="s">
        <v>15498</v>
      </c>
      <c r="I2674" t="s">
        <v>30070</v>
      </c>
      <c r="J2674" t="s">
        <v>30377</v>
      </c>
      <c r="K2674" t="s">
        <v>39017</v>
      </c>
      <c r="M2674" t="s">
        <v>40135</v>
      </c>
      <c r="N2674" t="s">
        <v>43166</v>
      </c>
      <c r="O2674" t="s">
        <v>43167</v>
      </c>
      <c r="P2674">
        <v>0</v>
      </c>
      <c r="Q2674">
        <v>0</v>
      </c>
      <c r="R2674" t="s">
        <v>43170</v>
      </c>
      <c r="S2674" t="s">
        <v>43297</v>
      </c>
      <c r="T2674" t="s">
        <v>44837</v>
      </c>
      <c r="U2674" t="s">
        <v>47398</v>
      </c>
      <c r="W2674" t="s">
        <v>40135</v>
      </c>
      <c r="X2674" t="s">
        <v>43171</v>
      </c>
    </row>
    <row r="2675" spans="1:24">
      <c r="A2675">
        <f>HYPERLINK("https://www.philgeps.gov.ph/GEPSNONPILOT/Tender/SplashBidNoticeAbstractUI.aspx?menuIndex=3&amp;refID=7086414&amp;Result=3","7086414")</f>
        <v>0</v>
      </c>
      <c r="B2675" t="s">
        <v>1048</v>
      </c>
      <c r="C2675" t="s">
        <v>5970</v>
      </c>
      <c r="D2675" t="s">
        <v>17415</v>
      </c>
      <c r="E2675" t="s">
        <v>19832</v>
      </c>
      <c r="F2675" t="s">
        <v>30052</v>
      </c>
      <c r="G2675" t="s">
        <v>30059</v>
      </c>
      <c r="H2675" t="s">
        <v>15498</v>
      </c>
      <c r="I2675" t="s">
        <v>30084</v>
      </c>
      <c r="J2675" t="s">
        <v>32017</v>
      </c>
      <c r="K2675" t="s">
        <v>39036</v>
      </c>
      <c r="M2675" t="s">
        <v>40381</v>
      </c>
      <c r="N2675" t="s">
        <v>43166</v>
      </c>
      <c r="O2675" t="s">
        <v>43167</v>
      </c>
      <c r="P2675">
        <v>0</v>
      </c>
      <c r="Q2675">
        <v>6</v>
      </c>
      <c r="R2675" t="s">
        <v>43170</v>
      </c>
      <c r="S2675" t="s">
        <v>43297</v>
      </c>
      <c r="T2675" t="s">
        <v>44691</v>
      </c>
      <c r="U2675" t="s">
        <v>47399</v>
      </c>
      <c r="W2675" t="s">
        <v>40381</v>
      </c>
      <c r="X2675" t="s">
        <v>43171</v>
      </c>
    </row>
    <row r="2676" spans="1:24">
      <c r="A2676">
        <f>HYPERLINK("https://www.philgeps.gov.ph/GEPSNONPILOT/Tender/SplashBidNoticeAbstractUI.aspx?menuIndex=3&amp;refID=7086412&amp;Result=3","7086412")</f>
        <v>0</v>
      </c>
      <c r="B2676" t="s">
        <v>1008</v>
      </c>
      <c r="C2676" t="s">
        <v>5971</v>
      </c>
      <c r="D2676" t="s">
        <v>17415</v>
      </c>
      <c r="E2676" t="s">
        <v>19833</v>
      </c>
      <c r="F2676" t="s">
        <v>30052</v>
      </c>
      <c r="G2676" t="s">
        <v>30059</v>
      </c>
      <c r="H2676" t="s">
        <v>15498</v>
      </c>
      <c r="I2676" t="s">
        <v>3736</v>
      </c>
      <c r="J2676" t="s">
        <v>30297</v>
      </c>
      <c r="K2676" t="s">
        <v>39019</v>
      </c>
      <c r="M2676" t="s">
        <v>40337</v>
      </c>
      <c r="N2676" t="s">
        <v>43166</v>
      </c>
      <c r="O2676" t="s">
        <v>43167</v>
      </c>
      <c r="P2676">
        <v>0</v>
      </c>
      <c r="Q2676">
        <v>0</v>
      </c>
      <c r="R2676" t="s">
        <v>43170</v>
      </c>
      <c r="S2676" t="s">
        <v>43297</v>
      </c>
      <c r="T2676" t="s">
        <v>44844</v>
      </c>
      <c r="U2676" t="s">
        <v>47400</v>
      </c>
      <c r="V2676" t="s">
        <v>57122</v>
      </c>
      <c r="W2676" t="s">
        <v>40337</v>
      </c>
      <c r="X2676" t="s">
        <v>43171</v>
      </c>
    </row>
    <row r="2677" spans="1:24">
      <c r="A2677">
        <f>HYPERLINK("https://www.philgeps.gov.ph/GEPSNONPILOT/Tender/SplashBidNoticeAbstractUI.aspx?menuIndex=3&amp;refID=7086559&amp;Result=3","7086559")</f>
        <v>0</v>
      </c>
      <c r="B2677" t="s">
        <v>415</v>
      </c>
      <c r="C2677" t="s">
        <v>5972</v>
      </c>
      <c r="D2677" t="s">
        <v>17472</v>
      </c>
      <c r="E2677" t="s">
        <v>18363</v>
      </c>
      <c r="F2677" t="s">
        <v>30052</v>
      </c>
      <c r="G2677" t="s">
        <v>30061</v>
      </c>
      <c r="H2677" t="s">
        <v>15498</v>
      </c>
      <c r="I2677" t="s">
        <v>30070</v>
      </c>
      <c r="J2677" t="s">
        <v>32029</v>
      </c>
      <c r="K2677" t="s">
        <v>39034</v>
      </c>
      <c r="M2677" t="s">
        <v>39714</v>
      </c>
      <c r="N2677" t="s">
        <v>43166</v>
      </c>
      <c r="O2677" t="s">
        <v>43167</v>
      </c>
      <c r="P2677">
        <v>0</v>
      </c>
      <c r="Q2677">
        <v>0</v>
      </c>
      <c r="R2677" t="s">
        <v>43170</v>
      </c>
      <c r="S2677" t="s">
        <v>43297</v>
      </c>
      <c r="T2677" t="s">
        <v>44685</v>
      </c>
      <c r="U2677" t="s">
        <v>47401</v>
      </c>
      <c r="W2677" t="s">
        <v>39714</v>
      </c>
      <c r="X2677" t="s">
        <v>43171</v>
      </c>
    </row>
    <row r="2678" spans="1:24">
      <c r="A2678">
        <f>HYPERLINK("https://www.philgeps.gov.ph/GEPSNONPILOT/Tender/SplashBidNoticeAbstractUI.aspx?menuIndex=3&amp;refID=7086601&amp;Result=3","7086601")</f>
        <v>0</v>
      </c>
      <c r="B2678" t="s">
        <v>1008</v>
      </c>
      <c r="C2678" t="s">
        <v>5973</v>
      </c>
      <c r="D2678" t="s">
        <v>17415</v>
      </c>
      <c r="E2678" t="s">
        <v>19834</v>
      </c>
      <c r="F2678" t="s">
        <v>30052</v>
      </c>
      <c r="G2678" t="s">
        <v>30062</v>
      </c>
      <c r="H2678" t="s">
        <v>15498</v>
      </c>
      <c r="I2678" t="s">
        <v>30070</v>
      </c>
      <c r="J2678" t="s">
        <v>32030</v>
      </c>
      <c r="K2678" t="s">
        <v>39019</v>
      </c>
      <c r="M2678" t="s">
        <v>40337</v>
      </c>
      <c r="N2678" t="s">
        <v>43166</v>
      </c>
      <c r="O2678" t="s">
        <v>43167</v>
      </c>
      <c r="P2678">
        <v>0</v>
      </c>
      <c r="Q2678">
        <v>1</v>
      </c>
      <c r="R2678" t="s">
        <v>43170</v>
      </c>
      <c r="S2678" t="s">
        <v>43297</v>
      </c>
      <c r="T2678" t="s">
        <v>44844</v>
      </c>
      <c r="U2678" t="s">
        <v>47402</v>
      </c>
      <c r="V2678" t="s">
        <v>57122</v>
      </c>
      <c r="W2678" t="s">
        <v>40337</v>
      </c>
      <c r="X2678" t="s">
        <v>43171</v>
      </c>
    </row>
    <row r="2679" spans="1:24">
      <c r="A2679">
        <f>HYPERLINK("https://www.philgeps.gov.ph/GEPSNONPILOT/Tender/SplashBidNoticeAbstractUI.aspx?menuIndex=3&amp;refID=7086593&amp;Result=3","7086593")</f>
        <v>0</v>
      </c>
      <c r="B2679" t="s">
        <v>415</v>
      </c>
      <c r="C2679" t="s">
        <v>5974</v>
      </c>
      <c r="D2679" t="s">
        <v>17472</v>
      </c>
      <c r="E2679" t="s">
        <v>18363</v>
      </c>
      <c r="F2679" t="s">
        <v>30052</v>
      </c>
      <c r="G2679" t="s">
        <v>30061</v>
      </c>
      <c r="H2679" t="s">
        <v>15498</v>
      </c>
      <c r="I2679" t="s">
        <v>30081</v>
      </c>
      <c r="J2679" t="s">
        <v>32031</v>
      </c>
      <c r="K2679" t="s">
        <v>39034</v>
      </c>
      <c r="M2679" t="s">
        <v>39714</v>
      </c>
      <c r="N2679" t="s">
        <v>43166</v>
      </c>
      <c r="O2679" t="s">
        <v>43167</v>
      </c>
      <c r="P2679">
        <v>0</v>
      </c>
      <c r="Q2679">
        <v>0</v>
      </c>
      <c r="R2679" t="s">
        <v>43170</v>
      </c>
      <c r="S2679" t="s">
        <v>43297</v>
      </c>
      <c r="T2679" t="s">
        <v>44685</v>
      </c>
      <c r="U2679" t="s">
        <v>47403</v>
      </c>
      <c r="W2679" t="s">
        <v>39714</v>
      </c>
      <c r="X2679" t="s">
        <v>43171</v>
      </c>
    </row>
    <row r="2680" spans="1:24">
      <c r="A2680">
        <f>HYPERLINK("https://www.philgeps.gov.ph/GEPSNONPILOT/Tender/SplashBidNoticeAbstractUI.aspx?menuIndex=3&amp;refID=7086518&amp;Result=3","7086518")</f>
        <v>0</v>
      </c>
      <c r="B2680" t="s">
        <v>1026</v>
      </c>
      <c r="C2680" t="s">
        <v>5975</v>
      </c>
      <c r="D2680" t="s">
        <v>17444</v>
      </c>
      <c r="E2680" t="s">
        <v>19835</v>
      </c>
      <c r="F2680" t="s">
        <v>30052</v>
      </c>
      <c r="G2680" t="s">
        <v>30058</v>
      </c>
      <c r="H2680" t="s">
        <v>15498</v>
      </c>
      <c r="I2680" t="s">
        <v>30091</v>
      </c>
      <c r="J2680" t="s">
        <v>30281</v>
      </c>
      <c r="K2680" t="s">
        <v>39099</v>
      </c>
      <c r="M2680" t="s">
        <v>40355</v>
      </c>
      <c r="N2680" t="s">
        <v>43166</v>
      </c>
      <c r="O2680" t="s">
        <v>43167</v>
      </c>
      <c r="P2680">
        <v>0</v>
      </c>
      <c r="Q2680">
        <v>4</v>
      </c>
      <c r="R2680" t="s">
        <v>43170</v>
      </c>
      <c r="S2680" t="s">
        <v>43297</v>
      </c>
      <c r="T2680" t="s">
        <v>44677</v>
      </c>
      <c r="U2680" t="s">
        <v>47404</v>
      </c>
      <c r="W2680" t="s">
        <v>40355</v>
      </c>
      <c r="X2680" t="s">
        <v>43171</v>
      </c>
    </row>
    <row r="2681" spans="1:24">
      <c r="A2681">
        <f>HYPERLINK("https://www.philgeps.gov.ph/GEPSNONPILOT/Tender/SplashBidNoticeAbstractUI.aspx?menuIndex=3&amp;refID=7086605&amp;Result=3","7086605")</f>
        <v>0</v>
      </c>
      <c r="B2681" t="s">
        <v>990</v>
      </c>
      <c r="C2681" t="s">
        <v>5976</v>
      </c>
      <c r="D2681" t="s">
        <v>17474</v>
      </c>
      <c r="E2681" t="s">
        <v>19836</v>
      </c>
      <c r="F2681" t="s">
        <v>30052</v>
      </c>
      <c r="G2681" t="s">
        <v>30059</v>
      </c>
      <c r="H2681" t="s">
        <v>15498</v>
      </c>
      <c r="I2681" t="s">
        <v>30110</v>
      </c>
      <c r="J2681" t="s">
        <v>32032</v>
      </c>
      <c r="K2681" t="s">
        <v>39029</v>
      </c>
      <c r="M2681" t="s">
        <v>40317</v>
      </c>
      <c r="N2681" t="s">
        <v>43166</v>
      </c>
      <c r="O2681" t="s">
        <v>43167</v>
      </c>
      <c r="P2681">
        <v>0</v>
      </c>
      <c r="Q2681">
        <v>2</v>
      </c>
      <c r="R2681" t="s">
        <v>43170</v>
      </c>
      <c r="S2681" t="s">
        <v>43297</v>
      </c>
      <c r="T2681" t="s">
        <v>44723</v>
      </c>
      <c r="U2681" t="s">
        <v>47405</v>
      </c>
      <c r="V2681" t="s">
        <v>57130</v>
      </c>
      <c r="W2681" t="s">
        <v>40317</v>
      </c>
      <c r="X2681" t="s">
        <v>43171</v>
      </c>
    </row>
    <row r="2682" spans="1:24">
      <c r="A2682">
        <f>HYPERLINK("https://www.philgeps.gov.ph/GEPSNONPILOT/Tender/SplashBidNoticeAbstractUI.aspx?menuIndex=3&amp;refID=7086544&amp;Result=3","7086544")</f>
        <v>0</v>
      </c>
      <c r="B2682" t="s">
        <v>1049</v>
      </c>
      <c r="C2682" t="s">
        <v>5977</v>
      </c>
      <c r="D2682" t="s">
        <v>17464</v>
      </c>
      <c r="E2682" t="s">
        <v>18907</v>
      </c>
      <c r="F2682" t="s">
        <v>30052</v>
      </c>
      <c r="G2682" t="s">
        <v>30059</v>
      </c>
      <c r="H2682" t="s">
        <v>15498</v>
      </c>
      <c r="I2682" t="s">
        <v>30078</v>
      </c>
      <c r="J2682" t="s">
        <v>30377</v>
      </c>
      <c r="K2682" t="s">
        <v>39039</v>
      </c>
      <c r="M2682" t="s">
        <v>40382</v>
      </c>
      <c r="N2682" t="s">
        <v>43166</v>
      </c>
      <c r="O2682" t="s">
        <v>43167</v>
      </c>
      <c r="P2682">
        <v>0</v>
      </c>
      <c r="Q2682">
        <v>0</v>
      </c>
      <c r="R2682" t="s">
        <v>43170</v>
      </c>
      <c r="S2682" t="s">
        <v>43297</v>
      </c>
      <c r="T2682" t="s">
        <v>44870</v>
      </c>
      <c r="U2682" t="s">
        <v>47406</v>
      </c>
      <c r="W2682" t="s">
        <v>40382</v>
      </c>
      <c r="X2682" t="s">
        <v>43171</v>
      </c>
    </row>
    <row r="2683" spans="1:24">
      <c r="A2683">
        <f>HYPERLINK("https://www.philgeps.gov.ph/GEPSNONPILOT/Tender/SplashBidNoticeAbstractUI.aspx?menuIndex=3&amp;refID=7086634&amp;Result=3","7086634")</f>
        <v>0</v>
      </c>
      <c r="B2683" t="s">
        <v>1027</v>
      </c>
      <c r="C2683" t="s">
        <v>5978</v>
      </c>
      <c r="D2683" t="s">
        <v>17484</v>
      </c>
      <c r="E2683" t="s">
        <v>19837</v>
      </c>
      <c r="F2683" t="s">
        <v>30052</v>
      </c>
      <c r="G2683" t="s">
        <v>30062</v>
      </c>
      <c r="H2683" t="s">
        <v>15498</v>
      </c>
      <c r="I2683" t="s">
        <v>30168</v>
      </c>
      <c r="J2683" t="s">
        <v>30287</v>
      </c>
      <c r="K2683" t="s">
        <v>39019</v>
      </c>
      <c r="M2683" t="s">
        <v>40356</v>
      </c>
      <c r="N2683" t="s">
        <v>43166</v>
      </c>
      <c r="O2683" t="s">
        <v>43167</v>
      </c>
      <c r="P2683">
        <v>0</v>
      </c>
      <c r="Q2683">
        <v>0</v>
      </c>
      <c r="R2683" t="s">
        <v>43170</v>
      </c>
      <c r="S2683" t="s">
        <v>43297</v>
      </c>
      <c r="T2683" t="s">
        <v>44710</v>
      </c>
      <c r="U2683" t="s">
        <v>47407</v>
      </c>
      <c r="V2683" t="s">
        <v>57126</v>
      </c>
      <c r="W2683" t="s">
        <v>40356</v>
      </c>
      <c r="X2683" t="s">
        <v>43171</v>
      </c>
    </row>
    <row r="2684" spans="1:24">
      <c r="A2684">
        <f>HYPERLINK("https://www.philgeps.gov.ph/GEPSNONPILOT/Tender/SplashBidNoticeAbstractUI.aspx?menuIndex=3&amp;refID=7086632&amp;Result=3","7086632")</f>
        <v>0</v>
      </c>
      <c r="B2684" t="s">
        <v>1050</v>
      </c>
      <c r="C2684" t="s">
        <v>5979</v>
      </c>
      <c r="D2684" t="s">
        <v>17420</v>
      </c>
      <c r="E2684" t="s">
        <v>19838</v>
      </c>
      <c r="F2684" t="s">
        <v>30052</v>
      </c>
      <c r="G2684" t="s">
        <v>30058</v>
      </c>
      <c r="H2684" t="s">
        <v>30067</v>
      </c>
      <c r="I2684" t="s">
        <v>3693</v>
      </c>
      <c r="J2684" t="s">
        <v>30343</v>
      </c>
      <c r="K2684" t="s">
        <v>39046</v>
      </c>
      <c r="M2684" t="s">
        <v>40383</v>
      </c>
      <c r="N2684" t="s">
        <v>43166</v>
      </c>
      <c r="O2684" t="s">
        <v>43167</v>
      </c>
      <c r="P2684">
        <v>0</v>
      </c>
      <c r="Q2684">
        <v>0</v>
      </c>
      <c r="R2684" t="s">
        <v>43170</v>
      </c>
      <c r="S2684" t="s">
        <v>43297</v>
      </c>
      <c r="T2684" t="s">
        <v>44733</v>
      </c>
      <c r="U2684" t="s">
        <v>47408</v>
      </c>
      <c r="W2684" t="s">
        <v>40383</v>
      </c>
      <c r="X2684" t="s">
        <v>43171</v>
      </c>
    </row>
    <row r="2685" spans="1:24">
      <c r="A2685">
        <f>HYPERLINK("https://www.philgeps.gov.ph/GEPSNONPILOT/Tender/SplashBidNoticeAbstractUI.aspx?menuIndex=3&amp;refID=7086563&amp;Result=3","7086563")</f>
        <v>0</v>
      </c>
      <c r="B2685" t="s">
        <v>917</v>
      </c>
      <c r="C2685" t="s">
        <v>5980</v>
      </c>
      <c r="D2685" t="s">
        <v>17415</v>
      </c>
      <c r="E2685" t="s">
        <v>19839</v>
      </c>
      <c r="F2685" t="s">
        <v>30052</v>
      </c>
      <c r="G2685" t="s">
        <v>30062</v>
      </c>
      <c r="H2685" t="s">
        <v>15498</v>
      </c>
      <c r="I2685" t="s">
        <v>30070</v>
      </c>
      <c r="J2685" t="s">
        <v>32033</v>
      </c>
      <c r="K2685" t="s">
        <v>39025</v>
      </c>
      <c r="M2685" t="s">
        <v>40240</v>
      </c>
      <c r="N2685" t="s">
        <v>43166</v>
      </c>
      <c r="O2685" t="s">
        <v>43167</v>
      </c>
      <c r="P2685">
        <v>0</v>
      </c>
      <c r="Q2685">
        <v>9</v>
      </c>
      <c r="R2685" t="s">
        <v>43170</v>
      </c>
      <c r="S2685" t="s">
        <v>43297</v>
      </c>
      <c r="T2685" t="s">
        <v>44705</v>
      </c>
      <c r="U2685" t="s">
        <v>47409</v>
      </c>
      <c r="W2685" t="s">
        <v>40240</v>
      </c>
      <c r="X2685" t="s">
        <v>43171</v>
      </c>
    </row>
    <row r="2686" spans="1:24">
      <c r="A2686">
        <f>HYPERLINK("https://www.philgeps.gov.ph/GEPSNONPILOT/Tender/SplashBidNoticeAbstractUI.aspx?menuIndex=3&amp;refID=7086624&amp;Result=3","7086624")</f>
        <v>0</v>
      </c>
      <c r="B2686" t="s">
        <v>636</v>
      </c>
      <c r="C2686" t="s">
        <v>5981</v>
      </c>
      <c r="D2686" t="s">
        <v>17466</v>
      </c>
      <c r="E2686" t="s">
        <v>19840</v>
      </c>
      <c r="F2686" t="s">
        <v>30052</v>
      </c>
      <c r="G2686" t="s">
        <v>30058</v>
      </c>
      <c r="H2686" t="s">
        <v>15498</v>
      </c>
      <c r="I2686" t="s">
        <v>4650</v>
      </c>
      <c r="J2686" t="s">
        <v>32034</v>
      </c>
      <c r="K2686" t="s">
        <v>39025</v>
      </c>
      <c r="M2686" t="s">
        <v>39940</v>
      </c>
      <c r="N2686" t="s">
        <v>43166</v>
      </c>
      <c r="O2686" t="s">
        <v>43167</v>
      </c>
      <c r="P2686">
        <v>0</v>
      </c>
      <c r="Q2686">
        <v>3</v>
      </c>
      <c r="R2686" t="s">
        <v>43170</v>
      </c>
      <c r="S2686" t="s">
        <v>43297</v>
      </c>
      <c r="T2686" t="s">
        <v>44923</v>
      </c>
      <c r="U2686" t="s">
        <v>47410</v>
      </c>
      <c r="V2686" t="s">
        <v>57131</v>
      </c>
      <c r="W2686" t="s">
        <v>39940</v>
      </c>
      <c r="X2686" t="s">
        <v>43171</v>
      </c>
    </row>
    <row r="2687" spans="1:24">
      <c r="A2687">
        <f>HYPERLINK("https://www.philgeps.gov.ph/GEPSNONPILOT/Tender/SplashBidNoticeAbstractUI.aspx?menuIndex=3&amp;refID=7086622&amp;Result=3","7086622")</f>
        <v>0</v>
      </c>
      <c r="B2687" t="s">
        <v>592</v>
      </c>
      <c r="C2687" t="s">
        <v>5982</v>
      </c>
      <c r="D2687" t="s">
        <v>17461</v>
      </c>
      <c r="E2687" t="s">
        <v>5982</v>
      </c>
      <c r="F2687" t="s">
        <v>30052</v>
      </c>
      <c r="G2687" t="s">
        <v>30059</v>
      </c>
      <c r="H2687" t="s">
        <v>15498</v>
      </c>
      <c r="I2687" t="s">
        <v>30103</v>
      </c>
      <c r="J2687" t="s">
        <v>32035</v>
      </c>
      <c r="K2687" t="s">
        <v>39037</v>
      </c>
      <c r="M2687" t="s">
        <v>39894</v>
      </c>
      <c r="N2687" t="s">
        <v>43166</v>
      </c>
      <c r="O2687" t="s">
        <v>43167</v>
      </c>
      <c r="P2687">
        <v>0</v>
      </c>
      <c r="Q2687">
        <v>0</v>
      </c>
      <c r="R2687" t="s">
        <v>43170</v>
      </c>
      <c r="S2687" t="s">
        <v>43297</v>
      </c>
      <c r="T2687" t="s">
        <v>44862</v>
      </c>
      <c r="U2687" t="s">
        <v>47411</v>
      </c>
      <c r="W2687" t="s">
        <v>39894</v>
      </c>
      <c r="X2687" t="s">
        <v>43171</v>
      </c>
    </row>
    <row r="2688" spans="1:24">
      <c r="A2688">
        <f>HYPERLINK("https://www.philgeps.gov.ph/GEPSNONPILOT/Tender/SplashBidNoticeAbstractUI.aspx?menuIndex=3&amp;refID=7086621&amp;Result=3","7086621")</f>
        <v>0</v>
      </c>
      <c r="B2688" t="s">
        <v>1050</v>
      </c>
      <c r="C2688" t="s">
        <v>5979</v>
      </c>
      <c r="D2688" t="s">
        <v>17420</v>
      </c>
      <c r="E2688" t="s">
        <v>19841</v>
      </c>
      <c r="F2688" t="s">
        <v>30052</v>
      </c>
      <c r="G2688" t="s">
        <v>30058</v>
      </c>
      <c r="H2688" t="s">
        <v>30067</v>
      </c>
      <c r="I2688" t="s">
        <v>3693</v>
      </c>
      <c r="J2688" t="s">
        <v>30218</v>
      </c>
      <c r="K2688" t="s">
        <v>39046</v>
      </c>
      <c r="M2688" t="s">
        <v>40383</v>
      </c>
      <c r="N2688" t="s">
        <v>43166</v>
      </c>
      <c r="O2688" t="s">
        <v>43167</v>
      </c>
      <c r="P2688">
        <v>0</v>
      </c>
      <c r="Q2688">
        <v>0</v>
      </c>
      <c r="R2688" t="s">
        <v>43170</v>
      </c>
      <c r="S2688" t="s">
        <v>43297</v>
      </c>
      <c r="T2688" t="s">
        <v>44733</v>
      </c>
      <c r="U2688" t="s">
        <v>47408</v>
      </c>
      <c r="W2688" t="s">
        <v>40383</v>
      </c>
      <c r="X2688" t="s">
        <v>43171</v>
      </c>
    </row>
    <row r="2689" spans="1:24">
      <c r="A2689">
        <f>HYPERLINK("https://www.philgeps.gov.ph/GEPSNONPILOT/Tender/SplashBidNoticeAbstractUI.aspx?menuIndex=3&amp;refID=7086616&amp;Result=3","7086616")</f>
        <v>0</v>
      </c>
      <c r="B2689" t="s">
        <v>1051</v>
      </c>
      <c r="C2689" t="s">
        <v>5983</v>
      </c>
      <c r="D2689" t="s">
        <v>17478</v>
      </c>
      <c r="E2689" t="s">
        <v>19842</v>
      </c>
      <c r="F2689" t="s">
        <v>30052</v>
      </c>
      <c r="G2689" t="s">
        <v>30058</v>
      </c>
      <c r="H2689" t="s">
        <v>15498</v>
      </c>
      <c r="I2689" t="s">
        <v>30142</v>
      </c>
      <c r="J2689" t="s">
        <v>30506</v>
      </c>
      <c r="K2689" t="s">
        <v>39019</v>
      </c>
      <c r="M2689" t="s">
        <v>40384</v>
      </c>
      <c r="N2689" t="s">
        <v>43166</v>
      </c>
      <c r="O2689" t="s">
        <v>43167</v>
      </c>
      <c r="P2689">
        <v>0</v>
      </c>
      <c r="Q2689">
        <v>1</v>
      </c>
      <c r="R2689" t="s">
        <v>43170</v>
      </c>
      <c r="S2689" t="s">
        <v>43297</v>
      </c>
      <c r="T2689" t="s">
        <v>44789</v>
      </c>
      <c r="U2689" t="s">
        <v>47412</v>
      </c>
      <c r="W2689" t="s">
        <v>40384</v>
      </c>
      <c r="X2689" t="s">
        <v>43171</v>
      </c>
    </row>
    <row r="2690" spans="1:24">
      <c r="A2690">
        <f>HYPERLINK("https://www.philgeps.gov.ph/GEPSNONPILOT/Tender/SplashBidNoticeAbstractUI.aspx?menuIndex=3&amp;refID=7086548&amp;Result=3","7086548")</f>
        <v>0</v>
      </c>
      <c r="B2690" t="s">
        <v>982</v>
      </c>
      <c r="C2690" t="s">
        <v>5984</v>
      </c>
      <c r="D2690" t="s">
        <v>17446</v>
      </c>
      <c r="E2690" t="s">
        <v>19843</v>
      </c>
      <c r="F2690" t="s">
        <v>30052</v>
      </c>
      <c r="G2690" t="s">
        <v>30058</v>
      </c>
      <c r="H2690" t="s">
        <v>15498</v>
      </c>
      <c r="I2690" t="s">
        <v>30076</v>
      </c>
      <c r="J2690" t="s">
        <v>30252</v>
      </c>
      <c r="K2690" t="s">
        <v>39025</v>
      </c>
      <c r="M2690" t="s">
        <v>40309</v>
      </c>
      <c r="N2690" t="s">
        <v>43166</v>
      </c>
      <c r="O2690" t="s">
        <v>43167</v>
      </c>
      <c r="P2690">
        <v>0</v>
      </c>
      <c r="Q2690">
        <v>1</v>
      </c>
      <c r="R2690" t="s">
        <v>43170</v>
      </c>
      <c r="S2690" t="s">
        <v>43297</v>
      </c>
      <c r="T2690" t="s">
        <v>44724</v>
      </c>
      <c r="U2690" t="s">
        <v>47413</v>
      </c>
      <c r="W2690" t="s">
        <v>40309</v>
      </c>
      <c r="X2690" t="s">
        <v>43171</v>
      </c>
    </row>
    <row r="2691" spans="1:24">
      <c r="A2691">
        <f>HYPERLINK("https://www.philgeps.gov.ph/GEPSNONPILOT/Tender/SplashBidNoticeAbstractUI.aspx?menuIndex=3&amp;refID=7086615&amp;Result=3","7086615")</f>
        <v>0</v>
      </c>
      <c r="B2691" t="s">
        <v>127</v>
      </c>
      <c r="C2691" t="s">
        <v>5985</v>
      </c>
      <c r="D2691" t="s">
        <v>17434</v>
      </c>
      <c r="E2691" t="s">
        <v>19844</v>
      </c>
      <c r="F2691" t="s">
        <v>30052</v>
      </c>
      <c r="G2691" t="s">
        <v>30059</v>
      </c>
      <c r="H2691" t="s">
        <v>15498</v>
      </c>
      <c r="I2691" t="s">
        <v>30070</v>
      </c>
      <c r="J2691" t="s">
        <v>32036</v>
      </c>
      <c r="K2691" t="s">
        <v>39025</v>
      </c>
      <c r="M2691" t="s">
        <v>40377</v>
      </c>
      <c r="N2691" t="s">
        <v>43166</v>
      </c>
      <c r="O2691" t="s">
        <v>43167</v>
      </c>
      <c r="P2691">
        <v>0</v>
      </c>
      <c r="Q2691">
        <v>0</v>
      </c>
      <c r="R2691" t="s">
        <v>43170</v>
      </c>
      <c r="S2691" t="s">
        <v>43297</v>
      </c>
      <c r="T2691" t="s">
        <v>44732</v>
      </c>
      <c r="U2691" t="s">
        <v>47414</v>
      </c>
      <c r="V2691" t="s">
        <v>57129</v>
      </c>
      <c r="W2691" t="s">
        <v>40377</v>
      </c>
      <c r="X2691" t="s">
        <v>43171</v>
      </c>
    </row>
    <row r="2692" spans="1:24">
      <c r="A2692">
        <f>HYPERLINK("https://www.philgeps.gov.ph/GEPSNONPILOT/Tender/SplashBidNoticeAbstractUI.aspx?menuIndex=3&amp;refID=7086614&amp;Result=3","7086614")</f>
        <v>0</v>
      </c>
      <c r="B2692" t="s">
        <v>568</v>
      </c>
      <c r="C2692" t="s">
        <v>5986</v>
      </c>
      <c r="D2692" t="s">
        <v>17437</v>
      </c>
      <c r="E2692" t="s">
        <v>19845</v>
      </c>
      <c r="F2692" t="s">
        <v>30052</v>
      </c>
      <c r="G2692" t="s">
        <v>30059</v>
      </c>
      <c r="H2692" t="s">
        <v>15498</v>
      </c>
      <c r="I2692" t="s">
        <v>30070</v>
      </c>
      <c r="J2692" t="s">
        <v>31206</v>
      </c>
      <c r="K2692" t="s">
        <v>39029</v>
      </c>
      <c r="M2692" t="s">
        <v>39870</v>
      </c>
      <c r="N2692" t="s">
        <v>43166</v>
      </c>
      <c r="O2692" t="s">
        <v>43167</v>
      </c>
      <c r="P2692">
        <v>0</v>
      </c>
      <c r="Q2692">
        <v>0</v>
      </c>
      <c r="R2692" t="s">
        <v>43170</v>
      </c>
      <c r="S2692" t="s">
        <v>43297</v>
      </c>
      <c r="T2692" t="s">
        <v>44710</v>
      </c>
      <c r="U2692" t="s">
        <v>47415</v>
      </c>
      <c r="W2692" t="s">
        <v>39870</v>
      </c>
      <c r="X2692" t="s">
        <v>43171</v>
      </c>
    </row>
    <row r="2693" spans="1:24">
      <c r="A2693">
        <f>HYPERLINK("https://www.philgeps.gov.ph/GEPSNONPILOT/Tender/SplashBidNoticeAbstractUI.aspx?menuIndex=3&amp;refID=7086633&amp;Result=3","7086633")</f>
        <v>0</v>
      </c>
      <c r="B2693" t="s">
        <v>773</v>
      </c>
      <c r="C2693" t="s">
        <v>5987</v>
      </c>
      <c r="D2693" t="s">
        <v>17435</v>
      </c>
      <c r="E2693" t="s">
        <v>19846</v>
      </c>
      <c r="F2693" t="s">
        <v>30052</v>
      </c>
      <c r="G2693" t="s">
        <v>30058</v>
      </c>
      <c r="H2693" t="s">
        <v>15498</v>
      </c>
      <c r="I2693" t="s">
        <v>3852</v>
      </c>
      <c r="J2693" t="s">
        <v>32037</v>
      </c>
      <c r="K2693" t="s">
        <v>39019</v>
      </c>
      <c r="M2693" t="s">
        <v>40087</v>
      </c>
      <c r="N2693" t="s">
        <v>43166</v>
      </c>
      <c r="O2693" t="s">
        <v>43167</v>
      </c>
      <c r="P2693">
        <v>0</v>
      </c>
      <c r="Q2693">
        <v>3</v>
      </c>
      <c r="R2693" t="s">
        <v>43170</v>
      </c>
      <c r="S2693" t="s">
        <v>43297</v>
      </c>
      <c r="T2693" t="s">
        <v>44733</v>
      </c>
      <c r="U2693" t="s">
        <v>47416</v>
      </c>
      <c r="W2693" t="s">
        <v>40087</v>
      </c>
      <c r="X2693" t="s">
        <v>43171</v>
      </c>
    </row>
    <row r="2694" spans="1:24">
      <c r="A2694">
        <f>HYPERLINK("https://www.philgeps.gov.ph/GEPSNONPILOT/Tender/SplashBidNoticeAbstractUI.aspx?menuIndex=3&amp;refID=7086637&amp;Result=3","7086637")</f>
        <v>0</v>
      </c>
      <c r="B2694" t="s">
        <v>1052</v>
      </c>
      <c r="C2694" t="s">
        <v>5988</v>
      </c>
      <c r="D2694" t="s">
        <v>17452</v>
      </c>
      <c r="E2694" t="s">
        <v>19847</v>
      </c>
      <c r="F2694" t="s">
        <v>30052</v>
      </c>
      <c r="G2694" t="s">
        <v>30061</v>
      </c>
      <c r="H2694" t="s">
        <v>15498</v>
      </c>
      <c r="I2694" t="s">
        <v>30098</v>
      </c>
      <c r="J2694" t="s">
        <v>30230</v>
      </c>
      <c r="K2694" t="s">
        <v>39017</v>
      </c>
      <c r="M2694" t="s">
        <v>40385</v>
      </c>
      <c r="N2694" t="s">
        <v>43166</v>
      </c>
      <c r="O2694" t="s">
        <v>43167</v>
      </c>
      <c r="P2694">
        <v>0</v>
      </c>
      <c r="Q2694">
        <v>1</v>
      </c>
      <c r="R2694" t="s">
        <v>43170</v>
      </c>
      <c r="S2694" t="s">
        <v>43297</v>
      </c>
      <c r="T2694" t="s">
        <v>44844</v>
      </c>
      <c r="U2694" t="s">
        <v>47417</v>
      </c>
      <c r="V2694" t="s">
        <v>57132</v>
      </c>
      <c r="W2694" t="s">
        <v>40385</v>
      </c>
      <c r="X2694" t="s">
        <v>43171</v>
      </c>
    </row>
    <row r="2695" spans="1:24">
      <c r="A2695">
        <f>HYPERLINK("https://www.philgeps.gov.ph/GEPSNONPILOT/Tender/SplashBidNoticeAbstractUI.aspx?menuIndex=3&amp;refID=7086620&amp;Result=3","7086620")</f>
        <v>0</v>
      </c>
      <c r="B2695" t="s">
        <v>1008</v>
      </c>
      <c r="C2695" t="s">
        <v>5989</v>
      </c>
      <c r="D2695" t="s">
        <v>17415</v>
      </c>
      <c r="E2695" t="s">
        <v>19848</v>
      </c>
      <c r="F2695" t="s">
        <v>30052</v>
      </c>
      <c r="G2695" t="s">
        <v>30059</v>
      </c>
      <c r="H2695" t="s">
        <v>15498</v>
      </c>
      <c r="I2695" t="s">
        <v>3736</v>
      </c>
      <c r="J2695" t="s">
        <v>30209</v>
      </c>
      <c r="K2695" t="s">
        <v>39019</v>
      </c>
      <c r="M2695" t="s">
        <v>40337</v>
      </c>
      <c r="N2695" t="s">
        <v>43166</v>
      </c>
      <c r="O2695" t="s">
        <v>43167</v>
      </c>
      <c r="P2695">
        <v>0</v>
      </c>
      <c r="Q2695">
        <v>0</v>
      </c>
      <c r="R2695" t="s">
        <v>43170</v>
      </c>
      <c r="S2695" t="s">
        <v>43297</v>
      </c>
      <c r="T2695" t="s">
        <v>44844</v>
      </c>
      <c r="U2695" t="s">
        <v>47418</v>
      </c>
      <c r="V2695" t="s">
        <v>57122</v>
      </c>
      <c r="W2695" t="s">
        <v>40337</v>
      </c>
      <c r="X2695" t="s">
        <v>43171</v>
      </c>
    </row>
    <row r="2696" spans="1:24">
      <c r="A2696">
        <f>HYPERLINK("https://www.philgeps.gov.ph/GEPSNONPILOT/Tender/SplashBidNoticeAbstractUI.aspx?menuIndex=3&amp;refID=7086669&amp;Result=3","7086669")</f>
        <v>0</v>
      </c>
      <c r="B2696" t="s">
        <v>1053</v>
      </c>
      <c r="C2696" t="s">
        <v>5990</v>
      </c>
      <c r="D2696" t="s">
        <v>17413</v>
      </c>
      <c r="E2696" t="s">
        <v>19849</v>
      </c>
      <c r="F2696" t="s">
        <v>30052</v>
      </c>
      <c r="G2696" t="s">
        <v>30059</v>
      </c>
      <c r="H2696" t="s">
        <v>15498</v>
      </c>
      <c r="I2696" t="s">
        <v>30114</v>
      </c>
      <c r="J2696" t="s">
        <v>30586</v>
      </c>
      <c r="K2696" t="s">
        <v>39019</v>
      </c>
      <c r="M2696" t="s">
        <v>40386</v>
      </c>
      <c r="N2696" t="s">
        <v>43166</v>
      </c>
      <c r="O2696" t="s">
        <v>43167</v>
      </c>
      <c r="P2696">
        <v>0</v>
      </c>
      <c r="Q2696">
        <v>4</v>
      </c>
      <c r="R2696" t="s">
        <v>43170</v>
      </c>
      <c r="S2696" t="s">
        <v>43297</v>
      </c>
      <c r="T2696" t="s">
        <v>44844</v>
      </c>
      <c r="U2696" t="s">
        <v>47419</v>
      </c>
      <c r="W2696" t="s">
        <v>40386</v>
      </c>
      <c r="X2696" t="s">
        <v>43171</v>
      </c>
    </row>
    <row r="2697" spans="1:24">
      <c r="A2697">
        <f>HYPERLINK("https://www.philgeps.gov.ph/GEPSNONPILOT/Tender/SplashBidNoticeAbstractUI.aspx?menuIndex=3&amp;refID=7086618&amp;Result=3","7086618")</f>
        <v>0</v>
      </c>
      <c r="B2697" t="s">
        <v>415</v>
      </c>
      <c r="C2697" t="s">
        <v>5991</v>
      </c>
      <c r="D2697" t="s">
        <v>17472</v>
      </c>
      <c r="E2697" t="s">
        <v>18363</v>
      </c>
      <c r="F2697" t="s">
        <v>30052</v>
      </c>
      <c r="G2697" t="s">
        <v>30061</v>
      </c>
      <c r="H2697" t="s">
        <v>15498</v>
      </c>
      <c r="I2697" t="s">
        <v>30073</v>
      </c>
      <c r="J2697" t="s">
        <v>30522</v>
      </c>
      <c r="K2697" t="s">
        <v>39034</v>
      </c>
      <c r="M2697" t="s">
        <v>39714</v>
      </c>
      <c r="N2697" t="s">
        <v>43166</v>
      </c>
      <c r="O2697" t="s">
        <v>43167</v>
      </c>
      <c r="P2697">
        <v>0</v>
      </c>
      <c r="Q2697">
        <v>0</v>
      </c>
      <c r="R2697" t="s">
        <v>43170</v>
      </c>
      <c r="S2697" t="s">
        <v>43297</v>
      </c>
      <c r="T2697" t="s">
        <v>44685</v>
      </c>
      <c r="U2697" t="s">
        <v>47420</v>
      </c>
      <c r="W2697" t="s">
        <v>39714</v>
      </c>
      <c r="X2697" t="s">
        <v>43171</v>
      </c>
    </row>
    <row r="2698" spans="1:24">
      <c r="A2698">
        <f>HYPERLINK("https://www.philgeps.gov.ph/GEPSNONPILOT/Tender/SplashBidNoticeAbstractUI.aspx?menuIndex=3&amp;refID=7086668&amp;Result=3","7086668")</f>
        <v>0</v>
      </c>
      <c r="B2698" t="s">
        <v>802</v>
      </c>
      <c r="C2698" t="s">
        <v>5992</v>
      </c>
      <c r="D2698" t="s">
        <v>17415</v>
      </c>
      <c r="E2698" t="s">
        <v>19850</v>
      </c>
      <c r="F2698" t="s">
        <v>30052</v>
      </c>
      <c r="G2698" t="s">
        <v>30059</v>
      </c>
      <c r="H2698" t="s">
        <v>15498</v>
      </c>
      <c r="I2698" t="s">
        <v>9238</v>
      </c>
      <c r="J2698" t="s">
        <v>30440</v>
      </c>
      <c r="K2698" t="s">
        <v>39017</v>
      </c>
      <c r="M2698" t="s">
        <v>40119</v>
      </c>
      <c r="N2698" t="s">
        <v>43166</v>
      </c>
      <c r="O2698" t="s">
        <v>43167</v>
      </c>
      <c r="P2698">
        <v>0</v>
      </c>
      <c r="Q2698">
        <v>7</v>
      </c>
      <c r="R2698" t="s">
        <v>43170</v>
      </c>
      <c r="S2698" t="s">
        <v>43297</v>
      </c>
      <c r="T2698" t="s">
        <v>44732</v>
      </c>
      <c r="U2698" t="s">
        <v>46770</v>
      </c>
      <c r="W2698" t="s">
        <v>40119</v>
      </c>
      <c r="X2698" t="s">
        <v>43171</v>
      </c>
    </row>
    <row r="2699" spans="1:24">
      <c r="A2699">
        <f>HYPERLINK("https://www.philgeps.gov.ph/GEPSNONPILOT/Tender/SplashBidNoticeAbstractUI.aspx?menuIndex=3&amp;refID=7086663&amp;Result=3","7086663")</f>
        <v>0</v>
      </c>
      <c r="B2699" t="s">
        <v>715</v>
      </c>
      <c r="C2699" t="s">
        <v>5993</v>
      </c>
      <c r="D2699" t="s">
        <v>17473</v>
      </c>
      <c r="E2699" t="s">
        <v>19851</v>
      </c>
      <c r="F2699" t="s">
        <v>30052</v>
      </c>
      <c r="G2699" t="s">
        <v>30059</v>
      </c>
      <c r="H2699" t="s">
        <v>15498</v>
      </c>
      <c r="I2699" t="s">
        <v>30146</v>
      </c>
      <c r="J2699" t="s">
        <v>32038</v>
      </c>
      <c r="K2699" t="s">
        <v>39025</v>
      </c>
      <c r="M2699" t="s">
        <v>40025</v>
      </c>
      <c r="N2699" t="s">
        <v>43166</v>
      </c>
      <c r="O2699" t="s">
        <v>43167</v>
      </c>
      <c r="P2699">
        <v>0</v>
      </c>
      <c r="Q2699">
        <v>0</v>
      </c>
      <c r="R2699" t="s">
        <v>43170</v>
      </c>
      <c r="S2699" t="s">
        <v>43297</v>
      </c>
      <c r="T2699" t="s">
        <v>44678</v>
      </c>
      <c r="U2699" t="s">
        <v>47421</v>
      </c>
      <c r="W2699" t="s">
        <v>40025</v>
      </c>
      <c r="X2699" t="s">
        <v>43171</v>
      </c>
    </row>
    <row r="2700" spans="1:24">
      <c r="A2700">
        <f>HYPERLINK("https://www.philgeps.gov.ph/GEPSNONPILOT/Tender/SplashBidNoticeAbstractUI.aspx?menuIndex=3&amp;refID=7086662&amp;Result=3","7086662")</f>
        <v>0</v>
      </c>
      <c r="B2700" t="s">
        <v>1054</v>
      </c>
      <c r="C2700" t="s">
        <v>5994</v>
      </c>
      <c r="D2700" t="s">
        <v>17462</v>
      </c>
      <c r="E2700" t="s">
        <v>19852</v>
      </c>
      <c r="F2700" t="s">
        <v>30052</v>
      </c>
      <c r="G2700" t="s">
        <v>30058</v>
      </c>
      <c r="H2700" t="s">
        <v>30069</v>
      </c>
      <c r="I2700" t="s">
        <v>30084</v>
      </c>
      <c r="J2700" t="s">
        <v>32039</v>
      </c>
      <c r="K2700" t="s">
        <v>39022</v>
      </c>
      <c r="M2700" t="s">
        <v>40387</v>
      </c>
      <c r="N2700" t="s">
        <v>43166</v>
      </c>
      <c r="O2700" t="s">
        <v>43167</v>
      </c>
      <c r="P2700">
        <v>0</v>
      </c>
      <c r="Q2700">
        <v>3</v>
      </c>
      <c r="R2700" t="s">
        <v>43170</v>
      </c>
      <c r="S2700" t="s">
        <v>43297</v>
      </c>
      <c r="T2700" t="s">
        <v>44816</v>
      </c>
      <c r="U2700" t="s">
        <v>47422</v>
      </c>
      <c r="V2700" t="s">
        <v>57133</v>
      </c>
      <c r="W2700" t="s">
        <v>40387</v>
      </c>
      <c r="X2700" t="s">
        <v>43171</v>
      </c>
    </row>
    <row r="2701" spans="1:24">
      <c r="A2701">
        <f>HYPERLINK("https://www.philgeps.gov.ph/GEPSNONPILOT/Tender/SplashBidNoticeAbstractUI.aspx?menuIndex=3&amp;refID=7086658&amp;Result=3","7086658")</f>
        <v>0</v>
      </c>
      <c r="B2701" t="s">
        <v>1008</v>
      </c>
      <c r="C2701" t="s">
        <v>5995</v>
      </c>
      <c r="D2701" t="s">
        <v>17415</v>
      </c>
      <c r="E2701" t="s">
        <v>19853</v>
      </c>
      <c r="F2701" t="s">
        <v>30052</v>
      </c>
      <c r="G2701" t="s">
        <v>30059</v>
      </c>
      <c r="H2701" t="s">
        <v>15498</v>
      </c>
      <c r="I2701" t="s">
        <v>3736</v>
      </c>
      <c r="J2701" t="s">
        <v>31891</v>
      </c>
      <c r="K2701" t="s">
        <v>39019</v>
      </c>
      <c r="M2701" t="s">
        <v>40337</v>
      </c>
      <c r="N2701" t="s">
        <v>43166</v>
      </c>
      <c r="O2701" t="s">
        <v>43167</v>
      </c>
      <c r="P2701">
        <v>0</v>
      </c>
      <c r="Q2701">
        <v>0</v>
      </c>
      <c r="R2701" t="s">
        <v>43170</v>
      </c>
      <c r="S2701" t="s">
        <v>43297</v>
      </c>
      <c r="T2701" t="s">
        <v>44844</v>
      </c>
      <c r="U2701" t="s">
        <v>47423</v>
      </c>
      <c r="V2701" t="s">
        <v>57122</v>
      </c>
      <c r="W2701" t="s">
        <v>40337</v>
      </c>
      <c r="X2701" t="s">
        <v>43171</v>
      </c>
    </row>
    <row r="2702" spans="1:24">
      <c r="A2702">
        <f>HYPERLINK("https://www.philgeps.gov.ph/GEPSNONPILOT/Tender/SplashBidNoticeAbstractUI.aspx?menuIndex=3&amp;refID=7086638&amp;Result=3","7086638")</f>
        <v>0</v>
      </c>
      <c r="B2702" t="s">
        <v>1046</v>
      </c>
      <c r="C2702" t="s">
        <v>5996</v>
      </c>
      <c r="D2702" t="s">
        <v>17472</v>
      </c>
      <c r="E2702" t="s">
        <v>19854</v>
      </c>
      <c r="F2702" t="s">
        <v>30052</v>
      </c>
      <c r="G2702" t="s">
        <v>30058</v>
      </c>
      <c r="H2702" t="s">
        <v>15498</v>
      </c>
      <c r="I2702" t="s">
        <v>30119</v>
      </c>
      <c r="J2702" t="s">
        <v>30600</v>
      </c>
      <c r="K2702" t="s">
        <v>39036</v>
      </c>
      <c r="M2702" t="s">
        <v>40388</v>
      </c>
      <c r="N2702" t="s">
        <v>43166</v>
      </c>
      <c r="O2702" t="s">
        <v>43167</v>
      </c>
      <c r="P2702">
        <v>0</v>
      </c>
      <c r="Q2702">
        <v>0</v>
      </c>
      <c r="R2702" t="s">
        <v>43170</v>
      </c>
      <c r="S2702" t="s">
        <v>43297</v>
      </c>
      <c r="T2702" t="s">
        <v>44820</v>
      </c>
      <c r="U2702" t="s">
        <v>47424</v>
      </c>
      <c r="W2702" t="s">
        <v>40388</v>
      </c>
      <c r="X2702" t="s">
        <v>43171</v>
      </c>
    </row>
    <row r="2703" spans="1:24">
      <c r="A2703">
        <f>HYPERLINK("https://www.philgeps.gov.ph/GEPSNONPILOT/Tender/SplashBidNoticeAbstractUI.aspx?menuIndex=3&amp;refID=7086657&amp;Result=3","7086657")</f>
        <v>0</v>
      </c>
      <c r="B2703" t="s">
        <v>830</v>
      </c>
      <c r="C2703" t="s">
        <v>5997</v>
      </c>
      <c r="E2703" t="s">
        <v>19855</v>
      </c>
      <c r="F2703" t="s">
        <v>30052</v>
      </c>
      <c r="G2703" t="s">
        <v>30059</v>
      </c>
      <c r="H2703" t="s">
        <v>15498</v>
      </c>
      <c r="I2703" t="s">
        <v>30084</v>
      </c>
      <c r="J2703" t="s">
        <v>31397</v>
      </c>
      <c r="K2703" t="s">
        <v>39025</v>
      </c>
      <c r="M2703" t="s">
        <v>40147</v>
      </c>
      <c r="N2703" t="s">
        <v>43166</v>
      </c>
      <c r="O2703" t="s">
        <v>43167</v>
      </c>
      <c r="P2703">
        <v>0</v>
      </c>
      <c r="Q2703">
        <v>6</v>
      </c>
      <c r="R2703" t="s">
        <v>43170</v>
      </c>
      <c r="S2703" t="s">
        <v>43297</v>
      </c>
      <c r="T2703" t="s">
        <v>44723</v>
      </c>
      <c r="U2703" t="s">
        <v>45722</v>
      </c>
      <c r="W2703" t="s">
        <v>40147</v>
      </c>
      <c r="X2703" t="s">
        <v>43171</v>
      </c>
    </row>
    <row r="2704" spans="1:24">
      <c r="A2704">
        <f>HYPERLINK("https://www.philgeps.gov.ph/GEPSNONPILOT/Tender/SplashBidNoticeAbstractUI.aspx?menuIndex=3&amp;refID=7086635&amp;Result=3","7086635")</f>
        <v>0</v>
      </c>
      <c r="B2704" t="s">
        <v>1008</v>
      </c>
      <c r="C2704" t="s">
        <v>5998</v>
      </c>
      <c r="D2704" t="s">
        <v>17415</v>
      </c>
      <c r="E2704" t="s">
        <v>19856</v>
      </c>
      <c r="F2704" t="s">
        <v>30052</v>
      </c>
      <c r="G2704" t="s">
        <v>30059</v>
      </c>
      <c r="H2704" t="s">
        <v>15498</v>
      </c>
      <c r="I2704" t="s">
        <v>30078</v>
      </c>
      <c r="J2704" t="s">
        <v>32040</v>
      </c>
      <c r="K2704" t="s">
        <v>39019</v>
      </c>
      <c r="M2704" t="s">
        <v>40337</v>
      </c>
      <c r="N2704" t="s">
        <v>43166</v>
      </c>
      <c r="O2704" t="s">
        <v>43167</v>
      </c>
      <c r="P2704">
        <v>0</v>
      </c>
      <c r="Q2704">
        <v>0</v>
      </c>
      <c r="R2704" t="s">
        <v>43170</v>
      </c>
      <c r="S2704" t="s">
        <v>43297</v>
      </c>
      <c r="T2704" t="s">
        <v>44844</v>
      </c>
      <c r="U2704" t="s">
        <v>47425</v>
      </c>
      <c r="V2704" t="s">
        <v>57122</v>
      </c>
      <c r="W2704" t="s">
        <v>40337</v>
      </c>
      <c r="X2704" t="s">
        <v>43171</v>
      </c>
    </row>
    <row r="2705" spans="1:24">
      <c r="A2705">
        <f>HYPERLINK("https://www.philgeps.gov.ph/GEPSNONPILOT/Tender/SplashBidNoticeAbstractUI.aspx?menuIndex=3&amp;refID=7086671&amp;Result=3","7086671")</f>
        <v>0</v>
      </c>
      <c r="B2705" t="s">
        <v>638</v>
      </c>
      <c r="C2705" t="s">
        <v>5999</v>
      </c>
      <c r="D2705" t="s">
        <v>17443</v>
      </c>
      <c r="E2705" t="s">
        <v>18731</v>
      </c>
      <c r="F2705" t="s">
        <v>30052</v>
      </c>
      <c r="G2705" t="s">
        <v>30058</v>
      </c>
      <c r="H2705" t="s">
        <v>15498</v>
      </c>
      <c r="I2705" t="s">
        <v>3736</v>
      </c>
      <c r="J2705" t="s">
        <v>32041</v>
      </c>
      <c r="K2705" t="s">
        <v>39032</v>
      </c>
      <c r="M2705" t="s">
        <v>39942</v>
      </c>
      <c r="N2705" t="s">
        <v>43166</v>
      </c>
      <c r="O2705" t="s">
        <v>43167</v>
      </c>
      <c r="P2705">
        <v>0</v>
      </c>
      <c r="Q2705">
        <v>0</v>
      </c>
      <c r="R2705" t="s">
        <v>43170</v>
      </c>
      <c r="S2705" t="s">
        <v>43297</v>
      </c>
      <c r="T2705" t="s">
        <v>44718</v>
      </c>
      <c r="U2705" t="s">
        <v>47426</v>
      </c>
      <c r="W2705" t="s">
        <v>39942</v>
      </c>
      <c r="X2705" t="s">
        <v>43171</v>
      </c>
    </row>
    <row r="2706" spans="1:24">
      <c r="A2706">
        <f>HYPERLINK("https://www.philgeps.gov.ph/GEPSNONPILOT/Tender/SplashBidNoticeAbstractUI.aspx?menuIndex=3&amp;refID=7086666&amp;Result=3","7086666")</f>
        <v>0</v>
      </c>
      <c r="B2706" t="s">
        <v>1055</v>
      </c>
      <c r="C2706" t="s">
        <v>6000</v>
      </c>
      <c r="D2706" t="s">
        <v>17426</v>
      </c>
      <c r="E2706" t="s">
        <v>19857</v>
      </c>
      <c r="F2706" t="s">
        <v>30052</v>
      </c>
      <c r="G2706" t="s">
        <v>30059</v>
      </c>
      <c r="H2706" t="s">
        <v>15498</v>
      </c>
      <c r="I2706" t="s">
        <v>6691</v>
      </c>
      <c r="J2706" t="s">
        <v>30358</v>
      </c>
      <c r="K2706" t="s">
        <v>39039</v>
      </c>
      <c r="M2706" t="s">
        <v>40389</v>
      </c>
      <c r="N2706" t="s">
        <v>43166</v>
      </c>
      <c r="O2706" t="s">
        <v>43167</v>
      </c>
      <c r="P2706">
        <v>0</v>
      </c>
      <c r="Q2706">
        <v>0</v>
      </c>
      <c r="R2706" t="s">
        <v>43170</v>
      </c>
      <c r="S2706" t="s">
        <v>43297</v>
      </c>
      <c r="T2706" t="s">
        <v>44735</v>
      </c>
      <c r="U2706" t="s">
        <v>47427</v>
      </c>
      <c r="W2706" t="s">
        <v>40389</v>
      </c>
      <c r="X2706" t="s">
        <v>43171</v>
      </c>
    </row>
    <row r="2707" spans="1:24">
      <c r="A2707">
        <f>HYPERLINK("https://www.philgeps.gov.ph/GEPSNONPILOT/Tender/SplashBidNoticeAbstractUI.aspx?menuIndex=3&amp;refID=7086650&amp;Result=3","7086650")</f>
        <v>0</v>
      </c>
      <c r="B2707" t="s">
        <v>208</v>
      </c>
      <c r="C2707" t="s">
        <v>6001</v>
      </c>
      <c r="D2707" t="s">
        <v>17415</v>
      </c>
      <c r="E2707" t="s">
        <v>19858</v>
      </c>
      <c r="F2707" t="s">
        <v>30052</v>
      </c>
      <c r="G2707" t="s">
        <v>30059</v>
      </c>
      <c r="H2707" t="s">
        <v>15498</v>
      </c>
      <c r="I2707" t="s">
        <v>30100</v>
      </c>
      <c r="J2707" t="s">
        <v>30218</v>
      </c>
      <c r="K2707" t="s">
        <v>39025</v>
      </c>
      <c r="M2707" t="s">
        <v>40390</v>
      </c>
      <c r="N2707" t="s">
        <v>43166</v>
      </c>
      <c r="O2707" t="s">
        <v>43167</v>
      </c>
      <c r="P2707">
        <v>0</v>
      </c>
      <c r="Q2707">
        <v>4</v>
      </c>
      <c r="R2707" t="s">
        <v>43170</v>
      </c>
      <c r="S2707" t="s">
        <v>43297</v>
      </c>
      <c r="T2707" t="s">
        <v>44844</v>
      </c>
      <c r="U2707" t="s">
        <v>47428</v>
      </c>
      <c r="W2707" t="s">
        <v>40390</v>
      </c>
      <c r="X2707" t="s">
        <v>43171</v>
      </c>
    </row>
    <row r="2708" spans="1:24">
      <c r="A2708">
        <f>HYPERLINK("https://www.philgeps.gov.ph/GEPSNONPILOT/Tender/SplashBidNoticeAbstractUI.aspx?menuIndex=3&amp;refID=7086648&amp;Result=3","7086648")</f>
        <v>0</v>
      </c>
      <c r="B2708" t="s">
        <v>1051</v>
      </c>
      <c r="C2708" t="s">
        <v>6002</v>
      </c>
      <c r="D2708" t="s">
        <v>17478</v>
      </c>
      <c r="E2708" t="s">
        <v>19859</v>
      </c>
      <c r="F2708" t="s">
        <v>30052</v>
      </c>
      <c r="G2708" t="s">
        <v>30058</v>
      </c>
      <c r="H2708" t="s">
        <v>30067</v>
      </c>
      <c r="I2708" t="s">
        <v>30082</v>
      </c>
      <c r="J2708" t="s">
        <v>30230</v>
      </c>
      <c r="K2708" t="s">
        <v>39038</v>
      </c>
      <c r="M2708" t="s">
        <v>40384</v>
      </c>
      <c r="N2708" t="s">
        <v>43166</v>
      </c>
      <c r="O2708" t="s">
        <v>43167</v>
      </c>
      <c r="P2708">
        <v>0</v>
      </c>
      <c r="Q2708">
        <v>0</v>
      </c>
      <c r="R2708" t="s">
        <v>43170</v>
      </c>
      <c r="S2708" t="s">
        <v>43297</v>
      </c>
      <c r="T2708" t="s">
        <v>44789</v>
      </c>
      <c r="U2708" t="s">
        <v>47429</v>
      </c>
      <c r="W2708" t="s">
        <v>40384</v>
      </c>
      <c r="X2708" t="s">
        <v>43171</v>
      </c>
    </row>
    <row r="2709" spans="1:24">
      <c r="A2709">
        <f>HYPERLINK("https://www.philgeps.gov.ph/GEPSNONPILOT/Tender/SplashBidNoticeAbstractUI.aspx?menuIndex=3&amp;refID=7086660&amp;Result=3","7086660")</f>
        <v>0</v>
      </c>
      <c r="B2709" t="s">
        <v>1056</v>
      </c>
      <c r="C2709" t="s">
        <v>6003</v>
      </c>
      <c r="D2709" t="s">
        <v>17422</v>
      </c>
      <c r="E2709" t="s">
        <v>19860</v>
      </c>
      <c r="F2709" t="s">
        <v>30052</v>
      </c>
      <c r="G2709" t="s">
        <v>30062</v>
      </c>
      <c r="H2709" t="s">
        <v>15498</v>
      </c>
      <c r="I2709" t="s">
        <v>30108</v>
      </c>
      <c r="J2709" t="s">
        <v>30868</v>
      </c>
      <c r="K2709" t="s">
        <v>39017</v>
      </c>
      <c r="M2709" t="s">
        <v>40391</v>
      </c>
      <c r="N2709" t="s">
        <v>43166</v>
      </c>
      <c r="O2709" t="s">
        <v>43167</v>
      </c>
      <c r="P2709">
        <v>0</v>
      </c>
      <c r="Q2709">
        <v>3</v>
      </c>
      <c r="R2709" t="s">
        <v>43170</v>
      </c>
      <c r="S2709" t="s">
        <v>43297</v>
      </c>
      <c r="T2709" t="s">
        <v>44685</v>
      </c>
      <c r="U2709" t="s">
        <v>47430</v>
      </c>
      <c r="W2709" t="s">
        <v>40391</v>
      </c>
      <c r="X2709" t="s">
        <v>43171</v>
      </c>
    </row>
    <row r="2710" spans="1:24">
      <c r="A2710">
        <f>HYPERLINK("https://www.philgeps.gov.ph/GEPSNONPILOT/Tender/SplashBidNoticeAbstractUI.aspx?menuIndex=3&amp;refID=7086646&amp;Result=3","7086646")</f>
        <v>0</v>
      </c>
      <c r="B2710" t="s">
        <v>1050</v>
      </c>
      <c r="C2710" t="s">
        <v>6004</v>
      </c>
      <c r="D2710" t="s">
        <v>17420</v>
      </c>
      <c r="E2710" t="s">
        <v>19861</v>
      </c>
      <c r="F2710" t="s">
        <v>30052</v>
      </c>
      <c r="G2710" t="s">
        <v>30058</v>
      </c>
      <c r="H2710" t="s">
        <v>30067</v>
      </c>
      <c r="I2710" t="s">
        <v>3693</v>
      </c>
      <c r="J2710" t="s">
        <v>30315</v>
      </c>
      <c r="K2710" t="s">
        <v>39032</v>
      </c>
      <c r="M2710" t="s">
        <v>40383</v>
      </c>
      <c r="N2710" t="s">
        <v>43166</v>
      </c>
      <c r="O2710" t="s">
        <v>43167</v>
      </c>
      <c r="P2710">
        <v>0</v>
      </c>
      <c r="Q2710">
        <v>0</v>
      </c>
      <c r="R2710" t="s">
        <v>43170</v>
      </c>
      <c r="S2710" t="s">
        <v>43297</v>
      </c>
      <c r="T2710" t="s">
        <v>44733</v>
      </c>
      <c r="U2710" t="s">
        <v>47431</v>
      </c>
      <c r="W2710" t="s">
        <v>40383</v>
      </c>
      <c r="X2710" t="s">
        <v>43171</v>
      </c>
    </row>
    <row r="2711" spans="1:24">
      <c r="A2711">
        <f>HYPERLINK("https://www.philgeps.gov.ph/GEPSNONPILOT/Tender/SplashBidNoticeAbstractUI.aspx?menuIndex=3&amp;refID=7086704&amp;Result=3","7086704")</f>
        <v>0</v>
      </c>
      <c r="B2711" t="s">
        <v>1057</v>
      </c>
      <c r="C2711" t="s">
        <v>6005</v>
      </c>
      <c r="D2711" t="s">
        <v>17423</v>
      </c>
      <c r="E2711" t="s">
        <v>19862</v>
      </c>
      <c r="F2711" t="s">
        <v>30052</v>
      </c>
      <c r="G2711" t="s">
        <v>30059</v>
      </c>
      <c r="H2711" t="s">
        <v>15498</v>
      </c>
      <c r="I2711" t="s">
        <v>30083</v>
      </c>
      <c r="J2711" t="s">
        <v>30857</v>
      </c>
      <c r="K2711" t="s">
        <v>39036</v>
      </c>
      <c r="M2711" t="s">
        <v>40392</v>
      </c>
      <c r="N2711" t="s">
        <v>43166</v>
      </c>
      <c r="O2711" t="s">
        <v>43167</v>
      </c>
      <c r="P2711">
        <v>0</v>
      </c>
      <c r="Q2711">
        <v>0</v>
      </c>
      <c r="R2711" t="s">
        <v>43170</v>
      </c>
      <c r="S2711" t="s">
        <v>43297</v>
      </c>
      <c r="T2711" t="s">
        <v>44717</v>
      </c>
      <c r="U2711" t="s">
        <v>46500</v>
      </c>
      <c r="V2711" t="s">
        <v>57134</v>
      </c>
      <c r="W2711" t="s">
        <v>40392</v>
      </c>
      <c r="X2711" t="s">
        <v>43171</v>
      </c>
    </row>
    <row r="2712" spans="1:24">
      <c r="A2712">
        <f>HYPERLINK("https://www.philgeps.gov.ph/GEPSNONPILOT/Tender/SplashBidNoticeAbstractUI.aspx?menuIndex=3&amp;refID=7086702&amp;Result=3","7086702")</f>
        <v>0</v>
      </c>
      <c r="B2712" t="s">
        <v>1058</v>
      </c>
      <c r="C2712" t="s">
        <v>6006</v>
      </c>
      <c r="D2712" t="s">
        <v>17435</v>
      </c>
      <c r="E2712" t="s">
        <v>19863</v>
      </c>
      <c r="F2712" t="s">
        <v>30052</v>
      </c>
      <c r="G2712" t="s">
        <v>30061</v>
      </c>
      <c r="H2712" t="s">
        <v>15498</v>
      </c>
      <c r="I2712" t="s">
        <v>3606</v>
      </c>
      <c r="J2712" t="s">
        <v>30472</v>
      </c>
      <c r="K2712" t="s">
        <v>39017</v>
      </c>
      <c r="M2712" t="s">
        <v>40393</v>
      </c>
      <c r="N2712" t="s">
        <v>43166</v>
      </c>
      <c r="O2712" t="s">
        <v>43167</v>
      </c>
      <c r="P2712">
        <v>0</v>
      </c>
      <c r="Q2712">
        <v>0</v>
      </c>
      <c r="R2712" t="s">
        <v>43170</v>
      </c>
      <c r="S2712" t="s">
        <v>43297</v>
      </c>
      <c r="T2712" t="s">
        <v>44844</v>
      </c>
      <c r="U2712" t="s">
        <v>47432</v>
      </c>
      <c r="V2712" t="s">
        <v>57135</v>
      </c>
      <c r="W2712" t="s">
        <v>40393</v>
      </c>
      <c r="X2712" t="s">
        <v>43171</v>
      </c>
    </row>
    <row r="2713" spans="1:24">
      <c r="A2713">
        <f>HYPERLINK("https://www.philgeps.gov.ph/GEPSNONPILOT/Tender/SplashBidNoticeAbstractUI.aspx?menuIndex=3&amp;refID=7086701&amp;Result=3","7086701")</f>
        <v>0</v>
      </c>
      <c r="B2713" t="s">
        <v>1059</v>
      </c>
      <c r="C2713" t="s">
        <v>6007</v>
      </c>
      <c r="D2713" t="s">
        <v>17432</v>
      </c>
      <c r="E2713" t="s">
        <v>19864</v>
      </c>
      <c r="F2713" t="s">
        <v>30052</v>
      </c>
      <c r="G2713" t="s">
        <v>30058</v>
      </c>
      <c r="H2713" t="s">
        <v>15498</v>
      </c>
      <c r="I2713" t="s">
        <v>4119</v>
      </c>
      <c r="J2713" t="s">
        <v>32042</v>
      </c>
      <c r="K2713" t="s">
        <v>39023</v>
      </c>
      <c r="M2713" t="s">
        <v>40394</v>
      </c>
      <c r="N2713" t="s">
        <v>43166</v>
      </c>
      <c r="O2713" t="s">
        <v>43167</v>
      </c>
      <c r="P2713">
        <v>0</v>
      </c>
      <c r="Q2713">
        <v>9</v>
      </c>
      <c r="R2713" t="s">
        <v>43170</v>
      </c>
      <c r="S2713" t="s">
        <v>43297</v>
      </c>
      <c r="T2713" t="s">
        <v>44924</v>
      </c>
      <c r="U2713" t="s">
        <v>47433</v>
      </c>
      <c r="V2713" t="s">
        <v>57136</v>
      </c>
      <c r="W2713" t="s">
        <v>40394</v>
      </c>
      <c r="X2713" t="s">
        <v>43171</v>
      </c>
    </row>
    <row r="2714" spans="1:24">
      <c r="A2714">
        <f>HYPERLINK("https://www.philgeps.gov.ph/GEPSNONPILOT/Tender/SplashBidNoticeAbstractUI.aspx?menuIndex=3&amp;refID=7086659&amp;Result=3","7086659")</f>
        <v>0</v>
      </c>
      <c r="B2714" t="s">
        <v>407</v>
      </c>
      <c r="C2714" t="s">
        <v>6008</v>
      </c>
      <c r="D2714" t="s">
        <v>17421</v>
      </c>
      <c r="E2714" t="s">
        <v>19865</v>
      </c>
      <c r="F2714" t="s">
        <v>30052</v>
      </c>
      <c r="G2714" t="s">
        <v>30059</v>
      </c>
      <c r="H2714" t="s">
        <v>15498</v>
      </c>
      <c r="I2714" t="s">
        <v>3606</v>
      </c>
      <c r="J2714" t="s">
        <v>32043</v>
      </c>
      <c r="K2714" t="s">
        <v>39034</v>
      </c>
      <c r="M2714" t="s">
        <v>40366</v>
      </c>
      <c r="N2714" t="s">
        <v>43166</v>
      </c>
      <c r="O2714" t="s">
        <v>43167</v>
      </c>
      <c r="P2714">
        <v>0</v>
      </c>
      <c r="Q2714">
        <v>1</v>
      </c>
      <c r="R2714" t="s">
        <v>43170</v>
      </c>
      <c r="S2714" t="s">
        <v>43297</v>
      </c>
      <c r="T2714" t="s">
        <v>44735</v>
      </c>
      <c r="U2714" t="s">
        <v>47434</v>
      </c>
      <c r="W2714" t="s">
        <v>40366</v>
      </c>
      <c r="X2714" t="s">
        <v>43171</v>
      </c>
    </row>
    <row r="2715" spans="1:24">
      <c r="A2715">
        <f>HYPERLINK("https://www.philgeps.gov.ph/GEPSNONPILOT/Tender/SplashBidNoticeAbstractUI.aspx?menuIndex=3&amp;refID=7086665&amp;Result=3","7086665")</f>
        <v>0</v>
      </c>
      <c r="B2715" t="s">
        <v>1060</v>
      </c>
      <c r="C2715" t="s">
        <v>6009</v>
      </c>
      <c r="D2715" t="s">
        <v>17470</v>
      </c>
      <c r="E2715" t="s">
        <v>19795</v>
      </c>
      <c r="F2715" t="s">
        <v>30052</v>
      </c>
      <c r="G2715" t="s">
        <v>30058</v>
      </c>
      <c r="H2715" t="s">
        <v>15498</v>
      </c>
      <c r="I2715" t="s">
        <v>3736</v>
      </c>
      <c r="J2715" t="s">
        <v>32044</v>
      </c>
      <c r="K2715" t="s">
        <v>39034</v>
      </c>
      <c r="M2715" t="s">
        <v>40395</v>
      </c>
      <c r="N2715" t="s">
        <v>43166</v>
      </c>
      <c r="O2715" t="s">
        <v>43167</v>
      </c>
      <c r="P2715">
        <v>0</v>
      </c>
      <c r="Q2715">
        <v>0</v>
      </c>
      <c r="R2715" t="s">
        <v>43170</v>
      </c>
      <c r="S2715" t="s">
        <v>43297</v>
      </c>
      <c r="T2715" t="s">
        <v>44684</v>
      </c>
      <c r="U2715" t="s">
        <v>47435</v>
      </c>
      <c r="W2715" t="s">
        <v>40395</v>
      </c>
      <c r="X2715" t="s">
        <v>43171</v>
      </c>
    </row>
    <row r="2716" spans="1:24">
      <c r="A2716">
        <f>HYPERLINK("https://www.philgeps.gov.ph/GEPSNONPILOT/Tender/SplashBidNoticeAbstractUI.aspx?menuIndex=3&amp;refID=7086642&amp;Result=3","7086642")</f>
        <v>0</v>
      </c>
      <c r="B2716" t="s">
        <v>933</v>
      </c>
      <c r="C2716" t="s">
        <v>6010</v>
      </c>
      <c r="D2716" t="s">
        <v>17456</v>
      </c>
      <c r="E2716" t="s">
        <v>19866</v>
      </c>
      <c r="F2716" t="s">
        <v>30052</v>
      </c>
      <c r="G2716" t="s">
        <v>30058</v>
      </c>
      <c r="H2716" t="s">
        <v>15498</v>
      </c>
      <c r="I2716" t="s">
        <v>3693</v>
      </c>
      <c r="J2716" t="s">
        <v>32045</v>
      </c>
      <c r="K2716" t="s">
        <v>39038</v>
      </c>
      <c r="M2716" t="s">
        <v>40256</v>
      </c>
      <c r="N2716" t="s">
        <v>43166</v>
      </c>
      <c r="O2716" t="s">
        <v>43167</v>
      </c>
      <c r="P2716">
        <v>0</v>
      </c>
      <c r="Q2716">
        <v>0</v>
      </c>
      <c r="R2716" t="s">
        <v>43170</v>
      </c>
      <c r="S2716" t="s">
        <v>43297</v>
      </c>
      <c r="T2716" t="s">
        <v>44786</v>
      </c>
      <c r="U2716" t="s">
        <v>47082</v>
      </c>
      <c r="W2716" t="s">
        <v>40256</v>
      </c>
      <c r="X2716" t="s">
        <v>43171</v>
      </c>
    </row>
    <row r="2717" spans="1:24">
      <c r="A2717">
        <f>HYPERLINK("https://www.philgeps.gov.ph/GEPSNONPILOT/Tender/SplashBidNoticeAbstractUI.aspx?menuIndex=3&amp;refID=7086696&amp;Result=3","7086696")</f>
        <v>0</v>
      </c>
      <c r="B2717" t="s">
        <v>1061</v>
      </c>
      <c r="C2717" t="s">
        <v>6011</v>
      </c>
      <c r="D2717" t="s">
        <v>17415</v>
      </c>
      <c r="E2717" t="s">
        <v>19867</v>
      </c>
      <c r="F2717" t="s">
        <v>30052</v>
      </c>
      <c r="G2717" t="s">
        <v>30059</v>
      </c>
      <c r="H2717" t="s">
        <v>15498</v>
      </c>
      <c r="I2717" t="s">
        <v>30090</v>
      </c>
      <c r="J2717" t="s">
        <v>30218</v>
      </c>
      <c r="K2717" t="s">
        <v>39025</v>
      </c>
      <c r="M2717" t="s">
        <v>40396</v>
      </c>
      <c r="N2717" t="s">
        <v>43166</v>
      </c>
      <c r="O2717" t="s">
        <v>43167</v>
      </c>
      <c r="P2717">
        <v>0</v>
      </c>
      <c r="Q2717">
        <v>0</v>
      </c>
      <c r="R2717" t="s">
        <v>43170</v>
      </c>
      <c r="S2717" t="s">
        <v>43297</v>
      </c>
      <c r="T2717" t="s">
        <v>44837</v>
      </c>
      <c r="U2717" t="s">
        <v>47436</v>
      </c>
      <c r="W2717" t="s">
        <v>40396</v>
      </c>
      <c r="X2717" t="s">
        <v>43171</v>
      </c>
    </row>
    <row r="2718" spans="1:24">
      <c r="A2718">
        <f>HYPERLINK("https://www.philgeps.gov.ph/GEPSNONPILOT/Tender/SplashBidNoticeAbstractUI.aspx?menuIndex=3&amp;refID=7086691&amp;Result=3","7086691")</f>
        <v>0</v>
      </c>
      <c r="B2718" t="s">
        <v>557</v>
      </c>
      <c r="C2718" t="s">
        <v>6012</v>
      </c>
      <c r="D2718" t="s">
        <v>17422</v>
      </c>
      <c r="E2718" t="s">
        <v>19868</v>
      </c>
      <c r="F2718" t="s">
        <v>30052</v>
      </c>
      <c r="G2718" t="s">
        <v>30062</v>
      </c>
      <c r="H2718" t="s">
        <v>15498</v>
      </c>
      <c r="I2718" t="s">
        <v>30070</v>
      </c>
      <c r="J2718" t="s">
        <v>32046</v>
      </c>
      <c r="K2718" t="s">
        <v>39029</v>
      </c>
      <c r="M2718" t="s">
        <v>39859</v>
      </c>
      <c r="N2718" t="s">
        <v>43166</v>
      </c>
      <c r="O2718" t="s">
        <v>43167</v>
      </c>
      <c r="P2718">
        <v>0</v>
      </c>
      <c r="Q2718">
        <v>4</v>
      </c>
      <c r="R2718" t="s">
        <v>43170</v>
      </c>
      <c r="S2718" t="s">
        <v>43297</v>
      </c>
      <c r="T2718" t="s">
        <v>44837</v>
      </c>
      <c r="U2718" t="s">
        <v>47437</v>
      </c>
      <c r="V2718" t="s">
        <v>57137</v>
      </c>
      <c r="W2718" t="s">
        <v>39859</v>
      </c>
      <c r="X2718" t="s">
        <v>43171</v>
      </c>
    </row>
    <row r="2719" spans="1:24">
      <c r="A2719">
        <f>HYPERLINK("https://www.philgeps.gov.ph/GEPSNONPILOT/Tender/SplashBidNoticeAbstractUI.aspx?menuIndex=3&amp;refID=7086690&amp;Result=3","7086690")</f>
        <v>0</v>
      </c>
      <c r="B2719" t="s">
        <v>489</v>
      </c>
      <c r="C2719" t="s">
        <v>6013</v>
      </c>
      <c r="D2719" t="s">
        <v>17425</v>
      </c>
      <c r="E2719" t="s">
        <v>19869</v>
      </c>
      <c r="F2719" t="s">
        <v>30052</v>
      </c>
      <c r="G2719" t="s">
        <v>30061</v>
      </c>
      <c r="H2719" t="s">
        <v>15498</v>
      </c>
      <c r="I2719" t="s">
        <v>30073</v>
      </c>
      <c r="J2719" t="s">
        <v>31710</v>
      </c>
      <c r="K2719" t="s">
        <v>39017</v>
      </c>
      <c r="M2719" t="s">
        <v>39790</v>
      </c>
      <c r="N2719" t="s">
        <v>43166</v>
      </c>
      <c r="O2719" t="s">
        <v>43167</v>
      </c>
      <c r="P2719">
        <v>0</v>
      </c>
      <c r="Q2719">
        <v>0</v>
      </c>
      <c r="R2719" t="s">
        <v>43170</v>
      </c>
      <c r="S2719" t="s">
        <v>43297</v>
      </c>
      <c r="T2719" t="s">
        <v>44844</v>
      </c>
      <c r="U2719" t="s">
        <v>47438</v>
      </c>
      <c r="V2719" t="s">
        <v>57138</v>
      </c>
      <c r="W2719" t="s">
        <v>39790</v>
      </c>
      <c r="X2719" t="s">
        <v>43171</v>
      </c>
    </row>
    <row r="2720" spans="1:24">
      <c r="A2720">
        <f>HYPERLINK("https://www.philgeps.gov.ph/GEPSNONPILOT/Tender/SplashBidNoticeAbstractUI.aspx?menuIndex=3&amp;refID=7086689&amp;Result=3","7086689")</f>
        <v>0</v>
      </c>
      <c r="B2720" t="s">
        <v>1062</v>
      </c>
      <c r="C2720" t="s">
        <v>6014</v>
      </c>
      <c r="D2720" t="s">
        <v>17441</v>
      </c>
      <c r="E2720" t="s">
        <v>18436</v>
      </c>
      <c r="F2720" t="s">
        <v>30052</v>
      </c>
      <c r="G2720" t="s">
        <v>30058</v>
      </c>
      <c r="H2720" t="s">
        <v>15498</v>
      </c>
      <c r="I2720" t="s">
        <v>3736</v>
      </c>
      <c r="J2720" t="s">
        <v>30230</v>
      </c>
      <c r="K2720" t="s">
        <v>39034</v>
      </c>
      <c r="L2720" t="s">
        <v>1062</v>
      </c>
      <c r="M2720" t="s">
        <v>40397</v>
      </c>
      <c r="N2720" t="s">
        <v>43166</v>
      </c>
      <c r="O2720" t="s">
        <v>43167</v>
      </c>
      <c r="P2720">
        <v>0</v>
      </c>
      <c r="Q2720">
        <v>1</v>
      </c>
      <c r="R2720" t="s">
        <v>43170</v>
      </c>
      <c r="S2720" t="s">
        <v>43297</v>
      </c>
      <c r="T2720" t="s">
        <v>44733</v>
      </c>
      <c r="U2720" t="s">
        <v>47439</v>
      </c>
      <c r="W2720" t="s">
        <v>40397</v>
      </c>
      <c r="X2720" t="s">
        <v>43171</v>
      </c>
    </row>
    <row r="2721" spans="1:24">
      <c r="A2721">
        <f>HYPERLINK("https://www.philgeps.gov.ph/GEPSNONPILOT/Tender/SplashBidNoticeAbstractUI.aspx?menuIndex=3&amp;refID=7086688&amp;Result=3","7086688")</f>
        <v>0</v>
      </c>
      <c r="B2721" t="s">
        <v>1056</v>
      </c>
      <c r="C2721" t="s">
        <v>6015</v>
      </c>
      <c r="D2721" t="s">
        <v>17422</v>
      </c>
      <c r="E2721" t="s">
        <v>19870</v>
      </c>
      <c r="F2721" t="s">
        <v>30052</v>
      </c>
      <c r="G2721" t="s">
        <v>30062</v>
      </c>
      <c r="H2721" t="s">
        <v>15498</v>
      </c>
      <c r="I2721" t="s">
        <v>30084</v>
      </c>
      <c r="J2721" t="s">
        <v>30207</v>
      </c>
      <c r="K2721" t="s">
        <v>39017</v>
      </c>
      <c r="M2721" t="s">
        <v>40391</v>
      </c>
      <c r="N2721" t="s">
        <v>43166</v>
      </c>
      <c r="O2721" t="s">
        <v>43167</v>
      </c>
      <c r="P2721">
        <v>0</v>
      </c>
      <c r="Q2721">
        <v>1</v>
      </c>
      <c r="R2721" t="s">
        <v>43170</v>
      </c>
      <c r="S2721" t="s">
        <v>43297</v>
      </c>
      <c r="T2721" t="s">
        <v>44720</v>
      </c>
      <c r="U2721" t="s">
        <v>47440</v>
      </c>
      <c r="W2721" t="s">
        <v>40391</v>
      </c>
      <c r="X2721" t="s">
        <v>43171</v>
      </c>
    </row>
    <row r="2722" spans="1:24">
      <c r="A2722">
        <f>HYPERLINK("https://www.philgeps.gov.ph/GEPSNONPILOT/Tender/SplashBidNoticeAbstractUI.aspx?menuIndex=3&amp;refID=7086686&amp;Result=3","7086686")</f>
        <v>0</v>
      </c>
      <c r="B2722" t="s">
        <v>1059</v>
      </c>
      <c r="C2722" t="s">
        <v>6016</v>
      </c>
      <c r="D2722" t="s">
        <v>17432</v>
      </c>
      <c r="E2722" t="s">
        <v>19871</v>
      </c>
      <c r="F2722" t="s">
        <v>30052</v>
      </c>
      <c r="G2722" t="s">
        <v>30058</v>
      </c>
      <c r="H2722" t="s">
        <v>15498</v>
      </c>
      <c r="I2722" t="s">
        <v>30108</v>
      </c>
      <c r="J2722" t="s">
        <v>30221</v>
      </c>
      <c r="K2722" t="s">
        <v>39046</v>
      </c>
      <c r="M2722" t="s">
        <v>40394</v>
      </c>
      <c r="N2722" t="s">
        <v>43166</v>
      </c>
      <c r="O2722" t="s">
        <v>43167</v>
      </c>
      <c r="P2722">
        <v>0</v>
      </c>
      <c r="Q2722">
        <v>6</v>
      </c>
      <c r="R2722" t="s">
        <v>43170</v>
      </c>
      <c r="S2722" t="s">
        <v>43297</v>
      </c>
      <c r="T2722" t="s">
        <v>44924</v>
      </c>
      <c r="U2722" t="s">
        <v>47441</v>
      </c>
      <c r="V2722" t="s">
        <v>57139</v>
      </c>
      <c r="W2722" t="s">
        <v>40394</v>
      </c>
      <c r="X2722" t="s">
        <v>43171</v>
      </c>
    </row>
    <row r="2723" spans="1:24">
      <c r="A2723">
        <f>HYPERLINK("https://www.philgeps.gov.ph/GEPSNONPILOT/Tender/SplashBidNoticeAbstractUI.aspx?menuIndex=3&amp;refID=7086684&amp;Result=3","7086684")</f>
        <v>0</v>
      </c>
      <c r="B2723" t="s">
        <v>1063</v>
      </c>
      <c r="C2723" t="s">
        <v>5961</v>
      </c>
      <c r="D2723" t="s">
        <v>17461</v>
      </c>
      <c r="E2723" t="s">
        <v>19872</v>
      </c>
      <c r="F2723" t="s">
        <v>30052</v>
      </c>
      <c r="G2723" t="s">
        <v>30061</v>
      </c>
      <c r="H2723" t="s">
        <v>15498</v>
      </c>
      <c r="I2723" t="s">
        <v>5961</v>
      </c>
      <c r="J2723" t="s">
        <v>32047</v>
      </c>
      <c r="K2723" t="s">
        <v>39029</v>
      </c>
      <c r="M2723" t="s">
        <v>40398</v>
      </c>
      <c r="N2723" t="s">
        <v>43166</v>
      </c>
      <c r="O2723" t="s">
        <v>43167</v>
      </c>
      <c r="P2723">
        <v>0</v>
      </c>
      <c r="Q2723">
        <v>1</v>
      </c>
      <c r="R2723" t="s">
        <v>43170</v>
      </c>
      <c r="S2723" t="s">
        <v>43297</v>
      </c>
      <c r="T2723" t="s">
        <v>44721</v>
      </c>
      <c r="U2723" t="s">
        <v>47442</v>
      </c>
      <c r="W2723" t="s">
        <v>40398</v>
      </c>
      <c r="X2723" t="s">
        <v>43171</v>
      </c>
    </row>
    <row r="2724" spans="1:24">
      <c r="A2724">
        <f>HYPERLINK("https://www.philgeps.gov.ph/GEPSNONPILOT/Tender/SplashBidNoticeAbstractUI.aspx?menuIndex=3&amp;refID=7086698&amp;Result=3","7086698")</f>
        <v>0</v>
      </c>
      <c r="B2724" t="s">
        <v>1053</v>
      </c>
      <c r="C2724" t="s">
        <v>6017</v>
      </c>
      <c r="D2724" t="s">
        <v>17413</v>
      </c>
      <c r="E2724" t="s">
        <v>19873</v>
      </c>
      <c r="F2724" t="s">
        <v>30052</v>
      </c>
      <c r="G2724" t="s">
        <v>30059</v>
      </c>
      <c r="H2724" t="s">
        <v>15498</v>
      </c>
      <c r="I2724" t="s">
        <v>30157</v>
      </c>
      <c r="J2724" t="s">
        <v>32032</v>
      </c>
      <c r="K2724" t="s">
        <v>39036</v>
      </c>
      <c r="M2724" t="s">
        <v>40386</v>
      </c>
      <c r="N2724" t="s">
        <v>43166</v>
      </c>
      <c r="O2724" t="s">
        <v>43167</v>
      </c>
      <c r="P2724">
        <v>0</v>
      </c>
      <c r="Q2724">
        <v>5</v>
      </c>
      <c r="R2724" t="s">
        <v>43170</v>
      </c>
      <c r="S2724" t="s">
        <v>43297</v>
      </c>
      <c r="T2724" t="s">
        <v>44843</v>
      </c>
      <c r="U2724" t="s">
        <v>47443</v>
      </c>
      <c r="W2724" t="s">
        <v>40386</v>
      </c>
      <c r="X2724" t="s">
        <v>43171</v>
      </c>
    </row>
    <row r="2725" spans="1:24">
      <c r="A2725">
        <f>HYPERLINK("https://www.philgeps.gov.ph/GEPSNONPILOT/Tender/SplashBidNoticeAbstractUI.aspx?menuIndex=3&amp;refID=7086697&amp;Result=3","7086697")</f>
        <v>0</v>
      </c>
      <c r="B2725" t="s">
        <v>730</v>
      </c>
      <c r="C2725" t="s">
        <v>6018</v>
      </c>
      <c r="D2725" t="s">
        <v>17415</v>
      </c>
      <c r="E2725" t="s">
        <v>19874</v>
      </c>
      <c r="F2725" t="s">
        <v>30052</v>
      </c>
      <c r="G2725" t="s">
        <v>30059</v>
      </c>
      <c r="H2725" t="s">
        <v>15498</v>
      </c>
      <c r="I2725" t="s">
        <v>9238</v>
      </c>
      <c r="J2725" t="s">
        <v>32048</v>
      </c>
      <c r="K2725" t="s">
        <v>39025</v>
      </c>
      <c r="M2725" t="s">
        <v>40041</v>
      </c>
      <c r="N2725" t="s">
        <v>43166</v>
      </c>
      <c r="O2725" t="s">
        <v>43167</v>
      </c>
      <c r="P2725">
        <v>0</v>
      </c>
      <c r="Q2725">
        <v>7</v>
      </c>
      <c r="R2725" t="s">
        <v>43170</v>
      </c>
      <c r="S2725" t="s">
        <v>43297</v>
      </c>
      <c r="T2725" t="s">
        <v>44698</v>
      </c>
      <c r="U2725" t="s">
        <v>47444</v>
      </c>
      <c r="W2725" t="s">
        <v>40041</v>
      </c>
      <c r="X2725" t="s">
        <v>43171</v>
      </c>
    </row>
    <row r="2726" spans="1:24">
      <c r="A2726">
        <f>HYPERLINK("https://www.philgeps.gov.ph/GEPSNONPILOT/Tender/SplashBidNoticeAbstractUI.aspx?menuIndex=3&amp;refID=7086743&amp;Result=3","7086743")</f>
        <v>0</v>
      </c>
      <c r="B2726" t="s">
        <v>1064</v>
      </c>
      <c r="C2726" t="s">
        <v>6019</v>
      </c>
      <c r="D2726" t="s">
        <v>17484</v>
      </c>
      <c r="E2726" t="s">
        <v>19875</v>
      </c>
      <c r="F2726" t="s">
        <v>30052</v>
      </c>
      <c r="G2726" t="s">
        <v>30061</v>
      </c>
      <c r="H2726" t="s">
        <v>15498</v>
      </c>
      <c r="I2726" t="s">
        <v>4650</v>
      </c>
      <c r="J2726" t="s">
        <v>30230</v>
      </c>
      <c r="K2726" t="s">
        <v>39029</v>
      </c>
      <c r="M2726" t="s">
        <v>40399</v>
      </c>
      <c r="N2726" t="s">
        <v>43166</v>
      </c>
      <c r="O2726" t="s">
        <v>43167</v>
      </c>
      <c r="P2726">
        <v>0</v>
      </c>
      <c r="Q2726">
        <v>0</v>
      </c>
      <c r="R2726" t="s">
        <v>43170</v>
      </c>
      <c r="S2726" t="s">
        <v>43297</v>
      </c>
      <c r="T2726" t="s">
        <v>44734</v>
      </c>
      <c r="U2726" t="s">
        <v>47445</v>
      </c>
      <c r="W2726" t="s">
        <v>40399</v>
      </c>
      <c r="X2726" t="s">
        <v>43171</v>
      </c>
    </row>
    <row r="2727" spans="1:24">
      <c r="A2727">
        <f>HYPERLINK("https://www.philgeps.gov.ph/GEPSNONPILOT/Tender/SplashBidNoticeAbstractUI.aspx?menuIndex=3&amp;refID=7086738&amp;Result=3","7086738")</f>
        <v>0</v>
      </c>
      <c r="B2727" t="s">
        <v>407</v>
      </c>
      <c r="C2727" t="s">
        <v>6020</v>
      </c>
      <c r="D2727" t="s">
        <v>17421</v>
      </c>
      <c r="E2727" t="s">
        <v>19876</v>
      </c>
      <c r="F2727" t="s">
        <v>30052</v>
      </c>
      <c r="G2727" t="s">
        <v>30059</v>
      </c>
      <c r="H2727" t="s">
        <v>15498</v>
      </c>
      <c r="I2727" t="s">
        <v>3606</v>
      </c>
      <c r="J2727" t="s">
        <v>32049</v>
      </c>
      <c r="K2727" t="s">
        <v>39034</v>
      </c>
      <c r="M2727" t="s">
        <v>40366</v>
      </c>
      <c r="N2727" t="s">
        <v>43166</v>
      </c>
      <c r="O2727" t="s">
        <v>43167</v>
      </c>
      <c r="P2727">
        <v>0</v>
      </c>
      <c r="Q2727">
        <v>1</v>
      </c>
      <c r="R2727" t="s">
        <v>43170</v>
      </c>
      <c r="S2727" t="s">
        <v>43297</v>
      </c>
      <c r="T2727" t="s">
        <v>44735</v>
      </c>
      <c r="U2727" t="s">
        <v>47446</v>
      </c>
      <c r="W2727" t="s">
        <v>40366</v>
      </c>
      <c r="X2727" t="s">
        <v>43171</v>
      </c>
    </row>
    <row r="2728" spans="1:24">
      <c r="A2728">
        <f>HYPERLINK("https://www.philgeps.gov.ph/GEPSNONPILOT/Tender/SplashBidNoticeAbstractUI.aspx?menuIndex=3&amp;refID=7086654&amp;Result=3","7086654")</f>
        <v>0</v>
      </c>
      <c r="B2728" t="s">
        <v>1065</v>
      </c>
      <c r="C2728" t="s">
        <v>6021</v>
      </c>
      <c r="D2728" t="s">
        <v>17456</v>
      </c>
      <c r="E2728" t="s">
        <v>19001</v>
      </c>
      <c r="F2728" t="s">
        <v>30052</v>
      </c>
      <c r="G2728" t="s">
        <v>30061</v>
      </c>
      <c r="H2728" t="s">
        <v>15498</v>
      </c>
      <c r="I2728" t="s">
        <v>30092</v>
      </c>
      <c r="J2728" t="s">
        <v>32050</v>
      </c>
      <c r="K2728" t="s">
        <v>39034</v>
      </c>
      <c r="M2728" t="s">
        <v>40400</v>
      </c>
      <c r="N2728" t="s">
        <v>43166</v>
      </c>
      <c r="O2728" t="s">
        <v>43167</v>
      </c>
      <c r="P2728">
        <v>0</v>
      </c>
      <c r="Q2728">
        <v>1</v>
      </c>
      <c r="R2728" t="s">
        <v>43170</v>
      </c>
      <c r="S2728" t="s">
        <v>43297</v>
      </c>
      <c r="T2728" t="s">
        <v>44721</v>
      </c>
      <c r="U2728" t="s">
        <v>47447</v>
      </c>
      <c r="W2728" t="s">
        <v>40400</v>
      </c>
      <c r="X2728" t="s">
        <v>43171</v>
      </c>
    </row>
    <row r="2729" spans="1:24">
      <c r="A2729">
        <f>HYPERLINK("https://www.philgeps.gov.ph/GEPSNONPILOT/Tender/SplashBidNoticeAbstractUI.aspx?menuIndex=3&amp;refID=7086735&amp;Result=3","7086735")</f>
        <v>0</v>
      </c>
      <c r="B2729" t="s">
        <v>1066</v>
      </c>
      <c r="C2729" t="s">
        <v>6022</v>
      </c>
      <c r="D2729" t="s">
        <v>17455</v>
      </c>
      <c r="E2729" t="s">
        <v>19877</v>
      </c>
      <c r="F2729" t="s">
        <v>30052</v>
      </c>
      <c r="G2729" t="s">
        <v>30058</v>
      </c>
      <c r="H2729" t="s">
        <v>15498</v>
      </c>
      <c r="I2729" t="s">
        <v>30075</v>
      </c>
      <c r="J2729" t="s">
        <v>30612</v>
      </c>
      <c r="K2729" t="s">
        <v>39040</v>
      </c>
      <c r="M2729" t="s">
        <v>40401</v>
      </c>
      <c r="N2729" t="s">
        <v>43166</v>
      </c>
      <c r="O2729" t="s">
        <v>43167</v>
      </c>
      <c r="P2729">
        <v>0</v>
      </c>
      <c r="Q2729">
        <v>0</v>
      </c>
      <c r="R2729" t="s">
        <v>43170</v>
      </c>
      <c r="S2729" t="s">
        <v>43297</v>
      </c>
      <c r="T2729" t="s">
        <v>44816</v>
      </c>
      <c r="U2729" t="s">
        <v>47448</v>
      </c>
      <c r="W2729" t="s">
        <v>40401</v>
      </c>
      <c r="X2729" t="s">
        <v>43171</v>
      </c>
    </row>
    <row r="2730" spans="1:24">
      <c r="A2730">
        <f>HYPERLINK("https://www.philgeps.gov.ph/GEPSNONPILOT/Tender/SplashBidNoticeAbstractUI.aspx?menuIndex=3&amp;refID=7086733&amp;Result=3","7086733")</f>
        <v>0</v>
      </c>
      <c r="B2730" t="s">
        <v>1067</v>
      </c>
      <c r="C2730" t="s">
        <v>6023</v>
      </c>
      <c r="D2730" t="s">
        <v>17422</v>
      </c>
      <c r="E2730" t="s">
        <v>19878</v>
      </c>
      <c r="F2730" t="s">
        <v>30052</v>
      </c>
      <c r="G2730" t="s">
        <v>30058</v>
      </c>
      <c r="H2730" t="s">
        <v>30067</v>
      </c>
      <c r="I2730" t="s">
        <v>3693</v>
      </c>
      <c r="J2730" t="s">
        <v>31851</v>
      </c>
      <c r="K2730" t="s">
        <v>39109</v>
      </c>
      <c r="M2730" t="s">
        <v>40402</v>
      </c>
      <c r="N2730" t="s">
        <v>43166</v>
      </c>
      <c r="O2730" t="s">
        <v>43167</v>
      </c>
      <c r="P2730">
        <v>0</v>
      </c>
      <c r="Q2730">
        <v>2</v>
      </c>
      <c r="R2730" t="s">
        <v>43170</v>
      </c>
      <c r="S2730" t="s">
        <v>43297</v>
      </c>
      <c r="T2730" t="s">
        <v>44842</v>
      </c>
      <c r="U2730" t="s">
        <v>47449</v>
      </c>
      <c r="V2730" t="s">
        <v>57140</v>
      </c>
      <c r="W2730" t="s">
        <v>40402</v>
      </c>
      <c r="X2730" t="s">
        <v>43171</v>
      </c>
    </row>
    <row r="2731" spans="1:24">
      <c r="A2731">
        <f>HYPERLINK("https://www.philgeps.gov.ph/GEPSNONPILOT/Tender/SplashBidNoticeAbstractUI.aspx?menuIndex=3&amp;refID=7086741&amp;Result=3","7086741")</f>
        <v>0</v>
      </c>
      <c r="B2731" t="s">
        <v>892</v>
      </c>
      <c r="C2731" t="s">
        <v>6024</v>
      </c>
      <c r="D2731" t="s">
        <v>17471</v>
      </c>
      <c r="E2731" t="s">
        <v>19879</v>
      </c>
      <c r="F2731" t="s">
        <v>30052</v>
      </c>
      <c r="G2731" t="s">
        <v>30058</v>
      </c>
      <c r="H2731" t="s">
        <v>15498</v>
      </c>
      <c r="I2731" t="s">
        <v>30074</v>
      </c>
      <c r="J2731" t="s">
        <v>30212</v>
      </c>
      <c r="K2731" t="s">
        <v>39029</v>
      </c>
      <c r="M2731" t="s">
        <v>40211</v>
      </c>
      <c r="N2731" t="s">
        <v>43166</v>
      </c>
      <c r="O2731" t="s">
        <v>43167</v>
      </c>
      <c r="P2731">
        <v>0</v>
      </c>
      <c r="Q2731">
        <v>3</v>
      </c>
      <c r="R2731" t="s">
        <v>43170</v>
      </c>
      <c r="S2731" t="s">
        <v>43297</v>
      </c>
      <c r="T2731" t="s">
        <v>44925</v>
      </c>
      <c r="U2731" t="s">
        <v>47450</v>
      </c>
      <c r="W2731" t="s">
        <v>40211</v>
      </c>
      <c r="X2731" t="s">
        <v>43171</v>
      </c>
    </row>
    <row r="2732" spans="1:24">
      <c r="A2732">
        <f>HYPERLINK("https://www.philgeps.gov.ph/GEPSNONPILOT/Tender/SplashBidNoticeAbstractUI.aspx?menuIndex=3&amp;refID=7086729&amp;Result=3","7086729")</f>
        <v>0</v>
      </c>
      <c r="B2732" t="s">
        <v>415</v>
      </c>
      <c r="C2732" t="s">
        <v>6025</v>
      </c>
      <c r="D2732" t="s">
        <v>17472</v>
      </c>
      <c r="E2732" t="s">
        <v>18363</v>
      </c>
      <c r="F2732" t="s">
        <v>30052</v>
      </c>
      <c r="G2732" t="s">
        <v>30061</v>
      </c>
      <c r="H2732" t="s">
        <v>15498</v>
      </c>
      <c r="I2732" t="s">
        <v>30075</v>
      </c>
      <c r="J2732" t="s">
        <v>30306</v>
      </c>
      <c r="K2732" t="s">
        <v>39034</v>
      </c>
      <c r="M2732" t="s">
        <v>39714</v>
      </c>
      <c r="N2732" t="s">
        <v>43166</v>
      </c>
      <c r="O2732" t="s">
        <v>43167</v>
      </c>
      <c r="P2732">
        <v>0</v>
      </c>
      <c r="Q2732">
        <v>1</v>
      </c>
      <c r="R2732" t="s">
        <v>43170</v>
      </c>
      <c r="S2732" t="s">
        <v>43297</v>
      </c>
      <c r="T2732" t="s">
        <v>44685</v>
      </c>
      <c r="U2732" t="s">
        <v>47451</v>
      </c>
      <c r="W2732" t="s">
        <v>39714</v>
      </c>
      <c r="X2732" t="s">
        <v>43171</v>
      </c>
    </row>
    <row r="2733" spans="1:24">
      <c r="A2733">
        <f>HYPERLINK("https://www.philgeps.gov.ph/GEPSNONPILOT/Tender/SplashBidNoticeAbstractUI.aspx?menuIndex=3&amp;refID=7086727&amp;Result=3","7086727")</f>
        <v>0</v>
      </c>
      <c r="B2733" t="s">
        <v>701</v>
      </c>
      <c r="C2733" t="s">
        <v>6026</v>
      </c>
      <c r="D2733" t="s">
        <v>17419</v>
      </c>
      <c r="E2733" t="s">
        <v>19880</v>
      </c>
      <c r="F2733" t="s">
        <v>30052</v>
      </c>
      <c r="G2733" t="s">
        <v>30059</v>
      </c>
      <c r="H2733" t="s">
        <v>15498</v>
      </c>
      <c r="I2733" t="s">
        <v>30073</v>
      </c>
      <c r="J2733" t="s">
        <v>32051</v>
      </c>
      <c r="K2733" t="s">
        <v>39025</v>
      </c>
      <c r="M2733" t="s">
        <v>40010</v>
      </c>
      <c r="N2733" t="s">
        <v>43166</v>
      </c>
      <c r="O2733" t="s">
        <v>43167</v>
      </c>
      <c r="P2733">
        <v>0</v>
      </c>
      <c r="Q2733">
        <v>0</v>
      </c>
      <c r="R2733" t="s">
        <v>43170</v>
      </c>
      <c r="S2733" t="s">
        <v>43297</v>
      </c>
      <c r="T2733" t="s">
        <v>44717</v>
      </c>
      <c r="U2733" t="s">
        <v>47452</v>
      </c>
      <c r="W2733" t="s">
        <v>40010</v>
      </c>
      <c r="X2733" t="s">
        <v>43171</v>
      </c>
    </row>
    <row r="2734" spans="1:24">
      <c r="A2734">
        <f>HYPERLINK("https://www.philgeps.gov.ph/GEPSNONPILOT/Tender/SplashBidNoticeAbstractUI.aspx?menuIndex=3&amp;refID=7086736&amp;Result=3","7086736")</f>
        <v>0</v>
      </c>
      <c r="B2734" t="s">
        <v>802</v>
      </c>
      <c r="C2734" t="s">
        <v>6027</v>
      </c>
      <c r="D2734" t="s">
        <v>17415</v>
      </c>
      <c r="E2734" t="s">
        <v>19881</v>
      </c>
      <c r="F2734" t="s">
        <v>30052</v>
      </c>
      <c r="G2734" t="s">
        <v>30059</v>
      </c>
      <c r="H2734" t="s">
        <v>15498</v>
      </c>
      <c r="I2734" t="s">
        <v>30076</v>
      </c>
      <c r="J2734" t="s">
        <v>30268</v>
      </c>
      <c r="K2734" t="s">
        <v>39017</v>
      </c>
      <c r="M2734" t="s">
        <v>40119</v>
      </c>
      <c r="N2734" t="s">
        <v>43166</v>
      </c>
      <c r="O2734" t="s">
        <v>43167</v>
      </c>
      <c r="P2734">
        <v>0</v>
      </c>
      <c r="Q2734">
        <v>16</v>
      </c>
      <c r="R2734" t="s">
        <v>43170</v>
      </c>
      <c r="S2734" t="s">
        <v>43297</v>
      </c>
      <c r="T2734" t="s">
        <v>44779</v>
      </c>
      <c r="U2734" t="s">
        <v>46770</v>
      </c>
      <c r="W2734" t="s">
        <v>40119</v>
      </c>
      <c r="X2734" t="s">
        <v>43171</v>
      </c>
    </row>
    <row r="2735" spans="1:24">
      <c r="A2735">
        <f>HYPERLINK("https://www.philgeps.gov.ph/GEPSNONPILOT/Tender/SplashBidNoticeAbstractUI.aspx?menuIndex=3&amp;refID=7086725&amp;Result=3","7086725")</f>
        <v>0</v>
      </c>
      <c r="B2735" t="s">
        <v>1067</v>
      </c>
      <c r="C2735" t="s">
        <v>6028</v>
      </c>
      <c r="D2735" t="s">
        <v>17422</v>
      </c>
      <c r="E2735" t="s">
        <v>19882</v>
      </c>
      <c r="F2735" t="s">
        <v>30052</v>
      </c>
      <c r="G2735" t="s">
        <v>30058</v>
      </c>
      <c r="H2735" t="s">
        <v>30067</v>
      </c>
      <c r="I2735" t="s">
        <v>3693</v>
      </c>
      <c r="J2735" t="s">
        <v>31851</v>
      </c>
      <c r="K2735" t="s">
        <v>39031</v>
      </c>
      <c r="M2735" t="s">
        <v>40402</v>
      </c>
      <c r="N2735" t="s">
        <v>43166</v>
      </c>
      <c r="O2735" t="s">
        <v>43167</v>
      </c>
      <c r="P2735">
        <v>0</v>
      </c>
      <c r="Q2735">
        <v>1</v>
      </c>
      <c r="R2735" t="s">
        <v>43170</v>
      </c>
      <c r="S2735" t="s">
        <v>43297</v>
      </c>
      <c r="T2735" t="s">
        <v>44842</v>
      </c>
      <c r="U2735" t="s">
        <v>47449</v>
      </c>
      <c r="V2735" t="s">
        <v>57141</v>
      </c>
      <c r="W2735" t="s">
        <v>40402</v>
      </c>
      <c r="X2735" t="s">
        <v>43171</v>
      </c>
    </row>
    <row r="2736" spans="1:24">
      <c r="A2736">
        <f>HYPERLINK("https://www.philgeps.gov.ph/GEPSNONPILOT/Tender/SplashBidNoticeAbstractUI.aspx?menuIndex=3&amp;refID=7086734&amp;Result=3","7086734")</f>
        <v>0</v>
      </c>
      <c r="B2736" t="s">
        <v>1064</v>
      </c>
      <c r="C2736" t="s">
        <v>6029</v>
      </c>
      <c r="D2736" t="s">
        <v>17484</v>
      </c>
      <c r="E2736" t="s">
        <v>19883</v>
      </c>
      <c r="F2736" t="s">
        <v>30052</v>
      </c>
      <c r="G2736" t="s">
        <v>30061</v>
      </c>
      <c r="H2736" t="s">
        <v>15498</v>
      </c>
      <c r="I2736" t="s">
        <v>4650</v>
      </c>
      <c r="J2736" t="s">
        <v>30377</v>
      </c>
      <c r="K2736" t="s">
        <v>39029</v>
      </c>
      <c r="M2736" t="s">
        <v>40399</v>
      </c>
      <c r="N2736" t="s">
        <v>43166</v>
      </c>
      <c r="O2736" t="s">
        <v>43167</v>
      </c>
      <c r="P2736">
        <v>0</v>
      </c>
      <c r="Q2736">
        <v>0</v>
      </c>
      <c r="R2736" t="s">
        <v>43170</v>
      </c>
      <c r="S2736" t="s">
        <v>43297</v>
      </c>
      <c r="T2736" t="s">
        <v>44734</v>
      </c>
      <c r="U2736" t="s">
        <v>47453</v>
      </c>
      <c r="W2736" t="s">
        <v>40399</v>
      </c>
      <c r="X2736" t="s">
        <v>43171</v>
      </c>
    </row>
    <row r="2737" spans="1:24">
      <c r="A2737">
        <f>HYPERLINK("https://www.philgeps.gov.ph/GEPSNONPILOT/Tender/SplashBidNoticeAbstractUI.aspx?menuIndex=3&amp;refID=7086722&amp;Result=3","7086722")</f>
        <v>0</v>
      </c>
      <c r="B2737" t="s">
        <v>415</v>
      </c>
      <c r="C2737" t="s">
        <v>6030</v>
      </c>
      <c r="D2737" t="s">
        <v>17472</v>
      </c>
      <c r="E2737" t="s">
        <v>18363</v>
      </c>
      <c r="F2737" t="s">
        <v>30052</v>
      </c>
      <c r="G2737" t="s">
        <v>30061</v>
      </c>
      <c r="H2737" t="s">
        <v>15498</v>
      </c>
      <c r="I2737" t="s">
        <v>30169</v>
      </c>
      <c r="J2737" t="s">
        <v>31509</v>
      </c>
      <c r="K2737" t="s">
        <v>39034</v>
      </c>
      <c r="M2737" t="s">
        <v>39714</v>
      </c>
      <c r="N2737" t="s">
        <v>43166</v>
      </c>
      <c r="O2737" t="s">
        <v>43167</v>
      </c>
      <c r="P2737">
        <v>0</v>
      </c>
      <c r="Q2737">
        <v>0</v>
      </c>
      <c r="R2737" t="s">
        <v>43170</v>
      </c>
      <c r="S2737" t="s">
        <v>43297</v>
      </c>
      <c r="T2737" t="s">
        <v>44685</v>
      </c>
      <c r="U2737" t="s">
        <v>47454</v>
      </c>
      <c r="W2737" t="s">
        <v>39714</v>
      </c>
      <c r="X2737" t="s">
        <v>43171</v>
      </c>
    </row>
    <row r="2738" spans="1:24">
      <c r="A2738">
        <f>HYPERLINK("https://www.philgeps.gov.ph/GEPSNONPILOT/Tender/SplashBidNoticeAbstractUI.aspx?menuIndex=3&amp;refID=7086721&amp;Result=3","7086721")</f>
        <v>0</v>
      </c>
      <c r="B2738" t="s">
        <v>802</v>
      </c>
      <c r="C2738" t="s">
        <v>6031</v>
      </c>
      <c r="D2738" t="s">
        <v>17415</v>
      </c>
      <c r="E2738" t="s">
        <v>19884</v>
      </c>
      <c r="F2738" t="s">
        <v>30052</v>
      </c>
      <c r="G2738" t="s">
        <v>30059</v>
      </c>
      <c r="H2738" t="s">
        <v>15498</v>
      </c>
      <c r="I2738" t="s">
        <v>9238</v>
      </c>
      <c r="J2738" t="s">
        <v>32052</v>
      </c>
      <c r="K2738" t="s">
        <v>39017</v>
      </c>
      <c r="M2738" t="s">
        <v>40119</v>
      </c>
      <c r="N2738" t="s">
        <v>43166</v>
      </c>
      <c r="O2738" t="s">
        <v>43167</v>
      </c>
      <c r="P2738">
        <v>0</v>
      </c>
      <c r="Q2738">
        <v>2</v>
      </c>
      <c r="R2738" t="s">
        <v>43170</v>
      </c>
      <c r="S2738" t="s">
        <v>43297</v>
      </c>
      <c r="T2738" t="s">
        <v>44732</v>
      </c>
      <c r="U2738" t="s">
        <v>46770</v>
      </c>
      <c r="W2738" t="s">
        <v>40119</v>
      </c>
      <c r="X2738" t="s">
        <v>43171</v>
      </c>
    </row>
    <row r="2739" spans="1:24">
      <c r="A2739">
        <f>HYPERLINK("https://www.philgeps.gov.ph/GEPSNONPILOT/Tender/SplashBidNoticeAbstractUI.aspx?menuIndex=3&amp;refID=7086720&amp;Result=3","7086720")</f>
        <v>0</v>
      </c>
      <c r="B2739" t="s">
        <v>1067</v>
      </c>
      <c r="C2739" t="s">
        <v>6032</v>
      </c>
      <c r="D2739" t="s">
        <v>17422</v>
      </c>
      <c r="E2739" t="s">
        <v>19885</v>
      </c>
      <c r="F2739" t="s">
        <v>30052</v>
      </c>
      <c r="G2739" t="s">
        <v>30058</v>
      </c>
      <c r="H2739" t="s">
        <v>30067</v>
      </c>
      <c r="I2739" t="s">
        <v>3693</v>
      </c>
      <c r="J2739" t="s">
        <v>32053</v>
      </c>
      <c r="K2739" t="s">
        <v>39110</v>
      </c>
      <c r="M2739" t="s">
        <v>40402</v>
      </c>
      <c r="N2739" t="s">
        <v>43166</v>
      </c>
      <c r="O2739" t="s">
        <v>43167</v>
      </c>
      <c r="P2739">
        <v>0</v>
      </c>
      <c r="Q2739">
        <v>0</v>
      </c>
      <c r="R2739" t="s">
        <v>43170</v>
      </c>
      <c r="S2739" t="s">
        <v>43297</v>
      </c>
      <c r="T2739" t="s">
        <v>44842</v>
      </c>
      <c r="U2739" t="s">
        <v>47449</v>
      </c>
      <c r="V2739" t="s">
        <v>57142</v>
      </c>
      <c r="W2739" t="s">
        <v>40402</v>
      </c>
      <c r="X2739" t="s">
        <v>43171</v>
      </c>
    </row>
    <row r="2740" spans="1:24">
      <c r="A2740">
        <f>HYPERLINK("https://www.philgeps.gov.ph/GEPSNONPILOT/Tender/SplashBidNoticeAbstractUI.aspx?menuIndex=3&amp;refID=7086719&amp;Result=3","7086719")</f>
        <v>0</v>
      </c>
      <c r="B2740" t="s">
        <v>1068</v>
      </c>
      <c r="C2740" t="s">
        <v>6033</v>
      </c>
      <c r="D2740" t="s">
        <v>17445</v>
      </c>
      <c r="E2740" t="s">
        <v>19886</v>
      </c>
      <c r="F2740" t="s">
        <v>30052</v>
      </c>
      <c r="G2740" t="s">
        <v>30059</v>
      </c>
      <c r="H2740" t="s">
        <v>15498</v>
      </c>
      <c r="I2740" t="s">
        <v>7228</v>
      </c>
      <c r="J2740" t="s">
        <v>32054</v>
      </c>
      <c r="K2740" t="s">
        <v>39034</v>
      </c>
      <c r="M2740" t="s">
        <v>40403</v>
      </c>
      <c r="N2740" t="s">
        <v>43166</v>
      </c>
      <c r="O2740" t="s">
        <v>43167</v>
      </c>
      <c r="P2740">
        <v>0</v>
      </c>
      <c r="Q2740">
        <v>0</v>
      </c>
      <c r="R2740" t="s">
        <v>43170</v>
      </c>
      <c r="S2740" t="s">
        <v>43297</v>
      </c>
      <c r="T2740" t="s">
        <v>44717</v>
      </c>
      <c r="U2740" t="s">
        <v>47455</v>
      </c>
      <c r="W2740" t="s">
        <v>40403</v>
      </c>
      <c r="X2740" t="s">
        <v>43171</v>
      </c>
    </row>
    <row r="2741" spans="1:24">
      <c r="A2741">
        <f>HYPERLINK("https://www.philgeps.gov.ph/GEPSNONPILOT/Tender/SplashBidNoticeAbstractUI.aspx?menuIndex=3&amp;refID=7086717&amp;Result=3","7086717")</f>
        <v>0</v>
      </c>
      <c r="B2741" t="s">
        <v>701</v>
      </c>
      <c r="C2741" t="s">
        <v>6034</v>
      </c>
      <c r="D2741" t="s">
        <v>17419</v>
      </c>
      <c r="E2741" t="s">
        <v>19887</v>
      </c>
      <c r="F2741" t="s">
        <v>30052</v>
      </c>
      <c r="G2741" t="s">
        <v>30059</v>
      </c>
      <c r="H2741" t="s">
        <v>15498</v>
      </c>
      <c r="I2741" t="s">
        <v>3736</v>
      </c>
      <c r="J2741" t="s">
        <v>32055</v>
      </c>
      <c r="K2741" t="s">
        <v>39025</v>
      </c>
      <c r="M2741" t="s">
        <v>40010</v>
      </c>
      <c r="N2741" t="s">
        <v>43166</v>
      </c>
      <c r="O2741" t="s">
        <v>43167</v>
      </c>
      <c r="P2741">
        <v>0</v>
      </c>
      <c r="Q2741">
        <v>0</v>
      </c>
      <c r="R2741" t="s">
        <v>43170</v>
      </c>
      <c r="S2741" t="s">
        <v>43297</v>
      </c>
      <c r="T2741" t="s">
        <v>44717</v>
      </c>
      <c r="U2741" t="s">
        <v>47456</v>
      </c>
      <c r="W2741" t="s">
        <v>40010</v>
      </c>
      <c r="X2741" t="s">
        <v>43171</v>
      </c>
    </row>
    <row r="2742" spans="1:24">
      <c r="A2742">
        <f>HYPERLINK("https://www.philgeps.gov.ph/GEPSNONPILOT/Tender/SplashBidNoticeAbstractUI.aspx?menuIndex=3&amp;refID=7086714&amp;Result=3","7086714")</f>
        <v>0</v>
      </c>
      <c r="B2742" t="s">
        <v>1069</v>
      </c>
      <c r="C2742" t="s">
        <v>6035</v>
      </c>
      <c r="D2742" t="s">
        <v>17421</v>
      </c>
      <c r="E2742" t="s">
        <v>19888</v>
      </c>
      <c r="F2742" t="s">
        <v>30052</v>
      </c>
      <c r="G2742" t="s">
        <v>30061</v>
      </c>
      <c r="H2742" t="s">
        <v>15498</v>
      </c>
      <c r="I2742" t="s">
        <v>3736</v>
      </c>
      <c r="J2742" t="s">
        <v>30915</v>
      </c>
      <c r="K2742" t="s">
        <v>39019</v>
      </c>
      <c r="M2742" t="s">
        <v>40404</v>
      </c>
      <c r="N2742" t="s">
        <v>43166</v>
      </c>
      <c r="O2742" t="s">
        <v>43167</v>
      </c>
      <c r="P2742">
        <v>0</v>
      </c>
      <c r="Q2742">
        <v>0</v>
      </c>
      <c r="R2742" t="s">
        <v>43170</v>
      </c>
      <c r="S2742" t="s">
        <v>43297</v>
      </c>
      <c r="T2742" t="s">
        <v>44837</v>
      </c>
      <c r="U2742" t="s">
        <v>47457</v>
      </c>
      <c r="W2742" t="s">
        <v>40404</v>
      </c>
      <c r="X2742" t="s">
        <v>43171</v>
      </c>
    </row>
    <row r="2743" spans="1:24">
      <c r="A2743">
        <f>HYPERLINK("https://www.philgeps.gov.ph/GEPSNONPILOT/Tender/SplashBidNoticeAbstractUI.aspx?menuIndex=3&amp;refID=7086747&amp;Result=3","7086747")</f>
        <v>0</v>
      </c>
      <c r="B2743" t="s">
        <v>1070</v>
      </c>
      <c r="C2743" t="s">
        <v>6036</v>
      </c>
      <c r="D2743" t="s">
        <v>17488</v>
      </c>
      <c r="E2743" t="s">
        <v>19469</v>
      </c>
      <c r="F2743" t="s">
        <v>30052</v>
      </c>
      <c r="G2743" t="s">
        <v>30061</v>
      </c>
      <c r="H2743" t="s">
        <v>15498</v>
      </c>
      <c r="I2743" t="s">
        <v>30105</v>
      </c>
      <c r="J2743" t="s">
        <v>30308</v>
      </c>
      <c r="K2743" t="s">
        <v>39019</v>
      </c>
      <c r="M2743" t="s">
        <v>40405</v>
      </c>
      <c r="N2743" t="s">
        <v>43166</v>
      </c>
      <c r="O2743" t="s">
        <v>43167</v>
      </c>
      <c r="P2743">
        <v>0</v>
      </c>
      <c r="Q2743">
        <v>3</v>
      </c>
      <c r="R2743" t="s">
        <v>43170</v>
      </c>
      <c r="S2743" t="s">
        <v>43297</v>
      </c>
      <c r="T2743" t="s">
        <v>44926</v>
      </c>
      <c r="U2743" t="s">
        <v>47458</v>
      </c>
      <c r="V2743" t="s">
        <v>57143</v>
      </c>
      <c r="W2743" t="s">
        <v>40405</v>
      </c>
      <c r="X2743" t="s">
        <v>43171</v>
      </c>
    </row>
    <row r="2744" spans="1:24">
      <c r="A2744">
        <f>HYPERLINK("https://www.philgeps.gov.ph/GEPSNONPILOT/Tender/SplashBidNoticeAbstractUI.aspx?menuIndex=3&amp;refID=7086773&amp;Result=3","7086773")</f>
        <v>0</v>
      </c>
      <c r="B2744" t="s">
        <v>1071</v>
      </c>
      <c r="C2744" t="s">
        <v>6037</v>
      </c>
      <c r="D2744" t="s">
        <v>17426</v>
      </c>
      <c r="E2744" t="s">
        <v>19889</v>
      </c>
      <c r="F2744" t="s">
        <v>30052</v>
      </c>
      <c r="G2744" t="s">
        <v>30058</v>
      </c>
      <c r="H2744" t="s">
        <v>30067</v>
      </c>
      <c r="I2744" t="s">
        <v>3693</v>
      </c>
      <c r="J2744" t="s">
        <v>32056</v>
      </c>
      <c r="K2744" t="s">
        <v>39025</v>
      </c>
      <c r="M2744" t="s">
        <v>40406</v>
      </c>
      <c r="N2744" t="s">
        <v>43166</v>
      </c>
      <c r="O2744" t="s">
        <v>43167</v>
      </c>
      <c r="P2744">
        <v>0</v>
      </c>
      <c r="Q2744">
        <v>0</v>
      </c>
      <c r="R2744" t="s">
        <v>43170</v>
      </c>
      <c r="S2744" t="s">
        <v>43297</v>
      </c>
      <c r="T2744" t="s">
        <v>44842</v>
      </c>
      <c r="U2744" t="s">
        <v>47459</v>
      </c>
      <c r="W2744" t="s">
        <v>40406</v>
      </c>
      <c r="X2744" t="s">
        <v>43171</v>
      </c>
    </row>
    <row r="2745" spans="1:24">
      <c r="A2745">
        <f>HYPERLINK("https://www.philgeps.gov.ph/GEPSNONPILOT/Tender/SplashBidNoticeAbstractUI.aspx?menuIndex=3&amp;refID=7086771&amp;Result=3","7086771")</f>
        <v>0</v>
      </c>
      <c r="B2745" t="s">
        <v>1072</v>
      </c>
      <c r="C2745" t="s">
        <v>6038</v>
      </c>
      <c r="D2745" t="s">
        <v>17415</v>
      </c>
      <c r="E2745" t="s">
        <v>19890</v>
      </c>
      <c r="F2745" t="s">
        <v>30052</v>
      </c>
      <c r="G2745" t="s">
        <v>30059</v>
      </c>
      <c r="H2745" t="s">
        <v>30069</v>
      </c>
      <c r="I2745" t="s">
        <v>30070</v>
      </c>
      <c r="J2745" t="s">
        <v>31099</v>
      </c>
      <c r="K2745" t="s">
        <v>39034</v>
      </c>
      <c r="M2745" t="s">
        <v>40407</v>
      </c>
      <c r="N2745" t="s">
        <v>43166</v>
      </c>
      <c r="O2745" t="s">
        <v>43167</v>
      </c>
      <c r="P2745">
        <v>0</v>
      </c>
      <c r="Q2745">
        <v>2</v>
      </c>
      <c r="R2745" t="s">
        <v>43170</v>
      </c>
      <c r="S2745" t="s">
        <v>43297</v>
      </c>
      <c r="T2745" t="s">
        <v>44837</v>
      </c>
      <c r="U2745" t="s">
        <v>47460</v>
      </c>
      <c r="W2745" t="s">
        <v>40407</v>
      </c>
      <c r="X2745" t="s">
        <v>43171</v>
      </c>
    </row>
    <row r="2746" spans="1:24">
      <c r="A2746">
        <f>HYPERLINK("https://www.philgeps.gov.ph/GEPSNONPILOT/Tender/SplashBidNoticeAbstractUI.aspx?menuIndex=3&amp;refID=7086769&amp;Result=3","7086769")</f>
        <v>0</v>
      </c>
      <c r="B2746" t="s">
        <v>1073</v>
      </c>
      <c r="C2746" t="s">
        <v>6039</v>
      </c>
      <c r="D2746" t="s">
        <v>17415</v>
      </c>
      <c r="E2746" t="s">
        <v>19891</v>
      </c>
      <c r="F2746" t="s">
        <v>30052</v>
      </c>
      <c r="G2746" t="s">
        <v>30061</v>
      </c>
      <c r="H2746" t="s">
        <v>15498</v>
      </c>
      <c r="I2746" t="s">
        <v>4650</v>
      </c>
      <c r="J2746" t="s">
        <v>32057</v>
      </c>
      <c r="K2746" t="s">
        <v>39017</v>
      </c>
      <c r="M2746" t="s">
        <v>40408</v>
      </c>
      <c r="N2746" t="s">
        <v>43166</v>
      </c>
      <c r="O2746" t="s">
        <v>43167</v>
      </c>
      <c r="P2746">
        <v>0</v>
      </c>
      <c r="Q2746">
        <v>4</v>
      </c>
      <c r="R2746" t="s">
        <v>43170</v>
      </c>
      <c r="S2746" t="s">
        <v>43297</v>
      </c>
      <c r="T2746" t="s">
        <v>44732</v>
      </c>
      <c r="U2746" t="s">
        <v>47461</v>
      </c>
      <c r="V2746" t="s">
        <v>57144</v>
      </c>
      <c r="W2746" t="s">
        <v>40408</v>
      </c>
      <c r="X2746" t="s">
        <v>43171</v>
      </c>
    </row>
    <row r="2747" spans="1:24">
      <c r="A2747">
        <f>HYPERLINK("https://www.philgeps.gov.ph/GEPSNONPILOT/Tender/SplashBidNoticeAbstractUI.aspx?menuIndex=3&amp;refID=7086653&amp;Result=3","7086653")</f>
        <v>0</v>
      </c>
      <c r="B2747" t="s">
        <v>415</v>
      </c>
      <c r="C2747" t="s">
        <v>6040</v>
      </c>
      <c r="D2747" t="s">
        <v>17472</v>
      </c>
      <c r="E2747" t="s">
        <v>18363</v>
      </c>
      <c r="F2747" t="s">
        <v>30052</v>
      </c>
      <c r="G2747" t="s">
        <v>30061</v>
      </c>
      <c r="H2747" t="s">
        <v>15498</v>
      </c>
      <c r="I2747" t="s">
        <v>3606</v>
      </c>
      <c r="J2747" t="s">
        <v>32058</v>
      </c>
      <c r="K2747" t="s">
        <v>39034</v>
      </c>
      <c r="M2747" t="s">
        <v>39714</v>
      </c>
      <c r="N2747" t="s">
        <v>43166</v>
      </c>
      <c r="O2747" t="s">
        <v>43167</v>
      </c>
      <c r="P2747">
        <v>0</v>
      </c>
      <c r="Q2747">
        <v>0</v>
      </c>
      <c r="R2747" t="s">
        <v>43170</v>
      </c>
      <c r="S2747" t="s">
        <v>43297</v>
      </c>
      <c r="T2747" t="s">
        <v>44685</v>
      </c>
      <c r="U2747" t="s">
        <v>47462</v>
      </c>
      <c r="W2747" t="s">
        <v>39714</v>
      </c>
      <c r="X2747" t="s">
        <v>43171</v>
      </c>
    </row>
    <row r="2748" spans="1:24">
      <c r="A2748">
        <f>HYPERLINK("https://www.philgeps.gov.ph/GEPSNONPILOT/Tender/SplashBidNoticeAbstractUI.aspx?menuIndex=3&amp;refID=7086768&amp;Result=3","7086768")</f>
        <v>0</v>
      </c>
      <c r="B2748" t="s">
        <v>1074</v>
      </c>
      <c r="C2748" t="s">
        <v>6041</v>
      </c>
      <c r="D2748" t="s">
        <v>17415</v>
      </c>
      <c r="E2748" t="s">
        <v>19892</v>
      </c>
      <c r="F2748" t="s">
        <v>30052</v>
      </c>
      <c r="G2748" t="s">
        <v>30058</v>
      </c>
      <c r="H2748" t="s">
        <v>30069</v>
      </c>
      <c r="I2748" t="s">
        <v>30100</v>
      </c>
      <c r="J2748" t="s">
        <v>30766</v>
      </c>
      <c r="K2748" t="s">
        <v>39017</v>
      </c>
      <c r="M2748" t="s">
        <v>40409</v>
      </c>
      <c r="N2748" t="s">
        <v>43166</v>
      </c>
      <c r="O2748" t="s">
        <v>43167</v>
      </c>
      <c r="P2748">
        <v>0</v>
      </c>
      <c r="Q2748">
        <v>0</v>
      </c>
      <c r="R2748" t="s">
        <v>43170</v>
      </c>
      <c r="S2748" t="s">
        <v>43297</v>
      </c>
      <c r="T2748" t="s">
        <v>44699</v>
      </c>
      <c r="U2748" t="s">
        <v>47463</v>
      </c>
      <c r="W2748" t="s">
        <v>40409</v>
      </c>
      <c r="X2748" t="s">
        <v>43171</v>
      </c>
    </row>
    <row r="2749" spans="1:24">
      <c r="A2749">
        <f>HYPERLINK("https://www.philgeps.gov.ph/GEPSNONPILOT/Tender/SplashBidNoticeAbstractUI.aspx?menuIndex=3&amp;refID=7086766&amp;Result=3","7086766")</f>
        <v>0</v>
      </c>
      <c r="B2749" t="s">
        <v>1075</v>
      </c>
      <c r="C2749" t="s">
        <v>6042</v>
      </c>
      <c r="D2749" t="s">
        <v>17414</v>
      </c>
      <c r="E2749" t="s">
        <v>19893</v>
      </c>
      <c r="F2749" t="s">
        <v>30052</v>
      </c>
      <c r="G2749" t="s">
        <v>30059</v>
      </c>
      <c r="H2749" t="s">
        <v>15498</v>
      </c>
      <c r="I2749" t="s">
        <v>6691</v>
      </c>
      <c r="J2749" t="s">
        <v>32059</v>
      </c>
      <c r="K2749" t="s">
        <v>39017</v>
      </c>
      <c r="M2749" t="s">
        <v>40410</v>
      </c>
      <c r="N2749" t="s">
        <v>43166</v>
      </c>
      <c r="O2749" t="s">
        <v>43167</v>
      </c>
      <c r="P2749">
        <v>0</v>
      </c>
      <c r="Q2749">
        <v>0</v>
      </c>
      <c r="R2749" t="s">
        <v>43170</v>
      </c>
      <c r="S2749" t="s">
        <v>43297</v>
      </c>
      <c r="T2749" t="s">
        <v>44844</v>
      </c>
      <c r="U2749" t="s">
        <v>47464</v>
      </c>
      <c r="W2749" t="s">
        <v>40410</v>
      </c>
      <c r="X2749" t="s">
        <v>43171</v>
      </c>
    </row>
    <row r="2750" spans="1:24">
      <c r="A2750">
        <f>HYPERLINK("https://www.philgeps.gov.ph/GEPSNONPILOT/Tender/SplashBidNoticeAbstractUI.aspx?menuIndex=3&amp;refID=7086764&amp;Result=3","7086764")</f>
        <v>0</v>
      </c>
      <c r="B2750" t="s">
        <v>1076</v>
      </c>
      <c r="C2750" t="s">
        <v>6043</v>
      </c>
      <c r="D2750" t="s">
        <v>17487</v>
      </c>
      <c r="E2750" t="s">
        <v>19894</v>
      </c>
      <c r="F2750" t="s">
        <v>30052</v>
      </c>
      <c r="G2750" t="s">
        <v>30059</v>
      </c>
      <c r="H2750" t="s">
        <v>15498</v>
      </c>
      <c r="I2750" t="s">
        <v>30081</v>
      </c>
      <c r="J2750" t="s">
        <v>32060</v>
      </c>
      <c r="K2750" t="s">
        <v>39019</v>
      </c>
      <c r="M2750" t="s">
        <v>40411</v>
      </c>
      <c r="N2750" t="s">
        <v>43166</v>
      </c>
      <c r="O2750" t="s">
        <v>43167</v>
      </c>
      <c r="P2750">
        <v>0</v>
      </c>
      <c r="Q2750">
        <v>0</v>
      </c>
      <c r="R2750" t="s">
        <v>43170</v>
      </c>
      <c r="S2750" t="s">
        <v>43297</v>
      </c>
      <c r="T2750" t="s">
        <v>44927</v>
      </c>
      <c r="U2750" t="s">
        <v>47465</v>
      </c>
      <c r="W2750" t="s">
        <v>40411</v>
      </c>
      <c r="X2750" t="s">
        <v>43171</v>
      </c>
    </row>
    <row r="2751" spans="1:24">
      <c r="A2751">
        <f>HYPERLINK("https://www.philgeps.gov.ph/GEPSNONPILOT/Tender/SplashBidNoticeAbstractUI.aspx?menuIndex=3&amp;refID=7086762&amp;Result=3","7086762")</f>
        <v>0</v>
      </c>
      <c r="B2751" t="s">
        <v>390</v>
      </c>
      <c r="C2751" t="s">
        <v>6044</v>
      </c>
      <c r="D2751" t="s">
        <v>17415</v>
      </c>
      <c r="E2751" t="s">
        <v>19895</v>
      </c>
      <c r="F2751" t="s">
        <v>30052</v>
      </c>
      <c r="G2751" t="s">
        <v>30059</v>
      </c>
      <c r="H2751" t="s">
        <v>15498</v>
      </c>
      <c r="I2751" t="s">
        <v>30100</v>
      </c>
      <c r="J2751" t="s">
        <v>32061</v>
      </c>
      <c r="K2751" t="s">
        <v>39019</v>
      </c>
      <c r="M2751" t="s">
        <v>40412</v>
      </c>
      <c r="N2751" t="s">
        <v>43166</v>
      </c>
      <c r="O2751" t="s">
        <v>43167</v>
      </c>
      <c r="P2751">
        <v>0</v>
      </c>
      <c r="Q2751">
        <v>7</v>
      </c>
      <c r="R2751" t="s">
        <v>43170</v>
      </c>
      <c r="S2751" t="s">
        <v>43297</v>
      </c>
      <c r="T2751" t="s">
        <v>44728</v>
      </c>
      <c r="U2751" t="s">
        <v>47466</v>
      </c>
      <c r="W2751" t="s">
        <v>40412</v>
      </c>
      <c r="X2751" t="s">
        <v>43171</v>
      </c>
    </row>
    <row r="2752" spans="1:24">
      <c r="A2752">
        <f>HYPERLINK("https://www.philgeps.gov.ph/GEPSNONPILOT/Tender/SplashBidNoticeAbstractUI.aspx?menuIndex=3&amp;refID=7086758&amp;Result=3","7086758")</f>
        <v>0</v>
      </c>
      <c r="B2752" t="s">
        <v>511</v>
      </c>
      <c r="C2752" t="s">
        <v>6045</v>
      </c>
      <c r="D2752" t="s">
        <v>17480</v>
      </c>
      <c r="E2752" t="s">
        <v>19896</v>
      </c>
      <c r="F2752" t="s">
        <v>30052</v>
      </c>
      <c r="G2752" t="s">
        <v>30058</v>
      </c>
      <c r="H2752" t="s">
        <v>15498</v>
      </c>
      <c r="I2752" t="s">
        <v>30170</v>
      </c>
      <c r="J2752" t="s">
        <v>32062</v>
      </c>
      <c r="K2752" t="s">
        <v>39025</v>
      </c>
      <c r="M2752" t="s">
        <v>39812</v>
      </c>
      <c r="N2752" t="s">
        <v>43166</v>
      </c>
      <c r="O2752" t="s">
        <v>43167</v>
      </c>
      <c r="P2752">
        <v>0</v>
      </c>
      <c r="Q2752">
        <v>5</v>
      </c>
      <c r="R2752" t="s">
        <v>43170</v>
      </c>
      <c r="S2752" t="s">
        <v>43297</v>
      </c>
      <c r="T2752" t="s">
        <v>44827</v>
      </c>
      <c r="U2752" t="s">
        <v>46174</v>
      </c>
      <c r="V2752" t="s">
        <v>57145</v>
      </c>
      <c r="W2752" t="s">
        <v>39812</v>
      </c>
      <c r="X2752" t="s">
        <v>43171</v>
      </c>
    </row>
    <row r="2753" spans="1:24">
      <c r="A2753">
        <f>HYPERLINK("https://www.philgeps.gov.ph/GEPSNONPILOT/Tender/SplashBidNoticeAbstractUI.aspx?menuIndex=3&amp;refID=7086685&amp;Result=3","7086685")</f>
        <v>0</v>
      </c>
      <c r="B2753" t="s">
        <v>988</v>
      </c>
      <c r="C2753" t="s">
        <v>6046</v>
      </c>
      <c r="D2753" t="s">
        <v>17437</v>
      </c>
      <c r="E2753" t="s">
        <v>18952</v>
      </c>
      <c r="F2753" t="s">
        <v>30052</v>
      </c>
      <c r="G2753" t="s">
        <v>30058</v>
      </c>
      <c r="H2753" t="s">
        <v>30067</v>
      </c>
      <c r="I2753" t="s">
        <v>3693</v>
      </c>
      <c r="J2753" t="s">
        <v>32063</v>
      </c>
      <c r="K2753" t="s">
        <v>39026</v>
      </c>
      <c r="M2753" t="s">
        <v>40315</v>
      </c>
      <c r="N2753" t="s">
        <v>43166</v>
      </c>
      <c r="O2753" t="s">
        <v>43167</v>
      </c>
      <c r="P2753">
        <v>0</v>
      </c>
      <c r="Q2753">
        <v>1</v>
      </c>
      <c r="R2753" t="s">
        <v>43170</v>
      </c>
      <c r="S2753" t="s">
        <v>43297</v>
      </c>
      <c r="T2753" t="s">
        <v>44677</v>
      </c>
      <c r="U2753" t="s">
        <v>47256</v>
      </c>
      <c r="W2753" t="s">
        <v>40315</v>
      </c>
      <c r="X2753" t="s">
        <v>43171</v>
      </c>
    </row>
    <row r="2754" spans="1:24">
      <c r="A2754">
        <f>HYPERLINK("https://www.philgeps.gov.ph/GEPSNONPILOT/Tender/SplashBidNoticeAbstractUI.aspx?menuIndex=3&amp;refID=7086724&amp;Result=3","7086724")</f>
        <v>0</v>
      </c>
      <c r="B2754" t="s">
        <v>1077</v>
      </c>
      <c r="C2754" t="s">
        <v>6047</v>
      </c>
      <c r="D2754" t="s">
        <v>17437</v>
      </c>
      <c r="E2754" t="s">
        <v>19897</v>
      </c>
      <c r="F2754" t="s">
        <v>30052</v>
      </c>
      <c r="G2754" t="s">
        <v>30059</v>
      </c>
      <c r="H2754" t="s">
        <v>15498</v>
      </c>
      <c r="I2754" t="s">
        <v>30071</v>
      </c>
      <c r="J2754" t="s">
        <v>31509</v>
      </c>
      <c r="K2754" t="s">
        <v>39029</v>
      </c>
      <c r="M2754" t="s">
        <v>40413</v>
      </c>
      <c r="N2754" t="s">
        <v>43166</v>
      </c>
      <c r="O2754" t="s">
        <v>43167</v>
      </c>
      <c r="P2754">
        <v>0</v>
      </c>
      <c r="Q2754">
        <v>1</v>
      </c>
      <c r="R2754" t="s">
        <v>43170</v>
      </c>
      <c r="S2754" t="s">
        <v>43297</v>
      </c>
      <c r="T2754" t="s">
        <v>44870</v>
      </c>
      <c r="U2754" t="s">
        <v>47467</v>
      </c>
      <c r="V2754" t="s">
        <v>57146</v>
      </c>
      <c r="W2754" t="s">
        <v>40413</v>
      </c>
      <c r="X2754" t="s">
        <v>43171</v>
      </c>
    </row>
    <row r="2755" spans="1:24">
      <c r="A2755">
        <f>HYPERLINK("https://www.philgeps.gov.ph/GEPSNONPILOT/Tender/SplashBidNoticeAbstractUI.aspx?menuIndex=3&amp;refID=7086643&amp;Result=3","7086643")</f>
        <v>0</v>
      </c>
      <c r="B2755" t="s">
        <v>415</v>
      </c>
      <c r="C2755" t="s">
        <v>6048</v>
      </c>
      <c r="D2755" t="s">
        <v>17472</v>
      </c>
      <c r="E2755" t="s">
        <v>18363</v>
      </c>
      <c r="F2755" t="s">
        <v>30052</v>
      </c>
      <c r="G2755" t="s">
        <v>30061</v>
      </c>
      <c r="H2755" t="s">
        <v>15498</v>
      </c>
      <c r="I2755" t="s">
        <v>30081</v>
      </c>
      <c r="J2755" t="s">
        <v>32064</v>
      </c>
      <c r="K2755" t="s">
        <v>39034</v>
      </c>
      <c r="M2755" t="s">
        <v>39714</v>
      </c>
      <c r="N2755" t="s">
        <v>43166</v>
      </c>
      <c r="O2755" t="s">
        <v>43167</v>
      </c>
      <c r="P2755">
        <v>0</v>
      </c>
      <c r="Q2755">
        <v>0</v>
      </c>
      <c r="R2755" t="s">
        <v>43170</v>
      </c>
      <c r="S2755" t="s">
        <v>43297</v>
      </c>
      <c r="T2755" t="s">
        <v>44685</v>
      </c>
      <c r="U2755" t="s">
        <v>47468</v>
      </c>
      <c r="W2755" t="s">
        <v>39714</v>
      </c>
      <c r="X2755" t="s">
        <v>43171</v>
      </c>
    </row>
    <row r="2756" spans="1:24">
      <c r="A2756">
        <f>HYPERLINK("https://www.philgeps.gov.ph/GEPSNONPILOT/Tender/SplashBidNoticeAbstractUI.aspx?menuIndex=3&amp;refID=7086772&amp;Result=3","7086772")</f>
        <v>0</v>
      </c>
      <c r="B2756" t="s">
        <v>390</v>
      </c>
      <c r="C2756" t="s">
        <v>6049</v>
      </c>
      <c r="D2756" t="s">
        <v>17415</v>
      </c>
      <c r="E2756" t="s">
        <v>19898</v>
      </c>
      <c r="F2756" t="s">
        <v>30052</v>
      </c>
      <c r="G2756" t="s">
        <v>30059</v>
      </c>
      <c r="H2756" t="s">
        <v>15498</v>
      </c>
      <c r="I2756" t="s">
        <v>30100</v>
      </c>
      <c r="J2756" t="s">
        <v>32065</v>
      </c>
      <c r="K2756" t="s">
        <v>39019</v>
      </c>
      <c r="M2756" t="s">
        <v>40412</v>
      </c>
      <c r="N2756" t="s">
        <v>43166</v>
      </c>
      <c r="O2756" t="s">
        <v>43167</v>
      </c>
      <c r="P2756">
        <v>0</v>
      </c>
      <c r="Q2756">
        <v>5</v>
      </c>
      <c r="R2756" t="s">
        <v>43170</v>
      </c>
      <c r="S2756" t="s">
        <v>43297</v>
      </c>
      <c r="T2756" t="s">
        <v>44728</v>
      </c>
      <c r="U2756" t="s">
        <v>47466</v>
      </c>
      <c r="V2756" t="s">
        <v>47466</v>
      </c>
      <c r="W2756" t="s">
        <v>40412</v>
      </c>
      <c r="X2756" t="s">
        <v>43171</v>
      </c>
    </row>
    <row r="2757" spans="1:24">
      <c r="A2757">
        <f>HYPERLINK("https://www.philgeps.gov.ph/GEPSNONPILOT/Tender/SplashBidNoticeAbstractUI.aspx?menuIndex=3&amp;refID=7086732&amp;Result=3","7086732")</f>
        <v>0</v>
      </c>
      <c r="B2757" t="s">
        <v>1078</v>
      </c>
      <c r="C2757" t="s">
        <v>6050</v>
      </c>
      <c r="D2757" t="s">
        <v>17449</v>
      </c>
      <c r="E2757" t="s">
        <v>19899</v>
      </c>
      <c r="F2757" t="s">
        <v>30052</v>
      </c>
      <c r="G2757" t="s">
        <v>30059</v>
      </c>
      <c r="H2757" t="s">
        <v>15498</v>
      </c>
      <c r="I2757" t="s">
        <v>4650</v>
      </c>
      <c r="J2757" t="s">
        <v>32066</v>
      </c>
      <c r="K2757" t="s">
        <v>39029</v>
      </c>
      <c r="M2757" t="s">
        <v>40414</v>
      </c>
      <c r="N2757" t="s">
        <v>43166</v>
      </c>
      <c r="O2757" t="s">
        <v>43167</v>
      </c>
      <c r="P2757">
        <v>0</v>
      </c>
      <c r="Q2757">
        <v>3</v>
      </c>
      <c r="R2757" t="s">
        <v>43170</v>
      </c>
      <c r="S2757" t="s">
        <v>43297</v>
      </c>
      <c r="T2757" t="s">
        <v>44743</v>
      </c>
      <c r="U2757" t="s">
        <v>47469</v>
      </c>
      <c r="W2757" t="s">
        <v>40414</v>
      </c>
      <c r="X2757" t="s">
        <v>43171</v>
      </c>
    </row>
    <row r="2758" spans="1:24">
      <c r="A2758">
        <f>HYPERLINK("https://www.philgeps.gov.ph/GEPSNONPILOT/Tender/SplashBidNoticeAbstractUI.aspx?menuIndex=3&amp;refID=7086796&amp;Result=3","7086796")</f>
        <v>0</v>
      </c>
      <c r="B2758" t="s">
        <v>1071</v>
      </c>
      <c r="C2758" t="s">
        <v>6051</v>
      </c>
      <c r="D2758" t="s">
        <v>17426</v>
      </c>
      <c r="E2758" t="s">
        <v>19900</v>
      </c>
      <c r="F2758" t="s">
        <v>30052</v>
      </c>
      <c r="G2758" t="s">
        <v>30058</v>
      </c>
      <c r="H2758" t="s">
        <v>15498</v>
      </c>
      <c r="I2758" t="s">
        <v>30140</v>
      </c>
      <c r="J2758" t="s">
        <v>30588</v>
      </c>
      <c r="K2758" t="s">
        <v>39019</v>
      </c>
      <c r="M2758" t="s">
        <v>40406</v>
      </c>
      <c r="N2758" t="s">
        <v>43166</v>
      </c>
      <c r="O2758" t="s">
        <v>43167</v>
      </c>
      <c r="P2758">
        <v>0</v>
      </c>
      <c r="Q2758">
        <v>2</v>
      </c>
      <c r="R2758" t="s">
        <v>43170</v>
      </c>
      <c r="S2758" t="s">
        <v>43297</v>
      </c>
      <c r="T2758" t="s">
        <v>44896</v>
      </c>
      <c r="U2758" t="s">
        <v>47470</v>
      </c>
      <c r="W2758" t="s">
        <v>40406</v>
      </c>
      <c r="X2758" t="s">
        <v>43171</v>
      </c>
    </row>
    <row r="2759" spans="1:24">
      <c r="A2759">
        <f>HYPERLINK("https://www.philgeps.gov.ph/GEPSNONPILOT/Tender/SplashBidNoticeAbstractUI.aspx?menuIndex=3&amp;refID=7086801&amp;Result=3","7086801")</f>
        <v>0</v>
      </c>
      <c r="B2759" t="s">
        <v>1079</v>
      </c>
      <c r="C2759" t="s">
        <v>6052</v>
      </c>
      <c r="D2759" t="s">
        <v>17416</v>
      </c>
      <c r="E2759" t="s">
        <v>19901</v>
      </c>
      <c r="F2759" t="s">
        <v>30052</v>
      </c>
      <c r="G2759" t="s">
        <v>30059</v>
      </c>
      <c r="H2759" t="s">
        <v>15498</v>
      </c>
      <c r="I2759" t="s">
        <v>30106</v>
      </c>
      <c r="J2759" t="s">
        <v>32067</v>
      </c>
      <c r="K2759" t="s">
        <v>39019</v>
      </c>
      <c r="M2759" t="s">
        <v>40415</v>
      </c>
      <c r="N2759" t="s">
        <v>43166</v>
      </c>
      <c r="O2759" t="s">
        <v>43167</v>
      </c>
      <c r="P2759">
        <v>0</v>
      </c>
      <c r="Q2759">
        <v>0</v>
      </c>
      <c r="R2759" t="s">
        <v>43170</v>
      </c>
      <c r="S2759" t="s">
        <v>43297</v>
      </c>
      <c r="T2759" t="s">
        <v>44843</v>
      </c>
      <c r="U2759" t="s">
        <v>47471</v>
      </c>
      <c r="W2759" t="s">
        <v>40415</v>
      </c>
      <c r="X2759" t="s">
        <v>43171</v>
      </c>
    </row>
    <row r="2760" spans="1:24">
      <c r="A2760">
        <f>HYPERLINK("https://www.philgeps.gov.ph/GEPSNONPILOT/Tender/SplashBidNoticeAbstractUI.aspx?menuIndex=3&amp;refID=7086763&amp;Result=3","7086763")</f>
        <v>0</v>
      </c>
      <c r="B2760" t="s">
        <v>802</v>
      </c>
      <c r="C2760" t="s">
        <v>6053</v>
      </c>
      <c r="D2760" t="s">
        <v>17415</v>
      </c>
      <c r="E2760" t="s">
        <v>19902</v>
      </c>
      <c r="F2760" t="s">
        <v>30052</v>
      </c>
      <c r="G2760" t="s">
        <v>30061</v>
      </c>
      <c r="H2760" t="s">
        <v>15498</v>
      </c>
      <c r="I2760" t="s">
        <v>30076</v>
      </c>
      <c r="J2760" t="s">
        <v>32068</v>
      </c>
      <c r="K2760" t="s">
        <v>39018</v>
      </c>
      <c r="M2760" t="s">
        <v>40119</v>
      </c>
      <c r="N2760" t="s">
        <v>43166</v>
      </c>
      <c r="O2760" t="s">
        <v>43167</v>
      </c>
      <c r="P2760">
        <v>0</v>
      </c>
      <c r="Q2760">
        <v>5</v>
      </c>
      <c r="R2760" t="s">
        <v>43170</v>
      </c>
      <c r="S2760" t="s">
        <v>43297</v>
      </c>
      <c r="T2760" t="s">
        <v>44732</v>
      </c>
      <c r="U2760" t="s">
        <v>46770</v>
      </c>
      <c r="W2760" t="s">
        <v>40119</v>
      </c>
      <c r="X2760" t="s">
        <v>43171</v>
      </c>
    </row>
    <row r="2761" spans="1:24">
      <c r="A2761">
        <f>HYPERLINK("https://www.philgeps.gov.ph/GEPSNONPILOT/Tender/SplashBidNoticeAbstractUI.aspx?menuIndex=3&amp;refID=7086799&amp;Result=3","7086799")</f>
        <v>0</v>
      </c>
      <c r="B2761" t="s">
        <v>1080</v>
      </c>
      <c r="C2761" t="s">
        <v>6054</v>
      </c>
      <c r="D2761" t="s">
        <v>17441</v>
      </c>
      <c r="E2761" t="s">
        <v>19903</v>
      </c>
      <c r="F2761" t="s">
        <v>30052</v>
      </c>
      <c r="G2761" t="s">
        <v>30059</v>
      </c>
      <c r="H2761" t="s">
        <v>15498</v>
      </c>
      <c r="I2761" t="s">
        <v>30099</v>
      </c>
      <c r="J2761" t="s">
        <v>32069</v>
      </c>
      <c r="K2761" t="s">
        <v>39040</v>
      </c>
      <c r="M2761" t="s">
        <v>40416</v>
      </c>
      <c r="N2761" t="s">
        <v>43166</v>
      </c>
      <c r="O2761" t="s">
        <v>43167</v>
      </c>
      <c r="P2761">
        <v>0</v>
      </c>
      <c r="Q2761">
        <v>4</v>
      </c>
      <c r="R2761" t="s">
        <v>43170</v>
      </c>
      <c r="S2761" t="s">
        <v>43297</v>
      </c>
      <c r="T2761" t="s">
        <v>44837</v>
      </c>
      <c r="U2761" t="s">
        <v>47472</v>
      </c>
      <c r="W2761" t="s">
        <v>40416</v>
      </c>
      <c r="X2761" t="s">
        <v>43171</v>
      </c>
    </row>
    <row r="2762" spans="1:24">
      <c r="A2762">
        <f>HYPERLINK("https://www.philgeps.gov.ph/GEPSNONPILOT/Tender/SplashBidNoticeAbstractUI.aspx?menuIndex=3&amp;refID=7086795&amp;Result=3","7086795")</f>
        <v>0</v>
      </c>
      <c r="B2762" t="s">
        <v>1081</v>
      </c>
      <c r="C2762" t="s">
        <v>6055</v>
      </c>
      <c r="D2762" t="s">
        <v>17454</v>
      </c>
      <c r="E2762" t="s">
        <v>19904</v>
      </c>
      <c r="F2762" t="s">
        <v>30052</v>
      </c>
      <c r="G2762" t="s">
        <v>30058</v>
      </c>
      <c r="H2762" t="s">
        <v>30067</v>
      </c>
      <c r="I2762" t="s">
        <v>3693</v>
      </c>
      <c r="J2762" t="s">
        <v>31207</v>
      </c>
      <c r="K2762" t="s">
        <v>39026</v>
      </c>
      <c r="M2762" t="s">
        <v>40417</v>
      </c>
      <c r="N2762" t="s">
        <v>43166</v>
      </c>
      <c r="O2762" t="s">
        <v>43167</v>
      </c>
      <c r="P2762">
        <v>0</v>
      </c>
      <c r="Q2762">
        <v>0</v>
      </c>
      <c r="R2762" t="s">
        <v>43170</v>
      </c>
      <c r="S2762" t="s">
        <v>43297</v>
      </c>
      <c r="T2762" t="s">
        <v>44726</v>
      </c>
      <c r="U2762" t="s">
        <v>47473</v>
      </c>
      <c r="W2762" t="s">
        <v>40417</v>
      </c>
      <c r="X2762" t="s">
        <v>43171</v>
      </c>
    </row>
    <row r="2763" spans="1:24">
      <c r="A2763">
        <f>HYPERLINK("https://www.philgeps.gov.ph/GEPSNONPILOT/Tender/SplashBidNoticeAbstractUI.aspx?menuIndex=3&amp;refID=7086794&amp;Result=3","7086794")</f>
        <v>0</v>
      </c>
      <c r="B2763" t="s">
        <v>884</v>
      </c>
      <c r="C2763" t="s">
        <v>6056</v>
      </c>
      <c r="D2763" t="s">
        <v>17459</v>
      </c>
      <c r="E2763" t="s">
        <v>19905</v>
      </c>
      <c r="F2763" t="s">
        <v>30052</v>
      </c>
      <c r="G2763" t="s">
        <v>30059</v>
      </c>
      <c r="H2763" t="s">
        <v>15498</v>
      </c>
      <c r="I2763" t="s">
        <v>30094</v>
      </c>
      <c r="J2763" t="s">
        <v>30256</v>
      </c>
      <c r="K2763" t="s">
        <v>39029</v>
      </c>
      <c r="M2763" t="s">
        <v>40203</v>
      </c>
      <c r="N2763" t="s">
        <v>43166</v>
      </c>
      <c r="O2763" t="s">
        <v>43167</v>
      </c>
      <c r="P2763">
        <v>0</v>
      </c>
      <c r="Q2763">
        <v>0</v>
      </c>
      <c r="R2763" t="s">
        <v>43170</v>
      </c>
      <c r="S2763" t="s">
        <v>43297</v>
      </c>
      <c r="T2763" t="s">
        <v>44862</v>
      </c>
      <c r="U2763" t="s">
        <v>47474</v>
      </c>
      <c r="V2763" t="s">
        <v>57147</v>
      </c>
      <c r="W2763" t="s">
        <v>40203</v>
      </c>
      <c r="X2763" t="s">
        <v>43171</v>
      </c>
    </row>
    <row r="2764" spans="1:24">
      <c r="A2764">
        <f>HYPERLINK("https://www.philgeps.gov.ph/GEPSNONPILOT/Tender/SplashBidNoticeAbstractUI.aspx?menuIndex=3&amp;refID=7086793&amp;Result=3","7086793")</f>
        <v>0</v>
      </c>
      <c r="B2764" t="s">
        <v>1082</v>
      </c>
      <c r="C2764" t="s">
        <v>6057</v>
      </c>
      <c r="D2764" t="s">
        <v>17438</v>
      </c>
      <c r="E2764" t="s">
        <v>19906</v>
      </c>
      <c r="F2764" t="s">
        <v>30052</v>
      </c>
      <c r="G2764" t="s">
        <v>30058</v>
      </c>
      <c r="H2764" t="s">
        <v>15498</v>
      </c>
      <c r="I2764" t="s">
        <v>3852</v>
      </c>
      <c r="J2764" t="s">
        <v>30638</v>
      </c>
      <c r="K2764" t="s">
        <v>39064</v>
      </c>
      <c r="M2764" t="s">
        <v>40418</v>
      </c>
      <c r="N2764" t="s">
        <v>43166</v>
      </c>
      <c r="O2764" t="s">
        <v>43167</v>
      </c>
      <c r="P2764">
        <v>0</v>
      </c>
      <c r="Q2764">
        <v>1</v>
      </c>
      <c r="R2764" t="s">
        <v>43170</v>
      </c>
      <c r="S2764" t="s">
        <v>43297</v>
      </c>
      <c r="T2764" t="s">
        <v>44754</v>
      </c>
      <c r="U2764" t="s">
        <v>47475</v>
      </c>
      <c r="W2764" t="s">
        <v>40418</v>
      </c>
      <c r="X2764" t="s">
        <v>43171</v>
      </c>
    </row>
    <row r="2765" spans="1:24">
      <c r="A2765">
        <f>HYPERLINK("https://www.philgeps.gov.ph/GEPSNONPILOT/Tender/SplashBidNoticeAbstractUI.aspx?menuIndex=3&amp;refID=7086789&amp;Result=3","7086789")</f>
        <v>0</v>
      </c>
      <c r="B2765" t="s">
        <v>1073</v>
      </c>
      <c r="C2765" t="s">
        <v>6058</v>
      </c>
      <c r="D2765" t="s">
        <v>17415</v>
      </c>
      <c r="E2765" t="s">
        <v>19907</v>
      </c>
      <c r="F2765" t="s">
        <v>30052</v>
      </c>
      <c r="G2765" t="s">
        <v>30061</v>
      </c>
      <c r="H2765" t="s">
        <v>15498</v>
      </c>
      <c r="I2765" t="s">
        <v>4650</v>
      </c>
      <c r="J2765" t="s">
        <v>31397</v>
      </c>
      <c r="K2765" t="s">
        <v>39017</v>
      </c>
      <c r="M2765" t="s">
        <v>40408</v>
      </c>
      <c r="N2765" t="s">
        <v>43166</v>
      </c>
      <c r="O2765" t="s">
        <v>43167</v>
      </c>
      <c r="P2765">
        <v>0</v>
      </c>
      <c r="Q2765">
        <v>5</v>
      </c>
      <c r="R2765" t="s">
        <v>43170</v>
      </c>
      <c r="S2765" t="s">
        <v>43297</v>
      </c>
      <c r="T2765" t="s">
        <v>44732</v>
      </c>
      <c r="U2765" t="s">
        <v>47461</v>
      </c>
      <c r="V2765" t="s">
        <v>57144</v>
      </c>
      <c r="W2765" t="s">
        <v>40408</v>
      </c>
      <c r="X2765" t="s">
        <v>43171</v>
      </c>
    </row>
    <row r="2766" spans="1:24">
      <c r="A2766">
        <f>HYPERLINK("https://www.philgeps.gov.ph/GEPSNONPILOT/Tender/SplashBidNoticeAbstractUI.aspx?menuIndex=3&amp;refID=7086756&amp;Result=3","7086756")</f>
        <v>0</v>
      </c>
      <c r="B2766" t="s">
        <v>1083</v>
      </c>
      <c r="C2766" t="s">
        <v>6059</v>
      </c>
      <c r="E2766" t="s">
        <v>19908</v>
      </c>
      <c r="F2766" t="s">
        <v>30052</v>
      </c>
      <c r="G2766" t="s">
        <v>30061</v>
      </c>
      <c r="H2766" t="s">
        <v>15498</v>
      </c>
      <c r="I2766" t="s">
        <v>30141</v>
      </c>
      <c r="J2766" t="s">
        <v>30276</v>
      </c>
      <c r="K2766" t="s">
        <v>39025</v>
      </c>
      <c r="M2766" t="s">
        <v>40419</v>
      </c>
      <c r="N2766" t="s">
        <v>43166</v>
      </c>
      <c r="O2766" t="s">
        <v>43167</v>
      </c>
      <c r="P2766">
        <v>0</v>
      </c>
      <c r="Q2766">
        <v>2</v>
      </c>
      <c r="R2766" t="s">
        <v>43170</v>
      </c>
      <c r="S2766" t="s">
        <v>43297</v>
      </c>
      <c r="T2766" t="s">
        <v>44710</v>
      </c>
      <c r="U2766" t="s">
        <v>47476</v>
      </c>
      <c r="W2766" t="s">
        <v>40419</v>
      </c>
      <c r="X2766" t="s">
        <v>43171</v>
      </c>
    </row>
    <row r="2767" spans="1:24">
      <c r="A2767">
        <f>HYPERLINK("https://www.philgeps.gov.ph/GEPSNONPILOT/Tender/SplashBidNoticeAbstractUI.aspx?menuIndex=3&amp;refID=7086787&amp;Result=3","7086787")</f>
        <v>0</v>
      </c>
      <c r="B2767" t="s">
        <v>912</v>
      </c>
      <c r="C2767" t="s">
        <v>6060</v>
      </c>
      <c r="D2767" t="s">
        <v>17440</v>
      </c>
      <c r="E2767" t="s">
        <v>19909</v>
      </c>
      <c r="F2767" t="s">
        <v>30052</v>
      </c>
      <c r="G2767" t="s">
        <v>30058</v>
      </c>
      <c r="H2767" t="s">
        <v>15498</v>
      </c>
      <c r="I2767" t="s">
        <v>30073</v>
      </c>
      <c r="J2767" t="s">
        <v>32070</v>
      </c>
      <c r="K2767" t="s">
        <v>39039</v>
      </c>
      <c r="M2767" t="s">
        <v>40235</v>
      </c>
      <c r="N2767" t="s">
        <v>43166</v>
      </c>
      <c r="O2767" t="s">
        <v>43167</v>
      </c>
      <c r="P2767">
        <v>0</v>
      </c>
      <c r="Q2767">
        <v>0</v>
      </c>
      <c r="R2767" t="s">
        <v>43170</v>
      </c>
      <c r="S2767" t="s">
        <v>43297</v>
      </c>
      <c r="T2767" t="s">
        <v>44907</v>
      </c>
      <c r="U2767" t="s">
        <v>47477</v>
      </c>
      <c r="W2767" t="s">
        <v>40235</v>
      </c>
      <c r="X2767" t="s">
        <v>43171</v>
      </c>
    </row>
    <row r="2768" spans="1:24">
      <c r="A2768">
        <f>HYPERLINK("https://www.philgeps.gov.ph/GEPSNONPILOT/Tender/SplashBidNoticeAbstractUI.aspx?menuIndex=3&amp;refID=7086785&amp;Result=3","7086785")</f>
        <v>0</v>
      </c>
      <c r="B2768" t="s">
        <v>1084</v>
      </c>
      <c r="C2768" t="s">
        <v>6061</v>
      </c>
      <c r="D2768" t="s">
        <v>17415</v>
      </c>
      <c r="E2768" t="s">
        <v>19910</v>
      </c>
      <c r="F2768" t="s">
        <v>30052</v>
      </c>
      <c r="G2768" t="s">
        <v>30059</v>
      </c>
      <c r="H2768" t="s">
        <v>15498</v>
      </c>
      <c r="I2768" t="s">
        <v>8323</v>
      </c>
      <c r="J2768" t="s">
        <v>32071</v>
      </c>
      <c r="K2768" t="s">
        <v>39045</v>
      </c>
      <c r="M2768" t="s">
        <v>40420</v>
      </c>
      <c r="N2768" t="s">
        <v>43166</v>
      </c>
      <c r="O2768" t="s">
        <v>43167</v>
      </c>
      <c r="P2768">
        <v>0</v>
      </c>
      <c r="Q2768">
        <v>6</v>
      </c>
      <c r="R2768" t="s">
        <v>43170</v>
      </c>
      <c r="S2768" t="s">
        <v>43297</v>
      </c>
      <c r="T2768" t="s">
        <v>44870</v>
      </c>
      <c r="U2768" t="s">
        <v>47478</v>
      </c>
      <c r="V2768" t="s">
        <v>57148</v>
      </c>
      <c r="W2768" t="s">
        <v>40420</v>
      </c>
      <c r="X2768" t="s">
        <v>43171</v>
      </c>
    </row>
    <row r="2769" spans="1:24">
      <c r="A2769">
        <f>HYPERLINK("https://www.philgeps.gov.ph/GEPSNONPILOT/Tender/SplashBidNoticeAbstractUI.aspx?menuIndex=3&amp;refID=7086790&amp;Result=3","7086790")</f>
        <v>0</v>
      </c>
      <c r="B2769" t="s">
        <v>511</v>
      </c>
      <c r="C2769" t="s">
        <v>6062</v>
      </c>
      <c r="D2769" t="s">
        <v>17480</v>
      </c>
      <c r="E2769" t="s">
        <v>19911</v>
      </c>
      <c r="F2769" t="s">
        <v>30052</v>
      </c>
      <c r="G2769" t="s">
        <v>30058</v>
      </c>
      <c r="H2769" t="s">
        <v>15498</v>
      </c>
      <c r="I2769" t="s">
        <v>30135</v>
      </c>
      <c r="J2769" t="s">
        <v>32072</v>
      </c>
      <c r="K2769" t="s">
        <v>39025</v>
      </c>
      <c r="M2769" t="s">
        <v>39812</v>
      </c>
      <c r="N2769" t="s">
        <v>43166</v>
      </c>
      <c r="O2769" t="s">
        <v>43167</v>
      </c>
      <c r="P2769">
        <v>0</v>
      </c>
      <c r="Q2769">
        <v>6</v>
      </c>
      <c r="R2769" t="s">
        <v>43170</v>
      </c>
      <c r="S2769" t="s">
        <v>43297</v>
      </c>
      <c r="T2769" t="s">
        <v>44827</v>
      </c>
      <c r="U2769" t="s">
        <v>46174</v>
      </c>
      <c r="V2769" t="s">
        <v>57149</v>
      </c>
      <c r="W2769" t="s">
        <v>39812</v>
      </c>
      <c r="X2769" t="s">
        <v>43171</v>
      </c>
    </row>
    <row r="2770" spans="1:24">
      <c r="A2770">
        <f>HYPERLINK("https://www.philgeps.gov.ph/GEPSNONPILOT/Tender/SplashBidNoticeAbstractUI.aspx?menuIndex=3&amp;refID=7086788&amp;Result=3","7086788")</f>
        <v>0</v>
      </c>
      <c r="B2770" t="s">
        <v>1085</v>
      </c>
      <c r="C2770" t="s">
        <v>6063</v>
      </c>
      <c r="D2770" t="s">
        <v>17468</v>
      </c>
      <c r="E2770" t="s">
        <v>19912</v>
      </c>
      <c r="F2770" t="s">
        <v>30052</v>
      </c>
      <c r="G2770" t="s">
        <v>30059</v>
      </c>
      <c r="H2770" t="s">
        <v>15498</v>
      </c>
      <c r="I2770" t="s">
        <v>30073</v>
      </c>
      <c r="J2770" t="s">
        <v>31290</v>
      </c>
      <c r="K2770" t="s">
        <v>39036</v>
      </c>
      <c r="M2770" t="s">
        <v>40421</v>
      </c>
      <c r="N2770" t="s">
        <v>43166</v>
      </c>
      <c r="O2770" t="s">
        <v>43167</v>
      </c>
      <c r="P2770">
        <v>0</v>
      </c>
      <c r="Q2770">
        <v>1</v>
      </c>
      <c r="R2770" t="s">
        <v>43170</v>
      </c>
      <c r="S2770" t="s">
        <v>43297</v>
      </c>
      <c r="T2770" t="s">
        <v>44843</v>
      </c>
      <c r="U2770" t="s">
        <v>47479</v>
      </c>
      <c r="W2770" t="s">
        <v>40421</v>
      </c>
      <c r="X2770" t="s">
        <v>43171</v>
      </c>
    </row>
    <row r="2771" spans="1:24">
      <c r="A2771">
        <f>HYPERLINK("https://www.philgeps.gov.ph/GEPSNONPILOT/Tender/SplashBidNoticeAbstractUI.aspx?menuIndex=3&amp;refID=7086781&amp;Result=3","7086781")</f>
        <v>0</v>
      </c>
      <c r="B2771" t="s">
        <v>1086</v>
      </c>
      <c r="C2771" t="s">
        <v>6064</v>
      </c>
      <c r="D2771" t="s">
        <v>17445</v>
      </c>
      <c r="E2771" t="s">
        <v>19913</v>
      </c>
      <c r="F2771" t="s">
        <v>30052</v>
      </c>
      <c r="G2771" t="s">
        <v>30060</v>
      </c>
      <c r="H2771" t="s">
        <v>15498</v>
      </c>
      <c r="I2771" t="s">
        <v>3736</v>
      </c>
      <c r="J2771" t="s">
        <v>32073</v>
      </c>
      <c r="K2771" t="s">
        <v>39029</v>
      </c>
      <c r="M2771" t="s">
        <v>40422</v>
      </c>
      <c r="N2771" t="s">
        <v>43166</v>
      </c>
      <c r="O2771" t="s">
        <v>43167</v>
      </c>
      <c r="P2771">
        <v>0</v>
      </c>
      <c r="Q2771">
        <v>0</v>
      </c>
      <c r="R2771" t="s">
        <v>43170</v>
      </c>
      <c r="S2771" t="s">
        <v>43297</v>
      </c>
      <c r="T2771" t="s">
        <v>44735</v>
      </c>
      <c r="U2771" t="s">
        <v>47480</v>
      </c>
      <c r="V2771" t="s">
        <v>57150</v>
      </c>
      <c r="W2771" t="s">
        <v>40422</v>
      </c>
      <c r="X2771" t="s">
        <v>43171</v>
      </c>
    </row>
    <row r="2772" spans="1:24">
      <c r="A2772">
        <f>HYPERLINK("https://www.philgeps.gov.ph/GEPSNONPILOT/Tender/SplashBidNoticeAbstractUI.aspx?menuIndex=3&amp;refID=7086778&amp;Result=3","7086778")</f>
        <v>0</v>
      </c>
      <c r="B2772" t="s">
        <v>1087</v>
      </c>
      <c r="C2772" t="s">
        <v>6065</v>
      </c>
      <c r="D2772" t="s">
        <v>17415</v>
      </c>
      <c r="E2772" t="s">
        <v>19914</v>
      </c>
      <c r="F2772" t="s">
        <v>30052</v>
      </c>
      <c r="G2772" t="s">
        <v>30059</v>
      </c>
      <c r="H2772" t="s">
        <v>15498</v>
      </c>
      <c r="I2772" t="s">
        <v>8323</v>
      </c>
      <c r="J2772" t="s">
        <v>32074</v>
      </c>
      <c r="K2772" t="s">
        <v>39111</v>
      </c>
      <c r="M2772" t="s">
        <v>40423</v>
      </c>
      <c r="N2772" t="s">
        <v>43166</v>
      </c>
      <c r="O2772" t="s">
        <v>43167</v>
      </c>
      <c r="P2772">
        <v>0</v>
      </c>
      <c r="Q2772">
        <v>7</v>
      </c>
      <c r="R2772" t="s">
        <v>43170</v>
      </c>
      <c r="S2772" t="s">
        <v>43297</v>
      </c>
      <c r="T2772" t="s">
        <v>44864</v>
      </c>
      <c r="U2772" t="s">
        <v>47481</v>
      </c>
      <c r="W2772" t="s">
        <v>40423</v>
      </c>
      <c r="X2772" t="s">
        <v>43171</v>
      </c>
    </row>
    <row r="2773" spans="1:24">
      <c r="A2773">
        <f>HYPERLINK("https://www.philgeps.gov.ph/GEPSNONPILOT/Tender/SplashBidNoticeAbstractUI.aspx?menuIndex=3&amp;refID=7086761&amp;Result=3","7086761")</f>
        <v>0</v>
      </c>
      <c r="B2773" t="s">
        <v>715</v>
      </c>
      <c r="C2773" t="s">
        <v>6066</v>
      </c>
      <c r="D2773" t="s">
        <v>17473</v>
      </c>
      <c r="E2773" t="s">
        <v>19915</v>
      </c>
      <c r="F2773" t="s">
        <v>30052</v>
      </c>
      <c r="G2773" t="s">
        <v>30059</v>
      </c>
      <c r="H2773" t="s">
        <v>15498</v>
      </c>
      <c r="I2773" t="s">
        <v>30146</v>
      </c>
      <c r="J2773" t="s">
        <v>32075</v>
      </c>
      <c r="K2773" t="s">
        <v>39025</v>
      </c>
      <c r="M2773" t="s">
        <v>40025</v>
      </c>
      <c r="N2773" t="s">
        <v>43166</v>
      </c>
      <c r="O2773" t="s">
        <v>43167</v>
      </c>
      <c r="P2773">
        <v>0</v>
      </c>
      <c r="Q2773">
        <v>0</v>
      </c>
      <c r="R2773" t="s">
        <v>43170</v>
      </c>
      <c r="S2773" t="s">
        <v>43297</v>
      </c>
      <c r="T2773" t="s">
        <v>44678</v>
      </c>
      <c r="U2773" t="s">
        <v>47482</v>
      </c>
      <c r="W2773" t="s">
        <v>40025</v>
      </c>
      <c r="X2773" t="s">
        <v>43171</v>
      </c>
    </row>
    <row r="2774" spans="1:24">
      <c r="A2774">
        <f>HYPERLINK("https://www.philgeps.gov.ph/GEPSNONPILOT/Tender/SplashBidNoticeAbstractUI.aspx?menuIndex=3&amp;refID=7086776&amp;Result=3","7086776")</f>
        <v>0</v>
      </c>
      <c r="B2774" t="s">
        <v>1088</v>
      </c>
      <c r="C2774" t="s">
        <v>6067</v>
      </c>
      <c r="D2774" t="s">
        <v>17446</v>
      </c>
      <c r="E2774" t="s">
        <v>17979</v>
      </c>
      <c r="F2774" t="s">
        <v>30052</v>
      </c>
      <c r="G2774" t="s">
        <v>30059</v>
      </c>
      <c r="H2774" t="s">
        <v>15498</v>
      </c>
      <c r="I2774" t="s">
        <v>30162</v>
      </c>
      <c r="J2774" t="s">
        <v>30297</v>
      </c>
      <c r="K2774" t="s">
        <v>39025</v>
      </c>
      <c r="M2774" t="s">
        <v>40424</v>
      </c>
      <c r="N2774" t="s">
        <v>43166</v>
      </c>
      <c r="O2774" t="s">
        <v>43167</v>
      </c>
      <c r="P2774">
        <v>0</v>
      </c>
      <c r="Q2774">
        <v>2</v>
      </c>
      <c r="R2774" t="s">
        <v>43170</v>
      </c>
      <c r="S2774" t="s">
        <v>43297</v>
      </c>
      <c r="T2774" t="s">
        <v>44773</v>
      </c>
      <c r="U2774" t="s">
        <v>47483</v>
      </c>
      <c r="W2774" t="s">
        <v>40424</v>
      </c>
      <c r="X2774" t="s">
        <v>43171</v>
      </c>
    </row>
    <row r="2775" spans="1:24">
      <c r="A2775">
        <f>HYPERLINK("https://www.philgeps.gov.ph/GEPSNONPILOT/Tender/SplashBidNoticeAbstractUI.aspx?menuIndex=3&amp;refID=7086755&amp;Result=3","7086755")</f>
        <v>0</v>
      </c>
      <c r="B2775" t="s">
        <v>1089</v>
      </c>
      <c r="C2775" t="s">
        <v>6068</v>
      </c>
      <c r="E2775" t="s">
        <v>19916</v>
      </c>
      <c r="F2775" t="s">
        <v>30052</v>
      </c>
      <c r="G2775" t="s">
        <v>30058</v>
      </c>
      <c r="H2775" t="s">
        <v>15498</v>
      </c>
      <c r="I2775" t="s">
        <v>30144</v>
      </c>
      <c r="J2775" t="s">
        <v>30222</v>
      </c>
      <c r="K2775" t="s">
        <v>39023</v>
      </c>
      <c r="M2775" t="s">
        <v>40425</v>
      </c>
      <c r="N2775" t="s">
        <v>43166</v>
      </c>
      <c r="O2775" t="s">
        <v>43167</v>
      </c>
      <c r="P2775">
        <v>0</v>
      </c>
      <c r="Q2775">
        <v>1</v>
      </c>
      <c r="R2775" t="s">
        <v>43170</v>
      </c>
      <c r="S2775" t="s">
        <v>43297</v>
      </c>
      <c r="T2775" t="s">
        <v>44928</v>
      </c>
      <c r="U2775" t="s">
        <v>47484</v>
      </c>
      <c r="W2775" t="s">
        <v>40425</v>
      </c>
      <c r="X2775" t="s">
        <v>43171</v>
      </c>
    </row>
    <row r="2776" spans="1:24">
      <c r="A2776">
        <f>HYPERLINK("https://www.philgeps.gov.ph/GEPSNONPILOT/Tender/SplashBidNoticeAbstractUI.aspx?menuIndex=3&amp;refID=7086784&amp;Result=3","7086784")</f>
        <v>0</v>
      </c>
      <c r="B2776" t="s">
        <v>881</v>
      </c>
      <c r="C2776" t="s">
        <v>6069</v>
      </c>
      <c r="E2776" t="s">
        <v>6069</v>
      </c>
      <c r="F2776" t="s">
        <v>30052</v>
      </c>
      <c r="G2776" t="s">
        <v>30059</v>
      </c>
      <c r="H2776" t="s">
        <v>15498</v>
      </c>
      <c r="I2776" t="s">
        <v>30076</v>
      </c>
      <c r="J2776" t="s">
        <v>31276</v>
      </c>
      <c r="K2776" t="s">
        <v>39025</v>
      </c>
      <c r="M2776" t="s">
        <v>40200</v>
      </c>
      <c r="N2776" t="s">
        <v>43166</v>
      </c>
      <c r="O2776" t="s">
        <v>43167</v>
      </c>
      <c r="P2776">
        <v>0</v>
      </c>
      <c r="Q2776">
        <v>1</v>
      </c>
      <c r="R2776" t="s">
        <v>43170</v>
      </c>
      <c r="S2776" t="s">
        <v>43297</v>
      </c>
      <c r="T2776" t="s">
        <v>44777</v>
      </c>
      <c r="U2776" t="s">
        <v>46681</v>
      </c>
      <c r="W2776" t="s">
        <v>40200</v>
      </c>
      <c r="X2776" t="s">
        <v>43171</v>
      </c>
    </row>
    <row r="2777" spans="1:24">
      <c r="A2777">
        <f>HYPERLINK("https://www.philgeps.gov.ph/GEPSNONPILOT/Tender/SplashBidNoticeAbstractUI.aspx?menuIndex=3&amp;refID=7086754&amp;Result=3","7086754")</f>
        <v>0</v>
      </c>
      <c r="B2777" t="s">
        <v>1076</v>
      </c>
      <c r="C2777" t="s">
        <v>6070</v>
      </c>
      <c r="D2777" t="s">
        <v>17487</v>
      </c>
      <c r="E2777" t="s">
        <v>19917</v>
      </c>
      <c r="F2777" t="s">
        <v>30052</v>
      </c>
      <c r="G2777" t="s">
        <v>30059</v>
      </c>
      <c r="H2777" t="s">
        <v>15498</v>
      </c>
      <c r="I2777" t="s">
        <v>30071</v>
      </c>
      <c r="J2777" t="s">
        <v>32076</v>
      </c>
      <c r="K2777" t="s">
        <v>39019</v>
      </c>
      <c r="M2777" t="s">
        <v>40411</v>
      </c>
      <c r="N2777" t="s">
        <v>43166</v>
      </c>
      <c r="O2777" t="s">
        <v>43167</v>
      </c>
      <c r="P2777">
        <v>0</v>
      </c>
      <c r="Q2777">
        <v>0</v>
      </c>
      <c r="R2777" t="s">
        <v>43170</v>
      </c>
      <c r="S2777" t="s">
        <v>43297</v>
      </c>
      <c r="T2777" t="s">
        <v>44927</v>
      </c>
      <c r="U2777" t="s">
        <v>47465</v>
      </c>
      <c r="W2777" t="s">
        <v>40411</v>
      </c>
      <c r="X2777" t="s">
        <v>43171</v>
      </c>
    </row>
    <row r="2778" spans="1:24">
      <c r="A2778">
        <f>HYPERLINK("https://www.philgeps.gov.ph/GEPSNONPILOT/Tender/SplashBidNoticeAbstractUI.aspx?menuIndex=3&amp;refID=7086780&amp;Result=3","7086780")</f>
        <v>0</v>
      </c>
      <c r="B2778" t="s">
        <v>884</v>
      </c>
      <c r="C2778" t="s">
        <v>6071</v>
      </c>
      <c r="D2778" t="s">
        <v>17459</v>
      </c>
      <c r="E2778" t="s">
        <v>19918</v>
      </c>
      <c r="F2778" t="s">
        <v>30052</v>
      </c>
      <c r="G2778" t="s">
        <v>30059</v>
      </c>
      <c r="H2778" t="s">
        <v>15498</v>
      </c>
      <c r="I2778" t="s">
        <v>30070</v>
      </c>
      <c r="J2778" t="s">
        <v>32077</v>
      </c>
      <c r="K2778" t="s">
        <v>39029</v>
      </c>
      <c r="M2778" t="s">
        <v>40203</v>
      </c>
      <c r="N2778" t="s">
        <v>43166</v>
      </c>
      <c r="O2778" t="s">
        <v>43167</v>
      </c>
      <c r="P2778">
        <v>0</v>
      </c>
      <c r="Q2778">
        <v>1</v>
      </c>
      <c r="R2778" t="s">
        <v>43170</v>
      </c>
      <c r="S2778" t="s">
        <v>43297</v>
      </c>
      <c r="T2778" t="s">
        <v>44862</v>
      </c>
      <c r="U2778" t="s">
        <v>47485</v>
      </c>
      <c r="V2778" t="s">
        <v>57070</v>
      </c>
      <c r="W2778" t="s">
        <v>40203</v>
      </c>
      <c r="X2778" t="s">
        <v>43171</v>
      </c>
    </row>
    <row r="2779" spans="1:24">
      <c r="A2779">
        <f>HYPERLINK("https://www.philgeps.gov.ph/GEPSNONPILOT/Tender/SplashBidNoticeAbstractUI.aspx?menuIndex=3&amp;refID=7086809&amp;Result=3","7086809")</f>
        <v>0</v>
      </c>
      <c r="B2779" t="s">
        <v>1073</v>
      </c>
      <c r="C2779" t="s">
        <v>6072</v>
      </c>
      <c r="D2779" t="s">
        <v>17415</v>
      </c>
      <c r="E2779" t="s">
        <v>19158</v>
      </c>
      <c r="F2779" t="s">
        <v>30052</v>
      </c>
      <c r="G2779" t="s">
        <v>30061</v>
      </c>
      <c r="H2779" t="s">
        <v>15498</v>
      </c>
      <c r="I2779" t="s">
        <v>4119</v>
      </c>
      <c r="J2779" t="s">
        <v>32078</v>
      </c>
      <c r="K2779" t="s">
        <v>39017</v>
      </c>
      <c r="M2779" t="s">
        <v>40408</v>
      </c>
      <c r="N2779" t="s">
        <v>43166</v>
      </c>
      <c r="O2779" t="s">
        <v>43167</v>
      </c>
      <c r="P2779">
        <v>0</v>
      </c>
      <c r="Q2779">
        <v>7</v>
      </c>
      <c r="R2779" t="s">
        <v>43170</v>
      </c>
      <c r="S2779" t="s">
        <v>43297</v>
      </c>
      <c r="T2779" t="s">
        <v>44732</v>
      </c>
      <c r="U2779" t="s">
        <v>47461</v>
      </c>
      <c r="V2779" t="s">
        <v>57151</v>
      </c>
      <c r="W2779" t="s">
        <v>40408</v>
      </c>
      <c r="X2779" t="s">
        <v>43171</v>
      </c>
    </row>
    <row r="2780" spans="1:24">
      <c r="A2780">
        <f>HYPERLINK("https://www.philgeps.gov.ph/GEPSNONPILOT/Tender/SplashBidNoticeAbstractUI.aspx?menuIndex=3&amp;refID=7086777&amp;Result=3","7086777")</f>
        <v>0</v>
      </c>
      <c r="B2780" t="s">
        <v>1082</v>
      </c>
      <c r="C2780" t="s">
        <v>6073</v>
      </c>
      <c r="D2780" t="s">
        <v>17438</v>
      </c>
      <c r="E2780" t="s">
        <v>19919</v>
      </c>
      <c r="F2780" t="s">
        <v>30052</v>
      </c>
      <c r="G2780" t="s">
        <v>30058</v>
      </c>
      <c r="H2780" t="s">
        <v>15498</v>
      </c>
      <c r="I2780" t="s">
        <v>4650</v>
      </c>
      <c r="J2780" t="s">
        <v>30207</v>
      </c>
      <c r="K2780" t="s">
        <v>39064</v>
      </c>
      <c r="M2780" t="s">
        <v>40418</v>
      </c>
      <c r="N2780" t="s">
        <v>43166</v>
      </c>
      <c r="O2780" t="s">
        <v>43167</v>
      </c>
      <c r="P2780">
        <v>0</v>
      </c>
      <c r="Q2780">
        <v>2</v>
      </c>
      <c r="R2780" t="s">
        <v>43170</v>
      </c>
      <c r="S2780" t="s">
        <v>43297</v>
      </c>
      <c r="T2780" t="s">
        <v>44754</v>
      </c>
      <c r="U2780" t="s">
        <v>47486</v>
      </c>
      <c r="W2780" t="s">
        <v>40418</v>
      </c>
      <c r="X2780" t="s">
        <v>43171</v>
      </c>
    </row>
    <row r="2781" spans="1:24">
      <c r="A2781">
        <f>HYPERLINK("https://www.philgeps.gov.ph/GEPSNONPILOT/Tender/SplashBidNoticeAbstractUI.aspx?menuIndex=3&amp;refID=7086774&amp;Result=3","7086774")</f>
        <v>0</v>
      </c>
      <c r="B2781" t="s">
        <v>141</v>
      </c>
      <c r="C2781" t="s">
        <v>6074</v>
      </c>
      <c r="D2781" t="s">
        <v>17476</v>
      </c>
      <c r="E2781" t="s">
        <v>19920</v>
      </c>
      <c r="F2781" t="s">
        <v>30052</v>
      </c>
      <c r="G2781" t="s">
        <v>30059</v>
      </c>
      <c r="H2781" t="s">
        <v>15498</v>
      </c>
      <c r="I2781" t="s">
        <v>8323</v>
      </c>
      <c r="J2781" t="s">
        <v>32079</v>
      </c>
      <c r="K2781" t="s">
        <v>39017</v>
      </c>
      <c r="M2781" t="s">
        <v>40426</v>
      </c>
      <c r="N2781" t="s">
        <v>43166</v>
      </c>
      <c r="O2781" t="s">
        <v>43167</v>
      </c>
      <c r="P2781">
        <v>0</v>
      </c>
      <c r="Q2781">
        <v>17</v>
      </c>
      <c r="R2781" t="s">
        <v>43170</v>
      </c>
      <c r="S2781" t="s">
        <v>43297</v>
      </c>
      <c r="T2781" t="s">
        <v>44843</v>
      </c>
      <c r="U2781" t="s">
        <v>47487</v>
      </c>
      <c r="W2781" t="s">
        <v>40426</v>
      </c>
      <c r="X2781" t="s">
        <v>43171</v>
      </c>
    </row>
    <row r="2782" spans="1:24">
      <c r="A2782">
        <f>HYPERLINK("https://www.philgeps.gov.ph/GEPSNONPILOT/Tender/SplashBidNoticeAbstractUI.aspx?menuIndex=3&amp;refID=7086862&amp;Result=3","7086862")</f>
        <v>0</v>
      </c>
      <c r="B2782" t="s">
        <v>1090</v>
      </c>
      <c r="C2782" t="s">
        <v>6075</v>
      </c>
      <c r="D2782" t="s">
        <v>17415</v>
      </c>
      <c r="E2782" t="s">
        <v>19921</v>
      </c>
      <c r="F2782" t="s">
        <v>30052</v>
      </c>
      <c r="G2782" t="s">
        <v>30061</v>
      </c>
      <c r="H2782" t="s">
        <v>15498</v>
      </c>
      <c r="I2782" t="s">
        <v>4598</v>
      </c>
      <c r="J2782" t="s">
        <v>32004</v>
      </c>
      <c r="K2782" t="s">
        <v>39036</v>
      </c>
      <c r="M2782" t="s">
        <v>40427</v>
      </c>
      <c r="N2782" t="s">
        <v>43166</v>
      </c>
      <c r="O2782" t="s">
        <v>43167</v>
      </c>
      <c r="P2782">
        <v>0</v>
      </c>
      <c r="Q2782">
        <v>3</v>
      </c>
      <c r="R2782" t="s">
        <v>43170</v>
      </c>
      <c r="S2782" t="s">
        <v>43297</v>
      </c>
      <c r="T2782" t="s">
        <v>44826</v>
      </c>
      <c r="U2782" t="s">
        <v>47488</v>
      </c>
      <c r="W2782" t="s">
        <v>40427</v>
      </c>
      <c r="X2782" t="s">
        <v>43171</v>
      </c>
    </row>
    <row r="2783" spans="1:24">
      <c r="A2783">
        <f>HYPERLINK("https://www.philgeps.gov.ph/GEPSNONPILOT/Tender/SplashBidNoticeAbstractUI.aspx?menuIndex=3&amp;refID=7086753&amp;Result=3","7086753")</f>
        <v>0</v>
      </c>
      <c r="B2783" t="s">
        <v>1041</v>
      </c>
      <c r="C2783" t="s">
        <v>6076</v>
      </c>
      <c r="D2783" t="s">
        <v>17449</v>
      </c>
      <c r="E2783" t="s">
        <v>18034</v>
      </c>
      <c r="F2783" t="s">
        <v>30052</v>
      </c>
      <c r="G2783" t="s">
        <v>30059</v>
      </c>
      <c r="H2783" t="s">
        <v>15498</v>
      </c>
      <c r="I2783" t="s">
        <v>30127</v>
      </c>
      <c r="J2783" t="s">
        <v>30377</v>
      </c>
      <c r="K2783" t="s">
        <v>39034</v>
      </c>
      <c r="M2783" t="s">
        <v>40374</v>
      </c>
      <c r="N2783" t="s">
        <v>43166</v>
      </c>
      <c r="O2783" t="s">
        <v>43167</v>
      </c>
      <c r="P2783">
        <v>0</v>
      </c>
      <c r="Q2783">
        <v>4</v>
      </c>
      <c r="R2783" t="s">
        <v>43170</v>
      </c>
      <c r="S2783" t="s">
        <v>43297</v>
      </c>
      <c r="T2783" t="s">
        <v>44837</v>
      </c>
      <c r="U2783" t="s">
        <v>47489</v>
      </c>
      <c r="W2783" t="s">
        <v>40374</v>
      </c>
      <c r="X2783" t="s">
        <v>43171</v>
      </c>
    </row>
    <row r="2784" spans="1:24">
      <c r="A2784">
        <f>HYPERLINK("https://www.philgeps.gov.ph/GEPSNONPILOT/Tender/SplashBidNoticeAbstractUI.aspx?menuIndex=3&amp;refID=7086855&amp;Result=3","7086855")</f>
        <v>0</v>
      </c>
      <c r="B2784" t="s">
        <v>1089</v>
      </c>
      <c r="C2784" t="s">
        <v>6077</v>
      </c>
      <c r="D2784" t="s">
        <v>17458</v>
      </c>
      <c r="E2784" t="s">
        <v>19922</v>
      </c>
      <c r="F2784" t="s">
        <v>30052</v>
      </c>
      <c r="G2784" t="s">
        <v>30059</v>
      </c>
      <c r="H2784" t="s">
        <v>15498</v>
      </c>
      <c r="I2784" t="s">
        <v>30081</v>
      </c>
      <c r="J2784" t="s">
        <v>31133</v>
      </c>
      <c r="K2784" t="s">
        <v>39025</v>
      </c>
      <c r="M2784" t="s">
        <v>40428</v>
      </c>
      <c r="N2784" t="s">
        <v>43166</v>
      </c>
      <c r="O2784" t="s">
        <v>43167</v>
      </c>
      <c r="P2784">
        <v>0</v>
      </c>
      <c r="Q2784">
        <v>0</v>
      </c>
      <c r="R2784" t="s">
        <v>43170</v>
      </c>
      <c r="S2784" t="s">
        <v>43297</v>
      </c>
      <c r="T2784" t="s">
        <v>44929</v>
      </c>
      <c r="U2784" t="s">
        <v>47490</v>
      </c>
      <c r="W2784" t="s">
        <v>40428</v>
      </c>
      <c r="X2784" t="s">
        <v>43171</v>
      </c>
    </row>
    <row r="2785" spans="1:24">
      <c r="A2785">
        <f>HYPERLINK("https://www.philgeps.gov.ph/GEPSNONPILOT/Tender/SplashBidNoticeAbstractUI.aspx?menuIndex=3&amp;refID=7086798&amp;Result=3","7086798")</f>
        <v>0</v>
      </c>
      <c r="B2785" t="s">
        <v>1086</v>
      </c>
      <c r="C2785" t="s">
        <v>6078</v>
      </c>
      <c r="D2785" t="s">
        <v>17445</v>
      </c>
      <c r="E2785" t="s">
        <v>19923</v>
      </c>
      <c r="F2785" t="s">
        <v>30052</v>
      </c>
      <c r="G2785" t="s">
        <v>30059</v>
      </c>
      <c r="H2785" t="s">
        <v>15498</v>
      </c>
      <c r="I2785" t="s">
        <v>30088</v>
      </c>
      <c r="J2785" t="s">
        <v>32080</v>
      </c>
      <c r="K2785" t="s">
        <v>39029</v>
      </c>
      <c r="M2785" t="s">
        <v>40422</v>
      </c>
      <c r="N2785" t="s">
        <v>43166</v>
      </c>
      <c r="O2785" t="s">
        <v>43167</v>
      </c>
      <c r="P2785">
        <v>0</v>
      </c>
      <c r="Q2785">
        <v>3</v>
      </c>
      <c r="R2785" t="s">
        <v>43170</v>
      </c>
      <c r="S2785" t="s">
        <v>43297</v>
      </c>
      <c r="T2785" t="s">
        <v>44735</v>
      </c>
      <c r="U2785" t="s">
        <v>47491</v>
      </c>
      <c r="V2785" t="s">
        <v>57150</v>
      </c>
      <c r="W2785" t="s">
        <v>40422</v>
      </c>
      <c r="X2785" t="s">
        <v>43171</v>
      </c>
    </row>
    <row r="2786" spans="1:24">
      <c r="A2786">
        <f>HYPERLINK("https://www.philgeps.gov.ph/GEPSNONPILOT/Tender/SplashBidNoticeAbstractUI.aspx?menuIndex=3&amp;refID=7086749&amp;Result=3","7086749")</f>
        <v>0</v>
      </c>
      <c r="B2786" t="s">
        <v>1076</v>
      </c>
      <c r="C2786" t="s">
        <v>6079</v>
      </c>
      <c r="D2786" t="s">
        <v>17487</v>
      </c>
      <c r="E2786" t="s">
        <v>19924</v>
      </c>
      <c r="F2786" t="s">
        <v>30052</v>
      </c>
      <c r="G2786" t="s">
        <v>30059</v>
      </c>
      <c r="H2786" t="s">
        <v>15498</v>
      </c>
      <c r="I2786" t="s">
        <v>30109</v>
      </c>
      <c r="J2786" t="s">
        <v>32081</v>
      </c>
      <c r="K2786" t="s">
        <v>39019</v>
      </c>
      <c r="M2786" t="s">
        <v>40411</v>
      </c>
      <c r="N2786" t="s">
        <v>43166</v>
      </c>
      <c r="O2786" t="s">
        <v>43167</v>
      </c>
      <c r="P2786">
        <v>0</v>
      </c>
      <c r="Q2786">
        <v>1</v>
      </c>
      <c r="R2786" t="s">
        <v>43170</v>
      </c>
      <c r="S2786" t="s">
        <v>43297</v>
      </c>
      <c r="T2786" t="s">
        <v>44927</v>
      </c>
      <c r="U2786" t="s">
        <v>47465</v>
      </c>
      <c r="W2786" t="s">
        <v>40411</v>
      </c>
      <c r="X2786" t="s">
        <v>43171</v>
      </c>
    </row>
    <row r="2787" spans="1:24">
      <c r="A2787">
        <f>HYPERLINK("https://www.philgeps.gov.ph/GEPSNONPILOT/Tender/SplashBidNoticeAbstractUI.aspx?menuIndex=3&amp;refID=7086863&amp;Result=3","7086863")</f>
        <v>0</v>
      </c>
      <c r="B2787" t="s">
        <v>772</v>
      </c>
      <c r="C2787" t="s">
        <v>6080</v>
      </c>
      <c r="D2787" t="s">
        <v>17441</v>
      </c>
      <c r="E2787" t="s">
        <v>19925</v>
      </c>
      <c r="F2787" t="s">
        <v>30052</v>
      </c>
      <c r="G2787" t="s">
        <v>30062</v>
      </c>
      <c r="H2787" t="s">
        <v>15498</v>
      </c>
      <c r="I2787" t="s">
        <v>4119</v>
      </c>
      <c r="J2787" t="s">
        <v>32082</v>
      </c>
      <c r="K2787" t="s">
        <v>39019</v>
      </c>
      <c r="M2787" t="s">
        <v>40086</v>
      </c>
      <c r="N2787" t="s">
        <v>43166</v>
      </c>
      <c r="O2787" t="s">
        <v>43167</v>
      </c>
      <c r="P2787">
        <v>0</v>
      </c>
      <c r="Q2787">
        <v>7</v>
      </c>
      <c r="R2787" t="s">
        <v>43170</v>
      </c>
      <c r="S2787" t="s">
        <v>43297</v>
      </c>
      <c r="T2787" t="s">
        <v>44862</v>
      </c>
      <c r="U2787" t="s">
        <v>47492</v>
      </c>
      <c r="W2787" t="s">
        <v>40086</v>
      </c>
      <c r="X2787" t="s">
        <v>43171</v>
      </c>
    </row>
    <row r="2788" spans="1:24">
      <c r="A2788">
        <f>HYPERLINK("https://www.philgeps.gov.ph/GEPSNONPILOT/Tender/SplashBidNoticeAbstractUI.aspx?menuIndex=3&amp;refID=7086841&amp;Result=3","7086841")</f>
        <v>0</v>
      </c>
      <c r="B2788" t="s">
        <v>1091</v>
      </c>
      <c r="C2788" t="s">
        <v>6081</v>
      </c>
      <c r="D2788" t="s">
        <v>17435</v>
      </c>
      <c r="E2788" t="s">
        <v>19926</v>
      </c>
      <c r="F2788" t="s">
        <v>30052</v>
      </c>
      <c r="G2788" t="s">
        <v>30058</v>
      </c>
      <c r="H2788" t="s">
        <v>15498</v>
      </c>
      <c r="I2788" t="s">
        <v>3852</v>
      </c>
      <c r="J2788" t="s">
        <v>31307</v>
      </c>
      <c r="K2788" t="s">
        <v>39025</v>
      </c>
      <c r="M2788" t="s">
        <v>40429</v>
      </c>
      <c r="N2788" t="s">
        <v>43166</v>
      </c>
      <c r="O2788" t="s">
        <v>43167</v>
      </c>
      <c r="P2788">
        <v>0</v>
      </c>
      <c r="Q2788">
        <v>4</v>
      </c>
      <c r="R2788" t="s">
        <v>43170</v>
      </c>
      <c r="S2788" t="s">
        <v>43297</v>
      </c>
      <c r="T2788" t="s">
        <v>44754</v>
      </c>
      <c r="U2788" t="s">
        <v>47493</v>
      </c>
      <c r="V2788" t="s">
        <v>57152</v>
      </c>
      <c r="W2788" t="s">
        <v>40429</v>
      </c>
      <c r="X2788" t="s">
        <v>43171</v>
      </c>
    </row>
    <row r="2789" spans="1:24">
      <c r="A2789">
        <f>HYPERLINK("https://www.philgeps.gov.ph/GEPSNONPILOT/Tender/SplashBidNoticeAbstractUI.aspx?menuIndex=3&amp;refID=7086786&amp;Result=3","7086786")</f>
        <v>0</v>
      </c>
      <c r="B2789" t="s">
        <v>1072</v>
      </c>
      <c r="C2789" t="s">
        <v>6082</v>
      </c>
      <c r="D2789" t="s">
        <v>17448</v>
      </c>
      <c r="E2789" t="s">
        <v>17662</v>
      </c>
      <c r="F2789" t="s">
        <v>30052</v>
      </c>
      <c r="G2789" t="s">
        <v>30059</v>
      </c>
      <c r="H2789" t="s">
        <v>30069</v>
      </c>
      <c r="I2789" t="s">
        <v>3693</v>
      </c>
      <c r="J2789" t="s">
        <v>32083</v>
      </c>
      <c r="K2789" t="s">
        <v>39029</v>
      </c>
      <c r="M2789" t="s">
        <v>40407</v>
      </c>
      <c r="N2789" t="s">
        <v>43166</v>
      </c>
      <c r="O2789" t="s">
        <v>43167</v>
      </c>
      <c r="P2789">
        <v>0</v>
      </c>
      <c r="Q2789">
        <v>1</v>
      </c>
      <c r="R2789" t="s">
        <v>43170</v>
      </c>
      <c r="S2789" t="s">
        <v>43297</v>
      </c>
      <c r="T2789" t="s">
        <v>44837</v>
      </c>
      <c r="U2789" t="s">
        <v>47460</v>
      </c>
      <c r="W2789" t="s">
        <v>40407</v>
      </c>
      <c r="X2789" t="s">
        <v>43171</v>
      </c>
    </row>
    <row r="2790" spans="1:24">
      <c r="A2790">
        <f>HYPERLINK("https://www.philgeps.gov.ph/GEPSNONPILOT/Tender/SplashBidNoticeAbstractUI.aspx?menuIndex=3&amp;refID=7086823&amp;Result=3","7086823")</f>
        <v>0</v>
      </c>
      <c r="B2790" t="s">
        <v>489</v>
      </c>
      <c r="C2790" t="s">
        <v>6083</v>
      </c>
      <c r="D2790" t="s">
        <v>17425</v>
      </c>
      <c r="E2790" t="s">
        <v>19927</v>
      </c>
      <c r="F2790" t="s">
        <v>30052</v>
      </c>
      <c r="G2790" t="s">
        <v>30061</v>
      </c>
      <c r="H2790" t="s">
        <v>15498</v>
      </c>
      <c r="I2790" t="s">
        <v>30092</v>
      </c>
      <c r="J2790" t="s">
        <v>31186</v>
      </c>
      <c r="K2790" t="s">
        <v>39034</v>
      </c>
      <c r="M2790" t="s">
        <v>39790</v>
      </c>
      <c r="N2790" t="s">
        <v>43166</v>
      </c>
      <c r="O2790" t="s">
        <v>43167</v>
      </c>
      <c r="P2790">
        <v>0</v>
      </c>
      <c r="Q2790">
        <v>4</v>
      </c>
      <c r="R2790" t="s">
        <v>43170</v>
      </c>
      <c r="S2790" t="s">
        <v>43297</v>
      </c>
      <c r="T2790" t="s">
        <v>44844</v>
      </c>
      <c r="U2790" t="s">
        <v>47494</v>
      </c>
      <c r="V2790" t="s">
        <v>57138</v>
      </c>
      <c r="W2790" t="s">
        <v>39790</v>
      </c>
      <c r="X2790" t="s">
        <v>43171</v>
      </c>
    </row>
    <row r="2791" spans="1:24">
      <c r="A2791">
        <f>HYPERLINK("https://www.philgeps.gov.ph/GEPSNONPILOT/Tender/SplashBidNoticeAbstractUI.aspx?menuIndex=3&amp;refID=7086861&amp;Result=3","7086861")</f>
        <v>0</v>
      </c>
      <c r="B2791" t="s">
        <v>1092</v>
      </c>
      <c r="C2791" t="s">
        <v>6084</v>
      </c>
      <c r="D2791" t="s">
        <v>17428</v>
      </c>
      <c r="E2791" t="s">
        <v>19928</v>
      </c>
      <c r="F2791" t="s">
        <v>30052</v>
      </c>
      <c r="G2791" t="s">
        <v>30058</v>
      </c>
      <c r="H2791" t="s">
        <v>30068</v>
      </c>
      <c r="I2791" t="s">
        <v>30068</v>
      </c>
      <c r="J2791" t="s">
        <v>32084</v>
      </c>
      <c r="K2791" t="s">
        <v>39112</v>
      </c>
      <c r="M2791" t="s">
        <v>40430</v>
      </c>
      <c r="N2791" t="s">
        <v>43166</v>
      </c>
      <c r="O2791" t="s">
        <v>43167</v>
      </c>
      <c r="P2791">
        <v>0</v>
      </c>
      <c r="Q2791">
        <v>3</v>
      </c>
      <c r="R2791" t="s">
        <v>43170</v>
      </c>
      <c r="S2791" t="s">
        <v>43297</v>
      </c>
      <c r="T2791" t="s">
        <v>44739</v>
      </c>
      <c r="U2791" t="s">
        <v>47495</v>
      </c>
      <c r="W2791" t="s">
        <v>40430</v>
      </c>
      <c r="X2791" t="s">
        <v>43171</v>
      </c>
    </row>
    <row r="2792" spans="1:24">
      <c r="A2792">
        <f>HYPERLINK("https://www.philgeps.gov.ph/GEPSNONPILOT/Tender/SplashBidNoticeAbstractUI.aspx?menuIndex=3&amp;refID=7086757&amp;Result=3","7086757")</f>
        <v>0</v>
      </c>
      <c r="B2792" t="s">
        <v>1093</v>
      </c>
      <c r="C2792" t="s">
        <v>6085</v>
      </c>
      <c r="D2792" t="s">
        <v>17449</v>
      </c>
      <c r="E2792" t="s">
        <v>19929</v>
      </c>
      <c r="F2792" t="s">
        <v>30052</v>
      </c>
      <c r="G2792" t="s">
        <v>30058</v>
      </c>
      <c r="H2792" t="s">
        <v>30067</v>
      </c>
      <c r="I2792" t="s">
        <v>3736</v>
      </c>
      <c r="J2792" t="s">
        <v>30230</v>
      </c>
      <c r="K2792" t="s">
        <v>39017</v>
      </c>
      <c r="M2792" t="s">
        <v>40431</v>
      </c>
      <c r="N2792" t="s">
        <v>43166</v>
      </c>
      <c r="O2792" t="s">
        <v>43167</v>
      </c>
      <c r="P2792">
        <v>0</v>
      </c>
      <c r="Q2792">
        <v>0</v>
      </c>
      <c r="R2792" t="s">
        <v>43170</v>
      </c>
      <c r="S2792" t="s">
        <v>43297</v>
      </c>
      <c r="T2792" t="s">
        <v>44816</v>
      </c>
      <c r="U2792" t="s">
        <v>47496</v>
      </c>
      <c r="W2792" t="s">
        <v>40431</v>
      </c>
      <c r="X2792" t="s">
        <v>43171</v>
      </c>
    </row>
    <row r="2793" spans="1:24">
      <c r="A2793">
        <f>HYPERLINK("https://www.philgeps.gov.ph/GEPSNONPILOT/Tender/SplashBidNoticeAbstractUI.aspx?menuIndex=3&amp;refID=7086843&amp;Result=3","7086843")</f>
        <v>0</v>
      </c>
      <c r="B2793" t="s">
        <v>1094</v>
      </c>
      <c r="C2793" t="s">
        <v>6086</v>
      </c>
      <c r="D2793" t="s">
        <v>17464</v>
      </c>
      <c r="E2793" t="s">
        <v>19930</v>
      </c>
      <c r="F2793" t="s">
        <v>30052</v>
      </c>
      <c r="G2793" t="s">
        <v>30059</v>
      </c>
      <c r="H2793" t="s">
        <v>15498</v>
      </c>
      <c r="I2793" t="s">
        <v>30137</v>
      </c>
      <c r="J2793" t="s">
        <v>30350</v>
      </c>
      <c r="K2793" t="s">
        <v>39017</v>
      </c>
      <c r="M2793" t="s">
        <v>40432</v>
      </c>
      <c r="N2793" t="s">
        <v>43166</v>
      </c>
      <c r="O2793" t="s">
        <v>43167</v>
      </c>
      <c r="P2793">
        <v>0</v>
      </c>
      <c r="Q2793">
        <v>1</v>
      </c>
      <c r="R2793" t="s">
        <v>43170</v>
      </c>
      <c r="S2793" t="s">
        <v>43297</v>
      </c>
      <c r="T2793" t="s">
        <v>44717</v>
      </c>
      <c r="U2793" t="s">
        <v>47497</v>
      </c>
      <c r="W2793" t="s">
        <v>40432</v>
      </c>
      <c r="X2793" t="s">
        <v>43171</v>
      </c>
    </row>
    <row r="2794" spans="1:24">
      <c r="A2794">
        <f>HYPERLINK("https://www.philgeps.gov.ph/GEPSNONPILOT/Tender/SplashBidNoticeAbstractUI.aspx?menuIndex=3&amp;refID=7086894&amp;Result=3","7086894")</f>
        <v>0</v>
      </c>
      <c r="B2794" t="s">
        <v>1081</v>
      </c>
      <c r="C2794" t="s">
        <v>6087</v>
      </c>
      <c r="D2794" t="s">
        <v>17454</v>
      </c>
      <c r="E2794" t="s">
        <v>19931</v>
      </c>
      <c r="F2794" t="s">
        <v>30052</v>
      </c>
      <c r="G2794" t="s">
        <v>30058</v>
      </c>
      <c r="H2794" t="s">
        <v>30067</v>
      </c>
      <c r="I2794" t="s">
        <v>3693</v>
      </c>
      <c r="J2794" t="s">
        <v>30557</v>
      </c>
      <c r="K2794" t="s">
        <v>39113</v>
      </c>
      <c r="M2794" t="s">
        <v>40417</v>
      </c>
      <c r="N2794" t="s">
        <v>43166</v>
      </c>
      <c r="O2794" t="s">
        <v>43167</v>
      </c>
      <c r="P2794">
        <v>0</v>
      </c>
      <c r="Q2794">
        <v>0</v>
      </c>
      <c r="R2794" t="s">
        <v>43170</v>
      </c>
      <c r="S2794" t="s">
        <v>43297</v>
      </c>
      <c r="T2794" t="s">
        <v>44684</v>
      </c>
      <c r="U2794" t="s">
        <v>47498</v>
      </c>
      <c r="W2794" t="s">
        <v>40417</v>
      </c>
      <c r="X2794" t="s">
        <v>43171</v>
      </c>
    </row>
    <row r="2795" spans="1:24">
      <c r="A2795">
        <f>HYPERLINK("https://www.philgeps.gov.ph/GEPSNONPILOT/Tender/SplashBidNoticeAbstractUI.aspx?menuIndex=3&amp;refID=7086839&amp;Result=3","7086839")</f>
        <v>0</v>
      </c>
      <c r="B2795" t="s">
        <v>1072</v>
      </c>
      <c r="C2795" t="s">
        <v>6088</v>
      </c>
      <c r="D2795" t="s">
        <v>17486</v>
      </c>
      <c r="E2795" t="s">
        <v>19932</v>
      </c>
      <c r="F2795" t="s">
        <v>30052</v>
      </c>
      <c r="G2795" t="s">
        <v>30059</v>
      </c>
      <c r="H2795" t="s">
        <v>30069</v>
      </c>
      <c r="I2795" t="s">
        <v>3606</v>
      </c>
      <c r="J2795" t="s">
        <v>32085</v>
      </c>
      <c r="K2795" t="s">
        <v>39034</v>
      </c>
      <c r="M2795" t="s">
        <v>40407</v>
      </c>
      <c r="N2795" t="s">
        <v>43166</v>
      </c>
      <c r="O2795" t="s">
        <v>43167</v>
      </c>
      <c r="P2795">
        <v>0</v>
      </c>
      <c r="Q2795">
        <v>3</v>
      </c>
      <c r="R2795" t="s">
        <v>43170</v>
      </c>
      <c r="S2795" t="s">
        <v>43297</v>
      </c>
      <c r="T2795" t="s">
        <v>44837</v>
      </c>
      <c r="U2795" t="s">
        <v>47460</v>
      </c>
      <c r="W2795" t="s">
        <v>40407</v>
      </c>
      <c r="X2795" t="s">
        <v>43171</v>
      </c>
    </row>
    <row r="2796" spans="1:24">
      <c r="A2796">
        <f>HYPERLINK("https://www.philgeps.gov.ph/GEPSNONPILOT/Tender/SplashBidNoticeAbstractUI.aspx?menuIndex=3&amp;refID=7086892&amp;Result=3","7086892")</f>
        <v>0</v>
      </c>
      <c r="B2796" t="s">
        <v>1095</v>
      </c>
      <c r="C2796" t="s">
        <v>6089</v>
      </c>
      <c r="D2796" t="s">
        <v>17434</v>
      </c>
      <c r="E2796" t="s">
        <v>19933</v>
      </c>
      <c r="F2796" t="s">
        <v>30052</v>
      </c>
      <c r="G2796" t="s">
        <v>30061</v>
      </c>
      <c r="H2796" t="s">
        <v>15498</v>
      </c>
      <c r="I2796" t="s">
        <v>30110</v>
      </c>
      <c r="J2796" t="s">
        <v>32086</v>
      </c>
      <c r="K2796" t="s">
        <v>39029</v>
      </c>
      <c r="M2796" t="s">
        <v>40433</v>
      </c>
      <c r="N2796" t="s">
        <v>43166</v>
      </c>
      <c r="O2796" t="s">
        <v>43167</v>
      </c>
      <c r="P2796">
        <v>0</v>
      </c>
      <c r="Q2796">
        <v>3</v>
      </c>
      <c r="R2796" t="s">
        <v>43170</v>
      </c>
      <c r="S2796" t="s">
        <v>43297</v>
      </c>
      <c r="T2796" t="s">
        <v>44732</v>
      </c>
      <c r="U2796" t="s">
        <v>47499</v>
      </c>
      <c r="W2796" t="s">
        <v>40433</v>
      </c>
      <c r="X2796" t="s">
        <v>43171</v>
      </c>
    </row>
    <row r="2797" spans="1:24">
      <c r="A2797">
        <f>HYPERLINK("https://www.philgeps.gov.ph/GEPSNONPILOT/Tender/SplashBidNoticeAbstractUI.aspx?menuIndex=3&amp;refID=7086820&amp;Result=3","7086820")</f>
        <v>0</v>
      </c>
      <c r="B2797" t="s">
        <v>765</v>
      </c>
      <c r="C2797" t="s">
        <v>6090</v>
      </c>
      <c r="D2797" t="s">
        <v>17468</v>
      </c>
      <c r="E2797" t="s">
        <v>19934</v>
      </c>
      <c r="F2797" t="s">
        <v>30052</v>
      </c>
      <c r="G2797" t="s">
        <v>30059</v>
      </c>
      <c r="H2797" t="s">
        <v>15498</v>
      </c>
      <c r="I2797" t="s">
        <v>6691</v>
      </c>
      <c r="J2797" t="s">
        <v>32087</v>
      </c>
      <c r="K2797" t="s">
        <v>39048</v>
      </c>
      <c r="M2797" t="s">
        <v>40079</v>
      </c>
      <c r="N2797" t="s">
        <v>43166</v>
      </c>
      <c r="O2797" t="s">
        <v>43167</v>
      </c>
      <c r="P2797">
        <v>0</v>
      </c>
      <c r="Q2797">
        <v>1</v>
      </c>
      <c r="R2797" t="s">
        <v>43170</v>
      </c>
      <c r="S2797" t="s">
        <v>43297</v>
      </c>
      <c r="T2797" t="s">
        <v>44733</v>
      </c>
      <c r="U2797" t="s">
        <v>47500</v>
      </c>
      <c r="W2797" t="s">
        <v>40079</v>
      </c>
      <c r="X2797" t="s">
        <v>43171</v>
      </c>
    </row>
    <row r="2798" spans="1:24">
      <c r="A2798">
        <f>HYPERLINK("https://www.philgeps.gov.ph/GEPSNONPILOT/Tender/SplashBidNoticeAbstractUI.aspx?menuIndex=3&amp;refID=7086891&amp;Result=3","7086891")</f>
        <v>0</v>
      </c>
      <c r="B2798" t="s">
        <v>1096</v>
      </c>
      <c r="C2798" t="s">
        <v>6091</v>
      </c>
      <c r="D2798" t="s">
        <v>17415</v>
      </c>
      <c r="E2798" t="s">
        <v>19935</v>
      </c>
      <c r="F2798" t="s">
        <v>30052</v>
      </c>
      <c r="G2798" t="s">
        <v>30059</v>
      </c>
      <c r="H2798" t="s">
        <v>15498</v>
      </c>
      <c r="I2798" t="s">
        <v>8323</v>
      </c>
      <c r="J2798" t="s">
        <v>32088</v>
      </c>
      <c r="K2798" t="s">
        <v>39019</v>
      </c>
      <c r="M2798" t="s">
        <v>40434</v>
      </c>
      <c r="N2798" t="s">
        <v>43166</v>
      </c>
      <c r="O2798" t="s">
        <v>43167</v>
      </c>
      <c r="P2798">
        <v>0</v>
      </c>
      <c r="Q2798">
        <v>10</v>
      </c>
      <c r="R2798" t="s">
        <v>43170</v>
      </c>
      <c r="S2798" t="s">
        <v>43297</v>
      </c>
      <c r="T2798" t="s">
        <v>44734</v>
      </c>
      <c r="U2798" t="s">
        <v>47501</v>
      </c>
      <c r="W2798" t="s">
        <v>40434</v>
      </c>
      <c r="X2798" t="s">
        <v>43171</v>
      </c>
    </row>
    <row r="2799" spans="1:24">
      <c r="A2799">
        <f>HYPERLINK("https://www.philgeps.gov.ph/GEPSNONPILOT/Tender/SplashBidNoticeAbstractUI.aspx?menuIndex=3&amp;refID=7086888&amp;Result=3","7086888")</f>
        <v>0</v>
      </c>
      <c r="B2799" t="s">
        <v>765</v>
      </c>
      <c r="C2799" t="s">
        <v>6092</v>
      </c>
      <c r="D2799" t="s">
        <v>17468</v>
      </c>
      <c r="E2799" t="s">
        <v>19936</v>
      </c>
      <c r="F2799" t="s">
        <v>30052</v>
      </c>
      <c r="G2799" t="s">
        <v>30059</v>
      </c>
      <c r="H2799" t="s">
        <v>15498</v>
      </c>
      <c r="I2799" t="s">
        <v>3852</v>
      </c>
      <c r="J2799" t="s">
        <v>32089</v>
      </c>
      <c r="K2799" t="s">
        <v>39019</v>
      </c>
      <c r="M2799" t="s">
        <v>40079</v>
      </c>
      <c r="N2799" t="s">
        <v>43166</v>
      </c>
      <c r="O2799" t="s">
        <v>43167</v>
      </c>
      <c r="P2799">
        <v>0</v>
      </c>
      <c r="Q2799">
        <v>0</v>
      </c>
      <c r="R2799" t="s">
        <v>43170</v>
      </c>
      <c r="S2799" t="s">
        <v>43297</v>
      </c>
      <c r="T2799" t="s">
        <v>44733</v>
      </c>
      <c r="U2799" t="s">
        <v>47502</v>
      </c>
      <c r="W2799" t="s">
        <v>40079</v>
      </c>
      <c r="X2799" t="s">
        <v>43171</v>
      </c>
    </row>
    <row r="2800" spans="1:24">
      <c r="A2800">
        <f>HYPERLINK("https://www.philgeps.gov.ph/GEPSNONPILOT/Tender/SplashBidNoticeAbstractUI.aspx?menuIndex=3&amp;refID=7086887&amp;Result=3","7086887")</f>
        <v>0</v>
      </c>
      <c r="B2800" t="s">
        <v>672</v>
      </c>
      <c r="C2800" t="s">
        <v>6093</v>
      </c>
      <c r="D2800" t="s">
        <v>17418</v>
      </c>
      <c r="E2800" t="s">
        <v>19937</v>
      </c>
      <c r="F2800" t="s">
        <v>30052</v>
      </c>
      <c r="G2800" t="s">
        <v>30059</v>
      </c>
      <c r="H2800" t="s">
        <v>15498</v>
      </c>
      <c r="I2800" t="s">
        <v>30075</v>
      </c>
      <c r="J2800" t="s">
        <v>30337</v>
      </c>
      <c r="K2800" t="s">
        <v>39064</v>
      </c>
      <c r="M2800" t="s">
        <v>39978</v>
      </c>
      <c r="N2800" t="s">
        <v>43166</v>
      </c>
      <c r="O2800" t="s">
        <v>43167</v>
      </c>
      <c r="P2800">
        <v>0</v>
      </c>
      <c r="Q2800">
        <v>0</v>
      </c>
      <c r="R2800" t="s">
        <v>43170</v>
      </c>
      <c r="S2800" t="s">
        <v>43297</v>
      </c>
      <c r="T2800" t="s">
        <v>44893</v>
      </c>
      <c r="U2800" t="s">
        <v>47503</v>
      </c>
      <c r="W2800" t="s">
        <v>39978</v>
      </c>
      <c r="X2800" t="s">
        <v>43171</v>
      </c>
    </row>
    <row r="2801" spans="1:24">
      <c r="A2801">
        <f>HYPERLINK("https://www.philgeps.gov.ph/GEPSNONPILOT/Tender/SplashBidNoticeAbstractUI.aspx?menuIndex=3&amp;refID=7086893&amp;Result=3","7086893")</f>
        <v>0</v>
      </c>
      <c r="B2801" t="s">
        <v>544</v>
      </c>
      <c r="C2801" t="s">
        <v>6094</v>
      </c>
      <c r="D2801" t="s">
        <v>17434</v>
      </c>
      <c r="E2801" t="s">
        <v>19938</v>
      </c>
      <c r="F2801" t="s">
        <v>30053</v>
      </c>
      <c r="G2801" t="s">
        <v>30059</v>
      </c>
      <c r="H2801" t="s">
        <v>15498</v>
      </c>
      <c r="I2801" t="s">
        <v>3852</v>
      </c>
      <c r="J2801" t="s">
        <v>32090</v>
      </c>
      <c r="K2801" t="s">
        <v>39040</v>
      </c>
      <c r="M2801" t="s">
        <v>40435</v>
      </c>
      <c r="N2801" t="s">
        <v>43166</v>
      </c>
      <c r="O2801" t="s">
        <v>43167</v>
      </c>
      <c r="P2801">
        <v>0</v>
      </c>
      <c r="Q2801">
        <v>5</v>
      </c>
      <c r="R2801" t="s">
        <v>43170</v>
      </c>
      <c r="S2801" t="s">
        <v>43297</v>
      </c>
      <c r="T2801" t="s">
        <v>44718</v>
      </c>
      <c r="U2801" t="s">
        <v>47504</v>
      </c>
      <c r="V2801" t="s">
        <v>57153</v>
      </c>
      <c r="W2801" t="s">
        <v>40435</v>
      </c>
      <c r="X2801" t="s">
        <v>43171</v>
      </c>
    </row>
    <row r="2802" spans="1:24">
      <c r="A2802">
        <f>HYPERLINK("https://www.philgeps.gov.ph/GEPSNONPILOT/Tender/SplashBidNoticeAbstractUI.aspx?menuIndex=3&amp;refID=7086885&amp;Result=3","7086885")</f>
        <v>0</v>
      </c>
      <c r="B2802" t="s">
        <v>1097</v>
      </c>
      <c r="C2802" t="s">
        <v>6095</v>
      </c>
      <c r="D2802" t="s">
        <v>17448</v>
      </c>
      <c r="E2802" t="s">
        <v>19939</v>
      </c>
      <c r="F2802" t="s">
        <v>30052</v>
      </c>
      <c r="G2802" t="s">
        <v>30058</v>
      </c>
      <c r="H2802" t="s">
        <v>30067</v>
      </c>
      <c r="I2802" t="s">
        <v>3736</v>
      </c>
      <c r="J2802" t="s">
        <v>32091</v>
      </c>
      <c r="K2802" t="s">
        <v>39037</v>
      </c>
      <c r="M2802" t="s">
        <v>40436</v>
      </c>
      <c r="N2802" t="s">
        <v>43166</v>
      </c>
      <c r="O2802" t="s">
        <v>43167</v>
      </c>
      <c r="P2802">
        <v>0</v>
      </c>
      <c r="Q2802">
        <v>0</v>
      </c>
      <c r="R2802" t="s">
        <v>43170</v>
      </c>
      <c r="S2802" t="s">
        <v>43297</v>
      </c>
      <c r="T2802" t="s">
        <v>44924</v>
      </c>
      <c r="U2802" t="s">
        <v>47505</v>
      </c>
      <c r="W2802" t="s">
        <v>40436</v>
      </c>
      <c r="X2802" t="s">
        <v>43171</v>
      </c>
    </row>
    <row r="2803" spans="1:24">
      <c r="A2803">
        <f>HYPERLINK("https://www.philgeps.gov.ph/GEPSNONPILOT/Tender/SplashBidNoticeAbstractUI.aspx?menuIndex=3&amp;refID=7086822&amp;Result=3","7086822")</f>
        <v>0</v>
      </c>
      <c r="B2803" t="s">
        <v>1073</v>
      </c>
      <c r="C2803" t="s">
        <v>6096</v>
      </c>
      <c r="D2803" t="s">
        <v>17415</v>
      </c>
      <c r="E2803" t="s">
        <v>19196</v>
      </c>
      <c r="F2803" t="s">
        <v>30052</v>
      </c>
      <c r="G2803" t="s">
        <v>30061</v>
      </c>
      <c r="H2803" t="s">
        <v>15498</v>
      </c>
      <c r="I2803" t="s">
        <v>4119</v>
      </c>
      <c r="J2803" t="s">
        <v>32092</v>
      </c>
      <c r="K2803" t="s">
        <v>39017</v>
      </c>
      <c r="M2803" t="s">
        <v>40408</v>
      </c>
      <c r="N2803" t="s">
        <v>43166</v>
      </c>
      <c r="O2803" t="s">
        <v>43167</v>
      </c>
      <c r="P2803">
        <v>0</v>
      </c>
      <c r="Q2803">
        <v>5</v>
      </c>
      <c r="R2803" t="s">
        <v>43170</v>
      </c>
      <c r="S2803" t="s">
        <v>43297</v>
      </c>
      <c r="T2803" t="s">
        <v>44732</v>
      </c>
      <c r="U2803" t="s">
        <v>47461</v>
      </c>
      <c r="W2803" t="s">
        <v>40408</v>
      </c>
      <c r="X2803" t="s">
        <v>43171</v>
      </c>
    </row>
    <row r="2804" spans="1:24">
      <c r="A2804">
        <f>HYPERLINK("https://www.philgeps.gov.ph/GEPSNONPILOT/Tender/SplashBidNoticeAbstractUI.aspx?menuIndex=3&amp;refID=7086882&amp;Result=3","7086882")</f>
        <v>0</v>
      </c>
      <c r="B2804" t="s">
        <v>1098</v>
      </c>
      <c r="C2804" t="s">
        <v>6097</v>
      </c>
      <c r="D2804" t="s">
        <v>17415</v>
      </c>
      <c r="E2804" t="s">
        <v>19940</v>
      </c>
      <c r="F2804" t="s">
        <v>30052</v>
      </c>
      <c r="G2804" t="s">
        <v>30059</v>
      </c>
      <c r="H2804" t="s">
        <v>15498</v>
      </c>
      <c r="I2804" t="s">
        <v>30071</v>
      </c>
      <c r="J2804" t="s">
        <v>32093</v>
      </c>
      <c r="K2804" t="s">
        <v>39017</v>
      </c>
      <c r="M2804" t="s">
        <v>40437</v>
      </c>
      <c r="N2804" t="s">
        <v>43166</v>
      </c>
      <c r="O2804" t="s">
        <v>43167</v>
      </c>
      <c r="P2804">
        <v>0</v>
      </c>
      <c r="Q2804">
        <v>3</v>
      </c>
      <c r="R2804" t="s">
        <v>43170</v>
      </c>
      <c r="S2804" t="s">
        <v>43297</v>
      </c>
      <c r="T2804" t="s">
        <v>44826</v>
      </c>
      <c r="U2804" t="s">
        <v>47506</v>
      </c>
      <c r="W2804" t="s">
        <v>40437</v>
      </c>
      <c r="X2804" t="s">
        <v>43171</v>
      </c>
    </row>
    <row r="2805" spans="1:24">
      <c r="A2805">
        <f>HYPERLINK("https://www.philgeps.gov.ph/GEPSNONPILOT/Tender/SplashBidNoticeAbstractUI.aspx?menuIndex=3&amp;refID=7086890&amp;Result=3","7086890")</f>
        <v>0</v>
      </c>
      <c r="B2805" t="s">
        <v>1099</v>
      </c>
      <c r="C2805" t="s">
        <v>6098</v>
      </c>
      <c r="D2805" t="s">
        <v>17446</v>
      </c>
      <c r="E2805" t="s">
        <v>19941</v>
      </c>
      <c r="F2805" t="s">
        <v>30052</v>
      </c>
      <c r="G2805" t="s">
        <v>30059</v>
      </c>
      <c r="H2805" t="s">
        <v>15498</v>
      </c>
      <c r="I2805" t="s">
        <v>3852</v>
      </c>
      <c r="J2805" t="s">
        <v>32094</v>
      </c>
      <c r="K2805" t="s">
        <v>39019</v>
      </c>
      <c r="M2805" t="s">
        <v>40438</v>
      </c>
      <c r="N2805" t="s">
        <v>43166</v>
      </c>
      <c r="O2805" t="s">
        <v>43167</v>
      </c>
      <c r="P2805">
        <v>0</v>
      </c>
      <c r="Q2805">
        <v>10</v>
      </c>
      <c r="R2805" t="s">
        <v>43170</v>
      </c>
      <c r="S2805" t="s">
        <v>43297</v>
      </c>
      <c r="T2805" t="s">
        <v>44837</v>
      </c>
      <c r="U2805" t="s">
        <v>47507</v>
      </c>
      <c r="V2805" t="s">
        <v>57154</v>
      </c>
      <c r="W2805" t="s">
        <v>40438</v>
      </c>
      <c r="X2805" t="s">
        <v>43171</v>
      </c>
    </row>
    <row r="2806" spans="1:24">
      <c r="A2806">
        <f>HYPERLINK("https://www.philgeps.gov.ph/GEPSNONPILOT/Tender/SplashBidNoticeAbstractUI.aspx?menuIndex=3&amp;refID=7086880&amp;Result=3","7086880")</f>
        <v>0</v>
      </c>
      <c r="B2806" t="s">
        <v>1100</v>
      </c>
      <c r="C2806" t="s">
        <v>6099</v>
      </c>
      <c r="D2806" t="s">
        <v>17466</v>
      </c>
      <c r="E2806" t="s">
        <v>19942</v>
      </c>
      <c r="F2806" t="s">
        <v>30052</v>
      </c>
      <c r="G2806" t="s">
        <v>30058</v>
      </c>
      <c r="H2806" t="s">
        <v>15498</v>
      </c>
      <c r="I2806" t="s">
        <v>3736</v>
      </c>
      <c r="J2806" t="s">
        <v>32095</v>
      </c>
      <c r="K2806" t="s">
        <v>39025</v>
      </c>
      <c r="M2806" t="s">
        <v>40439</v>
      </c>
      <c r="N2806" t="s">
        <v>43166</v>
      </c>
      <c r="O2806" t="s">
        <v>43167</v>
      </c>
      <c r="P2806">
        <v>0</v>
      </c>
      <c r="Q2806">
        <v>0</v>
      </c>
      <c r="R2806" t="s">
        <v>43170</v>
      </c>
      <c r="S2806" t="s">
        <v>43297</v>
      </c>
      <c r="T2806" t="s">
        <v>44830</v>
      </c>
      <c r="U2806" t="s">
        <v>47508</v>
      </c>
      <c r="W2806" t="s">
        <v>40439</v>
      </c>
      <c r="X2806" t="s">
        <v>43171</v>
      </c>
    </row>
    <row r="2807" spans="1:24">
      <c r="A2807">
        <f>HYPERLINK("https://www.philgeps.gov.ph/GEPSNONPILOT/Tender/SplashBidNoticeAbstractUI.aspx?menuIndex=3&amp;refID=7086853&amp;Result=3","7086853")</f>
        <v>0</v>
      </c>
      <c r="B2807" t="s">
        <v>1071</v>
      </c>
      <c r="C2807" t="s">
        <v>6100</v>
      </c>
      <c r="D2807" t="s">
        <v>17426</v>
      </c>
      <c r="E2807" t="s">
        <v>19943</v>
      </c>
      <c r="F2807" t="s">
        <v>30052</v>
      </c>
      <c r="G2807" t="s">
        <v>30058</v>
      </c>
      <c r="H2807" t="s">
        <v>30067</v>
      </c>
      <c r="I2807" t="s">
        <v>3693</v>
      </c>
      <c r="J2807" t="s">
        <v>32096</v>
      </c>
      <c r="K2807" t="s">
        <v>39025</v>
      </c>
      <c r="M2807" t="s">
        <v>40406</v>
      </c>
      <c r="N2807" t="s">
        <v>43166</v>
      </c>
      <c r="O2807" t="s">
        <v>43167</v>
      </c>
      <c r="P2807">
        <v>0</v>
      </c>
      <c r="Q2807">
        <v>0</v>
      </c>
      <c r="R2807" t="s">
        <v>43170</v>
      </c>
      <c r="S2807" t="s">
        <v>43297</v>
      </c>
      <c r="T2807" t="s">
        <v>44896</v>
      </c>
      <c r="U2807" t="s">
        <v>47509</v>
      </c>
      <c r="W2807" t="s">
        <v>40406</v>
      </c>
      <c r="X2807" t="s">
        <v>43171</v>
      </c>
    </row>
    <row r="2808" spans="1:24">
      <c r="A2808">
        <f>HYPERLINK("https://www.philgeps.gov.ph/GEPSNONPILOT/Tender/SplashBidNoticeAbstractUI.aspx?menuIndex=3&amp;refID=7086879&amp;Result=3","7086879")</f>
        <v>0</v>
      </c>
      <c r="B2808" t="s">
        <v>1091</v>
      </c>
      <c r="C2808" t="s">
        <v>6101</v>
      </c>
      <c r="D2808" t="s">
        <v>17435</v>
      </c>
      <c r="E2808" t="s">
        <v>19944</v>
      </c>
      <c r="F2808" t="s">
        <v>30052</v>
      </c>
      <c r="G2808" t="s">
        <v>30058</v>
      </c>
      <c r="H2808" t="s">
        <v>15498</v>
      </c>
      <c r="I2808" t="s">
        <v>3852</v>
      </c>
      <c r="J2808" t="s">
        <v>32097</v>
      </c>
      <c r="K2808" t="s">
        <v>39025</v>
      </c>
      <c r="M2808" t="s">
        <v>40429</v>
      </c>
      <c r="N2808" t="s">
        <v>43166</v>
      </c>
      <c r="O2808" t="s">
        <v>43167</v>
      </c>
      <c r="P2808">
        <v>0</v>
      </c>
      <c r="Q2808">
        <v>1</v>
      </c>
      <c r="R2808" t="s">
        <v>43170</v>
      </c>
      <c r="S2808" t="s">
        <v>43297</v>
      </c>
      <c r="T2808" t="s">
        <v>44754</v>
      </c>
      <c r="U2808" t="s">
        <v>47493</v>
      </c>
      <c r="V2808" t="s">
        <v>57152</v>
      </c>
      <c r="W2808" t="s">
        <v>40429</v>
      </c>
      <c r="X2808" t="s">
        <v>43171</v>
      </c>
    </row>
    <row r="2809" spans="1:24">
      <c r="A2809">
        <f>HYPERLINK("https://www.philgeps.gov.ph/GEPSNONPILOT/Tender/SplashBidNoticeAbstractUI.aspx?menuIndex=3&amp;refID=7086877&amp;Result=3","7086877")</f>
        <v>0</v>
      </c>
      <c r="B2809" t="s">
        <v>1089</v>
      </c>
      <c r="C2809" t="s">
        <v>6102</v>
      </c>
      <c r="D2809" t="s">
        <v>17458</v>
      </c>
      <c r="E2809" t="s">
        <v>19945</v>
      </c>
      <c r="F2809" t="s">
        <v>30052</v>
      </c>
      <c r="G2809" t="s">
        <v>30059</v>
      </c>
      <c r="H2809" t="s">
        <v>15498</v>
      </c>
      <c r="I2809" t="s">
        <v>4119</v>
      </c>
      <c r="J2809" t="s">
        <v>31148</v>
      </c>
      <c r="K2809" t="s">
        <v>39025</v>
      </c>
      <c r="M2809" t="s">
        <v>40428</v>
      </c>
      <c r="N2809" t="s">
        <v>43166</v>
      </c>
      <c r="O2809" t="s">
        <v>43167</v>
      </c>
      <c r="P2809">
        <v>0</v>
      </c>
      <c r="Q2809">
        <v>4</v>
      </c>
      <c r="R2809" t="s">
        <v>43170</v>
      </c>
      <c r="S2809" t="s">
        <v>43297</v>
      </c>
      <c r="T2809" t="s">
        <v>44929</v>
      </c>
      <c r="U2809" t="s">
        <v>47510</v>
      </c>
      <c r="W2809" t="s">
        <v>40428</v>
      </c>
      <c r="X2809" t="s">
        <v>43171</v>
      </c>
    </row>
    <row r="2810" spans="1:24">
      <c r="A2810">
        <f>HYPERLINK("https://www.philgeps.gov.ph/GEPSNONPILOT/Tender/SplashBidNoticeAbstractUI.aspx?menuIndex=3&amp;refID=7086871&amp;Result=3","7086871")</f>
        <v>0</v>
      </c>
      <c r="B2810" t="s">
        <v>1101</v>
      </c>
      <c r="C2810" t="s">
        <v>6103</v>
      </c>
      <c r="D2810" t="s">
        <v>17448</v>
      </c>
      <c r="E2810" t="s">
        <v>19946</v>
      </c>
      <c r="F2810" t="s">
        <v>30052</v>
      </c>
      <c r="G2810" t="s">
        <v>30058</v>
      </c>
      <c r="H2810" t="s">
        <v>30067</v>
      </c>
      <c r="I2810" t="s">
        <v>3693</v>
      </c>
      <c r="J2810" t="s">
        <v>30277</v>
      </c>
      <c r="K2810" t="s">
        <v>39046</v>
      </c>
      <c r="M2810" t="s">
        <v>40440</v>
      </c>
      <c r="N2810" t="s">
        <v>43166</v>
      </c>
      <c r="O2810" t="s">
        <v>43167</v>
      </c>
      <c r="P2810">
        <v>0</v>
      </c>
      <c r="Q2810">
        <v>0</v>
      </c>
      <c r="R2810" t="s">
        <v>43170</v>
      </c>
      <c r="S2810" t="s">
        <v>43297</v>
      </c>
      <c r="T2810" t="s">
        <v>44722</v>
      </c>
      <c r="U2810" t="s">
        <v>47511</v>
      </c>
      <c r="V2810" t="s">
        <v>57155</v>
      </c>
      <c r="W2810" t="s">
        <v>40440</v>
      </c>
      <c r="X2810" t="s">
        <v>43171</v>
      </c>
    </row>
    <row r="2811" spans="1:24">
      <c r="A2811">
        <f>HYPERLINK("https://www.philgeps.gov.ph/GEPSNONPILOT/Tender/SplashBidNoticeAbstractUI.aspx?menuIndex=3&amp;refID=7086845&amp;Result=3","7086845")</f>
        <v>0</v>
      </c>
      <c r="B2811" t="s">
        <v>1098</v>
      </c>
      <c r="C2811" t="s">
        <v>6104</v>
      </c>
      <c r="D2811" t="s">
        <v>17415</v>
      </c>
      <c r="E2811" t="s">
        <v>19947</v>
      </c>
      <c r="F2811" t="s">
        <v>30052</v>
      </c>
      <c r="G2811" t="s">
        <v>30062</v>
      </c>
      <c r="H2811" t="s">
        <v>15498</v>
      </c>
      <c r="I2811" t="s">
        <v>30105</v>
      </c>
      <c r="J2811" t="s">
        <v>32098</v>
      </c>
      <c r="K2811" t="s">
        <v>39017</v>
      </c>
      <c r="M2811" t="s">
        <v>40437</v>
      </c>
      <c r="N2811" t="s">
        <v>43166</v>
      </c>
      <c r="O2811" t="s">
        <v>43167</v>
      </c>
      <c r="P2811">
        <v>0</v>
      </c>
      <c r="Q2811">
        <v>8</v>
      </c>
      <c r="R2811" t="s">
        <v>43170</v>
      </c>
      <c r="S2811" t="s">
        <v>43297</v>
      </c>
      <c r="T2811" t="s">
        <v>44723</v>
      </c>
      <c r="U2811" t="s">
        <v>47512</v>
      </c>
      <c r="W2811" t="s">
        <v>40437</v>
      </c>
      <c r="X2811" t="s">
        <v>43171</v>
      </c>
    </row>
    <row r="2812" spans="1:24">
      <c r="A2812">
        <f>HYPERLINK("https://www.philgeps.gov.ph/GEPSNONPILOT/Tender/SplashBidNoticeAbstractUI.aspx?menuIndex=3&amp;refID=7086867&amp;Result=3","7086867")</f>
        <v>0</v>
      </c>
      <c r="B2812" t="s">
        <v>765</v>
      </c>
      <c r="C2812" t="s">
        <v>6105</v>
      </c>
      <c r="D2812" t="s">
        <v>17468</v>
      </c>
      <c r="E2812" t="s">
        <v>19948</v>
      </c>
      <c r="F2812" t="s">
        <v>30052</v>
      </c>
      <c r="G2812" t="s">
        <v>30059</v>
      </c>
      <c r="H2812" t="s">
        <v>15498</v>
      </c>
      <c r="I2812" t="s">
        <v>3852</v>
      </c>
      <c r="J2812" t="s">
        <v>32099</v>
      </c>
      <c r="K2812" t="s">
        <v>39019</v>
      </c>
      <c r="M2812" t="s">
        <v>40079</v>
      </c>
      <c r="N2812" t="s">
        <v>43166</v>
      </c>
      <c r="O2812" t="s">
        <v>43167</v>
      </c>
      <c r="P2812">
        <v>0</v>
      </c>
      <c r="Q2812">
        <v>0</v>
      </c>
      <c r="R2812" t="s">
        <v>43170</v>
      </c>
      <c r="S2812" t="s">
        <v>43297</v>
      </c>
      <c r="T2812" t="s">
        <v>44733</v>
      </c>
      <c r="U2812" t="s">
        <v>47513</v>
      </c>
      <c r="W2812" t="s">
        <v>40079</v>
      </c>
      <c r="X2812" t="s">
        <v>43171</v>
      </c>
    </row>
    <row r="2813" spans="1:24">
      <c r="A2813">
        <f>HYPERLINK("https://www.philgeps.gov.ph/GEPSNONPILOT/Tender/SplashBidNoticeAbstractUI.aspx?menuIndex=3&amp;refID=7086864&amp;Result=3","7086864")</f>
        <v>0</v>
      </c>
      <c r="B2813" t="s">
        <v>1102</v>
      </c>
      <c r="C2813" t="s">
        <v>6106</v>
      </c>
      <c r="D2813" t="s">
        <v>17415</v>
      </c>
      <c r="E2813" t="s">
        <v>19469</v>
      </c>
      <c r="F2813" t="s">
        <v>30052</v>
      </c>
      <c r="G2813" t="s">
        <v>30059</v>
      </c>
      <c r="H2813" t="s">
        <v>15498</v>
      </c>
      <c r="I2813" t="s">
        <v>8323</v>
      </c>
      <c r="J2813" t="s">
        <v>32100</v>
      </c>
      <c r="K2813" t="s">
        <v>39019</v>
      </c>
      <c r="M2813" t="s">
        <v>40441</v>
      </c>
      <c r="N2813" t="s">
        <v>43166</v>
      </c>
      <c r="O2813" t="s">
        <v>43167</v>
      </c>
      <c r="P2813">
        <v>0</v>
      </c>
      <c r="Q2813">
        <v>8</v>
      </c>
      <c r="R2813" t="s">
        <v>43170</v>
      </c>
      <c r="S2813" t="s">
        <v>43297</v>
      </c>
      <c r="T2813" t="s">
        <v>44930</v>
      </c>
      <c r="U2813" t="s">
        <v>47514</v>
      </c>
      <c r="W2813" t="s">
        <v>40441</v>
      </c>
      <c r="X2813" t="s">
        <v>43171</v>
      </c>
    </row>
    <row r="2814" spans="1:24">
      <c r="A2814">
        <f>HYPERLINK("https://www.philgeps.gov.ph/GEPSNONPILOT/Tender/SplashBidNoticeAbstractUI.aspx?menuIndex=3&amp;refID=7086929&amp;Result=3","7086929")</f>
        <v>0</v>
      </c>
      <c r="B2814" t="s">
        <v>1103</v>
      </c>
      <c r="C2814" t="s">
        <v>6107</v>
      </c>
      <c r="D2814" t="s">
        <v>17415</v>
      </c>
      <c r="E2814" t="s">
        <v>19949</v>
      </c>
      <c r="F2814" t="s">
        <v>30052</v>
      </c>
      <c r="G2814" t="s">
        <v>30059</v>
      </c>
      <c r="H2814" t="s">
        <v>15498</v>
      </c>
      <c r="I2814" t="s">
        <v>4119</v>
      </c>
      <c r="J2814" t="s">
        <v>31997</v>
      </c>
      <c r="K2814" t="s">
        <v>39019</v>
      </c>
      <c r="M2814" t="s">
        <v>40442</v>
      </c>
      <c r="N2814" t="s">
        <v>43166</v>
      </c>
      <c r="O2814" t="s">
        <v>43167</v>
      </c>
      <c r="P2814">
        <v>0</v>
      </c>
      <c r="Q2814">
        <v>4</v>
      </c>
      <c r="R2814" t="s">
        <v>43170</v>
      </c>
      <c r="S2814" t="s">
        <v>43297</v>
      </c>
      <c r="T2814" t="s">
        <v>44710</v>
      </c>
      <c r="U2814" t="s">
        <v>47515</v>
      </c>
      <c r="W2814" t="s">
        <v>40442</v>
      </c>
      <c r="X2814" t="s">
        <v>43171</v>
      </c>
    </row>
    <row r="2815" spans="1:24">
      <c r="A2815">
        <f>HYPERLINK("https://www.philgeps.gov.ph/GEPSNONPILOT/Tender/SplashBidNoticeAbstractUI.aspx?menuIndex=3&amp;refID=7086846&amp;Result=3","7086846")</f>
        <v>0</v>
      </c>
      <c r="B2815" t="s">
        <v>671</v>
      </c>
      <c r="C2815" t="s">
        <v>6108</v>
      </c>
      <c r="E2815" t="s">
        <v>19950</v>
      </c>
      <c r="F2815" t="s">
        <v>30052</v>
      </c>
      <c r="G2815" t="s">
        <v>30059</v>
      </c>
      <c r="H2815" t="s">
        <v>15498</v>
      </c>
      <c r="I2815" t="s">
        <v>3736</v>
      </c>
      <c r="J2815" t="s">
        <v>31639</v>
      </c>
      <c r="K2815" t="s">
        <v>39025</v>
      </c>
      <c r="M2815" t="s">
        <v>39977</v>
      </c>
      <c r="N2815" t="s">
        <v>43166</v>
      </c>
      <c r="O2815" t="s">
        <v>43167</v>
      </c>
      <c r="P2815">
        <v>0</v>
      </c>
      <c r="Q2815">
        <v>0</v>
      </c>
      <c r="R2815" t="s">
        <v>43170</v>
      </c>
      <c r="S2815" t="s">
        <v>43297</v>
      </c>
      <c r="T2815" t="s">
        <v>44717</v>
      </c>
      <c r="U2815" t="s">
        <v>47516</v>
      </c>
      <c r="W2815" t="s">
        <v>39977</v>
      </c>
      <c r="X2815" t="s">
        <v>43171</v>
      </c>
    </row>
    <row r="2816" spans="1:24">
      <c r="A2816">
        <f>HYPERLINK("https://www.philgeps.gov.ph/GEPSNONPILOT/Tender/SplashBidNoticeAbstractUI.aspx?menuIndex=3&amp;refID=7086925&amp;Result=3","7086925")</f>
        <v>0</v>
      </c>
      <c r="B2816" t="s">
        <v>1104</v>
      </c>
      <c r="C2816" t="s">
        <v>6109</v>
      </c>
      <c r="D2816" t="s">
        <v>17449</v>
      </c>
      <c r="E2816" t="s">
        <v>19951</v>
      </c>
      <c r="F2816" t="s">
        <v>30052</v>
      </c>
      <c r="G2816" t="s">
        <v>30058</v>
      </c>
      <c r="H2816" t="s">
        <v>30067</v>
      </c>
      <c r="I2816" t="s">
        <v>3693</v>
      </c>
      <c r="J2816" t="s">
        <v>30281</v>
      </c>
      <c r="K2816" t="s">
        <v>39046</v>
      </c>
      <c r="M2816" t="s">
        <v>40443</v>
      </c>
      <c r="N2816" t="s">
        <v>43166</v>
      </c>
      <c r="O2816" t="s">
        <v>43167</v>
      </c>
      <c r="P2816">
        <v>0</v>
      </c>
      <c r="Q2816">
        <v>0</v>
      </c>
      <c r="R2816" t="s">
        <v>43170</v>
      </c>
      <c r="S2816" t="s">
        <v>43297</v>
      </c>
      <c r="T2816" t="s">
        <v>44842</v>
      </c>
      <c r="U2816" t="s">
        <v>47517</v>
      </c>
      <c r="W2816" t="s">
        <v>40443</v>
      </c>
      <c r="X2816" t="s">
        <v>43171</v>
      </c>
    </row>
    <row r="2817" spans="1:24">
      <c r="A2817">
        <f>HYPERLINK("https://www.philgeps.gov.ph/GEPSNONPILOT/Tender/SplashBidNoticeAbstractUI.aspx?menuIndex=3&amp;refID=7086886&amp;Result=3","7086886")</f>
        <v>0</v>
      </c>
      <c r="B2817" t="s">
        <v>1105</v>
      </c>
      <c r="C2817" t="s">
        <v>6110</v>
      </c>
      <c r="D2817" t="s">
        <v>17448</v>
      </c>
      <c r="E2817" t="s">
        <v>19952</v>
      </c>
      <c r="F2817" t="s">
        <v>30052</v>
      </c>
      <c r="G2817" t="s">
        <v>30058</v>
      </c>
      <c r="H2817" t="s">
        <v>30067</v>
      </c>
      <c r="I2817" t="s">
        <v>3693</v>
      </c>
      <c r="J2817" t="s">
        <v>30538</v>
      </c>
      <c r="K2817" t="s">
        <v>39037</v>
      </c>
      <c r="M2817" t="s">
        <v>40444</v>
      </c>
      <c r="N2817" t="s">
        <v>43166</v>
      </c>
      <c r="O2817" t="s">
        <v>43167</v>
      </c>
      <c r="P2817">
        <v>0</v>
      </c>
      <c r="Q2817">
        <v>0</v>
      </c>
      <c r="R2817" t="s">
        <v>43170</v>
      </c>
      <c r="S2817" t="s">
        <v>43297</v>
      </c>
      <c r="T2817" t="s">
        <v>44722</v>
      </c>
      <c r="U2817" t="s">
        <v>47518</v>
      </c>
      <c r="V2817" t="s">
        <v>57156</v>
      </c>
      <c r="W2817" t="s">
        <v>40444</v>
      </c>
      <c r="X2817" t="s">
        <v>43171</v>
      </c>
    </row>
    <row r="2818" spans="1:24">
      <c r="A2818">
        <f>HYPERLINK("https://www.philgeps.gov.ph/GEPSNONPILOT/Tender/SplashBidNoticeAbstractUI.aspx?menuIndex=3&amp;refID=7086924&amp;Result=3","7086924")</f>
        <v>0</v>
      </c>
      <c r="B2818" t="s">
        <v>574</v>
      </c>
      <c r="C2818" t="s">
        <v>6111</v>
      </c>
      <c r="D2818" t="s">
        <v>17459</v>
      </c>
      <c r="E2818" t="s">
        <v>19953</v>
      </c>
      <c r="F2818" t="s">
        <v>30052</v>
      </c>
      <c r="G2818" t="s">
        <v>30058</v>
      </c>
      <c r="H2818" t="s">
        <v>30067</v>
      </c>
      <c r="I2818" t="s">
        <v>3736</v>
      </c>
      <c r="J2818" t="s">
        <v>30230</v>
      </c>
      <c r="K2818" t="s">
        <v>39025</v>
      </c>
      <c r="M2818" t="s">
        <v>39876</v>
      </c>
      <c r="N2818" t="s">
        <v>43166</v>
      </c>
      <c r="O2818" t="s">
        <v>43167</v>
      </c>
      <c r="P2818">
        <v>0</v>
      </c>
      <c r="Q2818">
        <v>0</v>
      </c>
      <c r="R2818" t="s">
        <v>43170</v>
      </c>
      <c r="S2818" t="s">
        <v>43297</v>
      </c>
      <c r="T2818" t="s">
        <v>44931</v>
      </c>
      <c r="U2818" t="s">
        <v>46339</v>
      </c>
      <c r="W2818" t="s">
        <v>39876</v>
      </c>
      <c r="X2818" t="s">
        <v>43171</v>
      </c>
    </row>
    <row r="2819" spans="1:24">
      <c r="A2819">
        <f>HYPERLINK("https://www.philgeps.gov.ph/GEPSNONPILOT/Tender/SplashBidNoticeAbstractUI.aspx?menuIndex=3&amp;refID=7086922&amp;Result=3","7086922")</f>
        <v>0</v>
      </c>
      <c r="B2819" t="s">
        <v>623</v>
      </c>
      <c r="C2819" t="s">
        <v>6112</v>
      </c>
      <c r="D2819" t="s">
        <v>17449</v>
      </c>
      <c r="E2819" t="s">
        <v>19954</v>
      </c>
      <c r="F2819" t="s">
        <v>30052</v>
      </c>
      <c r="G2819" t="s">
        <v>30058</v>
      </c>
      <c r="H2819" t="s">
        <v>30067</v>
      </c>
      <c r="I2819" t="s">
        <v>3693</v>
      </c>
      <c r="J2819" t="s">
        <v>32101</v>
      </c>
      <c r="K2819" t="s">
        <v>39114</v>
      </c>
      <c r="M2819" t="s">
        <v>40445</v>
      </c>
      <c r="N2819" t="s">
        <v>43166</v>
      </c>
      <c r="O2819" t="s">
        <v>43167</v>
      </c>
      <c r="P2819">
        <v>0</v>
      </c>
      <c r="Q2819">
        <v>1</v>
      </c>
      <c r="R2819" t="s">
        <v>43170</v>
      </c>
      <c r="S2819" t="s">
        <v>43297</v>
      </c>
      <c r="T2819" t="s">
        <v>44835</v>
      </c>
      <c r="U2819" t="s">
        <v>47519</v>
      </c>
      <c r="W2819" t="s">
        <v>40445</v>
      </c>
      <c r="X2819" t="s">
        <v>43171</v>
      </c>
    </row>
    <row r="2820" spans="1:24">
      <c r="A2820">
        <f>HYPERLINK("https://www.philgeps.gov.ph/GEPSNONPILOT/Tender/SplashBidNoticeAbstractUI.aspx?menuIndex=3&amp;refID=7086921&amp;Result=3","7086921")</f>
        <v>0</v>
      </c>
      <c r="B2820" t="s">
        <v>1104</v>
      </c>
      <c r="C2820" t="s">
        <v>6113</v>
      </c>
      <c r="D2820" t="s">
        <v>17449</v>
      </c>
      <c r="E2820" t="s">
        <v>19955</v>
      </c>
      <c r="F2820" t="s">
        <v>30052</v>
      </c>
      <c r="G2820" t="s">
        <v>30058</v>
      </c>
      <c r="H2820" t="s">
        <v>30067</v>
      </c>
      <c r="I2820" t="s">
        <v>3693</v>
      </c>
      <c r="J2820" t="s">
        <v>30281</v>
      </c>
      <c r="K2820" t="s">
        <v>39029</v>
      </c>
      <c r="M2820" t="s">
        <v>40443</v>
      </c>
      <c r="N2820" t="s">
        <v>43166</v>
      </c>
      <c r="O2820" t="s">
        <v>43167</v>
      </c>
      <c r="P2820">
        <v>0</v>
      </c>
      <c r="Q2820">
        <v>0</v>
      </c>
      <c r="R2820" t="s">
        <v>43170</v>
      </c>
      <c r="S2820" t="s">
        <v>43297</v>
      </c>
      <c r="T2820" t="s">
        <v>44842</v>
      </c>
      <c r="U2820" t="s">
        <v>47517</v>
      </c>
      <c r="W2820" t="s">
        <v>40443</v>
      </c>
      <c r="X2820" t="s">
        <v>43171</v>
      </c>
    </row>
    <row r="2821" spans="1:24">
      <c r="A2821">
        <f>HYPERLINK("https://www.philgeps.gov.ph/GEPSNONPILOT/Tender/SplashBidNoticeAbstractUI.aspx?menuIndex=3&amp;refID=7086874&amp;Result=3","7086874")</f>
        <v>0</v>
      </c>
      <c r="B2821" t="s">
        <v>1071</v>
      </c>
      <c r="C2821" t="s">
        <v>6114</v>
      </c>
      <c r="D2821" t="s">
        <v>17426</v>
      </c>
      <c r="E2821" t="s">
        <v>19956</v>
      </c>
      <c r="F2821" t="s">
        <v>30052</v>
      </c>
      <c r="G2821" t="s">
        <v>30058</v>
      </c>
      <c r="H2821" t="s">
        <v>15498</v>
      </c>
      <c r="I2821" t="s">
        <v>30097</v>
      </c>
      <c r="J2821" t="s">
        <v>30252</v>
      </c>
      <c r="K2821" t="s">
        <v>39019</v>
      </c>
      <c r="M2821" t="s">
        <v>40406</v>
      </c>
      <c r="N2821" t="s">
        <v>43166</v>
      </c>
      <c r="O2821" t="s">
        <v>43167</v>
      </c>
      <c r="P2821">
        <v>0</v>
      </c>
      <c r="Q2821">
        <v>0</v>
      </c>
      <c r="R2821" t="s">
        <v>43170</v>
      </c>
      <c r="S2821" t="s">
        <v>43297</v>
      </c>
      <c r="T2821" t="s">
        <v>44842</v>
      </c>
      <c r="U2821" t="s">
        <v>47520</v>
      </c>
      <c r="W2821" t="s">
        <v>40406</v>
      </c>
      <c r="X2821" t="s">
        <v>43171</v>
      </c>
    </row>
    <row r="2822" spans="1:24">
      <c r="A2822">
        <f>HYPERLINK("https://www.philgeps.gov.ph/GEPSNONPILOT/Tender/SplashBidNoticeAbstractUI.aspx?menuIndex=3&amp;refID=7086916&amp;Result=3","7086916")</f>
        <v>0</v>
      </c>
      <c r="B2822" t="s">
        <v>1091</v>
      </c>
      <c r="C2822" t="s">
        <v>6115</v>
      </c>
      <c r="D2822" t="s">
        <v>17435</v>
      </c>
      <c r="E2822" t="s">
        <v>19957</v>
      </c>
      <c r="F2822" t="s">
        <v>30052</v>
      </c>
      <c r="G2822" t="s">
        <v>30058</v>
      </c>
      <c r="H2822" t="s">
        <v>15498</v>
      </c>
      <c r="I2822" t="s">
        <v>30071</v>
      </c>
      <c r="J2822" t="s">
        <v>32102</v>
      </c>
      <c r="K2822" t="s">
        <v>39025</v>
      </c>
      <c r="M2822" t="s">
        <v>40429</v>
      </c>
      <c r="N2822" t="s">
        <v>43166</v>
      </c>
      <c r="O2822" t="s">
        <v>43167</v>
      </c>
      <c r="P2822">
        <v>0</v>
      </c>
      <c r="Q2822">
        <v>2</v>
      </c>
      <c r="R2822" t="s">
        <v>43170</v>
      </c>
      <c r="S2822" t="s">
        <v>43297</v>
      </c>
      <c r="T2822" t="s">
        <v>44775</v>
      </c>
      <c r="U2822" t="s">
        <v>47493</v>
      </c>
      <c r="V2822" t="s">
        <v>57152</v>
      </c>
      <c r="W2822" t="s">
        <v>40429</v>
      </c>
      <c r="X2822" t="s">
        <v>43171</v>
      </c>
    </row>
    <row r="2823" spans="1:24">
      <c r="A2823">
        <f>HYPERLINK("https://www.philgeps.gov.ph/GEPSNONPILOT/Tender/SplashBidNoticeAbstractUI.aspx?menuIndex=3&amp;refID=7086923&amp;Result=3","7086923")</f>
        <v>0</v>
      </c>
      <c r="B2823" t="s">
        <v>1081</v>
      </c>
      <c r="C2823" t="s">
        <v>6116</v>
      </c>
      <c r="D2823" t="s">
        <v>17454</v>
      </c>
      <c r="E2823" t="s">
        <v>19958</v>
      </c>
      <c r="F2823" t="s">
        <v>30052</v>
      </c>
      <c r="G2823" t="s">
        <v>30058</v>
      </c>
      <c r="H2823" t="s">
        <v>15498</v>
      </c>
      <c r="I2823" t="s">
        <v>30171</v>
      </c>
      <c r="J2823" t="s">
        <v>30222</v>
      </c>
      <c r="K2823" t="s">
        <v>39029</v>
      </c>
      <c r="M2823" t="s">
        <v>40417</v>
      </c>
      <c r="N2823" t="s">
        <v>43166</v>
      </c>
      <c r="O2823" t="s">
        <v>43167</v>
      </c>
      <c r="P2823">
        <v>0</v>
      </c>
      <c r="Q2823">
        <v>1</v>
      </c>
      <c r="R2823" t="s">
        <v>43170</v>
      </c>
      <c r="S2823" t="s">
        <v>43297</v>
      </c>
      <c r="T2823" t="s">
        <v>44801</v>
      </c>
      <c r="U2823" t="s">
        <v>47521</v>
      </c>
      <c r="W2823" t="s">
        <v>40417</v>
      </c>
      <c r="X2823" t="s">
        <v>43171</v>
      </c>
    </row>
    <row r="2824" spans="1:24">
      <c r="A2824">
        <f>HYPERLINK("https://www.philgeps.gov.ph/GEPSNONPILOT/Tender/SplashBidNoticeAbstractUI.aspx?menuIndex=3&amp;refID=7086911&amp;Result=3","7086911")</f>
        <v>0</v>
      </c>
      <c r="B2824" t="s">
        <v>1106</v>
      </c>
      <c r="C2824" t="s">
        <v>6117</v>
      </c>
      <c r="D2824" t="s">
        <v>17455</v>
      </c>
      <c r="E2824" t="s">
        <v>18364</v>
      </c>
      <c r="F2824" t="s">
        <v>30052</v>
      </c>
      <c r="G2824" t="s">
        <v>30061</v>
      </c>
      <c r="H2824" t="s">
        <v>15498</v>
      </c>
      <c r="I2824" t="s">
        <v>3736</v>
      </c>
      <c r="J2824" t="s">
        <v>30337</v>
      </c>
      <c r="K2824" t="s">
        <v>39040</v>
      </c>
      <c r="M2824" t="s">
        <v>40446</v>
      </c>
      <c r="N2824" t="s">
        <v>43166</v>
      </c>
      <c r="O2824" t="s">
        <v>43167</v>
      </c>
      <c r="P2824">
        <v>0</v>
      </c>
      <c r="Q2824">
        <v>0</v>
      </c>
      <c r="R2824" t="s">
        <v>43170</v>
      </c>
      <c r="S2824" t="s">
        <v>43297</v>
      </c>
      <c r="T2824" t="s">
        <v>44715</v>
      </c>
      <c r="U2824" t="s">
        <v>47522</v>
      </c>
      <c r="W2824" t="s">
        <v>40446</v>
      </c>
      <c r="X2824" t="s">
        <v>43171</v>
      </c>
    </row>
    <row r="2825" spans="1:24">
      <c r="A2825">
        <f>HYPERLINK("https://www.philgeps.gov.ph/GEPSNONPILOT/Tender/SplashBidNoticeAbstractUI.aspx?menuIndex=3&amp;refID=7086920&amp;Result=3","7086920")</f>
        <v>0</v>
      </c>
      <c r="B2825" t="s">
        <v>1104</v>
      </c>
      <c r="C2825" t="s">
        <v>6118</v>
      </c>
      <c r="D2825" t="s">
        <v>17449</v>
      </c>
      <c r="E2825" t="s">
        <v>19959</v>
      </c>
      <c r="F2825" t="s">
        <v>30052</v>
      </c>
      <c r="G2825" t="s">
        <v>30058</v>
      </c>
      <c r="H2825" t="s">
        <v>15498</v>
      </c>
      <c r="I2825" t="s">
        <v>3736</v>
      </c>
      <c r="J2825" t="s">
        <v>30397</v>
      </c>
      <c r="K2825" t="s">
        <v>39019</v>
      </c>
      <c r="M2825" t="s">
        <v>40443</v>
      </c>
      <c r="N2825" t="s">
        <v>43166</v>
      </c>
      <c r="O2825" t="s">
        <v>43167</v>
      </c>
      <c r="P2825">
        <v>0</v>
      </c>
      <c r="Q2825">
        <v>5</v>
      </c>
      <c r="R2825" t="s">
        <v>43170</v>
      </c>
      <c r="S2825" t="s">
        <v>43297</v>
      </c>
      <c r="T2825" t="s">
        <v>44842</v>
      </c>
      <c r="U2825" t="s">
        <v>47523</v>
      </c>
      <c r="W2825" t="s">
        <v>40443</v>
      </c>
      <c r="X2825" t="s">
        <v>43171</v>
      </c>
    </row>
    <row r="2826" spans="1:24">
      <c r="A2826">
        <f>HYPERLINK("https://www.philgeps.gov.ph/GEPSNONPILOT/Tender/SplashBidNoticeAbstractUI.aspx?menuIndex=3&amp;refID=7086919&amp;Result=3","7086919")</f>
        <v>0</v>
      </c>
      <c r="B2826" t="s">
        <v>1107</v>
      </c>
      <c r="C2826" t="s">
        <v>6119</v>
      </c>
      <c r="D2826" t="s">
        <v>17429</v>
      </c>
      <c r="E2826" t="s">
        <v>19960</v>
      </c>
      <c r="F2826" t="s">
        <v>30052</v>
      </c>
      <c r="G2826" t="s">
        <v>30061</v>
      </c>
      <c r="H2826" t="s">
        <v>15498</v>
      </c>
      <c r="I2826" t="s">
        <v>4650</v>
      </c>
      <c r="J2826" t="s">
        <v>32103</v>
      </c>
      <c r="K2826" t="s">
        <v>39017</v>
      </c>
      <c r="M2826" t="s">
        <v>40447</v>
      </c>
      <c r="N2826" t="s">
        <v>43166</v>
      </c>
      <c r="O2826" t="s">
        <v>43167</v>
      </c>
      <c r="P2826">
        <v>0</v>
      </c>
      <c r="Q2826">
        <v>2</v>
      </c>
      <c r="R2826" t="s">
        <v>43170</v>
      </c>
      <c r="S2826" t="s">
        <v>43297</v>
      </c>
      <c r="T2826" t="s">
        <v>44710</v>
      </c>
      <c r="U2826" t="s">
        <v>47524</v>
      </c>
      <c r="V2826" t="s">
        <v>57157</v>
      </c>
      <c r="W2826" t="s">
        <v>40447</v>
      </c>
      <c r="X2826" t="s">
        <v>43171</v>
      </c>
    </row>
    <row r="2827" spans="1:24">
      <c r="A2827">
        <f>HYPERLINK("https://www.philgeps.gov.ph/GEPSNONPILOT/Tender/SplashBidNoticeAbstractUI.aspx?menuIndex=3&amp;refID=7086910&amp;Result=3","7086910")</f>
        <v>0</v>
      </c>
      <c r="B2827" t="s">
        <v>1104</v>
      </c>
      <c r="C2827" t="s">
        <v>6120</v>
      </c>
      <c r="D2827" t="s">
        <v>17449</v>
      </c>
      <c r="E2827" t="s">
        <v>19961</v>
      </c>
      <c r="F2827" t="s">
        <v>30052</v>
      </c>
      <c r="G2827" t="s">
        <v>30058</v>
      </c>
      <c r="H2827" t="s">
        <v>15498</v>
      </c>
      <c r="I2827" t="s">
        <v>3736</v>
      </c>
      <c r="J2827" t="s">
        <v>32104</v>
      </c>
      <c r="K2827" t="s">
        <v>39019</v>
      </c>
      <c r="M2827" t="s">
        <v>40443</v>
      </c>
      <c r="N2827" t="s">
        <v>43166</v>
      </c>
      <c r="O2827" t="s">
        <v>43167</v>
      </c>
      <c r="P2827">
        <v>0</v>
      </c>
      <c r="Q2827">
        <v>3</v>
      </c>
      <c r="R2827" t="s">
        <v>43170</v>
      </c>
      <c r="S2827" t="s">
        <v>43297</v>
      </c>
      <c r="T2827" t="s">
        <v>44842</v>
      </c>
      <c r="U2827" t="s">
        <v>47525</v>
      </c>
      <c r="W2827" t="s">
        <v>40443</v>
      </c>
      <c r="X2827" t="s">
        <v>43171</v>
      </c>
    </row>
    <row r="2828" spans="1:24">
      <c r="A2828">
        <f>HYPERLINK("https://www.philgeps.gov.ph/GEPSNONPILOT/Tender/SplashBidNoticeAbstractUI.aspx?menuIndex=3&amp;refID=7086902&amp;Result=3","7086902")</f>
        <v>0</v>
      </c>
      <c r="B2828" t="s">
        <v>1097</v>
      </c>
      <c r="C2828" t="s">
        <v>6121</v>
      </c>
      <c r="D2828" t="s">
        <v>17448</v>
      </c>
      <c r="E2828" t="s">
        <v>19962</v>
      </c>
      <c r="F2828" t="s">
        <v>30052</v>
      </c>
      <c r="G2828" t="s">
        <v>30058</v>
      </c>
      <c r="H2828" t="s">
        <v>30067</v>
      </c>
      <c r="I2828" t="s">
        <v>3736</v>
      </c>
      <c r="J2828" t="s">
        <v>32105</v>
      </c>
      <c r="K2828" t="s">
        <v>39037</v>
      </c>
      <c r="M2828" t="s">
        <v>40436</v>
      </c>
      <c r="N2828" t="s">
        <v>43166</v>
      </c>
      <c r="O2828" t="s">
        <v>43167</v>
      </c>
      <c r="P2828">
        <v>0</v>
      </c>
      <c r="Q2828">
        <v>0</v>
      </c>
      <c r="R2828" t="s">
        <v>43170</v>
      </c>
      <c r="S2828" t="s">
        <v>43297</v>
      </c>
      <c r="T2828" t="s">
        <v>44924</v>
      </c>
      <c r="U2828" t="s">
        <v>47526</v>
      </c>
      <c r="W2828" t="s">
        <v>40436</v>
      </c>
      <c r="X2828" t="s">
        <v>43171</v>
      </c>
    </row>
    <row r="2829" spans="1:24">
      <c r="A2829">
        <f>HYPERLINK("https://www.philgeps.gov.ph/GEPSNONPILOT/Tender/SplashBidNoticeAbstractUI.aspx?menuIndex=3&amp;refID=7086901&amp;Result=3","7086901")</f>
        <v>0</v>
      </c>
      <c r="B2829" t="s">
        <v>1106</v>
      </c>
      <c r="C2829" t="s">
        <v>6122</v>
      </c>
      <c r="D2829" t="s">
        <v>17455</v>
      </c>
      <c r="E2829" t="s">
        <v>18034</v>
      </c>
      <c r="F2829" t="s">
        <v>30052</v>
      </c>
      <c r="G2829" t="s">
        <v>30061</v>
      </c>
      <c r="H2829" t="s">
        <v>15498</v>
      </c>
      <c r="I2829" t="s">
        <v>30070</v>
      </c>
      <c r="J2829" t="s">
        <v>32106</v>
      </c>
      <c r="K2829" t="s">
        <v>39039</v>
      </c>
      <c r="M2829" t="s">
        <v>40446</v>
      </c>
      <c r="N2829" t="s">
        <v>43166</v>
      </c>
      <c r="O2829" t="s">
        <v>43167</v>
      </c>
      <c r="P2829">
        <v>0</v>
      </c>
      <c r="Q2829">
        <v>1</v>
      </c>
      <c r="R2829" t="s">
        <v>43170</v>
      </c>
      <c r="S2829" t="s">
        <v>43297</v>
      </c>
      <c r="T2829" t="s">
        <v>44715</v>
      </c>
      <c r="U2829" t="s">
        <v>47527</v>
      </c>
      <c r="W2829" t="s">
        <v>40446</v>
      </c>
      <c r="X2829" t="s">
        <v>43171</v>
      </c>
    </row>
    <row r="2830" spans="1:24">
      <c r="A2830">
        <f>HYPERLINK("https://www.philgeps.gov.ph/GEPSNONPILOT/Tender/SplashBidNoticeAbstractUI.aspx?menuIndex=3&amp;refID=7086898&amp;Result=3","7086898")</f>
        <v>0</v>
      </c>
      <c r="B2830" t="s">
        <v>1097</v>
      </c>
      <c r="C2830" t="s">
        <v>6123</v>
      </c>
      <c r="D2830" t="s">
        <v>17448</v>
      </c>
      <c r="E2830" t="s">
        <v>19962</v>
      </c>
      <c r="F2830" t="s">
        <v>30052</v>
      </c>
      <c r="G2830" t="s">
        <v>30058</v>
      </c>
      <c r="H2830" t="s">
        <v>30067</v>
      </c>
      <c r="I2830" t="s">
        <v>3736</v>
      </c>
      <c r="J2830" t="s">
        <v>32107</v>
      </c>
      <c r="K2830" t="s">
        <v>39037</v>
      </c>
      <c r="M2830" t="s">
        <v>40436</v>
      </c>
      <c r="N2830" t="s">
        <v>43166</v>
      </c>
      <c r="O2830" t="s">
        <v>43167</v>
      </c>
      <c r="P2830">
        <v>0</v>
      </c>
      <c r="Q2830">
        <v>0</v>
      </c>
      <c r="R2830" t="s">
        <v>43170</v>
      </c>
      <c r="S2830" t="s">
        <v>43297</v>
      </c>
      <c r="T2830" t="s">
        <v>44924</v>
      </c>
      <c r="U2830" t="s">
        <v>47528</v>
      </c>
      <c r="W2830" t="s">
        <v>40436</v>
      </c>
      <c r="X2830" t="s">
        <v>43171</v>
      </c>
    </row>
    <row r="2831" spans="1:24">
      <c r="A2831">
        <f>HYPERLINK("https://www.philgeps.gov.ph/GEPSNONPILOT/Tender/SplashBidNoticeAbstractUI.aspx?menuIndex=3&amp;refID=7086897&amp;Result=3","7086897")</f>
        <v>0</v>
      </c>
      <c r="B2831" t="s">
        <v>1044</v>
      </c>
      <c r="C2831" t="s">
        <v>6124</v>
      </c>
      <c r="D2831" t="s">
        <v>17415</v>
      </c>
      <c r="E2831" t="s">
        <v>19963</v>
      </c>
      <c r="F2831" t="s">
        <v>30052</v>
      </c>
      <c r="G2831" t="s">
        <v>30059</v>
      </c>
      <c r="H2831" t="s">
        <v>30069</v>
      </c>
      <c r="I2831" t="s">
        <v>30154</v>
      </c>
      <c r="J2831" t="s">
        <v>32108</v>
      </c>
      <c r="K2831" t="s">
        <v>39064</v>
      </c>
      <c r="M2831" t="s">
        <v>40378</v>
      </c>
      <c r="N2831" t="s">
        <v>43166</v>
      </c>
      <c r="O2831" t="s">
        <v>43167</v>
      </c>
      <c r="P2831">
        <v>0</v>
      </c>
      <c r="Q2831">
        <v>4</v>
      </c>
      <c r="R2831" t="s">
        <v>43170</v>
      </c>
      <c r="S2831" t="s">
        <v>43297</v>
      </c>
      <c r="T2831" t="s">
        <v>44932</v>
      </c>
      <c r="U2831" t="s">
        <v>47529</v>
      </c>
      <c r="W2831" t="s">
        <v>40378</v>
      </c>
      <c r="X2831" t="s">
        <v>43171</v>
      </c>
    </row>
    <row r="2832" spans="1:24">
      <c r="A2832">
        <f>HYPERLINK("https://www.philgeps.gov.ph/GEPSNONPILOT/Tender/SplashBidNoticeAbstractUI.aspx?menuIndex=3&amp;refID=7086956&amp;Result=3","7086956")</f>
        <v>0</v>
      </c>
      <c r="B2832" t="s">
        <v>1044</v>
      </c>
      <c r="C2832" t="s">
        <v>6125</v>
      </c>
      <c r="D2832" t="s">
        <v>17415</v>
      </c>
      <c r="E2832" t="s">
        <v>19964</v>
      </c>
      <c r="F2832" t="s">
        <v>30052</v>
      </c>
      <c r="G2832" t="s">
        <v>30059</v>
      </c>
      <c r="H2832" t="s">
        <v>30069</v>
      </c>
      <c r="I2832" t="s">
        <v>8323</v>
      </c>
      <c r="J2832" t="s">
        <v>32109</v>
      </c>
      <c r="K2832" t="s">
        <v>39098</v>
      </c>
      <c r="M2832" t="s">
        <v>40378</v>
      </c>
      <c r="N2832" t="s">
        <v>43166</v>
      </c>
      <c r="O2832" t="s">
        <v>43167</v>
      </c>
      <c r="P2832">
        <v>0</v>
      </c>
      <c r="Q2832">
        <v>19</v>
      </c>
      <c r="R2832" t="s">
        <v>43170</v>
      </c>
      <c r="S2832" t="s">
        <v>43297</v>
      </c>
      <c r="T2832" t="s">
        <v>44932</v>
      </c>
      <c r="U2832" t="s">
        <v>47529</v>
      </c>
      <c r="W2832" t="s">
        <v>40378</v>
      </c>
      <c r="X2832" t="s">
        <v>43171</v>
      </c>
    </row>
    <row r="2833" spans="1:24">
      <c r="A2833">
        <f>HYPERLINK("https://www.philgeps.gov.ph/GEPSNONPILOT/Tender/SplashBidNoticeAbstractUI.aspx?menuIndex=3&amp;refID=7086955&amp;Result=3","7086955")</f>
        <v>0</v>
      </c>
      <c r="B2833" t="s">
        <v>1108</v>
      </c>
      <c r="C2833" t="s">
        <v>6126</v>
      </c>
      <c r="D2833" t="s">
        <v>17422</v>
      </c>
      <c r="E2833" t="s">
        <v>18410</v>
      </c>
      <c r="F2833" t="s">
        <v>30052</v>
      </c>
      <c r="G2833" t="s">
        <v>30062</v>
      </c>
      <c r="H2833" t="s">
        <v>15498</v>
      </c>
      <c r="I2833" t="s">
        <v>30070</v>
      </c>
      <c r="J2833" t="s">
        <v>30337</v>
      </c>
      <c r="K2833" t="s">
        <v>39034</v>
      </c>
      <c r="M2833" t="s">
        <v>40448</v>
      </c>
      <c r="N2833" t="s">
        <v>43166</v>
      </c>
      <c r="O2833" t="s">
        <v>43167</v>
      </c>
      <c r="P2833">
        <v>0</v>
      </c>
      <c r="Q2833">
        <v>0</v>
      </c>
      <c r="R2833" t="s">
        <v>43170</v>
      </c>
      <c r="S2833" t="s">
        <v>43297</v>
      </c>
      <c r="T2833" t="s">
        <v>44717</v>
      </c>
      <c r="U2833" t="s">
        <v>47530</v>
      </c>
      <c r="W2833" t="s">
        <v>40448</v>
      </c>
      <c r="X2833" t="s">
        <v>43171</v>
      </c>
    </row>
    <row r="2834" spans="1:24">
      <c r="A2834">
        <f>HYPERLINK("https://www.philgeps.gov.ph/GEPSNONPILOT/Tender/SplashBidNoticeAbstractUI.aspx?menuIndex=3&amp;refID=7086952&amp;Result=3","7086952")</f>
        <v>0</v>
      </c>
      <c r="B2834" t="s">
        <v>1103</v>
      </c>
      <c r="C2834" t="s">
        <v>6127</v>
      </c>
      <c r="D2834" t="s">
        <v>17415</v>
      </c>
      <c r="E2834" t="s">
        <v>19965</v>
      </c>
      <c r="F2834" t="s">
        <v>30052</v>
      </c>
      <c r="G2834" t="s">
        <v>30059</v>
      </c>
      <c r="H2834" t="s">
        <v>15498</v>
      </c>
      <c r="I2834" t="s">
        <v>4119</v>
      </c>
      <c r="J2834" t="s">
        <v>30398</v>
      </c>
      <c r="K2834" t="s">
        <v>39019</v>
      </c>
      <c r="M2834" t="s">
        <v>40442</v>
      </c>
      <c r="N2834" t="s">
        <v>43166</v>
      </c>
      <c r="O2834" t="s">
        <v>43167</v>
      </c>
      <c r="P2834">
        <v>0</v>
      </c>
      <c r="Q2834">
        <v>2</v>
      </c>
      <c r="R2834" t="s">
        <v>43170</v>
      </c>
      <c r="S2834" t="s">
        <v>43297</v>
      </c>
      <c r="T2834" t="s">
        <v>44710</v>
      </c>
      <c r="U2834" t="s">
        <v>47531</v>
      </c>
      <c r="W2834" t="s">
        <v>40442</v>
      </c>
      <c r="X2834" t="s">
        <v>43171</v>
      </c>
    </row>
    <row r="2835" spans="1:24">
      <c r="A2835">
        <f>HYPERLINK("https://www.philgeps.gov.ph/GEPSNONPILOT/Tender/SplashBidNoticeAbstractUI.aspx?menuIndex=3&amp;refID=7086917&amp;Result=3","7086917")</f>
        <v>0</v>
      </c>
      <c r="B2835" t="s">
        <v>1104</v>
      </c>
      <c r="C2835" t="s">
        <v>6128</v>
      </c>
      <c r="D2835" t="s">
        <v>17449</v>
      </c>
      <c r="E2835" t="s">
        <v>19966</v>
      </c>
      <c r="F2835" t="s">
        <v>30052</v>
      </c>
      <c r="G2835" t="s">
        <v>30058</v>
      </c>
      <c r="H2835" t="s">
        <v>15498</v>
      </c>
      <c r="I2835" t="s">
        <v>3736</v>
      </c>
      <c r="J2835" t="s">
        <v>30247</v>
      </c>
      <c r="K2835" t="s">
        <v>39019</v>
      </c>
      <c r="M2835" t="s">
        <v>40443</v>
      </c>
      <c r="N2835" t="s">
        <v>43166</v>
      </c>
      <c r="O2835" t="s">
        <v>43167</v>
      </c>
      <c r="P2835">
        <v>0</v>
      </c>
      <c r="Q2835">
        <v>0</v>
      </c>
      <c r="R2835" t="s">
        <v>43170</v>
      </c>
      <c r="S2835" t="s">
        <v>43297</v>
      </c>
      <c r="T2835" t="s">
        <v>44842</v>
      </c>
      <c r="U2835" t="s">
        <v>47532</v>
      </c>
      <c r="W2835" t="s">
        <v>40443</v>
      </c>
      <c r="X2835" t="s">
        <v>43171</v>
      </c>
    </row>
    <row r="2836" spans="1:24">
      <c r="A2836">
        <f>HYPERLINK("https://www.philgeps.gov.ph/GEPSNONPILOT/Tender/SplashBidNoticeAbstractUI.aspx?menuIndex=3&amp;refID=7086947&amp;Result=3","7086947")</f>
        <v>0</v>
      </c>
      <c r="B2836" t="s">
        <v>747</v>
      </c>
      <c r="C2836" t="s">
        <v>6129</v>
      </c>
      <c r="E2836" t="s">
        <v>19967</v>
      </c>
      <c r="F2836" t="s">
        <v>30052</v>
      </c>
      <c r="G2836" t="s">
        <v>30059</v>
      </c>
      <c r="H2836" t="s">
        <v>15498</v>
      </c>
      <c r="I2836" t="s">
        <v>4650</v>
      </c>
      <c r="J2836" t="s">
        <v>31326</v>
      </c>
      <c r="K2836" t="s">
        <v>39025</v>
      </c>
      <c r="M2836" t="s">
        <v>40061</v>
      </c>
      <c r="N2836" t="s">
        <v>43166</v>
      </c>
      <c r="O2836" t="s">
        <v>43167</v>
      </c>
      <c r="P2836">
        <v>0</v>
      </c>
      <c r="Q2836">
        <v>5</v>
      </c>
      <c r="R2836" t="s">
        <v>43170</v>
      </c>
      <c r="S2836" t="s">
        <v>43297</v>
      </c>
      <c r="T2836" t="s">
        <v>44837</v>
      </c>
      <c r="U2836" t="s">
        <v>45722</v>
      </c>
      <c r="W2836" t="s">
        <v>40061</v>
      </c>
      <c r="X2836" t="s">
        <v>43171</v>
      </c>
    </row>
    <row r="2837" spans="1:24">
      <c r="A2837">
        <f>HYPERLINK("https://www.philgeps.gov.ph/GEPSNONPILOT/Tender/SplashBidNoticeAbstractUI.aspx?menuIndex=3&amp;refID=7086914&amp;Result=3","7086914")</f>
        <v>0</v>
      </c>
      <c r="B2837" t="s">
        <v>1104</v>
      </c>
      <c r="C2837" t="s">
        <v>6130</v>
      </c>
      <c r="D2837" t="s">
        <v>17449</v>
      </c>
      <c r="E2837" t="s">
        <v>19968</v>
      </c>
      <c r="F2837" t="s">
        <v>30052</v>
      </c>
      <c r="G2837" t="s">
        <v>30058</v>
      </c>
      <c r="H2837" t="s">
        <v>15498</v>
      </c>
      <c r="I2837" t="s">
        <v>30073</v>
      </c>
      <c r="J2837" t="s">
        <v>30281</v>
      </c>
      <c r="K2837" t="s">
        <v>39019</v>
      </c>
      <c r="M2837" t="s">
        <v>40443</v>
      </c>
      <c r="N2837" t="s">
        <v>43166</v>
      </c>
      <c r="O2837" t="s">
        <v>43167</v>
      </c>
      <c r="P2837">
        <v>0</v>
      </c>
      <c r="Q2837">
        <v>1</v>
      </c>
      <c r="R2837" t="s">
        <v>43170</v>
      </c>
      <c r="S2837" t="s">
        <v>43297</v>
      </c>
      <c r="T2837" t="s">
        <v>44842</v>
      </c>
      <c r="U2837" t="s">
        <v>47533</v>
      </c>
      <c r="W2837" t="s">
        <v>40443</v>
      </c>
      <c r="X2837" t="s">
        <v>43171</v>
      </c>
    </row>
    <row r="2838" spans="1:24">
      <c r="A2838">
        <f>HYPERLINK("https://www.philgeps.gov.ph/GEPSNONPILOT/Tender/SplashBidNoticeAbstractUI.aspx?menuIndex=3&amp;refID=7086946&amp;Result=3","7086946")</f>
        <v>0</v>
      </c>
      <c r="B2838" t="s">
        <v>1109</v>
      </c>
      <c r="C2838" t="s">
        <v>6131</v>
      </c>
      <c r="E2838" t="s">
        <v>19969</v>
      </c>
      <c r="F2838" t="s">
        <v>30052</v>
      </c>
      <c r="G2838" t="s">
        <v>30059</v>
      </c>
      <c r="H2838" t="s">
        <v>15498</v>
      </c>
      <c r="I2838" t="s">
        <v>30084</v>
      </c>
      <c r="J2838" t="s">
        <v>30230</v>
      </c>
      <c r="K2838" t="s">
        <v>39019</v>
      </c>
      <c r="M2838" t="s">
        <v>40449</v>
      </c>
      <c r="N2838" t="s">
        <v>43166</v>
      </c>
      <c r="O2838" t="s">
        <v>43167</v>
      </c>
      <c r="P2838">
        <v>0</v>
      </c>
      <c r="Q2838">
        <v>2</v>
      </c>
      <c r="R2838" t="s">
        <v>43170</v>
      </c>
      <c r="S2838" t="s">
        <v>43297</v>
      </c>
      <c r="T2838" t="s">
        <v>44933</v>
      </c>
      <c r="U2838" t="s">
        <v>47534</v>
      </c>
      <c r="W2838" t="s">
        <v>40449</v>
      </c>
      <c r="X2838" t="s">
        <v>43171</v>
      </c>
    </row>
    <row r="2839" spans="1:24">
      <c r="A2839">
        <f>HYPERLINK("https://www.philgeps.gov.ph/GEPSNONPILOT/Tender/SplashBidNoticeAbstractUI.aspx?menuIndex=3&amp;refID=7086945&amp;Result=3","7086945")</f>
        <v>0</v>
      </c>
      <c r="B2839" t="s">
        <v>648</v>
      </c>
      <c r="C2839" t="s">
        <v>6132</v>
      </c>
      <c r="D2839" t="s">
        <v>17415</v>
      </c>
      <c r="E2839" t="s">
        <v>19970</v>
      </c>
      <c r="F2839" t="s">
        <v>30052</v>
      </c>
      <c r="G2839" t="s">
        <v>30059</v>
      </c>
      <c r="H2839" t="s">
        <v>15498</v>
      </c>
      <c r="I2839" t="s">
        <v>30094</v>
      </c>
      <c r="J2839" t="s">
        <v>32110</v>
      </c>
      <c r="K2839" t="s">
        <v>39037</v>
      </c>
      <c r="M2839" t="s">
        <v>39952</v>
      </c>
      <c r="N2839" t="s">
        <v>43166</v>
      </c>
      <c r="O2839" t="s">
        <v>43167</v>
      </c>
      <c r="P2839">
        <v>0</v>
      </c>
      <c r="Q2839">
        <v>1</v>
      </c>
      <c r="R2839" t="s">
        <v>43170</v>
      </c>
      <c r="S2839" t="s">
        <v>43297</v>
      </c>
      <c r="T2839" t="s">
        <v>44698</v>
      </c>
      <c r="U2839" t="s">
        <v>46452</v>
      </c>
      <c r="W2839" t="s">
        <v>39952</v>
      </c>
      <c r="X2839" t="s">
        <v>43171</v>
      </c>
    </row>
    <row r="2840" spans="1:24">
      <c r="A2840">
        <f>HYPERLINK("https://www.philgeps.gov.ph/GEPSNONPILOT/Tender/SplashBidNoticeAbstractUI.aspx?menuIndex=3&amp;refID=7086942&amp;Result=3","7086942")</f>
        <v>0</v>
      </c>
      <c r="B2840" t="s">
        <v>1110</v>
      </c>
      <c r="C2840" t="s">
        <v>6133</v>
      </c>
      <c r="D2840" t="s">
        <v>17415</v>
      </c>
      <c r="E2840" t="s">
        <v>19971</v>
      </c>
      <c r="F2840" t="s">
        <v>30052</v>
      </c>
      <c r="G2840" t="s">
        <v>30060</v>
      </c>
      <c r="H2840" t="s">
        <v>15498</v>
      </c>
      <c r="I2840" t="s">
        <v>30074</v>
      </c>
      <c r="J2840" t="s">
        <v>31375</v>
      </c>
      <c r="K2840" t="s">
        <v>39019</v>
      </c>
      <c r="M2840" t="s">
        <v>40450</v>
      </c>
      <c r="N2840" t="s">
        <v>43166</v>
      </c>
      <c r="O2840" t="s">
        <v>43167</v>
      </c>
      <c r="P2840">
        <v>0</v>
      </c>
      <c r="Q2840">
        <v>9</v>
      </c>
      <c r="R2840" t="s">
        <v>43170</v>
      </c>
      <c r="S2840" t="s">
        <v>43297</v>
      </c>
      <c r="T2840" t="s">
        <v>44677</v>
      </c>
      <c r="U2840" t="s">
        <v>47535</v>
      </c>
      <c r="V2840" t="s">
        <v>57158</v>
      </c>
      <c r="W2840" t="s">
        <v>40450</v>
      </c>
      <c r="X2840" t="s">
        <v>43171</v>
      </c>
    </row>
    <row r="2841" spans="1:24">
      <c r="A2841">
        <f>HYPERLINK("https://www.philgeps.gov.ph/GEPSNONPILOT/Tender/SplashBidNoticeAbstractUI.aspx?menuIndex=3&amp;refID=7086866&amp;Result=3","7086866")</f>
        <v>0</v>
      </c>
      <c r="B2841" t="s">
        <v>1091</v>
      </c>
      <c r="C2841" t="s">
        <v>6134</v>
      </c>
      <c r="D2841" t="s">
        <v>17435</v>
      </c>
      <c r="E2841" t="s">
        <v>19972</v>
      </c>
      <c r="F2841" t="s">
        <v>30052</v>
      </c>
      <c r="G2841" t="s">
        <v>30058</v>
      </c>
      <c r="H2841" t="s">
        <v>15498</v>
      </c>
      <c r="I2841" t="s">
        <v>30076</v>
      </c>
      <c r="J2841" t="s">
        <v>32111</v>
      </c>
      <c r="K2841" t="s">
        <v>39025</v>
      </c>
      <c r="M2841" t="s">
        <v>40429</v>
      </c>
      <c r="N2841" t="s">
        <v>43166</v>
      </c>
      <c r="O2841" t="s">
        <v>43167</v>
      </c>
      <c r="P2841">
        <v>0</v>
      </c>
      <c r="Q2841">
        <v>3</v>
      </c>
      <c r="R2841" t="s">
        <v>43170</v>
      </c>
      <c r="S2841" t="s">
        <v>43297</v>
      </c>
      <c r="T2841" t="s">
        <v>44754</v>
      </c>
      <c r="U2841" t="s">
        <v>47493</v>
      </c>
      <c r="V2841" t="s">
        <v>57152</v>
      </c>
      <c r="W2841" t="s">
        <v>40429</v>
      </c>
      <c r="X2841" t="s">
        <v>43171</v>
      </c>
    </row>
    <row r="2842" spans="1:24">
      <c r="A2842">
        <f>HYPERLINK("https://www.philgeps.gov.ph/GEPSNONPILOT/Tender/SplashBidNoticeAbstractUI.aspx?menuIndex=3&amp;refID=7086905&amp;Result=3","7086905")</f>
        <v>0</v>
      </c>
      <c r="B2842" t="s">
        <v>1091</v>
      </c>
      <c r="C2842" t="s">
        <v>6135</v>
      </c>
      <c r="D2842" t="s">
        <v>17435</v>
      </c>
      <c r="E2842" t="s">
        <v>19973</v>
      </c>
      <c r="F2842" t="s">
        <v>30052</v>
      </c>
      <c r="G2842" t="s">
        <v>30058</v>
      </c>
      <c r="H2842" t="s">
        <v>15498</v>
      </c>
      <c r="I2842" t="s">
        <v>30071</v>
      </c>
      <c r="J2842" t="s">
        <v>32112</v>
      </c>
      <c r="K2842" t="s">
        <v>39025</v>
      </c>
      <c r="M2842" t="s">
        <v>40429</v>
      </c>
      <c r="N2842" t="s">
        <v>43166</v>
      </c>
      <c r="O2842" t="s">
        <v>43167</v>
      </c>
      <c r="P2842">
        <v>0</v>
      </c>
      <c r="Q2842">
        <v>1</v>
      </c>
      <c r="R2842" t="s">
        <v>43170</v>
      </c>
      <c r="S2842" t="s">
        <v>43297</v>
      </c>
      <c r="T2842" t="s">
        <v>44775</v>
      </c>
      <c r="U2842" t="s">
        <v>47493</v>
      </c>
      <c r="V2842" t="s">
        <v>57152</v>
      </c>
      <c r="W2842" t="s">
        <v>40429</v>
      </c>
      <c r="X2842" t="s">
        <v>43171</v>
      </c>
    </row>
    <row r="2843" spans="1:24">
      <c r="A2843">
        <f>HYPERLINK("https://www.philgeps.gov.ph/GEPSNONPILOT/Tender/SplashBidNoticeAbstractUI.aspx?menuIndex=3&amp;refID=7086950&amp;Result=3","7086950")</f>
        <v>0</v>
      </c>
      <c r="B2843" t="s">
        <v>648</v>
      </c>
      <c r="C2843" t="s">
        <v>6136</v>
      </c>
      <c r="D2843" t="s">
        <v>17415</v>
      </c>
      <c r="E2843" t="s">
        <v>19974</v>
      </c>
      <c r="F2843" t="s">
        <v>30052</v>
      </c>
      <c r="G2843" t="s">
        <v>30059</v>
      </c>
      <c r="H2843" t="s">
        <v>15498</v>
      </c>
      <c r="I2843" t="s">
        <v>30081</v>
      </c>
      <c r="J2843" t="s">
        <v>32113</v>
      </c>
      <c r="K2843" t="s">
        <v>39037</v>
      </c>
      <c r="M2843" t="s">
        <v>39952</v>
      </c>
      <c r="N2843" t="s">
        <v>43166</v>
      </c>
      <c r="O2843" t="s">
        <v>43167</v>
      </c>
      <c r="P2843">
        <v>0</v>
      </c>
      <c r="Q2843">
        <v>0</v>
      </c>
      <c r="R2843" t="s">
        <v>43170</v>
      </c>
      <c r="S2843" t="s">
        <v>43297</v>
      </c>
      <c r="T2843" t="s">
        <v>44698</v>
      </c>
      <c r="U2843" t="s">
        <v>46452</v>
      </c>
      <c r="W2843" t="s">
        <v>39952</v>
      </c>
      <c r="X2843" t="s">
        <v>43171</v>
      </c>
    </row>
    <row r="2844" spans="1:24">
      <c r="A2844">
        <f>HYPERLINK("https://www.philgeps.gov.ph/GEPSNONPILOT/Tender/SplashBidNoticeAbstractUI.aspx?menuIndex=3&amp;refID=7086941&amp;Result=3","7086941")</f>
        <v>0</v>
      </c>
      <c r="B2844" t="s">
        <v>648</v>
      </c>
      <c r="C2844" t="s">
        <v>6137</v>
      </c>
      <c r="D2844" t="s">
        <v>17415</v>
      </c>
      <c r="E2844" t="s">
        <v>19975</v>
      </c>
      <c r="F2844" t="s">
        <v>30052</v>
      </c>
      <c r="G2844" t="s">
        <v>30058</v>
      </c>
      <c r="H2844" t="s">
        <v>30067</v>
      </c>
      <c r="I2844" t="s">
        <v>3693</v>
      </c>
      <c r="J2844" t="s">
        <v>32114</v>
      </c>
      <c r="K2844" t="s">
        <v>39115</v>
      </c>
      <c r="M2844" t="s">
        <v>39952</v>
      </c>
      <c r="N2844" t="s">
        <v>43166</v>
      </c>
      <c r="O2844" t="s">
        <v>43167</v>
      </c>
      <c r="P2844">
        <v>0</v>
      </c>
      <c r="Q2844">
        <v>4</v>
      </c>
      <c r="R2844" t="s">
        <v>43170</v>
      </c>
      <c r="S2844" t="s">
        <v>43297</v>
      </c>
      <c r="T2844" t="s">
        <v>44684</v>
      </c>
      <c r="U2844" t="s">
        <v>47536</v>
      </c>
      <c r="W2844" t="s">
        <v>39952</v>
      </c>
      <c r="X2844" t="s">
        <v>43171</v>
      </c>
    </row>
    <row r="2845" spans="1:24">
      <c r="A2845">
        <f>HYPERLINK("https://www.philgeps.gov.ph/GEPSNONPILOT/Tender/SplashBidNoticeAbstractUI.aspx?menuIndex=3&amp;refID=7086939&amp;Result=3","7086939")</f>
        <v>0</v>
      </c>
      <c r="B2845" t="s">
        <v>1111</v>
      </c>
      <c r="C2845" t="s">
        <v>6138</v>
      </c>
      <c r="D2845" t="s">
        <v>17413</v>
      </c>
      <c r="E2845" t="s">
        <v>19976</v>
      </c>
      <c r="F2845" t="s">
        <v>30052</v>
      </c>
      <c r="G2845" t="s">
        <v>30058</v>
      </c>
      <c r="H2845" t="s">
        <v>30067</v>
      </c>
      <c r="I2845" t="s">
        <v>3693</v>
      </c>
      <c r="J2845" t="s">
        <v>30605</v>
      </c>
      <c r="K2845" t="s">
        <v>39029</v>
      </c>
      <c r="M2845" t="s">
        <v>40451</v>
      </c>
      <c r="N2845" t="s">
        <v>43166</v>
      </c>
      <c r="O2845" t="s">
        <v>43167</v>
      </c>
      <c r="P2845">
        <v>0</v>
      </c>
      <c r="Q2845">
        <v>0</v>
      </c>
      <c r="R2845" t="s">
        <v>43170</v>
      </c>
      <c r="S2845" t="s">
        <v>43297</v>
      </c>
      <c r="T2845" t="s">
        <v>44934</v>
      </c>
      <c r="U2845" t="s">
        <v>47537</v>
      </c>
      <c r="W2845" t="s">
        <v>40451</v>
      </c>
      <c r="X2845" t="s">
        <v>43171</v>
      </c>
    </row>
    <row r="2846" spans="1:24">
      <c r="A2846">
        <f>HYPERLINK("https://www.philgeps.gov.ph/GEPSNONPILOT/Tender/SplashBidNoticeAbstractUI.aspx?menuIndex=3&amp;refID=7086936&amp;Result=3","7086936")</f>
        <v>0</v>
      </c>
      <c r="B2846" t="s">
        <v>1109</v>
      </c>
      <c r="C2846" t="s">
        <v>6139</v>
      </c>
      <c r="E2846" t="s">
        <v>19977</v>
      </c>
      <c r="F2846" t="s">
        <v>30052</v>
      </c>
      <c r="G2846" t="s">
        <v>30059</v>
      </c>
      <c r="H2846" t="s">
        <v>15498</v>
      </c>
      <c r="I2846" t="s">
        <v>30081</v>
      </c>
      <c r="J2846" t="s">
        <v>32115</v>
      </c>
      <c r="K2846" t="s">
        <v>39019</v>
      </c>
      <c r="M2846" t="s">
        <v>40449</v>
      </c>
      <c r="N2846" t="s">
        <v>43166</v>
      </c>
      <c r="O2846" t="s">
        <v>43167</v>
      </c>
      <c r="P2846">
        <v>0</v>
      </c>
      <c r="Q2846">
        <v>0</v>
      </c>
      <c r="R2846" t="s">
        <v>43170</v>
      </c>
      <c r="S2846" t="s">
        <v>43297</v>
      </c>
      <c r="T2846" t="s">
        <v>44844</v>
      </c>
      <c r="U2846" t="s">
        <v>47538</v>
      </c>
      <c r="W2846" t="s">
        <v>40449</v>
      </c>
      <c r="X2846" t="s">
        <v>43171</v>
      </c>
    </row>
    <row r="2847" spans="1:24">
      <c r="A2847">
        <f>HYPERLINK("https://www.philgeps.gov.ph/GEPSNONPILOT/Tender/SplashBidNoticeAbstractUI.aspx?menuIndex=3&amp;refID=7086934&amp;Result=3","7086934")</f>
        <v>0</v>
      </c>
      <c r="B2847" t="s">
        <v>1112</v>
      </c>
      <c r="C2847" t="s">
        <v>6140</v>
      </c>
      <c r="D2847" t="s">
        <v>17479</v>
      </c>
      <c r="E2847" t="s">
        <v>19978</v>
      </c>
      <c r="F2847" t="s">
        <v>30052</v>
      </c>
      <c r="G2847" t="s">
        <v>30058</v>
      </c>
      <c r="H2847" t="s">
        <v>15498</v>
      </c>
      <c r="I2847" t="s">
        <v>30115</v>
      </c>
      <c r="J2847" t="s">
        <v>30592</v>
      </c>
      <c r="K2847" t="s">
        <v>39037</v>
      </c>
      <c r="M2847" t="s">
        <v>40452</v>
      </c>
      <c r="N2847" t="s">
        <v>43166</v>
      </c>
      <c r="O2847" t="s">
        <v>43167</v>
      </c>
      <c r="P2847">
        <v>0</v>
      </c>
      <c r="Q2847">
        <v>2</v>
      </c>
      <c r="R2847" t="s">
        <v>43170</v>
      </c>
      <c r="S2847" t="s">
        <v>43297</v>
      </c>
      <c r="T2847" t="s">
        <v>44818</v>
      </c>
      <c r="U2847" t="s">
        <v>47539</v>
      </c>
      <c r="V2847" t="s">
        <v>57159</v>
      </c>
      <c r="W2847" t="s">
        <v>40452</v>
      </c>
      <c r="X2847" t="s">
        <v>43171</v>
      </c>
    </row>
    <row r="2848" spans="1:24">
      <c r="A2848">
        <f>HYPERLINK("https://www.philgeps.gov.ph/GEPSNONPILOT/Tender/SplashBidNoticeAbstractUI.aspx?menuIndex=3&amp;refID=7086933&amp;Result=3","7086933")</f>
        <v>0</v>
      </c>
      <c r="B2848" t="s">
        <v>1113</v>
      </c>
      <c r="C2848" t="s">
        <v>6141</v>
      </c>
      <c r="D2848" t="s">
        <v>17454</v>
      </c>
      <c r="E2848" t="s">
        <v>19979</v>
      </c>
      <c r="F2848" t="s">
        <v>30052</v>
      </c>
      <c r="G2848" t="s">
        <v>30059</v>
      </c>
      <c r="H2848" t="s">
        <v>15498</v>
      </c>
      <c r="I2848" t="s">
        <v>30172</v>
      </c>
      <c r="J2848" t="s">
        <v>30733</v>
      </c>
      <c r="K2848" t="s">
        <v>39018</v>
      </c>
      <c r="M2848" t="s">
        <v>40453</v>
      </c>
      <c r="N2848" t="s">
        <v>43166</v>
      </c>
      <c r="O2848" t="s">
        <v>43167</v>
      </c>
      <c r="P2848">
        <v>0</v>
      </c>
      <c r="Q2848">
        <v>2</v>
      </c>
      <c r="R2848" t="s">
        <v>43170</v>
      </c>
      <c r="S2848" t="s">
        <v>43297</v>
      </c>
      <c r="T2848" t="s">
        <v>44717</v>
      </c>
      <c r="U2848" t="s">
        <v>47540</v>
      </c>
      <c r="W2848" t="s">
        <v>40453</v>
      </c>
      <c r="X2848" t="s">
        <v>43171</v>
      </c>
    </row>
    <row r="2849" spans="1:24">
      <c r="A2849">
        <f>HYPERLINK("https://www.philgeps.gov.ph/GEPSNONPILOT/Tender/SplashBidNoticeAbstractUI.aspx?menuIndex=3&amp;refID=7086944&amp;Result=3","7086944")</f>
        <v>0</v>
      </c>
      <c r="B2849" t="s">
        <v>1103</v>
      </c>
      <c r="C2849" t="s">
        <v>6142</v>
      </c>
      <c r="D2849" t="s">
        <v>17415</v>
      </c>
      <c r="E2849" t="s">
        <v>19980</v>
      </c>
      <c r="F2849" t="s">
        <v>30052</v>
      </c>
      <c r="G2849" t="s">
        <v>30059</v>
      </c>
      <c r="H2849" t="s">
        <v>15498</v>
      </c>
      <c r="I2849" t="s">
        <v>4119</v>
      </c>
      <c r="J2849" t="s">
        <v>30538</v>
      </c>
      <c r="K2849" t="s">
        <v>39019</v>
      </c>
      <c r="M2849" t="s">
        <v>40442</v>
      </c>
      <c r="N2849" t="s">
        <v>43166</v>
      </c>
      <c r="O2849" t="s">
        <v>43167</v>
      </c>
      <c r="P2849">
        <v>0</v>
      </c>
      <c r="Q2849">
        <v>10</v>
      </c>
      <c r="R2849" t="s">
        <v>43170</v>
      </c>
      <c r="S2849" t="s">
        <v>43297</v>
      </c>
      <c r="T2849" t="s">
        <v>44710</v>
      </c>
      <c r="U2849" t="s">
        <v>47541</v>
      </c>
      <c r="W2849" t="s">
        <v>40442</v>
      </c>
      <c r="X2849" t="s">
        <v>43171</v>
      </c>
    </row>
    <row r="2850" spans="1:24">
      <c r="A2850">
        <f>HYPERLINK("https://www.philgeps.gov.ph/GEPSNONPILOT/Tender/SplashBidNoticeAbstractUI.aspx?menuIndex=3&amp;refID=7086932&amp;Result=3","7086932")</f>
        <v>0</v>
      </c>
      <c r="B2850" t="s">
        <v>1104</v>
      </c>
      <c r="C2850" t="s">
        <v>6143</v>
      </c>
      <c r="D2850" t="s">
        <v>17449</v>
      </c>
      <c r="E2850" t="s">
        <v>19981</v>
      </c>
      <c r="F2850" t="s">
        <v>30052</v>
      </c>
      <c r="G2850" t="s">
        <v>30058</v>
      </c>
      <c r="H2850" t="s">
        <v>30067</v>
      </c>
      <c r="I2850" t="s">
        <v>3693</v>
      </c>
      <c r="J2850" t="s">
        <v>30397</v>
      </c>
      <c r="K2850" t="s">
        <v>39029</v>
      </c>
      <c r="M2850" t="s">
        <v>40443</v>
      </c>
      <c r="N2850" t="s">
        <v>43166</v>
      </c>
      <c r="O2850" t="s">
        <v>43167</v>
      </c>
      <c r="P2850">
        <v>0</v>
      </c>
      <c r="Q2850">
        <v>0</v>
      </c>
      <c r="R2850" t="s">
        <v>43170</v>
      </c>
      <c r="S2850" t="s">
        <v>43297</v>
      </c>
      <c r="T2850" t="s">
        <v>44842</v>
      </c>
      <c r="U2850" t="s">
        <v>47517</v>
      </c>
      <c r="W2850" t="s">
        <v>40443</v>
      </c>
      <c r="X2850" t="s">
        <v>43171</v>
      </c>
    </row>
    <row r="2851" spans="1:24">
      <c r="A2851">
        <f>HYPERLINK("https://www.philgeps.gov.ph/GEPSNONPILOT/Tender/SplashBidNoticeAbstractUI.aspx?menuIndex=3&amp;refID=7086984&amp;Result=3","7086984")</f>
        <v>0</v>
      </c>
      <c r="B2851" t="s">
        <v>415</v>
      </c>
      <c r="C2851" t="s">
        <v>6144</v>
      </c>
      <c r="D2851" t="s">
        <v>17472</v>
      </c>
      <c r="E2851" t="s">
        <v>18363</v>
      </c>
      <c r="F2851" t="s">
        <v>30052</v>
      </c>
      <c r="G2851" t="s">
        <v>30061</v>
      </c>
      <c r="H2851" t="s">
        <v>15498</v>
      </c>
      <c r="I2851" t="s">
        <v>30073</v>
      </c>
      <c r="J2851" t="s">
        <v>32116</v>
      </c>
      <c r="K2851" t="s">
        <v>39034</v>
      </c>
      <c r="M2851" t="s">
        <v>39714</v>
      </c>
      <c r="N2851" t="s">
        <v>43166</v>
      </c>
      <c r="O2851" t="s">
        <v>43167</v>
      </c>
      <c r="P2851">
        <v>0</v>
      </c>
      <c r="Q2851">
        <v>0</v>
      </c>
      <c r="R2851" t="s">
        <v>43170</v>
      </c>
      <c r="S2851" t="s">
        <v>43297</v>
      </c>
      <c r="T2851" t="s">
        <v>44685</v>
      </c>
      <c r="U2851" t="s">
        <v>47542</v>
      </c>
      <c r="W2851" t="s">
        <v>39714</v>
      </c>
      <c r="X2851" t="s">
        <v>43171</v>
      </c>
    </row>
    <row r="2852" spans="1:24">
      <c r="A2852">
        <f>HYPERLINK("https://www.philgeps.gov.ph/GEPSNONPILOT/Tender/SplashBidNoticeAbstractUI.aspx?menuIndex=3&amp;refID=7086990&amp;Result=3","7086990")</f>
        <v>0</v>
      </c>
      <c r="B2852" t="s">
        <v>509</v>
      </c>
      <c r="C2852" t="s">
        <v>6145</v>
      </c>
      <c r="D2852" t="s">
        <v>17415</v>
      </c>
      <c r="E2852" t="s">
        <v>19982</v>
      </c>
      <c r="F2852" t="s">
        <v>30052</v>
      </c>
      <c r="G2852" t="s">
        <v>30059</v>
      </c>
      <c r="H2852" t="s">
        <v>30068</v>
      </c>
      <c r="I2852" t="s">
        <v>30068</v>
      </c>
      <c r="J2852" t="s">
        <v>32117</v>
      </c>
      <c r="K2852" t="s">
        <v>39054</v>
      </c>
      <c r="M2852" t="s">
        <v>39810</v>
      </c>
      <c r="N2852" t="s">
        <v>43166</v>
      </c>
      <c r="O2852" t="s">
        <v>43167</v>
      </c>
      <c r="P2852">
        <v>0</v>
      </c>
      <c r="Q2852">
        <v>1</v>
      </c>
      <c r="R2852" t="s">
        <v>43170</v>
      </c>
      <c r="S2852" t="s">
        <v>43297</v>
      </c>
      <c r="T2852" t="s">
        <v>44710</v>
      </c>
      <c r="U2852" t="s">
        <v>46172</v>
      </c>
      <c r="W2852" t="s">
        <v>39810</v>
      </c>
      <c r="X2852" t="s">
        <v>43171</v>
      </c>
    </row>
    <row r="2853" spans="1:24">
      <c r="A2853">
        <f>HYPERLINK("https://www.philgeps.gov.ph/GEPSNONPILOT/Tender/SplashBidNoticeAbstractUI.aspx?menuIndex=3&amp;refID=7086989&amp;Result=3","7086989")</f>
        <v>0</v>
      </c>
      <c r="B2853" t="s">
        <v>415</v>
      </c>
      <c r="C2853" t="s">
        <v>6146</v>
      </c>
      <c r="D2853" t="s">
        <v>17472</v>
      </c>
      <c r="E2853" t="s">
        <v>18363</v>
      </c>
      <c r="F2853" t="s">
        <v>30052</v>
      </c>
      <c r="G2853" t="s">
        <v>30061</v>
      </c>
      <c r="H2853" t="s">
        <v>15498</v>
      </c>
      <c r="I2853" t="s">
        <v>30081</v>
      </c>
      <c r="J2853" t="s">
        <v>30667</v>
      </c>
      <c r="K2853" t="s">
        <v>39034</v>
      </c>
      <c r="M2853" t="s">
        <v>39714</v>
      </c>
      <c r="N2853" t="s">
        <v>43166</v>
      </c>
      <c r="O2853" t="s">
        <v>43167</v>
      </c>
      <c r="P2853">
        <v>0</v>
      </c>
      <c r="Q2853">
        <v>0</v>
      </c>
      <c r="R2853" t="s">
        <v>43170</v>
      </c>
      <c r="S2853" t="s">
        <v>43297</v>
      </c>
      <c r="T2853" t="s">
        <v>44685</v>
      </c>
      <c r="U2853" t="s">
        <v>47543</v>
      </c>
      <c r="W2853" t="s">
        <v>39714</v>
      </c>
      <c r="X2853" t="s">
        <v>43171</v>
      </c>
    </row>
    <row r="2854" spans="1:24">
      <c r="A2854">
        <f>HYPERLINK("https://www.philgeps.gov.ph/GEPSNONPILOT/Tender/SplashBidNoticeAbstractUI.aspx?menuIndex=3&amp;refID=7086940&amp;Result=3","7086940")</f>
        <v>0</v>
      </c>
      <c r="B2854" t="s">
        <v>1102</v>
      </c>
      <c r="C2854" t="s">
        <v>6106</v>
      </c>
      <c r="D2854" t="s">
        <v>17415</v>
      </c>
      <c r="E2854" t="s">
        <v>17653</v>
      </c>
      <c r="F2854" t="s">
        <v>30052</v>
      </c>
      <c r="G2854" t="s">
        <v>30059</v>
      </c>
      <c r="H2854" t="s">
        <v>15498</v>
      </c>
      <c r="I2854" t="s">
        <v>8323</v>
      </c>
      <c r="J2854" t="s">
        <v>32118</v>
      </c>
      <c r="K2854" t="s">
        <v>39019</v>
      </c>
      <c r="M2854" t="s">
        <v>40441</v>
      </c>
      <c r="N2854" t="s">
        <v>43166</v>
      </c>
      <c r="O2854" t="s">
        <v>43167</v>
      </c>
      <c r="P2854">
        <v>0</v>
      </c>
      <c r="Q2854">
        <v>7</v>
      </c>
      <c r="R2854" t="s">
        <v>43170</v>
      </c>
      <c r="S2854" t="s">
        <v>43297</v>
      </c>
      <c r="T2854" t="s">
        <v>44930</v>
      </c>
      <c r="U2854" t="s">
        <v>47544</v>
      </c>
      <c r="W2854" t="s">
        <v>40441</v>
      </c>
      <c r="X2854" t="s">
        <v>43171</v>
      </c>
    </row>
    <row r="2855" spans="1:24">
      <c r="A2855">
        <f>HYPERLINK("https://www.philgeps.gov.ph/GEPSNONPILOT/Tender/SplashBidNoticeAbstractUI.aspx?menuIndex=3&amp;refID=7086987&amp;Result=3","7086987")</f>
        <v>0</v>
      </c>
      <c r="B2855" t="s">
        <v>415</v>
      </c>
      <c r="C2855" t="s">
        <v>6147</v>
      </c>
      <c r="D2855" t="s">
        <v>17472</v>
      </c>
      <c r="E2855" t="s">
        <v>18363</v>
      </c>
      <c r="F2855" t="s">
        <v>30052</v>
      </c>
      <c r="G2855" t="s">
        <v>30061</v>
      </c>
      <c r="H2855" t="s">
        <v>15498</v>
      </c>
      <c r="I2855" t="s">
        <v>30081</v>
      </c>
      <c r="J2855" t="s">
        <v>32119</v>
      </c>
      <c r="K2855" t="s">
        <v>39034</v>
      </c>
      <c r="M2855" t="s">
        <v>39714</v>
      </c>
      <c r="N2855" t="s">
        <v>43166</v>
      </c>
      <c r="O2855" t="s">
        <v>43167</v>
      </c>
      <c r="P2855">
        <v>0</v>
      </c>
      <c r="Q2855">
        <v>0</v>
      </c>
      <c r="R2855" t="s">
        <v>43170</v>
      </c>
      <c r="S2855" t="s">
        <v>43297</v>
      </c>
      <c r="T2855" t="s">
        <v>44685</v>
      </c>
      <c r="U2855" t="s">
        <v>47545</v>
      </c>
      <c r="W2855" t="s">
        <v>39714</v>
      </c>
      <c r="X2855" t="s">
        <v>43171</v>
      </c>
    </row>
    <row r="2856" spans="1:24">
      <c r="A2856">
        <f>HYPERLINK("https://www.philgeps.gov.ph/GEPSNONPILOT/Tender/SplashBidNoticeAbstractUI.aspx?menuIndex=3&amp;refID=7086983&amp;Result=3","7086983")</f>
        <v>0</v>
      </c>
      <c r="B2856" t="s">
        <v>415</v>
      </c>
      <c r="C2856" t="s">
        <v>6148</v>
      </c>
      <c r="D2856" t="s">
        <v>17472</v>
      </c>
      <c r="E2856" t="s">
        <v>18363</v>
      </c>
      <c r="F2856" t="s">
        <v>30052</v>
      </c>
      <c r="G2856" t="s">
        <v>30061</v>
      </c>
      <c r="H2856" t="s">
        <v>15498</v>
      </c>
      <c r="I2856" t="s">
        <v>30110</v>
      </c>
      <c r="J2856" t="s">
        <v>31463</v>
      </c>
      <c r="K2856" t="s">
        <v>39034</v>
      </c>
      <c r="M2856" t="s">
        <v>39714</v>
      </c>
      <c r="N2856" t="s">
        <v>43166</v>
      </c>
      <c r="O2856" t="s">
        <v>43167</v>
      </c>
      <c r="P2856">
        <v>0</v>
      </c>
      <c r="Q2856">
        <v>0</v>
      </c>
      <c r="R2856" t="s">
        <v>43170</v>
      </c>
      <c r="S2856" t="s">
        <v>43297</v>
      </c>
      <c r="T2856" t="s">
        <v>44685</v>
      </c>
      <c r="U2856" t="s">
        <v>47546</v>
      </c>
      <c r="W2856" t="s">
        <v>39714</v>
      </c>
      <c r="X2856" t="s">
        <v>43171</v>
      </c>
    </row>
    <row r="2857" spans="1:24">
      <c r="A2857">
        <f>HYPERLINK("https://www.philgeps.gov.ph/GEPSNONPILOT/Tender/SplashBidNoticeAbstractUI.aspx?menuIndex=3&amp;refID=7086935&amp;Result=3","7086935")</f>
        <v>0</v>
      </c>
      <c r="B2857" t="s">
        <v>1113</v>
      </c>
      <c r="C2857" t="s">
        <v>6149</v>
      </c>
      <c r="D2857" t="s">
        <v>17454</v>
      </c>
      <c r="E2857" t="s">
        <v>19983</v>
      </c>
      <c r="F2857" t="s">
        <v>30052</v>
      </c>
      <c r="G2857" t="s">
        <v>30059</v>
      </c>
      <c r="H2857" t="s">
        <v>15498</v>
      </c>
      <c r="I2857" t="s">
        <v>30084</v>
      </c>
      <c r="J2857" t="s">
        <v>30533</v>
      </c>
      <c r="K2857" t="s">
        <v>39018</v>
      </c>
      <c r="M2857" t="s">
        <v>40453</v>
      </c>
      <c r="N2857" t="s">
        <v>43166</v>
      </c>
      <c r="O2857" t="s">
        <v>43167</v>
      </c>
      <c r="Q2857">
        <v>2</v>
      </c>
      <c r="R2857" t="s">
        <v>43170</v>
      </c>
      <c r="S2857" t="s">
        <v>43310</v>
      </c>
      <c r="T2857" t="s">
        <v>44717</v>
      </c>
      <c r="U2857" t="s">
        <v>47547</v>
      </c>
      <c r="W2857" t="s">
        <v>40453</v>
      </c>
      <c r="X2857" t="s">
        <v>43171</v>
      </c>
    </row>
    <row r="2858" spans="1:24">
      <c r="A2858">
        <f>HYPERLINK("https://www.philgeps.gov.ph/GEPSNONPILOT/Tender/SplashBidNoticeAbstractUI.aspx?menuIndex=3&amp;refID=7086943&amp;Result=3","7086943")</f>
        <v>0</v>
      </c>
      <c r="B2858" t="s">
        <v>672</v>
      </c>
      <c r="C2858" t="s">
        <v>6150</v>
      </c>
      <c r="D2858" t="s">
        <v>17418</v>
      </c>
      <c r="E2858" t="s">
        <v>19984</v>
      </c>
      <c r="F2858" t="s">
        <v>30052</v>
      </c>
      <c r="G2858" t="s">
        <v>30059</v>
      </c>
      <c r="H2858" t="s">
        <v>15498</v>
      </c>
      <c r="I2858" t="s">
        <v>4642</v>
      </c>
      <c r="J2858" t="s">
        <v>30292</v>
      </c>
      <c r="K2858" t="s">
        <v>39064</v>
      </c>
      <c r="M2858" t="s">
        <v>39978</v>
      </c>
      <c r="N2858" t="s">
        <v>43166</v>
      </c>
      <c r="O2858" t="s">
        <v>43167</v>
      </c>
      <c r="P2858">
        <v>0</v>
      </c>
      <c r="Q2858">
        <v>0</v>
      </c>
      <c r="R2858" t="s">
        <v>43170</v>
      </c>
      <c r="S2858" t="s">
        <v>43297</v>
      </c>
      <c r="T2858" t="s">
        <v>44893</v>
      </c>
      <c r="U2858" t="s">
        <v>47548</v>
      </c>
      <c r="W2858" t="s">
        <v>39978</v>
      </c>
      <c r="X2858" t="s">
        <v>43171</v>
      </c>
    </row>
    <row r="2859" spans="1:24">
      <c r="A2859">
        <f>HYPERLINK("https://www.philgeps.gov.ph/GEPSNONPILOT/Tender/SplashBidNoticeAbstractUI.aspx?menuIndex=3&amp;refID=7086975&amp;Result=3","7086975")</f>
        <v>0</v>
      </c>
      <c r="B2859" t="s">
        <v>415</v>
      </c>
      <c r="C2859" t="s">
        <v>6151</v>
      </c>
      <c r="D2859" t="s">
        <v>17472</v>
      </c>
      <c r="E2859" t="s">
        <v>18363</v>
      </c>
      <c r="F2859" t="s">
        <v>30052</v>
      </c>
      <c r="G2859" t="s">
        <v>30061</v>
      </c>
      <c r="H2859" t="s">
        <v>15498</v>
      </c>
      <c r="I2859" t="s">
        <v>30151</v>
      </c>
      <c r="J2859" t="s">
        <v>32120</v>
      </c>
      <c r="K2859" t="s">
        <v>39034</v>
      </c>
      <c r="M2859" t="s">
        <v>39714</v>
      </c>
      <c r="N2859" t="s">
        <v>43166</v>
      </c>
      <c r="O2859" t="s">
        <v>43167</v>
      </c>
      <c r="P2859">
        <v>0</v>
      </c>
      <c r="Q2859">
        <v>0</v>
      </c>
      <c r="R2859" t="s">
        <v>43170</v>
      </c>
      <c r="S2859" t="s">
        <v>43297</v>
      </c>
      <c r="T2859" t="s">
        <v>44685</v>
      </c>
      <c r="U2859" t="s">
        <v>47549</v>
      </c>
      <c r="W2859" t="s">
        <v>39714</v>
      </c>
      <c r="X2859" t="s">
        <v>43171</v>
      </c>
    </row>
    <row r="2860" spans="1:24">
      <c r="A2860">
        <f>HYPERLINK("https://www.philgeps.gov.ph/GEPSNONPILOT/Tender/SplashBidNoticeAbstractUI.aspx?menuIndex=3&amp;refID=7086985&amp;Result=3","7086985")</f>
        <v>0</v>
      </c>
      <c r="B2860" t="s">
        <v>1114</v>
      </c>
      <c r="C2860" t="s">
        <v>6152</v>
      </c>
      <c r="D2860" t="s">
        <v>17466</v>
      </c>
      <c r="E2860" t="s">
        <v>19985</v>
      </c>
      <c r="F2860" t="s">
        <v>30052</v>
      </c>
      <c r="G2860" t="s">
        <v>30059</v>
      </c>
      <c r="H2860" t="s">
        <v>30067</v>
      </c>
      <c r="I2860" t="s">
        <v>3693</v>
      </c>
      <c r="J2860" t="s">
        <v>32121</v>
      </c>
      <c r="K2860" t="s">
        <v>39034</v>
      </c>
      <c r="M2860" t="s">
        <v>40454</v>
      </c>
      <c r="N2860" t="s">
        <v>43166</v>
      </c>
      <c r="O2860" t="s">
        <v>43167</v>
      </c>
      <c r="P2860">
        <v>0</v>
      </c>
      <c r="Q2860">
        <v>0</v>
      </c>
      <c r="R2860" t="s">
        <v>43170</v>
      </c>
      <c r="S2860" t="s">
        <v>43297</v>
      </c>
      <c r="T2860" t="s">
        <v>44735</v>
      </c>
      <c r="U2860" t="s">
        <v>47550</v>
      </c>
      <c r="W2860" t="s">
        <v>40454</v>
      </c>
      <c r="X2860" t="s">
        <v>43171</v>
      </c>
    </row>
    <row r="2861" spans="1:24">
      <c r="A2861">
        <f>HYPERLINK("https://www.philgeps.gov.ph/GEPSNONPILOT/Tender/SplashBidNoticeAbstractUI.aspx?menuIndex=3&amp;refID=7086980&amp;Result=3","7086980")</f>
        <v>0</v>
      </c>
      <c r="B2861" t="s">
        <v>1115</v>
      </c>
      <c r="C2861" t="s">
        <v>6153</v>
      </c>
      <c r="D2861" t="s">
        <v>17451</v>
      </c>
      <c r="E2861" t="s">
        <v>19986</v>
      </c>
      <c r="F2861" t="s">
        <v>30052</v>
      </c>
      <c r="G2861" t="s">
        <v>30059</v>
      </c>
      <c r="H2861" t="s">
        <v>30068</v>
      </c>
      <c r="I2861" t="s">
        <v>30068</v>
      </c>
      <c r="J2861" t="s">
        <v>31977</v>
      </c>
      <c r="K2861" t="s">
        <v>39076</v>
      </c>
      <c r="M2861" t="s">
        <v>40455</v>
      </c>
      <c r="N2861" t="s">
        <v>43166</v>
      </c>
      <c r="O2861" t="s">
        <v>43167</v>
      </c>
      <c r="P2861">
        <v>0</v>
      </c>
      <c r="Q2861">
        <v>4</v>
      </c>
      <c r="R2861" t="s">
        <v>43170</v>
      </c>
      <c r="S2861" t="s">
        <v>43297</v>
      </c>
      <c r="T2861" t="s">
        <v>44734</v>
      </c>
      <c r="U2861" t="s">
        <v>47551</v>
      </c>
      <c r="W2861" t="s">
        <v>40455</v>
      </c>
      <c r="X2861" t="s">
        <v>43171</v>
      </c>
    </row>
    <row r="2862" spans="1:24">
      <c r="A2862">
        <f>HYPERLINK("https://www.philgeps.gov.ph/GEPSNONPILOT/Tender/SplashBidNoticeAbstractUI.aspx?menuIndex=3&amp;refID=7086979&amp;Result=3","7086979")</f>
        <v>0</v>
      </c>
      <c r="B2862" t="s">
        <v>1116</v>
      </c>
      <c r="C2862" t="s">
        <v>6154</v>
      </c>
      <c r="D2862" t="s">
        <v>17432</v>
      </c>
      <c r="E2862" t="s">
        <v>18647</v>
      </c>
      <c r="F2862" t="s">
        <v>30052</v>
      </c>
      <c r="G2862" t="s">
        <v>30061</v>
      </c>
      <c r="H2862" t="s">
        <v>30069</v>
      </c>
      <c r="I2862" t="s">
        <v>30070</v>
      </c>
      <c r="J2862" t="s">
        <v>32122</v>
      </c>
      <c r="K2862" t="s">
        <v>39040</v>
      </c>
      <c r="L2862" t="s">
        <v>1116</v>
      </c>
      <c r="M2862" t="s">
        <v>40456</v>
      </c>
      <c r="N2862" t="s">
        <v>43166</v>
      </c>
      <c r="O2862" t="s">
        <v>43167</v>
      </c>
      <c r="P2862">
        <v>0</v>
      </c>
      <c r="Q2862">
        <v>1</v>
      </c>
      <c r="R2862" t="s">
        <v>43170</v>
      </c>
      <c r="S2862" t="s">
        <v>43297</v>
      </c>
      <c r="T2862" t="s">
        <v>44893</v>
      </c>
      <c r="U2862" t="s">
        <v>47552</v>
      </c>
      <c r="W2862" t="s">
        <v>40456</v>
      </c>
      <c r="X2862" t="s">
        <v>43171</v>
      </c>
    </row>
    <row r="2863" spans="1:24">
      <c r="A2863">
        <f>HYPERLINK("https://www.philgeps.gov.ph/GEPSNONPILOT/Tender/SplashBidNoticeAbstractUI.aspx?menuIndex=3&amp;refID=7086972&amp;Result=3","7086972")</f>
        <v>0</v>
      </c>
      <c r="B2863" t="s">
        <v>415</v>
      </c>
      <c r="C2863" t="s">
        <v>6155</v>
      </c>
      <c r="D2863" t="s">
        <v>17472</v>
      </c>
      <c r="E2863" t="s">
        <v>18363</v>
      </c>
      <c r="F2863" t="s">
        <v>30052</v>
      </c>
      <c r="G2863" t="s">
        <v>30061</v>
      </c>
      <c r="H2863" t="s">
        <v>15498</v>
      </c>
      <c r="I2863" t="s">
        <v>30081</v>
      </c>
      <c r="J2863" t="s">
        <v>32123</v>
      </c>
      <c r="K2863" t="s">
        <v>39034</v>
      </c>
      <c r="M2863" t="s">
        <v>39714</v>
      </c>
      <c r="N2863" t="s">
        <v>43166</v>
      </c>
      <c r="O2863" t="s">
        <v>43167</v>
      </c>
      <c r="P2863">
        <v>0</v>
      </c>
      <c r="Q2863">
        <v>0</v>
      </c>
      <c r="R2863" t="s">
        <v>43170</v>
      </c>
      <c r="S2863" t="s">
        <v>43297</v>
      </c>
      <c r="T2863" t="s">
        <v>44685</v>
      </c>
      <c r="U2863" t="s">
        <v>47553</v>
      </c>
      <c r="W2863" t="s">
        <v>39714</v>
      </c>
      <c r="X2863" t="s">
        <v>43171</v>
      </c>
    </row>
    <row r="2864" spans="1:24">
      <c r="A2864">
        <f>HYPERLINK("https://www.philgeps.gov.ph/GEPSNONPILOT/Tender/SplashBidNoticeAbstractUI.aspx?menuIndex=3&amp;refID=7086970&amp;Result=3","7086970")</f>
        <v>0</v>
      </c>
      <c r="B2864" t="s">
        <v>465</v>
      </c>
      <c r="C2864" t="s">
        <v>6156</v>
      </c>
      <c r="D2864" t="s">
        <v>17448</v>
      </c>
      <c r="E2864" t="s">
        <v>19987</v>
      </c>
      <c r="F2864" t="s">
        <v>30052</v>
      </c>
      <c r="G2864" t="s">
        <v>30061</v>
      </c>
      <c r="H2864" t="s">
        <v>15498</v>
      </c>
      <c r="I2864" t="s">
        <v>30125</v>
      </c>
      <c r="J2864" t="s">
        <v>30398</v>
      </c>
      <c r="K2864" t="s">
        <v>39025</v>
      </c>
      <c r="M2864" t="s">
        <v>39766</v>
      </c>
      <c r="N2864" t="s">
        <v>43166</v>
      </c>
      <c r="O2864" t="s">
        <v>43167</v>
      </c>
      <c r="P2864">
        <v>0</v>
      </c>
      <c r="Q2864">
        <v>0</v>
      </c>
      <c r="R2864" t="s">
        <v>43170</v>
      </c>
      <c r="S2864" t="s">
        <v>43297</v>
      </c>
      <c r="T2864" t="s">
        <v>44773</v>
      </c>
      <c r="U2864" t="s">
        <v>47554</v>
      </c>
      <c r="W2864" t="s">
        <v>39766</v>
      </c>
      <c r="X2864" t="s">
        <v>43171</v>
      </c>
    </row>
    <row r="2865" spans="1:24">
      <c r="A2865">
        <f>HYPERLINK("https://www.philgeps.gov.ph/GEPSNONPILOT/Tender/SplashBidNoticeAbstractUI.aspx?menuIndex=3&amp;refID=7086884&amp;Result=3","7086884")</f>
        <v>0</v>
      </c>
      <c r="B2865" t="s">
        <v>671</v>
      </c>
      <c r="C2865" t="s">
        <v>6157</v>
      </c>
      <c r="E2865" t="s">
        <v>19988</v>
      </c>
      <c r="F2865" t="s">
        <v>30052</v>
      </c>
      <c r="G2865" t="s">
        <v>30059</v>
      </c>
      <c r="H2865" t="s">
        <v>15498</v>
      </c>
      <c r="I2865" t="s">
        <v>30096</v>
      </c>
      <c r="J2865" t="s">
        <v>32124</v>
      </c>
      <c r="K2865" t="s">
        <v>39025</v>
      </c>
      <c r="M2865" t="s">
        <v>39977</v>
      </c>
      <c r="N2865" t="s">
        <v>43166</v>
      </c>
      <c r="O2865" t="s">
        <v>43167</v>
      </c>
      <c r="P2865">
        <v>0</v>
      </c>
      <c r="Q2865">
        <v>0</v>
      </c>
      <c r="R2865" t="s">
        <v>43170</v>
      </c>
      <c r="S2865" t="s">
        <v>43297</v>
      </c>
      <c r="T2865" t="s">
        <v>44717</v>
      </c>
      <c r="U2865" t="s">
        <v>47555</v>
      </c>
      <c r="W2865" t="s">
        <v>39977</v>
      </c>
      <c r="X2865" t="s">
        <v>43171</v>
      </c>
    </row>
    <row r="2866" spans="1:24">
      <c r="A2866">
        <f>HYPERLINK("https://www.philgeps.gov.ph/GEPSNONPILOT/Tender/SplashBidNoticeAbstractUI.aspx?menuIndex=3&amp;refID=7086960&amp;Result=3","7086960")</f>
        <v>0</v>
      </c>
      <c r="B2866" t="s">
        <v>1117</v>
      </c>
      <c r="C2866" t="s">
        <v>6158</v>
      </c>
      <c r="D2866" t="s">
        <v>17415</v>
      </c>
      <c r="E2866" t="s">
        <v>19989</v>
      </c>
      <c r="F2866" t="s">
        <v>30052</v>
      </c>
      <c r="G2866" t="s">
        <v>30059</v>
      </c>
      <c r="H2866" t="s">
        <v>15498</v>
      </c>
      <c r="I2866" t="s">
        <v>30068</v>
      </c>
      <c r="J2866" t="s">
        <v>30252</v>
      </c>
      <c r="K2866" t="s">
        <v>39095</v>
      </c>
      <c r="M2866" t="s">
        <v>40457</v>
      </c>
      <c r="N2866" t="s">
        <v>43166</v>
      </c>
      <c r="O2866" t="s">
        <v>43167</v>
      </c>
      <c r="P2866">
        <v>0</v>
      </c>
      <c r="Q2866">
        <v>7</v>
      </c>
      <c r="R2866" t="s">
        <v>43170</v>
      </c>
      <c r="S2866" t="s">
        <v>43297</v>
      </c>
      <c r="T2866" t="s">
        <v>44733</v>
      </c>
      <c r="U2866" t="s">
        <v>47556</v>
      </c>
      <c r="W2866" t="s">
        <v>40457</v>
      </c>
      <c r="X2866" t="s">
        <v>43171</v>
      </c>
    </row>
    <row r="2867" spans="1:24">
      <c r="A2867">
        <f>HYPERLINK("https://www.philgeps.gov.ph/GEPSNONPILOT/Tender/SplashBidNoticeAbstractUI.aspx?menuIndex=3&amp;refID=7086973&amp;Result=3","7086973")</f>
        <v>0</v>
      </c>
      <c r="B2867" t="s">
        <v>1118</v>
      </c>
      <c r="C2867" t="s">
        <v>6159</v>
      </c>
      <c r="D2867" t="s">
        <v>17453</v>
      </c>
      <c r="E2867" t="s">
        <v>19990</v>
      </c>
      <c r="F2867" t="s">
        <v>30052</v>
      </c>
      <c r="G2867" t="s">
        <v>30059</v>
      </c>
      <c r="H2867" t="s">
        <v>15498</v>
      </c>
      <c r="I2867" t="s">
        <v>30100</v>
      </c>
      <c r="J2867" t="s">
        <v>31233</v>
      </c>
      <c r="K2867" t="s">
        <v>39029</v>
      </c>
      <c r="M2867" t="s">
        <v>40458</v>
      </c>
      <c r="N2867" t="s">
        <v>43166</v>
      </c>
      <c r="O2867" t="s">
        <v>43167</v>
      </c>
      <c r="P2867">
        <v>0</v>
      </c>
      <c r="Q2867">
        <v>2</v>
      </c>
      <c r="R2867" t="s">
        <v>43170</v>
      </c>
      <c r="S2867" t="s">
        <v>43297</v>
      </c>
      <c r="T2867" t="s">
        <v>44843</v>
      </c>
      <c r="U2867" t="s">
        <v>47557</v>
      </c>
      <c r="W2867" t="s">
        <v>40458</v>
      </c>
      <c r="X2867" t="s">
        <v>43171</v>
      </c>
    </row>
    <row r="2868" spans="1:24">
      <c r="A2868">
        <f>HYPERLINK("https://www.philgeps.gov.ph/GEPSNONPILOT/Tender/SplashBidNoticeAbstractUI.aspx?menuIndex=3&amp;refID=7086959&amp;Result=3","7086959")</f>
        <v>0</v>
      </c>
      <c r="B2868" t="s">
        <v>793</v>
      </c>
      <c r="C2868" t="s">
        <v>6160</v>
      </c>
      <c r="D2868" t="s">
        <v>17444</v>
      </c>
      <c r="E2868" t="s">
        <v>19991</v>
      </c>
      <c r="F2868" t="s">
        <v>30052</v>
      </c>
      <c r="G2868" t="s">
        <v>30059</v>
      </c>
      <c r="H2868" t="s">
        <v>30068</v>
      </c>
      <c r="I2868" t="s">
        <v>30161</v>
      </c>
      <c r="J2868" t="s">
        <v>30915</v>
      </c>
      <c r="K2868" t="s">
        <v>39031</v>
      </c>
      <c r="M2868" t="s">
        <v>40110</v>
      </c>
      <c r="N2868" t="s">
        <v>43166</v>
      </c>
      <c r="O2868" t="s">
        <v>43167</v>
      </c>
      <c r="P2868">
        <v>0</v>
      </c>
      <c r="Q2868">
        <v>0</v>
      </c>
      <c r="R2868" t="s">
        <v>43170</v>
      </c>
      <c r="S2868" t="s">
        <v>43297</v>
      </c>
      <c r="T2868" t="s">
        <v>44735</v>
      </c>
      <c r="U2868" t="s">
        <v>47558</v>
      </c>
      <c r="W2868" t="s">
        <v>40110</v>
      </c>
      <c r="X2868" t="s">
        <v>43171</v>
      </c>
    </row>
    <row r="2869" spans="1:24">
      <c r="A2869">
        <f>HYPERLINK("https://www.philgeps.gov.ph/GEPSNONPILOT/Tender/SplashBidNoticeAbstractUI.aspx?menuIndex=3&amp;refID=7086968&amp;Result=3","7086968")</f>
        <v>0</v>
      </c>
      <c r="B2869" t="s">
        <v>1119</v>
      </c>
      <c r="C2869" t="s">
        <v>6161</v>
      </c>
      <c r="D2869" t="s">
        <v>17455</v>
      </c>
      <c r="E2869" t="s">
        <v>19992</v>
      </c>
      <c r="F2869" t="s">
        <v>30052</v>
      </c>
      <c r="G2869" t="s">
        <v>30058</v>
      </c>
      <c r="H2869" t="s">
        <v>15498</v>
      </c>
      <c r="I2869" t="s">
        <v>30070</v>
      </c>
      <c r="J2869" t="s">
        <v>32125</v>
      </c>
      <c r="K2869" t="s">
        <v>39019</v>
      </c>
      <c r="M2869" t="s">
        <v>40459</v>
      </c>
      <c r="N2869" t="s">
        <v>43166</v>
      </c>
      <c r="O2869" t="s">
        <v>43167</v>
      </c>
      <c r="P2869">
        <v>0</v>
      </c>
      <c r="Q2869">
        <v>1</v>
      </c>
      <c r="R2869" t="s">
        <v>43170</v>
      </c>
      <c r="S2869" t="s">
        <v>43297</v>
      </c>
      <c r="T2869" t="s">
        <v>44681</v>
      </c>
      <c r="U2869" t="s">
        <v>47559</v>
      </c>
      <c r="W2869" t="s">
        <v>40459</v>
      </c>
      <c r="X2869" t="s">
        <v>43171</v>
      </c>
    </row>
    <row r="2870" spans="1:24">
      <c r="A2870">
        <f>HYPERLINK("https://www.philgeps.gov.ph/GEPSNONPILOT/Tender/SplashBidNoticeAbstractUI.aspx?menuIndex=3&amp;refID=7086883&amp;Result=3","7086883")</f>
        <v>0</v>
      </c>
      <c r="B2870" t="s">
        <v>1092</v>
      </c>
      <c r="C2870" t="s">
        <v>6162</v>
      </c>
      <c r="D2870" t="s">
        <v>17428</v>
      </c>
      <c r="E2870" t="s">
        <v>19993</v>
      </c>
      <c r="F2870" t="s">
        <v>30052</v>
      </c>
      <c r="G2870" t="s">
        <v>30058</v>
      </c>
      <c r="H2870" t="s">
        <v>30068</v>
      </c>
      <c r="I2870" t="s">
        <v>30068</v>
      </c>
      <c r="J2870" t="s">
        <v>32126</v>
      </c>
      <c r="K2870" t="s">
        <v>39026</v>
      </c>
      <c r="M2870" t="s">
        <v>40430</v>
      </c>
      <c r="N2870" t="s">
        <v>43166</v>
      </c>
      <c r="O2870" t="s">
        <v>43167</v>
      </c>
      <c r="P2870">
        <v>0</v>
      </c>
      <c r="Q2870">
        <v>3</v>
      </c>
      <c r="R2870" t="s">
        <v>43170</v>
      </c>
      <c r="S2870" t="s">
        <v>43297</v>
      </c>
      <c r="T2870" t="s">
        <v>44935</v>
      </c>
      <c r="U2870" t="s">
        <v>47495</v>
      </c>
      <c r="W2870" t="s">
        <v>40430</v>
      </c>
      <c r="X2870" t="s">
        <v>43171</v>
      </c>
    </row>
    <row r="2871" spans="1:24">
      <c r="A2871">
        <f>HYPERLINK("https://www.philgeps.gov.ph/GEPSNONPILOT/Tender/SplashBidNoticeAbstractUI.aspx?menuIndex=3&amp;refID=7086976&amp;Result=3","7086976")</f>
        <v>0</v>
      </c>
      <c r="B2871" t="s">
        <v>509</v>
      </c>
      <c r="C2871" t="s">
        <v>6163</v>
      </c>
      <c r="D2871" t="s">
        <v>17415</v>
      </c>
      <c r="E2871" t="s">
        <v>19994</v>
      </c>
      <c r="F2871" t="s">
        <v>30052</v>
      </c>
      <c r="G2871" t="s">
        <v>30059</v>
      </c>
      <c r="H2871" t="s">
        <v>30068</v>
      </c>
      <c r="I2871" t="s">
        <v>30068</v>
      </c>
      <c r="J2871" t="s">
        <v>32117</v>
      </c>
      <c r="K2871" t="s">
        <v>39079</v>
      </c>
      <c r="M2871" t="s">
        <v>39810</v>
      </c>
      <c r="N2871" t="s">
        <v>43166</v>
      </c>
      <c r="O2871" t="s">
        <v>43167</v>
      </c>
      <c r="P2871">
        <v>0</v>
      </c>
      <c r="Q2871">
        <v>1</v>
      </c>
      <c r="R2871" t="s">
        <v>43170</v>
      </c>
      <c r="S2871" t="s">
        <v>43297</v>
      </c>
      <c r="T2871" t="s">
        <v>44710</v>
      </c>
      <c r="U2871" t="s">
        <v>46172</v>
      </c>
      <c r="W2871" t="s">
        <v>39810</v>
      </c>
      <c r="X2871" t="s">
        <v>43171</v>
      </c>
    </row>
    <row r="2872" spans="1:24">
      <c r="A2872">
        <f>HYPERLINK("https://www.philgeps.gov.ph/GEPSNONPILOT/Tender/SplashBidNoticeAbstractUI.aspx?menuIndex=3&amp;refID=7086896&amp;Result=3","7086896")</f>
        <v>0</v>
      </c>
      <c r="B2872" t="s">
        <v>544</v>
      </c>
      <c r="C2872" t="s">
        <v>6164</v>
      </c>
      <c r="D2872" t="s">
        <v>17434</v>
      </c>
      <c r="E2872" t="s">
        <v>19995</v>
      </c>
      <c r="F2872" t="s">
        <v>30055</v>
      </c>
      <c r="G2872" t="s">
        <v>30059</v>
      </c>
      <c r="H2872" t="s">
        <v>15498</v>
      </c>
      <c r="I2872" t="s">
        <v>3852</v>
      </c>
      <c r="J2872" t="s">
        <v>30905</v>
      </c>
      <c r="K2872" t="s">
        <v>39039</v>
      </c>
      <c r="M2872" t="s">
        <v>40435</v>
      </c>
      <c r="N2872" t="s">
        <v>43166</v>
      </c>
      <c r="O2872" t="s">
        <v>43167</v>
      </c>
      <c r="P2872">
        <v>0</v>
      </c>
      <c r="Q2872">
        <v>3</v>
      </c>
      <c r="R2872" t="s">
        <v>43170</v>
      </c>
      <c r="S2872" t="s">
        <v>43297</v>
      </c>
      <c r="T2872" t="s">
        <v>44718</v>
      </c>
      <c r="U2872" t="s">
        <v>47560</v>
      </c>
      <c r="V2872" t="s">
        <v>46613</v>
      </c>
      <c r="W2872" t="s">
        <v>40435</v>
      </c>
      <c r="X2872" t="s">
        <v>43171</v>
      </c>
    </row>
    <row r="2873" spans="1:24">
      <c r="A2873">
        <f>HYPERLINK("https://www.philgeps.gov.ph/GEPSNONPILOT/Tender/SplashBidNoticeAbstractUI.aspx?menuIndex=3&amp;refID=7086895&amp;Result=3","7086895")</f>
        <v>0</v>
      </c>
      <c r="B2873" t="s">
        <v>1097</v>
      </c>
      <c r="C2873" t="s">
        <v>6165</v>
      </c>
      <c r="D2873" t="s">
        <v>17448</v>
      </c>
      <c r="E2873" t="s">
        <v>19962</v>
      </c>
      <c r="F2873" t="s">
        <v>30052</v>
      </c>
      <c r="G2873" t="s">
        <v>30058</v>
      </c>
      <c r="H2873" t="s">
        <v>30067</v>
      </c>
      <c r="I2873" t="s">
        <v>3736</v>
      </c>
      <c r="J2873" t="s">
        <v>32105</v>
      </c>
      <c r="K2873" t="s">
        <v>39037</v>
      </c>
      <c r="M2873" t="s">
        <v>40436</v>
      </c>
      <c r="N2873" t="s">
        <v>43166</v>
      </c>
      <c r="O2873" t="s">
        <v>43167</v>
      </c>
      <c r="P2873">
        <v>0</v>
      </c>
      <c r="Q2873">
        <v>0</v>
      </c>
      <c r="R2873" t="s">
        <v>43170</v>
      </c>
      <c r="S2873" t="s">
        <v>43297</v>
      </c>
      <c r="T2873" t="s">
        <v>44924</v>
      </c>
      <c r="U2873" t="s">
        <v>47561</v>
      </c>
      <c r="W2873" t="s">
        <v>40436</v>
      </c>
      <c r="X2873" t="s">
        <v>43171</v>
      </c>
    </row>
    <row r="2874" spans="1:24">
      <c r="A2874">
        <f>HYPERLINK("https://www.philgeps.gov.ph/GEPSNONPILOT/Tender/SplashBidNoticeAbstractUI.aspx?menuIndex=3&amp;refID=7086958&amp;Result=3","7086958")</f>
        <v>0</v>
      </c>
      <c r="B2874" t="s">
        <v>1120</v>
      </c>
      <c r="C2874" t="s">
        <v>6166</v>
      </c>
      <c r="D2874" t="s">
        <v>17434</v>
      </c>
      <c r="E2874" t="s">
        <v>19996</v>
      </c>
      <c r="F2874" t="s">
        <v>30052</v>
      </c>
      <c r="G2874" t="s">
        <v>30058</v>
      </c>
      <c r="H2874" t="s">
        <v>15498</v>
      </c>
      <c r="I2874" t="s">
        <v>3606</v>
      </c>
      <c r="J2874" t="s">
        <v>32127</v>
      </c>
      <c r="K2874" t="s">
        <v>39017</v>
      </c>
      <c r="L2874" t="s">
        <v>1120</v>
      </c>
      <c r="M2874" t="s">
        <v>40460</v>
      </c>
      <c r="N2874" t="s">
        <v>43166</v>
      </c>
      <c r="O2874" t="s">
        <v>43167</v>
      </c>
      <c r="P2874">
        <v>0</v>
      </c>
      <c r="Q2874">
        <v>0</v>
      </c>
      <c r="R2874" t="s">
        <v>43170</v>
      </c>
      <c r="S2874" t="s">
        <v>43297</v>
      </c>
      <c r="T2874" t="s">
        <v>44681</v>
      </c>
      <c r="U2874" t="s">
        <v>47562</v>
      </c>
      <c r="W2874" t="s">
        <v>40460</v>
      </c>
      <c r="X2874" t="s">
        <v>43171</v>
      </c>
    </row>
    <row r="2875" spans="1:24">
      <c r="A2875">
        <f>HYPERLINK("https://www.philgeps.gov.ph/GEPSNONPILOT/Tender/SplashBidNoticeAbstractUI.aspx?menuIndex=3&amp;refID=7086930&amp;Result=3","7086930")</f>
        <v>0</v>
      </c>
      <c r="B2875" t="s">
        <v>1104</v>
      </c>
      <c r="C2875" t="s">
        <v>6167</v>
      </c>
      <c r="D2875" t="s">
        <v>17449</v>
      </c>
      <c r="E2875" t="s">
        <v>19997</v>
      </c>
      <c r="F2875" t="s">
        <v>30052</v>
      </c>
      <c r="G2875" t="s">
        <v>30058</v>
      </c>
      <c r="H2875" t="s">
        <v>30067</v>
      </c>
      <c r="I2875" t="s">
        <v>3693</v>
      </c>
      <c r="J2875" t="s">
        <v>30247</v>
      </c>
      <c r="K2875" t="s">
        <v>39029</v>
      </c>
      <c r="M2875" t="s">
        <v>40443</v>
      </c>
      <c r="N2875" t="s">
        <v>43166</v>
      </c>
      <c r="O2875" t="s">
        <v>43167</v>
      </c>
      <c r="P2875">
        <v>0</v>
      </c>
      <c r="Q2875">
        <v>0</v>
      </c>
      <c r="R2875" t="s">
        <v>43170</v>
      </c>
      <c r="S2875" t="s">
        <v>43297</v>
      </c>
      <c r="T2875" t="s">
        <v>44842</v>
      </c>
      <c r="U2875" t="s">
        <v>47517</v>
      </c>
      <c r="W2875" t="s">
        <v>40443</v>
      </c>
      <c r="X2875" t="s">
        <v>43171</v>
      </c>
    </row>
    <row r="2876" spans="1:24">
      <c r="A2876">
        <f>HYPERLINK("https://www.philgeps.gov.ph/GEPSNONPILOT/Tender/SplashBidNoticeAbstractUI.aspx?menuIndex=3&amp;refID=7086964&amp;Result=3","7086964")</f>
        <v>0</v>
      </c>
      <c r="B2876" t="s">
        <v>628</v>
      </c>
      <c r="C2876" t="s">
        <v>6168</v>
      </c>
      <c r="D2876" t="s">
        <v>17415</v>
      </c>
      <c r="E2876" t="s">
        <v>19998</v>
      </c>
      <c r="F2876" t="s">
        <v>30052</v>
      </c>
      <c r="G2876" t="s">
        <v>30062</v>
      </c>
      <c r="H2876" t="s">
        <v>15498</v>
      </c>
      <c r="I2876" t="s">
        <v>30084</v>
      </c>
      <c r="J2876" t="s">
        <v>32128</v>
      </c>
      <c r="K2876" t="s">
        <v>39017</v>
      </c>
      <c r="M2876" t="s">
        <v>39931</v>
      </c>
      <c r="N2876" t="s">
        <v>43166</v>
      </c>
      <c r="O2876" t="s">
        <v>43167</v>
      </c>
      <c r="P2876">
        <v>0</v>
      </c>
      <c r="Q2876">
        <v>6</v>
      </c>
      <c r="R2876" t="s">
        <v>43170</v>
      </c>
      <c r="S2876" t="s">
        <v>43297</v>
      </c>
      <c r="T2876" t="s">
        <v>44743</v>
      </c>
      <c r="U2876" t="s">
        <v>47563</v>
      </c>
      <c r="W2876" t="s">
        <v>39931</v>
      </c>
      <c r="X2876" t="s">
        <v>43171</v>
      </c>
    </row>
    <row r="2877" spans="1:24">
      <c r="A2877">
        <f>HYPERLINK("https://www.philgeps.gov.ph/GEPSNONPILOT/Tender/SplashBidNoticeAbstractUI.aspx?menuIndex=3&amp;refID=7087010&amp;Result=3","7087010")</f>
        <v>0</v>
      </c>
      <c r="B2877" t="s">
        <v>1121</v>
      </c>
      <c r="C2877" t="s">
        <v>6169</v>
      </c>
      <c r="D2877" t="s">
        <v>17462</v>
      </c>
      <c r="E2877" t="s">
        <v>19999</v>
      </c>
      <c r="F2877" t="s">
        <v>30052</v>
      </c>
      <c r="G2877" t="s">
        <v>30058</v>
      </c>
      <c r="H2877" t="s">
        <v>30067</v>
      </c>
      <c r="I2877" t="s">
        <v>3693</v>
      </c>
      <c r="J2877" t="s">
        <v>32129</v>
      </c>
      <c r="K2877" t="s">
        <v>39116</v>
      </c>
      <c r="M2877" t="s">
        <v>40461</v>
      </c>
      <c r="N2877" t="s">
        <v>43166</v>
      </c>
      <c r="O2877" t="s">
        <v>43167</v>
      </c>
      <c r="P2877">
        <v>0</v>
      </c>
      <c r="Q2877">
        <v>0</v>
      </c>
      <c r="R2877" t="s">
        <v>43170</v>
      </c>
      <c r="S2877" t="s">
        <v>43297</v>
      </c>
      <c r="T2877" t="s">
        <v>44936</v>
      </c>
      <c r="U2877" t="s">
        <v>47564</v>
      </c>
      <c r="W2877" t="s">
        <v>40461</v>
      </c>
      <c r="X2877" t="s">
        <v>43171</v>
      </c>
    </row>
    <row r="2878" spans="1:24">
      <c r="A2878">
        <f>HYPERLINK("https://www.philgeps.gov.ph/GEPSNONPILOT/Tender/SplashBidNoticeAbstractUI.aspx?menuIndex=3&amp;refID=7087008&amp;Result=3","7087008")</f>
        <v>0</v>
      </c>
      <c r="B2878" t="s">
        <v>415</v>
      </c>
      <c r="C2878" t="s">
        <v>6170</v>
      </c>
      <c r="D2878" t="s">
        <v>17472</v>
      </c>
      <c r="E2878" t="s">
        <v>18363</v>
      </c>
      <c r="F2878" t="s">
        <v>30052</v>
      </c>
      <c r="G2878" t="s">
        <v>30061</v>
      </c>
      <c r="H2878" t="s">
        <v>15498</v>
      </c>
      <c r="I2878" t="s">
        <v>30081</v>
      </c>
      <c r="J2878" t="s">
        <v>32130</v>
      </c>
      <c r="K2878" t="s">
        <v>39034</v>
      </c>
      <c r="M2878" t="s">
        <v>39714</v>
      </c>
      <c r="N2878" t="s">
        <v>43166</v>
      </c>
      <c r="O2878" t="s">
        <v>43167</v>
      </c>
      <c r="P2878">
        <v>0</v>
      </c>
      <c r="Q2878">
        <v>0</v>
      </c>
      <c r="R2878" t="s">
        <v>43170</v>
      </c>
      <c r="S2878" t="s">
        <v>43297</v>
      </c>
      <c r="T2878" t="s">
        <v>44685</v>
      </c>
      <c r="U2878" t="s">
        <v>47565</v>
      </c>
      <c r="W2878" t="s">
        <v>39714</v>
      </c>
      <c r="X2878" t="s">
        <v>43171</v>
      </c>
    </row>
    <row r="2879" spans="1:24">
      <c r="A2879">
        <f>HYPERLINK("https://www.philgeps.gov.ph/GEPSNONPILOT/Tender/SplashBidNoticeAbstractUI.aspx?menuIndex=3&amp;refID=7086818&amp;Result=3","7086818")</f>
        <v>0</v>
      </c>
      <c r="B2879" t="s">
        <v>884</v>
      </c>
      <c r="C2879" t="s">
        <v>6171</v>
      </c>
      <c r="D2879" t="s">
        <v>17459</v>
      </c>
      <c r="E2879" t="s">
        <v>20000</v>
      </c>
      <c r="F2879" t="s">
        <v>30052</v>
      </c>
      <c r="G2879" t="s">
        <v>30059</v>
      </c>
      <c r="H2879" t="s">
        <v>15498</v>
      </c>
      <c r="I2879" t="s">
        <v>30070</v>
      </c>
      <c r="J2879" t="s">
        <v>32131</v>
      </c>
      <c r="K2879" t="s">
        <v>39029</v>
      </c>
      <c r="M2879" t="s">
        <v>40203</v>
      </c>
      <c r="N2879" t="s">
        <v>43166</v>
      </c>
      <c r="O2879" t="s">
        <v>43167</v>
      </c>
      <c r="P2879">
        <v>0</v>
      </c>
      <c r="Q2879">
        <v>2</v>
      </c>
      <c r="R2879" t="s">
        <v>43170</v>
      </c>
      <c r="S2879" t="s">
        <v>43297</v>
      </c>
      <c r="T2879" t="s">
        <v>44862</v>
      </c>
      <c r="U2879" t="s">
        <v>47566</v>
      </c>
      <c r="V2879" t="s">
        <v>57070</v>
      </c>
      <c r="W2879" t="s">
        <v>40203</v>
      </c>
      <c r="X2879" t="s">
        <v>43171</v>
      </c>
    </row>
    <row r="2880" spans="1:24">
      <c r="A2880">
        <f>HYPERLINK("https://www.philgeps.gov.ph/GEPSNONPILOT/Tender/SplashBidNoticeAbstractUI.aspx?menuIndex=3&amp;refID=7087006&amp;Result=3","7087006")</f>
        <v>0</v>
      </c>
      <c r="B2880" t="s">
        <v>628</v>
      </c>
      <c r="C2880" t="s">
        <v>6172</v>
      </c>
      <c r="D2880" t="s">
        <v>17415</v>
      </c>
      <c r="E2880" t="s">
        <v>20001</v>
      </c>
      <c r="F2880" t="s">
        <v>30052</v>
      </c>
      <c r="G2880" t="s">
        <v>30062</v>
      </c>
      <c r="H2880" t="s">
        <v>15498</v>
      </c>
      <c r="I2880" t="s">
        <v>30084</v>
      </c>
      <c r="J2880" t="s">
        <v>32132</v>
      </c>
      <c r="K2880" t="s">
        <v>39017</v>
      </c>
      <c r="M2880" t="s">
        <v>39931</v>
      </c>
      <c r="N2880" t="s">
        <v>43166</v>
      </c>
      <c r="O2880" t="s">
        <v>43167</v>
      </c>
      <c r="P2880">
        <v>0</v>
      </c>
      <c r="Q2880">
        <v>6</v>
      </c>
      <c r="R2880" t="s">
        <v>43170</v>
      </c>
      <c r="S2880" t="s">
        <v>43297</v>
      </c>
      <c r="T2880" t="s">
        <v>44743</v>
      </c>
      <c r="U2880" t="s">
        <v>47567</v>
      </c>
      <c r="W2880" t="s">
        <v>39931</v>
      </c>
      <c r="X2880" t="s">
        <v>43171</v>
      </c>
    </row>
    <row r="2881" spans="1:24">
      <c r="A2881">
        <f>HYPERLINK("https://www.philgeps.gov.ph/GEPSNONPILOT/Tender/SplashBidNoticeAbstractUI.aspx?menuIndex=3&amp;refID=7086931&amp;Result=3","7086931")</f>
        <v>0</v>
      </c>
      <c r="B2881" t="s">
        <v>1104</v>
      </c>
      <c r="C2881" t="s">
        <v>6173</v>
      </c>
      <c r="D2881" t="s">
        <v>17449</v>
      </c>
      <c r="E2881" t="s">
        <v>20002</v>
      </c>
      <c r="F2881" t="s">
        <v>30052</v>
      </c>
      <c r="G2881" t="s">
        <v>30058</v>
      </c>
      <c r="H2881" t="s">
        <v>30067</v>
      </c>
      <c r="I2881" t="s">
        <v>3693</v>
      </c>
      <c r="J2881" t="s">
        <v>30397</v>
      </c>
      <c r="K2881" t="s">
        <v>39029</v>
      </c>
      <c r="M2881" t="s">
        <v>40443</v>
      </c>
      <c r="N2881" t="s">
        <v>43166</v>
      </c>
      <c r="O2881" t="s">
        <v>43167</v>
      </c>
      <c r="P2881">
        <v>0</v>
      </c>
      <c r="Q2881">
        <v>0</v>
      </c>
      <c r="R2881" t="s">
        <v>43170</v>
      </c>
      <c r="S2881" t="s">
        <v>43297</v>
      </c>
      <c r="T2881" t="s">
        <v>44842</v>
      </c>
      <c r="U2881" t="s">
        <v>47517</v>
      </c>
      <c r="W2881" t="s">
        <v>40443</v>
      </c>
      <c r="X2881" t="s">
        <v>43171</v>
      </c>
    </row>
    <row r="2882" spans="1:24">
      <c r="A2882">
        <f>HYPERLINK("https://www.philgeps.gov.ph/GEPSNONPILOT/Tender/SplashBidNoticeAbstractUI.aspx?menuIndex=3&amp;refID=7087004&amp;Result=3","7087004")</f>
        <v>0</v>
      </c>
      <c r="B2882" t="s">
        <v>415</v>
      </c>
      <c r="C2882" t="s">
        <v>6174</v>
      </c>
      <c r="D2882" t="s">
        <v>17472</v>
      </c>
      <c r="E2882" t="s">
        <v>18363</v>
      </c>
      <c r="F2882" t="s">
        <v>30052</v>
      </c>
      <c r="G2882" t="s">
        <v>30061</v>
      </c>
      <c r="H2882" t="s">
        <v>15498</v>
      </c>
      <c r="I2882" t="s">
        <v>30073</v>
      </c>
      <c r="J2882" t="s">
        <v>32133</v>
      </c>
      <c r="K2882" t="s">
        <v>39034</v>
      </c>
      <c r="M2882" t="s">
        <v>39714</v>
      </c>
      <c r="N2882" t="s">
        <v>43166</v>
      </c>
      <c r="O2882" t="s">
        <v>43167</v>
      </c>
      <c r="P2882">
        <v>0</v>
      </c>
      <c r="Q2882">
        <v>0</v>
      </c>
      <c r="R2882" t="s">
        <v>43170</v>
      </c>
      <c r="S2882" t="s">
        <v>43297</v>
      </c>
      <c r="T2882" t="s">
        <v>44685</v>
      </c>
      <c r="U2882" t="s">
        <v>47568</v>
      </c>
      <c r="W2882" t="s">
        <v>39714</v>
      </c>
      <c r="X2882" t="s">
        <v>43171</v>
      </c>
    </row>
    <row r="2883" spans="1:24">
      <c r="A2883">
        <f>HYPERLINK("https://www.philgeps.gov.ph/GEPSNONPILOT/Tender/SplashBidNoticeAbstractUI.aspx?menuIndex=3&amp;refID=7087003&amp;Result=3","7087003")</f>
        <v>0</v>
      </c>
      <c r="B2883" t="s">
        <v>1114</v>
      </c>
      <c r="C2883" t="s">
        <v>6175</v>
      </c>
      <c r="D2883" t="s">
        <v>17466</v>
      </c>
      <c r="E2883" t="s">
        <v>20003</v>
      </c>
      <c r="F2883" t="s">
        <v>30052</v>
      </c>
      <c r="G2883" t="s">
        <v>30059</v>
      </c>
      <c r="H2883" t="s">
        <v>30067</v>
      </c>
      <c r="I2883" t="s">
        <v>3693</v>
      </c>
      <c r="J2883" t="s">
        <v>31464</v>
      </c>
      <c r="K2883" t="s">
        <v>39034</v>
      </c>
      <c r="M2883" t="s">
        <v>40454</v>
      </c>
      <c r="N2883" t="s">
        <v>43166</v>
      </c>
      <c r="O2883" t="s">
        <v>43167</v>
      </c>
      <c r="P2883">
        <v>0</v>
      </c>
      <c r="Q2883">
        <v>0</v>
      </c>
      <c r="R2883" t="s">
        <v>43170</v>
      </c>
      <c r="S2883" t="s">
        <v>43297</v>
      </c>
      <c r="T2883" t="s">
        <v>44735</v>
      </c>
      <c r="U2883" t="s">
        <v>47569</v>
      </c>
      <c r="W2883" t="s">
        <v>40454</v>
      </c>
      <c r="X2883" t="s">
        <v>43171</v>
      </c>
    </row>
    <row r="2884" spans="1:24">
      <c r="A2884">
        <f>HYPERLINK("https://www.philgeps.gov.ph/GEPSNONPILOT/Tender/SplashBidNoticeAbstractUI.aspx?menuIndex=3&amp;refID=7087009&amp;Result=3","7087009")</f>
        <v>0</v>
      </c>
      <c r="B2884" t="s">
        <v>415</v>
      </c>
      <c r="C2884" t="s">
        <v>6176</v>
      </c>
      <c r="D2884" t="s">
        <v>17472</v>
      </c>
      <c r="E2884" t="s">
        <v>18363</v>
      </c>
      <c r="F2884" t="s">
        <v>30052</v>
      </c>
      <c r="G2884" t="s">
        <v>30061</v>
      </c>
      <c r="H2884" t="s">
        <v>15498</v>
      </c>
      <c r="I2884" t="s">
        <v>30073</v>
      </c>
      <c r="J2884" t="s">
        <v>32134</v>
      </c>
      <c r="K2884" t="s">
        <v>39034</v>
      </c>
      <c r="M2884" t="s">
        <v>39714</v>
      </c>
      <c r="N2884" t="s">
        <v>43166</v>
      </c>
      <c r="O2884" t="s">
        <v>43167</v>
      </c>
      <c r="P2884">
        <v>0</v>
      </c>
      <c r="Q2884">
        <v>0</v>
      </c>
      <c r="R2884" t="s">
        <v>43170</v>
      </c>
      <c r="S2884" t="s">
        <v>43297</v>
      </c>
      <c r="T2884" t="s">
        <v>44685</v>
      </c>
      <c r="U2884" t="s">
        <v>47570</v>
      </c>
      <c r="W2884" t="s">
        <v>39714</v>
      </c>
      <c r="X2884" t="s">
        <v>43171</v>
      </c>
    </row>
    <row r="2885" spans="1:24">
      <c r="A2885">
        <f>HYPERLINK("https://www.philgeps.gov.ph/GEPSNONPILOT/Tender/SplashBidNoticeAbstractUI.aspx?menuIndex=3&amp;refID=7087001&amp;Result=3","7087001")</f>
        <v>0</v>
      </c>
      <c r="B2885" t="s">
        <v>1122</v>
      </c>
      <c r="C2885" t="s">
        <v>6177</v>
      </c>
      <c r="D2885" t="s">
        <v>17415</v>
      </c>
      <c r="E2885" t="s">
        <v>18292</v>
      </c>
      <c r="F2885" t="s">
        <v>30052</v>
      </c>
      <c r="G2885" t="s">
        <v>30059</v>
      </c>
      <c r="H2885" t="s">
        <v>15498</v>
      </c>
      <c r="I2885" t="s">
        <v>8323</v>
      </c>
      <c r="J2885" t="s">
        <v>32135</v>
      </c>
      <c r="K2885" t="s">
        <v>39019</v>
      </c>
      <c r="M2885" t="s">
        <v>40462</v>
      </c>
      <c r="N2885" t="s">
        <v>43166</v>
      </c>
      <c r="O2885" t="s">
        <v>43167</v>
      </c>
      <c r="P2885">
        <v>0</v>
      </c>
      <c r="Q2885">
        <v>8</v>
      </c>
      <c r="R2885" t="s">
        <v>43170</v>
      </c>
      <c r="S2885" t="s">
        <v>43297</v>
      </c>
      <c r="T2885" t="s">
        <v>44717</v>
      </c>
      <c r="U2885" t="s">
        <v>47571</v>
      </c>
      <c r="W2885" t="s">
        <v>40462</v>
      </c>
      <c r="X2885" t="s">
        <v>43171</v>
      </c>
    </row>
    <row r="2886" spans="1:24">
      <c r="A2886">
        <f>HYPERLINK("https://www.philgeps.gov.ph/GEPSNONPILOT/Tender/SplashBidNoticeAbstractUI.aspx?menuIndex=3&amp;refID=7087007&amp;Result=3","7087007")</f>
        <v>0</v>
      </c>
      <c r="B2886" t="s">
        <v>652</v>
      </c>
      <c r="C2886" t="s">
        <v>4915</v>
      </c>
      <c r="D2886" t="s">
        <v>17454</v>
      </c>
      <c r="E2886" t="s">
        <v>20004</v>
      </c>
      <c r="F2886" t="s">
        <v>30052</v>
      </c>
      <c r="G2886" t="s">
        <v>30058</v>
      </c>
      <c r="H2886" t="s">
        <v>30067</v>
      </c>
      <c r="I2886" t="s">
        <v>3693</v>
      </c>
      <c r="J2886" t="s">
        <v>30688</v>
      </c>
      <c r="K2886" t="s">
        <v>39029</v>
      </c>
      <c r="M2886" t="s">
        <v>39956</v>
      </c>
      <c r="N2886" t="s">
        <v>43166</v>
      </c>
      <c r="O2886" t="s">
        <v>43167</v>
      </c>
      <c r="P2886">
        <v>0</v>
      </c>
      <c r="Q2886">
        <v>0</v>
      </c>
      <c r="R2886" t="s">
        <v>43170</v>
      </c>
      <c r="S2886" t="s">
        <v>43297</v>
      </c>
      <c r="T2886" t="s">
        <v>44703</v>
      </c>
      <c r="U2886" t="s">
        <v>47572</v>
      </c>
      <c r="W2886" t="s">
        <v>39956</v>
      </c>
      <c r="X2886" t="s">
        <v>43171</v>
      </c>
    </row>
    <row r="2887" spans="1:24">
      <c r="A2887">
        <f>HYPERLINK("https://www.philgeps.gov.ph/GEPSNONPILOT/Tender/SplashBidNoticeAbstractUI.aspx?menuIndex=3&amp;refID=7087005&amp;Result=3","7087005")</f>
        <v>0</v>
      </c>
      <c r="B2887" t="s">
        <v>1121</v>
      </c>
      <c r="C2887" t="s">
        <v>6178</v>
      </c>
      <c r="D2887" t="s">
        <v>17462</v>
      </c>
      <c r="E2887" t="s">
        <v>20005</v>
      </c>
      <c r="F2887" t="s">
        <v>30052</v>
      </c>
      <c r="G2887" t="s">
        <v>30058</v>
      </c>
      <c r="H2887" t="s">
        <v>30067</v>
      </c>
      <c r="I2887" t="s">
        <v>3693</v>
      </c>
      <c r="J2887" t="s">
        <v>30247</v>
      </c>
      <c r="K2887" t="s">
        <v>39061</v>
      </c>
      <c r="M2887" t="s">
        <v>40461</v>
      </c>
      <c r="N2887" t="s">
        <v>43166</v>
      </c>
      <c r="O2887" t="s">
        <v>43167</v>
      </c>
      <c r="P2887">
        <v>0</v>
      </c>
      <c r="Q2887">
        <v>0</v>
      </c>
      <c r="R2887" t="s">
        <v>43170</v>
      </c>
      <c r="S2887" t="s">
        <v>43297</v>
      </c>
      <c r="T2887" t="s">
        <v>44936</v>
      </c>
      <c r="U2887" t="s">
        <v>47564</v>
      </c>
      <c r="W2887" t="s">
        <v>40461</v>
      </c>
      <c r="X2887" t="s">
        <v>43171</v>
      </c>
    </row>
    <row r="2888" spans="1:24">
      <c r="A2888">
        <f>HYPERLINK("https://www.philgeps.gov.ph/GEPSNONPILOT/Tender/SplashBidNoticeAbstractUI.aspx?menuIndex=3&amp;refID=7086998&amp;Result=3","7086998")</f>
        <v>0</v>
      </c>
      <c r="B2888" t="s">
        <v>1123</v>
      </c>
      <c r="C2888" t="s">
        <v>6179</v>
      </c>
      <c r="D2888" t="s">
        <v>17464</v>
      </c>
      <c r="E2888" t="s">
        <v>20006</v>
      </c>
      <c r="F2888" t="s">
        <v>30052</v>
      </c>
      <c r="G2888" t="s">
        <v>30058</v>
      </c>
      <c r="H2888" t="s">
        <v>30067</v>
      </c>
      <c r="I2888" t="s">
        <v>3693</v>
      </c>
      <c r="J2888" t="s">
        <v>32136</v>
      </c>
      <c r="K2888" t="s">
        <v>39026</v>
      </c>
      <c r="M2888" t="s">
        <v>40463</v>
      </c>
      <c r="N2888" t="s">
        <v>43166</v>
      </c>
      <c r="O2888" t="s">
        <v>43167</v>
      </c>
      <c r="P2888">
        <v>0</v>
      </c>
      <c r="Q2888">
        <v>0</v>
      </c>
      <c r="R2888" t="s">
        <v>43170</v>
      </c>
      <c r="S2888" t="s">
        <v>43297</v>
      </c>
      <c r="T2888" t="s">
        <v>44937</v>
      </c>
      <c r="U2888" t="s">
        <v>47573</v>
      </c>
      <c r="W2888" t="s">
        <v>40463</v>
      </c>
      <c r="X2888" t="s">
        <v>43171</v>
      </c>
    </row>
    <row r="2889" spans="1:24">
      <c r="A2889">
        <f>HYPERLINK("https://www.philgeps.gov.ph/GEPSNONPILOT/Tender/SplashBidNoticeAbstractUI.aspx?menuIndex=3&amp;refID=7087002&amp;Result=3","7087002")</f>
        <v>0</v>
      </c>
      <c r="B2889" t="s">
        <v>652</v>
      </c>
      <c r="C2889" t="s">
        <v>6180</v>
      </c>
      <c r="D2889" t="s">
        <v>17454</v>
      </c>
      <c r="E2889" t="s">
        <v>18160</v>
      </c>
      <c r="F2889" t="s">
        <v>30052</v>
      </c>
      <c r="G2889" t="s">
        <v>30058</v>
      </c>
      <c r="H2889" t="s">
        <v>30069</v>
      </c>
      <c r="I2889" t="s">
        <v>30075</v>
      </c>
      <c r="J2889" t="s">
        <v>31199</v>
      </c>
      <c r="K2889" t="s">
        <v>39029</v>
      </c>
      <c r="M2889" t="s">
        <v>39956</v>
      </c>
      <c r="N2889" t="s">
        <v>43166</v>
      </c>
      <c r="O2889" t="s">
        <v>43167</v>
      </c>
      <c r="P2889">
        <v>0</v>
      </c>
      <c r="Q2889">
        <v>3</v>
      </c>
      <c r="R2889" t="s">
        <v>43170</v>
      </c>
      <c r="S2889" t="s">
        <v>43297</v>
      </c>
      <c r="T2889" t="s">
        <v>44703</v>
      </c>
      <c r="U2889" t="s">
        <v>47574</v>
      </c>
      <c r="W2889" t="s">
        <v>39956</v>
      </c>
      <c r="X2889" t="s">
        <v>43171</v>
      </c>
    </row>
    <row r="2890" spans="1:24">
      <c r="A2890">
        <f>HYPERLINK("https://www.philgeps.gov.ph/GEPSNONPILOT/Tender/SplashBidNoticeAbstractUI.aspx?menuIndex=3&amp;refID=7086993&amp;Result=3","7086993")</f>
        <v>0</v>
      </c>
      <c r="B2890" t="s">
        <v>1115</v>
      </c>
      <c r="C2890" t="s">
        <v>6181</v>
      </c>
      <c r="D2890" t="s">
        <v>17451</v>
      </c>
      <c r="E2890" t="s">
        <v>20007</v>
      </c>
      <c r="F2890" t="s">
        <v>30052</v>
      </c>
      <c r="G2890" t="s">
        <v>30059</v>
      </c>
      <c r="H2890" t="s">
        <v>30068</v>
      </c>
      <c r="I2890" t="s">
        <v>30068</v>
      </c>
      <c r="J2890" t="s">
        <v>30207</v>
      </c>
      <c r="K2890" t="s">
        <v>39076</v>
      </c>
      <c r="M2890" t="s">
        <v>40455</v>
      </c>
      <c r="N2890" t="s">
        <v>43166</v>
      </c>
      <c r="O2890" t="s">
        <v>43167</v>
      </c>
      <c r="P2890">
        <v>0</v>
      </c>
      <c r="Q2890">
        <v>6</v>
      </c>
      <c r="R2890" t="s">
        <v>43170</v>
      </c>
      <c r="S2890" t="s">
        <v>43297</v>
      </c>
      <c r="T2890" t="s">
        <v>44734</v>
      </c>
      <c r="U2890" t="s">
        <v>47551</v>
      </c>
      <c r="W2890" t="s">
        <v>40455</v>
      </c>
      <c r="X2890" t="s">
        <v>43171</v>
      </c>
    </row>
    <row r="2891" spans="1:24">
      <c r="A2891">
        <f>HYPERLINK("https://www.philgeps.gov.ph/GEPSNONPILOT/Tender/SplashBidNoticeAbstractUI.aspx?menuIndex=3&amp;refID=7087036&amp;Result=3","7087036")</f>
        <v>0</v>
      </c>
      <c r="B2891" t="s">
        <v>1124</v>
      </c>
      <c r="C2891" t="s">
        <v>6182</v>
      </c>
      <c r="E2891" t="s">
        <v>20008</v>
      </c>
      <c r="F2891" t="s">
        <v>30052</v>
      </c>
      <c r="G2891" t="s">
        <v>30058</v>
      </c>
      <c r="H2891" t="s">
        <v>30067</v>
      </c>
      <c r="I2891" t="s">
        <v>3693</v>
      </c>
      <c r="J2891" t="s">
        <v>32137</v>
      </c>
      <c r="K2891" t="s">
        <v>39023</v>
      </c>
      <c r="M2891" t="s">
        <v>40464</v>
      </c>
      <c r="N2891" t="s">
        <v>43166</v>
      </c>
      <c r="O2891" t="s">
        <v>43167</v>
      </c>
      <c r="P2891">
        <v>0</v>
      </c>
      <c r="Q2891">
        <v>3</v>
      </c>
      <c r="R2891" t="s">
        <v>43170</v>
      </c>
      <c r="S2891" t="s">
        <v>43297</v>
      </c>
      <c r="T2891" t="s">
        <v>44684</v>
      </c>
      <c r="U2891" t="s">
        <v>45799</v>
      </c>
      <c r="W2891" t="s">
        <v>40464</v>
      </c>
      <c r="X2891" t="s">
        <v>43171</v>
      </c>
    </row>
    <row r="2892" spans="1:24">
      <c r="A2892">
        <f>HYPERLINK("https://www.philgeps.gov.ph/GEPSNONPILOT/Tender/SplashBidNoticeAbstractUI.aspx?menuIndex=3&amp;refID=7087035&amp;Result=3","7087035")</f>
        <v>0</v>
      </c>
      <c r="B2892" t="s">
        <v>665</v>
      </c>
      <c r="C2892" t="s">
        <v>6183</v>
      </c>
      <c r="D2892" t="s">
        <v>17432</v>
      </c>
      <c r="E2892" t="s">
        <v>20009</v>
      </c>
      <c r="F2892" t="s">
        <v>30052</v>
      </c>
      <c r="G2892" t="s">
        <v>30058</v>
      </c>
      <c r="H2892" t="s">
        <v>15498</v>
      </c>
      <c r="I2892" t="s">
        <v>30128</v>
      </c>
      <c r="J2892" t="s">
        <v>32138</v>
      </c>
      <c r="K2892" t="s">
        <v>39025</v>
      </c>
      <c r="M2892" t="s">
        <v>39971</v>
      </c>
      <c r="N2892" t="s">
        <v>43166</v>
      </c>
      <c r="O2892" t="s">
        <v>43167</v>
      </c>
      <c r="P2892">
        <v>0</v>
      </c>
      <c r="Q2892">
        <v>1</v>
      </c>
      <c r="R2892" t="s">
        <v>43170</v>
      </c>
      <c r="S2892" t="s">
        <v>43297</v>
      </c>
      <c r="T2892" t="s">
        <v>44801</v>
      </c>
      <c r="U2892" t="s">
        <v>47575</v>
      </c>
      <c r="W2892" t="s">
        <v>39971</v>
      </c>
      <c r="X2892" t="s">
        <v>43171</v>
      </c>
    </row>
    <row r="2893" spans="1:24">
      <c r="A2893">
        <f>HYPERLINK("https://www.philgeps.gov.ph/GEPSNONPILOT/Tender/SplashBidNoticeAbstractUI.aspx?menuIndex=3&amp;refID=7086965&amp;Result=3","7086965")</f>
        <v>0</v>
      </c>
      <c r="B2893" t="s">
        <v>1022</v>
      </c>
      <c r="C2893" t="s">
        <v>6184</v>
      </c>
      <c r="D2893" t="s">
        <v>17425</v>
      </c>
      <c r="E2893" t="s">
        <v>20010</v>
      </c>
      <c r="F2893" t="s">
        <v>30052</v>
      </c>
      <c r="G2893" t="s">
        <v>30058</v>
      </c>
      <c r="H2893" t="s">
        <v>15498</v>
      </c>
      <c r="I2893" t="s">
        <v>3736</v>
      </c>
      <c r="J2893" t="s">
        <v>32139</v>
      </c>
      <c r="K2893" t="s">
        <v>39064</v>
      </c>
      <c r="M2893" t="s">
        <v>40351</v>
      </c>
      <c r="N2893" t="s">
        <v>43166</v>
      </c>
      <c r="O2893" t="s">
        <v>43167</v>
      </c>
      <c r="P2893">
        <v>0</v>
      </c>
      <c r="Q2893">
        <v>0</v>
      </c>
      <c r="R2893" t="s">
        <v>43170</v>
      </c>
      <c r="S2893" t="s">
        <v>43297</v>
      </c>
      <c r="T2893" t="s">
        <v>44730</v>
      </c>
      <c r="U2893" t="s">
        <v>47576</v>
      </c>
      <c r="W2893" t="s">
        <v>40351</v>
      </c>
      <c r="X2893" t="s">
        <v>43171</v>
      </c>
    </row>
    <row r="2894" spans="1:24">
      <c r="A2894">
        <f>HYPERLINK("https://www.philgeps.gov.ph/GEPSNONPILOT/Tender/SplashBidNoticeAbstractUI.aspx?menuIndex=3&amp;refID=7087034&amp;Result=3","7087034")</f>
        <v>0</v>
      </c>
      <c r="B2894" t="s">
        <v>1125</v>
      </c>
      <c r="C2894" t="s">
        <v>6185</v>
      </c>
      <c r="E2894" t="s">
        <v>20011</v>
      </c>
      <c r="F2894" t="s">
        <v>30052</v>
      </c>
      <c r="G2894" t="s">
        <v>30058</v>
      </c>
      <c r="H2894" t="s">
        <v>15498</v>
      </c>
      <c r="I2894" t="s">
        <v>30074</v>
      </c>
      <c r="J2894" t="s">
        <v>30215</v>
      </c>
      <c r="K2894" t="s">
        <v>39025</v>
      </c>
      <c r="M2894" t="s">
        <v>40465</v>
      </c>
      <c r="N2894" t="s">
        <v>43166</v>
      </c>
      <c r="O2894" t="s">
        <v>43167</v>
      </c>
      <c r="P2894">
        <v>0</v>
      </c>
      <c r="Q2894">
        <v>5</v>
      </c>
      <c r="R2894" t="s">
        <v>43170</v>
      </c>
      <c r="S2894" t="s">
        <v>43297</v>
      </c>
      <c r="T2894" t="s">
        <v>44679</v>
      </c>
      <c r="U2894" t="s">
        <v>47577</v>
      </c>
      <c r="W2894" t="s">
        <v>40465</v>
      </c>
      <c r="X2894" t="s">
        <v>43171</v>
      </c>
    </row>
    <row r="2895" spans="1:24">
      <c r="A2895">
        <f>HYPERLINK("https://www.philgeps.gov.ph/GEPSNONPILOT/Tender/SplashBidNoticeAbstractUI.aspx?menuIndex=3&amp;refID=7087031&amp;Result=3","7087031")</f>
        <v>0</v>
      </c>
      <c r="B2895" t="s">
        <v>509</v>
      </c>
      <c r="C2895" t="s">
        <v>6186</v>
      </c>
      <c r="D2895" t="s">
        <v>17415</v>
      </c>
      <c r="E2895" t="s">
        <v>20012</v>
      </c>
      <c r="F2895" t="s">
        <v>30052</v>
      </c>
      <c r="G2895" t="s">
        <v>30059</v>
      </c>
      <c r="H2895" t="s">
        <v>30068</v>
      </c>
      <c r="I2895" t="s">
        <v>30068</v>
      </c>
      <c r="J2895" t="s">
        <v>31068</v>
      </c>
      <c r="K2895" t="s">
        <v>39026</v>
      </c>
      <c r="M2895" t="s">
        <v>39810</v>
      </c>
      <c r="N2895" t="s">
        <v>43166</v>
      </c>
      <c r="O2895" t="s">
        <v>43167</v>
      </c>
      <c r="P2895">
        <v>0</v>
      </c>
      <c r="Q2895">
        <v>1</v>
      </c>
      <c r="R2895" t="s">
        <v>43170</v>
      </c>
      <c r="S2895" t="s">
        <v>43297</v>
      </c>
      <c r="T2895" t="s">
        <v>44710</v>
      </c>
      <c r="U2895" t="s">
        <v>46172</v>
      </c>
      <c r="W2895" t="s">
        <v>39810</v>
      </c>
      <c r="X2895" t="s">
        <v>43171</v>
      </c>
    </row>
    <row r="2896" spans="1:24">
      <c r="A2896">
        <f>HYPERLINK("https://www.philgeps.gov.ph/GEPSNONPILOT/Tender/SplashBidNoticeAbstractUI.aspx?menuIndex=3&amp;refID=7087029&amp;Result=3","7087029")</f>
        <v>0</v>
      </c>
      <c r="B2896" t="s">
        <v>1114</v>
      </c>
      <c r="C2896" t="s">
        <v>6187</v>
      </c>
      <c r="D2896" t="s">
        <v>17466</v>
      </c>
      <c r="E2896" t="s">
        <v>20013</v>
      </c>
      <c r="F2896" t="s">
        <v>30052</v>
      </c>
      <c r="G2896" t="s">
        <v>30059</v>
      </c>
      <c r="H2896" t="s">
        <v>15498</v>
      </c>
      <c r="I2896" t="s">
        <v>30105</v>
      </c>
      <c r="J2896" t="s">
        <v>32140</v>
      </c>
      <c r="K2896" t="s">
        <v>39034</v>
      </c>
      <c r="M2896" t="s">
        <v>40454</v>
      </c>
      <c r="N2896" t="s">
        <v>43166</v>
      </c>
      <c r="O2896" t="s">
        <v>43167</v>
      </c>
      <c r="P2896">
        <v>0</v>
      </c>
      <c r="Q2896">
        <v>0</v>
      </c>
      <c r="R2896" t="s">
        <v>43170</v>
      </c>
      <c r="S2896" t="s">
        <v>43297</v>
      </c>
      <c r="T2896" t="s">
        <v>44735</v>
      </c>
      <c r="U2896" t="s">
        <v>47578</v>
      </c>
      <c r="W2896" t="s">
        <v>40454</v>
      </c>
      <c r="X2896" t="s">
        <v>43171</v>
      </c>
    </row>
    <row r="2897" spans="1:24">
      <c r="A2897">
        <f>HYPERLINK("https://www.philgeps.gov.ph/GEPSNONPILOT/Tender/SplashBidNoticeAbstractUI.aspx?menuIndex=3&amp;refID=7086997&amp;Result=3","7086997")</f>
        <v>0</v>
      </c>
      <c r="B2897" t="s">
        <v>652</v>
      </c>
      <c r="C2897" t="s">
        <v>6188</v>
      </c>
      <c r="D2897" t="s">
        <v>17454</v>
      </c>
      <c r="E2897" t="s">
        <v>20014</v>
      </c>
      <c r="F2897" t="s">
        <v>30052</v>
      </c>
      <c r="G2897" t="s">
        <v>30058</v>
      </c>
      <c r="H2897" t="s">
        <v>30069</v>
      </c>
      <c r="I2897" t="s">
        <v>30078</v>
      </c>
      <c r="J2897" t="s">
        <v>32141</v>
      </c>
      <c r="K2897" t="s">
        <v>39029</v>
      </c>
      <c r="M2897" t="s">
        <v>39956</v>
      </c>
      <c r="N2897" t="s">
        <v>43166</v>
      </c>
      <c r="O2897" t="s">
        <v>43167</v>
      </c>
      <c r="P2897">
        <v>0</v>
      </c>
      <c r="Q2897">
        <v>0</v>
      </c>
      <c r="R2897" t="s">
        <v>43170</v>
      </c>
      <c r="S2897" t="s">
        <v>43297</v>
      </c>
      <c r="T2897" t="s">
        <v>44703</v>
      </c>
      <c r="U2897" t="s">
        <v>47579</v>
      </c>
      <c r="W2897" t="s">
        <v>39956</v>
      </c>
      <c r="X2897" t="s">
        <v>43171</v>
      </c>
    </row>
    <row r="2898" spans="1:24">
      <c r="A2898">
        <f>HYPERLINK("https://www.philgeps.gov.ph/GEPSNONPILOT/Tender/SplashBidNoticeAbstractUI.aspx?menuIndex=3&amp;refID=7087027&amp;Result=3","7087027")</f>
        <v>0</v>
      </c>
      <c r="B2898" t="s">
        <v>665</v>
      </c>
      <c r="C2898" t="s">
        <v>6189</v>
      </c>
      <c r="D2898" t="s">
        <v>17432</v>
      </c>
      <c r="E2898" t="s">
        <v>20015</v>
      </c>
      <c r="F2898" t="s">
        <v>30052</v>
      </c>
      <c r="G2898" t="s">
        <v>30058</v>
      </c>
      <c r="H2898" t="s">
        <v>15498</v>
      </c>
      <c r="I2898" t="s">
        <v>30133</v>
      </c>
      <c r="J2898" t="s">
        <v>32142</v>
      </c>
      <c r="K2898" t="s">
        <v>39025</v>
      </c>
      <c r="M2898" t="s">
        <v>39971</v>
      </c>
      <c r="N2898" t="s">
        <v>43166</v>
      </c>
      <c r="O2898" t="s">
        <v>43167</v>
      </c>
      <c r="P2898">
        <v>0</v>
      </c>
      <c r="Q2898">
        <v>3</v>
      </c>
      <c r="R2898" t="s">
        <v>43170</v>
      </c>
      <c r="S2898" t="s">
        <v>43297</v>
      </c>
      <c r="T2898" t="s">
        <v>44709</v>
      </c>
      <c r="U2898" t="s">
        <v>47580</v>
      </c>
      <c r="W2898" t="s">
        <v>39971</v>
      </c>
      <c r="X2898" t="s">
        <v>43171</v>
      </c>
    </row>
    <row r="2899" spans="1:24">
      <c r="A2899">
        <f>HYPERLINK("https://www.philgeps.gov.ph/GEPSNONPILOT/Tender/SplashBidNoticeAbstractUI.aspx?menuIndex=3&amp;refID=7087026&amp;Result=3","7087026")</f>
        <v>0</v>
      </c>
      <c r="B2899" t="s">
        <v>1022</v>
      </c>
      <c r="C2899" t="s">
        <v>6190</v>
      </c>
      <c r="D2899" t="s">
        <v>17425</v>
      </c>
      <c r="E2899" t="s">
        <v>20016</v>
      </c>
      <c r="F2899" t="s">
        <v>30052</v>
      </c>
      <c r="G2899" t="s">
        <v>30059</v>
      </c>
      <c r="H2899" t="s">
        <v>15498</v>
      </c>
      <c r="I2899" t="s">
        <v>3736</v>
      </c>
      <c r="J2899" t="s">
        <v>32143</v>
      </c>
      <c r="K2899" t="s">
        <v>39064</v>
      </c>
      <c r="M2899" t="s">
        <v>40351</v>
      </c>
      <c r="N2899" t="s">
        <v>43166</v>
      </c>
      <c r="O2899" t="s">
        <v>43167</v>
      </c>
      <c r="P2899">
        <v>0</v>
      </c>
      <c r="Q2899">
        <v>0</v>
      </c>
      <c r="R2899" t="s">
        <v>43170</v>
      </c>
      <c r="S2899" t="s">
        <v>43297</v>
      </c>
      <c r="T2899" t="s">
        <v>44841</v>
      </c>
      <c r="U2899" t="s">
        <v>47581</v>
      </c>
      <c r="W2899" t="s">
        <v>40351</v>
      </c>
      <c r="X2899" t="s">
        <v>43171</v>
      </c>
    </row>
    <row r="2900" spans="1:24">
      <c r="A2900">
        <f>HYPERLINK("https://www.philgeps.gov.ph/GEPSNONPILOT/Tender/SplashBidNoticeAbstractUI.aspx?menuIndex=3&amp;refID=7087025&amp;Result=3","7087025")</f>
        <v>0</v>
      </c>
      <c r="B2900" t="s">
        <v>1126</v>
      </c>
      <c r="C2900" t="s">
        <v>6191</v>
      </c>
      <c r="D2900" t="s">
        <v>17442</v>
      </c>
      <c r="E2900" t="s">
        <v>20017</v>
      </c>
      <c r="F2900" t="s">
        <v>30052</v>
      </c>
      <c r="G2900" t="s">
        <v>30058</v>
      </c>
      <c r="H2900" t="s">
        <v>30067</v>
      </c>
      <c r="I2900" t="s">
        <v>3693</v>
      </c>
      <c r="J2900" t="s">
        <v>32144</v>
      </c>
      <c r="K2900" t="s">
        <v>39031</v>
      </c>
      <c r="L2900" t="s">
        <v>1126</v>
      </c>
      <c r="M2900" t="s">
        <v>40466</v>
      </c>
      <c r="N2900" t="s">
        <v>43166</v>
      </c>
      <c r="O2900" t="s">
        <v>43167</v>
      </c>
      <c r="P2900">
        <v>0</v>
      </c>
      <c r="Q2900">
        <v>0</v>
      </c>
      <c r="R2900" t="s">
        <v>43170</v>
      </c>
      <c r="S2900" t="s">
        <v>43297</v>
      </c>
      <c r="T2900" t="s">
        <v>44794</v>
      </c>
      <c r="U2900" t="s">
        <v>47582</v>
      </c>
      <c r="W2900" t="s">
        <v>40466</v>
      </c>
      <c r="X2900" t="s">
        <v>43171</v>
      </c>
    </row>
    <row r="2901" spans="1:24">
      <c r="A2901">
        <f>HYPERLINK("https://www.philgeps.gov.ph/GEPSNONPILOT/Tender/SplashBidNoticeAbstractUI.aspx?menuIndex=3&amp;refID=7087024&amp;Result=3","7087024")</f>
        <v>0</v>
      </c>
      <c r="B2901" t="s">
        <v>415</v>
      </c>
      <c r="C2901" t="s">
        <v>6192</v>
      </c>
      <c r="D2901" t="s">
        <v>17472</v>
      </c>
      <c r="E2901" t="s">
        <v>18363</v>
      </c>
      <c r="F2901" t="s">
        <v>30052</v>
      </c>
      <c r="G2901" t="s">
        <v>30061</v>
      </c>
      <c r="H2901" t="s">
        <v>15498</v>
      </c>
      <c r="I2901" t="s">
        <v>30084</v>
      </c>
      <c r="J2901" t="s">
        <v>30528</v>
      </c>
      <c r="K2901" t="s">
        <v>39034</v>
      </c>
      <c r="M2901" t="s">
        <v>39714</v>
      </c>
      <c r="N2901" t="s">
        <v>43166</v>
      </c>
      <c r="O2901" t="s">
        <v>43167</v>
      </c>
      <c r="P2901">
        <v>0</v>
      </c>
      <c r="Q2901">
        <v>0</v>
      </c>
      <c r="R2901" t="s">
        <v>43170</v>
      </c>
      <c r="S2901" t="s">
        <v>43297</v>
      </c>
      <c r="T2901" t="s">
        <v>44685</v>
      </c>
      <c r="U2901" t="s">
        <v>47583</v>
      </c>
      <c r="W2901" t="s">
        <v>39714</v>
      </c>
      <c r="X2901" t="s">
        <v>43171</v>
      </c>
    </row>
    <row r="2902" spans="1:24">
      <c r="A2902">
        <f>HYPERLINK("https://www.philgeps.gov.ph/GEPSNONPILOT/Tender/SplashBidNoticeAbstractUI.aspx?menuIndex=3&amp;refID=7087019&amp;Result=3","7087019")</f>
        <v>0</v>
      </c>
      <c r="B2902" t="s">
        <v>415</v>
      </c>
      <c r="C2902" t="s">
        <v>6193</v>
      </c>
      <c r="D2902" t="s">
        <v>17472</v>
      </c>
      <c r="E2902" t="s">
        <v>18363</v>
      </c>
      <c r="F2902" t="s">
        <v>30052</v>
      </c>
      <c r="G2902" t="s">
        <v>30061</v>
      </c>
      <c r="H2902" t="s">
        <v>15498</v>
      </c>
      <c r="I2902" t="s">
        <v>30092</v>
      </c>
      <c r="J2902" t="s">
        <v>32145</v>
      </c>
      <c r="K2902" t="s">
        <v>39034</v>
      </c>
      <c r="M2902" t="s">
        <v>39714</v>
      </c>
      <c r="N2902" t="s">
        <v>43166</v>
      </c>
      <c r="O2902" t="s">
        <v>43167</v>
      </c>
      <c r="P2902">
        <v>0</v>
      </c>
      <c r="Q2902">
        <v>0</v>
      </c>
      <c r="R2902" t="s">
        <v>43170</v>
      </c>
      <c r="S2902" t="s">
        <v>43297</v>
      </c>
      <c r="T2902" t="s">
        <v>44685</v>
      </c>
      <c r="U2902" t="s">
        <v>47584</v>
      </c>
      <c r="W2902" t="s">
        <v>39714</v>
      </c>
      <c r="X2902" t="s">
        <v>43171</v>
      </c>
    </row>
    <row r="2903" spans="1:24">
      <c r="A2903">
        <f>HYPERLINK("https://www.philgeps.gov.ph/GEPSNONPILOT/Tender/SplashBidNoticeAbstractUI.aspx?menuIndex=3&amp;refID=7087018&amp;Result=3","7087018")</f>
        <v>0</v>
      </c>
      <c r="B2903" t="s">
        <v>427</v>
      </c>
      <c r="C2903" t="s">
        <v>6194</v>
      </c>
      <c r="D2903" t="s">
        <v>17424</v>
      </c>
      <c r="E2903" t="s">
        <v>20018</v>
      </c>
      <c r="F2903" t="s">
        <v>30052</v>
      </c>
      <c r="G2903" t="s">
        <v>30058</v>
      </c>
      <c r="H2903" t="s">
        <v>15498</v>
      </c>
      <c r="I2903" t="s">
        <v>3736</v>
      </c>
      <c r="J2903" t="s">
        <v>32146</v>
      </c>
      <c r="K2903" t="s">
        <v>39036</v>
      </c>
      <c r="M2903" t="s">
        <v>39726</v>
      </c>
      <c r="N2903" t="s">
        <v>43166</v>
      </c>
      <c r="O2903" t="s">
        <v>43167</v>
      </c>
      <c r="P2903">
        <v>0</v>
      </c>
      <c r="Q2903">
        <v>1</v>
      </c>
      <c r="R2903" t="s">
        <v>43170</v>
      </c>
      <c r="S2903" t="s">
        <v>43297</v>
      </c>
      <c r="T2903" t="s">
        <v>44816</v>
      </c>
      <c r="U2903" t="s">
        <v>47585</v>
      </c>
      <c r="W2903" t="s">
        <v>39726</v>
      </c>
      <c r="X2903" t="s">
        <v>43171</v>
      </c>
    </row>
    <row r="2904" spans="1:24">
      <c r="A2904">
        <f>HYPERLINK("https://www.philgeps.gov.ph/GEPSNONPILOT/Tender/SplashBidNoticeAbstractUI.aspx?menuIndex=3&amp;refID=7087017&amp;Result=3","7087017")</f>
        <v>0</v>
      </c>
      <c r="B2904" t="s">
        <v>1126</v>
      </c>
      <c r="C2904" t="s">
        <v>6195</v>
      </c>
      <c r="D2904" t="s">
        <v>17442</v>
      </c>
      <c r="E2904" t="s">
        <v>20019</v>
      </c>
      <c r="F2904" t="s">
        <v>30052</v>
      </c>
      <c r="G2904" t="s">
        <v>30058</v>
      </c>
      <c r="H2904" t="s">
        <v>30067</v>
      </c>
      <c r="I2904" t="s">
        <v>3693</v>
      </c>
      <c r="J2904" t="s">
        <v>32147</v>
      </c>
      <c r="K2904" t="s">
        <v>39096</v>
      </c>
      <c r="L2904" t="s">
        <v>1126</v>
      </c>
      <c r="M2904" t="s">
        <v>40466</v>
      </c>
      <c r="N2904" t="s">
        <v>43166</v>
      </c>
      <c r="O2904" t="s">
        <v>43167</v>
      </c>
      <c r="P2904">
        <v>0</v>
      </c>
      <c r="Q2904">
        <v>0</v>
      </c>
      <c r="R2904" t="s">
        <v>43170</v>
      </c>
      <c r="S2904" t="s">
        <v>43297</v>
      </c>
      <c r="T2904" t="s">
        <v>44794</v>
      </c>
      <c r="U2904" t="s">
        <v>47586</v>
      </c>
      <c r="W2904" t="s">
        <v>40466</v>
      </c>
      <c r="X2904" t="s">
        <v>43171</v>
      </c>
    </row>
    <row r="2905" spans="1:24">
      <c r="A2905">
        <f>HYPERLINK("https://www.philgeps.gov.ph/GEPSNONPILOT/Tender/SplashBidNoticeAbstractUI.aspx?menuIndex=3&amp;refID=7087016&amp;Result=3","7087016")</f>
        <v>0</v>
      </c>
      <c r="B2905" t="s">
        <v>415</v>
      </c>
      <c r="C2905" t="s">
        <v>6196</v>
      </c>
      <c r="D2905" t="s">
        <v>17472</v>
      </c>
      <c r="E2905" t="s">
        <v>18363</v>
      </c>
      <c r="F2905" t="s">
        <v>30052</v>
      </c>
      <c r="G2905" t="s">
        <v>30061</v>
      </c>
      <c r="H2905" t="s">
        <v>15498</v>
      </c>
      <c r="I2905" t="s">
        <v>3606</v>
      </c>
      <c r="J2905" t="s">
        <v>32148</v>
      </c>
      <c r="K2905" t="s">
        <v>39034</v>
      </c>
      <c r="M2905" t="s">
        <v>39714</v>
      </c>
      <c r="N2905" t="s">
        <v>43166</v>
      </c>
      <c r="O2905" t="s">
        <v>43167</v>
      </c>
      <c r="P2905">
        <v>0</v>
      </c>
      <c r="Q2905">
        <v>0</v>
      </c>
      <c r="R2905" t="s">
        <v>43170</v>
      </c>
      <c r="S2905" t="s">
        <v>43297</v>
      </c>
      <c r="T2905" t="s">
        <v>44685</v>
      </c>
      <c r="U2905" t="s">
        <v>47587</v>
      </c>
      <c r="W2905" t="s">
        <v>39714</v>
      </c>
      <c r="X2905" t="s">
        <v>43171</v>
      </c>
    </row>
    <row r="2906" spans="1:24">
      <c r="A2906">
        <f>HYPERLINK("https://www.philgeps.gov.ph/GEPSNONPILOT/Tender/SplashBidNoticeAbstractUI.aspx?menuIndex=3&amp;refID=7087020&amp;Result=3","7087020")</f>
        <v>0</v>
      </c>
      <c r="B2906" t="s">
        <v>665</v>
      </c>
      <c r="C2906" t="s">
        <v>6197</v>
      </c>
      <c r="D2906" t="s">
        <v>17432</v>
      </c>
      <c r="E2906" t="s">
        <v>20020</v>
      </c>
      <c r="F2906" t="s">
        <v>30052</v>
      </c>
      <c r="G2906" t="s">
        <v>30058</v>
      </c>
      <c r="H2906" t="s">
        <v>15498</v>
      </c>
      <c r="I2906" t="s">
        <v>30150</v>
      </c>
      <c r="J2906" t="s">
        <v>32149</v>
      </c>
      <c r="K2906" t="s">
        <v>39025</v>
      </c>
      <c r="M2906" t="s">
        <v>39971</v>
      </c>
      <c r="N2906" t="s">
        <v>43166</v>
      </c>
      <c r="O2906" t="s">
        <v>43167</v>
      </c>
      <c r="P2906">
        <v>0</v>
      </c>
      <c r="Q2906">
        <v>7</v>
      </c>
      <c r="R2906" t="s">
        <v>43170</v>
      </c>
      <c r="S2906" t="s">
        <v>43297</v>
      </c>
      <c r="T2906" t="s">
        <v>44684</v>
      </c>
      <c r="U2906" t="s">
        <v>47588</v>
      </c>
      <c r="W2906" t="s">
        <v>39971</v>
      </c>
      <c r="X2906" t="s">
        <v>43171</v>
      </c>
    </row>
    <row r="2907" spans="1:24">
      <c r="A2907">
        <f>HYPERLINK("https://www.philgeps.gov.ph/GEPSNONPILOT/Tender/SplashBidNoticeAbstractUI.aspx?menuIndex=3&amp;refID=7087030&amp;Result=3","7087030")</f>
        <v>0</v>
      </c>
      <c r="B2907" t="s">
        <v>1127</v>
      </c>
      <c r="C2907" t="s">
        <v>6198</v>
      </c>
      <c r="D2907" t="s">
        <v>17432</v>
      </c>
      <c r="E2907" t="s">
        <v>20021</v>
      </c>
      <c r="F2907" t="s">
        <v>30052</v>
      </c>
      <c r="G2907" t="s">
        <v>30059</v>
      </c>
      <c r="H2907" t="s">
        <v>15498</v>
      </c>
      <c r="I2907" t="s">
        <v>30071</v>
      </c>
      <c r="J2907" t="s">
        <v>32150</v>
      </c>
      <c r="K2907" t="s">
        <v>39039</v>
      </c>
      <c r="M2907" t="s">
        <v>40467</v>
      </c>
      <c r="N2907" t="s">
        <v>43166</v>
      </c>
      <c r="O2907" t="s">
        <v>43167</v>
      </c>
      <c r="P2907">
        <v>0</v>
      </c>
      <c r="Q2907">
        <v>0</v>
      </c>
      <c r="R2907" t="s">
        <v>43170</v>
      </c>
      <c r="S2907" t="s">
        <v>43297</v>
      </c>
      <c r="T2907" t="s">
        <v>44735</v>
      </c>
      <c r="U2907" t="s">
        <v>47589</v>
      </c>
      <c r="W2907" t="s">
        <v>40467</v>
      </c>
      <c r="X2907" t="s">
        <v>43171</v>
      </c>
    </row>
    <row r="2908" spans="1:24">
      <c r="A2908">
        <f>HYPERLINK("https://www.philgeps.gov.ph/GEPSNONPILOT/Tender/SplashBidNoticeAbstractUI.aspx?menuIndex=3&amp;refID=7087014&amp;Result=3","7087014")</f>
        <v>0</v>
      </c>
      <c r="B2908" t="s">
        <v>391</v>
      </c>
      <c r="C2908" t="s">
        <v>6199</v>
      </c>
      <c r="D2908" t="s">
        <v>17428</v>
      </c>
      <c r="E2908" t="s">
        <v>20022</v>
      </c>
      <c r="F2908" t="s">
        <v>30052</v>
      </c>
      <c r="G2908" t="s">
        <v>30059</v>
      </c>
      <c r="H2908" t="s">
        <v>15498</v>
      </c>
      <c r="I2908" t="s">
        <v>30173</v>
      </c>
      <c r="J2908" t="s">
        <v>32151</v>
      </c>
      <c r="K2908" t="s">
        <v>39034</v>
      </c>
      <c r="M2908" t="s">
        <v>39689</v>
      </c>
      <c r="N2908" t="s">
        <v>43166</v>
      </c>
      <c r="O2908" t="s">
        <v>43167</v>
      </c>
      <c r="P2908">
        <v>0</v>
      </c>
      <c r="Q2908">
        <v>0</v>
      </c>
      <c r="R2908" t="s">
        <v>43170</v>
      </c>
      <c r="S2908" t="s">
        <v>43297</v>
      </c>
      <c r="T2908" t="s">
        <v>44844</v>
      </c>
      <c r="U2908" t="s">
        <v>47590</v>
      </c>
      <c r="V2908" t="s">
        <v>57160</v>
      </c>
      <c r="W2908" t="s">
        <v>39689</v>
      </c>
      <c r="X2908" t="s">
        <v>43171</v>
      </c>
    </row>
    <row r="2909" spans="1:24">
      <c r="A2909">
        <f>HYPERLINK("https://www.philgeps.gov.ph/GEPSNONPILOT/Tender/SplashBidNoticeAbstractUI.aspx?menuIndex=3&amp;refID=7087012&amp;Result=3","7087012")</f>
        <v>0</v>
      </c>
      <c r="B2909" t="s">
        <v>1127</v>
      </c>
      <c r="C2909" t="s">
        <v>6200</v>
      </c>
      <c r="D2909" t="s">
        <v>17432</v>
      </c>
      <c r="E2909" t="s">
        <v>20023</v>
      </c>
      <c r="F2909" t="s">
        <v>30052</v>
      </c>
      <c r="G2909" t="s">
        <v>30059</v>
      </c>
      <c r="H2909" t="s">
        <v>15498</v>
      </c>
      <c r="I2909" t="s">
        <v>4119</v>
      </c>
      <c r="J2909" t="s">
        <v>32152</v>
      </c>
      <c r="K2909" t="s">
        <v>39039</v>
      </c>
      <c r="M2909" t="s">
        <v>40467</v>
      </c>
      <c r="N2909" t="s">
        <v>43166</v>
      </c>
      <c r="O2909" t="s">
        <v>43167</v>
      </c>
      <c r="P2909">
        <v>0</v>
      </c>
      <c r="Q2909">
        <v>1</v>
      </c>
      <c r="R2909" t="s">
        <v>43170</v>
      </c>
      <c r="S2909" t="s">
        <v>43297</v>
      </c>
      <c r="T2909" t="s">
        <v>44735</v>
      </c>
      <c r="U2909" t="s">
        <v>47591</v>
      </c>
      <c r="W2909" t="s">
        <v>40467</v>
      </c>
      <c r="X2909" t="s">
        <v>43171</v>
      </c>
    </row>
    <row r="2910" spans="1:24">
      <c r="A2910">
        <f>HYPERLINK("https://www.philgeps.gov.ph/GEPSNONPILOT/Tender/SplashBidNoticeAbstractUI.aspx?menuIndex=3&amp;refID=7086996&amp;Result=3","7086996")</f>
        <v>0</v>
      </c>
      <c r="B2910" t="s">
        <v>1114</v>
      </c>
      <c r="C2910" t="s">
        <v>6201</v>
      </c>
      <c r="D2910" t="s">
        <v>17466</v>
      </c>
      <c r="E2910" t="s">
        <v>20024</v>
      </c>
      <c r="F2910" t="s">
        <v>30052</v>
      </c>
      <c r="G2910" t="s">
        <v>30059</v>
      </c>
      <c r="H2910" t="s">
        <v>30067</v>
      </c>
      <c r="I2910" t="s">
        <v>3693</v>
      </c>
      <c r="J2910" t="s">
        <v>30605</v>
      </c>
      <c r="K2910" t="s">
        <v>39034</v>
      </c>
      <c r="M2910" t="s">
        <v>40454</v>
      </c>
      <c r="N2910" t="s">
        <v>43166</v>
      </c>
      <c r="O2910" t="s">
        <v>43167</v>
      </c>
      <c r="P2910">
        <v>0</v>
      </c>
      <c r="Q2910">
        <v>0</v>
      </c>
      <c r="R2910" t="s">
        <v>43170</v>
      </c>
      <c r="S2910" t="s">
        <v>43297</v>
      </c>
      <c r="T2910" t="s">
        <v>44735</v>
      </c>
      <c r="U2910" t="s">
        <v>47592</v>
      </c>
      <c r="W2910" t="s">
        <v>40454</v>
      </c>
      <c r="X2910" t="s">
        <v>43171</v>
      </c>
    </row>
    <row r="2911" spans="1:24">
      <c r="A2911">
        <f>HYPERLINK("https://www.philgeps.gov.ph/GEPSNONPILOT/Tender/SplashBidNoticeAbstractUI.aspx?menuIndex=3&amp;refID=7086995&amp;Result=3","7086995")</f>
        <v>0</v>
      </c>
      <c r="B2911" t="s">
        <v>415</v>
      </c>
      <c r="C2911" t="s">
        <v>6202</v>
      </c>
      <c r="D2911" t="s">
        <v>17472</v>
      </c>
      <c r="E2911" t="s">
        <v>18363</v>
      </c>
      <c r="F2911" t="s">
        <v>30052</v>
      </c>
      <c r="G2911" t="s">
        <v>30061</v>
      </c>
      <c r="H2911" t="s">
        <v>15498</v>
      </c>
      <c r="I2911" t="s">
        <v>30073</v>
      </c>
      <c r="J2911" t="s">
        <v>32153</v>
      </c>
      <c r="K2911" t="s">
        <v>39034</v>
      </c>
      <c r="M2911" t="s">
        <v>39714</v>
      </c>
      <c r="N2911" t="s">
        <v>43166</v>
      </c>
      <c r="O2911" t="s">
        <v>43167</v>
      </c>
      <c r="P2911">
        <v>0</v>
      </c>
      <c r="Q2911">
        <v>0</v>
      </c>
      <c r="R2911" t="s">
        <v>43170</v>
      </c>
      <c r="S2911" t="s">
        <v>43297</v>
      </c>
      <c r="T2911" t="s">
        <v>44685</v>
      </c>
      <c r="U2911" t="s">
        <v>47593</v>
      </c>
      <c r="W2911" t="s">
        <v>39714</v>
      </c>
      <c r="X2911" t="s">
        <v>43171</v>
      </c>
    </row>
    <row r="2912" spans="1:24">
      <c r="A2912">
        <f>HYPERLINK("https://www.philgeps.gov.ph/GEPSNONPILOT/Tender/SplashBidNoticeAbstractUI.aspx?menuIndex=3&amp;refID=7086992&amp;Result=3","7086992")</f>
        <v>0</v>
      </c>
      <c r="B2912" t="s">
        <v>415</v>
      </c>
      <c r="C2912" t="s">
        <v>6203</v>
      </c>
      <c r="D2912" t="s">
        <v>17472</v>
      </c>
      <c r="E2912" t="s">
        <v>18363</v>
      </c>
      <c r="F2912" t="s">
        <v>30052</v>
      </c>
      <c r="G2912" t="s">
        <v>30061</v>
      </c>
      <c r="H2912" t="s">
        <v>15498</v>
      </c>
      <c r="I2912" t="s">
        <v>30174</v>
      </c>
      <c r="J2912" t="s">
        <v>32154</v>
      </c>
      <c r="K2912" t="s">
        <v>39034</v>
      </c>
      <c r="M2912" t="s">
        <v>39714</v>
      </c>
      <c r="N2912" t="s">
        <v>43166</v>
      </c>
      <c r="O2912" t="s">
        <v>43167</v>
      </c>
      <c r="P2912">
        <v>0</v>
      </c>
      <c r="Q2912">
        <v>0</v>
      </c>
      <c r="R2912" t="s">
        <v>43170</v>
      </c>
      <c r="S2912" t="s">
        <v>43297</v>
      </c>
      <c r="T2912" t="s">
        <v>44685</v>
      </c>
      <c r="U2912" t="s">
        <v>47594</v>
      </c>
      <c r="W2912" t="s">
        <v>39714</v>
      </c>
      <c r="X2912" t="s">
        <v>43171</v>
      </c>
    </row>
    <row r="2913" spans="1:24">
      <c r="A2913">
        <f>HYPERLINK("https://www.philgeps.gov.ph/GEPSNONPILOT/Tender/SplashBidNoticeAbstractUI.aspx?menuIndex=3&amp;refID=7086991&amp;Result=3","7086991")</f>
        <v>0</v>
      </c>
      <c r="B2913" t="s">
        <v>1128</v>
      </c>
      <c r="C2913" t="s">
        <v>6204</v>
      </c>
      <c r="D2913" t="s">
        <v>17455</v>
      </c>
      <c r="E2913" t="s">
        <v>20025</v>
      </c>
      <c r="F2913" t="s">
        <v>30052</v>
      </c>
      <c r="G2913" t="s">
        <v>30059</v>
      </c>
      <c r="H2913" t="s">
        <v>15498</v>
      </c>
      <c r="I2913" t="s">
        <v>3852</v>
      </c>
      <c r="J2913" t="s">
        <v>32155</v>
      </c>
      <c r="K2913" t="s">
        <v>39017</v>
      </c>
      <c r="M2913" t="s">
        <v>40468</v>
      </c>
      <c r="N2913" t="s">
        <v>43166</v>
      </c>
      <c r="O2913" t="s">
        <v>43167</v>
      </c>
      <c r="P2913">
        <v>0</v>
      </c>
      <c r="Q2913">
        <v>1</v>
      </c>
      <c r="R2913" t="s">
        <v>43170</v>
      </c>
      <c r="S2913" t="s">
        <v>43297</v>
      </c>
      <c r="T2913" t="s">
        <v>44735</v>
      </c>
      <c r="U2913" t="s">
        <v>47595</v>
      </c>
      <c r="W2913" t="s">
        <v>40468</v>
      </c>
      <c r="X2913" t="s">
        <v>43171</v>
      </c>
    </row>
    <row r="2914" spans="1:24">
      <c r="A2914">
        <f>HYPERLINK("https://www.philgeps.gov.ph/GEPSNONPILOT/Tender/SplashBidNoticeAbstractUI.aspx?menuIndex=3&amp;refID=7087011&amp;Result=3","7087011")</f>
        <v>0</v>
      </c>
      <c r="B2914" t="s">
        <v>509</v>
      </c>
      <c r="C2914" t="s">
        <v>6205</v>
      </c>
      <c r="D2914" t="s">
        <v>17415</v>
      </c>
      <c r="E2914" t="s">
        <v>20026</v>
      </c>
      <c r="F2914" t="s">
        <v>30052</v>
      </c>
      <c r="G2914" t="s">
        <v>30059</v>
      </c>
      <c r="H2914" t="s">
        <v>30068</v>
      </c>
      <c r="I2914" t="s">
        <v>30068</v>
      </c>
      <c r="J2914" t="s">
        <v>31068</v>
      </c>
      <c r="K2914" t="s">
        <v>39054</v>
      </c>
      <c r="M2914" t="s">
        <v>39810</v>
      </c>
      <c r="N2914" t="s">
        <v>43166</v>
      </c>
      <c r="O2914" t="s">
        <v>43167</v>
      </c>
      <c r="P2914">
        <v>0</v>
      </c>
      <c r="Q2914">
        <v>1</v>
      </c>
      <c r="R2914" t="s">
        <v>43170</v>
      </c>
      <c r="S2914" t="s">
        <v>43297</v>
      </c>
      <c r="T2914" t="s">
        <v>44710</v>
      </c>
      <c r="U2914" t="s">
        <v>46172</v>
      </c>
      <c r="W2914" t="s">
        <v>39810</v>
      </c>
      <c r="X2914" t="s">
        <v>43171</v>
      </c>
    </row>
    <row r="2915" spans="1:24">
      <c r="A2915">
        <f>HYPERLINK("https://www.philgeps.gov.ph/GEPSNONPILOT/Tender/SplashBidNoticeAbstractUI.aspx?menuIndex=3&amp;refID=7086817&amp;Result=3","7086817")</f>
        <v>0</v>
      </c>
      <c r="B2915" t="s">
        <v>1079</v>
      </c>
      <c r="C2915" t="s">
        <v>6206</v>
      </c>
      <c r="D2915" t="s">
        <v>17416</v>
      </c>
      <c r="E2915" t="s">
        <v>20027</v>
      </c>
      <c r="F2915" t="s">
        <v>30052</v>
      </c>
      <c r="G2915" t="s">
        <v>30059</v>
      </c>
      <c r="H2915" t="s">
        <v>15498</v>
      </c>
      <c r="I2915" t="s">
        <v>5961</v>
      </c>
      <c r="J2915" t="s">
        <v>30743</v>
      </c>
      <c r="K2915" t="s">
        <v>39019</v>
      </c>
      <c r="M2915" t="s">
        <v>40415</v>
      </c>
      <c r="N2915" t="s">
        <v>43166</v>
      </c>
      <c r="O2915" t="s">
        <v>43167</v>
      </c>
      <c r="P2915">
        <v>0</v>
      </c>
      <c r="Q2915">
        <v>2</v>
      </c>
      <c r="R2915" t="s">
        <v>43170</v>
      </c>
      <c r="S2915" t="s">
        <v>43297</v>
      </c>
      <c r="T2915" t="s">
        <v>44844</v>
      </c>
      <c r="U2915" t="s">
        <v>47596</v>
      </c>
      <c r="W2915" t="s">
        <v>40415</v>
      </c>
      <c r="X2915" t="s">
        <v>43171</v>
      </c>
    </row>
    <row r="2916" spans="1:24">
      <c r="A2916">
        <f>HYPERLINK("https://www.philgeps.gov.ph/GEPSNONPILOT/Tender/SplashBidNoticeAbstractUI.aspx?menuIndex=3&amp;refID=7086811&amp;Result=3","7086811")</f>
        <v>0</v>
      </c>
      <c r="B2916" t="s">
        <v>1129</v>
      </c>
      <c r="C2916" t="s">
        <v>6207</v>
      </c>
      <c r="D2916" t="s">
        <v>17470</v>
      </c>
      <c r="E2916" t="s">
        <v>20028</v>
      </c>
      <c r="F2916" t="s">
        <v>30052</v>
      </c>
      <c r="G2916" t="s">
        <v>30058</v>
      </c>
      <c r="H2916" t="s">
        <v>30067</v>
      </c>
      <c r="I2916" t="s">
        <v>3693</v>
      </c>
      <c r="J2916" t="s">
        <v>32156</v>
      </c>
      <c r="K2916" t="s">
        <v>39023</v>
      </c>
      <c r="M2916" t="s">
        <v>40469</v>
      </c>
      <c r="N2916" t="s">
        <v>43166</v>
      </c>
      <c r="O2916" t="s">
        <v>43167</v>
      </c>
      <c r="P2916">
        <v>0</v>
      </c>
      <c r="Q2916">
        <v>0</v>
      </c>
      <c r="R2916" t="s">
        <v>43170</v>
      </c>
      <c r="S2916" t="s">
        <v>43297</v>
      </c>
      <c r="T2916" t="s">
        <v>44753</v>
      </c>
      <c r="U2916" t="s">
        <v>47597</v>
      </c>
      <c r="V2916" t="s">
        <v>57161</v>
      </c>
      <c r="W2916" t="s">
        <v>40469</v>
      </c>
      <c r="X2916" t="s">
        <v>43171</v>
      </c>
    </row>
    <row r="2917" spans="1:24">
      <c r="A2917">
        <f>HYPERLINK("https://www.philgeps.gov.ph/GEPSNONPILOT/Tender/SplashBidNoticeAbstractUI.aspx?menuIndex=3&amp;refID=7087021&amp;Result=3","7087021")</f>
        <v>0</v>
      </c>
      <c r="B2917" t="s">
        <v>1121</v>
      </c>
      <c r="C2917" t="s">
        <v>6208</v>
      </c>
      <c r="D2917" t="s">
        <v>17462</v>
      </c>
      <c r="E2917" t="s">
        <v>20029</v>
      </c>
      <c r="F2917" t="s">
        <v>30052</v>
      </c>
      <c r="G2917" t="s">
        <v>30058</v>
      </c>
      <c r="H2917" t="s">
        <v>15498</v>
      </c>
      <c r="I2917" t="s">
        <v>30096</v>
      </c>
      <c r="J2917" t="s">
        <v>30297</v>
      </c>
      <c r="K2917" t="s">
        <v>39023</v>
      </c>
      <c r="M2917" t="s">
        <v>40461</v>
      </c>
      <c r="N2917" t="s">
        <v>43166</v>
      </c>
      <c r="O2917" t="s">
        <v>43167</v>
      </c>
      <c r="P2917">
        <v>0</v>
      </c>
      <c r="Q2917">
        <v>3</v>
      </c>
      <c r="R2917" t="s">
        <v>43170</v>
      </c>
      <c r="S2917" t="s">
        <v>43297</v>
      </c>
      <c r="T2917" t="s">
        <v>44936</v>
      </c>
      <c r="U2917" t="s">
        <v>47598</v>
      </c>
      <c r="W2917" t="s">
        <v>40461</v>
      </c>
      <c r="X2917" t="s">
        <v>43171</v>
      </c>
    </row>
    <row r="2918" spans="1:24">
      <c r="A2918">
        <f>HYPERLINK("https://www.philgeps.gov.ph/GEPSNONPILOT/Tender/SplashBidNoticeAbstractUI.aspx?menuIndex=3&amp;refID=7086994&amp;Result=3","7086994")</f>
        <v>0</v>
      </c>
      <c r="B2918" t="s">
        <v>1121</v>
      </c>
      <c r="C2918" t="s">
        <v>6209</v>
      </c>
      <c r="D2918" t="s">
        <v>17462</v>
      </c>
      <c r="E2918" t="s">
        <v>20030</v>
      </c>
      <c r="F2918" t="s">
        <v>30052</v>
      </c>
      <c r="G2918" t="s">
        <v>30058</v>
      </c>
      <c r="H2918" t="s">
        <v>30067</v>
      </c>
      <c r="I2918" t="s">
        <v>3693</v>
      </c>
      <c r="J2918" t="s">
        <v>30281</v>
      </c>
      <c r="K2918" t="s">
        <v>39026</v>
      </c>
      <c r="M2918" t="s">
        <v>40461</v>
      </c>
      <c r="N2918" t="s">
        <v>43166</v>
      </c>
      <c r="O2918" t="s">
        <v>43167</v>
      </c>
      <c r="P2918">
        <v>0</v>
      </c>
      <c r="Q2918">
        <v>0</v>
      </c>
      <c r="R2918" t="s">
        <v>43170</v>
      </c>
      <c r="S2918" t="s">
        <v>43297</v>
      </c>
      <c r="T2918" t="s">
        <v>44936</v>
      </c>
      <c r="U2918" t="s">
        <v>47599</v>
      </c>
      <c r="W2918" t="s">
        <v>40461</v>
      </c>
      <c r="X2918" t="s">
        <v>43171</v>
      </c>
    </row>
    <row r="2919" spans="1:24">
      <c r="A2919">
        <f>HYPERLINK("https://www.philgeps.gov.ph/GEPSNONPILOT/Tender/SplashBidNoticeAbstractUI.aspx?menuIndex=3&amp;refID=7087015&amp;Result=3","7087015")</f>
        <v>0</v>
      </c>
      <c r="B2919" t="s">
        <v>665</v>
      </c>
      <c r="C2919" t="s">
        <v>6210</v>
      </c>
      <c r="D2919" t="s">
        <v>17432</v>
      </c>
      <c r="E2919" t="s">
        <v>20031</v>
      </c>
      <c r="F2919" t="s">
        <v>30052</v>
      </c>
      <c r="G2919" t="s">
        <v>30058</v>
      </c>
      <c r="H2919" t="s">
        <v>15498</v>
      </c>
      <c r="I2919" t="s">
        <v>9238</v>
      </c>
      <c r="J2919" t="s">
        <v>32157</v>
      </c>
      <c r="K2919" t="s">
        <v>39025</v>
      </c>
      <c r="M2919" t="s">
        <v>39971</v>
      </c>
      <c r="N2919" t="s">
        <v>43166</v>
      </c>
      <c r="O2919" t="s">
        <v>43167</v>
      </c>
      <c r="P2919">
        <v>0</v>
      </c>
      <c r="Q2919">
        <v>12</v>
      </c>
      <c r="R2919" t="s">
        <v>43170</v>
      </c>
      <c r="S2919" t="s">
        <v>43297</v>
      </c>
      <c r="T2919" t="s">
        <v>44677</v>
      </c>
      <c r="U2919" t="s">
        <v>47600</v>
      </c>
      <c r="W2919" t="s">
        <v>39971</v>
      </c>
      <c r="X2919" t="s">
        <v>43171</v>
      </c>
    </row>
    <row r="2920" spans="1:24">
      <c r="A2920">
        <f>HYPERLINK("https://www.philgeps.gov.ph/GEPSNONPILOT/Tender/SplashBidNoticeAbstractUI.aspx?menuIndex=3&amp;refID=7086974&amp;Result=3","7086974")</f>
        <v>0</v>
      </c>
      <c r="B2920" t="s">
        <v>465</v>
      </c>
      <c r="C2920" t="s">
        <v>6211</v>
      </c>
      <c r="D2920" t="s">
        <v>17448</v>
      </c>
      <c r="E2920" t="s">
        <v>19987</v>
      </c>
      <c r="F2920" t="s">
        <v>30052</v>
      </c>
      <c r="G2920" t="s">
        <v>30061</v>
      </c>
      <c r="H2920" t="s">
        <v>15498</v>
      </c>
      <c r="I2920" t="s">
        <v>3606</v>
      </c>
      <c r="J2920" t="s">
        <v>30337</v>
      </c>
      <c r="K2920" t="s">
        <v>39025</v>
      </c>
      <c r="M2920" t="s">
        <v>39766</v>
      </c>
      <c r="N2920" t="s">
        <v>43166</v>
      </c>
      <c r="O2920" t="s">
        <v>43167</v>
      </c>
      <c r="P2920">
        <v>0</v>
      </c>
      <c r="Q2920">
        <v>0</v>
      </c>
      <c r="R2920" t="s">
        <v>43170</v>
      </c>
      <c r="S2920" t="s">
        <v>43297</v>
      </c>
      <c r="T2920" t="s">
        <v>44773</v>
      </c>
      <c r="U2920" t="s">
        <v>47601</v>
      </c>
      <c r="W2920" t="s">
        <v>39766</v>
      </c>
      <c r="X2920" t="s">
        <v>43171</v>
      </c>
    </row>
    <row r="2921" spans="1:24">
      <c r="A2921">
        <f>HYPERLINK("https://www.philgeps.gov.ph/GEPSNONPILOT/Tender/SplashBidNoticeAbstractUI.aspx?menuIndex=3&amp;refID=7086999&amp;Result=3","7086999")</f>
        <v>0</v>
      </c>
      <c r="B2921" t="s">
        <v>665</v>
      </c>
      <c r="C2921" t="s">
        <v>6212</v>
      </c>
      <c r="D2921" t="s">
        <v>17432</v>
      </c>
      <c r="E2921" t="s">
        <v>20032</v>
      </c>
      <c r="F2921" t="s">
        <v>30052</v>
      </c>
      <c r="G2921" t="s">
        <v>30058</v>
      </c>
      <c r="H2921" t="s">
        <v>15498</v>
      </c>
      <c r="I2921" t="s">
        <v>4598</v>
      </c>
      <c r="J2921" t="s">
        <v>32158</v>
      </c>
      <c r="K2921" t="s">
        <v>39025</v>
      </c>
      <c r="M2921" t="s">
        <v>39971</v>
      </c>
      <c r="N2921" t="s">
        <v>43166</v>
      </c>
      <c r="O2921" t="s">
        <v>43167</v>
      </c>
      <c r="P2921">
        <v>0</v>
      </c>
      <c r="Q2921">
        <v>8</v>
      </c>
      <c r="R2921" t="s">
        <v>43170</v>
      </c>
      <c r="S2921" t="s">
        <v>43297</v>
      </c>
      <c r="T2921" t="s">
        <v>44809</v>
      </c>
      <c r="U2921" t="s">
        <v>47602</v>
      </c>
      <c r="W2921" t="s">
        <v>39971</v>
      </c>
      <c r="X2921" t="s">
        <v>43171</v>
      </c>
    </row>
    <row r="2922" spans="1:24">
      <c r="A2922">
        <f>HYPERLINK("https://www.philgeps.gov.ph/GEPSNONPILOT/Tender/SplashBidNoticeAbstractUI.aspx?menuIndex=3&amp;refID=7086810&amp;Result=3","7086810")</f>
        <v>0</v>
      </c>
      <c r="B2922" t="s">
        <v>1071</v>
      </c>
      <c r="C2922" t="s">
        <v>6213</v>
      </c>
      <c r="D2922" t="s">
        <v>17426</v>
      </c>
      <c r="E2922" t="s">
        <v>20033</v>
      </c>
      <c r="F2922" t="s">
        <v>30052</v>
      </c>
      <c r="G2922" t="s">
        <v>30058</v>
      </c>
      <c r="H2922" t="s">
        <v>30067</v>
      </c>
      <c r="I2922" t="s">
        <v>3693</v>
      </c>
      <c r="J2922" t="s">
        <v>32159</v>
      </c>
      <c r="K2922" t="s">
        <v>39025</v>
      </c>
      <c r="M2922" t="s">
        <v>40406</v>
      </c>
      <c r="N2922" t="s">
        <v>43166</v>
      </c>
      <c r="O2922" t="s">
        <v>43167</v>
      </c>
      <c r="P2922">
        <v>0</v>
      </c>
      <c r="Q2922">
        <v>0</v>
      </c>
      <c r="R2922" t="s">
        <v>43170</v>
      </c>
      <c r="S2922" t="s">
        <v>43297</v>
      </c>
      <c r="T2922" t="s">
        <v>44842</v>
      </c>
      <c r="U2922" t="s">
        <v>47603</v>
      </c>
      <c r="W2922" t="s">
        <v>40406</v>
      </c>
      <c r="X2922" t="s">
        <v>43171</v>
      </c>
    </row>
    <row r="2923" spans="1:24">
      <c r="A2923">
        <f>HYPERLINK("https://www.philgeps.gov.ph/GEPSNONPILOT/Tender/SplashBidNoticeAbstractUI.aspx?menuIndex=3&amp;refID=7087067&amp;Result=3","7087067")</f>
        <v>0</v>
      </c>
      <c r="B2923" t="s">
        <v>1123</v>
      </c>
      <c r="C2923" t="s">
        <v>6214</v>
      </c>
      <c r="D2923" t="s">
        <v>17464</v>
      </c>
      <c r="E2923" t="s">
        <v>20034</v>
      </c>
      <c r="F2923" t="s">
        <v>30052</v>
      </c>
      <c r="G2923" t="s">
        <v>30058</v>
      </c>
      <c r="H2923" t="s">
        <v>15498</v>
      </c>
      <c r="I2923" t="s">
        <v>30085</v>
      </c>
      <c r="J2923" t="s">
        <v>32160</v>
      </c>
      <c r="K2923" t="s">
        <v>39031</v>
      </c>
      <c r="M2923" t="s">
        <v>40463</v>
      </c>
      <c r="N2923" t="s">
        <v>43166</v>
      </c>
      <c r="O2923" t="s">
        <v>43167</v>
      </c>
      <c r="P2923">
        <v>0</v>
      </c>
      <c r="Q2923">
        <v>0</v>
      </c>
      <c r="R2923" t="s">
        <v>43170</v>
      </c>
      <c r="S2923" t="s">
        <v>43297</v>
      </c>
      <c r="T2923" t="s">
        <v>44938</v>
      </c>
      <c r="U2923" t="s">
        <v>47604</v>
      </c>
      <c r="W2923" t="s">
        <v>40463</v>
      </c>
      <c r="X2923" t="s">
        <v>43171</v>
      </c>
    </row>
    <row r="2924" spans="1:24">
      <c r="A2924">
        <f>HYPERLINK("https://www.philgeps.gov.ph/GEPSNONPILOT/Tender/SplashBidNoticeAbstractUI.aspx?menuIndex=3&amp;refID=7087064&amp;Result=3","7087064")</f>
        <v>0</v>
      </c>
      <c r="B2924" t="s">
        <v>648</v>
      </c>
      <c r="C2924" t="s">
        <v>6215</v>
      </c>
      <c r="D2924" t="s">
        <v>17415</v>
      </c>
      <c r="E2924" t="s">
        <v>20035</v>
      </c>
      <c r="F2924" t="s">
        <v>30052</v>
      </c>
      <c r="G2924" t="s">
        <v>30059</v>
      </c>
      <c r="H2924" t="s">
        <v>15498</v>
      </c>
      <c r="I2924" t="s">
        <v>30081</v>
      </c>
      <c r="J2924" t="s">
        <v>32161</v>
      </c>
      <c r="K2924" t="s">
        <v>39037</v>
      </c>
      <c r="M2924" t="s">
        <v>39952</v>
      </c>
      <c r="N2924" t="s">
        <v>43166</v>
      </c>
      <c r="O2924" t="s">
        <v>43167</v>
      </c>
      <c r="P2924">
        <v>0</v>
      </c>
      <c r="Q2924">
        <v>1</v>
      </c>
      <c r="R2924" t="s">
        <v>43170</v>
      </c>
      <c r="S2924" t="s">
        <v>43297</v>
      </c>
      <c r="T2924" t="s">
        <v>44698</v>
      </c>
      <c r="U2924" t="s">
        <v>46452</v>
      </c>
      <c r="W2924" t="s">
        <v>39952</v>
      </c>
      <c r="X2924" t="s">
        <v>43171</v>
      </c>
    </row>
    <row r="2925" spans="1:24">
      <c r="A2925">
        <f>HYPERLINK("https://www.philgeps.gov.ph/GEPSNONPILOT/Tender/SplashBidNoticeAbstractUI.aspx?menuIndex=3&amp;refID=7087063&amp;Result=3","7087063")</f>
        <v>0</v>
      </c>
      <c r="B2925" t="s">
        <v>1130</v>
      </c>
      <c r="C2925" t="s">
        <v>6216</v>
      </c>
      <c r="D2925" t="s">
        <v>17459</v>
      </c>
      <c r="E2925" t="s">
        <v>20036</v>
      </c>
      <c r="F2925" t="s">
        <v>30055</v>
      </c>
      <c r="G2925" t="s">
        <v>30059</v>
      </c>
      <c r="H2925" t="s">
        <v>30068</v>
      </c>
      <c r="I2925" t="s">
        <v>30116</v>
      </c>
      <c r="J2925" t="s">
        <v>30248</v>
      </c>
      <c r="K2925" t="s">
        <v>39023</v>
      </c>
      <c r="M2925" t="s">
        <v>40470</v>
      </c>
      <c r="N2925" t="s">
        <v>43166</v>
      </c>
      <c r="O2925" t="s">
        <v>43167</v>
      </c>
      <c r="P2925">
        <v>0</v>
      </c>
      <c r="Q2925">
        <v>1</v>
      </c>
      <c r="R2925" t="s">
        <v>43170</v>
      </c>
      <c r="S2925" t="s">
        <v>43297</v>
      </c>
      <c r="T2925" t="s">
        <v>44679</v>
      </c>
      <c r="U2925" t="s">
        <v>47605</v>
      </c>
      <c r="W2925" t="s">
        <v>40470</v>
      </c>
      <c r="X2925" t="s">
        <v>43171</v>
      </c>
    </row>
    <row r="2926" spans="1:24">
      <c r="A2926">
        <f>HYPERLINK("https://www.philgeps.gov.ph/GEPSNONPILOT/Tender/SplashBidNoticeAbstractUI.aspx?menuIndex=3&amp;refID=7086816&amp;Result=3","7086816")</f>
        <v>0</v>
      </c>
      <c r="B2926" t="s">
        <v>1131</v>
      </c>
      <c r="C2926" t="s">
        <v>4928</v>
      </c>
      <c r="D2926" t="s">
        <v>17448</v>
      </c>
      <c r="E2926" t="s">
        <v>17540</v>
      </c>
      <c r="F2926" t="s">
        <v>30052</v>
      </c>
      <c r="G2926" t="s">
        <v>30058</v>
      </c>
      <c r="H2926" t="s">
        <v>15498</v>
      </c>
      <c r="I2926" t="s">
        <v>3736</v>
      </c>
      <c r="J2926" t="s">
        <v>32162</v>
      </c>
      <c r="K2926" t="s">
        <v>39019</v>
      </c>
      <c r="M2926" t="s">
        <v>40471</v>
      </c>
      <c r="N2926" t="s">
        <v>43166</v>
      </c>
      <c r="O2926" t="s">
        <v>43167</v>
      </c>
      <c r="P2926">
        <v>0</v>
      </c>
      <c r="Q2926">
        <v>0</v>
      </c>
      <c r="R2926" t="s">
        <v>43170</v>
      </c>
      <c r="S2926" t="s">
        <v>43297</v>
      </c>
      <c r="T2926" t="s">
        <v>44750</v>
      </c>
      <c r="U2926" t="s">
        <v>46471</v>
      </c>
      <c r="W2926" t="s">
        <v>40471</v>
      </c>
      <c r="X2926" t="s">
        <v>43171</v>
      </c>
    </row>
    <row r="2927" spans="1:24">
      <c r="A2927">
        <f>HYPERLINK("https://www.philgeps.gov.ph/GEPSNONPILOT/Tender/SplashBidNoticeAbstractUI.aspx?menuIndex=3&amp;refID=7087057&amp;Result=3","7087057")</f>
        <v>0</v>
      </c>
      <c r="B2927" t="s">
        <v>648</v>
      </c>
      <c r="C2927" t="s">
        <v>6217</v>
      </c>
      <c r="D2927" t="s">
        <v>17415</v>
      </c>
      <c r="E2927" t="s">
        <v>20037</v>
      </c>
      <c r="F2927" t="s">
        <v>30052</v>
      </c>
      <c r="G2927" t="s">
        <v>30059</v>
      </c>
      <c r="H2927" t="s">
        <v>15498</v>
      </c>
      <c r="I2927" t="s">
        <v>30094</v>
      </c>
      <c r="J2927" t="s">
        <v>32163</v>
      </c>
      <c r="K2927" t="s">
        <v>39023</v>
      </c>
      <c r="M2927" t="s">
        <v>39952</v>
      </c>
      <c r="N2927" t="s">
        <v>43166</v>
      </c>
      <c r="O2927" t="s">
        <v>43167</v>
      </c>
      <c r="P2927">
        <v>0</v>
      </c>
      <c r="Q2927">
        <v>1</v>
      </c>
      <c r="R2927" t="s">
        <v>43170</v>
      </c>
      <c r="S2927" t="s">
        <v>43297</v>
      </c>
      <c r="T2927" t="s">
        <v>44698</v>
      </c>
      <c r="U2927" t="s">
        <v>46452</v>
      </c>
      <c r="W2927" t="s">
        <v>39952</v>
      </c>
      <c r="X2927" t="s">
        <v>43171</v>
      </c>
    </row>
    <row r="2928" spans="1:24">
      <c r="A2928">
        <f>HYPERLINK("https://www.philgeps.gov.ph/GEPSNONPILOT/Tender/SplashBidNoticeAbstractUI.aspx?menuIndex=3&amp;refID=7087054&amp;Result=3","7087054")</f>
        <v>0</v>
      </c>
      <c r="B2928" t="s">
        <v>1130</v>
      </c>
      <c r="C2928" t="s">
        <v>6218</v>
      </c>
      <c r="D2928" t="s">
        <v>17459</v>
      </c>
      <c r="E2928" t="s">
        <v>20038</v>
      </c>
      <c r="F2928" t="s">
        <v>30052</v>
      </c>
      <c r="G2928" t="s">
        <v>30059</v>
      </c>
      <c r="H2928" t="s">
        <v>30068</v>
      </c>
      <c r="I2928" t="s">
        <v>30100</v>
      </c>
      <c r="J2928" t="s">
        <v>30248</v>
      </c>
      <c r="K2928" t="s">
        <v>39023</v>
      </c>
      <c r="M2928" t="s">
        <v>40470</v>
      </c>
      <c r="N2928" t="s">
        <v>43166</v>
      </c>
      <c r="O2928" t="s">
        <v>43167</v>
      </c>
      <c r="P2928">
        <v>0</v>
      </c>
      <c r="Q2928">
        <v>0</v>
      </c>
      <c r="R2928" t="s">
        <v>43170</v>
      </c>
      <c r="S2928" t="s">
        <v>43297</v>
      </c>
      <c r="T2928" t="s">
        <v>44679</v>
      </c>
      <c r="U2928" t="s">
        <v>47606</v>
      </c>
      <c r="W2928" t="s">
        <v>40470</v>
      </c>
      <c r="X2928" t="s">
        <v>43171</v>
      </c>
    </row>
    <row r="2929" spans="1:24">
      <c r="A2929">
        <f>HYPERLINK("https://www.philgeps.gov.ph/GEPSNONPILOT/Tender/SplashBidNoticeAbstractUI.aspx?menuIndex=3&amp;refID=7087061&amp;Result=3","7087061")</f>
        <v>0</v>
      </c>
      <c r="B2929" t="s">
        <v>446</v>
      </c>
      <c r="C2929" t="s">
        <v>6219</v>
      </c>
      <c r="D2929" t="s">
        <v>17466</v>
      </c>
      <c r="E2929" t="s">
        <v>18420</v>
      </c>
      <c r="F2929" t="s">
        <v>30052</v>
      </c>
      <c r="G2929" t="s">
        <v>30060</v>
      </c>
      <c r="H2929" t="s">
        <v>15498</v>
      </c>
      <c r="I2929" t="s">
        <v>3736</v>
      </c>
      <c r="J2929" t="s">
        <v>30327</v>
      </c>
      <c r="K2929" t="s">
        <v>39036</v>
      </c>
      <c r="M2929" t="s">
        <v>39746</v>
      </c>
      <c r="N2929" t="s">
        <v>43166</v>
      </c>
      <c r="O2929" t="s">
        <v>43167</v>
      </c>
      <c r="P2929">
        <v>0</v>
      </c>
      <c r="Q2929">
        <v>0</v>
      </c>
      <c r="R2929" t="s">
        <v>43170</v>
      </c>
      <c r="S2929" t="s">
        <v>43297</v>
      </c>
      <c r="T2929" t="s">
        <v>44705</v>
      </c>
      <c r="U2929" t="s">
        <v>47607</v>
      </c>
      <c r="W2929" t="s">
        <v>39746</v>
      </c>
      <c r="X2929" t="s">
        <v>43171</v>
      </c>
    </row>
    <row r="2930" spans="1:24">
      <c r="A2930">
        <f>HYPERLINK("https://www.philgeps.gov.ph/GEPSNONPILOT/Tender/SplashBidNoticeAbstractUI.aspx?menuIndex=3&amp;refID=7087050&amp;Result=3","7087050")</f>
        <v>0</v>
      </c>
      <c r="B2930" t="s">
        <v>648</v>
      </c>
      <c r="C2930" t="s">
        <v>6220</v>
      </c>
      <c r="D2930" t="s">
        <v>17415</v>
      </c>
      <c r="E2930" t="s">
        <v>20039</v>
      </c>
      <c r="F2930" t="s">
        <v>30052</v>
      </c>
      <c r="G2930" t="s">
        <v>30059</v>
      </c>
      <c r="H2930" t="s">
        <v>15498</v>
      </c>
      <c r="I2930" t="s">
        <v>30081</v>
      </c>
      <c r="J2930" t="s">
        <v>32164</v>
      </c>
      <c r="K2930" t="s">
        <v>39023</v>
      </c>
      <c r="M2930" t="s">
        <v>39952</v>
      </c>
      <c r="N2930" t="s">
        <v>43166</v>
      </c>
      <c r="O2930" t="s">
        <v>43167</v>
      </c>
      <c r="P2930">
        <v>0</v>
      </c>
      <c r="Q2930">
        <v>1</v>
      </c>
      <c r="R2930" t="s">
        <v>43170</v>
      </c>
      <c r="S2930" t="s">
        <v>43297</v>
      </c>
      <c r="T2930" t="s">
        <v>44698</v>
      </c>
      <c r="U2930" t="s">
        <v>46452</v>
      </c>
      <c r="W2930" t="s">
        <v>39952</v>
      </c>
      <c r="X2930" t="s">
        <v>43171</v>
      </c>
    </row>
    <row r="2931" spans="1:24">
      <c r="A2931">
        <f>HYPERLINK("https://www.philgeps.gov.ph/GEPSNONPILOT/Tender/SplashBidNoticeAbstractUI.aspx?menuIndex=3&amp;refID=7087070&amp;Result=3","7087070")</f>
        <v>0</v>
      </c>
      <c r="B2931" t="s">
        <v>272</v>
      </c>
      <c r="C2931" t="s">
        <v>6221</v>
      </c>
      <c r="E2931" t="s">
        <v>20040</v>
      </c>
      <c r="F2931" t="s">
        <v>30052</v>
      </c>
      <c r="G2931" t="s">
        <v>30058</v>
      </c>
      <c r="H2931" t="s">
        <v>15498</v>
      </c>
      <c r="I2931" t="s">
        <v>30074</v>
      </c>
      <c r="J2931" t="s">
        <v>30281</v>
      </c>
      <c r="K2931" t="s">
        <v>39025</v>
      </c>
      <c r="M2931" t="s">
        <v>40472</v>
      </c>
      <c r="N2931" t="s">
        <v>43166</v>
      </c>
      <c r="O2931" t="s">
        <v>43167</v>
      </c>
      <c r="P2931">
        <v>0</v>
      </c>
      <c r="Q2931">
        <v>4</v>
      </c>
      <c r="R2931" t="s">
        <v>43170</v>
      </c>
      <c r="S2931" t="s">
        <v>43297</v>
      </c>
      <c r="T2931" t="s">
        <v>44733</v>
      </c>
      <c r="U2931" t="s">
        <v>47608</v>
      </c>
      <c r="W2931" t="s">
        <v>40472</v>
      </c>
      <c r="X2931" t="s">
        <v>43171</v>
      </c>
    </row>
    <row r="2932" spans="1:24">
      <c r="A2932">
        <f>HYPERLINK("https://www.philgeps.gov.ph/GEPSNONPILOT/Tender/SplashBidNoticeAbstractUI.aspx?menuIndex=3&amp;refID=7087062&amp;Result=3","7087062")</f>
        <v>0</v>
      </c>
      <c r="B2932" t="s">
        <v>556</v>
      </c>
      <c r="C2932" t="s">
        <v>6222</v>
      </c>
      <c r="D2932" t="s">
        <v>17415</v>
      </c>
      <c r="E2932" t="s">
        <v>20041</v>
      </c>
      <c r="F2932" t="s">
        <v>30052</v>
      </c>
      <c r="G2932" t="s">
        <v>30061</v>
      </c>
      <c r="H2932" t="s">
        <v>15498</v>
      </c>
      <c r="I2932" t="s">
        <v>3852</v>
      </c>
      <c r="J2932" t="s">
        <v>30591</v>
      </c>
      <c r="K2932" t="s">
        <v>39025</v>
      </c>
      <c r="M2932" t="s">
        <v>39858</v>
      </c>
      <c r="N2932" t="s">
        <v>43166</v>
      </c>
      <c r="O2932" t="s">
        <v>43167</v>
      </c>
      <c r="P2932">
        <v>0</v>
      </c>
      <c r="Q2932">
        <v>5</v>
      </c>
      <c r="R2932" t="s">
        <v>43170</v>
      </c>
      <c r="S2932" t="s">
        <v>43297</v>
      </c>
      <c r="T2932" t="s">
        <v>44870</v>
      </c>
      <c r="U2932" t="s">
        <v>47609</v>
      </c>
      <c r="W2932" t="s">
        <v>39858</v>
      </c>
      <c r="X2932" t="s">
        <v>43171</v>
      </c>
    </row>
    <row r="2933" spans="1:24">
      <c r="A2933">
        <f>HYPERLINK("https://www.philgeps.gov.ph/GEPSNONPILOT/Tender/SplashBidNoticeAbstractUI.aspx?menuIndex=3&amp;refID=7087047&amp;Result=3","7087047")</f>
        <v>0</v>
      </c>
      <c r="B2933" t="s">
        <v>1130</v>
      </c>
      <c r="C2933" t="s">
        <v>6223</v>
      </c>
      <c r="D2933" t="s">
        <v>17459</v>
      </c>
      <c r="E2933" t="s">
        <v>20042</v>
      </c>
      <c r="F2933" t="s">
        <v>30052</v>
      </c>
      <c r="G2933" t="s">
        <v>30059</v>
      </c>
      <c r="H2933" t="s">
        <v>30068</v>
      </c>
      <c r="I2933" t="s">
        <v>30100</v>
      </c>
      <c r="J2933" t="s">
        <v>30248</v>
      </c>
      <c r="K2933" t="s">
        <v>39023</v>
      </c>
      <c r="M2933" t="s">
        <v>40470</v>
      </c>
      <c r="N2933" t="s">
        <v>43166</v>
      </c>
      <c r="O2933" t="s">
        <v>43167</v>
      </c>
      <c r="P2933">
        <v>0</v>
      </c>
      <c r="Q2933">
        <v>1</v>
      </c>
      <c r="R2933" t="s">
        <v>43170</v>
      </c>
      <c r="S2933" t="s">
        <v>43297</v>
      </c>
      <c r="T2933" t="s">
        <v>44679</v>
      </c>
      <c r="U2933" t="s">
        <v>47605</v>
      </c>
      <c r="W2933" t="s">
        <v>40470</v>
      </c>
      <c r="X2933" t="s">
        <v>43171</v>
      </c>
    </row>
    <row r="2934" spans="1:24">
      <c r="A2934">
        <f>HYPERLINK("https://www.philgeps.gov.ph/GEPSNONPILOT/Tender/SplashBidNoticeAbstractUI.aspx?menuIndex=3&amp;refID=7087044&amp;Result=3","7087044")</f>
        <v>0</v>
      </c>
      <c r="B2934" t="s">
        <v>648</v>
      </c>
      <c r="C2934" t="s">
        <v>6224</v>
      </c>
      <c r="D2934" t="s">
        <v>17415</v>
      </c>
      <c r="E2934" t="s">
        <v>20043</v>
      </c>
      <c r="F2934" t="s">
        <v>30052</v>
      </c>
      <c r="G2934" t="s">
        <v>30059</v>
      </c>
      <c r="H2934" t="s">
        <v>15498</v>
      </c>
      <c r="I2934" t="s">
        <v>30094</v>
      </c>
      <c r="J2934" t="s">
        <v>32165</v>
      </c>
      <c r="K2934" t="s">
        <v>39037</v>
      </c>
      <c r="M2934" t="s">
        <v>39952</v>
      </c>
      <c r="N2934" t="s">
        <v>43166</v>
      </c>
      <c r="O2934" t="s">
        <v>43167</v>
      </c>
      <c r="P2934">
        <v>0</v>
      </c>
      <c r="Q2934">
        <v>1</v>
      </c>
      <c r="R2934" t="s">
        <v>43170</v>
      </c>
      <c r="S2934" t="s">
        <v>43297</v>
      </c>
      <c r="T2934" t="s">
        <v>44698</v>
      </c>
      <c r="U2934" t="s">
        <v>46452</v>
      </c>
      <c r="W2934" t="s">
        <v>39952</v>
      </c>
      <c r="X2934" t="s">
        <v>43171</v>
      </c>
    </row>
    <row r="2935" spans="1:24">
      <c r="A2935">
        <f>HYPERLINK("https://www.philgeps.gov.ph/GEPSNONPILOT/Tender/SplashBidNoticeAbstractUI.aspx?menuIndex=3&amp;refID=7087043&amp;Result=3","7087043")</f>
        <v>0</v>
      </c>
      <c r="B2935" t="s">
        <v>1114</v>
      </c>
      <c r="C2935" t="s">
        <v>6225</v>
      </c>
      <c r="D2935" t="s">
        <v>17466</v>
      </c>
      <c r="E2935" t="s">
        <v>20044</v>
      </c>
      <c r="F2935" t="s">
        <v>30052</v>
      </c>
      <c r="G2935" t="s">
        <v>30062</v>
      </c>
      <c r="H2935" t="s">
        <v>15498</v>
      </c>
      <c r="I2935" t="s">
        <v>30070</v>
      </c>
      <c r="J2935" t="s">
        <v>32166</v>
      </c>
      <c r="K2935" t="s">
        <v>39034</v>
      </c>
      <c r="M2935" t="s">
        <v>40454</v>
      </c>
      <c r="N2935" t="s">
        <v>43166</v>
      </c>
      <c r="O2935" t="s">
        <v>43167</v>
      </c>
      <c r="P2935">
        <v>0</v>
      </c>
      <c r="Q2935">
        <v>0</v>
      </c>
      <c r="R2935" t="s">
        <v>43170</v>
      </c>
      <c r="S2935" t="s">
        <v>43297</v>
      </c>
      <c r="T2935" t="s">
        <v>44735</v>
      </c>
      <c r="U2935" t="s">
        <v>47610</v>
      </c>
      <c r="W2935" t="s">
        <v>40454</v>
      </c>
      <c r="X2935" t="s">
        <v>43171</v>
      </c>
    </row>
    <row r="2936" spans="1:24">
      <c r="A2936">
        <f>HYPERLINK("https://www.philgeps.gov.ph/GEPSNONPILOT/Tender/SplashBidNoticeAbstractUI.aspx?menuIndex=3&amp;refID=7087041&amp;Result=3","7087041")</f>
        <v>0</v>
      </c>
      <c r="B2936" t="s">
        <v>665</v>
      </c>
      <c r="C2936" t="s">
        <v>6226</v>
      </c>
      <c r="D2936" t="s">
        <v>17432</v>
      </c>
      <c r="E2936" t="s">
        <v>20045</v>
      </c>
      <c r="F2936" t="s">
        <v>30052</v>
      </c>
      <c r="G2936" t="s">
        <v>30058</v>
      </c>
      <c r="H2936" t="s">
        <v>15498</v>
      </c>
      <c r="I2936" t="s">
        <v>30128</v>
      </c>
      <c r="J2936" t="s">
        <v>30215</v>
      </c>
      <c r="K2936" t="s">
        <v>39025</v>
      </c>
      <c r="M2936" t="s">
        <v>39971</v>
      </c>
      <c r="N2936" t="s">
        <v>43166</v>
      </c>
      <c r="O2936" t="s">
        <v>43167</v>
      </c>
      <c r="P2936">
        <v>0</v>
      </c>
      <c r="Q2936">
        <v>7</v>
      </c>
      <c r="R2936" t="s">
        <v>43170</v>
      </c>
      <c r="S2936" t="s">
        <v>43297</v>
      </c>
      <c r="T2936" t="s">
        <v>44939</v>
      </c>
      <c r="U2936" t="s">
        <v>47611</v>
      </c>
      <c r="W2936" t="s">
        <v>39971</v>
      </c>
      <c r="X2936" t="s">
        <v>43171</v>
      </c>
    </row>
    <row r="2937" spans="1:24">
      <c r="A2937">
        <f>HYPERLINK("https://www.philgeps.gov.ph/GEPSNONPILOT/Tender/SplashBidNoticeAbstractUI.aspx?menuIndex=3&amp;refID=7087049&amp;Result=3","7087049")</f>
        <v>0</v>
      </c>
      <c r="B2937" t="s">
        <v>331</v>
      </c>
      <c r="C2937" t="s">
        <v>6227</v>
      </c>
      <c r="D2937" t="s">
        <v>17415</v>
      </c>
      <c r="E2937" t="s">
        <v>20046</v>
      </c>
      <c r="F2937" t="s">
        <v>30052</v>
      </c>
      <c r="G2937" t="s">
        <v>30059</v>
      </c>
      <c r="H2937" t="s">
        <v>15498</v>
      </c>
      <c r="I2937" t="s">
        <v>30096</v>
      </c>
      <c r="J2937" t="s">
        <v>30586</v>
      </c>
      <c r="K2937" t="s">
        <v>39064</v>
      </c>
      <c r="M2937" t="s">
        <v>39627</v>
      </c>
      <c r="N2937" t="s">
        <v>43166</v>
      </c>
      <c r="O2937" t="s">
        <v>43167</v>
      </c>
      <c r="P2937">
        <v>0</v>
      </c>
      <c r="Q2937">
        <v>13</v>
      </c>
      <c r="R2937" t="s">
        <v>43170</v>
      </c>
      <c r="S2937" t="s">
        <v>43297</v>
      </c>
      <c r="T2937" t="s">
        <v>44705</v>
      </c>
      <c r="U2937" t="s">
        <v>47612</v>
      </c>
      <c r="V2937" t="s">
        <v>56898</v>
      </c>
      <c r="W2937" t="s">
        <v>39627</v>
      </c>
      <c r="X2937" t="s">
        <v>43171</v>
      </c>
    </row>
    <row r="2938" spans="1:24">
      <c r="A2938">
        <f>HYPERLINK("https://www.philgeps.gov.ph/GEPSNONPILOT/Tender/SplashBidNoticeAbstractUI.aspx?menuIndex=3&amp;refID=7087037&amp;Result=3","7087037")</f>
        <v>0</v>
      </c>
      <c r="B2938" t="s">
        <v>1114</v>
      </c>
      <c r="C2938" t="s">
        <v>6228</v>
      </c>
      <c r="D2938" t="s">
        <v>17466</v>
      </c>
      <c r="E2938" t="s">
        <v>20047</v>
      </c>
      <c r="F2938" t="s">
        <v>30052</v>
      </c>
      <c r="G2938" t="s">
        <v>30062</v>
      </c>
      <c r="H2938" t="s">
        <v>15498</v>
      </c>
      <c r="I2938" t="s">
        <v>30070</v>
      </c>
      <c r="J2938" t="s">
        <v>32167</v>
      </c>
      <c r="K2938" t="s">
        <v>39034</v>
      </c>
      <c r="M2938" t="s">
        <v>40454</v>
      </c>
      <c r="N2938" t="s">
        <v>43166</v>
      </c>
      <c r="O2938" t="s">
        <v>43167</v>
      </c>
      <c r="P2938">
        <v>0</v>
      </c>
      <c r="Q2938">
        <v>0</v>
      </c>
      <c r="R2938" t="s">
        <v>43170</v>
      </c>
      <c r="S2938" t="s">
        <v>43297</v>
      </c>
      <c r="T2938" t="s">
        <v>44735</v>
      </c>
      <c r="U2938" t="s">
        <v>47613</v>
      </c>
      <c r="W2938" t="s">
        <v>40454</v>
      </c>
      <c r="X2938" t="s">
        <v>43171</v>
      </c>
    </row>
    <row r="2939" spans="1:24">
      <c r="A2939">
        <f>HYPERLINK("https://www.philgeps.gov.ph/GEPSNONPILOT/Tender/SplashBidNoticeAbstractUI.aspx?menuIndex=3&amp;refID=7087072&amp;Result=3","7087072")</f>
        <v>0</v>
      </c>
      <c r="B2939" t="s">
        <v>544</v>
      </c>
      <c r="C2939" t="s">
        <v>3615</v>
      </c>
      <c r="D2939" t="s">
        <v>17434</v>
      </c>
      <c r="E2939" t="s">
        <v>20048</v>
      </c>
      <c r="F2939" t="s">
        <v>30052</v>
      </c>
      <c r="G2939" t="s">
        <v>30059</v>
      </c>
      <c r="H2939" t="s">
        <v>15498</v>
      </c>
      <c r="I2939" t="s">
        <v>3736</v>
      </c>
      <c r="J2939" t="s">
        <v>32168</v>
      </c>
      <c r="K2939" t="s">
        <v>39018</v>
      </c>
      <c r="M2939" t="s">
        <v>40473</v>
      </c>
      <c r="N2939" t="s">
        <v>43166</v>
      </c>
      <c r="O2939" t="s">
        <v>43167</v>
      </c>
      <c r="P2939">
        <v>0</v>
      </c>
      <c r="Q2939">
        <v>2</v>
      </c>
      <c r="R2939" t="s">
        <v>43170</v>
      </c>
      <c r="S2939" t="s">
        <v>43297</v>
      </c>
      <c r="T2939" t="s">
        <v>44735</v>
      </c>
      <c r="U2939" t="s">
        <v>47614</v>
      </c>
      <c r="V2939" t="s">
        <v>45512</v>
      </c>
      <c r="W2939" t="s">
        <v>40473</v>
      </c>
      <c r="X2939" t="s">
        <v>43171</v>
      </c>
    </row>
    <row r="2940" spans="1:24">
      <c r="A2940">
        <f>HYPERLINK("https://www.philgeps.gov.ph/GEPSNONPILOT/Tender/SplashBidNoticeAbstractUI.aspx?menuIndex=3&amp;refID=7086806&amp;Result=3","7086806")</f>
        <v>0</v>
      </c>
      <c r="B2940" t="s">
        <v>1072</v>
      </c>
      <c r="C2940" t="s">
        <v>6229</v>
      </c>
      <c r="D2940" t="s">
        <v>17486</v>
      </c>
      <c r="E2940" t="s">
        <v>19932</v>
      </c>
      <c r="F2940" t="s">
        <v>30052</v>
      </c>
      <c r="G2940" t="s">
        <v>30059</v>
      </c>
      <c r="H2940" t="s">
        <v>30069</v>
      </c>
      <c r="I2940" t="s">
        <v>3606</v>
      </c>
      <c r="J2940" t="s">
        <v>32169</v>
      </c>
      <c r="K2940" t="s">
        <v>39034</v>
      </c>
      <c r="M2940" t="s">
        <v>40407</v>
      </c>
      <c r="N2940" t="s">
        <v>43166</v>
      </c>
      <c r="O2940" t="s">
        <v>43167</v>
      </c>
      <c r="P2940">
        <v>0</v>
      </c>
      <c r="Q2940">
        <v>3</v>
      </c>
      <c r="R2940" t="s">
        <v>43170</v>
      </c>
      <c r="S2940" t="s">
        <v>43297</v>
      </c>
      <c r="T2940" t="s">
        <v>44837</v>
      </c>
      <c r="U2940" t="s">
        <v>47460</v>
      </c>
      <c r="W2940" t="s">
        <v>40407</v>
      </c>
      <c r="X2940" t="s">
        <v>43171</v>
      </c>
    </row>
    <row r="2941" spans="1:24">
      <c r="A2941">
        <f>HYPERLINK("https://www.philgeps.gov.ph/GEPSNONPILOT/Tender/SplashBidNoticeAbstractUI.aspx?menuIndex=3&amp;refID=7086711&amp;Result=3","7086711")</f>
        <v>0</v>
      </c>
      <c r="B2941" t="s">
        <v>701</v>
      </c>
      <c r="C2941" t="s">
        <v>6230</v>
      </c>
      <c r="D2941" t="s">
        <v>17419</v>
      </c>
      <c r="E2941" t="s">
        <v>20049</v>
      </c>
      <c r="F2941" t="s">
        <v>30052</v>
      </c>
      <c r="G2941" t="s">
        <v>30059</v>
      </c>
      <c r="H2941" t="s">
        <v>15498</v>
      </c>
      <c r="I2941" t="s">
        <v>30073</v>
      </c>
      <c r="J2941" t="s">
        <v>32170</v>
      </c>
      <c r="K2941" t="s">
        <v>39025</v>
      </c>
      <c r="M2941" t="s">
        <v>40010</v>
      </c>
      <c r="N2941" t="s">
        <v>43166</v>
      </c>
      <c r="O2941" t="s">
        <v>43167</v>
      </c>
      <c r="P2941">
        <v>0</v>
      </c>
      <c r="Q2941">
        <v>0</v>
      </c>
      <c r="R2941" t="s">
        <v>43170</v>
      </c>
      <c r="S2941" t="s">
        <v>43297</v>
      </c>
      <c r="T2941" t="s">
        <v>44717</v>
      </c>
      <c r="U2941" t="s">
        <v>47615</v>
      </c>
      <c r="W2941" t="s">
        <v>40010</v>
      </c>
      <c r="X2941" t="s">
        <v>43171</v>
      </c>
    </row>
    <row r="2942" spans="1:24">
      <c r="A2942">
        <f>HYPERLINK("https://www.philgeps.gov.ph/GEPSNONPILOT/Tender/SplashBidNoticeAbstractUI.aspx?menuIndex=3&amp;refID=7087045&amp;Result=3","7087045")</f>
        <v>0</v>
      </c>
      <c r="B2942" t="s">
        <v>941</v>
      </c>
      <c r="C2942" t="s">
        <v>6231</v>
      </c>
      <c r="D2942" t="s">
        <v>17415</v>
      </c>
      <c r="E2942" t="s">
        <v>20050</v>
      </c>
      <c r="F2942" t="s">
        <v>30052</v>
      </c>
      <c r="G2942" t="s">
        <v>30061</v>
      </c>
      <c r="H2942" t="s">
        <v>15498</v>
      </c>
      <c r="I2942" t="s">
        <v>30084</v>
      </c>
      <c r="J2942" t="s">
        <v>30556</v>
      </c>
      <c r="K2942" t="s">
        <v>39025</v>
      </c>
      <c r="M2942" t="s">
        <v>40265</v>
      </c>
      <c r="N2942" t="s">
        <v>43166</v>
      </c>
      <c r="O2942" t="s">
        <v>43167</v>
      </c>
      <c r="P2942">
        <v>0</v>
      </c>
      <c r="Q2942">
        <v>14</v>
      </c>
      <c r="R2942" t="s">
        <v>43170</v>
      </c>
      <c r="S2942" t="s">
        <v>43297</v>
      </c>
      <c r="T2942" t="s">
        <v>44728</v>
      </c>
      <c r="U2942" t="s">
        <v>47616</v>
      </c>
      <c r="W2942" t="s">
        <v>40265</v>
      </c>
      <c r="X2942" t="s">
        <v>43171</v>
      </c>
    </row>
    <row r="2943" spans="1:24">
      <c r="A2943">
        <f>HYPERLINK("https://www.philgeps.gov.ph/GEPSNONPILOT/Tender/SplashBidNoticeAbstractUI.aspx?menuIndex=3&amp;refID=7086744&amp;Result=3","7086744")</f>
        <v>0</v>
      </c>
      <c r="B2943" t="s">
        <v>1067</v>
      </c>
      <c r="C2943" t="s">
        <v>6232</v>
      </c>
      <c r="D2943" t="s">
        <v>17422</v>
      </c>
      <c r="E2943" t="s">
        <v>20051</v>
      </c>
      <c r="F2943" t="s">
        <v>30052</v>
      </c>
      <c r="G2943" t="s">
        <v>30058</v>
      </c>
      <c r="H2943" t="s">
        <v>30067</v>
      </c>
      <c r="I2943" t="s">
        <v>3693</v>
      </c>
      <c r="J2943" t="s">
        <v>32171</v>
      </c>
      <c r="K2943" t="s">
        <v>39117</v>
      </c>
      <c r="M2943" t="s">
        <v>40402</v>
      </c>
      <c r="N2943" t="s">
        <v>43166</v>
      </c>
      <c r="O2943" t="s">
        <v>43167</v>
      </c>
      <c r="P2943">
        <v>0</v>
      </c>
      <c r="Q2943">
        <v>1</v>
      </c>
      <c r="R2943" t="s">
        <v>43170</v>
      </c>
      <c r="S2943" t="s">
        <v>43297</v>
      </c>
      <c r="T2943" t="s">
        <v>44842</v>
      </c>
      <c r="U2943" t="s">
        <v>47449</v>
      </c>
      <c r="V2943" t="s">
        <v>57162</v>
      </c>
      <c r="W2943" t="s">
        <v>40402</v>
      </c>
      <c r="X2943" t="s">
        <v>43171</v>
      </c>
    </row>
    <row r="2944" spans="1:24">
      <c r="A2944">
        <f>HYPERLINK("https://www.philgeps.gov.ph/GEPSNONPILOT/Tender/SplashBidNoticeAbstractUI.aspx?menuIndex=3&amp;refID=7087074&amp;Result=3","7087074")</f>
        <v>0</v>
      </c>
      <c r="B2944" t="s">
        <v>199</v>
      </c>
      <c r="C2944" t="s">
        <v>6233</v>
      </c>
      <c r="D2944" t="s">
        <v>17415</v>
      </c>
      <c r="E2944" t="s">
        <v>20052</v>
      </c>
      <c r="F2944" t="s">
        <v>30052</v>
      </c>
      <c r="G2944" t="s">
        <v>30058</v>
      </c>
      <c r="H2944" t="s">
        <v>15498</v>
      </c>
      <c r="I2944" t="s">
        <v>30151</v>
      </c>
      <c r="J2944" t="s">
        <v>32172</v>
      </c>
      <c r="K2944" t="s">
        <v>39029</v>
      </c>
      <c r="M2944" t="s">
        <v>40474</v>
      </c>
      <c r="N2944" t="s">
        <v>43166</v>
      </c>
      <c r="O2944" t="s">
        <v>43167</v>
      </c>
      <c r="P2944">
        <v>0</v>
      </c>
      <c r="Q2944">
        <v>0</v>
      </c>
      <c r="R2944" t="s">
        <v>43170</v>
      </c>
      <c r="S2944" t="s">
        <v>43297</v>
      </c>
      <c r="T2944" t="s">
        <v>44684</v>
      </c>
      <c r="U2944" t="s">
        <v>47617</v>
      </c>
      <c r="W2944" t="s">
        <v>40474</v>
      </c>
      <c r="X2944" t="s">
        <v>43171</v>
      </c>
    </row>
    <row r="2945" spans="1:24">
      <c r="A2945">
        <f>HYPERLINK("https://www.philgeps.gov.ph/GEPSNONPILOT/Tender/SplashBidNoticeAbstractUI.aspx?menuIndex=3&amp;refID=7087000&amp;Result=3","7087000")</f>
        <v>0</v>
      </c>
      <c r="B2945" t="s">
        <v>509</v>
      </c>
      <c r="C2945" t="s">
        <v>6234</v>
      </c>
      <c r="D2945" t="s">
        <v>17415</v>
      </c>
      <c r="E2945" t="s">
        <v>20053</v>
      </c>
      <c r="F2945" t="s">
        <v>30052</v>
      </c>
      <c r="G2945" t="s">
        <v>30059</v>
      </c>
      <c r="H2945" t="s">
        <v>30068</v>
      </c>
      <c r="I2945" t="s">
        <v>30068</v>
      </c>
      <c r="J2945" t="s">
        <v>31066</v>
      </c>
      <c r="K2945" t="s">
        <v>39077</v>
      </c>
      <c r="M2945" t="s">
        <v>39810</v>
      </c>
      <c r="N2945" t="s">
        <v>43166</v>
      </c>
      <c r="O2945" t="s">
        <v>43167</v>
      </c>
      <c r="P2945">
        <v>0</v>
      </c>
      <c r="Q2945">
        <v>1</v>
      </c>
      <c r="R2945" t="s">
        <v>43170</v>
      </c>
      <c r="S2945" t="s">
        <v>43297</v>
      </c>
      <c r="T2945" t="s">
        <v>44710</v>
      </c>
      <c r="U2945" t="s">
        <v>46172</v>
      </c>
      <c r="W2945" t="s">
        <v>39810</v>
      </c>
      <c r="X2945" t="s">
        <v>43171</v>
      </c>
    </row>
    <row r="2946" spans="1:24">
      <c r="A2946">
        <f>HYPERLINK("https://www.philgeps.gov.ph/GEPSNONPILOT/Tender/SplashBidNoticeAbstractUI.aspx?menuIndex=3&amp;refID=7087105&amp;Result=3","7087105")</f>
        <v>0</v>
      </c>
      <c r="B2946" t="s">
        <v>405</v>
      </c>
      <c r="C2946" t="s">
        <v>6235</v>
      </c>
      <c r="E2946" t="s">
        <v>20054</v>
      </c>
      <c r="F2946" t="s">
        <v>30052</v>
      </c>
      <c r="G2946" t="s">
        <v>30058</v>
      </c>
      <c r="H2946" t="s">
        <v>15498</v>
      </c>
      <c r="I2946" t="s">
        <v>9238</v>
      </c>
      <c r="J2946" t="s">
        <v>32173</v>
      </c>
      <c r="K2946" t="s">
        <v>39026</v>
      </c>
      <c r="M2946" t="s">
        <v>39704</v>
      </c>
      <c r="N2946" t="s">
        <v>43166</v>
      </c>
      <c r="O2946" t="s">
        <v>43167</v>
      </c>
      <c r="P2946">
        <v>0</v>
      </c>
      <c r="Q2946">
        <v>8</v>
      </c>
      <c r="R2946" t="s">
        <v>43170</v>
      </c>
      <c r="S2946" t="s">
        <v>43297</v>
      </c>
      <c r="T2946" t="s">
        <v>44828</v>
      </c>
      <c r="U2946" t="s">
        <v>47618</v>
      </c>
      <c r="W2946" t="s">
        <v>39704</v>
      </c>
      <c r="X2946" t="s">
        <v>43171</v>
      </c>
    </row>
    <row r="2947" spans="1:24">
      <c r="A2947">
        <f>HYPERLINK("https://www.philgeps.gov.ph/GEPSNONPILOT/Tender/SplashBidNoticeAbstractUI.aspx?menuIndex=3&amp;refID=7087103&amp;Result=3","7087103")</f>
        <v>0</v>
      </c>
      <c r="B2947" t="s">
        <v>1132</v>
      </c>
      <c r="C2947" t="s">
        <v>6236</v>
      </c>
      <c r="D2947" t="s">
        <v>17477</v>
      </c>
      <c r="E2947" t="s">
        <v>20055</v>
      </c>
      <c r="F2947" t="s">
        <v>30054</v>
      </c>
      <c r="G2947" t="s">
        <v>30058</v>
      </c>
      <c r="H2947" t="s">
        <v>30067</v>
      </c>
      <c r="I2947" t="s">
        <v>3693</v>
      </c>
      <c r="J2947" t="s">
        <v>32174</v>
      </c>
      <c r="K2947" t="s">
        <v>39029</v>
      </c>
      <c r="M2947" t="s">
        <v>40475</v>
      </c>
      <c r="N2947" t="s">
        <v>43166</v>
      </c>
      <c r="O2947" t="s">
        <v>43167</v>
      </c>
      <c r="P2947">
        <v>0</v>
      </c>
      <c r="Q2947">
        <v>1</v>
      </c>
      <c r="R2947" t="s">
        <v>43170</v>
      </c>
      <c r="S2947" t="s">
        <v>43297</v>
      </c>
      <c r="T2947" t="s">
        <v>44680</v>
      </c>
      <c r="U2947" t="s">
        <v>47619</v>
      </c>
      <c r="W2947" t="s">
        <v>40475</v>
      </c>
      <c r="X2947" t="s">
        <v>43171</v>
      </c>
    </row>
    <row r="2948" spans="1:24">
      <c r="A2948">
        <f>HYPERLINK("https://www.philgeps.gov.ph/GEPSNONPILOT/Tender/SplashBidNoticeAbstractUI.aspx?menuIndex=3&amp;refID=7087053&amp;Result=3","7087053")</f>
        <v>0</v>
      </c>
      <c r="B2948" t="s">
        <v>648</v>
      </c>
      <c r="C2948" t="s">
        <v>6237</v>
      </c>
      <c r="D2948" t="s">
        <v>17415</v>
      </c>
      <c r="E2948" t="s">
        <v>20056</v>
      </c>
      <c r="F2948" t="s">
        <v>30052</v>
      </c>
      <c r="G2948" t="s">
        <v>30059</v>
      </c>
      <c r="H2948" t="s">
        <v>15498</v>
      </c>
      <c r="I2948" t="s">
        <v>30094</v>
      </c>
      <c r="J2948" t="s">
        <v>32175</v>
      </c>
      <c r="K2948" t="s">
        <v>39023</v>
      </c>
      <c r="M2948" t="s">
        <v>39952</v>
      </c>
      <c r="N2948" t="s">
        <v>43166</v>
      </c>
      <c r="O2948" t="s">
        <v>43167</v>
      </c>
      <c r="P2948">
        <v>0</v>
      </c>
      <c r="Q2948">
        <v>1</v>
      </c>
      <c r="R2948" t="s">
        <v>43170</v>
      </c>
      <c r="S2948" t="s">
        <v>43297</v>
      </c>
      <c r="T2948" t="s">
        <v>44698</v>
      </c>
      <c r="U2948" t="s">
        <v>46452</v>
      </c>
      <c r="W2948" t="s">
        <v>39952</v>
      </c>
      <c r="X2948" t="s">
        <v>43171</v>
      </c>
    </row>
    <row r="2949" spans="1:24">
      <c r="A2949">
        <f>HYPERLINK("https://www.philgeps.gov.ph/GEPSNONPILOT/Tender/SplashBidNoticeAbstractUI.aspx?menuIndex=3&amp;refID=7087042&amp;Result=3","7087042")</f>
        <v>0</v>
      </c>
      <c r="B2949" t="s">
        <v>1133</v>
      </c>
      <c r="C2949" t="s">
        <v>6238</v>
      </c>
      <c r="D2949" t="s">
        <v>17415</v>
      </c>
      <c r="E2949" t="s">
        <v>20057</v>
      </c>
      <c r="F2949" t="s">
        <v>30052</v>
      </c>
      <c r="G2949" t="s">
        <v>30058</v>
      </c>
      <c r="H2949" t="s">
        <v>15498</v>
      </c>
      <c r="I2949" t="s">
        <v>4650</v>
      </c>
      <c r="J2949" t="s">
        <v>30321</v>
      </c>
      <c r="K2949" t="s">
        <v>39025</v>
      </c>
      <c r="M2949" t="s">
        <v>40476</v>
      </c>
      <c r="N2949" t="s">
        <v>43166</v>
      </c>
      <c r="O2949" t="s">
        <v>43167</v>
      </c>
      <c r="P2949">
        <v>0</v>
      </c>
      <c r="Q2949">
        <v>1</v>
      </c>
      <c r="R2949" t="s">
        <v>43170</v>
      </c>
      <c r="S2949" t="s">
        <v>43297</v>
      </c>
      <c r="T2949" t="s">
        <v>44684</v>
      </c>
      <c r="U2949" t="s">
        <v>47620</v>
      </c>
      <c r="W2949" t="s">
        <v>40476</v>
      </c>
      <c r="X2949" t="s">
        <v>43171</v>
      </c>
    </row>
    <row r="2950" spans="1:24">
      <c r="A2950">
        <f>HYPERLINK("https://www.philgeps.gov.ph/GEPSNONPILOT/Tender/SplashBidNoticeAbstractUI.aspx?menuIndex=3&amp;refID=7087099&amp;Result=3","7087099")</f>
        <v>0</v>
      </c>
      <c r="B2950" t="s">
        <v>1134</v>
      </c>
      <c r="C2950" t="s">
        <v>6239</v>
      </c>
      <c r="D2950" t="s">
        <v>17459</v>
      </c>
      <c r="E2950" t="s">
        <v>20058</v>
      </c>
      <c r="F2950" t="s">
        <v>30052</v>
      </c>
      <c r="G2950" t="s">
        <v>30059</v>
      </c>
      <c r="H2950" t="s">
        <v>15498</v>
      </c>
      <c r="I2950" t="s">
        <v>30081</v>
      </c>
      <c r="J2950" t="s">
        <v>32176</v>
      </c>
      <c r="K2950" t="s">
        <v>39037</v>
      </c>
      <c r="M2950" t="s">
        <v>40477</v>
      </c>
      <c r="N2950" t="s">
        <v>43166</v>
      </c>
      <c r="O2950" t="s">
        <v>43167</v>
      </c>
      <c r="P2950">
        <v>0</v>
      </c>
      <c r="Q2950">
        <v>1</v>
      </c>
      <c r="R2950" t="s">
        <v>43170</v>
      </c>
      <c r="S2950" t="s">
        <v>43297</v>
      </c>
      <c r="T2950" t="s">
        <v>44699</v>
      </c>
      <c r="U2950" t="s">
        <v>47621</v>
      </c>
      <c r="W2950" t="s">
        <v>40477</v>
      </c>
      <c r="X2950" t="s">
        <v>43171</v>
      </c>
    </row>
    <row r="2951" spans="1:24">
      <c r="A2951">
        <f>HYPERLINK("https://www.philgeps.gov.ph/GEPSNONPILOT/Tender/SplashBidNoticeAbstractUI.aspx?menuIndex=3&amp;refID=7087107&amp;Result=3","7087107")</f>
        <v>0</v>
      </c>
      <c r="B2951" t="s">
        <v>405</v>
      </c>
      <c r="C2951" t="s">
        <v>6240</v>
      </c>
      <c r="E2951" t="s">
        <v>20059</v>
      </c>
      <c r="F2951" t="s">
        <v>30052</v>
      </c>
      <c r="G2951" t="s">
        <v>30058</v>
      </c>
      <c r="H2951" t="s">
        <v>15498</v>
      </c>
      <c r="I2951" t="s">
        <v>9238</v>
      </c>
      <c r="J2951" t="s">
        <v>32177</v>
      </c>
      <c r="K2951" t="s">
        <v>39026</v>
      </c>
      <c r="M2951" t="s">
        <v>39704</v>
      </c>
      <c r="N2951" t="s">
        <v>43166</v>
      </c>
      <c r="O2951" t="s">
        <v>43167</v>
      </c>
      <c r="P2951">
        <v>0</v>
      </c>
      <c r="Q2951">
        <v>6</v>
      </c>
      <c r="R2951" t="s">
        <v>43170</v>
      </c>
      <c r="S2951" t="s">
        <v>43297</v>
      </c>
      <c r="T2951" t="s">
        <v>44828</v>
      </c>
      <c r="U2951" t="s">
        <v>47622</v>
      </c>
      <c r="W2951" t="s">
        <v>39704</v>
      </c>
      <c r="X2951" t="s">
        <v>43171</v>
      </c>
    </row>
    <row r="2952" spans="1:24">
      <c r="A2952">
        <f>HYPERLINK("https://www.philgeps.gov.ph/GEPSNONPILOT/Tender/SplashBidNoticeAbstractUI.aspx?menuIndex=3&amp;refID=7087098&amp;Result=3","7087098")</f>
        <v>0</v>
      </c>
      <c r="B2952" t="s">
        <v>557</v>
      </c>
      <c r="C2952" t="s">
        <v>6241</v>
      </c>
      <c r="D2952" t="s">
        <v>17422</v>
      </c>
      <c r="E2952" t="s">
        <v>20060</v>
      </c>
      <c r="F2952" t="s">
        <v>30052</v>
      </c>
      <c r="G2952" t="s">
        <v>30059</v>
      </c>
      <c r="H2952" t="s">
        <v>15498</v>
      </c>
      <c r="I2952" t="s">
        <v>30134</v>
      </c>
      <c r="J2952" t="s">
        <v>32178</v>
      </c>
      <c r="K2952" t="s">
        <v>39025</v>
      </c>
      <c r="M2952" t="s">
        <v>39859</v>
      </c>
      <c r="N2952" t="s">
        <v>43166</v>
      </c>
      <c r="O2952" t="s">
        <v>43167</v>
      </c>
      <c r="P2952">
        <v>0</v>
      </c>
      <c r="Q2952">
        <v>2</v>
      </c>
      <c r="R2952" t="s">
        <v>43170</v>
      </c>
      <c r="S2952" t="s">
        <v>43297</v>
      </c>
      <c r="T2952" t="s">
        <v>44870</v>
      </c>
      <c r="U2952" t="s">
        <v>47623</v>
      </c>
      <c r="V2952" t="s">
        <v>57163</v>
      </c>
      <c r="W2952" t="s">
        <v>39859</v>
      </c>
      <c r="X2952" t="s">
        <v>43171</v>
      </c>
    </row>
    <row r="2953" spans="1:24">
      <c r="A2953">
        <f>HYPERLINK("https://www.philgeps.gov.ph/GEPSNONPILOT/Tender/SplashBidNoticeAbstractUI.aspx?menuIndex=3&amp;refID=7087106&amp;Result=3","7087106")</f>
        <v>0</v>
      </c>
      <c r="B2953" t="s">
        <v>1135</v>
      </c>
      <c r="C2953" t="s">
        <v>6242</v>
      </c>
      <c r="D2953" t="s">
        <v>17449</v>
      </c>
      <c r="E2953" t="s">
        <v>20061</v>
      </c>
      <c r="F2953" t="s">
        <v>30052</v>
      </c>
      <c r="G2953" t="s">
        <v>30059</v>
      </c>
      <c r="H2953" t="s">
        <v>15498</v>
      </c>
      <c r="I2953" t="s">
        <v>30128</v>
      </c>
      <c r="J2953" t="s">
        <v>30402</v>
      </c>
      <c r="K2953" t="s">
        <v>39018</v>
      </c>
      <c r="M2953" t="s">
        <v>40478</v>
      </c>
      <c r="N2953" t="s">
        <v>43166</v>
      </c>
      <c r="O2953" t="s">
        <v>43167</v>
      </c>
      <c r="P2953">
        <v>0</v>
      </c>
      <c r="Q2953">
        <v>4</v>
      </c>
      <c r="R2953" t="s">
        <v>43170</v>
      </c>
      <c r="S2953" t="s">
        <v>43297</v>
      </c>
      <c r="T2953" t="s">
        <v>44844</v>
      </c>
      <c r="U2953" t="s">
        <v>47624</v>
      </c>
      <c r="W2953" t="s">
        <v>40478</v>
      </c>
      <c r="X2953" t="s">
        <v>43171</v>
      </c>
    </row>
    <row r="2954" spans="1:24">
      <c r="A2954">
        <f>HYPERLINK("https://www.philgeps.gov.ph/GEPSNONPILOT/Tender/SplashBidNoticeAbstractUI.aspx?menuIndex=3&amp;refID=7087092&amp;Result=3","7087092")</f>
        <v>0</v>
      </c>
      <c r="B2954" t="s">
        <v>1134</v>
      </c>
      <c r="C2954" t="s">
        <v>6243</v>
      </c>
      <c r="D2954" t="s">
        <v>17459</v>
      </c>
      <c r="E2954" t="s">
        <v>20062</v>
      </c>
      <c r="F2954" t="s">
        <v>30052</v>
      </c>
      <c r="G2954" t="s">
        <v>30059</v>
      </c>
      <c r="H2954" t="s">
        <v>15498</v>
      </c>
      <c r="I2954" t="s">
        <v>30111</v>
      </c>
      <c r="J2954" t="s">
        <v>30323</v>
      </c>
      <c r="K2954" t="s">
        <v>39037</v>
      </c>
      <c r="M2954" t="s">
        <v>40477</v>
      </c>
      <c r="N2954" t="s">
        <v>43166</v>
      </c>
      <c r="O2954" t="s">
        <v>43167</v>
      </c>
      <c r="P2954">
        <v>0</v>
      </c>
      <c r="Q2954">
        <v>0</v>
      </c>
      <c r="R2954" t="s">
        <v>43170</v>
      </c>
      <c r="S2954" t="s">
        <v>43297</v>
      </c>
      <c r="T2954" t="s">
        <v>44699</v>
      </c>
      <c r="U2954" t="s">
        <v>47625</v>
      </c>
      <c r="W2954" t="s">
        <v>40477</v>
      </c>
      <c r="X2954" t="s">
        <v>43171</v>
      </c>
    </row>
    <row r="2955" spans="1:24">
      <c r="A2955">
        <f>HYPERLINK("https://www.philgeps.gov.ph/GEPSNONPILOT/Tender/SplashBidNoticeAbstractUI.aspx?menuIndex=3&amp;refID=7087089&amp;Result=3","7087089")</f>
        <v>0</v>
      </c>
      <c r="B2955" t="s">
        <v>1136</v>
      </c>
      <c r="C2955" t="s">
        <v>6244</v>
      </c>
      <c r="D2955" t="s">
        <v>17432</v>
      </c>
      <c r="E2955" t="s">
        <v>20063</v>
      </c>
      <c r="F2955" t="s">
        <v>30052</v>
      </c>
      <c r="G2955" t="s">
        <v>30062</v>
      </c>
      <c r="H2955" t="s">
        <v>15498</v>
      </c>
      <c r="I2955" t="s">
        <v>3852</v>
      </c>
      <c r="J2955" t="s">
        <v>32179</v>
      </c>
      <c r="K2955" t="s">
        <v>39018</v>
      </c>
      <c r="M2955" t="s">
        <v>40479</v>
      </c>
      <c r="N2955" t="s">
        <v>43166</v>
      </c>
      <c r="O2955" t="s">
        <v>43167</v>
      </c>
      <c r="P2955">
        <v>0</v>
      </c>
      <c r="Q2955">
        <v>1</v>
      </c>
      <c r="R2955" t="s">
        <v>43170</v>
      </c>
      <c r="S2955" t="s">
        <v>43297</v>
      </c>
      <c r="T2955" t="s">
        <v>44734</v>
      </c>
      <c r="U2955" t="s">
        <v>47626</v>
      </c>
      <c r="V2955" t="s">
        <v>46667</v>
      </c>
      <c r="W2955" t="s">
        <v>40479</v>
      </c>
      <c r="X2955" t="s">
        <v>43171</v>
      </c>
    </row>
    <row r="2956" spans="1:24">
      <c r="A2956">
        <f>HYPERLINK("https://www.philgeps.gov.ph/GEPSNONPILOT/Tender/SplashBidNoticeAbstractUI.aspx?menuIndex=3&amp;refID=7086748&amp;Result=3","7086748")</f>
        <v>0</v>
      </c>
      <c r="B2956" t="s">
        <v>884</v>
      </c>
      <c r="C2956" t="s">
        <v>6245</v>
      </c>
      <c r="D2956" t="s">
        <v>17459</v>
      </c>
      <c r="E2956" t="s">
        <v>20064</v>
      </c>
      <c r="F2956" t="s">
        <v>30052</v>
      </c>
      <c r="G2956" t="s">
        <v>30059</v>
      </c>
      <c r="H2956" t="s">
        <v>15498</v>
      </c>
      <c r="I2956" t="s">
        <v>30070</v>
      </c>
      <c r="J2956" t="s">
        <v>32180</v>
      </c>
      <c r="K2956" t="s">
        <v>39019</v>
      </c>
      <c r="M2956" t="s">
        <v>40203</v>
      </c>
      <c r="N2956" t="s">
        <v>43166</v>
      </c>
      <c r="O2956" t="s">
        <v>43167</v>
      </c>
      <c r="P2956">
        <v>0</v>
      </c>
      <c r="Q2956">
        <v>2</v>
      </c>
      <c r="R2956" t="s">
        <v>43170</v>
      </c>
      <c r="S2956" t="s">
        <v>43297</v>
      </c>
      <c r="T2956" t="s">
        <v>44862</v>
      </c>
      <c r="U2956" t="s">
        <v>47627</v>
      </c>
      <c r="V2956" t="s">
        <v>57070</v>
      </c>
      <c r="W2956" t="s">
        <v>40203</v>
      </c>
      <c r="X2956" t="s">
        <v>43171</v>
      </c>
    </row>
    <row r="2957" spans="1:24">
      <c r="A2957">
        <f>HYPERLINK("https://www.philgeps.gov.ph/GEPSNONPILOT/Tender/SplashBidNoticeAbstractUI.aspx?menuIndex=3&amp;refID=7087104&amp;Result=3","7087104")</f>
        <v>0</v>
      </c>
      <c r="B2957" t="s">
        <v>1135</v>
      </c>
      <c r="C2957" t="s">
        <v>6246</v>
      </c>
      <c r="D2957" t="s">
        <v>17449</v>
      </c>
      <c r="E2957" t="s">
        <v>20065</v>
      </c>
      <c r="F2957" t="s">
        <v>30052</v>
      </c>
      <c r="G2957" t="s">
        <v>30059</v>
      </c>
      <c r="H2957" t="s">
        <v>15498</v>
      </c>
      <c r="I2957" t="s">
        <v>30076</v>
      </c>
      <c r="J2957" t="s">
        <v>32181</v>
      </c>
      <c r="K2957" t="s">
        <v>39018</v>
      </c>
      <c r="M2957" t="s">
        <v>40478</v>
      </c>
      <c r="N2957" t="s">
        <v>43166</v>
      </c>
      <c r="O2957" t="s">
        <v>43167</v>
      </c>
      <c r="P2957">
        <v>0</v>
      </c>
      <c r="Q2957">
        <v>14</v>
      </c>
      <c r="R2957" t="s">
        <v>43170</v>
      </c>
      <c r="S2957" t="s">
        <v>43297</v>
      </c>
      <c r="T2957" t="s">
        <v>44844</v>
      </c>
      <c r="U2957" t="s">
        <v>47628</v>
      </c>
      <c r="W2957" t="s">
        <v>40478</v>
      </c>
      <c r="X2957" t="s">
        <v>43171</v>
      </c>
    </row>
    <row r="2958" spans="1:24">
      <c r="A2958">
        <f>HYPERLINK("https://www.philgeps.gov.ph/GEPSNONPILOT/Tender/SplashBidNoticeAbstractUI.aspx?menuIndex=3&amp;refID=7049625-2&amp;Result=3","7049625-2")</f>
        <v>0</v>
      </c>
      <c r="B2958" t="s">
        <v>1137</v>
      </c>
      <c r="C2958" t="s">
        <v>6247</v>
      </c>
      <c r="D2958" t="s">
        <v>17435</v>
      </c>
      <c r="E2958" t="s">
        <v>20066</v>
      </c>
      <c r="F2958" t="s">
        <v>30052</v>
      </c>
      <c r="G2958" t="s">
        <v>30058</v>
      </c>
      <c r="H2958" t="s">
        <v>30068</v>
      </c>
      <c r="I2958" t="s">
        <v>30068</v>
      </c>
      <c r="J2958" t="s">
        <v>32182</v>
      </c>
      <c r="K2958" t="s">
        <v>39118</v>
      </c>
      <c r="M2958" t="s">
        <v>40480</v>
      </c>
      <c r="N2958" t="s">
        <v>43166</v>
      </c>
      <c r="O2958" t="s">
        <v>43167</v>
      </c>
      <c r="P2958">
        <v>0</v>
      </c>
      <c r="Q2958">
        <v>0</v>
      </c>
      <c r="R2958" t="s">
        <v>43171</v>
      </c>
      <c r="S2958" t="s">
        <v>43311</v>
      </c>
      <c r="T2958" t="s">
        <v>44699</v>
      </c>
      <c r="U2958" t="s">
        <v>47629</v>
      </c>
      <c r="W2958" t="s">
        <v>40480</v>
      </c>
      <c r="X2958" t="s">
        <v>43172</v>
      </c>
    </row>
    <row r="2959" spans="1:24">
      <c r="A2959">
        <f>HYPERLINK("https://www.philgeps.gov.ph/GEPSNONPILOT/Tender/SplashBidNoticeAbstractUI.aspx?menuIndex=3&amp;refID=7050808&amp;Result=3","7050808")</f>
        <v>0</v>
      </c>
      <c r="B2959" t="s">
        <v>784</v>
      </c>
      <c r="C2959" t="s">
        <v>6248</v>
      </c>
      <c r="E2959" t="s">
        <v>20067</v>
      </c>
      <c r="F2959" t="s">
        <v>30052</v>
      </c>
      <c r="G2959" t="s">
        <v>30058</v>
      </c>
      <c r="H2959" t="s">
        <v>15498</v>
      </c>
      <c r="I2959" t="s">
        <v>30142</v>
      </c>
      <c r="J2959" t="s">
        <v>32183</v>
      </c>
      <c r="K2959" t="s">
        <v>39025</v>
      </c>
      <c r="M2959" t="s">
        <v>40101</v>
      </c>
      <c r="N2959" t="s">
        <v>43166</v>
      </c>
      <c r="O2959" t="s">
        <v>43167</v>
      </c>
      <c r="P2959">
        <v>0</v>
      </c>
      <c r="Q2959">
        <v>6</v>
      </c>
      <c r="R2959" t="s">
        <v>43171</v>
      </c>
      <c r="S2959" t="s">
        <v>43311</v>
      </c>
      <c r="T2959" t="s">
        <v>44699</v>
      </c>
      <c r="U2959" t="s">
        <v>47630</v>
      </c>
      <c r="V2959" t="s">
        <v>57164</v>
      </c>
      <c r="W2959" t="s">
        <v>40101</v>
      </c>
      <c r="X2959" t="s">
        <v>43187</v>
      </c>
    </row>
    <row r="2960" spans="1:24">
      <c r="A2960">
        <f>HYPERLINK("https://www.philgeps.gov.ph/GEPSNONPILOT/Tender/SplashBidNoticeAbstractUI.aspx?menuIndex=3&amp;refID=7050803&amp;Result=3","7050803")</f>
        <v>0</v>
      </c>
      <c r="B2960" t="s">
        <v>784</v>
      </c>
      <c r="C2960" t="s">
        <v>6249</v>
      </c>
      <c r="E2960" t="s">
        <v>20068</v>
      </c>
      <c r="F2960" t="s">
        <v>30052</v>
      </c>
      <c r="G2960" t="s">
        <v>30058</v>
      </c>
      <c r="H2960" t="s">
        <v>15498</v>
      </c>
      <c r="I2960" t="s">
        <v>4598</v>
      </c>
      <c r="J2960" t="s">
        <v>32184</v>
      </c>
      <c r="K2960" t="s">
        <v>39025</v>
      </c>
      <c r="M2960" t="s">
        <v>40101</v>
      </c>
      <c r="N2960" t="s">
        <v>43166</v>
      </c>
      <c r="O2960" t="s">
        <v>43167</v>
      </c>
      <c r="P2960">
        <v>0</v>
      </c>
      <c r="Q2960">
        <v>4</v>
      </c>
      <c r="R2960" t="s">
        <v>43171</v>
      </c>
      <c r="S2960" t="s">
        <v>43311</v>
      </c>
      <c r="T2960" t="s">
        <v>44699</v>
      </c>
      <c r="U2960" t="s">
        <v>47631</v>
      </c>
      <c r="V2960" t="s">
        <v>57164</v>
      </c>
      <c r="W2960" t="s">
        <v>40101</v>
      </c>
      <c r="X2960" t="s">
        <v>43187</v>
      </c>
    </row>
    <row r="2961" spans="1:24">
      <c r="A2961">
        <f>HYPERLINK("https://www.philgeps.gov.ph/GEPSNONPILOT/Tender/SplashBidNoticeAbstractUI.aspx?menuIndex=3&amp;refID=7050796&amp;Result=3","7050796")</f>
        <v>0</v>
      </c>
      <c r="B2961" t="s">
        <v>784</v>
      </c>
      <c r="C2961" t="s">
        <v>6250</v>
      </c>
      <c r="E2961" t="s">
        <v>20069</v>
      </c>
      <c r="F2961" t="s">
        <v>30052</v>
      </c>
      <c r="G2961" t="s">
        <v>30058</v>
      </c>
      <c r="H2961" t="s">
        <v>15498</v>
      </c>
      <c r="I2961" t="s">
        <v>4598</v>
      </c>
      <c r="J2961" t="s">
        <v>32185</v>
      </c>
      <c r="K2961" t="s">
        <v>39025</v>
      </c>
      <c r="M2961" t="s">
        <v>40101</v>
      </c>
      <c r="N2961" t="s">
        <v>43166</v>
      </c>
      <c r="O2961" t="s">
        <v>43167</v>
      </c>
      <c r="P2961">
        <v>0</v>
      </c>
      <c r="Q2961">
        <v>3</v>
      </c>
      <c r="R2961" t="s">
        <v>43171</v>
      </c>
      <c r="S2961" t="s">
        <v>43311</v>
      </c>
      <c r="T2961" t="s">
        <v>44699</v>
      </c>
      <c r="U2961" t="s">
        <v>47631</v>
      </c>
      <c r="V2961" t="s">
        <v>57164</v>
      </c>
      <c r="W2961" t="s">
        <v>40101</v>
      </c>
      <c r="X2961" t="s">
        <v>43187</v>
      </c>
    </row>
    <row r="2962" spans="1:24">
      <c r="A2962">
        <f>HYPERLINK("https://www.philgeps.gov.ph/GEPSNONPILOT/Tender/SplashBidNoticeAbstractUI.aspx?menuIndex=3&amp;refID=7049642-2&amp;Result=3","7049642-2")</f>
        <v>0</v>
      </c>
      <c r="B2962" t="s">
        <v>1137</v>
      </c>
      <c r="C2962" t="s">
        <v>6251</v>
      </c>
      <c r="D2962" t="s">
        <v>17435</v>
      </c>
      <c r="E2962" t="s">
        <v>20070</v>
      </c>
      <c r="F2962" t="s">
        <v>30052</v>
      </c>
      <c r="G2962" t="s">
        <v>30058</v>
      </c>
      <c r="H2962" t="s">
        <v>30068</v>
      </c>
      <c r="I2962" t="s">
        <v>30068</v>
      </c>
      <c r="J2962" t="s">
        <v>32186</v>
      </c>
      <c r="K2962" t="s">
        <v>39119</v>
      </c>
      <c r="M2962" t="s">
        <v>40480</v>
      </c>
      <c r="N2962" t="s">
        <v>43166</v>
      </c>
      <c r="O2962" t="s">
        <v>43167</v>
      </c>
      <c r="P2962">
        <v>0</v>
      </c>
      <c r="Q2962">
        <v>0</v>
      </c>
      <c r="R2962" t="s">
        <v>43171</v>
      </c>
      <c r="S2962" t="s">
        <v>43311</v>
      </c>
      <c r="T2962" t="s">
        <v>44699</v>
      </c>
      <c r="U2962" t="s">
        <v>47632</v>
      </c>
      <c r="W2962" t="s">
        <v>40480</v>
      </c>
      <c r="X2962" t="s">
        <v>43172</v>
      </c>
    </row>
    <row r="2963" spans="1:24">
      <c r="A2963">
        <f>HYPERLINK("https://www.philgeps.gov.ph/GEPSNONPILOT/Tender/SplashBidNoticeAbstractUI.aspx?menuIndex=3&amp;refID=7043146&amp;Result=3","7043146")</f>
        <v>0</v>
      </c>
      <c r="B2963" t="s">
        <v>1094</v>
      </c>
      <c r="C2963" t="s">
        <v>6252</v>
      </c>
      <c r="D2963" t="s">
        <v>17464</v>
      </c>
      <c r="E2963" t="s">
        <v>20071</v>
      </c>
      <c r="F2963" t="s">
        <v>30052</v>
      </c>
      <c r="G2963" t="s">
        <v>30059</v>
      </c>
      <c r="H2963" t="s">
        <v>30067</v>
      </c>
      <c r="I2963" t="s">
        <v>6304</v>
      </c>
      <c r="J2963" t="s">
        <v>32187</v>
      </c>
      <c r="K2963" t="s">
        <v>39029</v>
      </c>
      <c r="M2963" t="s">
        <v>40432</v>
      </c>
      <c r="N2963" t="s">
        <v>43166</v>
      </c>
      <c r="O2963" t="s">
        <v>43167</v>
      </c>
      <c r="P2963">
        <v>0</v>
      </c>
      <c r="Q2963">
        <v>0</v>
      </c>
      <c r="R2963" t="s">
        <v>43171</v>
      </c>
      <c r="S2963" t="s">
        <v>43311</v>
      </c>
      <c r="T2963" t="s">
        <v>44699</v>
      </c>
      <c r="U2963" t="s">
        <v>47633</v>
      </c>
      <c r="W2963" t="s">
        <v>40432</v>
      </c>
      <c r="X2963" t="s">
        <v>43192</v>
      </c>
    </row>
    <row r="2964" spans="1:24">
      <c r="A2964">
        <f>HYPERLINK("https://www.philgeps.gov.ph/GEPSNONPILOT/Tender/SplashBidNoticeAbstractUI.aspx?menuIndex=3&amp;refID=7031781&amp;Result=3","7031781")</f>
        <v>0</v>
      </c>
      <c r="B2964" t="s">
        <v>1138</v>
      </c>
      <c r="C2964" t="s">
        <v>6253</v>
      </c>
      <c r="D2964" t="s">
        <v>17466</v>
      </c>
      <c r="E2964" t="s">
        <v>18342</v>
      </c>
      <c r="F2964" t="s">
        <v>30052</v>
      </c>
      <c r="G2964" t="s">
        <v>30059</v>
      </c>
      <c r="H2964" t="s">
        <v>15498</v>
      </c>
      <c r="I2964" t="s">
        <v>30076</v>
      </c>
      <c r="J2964" t="s">
        <v>32188</v>
      </c>
      <c r="K2964" t="s">
        <v>39017</v>
      </c>
      <c r="M2964" t="s">
        <v>40481</v>
      </c>
      <c r="N2964" t="s">
        <v>43166</v>
      </c>
      <c r="O2964" t="s">
        <v>43167</v>
      </c>
      <c r="P2964">
        <v>0</v>
      </c>
      <c r="Q2964">
        <v>2</v>
      </c>
      <c r="R2964" t="s">
        <v>43171</v>
      </c>
      <c r="S2964" t="s">
        <v>43311</v>
      </c>
      <c r="T2964" t="s">
        <v>44729</v>
      </c>
      <c r="U2964" t="s">
        <v>47634</v>
      </c>
      <c r="V2964" t="s">
        <v>57165</v>
      </c>
      <c r="W2964" t="s">
        <v>40481</v>
      </c>
      <c r="X2964" t="s">
        <v>43197</v>
      </c>
    </row>
    <row r="2965" spans="1:24">
      <c r="A2965">
        <f>HYPERLINK("https://www.philgeps.gov.ph/GEPSNONPILOT/Tender/SplashBidNoticeAbstractUI.aspx?menuIndex=3&amp;refID=7031763&amp;Result=3","7031763")</f>
        <v>0</v>
      </c>
      <c r="B2965" t="s">
        <v>1138</v>
      </c>
      <c r="C2965" t="s">
        <v>6254</v>
      </c>
      <c r="D2965" t="s">
        <v>17466</v>
      </c>
      <c r="E2965" t="s">
        <v>18907</v>
      </c>
      <c r="F2965" t="s">
        <v>30052</v>
      </c>
      <c r="G2965" t="s">
        <v>30059</v>
      </c>
      <c r="H2965" t="s">
        <v>15498</v>
      </c>
      <c r="I2965" t="s">
        <v>30088</v>
      </c>
      <c r="J2965" t="s">
        <v>32189</v>
      </c>
      <c r="K2965" t="s">
        <v>39017</v>
      </c>
      <c r="M2965" t="s">
        <v>40481</v>
      </c>
      <c r="N2965" t="s">
        <v>43166</v>
      </c>
      <c r="O2965" t="s">
        <v>43167</v>
      </c>
      <c r="P2965">
        <v>0</v>
      </c>
      <c r="Q2965">
        <v>2</v>
      </c>
      <c r="R2965" t="s">
        <v>43171</v>
      </c>
      <c r="S2965" t="s">
        <v>43311</v>
      </c>
      <c r="T2965" t="s">
        <v>44729</v>
      </c>
      <c r="U2965" t="s">
        <v>47635</v>
      </c>
      <c r="V2965" t="s">
        <v>57166</v>
      </c>
      <c r="W2965" t="s">
        <v>40481</v>
      </c>
      <c r="X2965" t="s">
        <v>43197</v>
      </c>
    </row>
    <row r="2966" spans="1:24">
      <c r="A2966">
        <f>HYPERLINK("https://www.philgeps.gov.ph/GEPSNONPILOT/Tender/SplashBidNoticeAbstractUI.aspx?menuIndex=3&amp;refID=7087125&amp;Result=3","7087125")</f>
        <v>0</v>
      </c>
      <c r="B2966" t="s">
        <v>557</v>
      </c>
      <c r="C2966" t="s">
        <v>6255</v>
      </c>
      <c r="D2966" t="s">
        <v>17475</v>
      </c>
      <c r="E2966" t="s">
        <v>20072</v>
      </c>
      <c r="F2966" t="s">
        <v>30052</v>
      </c>
      <c r="G2966" t="s">
        <v>30059</v>
      </c>
      <c r="H2966" t="s">
        <v>15498</v>
      </c>
      <c r="I2966" t="s">
        <v>30134</v>
      </c>
      <c r="J2966" t="s">
        <v>32190</v>
      </c>
      <c r="K2966" t="s">
        <v>39025</v>
      </c>
      <c r="M2966" t="s">
        <v>39859</v>
      </c>
      <c r="N2966" t="s">
        <v>43166</v>
      </c>
      <c r="O2966" t="s">
        <v>43167</v>
      </c>
      <c r="P2966">
        <v>0</v>
      </c>
      <c r="Q2966">
        <v>0</v>
      </c>
      <c r="R2966" t="s">
        <v>43170</v>
      </c>
      <c r="S2966" t="s">
        <v>43297</v>
      </c>
      <c r="T2966" t="s">
        <v>44870</v>
      </c>
      <c r="U2966" t="s">
        <v>47636</v>
      </c>
      <c r="W2966" t="s">
        <v>39859</v>
      </c>
      <c r="X2966" t="s">
        <v>43171</v>
      </c>
    </row>
    <row r="2967" spans="1:24">
      <c r="A2967">
        <f>HYPERLINK("https://www.philgeps.gov.ph/GEPSNONPILOT/Tender/SplashBidNoticeAbstractUI.aspx?menuIndex=3&amp;refID=7087048&amp;Result=3","7087048")</f>
        <v>0</v>
      </c>
      <c r="B2967" t="s">
        <v>544</v>
      </c>
      <c r="C2967" t="s">
        <v>6256</v>
      </c>
      <c r="D2967" t="s">
        <v>17434</v>
      </c>
      <c r="E2967" t="s">
        <v>20073</v>
      </c>
      <c r="F2967" t="s">
        <v>30052</v>
      </c>
      <c r="G2967" t="s">
        <v>30059</v>
      </c>
      <c r="H2967" t="s">
        <v>15498</v>
      </c>
      <c r="I2967" t="s">
        <v>30085</v>
      </c>
      <c r="J2967" t="s">
        <v>30594</v>
      </c>
      <c r="K2967" t="s">
        <v>39018</v>
      </c>
      <c r="M2967" t="s">
        <v>40473</v>
      </c>
      <c r="N2967" t="s">
        <v>43166</v>
      </c>
      <c r="O2967" t="s">
        <v>43167</v>
      </c>
      <c r="P2967">
        <v>0</v>
      </c>
      <c r="Q2967">
        <v>3</v>
      </c>
      <c r="R2967" t="s">
        <v>43170</v>
      </c>
      <c r="S2967" t="s">
        <v>43297</v>
      </c>
      <c r="T2967" t="s">
        <v>44735</v>
      </c>
      <c r="U2967" t="s">
        <v>47637</v>
      </c>
      <c r="V2967" t="s">
        <v>45512</v>
      </c>
      <c r="W2967" t="s">
        <v>40473</v>
      </c>
      <c r="X2967" t="s">
        <v>43171</v>
      </c>
    </row>
    <row r="2968" spans="1:24">
      <c r="A2968">
        <f>HYPERLINK("https://www.philgeps.gov.ph/GEPSNONPILOT/Tender/SplashBidNoticeAbstractUI.aspx?menuIndex=3&amp;refID=7087095&amp;Result=3","7087095")</f>
        <v>0</v>
      </c>
      <c r="B2968" t="s">
        <v>1139</v>
      </c>
      <c r="C2968" t="s">
        <v>6257</v>
      </c>
      <c r="D2968" t="s">
        <v>17445</v>
      </c>
      <c r="E2968" t="s">
        <v>20074</v>
      </c>
      <c r="F2968" t="s">
        <v>30052</v>
      </c>
      <c r="G2968" t="s">
        <v>30059</v>
      </c>
      <c r="H2968" t="s">
        <v>15498</v>
      </c>
      <c r="I2968" t="s">
        <v>6691</v>
      </c>
      <c r="J2968" t="s">
        <v>31583</v>
      </c>
      <c r="K2968" t="s">
        <v>39040</v>
      </c>
      <c r="M2968" t="s">
        <v>40482</v>
      </c>
      <c r="N2968" t="s">
        <v>43166</v>
      </c>
      <c r="O2968" t="s">
        <v>43167</v>
      </c>
      <c r="P2968">
        <v>0</v>
      </c>
      <c r="Q2968">
        <v>0</v>
      </c>
      <c r="R2968" t="s">
        <v>43170</v>
      </c>
      <c r="S2968" t="s">
        <v>43297</v>
      </c>
      <c r="T2968" t="s">
        <v>44735</v>
      </c>
      <c r="U2968" t="s">
        <v>47638</v>
      </c>
      <c r="W2968" t="s">
        <v>40482</v>
      </c>
      <c r="X2968" t="s">
        <v>43171</v>
      </c>
    </row>
    <row r="2969" spans="1:24">
      <c r="A2969">
        <f>HYPERLINK("https://www.philgeps.gov.ph/GEPSNONPILOT/Tender/SplashBidNoticeAbstractUI.aspx?menuIndex=3&amp;refID=7087121&amp;Result=3","7087121")</f>
        <v>0</v>
      </c>
      <c r="B2969" t="s">
        <v>509</v>
      </c>
      <c r="C2969" t="s">
        <v>6258</v>
      </c>
      <c r="D2969" t="s">
        <v>17415</v>
      </c>
      <c r="E2969" t="s">
        <v>20075</v>
      </c>
      <c r="F2969" t="s">
        <v>30052</v>
      </c>
      <c r="G2969" t="s">
        <v>30059</v>
      </c>
      <c r="H2969" t="s">
        <v>30068</v>
      </c>
      <c r="I2969" t="s">
        <v>30068</v>
      </c>
      <c r="J2969" t="s">
        <v>32191</v>
      </c>
      <c r="K2969" t="s">
        <v>39020</v>
      </c>
      <c r="M2969" t="s">
        <v>39810</v>
      </c>
      <c r="N2969" t="s">
        <v>43166</v>
      </c>
      <c r="O2969" t="s">
        <v>43167</v>
      </c>
      <c r="P2969">
        <v>0</v>
      </c>
      <c r="Q2969">
        <v>1</v>
      </c>
      <c r="R2969" t="s">
        <v>43170</v>
      </c>
      <c r="S2969" t="s">
        <v>43297</v>
      </c>
      <c r="T2969" t="s">
        <v>44710</v>
      </c>
      <c r="U2969" t="s">
        <v>46172</v>
      </c>
      <c r="W2969" t="s">
        <v>39810</v>
      </c>
      <c r="X2969" t="s">
        <v>43171</v>
      </c>
    </row>
    <row r="2970" spans="1:24">
      <c r="A2970">
        <f>HYPERLINK("https://www.philgeps.gov.ph/GEPSNONPILOT/Tender/SplashBidNoticeAbstractUI.aspx?menuIndex=3&amp;refID=7087118&amp;Result=3","7087118")</f>
        <v>0</v>
      </c>
      <c r="B2970" t="s">
        <v>557</v>
      </c>
      <c r="C2970" t="s">
        <v>6259</v>
      </c>
      <c r="D2970" t="s">
        <v>17422</v>
      </c>
      <c r="E2970" t="s">
        <v>20076</v>
      </c>
      <c r="F2970" t="s">
        <v>30052</v>
      </c>
      <c r="G2970" t="s">
        <v>30059</v>
      </c>
      <c r="H2970" t="s">
        <v>15498</v>
      </c>
      <c r="I2970" t="s">
        <v>30134</v>
      </c>
      <c r="J2970" t="s">
        <v>31362</v>
      </c>
      <c r="K2970" t="s">
        <v>39025</v>
      </c>
      <c r="M2970" t="s">
        <v>39859</v>
      </c>
      <c r="N2970" t="s">
        <v>43166</v>
      </c>
      <c r="O2970" t="s">
        <v>43167</v>
      </c>
      <c r="P2970">
        <v>0</v>
      </c>
      <c r="Q2970">
        <v>2</v>
      </c>
      <c r="R2970" t="s">
        <v>43170</v>
      </c>
      <c r="S2970" t="s">
        <v>43297</v>
      </c>
      <c r="T2970" t="s">
        <v>44870</v>
      </c>
      <c r="U2970" t="s">
        <v>47639</v>
      </c>
      <c r="W2970" t="s">
        <v>39859</v>
      </c>
      <c r="X2970" t="s">
        <v>43171</v>
      </c>
    </row>
    <row r="2971" spans="1:24">
      <c r="A2971">
        <f>HYPERLINK("https://www.philgeps.gov.ph/GEPSNONPILOT/Tender/SplashBidNoticeAbstractUI.aspx?menuIndex=3&amp;refID=7087091&amp;Result=3","7087091")</f>
        <v>0</v>
      </c>
      <c r="B2971" t="s">
        <v>1123</v>
      </c>
      <c r="C2971" t="s">
        <v>6260</v>
      </c>
      <c r="D2971" t="s">
        <v>17464</v>
      </c>
      <c r="E2971" t="s">
        <v>20077</v>
      </c>
      <c r="F2971" t="s">
        <v>30052</v>
      </c>
      <c r="G2971" t="s">
        <v>30058</v>
      </c>
      <c r="H2971" t="s">
        <v>15498</v>
      </c>
      <c r="I2971" t="s">
        <v>30085</v>
      </c>
      <c r="J2971" t="s">
        <v>32192</v>
      </c>
      <c r="K2971" t="s">
        <v>39046</v>
      </c>
      <c r="M2971" t="s">
        <v>40463</v>
      </c>
      <c r="N2971" t="s">
        <v>43166</v>
      </c>
      <c r="O2971" t="s">
        <v>43167</v>
      </c>
      <c r="P2971">
        <v>0</v>
      </c>
      <c r="Q2971">
        <v>1</v>
      </c>
      <c r="R2971" t="s">
        <v>43170</v>
      </c>
      <c r="S2971" t="s">
        <v>43297</v>
      </c>
      <c r="T2971" t="s">
        <v>44940</v>
      </c>
      <c r="U2971" t="s">
        <v>47640</v>
      </c>
      <c r="W2971" t="s">
        <v>40463</v>
      </c>
      <c r="X2971" t="s">
        <v>43171</v>
      </c>
    </row>
    <row r="2972" spans="1:24">
      <c r="A2972">
        <f>HYPERLINK("https://www.philgeps.gov.ph/GEPSNONPILOT/Tender/SplashBidNoticeAbstractUI.aspx?menuIndex=3&amp;refID=7087117&amp;Result=3","7087117")</f>
        <v>0</v>
      </c>
      <c r="B2972" t="s">
        <v>509</v>
      </c>
      <c r="C2972" t="s">
        <v>6261</v>
      </c>
      <c r="D2972" t="s">
        <v>17415</v>
      </c>
      <c r="E2972" t="s">
        <v>20078</v>
      </c>
      <c r="F2972" t="s">
        <v>30052</v>
      </c>
      <c r="G2972" t="s">
        <v>30059</v>
      </c>
      <c r="H2972" t="s">
        <v>30068</v>
      </c>
      <c r="I2972" t="s">
        <v>30068</v>
      </c>
      <c r="J2972" t="s">
        <v>32193</v>
      </c>
      <c r="K2972" t="s">
        <v>39020</v>
      </c>
      <c r="M2972" t="s">
        <v>39810</v>
      </c>
      <c r="N2972" t="s">
        <v>43166</v>
      </c>
      <c r="O2972" t="s">
        <v>43167</v>
      </c>
      <c r="P2972">
        <v>0</v>
      </c>
      <c r="Q2972">
        <v>1</v>
      </c>
      <c r="R2972" t="s">
        <v>43170</v>
      </c>
      <c r="S2972" t="s">
        <v>43297</v>
      </c>
      <c r="T2972" t="s">
        <v>44710</v>
      </c>
      <c r="U2972" t="s">
        <v>46172</v>
      </c>
      <c r="W2972" t="s">
        <v>39810</v>
      </c>
      <c r="X2972" t="s">
        <v>43171</v>
      </c>
    </row>
    <row r="2973" spans="1:24">
      <c r="A2973">
        <f>HYPERLINK("https://www.philgeps.gov.ph/GEPSNONPILOT/Tender/SplashBidNoticeAbstractUI.aspx?menuIndex=3&amp;refID=7087115&amp;Result=3","7087115")</f>
        <v>0</v>
      </c>
      <c r="B2973" t="s">
        <v>405</v>
      </c>
      <c r="C2973" t="s">
        <v>6262</v>
      </c>
      <c r="E2973" t="s">
        <v>20079</v>
      </c>
      <c r="F2973" t="s">
        <v>30052</v>
      </c>
      <c r="G2973" t="s">
        <v>30058</v>
      </c>
      <c r="H2973" t="s">
        <v>15498</v>
      </c>
      <c r="I2973" t="s">
        <v>30084</v>
      </c>
      <c r="J2973" t="s">
        <v>32194</v>
      </c>
      <c r="K2973" t="s">
        <v>39025</v>
      </c>
      <c r="M2973" t="s">
        <v>39704</v>
      </c>
      <c r="N2973" t="s">
        <v>43166</v>
      </c>
      <c r="O2973" t="s">
        <v>43167</v>
      </c>
      <c r="P2973">
        <v>0</v>
      </c>
      <c r="Q2973">
        <v>14</v>
      </c>
      <c r="R2973" t="s">
        <v>43170</v>
      </c>
      <c r="S2973" t="s">
        <v>43297</v>
      </c>
      <c r="T2973" t="s">
        <v>44828</v>
      </c>
      <c r="U2973" t="s">
        <v>47641</v>
      </c>
      <c r="W2973" t="s">
        <v>39704</v>
      </c>
      <c r="X2973" t="s">
        <v>43171</v>
      </c>
    </row>
    <row r="2974" spans="1:24">
      <c r="A2974">
        <f>HYPERLINK("https://www.philgeps.gov.ph/GEPSNONPILOT/Tender/SplashBidNoticeAbstractUI.aspx?menuIndex=3&amp;refID=7072822&amp;Result=3","7072822")</f>
        <v>0</v>
      </c>
      <c r="B2974" t="s">
        <v>1140</v>
      </c>
      <c r="C2974" t="s">
        <v>6263</v>
      </c>
      <c r="D2974" t="s">
        <v>17458</v>
      </c>
      <c r="E2974" t="s">
        <v>18907</v>
      </c>
      <c r="F2974" t="s">
        <v>30052</v>
      </c>
      <c r="G2974" t="s">
        <v>30061</v>
      </c>
      <c r="H2974" t="s">
        <v>15498</v>
      </c>
      <c r="I2974" t="s">
        <v>30085</v>
      </c>
      <c r="J2974" t="s">
        <v>32195</v>
      </c>
      <c r="K2974" t="s">
        <v>39036</v>
      </c>
      <c r="M2974" t="s">
        <v>40483</v>
      </c>
      <c r="N2974" t="s">
        <v>43166</v>
      </c>
      <c r="O2974" t="s">
        <v>43167</v>
      </c>
      <c r="P2974">
        <v>0</v>
      </c>
      <c r="Q2974">
        <v>0</v>
      </c>
      <c r="R2974" t="s">
        <v>43171</v>
      </c>
      <c r="S2974" t="s">
        <v>43311</v>
      </c>
      <c r="T2974" t="s">
        <v>44788</v>
      </c>
      <c r="U2974" t="s">
        <v>45654</v>
      </c>
      <c r="W2974" t="s">
        <v>40483</v>
      </c>
      <c r="X2974" t="s">
        <v>43176</v>
      </c>
    </row>
    <row r="2975" spans="1:24">
      <c r="A2975">
        <f>HYPERLINK("https://www.philgeps.gov.ph/GEPSNONPILOT/Tender/SplashBidNoticeAbstractUI.aspx?menuIndex=3&amp;refID=7087126&amp;Result=3","7087126")</f>
        <v>0</v>
      </c>
      <c r="B2975" t="s">
        <v>509</v>
      </c>
      <c r="C2975" t="s">
        <v>6264</v>
      </c>
      <c r="D2975" t="s">
        <v>17415</v>
      </c>
      <c r="E2975" t="s">
        <v>20080</v>
      </c>
      <c r="F2975" t="s">
        <v>30052</v>
      </c>
      <c r="G2975" t="s">
        <v>30059</v>
      </c>
      <c r="H2975" t="s">
        <v>30068</v>
      </c>
      <c r="I2975" t="s">
        <v>30068</v>
      </c>
      <c r="J2975" t="s">
        <v>32196</v>
      </c>
      <c r="K2975" t="s">
        <v>39120</v>
      </c>
      <c r="M2975" t="s">
        <v>39810</v>
      </c>
      <c r="N2975" t="s">
        <v>43166</v>
      </c>
      <c r="O2975" t="s">
        <v>43167</v>
      </c>
      <c r="P2975">
        <v>0</v>
      </c>
      <c r="Q2975">
        <v>1</v>
      </c>
      <c r="R2975" t="s">
        <v>43170</v>
      </c>
      <c r="S2975" t="s">
        <v>43297</v>
      </c>
      <c r="T2975" t="s">
        <v>44710</v>
      </c>
      <c r="U2975" t="s">
        <v>46172</v>
      </c>
      <c r="W2975" t="s">
        <v>39810</v>
      </c>
      <c r="X2975" t="s">
        <v>43171</v>
      </c>
    </row>
    <row r="2976" spans="1:24">
      <c r="A2976">
        <f>HYPERLINK("https://www.philgeps.gov.ph/GEPSNONPILOT/Tender/SplashBidNoticeAbstractUI.aspx?menuIndex=3&amp;refID=7087123&amp;Result=3","7087123")</f>
        <v>0</v>
      </c>
      <c r="B2976" t="s">
        <v>1141</v>
      </c>
      <c r="C2976" t="s">
        <v>6265</v>
      </c>
      <c r="D2976" t="s">
        <v>17456</v>
      </c>
      <c r="E2976" t="s">
        <v>17540</v>
      </c>
      <c r="F2976" t="s">
        <v>30052</v>
      </c>
      <c r="G2976" t="s">
        <v>30058</v>
      </c>
      <c r="H2976" t="s">
        <v>15498</v>
      </c>
      <c r="I2976" t="s">
        <v>3736</v>
      </c>
      <c r="J2976" t="s">
        <v>32197</v>
      </c>
      <c r="K2976" t="s">
        <v>39036</v>
      </c>
      <c r="M2976" t="s">
        <v>40484</v>
      </c>
      <c r="N2976" t="s">
        <v>43166</v>
      </c>
      <c r="O2976" t="s">
        <v>43167</v>
      </c>
      <c r="P2976">
        <v>0</v>
      </c>
      <c r="Q2976">
        <v>0</v>
      </c>
      <c r="R2976" t="s">
        <v>43170</v>
      </c>
      <c r="S2976" t="s">
        <v>43297</v>
      </c>
      <c r="T2976" t="s">
        <v>44724</v>
      </c>
      <c r="U2976" t="s">
        <v>47642</v>
      </c>
      <c r="W2976" t="s">
        <v>40484</v>
      </c>
      <c r="X2976" t="s">
        <v>43171</v>
      </c>
    </row>
    <row r="2977" spans="1:24">
      <c r="A2977">
        <f>HYPERLINK("https://www.philgeps.gov.ph/GEPSNONPILOT/Tender/SplashBidNoticeAbstractUI.aspx?menuIndex=3&amp;refID=7087096&amp;Result=3","7087096")</f>
        <v>0</v>
      </c>
      <c r="B2977" t="s">
        <v>1135</v>
      </c>
      <c r="C2977" t="s">
        <v>6266</v>
      </c>
      <c r="D2977" t="s">
        <v>17449</v>
      </c>
      <c r="E2977" t="s">
        <v>20081</v>
      </c>
      <c r="F2977" t="s">
        <v>30052</v>
      </c>
      <c r="G2977" t="s">
        <v>30059</v>
      </c>
      <c r="H2977" t="s">
        <v>30067</v>
      </c>
      <c r="I2977" t="s">
        <v>3693</v>
      </c>
      <c r="J2977" t="s">
        <v>30574</v>
      </c>
      <c r="K2977" t="s">
        <v>39046</v>
      </c>
      <c r="M2977" t="s">
        <v>40478</v>
      </c>
      <c r="N2977" t="s">
        <v>43166</v>
      </c>
      <c r="O2977" t="s">
        <v>43167</v>
      </c>
      <c r="P2977">
        <v>0</v>
      </c>
      <c r="Q2977">
        <v>1</v>
      </c>
      <c r="R2977" t="s">
        <v>43170</v>
      </c>
      <c r="S2977" t="s">
        <v>43297</v>
      </c>
      <c r="T2977" t="s">
        <v>44777</v>
      </c>
      <c r="U2977" t="s">
        <v>47643</v>
      </c>
      <c r="W2977" t="s">
        <v>40478</v>
      </c>
      <c r="X2977" t="s">
        <v>43171</v>
      </c>
    </row>
    <row r="2978" spans="1:24">
      <c r="A2978">
        <f>HYPERLINK("https://www.philgeps.gov.ph/GEPSNONPILOT/Tender/SplashBidNoticeAbstractUI.aspx?menuIndex=3&amp;refID=7071005&amp;Result=3","7071005")</f>
        <v>0</v>
      </c>
      <c r="B2978" t="s">
        <v>1142</v>
      </c>
      <c r="C2978" t="s">
        <v>6267</v>
      </c>
      <c r="E2978" t="s">
        <v>20082</v>
      </c>
      <c r="F2978" t="s">
        <v>30052</v>
      </c>
      <c r="G2978" t="s">
        <v>30058</v>
      </c>
      <c r="H2978" t="s">
        <v>15498</v>
      </c>
      <c r="I2978" t="s">
        <v>30076</v>
      </c>
      <c r="J2978" t="s">
        <v>32198</v>
      </c>
      <c r="K2978" t="s">
        <v>39025</v>
      </c>
      <c r="M2978" t="s">
        <v>40485</v>
      </c>
      <c r="N2978" t="s">
        <v>43166</v>
      </c>
      <c r="O2978" t="s">
        <v>43167</v>
      </c>
      <c r="P2978">
        <v>0</v>
      </c>
      <c r="Q2978">
        <v>5</v>
      </c>
      <c r="R2978" t="s">
        <v>43171</v>
      </c>
      <c r="S2978" t="s">
        <v>43311</v>
      </c>
      <c r="T2978" t="s">
        <v>44828</v>
      </c>
      <c r="U2978" t="s">
        <v>47644</v>
      </c>
      <c r="W2978" t="s">
        <v>40485</v>
      </c>
      <c r="X2978" t="s">
        <v>43178</v>
      </c>
    </row>
    <row r="2979" spans="1:24">
      <c r="A2979">
        <f>HYPERLINK("https://www.philgeps.gov.ph/GEPSNONPILOT/Tender/SplashBidNoticeAbstractUI.aspx?menuIndex=3&amp;refID=7070995&amp;Result=3","7070995")</f>
        <v>0</v>
      </c>
      <c r="B2979" t="s">
        <v>1142</v>
      </c>
      <c r="C2979" t="s">
        <v>6268</v>
      </c>
      <c r="E2979" t="s">
        <v>20083</v>
      </c>
      <c r="F2979" t="s">
        <v>30052</v>
      </c>
      <c r="G2979" t="s">
        <v>30058</v>
      </c>
      <c r="H2979" t="s">
        <v>15498</v>
      </c>
      <c r="I2979" t="s">
        <v>30076</v>
      </c>
      <c r="J2979" t="s">
        <v>32199</v>
      </c>
      <c r="K2979" t="s">
        <v>39025</v>
      </c>
      <c r="M2979" t="s">
        <v>40485</v>
      </c>
      <c r="N2979" t="s">
        <v>43166</v>
      </c>
      <c r="O2979" t="s">
        <v>43167</v>
      </c>
      <c r="P2979">
        <v>0</v>
      </c>
      <c r="Q2979">
        <v>6</v>
      </c>
      <c r="R2979" t="s">
        <v>43171</v>
      </c>
      <c r="S2979" t="s">
        <v>43311</v>
      </c>
      <c r="T2979" t="s">
        <v>44828</v>
      </c>
      <c r="U2979" t="s">
        <v>47645</v>
      </c>
      <c r="W2979" t="s">
        <v>40485</v>
      </c>
      <c r="X2979" t="s">
        <v>43178</v>
      </c>
    </row>
    <row r="2980" spans="1:24">
      <c r="A2980">
        <f>HYPERLINK("https://www.philgeps.gov.ph/GEPSNONPILOT/Tender/SplashBidNoticeAbstractUI.aspx?menuIndex=3&amp;refID=7031801&amp;Result=3","7031801")</f>
        <v>0</v>
      </c>
      <c r="B2980" t="s">
        <v>1138</v>
      </c>
      <c r="C2980" t="s">
        <v>6269</v>
      </c>
      <c r="D2980" t="s">
        <v>17466</v>
      </c>
      <c r="E2980" t="s">
        <v>17919</v>
      </c>
      <c r="F2980" t="s">
        <v>30052</v>
      </c>
      <c r="G2980" t="s">
        <v>30059</v>
      </c>
      <c r="H2980" t="s">
        <v>15498</v>
      </c>
      <c r="I2980" t="s">
        <v>4119</v>
      </c>
      <c r="J2980" t="s">
        <v>32200</v>
      </c>
      <c r="K2980" t="s">
        <v>39017</v>
      </c>
      <c r="M2980" t="s">
        <v>40481</v>
      </c>
      <c r="N2980" t="s">
        <v>43166</v>
      </c>
      <c r="O2980" t="s">
        <v>43167</v>
      </c>
      <c r="P2980">
        <v>0</v>
      </c>
      <c r="Q2980">
        <v>1</v>
      </c>
      <c r="R2980" t="s">
        <v>43171</v>
      </c>
      <c r="S2980" t="s">
        <v>43311</v>
      </c>
      <c r="T2980" t="s">
        <v>44729</v>
      </c>
      <c r="U2980" t="s">
        <v>47646</v>
      </c>
      <c r="V2980" t="s">
        <v>57167</v>
      </c>
      <c r="W2980" t="s">
        <v>40481</v>
      </c>
      <c r="X2980" t="s">
        <v>43197</v>
      </c>
    </row>
    <row r="2981" spans="1:24">
      <c r="A2981">
        <f>HYPERLINK("https://www.philgeps.gov.ph/GEPSNONPILOT/Tender/SplashBidNoticeAbstractUI.aspx?menuIndex=3&amp;refID=7067911&amp;Result=3","7067911")</f>
        <v>0</v>
      </c>
      <c r="B2981" t="s">
        <v>1143</v>
      </c>
      <c r="C2981" t="s">
        <v>6270</v>
      </c>
      <c r="D2981" t="s">
        <v>17449</v>
      </c>
      <c r="E2981" t="s">
        <v>20084</v>
      </c>
      <c r="F2981" t="s">
        <v>30052</v>
      </c>
      <c r="G2981" t="s">
        <v>30059</v>
      </c>
      <c r="H2981" t="s">
        <v>15498</v>
      </c>
      <c r="I2981" t="s">
        <v>30146</v>
      </c>
      <c r="J2981" t="s">
        <v>30868</v>
      </c>
      <c r="K2981" t="s">
        <v>39040</v>
      </c>
      <c r="M2981" t="s">
        <v>40486</v>
      </c>
      <c r="N2981" t="s">
        <v>43166</v>
      </c>
      <c r="O2981" t="s">
        <v>43167</v>
      </c>
      <c r="P2981">
        <v>0</v>
      </c>
      <c r="Q2981">
        <v>1</v>
      </c>
      <c r="R2981" t="s">
        <v>43171</v>
      </c>
      <c r="S2981" t="s">
        <v>43311</v>
      </c>
      <c r="T2981" t="s">
        <v>44787</v>
      </c>
      <c r="U2981" t="s">
        <v>47077</v>
      </c>
      <c r="W2981" t="s">
        <v>40486</v>
      </c>
      <c r="X2981" t="s">
        <v>43179</v>
      </c>
    </row>
    <row r="2982" spans="1:24">
      <c r="A2982">
        <f>HYPERLINK("https://www.philgeps.gov.ph/GEPSNONPILOT/Tender/SplashBidNoticeAbstractUI.aspx?menuIndex=3&amp;refID=7070990&amp;Result=3","7070990")</f>
        <v>0</v>
      </c>
      <c r="B2982" t="s">
        <v>1142</v>
      </c>
      <c r="C2982" t="s">
        <v>6271</v>
      </c>
      <c r="E2982" t="s">
        <v>20085</v>
      </c>
      <c r="F2982" t="s">
        <v>30052</v>
      </c>
      <c r="G2982" t="s">
        <v>30058</v>
      </c>
      <c r="H2982" t="s">
        <v>15498</v>
      </c>
      <c r="I2982" t="s">
        <v>30076</v>
      </c>
      <c r="J2982" t="s">
        <v>32201</v>
      </c>
      <c r="K2982" t="s">
        <v>39025</v>
      </c>
      <c r="M2982" t="s">
        <v>40485</v>
      </c>
      <c r="N2982" t="s">
        <v>43166</v>
      </c>
      <c r="O2982" t="s">
        <v>43167</v>
      </c>
      <c r="P2982">
        <v>0</v>
      </c>
      <c r="Q2982">
        <v>14</v>
      </c>
      <c r="R2982" t="s">
        <v>43171</v>
      </c>
      <c r="S2982" t="s">
        <v>43311</v>
      </c>
      <c r="T2982" t="s">
        <v>44828</v>
      </c>
      <c r="U2982" t="s">
        <v>47647</v>
      </c>
      <c r="W2982" t="s">
        <v>40485</v>
      </c>
      <c r="X2982" t="s">
        <v>43178</v>
      </c>
    </row>
    <row r="2983" spans="1:24">
      <c r="A2983">
        <f>HYPERLINK("https://www.philgeps.gov.ph/GEPSNONPILOT/Tender/SplashBidNoticeAbstractUI.aspx?menuIndex=3&amp;refID=7065645&amp;Result=3","7065645")</f>
        <v>0</v>
      </c>
      <c r="B2983" t="s">
        <v>1144</v>
      </c>
      <c r="C2983" t="s">
        <v>6272</v>
      </c>
      <c r="D2983" t="s">
        <v>17444</v>
      </c>
      <c r="E2983" t="s">
        <v>20086</v>
      </c>
      <c r="F2983" t="s">
        <v>30052</v>
      </c>
      <c r="G2983" t="s">
        <v>30058</v>
      </c>
      <c r="H2983" t="s">
        <v>15498</v>
      </c>
      <c r="I2983" t="s">
        <v>4650</v>
      </c>
      <c r="J2983" t="s">
        <v>30953</v>
      </c>
      <c r="K2983" t="s">
        <v>39029</v>
      </c>
      <c r="M2983" t="s">
        <v>40487</v>
      </c>
      <c r="N2983" t="s">
        <v>43166</v>
      </c>
      <c r="O2983" t="s">
        <v>43167</v>
      </c>
      <c r="P2983">
        <v>0</v>
      </c>
      <c r="Q2983">
        <v>4</v>
      </c>
      <c r="R2983" t="s">
        <v>43171</v>
      </c>
      <c r="S2983" t="s">
        <v>43311</v>
      </c>
      <c r="T2983" t="s">
        <v>44703</v>
      </c>
      <c r="U2983" t="s">
        <v>47648</v>
      </c>
      <c r="W2983" t="s">
        <v>40487</v>
      </c>
      <c r="X2983" t="s">
        <v>43180</v>
      </c>
    </row>
    <row r="2984" spans="1:24">
      <c r="A2984">
        <f>HYPERLINK("https://www.philgeps.gov.ph/GEPSNONPILOT/Tender/SplashBidNoticeAbstractUI.aspx?menuIndex=3&amp;refID=7070432&amp;Result=3","7070432")</f>
        <v>0</v>
      </c>
      <c r="B2984" t="s">
        <v>1145</v>
      </c>
      <c r="C2984" t="s">
        <v>6273</v>
      </c>
      <c r="D2984" t="s">
        <v>17465</v>
      </c>
      <c r="E2984" t="s">
        <v>20087</v>
      </c>
      <c r="F2984" t="s">
        <v>30052</v>
      </c>
      <c r="G2984" t="s">
        <v>30058</v>
      </c>
      <c r="H2984" t="s">
        <v>15498</v>
      </c>
      <c r="I2984" t="s">
        <v>7228</v>
      </c>
      <c r="J2984" t="s">
        <v>32202</v>
      </c>
      <c r="K2984" t="s">
        <v>39017</v>
      </c>
      <c r="M2984" t="s">
        <v>40488</v>
      </c>
      <c r="N2984" t="s">
        <v>43166</v>
      </c>
      <c r="O2984" t="s">
        <v>43167</v>
      </c>
      <c r="P2984">
        <v>0</v>
      </c>
      <c r="Q2984">
        <v>1</v>
      </c>
      <c r="R2984" t="s">
        <v>43171</v>
      </c>
      <c r="S2984" t="s">
        <v>43311</v>
      </c>
      <c r="T2984" t="s">
        <v>44847</v>
      </c>
      <c r="U2984" t="s">
        <v>47649</v>
      </c>
      <c r="W2984" t="s">
        <v>40488</v>
      </c>
      <c r="X2984" t="s">
        <v>43178</v>
      </c>
    </row>
    <row r="2985" spans="1:24">
      <c r="A2985">
        <f>HYPERLINK("https://www.philgeps.gov.ph/GEPSNONPILOT/Tender/SplashBidNoticeAbstractUI.aspx?menuIndex=3&amp;refID=7087086&amp;Result=3","7087086")</f>
        <v>0</v>
      </c>
      <c r="B2985" t="s">
        <v>1123</v>
      </c>
      <c r="C2985" t="s">
        <v>6274</v>
      </c>
      <c r="D2985" t="s">
        <v>17464</v>
      </c>
      <c r="E2985" t="s">
        <v>20088</v>
      </c>
      <c r="F2985" t="s">
        <v>30052</v>
      </c>
      <c r="G2985" t="s">
        <v>30058</v>
      </c>
      <c r="H2985" t="s">
        <v>15498</v>
      </c>
      <c r="I2985" t="s">
        <v>4119</v>
      </c>
      <c r="J2985" t="s">
        <v>32203</v>
      </c>
      <c r="K2985" t="s">
        <v>39023</v>
      </c>
      <c r="M2985" t="s">
        <v>40463</v>
      </c>
      <c r="N2985" t="s">
        <v>43166</v>
      </c>
      <c r="O2985" t="s">
        <v>43167</v>
      </c>
      <c r="P2985">
        <v>0</v>
      </c>
      <c r="Q2985">
        <v>1</v>
      </c>
      <c r="R2985" t="s">
        <v>43170</v>
      </c>
      <c r="S2985" t="s">
        <v>43297</v>
      </c>
      <c r="T2985" t="s">
        <v>44786</v>
      </c>
      <c r="U2985" t="s">
        <v>47650</v>
      </c>
      <c r="W2985" t="s">
        <v>40463</v>
      </c>
      <c r="X2985" t="s">
        <v>43171</v>
      </c>
    </row>
    <row r="2986" spans="1:24">
      <c r="A2986">
        <f>HYPERLINK("https://www.philgeps.gov.ph/GEPSNONPILOT/Tender/SplashBidNoticeAbstractUI.aspx?menuIndex=3&amp;refID=7067994&amp;Result=3","7067994")</f>
        <v>0</v>
      </c>
      <c r="B2986" t="s">
        <v>1143</v>
      </c>
      <c r="C2986" t="s">
        <v>6275</v>
      </c>
      <c r="D2986" t="s">
        <v>17449</v>
      </c>
      <c r="E2986" t="s">
        <v>20089</v>
      </c>
      <c r="F2986" t="s">
        <v>30052</v>
      </c>
      <c r="G2986" t="s">
        <v>30059</v>
      </c>
      <c r="H2986" t="s">
        <v>30067</v>
      </c>
      <c r="I2986" t="s">
        <v>30071</v>
      </c>
      <c r="J2986" t="s">
        <v>32204</v>
      </c>
      <c r="K2986" t="s">
        <v>39017</v>
      </c>
      <c r="M2986" t="s">
        <v>40486</v>
      </c>
      <c r="N2986" t="s">
        <v>43166</v>
      </c>
      <c r="O2986" t="s">
        <v>43167</v>
      </c>
      <c r="P2986">
        <v>0</v>
      </c>
      <c r="Q2986">
        <v>0</v>
      </c>
      <c r="R2986" t="s">
        <v>43171</v>
      </c>
      <c r="S2986" t="s">
        <v>43311</v>
      </c>
      <c r="T2986" t="s">
        <v>44787</v>
      </c>
      <c r="U2986" t="s">
        <v>47077</v>
      </c>
      <c r="W2986" t="s">
        <v>40486</v>
      </c>
      <c r="X2986" t="s">
        <v>43179</v>
      </c>
    </row>
    <row r="2987" spans="1:24">
      <c r="A2987">
        <f>HYPERLINK("https://www.philgeps.gov.ph/GEPSNONPILOT/Tender/SplashBidNoticeAbstractUI.aspx?menuIndex=3&amp;refID=7064700&amp;Result=3","7064700")</f>
        <v>0</v>
      </c>
      <c r="B2987" t="s">
        <v>1146</v>
      </c>
      <c r="C2987" t="s">
        <v>3596</v>
      </c>
      <c r="D2987" t="s">
        <v>17417</v>
      </c>
      <c r="E2987" t="s">
        <v>20090</v>
      </c>
      <c r="F2987" t="s">
        <v>30052</v>
      </c>
      <c r="G2987" t="s">
        <v>30058</v>
      </c>
      <c r="H2987" t="s">
        <v>30067</v>
      </c>
      <c r="I2987" t="s">
        <v>3693</v>
      </c>
      <c r="J2987" t="s">
        <v>30218</v>
      </c>
      <c r="K2987" t="s">
        <v>39028</v>
      </c>
      <c r="M2987" t="s">
        <v>40489</v>
      </c>
      <c r="N2987" t="s">
        <v>43166</v>
      </c>
      <c r="O2987" t="s">
        <v>43167</v>
      </c>
      <c r="P2987">
        <v>0</v>
      </c>
      <c r="Q2987">
        <v>0</v>
      </c>
      <c r="R2987" t="s">
        <v>43171</v>
      </c>
      <c r="S2987" t="s">
        <v>43311</v>
      </c>
      <c r="T2987" t="s">
        <v>44710</v>
      </c>
      <c r="U2987" t="s">
        <v>47651</v>
      </c>
      <c r="W2987" t="s">
        <v>40489</v>
      </c>
      <c r="X2987" t="s">
        <v>43180</v>
      </c>
    </row>
    <row r="2988" spans="1:24">
      <c r="A2988">
        <f>HYPERLINK("https://www.philgeps.gov.ph/GEPSNONPILOT/Tender/SplashBidNoticeAbstractUI.aspx?menuIndex=3&amp;refID=7063436&amp;Result=3","7063436")</f>
        <v>0</v>
      </c>
      <c r="B2988" t="s">
        <v>63</v>
      </c>
      <c r="C2988" t="s">
        <v>6276</v>
      </c>
      <c r="E2988" t="s">
        <v>20091</v>
      </c>
      <c r="F2988" t="s">
        <v>30052</v>
      </c>
      <c r="G2988" t="s">
        <v>30061</v>
      </c>
      <c r="H2988" t="s">
        <v>15498</v>
      </c>
      <c r="I2988" t="s">
        <v>4119</v>
      </c>
      <c r="J2988" t="s">
        <v>32205</v>
      </c>
      <c r="K2988" t="s">
        <v>39025</v>
      </c>
      <c r="M2988" t="s">
        <v>39352</v>
      </c>
      <c r="N2988" t="s">
        <v>43166</v>
      </c>
      <c r="O2988" t="s">
        <v>43167</v>
      </c>
      <c r="P2988">
        <v>0</v>
      </c>
      <c r="Q2988">
        <v>1</v>
      </c>
      <c r="R2988" t="s">
        <v>43171</v>
      </c>
      <c r="S2988" t="s">
        <v>43311</v>
      </c>
      <c r="T2988" t="s">
        <v>44844</v>
      </c>
      <c r="U2988" t="s">
        <v>47652</v>
      </c>
      <c r="W2988" t="s">
        <v>39352</v>
      </c>
      <c r="X2988" t="s">
        <v>43181</v>
      </c>
    </row>
    <row r="2989" spans="1:24">
      <c r="A2989">
        <f>HYPERLINK("https://www.philgeps.gov.ph/GEPSNONPILOT/Tender/SplashBidNoticeAbstractUI.aspx?menuIndex=3&amp;refID=7067898&amp;Result=3","7067898")</f>
        <v>0</v>
      </c>
      <c r="B2989" t="s">
        <v>1147</v>
      </c>
      <c r="C2989" t="s">
        <v>6277</v>
      </c>
      <c r="D2989" t="s">
        <v>17434</v>
      </c>
      <c r="E2989" t="s">
        <v>20092</v>
      </c>
      <c r="F2989" t="s">
        <v>30052</v>
      </c>
      <c r="G2989" t="s">
        <v>30058</v>
      </c>
      <c r="H2989" t="s">
        <v>30067</v>
      </c>
      <c r="I2989" t="s">
        <v>3693</v>
      </c>
      <c r="J2989" t="s">
        <v>32206</v>
      </c>
      <c r="K2989" t="s">
        <v>39049</v>
      </c>
      <c r="M2989" t="s">
        <v>40490</v>
      </c>
      <c r="N2989" t="s">
        <v>43166</v>
      </c>
      <c r="O2989" t="s">
        <v>43167</v>
      </c>
      <c r="P2989">
        <v>0</v>
      </c>
      <c r="Q2989">
        <v>0</v>
      </c>
      <c r="R2989" t="s">
        <v>43171</v>
      </c>
      <c r="S2989" t="s">
        <v>43311</v>
      </c>
      <c r="T2989" t="s">
        <v>44715</v>
      </c>
      <c r="U2989" t="s">
        <v>47653</v>
      </c>
      <c r="W2989" t="s">
        <v>40490</v>
      </c>
      <c r="X2989" t="s">
        <v>43179</v>
      </c>
    </row>
    <row r="2990" spans="1:24">
      <c r="A2990">
        <f>HYPERLINK("https://www.philgeps.gov.ph/GEPSNONPILOT/Tender/SplashBidNoticeAbstractUI.aspx?menuIndex=3&amp;refID=7062436&amp;Result=3","7062436")</f>
        <v>0</v>
      </c>
      <c r="B2990" t="s">
        <v>63</v>
      </c>
      <c r="C2990" t="s">
        <v>6278</v>
      </c>
      <c r="E2990" t="s">
        <v>20093</v>
      </c>
      <c r="F2990" t="s">
        <v>30052</v>
      </c>
      <c r="G2990" t="s">
        <v>30061</v>
      </c>
      <c r="H2990" t="s">
        <v>15498</v>
      </c>
      <c r="I2990" t="s">
        <v>4119</v>
      </c>
      <c r="J2990" t="s">
        <v>32207</v>
      </c>
      <c r="K2990" t="s">
        <v>39025</v>
      </c>
      <c r="M2990" t="s">
        <v>39352</v>
      </c>
      <c r="N2990" t="s">
        <v>43166</v>
      </c>
      <c r="O2990" t="s">
        <v>43167</v>
      </c>
      <c r="P2990">
        <v>0</v>
      </c>
      <c r="Q2990">
        <v>3</v>
      </c>
      <c r="R2990" t="s">
        <v>43171</v>
      </c>
      <c r="S2990" t="s">
        <v>43311</v>
      </c>
      <c r="T2990" t="s">
        <v>44844</v>
      </c>
      <c r="U2990" t="s">
        <v>47652</v>
      </c>
      <c r="W2990" t="s">
        <v>39352</v>
      </c>
      <c r="X2990" t="s">
        <v>43181</v>
      </c>
    </row>
    <row r="2991" spans="1:24">
      <c r="A2991">
        <f>HYPERLINK("https://www.philgeps.gov.ph/GEPSNONPILOT/Tender/SplashBidNoticeAbstractUI.aspx?menuIndex=3&amp;refID=7050833&amp;Result=3","7050833")</f>
        <v>0</v>
      </c>
      <c r="B2991" t="s">
        <v>784</v>
      </c>
      <c r="C2991" t="s">
        <v>6279</v>
      </c>
      <c r="E2991" t="s">
        <v>20094</v>
      </c>
      <c r="F2991" t="s">
        <v>30052</v>
      </c>
      <c r="G2991" t="s">
        <v>30058</v>
      </c>
      <c r="H2991" t="s">
        <v>15498</v>
      </c>
      <c r="I2991" t="s">
        <v>5961</v>
      </c>
      <c r="J2991" t="s">
        <v>30600</v>
      </c>
      <c r="K2991" t="s">
        <v>39025</v>
      </c>
      <c r="M2991" t="s">
        <v>40101</v>
      </c>
      <c r="N2991" t="s">
        <v>43166</v>
      </c>
      <c r="O2991" t="s">
        <v>43167</v>
      </c>
      <c r="P2991">
        <v>0</v>
      </c>
      <c r="Q2991">
        <v>3</v>
      </c>
      <c r="R2991" t="s">
        <v>43171</v>
      </c>
      <c r="S2991" t="s">
        <v>43311</v>
      </c>
      <c r="T2991" t="s">
        <v>44699</v>
      </c>
      <c r="U2991" t="s">
        <v>47654</v>
      </c>
      <c r="V2991" t="s">
        <v>57164</v>
      </c>
      <c r="W2991" t="s">
        <v>40101</v>
      </c>
      <c r="X2991" t="s">
        <v>43187</v>
      </c>
    </row>
    <row r="2992" spans="1:24">
      <c r="A2992">
        <f>HYPERLINK("https://www.philgeps.gov.ph/GEPSNONPILOT/Tender/SplashBidNoticeAbstractUI.aspx?menuIndex=3&amp;refID=7050817&amp;Result=3","7050817")</f>
        <v>0</v>
      </c>
      <c r="B2992" t="s">
        <v>784</v>
      </c>
      <c r="C2992" t="s">
        <v>6280</v>
      </c>
      <c r="E2992" t="s">
        <v>20095</v>
      </c>
      <c r="F2992" t="s">
        <v>30052</v>
      </c>
      <c r="G2992" t="s">
        <v>30058</v>
      </c>
      <c r="H2992" t="s">
        <v>15498</v>
      </c>
      <c r="I2992" t="s">
        <v>30111</v>
      </c>
      <c r="J2992" t="s">
        <v>32208</v>
      </c>
      <c r="K2992" t="s">
        <v>39025</v>
      </c>
      <c r="M2992" t="s">
        <v>40101</v>
      </c>
      <c r="N2992" t="s">
        <v>43166</v>
      </c>
      <c r="O2992" t="s">
        <v>43167</v>
      </c>
      <c r="P2992">
        <v>0</v>
      </c>
      <c r="Q2992">
        <v>2</v>
      </c>
      <c r="R2992" t="s">
        <v>43171</v>
      </c>
      <c r="S2992" t="s">
        <v>43311</v>
      </c>
      <c r="T2992" t="s">
        <v>44699</v>
      </c>
      <c r="U2992" t="s">
        <v>47655</v>
      </c>
      <c r="V2992" t="s">
        <v>57164</v>
      </c>
      <c r="W2992" t="s">
        <v>40101</v>
      </c>
      <c r="X2992" t="s">
        <v>43187</v>
      </c>
    </row>
    <row r="2993" spans="1:24">
      <c r="A2993">
        <f>HYPERLINK("https://www.philgeps.gov.ph/GEPSNONPILOT/Tender/SplashBidNoticeAbstractUI.aspx?menuIndex=3&amp;refID=7087114&amp;Result=3","7087114")</f>
        <v>0</v>
      </c>
      <c r="B2993" t="s">
        <v>509</v>
      </c>
      <c r="C2993" t="s">
        <v>6281</v>
      </c>
      <c r="D2993" t="s">
        <v>17415</v>
      </c>
      <c r="E2993" t="s">
        <v>20096</v>
      </c>
      <c r="F2993" t="s">
        <v>30052</v>
      </c>
      <c r="G2993" t="s">
        <v>30059</v>
      </c>
      <c r="H2993" t="s">
        <v>30068</v>
      </c>
      <c r="I2993" t="s">
        <v>30068</v>
      </c>
      <c r="J2993" t="s">
        <v>32209</v>
      </c>
      <c r="K2993" t="s">
        <v>39051</v>
      </c>
      <c r="M2993" t="s">
        <v>39810</v>
      </c>
      <c r="N2993" t="s">
        <v>43166</v>
      </c>
      <c r="O2993" t="s">
        <v>43167</v>
      </c>
      <c r="P2993">
        <v>0</v>
      </c>
      <c r="Q2993">
        <v>1</v>
      </c>
      <c r="R2993" t="s">
        <v>43170</v>
      </c>
      <c r="S2993" t="s">
        <v>43297</v>
      </c>
      <c r="T2993" t="s">
        <v>44710</v>
      </c>
      <c r="U2993" t="s">
        <v>46172</v>
      </c>
      <c r="W2993" t="s">
        <v>39810</v>
      </c>
      <c r="X2993" t="s">
        <v>43171</v>
      </c>
    </row>
    <row r="2994" spans="1:24">
      <c r="A2994">
        <f>HYPERLINK("https://www.philgeps.gov.ph/GEPSNONPILOT/Tender/SplashBidNoticeAbstractUI.aspx?menuIndex=3&amp;refID=7064739&amp;Result=3","7064739")</f>
        <v>0</v>
      </c>
      <c r="B2994" t="s">
        <v>1148</v>
      </c>
      <c r="C2994" t="s">
        <v>3596</v>
      </c>
      <c r="D2994" t="s">
        <v>17417</v>
      </c>
      <c r="E2994" t="s">
        <v>20097</v>
      </c>
      <c r="F2994" t="s">
        <v>30052</v>
      </c>
      <c r="G2994" t="s">
        <v>30058</v>
      </c>
      <c r="H2994" t="s">
        <v>30067</v>
      </c>
      <c r="I2994" t="s">
        <v>3693</v>
      </c>
      <c r="J2994" t="s">
        <v>30207</v>
      </c>
      <c r="K2994" t="s">
        <v>39041</v>
      </c>
      <c r="M2994" t="s">
        <v>40491</v>
      </c>
      <c r="N2994" t="s">
        <v>43166</v>
      </c>
      <c r="O2994" t="s">
        <v>43167</v>
      </c>
      <c r="P2994">
        <v>0</v>
      </c>
      <c r="Q2994">
        <v>0</v>
      </c>
      <c r="R2994" t="s">
        <v>43171</v>
      </c>
      <c r="S2994" t="s">
        <v>43311</v>
      </c>
      <c r="T2994" t="s">
        <v>44710</v>
      </c>
      <c r="U2994" t="s">
        <v>47656</v>
      </c>
      <c r="W2994" t="s">
        <v>40491</v>
      </c>
      <c r="X2994" t="s">
        <v>43180</v>
      </c>
    </row>
    <row r="2995" spans="1:24">
      <c r="A2995">
        <f>HYPERLINK("https://www.philgeps.gov.ph/GEPSNONPILOT/Tender/SplashBidNoticeAbstractUI.aspx?menuIndex=3&amp;refID=7077187&amp;Result=3","7077187")</f>
        <v>0</v>
      </c>
      <c r="B2995" t="s">
        <v>175</v>
      </c>
      <c r="C2995" t="s">
        <v>6282</v>
      </c>
      <c r="D2995" t="s">
        <v>17476</v>
      </c>
      <c r="E2995" t="s">
        <v>20098</v>
      </c>
      <c r="F2995" t="s">
        <v>30052</v>
      </c>
      <c r="G2995" t="s">
        <v>30058</v>
      </c>
      <c r="H2995" t="s">
        <v>15498</v>
      </c>
      <c r="I2995" t="s">
        <v>3852</v>
      </c>
      <c r="J2995" t="s">
        <v>32210</v>
      </c>
      <c r="K2995" t="s">
        <v>39029</v>
      </c>
      <c r="M2995" t="s">
        <v>39464</v>
      </c>
      <c r="N2995" t="s">
        <v>43166</v>
      </c>
      <c r="O2995" t="s">
        <v>43167</v>
      </c>
      <c r="P2995">
        <v>0</v>
      </c>
      <c r="Q2995">
        <v>1</v>
      </c>
      <c r="R2995" t="s">
        <v>43171</v>
      </c>
      <c r="S2995" t="s">
        <v>43311</v>
      </c>
      <c r="T2995" t="s">
        <v>44752</v>
      </c>
      <c r="U2995" t="s">
        <v>47657</v>
      </c>
      <c r="V2995" t="s">
        <v>57168</v>
      </c>
      <c r="W2995" t="s">
        <v>39464</v>
      </c>
      <c r="X2995" t="s">
        <v>43174</v>
      </c>
    </row>
    <row r="2996" spans="1:24">
      <c r="A2996">
        <f>HYPERLINK("https://www.philgeps.gov.ph/GEPSNONPILOT/Tender/SplashBidNoticeAbstractUI.aspx?menuIndex=3&amp;refID=7071012&amp;Result=3","7071012")</f>
        <v>0</v>
      </c>
      <c r="B2996" t="s">
        <v>1142</v>
      </c>
      <c r="C2996" t="s">
        <v>6283</v>
      </c>
      <c r="E2996" t="s">
        <v>20099</v>
      </c>
      <c r="F2996" t="s">
        <v>30052</v>
      </c>
      <c r="G2996" t="s">
        <v>30058</v>
      </c>
      <c r="H2996" t="s">
        <v>15498</v>
      </c>
      <c r="I2996" t="s">
        <v>30076</v>
      </c>
      <c r="J2996" t="s">
        <v>32211</v>
      </c>
      <c r="K2996" t="s">
        <v>39025</v>
      </c>
      <c r="M2996" t="s">
        <v>40485</v>
      </c>
      <c r="N2996" t="s">
        <v>43166</v>
      </c>
      <c r="O2996" t="s">
        <v>43167</v>
      </c>
      <c r="P2996">
        <v>0</v>
      </c>
      <c r="Q2996">
        <v>14</v>
      </c>
      <c r="R2996" t="s">
        <v>43171</v>
      </c>
      <c r="S2996" t="s">
        <v>43311</v>
      </c>
      <c r="T2996" t="s">
        <v>44828</v>
      </c>
      <c r="U2996" t="s">
        <v>47658</v>
      </c>
      <c r="W2996" t="s">
        <v>40485</v>
      </c>
      <c r="X2996" t="s">
        <v>43178</v>
      </c>
    </row>
    <row r="2997" spans="1:24">
      <c r="A2997">
        <f>HYPERLINK("https://www.philgeps.gov.ph/GEPSNONPILOT/Tender/SplashBidNoticeAbstractUI.aspx?menuIndex=3&amp;refID=7077079&amp;Result=3","7077079")</f>
        <v>0</v>
      </c>
      <c r="B2997" t="s">
        <v>658</v>
      </c>
      <c r="C2997" t="s">
        <v>6284</v>
      </c>
      <c r="D2997" t="s">
        <v>17460</v>
      </c>
      <c r="E2997" t="s">
        <v>20100</v>
      </c>
      <c r="F2997" t="s">
        <v>30052</v>
      </c>
      <c r="G2997" t="s">
        <v>30059</v>
      </c>
      <c r="H2997" t="s">
        <v>15498</v>
      </c>
      <c r="I2997" t="s">
        <v>3852</v>
      </c>
      <c r="J2997" t="s">
        <v>32212</v>
      </c>
      <c r="K2997" t="s">
        <v>39017</v>
      </c>
      <c r="M2997" t="s">
        <v>40492</v>
      </c>
      <c r="N2997" t="s">
        <v>43166</v>
      </c>
      <c r="O2997" t="s">
        <v>43167</v>
      </c>
      <c r="P2997">
        <v>0</v>
      </c>
      <c r="Q2997">
        <v>1</v>
      </c>
      <c r="R2997" t="s">
        <v>43171</v>
      </c>
      <c r="S2997" t="s">
        <v>43311</v>
      </c>
      <c r="T2997" t="s">
        <v>44787</v>
      </c>
      <c r="U2997" t="s">
        <v>47659</v>
      </c>
      <c r="V2997" t="s">
        <v>57169</v>
      </c>
      <c r="W2997" t="s">
        <v>40492</v>
      </c>
      <c r="X2997" t="s">
        <v>43174</v>
      </c>
    </row>
    <row r="2998" spans="1:24">
      <c r="A2998">
        <f>HYPERLINK("https://www.philgeps.gov.ph/GEPSNONPILOT/Tender/SplashBidNoticeAbstractUI.aspx?menuIndex=3&amp;refID=7077041&amp;Result=3","7077041")</f>
        <v>0</v>
      </c>
      <c r="B2998" t="s">
        <v>1149</v>
      </c>
      <c r="C2998" t="s">
        <v>6285</v>
      </c>
      <c r="D2998" t="s">
        <v>17415</v>
      </c>
      <c r="E2998" t="s">
        <v>20101</v>
      </c>
      <c r="F2998" t="s">
        <v>30052</v>
      </c>
      <c r="G2998" t="s">
        <v>30058</v>
      </c>
      <c r="H2998" t="s">
        <v>15498</v>
      </c>
      <c r="I2998" t="s">
        <v>3606</v>
      </c>
      <c r="J2998" t="s">
        <v>32213</v>
      </c>
      <c r="K2998" t="s">
        <v>39025</v>
      </c>
      <c r="M2998" t="s">
        <v>40493</v>
      </c>
      <c r="N2998" t="s">
        <v>43166</v>
      </c>
      <c r="O2998" t="s">
        <v>43167</v>
      </c>
      <c r="P2998">
        <v>0</v>
      </c>
      <c r="Q2998">
        <v>30</v>
      </c>
      <c r="R2998" t="s">
        <v>43171</v>
      </c>
      <c r="S2998" t="s">
        <v>43311</v>
      </c>
      <c r="T2998" t="s">
        <v>44752</v>
      </c>
      <c r="U2998" t="s">
        <v>47660</v>
      </c>
      <c r="W2998" t="s">
        <v>40493</v>
      </c>
      <c r="X2998" t="s">
        <v>43174</v>
      </c>
    </row>
    <row r="2999" spans="1:24">
      <c r="A2999">
        <f>HYPERLINK("https://www.philgeps.gov.ph/GEPSNONPILOT/Tender/SplashBidNoticeAbstractUI.aspx?menuIndex=3&amp;refID=7050813&amp;Result=3","7050813")</f>
        <v>0</v>
      </c>
      <c r="B2999" t="s">
        <v>784</v>
      </c>
      <c r="C2999" t="s">
        <v>6286</v>
      </c>
      <c r="E2999" t="s">
        <v>20102</v>
      </c>
      <c r="F2999" t="s">
        <v>30052</v>
      </c>
      <c r="G2999" t="s">
        <v>30058</v>
      </c>
      <c r="H2999" t="s">
        <v>15498</v>
      </c>
      <c r="I2999" t="s">
        <v>30111</v>
      </c>
      <c r="J2999" t="s">
        <v>32214</v>
      </c>
      <c r="K2999" t="s">
        <v>39025</v>
      </c>
      <c r="M2999" t="s">
        <v>40101</v>
      </c>
      <c r="N2999" t="s">
        <v>43166</v>
      </c>
      <c r="O2999" t="s">
        <v>43167</v>
      </c>
      <c r="P2999">
        <v>0</v>
      </c>
      <c r="Q2999">
        <v>3</v>
      </c>
      <c r="R2999" t="s">
        <v>43171</v>
      </c>
      <c r="S2999" t="s">
        <v>43311</v>
      </c>
      <c r="T2999" t="s">
        <v>44699</v>
      </c>
      <c r="U2999" t="s">
        <v>47661</v>
      </c>
      <c r="V2999" t="s">
        <v>57164</v>
      </c>
      <c r="W2999" t="s">
        <v>40101</v>
      </c>
      <c r="X2999" t="s">
        <v>43187</v>
      </c>
    </row>
    <row r="3000" spans="1:24">
      <c r="A3000">
        <f>HYPERLINK("https://www.philgeps.gov.ph/GEPSNONPILOT/Tender/SplashBidNoticeAbstractUI.aspx?menuIndex=3&amp;refID=7076867&amp;Result=3","7076867")</f>
        <v>0</v>
      </c>
      <c r="B3000" t="s">
        <v>1150</v>
      </c>
      <c r="C3000" t="s">
        <v>6287</v>
      </c>
      <c r="D3000" t="s">
        <v>17458</v>
      </c>
      <c r="E3000" t="s">
        <v>20103</v>
      </c>
      <c r="F3000" t="s">
        <v>30052</v>
      </c>
      <c r="G3000" t="s">
        <v>30061</v>
      </c>
      <c r="H3000" t="s">
        <v>15498</v>
      </c>
      <c r="I3000" t="s">
        <v>3852</v>
      </c>
      <c r="J3000" t="s">
        <v>32215</v>
      </c>
      <c r="K3000" t="s">
        <v>39019</v>
      </c>
      <c r="M3000" t="s">
        <v>40494</v>
      </c>
      <c r="N3000" t="s">
        <v>43166</v>
      </c>
      <c r="O3000" t="s">
        <v>43167</v>
      </c>
      <c r="P3000">
        <v>0</v>
      </c>
      <c r="Q3000">
        <v>0</v>
      </c>
      <c r="R3000" t="s">
        <v>43171</v>
      </c>
      <c r="S3000" t="s">
        <v>43311</v>
      </c>
      <c r="T3000" t="s">
        <v>44734</v>
      </c>
      <c r="U3000" t="s">
        <v>47662</v>
      </c>
      <c r="W3000" t="s">
        <v>40494</v>
      </c>
      <c r="X3000" t="s">
        <v>43174</v>
      </c>
    </row>
    <row r="3001" spans="1:24">
      <c r="A3001">
        <f>HYPERLINK("https://www.philgeps.gov.ph/GEPSNONPILOT/Tender/SplashBidNoticeAbstractUI.aspx?menuIndex=3&amp;refID=7076790&amp;Result=3","7076790")</f>
        <v>0</v>
      </c>
      <c r="B3001" t="s">
        <v>1151</v>
      </c>
      <c r="C3001" t="s">
        <v>6288</v>
      </c>
      <c r="D3001" t="s">
        <v>17472</v>
      </c>
      <c r="E3001" t="s">
        <v>20104</v>
      </c>
      <c r="F3001" t="s">
        <v>30052</v>
      </c>
      <c r="G3001" t="s">
        <v>30061</v>
      </c>
      <c r="H3001" t="s">
        <v>15498</v>
      </c>
      <c r="I3001" t="s">
        <v>30125</v>
      </c>
      <c r="J3001" t="s">
        <v>30890</v>
      </c>
      <c r="K3001" t="s">
        <v>39029</v>
      </c>
      <c r="M3001" t="s">
        <v>40495</v>
      </c>
      <c r="N3001" t="s">
        <v>43166</v>
      </c>
      <c r="O3001" t="s">
        <v>43167</v>
      </c>
      <c r="P3001">
        <v>0</v>
      </c>
      <c r="Q3001">
        <v>2</v>
      </c>
      <c r="R3001" t="s">
        <v>43171</v>
      </c>
      <c r="S3001" t="s">
        <v>43311</v>
      </c>
      <c r="T3001" t="s">
        <v>44691</v>
      </c>
      <c r="U3001" t="s">
        <v>47663</v>
      </c>
      <c r="W3001" t="s">
        <v>40495</v>
      </c>
      <c r="X3001" t="s">
        <v>43174</v>
      </c>
    </row>
    <row r="3002" spans="1:24">
      <c r="A3002">
        <f>HYPERLINK("https://www.philgeps.gov.ph/GEPSNONPILOT/Tender/SplashBidNoticeAbstractUI.aspx?menuIndex=3&amp;refID=7076732&amp;Result=3","7076732")</f>
        <v>0</v>
      </c>
      <c r="B3002" t="s">
        <v>1149</v>
      </c>
      <c r="C3002" t="s">
        <v>6285</v>
      </c>
      <c r="D3002" t="s">
        <v>17415</v>
      </c>
      <c r="E3002" t="s">
        <v>20105</v>
      </c>
      <c r="F3002" t="s">
        <v>30052</v>
      </c>
      <c r="G3002" t="s">
        <v>30058</v>
      </c>
      <c r="H3002" t="s">
        <v>15498</v>
      </c>
      <c r="I3002" t="s">
        <v>3852</v>
      </c>
      <c r="J3002" t="s">
        <v>32216</v>
      </c>
      <c r="K3002" t="s">
        <v>39025</v>
      </c>
      <c r="M3002" t="s">
        <v>40493</v>
      </c>
      <c r="N3002" t="s">
        <v>43166</v>
      </c>
      <c r="O3002" t="s">
        <v>43167</v>
      </c>
      <c r="P3002">
        <v>0</v>
      </c>
      <c r="Q3002">
        <v>12</v>
      </c>
      <c r="R3002" t="s">
        <v>43171</v>
      </c>
      <c r="S3002" t="s">
        <v>43311</v>
      </c>
      <c r="T3002" t="s">
        <v>44752</v>
      </c>
      <c r="U3002" t="s">
        <v>47660</v>
      </c>
      <c r="W3002" t="s">
        <v>40493</v>
      </c>
      <c r="X3002" t="s">
        <v>43174</v>
      </c>
    </row>
    <row r="3003" spans="1:24">
      <c r="A3003">
        <f>HYPERLINK("https://www.philgeps.gov.ph/GEPSNONPILOT/Tender/SplashBidNoticeAbstractUI.aspx?menuIndex=3&amp;refID=7076443&amp;Result=3","7076443")</f>
        <v>0</v>
      </c>
      <c r="B3003" t="s">
        <v>1152</v>
      </c>
      <c r="C3003" t="s">
        <v>6289</v>
      </c>
      <c r="D3003" t="s">
        <v>17444</v>
      </c>
      <c r="E3003" t="s">
        <v>20106</v>
      </c>
      <c r="F3003" t="s">
        <v>30052</v>
      </c>
      <c r="G3003" t="s">
        <v>30059</v>
      </c>
      <c r="H3003" t="s">
        <v>15498</v>
      </c>
      <c r="I3003" t="s">
        <v>3736</v>
      </c>
      <c r="J3003" t="s">
        <v>32217</v>
      </c>
      <c r="K3003" t="s">
        <v>39029</v>
      </c>
      <c r="M3003" t="s">
        <v>40496</v>
      </c>
      <c r="N3003" t="s">
        <v>43166</v>
      </c>
      <c r="O3003" t="s">
        <v>43167</v>
      </c>
      <c r="P3003">
        <v>0</v>
      </c>
      <c r="Q3003">
        <v>1</v>
      </c>
      <c r="R3003" t="s">
        <v>43171</v>
      </c>
      <c r="S3003" t="s">
        <v>43311</v>
      </c>
      <c r="T3003" t="s">
        <v>44856</v>
      </c>
      <c r="U3003" t="s">
        <v>47664</v>
      </c>
      <c r="V3003" t="s">
        <v>57170</v>
      </c>
      <c r="W3003" t="s">
        <v>40496</v>
      </c>
      <c r="X3003" t="s">
        <v>43174</v>
      </c>
    </row>
    <row r="3004" spans="1:24">
      <c r="A3004">
        <f>HYPERLINK("https://www.philgeps.gov.ph/GEPSNONPILOT/Tender/SplashBidNoticeAbstractUI.aspx?menuIndex=3&amp;refID=7063445&amp;Result=3","7063445")</f>
        <v>0</v>
      </c>
      <c r="B3004" t="s">
        <v>63</v>
      </c>
      <c r="C3004" t="s">
        <v>6290</v>
      </c>
      <c r="E3004" t="s">
        <v>20107</v>
      </c>
      <c r="F3004" t="s">
        <v>30052</v>
      </c>
      <c r="G3004" t="s">
        <v>30061</v>
      </c>
      <c r="H3004" t="s">
        <v>15498</v>
      </c>
      <c r="I3004" t="s">
        <v>4119</v>
      </c>
      <c r="J3004" t="s">
        <v>32218</v>
      </c>
      <c r="K3004" t="s">
        <v>39025</v>
      </c>
      <c r="M3004" t="s">
        <v>39352</v>
      </c>
      <c r="N3004" t="s">
        <v>43166</v>
      </c>
      <c r="O3004" t="s">
        <v>43167</v>
      </c>
      <c r="P3004">
        <v>0</v>
      </c>
      <c r="Q3004">
        <v>2</v>
      </c>
      <c r="R3004" t="s">
        <v>43171</v>
      </c>
      <c r="S3004" t="s">
        <v>43311</v>
      </c>
      <c r="T3004" t="s">
        <v>44844</v>
      </c>
      <c r="U3004" t="s">
        <v>47652</v>
      </c>
      <c r="W3004" t="s">
        <v>39352</v>
      </c>
      <c r="X3004" t="s">
        <v>43181</v>
      </c>
    </row>
    <row r="3005" spans="1:24">
      <c r="A3005">
        <f>HYPERLINK("https://www.philgeps.gov.ph/GEPSNONPILOT/Tender/SplashBidNoticeAbstractUI.aspx?menuIndex=3&amp;refID=7077145&amp;Result=3","7077145")</f>
        <v>0</v>
      </c>
      <c r="B3005" t="s">
        <v>1149</v>
      </c>
      <c r="C3005" t="s">
        <v>6285</v>
      </c>
      <c r="D3005" t="s">
        <v>17415</v>
      </c>
      <c r="E3005" t="s">
        <v>20108</v>
      </c>
      <c r="F3005" t="s">
        <v>30052</v>
      </c>
      <c r="G3005" t="s">
        <v>30058</v>
      </c>
      <c r="H3005" t="s">
        <v>15498</v>
      </c>
      <c r="I3005" t="s">
        <v>30076</v>
      </c>
      <c r="J3005" t="s">
        <v>32219</v>
      </c>
      <c r="K3005" t="s">
        <v>39025</v>
      </c>
      <c r="M3005" t="s">
        <v>40493</v>
      </c>
      <c r="N3005" t="s">
        <v>43166</v>
      </c>
      <c r="O3005" t="s">
        <v>43167</v>
      </c>
      <c r="P3005">
        <v>0</v>
      </c>
      <c r="Q3005">
        <v>27</v>
      </c>
      <c r="R3005" t="s">
        <v>43171</v>
      </c>
      <c r="S3005" t="s">
        <v>43311</v>
      </c>
      <c r="T3005" t="s">
        <v>44752</v>
      </c>
      <c r="U3005" t="s">
        <v>47660</v>
      </c>
      <c r="W3005" t="s">
        <v>40493</v>
      </c>
      <c r="X3005" t="s">
        <v>43174</v>
      </c>
    </row>
    <row r="3006" spans="1:24">
      <c r="A3006">
        <f>HYPERLINK("https://www.philgeps.gov.ph/GEPSNONPILOT/Tender/SplashBidNoticeAbstractUI.aspx?menuIndex=3&amp;refID=7076373&amp;Result=3","7076373")</f>
        <v>0</v>
      </c>
      <c r="B3006" t="s">
        <v>1152</v>
      </c>
      <c r="C3006" t="s">
        <v>6291</v>
      </c>
      <c r="D3006" t="s">
        <v>17444</v>
      </c>
      <c r="E3006" t="s">
        <v>20109</v>
      </c>
      <c r="F3006" t="s">
        <v>30052</v>
      </c>
      <c r="G3006" t="s">
        <v>30059</v>
      </c>
      <c r="H3006" t="s">
        <v>15498</v>
      </c>
      <c r="I3006" t="s">
        <v>30151</v>
      </c>
      <c r="J3006" t="s">
        <v>30248</v>
      </c>
      <c r="K3006" t="s">
        <v>39038</v>
      </c>
      <c r="M3006" t="s">
        <v>40496</v>
      </c>
      <c r="N3006" t="s">
        <v>43166</v>
      </c>
      <c r="O3006" t="s">
        <v>43167</v>
      </c>
      <c r="P3006">
        <v>0</v>
      </c>
      <c r="Q3006">
        <v>3</v>
      </c>
      <c r="R3006" t="s">
        <v>43171</v>
      </c>
      <c r="S3006" t="s">
        <v>43311</v>
      </c>
      <c r="T3006" t="s">
        <v>44856</v>
      </c>
      <c r="U3006" t="s">
        <v>47665</v>
      </c>
      <c r="V3006" t="s">
        <v>57171</v>
      </c>
      <c r="W3006" t="s">
        <v>40496</v>
      </c>
      <c r="X3006" t="s">
        <v>43174</v>
      </c>
    </row>
    <row r="3007" spans="1:24">
      <c r="A3007">
        <f>HYPERLINK("https://www.philgeps.gov.ph/GEPSNONPILOT/Tender/SplashBidNoticeAbstractUI.aspx?menuIndex=3&amp;refID=7075849&amp;Result=3","7075849")</f>
        <v>0</v>
      </c>
      <c r="B3007" t="s">
        <v>761</v>
      </c>
      <c r="C3007" t="s">
        <v>6292</v>
      </c>
      <c r="D3007" t="s">
        <v>17432</v>
      </c>
      <c r="E3007" t="s">
        <v>20110</v>
      </c>
      <c r="F3007" t="s">
        <v>30052</v>
      </c>
      <c r="G3007" t="s">
        <v>30059</v>
      </c>
      <c r="H3007" t="s">
        <v>15498</v>
      </c>
      <c r="I3007" t="s">
        <v>30084</v>
      </c>
      <c r="J3007" t="s">
        <v>30248</v>
      </c>
      <c r="K3007" t="s">
        <v>39017</v>
      </c>
      <c r="M3007" t="s">
        <v>40075</v>
      </c>
      <c r="N3007" t="s">
        <v>43166</v>
      </c>
      <c r="O3007" t="s">
        <v>43167</v>
      </c>
      <c r="P3007">
        <v>0</v>
      </c>
      <c r="Q3007">
        <v>3</v>
      </c>
      <c r="R3007" t="s">
        <v>43171</v>
      </c>
      <c r="S3007" t="s">
        <v>43311</v>
      </c>
      <c r="T3007" t="s">
        <v>44691</v>
      </c>
      <c r="U3007" t="s">
        <v>47666</v>
      </c>
      <c r="W3007" t="s">
        <v>40075</v>
      </c>
      <c r="X3007" t="s">
        <v>43175</v>
      </c>
    </row>
    <row r="3008" spans="1:24">
      <c r="A3008">
        <f>HYPERLINK("https://www.philgeps.gov.ph/GEPSNONPILOT/Tender/SplashBidNoticeAbstractUI.aspx?menuIndex=3&amp;refID=7064787&amp;Result=3","7064787")</f>
        <v>0</v>
      </c>
      <c r="B3008" t="s">
        <v>1153</v>
      </c>
      <c r="C3008" t="s">
        <v>3596</v>
      </c>
      <c r="D3008" t="s">
        <v>17417</v>
      </c>
      <c r="E3008" t="s">
        <v>20111</v>
      </c>
      <c r="F3008" t="s">
        <v>30052</v>
      </c>
      <c r="G3008" t="s">
        <v>30058</v>
      </c>
      <c r="H3008" t="s">
        <v>30067</v>
      </c>
      <c r="I3008" t="s">
        <v>3693</v>
      </c>
      <c r="J3008" t="s">
        <v>30218</v>
      </c>
      <c r="K3008" t="s">
        <v>39053</v>
      </c>
      <c r="M3008" t="s">
        <v>40497</v>
      </c>
      <c r="N3008" t="s">
        <v>43166</v>
      </c>
      <c r="O3008" t="s">
        <v>43167</v>
      </c>
      <c r="P3008">
        <v>0</v>
      </c>
      <c r="Q3008">
        <v>0</v>
      </c>
      <c r="R3008" t="s">
        <v>43171</v>
      </c>
      <c r="S3008" t="s">
        <v>43311</v>
      </c>
      <c r="T3008" t="s">
        <v>44710</v>
      </c>
      <c r="U3008" t="s">
        <v>47667</v>
      </c>
      <c r="W3008" t="s">
        <v>40497</v>
      </c>
      <c r="X3008" t="s">
        <v>43180</v>
      </c>
    </row>
    <row r="3009" spans="1:24">
      <c r="A3009">
        <f>HYPERLINK("https://www.philgeps.gov.ph/GEPSNONPILOT/Tender/SplashBidNoticeAbstractUI.aspx?menuIndex=3&amp;refID=7077765&amp;Result=3","7077765")</f>
        <v>0</v>
      </c>
      <c r="B3009" t="s">
        <v>1154</v>
      </c>
      <c r="C3009" t="s">
        <v>6293</v>
      </c>
      <c r="D3009" t="s">
        <v>17424</v>
      </c>
      <c r="E3009" t="s">
        <v>20112</v>
      </c>
      <c r="F3009" t="s">
        <v>30052</v>
      </c>
      <c r="G3009" t="s">
        <v>30058</v>
      </c>
      <c r="H3009" t="s">
        <v>30067</v>
      </c>
      <c r="I3009" t="s">
        <v>3693</v>
      </c>
      <c r="J3009" t="s">
        <v>32220</v>
      </c>
      <c r="K3009" t="s">
        <v>39057</v>
      </c>
      <c r="M3009" t="s">
        <v>40498</v>
      </c>
      <c r="N3009" t="s">
        <v>43166</v>
      </c>
      <c r="O3009" t="s">
        <v>43167</v>
      </c>
      <c r="P3009">
        <v>0</v>
      </c>
      <c r="Q3009">
        <v>68</v>
      </c>
      <c r="R3009" t="s">
        <v>43171</v>
      </c>
      <c r="S3009" t="s">
        <v>43311</v>
      </c>
      <c r="T3009" t="s">
        <v>44732</v>
      </c>
      <c r="U3009" t="s">
        <v>47668</v>
      </c>
      <c r="W3009" t="s">
        <v>40498</v>
      </c>
      <c r="X3009" t="s">
        <v>43174</v>
      </c>
    </row>
    <row r="3010" spans="1:24">
      <c r="A3010">
        <f>HYPERLINK("https://www.philgeps.gov.ph/GEPSNONPILOT/Tender/SplashBidNoticeAbstractUI.aspx?menuIndex=3&amp;refID=7077756&amp;Result=3","7077756")</f>
        <v>0</v>
      </c>
      <c r="B3010" t="s">
        <v>63</v>
      </c>
      <c r="C3010" t="s">
        <v>6294</v>
      </c>
      <c r="E3010" t="s">
        <v>20113</v>
      </c>
      <c r="F3010" t="s">
        <v>30052</v>
      </c>
      <c r="G3010" t="s">
        <v>30059</v>
      </c>
      <c r="H3010" t="s">
        <v>15498</v>
      </c>
      <c r="I3010" t="s">
        <v>30086</v>
      </c>
      <c r="J3010" t="s">
        <v>32221</v>
      </c>
      <c r="K3010" t="s">
        <v>39025</v>
      </c>
      <c r="M3010" t="s">
        <v>39352</v>
      </c>
      <c r="N3010" t="s">
        <v>43166</v>
      </c>
      <c r="O3010" t="s">
        <v>43167</v>
      </c>
      <c r="P3010">
        <v>0</v>
      </c>
      <c r="Q3010">
        <v>1</v>
      </c>
      <c r="R3010" t="s">
        <v>43171</v>
      </c>
      <c r="S3010" t="s">
        <v>43311</v>
      </c>
      <c r="T3010" t="s">
        <v>44844</v>
      </c>
      <c r="U3010" t="s">
        <v>47652</v>
      </c>
      <c r="W3010" t="s">
        <v>39352</v>
      </c>
      <c r="X3010" t="s">
        <v>43174</v>
      </c>
    </row>
    <row r="3011" spans="1:24">
      <c r="A3011">
        <f>HYPERLINK("https://www.philgeps.gov.ph/GEPSNONPILOT/Tender/SplashBidNoticeAbstractUI.aspx?menuIndex=3&amp;refID=7077754&amp;Result=3","7077754")</f>
        <v>0</v>
      </c>
      <c r="B3011" t="s">
        <v>1142</v>
      </c>
      <c r="C3011" t="s">
        <v>6295</v>
      </c>
      <c r="E3011" t="s">
        <v>20114</v>
      </c>
      <c r="F3011" t="s">
        <v>30052</v>
      </c>
      <c r="G3011" t="s">
        <v>30058</v>
      </c>
      <c r="H3011" t="s">
        <v>15498</v>
      </c>
      <c r="I3011" t="s">
        <v>30130</v>
      </c>
      <c r="J3011" t="s">
        <v>32222</v>
      </c>
      <c r="K3011" t="s">
        <v>39025</v>
      </c>
      <c r="M3011" t="s">
        <v>40485</v>
      </c>
      <c r="N3011" t="s">
        <v>43166</v>
      </c>
      <c r="O3011" t="s">
        <v>43167</v>
      </c>
      <c r="P3011">
        <v>0</v>
      </c>
      <c r="Q3011">
        <v>7</v>
      </c>
      <c r="R3011" t="s">
        <v>43171</v>
      </c>
      <c r="S3011" t="s">
        <v>43311</v>
      </c>
      <c r="T3011" t="s">
        <v>44752</v>
      </c>
      <c r="U3011" t="s">
        <v>47669</v>
      </c>
      <c r="W3011" t="s">
        <v>40485</v>
      </c>
      <c r="X3011" t="s">
        <v>43174</v>
      </c>
    </row>
    <row r="3012" spans="1:24">
      <c r="A3012">
        <f>HYPERLINK("https://www.philgeps.gov.ph/GEPSNONPILOT/Tender/SplashBidNoticeAbstractUI.aspx?menuIndex=3&amp;refID=7077740&amp;Result=3","7077740")</f>
        <v>0</v>
      </c>
      <c r="B3012" t="s">
        <v>1155</v>
      </c>
      <c r="C3012" t="s">
        <v>6296</v>
      </c>
      <c r="D3012" t="s">
        <v>17449</v>
      </c>
      <c r="E3012" t="s">
        <v>20115</v>
      </c>
      <c r="F3012" t="s">
        <v>30052</v>
      </c>
      <c r="G3012" t="s">
        <v>30059</v>
      </c>
      <c r="H3012" t="s">
        <v>15498</v>
      </c>
      <c r="I3012" t="s">
        <v>30146</v>
      </c>
      <c r="J3012" t="s">
        <v>30916</v>
      </c>
      <c r="K3012" t="s">
        <v>39019</v>
      </c>
      <c r="M3012" t="s">
        <v>40499</v>
      </c>
      <c r="N3012" t="s">
        <v>43166</v>
      </c>
      <c r="O3012" t="s">
        <v>43167</v>
      </c>
      <c r="P3012">
        <v>0</v>
      </c>
      <c r="Q3012">
        <v>1</v>
      </c>
      <c r="R3012" t="s">
        <v>43171</v>
      </c>
      <c r="S3012" t="s">
        <v>43311</v>
      </c>
      <c r="T3012" t="s">
        <v>44721</v>
      </c>
      <c r="U3012" t="s">
        <v>47670</v>
      </c>
      <c r="V3012" t="s">
        <v>57172</v>
      </c>
      <c r="W3012" t="s">
        <v>40499</v>
      </c>
      <c r="X3012" t="s">
        <v>43174</v>
      </c>
    </row>
    <row r="3013" spans="1:24">
      <c r="A3013">
        <f>HYPERLINK("https://www.philgeps.gov.ph/GEPSNONPILOT/Tender/SplashBidNoticeAbstractUI.aspx?menuIndex=3&amp;refID=7077699&amp;Result=3","7077699")</f>
        <v>0</v>
      </c>
      <c r="B3013" t="s">
        <v>1142</v>
      </c>
      <c r="C3013" t="s">
        <v>6297</v>
      </c>
      <c r="E3013" t="s">
        <v>20116</v>
      </c>
      <c r="F3013" t="s">
        <v>30052</v>
      </c>
      <c r="G3013" t="s">
        <v>30058</v>
      </c>
      <c r="H3013" t="s">
        <v>15498</v>
      </c>
      <c r="I3013" t="s">
        <v>30130</v>
      </c>
      <c r="J3013" t="s">
        <v>32223</v>
      </c>
      <c r="K3013" t="s">
        <v>39025</v>
      </c>
      <c r="M3013" t="s">
        <v>40485</v>
      </c>
      <c r="N3013" t="s">
        <v>43166</v>
      </c>
      <c r="O3013" t="s">
        <v>43167</v>
      </c>
      <c r="P3013">
        <v>0</v>
      </c>
      <c r="Q3013">
        <v>7</v>
      </c>
      <c r="R3013" t="s">
        <v>43171</v>
      </c>
      <c r="S3013" t="s">
        <v>43311</v>
      </c>
      <c r="T3013" t="s">
        <v>44752</v>
      </c>
      <c r="U3013" t="s">
        <v>47671</v>
      </c>
      <c r="W3013" t="s">
        <v>40485</v>
      </c>
      <c r="X3013" t="s">
        <v>43174</v>
      </c>
    </row>
    <row r="3014" spans="1:24">
      <c r="A3014">
        <f>HYPERLINK("https://www.philgeps.gov.ph/GEPSNONPILOT/Tender/SplashBidNoticeAbstractUI.aspx?menuIndex=3&amp;refID=7077695&amp;Result=3","7077695")</f>
        <v>0</v>
      </c>
      <c r="B3014" t="s">
        <v>1156</v>
      </c>
      <c r="C3014" t="s">
        <v>6298</v>
      </c>
      <c r="D3014" t="s">
        <v>17479</v>
      </c>
      <c r="E3014" t="s">
        <v>20117</v>
      </c>
      <c r="F3014" t="s">
        <v>30052</v>
      </c>
      <c r="G3014" t="s">
        <v>30059</v>
      </c>
      <c r="H3014" t="s">
        <v>15498</v>
      </c>
      <c r="I3014" t="s">
        <v>30084</v>
      </c>
      <c r="J3014" t="s">
        <v>30209</v>
      </c>
      <c r="K3014" t="s">
        <v>39036</v>
      </c>
      <c r="M3014" t="s">
        <v>40500</v>
      </c>
      <c r="N3014" t="s">
        <v>43166</v>
      </c>
      <c r="O3014" t="s">
        <v>43167</v>
      </c>
      <c r="P3014">
        <v>0</v>
      </c>
      <c r="Q3014">
        <v>6</v>
      </c>
      <c r="R3014" t="s">
        <v>43171</v>
      </c>
      <c r="S3014" t="s">
        <v>43311</v>
      </c>
      <c r="T3014" t="s">
        <v>44735</v>
      </c>
      <c r="U3014" t="s">
        <v>47672</v>
      </c>
      <c r="V3014" t="s">
        <v>57173</v>
      </c>
      <c r="W3014" t="s">
        <v>40500</v>
      </c>
      <c r="X3014" t="s">
        <v>43174</v>
      </c>
    </row>
    <row r="3015" spans="1:24">
      <c r="A3015">
        <f>HYPERLINK("https://www.philgeps.gov.ph/GEPSNONPILOT/Tender/SplashBidNoticeAbstractUI.aspx?menuIndex=3&amp;refID=7076354&amp;Result=3","7076354")</f>
        <v>0</v>
      </c>
      <c r="B3015" t="s">
        <v>1157</v>
      </c>
      <c r="C3015" t="s">
        <v>6299</v>
      </c>
      <c r="D3015" t="s">
        <v>17465</v>
      </c>
      <c r="E3015" t="s">
        <v>18749</v>
      </c>
      <c r="F3015" t="s">
        <v>30052</v>
      </c>
      <c r="G3015" t="s">
        <v>30058</v>
      </c>
      <c r="H3015" t="s">
        <v>15498</v>
      </c>
      <c r="I3015" t="s">
        <v>30106</v>
      </c>
      <c r="J3015" t="s">
        <v>30263</v>
      </c>
      <c r="K3015" t="s">
        <v>39017</v>
      </c>
      <c r="L3015" t="s">
        <v>1157</v>
      </c>
      <c r="M3015" t="s">
        <v>40501</v>
      </c>
      <c r="N3015" t="s">
        <v>43166</v>
      </c>
      <c r="O3015" t="s">
        <v>43167</v>
      </c>
      <c r="P3015">
        <v>0</v>
      </c>
      <c r="Q3015">
        <v>4</v>
      </c>
      <c r="R3015" t="s">
        <v>43171</v>
      </c>
      <c r="S3015" t="s">
        <v>43311</v>
      </c>
      <c r="T3015" t="s">
        <v>44705</v>
      </c>
      <c r="U3015" t="s">
        <v>47673</v>
      </c>
      <c r="W3015" t="s">
        <v>40501</v>
      </c>
      <c r="X3015" t="s">
        <v>43174</v>
      </c>
    </row>
    <row r="3016" spans="1:24">
      <c r="A3016">
        <f>HYPERLINK("https://www.philgeps.gov.ph/GEPSNONPILOT/Tender/SplashBidNoticeAbstractUI.aspx?menuIndex=3&amp;refID=7077683&amp;Result=3","7077683")</f>
        <v>0</v>
      </c>
      <c r="B3016" t="s">
        <v>1142</v>
      </c>
      <c r="C3016" t="s">
        <v>6300</v>
      </c>
      <c r="E3016" t="s">
        <v>20118</v>
      </c>
      <c r="F3016" t="s">
        <v>30052</v>
      </c>
      <c r="G3016" t="s">
        <v>30058</v>
      </c>
      <c r="H3016" t="s">
        <v>15498</v>
      </c>
      <c r="I3016" t="s">
        <v>30130</v>
      </c>
      <c r="J3016" t="s">
        <v>32224</v>
      </c>
      <c r="K3016" t="s">
        <v>39025</v>
      </c>
      <c r="M3016" t="s">
        <v>40485</v>
      </c>
      <c r="N3016" t="s">
        <v>43166</v>
      </c>
      <c r="O3016" t="s">
        <v>43167</v>
      </c>
      <c r="P3016">
        <v>0</v>
      </c>
      <c r="Q3016">
        <v>16</v>
      </c>
      <c r="R3016" t="s">
        <v>43171</v>
      </c>
      <c r="S3016" t="s">
        <v>43311</v>
      </c>
      <c r="T3016" t="s">
        <v>44752</v>
      </c>
      <c r="U3016" t="s">
        <v>47674</v>
      </c>
      <c r="W3016" t="s">
        <v>40485</v>
      </c>
      <c r="X3016" t="s">
        <v>43174</v>
      </c>
    </row>
    <row r="3017" spans="1:24">
      <c r="A3017">
        <f>HYPERLINK("https://www.philgeps.gov.ph/GEPSNONPILOT/Tender/SplashBidNoticeAbstractUI.aspx?menuIndex=3&amp;refID=7070975&amp;Result=3","7070975")</f>
        <v>0</v>
      </c>
      <c r="B3017" t="s">
        <v>1142</v>
      </c>
      <c r="C3017" t="s">
        <v>6301</v>
      </c>
      <c r="E3017" t="s">
        <v>20119</v>
      </c>
      <c r="F3017" t="s">
        <v>30052</v>
      </c>
      <c r="G3017" t="s">
        <v>30058</v>
      </c>
      <c r="H3017" t="s">
        <v>15498</v>
      </c>
      <c r="I3017" t="s">
        <v>30076</v>
      </c>
      <c r="J3017" t="s">
        <v>32225</v>
      </c>
      <c r="K3017" t="s">
        <v>39025</v>
      </c>
      <c r="M3017" t="s">
        <v>40485</v>
      </c>
      <c r="N3017" t="s">
        <v>43166</v>
      </c>
      <c r="O3017" t="s">
        <v>43167</v>
      </c>
      <c r="P3017">
        <v>0</v>
      </c>
      <c r="Q3017">
        <v>8</v>
      </c>
      <c r="R3017" t="s">
        <v>43171</v>
      </c>
      <c r="S3017" t="s">
        <v>43311</v>
      </c>
      <c r="T3017" t="s">
        <v>44828</v>
      </c>
      <c r="U3017" t="s">
        <v>47675</v>
      </c>
      <c r="W3017" t="s">
        <v>40485</v>
      </c>
      <c r="X3017" t="s">
        <v>43178</v>
      </c>
    </row>
    <row r="3018" spans="1:24">
      <c r="A3018">
        <f>HYPERLINK("https://www.philgeps.gov.ph/GEPSNONPILOT/Tender/SplashBidNoticeAbstractUI.aspx?menuIndex=3&amp;refID=7077632&amp;Result=3","7077632")</f>
        <v>0</v>
      </c>
      <c r="B3018" t="s">
        <v>1142</v>
      </c>
      <c r="C3018" t="s">
        <v>6302</v>
      </c>
      <c r="E3018" t="s">
        <v>20120</v>
      </c>
      <c r="F3018" t="s">
        <v>30052</v>
      </c>
      <c r="G3018" t="s">
        <v>30058</v>
      </c>
      <c r="H3018" t="s">
        <v>15498</v>
      </c>
      <c r="I3018" t="s">
        <v>30130</v>
      </c>
      <c r="J3018" t="s">
        <v>32226</v>
      </c>
      <c r="K3018" t="s">
        <v>39025</v>
      </c>
      <c r="M3018" t="s">
        <v>40485</v>
      </c>
      <c r="N3018" t="s">
        <v>43166</v>
      </c>
      <c r="O3018" t="s">
        <v>43167</v>
      </c>
      <c r="P3018">
        <v>0</v>
      </c>
      <c r="Q3018">
        <v>14</v>
      </c>
      <c r="R3018" t="s">
        <v>43171</v>
      </c>
      <c r="S3018" t="s">
        <v>43311</v>
      </c>
      <c r="T3018" t="s">
        <v>44752</v>
      </c>
      <c r="U3018" t="s">
        <v>47676</v>
      </c>
      <c r="W3018" t="s">
        <v>40485</v>
      </c>
      <c r="X3018" t="s">
        <v>43174</v>
      </c>
    </row>
    <row r="3019" spans="1:24">
      <c r="A3019">
        <f>HYPERLINK("https://www.philgeps.gov.ph/GEPSNONPILOT/Tender/SplashBidNoticeAbstractUI.aspx?menuIndex=3&amp;refID=7077515&amp;Result=3","7077515")</f>
        <v>0</v>
      </c>
      <c r="B3019" t="s">
        <v>965</v>
      </c>
      <c r="C3019" t="s">
        <v>6303</v>
      </c>
      <c r="D3019" t="s">
        <v>17466</v>
      </c>
      <c r="E3019" t="s">
        <v>20121</v>
      </c>
      <c r="F3019" t="s">
        <v>30055</v>
      </c>
      <c r="G3019" t="s">
        <v>30061</v>
      </c>
      <c r="H3019" t="s">
        <v>15498</v>
      </c>
      <c r="I3019" t="s">
        <v>30070</v>
      </c>
      <c r="J3019" t="s">
        <v>30426</v>
      </c>
      <c r="K3019" t="s">
        <v>39017</v>
      </c>
      <c r="M3019" t="s">
        <v>40291</v>
      </c>
      <c r="N3019" t="s">
        <v>43166</v>
      </c>
      <c r="O3019" t="s">
        <v>43167</v>
      </c>
      <c r="P3019">
        <v>0</v>
      </c>
      <c r="Q3019">
        <v>1</v>
      </c>
      <c r="R3019" t="s">
        <v>43171</v>
      </c>
      <c r="S3019" t="s">
        <v>43311</v>
      </c>
      <c r="T3019" t="s">
        <v>44715</v>
      </c>
      <c r="U3019" t="s">
        <v>47677</v>
      </c>
      <c r="W3019" t="s">
        <v>40291</v>
      </c>
      <c r="X3019" t="s">
        <v>43174</v>
      </c>
    </row>
    <row r="3020" spans="1:24">
      <c r="A3020">
        <f>HYPERLINK("https://www.philgeps.gov.ph/GEPSNONPILOT/Tender/SplashBidNoticeAbstractUI.aspx?menuIndex=3&amp;refID=7077676&amp;Result=3","7077676")</f>
        <v>0</v>
      </c>
      <c r="B3020" t="s">
        <v>658</v>
      </c>
      <c r="C3020" t="s">
        <v>6304</v>
      </c>
      <c r="D3020" t="s">
        <v>17460</v>
      </c>
      <c r="E3020" t="s">
        <v>20122</v>
      </c>
      <c r="F3020" t="s">
        <v>30052</v>
      </c>
      <c r="G3020" t="s">
        <v>30059</v>
      </c>
      <c r="H3020" t="s">
        <v>15498</v>
      </c>
      <c r="I3020" t="s">
        <v>6304</v>
      </c>
      <c r="J3020" t="s">
        <v>30208</v>
      </c>
      <c r="K3020" t="s">
        <v>39017</v>
      </c>
      <c r="M3020" t="s">
        <v>40492</v>
      </c>
      <c r="N3020" t="s">
        <v>43166</v>
      </c>
      <c r="O3020" t="s">
        <v>43167</v>
      </c>
      <c r="P3020">
        <v>0</v>
      </c>
      <c r="Q3020">
        <v>0</v>
      </c>
      <c r="R3020" t="s">
        <v>43171</v>
      </c>
      <c r="S3020" t="s">
        <v>43311</v>
      </c>
      <c r="T3020" t="s">
        <v>44787</v>
      </c>
      <c r="U3020" t="s">
        <v>47678</v>
      </c>
      <c r="V3020" t="s">
        <v>57169</v>
      </c>
      <c r="W3020" t="s">
        <v>40492</v>
      </c>
      <c r="X3020" t="s">
        <v>43174</v>
      </c>
    </row>
    <row r="3021" spans="1:24">
      <c r="A3021">
        <f>HYPERLINK("https://www.philgeps.gov.ph/GEPSNONPILOT/Tender/SplashBidNoticeAbstractUI.aspx?menuIndex=3&amp;refID=7077417&amp;Result=3","7077417")</f>
        <v>0</v>
      </c>
      <c r="B3021" t="s">
        <v>658</v>
      </c>
      <c r="C3021" t="s">
        <v>6305</v>
      </c>
      <c r="D3021" t="s">
        <v>17460</v>
      </c>
      <c r="E3021" t="s">
        <v>20123</v>
      </c>
      <c r="F3021" t="s">
        <v>30052</v>
      </c>
      <c r="G3021" t="s">
        <v>30059</v>
      </c>
      <c r="H3021" t="s">
        <v>15498</v>
      </c>
      <c r="I3021" t="s">
        <v>30105</v>
      </c>
      <c r="J3021" t="s">
        <v>31307</v>
      </c>
      <c r="K3021" t="s">
        <v>39017</v>
      </c>
      <c r="M3021" t="s">
        <v>40492</v>
      </c>
      <c r="N3021" t="s">
        <v>43166</v>
      </c>
      <c r="O3021" t="s">
        <v>43167</v>
      </c>
      <c r="P3021">
        <v>0</v>
      </c>
      <c r="Q3021">
        <v>3</v>
      </c>
      <c r="R3021" t="s">
        <v>43171</v>
      </c>
      <c r="S3021" t="s">
        <v>43311</v>
      </c>
      <c r="T3021" t="s">
        <v>44787</v>
      </c>
      <c r="U3021" t="s">
        <v>47679</v>
      </c>
      <c r="V3021" t="s">
        <v>57169</v>
      </c>
      <c r="W3021" t="s">
        <v>40492</v>
      </c>
      <c r="X3021" t="s">
        <v>43174</v>
      </c>
    </row>
    <row r="3022" spans="1:24">
      <c r="A3022">
        <f>HYPERLINK("https://www.philgeps.gov.ph/GEPSNONPILOT/Tender/SplashBidNoticeAbstractUI.aspx?menuIndex=3&amp;refID=7076662&amp;Result=3","7076662")</f>
        <v>0</v>
      </c>
      <c r="B3022" t="s">
        <v>658</v>
      </c>
      <c r="C3022" t="s">
        <v>6284</v>
      </c>
      <c r="D3022" t="s">
        <v>17460</v>
      </c>
      <c r="E3022" t="s">
        <v>20124</v>
      </c>
      <c r="F3022" t="s">
        <v>30052</v>
      </c>
      <c r="G3022" t="s">
        <v>30059</v>
      </c>
      <c r="H3022" t="s">
        <v>15498</v>
      </c>
      <c r="I3022" t="s">
        <v>3852</v>
      </c>
      <c r="J3022" t="s">
        <v>32227</v>
      </c>
      <c r="K3022" t="s">
        <v>39017</v>
      </c>
      <c r="M3022" t="s">
        <v>40492</v>
      </c>
      <c r="N3022" t="s">
        <v>43166</v>
      </c>
      <c r="O3022" t="s">
        <v>43167</v>
      </c>
      <c r="P3022">
        <v>0</v>
      </c>
      <c r="Q3022">
        <v>1</v>
      </c>
      <c r="R3022" t="s">
        <v>43171</v>
      </c>
      <c r="S3022" t="s">
        <v>43311</v>
      </c>
      <c r="T3022" t="s">
        <v>44787</v>
      </c>
      <c r="U3022" t="s">
        <v>47680</v>
      </c>
      <c r="V3022" t="s">
        <v>57169</v>
      </c>
      <c r="W3022" t="s">
        <v>40492</v>
      </c>
      <c r="X3022" t="s">
        <v>43174</v>
      </c>
    </row>
    <row r="3023" spans="1:24">
      <c r="A3023">
        <f>HYPERLINK("https://www.philgeps.gov.ph/GEPSNONPILOT/Tender/SplashBidNoticeAbstractUI.aspx?menuIndex=3&amp;refID=7077272&amp;Result=3","7077272")</f>
        <v>0</v>
      </c>
      <c r="B3023" t="s">
        <v>1158</v>
      </c>
      <c r="C3023" t="s">
        <v>6306</v>
      </c>
      <c r="D3023" t="s">
        <v>17461</v>
      </c>
      <c r="E3023" t="s">
        <v>20125</v>
      </c>
      <c r="F3023" t="s">
        <v>30052</v>
      </c>
      <c r="G3023" t="s">
        <v>30058</v>
      </c>
      <c r="H3023" t="s">
        <v>30067</v>
      </c>
      <c r="I3023" t="s">
        <v>3693</v>
      </c>
      <c r="J3023" t="s">
        <v>32228</v>
      </c>
      <c r="K3023" t="s">
        <v>39037</v>
      </c>
      <c r="M3023" t="s">
        <v>40502</v>
      </c>
      <c r="N3023" t="s">
        <v>43166</v>
      </c>
      <c r="O3023" t="s">
        <v>43167</v>
      </c>
      <c r="P3023">
        <v>0</v>
      </c>
      <c r="Q3023">
        <v>1</v>
      </c>
      <c r="R3023" t="s">
        <v>43171</v>
      </c>
      <c r="S3023" t="s">
        <v>43311</v>
      </c>
      <c r="T3023" t="s">
        <v>44941</v>
      </c>
      <c r="U3023" t="s">
        <v>47681</v>
      </c>
      <c r="V3023" t="s">
        <v>57174</v>
      </c>
      <c r="W3023" t="s">
        <v>40502</v>
      </c>
      <c r="X3023" t="s">
        <v>43174</v>
      </c>
    </row>
    <row r="3024" spans="1:24">
      <c r="A3024">
        <f>HYPERLINK("https://www.philgeps.gov.ph/GEPSNONPILOT/Tender/SplashBidNoticeAbstractUI.aspx?menuIndex=3&amp;refID=7077667&amp;Result=3","7077667")</f>
        <v>0</v>
      </c>
      <c r="B3024" t="s">
        <v>1142</v>
      </c>
      <c r="C3024" t="s">
        <v>6307</v>
      </c>
      <c r="E3024" t="s">
        <v>20126</v>
      </c>
      <c r="F3024" t="s">
        <v>30052</v>
      </c>
      <c r="G3024" t="s">
        <v>30058</v>
      </c>
      <c r="H3024" t="s">
        <v>15498</v>
      </c>
      <c r="I3024" t="s">
        <v>30130</v>
      </c>
      <c r="J3024" t="s">
        <v>32229</v>
      </c>
      <c r="K3024" t="s">
        <v>39025</v>
      </c>
      <c r="M3024" t="s">
        <v>40485</v>
      </c>
      <c r="N3024" t="s">
        <v>43166</v>
      </c>
      <c r="O3024" t="s">
        <v>43167</v>
      </c>
      <c r="P3024">
        <v>0</v>
      </c>
      <c r="Q3024">
        <v>8</v>
      </c>
      <c r="R3024" t="s">
        <v>43171</v>
      </c>
      <c r="S3024" t="s">
        <v>43311</v>
      </c>
      <c r="T3024" t="s">
        <v>44752</v>
      </c>
      <c r="U3024" t="s">
        <v>47682</v>
      </c>
      <c r="W3024" t="s">
        <v>40485</v>
      </c>
      <c r="X3024" t="s">
        <v>43174</v>
      </c>
    </row>
    <row r="3025" spans="1:24">
      <c r="A3025">
        <f>HYPERLINK("https://www.philgeps.gov.ph/GEPSNONPILOT/Tender/SplashBidNoticeAbstractUI.aspx?menuIndex=3&amp;refID=7077200&amp;Result=3","7077200")</f>
        <v>0</v>
      </c>
      <c r="B3025" t="s">
        <v>658</v>
      </c>
      <c r="C3025" t="s">
        <v>6308</v>
      </c>
      <c r="D3025" t="s">
        <v>17460</v>
      </c>
      <c r="E3025" t="s">
        <v>20127</v>
      </c>
      <c r="F3025" t="s">
        <v>30052</v>
      </c>
      <c r="G3025" t="s">
        <v>30059</v>
      </c>
      <c r="H3025" t="s">
        <v>15498</v>
      </c>
      <c r="I3025" t="s">
        <v>3852</v>
      </c>
      <c r="J3025" t="s">
        <v>30337</v>
      </c>
      <c r="K3025" t="s">
        <v>39017</v>
      </c>
      <c r="M3025" t="s">
        <v>40492</v>
      </c>
      <c r="N3025" t="s">
        <v>43166</v>
      </c>
      <c r="O3025" t="s">
        <v>43167</v>
      </c>
      <c r="P3025">
        <v>0</v>
      </c>
      <c r="Q3025">
        <v>0</v>
      </c>
      <c r="R3025" t="s">
        <v>43171</v>
      </c>
      <c r="S3025" t="s">
        <v>43311</v>
      </c>
      <c r="T3025" t="s">
        <v>44787</v>
      </c>
      <c r="U3025" t="s">
        <v>47683</v>
      </c>
      <c r="V3025" t="s">
        <v>57169</v>
      </c>
      <c r="W3025" t="s">
        <v>40492</v>
      </c>
      <c r="X3025" t="s">
        <v>43174</v>
      </c>
    </row>
    <row r="3026" spans="1:24">
      <c r="A3026">
        <f>HYPERLINK("https://www.philgeps.gov.ph/GEPSNONPILOT/Tender/SplashBidNoticeAbstractUI.aspx?menuIndex=3&amp;refID=7077249&amp;Result=3","7077249")</f>
        <v>0</v>
      </c>
      <c r="B3026" t="s">
        <v>1000</v>
      </c>
      <c r="C3026" t="s">
        <v>6309</v>
      </c>
      <c r="D3026" t="s">
        <v>17422</v>
      </c>
      <c r="E3026" t="s">
        <v>20128</v>
      </c>
      <c r="F3026" t="s">
        <v>30052</v>
      </c>
      <c r="G3026" t="s">
        <v>30058</v>
      </c>
      <c r="H3026" t="s">
        <v>15498</v>
      </c>
      <c r="I3026" t="s">
        <v>3736</v>
      </c>
      <c r="J3026" t="s">
        <v>32230</v>
      </c>
      <c r="K3026" t="s">
        <v>39017</v>
      </c>
      <c r="M3026" t="s">
        <v>40329</v>
      </c>
      <c r="N3026" t="s">
        <v>43166</v>
      </c>
      <c r="O3026" t="s">
        <v>43167</v>
      </c>
      <c r="P3026">
        <v>0</v>
      </c>
      <c r="Q3026">
        <v>0</v>
      </c>
      <c r="R3026" t="s">
        <v>43171</v>
      </c>
      <c r="S3026" t="s">
        <v>43311</v>
      </c>
      <c r="T3026" t="s">
        <v>44705</v>
      </c>
      <c r="U3026" t="s">
        <v>47684</v>
      </c>
      <c r="V3026" t="s">
        <v>57175</v>
      </c>
      <c r="W3026" t="s">
        <v>40329</v>
      </c>
      <c r="X3026" t="s">
        <v>43174</v>
      </c>
    </row>
    <row r="3027" spans="1:24">
      <c r="A3027">
        <f>HYPERLINK("https://www.philgeps.gov.ph/GEPSNONPILOT/Tender/SplashBidNoticeAbstractUI.aspx?menuIndex=3&amp;refID=7077688&amp;Result=3","7077688")</f>
        <v>0</v>
      </c>
      <c r="B3027" t="s">
        <v>1154</v>
      </c>
      <c r="C3027" t="s">
        <v>6310</v>
      </c>
      <c r="D3027" t="s">
        <v>17424</v>
      </c>
      <c r="E3027" t="s">
        <v>20129</v>
      </c>
      <c r="F3027" t="s">
        <v>30052</v>
      </c>
      <c r="G3027" t="s">
        <v>30058</v>
      </c>
      <c r="H3027" t="s">
        <v>30067</v>
      </c>
      <c r="I3027" t="s">
        <v>3693</v>
      </c>
      <c r="J3027" t="s">
        <v>32231</v>
      </c>
      <c r="K3027" t="s">
        <v>39057</v>
      </c>
      <c r="M3027" t="s">
        <v>40498</v>
      </c>
      <c r="N3027" t="s">
        <v>43166</v>
      </c>
      <c r="O3027" t="s">
        <v>43167</v>
      </c>
      <c r="P3027">
        <v>0</v>
      </c>
      <c r="Q3027">
        <v>67</v>
      </c>
      <c r="R3027" t="s">
        <v>43171</v>
      </c>
      <c r="S3027" t="s">
        <v>43311</v>
      </c>
      <c r="T3027" t="s">
        <v>44732</v>
      </c>
      <c r="U3027" t="s">
        <v>47685</v>
      </c>
      <c r="W3027" t="s">
        <v>40498</v>
      </c>
      <c r="X3027" t="s">
        <v>43174</v>
      </c>
    </row>
    <row r="3028" spans="1:24">
      <c r="A3028">
        <f>HYPERLINK("https://www.philgeps.gov.ph/GEPSNONPILOT/Tender/SplashBidNoticeAbstractUI.aspx?menuIndex=3&amp;refID=7077574&amp;Result=3","7077574")</f>
        <v>0</v>
      </c>
      <c r="B3028" t="s">
        <v>1159</v>
      </c>
      <c r="C3028" t="s">
        <v>4648</v>
      </c>
      <c r="D3028" t="s">
        <v>17476</v>
      </c>
      <c r="E3028" t="s">
        <v>20130</v>
      </c>
      <c r="F3028" t="s">
        <v>30052</v>
      </c>
      <c r="G3028" t="s">
        <v>30059</v>
      </c>
      <c r="H3028" t="s">
        <v>15498</v>
      </c>
      <c r="I3028" t="s">
        <v>4650</v>
      </c>
      <c r="J3028" t="s">
        <v>30218</v>
      </c>
      <c r="K3028" t="s">
        <v>39029</v>
      </c>
      <c r="M3028" t="s">
        <v>40503</v>
      </c>
      <c r="N3028" t="s">
        <v>43166</v>
      </c>
      <c r="O3028" t="s">
        <v>43167</v>
      </c>
      <c r="P3028">
        <v>0</v>
      </c>
      <c r="Q3028">
        <v>3</v>
      </c>
      <c r="R3028" t="s">
        <v>43171</v>
      </c>
      <c r="S3028" t="s">
        <v>43311</v>
      </c>
      <c r="T3028" t="s">
        <v>44705</v>
      </c>
      <c r="U3028" t="s">
        <v>47686</v>
      </c>
      <c r="W3028" t="s">
        <v>40503</v>
      </c>
      <c r="X3028" t="s">
        <v>43174</v>
      </c>
    </row>
    <row r="3029" spans="1:24">
      <c r="A3029">
        <f>HYPERLINK("https://www.philgeps.gov.ph/GEPSNONPILOT/Tender/SplashBidNoticeAbstractUI.aspx?menuIndex=3&amp;refID=7077776&amp;Result=3","7077776")</f>
        <v>0</v>
      </c>
      <c r="B3029" t="s">
        <v>1142</v>
      </c>
      <c r="C3029" t="s">
        <v>6311</v>
      </c>
      <c r="E3029" t="s">
        <v>20131</v>
      </c>
      <c r="F3029" t="s">
        <v>30052</v>
      </c>
      <c r="G3029" t="s">
        <v>30058</v>
      </c>
      <c r="H3029" t="s">
        <v>15498</v>
      </c>
      <c r="I3029" t="s">
        <v>30130</v>
      </c>
      <c r="J3029" t="s">
        <v>32122</v>
      </c>
      <c r="K3029" t="s">
        <v>39025</v>
      </c>
      <c r="M3029" t="s">
        <v>40485</v>
      </c>
      <c r="N3029" t="s">
        <v>43166</v>
      </c>
      <c r="O3029" t="s">
        <v>43167</v>
      </c>
      <c r="P3029">
        <v>0</v>
      </c>
      <c r="Q3029">
        <v>4</v>
      </c>
      <c r="R3029" t="s">
        <v>43171</v>
      </c>
      <c r="S3029" t="s">
        <v>43311</v>
      </c>
      <c r="T3029" t="s">
        <v>44752</v>
      </c>
      <c r="U3029" t="s">
        <v>47687</v>
      </c>
      <c r="W3029" t="s">
        <v>40485</v>
      </c>
      <c r="X3029" t="s">
        <v>43174</v>
      </c>
    </row>
    <row r="3030" spans="1:24">
      <c r="A3030">
        <f>HYPERLINK("https://www.philgeps.gov.ph/GEPSNONPILOT/Tender/SplashBidNoticeAbstractUI.aspx?menuIndex=3&amp;refID=7077177&amp;Result=3","7077177")</f>
        <v>0</v>
      </c>
      <c r="B3030" t="s">
        <v>1149</v>
      </c>
      <c r="C3030" t="s">
        <v>6285</v>
      </c>
      <c r="D3030" t="s">
        <v>17415</v>
      </c>
      <c r="E3030" t="s">
        <v>20132</v>
      </c>
      <c r="F3030" t="s">
        <v>30052</v>
      </c>
      <c r="G3030" t="s">
        <v>30058</v>
      </c>
      <c r="H3030" t="s">
        <v>15498</v>
      </c>
      <c r="I3030" t="s">
        <v>3852</v>
      </c>
      <c r="J3030" t="s">
        <v>32232</v>
      </c>
      <c r="K3030" t="s">
        <v>39025</v>
      </c>
      <c r="M3030" t="s">
        <v>40493</v>
      </c>
      <c r="N3030" t="s">
        <v>43166</v>
      </c>
      <c r="O3030" t="s">
        <v>43167</v>
      </c>
      <c r="P3030">
        <v>0</v>
      </c>
      <c r="Q3030">
        <v>17</v>
      </c>
      <c r="R3030" t="s">
        <v>43171</v>
      </c>
      <c r="S3030" t="s">
        <v>43311</v>
      </c>
      <c r="T3030" t="s">
        <v>44752</v>
      </c>
      <c r="U3030" t="s">
        <v>47660</v>
      </c>
      <c r="W3030" t="s">
        <v>40493</v>
      </c>
      <c r="X3030" t="s">
        <v>43174</v>
      </c>
    </row>
    <row r="3031" spans="1:24">
      <c r="A3031">
        <f>HYPERLINK("https://www.philgeps.gov.ph/GEPSNONPILOT/Tender/SplashBidNoticeAbstractUI.aspx?menuIndex=3&amp;refID=7078015&amp;Result=3","7078015")</f>
        <v>0</v>
      </c>
      <c r="B3031" t="s">
        <v>1149</v>
      </c>
      <c r="C3031" t="s">
        <v>6285</v>
      </c>
      <c r="D3031" t="s">
        <v>17415</v>
      </c>
      <c r="E3031" t="s">
        <v>20133</v>
      </c>
      <c r="F3031" t="s">
        <v>30052</v>
      </c>
      <c r="G3031" t="s">
        <v>30058</v>
      </c>
      <c r="H3031" t="s">
        <v>15498</v>
      </c>
      <c r="I3031" t="s">
        <v>30175</v>
      </c>
      <c r="J3031" t="s">
        <v>32233</v>
      </c>
      <c r="K3031" t="s">
        <v>39025</v>
      </c>
      <c r="M3031" t="s">
        <v>40493</v>
      </c>
      <c r="N3031" t="s">
        <v>43166</v>
      </c>
      <c r="O3031" t="s">
        <v>43167</v>
      </c>
      <c r="P3031">
        <v>0</v>
      </c>
      <c r="Q3031">
        <v>3</v>
      </c>
      <c r="R3031" t="s">
        <v>43171</v>
      </c>
      <c r="S3031" t="s">
        <v>43311</v>
      </c>
      <c r="T3031" t="s">
        <v>44752</v>
      </c>
      <c r="U3031" t="s">
        <v>47660</v>
      </c>
      <c r="W3031" t="s">
        <v>40493</v>
      </c>
      <c r="X3031" t="s">
        <v>43174</v>
      </c>
    </row>
    <row r="3032" spans="1:24">
      <c r="A3032">
        <f>HYPERLINK("https://www.philgeps.gov.ph/GEPSNONPILOT/Tender/SplashBidNoticeAbstractUI.aspx?menuIndex=3&amp;refID=7078009&amp;Result=3","7078009")</f>
        <v>0</v>
      </c>
      <c r="B3032" t="s">
        <v>296</v>
      </c>
      <c r="C3032" t="s">
        <v>6312</v>
      </c>
      <c r="E3032" t="s">
        <v>20134</v>
      </c>
      <c r="F3032" t="s">
        <v>30052</v>
      </c>
      <c r="G3032" t="s">
        <v>30059</v>
      </c>
      <c r="H3032" t="s">
        <v>15498</v>
      </c>
      <c r="I3032" t="s">
        <v>30092</v>
      </c>
      <c r="J3032" t="s">
        <v>32234</v>
      </c>
      <c r="K3032" t="s">
        <v>39025</v>
      </c>
      <c r="M3032" t="s">
        <v>40504</v>
      </c>
      <c r="N3032" t="s">
        <v>43166</v>
      </c>
      <c r="O3032" t="s">
        <v>43167</v>
      </c>
      <c r="P3032">
        <v>0</v>
      </c>
      <c r="Q3032">
        <v>1</v>
      </c>
      <c r="R3032" t="s">
        <v>43171</v>
      </c>
      <c r="S3032" t="s">
        <v>43311</v>
      </c>
      <c r="T3032" t="s">
        <v>44714</v>
      </c>
      <c r="U3032" t="s">
        <v>47688</v>
      </c>
      <c r="V3032" t="s">
        <v>56925</v>
      </c>
      <c r="W3032" t="s">
        <v>40504</v>
      </c>
      <c r="X3032" t="s">
        <v>43174</v>
      </c>
    </row>
    <row r="3033" spans="1:24">
      <c r="A3033">
        <f>HYPERLINK("https://www.philgeps.gov.ph/GEPSNONPILOT/Tender/SplashBidNoticeAbstractUI.aspx?menuIndex=3&amp;refID=7077193&amp;Result=3","7077193")</f>
        <v>0</v>
      </c>
      <c r="B3033" t="s">
        <v>1158</v>
      </c>
      <c r="C3033" t="s">
        <v>6313</v>
      </c>
      <c r="D3033" t="s">
        <v>17461</v>
      </c>
      <c r="E3033" t="s">
        <v>20135</v>
      </c>
      <c r="F3033" t="s">
        <v>30052</v>
      </c>
      <c r="G3033" t="s">
        <v>30058</v>
      </c>
      <c r="H3033" t="s">
        <v>30067</v>
      </c>
      <c r="I3033" t="s">
        <v>3693</v>
      </c>
      <c r="J3033" t="s">
        <v>32235</v>
      </c>
      <c r="K3033" t="s">
        <v>39049</v>
      </c>
      <c r="M3033" t="s">
        <v>40502</v>
      </c>
      <c r="N3033" t="s">
        <v>43166</v>
      </c>
      <c r="O3033" t="s">
        <v>43167</v>
      </c>
      <c r="P3033">
        <v>0</v>
      </c>
      <c r="Q3033">
        <v>1</v>
      </c>
      <c r="R3033" t="s">
        <v>43171</v>
      </c>
      <c r="S3033" t="s">
        <v>43311</v>
      </c>
      <c r="T3033" t="s">
        <v>44941</v>
      </c>
      <c r="U3033" t="s">
        <v>47689</v>
      </c>
      <c r="V3033" t="s">
        <v>57174</v>
      </c>
      <c r="W3033" t="s">
        <v>40502</v>
      </c>
      <c r="X3033" t="s">
        <v>43174</v>
      </c>
    </row>
    <row r="3034" spans="1:24">
      <c r="A3034">
        <f>HYPERLINK("https://www.philgeps.gov.ph/GEPSNONPILOT/Tender/SplashBidNoticeAbstractUI.aspx?menuIndex=3&amp;refID=7075482&amp;Result=3","7075482")</f>
        <v>0</v>
      </c>
      <c r="B3034" t="s">
        <v>1158</v>
      </c>
      <c r="C3034" t="s">
        <v>6314</v>
      </c>
      <c r="D3034" t="s">
        <v>17461</v>
      </c>
      <c r="E3034" t="s">
        <v>20136</v>
      </c>
      <c r="F3034" t="s">
        <v>30052</v>
      </c>
      <c r="G3034" t="s">
        <v>30058</v>
      </c>
      <c r="H3034" t="s">
        <v>15498</v>
      </c>
      <c r="I3034" t="s">
        <v>30077</v>
      </c>
      <c r="J3034" t="s">
        <v>32236</v>
      </c>
      <c r="K3034" t="s">
        <v>39046</v>
      </c>
      <c r="M3034" t="s">
        <v>40502</v>
      </c>
      <c r="N3034" t="s">
        <v>43166</v>
      </c>
      <c r="O3034" t="s">
        <v>43167</v>
      </c>
      <c r="P3034">
        <v>0</v>
      </c>
      <c r="Q3034">
        <v>2</v>
      </c>
      <c r="R3034" t="s">
        <v>43171</v>
      </c>
      <c r="S3034" t="s">
        <v>43311</v>
      </c>
      <c r="T3034" t="s">
        <v>44941</v>
      </c>
      <c r="U3034" t="s">
        <v>47690</v>
      </c>
      <c r="V3034" t="s">
        <v>57176</v>
      </c>
      <c r="W3034" t="s">
        <v>40502</v>
      </c>
      <c r="X3034" t="s">
        <v>43175</v>
      </c>
    </row>
    <row r="3035" spans="1:24">
      <c r="A3035">
        <f>HYPERLINK("https://www.philgeps.gov.ph/GEPSNONPILOT/Tender/SplashBidNoticeAbstractUI.aspx?menuIndex=3&amp;refID=7075203&amp;Result=3","7075203")</f>
        <v>0</v>
      </c>
      <c r="B3035" t="s">
        <v>1158</v>
      </c>
      <c r="C3035" t="s">
        <v>6315</v>
      </c>
      <c r="D3035" t="s">
        <v>17461</v>
      </c>
      <c r="E3035" t="s">
        <v>20137</v>
      </c>
      <c r="F3035" t="s">
        <v>30052</v>
      </c>
      <c r="G3035" t="s">
        <v>30058</v>
      </c>
      <c r="H3035" t="s">
        <v>15498</v>
      </c>
      <c r="I3035" t="s">
        <v>30111</v>
      </c>
      <c r="J3035" t="s">
        <v>30256</v>
      </c>
      <c r="K3035" t="s">
        <v>39029</v>
      </c>
      <c r="M3035" t="s">
        <v>40502</v>
      </c>
      <c r="N3035" t="s">
        <v>43166</v>
      </c>
      <c r="O3035" t="s">
        <v>43167</v>
      </c>
      <c r="P3035">
        <v>0</v>
      </c>
      <c r="Q3035">
        <v>0</v>
      </c>
      <c r="R3035" t="s">
        <v>43171</v>
      </c>
      <c r="S3035" t="s">
        <v>43311</v>
      </c>
      <c r="T3035" t="s">
        <v>44941</v>
      </c>
      <c r="U3035" t="s">
        <v>47691</v>
      </c>
      <c r="V3035" t="s">
        <v>57177</v>
      </c>
      <c r="W3035" t="s">
        <v>40502</v>
      </c>
      <c r="X3035" t="s">
        <v>43175</v>
      </c>
    </row>
    <row r="3036" spans="1:24">
      <c r="A3036">
        <f>HYPERLINK("https://www.philgeps.gov.ph/GEPSNONPILOT/Tender/SplashBidNoticeAbstractUI.aspx?menuIndex=3&amp;refID=7077990&amp;Result=3","7077990")</f>
        <v>0</v>
      </c>
      <c r="B3036" t="s">
        <v>1142</v>
      </c>
      <c r="C3036" t="s">
        <v>6316</v>
      </c>
      <c r="E3036" t="s">
        <v>20138</v>
      </c>
      <c r="F3036" t="s">
        <v>30052</v>
      </c>
      <c r="G3036" t="s">
        <v>30058</v>
      </c>
      <c r="H3036" t="s">
        <v>15498</v>
      </c>
      <c r="I3036" t="s">
        <v>30130</v>
      </c>
      <c r="J3036" t="s">
        <v>32237</v>
      </c>
      <c r="K3036" t="s">
        <v>39025</v>
      </c>
      <c r="M3036" t="s">
        <v>40485</v>
      </c>
      <c r="N3036" t="s">
        <v>43166</v>
      </c>
      <c r="O3036" t="s">
        <v>43167</v>
      </c>
      <c r="P3036">
        <v>0</v>
      </c>
      <c r="Q3036">
        <v>7</v>
      </c>
      <c r="R3036" t="s">
        <v>43171</v>
      </c>
      <c r="S3036" t="s">
        <v>43311</v>
      </c>
      <c r="T3036" t="s">
        <v>44752</v>
      </c>
      <c r="U3036" t="s">
        <v>47692</v>
      </c>
      <c r="W3036" t="s">
        <v>40485</v>
      </c>
      <c r="X3036" t="s">
        <v>43174</v>
      </c>
    </row>
    <row r="3037" spans="1:24">
      <c r="A3037">
        <f>HYPERLINK("https://www.philgeps.gov.ph/GEPSNONPILOT/Tender/SplashBidNoticeAbstractUI.aspx?menuIndex=3&amp;refID=7077929&amp;Result=3","7077929")</f>
        <v>0</v>
      </c>
      <c r="B3037" t="s">
        <v>665</v>
      </c>
      <c r="C3037" t="s">
        <v>6317</v>
      </c>
      <c r="D3037" t="s">
        <v>17432</v>
      </c>
      <c r="E3037" t="s">
        <v>20139</v>
      </c>
      <c r="F3037" t="s">
        <v>30052</v>
      </c>
      <c r="G3037" t="s">
        <v>30059</v>
      </c>
      <c r="H3037" t="s">
        <v>15498</v>
      </c>
      <c r="I3037" t="s">
        <v>30073</v>
      </c>
      <c r="J3037" t="s">
        <v>30277</v>
      </c>
      <c r="K3037" t="s">
        <v>39029</v>
      </c>
      <c r="M3037" t="s">
        <v>39971</v>
      </c>
      <c r="N3037" t="s">
        <v>43166</v>
      </c>
      <c r="O3037" t="s">
        <v>43167</v>
      </c>
      <c r="P3037">
        <v>0</v>
      </c>
      <c r="Q3037">
        <v>0</v>
      </c>
      <c r="R3037" t="s">
        <v>43171</v>
      </c>
      <c r="S3037" t="s">
        <v>43311</v>
      </c>
      <c r="T3037" t="s">
        <v>44732</v>
      </c>
      <c r="U3037" t="s">
        <v>47693</v>
      </c>
      <c r="W3037" t="s">
        <v>39971</v>
      </c>
      <c r="X3037" t="s">
        <v>43174</v>
      </c>
    </row>
    <row r="3038" spans="1:24">
      <c r="A3038">
        <f>HYPERLINK("https://www.philgeps.gov.ph/GEPSNONPILOT/Tender/SplashBidNoticeAbstractUI.aspx?menuIndex=3&amp;refID=7077336&amp;Result=3","7077336")</f>
        <v>0</v>
      </c>
      <c r="B3038" t="s">
        <v>1152</v>
      </c>
      <c r="C3038" t="s">
        <v>6318</v>
      </c>
      <c r="D3038" t="s">
        <v>17444</v>
      </c>
      <c r="E3038" t="s">
        <v>20140</v>
      </c>
      <c r="F3038" t="s">
        <v>30052</v>
      </c>
      <c r="G3038" t="s">
        <v>30059</v>
      </c>
      <c r="H3038" t="s">
        <v>15498</v>
      </c>
      <c r="I3038" t="s">
        <v>30071</v>
      </c>
      <c r="J3038" t="s">
        <v>32238</v>
      </c>
      <c r="K3038" t="s">
        <v>39046</v>
      </c>
      <c r="M3038" t="s">
        <v>40496</v>
      </c>
      <c r="N3038" t="s">
        <v>43166</v>
      </c>
      <c r="O3038" t="s">
        <v>43167</v>
      </c>
      <c r="P3038">
        <v>0</v>
      </c>
      <c r="Q3038">
        <v>1</v>
      </c>
      <c r="R3038" t="s">
        <v>43171</v>
      </c>
      <c r="S3038" t="s">
        <v>43311</v>
      </c>
      <c r="T3038" t="s">
        <v>44856</v>
      </c>
      <c r="U3038" t="s">
        <v>47694</v>
      </c>
      <c r="V3038" t="s">
        <v>57178</v>
      </c>
      <c r="W3038" t="s">
        <v>40496</v>
      </c>
      <c r="X3038" t="s">
        <v>43174</v>
      </c>
    </row>
    <row r="3039" spans="1:24">
      <c r="A3039">
        <f>HYPERLINK("https://www.philgeps.gov.ph/GEPSNONPILOT/Tender/SplashBidNoticeAbstractUI.aspx?menuIndex=3&amp;refID=7077925&amp;Result=3","7077925")</f>
        <v>0</v>
      </c>
      <c r="B3039" t="s">
        <v>1142</v>
      </c>
      <c r="C3039" t="s">
        <v>6319</v>
      </c>
      <c r="E3039" t="s">
        <v>20141</v>
      </c>
      <c r="F3039" t="s">
        <v>30052</v>
      </c>
      <c r="G3039" t="s">
        <v>30058</v>
      </c>
      <c r="H3039" t="s">
        <v>15498</v>
      </c>
      <c r="I3039" t="s">
        <v>30130</v>
      </c>
      <c r="J3039" t="s">
        <v>30350</v>
      </c>
      <c r="K3039" t="s">
        <v>39025</v>
      </c>
      <c r="M3039" t="s">
        <v>40485</v>
      </c>
      <c r="N3039" t="s">
        <v>43166</v>
      </c>
      <c r="O3039" t="s">
        <v>43167</v>
      </c>
      <c r="P3039">
        <v>0</v>
      </c>
      <c r="Q3039">
        <v>7</v>
      </c>
      <c r="R3039" t="s">
        <v>43171</v>
      </c>
      <c r="S3039" t="s">
        <v>43311</v>
      </c>
      <c r="T3039" t="s">
        <v>44752</v>
      </c>
      <c r="U3039" t="s">
        <v>47695</v>
      </c>
      <c r="W3039" t="s">
        <v>40485</v>
      </c>
      <c r="X3039" t="s">
        <v>43174</v>
      </c>
    </row>
    <row r="3040" spans="1:24">
      <c r="A3040">
        <f>HYPERLINK("https://www.philgeps.gov.ph/GEPSNONPILOT/Tender/SplashBidNoticeAbstractUI.aspx?menuIndex=3&amp;refID=7078004&amp;Result=3","7078004")</f>
        <v>0</v>
      </c>
      <c r="B3040" t="s">
        <v>1000</v>
      </c>
      <c r="C3040" t="s">
        <v>6320</v>
      </c>
      <c r="D3040" t="s">
        <v>17422</v>
      </c>
      <c r="E3040" t="s">
        <v>20142</v>
      </c>
      <c r="F3040" t="s">
        <v>30052</v>
      </c>
      <c r="G3040" t="s">
        <v>30058</v>
      </c>
      <c r="H3040" t="s">
        <v>15498</v>
      </c>
      <c r="I3040" t="s">
        <v>30070</v>
      </c>
      <c r="J3040" t="s">
        <v>32239</v>
      </c>
      <c r="K3040" t="s">
        <v>39064</v>
      </c>
      <c r="M3040" t="s">
        <v>40505</v>
      </c>
      <c r="N3040" t="s">
        <v>43166</v>
      </c>
      <c r="O3040" t="s">
        <v>43167</v>
      </c>
      <c r="P3040">
        <v>0</v>
      </c>
      <c r="Q3040">
        <v>0</v>
      </c>
      <c r="R3040" t="s">
        <v>43171</v>
      </c>
      <c r="S3040" t="s">
        <v>43311</v>
      </c>
      <c r="T3040" t="s">
        <v>44705</v>
      </c>
      <c r="U3040" t="s">
        <v>47696</v>
      </c>
      <c r="V3040" t="s">
        <v>57175</v>
      </c>
      <c r="W3040" t="s">
        <v>40505</v>
      </c>
      <c r="X3040" t="s">
        <v>43174</v>
      </c>
    </row>
    <row r="3041" spans="1:24">
      <c r="A3041">
        <f>HYPERLINK("https://www.philgeps.gov.ph/GEPSNONPILOT/Tender/SplashBidNoticeAbstractUI.aspx?menuIndex=3&amp;refID=7077868&amp;Result=3","7077868")</f>
        <v>0</v>
      </c>
      <c r="B3041" t="s">
        <v>1000</v>
      </c>
      <c r="C3041" t="s">
        <v>6321</v>
      </c>
      <c r="D3041" t="s">
        <v>17422</v>
      </c>
      <c r="E3041" t="s">
        <v>20143</v>
      </c>
      <c r="F3041" t="s">
        <v>30052</v>
      </c>
      <c r="G3041" t="s">
        <v>30058</v>
      </c>
      <c r="H3041" t="s">
        <v>15498</v>
      </c>
      <c r="I3041" t="s">
        <v>9238</v>
      </c>
      <c r="J3041" t="s">
        <v>32240</v>
      </c>
      <c r="K3041" t="s">
        <v>39064</v>
      </c>
      <c r="M3041" t="s">
        <v>40505</v>
      </c>
      <c r="N3041" t="s">
        <v>43166</v>
      </c>
      <c r="O3041" t="s">
        <v>43167</v>
      </c>
      <c r="P3041">
        <v>0</v>
      </c>
      <c r="Q3041">
        <v>5</v>
      </c>
      <c r="R3041" t="s">
        <v>43171</v>
      </c>
      <c r="S3041" t="s">
        <v>43311</v>
      </c>
      <c r="T3041" t="s">
        <v>44705</v>
      </c>
      <c r="U3041" t="s">
        <v>47697</v>
      </c>
      <c r="V3041" t="s">
        <v>57175</v>
      </c>
      <c r="W3041" t="s">
        <v>40505</v>
      </c>
      <c r="X3041" t="s">
        <v>43174</v>
      </c>
    </row>
    <row r="3042" spans="1:24">
      <c r="A3042">
        <f>HYPERLINK("https://www.philgeps.gov.ph/GEPSNONPILOT/Tender/SplashBidNoticeAbstractUI.aspx?menuIndex=3&amp;refID=7077762&amp;Result=3","7077762")</f>
        <v>0</v>
      </c>
      <c r="B3042" t="s">
        <v>1160</v>
      </c>
      <c r="C3042" t="s">
        <v>6322</v>
      </c>
      <c r="D3042" t="s">
        <v>17442</v>
      </c>
      <c r="E3042" t="s">
        <v>20144</v>
      </c>
      <c r="F3042" t="s">
        <v>30052</v>
      </c>
      <c r="G3042" t="s">
        <v>30058</v>
      </c>
      <c r="H3042" t="s">
        <v>30067</v>
      </c>
      <c r="I3042" t="s">
        <v>3693</v>
      </c>
      <c r="J3042" t="s">
        <v>30252</v>
      </c>
      <c r="K3042" t="s">
        <v>39029</v>
      </c>
      <c r="M3042" t="s">
        <v>40506</v>
      </c>
      <c r="N3042" t="s">
        <v>43166</v>
      </c>
      <c r="O3042" t="s">
        <v>43167</v>
      </c>
      <c r="P3042">
        <v>0</v>
      </c>
      <c r="Q3042">
        <v>0</v>
      </c>
      <c r="R3042" t="s">
        <v>43171</v>
      </c>
      <c r="S3042" t="s">
        <v>43311</v>
      </c>
      <c r="T3042" t="s">
        <v>44753</v>
      </c>
      <c r="U3042" t="s">
        <v>47698</v>
      </c>
      <c r="W3042" t="s">
        <v>40506</v>
      </c>
      <c r="X3042" t="s">
        <v>43174</v>
      </c>
    </row>
    <row r="3043" spans="1:24">
      <c r="A3043">
        <f>HYPERLINK("https://www.philgeps.gov.ph/GEPSNONPILOT/Tender/SplashBidNoticeAbstractUI.aspx?menuIndex=3&amp;refID=7077950&amp;Result=3","7077950")</f>
        <v>0</v>
      </c>
      <c r="B3043" t="s">
        <v>1000</v>
      </c>
      <c r="C3043" t="s">
        <v>6323</v>
      </c>
      <c r="D3043" t="s">
        <v>17422</v>
      </c>
      <c r="E3043" t="s">
        <v>20145</v>
      </c>
      <c r="F3043" t="s">
        <v>30052</v>
      </c>
      <c r="G3043" t="s">
        <v>30058</v>
      </c>
      <c r="H3043" t="s">
        <v>15498</v>
      </c>
      <c r="I3043" t="s">
        <v>30076</v>
      </c>
      <c r="J3043" t="s">
        <v>32241</v>
      </c>
      <c r="K3043" t="s">
        <v>39064</v>
      </c>
      <c r="M3043" t="s">
        <v>40505</v>
      </c>
      <c r="N3043" t="s">
        <v>43166</v>
      </c>
      <c r="O3043" t="s">
        <v>43167</v>
      </c>
      <c r="P3043">
        <v>0</v>
      </c>
      <c r="Q3043">
        <v>3</v>
      </c>
      <c r="R3043" t="s">
        <v>43171</v>
      </c>
      <c r="S3043" t="s">
        <v>43311</v>
      </c>
      <c r="T3043" t="s">
        <v>44752</v>
      </c>
      <c r="U3043" t="s">
        <v>47699</v>
      </c>
      <c r="V3043" t="s">
        <v>57175</v>
      </c>
      <c r="W3043" t="s">
        <v>40505</v>
      </c>
      <c r="X3043" t="s">
        <v>43174</v>
      </c>
    </row>
    <row r="3044" spans="1:24">
      <c r="A3044">
        <f>HYPERLINK("https://www.philgeps.gov.ph/GEPSNONPILOT/Tender/SplashBidNoticeAbstractUI.aspx?menuIndex=3&amp;refID=7077834&amp;Result=3","7077834")</f>
        <v>0</v>
      </c>
      <c r="B3044" t="s">
        <v>296</v>
      </c>
      <c r="C3044" t="s">
        <v>6324</v>
      </c>
      <c r="D3044" t="s">
        <v>17437</v>
      </c>
      <c r="E3044" t="s">
        <v>20146</v>
      </c>
      <c r="F3044" t="s">
        <v>30052</v>
      </c>
      <c r="G3044" t="s">
        <v>30059</v>
      </c>
      <c r="H3044" t="s">
        <v>15498</v>
      </c>
      <c r="I3044" t="s">
        <v>30092</v>
      </c>
      <c r="J3044" t="s">
        <v>30439</v>
      </c>
      <c r="K3044" t="s">
        <v>39034</v>
      </c>
      <c r="M3044" t="s">
        <v>40504</v>
      </c>
      <c r="N3044" t="s">
        <v>43166</v>
      </c>
      <c r="O3044" t="s">
        <v>43167</v>
      </c>
      <c r="P3044">
        <v>0</v>
      </c>
      <c r="Q3044">
        <v>2</v>
      </c>
      <c r="R3044" t="s">
        <v>43171</v>
      </c>
      <c r="S3044" t="s">
        <v>43311</v>
      </c>
      <c r="T3044" t="s">
        <v>44714</v>
      </c>
      <c r="U3044" t="s">
        <v>47700</v>
      </c>
      <c r="V3044" t="s">
        <v>56934</v>
      </c>
      <c r="W3044" t="s">
        <v>40504</v>
      </c>
      <c r="X3044" t="s">
        <v>43174</v>
      </c>
    </row>
    <row r="3045" spans="1:24">
      <c r="A3045">
        <f>HYPERLINK("https://www.philgeps.gov.ph/GEPSNONPILOT/Tender/SplashBidNoticeAbstractUI.aspx?menuIndex=3&amp;refID=7077785&amp;Result=3","7077785")</f>
        <v>0</v>
      </c>
      <c r="B3045" t="s">
        <v>63</v>
      </c>
      <c r="C3045" t="s">
        <v>6325</v>
      </c>
      <c r="E3045" t="s">
        <v>20147</v>
      </c>
      <c r="F3045" t="s">
        <v>30052</v>
      </c>
      <c r="G3045" t="s">
        <v>30059</v>
      </c>
      <c r="H3045" t="s">
        <v>15498</v>
      </c>
      <c r="I3045" t="s">
        <v>30172</v>
      </c>
      <c r="J3045" t="s">
        <v>32242</v>
      </c>
      <c r="K3045" t="s">
        <v>39025</v>
      </c>
      <c r="M3045" t="s">
        <v>39352</v>
      </c>
      <c r="N3045" t="s">
        <v>43166</v>
      </c>
      <c r="O3045" t="s">
        <v>43167</v>
      </c>
      <c r="P3045">
        <v>0</v>
      </c>
      <c r="Q3045">
        <v>0</v>
      </c>
      <c r="R3045" t="s">
        <v>43171</v>
      </c>
      <c r="S3045" t="s">
        <v>43311</v>
      </c>
      <c r="T3045" t="s">
        <v>44844</v>
      </c>
      <c r="U3045" t="s">
        <v>47652</v>
      </c>
      <c r="W3045" t="s">
        <v>39352</v>
      </c>
      <c r="X3045" t="s">
        <v>43174</v>
      </c>
    </row>
    <row r="3046" spans="1:24">
      <c r="A3046">
        <f>HYPERLINK("https://www.philgeps.gov.ph/GEPSNONPILOT/Tender/SplashBidNoticeAbstractUI.aspx?menuIndex=3&amp;refID=7077923&amp;Result=3","7077923")</f>
        <v>0</v>
      </c>
      <c r="B3046" t="s">
        <v>1000</v>
      </c>
      <c r="C3046" t="s">
        <v>6326</v>
      </c>
      <c r="D3046" t="s">
        <v>17422</v>
      </c>
      <c r="E3046" t="s">
        <v>20148</v>
      </c>
      <c r="F3046" t="s">
        <v>30052</v>
      </c>
      <c r="G3046" t="s">
        <v>30058</v>
      </c>
      <c r="H3046" t="s">
        <v>15498</v>
      </c>
      <c r="I3046" t="s">
        <v>30076</v>
      </c>
      <c r="J3046" t="s">
        <v>32243</v>
      </c>
      <c r="K3046" t="s">
        <v>39064</v>
      </c>
      <c r="M3046" t="s">
        <v>40505</v>
      </c>
      <c r="N3046" t="s">
        <v>43166</v>
      </c>
      <c r="O3046" t="s">
        <v>43167</v>
      </c>
      <c r="P3046">
        <v>0</v>
      </c>
      <c r="Q3046">
        <v>2</v>
      </c>
      <c r="R3046" t="s">
        <v>43171</v>
      </c>
      <c r="S3046" t="s">
        <v>43311</v>
      </c>
      <c r="T3046" t="s">
        <v>44710</v>
      </c>
      <c r="U3046" t="s">
        <v>47701</v>
      </c>
      <c r="V3046" t="s">
        <v>57175</v>
      </c>
      <c r="W3046" t="s">
        <v>40505</v>
      </c>
      <c r="X3046" t="s">
        <v>43174</v>
      </c>
    </row>
    <row r="3047" spans="1:24">
      <c r="A3047">
        <f>HYPERLINK("https://www.philgeps.gov.ph/GEPSNONPILOT/Tender/SplashBidNoticeAbstractUI.aspx?menuIndex=3&amp;refID=7077903&amp;Result=3","7077903")</f>
        <v>0</v>
      </c>
      <c r="B3047" t="s">
        <v>1142</v>
      </c>
      <c r="C3047" t="s">
        <v>6327</v>
      </c>
      <c r="E3047" t="s">
        <v>20149</v>
      </c>
      <c r="F3047" t="s">
        <v>30052</v>
      </c>
      <c r="G3047" t="s">
        <v>30058</v>
      </c>
      <c r="H3047" t="s">
        <v>15498</v>
      </c>
      <c r="I3047" t="s">
        <v>30130</v>
      </c>
      <c r="J3047" t="s">
        <v>32244</v>
      </c>
      <c r="K3047" t="s">
        <v>39025</v>
      </c>
      <c r="M3047" t="s">
        <v>40485</v>
      </c>
      <c r="N3047" t="s">
        <v>43166</v>
      </c>
      <c r="O3047" t="s">
        <v>43167</v>
      </c>
      <c r="P3047">
        <v>0</v>
      </c>
      <c r="Q3047">
        <v>4</v>
      </c>
      <c r="R3047" t="s">
        <v>43171</v>
      </c>
      <c r="S3047" t="s">
        <v>43311</v>
      </c>
      <c r="T3047" t="s">
        <v>44752</v>
      </c>
      <c r="U3047" t="s">
        <v>47702</v>
      </c>
      <c r="W3047" t="s">
        <v>40485</v>
      </c>
      <c r="X3047" t="s">
        <v>43174</v>
      </c>
    </row>
    <row r="3048" spans="1:24">
      <c r="A3048">
        <f>HYPERLINK("https://www.philgeps.gov.ph/GEPSNONPILOT/Tender/SplashBidNoticeAbstractUI.aspx?menuIndex=3&amp;refID=7077947&amp;Result=3","7077947")</f>
        <v>0</v>
      </c>
      <c r="B3048" t="s">
        <v>1142</v>
      </c>
      <c r="C3048" t="s">
        <v>6328</v>
      </c>
      <c r="E3048" t="s">
        <v>20150</v>
      </c>
      <c r="F3048" t="s">
        <v>30052</v>
      </c>
      <c r="G3048" t="s">
        <v>30058</v>
      </c>
      <c r="H3048" t="s">
        <v>15498</v>
      </c>
      <c r="I3048" t="s">
        <v>30130</v>
      </c>
      <c r="J3048" t="s">
        <v>32245</v>
      </c>
      <c r="K3048" t="s">
        <v>39025</v>
      </c>
      <c r="M3048" t="s">
        <v>40485</v>
      </c>
      <c r="N3048" t="s">
        <v>43166</v>
      </c>
      <c r="O3048" t="s">
        <v>43167</v>
      </c>
      <c r="P3048">
        <v>0</v>
      </c>
      <c r="Q3048">
        <v>13</v>
      </c>
      <c r="R3048" t="s">
        <v>43171</v>
      </c>
      <c r="S3048" t="s">
        <v>43311</v>
      </c>
      <c r="T3048" t="s">
        <v>44752</v>
      </c>
      <c r="U3048" t="s">
        <v>47703</v>
      </c>
      <c r="W3048" t="s">
        <v>40485</v>
      </c>
      <c r="X3048" t="s">
        <v>43174</v>
      </c>
    </row>
    <row r="3049" spans="1:24">
      <c r="A3049">
        <f>HYPERLINK("https://www.philgeps.gov.ph/GEPSNONPILOT/Tender/SplashBidNoticeAbstractUI.aspx?menuIndex=3&amp;refID=7077937&amp;Result=3","7077937")</f>
        <v>0</v>
      </c>
      <c r="B3049" t="s">
        <v>1142</v>
      </c>
      <c r="C3049" t="s">
        <v>6329</v>
      </c>
      <c r="E3049" t="s">
        <v>20151</v>
      </c>
      <c r="F3049" t="s">
        <v>30052</v>
      </c>
      <c r="G3049" t="s">
        <v>30058</v>
      </c>
      <c r="H3049" t="s">
        <v>15498</v>
      </c>
      <c r="I3049" t="s">
        <v>30130</v>
      </c>
      <c r="J3049" t="s">
        <v>30557</v>
      </c>
      <c r="K3049" t="s">
        <v>39025</v>
      </c>
      <c r="M3049" t="s">
        <v>40485</v>
      </c>
      <c r="N3049" t="s">
        <v>43166</v>
      </c>
      <c r="O3049" t="s">
        <v>43167</v>
      </c>
      <c r="P3049">
        <v>0</v>
      </c>
      <c r="Q3049">
        <v>9</v>
      </c>
      <c r="R3049" t="s">
        <v>43171</v>
      </c>
      <c r="S3049" t="s">
        <v>43311</v>
      </c>
      <c r="T3049" t="s">
        <v>44752</v>
      </c>
      <c r="U3049" t="s">
        <v>47704</v>
      </c>
      <c r="W3049" t="s">
        <v>40485</v>
      </c>
      <c r="X3049" t="s">
        <v>43174</v>
      </c>
    </row>
    <row r="3050" spans="1:24">
      <c r="A3050">
        <f>HYPERLINK("https://www.philgeps.gov.ph/GEPSNONPILOT/Tender/SplashBidNoticeAbstractUI.aspx?menuIndex=3&amp;refID=7078206&amp;Result=3","7078206")</f>
        <v>0</v>
      </c>
      <c r="B3050" t="s">
        <v>1161</v>
      </c>
      <c r="C3050" t="s">
        <v>6330</v>
      </c>
      <c r="D3050" t="s">
        <v>17468</v>
      </c>
      <c r="E3050" t="s">
        <v>20152</v>
      </c>
      <c r="F3050" t="s">
        <v>30052</v>
      </c>
      <c r="G3050" t="s">
        <v>30058</v>
      </c>
      <c r="H3050" t="s">
        <v>15498</v>
      </c>
      <c r="I3050" t="s">
        <v>30074</v>
      </c>
      <c r="J3050" t="s">
        <v>31684</v>
      </c>
      <c r="K3050" t="s">
        <v>39032</v>
      </c>
      <c r="M3050" t="s">
        <v>40507</v>
      </c>
      <c r="N3050" t="s">
        <v>43166</v>
      </c>
      <c r="O3050" t="s">
        <v>43167</v>
      </c>
      <c r="P3050">
        <v>0</v>
      </c>
      <c r="Q3050">
        <v>5</v>
      </c>
      <c r="R3050" t="s">
        <v>43171</v>
      </c>
      <c r="S3050" t="s">
        <v>43311</v>
      </c>
      <c r="T3050" t="s">
        <v>44684</v>
      </c>
      <c r="U3050" t="s">
        <v>47705</v>
      </c>
      <c r="W3050" t="s">
        <v>40507</v>
      </c>
      <c r="X3050" t="s">
        <v>43174</v>
      </c>
    </row>
    <row r="3051" spans="1:24">
      <c r="A3051">
        <f>HYPERLINK("https://www.philgeps.gov.ph/GEPSNONPILOT/Tender/SplashBidNoticeAbstractUI.aspx?menuIndex=3&amp;refID=7078191&amp;Result=3","7078191")</f>
        <v>0</v>
      </c>
      <c r="B3051" t="s">
        <v>1161</v>
      </c>
      <c r="C3051" t="s">
        <v>6331</v>
      </c>
      <c r="D3051" t="s">
        <v>17468</v>
      </c>
      <c r="E3051" t="s">
        <v>19626</v>
      </c>
      <c r="F3051" t="s">
        <v>30052</v>
      </c>
      <c r="G3051" t="s">
        <v>30058</v>
      </c>
      <c r="H3051" t="s">
        <v>15498</v>
      </c>
      <c r="I3051" t="s">
        <v>30074</v>
      </c>
      <c r="J3051" t="s">
        <v>32246</v>
      </c>
      <c r="K3051" t="s">
        <v>39032</v>
      </c>
      <c r="M3051" t="s">
        <v>40507</v>
      </c>
      <c r="N3051" t="s">
        <v>43166</v>
      </c>
      <c r="O3051" t="s">
        <v>43167</v>
      </c>
      <c r="P3051">
        <v>0</v>
      </c>
      <c r="Q3051">
        <v>6</v>
      </c>
      <c r="R3051" t="s">
        <v>43171</v>
      </c>
      <c r="S3051" t="s">
        <v>43311</v>
      </c>
      <c r="T3051" t="s">
        <v>44684</v>
      </c>
      <c r="U3051" t="s">
        <v>47706</v>
      </c>
      <c r="V3051" t="s">
        <v>57179</v>
      </c>
      <c r="W3051" t="s">
        <v>40507</v>
      </c>
      <c r="X3051" t="s">
        <v>43174</v>
      </c>
    </row>
    <row r="3052" spans="1:24">
      <c r="A3052">
        <f>HYPERLINK("https://www.philgeps.gov.ph/GEPSNONPILOT/Tender/SplashBidNoticeAbstractUI.aspx?menuIndex=3&amp;refID=7077794&amp;Result=3","7077794")</f>
        <v>0</v>
      </c>
      <c r="B3052" t="s">
        <v>1155</v>
      </c>
      <c r="C3052" t="s">
        <v>6332</v>
      </c>
      <c r="D3052" t="s">
        <v>17449</v>
      </c>
      <c r="E3052" t="s">
        <v>20153</v>
      </c>
      <c r="F3052" t="s">
        <v>30052</v>
      </c>
      <c r="G3052" t="s">
        <v>30059</v>
      </c>
      <c r="H3052" t="s">
        <v>15498</v>
      </c>
      <c r="I3052" t="s">
        <v>30140</v>
      </c>
      <c r="J3052" t="s">
        <v>30916</v>
      </c>
      <c r="K3052" t="s">
        <v>39019</v>
      </c>
      <c r="M3052" t="s">
        <v>40499</v>
      </c>
      <c r="N3052" t="s">
        <v>43166</v>
      </c>
      <c r="O3052" t="s">
        <v>43167</v>
      </c>
      <c r="P3052">
        <v>0</v>
      </c>
      <c r="Q3052">
        <v>0</v>
      </c>
      <c r="R3052" t="s">
        <v>43171</v>
      </c>
      <c r="S3052" t="s">
        <v>43311</v>
      </c>
      <c r="T3052" t="s">
        <v>44721</v>
      </c>
      <c r="U3052" t="s">
        <v>47670</v>
      </c>
      <c r="V3052" t="s">
        <v>57180</v>
      </c>
      <c r="W3052" t="s">
        <v>40499</v>
      </c>
      <c r="X3052" t="s">
        <v>43174</v>
      </c>
    </row>
    <row r="3053" spans="1:24">
      <c r="A3053">
        <f>HYPERLINK("https://www.philgeps.gov.ph/GEPSNONPILOT/Tender/SplashBidNoticeAbstractUI.aspx?menuIndex=3&amp;refID=7078184&amp;Result=3","7078184")</f>
        <v>0</v>
      </c>
      <c r="B3053" t="s">
        <v>296</v>
      </c>
      <c r="C3053" t="s">
        <v>6333</v>
      </c>
      <c r="E3053" t="s">
        <v>20154</v>
      </c>
      <c r="F3053" t="s">
        <v>30052</v>
      </c>
      <c r="G3053" t="s">
        <v>30059</v>
      </c>
      <c r="H3053" t="s">
        <v>15498</v>
      </c>
      <c r="I3053" t="s">
        <v>30117</v>
      </c>
      <c r="J3053" t="s">
        <v>32247</v>
      </c>
      <c r="K3053" t="s">
        <v>39025</v>
      </c>
      <c r="M3053" t="s">
        <v>40504</v>
      </c>
      <c r="N3053" t="s">
        <v>43166</v>
      </c>
      <c r="O3053" t="s">
        <v>43167</v>
      </c>
      <c r="P3053">
        <v>0</v>
      </c>
      <c r="Q3053">
        <v>1</v>
      </c>
      <c r="R3053" t="s">
        <v>43171</v>
      </c>
      <c r="S3053" t="s">
        <v>43311</v>
      </c>
      <c r="T3053" t="s">
        <v>44714</v>
      </c>
      <c r="U3053" t="s">
        <v>47707</v>
      </c>
      <c r="V3053" t="s">
        <v>56925</v>
      </c>
      <c r="W3053" t="s">
        <v>40504</v>
      </c>
      <c r="X3053" t="s">
        <v>43174</v>
      </c>
    </row>
    <row r="3054" spans="1:24">
      <c r="A3054">
        <f>HYPERLINK("https://www.philgeps.gov.ph/GEPSNONPILOT/Tender/SplashBidNoticeAbstractUI.aspx?menuIndex=3&amp;refID=7078160&amp;Result=3","7078160")</f>
        <v>0</v>
      </c>
      <c r="B3054" t="s">
        <v>1162</v>
      </c>
      <c r="C3054" t="s">
        <v>6334</v>
      </c>
      <c r="D3054" t="s">
        <v>17472</v>
      </c>
      <c r="E3054" t="s">
        <v>20155</v>
      </c>
      <c r="F3054" t="s">
        <v>30052</v>
      </c>
      <c r="G3054" t="s">
        <v>30058</v>
      </c>
      <c r="H3054" t="s">
        <v>15498</v>
      </c>
      <c r="I3054" t="s">
        <v>30124</v>
      </c>
      <c r="J3054" t="s">
        <v>30252</v>
      </c>
      <c r="K3054" t="s">
        <v>39025</v>
      </c>
      <c r="M3054" t="s">
        <v>40508</v>
      </c>
      <c r="N3054" t="s">
        <v>43166</v>
      </c>
      <c r="O3054" t="s">
        <v>43167</v>
      </c>
      <c r="P3054">
        <v>0</v>
      </c>
      <c r="Q3054">
        <v>3</v>
      </c>
      <c r="R3054" t="s">
        <v>43171</v>
      </c>
      <c r="S3054" t="s">
        <v>43311</v>
      </c>
      <c r="T3054" t="s">
        <v>44806</v>
      </c>
      <c r="U3054" t="s">
        <v>47708</v>
      </c>
      <c r="W3054" t="s">
        <v>40508</v>
      </c>
      <c r="X3054" t="s">
        <v>43174</v>
      </c>
    </row>
    <row r="3055" spans="1:24">
      <c r="A3055">
        <f>HYPERLINK("https://www.philgeps.gov.ph/GEPSNONPILOT/Tender/SplashBidNoticeAbstractUI.aspx?menuIndex=3&amp;refID=7077981&amp;Result=3","7077981")</f>
        <v>0</v>
      </c>
      <c r="B3055" t="s">
        <v>1142</v>
      </c>
      <c r="C3055" t="s">
        <v>6335</v>
      </c>
      <c r="E3055" t="s">
        <v>20156</v>
      </c>
      <c r="F3055" t="s">
        <v>30052</v>
      </c>
      <c r="G3055" t="s">
        <v>30058</v>
      </c>
      <c r="H3055" t="s">
        <v>15498</v>
      </c>
      <c r="I3055" t="s">
        <v>30130</v>
      </c>
      <c r="J3055" t="s">
        <v>32248</v>
      </c>
      <c r="K3055" t="s">
        <v>39025</v>
      </c>
      <c r="M3055" t="s">
        <v>40485</v>
      </c>
      <c r="N3055" t="s">
        <v>43166</v>
      </c>
      <c r="O3055" t="s">
        <v>43167</v>
      </c>
      <c r="P3055">
        <v>0</v>
      </c>
      <c r="Q3055">
        <v>8</v>
      </c>
      <c r="R3055" t="s">
        <v>43171</v>
      </c>
      <c r="S3055" t="s">
        <v>43311</v>
      </c>
      <c r="T3055" t="s">
        <v>44752</v>
      </c>
      <c r="U3055" t="s">
        <v>47709</v>
      </c>
      <c r="W3055" t="s">
        <v>40485</v>
      </c>
      <c r="X3055" t="s">
        <v>43174</v>
      </c>
    </row>
    <row r="3056" spans="1:24">
      <c r="A3056">
        <f>HYPERLINK("https://www.philgeps.gov.ph/GEPSNONPILOT/Tender/SplashBidNoticeAbstractUI.aspx?menuIndex=3&amp;refID=7078158&amp;Result=3","7078158")</f>
        <v>0</v>
      </c>
      <c r="B3056" t="s">
        <v>1056</v>
      </c>
      <c r="C3056" t="s">
        <v>6336</v>
      </c>
      <c r="D3056" t="s">
        <v>17422</v>
      </c>
      <c r="E3056" t="s">
        <v>20157</v>
      </c>
      <c r="F3056" t="s">
        <v>30052</v>
      </c>
      <c r="G3056" t="s">
        <v>30059</v>
      </c>
      <c r="H3056" t="s">
        <v>15498</v>
      </c>
      <c r="I3056" t="s">
        <v>30076</v>
      </c>
      <c r="J3056" t="s">
        <v>32249</v>
      </c>
      <c r="K3056" t="s">
        <v>39017</v>
      </c>
      <c r="M3056" t="s">
        <v>40391</v>
      </c>
      <c r="N3056" t="s">
        <v>43166</v>
      </c>
      <c r="O3056" t="s">
        <v>43167</v>
      </c>
      <c r="P3056">
        <v>0</v>
      </c>
      <c r="Q3056">
        <v>5</v>
      </c>
      <c r="R3056" t="s">
        <v>43171</v>
      </c>
      <c r="S3056" t="s">
        <v>43311</v>
      </c>
      <c r="T3056" t="s">
        <v>44685</v>
      </c>
      <c r="U3056" t="s">
        <v>47430</v>
      </c>
      <c r="W3056" t="s">
        <v>40391</v>
      </c>
      <c r="X3056" t="s">
        <v>43174</v>
      </c>
    </row>
    <row r="3057" spans="1:24">
      <c r="A3057">
        <f>HYPERLINK("https://www.philgeps.gov.ph/GEPSNONPILOT/Tender/SplashBidNoticeAbstractUI.aspx?menuIndex=3&amp;refID=7078127&amp;Result=3","7078127")</f>
        <v>0</v>
      </c>
      <c r="B3057" t="s">
        <v>1142</v>
      </c>
      <c r="C3057" t="s">
        <v>6337</v>
      </c>
      <c r="E3057" t="s">
        <v>20158</v>
      </c>
      <c r="F3057" t="s">
        <v>30052</v>
      </c>
      <c r="G3057" t="s">
        <v>30058</v>
      </c>
      <c r="H3057" t="s">
        <v>15498</v>
      </c>
      <c r="I3057" t="s">
        <v>30130</v>
      </c>
      <c r="J3057" t="s">
        <v>32250</v>
      </c>
      <c r="K3057" t="s">
        <v>39025</v>
      </c>
      <c r="M3057" t="s">
        <v>40485</v>
      </c>
      <c r="N3057" t="s">
        <v>43166</v>
      </c>
      <c r="O3057" t="s">
        <v>43167</v>
      </c>
      <c r="P3057">
        <v>0</v>
      </c>
      <c r="Q3057">
        <v>10</v>
      </c>
      <c r="R3057" t="s">
        <v>43171</v>
      </c>
      <c r="S3057" t="s">
        <v>43311</v>
      </c>
      <c r="T3057" t="s">
        <v>44752</v>
      </c>
      <c r="U3057" t="s">
        <v>47710</v>
      </c>
      <c r="W3057" t="s">
        <v>40485</v>
      </c>
      <c r="X3057" t="s">
        <v>43174</v>
      </c>
    </row>
    <row r="3058" spans="1:24">
      <c r="A3058">
        <f>HYPERLINK("https://www.philgeps.gov.ph/GEPSNONPILOT/Tender/SplashBidNoticeAbstractUI.aspx?menuIndex=3&amp;refID=7078199&amp;Result=3","7078199")</f>
        <v>0</v>
      </c>
      <c r="B3058" t="s">
        <v>1142</v>
      </c>
      <c r="C3058" t="s">
        <v>6338</v>
      </c>
      <c r="E3058" t="s">
        <v>20159</v>
      </c>
      <c r="F3058" t="s">
        <v>30052</v>
      </c>
      <c r="G3058" t="s">
        <v>30058</v>
      </c>
      <c r="H3058" t="s">
        <v>15498</v>
      </c>
      <c r="I3058" t="s">
        <v>30130</v>
      </c>
      <c r="J3058" t="s">
        <v>32251</v>
      </c>
      <c r="K3058" t="s">
        <v>39025</v>
      </c>
      <c r="M3058" t="s">
        <v>40485</v>
      </c>
      <c r="N3058" t="s">
        <v>43166</v>
      </c>
      <c r="O3058" t="s">
        <v>43167</v>
      </c>
      <c r="P3058">
        <v>0</v>
      </c>
      <c r="Q3058">
        <v>9</v>
      </c>
      <c r="R3058" t="s">
        <v>43171</v>
      </c>
      <c r="S3058" t="s">
        <v>43311</v>
      </c>
      <c r="T3058" t="s">
        <v>44752</v>
      </c>
      <c r="U3058" t="s">
        <v>47711</v>
      </c>
      <c r="W3058" t="s">
        <v>40485</v>
      </c>
      <c r="X3058" t="s">
        <v>43174</v>
      </c>
    </row>
    <row r="3059" spans="1:24">
      <c r="A3059">
        <f>HYPERLINK("https://www.philgeps.gov.ph/GEPSNONPILOT/Tender/SplashBidNoticeAbstractUI.aspx?menuIndex=3&amp;refID=7078190&amp;Result=3","7078190")</f>
        <v>0</v>
      </c>
      <c r="B3059" t="s">
        <v>1142</v>
      </c>
      <c r="C3059" t="s">
        <v>6339</v>
      </c>
      <c r="E3059" t="s">
        <v>20160</v>
      </c>
      <c r="F3059" t="s">
        <v>30052</v>
      </c>
      <c r="G3059" t="s">
        <v>30058</v>
      </c>
      <c r="H3059" t="s">
        <v>15498</v>
      </c>
      <c r="I3059" t="s">
        <v>30130</v>
      </c>
      <c r="J3059" t="s">
        <v>32252</v>
      </c>
      <c r="K3059" t="s">
        <v>39025</v>
      </c>
      <c r="M3059" t="s">
        <v>40485</v>
      </c>
      <c r="N3059" t="s">
        <v>43166</v>
      </c>
      <c r="O3059" t="s">
        <v>43167</v>
      </c>
      <c r="P3059">
        <v>0</v>
      </c>
      <c r="Q3059">
        <v>7</v>
      </c>
      <c r="R3059" t="s">
        <v>43171</v>
      </c>
      <c r="S3059" t="s">
        <v>43311</v>
      </c>
      <c r="T3059" t="s">
        <v>44752</v>
      </c>
      <c r="U3059" t="s">
        <v>47712</v>
      </c>
      <c r="W3059" t="s">
        <v>40485</v>
      </c>
      <c r="X3059" t="s">
        <v>43174</v>
      </c>
    </row>
    <row r="3060" spans="1:24">
      <c r="A3060">
        <f>HYPERLINK("https://www.philgeps.gov.ph/GEPSNONPILOT/Tender/SplashBidNoticeAbstractUI.aspx?menuIndex=3&amp;refID=7078023&amp;Result=3","7078023")</f>
        <v>0</v>
      </c>
      <c r="B3060" t="s">
        <v>1142</v>
      </c>
      <c r="C3060" t="s">
        <v>6340</v>
      </c>
      <c r="E3060" t="s">
        <v>20161</v>
      </c>
      <c r="F3060" t="s">
        <v>30052</v>
      </c>
      <c r="G3060" t="s">
        <v>30058</v>
      </c>
      <c r="H3060" t="s">
        <v>15498</v>
      </c>
      <c r="I3060" t="s">
        <v>30130</v>
      </c>
      <c r="J3060" t="s">
        <v>30281</v>
      </c>
      <c r="K3060" t="s">
        <v>39025</v>
      </c>
      <c r="M3060" t="s">
        <v>40485</v>
      </c>
      <c r="N3060" t="s">
        <v>43166</v>
      </c>
      <c r="O3060" t="s">
        <v>43167</v>
      </c>
      <c r="P3060">
        <v>0</v>
      </c>
      <c r="Q3060">
        <v>5</v>
      </c>
      <c r="R3060" t="s">
        <v>43171</v>
      </c>
      <c r="S3060" t="s">
        <v>43311</v>
      </c>
      <c r="T3060" t="s">
        <v>44752</v>
      </c>
      <c r="U3060" t="s">
        <v>47713</v>
      </c>
      <c r="W3060" t="s">
        <v>40485</v>
      </c>
      <c r="X3060" t="s">
        <v>43174</v>
      </c>
    </row>
    <row r="3061" spans="1:24">
      <c r="A3061">
        <f>HYPERLINK("https://www.philgeps.gov.ph/GEPSNONPILOT/Tender/SplashBidNoticeAbstractUI.aspx?menuIndex=3&amp;refID=7078083&amp;Result=3","7078083")</f>
        <v>0</v>
      </c>
      <c r="B3061" t="s">
        <v>63</v>
      </c>
      <c r="C3061" t="s">
        <v>6341</v>
      </c>
      <c r="E3061" t="s">
        <v>20162</v>
      </c>
      <c r="F3061" t="s">
        <v>30052</v>
      </c>
      <c r="G3061" t="s">
        <v>30059</v>
      </c>
      <c r="H3061" t="s">
        <v>15498</v>
      </c>
      <c r="I3061" t="s">
        <v>30172</v>
      </c>
      <c r="J3061" t="s">
        <v>30263</v>
      </c>
      <c r="K3061" t="s">
        <v>39025</v>
      </c>
      <c r="M3061" t="s">
        <v>39352</v>
      </c>
      <c r="N3061" t="s">
        <v>43166</v>
      </c>
      <c r="O3061" t="s">
        <v>43167</v>
      </c>
      <c r="P3061">
        <v>0</v>
      </c>
      <c r="Q3061">
        <v>0</v>
      </c>
      <c r="R3061" t="s">
        <v>43171</v>
      </c>
      <c r="S3061" t="s">
        <v>43311</v>
      </c>
      <c r="T3061" t="s">
        <v>44844</v>
      </c>
      <c r="U3061" t="s">
        <v>47652</v>
      </c>
      <c r="W3061" t="s">
        <v>39352</v>
      </c>
      <c r="X3061" t="s">
        <v>43174</v>
      </c>
    </row>
    <row r="3062" spans="1:24">
      <c r="A3062">
        <f>HYPERLINK("https://www.philgeps.gov.ph/GEPSNONPILOT/Tender/SplashBidNoticeAbstractUI.aspx?menuIndex=3&amp;refID=7078142&amp;Result=3","7078142")</f>
        <v>0</v>
      </c>
      <c r="B3062" t="s">
        <v>1142</v>
      </c>
      <c r="C3062" t="s">
        <v>6342</v>
      </c>
      <c r="E3062" t="s">
        <v>20163</v>
      </c>
      <c r="F3062" t="s">
        <v>30052</v>
      </c>
      <c r="G3062" t="s">
        <v>30058</v>
      </c>
      <c r="H3062" t="s">
        <v>15498</v>
      </c>
      <c r="I3062" t="s">
        <v>30130</v>
      </c>
      <c r="J3062" t="s">
        <v>32253</v>
      </c>
      <c r="K3062" t="s">
        <v>39025</v>
      </c>
      <c r="M3062" t="s">
        <v>40485</v>
      </c>
      <c r="N3062" t="s">
        <v>43166</v>
      </c>
      <c r="O3062" t="s">
        <v>43167</v>
      </c>
      <c r="P3062">
        <v>0</v>
      </c>
      <c r="Q3062">
        <v>5</v>
      </c>
      <c r="R3062" t="s">
        <v>43171</v>
      </c>
      <c r="S3062" t="s">
        <v>43311</v>
      </c>
      <c r="T3062" t="s">
        <v>44752</v>
      </c>
      <c r="U3062" t="s">
        <v>47714</v>
      </c>
      <c r="W3062" t="s">
        <v>40485</v>
      </c>
      <c r="X3062" t="s">
        <v>43174</v>
      </c>
    </row>
    <row r="3063" spans="1:24">
      <c r="A3063">
        <f>HYPERLINK("https://www.philgeps.gov.ph/GEPSNONPILOT/Tender/SplashBidNoticeAbstractUI.aspx?menuIndex=3&amp;refID=7078987&amp;Result=3","7078987")</f>
        <v>0</v>
      </c>
      <c r="B3063" t="s">
        <v>1163</v>
      </c>
      <c r="C3063" t="s">
        <v>6343</v>
      </c>
      <c r="D3063" t="s">
        <v>17464</v>
      </c>
      <c r="E3063" t="s">
        <v>20164</v>
      </c>
      <c r="F3063" t="s">
        <v>30052</v>
      </c>
      <c r="G3063" t="s">
        <v>30058</v>
      </c>
      <c r="H3063" t="s">
        <v>30067</v>
      </c>
      <c r="I3063" t="s">
        <v>3693</v>
      </c>
      <c r="J3063" t="s">
        <v>30683</v>
      </c>
      <c r="K3063" t="s">
        <v>39046</v>
      </c>
      <c r="M3063" t="s">
        <v>40509</v>
      </c>
      <c r="N3063" t="s">
        <v>43166</v>
      </c>
      <c r="O3063" t="s">
        <v>43167</v>
      </c>
      <c r="P3063">
        <v>0</v>
      </c>
      <c r="Q3063">
        <v>0</v>
      </c>
      <c r="R3063" t="s">
        <v>43171</v>
      </c>
      <c r="S3063" t="s">
        <v>43311</v>
      </c>
      <c r="T3063" t="s">
        <v>44842</v>
      </c>
      <c r="U3063" t="s">
        <v>47715</v>
      </c>
      <c r="W3063" t="s">
        <v>40509</v>
      </c>
      <c r="X3063" t="s">
        <v>43173</v>
      </c>
    </row>
    <row r="3064" spans="1:24">
      <c r="A3064">
        <f>HYPERLINK("https://www.philgeps.gov.ph/GEPSNONPILOT/Tender/SplashBidNoticeAbstractUI.aspx?menuIndex=3&amp;refID=7078908&amp;Result=3","7078908")</f>
        <v>0</v>
      </c>
      <c r="B3064" t="s">
        <v>1164</v>
      </c>
      <c r="C3064" t="s">
        <v>6344</v>
      </c>
      <c r="D3064" t="s">
        <v>17434</v>
      </c>
      <c r="E3064" t="s">
        <v>20165</v>
      </c>
      <c r="F3064" t="s">
        <v>30052</v>
      </c>
      <c r="G3064" t="s">
        <v>30058</v>
      </c>
      <c r="H3064" t="s">
        <v>30067</v>
      </c>
      <c r="I3064" t="s">
        <v>3693</v>
      </c>
      <c r="J3064" t="s">
        <v>32254</v>
      </c>
      <c r="K3064" t="s">
        <v>39022</v>
      </c>
      <c r="M3064" t="s">
        <v>40510</v>
      </c>
      <c r="N3064" t="s">
        <v>43166</v>
      </c>
      <c r="O3064" t="s">
        <v>43167</v>
      </c>
      <c r="P3064">
        <v>0</v>
      </c>
      <c r="Q3064">
        <v>2</v>
      </c>
      <c r="R3064" t="s">
        <v>43171</v>
      </c>
      <c r="S3064" t="s">
        <v>43311</v>
      </c>
      <c r="T3064" t="s">
        <v>44732</v>
      </c>
      <c r="U3064" t="s">
        <v>47716</v>
      </c>
      <c r="W3064" t="s">
        <v>40510</v>
      </c>
      <c r="X3064" t="s">
        <v>43173</v>
      </c>
    </row>
    <row r="3065" spans="1:24">
      <c r="A3065">
        <f>HYPERLINK("https://www.philgeps.gov.ph/GEPSNONPILOT/Tender/SplashBidNoticeAbstractUI.aspx?menuIndex=3&amp;refID=7078102&amp;Result=3","7078102")</f>
        <v>0</v>
      </c>
      <c r="B3065" t="s">
        <v>1000</v>
      </c>
      <c r="C3065" t="s">
        <v>6345</v>
      </c>
      <c r="D3065" t="s">
        <v>17422</v>
      </c>
      <c r="E3065" t="s">
        <v>20166</v>
      </c>
      <c r="F3065" t="s">
        <v>30052</v>
      </c>
      <c r="G3065" t="s">
        <v>30058</v>
      </c>
      <c r="H3065" t="s">
        <v>15498</v>
      </c>
      <c r="I3065" t="s">
        <v>3606</v>
      </c>
      <c r="J3065" t="s">
        <v>30555</v>
      </c>
      <c r="K3065" t="s">
        <v>39064</v>
      </c>
      <c r="M3065" t="s">
        <v>40505</v>
      </c>
      <c r="N3065" t="s">
        <v>43166</v>
      </c>
      <c r="O3065" t="s">
        <v>43167</v>
      </c>
      <c r="P3065">
        <v>0</v>
      </c>
      <c r="Q3065">
        <v>5</v>
      </c>
      <c r="R3065" t="s">
        <v>43171</v>
      </c>
      <c r="S3065" t="s">
        <v>43311</v>
      </c>
      <c r="T3065" t="s">
        <v>44752</v>
      </c>
      <c r="U3065" t="s">
        <v>47717</v>
      </c>
      <c r="V3065" t="s">
        <v>57175</v>
      </c>
      <c r="W3065" t="s">
        <v>40505</v>
      </c>
      <c r="X3065" t="s">
        <v>43174</v>
      </c>
    </row>
    <row r="3066" spans="1:24">
      <c r="A3066">
        <f>HYPERLINK("https://www.philgeps.gov.ph/GEPSNONPILOT/Tender/SplashBidNoticeAbstractUI.aspx?menuIndex=3&amp;refID=7078884&amp;Result=3","7078884")</f>
        <v>0</v>
      </c>
      <c r="B3066" t="s">
        <v>1163</v>
      </c>
      <c r="C3066" t="s">
        <v>6346</v>
      </c>
      <c r="D3066" t="s">
        <v>17464</v>
      </c>
      <c r="E3066" t="s">
        <v>20167</v>
      </c>
      <c r="F3066" t="s">
        <v>30052</v>
      </c>
      <c r="G3066" t="s">
        <v>30058</v>
      </c>
      <c r="H3066" t="s">
        <v>30067</v>
      </c>
      <c r="I3066" t="s">
        <v>3693</v>
      </c>
      <c r="J3066" t="s">
        <v>30281</v>
      </c>
      <c r="K3066" t="s">
        <v>39046</v>
      </c>
      <c r="M3066" t="s">
        <v>40509</v>
      </c>
      <c r="N3066" t="s">
        <v>43166</v>
      </c>
      <c r="O3066" t="s">
        <v>43167</v>
      </c>
      <c r="P3066">
        <v>0</v>
      </c>
      <c r="Q3066">
        <v>0</v>
      </c>
      <c r="R3066" t="s">
        <v>43171</v>
      </c>
      <c r="S3066" t="s">
        <v>43311</v>
      </c>
      <c r="T3066" t="s">
        <v>44842</v>
      </c>
      <c r="U3066" t="s">
        <v>47718</v>
      </c>
      <c r="W3066" t="s">
        <v>40509</v>
      </c>
      <c r="X3066" t="s">
        <v>43173</v>
      </c>
    </row>
    <row r="3067" spans="1:24">
      <c r="A3067">
        <f>HYPERLINK("https://www.philgeps.gov.ph/GEPSNONPILOT/Tender/SplashBidNoticeAbstractUI.aspx?menuIndex=3&amp;refID=7078872&amp;Result=3","7078872")</f>
        <v>0</v>
      </c>
      <c r="B3067" t="s">
        <v>1163</v>
      </c>
      <c r="C3067" t="s">
        <v>6347</v>
      </c>
      <c r="D3067" t="s">
        <v>17464</v>
      </c>
      <c r="E3067" t="s">
        <v>20168</v>
      </c>
      <c r="F3067" t="s">
        <v>30052</v>
      </c>
      <c r="G3067" t="s">
        <v>30058</v>
      </c>
      <c r="H3067" t="s">
        <v>30067</v>
      </c>
      <c r="I3067" t="s">
        <v>3693</v>
      </c>
      <c r="J3067" t="s">
        <v>30247</v>
      </c>
      <c r="K3067" t="s">
        <v>39046</v>
      </c>
      <c r="M3067" t="s">
        <v>40509</v>
      </c>
      <c r="N3067" t="s">
        <v>43166</v>
      </c>
      <c r="O3067" t="s">
        <v>43167</v>
      </c>
      <c r="P3067">
        <v>0</v>
      </c>
      <c r="Q3067">
        <v>0</v>
      </c>
      <c r="R3067" t="s">
        <v>43171</v>
      </c>
      <c r="S3067" t="s">
        <v>43311</v>
      </c>
      <c r="T3067" t="s">
        <v>44842</v>
      </c>
      <c r="U3067" t="s">
        <v>47719</v>
      </c>
      <c r="W3067" t="s">
        <v>40509</v>
      </c>
      <c r="X3067" t="s">
        <v>43173</v>
      </c>
    </row>
    <row r="3068" spans="1:24">
      <c r="A3068">
        <f>HYPERLINK("https://www.philgeps.gov.ph/GEPSNONPILOT/Tender/SplashBidNoticeAbstractUI.aspx?menuIndex=3&amp;refID=7078973&amp;Result=3","7078973")</f>
        <v>0</v>
      </c>
      <c r="B3068" t="s">
        <v>47</v>
      </c>
      <c r="C3068" t="s">
        <v>6348</v>
      </c>
      <c r="D3068" t="s">
        <v>17430</v>
      </c>
      <c r="E3068" t="s">
        <v>20169</v>
      </c>
      <c r="F3068" t="s">
        <v>30052</v>
      </c>
      <c r="G3068" t="s">
        <v>30058</v>
      </c>
      <c r="H3068" t="s">
        <v>15498</v>
      </c>
      <c r="I3068" t="s">
        <v>30091</v>
      </c>
      <c r="J3068" t="s">
        <v>30222</v>
      </c>
      <c r="K3068" t="s">
        <v>39023</v>
      </c>
      <c r="M3068" t="s">
        <v>39337</v>
      </c>
      <c r="N3068" t="s">
        <v>43166</v>
      </c>
      <c r="O3068" t="s">
        <v>43167</v>
      </c>
      <c r="P3068">
        <v>0</v>
      </c>
      <c r="Q3068">
        <v>6</v>
      </c>
      <c r="R3068" t="s">
        <v>43171</v>
      </c>
      <c r="S3068" t="s">
        <v>43311</v>
      </c>
      <c r="T3068" t="s">
        <v>44701</v>
      </c>
      <c r="U3068" t="s">
        <v>47720</v>
      </c>
      <c r="V3068" t="s">
        <v>56816</v>
      </c>
      <c r="W3068" t="s">
        <v>39337</v>
      </c>
      <c r="X3068" t="s">
        <v>43173</v>
      </c>
    </row>
    <row r="3069" spans="1:24">
      <c r="A3069">
        <f>HYPERLINK("https://www.philgeps.gov.ph/GEPSNONPILOT/Tender/SplashBidNoticeAbstractUI.aspx?menuIndex=3&amp;refID=7078921&amp;Result=3","7078921")</f>
        <v>0</v>
      </c>
      <c r="B3069" t="s">
        <v>1056</v>
      </c>
      <c r="C3069" t="s">
        <v>6349</v>
      </c>
      <c r="D3069" t="s">
        <v>17422</v>
      </c>
      <c r="E3069" t="s">
        <v>20170</v>
      </c>
      <c r="F3069" t="s">
        <v>30052</v>
      </c>
      <c r="G3069" t="s">
        <v>30059</v>
      </c>
      <c r="H3069" t="s">
        <v>15498</v>
      </c>
      <c r="I3069" t="s">
        <v>3852</v>
      </c>
      <c r="J3069" t="s">
        <v>31913</v>
      </c>
      <c r="K3069" t="s">
        <v>39017</v>
      </c>
      <c r="M3069" t="s">
        <v>40391</v>
      </c>
      <c r="N3069" t="s">
        <v>43166</v>
      </c>
      <c r="O3069" t="s">
        <v>43167</v>
      </c>
      <c r="P3069">
        <v>0</v>
      </c>
      <c r="Q3069">
        <v>1</v>
      </c>
      <c r="R3069" t="s">
        <v>43171</v>
      </c>
      <c r="S3069" t="s">
        <v>43311</v>
      </c>
      <c r="T3069" t="s">
        <v>44777</v>
      </c>
      <c r="U3069" t="s">
        <v>47430</v>
      </c>
      <c r="W3069" t="s">
        <v>40391</v>
      </c>
      <c r="X3069" t="s">
        <v>43173</v>
      </c>
    </row>
    <row r="3070" spans="1:24">
      <c r="A3070">
        <f>HYPERLINK("https://www.philgeps.gov.ph/GEPSNONPILOT/Tender/SplashBidNoticeAbstractUI.aspx?menuIndex=3&amp;refID=7078192&amp;Result=3","7078192")</f>
        <v>0</v>
      </c>
      <c r="B3070" t="s">
        <v>1162</v>
      </c>
      <c r="C3070" t="s">
        <v>6350</v>
      </c>
      <c r="D3070" t="s">
        <v>17472</v>
      </c>
      <c r="E3070" t="s">
        <v>20171</v>
      </c>
      <c r="F3070" t="s">
        <v>30052</v>
      </c>
      <c r="G3070" t="s">
        <v>30058</v>
      </c>
      <c r="H3070" t="s">
        <v>15498</v>
      </c>
      <c r="I3070" t="s">
        <v>7228</v>
      </c>
      <c r="J3070" t="s">
        <v>32255</v>
      </c>
      <c r="K3070" t="s">
        <v>39025</v>
      </c>
      <c r="M3070" t="s">
        <v>40508</v>
      </c>
      <c r="N3070" t="s">
        <v>43166</v>
      </c>
      <c r="O3070" t="s">
        <v>43167</v>
      </c>
      <c r="P3070">
        <v>0</v>
      </c>
      <c r="Q3070">
        <v>0</v>
      </c>
      <c r="R3070" t="s">
        <v>43171</v>
      </c>
      <c r="S3070" t="s">
        <v>43311</v>
      </c>
      <c r="T3070" t="s">
        <v>44806</v>
      </c>
      <c r="U3070" t="s">
        <v>47721</v>
      </c>
      <c r="W3070" t="s">
        <v>40508</v>
      </c>
      <c r="X3070" t="s">
        <v>43174</v>
      </c>
    </row>
    <row r="3071" spans="1:24">
      <c r="A3071">
        <f>HYPERLINK("https://www.philgeps.gov.ph/GEPSNONPILOT/Tender/SplashBidNoticeAbstractUI.aspx?menuIndex=3&amp;refID=7078646&amp;Result=3","7078646")</f>
        <v>0</v>
      </c>
      <c r="B3071" t="s">
        <v>356</v>
      </c>
      <c r="C3071" t="s">
        <v>6351</v>
      </c>
      <c r="D3071" t="s">
        <v>17448</v>
      </c>
      <c r="E3071" t="s">
        <v>20172</v>
      </c>
      <c r="F3071" t="s">
        <v>30052</v>
      </c>
      <c r="G3071" t="s">
        <v>30058</v>
      </c>
      <c r="H3071" t="s">
        <v>30067</v>
      </c>
      <c r="I3071" t="s">
        <v>3693</v>
      </c>
      <c r="J3071" t="s">
        <v>32256</v>
      </c>
      <c r="K3071" t="s">
        <v>39031</v>
      </c>
      <c r="M3071" t="s">
        <v>39653</v>
      </c>
      <c r="N3071" t="s">
        <v>43166</v>
      </c>
      <c r="O3071" t="s">
        <v>43167</v>
      </c>
      <c r="P3071">
        <v>0</v>
      </c>
      <c r="Q3071">
        <v>0</v>
      </c>
      <c r="R3071" t="s">
        <v>43171</v>
      </c>
      <c r="S3071" t="s">
        <v>43311</v>
      </c>
      <c r="T3071" t="s">
        <v>44789</v>
      </c>
      <c r="U3071" t="s">
        <v>47722</v>
      </c>
      <c r="W3071" t="s">
        <v>39653</v>
      </c>
      <c r="X3071" t="s">
        <v>43174</v>
      </c>
    </row>
    <row r="3072" spans="1:24">
      <c r="A3072">
        <f>HYPERLINK("https://www.philgeps.gov.ph/GEPSNONPILOT/Tender/SplashBidNoticeAbstractUI.aspx?menuIndex=3&amp;refID=7078902&amp;Result=3","7078902")</f>
        <v>0</v>
      </c>
      <c r="B3072" t="s">
        <v>47</v>
      </c>
      <c r="C3072" t="s">
        <v>6352</v>
      </c>
      <c r="D3072" t="s">
        <v>17430</v>
      </c>
      <c r="E3072" t="s">
        <v>20173</v>
      </c>
      <c r="F3072" t="s">
        <v>30052</v>
      </c>
      <c r="G3072" t="s">
        <v>30058</v>
      </c>
      <c r="H3072" t="s">
        <v>15498</v>
      </c>
      <c r="I3072" t="s">
        <v>4598</v>
      </c>
      <c r="J3072" t="s">
        <v>30208</v>
      </c>
      <c r="K3072" t="s">
        <v>39029</v>
      </c>
      <c r="M3072" t="s">
        <v>39337</v>
      </c>
      <c r="N3072" t="s">
        <v>43166</v>
      </c>
      <c r="O3072" t="s">
        <v>43167</v>
      </c>
      <c r="P3072">
        <v>0</v>
      </c>
      <c r="Q3072">
        <v>1</v>
      </c>
      <c r="R3072" t="s">
        <v>43171</v>
      </c>
      <c r="S3072" t="s">
        <v>43311</v>
      </c>
      <c r="T3072" t="s">
        <v>44818</v>
      </c>
      <c r="U3072" t="s">
        <v>47723</v>
      </c>
      <c r="V3072" t="s">
        <v>56816</v>
      </c>
      <c r="W3072" t="s">
        <v>39337</v>
      </c>
      <c r="X3072" t="s">
        <v>43173</v>
      </c>
    </row>
    <row r="3073" spans="1:24">
      <c r="A3073">
        <f>HYPERLINK("https://www.philgeps.gov.ph/GEPSNONPILOT/Tender/SplashBidNoticeAbstractUI.aspx?menuIndex=3&amp;refID=7078639&amp;Result=3","7078639")</f>
        <v>0</v>
      </c>
      <c r="B3073" t="s">
        <v>356</v>
      </c>
      <c r="C3073" t="s">
        <v>6353</v>
      </c>
      <c r="D3073" t="s">
        <v>17448</v>
      </c>
      <c r="E3073" t="s">
        <v>20174</v>
      </c>
      <c r="F3073" t="s">
        <v>30052</v>
      </c>
      <c r="G3073" t="s">
        <v>30058</v>
      </c>
      <c r="H3073" t="s">
        <v>30067</v>
      </c>
      <c r="I3073" t="s">
        <v>3693</v>
      </c>
      <c r="J3073" t="s">
        <v>32257</v>
      </c>
      <c r="K3073" t="s">
        <v>39038</v>
      </c>
      <c r="M3073" t="s">
        <v>39653</v>
      </c>
      <c r="N3073" t="s">
        <v>43166</v>
      </c>
      <c r="O3073" t="s">
        <v>43167</v>
      </c>
      <c r="P3073">
        <v>0</v>
      </c>
      <c r="Q3073">
        <v>0</v>
      </c>
      <c r="R3073" t="s">
        <v>43171</v>
      </c>
      <c r="S3073" t="s">
        <v>43311</v>
      </c>
      <c r="T3073" t="s">
        <v>44789</v>
      </c>
      <c r="U3073" t="s">
        <v>47724</v>
      </c>
      <c r="W3073" t="s">
        <v>39653</v>
      </c>
      <c r="X3073" t="s">
        <v>43174</v>
      </c>
    </row>
    <row r="3074" spans="1:24">
      <c r="A3074">
        <f>HYPERLINK("https://www.philgeps.gov.ph/GEPSNONPILOT/Tender/SplashBidNoticeAbstractUI.aspx?menuIndex=3&amp;refID=7078623&amp;Result=3","7078623")</f>
        <v>0</v>
      </c>
      <c r="B3074" t="s">
        <v>40</v>
      </c>
      <c r="C3074" t="s">
        <v>6354</v>
      </c>
      <c r="D3074" t="s">
        <v>17424</v>
      </c>
      <c r="E3074" t="s">
        <v>20175</v>
      </c>
      <c r="F3074" t="s">
        <v>30052</v>
      </c>
      <c r="G3074" t="s">
        <v>30058</v>
      </c>
      <c r="H3074" t="s">
        <v>15498</v>
      </c>
      <c r="I3074" t="s">
        <v>3693</v>
      </c>
      <c r="J3074" t="s">
        <v>32258</v>
      </c>
      <c r="K3074" t="s">
        <v>39025</v>
      </c>
      <c r="M3074" t="s">
        <v>39330</v>
      </c>
      <c r="N3074" t="s">
        <v>43166</v>
      </c>
      <c r="O3074" t="s">
        <v>43167</v>
      </c>
      <c r="P3074">
        <v>0</v>
      </c>
      <c r="Q3074">
        <v>3</v>
      </c>
      <c r="R3074" t="s">
        <v>43171</v>
      </c>
      <c r="S3074" t="s">
        <v>43311</v>
      </c>
      <c r="T3074" t="s">
        <v>44942</v>
      </c>
      <c r="U3074" t="s">
        <v>45235</v>
      </c>
      <c r="W3074" t="s">
        <v>39330</v>
      </c>
      <c r="X3074" t="s">
        <v>43174</v>
      </c>
    </row>
    <row r="3075" spans="1:24">
      <c r="A3075">
        <f>HYPERLINK("https://www.philgeps.gov.ph/GEPSNONPILOT/Tender/SplashBidNoticeAbstractUI.aspx?menuIndex=3&amp;refID=7079500&amp;Result=3","7079500")</f>
        <v>0</v>
      </c>
      <c r="B3075" t="s">
        <v>1165</v>
      </c>
      <c r="C3075" t="s">
        <v>6355</v>
      </c>
      <c r="D3075" t="s">
        <v>17475</v>
      </c>
      <c r="E3075" t="s">
        <v>20176</v>
      </c>
      <c r="F3075" t="s">
        <v>30052</v>
      </c>
      <c r="G3075" t="s">
        <v>30058</v>
      </c>
      <c r="H3075" t="s">
        <v>30067</v>
      </c>
      <c r="I3075" t="s">
        <v>3693</v>
      </c>
      <c r="J3075" t="s">
        <v>32259</v>
      </c>
      <c r="K3075" t="s">
        <v>39121</v>
      </c>
      <c r="M3075" t="s">
        <v>40511</v>
      </c>
      <c r="N3075" t="s">
        <v>43166</v>
      </c>
      <c r="O3075" t="s">
        <v>43167</v>
      </c>
      <c r="P3075">
        <v>0</v>
      </c>
      <c r="Q3075">
        <v>0</v>
      </c>
      <c r="R3075" t="s">
        <v>43171</v>
      </c>
      <c r="S3075" t="s">
        <v>43311</v>
      </c>
      <c r="T3075" t="s">
        <v>44758</v>
      </c>
      <c r="U3075" t="s">
        <v>47725</v>
      </c>
      <c r="W3075" t="s">
        <v>40511</v>
      </c>
      <c r="X3075" t="s">
        <v>43173</v>
      </c>
    </row>
    <row r="3076" spans="1:24">
      <c r="A3076">
        <f>HYPERLINK("https://www.philgeps.gov.ph/GEPSNONPILOT/Tender/SplashBidNoticeAbstractUI.aspx?menuIndex=3&amp;refID=7078842&amp;Result=3","7078842")</f>
        <v>0</v>
      </c>
      <c r="B3076" t="s">
        <v>40</v>
      </c>
      <c r="C3076" t="s">
        <v>6356</v>
      </c>
      <c r="D3076" t="s">
        <v>17424</v>
      </c>
      <c r="E3076" t="s">
        <v>20177</v>
      </c>
      <c r="F3076" t="s">
        <v>30052</v>
      </c>
      <c r="G3076" t="s">
        <v>30058</v>
      </c>
      <c r="H3076" t="s">
        <v>15498</v>
      </c>
      <c r="I3076" t="s">
        <v>3852</v>
      </c>
      <c r="J3076" t="s">
        <v>32260</v>
      </c>
      <c r="K3076" t="s">
        <v>39025</v>
      </c>
      <c r="M3076" t="s">
        <v>39330</v>
      </c>
      <c r="N3076" t="s">
        <v>43166</v>
      </c>
      <c r="O3076" t="s">
        <v>43167</v>
      </c>
      <c r="P3076">
        <v>0</v>
      </c>
      <c r="Q3076">
        <v>0</v>
      </c>
      <c r="R3076" t="s">
        <v>43171</v>
      </c>
      <c r="S3076" t="s">
        <v>43311</v>
      </c>
      <c r="T3076" t="s">
        <v>44942</v>
      </c>
      <c r="U3076" t="s">
        <v>45235</v>
      </c>
      <c r="W3076" t="s">
        <v>39330</v>
      </c>
      <c r="X3076" t="s">
        <v>43173</v>
      </c>
    </row>
    <row r="3077" spans="1:24">
      <c r="A3077">
        <f>HYPERLINK("https://www.philgeps.gov.ph/GEPSNONPILOT/Tender/SplashBidNoticeAbstractUI.aspx?menuIndex=3&amp;refID=7078655&amp;Result=3","7078655")</f>
        <v>0</v>
      </c>
      <c r="B3077" t="s">
        <v>356</v>
      </c>
      <c r="C3077" t="s">
        <v>6357</v>
      </c>
      <c r="D3077" t="s">
        <v>17448</v>
      </c>
      <c r="E3077" t="s">
        <v>20178</v>
      </c>
      <c r="F3077" t="s">
        <v>30052</v>
      </c>
      <c r="G3077" t="s">
        <v>30058</v>
      </c>
      <c r="H3077" t="s">
        <v>30067</v>
      </c>
      <c r="I3077" t="s">
        <v>3693</v>
      </c>
      <c r="J3077" t="s">
        <v>31684</v>
      </c>
      <c r="K3077" t="s">
        <v>39022</v>
      </c>
      <c r="M3077" t="s">
        <v>39653</v>
      </c>
      <c r="N3077" t="s">
        <v>43166</v>
      </c>
      <c r="O3077" t="s">
        <v>43167</v>
      </c>
      <c r="P3077">
        <v>0</v>
      </c>
      <c r="Q3077">
        <v>0</v>
      </c>
      <c r="R3077" t="s">
        <v>43171</v>
      </c>
      <c r="S3077" t="s">
        <v>43311</v>
      </c>
      <c r="T3077" t="s">
        <v>44789</v>
      </c>
      <c r="U3077" t="s">
        <v>47726</v>
      </c>
      <c r="W3077" t="s">
        <v>39653</v>
      </c>
      <c r="X3077" t="s">
        <v>43174</v>
      </c>
    </row>
    <row r="3078" spans="1:24">
      <c r="A3078">
        <f>HYPERLINK("https://www.philgeps.gov.ph/GEPSNONPILOT/Tender/SplashBidNoticeAbstractUI.aspx?menuIndex=3&amp;refID=7079478&amp;Result=3","7079478")</f>
        <v>0</v>
      </c>
      <c r="B3078" t="s">
        <v>1165</v>
      </c>
      <c r="C3078" t="s">
        <v>6358</v>
      </c>
      <c r="D3078" t="s">
        <v>17475</v>
      </c>
      <c r="E3078" t="s">
        <v>20179</v>
      </c>
      <c r="F3078" t="s">
        <v>30052</v>
      </c>
      <c r="G3078" t="s">
        <v>30058</v>
      </c>
      <c r="H3078" t="s">
        <v>30067</v>
      </c>
      <c r="I3078" t="s">
        <v>3693</v>
      </c>
      <c r="J3078" t="s">
        <v>32261</v>
      </c>
      <c r="K3078" t="s">
        <v>39122</v>
      </c>
      <c r="M3078" t="s">
        <v>40511</v>
      </c>
      <c r="N3078" t="s">
        <v>43166</v>
      </c>
      <c r="O3078" t="s">
        <v>43167</v>
      </c>
      <c r="P3078">
        <v>0</v>
      </c>
      <c r="Q3078">
        <v>0</v>
      </c>
      <c r="R3078" t="s">
        <v>43171</v>
      </c>
      <c r="S3078" t="s">
        <v>43311</v>
      </c>
      <c r="T3078" t="s">
        <v>44758</v>
      </c>
      <c r="U3078" t="s">
        <v>47725</v>
      </c>
      <c r="W3078" t="s">
        <v>40511</v>
      </c>
      <c r="X3078" t="s">
        <v>43173</v>
      </c>
    </row>
    <row r="3079" spans="1:24">
      <c r="A3079">
        <f>HYPERLINK("https://www.philgeps.gov.ph/GEPSNONPILOT/Tender/SplashBidNoticeAbstractUI.aspx?menuIndex=3&amp;refID=7078630&amp;Result=3","7078630")</f>
        <v>0</v>
      </c>
      <c r="B3079" t="s">
        <v>40</v>
      </c>
      <c r="C3079" t="s">
        <v>6359</v>
      </c>
      <c r="D3079" t="s">
        <v>17424</v>
      </c>
      <c r="E3079" t="s">
        <v>20180</v>
      </c>
      <c r="F3079" t="s">
        <v>30052</v>
      </c>
      <c r="G3079" t="s">
        <v>30058</v>
      </c>
      <c r="H3079" t="s">
        <v>15498</v>
      </c>
      <c r="I3079" t="s">
        <v>3693</v>
      </c>
      <c r="J3079" t="s">
        <v>32262</v>
      </c>
      <c r="K3079" t="s">
        <v>39025</v>
      </c>
      <c r="M3079" t="s">
        <v>39330</v>
      </c>
      <c r="N3079" t="s">
        <v>43166</v>
      </c>
      <c r="O3079" t="s">
        <v>43167</v>
      </c>
      <c r="P3079">
        <v>0</v>
      </c>
      <c r="Q3079">
        <v>8</v>
      </c>
      <c r="R3079" t="s">
        <v>43171</v>
      </c>
      <c r="S3079" t="s">
        <v>43311</v>
      </c>
      <c r="T3079" t="s">
        <v>44942</v>
      </c>
      <c r="U3079" t="s">
        <v>47727</v>
      </c>
      <c r="W3079" t="s">
        <v>39330</v>
      </c>
      <c r="X3079" t="s">
        <v>43174</v>
      </c>
    </row>
    <row r="3080" spans="1:24">
      <c r="A3080">
        <f>HYPERLINK("https://www.philgeps.gov.ph/GEPSNONPILOT/Tender/SplashBidNoticeAbstractUI.aspx?menuIndex=3&amp;refID=7078852&amp;Result=3","7078852")</f>
        <v>0</v>
      </c>
      <c r="B3080" t="s">
        <v>51</v>
      </c>
      <c r="C3080" t="s">
        <v>6360</v>
      </c>
      <c r="D3080" t="s">
        <v>17434</v>
      </c>
      <c r="E3080" t="s">
        <v>6360</v>
      </c>
      <c r="F3080" t="s">
        <v>30052</v>
      </c>
      <c r="G3080" t="s">
        <v>30061</v>
      </c>
      <c r="H3080" t="s">
        <v>15498</v>
      </c>
      <c r="I3080" t="s">
        <v>7228</v>
      </c>
      <c r="J3080" t="s">
        <v>31829</v>
      </c>
      <c r="K3080" t="s">
        <v>39029</v>
      </c>
      <c r="M3080" t="s">
        <v>39331</v>
      </c>
      <c r="N3080" t="s">
        <v>43166</v>
      </c>
      <c r="O3080" t="s">
        <v>43167</v>
      </c>
      <c r="P3080">
        <v>0</v>
      </c>
      <c r="Q3080">
        <v>0</v>
      </c>
      <c r="R3080" t="s">
        <v>43171</v>
      </c>
      <c r="S3080" t="s">
        <v>43311</v>
      </c>
      <c r="T3080" t="s">
        <v>44777</v>
      </c>
      <c r="U3080" t="s">
        <v>47728</v>
      </c>
      <c r="W3080" t="s">
        <v>39331</v>
      </c>
      <c r="X3080" t="s">
        <v>43173</v>
      </c>
    </row>
    <row r="3081" spans="1:24">
      <c r="A3081">
        <f>HYPERLINK("https://www.philgeps.gov.ph/GEPSNONPILOT/Tender/SplashBidNoticeAbstractUI.aspx?menuIndex=3&amp;refID=7079411&amp;Result=3","7079411")</f>
        <v>0</v>
      </c>
      <c r="B3081" t="s">
        <v>1165</v>
      </c>
      <c r="C3081" t="s">
        <v>6361</v>
      </c>
      <c r="D3081" t="s">
        <v>17475</v>
      </c>
      <c r="E3081" t="s">
        <v>20181</v>
      </c>
      <c r="F3081" t="s">
        <v>30052</v>
      </c>
      <c r="G3081" t="s">
        <v>30058</v>
      </c>
      <c r="H3081" t="s">
        <v>30067</v>
      </c>
      <c r="I3081" t="s">
        <v>3693</v>
      </c>
      <c r="J3081" t="s">
        <v>32263</v>
      </c>
      <c r="K3081" t="s">
        <v>39087</v>
      </c>
      <c r="M3081" t="s">
        <v>40511</v>
      </c>
      <c r="N3081" t="s">
        <v>43166</v>
      </c>
      <c r="O3081" t="s">
        <v>43167</v>
      </c>
      <c r="P3081">
        <v>0</v>
      </c>
      <c r="Q3081">
        <v>0</v>
      </c>
      <c r="R3081" t="s">
        <v>43171</v>
      </c>
      <c r="S3081" t="s">
        <v>43311</v>
      </c>
      <c r="T3081" t="s">
        <v>44758</v>
      </c>
      <c r="U3081" t="s">
        <v>47725</v>
      </c>
      <c r="W3081" t="s">
        <v>40511</v>
      </c>
      <c r="X3081" t="s">
        <v>43173</v>
      </c>
    </row>
    <row r="3082" spans="1:24">
      <c r="A3082">
        <f>HYPERLINK("https://www.philgeps.gov.ph/GEPSNONPILOT/Tender/SplashBidNoticeAbstractUI.aspx?menuIndex=3&amp;refID=7078103&amp;Result=3","7078103")</f>
        <v>0</v>
      </c>
      <c r="B3082" t="s">
        <v>63</v>
      </c>
      <c r="C3082" t="s">
        <v>6362</v>
      </c>
      <c r="E3082" t="s">
        <v>20182</v>
      </c>
      <c r="F3082" t="s">
        <v>30052</v>
      </c>
      <c r="G3082" t="s">
        <v>30061</v>
      </c>
      <c r="H3082" t="s">
        <v>15498</v>
      </c>
      <c r="I3082" t="s">
        <v>4119</v>
      </c>
      <c r="J3082" t="s">
        <v>32264</v>
      </c>
      <c r="K3082" t="s">
        <v>39025</v>
      </c>
      <c r="M3082" t="s">
        <v>39352</v>
      </c>
      <c r="N3082" t="s">
        <v>43166</v>
      </c>
      <c r="O3082" t="s">
        <v>43167</v>
      </c>
      <c r="P3082">
        <v>0</v>
      </c>
      <c r="Q3082">
        <v>2</v>
      </c>
      <c r="R3082" t="s">
        <v>43171</v>
      </c>
      <c r="S3082" t="s">
        <v>43311</v>
      </c>
      <c r="T3082" t="s">
        <v>44844</v>
      </c>
      <c r="U3082" t="s">
        <v>47652</v>
      </c>
      <c r="W3082" t="s">
        <v>39352</v>
      </c>
      <c r="X3082" t="s">
        <v>43174</v>
      </c>
    </row>
    <row r="3083" spans="1:24">
      <c r="A3083">
        <f>HYPERLINK("https://www.philgeps.gov.ph/GEPSNONPILOT/Tender/SplashBidNoticeAbstractUI.aspx?menuIndex=3&amp;refID=7079386&amp;Result=3","7079386")</f>
        <v>0</v>
      </c>
      <c r="B3083" t="s">
        <v>1165</v>
      </c>
      <c r="C3083" t="s">
        <v>6363</v>
      </c>
      <c r="D3083" t="s">
        <v>17475</v>
      </c>
      <c r="E3083" t="s">
        <v>20183</v>
      </c>
      <c r="F3083" t="s">
        <v>30052</v>
      </c>
      <c r="G3083" t="s">
        <v>30058</v>
      </c>
      <c r="H3083" t="s">
        <v>30067</v>
      </c>
      <c r="I3083" t="s">
        <v>3693</v>
      </c>
      <c r="J3083" t="s">
        <v>32263</v>
      </c>
      <c r="K3083" t="s">
        <v>39087</v>
      </c>
      <c r="M3083" t="s">
        <v>40511</v>
      </c>
      <c r="N3083" t="s">
        <v>43166</v>
      </c>
      <c r="O3083" t="s">
        <v>43167</v>
      </c>
      <c r="P3083">
        <v>0</v>
      </c>
      <c r="Q3083">
        <v>1</v>
      </c>
      <c r="R3083" t="s">
        <v>43171</v>
      </c>
      <c r="S3083" t="s">
        <v>43311</v>
      </c>
      <c r="T3083" t="s">
        <v>44758</v>
      </c>
      <c r="U3083" t="s">
        <v>47725</v>
      </c>
      <c r="W3083" t="s">
        <v>40511</v>
      </c>
      <c r="X3083" t="s">
        <v>43173</v>
      </c>
    </row>
    <row r="3084" spans="1:24">
      <c r="A3084">
        <f>HYPERLINK("https://www.philgeps.gov.ph/GEPSNONPILOT/Tender/SplashBidNoticeAbstractUI.aspx?menuIndex=3&amp;refID=7079355&amp;Result=3","7079355")</f>
        <v>0</v>
      </c>
      <c r="B3084" t="s">
        <v>74</v>
      </c>
      <c r="C3084" t="s">
        <v>6364</v>
      </c>
      <c r="E3084" t="s">
        <v>20184</v>
      </c>
      <c r="F3084" t="s">
        <v>30056</v>
      </c>
      <c r="G3084" t="s">
        <v>30061</v>
      </c>
      <c r="H3084" t="s">
        <v>15498</v>
      </c>
      <c r="I3084" t="s">
        <v>30176</v>
      </c>
      <c r="J3084" t="s">
        <v>31186</v>
      </c>
      <c r="K3084" t="s">
        <v>39025</v>
      </c>
      <c r="M3084" t="s">
        <v>40512</v>
      </c>
      <c r="N3084" t="s">
        <v>43166</v>
      </c>
      <c r="O3084" t="s">
        <v>43167</v>
      </c>
      <c r="P3084">
        <v>0</v>
      </c>
      <c r="Q3084">
        <v>0</v>
      </c>
      <c r="R3084" t="s">
        <v>43171</v>
      </c>
      <c r="S3084" t="s">
        <v>43311</v>
      </c>
      <c r="T3084" t="s">
        <v>44705</v>
      </c>
      <c r="U3084" t="s">
        <v>47729</v>
      </c>
      <c r="W3084" t="s">
        <v>40512</v>
      </c>
      <c r="X3084" t="s">
        <v>43173</v>
      </c>
    </row>
    <row r="3085" spans="1:24">
      <c r="A3085">
        <f>HYPERLINK("https://www.philgeps.gov.ph/GEPSNONPILOT/Tender/SplashBidNoticeAbstractUI.aspx?menuIndex=3&amp;refID=7079325&amp;Result=3","7079325")</f>
        <v>0</v>
      </c>
      <c r="B3085" t="s">
        <v>966</v>
      </c>
      <c r="C3085" t="s">
        <v>6365</v>
      </c>
      <c r="D3085" t="s">
        <v>17448</v>
      </c>
      <c r="E3085" t="s">
        <v>20185</v>
      </c>
      <c r="F3085" t="s">
        <v>30052</v>
      </c>
      <c r="G3085" t="s">
        <v>30061</v>
      </c>
      <c r="H3085" t="s">
        <v>15498</v>
      </c>
      <c r="I3085" t="s">
        <v>3606</v>
      </c>
      <c r="J3085" t="s">
        <v>32265</v>
      </c>
      <c r="K3085" t="s">
        <v>39017</v>
      </c>
      <c r="M3085" t="s">
        <v>40292</v>
      </c>
      <c r="N3085" t="s">
        <v>43166</v>
      </c>
      <c r="O3085" t="s">
        <v>43167</v>
      </c>
      <c r="P3085">
        <v>0</v>
      </c>
      <c r="Q3085">
        <v>1</v>
      </c>
      <c r="R3085" t="s">
        <v>43171</v>
      </c>
      <c r="S3085" t="s">
        <v>43311</v>
      </c>
      <c r="T3085" t="s">
        <v>44720</v>
      </c>
      <c r="U3085" t="s">
        <v>47730</v>
      </c>
      <c r="W3085" t="s">
        <v>40292</v>
      </c>
      <c r="X3085" t="s">
        <v>43173</v>
      </c>
    </row>
    <row r="3086" spans="1:24">
      <c r="A3086">
        <f>HYPERLINK("https://www.philgeps.gov.ph/GEPSNONPILOT/Tender/SplashBidNoticeAbstractUI.aspx?menuIndex=3&amp;refID=7079456&amp;Result=3","7079456")</f>
        <v>0</v>
      </c>
      <c r="B3086" t="s">
        <v>1166</v>
      </c>
      <c r="C3086" t="s">
        <v>6366</v>
      </c>
      <c r="D3086" t="s">
        <v>17413</v>
      </c>
      <c r="E3086" t="s">
        <v>20186</v>
      </c>
      <c r="F3086" t="s">
        <v>30052</v>
      </c>
      <c r="G3086" t="s">
        <v>30058</v>
      </c>
      <c r="H3086" t="s">
        <v>15498</v>
      </c>
      <c r="I3086" t="s">
        <v>3693</v>
      </c>
      <c r="J3086" t="s">
        <v>32266</v>
      </c>
      <c r="K3086" t="s">
        <v>39034</v>
      </c>
      <c r="M3086" t="s">
        <v>40513</v>
      </c>
      <c r="N3086" t="s">
        <v>43166</v>
      </c>
      <c r="O3086" t="s">
        <v>43167</v>
      </c>
      <c r="P3086">
        <v>0</v>
      </c>
      <c r="Q3086">
        <v>0</v>
      </c>
      <c r="R3086" t="s">
        <v>43171</v>
      </c>
      <c r="S3086" t="s">
        <v>43311</v>
      </c>
      <c r="T3086" t="s">
        <v>44715</v>
      </c>
      <c r="U3086" t="s">
        <v>47731</v>
      </c>
      <c r="W3086" t="s">
        <v>40513</v>
      </c>
      <c r="X3086" t="s">
        <v>43173</v>
      </c>
    </row>
    <row r="3087" spans="1:24">
      <c r="A3087">
        <f>HYPERLINK("https://www.philgeps.gov.ph/GEPSNONPILOT/Tender/SplashBidNoticeAbstractUI.aspx?menuIndex=3&amp;refID=7079318&amp;Result=3","7079318")</f>
        <v>0</v>
      </c>
      <c r="B3087" t="s">
        <v>74</v>
      </c>
      <c r="C3087" t="s">
        <v>6367</v>
      </c>
      <c r="E3087" t="s">
        <v>20187</v>
      </c>
      <c r="F3087" t="s">
        <v>30056</v>
      </c>
      <c r="G3087" t="s">
        <v>30061</v>
      </c>
      <c r="H3087" t="s">
        <v>15498</v>
      </c>
      <c r="I3087" t="s">
        <v>30176</v>
      </c>
      <c r="J3087" t="s">
        <v>30861</v>
      </c>
      <c r="K3087" t="s">
        <v>39025</v>
      </c>
      <c r="M3087" t="s">
        <v>40512</v>
      </c>
      <c r="N3087" t="s">
        <v>43166</v>
      </c>
      <c r="O3087" t="s">
        <v>43167</v>
      </c>
      <c r="P3087">
        <v>0</v>
      </c>
      <c r="Q3087">
        <v>0</v>
      </c>
      <c r="R3087" t="s">
        <v>43171</v>
      </c>
      <c r="S3087" t="s">
        <v>43311</v>
      </c>
      <c r="T3087" t="s">
        <v>44705</v>
      </c>
      <c r="U3087" t="s">
        <v>47732</v>
      </c>
      <c r="W3087" t="s">
        <v>40512</v>
      </c>
      <c r="X3087" t="s">
        <v>43173</v>
      </c>
    </row>
    <row r="3088" spans="1:24">
      <c r="A3088">
        <f>HYPERLINK("https://www.philgeps.gov.ph/GEPSNONPILOT/Tender/SplashBidNoticeAbstractUI.aspx?menuIndex=3&amp;refID=7079491&amp;Result=3","7079491")</f>
        <v>0</v>
      </c>
      <c r="B3088" t="s">
        <v>1165</v>
      </c>
      <c r="C3088" t="s">
        <v>6368</v>
      </c>
      <c r="D3088" t="s">
        <v>17475</v>
      </c>
      <c r="E3088" t="s">
        <v>20188</v>
      </c>
      <c r="F3088" t="s">
        <v>30052</v>
      </c>
      <c r="G3088" t="s">
        <v>30058</v>
      </c>
      <c r="H3088" t="s">
        <v>30067</v>
      </c>
      <c r="I3088" t="s">
        <v>3693</v>
      </c>
      <c r="J3088" t="s">
        <v>32267</v>
      </c>
      <c r="K3088" t="s">
        <v>39114</v>
      </c>
      <c r="M3088" t="s">
        <v>40511</v>
      </c>
      <c r="N3088" t="s">
        <v>43166</v>
      </c>
      <c r="O3088" t="s">
        <v>43167</v>
      </c>
      <c r="P3088">
        <v>0</v>
      </c>
      <c r="Q3088">
        <v>1</v>
      </c>
      <c r="R3088" t="s">
        <v>43171</v>
      </c>
      <c r="S3088" t="s">
        <v>43311</v>
      </c>
      <c r="T3088" t="s">
        <v>44758</v>
      </c>
      <c r="U3088" t="s">
        <v>47725</v>
      </c>
      <c r="W3088" t="s">
        <v>40511</v>
      </c>
      <c r="X3088" t="s">
        <v>43173</v>
      </c>
    </row>
    <row r="3089" spans="1:24">
      <c r="A3089">
        <f>HYPERLINK("https://www.philgeps.gov.ph/GEPSNONPILOT/Tender/SplashBidNoticeAbstractUI.aspx?menuIndex=3&amp;refID=7079343&amp;Result=3","7079343")</f>
        <v>0</v>
      </c>
      <c r="B3089" t="s">
        <v>1165</v>
      </c>
      <c r="C3089" t="s">
        <v>6369</v>
      </c>
      <c r="D3089" t="s">
        <v>17475</v>
      </c>
      <c r="E3089" t="s">
        <v>20189</v>
      </c>
      <c r="F3089" t="s">
        <v>30052</v>
      </c>
      <c r="G3089" t="s">
        <v>30058</v>
      </c>
      <c r="H3089" t="s">
        <v>30067</v>
      </c>
      <c r="I3089" t="s">
        <v>3693</v>
      </c>
      <c r="J3089" t="s">
        <v>32268</v>
      </c>
      <c r="K3089" t="s">
        <v>39026</v>
      </c>
      <c r="M3089" t="s">
        <v>40511</v>
      </c>
      <c r="N3089" t="s">
        <v>43166</v>
      </c>
      <c r="O3089" t="s">
        <v>43167</v>
      </c>
      <c r="P3089">
        <v>0</v>
      </c>
      <c r="Q3089">
        <v>1</v>
      </c>
      <c r="R3089" t="s">
        <v>43171</v>
      </c>
      <c r="S3089" t="s">
        <v>43311</v>
      </c>
      <c r="T3089" t="s">
        <v>44758</v>
      </c>
      <c r="U3089" t="s">
        <v>47725</v>
      </c>
      <c r="W3089" t="s">
        <v>40511</v>
      </c>
      <c r="X3089" t="s">
        <v>43173</v>
      </c>
    </row>
    <row r="3090" spans="1:24">
      <c r="A3090">
        <f>HYPERLINK("https://www.philgeps.gov.ph/GEPSNONPILOT/Tender/SplashBidNoticeAbstractUI.aspx?menuIndex=3&amp;refID=7079321&amp;Result=3","7079321")</f>
        <v>0</v>
      </c>
      <c r="B3090" t="s">
        <v>1165</v>
      </c>
      <c r="C3090" t="s">
        <v>6370</v>
      </c>
      <c r="D3090" t="s">
        <v>17475</v>
      </c>
      <c r="E3090" t="s">
        <v>20190</v>
      </c>
      <c r="F3090" t="s">
        <v>30052</v>
      </c>
      <c r="G3090" t="s">
        <v>30058</v>
      </c>
      <c r="H3090" t="s">
        <v>30067</v>
      </c>
      <c r="I3090" t="s">
        <v>3693</v>
      </c>
      <c r="J3090" t="s">
        <v>32269</v>
      </c>
      <c r="K3090" t="s">
        <v>39087</v>
      </c>
      <c r="M3090" t="s">
        <v>40511</v>
      </c>
      <c r="N3090" t="s">
        <v>43166</v>
      </c>
      <c r="O3090" t="s">
        <v>43167</v>
      </c>
      <c r="P3090">
        <v>0</v>
      </c>
      <c r="Q3090">
        <v>1</v>
      </c>
      <c r="R3090" t="s">
        <v>43171</v>
      </c>
      <c r="S3090" t="s">
        <v>43311</v>
      </c>
      <c r="T3090" t="s">
        <v>44758</v>
      </c>
      <c r="U3090" t="s">
        <v>47725</v>
      </c>
      <c r="W3090" t="s">
        <v>40511</v>
      </c>
      <c r="X3090" t="s">
        <v>43173</v>
      </c>
    </row>
    <row r="3091" spans="1:24">
      <c r="A3091">
        <f>HYPERLINK("https://www.philgeps.gov.ph/GEPSNONPILOT/Tender/SplashBidNoticeAbstractUI.aspx?menuIndex=3&amp;refID=7079265&amp;Result=3","7079265")</f>
        <v>0</v>
      </c>
      <c r="B3091" t="s">
        <v>74</v>
      </c>
      <c r="C3091" t="s">
        <v>6371</v>
      </c>
      <c r="E3091" t="s">
        <v>20191</v>
      </c>
      <c r="F3091" t="s">
        <v>30056</v>
      </c>
      <c r="G3091" t="s">
        <v>30061</v>
      </c>
      <c r="H3091" t="s">
        <v>15498</v>
      </c>
      <c r="I3091" t="s">
        <v>30176</v>
      </c>
      <c r="J3091" t="s">
        <v>30326</v>
      </c>
      <c r="K3091" t="s">
        <v>39025</v>
      </c>
      <c r="M3091" t="s">
        <v>40512</v>
      </c>
      <c r="N3091" t="s">
        <v>43166</v>
      </c>
      <c r="O3091" t="s">
        <v>43167</v>
      </c>
      <c r="P3091">
        <v>0</v>
      </c>
      <c r="Q3091">
        <v>0</v>
      </c>
      <c r="R3091" t="s">
        <v>43171</v>
      </c>
      <c r="S3091" t="s">
        <v>43311</v>
      </c>
      <c r="T3091" t="s">
        <v>44705</v>
      </c>
      <c r="U3091" t="s">
        <v>47733</v>
      </c>
      <c r="W3091" t="s">
        <v>40512</v>
      </c>
      <c r="X3091" t="s">
        <v>43173</v>
      </c>
    </row>
    <row r="3092" spans="1:24">
      <c r="A3092">
        <f>HYPERLINK("https://www.philgeps.gov.ph/GEPSNONPILOT/Tender/SplashBidNoticeAbstractUI.aspx?menuIndex=3&amp;refID=7079655&amp;Result=3","7079655")</f>
        <v>0</v>
      </c>
      <c r="B3092" t="s">
        <v>1167</v>
      </c>
      <c r="C3092" t="s">
        <v>6372</v>
      </c>
      <c r="D3092" t="s">
        <v>17413</v>
      </c>
      <c r="E3092" t="s">
        <v>20192</v>
      </c>
      <c r="F3092" t="s">
        <v>30052</v>
      </c>
      <c r="G3092" t="s">
        <v>30059</v>
      </c>
      <c r="H3092" t="s">
        <v>15498</v>
      </c>
      <c r="I3092" t="s">
        <v>3736</v>
      </c>
      <c r="J3092" t="s">
        <v>30337</v>
      </c>
      <c r="K3092" t="s">
        <v>39036</v>
      </c>
      <c r="M3092" t="s">
        <v>40514</v>
      </c>
      <c r="N3092" t="s">
        <v>43166</v>
      </c>
      <c r="O3092" t="s">
        <v>43167</v>
      </c>
      <c r="P3092">
        <v>0</v>
      </c>
      <c r="Q3092">
        <v>0</v>
      </c>
      <c r="R3092" t="s">
        <v>43171</v>
      </c>
      <c r="S3092" t="s">
        <v>43311</v>
      </c>
      <c r="T3092" t="s">
        <v>44734</v>
      </c>
      <c r="U3092" t="s">
        <v>47734</v>
      </c>
      <c r="W3092" t="s">
        <v>40514</v>
      </c>
      <c r="X3092" t="s">
        <v>43173</v>
      </c>
    </row>
    <row r="3093" spans="1:24">
      <c r="A3093">
        <f>HYPERLINK("https://www.philgeps.gov.ph/GEPSNONPILOT/Tender/SplashBidNoticeAbstractUI.aspx?menuIndex=3&amp;refID=7078211&amp;Result=3","7078211")</f>
        <v>0</v>
      </c>
      <c r="B3093" t="s">
        <v>1162</v>
      </c>
      <c r="C3093" t="s">
        <v>6373</v>
      </c>
      <c r="D3093" t="s">
        <v>17472</v>
      </c>
      <c r="E3093" t="s">
        <v>20193</v>
      </c>
      <c r="F3093" t="s">
        <v>30052</v>
      </c>
      <c r="G3093" t="s">
        <v>30058</v>
      </c>
      <c r="H3093" t="s">
        <v>15498</v>
      </c>
      <c r="I3093" t="s">
        <v>30070</v>
      </c>
      <c r="J3093" t="s">
        <v>32270</v>
      </c>
      <c r="K3093" t="s">
        <v>39025</v>
      </c>
      <c r="M3093" t="s">
        <v>40508</v>
      </c>
      <c r="N3093" t="s">
        <v>43166</v>
      </c>
      <c r="O3093" t="s">
        <v>43167</v>
      </c>
      <c r="P3093">
        <v>0</v>
      </c>
      <c r="Q3093">
        <v>5</v>
      </c>
      <c r="R3093" t="s">
        <v>43171</v>
      </c>
      <c r="S3093" t="s">
        <v>43311</v>
      </c>
      <c r="T3093" t="s">
        <v>44806</v>
      </c>
      <c r="U3093" t="s">
        <v>47735</v>
      </c>
      <c r="W3093" t="s">
        <v>40508</v>
      </c>
      <c r="X3093" t="s">
        <v>43174</v>
      </c>
    </row>
    <row r="3094" spans="1:24">
      <c r="A3094">
        <f>HYPERLINK("https://www.philgeps.gov.ph/GEPSNONPILOT/Tender/SplashBidNoticeAbstractUI.aspx?menuIndex=3&amp;refID=7079653&amp;Result=3","7079653")</f>
        <v>0</v>
      </c>
      <c r="B3094" t="s">
        <v>1168</v>
      </c>
      <c r="C3094" t="s">
        <v>6374</v>
      </c>
      <c r="E3094" t="s">
        <v>20194</v>
      </c>
      <c r="F3094" t="s">
        <v>30052</v>
      </c>
      <c r="G3094" t="s">
        <v>30059</v>
      </c>
      <c r="H3094" t="s">
        <v>15498</v>
      </c>
      <c r="I3094" t="s">
        <v>6691</v>
      </c>
      <c r="J3094" t="s">
        <v>32271</v>
      </c>
      <c r="K3094" t="s">
        <v>39025</v>
      </c>
      <c r="M3094" t="s">
        <v>40515</v>
      </c>
      <c r="N3094" t="s">
        <v>43166</v>
      </c>
      <c r="O3094" t="s">
        <v>43167</v>
      </c>
      <c r="P3094">
        <v>0</v>
      </c>
      <c r="Q3094">
        <v>1</v>
      </c>
      <c r="R3094" t="s">
        <v>43171</v>
      </c>
      <c r="S3094" t="s">
        <v>43311</v>
      </c>
      <c r="T3094" t="s">
        <v>44837</v>
      </c>
      <c r="U3094" t="s">
        <v>47736</v>
      </c>
      <c r="W3094" t="s">
        <v>40515</v>
      </c>
      <c r="X3094" t="s">
        <v>43173</v>
      </c>
    </row>
    <row r="3095" spans="1:24">
      <c r="A3095">
        <f>HYPERLINK("https://www.philgeps.gov.ph/GEPSNONPILOT/Tender/SplashBidNoticeAbstractUI.aspx?menuIndex=3&amp;refID=7079628&amp;Result=3","7079628")</f>
        <v>0</v>
      </c>
      <c r="B3095" t="s">
        <v>1169</v>
      </c>
      <c r="C3095" t="s">
        <v>6375</v>
      </c>
      <c r="D3095" t="s">
        <v>17458</v>
      </c>
      <c r="E3095" t="s">
        <v>20195</v>
      </c>
      <c r="F3095" t="s">
        <v>30052</v>
      </c>
      <c r="G3095" t="s">
        <v>30058</v>
      </c>
      <c r="H3095" t="s">
        <v>30067</v>
      </c>
      <c r="I3095" t="s">
        <v>3693</v>
      </c>
      <c r="J3095" t="s">
        <v>32272</v>
      </c>
      <c r="K3095" t="s">
        <v>39016</v>
      </c>
      <c r="M3095" t="s">
        <v>40516</v>
      </c>
      <c r="N3095" t="s">
        <v>43166</v>
      </c>
      <c r="O3095" t="s">
        <v>43167</v>
      </c>
      <c r="P3095">
        <v>0</v>
      </c>
      <c r="Q3095">
        <v>0</v>
      </c>
      <c r="R3095" t="s">
        <v>43171</v>
      </c>
      <c r="S3095" t="s">
        <v>43311</v>
      </c>
      <c r="T3095" t="s">
        <v>44774</v>
      </c>
      <c r="U3095" t="s">
        <v>47737</v>
      </c>
      <c r="V3095" t="s">
        <v>57181</v>
      </c>
      <c r="W3095" t="s">
        <v>58625</v>
      </c>
      <c r="X3095" t="s">
        <v>43173</v>
      </c>
    </row>
    <row r="3096" spans="1:24">
      <c r="A3096">
        <f>HYPERLINK("https://www.philgeps.gov.ph/GEPSNONPILOT/Tender/SplashBidNoticeAbstractUI.aspx?menuIndex=3&amp;refID=7079685&amp;Result=3","7079685")</f>
        <v>0</v>
      </c>
      <c r="B3096" t="s">
        <v>1168</v>
      </c>
      <c r="C3096" t="s">
        <v>6376</v>
      </c>
      <c r="E3096" t="s">
        <v>20196</v>
      </c>
      <c r="F3096" t="s">
        <v>30052</v>
      </c>
      <c r="G3096" t="s">
        <v>30059</v>
      </c>
      <c r="H3096" t="s">
        <v>15498</v>
      </c>
      <c r="I3096" t="s">
        <v>6691</v>
      </c>
      <c r="J3096" t="s">
        <v>32273</v>
      </c>
      <c r="K3096" t="s">
        <v>39025</v>
      </c>
      <c r="M3096" t="s">
        <v>40515</v>
      </c>
      <c r="N3096" t="s">
        <v>43166</v>
      </c>
      <c r="O3096" t="s">
        <v>43167</v>
      </c>
      <c r="P3096">
        <v>0</v>
      </c>
      <c r="Q3096">
        <v>1</v>
      </c>
      <c r="R3096" t="s">
        <v>43171</v>
      </c>
      <c r="S3096" t="s">
        <v>43311</v>
      </c>
      <c r="T3096" t="s">
        <v>44837</v>
      </c>
      <c r="U3096" t="s">
        <v>47738</v>
      </c>
      <c r="W3096" t="s">
        <v>40515</v>
      </c>
      <c r="X3096" t="s">
        <v>43173</v>
      </c>
    </row>
    <row r="3097" spans="1:24">
      <c r="A3097">
        <f>HYPERLINK("https://www.philgeps.gov.ph/GEPSNONPILOT/Tender/SplashBidNoticeAbstractUI.aspx?menuIndex=3&amp;refID=7079637&amp;Result=3","7079637")</f>
        <v>0</v>
      </c>
      <c r="B3097" t="s">
        <v>165</v>
      </c>
      <c r="C3097" t="s">
        <v>6377</v>
      </c>
      <c r="D3097" t="s">
        <v>17448</v>
      </c>
      <c r="E3097" t="s">
        <v>20197</v>
      </c>
      <c r="F3097" t="s">
        <v>30052</v>
      </c>
      <c r="G3097" t="s">
        <v>30059</v>
      </c>
      <c r="H3097" t="s">
        <v>15498</v>
      </c>
      <c r="I3097" t="s">
        <v>30084</v>
      </c>
      <c r="J3097" t="s">
        <v>32274</v>
      </c>
      <c r="K3097" t="s">
        <v>39029</v>
      </c>
      <c r="M3097" t="s">
        <v>39454</v>
      </c>
      <c r="N3097" t="s">
        <v>43166</v>
      </c>
      <c r="O3097" t="s">
        <v>43167</v>
      </c>
      <c r="P3097">
        <v>0</v>
      </c>
      <c r="Q3097">
        <v>2</v>
      </c>
      <c r="R3097" t="s">
        <v>43171</v>
      </c>
      <c r="S3097" t="s">
        <v>43311</v>
      </c>
      <c r="T3097" t="s">
        <v>44732</v>
      </c>
      <c r="U3097" t="s">
        <v>47739</v>
      </c>
      <c r="W3097" t="s">
        <v>39454</v>
      </c>
      <c r="X3097" t="s">
        <v>43173</v>
      </c>
    </row>
    <row r="3098" spans="1:24">
      <c r="A3098">
        <f>HYPERLINK("https://www.philgeps.gov.ph/GEPSNONPILOT/Tender/SplashBidNoticeAbstractUI.aspx?menuIndex=3&amp;refID=7079433&amp;Result=3","7079433")</f>
        <v>0</v>
      </c>
      <c r="B3098" t="s">
        <v>1165</v>
      </c>
      <c r="C3098" t="s">
        <v>6378</v>
      </c>
      <c r="D3098" t="s">
        <v>17475</v>
      </c>
      <c r="E3098" t="s">
        <v>20198</v>
      </c>
      <c r="F3098" t="s">
        <v>30052</v>
      </c>
      <c r="G3098" t="s">
        <v>30058</v>
      </c>
      <c r="H3098" t="s">
        <v>30067</v>
      </c>
      <c r="I3098" t="s">
        <v>3693</v>
      </c>
      <c r="J3098" t="s">
        <v>32275</v>
      </c>
      <c r="K3098" t="s">
        <v>39122</v>
      </c>
      <c r="M3098" t="s">
        <v>40511</v>
      </c>
      <c r="N3098" t="s">
        <v>43166</v>
      </c>
      <c r="O3098" t="s">
        <v>43167</v>
      </c>
      <c r="P3098">
        <v>0</v>
      </c>
      <c r="Q3098">
        <v>1</v>
      </c>
      <c r="R3098" t="s">
        <v>43171</v>
      </c>
      <c r="S3098" t="s">
        <v>43311</v>
      </c>
      <c r="T3098" t="s">
        <v>44758</v>
      </c>
      <c r="U3098" t="s">
        <v>47725</v>
      </c>
      <c r="W3098" t="s">
        <v>40511</v>
      </c>
      <c r="X3098" t="s">
        <v>43173</v>
      </c>
    </row>
    <row r="3099" spans="1:24">
      <c r="A3099">
        <f>HYPERLINK("https://www.philgeps.gov.ph/GEPSNONPILOT/Tender/SplashBidNoticeAbstractUI.aspx?menuIndex=3&amp;refID=7079688&amp;Result=3","7079688")</f>
        <v>0</v>
      </c>
      <c r="B3099" t="s">
        <v>658</v>
      </c>
      <c r="C3099" t="s">
        <v>6379</v>
      </c>
      <c r="D3099" t="s">
        <v>17460</v>
      </c>
      <c r="E3099" t="s">
        <v>20199</v>
      </c>
      <c r="F3099" t="s">
        <v>30052</v>
      </c>
      <c r="G3099" t="s">
        <v>30059</v>
      </c>
      <c r="H3099" t="s">
        <v>15498</v>
      </c>
      <c r="I3099" t="s">
        <v>9238</v>
      </c>
      <c r="J3099" t="s">
        <v>30545</v>
      </c>
      <c r="K3099" t="s">
        <v>39017</v>
      </c>
      <c r="M3099" t="s">
        <v>40517</v>
      </c>
      <c r="N3099" t="s">
        <v>43166</v>
      </c>
      <c r="O3099" t="s">
        <v>43167</v>
      </c>
      <c r="P3099">
        <v>0</v>
      </c>
      <c r="Q3099">
        <v>3</v>
      </c>
      <c r="R3099" t="s">
        <v>43171</v>
      </c>
      <c r="S3099" t="s">
        <v>43311</v>
      </c>
      <c r="T3099" t="s">
        <v>44787</v>
      </c>
      <c r="U3099" t="s">
        <v>47740</v>
      </c>
      <c r="V3099" t="s">
        <v>57169</v>
      </c>
      <c r="W3099" t="s">
        <v>40517</v>
      </c>
      <c r="X3099" t="s">
        <v>43173</v>
      </c>
    </row>
    <row r="3100" spans="1:24">
      <c r="A3100">
        <f>HYPERLINK("https://www.philgeps.gov.ph/GEPSNONPILOT/Tender/SplashBidNoticeAbstractUI.aspx?menuIndex=3&amp;refID=7079611&amp;Result=3","7079611")</f>
        <v>0</v>
      </c>
      <c r="B3100" t="s">
        <v>541</v>
      </c>
      <c r="C3100" t="s">
        <v>6380</v>
      </c>
      <c r="D3100" t="s">
        <v>17458</v>
      </c>
      <c r="E3100" t="s">
        <v>20200</v>
      </c>
      <c r="F3100" t="s">
        <v>30052</v>
      </c>
      <c r="G3100" t="s">
        <v>30059</v>
      </c>
      <c r="H3100" t="s">
        <v>15498</v>
      </c>
      <c r="I3100" t="s">
        <v>30094</v>
      </c>
      <c r="J3100" t="s">
        <v>31510</v>
      </c>
      <c r="K3100" t="s">
        <v>39017</v>
      </c>
      <c r="M3100" t="s">
        <v>39843</v>
      </c>
      <c r="N3100" t="s">
        <v>43166</v>
      </c>
      <c r="O3100" t="s">
        <v>43167</v>
      </c>
      <c r="P3100">
        <v>0</v>
      </c>
      <c r="Q3100">
        <v>1</v>
      </c>
      <c r="R3100" t="s">
        <v>43171</v>
      </c>
      <c r="S3100" t="s">
        <v>43311</v>
      </c>
      <c r="T3100" t="s">
        <v>44773</v>
      </c>
      <c r="U3100" t="s">
        <v>46404</v>
      </c>
      <c r="W3100" t="s">
        <v>58604</v>
      </c>
      <c r="X3100" t="s">
        <v>43173</v>
      </c>
    </row>
    <row r="3101" spans="1:24">
      <c r="A3101">
        <f>HYPERLINK("https://www.philgeps.gov.ph/GEPSNONPILOT/Tender/SplashBidNoticeAbstractUI.aspx?menuIndex=3&amp;refID=7079619&amp;Result=3","7079619")</f>
        <v>0</v>
      </c>
      <c r="B3101" t="s">
        <v>1170</v>
      </c>
      <c r="C3101" t="s">
        <v>6381</v>
      </c>
      <c r="D3101" t="s">
        <v>17482</v>
      </c>
      <c r="E3101" t="s">
        <v>20201</v>
      </c>
      <c r="F3101" t="s">
        <v>30052</v>
      </c>
      <c r="G3101" t="s">
        <v>30058</v>
      </c>
      <c r="H3101" t="s">
        <v>30067</v>
      </c>
      <c r="I3101" t="s">
        <v>3693</v>
      </c>
      <c r="J3101" t="s">
        <v>32276</v>
      </c>
      <c r="K3101" t="s">
        <v>39025</v>
      </c>
      <c r="M3101" t="s">
        <v>40518</v>
      </c>
      <c r="N3101" t="s">
        <v>43166</v>
      </c>
      <c r="O3101" t="s">
        <v>43167</v>
      </c>
      <c r="P3101">
        <v>0</v>
      </c>
      <c r="Q3101">
        <v>0</v>
      </c>
      <c r="R3101" t="s">
        <v>43171</v>
      </c>
      <c r="S3101" t="s">
        <v>43311</v>
      </c>
      <c r="T3101" t="s">
        <v>44692</v>
      </c>
      <c r="U3101" t="s">
        <v>47741</v>
      </c>
      <c r="W3101" t="s">
        <v>40518</v>
      </c>
      <c r="X3101" t="s">
        <v>43173</v>
      </c>
    </row>
    <row r="3102" spans="1:24">
      <c r="A3102">
        <f>HYPERLINK("https://www.philgeps.gov.ph/GEPSNONPILOT/Tender/SplashBidNoticeAbstractUI.aspx?menuIndex=3&amp;refID=7080503&amp;Result=3","7080503")</f>
        <v>0</v>
      </c>
      <c r="B3102" t="s">
        <v>1171</v>
      </c>
      <c r="C3102" t="s">
        <v>6382</v>
      </c>
      <c r="E3102" t="s">
        <v>20202</v>
      </c>
      <c r="F3102" t="s">
        <v>30054</v>
      </c>
      <c r="G3102" t="s">
        <v>30058</v>
      </c>
      <c r="H3102" t="s">
        <v>30067</v>
      </c>
      <c r="I3102" t="s">
        <v>3693</v>
      </c>
      <c r="J3102" t="s">
        <v>32277</v>
      </c>
      <c r="K3102" t="s">
        <v>39025</v>
      </c>
      <c r="M3102" t="s">
        <v>40519</v>
      </c>
      <c r="N3102" t="s">
        <v>43166</v>
      </c>
      <c r="O3102" t="s">
        <v>43167</v>
      </c>
      <c r="P3102">
        <v>0</v>
      </c>
      <c r="Q3102">
        <v>2</v>
      </c>
      <c r="R3102" t="s">
        <v>43171</v>
      </c>
      <c r="S3102" t="s">
        <v>43311</v>
      </c>
      <c r="T3102" t="s">
        <v>44877</v>
      </c>
      <c r="U3102" t="s">
        <v>47742</v>
      </c>
      <c r="W3102" t="s">
        <v>40519</v>
      </c>
      <c r="X3102" t="s">
        <v>43173</v>
      </c>
    </row>
    <row r="3103" spans="1:24">
      <c r="A3103">
        <f>HYPERLINK("https://www.philgeps.gov.ph/GEPSNONPILOT/Tender/SplashBidNoticeAbstractUI.aspx?menuIndex=3&amp;refID=7080339&amp;Result=3","7080339")</f>
        <v>0</v>
      </c>
      <c r="B3103" t="s">
        <v>1167</v>
      </c>
      <c r="C3103" t="s">
        <v>6383</v>
      </c>
      <c r="D3103" t="s">
        <v>17413</v>
      </c>
      <c r="E3103" t="s">
        <v>20203</v>
      </c>
      <c r="F3103" t="s">
        <v>30052</v>
      </c>
      <c r="G3103" t="s">
        <v>30059</v>
      </c>
      <c r="H3103" t="s">
        <v>15498</v>
      </c>
      <c r="I3103" t="s">
        <v>3736</v>
      </c>
      <c r="J3103" t="s">
        <v>30337</v>
      </c>
      <c r="K3103" t="s">
        <v>39036</v>
      </c>
      <c r="M3103" t="s">
        <v>40514</v>
      </c>
      <c r="N3103" t="s">
        <v>43166</v>
      </c>
      <c r="O3103" t="s">
        <v>43167</v>
      </c>
      <c r="P3103">
        <v>0</v>
      </c>
      <c r="Q3103">
        <v>0</v>
      </c>
      <c r="R3103" t="s">
        <v>43171</v>
      </c>
      <c r="S3103" t="s">
        <v>43311</v>
      </c>
      <c r="T3103" t="s">
        <v>44734</v>
      </c>
      <c r="U3103" t="s">
        <v>47743</v>
      </c>
      <c r="W3103" t="s">
        <v>40514</v>
      </c>
      <c r="X3103" t="s">
        <v>43173</v>
      </c>
    </row>
    <row r="3104" spans="1:24">
      <c r="A3104">
        <f>HYPERLINK("https://www.philgeps.gov.ph/GEPSNONPILOT/Tender/SplashBidNoticeAbstractUI.aspx?menuIndex=3&amp;refID=7079616&amp;Result=3","7079616")</f>
        <v>0</v>
      </c>
      <c r="B3104" t="s">
        <v>1172</v>
      </c>
      <c r="C3104" t="s">
        <v>6384</v>
      </c>
      <c r="D3104" t="s">
        <v>17466</v>
      </c>
      <c r="E3104" t="s">
        <v>20204</v>
      </c>
      <c r="F3104" t="s">
        <v>30052</v>
      </c>
      <c r="G3104" t="s">
        <v>30059</v>
      </c>
      <c r="H3104" t="s">
        <v>15498</v>
      </c>
      <c r="I3104" t="s">
        <v>30094</v>
      </c>
      <c r="J3104" t="s">
        <v>32278</v>
      </c>
      <c r="K3104" t="s">
        <v>39037</v>
      </c>
      <c r="M3104" t="s">
        <v>40520</v>
      </c>
      <c r="N3104" t="s">
        <v>43166</v>
      </c>
      <c r="O3104" t="s">
        <v>43167</v>
      </c>
      <c r="P3104">
        <v>0</v>
      </c>
      <c r="Q3104">
        <v>0</v>
      </c>
      <c r="R3104" t="s">
        <v>43171</v>
      </c>
      <c r="S3104" t="s">
        <v>43311</v>
      </c>
      <c r="T3104" t="s">
        <v>44943</v>
      </c>
      <c r="U3104" t="s">
        <v>47744</v>
      </c>
      <c r="W3104" t="s">
        <v>58626</v>
      </c>
      <c r="X3104" t="s">
        <v>43173</v>
      </c>
    </row>
    <row r="3105" spans="1:24">
      <c r="A3105">
        <f>HYPERLINK("https://www.philgeps.gov.ph/GEPSNONPILOT/Tender/SplashBidNoticeAbstractUI.aspx?menuIndex=3&amp;refID=7080217&amp;Result=3","7080217")</f>
        <v>0</v>
      </c>
      <c r="B3105" t="s">
        <v>1163</v>
      </c>
      <c r="C3105" t="s">
        <v>6385</v>
      </c>
      <c r="D3105" t="s">
        <v>17464</v>
      </c>
      <c r="E3105" t="s">
        <v>20205</v>
      </c>
      <c r="F3105" t="s">
        <v>30052</v>
      </c>
      <c r="G3105" t="s">
        <v>30058</v>
      </c>
      <c r="H3105" t="s">
        <v>15498</v>
      </c>
      <c r="I3105" t="s">
        <v>3606</v>
      </c>
      <c r="J3105" t="s">
        <v>32279</v>
      </c>
      <c r="K3105" t="s">
        <v>39019</v>
      </c>
      <c r="M3105" t="s">
        <v>40509</v>
      </c>
      <c r="N3105" t="s">
        <v>43166</v>
      </c>
      <c r="O3105" t="s">
        <v>43167</v>
      </c>
      <c r="P3105">
        <v>0</v>
      </c>
      <c r="Q3105">
        <v>10</v>
      </c>
      <c r="R3105" t="s">
        <v>43171</v>
      </c>
      <c r="S3105" t="s">
        <v>43311</v>
      </c>
      <c r="T3105" t="s">
        <v>44842</v>
      </c>
      <c r="U3105" t="s">
        <v>47745</v>
      </c>
      <c r="W3105" t="s">
        <v>40509</v>
      </c>
      <c r="X3105" t="s">
        <v>43173</v>
      </c>
    </row>
    <row r="3106" spans="1:24">
      <c r="A3106">
        <f>HYPERLINK("https://www.philgeps.gov.ph/GEPSNONPILOT/Tender/SplashBidNoticeAbstractUI.aspx?menuIndex=3&amp;refID=7080172&amp;Result=3","7080172")</f>
        <v>0</v>
      </c>
      <c r="B3106" t="s">
        <v>1163</v>
      </c>
      <c r="C3106" t="s">
        <v>6386</v>
      </c>
      <c r="D3106" t="s">
        <v>17464</v>
      </c>
      <c r="E3106" t="s">
        <v>20206</v>
      </c>
      <c r="F3106" t="s">
        <v>30052</v>
      </c>
      <c r="G3106" t="s">
        <v>30058</v>
      </c>
      <c r="H3106" t="s">
        <v>30067</v>
      </c>
      <c r="I3106" t="s">
        <v>3693</v>
      </c>
      <c r="J3106" t="s">
        <v>30281</v>
      </c>
      <c r="K3106" t="s">
        <v>39023</v>
      </c>
      <c r="M3106" t="s">
        <v>40509</v>
      </c>
      <c r="N3106" t="s">
        <v>43166</v>
      </c>
      <c r="O3106" t="s">
        <v>43167</v>
      </c>
      <c r="P3106">
        <v>0</v>
      </c>
      <c r="Q3106">
        <v>0</v>
      </c>
      <c r="R3106" t="s">
        <v>43171</v>
      </c>
      <c r="S3106" t="s">
        <v>43311</v>
      </c>
      <c r="T3106" t="s">
        <v>44842</v>
      </c>
      <c r="U3106" t="s">
        <v>47746</v>
      </c>
      <c r="W3106" t="s">
        <v>40509</v>
      </c>
      <c r="X3106" t="s">
        <v>43173</v>
      </c>
    </row>
    <row r="3107" spans="1:24">
      <c r="A3107">
        <f>HYPERLINK("https://www.philgeps.gov.ph/GEPSNONPILOT/Tender/SplashBidNoticeAbstractUI.aspx?menuIndex=3&amp;refID=7080021&amp;Result=3","7080021")</f>
        <v>0</v>
      </c>
      <c r="B3107" t="s">
        <v>30</v>
      </c>
      <c r="C3107" t="s">
        <v>6387</v>
      </c>
      <c r="D3107" t="s">
        <v>17415</v>
      </c>
      <c r="E3107" t="s">
        <v>20207</v>
      </c>
      <c r="F3107" t="s">
        <v>30052</v>
      </c>
      <c r="G3107" t="s">
        <v>30058</v>
      </c>
      <c r="H3107" t="s">
        <v>15498</v>
      </c>
      <c r="I3107" t="s">
        <v>30080</v>
      </c>
      <c r="J3107" t="s">
        <v>32280</v>
      </c>
      <c r="K3107" t="s">
        <v>39025</v>
      </c>
      <c r="M3107" t="s">
        <v>40521</v>
      </c>
      <c r="N3107" t="s">
        <v>43166</v>
      </c>
      <c r="O3107" t="s">
        <v>43167</v>
      </c>
      <c r="P3107">
        <v>0</v>
      </c>
      <c r="Q3107">
        <v>15</v>
      </c>
      <c r="R3107" t="s">
        <v>43171</v>
      </c>
      <c r="S3107" t="s">
        <v>43311</v>
      </c>
      <c r="T3107" t="s">
        <v>44901</v>
      </c>
      <c r="U3107" t="s">
        <v>47747</v>
      </c>
      <c r="W3107" t="s">
        <v>40521</v>
      </c>
      <c r="X3107" t="s">
        <v>43173</v>
      </c>
    </row>
    <row r="3108" spans="1:24">
      <c r="A3108">
        <f>HYPERLINK("https://www.philgeps.gov.ph/GEPSNONPILOT/Tender/SplashBidNoticeAbstractUI.aspx?menuIndex=3&amp;refID=7079645&amp;Result=3","7079645")</f>
        <v>0</v>
      </c>
      <c r="B3108" t="s">
        <v>1170</v>
      </c>
      <c r="C3108" t="s">
        <v>6388</v>
      </c>
      <c r="D3108" t="s">
        <v>17482</v>
      </c>
      <c r="E3108" t="s">
        <v>20208</v>
      </c>
      <c r="F3108" t="s">
        <v>30052</v>
      </c>
      <c r="G3108" t="s">
        <v>30058</v>
      </c>
      <c r="H3108" t="s">
        <v>15498</v>
      </c>
      <c r="I3108" t="s">
        <v>30136</v>
      </c>
      <c r="J3108" t="s">
        <v>30397</v>
      </c>
      <c r="K3108" t="s">
        <v>39025</v>
      </c>
      <c r="M3108" t="s">
        <v>40518</v>
      </c>
      <c r="N3108" t="s">
        <v>43166</v>
      </c>
      <c r="O3108" t="s">
        <v>43167</v>
      </c>
      <c r="P3108">
        <v>0</v>
      </c>
      <c r="Q3108">
        <v>1</v>
      </c>
      <c r="R3108" t="s">
        <v>43171</v>
      </c>
      <c r="S3108" t="s">
        <v>43311</v>
      </c>
      <c r="T3108" t="s">
        <v>44693</v>
      </c>
      <c r="U3108" t="s">
        <v>47748</v>
      </c>
      <c r="W3108" t="s">
        <v>40518</v>
      </c>
      <c r="X3108" t="s">
        <v>43173</v>
      </c>
    </row>
    <row r="3109" spans="1:24">
      <c r="A3109">
        <f>HYPERLINK("https://www.philgeps.gov.ph/GEPSNONPILOT/Tender/SplashBidNoticeAbstractUI.aspx?menuIndex=3&amp;refID=7079454&amp;Result=3","7079454")</f>
        <v>0</v>
      </c>
      <c r="B3109" t="s">
        <v>1165</v>
      </c>
      <c r="C3109" t="s">
        <v>6389</v>
      </c>
      <c r="D3109" t="s">
        <v>17475</v>
      </c>
      <c r="E3109" t="s">
        <v>20209</v>
      </c>
      <c r="F3109" t="s">
        <v>30052</v>
      </c>
      <c r="G3109" t="s">
        <v>30058</v>
      </c>
      <c r="H3109" t="s">
        <v>30067</v>
      </c>
      <c r="I3109" t="s">
        <v>3693</v>
      </c>
      <c r="J3109" t="s">
        <v>32281</v>
      </c>
      <c r="K3109" t="s">
        <v>39087</v>
      </c>
      <c r="M3109" t="s">
        <v>40511</v>
      </c>
      <c r="N3109" t="s">
        <v>43166</v>
      </c>
      <c r="O3109" t="s">
        <v>43167</v>
      </c>
      <c r="P3109">
        <v>0</v>
      </c>
      <c r="Q3109">
        <v>0</v>
      </c>
      <c r="R3109" t="s">
        <v>43171</v>
      </c>
      <c r="S3109" t="s">
        <v>43311</v>
      </c>
      <c r="T3109" t="s">
        <v>44758</v>
      </c>
      <c r="U3109" t="s">
        <v>47725</v>
      </c>
      <c r="W3109" t="s">
        <v>40511</v>
      </c>
      <c r="X3109" t="s">
        <v>43173</v>
      </c>
    </row>
    <row r="3110" spans="1:24">
      <c r="A3110">
        <f>HYPERLINK("https://www.philgeps.gov.ph/GEPSNONPILOT/Tender/SplashBidNoticeAbstractUI.aspx?menuIndex=3&amp;refID=7080176&amp;Result=3","7080176")</f>
        <v>0</v>
      </c>
      <c r="B3110" t="s">
        <v>1173</v>
      </c>
      <c r="C3110" t="s">
        <v>3620</v>
      </c>
      <c r="D3110" t="s">
        <v>17440</v>
      </c>
      <c r="E3110" t="s">
        <v>20210</v>
      </c>
      <c r="F3110" t="s">
        <v>30052</v>
      </c>
      <c r="G3110" t="s">
        <v>30058</v>
      </c>
      <c r="H3110" t="s">
        <v>30067</v>
      </c>
      <c r="I3110" t="s">
        <v>3693</v>
      </c>
      <c r="J3110" t="s">
        <v>32282</v>
      </c>
      <c r="K3110" t="s">
        <v>39028</v>
      </c>
      <c r="M3110" t="s">
        <v>40522</v>
      </c>
      <c r="N3110" t="s">
        <v>43166</v>
      </c>
      <c r="O3110" t="s">
        <v>43167</v>
      </c>
      <c r="P3110">
        <v>0</v>
      </c>
      <c r="Q3110">
        <v>0</v>
      </c>
      <c r="R3110" t="s">
        <v>43171</v>
      </c>
      <c r="S3110" t="s">
        <v>43311</v>
      </c>
      <c r="T3110" t="s">
        <v>44710</v>
      </c>
      <c r="U3110" t="s">
        <v>47749</v>
      </c>
      <c r="V3110" t="s">
        <v>57182</v>
      </c>
      <c r="W3110" t="s">
        <v>40522</v>
      </c>
      <c r="X3110" t="s">
        <v>43173</v>
      </c>
    </row>
    <row r="3111" spans="1:24">
      <c r="A3111">
        <f>HYPERLINK("https://www.philgeps.gov.ph/GEPSNONPILOT/Tender/SplashBidNoticeAbstractUI.aspx?menuIndex=3&amp;refID=7079626&amp;Result=3","7079626")</f>
        <v>0</v>
      </c>
      <c r="B3111" t="s">
        <v>1168</v>
      </c>
      <c r="C3111" t="s">
        <v>6390</v>
      </c>
      <c r="E3111" t="s">
        <v>20211</v>
      </c>
      <c r="F3111" t="s">
        <v>30052</v>
      </c>
      <c r="G3111" t="s">
        <v>30059</v>
      </c>
      <c r="H3111" t="s">
        <v>15498</v>
      </c>
      <c r="I3111" t="s">
        <v>6691</v>
      </c>
      <c r="J3111" t="s">
        <v>32283</v>
      </c>
      <c r="K3111" t="s">
        <v>39025</v>
      </c>
      <c r="M3111" t="s">
        <v>40515</v>
      </c>
      <c r="N3111" t="s">
        <v>43166</v>
      </c>
      <c r="O3111" t="s">
        <v>43167</v>
      </c>
      <c r="P3111">
        <v>0</v>
      </c>
      <c r="Q3111">
        <v>2</v>
      </c>
      <c r="R3111" t="s">
        <v>43171</v>
      </c>
      <c r="S3111" t="s">
        <v>43311</v>
      </c>
      <c r="T3111" t="s">
        <v>44837</v>
      </c>
      <c r="U3111" t="s">
        <v>47750</v>
      </c>
      <c r="W3111" t="s">
        <v>40515</v>
      </c>
      <c r="X3111" t="s">
        <v>43173</v>
      </c>
    </row>
    <row r="3112" spans="1:24">
      <c r="A3112">
        <f>HYPERLINK("https://www.philgeps.gov.ph/GEPSNONPILOT/Tender/SplashBidNoticeAbstractUI.aspx?menuIndex=3&amp;refID=7079931&amp;Result=3","7079931")</f>
        <v>0</v>
      </c>
      <c r="B3112" t="s">
        <v>1174</v>
      </c>
      <c r="C3112" t="s">
        <v>6391</v>
      </c>
      <c r="D3112" t="s">
        <v>17427</v>
      </c>
      <c r="E3112" t="s">
        <v>20212</v>
      </c>
      <c r="F3112" t="s">
        <v>30052</v>
      </c>
      <c r="G3112" t="s">
        <v>30060</v>
      </c>
      <c r="H3112" t="s">
        <v>30067</v>
      </c>
      <c r="I3112" t="s">
        <v>3693</v>
      </c>
      <c r="J3112" t="s">
        <v>30605</v>
      </c>
      <c r="K3112" t="s">
        <v>39029</v>
      </c>
      <c r="M3112" t="s">
        <v>40523</v>
      </c>
      <c r="N3112" t="s">
        <v>43166</v>
      </c>
      <c r="O3112" t="s">
        <v>43167</v>
      </c>
      <c r="P3112">
        <v>0</v>
      </c>
      <c r="Q3112">
        <v>0</v>
      </c>
      <c r="R3112" t="s">
        <v>43171</v>
      </c>
      <c r="S3112" t="s">
        <v>43311</v>
      </c>
      <c r="T3112" t="s">
        <v>44710</v>
      </c>
      <c r="U3112" t="s">
        <v>47751</v>
      </c>
      <c r="W3112" t="s">
        <v>40523</v>
      </c>
      <c r="X3112" t="s">
        <v>43173</v>
      </c>
    </row>
    <row r="3113" spans="1:24">
      <c r="A3113">
        <f>HYPERLINK("https://www.philgeps.gov.ph/GEPSNONPILOT/Tender/SplashBidNoticeAbstractUI.aspx?menuIndex=3&amp;refID=7079796&amp;Result=3","7079796")</f>
        <v>0</v>
      </c>
      <c r="B3113" t="s">
        <v>1154</v>
      </c>
      <c r="C3113" t="s">
        <v>6392</v>
      </c>
      <c r="D3113" t="s">
        <v>17424</v>
      </c>
      <c r="E3113" t="s">
        <v>20213</v>
      </c>
      <c r="F3113" t="s">
        <v>30052</v>
      </c>
      <c r="G3113" t="s">
        <v>30058</v>
      </c>
      <c r="H3113" t="s">
        <v>30067</v>
      </c>
      <c r="I3113" t="s">
        <v>3693</v>
      </c>
      <c r="J3113" t="s">
        <v>32284</v>
      </c>
      <c r="K3113" t="s">
        <v>39026</v>
      </c>
      <c r="M3113" t="s">
        <v>40498</v>
      </c>
      <c r="N3113" t="s">
        <v>43166</v>
      </c>
      <c r="O3113" t="s">
        <v>43167</v>
      </c>
      <c r="P3113">
        <v>0</v>
      </c>
      <c r="Q3113">
        <v>66</v>
      </c>
      <c r="R3113" t="s">
        <v>43171</v>
      </c>
      <c r="S3113" t="s">
        <v>43311</v>
      </c>
      <c r="T3113" t="s">
        <v>44732</v>
      </c>
      <c r="U3113" t="s">
        <v>47752</v>
      </c>
      <c r="W3113" t="s">
        <v>40498</v>
      </c>
      <c r="X3113" t="s">
        <v>43173</v>
      </c>
    </row>
    <row r="3114" spans="1:24">
      <c r="A3114">
        <f>HYPERLINK("https://www.philgeps.gov.ph/GEPSNONPILOT/Tender/SplashBidNoticeAbstractUI.aspx?menuIndex=3&amp;refID=7079951&amp;Result=3","7079951")</f>
        <v>0</v>
      </c>
      <c r="B3114" t="s">
        <v>1149</v>
      </c>
      <c r="C3114" t="s">
        <v>6285</v>
      </c>
      <c r="D3114" t="s">
        <v>17415</v>
      </c>
      <c r="E3114" t="s">
        <v>20214</v>
      </c>
      <c r="F3114" t="s">
        <v>30052</v>
      </c>
      <c r="G3114" t="s">
        <v>30058</v>
      </c>
      <c r="H3114" t="s">
        <v>15498</v>
      </c>
      <c r="I3114" t="s">
        <v>30084</v>
      </c>
      <c r="J3114" t="s">
        <v>32285</v>
      </c>
      <c r="K3114" t="s">
        <v>39025</v>
      </c>
      <c r="M3114" t="s">
        <v>40493</v>
      </c>
      <c r="N3114" t="s">
        <v>43166</v>
      </c>
      <c r="O3114" t="s">
        <v>43167</v>
      </c>
      <c r="P3114">
        <v>0</v>
      </c>
      <c r="Q3114">
        <v>29</v>
      </c>
      <c r="R3114" t="s">
        <v>43171</v>
      </c>
      <c r="S3114" t="s">
        <v>43311</v>
      </c>
      <c r="T3114" t="s">
        <v>44752</v>
      </c>
      <c r="U3114" t="s">
        <v>47660</v>
      </c>
      <c r="W3114" t="s">
        <v>40493</v>
      </c>
      <c r="X3114" t="s">
        <v>43173</v>
      </c>
    </row>
    <row r="3115" spans="1:24">
      <c r="A3115">
        <f>HYPERLINK("https://www.philgeps.gov.ph/GEPSNONPILOT/Tender/SplashBidNoticeAbstractUI.aspx?menuIndex=3&amp;refID=7081025&amp;Result=3","7081025")</f>
        <v>0</v>
      </c>
      <c r="B3115" t="s">
        <v>1175</v>
      </c>
      <c r="C3115" t="s">
        <v>6393</v>
      </c>
      <c r="D3115" t="s">
        <v>17427</v>
      </c>
      <c r="E3115" t="s">
        <v>20215</v>
      </c>
      <c r="F3115" t="s">
        <v>30052</v>
      </c>
      <c r="G3115" t="s">
        <v>30058</v>
      </c>
      <c r="H3115" t="s">
        <v>30067</v>
      </c>
      <c r="I3115" t="s">
        <v>3693</v>
      </c>
      <c r="J3115" t="s">
        <v>32286</v>
      </c>
      <c r="K3115" t="s">
        <v>39057</v>
      </c>
      <c r="M3115" t="s">
        <v>40524</v>
      </c>
      <c r="N3115" t="s">
        <v>43166</v>
      </c>
      <c r="O3115" t="s">
        <v>43167</v>
      </c>
      <c r="P3115">
        <v>0</v>
      </c>
      <c r="Q3115">
        <v>0</v>
      </c>
      <c r="R3115" t="s">
        <v>43171</v>
      </c>
      <c r="S3115" t="s">
        <v>43311</v>
      </c>
      <c r="T3115" t="s">
        <v>44944</v>
      </c>
      <c r="U3115" t="s">
        <v>47753</v>
      </c>
      <c r="W3115" t="s">
        <v>40524</v>
      </c>
      <c r="X3115" t="s">
        <v>43173</v>
      </c>
    </row>
    <row r="3116" spans="1:24">
      <c r="A3116">
        <f>HYPERLINK("https://www.philgeps.gov.ph/GEPSNONPILOT/Tender/SplashBidNoticeAbstractUI.aspx?menuIndex=3&amp;refID=7079679&amp;Result=3","7079679")</f>
        <v>0</v>
      </c>
      <c r="B3116" t="s">
        <v>1169</v>
      </c>
      <c r="C3116" t="s">
        <v>6394</v>
      </c>
      <c r="D3116" t="s">
        <v>17458</v>
      </c>
      <c r="E3116" t="s">
        <v>20216</v>
      </c>
      <c r="F3116" t="s">
        <v>30052</v>
      </c>
      <c r="G3116" t="s">
        <v>30058</v>
      </c>
      <c r="H3116" t="s">
        <v>30067</v>
      </c>
      <c r="I3116" t="s">
        <v>3693</v>
      </c>
      <c r="J3116" t="s">
        <v>32287</v>
      </c>
      <c r="K3116" t="s">
        <v>39092</v>
      </c>
      <c r="M3116" t="s">
        <v>40516</v>
      </c>
      <c r="N3116" t="s">
        <v>43166</v>
      </c>
      <c r="O3116" t="s">
        <v>43167</v>
      </c>
      <c r="Q3116">
        <v>4</v>
      </c>
      <c r="R3116" t="s">
        <v>43171</v>
      </c>
      <c r="S3116" t="s">
        <v>43312</v>
      </c>
      <c r="T3116" t="s">
        <v>44774</v>
      </c>
      <c r="U3116" t="s">
        <v>47754</v>
      </c>
      <c r="V3116" t="s">
        <v>57181</v>
      </c>
      <c r="W3116" t="s">
        <v>58625</v>
      </c>
      <c r="X3116" t="s">
        <v>43173</v>
      </c>
    </row>
    <row r="3117" spans="1:24">
      <c r="A3117">
        <f>HYPERLINK("https://www.philgeps.gov.ph/GEPSNONPILOT/Tender/SplashBidNoticeAbstractUI.aspx?menuIndex=3&amp;refID=7079800&amp;Result=3","7079800")</f>
        <v>0</v>
      </c>
      <c r="B3117" t="s">
        <v>1163</v>
      </c>
      <c r="C3117" t="s">
        <v>6395</v>
      </c>
      <c r="D3117" t="s">
        <v>17464</v>
      </c>
      <c r="E3117" t="s">
        <v>20217</v>
      </c>
      <c r="F3117" t="s">
        <v>30052</v>
      </c>
      <c r="G3117" t="s">
        <v>30058</v>
      </c>
      <c r="H3117" t="s">
        <v>30067</v>
      </c>
      <c r="I3117" t="s">
        <v>3693</v>
      </c>
      <c r="J3117" t="s">
        <v>30555</v>
      </c>
      <c r="K3117" t="s">
        <v>39046</v>
      </c>
      <c r="M3117" t="s">
        <v>40509</v>
      </c>
      <c r="N3117" t="s">
        <v>43166</v>
      </c>
      <c r="O3117" t="s">
        <v>43167</v>
      </c>
      <c r="P3117">
        <v>0</v>
      </c>
      <c r="Q3117">
        <v>0</v>
      </c>
      <c r="R3117" t="s">
        <v>43171</v>
      </c>
      <c r="S3117" t="s">
        <v>43311</v>
      </c>
      <c r="T3117" t="s">
        <v>44842</v>
      </c>
      <c r="U3117" t="s">
        <v>47755</v>
      </c>
      <c r="W3117" t="s">
        <v>40509</v>
      </c>
      <c r="X3117" t="s">
        <v>43173</v>
      </c>
    </row>
    <row r="3118" spans="1:24">
      <c r="A3118">
        <f>HYPERLINK("https://www.philgeps.gov.ph/GEPSNONPILOT/Tender/SplashBidNoticeAbstractUI.aspx?menuIndex=3&amp;refID=7079789&amp;Result=3","7079789")</f>
        <v>0</v>
      </c>
      <c r="B3118" t="s">
        <v>1163</v>
      </c>
      <c r="C3118" t="s">
        <v>6396</v>
      </c>
      <c r="D3118" t="s">
        <v>17464</v>
      </c>
      <c r="E3118" t="s">
        <v>20218</v>
      </c>
      <c r="F3118" t="s">
        <v>30052</v>
      </c>
      <c r="G3118" t="s">
        <v>30058</v>
      </c>
      <c r="H3118" t="s">
        <v>30067</v>
      </c>
      <c r="I3118" t="s">
        <v>3693</v>
      </c>
      <c r="J3118" t="s">
        <v>30397</v>
      </c>
      <c r="K3118" t="s">
        <v>39023</v>
      </c>
      <c r="M3118" t="s">
        <v>40509</v>
      </c>
      <c r="N3118" t="s">
        <v>43166</v>
      </c>
      <c r="O3118" t="s">
        <v>43167</v>
      </c>
      <c r="P3118">
        <v>0</v>
      </c>
      <c r="Q3118">
        <v>0</v>
      </c>
      <c r="R3118" t="s">
        <v>43171</v>
      </c>
      <c r="S3118" t="s">
        <v>43311</v>
      </c>
      <c r="T3118" t="s">
        <v>44842</v>
      </c>
      <c r="U3118" t="s">
        <v>47756</v>
      </c>
      <c r="W3118" t="s">
        <v>40509</v>
      </c>
      <c r="X3118" t="s">
        <v>43173</v>
      </c>
    </row>
    <row r="3119" spans="1:24">
      <c r="A3119">
        <f>HYPERLINK("https://www.philgeps.gov.ph/GEPSNONPILOT/Tender/SplashBidNoticeAbstractUI.aspx?menuIndex=3&amp;refID=7080501&amp;Result=3","7080501")</f>
        <v>0</v>
      </c>
      <c r="B3119" t="s">
        <v>1176</v>
      </c>
      <c r="C3119" t="s">
        <v>6397</v>
      </c>
      <c r="D3119" t="s">
        <v>17452</v>
      </c>
      <c r="E3119" t="s">
        <v>20219</v>
      </c>
      <c r="F3119" t="s">
        <v>30052</v>
      </c>
      <c r="G3119" t="s">
        <v>30059</v>
      </c>
      <c r="H3119" t="s">
        <v>30068</v>
      </c>
      <c r="I3119" t="s">
        <v>30068</v>
      </c>
      <c r="J3119" t="s">
        <v>32288</v>
      </c>
      <c r="K3119" t="s">
        <v>39041</v>
      </c>
      <c r="M3119" t="s">
        <v>40525</v>
      </c>
      <c r="N3119" t="s">
        <v>43166</v>
      </c>
      <c r="O3119" t="s">
        <v>43167</v>
      </c>
      <c r="P3119">
        <v>0</v>
      </c>
      <c r="Q3119">
        <v>1</v>
      </c>
      <c r="R3119" t="s">
        <v>43171</v>
      </c>
      <c r="S3119" t="s">
        <v>43311</v>
      </c>
      <c r="T3119" t="s">
        <v>44843</v>
      </c>
      <c r="U3119" t="s">
        <v>47757</v>
      </c>
      <c r="W3119" t="s">
        <v>40525</v>
      </c>
      <c r="X3119" t="s">
        <v>43173</v>
      </c>
    </row>
    <row r="3120" spans="1:24">
      <c r="A3120">
        <f>HYPERLINK("https://www.philgeps.gov.ph/GEPSNONPILOT/Tender/SplashBidNoticeAbstractUI.aspx?menuIndex=3&amp;refID=7080969&amp;Result=3","7080969")</f>
        <v>0</v>
      </c>
      <c r="B3120" t="s">
        <v>94</v>
      </c>
      <c r="C3120" t="s">
        <v>6398</v>
      </c>
      <c r="D3120" t="s">
        <v>17454</v>
      </c>
      <c r="E3120" t="s">
        <v>20220</v>
      </c>
      <c r="F3120" t="s">
        <v>30052</v>
      </c>
      <c r="G3120" t="s">
        <v>30060</v>
      </c>
      <c r="H3120" t="s">
        <v>15498</v>
      </c>
      <c r="I3120" t="s">
        <v>30075</v>
      </c>
      <c r="J3120" t="s">
        <v>32289</v>
      </c>
      <c r="K3120" t="s">
        <v>39017</v>
      </c>
      <c r="M3120" t="s">
        <v>39383</v>
      </c>
      <c r="N3120" t="s">
        <v>43166</v>
      </c>
      <c r="O3120" t="s">
        <v>43167</v>
      </c>
      <c r="P3120">
        <v>0</v>
      </c>
      <c r="Q3120">
        <v>4</v>
      </c>
      <c r="R3120" t="s">
        <v>43171</v>
      </c>
      <c r="S3120" t="s">
        <v>43311</v>
      </c>
      <c r="T3120" t="s">
        <v>44691</v>
      </c>
      <c r="U3120" t="s">
        <v>47758</v>
      </c>
      <c r="W3120" t="s">
        <v>39383</v>
      </c>
      <c r="X3120" t="s">
        <v>43173</v>
      </c>
    </row>
    <row r="3121" spans="1:24">
      <c r="A3121">
        <f>HYPERLINK("https://www.philgeps.gov.ph/GEPSNONPILOT/Tender/SplashBidNoticeAbstractUI.aspx?menuIndex=3&amp;refID=7079932&amp;Result=3","7079932")</f>
        <v>0</v>
      </c>
      <c r="B3121" t="s">
        <v>1177</v>
      </c>
      <c r="C3121" t="s">
        <v>6399</v>
      </c>
      <c r="D3121" t="s">
        <v>17460</v>
      </c>
      <c r="E3121" t="s">
        <v>20221</v>
      </c>
      <c r="F3121" t="s">
        <v>30052</v>
      </c>
      <c r="G3121" t="s">
        <v>30059</v>
      </c>
      <c r="H3121" t="s">
        <v>15498</v>
      </c>
      <c r="I3121" t="s">
        <v>3736</v>
      </c>
      <c r="J3121" t="s">
        <v>30404</v>
      </c>
      <c r="K3121" t="s">
        <v>39019</v>
      </c>
      <c r="M3121" t="s">
        <v>40526</v>
      </c>
      <c r="N3121" t="s">
        <v>43166</v>
      </c>
      <c r="O3121" t="s">
        <v>43167</v>
      </c>
      <c r="P3121">
        <v>0</v>
      </c>
      <c r="Q3121">
        <v>1</v>
      </c>
      <c r="R3121" t="s">
        <v>43171</v>
      </c>
      <c r="S3121" t="s">
        <v>43311</v>
      </c>
      <c r="T3121" t="s">
        <v>44773</v>
      </c>
      <c r="U3121" t="s">
        <v>47759</v>
      </c>
      <c r="W3121" t="s">
        <v>58627</v>
      </c>
      <c r="X3121" t="s">
        <v>43173</v>
      </c>
    </row>
    <row r="3122" spans="1:24">
      <c r="A3122">
        <f>HYPERLINK("https://www.philgeps.gov.ph/GEPSNONPILOT/Tender/SplashBidNoticeAbstractUI.aspx?menuIndex=3&amp;refID=7080913&amp;Result=3","7080913")</f>
        <v>0</v>
      </c>
      <c r="B3122" t="s">
        <v>1178</v>
      </c>
      <c r="C3122" t="s">
        <v>6400</v>
      </c>
      <c r="D3122" t="s">
        <v>17499</v>
      </c>
      <c r="E3122" t="s">
        <v>20222</v>
      </c>
      <c r="F3122" t="s">
        <v>30052</v>
      </c>
      <c r="G3122" t="s">
        <v>30058</v>
      </c>
      <c r="H3122" t="s">
        <v>30067</v>
      </c>
      <c r="I3122" t="s">
        <v>3693</v>
      </c>
      <c r="J3122" t="s">
        <v>32290</v>
      </c>
      <c r="K3122" t="s">
        <v>39092</v>
      </c>
      <c r="M3122" t="s">
        <v>40527</v>
      </c>
      <c r="N3122" t="s">
        <v>43166</v>
      </c>
      <c r="O3122" t="s">
        <v>43167</v>
      </c>
      <c r="P3122">
        <v>0</v>
      </c>
      <c r="Q3122">
        <v>1</v>
      </c>
      <c r="R3122" t="s">
        <v>43171</v>
      </c>
      <c r="S3122" t="s">
        <v>43311</v>
      </c>
      <c r="T3122" t="s">
        <v>44828</v>
      </c>
      <c r="U3122" t="s">
        <v>47760</v>
      </c>
      <c r="W3122" t="s">
        <v>40527</v>
      </c>
      <c r="X3122" t="s">
        <v>43173</v>
      </c>
    </row>
    <row r="3123" spans="1:24">
      <c r="A3123">
        <f>HYPERLINK("https://www.philgeps.gov.ph/GEPSNONPILOT/Tender/SplashBidNoticeAbstractUI.aspx?menuIndex=3&amp;refID=7081003&amp;Result=3","7081003")</f>
        <v>0</v>
      </c>
      <c r="B3123" t="s">
        <v>1080</v>
      </c>
      <c r="C3123" t="s">
        <v>6401</v>
      </c>
      <c r="D3123" t="s">
        <v>17430</v>
      </c>
      <c r="E3123" t="s">
        <v>19196</v>
      </c>
      <c r="F3123" t="s">
        <v>30052</v>
      </c>
      <c r="G3123" t="s">
        <v>30058</v>
      </c>
      <c r="H3123" t="s">
        <v>30067</v>
      </c>
      <c r="I3123" t="s">
        <v>3693</v>
      </c>
      <c r="J3123" t="s">
        <v>32291</v>
      </c>
      <c r="K3123" t="s">
        <v>39057</v>
      </c>
      <c r="M3123" t="s">
        <v>40416</v>
      </c>
      <c r="N3123" t="s">
        <v>43166</v>
      </c>
      <c r="O3123" t="s">
        <v>43167</v>
      </c>
      <c r="P3123">
        <v>0</v>
      </c>
      <c r="Q3123">
        <v>12</v>
      </c>
      <c r="R3123" t="s">
        <v>43171</v>
      </c>
      <c r="S3123" t="s">
        <v>43311</v>
      </c>
      <c r="T3123" t="s">
        <v>44945</v>
      </c>
      <c r="U3123" t="s">
        <v>47761</v>
      </c>
      <c r="W3123" t="s">
        <v>40416</v>
      </c>
      <c r="X3123" t="s">
        <v>43173</v>
      </c>
    </row>
    <row r="3124" spans="1:24">
      <c r="A3124">
        <f>HYPERLINK("https://www.philgeps.gov.ph/GEPSNONPILOT/Tender/SplashBidNoticeAbstractUI.aspx?menuIndex=3&amp;refID=7080833&amp;Result=3","7080833")</f>
        <v>0</v>
      </c>
      <c r="B3124" t="s">
        <v>354</v>
      </c>
      <c r="C3124" t="s">
        <v>6402</v>
      </c>
      <c r="D3124" t="s">
        <v>17437</v>
      </c>
      <c r="E3124" t="s">
        <v>20223</v>
      </c>
      <c r="F3124" t="s">
        <v>30052</v>
      </c>
      <c r="G3124" t="s">
        <v>30059</v>
      </c>
      <c r="H3124" t="s">
        <v>15498</v>
      </c>
      <c r="I3124" t="s">
        <v>5961</v>
      </c>
      <c r="J3124" t="s">
        <v>32292</v>
      </c>
      <c r="K3124" t="s">
        <v>39034</v>
      </c>
      <c r="M3124" t="s">
        <v>40528</v>
      </c>
      <c r="N3124" t="s">
        <v>43166</v>
      </c>
      <c r="O3124" t="s">
        <v>43167</v>
      </c>
      <c r="P3124">
        <v>0</v>
      </c>
      <c r="Q3124">
        <v>3</v>
      </c>
      <c r="R3124" t="s">
        <v>43171</v>
      </c>
      <c r="S3124" t="s">
        <v>43311</v>
      </c>
      <c r="T3124" t="s">
        <v>44717</v>
      </c>
      <c r="U3124" t="s">
        <v>47762</v>
      </c>
      <c r="W3124" t="s">
        <v>40528</v>
      </c>
      <c r="X3124" t="s">
        <v>43173</v>
      </c>
    </row>
    <row r="3125" spans="1:24">
      <c r="A3125">
        <f>HYPERLINK("https://www.philgeps.gov.ph/GEPSNONPILOT/Tender/SplashBidNoticeAbstractUI.aspx?menuIndex=3&amp;refID=7080996&amp;Result=3","7080996")</f>
        <v>0</v>
      </c>
      <c r="B3125" t="s">
        <v>1179</v>
      </c>
      <c r="C3125" t="s">
        <v>6403</v>
      </c>
      <c r="D3125" t="s">
        <v>17454</v>
      </c>
      <c r="E3125" t="s">
        <v>20224</v>
      </c>
      <c r="F3125" t="s">
        <v>30052</v>
      </c>
      <c r="G3125" t="s">
        <v>30058</v>
      </c>
      <c r="H3125" t="s">
        <v>30067</v>
      </c>
      <c r="I3125" t="s">
        <v>3693</v>
      </c>
      <c r="J3125" t="s">
        <v>32293</v>
      </c>
      <c r="K3125" t="s">
        <v>39119</v>
      </c>
      <c r="M3125" t="s">
        <v>40529</v>
      </c>
      <c r="N3125" t="s">
        <v>43166</v>
      </c>
      <c r="O3125" t="s">
        <v>43167</v>
      </c>
      <c r="P3125">
        <v>0</v>
      </c>
      <c r="Q3125">
        <v>1</v>
      </c>
      <c r="R3125" t="s">
        <v>43171</v>
      </c>
      <c r="S3125" t="s">
        <v>43311</v>
      </c>
      <c r="T3125" t="s">
        <v>44732</v>
      </c>
      <c r="U3125" t="s">
        <v>47763</v>
      </c>
      <c r="W3125" t="s">
        <v>40529</v>
      </c>
      <c r="X3125" t="s">
        <v>43173</v>
      </c>
    </row>
    <row r="3126" spans="1:24">
      <c r="A3126">
        <f>HYPERLINK("https://www.philgeps.gov.ph/GEPSNONPILOT/Tender/SplashBidNoticeAbstractUI.aspx?menuIndex=3&amp;refID=7080810&amp;Result=3","7080810")</f>
        <v>0</v>
      </c>
      <c r="B3126" t="s">
        <v>1180</v>
      </c>
      <c r="C3126" t="s">
        <v>6404</v>
      </c>
      <c r="D3126" t="s">
        <v>17455</v>
      </c>
      <c r="E3126" t="s">
        <v>20225</v>
      </c>
      <c r="F3126" t="s">
        <v>30052</v>
      </c>
      <c r="G3126" t="s">
        <v>30058</v>
      </c>
      <c r="H3126" t="s">
        <v>15498</v>
      </c>
      <c r="I3126" t="s">
        <v>30074</v>
      </c>
      <c r="J3126" t="s">
        <v>30557</v>
      </c>
      <c r="K3126" t="s">
        <v>39029</v>
      </c>
      <c r="M3126" t="s">
        <v>40530</v>
      </c>
      <c r="N3126" t="s">
        <v>43166</v>
      </c>
      <c r="O3126" t="s">
        <v>43167</v>
      </c>
      <c r="P3126">
        <v>0</v>
      </c>
      <c r="Q3126">
        <v>7</v>
      </c>
      <c r="R3126" t="s">
        <v>43171</v>
      </c>
      <c r="S3126" t="s">
        <v>43311</v>
      </c>
      <c r="T3126" t="s">
        <v>44789</v>
      </c>
      <c r="U3126" t="s">
        <v>47764</v>
      </c>
      <c r="W3126" t="s">
        <v>40530</v>
      </c>
      <c r="X3126" t="s">
        <v>43173</v>
      </c>
    </row>
    <row r="3127" spans="1:24">
      <c r="A3127">
        <f>HYPERLINK("https://www.philgeps.gov.ph/GEPSNONPILOT/Tender/SplashBidNoticeAbstractUI.aspx?menuIndex=3&amp;refID=7080784&amp;Result=3","7080784")</f>
        <v>0</v>
      </c>
      <c r="B3127" t="s">
        <v>1178</v>
      </c>
      <c r="C3127" t="s">
        <v>6405</v>
      </c>
      <c r="D3127" t="s">
        <v>17499</v>
      </c>
      <c r="E3127" t="s">
        <v>20226</v>
      </c>
      <c r="F3127" t="s">
        <v>30052</v>
      </c>
      <c r="G3127" t="s">
        <v>30058</v>
      </c>
      <c r="H3127" t="s">
        <v>30067</v>
      </c>
      <c r="I3127" t="s">
        <v>3693</v>
      </c>
      <c r="J3127" t="s">
        <v>32294</v>
      </c>
      <c r="K3127" t="s">
        <v>39092</v>
      </c>
      <c r="M3127" t="s">
        <v>40527</v>
      </c>
      <c r="N3127" t="s">
        <v>43166</v>
      </c>
      <c r="O3127" t="s">
        <v>43167</v>
      </c>
      <c r="P3127">
        <v>0</v>
      </c>
      <c r="Q3127">
        <v>1</v>
      </c>
      <c r="R3127" t="s">
        <v>43171</v>
      </c>
      <c r="S3127" t="s">
        <v>43311</v>
      </c>
      <c r="T3127" t="s">
        <v>44828</v>
      </c>
      <c r="U3127" t="s">
        <v>47765</v>
      </c>
      <c r="W3127" t="s">
        <v>40527</v>
      </c>
      <c r="X3127" t="s">
        <v>43173</v>
      </c>
    </row>
    <row r="3128" spans="1:24">
      <c r="A3128">
        <f>HYPERLINK("https://www.philgeps.gov.ph/GEPSNONPILOT/Tender/SplashBidNoticeAbstractUI.aspx?menuIndex=3&amp;refID=7080715&amp;Result=3","7080715")</f>
        <v>0</v>
      </c>
      <c r="B3128" t="s">
        <v>1163</v>
      </c>
      <c r="C3128" t="s">
        <v>6406</v>
      </c>
      <c r="D3128" t="s">
        <v>17464</v>
      </c>
      <c r="E3128" t="s">
        <v>20227</v>
      </c>
      <c r="F3128" t="s">
        <v>30052</v>
      </c>
      <c r="G3128" t="s">
        <v>30058</v>
      </c>
      <c r="H3128" t="s">
        <v>15498</v>
      </c>
      <c r="I3128" t="s">
        <v>30074</v>
      </c>
      <c r="J3128" t="s">
        <v>31060</v>
      </c>
      <c r="K3128" t="s">
        <v>39019</v>
      </c>
      <c r="M3128" t="s">
        <v>40509</v>
      </c>
      <c r="N3128" t="s">
        <v>43166</v>
      </c>
      <c r="O3128" t="s">
        <v>43167</v>
      </c>
      <c r="P3128">
        <v>0</v>
      </c>
      <c r="Q3128">
        <v>6</v>
      </c>
      <c r="R3128" t="s">
        <v>43171</v>
      </c>
      <c r="S3128" t="s">
        <v>43311</v>
      </c>
      <c r="T3128" t="s">
        <v>44842</v>
      </c>
      <c r="U3128" t="s">
        <v>47766</v>
      </c>
      <c r="W3128" t="s">
        <v>40509</v>
      </c>
      <c r="X3128" t="s">
        <v>43173</v>
      </c>
    </row>
    <row r="3129" spans="1:24">
      <c r="A3129">
        <f>HYPERLINK("https://www.philgeps.gov.ph/GEPSNONPILOT/Tender/SplashBidNoticeAbstractUI.aspx?menuIndex=3&amp;refID=7080713&amp;Result=3","7080713")</f>
        <v>0</v>
      </c>
      <c r="B3129" t="s">
        <v>1180</v>
      </c>
      <c r="C3129" t="s">
        <v>6407</v>
      </c>
      <c r="D3129" t="s">
        <v>17455</v>
      </c>
      <c r="E3129" t="s">
        <v>20228</v>
      </c>
      <c r="F3129" t="s">
        <v>30052</v>
      </c>
      <c r="G3129" t="s">
        <v>30058</v>
      </c>
      <c r="H3129" t="s">
        <v>15498</v>
      </c>
      <c r="I3129" t="s">
        <v>30103</v>
      </c>
      <c r="J3129" t="s">
        <v>32295</v>
      </c>
      <c r="K3129" t="s">
        <v>39052</v>
      </c>
      <c r="M3129" t="s">
        <v>40530</v>
      </c>
      <c r="N3129" t="s">
        <v>43166</v>
      </c>
      <c r="O3129" t="s">
        <v>43167</v>
      </c>
      <c r="P3129">
        <v>0</v>
      </c>
      <c r="Q3129">
        <v>9</v>
      </c>
      <c r="R3129" t="s">
        <v>43171</v>
      </c>
      <c r="S3129" t="s">
        <v>43311</v>
      </c>
      <c r="T3129" t="s">
        <v>44789</v>
      </c>
      <c r="U3129" t="s">
        <v>47767</v>
      </c>
      <c r="W3129" t="s">
        <v>40530</v>
      </c>
      <c r="X3129" t="s">
        <v>43173</v>
      </c>
    </row>
    <row r="3130" spans="1:24">
      <c r="A3130">
        <f>HYPERLINK("https://www.philgeps.gov.ph/GEPSNONPILOT/Tender/SplashBidNoticeAbstractUI.aspx?menuIndex=3&amp;refID=7080932&amp;Result=3","7080932")</f>
        <v>0</v>
      </c>
      <c r="B3130" t="s">
        <v>1181</v>
      </c>
      <c r="C3130" t="s">
        <v>6408</v>
      </c>
      <c r="D3130" t="s">
        <v>17444</v>
      </c>
      <c r="E3130" t="s">
        <v>20229</v>
      </c>
      <c r="F3130" t="s">
        <v>30052</v>
      </c>
      <c r="G3130" t="s">
        <v>30061</v>
      </c>
      <c r="H3130" t="s">
        <v>15498</v>
      </c>
      <c r="I3130" t="s">
        <v>30133</v>
      </c>
      <c r="J3130" t="s">
        <v>32296</v>
      </c>
      <c r="K3130" t="s">
        <v>39025</v>
      </c>
      <c r="M3130" t="s">
        <v>40531</v>
      </c>
      <c r="N3130" t="s">
        <v>43166</v>
      </c>
      <c r="O3130" t="s">
        <v>43167</v>
      </c>
      <c r="P3130">
        <v>0</v>
      </c>
      <c r="Q3130">
        <v>2</v>
      </c>
      <c r="R3130" t="s">
        <v>43171</v>
      </c>
      <c r="S3130" t="s">
        <v>43311</v>
      </c>
      <c r="T3130" t="s">
        <v>44946</v>
      </c>
      <c r="U3130" t="s">
        <v>47768</v>
      </c>
      <c r="W3130" t="s">
        <v>40531</v>
      </c>
      <c r="X3130" t="s">
        <v>43173</v>
      </c>
    </row>
    <row r="3131" spans="1:24">
      <c r="A3131">
        <f>HYPERLINK("https://www.philgeps.gov.ph/GEPSNONPILOT/Tender/SplashBidNoticeAbstractUI.aspx?menuIndex=3&amp;refID=7080860&amp;Result=3","7080860")</f>
        <v>0</v>
      </c>
      <c r="B3131" t="s">
        <v>1178</v>
      </c>
      <c r="C3131" t="s">
        <v>6409</v>
      </c>
      <c r="D3131" t="s">
        <v>17499</v>
      </c>
      <c r="E3131" t="s">
        <v>20230</v>
      </c>
      <c r="F3131" t="s">
        <v>30052</v>
      </c>
      <c r="G3131" t="s">
        <v>30058</v>
      </c>
      <c r="H3131" t="s">
        <v>30067</v>
      </c>
      <c r="I3131" t="s">
        <v>3693</v>
      </c>
      <c r="J3131" t="s">
        <v>32297</v>
      </c>
      <c r="K3131" t="s">
        <v>39092</v>
      </c>
      <c r="M3131" t="s">
        <v>40527</v>
      </c>
      <c r="N3131" t="s">
        <v>43166</v>
      </c>
      <c r="O3131" t="s">
        <v>43167</v>
      </c>
      <c r="P3131">
        <v>0</v>
      </c>
      <c r="Q3131">
        <v>1</v>
      </c>
      <c r="R3131" t="s">
        <v>43171</v>
      </c>
      <c r="S3131" t="s">
        <v>43311</v>
      </c>
      <c r="T3131" t="s">
        <v>44828</v>
      </c>
      <c r="U3131" t="s">
        <v>47769</v>
      </c>
      <c r="W3131" t="s">
        <v>40527</v>
      </c>
      <c r="X3131" t="s">
        <v>43173</v>
      </c>
    </row>
    <row r="3132" spans="1:24">
      <c r="A3132">
        <f>HYPERLINK("https://www.philgeps.gov.ph/GEPSNONPILOT/Tender/SplashBidNoticeAbstractUI.aspx?menuIndex=3&amp;refID=7080580&amp;Result=3","7080580")</f>
        <v>0</v>
      </c>
      <c r="B3132" t="s">
        <v>1182</v>
      </c>
      <c r="C3132" t="s">
        <v>6410</v>
      </c>
      <c r="E3132" t="s">
        <v>20231</v>
      </c>
      <c r="F3132" t="s">
        <v>30052</v>
      </c>
      <c r="G3132" t="s">
        <v>30058</v>
      </c>
      <c r="H3132" t="s">
        <v>30067</v>
      </c>
      <c r="I3132" t="s">
        <v>3693</v>
      </c>
      <c r="J3132" t="s">
        <v>30277</v>
      </c>
      <c r="K3132" t="s">
        <v>39045</v>
      </c>
      <c r="M3132" t="s">
        <v>40532</v>
      </c>
      <c r="N3132" t="s">
        <v>43166</v>
      </c>
      <c r="O3132" t="s">
        <v>43167</v>
      </c>
      <c r="P3132">
        <v>0</v>
      </c>
      <c r="Q3132">
        <v>0</v>
      </c>
      <c r="R3132" t="s">
        <v>43171</v>
      </c>
      <c r="S3132" t="s">
        <v>43311</v>
      </c>
      <c r="T3132" t="s">
        <v>44947</v>
      </c>
      <c r="U3132" t="s">
        <v>47770</v>
      </c>
      <c r="W3132" t="s">
        <v>40532</v>
      </c>
      <c r="X3132" t="s">
        <v>43173</v>
      </c>
    </row>
    <row r="3133" spans="1:24">
      <c r="A3133">
        <f>HYPERLINK("https://www.philgeps.gov.ph/GEPSNONPILOT/Tender/SplashBidNoticeAbstractUI.aspx?menuIndex=3&amp;refID=7080788&amp;Result=3","7080788")</f>
        <v>0</v>
      </c>
      <c r="B3133" t="s">
        <v>1183</v>
      </c>
      <c r="C3133" t="s">
        <v>3736</v>
      </c>
      <c r="D3133" t="s">
        <v>17450</v>
      </c>
      <c r="E3133" t="s">
        <v>20232</v>
      </c>
      <c r="F3133" t="s">
        <v>30052</v>
      </c>
      <c r="G3133" t="s">
        <v>30059</v>
      </c>
      <c r="H3133" t="s">
        <v>15498</v>
      </c>
      <c r="I3133" t="s">
        <v>3736</v>
      </c>
      <c r="J3133" t="s">
        <v>32298</v>
      </c>
      <c r="K3133" t="s">
        <v>39017</v>
      </c>
      <c r="M3133" t="s">
        <v>40533</v>
      </c>
      <c r="N3133" t="s">
        <v>43166</v>
      </c>
      <c r="O3133" t="s">
        <v>43167</v>
      </c>
      <c r="P3133">
        <v>0</v>
      </c>
      <c r="Q3133">
        <v>0</v>
      </c>
      <c r="R3133" t="s">
        <v>43171</v>
      </c>
      <c r="S3133" t="s">
        <v>43311</v>
      </c>
      <c r="T3133" t="s">
        <v>44714</v>
      </c>
      <c r="U3133" t="s">
        <v>47771</v>
      </c>
      <c r="V3133" t="s">
        <v>57183</v>
      </c>
      <c r="W3133" t="s">
        <v>40533</v>
      </c>
      <c r="X3133" t="s">
        <v>43173</v>
      </c>
    </row>
    <row r="3134" spans="1:24">
      <c r="A3134">
        <f>HYPERLINK("https://www.philgeps.gov.ph/GEPSNONPILOT/Tender/SplashBidNoticeAbstractUI.aspx?menuIndex=3&amp;refID=7080985&amp;Result=3","7080985")</f>
        <v>0</v>
      </c>
      <c r="B3134" t="s">
        <v>236</v>
      </c>
      <c r="C3134" t="s">
        <v>6411</v>
      </c>
      <c r="D3134" t="s">
        <v>17427</v>
      </c>
      <c r="E3134" t="s">
        <v>20233</v>
      </c>
      <c r="F3134" t="s">
        <v>30052</v>
      </c>
      <c r="G3134" t="s">
        <v>30058</v>
      </c>
      <c r="H3134" t="s">
        <v>15498</v>
      </c>
      <c r="I3134" t="s">
        <v>30092</v>
      </c>
      <c r="J3134" t="s">
        <v>32299</v>
      </c>
      <c r="K3134" t="s">
        <v>39059</v>
      </c>
      <c r="M3134" t="s">
        <v>40534</v>
      </c>
      <c r="N3134" t="s">
        <v>43166</v>
      </c>
      <c r="O3134" t="s">
        <v>43167</v>
      </c>
      <c r="P3134">
        <v>0</v>
      </c>
      <c r="Q3134">
        <v>4</v>
      </c>
      <c r="R3134" t="s">
        <v>43171</v>
      </c>
      <c r="S3134" t="s">
        <v>43311</v>
      </c>
      <c r="T3134" t="s">
        <v>44948</v>
      </c>
      <c r="U3134" t="s">
        <v>47772</v>
      </c>
      <c r="V3134" t="s">
        <v>57184</v>
      </c>
      <c r="W3134" t="s">
        <v>40534</v>
      </c>
      <c r="X3134" t="s">
        <v>43173</v>
      </c>
    </row>
    <row r="3135" spans="1:24">
      <c r="A3135">
        <f>HYPERLINK("https://www.philgeps.gov.ph/GEPSNONPILOT/Tender/SplashBidNoticeAbstractUI.aspx?menuIndex=3&amp;refID=7080714&amp;Result=3","7080714")</f>
        <v>0</v>
      </c>
      <c r="B3135" t="s">
        <v>1184</v>
      </c>
      <c r="C3135" t="s">
        <v>6412</v>
      </c>
      <c r="D3135" t="s">
        <v>17427</v>
      </c>
      <c r="E3135" t="s">
        <v>20234</v>
      </c>
      <c r="F3135" t="s">
        <v>30052</v>
      </c>
      <c r="G3135" t="s">
        <v>30059</v>
      </c>
      <c r="H3135" t="s">
        <v>30067</v>
      </c>
      <c r="I3135" t="s">
        <v>3693</v>
      </c>
      <c r="J3135" t="s">
        <v>32300</v>
      </c>
      <c r="K3135" t="s">
        <v>39046</v>
      </c>
      <c r="M3135" t="s">
        <v>40535</v>
      </c>
      <c r="N3135" t="s">
        <v>43166</v>
      </c>
      <c r="O3135" t="s">
        <v>43167</v>
      </c>
      <c r="P3135">
        <v>0</v>
      </c>
      <c r="Q3135">
        <v>0</v>
      </c>
      <c r="R3135" t="s">
        <v>43171</v>
      </c>
      <c r="S3135" t="s">
        <v>43311</v>
      </c>
      <c r="T3135" t="s">
        <v>44695</v>
      </c>
      <c r="U3135" t="s">
        <v>47773</v>
      </c>
      <c r="W3135" t="s">
        <v>40535</v>
      </c>
      <c r="X3135" t="s">
        <v>43173</v>
      </c>
    </row>
    <row r="3136" spans="1:24">
      <c r="A3136">
        <f>HYPERLINK("https://www.philgeps.gov.ph/GEPSNONPILOT/Tender/SplashBidNoticeAbstractUI.aspx?menuIndex=3&amp;refID=7081091&amp;Result=3","7081091")</f>
        <v>0</v>
      </c>
      <c r="B3136" t="s">
        <v>98</v>
      </c>
      <c r="C3136" t="s">
        <v>6413</v>
      </c>
      <c r="D3136" t="s">
        <v>17499</v>
      </c>
      <c r="E3136" t="s">
        <v>20235</v>
      </c>
      <c r="F3136" t="s">
        <v>30052</v>
      </c>
      <c r="G3136" t="s">
        <v>30063</v>
      </c>
      <c r="H3136" t="s">
        <v>30067</v>
      </c>
      <c r="I3136" t="s">
        <v>3693</v>
      </c>
      <c r="J3136" t="s">
        <v>30321</v>
      </c>
      <c r="K3136" t="s">
        <v>39025</v>
      </c>
      <c r="L3136" t="s">
        <v>98</v>
      </c>
      <c r="M3136" t="s">
        <v>40536</v>
      </c>
      <c r="N3136" t="s">
        <v>43166</v>
      </c>
      <c r="O3136" t="s">
        <v>43167</v>
      </c>
      <c r="Q3136">
        <v>2</v>
      </c>
      <c r="R3136" t="s">
        <v>43171</v>
      </c>
      <c r="S3136" t="s">
        <v>43313</v>
      </c>
      <c r="T3136" t="s">
        <v>44789</v>
      </c>
      <c r="U3136" t="s">
        <v>47774</v>
      </c>
      <c r="W3136" t="s">
        <v>40536</v>
      </c>
      <c r="X3136" t="s">
        <v>43173</v>
      </c>
    </row>
    <row r="3137" spans="1:24">
      <c r="A3137">
        <f>HYPERLINK("https://www.philgeps.gov.ph/GEPSNONPILOT/Tender/SplashBidNoticeAbstractUI.aspx?menuIndex=3&amp;refID=7080155&amp;Result=3","7080155")</f>
        <v>0</v>
      </c>
      <c r="B3137" t="s">
        <v>1163</v>
      </c>
      <c r="C3137" t="s">
        <v>6414</v>
      </c>
      <c r="D3137" t="s">
        <v>17464</v>
      </c>
      <c r="E3137" t="s">
        <v>20236</v>
      </c>
      <c r="F3137" t="s">
        <v>30052</v>
      </c>
      <c r="G3137" t="s">
        <v>30058</v>
      </c>
      <c r="H3137" t="s">
        <v>30067</v>
      </c>
      <c r="I3137" t="s">
        <v>3693</v>
      </c>
      <c r="J3137" t="s">
        <v>30281</v>
      </c>
      <c r="K3137" t="s">
        <v>39023</v>
      </c>
      <c r="M3137" t="s">
        <v>40509</v>
      </c>
      <c r="N3137" t="s">
        <v>43166</v>
      </c>
      <c r="O3137" t="s">
        <v>43167</v>
      </c>
      <c r="P3137">
        <v>0</v>
      </c>
      <c r="Q3137">
        <v>0</v>
      </c>
      <c r="R3137" t="s">
        <v>43171</v>
      </c>
      <c r="S3137" t="s">
        <v>43311</v>
      </c>
      <c r="T3137" t="s">
        <v>44842</v>
      </c>
      <c r="U3137" t="s">
        <v>47775</v>
      </c>
      <c r="W3137" t="s">
        <v>40509</v>
      </c>
      <c r="X3137" t="s">
        <v>43173</v>
      </c>
    </row>
    <row r="3138" spans="1:24">
      <c r="A3138">
        <f>HYPERLINK("https://www.philgeps.gov.ph/GEPSNONPILOT/Tender/SplashBidNoticeAbstractUI.aspx?menuIndex=3&amp;refID=7081612&amp;Result=3","7081612")</f>
        <v>0</v>
      </c>
      <c r="B3138" t="s">
        <v>1181</v>
      </c>
      <c r="C3138" t="s">
        <v>6415</v>
      </c>
      <c r="D3138" t="s">
        <v>17444</v>
      </c>
      <c r="E3138" t="s">
        <v>20237</v>
      </c>
      <c r="F3138" t="s">
        <v>30052</v>
      </c>
      <c r="G3138" t="s">
        <v>30061</v>
      </c>
      <c r="H3138" t="s">
        <v>15498</v>
      </c>
      <c r="I3138" t="s">
        <v>30133</v>
      </c>
      <c r="J3138" t="s">
        <v>32301</v>
      </c>
      <c r="K3138" t="s">
        <v>39025</v>
      </c>
      <c r="M3138" t="s">
        <v>40531</v>
      </c>
      <c r="N3138" t="s">
        <v>43166</v>
      </c>
      <c r="O3138" t="s">
        <v>43167</v>
      </c>
      <c r="P3138">
        <v>0</v>
      </c>
      <c r="Q3138">
        <v>0</v>
      </c>
      <c r="R3138" t="s">
        <v>43171</v>
      </c>
      <c r="S3138" t="s">
        <v>43311</v>
      </c>
      <c r="T3138" t="s">
        <v>44705</v>
      </c>
      <c r="U3138" t="s">
        <v>47776</v>
      </c>
      <c r="W3138" t="s">
        <v>40531</v>
      </c>
      <c r="X3138" t="s">
        <v>43173</v>
      </c>
    </row>
    <row r="3139" spans="1:24">
      <c r="A3139">
        <f>HYPERLINK("https://www.philgeps.gov.ph/GEPSNONPILOT/Tender/SplashBidNoticeAbstractUI.aspx?menuIndex=3&amp;refID=7081600&amp;Result=3","7081600")</f>
        <v>0</v>
      </c>
      <c r="B3139" t="s">
        <v>1185</v>
      </c>
      <c r="C3139" t="s">
        <v>6416</v>
      </c>
      <c r="D3139" t="s">
        <v>17415</v>
      </c>
      <c r="E3139" t="s">
        <v>20238</v>
      </c>
      <c r="F3139" t="s">
        <v>30052</v>
      </c>
      <c r="G3139" t="s">
        <v>30058</v>
      </c>
      <c r="H3139" t="s">
        <v>15498</v>
      </c>
      <c r="I3139" t="s">
        <v>8323</v>
      </c>
      <c r="J3139" t="s">
        <v>32302</v>
      </c>
      <c r="K3139" t="s">
        <v>39064</v>
      </c>
      <c r="M3139" t="s">
        <v>40537</v>
      </c>
      <c r="N3139" t="s">
        <v>43166</v>
      </c>
      <c r="O3139" t="s">
        <v>43167</v>
      </c>
      <c r="P3139">
        <v>0</v>
      </c>
      <c r="Q3139">
        <v>13</v>
      </c>
      <c r="R3139" t="s">
        <v>43171</v>
      </c>
      <c r="S3139" t="s">
        <v>43311</v>
      </c>
      <c r="T3139" t="s">
        <v>44715</v>
      </c>
      <c r="U3139" t="s">
        <v>47777</v>
      </c>
      <c r="W3139" t="s">
        <v>40537</v>
      </c>
      <c r="X3139" t="s">
        <v>43173</v>
      </c>
    </row>
    <row r="3140" spans="1:24">
      <c r="A3140">
        <f>HYPERLINK("https://www.philgeps.gov.ph/GEPSNONPILOT/Tender/SplashBidNoticeAbstractUI.aspx?menuIndex=3&amp;refID=7081524&amp;Result=3","7081524")</f>
        <v>0</v>
      </c>
      <c r="B3140" t="s">
        <v>1098</v>
      </c>
      <c r="C3140" t="s">
        <v>6417</v>
      </c>
      <c r="D3140" t="s">
        <v>17415</v>
      </c>
      <c r="E3140" t="s">
        <v>20239</v>
      </c>
      <c r="F3140" t="s">
        <v>30052</v>
      </c>
      <c r="G3140" t="s">
        <v>30059</v>
      </c>
      <c r="H3140" t="s">
        <v>15498</v>
      </c>
      <c r="I3140" t="s">
        <v>30076</v>
      </c>
      <c r="J3140" t="s">
        <v>30277</v>
      </c>
      <c r="K3140" t="s">
        <v>39017</v>
      </c>
      <c r="M3140" t="s">
        <v>40437</v>
      </c>
      <c r="N3140" t="s">
        <v>43166</v>
      </c>
      <c r="O3140" t="s">
        <v>43167</v>
      </c>
      <c r="P3140">
        <v>0</v>
      </c>
      <c r="Q3140">
        <v>10</v>
      </c>
      <c r="R3140" t="s">
        <v>43171</v>
      </c>
      <c r="S3140" t="s">
        <v>43311</v>
      </c>
      <c r="T3140" t="s">
        <v>44743</v>
      </c>
      <c r="U3140" t="s">
        <v>47778</v>
      </c>
      <c r="W3140" t="s">
        <v>40437</v>
      </c>
      <c r="X3140" t="s">
        <v>43173</v>
      </c>
    </row>
    <row r="3141" spans="1:24">
      <c r="A3141">
        <f>HYPERLINK("https://www.philgeps.gov.ph/GEPSNONPILOT/Tender/SplashBidNoticeAbstractUI.aspx?menuIndex=3&amp;refID=7081449&amp;Result=3","7081449")</f>
        <v>0</v>
      </c>
      <c r="B3141" t="s">
        <v>1186</v>
      </c>
      <c r="C3141" t="s">
        <v>6418</v>
      </c>
      <c r="D3141" t="s">
        <v>17448</v>
      </c>
      <c r="E3141" t="s">
        <v>18184</v>
      </c>
      <c r="F3141" t="s">
        <v>30052</v>
      </c>
      <c r="G3141" t="s">
        <v>30061</v>
      </c>
      <c r="H3141" t="s">
        <v>15498</v>
      </c>
      <c r="I3141" t="s">
        <v>30106</v>
      </c>
      <c r="J3141" t="s">
        <v>32303</v>
      </c>
      <c r="K3141" t="s">
        <v>39036</v>
      </c>
      <c r="M3141" t="s">
        <v>40538</v>
      </c>
      <c r="N3141" t="s">
        <v>43166</v>
      </c>
      <c r="O3141" t="s">
        <v>43167</v>
      </c>
      <c r="P3141">
        <v>0</v>
      </c>
      <c r="Q3141">
        <v>3</v>
      </c>
      <c r="R3141" t="s">
        <v>43171</v>
      </c>
      <c r="S3141" t="s">
        <v>43311</v>
      </c>
      <c r="T3141" t="s">
        <v>44723</v>
      </c>
      <c r="U3141" t="s">
        <v>47779</v>
      </c>
      <c r="W3141" t="s">
        <v>40538</v>
      </c>
      <c r="X3141" t="s">
        <v>43173</v>
      </c>
    </row>
    <row r="3142" spans="1:24">
      <c r="A3142">
        <f>HYPERLINK("https://www.philgeps.gov.ph/GEPSNONPILOT/Tender/SplashBidNoticeAbstractUI.aspx?menuIndex=3&amp;refID=7080505&amp;Result=3","7080505")</f>
        <v>0</v>
      </c>
      <c r="B3142" t="s">
        <v>1180</v>
      </c>
      <c r="C3142" t="s">
        <v>6419</v>
      </c>
      <c r="D3142" t="s">
        <v>17455</v>
      </c>
      <c r="E3142" t="s">
        <v>20240</v>
      </c>
      <c r="F3142" t="s">
        <v>30052</v>
      </c>
      <c r="G3142" t="s">
        <v>30058</v>
      </c>
      <c r="H3142" t="s">
        <v>15498</v>
      </c>
      <c r="I3142" t="s">
        <v>30103</v>
      </c>
      <c r="J3142" t="s">
        <v>32304</v>
      </c>
      <c r="K3142" t="s">
        <v>39029</v>
      </c>
      <c r="M3142" t="s">
        <v>40530</v>
      </c>
      <c r="N3142" t="s">
        <v>43166</v>
      </c>
      <c r="O3142" t="s">
        <v>43167</v>
      </c>
      <c r="P3142">
        <v>0</v>
      </c>
      <c r="Q3142">
        <v>4</v>
      </c>
      <c r="R3142" t="s">
        <v>43171</v>
      </c>
      <c r="S3142" t="s">
        <v>43311</v>
      </c>
      <c r="T3142" t="s">
        <v>44789</v>
      </c>
      <c r="U3142" t="s">
        <v>47780</v>
      </c>
      <c r="W3142" t="s">
        <v>40530</v>
      </c>
      <c r="X3142" t="s">
        <v>43173</v>
      </c>
    </row>
    <row r="3143" spans="1:24">
      <c r="A3143">
        <f>HYPERLINK("https://www.philgeps.gov.ph/GEPSNONPILOT/Tender/SplashBidNoticeAbstractUI.aspx?menuIndex=3&amp;refID=7081333&amp;Result=3","7081333")</f>
        <v>0</v>
      </c>
      <c r="B3143" t="s">
        <v>1187</v>
      </c>
      <c r="C3143" t="s">
        <v>6420</v>
      </c>
      <c r="D3143" t="s">
        <v>17449</v>
      </c>
      <c r="E3143" t="s">
        <v>20241</v>
      </c>
      <c r="F3143" t="s">
        <v>30052</v>
      </c>
      <c r="G3143" t="s">
        <v>30059</v>
      </c>
      <c r="H3143" t="s">
        <v>15498</v>
      </c>
      <c r="I3143" t="s">
        <v>30096</v>
      </c>
      <c r="J3143" t="s">
        <v>30218</v>
      </c>
      <c r="K3143" t="s">
        <v>39019</v>
      </c>
      <c r="M3143" t="s">
        <v>40539</v>
      </c>
      <c r="N3143" t="s">
        <v>43166</v>
      </c>
      <c r="O3143" t="s">
        <v>43167</v>
      </c>
      <c r="P3143">
        <v>0</v>
      </c>
      <c r="Q3143">
        <v>2</v>
      </c>
      <c r="R3143" t="s">
        <v>43171</v>
      </c>
      <c r="S3143" t="s">
        <v>43311</v>
      </c>
      <c r="T3143" t="s">
        <v>44949</v>
      </c>
      <c r="U3143" t="s">
        <v>47781</v>
      </c>
      <c r="W3143" t="s">
        <v>40539</v>
      </c>
      <c r="X3143" t="s">
        <v>43173</v>
      </c>
    </row>
    <row r="3144" spans="1:24">
      <c r="A3144">
        <f>HYPERLINK("https://www.philgeps.gov.ph/GEPSNONPILOT/Tender/SplashBidNoticeAbstractUI.aspx?menuIndex=3&amp;refID=7081441&amp;Result=3","7081441")</f>
        <v>0</v>
      </c>
      <c r="B3144" t="s">
        <v>511</v>
      </c>
      <c r="C3144" t="s">
        <v>6421</v>
      </c>
      <c r="D3144" t="s">
        <v>17480</v>
      </c>
      <c r="E3144" t="s">
        <v>20242</v>
      </c>
      <c r="F3144" t="s">
        <v>30052</v>
      </c>
      <c r="G3144" t="s">
        <v>30058</v>
      </c>
      <c r="H3144" t="s">
        <v>15498</v>
      </c>
      <c r="I3144" t="s">
        <v>30135</v>
      </c>
      <c r="J3144" t="s">
        <v>31060</v>
      </c>
      <c r="K3144" t="s">
        <v>39023</v>
      </c>
      <c r="M3144" t="s">
        <v>39812</v>
      </c>
      <c r="N3144" t="s">
        <v>43166</v>
      </c>
      <c r="O3144" t="s">
        <v>43167</v>
      </c>
      <c r="Q3144">
        <v>7</v>
      </c>
      <c r="R3144" t="s">
        <v>43171</v>
      </c>
      <c r="S3144" t="s">
        <v>43314</v>
      </c>
      <c r="T3144" t="s">
        <v>44827</v>
      </c>
      <c r="U3144" t="s">
        <v>47782</v>
      </c>
      <c r="V3144" t="s">
        <v>57185</v>
      </c>
      <c r="W3144" t="s">
        <v>39812</v>
      </c>
      <c r="X3144" t="s">
        <v>43173</v>
      </c>
    </row>
    <row r="3145" spans="1:24">
      <c r="A3145">
        <f>HYPERLINK("https://www.philgeps.gov.ph/GEPSNONPILOT/Tender/SplashBidNoticeAbstractUI.aspx?menuIndex=3&amp;refID=7081288&amp;Result=3","7081288")</f>
        <v>0</v>
      </c>
      <c r="B3145" t="s">
        <v>1175</v>
      </c>
      <c r="C3145" t="s">
        <v>6422</v>
      </c>
      <c r="D3145" t="s">
        <v>17427</v>
      </c>
      <c r="E3145" t="s">
        <v>20243</v>
      </c>
      <c r="F3145" t="s">
        <v>30052</v>
      </c>
      <c r="G3145" t="s">
        <v>30058</v>
      </c>
      <c r="H3145" t="s">
        <v>30067</v>
      </c>
      <c r="I3145" t="s">
        <v>3693</v>
      </c>
      <c r="J3145" t="s">
        <v>32305</v>
      </c>
      <c r="K3145" t="s">
        <v>39016</v>
      </c>
      <c r="M3145" t="s">
        <v>40524</v>
      </c>
      <c r="N3145" t="s">
        <v>43166</v>
      </c>
      <c r="O3145" t="s">
        <v>43167</v>
      </c>
      <c r="P3145">
        <v>0</v>
      </c>
      <c r="Q3145">
        <v>0</v>
      </c>
      <c r="R3145" t="s">
        <v>43171</v>
      </c>
      <c r="S3145" t="s">
        <v>43311</v>
      </c>
      <c r="T3145" t="s">
        <v>44944</v>
      </c>
      <c r="U3145" t="s">
        <v>47753</v>
      </c>
      <c r="W3145" t="s">
        <v>40524</v>
      </c>
      <c r="X3145" t="s">
        <v>43173</v>
      </c>
    </row>
    <row r="3146" spans="1:24">
      <c r="A3146">
        <f>HYPERLINK("https://www.philgeps.gov.ph/GEPSNONPILOT/Tender/SplashBidNoticeAbstractUI.aspx?menuIndex=3&amp;refID=7081267&amp;Result=3","7081267")</f>
        <v>0</v>
      </c>
      <c r="B3146" t="s">
        <v>1175</v>
      </c>
      <c r="C3146" t="s">
        <v>6423</v>
      </c>
      <c r="D3146" t="s">
        <v>17427</v>
      </c>
      <c r="E3146" t="s">
        <v>20244</v>
      </c>
      <c r="F3146" t="s">
        <v>30052</v>
      </c>
      <c r="G3146" t="s">
        <v>30058</v>
      </c>
      <c r="H3146" t="s">
        <v>30067</v>
      </c>
      <c r="I3146" t="s">
        <v>3693</v>
      </c>
      <c r="J3146" t="s">
        <v>31185</v>
      </c>
      <c r="K3146" t="s">
        <v>39123</v>
      </c>
      <c r="M3146" t="s">
        <v>40524</v>
      </c>
      <c r="N3146" t="s">
        <v>43166</v>
      </c>
      <c r="O3146" t="s">
        <v>43167</v>
      </c>
      <c r="P3146">
        <v>0</v>
      </c>
      <c r="Q3146">
        <v>0</v>
      </c>
      <c r="R3146" t="s">
        <v>43171</v>
      </c>
      <c r="S3146" t="s">
        <v>43311</v>
      </c>
      <c r="T3146" t="s">
        <v>44944</v>
      </c>
      <c r="U3146" t="s">
        <v>47753</v>
      </c>
      <c r="W3146" t="s">
        <v>40524</v>
      </c>
      <c r="X3146" t="s">
        <v>43173</v>
      </c>
    </row>
    <row r="3147" spans="1:24">
      <c r="A3147">
        <f>HYPERLINK("https://www.philgeps.gov.ph/GEPSNONPILOT/Tender/SplashBidNoticeAbstractUI.aspx?menuIndex=3&amp;refID=7080638&amp;Result=3","7080638")</f>
        <v>0</v>
      </c>
      <c r="B3147" t="s">
        <v>1188</v>
      </c>
      <c r="C3147" t="s">
        <v>6424</v>
      </c>
      <c r="D3147" t="s">
        <v>17456</v>
      </c>
      <c r="E3147" t="s">
        <v>18611</v>
      </c>
      <c r="F3147" t="s">
        <v>30052</v>
      </c>
      <c r="G3147" t="s">
        <v>30059</v>
      </c>
      <c r="H3147" t="s">
        <v>15498</v>
      </c>
      <c r="I3147" t="s">
        <v>30070</v>
      </c>
      <c r="J3147" t="s">
        <v>30207</v>
      </c>
      <c r="K3147" t="s">
        <v>39018</v>
      </c>
      <c r="M3147" t="s">
        <v>40540</v>
      </c>
      <c r="N3147" t="s">
        <v>43166</v>
      </c>
      <c r="O3147" t="s">
        <v>43167</v>
      </c>
      <c r="P3147">
        <v>0</v>
      </c>
      <c r="Q3147">
        <v>1</v>
      </c>
      <c r="R3147" t="s">
        <v>43171</v>
      </c>
      <c r="S3147" t="s">
        <v>43311</v>
      </c>
      <c r="T3147" t="s">
        <v>44950</v>
      </c>
      <c r="U3147" t="s">
        <v>47783</v>
      </c>
      <c r="V3147" t="s">
        <v>57186</v>
      </c>
      <c r="W3147" t="s">
        <v>40540</v>
      </c>
      <c r="X3147" t="s">
        <v>43173</v>
      </c>
    </row>
    <row r="3148" spans="1:24">
      <c r="A3148">
        <f>HYPERLINK("https://www.philgeps.gov.ph/GEPSNONPILOT/Tender/SplashBidNoticeAbstractUI.aspx?menuIndex=3&amp;refID=7081236&amp;Result=3","7081236")</f>
        <v>0</v>
      </c>
      <c r="B3148" t="s">
        <v>1000</v>
      </c>
      <c r="C3148" t="s">
        <v>6425</v>
      </c>
      <c r="D3148" t="s">
        <v>17422</v>
      </c>
      <c r="E3148" t="s">
        <v>20245</v>
      </c>
      <c r="F3148" t="s">
        <v>30052</v>
      </c>
      <c r="G3148" t="s">
        <v>30058</v>
      </c>
      <c r="H3148" t="s">
        <v>15498</v>
      </c>
      <c r="I3148" t="s">
        <v>30088</v>
      </c>
      <c r="J3148" t="s">
        <v>31172</v>
      </c>
      <c r="K3148" t="s">
        <v>39029</v>
      </c>
      <c r="M3148" t="s">
        <v>40541</v>
      </c>
      <c r="N3148" t="s">
        <v>43166</v>
      </c>
      <c r="O3148" t="s">
        <v>43167</v>
      </c>
      <c r="P3148">
        <v>0</v>
      </c>
      <c r="Q3148">
        <v>1</v>
      </c>
      <c r="R3148" t="s">
        <v>43171</v>
      </c>
      <c r="S3148" t="s">
        <v>43311</v>
      </c>
      <c r="T3148" t="s">
        <v>44752</v>
      </c>
      <c r="U3148" t="s">
        <v>47784</v>
      </c>
      <c r="V3148" t="s">
        <v>57187</v>
      </c>
      <c r="W3148" t="s">
        <v>40541</v>
      </c>
      <c r="X3148" t="s">
        <v>43173</v>
      </c>
    </row>
    <row r="3149" spans="1:24">
      <c r="A3149">
        <f>HYPERLINK("https://www.philgeps.gov.ph/GEPSNONPILOT/Tender/SplashBidNoticeAbstractUI.aspx?menuIndex=3&amp;refID=7081229&amp;Result=3","7081229")</f>
        <v>0</v>
      </c>
      <c r="B3149" t="s">
        <v>1000</v>
      </c>
      <c r="C3149" t="s">
        <v>6426</v>
      </c>
      <c r="D3149" t="s">
        <v>17422</v>
      </c>
      <c r="E3149" t="s">
        <v>20246</v>
      </c>
      <c r="F3149" t="s">
        <v>30052</v>
      </c>
      <c r="G3149" t="s">
        <v>30058</v>
      </c>
      <c r="H3149" t="s">
        <v>15498</v>
      </c>
      <c r="I3149" t="s">
        <v>30088</v>
      </c>
      <c r="J3149" t="s">
        <v>32306</v>
      </c>
      <c r="K3149" t="s">
        <v>39029</v>
      </c>
      <c r="M3149" t="s">
        <v>40541</v>
      </c>
      <c r="N3149" t="s">
        <v>43166</v>
      </c>
      <c r="O3149" t="s">
        <v>43167</v>
      </c>
      <c r="P3149">
        <v>0</v>
      </c>
      <c r="Q3149">
        <v>1</v>
      </c>
      <c r="R3149" t="s">
        <v>43171</v>
      </c>
      <c r="S3149" t="s">
        <v>43311</v>
      </c>
      <c r="T3149" t="s">
        <v>44752</v>
      </c>
      <c r="U3149" t="s">
        <v>47785</v>
      </c>
      <c r="V3149" t="s">
        <v>57187</v>
      </c>
      <c r="W3149" t="s">
        <v>40541</v>
      </c>
      <c r="X3149" t="s">
        <v>43173</v>
      </c>
    </row>
    <row r="3150" spans="1:24">
      <c r="A3150">
        <f>HYPERLINK("https://www.philgeps.gov.ph/GEPSNONPILOT/Tender/SplashBidNoticeAbstractUI.aspx?menuIndex=3&amp;refID=7081181&amp;Result=3","7081181")</f>
        <v>0</v>
      </c>
      <c r="B3150" t="s">
        <v>1000</v>
      </c>
      <c r="C3150" t="s">
        <v>6427</v>
      </c>
      <c r="D3150" t="s">
        <v>17422</v>
      </c>
      <c r="E3150" t="s">
        <v>20247</v>
      </c>
      <c r="F3150" t="s">
        <v>30052</v>
      </c>
      <c r="G3150" t="s">
        <v>30058</v>
      </c>
      <c r="H3150" t="s">
        <v>15498</v>
      </c>
      <c r="I3150" t="s">
        <v>30088</v>
      </c>
      <c r="J3150" t="s">
        <v>30377</v>
      </c>
      <c r="K3150" t="s">
        <v>39029</v>
      </c>
      <c r="M3150" t="s">
        <v>40541</v>
      </c>
      <c r="N3150" t="s">
        <v>43166</v>
      </c>
      <c r="O3150" t="s">
        <v>43167</v>
      </c>
      <c r="P3150">
        <v>0</v>
      </c>
      <c r="Q3150">
        <v>1</v>
      </c>
      <c r="R3150" t="s">
        <v>43171</v>
      </c>
      <c r="S3150" t="s">
        <v>43311</v>
      </c>
      <c r="T3150" t="s">
        <v>44752</v>
      </c>
      <c r="U3150" t="s">
        <v>47786</v>
      </c>
      <c r="V3150" t="s">
        <v>57187</v>
      </c>
      <c r="W3150" t="s">
        <v>40541</v>
      </c>
      <c r="X3150" t="s">
        <v>43173</v>
      </c>
    </row>
    <row r="3151" spans="1:24">
      <c r="A3151">
        <f>HYPERLINK("https://www.philgeps.gov.ph/GEPSNONPILOT/Tender/SplashBidNoticeAbstractUI.aspx?menuIndex=3&amp;refID=7081156&amp;Result=3","7081156")</f>
        <v>0</v>
      </c>
      <c r="B3151" t="s">
        <v>1175</v>
      </c>
      <c r="C3151" t="s">
        <v>6428</v>
      </c>
      <c r="D3151" t="s">
        <v>17427</v>
      </c>
      <c r="E3151" t="s">
        <v>20248</v>
      </c>
      <c r="F3151" t="s">
        <v>30052</v>
      </c>
      <c r="G3151" t="s">
        <v>30058</v>
      </c>
      <c r="H3151" t="s">
        <v>30067</v>
      </c>
      <c r="I3151" t="s">
        <v>3693</v>
      </c>
      <c r="J3151" t="s">
        <v>32307</v>
      </c>
      <c r="K3151" t="s">
        <v>39124</v>
      </c>
      <c r="M3151" t="s">
        <v>40524</v>
      </c>
      <c r="N3151" t="s">
        <v>43166</v>
      </c>
      <c r="O3151" t="s">
        <v>43167</v>
      </c>
      <c r="P3151">
        <v>0</v>
      </c>
      <c r="Q3151">
        <v>0</v>
      </c>
      <c r="R3151" t="s">
        <v>43171</v>
      </c>
      <c r="S3151" t="s">
        <v>43311</v>
      </c>
      <c r="T3151" t="s">
        <v>44944</v>
      </c>
      <c r="U3151" t="s">
        <v>47753</v>
      </c>
      <c r="W3151" t="s">
        <v>40524</v>
      </c>
      <c r="X3151" t="s">
        <v>43173</v>
      </c>
    </row>
    <row r="3152" spans="1:24">
      <c r="A3152">
        <f>HYPERLINK("https://www.philgeps.gov.ph/GEPSNONPILOT/Tender/SplashBidNoticeAbstractUI.aspx?menuIndex=3&amp;refID=7080659&amp;Result=3","7080659")</f>
        <v>0</v>
      </c>
      <c r="B3152" t="s">
        <v>1180</v>
      </c>
      <c r="C3152" t="s">
        <v>6429</v>
      </c>
      <c r="D3152" t="s">
        <v>17455</v>
      </c>
      <c r="E3152" t="s">
        <v>20249</v>
      </c>
      <c r="F3152" t="s">
        <v>30052</v>
      </c>
      <c r="G3152" t="s">
        <v>30058</v>
      </c>
      <c r="H3152" t="s">
        <v>15498</v>
      </c>
      <c r="I3152" t="s">
        <v>4650</v>
      </c>
      <c r="J3152" t="s">
        <v>32308</v>
      </c>
      <c r="K3152" t="s">
        <v>39064</v>
      </c>
      <c r="M3152" t="s">
        <v>40530</v>
      </c>
      <c r="N3152" t="s">
        <v>43166</v>
      </c>
      <c r="O3152" t="s">
        <v>43167</v>
      </c>
      <c r="P3152">
        <v>0</v>
      </c>
      <c r="Q3152">
        <v>8</v>
      </c>
      <c r="R3152" t="s">
        <v>43171</v>
      </c>
      <c r="S3152" t="s">
        <v>43311</v>
      </c>
      <c r="T3152" t="s">
        <v>44789</v>
      </c>
      <c r="U3152" t="s">
        <v>47787</v>
      </c>
      <c r="W3152" t="s">
        <v>40530</v>
      </c>
      <c r="X3152" t="s">
        <v>43173</v>
      </c>
    </row>
    <row r="3153" spans="1:24">
      <c r="A3153">
        <f>HYPERLINK("https://www.philgeps.gov.ph/GEPSNONPILOT/Tender/SplashBidNoticeAbstractUI.aspx?menuIndex=3&amp;refID=7081117&amp;Result=3","7081117")</f>
        <v>0</v>
      </c>
      <c r="B3153" t="s">
        <v>1175</v>
      </c>
      <c r="C3153" t="s">
        <v>6430</v>
      </c>
      <c r="D3153" t="s">
        <v>17427</v>
      </c>
      <c r="E3153" t="s">
        <v>20250</v>
      </c>
      <c r="F3153" t="s">
        <v>30052</v>
      </c>
      <c r="G3153" t="s">
        <v>30058</v>
      </c>
      <c r="H3153" t="s">
        <v>30067</v>
      </c>
      <c r="I3153" t="s">
        <v>3693</v>
      </c>
      <c r="J3153" t="s">
        <v>32286</v>
      </c>
      <c r="K3153" t="s">
        <v>39057</v>
      </c>
      <c r="M3153" t="s">
        <v>40524</v>
      </c>
      <c r="N3153" t="s">
        <v>43166</v>
      </c>
      <c r="O3153" t="s">
        <v>43167</v>
      </c>
      <c r="P3153">
        <v>0</v>
      </c>
      <c r="Q3153">
        <v>0</v>
      </c>
      <c r="R3153" t="s">
        <v>43171</v>
      </c>
      <c r="S3153" t="s">
        <v>43311</v>
      </c>
      <c r="T3153" t="s">
        <v>44944</v>
      </c>
      <c r="U3153" t="s">
        <v>47753</v>
      </c>
      <c r="W3153" t="s">
        <v>40524</v>
      </c>
      <c r="X3153" t="s">
        <v>43173</v>
      </c>
    </row>
    <row r="3154" spans="1:24">
      <c r="A3154">
        <f>HYPERLINK("https://www.philgeps.gov.ph/GEPSNONPILOT/Tender/SplashBidNoticeAbstractUI.aspx?menuIndex=3&amp;refID=7081082&amp;Result=3","7081082")</f>
        <v>0</v>
      </c>
      <c r="B3154" t="s">
        <v>94</v>
      </c>
      <c r="C3154" t="s">
        <v>6431</v>
      </c>
      <c r="D3154" t="s">
        <v>17454</v>
      </c>
      <c r="E3154" t="s">
        <v>20251</v>
      </c>
      <c r="F3154" t="s">
        <v>30052</v>
      </c>
      <c r="G3154" t="s">
        <v>30060</v>
      </c>
      <c r="H3154" t="s">
        <v>15498</v>
      </c>
      <c r="I3154" t="s">
        <v>30070</v>
      </c>
      <c r="J3154" t="s">
        <v>32309</v>
      </c>
      <c r="K3154" t="s">
        <v>39017</v>
      </c>
      <c r="M3154" t="s">
        <v>39383</v>
      </c>
      <c r="N3154" t="s">
        <v>43166</v>
      </c>
      <c r="O3154" t="s">
        <v>43167</v>
      </c>
      <c r="P3154">
        <v>0</v>
      </c>
      <c r="Q3154">
        <v>2</v>
      </c>
      <c r="R3154" t="s">
        <v>43171</v>
      </c>
      <c r="S3154" t="s">
        <v>43311</v>
      </c>
      <c r="T3154" t="s">
        <v>44691</v>
      </c>
      <c r="U3154" t="s">
        <v>47758</v>
      </c>
      <c r="W3154" t="s">
        <v>39383</v>
      </c>
      <c r="X3154" t="s">
        <v>43173</v>
      </c>
    </row>
    <row r="3155" spans="1:24">
      <c r="A3155">
        <f>HYPERLINK("https://www.philgeps.gov.ph/GEPSNONPILOT/Tender/SplashBidNoticeAbstractUI.aspx?menuIndex=3&amp;refID=7081047&amp;Result=3","7081047")</f>
        <v>0</v>
      </c>
      <c r="B3155" t="s">
        <v>1189</v>
      </c>
      <c r="C3155" t="s">
        <v>6432</v>
      </c>
      <c r="D3155" t="s">
        <v>17444</v>
      </c>
      <c r="E3155" t="s">
        <v>20252</v>
      </c>
      <c r="F3155" t="s">
        <v>30052</v>
      </c>
      <c r="G3155" t="s">
        <v>30058</v>
      </c>
      <c r="H3155" t="s">
        <v>15498</v>
      </c>
      <c r="I3155" t="s">
        <v>30097</v>
      </c>
      <c r="J3155" t="s">
        <v>32310</v>
      </c>
      <c r="K3155" t="s">
        <v>39046</v>
      </c>
      <c r="M3155" t="s">
        <v>40542</v>
      </c>
      <c r="N3155" t="s">
        <v>43166</v>
      </c>
      <c r="O3155" t="s">
        <v>43167</v>
      </c>
      <c r="P3155">
        <v>0</v>
      </c>
      <c r="Q3155">
        <v>2</v>
      </c>
      <c r="R3155" t="s">
        <v>43171</v>
      </c>
      <c r="S3155" t="s">
        <v>43311</v>
      </c>
      <c r="T3155" t="s">
        <v>44879</v>
      </c>
      <c r="U3155" t="s">
        <v>47788</v>
      </c>
      <c r="W3155" t="s">
        <v>40542</v>
      </c>
      <c r="X3155" t="s">
        <v>43173</v>
      </c>
    </row>
    <row r="3156" spans="1:24">
      <c r="A3156">
        <f>HYPERLINK("https://www.philgeps.gov.ph/GEPSNONPILOT/Tender/SplashBidNoticeAbstractUI.aspx?menuIndex=3&amp;refID=7081434&amp;Result=3","7081434")</f>
        <v>0</v>
      </c>
      <c r="B3156" t="s">
        <v>511</v>
      </c>
      <c r="C3156" t="s">
        <v>6433</v>
      </c>
      <c r="D3156" t="s">
        <v>17480</v>
      </c>
      <c r="E3156" t="s">
        <v>20253</v>
      </c>
      <c r="F3156" t="s">
        <v>30052</v>
      </c>
      <c r="G3156" t="s">
        <v>30058</v>
      </c>
      <c r="H3156" t="s">
        <v>15498</v>
      </c>
      <c r="I3156" t="s">
        <v>30135</v>
      </c>
      <c r="J3156" t="s">
        <v>32311</v>
      </c>
      <c r="K3156" t="s">
        <v>39023</v>
      </c>
      <c r="M3156" t="s">
        <v>39812</v>
      </c>
      <c r="N3156" t="s">
        <v>43166</v>
      </c>
      <c r="O3156" t="s">
        <v>43167</v>
      </c>
      <c r="Q3156">
        <v>6</v>
      </c>
      <c r="R3156" t="s">
        <v>43171</v>
      </c>
      <c r="S3156" t="s">
        <v>43315</v>
      </c>
      <c r="T3156" t="s">
        <v>44827</v>
      </c>
      <c r="U3156" t="s">
        <v>47782</v>
      </c>
      <c r="V3156" t="s">
        <v>57188</v>
      </c>
      <c r="W3156" t="s">
        <v>39812</v>
      </c>
      <c r="X3156" t="s">
        <v>43173</v>
      </c>
    </row>
    <row r="3157" spans="1:24">
      <c r="A3157">
        <f>HYPERLINK("https://www.philgeps.gov.ph/GEPSNONPILOT/Tender/SplashBidNoticeAbstractUI.aspx?menuIndex=3&amp;refID=7081354&amp;Result=3","7081354")</f>
        <v>0</v>
      </c>
      <c r="B3157" t="s">
        <v>1057</v>
      </c>
      <c r="C3157" t="s">
        <v>6434</v>
      </c>
      <c r="D3157" t="s">
        <v>17423</v>
      </c>
      <c r="E3157" t="s">
        <v>20254</v>
      </c>
      <c r="F3157" t="s">
        <v>30052</v>
      </c>
      <c r="G3157" t="s">
        <v>30058</v>
      </c>
      <c r="H3157" t="s">
        <v>15498</v>
      </c>
      <c r="I3157" t="s">
        <v>30097</v>
      </c>
      <c r="J3157" t="s">
        <v>32312</v>
      </c>
      <c r="K3157" t="s">
        <v>39046</v>
      </c>
      <c r="M3157" t="s">
        <v>40392</v>
      </c>
      <c r="N3157" t="s">
        <v>43166</v>
      </c>
      <c r="O3157" t="s">
        <v>43167</v>
      </c>
      <c r="P3157">
        <v>0</v>
      </c>
      <c r="Q3157">
        <v>0</v>
      </c>
      <c r="R3157" t="s">
        <v>43171</v>
      </c>
      <c r="S3157" t="s">
        <v>43311</v>
      </c>
      <c r="T3157" t="s">
        <v>44709</v>
      </c>
      <c r="U3157" t="s">
        <v>47789</v>
      </c>
      <c r="V3157" t="s">
        <v>57189</v>
      </c>
      <c r="W3157" t="s">
        <v>40392</v>
      </c>
      <c r="X3157" t="s">
        <v>43173</v>
      </c>
    </row>
    <row r="3158" spans="1:24">
      <c r="A3158">
        <f>HYPERLINK("https://www.philgeps.gov.ph/GEPSNONPILOT/Tender/SplashBidNoticeAbstractUI.aspx?menuIndex=3&amp;refID=7079758&amp;Result=3","7079758")</f>
        <v>0</v>
      </c>
      <c r="B3158" t="s">
        <v>1163</v>
      </c>
      <c r="C3158" t="s">
        <v>6435</v>
      </c>
      <c r="D3158" t="s">
        <v>17464</v>
      </c>
      <c r="E3158" t="s">
        <v>20255</v>
      </c>
      <c r="F3158" t="s">
        <v>30052</v>
      </c>
      <c r="G3158" t="s">
        <v>30058</v>
      </c>
      <c r="H3158" t="s">
        <v>30067</v>
      </c>
      <c r="I3158" t="s">
        <v>3693</v>
      </c>
      <c r="J3158" t="s">
        <v>30247</v>
      </c>
      <c r="K3158" t="s">
        <v>39065</v>
      </c>
      <c r="M3158" t="s">
        <v>40509</v>
      </c>
      <c r="N3158" t="s">
        <v>43166</v>
      </c>
      <c r="O3158" t="s">
        <v>43167</v>
      </c>
      <c r="P3158">
        <v>0</v>
      </c>
      <c r="Q3158">
        <v>0</v>
      </c>
      <c r="R3158" t="s">
        <v>43171</v>
      </c>
      <c r="S3158" t="s">
        <v>43311</v>
      </c>
      <c r="T3158" t="s">
        <v>44842</v>
      </c>
      <c r="U3158" t="s">
        <v>47790</v>
      </c>
      <c r="W3158" t="s">
        <v>40509</v>
      </c>
      <c r="X3158" t="s">
        <v>43173</v>
      </c>
    </row>
    <row r="3159" spans="1:24">
      <c r="A3159">
        <f>HYPERLINK("https://www.philgeps.gov.ph/GEPSNONPILOT/Tender/SplashBidNoticeAbstractUI.aspx?menuIndex=3&amp;refID=7079747&amp;Result=3","7079747")</f>
        <v>0</v>
      </c>
      <c r="B3159" t="s">
        <v>1163</v>
      </c>
      <c r="C3159" t="s">
        <v>6436</v>
      </c>
      <c r="D3159" t="s">
        <v>17464</v>
      </c>
      <c r="E3159" t="s">
        <v>20256</v>
      </c>
      <c r="F3159" t="s">
        <v>30052</v>
      </c>
      <c r="G3159" t="s">
        <v>30058</v>
      </c>
      <c r="H3159" t="s">
        <v>30067</v>
      </c>
      <c r="I3159" t="s">
        <v>3693</v>
      </c>
      <c r="J3159" t="s">
        <v>30247</v>
      </c>
      <c r="K3159" t="s">
        <v>39065</v>
      </c>
      <c r="M3159" t="s">
        <v>40509</v>
      </c>
      <c r="N3159" t="s">
        <v>43166</v>
      </c>
      <c r="O3159" t="s">
        <v>43167</v>
      </c>
      <c r="P3159">
        <v>0</v>
      </c>
      <c r="Q3159">
        <v>0</v>
      </c>
      <c r="R3159" t="s">
        <v>43171</v>
      </c>
      <c r="S3159" t="s">
        <v>43311</v>
      </c>
      <c r="T3159" t="s">
        <v>44842</v>
      </c>
      <c r="U3159" t="s">
        <v>47791</v>
      </c>
      <c r="W3159" t="s">
        <v>40509</v>
      </c>
      <c r="X3159" t="s">
        <v>43173</v>
      </c>
    </row>
    <row r="3160" spans="1:24">
      <c r="A3160">
        <f>HYPERLINK("https://www.philgeps.gov.ph/GEPSNONPILOT/Tender/SplashBidNoticeAbstractUI.aspx?menuIndex=3&amp;refID=7079744&amp;Result=3","7079744")</f>
        <v>0</v>
      </c>
      <c r="B3160" t="s">
        <v>1168</v>
      </c>
      <c r="C3160" t="s">
        <v>6437</v>
      </c>
      <c r="E3160" t="s">
        <v>20257</v>
      </c>
      <c r="F3160" t="s">
        <v>30052</v>
      </c>
      <c r="G3160" t="s">
        <v>30059</v>
      </c>
      <c r="H3160" t="s">
        <v>15498</v>
      </c>
      <c r="I3160" t="s">
        <v>6691</v>
      </c>
      <c r="J3160" t="s">
        <v>32313</v>
      </c>
      <c r="K3160" t="s">
        <v>39025</v>
      </c>
      <c r="M3160" t="s">
        <v>40515</v>
      </c>
      <c r="N3160" t="s">
        <v>43166</v>
      </c>
      <c r="O3160" t="s">
        <v>43167</v>
      </c>
      <c r="P3160">
        <v>0</v>
      </c>
      <c r="Q3160">
        <v>1</v>
      </c>
      <c r="R3160" t="s">
        <v>43171</v>
      </c>
      <c r="S3160" t="s">
        <v>43311</v>
      </c>
      <c r="T3160" t="s">
        <v>44837</v>
      </c>
      <c r="U3160" t="s">
        <v>47792</v>
      </c>
      <c r="W3160" t="s">
        <v>40515</v>
      </c>
      <c r="X3160" t="s">
        <v>43173</v>
      </c>
    </row>
    <row r="3161" spans="1:24">
      <c r="A3161">
        <f>HYPERLINK("https://www.philgeps.gov.ph/GEPSNONPILOT/Tender/SplashBidNoticeAbstractUI.aspx?menuIndex=3&amp;refID=7080702&amp;Result=3","7080702")</f>
        <v>0</v>
      </c>
      <c r="B3161" t="s">
        <v>1080</v>
      </c>
      <c r="C3161" t="s">
        <v>6438</v>
      </c>
      <c r="D3161" t="s">
        <v>17441</v>
      </c>
      <c r="E3161" t="s">
        <v>19158</v>
      </c>
      <c r="F3161" t="s">
        <v>30052</v>
      </c>
      <c r="G3161" t="s">
        <v>30058</v>
      </c>
      <c r="H3161" t="s">
        <v>30067</v>
      </c>
      <c r="I3161" t="s">
        <v>3693</v>
      </c>
      <c r="J3161" t="s">
        <v>32291</v>
      </c>
      <c r="K3161" t="s">
        <v>39057</v>
      </c>
      <c r="M3161" t="s">
        <v>40416</v>
      </c>
      <c r="N3161" t="s">
        <v>43166</v>
      </c>
      <c r="O3161" t="s">
        <v>43167</v>
      </c>
      <c r="P3161">
        <v>0</v>
      </c>
      <c r="Q3161">
        <v>22</v>
      </c>
      <c r="R3161" t="s">
        <v>43171</v>
      </c>
      <c r="S3161" t="s">
        <v>43311</v>
      </c>
      <c r="T3161" t="s">
        <v>44828</v>
      </c>
      <c r="U3161" t="s">
        <v>47761</v>
      </c>
      <c r="W3161" t="s">
        <v>40416</v>
      </c>
      <c r="X3161" t="s">
        <v>43173</v>
      </c>
    </row>
    <row r="3162" spans="1:24">
      <c r="A3162">
        <f>HYPERLINK("https://www.philgeps.gov.ph/GEPSNONPILOT/Tender/SplashBidNoticeAbstractUI.aspx?menuIndex=3&amp;refID=7079769&amp;Result=3","7079769")</f>
        <v>0</v>
      </c>
      <c r="B3162" t="s">
        <v>1168</v>
      </c>
      <c r="C3162" t="s">
        <v>6439</v>
      </c>
      <c r="E3162" t="s">
        <v>20258</v>
      </c>
      <c r="F3162" t="s">
        <v>30052</v>
      </c>
      <c r="G3162" t="s">
        <v>30059</v>
      </c>
      <c r="H3162" t="s">
        <v>15498</v>
      </c>
      <c r="I3162" t="s">
        <v>6691</v>
      </c>
      <c r="J3162" t="s">
        <v>32314</v>
      </c>
      <c r="K3162" t="s">
        <v>39025</v>
      </c>
      <c r="M3162" t="s">
        <v>40515</v>
      </c>
      <c r="N3162" t="s">
        <v>43166</v>
      </c>
      <c r="O3162" t="s">
        <v>43167</v>
      </c>
      <c r="P3162">
        <v>0</v>
      </c>
      <c r="Q3162">
        <v>1</v>
      </c>
      <c r="R3162" t="s">
        <v>43171</v>
      </c>
      <c r="S3162" t="s">
        <v>43311</v>
      </c>
      <c r="T3162" t="s">
        <v>44837</v>
      </c>
      <c r="U3162" t="s">
        <v>47793</v>
      </c>
      <c r="W3162" t="s">
        <v>40515</v>
      </c>
      <c r="X3162" t="s">
        <v>43173</v>
      </c>
    </row>
    <row r="3163" spans="1:24">
      <c r="A3163">
        <f>HYPERLINK("https://www.philgeps.gov.ph/GEPSNONPILOT/Tender/SplashBidNoticeAbstractUI.aspx?menuIndex=3&amp;refID=7079576&amp;Result=3","7079576")</f>
        <v>0</v>
      </c>
      <c r="B3163" t="s">
        <v>1163</v>
      </c>
      <c r="C3163" t="s">
        <v>6440</v>
      </c>
      <c r="D3163" t="s">
        <v>17464</v>
      </c>
      <c r="E3163" t="s">
        <v>20259</v>
      </c>
      <c r="F3163" t="s">
        <v>30052</v>
      </c>
      <c r="G3163" t="s">
        <v>30058</v>
      </c>
      <c r="H3163" t="s">
        <v>30067</v>
      </c>
      <c r="I3163" t="s">
        <v>3693</v>
      </c>
      <c r="J3163" t="s">
        <v>30397</v>
      </c>
      <c r="K3163" t="s">
        <v>39029</v>
      </c>
      <c r="M3163" t="s">
        <v>40509</v>
      </c>
      <c r="N3163" t="s">
        <v>43166</v>
      </c>
      <c r="O3163" t="s">
        <v>43167</v>
      </c>
      <c r="P3163">
        <v>0</v>
      </c>
      <c r="Q3163">
        <v>0</v>
      </c>
      <c r="R3163" t="s">
        <v>43171</v>
      </c>
      <c r="S3163" t="s">
        <v>43311</v>
      </c>
      <c r="T3163" t="s">
        <v>44842</v>
      </c>
      <c r="U3163" t="s">
        <v>47794</v>
      </c>
      <c r="W3163" t="s">
        <v>40509</v>
      </c>
      <c r="X3163" t="s">
        <v>43173</v>
      </c>
    </row>
    <row r="3164" spans="1:24">
      <c r="A3164">
        <f>HYPERLINK("https://www.philgeps.gov.ph/GEPSNONPILOT/Tender/SplashBidNoticeAbstractUI.aspx?menuIndex=3&amp;refID=7079575&amp;Result=3","7079575")</f>
        <v>0</v>
      </c>
      <c r="B3164" t="s">
        <v>1149</v>
      </c>
      <c r="C3164" t="s">
        <v>6285</v>
      </c>
      <c r="D3164" t="s">
        <v>17415</v>
      </c>
      <c r="E3164" t="s">
        <v>20260</v>
      </c>
      <c r="F3164" t="s">
        <v>30052</v>
      </c>
      <c r="G3164" t="s">
        <v>30058</v>
      </c>
      <c r="H3164" t="s">
        <v>15498</v>
      </c>
      <c r="I3164" t="s">
        <v>3852</v>
      </c>
      <c r="J3164" t="s">
        <v>32315</v>
      </c>
      <c r="K3164" t="s">
        <v>39025</v>
      </c>
      <c r="M3164" t="s">
        <v>40493</v>
      </c>
      <c r="N3164" t="s">
        <v>43166</v>
      </c>
      <c r="O3164" t="s">
        <v>43167</v>
      </c>
      <c r="P3164">
        <v>0</v>
      </c>
      <c r="Q3164">
        <v>14</v>
      </c>
      <c r="R3164" t="s">
        <v>43171</v>
      </c>
      <c r="S3164" t="s">
        <v>43311</v>
      </c>
      <c r="T3164" t="s">
        <v>44752</v>
      </c>
      <c r="U3164" t="s">
        <v>47660</v>
      </c>
      <c r="W3164" t="s">
        <v>40493</v>
      </c>
      <c r="X3164" t="s">
        <v>43173</v>
      </c>
    </row>
    <row r="3165" spans="1:24">
      <c r="A3165">
        <f>HYPERLINK("https://www.philgeps.gov.ph/GEPSNONPILOT/Tender/SplashBidNoticeAbstractUI.aspx?menuIndex=3&amp;refID=7079777&amp;Result=3","7079777")</f>
        <v>0</v>
      </c>
      <c r="B3165" t="s">
        <v>1163</v>
      </c>
      <c r="C3165" t="s">
        <v>6441</v>
      </c>
      <c r="D3165" t="s">
        <v>17464</v>
      </c>
      <c r="E3165" t="s">
        <v>20261</v>
      </c>
      <c r="F3165" t="s">
        <v>30052</v>
      </c>
      <c r="G3165" t="s">
        <v>30058</v>
      </c>
      <c r="H3165" t="s">
        <v>30067</v>
      </c>
      <c r="I3165" t="s">
        <v>3693</v>
      </c>
      <c r="J3165" t="s">
        <v>30281</v>
      </c>
      <c r="K3165" t="s">
        <v>39023</v>
      </c>
      <c r="M3165" t="s">
        <v>40509</v>
      </c>
      <c r="N3165" t="s">
        <v>43166</v>
      </c>
      <c r="O3165" t="s">
        <v>43167</v>
      </c>
      <c r="P3165">
        <v>0</v>
      </c>
      <c r="Q3165">
        <v>0</v>
      </c>
      <c r="R3165" t="s">
        <v>43171</v>
      </c>
      <c r="S3165" t="s">
        <v>43311</v>
      </c>
      <c r="T3165" t="s">
        <v>44842</v>
      </c>
      <c r="U3165" t="s">
        <v>47795</v>
      </c>
      <c r="W3165" t="s">
        <v>40509</v>
      </c>
      <c r="X3165" t="s">
        <v>43173</v>
      </c>
    </row>
    <row r="3166" spans="1:24">
      <c r="A3166">
        <f>HYPERLINK("https://www.philgeps.gov.ph/GEPSNONPILOT/Tender/SplashBidNoticeAbstractUI.aspx?menuIndex=3&amp;refID=7079721&amp;Result=3","7079721")</f>
        <v>0</v>
      </c>
      <c r="B3166" t="s">
        <v>1168</v>
      </c>
      <c r="C3166" t="s">
        <v>6442</v>
      </c>
      <c r="E3166" t="s">
        <v>20262</v>
      </c>
      <c r="F3166" t="s">
        <v>30052</v>
      </c>
      <c r="G3166" t="s">
        <v>30059</v>
      </c>
      <c r="H3166" t="s">
        <v>15498</v>
      </c>
      <c r="I3166" t="s">
        <v>6691</v>
      </c>
      <c r="J3166" t="s">
        <v>30267</v>
      </c>
      <c r="K3166" t="s">
        <v>39025</v>
      </c>
      <c r="M3166" t="s">
        <v>40515</v>
      </c>
      <c r="N3166" t="s">
        <v>43166</v>
      </c>
      <c r="O3166" t="s">
        <v>43167</v>
      </c>
      <c r="P3166">
        <v>0</v>
      </c>
      <c r="Q3166">
        <v>1</v>
      </c>
      <c r="R3166" t="s">
        <v>43171</v>
      </c>
      <c r="S3166" t="s">
        <v>43311</v>
      </c>
      <c r="T3166" t="s">
        <v>44837</v>
      </c>
      <c r="U3166" t="s">
        <v>47796</v>
      </c>
      <c r="W3166" t="s">
        <v>40515</v>
      </c>
      <c r="X3166" t="s">
        <v>43173</v>
      </c>
    </row>
    <row r="3167" spans="1:24">
      <c r="A3167">
        <f>HYPERLINK("https://www.philgeps.gov.ph/GEPSNONPILOT/Tender/SplashBidNoticeAbstractUI.aspx?menuIndex=3&amp;refID=7079535&amp;Result=3","7079535")</f>
        <v>0</v>
      </c>
      <c r="B3167" t="s">
        <v>1165</v>
      </c>
      <c r="C3167" t="s">
        <v>6443</v>
      </c>
      <c r="D3167" t="s">
        <v>17475</v>
      </c>
      <c r="E3167" t="s">
        <v>20263</v>
      </c>
      <c r="F3167" t="s">
        <v>30052</v>
      </c>
      <c r="G3167" t="s">
        <v>30058</v>
      </c>
      <c r="H3167" t="s">
        <v>30067</v>
      </c>
      <c r="I3167" t="s">
        <v>3693</v>
      </c>
      <c r="J3167" t="s">
        <v>32316</v>
      </c>
      <c r="K3167" t="s">
        <v>39033</v>
      </c>
      <c r="M3167" t="s">
        <v>40511</v>
      </c>
      <c r="N3167" t="s">
        <v>43166</v>
      </c>
      <c r="O3167" t="s">
        <v>43167</v>
      </c>
      <c r="P3167">
        <v>0</v>
      </c>
      <c r="Q3167">
        <v>1</v>
      </c>
      <c r="R3167" t="s">
        <v>43171</v>
      </c>
      <c r="S3167" t="s">
        <v>43311</v>
      </c>
      <c r="T3167" t="s">
        <v>44758</v>
      </c>
      <c r="U3167" t="s">
        <v>47725</v>
      </c>
      <c r="W3167" t="s">
        <v>40511</v>
      </c>
      <c r="X3167" t="s">
        <v>43173</v>
      </c>
    </row>
    <row r="3168" spans="1:24">
      <c r="A3168">
        <f>HYPERLINK("https://www.philgeps.gov.ph/GEPSNONPILOT/Tender/SplashBidNoticeAbstractUI.aspx?menuIndex=3&amp;refID=7079591&amp;Result=3","7079591")</f>
        <v>0</v>
      </c>
      <c r="B3168" t="s">
        <v>541</v>
      </c>
      <c r="C3168" t="s">
        <v>6444</v>
      </c>
      <c r="D3168" t="s">
        <v>17458</v>
      </c>
      <c r="E3168" t="s">
        <v>20264</v>
      </c>
      <c r="F3168" t="s">
        <v>30052</v>
      </c>
      <c r="G3168" t="s">
        <v>30059</v>
      </c>
      <c r="H3168" t="s">
        <v>15498</v>
      </c>
      <c r="I3168" t="s">
        <v>30165</v>
      </c>
      <c r="J3168" t="s">
        <v>32317</v>
      </c>
      <c r="K3168" t="s">
        <v>39017</v>
      </c>
      <c r="M3168" t="s">
        <v>39843</v>
      </c>
      <c r="N3168" t="s">
        <v>43166</v>
      </c>
      <c r="O3168" t="s">
        <v>43167</v>
      </c>
      <c r="P3168">
        <v>0</v>
      </c>
      <c r="Q3168">
        <v>0</v>
      </c>
      <c r="R3168" t="s">
        <v>43171</v>
      </c>
      <c r="S3168" t="s">
        <v>43311</v>
      </c>
      <c r="T3168" t="s">
        <v>44773</v>
      </c>
      <c r="U3168" t="s">
        <v>46404</v>
      </c>
      <c r="W3168" t="s">
        <v>58604</v>
      </c>
      <c r="X3168" t="s">
        <v>43173</v>
      </c>
    </row>
    <row r="3169" spans="1:24">
      <c r="A3169">
        <f>HYPERLINK("https://www.philgeps.gov.ph/GEPSNONPILOT/Tender/SplashBidNoticeAbstractUI.aspx?menuIndex=3&amp;refID=7079525&amp;Result=3","7079525")</f>
        <v>0</v>
      </c>
      <c r="B3169" t="s">
        <v>541</v>
      </c>
      <c r="C3169" t="s">
        <v>6445</v>
      </c>
      <c r="D3169" t="s">
        <v>17458</v>
      </c>
      <c r="E3169" t="s">
        <v>20265</v>
      </c>
      <c r="F3169" t="s">
        <v>30052</v>
      </c>
      <c r="G3169" t="s">
        <v>30059</v>
      </c>
      <c r="H3169" t="s">
        <v>15498</v>
      </c>
      <c r="I3169" t="s">
        <v>30094</v>
      </c>
      <c r="J3169" t="s">
        <v>32318</v>
      </c>
      <c r="K3169" t="s">
        <v>39017</v>
      </c>
      <c r="M3169" t="s">
        <v>39843</v>
      </c>
      <c r="N3169" t="s">
        <v>43166</v>
      </c>
      <c r="O3169" t="s">
        <v>43167</v>
      </c>
      <c r="P3169">
        <v>0</v>
      </c>
      <c r="Q3169">
        <v>0</v>
      </c>
      <c r="R3169" t="s">
        <v>43171</v>
      </c>
      <c r="S3169" t="s">
        <v>43311</v>
      </c>
      <c r="T3169" t="s">
        <v>44773</v>
      </c>
      <c r="U3169" t="s">
        <v>46404</v>
      </c>
      <c r="W3169" t="s">
        <v>58604</v>
      </c>
      <c r="X3169" t="s">
        <v>43173</v>
      </c>
    </row>
    <row r="3170" spans="1:24">
      <c r="A3170">
        <f>HYPERLINK("https://www.philgeps.gov.ph/GEPSNONPILOT/Tender/SplashBidNoticeAbstractUI.aspx?menuIndex=3&amp;refID=7079514&amp;Result=3","7079514")</f>
        <v>0</v>
      </c>
      <c r="B3170" t="s">
        <v>1165</v>
      </c>
      <c r="C3170" t="s">
        <v>6446</v>
      </c>
      <c r="D3170" t="s">
        <v>17475</v>
      </c>
      <c r="E3170" t="s">
        <v>20266</v>
      </c>
      <c r="F3170" t="s">
        <v>30052</v>
      </c>
      <c r="G3170" t="s">
        <v>30058</v>
      </c>
      <c r="H3170" t="s">
        <v>30067</v>
      </c>
      <c r="I3170" t="s">
        <v>3693</v>
      </c>
      <c r="J3170" t="s">
        <v>32319</v>
      </c>
      <c r="K3170" t="s">
        <v>39122</v>
      </c>
      <c r="M3170" t="s">
        <v>40511</v>
      </c>
      <c r="N3170" t="s">
        <v>43166</v>
      </c>
      <c r="O3170" t="s">
        <v>43167</v>
      </c>
      <c r="P3170">
        <v>0</v>
      </c>
      <c r="Q3170">
        <v>0</v>
      </c>
      <c r="R3170" t="s">
        <v>43171</v>
      </c>
      <c r="S3170" t="s">
        <v>43311</v>
      </c>
      <c r="T3170" t="s">
        <v>44758</v>
      </c>
      <c r="U3170" t="s">
        <v>47725</v>
      </c>
      <c r="W3170" t="s">
        <v>40511</v>
      </c>
      <c r="X3170" t="s">
        <v>43173</v>
      </c>
    </row>
    <row r="3171" spans="1:24">
      <c r="A3171">
        <f>HYPERLINK("https://www.philgeps.gov.ph/GEPSNONPILOT/Tender/SplashBidNoticeAbstractUI.aspx?menuIndex=3&amp;refID=7079567&amp;Result=3","7079567")</f>
        <v>0</v>
      </c>
      <c r="B3171" t="s">
        <v>1168</v>
      </c>
      <c r="C3171" t="s">
        <v>6447</v>
      </c>
      <c r="E3171" t="s">
        <v>20267</v>
      </c>
      <c r="F3171" t="s">
        <v>30052</v>
      </c>
      <c r="G3171" t="s">
        <v>30059</v>
      </c>
      <c r="H3171" t="s">
        <v>15498</v>
      </c>
      <c r="I3171" t="s">
        <v>6691</v>
      </c>
      <c r="J3171" t="s">
        <v>32320</v>
      </c>
      <c r="K3171" t="s">
        <v>39025</v>
      </c>
      <c r="M3171" t="s">
        <v>40515</v>
      </c>
      <c r="N3171" t="s">
        <v>43166</v>
      </c>
      <c r="O3171" t="s">
        <v>43167</v>
      </c>
      <c r="P3171">
        <v>0</v>
      </c>
      <c r="Q3171">
        <v>2</v>
      </c>
      <c r="R3171" t="s">
        <v>43171</v>
      </c>
      <c r="S3171" t="s">
        <v>43311</v>
      </c>
      <c r="T3171" t="s">
        <v>44837</v>
      </c>
      <c r="U3171" t="s">
        <v>47797</v>
      </c>
      <c r="W3171" t="s">
        <v>40515</v>
      </c>
      <c r="X3171" t="s">
        <v>43173</v>
      </c>
    </row>
    <row r="3172" spans="1:24">
      <c r="A3172">
        <f>HYPERLINK("https://www.philgeps.gov.ph/GEPSNONPILOT/Tender/SplashBidNoticeAbstractUI.aspx?menuIndex=3&amp;refID=7079171&amp;Result=3","7079171")</f>
        <v>0</v>
      </c>
      <c r="B3172" t="s">
        <v>66</v>
      </c>
      <c r="C3172" t="s">
        <v>6448</v>
      </c>
      <c r="D3172" t="s">
        <v>17432</v>
      </c>
      <c r="E3172" t="s">
        <v>17665</v>
      </c>
      <c r="F3172" t="s">
        <v>30052</v>
      </c>
      <c r="G3172" t="s">
        <v>30062</v>
      </c>
      <c r="H3172" t="s">
        <v>15498</v>
      </c>
      <c r="I3172" t="s">
        <v>4119</v>
      </c>
      <c r="J3172" t="s">
        <v>30285</v>
      </c>
      <c r="K3172" t="s">
        <v>39017</v>
      </c>
      <c r="M3172" t="s">
        <v>39355</v>
      </c>
      <c r="N3172" t="s">
        <v>43166</v>
      </c>
      <c r="O3172" t="s">
        <v>43167</v>
      </c>
      <c r="P3172">
        <v>0</v>
      </c>
      <c r="Q3172">
        <v>0</v>
      </c>
      <c r="R3172" t="s">
        <v>43171</v>
      </c>
      <c r="S3172" t="s">
        <v>43311</v>
      </c>
      <c r="T3172" t="s">
        <v>44720</v>
      </c>
      <c r="U3172" t="s">
        <v>47798</v>
      </c>
      <c r="W3172" t="s">
        <v>39355</v>
      </c>
      <c r="X3172" t="s">
        <v>43173</v>
      </c>
    </row>
    <row r="3173" spans="1:24">
      <c r="A3173">
        <f>HYPERLINK("https://www.philgeps.gov.ph/GEPSNONPILOT/Tender/SplashBidNoticeAbstractUI.aspx?menuIndex=3&amp;refID=7079559&amp;Result=3","7079559")</f>
        <v>0</v>
      </c>
      <c r="B3173" t="s">
        <v>1163</v>
      </c>
      <c r="C3173" t="s">
        <v>6449</v>
      </c>
      <c r="D3173" t="s">
        <v>17464</v>
      </c>
      <c r="E3173" t="s">
        <v>20268</v>
      </c>
      <c r="F3173" t="s">
        <v>30052</v>
      </c>
      <c r="G3173" t="s">
        <v>30058</v>
      </c>
      <c r="H3173" t="s">
        <v>30067</v>
      </c>
      <c r="I3173" t="s">
        <v>3693</v>
      </c>
      <c r="J3173" t="s">
        <v>30397</v>
      </c>
      <c r="K3173" t="s">
        <v>39046</v>
      </c>
      <c r="M3173" t="s">
        <v>40509</v>
      </c>
      <c r="N3173" t="s">
        <v>43166</v>
      </c>
      <c r="O3173" t="s">
        <v>43167</v>
      </c>
      <c r="P3173">
        <v>0</v>
      </c>
      <c r="Q3173">
        <v>0</v>
      </c>
      <c r="R3173" t="s">
        <v>43171</v>
      </c>
      <c r="S3173" t="s">
        <v>43311</v>
      </c>
      <c r="T3173" t="s">
        <v>44842</v>
      </c>
      <c r="U3173" t="s">
        <v>47799</v>
      </c>
      <c r="W3173" t="s">
        <v>40509</v>
      </c>
      <c r="X3173" t="s">
        <v>43173</v>
      </c>
    </row>
    <row r="3174" spans="1:24">
      <c r="A3174">
        <f>HYPERLINK("https://www.philgeps.gov.ph/GEPSNONPILOT/Tender/SplashBidNoticeAbstractUI.aspx?menuIndex=3&amp;refID=7079162&amp;Result=3","7079162")</f>
        <v>0</v>
      </c>
      <c r="B3174" t="s">
        <v>1190</v>
      </c>
      <c r="C3174" t="s">
        <v>6450</v>
      </c>
      <c r="D3174" t="s">
        <v>17415</v>
      </c>
      <c r="E3174" t="s">
        <v>20269</v>
      </c>
      <c r="F3174" t="s">
        <v>30052</v>
      </c>
      <c r="G3174" t="s">
        <v>30062</v>
      </c>
      <c r="H3174" t="s">
        <v>15498</v>
      </c>
      <c r="I3174" t="s">
        <v>3736</v>
      </c>
      <c r="J3174" t="s">
        <v>32321</v>
      </c>
      <c r="K3174" t="s">
        <v>39019</v>
      </c>
      <c r="M3174" t="s">
        <v>40543</v>
      </c>
      <c r="N3174" t="s">
        <v>43166</v>
      </c>
      <c r="O3174" t="s">
        <v>43167</v>
      </c>
      <c r="P3174">
        <v>0</v>
      </c>
      <c r="Q3174">
        <v>2</v>
      </c>
      <c r="R3174" t="s">
        <v>43171</v>
      </c>
      <c r="S3174" t="s">
        <v>43311</v>
      </c>
      <c r="T3174" t="s">
        <v>44732</v>
      </c>
      <c r="U3174" t="s">
        <v>47800</v>
      </c>
      <c r="W3174" t="s">
        <v>40543</v>
      </c>
      <c r="X3174" t="s">
        <v>43173</v>
      </c>
    </row>
    <row r="3175" spans="1:24">
      <c r="A3175">
        <f>HYPERLINK("https://www.philgeps.gov.ph/GEPSNONPILOT/Tender/SplashBidNoticeAbstractUI.aspx?menuIndex=3&amp;refID=7081233&amp;Result=3","7081233")</f>
        <v>0</v>
      </c>
      <c r="B3175" t="s">
        <v>1191</v>
      </c>
      <c r="C3175" t="s">
        <v>6451</v>
      </c>
      <c r="D3175" t="s">
        <v>17451</v>
      </c>
      <c r="E3175" t="s">
        <v>20270</v>
      </c>
      <c r="F3175" t="s">
        <v>30052</v>
      </c>
      <c r="G3175" t="s">
        <v>30058</v>
      </c>
      <c r="H3175" t="s">
        <v>30067</v>
      </c>
      <c r="I3175" t="s">
        <v>3693</v>
      </c>
      <c r="J3175" t="s">
        <v>30230</v>
      </c>
      <c r="K3175" t="s">
        <v>39041</v>
      </c>
      <c r="M3175" t="s">
        <v>40544</v>
      </c>
      <c r="N3175" t="s">
        <v>43166</v>
      </c>
      <c r="O3175" t="s">
        <v>43167</v>
      </c>
      <c r="P3175">
        <v>0</v>
      </c>
      <c r="Q3175">
        <v>0</v>
      </c>
      <c r="R3175" t="s">
        <v>43171</v>
      </c>
      <c r="S3175" t="s">
        <v>43311</v>
      </c>
      <c r="T3175" t="s">
        <v>44736</v>
      </c>
      <c r="U3175" t="s">
        <v>47801</v>
      </c>
      <c r="W3175" t="s">
        <v>40544</v>
      </c>
      <c r="X3175" t="s">
        <v>43173</v>
      </c>
    </row>
    <row r="3176" spans="1:24">
      <c r="A3176">
        <f>HYPERLINK("https://www.philgeps.gov.ph/GEPSNONPILOT/Tender/SplashBidNoticeAbstractUI.aspx?menuIndex=3&amp;refID=7078613&amp;Result=3","7078613")</f>
        <v>0</v>
      </c>
      <c r="B3176" t="s">
        <v>1192</v>
      </c>
      <c r="C3176" t="s">
        <v>6452</v>
      </c>
      <c r="D3176" t="s">
        <v>17415</v>
      </c>
      <c r="E3176" t="s">
        <v>20271</v>
      </c>
      <c r="F3176" t="s">
        <v>30052</v>
      </c>
      <c r="G3176" t="s">
        <v>30058</v>
      </c>
      <c r="H3176" t="s">
        <v>15498</v>
      </c>
      <c r="I3176" t="s">
        <v>30070</v>
      </c>
      <c r="J3176" t="s">
        <v>32322</v>
      </c>
      <c r="K3176" t="s">
        <v>39017</v>
      </c>
      <c r="M3176" t="s">
        <v>40545</v>
      </c>
      <c r="N3176" t="s">
        <v>43166</v>
      </c>
      <c r="O3176" t="s">
        <v>43167</v>
      </c>
      <c r="P3176">
        <v>0</v>
      </c>
      <c r="Q3176">
        <v>2</v>
      </c>
      <c r="R3176" t="s">
        <v>43171</v>
      </c>
      <c r="S3176" t="s">
        <v>43311</v>
      </c>
      <c r="T3176" t="s">
        <v>44877</v>
      </c>
      <c r="U3176" t="s">
        <v>47802</v>
      </c>
      <c r="W3176" t="s">
        <v>40545</v>
      </c>
      <c r="X3176" t="s">
        <v>43174</v>
      </c>
    </row>
    <row r="3177" spans="1:24">
      <c r="A3177">
        <f>HYPERLINK("https://www.philgeps.gov.ph/GEPSNONPILOT/Tender/SplashBidNoticeAbstractUI.aspx?menuIndex=3&amp;refID=7078591&amp;Result=3","7078591")</f>
        <v>0</v>
      </c>
      <c r="B3177" t="s">
        <v>1192</v>
      </c>
      <c r="C3177" t="s">
        <v>6453</v>
      </c>
      <c r="D3177" t="s">
        <v>17415</v>
      </c>
      <c r="E3177" t="s">
        <v>20272</v>
      </c>
      <c r="F3177" t="s">
        <v>30052</v>
      </c>
      <c r="G3177" t="s">
        <v>30058</v>
      </c>
      <c r="H3177" t="s">
        <v>15498</v>
      </c>
      <c r="I3177" t="s">
        <v>30103</v>
      </c>
      <c r="J3177" t="s">
        <v>32323</v>
      </c>
      <c r="K3177" t="s">
        <v>39017</v>
      </c>
      <c r="M3177" t="s">
        <v>40545</v>
      </c>
      <c r="N3177" t="s">
        <v>43166</v>
      </c>
      <c r="O3177" t="s">
        <v>43167</v>
      </c>
      <c r="P3177">
        <v>0</v>
      </c>
      <c r="Q3177">
        <v>5</v>
      </c>
      <c r="R3177" t="s">
        <v>43171</v>
      </c>
      <c r="S3177" t="s">
        <v>43311</v>
      </c>
      <c r="T3177" t="s">
        <v>44877</v>
      </c>
      <c r="U3177" t="s">
        <v>47803</v>
      </c>
      <c r="W3177" t="s">
        <v>40545</v>
      </c>
      <c r="X3177" t="s">
        <v>43174</v>
      </c>
    </row>
    <row r="3178" spans="1:24">
      <c r="A3178">
        <f>HYPERLINK("https://www.philgeps.gov.ph/GEPSNONPILOT/Tender/SplashBidNoticeAbstractUI.aspx?menuIndex=3&amp;refID=7078255&amp;Result=3","7078255")</f>
        <v>0</v>
      </c>
      <c r="B3178" t="s">
        <v>1193</v>
      </c>
      <c r="C3178" t="s">
        <v>6454</v>
      </c>
      <c r="D3178" t="s">
        <v>17427</v>
      </c>
      <c r="E3178" t="s">
        <v>20273</v>
      </c>
      <c r="F3178" t="s">
        <v>30052</v>
      </c>
      <c r="G3178" t="s">
        <v>30059</v>
      </c>
      <c r="H3178" t="s">
        <v>15498</v>
      </c>
      <c r="I3178" t="s">
        <v>30146</v>
      </c>
      <c r="J3178" t="s">
        <v>30248</v>
      </c>
      <c r="K3178" t="s">
        <v>39029</v>
      </c>
      <c r="M3178" t="s">
        <v>40546</v>
      </c>
      <c r="N3178" t="s">
        <v>43166</v>
      </c>
      <c r="O3178" t="s">
        <v>43167</v>
      </c>
      <c r="P3178">
        <v>0</v>
      </c>
      <c r="Q3178">
        <v>2</v>
      </c>
      <c r="R3178" t="s">
        <v>43171</v>
      </c>
      <c r="S3178" t="s">
        <v>43311</v>
      </c>
      <c r="T3178" t="s">
        <v>44859</v>
      </c>
      <c r="U3178" t="s">
        <v>47804</v>
      </c>
      <c r="W3178" t="s">
        <v>40546</v>
      </c>
      <c r="X3178" t="s">
        <v>43174</v>
      </c>
    </row>
    <row r="3179" spans="1:24">
      <c r="A3179">
        <f>HYPERLINK("https://www.philgeps.gov.ph/GEPSNONPILOT/Tender/SplashBidNoticeAbstractUI.aspx?menuIndex=3&amp;refID=7079120&amp;Result=3","7079120")</f>
        <v>0</v>
      </c>
      <c r="B3179" t="s">
        <v>1194</v>
      </c>
      <c r="C3179" t="s">
        <v>6455</v>
      </c>
      <c r="D3179" t="s">
        <v>17415</v>
      </c>
      <c r="E3179" t="s">
        <v>20274</v>
      </c>
      <c r="F3179" t="s">
        <v>30052</v>
      </c>
      <c r="G3179" t="s">
        <v>30058</v>
      </c>
      <c r="H3179" t="s">
        <v>30067</v>
      </c>
      <c r="I3179" t="s">
        <v>3693</v>
      </c>
      <c r="J3179" t="s">
        <v>32324</v>
      </c>
      <c r="K3179" t="s">
        <v>39033</v>
      </c>
      <c r="M3179" t="s">
        <v>40547</v>
      </c>
      <c r="N3179" t="s">
        <v>43166</v>
      </c>
      <c r="O3179" t="s">
        <v>43167</v>
      </c>
      <c r="P3179">
        <v>0</v>
      </c>
      <c r="Q3179">
        <v>2</v>
      </c>
      <c r="R3179" t="s">
        <v>43171</v>
      </c>
      <c r="S3179" t="s">
        <v>43311</v>
      </c>
      <c r="T3179" t="s">
        <v>44703</v>
      </c>
      <c r="U3179" t="s">
        <v>47805</v>
      </c>
      <c r="W3179" t="s">
        <v>40547</v>
      </c>
      <c r="X3179" t="s">
        <v>43173</v>
      </c>
    </row>
    <row r="3180" spans="1:24">
      <c r="A3180">
        <f>HYPERLINK("https://www.philgeps.gov.ph/GEPSNONPILOT/Tender/SplashBidNoticeAbstractUI.aspx?menuIndex=3&amp;refID=7079085&amp;Result=3","7079085")</f>
        <v>0</v>
      </c>
      <c r="B3180" t="s">
        <v>1195</v>
      </c>
      <c r="C3180" t="s">
        <v>6456</v>
      </c>
      <c r="D3180" t="s">
        <v>17441</v>
      </c>
      <c r="E3180" t="s">
        <v>20275</v>
      </c>
      <c r="F3180" t="s">
        <v>30052</v>
      </c>
      <c r="G3180" t="s">
        <v>30059</v>
      </c>
      <c r="H3180" t="s">
        <v>15498</v>
      </c>
      <c r="I3180" t="s">
        <v>30068</v>
      </c>
      <c r="J3180" t="s">
        <v>30612</v>
      </c>
      <c r="K3180" t="s">
        <v>39029</v>
      </c>
      <c r="M3180" t="s">
        <v>40548</v>
      </c>
      <c r="N3180" t="s">
        <v>43166</v>
      </c>
      <c r="O3180" t="s">
        <v>43167</v>
      </c>
      <c r="P3180">
        <v>0</v>
      </c>
      <c r="Q3180">
        <v>0</v>
      </c>
      <c r="R3180" t="s">
        <v>43171</v>
      </c>
      <c r="S3180" t="s">
        <v>43311</v>
      </c>
      <c r="T3180" t="s">
        <v>44710</v>
      </c>
      <c r="U3180" t="s">
        <v>47806</v>
      </c>
      <c r="W3180" t="s">
        <v>40548</v>
      </c>
      <c r="X3180" t="s">
        <v>43173</v>
      </c>
    </row>
    <row r="3181" spans="1:24">
      <c r="A3181">
        <f>HYPERLINK("https://www.philgeps.gov.ph/GEPSNONPILOT/Tender/SplashBidNoticeAbstractUI.aspx?menuIndex=3&amp;refID=7078215&amp;Result=3","7078215")</f>
        <v>0</v>
      </c>
      <c r="B3181" t="s">
        <v>1142</v>
      </c>
      <c r="C3181" t="s">
        <v>6457</v>
      </c>
      <c r="E3181" t="s">
        <v>20276</v>
      </c>
      <c r="F3181" t="s">
        <v>30052</v>
      </c>
      <c r="G3181" t="s">
        <v>30058</v>
      </c>
      <c r="H3181" t="s">
        <v>15498</v>
      </c>
      <c r="I3181" t="s">
        <v>30130</v>
      </c>
      <c r="J3181" t="s">
        <v>30215</v>
      </c>
      <c r="K3181" t="s">
        <v>39025</v>
      </c>
      <c r="M3181" t="s">
        <v>40485</v>
      </c>
      <c r="N3181" t="s">
        <v>43166</v>
      </c>
      <c r="O3181" t="s">
        <v>43167</v>
      </c>
      <c r="P3181">
        <v>0</v>
      </c>
      <c r="Q3181">
        <v>11</v>
      </c>
      <c r="R3181" t="s">
        <v>43171</v>
      </c>
      <c r="S3181" t="s">
        <v>43311</v>
      </c>
      <c r="T3181" t="s">
        <v>44752</v>
      </c>
      <c r="U3181" t="s">
        <v>47807</v>
      </c>
      <c r="W3181" t="s">
        <v>40485</v>
      </c>
      <c r="X3181" t="s">
        <v>43174</v>
      </c>
    </row>
    <row r="3182" spans="1:24">
      <c r="A3182">
        <f>HYPERLINK("https://www.philgeps.gov.ph/GEPSNONPILOT/Tender/SplashBidNoticeAbstractUI.aspx?menuIndex=3&amp;refID=7078069&amp;Result=3","7078069")</f>
        <v>0</v>
      </c>
      <c r="B3182" t="s">
        <v>63</v>
      </c>
      <c r="C3182" t="s">
        <v>6458</v>
      </c>
      <c r="E3182" t="s">
        <v>20277</v>
      </c>
      <c r="F3182" t="s">
        <v>30052</v>
      </c>
      <c r="G3182" t="s">
        <v>30059</v>
      </c>
      <c r="H3182" t="s">
        <v>15498</v>
      </c>
      <c r="I3182" t="s">
        <v>30098</v>
      </c>
      <c r="J3182" t="s">
        <v>32325</v>
      </c>
      <c r="K3182" t="s">
        <v>39025</v>
      </c>
      <c r="M3182" t="s">
        <v>39352</v>
      </c>
      <c r="N3182" t="s">
        <v>43166</v>
      </c>
      <c r="O3182" t="s">
        <v>43167</v>
      </c>
      <c r="P3182">
        <v>0</v>
      </c>
      <c r="Q3182">
        <v>2</v>
      </c>
      <c r="R3182" t="s">
        <v>43171</v>
      </c>
      <c r="S3182" t="s">
        <v>43311</v>
      </c>
      <c r="T3182" t="s">
        <v>44844</v>
      </c>
      <c r="U3182" t="s">
        <v>47652</v>
      </c>
      <c r="W3182" t="s">
        <v>39352</v>
      </c>
      <c r="X3182" t="s">
        <v>43174</v>
      </c>
    </row>
    <row r="3183" spans="1:24">
      <c r="A3183">
        <f>HYPERLINK("https://www.philgeps.gov.ph/GEPSNONPILOT/Tender/SplashBidNoticeAbstractUI.aspx?menuIndex=3&amp;refID=7078575&amp;Result=3","7078575")</f>
        <v>0</v>
      </c>
      <c r="B3183" t="s">
        <v>1196</v>
      </c>
      <c r="C3183" t="s">
        <v>6459</v>
      </c>
      <c r="D3183" t="s">
        <v>17440</v>
      </c>
      <c r="E3183" t="s">
        <v>20278</v>
      </c>
      <c r="F3183" t="s">
        <v>30052</v>
      </c>
      <c r="G3183" t="s">
        <v>30058</v>
      </c>
      <c r="H3183" t="s">
        <v>30068</v>
      </c>
      <c r="I3183" t="s">
        <v>30166</v>
      </c>
      <c r="J3183" t="s">
        <v>32326</v>
      </c>
      <c r="K3183" t="s">
        <v>39023</v>
      </c>
      <c r="M3183" t="s">
        <v>40549</v>
      </c>
      <c r="N3183" t="s">
        <v>43166</v>
      </c>
      <c r="O3183" t="s">
        <v>43167</v>
      </c>
      <c r="Q3183">
        <v>1</v>
      </c>
      <c r="R3183" t="s">
        <v>43171</v>
      </c>
      <c r="S3183" t="s">
        <v>43316</v>
      </c>
      <c r="T3183" t="s">
        <v>44951</v>
      </c>
      <c r="U3183" t="s">
        <v>47808</v>
      </c>
      <c r="W3183" t="s">
        <v>40549</v>
      </c>
      <c r="X3183" t="s">
        <v>43174</v>
      </c>
    </row>
    <row r="3184" spans="1:24">
      <c r="A3184">
        <f>HYPERLINK("https://www.philgeps.gov.ph/GEPSNONPILOT/Tender/SplashBidNoticeAbstractUI.aspx?menuIndex=3&amp;refID=7078068&amp;Result=3","7078068")</f>
        <v>0</v>
      </c>
      <c r="B3184" t="s">
        <v>1000</v>
      </c>
      <c r="C3184" t="s">
        <v>6460</v>
      </c>
      <c r="D3184" t="s">
        <v>17422</v>
      </c>
      <c r="E3184" t="s">
        <v>20279</v>
      </c>
      <c r="F3184" t="s">
        <v>30052</v>
      </c>
      <c r="G3184" t="s">
        <v>30058</v>
      </c>
      <c r="H3184" t="s">
        <v>15498</v>
      </c>
      <c r="I3184" t="s">
        <v>30177</v>
      </c>
      <c r="J3184" t="s">
        <v>32327</v>
      </c>
      <c r="K3184" t="s">
        <v>39064</v>
      </c>
      <c r="M3184" t="s">
        <v>40505</v>
      </c>
      <c r="N3184" t="s">
        <v>43166</v>
      </c>
      <c r="O3184" t="s">
        <v>43167</v>
      </c>
      <c r="P3184">
        <v>0</v>
      </c>
      <c r="Q3184">
        <v>0</v>
      </c>
      <c r="R3184" t="s">
        <v>43171</v>
      </c>
      <c r="S3184" t="s">
        <v>43311</v>
      </c>
      <c r="T3184" t="s">
        <v>44705</v>
      </c>
      <c r="U3184" t="s">
        <v>47809</v>
      </c>
      <c r="V3184" t="s">
        <v>57175</v>
      </c>
      <c r="W3184" t="s">
        <v>40505</v>
      </c>
      <c r="X3184" t="s">
        <v>43174</v>
      </c>
    </row>
    <row r="3185" spans="1:24">
      <c r="A3185">
        <f>HYPERLINK("https://www.philgeps.gov.ph/GEPSNONPILOT/Tender/SplashBidNoticeAbstractUI.aspx?menuIndex=3&amp;refID=7078057&amp;Result=3","7078057")</f>
        <v>0</v>
      </c>
      <c r="B3185" t="s">
        <v>1142</v>
      </c>
      <c r="C3185" t="s">
        <v>6461</v>
      </c>
      <c r="E3185" t="s">
        <v>20280</v>
      </c>
      <c r="F3185" t="s">
        <v>30052</v>
      </c>
      <c r="G3185" t="s">
        <v>30058</v>
      </c>
      <c r="H3185" t="s">
        <v>15498</v>
      </c>
      <c r="I3185" t="s">
        <v>30130</v>
      </c>
      <c r="J3185" t="s">
        <v>32328</v>
      </c>
      <c r="K3185" t="s">
        <v>39025</v>
      </c>
      <c r="M3185" t="s">
        <v>40485</v>
      </c>
      <c r="N3185" t="s">
        <v>43166</v>
      </c>
      <c r="O3185" t="s">
        <v>43167</v>
      </c>
      <c r="P3185">
        <v>0</v>
      </c>
      <c r="Q3185">
        <v>15</v>
      </c>
      <c r="R3185" t="s">
        <v>43171</v>
      </c>
      <c r="S3185" t="s">
        <v>43311</v>
      </c>
      <c r="T3185" t="s">
        <v>44752</v>
      </c>
      <c r="U3185" t="s">
        <v>47810</v>
      </c>
      <c r="W3185" t="s">
        <v>40485</v>
      </c>
      <c r="X3185" t="s">
        <v>43174</v>
      </c>
    </row>
    <row r="3186" spans="1:24">
      <c r="A3186">
        <f>HYPERLINK("https://www.philgeps.gov.ph/GEPSNONPILOT/Tender/SplashBidNoticeAbstractUI.aspx?menuIndex=3&amp;refID=7077780&amp;Result=3","7077780")</f>
        <v>0</v>
      </c>
      <c r="B3186" t="s">
        <v>1162</v>
      </c>
      <c r="C3186" t="s">
        <v>6462</v>
      </c>
      <c r="D3186" t="s">
        <v>17472</v>
      </c>
      <c r="E3186" t="s">
        <v>20281</v>
      </c>
      <c r="F3186" t="s">
        <v>30052</v>
      </c>
      <c r="G3186" t="s">
        <v>30058</v>
      </c>
      <c r="H3186" t="s">
        <v>15498</v>
      </c>
      <c r="I3186" t="s">
        <v>3736</v>
      </c>
      <c r="J3186" t="s">
        <v>32329</v>
      </c>
      <c r="K3186" t="s">
        <v>39025</v>
      </c>
      <c r="M3186" t="s">
        <v>40508</v>
      </c>
      <c r="N3186" t="s">
        <v>43166</v>
      </c>
      <c r="O3186" t="s">
        <v>43167</v>
      </c>
      <c r="P3186">
        <v>0</v>
      </c>
      <c r="Q3186">
        <v>1</v>
      </c>
      <c r="R3186" t="s">
        <v>43171</v>
      </c>
      <c r="S3186" t="s">
        <v>43311</v>
      </c>
      <c r="T3186" t="s">
        <v>44806</v>
      </c>
      <c r="U3186" t="s">
        <v>47811</v>
      </c>
      <c r="W3186" t="s">
        <v>40508</v>
      </c>
      <c r="X3186" t="s">
        <v>43174</v>
      </c>
    </row>
    <row r="3187" spans="1:24">
      <c r="A3187">
        <f>HYPERLINK("https://www.philgeps.gov.ph/GEPSNONPILOT/Tender/SplashBidNoticeAbstractUI.aspx?menuIndex=3&amp;refID=7077774&amp;Result=3","7077774")</f>
        <v>0</v>
      </c>
      <c r="B3187" t="s">
        <v>63</v>
      </c>
      <c r="C3187" t="s">
        <v>6463</v>
      </c>
      <c r="E3187" t="s">
        <v>20282</v>
      </c>
      <c r="F3187" t="s">
        <v>30052</v>
      </c>
      <c r="G3187" t="s">
        <v>30059</v>
      </c>
      <c r="H3187" t="s">
        <v>15498</v>
      </c>
      <c r="I3187" t="s">
        <v>30098</v>
      </c>
      <c r="J3187" t="s">
        <v>30292</v>
      </c>
      <c r="K3187" t="s">
        <v>39025</v>
      </c>
      <c r="M3187" t="s">
        <v>39352</v>
      </c>
      <c r="N3187" t="s">
        <v>43166</v>
      </c>
      <c r="O3187" t="s">
        <v>43167</v>
      </c>
      <c r="P3187">
        <v>0</v>
      </c>
      <c r="Q3187">
        <v>1</v>
      </c>
      <c r="R3187" t="s">
        <v>43171</v>
      </c>
      <c r="S3187" t="s">
        <v>43311</v>
      </c>
      <c r="T3187" t="s">
        <v>44844</v>
      </c>
      <c r="U3187" t="s">
        <v>47652</v>
      </c>
      <c r="W3187" t="s">
        <v>39352</v>
      </c>
      <c r="X3187" t="s">
        <v>43174</v>
      </c>
    </row>
    <row r="3188" spans="1:24">
      <c r="A3188">
        <f>HYPERLINK("https://www.philgeps.gov.ph/GEPSNONPILOT/Tender/SplashBidNoticeAbstractUI.aspx?menuIndex=3&amp;refID=7079220&amp;Result=3","7079220")</f>
        <v>0</v>
      </c>
      <c r="B3188" t="s">
        <v>74</v>
      </c>
      <c r="C3188" t="s">
        <v>6464</v>
      </c>
      <c r="E3188" t="s">
        <v>20283</v>
      </c>
      <c r="F3188" t="s">
        <v>30056</v>
      </c>
      <c r="G3188" t="s">
        <v>30061</v>
      </c>
      <c r="H3188" t="s">
        <v>15498</v>
      </c>
      <c r="I3188" t="s">
        <v>30176</v>
      </c>
      <c r="J3188" t="s">
        <v>30861</v>
      </c>
      <c r="K3188" t="s">
        <v>39025</v>
      </c>
      <c r="M3188" t="s">
        <v>40512</v>
      </c>
      <c r="N3188" t="s">
        <v>43166</v>
      </c>
      <c r="O3188" t="s">
        <v>43167</v>
      </c>
      <c r="P3188">
        <v>0</v>
      </c>
      <c r="Q3188">
        <v>0</v>
      </c>
      <c r="R3188" t="s">
        <v>43171</v>
      </c>
      <c r="S3188" t="s">
        <v>43311</v>
      </c>
      <c r="T3188" t="s">
        <v>44705</v>
      </c>
      <c r="U3188" t="s">
        <v>47812</v>
      </c>
      <c r="W3188" t="s">
        <v>40512</v>
      </c>
      <c r="X3188" t="s">
        <v>43173</v>
      </c>
    </row>
    <row r="3189" spans="1:24">
      <c r="A3189">
        <f>HYPERLINK("https://www.philgeps.gov.ph/GEPSNONPILOT/Tender/SplashBidNoticeAbstractUI.aspx?menuIndex=3&amp;refID=7077767&amp;Result=3","7077767")</f>
        <v>0</v>
      </c>
      <c r="B3189" t="s">
        <v>63</v>
      </c>
      <c r="C3189" t="s">
        <v>6465</v>
      </c>
      <c r="E3189" t="s">
        <v>20284</v>
      </c>
      <c r="F3189" t="s">
        <v>30052</v>
      </c>
      <c r="G3189" t="s">
        <v>30059</v>
      </c>
      <c r="H3189" t="s">
        <v>15498</v>
      </c>
      <c r="I3189" t="s">
        <v>30095</v>
      </c>
      <c r="J3189" t="s">
        <v>30277</v>
      </c>
      <c r="K3189" t="s">
        <v>39025</v>
      </c>
      <c r="M3189" t="s">
        <v>39352</v>
      </c>
      <c r="N3189" t="s">
        <v>43166</v>
      </c>
      <c r="O3189" t="s">
        <v>43167</v>
      </c>
      <c r="P3189">
        <v>0</v>
      </c>
      <c r="Q3189">
        <v>1</v>
      </c>
      <c r="R3189" t="s">
        <v>43171</v>
      </c>
      <c r="S3189" t="s">
        <v>43311</v>
      </c>
      <c r="T3189" t="s">
        <v>44844</v>
      </c>
      <c r="U3189" t="s">
        <v>47652</v>
      </c>
      <c r="W3189" t="s">
        <v>39352</v>
      </c>
      <c r="X3189" t="s">
        <v>43174</v>
      </c>
    </row>
    <row r="3190" spans="1:24">
      <c r="A3190">
        <f>HYPERLINK("https://www.philgeps.gov.ph/GEPSNONPILOT/Tender/SplashBidNoticeAbstractUI.aspx?menuIndex=3&amp;refID=7078025&amp;Result=3","7078025")</f>
        <v>0</v>
      </c>
      <c r="B3190" t="s">
        <v>1197</v>
      </c>
      <c r="C3190" t="s">
        <v>6466</v>
      </c>
      <c r="D3190" t="s">
        <v>17463</v>
      </c>
      <c r="E3190" t="s">
        <v>20285</v>
      </c>
      <c r="F3190" t="s">
        <v>30052</v>
      </c>
      <c r="G3190" t="s">
        <v>30059</v>
      </c>
      <c r="H3190" t="s">
        <v>15498</v>
      </c>
      <c r="I3190" t="s">
        <v>30073</v>
      </c>
      <c r="J3190" t="s">
        <v>32330</v>
      </c>
      <c r="K3190" t="s">
        <v>39031</v>
      </c>
      <c r="M3190" t="s">
        <v>40550</v>
      </c>
      <c r="N3190" t="s">
        <v>43166</v>
      </c>
      <c r="O3190" t="s">
        <v>43167</v>
      </c>
      <c r="P3190">
        <v>0</v>
      </c>
      <c r="Q3190">
        <v>1</v>
      </c>
      <c r="R3190" t="s">
        <v>43171</v>
      </c>
      <c r="S3190" t="s">
        <v>43311</v>
      </c>
      <c r="T3190" t="s">
        <v>44716</v>
      </c>
      <c r="U3190" t="s">
        <v>47813</v>
      </c>
      <c r="W3190" t="s">
        <v>40550</v>
      </c>
      <c r="X3190" t="s">
        <v>43174</v>
      </c>
    </row>
    <row r="3191" spans="1:24">
      <c r="A3191">
        <f>HYPERLINK("https://www.philgeps.gov.ph/GEPSNONPILOT/Tender/SplashBidNoticeAbstractUI.aspx?menuIndex=3&amp;refID=7073060&amp;Result=3","7073060")</f>
        <v>0</v>
      </c>
      <c r="B3191" t="s">
        <v>1198</v>
      </c>
      <c r="C3191" t="s">
        <v>6467</v>
      </c>
      <c r="D3191" t="s">
        <v>17415</v>
      </c>
      <c r="E3191" t="s">
        <v>20286</v>
      </c>
      <c r="F3191" t="s">
        <v>30052</v>
      </c>
      <c r="G3191" t="s">
        <v>30059</v>
      </c>
      <c r="H3191" t="s">
        <v>15498</v>
      </c>
      <c r="I3191" t="s">
        <v>30100</v>
      </c>
      <c r="J3191" t="s">
        <v>30230</v>
      </c>
      <c r="K3191" t="s">
        <v>39034</v>
      </c>
      <c r="M3191" t="s">
        <v>40551</v>
      </c>
      <c r="N3191" t="s">
        <v>43166</v>
      </c>
      <c r="O3191" t="s">
        <v>43167</v>
      </c>
      <c r="P3191">
        <v>0</v>
      </c>
      <c r="Q3191">
        <v>3</v>
      </c>
      <c r="R3191" t="s">
        <v>43171</v>
      </c>
      <c r="S3191" t="s">
        <v>43311</v>
      </c>
      <c r="T3191" t="s">
        <v>44888</v>
      </c>
      <c r="U3191" t="s">
        <v>47814</v>
      </c>
      <c r="V3191" t="s">
        <v>57128</v>
      </c>
      <c r="W3191" t="s">
        <v>40551</v>
      </c>
      <c r="X3191" t="s">
        <v>43176</v>
      </c>
    </row>
    <row r="3192" spans="1:24">
      <c r="A3192">
        <f>HYPERLINK("https://www.philgeps.gov.ph/GEPSNONPILOT/Tender/SplashBidNoticeAbstractUI.aspx?menuIndex=3&amp;refID=7078238&amp;Result=3","7078238")</f>
        <v>0</v>
      </c>
      <c r="B3192" t="s">
        <v>1162</v>
      </c>
      <c r="C3192" t="s">
        <v>6468</v>
      </c>
      <c r="D3192" t="s">
        <v>17472</v>
      </c>
      <c r="E3192" t="s">
        <v>20287</v>
      </c>
      <c r="F3192" t="s">
        <v>30052</v>
      </c>
      <c r="G3192" t="s">
        <v>30058</v>
      </c>
      <c r="H3192" t="s">
        <v>15498</v>
      </c>
      <c r="I3192" t="s">
        <v>30169</v>
      </c>
      <c r="J3192" t="s">
        <v>30532</v>
      </c>
      <c r="K3192" t="s">
        <v>39025</v>
      </c>
      <c r="M3192" t="s">
        <v>40508</v>
      </c>
      <c r="N3192" t="s">
        <v>43166</v>
      </c>
      <c r="O3192" t="s">
        <v>43167</v>
      </c>
      <c r="P3192">
        <v>0</v>
      </c>
      <c r="Q3192">
        <v>4</v>
      </c>
      <c r="R3192" t="s">
        <v>43171</v>
      </c>
      <c r="S3192" t="s">
        <v>43311</v>
      </c>
      <c r="T3192" t="s">
        <v>44703</v>
      </c>
      <c r="U3192" t="s">
        <v>47815</v>
      </c>
      <c r="W3192" t="s">
        <v>40508</v>
      </c>
      <c r="X3192" t="s">
        <v>43174</v>
      </c>
    </row>
    <row r="3193" spans="1:24">
      <c r="A3193">
        <f>HYPERLINK("https://www.philgeps.gov.ph/GEPSNONPILOT/Tender/SplashBidNoticeAbstractUI.aspx?menuIndex=3&amp;refID=7072823&amp;Result=3","7072823")</f>
        <v>0</v>
      </c>
      <c r="B3193" t="s">
        <v>1140</v>
      </c>
      <c r="C3193" t="s">
        <v>6263</v>
      </c>
      <c r="D3193" t="s">
        <v>17458</v>
      </c>
      <c r="E3193" t="s">
        <v>18342</v>
      </c>
      <c r="F3193" t="s">
        <v>30052</v>
      </c>
      <c r="G3193" t="s">
        <v>30061</v>
      </c>
      <c r="H3193" t="s">
        <v>15498</v>
      </c>
      <c r="I3193" t="s">
        <v>30085</v>
      </c>
      <c r="J3193" t="s">
        <v>32331</v>
      </c>
      <c r="K3193" t="s">
        <v>39036</v>
      </c>
      <c r="M3193" t="s">
        <v>40483</v>
      </c>
      <c r="N3193" t="s">
        <v>43166</v>
      </c>
      <c r="O3193" t="s">
        <v>43167</v>
      </c>
      <c r="P3193">
        <v>0</v>
      </c>
      <c r="Q3193">
        <v>0</v>
      </c>
      <c r="R3193" t="s">
        <v>43171</v>
      </c>
      <c r="S3193" t="s">
        <v>43311</v>
      </c>
      <c r="T3193" t="s">
        <v>44734</v>
      </c>
      <c r="U3193" t="s">
        <v>47816</v>
      </c>
      <c r="W3193" t="s">
        <v>40483</v>
      </c>
      <c r="X3193" t="s">
        <v>43176</v>
      </c>
    </row>
    <row r="3194" spans="1:24">
      <c r="A3194">
        <f>HYPERLINK("https://www.philgeps.gov.ph/GEPSNONPILOT/Tender/SplashBidNoticeAbstractUI.aspx?menuIndex=3&amp;refID=7079230&amp;Result=3","7079230")</f>
        <v>0</v>
      </c>
      <c r="B3194" t="s">
        <v>658</v>
      </c>
      <c r="C3194" t="s">
        <v>6469</v>
      </c>
      <c r="D3194" t="s">
        <v>17460</v>
      </c>
      <c r="E3194" t="s">
        <v>20288</v>
      </c>
      <c r="F3194" t="s">
        <v>30052</v>
      </c>
      <c r="G3194" t="s">
        <v>30059</v>
      </c>
      <c r="H3194" t="s">
        <v>15498</v>
      </c>
      <c r="I3194" t="s">
        <v>9238</v>
      </c>
      <c r="J3194" t="s">
        <v>30292</v>
      </c>
      <c r="K3194" t="s">
        <v>39017</v>
      </c>
      <c r="M3194" t="s">
        <v>40517</v>
      </c>
      <c r="N3194" t="s">
        <v>43166</v>
      </c>
      <c r="O3194" t="s">
        <v>43167</v>
      </c>
      <c r="P3194">
        <v>0</v>
      </c>
      <c r="Q3194">
        <v>9</v>
      </c>
      <c r="R3194" t="s">
        <v>43171</v>
      </c>
      <c r="S3194" t="s">
        <v>43311</v>
      </c>
      <c r="T3194" t="s">
        <v>44787</v>
      </c>
      <c r="U3194" t="s">
        <v>47817</v>
      </c>
      <c r="V3194" t="s">
        <v>57169</v>
      </c>
      <c r="W3194" t="s">
        <v>40517</v>
      </c>
      <c r="X3194" t="s">
        <v>43173</v>
      </c>
    </row>
    <row r="3195" spans="1:24">
      <c r="A3195">
        <f>HYPERLINK("https://www.philgeps.gov.ph/GEPSNONPILOT/Tender/SplashBidNoticeAbstractUI.aspx?menuIndex=3&amp;refID=7087111&amp;Result=3","7087111")</f>
        <v>0</v>
      </c>
      <c r="B3195" t="s">
        <v>557</v>
      </c>
      <c r="C3195" t="s">
        <v>6470</v>
      </c>
      <c r="D3195" t="s">
        <v>17466</v>
      </c>
      <c r="E3195" t="s">
        <v>20289</v>
      </c>
      <c r="F3195" t="s">
        <v>30052</v>
      </c>
      <c r="G3195" t="s">
        <v>30059</v>
      </c>
      <c r="H3195" t="s">
        <v>15498</v>
      </c>
      <c r="I3195" t="s">
        <v>30134</v>
      </c>
      <c r="J3195" t="s">
        <v>32332</v>
      </c>
      <c r="K3195" t="s">
        <v>39025</v>
      </c>
      <c r="M3195" t="s">
        <v>39859</v>
      </c>
      <c r="N3195" t="s">
        <v>43166</v>
      </c>
      <c r="O3195" t="s">
        <v>43167</v>
      </c>
      <c r="P3195">
        <v>0</v>
      </c>
      <c r="Q3195">
        <v>0</v>
      </c>
      <c r="R3195" t="s">
        <v>43170</v>
      </c>
      <c r="S3195" t="s">
        <v>43297</v>
      </c>
      <c r="T3195" t="s">
        <v>44870</v>
      </c>
      <c r="U3195" t="s">
        <v>47818</v>
      </c>
      <c r="W3195" t="s">
        <v>39859</v>
      </c>
      <c r="X3195" t="s">
        <v>43171</v>
      </c>
    </row>
    <row r="3196" spans="1:24">
      <c r="A3196">
        <f>HYPERLINK("https://www.philgeps.gov.ph/GEPSNONPILOT/Tender/SplashBidNoticeAbstractUI.aspx?menuIndex=3&amp;refID=7087109&amp;Result=3","7087109")</f>
        <v>0</v>
      </c>
      <c r="B3196" t="s">
        <v>1199</v>
      </c>
      <c r="C3196" t="s">
        <v>6471</v>
      </c>
      <c r="D3196" t="s">
        <v>17456</v>
      </c>
      <c r="E3196" t="s">
        <v>17540</v>
      </c>
      <c r="F3196" t="s">
        <v>30052</v>
      </c>
      <c r="G3196" t="s">
        <v>30058</v>
      </c>
      <c r="H3196" t="s">
        <v>15498</v>
      </c>
      <c r="I3196" t="s">
        <v>3736</v>
      </c>
      <c r="J3196" t="s">
        <v>32333</v>
      </c>
      <c r="K3196" t="s">
        <v>39036</v>
      </c>
      <c r="M3196" t="s">
        <v>40552</v>
      </c>
      <c r="N3196" t="s">
        <v>43166</v>
      </c>
      <c r="O3196" t="s">
        <v>43167</v>
      </c>
      <c r="P3196">
        <v>0</v>
      </c>
      <c r="Q3196">
        <v>0</v>
      </c>
      <c r="R3196" t="s">
        <v>43170</v>
      </c>
      <c r="S3196" t="s">
        <v>43297</v>
      </c>
      <c r="T3196" t="s">
        <v>44724</v>
      </c>
      <c r="U3196" t="s">
        <v>47819</v>
      </c>
      <c r="W3196" t="s">
        <v>40552</v>
      </c>
      <c r="X3196" t="s">
        <v>43171</v>
      </c>
    </row>
    <row r="3197" spans="1:24">
      <c r="A3197">
        <f>HYPERLINK("https://www.philgeps.gov.ph/GEPSNONPILOT/Tender/SplashBidNoticeAbstractUI.aspx?menuIndex=3&amp;refID=7073929&amp;Result=3","7073929")</f>
        <v>0</v>
      </c>
      <c r="B3197" t="s">
        <v>175</v>
      </c>
      <c r="C3197" t="s">
        <v>6472</v>
      </c>
      <c r="D3197" t="s">
        <v>17476</v>
      </c>
      <c r="E3197" t="s">
        <v>20290</v>
      </c>
      <c r="F3197" t="s">
        <v>30052</v>
      </c>
      <c r="G3197" t="s">
        <v>30058</v>
      </c>
      <c r="H3197" t="s">
        <v>30067</v>
      </c>
      <c r="I3197" t="s">
        <v>3693</v>
      </c>
      <c r="J3197" t="s">
        <v>32334</v>
      </c>
      <c r="K3197" t="s">
        <v>39125</v>
      </c>
      <c r="M3197" t="s">
        <v>39464</v>
      </c>
      <c r="N3197" t="s">
        <v>43166</v>
      </c>
      <c r="O3197" t="s">
        <v>43167</v>
      </c>
      <c r="P3197">
        <v>0</v>
      </c>
      <c r="Q3197">
        <v>0</v>
      </c>
      <c r="R3197" t="s">
        <v>43171</v>
      </c>
      <c r="S3197" t="s">
        <v>43311</v>
      </c>
      <c r="T3197" t="s">
        <v>44752</v>
      </c>
      <c r="U3197" t="s">
        <v>47820</v>
      </c>
      <c r="V3197" t="s">
        <v>57190</v>
      </c>
      <c r="W3197" t="s">
        <v>39464</v>
      </c>
      <c r="X3197" t="s">
        <v>43175</v>
      </c>
    </row>
    <row r="3198" spans="1:24">
      <c r="A3198">
        <f>HYPERLINK("https://www.philgeps.gov.ph/GEPSNONPILOT/Tender/SplashBidNoticeAbstractUI.aspx?menuIndex=3&amp;refID=7087084&amp;Result=3","7087084")</f>
        <v>0</v>
      </c>
      <c r="B3198" t="s">
        <v>1200</v>
      </c>
      <c r="C3198" t="s">
        <v>6473</v>
      </c>
      <c r="D3198" t="s">
        <v>17415</v>
      </c>
      <c r="E3198" t="s">
        <v>17715</v>
      </c>
      <c r="F3198" t="s">
        <v>30052</v>
      </c>
      <c r="G3198" t="s">
        <v>30059</v>
      </c>
      <c r="H3198" t="s">
        <v>15498</v>
      </c>
      <c r="I3198" t="s">
        <v>3852</v>
      </c>
      <c r="J3198" t="s">
        <v>32335</v>
      </c>
      <c r="K3198" t="s">
        <v>39036</v>
      </c>
      <c r="M3198" t="s">
        <v>40553</v>
      </c>
      <c r="N3198" t="s">
        <v>43166</v>
      </c>
      <c r="O3198" t="s">
        <v>43167</v>
      </c>
      <c r="P3198">
        <v>0</v>
      </c>
      <c r="Q3198">
        <v>1</v>
      </c>
      <c r="R3198" t="s">
        <v>43170</v>
      </c>
      <c r="S3198" t="s">
        <v>43297</v>
      </c>
      <c r="T3198" t="s">
        <v>44696</v>
      </c>
      <c r="U3198" t="s">
        <v>47821</v>
      </c>
      <c r="V3198" t="s">
        <v>56940</v>
      </c>
      <c r="W3198" t="s">
        <v>40553</v>
      </c>
      <c r="X3198" t="s">
        <v>43171</v>
      </c>
    </row>
    <row r="3199" spans="1:24">
      <c r="A3199">
        <f>HYPERLINK("https://www.philgeps.gov.ph/GEPSNONPILOT/Tender/SplashBidNoticeAbstractUI.aspx?menuIndex=3&amp;refID=7073057&amp;Result=3","7073057")</f>
        <v>0</v>
      </c>
      <c r="B3199" t="s">
        <v>1198</v>
      </c>
      <c r="C3199" t="s">
        <v>6474</v>
      </c>
      <c r="D3199" t="s">
        <v>17415</v>
      </c>
      <c r="E3199" t="s">
        <v>20291</v>
      </c>
      <c r="F3199" t="s">
        <v>30052</v>
      </c>
      <c r="G3199" t="s">
        <v>30059</v>
      </c>
      <c r="H3199" t="s">
        <v>15498</v>
      </c>
      <c r="I3199" t="s">
        <v>30115</v>
      </c>
      <c r="J3199" t="s">
        <v>32336</v>
      </c>
      <c r="K3199" t="s">
        <v>39034</v>
      </c>
      <c r="M3199" t="s">
        <v>40551</v>
      </c>
      <c r="N3199" t="s">
        <v>43166</v>
      </c>
      <c r="O3199" t="s">
        <v>43167</v>
      </c>
      <c r="P3199">
        <v>0</v>
      </c>
      <c r="Q3199">
        <v>1</v>
      </c>
      <c r="R3199" t="s">
        <v>43171</v>
      </c>
      <c r="S3199" t="s">
        <v>43311</v>
      </c>
      <c r="T3199" t="s">
        <v>44888</v>
      </c>
      <c r="U3199" t="s">
        <v>47822</v>
      </c>
      <c r="V3199" t="s">
        <v>57128</v>
      </c>
      <c r="W3199" t="s">
        <v>40551</v>
      </c>
      <c r="X3199" t="s">
        <v>43176</v>
      </c>
    </row>
    <row r="3200" spans="1:24">
      <c r="A3200">
        <f>HYPERLINK("https://www.philgeps.gov.ph/GEPSNONPILOT/Tender/SplashBidNoticeAbstractUI.aspx?menuIndex=3&amp;refID=7087082&amp;Result=3","7087082")</f>
        <v>0</v>
      </c>
      <c r="B3200" t="s">
        <v>199</v>
      </c>
      <c r="C3200" t="s">
        <v>6475</v>
      </c>
      <c r="D3200" t="s">
        <v>17415</v>
      </c>
      <c r="E3200" t="s">
        <v>20292</v>
      </c>
      <c r="F3200" t="s">
        <v>30052</v>
      </c>
      <c r="G3200" t="s">
        <v>30060</v>
      </c>
      <c r="H3200" t="s">
        <v>15498</v>
      </c>
      <c r="I3200" t="s">
        <v>6304</v>
      </c>
      <c r="J3200" t="s">
        <v>32337</v>
      </c>
      <c r="K3200" t="s">
        <v>39031</v>
      </c>
      <c r="M3200" t="s">
        <v>40554</v>
      </c>
      <c r="N3200" t="s">
        <v>43166</v>
      </c>
      <c r="O3200" t="s">
        <v>43167</v>
      </c>
      <c r="P3200">
        <v>0</v>
      </c>
      <c r="Q3200">
        <v>0</v>
      </c>
      <c r="R3200" t="s">
        <v>43170</v>
      </c>
      <c r="S3200" t="s">
        <v>43297</v>
      </c>
      <c r="T3200" t="s">
        <v>44818</v>
      </c>
      <c r="U3200" t="s">
        <v>47823</v>
      </c>
      <c r="W3200" t="s">
        <v>40554</v>
      </c>
      <c r="X3200" t="s">
        <v>43171</v>
      </c>
    </row>
    <row r="3201" spans="1:24">
      <c r="A3201">
        <f>HYPERLINK("https://www.philgeps.gov.ph/GEPSNONPILOT/Tender/SplashBidNoticeAbstractUI.aspx?menuIndex=3&amp;refID=7074323&amp;Result=3","7074323")</f>
        <v>0</v>
      </c>
      <c r="B3201" t="s">
        <v>1201</v>
      </c>
      <c r="C3201" t="s">
        <v>6476</v>
      </c>
      <c r="D3201" t="s">
        <v>17455</v>
      </c>
      <c r="E3201" t="s">
        <v>20293</v>
      </c>
      <c r="F3201" t="s">
        <v>30052</v>
      </c>
      <c r="G3201" t="s">
        <v>30058</v>
      </c>
      <c r="H3201" t="s">
        <v>15498</v>
      </c>
      <c r="I3201" t="s">
        <v>3852</v>
      </c>
      <c r="J3201" t="s">
        <v>30397</v>
      </c>
      <c r="K3201" t="s">
        <v>39017</v>
      </c>
      <c r="M3201" t="s">
        <v>40555</v>
      </c>
      <c r="N3201" t="s">
        <v>43166</v>
      </c>
      <c r="O3201" t="s">
        <v>43167</v>
      </c>
      <c r="P3201">
        <v>0</v>
      </c>
      <c r="Q3201">
        <v>3</v>
      </c>
      <c r="R3201" t="s">
        <v>43171</v>
      </c>
      <c r="S3201" t="s">
        <v>43311</v>
      </c>
      <c r="T3201" t="s">
        <v>44684</v>
      </c>
      <c r="U3201" t="s">
        <v>47824</v>
      </c>
      <c r="W3201" t="s">
        <v>40555</v>
      </c>
      <c r="X3201" t="s">
        <v>43175</v>
      </c>
    </row>
    <row r="3202" spans="1:24">
      <c r="A3202">
        <f>HYPERLINK("https://www.philgeps.gov.ph/GEPSNONPILOT/Tender/SplashBidNoticeAbstractUI.aspx?menuIndex=3&amp;refID=7087110&amp;Result=3","7087110")</f>
        <v>0</v>
      </c>
      <c r="B3202" t="s">
        <v>1123</v>
      </c>
      <c r="C3202" t="s">
        <v>6477</v>
      </c>
      <c r="D3202" t="s">
        <v>17464</v>
      </c>
      <c r="E3202" t="s">
        <v>20294</v>
      </c>
      <c r="F3202" t="s">
        <v>30052</v>
      </c>
      <c r="G3202" t="s">
        <v>30058</v>
      </c>
      <c r="H3202" t="s">
        <v>15498</v>
      </c>
      <c r="I3202" t="s">
        <v>30083</v>
      </c>
      <c r="J3202" t="s">
        <v>32307</v>
      </c>
      <c r="K3202" t="s">
        <v>39026</v>
      </c>
      <c r="M3202" t="s">
        <v>40463</v>
      </c>
      <c r="N3202" t="s">
        <v>43166</v>
      </c>
      <c r="O3202" t="s">
        <v>43167</v>
      </c>
      <c r="P3202">
        <v>0</v>
      </c>
      <c r="Q3202">
        <v>3</v>
      </c>
      <c r="R3202" t="s">
        <v>43170</v>
      </c>
      <c r="S3202" t="s">
        <v>43297</v>
      </c>
      <c r="T3202" t="s">
        <v>44952</v>
      </c>
      <c r="U3202" t="s">
        <v>47825</v>
      </c>
      <c r="W3202" t="s">
        <v>40463</v>
      </c>
      <c r="X3202" t="s">
        <v>43171</v>
      </c>
    </row>
    <row r="3203" spans="1:24">
      <c r="A3203">
        <f>HYPERLINK("https://www.philgeps.gov.ph/GEPSNONPILOT/Tender/SplashBidNoticeAbstractUI.aspx?menuIndex=3&amp;refID=7086706&amp;Result=3","7086706")</f>
        <v>0</v>
      </c>
      <c r="B3203" t="s">
        <v>141</v>
      </c>
      <c r="C3203" t="s">
        <v>6478</v>
      </c>
      <c r="D3203" t="s">
        <v>17476</v>
      </c>
      <c r="E3203" t="s">
        <v>20295</v>
      </c>
      <c r="F3203" t="s">
        <v>30052</v>
      </c>
      <c r="G3203" t="s">
        <v>30059</v>
      </c>
      <c r="H3203" t="s">
        <v>15498</v>
      </c>
      <c r="I3203" t="s">
        <v>30100</v>
      </c>
      <c r="J3203" t="s">
        <v>32338</v>
      </c>
      <c r="K3203" t="s">
        <v>39017</v>
      </c>
      <c r="M3203" t="s">
        <v>40426</v>
      </c>
      <c r="N3203" t="s">
        <v>43166</v>
      </c>
      <c r="O3203" t="s">
        <v>43167</v>
      </c>
      <c r="P3203">
        <v>0</v>
      </c>
      <c r="Q3203">
        <v>0</v>
      </c>
      <c r="R3203" t="s">
        <v>43170</v>
      </c>
      <c r="S3203" t="s">
        <v>43297</v>
      </c>
      <c r="T3203" t="s">
        <v>44843</v>
      </c>
      <c r="U3203" t="s">
        <v>47826</v>
      </c>
      <c r="W3203" t="s">
        <v>40426</v>
      </c>
      <c r="X3203" t="s">
        <v>43171</v>
      </c>
    </row>
    <row r="3204" spans="1:24">
      <c r="A3204">
        <f>HYPERLINK("https://www.philgeps.gov.ph/GEPSNONPILOT/Tender/SplashBidNoticeAbstractUI.aspx?menuIndex=3&amp;refID=7087083&amp;Result=3","7087083")</f>
        <v>0</v>
      </c>
      <c r="B3204" t="s">
        <v>331</v>
      </c>
      <c r="C3204" t="s">
        <v>6479</v>
      </c>
      <c r="D3204" t="s">
        <v>17415</v>
      </c>
      <c r="E3204" t="s">
        <v>20296</v>
      </c>
      <c r="F3204" t="s">
        <v>30052</v>
      </c>
      <c r="G3204" t="s">
        <v>30059</v>
      </c>
      <c r="H3204" t="s">
        <v>15498</v>
      </c>
      <c r="I3204" t="s">
        <v>4642</v>
      </c>
      <c r="J3204" t="s">
        <v>30600</v>
      </c>
      <c r="K3204" t="s">
        <v>39048</v>
      </c>
      <c r="M3204" t="s">
        <v>39627</v>
      </c>
      <c r="N3204" t="s">
        <v>43166</v>
      </c>
      <c r="O3204" t="s">
        <v>43167</v>
      </c>
      <c r="P3204">
        <v>0</v>
      </c>
      <c r="Q3204">
        <v>1</v>
      </c>
      <c r="R3204" t="s">
        <v>43170</v>
      </c>
      <c r="S3204" t="s">
        <v>43297</v>
      </c>
      <c r="T3204" t="s">
        <v>44705</v>
      </c>
      <c r="U3204" t="s">
        <v>47827</v>
      </c>
      <c r="V3204" t="s">
        <v>56898</v>
      </c>
      <c r="W3204" t="s">
        <v>39627</v>
      </c>
      <c r="X3204" t="s">
        <v>43171</v>
      </c>
    </row>
    <row r="3205" spans="1:24">
      <c r="A3205">
        <f>HYPERLINK("https://www.philgeps.gov.ph/GEPSNONPILOT/Tender/SplashBidNoticeAbstractUI.aspx?menuIndex=3&amp;refID=7078040&amp;Result=3","7078040")</f>
        <v>0</v>
      </c>
      <c r="B3205" t="s">
        <v>1142</v>
      </c>
      <c r="C3205" t="s">
        <v>6480</v>
      </c>
      <c r="E3205" t="s">
        <v>20297</v>
      </c>
      <c r="F3205" t="s">
        <v>30052</v>
      </c>
      <c r="G3205" t="s">
        <v>30058</v>
      </c>
      <c r="H3205" t="s">
        <v>15498</v>
      </c>
      <c r="I3205" t="s">
        <v>30130</v>
      </c>
      <c r="J3205" t="s">
        <v>32339</v>
      </c>
      <c r="K3205" t="s">
        <v>39025</v>
      </c>
      <c r="M3205" t="s">
        <v>40485</v>
      </c>
      <c r="N3205" t="s">
        <v>43166</v>
      </c>
      <c r="O3205" t="s">
        <v>43167</v>
      </c>
      <c r="P3205">
        <v>0</v>
      </c>
      <c r="Q3205">
        <v>8</v>
      </c>
      <c r="R3205" t="s">
        <v>43171</v>
      </c>
      <c r="S3205" t="s">
        <v>43311</v>
      </c>
      <c r="T3205" t="s">
        <v>44752</v>
      </c>
      <c r="U3205" t="s">
        <v>47828</v>
      </c>
      <c r="W3205" t="s">
        <v>40485</v>
      </c>
      <c r="X3205" t="s">
        <v>43174</v>
      </c>
    </row>
    <row r="3206" spans="1:24">
      <c r="A3206">
        <f>HYPERLINK("https://www.philgeps.gov.ph/GEPSNONPILOT/Tender/SplashBidNoticeAbstractUI.aspx?menuIndex=3&amp;refID=7087080&amp;Result=3","7087080")</f>
        <v>0</v>
      </c>
      <c r="B3206" t="s">
        <v>1202</v>
      </c>
      <c r="C3206" t="s">
        <v>6481</v>
      </c>
      <c r="E3206" t="s">
        <v>20298</v>
      </c>
      <c r="F3206" t="s">
        <v>30052</v>
      </c>
      <c r="G3206" t="s">
        <v>30059</v>
      </c>
      <c r="H3206" t="s">
        <v>15498</v>
      </c>
      <c r="I3206" t="s">
        <v>30084</v>
      </c>
      <c r="J3206" t="s">
        <v>32340</v>
      </c>
      <c r="K3206" t="s">
        <v>39025</v>
      </c>
      <c r="M3206" t="s">
        <v>40556</v>
      </c>
      <c r="N3206" t="s">
        <v>43166</v>
      </c>
      <c r="O3206" t="s">
        <v>43167</v>
      </c>
      <c r="P3206">
        <v>0</v>
      </c>
      <c r="Q3206">
        <v>14</v>
      </c>
      <c r="R3206" t="s">
        <v>43170</v>
      </c>
      <c r="S3206" t="s">
        <v>43297</v>
      </c>
      <c r="T3206" t="s">
        <v>44717</v>
      </c>
      <c r="U3206" t="s">
        <v>47829</v>
      </c>
      <c r="W3206" t="s">
        <v>40556</v>
      </c>
      <c r="X3206" t="s">
        <v>43171</v>
      </c>
    </row>
    <row r="3207" spans="1:24">
      <c r="A3207">
        <f>HYPERLINK("https://www.philgeps.gov.ph/GEPSNONPILOT/Tender/SplashBidNoticeAbstractUI.aspx?menuIndex=3&amp;refID=7087077&amp;Result=3","7087077")</f>
        <v>0</v>
      </c>
      <c r="B3207" t="s">
        <v>1123</v>
      </c>
      <c r="C3207" t="s">
        <v>6482</v>
      </c>
      <c r="D3207" t="s">
        <v>17464</v>
      </c>
      <c r="E3207" t="s">
        <v>20299</v>
      </c>
      <c r="F3207" t="s">
        <v>30052</v>
      </c>
      <c r="G3207" t="s">
        <v>30058</v>
      </c>
      <c r="H3207" t="s">
        <v>15498</v>
      </c>
      <c r="I3207" t="s">
        <v>30171</v>
      </c>
      <c r="J3207" t="s">
        <v>32341</v>
      </c>
      <c r="K3207" t="s">
        <v>39031</v>
      </c>
      <c r="M3207" t="s">
        <v>40463</v>
      </c>
      <c r="N3207" t="s">
        <v>43166</v>
      </c>
      <c r="O3207" t="s">
        <v>43167</v>
      </c>
      <c r="P3207">
        <v>0</v>
      </c>
      <c r="Q3207">
        <v>0</v>
      </c>
      <c r="R3207" t="s">
        <v>43170</v>
      </c>
      <c r="S3207" t="s">
        <v>43297</v>
      </c>
      <c r="T3207" t="s">
        <v>44684</v>
      </c>
      <c r="U3207" t="s">
        <v>47830</v>
      </c>
      <c r="W3207" t="s">
        <v>40463</v>
      </c>
      <c r="X3207" t="s">
        <v>43171</v>
      </c>
    </row>
    <row r="3208" spans="1:24">
      <c r="A3208">
        <f>HYPERLINK("https://www.philgeps.gov.ph/GEPSNONPILOT/Tender/SplashBidNoticeAbstractUI.aspx?menuIndex=3&amp;refID=7086678&amp;Result=3","7086678")</f>
        <v>0</v>
      </c>
      <c r="B3208" t="s">
        <v>1008</v>
      </c>
      <c r="C3208" t="s">
        <v>6483</v>
      </c>
      <c r="D3208" t="s">
        <v>17415</v>
      </c>
      <c r="E3208" t="s">
        <v>20300</v>
      </c>
      <c r="F3208" t="s">
        <v>30052</v>
      </c>
      <c r="G3208" t="s">
        <v>30059</v>
      </c>
      <c r="H3208" t="s">
        <v>15498</v>
      </c>
      <c r="I3208" t="s">
        <v>30078</v>
      </c>
      <c r="J3208" t="s">
        <v>32342</v>
      </c>
      <c r="K3208" t="s">
        <v>39019</v>
      </c>
      <c r="M3208" t="s">
        <v>40337</v>
      </c>
      <c r="N3208" t="s">
        <v>43166</v>
      </c>
      <c r="O3208" t="s">
        <v>43167</v>
      </c>
      <c r="P3208">
        <v>0</v>
      </c>
      <c r="Q3208">
        <v>1</v>
      </c>
      <c r="R3208" t="s">
        <v>43170</v>
      </c>
      <c r="S3208" t="s">
        <v>43297</v>
      </c>
      <c r="T3208" t="s">
        <v>44844</v>
      </c>
      <c r="U3208" t="s">
        <v>47831</v>
      </c>
      <c r="V3208" t="s">
        <v>57122</v>
      </c>
      <c r="W3208" t="s">
        <v>40337</v>
      </c>
      <c r="X3208" t="s">
        <v>43171</v>
      </c>
    </row>
    <row r="3209" spans="1:24">
      <c r="A3209">
        <f>HYPERLINK("https://www.philgeps.gov.ph/GEPSNONPILOT/Tender/SplashBidNoticeAbstractUI.aspx?menuIndex=3&amp;refID=7087075&amp;Result=3","7087075")</f>
        <v>0</v>
      </c>
      <c r="B3209" t="s">
        <v>556</v>
      </c>
      <c r="C3209" t="s">
        <v>6484</v>
      </c>
      <c r="D3209" t="s">
        <v>17480</v>
      </c>
      <c r="E3209" t="s">
        <v>20301</v>
      </c>
      <c r="F3209" t="s">
        <v>30052</v>
      </c>
      <c r="G3209" t="s">
        <v>30059</v>
      </c>
      <c r="H3209" t="s">
        <v>15498</v>
      </c>
      <c r="I3209" t="s">
        <v>3852</v>
      </c>
      <c r="J3209" t="s">
        <v>30916</v>
      </c>
      <c r="K3209" t="s">
        <v>39025</v>
      </c>
      <c r="M3209" t="s">
        <v>39858</v>
      </c>
      <c r="N3209" t="s">
        <v>43166</v>
      </c>
      <c r="O3209" t="s">
        <v>43167</v>
      </c>
      <c r="P3209">
        <v>0</v>
      </c>
      <c r="Q3209">
        <v>1</v>
      </c>
      <c r="R3209" t="s">
        <v>43170</v>
      </c>
      <c r="S3209" t="s">
        <v>43297</v>
      </c>
      <c r="T3209" t="s">
        <v>44870</v>
      </c>
      <c r="U3209" t="s">
        <v>47832</v>
      </c>
      <c r="W3209" t="s">
        <v>39858</v>
      </c>
      <c r="X3209" t="s">
        <v>43171</v>
      </c>
    </row>
    <row r="3210" spans="1:24">
      <c r="A3210">
        <f>HYPERLINK("https://www.philgeps.gov.ph/GEPSNONPILOT/Tender/SplashBidNoticeAbstractUI.aspx?menuIndex=3&amp;refID=7086674&amp;Result=3","7086674")</f>
        <v>0</v>
      </c>
      <c r="B3210" t="s">
        <v>1061</v>
      </c>
      <c r="C3210" t="s">
        <v>6485</v>
      </c>
      <c r="D3210" t="s">
        <v>17415</v>
      </c>
      <c r="E3210" t="s">
        <v>20302</v>
      </c>
      <c r="F3210" t="s">
        <v>30052</v>
      </c>
      <c r="G3210" t="s">
        <v>30059</v>
      </c>
      <c r="H3210" t="s">
        <v>30068</v>
      </c>
      <c r="I3210" t="s">
        <v>30068</v>
      </c>
      <c r="J3210" t="s">
        <v>30218</v>
      </c>
      <c r="K3210" t="s">
        <v>39025</v>
      </c>
      <c r="M3210" t="s">
        <v>40396</v>
      </c>
      <c r="N3210" t="s">
        <v>43166</v>
      </c>
      <c r="O3210" t="s">
        <v>43167</v>
      </c>
      <c r="P3210">
        <v>0</v>
      </c>
      <c r="Q3210">
        <v>2</v>
      </c>
      <c r="R3210" t="s">
        <v>43170</v>
      </c>
      <c r="S3210" t="s">
        <v>43297</v>
      </c>
      <c r="T3210" t="s">
        <v>44837</v>
      </c>
      <c r="U3210" t="s">
        <v>47833</v>
      </c>
      <c r="W3210" t="s">
        <v>40396</v>
      </c>
      <c r="X3210" t="s">
        <v>43171</v>
      </c>
    </row>
    <row r="3211" spans="1:24">
      <c r="A3211">
        <f>HYPERLINK("https://www.philgeps.gov.ph/GEPSNONPILOT/Tender/SplashBidNoticeAbstractUI.aspx?menuIndex=3&amp;refID=7086680&amp;Result=3","7086680")</f>
        <v>0</v>
      </c>
      <c r="B3211" t="s">
        <v>1203</v>
      </c>
      <c r="C3211" t="s">
        <v>6486</v>
      </c>
      <c r="D3211" t="s">
        <v>17420</v>
      </c>
      <c r="E3211" t="s">
        <v>20303</v>
      </c>
      <c r="F3211" t="s">
        <v>30052</v>
      </c>
      <c r="G3211" t="s">
        <v>30060</v>
      </c>
      <c r="H3211" t="s">
        <v>15498</v>
      </c>
      <c r="I3211" t="s">
        <v>30145</v>
      </c>
      <c r="J3211" t="s">
        <v>30299</v>
      </c>
      <c r="K3211" t="s">
        <v>39039</v>
      </c>
      <c r="M3211" t="s">
        <v>40557</v>
      </c>
      <c r="N3211" t="s">
        <v>43166</v>
      </c>
      <c r="O3211" t="s">
        <v>43167</v>
      </c>
      <c r="P3211">
        <v>0</v>
      </c>
      <c r="Q3211">
        <v>6</v>
      </c>
      <c r="R3211" t="s">
        <v>43170</v>
      </c>
      <c r="S3211" t="s">
        <v>43297</v>
      </c>
      <c r="T3211" t="s">
        <v>44679</v>
      </c>
      <c r="U3211" t="s">
        <v>47834</v>
      </c>
      <c r="W3211" t="s">
        <v>40557</v>
      </c>
      <c r="X3211" t="s">
        <v>43171</v>
      </c>
    </row>
    <row r="3212" spans="1:24">
      <c r="A3212">
        <f>HYPERLINK("https://www.philgeps.gov.ph/GEPSNONPILOT/Tender/SplashBidNoticeAbstractUI.aspx?menuIndex=3&amp;refID=7086677&amp;Result=3","7086677")</f>
        <v>0</v>
      </c>
      <c r="B3212" t="s">
        <v>1204</v>
      </c>
      <c r="C3212" t="s">
        <v>6487</v>
      </c>
      <c r="D3212" t="s">
        <v>17472</v>
      </c>
      <c r="E3212" t="s">
        <v>20304</v>
      </c>
      <c r="F3212" t="s">
        <v>30052</v>
      </c>
      <c r="G3212" t="s">
        <v>30058</v>
      </c>
      <c r="H3212" t="s">
        <v>15498</v>
      </c>
      <c r="I3212" t="s">
        <v>30074</v>
      </c>
      <c r="J3212" t="s">
        <v>32343</v>
      </c>
      <c r="K3212" t="s">
        <v>39019</v>
      </c>
      <c r="M3212" t="s">
        <v>40558</v>
      </c>
      <c r="N3212" t="s">
        <v>43166</v>
      </c>
      <c r="O3212" t="s">
        <v>43167</v>
      </c>
      <c r="P3212">
        <v>0</v>
      </c>
      <c r="Q3212">
        <v>1</v>
      </c>
      <c r="R3212" t="s">
        <v>43170</v>
      </c>
      <c r="S3212" t="s">
        <v>43297</v>
      </c>
      <c r="T3212" t="s">
        <v>44761</v>
      </c>
      <c r="U3212" t="s">
        <v>47835</v>
      </c>
      <c r="W3212" t="s">
        <v>40558</v>
      </c>
      <c r="X3212" t="s">
        <v>43171</v>
      </c>
    </row>
    <row r="3213" spans="1:24">
      <c r="A3213">
        <f>HYPERLINK("https://www.philgeps.gov.ph/GEPSNONPILOT/Tender/SplashBidNoticeAbstractUI.aspx?menuIndex=3&amp;refID=7086675&amp;Result=3","7086675")</f>
        <v>0</v>
      </c>
      <c r="B3213" t="s">
        <v>489</v>
      </c>
      <c r="C3213" t="s">
        <v>6488</v>
      </c>
      <c r="D3213" t="s">
        <v>17425</v>
      </c>
      <c r="E3213" t="s">
        <v>20305</v>
      </c>
      <c r="F3213" t="s">
        <v>30052</v>
      </c>
      <c r="G3213" t="s">
        <v>30061</v>
      </c>
      <c r="H3213" t="s">
        <v>15498</v>
      </c>
      <c r="I3213" t="s">
        <v>30084</v>
      </c>
      <c r="J3213" t="s">
        <v>31189</v>
      </c>
      <c r="K3213" t="s">
        <v>39017</v>
      </c>
      <c r="M3213" t="s">
        <v>39790</v>
      </c>
      <c r="N3213" t="s">
        <v>43166</v>
      </c>
      <c r="O3213" t="s">
        <v>43167</v>
      </c>
      <c r="P3213">
        <v>0</v>
      </c>
      <c r="Q3213">
        <v>2</v>
      </c>
      <c r="R3213" t="s">
        <v>43170</v>
      </c>
      <c r="S3213" t="s">
        <v>43297</v>
      </c>
      <c r="T3213" t="s">
        <v>44844</v>
      </c>
      <c r="U3213" t="s">
        <v>47836</v>
      </c>
      <c r="V3213" t="s">
        <v>57138</v>
      </c>
      <c r="W3213" t="s">
        <v>39790</v>
      </c>
      <c r="X3213" t="s">
        <v>43171</v>
      </c>
    </row>
    <row r="3214" spans="1:24">
      <c r="A3214">
        <f>HYPERLINK("https://www.philgeps.gov.ph/GEPSNONPILOT/Tender/SplashBidNoticeAbstractUI.aspx?menuIndex=3&amp;refID=7081097&amp;Result=3","7081097")</f>
        <v>0</v>
      </c>
      <c r="B3214" t="s">
        <v>1080</v>
      </c>
      <c r="C3214" t="s">
        <v>6489</v>
      </c>
      <c r="D3214" t="s">
        <v>17424</v>
      </c>
      <c r="E3214" t="s">
        <v>20306</v>
      </c>
      <c r="F3214" t="s">
        <v>30052</v>
      </c>
      <c r="G3214" t="s">
        <v>30058</v>
      </c>
      <c r="H3214" t="s">
        <v>30067</v>
      </c>
      <c r="I3214" t="s">
        <v>3693</v>
      </c>
      <c r="J3214" t="s">
        <v>32291</v>
      </c>
      <c r="K3214" t="s">
        <v>39057</v>
      </c>
      <c r="M3214" t="s">
        <v>40416</v>
      </c>
      <c r="N3214" t="s">
        <v>43166</v>
      </c>
      <c r="O3214" t="s">
        <v>43167</v>
      </c>
      <c r="P3214">
        <v>0</v>
      </c>
      <c r="Q3214">
        <v>16</v>
      </c>
      <c r="R3214" t="s">
        <v>43171</v>
      </c>
      <c r="S3214" t="s">
        <v>43311</v>
      </c>
      <c r="T3214" t="s">
        <v>44722</v>
      </c>
      <c r="U3214" t="s">
        <v>47761</v>
      </c>
      <c r="W3214" t="s">
        <v>40416</v>
      </c>
      <c r="X3214" t="s">
        <v>43173</v>
      </c>
    </row>
    <row r="3215" spans="1:24">
      <c r="A3215">
        <f>HYPERLINK("https://www.philgeps.gov.ph/GEPSNONPILOT/Tender/SplashBidNoticeAbstractUI.aspx?menuIndex=3&amp;refID=7086611&amp;Result=3","7086611")</f>
        <v>0</v>
      </c>
      <c r="B3215" t="s">
        <v>1059</v>
      </c>
      <c r="C3215" t="s">
        <v>6490</v>
      </c>
      <c r="D3215" t="s">
        <v>17432</v>
      </c>
      <c r="E3215" t="s">
        <v>20307</v>
      </c>
      <c r="F3215" t="s">
        <v>30052</v>
      </c>
      <c r="G3215" t="s">
        <v>30058</v>
      </c>
      <c r="H3215" t="s">
        <v>15498</v>
      </c>
      <c r="I3215" t="s">
        <v>30137</v>
      </c>
      <c r="J3215" t="s">
        <v>32344</v>
      </c>
      <c r="K3215" t="s">
        <v>39046</v>
      </c>
      <c r="M3215" t="s">
        <v>40394</v>
      </c>
      <c r="N3215" t="s">
        <v>43166</v>
      </c>
      <c r="O3215" t="s">
        <v>43167</v>
      </c>
      <c r="P3215">
        <v>0</v>
      </c>
      <c r="Q3215">
        <v>2</v>
      </c>
      <c r="R3215" t="s">
        <v>43170</v>
      </c>
      <c r="S3215" t="s">
        <v>43297</v>
      </c>
      <c r="T3215" t="s">
        <v>44924</v>
      </c>
      <c r="U3215" t="s">
        <v>47837</v>
      </c>
      <c r="V3215" t="s">
        <v>57136</v>
      </c>
      <c r="W3215" t="s">
        <v>40394</v>
      </c>
      <c r="X3215" t="s">
        <v>43171</v>
      </c>
    </row>
    <row r="3216" spans="1:24">
      <c r="A3216">
        <f>HYPERLINK("https://www.philgeps.gov.ph/GEPSNONPILOT/Tender/SplashBidNoticeAbstractUI.aspx?menuIndex=3&amp;refID=7086608&amp;Result=3","7086608")</f>
        <v>0</v>
      </c>
      <c r="B3216" t="s">
        <v>57</v>
      </c>
      <c r="C3216" t="s">
        <v>6491</v>
      </c>
      <c r="D3216" t="s">
        <v>17439</v>
      </c>
      <c r="E3216" t="s">
        <v>20308</v>
      </c>
      <c r="F3216" t="s">
        <v>30052</v>
      </c>
      <c r="G3216" t="s">
        <v>30059</v>
      </c>
      <c r="H3216" t="s">
        <v>15498</v>
      </c>
      <c r="I3216" t="s">
        <v>30100</v>
      </c>
      <c r="J3216" t="s">
        <v>31196</v>
      </c>
      <c r="K3216" t="s">
        <v>39025</v>
      </c>
      <c r="M3216" t="s">
        <v>39346</v>
      </c>
      <c r="N3216" t="s">
        <v>43166</v>
      </c>
      <c r="O3216" t="s">
        <v>43167</v>
      </c>
      <c r="P3216">
        <v>0</v>
      </c>
      <c r="Q3216">
        <v>4</v>
      </c>
      <c r="R3216" t="s">
        <v>43170</v>
      </c>
      <c r="S3216" t="s">
        <v>43297</v>
      </c>
      <c r="T3216" t="s">
        <v>44837</v>
      </c>
      <c r="U3216" t="s">
        <v>47838</v>
      </c>
      <c r="V3216" t="s">
        <v>57191</v>
      </c>
      <c r="W3216" t="s">
        <v>39346</v>
      </c>
      <c r="X3216" t="s">
        <v>43171</v>
      </c>
    </row>
    <row r="3217" spans="1:24">
      <c r="A3217">
        <f>HYPERLINK("https://www.philgeps.gov.ph/GEPSNONPILOT/Tender/SplashBidNoticeAbstractUI.aspx?menuIndex=3&amp;refID=7086641&amp;Result=3","7086641")</f>
        <v>0</v>
      </c>
      <c r="B3217" t="s">
        <v>1205</v>
      </c>
      <c r="C3217" t="s">
        <v>6492</v>
      </c>
      <c r="D3217" t="s">
        <v>17453</v>
      </c>
      <c r="E3217" t="s">
        <v>18384</v>
      </c>
      <c r="F3217" t="s">
        <v>30052</v>
      </c>
      <c r="G3217" t="s">
        <v>30059</v>
      </c>
      <c r="H3217" t="s">
        <v>15498</v>
      </c>
      <c r="I3217" t="s">
        <v>30106</v>
      </c>
      <c r="J3217" t="s">
        <v>32345</v>
      </c>
      <c r="K3217" t="s">
        <v>39019</v>
      </c>
      <c r="M3217" t="s">
        <v>40559</v>
      </c>
      <c r="N3217" t="s">
        <v>43166</v>
      </c>
      <c r="O3217" t="s">
        <v>43167</v>
      </c>
      <c r="P3217">
        <v>0</v>
      </c>
      <c r="Q3217">
        <v>2</v>
      </c>
      <c r="R3217" t="s">
        <v>43170</v>
      </c>
      <c r="S3217" t="s">
        <v>43297</v>
      </c>
      <c r="T3217" t="s">
        <v>44832</v>
      </c>
      <c r="U3217" t="s">
        <v>47839</v>
      </c>
      <c r="V3217" t="s">
        <v>57192</v>
      </c>
      <c r="W3217" t="s">
        <v>40559</v>
      </c>
      <c r="X3217" t="s">
        <v>43171</v>
      </c>
    </row>
    <row r="3218" spans="1:24">
      <c r="A3218">
        <f>HYPERLINK("https://www.philgeps.gov.ph/GEPSNONPILOT/Tender/SplashBidNoticeAbstractUI.aspx?menuIndex=3&amp;refID=7086639&amp;Result=3","7086639")</f>
        <v>0</v>
      </c>
      <c r="B3218" t="s">
        <v>1061</v>
      </c>
      <c r="C3218" t="s">
        <v>6493</v>
      </c>
      <c r="D3218" t="s">
        <v>17415</v>
      </c>
      <c r="E3218" t="s">
        <v>20309</v>
      </c>
      <c r="F3218" t="s">
        <v>30052</v>
      </c>
      <c r="G3218" t="s">
        <v>30059</v>
      </c>
      <c r="H3218" t="s">
        <v>15498</v>
      </c>
      <c r="I3218" t="s">
        <v>30090</v>
      </c>
      <c r="J3218" t="s">
        <v>30358</v>
      </c>
      <c r="K3218" t="s">
        <v>39025</v>
      </c>
      <c r="M3218" t="s">
        <v>40396</v>
      </c>
      <c r="N3218" t="s">
        <v>43166</v>
      </c>
      <c r="O3218" t="s">
        <v>43167</v>
      </c>
      <c r="P3218">
        <v>0</v>
      </c>
      <c r="Q3218">
        <v>0</v>
      </c>
      <c r="R3218" t="s">
        <v>43170</v>
      </c>
      <c r="S3218" t="s">
        <v>43297</v>
      </c>
      <c r="T3218" t="s">
        <v>44837</v>
      </c>
      <c r="U3218" t="s">
        <v>47840</v>
      </c>
      <c r="W3218" t="s">
        <v>40396</v>
      </c>
      <c r="X3218" t="s">
        <v>43171</v>
      </c>
    </row>
    <row r="3219" spans="1:24">
      <c r="A3219">
        <f>HYPERLINK("https://www.philgeps.gov.ph/GEPSNONPILOT/Tender/SplashBidNoticeAbstractUI.aspx?menuIndex=3&amp;refID=7086606&amp;Result=3","7086606")</f>
        <v>0</v>
      </c>
      <c r="B3219" t="s">
        <v>1050</v>
      </c>
      <c r="C3219" t="s">
        <v>6494</v>
      </c>
      <c r="D3219" t="s">
        <v>17420</v>
      </c>
      <c r="E3219" t="s">
        <v>20310</v>
      </c>
      <c r="F3219" t="s">
        <v>30052</v>
      </c>
      <c r="G3219" t="s">
        <v>30058</v>
      </c>
      <c r="H3219" t="s">
        <v>30067</v>
      </c>
      <c r="I3219" t="s">
        <v>3693</v>
      </c>
      <c r="J3219" t="s">
        <v>32346</v>
      </c>
      <c r="K3219" t="s">
        <v>39046</v>
      </c>
      <c r="M3219" t="s">
        <v>40383</v>
      </c>
      <c r="N3219" t="s">
        <v>43166</v>
      </c>
      <c r="O3219" t="s">
        <v>43167</v>
      </c>
      <c r="P3219">
        <v>0</v>
      </c>
      <c r="Q3219">
        <v>0</v>
      </c>
      <c r="R3219" t="s">
        <v>43170</v>
      </c>
      <c r="S3219" t="s">
        <v>43297</v>
      </c>
      <c r="T3219" t="s">
        <v>44733</v>
      </c>
      <c r="U3219" t="s">
        <v>47841</v>
      </c>
      <c r="W3219" t="s">
        <v>40383</v>
      </c>
      <c r="X3219" t="s">
        <v>43171</v>
      </c>
    </row>
    <row r="3220" spans="1:24">
      <c r="A3220">
        <f>HYPERLINK("https://www.philgeps.gov.ph/GEPSNONPILOT/Tender/SplashBidNoticeAbstractUI.aspx?menuIndex=3&amp;refID=7081629&amp;Result=3","7081629")</f>
        <v>0</v>
      </c>
      <c r="B3220" t="s">
        <v>1206</v>
      </c>
      <c r="C3220" t="s">
        <v>6495</v>
      </c>
      <c r="D3220" t="s">
        <v>17501</v>
      </c>
      <c r="E3220" t="s">
        <v>20311</v>
      </c>
      <c r="F3220" t="s">
        <v>30052</v>
      </c>
      <c r="G3220" t="s">
        <v>30058</v>
      </c>
      <c r="H3220" t="s">
        <v>15498</v>
      </c>
      <c r="I3220" t="s">
        <v>30076</v>
      </c>
      <c r="J3220" t="s">
        <v>32347</v>
      </c>
      <c r="K3220" t="s">
        <v>39126</v>
      </c>
      <c r="M3220" t="s">
        <v>40560</v>
      </c>
      <c r="N3220" t="s">
        <v>43166</v>
      </c>
      <c r="O3220" t="s">
        <v>43167</v>
      </c>
      <c r="P3220">
        <v>0</v>
      </c>
      <c r="Q3220">
        <v>7</v>
      </c>
      <c r="R3220" t="s">
        <v>43171</v>
      </c>
      <c r="S3220" t="s">
        <v>43311</v>
      </c>
      <c r="T3220" t="s">
        <v>44953</v>
      </c>
      <c r="U3220" t="s">
        <v>47842</v>
      </c>
      <c r="W3220" t="s">
        <v>40560</v>
      </c>
      <c r="X3220" t="s">
        <v>43173</v>
      </c>
    </row>
    <row r="3221" spans="1:24">
      <c r="A3221">
        <f>HYPERLINK("https://www.philgeps.gov.ph/GEPSNONPILOT/Tender/SplashBidNoticeAbstractUI.aspx?menuIndex=3&amp;refID=7086672&amp;Result=3","7086672")</f>
        <v>0</v>
      </c>
      <c r="B3221" t="s">
        <v>1207</v>
      </c>
      <c r="C3221" t="s">
        <v>6496</v>
      </c>
      <c r="D3221" t="s">
        <v>17462</v>
      </c>
      <c r="E3221" t="s">
        <v>20312</v>
      </c>
      <c r="F3221" t="s">
        <v>30052</v>
      </c>
      <c r="G3221" t="s">
        <v>30059</v>
      </c>
      <c r="H3221" t="s">
        <v>15498</v>
      </c>
      <c r="I3221" t="s">
        <v>30100</v>
      </c>
      <c r="J3221" t="s">
        <v>30900</v>
      </c>
      <c r="K3221" t="s">
        <v>39025</v>
      </c>
      <c r="M3221" t="s">
        <v>40561</v>
      </c>
      <c r="N3221" t="s">
        <v>43166</v>
      </c>
      <c r="O3221" t="s">
        <v>43167</v>
      </c>
      <c r="P3221">
        <v>0</v>
      </c>
      <c r="Q3221">
        <v>4</v>
      </c>
      <c r="R3221" t="s">
        <v>43170</v>
      </c>
      <c r="S3221" t="s">
        <v>43297</v>
      </c>
      <c r="T3221" t="s">
        <v>44843</v>
      </c>
      <c r="U3221" t="s">
        <v>47843</v>
      </c>
      <c r="V3221" t="s">
        <v>57193</v>
      </c>
      <c r="W3221" t="s">
        <v>40561</v>
      </c>
      <c r="X3221" t="s">
        <v>43171</v>
      </c>
    </row>
    <row r="3222" spans="1:24">
      <c r="A3222">
        <f>HYPERLINK("https://www.philgeps.gov.ph/GEPSNONPILOT/Tender/SplashBidNoticeAbstractUI.aspx?menuIndex=3&amp;refID=7081713&amp;Result=3","7081713")</f>
        <v>0</v>
      </c>
      <c r="B3222" t="s">
        <v>1184</v>
      </c>
      <c r="C3222" t="s">
        <v>6497</v>
      </c>
      <c r="D3222" t="s">
        <v>17427</v>
      </c>
      <c r="E3222" t="s">
        <v>20313</v>
      </c>
      <c r="F3222" t="s">
        <v>30052</v>
      </c>
      <c r="G3222" t="s">
        <v>30059</v>
      </c>
      <c r="H3222" t="s">
        <v>15498</v>
      </c>
      <c r="I3222" t="s">
        <v>3852</v>
      </c>
      <c r="J3222" t="s">
        <v>32348</v>
      </c>
      <c r="K3222" t="s">
        <v>39046</v>
      </c>
      <c r="M3222" t="s">
        <v>40535</v>
      </c>
      <c r="N3222" t="s">
        <v>43166</v>
      </c>
      <c r="O3222" t="s">
        <v>43167</v>
      </c>
      <c r="P3222">
        <v>0</v>
      </c>
      <c r="Q3222">
        <v>3</v>
      </c>
      <c r="R3222" t="s">
        <v>43171</v>
      </c>
      <c r="S3222" t="s">
        <v>43311</v>
      </c>
      <c r="T3222" t="s">
        <v>44695</v>
      </c>
      <c r="U3222" t="s">
        <v>47844</v>
      </c>
      <c r="W3222" t="s">
        <v>40535</v>
      </c>
      <c r="X3222" t="s">
        <v>43173</v>
      </c>
    </row>
    <row r="3223" spans="1:24">
      <c r="A3223">
        <f>HYPERLINK("https://www.philgeps.gov.ph/GEPSNONPILOT/Tender/SplashBidNoticeAbstractUI.aspx?menuIndex=3&amp;refID=7081707&amp;Result=3","7081707")</f>
        <v>0</v>
      </c>
      <c r="B3223" t="s">
        <v>1208</v>
      </c>
      <c r="C3223" t="s">
        <v>6498</v>
      </c>
      <c r="D3223" t="s">
        <v>17441</v>
      </c>
      <c r="E3223" t="s">
        <v>20314</v>
      </c>
      <c r="F3223" t="s">
        <v>30052</v>
      </c>
      <c r="G3223" t="s">
        <v>30058</v>
      </c>
      <c r="H3223" t="s">
        <v>30067</v>
      </c>
      <c r="I3223" t="s">
        <v>3693</v>
      </c>
      <c r="J3223" t="s">
        <v>30277</v>
      </c>
      <c r="K3223" t="s">
        <v>39023</v>
      </c>
      <c r="L3223" t="s">
        <v>1208</v>
      </c>
      <c r="M3223" t="s">
        <v>40562</v>
      </c>
      <c r="N3223" t="s">
        <v>43166</v>
      </c>
      <c r="O3223" t="s">
        <v>43167</v>
      </c>
      <c r="P3223">
        <v>0</v>
      </c>
      <c r="Q3223">
        <v>5</v>
      </c>
      <c r="R3223" t="s">
        <v>43171</v>
      </c>
      <c r="S3223" t="s">
        <v>43311</v>
      </c>
      <c r="T3223" t="s">
        <v>44813</v>
      </c>
      <c r="U3223" t="s">
        <v>47845</v>
      </c>
      <c r="W3223" t="s">
        <v>40562</v>
      </c>
      <c r="X3223" t="s">
        <v>43173</v>
      </c>
    </row>
    <row r="3224" spans="1:24">
      <c r="A3224">
        <f>HYPERLINK("https://www.philgeps.gov.ph/GEPSNONPILOT/Tender/SplashBidNoticeAbstractUI.aspx?menuIndex=3&amp;refID=7081623&amp;Result=3","7081623")</f>
        <v>0</v>
      </c>
      <c r="B3224" t="s">
        <v>761</v>
      </c>
      <c r="C3224" t="s">
        <v>3459</v>
      </c>
      <c r="D3224" t="s">
        <v>17432</v>
      </c>
      <c r="E3224" t="s">
        <v>18728</v>
      </c>
      <c r="F3224" t="s">
        <v>30052</v>
      </c>
      <c r="G3224" t="s">
        <v>30062</v>
      </c>
      <c r="H3224" t="s">
        <v>15498</v>
      </c>
      <c r="I3224" t="s">
        <v>30070</v>
      </c>
      <c r="J3224" t="s">
        <v>30248</v>
      </c>
      <c r="K3224" t="s">
        <v>39017</v>
      </c>
      <c r="M3224" t="s">
        <v>40075</v>
      </c>
      <c r="N3224" t="s">
        <v>43166</v>
      </c>
      <c r="O3224" t="s">
        <v>43167</v>
      </c>
      <c r="P3224">
        <v>0</v>
      </c>
      <c r="Q3224">
        <v>0</v>
      </c>
      <c r="R3224" t="s">
        <v>43171</v>
      </c>
      <c r="S3224" t="s">
        <v>43311</v>
      </c>
      <c r="T3224" t="s">
        <v>44836</v>
      </c>
      <c r="U3224" t="s">
        <v>47846</v>
      </c>
      <c r="W3224" t="s">
        <v>40075</v>
      </c>
      <c r="X3224" t="s">
        <v>43173</v>
      </c>
    </row>
    <row r="3225" spans="1:24">
      <c r="A3225">
        <f>HYPERLINK("https://www.philgeps.gov.ph/GEPSNONPILOT/Tender/SplashBidNoticeAbstractUI.aspx?menuIndex=3&amp;refID=7081702&amp;Result=3","7081702")</f>
        <v>0</v>
      </c>
      <c r="B3225" t="s">
        <v>1208</v>
      </c>
      <c r="C3225" t="s">
        <v>6499</v>
      </c>
      <c r="D3225" t="s">
        <v>17441</v>
      </c>
      <c r="E3225" t="s">
        <v>20314</v>
      </c>
      <c r="F3225" t="s">
        <v>30052</v>
      </c>
      <c r="G3225" t="s">
        <v>30058</v>
      </c>
      <c r="H3225" t="s">
        <v>30067</v>
      </c>
      <c r="I3225" t="s">
        <v>3693</v>
      </c>
      <c r="J3225" t="s">
        <v>30277</v>
      </c>
      <c r="K3225" t="s">
        <v>39023</v>
      </c>
      <c r="L3225" t="s">
        <v>1208</v>
      </c>
      <c r="M3225" t="s">
        <v>40562</v>
      </c>
      <c r="N3225" t="s">
        <v>43166</v>
      </c>
      <c r="O3225" t="s">
        <v>43167</v>
      </c>
      <c r="P3225">
        <v>0</v>
      </c>
      <c r="Q3225">
        <v>6</v>
      </c>
      <c r="R3225" t="s">
        <v>43171</v>
      </c>
      <c r="S3225" t="s">
        <v>43311</v>
      </c>
      <c r="T3225" t="s">
        <v>44813</v>
      </c>
      <c r="U3225" t="s">
        <v>47845</v>
      </c>
      <c r="W3225" t="s">
        <v>40562</v>
      </c>
      <c r="X3225" t="s">
        <v>43173</v>
      </c>
    </row>
    <row r="3226" spans="1:24">
      <c r="A3226">
        <f>HYPERLINK("https://www.philgeps.gov.ph/GEPSNONPILOT/Tender/SplashBidNoticeAbstractUI.aspx?menuIndex=3&amp;refID=7081733&amp;Result=3","7081733")</f>
        <v>0</v>
      </c>
      <c r="B3226" t="s">
        <v>1184</v>
      </c>
      <c r="C3226" t="s">
        <v>6500</v>
      </c>
      <c r="D3226" t="s">
        <v>17427</v>
      </c>
      <c r="E3226" t="s">
        <v>20315</v>
      </c>
      <c r="F3226" t="s">
        <v>30052</v>
      </c>
      <c r="G3226" t="s">
        <v>30059</v>
      </c>
      <c r="H3226" t="s">
        <v>15498</v>
      </c>
      <c r="I3226" t="s">
        <v>3852</v>
      </c>
      <c r="J3226" t="s">
        <v>32349</v>
      </c>
      <c r="K3226" t="s">
        <v>39029</v>
      </c>
      <c r="M3226" t="s">
        <v>40535</v>
      </c>
      <c r="N3226" t="s">
        <v>43166</v>
      </c>
      <c r="O3226" t="s">
        <v>43167</v>
      </c>
      <c r="P3226">
        <v>0</v>
      </c>
      <c r="Q3226">
        <v>4</v>
      </c>
      <c r="R3226" t="s">
        <v>43171</v>
      </c>
      <c r="S3226" t="s">
        <v>43311</v>
      </c>
      <c r="T3226" t="s">
        <v>44695</v>
      </c>
      <c r="U3226" t="s">
        <v>47847</v>
      </c>
      <c r="W3226" t="s">
        <v>40535</v>
      </c>
      <c r="X3226" t="s">
        <v>43173</v>
      </c>
    </row>
    <row r="3227" spans="1:24">
      <c r="A3227">
        <f>HYPERLINK("https://www.philgeps.gov.ph/GEPSNONPILOT/Tender/SplashBidNoticeAbstractUI.aspx?menuIndex=3&amp;refID=7081685&amp;Result=3","7081685")</f>
        <v>0</v>
      </c>
      <c r="B3227" t="s">
        <v>1208</v>
      </c>
      <c r="C3227" t="s">
        <v>6501</v>
      </c>
      <c r="D3227" t="s">
        <v>17441</v>
      </c>
      <c r="E3227" t="s">
        <v>20314</v>
      </c>
      <c r="F3227" t="s">
        <v>30052</v>
      </c>
      <c r="G3227" t="s">
        <v>30058</v>
      </c>
      <c r="H3227" t="s">
        <v>30067</v>
      </c>
      <c r="I3227" t="s">
        <v>3693</v>
      </c>
      <c r="J3227" t="s">
        <v>30277</v>
      </c>
      <c r="K3227" t="s">
        <v>39023</v>
      </c>
      <c r="L3227" t="s">
        <v>1208</v>
      </c>
      <c r="M3227" t="s">
        <v>40562</v>
      </c>
      <c r="N3227" t="s">
        <v>43166</v>
      </c>
      <c r="O3227" t="s">
        <v>43167</v>
      </c>
      <c r="P3227">
        <v>0</v>
      </c>
      <c r="Q3227">
        <v>5</v>
      </c>
      <c r="R3227" t="s">
        <v>43171</v>
      </c>
      <c r="S3227" t="s">
        <v>43311</v>
      </c>
      <c r="T3227" t="s">
        <v>44873</v>
      </c>
      <c r="U3227" t="s">
        <v>47848</v>
      </c>
      <c r="W3227" t="s">
        <v>40562</v>
      </c>
      <c r="X3227" t="s">
        <v>43173</v>
      </c>
    </row>
    <row r="3228" spans="1:24">
      <c r="A3228">
        <f>HYPERLINK("https://www.philgeps.gov.ph/GEPSNONPILOT/Tender/SplashBidNoticeAbstractUI.aspx?menuIndex=3&amp;refID=7081732&amp;Result=3","7081732")</f>
        <v>0</v>
      </c>
      <c r="B3228" t="s">
        <v>1208</v>
      </c>
      <c r="C3228" t="s">
        <v>6502</v>
      </c>
      <c r="D3228" t="s">
        <v>17441</v>
      </c>
      <c r="E3228" t="s">
        <v>20314</v>
      </c>
      <c r="F3228" t="s">
        <v>30052</v>
      </c>
      <c r="G3228" t="s">
        <v>30058</v>
      </c>
      <c r="H3228" t="s">
        <v>30067</v>
      </c>
      <c r="I3228" t="s">
        <v>3693</v>
      </c>
      <c r="J3228" t="s">
        <v>30277</v>
      </c>
      <c r="K3228" t="s">
        <v>39023</v>
      </c>
      <c r="L3228" t="s">
        <v>1208</v>
      </c>
      <c r="M3228" t="s">
        <v>40562</v>
      </c>
      <c r="N3228" t="s">
        <v>43166</v>
      </c>
      <c r="O3228" t="s">
        <v>43167</v>
      </c>
      <c r="P3228">
        <v>0</v>
      </c>
      <c r="Q3228">
        <v>4</v>
      </c>
      <c r="R3228" t="s">
        <v>43171</v>
      </c>
      <c r="S3228" t="s">
        <v>43311</v>
      </c>
      <c r="T3228" t="s">
        <v>44813</v>
      </c>
      <c r="U3228" t="s">
        <v>47845</v>
      </c>
      <c r="W3228" t="s">
        <v>40562</v>
      </c>
      <c r="X3228" t="s">
        <v>43173</v>
      </c>
    </row>
    <row r="3229" spans="1:24">
      <c r="A3229">
        <f>HYPERLINK("https://www.philgeps.gov.ph/GEPSNONPILOT/Tender/SplashBidNoticeAbstractUI.aspx?menuIndex=3&amp;refID=7081665&amp;Result=3","7081665")</f>
        <v>0</v>
      </c>
      <c r="B3229" t="s">
        <v>1208</v>
      </c>
      <c r="C3229" t="s">
        <v>6503</v>
      </c>
      <c r="D3229" t="s">
        <v>17441</v>
      </c>
      <c r="E3229" t="s">
        <v>20314</v>
      </c>
      <c r="F3229" t="s">
        <v>30052</v>
      </c>
      <c r="G3229" t="s">
        <v>30058</v>
      </c>
      <c r="H3229" t="s">
        <v>30067</v>
      </c>
      <c r="I3229" t="s">
        <v>3693</v>
      </c>
      <c r="J3229" t="s">
        <v>30277</v>
      </c>
      <c r="K3229" t="s">
        <v>39023</v>
      </c>
      <c r="L3229" t="s">
        <v>1208</v>
      </c>
      <c r="M3229" t="s">
        <v>40562</v>
      </c>
      <c r="N3229" t="s">
        <v>43166</v>
      </c>
      <c r="O3229" t="s">
        <v>43167</v>
      </c>
      <c r="P3229">
        <v>0</v>
      </c>
      <c r="Q3229">
        <v>6</v>
      </c>
      <c r="R3229" t="s">
        <v>43171</v>
      </c>
      <c r="S3229" t="s">
        <v>43311</v>
      </c>
      <c r="T3229" t="s">
        <v>44813</v>
      </c>
      <c r="U3229" t="s">
        <v>47845</v>
      </c>
      <c r="W3229" t="s">
        <v>40562</v>
      </c>
      <c r="X3229" t="s">
        <v>43173</v>
      </c>
    </row>
    <row r="3230" spans="1:24">
      <c r="A3230">
        <f>HYPERLINK("https://www.philgeps.gov.ph/GEPSNONPILOT/Tender/SplashBidNoticeAbstractUI.aspx?menuIndex=3&amp;refID=7081657&amp;Result=3","7081657")</f>
        <v>0</v>
      </c>
      <c r="B3230" t="s">
        <v>1209</v>
      </c>
      <c r="C3230" t="s">
        <v>6504</v>
      </c>
      <c r="D3230" t="s">
        <v>17454</v>
      </c>
      <c r="E3230" t="s">
        <v>20316</v>
      </c>
      <c r="F3230" t="s">
        <v>30055</v>
      </c>
      <c r="G3230" t="s">
        <v>30058</v>
      </c>
      <c r="H3230" t="s">
        <v>15498</v>
      </c>
      <c r="I3230" t="s">
        <v>3736</v>
      </c>
      <c r="J3230" t="s">
        <v>32350</v>
      </c>
      <c r="K3230" t="s">
        <v>39029</v>
      </c>
      <c r="M3230" t="s">
        <v>40563</v>
      </c>
      <c r="N3230" t="s">
        <v>43166</v>
      </c>
      <c r="O3230" t="s">
        <v>43167</v>
      </c>
      <c r="P3230">
        <v>0</v>
      </c>
      <c r="Q3230">
        <v>0</v>
      </c>
      <c r="R3230" t="s">
        <v>43171</v>
      </c>
      <c r="S3230" t="s">
        <v>43311</v>
      </c>
      <c r="T3230" t="s">
        <v>44722</v>
      </c>
      <c r="U3230" t="s">
        <v>47849</v>
      </c>
      <c r="W3230" t="s">
        <v>40563</v>
      </c>
      <c r="X3230" t="s">
        <v>43173</v>
      </c>
    </row>
    <row r="3231" spans="1:24">
      <c r="A3231">
        <f>HYPERLINK("https://www.philgeps.gov.ph/GEPSNONPILOT/Tender/SplashBidNoticeAbstractUI.aspx?menuIndex=3&amp;refID=7081767&amp;Result=3","7081767")</f>
        <v>0</v>
      </c>
      <c r="B3231" t="s">
        <v>1208</v>
      </c>
      <c r="C3231" t="s">
        <v>6505</v>
      </c>
      <c r="D3231" t="s">
        <v>17441</v>
      </c>
      <c r="E3231" t="s">
        <v>20314</v>
      </c>
      <c r="F3231" t="s">
        <v>30052</v>
      </c>
      <c r="G3231" t="s">
        <v>30058</v>
      </c>
      <c r="H3231" t="s">
        <v>30067</v>
      </c>
      <c r="I3231" t="s">
        <v>3693</v>
      </c>
      <c r="J3231" t="s">
        <v>30277</v>
      </c>
      <c r="K3231" t="s">
        <v>39023</v>
      </c>
      <c r="L3231" t="s">
        <v>1208</v>
      </c>
      <c r="M3231" t="s">
        <v>40562</v>
      </c>
      <c r="N3231" t="s">
        <v>43166</v>
      </c>
      <c r="O3231" t="s">
        <v>43167</v>
      </c>
      <c r="P3231">
        <v>0</v>
      </c>
      <c r="Q3231">
        <v>6</v>
      </c>
      <c r="R3231" t="s">
        <v>43171</v>
      </c>
      <c r="S3231" t="s">
        <v>43311</v>
      </c>
      <c r="T3231" t="s">
        <v>44813</v>
      </c>
      <c r="U3231" t="s">
        <v>47850</v>
      </c>
      <c r="W3231" t="s">
        <v>40562</v>
      </c>
      <c r="X3231" t="s">
        <v>43173</v>
      </c>
    </row>
    <row r="3232" spans="1:24">
      <c r="A3232">
        <f>HYPERLINK("https://www.philgeps.gov.ph/GEPSNONPILOT/Tender/SplashBidNoticeAbstractUI.aspx?menuIndex=3&amp;refID=7081620&amp;Result=3","7081620")</f>
        <v>0</v>
      </c>
      <c r="B3232" t="s">
        <v>1210</v>
      </c>
      <c r="C3232" t="s">
        <v>6506</v>
      </c>
      <c r="D3232" t="s">
        <v>17426</v>
      </c>
      <c r="E3232" t="s">
        <v>17665</v>
      </c>
      <c r="F3232" t="s">
        <v>30052</v>
      </c>
      <c r="G3232" t="s">
        <v>30058</v>
      </c>
      <c r="H3232" t="s">
        <v>30067</v>
      </c>
      <c r="I3232" t="s">
        <v>3693</v>
      </c>
      <c r="J3232" t="s">
        <v>32351</v>
      </c>
      <c r="K3232" t="s">
        <v>39120</v>
      </c>
      <c r="M3232" t="s">
        <v>40564</v>
      </c>
      <c r="N3232" t="s">
        <v>43166</v>
      </c>
      <c r="O3232" t="s">
        <v>43167</v>
      </c>
      <c r="P3232">
        <v>0</v>
      </c>
      <c r="Q3232">
        <v>2</v>
      </c>
      <c r="R3232" t="s">
        <v>43171</v>
      </c>
      <c r="S3232" t="s">
        <v>43311</v>
      </c>
      <c r="T3232" t="s">
        <v>44704</v>
      </c>
      <c r="U3232" t="s">
        <v>47851</v>
      </c>
      <c r="W3232" t="s">
        <v>40564</v>
      </c>
      <c r="X3232" t="s">
        <v>43173</v>
      </c>
    </row>
    <row r="3233" spans="1:24">
      <c r="A3233">
        <f>HYPERLINK("https://www.philgeps.gov.ph/GEPSNONPILOT/Tender/SplashBidNoticeAbstractUI.aspx?menuIndex=3&amp;refID=7086682&amp;Result=3","7086682")</f>
        <v>0</v>
      </c>
      <c r="B3233" t="s">
        <v>1211</v>
      </c>
      <c r="C3233" t="s">
        <v>6507</v>
      </c>
      <c r="D3233" t="s">
        <v>17496</v>
      </c>
      <c r="E3233" t="s">
        <v>20317</v>
      </c>
      <c r="F3233" t="s">
        <v>30052</v>
      </c>
      <c r="G3233" t="s">
        <v>30059</v>
      </c>
      <c r="H3233" t="s">
        <v>15498</v>
      </c>
      <c r="I3233" t="s">
        <v>7228</v>
      </c>
      <c r="J3233" t="s">
        <v>32352</v>
      </c>
      <c r="K3233" t="s">
        <v>39018</v>
      </c>
      <c r="M3233" t="s">
        <v>40565</v>
      </c>
      <c r="N3233" t="s">
        <v>43166</v>
      </c>
      <c r="O3233" t="s">
        <v>43167</v>
      </c>
      <c r="P3233">
        <v>0</v>
      </c>
      <c r="Q3233">
        <v>0</v>
      </c>
      <c r="R3233" t="s">
        <v>43170</v>
      </c>
      <c r="S3233" t="s">
        <v>43297</v>
      </c>
      <c r="T3233" t="s">
        <v>44735</v>
      </c>
      <c r="U3233" t="s">
        <v>47852</v>
      </c>
      <c r="W3233" t="s">
        <v>40565</v>
      </c>
      <c r="X3233" t="s">
        <v>43171</v>
      </c>
    </row>
    <row r="3234" spans="1:24">
      <c r="A3234">
        <f>HYPERLINK("https://www.philgeps.gov.ph/GEPSNONPILOT/Tender/SplashBidNoticeAbstractUI.aspx?menuIndex=3&amp;refID=7081674&amp;Result=3","7081674")</f>
        <v>0</v>
      </c>
      <c r="B3234" t="s">
        <v>1208</v>
      </c>
      <c r="C3234" t="s">
        <v>6508</v>
      </c>
      <c r="D3234" t="s">
        <v>17441</v>
      </c>
      <c r="E3234" t="s">
        <v>20314</v>
      </c>
      <c r="F3234" t="s">
        <v>30052</v>
      </c>
      <c r="G3234" t="s">
        <v>30058</v>
      </c>
      <c r="H3234" t="s">
        <v>30067</v>
      </c>
      <c r="I3234" t="s">
        <v>3693</v>
      </c>
      <c r="J3234" t="s">
        <v>30277</v>
      </c>
      <c r="K3234" t="s">
        <v>39023</v>
      </c>
      <c r="L3234" t="s">
        <v>1208</v>
      </c>
      <c r="M3234" t="s">
        <v>40562</v>
      </c>
      <c r="N3234" t="s">
        <v>43166</v>
      </c>
      <c r="O3234" t="s">
        <v>43167</v>
      </c>
      <c r="P3234">
        <v>0</v>
      </c>
      <c r="Q3234">
        <v>5</v>
      </c>
      <c r="R3234" t="s">
        <v>43171</v>
      </c>
      <c r="S3234" t="s">
        <v>43311</v>
      </c>
      <c r="T3234" t="s">
        <v>44825</v>
      </c>
      <c r="U3234" t="s">
        <v>47845</v>
      </c>
      <c r="W3234" t="s">
        <v>40562</v>
      </c>
      <c r="X3234" t="s">
        <v>43173</v>
      </c>
    </row>
    <row r="3235" spans="1:24">
      <c r="A3235">
        <f>HYPERLINK("https://www.philgeps.gov.ph/GEPSNONPILOT/Tender/SplashBidNoticeAbstractUI.aspx?menuIndex=3&amp;refID=7081740&amp;Result=3","7081740")</f>
        <v>0</v>
      </c>
      <c r="B3235" t="s">
        <v>1208</v>
      </c>
      <c r="C3235" t="s">
        <v>6509</v>
      </c>
      <c r="D3235" t="s">
        <v>17441</v>
      </c>
      <c r="E3235" t="s">
        <v>20314</v>
      </c>
      <c r="F3235" t="s">
        <v>30052</v>
      </c>
      <c r="G3235" t="s">
        <v>30058</v>
      </c>
      <c r="H3235" t="s">
        <v>30067</v>
      </c>
      <c r="I3235" t="s">
        <v>3693</v>
      </c>
      <c r="J3235" t="s">
        <v>30207</v>
      </c>
      <c r="K3235" t="s">
        <v>39029</v>
      </c>
      <c r="L3235" t="s">
        <v>1208</v>
      </c>
      <c r="M3235" t="s">
        <v>40562</v>
      </c>
      <c r="N3235" t="s">
        <v>43166</v>
      </c>
      <c r="O3235" t="s">
        <v>43167</v>
      </c>
      <c r="P3235">
        <v>0</v>
      </c>
      <c r="Q3235">
        <v>5</v>
      </c>
      <c r="R3235" t="s">
        <v>43171</v>
      </c>
      <c r="S3235" t="s">
        <v>43311</v>
      </c>
      <c r="T3235" t="s">
        <v>44813</v>
      </c>
      <c r="U3235" t="s">
        <v>47853</v>
      </c>
      <c r="W3235" t="s">
        <v>40562</v>
      </c>
      <c r="X3235" t="s">
        <v>43173</v>
      </c>
    </row>
    <row r="3236" spans="1:24">
      <c r="A3236">
        <f>HYPERLINK("https://www.philgeps.gov.ph/GEPSNONPILOT/Tender/SplashBidNoticeAbstractUI.aspx?menuIndex=3&amp;refID=7081772&amp;Result=3","7081772")</f>
        <v>0</v>
      </c>
      <c r="B3236" t="s">
        <v>1208</v>
      </c>
      <c r="C3236" t="s">
        <v>6510</v>
      </c>
      <c r="D3236" t="s">
        <v>17441</v>
      </c>
      <c r="E3236" t="s">
        <v>20314</v>
      </c>
      <c r="F3236" t="s">
        <v>30052</v>
      </c>
      <c r="G3236" t="s">
        <v>30058</v>
      </c>
      <c r="H3236" t="s">
        <v>30067</v>
      </c>
      <c r="I3236" t="s">
        <v>3693</v>
      </c>
      <c r="J3236" t="s">
        <v>30277</v>
      </c>
      <c r="K3236" t="s">
        <v>39023</v>
      </c>
      <c r="L3236" t="s">
        <v>1208</v>
      </c>
      <c r="M3236" t="s">
        <v>40562</v>
      </c>
      <c r="N3236" t="s">
        <v>43166</v>
      </c>
      <c r="O3236" t="s">
        <v>43167</v>
      </c>
      <c r="P3236">
        <v>0</v>
      </c>
      <c r="Q3236">
        <v>6</v>
      </c>
      <c r="R3236" t="s">
        <v>43171</v>
      </c>
      <c r="S3236" t="s">
        <v>43311</v>
      </c>
      <c r="T3236" t="s">
        <v>44813</v>
      </c>
      <c r="U3236" t="s">
        <v>47850</v>
      </c>
      <c r="W3236" t="s">
        <v>40562</v>
      </c>
      <c r="X3236" t="s">
        <v>43173</v>
      </c>
    </row>
    <row r="3237" spans="1:24">
      <c r="A3237">
        <f>HYPERLINK("https://www.philgeps.gov.ph/GEPSNONPILOT/Tender/SplashBidNoticeAbstractUI.aspx?menuIndex=3&amp;refID=7081748&amp;Result=3","7081748")</f>
        <v>0</v>
      </c>
      <c r="B3237" t="s">
        <v>1192</v>
      </c>
      <c r="C3237" t="s">
        <v>6511</v>
      </c>
      <c r="D3237" t="s">
        <v>17415</v>
      </c>
      <c r="E3237" t="s">
        <v>20318</v>
      </c>
      <c r="F3237" t="s">
        <v>30052</v>
      </c>
      <c r="G3237" t="s">
        <v>30058</v>
      </c>
      <c r="H3237" t="s">
        <v>15498</v>
      </c>
      <c r="I3237" t="s">
        <v>30085</v>
      </c>
      <c r="J3237" t="s">
        <v>32353</v>
      </c>
      <c r="K3237" t="s">
        <v>39017</v>
      </c>
      <c r="M3237" t="s">
        <v>40545</v>
      </c>
      <c r="N3237" t="s">
        <v>43166</v>
      </c>
      <c r="O3237" t="s">
        <v>43167</v>
      </c>
      <c r="P3237">
        <v>0</v>
      </c>
      <c r="Q3237">
        <v>1</v>
      </c>
      <c r="R3237" t="s">
        <v>43171</v>
      </c>
      <c r="S3237" t="s">
        <v>43311</v>
      </c>
      <c r="T3237" t="s">
        <v>44877</v>
      </c>
      <c r="U3237" t="s">
        <v>47854</v>
      </c>
      <c r="W3237" t="s">
        <v>40545</v>
      </c>
      <c r="X3237" t="s">
        <v>43173</v>
      </c>
    </row>
    <row r="3238" spans="1:24">
      <c r="A3238">
        <f>HYPERLINK("https://www.philgeps.gov.ph/GEPSNONPILOT/Tender/SplashBidNoticeAbstractUI.aspx?menuIndex=3&amp;refID=7081743&amp;Result=3","7081743")</f>
        <v>0</v>
      </c>
      <c r="B3238" t="s">
        <v>1208</v>
      </c>
      <c r="C3238" t="s">
        <v>6512</v>
      </c>
      <c r="D3238" t="s">
        <v>17441</v>
      </c>
      <c r="E3238" t="s">
        <v>20314</v>
      </c>
      <c r="F3238" t="s">
        <v>30052</v>
      </c>
      <c r="G3238" t="s">
        <v>30058</v>
      </c>
      <c r="H3238" t="s">
        <v>30067</v>
      </c>
      <c r="I3238" t="s">
        <v>3693</v>
      </c>
      <c r="J3238" t="s">
        <v>30218</v>
      </c>
      <c r="K3238" t="s">
        <v>39023</v>
      </c>
      <c r="L3238" t="s">
        <v>1208</v>
      </c>
      <c r="M3238" t="s">
        <v>40562</v>
      </c>
      <c r="N3238" t="s">
        <v>43166</v>
      </c>
      <c r="O3238" t="s">
        <v>43167</v>
      </c>
      <c r="P3238">
        <v>0</v>
      </c>
      <c r="Q3238">
        <v>6</v>
      </c>
      <c r="R3238" t="s">
        <v>43171</v>
      </c>
      <c r="S3238" t="s">
        <v>43311</v>
      </c>
      <c r="T3238" t="s">
        <v>44813</v>
      </c>
      <c r="U3238" t="s">
        <v>47850</v>
      </c>
      <c r="W3238" t="s">
        <v>40562</v>
      </c>
      <c r="X3238" t="s">
        <v>43173</v>
      </c>
    </row>
    <row r="3239" spans="1:24">
      <c r="A3239">
        <f>HYPERLINK("https://www.philgeps.gov.ph/GEPSNONPILOT/Tender/SplashBidNoticeAbstractUI.aspx?menuIndex=3&amp;refID=7081741&amp;Result=3","7081741")</f>
        <v>0</v>
      </c>
      <c r="B3239" t="s">
        <v>1212</v>
      </c>
      <c r="C3239" t="s">
        <v>6513</v>
      </c>
      <c r="D3239" t="s">
        <v>17415</v>
      </c>
      <c r="E3239" t="s">
        <v>20319</v>
      </c>
      <c r="F3239" t="s">
        <v>30052</v>
      </c>
      <c r="G3239" t="s">
        <v>30059</v>
      </c>
      <c r="H3239" t="s">
        <v>15498</v>
      </c>
      <c r="I3239" t="s">
        <v>30076</v>
      </c>
      <c r="J3239" t="s">
        <v>30772</v>
      </c>
      <c r="K3239" t="s">
        <v>39023</v>
      </c>
      <c r="M3239" t="s">
        <v>40566</v>
      </c>
      <c r="N3239" t="s">
        <v>43166</v>
      </c>
      <c r="O3239" t="s">
        <v>43167</v>
      </c>
      <c r="P3239">
        <v>0</v>
      </c>
      <c r="Q3239">
        <v>0</v>
      </c>
      <c r="R3239" t="s">
        <v>43171</v>
      </c>
      <c r="S3239" t="s">
        <v>43311</v>
      </c>
      <c r="T3239" t="s">
        <v>44735</v>
      </c>
      <c r="U3239" t="s">
        <v>47855</v>
      </c>
      <c r="W3239" t="s">
        <v>58628</v>
      </c>
      <c r="X3239" t="s">
        <v>43173</v>
      </c>
    </row>
    <row r="3240" spans="1:24">
      <c r="A3240">
        <f>HYPERLINK("https://www.philgeps.gov.ph/GEPSNONPILOT/Tender/SplashBidNoticeAbstractUI.aspx?menuIndex=3&amp;refID=7081776&amp;Result=3","7081776")</f>
        <v>0</v>
      </c>
      <c r="B3240" t="s">
        <v>1213</v>
      </c>
      <c r="C3240" t="s">
        <v>6514</v>
      </c>
      <c r="D3240" t="s">
        <v>17448</v>
      </c>
      <c r="E3240" t="s">
        <v>20320</v>
      </c>
      <c r="F3240" t="s">
        <v>30052</v>
      </c>
      <c r="G3240" t="s">
        <v>30058</v>
      </c>
      <c r="H3240" t="s">
        <v>30067</v>
      </c>
      <c r="I3240" t="s">
        <v>3693</v>
      </c>
      <c r="J3240" t="s">
        <v>30207</v>
      </c>
      <c r="K3240" t="s">
        <v>39019</v>
      </c>
      <c r="M3240" t="s">
        <v>40567</v>
      </c>
      <c r="N3240" t="s">
        <v>43166</v>
      </c>
      <c r="O3240" t="s">
        <v>43167</v>
      </c>
      <c r="P3240">
        <v>0</v>
      </c>
      <c r="Q3240">
        <v>0</v>
      </c>
      <c r="R3240" t="s">
        <v>43171</v>
      </c>
      <c r="S3240" t="s">
        <v>43311</v>
      </c>
      <c r="T3240" t="s">
        <v>44756</v>
      </c>
      <c r="U3240" t="s">
        <v>47856</v>
      </c>
      <c r="W3240" t="s">
        <v>40567</v>
      </c>
      <c r="X3240" t="s">
        <v>43173</v>
      </c>
    </row>
    <row r="3241" spans="1:24">
      <c r="A3241">
        <f>HYPERLINK("https://www.philgeps.gov.ph/GEPSNONPILOT/Tender/SplashBidNoticeAbstractUI.aspx?menuIndex=3&amp;refID=7081735&amp;Result=3","7081735")</f>
        <v>0</v>
      </c>
      <c r="B3241" t="s">
        <v>483</v>
      </c>
      <c r="C3241" t="s">
        <v>6515</v>
      </c>
      <c r="D3241" t="s">
        <v>17489</v>
      </c>
      <c r="E3241" t="s">
        <v>20321</v>
      </c>
      <c r="F3241" t="s">
        <v>30052</v>
      </c>
      <c r="G3241" t="s">
        <v>30058</v>
      </c>
      <c r="H3241" t="s">
        <v>15498</v>
      </c>
      <c r="I3241" t="s">
        <v>30107</v>
      </c>
      <c r="J3241" t="s">
        <v>30343</v>
      </c>
      <c r="K3241" t="s">
        <v>39017</v>
      </c>
      <c r="M3241" t="s">
        <v>39784</v>
      </c>
      <c r="N3241" t="s">
        <v>43166</v>
      </c>
      <c r="O3241" t="s">
        <v>43167</v>
      </c>
      <c r="P3241">
        <v>0</v>
      </c>
      <c r="Q3241">
        <v>0</v>
      </c>
      <c r="R3241" t="s">
        <v>43171</v>
      </c>
      <c r="S3241" t="s">
        <v>43311</v>
      </c>
      <c r="T3241" t="s">
        <v>44699</v>
      </c>
      <c r="U3241" t="s">
        <v>47857</v>
      </c>
      <c r="W3241" t="s">
        <v>39784</v>
      </c>
      <c r="X3241" t="s">
        <v>43173</v>
      </c>
    </row>
    <row r="3242" spans="1:24">
      <c r="A3242">
        <f>HYPERLINK("https://www.philgeps.gov.ph/GEPSNONPILOT/Tender/SplashBidNoticeAbstractUI.aspx?menuIndex=3&amp;refID=7081788&amp;Result=3","7081788")</f>
        <v>0</v>
      </c>
      <c r="B3242" t="s">
        <v>1214</v>
      </c>
      <c r="C3242" t="s">
        <v>6516</v>
      </c>
      <c r="D3242" t="s">
        <v>17415</v>
      </c>
      <c r="E3242" t="s">
        <v>18184</v>
      </c>
      <c r="F3242" t="s">
        <v>30052</v>
      </c>
      <c r="G3242" t="s">
        <v>30059</v>
      </c>
      <c r="H3242" t="s">
        <v>30067</v>
      </c>
      <c r="I3242" t="s">
        <v>3693</v>
      </c>
      <c r="J3242" t="s">
        <v>32354</v>
      </c>
      <c r="K3242" t="s">
        <v>39029</v>
      </c>
      <c r="M3242" t="s">
        <v>40568</v>
      </c>
      <c r="N3242" t="s">
        <v>43166</v>
      </c>
      <c r="O3242" t="s">
        <v>43167</v>
      </c>
      <c r="P3242">
        <v>0</v>
      </c>
      <c r="Q3242">
        <v>3</v>
      </c>
      <c r="R3242" t="s">
        <v>43171</v>
      </c>
      <c r="S3242" t="s">
        <v>43311</v>
      </c>
      <c r="T3242" t="s">
        <v>44870</v>
      </c>
      <c r="U3242" t="s">
        <v>47858</v>
      </c>
      <c r="W3242" t="s">
        <v>40568</v>
      </c>
      <c r="X3242" t="s">
        <v>43173</v>
      </c>
    </row>
    <row r="3243" spans="1:24">
      <c r="A3243">
        <f>HYPERLINK("https://www.philgeps.gov.ph/GEPSNONPILOT/Tender/SplashBidNoticeAbstractUI.aspx?menuIndex=3&amp;refID=7081800&amp;Result=3","7081800")</f>
        <v>0</v>
      </c>
      <c r="B3243" t="s">
        <v>1215</v>
      </c>
      <c r="C3243" t="s">
        <v>6517</v>
      </c>
      <c r="D3243" t="s">
        <v>17466</v>
      </c>
      <c r="E3243" t="s">
        <v>20322</v>
      </c>
      <c r="F3243" t="s">
        <v>30052</v>
      </c>
      <c r="G3243" t="s">
        <v>30058</v>
      </c>
      <c r="H3243" t="s">
        <v>15498</v>
      </c>
      <c r="I3243" t="s">
        <v>30070</v>
      </c>
      <c r="J3243" t="s">
        <v>32355</v>
      </c>
      <c r="K3243" t="s">
        <v>39025</v>
      </c>
      <c r="M3243" t="s">
        <v>40569</v>
      </c>
      <c r="N3243" t="s">
        <v>43166</v>
      </c>
      <c r="O3243" t="s">
        <v>43167</v>
      </c>
      <c r="P3243">
        <v>0</v>
      </c>
      <c r="Q3243">
        <v>2</v>
      </c>
      <c r="R3243" t="s">
        <v>43171</v>
      </c>
      <c r="S3243" t="s">
        <v>43311</v>
      </c>
      <c r="T3243" t="s">
        <v>44828</v>
      </c>
      <c r="U3243" t="s">
        <v>47859</v>
      </c>
      <c r="W3243" t="s">
        <v>40569</v>
      </c>
      <c r="X3243" t="s">
        <v>43173</v>
      </c>
    </row>
    <row r="3244" spans="1:24">
      <c r="A3244">
        <f>HYPERLINK("https://www.philgeps.gov.ph/GEPSNONPILOT/Tender/SplashBidNoticeAbstractUI.aspx?menuIndex=3&amp;refID=7081785&amp;Result=3","7081785")</f>
        <v>0</v>
      </c>
      <c r="B3244" t="s">
        <v>1208</v>
      </c>
      <c r="C3244" t="s">
        <v>6518</v>
      </c>
      <c r="D3244" t="s">
        <v>17441</v>
      </c>
      <c r="E3244" t="s">
        <v>20314</v>
      </c>
      <c r="F3244" t="s">
        <v>30052</v>
      </c>
      <c r="G3244" t="s">
        <v>30058</v>
      </c>
      <c r="H3244" t="s">
        <v>30067</v>
      </c>
      <c r="I3244" t="s">
        <v>3693</v>
      </c>
      <c r="J3244" t="s">
        <v>30277</v>
      </c>
      <c r="K3244" t="s">
        <v>39023</v>
      </c>
      <c r="M3244" t="s">
        <v>40562</v>
      </c>
      <c r="N3244" t="s">
        <v>43166</v>
      </c>
      <c r="O3244" t="s">
        <v>43167</v>
      </c>
      <c r="P3244">
        <v>0</v>
      </c>
      <c r="Q3244">
        <v>5</v>
      </c>
      <c r="R3244" t="s">
        <v>43171</v>
      </c>
      <c r="S3244" t="s">
        <v>43311</v>
      </c>
      <c r="T3244" t="s">
        <v>44813</v>
      </c>
      <c r="U3244" t="s">
        <v>47850</v>
      </c>
      <c r="W3244" t="s">
        <v>40562</v>
      </c>
      <c r="X3244" t="s">
        <v>43173</v>
      </c>
    </row>
    <row r="3245" spans="1:24">
      <c r="A3245">
        <f>HYPERLINK("https://www.philgeps.gov.ph/GEPSNONPILOT/Tender/SplashBidNoticeAbstractUI.aspx?menuIndex=3&amp;refID=7081779&amp;Result=3","7081779")</f>
        <v>0</v>
      </c>
      <c r="B3245" t="s">
        <v>1216</v>
      </c>
      <c r="C3245" t="s">
        <v>6519</v>
      </c>
      <c r="D3245" t="s">
        <v>17415</v>
      </c>
      <c r="E3245" t="s">
        <v>17540</v>
      </c>
      <c r="F3245" t="s">
        <v>30052</v>
      </c>
      <c r="G3245" t="s">
        <v>30059</v>
      </c>
      <c r="H3245" t="s">
        <v>15498</v>
      </c>
      <c r="I3245" t="s">
        <v>8323</v>
      </c>
      <c r="J3245" t="s">
        <v>32356</v>
      </c>
      <c r="K3245" t="s">
        <v>39034</v>
      </c>
      <c r="M3245" t="s">
        <v>40570</v>
      </c>
      <c r="N3245" t="s">
        <v>43166</v>
      </c>
      <c r="O3245" t="s">
        <v>43167</v>
      </c>
      <c r="P3245">
        <v>0</v>
      </c>
      <c r="Q3245">
        <v>11</v>
      </c>
      <c r="R3245" t="s">
        <v>43171</v>
      </c>
      <c r="S3245" t="s">
        <v>43311</v>
      </c>
      <c r="T3245" t="s">
        <v>44837</v>
      </c>
      <c r="U3245" t="s">
        <v>47860</v>
      </c>
      <c r="W3245" t="s">
        <v>40570</v>
      </c>
      <c r="X3245" t="s">
        <v>43173</v>
      </c>
    </row>
    <row r="3246" spans="1:24">
      <c r="A3246">
        <f>HYPERLINK("https://www.philgeps.gov.ph/GEPSNONPILOT/Tender/SplashBidNoticeAbstractUI.aspx?menuIndex=3&amp;refID=7081778&amp;Result=3","7081778")</f>
        <v>0</v>
      </c>
      <c r="B3246" t="s">
        <v>1214</v>
      </c>
      <c r="C3246" t="s">
        <v>6520</v>
      </c>
      <c r="D3246" t="s">
        <v>17415</v>
      </c>
      <c r="E3246" t="s">
        <v>18173</v>
      </c>
      <c r="F3246" t="s">
        <v>30052</v>
      </c>
      <c r="G3246" t="s">
        <v>30059</v>
      </c>
      <c r="H3246" t="s">
        <v>30067</v>
      </c>
      <c r="I3246" t="s">
        <v>3693</v>
      </c>
      <c r="J3246" t="s">
        <v>32357</v>
      </c>
      <c r="K3246" t="s">
        <v>39029</v>
      </c>
      <c r="M3246" t="s">
        <v>40568</v>
      </c>
      <c r="N3246" t="s">
        <v>43166</v>
      </c>
      <c r="O3246" t="s">
        <v>43167</v>
      </c>
      <c r="P3246">
        <v>0</v>
      </c>
      <c r="Q3246">
        <v>3</v>
      </c>
      <c r="R3246" t="s">
        <v>43171</v>
      </c>
      <c r="S3246" t="s">
        <v>43311</v>
      </c>
      <c r="T3246" t="s">
        <v>44870</v>
      </c>
      <c r="U3246" t="s">
        <v>47861</v>
      </c>
      <c r="W3246" t="s">
        <v>40568</v>
      </c>
      <c r="X3246" t="s">
        <v>43173</v>
      </c>
    </row>
    <row r="3247" spans="1:24">
      <c r="A3247">
        <f>HYPERLINK("https://www.philgeps.gov.ph/GEPSNONPILOT/Tender/SplashBidNoticeAbstractUI.aspx?menuIndex=3&amp;refID=7081777&amp;Result=3","7081777")</f>
        <v>0</v>
      </c>
      <c r="B3247" t="s">
        <v>1208</v>
      </c>
      <c r="C3247" t="s">
        <v>6521</v>
      </c>
      <c r="D3247" t="s">
        <v>17441</v>
      </c>
      <c r="E3247" t="s">
        <v>20314</v>
      </c>
      <c r="F3247" t="s">
        <v>30052</v>
      </c>
      <c r="G3247" t="s">
        <v>30058</v>
      </c>
      <c r="H3247" t="s">
        <v>30067</v>
      </c>
      <c r="I3247" t="s">
        <v>3693</v>
      </c>
      <c r="J3247" t="s">
        <v>30277</v>
      </c>
      <c r="K3247" t="s">
        <v>39023</v>
      </c>
      <c r="L3247" t="s">
        <v>1208</v>
      </c>
      <c r="M3247" t="s">
        <v>40562</v>
      </c>
      <c r="N3247" t="s">
        <v>43166</v>
      </c>
      <c r="O3247" t="s">
        <v>43167</v>
      </c>
      <c r="P3247">
        <v>0</v>
      </c>
      <c r="Q3247">
        <v>5</v>
      </c>
      <c r="R3247" t="s">
        <v>43171</v>
      </c>
      <c r="S3247" t="s">
        <v>43311</v>
      </c>
      <c r="T3247" t="s">
        <v>44813</v>
      </c>
      <c r="U3247" t="s">
        <v>47850</v>
      </c>
      <c r="W3247" t="s">
        <v>40562</v>
      </c>
      <c r="X3247" t="s">
        <v>43173</v>
      </c>
    </row>
    <row r="3248" spans="1:24">
      <c r="A3248">
        <f>HYPERLINK("https://www.philgeps.gov.ph/GEPSNONPILOT/Tender/SplashBidNoticeAbstractUI.aspx?menuIndex=3&amp;refID=7081811&amp;Result=3","7081811")</f>
        <v>0</v>
      </c>
      <c r="B3248" t="s">
        <v>1215</v>
      </c>
      <c r="C3248" t="s">
        <v>6522</v>
      </c>
      <c r="D3248" t="s">
        <v>17466</v>
      </c>
      <c r="E3248" t="s">
        <v>20322</v>
      </c>
      <c r="F3248" t="s">
        <v>30052</v>
      </c>
      <c r="G3248" t="s">
        <v>30058</v>
      </c>
      <c r="H3248" t="s">
        <v>15498</v>
      </c>
      <c r="I3248" t="s">
        <v>30070</v>
      </c>
      <c r="J3248" t="s">
        <v>30333</v>
      </c>
      <c r="K3248" t="s">
        <v>39025</v>
      </c>
      <c r="M3248" t="s">
        <v>40569</v>
      </c>
      <c r="N3248" t="s">
        <v>43166</v>
      </c>
      <c r="O3248" t="s">
        <v>43167</v>
      </c>
      <c r="P3248">
        <v>0</v>
      </c>
      <c r="Q3248">
        <v>3</v>
      </c>
      <c r="R3248" t="s">
        <v>43171</v>
      </c>
      <c r="S3248" t="s">
        <v>43311</v>
      </c>
      <c r="T3248" t="s">
        <v>44828</v>
      </c>
      <c r="U3248" t="s">
        <v>47862</v>
      </c>
      <c r="W3248" t="s">
        <v>40569</v>
      </c>
      <c r="X3248" t="s">
        <v>43172</v>
      </c>
    </row>
    <row r="3249" spans="1:24">
      <c r="A3249">
        <f>HYPERLINK("https://www.philgeps.gov.ph/GEPSNONPILOT/Tender/SplashBidNoticeAbstractUI.aspx?menuIndex=3&amp;refID=7081809&amp;Result=3","7081809")</f>
        <v>0</v>
      </c>
      <c r="B3249" t="s">
        <v>1215</v>
      </c>
      <c r="C3249" t="s">
        <v>6523</v>
      </c>
      <c r="D3249" t="s">
        <v>17466</v>
      </c>
      <c r="E3249" t="s">
        <v>20322</v>
      </c>
      <c r="F3249" t="s">
        <v>30052</v>
      </c>
      <c r="G3249" t="s">
        <v>30058</v>
      </c>
      <c r="H3249" t="s">
        <v>15498</v>
      </c>
      <c r="I3249" t="s">
        <v>4119</v>
      </c>
      <c r="J3249" t="s">
        <v>32358</v>
      </c>
      <c r="K3249" t="s">
        <v>39025</v>
      </c>
      <c r="M3249" t="s">
        <v>40569</v>
      </c>
      <c r="N3249" t="s">
        <v>43166</v>
      </c>
      <c r="O3249" t="s">
        <v>43167</v>
      </c>
      <c r="P3249">
        <v>0</v>
      </c>
      <c r="Q3249">
        <v>1</v>
      </c>
      <c r="R3249" t="s">
        <v>43171</v>
      </c>
      <c r="S3249" t="s">
        <v>43311</v>
      </c>
      <c r="T3249" t="s">
        <v>44828</v>
      </c>
      <c r="U3249" t="s">
        <v>47863</v>
      </c>
      <c r="W3249" t="s">
        <v>40569</v>
      </c>
      <c r="X3249" t="s">
        <v>43172</v>
      </c>
    </row>
    <row r="3250" spans="1:24">
      <c r="A3250">
        <f>HYPERLINK("https://www.philgeps.gov.ph/GEPSNONPILOT/Tender/SplashBidNoticeAbstractUI.aspx?menuIndex=3&amp;refID=7081808&amp;Result=3","7081808")</f>
        <v>0</v>
      </c>
      <c r="B3250" t="s">
        <v>1208</v>
      </c>
      <c r="C3250" t="s">
        <v>6524</v>
      </c>
      <c r="D3250" t="s">
        <v>17441</v>
      </c>
      <c r="E3250" t="s">
        <v>20314</v>
      </c>
      <c r="F3250" t="s">
        <v>30052</v>
      </c>
      <c r="G3250" t="s">
        <v>30058</v>
      </c>
      <c r="H3250" t="s">
        <v>30067</v>
      </c>
      <c r="I3250" t="s">
        <v>3693</v>
      </c>
      <c r="J3250" t="s">
        <v>30218</v>
      </c>
      <c r="K3250" t="s">
        <v>39023</v>
      </c>
      <c r="L3250" t="s">
        <v>1208</v>
      </c>
      <c r="M3250" t="s">
        <v>40562</v>
      </c>
      <c r="N3250" t="s">
        <v>43166</v>
      </c>
      <c r="O3250" t="s">
        <v>43167</v>
      </c>
      <c r="P3250">
        <v>0</v>
      </c>
      <c r="Q3250">
        <v>6</v>
      </c>
      <c r="R3250" t="s">
        <v>43171</v>
      </c>
      <c r="S3250" t="s">
        <v>43311</v>
      </c>
      <c r="T3250" t="s">
        <v>44813</v>
      </c>
      <c r="U3250" t="s">
        <v>47864</v>
      </c>
      <c r="W3250" t="s">
        <v>40562</v>
      </c>
      <c r="X3250" t="s">
        <v>43172</v>
      </c>
    </row>
    <row r="3251" spans="1:24">
      <c r="A3251">
        <f>HYPERLINK("https://www.philgeps.gov.ph/GEPSNONPILOT/Tender/SplashBidNoticeAbstractUI.aspx?menuIndex=3&amp;refID=7081807&amp;Result=3","7081807")</f>
        <v>0</v>
      </c>
      <c r="B3251" t="s">
        <v>1208</v>
      </c>
      <c r="C3251" t="s">
        <v>6525</v>
      </c>
      <c r="D3251" t="s">
        <v>17441</v>
      </c>
      <c r="E3251" t="s">
        <v>20314</v>
      </c>
      <c r="F3251" t="s">
        <v>30052</v>
      </c>
      <c r="G3251" t="s">
        <v>30058</v>
      </c>
      <c r="H3251" t="s">
        <v>30067</v>
      </c>
      <c r="I3251" t="s">
        <v>3693</v>
      </c>
      <c r="J3251" t="s">
        <v>30207</v>
      </c>
      <c r="K3251" t="s">
        <v>39029</v>
      </c>
      <c r="L3251" t="s">
        <v>1208</v>
      </c>
      <c r="M3251" t="s">
        <v>40562</v>
      </c>
      <c r="N3251" t="s">
        <v>43166</v>
      </c>
      <c r="O3251" t="s">
        <v>43167</v>
      </c>
      <c r="P3251">
        <v>0</v>
      </c>
      <c r="Q3251">
        <v>5</v>
      </c>
      <c r="R3251" t="s">
        <v>43171</v>
      </c>
      <c r="S3251" t="s">
        <v>43311</v>
      </c>
      <c r="T3251" t="s">
        <v>44813</v>
      </c>
      <c r="U3251" t="s">
        <v>47865</v>
      </c>
      <c r="W3251" t="s">
        <v>40562</v>
      </c>
      <c r="X3251" t="s">
        <v>43172</v>
      </c>
    </row>
    <row r="3252" spans="1:24">
      <c r="A3252">
        <f>HYPERLINK("https://www.philgeps.gov.ph/GEPSNONPILOT/Tender/SplashBidNoticeAbstractUI.aspx?menuIndex=3&amp;refID=7081806&amp;Result=3","7081806")</f>
        <v>0</v>
      </c>
      <c r="B3252" t="s">
        <v>1217</v>
      </c>
      <c r="C3252" t="s">
        <v>6526</v>
      </c>
      <c r="D3252" t="s">
        <v>17415</v>
      </c>
      <c r="E3252" t="s">
        <v>20323</v>
      </c>
      <c r="F3252" t="s">
        <v>30052</v>
      </c>
      <c r="G3252" t="s">
        <v>30059</v>
      </c>
      <c r="H3252" t="s">
        <v>30068</v>
      </c>
      <c r="I3252" t="s">
        <v>30068</v>
      </c>
      <c r="J3252" t="s">
        <v>30559</v>
      </c>
      <c r="K3252" t="s">
        <v>39025</v>
      </c>
      <c r="M3252" t="s">
        <v>40571</v>
      </c>
      <c r="N3252" t="s">
        <v>43166</v>
      </c>
      <c r="O3252" t="s">
        <v>43167</v>
      </c>
      <c r="P3252">
        <v>0</v>
      </c>
      <c r="Q3252">
        <v>4</v>
      </c>
      <c r="R3252" t="s">
        <v>43171</v>
      </c>
      <c r="S3252" t="s">
        <v>43311</v>
      </c>
      <c r="T3252" t="s">
        <v>44708</v>
      </c>
      <c r="U3252" t="s">
        <v>47866</v>
      </c>
      <c r="W3252" t="s">
        <v>40571</v>
      </c>
      <c r="X3252" t="s">
        <v>43172</v>
      </c>
    </row>
    <row r="3253" spans="1:24">
      <c r="A3253">
        <f>HYPERLINK("https://www.philgeps.gov.ph/GEPSNONPILOT/Tender/SplashBidNoticeAbstractUI.aspx?menuIndex=3&amp;refID=7081805&amp;Result=3","7081805")</f>
        <v>0</v>
      </c>
      <c r="B3253" t="s">
        <v>1208</v>
      </c>
      <c r="C3253" t="s">
        <v>6527</v>
      </c>
      <c r="D3253" t="s">
        <v>17441</v>
      </c>
      <c r="E3253" t="s">
        <v>20314</v>
      </c>
      <c r="F3253" t="s">
        <v>30052</v>
      </c>
      <c r="G3253" t="s">
        <v>30058</v>
      </c>
      <c r="H3253" t="s">
        <v>30067</v>
      </c>
      <c r="I3253" t="s">
        <v>3693</v>
      </c>
      <c r="J3253" t="s">
        <v>30207</v>
      </c>
      <c r="K3253" t="s">
        <v>39029</v>
      </c>
      <c r="L3253" t="s">
        <v>1208</v>
      </c>
      <c r="M3253" t="s">
        <v>40562</v>
      </c>
      <c r="N3253" t="s">
        <v>43166</v>
      </c>
      <c r="O3253" t="s">
        <v>43167</v>
      </c>
      <c r="P3253">
        <v>0</v>
      </c>
      <c r="Q3253">
        <v>6</v>
      </c>
      <c r="R3253" t="s">
        <v>43171</v>
      </c>
      <c r="S3253" t="s">
        <v>43311</v>
      </c>
      <c r="T3253" t="s">
        <v>44813</v>
      </c>
      <c r="U3253" t="s">
        <v>47867</v>
      </c>
      <c r="W3253" t="s">
        <v>40562</v>
      </c>
      <c r="X3253" t="s">
        <v>43172</v>
      </c>
    </row>
    <row r="3254" spans="1:24">
      <c r="A3254">
        <f>HYPERLINK("https://www.philgeps.gov.ph/GEPSNONPILOT/Tender/SplashBidNoticeAbstractUI.aspx?menuIndex=3&amp;refID=7081803&amp;Result=3","7081803")</f>
        <v>0</v>
      </c>
      <c r="B3254" t="s">
        <v>1215</v>
      </c>
      <c r="C3254" t="s">
        <v>3459</v>
      </c>
      <c r="D3254" t="s">
        <v>17466</v>
      </c>
      <c r="E3254" t="s">
        <v>20322</v>
      </c>
      <c r="F3254" t="s">
        <v>30052</v>
      </c>
      <c r="G3254" t="s">
        <v>30058</v>
      </c>
      <c r="H3254" t="s">
        <v>15498</v>
      </c>
      <c r="I3254" t="s">
        <v>4119</v>
      </c>
      <c r="J3254" t="s">
        <v>30981</v>
      </c>
      <c r="K3254" t="s">
        <v>39025</v>
      </c>
      <c r="M3254" t="s">
        <v>40569</v>
      </c>
      <c r="N3254" t="s">
        <v>43166</v>
      </c>
      <c r="O3254" t="s">
        <v>43167</v>
      </c>
      <c r="P3254">
        <v>0</v>
      </c>
      <c r="Q3254">
        <v>2</v>
      </c>
      <c r="R3254" t="s">
        <v>43171</v>
      </c>
      <c r="S3254" t="s">
        <v>43311</v>
      </c>
      <c r="T3254" t="s">
        <v>44828</v>
      </c>
      <c r="U3254" t="s">
        <v>47868</v>
      </c>
      <c r="W3254" t="s">
        <v>40569</v>
      </c>
      <c r="X3254" t="s">
        <v>43172</v>
      </c>
    </row>
    <row r="3255" spans="1:24">
      <c r="A3255">
        <f>HYPERLINK("https://www.philgeps.gov.ph/GEPSNONPILOT/Tender/SplashBidNoticeAbstractUI.aspx?menuIndex=3&amp;refID=7081802&amp;Result=3","7081802")</f>
        <v>0</v>
      </c>
      <c r="B3255" t="s">
        <v>1208</v>
      </c>
      <c r="C3255" t="s">
        <v>6528</v>
      </c>
      <c r="D3255" t="s">
        <v>17441</v>
      </c>
      <c r="E3255" t="s">
        <v>20314</v>
      </c>
      <c r="F3255" t="s">
        <v>30052</v>
      </c>
      <c r="G3255" t="s">
        <v>30058</v>
      </c>
      <c r="H3255" t="s">
        <v>30067</v>
      </c>
      <c r="I3255" t="s">
        <v>3693</v>
      </c>
      <c r="J3255" t="s">
        <v>30277</v>
      </c>
      <c r="K3255" t="s">
        <v>39023</v>
      </c>
      <c r="L3255" t="s">
        <v>1208</v>
      </c>
      <c r="M3255" t="s">
        <v>40562</v>
      </c>
      <c r="N3255" t="s">
        <v>43166</v>
      </c>
      <c r="O3255" t="s">
        <v>43167</v>
      </c>
      <c r="P3255">
        <v>0</v>
      </c>
      <c r="Q3255">
        <v>5</v>
      </c>
      <c r="R3255" t="s">
        <v>43171</v>
      </c>
      <c r="S3255" t="s">
        <v>43311</v>
      </c>
      <c r="T3255" t="s">
        <v>44813</v>
      </c>
      <c r="U3255" t="s">
        <v>47850</v>
      </c>
      <c r="W3255" t="s">
        <v>40562</v>
      </c>
      <c r="X3255" t="s">
        <v>43172</v>
      </c>
    </row>
    <row r="3256" spans="1:24">
      <c r="A3256">
        <f>HYPERLINK("https://www.philgeps.gov.ph/GEPSNONPILOT/Tender/SplashBidNoticeAbstractUI.aspx?menuIndex=3&amp;refID=7081801&amp;Result=3","7081801")</f>
        <v>0</v>
      </c>
      <c r="B3256" t="s">
        <v>1217</v>
      </c>
      <c r="C3256" t="s">
        <v>6529</v>
      </c>
      <c r="D3256" t="s">
        <v>17415</v>
      </c>
      <c r="E3256" t="s">
        <v>20324</v>
      </c>
      <c r="F3256" t="s">
        <v>30052</v>
      </c>
      <c r="G3256" t="s">
        <v>30059</v>
      </c>
      <c r="H3256" t="s">
        <v>30068</v>
      </c>
      <c r="I3256" t="s">
        <v>30068</v>
      </c>
      <c r="J3256" t="s">
        <v>30277</v>
      </c>
      <c r="K3256" t="s">
        <v>39025</v>
      </c>
      <c r="M3256" t="s">
        <v>40571</v>
      </c>
      <c r="N3256" t="s">
        <v>43166</v>
      </c>
      <c r="O3256" t="s">
        <v>43167</v>
      </c>
      <c r="P3256">
        <v>0</v>
      </c>
      <c r="Q3256">
        <v>3</v>
      </c>
      <c r="R3256" t="s">
        <v>43171</v>
      </c>
      <c r="S3256" t="s">
        <v>43311</v>
      </c>
      <c r="T3256" t="s">
        <v>44708</v>
      </c>
      <c r="U3256" t="s">
        <v>47869</v>
      </c>
      <c r="W3256" t="s">
        <v>40571</v>
      </c>
      <c r="X3256" t="s">
        <v>43172</v>
      </c>
    </row>
    <row r="3257" spans="1:24">
      <c r="A3257">
        <f>HYPERLINK("https://www.philgeps.gov.ph/GEPSNONPILOT/Tender/SplashBidNoticeAbstractUI.aspx?menuIndex=3&amp;refID=7081736&amp;Result=3","7081736")</f>
        <v>0</v>
      </c>
      <c r="B3257" t="s">
        <v>1208</v>
      </c>
      <c r="C3257" t="s">
        <v>6530</v>
      </c>
      <c r="D3257" t="s">
        <v>17441</v>
      </c>
      <c r="E3257" t="s">
        <v>20314</v>
      </c>
      <c r="F3257" t="s">
        <v>30052</v>
      </c>
      <c r="G3257" t="s">
        <v>30058</v>
      </c>
      <c r="H3257" t="s">
        <v>30067</v>
      </c>
      <c r="I3257" t="s">
        <v>3693</v>
      </c>
      <c r="J3257" t="s">
        <v>30277</v>
      </c>
      <c r="K3257" t="s">
        <v>39023</v>
      </c>
      <c r="L3257" t="s">
        <v>1208</v>
      </c>
      <c r="M3257" t="s">
        <v>40562</v>
      </c>
      <c r="N3257" t="s">
        <v>43166</v>
      </c>
      <c r="O3257" t="s">
        <v>43167</v>
      </c>
      <c r="P3257">
        <v>0</v>
      </c>
      <c r="Q3257">
        <v>5</v>
      </c>
      <c r="R3257" t="s">
        <v>43171</v>
      </c>
      <c r="S3257" t="s">
        <v>43311</v>
      </c>
      <c r="T3257" t="s">
        <v>44813</v>
      </c>
      <c r="U3257" t="s">
        <v>47870</v>
      </c>
      <c r="W3257" t="s">
        <v>40562</v>
      </c>
      <c r="X3257" t="s">
        <v>43173</v>
      </c>
    </row>
    <row r="3258" spans="1:24">
      <c r="A3258">
        <f>HYPERLINK("https://www.philgeps.gov.ph/GEPSNONPILOT/Tender/SplashBidNoticeAbstractUI.aspx?menuIndex=3&amp;refID=7081798&amp;Result=3","7081798")</f>
        <v>0</v>
      </c>
      <c r="B3258" t="s">
        <v>1208</v>
      </c>
      <c r="C3258" t="s">
        <v>6531</v>
      </c>
      <c r="D3258" t="s">
        <v>17441</v>
      </c>
      <c r="E3258" t="s">
        <v>20314</v>
      </c>
      <c r="F3258" t="s">
        <v>30052</v>
      </c>
      <c r="G3258" t="s">
        <v>30058</v>
      </c>
      <c r="H3258" t="s">
        <v>30067</v>
      </c>
      <c r="I3258" t="s">
        <v>3693</v>
      </c>
      <c r="J3258" t="s">
        <v>30218</v>
      </c>
      <c r="K3258" t="s">
        <v>39023</v>
      </c>
      <c r="L3258" t="s">
        <v>1208</v>
      </c>
      <c r="M3258" t="s">
        <v>40562</v>
      </c>
      <c r="N3258" t="s">
        <v>43166</v>
      </c>
      <c r="O3258" t="s">
        <v>43167</v>
      </c>
      <c r="P3258">
        <v>0</v>
      </c>
      <c r="Q3258">
        <v>6</v>
      </c>
      <c r="R3258" t="s">
        <v>43171</v>
      </c>
      <c r="S3258" t="s">
        <v>43311</v>
      </c>
      <c r="T3258" t="s">
        <v>44813</v>
      </c>
      <c r="U3258" t="s">
        <v>47850</v>
      </c>
      <c r="W3258" t="s">
        <v>40562</v>
      </c>
      <c r="X3258" t="s">
        <v>43173</v>
      </c>
    </row>
    <row r="3259" spans="1:24">
      <c r="A3259">
        <f>HYPERLINK("https://www.philgeps.gov.ph/GEPSNONPILOT/Tender/SplashBidNoticeAbstractUI.aspx?menuIndex=3&amp;refID=7081790&amp;Result=3","7081790")</f>
        <v>0</v>
      </c>
      <c r="B3259" t="s">
        <v>1208</v>
      </c>
      <c r="C3259" t="s">
        <v>6532</v>
      </c>
      <c r="D3259" t="s">
        <v>17441</v>
      </c>
      <c r="E3259" t="s">
        <v>20314</v>
      </c>
      <c r="F3259" t="s">
        <v>30052</v>
      </c>
      <c r="G3259" t="s">
        <v>30058</v>
      </c>
      <c r="H3259" t="s">
        <v>30067</v>
      </c>
      <c r="I3259" t="s">
        <v>3693</v>
      </c>
      <c r="J3259" t="s">
        <v>30218</v>
      </c>
      <c r="K3259" t="s">
        <v>39023</v>
      </c>
      <c r="L3259" t="s">
        <v>1208</v>
      </c>
      <c r="M3259" t="s">
        <v>40562</v>
      </c>
      <c r="N3259" t="s">
        <v>43166</v>
      </c>
      <c r="O3259" t="s">
        <v>43167</v>
      </c>
      <c r="P3259">
        <v>0</v>
      </c>
      <c r="Q3259">
        <v>7</v>
      </c>
      <c r="R3259" t="s">
        <v>43171</v>
      </c>
      <c r="S3259" t="s">
        <v>43311</v>
      </c>
      <c r="T3259" t="s">
        <v>44813</v>
      </c>
      <c r="U3259" t="s">
        <v>47850</v>
      </c>
      <c r="W3259" t="s">
        <v>40562</v>
      </c>
      <c r="X3259" t="s">
        <v>43173</v>
      </c>
    </row>
    <row r="3260" spans="1:24">
      <c r="A3260">
        <f>HYPERLINK("https://www.philgeps.gov.ph/GEPSNONPILOT/Tender/SplashBidNoticeAbstractUI.aspx?menuIndex=3&amp;refID=7081795&amp;Result=3","7081795")</f>
        <v>0</v>
      </c>
      <c r="B3260" t="s">
        <v>1208</v>
      </c>
      <c r="C3260" t="s">
        <v>6533</v>
      </c>
      <c r="D3260" t="s">
        <v>17441</v>
      </c>
      <c r="E3260" t="s">
        <v>20314</v>
      </c>
      <c r="F3260" t="s">
        <v>30052</v>
      </c>
      <c r="G3260" t="s">
        <v>30058</v>
      </c>
      <c r="H3260" t="s">
        <v>30067</v>
      </c>
      <c r="I3260" t="s">
        <v>3693</v>
      </c>
      <c r="J3260" t="s">
        <v>30252</v>
      </c>
      <c r="K3260" t="s">
        <v>39026</v>
      </c>
      <c r="L3260" t="s">
        <v>1208</v>
      </c>
      <c r="M3260" t="s">
        <v>40562</v>
      </c>
      <c r="N3260" t="s">
        <v>43166</v>
      </c>
      <c r="O3260" t="s">
        <v>43167</v>
      </c>
      <c r="P3260">
        <v>0</v>
      </c>
      <c r="Q3260">
        <v>6</v>
      </c>
      <c r="R3260" t="s">
        <v>43171</v>
      </c>
      <c r="S3260" t="s">
        <v>43311</v>
      </c>
      <c r="T3260" t="s">
        <v>44813</v>
      </c>
      <c r="U3260" t="s">
        <v>47871</v>
      </c>
      <c r="W3260" t="s">
        <v>40562</v>
      </c>
      <c r="X3260" t="s">
        <v>43173</v>
      </c>
    </row>
    <row r="3261" spans="1:24">
      <c r="A3261">
        <f>HYPERLINK("https://www.philgeps.gov.ph/GEPSNONPILOT/Tender/SplashBidNoticeAbstractUI.aspx?menuIndex=3&amp;refID=7081812&amp;Result=3","7081812")</f>
        <v>0</v>
      </c>
      <c r="B3261" t="s">
        <v>798</v>
      </c>
      <c r="C3261" t="s">
        <v>6534</v>
      </c>
      <c r="D3261" t="s">
        <v>17435</v>
      </c>
      <c r="E3261" t="s">
        <v>17673</v>
      </c>
      <c r="F3261" t="s">
        <v>30055</v>
      </c>
      <c r="G3261" t="s">
        <v>30061</v>
      </c>
      <c r="H3261" t="s">
        <v>15498</v>
      </c>
      <c r="I3261" t="s">
        <v>30076</v>
      </c>
      <c r="J3261" t="s">
        <v>32359</v>
      </c>
      <c r="K3261" t="s">
        <v>39037</v>
      </c>
      <c r="M3261" t="s">
        <v>40115</v>
      </c>
      <c r="N3261" t="s">
        <v>43166</v>
      </c>
      <c r="O3261" t="s">
        <v>43167</v>
      </c>
      <c r="P3261">
        <v>0</v>
      </c>
      <c r="Q3261">
        <v>3</v>
      </c>
      <c r="R3261" t="s">
        <v>43171</v>
      </c>
      <c r="S3261" t="s">
        <v>43311</v>
      </c>
      <c r="T3261" t="s">
        <v>44856</v>
      </c>
      <c r="U3261" t="s">
        <v>47872</v>
      </c>
      <c r="W3261" t="s">
        <v>40115</v>
      </c>
      <c r="X3261" t="s">
        <v>43172</v>
      </c>
    </row>
    <row r="3262" spans="1:24">
      <c r="A3262">
        <f>HYPERLINK("https://www.philgeps.gov.ph/GEPSNONPILOT/Tender/SplashBidNoticeAbstractUI.aspx?menuIndex=3&amp;refID=7081813&amp;Result=3","7081813")</f>
        <v>0</v>
      </c>
      <c r="B3262" t="s">
        <v>1218</v>
      </c>
      <c r="C3262" t="s">
        <v>4247</v>
      </c>
      <c r="D3262" t="s">
        <v>17465</v>
      </c>
      <c r="E3262" t="s">
        <v>20325</v>
      </c>
      <c r="F3262" t="s">
        <v>30052</v>
      </c>
      <c r="G3262" t="s">
        <v>30061</v>
      </c>
      <c r="H3262" t="s">
        <v>15498</v>
      </c>
      <c r="I3262" t="s">
        <v>3736</v>
      </c>
      <c r="J3262" t="s">
        <v>32360</v>
      </c>
      <c r="K3262" t="s">
        <v>39040</v>
      </c>
      <c r="M3262" t="s">
        <v>40572</v>
      </c>
      <c r="N3262" t="s">
        <v>43166</v>
      </c>
      <c r="O3262" t="s">
        <v>43167</v>
      </c>
      <c r="P3262">
        <v>0</v>
      </c>
      <c r="Q3262">
        <v>1</v>
      </c>
      <c r="R3262" t="s">
        <v>43171</v>
      </c>
      <c r="S3262" t="s">
        <v>43311</v>
      </c>
      <c r="T3262" t="s">
        <v>44715</v>
      </c>
      <c r="U3262" t="s">
        <v>47873</v>
      </c>
      <c r="W3262" t="s">
        <v>40572</v>
      </c>
      <c r="X3262" t="s">
        <v>43172</v>
      </c>
    </row>
    <row r="3263" spans="1:24">
      <c r="A3263">
        <f>HYPERLINK("https://www.philgeps.gov.ph/GEPSNONPILOT/Tender/SplashBidNoticeAbstractUI.aspx?menuIndex=3&amp;refID=7081831&amp;Result=3","7081831")</f>
        <v>0</v>
      </c>
      <c r="B3263" t="s">
        <v>1209</v>
      </c>
      <c r="C3263" t="s">
        <v>6535</v>
      </c>
      <c r="D3263" t="s">
        <v>17454</v>
      </c>
      <c r="E3263" t="s">
        <v>20326</v>
      </c>
      <c r="F3263" t="s">
        <v>30055</v>
      </c>
      <c r="G3263" t="s">
        <v>30058</v>
      </c>
      <c r="H3263" t="s">
        <v>15498</v>
      </c>
      <c r="I3263" t="s">
        <v>3736</v>
      </c>
      <c r="J3263" t="s">
        <v>32361</v>
      </c>
      <c r="K3263" t="s">
        <v>39034</v>
      </c>
      <c r="M3263" t="s">
        <v>40563</v>
      </c>
      <c r="N3263" t="s">
        <v>43166</v>
      </c>
      <c r="O3263" t="s">
        <v>43167</v>
      </c>
      <c r="P3263">
        <v>0</v>
      </c>
      <c r="Q3263">
        <v>0</v>
      </c>
      <c r="R3263" t="s">
        <v>43171</v>
      </c>
      <c r="S3263" t="s">
        <v>43311</v>
      </c>
      <c r="T3263" t="s">
        <v>44722</v>
      </c>
      <c r="U3263" t="s">
        <v>47874</v>
      </c>
      <c r="W3263" t="s">
        <v>40563</v>
      </c>
      <c r="X3263" t="s">
        <v>43172</v>
      </c>
    </row>
    <row r="3264" spans="1:24">
      <c r="A3264">
        <f>HYPERLINK("https://www.philgeps.gov.ph/GEPSNONPILOT/Tender/SplashBidNoticeAbstractUI.aspx?menuIndex=3&amp;refID=7081832&amp;Result=3","7081832")</f>
        <v>0</v>
      </c>
      <c r="B3264" t="s">
        <v>1219</v>
      </c>
      <c r="C3264" t="s">
        <v>6536</v>
      </c>
      <c r="D3264" t="s">
        <v>17455</v>
      </c>
      <c r="E3264" t="s">
        <v>20327</v>
      </c>
      <c r="F3264" t="s">
        <v>30052</v>
      </c>
      <c r="G3264" t="s">
        <v>30059</v>
      </c>
      <c r="H3264" t="s">
        <v>15498</v>
      </c>
      <c r="I3264" t="s">
        <v>5961</v>
      </c>
      <c r="J3264" t="s">
        <v>30625</v>
      </c>
      <c r="K3264" t="s">
        <v>39029</v>
      </c>
      <c r="M3264" t="s">
        <v>40573</v>
      </c>
      <c r="N3264" t="s">
        <v>43166</v>
      </c>
      <c r="O3264" t="s">
        <v>43167</v>
      </c>
      <c r="P3264">
        <v>0</v>
      </c>
      <c r="Q3264">
        <v>8</v>
      </c>
      <c r="R3264" t="s">
        <v>43171</v>
      </c>
      <c r="S3264" t="s">
        <v>43311</v>
      </c>
      <c r="T3264" t="s">
        <v>44837</v>
      </c>
      <c r="U3264" t="s">
        <v>47875</v>
      </c>
      <c r="V3264" t="s">
        <v>57194</v>
      </c>
      <c r="W3264" t="s">
        <v>40573</v>
      </c>
      <c r="X3264" t="s">
        <v>43172</v>
      </c>
    </row>
    <row r="3265" spans="1:24">
      <c r="A3265">
        <f>HYPERLINK("https://www.philgeps.gov.ph/GEPSNONPILOT/Tender/SplashBidNoticeAbstractUI.aspx?menuIndex=3&amp;refID=7081829&amp;Result=3","7081829")</f>
        <v>0</v>
      </c>
      <c r="B3265" t="s">
        <v>1209</v>
      </c>
      <c r="C3265" t="s">
        <v>6537</v>
      </c>
      <c r="D3265" t="s">
        <v>17454</v>
      </c>
      <c r="E3265" t="s">
        <v>20328</v>
      </c>
      <c r="F3265" t="s">
        <v>30055</v>
      </c>
      <c r="G3265" t="s">
        <v>30058</v>
      </c>
      <c r="H3265" t="s">
        <v>15498</v>
      </c>
      <c r="I3265" t="s">
        <v>3736</v>
      </c>
      <c r="J3265" t="s">
        <v>32362</v>
      </c>
      <c r="K3265" t="s">
        <v>39034</v>
      </c>
      <c r="M3265" t="s">
        <v>40563</v>
      </c>
      <c r="N3265" t="s">
        <v>43166</v>
      </c>
      <c r="O3265" t="s">
        <v>43167</v>
      </c>
      <c r="P3265">
        <v>0</v>
      </c>
      <c r="Q3265">
        <v>0</v>
      </c>
      <c r="R3265" t="s">
        <v>43171</v>
      </c>
      <c r="S3265" t="s">
        <v>43311</v>
      </c>
      <c r="T3265" t="s">
        <v>44722</v>
      </c>
      <c r="U3265" t="s">
        <v>47876</v>
      </c>
      <c r="W3265" t="s">
        <v>40563</v>
      </c>
      <c r="X3265" t="s">
        <v>43172</v>
      </c>
    </row>
    <row r="3266" spans="1:24">
      <c r="A3266">
        <f>HYPERLINK("https://www.philgeps.gov.ph/GEPSNONPILOT/Tender/SplashBidNoticeAbstractUI.aspx?menuIndex=3&amp;refID=7081825&amp;Result=3","7081825")</f>
        <v>0</v>
      </c>
      <c r="B3266" t="s">
        <v>1209</v>
      </c>
      <c r="C3266" t="s">
        <v>6538</v>
      </c>
      <c r="D3266" t="s">
        <v>17454</v>
      </c>
      <c r="E3266" t="s">
        <v>20329</v>
      </c>
      <c r="F3266" t="s">
        <v>30055</v>
      </c>
      <c r="G3266" t="s">
        <v>30058</v>
      </c>
      <c r="H3266" t="s">
        <v>15498</v>
      </c>
      <c r="I3266" t="s">
        <v>3736</v>
      </c>
      <c r="J3266" t="s">
        <v>32363</v>
      </c>
      <c r="K3266" t="s">
        <v>39034</v>
      </c>
      <c r="M3266" t="s">
        <v>40563</v>
      </c>
      <c r="N3266" t="s">
        <v>43166</v>
      </c>
      <c r="O3266" t="s">
        <v>43167</v>
      </c>
      <c r="P3266">
        <v>0</v>
      </c>
      <c r="Q3266">
        <v>0</v>
      </c>
      <c r="R3266" t="s">
        <v>43171</v>
      </c>
      <c r="S3266" t="s">
        <v>43311</v>
      </c>
      <c r="T3266" t="s">
        <v>44722</v>
      </c>
      <c r="U3266" t="s">
        <v>47877</v>
      </c>
      <c r="W3266" t="s">
        <v>40563</v>
      </c>
      <c r="X3266" t="s">
        <v>43172</v>
      </c>
    </row>
    <row r="3267" spans="1:24">
      <c r="A3267">
        <f>HYPERLINK("https://www.philgeps.gov.ph/GEPSNONPILOT/Tender/SplashBidNoticeAbstractUI.aspx?menuIndex=3&amp;refID=7081822&amp;Result=3","7081822")</f>
        <v>0</v>
      </c>
      <c r="B3267" t="s">
        <v>1209</v>
      </c>
      <c r="C3267" t="s">
        <v>6539</v>
      </c>
      <c r="D3267" t="s">
        <v>17454</v>
      </c>
      <c r="E3267" t="s">
        <v>20330</v>
      </c>
      <c r="F3267" t="s">
        <v>30055</v>
      </c>
      <c r="G3267" t="s">
        <v>30058</v>
      </c>
      <c r="H3267" t="s">
        <v>15498</v>
      </c>
      <c r="I3267" t="s">
        <v>3736</v>
      </c>
      <c r="J3267" t="s">
        <v>32364</v>
      </c>
      <c r="K3267" t="s">
        <v>39034</v>
      </c>
      <c r="M3267" t="s">
        <v>40563</v>
      </c>
      <c r="N3267" t="s">
        <v>43166</v>
      </c>
      <c r="O3267" t="s">
        <v>43167</v>
      </c>
      <c r="P3267">
        <v>0</v>
      </c>
      <c r="Q3267">
        <v>0</v>
      </c>
      <c r="R3267" t="s">
        <v>43171</v>
      </c>
      <c r="S3267" t="s">
        <v>43311</v>
      </c>
      <c r="T3267" t="s">
        <v>44722</v>
      </c>
      <c r="U3267" t="s">
        <v>47878</v>
      </c>
      <c r="W3267" t="s">
        <v>40563</v>
      </c>
      <c r="X3267" t="s">
        <v>43172</v>
      </c>
    </row>
    <row r="3268" spans="1:24">
      <c r="A3268">
        <f>HYPERLINK("https://www.philgeps.gov.ph/GEPSNONPILOT/Tender/SplashBidNoticeAbstractUI.aspx?menuIndex=3&amp;refID=7081821&amp;Result=3","7081821")</f>
        <v>0</v>
      </c>
      <c r="B3268" t="s">
        <v>488</v>
      </c>
      <c r="C3268" t="s">
        <v>6540</v>
      </c>
      <c r="D3268" t="s">
        <v>17432</v>
      </c>
      <c r="E3268" t="s">
        <v>20331</v>
      </c>
      <c r="F3268" t="s">
        <v>30052</v>
      </c>
      <c r="G3268" t="s">
        <v>30059</v>
      </c>
      <c r="H3268" t="s">
        <v>15498</v>
      </c>
      <c r="I3268" t="s">
        <v>30074</v>
      </c>
      <c r="J3268" t="s">
        <v>31891</v>
      </c>
      <c r="K3268" t="s">
        <v>39029</v>
      </c>
      <c r="M3268" t="s">
        <v>39789</v>
      </c>
      <c r="N3268" t="s">
        <v>43166</v>
      </c>
      <c r="O3268" t="s">
        <v>43167</v>
      </c>
      <c r="P3268">
        <v>0</v>
      </c>
      <c r="Q3268">
        <v>2</v>
      </c>
      <c r="R3268" t="s">
        <v>43171</v>
      </c>
      <c r="S3268" t="s">
        <v>43311</v>
      </c>
      <c r="T3268" t="s">
        <v>44698</v>
      </c>
      <c r="U3268" t="s">
        <v>46315</v>
      </c>
      <c r="W3268" t="s">
        <v>39789</v>
      </c>
      <c r="X3268" t="s">
        <v>43172</v>
      </c>
    </row>
    <row r="3269" spans="1:24">
      <c r="A3269">
        <f>HYPERLINK("https://www.philgeps.gov.ph/GEPSNONPILOT/Tender/SplashBidNoticeAbstractUI.aspx?menuIndex=3&amp;refID=7081820&amp;Result=3","7081820")</f>
        <v>0</v>
      </c>
      <c r="B3269" t="s">
        <v>1209</v>
      </c>
      <c r="C3269" t="s">
        <v>6541</v>
      </c>
      <c r="D3269" t="s">
        <v>17454</v>
      </c>
      <c r="E3269" t="s">
        <v>20332</v>
      </c>
      <c r="F3269" t="s">
        <v>30055</v>
      </c>
      <c r="G3269" t="s">
        <v>30058</v>
      </c>
      <c r="H3269" t="s">
        <v>15498</v>
      </c>
      <c r="I3269" t="s">
        <v>3736</v>
      </c>
      <c r="J3269" t="s">
        <v>32365</v>
      </c>
      <c r="K3269" t="s">
        <v>39034</v>
      </c>
      <c r="M3269" t="s">
        <v>40563</v>
      </c>
      <c r="N3269" t="s">
        <v>43166</v>
      </c>
      <c r="O3269" t="s">
        <v>43167</v>
      </c>
      <c r="P3269">
        <v>0</v>
      </c>
      <c r="Q3269">
        <v>0</v>
      </c>
      <c r="R3269" t="s">
        <v>43171</v>
      </c>
      <c r="S3269" t="s">
        <v>43311</v>
      </c>
      <c r="T3269" t="s">
        <v>44722</v>
      </c>
      <c r="U3269" t="s">
        <v>47879</v>
      </c>
      <c r="W3269" t="s">
        <v>40563</v>
      </c>
      <c r="X3269" t="s">
        <v>43172</v>
      </c>
    </row>
    <row r="3270" spans="1:24">
      <c r="A3270">
        <f>HYPERLINK("https://www.philgeps.gov.ph/GEPSNONPILOT/Tender/SplashBidNoticeAbstractUI.aspx?menuIndex=3&amp;refID=7081814&amp;Result=3","7081814")</f>
        <v>0</v>
      </c>
      <c r="B3270" t="s">
        <v>1218</v>
      </c>
      <c r="C3270" t="s">
        <v>4247</v>
      </c>
      <c r="D3270" t="s">
        <v>17465</v>
      </c>
      <c r="E3270" t="s">
        <v>20333</v>
      </c>
      <c r="F3270" t="s">
        <v>30052</v>
      </c>
      <c r="G3270" t="s">
        <v>30061</v>
      </c>
      <c r="H3270" t="s">
        <v>15498</v>
      </c>
      <c r="I3270" t="s">
        <v>3736</v>
      </c>
      <c r="J3270" t="s">
        <v>32366</v>
      </c>
      <c r="K3270" t="s">
        <v>39040</v>
      </c>
      <c r="M3270" t="s">
        <v>40572</v>
      </c>
      <c r="N3270" t="s">
        <v>43166</v>
      </c>
      <c r="O3270" t="s">
        <v>43167</v>
      </c>
      <c r="P3270">
        <v>0</v>
      </c>
      <c r="Q3270">
        <v>1</v>
      </c>
      <c r="R3270" t="s">
        <v>43171</v>
      </c>
      <c r="S3270" t="s">
        <v>43311</v>
      </c>
      <c r="T3270" t="s">
        <v>44715</v>
      </c>
      <c r="U3270" t="s">
        <v>47880</v>
      </c>
      <c r="W3270" t="s">
        <v>40572</v>
      </c>
      <c r="X3270" t="s">
        <v>43172</v>
      </c>
    </row>
    <row r="3271" spans="1:24">
      <c r="A3271">
        <f>HYPERLINK("https://www.philgeps.gov.ph/GEPSNONPILOT/Tender/SplashBidNoticeAbstractUI.aspx?menuIndex=3&amp;refID=7081834&amp;Result=3","7081834")</f>
        <v>0</v>
      </c>
      <c r="B3271" t="s">
        <v>1220</v>
      </c>
      <c r="C3271" t="s">
        <v>6542</v>
      </c>
      <c r="D3271" t="s">
        <v>17448</v>
      </c>
      <c r="E3271" t="s">
        <v>20334</v>
      </c>
      <c r="F3271" t="s">
        <v>30052</v>
      </c>
      <c r="G3271" t="s">
        <v>30058</v>
      </c>
      <c r="H3271" t="s">
        <v>30067</v>
      </c>
      <c r="I3271" t="s">
        <v>3693</v>
      </c>
      <c r="J3271" t="s">
        <v>31660</v>
      </c>
      <c r="K3271" t="s">
        <v>39046</v>
      </c>
      <c r="M3271" t="s">
        <v>40574</v>
      </c>
      <c r="N3271" t="s">
        <v>43166</v>
      </c>
      <c r="O3271" t="s">
        <v>43167</v>
      </c>
      <c r="P3271">
        <v>0</v>
      </c>
      <c r="Q3271">
        <v>0</v>
      </c>
      <c r="R3271" t="s">
        <v>43171</v>
      </c>
      <c r="S3271" t="s">
        <v>43311</v>
      </c>
      <c r="T3271" t="s">
        <v>44710</v>
      </c>
      <c r="U3271" t="s">
        <v>47881</v>
      </c>
      <c r="V3271" t="s">
        <v>57195</v>
      </c>
      <c r="W3271" t="s">
        <v>40574</v>
      </c>
      <c r="X3271" t="s">
        <v>43172</v>
      </c>
    </row>
    <row r="3272" spans="1:24">
      <c r="A3272">
        <f>HYPERLINK("https://www.philgeps.gov.ph/GEPSNONPILOT/Tender/SplashBidNoticeAbstractUI.aspx?menuIndex=3&amp;refID=7081847&amp;Result=3","7081847")</f>
        <v>0</v>
      </c>
      <c r="B3272" t="s">
        <v>730</v>
      </c>
      <c r="C3272" t="s">
        <v>3458</v>
      </c>
      <c r="D3272" t="s">
        <v>17415</v>
      </c>
      <c r="E3272" t="s">
        <v>20335</v>
      </c>
      <c r="F3272" t="s">
        <v>30052</v>
      </c>
      <c r="G3272" t="s">
        <v>30059</v>
      </c>
      <c r="H3272" t="s">
        <v>15498</v>
      </c>
      <c r="I3272" t="s">
        <v>4119</v>
      </c>
      <c r="J3272" t="s">
        <v>32367</v>
      </c>
      <c r="K3272" t="s">
        <v>39025</v>
      </c>
      <c r="M3272" t="s">
        <v>40041</v>
      </c>
      <c r="N3272" t="s">
        <v>43166</v>
      </c>
      <c r="O3272" t="s">
        <v>43167</v>
      </c>
      <c r="P3272">
        <v>0</v>
      </c>
      <c r="Q3272">
        <v>9</v>
      </c>
      <c r="R3272" t="s">
        <v>43171</v>
      </c>
      <c r="S3272" t="s">
        <v>43311</v>
      </c>
      <c r="T3272" t="s">
        <v>44880</v>
      </c>
      <c r="U3272" t="s">
        <v>47882</v>
      </c>
      <c r="W3272" t="s">
        <v>40041</v>
      </c>
      <c r="X3272" t="s">
        <v>43172</v>
      </c>
    </row>
    <row r="3273" spans="1:24">
      <c r="A3273">
        <f>HYPERLINK("https://www.philgeps.gov.ph/GEPSNONPILOT/Tender/SplashBidNoticeAbstractUI.aspx?menuIndex=3&amp;refID=7081837&amp;Result=3","7081837")</f>
        <v>0</v>
      </c>
      <c r="B3273" t="s">
        <v>1221</v>
      </c>
      <c r="C3273" t="s">
        <v>6543</v>
      </c>
      <c r="D3273" t="s">
        <v>17489</v>
      </c>
      <c r="E3273" t="s">
        <v>20336</v>
      </c>
      <c r="F3273" t="s">
        <v>30052</v>
      </c>
      <c r="G3273" t="s">
        <v>30058</v>
      </c>
      <c r="H3273" t="s">
        <v>30067</v>
      </c>
      <c r="I3273" t="s">
        <v>3693</v>
      </c>
      <c r="J3273" t="s">
        <v>32368</v>
      </c>
      <c r="K3273" t="s">
        <v>39077</v>
      </c>
      <c r="M3273" t="s">
        <v>40575</v>
      </c>
      <c r="N3273" t="s">
        <v>43166</v>
      </c>
      <c r="O3273" t="s">
        <v>43167</v>
      </c>
      <c r="P3273">
        <v>0</v>
      </c>
      <c r="Q3273">
        <v>0</v>
      </c>
      <c r="R3273" t="s">
        <v>43171</v>
      </c>
      <c r="S3273" t="s">
        <v>43311</v>
      </c>
      <c r="T3273" t="s">
        <v>44791</v>
      </c>
      <c r="U3273" t="s">
        <v>47883</v>
      </c>
      <c r="W3273" t="s">
        <v>40575</v>
      </c>
      <c r="X3273" t="s">
        <v>43172</v>
      </c>
    </row>
    <row r="3274" spans="1:24">
      <c r="A3274">
        <f>HYPERLINK("https://www.philgeps.gov.ph/GEPSNONPILOT/Tender/SplashBidNoticeAbstractUI.aspx?menuIndex=3&amp;refID=7081823&amp;Result=3","7081823")</f>
        <v>0</v>
      </c>
      <c r="B3274" t="s">
        <v>1209</v>
      </c>
      <c r="C3274" t="s">
        <v>6544</v>
      </c>
      <c r="D3274" t="s">
        <v>17454</v>
      </c>
      <c r="E3274" t="s">
        <v>20337</v>
      </c>
      <c r="F3274" t="s">
        <v>30055</v>
      </c>
      <c r="G3274" t="s">
        <v>30058</v>
      </c>
      <c r="H3274" t="s">
        <v>15498</v>
      </c>
      <c r="I3274" t="s">
        <v>3736</v>
      </c>
      <c r="J3274" t="s">
        <v>32361</v>
      </c>
      <c r="K3274" t="s">
        <v>39034</v>
      </c>
      <c r="M3274" t="s">
        <v>40563</v>
      </c>
      <c r="N3274" t="s">
        <v>43166</v>
      </c>
      <c r="O3274" t="s">
        <v>43167</v>
      </c>
      <c r="P3274">
        <v>0</v>
      </c>
      <c r="Q3274">
        <v>0</v>
      </c>
      <c r="R3274" t="s">
        <v>43171</v>
      </c>
      <c r="S3274" t="s">
        <v>43311</v>
      </c>
      <c r="T3274" t="s">
        <v>44722</v>
      </c>
      <c r="U3274" t="s">
        <v>47884</v>
      </c>
      <c r="W3274" t="s">
        <v>40563</v>
      </c>
      <c r="X3274" t="s">
        <v>43172</v>
      </c>
    </row>
    <row r="3275" spans="1:24">
      <c r="A3275">
        <f>HYPERLINK("https://www.philgeps.gov.ph/GEPSNONPILOT/Tender/SplashBidNoticeAbstractUI.aspx?menuIndex=3&amp;refID=7081818&amp;Result=3","7081818")</f>
        <v>0</v>
      </c>
      <c r="B3275" t="s">
        <v>1209</v>
      </c>
      <c r="C3275" t="s">
        <v>6545</v>
      </c>
      <c r="D3275" t="s">
        <v>17454</v>
      </c>
      <c r="E3275" t="s">
        <v>20338</v>
      </c>
      <c r="F3275" t="s">
        <v>30055</v>
      </c>
      <c r="G3275" t="s">
        <v>30058</v>
      </c>
      <c r="H3275" t="s">
        <v>15498</v>
      </c>
      <c r="I3275" t="s">
        <v>3736</v>
      </c>
      <c r="J3275" t="s">
        <v>30644</v>
      </c>
      <c r="K3275" t="s">
        <v>39034</v>
      </c>
      <c r="M3275" t="s">
        <v>40563</v>
      </c>
      <c r="N3275" t="s">
        <v>43166</v>
      </c>
      <c r="O3275" t="s">
        <v>43167</v>
      </c>
      <c r="P3275">
        <v>0</v>
      </c>
      <c r="Q3275">
        <v>0</v>
      </c>
      <c r="R3275" t="s">
        <v>43171</v>
      </c>
      <c r="S3275" t="s">
        <v>43311</v>
      </c>
      <c r="T3275" t="s">
        <v>44722</v>
      </c>
      <c r="U3275" t="s">
        <v>47885</v>
      </c>
      <c r="W3275" t="s">
        <v>40563</v>
      </c>
      <c r="X3275" t="s">
        <v>43172</v>
      </c>
    </row>
    <row r="3276" spans="1:24">
      <c r="A3276">
        <f>HYPERLINK("https://www.philgeps.gov.ph/GEPSNONPILOT/Tender/SplashBidNoticeAbstractUI.aspx?menuIndex=3&amp;refID=7081819&amp;Result=3","7081819")</f>
        <v>0</v>
      </c>
      <c r="B3276" t="s">
        <v>1218</v>
      </c>
      <c r="C3276" t="s">
        <v>6546</v>
      </c>
      <c r="D3276" t="s">
        <v>17465</v>
      </c>
      <c r="E3276" t="s">
        <v>20339</v>
      </c>
      <c r="F3276" t="s">
        <v>30052</v>
      </c>
      <c r="G3276" t="s">
        <v>30061</v>
      </c>
      <c r="H3276" t="s">
        <v>15498</v>
      </c>
      <c r="I3276" t="s">
        <v>30109</v>
      </c>
      <c r="J3276" t="s">
        <v>32369</v>
      </c>
      <c r="K3276" t="s">
        <v>39040</v>
      </c>
      <c r="M3276" t="s">
        <v>40572</v>
      </c>
      <c r="N3276" t="s">
        <v>43166</v>
      </c>
      <c r="O3276" t="s">
        <v>43167</v>
      </c>
      <c r="P3276">
        <v>0</v>
      </c>
      <c r="Q3276">
        <v>2</v>
      </c>
      <c r="R3276" t="s">
        <v>43171</v>
      </c>
      <c r="S3276" t="s">
        <v>43311</v>
      </c>
      <c r="T3276" t="s">
        <v>44715</v>
      </c>
      <c r="U3276" t="s">
        <v>47886</v>
      </c>
      <c r="W3276" t="s">
        <v>40572</v>
      </c>
      <c r="X3276" t="s">
        <v>43172</v>
      </c>
    </row>
    <row r="3277" spans="1:24">
      <c r="A3277">
        <f>HYPERLINK("https://www.philgeps.gov.ph/GEPSNONPILOT/Tender/SplashBidNoticeAbstractUI.aspx?menuIndex=3&amp;refID=7081833&amp;Result=3","7081833")</f>
        <v>0</v>
      </c>
      <c r="B3277" t="s">
        <v>1222</v>
      </c>
      <c r="C3277" t="s">
        <v>6547</v>
      </c>
      <c r="D3277" t="s">
        <v>17458</v>
      </c>
      <c r="E3277" t="s">
        <v>20340</v>
      </c>
      <c r="F3277" t="s">
        <v>30052</v>
      </c>
      <c r="G3277" t="s">
        <v>30058</v>
      </c>
      <c r="H3277" t="s">
        <v>30067</v>
      </c>
      <c r="I3277" t="s">
        <v>3693</v>
      </c>
      <c r="J3277" t="s">
        <v>30222</v>
      </c>
      <c r="K3277" t="s">
        <v>39023</v>
      </c>
      <c r="M3277" t="s">
        <v>40576</v>
      </c>
      <c r="N3277" t="s">
        <v>43166</v>
      </c>
      <c r="O3277" t="s">
        <v>43167</v>
      </c>
      <c r="P3277">
        <v>0</v>
      </c>
      <c r="Q3277">
        <v>0</v>
      </c>
      <c r="R3277" t="s">
        <v>43171</v>
      </c>
      <c r="S3277" t="s">
        <v>43311</v>
      </c>
      <c r="T3277" t="s">
        <v>44713</v>
      </c>
      <c r="U3277" t="s">
        <v>47887</v>
      </c>
      <c r="W3277" t="s">
        <v>40576</v>
      </c>
      <c r="X3277" t="s">
        <v>43172</v>
      </c>
    </row>
    <row r="3278" spans="1:24">
      <c r="A3278">
        <f>HYPERLINK("https://www.philgeps.gov.ph/GEPSNONPILOT/Tender/SplashBidNoticeAbstractUI.aspx?menuIndex=3&amp;refID=7081841&amp;Result=3","7081841")</f>
        <v>0</v>
      </c>
      <c r="B3278" t="s">
        <v>1223</v>
      </c>
      <c r="C3278" t="s">
        <v>6548</v>
      </c>
      <c r="D3278" t="s">
        <v>17444</v>
      </c>
      <c r="E3278" t="s">
        <v>20341</v>
      </c>
      <c r="F3278" t="s">
        <v>30052</v>
      </c>
      <c r="G3278" t="s">
        <v>30059</v>
      </c>
      <c r="H3278" t="s">
        <v>15498</v>
      </c>
      <c r="I3278" t="s">
        <v>4650</v>
      </c>
      <c r="J3278" t="s">
        <v>30337</v>
      </c>
      <c r="K3278" t="s">
        <v>39040</v>
      </c>
      <c r="M3278" t="s">
        <v>40577</v>
      </c>
      <c r="N3278" t="s">
        <v>43166</v>
      </c>
      <c r="O3278" t="s">
        <v>43167</v>
      </c>
      <c r="P3278">
        <v>0</v>
      </c>
      <c r="Q3278">
        <v>2</v>
      </c>
      <c r="R3278" t="s">
        <v>43171</v>
      </c>
      <c r="S3278" t="s">
        <v>43311</v>
      </c>
      <c r="T3278" t="s">
        <v>44954</v>
      </c>
      <c r="U3278" t="s">
        <v>47888</v>
      </c>
      <c r="W3278" t="s">
        <v>40577</v>
      </c>
      <c r="X3278" t="s">
        <v>43172</v>
      </c>
    </row>
    <row r="3279" spans="1:24">
      <c r="A3279">
        <f>HYPERLINK("https://www.philgeps.gov.ph/GEPSNONPILOT/Tender/SplashBidNoticeAbstractUI.aspx?menuIndex=3&amp;refID=7081815&amp;Result=3","7081815")</f>
        <v>0</v>
      </c>
      <c r="B3279" t="s">
        <v>1224</v>
      </c>
      <c r="C3279" t="s">
        <v>6549</v>
      </c>
      <c r="E3279" t="s">
        <v>17779</v>
      </c>
      <c r="F3279" t="s">
        <v>30052</v>
      </c>
      <c r="G3279" t="s">
        <v>30058</v>
      </c>
      <c r="H3279" t="s">
        <v>30067</v>
      </c>
      <c r="I3279" t="s">
        <v>3693</v>
      </c>
      <c r="J3279" t="s">
        <v>32370</v>
      </c>
      <c r="K3279" t="s">
        <v>39025</v>
      </c>
      <c r="M3279" t="s">
        <v>40578</v>
      </c>
      <c r="N3279" t="s">
        <v>43166</v>
      </c>
      <c r="O3279" t="s">
        <v>43167</v>
      </c>
      <c r="P3279">
        <v>0</v>
      </c>
      <c r="Q3279">
        <v>0</v>
      </c>
      <c r="R3279" t="s">
        <v>43171</v>
      </c>
      <c r="S3279" t="s">
        <v>43311</v>
      </c>
      <c r="T3279" t="s">
        <v>44757</v>
      </c>
      <c r="U3279" t="s">
        <v>47889</v>
      </c>
      <c r="W3279" t="s">
        <v>40578</v>
      </c>
      <c r="X3279" t="s">
        <v>43172</v>
      </c>
    </row>
    <row r="3280" spans="1:24">
      <c r="A3280">
        <f>HYPERLINK("https://www.philgeps.gov.ph/GEPSNONPILOT/Tender/SplashBidNoticeAbstractUI.aspx?menuIndex=3&amp;refID=7081855&amp;Result=3","7081855")</f>
        <v>0</v>
      </c>
      <c r="B3280" t="s">
        <v>1225</v>
      </c>
      <c r="C3280" t="s">
        <v>6550</v>
      </c>
      <c r="D3280" t="s">
        <v>17464</v>
      </c>
      <c r="E3280" t="s">
        <v>20342</v>
      </c>
      <c r="F3280" t="s">
        <v>30052</v>
      </c>
      <c r="G3280" t="s">
        <v>30061</v>
      </c>
      <c r="H3280" t="s">
        <v>15498</v>
      </c>
      <c r="I3280" t="s">
        <v>4650</v>
      </c>
      <c r="J3280" t="s">
        <v>30292</v>
      </c>
      <c r="K3280" t="s">
        <v>39019</v>
      </c>
      <c r="M3280" t="s">
        <v>40579</v>
      </c>
      <c r="N3280" t="s">
        <v>43166</v>
      </c>
      <c r="O3280" t="s">
        <v>43167</v>
      </c>
      <c r="P3280">
        <v>0</v>
      </c>
      <c r="Q3280">
        <v>1</v>
      </c>
      <c r="R3280" t="s">
        <v>43171</v>
      </c>
      <c r="S3280" t="s">
        <v>43311</v>
      </c>
      <c r="T3280" t="s">
        <v>44691</v>
      </c>
      <c r="U3280" t="s">
        <v>47890</v>
      </c>
      <c r="V3280" t="s">
        <v>57196</v>
      </c>
      <c r="W3280" t="s">
        <v>40579</v>
      </c>
      <c r="X3280" t="s">
        <v>43172</v>
      </c>
    </row>
    <row r="3281" spans="1:24">
      <c r="A3281">
        <f>HYPERLINK("https://www.philgeps.gov.ph/GEPSNONPILOT/Tender/SplashBidNoticeAbstractUI.aspx?menuIndex=3&amp;refID=7081888&amp;Result=3","7081888")</f>
        <v>0</v>
      </c>
      <c r="B3281" t="s">
        <v>1226</v>
      </c>
      <c r="C3281" t="s">
        <v>6551</v>
      </c>
      <c r="D3281" t="s">
        <v>17434</v>
      </c>
      <c r="E3281" t="s">
        <v>20343</v>
      </c>
      <c r="F3281" t="s">
        <v>30052</v>
      </c>
      <c r="G3281" t="s">
        <v>30058</v>
      </c>
      <c r="H3281" t="s">
        <v>30067</v>
      </c>
      <c r="I3281" t="s">
        <v>3736</v>
      </c>
      <c r="J3281" t="s">
        <v>32371</v>
      </c>
      <c r="K3281" t="s">
        <v>39110</v>
      </c>
      <c r="M3281" t="s">
        <v>40580</v>
      </c>
      <c r="N3281" t="s">
        <v>43166</v>
      </c>
      <c r="O3281" t="s">
        <v>43167</v>
      </c>
      <c r="P3281">
        <v>0</v>
      </c>
      <c r="Q3281">
        <v>1</v>
      </c>
      <c r="R3281" t="s">
        <v>43171</v>
      </c>
      <c r="S3281" t="s">
        <v>43311</v>
      </c>
      <c r="T3281" t="s">
        <v>44710</v>
      </c>
      <c r="U3281" t="s">
        <v>47891</v>
      </c>
      <c r="W3281" t="s">
        <v>40580</v>
      </c>
      <c r="X3281" t="s">
        <v>43172</v>
      </c>
    </row>
    <row r="3282" spans="1:24">
      <c r="A3282">
        <f>HYPERLINK("https://www.philgeps.gov.ph/GEPSNONPILOT/Tender/SplashBidNoticeAbstractUI.aspx?menuIndex=3&amp;refID=7081887&amp;Result=3","7081887")</f>
        <v>0</v>
      </c>
      <c r="B3282" t="s">
        <v>1227</v>
      </c>
      <c r="C3282" t="s">
        <v>6552</v>
      </c>
      <c r="D3282" t="s">
        <v>17453</v>
      </c>
      <c r="E3282" t="s">
        <v>20344</v>
      </c>
      <c r="F3282" t="s">
        <v>30052</v>
      </c>
      <c r="G3282" t="s">
        <v>30058</v>
      </c>
      <c r="H3282" t="s">
        <v>30069</v>
      </c>
      <c r="I3282" t="s">
        <v>30083</v>
      </c>
      <c r="J3282" t="s">
        <v>32372</v>
      </c>
      <c r="K3282" t="s">
        <v>39029</v>
      </c>
      <c r="M3282" t="s">
        <v>40581</v>
      </c>
      <c r="N3282" t="s">
        <v>43166</v>
      </c>
      <c r="O3282" t="s">
        <v>43167</v>
      </c>
      <c r="Q3282">
        <v>1</v>
      </c>
      <c r="R3282" t="s">
        <v>43171</v>
      </c>
      <c r="S3282" t="s">
        <v>43317</v>
      </c>
      <c r="T3282" t="s">
        <v>44795</v>
      </c>
      <c r="U3282" t="s">
        <v>47892</v>
      </c>
      <c r="W3282" t="s">
        <v>40581</v>
      </c>
      <c r="X3282" t="s">
        <v>43172</v>
      </c>
    </row>
    <row r="3283" spans="1:24">
      <c r="A3283">
        <f>HYPERLINK("https://www.philgeps.gov.ph/GEPSNONPILOT/Tender/SplashBidNoticeAbstractUI.aspx?menuIndex=3&amp;refID=7081885&amp;Result=3","7081885")</f>
        <v>0</v>
      </c>
      <c r="B3283" t="s">
        <v>1228</v>
      </c>
      <c r="C3283" t="s">
        <v>6553</v>
      </c>
      <c r="D3283" t="s">
        <v>17416</v>
      </c>
      <c r="E3283" t="s">
        <v>20345</v>
      </c>
      <c r="F3283" t="s">
        <v>30052</v>
      </c>
      <c r="G3283" t="s">
        <v>30059</v>
      </c>
      <c r="H3283" t="s">
        <v>15498</v>
      </c>
      <c r="I3283" t="s">
        <v>6691</v>
      </c>
      <c r="J3283" t="s">
        <v>32373</v>
      </c>
      <c r="K3283" t="s">
        <v>39017</v>
      </c>
      <c r="M3283" t="s">
        <v>40582</v>
      </c>
      <c r="N3283" t="s">
        <v>43166</v>
      </c>
      <c r="O3283" t="s">
        <v>43167</v>
      </c>
      <c r="P3283">
        <v>0</v>
      </c>
      <c r="Q3283">
        <v>1</v>
      </c>
      <c r="R3283" t="s">
        <v>43171</v>
      </c>
      <c r="S3283" t="s">
        <v>43311</v>
      </c>
      <c r="T3283" t="s">
        <v>44844</v>
      </c>
      <c r="U3283" t="s">
        <v>47893</v>
      </c>
      <c r="W3283" t="s">
        <v>40582</v>
      </c>
      <c r="X3283" t="s">
        <v>43172</v>
      </c>
    </row>
    <row r="3284" spans="1:24">
      <c r="A3284">
        <f>HYPERLINK("https://www.philgeps.gov.ph/GEPSNONPILOT/Tender/SplashBidNoticeAbstractUI.aspx?menuIndex=3&amp;refID=7081883&amp;Result=3","7081883")</f>
        <v>0</v>
      </c>
      <c r="B3284" t="s">
        <v>1226</v>
      </c>
      <c r="C3284" t="s">
        <v>6554</v>
      </c>
      <c r="D3284" t="s">
        <v>17434</v>
      </c>
      <c r="E3284" t="s">
        <v>20346</v>
      </c>
      <c r="F3284" t="s">
        <v>30052</v>
      </c>
      <c r="G3284" t="s">
        <v>30058</v>
      </c>
      <c r="H3284" t="s">
        <v>30067</v>
      </c>
      <c r="I3284" t="s">
        <v>3693</v>
      </c>
      <c r="J3284" t="s">
        <v>32374</v>
      </c>
      <c r="K3284" t="s">
        <v>39127</v>
      </c>
      <c r="M3284" t="s">
        <v>40580</v>
      </c>
      <c r="N3284" t="s">
        <v>43166</v>
      </c>
      <c r="O3284" t="s">
        <v>43167</v>
      </c>
      <c r="P3284">
        <v>0</v>
      </c>
      <c r="Q3284">
        <v>0</v>
      </c>
      <c r="R3284" t="s">
        <v>43171</v>
      </c>
      <c r="S3284" t="s">
        <v>43311</v>
      </c>
      <c r="T3284" t="s">
        <v>44710</v>
      </c>
      <c r="U3284" t="s">
        <v>47891</v>
      </c>
      <c r="W3284" t="s">
        <v>40580</v>
      </c>
      <c r="X3284" t="s">
        <v>43172</v>
      </c>
    </row>
    <row r="3285" spans="1:24">
      <c r="A3285">
        <f>HYPERLINK("https://www.philgeps.gov.ph/GEPSNONPILOT/Tender/SplashBidNoticeAbstractUI.aspx?menuIndex=3&amp;refID=7081880&amp;Result=3","7081880")</f>
        <v>0</v>
      </c>
      <c r="B3285" t="s">
        <v>1229</v>
      </c>
      <c r="C3285" t="s">
        <v>6555</v>
      </c>
      <c r="D3285" t="s">
        <v>17448</v>
      </c>
      <c r="E3285" t="s">
        <v>18191</v>
      </c>
      <c r="F3285" t="s">
        <v>30052</v>
      </c>
      <c r="G3285" t="s">
        <v>30058</v>
      </c>
      <c r="H3285" t="s">
        <v>30067</v>
      </c>
      <c r="I3285" t="s">
        <v>3693</v>
      </c>
      <c r="J3285" t="s">
        <v>32375</v>
      </c>
      <c r="K3285" t="s">
        <v>39029</v>
      </c>
      <c r="M3285" t="s">
        <v>40583</v>
      </c>
      <c r="N3285" t="s">
        <v>43166</v>
      </c>
      <c r="O3285" t="s">
        <v>43167</v>
      </c>
      <c r="P3285">
        <v>0</v>
      </c>
      <c r="Q3285">
        <v>0</v>
      </c>
      <c r="R3285" t="s">
        <v>43171</v>
      </c>
      <c r="S3285" t="s">
        <v>43311</v>
      </c>
      <c r="T3285" t="s">
        <v>44723</v>
      </c>
      <c r="U3285" t="s">
        <v>47894</v>
      </c>
      <c r="W3285" t="s">
        <v>40583</v>
      </c>
      <c r="X3285" t="s">
        <v>43172</v>
      </c>
    </row>
    <row r="3286" spans="1:24">
      <c r="A3286">
        <f>HYPERLINK("https://www.philgeps.gov.ph/GEPSNONPILOT/Tender/SplashBidNoticeAbstractUI.aspx?menuIndex=3&amp;refID=7081875&amp;Result=3","7081875")</f>
        <v>0</v>
      </c>
      <c r="B3286" t="s">
        <v>1229</v>
      </c>
      <c r="C3286" t="s">
        <v>6556</v>
      </c>
      <c r="D3286" t="s">
        <v>17448</v>
      </c>
      <c r="E3286" t="s">
        <v>18191</v>
      </c>
      <c r="F3286" t="s">
        <v>30052</v>
      </c>
      <c r="G3286" t="s">
        <v>30058</v>
      </c>
      <c r="H3286" t="s">
        <v>30067</v>
      </c>
      <c r="I3286" t="s">
        <v>3693</v>
      </c>
      <c r="J3286" t="s">
        <v>32376</v>
      </c>
      <c r="K3286" t="s">
        <v>39029</v>
      </c>
      <c r="M3286" t="s">
        <v>40583</v>
      </c>
      <c r="N3286" t="s">
        <v>43166</v>
      </c>
      <c r="O3286" t="s">
        <v>43167</v>
      </c>
      <c r="P3286">
        <v>0</v>
      </c>
      <c r="Q3286">
        <v>0</v>
      </c>
      <c r="R3286" t="s">
        <v>43171</v>
      </c>
      <c r="S3286" t="s">
        <v>43311</v>
      </c>
      <c r="T3286" t="s">
        <v>44723</v>
      </c>
      <c r="U3286" t="s">
        <v>47895</v>
      </c>
      <c r="W3286" t="s">
        <v>40583</v>
      </c>
      <c r="X3286" t="s">
        <v>43172</v>
      </c>
    </row>
    <row r="3287" spans="1:24">
      <c r="A3287">
        <f>HYPERLINK("https://www.philgeps.gov.ph/GEPSNONPILOT/Tender/SplashBidNoticeAbstractUI.aspx?menuIndex=3&amp;refID=7081816&amp;Result=3","7081816")</f>
        <v>0</v>
      </c>
      <c r="B3287" t="s">
        <v>1230</v>
      </c>
      <c r="C3287" t="s">
        <v>6557</v>
      </c>
      <c r="E3287" t="s">
        <v>17585</v>
      </c>
      <c r="F3287" t="s">
        <v>30052</v>
      </c>
      <c r="G3287" t="s">
        <v>30058</v>
      </c>
      <c r="H3287" t="s">
        <v>15498</v>
      </c>
      <c r="I3287" t="s">
        <v>30106</v>
      </c>
      <c r="J3287" t="s">
        <v>30230</v>
      </c>
      <c r="K3287" t="s">
        <v>39025</v>
      </c>
      <c r="M3287" t="s">
        <v>40584</v>
      </c>
      <c r="N3287" t="s">
        <v>43166</v>
      </c>
      <c r="O3287" t="s">
        <v>43167</v>
      </c>
      <c r="P3287">
        <v>0</v>
      </c>
      <c r="Q3287">
        <v>1</v>
      </c>
      <c r="R3287" t="s">
        <v>43171</v>
      </c>
      <c r="S3287" t="s">
        <v>43311</v>
      </c>
      <c r="T3287" t="s">
        <v>44757</v>
      </c>
      <c r="U3287" t="s">
        <v>47896</v>
      </c>
      <c r="W3287" t="s">
        <v>58629</v>
      </c>
      <c r="X3287" t="s">
        <v>43172</v>
      </c>
    </row>
    <row r="3288" spans="1:24">
      <c r="A3288">
        <f>HYPERLINK("https://www.philgeps.gov.ph/GEPSNONPILOT/Tender/SplashBidNoticeAbstractUI.aspx?menuIndex=3&amp;refID=7081889&amp;Result=3","7081889")</f>
        <v>0</v>
      </c>
      <c r="B3288" t="s">
        <v>1231</v>
      </c>
      <c r="C3288" t="s">
        <v>6558</v>
      </c>
      <c r="D3288" t="s">
        <v>17416</v>
      </c>
      <c r="E3288" t="s">
        <v>17892</v>
      </c>
      <c r="F3288" t="s">
        <v>30052</v>
      </c>
      <c r="G3288" t="s">
        <v>30058</v>
      </c>
      <c r="H3288" t="s">
        <v>15498</v>
      </c>
      <c r="I3288" t="s">
        <v>30074</v>
      </c>
      <c r="J3288" t="s">
        <v>32377</v>
      </c>
      <c r="K3288" t="s">
        <v>39017</v>
      </c>
      <c r="M3288" t="s">
        <v>40585</v>
      </c>
      <c r="N3288" t="s">
        <v>43166</v>
      </c>
      <c r="O3288" t="s">
        <v>43167</v>
      </c>
      <c r="P3288">
        <v>0</v>
      </c>
      <c r="Q3288">
        <v>2</v>
      </c>
      <c r="R3288" t="s">
        <v>43171</v>
      </c>
      <c r="S3288" t="s">
        <v>43311</v>
      </c>
      <c r="T3288" t="s">
        <v>44806</v>
      </c>
      <c r="U3288" t="s">
        <v>47897</v>
      </c>
      <c r="W3288" t="s">
        <v>40585</v>
      </c>
      <c r="X3288" t="s">
        <v>43172</v>
      </c>
    </row>
    <row r="3289" spans="1:24">
      <c r="A3289">
        <f>HYPERLINK("https://www.philgeps.gov.ph/GEPSNONPILOT/Tender/SplashBidNoticeAbstractUI.aspx?menuIndex=3&amp;refID=7081856&amp;Result=3","7081856")</f>
        <v>0</v>
      </c>
      <c r="B3289" t="s">
        <v>1232</v>
      </c>
      <c r="C3289" t="s">
        <v>6559</v>
      </c>
      <c r="D3289" t="s">
        <v>17454</v>
      </c>
      <c r="E3289" t="s">
        <v>6559</v>
      </c>
      <c r="F3289" t="s">
        <v>30052</v>
      </c>
      <c r="G3289" t="s">
        <v>30059</v>
      </c>
      <c r="H3289" t="s">
        <v>15498</v>
      </c>
      <c r="I3289" t="s">
        <v>30108</v>
      </c>
      <c r="J3289" t="s">
        <v>32378</v>
      </c>
      <c r="K3289" t="s">
        <v>39019</v>
      </c>
      <c r="M3289" t="s">
        <v>40586</v>
      </c>
      <c r="N3289" t="s">
        <v>43166</v>
      </c>
      <c r="O3289" t="s">
        <v>43167</v>
      </c>
      <c r="P3289">
        <v>0</v>
      </c>
      <c r="Q3289">
        <v>2</v>
      </c>
      <c r="R3289" t="s">
        <v>43171</v>
      </c>
      <c r="S3289" t="s">
        <v>43311</v>
      </c>
      <c r="T3289" t="s">
        <v>44732</v>
      </c>
      <c r="U3289" t="s">
        <v>47898</v>
      </c>
      <c r="W3289" t="s">
        <v>40586</v>
      </c>
      <c r="X3289" t="s">
        <v>43172</v>
      </c>
    </row>
    <row r="3290" spans="1:24">
      <c r="A3290">
        <f>HYPERLINK("https://www.philgeps.gov.ph/GEPSNONPILOT/Tender/SplashBidNoticeAbstractUI.aspx?menuIndex=3&amp;refID=7081895&amp;Result=3","7081895")</f>
        <v>0</v>
      </c>
      <c r="B3290" t="s">
        <v>1233</v>
      </c>
      <c r="C3290" t="s">
        <v>6560</v>
      </c>
      <c r="D3290" t="s">
        <v>17442</v>
      </c>
      <c r="E3290" t="s">
        <v>20347</v>
      </c>
      <c r="F3290" t="s">
        <v>30052</v>
      </c>
      <c r="G3290" t="s">
        <v>30059</v>
      </c>
      <c r="H3290" t="s">
        <v>15498</v>
      </c>
      <c r="I3290" t="s">
        <v>30130</v>
      </c>
      <c r="J3290" t="s">
        <v>30358</v>
      </c>
      <c r="K3290" t="s">
        <v>39029</v>
      </c>
      <c r="M3290" t="s">
        <v>40587</v>
      </c>
      <c r="N3290" t="s">
        <v>43166</v>
      </c>
      <c r="O3290" t="s">
        <v>43167</v>
      </c>
      <c r="P3290">
        <v>0</v>
      </c>
      <c r="Q3290">
        <v>2</v>
      </c>
      <c r="R3290" t="s">
        <v>43171</v>
      </c>
      <c r="S3290" t="s">
        <v>43311</v>
      </c>
      <c r="T3290" t="s">
        <v>44773</v>
      </c>
      <c r="U3290" t="s">
        <v>47899</v>
      </c>
      <c r="W3290" t="s">
        <v>40587</v>
      </c>
      <c r="X3290" t="s">
        <v>43172</v>
      </c>
    </row>
    <row r="3291" spans="1:24">
      <c r="A3291">
        <f>HYPERLINK("https://www.philgeps.gov.ph/GEPSNONPILOT/Tender/SplashBidNoticeAbstractUI.aspx?menuIndex=3&amp;refID=7081891&amp;Result=3","7081891")</f>
        <v>0</v>
      </c>
      <c r="B3291" t="s">
        <v>741</v>
      </c>
      <c r="C3291" t="s">
        <v>6561</v>
      </c>
      <c r="D3291" t="s">
        <v>17425</v>
      </c>
      <c r="E3291" t="s">
        <v>20348</v>
      </c>
      <c r="F3291" t="s">
        <v>30052</v>
      </c>
      <c r="G3291" t="s">
        <v>30059</v>
      </c>
      <c r="H3291" t="s">
        <v>15498</v>
      </c>
      <c r="I3291" t="s">
        <v>30070</v>
      </c>
      <c r="J3291" t="s">
        <v>30256</v>
      </c>
      <c r="K3291" t="s">
        <v>39019</v>
      </c>
      <c r="M3291" t="s">
        <v>40055</v>
      </c>
      <c r="N3291" t="s">
        <v>43166</v>
      </c>
      <c r="O3291" t="s">
        <v>43167</v>
      </c>
      <c r="P3291">
        <v>0</v>
      </c>
      <c r="Q3291">
        <v>5</v>
      </c>
      <c r="R3291" t="s">
        <v>43171</v>
      </c>
      <c r="S3291" t="s">
        <v>43311</v>
      </c>
      <c r="T3291" t="s">
        <v>44696</v>
      </c>
      <c r="U3291" t="s">
        <v>47900</v>
      </c>
      <c r="W3291" t="s">
        <v>40055</v>
      </c>
      <c r="X3291" t="s">
        <v>43172</v>
      </c>
    </row>
    <row r="3292" spans="1:24">
      <c r="A3292">
        <f>HYPERLINK("https://www.philgeps.gov.ph/GEPSNONPILOT/Tender/SplashBidNoticeAbstractUI.aspx?menuIndex=3&amp;refID=7081890&amp;Result=3","7081890")</f>
        <v>0</v>
      </c>
      <c r="B3292" t="s">
        <v>541</v>
      </c>
      <c r="C3292" t="s">
        <v>4865</v>
      </c>
      <c r="D3292" t="s">
        <v>17458</v>
      </c>
      <c r="E3292" t="s">
        <v>20349</v>
      </c>
      <c r="F3292" t="s">
        <v>30052</v>
      </c>
      <c r="G3292" t="s">
        <v>30062</v>
      </c>
      <c r="H3292" t="s">
        <v>15498</v>
      </c>
      <c r="I3292" t="s">
        <v>30070</v>
      </c>
      <c r="J3292" t="s">
        <v>32379</v>
      </c>
      <c r="K3292" t="s">
        <v>39017</v>
      </c>
      <c r="M3292" t="s">
        <v>39843</v>
      </c>
      <c r="N3292" t="s">
        <v>43166</v>
      </c>
      <c r="O3292" t="s">
        <v>43167</v>
      </c>
      <c r="P3292">
        <v>0</v>
      </c>
      <c r="Q3292">
        <v>1</v>
      </c>
      <c r="R3292" t="s">
        <v>43171</v>
      </c>
      <c r="S3292" t="s">
        <v>43311</v>
      </c>
      <c r="T3292" t="s">
        <v>44773</v>
      </c>
      <c r="U3292" t="s">
        <v>46423</v>
      </c>
      <c r="W3292" t="s">
        <v>58604</v>
      </c>
      <c r="X3292" t="s">
        <v>43172</v>
      </c>
    </row>
    <row r="3293" spans="1:24">
      <c r="A3293">
        <f>HYPERLINK("https://www.philgeps.gov.ph/GEPSNONPILOT/Tender/SplashBidNoticeAbstractUI.aspx?menuIndex=3&amp;refID=7081866&amp;Result=3","7081866")</f>
        <v>0</v>
      </c>
      <c r="B3293" t="s">
        <v>1228</v>
      </c>
      <c r="C3293" t="s">
        <v>6562</v>
      </c>
      <c r="D3293" t="s">
        <v>17416</v>
      </c>
      <c r="E3293" t="s">
        <v>20350</v>
      </c>
      <c r="F3293" t="s">
        <v>30052</v>
      </c>
      <c r="G3293" t="s">
        <v>30059</v>
      </c>
      <c r="H3293" t="s">
        <v>15498</v>
      </c>
      <c r="I3293" t="s">
        <v>6691</v>
      </c>
      <c r="J3293" t="s">
        <v>30733</v>
      </c>
      <c r="K3293" t="s">
        <v>39018</v>
      </c>
      <c r="M3293" t="s">
        <v>40582</v>
      </c>
      <c r="N3293" t="s">
        <v>43166</v>
      </c>
      <c r="O3293" t="s">
        <v>43167</v>
      </c>
      <c r="P3293">
        <v>0</v>
      </c>
      <c r="Q3293">
        <v>1</v>
      </c>
      <c r="R3293" t="s">
        <v>43171</v>
      </c>
      <c r="S3293" t="s">
        <v>43311</v>
      </c>
      <c r="T3293" t="s">
        <v>44844</v>
      </c>
      <c r="U3293" t="s">
        <v>47901</v>
      </c>
      <c r="W3293" t="s">
        <v>40582</v>
      </c>
      <c r="X3293" t="s">
        <v>43172</v>
      </c>
    </row>
    <row r="3294" spans="1:24">
      <c r="A3294">
        <f>HYPERLINK("https://www.philgeps.gov.ph/GEPSNONPILOT/Tender/SplashBidNoticeAbstractUI.aspx?menuIndex=3&amp;refID=7081865&amp;Result=3","7081865")</f>
        <v>0</v>
      </c>
      <c r="B3294" t="s">
        <v>1234</v>
      </c>
      <c r="C3294" t="s">
        <v>6563</v>
      </c>
      <c r="D3294" t="s">
        <v>17415</v>
      </c>
      <c r="E3294" t="s">
        <v>20351</v>
      </c>
      <c r="F3294" t="s">
        <v>30052</v>
      </c>
      <c r="G3294" t="s">
        <v>30061</v>
      </c>
      <c r="H3294" t="s">
        <v>15498</v>
      </c>
      <c r="I3294" t="s">
        <v>30109</v>
      </c>
      <c r="J3294" t="s">
        <v>30587</v>
      </c>
      <c r="K3294" t="s">
        <v>39017</v>
      </c>
      <c r="M3294" t="s">
        <v>40588</v>
      </c>
      <c r="N3294" t="s">
        <v>43166</v>
      </c>
      <c r="O3294" t="s">
        <v>43167</v>
      </c>
      <c r="P3294">
        <v>0</v>
      </c>
      <c r="Q3294">
        <v>10</v>
      </c>
      <c r="R3294" t="s">
        <v>43171</v>
      </c>
      <c r="S3294" t="s">
        <v>43311</v>
      </c>
      <c r="T3294" t="s">
        <v>44691</v>
      </c>
      <c r="U3294" t="s">
        <v>47902</v>
      </c>
      <c r="W3294" t="s">
        <v>40588</v>
      </c>
      <c r="X3294" t="s">
        <v>43172</v>
      </c>
    </row>
    <row r="3295" spans="1:24">
      <c r="A3295">
        <f>HYPERLINK("https://www.philgeps.gov.ph/GEPSNONPILOT/Tender/SplashBidNoticeAbstractUI.aspx?menuIndex=3&amp;refID=7081864&amp;Result=3","7081864")</f>
        <v>0</v>
      </c>
      <c r="B3295" t="s">
        <v>1235</v>
      </c>
      <c r="C3295" t="s">
        <v>6564</v>
      </c>
      <c r="D3295" t="s">
        <v>17415</v>
      </c>
      <c r="E3295" t="s">
        <v>20352</v>
      </c>
      <c r="F3295" t="s">
        <v>30052</v>
      </c>
      <c r="G3295" t="s">
        <v>30059</v>
      </c>
      <c r="H3295" t="s">
        <v>30067</v>
      </c>
      <c r="I3295" t="s">
        <v>3736</v>
      </c>
      <c r="J3295" t="s">
        <v>32380</v>
      </c>
      <c r="K3295" t="s">
        <v>39023</v>
      </c>
      <c r="M3295" t="s">
        <v>40589</v>
      </c>
      <c r="N3295" t="s">
        <v>43166</v>
      </c>
      <c r="O3295" t="s">
        <v>43167</v>
      </c>
      <c r="P3295">
        <v>0</v>
      </c>
      <c r="Q3295">
        <v>4</v>
      </c>
      <c r="R3295" t="s">
        <v>43171</v>
      </c>
      <c r="S3295" t="s">
        <v>43311</v>
      </c>
      <c r="T3295" t="s">
        <v>44728</v>
      </c>
      <c r="U3295" t="s">
        <v>47903</v>
      </c>
      <c r="V3295" t="s">
        <v>57197</v>
      </c>
      <c r="W3295" t="s">
        <v>40589</v>
      </c>
      <c r="X3295" t="s">
        <v>43172</v>
      </c>
    </row>
    <row r="3296" spans="1:24">
      <c r="A3296">
        <f>HYPERLINK("https://www.philgeps.gov.ph/GEPSNONPILOT/Tender/SplashBidNoticeAbstractUI.aspx?menuIndex=3&amp;refID=7081860&amp;Result=3","7081860")</f>
        <v>0</v>
      </c>
      <c r="B3296" t="s">
        <v>1235</v>
      </c>
      <c r="C3296" t="s">
        <v>6565</v>
      </c>
      <c r="D3296" t="s">
        <v>17415</v>
      </c>
      <c r="E3296" t="s">
        <v>20353</v>
      </c>
      <c r="F3296" t="s">
        <v>30052</v>
      </c>
      <c r="G3296" t="s">
        <v>30059</v>
      </c>
      <c r="H3296" t="s">
        <v>30067</v>
      </c>
      <c r="I3296" t="s">
        <v>3736</v>
      </c>
      <c r="J3296" t="s">
        <v>32381</v>
      </c>
      <c r="K3296" t="s">
        <v>39029</v>
      </c>
      <c r="M3296" t="s">
        <v>40589</v>
      </c>
      <c r="N3296" t="s">
        <v>43166</v>
      </c>
      <c r="O3296" t="s">
        <v>43167</v>
      </c>
      <c r="P3296">
        <v>0</v>
      </c>
      <c r="Q3296">
        <v>3</v>
      </c>
      <c r="R3296" t="s">
        <v>43171</v>
      </c>
      <c r="S3296" t="s">
        <v>43311</v>
      </c>
      <c r="T3296" t="s">
        <v>44728</v>
      </c>
      <c r="U3296" t="s">
        <v>47904</v>
      </c>
      <c r="V3296" t="s">
        <v>57198</v>
      </c>
      <c r="W3296" t="s">
        <v>40589</v>
      </c>
      <c r="X3296" t="s">
        <v>43172</v>
      </c>
    </row>
    <row r="3297" spans="1:24">
      <c r="A3297">
        <f>HYPERLINK("https://www.philgeps.gov.ph/GEPSNONPILOT/Tender/SplashBidNoticeAbstractUI.aspx?menuIndex=3&amp;refID=7081900&amp;Result=3","7081900")</f>
        <v>0</v>
      </c>
      <c r="B3297" t="s">
        <v>696</v>
      </c>
      <c r="C3297" t="s">
        <v>6566</v>
      </c>
      <c r="D3297" t="s">
        <v>17432</v>
      </c>
      <c r="E3297" t="s">
        <v>20354</v>
      </c>
      <c r="F3297" t="s">
        <v>30052</v>
      </c>
      <c r="G3297" t="s">
        <v>30059</v>
      </c>
      <c r="H3297" t="s">
        <v>15498</v>
      </c>
      <c r="I3297" t="s">
        <v>4119</v>
      </c>
      <c r="J3297" t="s">
        <v>32382</v>
      </c>
      <c r="K3297" t="s">
        <v>39064</v>
      </c>
      <c r="M3297" t="s">
        <v>40004</v>
      </c>
      <c r="N3297" t="s">
        <v>43166</v>
      </c>
      <c r="O3297" t="s">
        <v>43167</v>
      </c>
      <c r="P3297">
        <v>0</v>
      </c>
      <c r="Q3297">
        <v>0</v>
      </c>
      <c r="R3297" t="s">
        <v>43171</v>
      </c>
      <c r="S3297" t="s">
        <v>43311</v>
      </c>
      <c r="T3297" t="s">
        <v>44696</v>
      </c>
      <c r="U3297" t="s">
        <v>47905</v>
      </c>
      <c r="W3297" t="s">
        <v>40004</v>
      </c>
      <c r="X3297" t="s">
        <v>43172</v>
      </c>
    </row>
    <row r="3298" spans="1:24">
      <c r="A3298">
        <f>HYPERLINK("https://www.philgeps.gov.ph/GEPSNONPILOT/Tender/SplashBidNoticeAbstractUI.aspx?menuIndex=3&amp;refID=7081922&amp;Result=3","7081922")</f>
        <v>0</v>
      </c>
      <c r="B3298" t="s">
        <v>797</v>
      </c>
      <c r="C3298" t="s">
        <v>6567</v>
      </c>
      <c r="D3298" t="s">
        <v>17459</v>
      </c>
      <c r="E3298" t="s">
        <v>20355</v>
      </c>
      <c r="F3298" t="s">
        <v>30052</v>
      </c>
      <c r="G3298" t="s">
        <v>30059</v>
      </c>
      <c r="H3298" t="s">
        <v>15498</v>
      </c>
      <c r="I3298" t="s">
        <v>30077</v>
      </c>
      <c r="J3298" t="s">
        <v>30256</v>
      </c>
      <c r="K3298" t="s">
        <v>39029</v>
      </c>
      <c r="M3298" t="s">
        <v>40114</v>
      </c>
      <c r="N3298" t="s">
        <v>43166</v>
      </c>
      <c r="O3298" t="s">
        <v>43167</v>
      </c>
      <c r="P3298">
        <v>0</v>
      </c>
      <c r="Q3298">
        <v>4</v>
      </c>
      <c r="R3298" t="s">
        <v>43171</v>
      </c>
      <c r="S3298" t="s">
        <v>43311</v>
      </c>
      <c r="T3298" t="s">
        <v>44777</v>
      </c>
      <c r="U3298" t="s">
        <v>47906</v>
      </c>
      <c r="W3298" t="s">
        <v>40114</v>
      </c>
      <c r="X3298" t="s">
        <v>43172</v>
      </c>
    </row>
    <row r="3299" spans="1:24">
      <c r="A3299">
        <f>HYPERLINK("https://www.philgeps.gov.ph/GEPSNONPILOT/Tender/SplashBidNoticeAbstractUI.aspx?menuIndex=3&amp;refID=7081921&amp;Result=3","7081921")</f>
        <v>0</v>
      </c>
      <c r="B3299" t="s">
        <v>165</v>
      </c>
      <c r="C3299" t="s">
        <v>6568</v>
      </c>
      <c r="D3299" t="s">
        <v>17448</v>
      </c>
      <c r="E3299" t="s">
        <v>20356</v>
      </c>
      <c r="F3299" t="s">
        <v>30052</v>
      </c>
      <c r="G3299" t="s">
        <v>30059</v>
      </c>
      <c r="H3299" t="s">
        <v>15498</v>
      </c>
      <c r="I3299" t="s">
        <v>4598</v>
      </c>
      <c r="J3299" t="s">
        <v>31891</v>
      </c>
      <c r="K3299" t="s">
        <v>39029</v>
      </c>
      <c r="M3299" t="s">
        <v>39454</v>
      </c>
      <c r="N3299" t="s">
        <v>43166</v>
      </c>
      <c r="O3299" t="s">
        <v>43167</v>
      </c>
      <c r="P3299">
        <v>0</v>
      </c>
      <c r="Q3299">
        <v>7</v>
      </c>
      <c r="R3299" t="s">
        <v>43171</v>
      </c>
      <c r="S3299" t="s">
        <v>43311</v>
      </c>
      <c r="T3299" t="s">
        <v>44715</v>
      </c>
      <c r="U3299" t="s">
        <v>47907</v>
      </c>
      <c r="W3299" t="s">
        <v>39454</v>
      </c>
      <c r="X3299" t="s">
        <v>43172</v>
      </c>
    </row>
    <row r="3300" spans="1:24">
      <c r="A3300">
        <f>HYPERLINK("https://www.philgeps.gov.ph/GEPSNONPILOT/Tender/SplashBidNoticeAbstractUI.aspx?menuIndex=3&amp;refID=7081917&amp;Result=3","7081917")</f>
        <v>0</v>
      </c>
      <c r="B3300" t="s">
        <v>816</v>
      </c>
      <c r="C3300" t="s">
        <v>6569</v>
      </c>
      <c r="D3300" t="s">
        <v>17449</v>
      </c>
      <c r="E3300" t="s">
        <v>20357</v>
      </c>
      <c r="F3300" t="s">
        <v>30052</v>
      </c>
      <c r="G3300" t="s">
        <v>30059</v>
      </c>
      <c r="H3300" t="s">
        <v>15498</v>
      </c>
      <c r="I3300" t="s">
        <v>30075</v>
      </c>
      <c r="J3300" t="s">
        <v>31206</v>
      </c>
      <c r="K3300" t="s">
        <v>39034</v>
      </c>
      <c r="M3300" t="s">
        <v>40133</v>
      </c>
      <c r="N3300" t="s">
        <v>43166</v>
      </c>
      <c r="O3300" t="s">
        <v>43167</v>
      </c>
      <c r="P3300">
        <v>0</v>
      </c>
      <c r="Q3300">
        <v>1</v>
      </c>
      <c r="R3300" t="s">
        <v>43171</v>
      </c>
      <c r="S3300" t="s">
        <v>43311</v>
      </c>
      <c r="T3300" t="s">
        <v>44717</v>
      </c>
      <c r="U3300" t="s">
        <v>47908</v>
      </c>
      <c r="W3300" t="s">
        <v>40133</v>
      </c>
      <c r="X3300" t="s">
        <v>43172</v>
      </c>
    </row>
    <row r="3301" spans="1:24">
      <c r="A3301">
        <f>HYPERLINK("https://www.philgeps.gov.ph/GEPSNONPILOT/Tender/SplashBidNoticeAbstractUI.aspx?menuIndex=3&amp;refID=7081878&amp;Result=3","7081878")</f>
        <v>0</v>
      </c>
      <c r="B3301" t="s">
        <v>529</v>
      </c>
      <c r="C3301" t="s">
        <v>4614</v>
      </c>
      <c r="D3301" t="s">
        <v>17474</v>
      </c>
      <c r="E3301" t="s">
        <v>20358</v>
      </c>
      <c r="F3301" t="s">
        <v>30052</v>
      </c>
      <c r="G3301" t="s">
        <v>30058</v>
      </c>
      <c r="H3301" t="s">
        <v>15498</v>
      </c>
      <c r="I3301" t="s">
        <v>3736</v>
      </c>
      <c r="J3301" t="s">
        <v>32383</v>
      </c>
      <c r="K3301" t="s">
        <v>39034</v>
      </c>
      <c r="M3301" t="s">
        <v>39831</v>
      </c>
      <c r="N3301" t="s">
        <v>43166</v>
      </c>
      <c r="O3301" t="s">
        <v>43167</v>
      </c>
      <c r="P3301">
        <v>0</v>
      </c>
      <c r="Q3301">
        <v>0</v>
      </c>
      <c r="R3301" t="s">
        <v>43171</v>
      </c>
      <c r="S3301" t="s">
        <v>43311</v>
      </c>
      <c r="T3301" t="s">
        <v>44704</v>
      </c>
      <c r="U3301" t="s">
        <v>47909</v>
      </c>
      <c r="V3301" t="s">
        <v>57199</v>
      </c>
      <c r="W3301" t="s">
        <v>39831</v>
      </c>
      <c r="X3301" t="s">
        <v>43172</v>
      </c>
    </row>
    <row r="3302" spans="1:24">
      <c r="A3302">
        <f>HYPERLINK("https://www.philgeps.gov.ph/GEPSNONPILOT/Tender/SplashBidNoticeAbstractUI.aspx?menuIndex=3&amp;refID=7081912&amp;Result=3","7081912")</f>
        <v>0</v>
      </c>
      <c r="B3302" t="s">
        <v>1236</v>
      </c>
      <c r="C3302" t="s">
        <v>6570</v>
      </c>
      <c r="D3302" t="s">
        <v>17425</v>
      </c>
      <c r="E3302" t="s">
        <v>20359</v>
      </c>
      <c r="F3302" t="s">
        <v>30052</v>
      </c>
      <c r="G3302" t="s">
        <v>30059</v>
      </c>
      <c r="H3302" t="s">
        <v>15498</v>
      </c>
      <c r="I3302" t="s">
        <v>30081</v>
      </c>
      <c r="J3302" t="s">
        <v>32384</v>
      </c>
      <c r="K3302" t="s">
        <v>39029</v>
      </c>
      <c r="M3302" t="s">
        <v>40590</v>
      </c>
      <c r="N3302" t="s">
        <v>43166</v>
      </c>
      <c r="O3302" t="s">
        <v>43167</v>
      </c>
      <c r="P3302">
        <v>0</v>
      </c>
      <c r="Q3302">
        <v>0</v>
      </c>
      <c r="R3302" t="s">
        <v>43171</v>
      </c>
      <c r="S3302" t="s">
        <v>43311</v>
      </c>
      <c r="T3302" t="s">
        <v>44856</v>
      </c>
      <c r="U3302" t="s">
        <v>47910</v>
      </c>
      <c r="V3302" t="s">
        <v>45512</v>
      </c>
      <c r="W3302" t="s">
        <v>40590</v>
      </c>
      <c r="X3302" t="s">
        <v>43172</v>
      </c>
    </row>
    <row r="3303" spans="1:24">
      <c r="A3303">
        <f>HYPERLINK("https://www.philgeps.gov.ph/GEPSNONPILOT/Tender/SplashBidNoticeAbstractUI.aspx?menuIndex=3&amp;refID=7081849&amp;Result=3","7081849")</f>
        <v>0</v>
      </c>
      <c r="B3303" t="s">
        <v>1237</v>
      </c>
      <c r="C3303" t="s">
        <v>6571</v>
      </c>
      <c r="D3303" t="s">
        <v>17424</v>
      </c>
      <c r="E3303" t="s">
        <v>20360</v>
      </c>
      <c r="F3303" t="s">
        <v>30052</v>
      </c>
      <c r="G3303" t="s">
        <v>30058</v>
      </c>
      <c r="H3303" t="s">
        <v>15498</v>
      </c>
      <c r="I3303" t="s">
        <v>3736</v>
      </c>
      <c r="J3303" t="s">
        <v>32385</v>
      </c>
      <c r="K3303" t="s">
        <v>39046</v>
      </c>
      <c r="M3303" t="s">
        <v>40591</v>
      </c>
      <c r="N3303" t="s">
        <v>43166</v>
      </c>
      <c r="O3303" t="s">
        <v>43167</v>
      </c>
      <c r="P3303">
        <v>0</v>
      </c>
      <c r="Q3303">
        <v>3</v>
      </c>
      <c r="R3303" t="s">
        <v>43171</v>
      </c>
      <c r="S3303" t="s">
        <v>43311</v>
      </c>
      <c r="T3303" t="s">
        <v>44955</v>
      </c>
      <c r="U3303" t="s">
        <v>47911</v>
      </c>
      <c r="W3303" t="s">
        <v>40591</v>
      </c>
      <c r="X3303" t="s">
        <v>43172</v>
      </c>
    </row>
    <row r="3304" spans="1:24">
      <c r="A3304">
        <f>HYPERLINK("https://www.philgeps.gov.ph/GEPSNONPILOT/Tender/SplashBidNoticeAbstractUI.aspx?menuIndex=3&amp;refID=7081872&amp;Result=3","7081872")</f>
        <v>0</v>
      </c>
      <c r="B3304" t="s">
        <v>1000</v>
      </c>
      <c r="C3304" t="s">
        <v>6572</v>
      </c>
      <c r="D3304" t="s">
        <v>17422</v>
      </c>
      <c r="E3304" t="s">
        <v>20361</v>
      </c>
      <c r="F3304" t="s">
        <v>30052</v>
      </c>
      <c r="G3304" t="s">
        <v>30058</v>
      </c>
      <c r="H3304" t="s">
        <v>15498</v>
      </c>
      <c r="I3304" t="s">
        <v>9238</v>
      </c>
      <c r="J3304" t="s">
        <v>32386</v>
      </c>
      <c r="K3304" t="s">
        <v>39064</v>
      </c>
      <c r="M3304" t="s">
        <v>40541</v>
      </c>
      <c r="N3304" t="s">
        <v>43166</v>
      </c>
      <c r="O3304" t="s">
        <v>43167</v>
      </c>
      <c r="P3304">
        <v>0</v>
      </c>
      <c r="Q3304">
        <v>3</v>
      </c>
      <c r="R3304" t="s">
        <v>43171</v>
      </c>
      <c r="S3304" t="s">
        <v>43311</v>
      </c>
      <c r="T3304" t="s">
        <v>44705</v>
      </c>
      <c r="U3304" t="s">
        <v>47912</v>
      </c>
      <c r="V3304" t="s">
        <v>57200</v>
      </c>
      <c r="W3304" t="s">
        <v>40541</v>
      </c>
      <c r="X3304" t="s">
        <v>43172</v>
      </c>
    </row>
    <row r="3305" spans="1:24">
      <c r="A3305">
        <f>HYPERLINK("https://www.philgeps.gov.ph/GEPSNONPILOT/Tender/SplashBidNoticeAbstractUI.aspx?menuIndex=3&amp;refID=7081909&amp;Result=3","7081909")</f>
        <v>0</v>
      </c>
      <c r="B3305" t="s">
        <v>912</v>
      </c>
      <c r="C3305" t="s">
        <v>6573</v>
      </c>
      <c r="D3305" t="s">
        <v>17440</v>
      </c>
      <c r="E3305" t="s">
        <v>20362</v>
      </c>
      <c r="F3305" t="s">
        <v>30052</v>
      </c>
      <c r="G3305" t="s">
        <v>30058</v>
      </c>
      <c r="H3305" t="s">
        <v>15498</v>
      </c>
      <c r="I3305" t="s">
        <v>9238</v>
      </c>
      <c r="J3305" t="s">
        <v>32387</v>
      </c>
      <c r="K3305" t="s">
        <v>39034</v>
      </c>
      <c r="M3305" t="s">
        <v>40592</v>
      </c>
      <c r="N3305" t="s">
        <v>43166</v>
      </c>
      <c r="O3305" t="s">
        <v>43167</v>
      </c>
      <c r="Q3305">
        <v>12</v>
      </c>
      <c r="R3305" t="s">
        <v>43171</v>
      </c>
      <c r="S3305" t="s">
        <v>43318</v>
      </c>
      <c r="T3305" t="s">
        <v>44701</v>
      </c>
      <c r="U3305" t="s">
        <v>47913</v>
      </c>
      <c r="W3305" t="s">
        <v>40592</v>
      </c>
      <c r="X3305" t="s">
        <v>43172</v>
      </c>
    </row>
    <row r="3306" spans="1:24">
      <c r="A3306">
        <f>HYPERLINK("https://www.philgeps.gov.ph/GEPSNONPILOT/Tender/SplashBidNoticeAbstractUI.aspx?menuIndex=3&amp;refID=7081898&amp;Result=3","7081898")</f>
        <v>0</v>
      </c>
      <c r="B3306" t="s">
        <v>1226</v>
      </c>
      <c r="C3306" t="s">
        <v>6574</v>
      </c>
      <c r="D3306" t="s">
        <v>17434</v>
      </c>
      <c r="E3306" t="s">
        <v>20363</v>
      </c>
      <c r="F3306" t="s">
        <v>30052</v>
      </c>
      <c r="G3306" t="s">
        <v>30058</v>
      </c>
      <c r="H3306" t="s">
        <v>30069</v>
      </c>
      <c r="I3306" t="s">
        <v>30100</v>
      </c>
      <c r="J3306" t="s">
        <v>32002</v>
      </c>
      <c r="K3306" t="s">
        <v>39034</v>
      </c>
      <c r="M3306" t="s">
        <v>40580</v>
      </c>
      <c r="N3306" t="s">
        <v>43166</v>
      </c>
      <c r="O3306" t="s">
        <v>43167</v>
      </c>
      <c r="P3306">
        <v>0</v>
      </c>
      <c r="Q3306">
        <v>1</v>
      </c>
      <c r="R3306" t="s">
        <v>43171</v>
      </c>
      <c r="S3306" t="s">
        <v>43311</v>
      </c>
      <c r="T3306" t="s">
        <v>44710</v>
      </c>
      <c r="U3306" t="s">
        <v>47914</v>
      </c>
      <c r="W3306" t="s">
        <v>40580</v>
      </c>
      <c r="X3306" t="s">
        <v>43172</v>
      </c>
    </row>
    <row r="3307" spans="1:24">
      <c r="A3307">
        <f>HYPERLINK("https://www.philgeps.gov.ph/GEPSNONPILOT/Tender/SplashBidNoticeAbstractUI.aspx?menuIndex=3&amp;refID=7081906&amp;Result=3","7081906")</f>
        <v>0</v>
      </c>
      <c r="B3307" t="s">
        <v>529</v>
      </c>
      <c r="C3307" t="s">
        <v>4614</v>
      </c>
      <c r="D3307" t="s">
        <v>17474</v>
      </c>
      <c r="E3307" t="s">
        <v>20364</v>
      </c>
      <c r="F3307" t="s">
        <v>30052</v>
      </c>
      <c r="G3307" t="s">
        <v>30058</v>
      </c>
      <c r="H3307" t="s">
        <v>15498</v>
      </c>
      <c r="I3307" t="s">
        <v>3736</v>
      </c>
      <c r="J3307" t="s">
        <v>30226</v>
      </c>
      <c r="K3307" t="s">
        <v>39034</v>
      </c>
      <c r="M3307" t="s">
        <v>39831</v>
      </c>
      <c r="N3307" t="s">
        <v>43166</v>
      </c>
      <c r="O3307" t="s">
        <v>43167</v>
      </c>
      <c r="P3307">
        <v>0</v>
      </c>
      <c r="Q3307">
        <v>0</v>
      </c>
      <c r="R3307" t="s">
        <v>43171</v>
      </c>
      <c r="S3307" t="s">
        <v>43311</v>
      </c>
      <c r="T3307" t="s">
        <v>44704</v>
      </c>
      <c r="U3307" t="s">
        <v>47915</v>
      </c>
      <c r="V3307" t="s">
        <v>57199</v>
      </c>
      <c r="W3307" t="s">
        <v>39831</v>
      </c>
      <c r="X3307" t="s">
        <v>43172</v>
      </c>
    </row>
    <row r="3308" spans="1:24">
      <c r="A3308">
        <f>HYPERLINK("https://www.philgeps.gov.ph/GEPSNONPILOT/Tender/SplashBidNoticeAbstractUI.aspx?menuIndex=3&amp;refID=7081931&amp;Result=3","7081931")</f>
        <v>0</v>
      </c>
      <c r="B3308" t="s">
        <v>529</v>
      </c>
      <c r="C3308" t="s">
        <v>6575</v>
      </c>
      <c r="D3308" t="s">
        <v>17474</v>
      </c>
      <c r="E3308" t="s">
        <v>20365</v>
      </c>
      <c r="F3308" t="s">
        <v>30052</v>
      </c>
      <c r="G3308" t="s">
        <v>30058</v>
      </c>
      <c r="H3308" t="s">
        <v>15498</v>
      </c>
      <c r="I3308" t="s">
        <v>30094</v>
      </c>
      <c r="J3308" t="s">
        <v>32388</v>
      </c>
      <c r="K3308" t="s">
        <v>39034</v>
      </c>
      <c r="M3308" t="s">
        <v>39831</v>
      </c>
      <c r="N3308" t="s">
        <v>43166</v>
      </c>
      <c r="O3308" t="s">
        <v>43167</v>
      </c>
      <c r="P3308">
        <v>0</v>
      </c>
      <c r="Q3308">
        <v>0</v>
      </c>
      <c r="R3308" t="s">
        <v>43171</v>
      </c>
      <c r="S3308" t="s">
        <v>43311</v>
      </c>
      <c r="T3308" t="s">
        <v>44704</v>
      </c>
      <c r="U3308" t="s">
        <v>47916</v>
      </c>
      <c r="V3308" t="s">
        <v>57201</v>
      </c>
      <c r="W3308" t="s">
        <v>39831</v>
      </c>
      <c r="X3308" t="s">
        <v>43172</v>
      </c>
    </row>
    <row r="3309" spans="1:24">
      <c r="A3309">
        <f>HYPERLINK("https://www.philgeps.gov.ph/GEPSNONPILOT/Tender/SplashBidNoticeAbstractUI.aspx?menuIndex=3&amp;refID=7081919&amp;Result=3","7081919")</f>
        <v>0</v>
      </c>
      <c r="B3309" t="s">
        <v>141</v>
      </c>
      <c r="C3309" t="s">
        <v>6576</v>
      </c>
      <c r="D3309" t="s">
        <v>17447</v>
      </c>
      <c r="E3309" t="s">
        <v>20366</v>
      </c>
      <c r="F3309" t="s">
        <v>30052</v>
      </c>
      <c r="G3309" t="s">
        <v>30059</v>
      </c>
      <c r="H3309" t="s">
        <v>15498</v>
      </c>
      <c r="I3309" t="s">
        <v>30100</v>
      </c>
      <c r="J3309" t="s">
        <v>30248</v>
      </c>
      <c r="K3309" t="s">
        <v>39025</v>
      </c>
      <c r="M3309" t="s">
        <v>39939</v>
      </c>
      <c r="N3309" t="s">
        <v>43166</v>
      </c>
      <c r="O3309" t="s">
        <v>43167</v>
      </c>
      <c r="P3309">
        <v>0</v>
      </c>
      <c r="Q3309">
        <v>1</v>
      </c>
      <c r="R3309" t="s">
        <v>43171</v>
      </c>
      <c r="S3309" t="s">
        <v>43311</v>
      </c>
      <c r="T3309" t="s">
        <v>44735</v>
      </c>
      <c r="U3309" t="s">
        <v>47917</v>
      </c>
      <c r="V3309" t="s">
        <v>57202</v>
      </c>
      <c r="W3309" t="s">
        <v>39939</v>
      </c>
      <c r="X3309" t="s">
        <v>43172</v>
      </c>
    </row>
    <row r="3310" spans="1:24">
      <c r="A3310">
        <f>HYPERLINK("https://www.philgeps.gov.ph/GEPSNONPILOT/Tender/SplashBidNoticeAbstractUI.aspx?menuIndex=3&amp;refID=7081924&amp;Result=3","7081924")</f>
        <v>0</v>
      </c>
      <c r="B3310" t="s">
        <v>1233</v>
      </c>
      <c r="C3310" t="s">
        <v>6577</v>
      </c>
      <c r="D3310" t="s">
        <v>17442</v>
      </c>
      <c r="E3310" t="s">
        <v>20367</v>
      </c>
      <c r="F3310" t="s">
        <v>30052</v>
      </c>
      <c r="G3310" t="s">
        <v>30059</v>
      </c>
      <c r="H3310" t="s">
        <v>15498</v>
      </c>
      <c r="I3310" t="s">
        <v>30071</v>
      </c>
      <c r="J3310" t="s">
        <v>30358</v>
      </c>
      <c r="K3310" t="s">
        <v>39029</v>
      </c>
      <c r="M3310" t="s">
        <v>40593</v>
      </c>
      <c r="N3310" t="s">
        <v>43166</v>
      </c>
      <c r="O3310" t="s">
        <v>43167</v>
      </c>
      <c r="P3310">
        <v>0</v>
      </c>
      <c r="Q3310">
        <v>1</v>
      </c>
      <c r="R3310" t="s">
        <v>43171</v>
      </c>
      <c r="S3310" t="s">
        <v>43311</v>
      </c>
      <c r="T3310" t="s">
        <v>44773</v>
      </c>
      <c r="U3310" t="s">
        <v>47918</v>
      </c>
      <c r="W3310" t="s">
        <v>40593</v>
      </c>
      <c r="X3310" t="s">
        <v>43172</v>
      </c>
    </row>
    <row r="3311" spans="1:24">
      <c r="A3311">
        <f>HYPERLINK("https://www.philgeps.gov.ph/GEPSNONPILOT/Tender/SplashBidNoticeAbstractUI.aspx?menuIndex=3&amp;refID=7081923&amp;Result=3","7081923")</f>
        <v>0</v>
      </c>
      <c r="B3311" t="s">
        <v>1238</v>
      </c>
      <c r="C3311" t="s">
        <v>6578</v>
      </c>
      <c r="E3311" t="s">
        <v>18647</v>
      </c>
      <c r="F3311" t="s">
        <v>30052</v>
      </c>
      <c r="G3311" t="s">
        <v>30064</v>
      </c>
      <c r="H3311" t="s">
        <v>15498</v>
      </c>
      <c r="I3311" t="s">
        <v>30085</v>
      </c>
      <c r="J3311" t="s">
        <v>30377</v>
      </c>
      <c r="K3311" t="s">
        <v>39025</v>
      </c>
      <c r="M3311" t="s">
        <v>40594</v>
      </c>
      <c r="N3311" t="s">
        <v>43166</v>
      </c>
      <c r="O3311" t="s">
        <v>43167</v>
      </c>
      <c r="P3311">
        <v>0</v>
      </c>
      <c r="Q3311">
        <v>0</v>
      </c>
      <c r="R3311" t="s">
        <v>43171</v>
      </c>
      <c r="S3311" t="s">
        <v>43311</v>
      </c>
      <c r="T3311" t="s">
        <v>44734</v>
      </c>
      <c r="U3311" t="s">
        <v>47919</v>
      </c>
      <c r="W3311" t="s">
        <v>40594</v>
      </c>
      <c r="X3311" t="s">
        <v>43172</v>
      </c>
    </row>
    <row r="3312" spans="1:24">
      <c r="A3312">
        <f>HYPERLINK("https://www.philgeps.gov.ph/GEPSNONPILOT/Tender/SplashBidNoticeAbstractUI.aspx?menuIndex=3&amp;refID=7081905&amp;Result=3","7081905")</f>
        <v>0</v>
      </c>
      <c r="B3312" t="s">
        <v>311</v>
      </c>
      <c r="C3312" t="s">
        <v>6579</v>
      </c>
      <c r="D3312" t="s">
        <v>17429</v>
      </c>
      <c r="E3312" t="s">
        <v>18146</v>
      </c>
      <c r="F3312" t="s">
        <v>30052</v>
      </c>
      <c r="G3312" t="s">
        <v>30059</v>
      </c>
      <c r="H3312" t="s">
        <v>15498</v>
      </c>
      <c r="I3312" t="s">
        <v>30172</v>
      </c>
      <c r="J3312" t="s">
        <v>32389</v>
      </c>
      <c r="K3312" t="s">
        <v>39018</v>
      </c>
      <c r="M3312" t="s">
        <v>39607</v>
      </c>
      <c r="N3312" t="s">
        <v>43166</v>
      </c>
      <c r="O3312" t="s">
        <v>43167</v>
      </c>
      <c r="P3312">
        <v>0</v>
      </c>
      <c r="Q3312">
        <v>4</v>
      </c>
      <c r="R3312" t="s">
        <v>43171</v>
      </c>
      <c r="S3312" t="s">
        <v>43311</v>
      </c>
      <c r="T3312" t="s">
        <v>44843</v>
      </c>
      <c r="U3312" t="s">
        <v>47920</v>
      </c>
      <c r="W3312" t="s">
        <v>39607</v>
      </c>
      <c r="X3312" t="s">
        <v>43172</v>
      </c>
    </row>
    <row r="3313" spans="1:24">
      <c r="A3313">
        <f>HYPERLINK("https://www.philgeps.gov.ph/GEPSNONPILOT/Tender/SplashBidNoticeAbstractUI.aspx?menuIndex=3&amp;refID=7081904&amp;Result=3","7081904")</f>
        <v>0</v>
      </c>
      <c r="B3313" t="s">
        <v>1239</v>
      </c>
      <c r="C3313" t="s">
        <v>6580</v>
      </c>
      <c r="D3313" t="s">
        <v>17459</v>
      </c>
      <c r="E3313" t="s">
        <v>20368</v>
      </c>
      <c r="F3313" t="s">
        <v>30052</v>
      </c>
      <c r="G3313" t="s">
        <v>30060</v>
      </c>
      <c r="H3313" t="s">
        <v>15498</v>
      </c>
      <c r="I3313" t="s">
        <v>3736</v>
      </c>
      <c r="J3313" t="s">
        <v>32390</v>
      </c>
      <c r="K3313" t="s">
        <v>39017</v>
      </c>
      <c r="M3313" t="s">
        <v>40595</v>
      </c>
      <c r="N3313" t="s">
        <v>43166</v>
      </c>
      <c r="O3313" t="s">
        <v>43167</v>
      </c>
      <c r="P3313">
        <v>0</v>
      </c>
      <c r="Q3313">
        <v>0</v>
      </c>
      <c r="R3313" t="s">
        <v>43171</v>
      </c>
      <c r="S3313" t="s">
        <v>43311</v>
      </c>
      <c r="T3313" t="s">
        <v>44698</v>
      </c>
      <c r="U3313" t="s">
        <v>47921</v>
      </c>
      <c r="V3313" t="s">
        <v>57203</v>
      </c>
      <c r="W3313" t="s">
        <v>40595</v>
      </c>
      <c r="X3313" t="s">
        <v>43172</v>
      </c>
    </row>
    <row r="3314" spans="1:24">
      <c r="A3314">
        <f>HYPERLINK("https://www.philgeps.gov.ph/GEPSNONPILOT/Tender/SplashBidNoticeAbstractUI.aspx?menuIndex=3&amp;refID=7081817&amp;Result=3","7081817")</f>
        <v>0</v>
      </c>
      <c r="B3314" t="s">
        <v>1218</v>
      </c>
      <c r="C3314" t="s">
        <v>6581</v>
      </c>
      <c r="D3314" t="s">
        <v>17465</v>
      </c>
      <c r="E3314" t="s">
        <v>20369</v>
      </c>
      <c r="F3314" t="s">
        <v>30052</v>
      </c>
      <c r="G3314" t="s">
        <v>30061</v>
      </c>
      <c r="H3314" t="s">
        <v>15498</v>
      </c>
      <c r="I3314" t="s">
        <v>4119</v>
      </c>
      <c r="J3314" t="s">
        <v>32391</v>
      </c>
      <c r="K3314" t="s">
        <v>39040</v>
      </c>
      <c r="M3314" t="s">
        <v>40572</v>
      </c>
      <c r="N3314" t="s">
        <v>43166</v>
      </c>
      <c r="O3314" t="s">
        <v>43167</v>
      </c>
      <c r="P3314">
        <v>0</v>
      </c>
      <c r="Q3314">
        <v>5</v>
      </c>
      <c r="R3314" t="s">
        <v>43171</v>
      </c>
      <c r="S3314" t="s">
        <v>43311</v>
      </c>
      <c r="T3314" t="s">
        <v>44715</v>
      </c>
      <c r="U3314" t="s">
        <v>47922</v>
      </c>
      <c r="W3314" t="s">
        <v>40572</v>
      </c>
      <c r="X3314" t="s">
        <v>43172</v>
      </c>
    </row>
    <row r="3315" spans="1:24">
      <c r="A3315">
        <f>HYPERLINK("https://www.philgeps.gov.ph/GEPSNONPILOT/Tender/SplashBidNoticeAbstractUI.aspx?menuIndex=3&amp;refID=7081902&amp;Result=3","7081902")</f>
        <v>0</v>
      </c>
      <c r="B3315" t="s">
        <v>145</v>
      </c>
      <c r="C3315" t="s">
        <v>6582</v>
      </c>
      <c r="D3315" t="s">
        <v>17453</v>
      </c>
      <c r="E3315" t="s">
        <v>20370</v>
      </c>
      <c r="F3315" t="s">
        <v>30052</v>
      </c>
      <c r="G3315" t="s">
        <v>30059</v>
      </c>
      <c r="H3315" t="s">
        <v>15498</v>
      </c>
      <c r="I3315" t="s">
        <v>3736</v>
      </c>
      <c r="J3315" t="s">
        <v>32392</v>
      </c>
      <c r="K3315" t="s">
        <v>39029</v>
      </c>
      <c r="M3315" t="s">
        <v>39434</v>
      </c>
      <c r="N3315" t="s">
        <v>43166</v>
      </c>
      <c r="O3315" t="s">
        <v>43167</v>
      </c>
      <c r="P3315">
        <v>0</v>
      </c>
      <c r="Q3315">
        <v>3</v>
      </c>
      <c r="R3315" t="s">
        <v>43171</v>
      </c>
      <c r="S3315" t="s">
        <v>43311</v>
      </c>
      <c r="T3315" t="s">
        <v>44956</v>
      </c>
      <c r="U3315" t="s">
        <v>47923</v>
      </c>
      <c r="V3315" t="s">
        <v>57204</v>
      </c>
      <c r="W3315" t="s">
        <v>58630</v>
      </c>
      <c r="X3315" t="s">
        <v>43172</v>
      </c>
    </row>
    <row r="3316" spans="1:24">
      <c r="A3316">
        <f>HYPERLINK("https://www.philgeps.gov.ph/GEPSNONPILOT/Tender/SplashBidNoticeAbstractUI.aspx?menuIndex=3&amp;refID=7081928&amp;Result=3","7081928")</f>
        <v>0</v>
      </c>
      <c r="B3316" t="s">
        <v>1240</v>
      </c>
      <c r="C3316" t="s">
        <v>6583</v>
      </c>
      <c r="D3316" t="s">
        <v>17424</v>
      </c>
      <c r="E3316" t="s">
        <v>20371</v>
      </c>
      <c r="F3316" t="s">
        <v>30052</v>
      </c>
      <c r="G3316" t="s">
        <v>30059</v>
      </c>
      <c r="H3316" t="s">
        <v>15498</v>
      </c>
      <c r="I3316" t="s">
        <v>30076</v>
      </c>
      <c r="J3316" t="s">
        <v>32393</v>
      </c>
      <c r="K3316" t="s">
        <v>39025</v>
      </c>
      <c r="M3316" t="s">
        <v>40596</v>
      </c>
      <c r="N3316" t="s">
        <v>43166</v>
      </c>
      <c r="O3316" t="s">
        <v>43167</v>
      </c>
      <c r="P3316">
        <v>0</v>
      </c>
      <c r="Q3316">
        <v>6</v>
      </c>
      <c r="R3316" t="s">
        <v>43171</v>
      </c>
      <c r="S3316" t="s">
        <v>43311</v>
      </c>
      <c r="T3316" t="s">
        <v>44714</v>
      </c>
      <c r="U3316" t="s">
        <v>47924</v>
      </c>
      <c r="V3316" t="s">
        <v>57205</v>
      </c>
      <c r="W3316" t="s">
        <v>40596</v>
      </c>
      <c r="X3316" t="s">
        <v>43172</v>
      </c>
    </row>
    <row r="3317" spans="1:24">
      <c r="A3317">
        <f>HYPERLINK("https://www.philgeps.gov.ph/GEPSNONPILOT/Tender/SplashBidNoticeAbstractUI.aspx?menuIndex=3&amp;refID=7081940&amp;Result=3","7081940")</f>
        <v>0</v>
      </c>
      <c r="B3317" t="s">
        <v>178</v>
      </c>
      <c r="C3317" t="s">
        <v>6584</v>
      </c>
      <c r="D3317" t="s">
        <v>17416</v>
      </c>
      <c r="E3317" t="s">
        <v>20372</v>
      </c>
      <c r="F3317" t="s">
        <v>30052</v>
      </c>
      <c r="G3317" t="s">
        <v>30058</v>
      </c>
      <c r="H3317" t="s">
        <v>15498</v>
      </c>
      <c r="I3317" t="s">
        <v>3736</v>
      </c>
      <c r="J3317" t="s">
        <v>32394</v>
      </c>
      <c r="K3317" t="s">
        <v>39031</v>
      </c>
      <c r="M3317" t="s">
        <v>39467</v>
      </c>
      <c r="N3317" t="s">
        <v>43166</v>
      </c>
      <c r="O3317" t="s">
        <v>43167</v>
      </c>
      <c r="P3317">
        <v>0</v>
      </c>
      <c r="Q3317">
        <v>0</v>
      </c>
      <c r="R3317" t="s">
        <v>43171</v>
      </c>
      <c r="S3317" t="s">
        <v>43311</v>
      </c>
      <c r="T3317" t="s">
        <v>44957</v>
      </c>
      <c r="U3317" t="s">
        <v>47925</v>
      </c>
      <c r="W3317" t="s">
        <v>39467</v>
      </c>
      <c r="X3317" t="s">
        <v>43172</v>
      </c>
    </row>
    <row r="3318" spans="1:24">
      <c r="A3318">
        <f>HYPERLINK("https://www.philgeps.gov.ph/GEPSNONPILOT/Tender/SplashBidNoticeAbstractUI.aspx?menuIndex=3&amp;refID=7081925&amp;Result=3","7081925")</f>
        <v>0</v>
      </c>
      <c r="B3318" t="s">
        <v>1241</v>
      </c>
      <c r="C3318" t="s">
        <v>6585</v>
      </c>
      <c r="D3318" t="s">
        <v>17442</v>
      </c>
      <c r="E3318" t="s">
        <v>20373</v>
      </c>
      <c r="F3318" t="s">
        <v>30052</v>
      </c>
      <c r="G3318" t="s">
        <v>30058</v>
      </c>
      <c r="H3318" t="s">
        <v>30067</v>
      </c>
      <c r="I3318" t="s">
        <v>3693</v>
      </c>
      <c r="J3318" t="s">
        <v>32395</v>
      </c>
      <c r="K3318" t="s">
        <v>39029</v>
      </c>
      <c r="M3318" t="s">
        <v>40597</v>
      </c>
      <c r="N3318" t="s">
        <v>43166</v>
      </c>
      <c r="O3318" t="s">
        <v>43167</v>
      </c>
      <c r="P3318">
        <v>0</v>
      </c>
      <c r="Q3318">
        <v>0</v>
      </c>
      <c r="R3318" t="s">
        <v>43171</v>
      </c>
      <c r="S3318" t="s">
        <v>43311</v>
      </c>
      <c r="T3318" t="s">
        <v>44684</v>
      </c>
      <c r="U3318" t="s">
        <v>47926</v>
      </c>
      <c r="V3318" t="s">
        <v>57206</v>
      </c>
      <c r="W3318" t="s">
        <v>40597</v>
      </c>
      <c r="X3318" t="s">
        <v>43172</v>
      </c>
    </row>
    <row r="3319" spans="1:24">
      <c r="A3319">
        <f>HYPERLINK("https://www.philgeps.gov.ph/GEPSNONPILOT/Tender/SplashBidNoticeAbstractUI.aspx?menuIndex=3&amp;refID=7081935&amp;Result=3","7081935")</f>
        <v>0</v>
      </c>
      <c r="B3319" t="s">
        <v>348</v>
      </c>
      <c r="C3319" t="s">
        <v>6586</v>
      </c>
      <c r="D3319" t="s">
        <v>17416</v>
      </c>
      <c r="E3319" t="s">
        <v>20374</v>
      </c>
      <c r="F3319" t="s">
        <v>30052</v>
      </c>
      <c r="G3319" t="s">
        <v>30059</v>
      </c>
      <c r="H3319" t="s">
        <v>15498</v>
      </c>
      <c r="I3319" t="s">
        <v>3852</v>
      </c>
      <c r="J3319" t="s">
        <v>32396</v>
      </c>
      <c r="K3319" t="s">
        <v>39019</v>
      </c>
      <c r="M3319" t="s">
        <v>39645</v>
      </c>
      <c r="N3319" t="s">
        <v>43166</v>
      </c>
      <c r="O3319" t="s">
        <v>43167</v>
      </c>
      <c r="P3319">
        <v>0</v>
      </c>
      <c r="Q3319">
        <v>2</v>
      </c>
      <c r="R3319" t="s">
        <v>43171</v>
      </c>
      <c r="S3319" t="s">
        <v>43311</v>
      </c>
      <c r="T3319" t="s">
        <v>44717</v>
      </c>
      <c r="U3319" t="s">
        <v>47927</v>
      </c>
      <c r="W3319" t="s">
        <v>39645</v>
      </c>
      <c r="X3319" t="s">
        <v>43172</v>
      </c>
    </row>
    <row r="3320" spans="1:24">
      <c r="A3320">
        <f>HYPERLINK("https://www.philgeps.gov.ph/GEPSNONPILOT/Tender/SplashBidNoticeAbstractUI.aspx?menuIndex=3&amp;refID=7081907&amp;Result=3","7081907")</f>
        <v>0</v>
      </c>
      <c r="B3320" t="s">
        <v>1103</v>
      </c>
      <c r="C3320" t="s">
        <v>6587</v>
      </c>
      <c r="E3320" t="s">
        <v>20375</v>
      </c>
      <c r="F3320" t="s">
        <v>30052</v>
      </c>
      <c r="G3320" t="s">
        <v>30059</v>
      </c>
      <c r="H3320" t="s">
        <v>15498</v>
      </c>
      <c r="I3320" t="s">
        <v>30178</v>
      </c>
      <c r="J3320" t="s">
        <v>30248</v>
      </c>
      <c r="K3320" t="s">
        <v>39025</v>
      </c>
      <c r="M3320" t="s">
        <v>40442</v>
      </c>
      <c r="N3320" t="s">
        <v>43166</v>
      </c>
      <c r="O3320" t="s">
        <v>43167</v>
      </c>
      <c r="P3320">
        <v>0</v>
      </c>
      <c r="Q3320">
        <v>2</v>
      </c>
      <c r="R3320" t="s">
        <v>43171</v>
      </c>
      <c r="S3320" t="s">
        <v>43311</v>
      </c>
      <c r="T3320" t="s">
        <v>44681</v>
      </c>
      <c r="U3320" t="s">
        <v>47928</v>
      </c>
      <c r="W3320" t="s">
        <v>40442</v>
      </c>
      <c r="X3320" t="s">
        <v>43172</v>
      </c>
    </row>
    <row r="3321" spans="1:24">
      <c r="A3321">
        <f>HYPERLINK("https://www.philgeps.gov.ph/GEPSNONPILOT/Tender/SplashBidNoticeAbstractUI.aspx?menuIndex=3&amp;refID=7081958&amp;Result=3","7081958")</f>
        <v>0</v>
      </c>
      <c r="B3321" t="s">
        <v>1242</v>
      </c>
      <c r="C3321" t="s">
        <v>6588</v>
      </c>
      <c r="D3321" t="s">
        <v>17428</v>
      </c>
      <c r="E3321" t="s">
        <v>20376</v>
      </c>
      <c r="F3321" t="s">
        <v>30052</v>
      </c>
      <c r="G3321" t="s">
        <v>30058</v>
      </c>
      <c r="H3321" t="s">
        <v>15498</v>
      </c>
      <c r="I3321" t="s">
        <v>30140</v>
      </c>
      <c r="J3321" t="s">
        <v>30222</v>
      </c>
      <c r="K3321" t="s">
        <v>39029</v>
      </c>
      <c r="M3321" t="s">
        <v>40598</v>
      </c>
      <c r="N3321" t="s">
        <v>43166</v>
      </c>
      <c r="O3321" t="s">
        <v>43167</v>
      </c>
      <c r="P3321">
        <v>0</v>
      </c>
      <c r="Q3321">
        <v>3</v>
      </c>
      <c r="R3321" t="s">
        <v>43171</v>
      </c>
      <c r="S3321" t="s">
        <v>43311</v>
      </c>
      <c r="T3321" t="s">
        <v>44716</v>
      </c>
      <c r="U3321" t="s">
        <v>47929</v>
      </c>
      <c r="V3321" t="s">
        <v>57207</v>
      </c>
      <c r="W3321" t="s">
        <v>40598</v>
      </c>
      <c r="X3321" t="s">
        <v>43172</v>
      </c>
    </row>
    <row r="3322" spans="1:24">
      <c r="A3322">
        <f>HYPERLINK("https://www.philgeps.gov.ph/GEPSNONPILOT/Tender/SplashBidNoticeAbstractUI.aspx?menuIndex=3&amp;refID=7081881&amp;Result=3","7081881")</f>
        <v>0</v>
      </c>
      <c r="B3322" t="s">
        <v>1243</v>
      </c>
      <c r="C3322" t="s">
        <v>6589</v>
      </c>
      <c r="D3322" t="s">
        <v>17458</v>
      </c>
      <c r="E3322" t="s">
        <v>20377</v>
      </c>
      <c r="F3322" t="s">
        <v>30055</v>
      </c>
      <c r="G3322" t="s">
        <v>30058</v>
      </c>
      <c r="H3322" t="s">
        <v>30067</v>
      </c>
      <c r="I3322" t="s">
        <v>3693</v>
      </c>
      <c r="J3322" t="s">
        <v>32397</v>
      </c>
      <c r="K3322" t="s">
        <v>39023</v>
      </c>
      <c r="M3322" t="s">
        <v>40599</v>
      </c>
      <c r="N3322" t="s">
        <v>43166</v>
      </c>
      <c r="O3322" t="s">
        <v>43167</v>
      </c>
      <c r="P3322">
        <v>0</v>
      </c>
      <c r="Q3322">
        <v>0</v>
      </c>
      <c r="R3322" t="s">
        <v>43171</v>
      </c>
      <c r="S3322" t="s">
        <v>43311</v>
      </c>
      <c r="T3322" t="s">
        <v>44713</v>
      </c>
      <c r="U3322" t="s">
        <v>47930</v>
      </c>
      <c r="W3322" t="s">
        <v>40599</v>
      </c>
      <c r="X3322" t="s">
        <v>43172</v>
      </c>
    </row>
    <row r="3323" spans="1:24">
      <c r="A3323">
        <f>HYPERLINK("https://www.philgeps.gov.ph/GEPSNONPILOT/Tender/SplashBidNoticeAbstractUI.aspx?menuIndex=3&amp;refID=7081937&amp;Result=3","7081937")</f>
        <v>0</v>
      </c>
      <c r="B3323" t="s">
        <v>194</v>
      </c>
      <c r="C3323" t="s">
        <v>6590</v>
      </c>
      <c r="D3323" t="s">
        <v>17438</v>
      </c>
      <c r="E3323" t="s">
        <v>20378</v>
      </c>
      <c r="F3323" t="s">
        <v>30052</v>
      </c>
      <c r="G3323" t="s">
        <v>30059</v>
      </c>
      <c r="H3323" t="s">
        <v>15498</v>
      </c>
      <c r="I3323" t="s">
        <v>30146</v>
      </c>
      <c r="J3323" t="s">
        <v>32398</v>
      </c>
      <c r="K3323" t="s">
        <v>39029</v>
      </c>
      <c r="M3323" t="s">
        <v>39484</v>
      </c>
      <c r="N3323" t="s">
        <v>43166</v>
      </c>
      <c r="O3323" t="s">
        <v>43167</v>
      </c>
      <c r="P3323">
        <v>0</v>
      </c>
      <c r="Q3323">
        <v>1</v>
      </c>
      <c r="R3323" t="s">
        <v>43171</v>
      </c>
      <c r="S3323" t="s">
        <v>43311</v>
      </c>
      <c r="T3323" t="s">
        <v>44717</v>
      </c>
      <c r="U3323" t="s">
        <v>47931</v>
      </c>
      <c r="W3323" t="s">
        <v>39484</v>
      </c>
      <c r="X3323" t="s">
        <v>43172</v>
      </c>
    </row>
    <row r="3324" spans="1:24">
      <c r="A3324">
        <f>HYPERLINK("https://www.philgeps.gov.ph/GEPSNONPILOT/Tender/SplashBidNoticeAbstractUI.aspx?menuIndex=3&amp;refID=7081964&amp;Result=3","7081964")</f>
        <v>0</v>
      </c>
      <c r="B3324" t="s">
        <v>529</v>
      </c>
      <c r="C3324" t="s">
        <v>4615</v>
      </c>
      <c r="D3324" t="s">
        <v>17474</v>
      </c>
      <c r="E3324" t="s">
        <v>20379</v>
      </c>
      <c r="F3324" t="s">
        <v>30052</v>
      </c>
      <c r="G3324" t="s">
        <v>30058</v>
      </c>
      <c r="H3324" t="s">
        <v>15498</v>
      </c>
      <c r="I3324" t="s">
        <v>30094</v>
      </c>
      <c r="J3324" t="s">
        <v>32399</v>
      </c>
      <c r="K3324" t="s">
        <v>39034</v>
      </c>
      <c r="M3324" t="s">
        <v>39831</v>
      </c>
      <c r="N3324" t="s">
        <v>43166</v>
      </c>
      <c r="O3324" t="s">
        <v>43167</v>
      </c>
      <c r="P3324">
        <v>0</v>
      </c>
      <c r="Q3324">
        <v>0</v>
      </c>
      <c r="R3324" t="s">
        <v>43171</v>
      </c>
      <c r="S3324" t="s">
        <v>43311</v>
      </c>
      <c r="T3324" t="s">
        <v>44704</v>
      </c>
      <c r="U3324" t="s">
        <v>47932</v>
      </c>
      <c r="V3324" t="s">
        <v>57208</v>
      </c>
      <c r="W3324" t="s">
        <v>39831</v>
      </c>
      <c r="X3324" t="s">
        <v>43172</v>
      </c>
    </row>
    <row r="3325" spans="1:24">
      <c r="A3325">
        <f>HYPERLINK("https://www.philgeps.gov.ph/GEPSNONPILOT/Tender/SplashBidNoticeAbstractUI.aspx?menuIndex=3&amp;refID=7081903&amp;Result=3","7081903")</f>
        <v>0</v>
      </c>
      <c r="B3325" t="s">
        <v>1244</v>
      </c>
      <c r="C3325" t="s">
        <v>6591</v>
      </c>
      <c r="D3325" t="s">
        <v>17419</v>
      </c>
      <c r="E3325" t="s">
        <v>20380</v>
      </c>
      <c r="F3325" t="s">
        <v>30052</v>
      </c>
      <c r="G3325" t="s">
        <v>30058</v>
      </c>
      <c r="H3325" t="s">
        <v>15498</v>
      </c>
      <c r="I3325" t="s">
        <v>3736</v>
      </c>
      <c r="J3325" t="s">
        <v>31419</v>
      </c>
      <c r="K3325" t="s">
        <v>39025</v>
      </c>
      <c r="M3325" t="s">
        <v>40600</v>
      </c>
      <c r="N3325" t="s">
        <v>43166</v>
      </c>
      <c r="O3325" t="s">
        <v>43167</v>
      </c>
      <c r="P3325">
        <v>0</v>
      </c>
      <c r="Q3325">
        <v>1</v>
      </c>
      <c r="R3325" t="s">
        <v>43171</v>
      </c>
      <c r="S3325" t="s">
        <v>43311</v>
      </c>
      <c r="T3325" t="s">
        <v>44705</v>
      </c>
      <c r="U3325" t="s">
        <v>47933</v>
      </c>
      <c r="W3325" t="s">
        <v>40600</v>
      </c>
      <c r="X3325" t="s">
        <v>43172</v>
      </c>
    </row>
    <row r="3326" spans="1:24">
      <c r="A3326">
        <f>HYPERLINK("https://www.philgeps.gov.ph/GEPSNONPILOT/Tender/SplashBidNoticeAbstractUI.aspx?menuIndex=3&amp;refID=7081957&amp;Result=3","7081957")</f>
        <v>0</v>
      </c>
      <c r="B3326" t="s">
        <v>1245</v>
      </c>
      <c r="C3326" t="s">
        <v>6592</v>
      </c>
      <c r="E3326" t="s">
        <v>20381</v>
      </c>
      <c r="F3326" t="s">
        <v>30052</v>
      </c>
      <c r="G3326" t="s">
        <v>30061</v>
      </c>
      <c r="H3326" t="s">
        <v>30069</v>
      </c>
      <c r="I3326" t="s">
        <v>30141</v>
      </c>
      <c r="J3326" t="s">
        <v>30358</v>
      </c>
      <c r="K3326" t="s">
        <v>39036</v>
      </c>
      <c r="M3326" t="s">
        <v>40601</v>
      </c>
      <c r="N3326" t="s">
        <v>43166</v>
      </c>
      <c r="O3326" t="s">
        <v>43167</v>
      </c>
      <c r="P3326">
        <v>0</v>
      </c>
      <c r="Q3326">
        <v>0</v>
      </c>
      <c r="R3326" t="s">
        <v>43171</v>
      </c>
      <c r="S3326" t="s">
        <v>43311</v>
      </c>
      <c r="T3326" t="s">
        <v>44734</v>
      </c>
      <c r="U3326" t="s">
        <v>47934</v>
      </c>
      <c r="W3326" t="s">
        <v>40601</v>
      </c>
      <c r="X3326" t="s">
        <v>43172</v>
      </c>
    </row>
    <row r="3327" spans="1:24">
      <c r="A3327">
        <f>HYPERLINK("https://www.philgeps.gov.ph/GEPSNONPILOT/Tender/SplashBidNoticeAbstractUI.aspx?menuIndex=3&amp;refID=7081956&amp;Result=3","7081956")</f>
        <v>0</v>
      </c>
      <c r="B3327" t="s">
        <v>696</v>
      </c>
      <c r="C3327" t="s">
        <v>6593</v>
      </c>
      <c r="D3327" t="s">
        <v>17432</v>
      </c>
      <c r="E3327" t="s">
        <v>20382</v>
      </c>
      <c r="F3327" t="s">
        <v>30052</v>
      </c>
      <c r="G3327" t="s">
        <v>30059</v>
      </c>
      <c r="H3327" t="s">
        <v>15498</v>
      </c>
      <c r="I3327" t="s">
        <v>30078</v>
      </c>
      <c r="J3327" t="s">
        <v>32400</v>
      </c>
      <c r="K3327" t="s">
        <v>39064</v>
      </c>
      <c r="M3327" t="s">
        <v>40004</v>
      </c>
      <c r="N3327" t="s">
        <v>43166</v>
      </c>
      <c r="O3327" t="s">
        <v>43167</v>
      </c>
      <c r="P3327">
        <v>0</v>
      </c>
      <c r="Q3327">
        <v>0</v>
      </c>
      <c r="R3327" t="s">
        <v>43171</v>
      </c>
      <c r="S3327" t="s">
        <v>43311</v>
      </c>
      <c r="T3327" t="s">
        <v>44696</v>
      </c>
      <c r="U3327" t="s">
        <v>47935</v>
      </c>
      <c r="W3327" t="s">
        <v>40004</v>
      </c>
      <c r="X3327" t="s">
        <v>43172</v>
      </c>
    </row>
    <row r="3328" spans="1:24">
      <c r="A3328">
        <f>HYPERLINK("https://www.philgeps.gov.ph/GEPSNONPILOT/Tender/SplashBidNoticeAbstractUI.aspx?menuIndex=3&amp;refID=7081939&amp;Result=3","7081939")</f>
        <v>0</v>
      </c>
      <c r="B3328" t="s">
        <v>1246</v>
      </c>
      <c r="C3328" t="s">
        <v>6594</v>
      </c>
      <c r="E3328" t="s">
        <v>20383</v>
      </c>
      <c r="F3328" t="s">
        <v>30052</v>
      </c>
      <c r="G3328" t="s">
        <v>30059</v>
      </c>
      <c r="H3328" t="s">
        <v>15498</v>
      </c>
      <c r="I3328" t="s">
        <v>3852</v>
      </c>
      <c r="J3328" t="s">
        <v>32401</v>
      </c>
      <c r="K3328" t="s">
        <v>39025</v>
      </c>
      <c r="M3328" t="s">
        <v>40602</v>
      </c>
      <c r="N3328" t="s">
        <v>43166</v>
      </c>
      <c r="O3328" t="s">
        <v>43167</v>
      </c>
      <c r="P3328">
        <v>0</v>
      </c>
      <c r="Q3328">
        <v>0</v>
      </c>
      <c r="R3328" t="s">
        <v>43171</v>
      </c>
      <c r="S3328" t="s">
        <v>43311</v>
      </c>
      <c r="T3328" t="s">
        <v>44844</v>
      </c>
      <c r="U3328" t="s">
        <v>47936</v>
      </c>
      <c r="W3328" t="s">
        <v>40602</v>
      </c>
      <c r="X3328" t="s">
        <v>43172</v>
      </c>
    </row>
    <row r="3329" spans="1:24">
      <c r="A3329">
        <f>HYPERLINK("https://www.philgeps.gov.ph/GEPSNONPILOT/Tender/SplashBidNoticeAbstractUI.aspx?menuIndex=3&amp;refID=7081950&amp;Result=3","7081950")</f>
        <v>0</v>
      </c>
      <c r="B3329" t="s">
        <v>1247</v>
      </c>
      <c r="C3329" t="s">
        <v>6595</v>
      </c>
      <c r="D3329" t="s">
        <v>17427</v>
      </c>
      <c r="E3329" t="s">
        <v>18907</v>
      </c>
      <c r="F3329" t="s">
        <v>30052</v>
      </c>
      <c r="G3329" t="s">
        <v>30058</v>
      </c>
      <c r="H3329" t="s">
        <v>30067</v>
      </c>
      <c r="I3329" t="s">
        <v>3693</v>
      </c>
      <c r="J3329" t="s">
        <v>32402</v>
      </c>
      <c r="K3329" t="s">
        <v>39046</v>
      </c>
      <c r="M3329" t="s">
        <v>40603</v>
      </c>
      <c r="N3329" t="s">
        <v>43166</v>
      </c>
      <c r="O3329" t="s">
        <v>43167</v>
      </c>
      <c r="P3329">
        <v>0</v>
      </c>
      <c r="Q3329">
        <v>0</v>
      </c>
      <c r="R3329" t="s">
        <v>43171</v>
      </c>
      <c r="S3329" t="s">
        <v>43311</v>
      </c>
      <c r="T3329" t="s">
        <v>44763</v>
      </c>
      <c r="U3329" t="s">
        <v>47937</v>
      </c>
      <c r="W3329" t="s">
        <v>40603</v>
      </c>
      <c r="X3329" t="s">
        <v>43172</v>
      </c>
    </row>
    <row r="3330" spans="1:24">
      <c r="A3330">
        <f>HYPERLINK("https://www.philgeps.gov.ph/GEPSNONPILOT/Tender/SplashBidNoticeAbstractUI.aspx?menuIndex=3&amp;refID=7081949&amp;Result=3","7081949")</f>
        <v>0</v>
      </c>
      <c r="B3330" t="s">
        <v>194</v>
      </c>
      <c r="C3330" t="s">
        <v>6596</v>
      </c>
      <c r="D3330" t="s">
        <v>17438</v>
      </c>
      <c r="E3330" t="s">
        <v>20384</v>
      </c>
      <c r="F3330" t="s">
        <v>30052</v>
      </c>
      <c r="G3330" t="s">
        <v>30059</v>
      </c>
      <c r="H3330" t="s">
        <v>15498</v>
      </c>
      <c r="I3330" t="s">
        <v>30078</v>
      </c>
      <c r="J3330" t="s">
        <v>32403</v>
      </c>
      <c r="K3330" t="s">
        <v>39029</v>
      </c>
      <c r="M3330" t="s">
        <v>39484</v>
      </c>
      <c r="N3330" t="s">
        <v>43166</v>
      </c>
      <c r="O3330" t="s">
        <v>43167</v>
      </c>
      <c r="P3330">
        <v>0</v>
      </c>
      <c r="Q3330">
        <v>0</v>
      </c>
      <c r="R3330" t="s">
        <v>43171</v>
      </c>
      <c r="S3330" t="s">
        <v>43311</v>
      </c>
      <c r="T3330" t="s">
        <v>44717</v>
      </c>
      <c r="U3330" t="s">
        <v>47938</v>
      </c>
      <c r="W3330" t="s">
        <v>39484</v>
      </c>
      <c r="X3330" t="s">
        <v>43172</v>
      </c>
    </row>
    <row r="3331" spans="1:24">
      <c r="A3331">
        <f>HYPERLINK("https://www.philgeps.gov.ph/GEPSNONPILOT/Tender/SplashBidNoticeAbstractUI.aspx?menuIndex=3&amp;refID=7081947&amp;Result=3","7081947")</f>
        <v>0</v>
      </c>
      <c r="B3331" t="s">
        <v>620</v>
      </c>
      <c r="C3331" t="s">
        <v>6597</v>
      </c>
      <c r="D3331" t="s">
        <v>17427</v>
      </c>
      <c r="E3331" t="s">
        <v>20385</v>
      </c>
      <c r="F3331" t="s">
        <v>30052</v>
      </c>
      <c r="G3331" t="s">
        <v>30061</v>
      </c>
      <c r="H3331" t="s">
        <v>15498</v>
      </c>
      <c r="I3331" t="s">
        <v>30076</v>
      </c>
      <c r="J3331" t="s">
        <v>32404</v>
      </c>
      <c r="K3331" t="s">
        <v>39017</v>
      </c>
      <c r="M3331" t="s">
        <v>39923</v>
      </c>
      <c r="N3331" t="s">
        <v>43166</v>
      </c>
      <c r="O3331" t="s">
        <v>43167</v>
      </c>
      <c r="P3331">
        <v>0</v>
      </c>
      <c r="Q3331">
        <v>7</v>
      </c>
      <c r="R3331" t="s">
        <v>43171</v>
      </c>
      <c r="S3331" t="s">
        <v>43311</v>
      </c>
      <c r="T3331" t="s">
        <v>44732</v>
      </c>
      <c r="U3331" t="s">
        <v>47939</v>
      </c>
      <c r="V3331" t="s">
        <v>57209</v>
      </c>
      <c r="W3331" t="s">
        <v>39923</v>
      </c>
      <c r="X3331" t="s">
        <v>43172</v>
      </c>
    </row>
    <row r="3332" spans="1:24">
      <c r="A3332">
        <f>HYPERLINK("https://www.philgeps.gov.ph/GEPSNONPILOT/Tender/SplashBidNoticeAbstractUI.aspx?menuIndex=3&amp;refID=7081945&amp;Result=3","7081945")</f>
        <v>0</v>
      </c>
      <c r="B3332" t="s">
        <v>1239</v>
      </c>
      <c r="C3332" t="s">
        <v>6598</v>
      </c>
      <c r="D3332" t="s">
        <v>17459</v>
      </c>
      <c r="E3332" t="s">
        <v>20386</v>
      </c>
      <c r="F3332" t="s">
        <v>30052</v>
      </c>
      <c r="G3332" t="s">
        <v>30058</v>
      </c>
      <c r="H3332" t="s">
        <v>15498</v>
      </c>
      <c r="I3332" t="s">
        <v>30071</v>
      </c>
      <c r="J3332" t="s">
        <v>32405</v>
      </c>
      <c r="K3332" t="s">
        <v>39017</v>
      </c>
      <c r="M3332" t="s">
        <v>40595</v>
      </c>
      <c r="N3332" t="s">
        <v>43166</v>
      </c>
      <c r="O3332" t="s">
        <v>43167</v>
      </c>
      <c r="P3332">
        <v>0</v>
      </c>
      <c r="Q3332">
        <v>0</v>
      </c>
      <c r="R3332" t="s">
        <v>43171</v>
      </c>
      <c r="S3332" t="s">
        <v>43311</v>
      </c>
      <c r="T3332" t="s">
        <v>44710</v>
      </c>
      <c r="U3332" t="s">
        <v>47940</v>
      </c>
      <c r="V3332" t="s">
        <v>57210</v>
      </c>
      <c r="W3332" t="s">
        <v>40595</v>
      </c>
      <c r="X3332" t="s">
        <v>43172</v>
      </c>
    </row>
    <row r="3333" spans="1:24">
      <c r="A3333">
        <f>HYPERLINK("https://www.philgeps.gov.ph/GEPSNONPILOT/Tender/SplashBidNoticeAbstractUI.aspx?menuIndex=3&amp;refID=7081943&amp;Result=3","7081943")</f>
        <v>0</v>
      </c>
      <c r="B3333" t="s">
        <v>1248</v>
      </c>
      <c r="C3333" t="s">
        <v>6599</v>
      </c>
      <c r="D3333" t="s">
        <v>17469</v>
      </c>
      <c r="E3333" t="s">
        <v>20387</v>
      </c>
      <c r="F3333" t="s">
        <v>30052</v>
      </c>
      <c r="G3333" t="s">
        <v>30058</v>
      </c>
      <c r="H3333" t="s">
        <v>30067</v>
      </c>
      <c r="I3333" t="s">
        <v>3693</v>
      </c>
      <c r="J3333" t="s">
        <v>32406</v>
      </c>
      <c r="K3333" t="s">
        <v>39031</v>
      </c>
      <c r="M3333" t="s">
        <v>40604</v>
      </c>
      <c r="N3333" t="s">
        <v>43166</v>
      </c>
      <c r="O3333" t="s">
        <v>43167</v>
      </c>
      <c r="P3333">
        <v>0</v>
      </c>
      <c r="Q3333">
        <v>1</v>
      </c>
      <c r="R3333" t="s">
        <v>43171</v>
      </c>
      <c r="S3333" t="s">
        <v>43311</v>
      </c>
      <c r="T3333" t="s">
        <v>44722</v>
      </c>
      <c r="U3333" t="s">
        <v>47941</v>
      </c>
      <c r="W3333" t="s">
        <v>40604</v>
      </c>
      <c r="X3333" t="s">
        <v>43172</v>
      </c>
    </row>
    <row r="3334" spans="1:24">
      <c r="A3334">
        <f>HYPERLINK("https://www.philgeps.gov.ph/GEPSNONPILOT/Tender/SplashBidNoticeAbstractUI.aspx?menuIndex=3&amp;refID=7081962&amp;Result=3","7081962")</f>
        <v>0</v>
      </c>
      <c r="B3334" t="s">
        <v>1248</v>
      </c>
      <c r="C3334" t="s">
        <v>6600</v>
      </c>
      <c r="D3334" t="s">
        <v>17469</v>
      </c>
      <c r="E3334" t="s">
        <v>20388</v>
      </c>
      <c r="F3334" t="s">
        <v>30052</v>
      </c>
      <c r="G3334" t="s">
        <v>30058</v>
      </c>
      <c r="H3334" t="s">
        <v>30067</v>
      </c>
      <c r="I3334" t="s">
        <v>3693</v>
      </c>
      <c r="J3334" t="s">
        <v>32407</v>
      </c>
      <c r="K3334" t="s">
        <v>39128</v>
      </c>
      <c r="M3334" t="s">
        <v>40604</v>
      </c>
      <c r="N3334" t="s">
        <v>43166</v>
      </c>
      <c r="O3334" t="s">
        <v>43167</v>
      </c>
      <c r="P3334">
        <v>0</v>
      </c>
      <c r="Q3334">
        <v>1</v>
      </c>
      <c r="R3334" t="s">
        <v>43171</v>
      </c>
      <c r="S3334" t="s">
        <v>43311</v>
      </c>
      <c r="T3334" t="s">
        <v>44722</v>
      </c>
      <c r="U3334" t="s">
        <v>47942</v>
      </c>
      <c r="W3334" t="s">
        <v>40604</v>
      </c>
      <c r="X3334" t="s">
        <v>43172</v>
      </c>
    </row>
    <row r="3335" spans="1:24">
      <c r="A3335">
        <f>HYPERLINK("https://www.philgeps.gov.ph/GEPSNONPILOT/Tender/SplashBidNoticeAbstractUI.aspx?menuIndex=3&amp;refID=7081941&amp;Result=3","7081941")</f>
        <v>0</v>
      </c>
      <c r="B3335" t="s">
        <v>187</v>
      </c>
      <c r="C3335" t="s">
        <v>6601</v>
      </c>
      <c r="D3335" t="s">
        <v>17436</v>
      </c>
      <c r="E3335" t="s">
        <v>20389</v>
      </c>
      <c r="F3335" t="s">
        <v>30052</v>
      </c>
      <c r="G3335" t="s">
        <v>30059</v>
      </c>
      <c r="H3335" t="s">
        <v>15498</v>
      </c>
      <c r="I3335" t="s">
        <v>30111</v>
      </c>
      <c r="J3335" t="s">
        <v>32408</v>
      </c>
      <c r="K3335" t="s">
        <v>39034</v>
      </c>
      <c r="M3335" t="s">
        <v>39476</v>
      </c>
      <c r="N3335" t="s">
        <v>43166</v>
      </c>
      <c r="O3335" t="s">
        <v>43167</v>
      </c>
      <c r="P3335">
        <v>0</v>
      </c>
      <c r="Q3335">
        <v>1</v>
      </c>
      <c r="R3335" t="s">
        <v>43171</v>
      </c>
      <c r="S3335" t="s">
        <v>43311</v>
      </c>
      <c r="T3335" t="s">
        <v>44837</v>
      </c>
      <c r="U3335" t="s">
        <v>47943</v>
      </c>
      <c r="V3335" t="s">
        <v>57211</v>
      </c>
      <c r="W3335" t="s">
        <v>39476</v>
      </c>
      <c r="X3335" t="s">
        <v>43172</v>
      </c>
    </row>
    <row r="3336" spans="1:24">
      <c r="A3336">
        <f>HYPERLINK("https://www.philgeps.gov.ph/GEPSNONPILOT/Tender/SplashBidNoticeAbstractUI.aspx?menuIndex=3&amp;refID=7081951&amp;Result=3","7081951")</f>
        <v>0</v>
      </c>
      <c r="B3336" t="s">
        <v>1233</v>
      </c>
      <c r="C3336" t="s">
        <v>6602</v>
      </c>
      <c r="D3336" t="s">
        <v>17442</v>
      </c>
      <c r="E3336" t="s">
        <v>20390</v>
      </c>
      <c r="F3336" t="s">
        <v>30052</v>
      </c>
      <c r="G3336" t="s">
        <v>30059</v>
      </c>
      <c r="H3336" t="s">
        <v>15498</v>
      </c>
      <c r="I3336" t="s">
        <v>30076</v>
      </c>
      <c r="J3336" t="s">
        <v>32409</v>
      </c>
      <c r="K3336" t="s">
        <v>39034</v>
      </c>
      <c r="M3336" t="s">
        <v>40587</v>
      </c>
      <c r="N3336" t="s">
        <v>43166</v>
      </c>
      <c r="O3336" t="s">
        <v>43167</v>
      </c>
      <c r="P3336">
        <v>0</v>
      </c>
      <c r="Q3336">
        <v>5</v>
      </c>
      <c r="R3336" t="s">
        <v>43171</v>
      </c>
      <c r="S3336" t="s">
        <v>43311</v>
      </c>
      <c r="T3336" t="s">
        <v>44773</v>
      </c>
      <c r="U3336" t="s">
        <v>47944</v>
      </c>
      <c r="W3336" t="s">
        <v>40587</v>
      </c>
      <c r="X3336" t="s">
        <v>43172</v>
      </c>
    </row>
    <row r="3337" spans="1:24">
      <c r="A3337">
        <f>HYPERLINK("https://www.philgeps.gov.ph/GEPSNONPILOT/Tender/SplashBidNoticeAbstractUI.aspx?menuIndex=3&amp;refID=7081946&amp;Result=3","7081946")</f>
        <v>0</v>
      </c>
      <c r="B3337" t="s">
        <v>1112</v>
      </c>
      <c r="C3337" t="s">
        <v>6603</v>
      </c>
      <c r="D3337" t="s">
        <v>17479</v>
      </c>
      <c r="E3337" t="s">
        <v>20391</v>
      </c>
      <c r="F3337" t="s">
        <v>30052</v>
      </c>
      <c r="G3337" t="s">
        <v>30060</v>
      </c>
      <c r="H3337" t="s">
        <v>15498</v>
      </c>
      <c r="I3337" t="s">
        <v>4650</v>
      </c>
      <c r="J3337" t="s">
        <v>30857</v>
      </c>
      <c r="K3337" t="s">
        <v>39037</v>
      </c>
      <c r="M3337" t="s">
        <v>40452</v>
      </c>
      <c r="N3337" t="s">
        <v>43166</v>
      </c>
      <c r="O3337" t="s">
        <v>43167</v>
      </c>
      <c r="P3337">
        <v>0</v>
      </c>
      <c r="Q3337">
        <v>1</v>
      </c>
      <c r="R3337" t="s">
        <v>43171</v>
      </c>
      <c r="S3337" t="s">
        <v>43311</v>
      </c>
      <c r="T3337" t="s">
        <v>44710</v>
      </c>
      <c r="U3337" t="s">
        <v>47945</v>
      </c>
      <c r="V3337" t="s">
        <v>57212</v>
      </c>
      <c r="W3337" t="s">
        <v>40452</v>
      </c>
      <c r="X3337" t="s">
        <v>43172</v>
      </c>
    </row>
    <row r="3338" spans="1:24">
      <c r="A3338">
        <f>HYPERLINK("https://www.philgeps.gov.ph/GEPSNONPILOT/Tender/SplashBidNoticeAbstractUI.aspx?menuIndex=3&amp;refID=7081959&amp;Result=3","7081959")</f>
        <v>0</v>
      </c>
      <c r="B3338" t="s">
        <v>541</v>
      </c>
      <c r="C3338" t="s">
        <v>6604</v>
      </c>
      <c r="D3338" t="s">
        <v>17458</v>
      </c>
      <c r="E3338" t="s">
        <v>20392</v>
      </c>
      <c r="F3338" t="s">
        <v>30052</v>
      </c>
      <c r="G3338" t="s">
        <v>30059</v>
      </c>
      <c r="H3338" t="s">
        <v>15498</v>
      </c>
      <c r="I3338" t="s">
        <v>30074</v>
      </c>
      <c r="J3338" t="s">
        <v>31189</v>
      </c>
      <c r="K3338" t="s">
        <v>39017</v>
      </c>
      <c r="M3338" t="s">
        <v>39843</v>
      </c>
      <c r="N3338" t="s">
        <v>43166</v>
      </c>
      <c r="O3338" t="s">
        <v>43167</v>
      </c>
      <c r="P3338">
        <v>0</v>
      </c>
      <c r="Q3338">
        <v>1</v>
      </c>
      <c r="R3338" t="s">
        <v>43171</v>
      </c>
      <c r="S3338" t="s">
        <v>43311</v>
      </c>
      <c r="T3338" t="s">
        <v>44773</v>
      </c>
      <c r="U3338" t="s">
        <v>46404</v>
      </c>
      <c r="W3338" t="s">
        <v>58604</v>
      </c>
      <c r="X3338" t="s">
        <v>43172</v>
      </c>
    </row>
    <row r="3339" spans="1:24">
      <c r="A3339">
        <f>HYPERLINK("https://www.philgeps.gov.ph/GEPSNONPILOT/Tender/SplashBidNoticeAbstractUI.aspx?menuIndex=3&amp;refID=7081944&amp;Result=3","7081944")</f>
        <v>0</v>
      </c>
      <c r="B3339" t="s">
        <v>541</v>
      </c>
      <c r="C3339" t="s">
        <v>6605</v>
      </c>
      <c r="D3339" t="s">
        <v>17458</v>
      </c>
      <c r="E3339" t="s">
        <v>20393</v>
      </c>
      <c r="F3339" t="s">
        <v>30052</v>
      </c>
      <c r="G3339" t="s">
        <v>30059</v>
      </c>
      <c r="H3339" t="s">
        <v>15498</v>
      </c>
      <c r="I3339" t="s">
        <v>30100</v>
      </c>
      <c r="J3339" t="s">
        <v>32410</v>
      </c>
      <c r="K3339" t="s">
        <v>39017</v>
      </c>
      <c r="M3339" t="s">
        <v>39843</v>
      </c>
      <c r="N3339" t="s">
        <v>43166</v>
      </c>
      <c r="O3339" t="s">
        <v>43167</v>
      </c>
      <c r="P3339">
        <v>0</v>
      </c>
      <c r="Q3339">
        <v>0</v>
      </c>
      <c r="R3339" t="s">
        <v>43171</v>
      </c>
      <c r="S3339" t="s">
        <v>43311</v>
      </c>
      <c r="T3339" t="s">
        <v>44773</v>
      </c>
      <c r="U3339" t="s">
        <v>46404</v>
      </c>
      <c r="W3339" t="s">
        <v>58604</v>
      </c>
      <c r="X3339" t="s">
        <v>43172</v>
      </c>
    </row>
    <row r="3340" spans="1:24">
      <c r="A3340">
        <f>HYPERLINK("https://www.philgeps.gov.ph/GEPSNONPILOT/Tender/SplashBidNoticeAbstractUI.aspx?menuIndex=3&amp;refID=7081971&amp;Result=3","7081971")</f>
        <v>0</v>
      </c>
      <c r="B3340" t="s">
        <v>194</v>
      </c>
      <c r="C3340" t="s">
        <v>6606</v>
      </c>
      <c r="D3340" t="s">
        <v>17438</v>
      </c>
      <c r="E3340" t="s">
        <v>20394</v>
      </c>
      <c r="F3340" t="s">
        <v>30052</v>
      </c>
      <c r="G3340" t="s">
        <v>30059</v>
      </c>
      <c r="H3340" t="s">
        <v>15498</v>
      </c>
      <c r="I3340" t="s">
        <v>30076</v>
      </c>
      <c r="J3340" t="s">
        <v>31272</v>
      </c>
      <c r="K3340" t="s">
        <v>39029</v>
      </c>
      <c r="M3340" t="s">
        <v>39484</v>
      </c>
      <c r="N3340" t="s">
        <v>43166</v>
      </c>
      <c r="O3340" t="s">
        <v>43167</v>
      </c>
      <c r="P3340">
        <v>0</v>
      </c>
      <c r="Q3340">
        <v>3</v>
      </c>
      <c r="R3340" t="s">
        <v>43171</v>
      </c>
      <c r="S3340" t="s">
        <v>43311</v>
      </c>
      <c r="T3340" t="s">
        <v>44717</v>
      </c>
      <c r="U3340" t="s">
        <v>47946</v>
      </c>
      <c r="W3340" t="s">
        <v>39484</v>
      </c>
      <c r="X3340" t="s">
        <v>43172</v>
      </c>
    </row>
    <row r="3341" spans="1:24">
      <c r="A3341">
        <f>HYPERLINK("https://www.philgeps.gov.ph/GEPSNONPILOT/Tender/SplashBidNoticeAbstractUI.aspx?menuIndex=3&amp;refID=7081915&amp;Result=3","7081915")</f>
        <v>0</v>
      </c>
      <c r="B3341" t="s">
        <v>541</v>
      </c>
      <c r="C3341" t="s">
        <v>6607</v>
      </c>
      <c r="D3341" t="s">
        <v>17458</v>
      </c>
      <c r="E3341" t="s">
        <v>20395</v>
      </c>
      <c r="F3341" t="s">
        <v>30052</v>
      </c>
      <c r="G3341" t="s">
        <v>30059</v>
      </c>
      <c r="H3341" t="s">
        <v>15498</v>
      </c>
      <c r="I3341" t="s">
        <v>30073</v>
      </c>
      <c r="J3341" t="s">
        <v>32411</v>
      </c>
      <c r="K3341" t="s">
        <v>39017</v>
      </c>
      <c r="M3341" t="s">
        <v>39843</v>
      </c>
      <c r="N3341" t="s">
        <v>43166</v>
      </c>
      <c r="O3341" t="s">
        <v>43167</v>
      </c>
      <c r="P3341">
        <v>0</v>
      </c>
      <c r="Q3341">
        <v>0</v>
      </c>
      <c r="R3341" t="s">
        <v>43171</v>
      </c>
      <c r="S3341" t="s">
        <v>43311</v>
      </c>
      <c r="T3341" t="s">
        <v>44773</v>
      </c>
      <c r="U3341" t="s">
        <v>46404</v>
      </c>
      <c r="W3341" t="s">
        <v>58604</v>
      </c>
      <c r="X3341" t="s">
        <v>43172</v>
      </c>
    </row>
    <row r="3342" spans="1:24">
      <c r="A3342">
        <f>HYPERLINK("https://www.philgeps.gov.ph/GEPSNONPILOT/Tender/SplashBidNoticeAbstractUI.aspx?menuIndex=3&amp;refID=7081988&amp;Result=3","7081988")</f>
        <v>0</v>
      </c>
      <c r="B3342" t="s">
        <v>1249</v>
      </c>
      <c r="C3342" t="s">
        <v>6608</v>
      </c>
      <c r="D3342" t="s">
        <v>17461</v>
      </c>
      <c r="E3342" t="s">
        <v>20396</v>
      </c>
      <c r="F3342" t="s">
        <v>30052</v>
      </c>
      <c r="G3342" t="s">
        <v>30059</v>
      </c>
      <c r="H3342" t="s">
        <v>15498</v>
      </c>
      <c r="I3342" t="s">
        <v>30115</v>
      </c>
      <c r="J3342" t="s">
        <v>30423</v>
      </c>
      <c r="K3342" t="s">
        <v>39025</v>
      </c>
      <c r="M3342" t="s">
        <v>40605</v>
      </c>
      <c r="N3342" t="s">
        <v>43166</v>
      </c>
      <c r="O3342" t="s">
        <v>43167</v>
      </c>
      <c r="P3342">
        <v>0</v>
      </c>
      <c r="Q3342">
        <v>1</v>
      </c>
      <c r="R3342" t="s">
        <v>43171</v>
      </c>
      <c r="S3342" t="s">
        <v>43311</v>
      </c>
      <c r="T3342" t="s">
        <v>44844</v>
      </c>
      <c r="U3342" t="s">
        <v>47947</v>
      </c>
      <c r="V3342" t="s">
        <v>57213</v>
      </c>
      <c r="W3342" t="s">
        <v>40605</v>
      </c>
      <c r="X3342" t="s">
        <v>43172</v>
      </c>
    </row>
    <row r="3343" spans="1:24">
      <c r="A3343">
        <f>HYPERLINK("https://www.philgeps.gov.ph/GEPSNONPILOT/Tender/SplashBidNoticeAbstractUI.aspx?menuIndex=3&amp;refID=7081986&amp;Result=3","7081986")</f>
        <v>0</v>
      </c>
      <c r="B3343" t="s">
        <v>1250</v>
      </c>
      <c r="C3343" t="s">
        <v>6609</v>
      </c>
      <c r="D3343" t="s">
        <v>17415</v>
      </c>
      <c r="E3343" t="s">
        <v>20397</v>
      </c>
      <c r="F3343" t="s">
        <v>30052</v>
      </c>
      <c r="G3343" t="s">
        <v>30061</v>
      </c>
      <c r="H3343" t="s">
        <v>15498</v>
      </c>
      <c r="I3343" t="s">
        <v>30076</v>
      </c>
      <c r="J3343" t="s">
        <v>32412</v>
      </c>
      <c r="K3343" t="s">
        <v>39017</v>
      </c>
      <c r="M3343" t="s">
        <v>40606</v>
      </c>
      <c r="N3343" t="s">
        <v>43166</v>
      </c>
      <c r="O3343" t="s">
        <v>43167</v>
      </c>
      <c r="P3343">
        <v>0</v>
      </c>
      <c r="Q3343">
        <v>6</v>
      </c>
      <c r="R3343" t="s">
        <v>43171</v>
      </c>
      <c r="S3343" t="s">
        <v>43311</v>
      </c>
      <c r="T3343" t="s">
        <v>44837</v>
      </c>
      <c r="U3343" t="s">
        <v>47948</v>
      </c>
      <c r="V3343" t="s">
        <v>57214</v>
      </c>
      <c r="W3343" t="s">
        <v>40606</v>
      </c>
      <c r="X3343" t="s">
        <v>43172</v>
      </c>
    </row>
    <row r="3344" spans="1:24">
      <c r="A3344">
        <f>HYPERLINK("https://www.philgeps.gov.ph/GEPSNONPILOT/Tender/SplashBidNoticeAbstractUI.aspx?menuIndex=3&amp;refID=7081984&amp;Result=3","7081984")</f>
        <v>0</v>
      </c>
      <c r="B3344" t="s">
        <v>620</v>
      </c>
      <c r="C3344" t="s">
        <v>6610</v>
      </c>
      <c r="D3344" t="s">
        <v>17427</v>
      </c>
      <c r="E3344" t="s">
        <v>20398</v>
      </c>
      <c r="F3344" t="s">
        <v>30052</v>
      </c>
      <c r="G3344" t="s">
        <v>30061</v>
      </c>
      <c r="H3344" t="s">
        <v>15498</v>
      </c>
      <c r="I3344" t="s">
        <v>30076</v>
      </c>
      <c r="J3344" t="s">
        <v>30612</v>
      </c>
      <c r="K3344" t="s">
        <v>39017</v>
      </c>
      <c r="M3344" t="s">
        <v>39923</v>
      </c>
      <c r="N3344" t="s">
        <v>43166</v>
      </c>
      <c r="O3344" t="s">
        <v>43167</v>
      </c>
      <c r="P3344">
        <v>0</v>
      </c>
      <c r="Q3344">
        <v>3</v>
      </c>
      <c r="R3344" t="s">
        <v>43171</v>
      </c>
      <c r="S3344" t="s">
        <v>43311</v>
      </c>
      <c r="T3344" t="s">
        <v>44732</v>
      </c>
      <c r="U3344" t="s">
        <v>47949</v>
      </c>
      <c r="V3344" t="s">
        <v>57209</v>
      </c>
      <c r="W3344" t="s">
        <v>39923</v>
      </c>
      <c r="X3344" t="s">
        <v>43172</v>
      </c>
    </row>
    <row r="3345" spans="1:24">
      <c r="A3345">
        <f>HYPERLINK("https://www.philgeps.gov.ph/GEPSNONPILOT/Tender/SplashBidNoticeAbstractUI.aspx?menuIndex=3&amp;refID=7081981&amp;Result=3","7081981")</f>
        <v>0</v>
      </c>
      <c r="B3345" t="s">
        <v>1251</v>
      </c>
      <c r="C3345" t="s">
        <v>6611</v>
      </c>
      <c r="D3345" t="s">
        <v>17463</v>
      </c>
      <c r="E3345" t="s">
        <v>20399</v>
      </c>
      <c r="F3345" t="s">
        <v>30052</v>
      </c>
      <c r="G3345" t="s">
        <v>30058</v>
      </c>
      <c r="H3345" t="s">
        <v>15498</v>
      </c>
      <c r="I3345" t="s">
        <v>3736</v>
      </c>
      <c r="J3345" t="s">
        <v>32413</v>
      </c>
      <c r="K3345" t="s">
        <v>39019</v>
      </c>
      <c r="M3345" t="s">
        <v>40607</v>
      </c>
      <c r="N3345" t="s">
        <v>43166</v>
      </c>
      <c r="O3345" t="s">
        <v>43167</v>
      </c>
      <c r="P3345">
        <v>0</v>
      </c>
      <c r="Q3345">
        <v>0</v>
      </c>
      <c r="R3345" t="s">
        <v>43171</v>
      </c>
      <c r="S3345" t="s">
        <v>43311</v>
      </c>
      <c r="T3345" t="s">
        <v>44684</v>
      </c>
      <c r="U3345" t="s">
        <v>47950</v>
      </c>
      <c r="W3345" t="s">
        <v>40956</v>
      </c>
      <c r="X3345" t="s">
        <v>43172</v>
      </c>
    </row>
    <row r="3346" spans="1:24">
      <c r="A3346">
        <f>HYPERLINK("https://www.philgeps.gov.ph/GEPSNONPILOT/Tender/SplashBidNoticeAbstractUI.aspx?menuIndex=3&amp;refID=7081942&amp;Result=3","7081942")</f>
        <v>0</v>
      </c>
      <c r="B3346" t="s">
        <v>1015</v>
      </c>
      <c r="C3346" t="s">
        <v>6612</v>
      </c>
      <c r="D3346" t="s">
        <v>17415</v>
      </c>
      <c r="E3346" t="s">
        <v>20400</v>
      </c>
      <c r="F3346" t="s">
        <v>30052</v>
      </c>
      <c r="G3346" t="s">
        <v>30062</v>
      </c>
      <c r="H3346" t="s">
        <v>15498</v>
      </c>
      <c r="I3346" t="s">
        <v>4650</v>
      </c>
      <c r="J3346" t="s">
        <v>32414</v>
      </c>
      <c r="K3346" t="s">
        <v>39017</v>
      </c>
      <c r="M3346" t="s">
        <v>40608</v>
      </c>
      <c r="N3346" t="s">
        <v>43166</v>
      </c>
      <c r="O3346" t="s">
        <v>43167</v>
      </c>
      <c r="P3346">
        <v>0</v>
      </c>
      <c r="Q3346">
        <v>1</v>
      </c>
      <c r="R3346" t="s">
        <v>43171</v>
      </c>
      <c r="S3346" t="s">
        <v>43311</v>
      </c>
      <c r="T3346" t="s">
        <v>44803</v>
      </c>
      <c r="U3346" t="s">
        <v>47951</v>
      </c>
      <c r="V3346" t="s">
        <v>57215</v>
      </c>
      <c r="W3346" t="s">
        <v>40608</v>
      </c>
      <c r="X3346" t="s">
        <v>43172</v>
      </c>
    </row>
    <row r="3347" spans="1:24">
      <c r="A3347">
        <f>HYPERLINK("https://www.philgeps.gov.ph/GEPSNONPILOT/Tender/SplashBidNoticeAbstractUI.aspx?menuIndex=3&amp;refID=7081989&amp;Result=3","7081989")</f>
        <v>0</v>
      </c>
      <c r="B3347" t="s">
        <v>1252</v>
      </c>
      <c r="C3347" t="s">
        <v>6613</v>
      </c>
      <c r="D3347" t="s">
        <v>17452</v>
      </c>
      <c r="E3347" t="s">
        <v>20401</v>
      </c>
      <c r="F3347" t="s">
        <v>30052</v>
      </c>
      <c r="G3347" t="s">
        <v>30061</v>
      </c>
      <c r="H3347" t="s">
        <v>15498</v>
      </c>
      <c r="I3347" t="s">
        <v>30070</v>
      </c>
      <c r="J3347" t="s">
        <v>32415</v>
      </c>
      <c r="K3347" t="s">
        <v>39019</v>
      </c>
      <c r="M3347" t="s">
        <v>40609</v>
      </c>
      <c r="N3347" t="s">
        <v>43166</v>
      </c>
      <c r="O3347" t="s">
        <v>43167</v>
      </c>
      <c r="P3347">
        <v>0</v>
      </c>
      <c r="Q3347">
        <v>0</v>
      </c>
      <c r="R3347" t="s">
        <v>43171</v>
      </c>
      <c r="S3347" t="s">
        <v>43311</v>
      </c>
      <c r="T3347" t="s">
        <v>44696</v>
      </c>
      <c r="U3347" t="s">
        <v>47952</v>
      </c>
      <c r="W3347" t="s">
        <v>40609</v>
      </c>
      <c r="X3347" t="s">
        <v>43172</v>
      </c>
    </row>
    <row r="3348" spans="1:24">
      <c r="A3348">
        <f>HYPERLINK("https://www.philgeps.gov.ph/GEPSNONPILOT/Tender/SplashBidNoticeAbstractUI.aspx?menuIndex=3&amp;refID=7081977&amp;Result=3","7081977")</f>
        <v>0</v>
      </c>
      <c r="B3348" t="s">
        <v>1253</v>
      </c>
      <c r="C3348" t="s">
        <v>6614</v>
      </c>
      <c r="D3348" t="s">
        <v>17421</v>
      </c>
      <c r="E3348" t="s">
        <v>20402</v>
      </c>
      <c r="F3348" t="s">
        <v>30052</v>
      </c>
      <c r="G3348" t="s">
        <v>30059</v>
      </c>
      <c r="H3348" t="s">
        <v>15498</v>
      </c>
      <c r="I3348" t="s">
        <v>3736</v>
      </c>
      <c r="J3348" t="s">
        <v>32416</v>
      </c>
      <c r="K3348" t="s">
        <v>39034</v>
      </c>
      <c r="M3348" t="s">
        <v>40610</v>
      </c>
      <c r="N3348" t="s">
        <v>43166</v>
      </c>
      <c r="O3348" t="s">
        <v>43167</v>
      </c>
      <c r="P3348">
        <v>0</v>
      </c>
      <c r="Q3348">
        <v>1</v>
      </c>
      <c r="R3348" t="s">
        <v>43171</v>
      </c>
      <c r="S3348" t="s">
        <v>43311</v>
      </c>
      <c r="T3348" t="s">
        <v>44710</v>
      </c>
      <c r="U3348" t="s">
        <v>47953</v>
      </c>
      <c r="W3348" t="s">
        <v>40610</v>
      </c>
      <c r="X3348" t="s">
        <v>43172</v>
      </c>
    </row>
    <row r="3349" spans="1:24">
      <c r="A3349">
        <f>HYPERLINK("https://www.philgeps.gov.ph/GEPSNONPILOT/Tender/SplashBidNoticeAbstractUI.aspx?menuIndex=3&amp;refID=7082000&amp;Result=3","7082000")</f>
        <v>0</v>
      </c>
      <c r="B3349" t="s">
        <v>1254</v>
      </c>
      <c r="C3349" t="s">
        <v>6615</v>
      </c>
      <c r="D3349" t="s">
        <v>17476</v>
      </c>
      <c r="E3349" t="s">
        <v>20403</v>
      </c>
      <c r="F3349" t="s">
        <v>30052</v>
      </c>
      <c r="G3349" t="s">
        <v>30061</v>
      </c>
      <c r="H3349" t="s">
        <v>15498</v>
      </c>
      <c r="I3349" t="s">
        <v>30076</v>
      </c>
      <c r="J3349" t="s">
        <v>32417</v>
      </c>
      <c r="K3349" t="s">
        <v>39039</v>
      </c>
      <c r="M3349" t="s">
        <v>40611</v>
      </c>
      <c r="N3349" t="s">
        <v>43166</v>
      </c>
      <c r="O3349" t="s">
        <v>43167</v>
      </c>
      <c r="P3349">
        <v>0</v>
      </c>
      <c r="Q3349">
        <v>6</v>
      </c>
      <c r="R3349" t="s">
        <v>43171</v>
      </c>
      <c r="S3349" t="s">
        <v>43311</v>
      </c>
      <c r="T3349" t="s">
        <v>44734</v>
      </c>
      <c r="U3349" t="s">
        <v>47954</v>
      </c>
      <c r="V3349" t="s">
        <v>57216</v>
      </c>
      <c r="W3349" t="s">
        <v>40611</v>
      </c>
      <c r="X3349" t="s">
        <v>43172</v>
      </c>
    </row>
    <row r="3350" spans="1:24">
      <c r="A3350">
        <f>HYPERLINK("https://www.philgeps.gov.ph/GEPSNONPILOT/Tender/SplashBidNoticeAbstractUI.aspx?menuIndex=3&amp;refID=7081982&amp;Result=3","7081982")</f>
        <v>0</v>
      </c>
      <c r="B3350" t="s">
        <v>1255</v>
      </c>
      <c r="C3350" t="s">
        <v>6616</v>
      </c>
      <c r="D3350" t="s">
        <v>17435</v>
      </c>
      <c r="E3350" t="s">
        <v>6616</v>
      </c>
      <c r="F3350" t="s">
        <v>30052</v>
      </c>
      <c r="G3350" t="s">
        <v>30058</v>
      </c>
      <c r="H3350" t="s">
        <v>30067</v>
      </c>
      <c r="I3350" t="s">
        <v>30093</v>
      </c>
      <c r="J3350" t="s">
        <v>32418</v>
      </c>
      <c r="K3350" t="s">
        <v>39057</v>
      </c>
      <c r="M3350" t="s">
        <v>40612</v>
      </c>
      <c r="N3350" t="s">
        <v>43166</v>
      </c>
      <c r="O3350" t="s">
        <v>43167</v>
      </c>
      <c r="Q3350">
        <v>8</v>
      </c>
      <c r="R3350" t="s">
        <v>43171</v>
      </c>
      <c r="S3350" t="s">
        <v>43319</v>
      </c>
      <c r="T3350" t="s">
        <v>44958</v>
      </c>
      <c r="U3350" t="s">
        <v>47955</v>
      </c>
      <c r="V3350" t="s">
        <v>57217</v>
      </c>
      <c r="W3350" t="s">
        <v>40612</v>
      </c>
      <c r="X3350" t="s">
        <v>43172</v>
      </c>
    </row>
    <row r="3351" spans="1:24">
      <c r="A3351">
        <f>HYPERLINK("https://www.philgeps.gov.ph/GEPSNONPILOT/Tender/SplashBidNoticeAbstractUI.aspx?menuIndex=3&amp;refID=7081994&amp;Result=3","7081994")</f>
        <v>0</v>
      </c>
      <c r="B3351" t="s">
        <v>1112</v>
      </c>
      <c r="C3351" t="s">
        <v>6617</v>
      </c>
      <c r="D3351" t="s">
        <v>17479</v>
      </c>
      <c r="E3351" t="s">
        <v>20404</v>
      </c>
      <c r="F3351" t="s">
        <v>30052</v>
      </c>
      <c r="G3351" t="s">
        <v>30059</v>
      </c>
      <c r="H3351" t="s">
        <v>15498</v>
      </c>
      <c r="I3351" t="s">
        <v>30081</v>
      </c>
      <c r="J3351" t="s">
        <v>30292</v>
      </c>
      <c r="K3351" t="s">
        <v>39037</v>
      </c>
      <c r="M3351" t="s">
        <v>40452</v>
      </c>
      <c r="N3351" t="s">
        <v>43166</v>
      </c>
      <c r="O3351" t="s">
        <v>43167</v>
      </c>
      <c r="P3351">
        <v>0</v>
      </c>
      <c r="Q3351">
        <v>2</v>
      </c>
      <c r="R3351" t="s">
        <v>43171</v>
      </c>
      <c r="S3351" t="s">
        <v>43311</v>
      </c>
      <c r="T3351" t="s">
        <v>44705</v>
      </c>
      <c r="U3351" t="s">
        <v>47956</v>
      </c>
      <c r="V3351" t="s">
        <v>57218</v>
      </c>
      <c r="W3351" t="s">
        <v>40452</v>
      </c>
      <c r="X3351" t="s">
        <v>43172</v>
      </c>
    </row>
    <row r="3352" spans="1:24">
      <c r="A3352">
        <f>HYPERLINK("https://www.philgeps.gov.ph/GEPSNONPILOT/Tender/SplashBidNoticeAbstractUI.aspx?menuIndex=3&amp;refID=7081972&amp;Result=3","7081972")</f>
        <v>0</v>
      </c>
      <c r="B3352" t="s">
        <v>119</v>
      </c>
      <c r="C3352" t="s">
        <v>6618</v>
      </c>
      <c r="E3352" t="s">
        <v>20405</v>
      </c>
      <c r="F3352" t="s">
        <v>30052</v>
      </c>
      <c r="G3352" t="s">
        <v>30061</v>
      </c>
      <c r="H3352" t="s">
        <v>15498</v>
      </c>
      <c r="I3352" t="s">
        <v>30096</v>
      </c>
      <c r="J3352" t="s">
        <v>32419</v>
      </c>
      <c r="K3352" t="s">
        <v>39029</v>
      </c>
      <c r="M3352" t="s">
        <v>39408</v>
      </c>
      <c r="N3352" t="s">
        <v>43166</v>
      </c>
      <c r="O3352" t="s">
        <v>43167</v>
      </c>
      <c r="P3352">
        <v>0</v>
      </c>
      <c r="Q3352">
        <v>0</v>
      </c>
      <c r="R3352" t="s">
        <v>43171</v>
      </c>
      <c r="S3352" t="s">
        <v>43311</v>
      </c>
      <c r="T3352" t="s">
        <v>44837</v>
      </c>
      <c r="U3352" t="s">
        <v>47957</v>
      </c>
      <c r="W3352" t="s">
        <v>39408</v>
      </c>
      <c r="X3352" t="s">
        <v>43172</v>
      </c>
    </row>
    <row r="3353" spans="1:24">
      <c r="A3353">
        <f>HYPERLINK("https://www.philgeps.gov.ph/GEPSNONPILOT/Tender/SplashBidNoticeAbstractUI.aspx?menuIndex=3&amp;refID=7081992&amp;Result=3","7081992")</f>
        <v>0</v>
      </c>
      <c r="B3353" t="s">
        <v>541</v>
      </c>
      <c r="C3353" t="s">
        <v>6619</v>
      </c>
      <c r="D3353" t="s">
        <v>17458</v>
      </c>
      <c r="E3353" t="s">
        <v>20406</v>
      </c>
      <c r="F3353" t="s">
        <v>30052</v>
      </c>
      <c r="G3353" t="s">
        <v>30059</v>
      </c>
      <c r="H3353" t="s">
        <v>15498</v>
      </c>
      <c r="I3353" t="s">
        <v>30071</v>
      </c>
      <c r="J3353" t="s">
        <v>32420</v>
      </c>
      <c r="K3353" t="s">
        <v>39017</v>
      </c>
      <c r="M3353" t="s">
        <v>39843</v>
      </c>
      <c r="N3353" t="s">
        <v>43166</v>
      </c>
      <c r="O3353" t="s">
        <v>43167</v>
      </c>
      <c r="P3353">
        <v>0</v>
      </c>
      <c r="Q3353">
        <v>0</v>
      </c>
      <c r="R3353" t="s">
        <v>43171</v>
      </c>
      <c r="S3353" t="s">
        <v>43311</v>
      </c>
      <c r="T3353" t="s">
        <v>44773</v>
      </c>
      <c r="U3353" t="s">
        <v>46404</v>
      </c>
      <c r="W3353" t="s">
        <v>58604</v>
      </c>
      <c r="X3353" t="s">
        <v>43172</v>
      </c>
    </row>
    <row r="3354" spans="1:24">
      <c r="A3354">
        <f>HYPERLINK("https://www.philgeps.gov.ph/GEPSNONPILOT/Tender/SplashBidNoticeAbstractUI.aspx?menuIndex=3&amp;refID=7081979&amp;Result=3","7081979")</f>
        <v>0</v>
      </c>
      <c r="B3354" t="s">
        <v>1256</v>
      </c>
      <c r="C3354" t="s">
        <v>6620</v>
      </c>
      <c r="D3354" t="s">
        <v>17427</v>
      </c>
      <c r="E3354" t="s">
        <v>18342</v>
      </c>
      <c r="F3354" t="s">
        <v>30052</v>
      </c>
      <c r="G3354" t="s">
        <v>30060</v>
      </c>
      <c r="H3354" t="s">
        <v>15498</v>
      </c>
      <c r="I3354" t="s">
        <v>3736</v>
      </c>
      <c r="J3354" t="s">
        <v>32421</v>
      </c>
      <c r="K3354" t="s">
        <v>39029</v>
      </c>
      <c r="M3354" t="s">
        <v>40613</v>
      </c>
      <c r="N3354" t="s">
        <v>43166</v>
      </c>
      <c r="O3354" t="s">
        <v>43167</v>
      </c>
      <c r="P3354">
        <v>0</v>
      </c>
      <c r="Q3354">
        <v>0</v>
      </c>
      <c r="R3354" t="s">
        <v>43171</v>
      </c>
      <c r="S3354" t="s">
        <v>43311</v>
      </c>
      <c r="T3354" t="s">
        <v>44763</v>
      </c>
      <c r="U3354" t="s">
        <v>47958</v>
      </c>
      <c r="W3354" t="s">
        <v>40613</v>
      </c>
      <c r="X3354" t="s">
        <v>43172</v>
      </c>
    </row>
    <row r="3355" spans="1:24">
      <c r="A3355">
        <f>HYPERLINK("https://www.philgeps.gov.ph/GEPSNONPILOT/Tender/SplashBidNoticeAbstractUI.aspx?menuIndex=3&amp;refID=7081975&amp;Result=3","7081975")</f>
        <v>0</v>
      </c>
      <c r="B3355" t="s">
        <v>730</v>
      </c>
      <c r="C3355" t="s">
        <v>6621</v>
      </c>
      <c r="D3355" t="s">
        <v>17415</v>
      </c>
      <c r="E3355" t="s">
        <v>20407</v>
      </c>
      <c r="F3355" t="s">
        <v>30052</v>
      </c>
      <c r="G3355" t="s">
        <v>30059</v>
      </c>
      <c r="H3355" t="s">
        <v>15498</v>
      </c>
      <c r="I3355" t="s">
        <v>30084</v>
      </c>
      <c r="J3355" t="s">
        <v>31236</v>
      </c>
      <c r="K3355" t="s">
        <v>39025</v>
      </c>
      <c r="M3355" t="s">
        <v>40041</v>
      </c>
      <c r="N3355" t="s">
        <v>43166</v>
      </c>
      <c r="O3355" t="s">
        <v>43167</v>
      </c>
      <c r="P3355">
        <v>0</v>
      </c>
      <c r="Q3355">
        <v>19</v>
      </c>
      <c r="R3355" t="s">
        <v>43171</v>
      </c>
      <c r="S3355" t="s">
        <v>43311</v>
      </c>
      <c r="T3355" t="s">
        <v>44880</v>
      </c>
      <c r="U3355" t="s">
        <v>47959</v>
      </c>
      <c r="W3355" t="s">
        <v>40041</v>
      </c>
      <c r="X3355" t="s">
        <v>43172</v>
      </c>
    </row>
    <row r="3356" spans="1:24">
      <c r="A3356">
        <f>HYPERLINK("https://www.philgeps.gov.ph/GEPSNONPILOT/Tender/SplashBidNoticeAbstractUI.aspx?menuIndex=3&amp;refID=7081983&amp;Result=3","7081983")</f>
        <v>0</v>
      </c>
      <c r="B3356" t="s">
        <v>1233</v>
      </c>
      <c r="C3356" t="s">
        <v>6602</v>
      </c>
      <c r="D3356" t="s">
        <v>17442</v>
      </c>
      <c r="E3356" t="s">
        <v>20408</v>
      </c>
      <c r="F3356" t="s">
        <v>30052</v>
      </c>
      <c r="G3356" t="s">
        <v>30059</v>
      </c>
      <c r="H3356" t="s">
        <v>15498</v>
      </c>
      <c r="I3356" t="s">
        <v>30076</v>
      </c>
      <c r="J3356" t="s">
        <v>31362</v>
      </c>
      <c r="K3356" t="s">
        <v>39034</v>
      </c>
      <c r="M3356" t="s">
        <v>40587</v>
      </c>
      <c r="N3356" t="s">
        <v>43166</v>
      </c>
      <c r="O3356" t="s">
        <v>43167</v>
      </c>
      <c r="P3356">
        <v>0</v>
      </c>
      <c r="Q3356">
        <v>5</v>
      </c>
      <c r="R3356" t="s">
        <v>43171</v>
      </c>
      <c r="S3356" t="s">
        <v>43311</v>
      </c>
      <c r="T3356" t="s">
        <v>44773</v>
      </c>
      <c r="U3356" t="s">
        <v>47960</v>
      </c>
      <c r="W3356" t="s">
        <v>40587</v>
      </c>
      <c r="X3356" t="s">
        <v>43172</v>
      </c>
    </row>
    <row r="3357" spans="1:24">
      <c r="A3357">
        <f>HYPERLINK("https://www.philgeps.gov.ph/GEPSNONPILOT/Tender/SplashBidNoticeAbstractUI.aspx?menuIndex=3&amp;refID=7082012&amp;Result=3","7082012")</f>
        <v>0</v>
      </c>
      <c r="B3357" t="s">
        <v>1257</v>
      </c>
      <c r="C3357" t="s">
        <v>6622</v>
      </c>
      <c r="E3357" t="s">
        <v>20409</v>
      </c>
      <c r="F3357" t="s">
        <v>30052</v>
      </c>
      <c r="G3357" t="s">
        <v>30062</v>
      </c>
      <c r="H3357" t="s">
        <v>15498</v>
      </c>
      <c r="I3357" t="s">
        <v>30085</v>
      </c>
      <c r="J3357" t="s">
        <v>32422</v>
      </c>
      <c r="K3357" t="s">
        <v>39025</v>
      </c>
      <c r="M3357" t="s">
        <v>40614</v>
      </c>
      <c r="N3357" t="s">
        <v>43166</v>
      </c>
      <c r="O3357" t="s">
        <v>43167</v>
      </c>
      <c r="P3357">
        <v>0</v>
      </c>
      <c r="Q3357">
        <v>0</v>
      </c>
      <c r="R3357" t="s">
        <v>43171</v>
      </c>
      <c r="S3357" t="s">
        <v>43311</v>
      </c>
      <c r="T3357" t="s">
        <v>44734</v>
      </c>
      <c r="U3357" t="s">
        <v>47961</v>
      </c>
      <c r="W3357" t="s">
        <v>40614</v>
      </c>
      <c r="X3357" t="s">
        <v>43172</v>
      </c>
    </row>
    <row r="3358" spans="1:24">
      <c r="A3358">
        <f>HYPERLINK("https://www.philgeps.gov.ph/GEPSNONPILOT/Tender/SplashBidNoticeAbstractUI.aspx?menuIndex=3&amp;refID=7082011&amp;Result=3","7082011")</f>
        <v>0</v>
      </c>
      <c r="B3358" t="s">
        <v>620</v>
      </c>
      <c r="C3358" t="s">
        <v>6623</v>
      </c>
      <c r="D3358" t="s">
        <v>17427</v>
      </c>
      <c r="E3358" t="s">
        <v>20410</v>
      </c>
      <c r="F3358" t="s">
        <v>30052</v>
      </c>
      <c r="G3358" t="s">
        <v>30059</v>
      </c>
      <c r="H3358" t="s">
        <v>15498</v>
      </c>
      <c r="I3358" t="s">
        <v>30076</v>
      </c>
      <c r="J3358" t="s">
        <v>32423</v>
      </c>
      <c r="K3358" t="s">
        <v>39017</v>
      </c>
      <c r="M3358" t="s">
        <v>39923</v>
      </c>
      <c r="N3358" t="s">
        <v>43166</v>
      </c>
      <c r="O3358" t="s">
        <v>43167</v>
      </c>
      <c r="P3358">
        <v>0</v>
      </c>
      <c r="Q3358">
        <v>2</v>
      </c>
      <c r="R3358" t="s">
        <v>43171</v>
      </c>
      <c r="S3358" t="s">
        <v>43311</v>
      </c>
      <c r="T3358" t="s">
        <v>44732</v>
      </c>
      <c r="U3358" t="s">
        <v>47962</v>
      </c>
      <c r="V3358" t="s">
        <v>57209</v>
      </c>
      <c r="W3358" t="s">
        <v>39923</v>
      </c>
      <c r="X3358" t="s">
        <v>43172</v>
      </c>
    </row>
    <row r="3359" spans="1:24">
      <c r="A3359">
        <f>HYPERLINK("https://www.philgeps.gov.ph/GEPSNONPILOT/Tender/SplashBidNoticeAbstractUI.aspx?menuIndex=3&amp;refID=7081998&amp;Result=3","7081998")</f>
        <v>0</v>
      </c>
      <c r="B3359" t="s">
        <v>1258</v>
      </c>
      <c r="C3359" t="s">
        <v>6624</v>
      </c>
      <c r="D3359" t="s">
        <v>17494</v>
      </c>
      <c r="E3359" t="s">
        <v>17540</v>
      </c>
      <c r="F3359" t="s">
        <v>30052</v>
      </c>
      <c r="G3359" t="s">
        <v>30059</v>
      </c>
      <c r="H3359" t="s">
        <v>15498</v>
      </c>
      <c r="I3359" t="s">
        <v>3606</v>
      </c>
      <c r="J3359" t="s">
        <v>32424</v>
      </c>
      <c r="K3359" t="s">
        <v>39037</v>
      </c>
      <c r="M3359" t="s">
        <v>40615</v>
      </c>
      <c r="N3359" t="s">
        <v>43166</v>
      </c>
      <c r="O3359" t="s">
        <v>43167</v>
      </c>
      <c r="P3359">
        <v>0</v>
      </c>
      <c r="Q3359">
        <v>1</v>
      </c>
      <c r="R3359" t="s">
        <v>43171</v>
      </c>
      <c r="S3359" t="s">
        <v>43311</v>
      </c>
      <c r="T3359" t="s">
        <v>44856</v>
      </c>
      <c r="U3359" t="s">
        <v>47963</v>
      </c>
      <c r="W3359" t="s">
        <v>40615</v>
      </c>
      <c r="X3359" t="s">
        <v>43172</v>
      </c>
    </row>
    <row r="3360" spans="1:24">
      <c r="A3360">
        <f>HYPERLINK("https://www.philgeps.gov.ph/GEPSNONPILOT/Tender/SplashBidNoticeAbstractUI.aspx?menuIndex=3&amp;refID=7081976&amp;Result=3","7081976")</f>
        <v>0</v>
      </c>
      <c r="B3360" t="s">
        <v>1259</v>
      </c>
      <c r="C3360" t="s">
        <v>6625</v>
      </c>
      <c r="D3360" t="s">
        <v>17469</v>
      </c>
      <c r="E3360" t="s">
        <v>20411</v>
      </c>
      <c r="F3360" t="s">
        <v>30052</v>
      </c>
      <c r="G3360" t="s">
        <v>30059</v>
      </c>
      <c r="H3360" t="s">
        <v>15498</v>
      </c>
      <c r="I3360" t="s">
        <v>30085</v>
      </c>
      <c r="J3360" t="s">
        <v>32425</v>
      </c>
      <c r="K3360" t="s">
        <v>39031</v>
      </c>
      <c r="M3360" t="s">
        <v>40616</v>
      </c>
      <c r="N3360" t="s">
        <v>43166</v>
      </c>
      <c r="O3360" t="s">
        <v>43167</v>
      </c>
      <c r="P3360">
        <v>0</v>
      </c>
      <c r="Q3360">
        <v>3</v>
      </c>
      <c r="R3360" t="s">
        <v>43171</v>
      </c>
      <c r="S3360" t="s">
        <v>43311</v>
      </c>
      <c r="T3360" t="s">
        <v>44714</v>
      </c>
      <c r="U3360" t="s">
        <v>47964</v>
      </c>
      <c r="W3360" t="s">
        <v>40616</v>
      </c>
      <c r="X3360" t="s">
        <v>43172</v>
      </c>
    </row>
    <row r="3361" spans="1:24">
      <c r="A3361">
        <f>HYPERLINK("https://www.philgeps.gov.ph/GEPSNONPILOT/Tender/SplashBidNoticeAbstractUI.aspx?menuIndex=3&amp;refID=7082007&amp;Result=3","7082007")</f>
        <v>0</v>
      </c>
      <c r="B3361" t="s">
        <v>1260</v>
      </c>
      <c r="C3361" t="s">
        <v>6626</v>
      </c>
      <c r="D3361" t="s">
        <v>17478</v>
      </c>
      <c r="E3361" t="s">
        <v>20412</v>
      </c>
      <c r="F3361" t="s">
        <v>30052</v>
      </c>
      <c r="G3361" t="s">
        <v>30063</v>
      </c>
      <c r="H3361" t="s">
        <v>15498</v>
      </c>
      <c r="I3361" t="s">
        <v>30072</v>
      </c>
      <c r="J3361" t="s">
        <v>32426</v>
      </c>
      <c r="K3361" t="s">
        <v>39026</v>
      </c>
      <c r="M3361" t="s">
        <v>40617</v>
      </c>
      <c r="N3361" t="s">
        <v>43166</v>
      </c>
      <c r="O3361" t="s">
        <v>43167</v>
      </c>
      <c r="P3361">
        <v>0</v>
      </c>
      <c r="Q3361">
        <v>1</v>
      </c>
      <c r="R3361" t="s">
        <v>43171</v>
      </c>
      <c r="S3361" t="s">
        <v>43311</v>
      </c>
      <c r="T3361" t="s">
        <v>44842</v>
      </c>
      <c r="U3361" t="s">
        <v>47965</v>
      </c>
      <c r="W3361" t="s">
        <v>40617</v>
      </c>
      <c r="X3361" t="s">
        <v>43172</v>
      </c>
    </row>
    <row r="3362" spans="1:24">
      <c r="A3362">
        <f>HYPERLINK("https://www.philgeps.gov.ph/GEPSNONPILOT/Tender/SplashBidNoticeAbstractUI.aspx?menuIndex=3&amp;refID=7082003&amp;Result=3","7082003")</f>
        <v>0</v>
      </c>
      <c r="B3362" t="s">
        <v>199</v>
      </c>
      <c r="C3362" t="s">
        <v>6627</v>
      </c>
      <c r="D3362" t="s">
        <v>17415</v>
      </c>
      <c r="E3362" t="s">
        <v>20413</v>
      </c>
      <c r="F3362" t="s">
        <v>30052</v>
      </c>
      <c r="G3362" t="s">
        <v>30059</v>
      </c>
      <c r="H3362" t="s">
        <v>15498</v>
      </c>
      <c r="I3362" t="s">
        <v>30109</v>
      </c>
      <c r="J3362" t="s">
        <v>32427</v>
      </c>
      <c r="K3362" t="s">
        <v>39029</v>
      </c>
      <c r="M3362" t="s">
        <v>40618</v>
      </c>
      <c r="N3362" t="s">
        <v>43166</v>
      </c>
      <c r="O3362" t="s">
        <v>43167</v>
      </c>
      <c r="P3362">
        <v>0</v>
      </c>
      <c r="Q3362">
        <v>8</v>
      </c>
      <c r="R3362" t="s">
        <v>43171</v>
      </c>
      <c r="S3362" t="s">
        <v>43311</v>
      </c>
      <c r="T3362" t="s">
        <v>44678</v>
      </c>
      <c r="U3362" t="s">
        <v>47966</v>
      </c>
      <c r="W3362" t="s">
        <v>40618</v>
      </c>
      <c r="X3362" t="s">
        <v>43172</v>
      </c>
    </row>
    <row r="3363" spans="1:24">
      <c r="A3363">
        <f>HYPERLINK("https://www.philgeps.gov.ph/GEPSNONPILOT/Tender/SplashBidNoticeAbstractUI.aspx?menuIndex=3&amp;refID=7082005&amp;Result=3","7082005")</f>
        <v>0</v>
      </c>
      <c r="B3363" t="s">
        <v>1261</v>
      </c>
      <c r="C3363" t="s">
        <v>6628</v>
      </c>
      <c r="D3363" t="s">
        <v>17425</v>
      </c>
      <c r="E3363" t="s">
        <v>20414</v>
      </c>
      <c r="F3363" t="s">
        <v>30052</v>
      </c>
      <c r="G3363" t="s">
        <v>30059</v>
      </c>
      <c r="H3363" t="s">
        <v>15498</v>
      </c>
      <c r="I3363" t="s">
        <v>6691</v>
      </c>
      <c r="J3363" t="s">
        <v>30533</v>
      </c>
      <c r="K3363" t="s">
        <v>39019</v>
      </c>
      <c r="M3363" t="s">
        <v>40619</v>
      </c>
      <c r="N3363" t="s">
        <v>43166</v>
      </c>
      <c r="O3363" t="s">
        <v>43167</v>
      </c>
      <c r="P3363">
        <v>0</v>
      </c>
      <c r="Q3363">
        <v>0</v>
      </c>
      <c r="R3363" t="s">
        <v>43171</v>
      </c>
      <c r="S3363" t="s">
        <v>43311</v>
      </c>
      <c r="T3363" t="s">
        <v>44773</v>
      </c>
      <c r="U3363" t="s">
        <v>47967</v>
      </c>
      <c r="W3363" t="s">
        <v>40619</v>
      </c>
      <c r="X3363" t="s">
        <v>43172</v>
      </c>
    </row>
    <row r="3364" spans="1:24">
      <c r="A3364">
        <f>HYPERLINK("https://www.philgeps.gov.ph/GEPSNONPILOT/Tender/SplashBidNoticeAbstractUI.aspx?menuIndex=3&amp;refID=7082010&amp;Result=3","7082010")</f>
        <v>0</v>
      </c>
      <c r="B3364" t="s">
        <v>1233</v>
      </c>
      <c r="C3364" t="s">
        <v>6629</v>
      </c>
      <c r="D3364" t="s">
        <v>17442</v>
      </c>
      <c r="E3364" t="s">
        <v>20415</v>
      </c>
      <c r="F3364" t="s">
        <v>30052</v>
      </c>
      <c r="G3364" t="s">
        <v>30059</v>
      </c>
      <c r="H3364" t="s">
        <v>15498</v>
      </c>
      <c r="I3364" t="s">
        <v>30096</v>
      </c>
      <c r="J3364" t="s">
        <v>31456</v>
      </c>
      <c r="K3364" t="s">
        <v>39029</v>
      </c>
      <c r="M3364" t="s">
        <v>40593</v>
      </c>
      <c r="N3364" t="s">
        <v>43166</v>
      </c>
      <c r="O3364" t="s">
        <v>43167</v>
      </c>
      <c r="P3364">
        <v>0</v>
      </c>
      <c r="Q3364">
        <v>1</v>
      </c>
      <c r="R3364" t="s">
        <v>43171</v>
      </c>
      <c r="S3364" t="s">
        <v>43311</v>
      </c>
      <c r="T3364" t="s">
        <v>44773</v>
      </c>
      <c r="U3364" t="s">
        <v>47968</v>
      </c>
      <c r="W3364" t="s">
        <v>40593</v>
      </c>
      <c r="X3364" t="s">
        <v>43172</v>
      </c>
    </row>
    <row r="3365" spans="1:24">
      <c r="A3365">
        <f>HYPERLINK("https://www.philgeps.gov.ph/GEPSNONPILOT/Tender/SplashBidNoticeAbstractUI.aspx?menuIndex=3&amp;refID=7081970&amp;Result=3","7081970")</f>
        <v>0</v>
      </c>
      <c r="B3365" t="s">
        <v>622</v>
      </c>
      <c r="C3365" t="s">
        <v>6630</v>
      </c>
      <c r="D3365" t="s">
        <v>17421</v>
      </c>
      <c r="E3365" t="s">
        <v>20416</v>
      </c>
      <c r="F3365" t="s">
        <v>30052</v>
      </c>
      <c r="G3365" t="s">
        <v>30058</v>
      </c>
      <c r="H3365" t="s">
        <v>15498</v>
      </c>
      <c r="I3365" t="s">
        <v>30076</v>
      </c>
      <c r="J3365" t="s">
        <v>32428</v>
      </c>
      <c r="K3365" t="s">
        <v>39037</v>
      </c>
      <c r="M3365" t="s">
        <v>39925</v>
      </c>
      <c r="N3365" t="s">
        <v>43166</v>
      </c>
      <c r="O3365" t="s">
        <v>43167</v>
      </c>
      <c r="P3365">
        <v>0</v>
      </c>
      <c r="Q3365">
        <v>12</v>
      </c>
      <c r="R3365" t="s">
        <v>43171</v>
      </c>
      <c r="S3365" t="s">
        <v>43311</v>
      </c>
      <c r="T3365" t="s">
        <v>44758</v>
      </c>
      <c r="U3365" t="s">
        <v>47969</v>
      </c>
      <c r="W3365" t="s">
        <v>39925</v>
      </c>
      <c r="X3365" t="s">
        <v>43172</v>
      </c>
    </row>
    <row r="3366" spans="1:24">
      <c r="A3366">
        <f>HYPERLINK("https://www.philgeps.gov.ph/GEPSNONPILOT/Tender/SplashBidNoticeAbstractUI.aspx?menuIndex=3&amp;refID=7082030&amp;Result=3","7082030")</f>
        <v>0</v>
      </c>
      <c r="B3366" t="s">
        <v>1259</v>
      </c>
      <c r="C3366" t="s">
        <v>6631</v>
      </c>
      <c r="D3366" t="s">
        <v>17469</v>
      </c>
      <c r="E3366" t="s">
        <v>20417</v>
      </c>
      <c r="F3366" t="s">
        <v>30052</v>
      </c>
      <c r="G3366" t="s">
        <v>30059</v>
      </c>
      <c r="H3366" t="s">
        <v>15498</v>
      </c>
      <c r="I3366" t="s">
        <v>30084</v>
      </c>
      <c r="J3366" t="s">
        <v>30545</v>
      </c>
      <c r="K3366" t="s">
        <v>39017</v>
      </c>
      <c r="M3366" t="s">
        <v>40616</v>
      </c>
      <c r="N3366" t="s">
        <v>43166</v>
      </c>
      <c r="O3366" t="s">
        <v>43167</v>
      </c>
      <c r="P3366">
        <v>0</v>
      </c>
      <c r="Q3366">
        <v>0</v>
      </c>
      <c r="R3366" t="s">
        <v>43171</v>
      </c>
      <c r="S3366" t="s">
        <v>43311</v>
      </c>
      <c r="T3366" t="s">
        <v>44734</v>
      </c>
      <c r="U3366" t="s">
        <v>47970</v>
      </c>
      <c r="W3366" t="s">
        <v>40616</v>
      </c>
      <c r="X3366" t="s">
        <v>43172</v>
      </c>
    </row>
    <row r="3367" spans="1:24">
      <c r="A3367">
        <f>HYPERLINK("https://www.philgeps.gov.ph/GEPSNONPILOT/Tender/SplashBidNoticeAbstractUI.aspx?menuIndex=3&amp;refID=7082008&amp;Result=3","7082008")</f>
        <v>0</v>
      </c>
      <c r="B3367" t="s">
        <v>1262</v>
      </c>
      <c r="C3367" t="s">
        <v>6632</v>
      </c>
      <c r="D3367" t="s">
        <v>17426</v>
      </c>
      <c r="E3367" t="s">
        <v>20418</v>
      </c>
      <c r="F3367" t="s">
        <v>30052</v>
      </c>
      <c r="G3367" t="s">
        <v>30058</v>
      </c>
      <c r="H3367" t="s">
        <v>15498</v>
      </c>
      <c r="I3367" t="s">
        <v>30098</v>
      </c>
      <c r="J3367" t="s">
        <v>32429</v>
      </c>
      <c r="K3367" t="s">
        <v>39029</v>
      </c>
      <c r="M3367" t="s">
        <v>40620</v>
      </c>
      <c r="N3367" t="s">
        <v>43166</v>
      </c>
      <c r="O3367" t="s">
        <v>43167</v>
      </c>
      <c r="P3367">
        <v>0</v>
      </c>
      <c r="Q3367">
        <v>0</v>
      </c>
      <c r="R3367" t="s">
        <v>43171</v>
      </c>
      <c r="S3367" t="s">
        <v>43311</v>
      </c>
      <c r="T3367" t="s">
        <v>44959</v>
      </c>
      <c r="U3367" t="s">
        <v>47971</v>
      </c>
      <c r="W3367" t="s">
        <v>40620</v>
      </c>
      <c r="X3367" t="s">
        <v>43172</v>
      </c>
    </row>
    <row r="3368" spans="1:24">
      <c r="A3368">
        <f>HYPERLINK("https://www.philgeps.gov.ph/GEPSNONPILOT/Tender/SplashBidNoticeAbstractUI.aspx?menuIndex=3&amp;refID=7082025&amp;Result=3","7082025")</f>
        <v>0</v>
      </c>
      <c r="B3368" t="s">
        <v>1263</v>
      </c>
      <c r="C3368" t="s">
        <v>6633</v>
      </c>
      <c r="D3368" t="s">
        <v>17416</v>
      </c>
      <c r="E3368" t="s">
        <v>20419</v>
      </c>
      <c r="F3368" t="s">
        <v>30052</v>
      </c>
      <c r="G3368" t="s">
        <v>30058</v>
      </c>
      <c r="H3368" t="s">
        <v>30067</v>
      </c>
      <c r="I3368" t="s">
        <v>3693</v>
      </c>
      <c r="J3368" t="s">
        <v>32430</v>
      </c>
      <c r="K3368" t="s">
        <v>39057</v>
      </c>
      <c r="M3368" t="s">
        <v>40621</v>
      </c>
      <c r="N3368" t="s">
        <v>43166</v>
      </c>
      <c r="O3368" t="s">
        <v>43167</v>
      </c>
      <c r="Q3368">
        <v>0</v>
      </c>
      <c r="R3368" t="s">
        <v>43171</v>
      </c>
      <c r="S3368" t="s">
        <v>43320</v>
      </c>
      <c r="T3368" t="s">
        <v>44917</v>
      </c>
      <c r="U3368" t="s">
        <v>47972</v>
      </c>
      <c r="V3368" t="s">
        <v>57219</v>
      </c>
      <c r="W3368" t="s">
        <v>40621</v>
      </c>
      <c r="X3368" t="s">
        <v>43172</v>
      </c>
    </row>
    <row r="3369" spans="1:24">
      <c r="A3369">
        <f>HYPERLINK("https://www.philgeps.gov.ph/GEPSNONPILOT/Tender/SplashBidNoticeAbstractUI.aspx?menuIndex=3&amp;refID=7081973&amp;Result=3","7081973")</f>
        <v>0</v>
      </c>
      <c r="B3369" t="s">
        <v>696</v>
      </c>
      <c r="C3369" t="s">
        <v>6634</v>
      </c>
      <c r="D3369" t="s">
        <v>17432</v>
      </c>
      <c r="E3369" t="s">
        <v>20420</v>
      </c>
      <c r="F3369" t="s">
        <v>30052</v>
      </c>
      <c r="G3369" t="s">
        <v>30059</v>
      </c>
      <c r="H3369" t="s">
        <v>15498</v>
      </c>
      <c r="I3369" t="s">
        <v>7228</v>
      </c>
      <c r="J3369" t="s">
        <v>32431</v>
      </c>
      <c r="K3369" t="s">
        <v>39064</v>
      </c>
      <c r="M3369" t="s">
        <v>40004</v>
      </c>
      <c r="N3369" t="s">
        <v>43166</v>
      </c>
      <c r="O3369" t="s">
        <v>43167</v>
      </c>
      <c r="P3369">
        <v>0</v>
      </c>
      <c r="Q3369">
        <v>0</v>
      </c>
      <c r="R3369" t="s">
        <v>43171</v>
      </c>
      <c r="S3369" t="s">
        <v>43311</v>
      </c>
      <c r="T3369" t="s">
        <v>44696</v>
      </c>
      <c r="U3369" t="s">
        <v>47973</v>
      </c>
      <c r="W3369" t="s">
        <v>40004</v>
      </c>
      <c r="X3369" t="s">
        <v>43172</v>
      </c>
    </row>
    <row r="3370" spans="1:24">
      <c r="A3370">
        <f>HYPERLINK("https://www.philgeps.gov.ph/GEPSNONPILOT/Tender/SplashBidNoticeAbstractUI.aspx?menuIndex=3&amp;refID=7082006&amp;Result=3","7082006")</f>
        <v>0</v>
      </c>
      <c r="B3370" t="s">
        <v>1197</v>
      </c>
      <c r="C3370" t="s">
        <v>6635</v>
      </c>
      <c r="D3370" t="s">
        <v>17463</v>
      </c>
      <c r="E3370" t="s">
        <v>20421</v>
      </c>
      <c r="F3370" t="s">
        <v>30052</v>
      </c>
      <c r="G3370" t="s">
        <v>30059</v>
      </c>
      <c r="H3370" t="s">
        <v>15498</v>
      </c>
      <c r="I3370" t="s">
        <v>3736</v>
      </c>
      <c r="J3370" t="s">
        <v>32432</v>
      </c>
      <c r="K3370" t="s">
        <v>39031</v>
      </c>
      <c r="M3370" t="s">
        <v>40550</v>
      </c>
      <c r="N3370" t="s">
        <v>43166</v>
      </c>
      <c r="O3370" t="s">
        <v>43167</v>
      </c>
      <c r="P3370">
        <v>0</v>
      </c>
      <c r="Q3370">
        <v>0</v>
      </c>
      <c r="R3370" t="s">
        <v>43171</v>
      </c>
      <c r="S3370" t="s">
        <v>43311</v>
      </c>
      <c r="T3370" t="s">
        <v>44830</v>
      </c>
      <c r="U3370" t="s">
        <v>47813</v>
      </c>
      <c r="W3370" t="s">
        <v>40550</v>
      </c>
      <c r="X3370" t="s">
        <v>43172</v>
      </c>
    </row>
    <row r="3371" spans="1:24">
      <c r="A3371">
        <f>HYPERLINK("https://www.philgeps.gov.ph/GEPSNONPILOT/Tender/SplashBidNoticeAbstractUI.aspx?menuIndex=3&amp;refID=7082023&amp;Result=3","7082023")</f>
        <v>0</v>
      </c>
      <c r="B3371" t="s">
        <v>159</v>
      </c>
      <c r="C3371" t="s">
        <v>6636</v>
      </c>
      <c r="D3371" t="s">
        <v>17446</v>
      </c>
      <c r="E3371" t="s">
        <v>20422</v>
      </c>
      <c r="F3371" t="s">
        <v>30052</v>
      </c>
      <c r="G3371" t="s">
        <v>30059</v>
      </c>
      <c r="H3371" t="s">
        <v>15498</v>
      </c>
      <c r="I3371" t="s">
        <v>30096</v>
      </c>
      <c r="J3371" t="s">
        <v>32433</v>
      </c>
      <c r="K3371" t="s">
        <v>39017</v>
      </c>
      <c r="L3371" t="s">
        <v>159</v>
      </c>
      <c r="M3371" t="s">
        <v>39448</v>
      </c>
      <c r="N3371" t="s">
        <v>43166</v>
      </c>
      <c r="O3371" t="s">
        <v>43167</v>
      </c>
      <c r="P3371">
        <v>0</v>
      </c>
      <c r="Q3371">
        <v>6</v>
      </c>
      <c r="R3371" t="s">
        <v>43171</v>
      </c>
      <c r="S3371" t="s">
        <v>43311</v>
      </c>
      <c r="T3371" t="s">
        <v>44864</v>
      </c>
      <c r="U3371" t="s">
        <v>47974</v>
      </c>
      <c r="W3371" t="s">
        <v>39448</v>
      </c>
      <c r="X3371" t="s">
        <v>43172</v>
      </c>
    </row>
    <row r="3372" spans="1:24">
      <c r="A3372">
        <f>HYPERLINK("https://www.philgeps.gov.ph/GEPSNONPILOT/Tender/SplashBidNoticeAbstractUI.aspx?menuIndex=3&amp;refID=7082018&amp;Result=3","7082018")</f>
        <v>0</v>
      </c>
      <c r="B3372" t="s">
        <v>187</v>
      </c>
      <c r="C3372" t="s">
        <v>6637</v>
      </c>
      <c r="D3372" t="s">
        <v>17436</v>
      </c>
      <c r="E3372" t="s">
        <v>20423</v>
      </c>
      <c r="F3372" t="s">
        <v>30052</v>
      </c>
      <c r="G3372" t="s">
        <v>30059</v>
      </c>
      <c r="H3372" t="s">
        <v>15498</v>
      </c>
      <c r="I3372" t="s">
        <v>30073</v>
      </c>
      <c r="J3372" t="s">
        <v>32434</v>
      </c>
      <c r="K3372" t="s">
        <v>39034</v>
      </c>
      <c r="M3372" t="s">
        <v>39476</v>
      </c>
      <c r="N3372" t="s">
        <v>43166</v>
      </c>
      <c r="O3372" t="s">
        <v>43167</v>
      </c>
      <c r="P3372">
        <v>0</v>
      </c>
      <c r="Q3372">
        <v>0</v>
      </c>
      <c r="R3372" t="s">
        <v>43171</v>
      </c>
      <c r="S3372" t="s">
        <v>43311</v>
      </c>
      <c r="T3372" t="s">
        <v>44837</v>
      </c>
      <c r="U3372" t="s">
        <v>47975</v>
      </c>
      <c r="V3372" t="s">
        <v>57211</v>
      </c>
      <c r="W3372" t="s">
        <v>39476</v>
      </c>
      <c r="X3372" t="s">
        <v>43172</v>
      </c>
    </row>
    <row r="3373" spans="1:24">
      <c r="A3373">
        <f>HYPERLINK("https://www.philgeps.gov.ph/GEPSNONPILOT/Tender/SplashBidNoticeAbstractUI.aspx?menuIndex=3&amp;refID=7082009&amp;Result=3","7082009")</f>
        <v>0</v>
      </c>
      <c r="B3373" t="s">
        <v>1264</v>
      </c>
      <c r="C3373" t="s">
        <v>6638</v>
      </c>
      <c r="D3373" t="s">
        <v>17427</v>
      </c>
      <c r="E3373" t="s">
        <v>18907</v>
      </c>
      <c r="F3373" t="s">
        <v>30052</v>
      </c>
      <c r="G3373" t="s">
        <v>30060</v>
      </c>
      <c r="H3373" t="s">
        <v>15498</v>
      </c>
      <c r="I3373" t="s">
        <v>3736</v>
      </c>
      <c r="J3373" t="s">
        <v>32435</v>
      </c>
      <c r="K3373" t="s">
        <v>39029</v>
      </c>
      <c r="M3373" t="s">
        <v>40622</v>
      </c>
      <c r="N3373" t="s">
        <v>43166</v>
      </c>
      <c r="O3373" t="s">
        <v>43167</v>
      </c>
      <c r="P3373">
        <v>0</v>
      </c>
      <c r="Q3373">
        <v>0</v>
      </c>
      <c r="R3373" t="s">
        <v>43171</v>
      </c>
      <c r="S3373" t="s">
        <v>43311</v>
      </c>
      <c r="T3373" t="s">
        <v>44763</v>
      </c>
      <c r="U3373" t="s">
        <v>47976</v>
      </c>
      <c r="W3373" t="s">
        <v>40622</v>
      </c>
      <c r="X3373" t="s">
        <v>43172</v>
      </c>
    </row>
    <row r="3374" spans="1:24">
      <c r="A3374">
        <f>HYPERLINK("https://www.philgeps.gov.ph/GEPSNONPILOT/Tender/SplashBidNoticeAbstractUI.aspx?menuIndex=3&amp;refID=7082026&amp;Result=3","7082026")</f>
        <v>0</v>
      </c>
      <c r="B3374" t="s">
        <v>1197</v>
      </c>
      <c r="C3374" t="s">
        <v>6639</v>
      </c>
      <c r="D3374" t="s">
        <v>17463</v>
      </c>
      <c r="E3374" t="s">
        <v>20424</v>
      </c>
      <c r="F3374" t="s">
        <v>30052</v>
      </c>
      <c r="G3374" t="s">
        <v>30059</v>
      </c>
      <c r="H3374" t="s">
        <v>15498</v>
      </c>
      <c r="I3374" t="s">
        <v>30070</v>
      </c>
      <c r="J3374" t="s">
        <v>30426</v>
      </c>
      <c r="K3374" t="s">
        <v>39031</v>
      </c>
      <c r="M3374" t="s">
        <v>40550</v>
      </c>
      <c r="N3374" t="s">
        <v>43166</v>
      </c>
      <c r="O3374" t="s">
        <v>43167</v>
      </c>
      <c r="P3374">
        <v>0</v>
      </c>
      <c r="Q3374">
        <v>0</v>
      </c>
      <c r="R3374" t="s">
        <v>43171</v>
      </c>
      <c r="S3374" t="s">
        <v>43311</v>
      </c>
      <c r="T3374" t="s">
        <v>44710</v>
      </c>
      <c r="U3374" t="s">
        <v>47813</v>
      </c>
      <c r="W3374" t="s">
        <v>40550</v>
      </c>
      <c r="X3374" t="s">
        <v>43172</v>
      </c>
    </row>
    <row r="3375" spans="1:24">
      <c r="A3375">
        <f>HYPERLINK("https://www.philgeps.gov.ph/GEPSNONPILOT/Tender/SplashBidNoticeAbstractUI.aspx?menuIndex=3&amp;refID=7082015&amp;Result=3","7082015")</f>
        <v>0</v>
      </c>
      <c r="B3375" t="s">
        <v>1265</v>
      </c>
      <c r="C3375" t="s">
        <v>6640</v>
      </c>
      <c r="D3375" t="s">
        <v>17462</v>
      </c>
      <c r="E3375" t="s">
        <v>20425</v>
      </c>
      <c r="F3375" t="s">
        <v>30052</v>
      </c>
      <c r="G3375" t="s">
        <v>30061</v>
      </c>
      <c r="H3375" t="s">
        <v>15498</v>
      </c>
      <c r="I3375" t="s">
        <v>30098</v>
      </c>
      <c r="J3375" t="s">
        <v>32436</v>
      </c>
      <c r="K3375" t="s">
        <v>39034</v>
      </c>
      <c r="M3375" t="s">
        <v>40623</v>
      </c>
      <c r="N3375" t="s">
        <v>43166</v>
      </c>
      <c r="O3375" t="s">
        <v>43167</v>
      </c>
      <c r="P3375">
        <v>0</v>
      </c>
      <c r="Q3375">
        <v>4</v>
      </c>
      <c r="R3375" t="s">
        <v>43171</v>
      </c>
      <c r="S3375" t="s">
        <v>43311</v>
      </c>
      <c r="T3375" t="s">
        <v>44844</v>
      </c>
      <c r="U3375" t="s">
        <v>47977</v>
      </c>
      <c r="W3375" t="s">
        <v>40623</v>
      </c>
      <c r="X3375" t="s">
        <v>43172</v>
      </c>
    </row>
    <row r="3376" spans="1:24">
      <c r="A3376">
        <f>HYPERLINK("https://www.philgeps.gov.ph/GEPSNONPILOT/Tender/SplashBidNoticeAbstractUI.aspx?menuIndex=3&amp;refID=7082004&amp;Result=3","7082004")</f>
        <v>0</v>
      </c>
      <c r="B3376" t="s">
        <v>143</v>
      </c>
      <c r="C3376" t="s">
        <v>6641</v>
      </c>
      <c r="D3376" t="s">
        <v>17464</v>
      </c>
      <c r="E3376" t="s">
        <v>20426</v>
      </c>
      <c r="F3376" t="s">
        <v>30052</v>
      </c>
      <c r="G3376" t="s">
        <v>30059</v>
      </c>
      <c r="H3376" t="s">
        <v>15498</v>
      </c>
      <c r="I3376" t="s">
        <v>3736</v>
      </c>
      <c r="J3376" t="s">
        <v>31891</v>
      </c>
      <c r="K3376" t="s">
        <v>39025</v>
      </c>
      <c r="M3376" t="s">
        <v>39432</v>
      </c>
      <c r="N3376" t="s">
        <v>43166</v>
      </c>
      <c r="O3376" t="s">
        <v>43167</v>
      </c>
      <c r="P3376">
        <v>0</v>
      </c>
      <c r="Q3376">
        <v>4</v>
      </c>
      <c r="R3376" t="s">
        <v>43171</v>
      </c>
      <c r="S3376" t="s">
        <v>43311</v>
      </c>
      <c r="T3376" t="s">
        <v>44960</v>
      </c>
      <c r="U3376" t="s">
        <v>47978</v>
      </c>
      <c r="W3376" t="s">
        <v>39432</v>
      </c>
      <c r="X3376" t="s">
        <v>43172</v>
      </c>
    </row>
    <row r="3377" spans="1:24">
      <c r="A3377">
        <f>HYPERLINK("https://www.philgeps.gov.ph/GEPSNONPILOT/Tender/SplashBidNoticeAbstractUI.aspx?menuIndex=3&amp;refID=7082024&amp;Result=3","7082024")</f>
        <v>0</v>
      </c>
      <c r="B3377" t="s">
        <v>541</v>
      </c>
      <c r="C3377" t="s">
        <v>6642</v>
      </c>
      <c r="D3377" t="s">
        <v>17458</v>
      </c>
      <c r="E3377" t="s">
        <v>20427</v>
      </c>
      <c r="F3377" t="s">
        <v>30052</v>
      </c>
      <c r="G3377" t="s">
        <v>30059</v>
      </c>
      <c r="H3377" t="s">
        <v>15498</v>
      </c>
      <c r="I3377" t="s">
        <v>30108</v>
      </c>
      <c r="J3377" t="s">
        <v>32437</v>
      </c>
      <c r="K3377" t="s">
        <v>39017</v>
      </c>
      <c r="M3377" t="s">
        <v>39843</v>
      </c>
      <c r="N3377" t="s">
        <v>43166</v>
      </c>
      <c r="O3377" t="s">
        <v>43167</v>
      </c>
      <c r="P3377">
        <v>0</v>
      </c>
      <c r="Q3377">
        <v>1</v>
      </c>
      <c r="R3377" t="s">
        <v>43171</v>
      </c>
      <c r="S3377" t="s">
        <v>43311</v>
      </c>
      <c r="T3377" t="s">
        <v>44773</v>
      </c>
      <c r="U3377" t="s">
        <v>46404</v>
      </c>
      <c r="W3377" t="s">
        <v>58604</v>
      </c>
      <c r="X3377" t="s">
        <v>43172</v>
      </c>
    </row>
    <row r="3378" spans="1:24">
      <c r="A3378">
        <f>HYPERLINK("https://www.philgeps.gov.ph/GEPSNONPILOT/Tender/SplashBidNoticeAbstractUI.aspx?menuIndex=3&amp;refID=7082022&amp;Result=3","7082022")</f>
        <v>0</v>
      </c>
      <c r="B3378" t="s">
        <v>1258</v>
      </c>
      <c r="C3378" t="s">
        <v>6643</v>
      </c>
      <c r="D3378" t="s">
        <v>17494</v>
      </c>
      <c r="E3378" t="s">
        <v>18292</v>
      </c>
      <c r="F3378" t="s">
        <v>30052</v>
      </c>
      <c r="G3378" t="s">
        <v>30059</v>
      </c>
      <c r="H3378" t="s">
        <v>15498</v>
      </c>
      <c r="I3378" t="s">
        <v>30081</v>
      </c>
      <c r="J3378" t="s">
        <v>32438</v>
      </c>
      <c r="K3378" t="s">
        <v>39037</v>
      </c>
      <c r="M3378" t="s">
        <v>40615</v>
      </c>
      <c r="N3378" t="s">
        <v>43166</v>
      </c>
      <c r="O3378" t="s">
        <v>43167</v>
      </c>
      <c r="P3378">
        <v>0</v>
      </c>
      <c r="Q3378">
        <v>0</v>
      </c>
      <c r="R3378" t="s">
        <v>43171</v>
      </c>
      <c r="S3378" t="s">
        <v>43311</v>
      </c>
      <c r="T3378" t="s">
        <v>44856</v>
      </c>
      <c r="U3378" t="s">
        <v>47979</v>
      </c>
      <c r="W3378" t="s">
        <v>40615</v>
      </c>
      <c r="X3378" t="s">
        <v>43172</v>
      </c>
    </row>
    <row r="3379" spans="1:24">
      <c r="A3379">
        <f>HYPERLINK("https://www.philgeps.gov.ph/GEPSNONPILOT/Tender/SplashBidNoticeAbstractUI.aspx?menuIndex=3&amp;refID=7082031&amp;Result=3","7082031")</f>
        <v>0</v>
      </c>
      <c r="B3379" t="s">
        <v>1266</v>
      </c>
      <c r="C3379" t="s">
        <v>6644</v>
      </c>
      <c r="D3379" t="s">
        <v>17466</v>
      </c>
      <c r="E3379" t="s">
        <v>20428</v>
      </c>
      <c r="F3379" t="s">
        <v>30052</v>
      </c>
      <c r="G3379" t="s">
        <v>30059</v>
      </c>
      <c r="H3379" t="s">
        <v>15498</v>
      </c>
      <c r="I3379" t="s">
        <v>30084</v>
      </c>
      <c r="J3379" t="s">
        <v>30230</v>
      </c>
      <c r="K3379" t="s">
        <v>39017</v>
      </c>
      <c r="M3379" t="s">
        <v>40624</v>
      </c>
      <c r="N3379" t="s">
        <v>43166</v>
      </c>
      <c r="O3379" t="s">
        <v>43167</v>
      </c>
      <c r="P3379">
        <v>0</v>
      </c>
      <c r="Q3379">
        <v>4</v>
      </c>
      <c r="R3379" t="s">
        <v>43171</v>
      </c>
      <c r="S3379" t="s">
        <v>43311</v>
      </c>
      <c r="T3379" t="s">
        <v>44715</v>
      </c>
      <c r="U3379" t="s">
        <v>47980</v>
      </c>
      <c r="W3379" t="s">
        <v>40624</v>
      </c>
      <c r="X3379" t="s">
        <v>43172</v>
      </c>
    </row>
    <row r="3380" spans="1:24">
      <c r="A3380">
        <f>HYPERLINK("https://www.philgeps.gov.ph/GEPSNONPILOT/Tender/SplashBidNoticeAbstractUI.aspx?menuIndex=3&amp;refID=7082016&amp;Result=3","7082016")</f>
        <v>0</v>
      </c>
      <c r="B3380" t="s">
        <v>1015</v>
      </c>
      <c r="C3380" t="s">
        <v>6645</v>
      </c>
      <c r="D3380" t="s">
        <v>17415</v>
      </c>
      <c r="E3380" t="s">
        <v>20429</v>
      </c>
      <c r="F3380" t="s">
        <v>30052</v>
      </c>
      <c r="G3380" t="s">
        <v>30062</v>
      </c>
      <c r="H3380" t="s">
        <v>15498</v>
      </c>
      <c r="I3380" t="s">
        <v>4650</v>
      </c>
      <c r="J3380" t="s">
        <v>32439</v>
      </c>
      <c r="K3380" t="s">
        <v>39017</v>
      </c>
      <c r="M3380" t="s">
        <v>40608</v>
      </c>
      <c r="N3380" t="s">
        <v>43166</v>
      </c>
      <c r="O3380" t="s">
        <v>43167</v>
      </c>
      <c r="P3380">
        <v>0</v>
      </c>
      <c r="Q3380">
        <v>4</v>
      </c>
      <c r="R3380" t="s">
        <v>43171</v>
      </c>
      <c r="S3380" t="s">
        <v>43311</v>
      </c>
      <c r="T3380" t="s">
        <v>44803</v>
      </c>
      <c r="U3380" t="s">
        <v>47981</v>
      </c>
      <c r="V3380" t="s">
        <v>57215</v>
      </c>
      <c r="W3380" t="s">
        <v>40608</v>
      </c>
      <c r="X3380" t="s">
        <v>43172</v>
      </c>
    </row>
    <row r="3381" spans="1:24">
      <c r="A3381">
        <f>HYPERLINK("https://www.philgeps.gov.ph/GEPSNONPILOT/Tender/SplashBidNoticeAbstractUI.aspx?menuIndex=3&amp;refID=7082054&amp;Result=3","7082054")</f>
        <v>0</v>
      </c>
      <c r="B3381" t="s">
        <v>1267</v>
      </c>
      <c r="C3381" t="s">
        <v>6646</v>
      </c>
      <c r="D3381" t="s">
        <v>17415</v>
      </c>
      <c r="E3381" t="s">
        <v>20430</v>
      </c>
      <c r="F3381" t="s">
        <v>30052</v>
      </c>
      <c r="G3381" t="s">
        <v>30059</v>
      </c>
      <c r="H3381" t="s">
        <v>15498</v>
      </c>
      <c r="I3381" t="s">
        <v>30103</v>
      </c>
      <c r="J3381" t="s">
        <v>32440</v>
      </c>
      <c r="K3381" t="s">
        <v>39019</v>
      </c>
      <c r="M3381" t="s">
        <v>40625</v>
      </c>
      <c r="N3381" t="s">
        <v>43166</v>
      </c>
      <c r="O3381" t="s">
        <v>43167</v>
      </c>
      <c r="P3381">
        <v>0</v>
      </c>
      <c r="Q3381">
        <v>8</v>
      </c>
      <c r="R3381" t="s">
        <v>43171</v>
      </c>
      <c r="S3381" t="s">
        <v>43311</v>
      </c>
      <c r="T3381" t="s">
        <v>44803</v>
      </c>
      <c r="U3381" t="s">
        <v>47982</v>
      </c>
      <c r="V3381" t="s">
        <v>57220</v>
      </c>
      <c r="W3381" t="s">
        <v>40625</v>
      </c>
      <c r="X3381" t="s">
        <v>43172</v>
      </c>
    </row>
    <row r="3382" spans="1:24">
      <c r="A3382">
        <f>HYPERLINK("https://www.philgeps.gov.ph/GEPSNONPILOT/Tender/SplashBidNoticeAbstractUI.aspx?menuIndex=3&amp;refID=7082050&amp;Result=3","7082050")</f>
        <v>0</v>
      </c>
      <c r="B3382" t="s">
        <v>329</v>
      </c>
      <c r="C3382" t="s">
        <v>6647</v>
      </c>
      <c r="D3382" t="s">
        <v>17415</v>
      </c>
      <c r="E3382" t="s">
        <v>20431</v>
      </c>
      <c r="F3382" t="s">
        <v>30052</v>
      </c>
      <c r="G3382" t="s">
        <v>30059</v>
      </c>
      <c r="H3382" t="s">
        <v>15498</v>
      </c>
      <c r="I3382" t="s">
        <v>9238</v>
      </c>
      <c r="J3382" t="s">
        <v>32441</v>
      </c>
      <c r="K3382" t="s">
        <v>39029</v>
      </c>
      <c r="M3382" t="s">
        <v>39625</v>
      </c>
      <c r="N3382" t="s">
        <v>43166</v>
      </c>
      <c r="O3382" t="s">
        <v>43167</v>
      </c>
      <c r="P3382">
        <v>0</v>
      </c>
      <c r="Q3382">
        <v>12</v>
      </c>
      <c r="R3382" t="s">
        <v>43171</v>
      </c>
      <c r="S3382" t="s">
        <v>43311</v>
      </c>
      <c r="T3382" t="s">
        <v>44862</v>
      </c>
      <c r="U3382" t="s">
        <v>47983</v>
      </c>
      <c r="W3382" t="s">
        <v>39625</v>
      </c>
      <c r="X3382" t="s">
        <v>43172</v>
      </c>
    </row>
    <row r="3383" spans="1:24">
      <c r="A3383">
        <f>HYPERLINK("https://www.philgeps.gov.ph/GEPSNONPILOT/Tender/SplashBidNoticeAbstractUI.aspx?menuIndex=3&amp;refID=7082014&amp;Result=3","7082014")</f>
        <v>0</v>
      </c>
      <c r="B3383" t="s">
        <v>934</v>
      </c>
      <c r="C3383" t="s">
        <v>6648</v>
      </c>
      <c r="D3383" t="s">
        <v>17424</v>
      </c>
      <c r="E3383" t="s">
        <v>20432</v>
      </c>
      <c r="F3383" t="s">
        <v>30052</v>
      </c>
      <c r="G3383" t="s">
        <v>30059</v>
      </c>
      <c r="H3383" t="s">
        <v>15498</v>
      </c>
      <c r="I3383" t="s">
        <v>30071</v>
      </c>
      <c r="J3383" t="s">
        <v>32442</v>
      </c>
      <c r="K3383" t="s">
        <v>39029</v>
      </c>
      <c r="M3383" t="s">
        <v>40258</v>
      </c>
      <c r="N3383" t="s">
        <v>43166</v>
      </c>
      <c r="O3383" t="s">
        <v>43167</v>
      </c>
      <c r="P3383">
        <v>0</v>
      </c>
      <c r="Q3383">
        <v>1</v>
      </c>
      <c r="R3383" t="s">
        <v>43171</v>
      </c>
      <c r="S3383" t="s">
        <v>43311</v>
      </c>
      <c r="T3383" t="s">
        <v>44961</v>
      </c>
      <c r="U3383" t="s">
        <v>47984</v>
      </c>
      <c r="V3383" t="s">
        <v>57221</v>
      </c>
      <c r="W3383" t="s">
        <v>40258</v>
      </c>
      <c r="X3383" t="s">
        <v>43172</v>
      </c>
    </row>
    <row r="3384" spans="1:24">
      <c r="A3384">
        <f>HYPERLINK("https://www.philgeps.gov.ph/GEPSNONPILOT/Tender/SplashBidNoticeAbstractUI.aspx?menuIndex=3&amp;refID=7082047&amp;Result=3","7082047")</f>
        <v>0</v>
      </c>
      <c r="B3384" t="s">
        <v>1197</v>
      </c>
      <c r="C3384" t="s">
        <v>6649</v>
      </c>
      <c r="D3384" t="s">
        <v>17463</v>
      </c>
      <c r="E3384" t="s">
        <v>20433</v>
      </c>
      <c r="F3384" t="s">
        <v>30052</v>
      </c>
      <c r="G3384" t="s">
        <v>30059</v>
      </c>
      <c r="H3384" t="s">
        <v>15498</v>
      </c>
      <c r="I3384" t="s">
        <v>30070</v>
      </c>
      <c r="J3384" t="s">
        <v>30327</v>
      </c>
      <c r="K3384" t="s">
        <v>39031</v>
      </c>
      <c r="M3384" t="s">
        <v>40550</v>
      </c>
      <c r="N3384" t="s">
        <v>43166</v>
      </c>
      <c r="O3384" t="s">
        <v>43167</v>
      </c>
      <c r="P3384">
        <v>0</v>
      </c>
      <c r="Q3384">
        <v>0</v>
      </c>
      <c r="R3384" t="s">
        <v>43171</v>
      </c>
      <c r="S3384" t="s">
        <v>43311</v>
      </c>
      <c r="T3384" t="s">
        <v>44716</v>
      </c>
      <c r="U3384" t="s">
        <v>47813</v>
      </c>
      <c r="W3384" t="s">
        <v>40550</v>
      </c>
      <c r="X3384" t="s">
        <v>43172</v>
      </c>
    </row>
    <row r="3385" spans="1:24">
      <c r="A3385">
        <f>HYPERLINK("https://www.philgeps.gov.ph/GEPSNONPILOT/Tender/SplashBidNoticeAbstractUI.aspx?menuIndex=3&amp;refID=7081966&amp;Result=3","7081966")</f>
        <v>0</v>
      </c>
      <c r="B3385" t="s">
        <v>541</v>
      </c>
      <c r="C3385" t="s">
        <v>6650</v>
      </c>
      <c r="D3385" t="s">
        <v>17458</v>
      </c>
      <c r="E3385" t="s">
        <v>20434</v>
      </c>
      <c r="F3385" t="s">
        <v>30052</v>
      </c>
      <c r="G3385" t="s">
        <v>30059</v>
      </c>
      <c r="H3385" t="s">
        <v>15498</v>
      </c>
      <c r="I3385" t="s">
        <v>30094</v>
      </c>
      <c r="J3385" t="s">
        <v>32443</v>
      </c>
      <c r="K3385" t="s">
        <v>39017</v>
      </c>
      <c r="M3385" t="s">
        <v>39843</v>
      </c>
      <c r="N3385" t="s">
        <v>43166</v>
      </c>
      <c r="O3385" t="s">
        <v>43167</v>
      </c>
      <c r="P3385">
        <v>0</v>
      </c>
      <c r="Q3385">
        <v>0</v>
      </c>
      <c r="R3385" t="s">
        <v>43171</v>
      </c>
      <c r="S3385" t="s">
        <v>43311</v>
      </c>
      <c r="T3385" t="s">
        <v>44773</v>
      </c>
      <c r="U3385" t="s">
        <v>46429</v>
      </c>
      <c r="W3385" t="s">
        <v>58604</v>
      </c>
      <c r="X3385" t="s">
        <v>43172</v>
      </c>
    </row>
    <row r="3386" spans="1:24">
      <c r="A3386">
        <f>HYPERLINK("https://www.philgeps.gov.ph/GEPSNONPILOT/Tender/SplashBidNoticeAbstractUI.aspx?menuIndex=3&amp;refID=7082045&amp;Result=3","7082045")</f>
        <v>0</v>
      </c>
      <c r="B3386" t="s">
        <v>1265</v>
      </c>
      <c r="C3386" t="s">
        <v>6651</v>
      </c>
      <c r="D3386" t="s">
        <v>17462</v>
      </c>
      <c r="E3386" t="s">
        <v>20435</v>
      </c>
      <c r="F3386" t="s">
        <v>30052</v>
      </c>
      <c r="G3386" t="s">
        <v>30061</v>
      </c>
      <c r="H3386" t="s">
        <v>15498</v>
      </c>
      <c r="I3386" t="s">
        <v>30084</v>
      </c>
      <c r="J3386" t="s">
        <v>30747</v>
      </c>
      <c r="K3386" t="s">
        <v>39017</v>
      </c>
      <c r="M3386" t="s">
        <v>40623</v>
      </c>
      <c r="N3386" t="s">
        <v>43166</v>
      </c>
      <c r="O3386" t="s">
        <v>43167</v>
      </c>
      <c r="P3386">
        <v>0</v>
      </c>
      <c r="Q3386">
        <v>6</v>
      </c>
      <c r="R3386" t="s">
        <v>43171</v>
      </c>
      <c r="S3386" t="s">
        <v>43311</v>
      </c>
      <c r="T3386" t="s">
        <v>44717</v>
      </c>
      <c r="U3386" t="s">
        <v>47977</v>
      </c>
      <c r="W3386" t="s">
        <v>40623</v>
      </c>
      <c r="X3386" t="s">
        <v>43172</v>
      </c>
    </row>
    <row r="3387" spans="1:24">
      <c r="A3387">
        <f>HYPERLINK("https://www.philgeps.gov.ph/GEPSNONPILOT/Tender/SplashBidNoticeAbstractUI.aspx?menuIndex=3&amp;refID=7082044&amp;Result=3","7082044")</f>
        <v>0</v>
      </c>
      <c r="B3387" t="s">
        <v>145</v>
      </c>
      <c r="C3387" t="s">
        <v>6652</v>
      </c>
      <c r="D3387" t="s">
        <v>17453</v>
      </c>
      <c r="E3387" t="s">
        <v>20436</v>
      </c>
      <c r="F3387" t="s">
        <v>30052</v>
      </c>
      <c r="G3387" t="s">
        <v>30059</v>
      </c>
      <c r="H3387" t="s">
        <v>15498</v>
      </c>
      <c r="I3387" t="s">
        <v>4650</v>
      </c>
      <c r="J3387" t="s">
        <v>30350</v>
      </c>
      <c r="K3387" t="s">
        <v>39029</v>
      </c>
      <c r="M3387" t="s">
        <v>40626</v>
      </c>
      <c r="N3387" t="s">
        <v>43166</v>
      </c>
      <c r="O3387" t="s">
        <v>43167</v>
      </c>
      <c r="P3387">
        <v>0</v>
      </c>
      <c r="Q3387">
        <v>1</v>
      </c>
      <c r="R3387" t="s">
        <v>43171</v>
      </c>
      <c r="S3387" t="s">
        <v>43311</v>
      </c>
      <c r="T3387" t="s">
        <v>44956</v>
      </c>
      <c r="U3387" t="s">
        <v>47985</v>
      </c>
      <c r="W3387" t="s">
        <v>58631</v>
      </c>
      <c r="X3387" t="s">
        <v>43172</v>
      </c>
    </row>
    <row r="3388" spans="1:24">
      <c r="A3388">
        <f>HYPERLINK("https://www.philgeps.gov.ph/GEPSNONPILOT/Tender/SplashBidNoticeAbstractUI.aspx?menuIndex=3&amp;refID=7082052&amp;Result=3","7082052")</f>
        <v>0</v>
      </c>
      <c r="B3388" t="s">
        <v>236</v>
      </c>
      <c r="C3388" t="s">
        <v>6653</v>
      </c>
      <c r="D3388" t="s">
        <v>17476</v>
      </c>
      <c r="E3388" t="s">
        <v>20437</v>
      </c>
      <c r="F3388" t="s">
        <v>30052</v>
      </c>
      <c r="G3388" t="s">
        <v>30059</v>
      </c>
      <c r="H3388" t="s">
        <v>15498</v>
      </c>
      <c r="I3388" t="s">
        <v>30096</v>
      </c>
      <c r="J3388" t="s">
        <v>30230</v>
      </c>
      <c r="K3388" t="s">
        <v>39017</v>
      </c>
      <c r="M3388" t="s">
        <v>40231</v>
      </c>
      <c r="N3388" t="s">
        <v>43166</v>
      </c>
      <c r="O3388" t="s">
        <v>43167</v>
      </c>
      <c r="P3388">
        <v>0</v>
      </c>
      <c r="Q3388">
        <v>3</v>
      </c>
      <c r="R3388" t="s">
        <v>43171</v>
      </c>
      <c r="S3388" t="s">
        <v>43311</v>
      </c>
      <c r="T3388" t="s">
        <v>44678</v>
      </c>
      <c r="U3388" t="s">
        <v>47986</v>
      </c>
      <c r="W3388" t="s">
        <v>40231</v>
      </c>
      <c r="X3388" t="s">
        <v>43172</v>
      </c>
    </row>
    <row r="3389" spans="1:24">
      <c r="A3389">
        <f>HYPERLINK("https://www.philgeps.gov.ph/GEPSNONPILOT/Tender/SplashBidNoticeAbstractUI.aspx?menuIndex=3&amp;refID=7082042&amp;Result=3","7082042")</f>
        <v>0</v>
      </c>
      <c r="B3389" t="s">
        <v>1268</v>
      </c>
      <c r="C3389" t="s">
        <v>6654</v>
      </c>
      <c r="D3389" t="s">
        <v>17427</v>
      </c>
      <c r="E3389" t="s">
        <v>18342</v>
      </c>
      <c r="F3389" t="s">
        <v>30052</v>
      </c>
      <c r="G3389" t="s">
        <v>30058</v>
      </c>
      <c r="H3389" t="s">
        <v>30067</v>
      </c>
      <c r="I3389" t="s">
        <v>3693</v>
      </c>
      <c r="J3389" t="s">
        <v>32444</v>
      </c>
      <c r="K3389" t="s">
        <v>39029</v>
      </c>
      <c r="M3389" t="s">
        <v>40627</v>
      </c>
      <c r="N3389" t="s">
        <v>43166</v>
      </c>
      <c r="O3389" t="s">
        <v>43167</v>
      </c>
      <c r="P3389">
        <v>0</v>
      </c>
      <c r="Q3389">
        <v>0</v>
      </c>
      <c r="R3389" t="s">
        <v>43171</v>
      </c>
      <c r="S3389" t="s">
        <v>43311</v>
      </c>
      <c r="T3389" t="s">
        <v>44791</v>
      </c>
      <c r="U3389" t="s">
        <v>47987</v>
      </c>
      <c r="W3389" t="s">
        <v>40627</v>
      </c>
      <c r="X3389" t="s">
        <v>43172</v>
      </c>
    </row>
    <row r="3390" spans="1:24">
      <c r="A3390">
        <f>HYPERLINK("https://www.philgeps.gov.ph/GEPSNONPILOT/Tender/SplashBidNoticeAbstractUI.aspx?menuIndex=3&amp;refID=7082036&amp;Result=3","7082036")</f>
        <v>0</v>
      </c>
      <c r="B3390" t="s">
        <v>1269</v>
      </c>
      <c r="C3390" t="s">
        <v>6655</v>
      </c>
      <c r="D3390" t="s">
        <v>17415</v>
      </c>
      <c r="E3390" t="s">
        <v>20438</v>
      </c>
      <c r="F3390" t="s">
        <v>30052</v>
      </c>
      <c r="G3390" t="s">
        <v>30061</v>
      </c>
      <c r="H3390" t="s">
        <v>15498</v>
      </c>
      <c r="I3390" t="s">
        <v>3852</v>
      </c>
      <c r="J3390" t="s">
        <v>32427</v>
      </c>
      <c r="K3390" t="s">
        <v>39034</v>
      </c>
      <c r="M3390" t="s">
        <v>40628</v>
      </c>
      <c r="N3390" t="s">
        <v>43166</v>
      </c>
      <c r="O3390" t="s">
        <v>43167</v>
      </c>
      <c r="P3390">
        <v>0</v>
      </c>
      <c r="Q3390">
        <v>3</v>
      </c>
      <c r="R3390" t="s">
        <v>43171</v>
      </c>
      <c r="S3390" t="s">
        <v>43311</v>
      </c>
      <c r="T3390" t="s">
        <v>44962</v>
      </c>
      <c r="U3390" t="s">
        <v>47988</v>
      </c>
      <c r="V3390" t="s">
        <v>57222</v>
      </c>
      <c r="W3390" t="s">
        <v>40628</v>
      </c>
      <c r="X3390" t="s">
        <v>43172</v>
      </c>
    </row>
    <row r="3391" spans="1:24">
      <c r="A3391">
        <f>HYPERLINK("https://www.philgeps.gov.ph/GEPSNONPILOT/Tender/SplashBidNoticeAbstractUI.aspx?menuIndex=3&amp;refID=7082059&amp;Result=3","7082059")</f>
        <v>0</v>
      </c>
      <c r="B3391" t="s">
        <v>1111</v>
      </c>
      <c r="C3391" t="s">
        <v>6656</v>
      </c>
      <c r="D3391" t="s">
        <v>17413</v>
      </c>
      <c r="E3391" t="s">
        <v>20439</v>
      </c>
      <c r="F3391" t="s">
        <v>30052</v>
      </c>
      <c r="G3391" t="s">
        <v>30058</v>
      </c>
      <c r="H3391" t="s">
        <v>30067</v>
      </c>
      <c r="I3391" t="s">
        <v>3693</v>
      </c>
      <c r="J3391" t="s">
        <v>32445</v>
      </c>
      <c r="K3391" t="s">
        <v>39019</v>
      </c>
      <c r="M3391" t="s">
        <v>40451</v>
      </c>
      <c r="N3391" t="s">
        <v>43166</v>
      </c>
      <c r="O3391" t="s">
        <v>43167</v>
      </c>
      <c r="P3391">
        <v>0</v>
      </c>
      <c r="Q3391">
        <v>0</v>
      </c>
      <c r="R3391" t="s">
        <v>43171</v>
      </c>
      <c r="S3391" t="s">
        <v>43311</v>
      </c>
      <c r="T3391" t="s">
        <v>44828</v>
      </c>
      <c r="U3391" t="s">
        <v>47989</v>
      </c>
      <c r="W3391" t="s">
        <v>40451</v>
      </c>
      <c r="X3391" t="s">
        <v>43172</v>
      </c>
    </row>
    <row r="3392" spans="1:24">
      <c r="A3392">
        <f>HYPERLINK("https://www.philgeps.gov.ph/GEPSNONPILOT/Tender/SplashBidNoticeAbstractUI.aspx?menuIndex=3&amp;refID=7082061&amp;Result=3","7082061")</f>
        <v>0</v>
      </c>
      <c r="B3392" t="s">
        <v>1270</v>
      </c>
      <c r="C3392" t="s">
        <v>6657</v>
      </c>
      <c r="D3392" t="s">
        <v>17465</v>
      </c>
      <c r="E3392" t="s">
        <v>20440</v>
      </c>
      <c r="F3392" t="s">
        <v>30052</v>
      </c>
      <c r="G3392" t="s">
        <v>30058</v>
      </c>
      <c r="H3392" t="s">
        <v>15498</v>
      </c>
      <c r="I3392" t="s">
        <v>3736</v>
      </c>
      <c r="J3392" t="s">
        <v>32446</v>
      </c>
      <c r="K3392" t="s">
        <v>39034</v>
      </c>
      <c r="M3392" t="s">
        <v>40629</v>
      </c>
      <c r="N3392" t="s">
        <v>43166</v>
      </c>
      <c r="O3392" t="s">
        <v>43167</v>
      </c>
      <c r="P3392">
        <v>0</v>
      </c>
      <c r="Q3392">
        <v>4</v>
      </c>
      <c r="R3392" t="s">
        <v>43171</v>
      </c>
      <c r="S3392" t="s">
        <v>43311</v>
      </c>
      <c r="T3392" t="s">
        <v>44879</v>
      </c>
      <c r="U3392" t="s">
        <v>47990</v>
      </c>
      <c r="W3392" t="s">
        <v>40629</v>
      </c>
      <c r="X3392" t="s">
        <v>43172</v>
      </c>
    </row>
    <row r="3393" spans="1:24">
      <c r="A3393">
        <f>HYPERLINK("https://www.philgeps.gov.ph/GEPSNONPILOT/Tender/SplashBidNoticeAbstractUI.aspx?menuIndex=3&amp;refID=7082057&amp;Result=3","7082057")</f>
        <v>0</v>
      </c>
      <c r="B3393" t="s">
        <v>529</v>
      </c>
      <c r="C3393" t="s">
        <v>6658</v>
      </c>
      <c r="D3393" t="s">
        <v>17474</v>
      </c>
      <c r="E3393" t="s">
        <v>20441</v>
      </c>
      <c r="F3393" t="s">
        <v>30052</v>
      </c>
      <c r="G3393" t="s">
        <v>30058</v>
      </c>
      <c r="H3393" t="s">
        <v>15498</v>
      </c>
      <c r="I3393" t="s">
        <v>5961</v>
      </c>
      <c r="J3393" t="s">
        <v>32447</v>
      </c>
      <c r="K3393" t="s">
        <v>39034</v>
      </c>
      <c r="M3393" t="s">
        <v>39831</v>
      </c>
      <c r="N3393" t="s">
        <v>43166</v>
      </c>
      <c r="O3393" t="s">
        <v>43167</v>
      </c>
      <c r="P3393">
        <v>0</v>
      </c>
      <c r="Q3393">
        <v>2</v>
      </c>
      <c r="R3393" t="s">
        <v>43171</v>
      </c>
      <c r="S3393" t="s">
        <v>43311</v>
      </c>
      <c r="T3393" t="s">
        <v>44704</v>
      </c>
      <c r="U3393" t="s">
        <v>47991</v>
      </c>
      <c r="V3393" t="s">
        <v>57223</v>
      </c>
      <c r="W3393" t="s">
        <v>39831</v>
      </c>
      <c r="X3393" t="s">
        <v>43172</v>
      </c>
    </row>
    <row r="3394" spans="1:24">
      <c r="A3394">
        <f>HYPERLINK("https://www.philgeps.gov.ph/GEPSNONPILOT/Tender/SplashBidNoticeAbstractUI.aspx?menuIndex=3&amp;refID=7082046&amp;Result=3","7082046")</f>
        <v>0</v>
      </c>
      <c r="B3394" t="s">
        <v>1271</v>
      </c>
      <c r="C3394" t="s">
        <v>6659</v>
      </c>
      <c r="D3394" t="s">
        <v>17415</v>
      </c>
      <c r="E3394" t="s">
        <v>17760</v>
      </c>
      <c r="F3394" t="s">
        <v>30052</v>
      </c>
      <c r="G3394" t="s">
        <v>30059</v>
      </c>
      <c r="H3394" t="s">
        <v>15498</v>
      </c>
      <c r="I3394" t="s">
        <v>8323</v>
      </c>
      <c r="J3394" t="s">
        <v>32448</v>
      </c>
      <c r="K3394" t="s">
        <v>39018</v>
      </c>
      <c r="M3394" t="s">
        <v>40630</v>
      </c>
      <c r="N3394" t="s">
        <v>43166</v>
      </c>
      <c r="O3394" t="s">
        <v>43167</v>
      </c>
      <c r="P3394">
        <v>0</v>
      </c>
      <c r="Q3394">
        <v>10</v>
      </c>
      <c r="R3394" t="s">
        <v>43171</v>
      </c>
      <c r="S3394" t="s">
        <v>43311</v>
      </c>
      <c r="T3394" t="s">
        <v>44710</v>
      </c>
      <c r="U3394" t="s">
        <v>47992</v>
      </c>
      <c r="W3394" t="s">
        <v>40630</v>
      </c>
      <c r="X3394" t="s">
        <v>43172</v>
      </c>
    </row>
    <row r="3395" spans="1:24">
      <c r="A3395">
        <f>HYPERLINK("https://www.philgeps.gov.ph/GEPSNONPILOT/Tender/SplashBidNoticeAbstractUI.aspx?menuIndex=3&amp;refID=7082041&amp;Result=3","7082041")</f>
        <v>0</v>
      </c>
      <c r="B3395" t="s">
        <v>1272</v>
      </c>
      <c r="C3395" t="s">
        <v>6660</v>
      </c>
      <c r="D3395" t="s">
        <v>17415</v>
      </c>
      <c r="E3395" t="s">
        <v>20442</v>
      </c>
      <c r="F3395" t="s">
        <v>30052</v>
      </c>
      <c r="G3395" t="s">
        <v>30059</v>
      </c>
      <c r="H3395" t="s">
        <v>15498</v>
      </c>
      <c r="I3395" t="s">
        <v>4119</v>
      </c>
      <c r="J3395" t="s">
        <v>32449</v>
      </c>
      <c r="K3395" t="s">
        <v>39025</v>
      </c>
      <c r="M3395" t="s">
        <v>40631</v>
      </c>
      <c r="N3395" t="s">
        <v>43166</v>
      </c>
      <c r="O3395" t="s">
        <v>43167</v>
      </c>
      <c r="P3395">
        <v>0</v>
      </c>
      <c r="Q3395">
        <v>11</v>
      </c>
      <c r="R3395" t="s">
        <v>43171</v>
      </c>
      <c r="S3395" t="s">
        <v>43311</v>
      </c>
      <c r="T3395" t="s">
        <v>44837</v>
      </c>
      <c r="U3395" t="s">
        <v>47993</v>
      </c>
      <c r="W3395" t="s">
        <v>40631</v>
      </c>
      <c r="X3395" t="s">
        <v>43172</v>
      </c>
    </row>
    <row r="3396" spans="1:24">
      <c r="A3396">
        <f>HYPERLINK("https://www.philgeps.gov.ph/GEPSNONPILOT/Tender/SplashBidNoticeAbstractUI.aspx?menuIndex=3&amp;refID=7082037&amp;Result=3","7082037")</f>
        <v>0</v>
      </c>
      <c r="B3396" t="s">
        <v>390</v>
      </c>
      <c r="C3396" t="s">
        <v>6661</v>
      </c>
      <c r="D3396" t="s">
        <v>17415</v>
      </c>
      <c r="E3396" t="s">
        <v>20443</v>
      </c>
      <c r="F3396" t="s">
        <v>30052</v>
      </c>
      <c r="G3396" t="s">
        <v>30059</v>
      </c>
      <c r="H3396" t="s">
        <v>15498</v>
      </c>
      <c r="I3396" t="s">
        <v>30100</v>
      </c>
      <c r="J3396" t="s">
        <v>32450</v>
      </c>
      <c r="K3396" t="s">
        <v>39036</v>
      </c>
      <c r="M3396" t="s">
        <v>40632</v>
      </c>
      <c r="N3396" t="s">
        <v>43166</v>
      </c>
      <c r="O3396" t="s">
        <v>43167</v>
      </c>
      <c r="P3396">
        <v>0</v>
      </c>
      <c r="Q3396">
        <v>4</v>
      </c>
      <c r="R3396" t="s">
        <v>43171</v>
      </c>
      <c r="S3396" t="s">
        <v>43311</v>
      </c>
      <c r="T3396" t="s">
        <v>44728</v>
      </c>
      <c r="U3396" t="s">
        <v>47994</v>
      </c>
      <c r="W3396" t="s">
        <v>40632</v>
      </c>
      <c r="X3396" t="s">
        <v>43172</v>
      </c>
    </row>
    <row r="3397" spans="1:24">
      <c r="A3397">
        <f>HYPERLINK("https://www.philgeps.gov.ph/GEPSNONPILOT/Tender/SplashBidNoticeAbstractUI.aspx?menuIndex=3&amp;refID=7082062&amp;Result=3","7082062")</f>
        <v>0</v>
      </c>
      <c r="B3397" t="s">
        <v>1273</v>
      </c>
      <c r="C3397" t="s">
        <v>6662</v>
      </c>
      <c r="D3397" t="s">
        <v>17434</v>
      </c>
      <c r="E3397" t="s">
        <v>20444</v>
      </c>
      <c r="F3397" t="s">
        <v>30052</v>
      </c>
      <c r="G3397" t="s">
        <v>30059</v>
      </c>
      <c r="H3397" t="s">
        <v>15498</v>
      </c>
      <c r="I3397" t="s">
        <v>30127</v>
      </c>
      <c r="J3397" t="s">
        <v>30417</v>
      </c>
      <c r="K3397" t="s">
        <v>39017</v>
      </c>
      <c r="M3397" t="s">
        <v>40633</v>
      </c>
      <c r="N3397" t="s">
        <v>43166</v>
      </c>
      <c r="O3397" t="s">
        <v>43167</v>
      </c>
      <c r="P3397">
        <v>0</v>
      </c>
      <c r="Q3397">
        <v>2</v>
      </c>
      <c r="R3397" t="s">
        <v>43171</v>
      </c>
      <c r="S3397" t="s">
        <v>43311</v>
      </c>
      <c r="T3397" t="s">
        <v>44736</v>
      </c>
      <c r="U3397" t="s">
        <v>47995</v>
      </c>
      <c r="W3397" t="s">
        <v>40633</v>
      </c>
      <c r="X3397" t="s">
        <v>43172</v>
      </c>
    </row>
    <row r="3398" spans="1:24">
      <c r="A3398">
        <f>HYPERLINK("https://www.philgeps.gov.ph/GEPSNONPILOT/Tender/SplashBidNoticeAbstractUI.aspx?menuIndex=3&amp;refID=7082053&amp;Result=3","7082053")</f>
        <v>0</v>
      </c>
      <c r="B3398" t="s">
        <v>1242</v>
      </c>
      <c r="C3398" t="s">
        <v>6663</v>
      </c>
      <c r="D3398" t="s">
        <v>17428</v>
      </c>
      <c r="E3398" t="s">
        <v>20445</v>
      </c>
      <c r="F3398" t="s">
        <v>30052</v>
      </c>
      <c r="G3398" t="s">
        <v>30058</v>
      </c>
      <c r="H3398" t="s">
        <v>15498</v>
      </c>
      <c r="I3398" t="s">
        <v>30075</v>
      </c>
      <c r="J3398" t="s">
        <v>30281</v>
      </c>
      <c r="K3398" t="s">
        <v>39019</v>
      </c>
      <c r="M3398" t="s">
        <v>40598</v>
      </c>
      <c r="N3398" t="s">
        <v>43166</v>
      </c>
      <c r="O3398" t="s">
        <v>43167</v>
      </c>
      <c r="P3398">
        <v>0</v>
      </c>
      <c r="Q3398">
        <v>3</v>
      </c>
      <c r="R3398" t="s">
        <v>43171</v>
      </c>
      <c r="S3398" t="s">
        <v>43311</v>
      </c>
      <c r="T3398" t="s">
        <v>44716</v>
      </c>
      <c r="U3398" t="s">
        <v>47996</v>
      </c>
      <c r="V3398" t="s">
        <v>57207</v>
      </c>
      <c r="W3398" t="s">
        <v>40598</v>
      </c>
      <c r="X3398" t="s">
        <v>43172</v>
      </c>
    </row>
    <row r="3399" spans="1:24">
      <c r="A3399">
        <f>HYPERLINK("https://www.philgeps.gov.ph/GEPSNONPILOT/Tender/SplashBidNoticeAbstractUI.aspx?menuIndex=3&amp;refID=7082084&amp;Result=3","7082084")</f>
        <v>0</v>
      </c>
      <c r="B3399" t="s">
        <v>910</v>
      </c>
      <c r="C3399" t="s">
        <v>6664</v>
      </c>
      <c r="D3399" t="s">
        <v>17427</v>
      </c>
      <c r="E3399" t="s">
        <v>20446</v>
      </c>
      <c r="F3399" t="s">
        <v>30052</v>
      </c>
      <c r="G3399" t="s">
        <v>30059</v>
      </c>
      <c r="H3399" t="s">
        <v>15498</v>
      </c>
      <c r="I3399" t="s">
        <v>30070</v>
      </c>
      <c r="J3399" t="s">
        <v>31222</v>
      </c>
      <c r="K3399" t="s">
        <v>39025</v>
      </c>
      <c r="M3399" t="s">
        <v>40233</v>
      </c>
      <c r="N3399" t="s">
        <v>43166</v>
      </c>
      <c r="O3399" t="s">
        <v>43167</v>
      </c>
      <c r="P3399">
        <v>0</v>
      </c>
      <c r="Q3399">
        <v>3</v>
      </c>
      <c r="R3399" t="s">
        <v>43171</v>
      </c>
      <c r="S3399" t="s">
        <v>43311</v>
      </c>
      <c r="T3399" t="s">
        <v>44714</v>
      </c>
      <c r="U3399" t="s">
        <v>47997</v>
      </c>
      <c r="W3399" t="s">
        <v>40233</v>
      </c>
      <c r="X3399" t="s">
        <v>43172</v>
      </c>
    </row>
    <row r="3400" spans="1:24">
      <c r="A3400">
        <f>HYPERLINK("https://www.philgeps.gov.ph/GEPSNONPILOT/Tender/SplashBidNoticeAbstractUI.aspx?menuIndex=3&amp;refID=7082083&amp;Result=3","7082083")</f>
        <v>0</v>
      </c>
      <c r="B3400" t="s">
        <v>1274</v>
      </c>
      <c r="C3400" t="s">
        <v>6665</v>
      </c>
      <c r="D3400" t="s">
        <v>17466</v>
      </c>
      <c r="E3400" t="s">
        <v>20447</v>
      </c>
      <c r="F3400" t="s">
        <v>30052</v>
      </c>
      <c r="G3400" t="s">
        <v>30059</v>
      </c>
      <c r="H3400" t="s">
        <v>15498</v>
      </c>
      <c r="I3400" t="s">
        <v>8323</v>
      </c>
      <c r="J3400" t="s">
        <v>32451</v>
      </c>
      <c r="K3400" t="s">
        <v>39039</v>
      </c>
      <c r="M3400" t="s">
        <v>40634</v>
      </c>
      <c r="N3400" t="s">
        <v>43166</v>
      </c>
      <c r="O3400" t="s">
        <v>43167</v>
      </c>
      <c r="P3400">
        <v>0</v>
      </c>
      <c r="Q3400">
        <v>0</v>
      </c>
      <c r="R3400" t="s">
        <v>43171</v>
      </c>
      <c r="S3400" t="s">
        <v>43311</v>
      </c>
      <c r="T3400" t="s">
        <v>44685</v>
      </c>
      <c r="U3400" t="s">
        <v>47998</v>
      </c>
      <c r="W3400" t="s">
        <v>40634</v>
      </c>
      <c r="X3400" t="s">
        <v>43172</v>
      </c>
    </row>
    <row r="3401" spans="1:24">
      <c r="A3401">
        <f>HYPERLINK("https://www.philgeps.gov.ph/GEPSNONPILOT/Tender/SplashBidNoticeAbstractUI.aspx?menuIndex=3&amp;refID=7082049&amp;Result=3","7082049")</f>
        <v>0</v>
      </c>
      <c r="B3401" t="s">
        <v>1269</v>
      </c>
      <c r="C3401" t="s">
        <v>6666</v>
      </c>
      <c r="D3401" t="s">
        <v>17415</v>
      </c>
      <c r="E3401" t="s">
        <v>20448</v>
      </c>
      <c r="F3401" t="s">
        <v>30052</v>
      </c>
      <c r="G3401" t="s">
        <v>30061</v>
      </c>
      <c r="H3401" t="s">
        <v>15498</v>
      </c>
      <c r="I3401" t="s">
        <v>3852</v>
      </c>
      <c r="J3401" t="s">
        <v>32452</v>
      </c>
      <c r="K3401" t="s">
        <v>39034</v>
      </c>
      <c r="M3401" t="s">
        <v>40628</v>
      </c>
      <c r="N3401" t="s">
        <v>43166</v>
      </c>
      <c r="O3401" t="s">
        <v>43167</v>
      </c>
      <c r="P3401">
        <v>0</v>
      </c>
      <c r="Q3401">
        <v>1</v>
      </c>
      <c r="R3401" t="s">
        <v>43171</v>
      </c>
      <c r="S3401" t="s">
        <v>43311</v>
      </c>
      <c r="T3401" t="s">
        <v>44962</v>
      </c>
      <c r="U3401" t="s">
        <v>47999</v>
      </c>
      <c r="V3401" t="s">
        <v>57222</v>
      </c>
      <c r="W3401" t="s">
        <v>40628</v>
      </c>
      <c r="X3401" t="s">
        <v>43172</v>
      </c>
    </row>
    <row r="3402" spans="1:24">
      <c r="A3402">
        <f>HYPERLINK("https://www.philgeps.gov.ph/GEPSNONPILOT/Tender/SplashBidNoticeAbstractUI.aspx?menuIndex=3&amp;refID=7082079&amp;Result=3","7082079")</f>
        <v>0</v>
      </c>
      <c r="B3402" t="s">
        <v>143</v>
      </c>
      <c r="C3402" t="s">
        <v>6667</v>
      </c>
      <c r="D3402" t="s">
        <v>17465</v>
      </c>
      <c r="E3402" t="s">
        <v>20449</v>
      </c>
      <c r="F3402" t="s">
        <v>30052</v>
      </c>
      <c r="G3402" t="s">
        <v>30059</v>
      </c>
      <c r="H3402" t="s">
        <v>15498</v>
      </c>
      <c r="I3402" t="s">
        <v>3736</v>
      </c>
      <c r="J3402" t="s">
        <v>31891</v>
      </c>
      <c r="K3402" t="s">
        <v>39025</v>
      </c>
      <c r="M3402" t="s">
        <v>39432</v>
      </c>
      <c r="N3402" t="s">
        <v>43166</v>
      </c>
      <c r="O3402" t="s">
        <v>43167</v>
      </c>
      <c r="P3402">
        <v>0</v>
      </c>
      <c r="Q3402">
        <v>2</v>
      </c>
      <c r="R3402" t="s">
        <v>43171</v>
      </c>
      <c r="S3402" t="s">
        <v>43311</v>
      </c>
      <c r="T3402" t="s">
        <v>44960</v>
      </c>
      <c r="U3402" t="s">
        <v>48000</v>
      </c>
      <c r="W3402" t="s">
        <v>39432</v>
      </c>
      <c r="X3402" t="s">
        <v>43172</v>
      </c>
    </row>
    <row r="3403" spans="1:24">
      <c r="A3403">
        <f>HYPERLINK("https://www.philgeps.gov.ph/GEPSNONPILOT/Tender/SplashBidNoticeAbstractUI.aspx?menuIndex=3&amp;refID=7082056&amp;Result=3","7082056")</f>
        <v>0</v>
      </c>
      <c r="B3403" t="s">
        <v>679</v>
      </c>
      <c r="C3403" t="s">
        <v>6668</v>
      </c>
      <c r="D3403" t="s">
        <v>17419</v>
      </c>
      <c r="E3403" t="s">
        <v>20450</v>
      </c>
      <c r="F3403" t="s">
        <v>30052</v>
      </c>
      <c r="G3403" t="s">
        <v>30058</v>
      </c>
      <c r="H3403" t="s">
        <v>15498</v>
      </c>
      <c r="I3403" t="s">
        <v>3736</v>
      </c>
      <c r="J3403" t="s">
        <v>32453</v>
      </c>
      <c r="K3403" t="s">
        <v>39034</v>
      </c>
      <c r="M3403" t="s">
        <v>39985</v>
      </c>
      <c r="N3403" t="s">
        <v>43166</v>
      </c>
      <c r="O3403" t="s">
        <v>43167</v>
      </c>
      <c r="P3403">
        <v>0</v>
      </c>
      <c r="Q3403">
        <v>0</v>
      </c>
      <c r="R3403" t="s">
        <v>43171</v>
      </c>
      <c r="S3403" t="s">
        <v>43311</v>
      </c>
      <c r="T3403" t="s">
        <v>44699</v>
      </c>
      <c r="U3403" t="s">
        <v>48001</v>
      </c>
      <c r="W3403" t="s">
        <v>39985</v>
      </c>
      <c r="X3403" t="s">
        <v>43172</v>
      </c>
    </row>
    <row r="3404" spans="1:24">
      <c r="A3404">
        <f>HYPERLINK("https://www.philgeps.gov.ph/GEPSNONPILOT/Tender/SplashBidNoticeAbstractUI.aspx?menuIndex=3&amp;refID=7082038&amp;Result=3","7082038")</f>
        <v>0</v>
      </c>
      <c r="B3404" t="s">
        <v>101</v>
      </c>
      <c r="C3404" t="s">
        <v>6669</v>
      </c>
      <c r="D3404" t="s">
        <v>17422</v>
      </c>
      <c r="E3404" t="s">
        <v>20451</v>
      </c>
      <c r="F3404" t="s">
        <v>30052</v>
      </c>
      <c r="G3404" t="s">
        <v>30059</v>
      </c>
      <c r="H3404" t="s">
        <v>15498</v>
      </c>
      <c r="I3404" t="s">
        <v>4119</v>
      </c>
      <c r="J3404" t="s">
        <v>32454</v>
      </c>
      <c r="K3404" t="s">
        <v>39034</v>
      </c>
      <c r="M3404" t="s">
        <v>40635</v>
      </c>
      <c r="N3404" t="s">
        <v>43166</v>
      </c>
      <c r="O3404" t="s">
        <v>43167</v>
      </c>
      <c r="P3404">
        <v>0</v>
      </c>
      <c r="Q3404">
        <v>1</v>
      </c>
      <c r="R3404" t="s">
        <v>43171</v>
      </c>
      <c r="S3404" t="s">
        <v>43311</v>
      </c>
      <c r="T3404" t="s">
        <v>44837</v>
      </c>
      <c r="U3404" t="s">
        <v>48002</v>
      </c>
      <c r="W3404" t="s">
        <v>40635</v>
      </c>
      <c r="X3404" t="s">
        <v>43172</v>
      </c>
    </row>
    <row r="3405" spans="1:24">
      <c r="A3405">
        <f>HYPERLINK("https://www.philgeps.gov.ph/GEPSNONPILOT/Tender/SplashBidNoticeAbstractUI.aspx?menuIndex=3&amp;refID=7082076&amp;Result=3","7082076")</f>
        <v>0</v>
      </c>
      <c r="B3405" t="s">
        <v>1266</v>
      </c>
      <c r="C3405" t="s">
        <v>6670</v>
      </c>
      <c r="D3405" t="s">
        <v>17466</v>
      </c>
      <c r="E3405" t="s">
        <v>20452</v>
      </c>
      <c r="F3405" t="s">
        <v>30052</v>
      </c>
      <c r="G3405" t="s">
        <v>30066</v>
      </c>
      <c r="H3405" t="s">
        <v>15498</v>
      </c>
      <c r="I3405" t="s">
        <v>30070</v>
      </c>
      <c r="J3405" t="s">
        <v>30402</v>
      </c>
      <c r="K3405" t="s">
        <v>39017</v>
      </c>
      <c r="M3405" t="s">
        <v>40624</v>
      </c>
      <c r="N3405" t="s">
        <v>43166</v>
      </c>
      <c r="O3405" t="s">
        <v>43167</v>
      </c>
      <c r="P3405">
        <v>0</v>
      </c>
      <c r="Q3405">
        <v>0</v>
      </c>
      <c r="R3405" t="s">
        <v>43171</v>
      </c>
      <c r="S3405" t="s">
        <v>43311</v>
      </c>
      <c r="T3405" t="s">
        <v>44715</v>
      </c>
      <c r="U3405" t="s">
        <v>48003</v>
      </c>
      <c r="W3405" t="s">
        <v>40624</v>
      </c>
      <c r="X3405" t="s">
        <v>43172</v>
      </c>
    </row>
    <row r="3406" spans="1:24">
      <c r="A3406">
        <f>HYPERLINK("https://www.philgeps.gov.ph/GEPSNONPILOT/Tender/SplashBidNoticeAbstractUI.aspx?menuIndex=3&amp;refID=7082090&amp;Result=3","7082090")</f>
        <v>0</v>
      </c>
      <c r="B3406" t="s">
        <v>679</v>
      </c>
      <c r="C3406" t="s">
        <v>6671</v>
      </c>
      <c r="D3406" t="s">
        <v>17419</v>
      </c>
      <c r="E3406" t="s">
        <v>20453</v>
      </c>
      <c r="F3406" t="s">
        <v>30052</v>
      </c>
      <c r="G3406" t="s">
        <v>30058</v>
      </c>
      <c r="H3406" t="s">
        <v>15498</v>
      </c>
      <c r="I3406" t="s">
        <v>3606</v>
      </c>
      <c r="J3406" t="s">
        <v>32455</v>
      </c>
      <c r="K3406" t="s">
        <v>39034</v>
      </c>
      <c r="M3406" t="s">
        <v>39985</v>
      </c>
      <c r="N3406" t="s">
        <v>43166</v>
      </c>
      <c r="O3406" t="s">
        <v>43167</v>
      </c>
      <c r="P3406">
        <v>0</v>
      </c>
      <c r="Q3406">
        <v>1</v>
      </c>
      <c r="R3406" t="s">
        <v>43171</v>
      </c>
      <c r="S3406" t="s">
        <v>43311</v>
      </c>
      <c r="T3406" t="s">
        <v>44699</v>
      </c>
      <c r="U3406" t="s">
        <v>48004</v>
      </c>
      <c r="W3406" t="s">
        <v>39985</v>
      </c>
      <c r="X3406" t="s">
        <v>43172</v>
      </c>
    </row>
    <row r="3407" spans="1:24">
      <c r="A3407">
        <f>HYPERLINK("https://www.philgeps.gov.ph/GEPSNONPILOT/Tender/SplashBidNoticeAbstractUI.aspx?menuIndex=3&amp;refID=7082088&amp;Result=3","7082088")</f>
        <v>0</v>
      </c>
      <c r="B3407" t="s">
        <v>1275</v>
      </c>
      <c r="C3407" t="s">
        <v>6672</v>
      </c>
      <c r="D3407" t="s">
        <v>17474</v>
      </c>
      <c r="E3407" t="s">
        <v>20454</v>
      </c>
      <c r="F3407" t="s">
        <v>30052</v>
      </c>
      <c r="G3407" t="s">
        <v>30059</v>
      </c>
      <c r="H3407" t="s">
        <v>15498</v>
      </c>
      <c r="I3407" t="s">
        <v>30074</v>
      </c>
      <c r="J3407" t="s">
        <v>31872</v>
      </c>
      <c r="K3407" t="s">
        <v>39029</v>
      </c>
      <c r="M3407" t="s">
        <v>40636</v>
      </c>
      <c r="N3407" t="s">
        <v>43166</v>
      </c>
      <c r="O3407" t="s">
        <v>43167</v>
      </c>
      <c r="P3407">
        <v>0</v>
      </c>
      <c r="Q3407">
        <v>0</v>
      </c>
      <c r="R3407" t="s">
        <v>43171</v>
      </c>
      <c r="S3407" t="s">
        <v>43311</v>
      </c>
      <c r="T3407" t="s">
        <v>44705</v>
      </c>
      <c r="U3407" t="s">
        <v>48005</v>
      </c>
      <c r="W3407" t="s">
        <v>40636</v>
      </c>
      <c r="X3407" t="s">
        <v>43172</v>
      </c>
    </row>
    <row r="3408" spans="1:24">
      <c r="A3408">
        <f>HYPERLINK("https://www.philgeps.gov.ph/GEPSNONPILOT/Tender/SplashBidNoticeAbstractUI.aspx?menuIndex=3&amp;refID=7082082&amp;Result=3","7082082")</f>
        <v>0</v>
      </c>
      <c r="B3408" t="s">
        <v>1276</v>
      </c>
      <c r="C3408" t="s">
        <v>6673</v>
      </c>
      <c r="D3408" t="s">
        <v>17427</v>
      </c>
      <c r="E3408" t="s">
        <v>20455</v>
      </c>
      <c r="F3408" t="s">
        <v>30052</v>
      </c>
      <c r="G3408" t="s">
        <v>30059</v>
      </c>
      <c r="H3408" t="s">
        <v>15498</v>
      </c>
      <c r="I3408" t="s">
        <v>30084</v>
      </c>
      <c r="J3408" t="s">
        <v>32456</v>
      </c>
      <c r="K3408" t="s">
        <v>39036</v>
      </c>
      <c r="M3408" t="s">
        <v>40637</v>
      </c>
      <c r="N3408" t="s">
        <v>43166</v>
      </c>
      <c r="O3408" t="s">
        <v>43167</v>
      </c>
      <c r="P3408">
        <v>0</v>
      </c>
      <c r="Q3408">
        <v>1</v>
      </c>
      <c r="R3408" t="s">
        <v>43171</v>
      </c>
      <c r="S3408" t="s">
        <v>43311</v>
      </c>
      <c r="T3408" t="s">
        <v>44837</v>
      </c>
      <c r="U3408" t="s">
        <v>48006</v>
      </c>
      <c r="W3408" t="s">
        <v>40637</v>
      </c>
      <c r="X3408" t="s">
        <v>43172</v>
      </c>
    </row>
    <row r="3409" spans="1:24">
      <c r="A3409">
        <f>HYPERLINK("https://www.philgeps.gov.ph/GEPSNONPILOT/Tender/SplashBidNoticeAbstractUI.aspx?menuIndex=3&amp;refID=7082080&amp;Result=3","7082080")</f>
        <v>0</v>
      </c>
      <c r="B3409" t="s">
        <v>105</v>
      </c>
      <c r="C3409" t="s">
        <v>6674</v>
      </c>
      <c r="E3409" t="s">
        <v>20456</v>
      </c>
      <c r="F3409" t="s">
        <v>30052</v>
      </c>
      <c r="G3409" t="s">
        <v>30059</v>
      </c>
      <c r="H3409" t="s">
        <v>15498</v>
      </c>
      <c r="I3409" t="s">
        <v>30076</v>
      </c>
      <c r="J3409" t="s">
        <v>32457</v>
      </c>
      <c r="K3409" t="s">
        <v>39025</v>
      </c>
      <c r="M3409" t="s">
        <v>39394</v>
      </c>
      <c r="N3409" t="s">
        <v>43166</v>
      </c>
      <c r="O3409" t="s">
        <v>43167</v>
      </c>
      <c r="P3409">
        <v>0</v>
      </c>
      <c r="Q3409">
        <v>1</v>
      </c>
      <c r="R3409" t="s">
        <v>43171</v>
      </c>
      <c r="S3409" t="s">
        <v>43311</v>
      </c>
      <c r="T3409" t="s">
        <v>44704</v>
      </c>
      <c r="U3409" t="s">
        <v>48007</v>
      </c>
      <c r="W3409" t="s">
        <v>39394</v>
      </c>
      <c r="X3409" t="s">
        <v>43172</v>
      </c>
    </row>
    <row r="3410" spans="1:24">
      <c r="A3410">
        <f>HYPERLINK("https://www.philgeps.gov.ph/GEPSNONPILOT/Tender/SplashBidNoticeAbstractUI.aspx?menuIndex=3&amp;refID=7082074&amp;Result=3","7082074")</f>
        <v>0</v>
      </c>
      <c r="B3410" t="s">
        <v>1017</v>
      </c>
      <c r="C3410" t="s">
        <v>6675</v>
      </c>
      <c r="D3410" t="s">
        <v>17444</v>
      </c>
      <c r="E3410" t="s">
        <v>20457</v>
      </c>
      <c r="F3410" t="s">
        <v>30052</v>
      </c>
      <c r="G3410" t="s">
        <v>30059</v>
      </c>
      <c r="H3410" t="s">
        <v>15498</v>
      </c>
      <c r="I3410" t="s">
        <v>30094</v>
      </c>
      <c r="J3410" t="s">
        <v>32458</v>
      </c>
      <c r="K3410" t="s">
        <v>39019</v>
      </c>
      <c r="M3410" t="s">
        <v>40346</v>
      </c>
      <c r="N3410" t="s">
        <v>43166</v>
      </c>
      <c r="O3410" t="s">
        <v>43167</v>
      </c>
      <c r="P3410">
        <v>0</v>
      </c>
      <c r="Q3410">
        <v>0</v>
      </c>
      <c r="R3410" t="s">
        <v>43171</v>
      </c>
      <c r="S3410" t="s">
        <v>43311</v>
      </c>
      <c r="T3410" t="s">
        <v>44698</v>
      </c>
      <c r="U3410" t="s">
        <v>47315</v>
      </c>
      <c r="W3410" t="s">
        <v>40346</v>
      </c>
      <c r="X3410" t="s">
        <v>43172</v>
      </c>
    </row>
    <row r="3411" spans="1:24">
      <c r="A3411">
        <f>HYPERLINK("https://www.philgeps.gov.ph/GEPSNONPILOT/Tender/SplashBidNoticeAbstractUI.aspx?menuIndex=3&amp;refID=7082078&amp;Result=3","7082078")</f>
        <v>0</v>
      </c>
      <c r="B3411" t="s">
        <v>145</v>
      </c>
      <c r="C3411" t="s">
        <v>6676</v>
      </c>
      <c r="D3411" t="s">
        <v>17453</v>
      </c>
      <c r="E3411" t="s">
        <v>20458</v>
      </c>
      <c r="F3411" t="s">
        <v>30052</v>
      </c>
      <c r="G3411" t="s">
        <v>30059</v>
      </c>
      <c r="H3411" t="s">
        <v>15498</v>
      </c>
      <c r="I3411" t="s">
        <v>4650</v>
      </c>
      <c r="J3411" t="s">
        <v>30402</v>
      </c>
      <c r="K3411" t="s">
        <v>39052</v>
      </c>
      <c r="M3411" t="s">
        <v>40638</v>
      </c>
      <c r="N3411" t="s">
        <v>43166</v>
      </c>
      <c r="O3411" t="s">
        <v>43167</v>
      </c>
      <c r="P3411">
        <v>0</v>
      </c>
      <c r="Q3411">
        <v>7</v>
      </c>
      <c r="R3411" t="s">
        <v>43171</v>
      </c>
      <c r="S3411" t="s">
        <v>43311</v>
      </c>
      <c r="T3411" t="s">
        <v>44956</v>
      </c>
      <c r="U3411" t="s">
        <v>48008</v>
      </c>
      <c r="W3411" t="s">
        <v>58631</v>
      </c>
      <c r="X3411" t="s">
        <v>43172</v>
      </c>
    </row>
    <row r="3412" spans="1:24">
      <c r="A3412">
        <f>HYPERLINK("https://www.philgeps.gov.ph/GEPSNONPILOT/Tender/SplashBidNoticeAbstractUI.aspx?menuIndex=3&amp;refID=7082073&amp;Result=3","7082073")</f>
        <v>0</v>
      </c>
      <c r="B3412" t="s">
        <v>1277</v>
      </c>
      <c r="C3412" t="s">
        <v>6677</v>
      </c>
      <c r="D3412" t="s">
        <v>17468</v>
      </c>
      <c r="E3412" t="s">
        <v>20459</v>
      </c>
      <c r="F3412" t="s">
        <v>30052</v>
      </c>
      <c r="G3412" t="s">
        <v>30059</v>
      </c>
      <c r="H3412" t="s">
        <v>15498</v>
      </c>
      <c r="I3412" t="s">
        <v>8323</v>
      </c>
      <c r="J3412" t="s">
        <v>30299</v>
      </c>
      <c r="K3412" t="s">
        <v>39037</v>
      </c>
      <c r="M3412" t="s">
        <v>40639</v>
      </c>
      <c r="N3412" t="s">
        <v>43166</v>
      </c>
      <c r="O3412" t="s">
        <v>43167</v>
      </c>
      <c r="P3412">
        <v>0</v>
      </c>
      <c r="Q3412">
        <v>2</v>
      </c>
      <c r="R3412" t="s">
        <v>43171</v>
      </c>
      <c r="S3412" t="s">
        <v>43311</v>
      </c>
      <c r="T3412" t="s">
        <v>44735</v>
      </c>
      <c r="U3412" t="s">
        <v>48009</v>
      </c>
      <c r="W3412" t="s">
        <v>40639</v>
      </c>
      <c r="X3412" t="s">
        <v>43172</v>
      </c>
    </row>
    <row r="3413" spans="1:24">
      <c r="A3413">
        <f>HYPERLINK("https://www.philgeps.gov.ph/GEPSNONPILOT/Tender/SplashBidNoticeAbstractUI.aspx?menuIndex=3&amp;refID=7082070&amp;Result=3","7082070")</f>
        <v>0</v>
      </c>
      <c r="B3413" t="s">
        <v>541</v>
      </c>
      <c r="C3413" t="s">
        <v>6678</v>
      </c>
      <c r="D3413" t="s">
        <v>17458</v>
      </c>
      <c r="E3413" t="s">
        <v>20460</v>
      </c>
      <c r="F3413" t="s">
        <v>30052</v>
      </c>
      <c r="G3413" t="s">
        <v>30059</v>
      </c>
      <c r="H3413" t="s">
        <v>15498</v>
      </c>
      <c r="I3413" t="s">
        <v>30094</v>
      </c>
      <c r="J3413" t="s">
        <v>32459</v>
      </c>
      <c r="K3413" t="s">
        <v>39017</v>
      </c>
      <c r="M3413" t="s">
        <v>39843</v>
      </c>
      <c r="N3413" t="s">
        <v>43166</v>
      </c>
      <c r="O3413" t="s">
        <v>43167</v>
      </c>
      <c r="P3413">
        <v>0</v>
      </c>
      <c r="Q3413">
        <v>0</v>
      </c>
      <c r="R3413" t="s">
        <v>43171</v>
      </c>
      <c r="S3413" t="s">
        <v>43311</v>
      </c>
      <c r="T3413" t="s">
        <v>44773</v>
      </c>
      <c r="U3413" t="s">
        <v>46404</v>
      </c>
      <c r="W3413" t="s">
        <v>58604</v>
      </c>
      <c r="X3413" t="s">
        <v>43172</v>
      </c>
    </row>
    <row r="3414" spans="1:24">
      <c r="A3414">
        <f>HYPERLINK("https://www.philgeps.gov.ph/GEPSNONPILOT/Tender/SplashBidNoticeAbstractUI.aspx?menuIndex=3&amp;refID=7082067&amp;Result=3","7082067")</f>
        <v>0</v>
      </c>
      <c r="B3414" t="s">
        <v>348</v>
      </c>
      <c r="C3414" t="s">
        <v>6679</v>
      </c>
      <c r="D3414" t="s">
        <v>17416</v>
      </c>
      <c r="E3414" t="s">
        <v>20461</v>
      </c>
      <c r="F3414" t="s">
        <v>30052</v>
      </c>
      <c r="G3414" t="s">
        <v>30059</v>
      </c>
      <c r="H3414" t="s">
        <v>15498</v>
      </c>
      <c r="I3414" t="s">
        <v>30071</v>
      </c>
      <c r="J3414" t="s">
        <v>32460</v>
      </c>
      <c r="K3414" t="s">
        <v>39019</v>
      </c>
      <c r="M3414" t="s">
        <v>39645</v>
      </c>
      <c r="N3414" t="s">
        <v>43166</v>
      </c>
      <c r="O3414" t="s">
        <v>43167</v>
      </c>
      <c r="P3414">
        <v>0</v>
      </c>
      <c r="Q3414">
        <v>0</v>
      </c>
      <c r="R3414" t="s">
        <v>43171</v>
      </c>
      <c r="S3414" t="s">
        <v>43311</v>
      </c>
      <c r="T3414" t="s">
        <v>44717</v>
      </c>
      <c r="U3414" t="s">
        <v>48010</v>
      </c>
      <c r="W3414" t="s">
        <v>39645</v>
      </c>
      <c r="X3414" t="s">
        <v>43172</v>
      </c>
    </row>
    <row r="3415" spans="1:24">
      <c r="A3415">
        <f>HYPERLINK("https://www.philgeps.gov.ph/GEPSNONPILOT/Tender/SplashBidNoticeAbstractUI.aspx?menuIndex=3&amp;refID=7082089&amp;Result=3","7082089")</f>
        <v>0</v>
      </c>
      <c r="B3415" t="s">
        <v>50</v>
      </c>
      <c r="C3415" t="s">
        <v>6680</v>
      </c>
      <c r="D3415" t="s">
        <v>17433</v>
      </c>
      <c r="E3415" t="s">
        <v>20462</v>
      </c>
      <c r="F3415" t="s">
        <v>30052</v>
      </c>
      <c r="G3415" t="s">
        <v>30058</v>
      </c>
      <c r="H3415" t="s">
        <v>15498</v>
      </c>
      <c r="I3415" t="s">
        <v>3606</v>
      </c>
      <c r="J3415" t="s">
        <v>32461</v>
      </c>
      <c r="K3415" t="s">
        <v>39017</v>
      </c>
      <c r="M3415" t="s">
        <v>40640</v>
      </c>
      <c r="N3415" t="s">
        <v>43166</v>
      </c>
      <c r="O3415" t="s">
        <v>43167</v>
      </c>
      <c r="P3415">
        <v>0</v>
      </c>
      <c r="Q3415">
        <v>1</v>
      </c>
      <c r="R3415" t="s">
        <v>43171</v>
      </c>
      <c r="S3415" t="s">
        <v>43311</v>
      </c>
      <c r="T3415" t="s">
        <v>44704</v>
      </c>
      <c r="U3415" t="s">
        <v>48011</v>
      </c>
      <c r="W3415" t="s">
        <v>40640</v>
      </c>
      <c r="X3415" t="s">
        <v>43172</v>
      </c>
    </row>
    <row r="3416" spans="1:24">
      <c r="A3416">
        <f>HYPERLINK("https://www.philgeps.gov.ph/GEPSNONPILOT/Tender/SplashBidNoticeAbstractUI.aspx?menuIndex=3&amp;refID=7082058&amp;Result=3","7082058")</f>
        <v>0</v>
      </c>
      <c r="B3416" t="s">
        <v>422</v>
      </c>
      <c r="C3416" t="s">
        <v>6681</v>
      </c>
      <c r="D3416" t="s">
        <v>17455</v>
      </c>
      <c r="E3416" t="s">
        <v>20463</v>
      </c>
      <c r="F3416" t="s">
        <v>30052</v>
      </c>
      <c r="G3416" t="s">
        <v>30059</v>
      </c>
      <c r="H3416" t="s">
        <v>15498</v>
      </c>
      <c r="I3416" t="s">
        <v>7228</v>
      </c>
      <c r="J3416" t="s">
        <v>30292</v>
      </c>
      <c r="K3416" t="s">
        <v>39025</v>
      </c>
      <c r="M3416" t="s">
        <v>40641</v>
      </c>
      <c r="N3416" t="s">
        <v>43166</v>
      </c>
      <c r="O3416" t="s">
        <v>43167</v>
      </c>
      <c r="P3416">
        <v>0</v>
      </c>
      <c r="Q3416">
        <v>3</v>
      </c>
      <c r="R3416" t="s">
        <v>43171</v>
      </c>
      <c r="S3416" t="s">
        <v>43311</v>
      </c>
      <c r="T3416" t="s">
        <v>44773</v>
      </c>
      <c r="U3416" t="s">
        <v>48012</v>
      </c>
      <c r="W3416" t="s">
        <v>40641</v>
      </c>
      <c r="X3416" t="s">
        <v>43172</v>
      </c>
    </row>
    <row r="3417" spans="1:24">
      <c r="A3417">
        <f>HYPERLINK("https://www.philgeps.gov.ph/GEPSNONPILOT/Tender/SplashBidNoticeAbstractUI.aspx?menuIndex=3&amp;refID=7082098&amp;Result=3","7082098")</f>
        <v>0</v>
      </c>
      <c r="B3417" t="s">
        <v>674</v>
      </c>
      <c r="C3417" t="s">
        <v>6682</v>
      </c>
      <c r="D3417" t="s">
        <v>17422</v>
      </c>
      <c r="E3417" t="s">
        <v>17922</v>
      </c>
      <c r="F3417" t="s">
        <v>30052</v>
      </c>
      <c r="G3417" t="s">
        <v>30058</v>
      </c>
      <c r="H3417" t="s">
        <v>15498</v>
      </c>
      <c r="I3417" t="s">
        <v>3736</v>
      </c>
      <c r="J3417" t="s">
        <v>30585</v>
      </c>
      <c r="K3417" t="s">
        <v>39019</v>
      </c>
      <c r="M3417" t="s">
        <v>39980</v>
      </c>
      <c r="N3417" t="s">
        <v>43166</v>
      </c>
      <c r="O3417" t="s">
        <v>43167</v>
      </c>
      <c r="P3417">
        <v>0</v>
      </c>
      <c r="Q3417">
        <v>2</v>
      </c>
      <c r="R3417" t="s">
        <v>43171</v>
      </c>
      <c r="S3417" t="s">
        <v>43311</v>
      </c>
      <c r="T3417" t="s">
        <v>44869</v>
      </c>
      <c r="U3417" t="s">
        <v>46487</v>
      </c>
      <c r="W3417" t="s">
        <v>39980</v>
      </c>
      <c r="X3417" t="s">
        <v>43172</v>
      </c>
    </row>
    <row r="3418" spans="1:24">
      <c r="A3418">
        <f>HYPERLINK("https://www.philgeps.gov.ph/GEPSNONPILOT/Tender/SplashBidNoticeAbstractUI.aspx?menuIndex=3&amp;refID=7082086&amp;Result=3","7082086")</f>
        <v>0</v>
      </c>
      <c r="B3418" t="s">
        <v>1278</v>
      </c>
      <c r="C3418" t="s">
        <v>5044</v>
      </c>
      <c r="D3418" t="s">
        <v>17449</v>
      </c>
      <c r="E3418" t="s">
        <v>20464</v>
      </c>
      <c r="F3418" t="s">
        <v>30052</v>
      </c>
      <c r="G3418" t="s">
        <v>30062</v>
      </c>
      <c r="H3418" t="s">
        <v>15498</v>
      </c>
      <c r="I3418" t="s">
        <v>4119</v>
      </c>
      <c r="J3418" t="s">
        <v>30277</v>
      </c>
      <c r="K3418" t="s">
        <v>39017</v>
      </c>
      <c r="M3418" t="s">
        <v>40642</v>
      </c>
      <c r="N3418" t="s">
        <v>43166</v>
      </c>
      <c r="O3418" t="s">
        <v>43167</v>
      </c>
      <c r="P3418">
        <v>0</v>
      </c>
      <c r="Q3418">
        <v>0</v>
      </c>
      <c r="R3418" t="s">
        <v>43171</v>
      </c>
      <c r="S3418" t="s">
        <v>43311</v>
      </c>
      <c r="T3418" t="s">
        <v>44837</v>
      </c>
      <c r="U3418" t="s">
        <v>48013</v>
      </c>
      <c r="W3418" t="s">
        <v>40642</v>
      </c>
      <c r="X3418" t="s">
        <v>43172</v>
      </c>
    </row>
    <row r="3419" spans="1:24">
      <c r="A3419">
        <f>HYPERLINK("https://www.philgeps.gov.ph/GEPSNONPILOT/Tender/SplashBidNoticeAbstractUI.aspx?menuIndex=3&amp;refID=7082094&amp;Result=3","7082094")</f>
        <v>0</v>
      </c>
      <c r="B3419" t="s">
        <v>521</v>
      </c>
      <c r="C3419" t="s">
        <v>6683</v>
      </c>
      <c r="D3419" t="s">
        <v>17415</v>
      </c>
      <c r="E3419" t="s">
        <v>20465</v>
      </c>
      <c r="F3419" t="s">
        <v>30052</v>
      </c>
      <c r="G3419" t="s">
        <v>30061</v>
      </c>
      <c r="H3419" t="s">
        <v>15498</v>
      </c>
      <c r="I3419" t="s">
        <v>9238</v>
      </c>
      <c r="J3419" t="s">
        <v>30315</v>
      </c>
      <c r="K3419" t="s">
        <v>39019</v>
      </c>
      <c r="M3419" t="s">
        <v>39823</v>
      </c>
      <c r="N3419" t="s">
        <v>43166</v>
      </c>
      <c r="O3419" t="s">
        <v>43167</v>
      </c>
      <c r="P3419">
        <v>0</v>
      </c>
      <c r="Q3419">
        <v>2</v>
      </c>
      <c r="R3419" t="s">
        <v>43171</v>
      </c>
      <c r="S3419" t="s">
        <v>43311</v>
      </c>
      <c r="T3419" t="s">
        <v>44856</v>
      </c>
      <c r="U3419" t="s">
        <v>48014</v>
      </c>
      <c r="V3419" t="s">
        <v>57224</v>
      </c>
      <c r="W3419" t="s">
        <v>58603</v>
      </c>
      <c r="X3419" t="s">
        <v>43172</v>
      </c>
    </row>
    <row r="3420" spans="1:24">
      <c r="A3420">
        <f>HYPERLINK("https://www.philgeps.gov.ph/GEPSNONPILOT/Tender/SplashBidNoticeAbstractUI.aspx?menuIndex=3&amp;refID=7082063&amp;Result=3","7082063")</f>
        <v>0</v>
      </c>
      <c r="B3420" t="s">
        <v>1279</v>
      </c>
      <c r="C3420" t="s">
        <v>6684</v>
      </c>
      <c r="D3420" t="s">
        <v>17455</v>
      </c>
      <c r="E3420" t="s">
        <v>20466</v>
      </c>
      <c r="F3420" t="s">
        <v>30052</v>
      </c>
      <c r="G3420" t="s">
        <v>30058</v>
      </c>
      <c r="H3420" t="s">
        <v>15498</v>
      </c>
      <c r="I3420" t="s">
        <v>30074</v>
      </c>
      <c r="J3420" t="s">
        <v>32337</v>
      </c>
      <c r="K3420" t="s">
        <v>39025</v>
      </c>
      <c r="M3420" t="s">
        <v>40643</v>
      </c>
      <c r="N3420" t="s">
        <v>43166</v>
      </c>
      <c r="O3420" t="s">
        <v>43167</v>
      </c>
      <c r="P3420">
        <v>0</v>
      </c>
      <c r="Q3420">
        <v>4</v>
      </c>
      <c r="R3420" t="s">
        <v>43171</v>
      </c>
      <c r="S3420" t="s">
        <v>43311</v>
      </c>
      <c r="T3420" t="s">
        <v>44710</v>
      </c>
      <c r="U3420" t="s">
        <v>48015</v>
      </c>
      <c r="W3420" t="s">
        <v>40643</v>
      </c>
      <c r="X3420" t="s">
        <v>43172</v>
      </c>
    </row>
    <row r="3421" spans="1:24">
      <c r="A3421">
        <f>HYPERLINK("https://www.philgeps.gov.ph/GEPSNONPILOT/Tender/SplashBidNoticeAbstractUI.aspx?menuIndex=3&amp;refID=7082120&amp;Result=3","7082120")</f>
        <v>0</v>
      </c>
      <c r="B3421" t="s">
        <v>541</v>
      </c>
      <c r="C3421" t="s">
        <v>6685</v>
      </c>
      <c r="D3421" t="s">
        <v>17458</v>
      </c>
      <c r="E3421" t="s">
        <v>20467</v>
      </c>
      <c r="F3421" t="s">
        <v>30052</v>
      </c>
      <c r="G3421" t="s">
        <v>30062</v>
      </c>
      <c r="H3421" t="s">
        <v>15498</v>
      </c>
      <c r="I3421" t="s">
        <v>30109</v>
      </c>
      <c r="J3421" t="s">
        <v>32462</v>
      </c>
      <c r="K3421" t="s">
        <v>39017</v>
      </c>
      <c r="M3421" t="s">
        <v>39843</v>
      </c>
      <c r="N3421" t="s">
        <v>43166</v>
      </c>
      <c r="O3421" t="s">
        <v>43167</v>
      </c>
      <c r="P3421">
        <v>0</v>
      </c>
      <c r="Q3421">
        <v>1</v>
      </c>
      <c r="R3421" t="s">
        <v>43171</v>
      </c>
      <c r="S3421" t="s">
        <v>43311</v>
      </c>
      <c r="T3421" t="s">
        <v>44773</v>
      </c>
      <c r="U3421" t="s">
        <v>46423</v>
      </c>
      <c r="W3421" t="s">
        <v>58604</v>
      </c>
      <c r="X3421" t="s">
        <v>43172</v>
      </c>
    </row>
    <row r="3422" spans="1:24">
      <c r="A3422">
        <f>HYPERLINK("https://www.philgeps.gov.ph/GEPSNONPILOT/Tender/SplashBidNoticeAbstractUI.aspx?menuIndex=3&amp;refID=7082069&amp;Result=3","7082069")</f>
        <v>0</v>
      </c>
      <c r="B3422" t="s">
        <v>94</v>
      </c>
      <c r="C3422" t="s">
        <v>6686</v>
      </c>
      <c r="D3422" t="s">
        <v>17454</v>
      </c>
      <c r="E3422" t="s">
        <v>20468</v>
      </c>
      <c r="F3422" t="s">
        <v>30052</v>
      </c>
      <c r="G3422" t="s">
        <v>30060</v>
      </c>
      <c r="H3422" t="s">
        <v>15498</v>
      </c>
      <c r="I3422" t="s">
        <v>30096</v>
      </c>
      <c r="J3422" t="s">
        <v>30277</v>
      </c>
      <c r="K3422" t="s">
        <v>39017</v>
      </c>
      <c r="M3422" t="s">
        <v>39383</v>
      </c>
      <c r="N3422" t="s">
        <v>43166</v>
      </c>
      <c r="O3422" t="s">
        <v>43167</v>
      </c>
      <c r="P3422">
        <v>0</v>
      </c>
      <c r="Q3422">
        <v>5</v>
      </c>
      <c r="R3422" t="s">
        <v>43171</v>
      </c>
      <c r="S3422" t="s">
        <v>43311</v>
      </c>
      <c r="T3422" t="s">
        <v>44691</v>
      </c>
      <c r="U3422" t="s">
        <v>47758</v>
      </c>
      <c r="W3422" t="s">
        <v>39383</v>
      </c>
      <c r="X3422" t="s">
        <v>43172</v>
      </c>
    </row>
    <row r="3423" spans="1:24">
      <c r="A3423">
        <f>HYPERLINK("https://www.philgeps.gov.ph/GEPSNONPILOT/Tender/SplashBidNoticeAbstractUI.aspx?menuIndex=3&amp;refID=7082127&amp;Result=3","7082127")</f>
        <v>0</v>
      </c>
      <c r="B3423" t="s">
        <v>1280</v>
      </c>
      <c r="C3423" t="s">
        <v>6687</v>
      </c>
      <c r="D3423" t="s">
        <v>17461</v>
      </c>
      <c r="E3423" t="s">
        <v>20469</v>
      </c>
      <c r="F3423" t="s">
        <v>30052</v>
      </c>
      <c r="G3423" t="s">
        <v>30058</v>
      </c>
      <c r="H3423" t="s">
        <v>30067</v>
      </c>
      <c r="I3423" t="s">
        <v>30152</v>
      </c>
      <c r="J3423" t="s">
        <v>31734</v>
      </c>
      <c r="K3423" t="s">
        <v>39022</v>
      </c>
      <c r="M3423" t="s">
        <v>40644</v>
      </c>
      <c r="N3423" t="s">
        <v>43166</v>
      </c>
      <c r="O3423" t="s">
        <v>43167</v>
      </c>
      <c r="P3423">
        <v>0</v>
      </c>
      <c r="Q3423">
        <v>2</v>
      </c>
      <c r="R3423" t="s">
        <v>43171</v>
      </c>
      <c r="S3423" t="s">
        <v>43311</v>
      </c>
      <c r="T3423" t="s">
        <v>44941</v>
      </c>
      <c r="U3423" t="s">
        <v>48016</v>
      </c>
      <c r="W3423" t="s">
        <v>40644</v>
      </c>
      <c r="X3423" t="s">
        <v>43172</v>
      </c>
    </row>
    <row r="3424" spans="1:24">
      <c r="A3424">
        <f>HYPERLINK("https://www.philgeps.gov.ph/GEPSNONPILOT/Tender/SplashBidNoticeAbstractUI.aspx?menuIndex=3&amp;refID=7082096&amp;Result=3","7082096")</f>
        <v>0</v>
      </c>
      <c r="B3424" t="s">
        <v>145</v>
      </c>
      <c r="C3424" t="s">
        <v>6688</v>
      </c>
      <c r="D3424" t="s">
        <v>17453</v>
      </c>
      <c r="E3424" t="s">
        <v>20470</v>
      </c>
      <c r="F3424" t="s">
        <v>30052</v>
      </c>
      <c r="G3424" t="s">
        <v>30059</v>
      </c>
      <c r="H3424" t="s">
        <v>15498</v>
      </c>
      <c r="I3424" t="s">
        <v>4650</v>
      </c>
      <c r="J3424" t="s">
        <v>30277</v>
      </c>
      <c r="K3424" t="s">
        <v>39029</v>
      </c>
      <c r="M3424" t="s">
        <v>40626</v>
      </c>
      <c r="N3424" t="s">
        <v>43166</v>
      </c>
      <c r="O3424" t="s">
        <v>43167</v>
      </c>
      <c r="P3424">
        <v>0</v>
      </c>
      <c r="Q3424">
        <v>6</v>
      </c>
      <c r="R3424" t="s">
        <v>43171</v>
      </c>
      <c r="S3424" t="s">
        <v>43311</v>
      </c>
      <c r="T3424" t="s">
        <v>44956</v>
      </c>
      <c r="U3424" t="s">
        <v>48017</v>
      </c>
      <c r="W3424" t="s">
        <v>58631</v>
      </c>
      <c r="X3424" t="s">
        <v>43172</v>
      </c>
    </row>
    <row r="3425" spans="1:24">
      <c r="A3425">
        <f>HYPERLINK("https://www.philgeps.gov.ph/GEPSNONPILOT/Tender/SplashBidNoticeAbstractUI.aspx?menuIndex=3&amp;refID=7082075&amp;Result=3","7082075")</f>
        <v>0</v>
      </c>
      <c r="B3425" t="s">
        <v>1281</v>
      </c>
      <c r="C3425" t="s">
        <v>6689</v>
      </c>
      <c r="D3425" t="s">
        <v>17476</v>
      </c>
      <c r="E3425" t="s">
        <v>20471</v>
      </c>
      <c r="F3425" t="s">
        <v>30052</v>
      </c>
      <c r="G3425" t="s">
        <v>30058</v>
      </c>
      <c r="H3425" t="s">
        <v>15498</v>
      </c>
      <c r="I3425" t="s">
        <v>6691</v>
      </c>
      <c r="J3425" t="s">
        <v>30350</v>
      </c>
      <c r="K3425" t="s">
        <v>39019</v>
      </c>
      <c r="M3425" t="s">
        <v>40645</v>
      </c>
      <c r="N3425" t="s">
        <v>43166</v>
      </c>
      <c r="O3425" t="s">
        <v>43167</v>
      </c>
      <c r="P3425">
        <v>0</v>
      </c>
      <c r="Q3425">
        <v>0</v>
      </c>
      <c r="R3425" t="s">
        <v>43171</v>
      </c>
      <c r="S3425" t="s">
        <v>43311</v>
      </c>
      <c r="T3425" t="s">
        <v>44713</v>
      </c>
      <c r="U3425" t="s">
        <v>48018</v>
      </c>
      <c r="W3425" t="s">
        <v>40645</v>
      </c>
      <c r="X3425" t="s">
        <v>43172</v>
      </c>
    </row>
    <row r="3426" spans="1:24">
      <c r="A3426">
        <f>HYPERLINK("https://www.philgeps.gov.ph/GEPSNONPILOT/Tender/SplashBidNoticeAbstractUI.aspx?menuIndex=3&amp;refID=7082118&amp;Result=3","7082118")</f>
        <v>0</v>
      </c>
      <c r="B3426" t="s">
        <v>674</v>
      </c>
      <c r="C3426" t="s">
        <v>6690</v>
      </c>
      <c r="D3426" t="s">
        <v>17422</v>
      </c>
      <c r="E3426" t="s">
        <v>18410</v>
      </c>
      <c r="F3426" t="s">
        <v>30052</v>
      </c>
      <c r="G3426" t="s">
        <v>30058</v>
      </c>
      <c r="H3426" t="s">
        <v>15498</v>
      </c>
      <c r="I3426" t="s">
        <v>3736</v>
      </c>
      <c r="J3426" t="s">
        <v>31337</v>
      </c>
      <c r="K3426" t="s">
        <v>39019</v>
      </c>
      <c r="M3426" t="s">
        <v>39980</v>
      </c>
      <c r="N3426" t="s">
        <v>43166</v>
      </c>
      <c r="O3426" t="s">
        <v>43167</v>
      </c>
      <c r="P3426">
        <v>0</v>
      </c>
      <c r="Q3426">
        <v>2</v>
      </c>
      <c r="R3426" t="s">
        <v>43171</v>
      </c>
      <c r="S3426" t="s">
        <v>43311</v>
      </c>
      <c r="T3426" t="s">
        <v>44869</v>
      </c>
      <c r="U3426" t="s">
        <v>46487</v>
      </c>
      <c r="W3426" t="s">
        <v>39980</v>
      </c>
      <c r="X3426" t="s">
        <v>43172</v>
      </c>
    </row>
    <row r="3427" spans="1:24">
      <c r="A3427">
        <f>HYPERLINK("https://www.philgeps.gov.ph/GEPSNONPILOT/Tender/SplashBidNoticeAbstractUI.aspx?menuIndex=3&amp;refID=7082117&amp;Result=3","7082117")</f>
        <v>0</v>
      </c>
      <c r="B3427" t="s">
        <v>753</v>
      </c>
      <c r="C3427" t="s">
        <v>6691</v>
      </c>
      <c r="E3427" t="s">
        <v>20472</v>
      </c>
      <c r="F3427" t="s">
        <v>30052</v>
      </c>
      <c r="G3427" t="s">
        <v>30059</v>
      </c>
      <c r="H3427" t="s">
        <v>15498</v>
      </c>
      <c r="I3427" t="s">
        <v>6691</v>
      </c>
      <c r="J3427" t="s">
        <v>30248</v>
      </c>
      <c r="K3427" t="s">
        <v>39039</v>
      </c>
      <c r="M3427" t="s">
        <v>40067</v>
      </c>
      <c r="N3427" t="s">
        <v>43166</v>
      </c>
      <c r="O3427" t="s">
        <v>43167</v>
      </c>
      <c r="P3427">
        <v>0</v>
      </c>
      <c r="Q3427">
        <v>1</v>
      </c>
      <c r="R3427" t="s">
        <v>43171</v>
      </c>
      <c r="S3427" t="s">
        <v>43311</v>
      </c>
      <c r="T3427" t="s">
        <v>44870</v>
      </c>
      <c r="U3427" t="s">
        <v>48019</v>
      </c>
      <c r="W3427" t="s">
        <v>40067</v>
      </c>
      <c r="X3427" t="s">
        <v>43172</v>
      </c>
    </row>
    <row r="3428" spans="1:24">
      <c r="A3428">
        <f>HYPERLINK("https://www.philgeps.gov.ph/GEPSNONPILOT/Tender/SplashBidNoticeAbstractUI.aspx?menuIndex=3&amp;refID=7082119&amp;Result=3","7082119")</f>
        <v>0</v>
      </c>
      <c r="B3428" t="s">
        <v>1269</v>
      </c>
      <c r="C3428" t="s">
        <v>6692</v>
      </c>
      <c r="D3428" t="s">
        <v>17415</v>
      </c>
      <c r="E3428" t="s">
        <v>20473</v>
      </c>
      <c r="F3428" t="s">
        <v>30052</v>
      </c>
      <c r="G3428" t="s">
        <v>30059</v>
      </c>
      <c r="H3428" t="s">
        <v>15498</v>
      </c>
      <c r="I3428" t="s">
        <v>30100</v>
      </c>
      <c r="J3428" t="s">
        <v>30256</v>
      </c>
      <c r="K3428" t="s">
        <v>39034</v>
      </c>
      <c r="M3428" t="s">
        <v>40628</v>
      </c>
      <c r="N3428" t="s">
        <v>43166</v>
      </c>
      <c r="O3428" t="s">
        <v>43167</v>
      </c>
      <c r="P3428">
        <v>0</v>
      </c>
      <c r="Q3428">
        <v>2</v>
      </c>
      <c r="R3428" t="s">
        <v>43171</v>
      </c>
      <c r="S3428" t="s">
        <v>43311</v>
      </c>
      <c r="T3428" t="s">
        <v>44960</v>
      </c>
      <c r="U3428" t="s">
        <v>48020</v>
      </c>
      <c r="V3428" t="s">
        <v>57222</v>
      </c>
      <c r="W3428" t="s">
        <v>40628</v>
      </c>
      <c r="X3428" t="s">
        <v>43172</v>
      </c>
    </row>
    <row r="3429" spans="1:24">
      <c r="A3429">
        <f>HYPERLINK("https://www.philgeps.gov.ph/GEPSNONPILOT/Tender/SplashBidNoticeAbstractUI.aspx?menuIndex=3&amp;refID=7082115&amp;Result=3","7082115")</f>
        <v>0</v>
      </c>
      <c r="B3429" t="s">
        <v>1015</v>
      </c>
      <c r="C3429" t="s">
        <v>6693</v>
      </c>
      <c r="D3429" t="s">
        <v>17415</v>
      </c>
      <c r="E3429" t="s">
        <v>20474</v>
      </c>
      <c r="F3429" t="s">
        <v>30052</v>
      </c>
      <c r="G3429" t="s">
        <v>30062</v>
      </c>
      <c r="H3429" t="s">
        <v>30069</v>
      </c>
      <c r="I3429" t="s">
        <v>30100</v>
      </c>
      <c r="J3429" t="s">
        <v>32463</v>
      </c>
      <c r="K3429" t="s">
        <v>39017</v>
      </c>
      <c r="M3429" t="s">
        <v>40608</v>
      </c>
      <c r="N3429" t="s">
        <v>43166</v>
      </c>
      <c r="O3429" t="s">
        <v>43167</v>
      </c>
      <c r="P3429">
        <v>0</v>
      </c>
      <c r="Q3429">
        <v>0</v>
      </c>
      <c r="R3429" t="s">
        <v>43171</v>
      </c>
      <c r="S3429" t="s">
        <v>43311</v>
      </c>
      <c r="T3429" t="s">
        <v>44803</v>
      </c>
      <c r="U3429" t="s">
        <v>48021</v>
      </c>
      <c r="V3429" t="s">
        <v>57215</v>
      </c>
      <c r="W3429" t="s">
        <v>40608</v>
      </c>
      <c r="X3429" t="s">
        <v>43172</v>
      </c>
    </row>
    <row r="3430" spans="1:24">
      <c r="A3430">
        <f>HYPERLINK("https://www.philgeps.gov.ph/GEPSNONPILOT/Tender/SplashBidNoticeAbstractUI.aspx?menuIndex=3&amp;refID=7082111&amp;Result=3","7082111")</f>
        <v>0</v>
      </c>
      <c r="B3430" t="s">
        <v>409</v>
      </c>
      <c r="C3430" t="s">
        <v>6694</v>
      </c>
      <c r="D3430" t="s">
        <v>17473</v>
      </c>
      <c r="E3430" t="s">
        <v>20475</v>
      </c>
      <c r="F3430" t="s">
        <v>30052</v>
      </c>
      <c r="G3430" t="s">
        <v>30059</v>
      </c>
      <c r="H3430" t="s">
        <v>15498</v>
      </c>
      <c r="I3430" t="s">
        <v>30127</v>
      </c>
      <c r="J3430" t="s">
        <v>32464</v>
      </c>
      <c r="K3430" t="s">
        <v>39025</v>
      </c>
      <c r="M3430" t="s">
        <v>40032</v>
      </c>
      <c r="N3430" t="s">
        <v>43166</v>
      </c>
      <c r="O3430" t="s">
        <v>43167</v>
      </c>
      <c r="P3430">
        <v>0</v>
      </c>
      <c r="Q3430">
        <v>0</v>
      </c>
      <c r="R3430" t="s">
        <v>43171</v>
      </c>
      <c r="S3430" t="s">
        <v>43311</v>
      </c>
      <c r="T3430" t="s">
        <v>44737</v>
      </c>
      <c r="U3430" t="s">
        <v>48022</v>
      </c>
      <c r="W3430" t="s">
        <v>40032</v>
      </c>
      <c r="X3430" t="s">
        <v>43172</v>
      </c>
    </row>
    <row r="3431" spans="1:24">
      <c r="A3431">
        <f>HYPERLINK("https://www.philgeps.gov.ph/GEPSNONPILOT/Tender/SplashBidNoticeAbstractUI.aspx?menuIndex=3&amp;refID=7082107&amp;Result=3","7082107")</f>
        <v>0</v>
      </c>
      <c r="B3431" t="s">
        <v>1263</v>
      </c>
      <c r="C3431" t="s">
        <v>6695</v>
      </c>
      <c r="D3431" t="s">
        <v>17416</v>
      </c>
      <c r="E3431" t="s">
        <v>20476</v>
      </c>
      <c r="F3431" t="s">
        <v>30052</v>
      </c>
      <c r="G3431" t="s">
        <v>30059</v>
      </c>
      <c r="H3431" t="s">
        <v>15498</v>
      </c>
      <c r="I3431" t="s">
        <v>30078</v>
      </c>
      <c r="J3431" t="s">
        <v>32465</v>
      </c>
      <c r="K3431" t="s">
        <v>39017</v>
      </c>
      <c r="M3431" t="s">
        <v>40621</v>
      </c>
      <c r="N3431" t="s">
        <v>43166</v>
      </c>
      <c r="O3431" t="s">
        <v>43167</v>
      </c>
      <c r="P3431">
        <v>0</v>
      </c>
      <c r="Q3431">
        <v>0</v>
      </c>
      <c r="R3431" t="s">
        <v>43171</v>
      </c>
      <c r="S3431" t="s">
        <v>43311</v>
      </c>
      <c r="T3431" t="s">
        <v>44843</v>
      </c>
      <c r="U3431" t="s">
        <v>48023</v>
      </c>
      <c r="W3431" t="s">
        <v>40621</v>
      </c>
      <c r="X3431" t="s">
        <v>43172</v>
      </c>
    </row>
    <row r="3432" spans="1:24">
      <c r="A3432">
        <f>HYPERLINK("https://www.philgeps.gov.ph/GEPSNONPILOT/Tender/SplashBidNoticeAbstractUI.aspx?menuIndex=3&amp;refID=7082125&amp;Result=3","7082125")</f>
        <v>0</v>
      </c>
      <c r="B3432" t="s">
        <v>1282</v>
      </c>
      <c r="C3432" t="s">
        <v>6696</v>
      </c>
      <c r="D3432" t="s">
        <v>17467</v>
      </c>
      <c r="E3432" t="s">
        <v>20477</v>
      </c>
      <c r="F3432" t="s">
        <v>30052</v>
      </c>
      <c r="G3432" t="s">
        <v>30061</v>
      </c>
      <c r="H3432" t="s">
        <v>15498</v>
      </c>
      <c r="I3432" t="s">
        <v>3606</v>
      </c>
      <c r="J3432" t="s">
        <v>32466</v>
      </c>
      <c r="K3432" t="s">
        <v>39036</v>
      </c>
      <c r="L3432" t="s">
        <v>1282</v>
      </c>
      <c r="M3432" t="s">
        <v>40646</v>
      </c>
      <c r="N3432" t="s">
        <v>43166</v>
      </c>
      <c r="O3432" t="s">
        <v>43167</v>
      </c>
      <c r="P3432">
        <v>0</v>
      </c>
      <c r="Q3432">
        <v>0</v>
      </c>
      <c r="R3432" t="s">
        <v>43171</v>
      </c>
      <c r="S3432" t="s">
        <v>43311</v>
      </c>
      <c r="T3432" t="s">
        <v>44787</v>
      </c>
      <c r="U3432" t="s">
        <v>48024</v>
      </c>
      <c r="W3432" t="s">
        <v>40646</v>
      </c>
      <c r="X3432" t="s">
        <v>43172</v>
      </c>
    </row>
    <row r="3433" spans="1:24">
      <c r="A3433">
        <f>HYPERLINK("https://www.philgeps.gov.ph/GEPSNONPILOT/Tender/SplashBidNoticeAbstractUI.aspx?menuIndex=3&amp;refID=7082123&amp;Result=3","7082123")</f>
        <v>0</v>
      </c>
      <c r="B3433" t="s">
        <v>1283</v>
      </c>
      <c r="C3433" t="s">
        <v>6697</v>
      </c>
      <c r="D3433" t="s">
        <v>17475</v>
      </c>
      <c r="E3433" t="s">
        <v>20478</v>
      </c>
      <c r="F3433" t="s">
        <v>30052</v>
      </c>
      <c r="G3433" t="s">
        <v>30058</v>
      </c>
      <c r="H3433" t="s">
        <v>15498</v>
      </c>
      <c r="I3433" t="s">
        <v>30092</v>
      </c>
      <c r="J3433" t="s">
        <v>30248</v>
      </c>
      <c r="K3433" t="s">
        <v>39036</v>
      </c>
      <c r="M3433" t="s">
        <v>40647</v>
      </c>
      <c r="N3433" t="s">
        <v>43166</v>
      </c>
      <c r="O3433" t="s">
        <v>43167</v>
      </c>
      <c r="P3433">
        <v>0</v>
      </c>
      <c r="Q3433">
        <v>0</v>
      </c>
      <c r="R3433" t="s">
        <v>43171</v>
      </c>
      <c r="S3433" t="s">
        <v>43311</v>
      </c>
      <c r="T3433" t="s">
        <v>44744</v>
      </c>
      <c r="U3433" t="s">
        <v>48025</v>
      </c>
      <c r="W3433" t="s">
        <v>40647</v>
      </c>
      <c r="X3433" t="s">
        <v>43172</v>
      </c>
    </row>
    <row r="3434" spans="1:24">
      <c r="A3434">
        <f>HYPERLINK("https://www.philgeps.gov.ph/GEPSNONPILOT/Tender/SplashBidNoticeAbstractUI.aspx?menuIndex=3&amp;refID=7082101&amp;Result=3","7082101")</f>
        <v>0</v>
      </c>
      <c r="B3434" t="s">
        <v>1225</v>
      </c>
      <c r="C3434" t="s">
        <v>6698</v>
      </c>
      <c r="D3434" t="s">
        <v>17464</v>
      </c>
      <c r="E3434" t="s">
        <v>20479</v>
      </c>
      <c r="F3434" t="s">
        <v>30052</v>
      </c>
      <c r="G3434" t="s">
        <v>30061</v>
      </c>
      <c r="H3434" t="s">
        <v>15498</v>
      </c>
      <c r="I3434" t="s">
        <v>30124</v>
      </c>
      <c r="J3434" t="s">
        <v>30216</v>
      </c>
      <c r="K3434" t="s">
        <v>39046</v>
      </c>
      <c r="M3434" t="s">
        <v>40579</v>
      </c>
      <c r="N3434" t="s">
        <v>43166</v>
      </c>
      <c r="O3434" t="s">
        <v>43167</v>
      </c>
      <c r="P3434">
        <v>0</v>
      </c>
      <c r="Q3434">
        <v>4</v>
      </c>
      <c r="R3434" t="s">
        <v>43171</v>
      </c>
      <c r="S3434" t="s">
        <v>43311</v>
      </c>
      <c r="T3434" t="s">
        <v>44691</v>
      </c>
      <c r="U3434" t="s">
        <v>48026</v>
      </c>
      <c r="V3434" t="s">
        <v>57196</v>
      </c>
      <c r="W3434" t="s">
        <v>40579</v>
      </c>
      <c r="X3434" t="s">
        <v>43172</v>
      </c>
    </row>
    <row r="3435" spans="1:24">
      <c r="A3435">
        <f>HYPERLINK("https://www.philgeps.gov.ph/GEPSNONPILOT/Tender/SplashBidNoticeAbstractUI.aspx?menuIndex=3&amp;refID=7082071&amp;Result=3","7082071")</f>
        <v>0</v>
      </c>
      <c r="B3435" t="s">
        <v>1284</v>
      </c>
      <c r="C3435" t="s">
        <v>6699</v>
      </c>
      <c r="D3435" t="s">
        <v>17458</v>
      </c>
      <c r="E3435" t="s">
        <v>20480</v>
      </c>
      <c r="F3435" t="s">
        <v>30052</v>
      </c>
      <c r="G3435" t="s">
        <v>30059</v>
      </c>
      <c r="H3435" t="s">
        <v>15498</v>
      </c>
      <c r="I3435" t="s">
        <v>30081</v>
      </c>
      <c r="J3435" t="s">
        <v>30358</v>
      </c>
      <c r="K3435" t="s">
        <v>39017</v>
      </c>
      <c r="M3435" t="s">
        <v>40648</v>
      </c>
      <c r="N3435" t="s">
        <v>43166</v>
      </c>
      <c r="O3435" t="s">
        <v>43167</v>
      </c>
      <c r="P3435">
        <v>0</v>
      </c>
      <c r="Q3435">
        <v>1</v>
      </c>
      <c r="R3435" t="s">
        <v>43171</v>
      </c>
      <c r="S3435" t="s">
        <v>43311</v>
      </c>
      <c r="T3435" t="s">
        <v>44843</v>
      </c>
      <c r="U3435" t="s">
        <v>48027</v>
      </c>
      <c r="W3435" t="s">
        <v>40648</v>
      </c>
      <c r="X3435" t="s">
        <v>43172</v>
      </c>
    </row>
    <row r="3436" spans="1:24">
      <c r="A3436">
        <f>HYPERLINK("https://www.philgeps.gov.ph/GEPSNONPILOT/Tender/SplashBidNoticeAbstractUI.aspx?menuIndex=3&amp;refID=7082133&amp;Result=3","7082133")</f>
        <v>0</v>
      </c>
      <c r="B3436" t="s">
        <v>1285</v>
      </c>
      <c r="C3436" t="s">
        <v>6700</v>
      </c>
      <c r="D3436" t="s">
        <v>17447</v>
      </c>
      <c r="E3436" t="s">
        <v>20481</v>
      </c>
      <c r="F3436" t="s">
        <v>30052</v>
      </c>
      <c r="G3436" t="s">
        <v>30059</v>
      </c>
      <c r="H3436" t="s">
        <v>15498</v>
      </c>
      <c r="I3436" t="s">
        <v>6691</v>
      </c>
      <c r="J3436" t="s">
        <v>32467</v>
      </c>
      <c r="K3436" t="s">
        <v>39025</v>
      </c>
      <c r="M3436" t="s">
        <v>40649</v>
      </c>
      <c r="N3436" t="s">
        <v>43166</v>
      </c>
      <c r="O3436" t="s">
        <v>43167</v>
      </c>
      <c r="P3436">
        <v>0</v>
      </c>
      <c r="Q3436">
        <v>2</v>
      </c>
      <c r="R3436" t="s">
        <v>43171</v>
      </c>
      <c r="S3436" t="s">
        <v>43311</v>
      </c>
      <c r="T3436" t="s">
        <v>44841</v>
      </c>
      <c r="U3436" t="s">
        <v>48028</v>
      </c>
      <c r="W3436" t="s">
        <v>40649</v>
      </c>
      <c r="X3436" t="s">
        <v>43172</v>
      </c>
    </row>
    <row r="3437" spans="1:24">
      <c r="A3437">
        <f>HYPERLINK("https://www.philgeps.gov.ph/GEPSNONPILOT/Tender/SplashBidNoticeAbstractUI.aspx?menuIndex=3&amp;refID=7082108&amp;Result=3","7082108")</f>
        <v>0</v>
      </c>
      <c r="B3437" t="s">
        <v>741</v>
      </c>
      <c r="C3437" t="s">
        <v>6701</v>
      </c>
      <c r="D3437" t="s">
        <v>17425</v>
      </c>
      <c r="E3437" t="s">
        <v>20482</v>
      </c>
      <c r="F3437" t="s">
        <v>30052</v>
      </c>
      <c r="G3437" t="s">
        <v>30059</v>
      </c>
      <c r="H3437" t="s">
        <v>15498</v>
      </c>
      <c r="I3437" t="s">
        <v>9238</v>
      </c>
      <c r="J3437" t="s">
        <v>32468</v>
      </c>
      <c r="K3437" t="s">
        <v>39019</v>
      </c>
      <c r="M3437" t="s">
        <v>40055</v>
      </c>
      <c r="N3437" t="s">
        <v>43166</v>
      </c>
      <c r="O3437" t="s">
        <v>43167</v>
      </c>
      <c r="P3437">
        <v>0</v>
      </c>
      <c r="Q3437">
        <v>4</v>
      </c>
      <c r="R3437" t="s">
        <v>43171</v>
      </c>
      <c r="S3437" t="s">
        <v>43311</v>
      </c>
      <c r="T3437" t="s">
        <v>44696</v>
      </c>
      <c r="U3437" t="s">
        <v>48029</v>
      </c>
      <c r="V3437" t="s">
        <v>57225</v>
      </c>
      <c r="W3437" t="s">
        <v>40055</v>
      </c>
      <c r="X3437" t="s">
        <v>43172</v>
      </c>
    </row>
    <row r="3438" spans="1:24">
      <c r="A3438">
        <f>HYPERLINK("https://www.philgeps.gov.ph/GEPSNONPILOT/Tender/SplashBidNoticeAbstractUI.aspx?menuIndex=3&amp;refID=7082104&amp;Result=3","7082104")</f>
        <v>0</v>
      </c>
      <c r="B3438" t="s">
        <v>934</v>
      </c>
      <c r="C3438" t="s">
        <v>6702</v>
      </c>
      <c r="D3438" t="s">
        <v>17424</v>
      </c>
      <c r="E3438" t="s">
        <v>20483</v>
      </c>
      <c r="F3438" t="s">
        <v>30052</v>
      </c>
      <c r="G3438" t="s">
        <v>30059</v>
      </c>
      <c r="H3438" t="s">
        <v>15498</v>
      </c>
      <c r="I3438" t="s">
        <v>5961</v>
      </c>
      <c r="J3438" t="s">
        <v>31296</v>
      </c>
      <c r="K3438" t="s">
        <v>39029</v>
      </c>
      <c r="M3438" t="s">
        <v>40258</v>
      </c>
      <c r="N3438" t="s">
        <v>43166</v>
      </c>
      <c r="O3438" t="s">
        <v>43167</v>
      </c>
      <c r="P3438">
        <v>0</v>
      </c>
      <c r="Q3438">
        <v>2</v>
      </c>
      <c r="R3438" t="s">
        <v>43171</v>
      </c>
      <c r="S3438" t="s">
        <v>43311</v>
      </c>
      <c r="T3438" t="s">
        <v>44909</v>
      </c>
      <c r="U3438" t="s">
        <v>48030</v>
      </c>
      <c r="V3438" t="s">
        <v>57091</v>
      </c>
      <c r="W3438" t="s">
        <v>40258</v>
      </c>
      <c r="X3438" t="s">
        <v>43172</v>
      </c>
    </row>
    <row r="3439" spans="1:24">
      <c r="A3439">
        <f>HYPERLINK("https://www.philgeps.gov.ph/GEPSNONPILOT/Tender/SplashBidNoticeAbstractUI.aspx?menuIndex=3&amp;refID=7082153&amp;Result=3","7082153")</f>
        <v>0</v>
      </c>
      <c r="B3439" t="s">
        <v>759</v>
      </c>
      <c r="C3439" t="s">
        <v>6703</v>
      </c>
      <c r="D3439" t="s">
        <v>17416</v>
      </c>
      <c r="E3439" t="s">
        <v>20484</v>
      </c>
      <c r="F3439" t="s">
        <v>30052</v>
      </c>
      <c r="G3439" t="s">
        <v>30059</v>
      </c>
      <c r="H3439" t="s">
        <v>15498</v>
      </c>
      <c r="I3439" t="s">
        <v>3736</v>
      </c>
      <c r="J3439" t="s">
        <v>32469</v>
      </c>
      <c r="K3439" t="s">
        <v>39017</v>
      </c>
      <c r="M3439" t="s">
        <v>40073</v>
      </c>
      <c r="N3439" t="s">
        <v>43166</v>
      </c>
      <c r="O3439" t="s">
        <v>43167</v>
      </c>
      <c r="P3439">
        <v>0</v>
      </c>
      <c r="Q3439">
        <v>0</v>
      </c>
      <c r="R3439" t="s">
        <v>43171</v>
      </c>
      <c r="S3439" t="s">
        <v>43311</v>
      </c>
      <c r="T3439" t="s">
        <v>44806</v>
      </c>
      <c r="U3439" t="s">
        <v>48031</v>
      </c>
      <c r="W3439" t="s">
        <v>40073</v>
      </c>
      <c r="X3439" t="s">
        <v>43172</v>
      </c>
    </row>
    <row r="3440" spans="1:24">
      <c r="A3440">
        <f>HYPERLINK("https://www.philgeps.gov.ph/GEPSNONPILOT/Tender/SplashBidNoticeAbstractUI.aspx?menuIndex=3&amp;refID=7082100&amp;Result=3","7082100")</f>
        <v>0</v>
      </c>
      <c r="B3440" t="s">
        <v>1286</v>
      </c>
      <c r="C3440" t="s">
        <v>6704</v>
      </c>
      <c r="D3440" t="s">
        <v>17488</v>
      </c>
      <c r="E3440" t="s">
        <v>20485</v>
      </c>
      <c r="F3440" t="s">
        <v>30052</v>
      </c>
      <c r="G3440" t="s">
        <v>30058</v>
      </c>
      <c r="H3440" t="s">
        <v>15498</v>
      </c>
      <c r="I3440" t="s">
        <v>3736</v>
      </c>
      <c r="J3440" t="s">
        <v>32470</v>
      </c>
      <c r="K3440" t="s">
        <v>39023</v>
      </c>
      <c r="M3440" t="s">
        <v>40650</v>
      </c>
      <c r="N3440" t="s">
        <v>43166</v>
      </c>
      <c r="O3440" t="s">
        <v>43167</v>
      </c>
      <c r="P3440">
        <v>0</v>
      </c>
      <c r="Q3440">
        <v>1</v>
      </c>
      <c r="R3440" t="s">
        <v>43171</v>
      </c>
      <c r="S3440" t="s">
        <v>43311</v>
      </c>
      <c r="T3440" t="s">
        <v>44724</v>
      </c>
      <c r="U3440" t="s">
        <v>48032</v>
      </c>
      <c r="W3440" t="s">
        <v>40650</v>
      </c>
      <c r="X3440" t="s">
        <v>43172</v>
      </c>
    </row>
    <row r="3441" spans="1:24">
      <c r="A3441">
        <f>HYPERLINK("https://www.philgeps.gov.ph/GEPSNONPILOT/Tender/SplashBidNoticeAbstractUI.aspx?menuIndex=3&amp;refID=7082112&amp;Result=3","7082112")</f>
        <v>0</v>
      </c>
      <c r="B3441" t="s">
        <v>105</v>
      </c>
      <c r="C3441" t="s">
        <v>6705</v>
      </c>
      <c r="E3441" t="s">
        <v>20486</v>
      </c>
      <c r="F3441" t="s">
        <v>30052</v>
      </c>
      <c r="G3441" t="s">
        <v>30059</v>
      </c>
      <c r="H3441" t="s">
        <v>15498</v>
      </c>
      <c r="I3441" t="s">
        <v>4119</v>
      </c>
      <c r="J3441" t="s">
        <v>32471</v>
      </c>
      <c r="K3441" t="s">
        <v>39025</v>
      </c>
      <c r="M3441" t="s">
        <v>40651</v>
      </c>
      <c r="N3441" t="s">
        <v>43166</v>
      </c>
      <c r="O3441" t="s">
        <v>43167</v>
      </c>
      <c r="P3441">
        <v>0</v>
      </c>
      <c r="Q3441">
        <v>0</v>
      </c>
      <c r="R3441" t="s">
        <v>43171</v>
      </c>
      <c r="S3441" t="s">
        <v>43311</v>
      </c>
      <c r="T3441" t="s">
        <v>44724</v>
      </c>
      <c r="U3441" t="s">
        <v>48033</v>
      </c>
      <c r="W3441" t="s">
        <v>40651</v>
      </c>
      <c r="X3441" t="s">
        <v>43172</v>
      </c>
    </row>
    <row r="3442" spans="1:24">
      <c r="A3442">
        <f>HYPERLINK("https://www.philgeps.gov.ph/GEPSNONPILOT/Tender/SplashBidNoticeAbstractUI.aspx?menuIndex=3&amp;refID=7082131&amp;Result=3","7082131")</f>
        <v>0</v>
      </c>
      <c r="B3442" t="s">
        <v>324</v>
      </c>
      <c r="C3442" t="s">
        <v>6706</v>
      </c>
      <c r="D3442" t="s">
        <v>17441</v>
      </c>
      <c r="E3442" t="s">
        <v>20487</v>
      </c>
      <c r="F3442" t="s">
        <v>30052</v>
      </c>
      <c r="G3442" t="s">
        <v>30061</v>
      </c>
      <c r="H3442" t="s">
        <v>15498</v>
      </c>
      <c r="I3442" t="s">
        <v>4119</v>
      </c>
      <c r="J3442" t="s">
        <v>32472</v>
      </c>
      <c r="K3442" t="s">
        <v>39019</v>
      </c>
      <c r="M3442" t="s">
        <v>40652</v>
      </c>
      <c r="N3442" t="s">
        <v>43166</v>
      </c>
      <c r="O3442" t="s">
        <v>43167</v>
      </c>
      <c r="P3442">
        <v>0</v>
      </c>
      <c r="Q3442">
        <v>3</v>
      </c>
      <c r="R3442" t="s">
        <v>43171</v>
      </c>
      <c r="S3442" t="s">
        <v>43311</v>
      </c>
      <c r="T3442" t="s">
        <v>44717</v>
      </c>
      <c r="U3442" t="s">
        <v>48034</v>
      </c>
      <c r="W3442" t="s">
        <v>40652</v>
      </c>
      <c r="X3442" t="s">
        <v>43172</v>
      </c>
    </row>
    <row r="3443" spans="1:24">
      <c r="A3443">
        <f>HYPERLINK("https://www.philgeps.gov.ph/GEPSNONPILOT/Tender/SplashBidNoticeAbstractUI.aspx?menuIndex=3&amp;refID=7082161&amp;Result=3","7082161")</f>
        <v>0</v>
      </c>
      <c r="B3443" t="s">
        <v>1287</v>
      </c>
      <c r="C3443" t="s">
        <v>6707</v>
      </c>
      <c r="D3443" t="s">
        <v>17441</v>
      </c>
      <c r="E3443" t="s">
        <v>20488</v>
      </c>
      <c r="F3443" t="s">
        <v>30052</v>
      </c>
      <c r="G3443" t="s">
        <v>30058</v>
      </c>
      <c r="H3443" t="s">
        <v>30067</v>
      </c>
      <c r="I3443" t="s">
        <v>30163</v>
      </c>
      <c r="J3443" t="s">
        <v>32473</v>
      </c>
      <c r="K3443" t="s">
        <v>39025</v>
      </c>
      <c r="M3443" t="s">
        <v>40653</v>
      </c>
      <c r="N3443" t="s">
        <v>43166</v>
      </c>
      <c r="O3443" t="s">
        <v>43167</v>
      </c>
      <c r="P3443">
        <v>0</v>
      </c>
      <c r="Q3443">
        <v>1</v>
      </c>
      <c r="R3443" t="s">
        <v>43171</v>
      </c>
      <c r="S3443" t="s">
        <v>43311</v>
      </c>
      <c r="T3443" t="s">
        <v>44816</v>
      </c>
      <c r="U3443" t="s">
        <v>48035</v>
      </c>
      <c r="V3443" t="s">
        <v>57226</v>
      </c>
      <c r="W3443" t="s">
        <v>40653</v>
      </c>
      <c r="X3443" t="s">
        <v>43172</v>
      </c>
    </row>
    <row r="3444" spans="1:24">
      <c r="A3444">
        <f>HYPERLINK("https://www.philgeps.gov.ph/GEPSNONPILOT/Tender/SplashBidNoticeAbstractUI.aspx?menuIndex=3&amp;refID=7082156&amp;Result=3","7082156")</f>
        <v>0</v>
      </c>
      <c r="B3444" t="s">
        <v>1288</v>
      </c>
      <c r="C3444" t="s">
        <v>6708</v>
      </c>
      <c r="D3444" t="s">
        <v>17486</v>
      </c>
      <c r="E3444" t="s">
        <v>17892</v>
      </c>
      <c r="F3444" t="s">
        <v>30052</v>
      </c>
      <c r="G3444" t="s">
        <v>30058</v>
      </c>
      <c r="H3444" t="s">
        <v>15498</v>
      </c>
      <c r="I3444" t="s">
        <v>3606</v>
      </c>
      <c r="J3444" t="s">
        <v>31051</v>
      </c>
      <c r="K3444" t="s">
        <v>39017</v>
      </c>
      <c r="M3444" t="s">
        <v>40654</v>
      </c>
      <c r="N3444" t="s">
        <v>43166</v>
      </c>
      <c r="O3444" t="s">
        <v>43167</v>
      </c>
      <c r="P3444">
        <v>0</v>
      </c>
      <c r="Q3444">
        <v>1</v>
      </c>
      <c r="R3444" t="s">
        <v>43171</v>
      </c>
      <c r="S3444" t="s">
        <v>43311</v>
      </c>
      <c r="T3444" t="s">
        <v>44719</v>
      </c>
      <c r="U3444" t="s">
        <v>48036</v>
      </c>
      <c r="W3444" t="s">
        <v>40654</v>
      </c>
      <c r="X3444" t="s">
        <v>43172</v>
      </c>
    </row>
    <row r="3445" spans="1:24">
      <c r="A3445">
        <f>HYPERLINK("https://www.philgeps.gov.ph/GEPSNONPILOT/Tender/SplashBidNoticeAbstractUI.aspx?menuIndex=3&amp;refID=7082103&amp;Result=3","7082103")</f>
        <v>0</v>
      </c>
      <c r="B3445" t="s">
        <v>1289</v>
      </c>
      <c r="C3445" t="s">
        <v>6709</v>
      </c>
      <c r="D3445" t="s">
        <v>17456</v>
      </c>
      <c r="E3445" t="s">
        <v>20489</v>
      </c>
      <c r="F3445" t="s">
        <v>30052</v>
      </c>
      <c r="G3445" t="s">
        <v>30058</v>
      </c>
      <c r="H3445" t="s">
        <v>15498</v>
      </c>
      <c r="I3445" t="s">
        <v>30074</v>
      </c>
      <c r="J3445" t="s">
        <v>30281</v>
      </c>
      <c r="K3445" t="s">
        <v>39032</v>
      </c>
      <c r="M3445" t="s">
        <v>40655</v>
      </c>
      <c r="N3445" t="s">
        <v>43166</v>
      </c>
      <c r="O3445" t="s">
        <v>43167</v>
      </c>
      <c r="P3445">
        <v>0</v>
      </c>
      <c r="Q3445">
        <v>7</v>
      </c>
      <c r="R3445" t="s">
        <v>43171</v>
      </c>
      <c r="S3445" t="s">
        <v>43311</v>
      </c>
      <c r="T3445" t="s">
        <v>44789</v>
      </c>
      <c r="U3445" t="s">
        <v>48037</v>
      </c>
      <c r="V3445" t="s">
        <v>57227</v>
      </c>
      <c r="W3445" t="s">
        <v>40655</v>
      </c>
      <c r="X3445" t="s">
        <v>43172</v>
      </c>
    </row>
    <row r="3446" spans="1:24">
      <c r="A3446">
        <f>HYPERLINK("https://www.philgeps.gov.ph/GEPSNONPILOT/Tender/SplashBidNoticeAbstractUI.aspx?menuIndex=3&amp;refID=7082155&amp;Result=3","7082155")</f>
        <v>0</v>
      </c>
      <c r="B3446" t="s">
        <v>1290</v>
      </c>
      <c r="C3446" t="s">
        <v>6710</v>
      </c>
      <c r="D3446" t="s">
        <v>17488</v>
      </c>
      <c r="E3446" t="s">
        <v>20490</v>
      </c>
      <c r="F3446" t="s">
        <v>30052</v>
      </c>
      <c r="G3446" t="s">
        <v>30058</v>
      </c>
      <c r="H3446" t="s">
        <v>15498</v>
      </c>
      <c r="I3446" t="s">
        <v>4650</v>
      </c>
      <c r="J3446" t="s">
        <v>30600</v>
      </c>
      <c r="K3446" t="s">
        <v>39046</v>
      </c>
      <c r="M3446" t="s">
        <v>40656</v>
      </c>
      <c r="N3446" t="s">
        <v>43166</v>
      </c>
      <c r="O3446" t="s">
        <v>43167</v>
      </c>
      <c r="P3446">
        <v>0</v>
      </c>
      <c r="Q3446">
        <v>2</v>
      </c>
      <c r="R3446" t="s">
        <v>43171</v>
      </c>
      <c r="S3446" t="s">
        <v>43311</v>
      </c>
      <c r="T3446" t="s">
        <v>44710</v>
      </c>
      <c r="U3446" t="s">
        <v>48038</v>
      </c>
      <c r="W3446" t="s">
        <v>40656</v>
      </c>
      <c r="X3446" t="s">
        <v>43172</v>
      </c>
    </row>
    <row r="3447" spans="1:24">
      <c r="A3447">
        <f>HYPERLINK("https://www.philgeps.gov.ph/GEPSNONPILOT/Tender/SplashBidNoticeAbstractUI.aspx?menuIndex=3&amp;refID=7082152&amp;Result=3","7082152")</f>
        <v>0</v>
      </c>
      <c r="B3447" t="s">
        <v>1291</v>
      </c>
      <c r="C3447" t="s">
        <v>6711</v>
      </c>
      <c r="D3447" t="s">
        <v>17464</v>
      </c>
      <c r="E3447" t="s">
        <v>20491</v>
      </c>
      <c r="F3447" t="s">
        <v>30052</v>
      </c>
      <c r="G3447" t="s">
        <v>30063</v>
      </c>
      <c r="H3447" t="s">
        <v>30069</v>
      </c>
      <c r="I3447" t="s">
        <v>30072</v>
      </c>
      <c r="J3447" t="s">
        <v>32474</v>
      </c>
      <c r="K3447" t="s">
        <v>39125</v>
      </c>
      <c r="M3447" t="s">
        <v>40657</v>
      </c>
      <c r="N3447" t="s">
        <v>43166</v>
      </c>
      <c r="O3447" t="s">
        <v>43167</v>
      </c>
      <c r="P3447">
        <v>0</v>
      </c>
      <c r="Q3447">
        <v>2</v>
      </c>
      <c r="R3447" t="s">
        <v>43171</v>
      </c>
      <c r="S3447" t="s">
        <v>43311</v>
      </c>
      <c r="T3447" t="s">
        <v>44722</v>
      </c>
      <c r="U3447" t="s">
        <v>48039</v>
      </c>
      <c r="W3447" t="s">
        <v>40657</v>
      </c>
      <c r="X3447" t="s">
        <v>43172</v>
      </c>
    </row>
    <row r="3448" spans="1:24">
      <c r="A3448">
        <f>HYPERLINK("https://www.philgeps.gov.ph/GEPSNONPILOT/Tender/SplashBidNoticeAbstractUI.aspx?menuIndex=3&amp;refID=7082147&amp;Result=3","7082147")</f>
        <v>0</v>
      </c>
      <c r="B3448" t="s">
        <v>934</v>
      </c>
      <c r="C3448" t="s">
        <v>6712</v>
      </c>
      <c r="D3448" t="s">
        <v>17424</v>
      </c>
      <c r="E3448" t="s">
        <v>20492</v>
      </c>
      <c r="F3448" t="s">
        <v>30052</v>
      </c>
      <c r="G3448" t="s">
        <v>30059</v>
      </c>
      <c r="H3448" t="s">
        <v>15498</v>
      </c>
      <c r="I3448" t="s">
        <v>5961</v>
      </c>
      <c r="J3448" t="s">
        <v>32475</v>
      </c>
      <c r="K3448" t="s">
        <v>39029</v>
      </c>
      <c r="M3448" t="s">
        <v>40258</v>
      </c>
      <c r="N3448" t="s">
        <v>43166</v>
      </c>
      <c r="O3448" t="s">
        <v>43167</v>
      </c>
      <c r="P3448">
        <v>0</v>
      </c>
      <c r="Q3448">
        <v>2</v>
      </c>
      <c r="R3448" t="s">
        <v>43171</v>
      </c>
      <c r="S3448" t="s">
        <v>43311</v>
      </c>
      <c r="T3448" t="s">
        <v>44909</v>
      </c>
      <c r="U3448" t="s">
        <v>48040</v>
      </c>
      <c r="V3448" t="s">
        <v>57091</v>
      </c>
      <c r="W3448" t="s">
        <v>40258</v>
      </c>
      <c r="X3448" t="s">
        <v>43172</v>
      </c>
    </row>
    <row r="3449" spans="1:24">
      <c r="A3449">
        <f>HYPERLINK("https://www.philgeps.gov.ph/GEPSNONPILOT/Tender/SplashBidNoticeAbstractUI.aspx?menuIndex=3&amp;refID=7082146&amp;Result=3","7082146")</f>
        <v>0</v>
      </c>
      <c r="B3449" t="s">
        <v>674</v>
      </c>
      <c r="C3449" t="s">
        <v>6713</v>
      </c>
      <c r="D3449" t="s">
        <v>17422</v>
      </c>
      <c r="E3449" t="s">
        <v>18885</v>
      </c>
      <c r="F3449" t="s">
        <v>30052</v>
      </c>
      <c r="G3449" t="s">
        <v>30058</v>
      </c>
      <c r="H3449" t="s">
        <v>15498</v>
      </c>
      <c r="I3449" t="s">
        <v>3736</v>
      </c>
      <c r="J3449" t="s">
        <v>32476</v>
      </c>
      <c r="K3449" t="s">
        <v>39019</v>
      </c>
      <c r="M3449" t="s">
        <v>39980</v>
      </c>
      <c r="N3449" t="s">
        <v>43166</v>
      </c>
      <c r="O3449" t="s">
        <v>43167</v>
      </c>
      <c r="P3449">
        <v>0</v>
      </c>
      <c r="Q3449">
        <v>4</v>
      </c>
      <c r="R3449" t="s">
        <v>43171</v>
      </c>
      <c r="S3449" t="s">
        <v>43311</v>
      </c>
      <c r="T3449" t="s">
        <v>44869</v>
      </c>
      <c r="U3449" t="s">
        <v>46487</v>
      </c>
      <c r="W3449" t="s">
        <v>39980</v>
      </c>
      <c r="X3449" t="s">
        <v>43172</v>
      </c>
    </row>
    <row r="3450" spans="1:24">
      <c r="A3450">
        <f>HYPERLINK("https://www.philgeps.gov.ph/GEPSNONPILOT/Tender/SplashBidNoticeAbstractUI.aspx?menuIndex=3&amp;refID=7082141&amp;Result=3","7082141")</f>
        <v>0</v>
      </c>
      <c r="B3450" t="s">
        <v>105</v>
      </c>
      <c r="C3450" t="s">
        <v>6714</v>
      </c>
      <c r="E3450" t="s">
        <v>20493</v>
      </c>
      <c r="F3450" t="s">
        <v>30052</v>
      </c>
      <c r="G3450" t="s">
        <v>30059</v>
      </c>
      <c r="H3450" t="s">
        <v>15498</v>
      </c>
      <c r="I3450" t="s">
        <v>6691</v>
      </c>
      <c r="J3450" t="s">
        <v>32477</v>
      </c>
      <c r="K3450" t="s">
        <v>39025</v>
      </c>
      <c r="M3450" t="s">
        <v>39394</v>
      </c>
      <c r="N3450" t="s">
        <v>43166</v>
      </c>
      <c r="O3450" t="s">
        <v>43167</v>
      </c>
      <c r="P3450">
        <v>0</v>
      </c>
      <c r="Q3450">
        <v>0</v>
      </c>
      <c r="R3450" t="s">
        <v>43171</v>
      </c>
      <c r="S3450" t="s">
        <v>43311</v>
      </c>
      <c r="T3450" t="s">
        <v>44844</v>
      </c>
      <c r="U3450" t="s">
        <v>48041</v>
      </c>
      <c r="W3450" t="s">
        <v>39394</v>
      </c>
      <c r="X3450" t="s">
        <v>43172</v>
      </c>
    </row>
    <row r="3451" spans="1:24">
      <c r="A3451">
        <f>HYPERLINK("https://www.philgeps.gov.ph/GEPSNONPILOT/Tender/SplashBidNoticeAbstractUI.aspx?menuIndex=3&amp;refID=7082164&amp;Result=3","7082164")</f>
        <v>0</v>
      </c>
      <c r="B3451" t="s">
        <v>1292</v>
      </c>
      <c r="C3451" t="s">
        <v>6715</v>
      </c>
      <c r="D3451" t="s">
        <v>17424</v>
      </c>
      <c r="E3451" t="s">
        <v>17632</v>
      </c>
      <c r="F3451" t="s">
        <v>30052</v>
      </c>
      <c r="G3451" t="s">
        <v>30059</v>
      </c>
      <c r="H3451" t="s">
        <v>15498</v>
      </c>
      <c r="I3451" t="s">
        <v>30086</v>
      </c>
      <c r="J3451" t="s">
        <v>30995</v>
      </c>
      <c r="K3451" t="s">
        <v>39025</v>
      </c>
      <c r="M3451" t="s">
        <v>40658</v>
      </c>
      <c r="N3451" t="s">
        <v>43166</v>
      </c>
      <c r="O3451" t="s">
        <v>43167</v>
      </c>
      <c r="P3451">
        <v>0</v>
      </c>
      <c r="Q3451">
        <v>0</v>
      </c>
      <c r="R3451" t="s">
        <v>43171</v>
      </c>
      <c r="S3451" t="s">
        <v>43311</v>
      </c>
      <c r="T3451" t="s">
        <v>44773</v>
      </c>
      <c r="U3451" t="s">
        <v>48042</v>
      </c>
      <c r="V3451" t="s">
        <v>57228</v>
      </c>
      <c r="W3451" t="s">
        <v>40658</v>
      </c>
      <c r="X3451" t="s">
        <v>43172</v>
      </c>
    </row>
    <row r="3452" spans="1:24">
      <c r="A3452">
        <f>HYPERLINK("https://www.philgeps.gov.ph/GEPSNONPILOT/Tender/SplashBidNoticeAbstractUI.aspx?menuIndex=3&amp;refID=7082139&amp;Result=3","7082139")</f>
        <v>0</v>
      </c>
      <c r="B3452" t="s">
        <v>409</v>
      </c>
      <c r="C3452" t="s">
        <v>6694</v>
      </c>
      <c r="D3452" t="s">
        <v>17473</v>
      </c>
      <c r="E3452" t="s">
        <v>20494</v>
      </c>
      <c r="F3452" t="s">
        <v>30052</v>
      </c>
      <c r="G3452" t="s">
        <v>30059</v>
      </c>
      <c r="H3452" t="s">
        <v>15498</v>
      </c>
      <c r="I3452" t="s">
        <v>30127</v>
      </c>
      <c r="J3452" t="s">
        <v>32478</v>
      </c>
      <c r="K3452" t="s">
        <v>39025</v>
      </c>
      <c r="M3452" t="s">
        <v>40032</v>
      </c>
      <c r="N3452" t="s">
        <v>43166</v>
      </c>
      <c r="O3452" t="s">
        <v>43167</v>
      </c>
      <c r="P3452">
        <v>0</v>
      </c>
      <c r="Q3452">
        <v>0</v>
      </c>
      <c r="R3452" t="s">
        <v>43171</v>
      </c>
      <c r="S3452" t="s">
        <v>43311</v>
      </c>
      <c r="T3452" t="s">
        <v>44737</v>
      </c>
      <c r="U3452" t="s">
        <v>48043</v>
      </c>
      <c r="W3452" t="s">
        <v>40032</v>
      </c>
      <c r="X3452" t="s">
        <v>43172</v>
      </c>
    </row>
    <row r="3453" spans="1:24">
      <c r="A3453">
        <f>HYPERLINK("https://www.philgeps.gov.ph/GEPSNONPILOT/Tender/SplashBidNoticeAbstractUI.aspx?menuIndex=3&amp;refID=7082149&amp;Result=3","7082149")</f>
        <v>0</v>
      </c>
      <c r="B3453" t="s">
        <v>1233</v>
      </c>
      <c r="C3453" t="s">
        <v>6602</v>
      </c>
      <c r="D3453" t="s">
        <v>17442</v>
      </c>
      <c r="E3453" t="s">
        <v>20495</v>
      </c>
      <c r="F3453" t="s">
        <v>30052</v>
      </c>
      <c r="G3453" t="s">
        <v>30059</v>
      </c>
      <c r="H3453" t="s">
        <v>15498</v>
      </c>
      <c r="I3453" t="s">
        <v>30076</v>
      </c>
      <c r="J3453" t="s">
        <v>32479</v>
      </c>
      <c r="K3453" t="s">
        <v>39034</v>
      </c>
      <c r="M3453" t="s">
        <v>40587</v>
      </c>
      <c r="N3453" t="s">
        <v>43166</v>
      </c>
      <c r="O3453" t="s">
        <v>43167</v>
      </c>
      <c r="P3453">
        <v>0</v>
      </c>
      <c r="Q3453">
        <v>1</v>
      </c>
      <c r="R3453" t="s">
        <v>43171</v>
      </c>
      <c r="S3453" t="s">
        <v>43311</v>
      </c>
      <c r="T3453" t="s">
        <v>44773</v>
      </c>
      <c r="U3453" t="s">
        <v>48044</v>
      </c>
      <c r="W3453" t="s">
        <v>40587</v>
      </c>
      <c r="X3453" t="s">
        <v>43172</v>
      </c>
    </row>
    <row r="3454" spans="1:24">
      <c r="A3454">
        <f>HYPERLINK("https://www.philgeps.gov.ph/GEPSNONPILOT/Tender/SplashBidNoticeAbstractUI.aspx?menuIndex=3&amp;refID=7082135&amp;Result=3","7082135")</f>
        <v>0</v>
      </c>
      <c r="B3454" t="s">
        <v>759</v>
      </c>
      <c r="C3454" t="s">
        <v>6716</v>
      </c>
      <c r="D3454" t="s">
        <v>17416</v>
      </c>
      <c r="E3454" t="s">
        <v>20496</v>
      </c>
      <c r="F3454" t="s">
        <v>30052</v>
      </c>
      <c r="G3454" t="s">
        <v>30059</v>
      </c>
      <c r="H3454" t="s">
        <v>15498</v>
      </c>
      <c r="I3454" t="s">
        <v>3736</v>
      </c>
      <c r="J3454" t="s">
        <v>32480</v>
      </c>
      <c r="K3454" t="s">
        <v>39017</v>
      </c>
      <c r="M3454" t="s">
        <v>40073</v>
      </c>
      <c r="N3454" t="s">
        <v>43166</v>
      </c>
      <c r="O3454" t="s">
        <v>43167</v>
      </c>
      <c r="P3454">
        <v>0</v>
      </c>
      <c r="Q3454">
        <v>0</v>
      </c>
      <c r="R3454" t="s">
        <v>43171</v>
      </c>
      <c r="S3454" t="s">
        <v>43311</v>
      </c>
      <c r="T3454" t="s">
        <v>44806</v>
      </c>
      <c r="U3454" t="s">
        <v>48045</v>
      </c>
      <c r="W3454" t="s">
        <v>40073</v>
      </c>
      <c r="X3454" t="s">
        <v>43172</v>
      </c>
    </row>
    <row r="3455" spans="1:24">
      <c r="A3455">
        <f>HYPERLINK("https://www.philgeps.gov.ph/GEPSNONPILOT/Tender/SplashBidNoticeAbstractUI.aspx?menuIndex=3&amp;refID=7082140&amp;Result=3","7082140")</f>
        <v>0</v>
      </c>
      <c r="B3455" t="s">
        <v>1234</v>
      </c>
      <c r="C3455" t="s">
        <v>6717</v>
      </c>
      <c r="D3455" t="s">
        <v>17415</v>
      </c>
      <c r="E3455" t="s">
        <v>20497</v>
      </c>
      <c r="F3455" t="s">
        <v>30052</v>
      </c>
      <c r="G3455" t="s">
        <v>30062</v>
      </c>
      <c r="H3455" t="s">
        <v>15498</v>
      </c>
      <c r="I3455" t="s">
        <v>4119</v>
      </c>
      <c r="J3455" t="s">
        <v>30337</v>
      </c>
      <c r="K3455" t="s">
        <v>39017</v>
      </c>
      <c r="M3455" t="s">
        <v>40588</v>
      </c>
      <c r="N3455" t="s">
        <v>43166</v>
      </c>
      <c r="O3455" t="s">
        <v>43167</v>
      </c>
      <c r="P3455">
        <v>0</v>
      </c>
      <c r="Q3455">
        <v>9</v>
      </c>
      <c r="R3455" t="s">
        <v>43171</v>
      </c>
      <c r="S3455" t="s">
        <v>43311</v>
      </c>
      <c r="T3455" t="s">
        <v>44691</v>
      </c>
      <c r="U3455" t="s">
        <v>48046</v>
      </c>
      <c r="W3455" t="s">
        <v>40588</v>
      </c>
      <c r="X3455" t="s">
        <v>43172</v>
      </c>
    </row>
    <row r="3456" spans="1:24">
      <c r="A3456">
        <f>HYPERLINK("https://www.philgeps.gov.ph/GEPSNONPILOT/Tender/SplashBidNoticeAbstractUI.aspx?menuIndex=3&amp;refID=7082151&amp;Result=3","7082151")</f>
        <v>0</v>
      </c>
      <c r="B3456" t="s">
        <v>1293</v>
      </c>
      <c r="C3456" t="s">
        <v>6718</v>
      </c>
      <c r="D3456" t="s">
        <v>17415</v>
      </c>
      <c r="E3456" t="s">
        <v>18728</v>
      </c>
      <c r="F3456" t="s">
        <v>30052</v>
      </c>
      <c r="G3456" t="s">
        <v>30061</v>
      </c>
      <c r="H3456" t="s">
        <v>15498</v>
      </c>
      <c r="I3456" t="s">
        <v>30084</v>
      </c>
      <c r="J3456" t="s">
        <v>32481</v>
      </c>
      <c r="K3456" t="s">
        <v>39025</v>
      </c>
      <c r="M3456" t="s">
        <v>40659</v>
      </c>
      <c r="N3456" t="s">
        <v>43166</v>
      </c>
      <c r="O3456" t="s">
        <v>43167</v>
      </c>
      <c r="P3456">
        <v>0</v>
      </c>
      <c r="Q3456">
        <v>19</v>
      </c>
      <c r="R3456" t="s">
        <v>43171</v>
      </c>
      <c r="S3456" t="s">
        <v>43311</v>
      </c>
      <c r="T3456" t="s">
        <v>44837</v>
      </c>
      <c r="U3456" t="s">
        <v>48047</v>
      </c>
      <c r="W3456" t="s">
        <v>40659</v>
      </c>
      <c r="X3456" t="s">
        <v>43172</v>
      </c>
    </row>
    <row r="3457" spans="1:24">
      <c r="A3457">
        <f>HYPERLINK("https://www.philgeps.gov.ph/GEPSNONPILOT/Tender/SplashBidNoticeAbstractUI.aspx?menuIndex=3&amp;refID=7082207&amp;Result=3","7082207")</f>
        <v>0</v>
      </c>
      <c r="B3457" t="s">
        <v>759</v>
      </c>
      <c r="C3457" t="s">
        <v>6719</v>
      </c>
      <c r="D3457" t="s">
        <v>17416</v>
      </c>
      <c r="E3457" t="s">
        <v>20498</v>
      </c>
      <c r="F3457" t="s">
        <v>30052</v>
      </c>
      <c r="G3457" t="s">
        <v>30059</v>
      </c>
      <c r="H3457" t="s">
        <v>15498</v>
      </c>
      <c r="I3457" t="s">
        <v>3736</v>
      </c>
      <c r="J3457" t="s">
        <v>32482</v>
      </c>
      <c r="K3457" t="s">
        <v>39017</v>
      </c>
      <c r="M3457" t="s">
        <v>40073</v>
      </c>
      <c r="N3457" t="s">
        <v>43166</v>
      </c>
      <c r="O3457" t="s">
        <v>43167</v>
      </c>
      <c r="P3457">
        <v>0</v>
      </c>
      <c r="Q3457">
        <v>0</v>
      </c>
      <c r="R3457" t="s">
        <v>43171</v>
      </c>
      <c r="S3457" t="s">
        <v>43311</v>
      </c>
      <c r="T3457" t="s">
        <v>44806</v>
      </c>
      <c r="U3457" t="s">
        <v>48048</v>
      </c>
      <c r="W3457" t="s">
        <v>40073</v>
      </c>
      <c r="X3457" t="s">
        <v>43172</v>
      </c>
    </row>
    <row r="3458" spans="1:24">
      <c r="A3458">
        <f>HYPERLINK("https://www.philgeps.gov.ph/GEPSNONPILOT/Tender/SplashBidNoticeAbstractUI.aspx?menuIndex=3&amp;refID=7082206&amp;Result=3","7082206")</f>
        <v>0</v>
      </c>
      <c r="B3458" t="s">
        <v>1294</v>
      </c>
      <c r="C3458" t="s">
        <v>6720</v>
      </c>
      <c r="D3458" t="s">
        <v>17466</v>
      </c>
      <c r="E3458" t="s">
        <v>20499</v>
      </c>
      <c r="F3458" t="s">
        <v>30052</v>
      </c>
      <c r="G3458" t="s">
        <v>30058</v>
      </c>
      <c r="H3458" t="s">
        <v>15498</v>
      </c>
      <c r="I3458" t="s">
        <v>30085</v>
      </c>
      <c r="J3458" t="s">
        <v>32483</v>
      </c>
      <c r="K3458" t="s">
        <v>39025</v>
      </c>
      <c r="M3458" t="s">
        <v>40660</v>
      </c>
      <c r="N3458" t="s">
        <v>43166</v>
      </c>
      <c r="O3458" t="s">
        <v>43167</v>
      </c>
      <c r="P3458">
        <v>0</v>
      </c>
      <c r="Q3458">
        <v>0</v>
      </c>
      <c r="R3458" t="s">
        <v>43171</v>
      </c>
      <c r="S3458" t="s">
        <v>43311</v>
      </c>
      <c r="T3458" t="s">
        <v>44796</v>
      </c>
      <c r="U3458" t="s">
        <v>48049</v>
      </c>
      <c r="W3458" t="s">
        <v>40660</v>
      </c>
      <c r="X3458" t="s">
        <v>43172</v>
      </c>
    </row>
    <row r="3459" spans="1:24">
      <c r="A3459">
        <f>HYPERLINK("https://www.philgeps.gov.ph/GEPSNONPILOT/Tender/SplashBidNoticeAbstractUI.aspx?menuIndex=3&amp;refID=7082192&amp;Result=3","7082192")</f>
        <v>0</v>
      </c>
      <c r="B3459" t="s">
        <v>759</v>
      </c>
      <c r="C3459" t="s">
        <v>6721</v>
      </c>
      <c r="D3459" t="s">
        <v>17416</v>
      </c>
      <c r="E3459" t="s">
        <v>20500</v>
      </c>
      <c r="F3459" t="s">
        <v>30052</v>
      </c>
      <c r="G3459" t="s">
        <v>30059</v>
      </c>
      <c r="H3459" t="s">
        <v>15498</v>
      </c>
      <c r="I3459" t="s">
        <v>3852</v>
      </c>
      <c r="J3459" t="s">
        <v>30250</v>
      </c>
      <c r="K3459" t="s">
        <v>39017</v>
      </c>
      <c r="M3459" t="s">
        <v>40073</v>
      </c>
      <c r="N3459" t="s">
        <v>43166</v>
      </c>
      <c r="O3459" t="s">
        <v>43167</v>
      </c>
      <c r="P3459">
        <v>0</v>
      </c>
      <c r="Q3459">
        <v>2</v>
      </c>
      <c r="R3459" t="s">
        <v>43171</v>
      </c>
      <c r="S3459" t="s">
        <v>43311</v>
      </c>
      <c r="T3459" t="s">
        <v>44806</v>
      </c>
      <c r="U3459" t="s">
        <v>48050</v>
      </c>
      <c r="W3459" t="s">
        <v>40073</v>
      </c>
      <c r="X3459" t="s">
        <v>43172</v>
      </c>
    </row>
    <row r="3460" spans="1:24">
      <c r="A3460">
        <f>HYPERLINK("https://www.philgeps.gov.ph/GEPSNONPILOT/Tender/SplashBidNoticeAbstractUI.aspx?menuIndex=3&amp;refID=7082142&amp;Result=3","7082142")</f>
        <v>0</v>
      </c>
      <c r="B3460" t="s">
        <v>1274</v>
      </c>
      <c r="C3460" t="s">
        <v>6722</v>
      </c>
      <c r="D3460" t="s">
        <v>17466</v>
      </c>
      <c r="E3460" t="s">
        <v>20501</v>
      </c>
      <c r="F3460" t="s">
        <v>30052</v>
      </c>
      <c r="G3460" t="s">
        <v>30059</v>
      </c>
      <c r="H3460" t="s">
        <v>15498</v>
      </c>
      <c r="I3460" t="s">
        <v>30145</v>
      </c>
      <c r="J3460" t="s">
        <v>30890</v>
      </c>
      <c r="K3460" t="s">
        <v>39039</v>
      </c>
      <c r="M3460" t="s">
        <v>40634</v>
      </c>
      <c r="N3460" t="s">
        <v>43166</v>
      </c>
      <c r="O3460" t="s">
        <v>43167</v>
      </c>
      <c r="P3460">
        <v>0</v>
      </c>
      <c r="Q3460">
        <v>0</v>
      </c>
      <c r="R3460" t="s">
        <v>43171</v>
      </c>
      <c r="S3460" t="s">
        <v>43311</v>
      </c>
      <c r="T3460" t="s">
        <v>44685</v>
      </c>
      <c r="U3460" t="s">
        <v>48051</v>
      </c>
      <c r="W3460" t="s">
        <v>40634</v>
      </c>
      <c r="X3460" t="s">
        <v>43172</v>
      </c>
    </row>
    <row r="3461" spans="1:24">
      <c r="A3461">
        <f>HYPERLINK("https://www.philgeps.gov.ph/GEPSNONPILOT/Tender/SplashBidNoticeAbstractUI.aspx?menuIndex=3&amp;refID=7082191&amp;Result=3","7082191")</f>
        <v>0</v>
      </c>
      <c r="B3461" t="s">
        <v>730</v>
      </c>
      <c r="C3461" t="s">
        <v>6723</v>
      </c>
      <c r="D3461" t="s">
        <v>17415</v>
      </c>
      <c r="E3461" t="s">
        <v>20502</v>
      </c>
      <c r="F3461" t="s">
        <v>30052</v>
      </c>
      <c r="G3461" t="s">
        <v>30059</v>
      </c>
      <c r="H3461" t="s">
        <v>15498</v>
      </c>
      <c r="I3461" t="s">
        <v>30103</v>
      </c>
      <c r="J3461" t="s">
        <v>32484</v>
      </c>
      <c r="K3461" t="s">
        <v>39025</v>
      </c>
      <c r="M3461" t="s">
        <v>40041</v>
      </c>
      <c r="N3461" t="s">
        <v>43166</v>
      </c>
      <c r="O3461" t="s">
        <v>43167</v>
      </c>
      <c r="P3461">
        <v>0</v>
      </c>
      <c r="Q3461">
        <v>8</v>
      </c>
      <c r="R3461" t="s">
        <v>43171</v>
      </c>
      <c r="S3461" t="s">
        <v>43311</v>
      </c>
      <c r="T3461" t="s">
        <v>44880</v>
      </c>
      <c r="U3461" t="s">
        <v>48052</v>
      </c>
      <c r="W3461" t="s">
        <v>40041</v>
      </c>
      <c r="X3461" t="s">
        <v>43172</v>
      </c>
    </row>
    <row r="3462" spans="1:24">
      <c r="A3462">
        <f>HYPERLINK("https://www.philgeps.gov.ph/GEPSNONPILOT/Tender/SplashBidNoticeAbstractUI.aspx?menuIndex=3&amp;refID=7082189&amp;Result=3","7082189")</f>
        <v>0</v>
      </c>
      <c r="B3462" t="s">
        <v>1295</v>
      </c>
      <c r="C3462" t="s">
        <v>6724</v>
      </c>
      <c r="D3462" t="s">
        <v>17485</v>
      </c>
      <c r="E3462" t="s">
        <v>20503</v>
      </c>
      <c r="F3462" t="s">
        <v>30052</v>
      </c>
      <c r="G3462" t="s">
        <v>30061</v>
      </c>
      <c r="H3462" t="s">
        <v>15498</v>
      </c>
      <c r="I3462" t="s">
        <v>30165</v>
      </c>
      <c r="J3462" t="s">
        <v>30250</v>
      </c>
      <c r="K3462" t="s">
        <v>39029</v>
      </c>
      <c r="M3462" t="s">
        <v>40661</v>
      </c>
      <c r="N3462" t="s">
        <v>43166</v>
      </c>
      <c r="O3462" t="s">
        <v>43167</v>
      </c>
      <c r="P3462">
        <v>0</v>
      </c>
      <c r="Q3462">
        <v>0</v>
      </c>
      <c r="R3462" t="s">
        <v>43171</v>
      </c>
      <c r="S3462" t="s">
        <v>43311</v>
      </c>
      <c r="T3462" t="s">
        <v>44829</v>
      </c>
      <c r="U3462" t="s">
        <v>48053</v>
      </c>
      <c r="W3462" t="s">
        <v>40661</v>
      </c>
      <c r="X3462" t="s">
        <v>43172</v>
      </c>
    </row>
    <row r="3463" spans="1:24">
      <c r="A3463">
        <f>HYPERLINK("https://www.philgeps.gov.ph/GEPSNONPILOT/Tender/SplashBidNoticeAbstractUI.aspx?menuIndex=3&amp;refID=7082185&amp;Result=3","7082185")</f>
        <v>0</v>
      </c>
      <c r="B3463" t="s">
        <v>1274</v>
      </c>
      <c r="C3463" t="s">
        <v>6725</v>
      </c>
      <c r="D3463" t="s">
        <v>17466</v>
      </c>
      <c r="E3463" t="s">
        <v>20504</v>
      </c>
      <c r="F3463" t="s">
        <v>30052</v>
      </c>
      <c r="G3463" t="s">
        <v>30059</v>
      </c>
      <c r="H3463" t="s">
        <v>15498</v>
      </c>
      <c r="I3463" t="s">
        <v>30114</v>
      </c>
      <c r="J3463" t="s">
        <v>32336</v>
      </c>
      <c r="K3463" t="s">
        <v>39039</v>
      </c>
      <c r="M3463" t="s">
        <v>40634</v>
      </c>
      <c r="N3463" t="s">
        <v>43166</v>
      </c>
      <c r="O3463" t="s">
        <v>43167</v>
      </c>
      <c r="P3463">
        <v>0</v>
      </c>
      <c r="Q3463">
        <v>0</v>
      </c>
      <c r="R3463" t="s">
        <v>43171</v>
      </c>
      <c r="S3463" t="s">
        <v>43311</v>
      </c>
      <c r="T3463" t="s">
        <v>44685</v>
      </c>
      <c r="U3463" t="s">
        <v>48054</v>
      </c>
      <c r="W3463" t="s">
        <v>40634</v>
      </c>
      <c r="X3463" t="s">
        <v>43172</v>
      </c>
    </row>
    <row r="3464" spans="1:24">
      <c r="A3464">
        <f>HYPERLINK("https://www.philgeps.gov.ph/GEPSNONPILOT/Tender/SplashBidNoticeAbstractUI.aspx?menuIndex=3&amp;refID=7082183&amp;Result=3","7082183")</f>
        <v>0</v>
      </c>
      <c r="B3464" t="s">
        <v>1296</v>
      </c>
      <c r="C3464" t="s">
        <v>6726</v>
      </c>
      <c r="D3464" t="s">
        <v>17437</v>
      </c>
      <c r="E3464" t="s">
        <v>20418</v>
      </c>
      <c r="F3464" t="s">
        <v>30052</v>
      </c>
      <c r="G3464" t="s">
        <v>30058</v>
      </c>
      <c r="H3464" t="s">
        <v>15498</v>
      </c>
      <c r="I3464" t="s">
        <v>3736</v>
      </c>
      <c r="J3464" t="s">
        <v>32485</v>
      </c>
      <c r="K3464" t="s">
        <v>39025</v>
      </c>
      <c r="M3464" t="s">
        <v>40662</v>
      </c>
      <c r="N3464" t="s">
        <v>43166</v>
      </c>
      <c r="O3464" t="s">
        <v>43167</v>
      </c>
      <c r="P3464">
        <v>0</v>
      </c>
      <c r="Q3464">
        <v>1</v>
      </c>
      <c r="R3464" t="s">
        <v>43171</v>
      </c>
      <c r="S3464" t="s">
        <v>43311</v>
      </c>
      <c r="T3464" t="s">
        <v>44842</v>
      </c>
      <c r="U3464" t="s">
        <v>48055</v>
      </c>
      <c r="W3464" t="s">
        <v>40662</v>
      </c>
      <c r="X3464" t="s">
        <v>43172</v>
      </c>
    </row>
    <row r="3465" spans="1:24">
      <c r="A3465">
        <f>HYPERLINK("https://www.philgeps.gov.ph/GEPSNONPILOT/Tender/SplashBidNoticeAbstractUI.aspx?menuIndex=3&amp;refID=7082181&amp;Result=3","7082181")</f>
        <v>0</v>
      </c>
      <c r="B3465" t="s">
        <v>1297</v>
      </c>
      <c r="C3465" t="s">
        <v>6727</v>
      </c>
      <c r="D3465" t="s">
        <v>17488</v>
      </c>
      <c r="E3465" t="s">
        <v>20505</v>
      </c>
      <c r="F3465" t="s">
        <v>30052</v>
      </c>
      <c r="G3465" t="s">
        <v>30061</v>
      </c>
      <c r="H3465" t="s">
        <v>15498</v>
      </c>
      <c r="I3465" t="s">
        <v>30171</v>
      </c>
      <c r="J3465" t="s">
        <v>32486</v>
      </c>
      <c r="K3465" t="s">
        <v>39034</v>
      </c>
      <c r="M3465" t="s">
        <v>40663</v>
      </c>
      <c r="N3465" t="s">
        <v>43166</v>
      </c>
      <c r="O3465" t="s">
        <v>43167</v>
      </c>
      <c r="P3465">
        <v>0</v>
      </c>
      <c r="Q3465">
        <v>0</v>
      </c>
      <c r="R3465" t="s">
        <v>43171</v>
      </c>
      <c r="S3465" t="s">
        <v>43311</v>
      </c>
      <c r="T3465" t="s">
        <v>44717</v>
      </c>
      <c r="U3465" t="s">
        <v>48056</v>
      </c>
      <c r="W3465" t="s">
        <v>40663</v>
      </c>
      <c r="X3465" t="s">
        <v>43172</v>
      </c>
    </row>
    <row r="3466" spans="1:24">
      <c r="A3466">
        <f>HYPERLINK("https://www.philgeps.gov.ph/GEPSNONPILOT/Tender/SplashBidNoticeAbstractUI.aspx?menuIndex=3&amp;refID=7082204&amp;Result=3","7082204")</f>
        <v>0</v>
      </c>
      <c r="B3466" t="s">
        <v>54</v>
      </c>
      <c r="C3466" t="s">
        <v>6728</v>
      </c>
      <c r="D3466" t="s">
        <v>17437</v>
      </c>
      <c r="E3466" t="s">
        <v>20506</v>
      </c>
      <c r="F3466" t="s">
        <v>30052</v>
      </c>
      <c r="G3466" t="s">
        <v>30058</v>
      </c>
      <c r="H3466" t="s">
        <v>30067</v>
      </c>
      <c r="I3466" t="s">
        <v>3693</v>
      </c>
      <c r="J3466" t="s">
        <v>32487</v>
      </c>
      <c r="K3466" t="s">
        <v>39031</v>
      </c>
      <c r="M3466" t="s">
        <v>39343</v>
      </c>
      <c r="N3466" t="s">
        <v>43166</v>
      </c>
      <c r="O3466" t="s">
        <v>43167</v>
      </c>
      <c r="P3466">
        <v>0</v>
      </c>
      <c r="Q3466">
        <v>0</v>
      </c>
      <c r="R3466" t="s">
        <v>43171</v>
      </c>
      <c r="S3466" t="s">
        <v>43311</v>
      </c>
      <c r="T3466" t="s">
        <v>44794</v>
      </c>
      <c r="U3466" t="s">
        <v>48057</v>
      </c>
      <c r="W3466" t="s">
        <v>39343</v>
      </c>
      <c r="X3466" t="s">
        <v>43172</v>
      </c>
    </row>
    <row r="3467" spans="1:24">
      <c r="A3467">
        <f>HYPERLINK("https://www.philgeps.gov.ph/GEPSNONPILOT/Tender/SplashBidNoticeAbstractUI.aspx?menuIndex=3&amp;refID=7082178&amp;Result=3","7082178")</f>
        <v>0</v>
      </c>
      <c r="B3467" t="s">
        <v>964</v>
      </c>
      <c r="C3467" t="s">
        <v>6729</v>
      </c>
      <c r="D3467" t="s">
        <v>17415</v>
      </c>
      <c r="E3467" t="s">
        <v>20507</v>
      </c>
      <c r="F3467" t="s">
        <v>30052</v>
      </c>
      <c r="G3467" t="s">
        <v>30061</v>
      </c>
      <c r="H3467" t="s">
        <v>15498</v>
      </c>
      <c r="I3467" t="s">
        <v>4119</v>
      </c>
      <c r="J3467" t="s">
        <v>32488</v>
      </c>
      <c r="K3467" t="s">
        <v>39017</v>
      </c>
      <c r="M3467" t="s">
        <v>40290</v>
      </c>
      <c r="N3467" t="s">
        <v>43166</v>
      </c>
      <c r="O3467" t="s">
        <v>43167</v>
      </c>
      <c r="P3467">
        <v>0</v>
      </c>
      <c r="Q3467">
        <v>18</v>
      </c>
      <c r="R3467" t="s">
        <v>43171</v>
      </c>
      <c r="S3467" t="s">
        <v>43311</v>
      </c>
      <c r="T3467" t="s">
        <v>44837</v>
      </c>
      <c r="U3467" t="s">
        <v>48058</v>
      </c>
      <c r="V3467" t="s">
        <v>57229</v>
      </c>
      <c r="W3467" t="s">
        <v>40290</v>
      </c>
      <c r="X3467" t="s">
        <v>43172</v>
      </c>
    </row>
    <row r="3468" spans="1:24">
      <c r="A3468">
        <f>HYPERLINK("https://www.philgeps.gov.ph/GEPSNONPILOT/Tender/SplashBidNoticeAbstractUI.aspx?menuIndex=3&amp;refID=7082240&amp;Result=3","7082240")</f>
        <v>0</v>
      </c>
      <c r="B3468" t="s">
        <v>1187</v>
      </c>
      <c r="C3468" t="s">
        <v>6730</v>
      </c>
      <c r="D3468" t="s">
        <v>17449</v>
      </c>
      <c r="E3468" t="s">
        <v>20508</v>
      </c>
      <c r="F3468" t="s">
        <v>30052</v>
      </c>
      <c r="G3468" t="s">
        <v>30059</v>
      </c>
      <c r="H3468" t="s">
        <v>15498</v>
      </c>
      <c r="I3468" t="s">
        <v>30110</v>
      </c>
      <c r="J3468" t="s">
        <v>30625</v>
      </c>
      <c r="K3468" t="s">
        <v>39019</v>
      </c>
      <c r="M3468" t="s">
        <v>40539</v>
      </c>
      <c r="N3468" t="s">
        <v>43166</v>
      </c>
      <c r="O3468" t="s">
        <v>43167</v>
      </c>
      <c r="P3468">
        <v>0</v>
      </c>
      <c r="Q3468">
        <v>3</v>
      </c>
      <c r="R3468" t="s">
        <v>43171</v>
      </c>
      <c r="S3468" t="s">
        <v>43311</v>
      </c>
      <c r="T3468" t="s">
        <v>44949</v>
      </c>
      <c r="U3468" t="s">
        <v>48059</v>
      </c>
      <c r="W3468" t="s">
        <v>40539</v>
      </c>
      <c r="X3468" t="s">
        <v>43172</v>
      </c>
    </row>
    <row r="3469" spans="1:24">
      <c r="A3469">
        <f>HYPERLINK("https://www.philgeps.gov.ph/GEPSNONPILOT/Tender/SplashBidNoticeAbstractUI.aspx?menuIndex=3&amp;refID=7082246&amp;Result=3","7082246")</f>
        <v>0</v>
      </c>
      <c r="B3469" t="s">
        <v>1298</v>
      </c>
      <c r="C3469" t="s">
        <v>6731</v>
      </c>
      <c r="D3469" t="s">
        <v>17434</v>
      </c>
      <c r="E3469" t="s">
        <v>20509</v>
      </c>
      <c r="F3469" t="s">
        <v>30052</v>
      </c>
      <c r="G3469" t="s">
        <v>30058</v>
      </c>
      <c r="H3469" t="s">
        <v>30067</v>
      </c>
      <c r="I3469" t="s">
        <v>3693</v>
      </c>
      <c r="J3469" t="s">
        <v>32489</v>
      </c>
      <c r="K3469" t="s">
        <v>39029</v>
      </c>
      <c r="M3469" t="s">
        <v>40664</v>
      </c>
      <c r="N3469" t="s">
        <v>43166</v>
      </c>
      <c r="O3469" t="s">
        <v>43167</v>
      </c>
      <c r="P3469">
        <v>0</v>
      </c>
      <c r="Q3469">
        <v>1</v>
      </c>
      <c r="R3469" t="s">
        <v>43171</v>
      </c>
      <c r="S3469" t="s">
        <v>43311</v>
      </c>
      <c r="T3469" t="s">
        <v>44699</v>
      </c>
      <c r="U3469" t="s">
        <v>48060</v>
      </c>
      <c r="W3469" t="s">
        <v>40664</v>
      </c>
      <c r="X3469" t="s">
        <v>43172</v>
      </c>
    </row>
    <row r="3470" spans="1:24">
      <c r="A3470">
        <f>HYPERLINK("https://www.philgeps.gov.ph/GEPSNONPILOT/Tender/SplashBidNoticeAbstractUI.aspx?menuIndex=3&amp;refID=7082138&amp;Result=3","7082138")</f>
        <v>0</v>
      </c>
      <c r="B3470" t="s">
        <v>1299</v>
      </c>
      <c r="C3470" t="s">
        <v>6732</v>
      </c>
      <c r="D3470" t="s">
        <v>17442</v>
      </c>
      <c r="E3470" t="s">
        <v>20510</v>
      </c>
      <c r="F3470" t="s">
        <v>30052</v>
      </c>
      <c r="G3470" t="s">
        <v>30059</v>
      </c>
      <c r="H3470" t="s">
        <v>15498</v>
      </c>
      <c r="I3470" t="s">
        <v>30124</v>
      </c>
      <c r="J3470" t="s">
        <v>30605</v>
      </c>
      <c r="K3470" t="s">
        <v>39031</v>
      </c>
      <c r="M3470" t="s">
        <v>40665</v>
      </c>
      <c r="N3470" t="s">
        <v>43166</v>
      </c>
      <c r="O3470" t="s">
        <v>43167</v>
      </c>
      <c r="P3470">
        <v>0</v>
      </c>
      <c r="Q3470">
        <v>4</v>
      </c>
      <c r="R3470" t="s">
        <v>43171</v>
      </c>
      <c r="S3470" t="s">
        <v>43311</v>
      </c>
      <c r="T3470" t="s">
        <v>44787</v>
      </c>
      <c r="U3470" t="s">
        <v>48061</v>
      </c>
      <c r="W3470" t="s">
        <v>40665</v>
      </c>
      <c r="X3470" t="s">
        <v>43172</v>
      </c>
    </row>
    <row r="3471" spans="1:24">
      <c r="A3471">
        <f>HYPERLINK("https://www.philgeps.gov.ph/GEPSNONPILOT/Tender/SplashBidNoticeAbstractUI.aspx?menuIndex=3&amp;refID=7082182&amp;Result=3","7082182")</f>
        <v>0</v>
      </c>
      <c r="B3471" t="s">
        <v>1290</v>
      </c>
      <c r="C3471" t="s">
        <v>6733</v>
      </c>
      <c r="D3471" t="s">
        <v>17488</v>
      </c>
      <c r="E3471" t="s">
        <v>20511</v>
      </c>
      <c r="F3471" t="s">
        <v>30052</v>
      </c>
      <c r="G3471" t="s">
        <v>30058</v>
      </c>
      <c r="H3471" t="s">
        <v>30067</v>
      </c>
      <c r="I3471" t="s">
        <v>3693</v>
      </c>
      <c r="J3471" t="s">
        <v>30813</v>
      </c>
      <c r="K3471" t="s">
        <v>39026</v>
      </c>
      <c r="M3471" t="s">
        <v>40656</v>
      </c>
      <c r="N3471" t="s">
        <v>43166</v>
      </c>
      <c r="O3471" t="s">
        <v>43167</v>
      </c>
      <c r="P3471">
        <v>0</v>
      </c>
      <c r="Q3471">
        <v>0</v>
      </c>
      <c r="R3471" t="s">
        <v>43171</v>
      </c>
      <c r="S3471" t="s">
        <v>43311</v>
      </c>
      <c r="T3471" t="s">
        <v>44750</v>
      </c>
      <c r="U3471" t="s">
        <v>48062</v>
      </c>
      <c r="W3471" t="s">
        <v>40656</v>
      </c>
      <c r="X3471" t="s">
        <v>43172</v>
      </c>
    </row>
    <row r="3472" spans="1:24">
      <c r="A3472">
        <f>HYPERLINK("https://www.philgeps.gov.ph/GEPSNONPILOT/Tender/SplashBidNoticeAbstractUI.aspx?menuIndex=3&amp;refID=7082243&amp;Result=3","7082243")</f>
        <v>0</v>
      </c>
      <c r="B3472" t="s">
        <v>54</v>
      </c>
      <c r="C3472" t="s">
        <v>6734</v>
      </c>
      <c r="D3472" t="s">
        <v>17437</v>
      </c>
      <c r="E3472" t="s">
        <v>20512</v>
      </c>
      <c r="F3472" t="s">
        <v>30052</v>
      </c>
      <c r="G3472" t="s">
        <v>30058</v>
      </c>
      <c r="H3472" t="s">
        <v>30067</v>
      </c>
      <c r="I3472" t="s">
        <v>3693</v>
      </c>
      <c r="J3472" t="s">
        <v>31564</v>
      </c>
      <c r="K3472" t="s">
        <v>39026</v>
      </c>
      <c r="M3472" t="s">
        <v>39343</v>
      </c>
      <c r="N3472" t="s">
        <v>43166</v>
      </c>
      <c r="O3472" t="s">
        <v>43167</v>
      </c>
      <c r="P3472">
        <v>0</v>
      </c>
      <c r="Q3472">
        <v>0</v>
      </c>
      <c r="R3472" t="s">
        <v>43171</v>
      </c>
      <c r="S3472" t="s">
        <v>43311</v>
      </c>
      <c r="T3472" t="s">
        <v>44963</v>
      </c>
      <c r="U3472" t="s">
        <v>48063</v>
      </c>
      <c r="W3472" t="s">
        <v>39343</v>
      </c>
      <c r="X3472" t="s">
        <v>43172</v>
      </c>
    </row>
    <row r="3473" spans="1:24">
      <c r="A3473">
        <f>HYPERLINK("https://www.philgeps.gov.ph/GEPSNONPILOT/Tender/SplashBidNoticeAbstractUI.aspx?menuIndex=3&amp;refID=7082241&amp;Result=3","7082241")</f>
        <v>0</v>
      </c>
      <c r="B3473" t="s">
        <v>1300</v>
      </c>
      <c r="C3473" t="s">
        <v>6735</v>
      </c>
      <c r="D3473" t="s">
        <v>17444</v>
      </c>
      <c r="E3473" t="s">
        <v>20513</v>
      </c>
      <c r="F3473" t="s">
        <v>30052</v>
      </c>
      <c r="G3473" t="s">
        <v>30058</v>
      </c>
      <c r="H3473" t="s">
        <v>30067</v>
      </c>
      <c r="I3473" t="s">
        <v>3736</v>
      </c>
      <c r="J3473" t="s">
        <v>32490</v>
      </c>
      <c r="K3473" t="s">
        <v>39022</v>
      </c>
      <c r="M3473" t="s">
        <v>40666</v>
      </c>
      <c r="N3473" t="s">
        <v>43166</v>
      </c>
      <c r="O3473" t="s">
        <v>43167</v>
      </c>
      <c r="P3473">
        <v>0</v>
      </c>
      <c r="Q3473">
        <v>4</v>
      </c>
      <c r="R3473" t="s">
        <v>43171</v>
      </c>
      <c r="S3473" t="s">
        <v>43311</v>
      </c>
      <c r="T3473" t="s">
        <v>44828</v>
      </c>
      <c r="U3473" t="s">
        <v>48064</v>
      </c>
      <c r="V3473" t="s">
        <v>57230</v>
      </c>
      <c r="W3473" t="s">
        <v>40666</v>
      </c>
      <c r="X3473" t="s">
        <v>43172</v>
      </c>
    </row>
    <row r="3474" spans="1:24">
      <c r="A3474">
        <f>HYPERLINK("https://www.philgeps.gov.ph/GEPSNONPILOT/Tender/SplashBidNoticeAbstractUI.aspx?menuIndex=3&amp;refID=7082239&amp;Result=3","7082239")</f>
        <v>0</v>
      </c>
      <c r="B3474" t="s">
        <v>1211</v>
      </c>
      <c r="C3474" t="s">
        <v>6736</v>
      </c>
      <c r="D3474" t="s">
        <v>17496</v>
      </c>
      <c r="E3474" t="s">
        <v>20514</v>
      </c>
      <c r="F3474" t="s">
        <v>30052</v>
      </c>
      <c r="G3474" t="s">
        <v>30059</v>
      </c>
      <c r="H3474" t="s">
        <v>15498</v>
      </c>
      <c r="I3474" t="s">
        <v>30128</v>
      </c>
      <c r="J3474" t="s">
        <v>32491</v>
      </c>
      <c r="K3474" t="s">
        <v>39018</v>
      </c>
      <c r="M3474" t="s">
        <v>40565</v>
      </c>
      <c r="N3474" t="s">
        <v>43166</v>
      </c>
      <c r="O3474" t="s">
        <v>43167</v>
      </c>
      <c r="P3474">
        <v>0</v>
      </c>
      <c r="Q3474">
        <v>3</v>
      </c>
      <c r="R3474" t="s">
        <v>43171</v>
      </c>
      <c r="S3474" t="s">
        <v>43311</v>
      </c>
      <c r="T3474" t="s">
        <v>44734</v>
      </c>
      <c r="U3474" t="s">
        <v>47852</v>
      </c>
      <c r="W3474" t="s">
        <v>40565</v>
      </c>
      <c r="X3474" t="s">
        <v>43172</v>
      </c>
    </row>
    <row r="3475" spans="1:24">
      <c r="A3475">
        <f>HYPERLINK("https://www.philgeps.gov.ph/GEPSNONPILOT/Tender/SplashBidNoticeAbstractUI.aspx?menuIndex=3&amp;refID=7082237&amp;Result=3","7082237")</f>
        <v>0</v>
      </c>
      <c r="B3475" t="s">
        <v>1165</v>
      </c>
      <c r="C3475" t="s">
        <v>6737</v>
      </c>
      <c r="D3475" t="s">
        <v>17475</v>
      </c>
      <c r="E3475" t="s">
        <v>20515</v>
      </c>
      <c r="F3475" t="s">
        <v>30052</v>
      </c>
      <c r="G3475" t="s">
        <v>30058</v>
      </c>
      <c r="H3475" t="s">
        <v>15498</v>
      </c>
      <c r="I3475" t="s">
        <v>30070</v>
      </c>
      <c r="J3475" t="s">
        <v>32492</v>
      </c>
      <c r="K3475" t="s">
        <v>39019</v>
      </c>
      <c r="M3475" t="s">
        <v>40667</v>
      </c>
      <c r="N3475" t="s">
        <v>43166</v>
      </c>
      <c r="O3475" t="s">
        <v>43167</v>
      </c>
      <c r="P3475">
        <v>0</v>
      </c>
      <c r="Q3475">
        <v>1</v>
      </c>
      <c r="R3475" t="s">
        <v>43171</v>
      </c>
      <c r="S3475" t="s">
        <v>43311</v>
      </c>
      <c r="T3475" t="s">
        <v>44758</v>
      </c>
      <c r="U3475" t="s">
        <v>47725</v>
      </c>
      <c r="W3475" t="s">
        <v>40667</v>
      </c>
      <c r="X3475" t="s">
        <v>43172</v>
      </c>
    </row>
    <row r="3476" spans="1:24">
      <c r="A3476">
        <f>HYPERLINK("https://www.philgeps.gov.ph/GEPSNONPILOT/Tender/SplashBidNoticeAbstractUI.aspx?menuIndex=3&amp;refID=7082236&amp;Result=3","7082236")</f>
        <v>0</v>
      </c>
      <c r="B3476" t="s">
        <v>50</v>
      </c>
      <c r="C3476" t="s">
        <v>6738</v>
      </c>
      <c r="D3476" t="s">
        <v>17433</v>
      </c>
      <c r="E3476" t="s">
        <v>20516</v>
      </c>
      <c r="F3476" t="s">
        <v>30052</v>
      </c>
      <c r="G3476" t="s">
        <v>30058</v>
      </c>
      <c r="H3476" t="s">
        <v>15498</v>
      </c>
      <c r="I3476" t="s">
        <v>30076</v>
      </c>
      <c r="J3476" t="s">
        <v>32493</v>
      </c>
      <c r="K3476" t="s">
        <v>39017</v>
      </c>
      <c r="M3476" t="s">
        <v>40640</v>
      </c>
      <c r="N3476" t="s">
        <v>43166</v>
      </c>
      <c r="O3476" t="s">
        <v>43167</v>
      </c>
      <c r="P3476">
        <v>0</v>
      </c>
      <c r="Q3476">
        <v>4</v>
      </c>
      <c r="R3476" t="s">
        <v>43171</v>
      </c>
      <c r="S3476" t="s">
        <v>43311</v>
      </c>
      <c r="T3476" t="s">
        <v>44704</v>
      </c>
      <c r="U3476" t="s">
        <v>48011</v>
      </c>
      <c r="W3476" t="s">
        <v>40640</v>
      </c>
      <c r="X3476" t="s">
        <v>43172</v>
      </c>
    </row>
    <row r="3477" spans="1:24">
      <c r="A3477">
        <f>HYPERLINK("https://www.philgeps.gov.ph/GEPSNONPILOT/Tender/SplashBidNoticeAbstractUI.aspx?menuIndex=3&amp;refID=7082235&amp;Result=3","7082235")</f>
        <v>0</v>
      </c>
      <c r="B3477" t="s">
        <v>1234</v>
      </c>
      <c r="C3477" t="s">
        <v>3590</v>
      </c>
      <c r="D3477" t="s">
        <v>17415</v>
      </c>
      <c r="E3477" t="s">
        <v>20517</v>
      </c>
      <c r="F3477" t="s">
        <v>30052</v>
      </c>
      <c r="G3477" t="s">
        <v>30062</v>
      </c>
      <c r="H3477" t="s">
        <v>15498</v>
      </c>
      <c r="I3477" t="s">
        <v>4119</v>
      </c>
      <c r="J3477" t="s">
        <v>30337</v>
      </c>
      <c r="K3477" t="s">
        <v>39017</v>
      </c>
      <c r="M3477" t="s">
        <v>40588</v>
      </c>
      <c r="N3477" t="s">
        <v>43166</v>
      </c>
      <c r="O3477" t="s">
        <v>43167</v>
      </c>
      <c r="P3477">
        <v>0</v>
      </c>
      <c r="Q3477">
        <v>5</v>
      </c>
      <c r="R3477" t="s">
        <v>43171</v>
      </c>
      <c r="S3477" t="s">
        <v>43311</v>
      </c>
      <c r="T3477" t="s">
        <v>44691</v>
      </c>
      <c r="U3477" t="s">
        <v>48065</v>
      </c>
      <c r="W3477" t="s">
        <v>40588</v>
      </c>
      <c r="X3477" t="s">
        <v>43172</v>
      </c>
    </row>
    <row r="3478" spans="1:24">
      <c r="A3478">
        <f>HYPERLINK("https://www.philgeps.gov.ph/GEPSNONPILOT/Tender/SplashBidNoticeAbstractUI.aspx?menuIndex=3&amp;refID=7082245&amp;Result=3","7082245")</f>
        <v>0</v>
      </c>
      <c r="B3478" t="s">
        <v>759</v>
      </c>
      <c r="C3478" t="s">
        <v>6739</v>
      </c>
      <c r="D3478" t="s">
        <v>17416</v>
      </c>
      <c r="E3478" t="s">
        <v>20518</v>
      </c>
      <c r="F3478" t="s">
        <v>30052</v>
      </c>
      <c r="G3478" t="s">
        <v>30059</v>
      </c>
      <c r="H3478" t="s">
        <v>15498</v>
      </c>
      <c r="I3478" t="s">
        <v>3852</v>
      </c>
      <c r="J3478" t="s">
        <v>30343</v>
      </c>
      <c r="K3478" t="s">
        <v>39034</v>
      </c>
      <c r="M3478" t="s">
        <v>40073</v>
      </c>
      <c r="N3478" t="s">
        <v>43166</v>
      </c>
      <c r="O3478" t="s">
        <v>43167</v>
      </c>
      <c r="P3478">
        <v>0</v>
      </c>
      <c r="Q3478">
        <v>7</v>
      </c>
      <c r="R3478" t="s">
        <v>43171</v>
      </c>
      <c r="S3478" t="s">
        <v>43311</v>
      </c>
      <c r="T3478" t="s">
        <v>44806</v>
      </c>
      <c r="U3478" t="s">
        <v>48066</v>
      </c>
      <c r="W3478" t="s">
        <v>40073</v>
      </c>
      <c r="X3478" t="s">
        <v>43172</v>
      </c>
    </row>
    <row r="3479" spans="1:24">
      <c r="A3479">
        <f>HYPERLINK("https://www.philgeps.gov.ph/GEPSNONPILOT/Tender/SplashBidNoticeAbstractUI.aspx?menuIndex=3&amp;refID=7082231&amp;Result=3","7082231")</f>
        <v>0</v>
      </c>
      <c r="B3479" t="s">
        <v>1301</v>
      </c>
      <c r="C3479" t="s">
        <v>6740</v>
      </c>
      <c r="D3479" t="s">
        <v>17445</v>
      </c>
      <c r="E3479" t="s">
        <v>20519</v>
      </c>
      <c r="F3479" t="s">
        <v>30052</v>
      </c>
      <c r="G3479" t="s">
        <v>30058</v>
      </c>
      <c r="H3479" t="s">
        <v>15498</v>
      </c>
      <c r="I3479" t="s">
        <v>30074</v>
      </c>
      <c r="J3479" t="s">
        <v>30321</v>
      </c>
      <c r="K3479" t="s">
        <v>39046</v>
      </c>
      <c r="M3479" t="s">
        <v>40668</v>
      </c>
      <c r="N3479" t="s">
        <v>43166</v>
      </c>
      <c r="O3479" t="s">
        <v>43167</v>
      </c>
      <c r="P3479">
        <v>0</v>
      </c>
      <c r="Q3479">
        <v>6</v>
      </c>
      <c r="R3479" t="s">
        <v>43171</v>
      </c>
      <c r="S3479" t="s">
        <v>43311</v>
      </c>
      <c r="T3479" t="s">
        <v>44684</v>
      </c>
      <c r="U3479" t="s">
        <v>48067</v>
      </c>
      <c r="V3479" t="s">
        <v>57231</v>
      </c>
      <c r="W3479" t="s">
        <v>40668</v>
      </c>
      <c r="X3479" t="s">
        <v>43172</v>
      </c>
    </row>
    <row r="3480" spans="1:24">
      <c r="A3480">
        <f>HYPERLINK("https://www.philgeps.gov.ph/GEPSNONPILOT/Tender/SplashBidNoticeAbstractUI.aspx?menuIndex=3&amp;refID=7082226&amp;Result=3","7082226")</f>
        <v>0</v>
      </c>
      <c r="B3480" t="s">
        <v>409</v>
      </c>
      <c r="C3480" t="s">
        <v>3838</v>
      </c>
      <c r="D3480" t="s">
        <v>17473</v>
      </c>
      <c r="E3480" t="s">
        <v>20520</v>
      </c>
      <c r="F3480" t="s">
        <v>30052</v>
      </c>
      <c r="G3480" t="s">
        <v>30059</v>
      </c>
      <c r="H3480" t="s">
        <v>15498</v>
      </c>
      <c r="I3480" t="s">
        <v>9238</v>
      </c>
      <c r="J3480" t="s">
        <v>30374</v>
      </c>
      <c r="K3480" t="s">
        <v>39025</v>
      </c>
      <c r="M3480" t="s">
        <v>40032</v>
      </c>
      <c r="N3480" t="s">
        <v>43166</v>
      </c>
      <c r="O3480" t="s">
        <v>43167</v>
      </c>
      <c r="P3480">
        <v>0</v>
      </c>
      <c r="Q3480">
        <v>8</v>
      </c>
      <c r="R3480" t="s">
        <v>43171</v>
      </c>
      <c r="S3480" t="s">
        <v>43311</v>
      </c>
      <c r="T3480" t="s">
        <v>44737</v>
      </c>
      <c r="U3480" t="s">
        <v>48068</v>
      </c>
      <c r="W3480" t="s">
        <v>40032</v>
      </c>
      <c r="X3480" t="s">
        <v>43172</v>
      </c>
    </row>
    <row r="3481" spans="1:24">
      <c r="A3481">
        <f>HYPERLINK("https://www.philgeps.gov.ph/GEPSNONPILOT/Tender/SplashBidNoticeAbstractUI.aspx?menuIndex=3&amp;refID=7082224&amp;Result=3","7082224")</f>
        <v>0</v>
      </c>
      <c r="B3481" t="s">
        <v>759</v>
      </c>
      <c r="C3481" t="s">
        <v>6741</v>
      </c>
      <c r="D3481" t="s">
        <v>17416</v>
      </c>
      <c r="E3481" t="s">
        <v>20521</v>
      </c>
      <c r="F3481" t="s">
        <v>30052</v>
      </c>
      <c r="G3481" t="s">
        <v>30059</v>
      </c>
      <c r="H3481" t="s">
        <v>15498</v>
      </c>
      <c r="I3481" t="s">
        <v>3736</v>
      </c>
      <c r="J3481" t="s">
        <v>32494</v>
      </c>
      <c r="K3481" t="s">
        <v>39017</v>
      </c>
      <c r="M3481" t="s">
        <v>40073</v>
      </c>
      <c r="N3481" t="s">
        <v>43166</v>
      </c>
      <c r="O3481" t="s">
        <v>43167</v>
      </c>
      <c r="P3481">
        <v>0</v>
      </c>
      <c r="Q3481">
        <v>0</v>
      </c>
      <c r="R3481" t="s">
        <v>43171</v>
      </c>
      <c r="S3481" t="s">
        <v>43311</v>
      </c>
      <c r="T3481" t="s">
        <v>44806</v>
      </c>
      <c r="U3481" t="s">
        <v>48069</v>
      </c>
      <c r="W3481" t="s">
        <v>40073</v>
      </c>
      <c r="X3481" t="s">
        <v>43172</v>
      </c>
    </row>
    <row r="3482" spans="1:24">
      <c r="A3482">
        <f>HYPERLINK("https://www.philgeps.gov.ph/GEPSNONPILOT/Tender/SplashBidNoticeAbstractUI.aspx?menuIndex=3&amp;refID=7082221&amp;Result=3","7082221")</f>
        <v>0</v>
      </c>
      <c r="B3482" t="s">
        <v>740</v>
      </c>
      <c r="C3482" t="s">
        <v>6742</v>
      </c>
      <c r="D3482" t="s">
        <v>17443</v>
      </c>
      <c r="E3482" t="s">
        <v>20522</v>
      </c>
      <c r="F3482" t="s">
        <v>30052</v>
      </c>
      <c r="G3482" t="s">
        <v>30058</v>
      </c>
      <c r="H3482" t="s">
        <v>30067</v>
      </c>
      <c r="I3482" t="s">
        <v>3693</v>
      </c>
      <c r="J3482" t="s">
        <v>32495</v>
      </c>
      <c r="K3482" t="s">
        <v>39019</v>
      </c>
      <c r="M3482" t="s">
        <v>40053</v>
      </c>
      <c r="N3482" t="s">
        <v>43166</v>
      </c>
      <c r="O3482" t="s">
        <v>43167</v>
      </c>
      <c r="P3482">
        <v>0</v>
      </c>
      <c r="Q3482">
        <v>0</v>
      </c>
      <c r="R3482" t="s">
        <v>43171</v>
      </c>
      <c r="S3482" t="s">
        <v>43311</v>
      </c>
      <c r="T3482" t="s">
        <v>44710</v>
      </c>
      <c r="U3482" t="s">
        <v>48070</v>
      </c>
      <c r="V3482" t="s">
        <v>57232</v>
      </c>
      <c r="W3482" t="s">
        <v>40053</v>
      </c>
      <c r="X3482" t="s">
        <v>43172</v>
      </c>
    </row>
    <row r="3483" spans="1:24">
      <c r="A3483">
        <f>HYPERLINK("https://www.philgeps.gov.ph/GEPSNONPILOT/Tender/SplashBidNoticeAbstractUI.aspx?menuIndex=3&amp;refID=7082279&amp;Result=3","7082279")</f>
        <v>0</v>
      </c>
      <c r="B3483" t="s">
        <v>1302</v>
      </c>
      <c r="C3483" t="s">
        <v>6743</v>
      </c>
      <c r="D3483" t="s">
        <v>17425</v>
      </c>
      <c r="E3483" t="s">
        <v>20523</v>
      </c>
      <c r="F3483" t="s">
        <v>30055</v>
      </c>
      <c r="G3483" t="s">
        <v>30058</v>
      </c>
      <c r="H3483" t="s">
        <v>30067</v>
      </c>
      <c r="I3483" t="s">
        <v>3693</v>
      </c>
      <c r="J3483" t="s">
        <v>32496</v>
      </c>
      <c r="K3483" t="s">
        <v>39126</v>
      </c>
      <c r="M3483" t="s">
        <v>40669</v>
      </c>
      <c r="N3483" t="s">
        <v>43166</v>
      </c>
      <c r="O3483" t="s">
        <v>43167</v>
      </c>
      <c r="P3483">
        <v>0</v>
      </c>
      <c r="Q3483">
        <v>0</v>
      </c>
      <c r="R3483" t="s">
        <v>43171</v>
      </c>
      <c r="S3483" t="s">
        <v>43311</v>
      </c>
      <c r="T3483" t="s">
        <v>44713</v>
      </c>
      <c r="U3483" t="s">
        <v>48071</v>
      </c>
      <c r="W3483" t="s">
        <v>40669</v>
      </c>
      <c r="X3483" t="s">
        <v>43172</v>
      </c>
    </row>
    <row r="3484" spans="1:24">
      <c r="A3484">
        <f>HYPERLINK("https://www.philgeps.gov.ph/GEPSNONPILOT/Tender/SplashBidNoticeAbstractUI.aspx?menuIndex=3&amp;refID=7082232&amp;Result=3","7082232")</f>
        <v>0</v>
      </c>
      <c r="B3484" t="s">
        <v>66</v>
      </c>
      <c r="C3484" t="s">
        <v>3537</v>
      </c>
      <c r="D3484" t="s">
        <v>17432</v>
      </c>
      <c r="E3484" t="s">
        <v>19284</v>
      </c>
      <c r="F3484" t="s">
        <v>30052</v>
      </c>
      <c r="G3484" t="s">
        <v>30062</v>
      </c>
      <c r="H3484" t="s">
        <v>15498</v>
      </c>
      <c r="I3484" t="s">
        <v>30076</v>
      </c>
      <c r="J3484" t="s">
        <v>30388</v>
      </c>
      <c r="K3484" t="s">
        <v>39017</v>
      </c>
      <c r="M3484" t="s">
        <v>39355</v>
      </c>
      <c r="N3484" t="s">
        <v>43166</v>
      </c>
      <c r="O3484" t="s">
        <v>43167</v>
      </c>
      <c r="P3484">
        <v>0</v>
      </c>
      <c r="Q3484">
        <v>0</v>
      </c>
      <c r="R3484" t="s">
        <v>43171</v>
      </c>
      <c r="S3484" t="s">
        <v>43311</v>
      </c>
      <c r="T3484" t="s">
        <v>44720</v>
      </c>
      <c r="U3484" t="s">
        <v>48072</v>
      </c>
      <c r="W3484" t="s">
        <v>39355</v>
      </c>
      <c r="X3484" t="s">
        <v>43172</v>
      </c>
    </row>
    <row r="3485" spans="1:24">
      <c r="A3485">
        <f>HYPERLINK("https://www.philgeps.gov.ph/GEPSNONPILOT/Tender/SplashBidNoticeAbstractUI.aspx?menuIndex=3&amp;refID=7082288&amp;Result=3","7082288")</f>
        <v>0</v>
      </c>
      <c r="B3485" t="s">
        <v>1303</v>
      </c>
      <c r="C3485" t="s">
        <v>6744</v>
      </c>
      <c r="D3485" t="s">
        <v>17446</v>
      </c>
      <c r="E3485" t="s">
        <v>11486</v>
      </c>
      <c r="F3485" t="s">
        <v>30052</v>
      </c>
      <c r="G3485" t="s">
        <v>30058</v>
      </c>
      <c r="H3485" t="s">
        <v>30067</v>
      </c>
      <c r="I3485" t="s">
        <v>3693</v>
      </c>
      <c r="J3485" t="s">
        <v>30207</v>
      </c>
      <c r="K3485" t="s">
        <v>39129</v>
      </c>
      <c r="M3485" t="s">
        <v>40670</v>
      </c>
      <c r="N3485" t="s">
        <v>43166</v>
      </c>
      <c r="O3485" t="s">
        <v>43167</v>
      </c>
      <c r="P3485">
        <v>0</v>
      </c>
      <c r="Q3485">
        <v>0</v>
      </c>
      <c r="R3485" t="s">
        <v>43171</v>
      </c>
      <c r="S3485" t="s">
        <v>43311</v>
      </c>
      <c r="T3485" t="s">
        <v>44964</v>
      </c>
      <c r="U3485" t="s">
        <v>48073</v>
      </c>
      <c r="W3485" t="s">
        <v>40670</v>
      </c>
      <c r="X3485" t="s">
        <v>43172</v>
      </c>
    </row>
    <row r="3486" spans="1:24">
      <c r="A3486">
        <f>HYPERLINK("https://www.philgeps.gov.ph/GEPSNONPILOT/Tender/SplashBidNoticeAbstractUI.aspx?menuIndex=3&amp;refID=7082282&amp;Result=3","7082282")</f>
        <v>0</v>
      </c>
      <c r="B3486" t="s">
        <v>1304</v>
      </c>
      <c r="C3486" t="s">
        <v>6745</v>
      </c>
      <c r="D3486" t="s">
        <v>17458</v>
      </c>
      <c r="E3486" t="s">
        <v>20524</v>
      </c>
      <c r="F3486" t="s">
        <v>30052</v>
      </c>
      <c r="G3486" t="s">
        <v>30058</v>
      </c>
      <c r="H3486" t="s">
        <v>30067</v>
      </c>
      <c r="I3486" t="s">
        <v>3693</v>
      </c>
      <c r="J3486" t="s">
        <v>30559</v>
      </c>
      <c r="K3486" t="s">
        <v>39046</v>
      </c>
      <c r="M3486" t="s">
        <v>40671</v>
      </c>
      <c r="N3486" t="s">
        <v>43166</v>
      </c>
      <c r="O3486" t="s">
        <v>43167</v>
      </c>
      <c r="P3486">
        <v>0</v>
      </c>
      <c r="Q3486">
        <v>0</v>
      </c>
      <c r="R3486" t="s">
        <v>43171</v>
      </c>
      <c r="S3486" t="s">
        <v>43311</v>
      </c>
      <c r="T3486" t="s">
        <v>44705</v>
      </c>
      <c r="U3486" t="s">
        <v>48074</v>
      </c>
      <c r="V3486" t="s">
        <v>57233</v>
      </c>
      <c r="W3486" t="s">
        <v>40671</v>
      </c>
      <c r="X3486" t="s">
        <v>43172</v>
      </c>
    </row>
    <row r="3487" spans="1:24">
      <c r="A3487">
        <f>HYPERLINK("https://www.philgeps.gov.ph/GEPSNONPILOT/Tender/SplashBidNoticeAbstractUI.aspx?menuIndex=3&amp;refID=7082238&amp;Result=3","7082238")</f>
        <v>0</v>
      </c>
      <c r="B3487" t="s">
        <v>1259</v>
      </c>
      <c r="C3487" t="s">
        <v>6631</v>
      </c>
      <c r="D3487" t="s">
        <v>17469</v>
      </c>
      <c r="E3487" t="s">
        <v>20525</v>
      </c>
      <c r="F3487" t="s">
        <v>30052</v>
      </c>
      <c r="G3487" t="s">
        <v>30059</v>
      </c>
      <c r="H3487" t="s">
        <v>15498</v>
      </c>
      <c r="I3487" t="s">
        <v>30070</v>
      </c>
      <c r="J3487" t="s">
        <v>32497</v>
      </c>
      <c r="K3487" t="s">
        <v>39036</v>
      </c>
      <c r="M3487" t="s">
        <v>40616</v>
      </c>
      <c r="N3487" t="s">
        <v>43166</v>
      </c>
      <c r="O3487" t="s">
        <v>43167</v>
      </c>
      <c r="P3487">
        <v>0</v>
      </c>
      <c r="Q3487">
        <v>2</v>
      </c>
      <c r="R3487" t="s">
        <v>43171</v>
      </c>
      <c r="S3487" t="s">
        <v>43311</v>
      </c>
      <c r="T3487" t="s">
        <v>44714</v>
      </c>
      <c r="U3487" t="s">
        <v>47970</v>
      </c>
      <c r="W3487" t="s">
        <v>40616</v>
      </c>
      <c r="X3487" t="s">
        <v>43172</v>
      </c>
    </row>
    <row r="3488" spans="1:24">
      <c r="A3488">
        <f>HYPERLINK("https://www.philgeps.gov.ph/GEPSNONPILOT/Tender/SplashBidNoticeAbstractUI.aspx?menuIndex=3&amp;refID=7082281&amp;Result=3","7082281")</f>
        <v>0</v>
      </c>
      <c r="B3488" t="s">
        <v>740</v>
      </c>
      <c r="C3488" t="s">
        <v>6746</v>
      </c>
      <c r="D3488" t="s">
        <v>17443</v>
      </c>
      <c r="E3488" t="s">
        <v>20526</v>
      </c>
      <c r="F3488" t="s">
        <v>30052</v>
      </c>
      <c r="G3488" t="s">
        <v>30058</v>
      </c>
      <c r="H3488" t="s">
        <v>15498</v>
      </c>
      <c r="I3488" t="s">
        <v>30083</v>
      </c>
      <c r="J3488" t="s">
        <v>30504</v>
      </c>
      <c r="K3488" t="s">
        <v>39034</v>
      </c>
      <c r="M3488" t="s">
        <v>40053</v>
      </c>
      <c r="N3488" t="s">
        <v>43166</v>
      </c>
      <c r="O3488" t="s">
        <v>43167</v>
      </c>
      <c r="P3488">
        <v>0</v>
      </c>
      <c r="Q3488">
        <v>0</v>
      </c>
      <c r="R3488" t="s">
        <v>43171</v>
      </c>
      <c r="S3488" t="s">
        <v>43311</v>
      </c>
      <c r="T3488" t="s">
        <v>44710</v>
      </c>
      <c r="U3488" t="s">
        <v>48075</v>
      </c>
      <c r="V3488" t="s">
        <v>57232</v>
      </c>
      <c r="W3488" t="s">
        <v>40053</v>
      </c>
      <c r="X3488" t="s">
        <v>43172</v>
      </c>
    </row>
    <row r="3489" spans="1:24">
      <c r="A3489">
        <f>HYPERLINK("https://www.philgeps.gov.ph/GEPSNONPILOT/Tender/SplashBidNoticeAbstractUI.aspx?menuIndex=3&amp;refID=7082277&amp;Result=3","7082277")</f>
        <v>0</v>
      </c>
      <c r="B3489" t="s">
        <v>1305</v>
      </c>
      <c r="C3489" t="s">
        <v>6747</v>
      </c>
      <c r="D3489" t="s">
        <v>17449</v>
      </c>
      <c r="E3489" t="s">
        <v>20527</v>
      </c>
      <c r="F3489" t="s">
        <v>30052</v>
      </c>
      <c r="G3489" t="s">
        <v>30059</v>
      </c>
      <c r="H3489" t="s">
        <v>15498</v>
      </c>
      <c r="I3489" t="s">
        <v>3852</v>
      </c>
      <c r="J3489" t="s">
        <v>32498</v>
      </c>
      <c r="K3489" t="s">
        <v>39025</v>
      </c>
      <c r="M3489" t="s">
        <v>40672</v>
      </c>
      <c r="N3489" t="s">
        <v>43166</v>
      </c>
      <c r="O3489" t="s">
        <v>43167</v>
      </c>
      <c r="Q3489">
        <v>1</v>
      </c>
      <c r="R3489" t="s">
        <v>43171</v>
      </c>
      <c r="S3489" t="s">
        <v>43321</v>
      </c>
      <c r="T3489" t="s">
        <v>44773</v>
      </c>
      <c r="U3489" t="s">
        <v>48076</v>
      </c>
      <c r="W3489" t="s">
        <v>40672</v>
      </c>
      <c r="X3489" t="s">
        <v>43172</v>
      </c>
    </row>
    <row r="3490" spans="1:24">
      <c r="A3490">
        <f>HYPERLINK("https://www.philgeps.gov.ph/GEPSNONPILOT/Tender/SplashBidNoticeAbstractUI.aspx?menuIndex=3&amp;refID=7082276&amp;Result=3","7082276")</f>
        <v>0</v>
      </c>
      <c r="B3490" t="s">
        <v>730</v>
      </c>
      <c r="C3490" t="s">
        <v>6748</v>
      </c>
      <c r="D3490" t="s">
        <v>17415</v>
      </c>
      <c r="E3490" t="s">
        <v>20528</v>
      </c>
      <c r="F3490" t="s">
        <v>30052</v>
      </c>
      <c r="G3490" t="s">
        <v>30059</v>
      </c>
      <c r="H3490" t="s">
        <v>15498</v>
      </c>
      <c r="I3490" t="s">
        <v>4119</v>
      </c>
      <c r="J3490" t="s">
        <v>30538</v>
      </c>
      <c r="K3490" t="s">
        <v>39025</v>
      </c>
      <c r="M3490" t="s">
        <v>40041</v>
      </c>
      <c r="N3490" t="s">
        <v>43166</v>
      </c>
      <c r="O3490" t="s">
        <v>43167</v>
      </c>
      <c r="P3490">
        <v>0</v>
      </c>
      <c r="Q3490">
        <v>5</v>
      </c>
      <c r="R3490" t="s">
        <v>43171</v>
      </c>
      <c r="S3490" t="s">
        <v>43311</v>
      </c>
      <c r="T3490" t="s">
        <v>44880</v>
      </c>
      <c r="U3490" t="s">
        <v>48077</v>
      </c>
      <c r="W3490" t="s">
        <v>40041</v>
      </c>
      <c r="X3490" t="s">
        <v>43172</v>
      </c>
    </row>
    <row r="3491" spans="1:24">
      <c r="A3491">
        <f>HYPERLINK("https://www.philgeps.gov.ph/GEPSNONPILOT/Tender/SplashBidNoticeAbstractUI.aspx?menuIndex=3&amp;refID=7082275&amp;Result=3","7082275")</f>
        <v>0</v>
      </c>
      <c r="B3491" t="s">
        <v>1306</v>
      </c>
      <c r="C3491" t="s">
        <v>6749</v>
      </c>
      <c r="D3491" t="s">
        <v>17431</v>
      </c>
      <c r="E3491" t="s">
        <v>20529</v>
      </c>
      <c r="F3491" t="s">
        <v>30052</v>
      </c>
      <c r="G3491" t="s">
        <v>30059</v>
      </c>
      <c r="H3491" t="s">
        <v>15498</v>
      </c>
      <c r="I3491" t="s">
        <v>3736</v>
      </c>
      <c r="J3491" t="s">
        <v>30292</v>
      </c>
      <c r="K3491" t="s">
        <v>39029</v>
      </c>
      <c r="M3491" t="s">
        <v>40673</v>
      </c>
      <c r="N3491" t="s">
        <v>43166</v>
      </c>
      <c r="O3491" t="s">
        <v>43167</v>
      </c>
      <c r="P3491">
        <v>0</v>
      </c>
      <c r="Q3491">
        <v>0</v>
      </c>
      <c r="R3491" t="s">
        <v>43171</v>
      </c>
      <c r="S3491" t="s">
        <v>43311</v>
      </c>
      <c r="T3491" t="s">
        <v>44717</v>
      </c>
      <c r="U3491" t="s">
        <v>48078</v>
      </c>
      <c r="W3491" t="s">
        <v>40673</v>
      </c>
      <c r="X3491" t="s">
        <v>43172</v>
      </c>
    </row>
    <row r="3492" spans="1:24">
      <c r="A3492">
        <f>HYPERLINK("https://www.philgeps.gov.ph/GEPSNONPILOT/Tender/SplashBidNoticeAbstractUI.aspx?menuIndex=3&amp;refID=7082271&amp;Result=3","7082271")</f>
        <v>0</v>
      </c>
      <c r="B3492" t="s">
        <v>1211</v>
      </c>
      <c r="C3492" t="s">
        <v>6750</v>
      </c>
      <c r="D3492" t="s">
        <v>17496</v>
      </c>
      <c r="E3492" t="s">
        <v>20530</v>
      </c>
      <c r="F3492" t="s">
        <v>30052</v>
      </c>
      <c r="G3492" t="s">
        <v>30059</v>
      </c>
      <c r="H3492" t="s">
        <v>15498</v>
      </c>
      <c r="I3492" t="s">
        <v>30179</v>
      </c>
      <c r="J3492" t="s">
        <v>30530</v>
      </c>
      <c r="K3492" t="s">
        <v>39018</v>
      </c>
      <c r="M3492" t="s">
        <v>40565</v>
      </c>
      <c r="N3492" t="s">
        <v>43166</v>
      </c>
      <c r="O3492" t="s">
        <v>43167</v>
      </c>
      <c r="P3492">
        <v>0</v>
      </c>
      <c r="Q3492">
        <v>2</v>
      </c>
      <c r="R3492" t="s">
        <v>43171</v>
      </c>
      <c r="S3492" t="s">
        <v>43311</v>
      </c>
      <c r="T3492" t="s">
        <v>44734</v>
      </c>
      <c r="U3492" t="s">
        <v>47852</v>
      </c>
      <c r="W3492" t="s">
        <v>40565</v>
      </c>
      <c r="X3492" t="s">
        <v>43172</v>
      </c>
    </row>
    <row r="3493" spans="1:24">
      <c r="A3493">
        <f>HYPERLINK("https://www.philgeps.gov.ph/GEPSNONPILOT/Tender/SplashBidNoticeAbstractUI.aspx?menuIndex=3&amp;refID=7082269&amp;Result=3","7082269")</f>
        <v>0</v>
      </c>
      <c r="B3493" t="s">
        <v>105</v>
      </c>
      <c r="C3493" t="s">
        <v>6751</v>
      </c>
      <c r="E3493" t="s">
        <v>20531</v>
      </c>
      <c r="F3493" t="s">
        <v>30052</v>
      </c>
      <c r="G3493" t="s">
        <v>30059</v>
      </c>
      <c r="H3493" t="s">
        <v>15498</v>
      </c>
      <c r="I3493" t="s">
        <v>6691</v>
      </c>
      <c r="J3493" t="s">
        <v>32477</v>
      </c>
      <c r="K3493" t="s">
        <v>39025</v>
      </c>
      <c r="M3493" t="s">
        <v>39394</v>
      </c>
      <c r="N3493" t="s">
        <v>43166</v>
      </c>
      <c r="O3493" t="s">
        <v>43167</v>
      </c>
      <c r="P3493">
        <v>0</v>
      </c>
      <c r="Q3493">
        <v>0</v>
      </c>
      <c r="R3493" t="s">
        <v>43171</v>
      </c>
      <c r="S3493" t="s">
        <v>43311</v>
      </c>
      <c r="T3493" t="s">
        <v>44844</v>
      </c>
      <c r="U3493" t="s">
        <v>48079</v>
      </c>
      <c r="W3493" t="s">
        <v>39394</v>
      </c>
      <c r="X3493" t="s">
        <v>43172</v>
      </c>
    </row>
    <row r="3494" spans="1:24">
      <c r="A3494">
        <f>HYPERLINK("https://www.philgeps.gov.ph/GEPSNONPILOT/Tender/SplashBidNoticeAbstractUI.aspx?menuIndex=3&amp;refID=7082261&amp;Result=3","7082261")</f>
        <v>0</v>
      </c>
      <c r="B3494" t="s">
        <v>1299</v>
      </c>
      <c r="C3494" t="s">
        <v>6752</v>
      </c>
      <c r="D3494" t="s">
        <v>17442</v>
      </c>
      <c r="E3494" t="s">
        <v>20532</v>
      </c>
      <c r="F3494" t="s">
        <v>30052</v>
      </c>
      <c r="G3494" t="s">
        <v>30059</v>
      </c>
      <c r="H3494" t="s">
        <v>15498</v>
      </c>
      <c r="I3494" t="s">
        <v>30124</v>
      </c>
      <c r="J3494" t="s">
        <v>31733</v>
      </c>
      <c r="K3494" t="s">
        <v>39029</v>
      </c>
      <c r="M3494" t="s">
        <v>40665</v>
      </c>
      <c r="N3494" t="s">
        <v>43166</v>
      </c>
      <c r="O3494" t="s">
        <v>43167</v>
      </c>
      <c r="P3494">
        <v>0</v>
      </c>
      <c r="Q3494">
        <v>2</v>
      </c>
      <c r="R3494" t="s">
        <v>43171</v>
      </c>
      <c r="S3494" t="s">
        <v>43311</v>
      </c>
      <c r="T3494" t="s">
        <v>44841</v>
      </c>
      <c r="U3494" t="s">
        <v>48080</v>
      </c>
      <c r="W3494" t="s">
        <v>40665</v>
      </c>
      <c r="X3494" t="s">
        <v>43172</v>
      </c>
    </row>
    <row r="3495" spans="1:24">
      <c r="A3495">
        <f>HYPERLINK("https://www.philgeps.gov.ph/GEPSNONPILOT/Tender/SplashBidNoticeAbstractUI.aspx?menuIndex=3&amp;refID=7082283&amp;Result=3","7082283")</f>
        <v>0</v>
      </c>
      <c r="B3495" t="s">
        <v>1307</v>
      </c>
      <c r="C3495" t="s">
        <v>3458</v>
      </c>
      <c r="D3495" t="s">
        <v>17435</v>
      </c>
      <c r="E3495" t="s">
        <v>20533</v>
      </c>
      <c r="F3495" t="s">
        <v>30052</v>
      </c>
      <c r="G3495" t="s">
        <v>30059</v>
      </c>
      <c r="H3495" t="s">
        <v>15498</v>
      </c>
      <c r="I3495" t="s">
        <v>30070</v>
      </c>
      <c r="J3495" t="s">
        <v>32499</v>
      </c>
      <c r="K3495" t="s">
        <v>39034</v>
      </c>
      <c r="M3495" t="s">
        <v>40674</v>
      </c>
      <c r="N3495" t="s">
        <v>43166</v>
      </c>
      <c r="O3495" t="s">
        <v>43167</v>
      </c>
      <c r="P3495">
        <v>0</v>
      </c>
      <c r="Q3495">
        <v>0</v>
      </c>
      <c r="R3495" t="s">
        <v>43171</v>
      </c>
      <c r="S3495" t="s">
        <v>43311</v>
      </c>
      <c r="T3495" t="s">
        <v>44837</v>
      </c>
      <c r="U3495" t="s">
        <v>48081</v>
      </c>
      <c r="V3495" t="s">
        <v>57234</v>
      </c>
      <c r="W3495" t="s">
        <v>40674</v>
      </c>
      <c r="X3495" t="s">
        <v>43172</v>
      </c>
    </row>
    <row r="3496" spans="1:24">
      <c r="A3496">
        <f>HYPERLINK("https://www.philgeps.gov.ph/GEPSNONPILOT/Tender/SplashBidNoticeAbstractUI.aspx?menuIndex=3&amp;refID=7082128&amp;Result=3","7082128")</f>
        <v>0</v>
      </c>
      <c r="B3496" t="s">
        <v>300</v>
      </c>
      <c r="C3496" t="s">
        <v>6753</v>
      </c>
      <c r="D3496" t="s">
        <v>17435</v>
      </c>
      <c r="E3496" t="s">
        <v>20534</v>
      </c>
      <c r="F3496" t="s">
        <v>30052</v>
      </c>
      <c r="G3496" t="s">
        <v>30059</v>
      </c>
      <c r="H3496" t="s">
        <v>15498</v>
      </c>
      <c r="I3496" t="s">
        <v>3852</v>
      </c>
      <c r="J3496" t="s">
        <v>30377</v>
      </c>
      <c r="K3496" t="s">
        <v>39025</v>
      </c>
      <c r="M3496" t="s">
        <v>39595</v>
      </c>
      <c r="N3496" t="s">
        <v>43166</v>
      </c>
      <c r="O3496" t="s">
        <v>43167</v>
      </c>
      <c r="P3496">
        <v>0</v>
      </c>
      <c r="Q3496">
        <v>1</v>
      </c>
      <c r="R3496" t="s">
        <v>43171</v>
      </c>
      <c r="S3496" t="s">
        <v>43311</v>
      </c>
      <c r="T3496" t="s">
        <v>44777</v>
      </c>
      <c r="U3496" t="s">
        <v>45723</v>
      </c>
      <c r="W3496" t="s">
        <v>39595</v>
      </c>
      <c r="X3496" t="s">
        <v>43172</v>
      </c>
    </row>
    <row r="3497" spans="1:24">
      <c r="A3497">
        <f>HYPERLINK("https://www.philgeps.gov.ph/GEPSNONPILOT/Tender/SplashBidNoticeAbstractUI.aspx?menuIndex=3&amp;refID=7082290&amp;Result=3","7082290")</f>
        <v>0</v>
      </c>
      <c r="B3497" t="s">
        <v>813</v>
      </c>
      <c r="C3497" t="s">
        <v>6754</v>
      </c>
      <c r="D3497" t="s">
        <v>17426</v>
      </c>
      <c r="E3497" t="s">
        <v>20535</v>
      </c>
      <c r="F3497" t="s">
        <v>30052</v>
      </c>
      <c r="G3497" t="s">
        <v>30058</v>
      </c>
      <c r="H3497" t="s">
        <v>30067</v>
      </c>
      <c r="I3497" t="s">
        <v>3693</v>
      </c>
      <c r="J3497" t="s">
        <v>30252</v>
      </c>
      <c r="K3497" t="s">
        <v>39046</v>
      </c>
      <c r="M3497" t="s">
        <v>40130</v>
      </c>
      <c r="N3497" t="s">
        <v>43166</v>
      </c>
      <c r="O3497" t="s">
        <v>43167</v>
      </c>
      <c r="P3497">
        <v>0</v>
      </c>
      <c r="Q3497">
        <v>0</v>
      </c>
      <c r="R3497" t="s">
        <v>43171</v>
      </c>
      <c r="S3497" t="s">
        <v>43311</v>
      </c>
      <c r="T3497" t="s">
        <v>44786</v>
      </c>
      <c r="U3497" t="s">
        <v>46896</v>
      </c>
      <c r="W3497" t="s">
        <v>40130</v>
      </c>
      <c r="X3497" t="s">
        <v>43172</v>
      </c>
    </row>
    <row r="3498" spans="1:24">
      <c r="A3498">
        <f>HYPERLINK("https://www.philgeps.gov.ph/GEPSNONPILOT/Tender/SplashBidNoticeAbstractUI.aspx?menuIndex=3&amp;refID=7082325&amp;Result=3","7082325")</f>
        <v>0</v>
      </c>
      <c r="B3498" t="s">
        <v>730</v>
      </c>
      <c r="C3498" t="s">
        <v>6755</v>
      </c>
      <c r="D3498" t="s">
        <v>17415</v>
      </c>
      <c r="E3498" t="s">
        <v>20536</v>
      </c>
      <c r="F3498" t="s">
        <v>30052</v>
      </c>
      <c r="G3498" t="s">
        <v>30059</v>
      </c>
      <c r="H3498" t="s">
        <v>15498</v>
      </c>
      <c r="I3498" t="s">
        <v>9238</v>
      </c>
      <c r="J3498" t="s">
        <v>30404</v>
      </c>
      <c r="K3498" t="s">
        <v>39025</v>
      </c>
      <c r="M3498" t="s">
        <v>40041</v>
      </c>
      <c r="N3498" t="s">
        <v>43166</v>
      </c>
      <c r="O3498" t="s">
        <v>43167</v>
      </c>
      <c r="P3498">
        <v>0</v>
      </c>
      <c r="Q3498">
        <v>13</v>
      </c>
      <c r="R3498" t="s">
        <v>43171</v>
      </c>
      <c r="S3498" t="s">
        <v>43311</v>
      </c>
      <c r="T3498" t="s">
        <v>44880</v>
      </c>
      <c r="U3498" t="s">
        <v>48082</v>
      </c>
      <c r="W3498" t="s">
        <v>40041</v>
      </c>
      <c r="X3498" t="s">
        <v>43172</v>
      </c>
    </row>
    <row r="3499" spans="1:24">
      <c r="A3499">
        <f>HYPERLINK("https://www.philgeps.gov.ph/GEPSNONPILOT/Tender/SplashBidNoticeAbstractUI.aspx?menuIndex=3&amp;refID=7082268&amp;Result=3","7082268")</f>
        <v>0</v>
      </c>
      <c r="B3499" t="s">
        <v>620</v>
      </c>
      <c r="C3499" t="s">
        <v>6756</v>
      </c>
      <c r="D3499" t="s">
        <v>17427</v>
      </c>
      <c r="E3499" t="s">
        <v>20537</v>
      </c>
      <c r="F3499" t="s">
        <v>30052</v>
      </c>
      <c r="G3499" t="s">
        <v>30061</v>
      </c>
      <c r="H3499" t="s">
        <v>15498</v>
      </c>
      <c r="I3499" t="s">
        <v>30076</v>
      </c>
      <c r="J3499" t="s">
        <v>30587</v>
      </c>
      <c r="K3499" t="s">
        <v>39017</v>
      </c>
      <c r="M3499" t="s">
        <v>39923</v>
      </c>
      <c r="N3499" t="s">
        <v>43166</v>
      </c>
      <c r="O3499" t="s">
        <v>43167</v>
      </c>
      <c r="P3499">
        <v>0</v>
      </c>
      <c r="Q3499">
        <v>2</v>
      </c>
      <c r="R3499" t="s">
        <v>43171</v>
      </c>
      <c r="S3499" t="s">
        <v>43311</v>
      </c>
      <c r="T3499" t="s">
        <v>44732</v>
      </c>
      <c r="U3499" t="s">
        <v>48083</v>
      </c>
      <c r="V3499" t="s">
        <v>57209</v>
      </c>
      <c r="W3499" t="s">
        <v>39923</v>
      </c>
      <c r="X3499" t="s">
        <v>43172</v>
      </c>
    </row>
    <row r="3500" spans="1:24">
      <c r="A3500">
        <f>HYPERLINK("https://www.philgeps.gov.ph/GEPSNONPILOT/Tender/SplashBidNoticeAbstractUI.aspx?menuIndex=3&amp;refID=7082319&amp;Result=3","7082319")</f>
        <v>0</v>
      </c>
      <c r="B3500" t="s">
        <v>721</v>
      </c>
      <c r="C3500" t="s">
        <v>6757</v>
      </c>
      <c r="D3500" t="s">
        <v>17451</v>
      </c>
      <c r="E3500" t="s">
        <v>20538</v>
      </c>
      <c r="F3500" t="s">
        <v>30052</v>
      </c>
      <c r="G3500" t="s">
        <v>30058</v>
      </c>
      <c r="H3500" t="s">
        <v>30067</v>
      </c>
      <c r="I3500" t="s">
        <v>3693</v>
      </c>
      <c r="J3500" t="s">
        <v>32500</v>
      </c>
      <c r="K3500" t="s">
        <v>39034</v>
      </c>
      <c r="M3500" t="s">
        <v>40031</v>
      </c>
      <c r="N3500" t="s">
        <v>43166</v>
      </c>
      <c r="O3500" t="s">
        <v>43167</v>
      </c>
      <c r="P3500">
        <v>0</v>
      </c>
      <c r="Q3500">
        <v>0</v>
      </c>
      <c r="R3500" t="s">
        <v>43171</v>
      </c>
      <c r="S3500" t="s">
        <v>43311</v>
      </c>
      <c r="T3500" t="s">
        <v>44780</v>
      </c>
      <c r="U3500" t="s">
        <v>46563</v>
      </c>
      <c r="W3500" t="s">
        <v>40031</v>
      </c>
      <c r="X3500" t="s">
        <v>43172</v>
      </c>
    </row>
    <row r="3501" spans="1:24">
      <c r="A3501">
        <f>HYPERLINK("https://www.philgeps.gov.ph/GEPSNONPILOT/Tender/SplashBidNoticeAbstractUI.aspx?menuIndex=3&amp;refID=7082316&amp;Result=3","7082316")</f>
        <v>0</v>
      </c>
      <c r="B3501" t="s">
        <v>1211</v>
      </c>
      <c r="C3501" t="s">
        <v>6758</v>
      </c>
      <c r="D3501" t="s">
        <v>17496</v>
      </c>
      <c r="E3501" t="s">
        <v>20539</v>
      </c>
      <c r="F3501" t="s">
        <v>30052</v>
      </c>
      <c r="G3501" t="s">
        <v>30059</v>
      </c>
      <c r="H3501" t="s">
        <v>15498</v>
      </c>
      <c r="I3501" t="s">
        <v>30081</v>
      </c>
      <c r="J3501" t="s">
        <v>31190</v>
      </c>
      <c r="K3501" t="s">
        <v>39018</v>
      </c>
      <c r="M3501" t="s">
        <v>40565</v>
      </c>
      <c r="N3501" t="s">
        <v>43166</v>
      </c>
      <c r="O3501" t="s">
        <v>43167</v>
      </c>
      <c r="P3501">
        <v>0</v>
      </c>
      <c r="Q3501">
        <v>0</v>
      </c>
      <c r="R3501" t="s">
        <v>43171</v>
      </c>
      <c r="S3501" t="s">
        <v>43311</v>
      </c>
      <c r="T3501" t="s">
        <v>44734</v>
      </c>
      <c r="U3501" t="s">
        <v>47852</v>
      </c>
      <c r="W3501" t="s">
        <v>40565</v>
      </c>
      <c r="X3501" t="s">
        <v>43172</v>
      </c>
    </row>
    <row r="3502" spans="1:24">
      <c r="A3502">
        <f>HYPERLINK("https://www.philgeps.gov.ph/GEPSNONPILOT/Tender/SplashBidNoticeAbstractUI.aspx?menuIndex=3&amp;refID=7082324&amp;Result=3","7082324")</f>
        <v>0</v>
      </c>
      <c r="B3502" t="s">
        <v>1308</v>
      </c>
      <c r="C3502" t="s">
        <v>6759</v>
      </c>
      <c r="D3502" t="s">
        <v>17446</v>
      </c>
      <c r="E3502" t="s">
        <v>20540</v>
      </c>
      <c r="F3502" t="s">
        <v>30052</v>
      </c>
      <c r="G3502" t="s">
        <v>30059</v>
      </c>
      <c r="H3502" t="s">
        <v>15498</v>
      </c>
      <c r="I3502" t="s">
        <v>30084</v>
      </c>
      <c r="J3502" t="s">
        <v>32501</v>
      </c>
      <c r="K3502" t="s">
        <v>39017</v>
      </c>
      <c r="M3502" t="s">
        <v>40675</v>
      </c>
      <c r="N3502" t="s">
        <v>43166</v>
      </c>
      <c r="O3502" t="s">
        <v>43167</v>
      </c>
      <c r="P3502">
        <v>0</v>
      </c>
      <c r="Q3502">
        <v>1</v>
      </c>
      <c r="R3502" t="s">
        <v>43171</v>
      </c>
      <c r="S3502" t="s">
        <v>43311</v>
      </c>
      <c r="T3502" t="s">
        <v>44777</v>
      </c>
      <c r="U3502" t="s">
        <v>48084</v>
      </c>
      <c r="W3502" t="s">
        <v>40675</v>
      </c>
      <c r="X3502" t="s">
        <v>43172</v>
      </c>
    </row>
    <row r="3503" spans="1:24">
      <c r="A3503">
        <f>HYPERLINK("https://www.philgeps.gov.ph/GEPSNONPILOT/Tender/SplashBidNoticeAbstractUI.aspx?menuIndex=3&amp;refID=7082314&amp;Result=3","7082314")</f>
        <v>0</v>
      </c>
      <c r="B3503" t="s">
        <v>1274</v>
      </c>
      <c r="C3503" t="s">
        <v>6760</v>
      </c>
      <c r="D3503" t="s">
        <v>17466</v>
      </c>
      <c r="E3503" t="s">
        <v>20541</v>
      </c>
      <c r="F3503" t="s">
        <v>30052</v>
      </c>
      <c r="G3503" t="s">
        <v>30059</v>
      </c>
      <c r="H3503" t="s">
        <v>15498</v>
      </c>
      <c r="I3503" t="s">
        <v>30071</v>
      </c>
      <c r="J3503" t="s">
        <v>30472</v>
      </c>
      <c r="K3503" t="s">
        <v>39039</v>
      </c>
      <c r="M3503" t="s">
        <v>40634</v>
      </c>
      <c r="N3503" t="s">
        <v>43166</v>
      </c>
      <c r="O3503" t="s">
        <v>43167</v>
      </c>
      <c r="P3503">
        <v>0</v>
      </c>
      <c r="Q3503">
        <v>0</v>
      </c>
      <c r="R3503" t="s">
        <v>43171</v>
      </c>
      <c r="S3503" t="s">
        <v>43311</v>
      </c>
      <c r="T3503" t="s">
        <v>44685</v>
      </c>
      <c r="U3503" t="s">
        <v>48085</v>
      </c>
      <c r="W3503" t="s">
        <v>40634</v>
      </c>
      <c r="X3503" t="s">
        <v>43172</v>
      </c>
    </row>
    <row r="3504" spans="1:24">
      <c r="A3504">
        <f>HYPERLINK("https://www.philgeps.gov.ph/GEPSNONPILOT/Tender/SplashBidNoticeAbstractUI.aspx?menuIndex=3&amp;refID=7082309&amp;Result=3","7082309")</f>
        <v>0</v>
      </c>
      <c r="B3504" t="s">
        <v>50</v>
      </c>
      <c r="C3504" t="s">
        <v>6680</v>
      </c>
      <c r="D3504" t="s">
        <v>17433</v>
      </c>
      <c r="E3504" t="s">
        <v>20542</v>
      </c>
      <c r="F3504" t="s">
        <v>30052</v>
      </c>
      <c r="G3504" t="s">
        <v>30058</v>
      </c>
      <c r="H3504" t="s">
        <v>15498</v>
      </c>
      <c r="I3504" t="s">
        <v>3606</v>
      </c>
      <c r="J3504" t="s">
        <v>32502</v>
      </c>
      <c r="K3504" t="s">
        <v>39017</v>
      </c>
      <c r="M3504" t="s">
        <v>40640</v>
      </c>
      <c r="N3504" t="s">
        <v>43166</v>
      </c>
      <c r="O3504" t="s">
        <v>43167</v>
      </c>
      <c r="P3504">
        <v>0</v>
      </c>
      <c r="Q3504">
        <v>0</v>
      </c>
      <c r="R3504" t="s">
        <v>43171</v>
      </c>
      <c r="S3504" t="s">
        <v>43311</v>
      </c>
      <c r="T3504" t="s">
        <v>44704</v>
      </c>
      <c r="U3504" t="s">
        <v>48011</v>
      </c>
      <c r="W3504" t="s">
        <v>40640</v>
      </c>
      <c r="X3504" t="s">
        <v>43172</v>
      </c>
    </row>
    <row r="3505" spans="1:24">
      <c r="A3505">
        <f>HYPERLINK("https://www.philgeps.gov.ph/GEPSNONPILOT/Tender/SplashBidNoticeAbstractUI.aspx?menuIndex=3&amp;refID=7082307&amp;Result=3","7082307")</f>
        <v>0</v>
      </c>
      <c r="B3505" t="s">
        <v>1309</v>
      </c>
      <c r="C3505" t="s">
        <v>6761</v>
      </c>
      <c r="D3505" t="s">
        <v>17414</v>
      </c>
      <c r="E3505" t="s">
        <v>20543</v>
      </c>
      <c r="F3505" t="s">
        <v>30052</v>
      </c>
      <c r="G3505" t="s">
        <v>30058</v>
      </c>
      <c r="H3505" t="s">
        <v>15498</v>
      </c>
      <c r="I3505" t="s">
        <v>3606</v>
      </c>
      <c r="J3505" t="s">
        <v>32503</v>
      </c>
      <c r="K3505" t="s">
        <v>39029</v>
      </c>
      <c r="M3505" t="s">
        <v>40676</v>
      </c>
      <c r="N3505" t="s">
        <v>43166</v>
      </c>
      <c r="O3505" t="s">
        <v>43167</v>
      </c>
      <c r="P3505">
        <v>0</v>
      </c>
      <c r="Q3505">
        <v>2</v>
      </c>
      <c r="R3505" t="s">
        <v>43171</v>
      </c>
      <c r="S3505" t="s">
        <v>43311</v>
      </c>
      <c r="T3505" t="s">
        <v>44677</v>
      </c>
      <c r="U3505" t="s">
        <v>48086</v>
      </c>
      <c r="W3505" t="s">
        <v>40676</v>
      </c>
      <c r="X3505" t="s">
        <v>43172</v>
      </c>
    </row>
    <row r="3506" spans="1:24">
      <c r="A3506">
        <f>HYPERLINK("https://www.philgeps.gov.ph/GEPSNONPILOT/Tender/SplashBidNoticeAbstractUI.aspx?menuIndex=3&amp;refID=7082315&amp;Result=3","7082315")</f>
        <v>0</v>
      </c>
      <c r="B3506" t="s">
        <v>1310</v>
      </c>
      <c r="C3506" t="s">
        <v>6762</v>
      </c>
      <c r="D3506" t="s">
        <v>17459</v>
      </c>
      <c r="E3506" t="s">
        <v>20544</v>
      </c>
      <c r="F3506" t="s">
        <v>30052</v>
      </c>
      <c r="G3506" t="s">
        <v>30059</v>
      </c>
      <c r="H3506" t="s">
        <v>15498</v>
      </c>
      <c r="I3506" t="s">
        <v>30169</v>
      </c>
      <c r="J3506" t="s">
        <v>32504</v>
      </c>
      <c r="K3506" t="s">
        <v>39019</v>
      </c>
      <c r="M3506" t="s">
        <v>40677</v>
      </c>
      <c r="N3506" t="s">
        <v>43166</v>
      </c>
      <c r="O3506" t="s">
        <v>43167</v>
      </c>
      <c r="P3506">
        <v>0</v>
      </c>
      <c r="Q3506">
        <v>0</v>
      </c>
      <c r="R3506" t="s">
        <v>43171</v>
      </c>
      <c r="S3506" t="s">
        <v>43311</v>
      </c>
      <c r="T3506" t="s">
        <v>44717</v>
      </c>
      <c r="U3506" t="s">
        <v>48087</v>
      </c>
      <c r="W3506" t="s">
        <v>40677</v>
      </c>
      <c r="X3506" t="s">
        <v>43172</v>
      </c>
    </row>
    <row r="3507" spans="1:24">
      <c r="A3507">
        <f>HYPERLINK("https://www.philgeps.gov.ph/GEPSNONPILOT/Tender/SplashBidNoticeAbstractUI.aspx?menuIndex=3&amp;refID=7082306&amp;Result=3","7082306")</f>
        <v>0</v>
      </c>
      <c r="B3507" t="s">
        <v>409</v>
      </c>
      <c r="C3507" t="s">
        <v>6763</v>
      </c>
      <c r="D3507" t="s">
        <v>17473</v>
      </c>
      <c r="E3507" t="s">
        <v>20545</v>
      </c>
      <c r="F3507" t="s">
        <v>30052</v>
      </c>
      <c r="G3507" t="s">
        <v>30059</v>
      </c>
      <c r="H3507" t="s">
        <v>15498</v>
      </c>
      <c r="I3507" t="s">
        <v>6691</v>
      </c>
      <c r="J3507" t="s">
        <v>30354</v>
      </c>
      <c r="K3507" t="s">
        <v>39025</v>
      </c>
      <c r="M3507" t="s">
        <v>40032</v>
      </c>
      <c r="N3507" t="s">
        <v>43166</v>
      </c>
      <c r="O3507" t="s">
        <v>43167</v>
      </c>
      <c r="P3507">
        <v>0</v>
      </c>
      <c r="Q3507">
        <v>0</v>
      </c>
      <c r="R3507" t="s">
        <v>43171</v>
      </c>
      <c r="S3507" t="s">
        <v>43311</v>
      </c>
      <c r="T3507" t="s">
        <v>44737</v>
      </c>
      <c r="U3507" t="s">
        <v>48088</v>
      </c>
      <c r="W3507" t="s">
        <v>40032</v>
      </c>
      <c r="X3507" t="s">
        <v>43172</v>
      </c>
    </row>
    <row r="3508" spans="1:24">
      <c r="A3508">
        <f>HYPERLINK("https://www.philgeps.gov.ph/GEPSNONPILOT/Tender/SplashBidNoticeAbstractUI.aspx?menuIndex=3&amp;refID=7082296&amp;Result=3","7082296")</f>
        <v>0</v>
      </c>
      <c r="B3508" t="s">
        <v>1311</v>
      </c>
      <c r="C3508" t="s">
        <v>3971</v>
      </c>
      <c r="D3508" t="s">
        <v>17424</v>
      </c>
      <c r="E3508" t="s">
        <v>17779</v>
      </c>
      <c r="F3508" t="s">
        <v>30052</v>
      </c>
      <c r="G3508" t="s">
        <v>30059</v>
      </c>
      <c r="H3508" t="s">
        <v>15498</v>
      </c>
      <c r="I3508" t="s">
        <v>4119</v>
      </c>
      <c r="J3508" t="s">
        <v>32505</v>
      </c>
      <c r="K3508" t="s">
        <v>39019</v>
      </c>
      <c r="M3508" t="s">
        <v>40678</v>
      </c>
      <c r="N3508" t="s">
        <v>43166</v>
      </c>
      <c r="O3508" t="s">
        <v>43167</v>
      </c>
      <c r="P3508">
        <v>0</v>
      </c>
      <c r="Q3508">
        <v>0</v>
      </c>
      <c r="R3508" t="s">
        <v>43171</v>
      </c>
      <c r="S3508" t="s">
        <v>43311</v>
      </c>
      <c r="T3508" t="s">
        <v>44719</v>
      </c>
      <c r="U3508" t="s">
        <v>48089</v>
      </c>
      <c r="W3508" t="s">
        <v>40678</v>
      </c>
      <c r="X3508" t="s">
        <v>43172</v>
      </c>
    </row>
    <row r="3509" spans="1:24">
      <c r="A3509">
        <f>HYPERLINK("https://www.philgeps.gov.ph/GEPSNONPILOT/Tender/SplashBidNoticeAbstractUI.aspx?menuIndex=3&amp;refID=7082305&amp;Result=3","7082305")</f>
        <v>0</v>
      </c>
      <c r="B3509" t="s">
        <v>529</v>
      </c>
      <c r="C3509" t="s">
        <v>4615</v>
      </c>
      <c r="D3509" t="s">
        <v>17474</v>
      </c>
      <c r="E3509" t="s">
        <v>20546</v>
      </c>
      <c r="F3509" t="s">
        <v>30052</v>
      </c>
      <c r="G3509" t="s">
        <v>30058</v>
      </c>
      <c r="H3509" t="s">
        <v>15498</v>
      </c>
      <c r="I3509" t="s">
        <v>30094</v>
      </c>
      <c r="J3509" t="s">
        <v>32506</v>
      </c>
      <c r="K3509" t="s">
        <v>39034</v>
      </c>
      <c r="M3509" t="s">
        <v>39831</v>
      </c>
      <c r="N3509" t="s">
        <v>43166</v>
      </c>
      <c r="O3509" t="s">
        <v>43167</v>
      </c>
      <c r="P3509">
        <v>0</v>
      </c>
      <c r="Q3509">
        <v>0</v>
      </c>
      <c r="R3509" t="s">
        <v>43171</v>
      </c>
      <c r="S3509" t="s">
        <v>43311</v>
      </c>
      <c r="T3509" t="s">
        <v>44704</v>
      </c>
      <c r="U3509" t="s">
        <v>48090</v>
      </c>
      <c r="V3509" t="s">
        <v>57235</v>
      </c>
      <c r="W3509" t="s">
        <v>39831</v>
      </c>
      <c r="X3509" t="s">
        <v>43172</v>
      </c>
    </row>
    <row r="3510" spans="1:24">
      <c r="A3510">
        <f>HYPERLINK("https://www.philgeps.gov.ph/GEPSNONPILOT/Tender/SplashBidNoticeAbstractUI.aspx?menuIndex=3&amp;refID=7082327&amp;Result=3","7082327")</f>
        <v>0</v>
      </c>
      <c r="B3510" t="s">
        <v>876</v>
      </c>
      <c r="C3510" t="s">
        <v>6764</v>
      </c>
      <c r="D3510" t="s">
        <v>17448</v>
      </c>
      <c r="E3510" t="s">
        <v>20547</v>
      </c>
      <c r="F3510" t="s">
        <v>30052</v>
      </c>
      <c r="G3510" t="s">
        <v>30059</v>
      </c>
      <c r="H3510" t="s">
        <v>15498</v>
      </c>
      <c r="I3510" t="s">
        <v>4650</v>
      </c>
      <c r="J3510" t="s">
        <v>30550</v>
      </c>
      <c r="K3510" t="s">
        <v>39025</v>
      </c>
      <c r="M3510" t="s">
        <v>40195</v>
      </c>
      <c r="N3510" t="s">
        <v>43166</v>
      </c>
      <c r="O3510" t="s">
        <v>43167</v>
      </c>
      <c r="P3510">
        <v>0</v>
      </c>
      <c r="Q3510">
        <v>1</v>
      </c>
      <c r="R3510" t="s">
        <v>43171</v>
      </c>
      <c r="S3510" t="s">
        <v>43311</v>
      </c>
      <c r="T3510" t="s">
        <v>44735</v>
      </c>
      <c r="U3510" t="s">
        <v>48091</v>
      </c>
      <c r="W3510" t="s">
        <v>40195</v>
      </c>
      <c r="X3510" t="s">
        <v>43172</v>
      </c>
    </row>
    <row r="3511" spans="1:24">
      <c r="A3511">
        <f>HYPERLINK("https://www.philgeps.gov.ph/GEPSNONPILOT/Tender/SplashBidNoticeAbstractUI.aspx?menuIndex=3&amp;refID=7082313&amp;Result=3","7082313")</f>
        <v>0</v>
      </c>
      <c r="B3511" t="s">
        <v>1312</v>
      </c>
      <c r="C3511" t="s">
        <v>6765</v>
      </c>
      <c r="D3511" t="s">
        <v>17438</v>
      </c>
      <c r="E3511" t="s">
        <v>20548</v>
      </c>
      <c r="F3511" t="s">
        <v>30052</v>
      </c>
      <c r="G3511" t="s">
        <v>30059</v>
      </c>
      <c r="H3511" t="s">
        <v>15498</v>
      </c>
      <c r="I3511" t="s">
        <v>30097</v>
      </c>
      <c r="J3511" t="s">
        <v>30344</v>
      </c>
      <c r="K3511" t="s">
        <v>39029</v>
      </c>
      <c r="M3511" t="s">
        <v>40679</v>
      </c>
      <c r="N3511" t="s">
        <v>43166</v>
      </c>
      <c r="O3511" t="s">
        <v>43167</v>
      </c>
      <c r="P3511">
        <v>0</v>
      </c>
      <c r="Q3511">
        <v>13</v>
      </c>
      <c r="R3511" t="s">
        <v>43171</v>
      </c>
      <c r="S3511" t="s">
        <v>43311</v>
      </c>
      <c r="T3511" t="s">
        <v>44862</v>
      </c>
      <c r="U3511" t="s">
        <v>48092</v>
      </c>
      <c r="W3511" t="s">
        <v>40679</v>
      </c>
      <c r="X3511" t="s">
        <v>43172</v>
      </c>
    </row>
    <row r="3512" spans="1:24">
      <c r="A3512">
        <f>HYPERLINK("https://www.philgeps.gov.ph/GEPSNONPILOT/Tender/SplashBidNoticeAbstractUI.aspx?menuIndex=3&amp;refID=7082323&amp;Result=3","7082323")</f>
        <v>0</v>
      </c>
      <c r="B3512" t="s">
        <v>1313</v>
      </c>
      <c r="C3512" t="s">
        <v>6766</v>
      </c>
      <c r="D3512" t="s">
        <v>17415</v>
      </c>
      <c r="E3512" t="s">
        <v>20549</v>
      </c>
      <c r="F3512" t="s">
        <v>30052</v>
      </c>
      <c r="G3512" t="s">
        <v>30059</v>
      </c>
      <c r="H3512" t="s">
        <v>15498</v>
      </c>
      <c r="I3512" t="s">
        <v>30081</v>
      </c>
      <c r="J3512" t="s">
        <v>32507</v>
      </c>
      <c r="K3512" t="s">
        <v>39017</v>
      </c>
      <c r="M3512" t="s">
        <v>40680</v>
      </c>
      <c r="N3512" t="s">
        <v>43166</v>
      </c>
      <c r="O3512" t="s">
        <v>43167</v>
      </c>
      <c r="P3512">
        <v>0</v>
      </c>
      <c r="Q3512">
        <v>0</v>
      </c>
      <c r="R3512" t="s">
        <v>43171</v>
      </c>
      <c r="S3512" t="s">
        <v>43311</v>
      </c>
      <c r="T3512" t="s">
        <v>44717</v>
      </c>
      <c r="U3512" t="s">
        <v>48093</v>
      </c>
      <c r="W3512" t="s">
        <v>40680</v>
      </c>
      <c r="X3512" t="s">
        <v>43172</v>
      </c>
    </row>
    <row r="3513" spans="1:24">
      <c r="A3513">
        <f>HYPERLINK("https://www.philgeps.gov.ph/GEPSNONPILOT/Tender/SplashBidNoticeAbstractUI.aspx?menuIndex=3&amp;refID=7082358&amp;Result=3","7082358")</f>
        <v>0</v>
      </c>
      <c r="B3513" t="s">
        <v>1134</v>
      </c>
      <c r="C3513" t="s">
        <v>6767</v>
      </c>
      <c r="D3513" t="s">
        <v>17459</v>
      </c>
      <c r="E3513" t="s">
        <v>20550</v>
      </c>
      <c r="F3513" t="s">
        <v>30052</v>
      </c>
      <c r="G3513" t="s">
        <v>30059</v>
      </c>
      <c r="H3513" t="s">
        <v>15498</v>
      </c>
      <c r="I3513" t="s">
        <v>3606</v>
      </c>
      <c r="J3513" t="s">
        <v>32508</v>
      </c>
      <c r="K3513" t="s">
        <v>39037</v>
      </c>
      <c r="M3513" t="s">
        <v>40477</v>
      </c>
      <c r="N3513" t="s">
        <v>43166</v>
      </c>
      <c r="O3513" t="s">
        <v>43167</v>
      </c>
      <c r="P3513">
        <v>0</v>
      </c>
      <c r="Q3513">
        <v>0</v>
      </c>
      <c r="R3513" t="s">
        <v>43171</v>
      </c>
      <c r="S3513" t="s">
        <v>43311</v>
      </c>
      <c r="T3513" t="s">
        <v>44717</v>
      </c>
      <c r="U3513" t="s">
        <v>48094</v>
      </c>
      <c r="W3513" t="s">
        <v>40477</v>
      </c>
      <c r="X3513" t="s">
        <v>43172</v>
      </c>
    </row>
    <row r="3514" spans="1:24">
      <c r="A3514">
        <f>HYPERLINK("https://www.philgeps.gov.ph/GEPSNONPILOT/Tender/SplashBidNoticeAbstractUI.aspx?menuIndex=3&amp;refID=7082194&amp;Result=3","7082194")</f>
        <v>0</v>
      </c>
      <c r="B3514" t="s">
        <v>1314</v>
      </c>
      <c r="C3514" t="s">
        <v>6768</v>
      </c>
      <c r="D3514" t="s">
        <v>17420</v>
      </c>
      <c r="E3514" t="s">
        <v>20551</v>
      </c>
      <c r="F3514" t="s">
        <v>30052</v>
      </c>
      <c r="G3514" t="s">
        <v>30059</v>
      </c>
      <c r="H3514" t="s">
        <v>15498</v>
      </c>
      <c r="I3514" t="s">
        <v>30086</v>
      </c>
      <c r="J3514" t="s">
        <v>32509</v>
      </c>
      <c r="K3514" t="s">
        <v>39029</v>
      </c>
      <c r="M3514" t="s">
        <v>40681</v>
      </c>
      <c r="N3514" t="s">
        <v>43166</v>
      </c>
      <c r="O3514" t="s">
        <v>43167</v>
      </c>
      <c r="P3514">
        <v>0</v>
      </c>
      <c r="Q3514">
        <v>1</v>
      </c>
      <c r="R3514" t="s">
        <v>43171</v>
      </c>
      <c r="S3514" t="s">
        <v>43311</v>
      </c>
      <c r="T3514" t="s">
        <v>44728</v>
      </c>
      <c r="U3514" t="s">
        <v>48095</v>
      </c>
      <c r="W3514" t="s">
        <v>58632</v>
      </c>
      <c r="X3514" t="s">
        <v>43172</v>
      </c>
    </row>
    <row r="3515" spans="1:24">
      <c r="A3515">
        <f>HYPERLINK("https://www.philgeps.gov.ph/GEPSNONPILOT/Tender/SplashBidNoticeAbstractUI.aspx?menuIndex=3&amp;refID=7082352&amp;Result=3","7082352")</f>
        <v>0</v>
      </c>
      <c r="B3515" t="s">
        <v>1211</v>
      </c>
      <c r="C3515" t="s">
        <v>6769</v>
      </c>
      <c r="D3515" t="s">
        <v>17496</v>
      </c>
      <c r="E3515" t="s">
        <v>20552</v>
      </c>
      <c r="F3515" t="s">
        <v>30052</v>
      </c>
      <c r="G3515" t="s">
        <v>30059</v>
      </c>
      <c r="H3515" t="s">
        <v>15498</v>
      </c>
      <c r="I3515" t="s">
        <v>4119</v>
      </c>
      <c r="J3515" t="s">
        <v>30218</v>
      </c>
      <c r="K3515" t="s">
        <v>39018</v>
      </c>
      <c r="M3515" t="s">
        <v>40565</v>
      </c>
      <c r="N3515" t="s">
        <v>43166</v>
      </c>
      <c r="O3515" t="s">
        <v>43167</v>
      </c>
      <c r="P3515">
        <v>0</v>
      </c>
      <c r="Q3515">
        <v>8</v>
      </c>
      <c r="R3515" t="s">
        <v>43171</v>
      </c>
      <c r="S3515" t="s">
        <v>43311</v>
      </c>
      <c r="T3515" t="s">
        <v>44734</v>
      </c>
      <c r="U3515" t="s">
        <v>47852</v>
      </c>
      <c r="W3515" t="s">
        <v>40565</v>
      </c>
      <c r="X3515" t="s">
        <v>43172</v>
      </c>
    </row>
    <row r="3516" spans="1:24">
      <c r="A3516">
        <f>HYPERLINK("https://www.philgeps.gov.ph/GEPSNONPILOT/Tender/SplashBidNoticeAbstractUI.aspx?menuIndex=3&amp;refID=7082349&amp;Result=3","7082349")</f>
        <v>0</v>
      </c>
      <c r="B3516" t="s">
        <v>866</v>
      </c>
      <c r="C3516" t="s">
        <v>6770</v>
      </c>
      <c r="D3516" t="s">
        <v>17421</v>
      </c>
      <c r="E3516" t="s">
        <v>20553</v>
      </c>
      <c r="F3516" t="s">
        <v>30052</v>
      </c>
      <c r="G3516" t="s">
        <v>30061</v>
      </c>
      <c r="H3516" t="s">
        <v>15498</v>
      </c>
      <c r="I3516" t="s">
        <v>30071</v>
      </c>
      <c r="J3516" t="s">
        <v>32510</v>
      </c>
      <c r="K3516" t="s">
        <v>39037</v>
      </c>
      <c r="M3516" t="s">
        <v>40185</v>
      </c>
      <c r="N3516" t="s">
        <v>43166</v>
      </c>
      <c r="O3516" t="s">
        <v>43167</v>
      </c>
      <c r="P3516">
        <v>0</v>
      </c>
      <c r="Q3516">
        <v>0</v>
      </c>
      <c r="R3516" t="s">
        <v>43171</v>
      </c>
      <c r="S3516" t="s">
        <v>43311</v>
      </c>
      <c r="T3516" t="s">
        <v>44965</v>
      </c>
      <c r="U3516" t="s">
        <v>48096</v>
      </c>
      <c r="W3516" t="s">
        <v>40185</v>
      </c>
      <c r="X3516" t="s">
        <v>43172</v>
      </c>
    </row>
    <row r="3517" spans="1:24">
      <c r="A3517">
        <f>HYPERLINK("https://www.philgeps.gov.ph/GEPSNONPILOT/Tender/SplashBidNoticeAbstractUI.aspx?menuIndex=3&amp;refID=7082355&amp;Result=3","7082355")</f>
        <v>0</v>
      </c>
      <c r="B3517" t="s">
        <v>1315</v>
      </c>
      <c r="C3517" t="s">
        <v>6771</v>
      </c>
      <c r="D3517" t="s">
        <v>17422</v>
      </c>
      <c r="E3517" t="s">
        <v>20554</v>
      </c>
      <c r="F3517" t="s">
        <v>30052</v>
      </c>
      <c r="G3517" t="s">
        <v>30061</v>
      </c>
      <c r="H3517" t="s">
        <v>15498</v>
      </c>
      <c r="I3517" t="s">
        <v>30071</v>
      </c>
      <c r="J3517" t="s">
        <v>32511</v>
      </c>
      <c r="K3517" t="s">
        <v>39018</v>
      </c>
      <c r="M3517" t="s">
        <v>40682</v>
      </c>
      <c r="N3517" t="s">
        <v>43166</v>
      </c>
      <c r="O3517" t="s">
        <v>43167</v>
      </c>
      <c r="P3517">
        <v>0</v>
      </c>
      <c r="Q3517">
        <v>0</v>
      </c>
      <c r="R3517" t="s">
        <v>43171</v>
      </c>
      <c r="S3517" t="s">
        <v>43311</v>
      </c>
      <c r="T3517" t="s">
        <v>44837</v>
      </c>
      <c r="U3517" t="s">
        <v>48097</v>
      </c>
      <c r="W3517" t="s">
        <v>40682</v>
      </c>
      <c r="X3517" t="s">
        <v>43172</v>
      </c>
    </row>
    <row r="3518" spans="1:24">
      <c r="A3518">
        <f>HYPERLINK("https://www.philgeps.gov.ph/GEPSNONPILOT/Tender/SplashBidNoticeAbstractUI.aspx?menuIndex=3&amp;refID=7082348&amp;Result=3","7082348")</f>
        <v>0</v>
      </c>
      <c r="B3518" t="s">
        <v>1316</v>
      </c>
      <c r="C3518" t="s">
        <v>6772</v>
      </c>
      <c r="D3518" t="s">
        <v>17445</v>
      </c>
      <c r="E3518" t="s">
        <v>20555</v>
      </c>
      <c r="F3518" t="s">
        <v>30052</v>
      </c>
      <c r="G3518" t="s">
        <v>30058</v>
      </c>
      <c r="H3518" t="s">
        <v>15498</v>
      </c>
      <c r="I3518" t="s">
        <v>30076</v>
      </c>
      <c r="J3518" t="s">
        <v>30218</v>
      </c>
      <c r="K3518" t="s">
        <v>39029</v>
      </c>
      <c r="M3518" t="s">
        <v>40683</v>
      </c>
      <c r="N3518" t="s">
        <v>43166</v>
      </c>
      <c r="O3518" t="s">
        <v>43167</v>
      </c>
      <c r="P3518">
        <v>0</v>
      </c>
      <c r="Q3518">
        <v>4</v>
      </c>
      <c r="R3518" t="s">
        <v>43171</v>
      </c>
      <c r="S3518" t="s">
        <v>43311</v>
      </c>
      <c r="T3518" t="s">
        <v>44710</v>
      </c>
      <c r="U3518" t="s">
        <v>48098</v>
      </c>
      <c r="W3518" t="s">
        <v>40683</v>
      </c>
      <c r="X3518" t="s">
        <v>43172</v>
      </c>
    </row>
    <row r="3519" spans="1:24">
      <c r="A3519">
        <f>HYPERLINK("https://www.philgeps.gov.ph/GEPSNONPILOT/Tender/SplashBidNoticeAbstractUI.aspx?menuIndex=3&amp;refID=7082357&amp;Result=3","7082357")</f>
        <v>0</v>
      </c>
      <c r="B3519" t="s">
        <v>1317</v>
      </c>
      <c r="C3519" t="s">
        <v>6773</v>
      </c>
      <c r="D3519" t="s">
        <v>17466</v>
      </c>
      <c r="E3519" t="s">
        <v>20258</v>
      </c>
      <c r="F3519" t="s">
        <v>30052</v>
      </c>
      <c r="G3519" t="s">
        <v>30058</v>
      </c>
      <c r="H3519" t="s">
        <v>15498</v>
      </c>
      <c r="I3519" t="s">
        <v>4650</v>
      </c>
      <c r="J3519" t="s">
        <v>31144</v>
      </c>
      <c r="K3519" t="s">
        <v>39039</v>
      </c>
      <c r="M3519" t="s">
        <v>40684</v>
      </c>
      <c r="N3519" t="s">
        <v>43166</v>
      </c>
      <c r="O3519" t="s">
        <v>43167</v>
      </c>
      <c r="P3519">
        <v>0</v>
      </c>
      <c r="Q3519">
        <v>1</v>
      </c>
      <c r="R3519" t="s">
        <v>43171</v>
      </c>
      <c r="S3519" t="s">
        <v>43311</v>
      </c>
      <c r="T3519" t="s">
        <v>44966</v>
      </c>
      <c r="U3519" t="s">
        <v>48099</v>
      </c>
      <c r="W3519" t="s">
        <v>40684</v>
      </c>
      <c r="X3519" t="s">
        <v>43172</v>
      </c>
    </row>
    <row r="3520" spans="1:24">
      <c r="A3520">
        <f>HYPERLINK("https://www.philgeps.gov.ph/GEPSNONPILOT/Tender/SplashBidNoticeAbstractUI.aspx?menuIndex=3&amp;refID=7082130&amp;Result=3","7082130")</f>
        <v>0</v>
      </c>
      <c r="B3520" t="s">
        <v>1318</v>
      </c>
      <c r="C3520" t="s">
        <v>6774</v>
      </c>
      <c r="D3520" t="s">
        <v>17452</v>
      </c>
      <c r="E3520" t="s">
        <v>20556</v>
      </c>
      <c r="F3520" t="s">
        <v>30052</v>
      </c>
      <c r="G3520" t="s">
        <v>30059</v>
      </c>
      <c r="H3520" t="s">
        <v>15498</v>
      </c>
      <c r="I3520" t="s">
        <v>30083</v>
      </c>
      <c r="J3520" t="s">
        <v>32512</v>
      </c>
      <c r="K3520" t="s">
        <v>39017</v>
      </c>
      <c r="M3520" t="s">
        <v>40685</v>
      </c>
      <c r="N3520" t="s">
        <v>43166</v>
      </c>
      <c r="O3520" t="s">
        <v>43167</v>
      </c>
      <c r="P3520">
        <v>0</v>
      </c>
      <c r="Q3520">
        <v>0</v>
      </c>
      <c r="R3520" t="s">
        <v>43171</v>
      </c>
      <c r="S3520" t="s">
        <v>43311</v>
      </c>
      <c r="T3520" t="s">
        <v>44698</v>
      </c>
      <c r="U3520" t="s">
        <v>48100</v>
      </c>
      <c r="W3520" t="s">
        <v>40685</v>
      </c>
      <c r="X3520" t="s">
        <v>43172</v>
      </c>
    </row>
    <row r="3521" spans="1:24">
      <c r="A3521">
        <f>HYPERLINK("https://www.philgeps.gov.ph/GEPSNONPILOT/Tender/SplashBidNoticeAbstractUI.aspx?menuIndex=3&amp;refID=7082356&amp;Result=3","7082356")</f>
        <v>0</v>
      </c>
      <c r="B3521" t="s">
        <v>261</v>
      </c>
      <c r="C3521" t="s">
        <v>6775</v>
      </c>
      <c r="D3521" t="s">
        <v>17454</v>
      </c>
      <c r="E3521" t="s">
        <v>20557</v>
      </c>
      <c r="F3521" t="s">
        <v>30052</v>
      </c>
      <c r="G3521" t="s">
        <v>30061</v>
      </c>
      <c r="H3521" t="s">
        <v>15498</v>
      </c>
      <c r="I3521" t="s">
        <v>30143</v>
      </c>
      <c r="J3521" t="s">
        <v>30292</v>
      </c>
      <c r="K3521" t="s">
        <v>39019</v>
      </c>
      <c r="M3521" t="s">
        <v>39552</v>
      </c>
      <c r="N3521" t="s">
        <v>43166</v>
      </c>
      <c r="O3521" t="s">
        <v>43167</v>
      </c>
      <c r="P3521">
        <v>0</v>
      </c>
      <c r="Q3521">
        <v>1</v>
      </c>
      <c r="R3521" t="s">
        <v>43171</v>
      </c>
      <c r="S3521" t="s">
        <v>43311</v>
      </c>
      <c r="T3521" t="s">
        <v>44864</v>
      </c>
      <c r="U3521" t="s">
        <v>48101</v>
      </c>
      <c r="W3521" t="s">
        <v>39552</v>
      </c>
      <c r="X3521" t="s">
        <v>43172</v>
      </c>
    </row>
    <row r="3522" spans="1:24">
      <c r="A3522">
        <f>HYPERLINK("https://www.philgeps.gov.ph/GEPSNONPILOT/Tender/SplashBidNoticeAbstractUI.aspx?menuIndex=3&amp;refID=7082344&amp;Result=3","7082344")</f>
        <v>0</v>
      </c>
      <c r="B3522" t="s">
        <v>521</v>
      </c>
      <c r="C3522" t="s">
        <v>6776</v>
      </c>
      <c r="D3522" t="s">
        <v>17415</v>
      </c>
      <c r="E3522" t="s">
        <v>20558</v>
      </c>
      <c r="F3522" t="s">
        <v>30052</v>
      </c>
      <c r="G3522" t="s">
        <v>30061</v>
      </c>
      <c r="H3522" t="s">
        <v>15498</v>
      </c>
      <c r="I3522" t="s">
        <v>9238</v>
      </c>
      <c r="J3522" t="s">
        <v>30230</v>
      </c>
      <c r="K3522" t="s">
        <v>39019</v>
      </c>
      <c r="M3522" t="s">
        <v>39823</v>
      </c>
      <c r="N3522" t="s">
        <v>43166</v>
      </c>
      <c r="O3522" t="s">
        <v>43167</v>
      </c>
      <c r="P3522">
        <v>0</v>
      </c>
      <c r="Q3522">
        <v>6</v>
      </c>
      <c r="R3522" t="s">
        <v>43171</v>
      </c>
      <c r="S3522" t="s">
        <v>43311</v>
      </c>
      <c r="T3522" t="s">
        <v>44856</v>
      </c>
      <c r="U3522" t="s">
        <v>48102</v>
      </c>
      <c r="V3522" t="s">
        <v>56959</v>
      </c>
      <c r="W3522" t="s">
        <v>58603</v>
      </c>
      <c r="X3522" t="s">
        <v>43172</v>
      </c>
    </row>
    <row r="3523" spans="1:24">
      <c r="A3523">
        <f>HYPERLINK("https://www.philgeps.gov.ph/GEPSNONPILOT/Tender/SplashBidNoticeAbstractUI.aspx?menuIndex=3&amp;refID=7082343&amp;Result=3","7082343")</f>
        <v>0</v>
      </c>
      <c r="B3523" t="s">
        <v>1209</v>
      </c>
      <c r="C3523" t="s">
        <v>6777</v>
      </c>
      <c r="D3523" t="s">
        <v>17454</v>
      </c>
      <c r="E3523" t="s">
        <v>20559</v>
      </c>
      <c r="F3523" t="s">
        <v>30055</v>
      </c>
      <c r="G3523" t="s">
        <v>30058</v>
      </c>
      <c r="H3523" t="s">
        <v>15498</v>
      </c>
      <c r="I3523" t="s">
        <v>3736</v>
      </c>
      <c r="J3523" t="s">
        <v>32513</v>
      </c>
      <c r="K3523" t="s">
        <v>39034</v>
      </c>
      <c r="M3523" t="s">
        <v>40563</v>
      </c>
      <c r="N3523" t="s">
        <v>43166</v>
      </c>
      <c r="O3523" t="s">
        <v>43167</v>
      </c>
      <c r="P3523">
        <v>0</v>
      </c>
      <c r="Q3523">
        <v>0</v>
      </c>
      <c r="R3523" t="s">
        <v>43171</v>
      </c>
      <c r="S3523" t="s">
        <v>43311</v>
      </c>
      <c r="T3523" t="s">
        <v>44722</v>
      </c>
      <c r="U3523" t="s">
        <v>48103</v>
      </c>
      <c r="W3523" t="s">
        <v>40563</v>
      </c>
      <c r="X3523" t="s">
        <v>43172</v>
      </c>
    </row>
    <row r="3524" spans="1:24">
      <c r="A3524">
        <f>HYPERLINK("https://www.philgeps.gov.ph/GEPSNONPILOT/Tender/SplashBidNoticeAbstractUI.aspx?menuIndex=3&amp;refID=7082340&amp;Result=3","7082340")</f>
        <v>0</v>
      </c>
      <c r="B3524" t="s">
        <v>876</v>
      </c>
      <c r="C3524" t="s">
        <v>6778</v>
      </c>
      <c r="D3524" t="s">
        <v>17448</v>
      </c>
      <c r="E3524" t="s">
        <v>20560</v>
      </c>
      <c r="F3524" t="s">
        <v>30052</v>
      </c>
      <c r="G3524" t="s">
        <v>30059</v>
      </c>
      <c r="H3524" t="s">
        <v>15498</v>
      </c>
      <c r="I3524" t="s">
        <v>30097</v>
      </c>
      <c r="J3524" t="s">
        <v>32514</v>
      </c>
      <c r="K3524" t="s">
        <v>39025</v>
      </c>
      <c r="M3524" t="s">
        <v>40195</v>
      </c>
      <c r="N3524" t="s">
        <v>43166</v>
      </c>
      <c r="O3524" t="s">
        <v>43167</v>
      </c>
      <c r="P3524">
        <v>0</v>
      </c>
      <c r="Q3524">
        <v>1</v>
      </c>
      <c r="R3524" t="s">
        <v>43171</v>
      </c>
      <c r="S3524" t="s">
        <v>43311</v>
      </c>
      <c r="T3524" t="s">
        <v>44735</v>
      </c>
      <c r="U3524" t="s">
        <v>48104</v>
      </c>
      <c r="W3524" t="s">
        <v>40195</v>
      </c>
      <c r="X3524" t="s">
        <v>43172</v>
      </c>
    </row>
    <row r="3525" spans="1:24">
      <c r="A3525">
        <f>HYPERLINK("https://www.philgeps.gov.ph/GEPSNONPILOT/Tender/SplashBidNoticeAbstractUI.aspx?menuIndex=3&amp;refID=7082335&amp;Result=3","7082335")</f>
        <v>0</v>
      </c>
      <c r="B3525" t="s">
        <v>1265</v>
      </c>
      <c r="C3525" t="s">
        <v>6779</v>
      </c>
      <c r="D3525" t="s">
        <v>17462</v>
      </c>
      <c r="E3525" t="s">
        <v>20561</v>
      </c>
      <c r="F3525" t="s">
        <v>30052</v>
      </c>
      <c r="G3525" t="s">
        <v>30059</v>
      </c>
      <c r="H3525" t="s">
        <v>15498</v>
      </c>
      <c r="I3525" t="s">
        <v>30097</v>
      </c>
      <c r="J3525" t="s">
        <v>32515</v>
      </c>
      <c r="K3525" t="s">
        <v>39017</v>
      </c>
      <c r="M3525" t="s">
        <v>40623</v>
      </c>
      <c r="N3525" t="s">
        <v>43166</v>
      </c>
      <c r="O3525" t="s">
        <v>43167</v>
      </c>
      <c r="P3525">
        <v>0</v>
      </c>
      <c r="Q3525">
        <v>2</v>
      </c>
      <c r="R3525" t="s">
        <v>43171</v>
      </c>
      <c r="S3525" t="s">
        <v>43311</v>
      </c>
      <c r="T3525" t="s">
        <v>44773</v>
      </c>
      <c r="U3525" t="s">
        <v>48105</v>
      </c>
      <c r="W3525" t="s">
        <v>40623</v>
      </c>
      <c r="X3525" t="s">
        <v>43172</v>
      </c>
    </row>
    <row r="3526" spans="1:24">
      <c r="A3526">
        <f>HYPERLINK("https://www.philgeps.gov.ph/GEPSNONPILOT/Tender/SplashBidNoticeAbstractUI.aspx?menuIndex=3&amp;refID=7082334&amp;Result=3","7082334")</f>
        <v>0</v>
      </c>
      <c r="B3526" t="s">
        <v>1316</v>
      </c>
      <c r="C3526" t="s">
        <v>6780</v>
      </c>
      <c r="D3526" t="s">
        <v>17445</v>
      </c>
      <c r="E3526" t="s">
        <v>20562</v>
      </c>
      <c r="F3526" t="s">
        <v>30052</v>
      </c>
      <c r="G3526" t="s">
        <v>30058</v>
      </c>
      <c r="H3526" t="s">
        <v>15498</v>
      </c>
      <c r="I3526" t="s">
        <v>30070</v>
      </c>
      <c r="J3526" t="s">
        <v>32516</v>
      </c>
      <c r="K3526" t="s">
        <v>39046</v>
      </c>
      <c r="M3526" t="s">
        <v>40683</v>
      </c>
      <c r="N3526" t="s">
        <v>43166</v>
      </c>
      <c r="O3526" t="s">
        <v>43167</v>
      </c>
      <c r="P3526">
        <v>0</v>
      </c>
      <c r="Q3526">
        <v>1</v>
      </c>
      <c r="R3526" t="s">
        <v>43171</v>
      </c>
      <c r="S3526" t="s">
        <v>43311</v>
      </c>
      <c r="T3526" t="s">
        <v>44787</v>
      </c>
      <c r="U3526" t="s">
        <v>48098</v>
      </c>
      <c r="W3526" t="s">
        <v>40683</v>
      </c>
      <c r="X3526" t="s">
        <v>43172</v>
      </c>
    </row>
    <row r="3527" spans="1:24">
      <c r="A3527">
        <f>HYPERLINK("https://www.philgeps.gov.ph/GEPSNONPILOT/Tender/SplashBidNoticeAbstractUI.aspx?menuIndex=3&amp;refID=7082332&amp;Result=3","7082332")</f>
        <v>0</v>
      </c>
      <c r="B3527" t="s">
        <v>1211</v>
      </c>
      <c r="C3527" t="s">
        <v>6781</v>
      </c>
      <c r="D3527" t="s">
        <v>17496</v>
      </c>
      <c r="E3527" t="s">
        <v>20563</v>
      </c>
      <c r="F3527" t="s">
        <v>30052</v>
      </c>
      <c r="G3527" t="s">
        <v>30059</v>
      </c>
      <c r="H3527" t="s">
        <v>15498</v>
      </c>
      <c r="I3527" t="s">
        <v>30081</v>
      </c>
      <c r="J3527" t="s">
        <v>30209</v>
      </c>
      <c r="K3527" t="s">
        <v>39018</v>
      </c>
      <c r="M3527" t="s">
        <v>40565</v>
      </c>
      <c r="N3527" t="s">
        <v>43166</v>
      </c>
      <c r="O3527" t="s">
        <v>43167</v>
      </c>
      <c r="P3527">
        <v>0</v>
      </c>
      <c r="Q3527">
        <v>0</v>
      </c>
      <c r="R3527" t="s">
        <v>43171</v>
      </c>
      <c r="S3527" t="s">
        <v>43311</v>
      </c>
      <c r="T3527" t="s">
        <v>44734</v>
      </c>
      <c r="U3527" t="s">
        <v>47303</v>
      </c>
      <c r="W3527" t="s">
        <v>40565</v>
      </c>
      <c r="X3527" t="s">
        <v>43172</v>
      </c>
    </row>
    <row r="3528" spans="1:24">
      <c r="A3528">
        <f>HYPERLINK("https://www.philgeps.gov.ph/GEPSNONPILOT/Tender/SplashBidNoticeAbstractUI.aspx?menuIndex=3&amp;refID=7082328&amp;Result=3","7082328")</f>
        <v>0</v>
      </c>
      <c r="B3528" t="s">
        <v>1319</v>
      </c>
      <c r="C3528" t="s">
        <v>6782</v>
      </c>
      <c r="D3528" t="s">
        <v>17474</v>
      </c>
      <c r="E3528" t="s">
        <v>20564</v>
      </c>
      <c r="F3528" t="s">
        <v>30052</v>
      </c>
      <c r="G3528" t="s">
        <v>30059</v>
      </c>
      <c r="H3528" t="s">
        <v>15498</v>
      </c>
      <c r="I3528" t="s">
        <v>3852</v>
      </c>
      <c r="J3528" t="s">
        <v>32517</v>
      </c>
      <c r="K3528" t="s">
        <v>39029</v>
      </c>
      <c r="L3528" t="s">
        <v>1319</v>
      </c>
      <c r="M3528" t="s">
        <v>40686</v>
      </c>
      <c r="N3528" t="s">
        <v>43166</v>
      </c>
      <c r="O3528" t="s">
        <v>43167</v>
      </c>
      <c r="P3528">
        <v>0</v>
      </c>
      <c r="Q3528">
        <v>0</v>
      </c>
      <c r="R3528" t="s">
        <v>43171</v>
      </c>
      <c r="S3528" t="s">
        <v>43311</v>
      </c>
      <c r="T3528" t="s">
        <v>44704</v>
      </c>
      <c r="U3528" t="s">
        <v>48106</v>
      </c>
      <c r="V3528" t="s">
        <v>57236</v>
      </c>
      <c r="W3528" t="s">
        <v>40686</v>
      </c>
      <c r="X3528" t="s">
        <v>43172</v>
      </c>
    </row>
    <row r="3529" spans="1:24">
      <c r="A3529">
        <f>HYPERLINK("https://www.philgeps.gov.ph/GEPSNONPILOT/Tender/SplashBidNoticeAbstractUI.aspx?menuIndex=3&amp;refID=7082346&amp;Result=3","7082346")</f>
        <v>0</v>
      </c>
      <c r="B3529" t="s">
        <v>1320</v>
      </c>
      <c r="C3529" t="s">
        <v>6783</v>
      </c>
      <c r="D3529" t="s">
        <v>17440</v>
      </c>
      <c r="E3529" t="s">
        <v>20565</v>
      </c>
      <c r="F3529" t="s">
        <v>30052</v>
      </c>
      <c r="G3529" t="s">
        <v>30058</v>
      </c>
      <c r="H3529" t="s">
        <v>15498</v>
      </c>
      <c r="I3529" t="s">
        <v>30074</v>
      </c>
      <c r="J3529" t="s">
        <v>32284</v>
      </c>
      <c r="K3529" t="s">
        <v>39029</v>
      </c>
      <c r="M3529" t="s">
        <v>40687</v>
      </c>
      <c r="N3529" t="s">
        <v>43166</v>
      </c>
      <c r="O3529" t="s">
        <v>43167</v>
      </c>
      <c r="P3529">
        <v>0</v>
      </c>
      <c r="Q3529">
        <v>5</v>
      </c>
      <c r="R3529" t="s">
        <v>43171</v>
      </c>
      <c r="S3529" t="s">
        <v>43311</v>
      </c>
      <c r="T3529" t="s">
        <v>44789</v>
      </c>
      <c r="U3529" t="s">
        <v>48107</v>
      </c>
      <c r="V3529" t="s">
        <v>57237</v>
      </c>
      <c r="W3529" t="s">
        <v>40687</v>
      </c>
      <c r="X3529" t="s">
        <v>43172</v>
      </c>
    </row>
    <row r="3530" spans="1:24">
      <c r="A3530">
        <f>HYPERLINK("https://www.philgeps.gov.ph/GEPSNONPILOT/Tender/SplashBidNoticeAbstractUI.aspx?menuIndex=3&amp;refID=7082326&amp;Result=3","7082326")</f>
        <v>0</v>
      </c>
      <c r="B3530" t="s">
        <v>1321</v>
      </c>
      <c r="C3530" t="s">
        <v>6784</v>
      </c>
      <c r="D3530" t="s">
        <v>17424</v>
      </c>
      <c r="E3530" t="s">
        <v>20566</v>
      </c>
      <c r="F3530" t="s">
        <v>30052</v>
      </c>
      <c r="G3530" t="s">
        <v>30059</v>
      </c>
      <c r="H3530" t="s">
        <v>15498</v>
      </c>
      <c r="I3530" t="s">
        <v>30094</v>
      </c>
      <c r="J3530" t="s">
        <v>30302</v>
      </c>
      <c r="K3530" t="s">
        <v>39023</v>
      </c>
      <c r="M3530" t="s">
        <v>40688</v>
      </c>
      <c r="N3530" t="s">
        <v>43166</v>
      </c>
      <c r="O3530" t="s">
        <v>43167</v>
      </c>
      <c r="P3530">
        <v>0</v>
      </c>
      <c r="Q3530">
        <v>0</v>
      </c>
      <c r="R3530" t="s">
        <v>43171</v>
      </c>
      <c r="S3530" t="s">
        <v>43311</v>
      </c>
      <c r="T3530" t="s">
        <v>44777</v>
      </c>
      <c r="U3530" t="s">
        <v>48108</v>
      </c>
      <c r="W3530" t="s">
        <v>40688</v>
      </c>
      <c r="X3530" t="s">
        <v>43172</v>
      </c>
    </row>
    <row r="3531" spans="1:24">
      <c r="A3531">
        <f>HYPERLINK("https://www.philgeps.gov.ph/GEPSNONPILOT/Tender/SplashBidNoticeAbstractUI.aspx?menuIndex=3&amp;refID=7082338&amp;Result=3","7082338")</f>
        <v>0</v>
      </c>
      <c r="B3531" t="s">
        <v>1306</v>
      </c>
      <c r="C3531" t="s">
        <v>6785</v>
      </c>
      <c r="D3531" t="s">
        <v>17431</v>
      </c>
      <c r="E3531" t="s">
        <v>20567</v>
      </c>
      <c r="F3531" t="s">
        <v>30052</v>
      </c>
      <c r="G3531" t="s">
        <v>30059</v>
      </c>
      <c r="H3531" t="s">
        <v>15498</v>
      </c>
      <c r="I3531" t="s">
        <v>30073</v>
      </c>
      <c r="J3531" t="s">
        <v>30277</v>
      </c>
      <c r="K3531" t="s">
        <v>39039</v>
      </c>
      <c r="M3531" t="s">
        <v>40673</v>
      </c>
      <c r="N3531" t="s">
        <v>43166</v>
      </c>
      <c r="O3531" t="s">
        <v>43167</v>
      </c>
      <c r="P3531">
        <v>0</v>
      </c>
      <c r="Q3531">
        <v>0</v>
      </c>
      <c r="R3531" t="s">
        <v>43171</v>
      </c>
      <c r="S3531" t="s">
        <v>43311</v>
      </c>
      <c r="T3531" t="s">
        <v>44717</v>
      </c>
      <c r="U3531" t="s">
        <v>48109</v>
      </c>
      <c r="W3531" t="s">
        <v>40673</v>
      </c>
      <c r="X3531" t="s">
        <v>43172</v>
      </c>
    </row>
    <row r="3532" spans="1:24">
      <c r="A3532">
        <f>HYPERLINK("https://www.philgeps.gov.ph/GEPSNONPILOT/Tender/SplashBidNoticeAbstractUI.aspx?menuIndex=3&amp;refID=7082302&amp;Result=3","7082302")</f>
        <v>0</v>
      </c>
      <c r="B3532" t="s">
        <v>105</v>
      </c>
      <c r="C3532" t="s">
        <v>6786</v>
      </c>
      <c r="E3532" t="s">
        <v>20568</v>
      </c>
      <c r="F3532" t="s">
        <v>30052</v>
      </c>
      <c r="G3532" t="s">
        <v>30059</v>
      </c>
      <c r="H3532" t="s">
        <v>15498</v>
      </c>
      <c r="I3532" t="s">
        <v>6691</v>
      </c>
      <c r="J3532" t="s">
        <v>32518</v>
      </c>
      <c r="K3532" t="s">
        <v>39025</v>
      </c>
      <c r="M3532" t="s">
        <v>39394</v>
      </c>
      <c r="N3532" t="s">
        <v>43166</v>
      </c>
      <c r="O3532" t="s">
        <v>43167</v>
      </c>
      <c r="P3532">
        <v>0</v>
      </c>
      <c r="Q3532">
        <v>1</v>
      </c>
      <c r="R3532" t="s">
        <v>43171</v>
      </c>
      <c r="S3532" t="s">
        <v>43311</v>
      </c>
      <c r="T3532" t="s">
        <v>44843</v>
      </c>
      <c r="U3532" t="s">
        <v>48110</v>
      </c>
      <c r="W3532" t="s">
        <v>39394</v>
      </c>
      <c r="X3532" t="s">
        <v>43172</v>
      </c>
    </row>
    <row r="3533" spans="1:24">
      <c r="A3533">
        <f>HYPERLINK("https://www.philgeps.gov.ph/GEPSNONPILOT/Tender/SplashBidNoticeAbstractUI.aspx?menuIndex=3&amp;refID=7082297&amp;Result=3","7082297")</f>
        <v>0</v>
      </c>
      <c r="B3533" t="s">
        <v>876</v>
      </c>
      <c r="C3533" t="s">
        <v>6787</v>
      </c>
      <c r="D3533" t="s">
        <v>17448</v>
      </c>
      <c r="E3533" t="s">
        <v>20569</v>
      </c>
      <c r="F3533" t="s">
        <v>30052</v>
      </c>
      <c r="G3533" t="s">
        <v>30059</v>
      </c>
      <c r="H3533" t="s">
        <v>15498</v>
      </c>
      <c r="I3533" t="s">
        <v>30180</v>
      </c>
      <c r="J3533" t="s">
        <v>31970</v>
      </c>
      <c r="K3533" t="s">
        <v>39025</v>
      </c>
      <c r="M3533" t="s">
        <v>40195</v>
      </c>
      <c r="N3533" t="s">
        <v>43166</v>
      </c>
      <c r="O3533" t="s">
        <v>43167</v>
      </c>
      <c r="P3533">
        <v>0</v>
      </c>
      <c r="Q3533">
        <v>0</v>
      </c>
      <c r="R3533" t="s">
        <v>43171</v>
      </c>
      <c r="S3533" t="s">
        <v>43311</v>
      </c>
      <c r="T3533" t="s">
        <v>44735</v>
      </c>
      <c r="U3533" t="s">
        <v>48111</v>
      </c>
      <c r="W3533" t="s">
        <v>40195</v>
      </c>
      <c r="X3533" t="s">
        <v>43172</v>
      </c>
    </row>
    <row r="3534" spans="1:24">
      <c r="A3534">
        <f>HYPERLINK("https://www.philgeps.gov.ph/GEPSNONPILOT/Tender/SplashBidNoticeAbstractUI.aspx?menuIndex=3&amp;refID=7082294&amp;Result=3","7082294")</f>
        <v>0</v>
      </c>
      <c r="B3534" t="s">
        <v>1278</v>
      </c>
      <c r="C3534" t="s">
        <v>4648</v>
      </c>
      <c r="D3534" t="s">
        <v>17449</v>
      </c>
      <c r="E3534" t="s">
        <v>20570</v>
      </c>
      <c r="F3534" t="s">
        <v>30052</v>
      </c>
      <c r="G3534" t="s">
        <v>30059</v>
      </c>
      <c r="H3534" t="s">
        <v>15498</v>
      </c>
      <c r="I3534" t="s">
        <v>4650</v>
      </c>
      <c r="J3534" t="s">
        <v>32519</v>
      </c>
      <c r="K3534" t="s">
        <v>39017</v>
      </c>
      <c r="M3534" t="s">
        <v>40642</v>
      </c>
      <c r="N3534" t="s">
        <v>43166</v>
      </c>
      <c r="O3534" t="s">
        <v>43167</v>
      </c>
      <c r="P3534">
        <v>0</v>
      </c>
      <c r="Q3534">
        <v>0</v>
      </c>
      <c r="R3534" t="s">
        <v>43171</v>
      </c>
      <c r="S3534" t="s">
        <v>43311</v>
      </c>
      <c r="T3534" t="s">
        <v>44837</v>
      </c>
      <c r="U3534" t="s">
        <v>48112</v>
      </c>
      <c r="W3534" t="s">
        <v>40642</v>
      </c>
      <c r="X3534" t="s">
        <v>43172</v>
      </c>
    </row>
    <row r="3535" spans="1:24">
      <c r="A3535">
        <f>HYPERLINK("https://www.philgeps.gov.ph/GEPSNONPILOT/Tender/SplashBidNoticeAbstractUI.aspx?menuIndex=3&amp;refID=7082291&amp;Result=3","7082291")</f>
        <v>0</v>
      </c>
      <c r="B3535" t="s">
        <v>57</v>
      </c>
      <c r="C3535" t="s">
        <v>6788</v>
      </c>
      <c r="D3535" t="s">
        <v>17439</v>
      </c>
      <c r="E3535" t="s">
        <v>20571</v>
      </c>
      <c r="F3535" t="s">
        <v>30052</v>
      </c>
      <c r="G3535" t="s">
        <v>30059</v>
      </c>
      <c r="H3535" t="s">
        <v>15498</v>
      </c>
      <c r="I3535" t="s">
        <v>30111</v>
      </c>
      <c r="J3535" t="s">
        <v>30248</v>
      </c>
      <c r="K3535" t="s">
        <v>39025</v>
      </c>
      <c r="M3535" t="s">
        <v>39346</v>
      </c>
      <c r="N3535" t="s">
        <v>43166</v>
      </c>
      <c r="O3535" t="s">
        <v>43167</v>
      </c>
      <c r="P3535">
        <v>0</v>
      </c>
      <c r="Q3535">
        <v>1</v>
      </c>
      <c r="R3535" t="s">
        <v>43171</v>
      </c>
      <c r="S3535" t="s">
        <v>43311</v>
      </c>
      <c r="T3535" t="s">
        <v>44837</v>
      </c>
      <c r="U3535" t="s">
        <v>47838</v>
      </c>
      <c r="V3535" t="s">
        <v>57238</v>
      </c>
      <c r="W3535" t="s">
        <v>39346</v>
      </c>
      <c r="X3535" t="s">
        <v>43172</v>
      </c>
    </row>
    <row r="3536" spans="1:24">
      <c r="A3536">
        <f>HYPERLINK("https://www.philgeps.gov.ph/GEPSNONPILOT/Tender/SplashBidNoticeAbstractUI.aspx?menuIndex=3&amp;refID=7082260&amp;Result=3","7082260")</f>
        <v>0</v>
      </c>
      <c r="B3536" t="s">
        <v>759</v>
      </c>
      <c r="C3536" t="s">
        <v>6789</v>
      </c>
      <c r="D3536" t="s">
        <v>17416</v>
      </c>
      <c r="E3536" t="s">
        <v>20572</v>
      </c>
      <c r="F3536" t="s">
        <v>30052</v>
      </c>
      <c r="G3536" t="s">
        <v>30059</v>
      </c>
      <c r="H3536" t="s">
        <v>15498</v>
      </c>
      <c r="I3536" t="s">
        <v>3736</v>
      </c>
      <c r="J3536" t="s">
        <v>32520</v>
      </c>
      <c r="K3536" t="s">
        <v>39017</v>
      </c>
      <c r="M3536" t="s">
        <v>40073</v>
      </c>
      <c r="N3536" t="s">
        <v>43166</v>
      </c>
      <c r="O3536" t="s">
        <v>43167</v>
      </c>
      <c r="P3536">
        <v>0</v>
      </c>
      <c r="Q3536">
        <v>0</v>
      </c>
      <c r="R3536" t="s">
        <v>43171</v>
      </c>
      <c r="S3536" t="s">
        <v>43311</v>
      </c>
      <c r="T3536" t="s">
        <v>44806</v>
      </c>
      <c r="U3536" t="s">
        <v>48113</v>
      </c>
      <c r="W3536" t="s">
        <v>40073</v>
      </c>
      <c r="X3536" t="s">
        <v>43172</v>
      </c>
    </row>
    <row r="3537" spans="1:24">
      <c r="A3537">
        <f>HYPERLINK("https://www.philgeps.gov.ph/GEPSNONPILOT/Tender/SplashBidNoticeAbstractUI.aspx?menuIndex=3&amp;refID=7082256&amp;Result=3","7082256")</f>
        <v>0</v>
      </c>
      <c r="B3537" t="s">
        <v>1273</v>
      </c>
      <c r="C3537" t="s">
        <v>6790</v>
      </c>
      <c r="D3537" t="s">
        <v>17434</v>
      </c>
      <c r="E3537" t="s">
        <v>20573</v>
      </c>
      <c r="F3537" t="s">
        <v>30052</v>
      </c>
      <c r="G3537" t="s">
        <v>30059</v>
      </c>
      <c r="H3537" t="s">
        <v>15498</v>
      </c>
      <c r="I3537" t="s">
        <v>3852</v>
      </c>
      <c r="J3537" t="s">
        <v>30337</v>
      </c>
      <c r="K3537" t="s">
        <v>39017</v>
      </c>
      <c r="M3537" t="s">
        <v>40633</v>
      </c>
      <c r="N3537" t="s">
        <v>43166</v>
      </c>
      <c r="O3537" t="s">
        <v>43167</v>
      </c>
      <c r="P3537">
        <v>0</v>
      </c>
      <c r="Q3537">
        <v>2</v>
      </c>
      <c r="R3537" t="s">
        <v>43171</v>
      </c>
      <c r="S3537" t="s">
        <v>43311</v>
      </c>
      <c r="T3537" t="s">
        <v>44736</v>
      </c>
      <c r="U3537" t="s">
        <v>47995</v>
      </c>
      <c r="W3537" t="s">
        <v>40633</v>
      </c>
      <c r="X3537" t="s">
        <v>43172</v>
      </c>
    </row>
    <row r="3538" spans="1:24">
      <c r="A3538">
        <f>HYPERLINK("https://www.philgeps.gov.ph/GEPSNONPILOT/Tender/SplashBidNoticeAbstractUI.aspx?menuIndex=3&amp;refID=7082329&amp;Result=3","7082329")</f>
        <v>0</v>
      </c>
      <c r="B3538" t="s">
        <v>1303</v>
      </c>
      <c r="C3538" t="s">
        <v>6791</v>
      </c>
      <c r="D3538" t="s">
        <v>17446</v>
      </c>
      <c r="E3538" t="s">
        <v>11577</v>
      </c>
      <c r="F3538" t="s">
        <v>30052</v>
      </c>
      <c r="G3538" t="s">
        <v>30058</v>
      </c>
      <c r="H3538" t="s">
        <v>30067</v>
      </c>
      <c r="I3538" t="s">
        <v>3693</v>
      </c>
      <c r="J3538" t="s">
        <v>30277</v>
      </c>
      <c r="K3538" t="s">
        <v>39019</v>
      </c>
      <c r="M3538" t="s">
        <v>40670</v>
      </c>
      <c r="N3538" t="s">
        <v>43166</v>
      </c>
      <c r="O3538" t="s">
        <v>43167</v>
      </c>
      <c r="P3538">
        <v>0</v>
      </c>
      <c r="Q3538">
        <v>0</v>
      </c>
      <c r="R3538" t="s">
        <v>43171</v>
      </c>
      <c r="S3538" t="s">
        <v>43311</v>
      </c>
      <c r="T3538" t="s">
        <v>44967</v>
      </c>
      <c r="U3538" t="s">
        <v>48114</v>
      </c>
      <c r="W3538" t="s">
        <v>40670</v>
      </c>
      <c r="X3538" t="s">
        <v>43172</v>
      </c>
    </row>
    <row r="3539" spans="1:24">
      <c r="A3539">
        <f>HYPERLINK("https://www.philgeps.gov.ph/GEPSNONPILOT/Tender/SplashBidNoticeAbstractUI.aspx?menuIndex=3&amp;refID=7082255&amp;Result=3","7082255")</f>
        <v>0</v>
      </c>
      <c r="B3539" t="s">
        <v>740</v>
      </c>
      <c r="C3539" t="s">
        <v>6792</v>
      </c>
      <c r="D3539" t="s">
        <v>17443</v>
      </c>
      <c r="E3539" t="s">
        <v>20574</v>
      </c>
      <c r="F3539" t="s">
        <v>30052</v>
      </c>
      <c r="G3539" t="s">
        <v>30058</v>
      </c>
      <c r="H3539" t="s">
        <v>30067</v>
      </c>
      <c r="I3539" t="s">
        <v>3736</v>
      </c>
      <c r="J3539" t="s">
        <v>32521</v>
      </c>
      <c r="K3539" t="s">
        <v>39034</v>
      </c>
      <c r="M3539" t="s">
        <v>40053</v>
      </c>
      <c r="N3539" t="s">
        <v>43166</v>
      </c>
      <c r="O3539" t="s">
        <v>43167</v>
      </c>
      <c r="P3539">
        <v>0</v>
      </c>
      <c r="Q3539">
        <v>0</v>
      </c>
      <c r="R3539" t="s">
        <v>43171</v>
      </c>
      <c r="S3539" t="s">
        <v>43311</v>
      </c>
      <c r="T3539" t="s">
        <v>44710</v>
      </c>
      <c r="U3539" t="s">
        <v>48115</v>
      </c>
      <c r="V3539" t="s">
        <v>57232</v>
      </c>
      <c r="W3539" t="s">
        <v>40053</v>
      </c>
      <c r="X3539" t="s">
        <v>43172</v>
      </c>
    </row>
    <row r="3540" spans="1:24">
      <c r="A3540">
        <f>HYPERLINK("https://www.philgeps.gov.ph/GEPSNONPILOT/Tender/SplashBidNoticeAbstractUI.aspx?menuIndex=3&amp;refID=7082295&amp;Result=3","7082295")</f>
        <v>0</v>
      </c>
      <c r="B3540" t="s">
        <v>1313</v>
      </c>
      <c r="C3540" t="s">
        <v>6793</v>
      </c>
      <c r="D3540" t="s">
        <v>17415</v>
      </c>
      <c r="E3540" t="s">
        <v>20575</v>
      </c>
      <c r="F3540" t="s">
        <v>30052</v>
      </c>
      <c r="G3540" t="s">
        <v>30059</v>
      </c>
      <c r="H3540" t="s">
        <v>15498</v>
      </c>
      <c r="I3540" t="s">
        <v>7228</v>
      </c>
      <c r="J3540" t="s">
        <v>30292</v>
      </c>
      <c r="K3540" t="s">
        <v>39017</v>
      </c>
      <c r="M3540" t="s">
        <v>40680</v>
      </c>
      <c r="N3540" t="s">
        <v>43166</v>
      </c>
      <c r="O3540" t="s">
        <v>43167</v>
      </c>
      <c r="P3540">
        <v>0</v>
      </c>
      <c r="Q3540">
        <v>0</v>
      </c>
      <c r="R3540" t="s">
        <v>43171</v>
      </c>
      <c r="S3540" t="s">
        <v>43311</v>
      </c>
      <c r="T3540" t="s">
        <v>44717</v>
      </c>
      <c r="U3540" t="s">
        <v>48116</v>
      </c>
      <c r="W3540" t="s">
        <v>40680</v>
      </c>
      <c r="X3540" t="s">
        <v>43172</v>
      </c>
    </row>
    <row r="3541" spans="1:24">
      <c r="A3541">
        <f>HYPERLINK("https://www.philgeps.gov.ph/GEPSNONPILOT/Tender/SplashBidNoticeAbstractUI.aspx?menuIndex=3&amp;refID=7082249&amp;Result=3","7082249")</f>
        <v>0</v>
      </c>
      <c r="B3541" t="s">
        <v>409</v>
      </c>
      <c r="C3541" t="s">
        <v>6763</v>
      </c>
      <c r="D3541" t="s">
        <v>17473</v>
      </c>
      <c r="E3541" t="s">
        <v>20576</v>
      </c>
      <c r="F3541" t="s">
        <v>30052</v>
      </c>
      <c r="G3541" t="s">
        <v>30059</v>
      </c>
      <c r="H3541" t="s">
        <v>15498</v>
      </c>
      <c r="I3541" t="s">
        <v>6691</v>
      </c>
      <c r="J3541" t="s">
        <v>30337</v>
      </c>
      <c r="K3541" t="s">
        <v>39025</v>
      </c>
      <c r="M3541" t="s">
        <v>40032</v>
      </c>
      <c r="N3541" t="s">
        <v>43166</v>
      </c>
      <c r="O3541" t="s">
        <v>43167</v>
      </c>
      <c r="P3541">
        <v>0</v>
      </c>
      <c r="Q3541">
        <v>0</v>
      </c>
      <c r="R3541" t="s">
        <v>43171</v>
      </c>
      <c r="S3541" t="s">
        <v>43311</v>
      </c>
      <c r="T3541" t="s">
        <v>44737</v>
      </c>
      <c r="U3541" t="s">
        <v>48117</v>
      </c>
      <c r="W3541" t="s">
        <v>40032</v>
      </c>
      <c r="X3541" t="s">
        <v>43172</v>
      </c>
    </row>
    <row r="3542" spans="1:24">
      <c r="A3542">
        <f>HYPERLINK("https://www.philgeps.gov.ph/GEPSNONPILOT/Tender/SplashBidNoticeAbstractUI.aspx?menuIndex=3&amp;refID=7082248&amp;Result=3","7082248")</f>
        <v>0</v>
      </c>
      <c r="B3542" t="s">
        <v>1206</v>
      </c>
      <c r="C3542" t="s">
        <v>6794</v>
      </c>
      <c r="D3542" t="s">
        <v>17439</v>
      </c>
      <c r="E3542" t="s">
        <v>20577</v>
      </c>
      <c r="F3542" t="s">
        <v>30052</v>
      </c>
      <c r="G3542" t="s">
        <v>30058</v>
      </c>
      <c r="H3542" t="s">
        <v>30067</v>
      </c>
      <c r="I3542" t="s">
        <v>3693</v>
      </c>
      <c r="J3542" t="s">
        <v>32522</v>
      </c>
      <c r="K3542" t="s">
        <v>39057</v>
      </c>
      <c r="M3542" t="s">
        <v>40560</v>
      </c>
      <c r="N3542" t="s">
        <v>43166</v>
      </c>
      <c r="O3542" t="s">
        <v>43167</v>
      </c>
      <c r="P3542">
        <v>0</v>
      </c>
      <c r="Q3542">
        <v>2</v>
      </c>
      <c r="R3542" t="s">
        <v>43171</v>
      </c>
      <c r="S3542" t="s">
        <v>43311</v>
      </c>
      <c r="T3542" t="s">
        <v>44953</v>
      </c>
      <c r="U3542" t="s">
        <v>48118</v>
      </c>
      <c r="W3542" t="s">
        <v>40560</v>
      </c>
      <c r="X3542" t="s">
        <v>43172</v>
      </c>
    </row>
    <row r="3543" spans="1:24">
      <c r="A3543">
        <f>HYPERLINK("https://www.philgeps.gov.ph/GEPSNONPILOT/Tender/SplashBidNoticeAbstractUI.aspx?menuIndex=3&amp;refID=7082095&amp;Result=3","7082095")</f>
        <v>0</v>
      </c>
      <c r="B3543" t="s">
        <v>541</v>
      </c>
      <c r="C3543" t="s">
        <v>6795</v>
      </c>
      <c r="D3543" t="s">
        <v>17458</v>
      </c>
      <c r="E3543" t="s">
        <v>20578</v>
      </c>
      <c r="F3543" t="s">
        <v>30052</v>
      </c>
      <c r="G3543" t="s">
        <v>30059</v>
      </c>
      <c r="H3543" t="s">
        <v>15498</v>
      </c>
      <c r="I3543" t="s">
        <v>30071</v>
      </c>
      <c r="J3543" t="s">
        <v>32523</v>
      </c>
      <c r="K3543" t="s">
        <v>39017</v>
      </c>
      <c r="M3543" t="s">
        <v>39843</v>
      </c>
      <c r="N3543" t="s">
        <v>43166</v>
      </c>
      <c r="O3543" t="s">
        <v>43167</v>
      </c>
      <c r="P3543">
        <v>0</v>
      </c>
      <c r="Q3543">
        <v>0</v>
      </c>
      <c r="R3543" t="s">
        <v>43171</v>
      </c>
      <c r="S3543" t="s">
        <v>43311</v>
      </c>
      <c r="T3543" t="s">
        <v>44773</v>
      </c>
      <c r="U3543" t="s">
        <v>46404</v>
      </c>
      <c r="W3543" t="s">
        <v>58604</v>
      </c>
      <c r="X3543" t="s">
        <v>43172</v>
      </c>
    </row>
    <row r="3544" spans="1:24">
      <c r="A3544">
        <f>HYPERLINK("https://www.philgeps.gov.ph/GEPSNONPILOT/Tender/SplashBidNoticeAbstractUI.aspx?menuIndex=3&amp;refID=7082257&amp;Result=3","7082257")</f>
        <v>0</v>
      </c>
      <c r="B3544" t="s">
        <v>1322</v>
      </c>
      <c r="C3544" t="s">
        <v>6796</v>
      </c>
      <c r="D3544" t="s">
        <v>17466</v>
      </c>
      <c r="E3544" t="s">
        <v>20579</v>
      </c>
      <c r="F3544" t="s">
        <v>30052</v>
      </c>
      <c r="G3544" t="s">
        <v>30061</v>
      </c>
      <c r="H3544" t="s">
        <v>15498</v>
      </c>
      <c r="I3544" t="s">
        <v>4650</v>
      </c>
      <c r="J3544" t="s">
        <v>31697</v>
      </c>
      <c r="K3544" t="s">
        <v>39036</v>
      </c>
      <c r="M3544" t="s">
        <v>40689</v>
      </c>
      <c r="N3544" t="s">
        <v>43166</v>
      </c>
      <c r="O3544" t="s">
        <v>43167</v>
      </c>
      <c r="P3544">
        <v>0</v>
      </c>
      <c r="Q3544">
        <v>0</v>
      </c>
      <c r="R3544" t="s">
        <v>43171</v>
      </c>
      <c r="S3544" t="s">
        <v>43311</v>
      </c>
      <c r="T3544" t="s">
        <v>44844</v>
      </c>
      <c r="U3544" t="s">
        <v>48119</v>
      </c>
      <c r="W3544" t="s">
        <v>40689</v>
      </c>
      <c r="X3544" t="s">
        <v>43172</v>
      </c>
    </row>
    <row r="3545" spans="1:24">
      <c r="A3545">
        <f>HYPERLINK("https://www.philgeps.gov.ph/GEPSNONPILOT/Tender/SplashBidNoticeAbstractUI.aspx?menuIndex=3&amp;refID=7082391&amp;Result=3","7082391")</f>
        <v>0</v>
      </c>
      <c r="B3545" t="s">
        <v>663</v>
      </c>
      <c r="C3545" t="s">
        <v>6797</v>
      </c>
      <c r="D3545" t="s">
        <v>17415</v>
      </c>
      <c r="E3545" t="s">
        <v>20580</v>
      </c>
      <c r="F3545" t="s">
        <v>30052</v>
      </c>
      <c r="G3545" t="s">
        <v>30059</v>
      </c>
      <c r="H3545" t="s">
        <v>15498</v>
      </c>
      <c r="I3545" t="s">
        <v>30096</v>
      </c>
      <c r="J3545" t="s">
        <v>32524</v>
      </c>
      <c r="K3545" t="s">
        <v>39017</v>
      </c>
      <c r="M3545" t="s">
        <v>39969</v>
      </c>
      <c r="N3545" t="s">
        <v>43166</v>
      </c>
      <c r="O3545" t="s">
        <v>43167</v>
      </c>
      <c r="P3545">
        <v>0</v>
      </c>
      <c r="Q3545">
        <v>12</v>
      </c>
      <c r="R3545" t="s">
        <v>43171</v>
      </c>
      <c r="S3545" t="s">
        <v>43311</v>
      </c>
      <c r="T3545" t="s">
        <v>44837</v>
      </c>
      <c r="U3545" t="s">
        <v>48120</v>
      </c>
      <c r="W3545" t="s">
        <v>39969</v>
      </c>
      <c r="X3545" t="s">
        <v>43172</v>
      </c>
    </row>
    <row r="3546" spans="1:24">
      <c r="A3546">
        <f>HYPERLINK("https://www.philgeps.gov.ph/GEPSNONPILOT/Tender/SplashBidNoticeAbstractUI.aspx?menuIndex=3&amp;refID=7082342&amp;Result=3","7082342")</f>
        <v>0</v>
      </c>
      <c r="B3546" t="s">
        <v>147</v>
      </c>
      <c r="C3546" t="s">
        <v>6798</v>
      </c>
      <c r="D3546" t="s">
        <v>17421</v>
      </c>
      <c r="E3546" t="s">
        <v>20581</v>
      </c>
      <c r="F3546" t="s">
        <v>30052</v>
      </c>
      <c r="G3546" t="s">
        <v>30058</v>
      </c>
      <c r="H3546" t="s">
        <v>15498</v>
      </c>
      <c r="I3546" t="s">
        <v>4650</v>
      </c>
      <c r="J3546" t="s">
        <v>31733</v>
      </c>
      <c r="K3546" t="s">
        <v>39019</v>
      </c>
      <c r="M3546" t="s">
        <v>39436</v>
      </c>
      <c r="N3546" t="s">
        <v>43166</v>
      </c>
      <c r="O3546" t="s">
        <v>43167</v>
      </c>
      <c r="P3546">
        <v>0</v>
      </c>
      <c r="Q3546">
        <v>3</v>
      </c>
      <c r="R3546" t="s">
        <v>43171</v>
      </c>
      <c r="S3546" t="s">
        <v>43311</v>
      </c>
      <c r="T3546" t="s">
        <v>44741</v>
      </c>
      <c r="U3546" t="s">
        <v>48121</v>
      </c>
      <c r="V3546" t="s">
        <v>56848</v>
      </c>
      <c r="W3546" t="s">
        <v>39436</v>
      </c>
      <c r="X3546" t="s">
        <v>43172</v>
      </c>
    </row>
    <row r="3547" spans="1:24">
      <c r="A3547">
        <f>HYPERLINK("https://www.philgeps.gov.ph/GEPSNONPILOT/Tender/SplashBidNoticeAbstractUI.aspx?menuIndex=3&amp;refID=7082389&amp;Result=3","7082389")</f>
        <v>0</v>
      </c>
      <c r="B3547" t="s">
        <v>1270</v>
      </c>
      <c r="C3547" t="s">
        <v>6799</v>
      </c>
      <c r="D3547" t="s">
        <v>17465</v>
      </c>
      <c r="E3547" t="s">
        <v>20582</v>
      </c>
      <c r="F3547" t="s">
        <v>30052</v>
      </c>
      <c r="G3547" t="s">
        <v>30058</v>
      </c>
      <c r="H3547" t="s">
        <v>30067</v>
      </c>
      <c r="I3547" t="s">
        <v>3693</v>
      </c>
      <c r="J3547" t="s">
        <v>32525</v>
      </c>
      <c r="K3547" t="s">
        <v>39026</v>
      </c>
      <c r="M3547" t="s">
        <v>40629</v>
      </c>
      <c r="N3547" t="s">
        <v>43166</v>
      </c>
      <c r="O3547" t="s">
        <v>43167</v>
      </c>
      <c r="P3547">
        <v>0</v>
      </c>
      <c r="Q3547">
        <v>4</v>
      </c>
      <c r="R3547" t="s">
        <v>43171</v>
      </c>
      <c r="S3547" t="s">
        <v>43311</v>
      </c>
      <c r="T3547" t="s">
        <v>44879</v>
      </c>
      <c r="U3547" t="s">
        <v>48122</v>
      </c>
      <c r="W3547" t="s">
        <v>40629</v>
      </c>
      <c r="X3547" t="s">
        <v>43172</v>
      </c>
    </row>
    <row r="3548" spans="1:24">
      <c r="A3548">
        <f>HYPERLINK("https://www.philgeps.gov.ph/GEPSNONPILOT/Tender/SplashBidNoticeAbstractUI.aspx?menuIndex=3&amp;refID=7082303&amp;Result=3","7082303")</f>
        <v>0</v>
      </c>
      <c r="B3548" t="s">
        <v>1270</v>
      </c>
      <c r="C3548" t="s">
        <v>6800</v>
      </c>
      <c r="D3548" t="s">
        <v>17465</v>
      </c>
      <c r="E3548" t="s">
        <v>20583</v>
      </c>
      <c r="F3548" t="s">
        <v>30052</v>
      </c>
      <c r="G3548" t="s">
        <v>30058</v>
      </c>
      <c r="H3548" t="s">
        <v>15498</v>
      </c>
      <c r="I3548" t="s">
        <v>30097</v>
      </c>
      <c r="J3548" t="s">
        <v>32526</v>
      </c>
      <c r="K3548" t="s">
        <v>39034</v>
      </c>
      <c r="M3548" t="s">
        <v>40629</v>
      </c>
      <c r="N3548" t="s">
        <v>43166</v>
      </c>
      <c r="O3548" t="s">
        <v>43167</v>
      </c>
      <c r="P3548">
        <v>0</v>
      </c>
      <c r="Q3548">
        <v>3</v>
      </c>
      <c r="R3548" t="s">
        <v>43171</v>
      </c>
      <c r="S3548" t="s">
        <v>43311</v>
      </c>
      <c r="T3548" t="s">
        <v>44879</v>
      </c>
      <c r="U3548" t="s">
        <v>48123</v>
      </c>
      <c r="W3548" t="s">
        <v>40629</v>
      </c>
      <c r="X3548" t="s">
        <v>43172</v>
      </c>
    </row>
    <row r="3549" spans="1:24">
      <c r="A3549">
        <f>HYPERLINK("https://www.philgeps.gov.ph/GEPSNONPILOT/Tender/SplashBidNoticeAbstractUI.aspx?menuIndex=3&amp;refID=7082387&amp;Result=3","7082387")</f>
        <v>0</v>
      </c>
      <c r="B3549" t="s">
        <v>1323</v>
      </c>
      <c r="C3549" t="s">
        <v>6801</v>
      </c>
      <c r="D3549" t="s">
        <v>17426</v>
      </c>
      <c r="E3549" t="s">
        <v>20584</v>
      </c>
      <c r="F3549" t="s">
        <v>30052</v>
      </c>
      <c r="G3549" t="s">
        <v>30059</v>
      </c>
      <c r="H3549" t="s">
        <v>30067</v>
      </c>
      <c r="I3549" t="s">
        <v>4650</v>
      </c>
      <c r="J3549" t="s">
        <v>30250</v>
      </c>
      <c r="K3549" t="s">
        <v>39017</v>
      </c>
      <c r="M3549" t="s">
        <v>40690</v>
      </c>
      <c r="N3549" t="s">
        <v>43166</v>
      </c>
      <c r="O3549" t="s">
        <v>43167</v>
      </c>
      <c r="P3549">
        <v>0</v>
      </c>
      <c r="Q3549">
        <v>2</v>
      </c>
      <c r="R3549" t="s">
        <v>43171</v>
      </c>
      <c r="S3549" t="s">
        <v>43311</v>
      </c>
      <c r="T3549" t="s">
        <v>44685</v>
      </c>
      <c r="U3549" t="s">
        <v>48124</v>
      </c>
      <c r="W3549" t="s">
        <v>40690</v>
      </c>
      <c r="X3549" t="s">
        <v>43172</v>
      </c>
    </row>
    <row r="3550" spans="1:24">
      <c r="A3550">
        <f>HYPERLINK("https://www.philgeps.gov.ph/GEPSNONPILOT/Tender/SplashBidNoticeAbstractUI.aspx?menuIndex=3&amp;refID=7082382&amp;Result=3","7082382")</f>
        <v>0</v>
      </c>
      <c r="B3550" t="s">
        <v>1304</v>
      </c>
      <c r="C3550" t="s">
        <v>6802</v>
      </c>
      <c r="D3550" t="s">
        <v>17458</v>
      </c>
      <c r="E3550" t="s">
        <v>20585</v>
      </c>
      <c r="F3550" t="s">
        <v>30052</v>
      </c>
      <c r="G3550" t="s">
        <v>30058</v>
      </c>
      <c r="H3550" t="s">
        <v>30067</v>
      </c>
      <c r="I3550" t="s">
        <v>3693</v>
      </c>
      <c r="J3550" t="s">
        <v>30559</v>
      </c>
      <c r="K3550" t="s">
        <v>39046</v>
      </c>
      <c r="M3550" t="s">
        <v>40671</v>
      </c>
      <c r="N3550" t="s">
        <v>43166</v>
      </c>
      <c r="O3550" t="s">
        <v>43167</v>
      </c>
      <c r="P3550">
        <v>0</v>
      </c>
      <c r="Q3550">
        <v>0</v>
      </c>
      <c r="R3550" t="s">
        <v>43171</v>
      </c>
      <c r="S3550" t="s">
        <v>43311</v>
      </c>
      <c r="T3550" t="s">
        <v>44705</v>
      </c>
      <c r="U3550" t="s">
        <v>48125</v>
      </c>
      <c r="V3550" t="s">
        <v>57233</v>
      </c>
      <c r="W3550" t="s">
        <v>40671</v>
      </c>
      <c r="X3550" t="s">
        <v>43172</v>
      </c>
    </row>
    <row r="3551" spans="1:24">
      <c r="A3551">
        <f>HYPERLINK("https://www.philgeps.gov.ph/GEPSNONPILOT/Tender/SplashBidNoticeAbstractUI.aspx?menuIndex=3&amp;refID=7082253&amp;Result=3","7082253")</f>
        <v>0</v>
      </c>
      <c r="B3551" t="s">
        <v>1324</v>
      </c>
      <c r="C3551" t="s">
        <v>6803</v>
      </c>
      <c r="D3551" t="s">
        <v>17446</v>
      </c>
      <c r="E3551" t="s">
        <v>20586</v>
      </c>
      <c r="F3551" t="s">
        <v>30052</v>
      </c>
      <c r="G3551" t="s">
        <v>30059</v>
      </c>
      <c r="H3551" t="s">
        <v>30067</v>
      </c>
      <c r="I3551" t="s">
        <v>30093</v>
      </c>
      <c r="J3551" t="s">
        <v>30472</v>
      </c>
      <c r="K3551" t="s">
        <v>39040</v>
      </c>
      <c r="M3551" t="s">
        <v>40691</v>
      </c>
      <c r="N3551" t="s">
        <v>43166</v>
      </c>
      <c r="O3551" t="s">
        <v>43167</v>
      </c>
      <c r="P3551">
        <v>0</v>
      </c>
      <c r="Q3551">
        <v>0</v>
      </c>
      <c r="R3551" t="s">
        <v>43171</v>
      </c>
      <c r="S3551" t="s">
        <v>43311</v>
      </c>
      <c r="T3551" t="s">
        <v>44720</v>
      </c>
      <c r="U3551" t="s">
        <v>48126</v>
      </c>
      <c r="W3551" t="s">
        <v>40691</v>
      </c>
      <c r="X3551" t="s">
        <v>43172</v>
      </c>
    </row>
    <row r="3552" spans="1:24">
      <c r="A3552">
        <f>HYPERLINK("https://www.philgeps.gov.ph/GEPSNONPILOT/Tender/SplashBidNoticeAbstractUI.aspx?menuIndex=3&amp;refID=7082381&amp;Result=3","7082381")</f>
        <v>0</v>
      </c>
      <c r="B3552" t="s">
        <v>1325</v>
      </c>
      <c r="C3552" t="s">
        <v>6804</v>
      </c>
      <c r="D3552" t="s">
        <v>17413</v>
      </c>
      <c r="E3552" t="s">
        <v>20587</v>
      </c>
      <c r="F3552" t="s">
        <v>30052</v>
      </c>
      <c r="G3552" t="s">
        <v>30058</v>
      </c>
      <c r="H3552" t="s">
        <v>30067</v>
      </c>
      <c r="I3552" t="s">
        <v>3693</v>
      </c>
      <c r="J3552" t="s">
        <v>32527</v>
      </c>
      <c r="K3552" t="s">
        <v>39130</v>
      </c>
      <c r="M3552" t="s">
        <v>40692</v>
      </c>
      <c r="N3552" t="s">
        <v>43166</v>
      </c>
      <c r="O3552" t="s">
        <v>43167</v>
      </c>
      <c r="P3552">
        <v>0</v>
      </c>
      <c r="Q3552">
        <v>0</v>
      </c>
      <c r="R3552" t="s">
        <v>43171</v>
      </c>
      <c r="S3552" t="s">
        <v>43311</v>
      </c>
      <c r="T3552" t="s">
        <v>44680</v>
      </c>
      <c r="U3552" t="s">
        <v>48127</v>
      </c>
      <c r="W3552" t="s">
        <v>40692</v>
      </c>
      <c r="X3552" t="s">
        <v>43172</v>
      </c>
    </row>
    <row r="3553" spans="1:24">
      <c r="A3553">
        <f>HYPERLINK("https://www.philgeps.gov.ph/GEPSNONPILOT/Tender/SplashBidNoticeAbstractUI.aspx?menuIndex=3&amp;refID=7082364&amp;Result=3","7082364")</f>
        <v>0</v>
      </c>
      <c r="B3553" t="s">
        <v>1326</v>
      </c>
      <c r="C3553" t="s">
        <v>6805</v>
      </c>
      <c r="D3553" t="s">
        <v>17416</v>
      </c>
      <c r="E3553" t="s">
        <v>20588</v>
      </c>
      <c r="F3553" t="s">
        <v>30052</v>
      </c>
      <c r="G3553" t="s">
        <v>30058</v>
      </c>
      <c r="H3553" t="s">
        <v>15498</v>
      </c>
      <c r="I3553" t="s">
        <v>30071</v>
      </c>
      <c r="J3553" t="s">
        <v>32528</v>
      </c>
      <c r="K3553" t="s">
        <v>39046</v>
      </c>
      <c r="M3553" t="s">
        <v>40693</v>
      </c>
      <c r="N3553" t="s">
        <v>43166</v>
      </c>
      <c r="O3553" t="s">
        <v>43167</v>
      </c>
      <c r="P3553">
        <v>0</v>
      </c>
      <c r="Q3553">
        <v>1</v>
      </c>
      <c r="R3553" t="s">
        <v>43171</v>
      </c>
      <c r="S3553" t="s">
        <v>43311</v>
      </c>
      <c r="T3553" t="s">
        <v>44710</v>
      </c>
      <c r="U3553" t="s">
        <v>48128</v>
      </c>
      <c r="W3553" t="s">
        <v>40693</v>
      </c>
      <c r="X3553" t="s">
        <v>43172</v>
      </c>
    </row>
    <row r="3554" spans="1:24">
      <c r="A3554">
        <f>HYPERLINK("https://www.philgeps.gov.ph/GEPSNONPILOT/Tender/SplashBidNoticeAbstractUI.aspx?menuIndex=3&amp;refID=7082374&amp;Result=3","7082374")</f>
        <v>0</v>
      </c>
      <c r="B3554" t="s">
        <v>1274</v>
      </c>
      <c r="C3554" t="s">
        <v>6806</v>
      </c>
      <c r="D3554" t="s">
        <v>17466</v>
      </c>
      <c r="E3554" t="s">
        <v>20589</v>
      </c>
      <c r="F3554" t="s">
        <v>30052</v>
      </c>
      <c r="G3554" t="s">
        <v>30059</v>
      </c>
      <c r="H3554" t="s">
        <v>15498</v>
      </c>
      <c r="I3554" t="s">
        <v>5961</v>
      </c>
      <c r="J3554" t="s">
        <v>30895</v>
      </c>
      <c r="K3554" t="s">
        <v>39039</v>
      </c>
      <c r="M3554" t="s">
        <v>40634</v>
      </c>
      <c r="N3554" t="s">
        <v>43166</v>
      </c>
      <c r="O3554" t="s">
        <v>43167</v>
      </c>
      <c r="P3554">
        <v>0</v>
      </c>
      <c r="Q3554">
        <v>0</v>
      </c>
      <c r="R3554" t="s">
        <v>43171</v>
      </c>
      <c r="S3554" t="s">
        <v>43311</v>
      </c>
      <c r="T3554" t="s">
        <v>44685</v>
      </c>
      <c r="U3554" t="s">
        <v>48129</v>
      </c>
      <c r="W3554" t="s">
        <v>40634</v>
      </c>
      <c r="X3554" t="s">
        <v>43172</v>
      </c>
    </row>
    <row r="3555" spans="1:24">
      <c r="A3555">
        <f>HYPERLINK("https://www.philgeps.gov.ph/GEPSNONPILOT/Tender/SplashBidNoticeAbstractUI.aspx?menuIndex=3&amp;refID=7082304&amp;Result=3","7082304")</f>
        <v>0</v>
      </c>
      <c r="B3555" t="s">
        <v>1300</v>
      </c>
      <c r="C3555" t="s">
        <v>6807</v>
      </c>
      <c r="D3555" t="s">
        <v>17444</v>
      </c>
      <c r="E3555" t="s">
        <v>20590</v>
      </c>
      <c r="F3555" t="s">
        <v>30052</v>
      </c>
      <c r="G3555" t="s">
        <v>30058</v>
      </c>
      <c r="H3555" t="s">
        <v>30067</v>
      </c>
      <c r="I3555" t="s">
        <v>3736</v>
      </c>
      <c r="J3555" t="s">
        <v>32529</v>
      </c>
      <c r="K3555" t="s">
        <v>39092</v>
      </c>
      <c r="M3555" t="s">
        <v>40666</v>
      </c>
      <c r="N3555" t="s">
        <v>43166</v>
      </c>
      <c r="O3555" t="s">
        <v>43167</v>
      </c>
      <c r="P3555">
        <v>0</v>
      </c>
      <c r="Q3555">
        <v>4</v>
      </c>
      <c r="R3555" t="s">
        <v>43171</v>
      </c>
      <c r="S3555" t="s">
        <v>43311</v>
      </c>
      <c r="T3555" t="s">
        <v>44828</v>
      </c>
      <c r="U3555" t="s">
        <v>48064</v>
      </c>
      <c r="V3555" t="s">
        <v>57239</v>
      </c>
      <c r="W3555" t="s">
        <v>40666</v>
      </c>
      <c r="X3555" t="s">
        <v>43172</v>
      </c>
    </row>
    <row r="3556" spans="1:24">
      <c r="A3556">
        <f>HYPERLINK("https://www.philgeps.gov.ph/GEPSNONPILOT/Tender/SplashBidNoticeAbstractUI.aspx?menuIndex=3&amp;refID=7082388&amp;Result=3","7082388")</f>
        <v>0</v>
      </c>
      <c r="B3556" t="s">
        <v>1321</v>
      </c>
      <c r="C3556" t="s">
        <v>6808</v>
      </c>
      <c r="D3556" t="s">
        <v>17424</v>
      </c>
      <c r="E3556" t="s">
        <v>20591</v>
      </c>
      <c r="F3556" t="s">
        <v>30052</v>
      </c>
      <c r="G3556" t="s">
        <v>30059</v>
      </c>
      <c r="H3556" t="s">
        <v>15498</v>
      </c>
      <c r="I3556" t="s">
        <v>30096</v>
      </c>
      <c r="J3556" t="s">
        <v>30248</v>
      </c>
      <c r="K3556" t="s">
        <v>39017</v>
      </c>
      <c r="M3556" t="s">
        <v>40688</v>
      </c>
      <c r="N3556" t="s">
        <v>43166</v>
      </c>
      <c r="O3556" t="s">
        <v>43167</v>
      </c>
      <c r="P3556">
        <v>0</v>
      </c>
      <c r="Q3556">
        <v>1</v>
      </c>
      <c r="R3556" t="s">
        <v>43171</v>
      </c>
      <c r="S3556" t="s">
        <v>43311</v>
      </c>
      <c r="T3556" t="s">
        <v>44777</v>
      </c>
      <c r="U3556" t="s">
        <v>48130</v>
      </c>
      <c r="W3556" t="s">
        <v>40688</v>
      </c>
      <c r="X3556" t="s">
        <v>43172</v>
      </c>
    </row>
    <row r="3557" spans="1:24">
      <c r="A3557">
        <f>HYPERLINK("https://www.philgeps.gov.ph/GEPSNONPILOT/Tender/SplashBidNoticeAbstractUI.aspx?menuIndex=3&amp;refID=7082369&amp;Result=3","7082369")</f>
        <v>0</v>
      </c>
      <c r="B3557" t="s">
        <v>1309</v>
      </c>
      <c r="C3557" t="s">
        <v>6809</v>
      </c>
      <c r="D3557" t="s">
        <v>17414</v>
      </c>
      <c r="E3557" t="s">
        <v>20592</v>
      </c>
      <c r="F3557" t="s">
        <v>30052</v>
      </c>
      <c r="G3557" t="s">
        <v>30058</v>
      </c>
      <c r="H3557" t="s">
        <v>30067</v>
      </c>
      <c r="I3557" t="s">
        <v>3693</v>
      </c>
      <c r="J3557" t="s">
        <v>30222</v>
      </c>
      <c r="K3557" t="s">
        <v>39131</v>
      </c>
      <c r="M3557" t="s">
        <v>40676</v>
      </c>
      <c r="N3557" t="s">
        <v>43166</v>
      </c>
      <c r="O3557" t="s">
        <v>43167</v>
      </c>
      <c r="P3557">
        <v>0</v>
      </c>
      <c r="Q3557">
        <v>0</v>
      </c>
      <c r="R3557" t="s">
        <v>43171</v>
      </c>
      <c r="S3557" t="s">
        <v>43311</v>
      </c>
      <c r="T3557" t="s">
        <v>44677</v>
      </c>
      <c r="U3557" t="s">
        <v>48131</v>
      </c>
      <c r="W3557" t="s">
        <v>40676</v>
      </c>
      <c r="X3557" t="s">
        <v>43172</v>
      </c>
    </row>
    <row r="3558" spans="1:24">
      <c r="A3558">
        <f>HYPERLINK("https://www.philgeps.gov.ph/GEPSNONPILOT/Tender/SplashBidNoticeAbstractUI.aspx?menuIndex=3&amp;refID=7082385&amp;Result=3","7082385")</f>
        <v>0</v>
      </c>
      <c r="B3558" t="s">
        <v>1273</v>
      </c>
      <c r="C3558" t="s">
        <v>6810</v>
      </c>
      <c r="D3558" t="s">
        <v>17434</v>
      </c>
      <c r="E3558" t="s">
        <v>20593</v>
      </c>
      <c r="F3558" t="s">
        <v>30052</v>
      </c>
      <c r="G3558" t="s">
        <v>30058</v>
      </c>
      <c r="H3558" t="s">
        <v>15498</v>
      </c>
      <c r="I3558" t="s">
        <v>30076</v>
      </c>
      <c r="J3558" t="s">
        <v>30384</v>
      </c>
      <c r="K3558" t="s">
        <v>39029</v>
      </c>
      <c r="M3558" t="s">
        <v>40633</v>
      </c>
      <c r="N3558" t="s">
        <v>43166</v>
      </c>
      <c r="O3558" t="s">
        <v>43167</v>
      </c>
      <c r="P3558">
        <v>0</v>
      </c>
      <c r="Q3558">
        <v>2</v>
      </c>
      <c r="R3558" t="s">
        <v>43171</v>
      </c>
      <c r="S3558" t="s">
        <v>43311</v>
      </c>
      <c r="T3558" t="s">
        <v>44968</v>
      </c>
      <c r="U3558" t="s">
        <v>48132</v>
      </c>
      <c r="W3558" t="s">
        <v>40633</v>
      </c>
      <c r="X3558" t="s">
        <v>43172</v>
      </c>
    </row>
    <row r="3559" spans="1:24">
      <c r="A3559">
        <f>HYPERLINK("https://www.philgeps.gov.ph/GEPSNONPILOT/Tender/SplashBidNoticeAbstractUI.aspx?menuIndex=3&amp;refID=7082380&amp;Result=3","7082380")</f>
        <v>0</v>
      </c>
      <c r="B3559" t="s">
        <v>130</v>
      </c>
      <c r="C3559" t="s">
        <v>6811</v>
      </c>
      <c r="E3559" t="s">
        <v>20594</v>
      </c>
      <c r="F3559" t="s">
        <v>30052</v>
      </c>
      <c r="G3559" t="s">
        <v>30059</v>
      </c>
      <c r="H3559" t="s">
        <v>15498</v>
      </c>
      <c r="I3559" t="s">
        <v>30092</v>
      </c>
      <c r="J3559" t="s">
        <v>32530</v>
      </c>
      <c r="K3559" t="s">
        <v>39019</v>
      </c>
      <c r="M3559" t="s">
        <v>39419</v>
      </c>
      <c r="N3559" t="s">
        <v>43166</v>
      </c>
      <c r="O3559" t="s">
        <v>43167</v>
      </c>
      <c r="P3559">
        <v>0</v>
      </c>
      <c r="Q3559">
        <v>3</v>
      </c>
      <c r="R3559" t="s">
        <v>43171</v>
      </c>
      <c r="S3559" t="s">
        <v>43311</v>
      </c>
      <c r="T3559" t="s">
        <v>44714</v>
      </c>
      <c r="U3559" t="s">
        <v>48133</v>
      </c>
      <c r="V3559" t="s">
        <v>56843</v>
      </c>
      <c r="W3559" t="s">
        <v>39419</v>
      </c>
      <c r="X3559" t="s">
        <v>43172</v>
      </c>
    </row>
    <row r="3560" spans="1:24">
      <c r="A3560">
        <f>HYPERLINK("https://www.philgeps.gov.ph/GEPSNONPILOT/Tender/SplashBidNoticeAbstractUI.aspx?menuIndex=3&amp;refID=7082376&amp;Result=3","7082376")</f>
        <v>0</v>
      </c>
      <c r="B3560" t="s">
        <v>1313</v>
      </c>
      <c r="C3560" t="s">
        <v>6812</v>
      </c>
      <c r="D3560" t="s">
        <v>17415</v>
      </c>
      <c r="E3560" t="s">
        <v>20595</v>
      </c>
      <c r="F3560" t="s">
        <v>30052</v>
      </c>
      <c r="G3560" t="s">
        <v>30059</v>
      </c>
      <c r="H3560" t="s">
        <v>15498</v>
      </c>
      <c r="I3560" t="s">
        <v>30075</v>
      </c>
      <c r="J3560" t="s">
        <v>30460</v>
      </c>
      <c r="K3560" t="s">
        <v>39017</v>
      </c>
      <c r="M3560" t="s">
        <v>40680</v>
      </c>
      <c r="N3560" t="s">
        <v>43166</v>
      </c>
      <c r="O3560" t="s">
        <v>43167</v>
      </c>
      <c r="P3560">
        <v>0</v>
      </c>
      <c r="Q3560">
        <v>0</v>
      </c>
      <c r="R3560" t="s">
        <v>43171</v>
      </c>
      <c r="S3560" t="s">
        <v>43311</v>
      </c>
      <c r="T3560" t="s">
        <v>44717</v>
      </c>
      <c r="U3560" t="s">
        <v>48134</v>
      </c>
      <c r="W3560" t="s">
        <v>40680</v>
      </c>
      <c r="X3560" t="s">
        <v>43172</v>
      </c>
    </row>
    <row r="3561" spans="1:24">
      <c r="A3561">
        <f>HYPERLINK("https://www.philgeps.gov.ph/GEPSNONPILOT/Tender/SplashBidNoticeAbstractUI.aspx?menuIndex=3&amp;refID=7082362&amp;Result=3","7082362")</f>
        <v>0</v>
      </c>
      <c r="B3561" t="s">
        <v>1327</v>
      </c>
      <c r="C3561" t="s">
        <v>6813</v>
      </c>
      <c r="D3561" t="s">
        <v>17430</v>
      </c>
      <c r="E3561" t="s">
        <v>20596</v>
      </c>
      <c r="F3561" t="s">
        <v>30052</v>
      </c>
      <c r="G3561" t="s">
        <v>30059</v>
      </c>
      <c r="H3561" t="s">
        <v>15498</v>
      </c>
      <c r="I3561" t="s">
        <v>30070</v>
      </c>
      <c r="J3561" t="s">
        <v>32531</v>
      </c>
      <c r="K3561" t="s">
        <v>39029</v>
      </c>
      <c r="M3561" t="s">
        <v>40694</v>
      </c>
      <c r="N3561" t="s">
        <v>43166</v>
      </c>
      <c r="O3561" t="s">
        <v>43167</v>
      </c>
      <c r="P3561">
        <v>0</v>
      </c>
      <c r="Q3561">
        <v>1</v>
      </c>
      <c r="R3561" t="s">
        <v>43171</v>
      </c>
      <c r="S3561" t="s">
        <v>43311</v>
      </c>
      <c r="T3561" t="s">
        <v>44704</v>
      </c>
      <c r="U3561" t="s">
        <v>45217</v>
      </c>
      <c r="V3561" t="s">
        <v>57240</v>
      </c>
      <c r="W3561" t="s">
        <v>40694</v>
      </c>
      <c r="X3561" t="s">
        <v>43172</v>
      </c>
    </row>
    <row r="3562" spans="1:24">
      <c r="A3562">
        <f>HYPERLINK("https://www.philgeps.gov.ph/GEPSNONPILOT/Tender/SplashBidNoticeAbstractUI.aspx?menuIndex=3&amp;refID=7082359&amp;Result=3","7082359")</f>
        <v>0</v>
      </c>
      <c r="B3562" t="s">
        <v>629</v>
      </c>
      <c r="C3562" t="s">
        <v>6814</v>
      </c>
      <c r="D3562" t="s">
        <v>17415</v>
      </c>
      <c r="E3562" t="s">
        <v>20597</v>
      </c>
      <c r="F3562" t="s">
        <v>30052</v>
      </c>
      <c r="G3562" t="s">
        <v>30061</v>
      </c>
      <c r="H3562" t="s">
        <v>15498</v>
      </c>
      <c r="I3562" t="s">
        <v>30070</v>
      </c>
      <c r="J3562" t="s">
        <v>31049</v>
      </c>
      <c r="K3562" t="s">
        <v>39019</v>
      </c>
      <c r="M3562" t="s">
        <v>40089</v>
      </c>
      <c r="N3562" t="s">
        <v>43166</v>
      </c>
      <c r="O3562" t="s">
        <v>43167</v>
      </c>
      <c r="P3562">
        <v>0</v>
      </c>
      <c r="Q3562">
        <v>8</v>
      </c>
      <c r="R3562" t="s">
        <v>43171</v>
      </c>
      <c r="S3562" t="s">
        <v>43311</v>
      </c>
      <c r="T3562" t="s">
        <v>44717</v>
      </c>
      <c r="U3562" t="s">
        <v>48135</v>
      </c>
      <c r="V3562" t="s">
        <v>57241</v>
      </c>
      <c r="W3562" t="s">
        <v>40089</v>
      </c>
      <c r="X3562" t="s">
        <v>43172</v>
      </c>
    </row>
    <row r="3563" spans="1:24">
      <c r="A3563">
        <f>HYPERLINK("https://www.philgeps.gov.ph/GEPSNONPILOT/Tender/SplashBidNoticeAbstractUI.aspx?menuIndex=3&amp;refID=7082217&amp;Result=3","7082217")</f>
        <v>0</v>
      </c>
      <c r="B3563" t="s">
        <v>1165</v>
      </c>
      <c r="C3563" t="s">
        <v>6815</v>
      </c>
      <c r="D3563" t="s">
        <v>17475</v>
      </c>
      <c r="E3563" t="s">
        <v>20598</v>
      </c>
      <c r="F3563" t="s">
        <v>30052</v>
      </c>
      <c r="G3563" t="s">
        <v>30058</v>
      </c>
      <c r="H3563" t="s">
        <v>15498</v>
      </c>
      <c r="I3563" t="s">
        <v>30081</v>
      </c>
      <c r="J3563" t="s">
        <v>32532</v>
      </c>
      <c r="K3563" t="s">
        <v>39019</v>
      </c>
      <c r="M3563" t="s">
        <v>40667</v>
      </c>
      <c r="N3563" t="s">
        <v>43166</v>
      </c>
      <c r="O3563" t="s">
        <v>43167</v>
      </c>
      <c r="P3563">
        <v>0</v>
      </c>
      <c r="Q3563">
        <v>0</v>
      </c>
      <c r="R3563" t="s">
        <v>43171</v>
      </c>
      <c r="S3563" t="s">
        <v>43311</v>
      </c>
      <c r="T3563" t="s">
        <v>44758</v>
      </c>
      <c r="U3563" t="s">
        <v>47725</v>
      </c>
      <c r="W3563" t="s">
        <v>40667</v>
      </c>
      <c r="X3563" t="s">
        <v>43172</v>
      </c>
    </row>
    <row r="3564" spans="1:24">
      <c r="A3564">
        <f>HYPERLINK("https://www.philgeps.gov.ph/GEPSNONPILOT/Tender/SplashBidNoticeAbstractUI.aspx?menuIndex=3&amp;refID=7082215&amp;Result=3","7082215")</f>
        <v>0</v>
      </c>
      <c r="B3564" t="s">
        <v>1206</v>
      </c>
      <c r="C3564" t="s">
        <v>6816</v>
      </c>
      <c r="D3564" t="s">
        <v>17439</v>
      </c>
      <c r="E3564" t="s">
        <v>20599</v>
      </c>
      <c r="F3564" t="s">
        <v>30052</v>
      </c>
      <c r="G3564" t="s">
        <v>30058</v>
      </c>
      <c r="H3564" t="s">
        <v>15498</v>
      </c>
      <c r="I3564" t="s">
        <v>3852</v>
      </c>
      <c r="J3564" t="s">
        <v>32533</v>
      </c>
      <c r="K3564" t="s">
        <v>39126</v>
      </c>
      <c r="M3564" t="s">
        <v>40560</v>
      </c>
      <c r="N3564" t="s">
        <v>43166</v>
      </c>
      <c r="O3564" t="s">
        <v>43167</v>
      </c>
      <c r="P3564">
        <v>0</v>
      </c>
      <c r="Q3564">
        <v>3</v>
      </c>
      <c r="R3564" t="s">
        <v>43171</v>
      </c>
      <c r="S3564" t="s">
        <v>43311</v>
      </c>
      <c r="T3564" t="s">
        <v>44873</v>
      </c>
      <c r="U3564" t="s">
        <v>48136</v>
      </c>
      <c r="W3564" t="s">
        <v>40560</v>
      </c>
      <c r="X3564" t="s">
        <v>43172</v>
      </c>
    </row>
    <row r="3565" spans="1:24">
      <c r="A3565">
        <f>HYPERLINK("https://www.philgeps.gov.ph/GEPSNONPILOT/Tender/SplashBidNoticeAbstractUI.aspx?menuIndex=3&amp;refID=7082367&amp;Result=3","7082367")</f>
        <v>0</v>
      </c>
      <c r="B3565" t="s">
        <v>1328</v>
      </c>
      <c r="C3565" t="s">
        <v>6817</v>
      </c>
      <c r="D3565" t="s">
        <v>17481</v>
      </c>
      <c r="E3565" t="s">
        <v>20600</v>
      </c>
      <c r="F3565" t="s">
        <v>30052</v>
      </c>
      <c r="G3565" t="s">
        <v>30058</v>
      </c>
      <c r="H3565" t="s">
        <v>15498</v>
      </c>
      <c r="I3565" t="s">
        <v>30108</v>
      </c>
      <c r="J3565" t="s">
        <v>31748</v>
      </c>
      <c r="K3565" t="s">
        <v>39025</v>
      </c>
      <c r="M3565" t="s">
        <v>40695</v>
      </c>
      <c r="N3565" t="s">
        <v>43166</v>
      </c>
      <c r="O3565" t="s">
        <v>43167</v>
      </c>
      <c r="P3565">
        <v>0</v>
      </c>
      <c r="Q3565">
        <v>0</v>
      </c>
      <c r="R3565" t="s">
        <v>43171</v>
      </c>
      <c r="S3565" t="s">
        <v>43311</v>
      </c>
      <c r="T3565" t="s">
        <v>44710</v>
      </c>
      <c r="U3565" t="s">
        <v>48137</v>
      </c>
      <c r="W3565" t="s">
        <v>40695</v>
      </c>
      <c r="X3565" t="s">
        <v>43172</v>
      </c>
    </row>
    <row r="3566" spans="1:24">
      <c r="A3566">
        <f>HYPERLINK("https://www.philgeps.gov.ph/GEPSNONPILOT/Tender/SplashBidNoticeAbstractUI.aspx?menuIndex=3&amp;refID=7082361&amp;Result=3","7082361")</f>
        <v>0</v>
      </c>
      <c r="B3566" t="s">
        <v>541</v>
      </c>
      <c r="C3566" t="s">
        <v>6818</v>
      </c>
      <c r="D3566" t="s">
        <v>17458</v>
      </c>
      <c r="E3566" t="s">
        <v>20601</v>
      </c>
      <c r="F3566" t="s">
        <v>30052</v>
      </c>
      <c r="G3566" t="s">
        <v>30062</v>
      </c>
      <c r="H3566" t="s">
        <v>15498</v>
      </c>
      <c r="I3566" t="s">
        <v>4650</v>
      </c>
      <c r="J3566" t="s">
        <v>30337</v>
      </c>
      <c r="K3566" t="s">
        <v>39017</v>
      </c>
      <c r="M3566" t="s">
        <v>39843</v>
      </c>
      <c r="N3566" t="s">
        <v>43166</v>
      </c>
      <c r="O3566" t="s">
        <v>43167</v>
      </c>
      <c r="P3566">
        <v>0</v>
      </c>
      <c r="Q3566">
        <v>1</v>
      </c>
      <c r="R3566" t="s">
        <v>43171</v>
      </c>
      <c r="S3566" t="s">
        <v>43311</v>
      </c>
      <c r="T3566" t="s">
        <v>44773</v>
      </c>
      <c r="U3566" t="s">
        <v>48138</v>
      </c>
      <c r="W3566" t="s">
        <v>58604</v>
      </c>
      <c r="X3566" t="s">
        <v>43172</v>
      </c>
    </row>
    <row r="3567" spans="1:24">
      <c r="A3567">
        <f>HYPERLINK("https://www.philgeps.gov.ph/GEPSNONPILOT/Tender/SplashBidNoticeAbstractUI.aspx?menuIndex=3&amp;refID=7082208&amp;Result=3","7082208")</f>
        <v>0</v>
      </c>
      <c r="B3567" t="s">
        <v>1323</v>
      </c>
      <c r="C3567" t="s">
        <v>6801</v>
      </c>
      <c r="D3567" t="s">
        <v>17426</v>
      </c>
      <c r="E3567" t="s">
        <v>20602</v>
      </c>
      <c r="F3567" t="s">
        <v>30052</v>
      </c>
      <c r="G3567" t="s">
        <v>30059</v>
      </c>
      <c r="H3567" t="s">
        <v>15498</v>
      </c>
      <c r="I3567" t="s">
        <v>4650</v>
      </c>
      <c r="J3567" t="s">
        <v>30637</v>
      </c>
      <c r="K3567" t="s">
        <v>39017</v>
      </c>
      <c r="M3567" t="s">
        <v>40690</v>
      </c>
      <c r="N3567" t="s">
        <v>43166</v>
      </c>
      <c r="O3567" t="s">
        <v>43167</v>
      </c>
      <c r="P3567">
        <v>0</v>
      </c>
      <c r="Q3567">
        <v>2</v>
      </c>
      <c r="R3567" t="s">
        <v>43171</v>
      </c>
      <c r="S3567" t="s">
        <v>43311</v>
      </c>
      <c r="T3567" t="s">
        <v>44685</v>
      </c>
      <c r="U3567" t="s">
        <v>48139</v>
      </c>
      <c r="W3567" t="s">
        <v>40690</v>
      </c>
      <c r="X3567" t="s">
        <v>43172</v>
      </c>
    </row>
    <row r="3568" spans="1:24">
      <c r="A3568">
        <f>HYPERLINK("https://www.philgeps.gov.ph/GEPSNONPILOT/Tender/SplashBidNoticeAbstractUI.aspx?menuIndex=3&amp;refID=7082370&amp;Result=3","7082370")</f>
        <v>0</v>
      </c>
      <c r="B3568" t="s">
        <v>1269</v>
      </c>
      <c r="C3568" t="s">
        <v>6819</v>
      </c>
      <c r="D3568" t="s">
        <v>17415</v>
      </c>
      <c r="E3568" t="s">
        <v>20603</v>
      </c>
      <c r="F3568" t="s">
        <v>30052</v>
      </c>
      <c r="G3568" t="s">
        <v>30061</v>
      </c>
      <c r="H3568" t="s">
        <v>15498</v>
      </c>
      <c r="I3568" t="s">
        <v>30082</v>
      </c>
      <c r="J3568" t="s">
        <v>32534</v>
      </c>
      <c r="K3568" t="s">
        <v>39034</v>
      </c>
      <c r="M3568" t="s">
        <v>40628</v>
      </c>
      <c r="N3568" t="s">
        <v>43166</v>
      </c>
      <c r="O3568" t="s">
        <v>43167</v>
      </c>
      <c r="P3568">
        <v>0</v>
      </c>
      <c r="Q3568">
        <v>3</v>
      </c>
      <c r="R3568" t="s">
        <v>43171</v>
      </c>
      <c r="S3568" t="s">
        <v>43311</v>
      </c>
      <c r="T3568" t="s">
        <v>44962</v>
      </c>
      <c r="U3568" t="s">
        <v>48140</v>
      </c>
      <c r="V3568" t="s">
        <v>57222</v>
      </c>
      <c r="W3568" t="s">
        <v>40628</v>
      </c>
      <c r="X3568" t="s">
        <v>43172</v>
      </c>
    </row>
    <row r="3569" spans="1:24">
      <c r="A3569">
        <f>HYPERLINK("https://www.philgeps.gov.ph/GEPSNONPILOT/Tender/SplashBidNoticeAbstractUI.aspx?menuIndex=3&amp;refID=7082177&amp;Result=3","7082177")</f>
        <v>0</v>
      </c>
      <c r="B3569" t="s">
        <v>1329</v>
      </c>
      <c r="C3569" t="s">
        <v>6820</v>
      </c>
      <c r="D3569" t="s">
        <v>17413</v>
      </c>
      <c r="E3569" t="s">
        <v>20604</v>
      </c>
      <c r="F3569" t="s">
        <v>30052</v>
      </c>
      <c r="G3569" t="s">
        <v>30059</v>
      </c>
      <c r="H3569" t="s">
        <v>15498</v>
      </c>
      <c r="I3569" t="s">
        <v>9238</v>
      </c>
      <c r="J3569" t="s">
        <v>31296</v>
      </c>
      <c r="K3569" t="s">
        <v>39017</v>
      </c>
      <c r="M3569" t="s">
        <v>40696</v>
      </c>
      <c r="N3569" t="s">
        <v>43166</v>
      </c>
      <c r="O3569" t="s">
        <v>43167</v>
      </c>
      <c r="P3569">
        <v>0</v>
      </c>
      <c r="Q3569">
        <v>9</v>
      </c>
      <c r="R3569" t="s">
        <v>43171</v>
      </c>
      <c r="S3569" t="s">
        <v>43311</v>
      </c>
      <c r="T3569" t="s">
        <v>44737</v>
      </c>
      <c r="U3569" t="s">
        <v>48141</v>
      </c>
      <c r="W3569" t="s">
        <v>40696</v>
      </c>
      <c r="X3569" t="s">
        <v>43172</v>
      </c>
    </row>
    <row r="3570" spans="1:24">
      <c r="A3570">
        <f>HYPERLINK("https://www.philgeps.gov.ph/GEPSNONPILOT/Tender/SplashBidNoticeAbstractUI.aspx?menuIndex=3&amp;refID=7082366&amp;Result=3","7082366")</f>
        <v>0</v>
      </c>
      <c r="B3570" t="s">
        <v>1211</v>
      </c>
      <c r="C3570" t="s">
        <v>6821</v>
      </c>
      <c r="D3570" t="s">
        <v>17496</v>
      </c>
      <c r="E3570" t="s">
        <v>20605</v>
      </c>
      <c r="F3570" t="s">
        <v>30052</v>
      </c>
      <c r="G3570" t="s">
        <v>30059</v>
      </c>
      <c r="H3570" t="s">
        <v>15498</v>
      </c>
      <c r="I3570" t="s">
        <v>30076</v>
      </c>
      <c r="J3570" t="s">
        <v>30903</v>
      </c>
      <c r="K3570" t="s">
        <v>39018</v>
      </c>
      <c r="M3570" t="s">
        <v>40565</v>
      </c>
      <c r="N3570" t="s">
        <v>43166</v>
      </c>
      <c r="O3570" t="s">
        <v>43167</v>
      </c>
      <c r="P3570">
        <v>0</v>
      </c>
      <c r="Q3570">
        <v>3</v>
      </c>
      <c r="R3570" t="s">
        <v>43171</v>
      </c>
      <c r="S3570" t="s">
        <v>43311</v>
      </c>
      <c r="T3570" t="s">
        <v>44734</v>
      </c>
      <c r="U3570" t="s">
        <v>47852</v>
      </c>
      <c r="W3570" t="s">
        <v>40565</v>
      </c>
      <c r="X3570" t="s">
        <v>43172</v>
      </c>
    </row>
    <row r="3571" spans="1:24">
      <c r="A3571">
        <f>HYPERLINK("https://www.philgeps.gov.ph/GEPSNONPILOT/Tender/SplashBidNoticeAbstractUI.aspx?menuIndex=3&amp;refID=7082174&amp;Result=3","7082174")</f>
        <v>0</v>
      </c>
      <c r="B3571" t="s">
        <v>759</v>
      </c>
      <c r="C3571" t="s">
        <v>6822</v>
      </c>
      <c r="D3571" t="s">
        <v>17416</v>
      </c>
      <c r="E3571" t="s">
        <v>20606</v>
      </c>
      <c r="F3571" t="s">
        <v>30052</v>
      </c>
      <c r="G3571" t="s">
        <v>30059</v>
      </c>
      <c r="H3571" t="s">
        <v>15498</v>
      </c>
      <c r="I3571" t="s">
        <v>30084</v>
      </c>
      <c r="J3571" t="s">
        <v>32535</v>
      </c>
      <c r="K3571" t="s">
        <v>39017</v>
      </c>
      <c r="M3571" t="s">
        <v>40073</v>
      </c>
      <c r="N3571" t="s">
        <v>43166</v>
      </c>
      <c r="O3571" t="s">
        <v>43167</v>
      </c>
      <c r="P3571">
        <v>0</v>
      </c>
      <c r="Q3571">
        <v>3</v>
      </c>
      <c r="R3571" t="s">
        <v>43171</v>
      </c>
      <c r="S3571" t="s">
        <v>43311</v>
      </c>
      <c r="T3571" t="s">
        <v>44806</v>
      </c>
      <c r="U3571" t="s">
        <v>48142</v>
      </c>
      <c r="W3571" t="s">
        <v>40073</v>
      </c>
      <c r="X3571" t="s">
        <v>43172</v>
      </c>
    </row>
    <row r="3572" spans="1:24">
      <c r="A3572">
        <f>HYPERLINK("https://www.philgeps.gov.ph/GEPSNONPILOT/Tender/SplashBidNoticeAbstractUI.aspx?menuIndex=3&amp;refID=7082213&amp;Result=3","7082213")</f>
        <v>0</v>
      </c>
      <c r="B3572" t="s">
        <v>1278</v>
      </c>
      <c r="C3572" t="s">
        <v>6823</v>
      </c>
      <c r="D3572" t="s">
        <v>17449</v>
      </c>
      <c r="E3572" t="s">
        <v>20607</v>
      </c>
      <c r="F3572" t="s">
        <v>30052</v>
      </c>
      <c r="G3572" t="s">
        <v>30059</v>
      </c>
      <c r="H3572" t="s">
        <v>15498</v>
      </c>
      <c r="I3572" t="s">
        <v>30091</v>
      </c>
      <c r="J3572" t="s">
        <v>31196</v>
      </c>
      <c r="K3572" t="s">
        <v>39017</v>
      </c>
      <c r="M3572" t="s">
        <v>40642</v>
      </c>
      <c r="N3572" t="s">
        <v>43166</v>
      </c>
      <c r="O3572" t="s">
        <v>43167</v>
      </c>
      <c r="P3572">
        <v>0</v>
      </c>
      <c r="Q3572">
        <v>4</v>
      </c>
      <c r="R3572" t="s">
        <v>43171</v>
      </c>
      <c r="S3572" t="s">
        <v>43311</v>
      </c>
      <c r="T3572" t="s">
        <v>44837</v>
      </c>
      <c r="U3572" t="s">
        <v>48143</v>
      </c>
      <c r="W3572" t="s">
        <v>40642</v>
      </c>
      <c r="X3572" t="s">
        <v>43172</v>
      </c>
    </row>
    <row r="3573" spans="1:24">
      <c r="A3573">
        <f>HYPERLINK("https://www.philgeps.gov.ph/GEPSNONPILOT/Tender/SplashBidNoticeAbstractUI.aspx?menuIndex=3&amp;refID=7082169&amp;Result=3","7082169")</f>
        <v>0</v>
      </c>
      <c r="B3573" t="s">
        <v>910</v>
      </c>
      <c r="C3573" t="s">
        <v>6824</v>
      </c>
      <c r="D3573" t="s">
        <v>17427</v>
      </c>
      <c r="E3573" t="s">
        <v>20608</v>
      </c>
      <c r="F3573" t="s">
        <v>30052</v>
      </c>
      <c r="G3573" t="s">
        <v>30059</v>
      </c>
      <c r="H3573" t="s">
        <v>15498</v>
      </c>
      <c r="I3573" t="s">
        <v>30073</v>
      </c>
      <c r="J3573" t="s">
        <v>32536</v>
      </c>
      <c r="K3573" t="s">
        <v>39025</v>
      </c>
      <c r="M3573" t="s">
        <v>40233</v>
      </c>
      <c r="N3573" t="s">
        <v>43166</v>
      </c>
      <c r="O3573" t="s">
        <v>43167</v>
      </c>
      <c r="P3573">
        <v>0</v>
      </c>
      <c r="Q3573">
        <v>0</v>
      </c>
      <c r="R3573" t="s">
        <v>43171</v>
      </c>
      <c r="S3573" t="s">
        <v>43311</v>
      </c>
      <c r="T3573" t="s">
        <v>44714</v>
      </c>
      <c r="U3573" t="s">
        <v>47997</v>
      </c>
      <c r="W3573" t="s">
        <v>40233</v>
      </c>
      <c r="X3573" t="s">
        <v>43172</v>
      </c>
    </row>
    <row r="3574" spans="1:24">
      <c r="A3574">
        <f>HYPERLINK("https://www.philgeps.gov.ph/GEPSNONPILOT/Tender/SplashBidNoticeAbstractUI.aspx?menuIndex=3&amp;refID=7082167&amp;Result=3","7082167")</f>
        <v>0</v>
      </c>
      <c r="B3574" t="s">
        <v>1206</v>
      </c>
      <c r="C3574" t="s">
        <v>6825</v>
      </c>
      <c r="D3574" t="s">
        <v>17439</v>
      </c>
      <c r="E3574" t="s">
        <v>20609</v>
      </c>
      <c r="F3574" t="s">
        <v>30052</v>
      </c>
      <c r="G3574" t="s">
        <v>30058</v>
      </c>
      <c r="H3574" t="s">
        <v>15498</v>
      </c>
      <c r="I3574" t="s">
        <v>30085</v>
      </c>
      <c r="J3574" t="s">
        <v>30416</v>
      </c>
      <c r="K3574" t="s">
        <v>39023</v>
      </c>
      <c r="M3574" t="s">
        <v>40560</v>
      </c>
      <c r="N3574" t="s">
        <v>43166</v>
      </c>
      <c r="O3574" t="s">
        <v>43167</v>
      </c>
      <c r="P3574">
        <v>0</v>
      </c>
      <c r="Q3574">
        <v>7</v>
      </c>
      <c r="R3574" t="s">
        <v>43171</v>
      </c>
      <c r="S3574" t="s">
        <v>43311</v>
      </c>
      <c r="T3574" t="s">
        <v>44953</v>
      </c>
      <c r="U3574" t="s">
        <v>48144</v>
      </c>
      <c r="W3574" t="s">
        <v>40560</v>
      </c>
      <c r="X3574" t="s">
        <v>43172</v>
      </c>
    </row>
    <row r="3575" spans="1:24">
      <c r="A3575">
        <f>HYPERLINK("https://www.philgeps.gov.ph/GEPSNONPILOT/Tender/SplashBidNoticeAbstractUI.aspx?menuIndex=3&amp;refID=7082166&amp;Result=3","7082166")</f>
        <v>0</v>
      </c>
      <c r="B3575" t="s">
        <v>548</v>
      </c>
      <c r="C3575" t="s">
        <v>6826</v>
      </c>
      <c r="D3575" t="s">
        <v>17425</v>
      </c>
      <c r="E3575" t="s">
        <v>20610</v>
      </c>
      <c r="F3575" t="s">
        <v>30052</v>
      </c>
      <c r="G3575" t="s">
        <v>30061</v>
      </c>
      <c r="H3575" t="s">
        <v>15498</v>
      </c>
      <c r="I3575" t="s">
        <v>3736</v>
      </c>
      <c r="J3575" t="s">
        <v>30612</v>
      </c>
      <c r="K3575" t="s">
        <v>39017</v>
      </c>
      <c r="L3575" t="s">
        <v>548</v>
      </c>
      <c r="M3575" t="s">
        <v>39850</v>
      </c>
      <c r="N3575" t="s">
        <v>43166</v>
      </c>
      <c r="O3575" t="s">
        <v>43167</v>
      </c>
      <c r="P3575">
        <v>0</v>
      </c>
      <c r="Q3575">
        <v>0</v>
      </c>
      <c r="R3575" t="s">
        <v>43171</v>
      </c>
      <c r="S3575" t="s">
        <v>43311</v>
      </c>
      <c r="T3575" t="s">
        <v>44969</v>
      </c>
      <c r="U3575" t="s">
        <v>48145</v>
      </c>
      <c r="V3575" t="s">
        <v>57242</v>
      </c>
      <c r="W3575" t="s">
        <v>39850</v>
      </c>
      <c r="X3575" t="s">
        <v>43172</v>
      </c>
    </row>
    <row r="3576" spans="1:24">
      <c r="A3576">
        <f>HYPERLINK("https://www.philgeps.gov.ph/GEPSNONPILOT/Tender/SplashBidNoticeAbstractUI.aspx?menuIndex=3&amp;refID=7082165&amp;Result=3","7082165")</f>
        <v>0</v>
      </c>
      <c r="B3576" t="s">
        <v>1285</v>
      </c>
      <c r="C3576" t="s">
        <v>6827</v>
      </c>
      <c r="D3576" t="s">
        <v>17447</v>
      </c>
      <c r="E3576" t="s">
        <v>20611</v>
      </c>
      <c r="F3576" t="s">
        <v>30052</v>
      </c>
      <c r="G3576" t="s">
        <v>30059</v>
      </c>
      <c r="H3576" t="s">
        <v>30068</v>
      </c>
      <c r="I3576" t="s">
        <v>30100</v>
      </c>
      <c r="J3576" t="s">
        <v>30440</v>
      </c>
      <c r="K3576" t="s">
        <v>39025</v>
      </c>
      <c r="M3576" t="s">
        <v>40649</v>
      </c>
      <c r="N3576" t="s">
        <v>43166</v>
      </c>
      <c r="O3576" t="s">
        <v>43167</v>
      </c>
      <c r="P3576">
        <v>0</v>
      </c>
      <c r="Q3576">
        <v>1</v>
      </c>
      <c r="R3576" t="s">
        <v>43171</v>
      </c>
      <c r="S3576" t="s">
        <v>43311</v>
      </c>
      <c r="T3576" t="s">
        <v>44870</v>
      </c>
      <c r="U3576" t="s">
        <v>48146</v>
      </c>
      <c r="W3576" t="s">
        <v>40649</v>
      </c>
      <c r="X3576" t="s">
        <v>43172</v>
      </c>
    </row>
    <row r="3577" spans="1:24">
      <c r="A3577">
        <f>HYPERLINK("https://www.philgeps.gov.ph/GEPSNONPILOT/Tender/SplashBidNoticeAbstractUI.aspx?menuIndex=3&amp;refID=7082176&amp;Result=3","7082176")</f>
        <v>0</v>
      </c>
      <c r="B3577" t="s">
        <v>409</v>
      </c>
      <c r="C3577" t="s">
        <v>6694</v>
      </c>
      <c r="D3577" t="s">
        <v>17473</v>
      </c>
      <c r="E3577" t="s">
        <v>20612</v>
      </c>
      <c r="F3577" t="s">
        <v>30052</v>
      </c>
      <c r="G3577" t="s">
        <v>30059</v>
      </c>
      <c r="H3577" t="s">
        <v>15498</v>
      </c>
      <c r="I3577" t="s">
        <v>30127</v>
      </c>
      <c r="J3577" t="s">
        <v>32537</v>
      </c>
      <c r="K3577" t="s">
        <v>39025</v>
      </c>
      <c r="M3577" t="s">
        <v>40032</v>
      </c>
      <c r="N3577" t="s">
        <v>43166</v>
      </c>
      <c r="O3577" t="s">
        <v>43167</v>
      </c>
      <c r="P3577">
        <v>0</v>
      </c>
      <c r="Q3577">
        <v>0</v>
      </c>
      <c r="R3577" t="s">
        <v>43171</v>
      </c>
      <c r="S3577" t="s">
        <v>43311</v>
      </c>
      <c r="T3577" t="s">
        <v>44737</v>
      </c>
      <c r="U3577" t="s">
        <v>48043</v>
      </c>
      <c r="W3577" t="s">
        <v>40032</v>
      </c>
      <c r="X3577" t="s">
        <v>43172</v>
      </c>
    </row>
    <row r="3578" spans="1:24">
      <c r="A3578">
        <f>HYPERLINK("https://www.philgeps.gov.ph/GEPSNONPILOT/Tender/SplashBidNoticeAbstractUI.aspx?menuIndex=3&amp;refID=7082211&amp;Result=3","7082211")</f>
        <v>0</v>
      </c>
      <c r="B3578" t="s">
        <v>1330</v>
      </c>
      <c r="C3578" t="s">
        <v>6828</v>
      </c>
      <c r="D3578" t="s">
        <v>17445</v>
      </c>
      <c r="E3578" t="s">
        <v>20469</v>
      </c>
      <c r="F3578" t="s">
        <v>30052</v>
      </c>
      <c r="G3578" t="s">
        <v>30058</v>
      </c>
      <c r="H3578" t="s">
        <v>30067</v>
      </c>
      <c r="I3578" t="s">
        <v>30106</v>
      </c>
      <c r="J3578" t="s">
        <v>30230</v>
      </c>
      <c r="K3578" t="s">
        <v>39019</v>
      </c>
      <c r="M3578" t="s">
        <v>40697</v>
      </c>
      <c r="N3578" t="s">
        <v>43166</v>
      </c>
      <c r="O3578" t="s">
        <v>43167</v>
      </c>
      <c r="P3578">
        <v>0</v>
      </c>
      <c r="Q3578">
        <v>0</v>
      </c>
      <c r="R3578" t="s">
        <v>43171</v>
      </c>
      <c r="S3578" t="s">
        <v>43311</v>
      </c>
      <c r="T3578" t="s">
        <v>44828</v>
      </c>
      <c r="U3578" t="s">
        <v>48147</v>
      </c>
      <c r="W3578" t="s">
        <v>40697</v>
      </c>
      <c r="X3578" t="s">
        <v>43172</v>
      </c>
    </row>
    <row r="3579" spans="1:24">
      <c r="A3579">
        <f>HYPERLINK("https://www.philgeps.gov.ph/GEPSNONPILOT/Tender/SplashBidNoticeAbstractUI.aspx?menuIndex=3&amp;refID=7082170&amp;Result=3","7082170")</f>
        <v>0</v>
      </c>
      <c r="B3579" t="s">
        <v>529</v>
      </c>
      <c r="C3579" t="s">
        <v>4614</v>
      </c>
      <c r="D3579" t="s">
        <v>17474</v>
      </c>
      <c r="E3579" t="s">
        <v>20613</v>
      </c>
      <c r="F3579" t="s">
        <v>30052</v>
      </c>
      <c r="G3579" t="s">
        <v>30058</v>
      </c>
      <c r="H3579" t="s">
        <v>15498</v>
      </c>
      <c r="I3579" t="s">
        <v>3736</v>
      </c>
      <c r="J3579" t="s">
        <v>32538</v>
      </c>
      <c r="K3579" t="s">
        <v>39034</v>
      </c>
      <c r="M3579" t="s">
        <v>39831</v>
      </c>
      <c r="N3579" t="s">
        <v>43166</v>
      </c>
      <c r="O3579" t="s">
        <v>43167</v>
      </c>
      <c r="P3579">
        <v>0</v>
      </c>
      <c r="Q3579">
        <v>1</v>
      </c>
      <c r="R3579" t="s">
        <v>43171</v>
      </c>
      <c r="S3579" t="s">
        <v>43311</v>
      </c>
      <c r="T3579" t="s">
        <v>44704</v>
      </c>
      <c r="U3579" t="s">
        <v>48148</v>
      </c>
      <c r="V3579" t="s">
        <v>57243</v>
      </c>
      <c r="W3579" t="s">
        <v>39831</v>
      </c>
      <c r="X3579" t="s">
        <v>43172</v>
      </c>
    </row>
    <row r="3580" spans="1:24">
      <c r="A3580">
        <f>HYPERLINK("https://www.philgeps.gov.ph/GEPSNONPILOT/Tender/SplashBidNoticeAbstractUI.aspx?menuIndex=3&amp;refID=7082372&amp;Result=3","7082372")</f>
        <v>0</v>
      </c>
      <c r="B3580" t="s">
        <v>144</v>
      </c>
      <c r="C3580" t="s">
        <v>6829</v>
      </c>
      <c r="D3580" t="s">
        <v>17449</v>
      </c>
      <c r="E3580" t="s">
        <v>17760</v>
      </c>
      <c r="F3580" t="s">
        <v>30052</v>
      </c>
      <c r="G3580" t="s">
        <v>30058</v>
      </c>
      <c r="H3580" t="s">
        <v>30067</v>
      </c>
      <c r="I3580" t="s">
        <v>30106</v>
      </c>
      <c r="J3580" t="s">
        <v>32539</v>
      </c>
      <c r="K3580" t="s">
        <v>39025</v>
      </c>
      <c r="M3580" t="s">
        <v>39433</v>
      </c>
      <c r="N3580" t="s">
        <v>43166</v>
      </c>
      <c r="O3580" t="s">
        <v>43167</v>
      </c>
      <c r="P3580">
        <v>0</v>
      </c>
      <c r="Q3580">
        <v>0</v>
      </c>
      <c r="R3580" t="s">
        <v>43171</v>
      </c>
      <c r="S3580" t="s">
        <v>43311</v>
      </c>
      <c r="T3580" t="s">
        <v>44842</v>
      </c>
      <c r="U3580" t="s">
        <v>48149</v>
      </c>
      <c r="W3580" t="s">
        <v>39433</v>
      </c>
      <c r="X3580" t="s">
        <v>43172</v>
      </c>
    </row>
    <row r="3581" spans="1:24">
      <c r="A3581">
        <f>HYPERLINK("https://www.philgeps.gov.ph/GEPSNONPILOT/Tender/SplashBidNoticeAbstractUI.aspx?menuIndex=3&amp;refID=7082373&amp;Result=3","7082373")</f>
        <v>0</v>
      </c>
      <c r="B3581" t="s">
        <v>409</v>
      </c>
      <c r="C3581" t="s">
        <v>5494</v>
      </c>
      <c r="D3581" t="s">
        <v>17473</v>
      </c>
      <c r="E3581" t="s">
        <v>20614</v>
      </c>
      <c r="F3581" t="s">
        <v>30052</v>
      </c>
      <c r="G3581" t="s">
        <v>30059</v>
      </c>
      <c r="H3581" t="s">
        <v>15498</v>
      </c>
      <c r="I3581" t="s">
        <v>3736</v>
      </c>
      <c r="J3581" t="s">
        <v>30207</v>
      </c>
      <c r="K3581" t="s">
        <v>39025</v>
      </c>
      <c r="M3581" t="s">
        <v>40032</v>
      </c>
      <c r="N3581" t="s">
        <v>43166</v>
      </c>
      <c r="O3581" t="s">
        <v>43167</v>
      </c>
      <c r="P3581">
        <v>0</v>
      </c>
      <c r="Q3581">
        <v>0</v>
      </c>
      <c r="R3581" t="s">
        <v>43171</v>
      </c>
      <c r="S3581" t="s">
        <v>43311</v>
      </c>
      <c r="T3581" t="s">
        <v>44737</v>
      </c>
      <c r="U3581" t="s">
        <v>48150</v>
      </c>
      <c r="W3581" t="s">
        <v>40032</v>
      </c>
      <c r="X3581" t="s">
        <v>43172</v>
      </c>
    </row>
    <row r="3582" spans="1:24">
      <c r="A3582">
        <f>HYPERLINK("https://www.philgeps.gov.ph/GEPSNONPILOT/Tender/SplashBidNoticeAbstractUI.aspx?menuIndex=3&amp;refID=7082393&amp;Result=3","7082393")</f>
        <v>0</v>
      </c>
      <c r="B3582" t="s">
        <v>1299</v>
      </c>
      <c r="C3582" t="s">
        <v>6830</v>
      </c>
      <c r="D3582" t="s">
        <v>17442</v>
      </c>
      <c r="E3582" t="s">
        <v>20615</v>
      </c>
      <c r="F3582" t="s">
        <v>30052</v>
      </c>
      <c r="G3582" t="s">
        <v>30059</v>
      </c>
      <c r="H3582" t="s">
        <v>15498</v>
      </c>
      <c r="I3582" t="s">
        <v>30071</v>
      </c>
      <c r="J3582" t="s">
        <v>30377</v>
      </c>
      <c r="K3582" t="s">
        <v>39029</v>
      </c>
      <c r="M3582" t="s">
        <v>40665</v>
      </c>
      <c r="N3582" t="s">
        <v>43166</v>
      </c>
      <c r="O3582" t="s">
        <v>43167</v>
      </c>
      <c r="P3582">
        <v>0</v>
      </c>
      <c r="Q3582">
        <v>0</v>
      </c>
      <c r="R3582" t="s">
        <v>43171</v>
      </c>
      <c r="S3582" t="s">
        <v>43311</v>
      </c>
      <c r="T3582" t="s">
        <v>44841</v>
      </c>
      <c r="U3582" t="s">
        <v>48151</v>
      </c>
      <c r="W3582" t="s">
        <v>40665</v>
      </c>
      <c r="X3582" t="s">
        <v>43172</v>
      </c>
    </row>
    <row r="3583" spans="1:24">
      <c r="A3583">
        <f>HYPERLINK("https://www.philgeps.gov.ph/GEPSNONPILOT/Tender/SplashBidNoticeAbstractUI.aspx?menuIndex=3&amp;refID=7082423&amp;Result=3","7082423")</f>
        <v>0</v>
      </c>
      <c r="B3583" t="s">
        <v>1253</v>
      </c>
      <c r="C3583" t="s">
        <v>6831</v>
      </c>
      <c r="D3583" t="s">
        <v>17421</v>
      </c>
      <c r="E3583" t="s">
        <v>20616</v>
      </c>
      <c r="F3583" t="s">
        <v>30052</v>
      </c>
      <c r="G3583" t="s">
        <v>30059</v>
      </c>
      <c r="H3583" t="s">
        <v>15498</v>
      </c>
      <c r="I3583" t="s">
        <v>3736</v>
      </c>
      <c r="J3583" t="s">
        <v>32540</v>
      </c>
      <c r="K3583" t="s">
        <v>39034</v>
      </c>
      <c r="M3583" t="s">
        <v>40610</v>
      </c>
      <c r="N3583" t="s">
        <v>43166</v>
      </c>
      <c r="O3583" t="s">
        <v>43167</v>
      </c>
      <c r="P3583">
        <v>0</v>
      </c>
      <c r="Q3583">
        <v>1</v>
      </c>
      <c r="R3583" t="s">
        <v>43171</v>
      </c>
      <c r="S3583" t="s">
        <v>43311</v>
      </c>
      <c r="T3583" t="s">
        <v>44710</v>
      </c>
      <c r="U3583" t="s">
        <v>47953</v>
      </c>
      <c r="W3583" t="s">
        <v>40610</v>
      </c>
      <c r="X3583" t="s">
        <v>43172</v>
      </c>
    </row>
    <row r="3584" spans="1:24">
      <c r="A3584">
        <f>HYPERLINK("https://www.philgeps.gov.ph/GEPSNONPILOT/Tender/SplashBidNoticeAbstractUI.aspx?menuIndex=3&amp;refID=7082412&amp;Result=3","7082412")</f>
        <v>0</v>
      </c>
      <c r="B3584" t="s">
        <v>409</v>
      </c>
      <c r="C3584" t="s">
        <v>6832</v>
      </c>
      <c r="D3584" t="s">
        <v>17473</v>
      </c>
      <c r="E3584" t="s">
        <v>20617</v>
      </c>
      <c r="F3584" t="s">
        <v>30052</v>
      </c>
      <c r="G3584" t="s">
        <v>30059</v>
      </c>
      <c r="H3584" t="s">
        <v>15498</v>
      </c>
      <c r="I3584" t="s">
        <v>30085</v>
      </c>
      <c r="J3584" t="s">
        <v>32541</v>
      </c>
      <c r="K3584" t="s">
        <v>39025</v>
      </c>
      <c r="M3584" t="s">
        <v>40032</v>
      </c>
      <c r="N3584" t="s">
        <v>43166</v>
      </c>
      <c r="O3584" t="s">
        <v>43167</v>
      </c>
      <c r="P3584">
        <v>0</v>
      </c>
      <c r="Q3584">
        <v>1</v>
      </c>
      <c r="R3584" t="s">
        <v>43171</v>
      </c>
      <c r="S3584" t="s">
        <v>43311</v>
      </c>
      <c r="T3584" t="s">
        <v>44737</v>
      </c>
      <c r="U3584" t="s">
        <v>48152</v>
      </c>
      <c r="W3584" t="s">
        <v>40032</v>
      </c>
      <c r="X3584" t="s">
        <v>43172</v>
      </c>
    </row>
    <row r="3585" spans="1:24">
      <c r="A3585">
        <f>HYPERLINK("https://www.philgeps.gov.ph/GEPSNONPILOT/Tender/SplashBidNoticeAbstractUI.aspx?menuIndex=3&amp;refID=7082410&amp;Result=3","7082410")</f>
        <v>0</v>
      </c>
      <c r="B3585" t="s">
        <v>629</v>
      </c>
      <c r="C3585" t="s">
        <v>6833</v>
      </c>
      <c r="D3585" t="s">
        <v>17415</v>
      </c>
      <c r="E3585" t="s">
        <v>20618</v>
      </c>
      <c r="F3585" t="s">
        <v>30052</v>
      </c>
      <c r="G3585" t="s">
        <v>30061</v>
      </c>
      <c r="H3585" t="s">
        <v>15498</v>
      </c>
      <c r="I3585" t="s">
        <v>30070</v>
      </c>
      <c r="J3585" t="s">
        <v>32336</v>
      </c>
      <c r="K3585" t="s">
        <v>39019</v>
      </c>
      <c r="M3585" t="s">
        <v>40089</v>
      </c>
      <c r="N3585" t="s">
        <v>43166</v>
      </c>
      <c r="O3585" t="s">
        <v>43167</v>
      </c>
      <c r="P3585">
        <v>0</v>
      </c>
      <c r="Q3585">
        <v>2</v>
      </c>
      <c r="R3585" t="s">
        <v>43171</v>
      </c>
      <c r="S3585" t="s">
        <v>43311</v>
      </c>
      <c r="T3585" t="s">
        <v>44717</v>
      </c>
      <c r="U3585" t="s">
        <v>48153</v>
      </c>
      <c r="V3585" t="s">
        <v>57241</v>
      </c>
      <c r="W3585" t="s">
        <v>40089</v>
      </c>
      <c r="X3585" t="s">
        <v>43172</v>
      </c>
    </row>
    <row r="3586" spans="1:24">
      <c r="A3586">
        <f>HYPERLINK("https://www.philgeps.gov.ph/GEPSNONPILOT/Tender/SplashBidNoticeAbstractUI.aspx?menuIndex=3&amp;refID=7082407&amp;Result=3","7082407")</f>
        <v>0</v>
      </c>
      <c r="B3586" t="s">
        <v>721</v>
      </c>
      <c r="C3586" t="s">
        <v>6834</v>
      </c>
      <c r="D3586" t="s">
        <v>17451</v>
      </c>
      <c r="E3586" t="s">
        <v>20619</v>
      </c>
      <c r="F3586" t="s">
        <v>30052</v>
      </c>
      <c r="G3586" t="s">
        <v>30058</v>
      </c>
      <c r="H3586" t="s">
        <v>30067</v>
      </c>
      <c r="I3586" t="s">
        <v>3693</v>
      </c>
      <c r="J3586" t="s">
        <v>32542</v>
      </c>
      <c r="K3586" t="s">
        <v>39049</v>
      </c>
      <c r="M3586" t="s">
        <v>40031</v>
      </c>
      <c r="N3586" t="s">
        <v>43166</v>
      </c>
      <c r="O3586" t="s">
        <v>43167</v>
      </c>
      <c r="P3586">
        <v>0</v>
      </c>
      <c r="Q3586">
        <v>0</v>
      </c>
      <c r="R3586" t="s">
        <v>43171</v>
      </c>
      <c r="S3586" t="s">
        <v>43311</v>
      </c>
      <c r="T3586" t="s">
        <v>44780</v>
      </c>
      <c r="U3586" t="s">
        <v>46563</v>
      </c>
      <c r="W3586" t="s">
        <v>40031</v>
      </c>
      <c r="X3586" t="s">
        <v>43172</v>
      </c>
    </row>
    <row r="3587" spans="1:24">
      <c r="A3587">
        <f>HYPERLINK("https://www.philgeps.gov.ph/GEPSNONPILOT/Tender/SplashBidNoticeAbstractUI.aspx?menuIndex=3&amp;refID=7082406&amp;Result=3","7082406")</f>
        <v>0</v>
      </c>
      <c r="B3587" t="s">
        <v>1331</v>
      </c>
      <c r="C3587" t="s">
        <v>6835</v>
      </c>
      <c r="D3587" t="s">
        <v>17466</v>
      </c>
      <c r="E3587" t="s">
        <v>20620</v>
      </c>
      <c r="F3587" t="s">
        <v>30052</v>
      </c>
      <c r="G3587" t="s">
        <v>30059</v>
      </c>
      <c r="H3587" t="s">
        <v>15498</v>
      </c>
      <c r="I3587" t="s">
        <v>4119</v>
      </c>
      <c r="J3587" t="s">
        <v>32543</v>
      </c>
      <c r="K3587" t="s">
        <v>39040</v>
      </c>
      <c r="M3587" t="s">
        <v>40698</v>
      </c>
      <c r="N3587" t="s">
        <v>43166</v>
      </c>
      <c r="O3587" t="s">
        <v>43167</v>
      </c>
      <c r="P3587">
        <v>0</v>
      </c>
      <c r="Q3587">
        <v>1</v>
      </c>
      <c r="R3587" t="s">
        <v>43171</v>
      </c>
      <c r="S3587" t="s">
        <v>43311</v>
      </c>
      <c r="T3587" t="s">
        <v>44837</v>
      </c>
      <c r="U3587" t="s">
        <v>48154</v>
      </c>
      <c r="W3587" t="s">
        <v>40698</v>
      </c>
      <c r="X3587" t="s">
        <v>43172</v>
      </c>
    </row>
    <row r="3588" spans="1:24">
      <c r="A3588">
        <f>HYPERLINK("https://www.philgeps.gov.ph/GEPSNONPILOT/Tender/SplashBidNoticeAbstractUI.aspx?menuIndex=3&amp;refID=7082405&amp;Result=3","7082405")</f>
        <v>0</v>
      </c>
      <c r="B3588" t="s">
        <v>1312</v>
      </c>
      <c r="C3588" t="s">
        <v>6836</v>
      </c>
      <c r="D3588" t="s">
        <v>17438</v>
      </c>
      <c r="E3588" t="s">
        <v>20621</v>
      </c>
      <c r="F3588" t="s">
        <v>30052</v>
      </c>
      <c r="G3588" t="s">
        <v>30059</v>
      </c>
      <c r="H3588" t="s">
        <v>15498</v>
      </c>
      <c r="I3588" t="s">
        <v>30097</v>
      </c>
      <c r="J3588" t="s">
        <v>32544</v>
      </c>
      <c r="K3588" t="s">
        <v>39029</v>
      </c>
      <c r="M3588" t="s">
        <v>40679</v>
      </c>
      <c r="N3588" t="s">
        <v>43166</v>
      </c>
      <c r="O3588" t="s">
        <v>43167</v>
      </c>
      <c r="P3588">
        <v>0</v>
      </c>
      <c r="Q3588">
        <v>11</v>
      </c>
      <c r="R3588" t="s">
        <v>43171</v>
      </c>
      <c r="S3588" t="s">
        <v>43311</v>
      </c>
      <c r="T3588" t="s">
        <v>44862</v>
      </c>
      <c r="U3588" t="s">
        <v>48155</v>
      </c>
      <c r="W3588" t="s">
        <v>40679</v>
      </c>
      <c r="X3588" t="s">
        <v>43172</v>
      </c>
    </row>
    <row r="3589" spans="1:24">
      <c r="A3589">
        <f>HYPERLINK("https://www.philgeps.gov.ph/GEPSNONPILOT/Tender/SplashBidNoticeAbstractUI.aspx?menuIndex=3&amp;refID=7082404&amp;Result=3","7082404")</f>
        <v>0</v>
      </c>
      <c r="B3589" t="s">
        <v>1319</v>
      </c>
      <c r="C3589" t="s">
        <v>6837</v>
      </c>
      <c r="D3589" t="s">
        <v>17474</v>
      </c>
      <c r="E3589" t="s">
        <v>20622</v>
      </c>
      <c r="F3589" t="s">
        <v>30052</v>
      </c>
      <c r="G3589" t="s">
        <v>30058</v>
      </c>
      <c r="H3589" t="s">
        <v>15498</v>
      </c>
      <c r="I3589" t="s">
        <v>3736</v>
      </c>
      <c r="J3589" t="s">
        <v>32545</v>
      </c>
      <c r="K3589" t="s">
        <v>39029</v>
      </c>
      <c r="L3589" t="s">
        <v>1319</v>
      </c>
      <c r="M3589" t="s">
        <v>40686</v>
      </c>
      <c r="N3589" t="s">
        <v>43166</v>
      </c>
      <c r="O3589" t="s">
        <v>43167</v>
      </c>
      <c r="P3589">
        <v>0</v>
      </c>
      <c r="Q3589">
        <v>0</v>
      </c>
      <c r="R3589" t="s">
        <v>43171</v>
      </c>
      <c r="S3589" t="s">
        <v>43311</v>
      </c>
      <c r="T3589" t="s">
        <v>44704</v>
      </c>
      <c r="U3589" t="s">
        <v>48156</v>
      </c>
      <c r="V3589" t="s">
        <v>57236</v>
      </c>
      <c r="W3589" t="s">
        <v>40686</v>
      </c>
      <c r="X3589" t="s">
        <v>43172</v>
      </c>
    </row>
    <row r="3590" spans="1:24">
      <c r="A3590">
        <f>HYPERLINK("https://www.philgeps.gov.ph/GEPSNONPILOT/Tender/SplashBidNoticeAbstractUI.aspx?menuIndex=3&amp;refID=7082415&amp;Result=3","7082415")</f>
        <v>0</v>
      </c>
      <c r="B3590" t="s">
        <v>1252</v>
      </c>
      <c r="C3590" t="s">
        <v>6838</v>
      </c>
      <c r="D3590" t="s">
        <v>17452</v>
      </c>
      <c r="E3590" t="s">
        <v>20623</v>
      </c>
      <c r="F3590" t="s">
        <v>30052</v>
      </c>
      <c r="G3590" t="s">
        <v>30061</v>
      </c>
      <c r="H3590" t="s">
        <v>15498</v>
      </c>
      <c r="I3590" t="s">
        <v>30109</v>
      </c>
      <c r="J3590" t="s">
        <v>32546</v>
      </c>
      <c r="K3590" t="s">
        <v>39019</v>
      </c>
      <c r="M3590" t="s">
        <v>40609</v>
      </c>
      <c r="N3590" t="s">
        <v>43166</v>
      </c>
      <c r="O3590" t="s">
        <v>43167</v>
      </c>
      <c r="P3590">
        <v>0</v>
      </c>
      <c r="Q3590">
        <v>0</v>
      </c>
      <c r="R3590" t="s">
        <v>43171</v>
      </c>
      <c r="S3590" t="s">
        <v>43311</v>
      </c>
      <c r="T3590" t="s">
        <v>44696</v>
      </c>
      <c r="U3590" t="s">
        <v>48157</v>
      </c>
      <c r="W3590" t="s">
        <v>40609</v>
      </c>
      <c r="X3590" t="s">
        <v>43172</v>
      </c>
    </row>
    <row r="3591" spans="1:24">
      <c r="A3591">
        <f>HYPERLINK("https://www.philgeps.gov.ph/GEPSNONPILOT/Tender/SplashBidNoticeAbstractUI.aspx?menuIndex=3&amp;refID=7082399&amp;Result=3","7082399")</f>
        <v>0</v>
      </c>
      <c r="B3591" t="s">
        <v>1300</v>
      </c>
      <c r="C3591" t="s">
        <v>6839</v>
      </c>
      <c r="D3591" t="s">
        <v>17444</v>
      </c>
      <c r="E3591" t="s">
        <v>20624</v>
      </c>
      <c r="F3591" t="s">
        <v>30052</v>
      </c>
      <c r="G3591" t="s">
        <v>30058</v>
      </c>
      <c r="H3591" t="s">
        <v>30067</v>
      </c>
      <c r="I3591" t="s">
        <v>3736</v>
      </c>
      <c r="J3591" t="s">
        <v>32547</v>
      </c>
      <c r="K3591" t="s">
        <v>39031</v>
      </c>
      <c r="M3591" t="s">
        <v>40666</v>
      </c>
      <c r="N3591" t="s">
        <v>43166</v>
      </c>
      <c r="O3591" t="s">
        <v>43167</v>
      </c>
      <c r="P3591">
        <v>0</v>
      </c>
      <c r="Q3591">
        <v>4</v>
      </c>
      <c r="R3591" t="s">
        <v>43171</v>
      </c>
      <c r="S3591" t="s">
        <v>43311</v>
      </c>
      <c r="T3591" t="s">
        <v>44828</v>
      </c>
      <c r="U3591" t="s">
        <v>48064</v>
      </c>
      <c r="V3591" t="s">
        <v>57244</v>
      </c>
      <c r="W3591" t="s">
        <v>40666</v>
      </c>
      <c r="X3591" t="s">
        <v>43172</v>
      </c>
    </row>
    <row r="3592" spans="1:24">
      <c r="A3592">
        <f>HYPERLINK("https://www.philgeps.gov.ph/GEPSNONPILOT/Tender/SplashBidNoticeAbstractUI.aspx?menuIndex=3&amp;refID=7082429&amp;Result=3","7082429")</f>
        <v>0</v>
      </c>
      <c r="B3592" t="s">
        <v>1168</v>
      </c>
      <c r="C3592" t="s">
        <v>6840</v>
      </c>
      <c r="E3592" t="s">
        <v>20625</v>
      </c>
      <c r="F3592" t="s">
        <v>30052</v>
      </c>
      <c r="G3592" t="s">
        <v>30059</v>
      </c>
      <c r="H3592" t="s">
        <v>15498</v>
      </c>
      <c r="I3592" t="s">
        <v>6691</v>
      </c>
      <c r="J3592" t="s">
        <v>32548</v>
      </c>
      <c r="K3592" t="s">
        <v>39025</v>
      </c>
      <c r="M3592" t="s">
        <v>40515</v>
      </c>
      <c r="N3592" t="s">
        <v>43166</v>
      </c>
      <c r="O3592" t="s">
        <v>43167</v>
      </c>
      <c r="P3592">
        <v>0</v>
      </c>
      <c r="Q3592">
        <v>2</v>
      </c>
      <c r="R3592" t="s">
        <v>43171</v>
      </c>
      <c r="S3592" t="s">
        <v>43311</v>
      </c>
      <c r="T3592" t="s">
        <v>44837</v>
      </c>
      <c r="U3592" t="s">
        <v>48158</v>
      </c>
      <c r="W3592" t="s">
        <v>40515</v>
      </c>
      <c r="X3592" t="s">
        <v>43172</v>
      </c>
    </row>
    <row r="3593" spans="1:24">
      <c r="A3593">
        <f>HYPERLINK("https://www.philgeps.gov.ph/GEPSNONPILOT/Tender/SplashBidNoticeAbstractUI.aspx?menuIndex=3&amp;refID=7082398&amp;Result=3","7082398")</f>
        <v>0</v>
      </c>
      <c r="B3593" t="s">
        <v>1332</v>
      </c>
      <c r="C3593" t="s">
        <v>6841</v>
      </c>
      <c r="D3593" t="s">
        <v>17484</v>
      </c>
      <c r="E3593" t="s">
        <v>18358</v>
      </c>
      <c r="F3593" t="s">
        <v>30052</v>
      </c>
      <c r="G3593" t="s">
        <v>30058</v>
      </c>
      <c r="H3593" t="s">
        <v>30067</v>
      </c>
      <c r="I3593" t="s">
        <v>3693</v>
      </c>
      <c r="J3593" t="s">
        <v>32549</v>
      </c>
      <c r="K3593" t="s">
        <v>39046</v>
      </c>
      <c r="M3593" t="s">
        <v>40699</v>
      </c>
      <c r="N3593" t="s">
        <v>43166</v>
      </c>
      <c r="O3593" t="s">
        <v>43167</v>
      </c>
      <c r="P3593">
        <v>0</v>
      </c>
      <c r="Q3593">
        <v>1</v>
      </c>
      <c r="R3593" t="s">
        <v>43171</v>
      </c>
      <c r="S3593" t="s">
        <v>43311</v>
      </c>
      <c r="T3593" t="s">
        <v>44970</v>
      </c>
      <c r="U3593" t="s">
        <v>48159</v>
      </c>
      <c r="V3593" t="s">
        <v>57245</v>
      </c>
      <c r="W3593" t="s">
        <v>40699</v>
      </c>
      <c r="X3593" t="s">
        <v>43172</v>
      </c>
    </row>
    <row r="3594" spans="1:24">
      <c r="A3594">
        <f>HYPERLINK("https://www.philgeps.gov.ph/GEPSNONPILOT/Tender/SplashBidNoticeAbstractUI.aspx?menuIndex=3&amp;refID=7082425&amp;Result=3","7082425")</f>
        <v>0</v>
      </c>
      <c r="B3594" t="s">
        <v>1309</v>
      </c>
      <c r="C3594" t="s">
        <v>6842</v>
      </c>
      <c r="D3594" t="s">
        <v>17414</v>
      </c>
      <c r="E3594" t="s">
        <v>20626</v>
      </c>
      <c r="F3594" t="s">
        <v>30052</v>
      </c>
      <c r="G3594" t="s">
        <v>30058</v>
      </c>
      <c r="H3594" t="s">
        <v>30067</v>
      </c>
      <c r="I3594" t="s">
        <v>3693</v>
      </c>
      <c r="J3594" t="s">
        <v>32550</v>
      </c>
      <c r="K3594" t="s">
        <v>39132</v>
      </c>
      <c r="M3594" t="s">
        <v>40676</v>
      </c>
      <c r="N3594" t="s">
        <v>43166</v>
      </c>
      <c r="O3594" t="s">
        <v>43167</v>
      </c>
      <c r="P3594">
        <v>0</v>
      </c>
      <c r="Q3594">
        <v>0</v>
      </c>
      <c r="R3594" t="s">
        <v>43171</v>
      </c>
      <c r="S3594" t="s">
        <v>43311</v>
      </c>
      <c r="T3594" t="s">
        <v>44677</v>
      </c>
      <c r="U3594" t="s">
        <v>48160</v>
      </c>
      <c r="W3594" t="s">
        <v>40676</v>
      </c>
      <c r="X3594" t="s">
        <v>43172</v>
      </c>
    </row>
    <row r="3595" spans="1:24">
      <c r="A3595">
        <f>HYPERLINK("https://www.philgeps.gov.ph/GEPSNONPILOT/Tender/SplashBidNoticeAbstractUI.aspx?menuIndex=3&amp;refID=7082403&amp;Result=3","7082403")</f>
        <v>0</v>
      </c>
      <c r="B3595" t="s">
        <v>1134</v>
      </c>
      <c r="C3595" t="s">
        <v>6843</v>
      </c>
      <c r="D3595" t="s">
        <v>17459</v>
      </c>
      <c r="E3595" t="s">
        <v>20627</v>
      </c>
      <c r="F3595" t="s">
        <v>30052</v>
      </c>
      <c r="G3595" t="s">
        <v>30059</v>
      </c>
      <c r="H3595" t="s">
        <v>30067</v>
      </c>
      <c r="I3595" t="s">
        <v>3693</v>
      </c>
      <c r="J3595" t="s">
        <v>32551</v>
      </c>
      <c r="K3595" t="s">
        <v>39029</v>
      </c>
      <c r="M3595" t="s">
        <v>40477</v>
      </c>
      <c r="N3595" t="s">
        <v>43166</v>
      </c>
      <c r="O3595" t="s">
        <v>43167</v>
      </c>
      <c r="P3595">
        <v>0</v>
      </c>
      <c r="Q3595">
        <v>0</v>
      </c>
      <c r="R3595" t="s">
        <v>43171</v>
      </c>
      <c r="S3595" t="s">
        <v>43311</v>
      </c>
      <c r="T3595" t="s">
        <v>44717</v>
      </c>
      <c r="U3595" t="s">
        <v>48161</v>
      </c>
      <c r="W3595" t="s">
        <v>40477</v>
      </c>
      <c r="X3595" t="s">
        <v>43172</v>
      </c>
    </row>
    <row r="3596" spans="1:24">
      <c r="A3596">
        <f>HYPERLINK("https://www.philgeps.gov.ph/GEPSNONPILOT/Tender/SplashBidNoticeAbstractUI.aspx?menuIndex=3&amp;refID=7082418&amp;Result=3","7082418")</f>
        <v>0</v>
      </c>
      <c r="B3596" t="s">
        <v>730</v>
      </c>
      <c r="C3596" t="s">
        <v>6844</v>
      </c>
      <c r="D3596" t="s">
        <v>17415</v>
      </c>
      <c r="E3596" t="s">
        <v>20628</v>
      </c>
      <c r="F3596" t="s">
        <v>30052</v>
      </c>
      <c r="G3596" t="s">
        <v>30059</v>
      </c>
      <c r="H3596" t="s">
        <v>15498</v>
      </c>
      <c r="I3596" t="s">
        <v>4650</v>
      </c>
      <c r="J3596" t="s">
        <v>30207</v>
      </c>
      <c r="K3596" t="s">
        <v>39025</v>
      </c>
      <c r="M3596" t="s">
        <v>40041</v>
      </c>
      <c r="N3596" t="s">
        <v>43166</v>
      </c>
      <c r="O3596" t="s">
        <v>43167</v>
      </c>
      <c r="P3596">
        <v>0</v>
      </c>
      <c r="Q3596">
        <v>8</v>
      </c>
      <c r="R3596" t="s">
        <v>43171</v>
      </c>
      <c r="S3596" t="s">
        <v>43311</v>
      </c>
      <c r="T3596" t="s">
        <v>44880</v>
      </c>
      <c r="U3596" t="s">
        <v>48162</v>
      </c>
      <c r="W3596" t="s">
        <v>40041</v>
      </c>
      <c r="X3596" t="s">
        <v>43172</v>
      </c>
    </row>
    <row r="3597" spans="1:24">
      <c r="A3597">
        <f>HYPERLINK("https://www.philgeps.gov.ph/GEPSNONPILOT/Tender/SplashBidNoticeAbstractUI.aspx?menuIndex=3&amp;refID=7082424&amp;Result=3","7082424")</f>
        <v>0</v>
      </c>
      <c r="B3597" t="s">
        <v>175</v>
      </c>
      <c r="C3597" t="s">
        <v>6845</v>
      </c>
      <c r="D3597" t="s">
        <v>17476</v>
      </c>
      <c r="E3597" t="s">
        <v>20629</v>
      </c>
      <c r="F3597" t="s">
        <v>30052</v>
      </c>
      <c r="G3597" t="s">
        <v>30058</v>
      </c>
      <c r="H3597" t="s">
        <v>30067</v>
      </c>
      <c r="I3597" t="s">
        <v>3693</v>
      </c>
      <c r="J3597" t="s">
        <v>32552</v>
      </c>
      <c r="K3597" t="s">
        <v>39029</v>
      </c>
      <c r="M3597" t="s">
        <v>39464</v>
      </c>
      <c r="N3597" t="s">
        <v>43166</v>
      </c>
      <c r="O3597" t="s">
        <v>43167</v>
      </c>
      <c r="P3597">
        <v>0</v>
      </c>
      <c r="Q3597">
        <v>0</v>
      </c>
      <c r="R3597" t="s">
        <v>43171</v>
      </c>
      <c r="S3597" t="s">
        <v>43311</v>
      </c>
      <c r="T3597" t="s">
        <v>44752</v>
      </c>
      <c r="U3597" t="s">
        <v>48163</v>
      </c>
      <c r="V3597" t="s">
        <v>57246</v>
      </c>
      <c r="W3597" t="s">
        <v>39464</v>
      </c>
      <c r="X3597" t="s">
        <v>43172</v>
      </c>
    </row>
    <row r="3598" spans="1:24">
      <c r="A3598">
        <f>HYPERLINK("https://www.philgeps.gov.ph/GEPSNONPILOT/Tender/SplashBidNoticeAbstractUI.aspx?menuIndex=3&amp;refID=7082426&amp;Result=3","7082426")</f>
        <v>0</v>
      </c>
      <c r="B3598" t="s">
        <v>1274</v>
      </c>
      <c r="C3598" t="s">
        <v>6846</v>
      </c>
      <c r="D3598" t="s">
        <v>17466</v>
      </c>
      <c r="E3598" t="s">
        <v>20630</v>
      </c>
      <c r="F3598" t="s">
        <v>30052</v>
      </c>
      <c r="G3598" t="s">
        <v>30059</v>
      </c>
      <c r="H3598" t="s">
        <v>15498</v>
      </c>
      <c r="I3598" t="s">
        <v>5961</v>
      </c>
      <c r="J3598" t="s">
        <v>30783</v>
      </c>
      <c r="K3598" t="s">
        <v>39039</v>
      </c>
      <c r="M3598" t="s">
        <v>40634</v>
      </c>
      <c r="N3598" t="s">
        <v>43166</v>
      </c>
      <c r="O3598" t="s">
        <v>43167</v>
      </c>
      <c r="P3598">
        <v>0</v>
      </c>
      <c r="Q3598">
        <v>0</v>
      </c>
      <c r="R3598" t="s">
        <v>43171</v>
      </c>
      <c r="S3598" t="s">
        <v>43311</v>
      </c>
      <c r="T3598" t="s">
        <v>44685</v>
      </c>
      <c r="U3598" t="s">
        <v>48164</v>
      </c>
      <c r="W3598" t="s">
        <v>40634</v>
      </c>
      <c r="X3598" t="s">
        <v>43172</v>
      </c>
    </row>
    <row r="3599" spans="1:24">
      <c r="A3599">
        <f>HYPERLINK("https://www.philgeps.gov.ph/GEPSNONPILOT/Tender/SplashBidNoticeAbstractUI.aspx?menuIndex=3&amp;refID=7082417&amp;Result=3","7082417")</f>
        <v>0</v>
      </c>
      <c r="B3599" t="s">
        <v>1328</v>
      </c>
      <c r="C3599" t="s">
        <v>6847</v>
      </c>
      <c r="D3599" t="s">
        <v>17481</v>
      </c>
      <c r="E3599" t="s">
        <v>20631</v>
      </c>
      <c r="F3599" t="s">
        <v>30052</v>
      </c>
      <c r="G3599" t="s">
        <v>30058</v>
      </c>
      <c r="H3599" t="s">
        <v>15498</v>
      </c>
      <c r="I3599" t="s">
        <v>4650</v>
      </c>
      <c r="J3599" t="s">
        <v>30337</v>
      </c>
      <c r="K3599" t="s">
        <v>39025</v>
      </c>
      <c r="M3599" t="s">
        <v>40695</v>
      </c>
      <c r="N3599" t="s">
        <v>43166</v>
      </c>
      <c r="O3599" t="s">
        <v>43167</v>
      </c>
      <c r="P3599">
        <v>0</v>
      </c>
      <c r="Q3599">
        <v>0</v>
      </c>
      <c r="R3599" t="s">
        <v>43171</v>
      </c>
      <c r="S3599" t="s">
        <v>43311</v>
      </c>
      <c r="T3599" t="s">
        <v>44710</v>
      </c>
      <c r="U3599" t="s">
        <v>48165</v>
      </c>
      <c r="W3599" t="s">
        <v>40695</v>
      </c>
      <c r="X3599" t="s">
        <v>43172</v>
      </c>
    </row>
    <row r="3600" spans="1:24">
      <c r="A3600">
        <f>HYPERLINK("https://www.philgeps.gov.ph/GEPSNONPILOT/Tender/SplashBidNoticeAbstractUI.aspx?menuIndex=3&amp;refID=7082431&amp;Result=3","7082431")</f>
        <v>0</v>
      </c>
      <c r="B3600" t="s">
        <v>1328</v>
      </c>
      <c r="C3600" t="s">
        <v>6848</v>
      </c>
      <c r="D3600" t="s">
        <v>17481</v>
      </c>
      <c r="E3600" t="s">
        <v>20632</v>
      </c>
      <c r="F3600" t="s">
        <v>30052</v>
      </c>
      <c r="G3600" t="s">
        <v>30058</v>
      </c>
      <c r="H3600" t="s">
        <v>15498</v>
      </c>
      <c r="I3600" t="s">
        <v>4650</v>
      </c>
      <c r="J3600" t="s">
        <v>30218</v>
      </c>
      <c r="K3600" t="s">
        <v>39025</v>
      </c>
      <c r="M3600" t="s">
        <v>40695</v>
      </c>
      <c r="N3600" t="s">
        <v>43166</v>
      </c>
      <c r="O3600" t="s">
        <v>43167</v>
      </c>
      <c r="P3600">
        <v>0</v>
      </c>
      <c r="Q3600">
        <v>0</v>
      </c>
      <c r="R3600" t="s">
        <v>43171</v>
      </c>
      <c r="S3600" t="s">
        <v>43311</v>
      </c>
      <c r="T3600" t="s">
        <v>44710</v>
      </c>
      <c r="U3600" t="s">
        <v>48166</v>
      </c>
      <c r="W3600" t="s">
        <v>40695</v>
      </c>
      <c r="X3600" t="s">
        <v>43172</v>
      </c>
    </row>
    <row r="3601" spans="1:24">
      <c r="A3601">
        <f>HYPERLINK("https://www.philgeps.gov.ph/GEPSNONPILOT/Tender/SplashBidNoticeAbstractUI.aspx?menuIndex=3&amp;refID=7082442&amp;Result=3","7082442")</f>
        <v>0</v>
      </c>
      <c r="B3601" t="s">
        <v>66</v>
      </c>
      <c r="C3601" t="s">
        <v>3537</v>
      </c>
      <c r="D3601" t="s">
        <v>17432</v>
      </c>
      <c r="E3601" t="s">
        <v>19739</v>
      </c>
      <c r="F3601" t="s">
        <v>30052</v>
      </c>
      <c r="G3601" t="s">
        <v>30062</v>
      </c>
      <c r="H3601" t="s">
        <v>15498</v>
      </c>
      <c r="I3601" t="s">
        <v>30075</v>
      </c>
      <c r="J3601" t="s">
        <v>30389</v>
      </c>
      <c r="K3601" t="s">
        <v>39017</v>
      </c>
      <c r="M3601" t="s">
        <v>39355</v>
      </c>
      <c r="N3601" t="s">
        <v>43166</v>
      </c>
      <c r="O3601" t="s">
        <v>43167</v>
      </c>
      <c r="P3601">
        <v>0</v>
      </c>
      <c r="Q3601">
        <v>0</v>
      </c>
      <c r="R3601" t="s">
        <v>43171</v>
      </c>
      <c r="S3601" t="s">
        <v>43311</v>
      </c>
      <c r="T3601" t="s">
        <v>44720</v>
      </c>
      <c r="U3601" t="s">
        <v>45429</v>
      </c>
      <c r="W3601" t="s">
        <v>39355</v>
      </c>
      <c r="X3601" t="s">
        <v>43172</v>
      </c>
    </row>
    <row r="3602" spans="1:24">
      <c r="A3602">
        <f>HYPERLINK("https://www.philgeps.gov.ph/GEPSNONPILOT/Tender/SplashBidNoticeAbstractUI.aspx?menuIndex=3&amp;refID=7082397&amp;Result=3","7082397")</f>
        <v>0</v>
      </c>
      <c r="B3602" t="s">
        <v>1333</v>
      </c>
      <c r="C3602" t="s">
        <v>6849</v>
      </c>
      <c r="D3602" t="s">
        <v>17474</v>
      </c>
      <c r="E3602" t="s">
        <v>20633</v>
      </c>
      <c r="F3602" t="s">
        <v>30052</v>
      </c>
      <c r="G3602" t="s">
        <v>30058</v>
      </c>
      <c r="H3602" t="s">
        <v>30067</v>
      </c>
      <c r="I3602" t="s">
        <v>3693</v>
      </c>
      <c r="J3602" t="s">
        <v>32553</v>
      </c>
      <c r="K3602" t="s">
        <v>39023</v>
      </c>
      <c r="M3602" t="s">
        <v>40700</v>
      </c>
      <c r="N3602" t="s">
        <v>43166</v>
      </c>
      <c r="O3602" t="s">
        <v>43167</v>
      </c>
      <c r="P3602">
        <v>0</v>
      </c>
      <c r="Q3602">
        <v>1</v>
      </c>
      <c r="R3602" t="s">
        <v>43171</v>
      </c>
      <c r="S3602" t="s">
        <v>43311</v>
      </c>
      <c r="T3602" t="s">
        <v>44754</v>
      </c>
      <c r="U3602" t="s">
        <v>48167</v>
      </c>
      <c r="W3602" t="s">
        <v>40700</v>
      </c>
      <c r="X3602" t="s">
        <v>43172</v>
      </c>
    </row>
    <row r="3603" spans="1:24">
      <c r="A3603">
        <f>HYPERLINK("https://www.philgeps.gov.ph/GEPSNONPILOT/Tender/SplashBidNoticeAbstractUI.aspx?menuIndex=3&amp;refID=7082438&amp;Result=3","7082438")</f>
        <v>0</v>
      </c>
      <c r="B3603" t="s">
        <v>199</v>
      </c>
      <c r="C3603" t="s">
        <v>6850</v>
      </c>
      <c r="D3603" t="s">
        <v>17415</v>
      </c>
      <c r="E3603" t="s">
        <v>20634</v>
      </c>
      <c r="F3603" t="s">
        <v>30052</v>
      </c>
      <c r="G3603" t="s">
        <v>30059</v>
      </c>
      <c r="H3603" t="s">
        <v>15498</v>
      </c>
      <c r="I3603" t="s">
        <v>30156</v>
      </c>
      <c r="J3603" t="s">
        <v>32554</v>
      </c>
      <c r="K3603" t="s">
        <v>39031</v>
      </c>
      <c r="M3603" t="s">
        <v>40618</v>
      </c>
      <c r="N3603" t="s">
        <v>43166</v>
      </c>
      <c r="O3603" t="s">
        <v>43167</v>
      </c>
      <c r="P3603">
        <v>0</v>
      </c>
      <c r="Q3603">
        <v>14</v>
      </c>
      <c r="R3603" t="s">
        <v>43171</v>
      </c>
      <c r="S3603" t="s">
        <v>43311</v>
      </c>
      <c r="T3603" t="s">
        <v>44678</v>
      </c>
      <c r="U3603" t="s">
        <v>48168</v>
      </c>
      <c r="W3603" t="s">
        <v>40618</v>
      </c>
      <c r="X3603" t="s">
        <v>43172</v>
      </c>
    </row>
    <row r="3604" spans="1:24">
      <c r="A3604">
        <f>HYPERLINK("https://www.philgeps.gov.ph/GEPSNONPILOT/Tender/SplashBidNoticeAbstractUI.aspx?menuIndex=3&amp;refID=7082416&amp;Result=3","7082416")</f>
        <v>0</v>
      </c>
      <c r="B3604" t="s">
        <v>1334</v>
      </c>
      <c r="C3604" t="s">
        <v>6851</v>
      </c>
      <c r="D3604" t="s">
        <v>17441</v>
      </c>
      <c r="E3604" t="s">
        <v>20635</v>
      </c>
      <c r="F3604" t="s">
        <v>30052</v>
      </c>
      <c r="G3604" t="s">
        <v>30064</v>
      </c>
      <c r="H3604" t="s">
        <v>15498</v>
      </c>
      <c r="I3604" t="s">
        <v>6304</v>
      </c>
      <c r="J3604" t="s">
        <v>32555</v>
      </c>
      <c r="K3604" t="s">
        <v>39017</v>
      </c>
      <c r="M3604" t="s">
        <v>40701</v>
      </c>
      <c r="N3604" t="s">
        <v>43166</v>
      </c>
      <c r="O3604" t="s">
        <v>43167</v>
      </c>
      <c r="P3604">
        <v>0</v>
      </c>
      <c r="Q3604">
        <v>1</v>
      </c>
      <c r="R3604" t="s">
        <v>43171</v>
      </c>
      <c r="S3604" t="s">
        <v>43311</v>
      </c>
      <c r="T3604" t="s">
        <v>44844</v>
      </c>
      <c r="U3604" t="s">
        <v>48169</v>
      </c>
      <c r="W3604" t="s">
        <v>40701</v>
      </c>
      <c r="X3604" t="s">
        <v>43172</v>
      </c>
    </row>
    <row r="3605" spans="1:24">
      <c r="A3605">
        <f>HYPERLINK("https://www.philgeps.gov.ph/GEPSNONPILOT/Tender/SplashBidNoticeAbstractUI.aspx?menuIndex=3&amp;refID=7082436&amp;Result=3","7082436")</f>
        <v>0</v>
      </c>
      <c r="B3605" t="s">
        <v>1335</v>
      </c>
      <c r="C3605" t="s">
        <v>6852</v>
      </c>
      <c r="D3605" t="s">
        <v>17442</v>
      </c>
      <c r="E3605" t="s">
        <v>20636</v>
      </c>
      <c r="F3605" t="s">
        <v>30052</v>
      </c>
      <c r="G3605" t="s">
        <v>30059</v>
      </c>
      <c r="H3605" t="s">
        <v>15498</v>
      </c>
      <c r="I3605" t="s">
        <v>6691</v>
      </c>
      <c r="J3605" t="s">
        <v>32556</v>
      </c>
      <c r="K3605" t="s">
        <v>39039</v>
      </c>
      <c r="M3605" t="s">
        <v>40702</v>
      </c>
      <c r="N3605" t="s">
        <v>43166</v>
      </c>
      <c r="O3605" t="s">
        <v>43167</v>
      </c>
      <c r="P3605">
        <v>0</v>
      </c>
      <c r="Q3605">
        <v>0</v>
      </c>
      <c r="R3605" t="s">
        <v>43171</v>
      </c>
      <c r="S3605" t="s">
        <v>43311</v>
      </c>
      <c r="T3605" t="s">
        <v>44843</v>
      </c>
      <c r="U3605" t="s">
        <v>48170</v>
      </c>
      <c r="V3605" t="s">
        <v>57247</v>
      </c>
      <c r="W3605" t="s">
        <v>40702</v>
      </c>
      <c r="X3605" t="s">
        <v>43172</v>
      </c>
    </row>
    <row r="3606" spans="1:24">
      <c r="A3606">
        <f>HYPERLINK("https://www.philgeps.gov.ph/GEPSNONPILOT/Tender/SplashBidNoticeAbstractUI.aspx?menuIndex=3&amp;refID=7082435&amp;Result=3","7082435")</f>
        <v>0</v>
      </c>
      <c r="B3606" t="s">
        <v>1336</v>
      </c>
      <c r="C3606" t="s">
        <v>6853</v>
      </c>
      <c r="D3606" t="s">
        <v>17415</v>
      </c>
      <c r="E3606" t="s">
        <v>20637</v>
      </c>
      <c r="F3606" t="s">
        <v>30052</v>
      </c>
      <c r="G3606" t="s">
        <v>30059</v>
      </c>
      <c r="H3606" t="s">
        <v>15498</v>
      </c>
      <c r="I3606" t="s">
        <v>30151</v>
      </c>
      <c r="J3606" t="s">
        <v>32557</v>
      </c>
      <c r="K3606" t="s">
        <v>39025</v>
      </c>
      <c r="M3606" t="s">
        <v>40703</v>
      </c>
      <c r="N3606" t="s">
        <v>43166</v>
      </c>
      <c r="O3606" t="s">
        <v>43167</v>
      </c>
      <c r="P3606">
        <v>0</v>
      </c>
      <c r="Q3606">
        <v>1</v>
      </c>
      <c r="R3606" t="s">
        <v>43171</v>
      </c>
      <c r="S3606" t="s">
        <v>43311</v>
      </c>
      <c r="T3606" t="s">
        <v>44735</v>
      </c>
      <c r="U3606" t="s">
        <v>48171</v>
      </c>
      <c r="W3606" t="s">
        <v>40703</v>
      </c>
      <c r="X3606" t="s">
        <v>43172</v>
      </c>
    </row>
    <row r="3607" spans="1:24">
      <c r="A3607">
        <f>HYPERLINK("https://www.philgeps.gov.ph/GEPSNONPILOT/Tender/SplashBidNoticeAbstractUI.aspx?menuIndex=3&amp;refID=7082465&amp;Result=3","7082465")</f>
        <v>0</v>
      </c>
      <c r="B3607" t="s">
        <v>721</v>
      </c>
      <c r="C3607" t="s">
        <v>6854</v>
      </c>
      <c r="D3607" t="s">
        <v>17451</v>
      </c>
      <c r="E3607" t="s">
        <v>20638</v>
      </c>
      <c r="F3607" t="s">
        <v>30052</v>
      </c>
      <c r="G3607" t="s">
        <v>30058</v>
      </c>
      <c r="H3607" t="s">
        <v>30067</v>
      </c>
      <c r="I3607" t="s">
        <v>3693</v>
      </c>
      <c r="J3607" t="s">
        <v>32558</v>
      </c>
      <c r="K3607" t="s">
        <v>39037</v>
      </c>
      <c r="M3607" t="s">
        <v>40031</v>
      </c>
      <c r="N3607" t="s">
        <v>43166</v>
      </c>
      <c r="O3607" t="s">
        <v>43167</v>
      </c>
      <c r="P3607">
        <v>0</v>
      </c>
      <c r="Q3607">
        <v>0</v>
      </c>
      <c r="R3607" t="s">
        <v>43171</v>
      </c>
      <c r="S3607" t="s">
        <v>43311</v>
      </c>
      <c r="T3607" t="s">
        <v>44780</v>
      </c>
      <c r="U3607" t="s">
        <v>46563</v>
      </c>
      <c r="W3607" t="s">
        <v>40031</v>
      </c>
      <c r="X3607" t="s">
        <v>43172</v>
      </c>
    </row>
    <row r="3608" spans="1:24">
      <c r="A3608">
        <f>HYPERLINK("https://www.philgeps.gov.ph/GEPSNONPILOT/Tender/SplashBidNoticeAbstractUI.aspx?menuIndex=3&amp;refID=7082445&amp;Result=3","7082445")</f>
        <v>0</v>
      </c>
      <c r="B3608" t="s">
        <v>1337</v>
      </c>
      <c r="C3608" t="s">
        <v>6855</v>
      </c>
      <c r="D3608" t="s">
        <v>17451</v>
      </c>
      <c r="E3608" t="s">
        <v>20639</v>
      </c>
      <c r="F3608" t="s">
        <v>30052</v>
      </c>
      <c r="G3608" t="s">
        <v>30059</v>
      </c>
      <c r="H3608" t="s">
        <v>15498</v>
      </c>
      <c r="I3608" t="s">
        <v>4650</v>
      </c>
      <c r="J3608" t="s">
        <v>30344</v>
      </c>
      <c r="K3608" t="s">
        <v>39017</v>
      </c>
      <c r="M3608" t="s">
        <v>40704</v>
      </c>
      <c r="N3608" t="s">
        <v>43166</v>
      </c>
      <c r="O3608" t="s">
        <v>43167</v>
      </c>
      <c r="P3608">
        <v>0</v>
      </c>
      <c r="Q3608">
        <v>0</v>
      </c>
      <c r="R3608" t="s">
        <v>43171</v>
      </c>
      <c r="S3608" t="s">
        <v>43311</v>
      </c>
      <c r="T3608" t="s">
        <v>44705</v>
      </c>
      <c r="U3608" t="s">
        <v>48172</v>
      </c>
      <c r="W3608" t="s">
        <v>40704</v>
      </c>
      <c r="X3608" t="s">
        <v>43172</v>
      </c>
    </row>
    <row r="3609" spans="1:24">
      <c r="A3609">
        <f>HYPERLINK("https://www.philgeps.gov.ph/GEPSNONPILOT/Tender/SplashBidNoticeAbstractUI.aspx?menuIndex=3&amp;refID=7082462&amp;Result=3","7082462")</f>
        <v>0</v>
      </c>
      <c r="B3609" t="s">
        <v>1338</v>
      </c>
      <c r="C3609" t="s">
        <v>6856</v>
      </c>
      <c r="D3609" t="s">
        <v>17415</v>
      </c>
      <c r="E3609" t="s">
        <v>20640</v>
      </c>
      <c r="F3609" t="s">
        <v>30052</v>
      </c>
      <c r="G3609" t="s">
        <v>30058</v>
      </c>
      <c r="H3609" t="s">
        <v>15498</v>
      </c>
      <c r="I3609" t="s">
        <v>4650</v>
      </c>
      <c r="J3609" t="s">
        <v>32559</v>
      </c>
      <c r="K3609" t="s">
        <v>39025</v>
      </c>
      <c r="M3609" t="s">
        <v>40705</v>
      </c>
      <c r="N3609" t="s">
        <v>43166</v>
      </c>
      <c r="O3609" t="s">
        <v>43167</v>
      </c>
      <c r="P3609">
        <v>0</v>
      </c>
      <c r="Q3609">
        <v>5</v>
      </c>
      <c r="R3609" t="s">
        <v>43171</v>
      </c>
      <c r="S3609" t="s">
        <v>43311</v>
      </c>
      <c r="T3609" t="s">
        <v>44736</v>
      </c>
      <c r="U3609" t="s">
        <v>48173</v>
      </c>
      <c r="W3609" t="s">
        <v>40705</v>
      </c>
      <c r="X3609" t="s">
        <v>43172</v>
      </c>
    </row>
    <row r="3610" spans="1:24">
      <c r="A3610">
        <f>HYPERLINK("https://www.philgeps.gov.ph/GEPSNONPILOT/Tender/SplashBidNoticeAbstractUI.aspx?menuIndex=3&amp;refID=7082461&amp;Result=3","7082461")</f>
        <v>0</v>
      </c>
      <c r="B3610" t="s">
        <v>1339</v>
      </c>
      <c r="C3610" t="s">
        <v>6857</v>
      </c>
      <c r="D3610" t="s">
        <v>17474</v>
      </c>
      <c r="E3610" t="s">
        <v>20641</v>
      </c>
      <c r="F3610" t="s">
        <v>30052</v>
      </c>
      <c r="G3610" t="s">
        <v>30058</v>
      </c>
      <c r="H3610" t="s">
        <v>15498</v>
      </c>
      <c r="I3610" t="s">
        <v>3852</v>
      </c>
      <c r="J3610" t="s">
        <v>32560</v>
      </c>
      <c r="K3610" t="s">
        <v>39029</v>
      </c>
      <c r="M3610" t="s">
        <v>40706</v>
      </c>
      <c r="N3610" t="s">
        <v>43166</v>
      </c>
      <c r="O3610" t="s">
        <v>43167</v>
      </c>
      <c r="P3610">
        <v>0</v>
      </c>
      <c r="Q3610">
        <v>1</v>
      </c>
      <c r="R3610" t="s">
        <v>43171</v>
      </c>
      <c r="S3610" t="s">
        <v>43311</v>
      </c>
      <c r="T3610" t="s">
        <v>44704</v>
      </c>
      <c r="U3610" t="s">
        <v>48174</v>
      </c>
      <c r="V3610" t="s">
        <v>57248</v>
      </c>
      <c r="W3610" t="s">
        <v>40706</v>
      </c>
      <c r="X3610" t="s">
        <v>43172</v>
      </c>
    </row>
    <row r="3611" spans="1:24">
      <c r="A3611">
        <f>HYPERLINK("https://www.philgeps.gov.ph/GEPSNONPILOT/Tender/SplashBidNoticeAbstractUI.aspx?menuIndex=3&amp;refID=7082441&amp;Result=3","7082441")</f>
        <v>0</v>
      </c>
      <c r="B3611" t="s">
        <v>721</v>
      </c>
      <c r="C3611" t="s">
        <v>6858</v>
      </c>
      <c r="D3611" t="s">
        <v>17451</v>
      </c>
      <c r="E3611" t="s">
        <v>20642</v>
      </c>
      <c r="F3611" t="s">
        <v>30052</v>
      </c>
      <c r="G3611" t="s">
        <v>30058</v>
      </c>
      <c r="H3611" t="s">
        <v>30067</v>
      </c>
      <c r="I3611" t="s">
        <v>3693</v>
      </c>
      <c r="J3611" t="s">
        <v>32561</v>
      </c>
      <c r="K3611" t="s">
        <v>39037</v>
      </c>
      <c r="M3611" t="s">
        <v>40031</v>
      </c>
      <c r="N3611" t="s">
        <v>43166</v>
      </c>
      <c r="O3611" t="s">
        <v>43167</v>
      </c>
      <c r="P3611">
        <v>0</v>
      </c>
      <c r="Q3611">
        <v>0</v>
      </c>
      <c r="R3611" t="s">
        <v>43171</v>
      </c>
      <c r="S3611" t="s">
        <v>43311</v>
      </c>
      <c r="T3611" t="s">
        <v>44780</v>
      </c>
      <c r="U3611" t="s">
        <v>46563</v>
      </c>
      <c r="W3611" t="s">
        <v>40031</v>
      </c>
      <c r="X3611" t="s">
        <v>43172</v>
      </c>
    </row>
    <row r="3612" spans="1:24">
      <c r="A3612">
        <f>HYPERLINK("https://www.philgeps.gov.ph/GEPSNONPILOT/Tender/SplashBidNoticeAbstractUI.aspx?menuIndex=3&amp;refID=7082458&amp;Result=3","7082458")</f>
        <v>0</v>
      </c>
      <c r="B3612" t="s">
        <v>1328</v>
      </c>
      <c r="C3612" t="s">
        <v>6859</v>
      </c>
      <c r="D3612" t="s">
        <v>17481</v>
      </c>
      <c r="E3612" t="s">
        <v>18869</v>
      </c>
      <c r="F3612" t="s">
        <v>30052</v>
      </c>
      <c r="G3612" t="s">
        <v>30058</v>
      </c>
      <c r="H3612" t="s">
        <v>15498</v>
      </c>
      <c r="I3612" t="s">
        <v>3736</v>
      </c>
      <c r="J3612" t="s">
        <v>32562</v>
      </c>
      <c r="K3612" t="s">
        <v>39025</v>
      </c>
      <c r="M3612" t="s">
        <v>40695</v>
      </c>
      <c r="N3612" t="s">
        <v>43166</v>
      </c>
      <c r="O3612" t="s">
        <v>43167</v>
      </c>
      <c r="P3612">
        <v>0</v>
      </c>
      <c r="Q3612">
        <v>0</v>
      </c>
      <c r="R3612" t="s">
        <v>43171</v>
      </c>
      <c r="S3612" t="s">
        <v>43311</v>
      </c>
      <c r="T3612" t="s">
        <v>44710</v>
      </c>
      <c r="U3612" t="s">
        <v>48175</v>
      </c>
      <c r="W3612" t="s">
        <v>40695</v>
      </c>
      <c r="X3612" t="s">
        <v>43172</v>
      </c>
    </row>
    <row r="3613" spans="1:24">
      <c r="A3613">
        <f>HYPERLINK("https://www.philgeps.gov.ph/GEPSNONPILOT/Tender/SplashBidNoticeAbstractUI.aspx?menuIndex=3&amp;refID=7082432&amp;Result=3","7082432")</f>
        <v>0</v>
      </c>
      <c r="B3613" t="s">
        <v>1172</v>
      </c>
      <c r="C3613" t="s">
        <v>6860</v>
      </c>
      <c r="D3613" t="s">
        <v>17466</v>
      </c>
      <c r="E3613" t="s">
        <v>20643</v>
      </c>
      <c r="F3613" t="s">
        <v>30052</v>
      </c>
      <c r="G3613" t="s">
        <v>30058</v>
      </c>
      <c r="H3613" t="s">
        <v>15498</v>
      </c>
      <c r="I3613" t="s">
        <v>30076</v>
      </c>
      <c r="J3613" t="s">
        <v>32563</v>
      </c>
      <c r="K3613" t="s">
        <v>39037</v>
      </c>
      <c r="M3613" t="s">
        <v>40520</v>
      </c>
      <c r="N3613" t="s">
        <v>43166</v>
      </c>
      <c r="O3613" t="s">
        <v>43167</v>
      </c>
      <c r="P3613">
        <v>0</v>
      </c>
      <c r="Q3613">
        <v>11</v>
      </c>
      <c r="R3613" t="s">
        <v>43171</v>
      </c>
      <c r="S3613" t="s">
        <v>43311</v>
      </c>
      <c r="T3613" t="s">
        <v>44835</v>
      </c>
      <c r="U3613" t="s">
        <v>48176</v>
      </c>
      <c r="W3613" t="s">
        <v>58626</v>
      </c>
      <c r="X3613" t="s">
        <v>43172</v>
      </c>
    </row>
    <row r="3614" spans="1:24">
      <c r="A3614">
        <f>HYPERLINK("https://www.philgeps.gov.ph/GEPSNONPILOT/Tender/SplashBidNoticeAbstractUI.aspx?menuIndex=3&amp;refID=7082453&amp;Result=3","7082453")</f>
        <v>0</v>
      </c>
      <c r="B3614" t="s">
        <v>1269</v>
      </c>
      <c r="C3614" t="s">
        <v>6861</v>
      </c>
      <c r="D3614" t="s">
        <v>17415</v>
      </c>
      <c r="E3614" t="s">
        <v>20644</v>
      </c>
      <c r="F3614" t="s">
        <v>30052</v>
      </c>
      <c r="G3614" t="s">
        <v>30061</v>
      </c>
      <c r="H3614" t="s">
        <v>15498</v>
      </c>
      <c r="I3614" t="s">
        <v>30116</v>
      </c>
      <c r="J3614" t="s">
        <v>32564</v>
      </c>
      <c r="K3614" t="s">
        <v>39034</v>
      </c>
      <c r="M3614" t="s">
        <v>40628</v>
      </c>
      <c r="N3614" t="s">
        <v>43166</v>
      </c>
      <c r="O3614" t="s">
        <v>43167</v>
      </c>
      <c r="P3614">
        <v>0</v>
      </c>
      <c r="Q3614">
        <v>3</v>
      </c>
      <c r="R3614" t="s">
        <v>43171</v>
      </c>
      <c r="S3614" t="s">
        <v>43311</v>
      </c>
      <c r="T3614" t="s">
        <v>44962</v>
      </c>
      <c r="U3614" t="s">
        <v>48177</v>
      </c>
      <c r="V3614" t="s">
        <v>57222</v>
      </c>
      <c r="W3614" t="s">
        <v>40628</v>
      </c>
      <c r="X3614" t="s">
        <v>43172</v>
      </c>
    </row>
    <row r="3615" spans="1:24">
      <c r="A3615">
        <f>HYPERLINK("https://www.philgeps.gov.ph/GEPSNONPILOT/Tender/SplashBidNoticeAbstractUI.aspx?menuIndex=3&amp;refID=7082452&amp;Result=3","7082452")</f>
        <v>0</v>
      </c>
      <c r="B3615" t="s">
        <v>1316</v>
      </c>
      <c r="C3615" t="s">
        <v>6862</v>
      </c>
      <c r="D3615" t="s">
        <v>17445</v>
      </c>
      <c r="E3615" t="s">
        <v>20645</v>
      </c>
      <c r="F3615" t="s">
        <v>30052</v>
      </c>
      <c r="G3615" t="s">
        <v>30059</v>
      </c>
      <c r="H3615" t="s">
        <v>15498</v>
      </c>
      <c r="I3615" t="s">
        <v>30076</v>
      </c>
      <c r="J3615" t="s">
        <v>30256</v>
      </c>
      <c r="K3615" t="s">
        <v>39029</v>
      </c>
      <c r="M3615" t="s">
        <v>40683</v>
      </c>
      <c r="N3615" t="s">
        <v>43166</v>
      </c>
      <c r="O3615" t="s">
        <v>43167</v>
      </c>
      <c r="P3615">
        <v>0</v>
      </c>
      <c r="Q3615">
        <v>1</v>
      </c>
      <c r="R3615" t="s">
        <v>43171</v>
      </c>
      <c r="S3615" t="s">
        <v>43311</v>
      </c>
      <c r="T3615" t="s">
        <v>44698</v>
      </c>
      <c r="U3615" t="s">
        <v>48178</v>
      </c>
      <c r="W3615" t="s">
        <v>40683</v>
      </c>
      <c r="X3615" t="s">
        <v>43172</v>
      </c>
    </row>
    <row r="3616" spans="1:24">
      <c r="A3616">
        <f>HYPERLINK("https://www.philgeps.gov.ph/GEPSNONPILOT/Tender/SplashBidNoticeAbstractUI.aspx?menuIndex=3&amp;refID=7082470&amp;Result=3","7082470")</f>
        <v>0</v>
      </c>
      <c r="B3616" t="s">
        <v>679</v>
      </c>
      <c r="C3616" t="s">
        <v>6863</v>
      </c>
      <c r="D3616" t="s">
        <v>17419</v>
      </c>
      <c r="E3616" t="s">
        <v>20646</v>
      </c>
      <c r="F3616" t="s">
        <v>30052</v>
      </c>
      <c r="G3616" t="s">
        <v>30059</v>
      </c>
      <c r="H3616" t="s">
        <v>15498</v>
      </c>
      <c r="I3616" t="s">
        <v>30073</v>
      </c>
      <c r="J3616" t="s">
        <v>32565</v>
      </c>
      <c r="K3616" t="s">
        <v>39017</v>
      </c>
      <c r="M3616" t="s">
        <v>39985</v>
      </c>
      <c r="N3616" t="s">
        <v>43166</v>
      </c>
      <c r="O3616" t="s">
        <v>43167</v>
      </c>
      <c r="P3616">
        <v>0</v>
      </c>
      <c r="Q3616">
        <v>0</v>
      </c>
      <c r="R3616" t="s">
        <v>43171</v>
      </c>
      <c r="S3616" t="s">
        <v>43311</v>
      </c>
      <c r="T3616" t="s">
        <v>44717</v>
      </c>
      <c r="U3616" t="s">
        <v>48179</v>
      </c>
      <c r="W3616" t="s">
        <v>39985</v>
      </c>
      <c r="X3616" t="s">
        <v>43172</v>
      </c>
    </row>
    <row r="3617" spans="1:24">
      <c r="A3617">
        <f>HYPERLINK("https://www.philgeps.gov.ph/GEPSNONPILOT/Tender/SplashBidNoticeAbstractUI.aspx?menuIndex=3&amp;refID=7082466&amp;Result=3","7082466")</f>
        <v>0</v>
      </c>
      <c r="B3617" t="s">
        <v>730</v>
      </c>
      <c r="C3617" t="s">
        <v>6864</v>
      </c>
      <c r="D3617" t="s">
        <v>17415</v>
      </c>
      <c r="E3617" t="s">
        <v>20647</v>
      </c>
      <c r="F3617" t="s">
        <v>30052</v>
      </c>
      <c r="G3617" t="s">
        <v>30059</v>
      </c>
      <c r="H3617" t="s">
        <v>15498</v>
      </c>
      <c r="I3617" t="s">
        <v>30181</v>
      </c>
      <c r="J3617" t="s">
        <v>32566</v>
      </c>
      <c r="K3617" t="s">
        <v>39025</v>
      </c>
      <c r="M3617" t="s">
        <v>40041</v>
      </c>
      <c r="N3617" t="s">
        <v>43166</v>
      </c>
      <c r="O3617" t="s">
        <v>43167</v>
      </c>
      <c r="P3617">
        <v>0</v>
      </c>
      <c r="Q3617">
        <v>4</v>
      </c>
      <c r="R3617" t="s">
        <v>43171</v>
      </c>
      <c r="S3617" t="s">
        <v>43311</v>
      </c>
      <c r="T3617" t="s">
        <v>44880</v>
      </c>
      <c r="U3617" t="s">
        <v>48180</v>
      </c>
      <c r="W3617" t="s">
        <v>40041</v>
      </c>
      <c r="X3617" t="s">
        <v>43172</v>
      </c>
    </row>
    <row r="3618" spans="1:24">
      <c r="A3618">
        <f>HYPERLINK("https://www.philgeps.gov.ph/GEPSNONPILOT/Tender/SplashBidNoticeAbstractUI.aspx?menuIndex=3&amp;refID=7082490&amp;Result=3","7082490")</f>
        <v>0</v>
      </c>
      <c r="B3618" t="s">
        <v>1340</v>
      </c>
      <c r="C3618" t="s">
        <v>6865</v>
      </c>
      <c r="D3618" t="s">
        <v>17427</v>
      </c>
      <c r="E3618" t="s">
        <v>20648</v>
      </c>
      <c r="F3618" t="s">
        <v>30052</v>
      </c>
      <c r="G3618" t="s">
        <v>30058</v>
      </c>
      <c r="H3618" t="s">
        <v>15498</v>
      </c>
      <c r="I3618" t="s">
        <v>30074</v>
      </c>
      <c r="J3618" t="s">
        <v>30538</v>
      </c>
      <c r="K3618" t="s">
        <v>39017</v>
      </c>
      <c r="M3618" t="s">
        <v>40707</v>
      </c>
      <c r="N3618" t="s">
        <v>43166</v>
      </c>
      <c r="O3618" t="s">
        <v>43167</v>
      </c>
      <c r="P3618">
        <v>0</v>
      </c>
      <c r="Q3618">
        <v>1</v>
      </c>
      <c r="R3618" t="s">
        <v>43171</v>
      </c>
      <c r="S3618" t="s">
        <v>43311</v>
      </c>
      <c r="T3618" t="s">
        <v>44724</v>
      </c>
      <c r="U3618" t="s">
        <v>48181</v>
      </c>
      <c r="W3618" t="s">
        <v>40707</v>
      </c>
      <c r="X3618" t="s">
        <v>43172</v>
      </c>
    </row>
    <row r="3619" spans="1:24">
      <c r="A3619">
        <f>HYPERLINK("https://www.philgeps.gov.ph/GEPSNONPILOT/Tender/SplashBidNoticeAbstractUI.aspx?menuIndex=3&amp;refID=7082456&amp;Result=3","7082456")</f>
        <v>0</v>
      </c>
      <c r="B3619" t="s">
        <v>1312</v>
      </c>
      <c r="C3619" t="s">
        <v>6866</v>
      </c>
      <c r="D3619" t="s">
        <v>17438</v>
      </c>
      <c r="E3619" t="s">
        <v>20649</v>
      </c>
      <c r="F3619" t="s">
        <v>30052</v>
      </c>
      <c r="G3619" t="s">
        <v>30059</v>
      </c>
      <c r="H3619" t="s">
        <v>15498</v>
      </c>
      <c r="I3619" t="s">
        <v>30097</v>
      </c>
      <c r="J3619" t="s">
        <v>32567</v>
      </c>
      <c r="K3619" t="s">
        <v>39029</v>
      </c>
      <c r="M3619" t="s">
        <v>40679</v>
      </c>
      <c r="N3619" t="s">
        <v>43166</v>
      </c>
      <c r="O3619" t="s">
        <v>43167</v>
      </c>
      <c r="P3619">
        <v>0</v>
      </c>
      <c r="Q3619">
        <v>10</v>
      </c>
      <c r="R3619" t="s">
        <v>43171</v>
      </c>
      <c r="S3619" t="s">
        <v>43311</v>
      </c>
      <c r="T3619" t="s">
        <v>44862</v>
      </c>
      <c r="U3619" t="s">
        <v>48182</v>
      </c>
      <c r="W3619" t="s">
        <v>40679</v>
      </c>
      <c r="X3619" t="s">
        <v>43172</v>
      </c>
    </row>
    <row r="3620" spans="1:24">
      <c r="A3620">
        <f>HYPERLINK("https://www.philgeps.gov.ph/GEPSNONPILOT/Tender/SplashBidNoticeAbstractUI.aspx?menuIndex=3&amp;refID=7082463&amp;Result=3","7082463")</f>
        <v>0</v>
      </c>
      <c r="B3620" t="s">
        <v>1134</v>
      </c>
      <c r="C3620" t="s">
        <v>6867</v>
      </c>
      <c r="D3620" t="s">
        <v>17459</v>
      </c>
      <c r="E3620" t="s">
        <v>20650</v>
      </c>
      <c r="F3620" t="s">
        <v>30052</v>
      </c>
      <c r="G3620" t="s">
        <v>30059</v>
      </c>
      <c r="H3620" t="s">
        <v>30067</v>
      </c>
      <c r="I3620" t="s">
        <v>3693</v>
      </c>
      <c r="J3620" t="s">
        <v>32568</v>
      </c>
      <c r="K3620" t="s">
        <v>39086</v>
      </c>
      <c r="M3620" t="s">
        <v>40477</v>
      </c>
      <c r="N3620" t="s">
        <v>43166</v>
      </c>
      <c r="O3620" t="s">
        <v>43167</v>
      </c>
      <c r="P3620">
        <v>0</v>
      </c>
      <c r="Q3620">
        <v>0</v>
      </c>
      <c r="R3620" t="s">
        <v>43171</v>
      </c>
      <c r="S3620" t="s">
        <v>43311</v>
      </c>
      <c r="T3620" t="s">
        <v>44717</v>
      </c>
      <c r="U3620" t="s">
        <v>48183</v>
      </c>
      <c r="W3620" t="s">
        <v>40477</v>
      </c>
      <c r="X3620" t="s">
        <v>43172</v>
      </c>
    </row>
    <row r="3621" spans="1:24">
      <c r="A3621">
        <f>HYPERLINK("https://www.philgeps.gov.ph/GEPSNONPILOT/Tender/SplashBidNoticeAbstractUI.aspx?menuIndex=3&amp;refID=7082500&amp;Result=3","7082500")</f>
        <v>0</v>
      </c>
      <c r="B3621" t="s">
        <v>1209</v>
      </c>
      <c r="C3621" t="s">
        <v>6868</v>
      </c>
      <c r="D3621" t="s">
        <v>17454</v>
      </c>
      <c r="E3621" t="s">
        <v>20651</v>
      </c>
      <c r="F3621" t="s">
        <v>30055</v>
      </c>
      <c r="G3621" t="s">
        <v>30058</v>
      </c>
      <c r="H3621" t="s">
        <v>15498</v>
      </c>
      <c r="I3621" t="s">
        <v>3736</v>
      </c>
      <c r="J3621" t="s">
        <v>32569</v>
      </c>
      <c r="K3621" t="s">
        <v>39034</v>
      </c>
      <c r="M3621" t="s">
        <v>40563</v>
      </c>
      <c r="N3621" t="s">
        <v>43166</v>
      </c>
      <c r="O3621" t="s">
        <v>43167</v>
      </c>
      <c r="P3621">
        <v>0</v>
      </c>
      <c r="Q3621">
        <v>0</v>
      </c>
      <c r="R3621" t="s">
        <v>43171</v>
      </c>
      <c r="S3621" t="s">
        <v>43311</v>
      </c>
      <c r="T3621" t="s">
        <v>44722</v>
      </c>
      <c r="U3621" t="s">
        <v>48184</v>
      </c>
      <c r="W3621" t="s">
        <v>40563</v>
      </c>
      <c r="X3621" t="s">
        <v>43172</v>
      </c>
    </row>
    <row r="3622" spans="1:24">
      <c r="A3622">
        <f>HYPERLINK("https://www.philgeps.gov.ph/GEPSNONPILOT/Tender/SplashBidNoticeAbstractUI.aspx?menuIndex=3&amp;refID=7082497&amp;Result=3","7082497")</f>
        <v>0</v>
      </c>
      <c r="B3622" t="s">
        <v>745</v>
      </c>
      <c r="C3622" t="s">
        <v>6869</v>
      </c>
      <c r="D3622" t="s">
        <v>17476</v>
      </c>
      <c r="E3622" t="s">
        <v>20652</v>
      </c>
      <c r="F3622" t="s">
        <v>30052</v>
      </c>
      <c r="G3622" t="s">
        <v>30058</v>
      </c>
      <c r="H3622" t="s">
        <v>30067</v>
      </c>
      <c r="I3622" t="s">
        <v>3693</v>
      </c>
      <c r="J3622" t="s">
        <v>32570</v>
      </c>
      <c r="K3622" t="s">
        <v>39031</v>
      </c>
      <c r="M3622" t="s">
        <v>40059</v>
      </c>
      <c r="N3622" t="s">
        <v>43166</v>
      </c>
      <c r="O3622" t="s">
        <v>43167</v>
      </c>
      <c r="P3622">
        <v>0</v>
      </c>
      <c r="Q3622">
        <v>0</v>
      </c>
      <c r="R3622" t="s">
        <v>43171</v>
      </c>
      <c r="S3622" t="s">
        <v>43311</v>
      </c>
      <c r="T3622" t="s">
        <v>44941</v>
      </c>
      <c r="U3622" t="s">
        <v>48185</v>
      </c>
      <c r="W3622" t="s">
        <v>40059</v>
      </c>
      <c r="X3622" t="s">
        <v>43172</v>
      </c>
    </row>
    <row r="3623" spans="1:24">
      <c r="A3623">
        <f>HYPERLINK("https://www.philgeps.gov.ph/GEPSNONPILOT/Tender/SplashBidNoticeAbstractUI.aspx?menuIndex=3&amp;refID=7082496&amp;Result=3","7082496")</f>
        <v>0</v>
      </c>
      <c r="B3623" t="s">
        <v>1341</v>
      </c>
      <c r="C3623" t="s">
        <v>6870</v>
      </c>
      <c r="D3623" t="s">
        <v>17450</v>
      </c>
      <c r="E3623" t="s">
        <v>20653</v>
      </c>
      <c r="F3623" t="s">
        <v>30052</v>
      </c>
      <c r="G3623" t="s">
        <v>30058</v>
      </c>
      <c r="H3623" t="s">
        <v>15498</v>
      </c>
      <c r="I3623" t="s">
        <v>30074</v>
      </c>
      <c r="J3623" t="s">
        <v>30683</v>
      </c>
      <c r="K3623" t="s">
        <v>39025</v>
      </c>
      <c r="M3623" t="s">
        <v>40708</v>
      </c>
      <c r="N3623" t="s">
        <v>43166</v>
      </c>
      <c r="O3623" t="s">
        <v>43167</v>
      </c>
      <c r="P3623">
        <v>0</v>
      </c>
      <c r="Q3623">
        <v>5</v>
      </c>
      <c r="R3623" t="s">
        <v>43171</v>
      </c>
      <c r="S3623" t="s">
        <v>43311</v>
      </c>
      <c r="T3623" t="s">
        <v>44688</v>
      </c>
      <c r="U3623" t="s">
        <v>48186</v>
      </c>
      <c r="V3623" t="s">
        <v>57249</v>
      </c>
      <c r="W3623" t="s">
        <v>58633</v>
      </c>
      <c r="X3623" t="s">
        <v>43172</v>
      </c>
    </row>
    <row r="3624" spans="1:24">
      <c r="A3624">
        <f>HYPERLINK("https://www.philgeps.gov.ph/GEPSNONPILOT/Tender/SplashBidNoticeAbstractUI.aspx?menuIndex=3&amp;refID=7082459&amp;Result=3","7082459")</f>
        <v>0</v>
      </c>
      <c r="B3624" t="s">
        <v>679</v>
      </c>
      <c r="C3624" t="s">
        <v>6863</v>
      </c>
      <c r="D3624" t="s">
        <v>17419</v>
      </c>
      <c r="E3624" t="s">
        <v>20654</v>
      </c>
      <c r="F3624" t="s">
        <v>30052</v>
      </c>
      <c r="G3624" t="s">
        <v>30059</v>
      </c>
      <c r="H3624" t="s">
        <v>15498</v>
      </c>
      <c r="I3624" t="s">
        <v>30073</v>
      </c>
      <c r="J3624" t="s">
        <v>32565</v>
      </c>
      <c r="K3624" t="s">
        <v>39017</v>
      </c>
      <c r="M3624" t="s">
        <v>39985</v>
      </c>
      <c r="N3624" t="s">
        <v>43166</v>
      </c>
      <c r="O3624" t="s">
        <v>43167</v>
      </c>
      <c r="P3624">
        <v>0</v>
      </c>
      <c r="Q3624">
        <v>0</v>
      </c>
      <c r="R3624" t="s">
        <v>43171</v>
      </c>
      <c r="S3624" t="s">
        <v>43311</v>
      </c>
      <c r="T3624" t="s">
        <v>44717</v>
      </c>
      <c r="U3624" t="s">
        <v>48179</v>
      </c>
      <c r="W3624" t="s">
        <v>39985</v>
      </c>
      <c r="X3624" t="s">
        <v>43172</v>
      </c>
    </row>
    <row r="3625" spans="1:24">
      <c r="A3625">
        <f>HYPERLINK("https://www.philgeps.gov.ph/GEPSNONPILOT/Tender/SplashBidNoticeAbstractUI.aspx?menuIndex=3&amp;refID=7082494&amp;Result=3","7082494")</f>
        <v>0</v>
      </c>
      <c r="B3625" t="s">
        <v>721</v>
      </c>
      <c r="C3625" t="s">
        <v>6871</v>
      </c>
      <c r="D3625" t="s">
        <v>17451</v>
      </c>
      <c r="E3625" t="s">
        <v>20655</v>
      </c>
      <c r="F3625" t="s">
        <v>30052</v>
      </c>
      <c r="G3625" t="s">
        <v>30058</v>
      </c>
      <c r="H3625" t="s">
        <v>30067</v>
      </c>
      <c r="I3625" t="s">
        <v>3693</v>
      </c>
      <c r="J3625" t="s">
        <v>32571</v>
      </c>
      <c r="K3625" t="s">
        <v>39029</v>
      </c>
      <c r="M3625" t="s">
        <v>40031</v>
      </c>
      <c r="N3625" t="s">
        <v>43166</v>
      </c>
      <c r="O3625" t="s">
        <v>43167</v>
      </c>
      <c r="P3625">
        <v>0</v>
      </c>
      <c r="Q3625">
        <v>0</v>
      </c>
      <c r="R3625" t="s">
        <v>43171</v>
      </c>
      <c r="S3625" t="s">
        <v>43311</v>
      </c>
      <c r="T3625" t="s">
        <v>44780</v>
      </c>
      <c r="U3625" t="s">
        <v>46563</v>
      </c>
      <c r="W3625" t="s">
        <v>40031</v>
      </c>
      <c r="X3625" t="s">
        <v>43172</v>
      </c>
    </row>
    <row r="3626" spans="1:24">
      <c r="A3626">
        <f>HYPERLINK("https://www.philgeps.gov.ph/GEPSNONPILOT/Tender/SplashBidNoticeAbstractUI.aspx?menuIndex=3&amp;refID=7082491&amp;Result=3","7082491")</f>
        <v>0</v>
      </c>
      <c r="B3626" t="s">
        <v>974</v>
      </c>
      <c r="C3626" t="s">
        <v>6872</v>
      </c>
      <c r="D3626" t="s">
        <v>17453</v>
      </c>
      <c r="E3626" t="s">
        <v>20656</v>
      </c>
      <c r="F3626" t="s">
        <v>30052</v>
      </c>
      <c r="G3626" t="s">
        <v>30058</v>
      </c>
      <c r="H3626" t="s">
        <v>15498</v>
      </c>
      <c r="I3626" t="s">
        <v>30074</v>
      </c>
      <c r="J3626" t="s">
        <v>30872</v>
      </c>
      <c r="K3626" t="s">
        <v>39023</v>
      </c>
      <c r="M3626" t="s">
        <v>40709</v>
      </c>
      <c r="N3626" t="s">
        <v>43166</v>
      </c>
      <c r="O3626" t="s">
        <v>43167</v>
      </c>
      <c r="P3626">
        <v>0</v>
      </c>
      <c r="Q3626">
        <v>5</v>
      </c>
      <c r="R3626" t="s">
        <v>43171</v>
      </c>
      <c r="S3626" t="s">
        <v>43311</v>
      </c>
      <c r="T3626" t="s">
        <v>44705</v>
      </c>
      <c r="U3626" t="s">
        <v>48187</v>
      </c>
      <c r="W3626" t="s">
        <v>40709</v>
      </c>
      <c r="X3626" t="s">
        <v>43172</v>
      </c>
    </row>
    <row r="3627" spans="1:24">
      <c r="A3627">
        <f>HYPERLINK("https://www.philgeps.gov.ph/GEPSNONPILOT/Tender/SplashBidNoticeAbstractUI.aspx?menuIndex=3&amp;refID=7082485&amp;Result=3","7082485")</f>
        <v>0</v>
      </c>
      <c r="B3627" t="s">
        <v>1339</v>
      </c>
      <c r="C3627" t="s">
        <v>6873</v>
      </c>
      <c r="D3627" t="s">
        <v>17474</v>
      </c>
      <c r="E3627" t="s">
        <v>20657</v>
      </c>
      <c r="F3627" t="s">
        <v>30052</v>
      </c>
      <c r="G3627" t="s">
        <v>30058</v>
      </c>
      <c r="H3627" t="s">
        <v>15498</v>
      </c>
      <c r="I3627" t="s">
        <v>3736</v>
      </c>
      <c r="J3627" t="s">
        <v>32572</v>
      </c>
      <c r="K3627" t="s">
        <v>39029</v>
      </c>
      <c r="M3627" t="s">
        <v>40706</v>
      </c>
      <c r="N3627" t="s">
        <v>43166</v>
      </c>
      <c r="O3627" t="s">
        <v>43167</v>
      </c>
      <c r="P3627">
        <v>0</v>
      </c>
      <c r="Q3627">
        <v>0</v>
      </c>
      <c r="R3627" t="s">
        <v>43171</v>
      </c>
      <c r="S3627" t="s">
        <v>43311</v>
      </c>
      <c r="T3627" t="s">
        <v>44704</v>
      </c>
      <c r="U3627" t="s">
        <v>48174</v>
      </c>
      <c r="V3627" t="s">
        <v>57248</v>
      </c>
      <c r="W3627" t="s">
        <v>40706</v>
      </c>
      <c r="X3627" t="s">
        <v>43172</v>
      </c>
    </row>
    <row r="3628" spans="1:24">
      <c r="A3628">
        <f>HYPERLINK("https://www.philgeps.gov.ph/GEPSNONPILOT/Tender/SplashBidNoticeAbstractUI.aspx?menuIndex=3&amp;refID=7082481&amp;Result=3","7082481")</f>
        <v>0</v>
      </c>
      <c r="B3628" t="s">
        <v>679</v>
      </c>
      <c r="C3628" t="s">
        <v>6863</v>
      </c>
      <c r="D3628" t="s">
        <v>17419</v>
      </c>
      <c r="E3628" t="s">
        <v>20658</v>
      </c>
      <c r="F3628" t="s">
        <v>30052</v>
      </c>
      <c r="G3628" t="s">
        <v>30059</v>
      </c>
      <c r="H3628" t="s">
        <v>15498</v>
      </c>
      <c r="I3628" t="s">
        <v>30073</v>
      </c>
      <c r="J3628" t="s">
        <v>32565</v>
      </c>
      <c r="K3628" t="s">
        <v>39017</v>
      </c>
      <c r="M3628" t="s">
        <v>39985</v>
      </c>
      <c r="N3628" t="s">
        <v>43166</v>
      </c>
      <c r="O3628" t="s">
        <v>43167</v>
      </c>
      <c r="P3628">
        <v>0</v>
      </c>
      <c r="Q3628">
        <v>0</v>
      </c>
      <c r="R3628" t="s">
        <v>43171</v>
      </c>
      <c r="S3628" t="s">
        <v>43311</v>
      </c>
      <c r="T3628" t="s">
        <v>44717</v>
      </c>
      <c r="U3628" t="s">
        <v>48179</v>
      </c>
      <c r="W3628" t="s">
        <v>39985</v>
      </c>
      <c r="X3628" t="s">
        <v>43172</v>
      </c>
    </row>
    <row r="3629" spans="1:24">
      <c r="A3629">
        <f>HYPERLINK("https://www.philgeps.gov.ph/GEPSNONPILOT/Tender/SplashBidNoticeAbstractUI.aspx?menuIndex=3&amp;refID=7082495&amp;Result=3","7082495")</f>
        <v>0</v>
      </c>
      <c r="B3629" t="s">
        <v>1342</v>
      </c>
      <c r="C3629" t="s">
        <v>6874</v>
      </c>
      <c r="D3629" t="s">
        <v>17434</v>
      </c>
      <c r="E3629" t="s">
        <v>20659</v>
      </c>
      <c r="F3629" t="s">
        <v>30052</v>
      </c>
      <c r="G3629" t="s">
        <v>30058</v>
      </c>
      <c r="H3629" t="s">
        <v>15498</v>
      </c>
      <c r="I3629" t="s">
        <v>30125</v>
      </c>
      <c r="J3629" t="s">
        <v>30207</v>
      </c>
      <c r="K3629" t="s">
        <v>39036</v>
      </c>
      <c r="M3629" t="s">
        <v>40710</v>
      </c>
      <c r="N3629" t="s">
        <v>43166</v>
      </c>
      <c r="O3629" t="s">
        <v>43167</v>
      </c>
      <c r="P3629">
        <v>0</v>
      </c>
      <c r="Q3629">
        <v>0</v>
      </c>
      <c r="R3629" t="s">
        <v>43171</v>
      </c>
      <c r="S3629" t="s">
        <v>43311</v>
      </c>
      <c r="T3629" t="s">
        <v>44880</v>
      </c>
      <c r="U3629" t="s">
        <v>48188</v>
      </c>
      <c r="W3629" t="s">
        <v>40710</v>
      </c>
      <c r="X3629" t="s">
        <v>43172</v>
      </c>
    </row>
    <row r="3630" spans="1:24">
      <c r="A3630">
        <f>HYPERLINK("https://www.philgeps.gov.ph/GEPSNONPILOT/Tender/SplashBidNoticeAbstractUI.aspx?menuIndex=3&amp;refID=7082480&amp;Result=3","7082480")</f>
        <v>0</v>
      </c>
      <c r="B3630" t="s">
        <v>1343</v>
      </c>
      <c r="C3630" t="s">
        <v>6875</v>
      </c>
      <c r="D3630" t="s">
        <v>17419</v>
      </c>
      <c r="E3630" t="s">
        <v>20660</v>
      </c>
      <c r="F3630" t="s">
        <v>30052</v>
      </c>
      <c r="G3630" t="s">
        <v>30058</v>
      </c>
      <c r="H3630" t="s">
        <v>15498</v>
      </c>
      <c r="I3630" t="s">
        <v>3736</v>
      </c>
      <c r="J3630" t="s">
        <v>32573</v>
      </c>
      <c r="K3630" t="s">
        <v>39025</v>
      </c>
      <c r="M3630" t="s">
        <v>40711</v>
      </c>
      <c r="N3630" t="s">
        <v>43166</v>
      </c>
      <c r="O3630" t="s">
        <v>43167</v>
      </c>
      <c r="P3630">
        <v>0</v>
      </c>
      <c r="Q3630">
        <v>0</v>
      </c>
      <c r="R3630" t="s">
        <v>43171</v>
      </c>
      <c r="S3630" t="s">
        <v>43311</v>
      </c>
      <c r="T3630" t="s">
        <v>44710</v>
      </c>
      <c r="U3630" t="s">
        <v>48189</v>
      </c>
      <c r="W3630" t="s">
        <v>40711</v>
      </c>
      <c r="X3630" t="s">
        <v>43172</v>
      </c>
    </row>
    <row r="3631" spans="1:24">
      <c r="A3631">
        <f>HYPERLINK("https://www.philgeps.gov.ph/GEPSNONPILOT/Tender/SplashBidNoticeAbstractUI.aspx?menuIndex=3&amp;refID=7082479&amp;Result=3","7082479")</f>
        <v>0</v>
      </c>
      <c r="B3631" t="s">
        <v>548</v>
      </c>
      <c r="C3631" t="s">
        <v>6876</v>
      </c>
      <c r="D3631" t="s">
        <v>17425</v>
      </c>
      <c r="E3631" t="s">
        <v>20661</v>
      </c>
      <c r="F3631" t="s">
        <v>30052</v>
      </c>
      <c r="G3631" t="s">
        <v>30058</v>
      </c>
      <c r="H3631" t="s">
        <v>30067</v>
      </c>
      <c r="I3631" t="s">
        <v>3693</v>
      </c>
      <c r="J3631" t="s">
        <v>32574</v>
      </c>
      <c r="K3631" t="s">
        <v>39065</v>
      </c>
      <c r="L3631" t="s">
        <v>548</v>
      </c>
      <c r="M3631" t="s">
        <v>39850</v>
      </c>
      <c r="N3631" t="s">
        <v>43166</v>
      </c>
      <c r="O3631" t="s">
        <v>43167</v>
      </c>
      <c r="P3631">
        <v>0</v>
      </c>
      <c r="Q3631">
        <v>0</v>
      </c>
      <c r="R3631" t="s">
        <v>43171</v>
      </c>
      <c r="S3631" t="s">
        <v>43311</v>
      </c>
      <c r="T3631" t="s">
        <v>44687</v>
      </c>
      <c r="U3631" t="s">
        <v>48190</v>
      </c>
      <c r="V3631" t="s">
        <v>57250</v>
      </c>
      <c r="W3631" t="s">
        <v>39850</v>
      </c>
      <c r="X3631" t="s">
        <v>43172</v>
      </c>
    </row>
    <row r="3632" spans="1:24">
      <c r="A3632">
        <f>HYPERLINK("https://www.philgeps.gov.ph/GEPSNONPILOT/Tender/SplashBidNoticeAbstractUI.aspx?menuIndex=3&amp;refID=7082478&amp;Result=3","7082478")</f>
        <v>0</v>
      </c>
      <c r="B3632" t="s">
        <v>1253</v>
      </c>
      <c r="C3632" t="s">
        <v>6877</v>
      </c>
      <c r="D3632" t="s">
        <v>17421</v>
      </c>
      <c r="E3632" t="s">
        <v>20662</v>
      </c>
      <c r="F3632" t="s">
        <v>30052</v>
      </c>
      <c r="G3632" t="s">
        <v>30059</v>
      </c>
      <c r="H3632" t="s">
        <v>15498</v>
      </c>
      <c r="I3632" t="s">
        <v>30171</v>
      </c>
      <c r="J3632" t="s">
        <v>32575</v>
      </c>
      <c r="K3632" t="s">
        <v>39034</v>
      </c>
      <c r="M3632" t="s">
        <v>40610</v>
      </c>
      <c r="N3632" t="s">
        <v>43166</v>
      </c>
      <c r="O3632" t="s">
        <v>43167</v>
      </c>
      <c r="P3632">
        <v>0</v>
      </c>
      <c r="Q3632">
        <v>0</v>
      </c>
      <c r="R3632" t="s">
        <v>43171</v>
      </c>
      <c r="S3632" t="s">
        <v>43311</v>
      </c>
      <c r="T3632" t="s">
        <v>44710</v>
      </c>
      <c r="U3632" t="s">
        <v>47953</v>
      </c>
      <c r="W3632" t="s">
        <v>40610</v>
      </c>
      <c r="X3632" t="s">
        <v>43172</v>
      </c>
    </row>
    <row r="3633" spans="1:24">
      <c r="A3633">
        <f>HYPERLINK("https://www.philgeps.gov.ph/GEPSNONPILOT/Tender/SplashBidNoticeAbstractUI.aspx?menuIndex=3&amp;refID=7082483&amp;Result=3","7082483")</f>
        <v>0</v>
      </c>
      <c r="B3633" t="s">
        <v>236</v>
      </c>
      <c r="C3633" t="s">
        <v>6878</v>
      </c>
      <c r="D3633" t="s">
        <v>17427</v>
      </c>
      <c r="E3633" t="s">
        <v>20663</v>
      </c>
      <c r="F3633" t="s">
        <v>30052</v>
      </c>
      <c r="G3633" t="s">
        <v>30059</v>
      </c>
      <c r="H3633" t="s">
        <v>30069</v>
      </c>
      <c r="I3633" t="s">
        <v>9238</v>
      </c>
      <c r="J3633" t="s">
        <v>32576</v>
      </c>
      <c r="K3633" t="s">
        <v>39023</v>
      </c>
      <c r="M3633" t="s">
        <v>39920</v>
      </c>
      <c r="N3633" t="s">
        <v>43166</v>
      </c>
      <c r="O3633" t="s">
        <v>43167</v>
      </c>
      <c r="P3633">
        <v>0</v>
      </c>
      <c r="Q3633">
        <v>19</v>
      </c>
      <c r="R3633" t="s">
        <v>43171</v>
      </c>
      <c r="S3633" t="s">
        <v>43311</v>
      </c>
      <c r="T3633" t="s">
        <v>44710</v>
      </c>
      <c r="U3633" t="s">
        <v>48191</v>
      </c>
      <c r="V3633" t="s">
        <v>45722</v>
      </c>
      <c r="W3633" t="s">
        <v>39920</v>
      </c>
      <c r="X3633" t="s">
        <v>43172</v>
      </c>
    </row>
    <row r="3634" spans="1:24">
      <c r="A3634">
        <f>HYPERLINK("https://www.philgeps.gov.ph/GEPSNONPILOT/Tender/SplashBidNoticeAbstractUI.aspx?menuIndex=3&amp;refID=7082489&amp;Result=3","7082489")</f>
        <v>0</v>
      </c>
      <c r="B3634" t="s">
        <v>130</v>
      </c>
      <c r="C3634" t="s">
        <v>6879</v>
      </c>
      <c r="E3634" t="s">
        <v>20664</v>
      </c>
      <c r="F3634" t="s">
        <v>30052</v>
      </c>
      <c r="G3634" t="s">
        <v>30059</v>
      </c>
      <c r="H3634" t="s">
        <v>15498</v>
      </c>
      <c r="I3634" t="s">
        <v>30144</v>
      </c>
      <c r="J3634" t="s">
        <v>30236</v>
      </c>
      <c r="K3634" t="s">
        <v>39019</v>
      </c>
      <c r="M3634" t="s">
        <v>39419</v>
      </c>
      <c r="N3634" t="s">
        <v>43166</v>
      </c>
      <c r="O3634" t="s">
        <v>43167</v>
      </c>
      <c r="P3634">
        <v>0</v>
      </c>
      <c r="Q3634">
        <v>0</v>
      </c>
      <c r="R3634" t="s">
        <v>43171</v>
      </c>
      <c r="S3634" t="s">
        <v>43311</v>
      </c>
      <c r="T3634" t="s">
        <v>44714</v>
      </c>
      <c r="U3634" t="s">
        <v>48192</v>
      </c>
      <c r="V3634" t="s">
        <v>56843</v>
      </c>
      <c r="W3634" t="s">
        <v>39419</v>
      </c>
      <c r="X3634" t="s">
        <v>43172</v>
      </c>
    </row>
    <row r="3635" spans="1:24">
      <c r="A3635">
        <f>HYPERLINK("https://www.philgeps.gov.ph/GEPSNONPILOT/Tender/SplashBidNoticeAbstractUI.aspx?menuIndex=3&amp;refID=7082538&amp;Result=3","7082538")</f>
        <v>0</v>
      </c>
      <c r="B3635" t="s">
        <v>1344</v>
      </c>
      <c r="C3635" t="s">
        <v>3963</v>
      </c>
      <c r="D3635" t="s">
        <v>17464</v>
      </c>
      <c r="E3635" t="s">
        <v>20665</v>
      </c>
      <c r="F3635" t="s">
        <v>30052</v>
      </c>
      <c r="G3635" t="s">
        <v>30059</v>
      </c>
      <c r="H3635" t="s">
        <v>15498</v>
      </c>
      <c r="I3635" t="s">
        <v>30071</v>
      </c>
      <c r="J3635" t="s">
        <v>32577</v>
      </c>
      <c r="K3635" t="s">
        <v>39034</v>
      </c>
      <c r="M3635" t="s">
        <v>40712</v>
      </c>
      <c r="N3635" t="s">
        <v>43166</v>
      </c>
      <c r="O3635" t="s">
        <v>43167</v>
      </c>
      <c r="P3635">
        <v>0</v>
      </c>
      <c r="Q3635">
        <v>3</v>
      </c>
      <c r="R3635" t="s">
        <v>43171</v>
      </c>
      <c r="S3635" t="s">
        <v>43311</v>
      </c>
      <c r="T3635" t="s">
        <v>44734</v>
      </c>
      <c r="U3635" t="s">
        <v>48193</v>
      </c>
      <c r="W3635" t="s">
        <v>58634</v>
      </c>
      <c r="X3635" t="s">
        <v>43172</v>
      </c>
    </row>
    <row r="3636" spans="1:24">
      <c r="A3636">
        <f>HYPERLINK("https://www.philgeps.gov.ph/GEPSNONPILOT/Tender/SplashBidNoticeAbstractUI.aspx?menuIndex=3&amp;refID=7082537&amp;Result=3","7082537")</f>
        <v>0</v>
      </c>
      <c r="B3636" t="s">
        <v>1345</v>
      </c>
      <c r="C3636" t="s">
        <v>6880</v>
      </c>
      <c r="D3636" t="s">
        <v>17492</v>
      </c>
      <c r="E3636" t="s">
        <v>20666</v>
      </c>
      <c r="F3636" t="s">
        <v>30052</v>
      </c>
      <c r="G3636" t="s">
        <v>30059</v>
      </c>
      <c r="H3636" t="s">
        <v>15498</v>
      </c>
      <c r="I3636" t="s">
        <v>30092</v>
      </c>
      <c r="J3636" t="s">
        <v>32578</v>
      </c>
      <c r="K3636" t="s">
        <v>39036</v>
      </c>
      <c r="M3636" t="s">
        <v>40713</v>
      </c>
      <c r="N3636" t="s">
        <v>43166</v>
      </c>
      <c r="O3636" t="s">
        <v>43167</v>
      </c>
      <c r="P3636">
        <v>0</v>
      </c>
      <c r="Q3636">
        <v>1</v>
      </c>
      <c r="R3636" t="s">
        <v>43171</v>
      </c>
      <c r="S3636" t="s">
        <v>43311</v>
      </c>
      <c r="T3636" t="s">
        <v>44720</v>
      </c>
      <c r="U3636" t="s">
        <v>48194</v>
      </c>
      <c r="V3636" t="s">
        <v>57251</v>
      </c>
      <c r="W3636" t="s">
        <v>40713</v>
      </c>
      <c r="X3636" t="s">
        <v>43172</v>
      </c>
    </row>
    <row r="3637" spans="1:24">
      <c r="A3637">
        <f>HYPERLINK("https://www.philgeps.gov.ph/GEPSNONPILOT/Tender/SplashBidNoticeAbstractUI.aspx?menuIndex=3&amp;refID=7082530&amp;Result=3","7082530")</f>
        <v>0</v>
      </c>
      <c r="B3637" t="s">
        <v>1274</v>
      </c>
      <c r="C3637" t="s">
        <v>6881</v>
      </c>
      <c r="D3637" t="s">
        <v>17466</v>
      </c>
      <c r="E3637" t="s">
        <v>20667</v>
      </c>
      <c r="F3637" t="s">
        <v>30052</v>
      </c>
      <c r="G3637" t="s">
        <v>30059</v>
      </c>
      <c r="H3637" t="s">
        <v>15498</v>
      </c>
      <c r="I3637" t="s">
        <v>30071</v>
      </c>
      <c r="J3637" t="s">
        <v>30398</v>
      </c>
      <c r="K3637" t="s">
        <v>39039</v>
      </c>
      <c r="M3637" t="s">
        <v>40634</v>
      </c>
      <c r="N3637" t="s">
        <v>43166</v>
      </c>
      <c r="O3637" t="s">
        <v>43167</v>
      </c>
      <c r="P3637">
        <v>0</v>
      </c>
      <c r="Q3637">
        <v>0</v>
      </c>
      <c r="R3637" t="s">
        <v>43171</v>
      </c>
      <c r="S3637" t="s">
        <v>43311</v>
      </c>
      <c r="T3637" t="s">
        <v>44685</v>
      </c>
      <c r="U3637" t="s">
        <v>48195</v>
      </c>
      <c r="W3637" t="s">
        <v>40634</v>
      </c>
      <c r="X3637" t="s">
        <v>43172</v>
      </c>
    </row>
    <row r="3638" spans="1:24">
      <c r="A3638">
        <f>HYPERLINK("https://www.philgeps.gov.ph/GEPSNONPILOT/Tender/SplashBidNoticeAbstractUI.aspx?menuIndex=3&amp;refID=7082532&amp;Result=3","7082532")</f>
        <v>0</v>
      </c>
      <c r="B3638" t="s">
        <v>1346</v>
      </c>
      <c r="C3638" t="s">
        <v>6882</v>
      </c>
      <c r="D3638" t="s">
        <v>17445</v>
      </c>
      <c r="E3638" t="s">
        <v>20668</v>
      </c>
      <c r="F3638" t="s">
        <v>30052</v>
      </c>
      <c r="G3638" t="s">
        <v>30058</v>
      </c>
      <c r="H3638" t="s">
        <v>15498</v>
      </c>
      <c r="I3638" t="s">
        <v>30073</v>
      </c>
      <c r="J3638" t="s">
        <v>32579</v>
      </c>
      <c r="K3638" t="s">
        <v>39048</v>
      </c>
      <c r="M3638" t="s">
        <v>40714</v>
      </c>
      <c r="N3638" t="s">
        <v>43166</v>
      </c>
      <c r="O3638" t="s">
        <v>43167</v>
      </c>
      <c r="P3638">
        <v>0</v>
      </c>
      <c r="Q3638">
        <v>0</v>
      </c>
      <c r="R3638" t="s">
        <v>43171</v>
      </c>
      <c r="S3638" t="s">
        <v>43311</v>
      </c>
      <c r="T3638" t="s">
        <v>44787</v>
      </c>
      <c r="U3638" t="s">
        <v>48196</v>
      </c>
      <c r="W3638" t="s">
        <v>40714</v>
      </c>
      <c r="X3638" t="s">
        <v>43172</v>
      </c>
    </row>
    <row r="3639" spans="1:24">
      <c r="A3639">
        <f>HYPERLINK("https://www.philgeps.gov.ph/GEPSNONPILOT/Tender/SplashBidNoticeAbstractUI.aspx?menuIndex=3&amp;refID=7082539&amp;Result=3","7082539")</f>
        <v>0</v>
      </c>
      <c r="B3639" t="s">
        <v>1325</v>
      </c>
      <c r="C3639" t="s">
        <v>6883</v>
      </c>
      <c r="D3639" t="s">
        <v>17413</v>
      </c>
      <c r="E3639" t="s">
        <v>20669</v>
      </c>
      <c r="F3639" t="s">
        <v>30052</v>
      </c>
      <c r="G3639" t="s">
        <v>30058</v>
      </c>
      <c r="H3639" t="s">
        <v>30067</v>
      </c>
      <c r="I3639" t="s">
        <v>3693</v>
      </c>
      <c r="J3639" t="s">
        <v>31728</v>
      </c>
      <c r="K3639" t="s">
        <v>39133</v>
      </c>
      <c r="M3639" t="s">
        <v>40692</v>
      </c>
      <c r="N3639" t="s">
        <v>43166</v>
      </c>
      <c r="O3639" t="s">
        <v>43167</v>
      </c>
      <c r="P3639">
        <v>0</v>
      </c>
      <c r="Q3639">
        <v>0</v>
      </c>
      <c r="R3639" t="s">
        <v>43171</v>
      </c>
      <c r="S3639" t="s">
        <v>43311</v>
      </c>
      <c r="T3639" t="s">
        <v>44874</v>
      </c>
      <c r="U3639" t="s">
        <v>48197</v>
      </c>
      <c r="W3639" t="s">
        <v>40692</v>
      </c>
      <c r="X3639" t="s">
        <v>43172</v>
      </c>
    </row>
    <row r="3640" spans="1:24">
      <c r="A3640">
        <f>HYPERLINK("https://www.philgeps.gov.ph/GEPSNONPILOT/Tender/SplashBidNoticeAbstractUI.aspx?menuIndex=3&amp;refID=7082521&amp;Result=3","7082521")</f>
        <v>0</v>
      </c>
      <c r="B3640" t="s">
        <v>1347</v>
      </c>
      <c r="C3640" t="s">
        <v>6884</v>
      </c>
      <c r="D3640" t="s">
        <v>17478</v>
      </c>
      <c r="E3640" t="s">
        <v>20670</v>
      </c>
      <c r="F3640" t="s">
        <v>30052</v>
      </c>
      <c r="G3640" t="s">
        <v>30058</v>
      </c>
      <c r="H3640" t="s">
        <v>15498</v>
      </c>
      <c r="I3640" t="s">
        <v>3736</v>
      </c>
      <c r="J3640" t="s">
        <v>32580</v>
      </c>
      <c r="K3640" t="s">
        <v>39019</v>
      </c>
      <c r="M3640" t="s">
        <v>40715</v>
      </c>
      <c r="N3640" t="s">
        <v>43166</v>
      </c>
      <c r="O3640" t="s">
        <v>43167</v>
      </c>
      <c r="P3640">
        <v>0</v>
      </c>
      <c r="Q3640">
        <v>0</v>
      </c>
      <c r="R3640" t="s">
        <v>43171</v>
      </c>
      <c r="S3640" t="s">
        <v>43311</v>
      </c>
      <c r="T3640" t="s">
        <v>44677</v>
      </c>
      <c r="U3640" t="s">
        <v>48198</v>
      </c>
      <c r="W3640" t="s">
        <v>40715</v>
      </c>
      <c r="X3640" t="s">
        <v>43172</v>
      </c>
    </row>
    <row r="3641" spans="1:24">
      <c r="A3641">
        <f>HYPERLINK("https://www.philgeps.gov.ph/GEPSNONPILOT/Tender/SplashBidNoticeAbstractUI.aspx?menuIndex=3&amp;refID=7082536&amp;Result=3","7082536")</f>
        <v>0</v>
      </c>
      <c r="B3641" t="s">
        <v>1209</v>
      </c>
      <c r="C3641" t="s">
        <v>6885</v>
      </c>
      <c r="D3641" t="s">
        <v>17454</v>
      </c>
      <c r="E3641" t="s">
        <v>20651</v>
      </c>
      <c r="F3641" t="s">
        <v>30055</v>
      </c>
      <c r="G3641" t="s">
        <v>30058</v>
      </c>
      <c r="H3641" t="s">
        <v>15498</v>
      </c>
      <c r="I3641" t="s">
        <v>3736</v>
      </c>
      <c r="J3641" t="s">
        <v>32361</v>
      </c>
      <c r="K3641" t="s">
        <v>39034</v>
      </c>
      <c r="M3641" t="s">
        <v>40563</v>
      </c>
      <c r="N3641" t="s">
        <v>43166</v>
      </c>
      <c r="O3641" t="s">
        <v>43167</v>
      </c>
      <c r="P3641">
        <v>0</v>
      </c>
      <c r="Q3641">
        <v>0</v>
      </c>
      <c r="R3641" t="s">
        <v>43171</v>
      </c>
      <c r="S3641" t="s">
        <v>43311</v>
      </c>
      <c r="T3641" t="s">
        <v>44722</v>
      </c>
      <c r="U3641" t="s">
        <v>48199</v>
      </c>
      <c r="W3641" t="s">
        <v>40563</v>
      </c>
      <c r="X3641" t="s">
        <v>43172</v>
      </c>
    </row>
    <row r="3642" spans="1:24">
      <c r="A3642">
        <f>HYPERLINK("https://www.philgeps.gov.ph/GEPSNONPILOT/Tender/SplashBidNoticeAbstractUI.aspx?menuIndex=3&amp;refID=7082520&amp;Result=3","7082520")</f>
        <v>0</v>
      </c>
      <c r="B3642" t="s">
        <v>1306</v>
      </c>
      <c r="C3642" t="s">
        <v>6886</v>
      </c>
      <c r="D3642" t="s">
        <v>17431</v>
      </c>
      <c r="E3642" t="s">
        <v>20671</v>
      </c>
      <c r="F3642" t="s">
        <v>30052</v>
      </c>
      <c r="G3642" t="s">
        <v>30059</v>
      </c>
      <c r="H3642" t="s">
        <v>15498</v>
      </c>
      <c r="I3642" t="s">
        <v>3736</v>
      </c>
      <c r="J3642" t="s">
        <v>32581</v>
      </c>
      <c r="K3642" t="s">
        <v>39029</v>
      </c>
      <c r="M3642" t="s">
        <v>40673</v>
      </c>
      <c r="N3642" t="s">
        <v>43166</v>
      </c>
      <c r="O3642" t="s">
        <v>43167</v>
      </c>
      <c r="P3642">
        <v>0</v>
      </c>
      <c r="Q3642">
        <v>0</v>
      </c>
      <c r="R3642" t="s">
        <v>43171</v>
      </c>
      <c r="S3642" t="s">
        <v>43311</v>
      </c>
      <c r="T3642" t="s">
        <v>44717</v>
      </c>
      <c r="U3642" t="s">
        <v>48200</v>
      </c>
      <c r="W3642" t="s">
        <v>40673</v>
      </c>
      <c r="X3642" t="s">
        <v>43172</v>
      </c>
    </row>
    <row r="3643" spans="1:24">
      <c r="A3643">
        <f>HYPERLINK("https://www.philgeps.gov.ph/GEPSNONPILOT/Tender/SplashBidNoticeAbstractUI.aspx?menuIndex=3&amp;refID=7082515&amp;Result=3","7082515")</f>
        <v>0</v>
      </c>
      <c r="B3643" t="s">
        <v>1328</v>
      </c>
      <c r="C3643" t="s">
        <v>6887</v>
      </c>
      <c r="D3643" t="s">
        <v>17481</v>
      </c>
      <c r="E3643" t="s">
        <v>20672</v>
      </c>
      <c r="F3643" t="s">
        <v>30052</v>
      </c>
      <c r="G3643" t="s">
        <v>30058</v>
      </c>
      <c r="H3643" t="s">
        <v>15498</v>
      </c>
      <c r="I3643" t="s">
        <v>3693</v>
      </c>
      <c r="J3643" t="s">
        <v>30281</v>
      </c>
      <c r="K3643" t="s">
        <v>39025</v>
      </c>
      <c r="M3643" t="s">
        <v>40695</v>
      </c>
      <c r="N3643" t="s">
        <v>43166</v>
      </c>
      <c r="O3643" t="s">
        <v>43167</v>
      </c>
      <c r="P3643">
        <v>0</v>
      </c>
      <c r="Q3643">
        <v>1</v>
      </c>
      <c r="R3643" t="s">
        <v>43171</v>
      </c>
      <c r="S3643" t="s">
        <v>43311</v>
      </c>
      <c r="T3643" t="s">
        <v>44842</v>
      </c>
      <c r="U3643" t="s">
        <v>48201</v>
      </c>
      <c r="W3643" t="s">
        <v>40695</v>
      </c>
      <c r="X3643" t="s">
        <v>43172</v>
      </c>
    </row>
    <row r="3644" spans="1:24">
      <c r="A3644">
        <f>HYPERLINK("https://www.philgeps.gov.ph/GEPSNONPILOT/Tender/SplashBidNoticeAbstractUI.aspx?menuIndex=3&amp;refID=7082525&amp;Result=3","7082525")</f>
        <v>0</v>
      </c>
      <c r="B3644" t="s">
        <v>1155</v>
      </c>
      <c r="C3644" t="s">
        <v>6888</v>
      </c>
      <c r="D3644" t="s">
        <v>17449</v>
      </c>
      <c r="E3644" t="s">
        <v>20673</v>
      </c>
      <c r="F3644" t="s">
        <v>30052</v>
      </c>
      <c r="G3644" t="s">
        <v>30059</v>
      </c>
      <c r="H3644" t="s">
        <v>15498</v>
      </c>
      <c r="I3644" t="s">
        <v>30096</v>
      </c>
      <c r="J3644" t="s">
        <v>32582</v>
      </c>
      <c r="K3644" t="s">
        <v>39019</v>
      </c>
      <c r="M3644" t="s">
        <v>40499</v>
      </c>
      <c r="N3644" t="s">
        <v>43166</v>
      </c>
      <c r="O3644" t="s">
        <v>43167</v>
      </c>
      <c r="P3644">
        <v>0</v>
      </c>
      <c r="Q3644">
        <v>0</v>
      </c>
      <c r="R3644" t="s">
        <v>43171</v>
      </c>
      <c r="S3644" t="s">
        <v>43311</v>
      </c>
      <c r="T3644" t="s">
        <v>44721</v>
      </c>
      <c r="U3644" t="s">
        <v>47670</v>
      </c>
      <c r="V3644" t="s">
        <v>57252</v>
      </c>
      <c r="W3644" t="s">
        <v>40499</v>
      </c>
      <c r="X3644" t="s">
        <v>43172</v>
      </c>
    </row>
    <row r="3645" spans="1:24">
      <c r="A3645">
        <f>HYPERLINK("https://www.philgeps.gov.ph/GEPSNONPILOT/Tender/SplashBidNoticeAbstractUI.aspx?menuIndex=3&amp;refID=7082543&amp;Result=3","7082543")</f>
        <v>0</v>
      </c>
      <c r="B3645" t="s">
        <v>974</v>
      </c>
      <c r="C3645" t="s">
        <v>6889</v>
      </c>
      <c r="D3645" t="s">
        <v>17453</v>
      </c>
      <c r="E3645" t="s">
        <v>20674</v>
      </c>
      <c r="F3645" t="s">
        <v>30052</v>
      </c>
      <c r="G3645" t="s">
        <v>30058</v>
      </c>
      <c r="H3645" t="s">
        <v>15498</v>
      </c>
      <c r="I3645" t="s">
        <v>30110</v>
      </c>
      <c r="J3645" t="s">
        <v>32325</v>
      </c>
      <c r="K3645" t="s">
        <v>39029</v>
      </c>
      <c r="M3645" t="s">
        <v>40709</v>
      </c>
      <c r="N3645" t="s">
        <v>43166</v>
      </c>
      <c r="O3645" t="s">
        <v>43167</v>
      </c>
      <c r="P3645">
        <v>0</v>
      </c>
      <c r="Q3645">
        <v>1</v>
      </c>
      <c r="R3645" t="s">
        <v>43171</v>
      </c>
      <c r="S3645" t="s">
        <v>43311</v>
      </c>
      <c r="T3645" t="s">
        <v>44715</v>
      </c>
      <c r="U3645" t="s">
        <v>48202</v>
      </c>
      <c r="W3645" t="s">
        <v>40709</v>
      </c>
      <c r="X3645" t="s">
        <v>43172</v>
      </c>
    </row>
    <row r="3646" spans="1:24">
      <c r="A3646">
        <f>HYPERLINK("https://www.philgeps.gov.ph/GEPSNONPILOT/Tender/SplashBidNoticeAbstractUI.aspx?menuIndex=3&amp;refID=7082482&amp;Result=3","7082482")</f>
        <v>0</v>
      </c>
      <c r="B3646" t="s">
        <v>1348</v>
      </c>
      <c r="C3646" t="s">
        <v>6890</v>
      </c>
      <c r="D3646" t="s">
        <v>17448</v>
      </c>
      <c r="E3646" t="s">
        <v>17760</v>
      </c>
      <c r="F3646" t="s">
        <v>30052</v>
      </c>
      <c r="G3646" t="s">
        <v>30059</v>
      </c>
      <c r="H3646" t="s">
        <v>15498</v>
      </c>
      <c r="I3646" t="s">
        <v>30070</v>
      </c>
      <c r="J3646" t="s">
        <v>30783</v>
      </c>
      <c r="K3646" t="s">
        <v>39036</v>
      </c>
      <c r="M3646" t="s">
        <v>40716</v>
      </c>
      <c r="N3646" t="s">
        <v>43166</v>
      </c>
      <c r="O3646" t="s">
        <v>43167</v>
      </c>
      <c r="P3646">
        <v>0</v>
      </c>
      <c r="Q3646">
        <v>0</v>
      </c>
      <c r="R3646" t="s">
        <v>43171</v>
      </c>
      <c r="S3646" t="s">
        <v>43311</v>
      </c>
      <c r="T3646" t="s">
        <v>44705</v>
      </c>
      <c r="U3646" t="s">
        <v>48203</v>
      </c>
      <c r="V3646" t="s">
        <v>56845</v>
      </c>
      <c r="W3646" t="s">
        <v>40716</v>
      </c>
      <c r="X3646" t="s">
        <v>43172</v>
      </c>
    </row>
    <row r="3647" spans="1:24">
      <c r="A3647">
        <f>HYPERLINK("https://www.philgeps.gov.ph/GEPSNONPILOT/Tender/SplashBidNoticeAbstractUI.aspx?menuIndex=3&amp;refID=7082518&amp;Result=3","7082518")</f>
        <v>0</v>
      </c>
      <c r="B3647" t="s">
        <v>1349</v>
      </c>
      <c r="C3647" t="s">
        <v>6891</v>
      </c>
      <c r="D3647" t="s">
        <v>17447</v>
      </c>
      <c r="E3647" t="s">
        <v>20675</v>
      </c>
      <c r="F3647" t="s">
        <v>30052</v>
      </c>
      <c r="G3647" t="s">
        <v>30058</v>
      </c>
      <c r="H3647" t="s">
        <v>30067</v>
      </c>
      <c r="I3647" t="s">
        <v>3693</v>
      </c>
      <c r="J3647" t="s">
        <v>32583</v>
      </c>
      <c r="K3647" t="s">
        <v>39134</v>
      </c>
      <c r="M3647" t="s">
        <v>40717</v>
      </c>
      <c r="N3647" t="s">
        <v>43166</v>
      </c>
      <c r="O3647" t="s">
        <v>43167</v>
      </c>
      <c r="P3647">
        <v>0</v>
      </c>
      <c r="Q3647">
        <v>0</v>
      </c>
      <c r="R3647" t="s">
        <v>43171</v>
      </c>
      <c r="S3647" t="s">
        <v>43311</v>
      </c>
      <c r="T3647" t="s">
        <v>44825</v>
      </c>
      <c r="U3647" t="s">
        <v>48204</v>
      </c>
      <c r="W3647" t="s">
        <v>40717</v>
      </c>
      <c r="X3647" t="s">
        <v>43172</v>
      </c>
    </row>
    <row r="3648" spans="1:24">
      <c r="A3648">
        <f>HYPERLINK("https://www.philgeps.gov.ph/GEPSNONPILOT/Tender/SplashBidNoticeAbstractUI.aspx?menuIndex=3&amp;refID=7082568&amp;Result=3","7082568")</f>
        <v>0</v>
      </c>
      <c r="B3648" t="s">
        <v>684</v>
      </c>
      <c r="C3648" t="s">
        <v>6892</v>
      </c>
      <c r="D3648" t="s">
        <v>17473</v>
      </c>
      <c r="E3648" t="s">
        <v>6892</v>
      </c>
      <c r="F3648" t="s">
        <v>30052</v>
      </c>
      <c r="G3648" t="s">
        <v>30061</v>
      </c>
      <c r="H3648" t="s">
        <v>15498</v>
      </c>
      <c r="I3648" t="s">
        <v>30070</v>
      </c>
      <c r="J3648" t="s">
        <v>32584</v>
      </c>
      <c r="K3648" t="s">
        <v>39029</v>
      </c>
      <c r="M3648" t="s">
        <v>40718</v>
      </c>
      <c r="N3648" t="s">
        <v>43166</v>
      </c>
      <c r="O3648" t="s">
        <v>43167</v>
      </c>
      <c r="P3648">
        <v>0</v>
      </c>
      <c r="Q3648">
        <v>1</v>
      </c>
      <c r="R3648" t="s">
        <v>43171</v>
      </c>
      <c r="S3648" t="s">
        <v>43311</v>
      </c>
      <c r="T3648" t="s">
        <v>44822</v>
      </c>
      <c r="U3648" t="s">
        <v>48205</v>
      </c>
      <c r="W3648" t="s">
        <v>40718</v>
      </c>
      <c r="X3648" t="s">
        <v>43172</v>
      </c>
    </row>
    <row r="3649" spans="1:24">
      <c r="A3649">
        <f>HYPERLINK("https://www.philgeps.gov.ph/GEPSNONPILOT/Tender/SplashBidNoticeAbstractUI.aspx?menuIndex=3&amp;refID=7082575&amp;Result=3","7082575")</f>
        <v>0</v>
      </c>
      <c r="B3649" t="s">
        <v>1253</v>
      </c>
      <c r="C3649" t="s">
        <v>6893</v>
      </c>
      <c r="D3649" t="s">
        <v>17421</v>
      </c>
      <c r="E3649" t="s">
        <v>20676</v>
      </c>
      <c r="F3649" t="s">
        <v>30052</v>
      </c>
      <c r="G3649" t="s">
        <v>30059</v>
      </c>
      <c r="H3649" t="s">
        <v>15498</v>
      </c>
      <c r="I3649" t="s">
        <v>3736</v>
      </c>
      <c r="J3649" t="s">
        <v>30277</v>
      </c>
      <c r="K3649" t="s">
        <v>39034</v>
      </c>
      <c r="M3649" t="s">
        <v>40610</v>
      </c>
      <c r="N3649" t="s">
        <v>43166</v>
      </c>
      <c r="O3649" t="s">
        <v>43167</v>
      </c>
      <c r="P3649">
        <v>0</v>
      </c>
      <c r="Q3649">
        <v>1</v>
      </c>
      <c r="R3649" t="s">
        <v>43171</v>
      </c>
      <c r="S3649" t="s">
        <v>43311</v>
      </c>
      <c r="T3649" t="s">
        <v>44710</v>
      </c>
      <c r="U3649" t="s">
        <v>47953</v>
      </c>
      <c r="W3649" t="s">
        <v>40610</v>
      </c>
      <c r="X3649" t="s">
        <v>43172</v>
      </c>
    </row>
    <row r="3650" spans="1:24">
      <c r="A3650">
        <f>HYPERLINK("https://www.philgeps.gov.ph/GEPSNONPILOT/Tender/SplashBidNoticeAbstractUI.aspx?menuIndex=3&amp;refID=7082567&amp;Result=3","7082567")</f>
        <v>0</v>
      </c>
      <c r="B3650" t="s">
        <v>1274</v>
      </c>
      <c r="C3650" t="s">
        <v>6894</v>
      </c>
      <c r="D3650" t="s">
        <v>17466</v>
      </c>
      <c r="E3650" t="s">
        <v>20677</v>
      </c>
      <c r="F3650" t="s">
        <v>30052</v>
      </c>
      <c r="G3650" t="s">
        <v>30059</v>
      </c>
      <c r="H3650" t="s">
        <v>15498</v>
      </c>
      <c r="I3650" t="s">
        <v>30071</v>
      </c>
      <c r="J3650" t="s">
        <v>30398</v>
      </c>
      <c r="K3650" t="s">
        <v>39039</v>
      </c>
      <c r="M3650" t="s">
        <v>40634</v>
      </c>
      <c r="N3650" t="s">
        <v>43166</v>
      </c>
      <c r="O3650" t="s">
        <v>43167</v>
      </c>
      <c r="P3650">
        <v>0</v>
      </c>
      <c r="Q3650">
        <v>0</v>
      </c>
      <c r="R3650" t="s">
        <v>43171</v>
      </c>
      <c r="S3650" t="s">
        <v>43311</v>
      </c>
      <c r="T3650" t="s">
        <v>44685</v>
      </c>
      <c r="U3650" t="s">
        <v>48206</v>
      </c>
      <c r="W3650" t="s">
        <v>40634</v>
      </c>
      <c r="X3650" t="s">
        <v>43172</v>
      </c>
    </row>
    <row r="3651" spans="1:24">
      <c r="A3651">
        <f>HYPERLINK("https://www.philgeps.gov.ph/GEPSNONPILOT/Tender/SplashBidNoticeAbstractUI.aspx?menuIndex=3&amp;refID=7082448&amp;Result=3","7082448")</f>
        <v>0</v>
      </c>
      <c r="B3651" t="s">
        <v>620</v>
      </c>
      <c r="C3651" t="s">
        <v>6895</v>
      </c>
      <c r="D3651" t="s">
        <v>17427</v>
      </c>
      <c r="E3651" t="s">
        <v>20678</v>
      </c>
      <c r="F3651" t="s">
        <v>30052</v>
      </c>
      <c r="G3651" t="s">
        <v>30059</v>
      </c>
      <c r="H3651" t="s">
        <v>15498</v>
      </c>
      <c r="I3651" t="s">
        <v>30076</v>
      </c>
      <c r="J3651" t="s">
        <v>31583</v>
      </c>
      <c r="K3651" t="s">
        <v>39017</v>
      </c>
      <c r="M3651" t="s">
        <v>39923</v>
      </c>
      <c r="N3651" t="s">
        <v>43166</v>
      </c>
      <c r="O3651" t="s">
        <v>43167</v>
      </c>
      <c r="P3651">
        <v>0</v>
      </c>
      <c r="Q3651">
        <v>3</v>
      </c>
      <c r="R3651" t="s">
        <v>43171</v>
      </c>
      <c r="S3651" t="s">
        <v>43311</v>
      </c>
      <c r="T3651" t="s">
        <v>44732</v>
      </c>
      <c r="U3651" t="s">
        <v>48207</v>
      </c>
      <c r="V3651" t="s">
        <v>57209</v>
      </c>
      <c r="W3651" t="s">
        <v>39923</v>
      </c>
      <c r="X3651" t="s">
        <v>43172</v>
      </c>
    </row>
    <row r="3652" spans="1:24">
      <c r="A3652">
        <f>HYPERLINK("https://www.philgeps.gov.ph/GEPSNONPILOT/Tender/SplashBidNoticeAbstractUI.aspx?menuIndex=3&amp;refID=7082565&amp;Result=3","7082565")</f>
        <v>0</v>
      </c>
      <c r="B3652" t="s">
        <v>1172</v>
      </c>
      <c r="C3652" t="s">
        <v>6896</v>
      </c>
      <c r="D3652" t="s">
        <v>17466</v>
      </c>
      <c r="E3652" t="s">
        <v>20679</v>
      </c>
      <c r="F3652" t="s">
        <v>30052</v>
      </c>
      <c r="G3652" t="s">
        <v>30058</v>
      </c>
      <c r="H3652" t="s">
        <v>15498</v>
      </c>
      <c r="I3652" t="s">
        <v>30070</v>
      </c>
      <c r="J3652" t="s">
        <v>32585</v>
      </c>
      <c r="K3652" t="s">
        <v>39037</v>
      </c>
      <c r="M3652" t="s">
        <v>40520</v>
      </c>
      <c r="N3652" t="s">
        <v>43166</v>
      </c>
      <c r="O3652" t="s">
        <v>43167</v>
      </c>
      <c r="P3652">
        <v>0</v>
      </c>
      <c r="Q3652">
        <v>1</v>
      </c>
      <c r="R3652" t="s">
        <v>43171</v>
      </c>
      <c r="S3652" t="s">
        <v>43311</v>
      </c>
      <c r="T3652" t="s">
        <v>44835</v>
      </c>
      <c r="U3652" t="s">
        <v>48176</v>
      </c>
      <c r="W3652" t="s">
        <v>58626</v>
      </c>
      <c r="X3652" t="s">
        <v>43172</v>
      </c>
    </row>
    <row r="3653" spans="1:24">
      <c r="A3653">
        <f>HYPERLINK("https://www.philgeps.gov.ph/GEPSNONPILOT/Tender/SplashBidNoticeAbstractUI.aspx?menuIndex=3&amp;refID=7082560&amp;Result=3","7082560")</f>
        <v>0</v>
      </c>
      <c r="B3653" t="s">
        <v>1350</v>
      </c>
      <c r="C3653" t="s">
        <v>6897</v>
      </c>
      <c r="D3653" t="s">
        <v>17415</v>
      </c>
      <c r="E3653" t="s">
        <v>20680</v>
      </c>
      <c r="F3653" t="s">
        <v>30052</v>
      </c>
      <c r="G3653" t="s">
        <v>30058</v>
      </c>
      <c r="H3653" t="s">
        <v>15498</v>
      </c>
      <c r="I3653" t="s">
        <v>9238</v>
      </c>
      <c r="J3653" t="s">
        <v>32586</v>
      </c>
      <c r="K3653" t="s">
        <v>39025</v>
      </c>
      <c r="L3653" t="s">
        <v>1350</v>
      </c>
      <c r="M3653" t="s">
        <v>40719</v>
      </c>
      <c r="N3653" t="s">
        <v>43166</v>
      </c>
      <c r="O3653" t="s">
        <v>43167</v>
      </c>
      <c r="P3653">
        <v>0</v>
      </c>
      <c r="Q3653">
        <v>17</v>
      </c>
      <c r="R3653" t="s">
        <v>43171</v>
      </c>
      <c r="S3653" t="s">
        <v>43311</v>
      </c>
      <c r="T3653" t="s">
        <v>44789</v>
      </c>
      <c r="U3653" t="s">
        <v>48208</v>
      </c>
      <c r="W3653" t="s">
        <v>40719</v>
      </c>
      <c r="X3653" t="s">
        <v>43172</v>
      </c>
    </row>
    <row r="3654" spans="1:24">
      <c r="A3654">
        <f>HYPERLINK("https://www.philgeps.gov.ph/GEPSNONPILOT/Tender/SplashBidNoticeAbstractUI.aspx?menuIndex=3&amp;refID=7082578&amp;Result=3","7082578")</f>
        <v>0</v>
      </c>
      <c r="B3654" t="s">
        <v>1351</v>
      </c>
      <c r="C3654" t="s">
        <v>6898</v>
      </c>
      <c r="D3654" t="s">
        <v>17427</v>
      </c>
      <c r="E3654" t="s">
        <v>20681</v>
      </c>
      <c r="F3654" t="s">
        <v>30052</v>
      </c>
      <c r="G3654" t="s">
        <v>30058</v>
      </c>
      <c r="H3654" t="s">
        <v>30067</v>
      </c>
      <c r="I3654" t="s">
        <v>3693</v>
      </c>
      <c r="J3654" t="s">
        <v>32587</v>
      </c>
      <c r="K3654" t="s">
        <v>39046</v>
      </c>
      <c r="M3654" t="s">
        <v>40720</v>
      </c>
      <c r="N3654" t="s">
        <v>43166</v>
      </c>
      <c r="O3654" t="s">
        <v>43167</v>
      </c>
      <c r="P3654">
        <v>0</v>
      </c>
      <c r="Q3654">
        <v>0</v>
      </c>
      <c r="R3654" t="s">
        <v>43171</v>
      </c>
      <c r="S3654" t="s">
        <v>43311</v>
      </c>
      <c r="T3654" t="s">
        <v>44971</v>
      </c>
      <c r="U3654" t="s">
        <v>48209</v>
      </c>
      <c r="V3654" t="s">
        <v>56837</v>
      </c>
      <c r="W3654" t="s">
        <v>40720</v>
      </c>
      <c r="X3654" t="s">
        <v>43172</v>
      </c>
    </row>
    <row r="3655" spans="1:24">
      <c r="A3655">
        <f>HYPERLINK("https://www.philgeps.gov.ph/GEPSNONPILOT/Tender/SplashBidNoticeAbstractUI.aspx?menuIndex=3&amp;refID=7082558&amp;Result=3","7082558")</f>
        <v>0</v>
      </c>
      <c r="B3655" t="s">
        <v>1352</v>
      </c>
      <c r="C3655" t="s">
        <v>6899</v>
      </c>
      <c r="D3655" t="s">
        <v>17451</v>
      </c>
      <c r="E3655" t="s">
        <v>20682</v>
      </c>
      <c r="F3655" t="s">
        <v>30052</v>
      </c>
      <c r="G3655" t="s">
        <v>30059</v>
      </c>
      <c r="H3655" t="s">
        <v>15498</v>
      </c>
      <c r="I3655" t="s">
        <v>30073</v>
      </c>
      <c r="J3655" t="s">
        <v>32588</v>
      </c>
      <c r="K3655" t="s">
        <v>39034</v>
      </c>
      <c r="M3655" t="s">
        <v>40721</v>
      </c>
      <c r="N3655" t="s">
        <v>43166</v>
      </c>
      <c r="O3655" t="s">
        <v>43167</v>
      </c>
      <c r="P3655">
        <v>0</v>
      </c>
      <c r="Q3655">
        <v>0</v>
      </c>
      <c r="R3655" t="s">
        <v>43171</v>
      </c>
      <c r="S3655" t="s">
        <v>43311</v>
      </c>
      <c r="T3655" t="s">
        <v>44698</v>
      </c>
      <c r="U3655" t="s">
        <v>48210</v>
      </c>
      <c r="W3655" t="s">
        <v>40721</v>
      </c>
      <c r="X3655" t="s">
        <v>43172</v>
      </c>
    </row>
    <row r="3656" spans="1:24">
      <c r="A3656">
        <f>HYPERLINK("https://www.philgeps.gov.ph/GEPSNONPILOT/Tender/SplashBidNoticeAbstractUI.aspx?menuIndex=3&amp;refID=7082557&amp;Result=3","7082557")</f>
        <v>0</v>
      </c>
      <c r="B3656" t="s">
        <v>1353</v>
      </c>
      <c r="C3656" t="s">
        <v>4118</v>
      </c>
      <c r="D3656" t="s">
        <v>17465</v>
      </c>
      <c r="E3656" t="s">
        <v>20683</v>
      </c>
      <c r="F3656" t="s">
        <v>30052</v>
      </c>
      <c r="G3656" t="s">
        <v>30061</v>
      </c>
      <c r="H3656" t="s">
        <v>15498</v>
      </c>
      <c r="I3656" t="s">
        <v>30071</v>
      </c>
      <c r="J3656" t="s">
        <v>32589</v>
      </c>
      <c r="K3656" t="s">
        <v>39034</v>
      </c>
      <c r="M3656" t="s">
        <v>40722</v>
      </c>
      <c r="N3656" t="s">
        <v>43166</v>
      </c>
      <c r="O3656" t="s">
        <v>43167</v>
      </c>
      <c r="P3656">
        <v>0</v>
      </c>
      <c r="Q3656">
        <v>2</v>
      </c>
      <c r="R3656" t="s">
        <v>43171</v>
      </c>
      <c r="S3656" t="s">
        <v>43311</v>
      </c>
      <c r="T3656" t="s">
        <v>44843</v>
      </c>
      <c r="U3656" t="s">
        <v>45774</v>
      </c>
      <c r="W3656" t="s">
        <v>40722</v>
      </c>
      <c r="X3656" t="s">
        <v>43172</v>
      </c>
    </row>
    <row r="3657" spans="1:24">
      <c r="A3657">
        <f>HYPERLINK("https://www.philgeps.gov.ph/GEPSNONPILOT/Tender/SplashBidNoticeAbstractUI.aspx?menuIndex=3&amp;refID=7082553&amp;Result=3","7082553")</f>
        <v>0</v>
      </c>
      <c r="B3657" t="s">
        <v>1346</v>
      </c>
      <c r="C3657" t="s">
        <v>6900</v>
      </c>
      <c r="D3657" t="s">
        <v>17445</v>
      </c>
      <c r="E3657" t="s">
        <v>20684</v>
      </c>
      <c r="F3657" t="s">
        <v>30052</v>
      </c>
      <c r="G3657" t="s">
        <v>30058</v>
      </c>
      <c r="H3657" t="s">
        <v>15498</v>
      </c>
      <c r="I3657" t="s">
        <v>30081</v>
      </c>
      <c r="J3657" t="s">
        <v>32590</v>
      </c>
      <c r="K3657" t="s">
        <v>39029</v>
      </c>
      <c r="M3657" t="s">
        <v>40714</v>
      </c>
      <c r="N3657" t="s">
        <v>43166</v>
      </c>
      <c r="O3657" t="s">
        <v>43167</v>
      </c>
      <c r="P3657">
        <v>0</v>
      </c>
      <c r="Q3657">
        <v>0</v>
      </c>
      <c r="R3657" t="s">
        <v>43171</v>
      </c>
      <c r="S3657" t="s">
        <v>43311</v>
      </c>
      <c r="T3657" t="s">
        <v>44787</v>
      </c>
      <c r="U3657" t="s">
        <v>48196</v>
      </c>
      <c r="W3657" t="s">
        <v>40714</v>
      </c>
      <c r="X3657" t="s">
        <v>43172</v>
      </c>
    </row>
    <row r="3658" spans="1:24">
      <c r="A3658">
        <f>HYPERLINK("https://www.philgeps.gov.ph/GEPSNONPILOT/Tender/SplashBidNoticeAbstractUI.aspx?menuIndex=3&amp;refID=7082610&amp;Result=3","7082610")</f>
        <v>0</v>
      </c>
      <c r="B3658" t="s">
        <v>747</v>
      </c>
      <c r="C3658" t="s">
        <v>6901</v>
      </c>
      <c r="E3658" t="s">
        <v>20685</v>
      </c>
      <c r="F3658" t="s">
        <v>30052</v>
      </c>
      <c r="G3658" t="s">
        <v>30059</v>
      </c>
      <c r="H3658" t="s">
        <v>15498</v>
      </c>
      <c r="I3658" t="s">
        <v>6691</v>
      </c>
      <c r="J3658" t="s">
        <v>32512</v>
      </c>
      <c r="K3658" t="s">
        <v>39025</v>
      </c>
      <c r="M3658" t="s">
        <v>40061</v>
      </c>
      <c r="N3658" t="s">
        <v>43166</v>
      </c>
      <c r="O3658" t="s">
        <v>43167</v>
      </c>
      <c r="P3658">
        <v>0</v>
      </c>
      <c r="Q3658">
        <v>1</v>
      </c>
      <c r="R3658" t="s">
        <v>43171</v>
      </c>
      <c r="S3658" t="s">
        <v>43311</v>
      </c>
      <c r="T3658" t="s">
        <v>44837</v>
      </c>
      <c r="U3658" t="s">
        <v>45722</v>
      </c>
      <c r="W3658" t="s">
        <v>40061</v>
      </c>
      <c r="X3658" t="s">
        <v>43172</v>
      </c>
    </row>
    <row r="3659" spans="1:24">
      <c r="A3659">
        <f>HYPERLINK("https://www.philgeps.gov.ph/GEPSNONPILOT/Tender/SplashBidNoticeAbstractUI.aspx?menuIndex=3&amp;refID=7082563&amp;Result=3","7082563")</f>
        <v>0</v>
      </c>
      <c r="B3659" t="s">
        <v>1354</v>
      </c>
      <c r="C3659" t="s">
        <v>6902</v>
      </c>
      <c r="D3659" t="s">
        <v>17463</v>
      </c>
      <c r="E3659" t="s">
        <v>20686</v>
      </c>
      <c r="F3659" t="s">
        <v>30052</v>
      </c>
      <c r="G3659" t="s">
        <v>30061</v>
      </c>
      <c r="H3659" t="s">
        <v>15498</v>
      </c>
      <c r="I3659" t="s">
        <v>30073</v>
      </c>
      <c r="J3659" t="s">
        <v>32591</v>
      </c>
      <c r="K3659" t="s">
        <v>39034</v>
      </c>
      <c r="M3659" t="s">
        <v>40723</v>
      </c>
      <c r="N3659" t="s">
        <v>43166</v>
      </c>
      <c r="O3659" t="s">
        <v>43167</v>
      </c>
      <c r="P3659">
        <v>0</v>
      </c>
      <c r="Q3659">
        <v>0</v>
      </c>
      <c r="R3659" t="s">
        <v>43171</v>
      </c>
      <c r="S3659" t="s">
        <v>43311</v>
      </c>
      <c r="T3659" t="s">
        <v>44804</v>
      </c>
      <c r="U3659" t="s">
        <v>48211</v>
      </c>
      <c r="W3659" t="s">
        <v>40723</v>
      </c>
      <c r="X3659" t="s">
        <v>43172</v>
      </c>
    </row>
    <row r="3660" spans="1:24">
      <c r="A3660">
        <f>HYPERLINK("https://www.philgeps.gov.ph/GEPSNONPILOT/Tender/SplashBidNoticeAbstractUI.aspx?menuIndex=3&amp;refID=7082609&amp;Result=3","7082609")</f>
        <v>0</v>
      </c>
      <c r="B3660" t="s">
        <v>1209</v>
      </c>
      <c r="C3660" t="s">
        <v>6903</v>
      </c>
      <c r="D3660" t="s">
        <v>17454</v>
      </c>
      <c r="E3660" t="s">
        <v>20687</v>
      </c>
      <c r="F3660" t="s">
        <v>30055</v>
      </c>
      <c r="G3660" t="s">
        <v>30058</v>
      </c>
      <c r="H3660" t="s">
        <v>15498</v>
      </c>
      <c r="I3660" t="s">
        <v>3736</v>
      </c>
      <c r="J3660" t="s">
        <v>32361</v>
      </c>
      <c r="K3660" t="s">
        <v>39034</v>
      </c>
      <c r="M3660" t="s">
        <v>40563</v>
      </c>
      <c r="N3660" t="s">
        <v>43166</v>
      </c>
      <c r="O3660" t="s">
        <v>43167</v>
      </c>
      <c r="P3660">
        <v>0</v>
      </c>
      <c r="Q3660">
        <v>0</v>
      </c>
      <c r="R3660" t="s">
        <v>43171</v>
      </c>
      <c r="S3660" t="s">
        <v>43311</v>
      </c>
      <c r="T3660" t="s">
        <v>44722</v>
      </c>
      <c r="U3660" t="s">
        <v>48212</v>
      </c>
      <c r="W3660" t="s">
        <v>40563</v>
      </c>
      <c r="X3660" t="s">
        <v>43172</v>
      </c>
    </row>
    <row r="3661" spans="1:24">
      <c r="A3661">
        <f>HYPERLINK("https://www.philgeps.gov.ph/GEPSNONPILOT/Tender/SplashBidNoticeAbstractUI.aspx?menuIndex=3&amp;refID=7082577&amp;Result=3","7082577")</f>
        <v>0</v>
      </c>
      <c r="B3661" t="s">
        <v>747</v>
      </c>
      <c r="C3661" t="s">
        <v>6904</v>
      </c>
      <c r="E3661" t="s">
        <v>20688</v>
      </c>
      <c r="F3661" t="s">
        <v>30052</v>
      </c>
      <c r="G3661" t="s">
        <v>30059</v>
      </c>
      <c r="H3661" t="s">
        <v>15498</v>
      </c>
      <c r="I3661" t="s">
        <v>30070</v>
      </c>
      <c r="J3661" t="s">
        <v>30337</v>
      </c>
      <c r="K3661" t="s">
        <v>39025</v>
      </c>
      <c r="M3661" t="s">
        <v>40061</v>
      </c>
      <c r="N3661" t="s">
        <v>43166</v>
      </c>
      <c r="O3661" t="s">
        <v>43167</v>
      </c>
      <c r="P3661">
        <v>0</v>
      </c>
      <c r="Q3661">
        <v>10</v>
      </c>
      <c r="R3661" t="s">
        <v>43171</v>
      </c>
      <c r="S3661" t="s">
        <v>43311</v>
      </c>
      <c r="T3661" t="s">
        <v>44837</v>
      </c>
      <c r="U3661" t="s">
        <v>45722</v>
      </c>
      <c r="W3661" t="s">
        <v>40061</v>
      </c>
      <c r="X3661" t="s">
        <v>43172</v>
      </c>
    </row>
    <row r="3662" spans="1:24">
      <c r="A3662">
        <f>HYPERLINK("https://www.philgeps.gov.ph/GEPSNONPILOT/Tender/SplashBidNoticeAbstractUI.aspx?menuIndex=3&amp;refID=7082449&amp;Result=3","7082449")</f>
        <v>0</v>
      </c>
      <c r="B3662" t="s">
        <v>1355</v>
      </c>
      <c r="C3662" t="s">
        <v>6905</v>
      </c>
      <c r="D3662" t="s">
        <v>17455</v>
      </c>
      <c r="E3662" t="s">
        <v>20689</v>
      </c>
      <c r="F3662" t="s">
        <v>30052</v>
      </c>
      <c r="G3662" t="s">
        <v>30058</v>
      </c>
      <c r="H3662" t="s">
        <v>15498</v>
      </c>
      <c r="I3662" t="s">
        <v>30139</v>
      </c>
      <c r="J3662" t="s">
        <v>32592</v>
      </c>
      <c r="K3662" t="s">
        <v>39029</v>
      </c>
      <c r="M3662" t="s">
        <v>40724</v>
      </c>
      <c r="N3662" t="s">
        <v>43166</v>
      </c>
      <c r="O3662" t="s">
        <v>43167</v>
      </c>
      <c r="P3662">
        <v>0</v>
      </c>
      <c r="Q3662">
        <v>9</v>
      </c>
      <c r="R3662" t="s">
        <v>43171</v>
      </c>
      <c r="S3662" t="s">
        <v>43311</v>
      </c>
      <c r="T3662" t="s">
        <v>44732</v>
      </c>
      <c r="U3662" t="s">
        <v>48213</v>
      </c>
      <c r="W3662" t="s">
        <v>40724</v>
      </c>
      <c r="X3662" t="s">
        <v>43172</v>
      </c>
    </row>
    <row r="3663" spans="1:24">
      <c r="A3663">
        <f>HYPERLINK("https://www.philgeps.gov.ph/GEPSNONPILOT/Tender/SplashBidNoticeAbstractUI.aspx?menuIndex=3&amp;refID=7082603&amp;Result=3","7082603")</f>
        <v>0</v>
      </c>
      <c r="B3663" t="s">
        <v>266</v>
      </c>
      <c r="C3663" t="s">
        <v>6906</v>
      </c>
      <c r="D3663" t="s">
        <v>17466</v>
      </c>
      <c r="E3663" t="s">
        <v>20690</v>
      </c>
      <c r="F3663" t="s">
        <v>30052</v>
      </c>
      <c r="G3663" t="s">
        <v>30060</v>
      </c>
      <c r="H3663" t="s">
        <v>15498</v>
      </c>
      <c r="I3663" t="s">
        <v>3736</v>
      </c>
      <c r="J3663" t="s">
        <v>32593</v>
      </c>
      <c r="K3663" t="s">
        <v>39025</v>
      </c>
      <c r="M3663" t="s">
        <v>39558</v>
      </c>
      <c r="N3663" t="s">
        <v>43166</v>
      </c>
      <c r="O3663" t="s">
        <v>43167</v>
      </c>
      <c r="P3663">
        <v>0</v>
      </c>
      <c r="Q3663">
        <v>2</v>
      </c>
      <c r="R3663" t="s">
        <v>43171</v>
      </c>
      <c r="S3663" t="s">
        <v>43311</v>
      </c>
      <c r="T3663" t="s">
        <v>44714</v>
      </c>
      <c r="U3663" t="s">
        <v>45652</v>
      </c>
      <c r="W3663" t="s">
        <v>39558</v>
      </c>
      <c r="X3663" t="s">
        <v>43172</v>
      </c>
    </row>
    <row r="3664" spans="1:24">
      <c r="A3664">
        <f>HYPERLINK("https://www.philgeps.gov.ph/GEPSNONPILOT/Tender/SplashBidNoticeAbstractUI.aspx?menuIndex=3&amp;refID=7082602&amp;Result=3","7082602")</f>
        <v>0</v>
      </c>
      <c r="B3664" t="s">
        <v>622</v>
      </c>
      <c r="C3664" t="s">
        <v>6907</v>
      </c>
      <c r="D3664" t="s">
        <v>17421</v>
      </c>
      <c r="E3664" t="s">
        <v>20691</v>
      </c>
      <c r="F3664" t="s">
        <v>30052</v>
      </c>
      <c r="G3664" t="s">
        <v>30059</v>
      </c>
      <c r="H3664" t="s">
        <v>15498</v>
      </c>
      <c r="I3664" t="s">
        <v>30094</v>
      </c>
      <c r="J3664" t="s">
        <v>32594</v>
      </c>
      <c r="K3664" t="s">
        <v>39034</v>
      </c>
      <c r="M3664" t="s">
        <v>39925</v>
      </c>
      <c r="N3664" t="s">
        <v>43166</v>
      </c>
      <c r="O3664" t="s">
        <v>43167</v>
      </c>
      <c r="P3664">
        <v>0</v>
      </c>
      <c r="Q3664">
        <v>0</v>
      </c>
      <c r="R3664" t="s">
        <v>43171</v>
      </c>
      <c r="S3664" t="s">
        <v>43311</v>
      </c>
      <c r="T3664" t="s">
        <v>44864</v>
      </c>
      <c r="U3664" t="s">
        <v>48214</v>
      </c>
      <c r="W3664" t="s">
        <v>39925</v>
      </c>
      <c r="X3664" t="s">
        <v>43172</v>
      </c>
    </row>
    <row r="3665" spans="1:24">
      <c r="A3665">
        <f>HYPERLINK("https://www.philgeps.gov.ph/GEPSNONPILOT/Tender/SplashBidNoticeAbstractUI.aspx?menuIndex=3&amp;refID=7082600&amp;Result=3","7082600")</f>
        <v>0</v>
      </c>
      <c r="B3665" t="s">
        <v>1356</v>
      </c>
      <c r="C3665" t="s">
        <v>6908</v>
      </c>
      <c r="D3665" t="s">
        <v>17445</v>
      </c>
      <c r="E3665" t="s">
        <v>20692</v>
      </c>
      <c r="F3665" t="s">
        <v>30052</v>
      </c>
      <c r="G3665" t="s">
        <v>30059</v>
      </c>
      <c r="H3665" t="s">
        <v>15498</v>
      </c>
      <c r="I3665" t="s">
        <v>30130</v>
      </c>
      <c r="J3665" t="s">
        <v>32595</v>
      </c>
      <c r="K3665" t="s">
        <v>39018</v>
      </c>
      <c r="M3665" t="s">
        <v>40725</v>
      </c>
      <c r="N3665" t="s">
        <v>43166</v>
      </c>
      <c r="O3665" t="s">
        <v>43167</v>
      </c>
      <c r="P3665">
        <v>0</v>
      </c>
      <c r="Q3665">
        <v>6</v>
      </c>
      <c r="R3665" t="s">
        <v>43171</v>
      </c>
      <c r="S3665" t="s">
        <v>43311</v>
      </c>
      <c r="T3665" t="s">
        <v>44695</v>
      </c>
      <c r="U3665" t="s">
        <v>48215</v>
      </c>
      <c r="W3665" t="s">
        <v>40725</v>
      </c>
      <c r="X3665" t="s">
        <v>43172</v>
      </c>
    </row>
    <row r="3666" spans="1:24">
      <c r="A3666">
        <f>HYPERLINK("https://www.philgeps.gov.ph/GEPSNONPILOT/Tender/SplashBidNoticeAbstractUI.aspx?menuIndex=3&amp;refID=7082595&amp;Result=3","7082595")</f>
        <v>0</v>
      </c>
      <c r="B3666" t="s">
        <v>684</v>
      </c>
      <c r="C3666" t="s">
        <v>6909</v>
      </c>
      <c r="D3666" t="s">
        <v>17473</v>
      </c>
      <c r="E3666" t="s">
        <v>6909</v>
      </c>
      <c r="F3666" t="s">
        <v>30052</v>
      </c>
      <c r="G3666" t="s">
        <v>30061</v>
      </c>
      <c r="H3666" t="s">
        <v>15498</v>
      </c>
      <c r="I3666" t="s">
        <v>30070</v>
      </c>
      <c r="J3666" t="s">
        <v>32596</v>
      </c>
      <c r="K3666" t="s">
        <v>39029</v>
      </c>
      <c r="M3666" t="s">
        <v>40718</v>
      </c>
      <c r="N3666" t="s">
        <v>43166</v>
      </c>
      <c r="O3666" t="s">
        <v>43167</v>
      </c>
      <c r="P3666">
        <v>0</v>
      </c>
      <c r="Q3666">
        <v>1</v>
      </c>
      <c r="R3666" t="s">
        <v>43171</v>
      </c>
      <c r="S3666" t="s">
        <v>43311</v>
      </c>
      <c r="T3666" t="s">
        <v>44822</v>
      </c>
      <c r="U3666" t="s">
        <v>48216</v>
      </c>
      <c r="W3666" t="s">
        <v>40718</v>
      </c>
      <c r="X3666" t="s">
        <v>43172</v>
      </c>
    </row>
    <row r="3667" spans="1:24">
      <c r="A3667">
        <f>HYPERLINK("https://www.philgeps.gov.ph/GEPSNONPILOT/Tender/SplashBidNoticeAbstractUI.aspx?menuIndex=3&amp;refID=7082594&amp;Result=3","7082594")</f>
        <v>0</v>
      </c>
      <c r="B3667" t="s">
        <v>1357</v>
      </c>
      <c r="C3667" t="s">
        <v>6910</v>
      </c>
      <c r="D3667" t="s">
        <v>17456</v>
      </c>
      <c r="E3667" t="s">
        <v>17617</v>
      </c>
      <c r="F3667" t="s">
        <v>30052</v>
      </c>
      <c r="G3667" t="s">
        <v>30059</v>
      </c>
      <c r="H3667" t="s">
        <v>15498</v>
      </c>
      <c r="I3667" t="s">
        <v>30096</v>
      </c>
      <c r="J3667" t="s">
        <v>30600</v>
      </c>
      <c r="K3667" t="s">
        <v>39036</v>
      </c>
      <c r="M3667" t="s">
        <v>40726</v>
      </c>
      <c r="N3667" t="s">
        <v>43166</v>
      </c>
      <c r="O3667" t="s">
        <v>43167</v>
      </c>
      <c r="P3667">
        <v>0</v>
      </c>
      <c r="Q3667">
        <v>1</v>
      </c>
      <c r="R3667" t="s">
        <v>43171</v>
      </c>
      <c r="S3667" t="s">
        <v>43311</v>
      </c>
      <c r="T3667" t="s">
        <v>44843</v>
      </c>
      <c r="U3667" t="s">
        <v>48217</v>
      </c>
      <c r="V3667" t="s">
        <v>57253</v>
      </c>
      <c r="W3667" t="s">
        <v>40726</v>
      </c>
      <c r="X3667" t="s">
        <v>43172</v>
      </c>
    </row>
    <row r="3668" spans="1:24">
      <c r="A3668">
        <f>HYPERLINK("https://www.philgeps.gov.ph/GEPSNONPILOT/Tender/SplashBidNoticeAbstractUI.aspx?menuIndex=3&amp;refID=7082592&amp;Result=3","7082592")</f>
        <v>0</v>
      </c>
      <c r="B3668" t="s">
        <v>548</v>
      </c>
      <c r="C3668" t="s">
        <v>6911</v>
      </c>
      <c r="D3668" t="s">
        <v>17425</v>
      </c>
      <c r="E3668" t="s">
        <v>20610</v>
      </c>
      <c r="F3668" t="s">
        <v>30052</v>
      </c>
      <c r="G3668" t="s">
        <v>30059</v>
      </c>
      <c r="H3668" t="s">
        <v>15498</v>
      </c>
      <c r="I3668" t="s">
        <v>30071</v>
      </c>
      <c r="J3668" t="s">
        <v>32597</v>
      </c>
      <c r="K3668" t="s">
        <v>39017</v>
      </c>
      <c r="L3668" t="s">
        <v>548</v>
      </c>
      <c r="M3668" t="s">
        <v>39850</v>
      </c>
      <c r="N3668" t="s">
        <v>43166</v>
      </c>
      <c r="O3668" t="s">
        <v>43167</v>
      </c>
      <c r="P3668">
        <v>0</v>
      </c>
      <c r="Q3668">
        <v>0</v>
      </c>
      <c r="R3668" t="s">
        <v>43171</v>
      </c>
      <c r="S3668" t="s">
        <v>43311</v>
      </c>
      <c r="T3668" t="s">
        <v>44969</v>
      </c>
      <c r="U3668" t="s">
        <v>48218</v>
      </c>
      <c r="V3668" t="s">
        <v>57242</v>
      </c>
      <c r="W3668" t="s">
        <v>39850</v>
      </c>
      <c r="X3668" t="s">
        <v>43172</v>
      </c>
    </row>
    <row r="3669" spans="1:24">
      <c r="A3669">
        <f>HYPERLINK("https://www.philgeps.gov.ph/GEPSNONPILOT/Tender/SplashBidNoticeAbstractUI.aspx?menuIndex=3&amp;refID=7082591&amp;Result=3","7082591")</f>
        <v>0</v>
      </c>
      <c r="B3669" t="s">
        <v>844</v>
      </c>
      <c r="C3669" t="s">
        <v>6912</v>
      </c>
      <c r="D3669" t="s">
        <v>17428</v>
      </c>
      <c r="E3669" t="s">
        <v>6912</v>
      </c>
      <c r="F3669" t="s">
        <v>30052</v>
      </c>
      <c r="G3669" t="s">
        <v>30061</v>
      </c>
      <c r="H3669" t="s">
        <v>15498</v>
      </c>
      <c r="I3669" t="s">
        <v>4650</v>
      </c>
      <c r="J3669" t="s">
        <v>30377</v>
      </c>
      <c r="K3669" t="s">
        <v>39017</v>
      </c>
      <c r="L3669" t="s">
        <v>844</v>
      </c>
      <c r="M3669" t="s">
        <v>40161</v>
      </c>
      <c r="N3669" t="s">
        <v>43166</v>
      </c>
      <c r="O3669" t="s">
        <v>43167</v>
      </c>
      <c r="P3669">
        <v>0</v>
      </c>
      <c r="Q3669">
        <v>1</v>
      </c>
      <c r="R3669" t="s">
        <v>43171</v>
      </c>
      <c r="S3669" t="s">
        <v>43311</v>
      </c>
      <c r="T3669" t="s">
        <v>44788</v>
      </c>
      <c r="U3669" t="s">
        <v>48219</v>
      </c>
      <c r="W3669" t="s">
        <v>40161</v>
      </c>
      <c r="X3669" t="s">
        <v>43172</v>
      </c>
    </row>
    <row r="3670" spans="1:24">
      <c r="A3670">
        <f>HYPERLINK("https://www.philgeps.gov.ph/GEPSNONPILOT/Tender/SplashBidNoticeAbstractUI.aspx?menuIndex=3&amp;refID=7082589&amp;Result=3","7082589")</f>
        <v>0</v>
      </c>
      <c r="B3670" t="s">
        <v>1309</v>
      </c>
      <c r="C3670" t="s">
        <v>6913</v>
      </c>
      <c r="D3670" t="s">
        <v>17414</v>
      </c>
      <c r="E3670" t="s">
        <v>20693</v>
      </c>
      <c r="F3670" t="s">
        <v>30052</v>
      </c>
      <c r="G3670" t="s">
        <v>30058</v>
      </c>
      <c r="H3670" t="s">
        <v>15498</v>
      </c>
      <c r="I3670" t="s">
        <v>9238</v>
      </c>
      <c r="J3670" t="s">
        <v>32598</v>
      </c>
      <c r="K3670" t="s">
        <v>39029</v>
      </c>
      <c r="M3670" t="s">
        <v>40676</v>
      </c>
      <c r="N3670" t="s">
        <v>43166</v>
      </c>
      <c r="O3670" t="s">
        <v>43167</v>
      </c>
      <c r="P3670">
        <v>0</v>
      </c>
      <c r="Q3670">
        <v>5</v>
      </c>
      <c r="R3670" t="s">
        <v>43171</v>
      </c>
      <c r="S3670" t="s">
        <v>43311</v>
      </c>
      <c r="T3670" t="s">
        <v>44724</v>
      </c>
      <c r="U3670" t="s">
        <v>48220</v>
      </c>
      <c r="W3670" t="s">
        <v>40676</v>
      </c>
      <c r="X3670" t="s">
        <v>43172</v>
      </c>
    </row>
    <row r="3671" spans="1:24">
      <c r="A3671">
        <f>HYPERLINK("https://www.philgeps.gov.ph/GEPSNONPILOT/Tender/SplashBidNoticeAbstractUI.aspx?menuIndex=3&amp;refID=7082604&amp;Result=3","7082604")</f>
        <v>0</v>
      </c>
      <c r="B3671" t="s">
        <v>1358</v>
      </c>
      <c r="C3671" t="s">
        <v>6914</v>
      </c>
      <c r="D3671" t="s">
        <v>17445</v>
      </c>
      <c r="E3671" t="s">
        <v>20694</v>
      </c>
      <c r="F3671" t="s">
        <v>30052</v>
      </c>
      <c r="G3671" t="s">
        <v>30059</v>
      </c>
      <c r="H3671" t="s">
        <v>30067</v>
      </c>
      <c r="I3671" t="s">
        <v>3693</v>
      </c>
      <c r="J3671" t="s">
        <v>32599</v>
      </c>
      <c r="K3671" t="s">
        <v>39019</v>
      </c>
      <c r="M3671" t="s">
        <v>40727</v>
      </c>
      <c r="N3671" t="s">
        <v>43166</v>
      </c>
      <c r="O3671" t="s">
        <v>43167</v>
      </c>
      <c r="P3671">
        <v>0</v>
      </c>
      <c r="Q3671">
        <v>0</v>
      </c>
      <c r="R3671" t="s">
        <v>43171</v>
      </c>
      <c r="S3671" t="s">
        <v>43311</v>
      </c>
      <c r="T3671" t="s">
        <v>44715</v>
      </c>
      <c r="U3671" t="s">
        <v>48221</v>
      </c>
      <c r="V3671" t="s">
        <v>57254</v>
      </c>
      <c r="W3671" t="s">
        <v>40727</v>
      </c>
      <c r="X3671" t="s">
        <v>43172</v>
      </c>
    </row>
    <row r="3672" spans="1:24">
      <c r="A3672">
        <f>HYPERLINK("https://www.philgeps.gov.ph/GEPSNONPILOT/Tender/SplashBidNoticeAbstractUI.aspx?menuIndex=3&amp;refID=7082585&amp;Result=3","7082585")</f>
        <v>0</v>
      </c>
      <c r="B3672" t="s">
        <v>1240</v>
      </c>
      <c r="C3672" t="s">
        <v>6915</v>
      </c>
      <c r="D3672" t="s">
        <v>17424</v>
      </c>
      <c r="E3672" t="s">
        <v>20695</v>
      </c>
      <c r="F3672" t="s">
        <v>30052</v>
      </c>
      <c r="G3672" t="s">
        <v>30059</v>
      </c>
      <c r="H3672" t="s">
        <v>15498</v>
      </c>
      <c r="I3672" t="s">
        <v>3606</v>
      </c>
      <c r="J3672" t="s">
        <v>32600</v>
      </c>
      <c r="K3672" t="s">
        <v>39025</v>
      </c>
      <c r="M3672" t="s">
        <v>40596</v>
      </c>
      <c r="N3672" t="s">
        <v>43166</v>
      </c>
      <c r="O3672" t="s">
        <v>43167</v>
      </c>
      <c r="P3672">
        <v>0</v>
      </c>
      <c r="Q3672">
        <v>4</v>
      </c>
      <c r="R3672" t="s">
        <v>43171</v>
      </c>
      <c r="S3672" t="s">
        <v>43311</v>
      </c>
      <c r="T3672" t="s">
        <v>44714</v>
      </c>
      <c r="U3672" t="s">
        <v>47924</v>
      </c>
      <c r="V3672" t="s">
        <v>57255</v>
      </c>
      <c r="W3672" t="s">
        <v>40596</v>
      </c>
      <c r="X3672" t="s">
        <v>43172</v>
      </c>
    </row>
    <row r="3673" spans="1:24">
      <c r="A3673">
        <f>HYPERLINK("https://www.philgeps.gov.ph/GEPSNONPILOT/Tender/SplashBidNoticeAbstractUI.aspx?menuIndex=3&amp;refID=7082451&amp;Result=3","7082451")</f>
        <v>0</v>
      </c>
      <c r="B3673" t="s">
        <v>143</v>
      </c>
      <c r="C3673" t="s">
        <v>6916</v>
      </c>
      <c r="D3673" t="s">
        <v>17415</v>
      </c>
      <c r="E3673" t="s">
        <v>20696</v>
      </c>
      <c r="F3673" t="s">
        <v>30052</v>
      </c>
      <c r="G3673" t="s">
        <v>30061</v>
      </c>
      <c r="H3673" t="s">
        <v>15498</v>
      </c>
      <c r="I3673" t="s">
        <v>30084</v>
      </c>
      <c r="J3673" t="s">
        <v>30402</v>
      </c>
      <c r="K3673" t="s">
        <v>39025</v>
      </c>
      <c r="M3673" t="s">
        <v>39432</v>
      </c>
      <c r="N3673" t="s">
        <v>43166</v>
      </c>
      <c r="O3673" t="s">
        <v>43167</v>
      </c>
      <c r="P3673">
        <v>0</v>
      </c>
      <c r="Q3673">
        <v>17</v>
      </c>
      <c r="R3673" t="s">
        <v>43171</v>
      </c>
      <c r="S3673" t="s">
        <v>43311</v>
      </c>
      <c r="T3673" t="s">
        <v>44960</v>
      </c>
      <c r="U3673" t="s">
        <v>48222</v>
      </c>
      <c r="W3673" t="s">
        <v>58635</v>
      </c>
      <c r="X3673" t="s">
        <v>43172</v>
      </c>
    </row>
    <row r="3674" spans="1:24">
      <c r="A3674">
        <f>HYPERLINK("https://www.philgeps.gov.ph/GEPSNONPILOT/Tender/SplashBidNoticeAbstractUI.aspx?menuIndex=3&amp;refID=7082588&amp;Result=3","7082588")</f>
        <v>0</v>
      </c>
      <c r="B3674" t="s">
        <v>753</v>
      </c>
      <c r="C3674" t="s">
        <v>6917</v>
      </c>
      <c r="E3674" t="s">
        <v>20697</v>
      </c>
      <c r="F3674" t="s">
        <v>30052</v>
      </c>
      <c r="G3674" t="s">
        <v>30059</v>
      </c>
      <c r="H3674" t="s">
        <v>15498</v>
      </c>
      <c r="I3674" t="s">
        <v>30076</v>
      </c>
      <c r="J3674" t="s">
        <v>32601</v>
      </c>
      <c r="K3674" t="s">
        <v>39034</v>
      </c>
      <c r="M3674" t="s">
        <v>40067</v>
      </c>
      <c r="N3674" t="s">
        <v>43166</v>
      </c>
      <c r="O3674" t="s">
        <v>43167</v>
      </c>
      <c r="P3674">
        <v>0</v>
      </c>
      <c r="Q3674">
        <v>3</v>
      </c>
      <c r="R3674" t="s">
        <v>43171</v>
      </c>
      <c r="S3674" t="s">
        <v>43311</v>
      </c>
      <c r="T3674" t="s">
        <v>44735</v>
      </c>
      <c r="U3674" t="s">
        <v>48223</v>
      </c>
      <c r="W3674" t="s">
        <v>40067</v>
      </c>
      <c r="X3674" t="s">
        <v>43172</v>
      </c>
    </row>
    <row r="3675" spans="1:24">
      <c r="A3675">
        <f>HYPERLINK("https://www.philgeps.gov.ph/GEPSNONPILOT/Tender/SplashBidNoticeAbstractUI.aspx?menuIndex=3&amp;refID=7082584&amp;Result=3","7082584")</f>
        <v>0</v>
      </c>
      <c r="B3675" t="s">
        <v>1134</v>
      </c>
      <c r="C3675" t="s">
        <v>6918</v>
      </c>
      <c r="D3675" t="s">
        <v>17459</v>
      </c>
      <c r="E3675" t="s">
        <v>20698</v>
      </c>
      <c r="F3675" t="s">
        <v>30052</v>
      </c>
      <c r="G3675" t="s">
        <v>30059</v>
      </c>
      <c r="H3675" t="s">
        <v>15498</v>
      </c>
      <c r="I3675" t="s">
        <v>30111</v>
      </c>
      <c r="J3675" t="s">
        <v>32602</v>
      </c>
      <c r="K3675" t="s">
        <v>39037</v>
      </c>
      <c r="M3675" t="s">
        <v>40477</v>
      </c>
      <c r="N3675" t="s">
        <v>43166</v>
      </c>
      <c r="O3675" t="s">
        <v>43167</v>
      </c>
      <c r="P3675">
        <v>0</v>
      </c>
      <c r="Q3675">
        <v>0</v>
      </c>
      <c r="R3675" t="s">
        <v>43171</v>
      </c>
      <c r="S3675" t="s">
        <v>43311</v>
      </c>
      <c r="T3675" t="s">
        <v>44717</v>
      </c>
      <c r="U3675" t="s">
        <v>48224</v>
      </c>
      <c r="W3675" t="s">
        <v>40477</v>
      </c>
      <c r="X3675" t="s">
        <v>43172</v>
      </c>
    </row>
    <row r="3676" spans="1:24">
      <c r="A3676">
        <f>HYPERLINK("https://www.philgeps.gov.ph/GEPSNONPILOT/Tender/SplashBidNoticeAbstractUI.aspx?menuIndex=3&amp;refID=7082583&amp;Result=3","7082583")</f>
        <v>0</v>
      </c>
      <c r="B3676" t="s">
        <v>266</v>
      </c>
      <c r="C3676" t="s">
        <v>6919</v>
      </c>
      <c r="D3676" t="s">
        <v>17466</v>
      </c>
      <c r="E3676" t="s">
        <v>20699</v>
      </c>
      <c r="F3676" t="s">
        <v>30052</v>
      </c>
      <c r="G3676" t="s">
        <v>30060</v>
      </c>
      <c r="H3676" t="s">
        <v>15498</v>
      </c>
      <c r="I3676" t="s">
        <v>30153</v>
      </c>
      <c r="J3676" t="s">
        <v>32603</v>
      </c>
      <c r="K3676" t="s">
        <v>39025</v>
      </c>
      <c r="M3676" t="s">
        <v>39558</v>
      </c>
      <c r="N3676" t="s">
        <v>43166</v>
      </c>
      <c r="O3676" t="s">
        <v>43167</v>
      </c>
      <c r="P3676">
        <v>0</v>
      </c>
      <c r="Q3676">
        <v>6</v>
      </c>
      <c r="R3676" t="s">
        <v>43171</v>
      </c>
      <c r="S3676" t="s">
        <v>43311</v>
      </c>
      <c r="T3676" t="s">
        <v>44714</v>
      </c>
      <c r="U3676" t="s">
        <v>48225</v>
      </c>
      <c r="W3676" t="s">
        <v>39558</v>
      </c>
      <c r="X3676" t="s">
        <v>43172</v>
      </c>
    </row>
    <row r="3677" spans="1:24">
      <c r="A3677">
        <f>HYPERLINK("https://www.philgeps.gov.ph/GEPSNONPILOT/Tender/SplashBidNoticeAbstractUI.aspx?menuIndex=3&amp;refID=7082581&amp;Result=3","7082581")</f>
        <v>0</v>
      </c>
      <c r="B3677" t="s">
        <v>1300</v>
      </c>
      <c r="C3677" t="s">
        <v>6920</v>
      </c>
      <c r="D3677" t="s">
        <v>17444</v>
      </c>
      <c r="E3677" t="s">
        <v>20700</v>
      </c>
      <c r="F3677" t="s">
        <v>30052</v>
      </c>
      <c r="G3677" t="s">
        <v>30058</v>
      </c>
      <c r="H3677" t="s">
        <v>30067</v>
      </c>
      <c r="I3677" t="s">
        <v>3736</v>
      </c>
      <c r="J3677" t="s">
        <v>32604</v>
      </c>
      <c r="K3677" t="s">
        <v>39029</v>
      </c>
      <c r="M3677" t="s">
        <v>40666</v>
      </c>
      <c r="N3677" t="s">
        <v>43166</v>
      </c>
      <c r="O3677" t="s">
        <v>43167</v>
      </c>
      <c r="P3677">
        <v>0</v>
      </c>
      <c r="Q3677">
        <v>3</v>
      </c>
      <c r="R3677" t="s">
        <v>43171</v>
      </c>
      <c r="S3677" t="s">
        <v>43311</v>
      </c>
      <c r="T3677" t="s">
        <v>44828</v>
      </c>
      <c r="U3677" t="s">
        <v>48064</v>
      </c>
      <c r="V3677" t="s">
        <v>57256</v>
      </c>
      <c r="W3677" t="s">
        <v>40666</v>
      </c>
      <c r="X3677" t="s">
        <v>43172</v>
      </c>
    </row>
    <row r="3678" spans="1:24">
      <c r="A3678">
        <f>HYPERLINK("https://www.philgeps.gov.ph/GEPSNONPILOT/Tender/SplashBidNoticeAbstractUI.aspx?menuIndex=3&amp;refID=7082579&amp;Result=3","7082579")</f>
        <v>0</v>
      </c>
      <c r="B3678" t="s">
        <v>529</v>
      </c>
      <c r="C3678" t="s">
        <v>4615</v>
      </c>
      <c r="D3678" t="s">
        <v>17474</v>
      </c>
      <c r="E3678" t="s">
        <v>20701</v>
      </c>
      <c r="F3678" t="s">
        <v>30052</v>
      </c>
      <c r="G3678" t="s">
        <v>30058</v>
      </c>
      <c r="H3678" t="s">
        <v>15498</v>
      </c>
      <c r="I3678" t="s">
        <v>30094</v>
      </c>
      <c r="J3678" t="s">
        <v>32605</v>
      </c>
      <c r="K3678" t="s">
        <v>39034</v>
      </c>
      <c r="M3678" t="s">
        <v>39831</v>
      </c>
      <c r="N3678" t="s">
        <v>43166</v>
      </c>
      <c r="O3678" t="s">
        <v>43167</v>
      </c>
      <c r="P3678">
        <v>0</v>
      </c>
      <c r="Q3678">
        <v>0</v>
      </c>
      <c r="R3678" t="s">
        <v>43171</v>
      </c>
      <c r="S3678" t="s">
        <v>43311</v>
      </c>
      <c r="T3678" t="s">
        <v>44704</v>
      </c>
      <c r="U3678" t="s">
        <v>48226</v>
      </c>
      <c r="V3678" t="s">
        <v>57257</v>
      </c>
      <c r="W3678" t="s">
        <v>39831</v>
      </c>
      <c r="X3678" t="s">
        <v>43172</v>
      </c>
    </row>
    <row r="3679" spans="1:24">
      <c r="A3679">
        <f>HYPERLINK("https://www.philgeps.gov.ph/GEPSNONPILOT/Tender/SplashBidNoticeAbstractUI.aspx?menuIndex=3&amp;refID=7082552&amp;Result=3","7082552")</f>
        <v>0</v>
      </c>
      <c r="B3679" t="s">
        <v>1359</v>
      </c>
      <c r="C3679" t="s">
        <v>6921</v>
      </c>
      <c r="D3679" t="s">
        <v>17415</v>
      </c>
      <c r="E3679" t="s">
        <v>20702</v>
      </c>
      <c r="F3679" t="s">
        <v>30052</v>
      </c>
      <c r="G3679" t="s">
        <v>30061</v>
      </c>
      <c r="H3679" t="s">
        <v>15498</v>
      </c>
      <c r="I3679" t="s">
        <v>30081</v>
      </c>
      <c r="J3679" t="s">
        <v>32606</v>
      </c>
      <c r="K3679" t="s">
        <v>39019</v>
      </c>
      <c r="M3679" t="s">
        <v>40728</v>
      </c>
      <c r="N3679" t="s">
        <v>43166</v>
      </c>
      <c r="O3679" t="s">
        <v>43167</v>
      </c>
      <c r="P3679">
        <v>0</v>
      </c>
      <c r="Q3679">
        <v>0</v>
      </c>
      <c r="R3679" t="s">
        <v>43171</v>
      </c>
      <c r="S3679" t="s">
        <v>43311</v>
      </c>
      <c r="T3679" t="s">
        <v>44698</v>
      </c>
      <c r="U3679" t="s">
        <v>48227</v>
      </c>
      <c r="W3679" t="s">
        <v>58636</v>
      </c>
      <c r="X3679" t="s">
        <v>43172</v>
      </c>
    </row>
    <row r="3680" spans="1:24">
      <c r="A3680">
        <f>HYPERLINK("https://www.philgeps.gov.ph/GEPSNONPILOT/Tender/SplashBidNoticeAbstractUI.aspx?menuIndex=3&amp;refID=7082551&amp;Result=3","7082551")</f>
        <v>0</v>
      </c>
      <c r="B3680" t="s">
        <v>1304</v>
      </c>
      <c r="C3680" t="s">
        <v>6922</v>
      </c>
      <c r="D3680" t="s">
        <v>17458</v>
      </c>
      <c r="E3680" t="s">
        <v>20703</v>
      </c>
      <c r="F3680" t="s">
        <v>30052</v>
      </c>
      <c r="G3680" t="s">
        <v>30058</v>
      </c>
      <c r="H3680" t="s">
        <v>30067</v>
      </c>
      <c r="I3680" t="s">
        <v>3693</v>
      </c>
      <c r="J3680" t="s">
        <v>32607</v>
      </c>
      <c r="K3680" t="s">
        <v>39046</v>
      </c>
      <c r="M3680" t="s">
        <v>40671</v>
      </c>
      <c r="N3680" t="s">
        <v>43166</v>
      </c>
      <c r="O3680" t="s">
        <v>43167</v>
      </c>
      <c r="P3680">
        <v>0</v>
      </c>
      <c r="Q3680">
        <v>0</v>
      </c>
      <c r="R3680" t="s">
        <v>43171</v>
      </c>
      <c r="S3680" t="s">
        <v>43311</v>
      </c>
      <c r="T3680" t="s">
        <v>44705</v>
      </c>
      <c r="U3680" t="s">
        <v>48228</v>
      </c>
      <c r="V3680" t="s">
        <v>57233</v>
      </c>
      <c r="W3680" t="s">
        <v>40671</v>
      </c>
      <c r="X3680" t="s">
        <v>43172</v>
      </c>
    </row>
    <row r="3681" spans="1:24">
      <c r="A3681">
        <f>HYPERLINK("https://www.philgeps.gov.ph/GEPSNONPILOT/Tender/SplashBidNoticeAbstractUI.aspx?menuIndex=3&amp;refID=7082550&amp;Result=3","7082550")</f>
        <v>0</v>
      </c>
      <c r="B3681" t="s">
        <v>1333</v>
      </c>
      <c r="C3681" t="s">
        <v>6923</v>
      </c>
      <c r="D3681" t="s">
        <v>17474</v>
      </c>
      <c r="E3681" t="s">
        <v>20704</v>
      </c>
      <c r="F3681" t="s">
        <v>30052</v>
      </c>
      <c r="G3681" t="s">
        <v>30058</v>
      </c>
      <c r="H3681" t="s">
        <v>15498</v>
      </c>
      <c r="I3681" t="s">
        <v>30124</v>
      </c>
      <c r="J3681" t="s">
        <v>30222</v>
      </c>
      <c r="K3681" t="s">
        <v>39019</v>
      </c>
      <c r="M3681" t="s">
        <v>40700</v>
      </c>
      <c r="N3681" t="s">
        <v>43166</v>
      </c>
      <c r="O3681" t="s">
        <v>43167</v>
      </c>
      <c r="P3681">
        <v>0</v>
      </c>
      <c r="Q3681">
        <v>1</v>
      </c>
      <c r="R3681" t="s">
        <v>43171</v>
      </c>
      <c r="S3681" t="s">
        <v>43311</v>
      </c>
      <c r="T3681" t="s">
        <v>44754</v>
      </c>
      <c r="U3681" t="s">
        <v>48229</v>
      </c>
      <c r="W3681" t="s">
        <v>40700</v>
      </c>
      <c r="X3681" t="s">
        <v>43172</v>
      </c>
    </row>
    <row r="3682" spans="1:24">
      <c r="A3682">
        <f>HYPERLINK("https://www.philgeps.gov.ph/GEPSNONPILOT/Tender/SplashBidNoticeAbstractUI.aspx?menuIndex=3&amp;refID=7082547&amp;Result=3","7082547")</f>
        <v>0</v>
      </c>
      <c r="B3682" t="s">
        <v>1360</v>
      </c>
      <c r="C3682" t="s">
        <v>6924</v>
      </c>
      <c r="D3682" t="s">
        <v>17468</v>
      </c>
      <c r="E3682" t="s">
        <v>20705</v>
      </c>
      <c r="F3682" t="s">
        <v>30052</v>
      </c>
      <c r="G3682" t="s">
        <v>30058</v>
      </c>
      <c r="H3682" t="s">
        <v>15498</v>
      </c>
      <c r="I3682" t="s">
        <v>30073</v>
      </c>
      <c r="J3682" t="s">
        <v>32608</v>
      </c>
      <c r="K3682" t="s">
        <v>39057</v>
      </c>
      <c r="M3682" t="s">
        <v>40729</v>
      </c>
      <c r="N3682" t="s">
        <v>43166</v>
      </c>
      <c r="O3682" t="s">
        <v>43167</v>
      </c>
      <c r="P3682">
        <v>0</v>
      </c>
      <c r="Q3682">
        <v>2</v>
      </c>
      <c r="R3682" t="s">
        <v>43171</v>
      </c>
      <c r="S3682" t="s">
        <v>43311</v>
      </c>
      <c r="T3682" t="s">
        <v>44842</v>
      </c>
      <c r="U3682" t="s">
        <v>48230</v>
      </c>
      <c r="W3682" t="s">
        <v>40729</v>
      </c>
      <c r="X3682" t="s">
        <v>43172</v>
      </c>
    </row>
    <row r="3683" spans="1:24">
      <c r="A3683">
        <f>HYPERLINK("https://www.philgeps.gov.ph/GEPSNONPILOT/Tender/SplashBidNoticeAbstractUI.aspx?menuIndex=3&amp;refID=7082638&amp;Result=3","7082638")</f>
        <v>0</v>
      </c>
      <c r="B3683" t="s">
        <v>1361</v>
      </c>
      <c r="C3683" t="s">
        <v>6925</v>
      </c>
      <c r="D3683" t="s">
        <v>17484</v>
      </c>
      <c r="E3683" t="s">
        <v>20706</v>
      </c>
      <c r="F3683" t="s">
        <v>30052</v>
      </c>
      <c r="G3683" t="s">
        <v>30058</v>
      </c>
      <c r="H3683" t="s">
        <v>15498</v>
      </c>
      <c r="I3683" t="s">
        <v>30074</v>
      </c>
      <c r="J3683" t="s">
        <v>30215</v>
      </c>
      <c r="K3683" t="s">
        <v>39019</v>
      </c>
      <c r="M3683" t="s">
        <v>40730</v>
      </c>
      <c r="N3683" t="s">
        <v>43166</v>
      </c>
      <c r="O3683" t="s">
        <v>43167</v>
      </c>
      <c r="P3683">
        <v>0</v>
      </c>
      <c r="Q3683">
        <v>5</v>
      </c>
      <c r="R3683" t="s">
        <v>43171</v>
      </c>
      <c r="S3683" t="s">
        <v>43311</v>
      </c>
      <c r="T3683" t="s">
        <v>44724</v>
      </c>
      <c r="U3683" t="s">
        <v>48231</v>
      </c>
      <c r="W3683" t="s">
        <v>40730</v>
      </c>
      <c r="X3683" t="s">
        <v>43172</v>
      </c>
    </row>
    <row r="3684" spans="1:24">
      <c r="A3684">
        <f>HYPERLINK("https://www.philgeps.gov.ph/GEPSNONPILOT/Tender/SplashBidNoticeAbstractUI.aspx?menuIndex=3&amp;refID=7082646&amp;Result=3","7082646")</f>
        <v>0</v>
      </c>
      <c r="B3684" t="s">
        <v>701</v>
      </c>
      <c r="C3684" t="s">
        <v>6926</v>
      </c>
      <c r="D3684" t="s">
        <v>17419</v>
      </c>
      <c r="E3684" t="s">
        <v>20707</v>
      </c>
      <c r="F3684" t="s">
        <v>30052</v>
      </c>
      <c r="G3684" t="s">
        <v>30059</v>
      </c>
      <c r="H3684" t="s">
        <v>15498</v>
      </c>
      <c r="I3684" t="s">
        <v>30073</v>
      </c>
      <c r="J3684" t="s">
        <v>31437</v>
      </c>
      <c r="K3684" t="s">
        <v>39025</v>
      </c>
      <c r="M3684" t="s">
        <v>40010</v>
      </c>
      <c r="N3684" t="s">
        <v>43166</v>
      </c>
      <c r="O3684" t="s">
        <v>43167</v>
      </c>
      <c r="P3684">
        <v>0</v>
      </c>
      <c r="Q3684">
        <v>0</v>
      </c>
      <c r="R3684" t="s">
        <v>43171</v>
      </c>
      <c r="S3684" t="s">
        <v>43311</v>
      </c>
      <c r="T3684" t="s">
        <v>44717</v>
      </c>
      <c r="U3684" t="s">
        <v>48232</v>
      </c>
      <c r="W3684" t="s">
        <v>40010</v>
      </c>
      <c r="X3684" t="s">
        <v>43172</v>
      </c>
    </row>
    <row r="3685" spans="1:24">
      <c r="A3685">
        <f>HYPERLINK("https://www.philgeps.gov.ph/GEPSNONPILOT/Tender/SplashBidNoticeAbstractUI.aspx?menuIndex=3&amp;refID=7082645&amp;Result=3","7082645")</f>
        <v>0</v>
      </c>
      <c r="B3685" t="s">
        <v>296</v>
      </c>
      <c r="C3685" t="s">
        <v>6927</v>
      </c>
      <c r="E3685" t="s">
        <v>20708</v>
      </c>
      <c r="F3685" t="s">
        <v>30052</v>
      </c>
      <c r="G3685" t="s">
        <v>30059</v>
      </c>
      <c r="H3685" t="s">
        <v>15498</v>
      </c>
      <c r="I3685" t="s">
        <v>3606</v>
      </c>
      <c r="J3685" t="s">
        <v>32609</v>
      </c>
      <c r="K3685" t="s">
        <v>39034</v>
      </c>
      <c r="M3685" t="s">
        <v>40731</v>
      </c>
      <c r="N3685" t="s">
        <v>43166</v>
      </c>
      <c r="O3685" t="s">
        <v>43167</v>
      </c>
      <c r="P3685">
        <v>0</v>
      </c>
      <c r="Q3685">
        <v>6</v>
      </c>
      <c r="R3685" t="s">
        <v>43171</v>
      </c>
      <c r="S3685" t="s">
        <v>43311</v>
      </c>
      <c r="T3685" t="s">
        <v>44714</v>
      </c>
      <c r="U3685" t="s">
        <v>48233</v>
      </c>
      <c r="V3685" t="s">
        <v>56925</v>
      </c>
      <c r="W3685" t="s">
        <v>40731</v>
      </c>
      <c r="X3685" t="s">
        <v>43172</v>
      </c>
    </row>
    <row r="3686" spans="1:24">
      <c r="A3686">
        <f>HYPERLINK("https://www.philgeps.gov.ph/GEPSNONPILOT/Tender/SplashBidNoticeAbstractUI.aspx?menuIndex=3&amp;refID=7082580&amp;Result=3","7082580")</f>
        <v>0</v>
      </c>
      <c r="B3686" t="s">
        <v>1181</v>
      </c>
      <c r="C3686" t="s">
        <v>6928</v>
      </c>
      <c r="D3686" t="s">
        <v>17444</v>
      </c>
      <c r="E3686" t="s">
        <v>20709</v>
      </c>
      <c r="F3686" t="s">
        <v>30052</v>
      </c>
      <c r="G3686" t="s">
        <v>30059</v>
      </c>
      <c r="H3686" t="s">
        <v>30068</v>
      </c>
      <c r="I3686" t="s">
        <v>30068</v>
      </c>
      <c r="J3686" t="s">
        <v>32610</v>
      </c>
      <c r="K3686" t="s">
        <v>39025</v>
      </c>
      <c r="M3686" t="s">
        <v>40531</v>
      </c>
      <c r="N3686" t="s">
        <v>43166</v>
      </c>
      <c r="O3686" t="s">
        <v>43167</v>
      </c>
      <c r="P3686">
        <v>0</v>
      </c>
      <c r="Q3686">
        <v>0</v>
      </c>
      <c r="R3686" t="s">
        <v>43171</v>
      </c>
      <c r="S3686" t="s">
        <v>43311</v>
      </c>
      <c r="T3686" t="s">
        <v>44705</v>
      </c>
      <c r="U3686" t="s">
        <v>48234</v>
      </c>
      <c r="W3686" t="s">
        <v>40531</v>
      </c>
      <c r="X3686" t="s">
        <v>43172</v>
      </c>
    </row>
    <row r="3687" spans="1:24">
      <c r="A3687">
        <f>HYPERLINK("https://www.philgeps.gov.ph/GEPSNONPILOT/Tender/SplashBidNoticeAbstractUI.aspx?menuIndex=3&amp;refID=7082640&amp;Result=3","7082640")</f>
        <v>0</v>
      </c>
      <c r="B3687" t="s">
        <v>1345</v>
      </c>
      <c r="C3687" t="s">
        <v>6929</v>
      </c>
      <c r="D3687" t="s">
        <v>17478</v>
      </c>
      <c r="E3687" t="s">
        <v>18473</v>
      </c>
      <c r="F3687" t="s">
        <v>30052</v>
      </c>
      <c r="G3687" t="s">
        <v>30059</v>
      </c>
      <c r="H3687" t="s">
        <v>15498</v>
      </c>
      <c r="I3687" t="s">
        <v>30117</v>
      </c>
      <c r="J3687" t="s">
        <v>32087</v>
      </c>
      <c r="K3687" t="s">
        <v>39036</v>
      </c>
      <c r="M3687" t="s">
        <v>40713</v>
      </c>
      <c r="N3687" t="s">
        <v>43166</v>
      </c>
      <c r="O3687" t="s">
        <v>43167</v>
      </c>
      <c r="P3687">
        <v>0</v>
      </c>
      <c r="Q3687">
        <v>0</v>
      </c>
      <c r="R3687" t="s">
        <v>43171</v>
      </c>
      <c r="S3687" t="s">
        <v>43311</v>
      </c>
      <c r="T3687" t="s">
        <v>44720</v>
      </c>
      <c r="U3687" t="s">
        <v>48235</v>
      </c>
      <c r="V3687" t="s">
        <v>57258</v>
      </c>
      <c r="W3687" t="s">
        <v>40713</v>
      </c>
      <c r="X3687" t="s">
        <v>43172</v>
      </c>
    </row>
    <row r="3688" spans="1:24">
      <c r="A3688">
        <f>HYPERLINK("https://www.philgeps.gov.ph/GEPSNONPILOT/Tender/SplashBidNoticeAbstractUI.aspx?menuIndex=3&amp;refID=7082608&amp;Result=3","7082608")</f>
        <v>0</v>
      </c>
      <c r="B3688" t="s">
        <v>1350</v>
      </c>
      <c r="C3688" t="s">
        <v>6930</v>
      </c>
      <c r="D3688" t="s">
        <v>17415</v>
      </c>
      <c r="E3688" t="s">
        <v>20710</v>
      </c>
      <c r="F3688" t="s">
        <v>30052</v>
      </c>
      <c r="G3688" t="s">
        <v>30058</v>
      </c>
      <c r="H3688" t="s">
        <v>15498</v>
      </c>
      <c r="I3688" t="s">
        <v>7228</v>
      </c>
      <c r="J3688" t="s">
        <v>32611</v>
      </c>
      <c r="K3688" t="s">
        <v>39025</v>
      </c>
      <c r="L3688" t="s">
        <v>1350</v>
      </c>
      <c r="M3688" t="s">
        <v>40719</v>
      </c>
      <c r="N3688" t="s">
        <v>43166</v>
      </c>
      <c r="O3688" t="s">
        <v>43167</v>
      </c>
      <c r="Q3688">
        <v>1</v>
      </c>
      <c r="R3688" t="s">
        <v>43171</v>
      </c>
      <c r="S3688" t="s">
        <v>43322</v>
      </c>
      <c r="T3688" t="s">
        <v>44789</v>
      </c>
      <c r="U3688" t="s">
        <v>48208</v>
      </c>
      <c r="W3688" t="s">
        <v>40719</v>
      </c>
      <c r="X3688" t="s">
        <v>43172</v>
      </c>
    </row>
    <row r="3689" spans="1:24">
      <c r="A3689">
        <f>HYPERLINK("https://www.philgeps.gov.ph/GEPSNONPILOT/Tender/SplashBidNoticeAbstractUI.aspx?menuIndex=3&amp;refID=7082612&amp;Result=3","7082612")</f>
        <v>0</v>
      </c>
      <c r="B3689" t="s">
        <v>1362</v>
      </c>
      <c r="C3689" t="s">
        <v>6931</v>
      </c>
      <c r="D3689" t="s">
        <v>17421</v>
      </c>
      <c r="E3689" t="s">
        <v>20711</v>
      </c>
      <c r="F3689" t="s">
        <v>30052</v>
      </c>
      <c r="G3689" t="s">
        <v>30058</v>
      </c>
      <c r="H3689" t="s">
        <v>15498</v>
      </c>
      <c r="I3689" t="s">
        <v>4650</v>
      </c>
      <c r="J3689" t="s">
        <v>32612</v>
      </c>
      <c r="K3689" t="s">
        <v>39029</v>
      </c>
      <c r="L3689" t="s">
        <v>1362</v>
      </c>
      <c r="M3689" t="s">
        <v>40732</v>
      </c>
      <c r="N3689" t="s">
        <v>43166</v>
      </c>
      <c r="O3689" t="s">
        <v>43167</v>
      </c>
      <c r="P3689">
        <v>0</v>
      </c>
      <c r="Q3689">
        <v>4</v>
      </c>
      <c r="R3689" t="s">
        <v>43171</v>
      </c>
      <c r="S3689" t="s">
        <v>43311</v>
      </c>
      <c r="T3689" t="s">
        <v>44689</v>
      </c>
      <c r="U3689" t="s">
        <v>48236</v>
      </c>
      <c r="V3689" t="s">
        <v>46582</v>
      </c>
      <c r="W3689" t="s">
        <v>40732</v>
      </c>
      <c r="X3689" t="s">
        <v>43172</v>
      </c>
    </row>
    <row r="3690" spans="1:24">
      <c r="A3690">
        <f>HYPERLINK("https://www.philgeps.gov.ph/GEPSNONPILOT/Tender/SplashBidNoticeAbstractUI.aspx?menuIndex=3&amp;refID=7082639&amp;Result=3","7082639")</f>
        <v>0</v>
      </c>
      <c r="B3690" t="s">
        <v>1270</v>
      </c>
      <c r="C3690" t="s">
        <v>6932</v>
      </c>
      <c r="D3690" t="s">
        <v>17465</v>
      </c>
      <c r="E3690" t="s">
        <v>20712</v>
      </c>
      <c r="F3690" t="s">
        <v>30052</v>
      </c>
      <c r="G3690" t="s">
        <v>30058</v>
      </c>
      <c r="H3690" t="s">
        <v>15498</v>
      </c>
      <c r="I3690" t="s">
        <v>30098</v>
      </c>
      <c r="J3690" t="s">
        <v>30230</v>
      </c>
      <c r="K3690" t="s">
        <v>39034</v>
      </c>
      <c r="M3690" t="s">
        <v>40629</v>
      </c>
      <c r="N3690" t="s">
        <v>43166</v>
      </c>
      <c r="O3690" t="s">
        <v>43167</v>
      </c>
      <c r="P3690">
        <v>0</v>
      </c>
      <c r="Q3690">
        <v>7</v>
      </c>
      <c r="R3690" t="s">
        <v>43171</v>
      </c>
      <c r="S3690" t="s">
        <v>43311</v>
      </c>
      <c r="T3690" t="s">
        <v>44879</v>
      </c>
      <c r="U3690" t="s">
        <v>48237</v>
      </c>
      <c r="W3690" t="s">
        <v>40629</v>
      </c>
      <c r="X3690" t="s">
        <v>43172</v>
      </c>
    </row>
    <row r="3691" spans="1:24">
      <c r="A3691">
        <f>HYPERLINK("https://www.philgeps.gov.ph/GEPSNONPILOT/Tender/SplashBidNoticeAbstractUI.aspx?menuIndex=3&amp;refID=7082637&amp;Result=3","7082637")</f>
        <v>0</v>
      </c>
      <c r="B3691" t="s">
        <v>1363</v>
      </c>
      <c r="C3691" t="s">
        <v>6933</v>
      </c>
      <c r="D3691" t="s">
        <v>17432</v>
      </c>
      <c r="E3691" t="s">
        <v>20713</v>
      </c>
      <c r="F3691" t="s">
        <v>30052</v>
      </c>
      <c r="G3691" t="s">
        <v>30062</v>
      </c>
      <c r="H3691" t="s">
        <v>15498</v>
      </c>
      <c r="I3691" t="s">
        <v>30073</v>
      </c>
      <c r="J3691" t="s">
        <v>31236</v>
      </c>
      <c r="K3691" t="s">
        <v>39029</v>
      </c>
      <c r="M3691" t="s">
        <v>40733</v>
      </c>
      <c r="N3691" t="s">
        <v>43166</v>
      </c>
      <c r="O3691" t="s">
        <v>43167</v>
      </c>
      <c r="P3691">
        <v>0</v>
      </c>
      <c r="Q3691">
        <v>3</v>
      </c>
      <c r="R3691" t="s">
        <v>43171</v>
      </c>
      <c r="S3691" t="s">
        <v>43311</v>
      </c>
      <c r="T3691" t="s">
        <v>44787</v>
      </c>
      <c r="U3691" t="s">
        <v>48238</v>
      </c>
      <c r="V3691" t="s">
        <v>57259</v>
      </c>
      <c r="W3691" t="s">
        <v>40733</v>
      </c>
      <c r="X3691" t="s">
        <v>43172</v>
      </c>
    </row>
    <row r="3692" spans="1:24">
      <c r="A3692">
        <f>HYPERLINK("https://www.philgeps.gov.ph/GEPSNONPILOT/Tender/SplashBidNoticeAbstractUI.aspx?menuIndex=3&amp;refID=7082635&amp;Result=3","7082635")</f>
        <v>0</v>
      </c>
      <c r="B3692" t="s">
        <v>261</v>
      </c>
      <c r="C3692" t="s">
        <v>6934</v>
      </c>
      <c r="D3692" t="s">
        <v>17454</v>
      </c>
      <c r="E3692" t="s">
        <v>20714</v>
      </c>
      <c r="F3692" t="s">
        <v>30052</v>
      </c>
      <c r="G3692" t="s">
        <v>30061</v>
      </c>
      <c r="H3692" t="s">
        <v>15498</v>
      </c>
      <c r="I3692" t="s">
        <v>30143</v>
      </c>
      <c r="J3692" t="s">
        <v>30292</v>
      </c>
      <c r="K3692" t="s">
        <v>39017</v>
      </c>
      <c r="M3692" t="s">
        <v>39552</v>
      </c>
      <c r="N3692" t="s">
        <v>43166</v>
      </c>
      <c r="O3692" t="s">
        <v>43167</v>
      </c>
      <c r="P3692">
        <v>0</v>
      </c>
      <c r="Q3692">
        <v>0</v>
      </c>
      <c r="R3692" t="s">
        <v>43171</v>
      </c>
      <c r="S3692" t="s">
        <v>43311</v>
      </c>
      <c r="T3692" t="s">
        <v>44864</v>
      </c>
      <c r="U3692" t="s">
        <v>48239</v>
      </c>
      <c r="W3692" t="s">
        <v>39552</v>
      </c>
      <c r="X3692" t="s">
        <v>43172</v>
      </c>
    </row>
    <row r="3693" spans="1:24">
      <c r="A3693">
        <f>HYPERLINK("https://www.philgeps.gov.ph/GEPSNONPILOT/Tender/SplashBidNoticeAbstractUI.aspx?menuIndex=3&amp;refID=7082627&amp;Result=3","7082627")</f>
        <v>0</v>
      </c>
      <c r="B3693" t="s">
        <v>1300</v>
      </c>
      <c r="C3693" t="s">
        <v>6935</v>
      </c>
      <c r="D3693" t="s">
        <v>17414</v>
      </c>
      <c r="E3693" t="s">
        <v>20715</v>
      </c>
      <c r="F3693" t="s">
        <v>30052</v>
      </c>
      <c r="G3693" t="s">
        <v>30058</v>
      </c>
      <c r="H3693" t="s">
        <v>30067</v>
      </c>
      <c r="I3693" t="s">
        <v>3736</v>
      </c>
      <c r="J3693" t="s">
        <v>32613</v>
      </c>
      <c r="K3693" t="s">
        <v>39023</v>
      </c>
      <c r="M3693" t="s">
        <v>40666</v>
      </c>
      <c r="N3693" t="s">
        <v>43166</v>
      </c>
      <c r="O3693" t="s">
        <v>43167</v>
      </c>
      <c r="P3693">
        <v>0</v>
      </c>
      <c r="Q3693">
        <v>2</v>
      </c>
      <c r="R3693" t="s">
        <v>43171</v>
      </c>
      <c r="S3693" t="s">
        <v>43311</v>
      </c>
      <c r="T3693" t="s">
        <v>44828</v>
      </c>
      <c r="U3693" t="s">
        <v>48064</v>
      </c>
      <c r="V3693" t="s">
        <v>57256</v>
      </c>
      <c r="W3693" t="s">
        <v>40666</v>
      </c>
      <c r="X3693" t="s">
        <v>43172</v>
      </c>
    </row>
    <row r="3694" spans="1:24">
      <c r="A3694">
        <f>HYPERLINK("https://www.philgeps.gov.ph/GEPSNONPILOT/Tender/SplashBidNoticeAbstractUI.aspx?menuIndex=3&amp;refID=7082626&amp;Result=3","7082626")</f>
        <v>0</v>
      </c>
      <c r="B3694" t="s">
        <v>1274</v>
      </c>
      <c r="C3694" t="s">
        <v>6936</v>
      </c>
      <c r="D3694" t="s">
        <v>17466</v>
      </c>
      <c r="E3694" t="s">
        <v>20716</v>
      </c>
      <c r="F3694" t="s">
        <v>30052</v>
      </c>
      <c r="G3694" t="s">
        <v>30059</v>
      </c>
      <c r="H3694" t="s">
        <v>15498</v>
      </c>
      <c r="I3694" t="s">
        <v>30097</v>
      </c>
      <c r="J3694" t="s">
        <v>30472</v>
      </c>
      <c r="K3694" t="s">
        <v>39039</v>
      </c>
      <c r="M3694" t="s">
        <v>40634</v>
      </c>
      <c r="N3694" t="s">
        <v>43166</v>
      </c>
      <c r="O3694" t="s">
        <v>43167</v>
      </c>
      <c r="P3694">
        <v>0</v>
      </c>
      <c r="Q3694">
        <v>0</v>
      </c>
      <c r="R3694" t="s">
        <v>43171</v>
      </c>
      <c r="S3694" t="s">
        <v>43311</v>
      </c>
      <c r="T3694" t="s">
        <v>44685</v>
      </c>
      <c r="U3694" t="s">
        <v>48240</v>
      </c>
      <c r="W3694" t="s">
        <v>40634</v>
      </c>
      <c r="X3694" t="s">
        <v>43172</v>
      </c>
    </row>
    <row r="3695" spans="1:24">
      <c r="A3695">
        <f>HYPERLINK("https://www.philgeps.gov.ph/GEPSNONPILOT/Tender/SplashBidNoticeAbstractUI.aspx?menuIndex=3&amp;refID=7082625&amp;Result=3","7082625")</f>
        <v>0</v>
      </c>
      <c r="B3695" t="s">
        <v>266</v>
      </c>
      <c r="C3695" t="s">
        <v>6937</v>
      </c>
      <c r="D3695" t="s">
        <v>17466</v>
      </c>
      <c r="E3695" t="s">
        <v>20717</v>
      </c>
      <c r="F3695" t="s">
        <v>30052</v>
      </c>
      <c r="G3695" t="s">
        <v>30060</v>
      </c>
      <c r="H3695" t="s">
        <v>15498</v>
      </c>
      <c r="I3695" t="s">
        <v>30070</v>
      </c>
      <c r="J3695" t="s">
        <v>32614</v>
      </c>
      <c r="K3695" t="s">
        <v>39025</v>
      </c>
      <c r="M3695" t="s">
        <v>39558</v>
      </c>
      <c r="N3695" t="s">
        <v>43166</v>
      </c>
      <c r="O3695" t="s">
        <v>43167</v>
      </c>
      <c r="P3695">
        <v>0</v>
      </c>
      <c r="Q3695">
        <v>4</v>
      </c>
      <c r="R3695" t="s">
        <v>43171</v>
      </c>
      <c r="S3695" t="s">
        <v>43311</v>
      </c>
      <c r="T3695" t="s">
        <v>44714</v>
      </c>
      <c r="U3695" t="s">
        <v>45652</v>
      </c>
      <c r="W3695" t="s">
        <v>39558</v>
      </c>
      <c r="X3695" t="s">
        <v>43172</v>
      </c>
    </row>
    <row r="3696" spans="1:24">
      <c r="A3696">
        <f>HYPERLINK("https://www.philgeps.gov.ph/GEPSNONPILOT/Tender/SplashBidNoticeAbstractUI.aspx?menuIndex=3&amp;refID=7082623&amp;Result=3","7082623")</f>
        <v>0</v>
      </c>
      <c r="B3696" t="s">
        <v>1320</v>
      </c>
      <c r="C3696" t="s">
        <v>6938</v>
      </c>
      <c r="D3696" t="s">
        <v>17440</v>
      </c>
      <c r="E3696" t="s">
        <v>20718</v>
      </c>
      <c r="F3696" t="s">
        <v>30052</v>
      </c>
      <c r="G3696" t="s">
        <v>30058</v>
      </c>
      <c r="H3696" t="s">
        <v>15498</v>
      </c>
      <c r="I3696" t="s">
        <v>3606</v>
      </c>
      <c r="J3696" t="s">
        <v>30247</v>
      </c>
      <c r="K3696" t="s">
        <v>39029</v>
      </c>
      <c r="M3696" t="s">
        <v>40687</v>
      </c>
      <c r="N3696" t="s">
        <v>43166</v>
      </c>
      <c r="O3696" t="s">
        <v>43167</v>
      </c>
      <c r="P3696">
        <v>0</v>
      </c>
      <c r="Q3696">
        <v>5</v>
      </c>
      <c r="R3696" t="s">
        <v>43171</v>
      </c>
      <c r="S3696" t="s">
        <v>43311</v>
      </c>
      <c r="T3696" t="s">
        <v>44789</v>
      </c>
      <c r="U3696" t="s">
        <v>48107</v>
      </c>
      <c r="V3696" t="s">
        <v>57260</v>
      </c>
      <c r="W3696" t="s">
        <v>40687</v>
      </c>
      <c r="X3696" t="s">
        <v>43172</v>
      </c>
    </row>
    <row r="3697" spans="1:24">
      <c r="A3697">
        <f>HYPERLINK("https://www.philgeps.gov.ph/GEPSNONPILOT/Tender/SplashBidNoticeAbstractUI.aspx?menuIndex=3&amp;refID=7082619&amp;Result=3","7082619")</f>
        <v>0</v>
      </c>
      <c r="B3697" t="s">
        <v>1258</v>
      </c>
      <c r="C3697" t="s">
        <v>6939</v>
      </c>
      <c r="D3697" t="s">
        <v>17494</v>
      </c>
      <c r="E3697" t="s">
        <v>17979</v>
      </c>
      <c r="F3697" t="s">
        <v>30052</v>
      </c>
      <c r="G3697" t="s">
        <v>30059</v>
      </c>
      <c r="H3697" t="s">
        <v>15498</v>
      </c>
      <c r="I3697" t="s">
        <v>6691</v>
      </c>
      <c r="J3697" t="s">
        <v>30377</v>
      </c>
      <c r="K3697" t="s">
        <v>39017</v>
      </c>
      <c r="M3697" t="s">
        <v>40615</v>
      </c>
      <c r="N3697" t="s">
        <v>43166</v>
      </c>
      <c r="O3697" t="s">
        <v>43167</v>
      </c>
      <c r="P3697">
        <v>0</v>
      </c>
      <c r="Q3697">
        <v>0</v>
      </c>
      <c r="R3697" t="s">
        <v>43171</v>
      </c>
      <c r="S3697" t="s">
        <v>43311</v>
      </c>
      <c r="T3697" t="s">
        <v>44856</v>
      </c>
      <c r="U3697" t="s">
        <v>48241</v>
      </c>
      <c r="W3697" t="s">
        <v>40615</v>
      </c>
      <c r="X3697" t="s">
        <v>43172</v>
      </c>
    </row>
    <row r="3698" spans="1:24">
      <c r="A3698">
        <f>HYPERLINK("https://www.philgeps.gov.ph/GEPSNONPILOT/Tender/SplashBidNoticeAbstractUI.aspx?menuIndex=3&amp;refID=7082629&amp;Result=3","7082629")</f>
        <v>0</v>
      </c>
      <c r="B3698" t="s">
        <v>622</v>
      </c>
      <c r="C3698" t="s">
        <v>6940</v>
      </c>
      <c r="D3698" t="s">
        <v>17421</v>
      </c>
      <c r="E3698" t="s">
        <v>20719</v>
      </c>
      <c r="F3698" t="s">
        <v>30052</v>
      </c>
      <c r="G3698" t="s">
        <v>30059</v>
      </c>
      <c r="H3698" t="s">
        <v>15498</v>
      </c>
      <c r="I3698" t="s">
        <v>4119</v>
      </c>
      <c r="J3698" t="s">
        <v>30743</v>
      </c>
      <c r="K3698" t="s">
        <v>39019</v>
      </c>
      <c r="M3698" t="s">
        <v>39925</v>
      </c>
      <c r="N3698" t="s">
        <v>43166</v>
      </c>
      <c r="O3698" t="s">
        <v>43167</v>
      </c>
      <c r="P3698">
        <v>0</v>
      </c>
      <c r="Q3698">
        <v>4</v>
      </c>
      <c r="R3698" t="s">
        <v>43171</v>
      </c>
      <c r="S3698" t="s">
        <v>43311</v>
      </c>
      <c r="T3698" t="s">
        <v>44864</v>
      </c>
      <c r="U3698" t="s">
        <v>48242</v>
      </c>
      <c r="W3698" t="s">
        <v>39925</v>
      </c>
      <c r="X3698" t="s">
        <v>43172</v>
      </c>
    </row>
    <row r="3699" spans="1:24">
      <c r="A3699">
        <f>HYPERLINK("https://www.philgeps.gov.ph/GEPSNONPILOT/Tender/SplashBidNoticeAbstractUI.aspx?menuIndex=3&amp;refID=7082616&amp;Result=3","7082616")</f>
        <v>0</v>
      </c>
      <c r="B3699" t="s">
        <v>1364</v>
      </c>
      <c r="C3699" t="s">
        <v>6941</v>
      </c>
      <c r="D3699" t="s">
        <v>17465</v>
      </c>
      <c r="E3699" t="s">
        <v>20720</v>
      </c>
      <c r="F3699" t="s">
        <v>30052</v>
      </c>
      <c r="G3699" t="s">
        <v>30061</v>
      </c>
      <c r="H3699" t="s">
        <v>15498</v>
      </c>
      <c r="I3699" t="s">
        <v>3736</v>
      </c>
      <c r="J3699" t="s">
        <v>32366</v>
      </c>
      <c r="K3699" t="s">
        <v>39034</v>
      </c>
      <c r="M3699" t="s">
        <v>40734</v>
      </c>
      <c r="N3699" t="s">
        <v>43166</v>
      </c>
      <c r="O3699" t="s">
        <v>43167</v>
      </c>
      <c r="P3699">
        <v>0</v>
      </c>
      <c r="Q3699">
        <v>0</v>
      </c>
      <c r="R3699" t="s">
        <v>43171</v>
      </c>
      <c r="S3699" t="s">
        <v>43311</v>
      </c>
      <c r="T3699" t="s">
        <v>44735</v>
      </c>
      <c r="U3699" t="s">
        <v>48243</v>
      </c>
      <c r="W3699" t="s">
        <v>40734</v>
      </c>
      <c r="X3699" t="s">
        <v>43172</v>
      </c>
    </row>
    <row r="3700" spans="1:24">
      <c r="A3700">
        <f>HYPERLINK("https://www.philgeps.gov.ph/GEPSNONPILOT/Tender/SplashBidNoticeAbstractUI.aspx?menuIndex=3&amp;refID=7082618&amp;Result=3","7082618")</f>
        <v>0</v>
      </c>
      <c r="B3700" t="s">
        <v>1341</v>
      </c>
      <c r="C3700" t="s">
        <v>6942</v>
      </c>
      <c r="D3700" t="s">
        <v>17450</v>
      </c>
      <c r="E3700" t="s">
        <v>20721</v>
      </c>
      <c r="F3700" t="s">
        <v>30052</v>
      </c>
      <c r="G3700" t="s">
        <v>30058</v>
      </c>
      <c r="H3700" t="s">
        <v>15498</v>
      </c>
      <c r="I3700" t="s">
        <v>30074</v>
      </c>
      <c r="J3700" t="s">
        <v>32615</v>
      </c>
      <c r="K3700" t="s">
        <v>39025</v>
      </c>
      <c r="M3700" t="s">
        <v>40708</v>
      </c>
      <c r="N3700" t="s">
        <v>43166</v>
      </c>
      <c r="O3700" t="s">
        <v>43167</v>
      </c>
      <c r="P3700">
        <v>0</v>
      </c>
      <c r="Q3700">
        <v>1</v>
      </c>
      <c r="R3700" t="s">
        <v>43171</v>
      </c>
      <c r="S3700" t="s">
        <v>43311</v>
      </c>
      <c r="T3700" t="s">
        <v>44804</v>
      </c>
      <c r="U3700" t="s">
        <v>48244</v>
      </c>
      <c r="V3700" t="s">
        <v>57261</v>
      </c>
      <c r="W3700" t="s">
        <v>58633</v>
      </c>
      <c r="X3700" t="s">
        <v>43172</v>
      </c>
    </row>
    <row r="3701" spans="1:24">
      <c r="A3701">
        <f>HYPERLINK("https://www.philgeps.gov.ph/GEPSNONPILOT/Tender/SplashBidNoticeAbstractUI.aspx?menuIndex=3&amp;refID=7082644&amp;Result=3","7082644")</f>
        <v>0</v>
      </c>
      <c r="B3701" t="s">
        <v>1356</v>
      </c>
      <c r="C3701" t="s">
        <v>6943</v>
      </c>
      <c r="D3701" t="s">
        <v>17445</v>
      </c>
      <c r="E3701" t="s">
        <v>20722</v>
      </c>
      <c r="F3701" t="s">
        <v>30052</v>
      </c>
      <c r="G3701" t="s">
        <v>30059</v>
      </c>
      <c r="H3701" t="s">
        <v>15498</v>
      </c>
      <c r="I3701" t="s">
        <v>30073</v>
      </c>
      <c r="J3701" t="s">
        <v>30256</v>
      </c>
      <c r="K3701" t="s">
        <v>39018</v>
      </c>
      <c r="M3701" t="s">
        <v>40725</v>
      </c>
      <c r="N3701" t="s">
        <v>43166</v>
      </c>
      <c r="O3701" t="s">
        <v>43167</v>
      </c>
      <c r="P3701">
        <v>0</v>
      </c>
      <c r="Q3701">
        <v>1</v>
      </c>
      <c r="R3701" t="s">
        <v>43171</v>
      </c>
      <c r="S3701" t="s">
        <v>43311</v>
      </c>
      <c r="T3701" t="s">
        <v>44695</v>
      </c>
      <c r="U3701" t="s">
        <v>47333</v>
      </c>
      <c r="W3701" t="s">
        <v>40725</v>
      </c>
      <c r="X3701" t="s">
        <v>43172</v>
      </c>
    </row>
    <row r="3702" spans="1:24">
      <c r="A3702">
        <f>HYPERLINK("https://www.philgeps.gov.ph/GEPSNONPILOT/Tender/SplashBidNoticeAbstractUI.aspx?menuIndex=3&amp;refID=7082544&amp;Result=3","7082544")</f>
        <v>0</v>
      </c>
      <c r="B3702" t="s">
        <v>1309</v>
      </c>
      <c r="C3702" t="s">
        <v>6944</v>
      </c>
      <c r="D3702" t="s">
        <v>17414</v>
      </c>
      <c r="E3702" t="s">
        <v>20723</v>
      </c>
      <c r="F3702" t="s">
        <v>30052</v>
      </c>
      <c r="G3702" t="s">
        <v>30058</v>
      </c>
      <c r="H3702" t="s">
        <v>15498</v>
      </c>
      <c r="I3702" t="s">
        <v>3606</v>
      </c>
      <c r="J3702" t="s">
        <v>32616</v>
      </c>
      <c r="K3702" t="s">
        <v>39029</v>
      </c>
      <c r="M3702" t="s">
        <v>40676</v>
      </c>
      <c r="N3702" t="s">
        <v>43166</v>
      </c>
      <c r="O3702" t="s">
        <v>43167</v>
      </c>
      <c r="P3702">
        <v>0</v>
      </c>
      <c r="Q3702">
        <v>3</v>
      </c>
      <c r="R3702" t="s">
        <v>43171</v>
      </c>
      <c r="S3702" t="s">
        <v>43311</v>
      </c>
      <c r="T3702" t="s">
        <v>44724</v>
      </c>
      <c r="U3702" t="s">
        <v>48245</v>
      </c>
      <c r="W3702" t="s">
        <v>40676</v>
      </c>
      <c r="X3702" t="s">
        <v>43172</v>
      </c>
    </row>
    <row r="3703" spans="1:24">
      <c r="A3703">
        <f>HYPERLINK("https://www.philgeps.gov.ph/GEPSNONPILOT/Tender/SplashBidNoticeAbstractUI.aspx?menuIndex=3&amp;refID=7082542&amp;Result=3","7082542")</f>
        <v>0</v>
      </c>
      <c r="B3703" t="s">
        <v>721</v>
      </c>
      <c r="C3703" t="s">
        <v>6945</v>
      </c>
      <c r="D3703" t="s">
        <v>17451</v>
      </c>
      <c r="E3703" t="s">
        <v>20724</v>
      </c>
      <c r="F3703" t="s">
        <v>30052</v>
      </c>
      <c r="G3703" t="s">
        <v>30058</v>
      </c>
      <c r="H3703" t="s">
        <v>30067</v>
      </c>
      <c r="I3703" t="s">
        <v>3693</v>
      </c>
      <c r="J3703" t="s">
        <v>32617</v>
      </c>
      <c r="K3703" t="s">
        <v>39034</v>
      </c>
      <c r="M3703" t="s">
        <v>40031</v>
      </c>
      <c r="N3703" t="s">
        <v>43166</v>
      </c>
      <c r="O3703" t="s">
        <v>43167</v>
      </c>
      <c r="P3703">
        <v>0</v>
      </c>
      <c r="Q3703">
        <v>0</v>
      </c>
      <c r="R3703" t="s">
        <v>43171</v>
      </c>
      <c r="S3703" t="s">
        <v>43311</v>
      </c>
      <c r="T3703" t="s">
        <v>44780</v>
      </c>
      <c r="U3703" t="s">
        <v>46563</v>
      </c>
      <c r="W3703" t="s">
        <v>40031</v>
      </c>
      <c r="X3703" t="s">
        <v>43172</v>
      </c>
    </row>
    <row r="3704" spans="1:24">
      <c r="A3704">
        <f>HYPERLINK("https://www.philgeps.gov.ph/GEPSNONPILOT/Tender/SplashBidNoticeAbstractUI.aspx?menuIndex=3&amp;refID=7082679&amp;Result=3","7082679")</f>
        <v>0</v>
      </c>
      <c r="B3704" t="s">
        <v>1309</v>
      </c>
      <c r="C3704" t="s">
        <v>6946</v>
      </c>
      <c r="D3704" t="s">
        <v>17414</v>
      </c>
      <c r="E3704" t="s">
        <v>20725</v>
      </c>
      <c r="F3704" t="s">
        <v>30052</v>
      </c>
      <c r="G3704" t="s">
        <v>30058</v>
      </c>
      <c r="H3704" t="s">
        <v>15498</v>
      </c>
      <c r="I3704" t="s">
        <v>30073</v>
      </c>
      <c r="J3704" t="s">
        <v>30227</v>
      </c>
      <c r="K3704" t="s">
        <v>39029</v>
      </c>
      <c r="M3704" t="s">
        <v>40676</v>
      </c>
      <c r="N3704" t="s">
        <v>43166</v>
      </c>
      <c r="O3704" t="s">
        <v>43167</v>
      </c>
      <c r="P3704">
        <v>0</v>
      </c>
      <c r="Q3704">
        <v>0</v>
      </c>
      <c r="R3704" t="s">
        <v>43171</v>
      </c>
      <c r="S3704" t="s">
        <v>43311</v>
      </c>
      <c r="T3704" t="s">
        <v>44724</v>
      </c>
      <c r="U3704" t="s">
        <v>48246</v>
      </c>
      <c r="W3704" t="s">
        <v>40676</v>
      </c>
      <c r="X3704" t="s">
        <v>43172</v>
      </c>
    </row>
    <row r="3705" spans="1:24">
      <c r="A3705">
        <f>HYPERLINK("https://www.philgeps.gov.ph/GEPSNONPILOT/Tender/SplashBidNoticeAbstractUI.aspx?menuIndex=3&amp;refID=7082611&amp;Result=3","7082611")</f>
        <v>0</v>
      </c>
      <c r="B3705" t="s">
        <v>684</v>
      </c>
      <c r="C3705" t="s">
        <v>6947</v>
      </c>
      <c r="D3705" t="s">
        <v>17473</v>
      </c>
      <c r="E3705" t="s">
        <v>6947</v>
      </c>
      <c r="F3705" t="s">
        <v>30052</v>
      </c>
      <c r="G3705" t="s">
        <v>30059</v>
      </c>
      <c r="H3705" t="s">
        <v>15498</v>
      </c>
      <c r="I3705" t="s">
        <v>8323</v>
      </c>
      <c r="J3705" t="s">
        <v>30358</v>
      </c>
      <c r="K3705" t="s">
        <v>39029</v>
      </c>
      <c r="M3705" t="s">
        <v>40718</v>
      </c>
      <c r="N3705" t="s">
        <v>43166</v>
      </c>
      <c r="O3705" t="s">
        <v>43167</v>
      </c>
      <c r="P3705">
        <v>0</v>
      </c>
      <c r="Q3705">
        <v>1</v>
      </c>
      <c r="R3705" t="s">
        <v>43171</v>
      </c>
      <c r="S3705" t="s">
        <v>43311</v>
      </c>
      <c r="T3705" t="s">
        <v>44822</v>
      </c>
      <c r="U3705" t="s">
        <v>48247</v>
      </c>
      <c r="W3705" t="s">
        <v>40718</v>
      </c>
      <c r="X3705" t="s">
        <v>43172</v>
      </c>
    </row>
    <row r="3706" spans="1:24">
      <c r="A3706">
        <f>HYPERLINK("https://www.philgeps.gov.ph/GEPSNONPILOT/Tender/SplashBidNoticeAbstractUI.aspx?menuIndex=3&amp;refID=7082690&amp;Result=3","7082690")</f>
        <v>0</v>
      </c>
      <c r="B3706" t="s">
        <v>1365</v>
      </c>
      <c r="C3706" t="s">
        <v>6948</v>
      </c>
      <c r="D3706" t="s">
        <v>17452</v>
      </c>
      <c r="E3706" t="s">
        <v>17540</v>
      </c>
      <c r="F3706" t="s">
        <v>30052</v>
      </c>
      <c r="G3706" t="s">
        <v>30058</v>
      </c>
      <c r="H3706" t="s">
        <v>15498</v>
      </c>
      <c r="I3706" t="s">
        <v>30074</v>
      </c>
      <c r="J3706" t="s">
        <v>30230</v>
      </c>
      <c r="K3706" t="s">
        <v>39017</v>
      </c>
      <c r="M3706" t="s">
        <v>40735</v>
      </c>
      <c r="N3706" t="s">
        <v>43166</v>
      </c>
      <c r="O3706" t="s">
        <v>43167</v>
      </c>
      <c r="P3706">
        <v>0</v>
      </c>
      <c r="Q3706">
        <v>1</v>
      </c>
      <c r="R3706" t="s">
        <v>43171</v>
      </c>
      <c r="S3706" t="s">
        <v>43311</v>
      </c>
      <c r="T3706" t="s">
        <v>44710</v>
      </c>
      <c r="U3706" t="s">
        <v>45564</v>
      </c>
      <c r="W3706" t="s">
        <v>40735</v>
      </c>
      <c r="X3706" t="s">
        <v>43172</v>
      </c>
    </row>
    <row r="3707" spans="1:24">
      <c r="A3707">
        <f>HYPERLINK("https://www.philgeps.gov.ph/GEPSNONPILOT/Tender/SplashBidNoticeAbstractUI.aspx?menuIndex=3&amp;refID=7082687&amp;Result=3","7082687")</f>
        <v>0</v>
      </c>
      <c r="B3707" t="s">
        <v>261</v>
      </c>
      <c r="C3707" t="s">
        <v>6949</v>
      </c>
      <c r="D3707" t="s">
        <v>17454</v>
      </c>
      <c r="E3707" t="s">
        <v>20726</v>
      </c>
      <c r="F3707" t="s">
        <v>30052</v>
      </c>
      <c r="G3707" t="s">
        <v>30061</v>
      </c>
      <c r="H3707" t="s">
        <v>15498</v>
      </c>
      <c r="I3707" t="s">
        <v>30143</v>
      </c>
      <c r="J3707" t="s">
        <v>30256</v>
      </c>
      <c r="K3707" t="s">
        <v>39017</v>
      </c>
      <c r="M3707" t="s">
        <v>39552</v>
      </c>
      <c r="N3707" t="s">
        <v>43166</v>
      </c>
      <c r="O3707" t="s">
        <v>43167</v>
      </c>
      <c r="P3707">
        <v>0</v>
      </c>
      <c r="Q3707">
        <v>1</v>
      </c>
      <c r="R3707" t="s">
        <v>43171</v>
      </c>
      <c r="S3707" t="s">
        <v>43311</v>
      </c>
      <c r="T3707" t="s">
        <v>44864</v>
      </c>
      <c r="U3707" t="s">
        <v>48248</v>
      </c>
      <c r="W3707" t="s">
        <v>39552</v>
      </c>
      <c r="X3707" t="s">
        <v>43172</v>
      </c>
    </row>
    <row r="3708" spans="1:24">
      <c r="A3708">
        <f>HYPERLINK("https://www.philgeps.gov.ph/GEPSNONPILOT/Tender/SplashBidNoticeAbstractUI.aspx?menuIndex=3&amp;refID=7082682&amp;Result=3","7082682")</f>
        <v>0</v>
      </c>
      <c r="B3708" t="s">
        <v>548</v>
      </c>
      <c r="C3708" t="s">
        <v>6950</v>
      </c>
      <c r="D3708" t="s">
        <v>17425</v>
      </c>
      <c r="E3708" t="s">
        <v>20610</v>
      </c>
      <c r="F3708" t="s">
        <v>30052</v>
      </c>
      <c r="G3708" t="s">
        <v>30059</v>
      </c>
      <c r="H3708" t="s">
        <v>15498</v>
      </c>
      <c r="I3708" t="s">
        <v>30083</v>
      </c>
      <c r="J3708" t="s">
        <v>32618</v>
      </c>
      <c r="K3708" t="s">
        <v>39017</v>
      </c>
      <c r="L3708" t="s">
        <v>548</v>
      </c>
      <c r="M3708" t="s">
        <v>39850</v>
      </c>
      <c r="N3708" t="s">
        <v>43166</v>
      </c>
      <c r="O3708" t="s">
        <v>43167</v>
      </c>
      <c r="P3708">
        <v>0</v>
      </c>
      <c r="Q3708">
        <v>0</v>
      </c>
      <c r="R3708" t="s">
        <v>43171</v>
      </c>
      <c r="S3708" t="s">
        <v>43311</v>
      </c>
      <c r="T3708" t="s">
        <v>44972</v>
      </c>
      <c r="U3708" t="s">
        <v>48249</v>
      </c>
      <c r="V3708" t="s">
        <v>57242</v>
      </c>
      <c r="W3708" t="s">
        <v>39850</v>
      </c>
      <c r="X3708" t="s">
        <v>43172</v>
      </c>
    </row>
    <row r="3709" spans="1:24">
      <c r="A3709">
        <f>HYPERLINK("https://www.philgeps.gov.ph/GEPSNONPILOT/Tender/SplashBidNoticeAbstractUI.aspx?menuIndex=3&amp;refID=7082622&amp;Result=3","7082622")</f>
        <v>0</v>
      </c>
      <c r="B3709" t="s">
        <v>1366</v>
      </c>
      <c r="C3709" t="s">
        <v>6951</v>
      </c>
      <c r="D3709" t="s">
        <v>17415</v>
      </c>
      <c r="E3709" t="s">
        <v>20727</v>
      </c>
      <c r="F3709" t="s">
        <v>30052</v>
      </c>
      <c r="G3709" t="s">
        <v>30059</v>
      </c>
      <c r="H3709" t="s">
        <v>15498</v>
      </c>
      <c r="I3709" t="s">
        <v>30136</v>
      </c>
      <c r="J3709" t="s">
        <v>32619</v>
      </c>
      <c r="K3709" t="s">
        <v>39019</v>
      </c>
      <c r="M3709" t="s">
        <v>40736</v>
      </c>
      <c r="N3709" t="s">
        <v>43166</v>
      </c>
      <c r="O3709" t="s">
        <v>43167</v>
      </c>
      <c r="P3709">
        <v>0</v>
      </c>
      <c r="Q3709">
        <v>0</v>
      </c>
      <c r="R3709" t="s">
        <v>43171</v>
      </c>
      <c r="S3709" t="s">
        <v>43311</v>
      </c>
      <c r="T3709" t="s">
        <v>44856</v>
      </c>
      <c r="U3709" t="s">
        <v>48250</v>
      </c>
      <c r="V3709" t="s">
        <v>57262</v>
      </c>
      <c r="W3709" t="s">
        <v>40736</v>
      </c>
      <c r="X3709" t="s">
        <v>43172</v>
      </c>
    </row>
    <row r="3710" spans="1:24">
      <c r="A3710">
        <f>HYPERLINK("https://www.philgeps.gov.ph/GEPSNONPILOT/Tender/SplashBidNoticeAbstractUI.aspx?menuIndex=3&amp;refID=7082680&amp;Result=3","7082680")</f>
        <v>0</v>
      </c>
      <c r="B3710" t="s">
        <v>1274</v>
      </c>
      <c r="C3710" t="s">
        <v>6952</v>
      </c>
      <c r="D3710" t="s">
        <v>17466</v>
      </c>
      <c r="E3710" t="s">
        <v>20728</v>
      </c>
      <c r="F3710" t="s">
        <v>30052</v>
      </c>
      <c r="G3710" t="s">
        <v>30059</v>
      </c>
      <c r="H3710" t="s">
        <v>15498</v>
      </c>
      <c r="I3710" t="s">
        <v>4650</v>
      </c>
      <c r="J3710" t="s">
        <v>30762</v>
      </c>
      <c r="K3710" t="s">
        <v>39039</v>
      </c>
      <c r="M3710" t="s">
        <v>40634</v>
      </c>
      <c r="N3710" t="s">
        <v>43166</v>
      </c>
      <c r="O3710" t="s">
        <v>43167</v>
      </c>
      <c r="P3710">
        <v>0</v>
      </c>
      <c r="Q3710">
        <v>0</v>
      </c>
      <c r="R3710" t="s">
        <v>43171</v>
      </c>
      <c r="S3710" t="s">
        <v>43311</v>
      </c>
      <c r="T3710" t="s">
        <v>44685</v>
      </c>
      <c r="U3710" t="s">
        <v>48251</v>
      </c>
      <c r="W3710" t="s">
        <v>40634</v>
      </c>
      <c r="X3710" t="s">
        <v>43172</v>
      </c>
    </row>
    <row r="3711" spans="1:24">
      <c r="A3711">
        <f>HYPERLINK("https://www.philgeps.gov.ph/GEPSNONPILOT/Tender/SplashBidNoticeAbstractUI.aspx?menuIndex=3&amp;refID=7082677&amp;Result=3","7082677")</f>
        <v>0</v>
      </c>
      <c r="B3711" t="s">
        <v>1155</v>
      </c>
      <c r="C3711" t="s">
        <v>6953</v>
      </c>
      <c r="D3711" t="s">
        <v>17449</v>
      </c>
      <c r="E3711" t="s">
        <v>20729</v>
      </c>
      <c r="F3711" t="s">
        <v>30052</v>
      </c>
      <c r="G3711" t="s">
        <v>30059</v>
      </c>
      <c r="H3711" t="s">
        <v>15498</v>
      </c>
      <c r="I3711" t="s">
        <v>30146</v>
      </c>
      <c r="J3711" t="s">
        <v>30905</v>
      </c>
      <c r="K3711" t="s">
        <v>39019</v>
      </c>
      <c r="M3711" t="s">
        <v>40499</v>
      </c>
      <c r="N3711" t="s">
        <v>43166</v>
      </c>
      <c r="O3711" t="s">
        <v>43167</v>
      </c>
      <c r="P3711">
        <v>0</v>
      </c>
      <c r="Q3711">
        <v>0</v>
      </c>
      <c r="R3711" t="s">
        <v>43171</v>
      </c>
      <c r="S3711" t="s">
        <v>43311</v>
      </c>
      <c r="T3711" t="s">
        <v>44721</v>
      </c>
      <c r="U3711" t="s">
        <v>47670</v>
      </c>
      <c r="V3711" t="s">
        <v>57180</v>
      </c>
      <c r="W3711" t="s">
        <v>40499</v>
      </c>
      <c r="X3711" t="s">
        <v>43172</v>
      </c>
    </row>
    <row r="3712" spans="1:24">
      <c r="A3712">
        <f>HYPERLINK("https://www.philgeps.gov.ph/GEPSNONPILOT/Tender/SplashBidNoticeAbstractUI.aspx?menuIndex=3&amp;refID=7082686&amp;Result=3","7082686")</f>
        <v>0</v>
      </c>
      <c r="B3712" t="s">
        <v>1209</v>
      </c>
      <c r="C3712" t="s">
        <v>6954</v>
      </c>
      <c r="D3712" t="s">
        <v>17454</v>
      </c>
      <c r="E3712" t="s">
        <v>20730</v>
      </c>
      <c r="F3712" t="s">
        <v>30055</v>
      </c>
      <c r="G3712" t="s">
        <v>30058</v>
      </c>
      <c r="H3712" t="s">
        <v>15498</v>
      </c>
      <c r="I3712" t="s">
        <v>3736</v>
      </c>
      <c r="J3712" t="s">
        <v>32620</v>
      </c>
      <c r="K3712" t="s">
        <v>39019</v>
      </c>
      <c r="M3712" t="s">
        <v>40563</v>
      </c>
      <c r="N3712" t="s">
        <v>43166</v>
      </c>
      <c r="O3712" t="s">
        <v>43167</v>
      </c>
      <c r="P3712">
        <v>0</v>
      </c>
      <c r="Q3712">
        <v>0</v>
      </c>
      <c r="R3712" t="s">
        <v>43171</v>
      </c>
      <c r="S3712" t="s">
        <v>43311</v>
      </c>
      <c r="T3712" t="s">
        <v>44722</v>
      </c>
      <c r="U3712" t="s">
        <v>48252</v>
      </c>
      <c r="W3712" t="s">
        <v>40563</v>
      </c>
      <c r="X3712" t="s">
        <v>43172</v>
      </c>
    </row>
    <row r="3713" spans="1:24">
      <c r="A3713">
        <f>HYPERLINK("https://www.philgeps.gov.ph/GEPSNONPILOT/Tender/SplashBidNoticeAbstractUI.aspx?menuIndex=3&amp;refID=7082684&amp;Result=3","7082684")</f>
        <v>0</v>
      </c>
      <c r="B3713" t="s">
        <v>1190</v>
      </c>
      <c r="C3713" t="s">
        <v>6955</v>
      </c>
      <c r="D3713" t="s">
        <v>17415</v>
      </c>
      <c r="E3713" t="s">
        <v>20731</v>
      </c>
      <c r="F3713" t="s">
        <v>30052</v>
      </c>
      <c r="G3713" t="s">
        <v>30059</v>
      </c>
      <c r="H3713" t="s">
        <v>15498</v>
      </c>
      <c r="I3713" t="s">
        <v>30075</v>
      </c>
      <c r="J3713" t="s">
        <v>30605</v>
      </c>
      <c r="K3713" t="s">
        <v>39025</v>
      </c>
      <c r="M3713" t="s">
        <v>40737</v>
      </c>
      <c r="N3713" t="s">
        <v>43166</v>
      </c>
      <c r="O3713" t="s">
        <v>43167</v>
      </c>
      <c r="P3713">
        <v>0</v>
      </c>
      <c r="Q3713">
        <v>4</v>
      </c>
      <c r="R3713" t="s">
        <v>43171</v>
      </c>
      <c r="S3713" t="s">
        <v>43311</v>
      </c>
      <c r="T3713" t="s">
        <v>44691</v>
      </c>
      <c r="U3713" t="s">
        <v>48253</v>
      </c>
      <c r="W3713" t="s">
        <v>40737</v>
      </c>
      <c r="X3713" t="s">
        <v>43172</v>
      </c>
    </row>
    <row r="3714" spans="1:24">
      <c r="A3714">
        <f>HYPERLINK("https://www.philgeps.gov.ph/GEPSNONPILOT/Tender/SplashBidNoticeAbstractUI.aspx?menuIndex=3&amp;refID=7082674&amp;Result=3","7082674")</f>
        <v>0</v>
      </c>
      <c r="B3714" t="s">
        <v>1258</v>
      </c>
      <c r="C3714" t="s">
        <v>6956</v>
      </c>
      <c r="D3714" t="s">
        <v>17494</v>
      </c>
      <c r="E3714" t="s">
        <v>17617</v>
      </c>
      <c r="F3714" t="s">
        <v>30052</v>
      </c>
      <c r="G3714" t="s">
        <v>30059</v>
      </c>
      <c r="H3714" t="s">
        <v>15498</v>
      </c>
      <c r="I3714" t="s">
        <v>30073</v>
      </c>
      <c r="J3714" t="s">
        <v>32621</v>
      </c>
      <c r="K3714" t="s">
        <v>39037</v>
      </c>
      <c r="M3714" t="s">
        <v>40615</v>
      </c>
      <c r="N3714" t="s">
        <v>43166</v>
      </c>
      <c r="O3714" t="s">
        <v>43167</v>
      </c>
      <c r="P3714">
        <v>0</v>
      </c>
      <c r="Q3714">
        <v>0</v>
      </c>
      <c r="R3714" t="s">
        <v>43171</v>
      </c>
      <c r="S3714" t="s">
        <v>43311</v>
      </c>
      <c r="T3714" t="s">
        <v>44856</v>
      </c>
      <c r="U3714" t="s">
        <v>48254</v>
      </c>
      <c r="W3714" t="s">
        <v>40615</v>
      </c>
      <c r="X3714" t="s">
        <v>43172</v>
      </c>
    </row>
    <row r="3715" spans="1:24">
      <c r="A3715">
        <f>HYPERLINK("https://www.philgeps.gov.ph/GEPSNONPILOT/Tender/SplashBidNoticeAbstractUI.aspx?menuIndex=3&amp;refID=7082668&amp;Result=3","7082668")</f>
        <v>0</v>
      </c>
      <c r="B3715" t="s">
        <v>1367</v>
      </c>
      <c r="C3715" t="s">
        <v>6957</v>
      </c>
      <c r="D3715" t="s">
        <v>17415</v>
      </c>
      <c r="E3715" t="s">
        <v>20732</v>
      </c>
      <c r="F3715" t="s">
        <v>30052</v>
      </c>
      <c r="G3715" t="s">
        <v>30061</v>
      </c>
      <c r="H3715" t="s">
        <v>15498</v>
      </c>
      <c r="I3715" t="s">
        <v>30084</v>
      </c>
      <c r="J3715" t="s">
        <v>31852</v>
      </c>
      <c r="K3715" t="s">
        <v>39017</v>
      </c>
      <c r="M3715" t="s">
        <v>40738</v>
      </c>
      <c r="N3715" t="s">
        <v>43166</v>
      </c>
      <c r="O3715" t="s">
        <v>43167</v>
      </c>
      <c r="P3715">
        <v>0</v>
      </c>
      <c r="Q3715">
        <v>7</v>
      </c>
      <c r="R3715" t="s">
        <v>43171</v>
      </c>
      <c r="S3715" t="s">
        <v>43311</v>
      </c>
      <c r="T3715" t="s">
        <v>44735</v>
      </c>
      <c r="U3715" t="s">
        <v>48255</v>
      </c>
      <c r="W3715" t="s">
        <v>40738</v>
      </c>
      <c r="X3715" t="s">
        <v>43172</v>
      </c>
    </row>
    <row r="3716" spans="1:24">
      <c r="A3716">
        <f>HYPERLINK("https://www.philgeps.gov.ph/GEPSNONPILOT/Tender/SplashBidNoticeAbstractUI.aspx?menuIndex=3&amp;refID=7082664&amp;Result=3","7082664")</f>
        <v>0</v>
      </c>
      <c r="B3716" t="s">
        <v>1368</v>
      </c>
      <c r="C3716" t="s">
        <v>6958</v>
      </c>
      <c r="D3716" t="s">
        <v>17492</v>
      </c>
      <c r="E3716" t="s">
        <v>18233</v>
      </c>
      <c r="F3716" t="s">
        <v>30052</v>
      </c>
      <c r="G3716" t="s">
        <v>30058</v>
      </c>
      <c r="H3716" t="s">
        <v>15498</v>
      </c>
      <c r="I3716" t="s">
        <v>30088</v>
      </c>
      <c r="J3716" t="s">
        <v>32622</v>
      </c>
      <c r="K3716" t="s">
        <v>39023</v>
      </c>
      <c r="M3716" t="s">
        <v>40739</v>
      </c>
      <c r="N3716" t="s">
        <v>43166</v>
      </c>
      <c r="O3716" t="s">
        <v>43167</v>
      </c>
      <c r="P3716">
        <v>0</v>
      </c>
      <c r="Q3716">
        <v>24</v>
      </c>
      <c r="R3716" t="s">
        <v>43171</v>
      </c>
      <c r="S3716" t="s">
        <v>43311</v>
      </c>
      <c r="T3716" t="s">
        <v>44680</v>
      </c>
      <c r="U3716" t="s">
        <v>48256</v>
      </c>
      <c r="W3716" t="s">
        <v>40739</v>
      </c>
      <c r="X3716" t="s">
        <v>43172</v>
      </c>
    </row>
    <row r="3717" spans="1:24">
      <c r="A3717">
        <f>HYPERLINK("https://www.philgeps.gov.ph/GEPSNONPILOT/Tender/SplashBidNoticeAbstractUI.aspx?menuIndex=3&amp;refID=7082657&amp;Result=3","7082657")</f>
        <v>0</v>
      </c>
      <c r="B3717" t="s">
        <v>1056</v>
      </c>
      <c r="C3717" t="s">
        <v>6959</v>
      </c>
      <c r="D3717" t="s">
        <v>17422</v>
      </c>
      <c r="E3717" t="s">
        <v>20733</v>
      </c>
      <c r="F3717" t="s">
        <v>30052</v>
      </c>
      <c r="G3717" t="s">
        <v>30059</v>
      </c>
      <c r="H3717" t="s">
        <v>15498</v>
      </c>
      <c r="I3717" t="s">
        <v>30182</v>
      </c>
      <c r="J3717" t="s">
        <v>32623</v>
      </c>
      <c r="K3717" t="s">
        <v>39017</v>
      </c>
      <c r="M3717" t="s">
        <v>40391</v>
      </c>
      <c r="N3717" t="s">
        <v>43166</v>
      </c>
      <c r="O3717" t="s">
        <v>43167</v>
      </c>
      <c r="P3717">
        <v>0</v>
      </c>
      <c r="Q3717">
        <v>5</v>
      </c>
      <c r="R3717" t="s">
        <v>43171</v>
      </c>
      <c r="S3717" t="s">
        <v>43311</v>
      </c>
      <c r="T3717" t="s">
        <v>44685</v>
      </c>
      <c r="U3717" t="s">
        <v>47430</v>
      </c>
      <c r="W3717" t="s">
        <v>40391</v>
      </c>
      <c r="X3717" t="s">
        <v>43172</v>
      </c>
    </row>
    <row r="3718" spans="1:24">
      <c r="A3718">
        <f>HYPERLINK("https://www.philgeps.gov.ph/GEPSNONPILOT/Tender/SplashBidNoticeAbstractUI.aspx?menuIndex=3&amp;refID=7082719&amp;Result=3","7082719")</f>
        <v>0</v>
      </c>
      <c r="B3718" t="s">
        <v>1369</v>
      </c>
      <c r="C3718" t="s">
        <v>6960</v>
      </c>
      <c r="D3718" t="s">
        <v>17439</v>
      </c>
      <c r="E3718" t="s">
        <v>20734</v>
      </c>
      <c r="F3718" t="s">
        <v>30052</v>
      </c>
      <c r="G3718" t="s">
        <v>30065</v>
      </c>
      <c r="H3718" t="s">
        <v>30068</v>
      </c>
      <c r="I3718" t="s">
        <v>30068</v>
      </c>
      <c r="J3718" t="s">
        <v>30338</v>
      </c>
      <c r="K3718" t="s">
        <v>39048</v>
      </c>
      <c r="M3718" t="s">
        <v>40740</v>
      </c>
      <c r="N3718" t="s">
        <v>43166</v>
      </c>
      <c r="O3718" t="s">
        <v>43167</v>
      </c>
      <c r="P3718">
        <v>0</v>
      </c>
      <c r="Q3718">
        <v>1</v>
      </c>
      <c r="R3718" t="s">
        <v>43171</v>
      </c>
      <c r="S3718" t="s">
        <v>43311</v>
      </c>
      <c r="T3718" t="s">
        <v>44732</v>
      </c>
      <c r="U3718" t="s">
        <v>48257</v>
      </c>
      <c r="W3718" t="s">
        <v>40740</v>
      </c>
      <c r="X3718" t="s">
        <v>43172</v>
      </c>
    </row>
    <row r="3719" spans="1:24">
      <c r="A3719">
        <f>HYPERLINK("https://www.philgeps.gov.ph/GEPSNONPILOT/Tender/SplashBidNoticeAbstractUI.aspx?menuIndex=3&amp;refID=7082671&amp;Result=3","7082671")</f>
        <v>0</v>
      </c>
      <c r="B3719" t="s">
        <v>854</v>
      </c>
      <c r="C3719" t="s">
        <v>6961</v>
      </c>
      <c r="E3719" t="s">
        <v>19293</v>
      </c>
      <c r="F3719" t="s">
        <v>30052</v>
      </c>
      <c r="G3719" t="s">
        <v>30058</v>
      </c>
      <c r="H3719" t="s">
        <v>30067</v>
      </c>
      <c r="I3719" t="s">
        <v>3693</v>
      </c>
      <c r="J3719" t="s">
        <v>32624</v>
      </c>
      <c r="K3719" t="s">
        <v>39031</v>
      </c>
      <c r="M3719" t="s">
        <v>40171</v>
      </c>
      <c r="N3719" t="s">
        <v>43166</v>
      </c>
      <c r="O3719" t="s">
        <v>43167</v>
      </c>
      <c r="P3719">
        <v>0</v>
      </c>
      <c r="Q3719">
        <v>1</v>
      </c>
      <c r="R3719" t="s">
        <v>43171</v>
      </c>
      <c r="S3719" t="s">
        <v>43311</v>
      </c>
      <c r="T3719" t="s">
        <v>44710</v>
      </c>
      <c r="U3719" t="s">
        <v>48258</v>
      </c>
      <c r="W3719" t="s">
        <v>40171</v>
      </c>
      <c r="X3719" t="s">
        <v>43172</v>
      </c>
    </row>
    <row r="3720" spans="1:24">
      <c r="A3720">
        <f>HYPERLINK("https://www.philgeps.gov.ph/GEPSNONPILOT/Tender/SplashBidNoticeAbstractUI.aspx?menuIndex=3&amp;refID=7082681&amp;Result=3","7082681")</f>
        <v>0</v>
      </c>
      <c r="B3720" t="s">
        <v>701</v>
      </c>
      <c r="C3720" t="s">
        <v>6962</v>
      </c>
      <c r="D3720" t="s">
        <v>17419</v>
      </c>
      <c r="E3720" t="s">
        <v>20735</v>
      </c>
      <c r="F3720" t="s">
        <v>30052</v>
      </c>
      <c r="G3720" t="s">
        <v>30059</v>
      </c>
      <c r="H3720" t="s">
        <v>15498</v>
      </c>
      <c r="I3720" t="s">
        <v>30073</v>
      </c>
      <c r="J3720" t="s">
        <v>32625</v>
      </c>
      <c r="K3720" t="s">
        <v>39025</v>
      </c>
      <c r="M3720" t="s">
        <v>40010</v>
      </c>
      <c r="N3720" t="s">
        <v>43166</v>
      </c>
      <c r="O3720" t="s">
        <v>43167</v>
      </c>
      <c r="P3720">
        <v>0</v>
      </c>
      <c r="Q3720">
        <v>0</v>
      </c>
      <c r="R3720" t="s">
        <v>43171</v>
      </c>
      <c r="S3720" t="s">
        <v>43311</v>
      </c>
      <c r="T3720" t="s">
        <v>44717</v>
      </c>
      <c r="U3720" t="s">
        <v>48259</v>
      </c>
      <c r="W3720" t="s">
        <v>40010</v>
      </c>
      <c r="X3720" t="s">
        <v>43172</v>
      </c>
    </row>
    <row r="3721" spans="1:24">
      <c r="A3721">
        <f>HYPERLINK("https://www.philgeps.gov.ph/GEPSNONPILOT/Tender/SplashBidNoticeAbstractUI.aspx?menuIndex=3&amp;refID=7082715&amp;Result=3","7082715")</f>
        <v>0</v>
      </c>
      <c r="B3721" t="s">
        <v>796</v>
      </c>
      <c r="C3721" t="s">
        <v>6963</v>
      </c>
      <c r="D3721" t="s">
        <v>17476</v>
      </c>
      <c r="E3721" t="s">
        <v>20736</v>
      </c>
      <c r="F3721" t="s">
        <v>30052</v>
      </c>
      <c r="G3721" t="s">
        <v>30059</v>
      </c>
      <c r="H3721" t="s">
        <v>30069</v>
      </c>
      <c r="I3721" t="s">
        <v>30076</v>
      </c>
      <c r="J3721" t="s">
        <v>31058</v>
      </c>
      <c r="K3721" t="s">
        <v>39034</v>
      </c>
      <c r="M3721" t="s">
        <v>40741</v>
      </c>
      <c r="N3721" t="s">
        <v>43166</v>
      </c>
      <c r="O3721" t="s">
        <v>43167</v>
      </c>
      <c r="P3721">
        <v>0</v>
      </c>
      <c r="Q3721">
        <v>0</v>
      </c>
      <c r="R3721" t="s">
        <v>43171</v>
      </c>
      <c r="S3721" t="s">
        <v>43311</v>
      </c>
      <c r="T3721" t="s">
        <v>44732</v>
      </c>
      <c r="U3721" t="s">
        <v>48260</v>
      </c>
      <c r="W3721" t="s">
        <v>40741</v>
      </c>
      <c r="X3721" t="s">
        <v>43172</v>
      </c>
    </row>
    <row r="3722" spans="1:24">
      <c r="A3722">
        <f>HYPERLINK("https://www.philgeps.gov.ph/GEPSNONPILOT/Tender/SplashBidNoticeAbstractUI.aspx?menuIndex=3&amp;refID=7082712&amp;Result=3","7082712")</f>
        <v>0</v>
      </c>
      <c r="B3722" t="s">
        <v>1361</v>
      </c>
      <c r="C3722" t="s">
        <v>6964</v>
      </c>
      <c r="D3722" t="s">
        <v>17484</v>
      </c>
      <c r="E3722" t="s">
        <v>17641</v>
      </c>
      <c r="F3722" t="s">
        <v>30052</v>
      </c>
      <c r="G3722" t="s">
        <v>30058</v>
      </c>
      <c r="H3722" t="s">
        <v>15498</v>
      </c>
      <c r="I3722" t="s">
        <v>30074</v>
      </c>
      <c r="J3722" t="s">
        <v>30215</v>
      </c>
      <c r="K3722" t="s">
        <v>39019</v>
      </c>
      <c r="M3722" t="s">
        <v>40730</v>
      </c>
      <c r="N3722" t="s">
        <v>43166</v>
      </c>
      <c r="O3722" t="s">
        <v>43167</v>
      </c>
      <c r="P3722">
        <v>0</v>
      </c>
      <c r="Q3722">
        <v>2</v>
      </c>
      <c r="R3722" t="s">
        <v>43171</v>
      </c>
      <c r="S3722" t="s">
        <v>43311</v>
      </c>
      <c r="T3722" t="s">
        <v>44724</v>
      </c>
      <c r="U3722" t="s">
        <v>48231</v>
      </c>
      <c r="W3722" t="s">
        <v>40730</v>
      </c>
      <c r="X3722" t="s">
        <v>43172</v>
      </c>
    </row>
    <row r="3723" spans="1:24">
      <c r="A3723">
        <f>HYPERLINK("https://www.philgeps.gov.ph/GEPSNONPILOT/Tender/SplashBidNoticeAbstractUI.aspx?menuIndex=3&amp;refID=7082708&amp;Result=3","7082708")</f>
        <v>0</v>
      </c>
      <c r="B3723" t="s">
        <v>1370</v>
      </c>
      <c r="C3723" t="s">
        <v>6965</v>
      </c>
      <c r="D3723" t="s">
        <v>17432</v>
      </c>
      <c r="E3723" t="s">
        <v>20737</v>
      </c>
      <c r="F3723" t="s">
        <v>30052</v>
      </c>
      <c r="G3723" t="s">
        <v>30058</v>
      </c>
      <c r="H3723" t="s">
        <v>15498</v>
      </c>
      <c r="I3723" t="s">
        <v>3736</v>
      </c>
      <c r="J3723" t="s">
        <v>32626</v>
      </c>
      <c r="K3723" t="s">
        <v>39034</v>
      </c>
      <c r="M3723" t="s">
        <v>40742</v>
      </c>
      <c r="N3723" t="s">
        <v>43166</v>
      </c>
      <c r="O3723" t="s">
        <v>43167</v>
      </c>
      <c r="P3723">
        <v>0</v>
      </c>
      <c r="Q3723">
        <v>0</v>
      </c>
      <c r="R3723" t="s">
        <v>43171</v>
      </c>
      <c r="S3723" t="s">
        <v>43311</v>
      </c>
      <c r="T3723" t="s">
        <v>44765</v>
      </c>
      <c r="U3723" t="s">
        <v>48261</v>
      </c>
      <c r="W3723" t="s">
        <v>40742</v>
      </c>
      <c r="X3723" t="s">
        <v>43172</v>
      </c>
    </row>
    <row r="3724" spans="1:24">
      <c r="A3724">
        <f>HYPERLINK("https://www.philgeps.gov.ph/GEPSNONPILOT/Tender/SplashBidNoticeAbstractUI.aspx?menuIndex=3&amp;refID=7082718&amp;Result=3","7082718")</f>
        <v>0</v>
      </c>
      <c r="B3724" t="s">
        <v>1353</v>
      </c>
      <c r="C3724" t="s">
        <v>4118</v>
      </c>
      <c r="D3724" t="s">
        <v>17465</v>
      </c>
      <c r="E3724" t="s">
        <v>20738</v>
      </c>
      <c r="F3724" t="s">
        <v>30052</v>
      </c>
      <c r="G3724" t="s">
        <v>30061</v>
      </c>
      <c r="H3724" t="s">
        <v>15498</v>
      </c>
      <c r="I3724" t="s">
        <v>30071</v>
      </c>
      <c r="J3724" t="s">
        <v>32627</v>
      </c>
      <c r="K3724" t="s">
        <v>39034</v>
      </c>
      <c r="M3724" t="s">
        <v>40722</v>
      </c>
      <c r="N3724" t="s">
        <v>43166</v>
      </c>
      <c r="O3724" t="s">
        <v>43167</v>
      </c>
      <c r="P3724">
        <v>0</v>
      </c>
      <c r="Q3724">
        <v>2</v>
      </c>
      <c r="R3724" t="s">
        <v>43171</v>
      </c>
      <c r="S3724" t="s">
        <v>43311</v>
      </c>
      <c r="T3724" t="s">
        <v>44843</v>
      </c>
      <c r="U3724" t="s">
        <v>45774</v>
      </c>
      <c r="W3724" t="s">
        <v>40722</v>
      </c>
      <c r="X3724" t="s">
        <v>43172</v>
      </c>
    </row>
    <row r="3725" spans="1:24">
      <c r="A3725">
        <f>HYPERLINK("https://www.philgeps.gov.ph/GEPSNONPILOT/Tender/SplashBidNoticeAbstractUI.aspx?menuIndex=3&amp;refID=7082717&amp;Result=3","7082717")</f>
        <v>0</v>
      </c>
      <c r="B3725" t="s">
        <v>1371</v>
      </c>
      <c r="C3725" t="s">
        <v>6966</v>
      </c>
      <c r="D3725" t="s">
        <v>17415</v>
      </c>
      <c r="E3725" t="s">
        <v>17602</v>
      </c>
      <c r="F3725" t="s">
        <v>30055</v>
      </c>
      <c r="G3725" t="s">
        <v>30058</v>
      </c>
      <c r="H3725" t="s">
        <v>15498</v>
      </c>
      <c r="I3725" t="s">
        <v>3852</v>
      </c>
      <c r="J3725" t="s">
        <v>32628</v>
      </c>
      <c r="K3725" t="s">
        <v>39029</v>
      </c>
      <c r="M3725" t="s">
        <v>40743</v>
      </c>
      <c r="N3725" t="s">
        <v>43166</v>
      </c>
      <c r="O3725" t="s">
        <v>43167</v>
      </c>
      <c r="P3725">
        <v>0</v>
      </c>
      <c r="Q3725">
        <v>0</v>
      </c>
      <c r="R3725" t="s">
        <v>43171</v>
      </c>
      <c r="S3725" t="s">
        <v>43311</v>
      </c>
      <c r="T3725" t="s">
        <v>44973</v>
      </c>
      <c r="U3725" t="s">
        <v>48262</v>
      </c>
      <c r="W3725" t="s">
        <v>40743</v>
      </c>
      <c r="X3725" t="s">
        <v>43172</v>
      </c>
    </row>
    <row r="3726" spans="1:24">
      <c r="A3726">
        <f>HYPERLINK("https://www.philgeps.gov.ph/GEPSNONPILOT/Tender/SplashBidNoticeAbstractUI.aspx?menuIndex=3&amp;refID=7082707&amp;Result=3","7082707")</f>
        <v>0</v>
      </c>
      <c r="B3726" t="s">
        <v>1356</v>
      </c>
      <c r="C3726" t="s">
        <v>6967</v>
      </c>
      <c r="D3726" t="s">
        <v>17445</v>
      </c>
      <c r="E3726" t="s">
        <v>20739</v>
      </c>
      <c r="F3726" t="s">
        <v>30052</v>
      </c>
      <c r="G3726" t="s">
        <v>30059</v>
      </c>
      <c r="H3726" t="s">
        <v>15498</v>
      </c>
      <c r="I3726" t="s">
        <v>30073</v>
      </c>
      <c r="J3726" t="s">
        <v>32629</v>
      </c>
      <c r="K3726" t="s">
        <v>39018</v>
      </c>
      <c r="M3726" t="s">
        <v>40725</v>
      </c>
      <c r="N3726" t="s">
        <v>43166</v>
      </c>
      <c r="O3726" t="s">
        <v>43167</v>
      </c>
      <c r="P3726">
        <v>0</v>
      </c>
      <c r="Q3726">
        <v>1</v>
      </c>
      <c r="R3726" t="s">
        <v>43171</v>
      </c>
      <c r="S3726" t="s">
        <v>43311</v>
      </c>
      <c r="T3726" t="s">
        <v>44695</v>
      </c>
      <c r="U3726" t="s">
        <v>48263</v>
      </c>
      <c r="W3726" t="s">
        <v>40725</v>
      </c>
      <c r="X3726" t="s">
        <v>43172</v>
      </c>
    </row>
    <row r="3727" spans="1:24">
      <c r="A3727">
        <f>HYPERLINK("https://www.philgeps.gov.ph/GEPSNONPILOT/Tender/SplashBidNoticeAbstractUI.aspx?menuIndex=3&amp;refID=7082704&amp;Result=3","7082704")</f>
        <v>0</v>
      </c>
      <c r="B3727" t="s">
        <v>1372</v>
      </c>
      <c r="C3727" t="s">
        <v>6968</v>
      </c>
      <c r="D3727" t="s">
        <v>17424</v>
      </c>
      <c r="E3727" t="s">
        <v>20740</v>
      </c>
      <c r="F3727" t="s">
        <v>30052</v>
      </c>
      <c r="G3727" t="s">
        <v>30058</v>
      </c>
      <c r="H3727" t="s">
        <v>30067</v>
      </c>
      <c r="I3727" t="s">
        <v>3693</v>
      </c>
      <c r="J3727" t="s">
        <v>32630</v>
      </c>
      <c r="K3727" t="s">
        <v>39023</v>
      </c>
      <c r="M3727" t="s">
        <v>40744</v>
      </c>
      <c r="N3727" t="s">
        <v>43166</v>
      </c>
      <c r="O3727" t="s">
        <v>43167</v>
      </c>
      <c r="P3727">
        <v>0</v>
      </c>
      <c r="Q3727">
        <v>6</v>
      </c>
      <c r="R3727" t="s">
        <v>43171</v>
      </c>
      <c r="S3727" t="s">
        <v>43311</v>
      </c>
      <c r="T3727" t="s">
        <v>44842</v>
      </c>
      <c r="U3727" t="s">
        <v>48264</v>
      </c>
      <c r="W3727" t="s">
        <v>40744</v>
      </c>
      <c r="X3727" t="s">
        <v>43172</v>
      </c>
    </row>
    <row r="3728" spans="1:24">
      <c r="A3728">
        <f>HYPERLINK("https://www.philgeps.gov.ph/GEPSNONPILOT/Tender/SplashBidNoticeAbstractUI.aspx?menuIndex=3&amp;refID=7082713&amp;Result=3","7082713")</f>
        <v>0</v>
      </c>
      <c r="B3728" t="s">
        <v>1294</v>
      </c>
      <c r="C3728" t="s">
        <v>6969</v>
      </c>
      <c r="D3728" t="s">
        <v>17466</v>
      </c>
      <c r="E3728" t="s">
        <v>20741</v>
      </c>
      <c r="F3728" t="s">
        <v>30052</v>
      </c>
      <c r="G3728" t="s">
        <v>30058</v>
      </c>
      <c r="H3728" t="s">
        <v>15498</v>
      </c>
      <c r="I3728" t="s">
        <v>30145</v>
      </c>
      <c r="J3728" t="s">
        <v>32631</v>
      </c>
      <c r="K3728" t="s">
        <v>39025</v>
      </c>
      <c r="M3728" t="s">
        <v>40660</v>
      </c>
      <c r="N3728" t="s">
        <v>43166</v>
      </c>
      <c r="O3728" t="s">
        <v>43167</v>
      </c>
      <c r="P3728">
        <v>0</v>
      </c>
      <c r="Q3728">
        <v>0</v>
      </c>
      <c r="R3728" t="s">
        <v>43171</v>
      </c>
      <c r="S3728" t="s">
        <v>43311</v>
      </c>
      <c r="T3728" t="s">
        <v>44796</v>
      </c>
      <c r="U3728" t="s">
        <v>48265</v>
      </c>
      <c r="W3728" t="s">
        <v>40660</v>
      </c>
      <c r="X3728" t="s">
        <v>43172</v>
      </c>
    </row>
    <row r="3729" spans="1:24">
      <c r="A3729">
        <f>HYPERLINK("https://www.philgeps.gov.ph/GEPSNONPILOT/Tender/SplashBidNoticeAbstractUI.aspx?menuIndex=3&amp;refID=7082746&amp;Result=3","7082746")</f>
        <v>0</v>
      </c>
      <c r="B3729" t="s">
        <v>1373</v>
      </c>
      <c r="C3729" t="s">
        <v>6970</v>
      </c>
      <c r="D3729" t="s">
        <v>17501</v>
      </c>
      <c r="E3729" t="s">
        <v>20742</v>
      </c>
      <c r="F3729" t="s">
        <v>30052</v>
      </c>
      <c r="G3729" t="s">
        <v>30059</v>
      </c>
      <c r="H3729" t="s">
        <v>15498</v>
      </c>
      <c r="I3729" t="s">
        <v>4119</v>
      </c>
      <c r="J3729" t="s">
        <v>32632</v>
      </c>
      <c r="K3729" t="s">
        <v>39029</v>
      </c>
      <c r="M3729" t="s">
        <v>40745</v>
      </c>
      <c r="N3729" t="s">
        <v>43166</v>
      </c>
      <c r="O3729" t="s">
        <v>43167</v>
      </c>
      <c r="P3729">
        <v>0</v>
      </c>
      <c r="Q3729">
        <v>2</v>
      </c>
      <c r="R3729" t="s">
        <v>43171</v>
      </c>
      <c r="S3729" t="s">
        <v>43311</v>
      </c>
      <c r="T3729" t="s">
        <v>44974</v>
      </c>
      <c r="U3729" t="s">
        <v>48266</v>
      </c>
      <c r="W3729" t="s">
        <v>58637</v>
      </c>
      <c r="X3729" t="s">
        <v>43172</v>
      </c>
    </row>
    <row r="3730" spans="1:24">
      <c r="A3730">
        <f>HYPERLINK("https://www.philgeps.gov.ph/GEPSNONPILOT/Tender/SplashBidNoticeAbstractUI.aspx?menuIndex=3&amp;refID=7082753&amp;Result=3","7082753")</f>
        <v>0</v>
      </c>
      <c r="B3730" t="s">
        <v>1059</v>
      </c>
      <c r="C3730" t="s">
        <v>6971</v>
      </c>
      <c r="D3730" t="s">
        <v>17432</v>
      </c>
      <c r="E3730" t="s">
        <v>20743</v>
      </c>
      <c r="F3730" t="s">
        <v>30052</v>
      </c>
      <c r="G3730" t="s">
        <v>30059</v>
      </c>
      <c r="H3730" t="s">
        <v>15498</v>
      </c>
      <c r="I3730" t="s">
        <v>6691</v>
      </c>
      <c r="J3730" t="s">
        <v>32633</v>
      </c>
      <c r="K3730" t="s">
        <v>39034</v>
      </c>
      <c r="M3730" t="s">
        <v>40746</v>
      </c>
      <c r="N3730" t="s">
        <v>43166</v>
      </c>
      <c r="O3730" t="s">
        <v>43167</v>
      </c>
      <c r="P3730">
        <v>0</v>
      </c>
      <c r="Q3730">
        <v>0</v>
      </c>
      <c r="R3730" t="s">
        <v>43171</v>
      </c>
      <c r="S3730" t="s">
        <v>43311</v>
      </c>
      <c r="T3730" t="s">
        <v>44843</v>
      </c>
      <c r="U3730" t="s">
        <v>48267</v>
      </c>
      <c r="V3730" t="s">
        <v>57263</v>
      </c>
      <c r="W3730" t="s">
        <v>40746</v>
      </c>
      <c r="X3730" t="s">
        <v>43172</v>
      </c>
    </row>
    <row r="3731" spans="1:24">
      <c r="A3731">
        <f>HYPERLINK("https://www.philgeps.gov.ph/GEPSNONPILOT/Tender/SplashBidNoticeAbstractUI.aspx?menuIndex=3&amp;refID=7082634&amp;Result=3","7082634")</f>
        <v>0</v>
      </c>
      <c r="B3731" t="s">
        <v>141</v>
      </c>
      <c r="C3731" t="s">
        <v>6972</v>
      </c>
      <c r="D3731" t="s">
        <v>17447</v>
      </c>
      <c r="E3731" t="s">
        <v>20744</v>
      </c>
      <c r="F3731" t="s">
        <v>30052</v>
      </c>
      <c r="G3731" t="s">
        <v>30059</v>
      </c>
      <c r="H3731" t="s">
        <v>15498</v>
      </c>
      <c r="I3731" t="s">
        <v>30098</v>
      </c>
      <c r="J3731" t="s">
        <v>32634</v>
      </c>
      <c r="K3731" t="s">
        <v>39019</v>
      </c>
      <c r="M3731" t="s">
        <v>40747</v>
      </c>
      <c r="N3731" t="s">
        <v>43166</v>
      </c>
      <c r="O3731" t="s">
        <v>43167</v>
      </c>
      <c r="P3731">
        <v>0</v>
      </c>
      <c r="Q3731">
        <v>6</v>
      </c>
      <c r="R3731" t="s">
        <v>43171</v>
      </c>
      <c r="S3731" t="s">
        <v>43311</v>
      </c>
      <c r="T3731" t="s">
        <v>44773</v>
      </c>
      <c r="U3731" t="s">
        <v>48268</v>
      </c>
      <c r="W3731" t="s">
        <v>40747</v>
      </c>
      <c r="X3731" t="s">
        <v>43172</v>
      </c>
    </row>
    <row r="3732" spans="1:24">
      <c r="A3732">
        <f>HYPERLINK("https://www.philgeps.gov.ph/GEPSNONPILOT/Tender/SplashBidNoticeAbstractUI.aspx?menuIndex=3&amp;refID=7082705&amp;Result=3","7082705")</f>
        <v>0</v>
      </c>
      <c r="B3732" t="s">
        <v>1155</v>
      </c>
      <c r="C3732" t="s">
        <v>6973</v>
      </c>
      <c r="D3732" t="s">
        <v>17449</v>
      </c>
      <c r="E3732" t="s">
        <v>20745</v>
      </c>
      <c r="F3732" t="s">
        <v>30052</v>
      </c>
      <c r="G3732" t="s">
        <v>30059</v>
      </c>
      <c r="H3732" t="s">
        <v>15498</v>
      </c>
      <c r="I3732" t="s">
        <v>4119</v>
      </c>
      <c r="J3732" t="s">
        <v>30891</v>
      </c>
      <c r="K3732" t="s">
        <v>39019</v>
      </c>
      <c r="M3732" t="s">
        <v>40499</v>
      </c>
      <c r="N3732" t="s">
        <v>43166</v>
      </c>
      <c r="O3732" t="s">
        <v>43167</v>
      </c>
      <c r="P3732">
        <v>0</v>
      </c>
      <c r="Q3732">
        <v>0</v>
      </c>
      <c r="R3732" t="s">
        <v>43171</v>
      </c>
      <c r="S3732" t="s">
        <v>43311</v>
      </c>
      <c r="T3732" t="s">
        <v>44721</v>
      </c>
      <c r="U3732" t="s">
        <v>47670</v>
      </c>
      <c r="V3732" t="s">
        <v>57180</v>
      </c>
      <c r="W3732" t="s">
        <v>40499</v>
      </c>
      <c r="X3732" t="s">
        <v>43172</v>
      </c>
    </row>
    <row r="3733" spans="1:24">
      <c r="A3733">
        <f>HYPERLINK("https://www.philgeps.gov.ph/GEPSNONPILOT/Tender/SplashBidNoticeAbstractUI.aspx?menuIndex=3&amp;refID=7082703&amp;Result=3","7082703")</f>
        <v>0</v>
      </c>
      <c r="B3733" t="s">
        <v>1353</v>
      </c>
      <c r="C3733" t="s">
        <v>4125</v>
      </c>
      <c r="D3733" t="s">
        <v>17465</v>
      </c>
      <c r="E3733" t="s">
        <v>20746</v>
      </c>
      <c r="F3733" t="s">
        <v>30052</v>
      </c>
      <c r="G3733" t="s">
        <v>30061</v>
      </c>
      <c r="H3733" t="s">
        <v>15498</v>
      </c>
      <c r="I3733" t="s">
        <v>4119</v>
      </c>
      <c r="J3733" t="s">
        <v>32635</v>
      </c>
      <c r="K3733" t="s">
        <v>39034</v>
      </c>
      <c r="M3733" t="s">
        <v>40722</v>
      </c>
      <c r="N3733" t="s">
        <v>43166</v>
      </c>
      <c r="O3733" t="s">
        <v>43167</v>
      </c>
      <c r="P3733">
        <v>0</v>
      </c>
      <c r="Q3733">
        <v>5</v>
      </c>
      <c r="R3733" t="s">
        <v>43171</v>
      </c>
      <c r="S3733" t="s">
        <v>43311</v>
      </c>
      <c r="T3733" t="s">
        <v>44843</v>
      </c>
      <c r="U3733" t="s">
        <v>45782</v>
      </c>
      <c r="W3733" t="s">
        <v>40722</v>
      </c>
      <c r="X3733" t="s">
        <v>43172</v>
      </c>
    </row>
    <row r="3734" spans="1:24">
      <c r="A3734">
        <f>HYPERLINK("https://www.philgeps.gov.ph/GEPSNONPILOT/Tender/SplashBidNoticeAbstractUI.aspx?menuIndex=3&amp;refID=7082750&amp;Result=3","7082750")</f>
        <v>0</v>
      </c>
      <c r="B3734" t="s">
        <v>1209</v>
      </c>
      <c r="C3734" t="s">
        <v>6974</v>
      </c>
      <c r="D3734" t="s">
        <v>17454</v>
      </c>
      <c r="E3734" t="s">
        <v>20747</v>
      </c>
      <c r="F3734" t="s">
        <v>30055</v>
      </c>
      <c r="G3734" t="s">
        <v>30058</v>
      </c>
      <c r="H3734" t="s">
        <v>15498</v>
      </c>
      <c r="I3734" t="s">
        <v>3736</v>
      </c>
      <c r="J3734" t="s">
        <v>32636</v>
      </c>
      <c r="K3734" t="s">
        <v>39019</v>
      </c>
      <c r="M3734" t="s">
        <v>40563</v>
      </c>
      <c r="N3734" t="s">
        <v>43166</v>
      </c>
      <c r="O3734" t="s">
        <v>43167</v>
      </c>
      <c r="P3734">
        <v>0</v>
      </c>
      <c r="Q3734">
        <v>0</v>
      </c>
      <c r="R3734" t="s">
        <v>43171</v>
      </c>
      <c r="S3734" t="s">
        <v>43311</v>
      </c>
      <c r="T3734" t="s">
        <v>44722</v>
      </c>
      <c r="U3734" t="s">
        <v>48269</v>
      </c>
      <c r="W3734" t="s">
        <v>40563</v>
      </c>
      <c r="X3734" t="s">
        <v>43172</v>
      </c>
    </row>
    <row r="3735" spans="1:24">
      <c r="A3735">
        <f>HYPERLINK("https://www.philgeps.gov.ph/GEPSNONPILOT/Tender/SplashBidNoticeAbstractUI.aspx?menuIndex=3&amp;refID=7082749&amp;Result=3","7082749")</f>
        <v>0</v>
      </c>
      <c r="B3735" t="s">
        <v>1190</v>
      </c>
      <c r="C3735" t="s">
        <v>6975</v>
      </c>
      <c r="D3735" t="s">
        <v>17415</v>
      </c>
      <c r="E3735" t="s">
        <v>20748</v>
      </c>
      <c r="F3735" t="s">
        <v>30052</v>
      </c>
      <c r="G3735" t="s">
        <v>30059</v>
      </c>
      <c r="H3735" t="s">
        <v>15498</v>
      </c>
      <c r="I3735" t="s">
        <v>30096</v>
      </c>
      <c r="J3735" t="s">
        <v>30900</v>
      </c>
      <c r="K3735" t="s">
        <v>39025</v>
      </c>
      <c r="M3735" t="s">
        <v>40737</v>
      </c>
      <c r="N3735" t="s">
        <v>43166</v>
      </c>
      <c r="O3735" t="s">
        <v>43167</v>
      </c>
      <c r="P3735">
        <v>0</v>
      </c>
      <c r="Q3735">
        <v>3</v>
      </c>
      <c r="R3735" t="s">
        <v>43171</v>
      </c>
      <c r="S3735" t="s">
        <v>43311</v>
      </c>
      <c r="T3735" t="s">
        <v>44691</v>
      </c>
      <c r="U3735" t="s">
        <v>48270</v>
      </c>
      <c r="W3735" t="s">
        <v>40737</v>
      </c>
      <c r="X3735" t="s">
        <v>43172</v>
      </c>
    </row>
    <row r="3736" spans="1:24">
      <c r="A3736">
        <f>HYPERLINK("https://www.philgeps.gov.ph/GEPSNONPILOT/Tender/SplashBidNoticeAbstractUI.aspx?menuIndex=3&amp;refID=7082748&amp;Result=3","7082748")</f>
        <v>0</v>
      </c>
      <c r="B3736" t="s">
        <v>1172</v>
      </c>
      <c r="C3736" t="s">
        <v>6976</v>
      </c>
      <c r="D3736" t="s">
        <v>17466</v>
      </c>
      <c r="E3736" t="s">
        <v>20749</v>
      </c>
      <c r="F3736" t="s">
        <v>30052</v>
      </c>
      <c r="G3736" t="s">
        <v>30058</v>
      </c>
      <c r="H3736" t="s">
        <v>15498</v>
      </c>
      <c r="I3736" t="s">
        <v>3606</v>
      </c>
      <c r="J3736" t="s">
        <v>32637</v>
      </c>
      <c r="K3736" t="s">
        <v>39037</v>
      </c>
      <c r="M3736" t="s">
        <v>40520</v>
      </c>
      <c r="N3736" t="s">
        <v>43166</v>
      </c>
      <c r="O3736" t="s">
        <v>43167</v>
      </c>
      <c r="P3736">
        <v>0</v>
      </c>
      <c r="Q3736">
        <v>2</v>
      </c>
      <c r="R3736" t="s">
        <v>43171</v>
      </c>
      <c r="S3736" t="s">
        <v>43311</v>
      </c>
      <c r="T3736" t="s">
        <v>44835</v>
      </c>
      <c r="U3736" t="s">
        <v>48176</v>
      </c>
      <c r="W3736" t="s">
        <v>58626</v>
      </c>
      <c r="X3736" t="s">
        <v>43172</v>
      </c>
    </row>
    <row r="3737" spans="1:24">
      <c r="A3737">
        <f>HYPERLINK("https://www.philgeps.gov.ph/GEPSNONPILOT/Tender/SplashBidNoticeAbstractUI.aspx?menuIndex=3&amp;refID=7082747&amp;Result=3","7082747")</f>
        <v>0</v>
      </c>
      <c r="B3737" t="s">
        <v>1374</v>
      </c>
      <c r="C3737" t="s">
        <v>6977</v>
      </c>
      <c r="D3737" t="s">
        <v>17459</v>
      </c>
      <c r="E3737" t="s">
        <v>20750</v>
      </c>
      <c r="F3737" t="s">
        <v>30052</v>
      </c>
      <c r="G3737" t="s">
        <v>30058</v>
      </c>
      <c r="H3737" t="s">
        <v>15498</v>
      </c>
      <c r="I3737" t="s">
        <v>30125</v>
      </c>
      <c r="J3737" t="s">
        <v>30350</v>
      </c>
      <c r="K3737" t="s">
        <v>39018</v>
      </c>
      <c r="M3737" t="s">
        <v>40748</v>
      </c>
      <c r="N3737" t="s">
        <v>43166</v>
      </c>
      <c r="O3737" t="s">
        <v>43167</v>
      </c>
      <c r="P3737">
        <v>0</v>
      </c>
      <c r="Q3737">
        <v>1</v>
      </c>
      <c r="R3737" t="s">
        <v>43171</v>
      </c>
      <c r="S3737" t="s">
        <v>43311</v>
      </c>
      <c r="T3737" t="s">
        <v>44724</v>
      </c>
      <c r="U3737" t="s">
        <v>48271</v>
      </c>
      <c r="W3737" t="s">
        <v>40748</v>
      </c>
      <c r="X3737" t="s">
        <v>43172</v>
      </c>
    </row>
    <row r="3738" spans="1:24">
      <c r="A3738">
        <f>HYPERLINK("https://www.philgeps.gov.ph/GEPSNONPILOT/Tender/SplashBidNoticeAbstractUI.aspx?menuIndex=3&amp;refID=7082745&amp;Result=3","7082745")</f>
        <v>0</v>
      </c>
      <c r="B3738" t="s">
        <v>1151</v>
      </c>
      <c r="C3738" t="s">
        <v>6978</v>
      </c>
      <c r="D3738" t="s">
        <v>17472</v>
      </c>
      <c r="E3738" t="s">
        <v>20751</v>
      </c>
      <c r="F3738" t="s">
        <v>30052</v>
      </c>
      <c r="G3738" t="s">
        <v>30061</v>
      </c>
      <c r="H3738" t="s">
        <v>15498</v>
      </c>
      <c r="I3738" t="s">
        <v>30175</v>
      </c>
      <c r="J3738" t="s">
        <v>30230</v>
      </c>
      <c r="K3738" t="s">
        <v>39029</v>
      </c>
      <c r="M3738" t="s">
        <v>40495</v>
      </c>
      <c r="N3738" t="s">
        <v>43166</v>
      </c>
      <c r="O3738" t="s">
        <v>43167</v>
      </c>
      <c r="P3738">
        <v>0</v>
      </c>
      <c r="Q3738">
        <v>1</v>
      </c>
      <c r="R3738" t="s">
        <v>43171</v>
      </c>
      <c r="S3738" t="s">
        <v>43311</v>
      </c>
      <c r="T3738" t="s">
        <v>44691</v>
      </c>
      <c r="U3738" t="s">
        <v>48272</v>
      </c>
      <c r="W3738" t="s">
        <v>40495</v>
      </c>
      <c r="X3738" t="s">
        <v>43172</v>
      </c>
    </row>
    <row r="3739" spans="1:24">
      <c r="A3739">
        <f>HYPERLINK("https://www.philgeps.gov.ph/GEPSNONPILOT/Tender/SplashBidNoticeAbstractUI.aspx?menuIndex=3&amp;refID=7082743&amp;Result=3","7082743")</f>
        <v>0</v>
      </c>
      <c r="B3739" t="s">
        <v>799</v>
      </c>
      <c r="C3739" t="s">
        <v>6979</v>
      </c>
      <c r="D3739" t="s">
        <v>17423</v>
      </c>
      <c r="E3739" t="s">
        <v>20752</v>
      </c>
      <c r="F3739" t="s">
        <v>30052</v>
      </c>
      <c r="G3739" t="s">
        <v>30058</v>
      </c>
      <c r="H3739" t="s">
        <v>15498</v>
      </c>
      <c r="I3739" t="s">
        <v>30120</v>
      </c>
      <c r="J3739" t="s">
        <v>30343</v>
      </c>
      <c r="K3739" t="s">
        <v>39034</v>
      </c>
      <c r="M3739" t="s">
        <v>40116</v>
      </c>
      <c r="N3739" t="s">
        <v>43166</v>
      </c>
      <c r="O3739" t="s">
        <v>43167</v>
      </c>
      <c r="P3739">
        <v>0</v>
      </c>
      <c r="Q3739">
        <v>3</v>
      </c>
      <c r="R3739" t="s">
        <v>43171</v>
      </c>
      <c r="S3739" t="s">
        <v>43311</v>
      </c>
      <c r="T3739" t="s">
        <v>44710</v>
      </c>
      <c r="U3739" t="s">
        <v>48273</v>
      </c>
      <c r="V3739" t="s">
        <v>57264</v>
      </c>
      <c r="W3739" t="s">
        <v>40116</v>
      </c>
      <c r="X3739" t="s">
        <v>43172</v>
      </c>
    </row>
    <row r="3740" spans="1:24">
      <c r="A3740">
        <f>HYPERLINK("https://www.philgeps.gov.ph/GEPSNONPILOT/Tender/SplashBidNoticeAbstractUI.aspx?menuIndex=3&amp;refID=7082742&amp;Result=3","7082742")</f>
        <v>0</v>
      </c>
      <c r="B3740" t="s">
        <v>1134</v>
      </c>
      <c r="C3740" t="s">
        <v>6980</v>
      </c>
      <c r="D3740" t="s">
        <v>17459</v>
      </c>
      <c r="E3740" t="s">
        <v>20753</v>
      </c>
      <c r="F3740" t="s">
        <v>30052</v>
      </c>
      <c r="G3740" t="s">
        <v>30058</v>
      </c>
      <c r="H3740" t="s">
        <v>15498</v>
      </c>
      <c r="I3740" t="s">
        <v>3606</v>
      </c>
      <c r="J3740" t="s">
        <v>32638</v>
      </c>
      <c r="K3740" t="s">
        <v>39029</v>
      </c>
      <c r="M3740" t="s">
        <v>40749</v>
      </c>
      <c r="N3740" t="s">
        <v>43166</v>
      </c>
      <c r="O3740" t="s">
        <v>43167</v>
      </c>
      <c r="P3740">
        <v>0</v>
      </c>
      <c r="Q3740">
        <v>1</v>
      </c>
      <c r="R3740" t="s">
        <v>43171</v>
      </c>
      <c r="S3740" t="s">
        <v>43311</v>
      </c>
      <c r="T3740" t="s">
        <v>44722</v>
      </c>
      <c r="U3740" t="s">
        <v>48274</v>
      </c>
      <c r="V3740" t="s">
        <v>57265</v>
      </c>
      <c r="W3740" t="s">
        <v>40749</v>
      </c>
      <c r="X3740" t="s">
        <v>43172</v>
      </c>
    </row>
    <row r="3741" spans="1:24">
      <c r="A3741">
        <f>HYPERLINK("https://www.philgeps.gov.ph/GEPSNONPILOT/Tender/SplashBidNoticeAbstractUI.aspx?menuIndex=3&amp;refID=7082741&amp;Result=3","7082741")</f>
        <v>0</v>
      </c>
      <c r="B3741" t="s">
        <v>1375</v>
      </c>
      <c r="C3741" t="s">
        <v>6981</v>
      </c>
      <c r="D3741" t="s">
        <v>17476</v>
      </c>
      <c r="E3741" t="s">
        <v>18952</v>
      </c>
      <c r="F3741" t="s">
        <v>30052</v>
      </c>
      <c r="G3741" t="s">
        <v>30058</v>
      </c>
      <c r="H3741" t="s">
        <v>30067</v>
      </c>
      <c r="I3741" t="s">
        <v>3693</v>
      </c>
      <c r="J3741" t="s">
        <v>32639</v>
      </c>
      <c r="K3741" t="s">
        <v>39023</v>
      </c>
      <c r="M3741" t="s">
        <v>40750</v>
      </c>
      <c r="N3741" t="s">
        <v>43166</v>
      </c>
      <c r="O3741" t="s">
        <v>43167</v>
      </c>
      <c r="P3741">
        <v>0</v>
      </c>
      <c r="Q3741">
        <v>0</v>
      </c>
      <c r="R3741" t="s">
        <v>43171</v>
      </c>
      <c r="S3741" t="s">
        <v>43311</v>
      </c>
      <c r="T3741" t="s">
        <v>44693</v>
      </c>
      <c r="U3741" t="s">
        <v>48275</v>
      </c>
      <c r="V3741" t="s">
        <v>57266</v>
      </c>
      <c r="W3741" t="s">
        <v>40750</v>
      </c>
      <c r="X3741" t="s">
        <v>43172</v>
      </c>
    </row>
    <row r="3742" spans="1:24">
      <c r="A3742">
        <f>HYPERLINK("https://www.philgeps.gov.ph/GEPSNONPILOT/Tender/SplashBidNoticeAbstractUI.aspx?menuIndex=3&amp;refID=7082734&amp;Result=3","7082734")</f>
        <v>0</v>
      </c>
      <c r="B3742" t="s">
        <v>1349</v>
      </c>
      <c r="C3742" t="s">
        <v>6982</v>
      </c>
      <c r="D3742" t="s">
        <v>17447</v>
      </c>
      <c r="E3742" t="s">
        <v>20754</v>
      </c>
      <c r="F3742" t="s">
        <v>30052</v>
      </c>
      <c r="G3742" t="s">
        <v>30061</v>
      </c>
      <c r="H3742" t="s">
        <v>15498</v>
      </c>
      <c r="I3742" t="s">
        <v>4650</v>
      </c>
      <c r="J3742" t="s">
        <v>32640</v>
      </c>
      <c r="K3742" t="s">
        <v>39017</v>
      </c>
      <c r="M3742" t="s">
        <v>40717</v>
      </c>
      <c r="N3742" t="s">
        <v>43166</v>
      </c>
      <c r="O3742" t="s">
        <v>43167</v>
      </c>
      <c r="P3742">
        <v>0</v>
      </c>
      <c r="Q3742">
        <v>0</v>
      </c>
      <c r="R3742" t="s">
        <v>43171</v>
      </c>
      <c r="S3742" t="s">
        <v>43311</v>
      </c>
      <c r="T3742" t="s">
        <v>44734</v>
      </c>
      <c r="U3742" t="s">
        <v>48276</v>
      </c>
      <c r="W3742" t="s">
        <v>40717</v>
      </c>
      <c r="X3742" t="s">
        <v>43172</v>
      </c>
    </row>
    <row r="3743" spans="1:24">
      <c r="A3743">
        <f>HYPERLINK("https://www.philgeps.gov.ph/GEPSNONPILOT/Tender/SplashBidNoticeAbstractUI.aspx?menuIndex=3&amp;refID=7082731&amp;Result=3","7082731")</f>
        <v>0</v>
      </c>
      <c r="B3743" t="s">
        <v>1309</v>
      </c>
      <c r="C3743" t="s">
        <v>6983</v>
      </c>
      <c r="D3743" t="s">
        <v>17414</v>
      </c>
      <c r="E3743" t="s">
        <v>20755</v>
      </c>
      <c r="F3743" t="s">
        <v>30052</v>
      </c>
      <c r="G3743" t="s">
        <v>30058</v>
      </c>
      <c r="H3743" t="s">
        <v>15498</v>
      </c>
      <c r="I3743" t="s">
        <v>4598</v>
      </c>
      <c r="J3743" t="s">
        <v>32641</v>
      </c>
      <c r="K3743" t="s">
        <v>39029</v>
      </c>
      <c r="M3743" t="s">
        <v>40676</v>
      </c>
      <c r="N3743" t="s">
        <v>43166</v>
      </c>
      <c r="O3743" t="s">
        <v>43167</v>
      </c>
      <c r="P3743">
        <v>0</v>
      </c>
      <c r="Q3743">
        <v>2</v>
      </c>
      <c r="R3743" t="s">
        <v>43171</v>
      </c>
      <c r="S3743" t="s">
        <v>43311</v>
      </c>
      <c r="T3743" t="s">
        <v>44679</v>
      </c>
      <c r="U3743" t="s">
        <v>48277</v>
      </c>
      <c r="W3743" t="s">
        <v>40676</v>
      </c>
      <c r="X3743" t="s">
        <v>43172</v>
      </c>
    </row>
    <row r="3744" spans="1:24">
      <c r="A3744">
        <f>HYPERLINK("https://www.philgeps.gov.ph/GEPSNONPILOT/Tender/SplashBidNoticeAbstractUI.aspx?menuIndex=3&amp;refID=7082730&amp;Result=3","7082730")</f>
        <v>0</v>
      </c>
      <c r="B3744" t="s">
        <v>1056</v>
      </c>
      <c r="C3744" t="s">
        <v>6984</v>
      </c>
      <c r="D3744" t="s">
        <v>17422</v>
      </c>
      <c r="E3744" t="s">
        <v>20756</v>
      </c>
      <c r="F3744" t="s">
        <v>30052</v>
      </c>
      <c r="G3744" t="s">
        <v>30062</v>
      </c>
      <c r="H3744" t="s">
        <v>15498</v>
      </c>
      <c r="I3744" t="s">
        <v>30098</v>
      </c>
      <c r="J3744" t="s">
        <v>30447</v>
      </c>
      <c r="K3744" t="s">
        <v>39017</v>
      </c>
      <c r="M3744" t="s">
        <v>40391</v>
      </c>
      <c r="N3744" t="s">
        <v>43166</v>
      </c>
      <c r="O3744" t="s">
        <v>43167</v>
      </c>
      <c r="P3744">
        <v>0</v>
      </c>
      <c r="Q3744">
        <v>3</v>
      </c>
      <c r="R3744" t="s">
        <v>43171</v>
      </c>
      <c r="S3744" t="s">
        <v>43311</v>
      </c>
      <c r="T3744" t="s">
        <v>44685</v>
      </c>
      <c r="U3744" t="s">
        <v>47440</v>
      </c>
      <c r="W3744" t="s">
        <v>40391</v>
      </c>
      <c r="X3744" t="s">
        <v>43172</v>
      </c>
    </row>
    <row r="3745" spans="1:24">
      <c r="A3745">
        <f>HYPERLINK("https://www.philgeps.gov.ph/GEPSNONPILOT/Tender/SplashBidNoticeAbstractUI.aspx?menuIndex=3&amp;refID=7082725&amp;Result=3","7082725")</f>
        <v>0</v>
      </c>
      <c r="B3745" t="s">
        <v>897</v>
      </c>
      <c r="C3745" t="s">
        <v>6985</v>
      </c>
      <c r="D3745" t="s">
        <v>17470</v>
      </c>
      <c r="E3745" t="s">
        <v>17877</v>
      </c>
      <c r="F3745" t="s">
        <v>30052</v>
      </c>
      <c r="G3745" t="s">
        <v>30058</v>
      </c>
      <c r="H3745" t="s">
        <v>15498</v>
      </c>
      <c r="I3745" t="s">
        <v>30092</v>
      </c>
      <c r="J3745" t="s">
        <v>32642</v>
      </c>
      <c r="K3745" t="s">
        <v>39019</v>
      </c>
      <c r="M3745" t="s">
        <v>40216</v>
      </c>
      <c r="N3745" t="s">
        <v>43166</v>
      </c>
      <c r="O3745" t="s">
        <v>43167</v>
      </c>
      <c r="P3745">
        <v>0</v>
      </c>
      <c r="Q3745">
        <v>1</v>
      </c>
      <c r="R3745" t="s">
        <v>43171</v>
      </c>
      <c r="S3745" t="s">
        <v>43311</v>
      </c>
      <c r="T3745" t="s">
        <v>44941</v>
      </c>
      <c r="U3745" t="s">
        <v>48278</v>
      </c>
      <c r="W3745" t="s">
        <v>40216</v>
      </c>
      <c r="X3745" t="s">
        <v>43172</v>
      </c>
    </row>
    <row r="3746" spans="1:24">
      <c r="A3746">
        <f>HYPERLINK("https://www.philgeps.gov.ph/GEPSNONPILOT/Tender/SplashBidNoticeAbstractUI.aspx?menuIndex=3&amp;refID=7082722&amp;Result=3","7082722")</f>
        <v>0</v>
      </c>
      <c r="B3746" t="s">
        <v>1181</v>
      </c>
      <c r="C3746" t="s">
        <v>6986</v>
      </c>
      <c r="D3746" t="s">
        <v>17444</v>
      </c>
      <c r="E3746" t="s">
        <v>20757</v>
      </c>
      <c r="F3746" t="s">
        <v>30052</v>
      </c>
      <c r="G3746" t="s">
        <v>30059</v>
      </c>
      <c r="H3746" t="s">
        <v>30068</v>
      </c>
      <c r="I3746" t="s">
        <v>30068</v>
      </c>
      <c r="J3746" t="s">
        <v>32643</v>
      </c>
      <c r="K3746" t="s">
        <v>39025</v>
      </c>
      <c r="M3746" t="s">
        <v>40531</v>
      </c>
      <c r="N3746" t="s">
        <v>43166</v>
      </c>
      <c r="O3746" t="s">
        <v>43167</v>
      </c>
      <c r="P3746">
        <v>0</v>
      </c>
      <c r="Q3746">
        <v>0</v>
      </c>
      <c r="R3746" t="s">
        <v>43171</v>
      </c>
      <c r="S3746" t="s">
        <v>43311</v>
      </c>
      <c r="T3746" t="s">
        <v>44705</v>
      </c>
      <c r="U3746" t="s">
        <v>48279</v>
      </c>
      <c r="W3746" t="s">
        <v>40531</v>
      </c>
      <c r="X3746" t="s">
        <v>43172</v>
      </c>
    </row>
    <row r="3747" spans="1:24">
      <c r="A3747">
        <f>HYPERLINK("https://www.philgeps.gov.ph/GEPSNONPILOT/Tender/SplashBidNoticeAbstractUI.aspx?menuIndex=3&amp;refID=7082720&amp;Result=3","7082720")</f>
        <v>0</v>
      </c>
      <c r="B3747" t="s">
        <v>409</v>
      </c>
      <c r="C3747" t="s">
        <v>6987</v>
      </c>
      <c r="D3747" t="s">
        <v>17473</v>
      </c>
      <c r="E3747" t="s">
        <v>20758</v>
      </c>
      <c r="F3747" t="s">
        <v>30052</v>
      </c>
      <c r="G3747" t="s">
        <v>30059</v>
      </c>
      <c r="H3747" t="s">
        <v>15498</v>
      </c>
      <c r="I3747" t="s">
        <v>30100</v>
      </c>
      <c r="J3747" t="s">
        <v>30350</v>
      </c>
      <c r="K3747" t="s">
        <v>39025</v>
      </c>
      <c r="M3747" t="s">
        <v>40032</v>
      </c>
      <c r="N3747" t="s">
        <v>43166</v>
      </c>
      <c r="O3747" t="s">
        <v>43167</v>
      </c>
      <c r="P3747">
        <v>0</v>
      </c>
      <c r="Q3747">
        <v>1</v>
      </c>
      <c r="R3747" t="s">
        <v>43171</v>
      </c>
      <c r="S3747" t="s">
        <v>43311</v>
      </c>
      <c r="T3747" t="s">
        <v>44737</v>
      </c>
      <c r="U3747" t="s">
        <v>48280</v>
      </c>
      <c r="W3747" t="s">
        <v>40032</v>
      </c>
      <c r="X3747" t="s">
        <v>43172</v>
      </c>
    </row>
    <row r="3748" spans="1:24">
      <c r="A3748">
        <f>HYPERLINK("https://www.philgeps.gov.ph/GEPSNONPILOT/Tender/SplashBidNoticeAbstractUI.aspx?menuIndex=3&amp;refID=7082751&amp;Result=3","7082751")</f>
        <v>0</v>
      </c>
      <c r="B3748" t="s">
        <v>94</v>
      </c>
      <c r="C3748" t="s">
        <v>6988</v>
      </c>
      <c r="D3748" t="s">
        <v>17454</v>
      </c>
      <c r="E3748" t="s">
        <v>20759</v>
      </c>
      <c r="F3748" t="s">
        <v>30052</v>
      </c>
      <c r="G3748" t="s">
        <v>30060</v>
      </c>
      <c r="H3748" t="s">
        <v>15498</v>
      </c>
      <c r="I3748" t="s">
        <v>30077</v>
      </c>
      <c r="J3748" t="s">
        <v>32644</v>
      </c>
      <c r="K3748" t="s">
        <v>39017</v>
      </c>
      <c r="M3748" t="s">
        <v>39383</v>
      </c>
      <c r="N3748" t="s">
        <v>43166</v>
      </c>
      <c r="O3748" t="s">
        <v>43167</v>
      </c>
      <c r="P3748">
        <v>0</v>
      </c>
      <c r="Q3748">
        <v>1</v>
      </c>
      <c r="R3748" t="s">
        <v>43171</v>
      </c>
      <c r="S3748" t="s">
        <v>43311</v>
      </c>
      <c r="T3748" t="s">
        <v>44691</v>
      </c>
      <c r="U3748" t="s">
        <v>47758</v>
      </c>
      <c r="W3748" t="s">
        <v>39383</v>
      </c>
      <c r="X3748" t="s">
        <v>43172</v>
      </c>
    </row>
    <row r="3749" spans="1:24">
      <c r="A3749">
        <f>HYPERLINK("https://www.philgeps.gov.ph/GEPSNONPILOT/Tender/SplashBidNoticeAbstractUI.aspx?menuIndex=3&amp;refID=7082702&amp;Result=3","7082702")</f>
        <v>0</v>
      </c>
      <c r="B3749" t="s">
        <v>701</v>
      </c>
      <c r="C3749" t="s">
        <v>6989</v>
      </c>
      <c r="D3749" t="s">
        <v>17419</v>
      </c>
      <c r="E3749" t="s">
        <v>20760</v>
      </c>
      <c r="F3749" t="s">
        <v>30052</v>
      </c>
      <c r="G3749" t="s">
        <v>30059</v>
      </c>
      <c r="H3749" t="s">
        <v>15498</v>
      </c>
      <c r="I3749" t="s">
        <v>30073</v>
      </c>
      <c r="J3749" t="s">
        <v>31577</v>
      </c>
      <c r="K3749" t="s">
        <v>39025</v>
      </c>
      <c r="M3749" t="s">
        <v>40010</v>
      </c>
      <c r="N3749" t="s">
        <v>43166</v>
      </c>
      <c r="O3749" t="s">
        <v>43167</v>
      </c>
      <c r="P3749">
        <v>0</v>
      </c>
      <c r="Q3749">
        <v>0</v>
      </c>
      <c r="R3749" t="s">
        <v>43171</v>
      </c>
      <c r="S3749" t="s">
        <v>43311</v>
      </c>
      <c r="T3749" t="s">
        <v>44717</v>
      </c>
      <c r="U3749" t="s">
        <v>48281</v>
      </c>
      <c r="W3749" t="s">
        <v>40010</v>
      </c>
      <c r="X3749" t="s">
        <v>43172</v>
      </c>
    </row>
    <row r="3750" spans="1:24">
      <c r="A3750">
        <f>HYPERLINK("https://www.philgeps.gov.ph/GEPSNONPILOT/Tender/SplashBidNoticeAbstractUI.aspx?menuIndex=3&amp;refID=7082735&amp;Result=3","7082735")</f>
        <v>0</v>
      </c>
      <c r="B3750" t="s">
        <v>1376</v>
      </c>
      <c r="C3750" t="s">
        <v>6990</v>
      </c>
      <c r="D3750" t="s">
        <v>17490</v>
      </c>
      <c r="E3750" t="s">
        <v>20761</v>
      </c>
      <c r="F3750" t="s">
        <v>30052</v>
      </c>
      <c r="G3750" t="s">
        <v>30058</v>
      </c>
      <c r="H3750" t="s">
        <v>15498</v>
      </c>
      <c r="I3750" t="s">
        <v>30106</v>
      </c>
      <c r="J3750" t="s">
        <v>32645</v>
      </c>
      <c r="K3750" t="s">
        <v>39026</v>
      </c>
      <c r="M3750" t="s">
        <v>40751</v>
      </c>
      <c r="N3750" t="s">
        <v>43166</v>
      </c>
      <c r="O3750" t="s">
        <v>43167</v>
      </c>
      <c r="P3750">
        <v>0</v>
      </c>
      <c r="Q3750">
        <v>4</v>
      </c>
      <c r="R3750" t="s">
        <v>43171</v>
      </c>
      <c r="S3750" t="s">
        <v>43311</v>
      </c>
      <c r="T3750" t="s">
        <v>44796</v>
      </c>
      <c r="U3750" t="s">
        <v>48282</v>
      </c>
      <c r="W3750" t="s">
        <v>40751</v>
      </c>
      <c r="X3750" t="s">
        <v>43172</v>
      </c>
    </row>
    <row r="3751" spans="1:24">
      <c r="A3751">
        <f>HYPERLINK("https://www.philgeps.gov.ph/GEPSNONPILOT/Tender/SplashBidNoticeAbstractUI.aspx?menuIndex=3&amp;refID=7082701&amp;Result=3","7082701")</f>
        <v>0</v>
      </c>
      <c r="B3751" t="s">
        <v>1307</v>
      </c>
      <c r="C3751" t="s">
        <v>6991</v>
      </c>
      <c r="D3751" t="s">
        <v>17435</v>
      </c>
      <c r="E3751" t="s">
        <v>20762</v>
      </c>
      <c r="F3751" t="s">
        <v>30052</v>
      </c>
      <c r="G3751" t="s">
        <v>30060</v>
      </c>
      <c r="H3751" t="s">
        <v>15498</v>
      </c>
      <c r="I3751" t="s">
        <v>30071</v>
      </c>
      <c r="J3751" t="s">
        <v>30586</v>
      </c>
      <c r="K3751" t="s">
        <v>39034</v>
      </c>
      <c r="M3751" t="s">
        <v>40674</v>
      </c>
      <c r="N3751" t="s">
        <v>43166</v>
      </c>
      <c r="O3751" t="s">
        <v>43167</v>
      </c>
      <c r="P3751">
        <v>0</v>
      </c>
      <c r="Q3751">
        <v>0</v>
      </c>
      <c r="R3751" t="s">
        <v>43171</v>
      </c>
      <c r="S3751" t="s">
        <v>43311</v>
      </c>
      <c r="T3751" t="s">
        <v>44837</v>
      </c>
      <c r="U3751" t="s">
        <v>48283</v>
      </c>
      <c r="V3751" t="s">
        <v>57234</v>
      </c>
      <c r="W3751" t="s">
        <v>40674</v>
      </c>
      <c r="X3751" t="s">
        <v>43172</v>
      </c>
    </row>
    <row r="3752" spans="1:24">
      <c r="A3752">
        <f>HYPERLINK("https://www.philgeps.gov.ph/GEPSNONPILOT/Tender/SplashBidNoticeAbstractUI.aspx?menuIndex=3&amp;refID=7082700&amp;Result=3","7082700")</f>
        <v>0</v>
      </c>
      <c r="B3752" t="s">
        <v>1258</v>
      </c>
      <c r="C3752" t="s">
        <v>6992</v>
      </c>
      <c r="D3752" t="s">
        <v>17494</v>
      </c>
      <c r="E3752" t="s">
        <v>17727</v>
      </c>
      <c r="F3752" t="s">
        <v>30052</v>
      </c>
      <c r="G3752" t="s">
        <v>30059</v>
      </c>
      <c r="H3752" t="s">
        <v>15498</v>
      </c>
      <c r="I3752" t="s">
        <v>30081</v>
      </c>
      <c r="J3752" t="s">
        <v>32646</v>
      </c>
      <c r="K3752" t="s">
        <v>39017</v>
      </c>
      <c r="M3752" t="s">
        <v>40615</v>
      </c>
      <c r="N3752" t="s">
        <v>43166</v>
      </c>
      <c r="O3752" t="s">
        <v>43167</v>
      </c>
      <c r="P3752">
        <v>0</v>
      </c>
      <c r="Q3752">
        <v>0</v>
      </c>
      <c r="R3752" t="s">
        <v>43171</v>
      </c>
      <c r="S3752" t="s">
        <v>43311</v>
      </c>
      <c r="T3752" t="s">
        <v>44856</v>
      </c>
      <c r="U3752" t="s">
        <v>48284</v>
      </c>
      <c r="W3752" t="s">
        <v>40615</v>
      </c>
      <c r="X3752" t="s">
        <v>43172</v>
      </c>
    </row>
    <row r="3753" spans="1:24">
      <c r="A3753">
        <f>HYPERLINK("https://www.philgeps.gov.ph/GEPSNONPILOT/Tender/SplashBidNoticeAbstractUI.aspx?menuIndex=3&amp;refID=7082785&amp;Result=3","7082785")</f>
        <v>0</v>
      </c>
      <c r="B3753" t="s">
        <v>66</v>
      </c>
      <c r="C3753" t="s">
        <v>3537</v>
      </c>
      <c r="D3753" t="s">
        <v>17432</v>
      </c>
      <c r="E3753" t="s">
        <v>18401</v>
      </c>
      <c r="F3753" t="s">
        <v>30052</v>
      </c>
      <c r="G3753" t="s">
        <v>30062</v>
      </c>
      <c r="H3753" t="s">
        <v>15498</v>
      </c>
      <c r="I3753" t="s">
        <v>30071</v>
      </c>
      <c r="J3753" t="s">
        <v>30283</v>
      </c>
      <c r="K3753" t="s">
        <v>39017</v>
      </c>
      <c r="M3753" t="s">
        <v>39355</v>
      </c>
      <c r="N3753" t="s">
        <v>43166</v>
      </c>
      <c r="O3753" t="s">
        <v>43167</v>
      </c>
      <c r="P3753">
        <v>0</v>
      </c>
      <c r="Q3753">
        <v>0</v>
      </c>
      <c r="R3753" t="s">
        <v>43171</v>
      </c>
      <c r="S3753" t="s">
        <v>43311</v>
      </c>
      <c r="T3753" t="s">
        <v>44975</v>
      </c>
      <c r="U3753" t="s">
        <v>45294</v>
      </c>
      <c r="W3753" t="s">
        <v>39355</v>
      </c>
      <c r="X3753" t="s">
        <v>43172</v>
      </c>
    </row>
    <row r="3754" spans="1:24">
      <c r="A3754">
        <f>HYPERLINK("https://www.philgeps.gov.ph/GEPSNONPILOT/Tender/SplashBidNoticeAbstractUI.aspx?menuIndex=3&amp;refID=7082784&amp;Result=3","7082784")</f>
        <v>0</v>
      </c>
      <c r="B3754" t="s">
        <v>806</v>
      </c>
      <c r="C3754" t="s">
        <v>6993</v>
      </c>
      <c r="D3754" t="s">
        <v>17423</v>
      </c>
      <c r="E3754" t="s">
        <v>20763</v>
      </c>
      <c r="F3754" t="s">
        <v>30052</v>
      </c>
      <c r="G3754" t="s">
        <v>30059</v>
      </c>
      <c r="H3754" t="s">
        <v>15498</v>
      </c>
      <c r="I3754" t="s">
        <v>4650</v>
      </c>
      <c r="J3754" t="s">
        <v>30248</v>
      </c>
      <c r="K3754" t="s">
        <v>39018</v>
      </c>
      <c r="M3754" t="s">
        <v>40123</v>
      </c>
      <c r="N3754" t="s">
        <v>43166</v>
      </c>
      <c r="O3754" t="s">
        <v>43167</v>
      </c>
      <c r="P3754">
        <v>0</v>
      </c>
      <c r="Q3754">
        <v>0</v>
      </c>
      <c r="R3754" t="s">
        <v>43171</v>
      </c>
      <c r="S3754" t="s">
        <v>43311</v>
      </c>
      <c r="T3754" t="s">
        <v>44844</v>
      </c>
      <c r="U3754" t="s">
        <v>48285</v>
      </c>
      <c r="W3754" t="s">
        <v>40123</v>
      </c>
      <c r="X3754" t="s">
        <v>43172</v>
      </c>
    </row>
    <row r="3755" spans="1:24">
      <c r="A3755">
        <f>HYPERLINK("https://www.philgeps.gov.ph/GEPSNONPILOT/Tender/SplashBidNoticeAbstractUI.aspx?menuIndex=3&amp;refID=7082783&amp;Result=3","7082783")</f>
        <v>0</v>
      </c>
      <c r="B3755" t="s">
        <v>1377</v>
      </c>
      <c r="C3755" t="s">
        <v>6994</v>
      </c>
      <c r="D3755" t="s">
        <v>17415</v>
      </c>
      <c r="E3755" t="s">
        <v>20764</v>
      </c>
      <c r="F3755" t="s">
        <v>30052</v>
      </c>
      <c r="G3755" t="s">
        <v>30059</v>
      </c>
      <c r="H3755" t="s">
        <v>15498</v>
      </c>
      <c r="I3755" t="s">
        <v>4119</v>
      </c>
      <c r="J3755" t="s">
        <v>32647</v>
      </c>
      <c r="K3755" t="s">
        <v>39029</v>
      </c>
      <c r="M3755" t="s">
        <v>40752</v>
      </c>
      <c r="N3755" t="s">
        <v>43166</v>
      </c>
      <c r="O3755" t="s">
        <v>43167</v>
      </c>
      <c r="P3755">
        <v>0</v>
      </c>
      <c r="Q3755">
        <v>4</v>
      </c>
      <c r="R3755" t="s">
        <v>43171</v>
      </c>
      <c r="S3755" t="s">
        <v>43311</v>
      </c>
      <c r="T3755" t="s">
        <v>44844</v>
      </c>
      <c r="U3755" t="s">
        <v>48286</v>
      </c>
      <c r="W3755" t="s">
        <v>40752</v>
      </c>
      <c r="X3755" t="s">
        <v>43172</v>
      </c>
    </row>
    <row r="3756" spans="1:24">
      <c r="A3756">
        <f>HYPERLINK("https://www.philgeps.gov.ph/GEPSNONPILOT/Tender/SplashBidNoticeAbstractUI.aspx?menuIndex=3&amp;refID=7082721&amp;Result=3","7082721")</f>
        <v>0</v>
      </c>
      <c r="B3756" t="s">
        <v>701</v>
      </c>
      <c r="C3756" t="s">
        <v>6995</v>
      </c>
      <c r="D3756" t="s">
        <v>17419</v>
      </c>
      <c r="E3756" t="s">
        <v>20765</v>
      </c>
      <c r="F3756" t="s">
        <v>30052</v>
      </c>
      <c r="G3756" t="s">
        <v>30059</v>
      </c>
      <c r="H3756" t="s">
        <v>15498</v>
      </c>
      <c r="I3756" t="s">
        <v>30073</v>
      </c>
      <c r="J3756" t="s">
        <v>32648</v>
      </c>
      <c r="K3756" t="s">
        <v>39025</v>
      </c>
      <c r="M3756" t="s">
        <v>40010</v>
      </c>
      <c r="N3756" t="s">
        <v>43166</v>
      </c>
      <c r="O3756" t="s">
        <v>43167</v>
      </c>
      <c r="P3756">
        <v>0</v>
      </c>
      <c r="Q3756">
        <v>0</v>
      </c>
      <c r="R3756" t="s">
        <v>43171</v>
      </c>
      <c r="S3756" t="s">
        <v>43311</v>
      </c>
      <c r="T3756" t="s">
        <v>44717</v>
      </c>
      <c r="U3756" t="s">
        <v>48287</v>
      </c>
      <c r="W3756" t="s">
        <v>40010</v>
      </c>
      <c r="X3756" t="s">
        <v>43172</v>
      </c>
    </row>
    <row r="3757" spans="1:24">
      <c r="A3757">
        <f>HYPERLINK("https://www.philgeps.gov.ph/GEPSNONPILOT/Tender/SplashBidNoticeAbstractUI.aspx?menuIndex=3&amp;refID=7082779&amp;Result=3","7082779")</f>
        <v>0</v>
      </c>
      <c r="B3757" t="s">
        <v>1134</v>
      </c>
      <c r="C3757" t="s">
        <v>6996</v>
      </c>
      <c r="D3757" t="s">
        <v>17459</v>
      </c>
      <c r="E3757" t="s">
        <v>20766</v>
      </c>
      <c r="F3757" t="s">
        <v>30052</v>
      </c>
      <c r="G3757" t="s">
        <v>30058</v>
      </c>
      <c r="H3757" t="s">
        <v>15498</v>
      </c>
      <c r="I3757" t="s">
        <v>4598</v>
      </c>
      <c r="J3757" t="s">
        <v>30494</v>
      </c>
      <c r="K3757" t="s">
        <v>39023</v>
      </c>
      <c r="M3757" t="s">
        <v>40749</v>
      </c>
      <c r="N3757" t="s">
        <v>43166</v>
      </c>
      <c r="O3757" t="s">
        <v>43167</v>
      </c>
      <c r="P3757">
        <v>0</v>
      </c>
      <c r="Q3757">
        <v>4</v>
      </c>
      <c r="R3757" t="s">
        <v>43171</v>
      </c>
      <c r="S3757" t="s">
        <v>43311</v>
      </c>
      <c r="T3757" t="s">
        <v>44722</v>
      </c>
      <c r="U3757" t="s">
        <v>48288</v>
      </c>
      <c r="V3757" t="s">
        <v>57265</v>
      </c>
      <c r="W3757" t="s">
        <v>40749</v>
      </c>
      <c r="X3757" t="s">
        <v>43172</v>
      </c>
    </row>
    <row r="3758" spans="1:24">
      <c r="A3758">
        <f>HYPERLINK("https://www.philgeps.gov.ph/GEPSNONPILOT/Tender/SplashBidNoticeAbstractUI.aspx?menuIndex=3&amp;refID=7082777&amp;Result=3","7082777")</f>
        <v>0</v>
      </c>
      <c r="B3758" t="s">
        <v>1378</v>
      </c>
      <c r="C3758" t="s">
        <v>6997</v>
      </c>
      <c r="D3758" t="s">
        <v>17440</v>
      </c>
      <c r="E3758" t="s">
        <v>20767</v>
      </c>
      <c r="F3758" t="s">
        <v>30052</v>
      </c>
      <c r="G3758" t="s">
        <v>30059</v>
      </c>
      <c r="H3758" t="s">
        <v>15498</v>
      </c>
      <c r="I3758" t="s">
        <v>30104</v>
      </c>
      <c r="J3758" t="s">
        <v>32649</v>
      </c>
      <c r="K3758" t="s">
        <v>39029</v>
      </c>
      <c r="M3758" t="s">
        <v>40753</v>
      </c>
      <c r="N3758" t="s">
        <v>43166</v>
      </c>
      <c r="O3758" t="s">
        <v>43167</v>
      </c>
      <c r="P3758">
        <v>0</v>
      </c>
      <c r="Q3758">
        <v>5</v>
      </c>
      <c r="R3758" t="s">
        <v>43171</v>
      </c>
      <c r="S3758" t="s">
        <v>43311</v>
      </c>
      <c r="T3758" t="s">
        <v>44798</v>
      </c>
      <c r="U3758" t="s">
        <v>48289</v>
      </c>
      <c r="W3758" t="s">
        <v>40753</v>
      </c>
      <c r="X3758" t="s">
        <v>43172</v>
      </c>
    </row>
    <row r="3759" spans="1:24">
      <c r="A3759">
        <f>HYPERLINK("https://www.philgeps.gov.ph/GEPSNONPILOT/Tender/SplashBidNoticeAbstractUI.aspx?menuIndex=3&amp;refID=7082776&amp;Result=3","7082776")</f>
        <v>0</v>
      </c>
      <c r="B3759" t="s">
        <v>1379</v>
      </c>
      <c r="C3759" t="s">
        <v>6998</v>
      </c>
      <c r="E3759" t="s">
        <v>20768</v>
      </c>
      <c r="F3759" t="s">
        <v>30052</v>
      </c>
      <c r="G3759" t="s">
        <v>30058</v>
      </c>
      <c r="H3759" t="s">
        <v>15498</v>
      </c>
      <c r="I3759" t="s">
        <v>30074</v>
      </c>
      <c r="J3759" t="s">
        <v>30215</v>
      </c>
      <c r="K3759" t="s">
        <v>39025</v>
      </c>
      <c r="M3759" t="s">
        <v>40754</v>
      </c>
      <c r="N3759" t="s">
        <v>43166</v>
      </c>
      <c r="O3759" t="s">
        <v>43167</v>
      </c>
      <c r="P3759">
        <v>0</v>
      </c>
      <c r="Q3759">
        <v>4</v>
      </c>
      <c r="R3759" t="s">
        <v>43171</v>
      </c>
      <c r="S3759" t="s">
        <v>43311</v>
      </c>
      <c r="T3759" t="s">
        <v>44715</v>
      </c>
      <c r="U3759" t="s">
        <v>48290</v>
      </c>
      <c r="W3759" t="s">
        <v>40754</v>
      </c>
      <c r="X3759" t="s">
        <v>43172</v>
      </c>
    </row>
    <row r="3760" spans="1:24">
      <c r="A3760">
        <f>HYPERLINK("https://www.philgeps.gov.ph/GEPSNONPILOT/Tender/SplashBidNoticeAbstractUI.aspx?menuIndex=3&amp;refID=7082774&amp;Result=3","7082774")</f>
        <v>0</v>
      </c>
      <c r="B3760" t="s">
        <v>607</v>
      </c>
      <c r="C3760" t="s">
        <v>6999</v>
      </c>
      <c r="D3760" t="s">
        <v>17459</v>
      </c>
      <c r="E3760" t="s">
        <v>20769</v>
      </c>
      <c r="F3760" t="s">
        <v>30052</v>
      </c>
      <c r="G3760" t="s">
        <v>30059</v>
      </c>
      <c r="H3760" t="s">
        <v>30067</v>
      </c>
      <c r="I3760" t="s">
        <v>3693</v>
      </c>
      <c r="J3760" t="s">
        <v>32650</v>
      </c>
      <c r="K3760" t="s">
        <v>39086</v>
      </c>
      <c r="M3760" t="s">
        <v>40755</v>
      </c>
      <c r="N3760" t="s">
        <v>43166</v>
      </c>
      <c r="O3760" t="s">
        <v>43167</v>
      </c>
      <c r="P3760">
        <v>0</v>
      </c>
      <c r="Q3760">
        <v>0</v>
      </c>
      <c r="R3760" t="s">
        <v>43171</v>
      </c>
      <c r="S3760" t="s">
        <v>43311</v>
      </c>
      <c r="T3760" t="s">
        <v>44714</v>
      </c>
      <c r="U3760" t="s">
        <v>48291</v>
      </c>
      <c r="W3760" t="s">
        <v>40755</v>
      </c>
      <c r="X3760" t="s">
        <v>43172</v>
      </c>
    </row>
    <row r="3761" spans="1:24">
      <c r="A3761">
        <f>HYPERLINK("https://www.philgeps.gov.ph/GEPSNONPILOT/Tender/SplashBidNoticeAbstractUI.aspx?menuIndex=3&amp;refID=7082782&amp;Result=3","7082782")</f>
        <v>0</v>
      </c>
      <c r="B3761" t="s">
        <v>1353</v>
      </c>
      <c r="C3761" t="s">
        <v>4125</v>
      </c>
      <c r="D3761" t="s">
        <v>17465</v>
      </c>
      <c r="E3761" t="s">
        <v>20770</v>
      </c>
      <c r="F3761" t="s">
        <v>30052</v>
      </c>
      <c r="G3761" t="s">
        <v>30061</v>
      </c>
      <c r="H3761" t="s">
        <v>15498</v>
      </c>
      <c r="I3761" t="s">
        <v>4119</v>
      </c>
      <c r="J3761" t="s">
        <v>32651</v>
      </c>
      <c r="K3761" t="s">
        <v>39034</v>
      </c>
      <c r="M3761" t="s">
        <v>40722</v>
      </c>
      <c r="N3761" t="s">
        <v>43166</v>
      </c>
      <c r="O3761" t="s">
        <v>43167</v>
      </c>
      <c r="P3761">
        <v>0</v>
      </c>
      <c r="Q3761">
        <v>6</v>
      </c>
      <c r="R3761" t="s">
        <v>43171</v>
      </c>
      <c r="S3761" t="s">
        <v>43311</v>
      </c>
      <c r="T3761" t="s">
        <v>44843</v>
      </c>
      <c r="U3761" t="s">
        <v>45782</v>
      </c>
      <c r="W3761" t="s">
        <v>40722</v>
      </c>
      <c r="X3761" t="s">
        <v>43172</v>
      </c>
    </row>
    <row r="3762" spans="1:24">
      <c r="A3762">
        <f>HYPERLINK("https://www.philgeps.gov.ph/GEPSNONPILOT/Tender/SplashBidNoticeAbstractUI.aspx?menuIndex=3&amp;refID=7082771&amp;Result=3","7082771")</f>
        <v>0</v>
      </c>
      <c r="B3762" t="s">
        <v>1380</v>
      </c>
      <c r="C3762" t="s">
        <v>7000</v>
      </c>
      <c r="D3762" t="s">
        <v>17449</v>
      </c>
      <c r="E3762" t="s">
        <v>20771</v>
      </c>
      <c r="F3762" t="s">
        <v>30052</v>
      </c>
      <c r="G3762" t="s">
        <v>30058</v>
      </c>
      <c r="H3762" t="s">
        <v>15498</v>
      </c>
      <c r="I3762" t="s">
        <v>30140</v>
      </c>
      <c r="J3762" t="s">
        <v>30230</v>
      </c>
      <c r="K3762" t="s">
        <v>39029</v>
      </c>
      <c r="M3762" t="s">
        <v>40756</v>
      </c>
      <c r="N3762" t="s">
        <v>43166</v>
      </c>
      <c r="O3762" t="s">
        <v>43167</v>
      </c>
      <c r="P3762">
        <v>0</v>
      </c>
      <c r="Q3762">
        <v>1</v>
      </c>
      <c r="R3762" t="s">
        <v>43171</v>
      </c>
      <c r="S3762" t="s">
        <v>43311</v>
      </c>
      <c r="T3762" t="s">
        <v>44732</v>
      </c>
      <c r="U3762" t="s">
        <v>48292</v>
      </c>
      <c r="W3762" t="s">
        <v>40756</v>
      </c>
      <c r="X3762" t="s">
        <v>43172</v>
      </c>
    </row>
    <row r="3763" spans="1:24">
      <c r="A3763">
        <f>HYPERLINK("https://www.philgeps.gov.ph/GEPSNONPILOT/Tender/SplashBidNoticeAbstractUI.aspx?menuIndex=3&amp;refID=7082770&amp;Result=3","7082770")</f>
        <v>0</v>
      </c>
      <c r="B3763" t="s">
        <v>1369</v>
      </c>
      <c r="C3763" t="s">
        <v>7001</v>
      </c>
      <c r="D3763" t="s">
        <v>17439</v>
      </c>
      <c r="E3763" t="s">
        <v>20772</v>
      </c>
      <c r="F3763" t="s">
        <v>30052</v>
      </c>
      <c r="G3763" t="s">
        <v>30065</v>
      </c>
      <c r="H3763" t="s">
        <v>30068</v>
      </c>
      <c r="I3763" t="s">
        <v>30068</v>
      </c>
      <c r="J3763" t="s">
        <v>32652</v>
      </c>
      <c r="K3763" t="s">
        <v>39048</v>
      </c>
      <c r="M3763" t="s">
        <v>40740</v>
      </c>
      <c r="N3763" t="s">
        <v>43166</v>
      </c>
      <c r="O3763" t="s">
        <v>43167</v>
      </c>
      <c r="P3763">
        <v>0</v>
      </c>
      <c r="Q3763">
        <v>0</v>
      </c>
      <c r="R3763" t="s">
        <v>43171</v>
      </c>
      <c r="S3763" t="s">
        <v>43311</v>
      </c>
      <c r="T3763" t="s">
        <v>44732</v>
      </c>
      <c r="U3763" t="s">
        <v>48293</v>
      </c>
      <c r="W3763" t="s">
        <v>40740</v>
      </c>
      <c r="X3763" t="s">
        <v>43172</v>
      </c>
    </row>
    <row r="3764" spans="1:24">
      <c r="A3764">
        <f>HYPERLINK("https://www.philgeps.gov.ph/GEPSNONPILOT/Tender/SplashBidNoticeAbstractUI.aspx?menuIndex=3&amp;refID=7082775&amp;Result=3","7082775")</f>
        <v>0</v>
      </c>
      <c r="B3764" t="s">
        <v>1353</v>
      </c>
      <c r="C3764" t="s">
        <v>4125</v>
      </c>
      <c r="D3764" t="s">
        <v>17465</v>
      </c>
      <c r="E3764" t="s">
        <v>20773</v>
      </c>
      <c r="F3764" t="s">
        <v>30052</v>
      </c>
      <c r="G3764" t="s">
        <v>30061</v>
      </c>
      <c r="H3764" t="s">
        <v>15498</v>
      </c>
      <c r="I3764" t="s">
        <v>4119</v>
      </c>
      <c r="J3764" t="s">
        <v>32653</v>
      </c>
      <c r="K3764" t="s">
        <v>39034</v>
      </c>
      <c r="M3764" t="s">
        <v>40722</v>
      </c>
      <c r="N3764" t="s">
        <v>43166</v>
      </c>
      <c r="O3764" t="s">
        <v>43167</v>
      </c>
      <c r="P3764">
        <v>0</v>
      </c>
      <c r="Q3764">
        <v>7</v>
      </c>
      <c r="R3764" t="s">
        <v>43171</v>
      </c>
      <c r="S3764" t="s">
        <v>43311</v>
      </c>
      <c r="T3764" t="s">
        <v>44843</v>
      </c>
      <c r="U3764" t="s">
        <v>45782</v>
      </c>
      <c r="W3764" t="s">
        <v>40722</v>
      </c>
      <c r="X3764" t="s">
        <v>43172</v>
      </c>
    </row>
    <row r="3765" spans="1:24">
      <c r="A3765">
        <f>HYPERLINK("https://www.philgeps.gov.ph/GEPSNONPILOT/Tender/SplashBidNoticeAbstractUI.aspx?menuIndex=3&amp;refID=7082766&amp;Result=3","7082766")</f>
        <v>0</v>
      </c>
      <c r="B3765" t="s">
        <v>1361</v>
      </c>
      <c r="C3765" t="s">
        <v>7002</v>
      </c>
      <c r="D3765" t="s">
        <v>17484</v>
      </c>
      <c r="E3765" t="s">
        <v>17741</v>
      </c>
      <c r="F3765" t="s">
        <v>30052</v>
      </c>
      <c r="G3765" t="s">
        <v>30058</v>
      </c>
      <c r="H3765" t="s">
        <v>15498</v>
      </c>
      <c r="I3765" t="s">
        <v>30074</v>
      </c>
      <c r="J3765" t="s">
        <v>30215</v>
      </c>
      <c r="K3765" t="s">
        <v>39019</v>
      </c>
      <c r="M3765" t="s">
        <v>40730</v>
      </c>
      <c r="N3765" t="s">
        <v>43166</v>
      </c>
      <c r="O3765" t="s">
        <v>43167</v>
      </c>
      <c r="P3765">
        <v>0</v>
      </c>
      <c r="Q3765">
        <v>3</v>
      </c>
      <c r="R3765" t="s">
        <v>43171</v>
      </c>
      <c r="S3765" t="s">
        <v>43311</v>
      </c>
      <c r="T3765" t="s">
        <v>44724</v>
      </c>
      <c r="U3765" t="s">
        <v>48231</v>
      </c>
      <c r="W3765" t="s">
        <v>40730</v>
      </c>
      <c r="X3765" t="s">
        <v>43172</v>
      </c>
    </row>
    <row r="3766" spans="1:24">
      <c r="A3766">
        <f>HYPERLINK("https://www.philgeps.gov.ph/GEPSNONPILOT/Tender/SplashBidNoticeAbstractUI.aspx?menuIndex=3&amp;refID=7082764&amp;Result=3","7082764")</f>
        <v>0</v>
      </c>
      <c r="B3766" t="s">
        <v>1381</v>
      </c>
      <c r="C3766" t="s">
        <v>7003</v>
      </c>
      <c r="D3766" t="s">
        <v>17445</v>
      </c>
      <c r="E3766" t="s">
        <v>20774</v>
      </c>
      <c r="F3766" t="s">
        <v>30052</v>
      </c>
      <c r="G3766" t="s">
        <v>30058</v>
      </c>
      <c r="H3766" t="s">
        <v>15498</v>
      </c>
      <c r="I3766" t="s">
        <v>4650</v>
      </c>
      <c r="J3766" t="s">
        <v>32654</v>
      </c>
      <c r="K3766" t="s">
        <v>39029</v>
      </c>
      <c r="M3766" t="s">
        <v>40757</v>
      </c>
      <c r="N3766" t="s">
        <v>43166</v>
      </c>
      <c r="O3766" t="s">
        <v>43167</v>
      </c>
      <c r="P3766">
        <v>0</v>
      </c>
      <c r="Q3766">
        <v>3</v>
      </c>
      <c r="R3766" t="s">
        <v>43171</v>
      </c>
      <c r="S3766" t="s">
        <v>43311</v>
      </c>
      <c r="T3766" t="s">
        <v>44776</v>
      </c>
      <c r="U3766" t="s">
        <v>48294</v>
      </c>
      <c r="W3766" t="s">
        <v>40757</v>
      </c>
      <c r="X3766" t="s">
        <v>43172</v>
      </c>
    </row>
    <row r="3767" spans="1:24">
      <c r="A3767">
        <f>HYPERLINK("https://www.philgeps.gov.ph/GEPSNONPILOT/Tender/SplashBidNoticeAbstractUI.aspx?menuIndex=3&amp;refID=7082763&amp;Result=3","7082763")</f>
        <v>0</v>
      </c>
      <c r="B3767" t="s">
        <v>1309</v>
      </c>
      <c r="C3767" t="s">
        <v>6946</v>
      </c>
      <c r="D3767" t="s">
        <v>17414</v>
      </c>
      <c r="E3767" t="s">
        <v>20775</v>
      </c>
      <c r="F3767" t="s">
        <v>30052</v>
      </c>
      <c r="G3767" t="s">
        <v>30058</v>
      </c>
      <c r="H3767" t="s">
        <v>15498</v>
      </c>
      <c r="I3767" t="s">
        <v>30073</v>
      </c>
      <c r="J3767" t="s">
        <v>30559</v>
      </c>
      <c r="K3767" t="s">
        <v>39029</v>
      </c>
      <c r="M3767" t="s">
        <v>40676</v>
      </c>
      <c r="N3767" t="s">
        <v>43166</v>
      </c>
      <c r="O3767" t="s">
        <v>43167</v>
      </c>
      <c r="P3767">
        <v>0</v>
      </c>
      <c r="Q3767">
        <v>0</v>
      </c>
      <c r="R3767" t="s">
        <v>43171</v>
      </c>
      <c r="S3767" t="s">
        <v>43311</v>
      </c>
      <c r="T3767" t="s">
        <v>44724</v>
      </c>
      <c r="U3767" t="s">
        <v>48295</v>
      </c>
      <c r="W3767" t="s">
        <v>40676</v>
      </c>
      <c r="X3767" t="s">
        <v>43172</v>
      </c>
    </row>
    <row r="3768" spans="1:24">
      <c r="A3768">
        <f>HYPERLINK("https://www.philgeps.gov.ph/GEPSNONPILOT/Tender/SplashBidNoticeAbstractUI.aspx?menuIndex=3&amp;refID=7082759&amp;Result=3","7082759")</f>
        <v>0</v>
      </c>
      <c r="B3768" t="s">
        <v>1353</v>
      </c>
      <c r="C3768" t="s">
        <v>4125</v>
      </c>
      <c r="D3768" t="s">
        <v>17465</v>
      </c>
      <c r="E3768" t="s">
        <v>20776</v>
      </c>
      <c r="F3768" t="s">
        <v>30052</v>
      </c>
      <c r="G3768" t="s">
        <v>30061</v>
      </c>
      <c r="H3768" t="s">
        <v>15498</v>
      </c>
      <c r="I3768" t="s">
        <v>4119</v>
      </c>
      <c r="J3768" t="s">
        <v>32655</v>
      </c>
      <c r="K3768" t="s">
        <v>39034</v>
      </c>
      <c r="M3768" t="s">
        <v>40722</v>
      </c>
      <c r="N3768" t="s">
        <v>43166</v>
      </c>
      <c r="O3768" t="s">
        <v>43167</v>
      </c>
      <c r="P3768">
        <v>0</v>
      </c>
      <c r="Q3768">
        <v>6</v>
      </c>
      <c r="R3768" t="s">
        <v>43171</v>
      </c>
      <c r="S3768" t="s">
        <v>43311</v>
      </c>
      <c r="T3768" t="s">
        <v>44843</v>
      </c>
      <c r="U3768" t="s">
        <v>45782</v>
      </c>
      <c r="W3768" t="s">
        <v>40722</v>
      </c>
      <c r="X3768" t="s">
        <v>43172</v>
      </c>
    </row>
    <row r="3769" spans="1:24">
      <c r="A3769">
        <f>HYPERLINK("https://www.philgeps.gov.ph/GEPSNONPILOT/Tender/SplashBidNoticeAbstractUI.aspx?menuIndex=3&amp;refID=7082756&amp;Result=3","7082756")</f>
        <v>0</v>
      </c>
      <c r="B3769" t="s">
        <v>596</v>
      </c>
      <c r="C3769" t="s">
        <v>7004</v>
      </c>
      <c r="D3769" t="s">
        <v>17459</v>
      </c>
      <c r="E3769" t="s">
        <v>20777</v>
      </c>
      <c r="F3769" t="s">
        <v>30052</v>
      </c>
      <c r="G3769" t="s">
        <v>30059</v>
      </c>
      <c r="H3769" t="s">
        <v>15498</v>
      </c>
      <c r="I3769" t="s">
        <v>3736</v>
      </c>
      <c r="J3769" t="s">
        <v>32656</v>
      </c>
      <c r="K3769" t="s">
        <v>39037</v>
      </c>
      <c r="M3769" t="s">
        <v>39898</v>
      </c>
      <c r="N3769" t="s">
        <v>43166</v>
      </c>
      <c r="O3769" t="s">
        <v>43167</v>
      </c>
      <c r="P3769">
        <v>0</v>
      </c>
      <c r="Q3769">
        <v>1</v>
      </c>
      <c r="R3769" t="s">
        <v>43171</v>
      </c>
      <c r="S3769" t="s">
        <v>43311</v>
      </c>
      <c r="T3769" t="s">
        <v>44710</v>
      </c>
      <c r="U3769" t="s">
        <v>48296</v>
      </c>
      <c r="V3769" t="s">
        <v>56984</v>
      </c>
      <c r="W3769" t="s">
        <v>39898</v>
      </c>
      <c r="X3769" t="s">
        <v>43172</v>
      </c>
    </row>
    <row r="3770" spans="1:24">
      <c r="A3770">
        <f>HYPERLINK("https://www.philgeps.gov.ph/GEPSNONPILOT/Tender/SplashBidNoticeAbstractUI.aspx?menuIndex=3&amp;refID=7082752&amp;Result=3","7082752")</f>
        <v>0</v>
      </c>
      <c r="B3770" t="s">
        <v>1361</v>
      </c>
      <c r="C3770" t="s">
        <v>7005</v>
      </c>
      <c r="D3770" t="s">
        <v>17484</v>
      </c>
      <c r="E3770" t="s">
        <v>17750</v>
      </c>
      <c r="F3770" t="s">
        <v>30052</v>
      </c>
      <c r="G3770" t="s">
        <v>30058</v>
      </c>
      <c r="H3770" t="s">
        <v>15498</v>
      </c>
      <c r="I3770" t="s">
        <v>4119</v>
      </c>
      <c r="J3770" t="s">
        <v>32657</v>
      </c>
      <c r="K3770" t="s">
        <v>39019</v>
      </c>
      <c r="M3770" t="s">
        <v>40730</v>
      </c>
      <c r="N3770" t="s">
        <v>43166</v>
      </c>
      <c r="O3770" t="s">
        <v>43167</v>
      </c>
      <c r="P3770">
        <v>0</v>
      </c>
      <c r="Q3770">
        <v>0</v>
      </c>
      <c r="R3770" t="s">
        <v>43171</v>
      </c>
      <c r="S3770" t="s">
        <v>43311</v>
      </c>
      <c r="T3770" t="s">
        <v>44724</v>
      </c>
      <c r="U3770" t="s">
        <v>48297</v>
      </c>
      <c r="W3770" t="s">
        <v>40730</v>
      </c>
      <c r="X3770" t="s">
        <v>43172</v>
      </c>
    </row>
    <row r="3771" spans="1:24">
      <c r="A3771">
        <f>HYPERLINK("https://www.philgeps.gov.ph/GEPSNONPILOT/Tender/SplashBidNoticeAbstractUI.aspx?menuIndex=3&amp;refID=7082754&amp;Result=3","7082754")</f>
        <v>0</v>
      </c>
      <c r="B3771" t="s">
        <v>1181</v>
      </c>
      <c r="C3771" t="s">
        <v>7006</v>
      </c>
      <c r="D3771" t="s">
        <v>17444</v>
      </c>
      <c r="E3771" t="s">
        <v>20778</v>
      </c>
      <c r="F3771" t="s">
        <v>30052</v>
      </c>
      <c r="G3771" t="s">
        <v>30059</v>
      </c>
      <c r="H3771" t="s">
        <v>30068</v>
      </c>
      <c r="I3771" t="s">
        <v>30068</v>
      </c>
      <c r="J3771" t="s">
        <v>32610</v>
      </c>
      <c r="K3771" t="s">
        <v>39025</v>
      </c>
      <c r="M3771" t="s">
        <v>40531</v>
      </c>
      <c r="N3771" t="s">
        <v>43166</v>
      </c>
      <c r="O3771" t="s">
        <v>43167</v>
      </c>
      <c r="P3771">
        <v>0</v>
      </c>
      <c r="Q3771">
        <v>0</v>
      </c>
      <c r="R3771" t="s">
        <v>43171</v>
      </c>
      <c r="S3771" t="s">
        <v>43311</v>
      </c>
      <c r="T3771" t="s">
        <v>44705</v>
      </c>
      <c r="U3771" t="s">
        <v>48298</v>
      </c>
      <c r="W3771" t="s">
        <v>40531</v>
      </c>
      <c r="X3771" t="s">
        <v>43172</v>
      </c>
    </row>
    <row r="3772" spans="1:24">
      <c r="A3772">
        <f>HYPERLINK("https://www.philgeps.gov.ph/GEPSNONPILOT/Tender/SplashBidNoticeAbstractUI.aspx?menuIndex=3&amp;refID=7082586&amp;Result=3","7082586")</f>
        <v>0</v>
      </c>
      <c r="B3772" t="s">
        <v>1382</v>
      </c>
      <c r="C3772" t="s">
        <v>7007</v>
      </c>
      <c r="D3772" t="s">
        <v>17444</v>
      </c>
      <c r="E3772" t="s">
        <v>20779</v>
      </c>
      <c r="F3772" t="s">
        <v>30052</v>
      </c>
      <c r="G3772" t="s">
        <v>30059</v>
      </c>
      <c r="H3772" t="s">
        <v>15498</v>
      </c>
      <c r="I3772" t="s">
        <v>30081</v>
      </c>
      <c r="J3772" t="s">
        <v>30521</v>
      </c>
      <c r="K3772" t="s">
        <v>39034</v>
      </c>
      <c r="M3772" t="s">
        <v>40758</v>
      </c>
      <c r="N3772" t="s">
        <v>43166</v>
      </c>
      <c r="O3772" t="s">
        <v>43167</v>
      </c>
      <c r="P3772">
        <v>0</v>
      </c>
      <c r="Q3772">
        <v>3</v>
      </c>
      <c r="R3772" t="s">
        <v>43171</v>
      </c>
      <c r="S3772" t="s">
        <v>43311</v>
      </c>
      <c r="T3772" t="s">
        <v>44837</v>
      </c>
      <c r="U3772" t="s">
        <v>48299</v>
      </c>
      <c r="W3772" t="s">
        <v>40758</v>
      </c>
      <c r="X3772" t="s">
        <v>43172</v>
      </c>
    </row>
    <row r="3773" spans="1:24">
      <c r="A3773">
        <f>HYPERLINK("https://www.philgeps.gov.ph/GEPSNONPILOT/Tender/SplashBidNoticeAbstractUI.aspx?menuIndex=3&amp;refID=7082758&amp;Result=3","7082758")</f>
        <v>0</v>
      </c>
      <c r="B3773" t="s">
        <v>607</v>
      </c>
      <c r="C3773" t="s">
        <v>7008</v>
      </c>
      <c r="D3773" t="s">
        <v>17459</v>
      </c>
      <c r="E3773" t="s">
        <v>20780</v>
      </c>
      <c r="F3773" t="s">
        <v>30052</v>
      </c>
      <c r="G3773" t="s">
        <v>30059</v>
      </c>
      <c r="H3773" t="s">
        <v>30067</v>
      </c>
      <c r="I3773" t="s">
        <v>3693</v>
      </c>
      <c r="J3773" t="s">
        <v>32658</v>
      </c>
      <c r="K3773" t="s">
        <v>39135</v>
      </c>
      <c r="M3773" t="s">
        <v>40755</v>
      </c>
      <c r="N3773" t="s">
        <v>43166</v>
      </c>
      <c r="O3773" t="s">
        <v>43167</v>
      </c>
      <c r="P3773">
        <v>0</v>
      </c>
      <c r="Q3773">
        <v>0</v>
      </c>
      <c r="R3773" t="s">
        <v>43171</v>
      </c>
      <c r="S3773" t="s">
        <v>43311</v>
      </c>
      <c r="T3773" t="s">
        <v>44714</v>
      </c>
      <c r="U3773" t="s">
        <v>48300</v>
      </c>
      <c r="W3773" t="s">
        <v>40755</v>
      </c>
      <c r="X3773" t="s">
        <v>43172</v>
      </c>
    </row>
    <row r="3774" spans="1:24">
      <c r="A3774">
        <f>HYPERLINK("https://www.philgeps.gov.ph/GEPSNONPILOT/Tender/SplashBidNoticeAbstractUI.aspx?menuIndex=3&amp;refID=7082695&amp;Result=3","7082695")</f>
        <v>0</v>
      </c>
      <c r="B3774" t="s">
        <v>1383</v>
      </c>
      <c r="C3774" t="s">
        <v>7009</v>
      </c>
      <c r="D3774" t="s">
        <v>17453</v>
      </c>
      <c r="E3774" t="s">
        <v>20781</v>
      </c>
      <c r="F3774" t="s">
        <v>30052</v>
      </c>
      <c r="G3774" t="s">
        <v>30059</v>
      </c>
      <c r="H3774" t="s">
        <v>30067</v>
      </c>
      <c r="I3774" t="s">
        <v>30082</v>
      </c>
      <c r="J3774" t="s">
        <v>32659</v>
      </c>
      <c r="K3774" t="s">
        <v>39046</v>
      </c>
      <c r="M3774" t="s">
        <v>40759</v>
      </c>
      <c r="N3774" t="s">
        <v>43166</v>
      </c>
      <c r="O3774" t="s">
        <v>43167</v>
      </c>
      <c r="P3774">
        <v>0</v>
      </c>
      <c r="Q3774">
        <v>1</v>
      </c>
      <c r="R3774" t="s">
        <v>43171</v>
      </c>
      <c r="S3774" t="s">
        <v>43311</v>
      </c>
      <c r="T3774" t="s">
        <v>44719</v>
      </c>
      <c r="U3774" t="s">
        <v>48301</v>
      </c>
      <c r="W3774" t="s">
        <v>40759</v>
      </c>
      <c r="X3774" t="s">
        <v>43172</v>
      </c>
    </row>
    <row r="3775" spans="1:24">
      <c r="A3775">
        <f>HYPERLINK("https://www.philgeps.gov.ph/GEPSNONPILOT/Tender/SplashBidNoticeAbstractUI.aspx?menuIndex=3&amp;refID=7082768&amp;Result=3","7082768")</f>
        <v>0</v>
      </c>
      <c r="B3775" t="s">
        <v>796</v>
      </c>
      <c r="C3775" t="s">
        <v>7010</v>
      </c>
      <c r="D3775" t="s">
        <v>17476</v>
      </c>
      <c r="E3775" t="s">
        <v>20782</v>
      </c>
      <c r="F3775" t="s">
        <v>30052</v>
      </c>
      <c r="G3775" t="s">
        <v>30059</v>
      </c>
      <c r="H3775" t="s">
        <v>30069</v>
      </c>
      <c r="I3775" t="s">
        <v>30088</v>
      </c>
      <c r="J3775" t="s">
        <v>30747</v>
      </c>
      <c r="K3775" t="s">
        <v>39034</v>
      </c>
      <c r="M3775" t="s">
        <v>40741</v>
      </c>
      <c r="N3775" t="s">
        <v>43166</v>
      </c>
      <c r="O3775" t="s">
        <v>43167</v>
      </c>
      <c r="P3775">
        <v>0</v>
      </c>
      <c r="Q3775">
        <v>2</v>
      </c>
      <c r="R3775" t="s">
        <v>43171</v>
      </c>
      <c r="S3775" t="s">
        <v>43311</v>
      </c>
      <c r="T3775" t="s">
        <v>44779</v>
      </c>
      <c r="U3775" t="s">
        <v>48302</v>
      </c>
      <c r="W3775" t="s">
        <v>40741</v>
      </c>
      <c r="X3775" t="s">
        <v>43172</v>
      </c>
    </row>
    <row r="3776" spans="1:24">
      <c r="A3776">
        <f>HYPERLINK("https://www.philgeps.gov.ph/GEPSNONPILOT/Tender/SplashBidNoticeAbstractUI.aspx?menuIndex=3&amp;refID=7082692&amp;Result=3","7082692")</f>
        <v>0</v>
      </c>
      <c r="B3776" t="s">
        <v>1274</v>
      </c>
      <c r="C3776" t="s">
        <v>7011</v>
      </c>
      <c r="D3776" t="s">
        <v>17466</v>
      </c>
      <c r="E3776" t="s">
        <v>20783</v>
      </c>
      <c r="F3776" t="s">
        <v>30052</v>
      </c>
      <c r="G3776" t="s">
        <v>30059</v>
      </c>
      <c r="H3776" t="s">
        <v>15498</v>
      </c>
      <c r="I3776" t="s">
        <v>12885</v>
      </c>
      <c r="J3776" t="s">
        <v>30644</v>
      </c>
      <c r="K3776" t="s">
        <v>39039</v>
      </c>
      <c r="M3776" t="s">
        <v>40634</v>
      </c>
      <c r="N3776" t="s">
        <v>43166</v>
      </c>
      <c r="O3776" t="s">
        <v>43167</v>
      </c>
      <c r="P3776">
        <v>0</v>
      </c>
      <c r="Q3776">
        <v>0</v>
      </c>
      <c r="R3776" t="s">
        <v>43171</v>
      </c>
      <c r="S3776" t="s">
        <v>43311</v>
      </c>
      <c r="T3776" t="s">
        <v>44685</v>
      </c>
      <c r="U3776" t="s">
        <v>48303</v>
      </c>
      <c r="W3776" t="s">
        <v>40634</v>
      </c>
      <c r="X3776" t="s">
        <v>43172</v>
      </c>
    </row>
    <row r="3777" spans="1:24">
      <c r="A3777">
        <f>HYPERLINK("https://www.philgeps.gov.ph/GEPSNONPILOT/Tender/SplashBidNoticeAbstractUI.aspx?menuIndex=3&amp;refID=7082697&amp;Result=3","7082697")</f>
        <v>0</v>
      </c>
      <c r="B3777" t="s">
        <v>1134</v>
      </c>
      <c r="C3777" t="s">
        <v>7012</v>
      </c>
      <c r="D3777" t="s">
        <v>17459</v>
      </c>
      <c r="E3777" t="s">
        <v>20784</v>
      </c>
      <c r="F3777" t="s">
        <v>30052</v>
      </c>
      <c r="G3777" t="s">
        <v>30058</v>
      </c>
      <c r="H3777" t="s">
        <v>15498</v>
      </c>
      <c r="I3777" t="s">
        <v>30117</v>
      </c>
      <c r="J3777" t="s">
        <v>32660</v>
      </c>
      <c r="K3777" t="s">
        <v>39057</v>
      </c>
      <c r="M3777" t="s">
        <v>40749</v>
      </c>
      <c r="N3777" t="s">
        <v>43166</v>
      </c>
      <c r="O3777" t="s">
        <v>43167</v>
      </c>
      <c r="P3777">
        <v>0</v>
      </c>
      <c r="Q3777">
        <v>2</v>
      </c>
      <c r="R3777" t="s">
        <v>43171</v>
      </c>
      <c r="S3777" t="s">
        <v>43311</v>
      </c>
      <c r="T3777" t="s">
        <v>44722</v>
      </c>
      <c r="U3777" t="s">
        <v>48304</v>
      </c>
      <c r="V3777" t="s">
        <v>57265</v>
      </c>
      <c r="W3777" t="s">
        <v>40749</v>
      </c>
      <c r="X3777" t="s">
        <v>43172</v>
      </c>
    </row>
    <row r="3778" spans="1:24">
      <c r="A3778">
        <f>HYPERLINK("https://www.philgeps.gov.ph/GEPSNONPILOT/Tender/SplashBidNoticeAbstractUI.aspx?menuIndex=3&amp;refID=7082823&amp;Result=3","7082823")</f>
        <v>0</v>
      </c>
      <c r="B3778" t="s">
        <v>893</v>
      </c>
      <c r="C3778" t="s">
        <v>7013</v>
      </c>
      <c r="D3778" t="s">
        <v>17460</v>
      </c>
      <c r="E3778" t="s">
        <v>20785</v>
      </c>
      <c r="F3778" t="s">
        <v>30052</v>
      </c>
      <c r="G3778" t="s">
        <v>30059</v>
      </c>
      <c r="H3778" t="s">
        <v>15498</v>
      </c>
      <c r="I3778" t="s">
        <v>30081</v>
      </c>
      <c r="J3778" t="s">
        <v>32661</v>
      </c>
      <c r="K3778" t="s">
        <v>39036</v>
      </c>
      <c r="M3778" t="s">
        <v>40212</v>
      </c>
      <c r="N3778" t="s">
        <v>43166</v>
      </c>
      <c r="O3778" t="s">
        <v>43167</v>
      </c>
      <c r="P3778">
        <v>0</v>
      </c>
      <c r="Q3778">
        <v>1</v>
      </c>
      <c r="R3778" t="s">
        <v>43171</v>
      </c>
      <c r="S3778" t="s">
        <v>43311</v>
      </c>
      <c r="T3778" t="s">
        <v>44698</v>
      </c>
      <c r="U3778" t="s">
        <v>48305</v>
      </c>
      <c r="V3778" t="s">
        <v>57074</v>
      </c>
      <c r="W3778" t="s">
        <v>40212</v>
      </c>
      <c r="X3778" t="s">
        <v>43172</v>
      </c>
    </row>
    <row r="3779" spans="1:24">
      <c r="A3779">
        <f>HYPERLINK("https://www.philgeps.gov.ph/GEPSNONPILOT/Tender/SplashBidNoticeAbstractUI.aspx?menuIndex=3&amp;refID=7082696&amp;Result=3","7082696")</f>
        <v>0</v>
      </c>
      <c r="B3779" t="s">
        <v>1350</v>
      </c>
      <c r="C3779" t="s">
        <v>7014</v>
      </c>
      <c r="D3779" t="s">
        <v>17415</v>
      </c>
      <c r="E3779" t="s">
        <v>20786</v>
      </c>
      <c r="F3779" t="s">
        <v>30052</v>
      </c>
      <c r="G3779" t="s">
        <v>30058</v>
      </c>
      <c r="H3779" t="s">
        <v>15498</v>
      </c>
      <c r="I3779" t="s">
        <v>9238</v>
      </c>
      <c r="J3779" t="s">
        <v>30783</v>
      </c>
      <c r="K3779" t="s">
        <v>39025</v>
      </c>
      <c r="L3779" t="s">
        <v>1350</v>
      </c>
      <c r="M3779" t="s">
        <v>40719</v>
      </c>
      <c r="N3779" t="s">
        <v>43166</v>
      </c>
      <c r="O3779" t="s">
        <v>43167</v>
      </c>
      <c r="P3779">
        <v>0</v>
      </c>
      <c r="Q3779">
        <v>6</v>
      </c>
      <c r="R3779" t="s">
        <v>43171</v>
      </c>
      <c r="S3779" t="s">
        <v>43311</v>
      </c>
      <c r="T3779" t="s">
        <v>44789</v>
      </c>
      <c r="U3779" t="s">
        <v>48208</v>
      </c>
      <c r="W3779" t="s">
        <v>40719</v>
      </c>
      <c r="X3779" t="s">
        <v>43172</v>
      </c>
    </row>
    <row r="3780" spans="1:24">
      <c r="A3780">
        <f>HYPERLINK("https://www.philgeps.gov.ph/GEPSNONPILOT/Tender/SplashBidNoticeAbstractUI.aspx?menuIndex=3&amp;refID=7082773&amp;Result=3","7082773")</f>
        <v>0</v>
      </c>
      <c r="B3780" t="s">
        <v>544</v>
      </c>
      <c r="C3780" t="s">
        <v>7015</v>
      </c>
      <c r="D3780" t="s">
        <v>17434</v>
      </c>
      <c r="E3780" t="s">
        <v>20787</v>
      </c>
      <c r="F3780" t="s">
        <v>30055</v>
      </c>
      <c r="G3780" t="s">
        <v>30059</v>
      </c>
      <c r="H3780" t="s">
        <v>15498</v>
      </c>
      <c r="I3780" t="s">
        <v>3736</v>
      </c>
      <c r="J3780" t="s">
        <v>30783</v>
      </c>
      <c r="K3780" t="s">
        <v>39040</v>
      </c>
      <c r="M3780" t="s">
        <v>40435</v>
      </c>
      <c r="N3780" t="s">
        <v>43166</v>
      </c>
      <c r="O3780" t="s">
        <v>43167</v>
      </c>
      <c r="P3780">
        <v>0</v>
      </c>
      <c r="Q3780">
        <v>1</v>
      </c>
      <c r="R3780" t="s">
        <v>43171</v>
      </c>
      <c r="S3780" t="s">
        <v>43311</v>
      </c>
      <c r="T3780" t="s">
        <v>44787</v>
      </c>
      <c r="U3780" t="s">
        <v>48306</v>
      </c>
      <c r="V3780" t="s">
        <v>57267</v>
      </c>
      <c r="W3780" t="s">
        <v>40435</v>
      </c>
      <c r="X3780" t="s">
        <v>43172</v>
      </c>
    </row>
    <row r="3781" spans="1:24">
      <c r="A3781">
        <f>HYPERLINK("https://www.philgeps.gov.ph/GEPSNONPILOT/Tender/SplashBidNoticeAbstractUI.aspx?menuIndex=3&amp;refID=7082693&amp;Result=3","7082693")</f>
        <v>0</v>
      </c>
      <c r="B3781" t="s">
        <v>1384</v>
      </c>
      <c r="C3781" t="s">
        <v>3461</v>
      </c>
      <c r="E3781" t="s">
        <v>20788</v>
      </c>
      <c r="F3781" t="s">
        <v>30052</v>
      </c>
      <c r="G3781" t="s">
        <v>30058</v>
      </c>
      <c r="H3781" t="s">
        <v>30067</v>
      </c>
      <c r="I3781" t="s">
        <v>3693</v>
      </c>
      <c r="J3781" t="s">
        <v>30330</v>
      </c>
      <c r="K3781" t="s">
        <v>39035</v>
      </c>
      <c r="M3781" t="s">
        <v>40491</v>
      </c>
      <c r="N3781" t="s">
        <v>43166</v>
      </c>
      <c r="O3781" t="s">
        <v>43167</v>
      </c>
      <c r="P3781">
        <v>0</v>
      </c>
      <c r="Q3781">
        <v>0</v>
      </c>
      <c r="R3781" t="s">
        <v>43171</v>
      </c>
      <c r="S3781" t="s">
        <v>43311</v>
      </c>
      <c r="T3781" t="s">
        <v>44719</v>
      </c>
      <c r="U3781" t="s">
        <v>48307</v>
      </c>
      <c r="W3781" t="s">
        <v>40491</v>
      </c>
      <c r="X3781" t="s">
        <v>43172</v>
      </c>
    </row>
    <row r="3782" spans="1:24">
      <c r="A3782">
        <f>HYPERLINK("https://www.philgeps.gov.ph/GEPSNONPILOT/Tender/SplashBidNoticeAbstractUI.aspx?menuIndex=3&amp;refID=7082817&amp;Result=3","7082817")</f>
        <v>0</v>
      </c>
      <c r="B3782" t="s">
        <v>777</v>
      </c>
      <c r="C3782" t="s">
        <v>7016</v>
      </c>
      <c r="E3782" t="s">
        <v>20789</v>
      </c>
      <c r="F3782" t="s">
        <v>30052</v>
      </c>
      <c r="G3782" t="s">
        <v>30060</v>
      </c>
      <c r="H3782" t="s">
        <v>15498</v>
      </c>
      <c r="I3782" t="s">
        <v>3736</v>
      </c>
      <c r="J3782" t="s">
        <v>32662</v>
      </c>
      <c r="K3782" t="s">
        <v>39025</v>
      </c>
      <c r="M3782" t="s">
        <v>40092</v>
      </c>
      <c r="N3782" t="s">
        <v>43166</v>
      </c>
      <c r="O3782" t="s">
        <v>43167</v>
      </c>
      <c r="P3782">
        <v>0</v>
      </c>
      <c r="Q3782">
        <v>0</v>
      </c>
      <c r="R3782" t="s">
        <v>43171</v>
      </c>
      <c r="S3782" t="s">
        <v>43311</v>
      </c>
      <c r="T3782" t="s">
        <v>44696</v>
      </c>
      <c r="U3782" t="s">
        <v>48308</v>
      </c>
      <c r="W3782" t="s">
        <v>40092</v>
      </c>
      <c r="X3782" t="s">
        <v>43172</v>
      </c>
    </row>
    <row r="3783" spans="1:24">
      <c r="A3783">
        <f>HYPERLINK("https://www.philgeps.gov.ph/GEPSNONPILOT/Tender/SplashBidNoticeAbstractUI.aspx?menuIndex=3&amp;refID=7082808&amp;Result=3","7082808")</f>
        <v>0</v>
      </c>
      <c r="B3783" t="s">
        <v>1134</v>
      </c>
      <c r="C3783" t="s">
        <v>7017</v>
      </c>
      <c r="D3783" t="s">
        <v>17459</v>
      </c>
      <c r="E3783" t="s">
        <v>20790</v>
      </c>
      <c r="F3783" t="s">
        <v>30052</v>
      </c>
      <c r="G3783" t="s">
        <v>30058</v>
      </c>
      <c r="H3783" t="s">
        <v>15498</v>
      </c>
      <c r="I3783" t="s">
        <v>9238</v>
      </c>
      <c r="J3783" t="s">
        <v>32663</v>
      </c>
      <c r="K3783" t="s">
        <v>39029</v>
      </c>
      <c r="M3783" t="s">
        <v>40749</v>
      </c>
      <c r="N3783" t="s">
        <v>43166</v>
      </c>
      <c r="O3783" t="s">
        <v>43167</v>
      </c>
      <c r="P3783">
        <v>0</v>
      </c>
      <c r="Q3783">
        <v>7</v>
      </c>
      <c r="R3783" t="s">
        <v>43171</v>
      </c>
      <c r="S3783" t="s">
        <v>43311</v>
      </c>
      <c r="T3783" t="s">
        <v>44722</v>
      </c>
      <c r="U3783" t="s">
        <v>48309</v>
      </c>
      <c r="V3783" t="s">
        <v>57265</v>
      </c>
      <c r="W3783" t="s">
        <v>40749</v>
      </c>
      <c r="X3783" t="s">
        <v>43172</v>
      </c>
    </row>
    <row r="3784" spans="1:24">
      <c r="A3784">
        <f>HYPERLINK("https://www.philgeps.gov.ph/GEPSNONPILOT/Tender/SplashBidNoticeAbstractUI.aspx?menuIndex=3&amp;refID=7082788&amp;Result=3","7082788")</f>
        <v>0</v>
      </c>
      <c r="B3784" t="s">
        <v>1385</v>
      </c>
      <c r="C3784" t="s">
        <v>7018</v>
      </c>
      <c r="D3784" t="s">
        <v>17441</v>
      </c>
      <c r="E3784" t="s">
        <v>20469</v>
      </c>
      <c r="F3784" t="s">
        <v>30052</v>
      </c>
      <c r="G3784" t="s">
        <v>30058</v>
      </c>
      <c r="H3784" t="s">
        <v>30067</v>
      </c>
      <c r="I3784" t="s">
        <v>3693</v>
      </c>
      <c r="J3784" t="s">
        <v>32664</v>
      </c>
      <c r="K3784" t="s">
        <v>39029</v>
      </c>
      <c r="M3784" t="s">
        <v>40760</v>
      </c>
      <c r="N3784" t="s">
        <v>43166</v>
      </c>
      <c r="O3784" t="s">
        <v>43167</v>
      </c>
      <c r="P3784">
        <v>0</v>
      </c>
      <c r="Q3784">
        <v>1</v>
      </c>
      <c r="R3784" t="s">
        <v>43171</v>
      </c>
      <c r="S3784" t="s">
        <v>43311</v>
      </c>
      <c r="T3784" t="s">
        <v>44710</v>
      </c>
      <c r="U3784" t="s">
        <v>47806</v>
      </c>
      <c r="W3784" t="s">
        <v>40760</v>
      </c>
      <c r="X3784" t="s">
        <v>43172</v>
      </c>
    </row>
    <row r="3785" spans="1:24">
      <c r="A3785">
        <f>HYPERLINK("https://www.philgeps.gov.ph/GEPSNONPILOT/Tender/SplashBidNoticeAbstractUI.aspx?menuIndex=3&amp;refID=7082807&amp;Result=3","7082807")</f>
        <v>0</v>
      </c>
      <c r="B3785" t="s">
        <v>607</v>
      </c>
      <c r="C3785" t="s">
        <v>7019</v>
      </c>
      <c r="D3785" t="s">
        <v>17459</v>
      </c>
      <c r="E3785" t="s">
        <v>20791</v>
      </c>
      <c r="F3785" t="s">
        <v>30052</v>
      </c>
      <c r="G3785" t="s">
        <v>30059</v>
      </c>
      <c r="H3785" t="s">
        <v>30067</v>
      </c>
      <c r="I3785" t="s">
        <v>3693</v>
      </c>
      <c r="J3785" t="s">
        <v>32665</v>
      </c>
      <c r="K3785" t="s">
        <v>39029</v>
      </c>
      <c r="M3785" t="s">
        <v>40755</v>
      </c>
      <c r="N3785" t="s">
        <v>43166</v>
      </c>
      <c r="O3785" t="s">
        <v>43167</v>
      </c>
      <c r="P3785">
        <v>0</v>
      </c>
      <c r="Q3785">
        <v>0</v>
      </c>
      <c r="R3785" t="s">
        <v>43171</v>
      </c>
      <c r="S3785" t="s">
        <v>43311</v>
      </c>
      <c r="T3785" t="s">
        <v>44714</v>
      </c>
      <c r="U3785" t="s">
        <v>48310</v>
      </c>
      <c r="W3785" t="s">
        <v>40755</v>
      </c>
      <c r="X3785" t="s">
        <v>43172</v>
      </c>
    </row>
    <row r="3786" spans="1:24">
      <c r="A3786">
        <f>HYPERLINK("https://www.philgeps.gov.ph/GEPSNONPILOT/Tender/SplashBidNoticeAbstractUI.aspx?menuIndex=3&amp;refID=7082806&amp;Result=3","7082806")</f>
        <v>0</v>
      </c>
      <c r="B3786" t="s">
        <v>1372</v>
      </c>
      <c r="C3786" t="s">
        <v>7020</v>
      </c>
      <c r="D3786" t="s">
        <v>17424</v>
      </c>
      <c r="E3786" t="s">
        <v>20792</v>
      </c>
      <c r="F3786" t="s">
        <v>30052</v>
      </c>
      <c r="G3786" t="s">
        <v>30059</v>
      </c>
      <c r="H3786" t="s">
        <v>15498</v>
      </c>
      <c r="I3786" t="s">
        <v>30115</v>
      </c>
      <c r="J3786" t="s">
        <v>32666</v>
      </c>
      <c r="K3786" t="s">
        <v>39049</v>
      </c>
      <c r="M3786" t="s">
        <v>40761</v>
      </c>
      <c r="N3786" t="s">
        <v>43166</v>
      </c>
      <c r="O3786" t="s">
        <v>43167</v>
      </c>
      <c r="P3786">
        <v>0</v>
      </c>
      <c r="Q3786">
        <v>5</v>
      </c>
      <c r="R3786" t="s">
        <v>43171</v>
      </c>
      <c r="S3786" t="s">
        <v>43311</v>
      </c>
      <c r="T3786" t="s">
        <v>44698</v>
      </c>
      <c r="U3786" t="s">
        <v>48311</v>
      </c>
      <c r="W3786" t="s">
        <v>40761</v>
      </c>
      <c r="X3786" t="s">
        <v>43172</v>
      </c>
    </row>
    <row r="3787" spans="1:24">
      <c r="A3787">
        <f>HYPERLINK("https://www.philgeps.gov.ph/GEPSNONPILOT/Tender/SplashBidNoticeAbstractUI.aspx?menuIndex=3&amp;refID=7082800&amp;Result=3","7082800")</f>
        <v>0</v>
      </c>
      <c r="B3787" t="s">
        <v>1386</v>
      </c>
      <c r="C3787" t="s">
        <v>7021</v>
      </c>
      <c r="D3787" t="s">
        <v>17441</v>
      </c>
      <c r="E3787" t="s">
        <v>20469</v>
      </c>
      <c r="F3787" t="s">
        <v>30052</v>
      </c>
      <c r="G3787" t="s">
        <v>30058</v>
      </c>
      <c r="H3787" t="s">
        <v>30067</v>
      </c>
      <c r="I3787" t="s">
        <v>3693</v>
      </c>
      <c r="J3787" t="s">
        <v>30230</v>
      </c>
      <c r="K3787" t="s">
        <v>39029</v>
      </c>
      <c r="M3787" t="s">
        <v>40762</v>
      </c>
      <c r="N3787" t="s">
        <v>43166</v>
      </c>
      <c r="O3787" t="s">
        <v>43167</v>
      </c>
      <c r="P3787">
        <v>0</v>
      </c>
      <c r="Q3787">
        <v>0</v>
      </c>
      <c r="R3787" t="s">
        <v>43171</v>
      </c>
      <c r="S3787" t="s">
        <v>43311</v>
      </c>
      <c r="T3787" t="s">
        <v>44710</v>
      </c>
      <c r="U3787" t="s">
        <v>47806</v>
      </c>
      <c r="W3787" t="s">
        <v>40762</v>
      </c>
      <c r="X3787" t="s">
        <v>43172</v>
      </c>
    </row>
    <row r="3788" spans="1:24">
      <c r="A3788">
        <f>HYPERLINK("https://www.philgeps.gov.ph/GEPSNONPILOT/Tender/SplashBidNoticeAbstractUI.aspx?menuIndex=3&amp;refID=7082798&amp;Result=3","7082798")</f>
        <v>0</v>
      </c>
      <c r="B3788" t="s">
        <v>1190</v>
      </c>
      <c r="C3788" t="s">
        <v>7022</v>
      </c>
      <c r="D3788" t="s">
        <v>17415</v>
      </c>
      <c r="E3788" t="s">
        <v>20793</v>
      </c>
      <c r="F3788" t="s">
        <v>30052</v>
      </c>
      <c r="G3788" t="s">
        <v>30059</v>
      </c>
      <c r="H3788" t="s">
        <v>15498</v>
      </c>
      <c r="I3788" t="s">
        <v>30096</v>
      </c>
      <c r="J3788" t="s">
        <v>32667</v>
      </c>
      <c r="K3788" t="s">
        <v>39025</v>
      </c>
      <c r="M3788" t="s">
        <v>40737</v>
      </c>
      <c r="N3788" t="s">
        <v>43166</v>
      </c>
      <c r="O3788" t="s">
        <v>43167</v>
      </c>
      <c r="P3788">
        <v>0</v>
      </c>
      <c r="Q3788">
        <v>4</v>
      </c>
      <c r="R3788" t="s">
        <v>43171</v>
      </c>
      <c r="S3788" t="s">
        <v>43311</v>
      </c>
      <c r="T3788" t="s">
        <v>44691</v>
      </c>
      <c r="U3788" t="s">
        <v>48312</v>
      </c>
      <c r="W3788" t="s">
        <v>40737</v>
      </c>
      <c r="X3788" t="s">
        <v>43172</v>
      </c>
    </row>
    <row r="3789" spans="1:24">
      <c r="A3789">
        <f>HYPERLINK("https://www.philgeps.gov.ph/GEPSNONPILOT/Tender/SplashBidNoticeAbstractUI.aspx?menuIndex=3&amp;refID=7082796&amp;Result=3","7082796")</f>
        <v>0</v>
      </c>
      <c r="B3789" t="s">
        <v>1387</v>
      </c>
      <c r="C3789" t="s">
        <v>7023</v>
      </c>
      <c r="E3789" t="s">
        <v>20794</v>
      </c>
      <c r="F3789" t="s">
        <v>30052</v>
      </c>
      <c r="G3789" t="s">
        <v>30059</v>
      </c>
      <c r="H3789" t="s">
        <v>15498</v>
      </c>
      <c r="I3789" t="s">
        <v>30098</v>
      </c>
      <c r="J3789" t="s">
        <v>32640</v>
      </c>
      <c r="K3789" t="s">
        <v>39017</v>
      </c>
      <c r="M3789" t="s">
        <v>40763</v>
      </c>
      <c r="N3789" t="s">
        <v>43166</v>
      </c>
      <c r="O3789" t="s">
        <v>43167</v>
      </c>
      <c r="P3789">
        <v>0</v>
      </c>
      <c r="Q3789">
        <v>1</v>
      </c>
      <c r="R3789" t="s">
        <v>43171</v>
      </c>
      <c r="S3789" t="s">
        <v>43311</v>
      </c>
      <c r="T3789" t="s">
        <v>44714</v>
      </c>
      <c r="U3789" t="s">
        <v>48313</v>
      </c>
      <c r="W3789" t="s">
        <v>40763</v>
      </c>
      <c r="X3789" t="s">
        <v>43172</v>
      </c>
    </row>
    <row r="3790" spans="1:24">
      <c r="A3790">
        <f>HYPERLINK("https://www.philgeps.gov.ph/GEPSNONPILOT/Tender/SplashBidNoticeAbstractUI.aspx?menuIndex=3&amp;refID=7082795&amp;Result=3","7082795")</f>
        <v>0</v>
      </c>
      <c r="B3790" t="s">
        <v>1134</v>
      </c>
      <c r="C3790" t="s">
        <v>7024</v>
      </c>
      <c r="D3790" t="s">
        <v>17459</v>
      </c>
      <c r="E3790" t="s">
        <v>20795</v>
      </c>
      <c r="F3790" t="s">
        <v>30052</v>
      </c>
      <c r="G3790" t="s">
        <v>30058</v>
      </c>
      <c r="H3790" t="s">
        <v>15498</v>
      </c>
      <c r="I3790" t="s">
        <v>3606</v>
      </c>
      <c r="J3790" t="s">
        <v>32668</v>
      </c>
      <c r="K3790" t="s">
        <v>39029</v>
      </c>
      <c r="M3790" t="s">
        <v>40749</v>
      </c>
      <c r="N3790" t="s">
        <v>43166</v>
      </c>
      <c r="O3790" t="s">
        <v>43167</v>
      </c>
      <c r="P3790">
        <v>0</v>
      </c>
      <c r="Q3790">
        <v>1</v>
      </c>
      <c r="R3790" t="s">
        <v>43171</v>
      </c>
      <c r="S3790" t="s">
        <v>43311</v>
      </c>
      <c r="T3790" t="s">
        <v>44722</v>
      </c>
      <c r="U3790" t="s">
        <v>48314</v>
      </c>
      <c r="V3790" t="s">
        <v>57265</v>
      </c>
      <c r="W3790" t="s">
        <v>40749</v>
      </c>
      <c r="X3790" t="s">
        <v>43172</v>
      </c>
    </row>
    <row r="3791" spans="1:24">
      <c r="A3791">
        <f>HYPERLINK("https://www.philgeps.gov.ph/GEPSNONPILOT/Tender/SplashBidNoticeAbstractUI.aspx?menuIndex=3&amp;refID=7082794&amp;Result=3","7082794")</f>
        <v>0</v>
      </c>
      <c r="B3791" t="s">
        <v>1309</v>
      </c>
      <c r="C3791" t="s">
        <v>7025</v>
      </c>
      <c r="D3791" t="s">
        <v>17414</v>
      </c>
      <c r="E3791" t="s">
        <v>20796</v>
      </c>
      <c r="F3791" t="s">
        <v>30052</v>
      </c>
      <c r="G3791" t="s">
        <v>30058</v>
      </c>
      <c r="H3791" t="s">
        <v>15498</v>
      </c>
      <c r="I3791" t="s">
        <v>3736</v>
      </c>
      <c r="J3791" t="s">
        <v>32669</v>
      </c>
      <c r="K3791" t="s">
        <v>39029</v>
      </c>
      <c r="M3791" t="s">
        <v>40676</v>
      </c>
      <c r="N3791" t="s">
        <v>43166</v>
      </c>
      <c r="O3791" t="s">
        <v>43167</v>
      </c>
      <c r="P3791">
        <v>0</v>
      </c>
      <c r="Q3791">
        <v>2</v>
      </c>
      <c r="R3791" t="s">
        <v>43171</v>
      </c>
      <c r="S3791" t="s">
        <v>43311</v>
      </c>
      <c r="T3791" t="s">
        <v>44724</v>
      </c>
      <c r="U3791" t="s">
        <v>48315</v>
      </c>
      <c r="W3791" t="s">
        <v>40676</v>
      </c>
      <c r="X3791" t="s">
        <v>43172</v>
      </c>
    </row>
    <row r="3792" spans="1:24">
      <c r="A3792">
        <f>HYPERLINK("https://www.philgeps.gov.ph/GEPSNONPILOT/Tender/SplashBidNoticeAbstractUI.aspx?menuIndex=3&amp;refID=7082826&amp;Result=3","7082826")</f>
        <v>0</v>
      </c>
      <c r="B3792" t="s">
        <v>1388</v>
      </c>
      <c r="C3792" t="s">
        <v>7026</v>
      </c>
      <c r="D3792" t="s">
        <v>17413</v>
      </c>
      <c r="E3792" t="s">
        <v>20418</v>
      </c>
      <c r="F3792" t="s">
        <v>30052</v>
      </c>
      <c r="G3792" t="s">
        <v>30061</v>
      </c>
      <c r="H3792" t="s">
        <v>15498</v>
      </c>
      <c r="I3792" t="s">
        <v>30099</v>
      </c>
      <c r="J3792" t="s">
        <v>30230</v>
      </c>
      <c r="K3792" t="s">
        <v>39017</v>
      </c>
      <c r="M3792" t="s">
        <v>40764</v>
      </c>
      <c r="N3792" t="s">
        <v>43166</v>
      </c>
      <c r="O3792" t="s">
        <v>43167</v>
      </c>
      <c r="P3792">
        <v>0</v>
      </c>
      <c r="Q3792">
        <v>3</v>
      </c>
      <c r="R3792" t="s">
        <v>43171</v>
      </c>
      <c r="S3792" t="s">
        <v>43311</v>
      </c>
      <c r="T3792" t="s">
        <v>44720</v>
      </c>
      <c r="U3792" t="s">
        <v>48316</v>
      </c>
      <c r="W3792" t="s">
        <v>40764</v>
      </c>
      <c r="X3792" t="s">
        <v>43172</v>
      </c>
    </row>
    <row r="3793" spans="1:24">
      <c r="A3793">
        <f>HYPERLINK("https://www.philgeps.gov.ph/GEPSNONPILOT/Tender/SplashBidNoticeAbstractUI.aspx?menuIndex=3&amp;refID=7082854&amp;Result=3","7082854")</f>
        <v>0</v>
      </c>
      <c r="B3793" t="s">
        <v>596</v>
      </c>
      <c r="C3793" t="s">
        <v>7027</v>
      </c>
      <c r="D3793" t="s">
        <v>17459</v>
      </c>
      <c r="E3793" t="s">
        <v>20797</v>
      </c>
      <c r="F3793" t="s">
        <v>30052</v>
      </c>
      <c r="G3793" t="s">
        <v>30059</v>
      </c>
      <c r="H3793" t="s">
        <v>15498</v>
      </c>
      <c r="I3793" t="s">
        <v>30071</v>
      </c>
      <c r="J3793" t="s">
        <v>32670</v>
      </c>
      <c r="K3793" t="s">
        <v>39037</v>
      </c>
      <c r="M3793" t="s">
        <v>39898</v>
      </c>
      <c r="N3793" t="s">
        <v>43166</v>
      </c>
      <c r="O3793" t="s">
        <v>43167</v>
      </c>
      <c r="P3793">
        <v>0</v>
      </c>
      <c r="Q3793">
        <v>0</v>
      </c>
      <c r="R3793" t="s">
        <v>43171</v>
      </c>
      <c r="S3793" t="s">
        <v>43311</v>
      </c>
      <c r="T3793" t="s">
        <v>44710</v>
      </c>
      <c r="U3793" t="s">
        <v>48317</v>
      </c>
      <c r="V3793" t="s">
        <v>56984</v>
      </c>
      <c r="W3793" t="s">
        <v>39898</v>
      </c>
      <c r="X3793" t="s">
        <v>43172</v>
      </c>
    </row>
    <row r="3794" spans="1:24">
      <c r="A3794">
        <f>HYPERLINK("https://www.philgeps.gov.ph/GEPSNONPILOT/Tender/SplashBidNoticeAbstractUI.aspx?menuIndex=3&amp;refID=7082853&amp;Result=3","7082853")</f>
        <v>0</v>
      </c>
      <c r="B3794" t="s">
        <v>1356</v>
      </c>
      <c r="C3794" t="s">
        <v>7028</v>
      </c>
      <c r="D3794" t="s">
        <v>17445</v>
      </c>
      <c r="E3794" t="s">
        <v>20798</v>
      </c>
      <c r="F3794" t="s">
        <v>30052</v>
      </c>
      <c r="G3794" t="s">
        <v>30059</v>
      </c>
      <c r="H3794" t="s">
        <v>15498</v>
      </c>
      <c r="I3794" t="s">
        <v>30073</v>
      </c>
      <c r="J3794" t="s">
        <v>31222</v>
      </c>
      <c r="K3794" t="s">
        <v>39018</v>
      </c>
      <c r="M3794" t="s">
        <v>40725</v>
      </c>
      <c r="N3794" t="s">
        <v>43166</v>
      </c>
      <c r="O3794" t="s">
        <v>43167</v>
      </c>
      <c r="P3794">
        <v>0</v>
      </c>
      <c r="Q3794">
        <v>1</v>
      </c>
      <c r="R3794" t="s">
        <v>43171</v>
      </c>
      <c r="S3794" t="s">
        <v>43311</v>
      </c>
      <c r="T3794" t="s">
        <v>44695</v>
      </c>
      <c r="U3794" t="s">
        <v>48263</v>
      </c>
      <c r="W3794" t="s">
        <v>40725</v>
      </c>
      <c r="X3794" t="s">
        <v>43172</v>
      </c>
    </row>
    <row r="3795" spans="1:24">
      <c r="A3795">
        <f>HYPERLINK("https://www.philgeps.gov.ph/GEPSNONPILOT/Tender/SplashBidNoticeAbstractUI.aspx?menuIndex=3&amp;refID=7082801&amp;Result=3","7082801")</f>
        <v>0</v>
      </c>
      <c r="B3795" t="s">
        <v>596</v>
      </c>
      <c r="C3795" t="s">
        <v>7029</v>
      </c>
      <c r="D3795" t="s">
        <v>17459</v>
      </c>
      <c r="E3795" t="s">
        <v>20799</v>
      </c>
      <c r="F3795" t="s">
        <v>30052</v>
      </c>
      <c r="G3795" t="s">
        <v>30059</v>
      </c>
      <c r="H3795" t="s">
        <v>15498</v>
      </c>
      <c r="I3795" t="s">
        <v>30070</v>
      </c>
      <c r="J3795" t="s">
        <v>32671</v>
      </c>
      <c r="K3795" t="s">
        <v>39037</v>
      </c>
      <c r="M3795" t="s">
        <v>39898</v>
      </c>
      <c r="N3795" t="s">
        <v>43166</v>
      </c>
      <c r="O3795" t="s">
        <v>43167</v>
      </c>
      <c r="P3795">
        <v>0</v>
      </c>
      <c r="Q3795">
        <v>0</v>
      </c>
      <c r="R3795" t="s">
        <v>43171</v>
      </c>
      <c r="S3795" t="s">
        <v>43311</v>
      </c>
      <c r="T3795" t="s">
        <v>44710</v>
      </c>
      <c r="U3795" t="s">
        <v>48318</v>
      </c>
      <c r="V3795" t="s">
        <v>56984</v>
      </c>
      <c r="W3795" t="s">
        <v>39898</v>
      </c>
      <c r="X3795" t="s">
        <v>43172</v>
      </c>
    </row>
    <row r="3796" spans="1:24">
      <c r="A3796">
        <f>HYPERLINK("https://www.philgeps.gov.ph/GEPSNONPILOT/Tender/SplashBidNoticeAbstractUI.aspx?menuIndex=3&amp;refID=7082852&amp;Result=3","7082852")</f>
        <v>0</v>
      </c>
      <c r="B3796" t="s">
        <v>1389</v>
      </c>
      <c r="C3796" t="s">
        <v>7030</v>
      </c>
      <c r="D3796" t="s">
        <v>17487</v>
      </c>
      <c r="E3796" t="s">
        <v>20800</v>
      </c>
      <c r="F3796" t="s">
        <v>30052</v>
      </c>
      <c r="G3796" t="s">
        <v>30059</v>
      </c>
      <c r="H3796" t="s">
        <v>15498</v>
      </c>
      <c r="I3796" t="s">
        <v>7228</v>
      </c>
      <c r="J3796" t="s">
        <v>30454</v>
      </c>
      <c r="K3796" t="s">
        <v>39025</v>
      </c>
      <c r="M3796" t="s">
        <v>40765</v>
      </c>
      <c r="N3796" t="s">
        <v>43166</v>
      </c>
      <c r="O3796" t="s">
        <v>43167</v>
      </c>
      <c r="P3796">
        <v>0</v>
      </c>
      <c r="Q3796">
        <v>1</v>
      </c>
      <c r="R3796" t="s">
        <v>43171</v>
      </c>
      <c r="S3796" t="s">
        <v>43311</v>
      </c>
      <c r="T3796" t="s">
        <v>44734</v>
      </c>
      <c r="U3796" t="s">
        <v>48319</v>
      </c>
      <c r="W3796" t="s">
        <v>40765</v>
      </c>
      <c r="X3796" t="s">
        <v>43172</v>
      </c>
    </row>
    <row r="3797" spans="1:24">
      <c r="A3797">
        <f>HYPERLINK("https://www.philgeps.gov.ph/GEPSNONPILOT/Tender/SplashBidNoticeAbstractUI.aspx?menuIndex=3&amp;refID=7082851&amp;Result=3","7082851")</f>
        <v>0</v>
      </c>
      <c r="B3797" t="s">
        <v>1390</v>
      </c>
      <c r="C3797" t="s">
        <v>7031</v>
      </c>
      <c r="D3797" t="s">
        <v>17415</v>
      </c>
      <c r="E3797" t="s">
        <v>18401</v>
      </c>
      <c r="F3797" t="s">
        <v>30052</v>
      </c>
      <c r="G3797" t="s">
        <v>30059</v>
      </c>
      <c r="H3797" t="s">
        <v>30069</v>
      </c>
      <c r="I3797" t="s">
        <v>3693</v>
      </c>
      <c r="J3797" t="s">
        <v>31821</v>
      </c>
      <c r="K3797" t="s">
        <v>39029</v>
      </c>
      <c r="M3797" t="s">
        <v>40766</v>
      </c>
      <c r="N3797" t="s">
        <v>43166</v>
      </c>
      <c r="O3797" t="s">
        <v>43167</v>
      </c>
      <c r="P3797">
        <v>0</v>
      </c>
      <c r="Q3797">
        <v>3</v>
      </c>
      <c r="R3797" t="s">
        <v>43171</v>
      </c>
      <c r="S3797" t="s">
        <v>43311</v>
      </c>
      <c r="T3797" t="s">
        <v>44714</v>
      </c>
      <c r="U3797" t="s">
        <v>48320</v>
      </c>
      <c r="W3797" t="s">
        <v>40766</v>
      </c>
      <c r="X3797" t="s">
        <v>43172</v>
      </c>
    </row>
    <row r="3798" spans="1:24">
      <c r="A3798">
        <f>HYPERLINK("https://www.philgeps.gov.ph/GEPSNONPILOT/Tender/SplashBidNoticeAbstractUI.aspx?menuIndex=3&amp;refID=7082850&amp;Result=3","7082850")</f>
        <v>0</v>
      </c>
      <c r="B3798" t="s">
        <v>1374</v>
      </c>
      <c r="C3798" t="s">
        <v>7032</v>
      </c>
      <c r="D3798" t="s">
        <v>17459</v>
      </c>
      <c r="E3798" t="s">
        <v>20750</v>
      </c>
      <c r="F3798" t="s">
        <v>30052</v>
      </c>
      <c r="G3798" t="s">
        <v>30058</v>
      </c>
      <c r="H3798" t="s">
        <v>15498</v>
      </c>
      <c r="I3798" t="s">
        <v>30128</v>
      </c>
      <c r="J3798" t="s">
        <v>31913</v>
      </c>
      <c r="K3798" t="s">
        <v>39036</v>
      </c>
      <c r="M3798" t="s">
        <v>40748</v>
      </c>
      <c r="N3798" t="s">
        <v>43166</v>
      </c>
      <c r="O3798" t="s">
        <v>43167</v>
      </c>
      <c r="P3798">
        <v>0</v>
      </c>
      <c r="Q3798">
        <v>2</v>
      </c>
      <c r="R3798" t="s">
        <v>43171</v>
      </c>
      <c r="S3798" t="s">
        <v>43311</v>
      </c>
      <c r="T3798" t="s">
        <v>44724</v>
      </c>
      <c r="U3798" t="s">
        <v>48321</v>
      </c>
      <c r="W3798" t="s">
        <v>40748</v>
      </c>
      <c r="X3798" t="s">
        <v>43172</v>
      </c>
    </row>
    <row r="3799" spans="1:24">
      <c r="A3799">
        <f>HYPERLINK("https://www.philgeps.gov.ph/GEPSNONPILOT/Tender/SplashBidNoticeAbstractUI.aspx?menuIndex=3&amp;refID=7082848&amp;Result=3","7082848")</f>
        <v>0</v>
      </c>
      <c r="B3799" t="s">
        <v>236</v>
      </c>
      <c r="C3799" t="s">
        <v>7033</v>
      </c>
      <c r="D3799" t="s">
        <v>17476</v>
      </c>
      <c r="E3799" t="s">
        <v>20801</v>
      </c>
      <c r="F3799" t="s">
        <v>30052</v>
      </c>
      <c r="G3799" t="s">
        <v>30059</v>
      </c>
      <c r="H3799" t="s">
        <v>30069</v>
      </c>
      <c r="I3799" t="s">
        <v>30098</v>
      </c>
      <c r="J3799" t="s">
        <v>30299</v>
      </c>
      <c r="K3799" t="s">
        <v>39029</v>
      </c>
      <c r="M3799" t="s">
        <v>39920</v>
      </c>
      <c r="N3799" t="s">
        <v>43166</v>
      </c>
      <c r="O3799" t="s">
        <v>43167</v>
      </c>
      <c r="P3799">
        <v>0</v>
      </c>
      <c r="Q3799">
        <v>1</v>
      </c>
      <c r="R3799" t="s">
        <v>43171</v>
      </c>
      <c r="S3799" t="s">
        <v>43311</v>
      </c>
      <c r="T3799" t="s">
        <v>44744</v>
      </c>
      <c r="U3799" t="s">
        <v>48322</v>
      </c>
      <c r="V3799" t="s">
        <v>45722</v>
      </c>
      <c r="W3799" t="s">
        <v>39920</v>
      </c>
      <c r="X3799" t="s">
        <v>43172</v>
      </c>
    </row>
    <row r="3800" spans="1:24">
      <c r="A3800">
        <f>HYPERLINK("https://www.philgeps.gov.ph/GEPSNONPILOT/Tender/SplashBidNoticeAbstractUI.aspx?menuIndex=3&amp;refID=7082846&amp;Result=3","7082846")</f>
        <v>0</v>
      </c>
      <c r="B3800" t="s">
        <v>1391</v>
      </c>
      <c r="C3800" t="s">
        <v>7034</v>
      </c>
      <c r="D3800" t="s">
        <v>17427</v>
      </c>
      <c r="E3800" t="s">
        <v>20802</v>
      </c>
      <c r="F3800" t="s">
        <v>30052</v>
      </c>
      <c r="G3800" t="s">
        <v>30059</v>
      </c>
      <c r="H3800" t="s">
        <v>15498</v>
      </c>
      <c r="I3800" t="s">
        <v>30081</v>
      </c>
      <c r="J3800" t="s">
        <v>32672</v>
      </c>
      <c r="K3800" t="s">
        <v>39034</v>
      </c>
      <c r="M3800" t="s">
        <v>40767</v>
      </c>
      <c r="N3800" t="s">
        <v>43166</v>
      </c>
      <c r="O3800" t="s">
        <v>43167</v>
      </c>
      <c r="P3800">
        <v>0</v>
      </c>
      <c r="Q3800">
        <v>0</v>
      </c>
      <c r="R3800" t="s">
        <v>43171</v>
      </c>
      <c r="S3800" t="s">
        <v>43311</v>
      </c>
      <c r="T3800" t="s">
        <v>44803</v>
      </c>
      <c r="U3800" t="s">
        <v>48323</v>
      </c>
      <c r="V3800" t="s">
        <v>57268</v>
      </c>
      <c r="W3800" t="s">
        <v>40767</v>
      </c>
      <c r="X3800" t="s">
        <v>43172</v>
      </c>
    </row>
    <row r="3801" spans="1:24">
      <c r="A3801">
        <f>HYPERLINK("https://www.philgeps.gov.ph/GEPSNONPILOT/Tender/SplashBidNoticeAbstractUI.aspx?menuIndex=3&amp;refID=7082845&amp;Result=3","7082845")</f>
        <v>0</v>
      </c>
      <c r="B3801" t="s">
        <v>1392</v>
      </c>
      <c r="C3801" t="s">
        <v>7035</v>
      </c>
      <c r="D3801" t="s">
        <v>17470</v>
      </c>
      <c r="E3801" t="s">
        <v>20803</v>
      </c>
      <c r="F3801" t="s">
        <v>30052</v>
      </c>
      <c r="G3801" t="s">
        <v>30058</v>
      </c>
      <c r="H3801" t="s">
        <v>30067</v>
      </c>
      <c r="I3801" t="s">
        <v>3736</v>
      </c>
      <c r="J3801" t="s">
        <v>30207</v>
      </c>
      <c r="K3801" t="s">
        <v>39029</v>
      </c>
      <c r="M3801" t="s">
        <v>40768</v>
      </c>
      <c r="N3801" t="s">
        <v>43166</v>
      </c>
      <c r="O3801" t="s">
        <v>43167</v>
      </c>
      <c r="P3801">
        <v>0</v>
      </c>
      <c r="Q3801">
        <v>1</v>
      </c>
      <c r="R3801" t="s">
        <v>43171</v>
      </c>
      <c r="S3801" t="s">
        <v>43311</v>
      </c>
      <c r="T3801" t="s">
        <v>44705</v>
      </c>
      <c r="U3801" t="s">
        <v>48324</v>
      </c>
      <c r="W3801" t="s">
        <v>40768</v>
      </c>
      <c r="X3801" t="s">
        <v>43172</v>
      </c>
    </row>
    <row r="3802" spans="1:24">
      <c r="A3802">
        <f>HYPERLINK("https://www.philgeps.gov.ph/GEPSNONPILOT/Tender/SplashBidNoticeAbstractUI.aspx?menuIndex=3&amp;refID=7082843&amp;Result=3","7082843")</f>
        <v>0</v>
      </c>
      <c r="B3802" t="s">
        <v>1393</v>
      </c>
      <c r="C3802" t="s">
        <v>7036</v>
      </c>
      <c r="D3802" t="s">
        <v>17474</v>
      </c>
      <c r="E3802" t="s">
        <v>20804</v>
      </c>
      <c r="F3802" t="s">
        <v>30052</v>
      </c>
      <c r="G3802" t="s">
        <v>30058</v>
      </c>
      <c r="H3802" t="s">
        <v>15498</v>
      </c>
      <c r="I3802" t="s">
        <v>3736</v>
      </c>
      <c r="J3802" t="s">
        <v>31293</v>
      </c>
      <c r="K3802" t="s">
        <v>39034</v>
      </c>
      <c r="M3802" t="s">
        <v>40769</v>
      </c>
      <c r="N3802" t="s">
        <v>43166</v>
      </c>
      <c r="O3802" t="s">
        <v>43167</v>
      </c>
      <c r="P3802">
        <v>0</v>
      </c>
      <c r="Q3802">
        <v>0</v>
      </c>
      <c r="R3802" t="s">
        <v>43171</v>
      </c>
      <c r="S3802" t="s">
        <v>43311</v>
      </c>
      <c r="T3802" t="s">
        <v>44970</v>
      </c>
      <c r="U3802" t="s">
        <v>48325</v>
      </c>
      <c r="W3802" t="s">
        <v>40769</v>
      </c>
      <c r="X3802" t="s">
        <v>43172</v>
      </c>
    </row>
    <row r="3803" spans="1:24">
      <c r="A3803">
        <f>HYPERLINK("https://www.philgeps.gov.ph/GEPSNONPILOT/Tender/SplashBidNoticeAbstractUI.aspx?menuIndex=3&amp;refID=7082840&amp;Result=3","7082840")</f>
        <v>0</v>
      </c>
      <c r="B3803" t="s">
        <v>1394</v>
      </c>
      <c r="C3803" t="s">
        <v>7037</v>
      </c>
      <c r="D3803" t="s">
        <v>17499</v>
      </c>
      <c r="E3803" t="s">
        <v>20805</v>
      </c>
      <c r="F3803" t="s">
        <v>30052</v>
      </c>
      <c r="G3803" t="s">
        <v>30058</v>
      </c>
      <c r="H3803" t="s">
        <v>15498</v>
      </c>
      <c r="I3803" t="s">
        <v>3736</v>
      </c>
      <c r="J3803" t="s">
        <v>32673</v>
      </c>
      <c r="K3803" t="s">
        <v>39018</v>
      </c>
      <c r="M3803" t="s">
        <v>40770</v>
      </c>
      <c r="N3803" t="s">
        <v>43166</v>
      </c>
      <c r="O3803" t="s">
        <v>43167</v>
      </c>
      <c r="P3803">
        <v>0</v>
      </c>
      <c r="Q3803">
        <v>0</v>
      </c>
      <c r="R3803" t="s">
        <v>43171</v>
      </c>
      <c r="S3803" t="s">
        <v>43311</v>
      </c>
      <c r="T3803" t="s">
        <v>44724</v>
      </c>
      <c r="U3803" t="s">
        <v>48326</v>
      </c>
      <c r="V3803" t="s">
        <v>56830</v>
      </c>
      <c r="W3803" t="s">
        <v>40770</v>
      </c>
      <c r="X3803" t="s">
        <v>43172</v>
      </c>
    </row>
    <row r="3804" spans="1:24">
      <c r="A3804">
        <f>HYPERLINK("https://www.philgeps.gov.ph/GEPSNONPILOT/Tender/SplashBidNoticeAbstractUI.aspx?menuIndex=3&amp;refID=7082821&amp;Result=3","7082821")</f>
        <v>0</v>
      </c>
      <c r="B3804" t="s">
        <v>1172</v>
      </c>
      <c r="C3804" t="s">
        <v>7038</v>
      </c>
      <c r="D3804" t="s">
        <v>17466</v>
      </c>
      <c r="E3804" t="s">
        <v>20806</v>
      </c>
      <c r="F3804" t="s">
        <v>30052</v>
      </c>
      <c r="G3804" t="s">
        <v>30058</v>
      </c>
      <c r="H3804" t="s">
        <v>15498</v>
      </c>
      <c r="I3804" t="s">
        <v>30076</v>
      </c>
      <c r="J3804" t="s">
        <v>32674</v>
      </c>
      <c r="K3804" t="s">
        <v>39037</v>
      </c>
      <c r="M3804" t="s">
        <v>40520</v>
      </c>
      <c r="N3804" t="s">
        <v>43166</v>
      </c>
      <c r="O3804" t="s">
        <v>43167</v>
      </c>
      <c r="P3804">
        <v>0</v>
      </c>
      <c r="Q3804">
        <v>1</v>
      </c>
      <c r="R3804" t="s">
        <v>43171</v>
      </c>
      <c r="S3804" t="s">
        <v>43311</v>
      </c>
      <c r="T3804" t="s">
        <v>44835</v>
      </c>
      <c r="U3804" t="s">
        <v>48176</v>
      </c>
      <c r="W3804" t="s">
        <v>58626</v>
      </c>
      <c r="X3804" t="s">
        <v>43172</v>
      </c>
    </row>
    <row r="3805" spans="1:24">
      <c r="A3805">
        <f>HYPERLINK("https://www.philgeps.gov.ph/GEPSNONPILOT/Tender/SplashBidNoticeAbstractUI.aspx?menuIndex=3&amp;refID=7082849&amp;Result=3","7082849")</f>
        <v>0</v>
      </c>
      <c r="B3805" t="s">
        <v>548</v>
      </c>
      <c r="C3805" t="s">
        <v>7039</v>
      </c>
      <c r="D3805" t="s">
        <v>17425</v>
      </c>
      <c r="E3805" t="s">
        <v>20610</v>
      </c>
      <c r="F3805" t="s">
        <v>30052</v>
      </c>
      <c r="G3805" t="s">
        <v>30059</v>
      </c>
      <c r="H3805" t="s">
        <v>15498</v>
      </c>
      <c r="I3805" t="s">
        <v>30081</v>
      </c>
      <c r="J3805" t="s">
        <v>32675</v>
      </c>
      <c r="K3805" t="s">
        <v>39017</v>
      </c>
      <c r="L3805" t="s">
        <v>548</v>
      </c>
      <c r="M3805" t="s">
        <v>39850</v>
      </c>
      <c r="N3805" t="s">
        <v>43166</v>
      </c>
      <c r="O3805" t="s">
        <v>43167</v>
      </c>
      <c r="P3805">
        <v>0</v>
      </c>
      <c r="Q3805">
        <v>0</v>
      </c>
      <c r="R3805" t="s">
        <v>43171</v>
      </c>
      <c r="S3805" t="s">
        <v>43311</v>
      </c>
      <c r="T3805" t="s">
        <v>44969</v>
      </c>
      <c r="U3805" t="s">
        <v>48327</v>
      </c>
      <c r="V3805" t="s">
        <v>57242</v>
      </c>
      <c r="W3805" t="s">
        <v>39850</v>
      </c>
      <c r="X3805" t="s">
        <v>43172</v>
      </c>
    </row>
    <row r="3806" spans="1:24">
      <c r="A3806">
        <f>HYPERLINK("https://www.philgeps.gov.ph/GEPSNONPILOT/Tender/SplashBidNoticeAbstractUI.aspx?menuIndex=3&amp;refID=7082897&amp;Result=3","7082897")</f>
        <v>0</v>
      </c>
      <c r="B3806" t="s">
        <v>1395</v>
      </c>
      <c r="C3806" t="s">
        <v>7040</v>
      </c>
      <c r="D3806" t="s">
        <v>17488</v>
      </c>
      <c r="E3806" t="s">
        <v>20807</v>
      </c>
      <c r="F3806" t="s">
        <v>30052</v>
      </c>
      <c r="G3806" t="s">
        <v>30058</v>
      </c>
      <c r="H3806" t="s">
        <v>15498</v>
      </c>
      <c r="I3806" t="s">
        <v>3736</v>
      </c>
      <c r="J3806" t="s">
        <v>32676</v>
      </c>
      <c r="K3806" t="s">
        <v>39029</v>
      </c>
      <c r="M3806" t="s">
        <v>40771</v>
      </c>
      <c r="N3806" t="s">
        <v>43166</v>
      </c>
      <c r="O3806" t="s">
        <v>43167</v>
      </c>
      <c r="P3806">
        <v>0</v>
      </c>
      <c r="Q3806">
        <v>1</v>
      </c>
      <c r="R3806" t="s">
        <v>43171</v>
      </c>
      <c r="S3806" t="s">
        <v>43311</v>
      </c>
      <c r="T3806" t="s">
        <v>44681</v>
      </c>
      <c r="U3806" t="s">
        <v>48328</v>
      </c>
      <c r="W3806" t="s">
        <v>40771</v>
      </c>
      <c r="X3806" t="s">
        <v>43172</v>
      </c>
    </row>
    <row r="3807" spans="1:24">
      <c r="A3807">
        <f>HYPERLINK("https://www.philgeps.gov.ph/GEPSNONPILOT/Tender/SplashBidNoticeAbstractUI.aspx?menuIndex=3&amp;refID=7082814&amp;Result=3","7082814")</f>
        <v>0</v>
      </c>
      <c r="B3807" t="s">
        <v>1167</v>
      </c>
      <c r="C3807" t="s">
        <v>7041</v>
      </c>
      <c r="D3807" t="s">
        <v>17413</v>
      </c>
      <c r="E3807" t="s">
        <v>20808</v>
      </c>
      <c r="F3807" t="s">
        <v>30052</v>
      </c>
      <c r="G3807" t="s">
        <v>30059</v>
      </c>
      <c r="H3807" t="s">
        <v>15498</v>
      </c>
      <c r="I3807" t="s">
        <v>3736</v>
      </c>
      <c r="J3807" t="s">
        <v>30528</v>
      </c>
      <c r="K3807" t="s">
        <v>39036</v>
      </c>
      <c r="M3807" t="s">
        <v>40514</v>
      </c>
      <c r="N3807" t="s">
        <v>43166</v>
      </c>
      <c r="O3807" t="s">
        <v>43167</v>
      </c>
      <c r="P3807">
        <v>0</v>
      </c>
      <c r="Q3807">
        <v>0</v>
      </c>
      <c r="R3807" t="s">
        <v>43171</v>
      </c>
      <c r="S3807" t="s">
        <v>43311</v>
      </c>
      <c r="T3807" t="s">
        <v>44720</v>
      </c>
      <c r="U3807" t="s">
        <v>48329</v>
      </c>
      <c r="W3807" t="s">
        <v>40514</v>
      </c>
      <c r="X3807" t="s">
        <v>43172</v>
      </c>
    </row>
    <row r="3808" spans="1:24">
      <c r="A3808">
        <f>HYPERLINK("https://www.philgeps.gov.ph/GEPSNONPILOT/Tender/SplashBidNoticeAbstractUI.aspx?menuIndex=3&amp;refID=7082891&amp;Result=3","7082891")</f>
        <v>0</v>
      </c>
      <c r="B3808" t="s">
        <v>1396</v>
      </c>
      <c r="C3808" t="s">
        <v>7042</v>
      </c>
      <c r="D3808" t="s">
        <v>17416</v>
      </c>
      <c r="E3808" t="s">
        <v>11486</v>
      </c>
      <c r="F3808" t="s">
        <v>30052</v>
      </c>
      <c r="G3808" t="s">
        <v>30058</v>
      </c>
      <c r="H3808" t="s">
        <v>15498</v>
      </c>
      <c r="I3808" t="s">
        <v>3736</v>
      </c>
      <c r="J3808" t="s">
        <v>32677</v>
      </c>
      <c r="K3808" t="s">
        <v>39034</v>
      </c>
      <c r="M3808" t="s">
        <v>40772</v>
      </c>
      <c r="N3808" t="s">
        <v>43166</v>
      </c>
      <c r="O3808" t="s">
        <v>43167</v>
      </c>
      <c r="P3808">
        <v>0</v>
      </c>
      <c r="Q3808">
        <v>0</v>
      </c>
      <c r="R3808" t="s">
        <v>43171</v>
      </c>
      <c r="S3808" t="s">
        <v>43311</v>
      </c>
      <c r="T3808" t="s">
        <v>44705</v>
      </c>
      <c r="U3808" t="s">
        <v>48330</v>
      </c>
      <c r="W3808" t="s">
        <v>40772</v>
      </c>
      <c r="X3808" t="s">
        <v>43172</v>
      </c>
    </row>
    <row r="3809" spans="1:24">
      <c r="A3809">
        <f>HYPERLINK("https://www.philgeps.gov.ph/GEPSNONPILOT/Tender/SplashBidNoticeAbstractUI.aspx?menuIndex=3&amp;refID=7082889&amp;Result=3","7082889")</f>
        <v>0</v>
      </c>
      <c r="B3809" t="s">
        <v>266</v>
      </c>
      <c r="C3809" t="s">
        <v>7043</v>
      </c>
      <c r="D3809" t="s">
        <v>17466</v>
      </c>
      <c r="E3809" t="s">
        <v>20809</v>
      </c>
      <c r="F3809" t="s">
        <v>30052</v>
      </c>
      <c r="G3809" t="s">
        <v>30059</v>
      </c>
      <c r="H3809" t="s">
        <v>15498</v>
      </c>
      <c r="I3809" t="s">
        <v>3693</v>
      </c>
      <c r="J3809" t="s">
        <v>32678</v>
      </c>
      <c r="K3809" t="s">
        <v>39025</v>
      </c>
      <c r="M3809" t="s">
        <v>39558</v>
      </c>
      <c r="N3809" t="s">
        <v>43166</v>
      </c>
      <c r="O3809" t="s">
        <v>43167</v>
      </c>
      <c r="P3809">
        <v>0</v>
      </c>
      <c r="Q3809">
        <v>1</v>
      </c>
      <c r="R3809" t="s">
        <v>43171</v>
      </c>
      <c r="S3809" t="s">
        <v>43311</v>
      </c>
      <c r="T3809" t="s">
        <v>44714</v>
      </c>
      <c r="U3809" t="s">
        <v>45652</v>
      </c>
      <c r="W3809" t="s">
        <v>39558</v>
      </c>
      <c r="X3809" t="s">
        <v>43172</v>
      </c>
    </row>
    <row r="3810" spans="1:24">
      <c r="A3810">
        <f>HYPERLINK("https://www.philgeps.gov.ph/GEPSNONPILOT/Tender/SplashBidNoticeAbstractUI.aspx?menuIndex=3&amp;refID=7082888&amp;Result=3","7082888")</f>
        <v>0</v>
      </c>
      <c r="B3810" t="s">
        <v>1397</v>
      </c>
      <c r="C3810" t="s">
        <v>7044</v>
      </c>
      <c r="D3810" t="s">
        <v>17455</v>
      </c>
      <c r="E3810" t="s">
        <v>20810</v>
      </c>
      <c r="F3810" t="s">
        <v>30052</v>
      </c>
      <c r="G3810" t="s">
        <v>30058</v>
      </c>
      <c r="H3810" t="s">
        <v>15498</v>
      </c>
      <c r="I3810" t="s">
        <v>3736</v>
      </c>
      <c r="J3810" t="s">
        <v>32679</v>
      </c>
      <c r="K3810" t="s">
        <v>39034</v>
      </c>
      <c r="M3810" t="s">
        <v>40773</v>
      </c>
      <c r="N3810" t="s">
        <v>43166</v>
      </c>
      <c r="O3810" t="s">
        <v>43167</v>
      </c>
      <c r="P3810">
        <v>0</v>
      </c>
      <c r="Q3810">
        <v>0</v>
      </c>
      <c r="R3810" t="s">
        <v>43171</v>
      </c>
      <c r="S3810" t="s">
        <v>43311</v>
      </c>
      <c r="T3810" t="s">
        <v>44710</v>
      </c>
      <c r="U3810" t="s">
        <v>48331</v>
      </c>
      <c r="W3810" t="s">
        <v>40773</v>
      </c>
      <c r="X3810" t="s">
        <v>43172</v>
      </c>
    </row>
    <row r="3811" spans="1:24">
      <c r="A3811">
        <f>HYPERLINK("https://www.philgeps.gov.ph/GEPSNONPILOT/Tender/SplashBidNoticeAbstractUI.aspx?menuIndex=3&amp;refID=7082885&amp;Result=3","7082885")</f>
        <v>0</v>
      </c>
      <c r="B3811" t="s">
        <v>1370</v>
      </c>
      <c r="C3811" t="s">
        <v>7045</v>
      </c>
      <c r="D3811" t="s">
        <v>17432</v>
      </c>
      <c r="E3811" t="s">
        <v>20741</v>
      </c>
      <c r="F3811" t="s">
        <v>30052</v>
      </c>
      <c r="G3811" t="s">
        <v>30058</v>
      </c>
      <c r="H3811" t="s">
        <v>15498</v>
      </c>
      <c r="I3811" t="s">
        <v>3736</v>
      </c>
      <c r="J3811" t="s">
        <v>32680</v>
      </c>
      <c r="K3811" t="s">
        <v>39034</v>
      </c>
      <c r="M3811" t="s">
        <v>40742</v>
      </c>
      <c r="N3811" t="s">
        <v>43166</v>
      </c>
      <c r="O3811" t="s">
        <v>43167</v>
      </c>
      <c r="P3811">
        <v>0</v>
      </c>
      <c r="Q3811">
        <v>0</v>
      </c>
      <c r="R3811" t="s">
        <v>43171</v>
      </c>
      <c r="S3811" t="s">
        <v>43311</v>
      </c>
      <c r="T3811" t="s">
        <v>44765</v>
      </c>
      <c r="U3811" t="s">
        <v>48332</v>
      </c>
      <c r="W3811" t="s">
        <v>40742</v>
      </c>
      <c r="X3811" t="s">
        <v>43172</v>
      </c>
    </row>
    <row r="3812" spans="1:24">
      <c r="A3812">
        <f>HYPERLINK("https://www.philgeps.gov.ph/GEPSNONPILOT/Tender/SplashBidNoticeAbstractUI.aspx?menuIndex=3&amp;refID=7082884&amp;Result=3","7082884")</f>
        <v>0</v>
      </c>
      <c r="B3812" t="s">
        <v>236</v>
      </c>
      <c r="C3812" t="s">
        <v>7046</v>
      </c>
      <c r="D3812" t="s">
        <v>17427</v>
      </c>
      <c r="E3812" t="s">
        <v>20811</v>
      </c>
      <c r="F3812" t="s">
        <v>30052</v>
      </c>
      <c r="G3812" t="s">
        <v>30059</v>
      </c>
      <c r="H3812" t="s">
        <v>15498</v>
      </c>
      <c r="I3812" t="s">
        <v>3736</v>
      </c>
      <c r="J3812" t="s">
        <v>32681</v>
      </c>
      <c r="K3812" t="s">
        <v>39019</v>
      </c>
      <c r="M3812" t="s">
        <v>39920</v>
      </c>
      <c r="N3812" t="s">
        <v>43166</v>
      </c>
      <c r="O3812" t="s">
        <v>43167</v>
      </c>
      <c r="P3812">
        <v>0</v>
      </c>
      <c r="Q3812">
        <v>0</v>
      </c>
      <c r="R3812" t="s">
        <v>43171</v>
      </c>
      <c r="S3812" t="s">
        <v>43311</v>
      </c>
      <c r="T3812" t="s">
        <v>44787</v>
      </c>
      <c r="U3812" t="s">
        <v>48333</v>
      </c>
      <c r="V3812" t="s">
        <v>45722</v>
      </c>
      <c r="W3812" t="s">
        <v>39920</v>
      </c>
      <c r="X3812" t="s">
        <v>43172</v>
      </c>
    </row>
    <row r="3813" spans="1:24">
      <c r="A3813">
        <f>HYPERLINK("https://www.philgeps.gov.ph/GEPSNONPILOT/Tender/SplashBidNoticeAbstractUI.aspx?menuIndex=3&amp;refID=7082882&amp;Result=3","7082882")</f>
        <v>0</v>
      </c>
      <c r="B3813" t="s">
        <v>1398</v>
      </c>
      <c r="C3813" t="s">
        <v>7047</v>
      </c>
      <c r="D3813" t="s">
        <v>17421</v>
      </c>
      <c r="E3813" t="s">
        <v>17650</v>
      </c>
      <c r="F3813" t="s">
        <v>30052</v>
      </c>
      <c r="G3813" t="s">
        <v>30058</v>
      </c>
      <c r="H3813" t="s">
        <v>15498</v>
      </c>
      <c r="I3813" t="s">
        <v>3693</v>
      </c>
      <c r="J3813" t="s">
        <v>30230</v>
      </c>
      <c r="K3813" t="s">
        <v>39029</v>
      </c>
      <c r="M3813" t="s">
        <v>40774</v>
      </c>
      <c r="N3813" t="s">
        <v>43166</v>
      </c>
      <c r="O3813" t="s">
        <v>43167</v>
      </c>
      <c r="P3813">
        <v>0</v>
      </c>
      <c r="Q3813">
        <v>0</v>
      </c>
      <c r="R3813" t="s">
        <v>43171</v>
      </c>
      <c r="S3813" t="s">
        <v>43311</v>
      </c>
      <c r="T3813" t="s">
        <v>44830</v>
      </c>
      <c r="U3813" t="s">
        <v>48334</v>
      </c>
      <c r="W3813" t="s">
        <v>40774</v>
      </c>
      <c r="X3813" t="s">
        <v>43172</v>
      </c>
    </row>
    <row r="3814" spans="1:24">
      <c r="A3814">
        <f>HYPERLINK("https://www.philgeps.gov.ph/GEPSNONPILOT/Tender/SplashBidNoticeAbstractUI.aspx?menuIndex=3&amp;refID=7082894&amp;Result=3","7082894")</f>
        <v>0</v>
      </c>
      <c r="B3814" t="s">
        <v>1399</v>
      </c>
      <c r="C3814" t="s">
        <v>7048</v>
      </c>
      <c r="D3814" t="s">
        <v>17454</v>
      </c>
      <c r="E3814" t="s">
        <v>20812</v>
      </c>
      <c r="F3814" t="s">
        <v>30052</v>
      </c>
      <c r="G3814" t="s">
        <v>30058</v>
      </c>
      <c r="H3814" t="s">
        <v>30067</v>
      </c>
      <c r="I3814" t="s">
        <v>3693</v>
      </c>
      <c r="J3814" t="s">
        <v>32682</v>
      </c>
      <c r="K3814" t="s">
        <v>39029</v>
      </c>
      <c r="M3814" t="s">
        <v>40775</v>
      </c>
      <c r="N3814" t="s">
        <v>43166</v>
      </c>
      <c r="O3814" t="s">
        <v>43167</v>
      </c>
      <c r="P3814">
        <v>0</v>
      </c>
      <c r="Q3814">
        <v>0</v>
      </c>
      <c r="R3814" t="s">
        <v>43171</v>
      </c>
      <c r="S3814" t="s">
        <v>43311</v>
      </c>
      <c r="T3814" t="s">
        <v>44789</v>
      </c>
      <c r="U3814" t="s">
        <v>48335</v>
      </c>
      <c r="W3814" t="s">
        <v>40775</v>
      </c>
      <c r="X3814" t="s">
        <v>43172</v>
      </c>
    </row>
    <row r="3815" spans="1:24">
      <c r="A3815">
        <f>HYPERLINK("https://www.philgeps.gov.ph/GEPSNONPILOT/Tender/SplashBidNoticeAbstractUI.aspx?menuIndex=3&amp;refID=7082886&amp;Result=3","7082886")</f>
        <v>0</v>
      </c>
      <c r="B3815" t="s">
        <v>605</v>
      </c>
      <c r="C3815" t="s">
        <v>7049</v>
      </c>
      <c r="D3815" t="s">
        <v>17464</v>
      </c>
      <c r="E3815" t="s">
        <v>17540</v>
      </c>
      <c r="F3815" t="s">
        <v>30056</v>
      </c>
      <c r="G3815" t="s">
        <v>30062</v>
      </c>
      <c r="H3815" t="s">
        <v>15498</v>
      </c>
      <c r="I3815" t="s">
        <v>30109</v>
      </c>
      <c r="J3815" t="s">
        <v>32683</v>
      </c>
      <c r="K3815" t="s">
        <v>39017</v>
      </c>
      <c r="M3815" t="s">
        <v>39907</v>
      </c>
      <c r="N3815" t="s">
        <v>43166</v>
      </c>
      <c r="O3815" t="s">
        <v>43167</v>
      </c>
      <c r="P3815">
        <v>0</v>
      </c>
      <c r="Q3815">
        <v>6</v>
      </c>
      <c r="R3815" t="s">
        <v>43171</v>
      </c>
      <c r="S3815" t="s">
        <v>43311</v>
      </c>
      <c r="T3815" t="s">
        <v>44723</v>
      </c>
      <c r="U3815" t="s">
        <v>48336</v>
      </c>
      <c r="W3815" t="s">
        <v>39907</v>
      </c>
      <c r="X3815" t="s">
        <v>43172</v>
      </c>
    </row>
    <row r="3816" spans="1:24">
      <c r="A3816">
        <f>HYPERLINK("https://www.philgeps.gov.ph/GEPSNONPILOT/Tender/SplashBidNoticeAbstractUI.aspx?menuIndex=3&amp;refID=7082900&amp;Result=3","7082900")</f>
        <v>0</v>
      </c>
      <c r="B3816" t="s">
        <v>1400</v>
      </c>
      <c r="C3816" t="s">
        <v>7050</v>
      </c>
      <c r="D3816" t="s">
        <v>17415</v>
      </c>
      <c r="E3816" t="s">
        <v>20813</v>
      </c>
      <c r="F3816" t="s">
        <v>30052</v>
      </c>
      <c r="G3816" t="s">
        <v>30059</v>
      </c>
      <c r="H3816" t="s">
        <v>15498</v>
      </c>
      <c r="I3816" t="s">
        <v>30124</v>
      </c>
      <c r="J3816" t="s">
        <v>30343</v>
      </c>
      <c r="K3816" t="s">
        <v>39023</v>
      </c>
      <c r="M3816" t="s">
        <v>40776</v>
      </c>
      <c r="N3816" t="s">
        <v>43166</v>
      </c>
      <c r="O3816" t="s">
        <v>43167</v>
      </c>
      <c r="P3816">
        <v>0</v>
      </c>
      <c r="Q3816">
        <v>0</v>
      </c>
      <c r="R3816" t="s">
        <v>43171</v>
      </c>
      <c r="S3816" t="s">
        <v>43311</v>
      </c>
      <c r="T3816" t="s">
        <v>44976</v>
      </c>
      <c r="U3816" t="s">
        <v>48337</v>
      </c>
      <c r="V3816" t="s">
        <v>57269</v>
      </c>
      <c r="W3816" t="s">
        <v>40776</v>
      </c>
      <c r="X3816" t="s">
        <v>43172</v>
      </c>
    </row>
    <row r="3817" spans="1:24">
      <c r="A3817">
        <f>HYPERLINK("https://www.philgeps.gov.ph/GEPSNONPILOT/Tender/SplashBidNoticeAbstractUI.aspx?menuIndex=3&amp;refID=7082857&amp;Result=3","7082857")</f>
        <v>0</v>
      </c>
      <c r="B3817" t="s">
        <v>1134</v>
      </c>
      <c r="C3817" t="s">
        <v>7051</v>
      </c>
      <c r="D3817" t="s">
        <v>17459</v>
      </c>
      <c r="E3817" t="s">
        <v>20814</v>
      </c>
      <c r="F3817" t="s">
        <v>30052</v>
      </c>
      <c r="G3817" t="s">
        <v>30058</v>
      </c>
      <c r="H3817" t="s">
        <v>15498</v>
      </c>
      <c r="I3817" t="s">
        <v>30106</v>
      </c>
      <c r="J3817" t="s">
        <v>32684</v>
      </c>
      <c r="K3817" t="s">
        <v>39029</v>
      </c>
      <c r="M3817" t="s">
        <v>40749</v>
      </c>
      <c r="N3817" t="s">
        <v>43166</v>
      </c>
      <c r="O3817" t="s">
        <v>43167</v>
      </c>
      <c r="P3817">
        <v>0</v>
      </c>
      <c r="Q3817">
        <v>4</v>
      </c>
      <c r="R3817" t="s">
        <v>43171</v>
      </c>
      <c r="S3817" t="s">
        <v>43311</v>
      </c>
      <c r="T3817" t="s">
        <v>44722</v>
      </c>
      <c r="U3817" t="s">
        <v>48338</v>
      </c>
      <c r="V3817" t="s">
        <v>57265</v>
      </c>
      <c r="W3817" t="s">
        <v>40749</v>
      </c>
      <c r="X3817" t="s">
        <v>43172</v>
      </c>
    </row>
    <row r="3818" spans="1:24">
      <c r="A3818">
        <f>HYPERLINK("https://www.philgeps.gov.ph/GEPSNONPILOT/Tender/SplashBidNoticeAbstractUI.aspx?menuIndex=3&amp;refID=7082933&amp;Result=3","7082933")</f>
        <v>0</v>
      </c>
      <c r="B3818" t="s">
        <v>1401</v>
      </c>
      <c r="C3818" t="s">
        <v>7052</v>
      </c>
      <c r="D3818" t="s">
        <v>17465</v>
      </c>
      <c r="E3818" t="s">
        <v>20815</v>
      </c>
      <c r="F3818" t="s">
        <v>30052</v>
      </c>
      <c r="G3818" t="s">
        <v>30059</v>
      </c>
      <c r="H3818" t="s">
        <v>15498</v>
      </c>
      <c r="I3818" t="s">
        <v>30081</v>
      </c>
      <c r="J3818" t="s">
        <v>30350</v>
      </c>
      <c r="K3818" t="s">
        <v>39029</v>
      </c>
      <c r="M3818" t="s">
        <v>40777</v>
      </c>
      <c r="N3818" t="s">
        <v>43166</v>
      </c>
      <c r="O3818" t="s">
        <v>43167</v>
      </c>
      <c r="P3818">
        <v>0</v>
      </c>
      <c r="Q3818">
        <v>3</v>
      </c>
      <c r="R3818" t="s">
        <v>43171</v>
      </c>
      <c r="S3818" t="s">
        <v>43311</v>
      </c>
      <c r="T3818" t="s">
        <v>44723</v>
      </c>
      <c r="U3818" t="s">
        <v>48339</v>
      </c>
      <c r="W3818" t="s">
        <v>40777</v>
      </c>
      <c r="X3818" t="s">
        <v>43172</v>
      </c>
    </row>
    <row r="3819" spans="1:24">
      <c r="A3819">
        <f>HYPERLINK("https://www.philgeps.gov.ph/GEPSNONPILOT/Tender/SplashBidNoticeAbstractUI.aspx?menuIndex=3&amp;refID=7082931&amp;Result=3","7082931")</f>
        <v>0</v>
      </c>
      <c r="B3819" t="s">
        <v>810</v>
      </c>
      <c r="C3819" t="s">
        <v>7053</v>
      </c>
      <c r="D3819" t="s">
        <v>17458</v>
      </c>
      <c r="E3819" t="s">
        <v>7053</v>
      </c>
      <c r="F3819" t="s">
        <v>30052</v>
      </c>
      <c r="G3819" t="s">
        <v>30059</v>
      </c>
      <c r="H3819" t="s">
        <v>30067</v>
      </c>
      <c r="I3819" t="s">
        <v>30082</v>
      </c>
      <c r="J3819" t="s">
        <v>32685</v>
      </c>
      <c r="K3819" t="s">
        <v>39025</v>
      </c>
      <c r="M3819" t="s">
        <v>40778</v>
      </c>
      <c r="N3819" t="s">
        <v>43166</v>
      </c>
      <c r="O3819" t="s">
        <v>43167</v>
      </c>
      <c r="P3819">
        <v>0</v>
      </c>
      <c r="Q3819">
        <v>0</v>
      </c>
      <c r="R3819" t="s">
        <v>43171</v>
      </c>
      <c r="S3819" t="s">
        <v>43311</v>
      </c>
      <c r="T3819" t="s">
        <v>44736</v>
      </c>
      <c r="U3819" t="s">
        <v>48340</v>
      </c>
      <c r="W3819" t="s">
        <v>40778</v>
      </c>
      <c r="X3819" t="s">
        <v>43172</v>
      </c>
    </row>
    <row r="3820" spans="1:24">
      <c r="A3820">
        <f>HYPERLINK("https://www.philgeps.gov.ph/GEPSNONPILOT/Tender/SplashBidNoticeAbstractUI.aspx?menuIndex=3&amp;refID=7082941&amp;Result=3","7082941")</f>
        <v>0</v>
      </c>
      <c r="B3820" t="s">
        <v>1372</v>
      </c>
      <c r="C3820" t="s">
        <v>7054</v>
      </c>
      <c r="D3820" t="s">
        <v>17424</v>
      </c>
      <c r="E3820" t="s">
        <v>20816</v>
      </c>
      <c r="F3820" t="s">
        <v>30052</v>
      </c>
      <c r="G3820" t="s">
        <v>30059</v>
      </c>
      <c r="H3820" t="s">
        <v>15498</v>
      </c>
      <c r="I3820" t="s">
        <v>4119</v>
      </c>
      <c r="J3820" t="s">
        <v>32686</v>
      </c>
      <c r="K3820" t="s">
        <v>39029</v>
      </c>
      <c r="M3820" t="s">
        <v>40761</v>
      </c>
      <c r="N3820" t="s">
        <v>43166</v>
      </c>
      <c r="O3820" t="s">
        <v>43167</v>
      </c>
      <c r="P3820">
        <v>0</v>
      </c>
      <c r="Q3820">
        <v>1</v>
      </c>
      <c r="R3820" t="s">
        <v>43171</v>
      </c>
      <c r="S3820" t="s">
        <v>43311</v>
      </c>
      <c r="T3820" t="s">
        <v>44698</v>
      </c>
      <c r="U3820" t="s">
        <v>48311</v>
      </c>
      <c r="W3820" t="s">
        <v>40761</v>
      </c>
      <c r="X3820" t="s">
        <v>43172</v>
      </c>
    </row>
    <row r="3821" spans="1:24">
      <c r="A3821">
        <f>HYPERLINK("https://www.philgeps.gov.ph/GEPSNONPILOT/Tender/SplashBidNoticeAbstractUI.aspx?menuIndex=3&amp;refID=7082940&amp;Result=3","7082940")</f>
        <v>0</v>
      </c>
      <c r="B3821" t="s">
        <v>1389</v>
      </c>
      <c r="C3821" t="s">
        <v>7055</v>
      </c>
      <c r="D3821" t="s">
        <v>17487</v>
      </c>
      <c r="E3821" t="s">
        <v>20817</v>
      </c>
      <c r="F3821" t="s">
        <v>30052</v>
      </c>
      <c r="G3821" t="s">
        <v>30058</v>
      </c>
      <c r="H3821" t="s">
        <v>15498</v>
      </c>
      <c r="I3821" t="s">
        <v>3736</v>
      </c>
      <c r="J3821" t="s">
        <v>32687</v>
      </c>
      <c r="K3821" t="s">
        <v>39025</v>
      </c>
      <c r="M3821" t="s">
        <v>40765</v>
      </c>
      <c r="N3821" t="s">
        <v>43166</v>
      </c>
      <c r="O3821" t="s">
        <v>43167</v>
      </c>
      <c r="P3821">
        <v>0</v>
      </c>
      <c r="Q3821">
        <v>0</v>
      </c>
      <c r="R3821" t="s">
        <v>43171</v>
      </c>
      <c r="S3821" t="s">
        <v>43311</v>
      </c>
      <c r="T3821" t="s">
        <v>44715</v>
      </c>
      <c r="U3821" t="s">
        <v>48341</v>
      </c>
      <c r="W3821" t="s">
        <v>40765</v>
      </c>
      <c r="X3821" t="s">
        <v>43172</v>
      </c>
    </row>
    <row r="3822" spans="1:24">
      <c r="A3822">
        <f>HYPERLINK("https://www.philgeps.gov.ph/GEPSNONPILOT/Tender/SplashBidNoticeAbstractUI.aspx?menuIndex=3&amp;refID=7082934&amp;Result=3","7082934")</f>
        <v>0</v>
      </c>
      <c r="B3822" t="s">
        <v>521</v>
      </c>
      <c r="C3822" t="s">
        <v>7056</v>
      </c>
      <c r="D3822" t="s">
        <v>17415</v>
      </c>
      <c r="E3822" t="s">
        <v>18575</v>
      </c>
      <c r="F3822" t="s">
        <v>30052</v>
      </c>
      <c r="G3822" t="s">
        <v>30061</v>
      </c>
      <c r="H3822" t="s">
        <v>15498</v>
      </c>
      <c r="I3822" t="s">
        <v>9238</v>
      </c>
      <c r="J3822" t="s">
        <v>32688</v>
      </c>
      <c r="K3822" t="s">
        <v>39019</v>
      </c>
      <c r="M3822" t="s">
        <v>39823</v>
      </c>
      <c r="N3822" t="s">
        <v>43166</v>
      </c>
      <c r="O3822" t="s">
        <v>43167</v>
      </c>
      <c r="P3822">
        <v>0</v>
      </c>
      <c r="Q3822">
        <v>12</v>
      </c>
      <c r="R3822" t="s">
        <v>43171</v>
      </c>
      <c r="S3822" t="s">
        <v>43311</v>
      </c>
      <c r="T3822" t="s">
        <v>44856</v>
      </c>
      <c r="U3822" t="s">
        <v>48342</v>
      </c>
      <c r="V3822" t="s">
        <v>56959</v>
      </c>
      <c r="W3822" t="s">
        <v>58603</v>
      </c>
      <c r="X3822" t="s">
        <v>43172</v>
      </c>
    </row>
    <row r="3823" spans="1:24">
      <c r="A3823">
        <f>HYPERLINK("https://www.philgeps.gov.ph/GEPSNONPILOT/Tender/SplashBidNoticeAbstractUI.aspx?menuIndex=3&amp;refID=7082929&amp;Result=3","7082929")</f>
        <v>0</v>
      </c>
      <c r="B3823" t="s">
        <v>1402</v>
      </c>
      <c r="C3823" t="s">
        <v>7057</v>
      </c>
      <c r="D3823" t="s">
        <v>17457</v>
      </c>
      <c r="E3823" t="s">
        <v>20818</v>
      </c>
      <c r="F3823" t="s">
        <v>30052</v>
      </c>
      <c r="G3823" t="s">
        <v>30058</v>
      </c>
      <c r="H3823" t="s">
        <v>15498</v>
      </c>
      <c r="I3823" t="s">
        <v>30092</v>
      </c>
      <c r="J3823" t="s">
        <v>32689</v>
      </c>
      <c r="K3823" t="s">
        <v>39019</v>
      </c>
      <c r="L3823" t="s">
        <v>1402</v>
      </c>
      <c r="M3823" t="s">
        <v>40779</v>
      </c>
      <c r="N3823" t="s">
        <v>43166</v>
      </c>
      <c r="O3823" t="s">
        <v>43167</v>
      </c>
      <c r="P3823">
        <v>0</v>
      </c>
      <c r="Q3823">
        <v>3</v>
      </c>
      <c r="R3823" t="s">
        <v>43171</v>
      </c>
      <c r="S3823" t="s">
        <v>43311</v>
      </c>
      <c r="T3823" t="s">
        <v>44796</v>
      </c>
      <c r="U3823" t="s">
        <v>48343</v>
      </c>
      <c r="V3823" t="s">
        <v>57270</v>
      </c>
      <c r="W3823" t="s">
        <v>40779</v>
      </c>
      <c r="X3823" t="s">
        <v>43172</v>
      </c>
    </row>
    <row r="3824" spans="1:24">
      <c r="A3824">
        <f>HYPERLINK("https://www.philgeps.gov.ph/GEPSNONPILOT/Tender/SplashBidNoticeAbstractUI.aspx?menuIndex=3&amp;refID=7082822&amp;Result=3","7082822")</f>
        <v>0</v>
      </c>
      <c r="B3824" t="s">
        <v>145</v>
      </c>
      <c r="C3824" t="s">
        <v>7058</v>
      </c>
      <c r="E3824" t="s">
        <v>20819</v>
      </c>
      <c r="F3824" t="s">
        <v>30052</v>
      </c>
      <c r="G3824" t="s">
        <v>30058</v>
      </c>
      <c r="H3824" t="s">
        <v>15498</v>
      </c>
      <c r="I3824" t="s">
        <v>30084</v>
      </c>
      <c r="J3824" t="s">
        <v>30397</v>
      </c>
      <c r="K3824" t="s">
        <v>39046</v>
      </c>
      <c r="M3824" t="s">
        <v>39434</v>
      </c>
      <c r="N3824" t="s">
        <v>43166</v>
      </c>
      <c r="O3824" t="s">
        <v>43167</v>
      </c>
      <c r="P3824">
        <v>0</v>
      </c>
      <c r="Q3824">
        <v>4</v>
      </c>
      <c r="R3824" t="s">
        <v>43171</v>
      </c>
      <c r="S3824" t="s">
        <v>43311</v>
      </c>
      <c r="T3824" t="s">
        <v>44740</v>
      </c>
      <c r="U3824" t="s">
        <v>48344</v>
      </c>
      <c r="W3824" t="s">
        <v>40626</v>
      </c>
      <c r="X3824" t="s">
        <v>43172</v>
      </c>
    </row>
    <row r="3825" spans="1:24">
      <c r="A3825">
        <f>HYPERLINK("https://www.philgeps.gov.ph/GEPSNONPILOT/Tender/SplashBidNoticeAbstractUI.aspx?menuIndex=3&amp;refID=7082921&amp;Result=3","7082921")</f>
        <v>0</v>
      </c>
      <c r="B3825" t="s">
        <v>1402</v>
      </c>
      <c r="C3825" t="s">
        <v>7059</v>
      </c>
      <c r="D3825" t="s">
        <v>17457</v>
      </c>
      <c r="E3825" t="s">
        <v>20820</v>
      </c>
      <c r="F3825" t="s">
        <v>30052</v>
      </c>
      <c r="G3825" t="s">
        <v>30058</v>
      </c>
      <c r="H3825" t="s">
        <v>30067</v>
      </c>
      <c r="I3825" t="s">
        <v>3693</v>
      </c>
      <c r="J3825" t="s">
        <v>32690</v>
      </c>
      <c r="K3825" t="s">
        <v>39136</v>
      </c>
      <c r="L3825" t="s">
        <v>1402</v>
      </c>
      <c r="M3825" t="s">
        <v>40779</v>
      </c>
      <c r="N3825" t="s">
        <v>43166</v>
      </c>
      <c r="O3825" t="s">
        <v>43167</v>
      </c>
      <c r="P3825">
        <v>0</v>
      </c>
      <c r="Q3825">
        <v>1</v>
      </c>
      <c r="R3825" t="s">
        <v>43171</v>
      </c>
      <c r="S3825" t="s">
        <v>43311</v>
      </c>
      <c r="T3825" t="s">
        <v>44796</v>
      </c>
      <c r="U3825" t="s">
        <v>48345</v>
      </c>
      <c r="V3825" t="s">
        <v>57270</v>
      </c>
      <c r="W3825" t="s">
        <v>40779</v>
      </c>
      <c r="X3825" t="s">
        <v>43172</v>
      </c>
    </row>
    <row r="3826" spans="1:24">
      <c r="A3826">
        <f>HYPERLINK("https://www.philgeps.gov.ph/GEPSNONPILOT/Tender/SplashBidNoticeAbstractUI.aspx?menuIndex=3&amp;refID=7082883&amp;Result=3","7082883")</f>
        <v>0</v>
      </c>
      <c r="B3826" t="s">
        <v>422</v>
      </c>
      <c r="C3826" t="s">
        <v>7060</v>
      </c>
      <c r="D3826" t="s">
        <v>17455</v>
      </c>
      <c r="E3826" t="s">
        <v>20821</v>
      </c>
      <c r="F3826" t="s">
        <v>30052</v>
      </c>
      <c r="G3826" t="s">
        <v>30062</v>
      </c>
      <c r="H3826" t="s">
        <v>15498</v>
      </c>
      <c r="I3826" t="s">
        <v>30084</v>
      </c>
      <c r="J3826" t="s">
        <v>32691</v>
      </c>
      <c r="K3826" t="s">
        <v>39025</v>
      </c>
      <c r="M3826" t="s">
        <v>40641</v>
      </c>
      <c r="N3826" t="s">
        <v>43166</v>
      </c>
      <c r="O3826" t="s">
        <v>43167</v>
      </c>
      <c r="P3826">
        <v>0</v>
      </c>
      <c r="Q3826">
        <v>6</v>
      </c>
      <c r="R3826" t="s">
        <v>43171</v>
      </c>
      <c r="S3826" t="s">
        <v>43311</v>
      </c>
      <c r="T3826" t="s">
        <v>44724</v>
      </c>
      <c r="U3826" t="s">
        <v>48012</v>
      </c>
      <c r="W3826" t="s">
        <v>40641</v>
      </c>
      <c r="X3826" t="s">
        <v>43172</v>
      </c>
    </row>
    <row r="3827" spans="1:24">
      <c r="A3827">
        <f>HYPERLINK("https://www.philgeps.gov.ph/GEPSNONPILOT/Tender/SplashBidNoticeAbstractUI.aspx?menuIndex=3&amp;refID=7082919&amp;Result=3","7082919")</f>
        <v>0</v>
      </c>
      <c r="B3827" t="s">
        <v>1401</v>
      </c>
      <c r="C3827" t="s">
        <v>7061</v>
      </c>
      <c r="D3827" t="s">
        <v>17465</v>
      </c>
      <c r="E3827" t="s">
        <v>20822</v>
      </c>
      <c r="F3827" t="s">
        <v>30052</v>
      </c>
      <c r="G3827" t="s">
        <v>30059</v>
      </c>
      <c r="H3827" t="s">
        <v>15498</v>
      </c>
      <c r="I3827" t="s">
        <v>30127</v>
      </c>
      <c r="J3827" t="s">
        <v>32692</v>
      </c>
      <c r="K3827" t="s">
        <v>39018</v>
      </c>
      <c r="M3827" t="s">
        <v>40777</v>
      </c>
      <c r="N3827" t="s">
        <v>43166</v>
      </c>
      <c r="O3827" t="s">
        <v>43167</v>
      </c>
      <c r="P3827">
        <v>0</v>
      </c>
      <c r="Q3827">
        <v>0</v>
      </c>
      <c r="R3827" t="s">
        <v>43171</v>
      </c>
      <c r="S3827" t="s">
        <v>43311</v>
      </c>
      <c r="T3827" t="s">
        <v>44723</v>
      </c>
      <c r="U3827" t="s">
        <v>48346</v>
      </c>
      <c r="W3827" t="s">
        <v>40777</v>
      </c>
      <c r="X3827" t="s">
        <v>43172</v>
      </c>
    </row>
    <row r="3828" spans="1:24">
      <c r="A3828">
        <f>HYPERLINK("https://www.philgeps.gov.ph/GEPSNONPILOT/Tender/SplashBidNoticeAbstractUI.aspx?menuIndex=3&amp;refID=7082915&amp;Result=3","7082915")</f>
        <v>0</v>
      </c>
      <c r="B3828" t="s">
        <v>1402</v>
      </c>
      <c r="C3828" t="s">
        <v>7062</v>
      </c>
      <c r="D3828" t="s">
        <v>17457</v>
      </c>
      <c r="E3828" t="s">
        <v>20823</v>
      </c>
      <c r="F3828" t="s">
        <v>30052</v>
      </c>
      <c r="G3828" t="s">
        <v>30058</v>
      </c>
      <c r="H3828" t="s">
        <v>15498</v>
      </c>
      <c r="I3828" t="s">
        <v>3736</v>
      </c>
      <c r="J3828" t="s">
        <v>32693</v>
      </c>
      <c r="K3828" t="s">
        <v>39023</v>
      </c>
      <c r="L3828" t="s">
        <v>1402</v>
      </c>
      <c r="M3828" t="s">
        <v>40779</v>
      </c>
      <c r="N3828" t="s">
        <v>43166</v>
      </c>
      <c r="O3828" t="s">
        <v>43167</v>
      </c>
      <c r="P3828">
        <v>0</v>
      </c>
      <c r="Q3828">
        <v>0</v>
      </c>
      <c r="R3828" t="s">
        <v>43171</v>
      </c>
      <c r="S3828" t="s">
        <v>43311</v>
      </c>
      <c r="T3828" t="s">
        <v>44796</v>
      </c>
      <c r="U3828" t="s">
        <v>48347</v>
      </c>
      <c r="V3828" t="s">
        <v>57270</v>
      </c>
      <c r="W3828" t="s">
        <v>40779</v>
      </c>
      <c r="X3828" t="s">
        <v>43172</v>
      </c>
    </row>
    <row r="3829" spans="1:24">
      <c r="A3829">
        <f>HYPERLINK("https://www.philgeps.gov.ph/GEPSNONPILOT/Tender/SplashBidNoticeAbstractUI.aspx?menuIndex=3&amp;refID=7082561&amp;Result=3","7082561")</f>
        <v>0</v>
      </c>
      <c r="B3829" t="s">
        <v>1309</v>
      </c>
      <c r="C3829" t="s">
        <v>7063</v>
      </c>
      <c r="D3829" t="s">
        <v>17414</v>
      </c>
      <c r="E3829" t="s">
        <v>20824</v>
      </c>
      <c r="F3829" t="s">
        <v>30052</v>
      </c>
      <c r="G3829" t="s">
        <v>30058</v>
      </c>
      <c r="H3829" t="s">
        <v>15498</v>
      </c>
      <c r="I3829" t="s">
        <v>3606</v>
      </c>
      <c r="J3829" t="s">
        <v>32694</v>
      </c>
      <c r="K3829" t="s">
        <v>39029</v>
      </c>
      <c r="M3829" t="s">
        <v>40676</v>
      </c>
      <c r="N3829" t="s">
        <v>43166</v>
      </c>
      <c r="O3829" t="s">
        <v>43167</v>
      </c>
      <c r="P3829">
        <v>0</v>
      </c>
      <c r="Q3829">
        <v>1</v>
      </c>
      <c r="R3829" t="s">
        <v>43171</v>
      </c>
      <c r="S3829" t="s">
        <v>43311</v>
      </c>
      <c r="T3829" t="s">
        <v>44724</v>
      </c>
      <c r="U3829" t="s">
        <v>48348</v>
      </c>
      <c r="W3829" t="s">
        <v>40676</v>
      </c>
      <c r="X3829" t="s">
        <v>43172</v>
      </c>
    </row>
    <row r="3830" spans="1:24">
      <c r="A3830">
        <f>HYPERLINK("https://www.philgeps.gov.ph/GEPSNONPILOT/Tender/SplashBidNoticeAbstractUI.aspx?menuIndex=3&amp;refID=7082912&amp;Result=3","7082912")</f>
        <v>0</v>
      </c>
      <c r="B3830" t="s">
        <v>1325</v>
      </c>
      <c r="C3830" t="s">
        <v>7064</v>
      </c>
      <c r="D3830" t="s">
        <v>17413</v>
      </c>
      <c r="E3830" t="s">
        <v>20825</v>
      </c>
      <c r="F3830" t="s">
        <v>30052</v>
      </c>
      <c r="G3830" t="s">
        <v>30058</v>
      </c>
      <c r="H3830" t="s">
        <v>30067</v>
      </c>
      <c r="I3830" t="s">
        <v>3693</v>
      </c>
      <c r="J3830" t="s">
        <v>32695</v>
      </c>
      <c r="K3830" t="s">
        <v>39137</v>
      </c>
      <c r="M3830" t="s">
        <v>40692</v>
      </c>
      <c r="N3830" t="s">
        <v>43166</v>
      </c>
      <c r="O3830" t="s">
        <v>43167</v>
      </c>
      <c r="P3830">
        <v>0</v>
      </c>
      <c r="Q3830">
        <v>0</v>
      </c>
      <c r="R3830" t="s">
        <v>43171</v>
      </c>
      <c r="S3830" t="s">
        <v>43311</v>
      </c>
      <c r="T3830" t="s">
        <v>44917</v>
      </c>
      <c r="U3830" t="s">
        <v>48349</v>
      </c>
      <c r="W3830" t="s">
        <v>40692</v>
      </c>
      <c r="X3830" t="s">
        <v>43172</v>
      </c>
    </row>
    <row r="3831" spans="1:24">
      <c r="A3831">
        <f>HYPERLINK("https://www.philgeps.gov.ph/GEPSNONPILOT/Tender/SplashBidNoticeAbstractUI.aspx?menuIndex=3&amp;refID=7082911&amp;Result=3","7082911")</f>
        <v>0</v>
      </c>
      <c r="B3831" t="s">
        <v>1401</v>
      </c>
      <c r="C3831" t="s">
        <v>7065</v>
      </c>
      <c r="D3831" t="s">
        <v>17465</v>
      </c>
      <c r="E3831" t="s">
        <v>20826</v>
      </c>
      <c r="F3831" t="s">
        <v>30052</v>
      </c>
      <c r="G3831" t="s">
        <v>30059</v>
      </c>
      <c r="H3831" t="s">
        <v>15498</v>
      </c>
      <c r="I3831" t="s">
        <v>4642</v>
      </c>
      <c r="J3831" t="s">
        <v>30594</v>
      </c>
      <c r="K3831" t="s">
        <v>39029</v>
      </c>
      <c r="M3831" t="s">
        <v>40777</v>
      </c>
      <c r="N3831" t="s">
        <v>43166</v>
      </c>
      <c r="O3831" t="s">
        <v>43167</v>
      </c>
      <c r="P3831">
        <v>0</v>
      </c>
      <c r="Q3831">
        <v>3</v>
      </c>
      <c r="R3831" t="s">
        <v>43171</v>
      </c>
      <c r="S3831" t="s">
        <v>43311</v>
      </c>
      <c r="T3831" t="s">
        <v>44723</v>
      </c>
      <c r="U3831" t="s">
        <v>48339</v>
      </c>
      <c r="W3831" t="s">
        <v>40777</v>
      </c>
      <c r="X3831" t="s">
        <v>43172</v>
      </c>
    </row>
    <row r="3832" spans="1:24">
      <c r="A3832">
        <f>HYPERLINK("https://www.philgeps.gov.ph/GEPSNONPILOT/Tender/SplashBidNoticeAbstractUI.aspx?menuIndex=3&amp;refID=7082928&amp;Result=3","7082928")</f>
        <v>0</v>
      </c>
      <c r="B3832" t="s">
        <v>1372</v>
      </c>
      <c r="C3832" t="s">
        <v>7066</v>
      </c>
      <c r="D3832" t="s">
        <v>17424</v>
      </c>
      <c r="E3832" t="s">
        <v>20827</v>
      </c>
      <c r="F3832" t="s">
        <v>30052</v>
      </c>
      <c r="G3832" t="s">
        <v>30059</v>
      </c>
      <c r="H3832" t="s">
        <v>15498</v>
      </c>
      <c r="I3832" t="s">
        <v>30118</v>
      </c>
      <c r="J3832" t="s">
        <v>32696</v>
      </c>
      <c r="K3832" t="s">
        <v>39029</v>
      </c>
      <c r="M3832" t="s">
        <v>40761</v>
      </c>
      <c r="N3832" t="s">
        <v>43166</v>
      </c>
      <c r="O3832" t="s">
        <v>43167</v>
      </c>
      <c r="P3832">
        <v>0</v>
      </c>
      <c r="Q3832">
        <v>4</v>
      </c>
      <c r="R3832" t="s">
        <v>43171</v>
      </c>
      <c r="S3832" t="s">
        <v>43311</v>
      </c>
      <c r="T3832" t="s">
        <v>44698</v>
      </c>
      <c r="U3832" t="s">
        <v>48311</v>
      </c>
      <c r="W3832" t="s">
        <v>40761</v>
      </c>
      <c r="X3832" t="s">
        <v>43172</v>
      </c>
    </row>
    <row r="3833" spans="1:24">
      <c r="A3833">
        <f>HYPERLINK("https://www.philgeps.gov.ph/GEPSNONPILOT/Tender/SplashBidNoticeAbstractUI.aspx?menuIndex=3&amp;refID=7082948&amp;Result=3","7082948")</f>
        <v>0</v>
      </c>
      <c r="B3833" t="s">
        <v>1403</v>
      </c>
      <c r="C3833" t="s">
        <v>7067</v>
      </c>
      <c r="D3833" t="s">
        <v>17441</v>
      </c>
      <c r="E3833" t="s">
        <v>20828</v>
      </c>
      <c r="F3833" t="s">
        <v>30052</v>
      </c>
      <c r="G3833" t="s">
        <v>30058</v>
      </c>
      <c r="H3833" t="s">
        <v>15498</v>
      </c>
      <c r="I3833" t="s">
        <v>8758</v>
      </c>
      <c r="J3833" t="s">
        <v>32697</v>
      </c>
      <c r="K3833" t="s">
        <v>39025</v>
      </c>
      <c r="M3833" t="s">
        <v>40780</v>
      </c>
      <c r="N3833" t="s">
        <v>43166</v>
      </c>
      <c r="O3833" t="s">
        <v>43167</v>
      </c>
      <c r="P3833">
        <v>0</v>
      </c>
      <c r="Q3833">
        <v>11</v>
      </c>
      <c r="R3833" t="s">
        <v>43171</v>
      </c>
      <c r="S3833" t="s">
        <v>43311</v>
      </c>
      <c r="T3833" t="s">
        <v>44699</v>
      </c>
      <c r="U3833" t="s">
        <v>48350</v>
      </c>
      <c r="W3833" t="s">
        <v>40780</v>
      </c>
      <c r="X3833" t="s">
        <v>43172</v>
      </c>
    </row>
    <row r="3834" spans="1:24">
      <c r="A3834">
        <f>HYPERLINK("https://www.philgeps.gov.ph/GEPSNONPILOT/Tender/SplashBidNoticeAbstractUI.aspx?menuIndex=3&amp;refID=7082527&amp;Result=3","7082527")</f>
        <v>0</v>
      </c>
      <c r="B3834" t="s">
        <v>1359</v>
      </c>
      <c r="C3834" t="s">
        <v>7068</v>
      </c>
      <c r="D3834" t="s">
        <v>17415</v>
      </c>
      <c r="E3834" t="s">
        <v>20829</v>
      </c>
      <c r="F3834" t="s">
        <v>30052</v>
      </c>
      <c r="G3834" t="s">
        <v>30061</v>
      </c>
      <c r="H3834" t="s">
        <v>15498</v>
      </c>
      <c r="I3834" t="s">
        <v>30070</v>
      </c>
      <c r="J3834" t="s">
        <v>30343</v>
      </c>
      <c r="K3834" t="s">
        <v>39019</v>
      </c>
      <c r="M3834" t="s">
        <v>40728</v>
      </c>
      <c r="N3834" t="s">
        <v>43166</v>
      </c>
      <c r="O3834" t="s">
        <v>43167</v>
      </c>
      <c r="P3834">
        <v>0</v>
      </c>
      <c r="Q3834">
        <v>0</v>
      </c>
      <c r="R3834" t="s">
        <v>43171</v>
      </c>
      <c r="S3834" t="s">
        <v>43311</v>
      </c>
      <c r="T3834" t="s">
        <v>44698</v>
      </c>
      <c r="U3834" t="s">
        <v>48351</v>
      </c>
      <c r="W3834" t="s">
        <v>58636</v>
      </c>
      <c r="X3834" t="s">
        <v>43172</v>
      </c>
    </row>
    <row r="3835" spans="1:24">
      <c r="A3835">
        <f>HYPERLINK("https://www.philgeps.gov.ph/GEPSNONPILOT/Tender/SplashBidNoticeAbstractUI.aspx?menuIndex=3&amp;refID=7082913&amp;Result=3","7082913")</f>
        <v>0</v>
      </c>
      <c r="B3835" t="s">
        <v>1402</v>
      </c>
      <c r="C3835" t="s">
        <v>7069</v>
      </c>
      <c r="D3835" t="s">
        <v>17457</v>
      </c>
      <c r="E3835" t="s">
        <v>20830</v>
      </c>
      <c r="F3835" t="s">
        <v>30052</v>
      </c>
      <c r="G3835" t="s">
        <v>30058</v>
      </c>
      <c r="H3835" t="s">
        <v>15498</v>
      </c>
      <c r="I3835" t="s">
        <v>30074</v>
      </c>
      <c r="J3835" t="s">
        <v>32698</v>
      </c>
      <c r="K3835" t="s">
        <v>39029</v>
      </c>
      <c r="L3835" t="s">
        <v>1402</v>
      </c>
      <c r="M3835" t="s">
        <v>40779</v>
      </c>
      <c r="N3835" t="s">
        <v>43166</v>
      </c>
      <c r="O3835" t="s">
        <v>43167</v>
      </c>
      <c r="P3835">
        <v>0</v>
      </c>
      <c r="Q3835">
        <v>3</v>
      </c>
      <c r="R3835" t="s">
        <v>43171</v>
      </c>
      <c r="S3835" t="s">
        <v>43311</v>
      </c>
      <c r="T3835" t="s">
        <v>44796</v>
      </c>
      <c r="U3835" t="s">
        <v>48352</v>
      </c>
      <c r="V3835" t="s">
        <v>57270</v>
      </c>
      <c r="W3835" t="s">
        <v>40779</v>
      </c>
      <c r="X3835" t="s">
        <v>43172</v>
      </c>
    </row>
    <row r="3836" spans="1:24">
      <c r="A3836">
        <f>HYPERLINK("https://www.philgeps.gov.ph/GEPSNONPILOT/Tender/SplashBidNoticeAbstractUI.aspx?menuIndex=3&amp;refID=7082908&amp;Result=3","7082908")</f>
        <v>0</v>
      </c>
      <c r="B3836" t="s">
        <v>1402</v>
      </c>
      <c r="C3836" t="s">
        <v>7070</v>
      </c>
      <c r="D3836" t="s">
        <v>17457</v>
      </c>
      <c r="E3836" t="s">
        <v>20831</v>
      </c>
      <c r="F3836" t="s">
        <v>30052</v>
      </c>
      <c r="G3836" t="s">
        <v>30058</v>
      </c>
      <c r="H3836" t="s">
        <v>15498</v>
      </c>
      <c r="I3836" t="s">
        <v>30074</v>
      </c>
      <c r="J3836" t="s">
        <v>30321</v>
      </c>
      <c r="K3836" t="s">
        <v>39031</v>
      </c>
      <c r="L3836" t="s">
        <v>1402</v>
      </c>
      <c r="M3836" t="s">
        <v>40779</v>
      </c>
      <c r="N3836" t="s">
        <v>43166</v>
      </c>
      <c r="O3836" t="s">
        <v>43167</v>
      </c>
      <c r="P3836">
        <v>0</v>
      </c>
      <c r="Q3836">
        <v>5</v>
      </c>
      <c r="R3836" t="s">
        <v>43171</v>
      </c>
      <c r="S3836" t="s">
        <v>43311</v>
      </c>
      <c r="T3836" t="s">
        <v>44796</v>
      </c>
      <c r="U3836" t="s">
        <v>48353</v>
      </c>
      <c r="V3836" t="s">
        <v>57270</v>
      </c>
      <c r="W3836" t="s">
        <v>40779</v>
      </c>
      <c r="X3836" t="s">
        <v>43172</v>
      </c>
    </row>
    <row r="3837" spans="1:24">
      <c r="A3837">
        <f>HYPERLINK("https://www.philgeps.gov.ph/GEPSNONPILOT/Tender/SplashBidNoticeAbstractUI.aspx?menuIndex=3&amp;refID=7082985&amp;Result=3","7082985")</f>
        <v>0</v>
      </c>
      <c r="B3837" t="s">
        <v>1404</v>
      </c>
      <c r="C3837" t="s">
        <v>7071</v>
      </c>
      <c r="D3837" t="s">
        <v>17443</v>
      </c>
      <c r="E3837" t="s">
        <v>20832</v>
      </c>
      <c r="F3837" t="s">
        <v>30052</v>
      </c>
      <c r="G3837" t="s">
        <v>30059</v>
      </c>
      <c r="H3837" t="s">
        <v>15498</v>
      </c>
      <c r="I3837" t="s">
        <v>30096</v>
      </c>
      <c r="J3837" t="s">
        <v>32086</v>
      </c>
      <c r="K3837" t="s">
        <v>39034</v>
      </c>
      <c r="M3837" t="s">
        <v>40781</v>
      </c>
      <c r="N3837" t="s">
        <v>43166</v>
      </c>
      <c r="O3837" t="s">
        <v>43167</v>
      </c>
      <c r="P3837">
        <v>0</v>
      </c>
      <c r="Q3837">
        <v>2</v>
      </c>
      <c r="R3837" t="s">
        <v>43171</v>
      </c>
      <c r="S3837" t="s">
        <v>43311</v>
      </c>
      <c r="T3837" t="s">
        <v>44710</v>
      </c>
      <c r="U3837" t="s">
        <v>48354</v>
      </c>
      <c r="W3837" t="s">
        <v>40781</v>
      </c>
      <c r="X3837" t="s">
        <v>43172</v>
      </c>
    </row>
    <row r="3838" spans="1:24">
      <c r="A3838">
        <f>HYPERLINK("https://www.philgeps.gov.ph/GEPSNONPILOT/Tender/SplashBidNoticeAbstractUI.aspx?menuIndex=3&amp;refID=7082983&amp;Result=3","7082983")</f>
        <v>0</v>
      </c>
      <c r="B3838" t="s">
        <v>1405</v>
      </c>
      <c r="C3838" t="s">
        <v>7072</v>
      </c>
      <c r="D3838" t="s">
        <v>17415</v>
      </c>
      <c r="E3838" t="s">
        <v>20833</v>
      </c>
      <c r="F3838" t="s">
        <v>30052</v>
      </c>
      <c r="G3838" t="s">
        <v>30060</v>
      </c>
      <c r="H3838" t="s">
        <v>15498</v>
      </c>
      <c r="I3838" t="s">
        <v>30088</v>
      </c>
      <c r="J3838" t="s">
        <v>32699</v>
      </c>
      <c r="K3838" t="s">
        <v>39025</v>
      </c>
      <c r="M3838" t="s">
        <v>40782</v>
      </c>
      <c r="N3838" t="s">
        <v>43166</v>
      </c>
      <c r="O3838" t="s">
        <v>43167</v>
      </c>
      <c r="P3838">
        <v>0</v>
      </c>
      <c r="Q3838">
        <v>6</v>
      </c>
      <c r="R3838" t="s">
        <v>43171</v>
      </c>
      <c r="S3838" t="s">
        <v>43311</v>
      </c>
      <c r="T3838" t="s">
        <v>44841</v>
      </c>
      <c r="U3838" t="s">
        <v>48355</v>
      </c>
      <c r="W3838" t="s">
        <v>40782</v>
      </c>
      <c r="X3838" t="s">
        <v>43172</v>
      </c>
    </row>
    <row r="3839" spans="1:24">
      <c r="A3839">
        <f>HYPERLINK("https://www.philgeps.gov.ph/GEPSNONPILOT/Tender/SplashBidNoticeAbstractUI.aspx?menuIndex=3&amp;refID=7082979&amp;Result=3","7082979")</f>
        <v>0</v>
      </c>
      <c r="B3839" t="s">
        <v>1406</v>
      </c>
      <c r="C3839" t="s">
        <v>7073</v>
      </c>
      <c r="D3839" t="s">
        <v>17416</v>
      </c>
      <c r="E3839" t="s">
        <v>17892</v>
      </c>
      <c r="F3839" t="s">
        <v>30052</v>
      </c>
      <c r="G3839" t="s">
        <v>30058</v>
      </c>
      <c r="H3839" t="s">
        <v>15498</v>
      </c>
      <c r="I3839" t="s">
        <v>3736</v>
      </c>
      <c r="J3839" t="s">
        <v>32700</v>
      </c>
      <c r="K3839" t="s">
        <v>39034</v>
      </c>
      <c r="M3839" t="s">
        <v>40783</v>
      </c>
      <c r="N3839" t="s">
        <v>43166</v>
      </c>
      <c r="O3839" t="s">
        <v>43167</v>
      </c>
      <c r="P3839">
        <v>0</v>
      </c>
      <c r="Q3839">
        <v>1</v>
      </c>
      <c r="R3839" t="s">
        <v>43171</v>
      </c>
      <c r="S3839" t="s">
        <v>43311</v>
      </c>
      <c r="T3839" t="s">
        <v>44977</v>
      </c>
      <c r="U3839" t="s">
        <v>48356</v>
      </c>
      <c r="W3839" t="s">
        <v>40783</v>
      </c>
      <c r="X3839" t="s">
        <v>43172</v>
      </c>
    </row>
    <row r="3840" spans="1:24">
      <c r="A3840">
        <f>HYPERLINK("https://www.philgeps.gov.ph/GEPSNONPILOT/Tender/SplashBidNoticeAbstractUI.aspx?menuIndex=3&amp;refID=7082976&amp;Result=3","7082976")</f>
        <v>0</v>
      </c>
      <c r="B3840" t="s">
        <v>1407</v>
      </c>
      <c r="C3840" t="s">
        <v>7074</v>
      </c>
      <c r="E3840" t="s">
        <v>20834</v>
      </c>
      <c r="F3840" t="s">
        <v>30052</v>
      </c>
      <c r="G3840" t="s">
        <v>30061</v>
      </c>
      <c r="H3840" t="s">
        <v>15498</v>
      </c>
      <c r="I3840" t="s">
        <v>30085</v>
      </c>
      <c r="J3840" t="s">
        <v>32701</v>
      </c>
      <c r="K3840" t="s">
        <v>39025</v>
      </c>
      <c r="M3840" t="s">
        <v>40784</v>
      </c>
      <c r="N3840" t="s">
        <v>43166</v>
      </c>
      <c r="O3840" t="s">
        <v>43167</v>
      </c>
      <c r="P3840">
        <v>0</v>
      </c>
      <c r="Q3840">
        <v>0</v>
      </c>
      <c r="R3840" t="s">
        <v>43171</v>
      </c>
      <c r="S3840" t="s">
        <v>43311</v>
      </c>
      <c r="T3840" t="s">
        <v>44734</v>
      </c>
      <c r="U3840" t="s">
        <v>48357</v>
      </c>
      <c r="V3840" t="s">
        <v>57271</v>
      </c>
      <c r="W3840" t="s">
        <v>40784</v>
      </c>
      <c r="X3840" t="s">
        <v>43172</v>
      </c>
    </row>
    <row r="3841" spans="1:24">
      <c r="A3841">
        <f>HYPERLINK("https://www.philgeps.gov.ph/GEPSNONPILOT/Tender/SplashBidNoticeAbstractUI.aspx?menuIndex=3&amp;refID=7082972&amp;Result=3","7082972")</f>
        <v>0</v>
      </c>
      <c r="B3841" t="s">
        <v>1401</v>
      </c>
      <c r="C3841" t="s">
        <v>7075</v>
      </c>
      <c r="D3841" t="s">
        <v>17464</v>
      </c>
      <c r="E3841" t="s">
        <v>20835</v>
      </c>
      <c r="F3841" t="s">
        <v>30052</v>
      </c>
      <c r="G3841" t="s">
        <v>30059</v>
      </c>
      <c r="H3841" t="s">
        <v>15498</v>
      </c>
      <c r="I3841" t="s">
        <v>5961</v>
      </c>
      <c r="J3841" t="s">
        <v>32702</v>
      </c>
      <c r="K3841" t="s">
        <v>39029</v>
      </c>
      <c r="M3841" t="s">
        <v>40777</v>
      </c>
      <c r="N3841" t="s">
        <v>43166</v>
      </c>
      <c r="O3841" t="s">
        <v>43167</v>
      </c>
      <c r="P3841">
        <v>0</v>
      </c>
      <c r="Q3841">
        <v>5</v>
      </c>
      <c r="R3841" t="s">
        <v>43171</v>
      </c>
      <c r="S3841" t="s">
        <v>43311</v>
      </c>
      <c r="T3841" t="s">
        <v>44723</v>
      </c>
      <c r="U3841" t="s">
        <v>48339</v>
      </c>
      <c r="W3841" t="s">
        <v>40777</v>
      </c>
      <c r="X3841" t="s">
        <v>43172</v>
      </c>
    </row>
    <row r="3842" spans="1:24">
      <c r="A3842">
        <f>HYPERLINK("https://www.philgeps.gov.ph/GEPSNONPILOT/Tender/SplashBidNoticeAbstractUI.aspx?menuIndex=3&amp;refID=7082939&amp;Result=3","7082939")</f>
        <v>0</v>
      </c>
      <c r="B3842" t="s">
        <v>1408</v>
      </c>
      <c r="C3842" t="s">
        <v>7076</v>
      </c>
      <c r="D3842" t="s">
        <v>17421</v>
      </c>
      <c r="E3842" t="s">
        <v>17585</v>
      </c>
      <c r="F3842" t="s">
        <v>30052</v>
      </c>
      <c r="G3842" t="s">
        <v>30060</v>
      </c>
      <c r="H3842" t="s">
        <v>15498</v>
      </c>
      <c r="I3842" t="s">
        <v>30153</v>
      </c>
      <c r="J3842" t="s">
        <v>30890</v>
      </c>
      <c r="K3842" t="s">
        <v>39029</v>
      </c>
      <c r="M3842" t="s">
        <v>40785</v>
      </c>
      <c r="N3842" t="s">
        <v>43166</v>
      </c>
      <c r="O3842" t="s">
        <v>43167</v>
      </c>
      <c r="P3842">
        <v>0</v>
      </c>
      <c r="Q3842">
        <v>1</v>
      </c>
      <c r="R3842" t="s">
        <v>43171</v>
      </c>
      <c r="S3842" t="s">
        <v>43311</v>
      </c>
      <c r="T3842" t="s">
        <v>44787</v>
      </c>
      <c r="U3842" t="s">
        <v>48358</v>
      </c>
      <c r="W3842" t="s">
        <v>40785</v>
      </c>
      <c r="X3842" t="s">
        <v>43172</v>
      </c>
    </row>
    <row r="3843" spans="1:24">
      <c r="A3843">
        <f>HYPERLINK("https://www.philgeps.gov.ph/GEPSNONPILOT/Tender/SplashBidNoticeAbstractUI.aspx?menuIndex=3&amp;refID=7082971&amp;Result=3","7082971")</f>
        <v>0</v>
      </c>
      <c r="B3843" t="s">
        <v>204</v>
      </c>
      <c r="C3843" t="s">
        <v>7077</v>
      </c>
      <c r="D3843" t="s">
        <v>17435</v>
      </c>
      <c r="E3843" t="s">
        <v>20836</v>
      </c>
      <c r="F3843" t="s">
        <v>30052</v>
      </c>
      <c r="G3843" t="s">
        <v>30061</v>
      </c>
      <c r="H3843" t="s">
        <v>15498</v>
      </c>
      <c r="I3843" t="s">
        <v>30081</v>
      </c>
      <c r="J3843" t="s">
        <v>32703</v>
      </c>
      <c r="K3843" t="s">
        <v>39019</v>
      </c>
      <c r="M3843" t="s">
        <v>39494</v>
      </c>
      <c r="N3843" t="s">
        <v>43166</v>
      </c>
      <c r="O3843" t="s">
        <v>43167</v>
      </c>
      <c r="P3843">
        <v>0</v>
      </c>
      <c r="Q3843">
        <v>1</v>
      </c>
      <c r="R3843" t="s">
        <v>43171</v>
      </c>
      <c r="S3843" t="s">
        <v>43311</v>
      </c>
      <c r="T3843" t="s">
        <v>44841</v>
      </c>
      <c r="U3843" t="s">
        <v>48359</v>
      </c>
      <c r="W3843" t="s">
        <v>39494</v>
      </c>
      <c r="X3843" t="s">
        <v>43172</v>
      </c>
    </row>
    <row r="3844" spans="1:24">
      <c r="A3844">
        <f>HYPERLINK("https://www.philgeps.gov.ph/GEPSNONPILOT/Tender/SplashBidNoticeAbstractUI.aspx?menuIndex=3&amp;refID=7082963&amp;Result=3","7082963")</f>
        <v>0</v>
      </c>
      <c r="B3844" t="s">
        <v>422</v>
      </c>
      <c r="C3844" t="s">
        <v>7078</v>
      </c>
      <c r="D3844" t="s">
        <v>17455</v>
      </c>
      <c r="E3844" t="s">
        <v>20837</v>
      </c>
      <c r="F3844" t="s">
        <v>30052</v>
      </c>
      <c r="G3844" t="s">
        <v>30059</v>
      </c>
      <c r="H3844" t="s">
        <v>15498</v>
      </c>
      <c r="I3844" t="s">
        <v>30130</v>
      </c>
      <c r="J3844" t="s">
        <v>30384</v>
      </c>
      <c r="K3844" t="s">
        <v>39025</v>
      </c>
      <c r="M3844" t="s">
        <v>40641</v>
      </c>
      <c r="N3844" t="s">
        <v>43166</v>
      </c>
      <c r="O3844" t="s">
        <v>43167</v>
      </c>
      <c r="P3844">
        <v>0</v>
      </c>
      <c r="Q3844">
        <v>8</v>
      </c>
      <c r="R3844" t="s">
        <v>43171</v>
      </c>
      <c r="S3844" t="s">
        <v>43311</v>
      </c>
      <c r="T3844" t="s">
        <v>44724</v>
      </c>
      <c r="U3844" t="s">
        <v>48012</v>
      </c>
      <c r="W3844" t="s">
        <v>40641</v>
      </c>
      <c r="X3844" t="s">
        <v>43172</v>
      </c>
    </row>
    <row r="3845" spans="1:24">
      <c r="A3845">
        <f>HYPERLINK("https://www.philgeps.gov.ph/GEPSNONPILOT/Tender/SplashBidNoticeAbstractUI.aspx?menuIndex=3&amp;refID=7082955&amp;Result=3","7082955")</f>
        <v>0</v>
      </c>
      <c r="B3845" t="s">
        <v>1352</v>
      </c>
      <c r="C3845" t="s">
        <v>7079</v>
      </c>
      <c r="D3845" t="s">
        <v>17451</v>
      </c>
      <c r="E3845" t="s">
        <v>20838</v>
      </c>
      <c r="F3845" t="s">
        <v>30052</v>
      </c>
      <c r="G3845" t="s">
        <v>30059</v>
      </c>
      <c r="H3845" t="s">
        <v>15498</v>
      </c>
      <c r="I3845" t="s">
        <v>4119</v>
      </c>
      <c r="J3845" t="s">
        <v>32704</v>
      </c>
      <c r="K3845" t="s">
        <v>39034</v>
      </c>
      <c r="M3845" t="s">
        <v>40721</v>
      </c>
      <c r="N3845" t="s">
        <v>43166</v>
      </c>
      <c r="O3845" t="s">
        <v>43167</v>
      </c>
      <c r="P3845">
        <v>0</v>
      </c>
      <c r="Q3845">
        <v>8</v>
      </c>
      <c r="R3845" t="s">
        <v>43171</v>
      </c>
      <c r="S3845" t="s">
        <v>43311</v>
      </c>
      <c r="T3845" t="s">
        <v>44698</v>
      </c>
      <c r="U3845" t="s">
        <v>48210</v>
      </c>
      <c r="W3845" t="s">
        <v>40721</v>
      </c>
      <c r="X3845" t="s">
        <v>43172</v>
      </c>
    </row>
    <row r="3846" spans="1:24">
      <c r="A3846">
        <f>HYPERLINK("https://www.philgeps.gov.ph/GEPSNONPILOT/Tender/SplashBidNoticeAbstractUI.aspx?menuIndex=3&amp;refID=7082954&amp;Result=3","7082954")</f>
        <v>0</v>
      </c>
      <c r="B3846" t="s">
        <v>65</v>
      </c>
      <c r="C3846" t="s">
        <v>7080</v>
      </c>
      <c r="D3846" t="s">
        <v>17445</v>
      </c>
      <c r="E3846" t="s">
        <v>20839</v>
      </c>
      <c r="F3846" t="s">
        <v>30052</v>
      </c>
      <c r="G3846" t="s">
        <v>30059</v>
      </c>
      <c r="H3846" t="s">
        <v>30069</v>
      </c>
      <c r="I3846" t="s">
        <v>30181</v>
      </c>
      <c r="J3846" t="s">
        <v>30358</v>
      </c>
      <c r="K3846" t="s">
        <v>39019</v>
      </c>
      <c r="M3846" t="s">
        <v>40786</v>
      </c>
      <c r="N3846" t="s">
        <v>43166</v>
      </c>
      <c r="O3846" t="s">
        <v>43167</v>
      </c>
      <c r="P3846">
        <v>0</v>
      </c>
      <c r="Q3846">
        <v>1</v>
      </c>
      <c r="R3846" t="s">
        <v>43171</v>
      </c>
      <c r="S3846" t="s">
        <v>43311</v>
      </c>
      <c r="T3846" t="s">
        <v>44710</v>
      </c>
      <c r="U3846" t="s">
        <v>48337</v>
      </c>
      <c r="V3846" t="s">
        <v>57272</v>
      </c>
      <c r="W3846" t="s">
        <v>40786</v>
      </c>
      <c r="X3846" t="s">
        <v>43172</v>
      </c>
    </row>
    <row r="3847" spans="1:24">
      <c r="A3847">
        <f>HYPERLINK("https://www.philgeps.gov.ph/GEPSNONPILOT/Tender/SplashBidNoticeAbstractUI.aspx?menuIndex=3&amp;refID=7082990&amp;Result=3","7082990")</f>
        <v>0</v>
      </c>
      <c r="B3847" t="s">
        <v>1409</v>
      </c>
      <c r="C3847" t="s">
        <v>7081</v>
      </c>
      <c r="D3847" t="s">
        <v>17458</v>
      </c>
      <c r="E3847" t="s">
        <v>18907</v>
      </c>
      <c r="F3847" t="s">
        <v>30052</v>
      </c>
      <c r="G3847" t="s">
        <v>30061</v>
      </c>
      <c r="H3847" t="s">
        <v>15498</v>
      </c>
      <c r="I3847" t="s">
        <v>30085</v>
      </c>
      <c r="J3847" t="s">
        <v>32705</v>
      </c>
      <c r="K3847" t="s">
        <v>39017</v>
      </c>
      <c r="M3847" t="s">
        <v>40787</v>
      </c>
      <c r="N3847" t="s">
        <v>43166</v>
      </c>
      <c r="O3847" t="s">
        <v>43167</v>
      </c>
      <c r="P3847">
        <v>0</v>
      </c>
      <c r="Q3847">
        <v>0</v>
      </c>
      <c r="R3847" t="s">
        <v>43171</v>
      </c>
      <c r="S3847" t="s">
        <v>43311</v>
      </c>
      <c r="T3847" t="s">
        <v>44720</v>
      </c>
      <c r="U3847" t="s">
        <v>47816</v>
      </c>
      <c r="W3847" t="s">
        <v>40787</v>
      </c>
      <c r="X3847" t="s">
        <v>43172</v>
      </c>
    </row>
    <row r="3848" spans="1:24">
      <c r="A3848">
        <f>HYPERLINK("https://www.philgeps.gov.ph/GEPSNONPILOT/Tender/SplashBidNoticeAbstractUI.aspx?menuIndex=3&amp;refID=7082989&amp;Result=3","7082989")</f>
        <v>0</v>
      </c>
      <c r="B3848" t="s">
        <v>1294</v>
      </c>
      <c r="C3848" t="s">
        <v>7082</v>
      </c>
      <c r="D3848" t="s">
        <v>17466</v>
      </c>
      <c r="E3848" t="s">
        <v>20840</v>
      </c>
      <c r="F3848" t="s">
        <v>30052</v>
      </c>
      <c r="G3848" t="s">
        <v>30058</v>
      </c>
      <c r="H3848" t="s">
        <v>15498</v>
      </c>
      <c r="I3848" t="s">
        <v>30165</v>
      </c>
      <c r="J3848" t="s">
        <v>32317</v>
      </c>
      <c r="K3848" t="s">
        <v>39025</v>
      </c>
      <c r="M3848" t="s">
        <v>40660</v>
      </c>
      <c r="N3848" t="s">
        <v>43166</v>
      </c>
      <c r="O3848" t="s">
        <v>43167</v>
      </c>
      <c r="P3848">
        <v>0</v>
      </c>
      <c r="Q3848">
        <v>0</v>
      </c>
      <c r="R3848" t="s">
        <v>43171</v>
      </c>
      <c r="S3848" t="s">
        <v>43311</v>
      </c>
      <c r="T3848" t="s">
        <v>44796</v>
      </c>
      <c r="U3848" t="s">
        <v>48360</v>
      </c>
      <c r="W3848" t="s">
        <v>40660</v>
      </c>
      <c r="X3848" t="s">
        <v>43172</v>
      </c>
    </row>
    <row r="3849" spans="1:24">
      <c r="A3849">
        <f>HYPERLINK("https://www.philgeps.gov.ph/GEPSNONPILOT/Tender/SplashBidNoticeAbstractUI.aspx?menuIndex=3&amp;refID=7082970&amp;Result=3","7082970")</f>
        <v>0</v>
      </c>
      <c r="B3849" t="s">
        <v>1259</v>
      </c>
      <c r="C3849" t="s">
        <v>7083</v>
      </c>
      <c r="D3849" t="s">
        <v>17469</v>
      </c>
      <c r="E3849" t="s">
        <v>20841</v>
      </c>
      <c r="F3849" t="s">
        <v>30052</v>
      </c>
      <c r="G3849" t="s">
        <v>30058</v>
      </c>
      <c r="H3849" t="s">
        <v>15498</v>
      </c>
      <c r="I3849" t="s">
        <v>30091</v>
      </c>
      <c r="J3849" t="s">
        <v>32706</v>
      </c>
      <c r="K3849" t="s">
        <v>39026</v>
      </c>
      <c r="M3849" t="s">
        <v>40616</v>
      </c>
      <c r="N3849" t="s">
        <v>43166</v>
      </c>
      <c r="O3849" t="s">
        <v>43167</v>
      </c>
      <c r="P3849">
        <v>0</v>
      </c>
      <c r="Q3849">
        <v>4</v>
      </c>
      <c r="R3849" t="s">
        <v>43171</v>
      </c>
      <c r="S3849" t="s">
        <v>43311</v>
      </c>
      <c r="T3849" t="s">
        <v>44877</v>
      </c>
      <c r="U3849" t="s">
        <v>48361</v>
      </c>
      <c r="V3849" t="s">
        <v>57273</v>
      </c>
      <c r="W3849" t="s">
        <v>40616</v>
      </c>
      <c r="X3849" t="s">
        <v>43172</v>
      </c>
    </row>
    <row r="3850" spans="1:24">
      <c r="A3850">
        <f>HYPERLINK("https://www.philgeps.gov.ph/GEPSNONPILOT/Tender/SplashBidNoticeAbstractUI.aspx?menuIndex=3&amp;refID=7082910&amp;Result=3","7082910")</f>
        <v>0</v>
      </c>
      <c r="B3850" t="s">
        <v>1410</v>
      </c>
      <c r="C3850" t="s">
        <v>7084</v>
      </c>
      <c r="D3850" t="s">
        <v>17458</v>
      </c>
      <c r="E3850" t="s">
        <v>20842</v>
      </c>
      <c r="F3850" t="s">
        <v>30052</v>
      </c>
      <c r="G3850" t="s">
        <v>30059</v>
      </c>
      <c r="H3850" t="s">
        <v>30067</v>
      </c>
      <c r="I3850" t="s">
        <v>3693</v>
      </c>
      <c r="J3850" t="s">
        <v>32707</v>
      </c>
      <c r="K3850" t="s">
        <v>39099</v>
      </c>
      <c r="M3850" t="s">
        <v>40788</v>
      </c>
      <c r="N3850" t="s">
        <v>43166</v>
      </c>
      <c r="O3850" t="s">
        <v>43167</v>
      </c>
      <c r="P3850">
        <v>0</v>
      </c>
      <c r="Q3850">
        <v>0</v>
      </c>
      <c r="R3850" t="s">
        <v>43171</v>
      </c>
      <c r="S3850" t="s">
        <v>43311</v>
      </c>
      <c r="T3850" t="s">
        <v>44832</v>
      </c>
      <c r="U3850" t="s">
        <v>48362</v>
      </c>
      <c r="W3850" t="s">
        <v>40788</v>
      </c>
      <c r="X3850" t="s">
        <v>43172</v>
      </c>
    </row>
    <row r="3851" spans="1:24">
      <c r="A3851">
        <f>HYPERLINK("https://www.philgeps.gov.ph/GEPSNONPILOT/Tender/SplashBidNoticeAbstractUI.aspx?menuIndex=3&amp;refID=7082987&amp;Result=3","7082987")</f>
        <v>0</v>
      </c>
      <c r="B3851" t="s">
        <v>1181</v>
      </c>
      <c r="C3851" t="s">
        <v>7085</v>
      </c>
      <c r="D3851" t="s">
        <v>17444</v>
      </c>
      <c r="E3851" t="s">
        <v>20843</v>
      </c>
      <c r="F3851" t="s">
        <v>30052</v>
      </c>
      <c r="G3851" t="s">
        <v>30059</v>
      </c>
      <c r="H3851" t="s">
        <v>30068</v>
      </c>
      <c r="I3851" t="s">
        <v>30068</v>
      </c>
      <c r="J3851" t="s">
        <v>32610</v>
      </c>
      <c r="K3851" t="s">
        <v>39025</v>
      </c>
      <c r="M3851" t="s">
        <v>40531</v>
      </c>
      <c r="N3851" t="s">
        <v>43166</v>
      </c>
      <c r="O3851" t="s">
        <v>43167</v>
      </c>
      <c r="P3851">
        <v>0</v>
      </c>
      <c r="Q3851">
        <v>1</v>
      </c>
      <c r="R3851" t="s">
        <v>43171</v>
      </c>
      <c r="S3851" t="s">
        <v>43311</v>
      </c>
      <c r="T3851" t="s">
        <v>44705</v>
      </c>
      <c r="U3851" t="s">
        <v>48363</v>
      </c>
      <c r="W3851" t="s">
        <v>40531</v>
      </c>
      <c r="X3851" t="s">
        <v>43172</v>
      </c>
    </row>
    <row r="3852" spans="1:24">
      <c r="A3852">
        <f>HYPERLINK("https://www.philgeps.gov.ph/GEPSNONPILOT/Tender/SplashBidNoticeAbstractUI.aspx?menuIndex=3&amp;refID=7083021&amp;Result=3","7083021")</f>
        <v>0</v>
      </c>
      <c r="B3852" t="s">
        <v>1411</v>
      </c>
      <c r="C3852" t="s">
        <v>7086</v>
      </c>
      <c r="D3852" t="s">
        <v>17416</v>
      </c>
      <c r="E3852" t="s">
        <v>18033</v>
      </c>
      <c r="F3852" t="s">
        <v>30052</v>
      </c>
      <c r="G3852" t="s">
        <v>30058</v>
      </c>
      <c r="H3852" t="s">
        <v>15498</v>
      </c>
      <c r="I3852" t="s">
        <v>30096</v>
      </c>
      <c r="J3852" t="s">
        <v>32708</v>
      </c>
      <c r="K3852" t="s">
        <v>39017</v>
      </c>
      <c r="M3852" t="s">
        <v>40789</v>
      </c>
      <c r="N3852" t="s">
        <v>43166</v>
      </c>
      <c r="O3852" t="s">
        <v>43167</v>
      </c>
      <c r="P3852">
        <v>0</v>
      </c>
      <c r="Q3852">
        <v>2</v>
      </c>
      <c r="R3852" t="s">
        <v>43171</v>
      </c>
      <c r="S3852" t="s">
        <v>43311</v>
      </c>
      <c r="T3852" t="s">
        <v>44684</v>
      </c>
      <c r="U3852" t="s">
        <v>48364</v>
      </c>
      <c r="V3852" t="s">
        <v>57274</v>
      </c>
      <c r="W3852" t="s">
        <v>40789</v>
      </c>
      <c r="X3852" t="s">
        <v>43172</v>
      </c>
    </row>
    <row r="3853" spans="1:24">
      <c r="A3853">
        <f>HYPERLINK("https://www.philgeps.gov.ph/GEPSNONPILOT/Tender/SplashBidNoticeAbstractUI.aspx?menuIndex=3&amp;refID=7083020&amp;Result=3","7083020")</f>
        <v>0</v>
      </c>
      <c r="B3853" t="s">
        <v>1412</v>
      </c>
      <c r="C3853" t="s">
        <v>7087</v>
      </c>
      <c r="D3853" t="s">
        <v>17444</v>
      </c>
      <c r="E3853" t="s">
        <v>20844</v>
      </c>
      <c r="F3853" t="s">
        <v>30052</v>
      </c>
      <c r="G3853" t="s">
        <v>30058</v>
      </c>
      <c r="H3853" t="s">
        <v>15498</v>
      </c>
      <c r="I3853" t="s">
        <v>4650</v>
      </c>
      <c r="J3853" t="s">
        <v>30207</v>
      </c>
      <c r="K3853" t="s">
        <v>39029</v>
      </c>
      <c r="M3853" t="s">
        <v>40790</v>
      </c>
      <c r="N3853" t="s">
        <v>43166</v>
      </c>
      <c r="O3853" t="s">
        <v>43167</v>
      </c>
      <c r="P3853">
        <v>0</v>
      </c>
      <c r="Q3853">
        <v>1</v>
      </c>
      <c r="R3853" t="s">
        <v>43171</v>
      </c>
      <c r="S3853" t="s">
        <v>43311</v>
      </c>
      <c r="T3853" t="s">
        <v>44719</v>
      </c>
      <c r="U3853" t="s">
        <v>48365</v>
      </c>
      <c r="V3853" t="s">
        <v>57275</v>
      </c>
      <c r="W3853" t="s">
        <v>40790</v>
      </c>
      <c r="X3853" t="s">
        <v>43172</v>
      </c>
    </row>
    <row r="3854" spans="1:24">
      <c r="A3854">
        <f>HYPERLINK("https://www.philgeps.gov.ph/GEPSNONPILOT/Tender/SplashBidNoticeAbstractUI.aspx?menuIndex=3&amp;refID=7083013&amp;Result=3","7083013")</f>
        <v>0</v>
      </c>
      <c r="B3854" t="s">
        <v>1413</v>
      </c>
      <c r="C3854" t="s">
        <v>3596</v>
      </c>
      <c r="D3854" t="s">
        <v>17417</v>
      </c>
      <c r="E3854" t="s">
        <v>20845</v>
      </c>
      <c r="F3854" t="s">
        <v>30052</v>
      </c>
      <c r="G3854" t="s">
        <v>30058</v>
      </c>
      <c r="H3854" t="s">
        <v>30067</v>
      </c>
      <c r="I3854" t="s">
        <v>3693</v>
      </c>
      <c r="J3854" t="s">
        <v>30218</v>
      </c>
      <c r="K3854" t="s">
        <v>39064</v>
      </c>
      <c r="M3854" t="s">
        <v>40791</v>
      </c>
      <c r="N3854" t="s">
        <v>43166</v>
      </c>
      <c r="O3854" t="s">
        <v>43167</v>
      </c>
      <c r="P3854">
        <v>0</v>
      </c>
      <c r="Q3854">
        <v>0</v>
      </c>
      <c r="R3854" t="s">
        <v>43171</v>
      </c>
      <c r="S3854" t="s">
        <v>43311</v>
      </c>
      <c r="T3854" t="s">
        <v>44710</v>
      </c>
      <c r="U3854" t="s">
        <v>48366</v>
      </c>
      <c r="W3854" t="s">
        <v>40791</v>
      </c>
      <c r="X3854" t="s">
        <v>43172</v>
      </c>
    </row>
    <row r="3855" spans="1:24">
      <c r="A3855">
        <f>HYPERLINK("https://www.philgeps.gov.ph/GEPSNONPILOT/Tender/SplashBidNoticeAbstractUI.aspx?menuIndex=3&amp;refID=7083019&amp;Result=3","7083019")</f>
        <v>0</v>
      </c>
      <c r="B3855" t="s">
        <v>1414</v>
      </c>
      <c r="C3855" t="s">
        <v>7088</v>
      </c>
      <c r="D3855" t="s">
        <v>17419</v>
      </c>
      <c r="E3855" t="s">
        <v>20846</v>
      </c>
      <c r="F3855" t="s">
        <v>30052</v>
      </c>
      <c r="G3855" t="s">
        <v>30058</v>
      </c>
      <c r="H3855" t="s">
        <v>15498</v>
      </c>
      <c r="I3855" t="s">
        <v>30084</v>
      </c>
      <c r="J3855" t="s">
        <v>32709</v>
      </c>
      <c r="K3855" t="s">
        <v>39029</v>
      </c>
      <c r="M3855" t="s">
        <v>40792</v>
      </c>
      <c r="N3855" t="s">
        <v>43166</v>
      </c>
      <c r="O3855" t="s">
        <v>43167</v>
      </c>
      <c r="P3855">
        <v>0</v>
      </c>
      <c r="Q3855">
        <v>1</v>
      </c>
      <c r="R3855" t="s">
        <v>43171</v>
      </c>
      <c r="S3855" t="s">
        <v>43311</v>
      </c>
      <c r="T3855" t="s">
        <v>44758</v>
      </c>
      <c r="U3855" t="s">
        <v>48367</v>
      </c>
      <c r="W3855" t="s">
        <v>40792</v>
      </c>
      <c r="X3855" t="s">
        <v>43172</v>
      </c>
    </row>
    <row r="3856" spans="1:24">
      <c r="A3856">
        <f>HYPERLINK("https://www.philgeps.gov.ph/GEPSNONPILOT/Tender/SplashBidNoticeAbstractUI.aspx?menuIndex=3&amp;refID=7083011&amp;Result=3","7083011")</f>
        <v>0</v>
      </c>
      <c r="B3856" t="s">
        <v>1415</v>
      </c>
      <c r="C3856" t="s">
        <v>7089</v>
      </c>
      <c r="D3856" t="s">
        <v>17474</v>
      </c>
      <c r="E3856" t="s">
        <v>20469</v>
      </c>
      <c r="F3856" t="s">
        <v>30052</v>
      </c>
      <c r="G3856" t="s">
        <v>30058</v>
      </c>
      <c r="H3856" t="s">
        <v>15498</v>
      </c>
      <c r="I3856" t="s">
        <v>30143</v>
      </c>
      <c r="J3856" t="s">
        <v>32710</v>
      </c>
      <c r="K3856" t="s">
        <v>39029</v>
      </c>
      <c r="M3856" t="s">
        <v>40793</v>
      </c>
      <c r="N3856" t="s">
        <v>43166</v>
      </c>
      <c r="O3856" t="s">
        <v>43167</v>
      </c>
      <c r="P3856">
        <v>0</v>
      </c>
      <c r="Q3856">
        <v>1</v>
      </c>
      <c r="R3856" t="s">
        <v>43171</v>
      </c>
      <c r="S3856" t="s">
        <v>43311</v>
      </c>
      <c r="T3856" t="s">
        <v>44811</v>
      </c>
      <c r="U3856" t="s">
        <v>48368</v>
      </c>
      <c r="V3856" t="s">
        <v>57276</v>
      </c>
      <c r="W3856" t="s">
        <v>40793</v>
      </c>
      <c r="X3856" t="s">
        <v>43172</v>
      </c>
    </row>
    <row r="3857" spans="1:24">
      <c r="A3857">
        <f>HYPERLINK("https://www.philgeps.gov.ph/GEPSNONPILOT/Tender/SplashBidNoticeAbstractUI.aspx?menuIndex=3&amp;refID=7083009&amp;Result=3","7083009")</f>
        <v>0</v>
      </c>
      <c r="B3857" t="s">
        <v>1416</v>
      </c>
      <c r="C3857" t="s">
        <v>7090</v>
      </c>
      <c r="D3857" t="s">
        <v>17414</v>
      </c>
      <c r="E3857" t="s">
        <v>17662</v>
      </c>
      <c r="F3857" t="s">
        <v>30052</v>
      </c>
      <c r="G3857" t="s">
        <v>30058</v>
      </c>
      <c r="H3857" t="s">
        <v>15498</v>
      </c>
      <c r="I3857" t="s">
        <v>30078</v>
      </c>
      <c r="J3857" t="s">
        <v>32711</v>
      </c>
      <c r="K3857" t="s">
        <v>39037</v>
      </c>
      <c r="M3857" t="s">
        <v>40794</v>
      </c>
      <c r="N3857" t="s">
        <v>43166</v>
      </c>
      <c r="O3857" t="s">
        <v>43167</v>
      </c>
      <c r="P3857">
        <v>0</v>
      </c>
      <c r="Q3857">
        <v>0</v>
      </c>
      <c r="R3857" t="s">
        <v>43171</v>
      </c>
      <c r="S3857" t="s">
        <v>43311</v>
      </c>
      <c r="T3857" t="s">
        <v>44760</v>
      </c>
      <c r="U3857" t="s">
        <v>48369</v>
      </c>
      <c r="V3857" t="s">
        <v>57277</v>
      </c>
      <c r="W3857" t="s">
        <v>40794</v>
      </c>
      <c r="X3857" t="s">
        <v>43172</v>
      </c>
    </row>
    <row r="3858" spans="1:24">
      <c r="A3858">
        <f>HYPERLINK("https://www.philgeps.gov.ph/GEPSNONPILOT/Tender/SplashBidNoticeAbstractUI.aspx?menuIndex=3&amp;refID=7083022&amp;Result=3","7083022")</f>
        <v>0</v>
      </c>
      <c r="B3858" t="s">
        <v>1416</v>
      </c>
      <c r="C3858" t="s">
        <v>7091</v>
      </c>
      <c r="D3858" t="s">
        <v>17414</v>
      </c>
      <c r="E3858" t="s">
        <v>19932</v>
      </c>
      <c r="F3858" t="s">
        <v>30052</v>
      </c>
      <c r="G3858" t="s">
        <v>30058</v>
      </c>
      <c r="H3858" t="s">
        <v>15498</v>
      </c>
      <c r="I3858" t="s">
        <v>3736</v>
      </c>
      <c r="J3858" t="s">
        <v>32712</v>
      </c>
      <c r="K3858" t="s">
        <v>39037</v>
      </c>
      <c r="M3858" t="s">
        <v>40794</v>
      </c>
      <c r="N3858" t="s">
        <v>43166</v>
      </c>
      <c r="O3858" t="s">
        <v>43167</v>
      </c>
      <c r="P3858">
        <v>0</v>
      </c>
      <c r="Q3858">
        <v>0</v>
      </c>
      <c r="R3858" t="s">
        <v>43171</v>
      </c>
      <c r="S3858" t="s">
        <v>43311</v>
      </c>
      <c r="T3858" t="s">
        <v>44760</v>
      </c>
      <c r="U3858" t="s">
        <v>48370</v>
      </c>
      <c r="V3858" t="s">
        <v>57277</v>
      </c>
      <c r="W3858" t="s">
        <v>40794</v>
      </c>
      <c r="X3858" t="s">
        <v>43172</v>
      </c>
    </row>
    <row r="3859" spans="1:24">
      <c r="A3859">
        <f>HYPERLINK("https://www.philgeps.gov.ph/GEPSNONPILOT/Tender/SplashBidNoticeAbstractUI.aspx?menuIndex=3&amp;refID=7083006&amp;Result=3","7083006")</f>
        <v>0</v>
      </c>
      <c r="B3859" t="s">
        <v>878</v>
      </c>
      <c r="C3859" t="s">
        <v>7092</v>
      </c>
      <c r="D3859" t="s">
        <v>17416</v>
      </c>
      <c r="E3859" t="s">
        <v>20847</v>
      </c>
      <c r="F3859" t="s">
        <v>30052</v>
      </c>
      <c r="G3859" t="s">
        <v>30059</v>
      </c>
      <c r="H3859" t="s">
        <v>15498</v>
      </c>
      <c r="I3859" t="s">
        <v>4650</v>
      </c>
      <c r="J3859" t="s">
        <v>32438</v>
      </c>
      <c r="K3859" t="s">
        <v>39029</v>
      </c>
      <c r="M3859" t="s">
        <v>40197</v>
      </c>
      <c r="N3859" t="s">
        <v>43166</v>
      </c>
      <c r="O3859" t="s">
        <v>43167</v>
      </c>
      <c r="P3859">
        <v>0</v>
      </c>
      <c r="Q3859">
        <v>4</v>
      </c>
      <c r="R3859" t="s">
        <v>43171</v>
      </c>
      <c r="S3859" t="s">
        <v>43311</v>
      </c>
      <c r="T3859" t="s">
        <v>44870</v>
      </c>
      <c r="U3859" t="s">
        <v>48371</v>
      </c>
      <c r="W3859" t="s">
        <v>40197</v>
      </c>
      <c r="X3859" t="s">
        <v>43172</v>
      </c>
    </row>
    <row r="3860" spans="1:24">
      <c r="A3860">
        <f>HYPERLINK("https://www.philgeps.gov.ph/GEPSNONPILOT/Tender/SplashBidNoticeAbstractUI.aspx?menuIndex=3&amp;refID=7083010&amp;Result=3","7083010")</f>
        <v>0</v>
      </c>
      <c r="B3860" t="s">
        <v>1401</v>
      </c>
      <c r="C3860" t="s">
        <v>7093</v>
      </c>
      <c r="D3860" t="s">
        <v>17464</v>
      </c>
      <c r="E3860" t="s">
        <v>20848</v>
      </c>
      <c r="F3860" t="s">
        <v>30052</v>
      </c>
      <c r="G3860" t="s">
        <v>30059</v>
      </c>
      <c r="H3860" t="s">
        <v>15498</v>
      </c>
      <c r="I3860" t="s">
        <v>5961</v>
      </c>
      <c r="J3860" t="s">
        <v>32713</v>
      </c>
      <c r="K3860" t="s">
        <v>39029</v>
      </c>
      <c r="M3860" t="s">
        <v>40777</v>
      </c>
      <c r="N3860" t="s">
        <v>43166</v>
      </c>
      <c r="O3860" t="s">
        <v>43167</v>
      </c>
      <c r="P3860">
        <v>0</v>
      </c>
      <c r="Q3860">
        <v>7</v>
      </c>
      <c r="R3860" t="s">
        <v>43171</v>
      </c>
      <c r="S3860" t="s">
        <v>43311</v>
      </c>
      <c r="T3860" t="s">
        <v>44723</v>
      </c>
      <c r="U3860" t="s">
        <v>48339</v>
      </c>
      <c r="W3860" t="s">
        <v>40777</v>
      </c>
      <c r="X3860" t="s">
        <v>43172</v>
      </c>
    </row>
    <row r="3861" spans="1:24">
      <c r="A3861">
        <f>HYPERLINK("https://www.philgeps.gov.ph/GEPSNONPILOT/Tender/SplashBidNoticeAbstractUI.aspx?menuIndex=3&amp;refID=7082992&amp;Result=3","7082992")</f>
        <v>0</v>
      </c>
      <c r="B3861" t="s">
        <v>1372</v>
      </c>
      <c r="C3861" t="s">
        <v>7094</v>
      </c>
      <c r="D3861" t="s">
        <v>17424</v>
      </c>
      <c r="E3861" t="s">
        <v>20849</v>
      </c>
      <c r="F3861" t="s">
        <v>30052</v>
      </c>
      <c r="G3861" t="s">
        <v>30058</v>
      </c>
      <c r="H3861" t="s">
        <v>15498</v>
      </c>
      <c r="I3861" t="s">
        <v>30073</v>
      </c>
      <c r="J3861" t="s">
        <v>32714</v>
      </c>
      <c r="K3861" t="s">
        <v>39029</v>
      </c>
      <c r="M3861" t="s">
        <v>40761</v>
      </c>
      <c r="N3861" t="s">
        <v>43166</v>
      </c>
      <c r="O3861" t="s">
        <v>43167</v>
      </c>
      <c r="P3861">
        <v>0</v>
      </c>
      <c r="Q3861">
        <v>2</v>
      </c>
      <c r="R3861" t="s">
        <v>43171</v>
      </c>
      <c r="S3861" t="s">
        <v>43311</v>
      </c>
      <c r="T3861" t="s">
        <v>44842</v>
      </c>
      <c r="U3861" t="s">
        <v>48372</v>
      </c>
      <c r="W3861" t="s">
        <v>40761</v>
      </c>
      <c r="X3861" t="s">
        <v>43172</v>
      </c>
    </row>
    <row r="3862" spans="1:24">
      <c r="A3862">
        <f>HYPERLINK("https://www.philgeps.gov.ph/GEPSNONPILOT/Tender/SplashBidNoticeAbstractUI.aspx?menuIndex=3&amp;refID=7082999&amp;Result=3","7082999")</f>
        <v>0</v>
      </c>
      <c r="B3862" t="s">
        <v>165</v>
      </c>
      <c r="C3862" t="s">
        <v>7095</v>
      </c>
      <c r="D3862" t="s">
        <v>17448</v>
      </c>
      <c r="E3862" t="s">
        <v>20850</v>
      </c>
      <c r="F3862" t="s">
        <v>30052</v>
      </c>
      <c r="G3862" t="s">
        <v>30059</v>
      </c>
      <c r="H3862" t="s">
        <v>15498</v>
      </c>
      <c r="I3862" t="s">
        <v>3606</v>
      </c>
      <c r="J3862" t="s">
        <v>32715</v>
      </c>
      <c r="K3862" t="s">
        <v>39029</v>
      </c>
      <c r="M3862" t="s">
        <v>39454</v>
      </c>
      <c r="N3862" t="s">
        <v>43166</v>
      </c>
      <c r="O3862" t="s">
        <v>43167</v>
      </c>
      <c r="P3862">
        <v>0</v>
      </c>
      <c r="Q3862">
        <v>0</v>
      </c>
      <c r="R3862" t="s">
        <v>43171</v>
      </c>
      <c r="S3862" t="s">
        <v>43311</v>
      </c>
      <c r="T3862" t="s">
        <v>44732</v>
      </c>
      <c r="U3862" t="s">
        <v>48373</v>
      </c>
      <c r="W3862" t="s">
        <v>39454</v>
      </c>
      <c r="X3862" t="s">
        <v>43172</v>
      </c>
    </row>
    <row r="3863" spans="1:24">
      <c r="A3863">
        <f>HYPERLINK("https://www.philgeps.gov.ph/GEPSNONPILOT/Tender/SplashBidNoticeAbstractUI.aspx?menuIndex=3&amp;refID=7083008&amp;Result=3","7083008")</f>
        <v>0</v>
      </c>
      <c r="B3863" t="s">
        <v>1417</v>
      </c>
      <c r="C3863" t="s">
        <v>7096</v>
      </c>
      <c r="D3863" t="s">
        <v>17441</v>
      </c>
      <c r="E3863" t="s">
        <v>20851</v>
      </c>
      <c r="F3863" t="s">
        <v>30052</v>
      </c>
      <c r="G3863" t="s">
        <v>30059</v>
      </c>
      <c r="H3863" t="s">
        <v>15498</v>
      </c>
      <c r="I3863" t="s">
        <v>4119</v>
      </c>
      <c r="J3863" t="s">
        <v>30248</v>
      </c>
      <c r="K3863" t="s">
        <v>39034</v>
      </c>
      <c r="M3863" t="s">
        <v>40795</v>
      </c>
      <c r="N3863" t="s">
        <v>43166</v>
      </c>
      <c r="O3863" t="s">
        <v>43167</v>
      </c>
      <c r="P3863">
        <v>0</v>
      </c>
      <c r="Q3863">
        <v>0</v>
      </c>
      <c r="R3863" t="s">
        <v>43171</v>
      </c>
      <c r="S3863" t="s">
        <v>43311</v>
      </c>
      <c r="T3863" t="s">
        <v>44773</v>
      </c>
      <c r="U3863" t="s">
        <v>48374</v>
      </c>
      <c r="W3863" t="s">
        <v>40795</v>
      </c>
      <c r="X3863" t="s">
        <v>43172</v>
      </c>
    </row>
    <row r="3864" spans="1:24">
      <c r="A3864">
        <f>HYPERLINK("https://www.philgeps.gov.ph/GEPSNONPILOT/Tender/SplashBidNoticeAbstractUI.aspx?menuIndex=3&amp;refID=7082998&amp;Result=3","7082998")</f>
        <v>0</v>
      </c>
      <c r="B3864" t="s">
        <v>1401</v>
      </c>
      <c r="C3864" t="s">
        <v>7097</v>
      </c>
      <c r="D3864" t="s">
        <v>17464</v>
      </c>
      <c r="E3864" t="s">
        <v>20852</v>
      </c>
      <c r="F3864" t="s">
        <v>30052</v>
      </c>
      <c r="G3864" t="s">
        <v>30062</v>
      </c>
      <c r="H3864" t="s">
        <v>15498</v>
      </c>
      <c r="I3864" t="s">
        <v>30145</v>
      </c>
      <c r="J3864" t="s">
        <v>32716</v>
      </c>
      <c r="K3864" t="s">
        <v>39029</v>
      </c>
      <c r="M3864" t="s">
        <v>40777</v>
      </c>
      <c r="N3864" t="s">
        <v>43166</v>
      </c>
      <c r="O3864" t="s">
        <v>43167</v>
      </c>
      <c r="P3864">
        <v>0</v>
      </c>
      <c r="Q3864">
        <v>5</v>
      </c>
      <c r="R3864" t="s">
        <v>43171</v>
      </c>
      <c r="S3864" t="s">
        <v>43311</v>
      </c>
      <c r="T3864" t="s">
        <v>44723</v>
      </c>
      <c r="U3864" t="s">
        <v>48339</v>
      </c>
      <c r="W3864" t="s">
        <v>40777</v>
      </c>
      <c r="X3864" t="s">
        <v>43172</v>
      </c>
    </row>
    <row r="3865" spans="1:24">
      <c r="A3865">
        <f>HYPERLINK("https://www.philgeps.gov.ph/GEPSNONPILOT/Tender/SplashBidNoticeAbstractUI.aspx?menuIndex=3&amp;refID=7082878&amp;Result=3","7082878")</f>
        <v>0</v>
      </c>
      <c r="B3865" t="s">
        <v>422</v>
      </c>
      <c r="C3865" t="s">
        <v>7098</v>
      </c>
      <c r="D3865" t="s">
        <v>17455</v>
      </c>
      <c r="E3865" t="s">
        <v>20853</v>
      </c>
      <c r="F3865" t="s">
        <v>30052</v>
      </c>
      <c r="G3865" t="s">
        <v>30062</v>
      </c>
      <c r="H3865" t="s">
        <v>15498</v>
      </c>
      <c r="I3865" t="s">
        <v>30137</v>
      </c>
      <c r="J3865" t="s">
        <v>32717</v>
      </c>
      <c r="K3865" t="s">
        <v>39025</v>
      </c>
      <c r="M3865" t="s">
        <v>40641</v>
      </c>
      <c r="N3865" t="s">
        <v>43166</v>
      </c>
      <c r="O3865" t="s">
        <v>43167</v>
      </c>
      <c r="P3865">
        <v>0</v>
      </c>
      <c r="Q3865">
        <v>2</v>
      </c>
      <c r="R3865" t="s">
        <v>43171</v>
      </c>
      <c r="S3865" t="s">
        <v>43311</v>
      </c>
      <c r="T3865" t="s">
        <v>44724</v>
      </c>
      <c r="U3865" t="s">
        <v>48012</v>
      </c>
      <c r="W3865" t="s">
        <v>40641</v>
      </c>
      <c r="X3865" t="s">
        <v>43172</v>
      </c>
    </row>
    <row r="3866" spans="1:24">
      <c r="A3866">
        <f>HYPERLINK("https://www.philgeps.gov.ph/GEPSNONPILOT/Tender/SplashBidNoticeAbstractUI.aspx?menuIndex=3&amp;refID=7082995&amp;Result=3","7082995")</f>
        <v>0</v>
      </c>
      <c r="B3866" t="s">
        <v>1417</v>
      </c>
      <c r="C3866" t="s">
        <v>6801</v>
      </c>
      <c r="D3866" t="s">
        <v>17441</v>
      </c>
      <c r="E3866" t="s">
        <v>20854</v>
      </c>
      <c r="F3866" t="s">
        <v>30052</v>
      </c>
      <c r="G3866" t="s">
        <v>30059</v>
      </c>
      <c r="H3866" t="s">
        <v>15498</v>
      </c>
      <c r="I3866" t="s">
        <v>4650</v>
      </c>
      <c r="J3866" t="s">
        <v>30337</v>
      </c>
      <c r="K3866" t="s">
        <v>39034</v>
      </c>
      <c r="M3866" t="s">
        <v>40795</v>
      </c>
      <c r="N3866" t="s">
        <v>43166</v>
      </c>
      <c r="O3866" t="s">
        <v>43167</v>
      </c>
      <c r="P3866">
        <v>0</v>
      </c>
      <c r="Q3866">
        <v>2</v>
      </c>
      <c r="R3866" t="s">
        <v>43171</v>
      </c>
      <c r="S3866" t="s">
        <v>43311</v>
      </c>
      <c r="T3866" t="s">
        <v>44841</v>
      </c>
      <c r="U3866" t="s">
        <v>48375</v>
      </c>
      <c r="W3866" t="s">
        <v>40795</v>
      </c>
      <c r="X3866" t="s">
        <v>43172</v>
      </c>
    </row>
    <row r="3867" spans="1:24">
      <c r="A3867">
        <f>HYPERLINK("https://www.philgeps.gov.ph/GEPSNONPILOT/Tender/SplashBidNoticeAbstractUI.aspx?menuIndex=3&amp;refID=7083004&amp;Result=3","7083004")</f>
        <v>0</v>
      </c>
      <c r="B3867" t="s">
        <v>596</v>
      </c>
      <c r="C3867" t="s">
        <v>7099</v>
      </c>
      <c r="D3867" t="s">
        <v>17459</v>
      </c>
      <c r="E3867" t="s">
        <v>20855</v>
      </c>
      <c r="F3867" t="s">
        <v>30052</v>
      </c>
      <c r="G3867" t="s">
        <v>30059</v>
      </c>
      <c r="H3867" t="s">
        <v>15498</v>
      </c>
      <c r="I3867" t="s">
        <v>30081</v>
      </c>
      <c r="J3867" t="s">
        <v>32718</v>
      </c>
      <c r="K3867" t="s">
        <v>39037</v>
      </c>
      <c r="M3867" t="s">
        <v>39898</v>
      </c>
      <c r="N3867" t="s">
        <v>43166</v>
      </c>
      <c r="O3867" t="s">
        <v>43167</v>
      </c>
      <c r="P3867">
        <v>0</v>
      </c>
      <c r="Q3867">
        <v>1</v>
      </c>
      <c r="R3867" t="s">
        <v>43171</v>
      </c>
      <c r="S3867" t="s">
        <v>43311</v>
      </c>
      <c r="T3867" t="s">
        <v>44710</v>
      </c>
      <c r="U3867" t="s">
        <v>48376</v>
      </c>
      <c r="V3867" t="s">
        <v>56984</v>
      </c>
      <c r="W3867" t="s">
        <v>39898</v>
      </c>
      <c r="X3867" t="s">
        <v>43172</v>
      </c>
    </row>
    <row r="3868" spans="1:24">
      <c r="A3868">
        <f>HYPERLINK("https://www.philgeps.gov.ph/GEPSNONPILOT/Tender/SplashBidNoticeAbstractUI.aspx?menuIndex=3&amp;refID=7082991&amp;Result=3","7082991")</f>
        <v>0</v>
      </c>
      <c r="B3868" t="s">
        <v>1416</v>
      </c>
      <c r="C3868" t="s">
        <v>7100</v>
      </c>
      <c r="D3868" t="s">
        <v>17414</v>
      </c>
      <c r="E3868" t="s">
        <v>19890</v>
      </c>
      <c r="F3868" t="s">
        <v>30052</v>
      </c>
      <c r="G3868" t="s">
        <v>30058</v>
      </c>
      <c r="H3868" t="s">
        <v>15498</v>
      </c>
      <c r="I3868" t="s">
        <v>30081</v>
      </c>
      <c r="J3868" t="s">
        <v>31172</v>
      </c>
      <c r="K3868" t="s">
        <v>39037</v>
      </c>
      <c r="M3868" t="s">
        <v>40794</v>
      </c>
      <c r="N3868" t="s">
        <v>43166</v>
      </c>
      <c r="O3868" t="s">
        <v>43167</v>
      </c>
      <c r="P3868">
        <v>0</v>
      </c>
      <c r="Q3868">
        <v>0</v>
      </c>
      <c r="R3868" t="s">
        <v>43171</v>
      </c>
      <c r="S3868" t="s">
        <v>43311</v>
      </c>
      <c r="T3868" t="s">
        <v>44760</v>
      </c>
      <c r="U3868" t="s">
        <v>48377</v>
      </c>
      <c r="V3868" t="s">
        <v>57277</v>
      </c>
      <c r="W3868" t="s">
        <v>40794</v>
      </c>
      <c r="X3868" t="s">
        <v>43172</v>
      </c>
    </row>
    <row r="3869" spans="1:24">
      <c r="A3869">
        <f>HYPERLINK("https://www.philgeps.gov.ph/GEPSNONPILOT/Tender/SplashBidNoticeAbstractUI.aspx?menuIndex=3&amp;refID=7083003&amp;Result=3","7083003")</f>
        <v>0</v>
      </c>
      <c r="B3869" t="s">
        <v>56</v>
      </c>
      <c r="C3869" t="s">
        <v>7101</v>
      </c>
      <c r="D3869" t="s">
        <v>17438</v>
      </c>
      <c r="E3869" t="s">
        <v>20856</v>
      </c>
      <c r="F3869" t="s">
        <v>30052</v>
      </c>
      <c r="G3869" t="s">
        <v>30059</v>
      </c>
      <c r="H3869" t="s">
        <v>15498</v>
      </c>
      <c r="I3869" t="s">
        <v>30153</v>
      </c>
      <c r="J3869" t="s">
        <v>32719</v>
      </c>
      <c r="K3869" t="s">
        <v>39017</v>
      </c>
      <c r="M3869" t="s">
        <v>39345</v>
      </c>
      <c r="N3869" t="s">
        <v>43166</v>
      </c>
      <c r="O3869" t="s">
        <v>43167</v>
      </c>
      <c r="P3869">
        <v>0</v>
      </c>
      <c r="Q3869">
        <v>11</v>
      </c>
      <c r="R3869" t="s">
        <v>43171</v>
      </c>
      <c r="S3869" t="s">
        <v>43311</v>
      </c>
      <c r="T3869" t="s">
        <v>44843</v>
      </c>
      <c r="U3869" t="s">
        <v>45281</v>
      </c>
      <c r="V3869" t="s">
        <v>56817</v>
      </c>
      <c r="W3869" t="s">
        <v>39345</v>
      </c>
      <c r="X3869" t="s">
        <v>43172</v>
      </c>
    </row>
    <row r="3870" spans="1:24">
      <c r="A3870">
        <f>HYPERLINK("https://www.philgeps.gov.ph/GEPSNONPILOT/Tender/SplashBidNoticeAbstractUI.aspx?menuIndex=3&amp;refID=7082946&amp;Result=3","7082946")</f>
        <v>0</v>
      </c>
      <c r="B3870" t="s">
        <v>1418</v>
      </c>
      <c r="C3870" t="s">
        <v>7102</v>
      </c>
      <c r="D3870" t="s">
        <v>17449</v>
      </c>
      <c r="E3870" t="s">
        <v>20857</v>
      </c>
      <c r="F3870" t="s">
        <v>30052</v>
      </c>
      <c r="G3870" t="s">
        <v>30058</v>
      </c>
      <c r="H3870" t="s">
        <v>15498</v>
      </c>
      <c r="I3870" t="s">
        <v>30074</v>
      </c>
      <c r="J3870" t="s">
        <v>32720</v>
      </c>
      <c r="K3870" t="s">
        <v>39029</v>
      </c>
      <c r="M3870" t="s">
        <v>40796</v>
      </c>
      <c r="N3870" t="s">
        <v>43166</v>
      </c>
      <c r="O3870" t="s">
        <v>43167</v>
      </c>
      <c r="P3870">
        <v>0</v>
      </c>
      <c r="Q3870">
        <v>4</v>
      </c>
      <c r="R3870" t="s">
        <v>43171</v>
      </c>
      <c r="S3870" t="s">
        <v>43311</v>
      </c>
      <c r="T3870" t="s">
        <v>44732</v>
      </c>
      <c r="U3870" t="s">
        <v>48378</v>
      </c>
      <c r="W3870" t="s">
        <v>40796</v>
      </c>
      <c r="X3870" t="s">
        <v>43172</v>
      </c>
    </row>
    <row r="3871" spans="1:24">
      <c r="A3871">
        <f>HYPERLINK("https://www.philgeps.gov.ph/GEPSNONPILOT/Tender/SplashBidNoticeAbstractUI.aspx?menuIndex=3&amp;refID=7083060&amp;Result=3","7083060")</f>
        <v>0</v>
      </c>
      <c r="B3871" t="s">
        <v>1419</v>
      </c>
      <c r="C3871" t="s">
        <v>7103</v>
      </c>
      <c r="E3871" t="s">
        <v>20858</v>
      </c>
      <c r="F3871" t="s">
        <v>30052</v>
      </c>
      <c r="G3871" t="s">
        <v>30059</v>
      </c>
      <c r="H3871" t="s">
        <v>30068</v>
      </c>
      <c r="I3871" t="s">
        <v>30166</v>
      </c>
      <c r="J3871" t="s">
        <v>32721</v>
      </c>
      <c r="K3871" t="s">
        <v>39025</v>
      </c>
      <c r="M3871" t="s">
        <v>40797</v>
      </c>
      <c r="N3871" t="s">
        <v>43166</v>
      </c>
      <c r="O3871" t="s">
        <v>43167</v>
      </c>
      <c r="P3871">
        <v>0</v>
      </c>
      <c r="Q3871">
        <v>2</v>
      </c>
      <c r="R3871" t="s">
        <v>43171</v>
      </c>
      <c r="S3871" t="s">
        <v>43311</v>
      </c>
      <c r="T3871" t="s">
        <v>44837</v>
      </c>
      <c r="U3871" t="s">
        <v>48379</v>
      </c>
      <c r="W3871" t="s">
        <v>40797</v>
      </c>
      <c r="X3871" t="s">
        <v>43172</v>
      </c>
    </row>
    <row r="3872" spans="1:24">
      <c r="A3872">
        <f>HYPERLINK("https://www.philgeps.gov.ph/GEPSNONPILOT/Tender/SplashBidNoticeAbstractUI.aspx?menuIndex=3&amp;refID=7083023&amp;Result=3","7083023")</f>
        <v>0</v>
      </c>
      <c r="B3872" t="s">
        <v>82</v>
      </c>
      <c r="C3872" t="s">
        <v>7104</v>
      </c>
      <c r="D3872" t="s">
        <v>17448</v>
      </c>
      <c r="E3872" t="s">
        <v>20859</v>
      </c>
      <c r="F3872" t="s">
        <v>30052</v>
      </c>
      <c r="G3872" t="s">
        <v>30058</v>
      </c>
      <c r="H3872" t="s">
        <v>30067</v>
      </c>
      <c r="I3872" t="s">
        <v>3693</v>
      </c>
      <c r="J3872" t="s">
        <v>32722</v>
      </c>
      <c r="K3872" t="s">
        <v>39029</v>
      </c>
      <c r="M3872" t="s">
        <v>39371</v>
      </c>
      <c r="N3872" t="s">
        <v>43166</v>
      </c>
      <c r="O3872" t="s">
        <v>43167</v>
      </c>
      <c r="P3872">
        <v>0</v>
      </c>
      <c r="Q3872">
        <v>0</v>
      </c>
      <c r="R3872" t="s">
        <v>43171</v>
      </c>
      <c r="S3872" t="s">
        <v>43311</v>
      </c>
      <c r="T3872" t="s">
        <v>44787</v>
      </c>
      <c r="U3872" t="s">
        <v>48380</v>
      </c>
      <c r="W3872" t="s">
        <v>39371</v>
      </c>
      <c r="X3872" t="s">
        <v>43172</v>
      </c>
    </row>
    <row r="3873" spans="1:24">
      <c r="A3873">
        <f>HYPERLINK("https://www.philgeps.gov.ph/GEPSNONPILOT/Tender/SplashBidNoticeAbstractUI.aspx?menuIndex=3&amp;refID=7082996&amp;Result=3","7082996")</f>
        <v>0</v>
      </c>
      <c r="B3873" t="s">
        <v>56</v>
      </c>
      <c r="C3873" t="s">
        <v>7105</v>
      </c>
      <c r="D3873" t="s">
        <v>17438</v>
      </c>
      <c r="E3873" t="s">
        <v>20860</v>
      </c>
      <c r="F3873" t="s">
        <v>30052</v>
      </c>
      <c r="G3873" t="s">
        <v>30059</v>
      </c>
      <c r="H3873" t="s">
        <v>15498</v>
      </c>
      <c r="I3873" t="s">
        <v>30142</v>
      </c>
      <c r="J3873" t="s">
        <v>32723</v>
      </c>
      <c r="K3873" t="s">
        <v>39019</v>
      </c>
      <c r="M3873" t="s">
        <v>39345</v>
      </c>
      <c r="N3873" t="s">
        <v>43166</v>
      </c>
      <c r="O3873" t="s">
        <v>43167</v>
      </c>
      <c r="P3873">
        <v>0</v>
      </c>
      <c r="Q3873">
        <v>1</v>
      </c>
      <c r="R3873" t="s">
        <v>43171</v>
      </c>
      <c r="S3873" t="s">
        <v>43311</v>
      </c>
      <c r="T3873" t="s">
        <v>44843</v>
      </c>
      <c r="U3873" t="s">
        <v>45281</v>
      </c>
      <c r="V3873" t="s">
        <v>56817</v>
      </c>
      <c r="W3873" t="s">
        <v>39345</v>
      </c>
      <c r="X3873" t="s">
        <v>43172</v>
      </c>
    </row>
    <row r="3874" spans="1:24">
      <c r="A3874">
        <f>HYPERLINK("https://www.philgeps.gov.ph/GEPSNONPILOT/Tender/SplashBidNoticeAbstractUI.aspx?menuIndex=3&amp;refID=7083056&amp;Result=3","7083056")</f>
        <v>0</v>
      </c>
      <c r="B3874" t="s">
        <v>1420</v>
      </c>
      <c r="C3874" t="s">
        <v>7106</v>
      </c>
      <c r="D3874" t="s">
        <v>17413</v>
      </c>
      <c r="E3874" t="s">
        <v>18868</v>
      </c>
      <c r="F3874" t="s">
        <v>30052</v>
      </c>
      <c r="G3874" t="s">
        <v>30062</v>
      </c>
      <c r="H3874" t="s">
        <v>15498</v>
      </c>
      <c r="I3874" t="s">
        <v>30097</v>
      </c>
      <c r="J3874" t="s">
        <v>32724</v>
      </c>
      <c r="K3874" t="s">
        <v>39019</v>
      </c>
      <c r="M3874" t="s">
        <v>40798</v>
      </c>
      <c r="N3874" t="s">
        <v>43166</v>
      </c>
      <c r="O3874" t="s">
        <v>43167</v>
      </c>
      <c r="P3874">
        <v>0</v>
      </c>
      <c r="Q3874">
        <v>5</v>
      </c>
      <c r="R3874" t="s">
        <v>43171</v>
      </c>
      <c r="S3874" t="s">
        <v>43311</v>
      </c>
      <c r="T3874" t="s">
        <v>44714</v>
      </c>
      <c r="U3874" t="s">
        <v>48381</v>
      </c>
      <c r="W3874" t="s">
        <v>40798</v>
      </c>
      <c r="X3874" t="s">
        <v>43172</v>
      </c>
    </row>
    <row r="3875" spans="1:24">
      <c r="A3875">
        <f>HYPERLINK("https://www.philgeps.gov.ph/GEPSNONPILOT/Tender/SplashBidNoticeAbstractUI.aspx?menuIndex=3&amp;refID=7083052&amp;Result=3","7083052")</f>
        <v>0</v>
      </c>
      <c r="B3875" t="s">
        <v>1401</v>
      </c>
      <c r="C3875" t="s">
        <v>7107</v>
      </c>
      <c r="D3875" t="s">
        <v>17464</v>
      </c>
      <c r="E3875" t="s">
        <v>20861</v>
      </c>
      <c r="F3875" t="s">
        <v>30052</v>
      </c>
      <c r="G3875" t="s">
        <v>30062</v>
      </c>
      <c r="H3875" t="s">
        <v>15498</v>
      </c>
      <c r="I3875" t="s">
        <v>30124</v>
      </c>
      <c r="J3875" t="s">
        <v>32725</v>
      </c>
      <c r="K3875" t="s">
        <v>39029</v>
      </c>
      <c r="M3875" t="s">
        <v>40777</v>
      </c>
      <c r="N3875" t="s">
        <v>43166</v>
      </c>
      <c r="O3875" t="s">
        <v>43167</v>
      </c>
      <c r="P3875">
        <v>0</v>
      </c>
      <c r="Q3875">
        <v>4</v>
      </c>
      <c r="R3875" t="s">
        <v>43171</v>
      </c>
      <c r="S3875" t="s">
        <v>43311</v>
      </c>
      <c r="T3875" t="s">
        <v>44723</v>
      </c>
      <c r="U3875" t="s">
        <v>48339</v>
      </c>
      <c r="W3875" t="s">
        <v>40777</v>
      </c>
      <c r="X3875" t="s">
        <v>43172</v>
      </c>
    </row>
    <row r="3876" spans="1:24">
      <c r="A3876">
        <f>HYPERLINK("https://www.philgeps.gov.ph/GEPSNONPILOT/Tender/SplashBidNoticeAbstractUI.aspx?menuIndex=3&amp;refID=7083051&amp;Result=3","7083051")</f>
        <v>0</v>
      </c>
      <c r="B3876" t="s">
        <v>105</v>
      </c>
      <c r="C3876" t="s">
        <v>7108</v>
      </c>
      <c r="E3876" t="s">
        <v>20862</v>
      </c>
      <c r="F3876" t="s">
        <v>30052</v>
      </c>
      <c r="G3876" t="s">
        <v>30059</v>
      </c>
      <c r="H3876" t="s">
        <v>15498</v>
      </c>
      <c r="I3876" t="s">
        <v>30071</v>
      </c>
      <c r="J3876" t="s">
        <v>32726</v>
      </c>
      <c r="K3876" t="s">
        <v>39025</v>
      </c>
      <c r="M3876" t="s">
        <v>39394</v>
      </c>
      <c r="N3876" t="s">
        <v>43166</v>
      </c>
      <c r="O3876" t="s">
        <v>43167</v>
      </c>
      <c r="P3876">
        <v>0</v>
      </c>
      <c r="Q3876">
        <v>0</v>
      </c>
      <c r="R3876" t="s">
        <v>43171</v>
      </c>
      <c r="S3876" t="s">
        <v>43311</v>
      </c>
      <c r="T3876" t="s">
        <v>44704</v>
      </c>
      <c r="U3876" t="s">
        <v>48382</v>
      </c>
      <c r="W3876" t="s">
        <v>39394</v>
      </c>
      <c r="X3876" t="s">
        <v>43172</v>
      </c>
    </row>
    <row r="3877" spans="1:24">
      <c r="A3877">
        <f>HYPERLINK("https://www.philgeps.gov.ph/GEPSNONPILOT/Tender/SplashBidNoticeAbstractUI.aspx?menuIndex=3&amp;refID=7083016&amp;Result=3","7083016")</f>
        <v>0</v>
      </c>
      <c r="B3877" t="s">
        <v>1421</v>
      </c>
      <c r="C3877" t="s">
        <v>7109</v>
      </c>
      <c r="D3877" t="s">
        <v>17456</v>
      </c>
      <c r="E3877" t="s">
        <v>20863</v>
      </c>
      <c r="F3877" t="s">
        <v>30052</v>
      </c>
      <c r="G3877" t="s">
        <v>30059</v>
      </c>
      <c r="H3877" t="s">
        <v>15498</v>
      </c>
      <c r="I3877" t="s">
        <v>30081</v>
      </c>
      <c r="J3877" t="s">
        <v>32727</v>
      </c>
      <c r="K3877" t="s">
        <v>39034</v>
      </c>
      <c r="M3877" t="s">
        <v>40799</v>
      </c>
      <c r="N3877" t="s">
        <v>43166</v>
      </c>
      <c r="O3877" t="s">
        <v>43167</v>
      </c>
      <c r="P3877">
        <v>0</v>
      </c>
      <c r="Q3877">
        <v>1</v>
      </c>
      <c r="R3877" t="s">
        <v>43171</v>
      </c>
      <c r="S3877" t="s">
        <v>43311</v>
      </c>
      <c r="T3877" t="s">
        <v>44779</v>
      </c>
      <c r="U3877" t="s">
        <v>48383</v>
      </c>
      <c r="W3877" t="s">
        <v>40799</v>
      </c>
      <c r="X3877" t="s">
        <v>43172</v>
      </c>
    </row>
    <row r="3878" spans="1:24">
      <c r="A3878">
        <f>HYPERLINK("https://www.philgeps.gov.ph/GEPSNONPILOT/Tender/SplashBidNoticeAbstractUI.aspx?menuIndex=3&amp;refID=7083055&amp;Result=3","7083055")</f>
        <v>0</v>
      </c>
      <c r="B3878" t="s">
        <v>1422</v>
      </c>
      <c r="C3878" t="s">
        <v>7110</v>
      </c>
      <c r="D3878" t="s">
        <v>17436</v>
      </c>
      <c r="E3878" t="s">
        <v>20864</v>
      </c>
      <c r="F3878" t="s">
        <v>30052</v>
      </c>
      <c r="G3878" t="s">
        <v>30059</v>
      </c>
      <c r="H3878" t="s">
        <v>15498</v>
      </c>
      <c r="I3878" t="s">
        <v>30100</v>
      </c>
      <c r="J3878" t="s">
        <v>32728</v>
      </c>
      <c r="K3878" t="s">
        <v>39019</v>
      </c>
      <c r="M3878" t="s">
        <v>40800</v>
      </c>
      <c r="N3878" t="s">
        <v>43166</v>
      </c>
      <c r="O3878" t="s">
        <v>43167</v>
      </c>
      <c r="P3878">
        <v>0</v>
      </c>
      <c r="Q3878">
        <v>0</v>
      </c>
      <c r="R3878" t="s">
        <v>43171</v>
      </c>
      <c r="S3878" t="s">
        <v>43311</v>
      </c>
      <c r="T3878" t="s">
        <v>44698</v>
      </c>
      <c r="U3878" t="s">
        <v>48384</v>
      </c>
      <c r="V3878" t="s">
        <v>57278</v>
      </c>
      <c r="W3878" t="s">
        <v>40800</v>
      </c>
      <c r="X3878" t="s">
        <v>43172</v>
      </c>
    </row>
    <row r="3879" spans="1:24">
      <c r="A3879">
        <f>HYPERLINK("https://www.philgeps.gov.ph/GEPSNONPILOT/Tender/SplashBidNoticeAbstractUI.aspx?menuIndex=3&amp;refID=7082951&amp;Result=3","7082951")</f>
        <v>0</v>
      </c>
      <c r="B3879" t="s">
        <v>194</v>
      </c>
      <c r="C3879" t="s">
        <v>7111</v>
      </c>
      <c r="D3879" t="s">
        <v>17438</v>
      </c>
      <c r="E3879" t="s">
        <v>20865</v>
      </c>
      <c r="F3879" t="s">
        <v>30052</v>
      </c>
      <c r="G3879" t="s">
        <v>30059</v>
      </c>
      <c r="H3879" t="s">
        <v>15498</v>
      </c>
      <c r="I3879" t="s">
        <v>30091</v>
      </c>
      <c r="J3879" t="s">
        <v>30377</v>
      </c>
      <c r="K3879" t="s">
        <v>39029</v>
      </c>
      <c r="M3879" t="s">
        <v>39484</v>
      </c>
      <c r="N3879" t="s">
        <v>43166</v>
      </c>
      <c r="O3879" t="s">
        <v>43167</v>
      </c>
      <c r="P3879">
        <v>0</v>
      </c>
      <c r="Q3879">
        <v>2</v>
      </c>
      <c r="R3879" t="s">
        <v>43171</v>
      </c>
      <c r="S3879" t="s">
        <v>43311</v>
      </c>
      <c r="T3879" t="s">
        <v>44717</v>
      </c>
      <c r="U3879" t="s">
        <v>48385</v>
      </c>
      <c r="W3879" t="s">
        <v>39484</v>
      </c>
      <c r="X3879" t="s">
        <v>43172</v>
      </c>
    </row>
    <row r="3880" spans="1:24">
      <c r="A3880">
        <f>HYPERLINK("https://www.philgeps.gov.ph/GEPSNONPILOT/Tender/SplashBidNoticeAbstractUI.aspx?menuIndex=3&amp;refID=7083047&amp;Result=3","7083047")</f>
        <v>0</v>
      </c>
      <c r="B3880" t="s">
        <v>1416</v>
      </c>
      <c r="C3880" t="s">
        <v>7112</v>
      </c>
      <c r="D3880" t="s">
        <v>17414</v>
      </c>
      <c r="E3880" t="s">
        <v>20866</v>
      </c>
      <c r="F3880" t="s">
        <v>30052</v>
      </c>
      <c r="G3880" t="s">
        <v>30058</v>
      </c>
      <c r="H3880" t="s">
        <v>15498</v>
      </c>
      <c r="I3880" t="s">
        <v>3736</v>
      </c>
      <c r="J3880" t="s">
        <v>32729</v>
      </c>
      <c r="K3880" t="s">
        <v>39037</v>
      </c>
      <c r="M3880" t="s">
        <v>40794</v>
      </c>
      <c r="N3880" t="s">
        <v>43166</v>
      </c>
      <c r="O3880" t="s">
        <v>43167</v>
      </c>
      <c r="P3880">
        <v>0</v>
      </c>
      <c r="Q3880">
        <v>0</v>
      </c>
      <c r="R3880" t="s">
        <v>43171</v>
      </c>
      <c r="S3880" t="s">
        <v>43311</v>
      </c>
      <c r="T3880" t="s">
        <v>44760</v>
      </c>
      <c r="U3880" t="s">
        <v>48386</v>
      </c>
      <c r="V3880" t="s">
        <v>57277</v>
      </c>
      <c r="W3880" t="s">
        <v>40794</v>
      </c>
      <c r="X3880" t="s">
        <v>43172</v>
      </c>
    </row>
    <row r="3881" spans="1:24">
      <c r="A3881">
        <f>HYPERLINK("https://www.philgeps.gov.ph/GEPSNONPILOT/Tender/SplashBidNoticeAbstractUI.aspx?menuIndex=3&amp;refID=7083038&amp;Result=3","7083038")</f>
        <v>0</v>
      </c>
      <c r="B3881" t="s">
        <v>341</v>
      </c>
      <c r="C3881" t="s">
        <v>7113</v>
      </c>
      <c r="D3881" t="s">
        <v>17445</v>
      </c>
      <c r="E3881" t="s">
        <v>20867</v>
      </c>
      <c r="F3881" t="s">
        <v>30052</v>
      </c>
      <c r="G3881" t="s">
        <v>30060</v>
      </c>
      <c r="H3881" t="s">
        <v>15498</v>
      </c>
      <c r="I3881" t="s">
        <v>3736</v>
      </c>
      <c r="J3881" t="s">
        <v>30559</v>
      </c>
      <c r="K3881" t="s">
        <v>39046</v>
      </c>
      <c r="M3881" t="s">
        <v>39637</v>
      </c>
      <c r="N3881" t="s">
        <v>43166</v>
      </c>
      <c r="O3881" t="s">
        <v>43167</v>
      </c>
      <c r="P3881">
        <v>0</v>
      </c>
      <c r="Q3881">
        <v>1</v>
      </c>
      <c r="R3881" t="s">
        <v>43171</v>
      </c>
      <c r="S3881" t="s">
        <v>43311</v>
      </c>
      <c r="T3881" t="s">
        <v>44705</v>
      </c>
      <c r="U3881" t="s">
        <v>48387</v>
      </c>
      <c r="W3881" t="s">
        <v>39637</v>
      </c>
      <c r="X3881" t="s">
        <v>43172</v>
      </c>
    </row>
    <row r="3882" spans="1:24">
      <c r="A3882">
        <f>HYPERLINK("https://www.philgeps.gov.ph/GEPSNONPILOT/Tender/SplashBidNoticeAbstractUI.aspx?menuIndex=3&amp;refID=7083046&amp;Result=3","7083046")</f>
        <v>0</v>
      </c>
      <c r="B3882" t="s">
        <v>1423</v>
      </c>
      <c r="C3882" t="s">
        <v>7114</v>
      </c>
      <c r="D3882" t="s">
        <v>17465</v>
      </c>
      <c r="E3882" t="s">
        <v>20868</v>
      </c>
      <c r="F3882" t="s">
        <v>30052</v>
      </c>
      <c r="G3882" t="s">
        <v>30061</v>
      </c>
      <c r="H3882" t="s">
        <v>15498</v>
      </c>
      <c r="I3882" t="s">
        <v>4119</v>
      </c>
      <c r="J3882" t="s">
        <v>30566</v>
      </c>
      <c r="K3882" t="s">
        <v>39040</v>
      </c>
      <c r="M3882" t="s">
        <v>40801</v>
      </c>
      <c r="N3882" t="s">
        <v>43166</v>
      </c>
      <c r="O3882" t="s">
        <v>43167</v>
      </c>
      <c r="P3882">
        <v>0</v>
      </c>
      <c r="Q3882">
        <v>4</v>
      </c>
      <c r="R3882" t="s">
        <v>43171</v>
      </c>
      <c r="S3882" t="s">
        <v>43311</v>
      </c>
      <c r="T3882" t="s">
        <v>44691</v>
      </c>
      <c r="U3882" t="s">
        <v>48388</v>
      </c>
      <c r="W3882" t="s">
        <v>40801</v>
      </c>
      <c r="X3882" t="s">
        <v>43172</v>
      </c>
    </row>
    <row r="3883" spans="1:24">
      <c r="A3883">
        <f>HYPERLINK("https://www.philgeps.gov.ph/GEPSNONPILOT/Tender/SplashBidNoticeAbstractUI.aspx?menuIndex=3&amp;refID=7083036&amp;Result=3","7083036")</f>
        <v>0</v>
      </c>
      <c r="B3883" t="s">
        <v>1422</v>
      </c>
      <c r="C3883" t="s">
        <v>7115</v>
      </c>
      <c r="D3883" t="s">
        <v>17436</v>
      </c>
      <c r="E3883" t="s">
        <v>20869</v>
      </c>
      <c r="F3883" t="s">
        <v>30052</v>
      </c>
      <c r="G3883" t="s">
        <v>30059</v>
      </c>
      <c r="H3883" t="s">
        <v>15498</v>
      </c>
      <c r="I3883" t="s">
        <v>30100</v>
      </c>
      <c r="J3883" t="s">
        <v>32730</v>
      </c>
      <c r="K3883" t="s">
        <v>39019</v>
      </c>
      <c r="M3883" t="s">
        <v>40800</v>
      </c>
      <c r="N3883" t="s">
        <v>43166</v>
      </c>
      <c r="O3883" t="s">
        <v>43167</v>
      </c>
      <c r="P3883">
        <v>0</v>
      </c>
      <c r="Q3883">
        <v>0</v>
      </c>
      <c r="R3883" t="s">
        <v>43171</v>
      </c>
      <c r="S3883" t="s">
        <v>43311</v>
      </c>
      <c r="T3883" t="s">
        <v>44698</v>
      </c>
      <c r="U3883" t="s">
        <v>48389</v>
      </c>
      <c r="V3883" t="s">
        <v>57279</v>
      </c>
      <c r="W3883" t="s">
        <v>40800</v>
      </c>
      <c r="X3883" t="s">
        <v>43172</v>
      </c>
    </row>
    <row r="3884" spans="1:24">
      <c r="A3884">
        <f>HYPERLINK("https://www.philgeps.gov.ph/GEPSNONPILOT/Tender/SplashBidNoticeAbstractUI.aspx?menuIndex=3&amp;refID=7083035&amp;Result=3","7083035")</f>
        <v>0</v>
      </c>
      <c r="B3884" t="s">
        <v>1339</v>
      </c>
      <c r="C3884" t="s">
        <v>7116</v>
      </c>
      <c r="D3884" t="s">
        <v>17474</v>
      </c>
      <c r="E3884" t="s">
        <v>20870</v>
      </c>
      <c r="F3884" t="s">
        <v>30052</v>
      </c>
      <c r="G3884" t="s">
        <v>30058</v>
      </c>
      <c r="H3884" t="s">
        <v>15498</v>
      </c>
      <c r="I3884" t="s">
        <v>7228</v>
      </c>
      <c r="J3884" t="s">
        <v>30444</v>
      </c>
      <c r="K3884" t="s">
        <v>39029</v>
      </c>
      <c r="M3884" t="s">
        <v>40706</v>
      </c>
      <c r="N3884" t="s">
        <v>43166</v>
      </c>
      <c r="O3884" t="s">
        <v>43167</v>
      </c>
      <c r="P3884">
        <v>0</v>
      </c>
      <c r="Q3884">
        <v>0</v>
      </c>
      <c r="R3884" t="s">
        <v>43171</v>
      </c>
      <c r="S3884" t="s">
        <v>43311</v>
      </c>
      <c r="T3884" t="s">
        <v>44704</v>
      </c>
      <c r="U3884" t="s">
        <v>48174</v>
      </c>
      <c r="V3884" t="s">
        <v>57248</v>
      </c>
      <c r="W3884" t="s">
        <v>40706</v>
      </c>
      <c r="X3884" t="s">
        <v>43172</v>
      </c>
    </row>
    <row r="3885" spans="1:24">
      <c r="A3885">
        <f>HYPERLINK("https://www.philgeps.gov.ph/GEPSNONPILOT/Tender/SplashBidNoticeAbstractUI.aspx?menuIndex=3&amp;refID=7083032&amp;Result=3","7083032")</f>
        <v>0</v>
      </c>
      <c r="B3885" t="s">
        <v>54</v>
      </c>
      <c r="C3885" t="s">
        <v>7117</v>
      </c>
      <c r="D3885" t="s">
        <v>17437</v>
      </c>
      <c r="E3885" t="s">
        <v>20871</v>
      </c>
      <c r="F3885" t="s">
        <v>30052</v>
      </c>
      <c r="G3885" t="s">
        <v>30061</v>
      </c>
      <c r="H3885" t="s">
        <v>15498</v>
      </c>
      <c r="I3885" t="s">
        <v>30084</v>
      </c>
      <c r="J3885" t="s">
        <v>32731</v>
      </c>
      <c r="K3885" t="s">
        <v>39019</v>
      </c>
      <c r="M3885" t="s">
        <v>39343</v>
      </c>
      <c r="N3885" t="s">
        <v>43166</v>
      </c>
      <c r="O3885" t="s">
        <v>43167</v>
      </c>
      <c r="P3885">
        <v>0</v>
      </c>
      <c r="Q3885">
        <v>7</v>
      </c>
      <c r="R3885" t="s">
        <v>43171</v>
      </c>
      <c r="S3885" t="s">
        <v>43311</v>
      </c>
      <c r="T3885" t="s">
        <v>44685</v>
      </c>
      <c r="U3885" t="s">
        <v>48390</v>
      </c>
      <c r="W3885" t="s">
        <v>39343</v>
      </c>
      <c r="X3885" t="s">
        <v>43172</v>
      </c>
    </row>
    <row r="3886" spans="1:24">
      <c r="A3886">
        <f>HYPERLINK("https://www.philgeps.gov.ph/GEPSNONPILOT/Tender/SplashBidNoticeAbstractUI.aspx?menuIndex=3&amp;refID=7083033&amp;Result=3","7083033")</f>
        <v>0</v>
      </c>
      <c r="B3886" t="s">
        <v>1424</v>
      </c>
      <c r="C3886" t="s">
        <v>7118</v>
      </c>
      <c r="D3886" t="s">
        <v>17413</v>
      </c>
      <c r="E3886" t="s">
        <v>20872</v>
      </c>
      <c r="F3886" t="s">
        <v>30052</v>
      </c>
      <c r="G3886" t="s">
        <v>30061</v>
      </c>
      <c r="H3886" t="s">
        <v>15498</v>
      </c>
      <c r="I3886" t="s">
        <v>3852</v>
      </c>
      <c r="J3886" t="s">
        <v>32732</v>
      </c>
      <c r="K3886" t="s">
        <v>39025</v>
      </c>
      <c r="L3886" t="s">
        <v>1424</v>
      </c>
      <c r="M3886" t="s">
        <v>40802</v>
      </c>
      <c r="N3886" t="s">
        <v>43166</v>
      </c>
      <c r="O3886" t="s">
        <v>43167</v>
      </c>
      <c r="P3886">
        <v>0</v>
      </c>
      <c r="Q3886">
        <v>3</v>
      </c>
      <c r="R3886" t="s">
        <v>43171</v>
      </c>
      <c r="S3886" t="s">
        <v>43311</v>
      </c>
      <c r="T3886" t="s">
        <v>44685</v>
      </c>
      <c r="U3886" t="s">
        <v>48391</v>
      </c>
      <c r="W3886" t="s">
        <v>40802</v>
      </c>
      <c r="X3886" t="s">
        <v>43172</v>
      </c>
    </row>
    <row r="3887" spans="1:24">
      <c r="A3887">
        <f>HYPERLINK("https://www.philgeps.gov.ph/GEPSNONPILOT/Tender/SplashBidNoticeAbstractUI.aspx?menuIndex=3&amp;refID=7083097&amp;Result=3","7083097")</f>
        <v>0</v>
      </c>
      <c r="B3887" t="s">
        <v>1425</v>
      </c>
      <c r="C3887" t="s">
        <v>7119</v>
      </c>
      <c r="D3887" t="s">
        <v>17463</v>
      </c>
      <c r="E3887" t="s">
        <v>20873</v>
      </c>
      <c r="F3887" t="s">
        <v>30052</v>
      </c>
      <c r="G3887" t="s">
        <v>30058</v>
      </c>
      <c r="H3887" t="s">
        <v>30067</v>
      </c>
      <c r="I3887" t="s">
        <v>30152</v>
      </c>
      <c r="J3887" t="s">
        <v>30605</v>
      </c>
      <c r="K3887" t="s">
        <v>39029</v>
      </c>
      <c r="M3887" t="s">
        <v>40803</v>
      </c>
      <c r="N3887" t="s">
        <v>43166</v>
      </c>
      <c r="O3887" t="s">
        <v>43167</v>
      </c>
      <c r="P3887">
        <v>0</v>
      </c>
      <c r="Q3887">
        <v>0</v>
      </c>
      <c r="R3887" t="s">
        <v>43171</v>
      </c>
      <c r="S3887" t="s">
        <v>43311</v>
      </c>
      <c r="T3887" t="s">
        <v>44710</v>
      </c>
      <c r="U3887" t="s">
        <v>48392</v>
      </c>
      <c r="W3887" t="s">
        <v>40803</v>
      </c>
      <c r="X3887" t="s">
        <v>43172</v>
      </c>
    </row>
    <row r="3888" spans="1:24">
      <c r="A3888">
        <f>HYPERLINK("https://www.philgeps.gov.ph/GEPSNONPILOT/Tender/SplashBidNoticeAbstractUI.aspx?menuIndex=3&amp;refID=7082953&amp;Result=3","7082953")</f>
        <v>0</v>
      </c>
      <c r="B3888" t="s">
        <v>1401</v>
      </c>
      <c r="C3888" t="s">
        <v>7120</v>
      </c>
      <c r="D3888" t="s">
        <v>17465</v>
      </c>
      <c r="E3888" t="s">
        <v>20874</v>
      </c>
      <c r="F3888" t="s">
        <v>30052</v>
      </c>
      <c r="G3888" t="s">
        <v>30059</v>
      </c>
      <c r="H3888" t="s">
        <v>15498</v>
      </c>
      <c r="I3888" t="s">
        <v>30073</v>
      </c>
      <c r="J3888" t="s">
        <v>31307</v>
      </c>
      <c r="K3888" t="s">
        <v>39018</v>
      </c>
      <c r="M3888" t="s">
        <v>40777</v>
      </c>
      <c r="N3888" t="s">
        <v>43166</v>
      </c>
      <c r="O3888" t="s">
        <v>43167</v>
      </c>
      <c r="P3888">
        <v>0</v>
      </c>
      <c r="Q3888">
        <v>1</v>
      </c>
      <c r="R3888" t="s">
        <v>43171</v>
      </c>
      <c r="S3888" t="s">
        <v>43311</v>
      </c>
      <c r="T3888" t="s">
        <v>44723</v>
      </c>
      <c r="U3888" t="s">
        <v>48339</v>
      </c>
      <c r="W3888" t="s">
        <v>40777</v>
      </c>
      <c r="X3888" t="s">
        <v>43172</v>
      </c>
    </row>
    <row r="3889" spans="1:24">
      <c r="A3889">
        <f>HYPERLINK("https://www.philgeps.gov.ph/GEPSNONPILOT/Tender/SplashBidNoticeAbstractUI.aspx?menuIndex=3&amp;refID=7083093&amp;Result=3","7083093")</f>
        <v>0</v>
      </c>
      <c r="B3889" t="s">
        <v>1426</v>
      </c>
      <c r="C3889" t="s">
        <v>7121</v>
      </c>
      <c r="D3889" t="s">
        <v>17415</v>
      </c>
      <c r="E3889" t="s">
        <v>20875</v>
      </c>
      <c r="F3889" t="s">
        <v>30052</v>
      </c>
      <c r="G3889" t="s">
        <v>30059</v>
      </c>
      <c r="H3889" t="s">
        <v>15498</v>
      </c>
      <c r="I3889" t="s">
        <v>30070</v>
      </c>
      <c r="J3889" t="s">
        <v>32733</v>
      </c>
      <c r="K3889" t="s">
        <v>39029</v>
      </c>
      <c r="M3889" t="s">
        <v>40804</v>
      </c>
      <c r="N3889" t="s">
        <v>43166</v>
      </c>
      <c r="O3889" t="s">
        <v>43167</v>
      </c>
      <c r="P3889">
        <v>0</v>
      </c>
      <c r="Q3889">
        <v>8</v>
      </c>
      <c r="R3889" t="s">
        <v>43171</v>
      </c>
      <c r="S3889" t="s">
        <v>43311</v>
      </c>
      <c r="T3889" t="s">
        <v>44773</v>
      </c>
      <c r="U3889" t="s">
        <v>48393</v>
      </c>
      <c r="W3889" t="s">
        <v>40804</v>
      </c>
      <c r="X3889" t="s">
        <v>43172</v>
      </c>
    </row>
    <row r="3890" spans="1:24">
      <c r="A3890">
        <f>HYPERLINK("https://www.philgeps.gov.ph/GEPSNONPILOT/Tender/SplashBidNoticeAbstractUI.aspx?menuIndex=3&amp;refID=7083043&amp;Result=3","7083043")</f>
        <v>0</v>
      </c>
      <c r="B3890" t="s">
        <v>56</v>
      </c>
      <c r="C3890" t="s">
        <v>7122</v>
      </c>
      <c r="D3890" t="s">
        <v>17438</v>
      </c>
      <c r="E3890" t="s">
        <v>20876</v>
      </c>
      <c r="F3890" t="s">
        <v>30052</v>
      </c>
      <c r="G3890" t="s">
        <v>30059</v>
      </c>
      <c r="H3890" t="s">
        <v>15498</v>
      </c>
      <c r="I3890" t="s">
        <v>30094</v>
      </c>
      <c r="J3890" t="s">
        <v>32734</v>
      </c>
      <c r="K3890" t="s">
        <v>39017</v>
      </c>
      <c r="M3890" t="s">
        <v>39345</v>
      </c>
      <c r="N3890" t="s">
        <v>43166</v>
      </c>
      <c r="O3890" t="s">
        <v>43167</v>
      </c>
      <c r="P3890">
        <v>0</v>
      </c>
      <c r="Q3890">
        <v>0</v>
      </c>
      <c r="R3890" t="s">
        <v>43171</v>
      </c>
      <c r="S3890" t="s">
        <v>43311</v>
      </c>
      <c r="T3890" t="s">
        <v>44843</v>
      </c>
      <c r="U3890" t="s">
        <v>45281</v>
      </c>
      <c r="V3890" t="s">
        <v>56817</v>
      </c>
      <c r="W3890" t="s">
        <v>39345</v>
      </c>
      <c r="X3890" t="s">
        <v>43172</v>
      </c>
    </row>
    <row r="3891" spans="1:24">
      <c r="A3891">
        <f>HYPERLINK("https://www.philgeps.gov.ph/GEPSNONPILOT/Tender/SplashBidNoticeAbstractUI.aspx?menuIndex=3&amp;refID=7083098&amp;Result=3","7083098")</f>
        <v>0</v>
      </c>
      <c r="B3891" t="s">
        <v>1233</v>
      </c>
      <c r="C3891" t="s">
        <v>7123</v>
      </c>
      <c r="D3891" t="s">
        <v>17442</v>
      </c>
      <c r="E3891" t="s">
        <v>20877</v>
      </c>
      <c r="F3891" t="s">
        <v>30052</v>
      </c>
      <c r="G3891" t="s">
        <v>30059</v>
      </c>
      <c r="H3891" t="s">
        <v>15498</v>
      </c>
      <c r="I3891" t="s">
        <v>4650</v>
      </c>
      <c r="J3891" t="s">
        <v>30358</v>
      </c>
      <c r="K3891" t="s">
        <v>39029</v>
      </c>
      <c r="M3891" t="s">
        <v>40593</v>
      </c>
      <c r="N3891" t="s">
        <v>43166</v>
      </c>
      <c r="O3891" t="s">
        <v>43167</v>
      </c>
      <c r="P3891">
        <v>0</v>
      </c>
      <c r="Q3891">
        <v>0</v>
      </c>
      <c r="R3891" t="s">
        <v>43171</v>
      </c>
      <c r="S3891" t="s">
        <v>43311</v>
      </c>
      <c r="T3891" t="s">
        <v>44773</v>
      </c>
      <c r="U3891" t="s">
        <v>48394</v>
      </c>
      <c r="W3891" t="s">
        <v>40593</v>
      </c>
      <c r="X3891" t="s">
        <v>43172</v>
      </c>
    </row>
    <row r="3892" spans="1:24">
      <c r="A3892">
        <f>HYPERLINK("https://www.philgeps.gov.ph/GEPSNONPILOT/Tender/SplashBidNoticeAbstractUI.aspx?menuIndex=3&amp;refID=7083094&amp;Result=3","7083094")</f>
        <v>0</v>
      </c>
      <c r="B3892" t="s">
        <v>1339</v>
      </c>
      <c r="C3892" t="s">
        <v>7124</v>
      </c>
      <c r="D3892" t="s">
        <v>17474</v>
      </c>
      <c r="E3892" t="s">
        <v>20878</v>
      </c>
      <c r="F3892" t="s">
        <v>30052</v>
      </c>
      <c r="G3892" t="s">
        <v>30058</v>
      </c>
      <c r="H3892" t="s">
        <v>15498</v>
      </c>
      <c r="I3892" t="s">
        <v>3736</v>
      </c>
      <c r="J3892" t="s">
        <v>32735</v>
      </c>
      <c r="K3892" t="s">
        <v>39029</v>
      </c>
      <c r="M3892" t="s">
        <v>40706</v>
      </c>
      <c r="N3892" t="s">
        <v>43166</v>
      </c>
      <c r="O3892" t="s">
        <v>43167</v>
      </c>
      <c r="P3892">
        <v>0</v>
      </c>
      <c r="Q3892">
        <v>0</v>
      </c>
      <c r="R3892" t="s">
        <v>43171</v>
      </c>
      <c r="S3892" t="s">
        <v>43311</v>
      </c>
      <c r="T3892" t="s">
        <v>44704</v>
      </c>
      <c r="U3892" t="s">
        <v>48174</v>
      </c>
      <c r="V3892" t="s">
        <v>57248</v>
      </c>
      <c r="W3892" t="s">
        <v>40706</v>
      </c>
      <c r="X3892" t="s">
        <v>43172</v>
      </c>
    </row>
    <row r="3893" spans="1:24">
      <c r="A3893">
        <f>HYPERLINK("https://www.philgeps.gov.ph/GEPSNONPILOT/Tender/SplashBidNoticeAbstractUI.aspx?menuIndex=3&amp;refID=7083084&amp;Result=3","7083084")</f>
        <v>0</v>
      </c>
      <c r="B3893" t="s">
        <v>1427</v>
      </c>
      <c r="C3893" t="s">
        <v>7125</v>
      </c>
      <c r="E3893" t="s">
        <v>20879</v>
      </c>
      <c r="F3893" t="s">
        <v>30052</v>
      </c>
      <c r="G3893" t="s">
        <v>30058</v>
      </c>
      <c r="H3893" t="s">
        <v>15498</v>
      </c>
      <c r="I3893" t="s">
        <v>30153</v>
      </c>
      <c r="J3893" t="s">
        <v>30218</v>
      </c>
      <c r="K3893" t="s">
        <v>39025</v>
      </c>
      <c r="M3893" t="s">
        <v>40805</v>
      </c>
      <c r="N3893" t="s">
        <v>43166</v>
      </c>
      <c r="O3893" t="s">
        <v>43167</v>
      </c>
      <c r="P3893">
        <v>0</v>
      </c>
      <c r="Q3893">
        <v>2</v>
      </c>
      <c r="R3893" t="s">
        <v>43171</v>
      </c>
      <c r="S3893" t="s">
        <v>43311</v>
      </c>
      <c r="T3893" t="s">
        <v>44970</v>
      </c>
      <c r="U3893" t="s">
        <v>48395</v>
      </c>
      <c r="W3893" t="s">
        <v>40805</v>
      </c>
      <c r="X3893" t="s">
        <v>43172</v>
      </c>
    </row>
    <row r="3894" spans="1:24">
      <c r="A3894">
        <f>HYPERLINK("https://www.philgeps.gov.ph/GEPSNONPILOT/Tender/SplashBidNoticeAbstractUI.aspx?menuIndex=3&amp;refID=7083092&amp;Result=3","7083092")</f>
        <v>0</v>
      </c>
      <c r="B3894" t="s">
        <v>1405</v>
      </c>
      <c r="C3894" t="s">
        <v>7126</v>
      </c>
      <c r="D3894" t="s">
        <v>17415</v>
      </c>
      <c r="E3894" t="s">
        <v>20880</v>
      </c>
      <c r="F3894" t="s">
        <v>30052</v>
      </c>
      <c r="G3894" t="s">
        <v>30062</v>
      </c>
      <c r="H3894" t="s">
        <v>15498</v>
      </c>
      <c r="I3894" t="s">
        <v>30111</v>
      </c>
      <c r="J3894" t="s">
        <v>30337</v>
      </c>
      <c r="K3894" t="s">
        <v>39025</v>
      </c>
      <c r="M3894" t="s">
        <v>40782</v>
      </c>
      <c r="N3894" t="s">
        <v>43166</v>
      </c>
      <c r="O3894" t="s">
        <v>43167</v>
      </c>
      <c r="P3894">
        <v>0</v>
      </c>
      <c r="Q3894">
        <v>12</v>
      </c>
      <c r="R3894" t="s">
        <v>43171</v>
      </c>
      <c r="S3894" t="s">
        <v>43311</v>
      </c>
      <c r="T3894" t="s">
        <v>44841</v>
      </c>
      <c r="U3894" t="s">
        <v>48355</v>
      </c>
      <c r="W3894" t="s">
        <v>40782</v>
      </c>
      <c r="X3894" t="s">
        <v>43172</v>
      </c>
    </row>
    <row r="3895" spans="1:24">
      <c r="A3895">
        <f>HYPERLINK("https://www.philgeps.gov.ph/GEPSNONPILOT/Tender/SplashBidNoticeAbstractUI.aspx?menuIndex=3&amp;refID=7083030&amp;Result=3","7083030")</f>
        <v>0</v>
      </c>
      <c r="B3895" t="s">
        <v>1401</v>
      </c>
      <c r="C3895" t="s">
        <v>7127</v>
      </c>
      <c r="D3895" t="s">
        <v>17465</v>
      </c>
      <c r="E3895" t="s">
        <v>20881</v>
      </c>
      <c r="F3895" t="s">
        <v>30052</v>
      </c>
      <c r="G3895" t="s">
        <v>30062</v>
      </c>
      <c r="H3895" t="s">
        <v>15498</v>
      </c>
      <c r="I3895" t="s">
        <v>30124</v>
      </c>
      <c r="J3895" t="s">
        <v>32736</v>
      </c>
      <c r="K3895" t="s">
        <v>39029</v>
      </c>
      <c r="M3895" t="s">
        <v>40777</v>
      </c>
      <c r="N3895" t="s">
        <v>43166</v>
      </c>
      <c r="O3895" t="s">
        <v>43167</v>
      </c>
      <c r="P3895">
        <v>0</v>
      </c>
      <c r="Q3895">
        <v>6</v>
      </c>
      <c r="R3895" t="s">
        <v>43171</v>
      </c>
      <c r="S3895" t="s">
        <v>43311</v>
      </c>
      <c r="T3895" t="s">
        <v>44723</v>
      </c>
      <c r="U3895" t="s">
        <v>48339</v>
      </c>
      <c r="W3895" t="s">
        <v>40777</v>
      </c>
      <c r="X3895" t="s">
        <v>43172</v>
      </c>
    </row>
    <row r="3896" spans="1:24">
      <c r="A3896">
        <f>HYPERLINK("https://www.philgeps.gov.ph/GEPSNONPILOT/Tender/SplashBidNoticeAbstractUI.aspx?menuIndex=3&amp;refID=7083082&amp;Result=3","7083082")</f>
        <v>0</v>
      </c>
      <c r="B3896" t="s">
        <v>1428</v>
      </c>
      <c r="C3896" t="s">
        <v>7128</v>
      </c>
      <c r="D3896" t="s">
        <v>17463</v>
      </c>
      <c r="E3896" t="s">
        <v>20882</v>
      </c>
      <c r="F3896" t="s">
        <v>30052</v>
      </c>
      <c r="G3896" t="s">
        <v>30058</v>
      </c>
      <c r="H3896" t="s">
        <v>15498</v>
      </c>
      <c r="I3896" t="s">
        <v>30100</v>
      </c>
      <c r="J3896" t="s">
        <v>30931</v>
      </c>
      <c r="K3896" t="s">
        <v>39034</v>
      </c>
      <c r="M3896" t="s">
        <v>40806</v>
      </c>
      <c r="N3896" t="s">
        <v>43166</v>
      </c>
      <c r="O3896" t="s">
        <v>43167</v>
      </c>
      <c r="P3896">
        <v>0</v>
      </c>
      <c r="Q3896">
        <v>0</v>
      </c>
      <c r="R3896" t="s">
        <v>43171</v>
      </c>
      <c r="S3896" t="s">
        <v>43311</v>
      </c>
      <c r="T3896" t="s">
        <v>44700</v>
      </c>
      <c r="U3896" t="s">
        <v>48396</v>
      </c>
      <c r="W3896" t="s">
        <v>40806</v>
      </c>
      <c r="X3896" t="s">
        <v>43172</v>
      </c>
    </row>
    <row r="3897" spans="1:24">
      <c r="A3897">
        <f>HYPERLINK("https://www.philgeps.gov.ph/GEPSNONPILOT/Tender/SplashBidNoticeAbstractUI.aspx?menuIndex=3&amp;refID=7083087&amp;Result=3","7083087")</f>
        <v>0</v>
      </c>
      <c r="B3897" t="s">
        <v>1416</v>
      </c>
      <c r="C3897" t="s">
        <v>7129</v>
      </c>
      <c r="D3897" t="s">
        <v>17414</v>
      </c>
      <c r="E3897" t="s">
        <v>19655</v>
      </c>
      <c r="F3897" t="s">
        <v>30052</v>
      </c>
      <c r="G3897" t="s">
        <v>30058</v>
      </c>
      <c r="H3897" t="s">
        <v>15498</v>
      </c>
      <c r="I3897" t="s">
        <v>30097</v>
      </c>
      <c r="J3897" t="s">
        <v>32737</v>
      </c>
      <c r="K3897" t="s">
        <v>39037</v>
      </c>
      <c r="M3897" t="s">
        <v>40794</v>
      </c>
      <c r="N3897" t="s">
        <v>43166</v>
      </c>
      <c r="O3897" t="s">
        <v>43167</v>
      </c>
      <c r="P3897">
        <v>0</v>
      </c>
      <c r="Q3897">
        <v>2</v>
      </c>
      <c r="R3897" t="s">
        <v>43171</v>
      </c>
      <c r="S3897" t="s">
        <v>43311</v>
      </c>
      <c r="T3897" t="s">
        <v>44760</v>
      </c>
      <c r="U3897" t="s">
        <v>48397</v>
      </c>
      <c r="V3897" t="s">
        <v>57277</v>
      </c>
      <c r="W3897" t="s">
        <v>40794</v>
      </c>
      <c r="X3897" t="s">
        <v>43172</v>
      </c>
    </row>
    <row r="3898" spans="1:24">
      <c r="A3898">
        <f>HYPERLINK("https://www.philgeps.gov.ph/GEPSNONPILOT/Tender/SplashBidNoticeAbstractUI.aspx?menuIndex=3&amp;refID=7083139&amp;Result=3","7083139")</f>
        <v>0</v>
      </c>
      <c r="B3898" t="s">
        <v>1412</v>
      </c>
      <c r="C3898" t="s">
        <v>7130</v>
      </c>
      <c r="D3898" t="s">
        <v>17444</v>
      </c>
      <c r="E3898" t="s">
        <v>20883</v>
      </c>
      <c r="F3898" t="s">
        <v>30052</v>
      </c>
      <c r="G3898" t="s">
        <v>30058</v>
      </c>
      <c r="H3898" t="s">
        <v>30067</v>
      </c>
      <c r="I3898" t="s">
        <v>3693</v>
      </c>
      <c r="J3898" t="s">
        <v>30207</v>
      </c>
      <c r="K3898" t="s">
        <v>39029</v>
      </c>
      <c r="M3898" t="s">
        <v>40790</v>
      </c>
      <c r="N3898" t="s">
        <v>43166</v>
      </c>
      <c r="O3898" t="s">
        <v>43167</v>
      </c>
      <c r="P3898">
        <v>0</v>
      </c>
      <c r="Q3898">
        <v>0</v>
      </c>
      <c r="R3898" t="s">
        <v>43171</v>
      </c>
      <c r="S3898" t="s">
        <v>43311</v>
      </c>
      <c r="T3898" t="s">
        <v>44719</v>
      </c>
      <c r="U3898" t="s">
        <v>48365</v>
      </c>
      <c r="V3898" t="s">
        <v>57275</v>
      </c>
      <c r="W3898" t="s">
        <v>40790</v>
      </c>
      <c r="X3898" t="s">
        <v>43172</v>
      </c>
    </row>
    <row r="3899" spans="1:24">
      <c r="A3899">
        <f>HYPERLINK("https://www.philgeps.gov.ph/GEPSNONPILOT/Tender/SplashBidNoticeAbstractUI.aspx?menuIndex=3&amp;refID=7083133&amp;Result=3","7083133")</f>
        <v>0</v>
      </c>
      <c r="B3899" t="s">
        <v>1422</v>
      </c>
      <c r="C3899" t="s">
        <v>7131</v>
      </c>
      <c r="D3899" t="s">
        <v>17436</v>
      </c>
      <c r="E3899" t="s">
        <v>20884</v>
      </c>
      <c r="F3899" t="s">
        <v>30052</v>
      </c>
      <c r="G3899" t="s">
        <v>30059</v>
      </c>
      <c r="H3899" t="s">
        <v>15498</v>
      </c>
      <c r="I3899" t="s">
        <v>30100</v>
      </c>
      <c r="J3899" t="s">
        <v>32730</v>
      </c>
      <c r="K3899" t="s">
        <v>39019</v>
      </c>
      <c r="M3899" t="s">
        <v>40800</v>
      </c>
      <c r="N3899" t="s">
        <v>43166</v>
      </c>
      <c r="O3899" t="s">
        <v>43167</v>
      </c>
      <c r="P3899">
        <v>0</v>
      </c>
      <c r="Q3899">
        <v>0</v>
      </c>
      <c r="R3899" t="s">
        <v>43171</v>
      </c>
      <c r="S3899" t="s">
        <v>43311</v>
      </c>
      <c r="T3899" t="s">
        <v>44698</v>
      </c>
      <c r="U3899" t="s">
        <v>48384</v>
      </c>
      <c r="V3899" t="s">
        <v>57280</v>
      </c>
      <c r="W3899" t="s">
        <v>40800</v>
      </c>
      <c r="X3899" t="s">
        <v>43172</v>
      </c>
    </row>
    <row r="3900" spans="1:24">
      <c r="A3900">
        <f>HYPERLINK("https://www.philgeps.gov.ph/GEPSNONPILOT/Tender/SplashBidNoticeAbstractUI.aspx?menuIndex=3&amp;refID=7083083&amp;Result=3","7083083")</f>
        <v>0</v>
      </c>
      <c r="B3900" t="s">
        <v>1401</v>
      </c>
      <c r="C3900" t="s">
        <v>7132</v>
      </c>
      <c r="D3900" t="s">
        <v>17427</v>
      </c>
      <c r="E3900" t="s">
        <v>20885</v>
      </c>
      <c r="F3900" t="s">
        <v>30052</v>
      </c>
      <c r="G3900" t="s">
        <v>30062</v>
      </c>
      <c r="H3900" t="s">
        <v>15498</v>
      </c>
      <c r="I3900" t="s">
        <v>3852</v>
      </c>
      <c r="J3900" t="s">
        <v>32738</v>
      </c>
      <c r="K3900" t="s">
        <v>39029</v>
      </c>
      <c r="M3900" t="s">
        <v>40777</v>
      </c>
      <c r="N3900" t="s">
        <v>43166</v>
      </c>
      <c r="O3900" t="s">
        <v>43167</v>
      </c>
      <c r="P3900">
        <v>0</v>
      </c>
      <c r="Q3900">
        <v>2</v>
      </c>
      <c r="R3900" t="s">
        <v>43171</v>
      </c>
      <c r="S3900" t="s">
        <v>43311</v>
      </c>
      <c r="T3900" t="s">
        <v>44723</v>
      </c>
      <c r="U3900" t="s">
        <v>48339</v>
      </c>
      <c r="W3900" t="s">
        <v>40777</v>
      </c>
      <c r="X3900" t="s">
        <v>43172</v>
      </c>
    </row>
    <row r="3901" spans="1:24">
      <c r="A3901">
        <f>HYPERLINK("https://www.philgeps.gov.ph/GEPSNONPILOT/Tender/SplashBidNoticeAbstractUI.aspx?menuIndex=3&amp;refID=7083135&amp;Result=3","7083135")</f>
        <v>0</v>
      </c>
      <c r="B3901" t="s">
        <v>1325</v>
      </c>
      <c r="C3901" t="s">
        <v>7133</v>
      </c>
      <c r="D3901" t="s">
        <v>17413</v>
      </c>
      <c r="E3901" t="s">
        <v>20886</v>
      </c>
      <c r="F3901" t="s">
        <v>30052</v>
      </c>
      <c r="G3901" t="s">
        <v>30058</v>
      </c>
      <c r="H3901" t="s">
        <v>30067</v>
      </c>
      <c r="I3901" t="s">
        <v>3693</v>
      </c>
      <c r="J3901" t="s">
        <v>32739</v>
      </c>
      <c r="K3901" t="s">
        <v>39022</v>
      </c>
      <c r="M3901" t="s">
        <v>40692</v>
      </c>
      <c r="N3901" t="s">
        <v>43166</v>
      </c>
      <c r="O3901" t="s">
        <v>43167</v>
      </c>
      <c r="P3901">
        <v>0</v>
      </c>
      <c r="Q3901">
        <v>1</v>
      </c>
      <c r="R3901" t="s">
        <v>43171</v>
      </c>
      <c r="S3901" t="s">
        <v>43311</v>
      </c>
      <c r="T3901" t="s">
        <v>44917</v>
      </c>
      <c r="U3901" t="s">
        <v>48398</v>
      </c>
      <c r="W3901" t="s">
        <v>40692</v>
      </c>
      <c r="X3901" t="s">
        <v>43172</v>
      </c>
    </row>
    <row r="3902" spans="1:24">
      <c r="A3902">
        <f>HYPERLINK("https://www.philgeps.gov.ph/GEPSNONPILOT/Tender/SplashBidNoticeAbstractUI.aspx?menuIndex=3&amp;refID=7083134&amp;Result=3","7083134")</f>
        <v>0</v>
      </c>
      <c r="B3902" t="s">
        <v>1429</v>
      </c>
      <c r="C3902" t="s">
        <v>7134</v>
      </c>
      <c r="D3902" t="s">
        <v>17432</v>
      </c>
      <c r="E3902" t="s">
        <v>20887</v>
      </c>
      <c r="F3902" t="s">
        <v>30052</v>
      </c>
      <c r="G3902" t="s">
        <v>30059</v>
      </c>
      <c r="H3902" t="s">
        <v>15498</v>
      </c>
      <c r="I3902" t="s">
        <v>30100</v>
      </c>
      <c r="J3902" t="s">
        <v>31880</v>
      </c>
      <c r="K3902" t="s">
        <v>39017</v>
      </c>
      <c r="M3902" t="s">
        <v>40807</v>
      </c>
      <c r="N3902" t="s">
        <v>43166</v>
      </c>
      <c r="O3902" t="s">
        <v>43167</v>
      </c>
      <c r="P3902">
        <v>0</v>
      </c>
      <c r="Q3902">
        <v>0</v>
      </c>
      <c r="R3902" t="s">
        <v>43171</v>
      </c>
      <c r="S3902" t="s">
        <v>43311</v>
      </c>
      <c r="T3902" t="s">
        <v>44699</v>
      </c>
      <c r="U3902" t="s">
        <v>48399</v>
      </c>
      <c r="W3902" t="s">
        <v>40807</v>
      </c>
      <c r="X3902" t="s">
        <v>43172</v>
      </c>
    </row>
    <row r="3903" spans="1:24">
      <c r="A3903">
        <f>HYPERLINK("https://www.philgeps.gov.ph/GEPSNONPILOT/Tender/SplashBidNoticeAbstractUI.aspx?menuIndex=3&amp;refID=7083040&amp;Result=3","7083040")</f>
        <v>0</v>
      </c>
      <c r="B3903" t="s">
        <v>1430</v>
      </c>
      <c r="C3903" t="s">
        <v>7135</v>
      </c>
      <c r="D3903" t="s">
        <v>17449</v>
      </c>
      <c r="E3903" t="s">
        <v>20888</v>
      </c>
      <c r="F3903" t="s">
        <v>30052</v>
      </c>
      <c r="G3903" t="s">
        <v>30058</v>
      </c>
      <c r="H3903" t="s">
        <v>30067</v>
      </c>
      <c r="I3903" t="s">
        <v>3693</v>
      </c>
      <c r="J3903" t="s">
        <v>32740</v>
      </c>
      <c r="K3903" t="s">
        <v>39017</v>
      </c>
      <c r="M3903" t="s">
        <v>40808</v>
      </c>
      <c r="N3903" t="s">
        <v>43166</v>
      </c>
      <c r="O3903" t="s">
        <v>43167</v>
      </c>
      <c r="P3903">
        <v>0</v>
      </c>
      <c r="Q3903">
        <v>0</v>
      </c>
      <c r="R3903" t="s">
        <v>43171</v>
      </c>
      <c r="S3903" t="s">
        <v>43311</v>
      </c>
      <c r="T3903" t="s">
        <v>44722</v>
      </c>
      <c r="U3903" t="s">
        <v>48400</v>
      </c>
      <c r="V3903" t="s">
        <v>57281</v>
      </c>
      <c r="W3903" t="s">
        <v>40808</v>
      </c>
      <c r="X3903" t="s">
        <v>43172</v>
      </c>
    </row>
    <row r="3904" spans="1:24">
      <c r="A3904">
        <f>HYPERLINK("https://www.philgeps.gov.ph/GEPSNONPILOT/Tender/SplashBidNoticeAbstractUI.aspx?menuIndex=3&amp;refID=7083125&amp;Result=3","7083125")</f>
        <v>0</v>
      </c>
      <c r="B3904" t="s">
        <v>1431</v>
      </c>
      <c r="C3904" t="s">
        <v>7136</v>
      </c>
      <c r="D3904" t="s">
        <v>17459</v>
      </c>
      <c r="E3904" t="s">
        <v>20889</v>
      </c>
      <c r="F3904" t="s">
        <v>30052</v>
      </c>
      <c r="G3904" t="s">
        <v>30058</v>
      </c>
      <c r="H3904" t="s">
        <v>30067</v>
      </c>
      <c r="I3904" t="s">
        <v>3693</v>
      </c>
      <c r="J3904" t="s">
        <v>30594</v>
      </c>
      <c r="K3904" t="s">
        <v>39064</v>
      </c>
      <c r="M3904" t="s">
        <v>40809</v>
      </c>
      <c r="N3904" t="s">
        <v>43166</v>
      </c>
      <c r="O3904" t="s">
        <v>43167</v>
      </c>
      <c r="P3904">
        <v>0</v>
      </c>
      <c r="Q3904">
        <v>0</v>
      </c>
      <c r="R3904" t="s">
        <v>43171</v>
      </c>
      <c r="S3904" t="s">
        <v>43311</v>
      </c>
      <c r="T3904" t="s">
        <v>44941</v>
      </c>
      <c r="U3904" t="s">
        <v>48401</v>
      </c>
      <c r="W3904" t="s">
        <v>40809</v>
      </c>
      <c r="X3904" t="s">
        <v>43172</v>
      </c>
    </row>
    <row r="3905" spans="1:24">
      <c r="A3905">
        <f>HYPERLINK("https://www.philgeps.gov.ph/GEPSNONPILOT/Tender/SplashBidNoticeAbstractUI.aspx?menuIndex=3&amp;refID=7083085&amp;Result=3","7083085")</f>
        <v>0</v>
      </c>
      <c r="B3905" t="s">
        <v>121</v>
      </c>
      <c r="C3905" t="s">
        <v>7137</v>
      </c>
      <c r="D3905" t="s">
        <v>17440</v>
      </c>
      <c r="E3905" t="s">
        <v>20890</v>
      </c>
      <c r="F3905" t="s">
        <v>30052</v>
      </c>
      <c r="G3905" t="s">
        <v>30059</v>
      </c>
      <c r="H3905" t="s">
        <v>15498</v>
      </c>
      <c r="I3905" t="s">
        <v>30111</v>
      </c>
      <c r="J3905" t="s">
        <v>32741</v>
      </c>
      <c r="K3905" t="s">
        <v>39019</v>
      </c>
      <c r="M3905" t="s">
        <v>39410</v>
      </c>
      <c r="N3905" t="s">
        <v>43166</v>
      </c>
      <c r="O3905" t="s">
        <v>43167</v>
      </c>
      <c r="P3905">
        <v>0</v>
      </c>
      <c r="Q3905">
        <v>1</v>
      </c>
      <c r="R3905" t="s">
        <v>43171</v>
      </c>
      <c r="S3905" t="s">
        <v>43311</v>
      </c>
      <c r="T3905" t="s">
        <v>44777</v>
      </c>
      <c r="U3905" t="s">
        <v>48402</v>
      </c>
      <c r="W3905" t="s">
        <v>39410</v>
      </c>
      <c r="X3905" t="s">
        <v>43172</v>
      </c>
    </row>
    <row r="3906" spans="1:24">
      <c r="A3906">
        <f>HYPERLINK("https://www.philgeps.gov.ph/GEPSNONPILOT/Tender/SplashBidNoticeAbstractUI.aspx?menuIndex=3&amp;refID=7083124&amp;Result=3","7083124")</f>
        <v>0</v>
      </c>
      <c r="B3906" t="s">
        <v>362</v>
      </c>
      <c r="C3906" t="s">
        <v>7138</v>
      </c>
      <c r="E3906" t="s">
        <v>20891</v>
      </c>
      <c r="F3906" t="s">
        <v>30052</v>
      </c>
      <c r="G3906" t="s">
        <v>30059</v>
      </c>
      <c r="H3906" t="s">
        <v>15498</v>
      </c>
      <c r="I3906" t="s">
        <v>30102</v>
      </c>
      <c r="J3906" t="s">
        <v>32742</v>
      </c>
      <c r="K3906" t="s">
        <v>39025</v>
      </c>
      <c r="M3906" t="s">
        <v>39659</v>
      </c>
      <c r="N3906" t="s">
        <v>43166</v>
      </c>
      <c r="O3906" t="s">
        <v>43167</v>
      </c>
      <c r="P3906">
        <v>0</v>
      </c>
      <c r="Q3906">
        <v>6</v>
      </c>
      <c r="R3906" t="s">
        <v>43171</v>
      </c>
      <c r="S3906" t="s">
        <v>43311</v>
      </c>
      <c r="T3906" t="s">
        <v>44743</v>
      </c>
      <c r="U3906" t="s">
        <v>48403</v>
      </c>
      <c r="W3906" t="s">
        <v>58598</v>
      </c>
      <c r="X3906" t="s">
        <v>43172</v>
      </c>
    </row>
    <row r="3907" spans="1:24">
      <c r="A3907">
        <f>HYPERLINK("https://www.philgeps.gov.ph/GEPSNONPILOT/Tender/SplashBidNoticeAbstractUI.aspx?menuIndex=3&amp;refID=7083130&amp;Result=3","7083130")</f>
        <v>0</v>
      </c>
      <c r="B3907" t="s">
        <v>1432</v>
      </c>
      <c r="C3907" t="s">
        <v>7139</v>
      </c>
      <c r="D3907" t="s">
        <v>17417</v>
      </c>
      <c r="E3907" t="s">
        <v>20892</v>
      </c>
      <c r="F3907" t="s">
        <v>30052</v>
      </c>
      <c r="G3907" t="s">
        <v>30059</v>
      </c>
      <c r="H3907" t="s">
        <v>15498</v>
      </c>
      <c r="I3907" t="s">
        <v>3693</v>
      </c>
      <c r="J3907" t="s">
        <v>32743</v>
      </c>
      <c r="K3907" t="s">
        <v>39017</v>
      </c>
      <c r="M3907" t="s">
        <v>40810</v>
      </c>
      <c r="N3907" t="s">
        <v>43166</v>
      </c>
      <c r="O3907" t="s">
        <v>43167</v>
      </c>
      <c r="P3907">
        <v>0</v>
      </c>
      <c r="Q3907">
        <v>0</v>
      </c>
      <c r="R3907" t="s">
        <v>43171</v>
      </c>
      <c r="S3907" t="s">
        <v>43311</v>
      </c>
      <c r="T3907" t="s">
        <v>44737</v>
      </c>
      <c r="U3907" t="s">
        <v>48404</v>
      </c>
      <c r="W3907" t="s">
        <v>40810</v>
      </c>
      <c r="X3907" t="s">
        <v>43172</v>
      </c>
    </row>
    <row r="3908" spans="1:24">
      <c r="A3908">
        <f>HYPERLINK("https://www.philgeps.gov.ph/GEPSNONPILOT/Tender/SplashBidNoticeAbstractUI.aspx?menuIndex=3&amp;refID=7083128&amp;Result=3","7083128")</f>
        <v>0</v>
      </c>
      <c r="B3908" t="s">
        <v>1433</v>
      </c>
      <c r="C3908" t="s">
        <v>7140</v>
      </c>
      <c r="D3908" t="s">
        <v>17459</v>
      </c>
      <c r="E3908" t="s">
        <v>20893</v>
      </c>
      <c r="F3908" t="s">
        <v>30055</v>
      </c>
      <c r="G3908" t="s">
        <v>30058</v>
      </c>
      <c r="H3908" t="s">
        <v>15498</v>
      </c>
      <c r="I3908" t="s">
        <v>3736</v>
      </c>
      <c r="J3908" t="s">
        <v>32744</v>
      </c>
      <c r="K3908" t="s">
        <v>39034</v>
      </c>
      <c r="M3908" t="s">
        <v>40811</v>
      </c>
      <c r="N3908" t="s">
        <v>43166</v>
      </c>
      <c r="O3908" t="s">
        <v>43167</v>
      </c>
      <c r="P3908">
        <v>0</v>
      </c>
      <c r="Q3908">
        <v>0</v>
      </c>
      <c r="R3908" t="s">
        <v>43171</v>
      </c>
      <c r="S3908" t="s">
        <v>43311</v>
      </c>
      <c r="T3908" t="s">
        <v>44934</v>
      </c>
      <c r="U3908" t="s">
        <v>48405</v>
      </c>
      <c r="V3908" t="s">
        <v>53214</v>
      </c>
      <c r="W3908" t="s">
        <v>40811</v>
      </c>
      <c r="X3908" t="s">
        <v>43172</v>
      </c>
    </row>
    <row r="3909" spans="1:24">
      <c r="A3909">
        <f>HYPERLINK("https://www.philgeps.gov.ph/GEPSNONPILOT/Tender/SplashBidNoticeAbstractUI.aspx?menuIndex=3&amp;refID=7083171&amp;Result=3","7083171")</f>
        <v>0</v>
      </c>
      <c r="B3909" t="s">
        <v>1434</v>
      </c>
      <c r="C3909" t="s">
        <v>7141</v>
      </c>
      <c r="D3909" t="s">
        <v>17474</v>
      </c>
      <c r="E3909" t="s">
        <v>20894</v>
      </c>
      <c r="F3909" t="s">
        <v>30052</v>
      </c>
      <c r="G3909" t="s">
        <v>30059</v>
      </c>
      <c r="H3909" t="s">
        <v>15498</v>
      </c>
      <c r="I3909" t="s">
        <v>4650</v>
      </c>
      <c r="J3909" t="s">
        <v>32745</v>
      </c>
      <c r="K3909" t="s">
        <v>39029</v>
      </c>
      <c r="M3909" t="s">
        <v>40812</v>
      </c>
      <c r="N3909" t="s">
        <v>43166</v>
      </c>
      <c r="O3909" t="s">
        <v>43167</v>
      </c>
      <c r="P3909">
        <v>0</v>
      </c>
      <c r="Q3909">
        <v>3</v>
      </c>
      <c r="R3909" t="s">
        <v>43171</v>
      </c>
      <c r="S3909" t="s">
        <v>43311</v>
      </c>
      <c r="T3909" t="s">
        <v>44717</v>
      </c>
      <c r="U3909" t="s">
        <v>48406</v>
      </c>
      <c r="V3909" t="s">
        <v>57282</v>
      </c>
      <c r="W3909" t="s">
        <v>40812</v>
      </c>
      <c r="X3909" t="s">
        <v>43172</v>
      </c>
    </row>
    <row r="3910" spans="1:24">
      <c r="A3910">
        <f>HYPERLINK("https://www.philgeps.gov.ph/GEPSNONPILOT/Tender/SplashBidNoticeAbstractUI.aspx?menuIndex=3&amp;refID=7083175&amp;Result=3","7083175")</f>
        <v>0</v>
      </c>
      <c r="B3910" t="s">
        <v>1435</v>
      </c>
      <c r="C3910" t="s">
        <v>7142</v>
      </c>
      <c r="D3910" t="s">
        <v>17415</v>
      </c>
      <c r="E3910" t="s">
        <v>20895</v>
      </c>
      <c r="F3910" t="s">
        <v>30052</v>
      </c>
      <c r="G3910" t="s">
        <v>30059</v>
      </c>
      <c r="H3910" t="s">
        <v>30068</v>
      </c>
      <c r="I3910" t="s">
        <v>30068</v>
      </c>
      <c r="J3910" t="s">
        <v>32746</v>
      </c>
      <c r="K3910" t="s">
        <v>39048</v>
      </c>
      <c r="M3910" t="s">
        <v>40813</v>
      </c>
      <c r="N3910" t="s">
        <v>43166</v>
      </c>
      <c r="O3910" t="s">
        <v>43167</v>
      </c>
      <c r="P3910">
        <v>0</v>
      </c>
      <c r="Q3910">
        <v>1</v>
      </c>
      <c r="R3910" t="s">
        <v>43171</v>
      </c>
      <c r="S3910" t="s">
        <v>43311</v>
      </c>
      <c r="T3910" t="s">
        <v>44844</v>
      </c>
      <c r="U3910" t="s">
        <v>48407</v>
      </c>
      <c r="W3910" t="s">
        <v>40813</v>
      </c>
      <c r="X3910" t="s">
        <v>43172</v>
      </c>
    </row>
    <row r="3911" spans="1:24">
      <c r="A3911">
        <f>HYPERLINK("https://www.philgeps.gov.ph/GEPSNONPILOT/Tender/SplashBidNoticeAbstractUI.aspx?menuIndex=3&amp;refID=7083174&amp;Result=3","7083174")</f>
        <v>0</v>
      </c>
      <c r="B3911" t="s">
        <v>1436</v>
      </c>
      <c r="C3911" t="s">
        <v>7143</v>
      </c>
      <c r="D3911" t="s">
        <v>17448</v>
      </c>
      <c r="E3911" t="s">
        <v>20896</v>
      </c>
      <c r="F3911" t="s">
        <v>30052</v>
      </c>
      <c r="G3911" t="s">
        <v>30059</v>
      </c>
      <c r="H3911" t="s">
        <v>30067</v>
      </c>
      <c r="I3911" t="s">
        <v>3736</v>
      </c>
      <c r="J3911" t="s">
        <v>32747</v>
      </c>
      <c r="K3911" t="s">
        <v>39025</v>
      </c>
      <c r="M3911" t="s">
        <v>40814</v>
      </c>
      <c r="N3911" t="s">
        <v>43166</v>
      </c>
      <c r="O3911" t="s">
        <v>43167</v>
      </c>
      <c r="P3911">
        <v>0</v>
      </c>
      <c r="Q3911">
        <v>0</v>
      </c>
      <c r="R3911" t="s">
        <v>43171</v>
      </c>
      <c r="S3911" t="s">
        <v>43311</v>
      </c>
      <c r="T3911" t="s">
        <v>44788</v>
      </c>
      <c r="U3911" t="s">
        <v>48408</v>
      </c>
      <c r="W3911" t="s">
        <v>40814</v>
      </c>
      <c r="X3911" t="s">
        <v>43172</v>
      </c>
    </row>
    <row r="3912" spans="1:24">
      <c r="A3912">
        <f>HYPERLINK("https://www.philgeps.gov.ph/GEPSNONPILOT/Tender/SplashBidNoticeAbstractUI.aspx?menuIndex=3&amp;refID=7083118&amp;Result=3","7083118")</f>
        <v>0</v>
      </c>
      <c r="B3912" t="s">
        <v>1437</v>
      </c>
      <c r="C3912" t="s">
        <v>7144</v>
      </c>
      <c r="D3912" t="s">
        <v>17462</v>
      </c>
      <c r="E3912" t="s">
        <v>20897</v>
      </c>
      <c r="F3912" t="s">
        <v>30052</v>
      </c>
      <c r="G3912" t="s">
        <v>30059</v>
      </c>
      <c r="H3912" t="s">
        <v>15498</v>
      </c>
      <c r="I3912" t="s">
        <v>30076</v>
      </c>
      <c r="J3912" t="s">
        <v>32748</v>
      </c>
      <c r="K3912" t="s">
        <v>39025</v>
      </c>
      <c r="M3912" t="s">
        <v>40815</v>
      </c>
      <c r="N3912" t="s">
        <v>43166</v>
      </c>
      <c r="O3912" t="s">
        <v>43167</v>
      </c>
      <c r="P3912">
        <v>0</v>
      </c>
      <c r="Q3912">
        <v>3</v>
      </c>
      <c r="R3912" t="s">
        <v>43171</v>
      </c>
      <c r="S3912" t="s">
        <v>43311</v>
      </c>
      <c r="T3912" t="s">
        <v>44870</v>
      </c>
      <c r="U3912" t="s">
        <v>48409</v>
      </c>
      <c r="W3912" t="s">
        <v>58638</v>
      </c>
      <c r="X3912" t="s">
        <v>43172</v>
      </c>
    </row>
    <row r="3913" spans="1:24">
      <c r="A3913">
        <f>HYPERLINK("https://www.philgeps.gov.ph/GEPSNONPILOT/Tender/SplashBidNoticeAbstractUI.aspx?menuIndex=3&amp;refID=7083166&amp;Result=3","7083166")</f>
        <v>0</v>
      </c>
      <c r="B3913" t="s">
        <v>1428</v>
      </c>
      <c r="C3913" t="s">
        <v>7145</v>
      </c>
      <c r="D3913" t="s">
        <v>17463</v>
      </c>
      <c r="E3913" t="s">
        <v>20898</v>
      </c>
      <c r="F3913" t="s">
        <v>30052</v>
      </c>
      <c r="G3913" t="s">
        <v>30058</v>
      </c>
      <c r="H3913" t="s">
        <v>15498</v>
      </c>
      <c r="I3913" t="s">
        <v>30087</v>
      </c>
      <c r="J3913" t="s">
        <v>30209</v>
      </c>
      <c r="K3913" t="s">
        <v>39034</v>
      </c>
      <c r="M3913" t="s">
        <v>40806</v>
      </c>
      <c r="N3913" t="s">
        <v>43166</v>
      </c>
      <c r="O3913" t="s">
        <v>43167</v>
      </c>
      <c r="P3913">
        <v>0</v>
      </c>
      <c r="Q3913">
        <v>0</v>
      </c>
      <c r="R3913" t="s">
        <v>43171</v>
      </c>
      <c r="S3913" t="s">
        <v>43311</v>
      </c>
      <c r="T3913" t="s">
        <v>44700</v>
      </c>
      <c r="U3913" t="s">
        <v>48410</v>
      </c>
      <c r="W3913" t="s">
        <v>40806</v>
      </c>
      <c r="X3913" t="s">
        <v>43172</v>
      </c>
    </row>
    <row r="3914" spans="1:24">
      <c r="A3914">
        <f>HYPERLINK("https://www.philgeps.gov.ph/GEPSNONPILOT/Tender/SplashBidNoticeAbstractUI.aspx?menuIndex=3&amp;refID=7083131&amp;Result=3","7083131")</f>
        <v>0</v>
      </c>
      <c r="B3914" t="s">
        <v>1310</v>
      </c>
      <c r="C3914" t="s">
        <v>7146</v>
      </c>
      <c r="D3914" t="s">
        <v>17459</v>
      </c>
      <c r="E3914" t="s">
        <v>20899</v>
      </c>
      <c r="F3914" t="s">
        <v>30052</v>
      </c>
      <c r="G3914" t="s">
        <v>30059</v>
      </c>
      <c r="H3914" t="s">
        <v>15498</v>
      </c>
      <c r="I3914" t="s">
        <v>30084</v>
      </c>
      <c r="J3914" t="s">
        <v>32749</v>
      </c>
      <c r="K3914" t="s">
        <v>39019</v>
      </c>
      <c r="M3914" t="s">
        <v>40677</v>
      </c>
      <c r="N3914" t="s">
        <v>43166</v>
      </c>
      <c r="O3914" t="s">
        <v>43167</v>
      </c>
      <c r="P3914">
        <v>0</v>
      </c>
      <c r="Q3914">
        <v>1</v>
      </c>
      <c r="R3914" t="s">
        <v>43171</v>
      </c>
      <c r="S3914" t="s">
        <v>43311</v>
      </c>
      <c r="T3914" t="s">
        <v>44717</v>
      </c>
      <c r="U3914" t="s">
        <v>48087</v>
      </c>
      <c r="W3914" t="s">
        <v>40677</v>
      </c>
      <c r="X3914" t="s">
        <v>43172</v>
      </c>
    </row>
    <row r="3915" spans="1:24">
      <c r="A3915">
        <f>HYPERLINK("https://www.philgeps.gov.ph/GEPSNONPILOT/Tender/SplashBidNoticeAbstractUI.aspx?menuIndex=3&amp;refID=7083165&amp;Result=3","7083165")</f>
        <v>0</v>
      </c>
      <c r="B3915" t="s">
        <v>1438</v>
      </c>
      <c r="C3915" t="s">
        <v>4603</v>
      </c>
      <c r="D3915" t="s">
        <v>17419</v>
      </c>
      <c r="E3915" t="s">
        <v>20900</v>
      </c>
      <c r="F3915" t="s">
        <v>30054</v>
      </c>
      <c r="G3915" t="s">
        <v>30058</v>
      </c>
      <c r="H3915" t="s">
        <v>15498</v>
      </c>
      <c r="I3915" t="s">
        <v>3736</v>
      </c>
      <c r="J3915" t="s">
        <v>32750</v>
      </c>
      <c r="K3915" t="s">
        <v>39019</v>
      </c>
      <c r="M3915" t="s">
        <v>40816</v>
      </c>
      <c r="N3915" t="s">
        <v>43166</v>
      </c>
      <c r="O3915" t="s">
        <v>43167</v>
      </c>
      <c r="P3915">
        <v>0</v>
      </c>
      <c r="Q3915">
        <v>0</v>
      </c>
      <c r="R3915" t="s">
        <v>43171</v>
      </c>
      <c r="S3915" t="s">
        <v>43311</v>
      </c>
      <c r="T3915" t="s">
        <v>44830</v>
      </c>
      <c r="U3915" t="s">
        <v>48411</v>
      </c>
      <c r="W3915" t="s">
        <v>40816</v>
      </c>
      <c r="X3915" t="s">
        <v>43172</v>
      </c>
    </row>
    <row r="3916" spans="1:24">
      <c r="A3916">
        <f>HYPERLINK("https://www.philgeps.gov.ph/GEPSNONPILOT/Tender/SplashBidNoticeAbstractUI.aspx?menuIndex=3&amp;refID=7083164&amp;Result=3","7083164")</f>
        <v>0</v>
      </c>
      <c r="B3916" t="s">
        <v>1439</v>
      </c>
      <c r="C3916" t="s">
        <v>7147</v>
      </c>
      <c r="D3916" t="s">
        <v>17479</v>
      </c>
      <c r="E3916" t="s">
        <v>20901</v>
      </c>
      <c r="F3916" t="s">
        <v>30052</v>
      </c>
      <c r="G3916" t="s">
        <v>30059</v>
      </c>
      <c r="H3916" t="s">
        <v>15498</v>
      </c>
      <c r="I3916" t="s">
        <v>30076</v>
      </c>
      <c r="J3916" t="s">
        <v>32751</v>
      </c>
      <c r="K3916" t="s">
        <v>39017</v>
      </c>
      <c r="M3916" t="s">
        <v>40817</v>
      </c>
      <c r="N3916" t="s">
        <v>43166</v>
      </c>
      <c r="O3916" t="s">
        <v>43167</v>
      </c>
      <c r="P3916">
        <v>0</v>
      </c>
      <c r="Q3916">
        <v>2</v>
      </c>
      <c r="R3916" t="s">
        <v>43171</v>
      </c>
      <c r="S3916" t="s">
        <v>43311</v>
      </c>
      <c r="T3916" t="s">
        <v>44732</v>
      </c>
      <c r="U3916" t="s">
        <v>48412</v>
      </c>
      <c r="W3916" t="s">
        <v>40817</v>
      </c>
      <c r="X3916" t="s">
        <v>43172</v>
      </c>
    </row>
    <row r="3917" spans="1:24">
      <c r="A3917">
        <f>HYPERLINK("https://www.philgeps.gov.ph/GEPSNONPILOT/Tender/SplashBidNoticeAbstractUI.aspx?menuIndex=3&amp;refID=7083163&amp;Result=3","7083163")</f>
        <v>0</v>
      </c>
      <c r="B3917" t="s">
        <v>1440</v>
      </c>
      <c r="C3917" t="s">
        <v>7148</v>
      </c>
      <c r="D3917" t="s">
        <v>17458</v>
      </c>
      <c r="E3917" t="s">
        <v>17540</v>
      </c>
      <c r="F3917" t="s">
        <v>30052</v>
      </c>
      <c r="G3917" t="s">
        <v>30058</v>
      </c>
      <c r="H3917" t="s">
        <v>30067</v>
      </c>
      <c r="I3917" t="s">
        <v>3693</v>
      </c>
      <c r="J3917" t="s">
        <v>32752</v>
      </c>
      <c r="K3917" t="s">
        <v>39046</v>
      </c>
      <c r="M3917" t="s">
        <v>40818</v>
      </c>
      <c r="N3917" t="s">
        <v>43166</v>
      </c>
      <c r="O3917" t="s">
        <v>43167</v>
      </c>
      <c r="P3917">
        <v>0</v>
      </c>
      <c r="Q3917">
        <v>1</v>
      </c>
      <c r="R3917" t="s">
        <v>43171</v>
      </c>
      <c r="S3917" t="s">
        <v>43311</v>
      </c>
      <c r="T3917" t="s">
        <v>44830</v>
      </c>
      <c r="U3917" t="s">
        <v>48413</v>
      </c>
      <c r="W3917" t="s">
        <v>40818</v>
      </c>
      <c r="X3917" t="s">
        <v>43172</v>
      </c>
    </row>
    <row r="3918" spans="1:24">
      <c r="A3918">
        <f>HYPERLINK("https://www.philgeps.gov.ph/GEPSNONPILOT/Tender/SplashBidNoticeAbstractUI.aspx?menuIndex=3&amp;refID=7083172&amp;Result=3","7083172")</f>
        <v>0</v>
      </c>
      <c r="B3918" t="s">
        <v>1441</v>
      </c>
      <c r="C3918" t="s">
        <v>7149</v>
      </c>
      <c r="D3918" t="s">
        <v>17434</v>
      </c>
      <c r="E3918" t="s">
        <v>17779</v>
      </c>
      <c r="F3918" t="s">
        <v>30052</v>
      </c>
      <c r="G3918" t="s">
        <v>30058</v>
      </c>
      <c r="H3918" t="s">
        <v>30067</v>
      </c>
      <c r="I3918" t="s">
        <v>3693</v>
      </c>
      <c r="J3918" t="s">
        <v>32753</v>
      </c>
      <c r="K3918" t="s">
        <v>39056</v>
      </c>
      <c r="M3918" t="s">
        <v>40819</v>
      </c>
      <c r="N3918" t="s">
        <v>43166</v>
      </c>
      <c r="O3918" t="s">
        <v>43167</v>
      </c>
      <c r="P3918">
        <v>0</v>
      </c>
      <c r="Q3918">
        <v>0</v>
      </c>
      <c r="R3918" t="s">
        <v>43171</v>
      </c>
      <c r="S3918" t="s">
        <v>43311</v>
      </c>
      <c r="T3918" t="s">
        <v>44978</v>
      </c>
      <c r="U3918" t="s">
        <v>48414</v>
      </c>
      <c r="W3918" t="s">
        <v>40819</v>
      </c>
      <c r="X3918" t="s">
        <v>43172</v>
      </c>
    </row>
    <row r="3919" spans="1:24">
      <c r="A3919">
        <f>HYPERLINK("https://www.philgeps.gov.ph/GEPSNONPILOT/Tender/SplashBidNoticeAbstractUI.aspx?menuIndex=3&amp;refID=7083161&amp;Result=3","7083161")</f>
        <v>0</v>
      </c>
      <c r="B3919" t="s">
        <v>1190</v>
      </c>
      <c r="C3919" t="s">
        <v>7150</v>
      </c>
      <c r="D3919" t="s">
        <v>17415</v>
      </c>
      <c r="E3919" t="s">
        <v>20902</v>
      </c>
      <c r="F3919" t="s">
        <v>30052</v>
      </c>
      <c r="G3919" t="s">
        <v>30059</v>
      </c>
      <c r="H3919" t="s">
        <v>15498</v>
      </c>
      <c r="I3919" t="s">
        <v>30084</v>
      </c>
      <c r="J3919" t="s">
        <v>32754</v>
      </c>
      <c r="K3919" t="s">
        <v>39025</v>
      </c>
      <c r="M3919" t="s">
        <v>40737</v>
      </c>
      <c r="N3919" t="s">
        <v>43166</v>
      </c>
      <c r="O3919" t="s">
        <v>43167</v>
      </c>
      <c r="P3919">
        <v>0</v>
      </c>
      <c r="Q3919">
        <v>1</v>
      </c>
      <c r="R3919" t="s">
        <v>43171</v>
      </c>
      <c r="S3919" t="s">
        <v>43311</v>
      </c>
      <c r="T3919" t="s">
        <v>44691</v>
      </c>
      <c r="U3919" t="s">
        <v>48415</v>
      </c>
      <c r="W3919" t="s">
        <v>40737</v>
      </c>
      <c r="X3919" t="s">
        <v>43172</v>
      </c>
    </row>
    <row r="3920" spans="1:24">
      <c r="A3920">
        <f>HYPERLINK("https://www.philgeps.gov.ph/GEPSNONPILOT/Tender/SplashBidNoticeAbstractUI.aspx?menuIndex=3&amp;refID=7083160&amp;Result=3","7083160")</f>
        <v>0</v>
      </c>
      <c r="B3920" t="s">
        <v>1442</v>
      </c>
      <c r="C3920" t="s">
        <v>7151</v>
      </c>
      <c r="D3920" t="s">
        <v>17421</v>
      </c>
      <c r="E3920" t="s">
        <v>20903</v>
      </c>
      <c r="F3920" t="s">
        <v>30052</v>
      </c>
      <c r="G3920" t="s">
        <v>30058</v>
      </c>
      <c r="H3920" t="s">
        <v>30067</v>
      </c>
      <c r="I3920" t="s">
        <v>3693</v>
      </c>
      <c r="J3920" t="s">
        <v>32755</v>
      </c>
      <c r="K3920" t="s">
        <v>39118</v>
      </c>
      <c r="M3920" t="s">
        <v>40820</v>
      </c>
      <c r="N3920" t="s">
        <v>43166</v>
      </c>
      <c r="O3920" t="s">
        <v>43167</v>
      </c>
      <c r="P3920">
        <v>0</v>
      </c>
      <c r="Q3920">
        <v>2</v>
      </c>
      <c r="R3920" t="s">
        <v>43171</v>
      </c>
      <c r="S3920" t="s">
        <v>43311</v>
      </c>
      <c r="T3920" t="s">
        <v>44807</v>
      </c>
      <c r="U3920" t="s">
        <v>48416</v>
      </c>
      <c r="W3920" t="s">
        <v>40820</v>
      </c>
      <c r="X3920" t="s">
        <v>43172</v>
      </c>
    </row>
    <row r="3921" spans="1:24">
      <c r="A3921">
        <f>HYPERLINK("https://www.philgeps.gov.ph/GEPSNONPILOT/Tender/SplashBidNoticeAbstractUI.aspx?menuIndex=3&amp;refID=7083155&amp;Result=3","7083155")</f>
        <v>0</v>
      </c>
      <c r="B3921" t="s">
        <v>1443</v>
      </c>
      <c r="C3921" t="s">
        <v>7152</v>
      </c>
      <c r="D3921" t="s">
        <v>17436</v>
      </c>
      <c r="E3921" t="s">
        <v>20904</v>
      </c>
      <c r="F3921" t="s">
        <v>30052</v>
      </c>
      <c r="G3921" t="s">
        <v>30058</v>
      </c>
      <c r="H3921" t="s">
        <v>15498</v>
      </c>
      <c r="I3921" t="s">
        <v>30096</v>
      </c>
      <c r="J3921" t="s">
        <v>30248</v>
      </c>
      <c r="K3921" t="s">
        <v>39025</v>
      </c>
      <c r="M3921" t="s">
        <v>40821</v>
      </c>
      <c r="N3921" t="s">
        <v>43166</v>
      </c>
      <c r="O3921" t="s">
        <v>43167</v>
      </c>
      <c r="P3921">
        <v>0</v>
      </c>
      <c r="Q3921">
        <v>2</v>
      </c>
      <c r="R3921" t="s">
        <v>43171</v>
      </c>
      <c r="S3921" t="s">
        <v>43311</v>
      </c>
      <c r="T3921" t="s">
        <v>44733</v>
      </c>
      <c r="U3921" t="s">
        <v>48417</v>
      </c>
      <c r="W3921" t="s">
        <v>40821</v>
      </c>
      <c r="X3921" t="s">
        <v>43172</v>
      </c>
    </row>
    <row r="3922" spans="1:24">
      <c r="A3922">
        <f>HYPERLINK("https://www.philgeps.gov.ph/GEPSNONPILOT/Tender/SplashBidNoticeAbstractUI.aspx?menuIndex=3&amp;refID=7083153&amp;Result=3","7083153")</f>
        <v>0</v>
      </c>
      <c r="B3922" t="s">
        <v>701</v>
      </c>
      <c r="C3922" t="s">
        <v>7153</v>
      </c>
      <c r="D3922" t="s">
        <v>17419</v>
      </c>
      <c r="E3922" t="s">
        <v>20905</v>
      </c>
      <c r="F3922" t="s">
        <v>30052</v>
      </c>
      <c r="G3922" t="s">
        <v>30059</v>
      </c>
      <c r="H3922" t="s">
        <v>15498</v>
      </c>
      <c r="I3922" t="s">
        <v>3736</v>
      </c>
      <c r="J3922" t="s">
        <v>32756</v>
      </c>
      <c r="K3922" t="s">
        <v>39025</v>
      </c>
      <c r="M3922" t="s">
        <v>40010</v>
      </c>
      <c r="N3922" t="s">
        <v>43166</v>
      </c>
      <c r="O3922" t="s">
        <v>43167</v>
      </c>
      <c r="P3922">
        <v>0</v>
      </c>
      <c r="Q3922">
        <v>0</v>
      </c>
      <c r="R3922" t="s">
        <v>43171</v>
      </c>
      <c r="S3922" t="s">
        <v>43311</v>
      </c>
      <c r="T3922" t="s">
        <v>44717</v>
      </c>
      <c r="U3922" t="s">
        <v>48418</v>
      </c>
      <c r="W3922" t="s">
        <v>40010</v>
      </c>
      <c r="X3922" t="s">
        <v>43172</v>
      </c>
    </row>
    <row r="3923" spans="1:24">
      <c r="A3923">
        <f>HYPERLINK("https://www.philgeps.gov.ph/GEPSNONPILOT/Tender/SplashBidNoticeAbstractUI.aspx?menuIndex=3&amp;refID=7083148&amp;Result=3","7083148")</f>
        <v>0</v>
      </c>
      <c r="B3923" t="s">
        <v>1444</v>
      </c>
      <c r="C3923" t="s">
        <v>7154</v>
      </c>
      <c r="E3923" t="s">
        <v>20906</v>
      </c>
      <c r="F3923" t="s">
        <v>30052</v>
      </c>
      <c r="G3923" t="s">
        <v>30059</v>
      </c>
      <c r="H3923" t="s">
        <v>30068</v>
      </c>
      <c r="I3923" t="s">
        <v>30068</v>
      </c>
      <c r="J3923" t="s">
        <v>30218</v>
      </c>
      <c r="K3923" t="s">
        <v>39059</v>
      </c>
      <c r="M3923" t="s">
        <v>40822</v>
      </c>
      <c r="N3923" t="s">
        <v>43166</v>
      </c>
      <c r="O3923" t="s">
        <v>43167</v>
      </c>
      <c r="P3923">
        <v>0</v>
      </c>
      <c r="Q3923">
        <v>5</v>
      </c>
      <c r="R3923" t="s">
        <v>43171</v>
      </c>
      <c r="S3923" t="s">
        <v>43311</v>
      </c>
      <c r="T3923" t="s">
        <v>44715</v>
      </c>
      <c r="U3923" t="s">
        <v>48419</v>
      </c>
      <c r="W3923" t="s">
        <v>40822</v>
      </c>
      <c r="X3923" t="s">
        <v>43172</v>
      </c>
    </row>
    <row r="3924" spans="1:24">
      <c r="A3924">
        <f>HYPERLINK("https://www.philgeps.gov.ph/GEPSNONPILOT/Tender/SplashBidNoticeAbstractUI.aspx?menuIndex=3&amp;refID=7083162&amp;Result=3","7083162")</f>
        <v>0</v>
      </c>
      <c r="B3924" t="s">
        <v>1445</v>
      </c>
      <c r="C3924" t="s">
        <v>7155</v>
      </c>
      <c r="D3924" t="s">
        <v>17435</v>
      </c>
      <c r="E3924" t="s">
        <v>17892</v>
      </c>
      <c r="F3924" t="s">
        <v>30052</v>
      </c>
      <c r="G3924" t="s">
        <v>30058</v>
      </c>
      <c r="H3924" t="s">
        <v>15498</v>
      </c>
      <c r="I3924" t="s">
        <v>3736</v>
      </c>
      <c r="J3924" t="s">
        <v>32757</v>
      </c>
      <c r="K3924" t="s">
        <v>39019</v>
      </c>
      <c r="M3924" t="s">
        <v>40823</v>
      </c>
      <c r="N3924" t="s">
        <v>43166</v>
      </c>
      <c r="O3924" t="s">
        <v>43167</v>
      </c>
      <c r="P3924">
        <v>0</v>
      </c>
      <c r="Q3924">
        <v>0</v>
      </c>
      <c r="R3924" t="s">
        <v>43171</v>
      </c>
      <c r="S3924" t="s">
        <v>43311</v>
      </c>
      <c r="T3924" t="s">
        <v>44828</v>
      </c>
      <c r="U3924" t="s">
        <v>48420</v>
      </c>
      <c r="W3924" t="s">
        <v>40823</v>
      </c>
      <c r="X3924" t="s">
        <v>43172</v>
      </c>
    </row>
    <row r="3925" spans="1:24">
      <c r="A3925">
        <f>HYPERLINK("https://www.philgeps.gov.ph/GEPSNONPILOT/Tender/SplashBidNoticeAbstractUI.aspx?menuIndex=3&amp;refID=7083132&amp;Result=3","7083132")</f>
        <v>0</v>
      </c>
      <c r="B3925" t="s">
        <v>1441</v>
      </c>
      <c r="C3925" t="s">
        <v>7156</v>
      </c>
      <c r="D3925" t="s">
        <v>17434</v>
      </c>
      <c r="E3925" t="s">
        <v>17892</v>
      </c>
      <c r="F3925" t="s">
        <v>30052</v>
      </c>
      <c r="G3925" t="s">
        <v>30058</v>
      </c>
      <c r="H3925" t="s">
        <v>30067</v>
      </c>
      <c r="I3925" t="s">
        <v>3693</v>
      </c>
      <c r="J3925" t="s">
        <v>32758</v>
      </c>
      <c r="K3925" t="s">
        <v>39056</v>
      </c>
      <c r="M3925" t="s">
        <v>40819</v>
      </c>
      <c r="N3925" t="s">
        <v>43166</v>
      </c>
      <c r="O3925" t="s">
        <v>43167</v>
      </c>
      <c r="P3925">
        <v>0</v>
      </c>
      <c r="Q3925">
        <v>0</v>
      </c>
      <c r="R3925" t="s">
        <v>43171</v>
      </c>
      <c r="S3925" t="s">
        <v>43311</v>
      </c>
      <c r="T3925" t="s">
        <v>44978</v>
      </c>
      <c r="U3925" t="s">
        <v>48421</v>
      </c>
      <c r="W3925" t="s">
        <v>40819</v>
      </c>
      <c r="X3925" t="s">
        <v>43172</v>
      </c>
    </row>
    <row r="3926" spans="1:24">
      <c r="A3926">
        <f>HYPERLINK("https://www.philgeps.gov.ph/GEPSNONPILOT/Tender/SplashBidNoticeAbstractUI.aspx?menuIndex=3&amp;refID=7083145&amp;Result=3","7083145")</f>
        <v>0</v>
      </c>
      <c r="B3926" t="s">
        <v>1269</v>
      </c>
      <c r="C3926" t="s">
        <v>7157</v>
      </c>
      <c r="D3926" t="s">
        <v>17415</v>
      </c>
      <c r="E3926" t="s">
        <v>20907</v>
      </c>
      <c r="F3926" t="s">
        <v>30052</v>
      </c>
      <c r="G3926" t="s">
        <v>30061</v>
      </c>
      <c r="H3926" t="s">
        <v>15498</v>
      </c>
      <c r="I3926" t="s">
        <v>30082</v>
      </c>
      <c r="J3926" t="s">
        <v>32759</v>
      </c>
      <c r="K3926" t="s">
        <v>39034</v>
      </c>
      <c r="M3926" t="s">
        <v>40628</v>
      </c>
      <c r="N3926" t="s">
        <v>43166</v>
      </c>
      <c r="O3926" t="s">
        <v>43167</v>
      </c>
      <c r="P3926">
        <v>0</v>
      </c>
      <c r="Q3926">
        <v>1</v>
      </c>
      <c r="R3926" t="s">
        <v>43171</v>
      </c>
      <c r="S3926" t="s">
        <v>43311</v>
      </c>
      <c r="T3926" t="s">
        <v>44962</v>
      </c>
      <c r="U3926" t="s">
        <v>48422</v>
      </c>
      <c r="V3926" t="s">
        <v>57222</v>
      </c>
      <c r="W3926" t="s">
        <v>40628</v>
      </c>
      <c r="X3926" t="s">
        <v>43172</v>
      </c>
    </row>
    <row r="3927" spans="1:24">
      <c r="A3927">
        <f>HYPERLINK("https://www.philgeps.gov.ph/GEPSNONPILOT/Tender/SplashBidNoticeAbstractUI.aspx?menuIndex=3&amp;refID=7083144&amp;Result=3","7083144")</f>
        <v>0</v>
      </c>
      <c r="B3927" t="s">
        <v>1446</v>
      </c>
      <c r="C3927" t="s">
        <v>7158</v>
      </c>
      <c r="D3927" t="s">
        <v>17447</v>
      </c>
      <c r="E3927" t="s">
        <v>20908</v>
      </c>
      <c r="F3927" t="s">
        <v>30052</v>
      </c>
      <c r="G3927" t="s">
        <v>30058</v>
      </c>
      <c r="H3927" t="s">
        <v>30067</v>
      </c>
      <c r="I3927" t="s">
        <v>3693</v>
      </c>
      <c r="J3927" t="s">
        <v>32760</v>
      </c>
      <c r="K3927" t="s">
        <v>39057</v>
      </c>
      <c r="M3927" t="s">
        <v>40824</v>
      </c>
      <c r="N3927" t="s">
        <v>43166</v>
      </c>
      <c r="O3927" t="s">
        <v>43167</v>
      </c>
      <c r="P3927">
        <v>0</v>
      </c>
      <c r="Q3927">
        <v>2</v>
      </c>
      <c r="R3927" t="s">
        <v>43171</v>
      </c>
      <c r="S3927" t="s">
        <v>43311</v>
      </c>
      <c r="T3927" t="s">
        <v>44722</v>
      </c>
      <c r="U3927" t="s">
        <v>48423</v>
      </c>
      <c r="V3927" t="s">
        <v>57283</v>
      </c>
      <c r="W3927" t="s">
        <v>40824</v>
      </c>
      <c r="X3927" t="s">
        <v>43172</v>
      </c>
    </row>
    <row r="3928" spans="1:24">
      <c r="A3928">
        <f>HYPERLINK("https://www.philgeps.gov.ph/GEPSNONPILOT/Tender/SplashBidNoticeAbstractUI.aspx?menuIndex=3&amp;refID=7083119&amp;Result=3","7083119")</f>
        <v>0</v>
      </c>
      <c r="B3928" t="s">
        <v>1428</v>
      </c>
      <c r="C3928" t="s">
        <v>7159</v>
      </c>
      <c r="D3928" t="s">
        <v>17463</v>
      </c>
      <c r="E3928" t="s">
        <v>20909</v>
      </c>
      <c r="F3928" t="s">
        <v>30052</v>
      </c>
      <c r="G3928" t="s">
        <v>30058</v>
      </c>
      <c r="H3928" t="s">
        <v>15498</v>
      </c>
      <c r="I3928" t="s">
        <v>30100</v>
      </c>
      <c r="J3928" t="s">
        <v>32318</v>
      </c>
      <c r="K3928" t="s">
        <v>39034</v>
      </c>
      <c r="M3928" t="s">
        <v>40806</v>
      </c>
      <c r="N3928" t="s">
        <v>43166</v>
      </c>
      <c r="O3928" t="s">
        <v>43167</v>
      </c>
      <c r="P3928">
        <v>0</v>
      </c>
      <c r="Q3928">
        <v>0</v>
      </c>
      <c r="R3928" t="s">
        <v>43171</v>
      </c>
      <c r="S3928" t="s">
        <v>43311</v>
      </c>
      <c r="T3928" t="s">
        <v>44700</v>
      </c>
      <c r="U3928" t="s">
        <v>48424</v>
      </c>
      <c r="W3928" t="s">
        <v>40806</v>
      </c>
      <c r="X3928" t="s">
        <v>43172</v>
      </c>
    </row>
    <row r="3929" spans="1:24">
      <c r="A3929">
        <f>HYPERLINK("https://www.philgeps.gov.ph/GEPSNONPILOT/Tender/SplashBidNoticeAbstractUI.aspx?menuIndex=3&amp;refID=7083146&amp;Result=3","7083146")</f>
        <v>0</v>
      </c>
      <c r="B3929" t="s">
        <v>897</v>
      </c>
      <c r="C3929" t="s">
        <v>7160</v>
      </c>
      <c r="D3929" t="s">
        <v>17470</v>
      </c>
      <c r="E3929" t="s">
        <v>20910</v>
      </c>
      <c r="F3929" t="s">
        <v>30052</v>
      </c>
      <c r="G3929" t="s">
        <v>30058</v>
      </c>
      <c r="H3929" t="s">
        <v>30067</v>
      </c>
      <c r="I3929" t="s">
        <v>3693</v>
      </c>
      <c r="J3929" t="s">
        <v>30227</v>
      </c>
      <c r="K3929" t="s">
        <v>39046</v>
      </c>
      <c r="M3929" t="s">
        <v>40216</v>
      </c>
      <c r="N3929" t="s">
        <v>43166</v>
      </c>
      <c r="O3929" t="s">
        <v>43167</v>
      </c>
      <c r="P3929">
        <v>0</v>
      </c>
      <c r="Q3929">
        <v>0</v>
      </c>
      <c r="R3929" t="s">
        <v>43171</v>
      </c>
      <c r="S3929" t="s">
        <v>43311</v>
      </c>
      <c r="T3929" t="s">
        <v>44979</v>
      </c>
      <c r="U3929" t="s">
        <v>48425</v>
      </c>
      <c r="W3929" t="s">
        <v>40216</v>
      </c>
      <c r="X3929" t="s">
        <v>43172</v>
      </c>
    </row>
    <row r="3930" spans="1:24">
      <c r="A3930">
        <f>HYPERLINK("https://www.philgeps.gov.ph/GEPSNONPILOT/Tender/SplashBidNoticeAbstractUI.aspx?menuIndex=3&amp;refID=7083158&amp;Result=3","7083158")</f>
        <v>0</v>
      </c>
      <c r="B3930" t="s">
        <v>1447</v>
      </c>
      <c r="C3930" t="s">
        <v>7161</v>
      </c>
      <c r="D3930" t="s">
        <v>17492</v>
      </c>
      <c r="E3930" t="s">
        <v>20911</v>
      </c>
      <c r="F3930" t="s">
        <v>30052</v>
      </c>
      <c r="G3930" t="s">
        <v>30058</v>
      </c>
      <c r="H3930" t="s">
        <v>30067</v>
      </c>
      <c r="I3930" t="s">
        <v>3693</v>
      </c>
      <c r="J3930" t="s">
        <v>32761</v>
      </c>
      <c r="K3930" t="s">
        <v>39019</v>
      </c>
      <c r="M3930" t="s">
        <v>40825</v>
      </c>
      <c r="N3930" t="s">
        <v>43166</v>
      </c>
      <c r="O3930" t="s">
        <v>43167</v>
      </c>
      <c r="P3930">
        <v>0</v>
      </c>
      <c r="Q3930">
        <v>0</v>
      </c>
      <c r="R3930" t="s">
        <v>43171</v>
      </c>
      <c r="S3930" t="s">
        <v>43311</v>
      </c>
      <c r="T3930" t="s">
        <v>44726</v>
      </c>
      <c r="U3930" t="s">
        <v>48426</v>
      </c>
      <c r="W3930" t="s">
        <v>40825</v>
      </c>
      <c r="X3930" t="s">
        <v>43172</v>
      </c>
    </row>
    <row r="3931" spans="1:24">
      <c r="A3931">
        <f>HYPERLINK("https://www.philgeps.gov.ph/GEPSNONPILOT/Tender/SplashBidNoticeAbstractUI.aspx?menuIndex=3&amp;refID=7083220&amp;Result=3","7083220")</f>
        <v>0</v>
      </c>
      <c r="B3931" t="s">
        <v>1428</v>
      </c>
      <c r="C3931" t="s">
        <v>7162</v>
      </c>
      <c r="D3931" t="s">
        <v>17463</v>
      </c>
      <c r="E3931" t="s">
        <v>20912</v>
      </c>
      <c r="F3931" t="s">
        <v>30052</v>
      </c>
      <c r="G3931" t="s">
        <v>30058</v>
      </c>
      <c r="H3931" t="s">
        <v>15498</v>
      </c>
      <c r="I3931" t="s">
        <v>30126</v>
      </c>
      <c r="J3931" t="s">
        <v>32762</v>
      </c>
      <c r="K3931" t="s">
        <v>39034</v>
      </c>
      <c r="M3931" t="s">
        <v>40806</v>
      </c>
      <c r="N3931" t="s">
        <v>43166</v>
      </c>
      <c r="O3931" t="s">
        <v>43167</v>
      </c>
      <c r="P3931">
        <v>0</v>
      </c>
      <c r="Q3931">
        <v>1</v>
      </c>
      <c r="R3931" t="s">
        <v>43171</v>
      </c>
      <c r="S3931" t="s">
        <v>43311</v>
      </c>
      <c r="T3931" t="s">
        <v>44700</v>
      </c>
      <c r="U3931" t="s">
        <v>48427</v>
      </c>
      <c r="W3931" t="s">
        <v>40806</v>
      </c>
      <c r="X3931" t="s">
        <v>43172</v>
      </c>
    </row>
    <row r="3932" spans="1:24">
      <c r="A3932">
        <f>HYPERLINK("https://www.philgeps.gov.ph/GEPSNONPILOT/Tender/SplashBidNoticeAbstractUI.aspx?menuIndex=3&amp;refID=7083216&amp;Result=3","7083216")</f>
        <v>0</v>
      </c>
      <c r="B3932" t="s">
        <v>1313</v>
      </c>
      <c r="C3932" t="s">
        <v>7163</v>
      </c>
      <c r="D3932" t="s">
        <v>17415</v>
      </c>
      <c r="E3932" t="s">
        <v>20913</v>
      </c>
      <c r="F3932" t="s">
        <v>30052</v>
      </c>
      <c r="G3932" t="s">
        <v>30059</v>
      </c>
      <c r="H3932" t="s">
        <v>15498</v>
      </c>
      <c r="I3932" t="s">
        <v>30075</v>
      </c>
      <c r="J3932" t="s">
        <v>32763</v>
      </c>
      <c r="K3932" t="s">
        <v>39017</v>
      </c>
      <c r="M3932" t="s">
        <v>40680</v>
      </c>
      <c r="N3932" t="s">
        <v>43166</v>
      </c>
      <c r="O3932" t="s">
        <v>43167</v>
      </c>
      <c r="P3932">
        <v>0</v>
      </c>
      <c r="Q3932">
        <v>0</v>
      </c>
      <c r="R3932" t="s">
        <v>43171</v>
      </c>
      <c r="S3932" t="s">
        <v>43311</v>
      </c>
      <c r="T3932" t="s">
        <v>44717</v>
      </c>
      <c r="U3932" t="s">
        <v>48134</v>
      </c>
      <c r="W3932" t="s">
        <v>40680</v>
      </c>
      <c r="X3932" t="s">
        <v>43172</v>
      </c>
    </row>
    <row r="3933" spans="1:24">
      <c r="A3933">
        <f>HYPERLINK("https://www.philgeps.gov.ph/GEPSNONPILOT/Tender/SplashBidNoticeAbstractUI.aspx?menuIndex=3&amp;refID=7083147&amp;Result=3","7083147")</f>
        <v>0</v>
      </c>
      <c r="B3933" t="s">
        <v>1428</v>
      </c>
      <c r="C3933" t="s">
        <v>7164</v>
      </c>
      <c r="D3933" t="s">
        <v>17463</v>
      </c>
      <c r="E3933" t="s">
        <v>19184</v>
      </c>
      <c r="F3933" t="s">
        <v>30052</v>
      </c>
      <c r="G3933" t="s">
        <v>30058</v>
      </c>
      <c r="H3933" t="s">
        <v>15498</v>
      </c>
      <c r="I3933" t="s">
        <v>30092</v>
      </c>
      <c r="J3933" t="s">
        <v>30277</v>
      </c>
      <c r="K3933" t="s">
        <v>39034</v>
      </c>
      <c r="M3933" t="s">
        <v>40806</v>
      </c>
      <c r="N3933" t="s">
        <v>43166</v>
      </c>
      <c r="O3933" t="s">
        <v>43167</v>
      </c>
      <c r="P3933">
        <v>0</v>
      </c>
      <c r="Q3933">
        <v>0</v>
      </c>
      <c r="R3933" t="s">
        <v>43171</v>
      </c>
      <c r="S3933" t="s">
        <v>43311</v>
      </c>
      <c r="T3933" t="s">
        <v>44700</v>
      </c>
      <c r="U3933" t="s">
        <v>48428</v>
      </c>
      <c r="W3933" t="s">
        <v>40806</v>
      </c>
      <c r="X3933" t="s">
        <v>43172</v>
      </c>
    </row>
    <row r="3934" spans="1:24">
      <c r="A3934">
        <f>HYPERLINK("https://www.philgeps.gov.ph/GEPSNONPILOT/Tender/SplashBidNoticeAbstractUI.aspx?menuIndex=3&amp;refID=7083221&amp;Result=3","7083221")</f>
        <v>0</v>
      </c>
      <c r="B3934" t="s">
        <v>1442</v>
      </c>
      <c r="C3934" t="s">
        <v>7165</v>
      </c>
      <c r="D3934" t="s">
        <v>17421</v>
      </c>
      <c r="E3934" t="s">
        <v>20914</v>
      </c>
      <c r="F3934" t="s">
        <v>30052</v>
      </c>
      <c r="G3934" t="s">
        <v>30058</v>
      </c>
      <c r="H3934" t="s">
        <v>30067</v>
      </c>
      <c r="I3934" t="s">
        <v>3693</v>
      </c>
      <c r="J3934" t="s">
        <v>32764</v>
      </c>
      <c r="K3934" t="s">
        <v>39087</v>
      </c>
      <c r="M3934" t="s">
        <v>40820</v>
      </c>
      <c r="N3934" t="s">
        <v>43166</v>
      </c>
      <c r="O3934" t="s">
        <v>43167</v>
      </c>
      <c r="P3934">
        <v>0</v>
      </c>
      <c r="Q3934">
        <v>1</v>
      </c>
      <c r="R3934" t="s">
        <v>43171</v>
      </c>
      <c r="S3934" t="s">
        <v>43311</v>
      </c>
      <c r="T3934" t="s">
        <v>44807</v>
      </c>
      <c r="U3934" t="s">
        <v>48416</v>
      </c>
      <c r="W3934" t="s">
        <v>40820</v>
      </c>
      <c r="X3934" t="s">
        <v>43172</v>
      </c>
    </row>
    <row r="3935" spans="1:24">
      <c r="A3935">
        <f>HYPERLINK("https://www.philgeps.gov.ph/GEPSNONPILOT/Tender/SplashBidNoticeAbstractUI.aspx?menuIndex=3&amp;refID=7083211&amp;Result=3","7083211")</f>
        <v>0</v>
      </c>
      <c r="B3935" t="s">
        <v>797</v>
      </c>
      <c r="C3935" t="s">
        <v>7166</v>
      </c>
      <c r="E3935" t="s">
        <v>20915</v>
      </c>
      <c r="F3935" t="s">
        <v>30052</v>
      </c>
      <c r="G3935" t="s">
        <v>30059</v>
      </c>
      <c r="H3935" t="s">
        <v>15498</v>
      </c>
      <c r="I3935" t="s">
        <v>30092</v>
      </c>
      <c r="J3935" t="s">
        <v>32765</v>
      </c>
      <c r="K3935" t="s">
        <v>39025</v>
      </c>
      <c r="M3935" t="s">
        <v>40826</v>
      </c>
      <c r="N3935" t="s">
        <v>43166</v>
      </c>
      <c r="O3935" t="s">
        <v>43167</v>
      </c>
      <c r="P3935">
        <v>0</v>
      </c>
      <c r="Q3935">
        <v>2</v>
      </c>
      <c r="R3935" t="s">
        <v>43171</v>
      </c>
      <c r="S3935" t="s">
        <v>43311</v>
      </c>
      <c r="T3935" t="s">
        <v>44777</v>
      </c>
      <c r="U3935" t="s">
        <v>48429</v>
      </c>
      <c r="W3935" t="s">
        <v>40826</v>
      </c>
      <c r="X3935" t="s">
        <v>43172</v>
      </c>
    </row>
    <row r="3936" spans="1:24">
      <c r="A3936">
        <f>HYPERLINK("https://www.philgeps.gov.ph/GEPSNONPILOT/Tender/SplashBidNoticeAbstractUI.aspx?menuIndex=3&amp;refID=7083210&amp;Result=3","7083210")</f>
        <v>0</v>
      </c>
      <c r="B3936" t="s">
        <v>1448</v>
      </c>
      <c r="C3936" t="s">
        <v>7167</v>
      </c>
      <c r="D3936" t="s">
        <v>17434</v>
      </c>
      <c r="E3936" t="s">
        <v>20916</v>
      </c>
      <c r="F3936" t="s">
        <v>30052</v>
      </c>
      <c r="G3936" t="s">
        <v>30059</v>
      </c>
      <c r="H3936" t="s">
        <v>30069</v>
      </c>
      <c r="I3936" t="s">
        <v>30081</v>
      </c>
      <c r="J3936" t="s">
        <v>32069</v>
      </c>
      <c r="K3936" t="s">
        <v>39029</v>
      </c>
      <c r="M3936" t="s">
        <v>40827</v>
      </c>
      <c r="N3936" t="s">
        <v>43166</v>
      </c>
      <c r="O3936" t="s">
        <v>43167</v>
      </c>
      <c r="P3936">
        <v>0</v>
      </c>
      <c r="Q3936">
        <v>3</v>
      </c>
      <c r="R3936" t="s">
        <v>43171</v>
      </c>
      <c r="S3936" t="s">
        <v>43311</v>
      </c>
      <c r="T3936" t="s">
        <v>44696</v>
      </c>
      <c r="U3936" t="s">
        <v>48430</v>
      </c>
      <c r="W3936" t="s">
        <v>40827</v>
      </c>
      <c r="X3936" t="s">
        <v>43172</v>
      </c>
    </row>
    <row r="3937" spans="1:24">
      <c r="A3937">
        <f>HYPERLINK("https://www.philgeps.gov.ph/GEPSNONPILOT/Tender/SplashBidNoticeAbstractUI.aspx?menuIndex=3&amp;refID=7083208&amp;Result=3","7083208")</f>
        <v>0</v>
      </c>
      <c r="B3937" t="s">
        <v>918</v>
      </c>
      <c r="C3937" t="s">
        <v>7168</v>
      </c>
      <c r="D3937" t="s">
        <v>17424</v>
      </c>
      <c r="E3937" t="s">
        <v>20917</v>
      </c>
      <c r="F3937" t="s">
        <v>30052</v>
      </c>
      <c r="G3937" t="s">
        <v>30063</v>
      </c>
      <c r="H3937" t="s">
        <v>30067</v>
      </c>
      <c r="I3937" t="s">
        <v>3693</v>
      </c>
      <c r="J3937" t="s">
        <v>31804</v>
      </c>
      <c r="K3937" t="s">
        <v>39020</v>
      </c>
      <c r="M3937" t="s">
        <v>40241</v>
      </c>
      <c r="N3937" t="s">
        <v>43166</v>
      </c>
      <c r="O3937" t="s">
        <v>43167</v>
      </c>
      <c r="P3937">
        <v>0</v>
      </c>
      <c r="Q3937">
        <v>6</v>
      </c>
      <c r="R3937" t="s">
        <v>43171</v>
      </c>
      <c r="S3937" t="s">
        <v>43311</v>
      </c>
      <c r="T3937" t="s">
        <v>44842</v>
      </c>
      <c r="U3937" t="s">
        <v>48431</v>
      </c>
      <c r="V3937" t="s">
        <v>57086</v>
      </c>
      <c r="W3937" t="s">
        <v>40241</v>
      </c>
      <c r="X3937" t="s">
        <v>43172</v>
      </c>
    </row>
    <row r="3938" spans="1:24">
      <c r="A3938">
        <f>HYPERLINK("https://www.philgeps.gov.ph/GEPSNONPILOT/Tender/SplashBidNoticeAbstractUI.aspx?menuIndex=3&amp;refID=7083205&amp;Result=3","7083205")</f>
        <v>0</v>
      </c>
      <c r="B3938" t="s">
        <v>1449</v>
      </c>
      <c r="C3938" t="s">
        <v>7169</v>
      </c>
      <c r="D3938" t="s">
        <v>17473</v>
      </c>
      <c r="E3938" t="s">
        <v>20918</v>
      </c>
      <c r="F3938" t="s">
        <v>30052</v>
      </c>
      <c r="G3938" t="s">
        <v>30058</v>
      </c>
      <c r="H3938" t="s">
        <v>15498</v>
      </c>
      <c r="I3938" t="s">
        <v>4650</v>
      </c>
      <c r="J3938" t="s">
        <v>32766</v>
      </c>
      <c r="K3938" t="s">
        <v>39034</v>
      </c>
      <c r="M3938" t="s">
        <v>40828</v>
      </c>
      <c r="N3938" t="s">
        <v>43166</v>
      </c>
      <c r="O3938" t="s">
        <v>43167</v>
      </c>
      <c r="P3938">
        <v>0</v>
      </c>
      <c r="Q3938">
        <v>4</v>
      </c>
      <c r="R3938" t="s">
        <v>43171</v>
      </c>
      <c r="S3938" t="s">
        <v>43311</v>
      </c>
      <c r="T3938" t="s">
        <v>44754</v>
      </c>
      <c r="U3938" t="s">
        <v>48432</v>
      </c>
      <c r="V3938" t="s">
        <v>57284</v>
      </c>
      <c r="W3938" t="s">
        <v>40828</v>
      </c>
      <c r="X3938" t="s">
        <v>43172</v>
      </c>
    </row>
    <row r="3939" spans="1:24">
      <c r="A3939">
        <f>HYPERLINK("https://www.philgeps.gov.ph/GEPSNONPILOT/Tender/SplashBidNoticeAbstractUI.aspx?menuIndex=3&amp;refID=7083215&amp;Result=3","7083215")</f>
        <v>0</v>
      </c>
      <c r="B3939" t="s">
        <v>1450</v>
      </c>
      <c r="C3939" t="s">
        <v>7170</v>
      </c>
      <c r="D3939" t="s">
        <v>17460</v>
      </c>
      <c r="E3939" t="s">
        <v>20919</v>
      </c>
      <c r="F3939" t="s">
        <v>30052</v>
      </c>
      <c r="G3939" t="s">
        <v>30059</v>
      </c>
      <c r="H3939" t="s">
        <v>15498</v>
      </c>
      <c r="I3939" t="s">
        <v>3736</v>
      </c>
      <c r="J3939" t="s">
        <v>32002</v>
      </c>
      <c r="K3939" t="s">
        <v>39017</v>
      </c>
      <c r="M3939" t="s">
        <v>40829</v>
      </c>
      <c r="N3939" t="s">
        <v>43166</v>
      </c>
      <c r="O3939" t="s">
        <v>43167</v>
      </c>
      <c r="P3939">
        <v>0</v>
      </c>
      <c r="Q3939">
        <v>0</v>
      </c>
      <c r="R3939" t="s">
        <v>43171</v>
      </c>
      <c r="S3939" t="s">
        <v>43311</v>
      </c>
      <c r="T3939" t="s">
        <v>44717</v>
      </c>
      <c r="U3939" t="s">
        <v>48433</v>
      </c>
      <c r="W3939" t="s">
        <v>40829</v>
      </c>
      <c r="X3939" t="s">
        <v>43172</v>
      </c>
    </row>
    <row r="3940" spans="1:24">
      <c r="A3940">
        <f>HYPERLINK("https://www.philgeps.gov.ph/GEPSNONPILOT/Tender/SplashBidNoticeAbstractUI.aspx?menuIndex=3&amp;refID=7083203&amp;Result=3","7083203")</f>
        <v>0</v>
      </c>
      <c r="B3940" t="s">
        <v>1451</v>
      </c>
      <c r="C3940" t="s">
        <v>7171</v>
      </c>
      <c r="D3940" t="s">
        <v>17437</v>
      </c>
      <c r="E3940" t="s">
        <v>20920</v>
      </c>
      <c r="F3940" t="s">
        <v>30052</v>
      </c>
      <c r="G3940" t="s">
        <v>30058</v>
      </c>
      <c r="H3940" t="s">
        <v>15498</v>
      </c>
      <c r="I3940" t="s">
        <v>3736</v>
      </c>
      <c r="J3940" t="s">
        <v>32767</v>
      </c>
      <c r="K3940" t="s">
        <v>39019</v>
      </c>
      <c r="M3940" t="s">
        <v>40830</v>
      </c>
      <c r="N3940" t="s">
        <v>43166</v>
      </c>
      <c r="O3940" t="s">
        <v>43167</v>
      </c>
      <c r="P3940">
        <v>0</v>
      </c>
      <c r="Q3940">
        <v>0</v>
      </c>
      <c r="R3940" t="s">
        <v>43171</v>
      </c>
      <c r="S3940" t="s">
        <v>43311</v>
      </c>
      <c r="T3940" t="s">
        <v>44690</v>
      </c>
      <c r="U3940" t="s">
        <v>48434</v>
      </c>
      <c r="W3940" t="s">
        <v>40830</v>
      </c>
      <c r="X3940" t="s">
        <v>43172</v>
      </c>
    </row>
    <row r="3941" spans="1:24">
      <c r="A3941">
        <f>HYPERLINK("https://www.philgeps.gov.ph/GEPSNONPILOT/Tender/SplashBidNoticeAbstractUI.aspx?menuIndex=3&amp;refID=7083217&amp;Result=3","7083217")</f>
        <v>0</v>
      </c>
      <c r="B3941" t="s">
        <v>1452</v>
      </c>
      <c r="C3941" t="s">
        <v>7172</v>
      </c>
      <c r="D3941" t="s">
        <v>17486</v>
      </c>
      <c r="E3941" t="s">
        <v>20921</v>
      </c>
      <c r="F3941" t="s">
        <v>30052</v>
      </c>
      <c r="G3941" t="s">
        <v>30058</v>
      </c>
      <c r="H3941" t="s">
        <v>15498</v>
      </c>
      <c r="I3941" t="s">
        <v>4119</v>
      </c>
      <c r="J3941" t="s">
        <v>32768</v>
      </c>
      <c r="K3941" t="s">
        <v>39017</v>
      </c>
      <c r="M3941" t="s">
        <v>40831</v>
      </c>
      <c r="N3941" t="s">
        <v>43166</v>
      </c>
      <c r="O3941" t="s">
        <v>43167</v>
      </c>
      <c r="P3941">
        <v>0</v>
      </c>
      <c r="Q3941">
        <v>2</v>
      </c>
      <c r="R3941" t="s">
        <v>43171</v>
      </c>
      <c r="S3941" t="s">
        <v>43311</v>
      </c>
      <c r="T3941" t="s">
        <v>44705</v>
      </c>
      <c r="U3941" t="s">
        <v>48435</v>
      </c>
      <c r="W3941" t="s">
        <v>58639</v>
      </c>
      <c r="X3941" t="s">
        <v>43172</v>
      </c>
    </row>
    <row r="3942" spans="1:24">
      <c r="A3942">
        <f>HYPERLINK("https://www.philgeps.gov.ph/GEPSNONPILOT/Tender/SplashBidNoticeAbstractUI.aspx?menuIndex=3&amp;refID=7083213&amp;Result=3","7083213")</f>
        <v>0</v>
      </c>
      <c r="B3942" t="s">
        <v>1453</v>
      </c>
      <c r="C3942" t="s">
        <v>7173</v>
      </c>
      <c r="D3942" t="s">
        <v>17419</v>
      </c>
      <c r="E3942" t="s">
        <v>20922</v>
      </c>
      <c r="F3942" t="s">
        <v>30052</v>
      </c>
      <c r="G3942" t="s">
        <v>30061</v>
      </c>
      <c r="H3942" t="s">
        <v>15498</v>
      </c>
      <c r="I3942" t="s">
        <v>30115</v>
      </c>
      <c r="J3942" t="s">
        <v>32769</v>
      </c>
      <c r="K3942" t="s">
        <v>39036</v>
      </c>
      <c r="M3942" t="s">
        <v>40832</v>
      </c>
      <c r="N3942" t="s">
        <v>43166</v>
      </c>
      <c r="O3942" t="s">
        <v>43167</v>
      </c>
      <c r="P3942">
        <v>0</v>
      </c>
      <c r="Q3942">
        <v>2</v>
      </c>
      <c r="R3942" t="s">
        <v>43171</v>
      </c>
      <c r="S3942" t="s">
        <v>43311</v>
      </c>
      <c r="T3942" t="s">
        <v>44777</v>
      </c>
      <c r="U3942" t="s">
        <v>48436</v>
      </c>
      <c r="W3942" t="s">
        <v>40832</v>
      </c>
      <c r="X3942" t="s">
        <v>43172</v>
      </c>
    </row>
    <row r="3943" spans="1:24">
      <c r="A3943">
        <f>HYPERLINK("https://www.philgeps.gov.ph/GEPSNONPILOT/Tender/SplashBidNoticeAbstractUI.aspx?menuIndex=3&amp;refID=7083264&amp;Result=3","7083264")</f>
        <v>0</v>
      </c>
      <c r="B3943" t="s">
        <v>1454</v>
      </c>
      <c r="C3943" t="s">
        <v>7174</v>
      </c>
      <c r="D3943" t="s">
        <v>17460</v>
      </c>
      <c r="E3943" t="s">
        <v>20923</v>
      </c>
      <c r="F3943" t="s">
        <v>30052</v>
      </c>
      <c r="G3943" t="s">
        <v>30058</v>
      </c>
      <c r="H3943" t="s">
        <v>15498</v>
      </c>
      <c r="I3943" t="s">
        <v>3736</v>
      </c>
      <c r="J3943" t="s">
        <v>32770</v>
      </c>
      <c r="K3943" t="s">
        <v>39029</v>
      </c>
      <c r="M3943" t="s">
        <v>40833</v>
      </c>
      <c r="N3943" t="s">
        <v>43166</v>
      </c>
      <c r="O3943" t="s">
        <v>43167</v>
      </c>
      <c r="P3943">
        <v>0</v>
      </c>
      <c r="Q3943">
        <v>0</v>
      </c>
      <c r="R3943" t="s">
        <v>43171</v>
      </c>
      <c r="S3943" t="s">
        <v>43311</v>
      </c>
      <c r="T3943" t="s">
        <v>44705</v>
      </c>
      <c r="U3943" t="s">
        <v>48437</v>
      </c>
      <c r="W3943" t="s">
        <v>40833</v>
      </c>
      <c r="X3943" t="s">
        <v>43172</v>
      </c>
    </row>
    <row r="3944" spans="1:24">
      <c r="A3944">
        <f>HYPERLINK("https://www.philgeps.gov.ph/GEPSNONPILOT/Tender/SplashBidNoticeAbstractUI.aspx?menuIndex=3&amp;refID=7083117&amp;Result=3","7083117")</f>
        <v>0</v>
      </c>
      <c r="B3944" t="s">
        <v>1405</v>
      </c>
      <c r="C3944" t="s">
        <v>7175</v>
      </c>
      <c r="D3944" t="s">
        <v>17415</v>
      </c>
      <c r="E3944" t="s">
        <v>20924</v>
      </c>
      <c r="F3944" t="s">
        <v>30052</v>
      </c>
      <c r="G3944" t="s">
        <v>30059</v>
      </c>
      <c r="H3944" t="s">
        <v>15498</v>
      </c>
      <c r="I3944" t="s">
        <v>30076</v>
      </c>
      <c r="J3944" t="s">
        <v>30377</v>
      </c>
      <c r="K3944" t="s">
        <v>39025</v>
      </c>
      <c r="M3944" t="s">
        <v>40834</v>
      </c>
      <c r="N3944" t="s">
        <v>43166</v>
      </c>
      <c r="O3944" t="s">
        <v>43167</v>
      </c>
      <c r="P3944">
        <v>0</v>
      </c>
      <c r="Q3944">
        <v>2</v>
      </c>
      <c r="R3944" t="s">
        <v>43171</v>
      </c>
      <c r="S3944" t="s">
        <v>43311</v>
      </c>
      <c r="T3944" t="s">
        <v>44841</v>
      </c>
      <c r="U3944" t="s">
        <v>48355</v>
      </c>
      <c r="W3944" t="s">
        <v>40834</v>
      </c>
      <c r="X3944" t="s">
        <v>43172</v>
      </c>
    </row>
    <row r="3945" spans="1:24">
      <c r="A3945">
        <f>HYPERLINK("https://www.philgeps.gov.ph/GEPSNONPILOT/Tender/SplashBidNoticeAbstractUI.aspx?menuIndex=3&amp;refID=7083266&amp;Result=3","7083266")</f>
        <v>0</v>
      </c>
      <c r="B3945" t="s">
        <v>1455</v>
      </c>
      <c r="C3945" t="s">
        <v>7176</v>
      </c>
      <c r="D3945" t="s">
        <v>17502</v>
      </c>
      <c r="E3945" t="s">
        <v>20925</v>
      </c>
      <c r="F3945" t="s">
        <v>30052</v>
      </c>
      <c r="G3945" t="s">
        <v>30058</v>
      </c>
      <c r="H3945" t="s">
        <v>15498</v>
      </c>
      <c r="I3945" t="s">
        <v>3852</v>
      </c>
      <c r="J3945" t="s">
        <v>32771</v>
      </c>
      <c r="K3945" t="s">
        <v>39034</v>
      </c>
      <c r="M3945" t="s">
        <v>40835</v>
      </c>
      <c r="N3945" t="s">
        <v>43166</v>
      </c>
      <c r="O3945" t="s">
        <v>43167</v>
      </c>
      <c r="P3945">
        <v>0</v>
      </c>
      <c r="Q3945">
        <v>0</v>
      </c>
      <c r="R3945" t="s">
        <v>43171</v>
      </c>
      <c r="S3945" t="s">
        <v>43311</v>
      </c>
      <c r="T3945" t="s">
        <v>44719</v>
      </c>
      <c r="U3945" t="s">
        <v>48438</v>
      </c>
      <c r="W3945" t="s">
        <v>40835</v>
      </c>
      <c r="X3945" t="s">
        <v>43172</v>
      </c>
    </row>
    <row r="3946" spans="1:24">
      <c r="A3946">
        <f>HYPERLINK("https://www.philgeps.gov.ph/GEPSNONPILOT/Tender/SplashBidNoticeAbstractUI.aspx?menuIndex=3&amp;refID=7083263&amp;Result=3","7083263")</f>
        <v>0</v>
      </c>
      <c r="B3946" t="s">
        <v>1160</v>
      </c>
      <c r="C3946" t="s">
        <v>7177</v>
      </c>
      <c r="D3946" t="s">
        <v>17442</v>
      </c>
      <c r="E3946" t="s">
        <v>20926</v>
      </c>
      <c r="F3946" t="s">
        <v>30052</v>
      </c>
      <c r="G3946" t="s">
        <v>30059</v>
      </c>
      <c r="H3946" t="s">
        <v>15498</v>
      </c>
      <c r="I3946" t="s">
        <v>7228</v>
      </c>
      <c r="J3946" t="s">
        <v>32772</v>
      </c>
      <c r="K3946" t="s">
        <v>39034</v>
      </c>
      <c r="M3946" t="s">
        <v>40506</v>
      </c>
      <c r="N3946" t="s">
        <v>43166</v>
      </c>
      <c r="O3946" t="s">
        <v>43167</v>
      </c>
      <c r="P3946">
        <v>0</v>
      </c>
      <c r="Q3946">
        <v>1</v>
      </c>
      <c r="R3946" t="s">
        <v>43171</v>
      </c>
      <c r="S3946" t="s">
        <v>43311</v>
      </c>
      <c r="T3946" t="s">
        <v>44856</v>
      </c>
      <c r="U3946" t="s">
        <v>48439</v>
      </c>
      <c r="W3946" t="s">
        <v>40506</v>
      </c>
      <c r="X3946" t="s">
        <v>43172</v>
      </c>
    </row>
    <row r="3947" spans="1:24">
      <c r="A3947">
        <f>HYPERLINK("https://www.philgeps.gov.ph/GEPSNONPILOT/Tender/SplashBidNoticeAbstractUI.aspx?menuIndex=3&amp;refID=7083259&amp;Result=3","7083259")</f>
        <v>0</v>
      </c>
      <c r="B3947" t="s">
        <v>409</v>
      </c>
      <c r="C3947" t="s">
        <v>7178</v>
      </c>
      <c r="D3947" t="s">
        <v>17473</v>
      </c>
      <c r="E3947" t="s">
        <v>20927</v>
      </c>
      <c r="F3947" t="s">
        <v>30052</v>
      </c>
      <c r="G3947" t="s">
        <v>30059</v>
      </c>
      <c r="H3947" t="s">
        <v>15498</v>
      </c>
      <c r="I3947" t="s">
        <v>30081</v>
      </c>
      <c r="J3947" t="s">
        <v>32773</v>
      </c>
      <c r="K3947" t="s">
        <v>39025</v>
      </c>
      <c r="M3947" t="s">
        <v>40032</v>
      </c>
      <c r="N3947" t="s">
        <v>43166</v>
      </c>
      <c r="O3947" t="s">
        <v>43167</v>
      </c>
      <c r="P3947">
        <v>0</v>
      </c>
      <c r="Q3947">
        <v>0</v>
      </c>
      <c r="R3947" t="s">
        <v>43171</v>
      </c>
      <c r="S3947" t="s">
        <v>43311</v>
      </c>
      <c r="T3947" t="s">
        <v>44737</v>
      </c>
      <c r="U3947" t="s">
        <v>48440</v>
      </c>
      <c r="W3947" t="s">
        <v>40032</v>
      </c>
      <c r="X3947" t="s">
        <v>43172</v>
      </c>
    </row>
    <row r="3948" spans="1:24">
      <c r="A3948">
        <f>HYPERLINK("https://www.philgeps.gov.ph/GEPSNONPILOT/Tender/SplashBidNoticeAbstractUI.aspx?menuIndex=3&amp;refID=7083252&amp;Result=3","7083252")</f>
        <v>0</v>
      </c>
      <c r="B3948" t="s">
        <v>1456</v>
      </c>
      <c r="C3948" t="s">
        <v>7179</v>
      </c>
      <c r="D3948" t="s">
        <v>17456</v>
      </c>
      <c r="E3948" t="s">
        <v>17540</v>
      </c>
      <c r="F3948" t="s">
        <v>30052</v>
      </c>
      <c r="G3948" t="s">
        <v>30058</v>
      </c>
      <c r="H3948" t="s">
        <v>15498</v>
      </c>
      <c r="I3948" t="s">
        <v>3736</v>
      </c>
      <c r="J3948" t="s">
        <v>32774</v>
      </c>
      <c r="K3948" t="s">
        <v>39017</v>
      </c>
      <c r="M3948" t="s">
        <v>40836</v>
      </c>
      <c r="N3948" t="s">
        <v>43166</v>
      </c>
      <c r="O3948" t="s">
        <v>43167</v>
      </c>
      <c r="P3948">
        <v>0</v>
      </c>
      <c r="Q3948">
        <v>1</v>
      </c>
      <c r="R3948" t="s">
        <v>43171</v>
      </c>
      <c r="S3948" t="s">
        <v>43311</v>
      </c>
      <c r="T3948" t="s">
        <v>44733</v>
      </c>
      <c r="U3948" t="s">
        <v>48441</v>
      </c>
      <c r="W3948" t="s">
        <v>40836</v>
      </c>
      <c r="X3948" t="s">
        <v>43172</v>
      </c>
    </row>
    <row r="3949" spans="1:24">
      <c r="A3949">
        <f>HYPERLINK("https://www.philgeps.gov.ph/GEPSNONPILOT/Tender/SplashBidNoticeAbstractUI.aspx?menuIndex=3&amp;refID=7083202&amp;Result=3","7083202")</f>
        <v>0</v>
      </c>
      <c r="B3949" t="s">
        <v>1457</v>
      </c>
      <c r="C3949" t="s">
        <v>7180</v>
      </c>
      <c r="D3949" t="s">
        <v>17436</v>
      </c>
      <c r="E3949" t="s">
        <v>20928</v>
      </c>
      <c r="F3949" t="s">
        <v>30052</v>
      </c>
      <c r="G3949" t="s">
        <v>30058</v>
      </c>
      <c r="H3949" t="s">
        <v>15498</v>
      </c>
      <c r="I3949" t="s">
        <v>4650</v>
      </c>
      <c r="J3949" t="s">
        <v>30323</v>
      </c>
      <c r="K3949" t="s">
        <v>39019</v>
      </c>
      <c r="M3949" t="s">
        <v>40837</v>
      </c>
      <c r="N3949" t="s">
        <v>43166</v>
      </c>
      <c r="O3949" t="s">
        <v>43167</v>
      </c>
      <c r="P3949">
        <v>0</v>
      </c>
      <c r="Q3949">
        <v>2</v>
      </c>
      <c r="R3949" t="s">
        <v>43171</v>
      </c>
      <c r="S3949" t="s">
        <v>43311</v>
      </c>
      <c r="T3949" t="s">
        <v>44705</v>
      </c>
      <c r="U3949" t="s">
        <v>48442</v>
      </c>
      <c r="V3949" t="s">
        <v>57285</v>
      </c>
      <c r="W3949" t="s">
        <v>40837</v>
      </c>
      <c r="X3949" t="s">
        <v>43172</v>
      </c>
    </row>
    <row r="3950" spans="1:24">
      <c r="A3950">
        <f>HYPERLINK("https://www.philgeps.gov.ph/GEPSNONPILOT/Tender/SplashBidNoticeAbstractUI.aspx?menuIndex=3&amp;refID=7083249&amp;Result=3","7083249")</f>
        <v>0</v>
      </c>
      <c r="B3950" t="s">
        <v>1270</v>
      </c>
      <c r="C3950" t="s">
        <v>7181</v>
      </c>
      <c r="D3950" t="s">
        <v>17465</v>
      </c>
      <c r="E3950" t="s">
        <v>20929</v>
      </c>
      <c r="F3950" t="s">
        <v>30052</v>
      </c>
      <c r="G3950" t="s">
        <v>30058</v>
      </c>
      <c r="H3950" t="s">
        <v>15498</v>
      </c>
      <c r="I3950" t="s">
        <v>4119</v>
      </c>
      <c r="J3950" t="s">
        <v>32775</v>
      </c>
      <c r="K3950" t="s">
        <v>39034</v>
      </c>
      <c r="M3950" t="s">
        <v>40629</v>
      </c>
      <c r="N3950" t="s">
        <v>43166</v>
      </c>
      <c r="O3950" t="s">
        <v>43167</v>
      </c>
      <c r="P3950">
        <v>0</v>
      </c>
      <c r="Q3950">
        <v>4</v>
      </c>
      <c r="R3950" t="s">
        <v>43171</v>
      </c>
      <c r="S3950" t="s">
        <v>43311</v>
      </c>
      <c r="T3950" t="s">
        <v>44879</v>
      </c>
      <c r="U3950" t="s">
        <v>48443</v>
      </c>
      <c r="W3950" t="s">
        <v>40629</v>
      </c>
      <c r="X3950" t="s">
        <v>43172</v>
      </c>
    </row>
    <row r="3951" spans="1:24">
      <c r="A3951">
        <f>HYPERLINK("https://www.philgeps.gov.ph/GEPSNONPILOT/Tender/SplashBidNoticeAbstractUI.aspx?menuIndex=3&amp;refID=7083268&amp;Result=3","7083268")</f>
        <v>0</v>
      </c>
      <c r="B3951" t="s">
        <v>918</v>
      </c>
      <c r="C3951" t="s">
        <v>7182</v>
      </c>
      <c r="D3951" t="s">
        <v>17424</v>
      </c>
      <c r="E3951" t="s">
        <v>20930</v>
      </c>
      <c r="F3951" t="s">
        <v>30052</v>
      </c>
      <c r="G3951" t="s">
        <v>30063</v>
      </c>
      <c r="H3951" t="s">
        <v>30067</v>
      </c>
      <c r="I3951" t="s">
        <v>3693</v>
      </c>
      <c r="J3951" t="s">
        <v>32776</v>
      </c>
      <c r="K3951" t="s">
        <v>39020</v>
      </c>
      <c r="M3951" t="s">
        <v>40241</v>
      </c>
      <c r="N3951" t="s">
        <v>43166</v>
      </c>
      <c r="O3951" t="s">
        <v>43167</v>
      </c>
      <c r="P3951">
        <v>0</v>
      </c>
      <c r="Q3951">
        <v>6</v>
      </c>
      <c r="R3951" t="s">
        <v>43171</v>
      </c>
      <c r="S3951" t="s">
        <v>43311</v>
      </c>
      <c r="T3951" t="s">
        <v>44842</v>
      </c>
      <c r="U3951" t="s">
        <v>48444</v>
      </c>
      <c r="V3951" t="s">
        <v>57086</v>
      </c>
      <c r="W3951" t="s">
        <v>40241</v>
      </c>
      <c r="X3951" t="s">
        <v>43172</v>
      </c>
    </row>
    <row r="3952" spans="1:24">
      <c r="A3952">
        <f>HYPERLINK("https://www.philgeps.gov.ph/GEPSNONPILOT/Tender/SplashBidNoticeAbstractUI.aspx?menuIndex=3&amp;refID=7083248&amp;Result=3","7083248")</f>
        <v>0</v>
      </c>
      <c r="B3952" t="s">
        <v>1428</v>
      </c>
      <c r="C3952" t="s">
        <v>7183</v>
      </c>
      <c r="D3952" t="s">
        <v>17463</v>
      </c>
      <c r="E3952" t="s">
        <v>20931</v>
      </c>
      <c r="F3952" t="s">
        <v>30052</v>
      </c>
      <c r="G3952" t="s">
        <v>30058</v>
      </c>
      <c r="H3952" t="s">
        <v>15498</v>
      </c>
      <c r="I3952" t="s">
        <v>6691</v>
      </c>
      <c r="J3952" t="s">
        <v>32777</v>
      </c>
      <c r="K3952" t="s">
        <v>39034</v>
      </c>
      <c r="M3952" t="s">
        <v>40806</v>
      </c>
      <c r="N3952" t="s">
        <v>43166</v>
      </c>
      <c r="O3952" t="s">
        <v>43167</v>
      </c>
      <c r="P3952">
        <v>0</v>
      </c>
      <c r="Q3952">
        <v>0</v>
      </c>
      <c r="R3952" t="s">
        <v>43171</v>
      </c>
      <c r="S3952" t="s">
        <v>43311</v>
      </c>
      <c r="T3952" t="s">
        <v>44700</v>
      </c>
      <c r="U3952" t="s">
        <v>48445</v>
      </c>
      <c r="W3952" t="s">
        <v>40806</v>
      </c>
      <c r="X3952" t="s">
        <v>43172</v>
      </c>
    </row>
    <row r="3953" spans="1:24">
      <c r="A3953">
        <f>HYPERLINK("https://www.philgeps.gov.ph/GEPSNONPILOT/Tender/SplashBidNoticeAbstractUI.aspx?menuIndex=3&amp;refID=7083302&amp;Result=3","7083302")</f>
        <v>0</v>
      </c>
      <c r="B3953" t="s">
        <v>1443</v>
      </c>
      <c r="C3953" t="s">
        <v>7184</v>
      </c>
      <c r="D3953" t="s">
        <v>17436</v>
      </c>
      <c r="E3953" t="s">
        <v>20932</v>
      </c>
      <c r="F3953" t="s">
        <v>30052</v>
      </c>
      <c r="G3953" t="s">
        <v>30058</v>
      </c>
      <c r="H3953" t="s">
        <v>15498</v>
      </c>
      <c r="I3953" t="s">
        <v>6691</v>
      </c>
      <c r="J3953" t="s">
        <v>31196</v>
      </c>
      <c r="K3953" t="s">
        <v>39025</v>
      </c>
      <c r="M3953" t="s">
        <v>40821</v>
      </c>
      <c r="N3953" t="s">
        <v>43166</v>
      </c>
      <c r="O3953" t="s">
        <v>43167</v>
      </c>
      <c r="P3953">
        <v>0</v>
      </c>
      <c r="Q3953">
        <v>0</v>
      </c>
      <c r="R3953" t="s">
        <v>43171</v>
      </c>
      <c r="S3953" t="s">
        <v>43311</v>
      </c>
      <c r="T3953" t="s">
        <v>44733</v>
      </c>
      <c r="U3953" t="s">
        <v>48446</v>
      </c>
      <c r="W3953" t="s">
        <v>40821</v>
      </c>
      <c r="X3953" t="s">
        <v>43172</v>
      </c>
    </row>
    <row r="3954" spans="1:24">
      <c r="A3954">
        <f>HYPERLINK("https://www.philgeps.gov.ph/GEPSNONPILOT/Tender/SplashBidNoticeAbstractUI.aspx?menuIndex=3&amp;refID=7083262&amp;Result=3","7083262")</f>
        <v>0</v>
      </c>
      <c r="B3954" t="s">
        <v>806</v>
      </c>
      <c r="C3954" t="s">
        <v>7185</v>
      </c>
      <c r="D3954" t="s">
        <v>17423</v>
      </c>
      <c r="E3954" t="s">
        <v>20933</v>
      </c>
      <c r="F3954" t="s">
        <v>30052</v>
      </c>
      <c r="G3954" t="s">
        <v>30059</v>
      </c>
      <c r="H3954" t="s">
        <v>30067</v>
      </c>
      <c r="I3954" t="s">
        <v>3693</v>
      </c>
      <c r="J3954" t="s">
        <v>30252</v>
      </c>
      <c r="K3954" t="s">
        <v>39038</v>
      </c>
      <c r="M3954" t="s">
        <v>40123</v>
      </c>
      <c r="N3954" t="s">
        <v>43166</v>
      </c>
      <c r="O3954" t="s">
        <v>43167</v>
      </c>
      <c r="P3954">
        <v>0</v>
      </c>
      <c r="Q3954">
        <v>0</v>
      </c>
      <c r="R3954" t="s">
        <v>43171</v>
      </c>
      <c r="S3954" t="s">
        <v>43311</v>
      </c>
      <c r="T3954" t="s">
        <v>44722</v>
      </c>
      <c r="U3954" t="s">
        <v>48447</v>
      </c>
      <c r="W3954" t="s">
        <v>40123</v>
      </c>
      <c r="X3954" t="s">
        <v>43172</v>
      </c>
    </row>
    <row r="3955" spans="1:24">
      <c r="A3955">
        <f>HYPERLINK("https://www.philgeps.gov.ph/GEPSNONPILOT/Tender/SplashBidNoticeAbstractUI.aspx?menuIndex=3&amp;refID=7083312&amp;Result=3","7083312")</f>
        <v>0</v>
      </c>
      <c r="B3955" t="s">
        <v>1428</v>
      </c>
      <c r="C3955" t="s">
        <v>7186</v>
      </c>
      <c r="D3955" t="s">
        <v>17463</v>
      </c>
      <c r="E3955" t="s">
        <v>20934</v>
      </c>
      <c r="F3955" t="s">
        <v>30052</v>
      </c>
      <c r="G3955" t="s">
        <v>30058</v>
      </c>
      <c r="H3955" t="s">
        <v>15498</v>
      </c>
      <c r="I3955" t="s">
        <v>3606</v>
      </c>
      <c r="J3955" t="s">
        <v>32778</v>
      </c>
      <c r="K3955" t="s">
        <v>39034</v>
      </c>
      <c r="M3955" t="s">
        <v>40806</v>
      </c>
      <c r="N3955" t="s">
        <v>43166</v>
      </c>
      <c r="O3955" t="s">
        <v>43167</v>
      </c>
      <c r="P3955">
        <v>0</v>
      </c>
      <c r="Q3955">
        <v>1</v>
      </c>
      <c r="R3955" t="s">
        <v>43171</v>
      </c>
      <c r="S3955" t="s">
        <v>43311</v>
      </c>
      <c r="T3955" t="s">
        <v>44700</v>
      </c>
      <c r="U3955" t="s">
        <v>48448</v>
      </c>
      <c r="W3955" t="s">
        <v>40806</v>
      </c>
      <c r="X3955" t="s">
        <v>43172</v>
      </c>
    </row>
    <row r="3956" spans="1:24">
      <c r="A3956">
        <f>HYPERLINK("https://www.philgeps.gov.ph/GEPSNONPILOT/Tender/SplashBidNoticeAbstractUI.aspx?menuIndex=3&amp;refID=7083250&amp;Result=3","7083250")</f>
        <v>0</v>
      </c>
      <c r="B3956" t="s">
        <v>918</v>
      </c>
      <c r="C3956" t="s">
        <v>7187</v>
      </c>
      <c r="D3956" t="s">
        <v>17424</v>
      </c>
      <c r="E3956" t="s">
        <v>20935</v>
      </c>
      <c r="F3956" t="s">
        <v>30052</v>
      </c>
      <c r="G3956" t="s">
        <v>30063</v>
      </c>
      <c r="H3956" t="s">
        <v>30067</v>
      </c>
      <c r="I3956" t="s">
        <v>3693</v>
      </c>
      <c r="J3956" t="s">
        <v>32779</v>
      </c>
      <c r="K3956" t="s">
        <v>39020</v>
      </c>
      <c r="M3956" t="s">
        <v>40241</v>
      </c>
      <c r="N3956" t="s">
        <v>43166</v>
      </c>
      <c r="O3956" t="s">
        <v>43167</v>
      </c>
      <c r="P3956">
        <v>0</v>
      </c>
      <c r="Q3956">
        <v>5</v>
      </c>
      <c r="R3956" t="s">
        <v>43171</v>
      </c>
      <c r="S3956" t="s">
        <v>43311</v>
      </c>
      <c r="T3956" t="s">
        <v>44842</v>
      </c>
      <c r="U3956" t="s">
        <v>48449</v>
      </c>
      <c r="V3956" t="s">
        <v>57086</v>
      </c>
      <c r="W3956" t="s">
        <v>40241</v>
      </c>
      <c r="X3956" t="s">
        <v>43172</v>
      </c>
    </row>
    <row r="3957" spans="1:24">
      <c r="A3957">
        <f>HYPERLINK("https://www.philgeps.gov.ph/GEPSNONPILOT/Tender/SplashBidNoticeAbstractUI.aspx?menuIndex=3&amp;refID=7083140&amp;Result=3","7083140")</f>
        <v>0</v>
      </c>
      <c r="B3957" t="s">
        <v>1100</v>
      </c>
      <c r="C3957" t="s">
        <v>7188</v>
      </c>
      <c r="D3957" t="s">
        <v>17466</v>
      </c>
      <c r="E3957" t="s">
        <v>20936</v>
      </c>
      <c r="F3957" t="s">
        <v>30052</v>
      </c>
      <c r="G3957" t="s">
        <v>30059</v>
      </c>
      <c r="H3957" t="s">
        <v>15498</v>
      </c>
      <c r="I3957" t="s">
        <v>3852</v>
      </c>
      <c r="J3957" t="s">
        <v>31196</v>
      </c>
      <c r="K3957" t="s">
        <v>39025</v>
      </c>
      <c r="M3957" t="s">
        <v>40439</v>
      </c>
      <c r="N3957" t="s">
        <v>43166</v>
      </c>
      <c r="O3957" t="s">
        <v>43167</v>
      </c>
      <c r="P3957">
        <v>0</v>
      </c>
      <c r="Q3957">
        <v>1</v>
      </c>
      <c r="R3957" t="s">
        <v>43171</v>
      </c>
      <c r="S3957" t="s">
        <v>43311</v>
      </c>
      <c r="T3957" t="s">
        <v>44704</v>
      </c>
      <c r="U3957" t="s">
        <v>48450</v>
      </c>
      <c r="W3957" t="s">
        <v>40439</v>
      </c>
      <c r="X3957" t="s">
        <v>43172</v>
      </c>
    </row>
    <row r="3958" spans="1:24">
      <c r="A3958">
        <f>HYPERLINK("https://www.philgeps.gov.ph/GEPSNONPILOT/Tender/SplashBidNoticeAbstractUI.aspx?menuIndex=3&amp;refID=7083246&amp;Result=3","7083246")</f>
        <v>0</v>
      </c>
      <c r="B3958" t="s">
        <v>1458</v>
      </c>
      <c r="C3958" t="s">
        <v>7189</v>
      </c>
      <c r="D3958" t="s">
        <v>17456</v>
      </c>
      <c r="E3958" t="s">
        <v>20937</v>
      </c>
      <c r="F3958" t="s">
        <v>30052</v>
      </c>
      <c r="G3958" t="s">
        <v>30059</v>
      </c>
      <c r="H3958" t="s">
        <v>15498</v>
      </c>
      <c r="I3958" t="s">
        <v>4119</v>
      </c>
      <c r="J3958" t="s">
        <v>32780</v>
      </c>
      <c r="K3958" t="s">
        <v>39018</v>
      </c>
      <c r="M3958" t="s">
        <v>40838</v>
      </c>
      <c r="N3958" t="s">
        <v>43166</v>
      </c>
      <c r="O3958" t="s">
        <v>43167</v>
      </c>
      <c r="P3958">
        <v>0</v>
      </c>
      <c r="Q3958">
        <v>0</v>
      </c>
      <c r="R3958" t="s">
        <v>43171</v>
      </c>
      <c r="S3958" t="s">
        <v>43311</v>
      </c>
      <c r="T3958" t="s">
        <v>44843</v>
      </c>
      <c r="U3958" t="s">
        <v>48451</v>
      </c>
      <c r="W3958" t="s">
        <v>40838</v>
      </c>
      <c r="X3958" t="s">
        <v>43172</v>
      </c>
    </row>
    <row r="3959" spans="1:24">
      <c r="A3959">
        <f>HYPERLINK("https://www.philgeps.gov.ph/GEPSNONPILOT/Tender/SplashBidNoticeAbstractUI.aspx?menuIndex=3&amp;refID=7083306&amp;Result=3","7083306")</f>
        <v>0</v>
      </c>
      <c r="B3959" t="s">
        <v>696</v>
      </c>
      <c r="C3959" t="s">
        <v>7190</v>
      </c>
      <c r="D3959" t="s">
        <v>17432</v>
      </c>
      <c r="E3959" t="s">
        <v>19925</v>
      </c>
      <c r="F3959" t="s">
        <v>30052</v>
      </c>
      <c r="G3959" t="s">
        <v>30058</v>
      </c>
      <c r="H3959" t="s">
        <v>30067</v>
      </c>
      <c r="I3959" t="s">
        <v>3693</v>
      </c>
      <c r="J3959" t="s">
        <v>30215</v>
      </c>
      <c r="K3959" t="s">
        <v>39118</v>
      </c>
      <c r="M3959" t="s">
        <v>40004</v>
      </c>
      <c r="N3959" t="s">
        <v>43166</v>
      </c>
      <c r="O3959" t="s">
        <v>43167</v>
      </c>
      <c r="P3959">
        <v>0</v>
      </c>
      <c r="Q3959">
        <v>1</v>
      </c>
      <c r="R3959" t="s">
        <v>43171</v>
      </c>
      <c r="S3959" t="s">
        <v>43311</v>
      </c>
      <c r="T3959" t="s">
        <v>44775</v>
      </c>
      <c r="U3959" t="s">
        <v>48452</v>
      </c>
      <c r="W3959" t="s">
        <v>40004</v>
      </c>
      <c r="X3959" t="s">
        <v>43172</v>
      </c>
    </row>
    <row r="3960" spans="1:24">
      <c r="A3960">
        <f>HYPERLINK("https://www.philgeps.gov.ph/GEPSNONPILOT/Tender/SplashBidNoticeAbstractUI.aspx?menuIndex=3&amp;refID=7083301&amp;Result=3","7083301")</f>
        <v>0</v>
      </c>
      <c r="B3960" t="s">
        <v>257</v>
      </c>
      <c r="C3960" t="s">
        <v>7191</v>
      </c>
      <c r="E3960" t="s">
        <v>20938</v>
      </c>
      <c r="F3960" t="s">
        <v>30052</v>
      </c>
      <c r="G3960" t="s">
        <v>30059</v>
      </c>
      <c r="H3960" t="s">
        <v>15498</v>
      </c>
      <c r="I3960" t="s">
        <v>30168</v>
      </c>
      <c r="J3960" t="s">
        <v>32004</v>
      </c>
      <c r="K3960" t="s">
        <v>39025</v>
      </c>
      <c r="M3960" t="s">
        <v>40839</v>
      </c>
      <c r="N3960" t="s">
        <v>43166</v>
      </c>
      <c r="O3960" t="s">
        <v>43167</v>
      </c>
      <c r="P3960">
        <v>0</v>
      </c>
      <c r="Q3960">
        <v>2</v>
      </c>
      <c r="R3960" t="s">
        <v>43171</v>
      </c>
      <c r="S3960" t="s">
        <v>43311</v>
      </c>
      <c r="T3960" t="s">
        <v>44837</v>
      </c>
      <c r="U3960" t="s">
        <v>48453</v>
      </c>
      <c r="W3960" t="s">
        <v>40839</v>
      </c>
      <c r="X3960" t="s">
        <v>43172</v>
      </c>
    </row>
    <row r="3961" spans="1:24">
      <c r="A3961">
        <f>HYPERLINK("https://www.philgeps.gov.ph/GEPSNONPILOT/Tender/SplashBidNoticeAbstractUI.aspx?menuIndex=3&amp;refID=7083294&amp;Result=3","7083294")</f>
        <v>0</v>
      </c>
      <c r="B3961" t="s">
        <v>918</v>
      </c>
      <c r="C3961" t="s">
        <v>7192</v>
      </c>
      <c r="D3961" t="s">
        <v>17424</v>
      </c>
      <c r="E3961" t="s">
        <v>20939</v>
      </c>
      <c r="F3961" t="s">
        <v>30052</v>
      </c>
      <c r="G3961" t="s">
        <v>30063</v>
      </c>
      <c r="H3961" t="s">
        <v>30067</v>
      </c>
      <c r="I3961" t="s">
        <v>3693</v>
      </c>
      <c r="J3961" t="s">
        <v>32781</v>
      </c>
      <c r="K3961" t="s">
        <v>39020</v>
      </c>
      <c r="M3961" t="s">
        <v>40241</v>
      </c>
      <c r="N3961" t="s">
        <v>43166</v>
      </c>
      <c r="O3961" t="s">
        <v>43167</v>
      </c>
      <c r="P3961">
        <v>0</v>
      </c>
      <c r="Q3961">
        <v>5</v>
      </c>
      <c r="R3961" t="s">
        <v>43171</v>
      </c>
      <c r="S3961" t="s">
        <v>43311</v>
      </c>
      <c r="T3961" t="s">
        <v>44842</v>
      </c>
      <c r="U3961" t="s">
        <v>48454</v>
      </c>
      <c r="V3961" t="s">
        <v>57086</v>
      </c>
      <c r="W3961" t="s">
        <v>40241</v>
      </c>
      <c r="X3961" t="s">
        <v>43172</v>
      </c>
    </row>
    <row r="3962" spans="1:24">
      <c r="A3962">
        <f>HYPERLINK("https://www.philgeps.gov.ph/GEPSNONPILOT/Tender/SplashBidNoticeAbstractUI.aspx?menuIndex=3&amp;refID=7083292&amp;Result=3","7083292")</f>
        <v>0</v>
      </c>
      <c r="B3962" t="s">
        <v>1459</v>
      </c>
      <c r="C3962" t="s">
        <v>7193</v>
      </c>
      <c r="D3962" t="s">
        <v>17448</v>
      </c>
      <c r="E3962" t="s">
        <v>17650</v>
      </c>
      <c r="F3962" t="s">
        <v>30052</v>
      </c>
      <c r="G3962" t="s">
        <v>30058</v>
      </c>
      <c r="H3962" t="s">
        <v>15498</v>
      </c>
      <c r="I3962" t="s">
        <v>30124</v>
      </c>
      <c r="J3962" t="s">
        <v>31293</v>
      </c>
      <c r="K3962" t="s">
        <v>39019</v>
      </c>
      <c r="M3962" t="s">
        <v>40840</v>
      </c>
      <c r="N3962" t="s">
        <v>43166</v>
      </c>
      <c r="O3962" t="s">
        <v>43167</v>
      </c>
      <c r="P3962">
        <v>0</v>
      </c>
      <c r="Q3962">
        <v>1</v>
      </c>
      <c r="R3962" t="s">
        <v>43171</v>
      </c>
      <c r="S3962" t="s">
        <v>43311</v>
      </c>
      <c r="T3962" t="s">
        <v>44806</v>
      </c>
      <c r="U3962" t="s">
        <v>48455</v>
      </c>
      <c r="W3962" t="s">
        <v>40840</v>
      </c>
      <c r="X3962" t="s">
        <v>43172</v>
      </c>
    </row>
    <row r="3963" spans="1:24">
      <c r="A3963">
        <f>HYPERLINK("https://www.philgeps.gov.ph/GEPSNONPILOT/Tender/SplashBidNoticeAbstractUI.aspx?menuIndex=3&amp;refID=7083048&amp;Result=3","7083048")</f>
        <v>0</v>
      </c>
      <c r="B3963" t="s">
        <v>1460</v>
      </c>
      <c r="C3963" t="s">
        <v>7194</v>
      </c>
      <c r="D3963" t="s">
        <v>17415</v>
      </c>
      <c r="E3963" t="s">
        <v>20940</v>
      </c>
      <c r="F3963" t="s">
        <v>30052</v>
      </c>
      <c r="G3963" t="s">
        <v>30059</v>
      </c>
      <c r="H3963" t="s">
        <v>15498</v>
      </c>
      <c r="I3963" t="s">
        <v>30084</v>
      </c>
      <c r="J3963" t="s">
        <v>31393</v>
      </c>
      <c r="K3963" t="s">
        <v>39025</v>
      </c>
      <c r="M3963" t="s">
        <v>40841</v>
      </c>
      <c r="N3963" t="s">
        <v>43166</v>
      </c>
      <c r="O3963" t="s">
        <v>43167</v>
      </c>
      <c r="P3963">
        <v>0</v>
      </c>
      <c r="Q3963">
        <v>13</v>
      </c>
      <c r="R3963" t="s">
        <v>43171</v>
      </c>
      <c r="S3963" t="s">
        <v>43311</v>
      </c>
      <c r="T3963" t="s">
        <v>44714</v>
      </c>
      <c r="U3963" t="s">
        <v>48456</v>
      </c>
      <c r="W3963" t="s">
        <v>40841</v>
      </c>
      <c r="X3963" t="s">
        <v>43172</v>
      </c>
    </row>
    <row r="3964" spans="1:24">
      <c r="A3964">
        <f>HYPERLINK("https://www.philgeps.gov.ph/GEPSNONPILOT/Tender/SplashBidNoticeAbstractUI.aspx?menuIndex=3&amp;refID=7083307&amp;Result=3","7083307")</f>
        <v>0</v>
      </c>
      <c r="B3964" t="s">
        <v>701</v>
      </c>
      <c r="C3964" t="s">
        <v>7195</v>
      </c>
      <c r="D3964" t="s">
        <v>17419</v>
      </c>
      <c r="E3964" t="s">
        <v>20941</v>
      </c>
      <c r="F3964" t="s">
        <v>30052</v>
      </c>
      <c r="G3964" t="s">
        <v>30059</v>
      </c>
      <c r="H3964" t="s">
        <v>15498</v>
      </c>
      <c r="I3964" t="s">
        <v>3736</v>
      </c>
      <c r="J3964" t="s">
        <v>32782</v>
      </c>
      <c r="K3964" t="s">
        <v>39025</v>
      </c>
      <c r="M3964" t="s">
        <v>40010</v>
      </c>
      <c r="N3964" t="s">
        <v>43166</v>
      </c>
      <c r="O3964" t="s">
        <v>43167</v>
      </c>
      <c r="P3964">
        <v>0</v>
      </c>
      <c r="Q3964">
        <v>0</v>
      </c>
      <c r="R3964" t="s">
        <v>43171</v>
      </c>
      <c r="S3964" t="s">
        <v>43311</v>
      </c>
      <c r="T3964" t="s">
        <v>44717</v>
      </c>
      <c r="U3964" t="s">
        <v>48457</v>
      </c>
      <c r="W3964" t="s">
        <v>40010</v>
      </c>
      <c r="X3964" t="s">
        <v>43172</v>
      </c>
    </row>
    <row r="3965" spans="1:24">
      <c r="A3965">
        <f>HYPERLINK("https://www.philgeps.gov.ph/GEPSNONPILOT/Tender/SplashBidNoticeAbstractUI.aspx?menuIndex=3&amp;refID=7083287&amp;Result=3","7083287")</f>
        <v>0</v>
      </c>
      <c r="B3965" t="s">
        <v>1325</v>
      </c>
      <c r="C3965" t="s">
        <v>7196</v>
      </c>
      <c r="D3965" t="s">
        <v>17413</v>
      </c>
      <c r="E3965" t="s">
        <v>20942</v>
      </c>
      <c r="F3965" t="s">
        <v>30052</v>
      </c>
      <c r="G3965" t="s">
        <v>30058</v>
      </c>
      <c r="H3965" t="s">
        <v>30067</v>
      </c>
      <c r="I3965" t="s">
        <v>3693</v>
      </c>
      <c r="J3965" t="s">
        <v>32783</v>
      </c>
      <c r="K3965" t="s">
        <v>39022</v>
      </c>
      <c r="M3965" t="s">
        <v>40692</v>
      </c>
      <c r="N3965" t="s">
        <v>43166</v>
      </c>
      <c r="O3965" t="s">
        <v>43167</v>
      </c>
      <c r="P3965">
        <v>0</v>
      </c>
      <c r="Q3965">
        <v>0</v>
      </c>
      <c r="R3965" t="s">
        <v>43171</v>
      </c>
      <c r="S3965" t="s">
        <v>43311</v>
      </c>
      <c r="T3965" t="s">
        <v>44917</v>
      </c>
      <c r="U3965" t="s">
        <v>48458</v>
      </c>
      <c r="W3965" t="s">
        <v>40692</v>
      </c>
      <c r="X3965" t="s">
        <v>43172</v>
      </c>
    </row>
    <row r="3966" spans="1:24">
      <c r="A3966">
        <f>HYPERLINK("https://www.philgeps.gov.ph/GEPSNONPILOT/Tender/SplashBidNoticeAbstractUI.aspx?menuIndex=3&amp;refID=7083286&amp;Result=3","7083286")</f>
        <v>0</v>
      </c>
      <c r="B3966" t="s">
        <v>912</v>
      </c>
      <c r="C3966" t="s">
        <v>7197</v>
      </c>
      <c r="D3966" t="s">
        <v>17440</v>
      </c>
      <c r="E3966" t="s">
        <v>20943</v>
      </c>
      <c r="F3966" t="s">
        <v>30052</v>
      </c>
      <c r="G3966" t="s">
        <v>30058</v>
      </c>
      <c r="H3966" t="s">
        <v>15498</v>
      </c>
      <c r="I3966" t="s">
        <v>9238</v>
      </c>
      <c r="J3966" t="s">
        <v>32784</v>
      </c>
      <c r="K3966" t="s">
        <v>39039</v>
      </c>
      <c r="M3966" t="s">
        <v>40592</v>
      </c>
      <c r="N3966" t="s">
        <v>43166</v>
      </c>
      <c r="O3966" t="s">
        <v>43167</v>
      </c>
      <c r="Q3966">
        <v>4</v>
      </c>
      <c r="R3966" t="s">
        <v>43171</v>
      </c>
      <c r="S3966" t="s">
        <v>43323</v>
      </c>
      <c r="T3966" t="s">
        <v>44701</v>
      </c>
      <c r="U3966" t="s">
        <v>48459</v>
      </c>
      <c r="W3966" t="s">
        <v>40592</v>
      </c>
      <c r="X3966" t="s">
        <v>43172</v>
      </c>
    </row>
    <row r="3967" spans="1:24">
      <c r="A3967">
        <f>HYPERLINK("https://www.philgeps.gov.ph/GEPSNONPILOT/Tender/SplashBidNoticeAbstractUI.aspx?menuIndex=3&amp;refID=7083280&amp;Result=3","7083280")</f>
        <v>0</v>
      </c>
      <c r="B3967" t="s">
        <v>1461</v>
      </c>
      <c r="C3967" t="s">
        <v>7198</v>
      </c>
      <c r="D3967" t="s">
        <v>17432</v>
      </c>
      <c r="E3967" t="s">
        <v>18240</v>
      </c>
      <c r="F3967" t="s">
        <v>30052</v>
      </c>
      <c r="G3967" t="s">
        <v>30058</v>
      </c>
      <c r="H3967" t="s">
        <v>30067</v>
      </c>
      <c r="I3967" t="s">
        <v>30163</v>
      </c>
      <c r="J3967" t="s">
        <v>30297</v>
      </c>
      <c r="K3967" t="s">
        <v>39023</v>
      </c>
      <c r="M3967" t="s">
        <v>40842</v>
      </c>
      <c r="N3967" t="s">
        <v>43166</v>
      </c>
      <c r="O3967" t="s">
        <v>43167</v>
      </c>
      <c r="P3967">
        <v>0</v>
      </c>
      <c r="Q3967">
        <v>0</v>
      </c>
      <c r="R3967" t="s">
        <v>43171</v>
      </c>
      <c r="S3967" t="s">
        <v>43311</v>
      </c>
      <c r="T3967" t="s">
        <v>44703</v>
      </c>
      <c r="U3967" t="s">
        <v>48460</v>
      </c>
      <c r="W3967" t="s">
        <v>40842</v>
      </c>
      <c r="X3967" t="s">
        <v>43172</v>
      </c>
    </row>
    <row r="3968" spans="1:24">
      <c r="A3968">
        <f>HYPERLINK("https://www.philgeps.gov.ph/GEPSNONPILOT/Tender/SplashBidNoticeAbstractUI.aspx?menuIndex=3&amp;refID=7083271&amp;Result=3","7083271")</f>
        <v>0</v>
      </c>
      <c r="B3968" t="s">
        <v>1462</v>
      </c>
      <c r="C3968" t="s">
        <v>7199</v>
      </c>
      <c r="D3968" t="s">
        <v>17431</v>
      </c>
      <c r="E3968" t="s">
        <v>20944</v>
      </c>
      <c r="F3968" t="s">
        <v>30052</v>
      </c>
      <c r="G3968" t="s">
        <v>30059</v>
      </c>
      <c r="H3968" t="s">
        <v>15498</v>
      </c>
      <c r="I3968" t="s">
        <v>3736</v>
      </c>
      <c r="J3968" t="s">
        <v>32785</v>
      </c>
      <c r="K3968" t="s">
        <v>39029</v>
      </c>
      <c r="M3968" t="s">
        <v>40843</v>
      </c>
      <c r="N3968" t="s">
        <v>43166</v>
      </c>
      <c r="O3968" t="s">
        <v>43167</v>
      </c>
      <c r="P3968">
        <v>0</v>
      </c>
      <c r="Q3968">
        <v>0</v>
      </c>
      <c r="R3968" t="s">
        <v>43171</v>
      </c>
      <c r="S3968" t="s">
        <v>43311</v>
      </c>
      <c r="T3968" t="s">
        <v>44708</v>
      </c>
      <c r="U3968" t="s">
        <v>48461</v>
      </c>
      <c r="W3968" t="s">
        <v>40843</v>
      </c>
      <c r="X3968" t="s">
        <v>43172</v>
      </c>
    </row>
    <row r="3969" spans="1:24">
      <c r="A3969">
        <f>HYPERLINK("https://www.philgeps.gov.ph/GEPSNONPILOT/Tender/SplashBidNoticeAbstractUI.aspx?menuIndex=3&amp;refID=7083300&amp;Result=3","7083300")</f>
        <v>0</v>
      </c>
      <c r="B3969" t="s">
        <v>1160</v>
      </c>
      <c r="C3969" t="s">
        <v>7200</v>
      </c>
      <c r="D3969" t="s">
        <v>17442</v>
      </c>
      <c r="E3969" t="s">
        <v>20945</v>
      </c>
      <c r="F3969" t="s">
        <v>30052</v>
      </c>
      <c r="G3969" t="s">
        <v>30061</v>
      </c>
      <c r="H3969" t="s">
        <v>15498</v>
      </c>
      <c r="I3969" t="s">
        <v>30081</v>
      </c>
      <c r="J3969" t="s">
        <v>32786</v>
      </c>
      <c r="K3969" t="s">
        <v>39036</v>
      </c>
      <c r="M3969" t="s">
        <v>40506</v>
      </c>
      <c r="N3969" t="s">
        <v>43166</v>
      </c>
      <c r="O3969" t="s">
        <v>43167</v>
      </c>
      <c r="P3969">
        <v>0</v>
      </c>
      <c r="Q3969">
        <v>0</v>
      </c>
      <c r="R3969" t="s">
        <v>43171</v>
      </c>
      <c r="S3969" t="s">
        <v>43311</v>
      </c>
      <c r="T3969" t="s">
        <v>44856</v>
      </c>
      <c r="U3969" t="s">
        <v>48462</v>
      </c>
      <c r="W3969" t="s">
        <v>40506</v>
      </c>
      <c r="X3969" t="s">
        <v>43172</v>
      </c>
    </row>
    <row r="3970" spans="1:24">
      <c r="A3970">
        <f>HYPERLINK("https://www.philgeps.gov.ph/GEPSNONPILOT/Tender/SplashBidNoticeAbstractUI.aspx?menuIndex=3&amp;refID=7083277&amp;Result=3","7083277")</f>
        <v>0</v>
      </c>
      <c r="B3970" t="s">
        <v>271</v>
      </c>
      <c r="C3970" t="s">
        <v>7201</v>
      </c>
      <c r="D3970" t="s">
        <v>17461</v>
      </c>
      <c r="E3970" t="s">
        <v>20946</v>
      </c>
      <c r="F3970" t="s">
        <v>30052</v>
      </c>
      <c r="G3970" t="s">
        <v>30061</v>
      </c>
      <c r="H3970" t="s">
        <v>15498</v>
      </c>
      <c r="I3970" t="s">
        <v>3736</v>
      </c>
      <c r="J3970" t="s">
        <v>32787</v>
      </c>
      <c r="K3970" t="s">
        <v>39025</v>
      </c>
      <c r="M3970" t="s">
        <v>39565</v>
      </c>
      <c r="N3970" t="s">
        <v>43166</v>
      </c>
      <c r="O3970" t="s">
        <v>43167</v>
      </c>
      <c r="P3970">
        <v>0</v>
      </c>
      <c r="Q3970">
        <v>0</v>
      </c>
      <c r="R3970" t="s">
        <v>43171</v>
      </c>
      <c r="S3970" t="s">
        <v>43311</v>
      </c>
      <c r="T3970" t="s">
        <v>44710</v>
      </c>
      <c r="U3970" t="s">
        <v>48463</v>
      </c>
      <c r="W3970" t="s">
        <v>39565</v>
      </c>
      <c r="X3970" t="s">
        <v>43172</v>
      </c>
    </row>
    <row r="3971" spans="1:24">
      <c r="A3971">
        <f>HYPERLINK("https://www.philgeps.gov.ph/GEPSNONPILOT/Tender/SplashBidNoticeAbstractUI.aspx?menuIndex=3&amp;refID=7082950&amp;Result=3","7082950")</f>
        <v>0</v>
      </c>
      <c r="B3971" t="s">
        <v>1463</v>
      </c>
      <c r="C3971" t="s">
        <v>7202</v>
      </c>
      <c r="D3971" t="s">
        <v>17422</v>
      </c>
      <c r="E3971" t="s">
        <v>20947</v>
      </c>
      <c r="F3971" t="s">
        <v>30052</v>
      </c>
      <c r="G3971" t="s">
        <v>30058</v>
      </c>
      <c r="H3971" t="s">
        <v>30067</v>
      </c>
      <c r="I3971" t="s">
        <v>30093</v>
      </c>
      <c r="J3971" t="s">
        <v>32788</v>
      </c>
      <c r="K3971" t="s">
        <v>39031</v>
      </c>
      <c r="M3971" t="s">
        <v>40844</v>
      </c>
      <c r="N3971" t="s">
        <v>43166</v>
      </c>
      <c r="O3971" t="s">
        <v>43167</v>
      </c>
      <c r="P3971">
        <v>0</v>
      </c>
      <c r="Q3971">
        <v>1</v>
      </c>
      <c r="R3971" t="s">
        <v>43171</v>
      </c>
      <c r="S3971" t="s">
        <v>43311</v>
      </c>
      <c r="T3971" t="s">
        <v>44750</v>
      </c>
      <c r="U3971" t="s">
        <v>48464</v>
      </c>
      <c r="W3971" t="s">
        <v>40844</v>
      </c>
      <c r="X3971" t="s">
        <v>43172</v>
      </c>
    </row>
    <row r="3972" spans="1:24">
      <c r="A3972">
        <f>HYPERLINK("https://www.philgeps.gov.ph/GEPSNONPILOT/Tender/SplashBidNoticeAbstractUI.aspx?menuIndex=3&amp;refID=7083348&amp;Result=3","7083348")</f>
        <v>0</v>
      </c>
      <c r="B3972" t="s">
        <v>1464</v>
      </c>
      <c r="C3972" t="s">
        <v>7203</v>
      </c>
      <c r="D3972" t="s">
        <v>17415</v>
      </c>
      <c r="E3972" t="s">
        <v>20948</v>
      </c>
      <c r="F3972" t="s">
        <v>30052</v>
      </c>
      <c r="G3972" t="s">
        <v>30059</v>
      </c>
      <c r="H3972" t="s">
        <v>15498</v>
      </c>
      <c r="I3972" t="s">
        <v>4650</v>
      </c>
      <c r="J3972" t="s">
        <v>30292</v>
      </c>
      <c r="K3972" t="s">
        <v>39019</v>
      </c>
      <c r="M3972" t="s">
        <v>40845</v>
      </c>
      <c r="N3972" t="s">
        <v>43166</v>
      </c>
      <c r="O3972" t="s">
        <v>43167</v>
      </c>
      <c r="P3972">
        <v>0</v>
      </c>
      <c r="Q3972">
        <v>6</v>
      </c>
      <c r="R3972" t="s">
        <v>43171</v>
      </c>
      <c r="S3972" t="s">
        <v>43311</v>
      </c>
      <c r="T3972" t="s">
        <v>44721</v>
      </c>
      <c r="U3972" t="s">
        <v>48465</v>
      </c>
      <c r="W3972" t="s">
        <v>40845</v>
      </c>
      <c r="X3972" t="s">
        <v>43172</v>
      </c>
    </row>
    <row r="3973" spans="1:24">
      <c r="A3973">
        <f>HYPERLINK("https://www.philgeps.gov.ph/GEPSNONPILOT/Tender/SplashBidNoticeAbstractUI.aspx?menuIndex=3&amp;refID=7083347&amp;Result=3","7083347")</f>
        <v>0</v>
      </c>
      <c r="B3973" t="s">
        <v>1465</v>
      </c>
      <c r="C3973" t="s">
        <v>7204</v>
      </c>
      <c r="D3973" t="s">
        <v>17473</v>
      </c>
      <c r="E3973" t="s">
        <v>20949</v>
      </c>
      <c r="F3973" t="s">
        <v>30052</v>
      </c>
      <c r="G3973" t="s">
        <v>30058</v>
      </c>
      <c r="H3973" t="s">
        <v>30067</v>
      </c>
      <c r="I3973" t="s">
        <v>3693</v>
      </c>
      <c r="J3973" t="s">
        <v>30205</v>
      </c>
      <c r="K3973" t="s">
        <v>39138</v>
      </c>
      <c r="M3973" t="s">
        <v>40846</v>
      </c>
      <c r="N3973" t="s">
        <v>43166</v>
      </c>
      <c r="O3973" t="s">
        <v>43167</v>
      </c>
      <c r="P3973">
        <v>0</v>
      </c>
      <c r="Q3973">
        <v>1</v>
      </c>
      <c r="R3973" t="s">
        <v>43171</v>
      </c>
      <c r="S3973" t="s">
        <v>43311</v>
      </c>
      <c r="T3973" t="s">
        <v>44980</v>
      </c>
      <c r="U3973" t="s">
        <v>48466</v>
      </c>
      <c r="W3973" t="s">
        <v>40846</v>
      </c>
      <c r="X3973" t="s">
        <v>43172</v>
      </c>
    </row>
    <row r="3974" spans="1:24">
      <c r="A3974">
        <f>HYPERLINK("https://www.philgeps.gov.ph/GEPSNONPILOT/Tender/SplashBidNoticeAbstractUI.aspx?menuIndex=3&amp;refID=7083285&amp;Result=3","7083285")</f>
        <v>0</v>
      </c>
      <c r="B3974" t="s">
        <v>1456</v>
      </c>
      <c r="C3974" t="s">
        <v>7205</v>
      </c>
      <c r="D3974" t="s">
        <v>17456</v>
      </c>
      <c r="E3974" t="s">
        <v>18292</v>
      </c>
      <c r="F3974" t="s">
        <v>30052</v>
      </c>
      <c r="G3974" t="s">
        <v>30058</v>
      </c>
      <c r="H3974" t="s">
        <v>15498</v>
      </c>
      <c r="I3974" t="s">
        <v>4598</v>
      </c>
      <c r="J3974" t="s">
        <v>30207</v>
      </c>
      <c r="K3974" t="s">
        <v>39017</v>
      </c>
      <c r="M3974" t="s">
        <v>40836</v>
      </c>
      <c r="N3974" t="s">
        <v>43166</v>
      </c>
      <c r="O3974" t="s">
        <v>43167</v>
      </c>
      <c r="P3974">
        <v>0</v>
      </c>
      <c r="Q3974">
        <v>3</v>
      </c>
      <c r="R3974" t="s">
        <v>43171</v>
      </c>
      <c r="S3974" t="s">
        <v>43311</v>
      </c>
      <c r="T3974" t="s">
        <v>44733</v>
      </c>
      <c r="U3974" t="s">
        <v>48467</v>
      </c>
      <c r="W3974" t="s">
        <v>40836</v>
      </c>
      <c r="X3974" t="s">
        <v>43172</v>
      </c>
    </row>
    <row r="3975" spans="1:24">
      <c r="A3975">
        <f>HYPERLINK("https://www.philgeps.gov.ph/GEPSNONPILOT/Tender/SplashBidNoticeAbstractUI.aspx?menuIndex=3&amp;refID=7083279&amp;Result=3","7083279")</f>
        <v>0</v>
      </c>
      <c r="B3975" t="s">
        <v>1466</v>
      </c>
      <c r="C3975" t="s">
        <v>7206</v>
      </c>
      <c r="D3975" t="s">
        <v>17449</v>
      </c>
      <c r="E3975" t="s">
        <v>20950</v>
      </c>
      <c r="F3975" t="s">
        <v>30052</v>
      </c>
      <c r="G3975" t="s">
        <v>30058</v>
      </c>
      <c r="H3975" t="s">
        <v>15498</v>
      </c>
      <c r="I3975" t="s">
        <v>30074</v>
      </c>
      <c r="J3975" t="s">
        <v>30861</v>
      </c>
      <c r="K3975" t="s">
        <v>39064</v>
      </c>
      <c r="M3975" t="s">
        <v>40847</v>
      </c>
      <c r="N3975" t="s">
        <v>43166</v>
      </c>
      <c r="O3975" t="s">
        <v>43167</v>
      </c>
      <c r="P3975">
        <v>0</v>
      </c>
      <c r="Q3975">
        <v>0</v>
      </c>
      <c r="R3975" t="s">
        <v>43171</v>
      </c>
      <c r="S3975" t="s">
        <v>43311</v>
      </c>
      <c r="T3975" t="s">
        <v>44716</v>
      </c>
      <c r="U3975" t="s">
        <v>48468</v>
      </c>
      <c r="V3975" t="s">
        <v>57281</v>
      </c>
      <c r="W3975" t="s">
        <v>40847</v>
      </c>
      <c r="X3975" t="s">
        <v>43172</v>
      </c>
    </row>
    <row r="3976" spans="1:24">
      <c r="A3976">
        <f>HYPERLINK("https://www.philgeps.gov.ph/GEPSNONPILOT/Tender/SplashBidNoticeAbstractUI.aspx?menuIndex=3&amp;refID=7083338&amp;Result=3","7083338")</f>
        <v>0</v>
      </c>
      <c r="B3976" t="s">
        <v>1190</v>
      </c>
      <c r="C3976" t="s">
        <v>7207</v>
      </c>
      <c r="D3976" t="s">
        <v>17415</v>
      </c>
      <c r="E3976" t="s">
        <v>20951</v>
      </c>
      <c r="F3976" t="s">
        <v>30052</v>
      </c>
      <c r="G3976" t="s">
        <v>30062</v>
      </c>
      <c r="H3976" t="s">
        <v>15498</v>
      </c>
      <c r="I3976" t="s">
        <v>30109</v>
      </c>
      <c r="J3976" t="s">
        <v>32789</v>
      </c>
      <c r="K3976" t="s">
        <v>39019</v>
      </c>
      <c r="M3976" t="s">
        <v>40848</v>
      </c>
      <c r="N3976" t="s">
        <v>43166</v>
      </c>
      <c r="O3976" t="s">
        <v>43167</v>
      </c>
      <c r="P3976">
        <v>0</v>
      </c>
      <c r="Q3976">
        <v>7</v>
      </c>
      <c r="R3976" t="s">
        <v>43171</v>
      </c>
      <c r="S3976" t="s">
        <v>43311</v>
      </c>
      <c r="T3976" t="s">
        <v>44732</v>
      </c>
      <c r="U3976" t="s">
        <v>48469</v>
      </c>
      <c r="W3976" t="s">
        <v>40848</v>
      </c>
      <c r="X3976" t="s">
        <v>43172</v>
      </c>
    </row>
    <row r="3977" spans="1:24">
      <c r="A3977">
        <f>HYPERLINK("https://www.philgeps.gov.ph/GEPSNONPILOT/Tender/SplashBidNoticeAbstractUI.aspx?menuIndex=3&amp;refID=7083339&amp;Result=3","7083339")</f>
        <v>0</v>
      </c>
      <c r="B3977" t="s">
        <v>1467</v>
      </c>
      <c r="C3977" t="s">
        <v>7208</v>
      </c>
      <c r="D3977" t="s">
        <v>17464</v>
      </c>
      <c r="E3977" t="s">
        <v>20952</v>
      </c>
      <c r="F3977" t="s">
        <v>30052</v>
      </c>
      <c r="G3977" t="s">
        <v>30059</v>
      </c>
      <c r="H3977" t="s">
        <v>15498</v>
      </c>
      <c r="I3977" t="s">
        <v>30081</v>
      </c>
      <c r="J3977" t="s">
        <v>32790</v>
      </c>
      <c r="K3977" t="s">
        <v>39029</v>
      </c>
      <c r="M3977" t="s">
        <v>40849</v>
      </c>
      <c r="N3977" t="s">
        <v>43166</v>
      </c>
      <c r="O3977" t="s">
        <v>43167</v>
      </c>
      <c r="P3977">
        <v>0</v>
      </c>
      <c r="Q3977">
        <v>0</v>
      </c>
      <c r="R3977" t="s">
        <v>43171</v>
      </c>
      <c r="S3977" t="s">
        <v>43311</v>
      </c>
      <c r="T3977" t="s">
        <v>44678</v>
      </c>
      <c r="U3977" t="s">
        <v>48470</v>
      </c>
      <c r="W3977" t="s">
        <v>40849</v>
      </c>
      <c r="X3977" t="s">
        <v>43172</v>
      </c>
    </row>
    <row r="3978" spans="1:24">
      <c r="A3978">
        <f>HYPERLINK("https://www.philgeps.gov.ph/GEPSNONPILOT/Tender/SplashBidNoticeAbstractUI.aspx?menuIndex=3&amp;refID=7083337&amp;Result=3","7083337")</f>
        <v>0</v>
      </c>
      <c r="B3978" t="s">
        <v>701</v>
      </c>
      <c r="C3978" t="s">
        <v>7209</v>
      </c>
      <c r="D3978" t="s">
        <v>17419</v>
      </c>
      <c r="E3978" t="s">
        <v>20953</v>
      </c>
      <c r="F3978" t="s">
        <v>30052</v>
      </c>
      <c r="G3978" t="s">
        <v>30059</v>
      </c>
      <c r="H3978" t="s">
        <v>15498</v>
      </c>
      <c r="I3978" t="s">
        <v>3736</v>
      </c>
      <c r="J3978" t="s">
        <v>32791</v>
      </c>
      <c r="K3978" t="s">
        <v>39025</v>
      </c>
      <c r="M3978" t="s">
        <v>40010</v>
      </c>
      <c r="N3978" t="s">
        <v>43166</v>
      </c>
      <c r="O3978" t="s">
        <v>43167</v>
      </c>
      <c r="P3978">
        <v>0</v>
      </c>
      <c r="Q3978">
        <v>0</v>
      </c>
      <c r="R3978" t="s">
        <v>43171</v>
      </c>
      <c r="S3978" t="s">
        <v>43311</v>
      </c>
      <c r="T3978" t="s">
        <v>44717</v>
      </c>
      <c r="U3978" t="s">
        <v>48471</v>
      </c>
      <c r="W3978" t="s">
        <v>40010</v>
      </c>
      <c r="X3978" t="s">
        <v>43172</v>
      </c>
    </row>
    <row r="3979" spans="1:24">
      <c r="A3979">
        <f>HYPERLINK("https://www.philgeps.gov.ph/GEPSNONPILOT/Tender/SplashBidNoticeAbstractUI.aspx?menuIndex=3&amp;refID=7083309&amp;Result=3","7083309")</f>
        <v>0</v>
      </c>
      <c r="B3979" t="s">
        <v>1468</v>
      </c>
      <c r="C3979" t="s">
        <v>7210</v>
      </c>
      <c r="D3979" t="s">
        <v>17423</v>
      </c>
      <c r="E3979" t="s">
        <v>20954</v>
      </c>
      <c r="F3979" t="s">
        <v>30052</v>
      </c>
      <c r="G3979" t="s">
        <v>30059</v>
      </c>
      <c r="H3979" t="s">
        <v>15498</v>
      </c>
      <c r="I3979" t="s">
        <v>3852</v>
      </c>
      <c r="J3979" t="s">
        <v>30337</v>
      </c>
      <c r="K3979" t="s">
        <v>39023</v>
      </c>
      <c r="M3979" t="s">
        <v>40850</v>
      </c>
      <c r="N3979" t="s">
        <v>43166</v>
      </c>
      <c r="O3979" t="s">
        <v>43167</v>
      </c>
      <c r="P3979">
        <v>0</v>
      </c>
      <c r="Q3979">
        <v>3</v>
      </c>
      <c r="R3979" t="s">
        <v>43171</v>
      </c>
      <c r="S3979" t="s">
        <v>43311</v>
      </c>
      <c r="T3979" t="s">
        <v>44733</v>
      </c>
      <c r="U3979" t="s">
        <v>48472</v>
      </c>
      <c r="V3979" t="s">
        <v>57286</v>
      </c>
      <c r="W3979" t="s">
        <v>40850</v>
      </c>
      <c r="X3979" t="s">
        <v>43172</v>
      </c>
    </row>
    <row r="3980" spans="1:24">
      <c r="A3980">
        <f>HYPERLINK("https://www.philgeps.gov.ph/GEPSNONPILOT/Tender/SplashBidNoticeAbstractUI.aspx?menuIndex=3&amp;refID=7083341&amp;Result=3","7083341")</f>
        <v>0</v>
      </c>
      <c r="B3980" t="s">
        <v>1469</v>
      </c>
      <c r="C3980" t="s">
        <v>7211</v>
      </c>
      <c r="D3980" t="s">
        <v>17417</v>
      </c>
      <c r="E3980" t="s">
        <v>20955</v>
      </c>
      <c r="F3980" t="s">
        <v>30052</v>
      </c>
      <c r="G3980" t="s">
        <v>30059</v>
      </c>
      <c r="H3980" t="s">
        <v>15498</v>
      </c>
      <c r="I3980" t="s">
        <v>30153</v>
      </c>
      <c r="J3980" t="s">
        <v>32792</v>
      </c>
      <c r="K3980" t="s">
        <v>39067</v>
      </c>
      <c r="M3980" t="s">
        <v>40851</v>
      </c>
      <c r="N3980" t="s">
        <v>43166</v>
      </c>
      <c r="O3980" t="s">
        <v>43167</v>
      </c>
      <c r="P3980">
        <v>0</v>
      </c>
      <c r="Q3980">
        <v>11</v>
      </c>
      <c r="R3980" t="s">
        <v>43171</v>
      </c>
      <c r="S3980" t="s">
        <v>43311</v>
      </c>
      <c r="T3980" t="s">
        <v>44844</v>
      </c>
      <c r="U3980" t="s">
        <v>48473</v>
      </c>
      <c r="W3980" t="s">
        <v>40851</v>
      </c>
      <c r="X3980" t="s">
        <v>43172</v>
      </c>
    </row>
    <row r="3981" spans="1:24">
      <c r="A3981">
        <f>HYPERLINK("https://www.philgeps.gov.ph/GEPSNONPILOT/Tender/SplashBidNoticeAbstractUI.aspx?menuIndex=3&amp;refID=7083345&amp;Result=3","7083345")</f>
        <v>0</v>
      </c>
      <c r="B3981" t="s">
        <v>1432</v>
      </c>
      <c r="C3981" t="s">
        <v>7212</v>
      </c>
      <c r="D3981" t="s">
        <v>17417</v>
      </c>
      <c r="E3981" t="s">
        <v>20956</v>
      </c>
      <c r="F3981" t="s">
        <v>30052</v>
      </c>
      <c r="G3981" t="s">
        <v>30059</v>
      </c>
      <c r="H3981" t="s">
        <v>15498</v>
      </c>
      <c r="I3981" t="s">
        <v>3606</v>
      </c>
      <c r="J3981" t="s">
        <v>30230</v>
      </c>
      <c r="K3981" t="s">
        <v>39017</v>
      </c>
      <c r="M3981" t="s">
        <v>40810</v>
      </c>
      <c r="N3981" t="s">
        <v>43166</v>
      </c>
      <c r="O3981" t="s">
        <v>43167</v>
      </c>
      <c r="P3981">
        <v>0</v>
      </c>
      <c r="Q3981">
        <v>0</v>
      </c>
      <c r="R3981" t="s">
        <v>43171</v>
      </c>
      <c r="S3981" t="s">
        <v>43311</v>
      </c>
      <c r="T3981" t="s">
        <v>44696</v>
      </c>
      <c r="U3981" t="s">
        <v>48474</v>
      </c>
      <c r="W3981" t="s">
        <v>40810</v>
      </c>
      <c r="X3981" t="s">
        <v>43172</v>
      </c>
    </row>
    <row r="3982" spans="1:24">
      <c r="A3982">
        <f>HYPERLINK("https://www.philgeps.gov.ph/GEPSNONPILOT/Tender/SplashBidNoticeAbstractUI.aspx?menuIndex=3&amp;refID=7083329&amp;Result=3","7083329")</f>
        <v>0</v>
      </c>
      <c r="B3982" t="s">
        <v>1351</v>
      </c>
      <c r="C3982" t="s">
        <v>7213</v>
      </c>
      <c r="D3982" t="s">
        <v>17427</v>
      </c>
      <c r="E3982" t="s">
        <v>20957</v>
      </c>
      <c r="F3982" t="s">
        <v>30052</v>
      </c>
      <c r="G3982" t="s">
        <v>30058</v>
      </c>
      <c r="H3982" t="s">
        <v>30067</v>
      </c>
      <c r="I3982" t="s">
        <v>3693</v>
      </c>
      <c r="J3982" t="s">
        <v>32793</v>
      </c>
      <c r="K3982" t="s">
        <v>39023</v>
      </c>
      <c r="M3982" t="s">
        <v>40720</v>
      </c>
      <c r="N3982" t="s">
        <v>43166</v>
      </c>
      <c r="O3982" t="s">
        <v>43167</v>
      </c>
      <c r="P3982">
        <v>0</v>
      </c>
      <c r="Q3982">
        <v>0</v>
      </c>
      <c r="R3982" t="s">
        <v>43171</v>
      </c>
      <c r="S3982" t="s">
        <v>43311</v>
      </c>
      <c r="T3982" t="s">
        <v>44971</v>
      </c>
      <c r="U3982" t="s">
        <v>48475</v>
      </c>
      <c r="V3982" t="s">
        <v>57287</v>
      </c>
      <c r="W3982" t="s">
        <v>40720</v>
      </c>
      <c r="X3982" t="s">
        <v>43172</v>
      </c>
    </row>
    <row r="3983" spans="1:24">
      <c r="A3983">
        <f>HYPERLINK("https://www.philgeps.gov.ph/GEPSNONPILOT/Tender/SplashBidNoticeAbstractUI.aspx?menuIndex=3&amp;refID=7083326&amp;Result=3","7083326")</f>
        <v>0</v>
      </c>
      <c r="B3983" t="s">
        <v>701</v>
      </c>
      <c r="C3983" t="s">
        <v>7214</v>
      </c>
      <c r="D3983" t="s">
        <v>17419</v>
      </c>
      <c r="E3983" t="s">
        <v>20958</v>
      </c>
      <c r="F3983" t="s">
        <v>30052</v>
      </c>
      <c r="G3983" t="s">
        <v>30059</v>
      </c>
      <c r="H3983" t="s">
        <v>15498</v>
      </c>
      <c r="I3983" t="s">
        <v>3736</v>
      </c>
      <c r="J3983" t="s">
        <v>30766</v>
      </c>
      <c r="K3983" t="s">
        <v>39025</v>
      </c>
      <c r="M3983" t="s">
        <v>40010</v>
      </c>
      <c r="N3983" t="s">
        <v>43166</v>
      </c>
      <c r="O3983" t="s">
        <v>43167</v>
      </c>
      <c r="P3983">
        <v>0</v>
      </c>
      <c r="Q3983">
        <v>0</v>
      </c>
      <c r="R3983" t="s">
        <v>43171</v>
      </c>
      <c r="S3983" t="s">
        <v>43311</v>
      </c>
      <c r="T3983" t="s">
        <v>44717</v>
      </c>
      <c r="U3983" t="s">
        <v>48476</v>
      </c>
      <c r="W3983" t="s">
        <v>40010</v>
      </c>
      <c r="X3983" t="s">
        <v>43172</v>
      </c>
    </row>
    <row r="3984" spans="1:24">
      <c r="A3984">
        <f>HYPERLINK("https://www.philgeps.gov.ph/GEPSNONPILOT/Tender/SplashBidNoticeAbstractUI.aspx?menuIndex=3&amp;refID=7083293&amp;Result=3","7083293")</f>
        <v>0</v>
      </c>
      <c r="B3984" t="s">
        <v>1442</v>
      </c>
      <c r="C3984" t="s">
        <v>7215</v>
      </c>
      <c r="D3984" t="s">
        <v>17421</v>
      </c>
      <c r="E3984" t="s">
        <v>20959</v>
      </c>
      <c r="F3984" t="s">
        <v>30052</v>
      </c>
      <c r="G3984" t="s">
        <v>30058</v>
      </c>
      <c r="H3984" t="s">
        <v>30067</v>
      </c>
      <c r="I3984" t="s">
        <v>3693</v>
      </c>
      <c r="J3984" t="s">
        <v>32794</v>
      </c>
      <c r="K3984" t="s">
        <v>39083</v>
      </c>
      <c r="M3984" t="s">
        <v>40820</v>
      </c>
      <c r="N3984" t="s">
        <v>43166</v>
      </c>
      <c r="O3984" t="s">
        <v>43167</v>
      </c>
      <c r="P3984">
        <v>0</v>
      </c>
      <c r="Q3984">
        <v>0</v>
      </c>
      <c r="R3984" t="s">
        <v>43171</v>
      </c>
      <c r="S3984" t="s">
        <v>43311</v>
      </c>
      <c r="T3984" t="s">
        <v>44807</v>
      </c>
      <c r="U3984" t="s">
        <v>48416</v>
      </c>
      <c r="W3984" t="s">
        <v>40820</v>
      </c>
      <c r="X3984" t="s">
        <v>43172</v>
      </c>
    </row>
    <row r="3985" spans="1:24">
      <c r="A3985">
        <f>HYPERLINK("https://www.philgeps.gov.ph/GEPSNONPILOT/Tender/SplashBidNoticeAbstractUI.aspx?menuIndex=3&amp;refID=7083346&amp;Result=3","7083346")</f>
        <v>0</v>
      </c>
      <c r="B3985" t="s">
        <v>1446</v>
      </c>
      <c r="C3985" t="s">
        <v>7216</v>
      </c>
      <c r="D3985" t="s">
        <v>17447</v>
      </c>
      <c r="E3985" t="s">
        <v>20960</v>
      </c>
      <c r="F3985" t="s">
        <v>30052</v>
      </c>
      <c r="G3985" t="s">
        <v>30058</v>
      </c>
      <c r="H3985" t="s">
        <v>30067</v>
      </c>
      <c r="I3985" t="s">
        <v>3693</v>
      </c>
      <c r="J3985" t="s">
        <v>32795</v>
      </c>
      <c r="K3985" t="s">
        <v>39026</v>
      </c>
      <c r="M3985" t="s">
        <v>40824</v>
      </c>
      <c r="N3985" t="s">
        <v>43166</v>
      </c>
      <c r="O3985" t="s">
        <v>43167</v>
      </c>
      <c r="P3985">
        <v>0</v>
      </c>
      <c r="Q3985">
        <v>2</v>
      </c>
      <c r="R3985" t="s">
        <v>43171</v>
      </c>
      <c r="S3985" t="s">
        <v>43311</v>
      </c>
      <c r="T3985" t="s">
        <v>44722</v>
      </c>
      <c r="U3985" t="s">
        <v>48423</v>
      </c>
      <c r="V3985" t="s">
        <v>57283</v>
      </c>
      <c r="W3985" t="s">
        <v>40824</v>
      </c>
      <c r="X3985" t="s">
        <v>43172</v>
      </c>
    </row>
    <row r="3986" spans="1:24">
      <c r="A3986">
        <f>HYPERLINK("https://www.philgeps.gov.ph/GEPSNONPILOT/Tender/SplashBidNoticeAbstractUI.aspx?menuIndex=3&amp;refID=7083334&amp;Result=3","7083334")</f>
        <v>0</v>
      </c>
      <c r="B3986" t="s">
        <v>1076</v>
      </c>
      <c r="C3986" t="s">
        <v>7217</v>
      </c>
      <c r="D3986" t="s">
        <v>17487</v>
      </c>
      <c r="E3986" t="s">
        <v>20961</v>
      </c>
      <c r="F3986" t="s">
        <v>30052</v>
      </c>
      <c r="G3986" t="s">
        <v>30058</v>
      </c>
      <c r="H3986" t="s">
        <v>30067</v>
      </c>
      <c r="I3986" t="s">
        <v>3693</v>
      </c>
      <c r="J3986" t="s">
        <v>32796</v>
      </c>
      <c r="K3986" t="s">
        <v>39026</v>
      </c>
      <c r="M3986" t="s">
        <v>40411</v>
      </c>
      <c r="N3986" t="s">
        <v>43166</v>
      </c>
      <c r="O3986" t="s">
        <v>43167</v>
      </c>
      <c r="P3986">
        <v>0</v>
      </c>
      <c r="Q3986">
        <v>0</v>
      </c>
      <c r="R3986" t="s">
        <v>43171</v>
      </c>
      <c r="S3986" t="s">
        <v>43311</v>
      </c>
      <c r="T3986" t="s">
        <v>44981</v>
      </c>
      <c r="U3986" t="s">
        <v>48477</v>
      </c>
      <c r="W3986" t="s">
        <v>40411</v>
      </c>
      <c r="X3986" t="s">
        <v>43172</v>
      </c>
    </row>
    <row r="3987" spans="1:24">
      <c r="A3987">
        <f>HYPERLINK("https://www.philgeps.gov.ph/GEPSNONPILOT/Tender/SplashBidNoticeAbstractUI.aspx?menuIndex=3&amp;refID=7083319&amp;Result=3","7083319")</f>
        <v>0</v>
      </c>
      <c r="B3987" t="s">
        <v>1451</v>
      </c>
      <c r="C3987" t="s">
        <v>7218</v>
      </c>
      <c r="D3987" t="s">
        <v>17437</v>
      </c>
      <c r="E3987" t="s">
        <v>20962</v>
      </c>
      <c r="F3987" t="s">
        <v>30052</v>
      </c>
      <c r="G3987" t="s">
        <v>30058</v>
      </c>
      <c r="H3987" t="s">
        <v>15498</v>
      </c>
      <c r="I3987" t="s">
        <v>3736</v>
      </c>
      <c r="J3987" t="s">
        <v>32767</v>
      </c>
      <c r="K3987" t="s">
        <v>39019</v>
      </c>
      <c r="M3987" t="s">
        <v>40830</v>
      </c>
      <c r="N3987" t="s">
        <v>43166</v>
      </c>
      <c r="O3987" t="s">
        <v>43167</v>
      </c>
      <c r="P3987">
        <v>0</v>
      </c>
      <c r="Q3987">
        <v>0</v>
      </c>
      <c r="R3987" t="s">
        <v>43171</v>
      </c>
      <c r="S3987" t="s">
        <v>43311</v>
      </c>
      <c r="T3987" t="s">
        <v>44690</v>
      </c>
      <c r="U3987" t="s">
        <v>48478</v>
      </c>
      <c r="W3987" t="s">
        <v>40830</v>
      </c>
      <c r="X3987" t="s">
        <v>43172</v>
      </c>
    </row>
    <row r="3988" spans="1:24">
      <c r="A3988">
        <f>HYPERLINK("https://www.philgeps.gov.ph/GEPSNONPILOT/Tender/SplashBidNoticeAbstractUI.aspx?menuIndex=3&amp;refID=7083314&amp;Result=3","7083314")</f>
        <v>0</v>
      </c>
      <c r="B3988" t="s">
        <v>1464</v>
      </c>
      <c r="C3988" t="s">
        <v>7219</v>
      </c>
      <c r="D3988" t="s">
        <v>17415</v>
      </c>
      <c r="E3988" t="s">
        <v>20963</v>
      </c>
      <c r="F3988" t="s">
        <v>30052</v>
      </c>
      <c r="G3988" t="s">
        <v>30059</v>
      </c>
      <c r="H3988" t="s">
        <v>15498</v>
      </c>
      <c r="I3988" t="s">
        <v>30098</v>
      </c>
      <c r="J3988" t="s">
        <v>32797</v>
      </c>
      <c r="K3988" t="s">
        <v>39019</v>
      </c>
      <c r="M3988" t="s">
        <v>40845</v>
      </c>
      <c r="N3988" t="s">
        <v>43166</v>
      </c>
      <c r="O3988" t="s">
        <v>43167</v>
      </c>
      <c r="P3988">
        <v>0</v>
      </c>
      <c r="Q3988">
        <v>15</v>
      </c>
      <c r="R3988" t="s">
        <v>43171</v>
      </c>
      <c r="S3988" t="s">
        <v>43311</v>
      </c>
      <c r="T3988" t="s">
        <v>44721</v>
      </c>
      <c r="U3988" t="s">
        <v>48465</v>
      </c>
      <c r="W3988" t="s">
        <v>40845</v>
      </c>
      <c r="X3988" t="s">
        <v>43172</v>
      </c>
    </row>
    <row r="3989" spans="1:24">
      <c r="A3989">
        <f>HYPERLINK("https://www.philgeps.gov.ph/GEPSNONPILOT/Tender/SplashBidNoticeAbstractUI.aspx?menuIndex=3&amp;refID=7083324&amp;Result=3","7083324")</f>
        <v>0</v>
      </c>
      <c r="B3989" t="s">
        <v>1470</v>
      </c>
      <c r="C3989" t="s">
        <v>7220</v>
      </c>
      <c r="D3989" t="s">
        <v>17459</v>
      </c>
      <c r="E3989" t="s">
        <v>20964</v>
      </c>
      <c r="F3989" t="s">
        <v>30052</v>
      </c>
      <c r="G3989" t="s">
        <v>30058</v>
      </c>
      <c r="H3989" t="s">
        <v>15498</v>
      </c>
      <c r="I3989" t="s">
        <v>3736</v>
      </c>
      <c r="J3989" t="s">
        <v>32798</v>
      </c>
      <c r="K3989" t="s">
        <v>39019</v>
      </c>
      <c r="M3989" t="s">
        <v>40852</v>
      </c>
      <c r="N3989" t="s">
        <v>43166</v>
      </c>
      <c r="O3989" t="s">
        <v>43167</v>
      </c>
      <c r="P3989">
        <v>0</v>
      </c>
      <c r="Q3989">
        <v>0</v>
      </c>
      <c r="R3989" t="s">
        <v>43171</v>
      </c>
      <c r="S3989" t="s">
        <v>43311</v>
      </c>
      <c r="T3989" t="s">
        <v>44787</v>
      </c>
      <c r="U3989" t="s">
        <v>48479</v>
      </c>
      <c r="W3989" t="s">
        <v>40852</v>
      </c>
      <c r="X3989" t="s">
        <v>43172</v>
      </c>
    </row>
    <row r="3990" spans="1:24">
      <c r="A3990">
        <f>HYPERLINK("https://www.philgeps.gov.ph/GEPSNONPILOT/Tender/SplashBidNoticeAbstractUI.aspx?menuIndex=3&amp;refID=7083270&amp;Result=3","7083270")</f>
        <v>0</v>
      </c>
      <c r="B3990" t="s">
        <v>257</v>
      </c>
      <c r="C3990" t="s">
        <v>7221</v>
      </c>
      <c r="E3990" t="s">
        <v>20965</v>
      </c>
      <c r="F3990" t="s">
        <v>30052</v>
      </c>
      <c r="G3990" t="s">
        <v>30059</v>
      </c>
      <c r="H3990" t="s">
        <v>15498</v>
      </c>
      <c r="I3990" t="s">
        <v>30120</v>
      </c>
      <c r="J3990" t="s">
        <v>31499</v>
      </c>
      <c r="K3990" t="s">
        <v>39025</v>
      </c>
      <c r="M3990" t="s">
        <v>40839</v>
      </c>
      <c r="N3990" t="s">
        <v>43166</v>
      </c>
      <c r="O3990" t="s">
        <v>43167</v>
      </c>
      <c r="P3990">
        <v>0</v>
      </c>
      <c r="Q3990">
        <v>5</v>
      </c>
      <c r="R3990" t="s">
        <v>43171</v>
      </c>
      <c r="S3990" t="s">
        <v>43311</v>
      </c>
      <c r="T3990" t="s">
        <v>44837</v>
      </c>
      <c r="U3990" t="s">
        <v>48480</v>
      </c>
      <c r="W3990" t="s">
        <v>40839</v>
      </c>
      <c r="X3990" t="s">
        <v>43172</v>
      </c>
    </row>
    <row r="3991" spans="1:24">
      <c r="A3991">
        <f>HYPERLINK("https://www.philgeps.gov.ph/GEPSNONPILOT/Tender/SplashBidNoticeAbstractUI.aspx?menuIndex=3&amp;refID=7083320&amp;Result=3","7083320")</f>
        <v>0</v>
      </c>
      <c r="B3991" t="s">
        <v>1456</v>
      </c>
      <c r="C3991" t="s">
        <v>7222</v>
      </c>
      <c r="D3991" t="s">
        <v>17456</v>
      </c>
      <c r="E3991" t="s">
        <v>17979</v>
      </c>
      <c r="F3991" t="s">
        <v>30052</v>
      </c>
      <c r="G3991" t="s">
        <v>30058</v>
      </c>
      <c r="H3991" t="s">
        <v>15498</v>
      </c>
      <c r="I3991" t="s">
        <v>3852</v>
      </c>
      <c r="J3991" t="s">
        <v>30230</v>
      </c>
      <c r="K3991" t="s">
        <v>39017</v>
      </c>
      <c r="M3991" t="s">
        <v>40836</v>
      </c>
      <c r="N3991" t="s">
        <v>43166</v>
      </c>
      <c r="O3991" t="s">
        <v>43167</v>
      </c>
      <c r="P3991">
        <v>0</v>
      </c>
      <c r="Q3991">
        <v>1</v>
      </c>
      <c r="R3991" t="s">
        <v>43171</v>
      </c>
      <c r="S3991" t="s">
        <v>43311</v>
      </c>
      <c r="T3991" t="s">
        <v>44733</v>
      </c>
      <c r="U3991" t="s">
        <v>48481</v>
      </c>
      <c r="W3991" t="s">
        <v>40836</v>
      </c>
      <c r="X3991" t="s">
        <v>43172</v>
      </c>
    </row>
    <row r="3992" spans="1:24">
      <c r="A3992">
        <f>HYPERLINK("https://www.philgeps.gov.ph/GEPSNONPILOT/Tender/SplashBidNoticeAbstractUI.aspx?menuIndex=3&amp;refID=7083333&amp;Result=3","7083333")</f>
        <v>0</v>
      </c>
      <c r="B3992" t="s">
        <v>1471</v>
      </c>
      <c r="C3992" t="s">
        <v>7223</v>
      </c>
      <c r="D3992" t="s">
        <v>17445</v>
      </c>
      <c r="E3992" t="s">
        <v>7223</v>
      </c>
      <c r="F3992" t="s">
        <v>30052</v>
      </c>
      <c r="G3992" t="s">
        <v>30059</v>
      </c>
      <c r="H3992" t="s">
        <v>15498</v>
      </c>
      <c r="I3992" t="s">
        <v>3736</v>
      </c>
      <c r="J3992" t="s">
        <v>32799</v>
      </c>
      <c r="K3992" t="s">
        <v>39017</v>
      </c>
      <c r="M3992" t="s">
        <v>40853</v>
      </c>
      <c r="N3992" t="s">
        <v>43166</v>
      </c>
      <c r="O3992" t="s">
        <v>43167</v>
      </c>
      <c r="P3992">
        <v>0</v>
      </c>
      <c r="Q3992">
        <v>4</v>
      </c>
      <c r="R3992" t="s">
        <v>43171</v>
      </c>
      <c r="S3992" t="s">
        <v>43311</v>
      </c>
      <c r="T3992" t="s">
        <v>44698</v>
      </c>
      <c r="U3992" t="s">
        <v>48482</v>
      </c>
      <c r="W3992" t="s">
        <v>40853</v>
      </c>
      <c r="X3992" t="s">
        <v>43172</v>
      </c>
    </row>
    <row r="3993" spans="1:24">
      <c r="A3993">
        <f>HYPERLINK("https://www.philgeps.gov.ph/GEPSNONPILOT/Tender/SplashBidNoticeAbstractUI.aspx?menuIndex=3&amp;refID=7083269&amp;Result=3","7083269")</f>
        <v>0</v>
      </c>
      <c r="B3993" t="s">
        <v>1307</v>
      </c>
      <c r="C3993" t="s">
        <v>7224</v>
      </c>
      <c r="D3993" t="s">
        <v>17435</v>
      </c>
      <c r="E3993" t="s">
        <v>20966</v>
      </c>
      <c r="F3993" t="s">
        <v>30052</v>
      </c>
      <c r="G3993" t="s">
        <v>30058</v>
      </c>
      <c r="H3993" t="s">
        <v>30067</v>
      </c>
      <c r="I3993" t="s">
        <v>3693</v>
      </c>
      <c r="J3993" t="s">
        <v>31133</v>
      </c>
      <c r="K3993" t="s">
        <v>39129</v>
      </c>
      <c r="M3993" t="s">
        <v>40674</v>
      </c>
      <c r="N3993" t="s">
        <v>43166</v>
      </c>
      <c r="O3993" t="s">
        <v>43167</v>
      </c>
      <c r="P3993">
        <v>0</v>
      </c>
      <c r="Q3993">
        <v>0</v>
      </c>
      <c r="R3993" t="s">
        <v>43171</v>
      </c>
      <c r="S3993" t="s">
        <v>43311</v>
      </c>
      <c r="T3993" t="s">
        <v>44754</v>
      </c>
      <c r="U3993" t="s">
        <v>48483</v>
      </c>
      <c r="V3993" t="s">
        <v>57288</v>
      </c>
      <c r="W3993" t="s">
        <v>40674</v>
      </c>
      <c r="X3993" t="s">
        <v>43172</v>
      </c>
    </row>
    <row r="3994" spans="1:24">
      <c r="A3994">
        <f>HYPERLINK("https://www.philgeps.gov.ph/GEPSNONPILOT/Tender/SplashBidNoticeAbstractUI.aspx?menuIndex=3&amp;refID=7083398&amp;Result=3","7083398")</f>
        <v>0</v>
      </c>
      <c r="B3994" t="s">
        <v>1076</v>
      </c>
      <c r="C3994" t="s">
        <v>7225</v>
      </c>
      <c r="D3994" t="s">
        <v>17487</v>
      </c>
      <c r="E3994" t="s">
        <v>20967</v>
      </c>
      <c r="F3994" t="s">
        <v>30052</v>
      </c>
      <c r="G3994" t="s">
        <v>30058</v>
      </c>
      <c r="H3994" t="s">
        <v>30067</v>
      </c>
      <c r="I3994" t="s">
        <v>3693</v>
      </c>
      <c r="J3994" t="s">
        <v>32800</v>
      </c>
      <c r="K3994" t="s">
        <v>39046</v>
      </c>
      <c r="M3994" t="s">
        <v>40411</v>
      </c>
      <c r="N3994" t="s">
        <v>43166</v>
      </c>
      <c r="O3994" t="s">
        <v>43167</v>
      </c>
      <c r="P3994">
        <v>0</v>
      </c>
      <c r="Q3994">
        <v>0</v>
      </c>
      <c r="R3994" t="s">
        <v>43171</v>
      </c>
      <c r="S3994" t="s">
        <v>43311</v>
      </c>
      <c r="T3994" t="s">
        <v>44981</v>
      </c>
      <c r="U3994" t="s">
        <v>48477</v>
      </c>
      <c r="W3994" t="s">
        <v>40411</v>
      </c>
      <c r="X3994" t="s">
        <v>43172</v>
      </c>
    </row>
    <row r="3995" spans="1:24">
      <c r="A3995">
        <f>HYPERLINK("https://www.philgeps.gov.ph/GEPSNONPILOT/Tender/SplashBidNoticeAbstractUI.aspx?menuIndex=3&amp;refID=7083328&amp;Result=3","7083328")</f>
        <v>0</v>
      </c>
      <c r="B3995" t="s">
        <v>1472</v>
      </c>
      <c r="C3995" t="s">
        <v>7226</v>
      </c>
      <c r="D3995" t="s">
        <v>17489</v>
      </c>
      <c r="E3995" t="s">
        <v>20968</v>
      </c>
      <c r="F3995" t="s">
        <v>30052</v>
      </c>
      <c r="G3995" t="s">
        <v>30059</v>
      </c>
      <c r="H3995" t="s">
        <v>15498</v>
      </c>
      <c r="I3995" t="s">
        <v>30081</v>
      </c>
      <c r="J3995" t="s">
        <v>31199</v>
      </c>
      <c r="K3995" t="s">
        <v>39037</v>
      </c>
      <c r="M3995" t="s">
        <v>40854</v>
      </c>
      <c r="N3995" t="s">
        <v>43166</v>
      </c>
      <c r="O3995" t="s">
        <v>43167</v>
      </c>
      <c r="P3995">
        <v>0</v>
      </c>
      <c r="Q3995">
        <v>0</v>
      </c>
      <c r="R3995" t="s">
        <v>43171</v>
      </c>
      <c r="S3995" t="s">
        <v>43311</v>
      </c>
      <c r="T3995" t="s">
        <v>44773</v>
      </c>
      <c r="U3995" t="s">
        <v>48484</v>
      </c>
      <c r="W3995" t="s">
        <v>40854</v>
      </c>
      <c r="X3995" t="s">
        <v>43172</v>
      </c>
    </row>
    <row r="3996" spans="1:24">
      <c r="A3996">
        <f>HYPERLINK("https://www.philgeps.gov.ph/GEPSNONPILOT/Tender/SplashBidNoticeAbstractUI.aspx?menuIndex=3&amp;refID=7083316&amp;Result=3","7083316")</f>
        <v>0</v>
      </c>
      <c r="B3996" t="s">
        <v>1473</v>
      </c>
      <c r="C3996" t="s">
        <v>7227</v>
      </c>
      <c r="D3996" t="s">
        <v>17424</v>
      </c>
      <c r="E3996" t="s">
        <v>20969</v>
      </c>
      <c r="F3996" t="s">
        <v>30055</v>
      </c>
      <c r="G3996" t="s">
        <v>30059</v>
      </c>
      <c r="H3996" t="s">
        <v>15498</v>
      </c>
      <c r="I3996" t="s">
        <v>30078</v>
      </c>
      <c r="J3996" t="s">
        <v>30551</v>
      </c>
      <c r="K3996" t="s">
        <v>39034</v>
      </c>
      <c r="M3996" t="s">
        <v>40855</v>
      </c>
      <c r="N3996" t="s">
        <v>43166</v>
      </c>
      <c r="O3996" t="s">
        <v>43167</v>
      </c>
      <c r="P3996">
        <v>0</v>
      </c>
      <c r="Q3996">
        <v>0</v>
      </c>
      <c r="R3996" t="s">
        <v>43171</v>
      </c>
      <c r="S3996" t="s">
        <v>43311</v>
      </c>
      <c r="T3996" t="s">
        <v>44732</v>
      </c>
      <c r="U3996" t="s">
        <v>48485</v>
      </c>
      <c r="V3996" t="s">
        <v>57289</v>
      </c>
      <c r="W3996" t="s">
        <v>40855</v>
      </c>
      <c r="X3996" t="s">
        <v>43172</v>
      </c>
    </row>
    <row r="3997" spans="1:24">
      <c r="A3997">
        <f>HYPERLINK("https://www.philgeps.gov.ph/GEPSNONPILOT/Tender/SplashBidNoticeAbstractUI.aspx?menuIndex=3&amp;refID=7083396&amp;Result=3","7083396")</f>
        <v>0</v>
      </c>
      <c r="B3997" t="s">
        <v>881</v>
      </c>
      <c r="C3997" t="s">
        <v>7228</v>
      </c>
      <c r="E3997" t="s">
        <v>20970</v>
      </c>
      <c r="F3997" t="s">
        <v>30052</v>
      </c>
      <c r="G3997" t="s">
        <v>30059</v>
      </c>
      <c r="H3997" t="s">
        <v>15498</v>
      </c>
      <c r="I3997" t="s">
        <v>7228</v>
      </c>
      <c r="J3997" t="s">
        <v>32801</v>
      </c>
      <c r="K3997" t="s">
        <v>39025</v>
      </c>
      <c r="M3997" t="s">
        <v>40200</v>
      </c>
      <c r="N3997" t="s">
        <v>43166</v>
      </c>
      <c r="O3997" t="s">
        <v>43167</v>
      </c>
      <c r="P3997">
        <v>0</v>
      </c>
      <c r="Q3997">
        <v>1</v>
      </c>
      <c r="R3997" t="s">
        <v>43171</v>
      </c>
      <c r="S3997" t="s">
        <v>43311</v>
      </c>
      <c r="T3997" t="s">
        <v>44777</v>
      </c>
      <c r="U3997" t="s">
        <v>48486</v>
      </c>
      <c r="W3997" t="s">
        <v>40200</v>
      </c>
      <c r="X3997" t="s">
        <v>43172</v>
      </c>
    </row>
    <row r="3998" spans="1:24">
      <c r="A3998">
        <f>HYPERLINK("https://www.philgeps.gov.ph/GEPSNONPILOT/Tender/SplashBidNoticeAbstractUI.aspx?menuIndex=3&amp;refID=7083395&amp;Result=3","7083395")</f>
        <v>0</v>
      </c>
      <c r="B3998" t="s">
        <v>1190</v>
      </c>
      <c r="C3998" t="s">
        <v>7229</v>
      </c>
      <c r="D3998" t="s">
        <v>17415</v>
      </c>
      <c r="E3998" t="s">
        <v>20971</v>
      </c>
      <c r="F3998" t="s">
        <v>30052</v>
      </c>
      <c r="G3998" t="s">
        <v>30059</v>
      </c>
      <c r="H3998" t="s">
        <v>15498</v>
      </c>
      <c r="I3998" t="s">
        <v>30096</v>
      </c>
      <c r="J3998" t="s">
        <v>32802</v>
      </c>
      <c r="K3998" t="s">
        <v>39025</v>
      </c>
      <c r="M3998" t="s">
        <v>40848</v>
      </c>
      <c r="N3998" t="s">
        <v>43166</v>
      </c>
      <c r="O3998" t="s">
        <v>43167</v>
      </c>
      <c r="P3998">
        <v>0</v>
      </c>
      <c r="Q3998">
        <v>11</v>
      </c>
      <c r="R3998" t="s">
        <v>43171</v>
      </c>
      <c r="S3998" t="s">
        <v>43311</v>
      </c>
      <c r="T3998" t="s">
        <v>44732</v>
      </c>
      <c r="U3998" t="s">
        <v>48487</v>
      </c>
      <c r="W3998" t="s">
        <v>40848</v>
      </c>
      <c r="X3998" t="s">
        <v>43172</v>
      </c>
    </row>
    <row r="3999" spans="1:24">
      <c r="A3999">
        <f>HYPERLINK("https://www.philgeps.gov.ph/GEPSNONPILOT/Tender/SplashBidNoticeAbstractUI.aspx?menuIndex=3&amp;refID=7083392&amp;Result=3","7083392")</f>
        <v>0</v>
      </c>
      <c r="B3999" t="s">
        <v>521</v>
      </c>
      <c r="C3999" t="s">
        <v>7230</v>
      </c>
      <c r="D3999" t="s">
        <v>17415</v>
      </c>
      <c r="E3999" t="s">
        <v>20972</v>
      </c>
      <c r="F3999" t="s">
        <v>30052</v>
      </c>
      <c r="G3999" t="s">
        <v>30059</v>
      </c>
      <c r="H3999" t="s">
        <v>30069</v>
      </c>
      <c r="I3999" t="s">
        <v>9238</v>
      </c>
      <c r="J3999" t="s">
        <v>31377</v>
      </c>
      <c r="K3999" t="s">
        <v>39019</v>
      </c>
      <c r="M3999" t="s">
        <v>39823</v>
      </c>
      <c r="N3999" t="s">
        <v>43166</v>
      </c>
      <c r="O3999" t="s">
        <v>43167</v>
      </c>
      <c r="P3999">
        <v>0</v>
      </c>
      <c r="Q3999">
        <v>5</v>
      </c>
      <c r="R3999" t="s">
        <v>43171</v>
      </c>
      <c r="S3999" t="s">
        <v>43311</v>
      </c>
      <c r="T3999" t="s">
        <v>44856</v>
      </c>
      <c r="U3999" t="s">
        <v>48488</v>
      </c>
      <c r="V3999" t="s">
        <v>56959</v>
      </c>
      <c r="W3999" t="s">
        <v>58603</v>
      </c>
      <c r="X3999" t="s">
        <v>43172</v>
      </c>
    </row>
    <row r="4000" spans="1:24">
      <c r="A4000">
        <f>HYPERLINK("https://www.philgeps.gov.ph/GEPSNONPILOT/Tender/SplashBidNoticeAbstractUI.aspx?menuIndex=3&amp;refID=7083388&amp;Result=3","7083388")</f>
        <v>0</v>
      </c>
      <c r="B4000" t="s">
        <v>990</v>
      </c>
      <c r="C4000" t="s">
        <v>7231</v>
      </c>
      <c r="D4000" t="s">
        <v>17474</v>
      </c>
      <c r="E4000" t="s">
        <v>20973</v>
      </c>
      <c r="F4000" t="s">
        <v>30052</v>
      </c>
      <c r="G4000" t="s">
        <v>30058</v>
      </c>
      <c r="H4000" t="s">
        <v>15498</v>
      </c>
      <c r="I4000" t="s">
        <v>30097</v>
      </c>
      <c r="J4000" t="s">
        <v>32803</v>
      </c>
      <c r="K4000" t="s">
        <v>39029</v>
      </c>
      <c r="M4000" t="s">
        <v>40317</v>
      </c>
      <c r="N4000" t="s">
        <v>43166</v>
      </c>
      <c r="O4000" t="s">
        <v>43167</v>
      </c>
      <c r="P4000">
        <v>0</v>
      </c>
      <c r="Q4000">
        <v>7</v>
      </c>
      <c r="R4000" t="s">
        <v>43171</v>
      </c>
      <c r="S4000" t="s">
        <v>43311</v>
      </c>
      <c r="T4000" t="s">
        <v>44793</v>
      </c>
      <c r="U4000" t="s">
        <v>48489</v>
      </c>
      <c r="V4000" t="s">
        <v>57290</v>
      </c>
      <c r="W4000" t="s">
        <v>40317</v>
      </c>
      <c r="X4000" t="s">
        <v>43172</v>
      </c>
    </row>
    <row r="4001" spans="1:24">
      <c r="A4001">
        <f>HYPERLINK("https://www.philgeps.gov.ph/GEPSNONPILOT/Tender/SplashBidNoticeAbstractUI.aspx?menuIndex=3&amp;refID=7083391&amp;Result=3","7083391")</f>
        <v>0</v>
      </c>
      <c r="B4001" t="s">
        <v>1467</v>
      </c>
      <c r="C4001" t="s">
        <v>7232</v>
      </c>
      <c r="D4001" t="s">
        <v>17464</v>
      </c>
      <c r="E4001" t="s">
        <v>20974</v>
      </c>
      <c r="F4001" t="s">
        <v>30052</v>
      </c>
      <c r="G4001" t="s">
        <v>30059</v>
      </c>
      <c r="H4001" t="s">
        <v>15498</v>
      </c>
      <c r="I4001" t="s">
        <v>30071</v>
      </c>
      <c r="J4001" t="s">
        <v>32804</v>
      </c>
      <c r="K4001" t="s">
        <v>39029</v>
      </c>
      <c r="M4001" t="s">
        <v>40849</v>
      </c>
      <c r="N4001" t="s">
        <v>43166</v>
      </c>
      <c r="O4001" t="s">
        <v>43167</v>
      </c>
      <c r="P4001">
        <v>0</v>
      </c>
      <c r="Q4001">
        <v>0</v>
      </c>
      <c r="R4001" t="s">
        <v>43171</v>
      </c>
      <c r="S4001" t="s">
        <v>43311</v>
      </c>
      <c r="T4001" t="s">
        <v>44678</v>
      </c>
      <c r="U4001" t="s">
        <v>48470</v>
      </c>
      <c r="W4001" t="s">
        <v>40849</v>
      </c>
      <c r="X4001" t="s">
        <v>43172</v>
      </c>
    </row>
    <row r="4002" spans="1:24">
      <c r="A4002">
        <f>HYPERLINK("https://www.philgeps.gov.ph/GEPSNONPILOT/Tender/SplashBidNoticeAbstractUI.aspx?menuIndex=3&amp;refID=7083375&amp;Result=3","7083375")</f>
        <v>0</v>
      </c>
      <c r="B4002" t="s">
        <v>1474</v>
      </c>
      <c r="C4002" t="s">
        <v>7233</v>
      </c>
      <c r="D4002" t="s">
        <v>17471</v>
      </c>
      <c r="E4002" t="s">
        <v>20975</v>
      </c>
      <c r="F4002" t="s">
        <v>30052</v>
      </c>
      <c r="G4002" t="s">
        <v>30060</v>
      </c>
      <c r="H4002" t="s">
        <v>15498</v>
      </c>
      <c r="I4002" t="s">
        <v>30130</v>
      </c>
      <c r="J4002" t="s">
        <v>30494</v>
      </c>
      <c r="K4002" t="s">
        <v>39025</v>
      </c>
      <c r="M4002" t="s">
        <v>40856</v>
      </c>
      <c r="N4002" t="s">
        <v>43166</v>
      </c>
      <c r="O4002" t="s">
        <v>43167</v>
      </c>
      <c r="P4002">
        <v>0</v>
      </c>
      <c r="Q4002">
        <v>23</v>
      </c>
      <c r="R4002" t="s">
        <v>43171</v>
      </c>
      <c r="S4002" t="s">
        <v>43311</v>
      </c>
      <c r="T4002" t="s">
        <v>44699</v>
      </c>
      <c r="U4002" t="s">
        <v>48490</v>
      </c>
      <c r="W4002" t="s">
        <v>40856</v>
      </c>
      <c r="X4002" t="s">
        <v>43172</v>
      </c>
    </row>
    <row r="4003" spans="1:24">
      <c r="A4003">
        <f>HYPERLINK("https://www.philgeps.gov.ph/GEPSNONPILOT/Tender/SplashBidNoticeAbstractUI.aspx?menuIndex=3&amp;refID=7083373&amp;Result=3","7083373")</f>
        <v>0</v>
      </c>
      <c r="B4003" t="s">
        <v>1472</v>
      </c>
      <c r="C4003" t="s">
        <v>7234</v>
      </c>
      <c r="D4003" t="s">
        <v>17489</v>
      </c>
      <c r="E4003" t="s">
        <v>20976</v>
      </c>
      <c r="F4003" t="s">
        <v>30052</v>
      </c>
      <c r="G4003" t="s">
        <v>30059</v>
      </c>
      <c r="H4003" t="s">
        <v>15498</v>
      </c>
      <c r="I4003" t="s">
        <v>6691</v>
      </c>
      <c r="J4003" t="s">
        <v>32805</v>
      </c>
      <c r="K4003" t="s">
        <v>39037</v>
      </c>
      <c r="M4003" t="s">
        <v>40854</v>
      </c>
      <c r="N4003" t="s">
        <v>43166</v>
      </c>
      <c r="O4003" t="s">
        <v>43167</v>
      </c>
      <c r="P4003">
        <v>0</v>
      </c>
      <c r="Q4003">
        <v>0</v>
      </c>
      <c r="R4003" t="s">
        <v>43171</v>
      </c>
      <c r="S4003" t="s">
        <v>43311</v>
      </c>
      <c r="T4003" t="s">
        <v>44773</v>
      </c>
      <c r="U4003" t="s">
        <v>48484</v>
      </c>
      <c r="W4003" t="s">
        <v>40854</v>
      </c>
      <c r="X4003" t="s">
        <v>43172</v>
      </c>
    </row>
    <row r="4004" spans="1:24">
      <c r="A4004">
        <f>HYPERLINK("https://www.philgeps.gov.ph/GEPSNONPILOT/Tender/SplashBidNoticeAbstractUI.aspx?menuIndex=3&amp;refID=7083397&amp;Result=3","7083397")</f>
        <v>0</v>
      </c>
      <c r="B4004" t="s">
        <v>1475</v>
      </c>
      <c r="C4004" t="s">
        <v>7235</v>
      </c>
      <c r="D4004" t="s">
        <v>17466</v>
      </c>
      <c r="E4004" t="s">
        <v>20977</v>
      </c>
      <c r="F4004" t="s">
        <v>30052</v>
      </c>
      <c r="G4004" t="s">
        <v>30059</v>
      </c>
      <c r="H4004" t="s">
        <v>15498</v>
      </c>
      <c r="I4004" t="s">
        <v>30076</v>
      </c>
      <c r="J4004" t="s">
        <v>32806</v>
      </c>
      <c r="K4004" t="s">
        <v>39034</v>
      </c>
      <c r="M4004" t="s">
        <v>40857</v>
      </c>
      <c r="N4004" t="s">
        <v>43166</v>
      </c>
      <c r="O4004" t="s">
        <v>43167</v>
      </c>
      <c r="P4004">
        <v>0</v>
      </c>
      <c r="Q4004">
        <v>4</v>
      </c>
      <c r="R4004" t="s">
        <v>43171</v>
      </c>
      <c r="S4004" t="s">
        <v>43311</v>
      </c>
      <c r="T4004" t="s">
        <v>44777</v>
      </c>
      <c r="U4004" t="s">
        <v>48491</v>
      </c>
      <c r="W4004" t="s">
        <v>58640</v>
      </c>
      <c r="X4004" t="s">
        <v>43172</v>
      </c>
    </row>
    <row r="4005" spans="1:24">
      <c r="A4005">
        <f>HYPERLINK("https://www.philgeps.gov.ph/GEPSNONPILOT/Tender/SplashBidNoticeAbstractUI.aspx?menuIndex=3&amp;refID=7083361&amp;Result=3","7083361")</f>
        <v>0</v>
      </c>
      <c r="B4005" t="s">
        <v>1434</v>
      </c>
      <c r="C4005" t="s">
        <v>7236</v>
      </c>
      <c r="D4005" t="s">
        <v>17474</v>
      </c>
      <c r="E4005" t="s">
        <v>20978</v>
      </c>
      <c r="F4005" t="s">
        <v>30052</v>
      </c>
      <c r="G4005" t="s">
        <v>30059</v>
      </c>
      <c r="H4005" t="s">
        <v>15498</v>
      </c>
      <c r="I4005" t="s">
        <v>30084</v>
      </c>
      <c r="J4005" t="s">
        <v>31271</v>
      </c>
      <c r="K4005" t="s">
        <v>39029</v>
      </c>
      <c r="M4005" t="s">
        <v>40812</v>
      </c>
      <c r="N4005" t="s">
        <v>43166</v>
      </c>
      <c r="O4005" t="s">
        <v>43167</v>
      </c>
      <c r="P4005">
        <v>0</v>
      </c>
      <c r="Q4005">
        <v>0</v>
      </c>
      <c r="R4005" t="s">
        <v>43171</v>
      </c>
      <c r="S4005" t="s">
        <v>43311</v>
      </c>
      <c r="T4005" t="s">
        <v>44717</v>
      </c>
      <c r="U4005" t="s">
        <v>48492</v>
      </c>
      <c r="W4005" t="s">
        <v>40812</v>
      </c>
      <c r="X4005" t="s">
        <v>43172</v>
      </c>
    </row>
    <row r="4006" spans="1:24">
      <c r="A4006">
        <f>HYPERLINK("https://www.philgeps.gov.ph/GEPSNONPILOT/Tender/SplashBidNoticeAbstractUI.aspx?menuIndex=3&amp;refID=7083332&amp;Result=3","7083332")</f>
        <v>0</v>
      </c>
      <c r="B4006" t="s">
        <v>1474</v>
      </c>
      <c r="C4006" t="s">
        <v>7233</v>
      </c>
      <c r="D4006" t="s">
        <v>17471</v>
      </c>
      <c r="E4006" t="s">
        <v>20979</v>
      </c>
      <c r="F4006" t="s">
        <v>30052</v>
      </c>
      <c r="G4006" t="s">
        <v>30060</v>
      </c>
      <c r="H4006" t="s">
        <v>15498</v>
      </c>
      <c r="I4006" t="s">
        <v>30130</v>
      </c>
      <c r="J4006" t="s">
        <v>32807</v>
      </c>
      <c r="K4006" t="s">
        <v>39025</v>
      </c>
      <c r="M4006" t="s">
        <v>40856</v>
      </c>
      <c r="N4006" t="s">
        <v>43166</v>
      </c>
      <c r="O4006" t="s">
        <v>43167</v>
      </c>
      <c r="P4006">
        <v>0</v>
      </c>
      <c r="Q4006">
        <v>16</v>
      </c>
      <c r="R4006" t="s">
        <v>43171</v>
      </c>
      <c r="S4006" t="s">
        <v>43311</v>
      </c>
      <c r="T4006" t="s">
        <v>44699</v>
      </c>
      <c r="U4006" t="s">
        <v>48490</v>
      </c>
      <c r="W4006" t="s">
        <v>40856</v>
      </c>
      <c r="X4006" t="s">
        <v>43172</v>
      </c>
    </row>
    <row r="4007" spans="1:24">
      <c r="A4007">
        <f>HYPERLINK("https://www.philgeps.gov.ph/GEPSNONPILOT/Tender/SplashBidNoticeAbstractUI.aspx?menuIndex=3&amp;refID=7083385&amp;Result=3","7083385")</f>
        <v>0</v>
      </c>
      <c r="B4007" t="s">
        <v>1350</v>
      </c>
      <c r="C4007" t="s">
        <v>7237</v>
      </c>
      <c r="D4007" t="s">
        <v>17415</v>
      </c>
      <c r="E4007" t="s">
        <v>20980</v>
      </c>
      <c r="F4007" t="s">
        <v>30052</v>
      </c>
      <c r="G4007" t="s">
        <v>30058</v>
      </c>
      <c r="H4007" t="s">
        <v>15498</v>
      </c>
      <c r="I4007" t="s">
        <v>9238</v>
      </c>
      <c r="J4007" t="s">
        <v>32808</v>
      </c>
      <c r="K4007" t="s">
        <v>39025</v>
      </c>
      <c r="L4007" t="s">
        <v>1350</v>
      </c>
      <c r="M4007" t="s">
        <v>40719</v>
      </c>
      <c r="N4007" t="s">
        <v>43166</v>
      </c>
      <c r="O4007" t="s">
        <v>43167</v>
      </c>
      <c r="P4007">
        <v>0</v>
      </c>
      <c r="Q4007">
        <v>19</v>
      </c>
      <c r="R4007" t="s">
        <v>43171</v>
      </c>
      <c r="S4007" t="s">
        <v>43311</v>
      </c>
      <c r="T4007" t="s">
        <v>44789</v>
      </c>
      <c r="U4007" t="s">
        <v>48208</v>
      </c>
      <c r="W4007" t="s">
        <v>40719</v>
      </c>
      <c r="X4007" t="s">
        <v>43172</v>
      </c>
    </row>
    <row r="4008" spans="1:24">
      <c r="A4008">
        <f>HYPERLINK("https://www.philgeps.gov.ph/GEPSNONPILOT/Tender/SplashBidNoticeAbstractUI.aspx?menuIndex=3&amp;refID=7083357&amp;Result=3","7083357")</f>
        <v>0</v>
      </c>
      <c r="B4008" t="s">
        <v>1076</v>
      </c>
      <c r="C4008" t="s">
        <v>7238</v>
      </c>
      <c r="D4008" t="s">
        <v>17487</v>
      </c>
      <c r="E4008" t="s">
        <v>20981</v>
      </c>
      <c r="F4008" t="s">
        <v>30052</v>
      </c>
      <c r="G4008" t="s">
        <v>30058</v>
      </c>
      <c r="H4008" t="s">
        <v>30067</v>
      </c>
      <c r="I4008" t="s">
        <v>3693</v>
      </c>
      <c r="J4008" t="s">
        <v>32809</v>
      </c>
      <c r="K4008" t="s">
        <v>39026</v>
      </c>
      <c r="M4008" t="s">
        <v>40411</v>
      </c>
      <c r="N4008" t="s">
        <v>43166</v>
      </c>
      <c r="O4008" t="s">
        <v>43167</v>
      </c>
      <c r="P4008">
        <v>0</v>
      </c>
      <c r="Q4008">
        <v>0</v>
      </c>
      <c r="R4008" t="s">
        <v>43171</v>
      </c>
      <c r="S4008" t="s">
        <v>43311</v>
      </c>
      <c r="T4008" t="s">
        <v>44981</v>
      </c>
      <c r="U4008" t="s">
        <v>48477</v>
      </c>
      <c r="W4008" t="s">
        <v>40411</v>
      </c>
      <c r="X4008" t="s">
        <v>43172</v>
      </c>
    </row>
    <row r="4009" spans="1:24">
      <c r="A4009">
        <f>HYPERLINK("https://www.philgeps.gov.ph/GEPSNONPILOT/Tender/SplashBidNoticeAbstractUI.aspx?menuIndex=3&amp;refID=7083356&amp;Result=3","7083356")</f>
        <v>0</v>
      </c>
      <c r="B4009" t="s">
        <v>1447</v>
      </c>
      <c r="C4009" t="s">
        <v>7239</v>
      </c>
      <c r="D4009" t="s">
        <v>17492</v>
      </c>
      <c r="E4009" t="s">
        <v>20982</v>
      </c>
      <c r="F4009" t="s">
        <v>30052</v>
      </c>
      <c r="G4009" t="s">
        <v>30058</v>
      </c>
      <c r="H4009" t="s">
        <v>30067</v>
      </c>
      <c r="I4009" t="s">
        <v>3693</v>
      </c>
      <c r="J4009" t="s">
        <v>32810</v>
      </c>
      <c r="K4009" t="s">
        <v>39049</v>
      </c>
      <c r="M4009" t="s">
        <v>40825</v>
      </c>
      <c r="N4009" t="s">
        <v>43166</v>
      </c>
      <c r="O4009" t="s">
        <v>43167</v>
      </c>
      <c r="P4009">
        <v>0</v>
      </c>
      <c r="Q4009">
        <v>0</v>
      </c>
      <c r="R4009" t="s">
        <v>43171</v>
      </c>
      <c r="S4009" t="s">
        <v>43311</v>
      </c>
      <c r="T4009" t="s">
        <v>44726</v>
      </c>
      <c r="U4009" t="s">
        <v>48493</v>
      </c>
      <c r="W4009" t="s">
        <v>40825</v>
      </c>
      <c r="X4009" t="s">
        <v>43172</v>
      </c>
    </row>
    <row r="4010" spans="1:24">
      <c r="A4010">
        <f>HYPERLINK("https://www.philgeps.gov.ph/GEPSNONPILOT/Tender/SplashBidNoticeAbstractUI.aspx?menuIndex=3&amp;refID=7083370&amp;Result=3","7083370")</f>
        <v>0</v>
      </c>
      <c r="B4010" t="s">
        <v>1428</v>
      </c>
      <c r="C4010" t="s">
        <v>7240</v>
      </c>
      <c r="D4010" t="s">
        <v>17463</v>
      </c>
      <c r="E4010" t="s">
        <v>20983</v>
      </c>
      <c r="F4010" t="s">
        <v>30052</v>
      </c>
      <c r="G4010" t="s">
        <v>30058</v>
      </c>
      <c r="H4010" t="s">
        <v>15498</v>
      </c>
      <c r="I4010" t="s">
        <v>30144</v>
      </c>
      <c r="J4010" t="s">
        <v>30337</v>
      </c>
      <c r="K4010" t="s">
        <v>39034</v>
      </c>
      <c r="M4010" t="s">
        <v>40806</v>
      </c>
      <c r="N4010" t="s">
        <v>43166</v>
      </c>
      <c r="O4010" t="s">
        <v>43167</v>
      </c>
      <c r="P4010">
        <v>0</v>
      </c>
      <c r="Q4010">
        <v>0</v>
      </c>
      <c r="R4010" t="s">
        <v>43171</v>
      </c>
      <c r="S4010" t="s">
        <v>43311</v>
      </c>
      <c r="T4010" t="s">
        <v>44700</v>
      </c>
      <c r="U4010" t="s">
        <v>48494</v>
      </c>
      <c r="W4010" t="s">
        <v>40806</v>
      </c>
      <c r="X4010" t="s">
        <v>43172</v>
      </c>
    </row>
    <row r="4011" spans="1:24">
      <c r="A4011">
        <f>HYPERLINK("https://www.philgeps.gov.ph/GEPSNONPILOT/Tender/SplashBidNoticeAbstractUI.aspx?menuIndex=3&amp;refID=7083368&amp;Result=3","7083368")</f>
        <v>0</v>
      </c>
      <c r="B4011" t="s">
        <v>1443</v>
      </c>
      <c r="C4011" t="s">
        <v>7241</v>
      </c>
      <c r="D4011" t="s">
        <v>17436</v>
      </c>
      <c r="E4011" t="s">
        <v>20984</v>
      </c>
      <c r="F4011" t="s">
        <v>30052</v>
      </c>
      <c r="G4011" t="s">
        <v>30058</v>
      </c>
      <c r="H4011" t="s">
        <v>15498</v>
      </c>
      <c r="I4011" t="s">
        <v>3736</v>
      </c>
      <c r="J4011" t="s">
        <v>32811</v>
      </c>
      <c r="K4011" t="s">
        <v>39025</v>
      </c>
      <c r="M4011" t="s">
        <v>40821</v>
      </c>
      <c r="N4011" t="s">
        <v>43166</v>
      </c>
      <c r="O4011" t="s">
        <v>43167</v>
      </c>
      <c r="P4011">
        <v>0</v>
      </c>
      <c r="Q4011">
        <v>0</v>
      </c>
      <c r="R4011" t="s">
        <v>43171</v>
      </c>
      <c r="S4011" t="s">
        <v>43311</v>
      </c>
      <c r="T4011" t="s">
        <v>44733</v>
      </c>
      <c r="U4011" t="s">
        <v>48495</v>
      </c>
      <c r="W4011" t="s">
        <v>40821</v>
      </c>
      <c r="X4011" t="s">
        <v>43172</v>
      </c>
    </row>
    <row r="4012" spans="1:24">
      <c r="A4012">
        <f>HYPERLINK("https://www.philgeps.gov.ph/GEPSNONPILOT/Tender/SplashBidNoticeAbstractUI.aspx?menuIndex=3&amp;refID=7083431&amp;Result=3","7083431")</f>
        <v>0</v>
      </c>
      <c r="B4012" t="s">
        <v>701</v>
      </c>
      <c r="C4012" t="s">
        <v>7242</v>
      </c>
      <c r="D4012" t="s">
        <v>17419</v>
      </c>
      <c r="E4012" t="s">
        <v>20985</v>
      </c>
      <c r="F4012" t="s">
        <v>30052</v>
      </c>
      <c r="G4012" t="s">
        <v>30061</v>
      </c>
      <c r="H4012" t="s">
        <v>15498</v>
      </c>
      <c r="I4012" t="s">
        <v>30070</v>
      </c>
      <c r="J4012" t="s">
        <v>30207</v>
      </c>
      <c r="K4012" t="s">
        <v>39025</v>
      </c>
      <c r="M4012" t="s">
        <v>40858</v>
      </c>
      <c r="N4012" t="s">
        <v>43166</v>
      </c>
      <c r="O4012" t="s">
        <v>43167</v>
      </c>
      <c r="P4012">
        <v>0</v>
      </c>
      <c r="Q4012">
        <v>0</v>
      </c>
      <c r="R4012" t="s">
        <v>43171</v>
      </c>
      <c r="S4012" t="s">
        <v>43311</v>
      </c>
      <c r="T4012" t="s">
        <v>44717</v>
      </c>
      <c r="U4012" t="s">
        <v>48496</v>
      </c>
      <c r="W4012" t="s">
        <v>40858</v>
      </c>
      <c r="X4012" t="s">
        <v>43172</v>
      </c>
    </row>
    <row r="4013" spans="1:24">
      <c r="A4013">
        <f>HYPERLINK("https://www.philgeps.gov.ph/GEPSNONPILOT/Tender/SplashBidNoticeAbstractUI.aspx?menuIndex=3&amp;refID=7083429&amp;Result=3","7083429")</f>
        <v>0</v>
      </c>
      <c r="B4013" t="s">
        <v>1190</v>
      </c>
      <c r="C4013" t="s">
        <v>7243</v>
      </c>
      <c r="D4013" t="s">
        <v>17415</v>
      </c>
      <c r="E4013" t="s">
        <v>20986</v>
      </c>
      <c r="F4013" t="s">
        <v>30052</v>
      </c>
      <c r="G4013" t="s">
        <v>30059</v>
      </c>
      <c r="H4013" t="s">
        <v>15498</v>
      </c>
      <c r="I4013" t="s">
        <v>30084</v>
      </c>
      <c r="J4013" t="s">
        <v>32812</v>
      </c>
      <c r="K4013" t="s">
        <v>39019</v>
      </c>
      <c r="M4013" t="s">
        <v>40848</v>
      </c>
      <c r="N4013" t="s">
        <v>43166</v>
      </c>
      <c r="O4013" t="s">
        <v>43167</v>
      </c>
      <c r="P4013">
        <v>0</v>
      </c>
      <c r="Q4013">
        <v>1</v>
      </c>
      <c r="R4013" t="s">
        <v>43171</v>
      </c>
      <c r="S4013" t="s">
        <v>43311</v>
      </c>
      <c r="T4013" t="s">
        <v>44732</v>
      </c>
      <c r="U4013" t="s">
        <v>48497</v>
      </c>
      <c r="W4013" t="s">
        <v>40848</v>
      </c>
      <c r="X4013" t="s">
        <v>43172</v>
      </c>
    </row>
    <row r="4014" spans="1:24">
      <c r="A4014">
        <f>HYPERLINK("https://www.philgeps.gov.ph/GEPSNONPILOT/Tender/SplashBidNoticeAbstractUI.aspx?menuIndex=3&amp;refID=7083358&amp;Result=3","7083358")</f>
        <v>0</v>
      </c>
      <c r="B4014" t="s">
        <v>1468</v>
      </c>
      <c r="C4014" t="s">
        <v>7244</v>
      </c>
      <c r="D4014" t="s">
        <v>17423</v>
      </c>
      <c r="E4014" t="s">
        <v>20987</v>
      </c>
      <c r="F4014" t="s">
        <v>30052</v>
      </c>
      <c r="G4014" t="s">
        <v>30059</v>
      </c>
      <c r="H4014" t="s">
        <v>15498</v>
      </c>
      <c r="I4014" t="s">
        <v>30081</v>
      </c>
      <c r="J4014" t="s">
        <v>30447</v>
      </c>
      <c r="K4014" t="s">
        <v>39029</v>
      </c>
      <c r="M4014" t="s">
        <v>40850</v>
      </c>
      <c r="N4014" t="s">
        <v>43166</v>
      </c>
      <c r="O4014" t="s">
        <v>43167</v>
      </c>
      <c r="P4014">
        <v>0</v>
      </c>
      <c r="Q4014">
        <v>2</v>
      </c>
      <c r="R4014" t="s">
        <v>43171</v>
      </c>
      <c r="S4014" t="s">
        <v>43311</v>
      </c>
      <c r="T4014" t="s">
        <v>44733</v>
      </c>
      <c r="U4014" t="s">
        <v>48498</v>
      </c>
      <c r="V4014" t="s">
        <v>57286</v>
      </c>
      <c r="W4014" t="s">
        <v>40850</v>
      </c>
      <c r="X4014" t="s">
        <v>43172</v>
      </c>
    </row>
    <row r="4015" spans="1:24">
      <c r="A4015">
        <f>HYPERLINK("https://www.philgeps.gov.ph/GEPSNONPILOT/Tender/SplashBidNoticeAbstractUI.aspx?menuIndex=3&amp;refID=7083424&amp;Result=3","7083424")</f>
        <v>0</v>
      </c>
      <c r="B4015" t="s">
        <v>918</v>
      </c>
      <c r="C4015" t="s">
        <v>7245</v>
      </c>
      <c r="D4015" t="s">
        <v>17424</v>
      </c>
      <c r="E4015" t="s">
        <v>20988</v>
      </c>
      <c r="F4015" t="s">
        <v>30052</v>
      </c>
      <c r="G4015" t="s">
        <v>30063</v>
      </c>
      <c r="H4015" t="s">
        <v>30067</v>
      </c>
      <c r="I4015" t="s">
        <v>3693</v>
      </c>
      <c r="J4015" t="s">
        <v>32813</v>
      </c>
      <c r="K4015" t="s">
        <v>39020</v>
      </c>
      <c r="M4015" t="s">
        <v>40241</v>
      </c>
      <c r="N4015" t="s">
        <v>43166</v>
      </c>
      <c r="O4015" t="s">
        <v>43167</v>
      </c>
      <c r="P4015">
        <v>0</v>
      </c>
      <c r="Q4015">
        <v>5</v>
      </c>
      <c r="R4015" t="s">
        <v>43171</v>
      </c>
      <c r="S4015" t="s">
        <v>43311</v>
      </c>
      <c r="T4015" t="s">
        <v>44842</v>
      </c>
      <c r="U4015" t="s">
        <v>48499</v>
      </c>
      <c r="V4015" t="s">
        <v>57086</v>
      </c>
      <c r="W4015" t="s">
        <v>40241</v>
      </c>
      <c r="X4015" t="s">
        <v>43172</v>
      </c>
    </row>
    <row r="4016" spans="1:24">
      <c r="A4016">
        <f>HYPERLINK("https://www.philgeps.gov.ph/GEPSNONPILOT/Tender/SplashBidNoticeAbstractUI.aspx?menuIndex=3&amp;refID=7083422&amp;Result=3","7083422")</f>
        <v>0</v>
      </c>
      <c r="B4016" t="s">
        <v>701</v>
      </c>
      <c r="C4016" t="s">
        <v>7246</v>
      </c>
      <c r="D4016" t="s">
        <v>17419</v>
      </c>
      <c r="E4016" t="s">
        <v>20989</v>
      </c>
      <c r="F4016" t="s">
        <v>30052</v>
      </c>
      <c r="G4016" t="s">
        <v>30059</v>
      </c>
      <c r="H4016" t="s">
        <v>15498</v>
      </c>
      <c r="I4016" t="s">
        <v>30073</v>
      </c>
      <c r="J4016" t="s">
        <v>32814</v>
      </c>
      <c r="K4016" t="s">
        <v>39025</v>
      </c>
      <c r="M4016" t="s">
        <v>40858</v>
      </c>
      <c r="N4016" t="s">
        <v>43166</v>
      </c>
      <c r="O4016" t="s">
        <v>43167</v>
      </c>
      <c r="P4016">
        <v>0</v>
      </c>
      <c r="Q4016">
        <v>0</v>
      </c>
      <c r="R4016" t="s">
        <v>43171</v>
      </c>
      <c r="S4016" t="s">
        <v>43311</v>
      </c>
      <c r="T4016" t="s">
        <v>44717</v>
      </c>
      <c r="U4016" t="s">
        <v>48500</v>
      </c>
      <c r="W4016" t="s">
        <v>40858</v>
      </c>
      <c r="X4016" t="s">
        <v>43172</v>
      </c>
    </row>
    <row r="4017" spans="1:24">
      <c r="A4017">
        <f>HYPERLINK("https://www.philgeps.gov.ph/GEPSNONPILOT/Tender/SplashBidNoticeAbstractUI.aspx?menuIndex=3&amp;refID=7083420&amp;Result=3","7083420")</f>
        <v>0</v>
      </c>
      <c r="B4017" t="s">
        <v>1476</v>
      </c>
      <c r="C4017" t="s">
        <v>7247</v>
      </c>
      <c r="D4017" t="s">
        <v>17434</v>
      </c>
      <c r="E4017" t="s">
        <v>20990</v>
      </c>
      <c r="F4017" t="s">
        <v>30052</v>
      </c>
      <c r="G4017" t="s">
        <v>30058</v>
      </c>
      <c r="H4017" t="s">
        <v>30068</v>
      </c>
      <c r="I4017" t="s">
        <v>30068</v>
      </c>
      <c r="J4017" t="s">
        <v>32815</v>
      </c>
      <c r="K4017" t="s">
        <v>39039</v>
      </c>
      <c r="M4017" t="s">
        <v>40859</v>
      </c>
      <c r="N4017" t="s">
        <v>43166</v>
      </c>
      <c r="O4017" t="s">
        <v>43167</v>
      </c>
      <c r="P4017">
        <v>0</v>
      </c>
      <c r="Q4017">
        <v>1</v>
      </c>
      <c r="R4017" t="s">
        <v>43171</v>
      </c>
      <c r="S4017" t="s">
        <v>43311</v>
      </c>
      <c r="T4017" t="s">
        <v>44715</v>
      </c>
      <c r="U4017" t="s">
        <v>48501</v>
      </c>
      <c r="W4017" t="s">
        <v>40859</v>
      </c>
      <c r="X4017" t="s">
        <v>43172</v>
      </c>
    </row>
    <row r="4018" spans="1:24">
      <c r="A4018">
        <f>HYPERLINK("https://www.philgeps.gov.ph/GEPSNONPILOT/Tender/SplashBidNoticeAbstractUI.aspx?menuIndex=3&amp;refID=7083378&amp;Result=3","7083378")</f>
        <v>0</v>
      </c>
      <c r="B4018" t="s">
        <v>1469</v>
      </c>
      <c r="C4018" t="s">
        <v>7248</v>
      </c>
      <c r="D4018" t="s">
        <v>17417</v>
      </c>
      <c r="E4018" t="s">
        <v>20991</v>
      </c>
      <c r="F4018" t="s">
        <v>30052</v>
      </c>
      <c r="G4018" t="s">
        <v>30059</v>
      </c>
      <c r="H4018" t="s">
        <v>15498</v>
      </c>
      <c r="I4018" t="s">
        <v>30153</v>
      </c>
      <c r="J4018" t="s">
        <v>32816</v>
      </c>
      <c r="K4018" t="s">
        <v>39029</v>
      </c>
      <c r="M4018" t="s">
        <v>40851</v>
      </c>
      <c r="N4018" t="s">
        <v>43166</v>
      </c>
      <c r="O4018" t="s">
        <v>43167</v>
      </c>
      <c r="P4018">
        <v>0</v>
      </c>
      <c r="Q4018">
        <v>10</v>
      </c>
      <c r="R4018" t="s">
        <v>43171</v>
      </c>
      <c r="S4018" t="s">
        <v>43311</v>
      </c>
      <c r="T4018" t="s">
        <v>44844</v>
      </c>
      <c r="U4018" t="s">
        <v>48502</v>
      </c>
      <c r="W4018" t="s">
        <v>40851</v>
      </c>
      <c r="X4018" t="s">
        <v>43172</v>
      </c>
    </row>
    <row r="4019" spans="1:24">
      <c r="A4019">
        <f>HYPERLINK("https://www.philgeps.gov.ph/GEPSNONPILOT/Tender/SplashBidNoticeAbstractUI.aspx?menuIndex=3&amp;refID=7083418&amp;Result=3","7083418")</f>
        <v>0</v>
      </c>
      <c r="B4019" t="s">
        <v>1467</v>
      </c>
      <c r="C4019" t="s">
        <v>7249</v>
      </c>
      <c r="D4019" t="s">
        <v>17464</v>
      </c>
      <c r="E4019" t="s">
        <v>20992</v>
      </c>
      <c r="F4019" t="s">
        <v>30052</v>
      </c>
      <c r="G4019" t="s">
        <v>30059</v>
      </c>
      <c r="H4019" t="s">
        <v>15498</v>
      </c>
      <c r="I4019" t="s">
        <v>4598</v>
      </c>
      <c r="J4019" t="s">
        <v>30439</v>
      </c>
      <c r="K4019" t="s">
        <v>39029</v>
      </c>
      <c r="M4019" t="s">
        <v>40849</v>
      </c>
      <c r="N4019" t="s">
        <v>43166</v>
      </c>
      <c r="O4019" t="s">
        <v>43167</v>
      </c>
      <c r="P4019">
        <v>0</v>
      </c>
      <c r="Q4019">
        <v>6</v>
      </c>
      <c r="R4019" t="s">
        <v>43171</v>
      </c>
      <c r="S4019" t="s">
        <v>43311</v>
      </c>
      <c r="T4019" t="s">
        <v>44678</v>
      </c>
      <c r="U4019" t="s">
        <v>48470</v>
      </c>
      <c r="W4019" t="s">
        <v>40849</v>
      </c>
      <c r="X4019" t="s">
        <v>43172</v>
      </c>
    </row>
    <row r="4020" spans="1:24">
      <c r="A4020">
        <f>HYPERLINK("https://www.philgeps.gov.ph/GEPSNONPILOT/Tender/SplashBidNoticeAbstractUI.aspx?menuIndex=3&amp;refID=7083426&amp;Result=3","7083426")</f>
        <v>0</v>
      </c>
      <c r="B4020" t="s">
        <v>1103</v>
      </c>
      <c r="C4020" t="s">
        <v>7250</v>
      </c>
      <c r="E4020" t="s">
        <v>20993</v>
      </c>
      <c r="F4020" t="s">
        <v>30052</v>
      </c>
      <c r="G4020" t="s">
        <v>30059</v>
      </c>
      <c r="H4020" t="s">
        <v>15498</v>
      </c>
      <c r="I4020" t="s">
        <v>4650</v>
      </c>
      <c r="J4020" t="s">
        <v>30227</v>
      </c>
      <c r="K4020" t="s">
        <v>39025</v>
      </c>
      <c r="M4020" t="s">
        <v>40442</v>
      </c>
      <c r="N4020" t="s">
        <v>43166</v>
      </c>
      <c r="O4020" t="s">
        <v>43167</v>
      </c>
      <c r="P4020">
        <v>0</v>
      </c>
      <c r="Q4020">
        <v>3</v>
      </c>
      <c r="R4020" t="s">
        <v>43171</v>
      </c>
      <c r="S4020" t="s">
        <v>43311</v>
      </c>
      <c r="T4020" t="s">
        <v>44681</v>
      </c>
      <c r="U4020" t="s">
        <v>48503</v>
      </c>
      <c r="W4020" t="s">
        <v>40442</v>
      </c>
      <c r="X4020" t="s">
        <v>43172</v>
      </c>
    </row>
    <row r="4021" spans="1:24">
      <c r="A4021">
        <f>HYPERLINK("https://www.philgeps.gov.ph/GEPSNONPILOT/Tender/SplashBidNoticeAbstractUI.aspx?menuIndex=3&amp;refID=7083417&amp;Result=3","7083417")</f>
        <v>0</v>
      </c>
      <c r="B4021" t="s">
        <v>1175</v>
      </c>
      <c r="C4021" t="s">
        <v>7251</v>
      </c>
      <c r="D4021" t="s">
        <v>17427</v>
      </c>
      <c r="E4021" t="s">
        <v>20994</v>
      </c>
      <c r="F4021" t="s">
        <v>30052</v>
      </c>
      <c r="G4021" t="s">
        <v>30058</v>
      </c>
      <c r="H4021" t="s">
        <v>30067</v>
      </c>
      <c r="I4021" t="s">
        <v>3693</v>
      </c>
      <c r="J4021" t="s">
        <v>30645</v>
      </c>
      <c r="K4021" t="s">
        <v>39139</v>
      </c>
      <c r="M4021" t="s">
        <v>40524</v>
      </c>
      <c r="N4021" t="s">
        <v>43166</v>
      </c>
      <c r="O4021" t="s">
        <v>43167</v>
      </c>
      <c r="P4021">
        <v>0</v>
      </c>
      <c r="Q4021">
        <v>0</v>
      </c>
      <c r="R4021" t="s">
        <v>43171</v>
      </c>
      <c r="S4021" t="s">
        <v>43311</v>
      </c>
      <c r="T4021" t="s">
        <v>44982</v>
      </c>
      <c r="U4021" t="s">
        <v>48504</v>
      </c>
      <c r="W4021" t="s">
        <v>40524</v>
      </c>
      <c r="X4021" t="s">
        <v>43172</v>
      </c>
    </row>
    <row r="4022" spans="1:24">
      <c r="A4022">
        <f>HYPERLINK("https://www.philgeps.gov.ph/GEPSNONPILOT/Tender/SplashBidNoticeAbstractUI.aspx?menuIndex=3&amp;refID=7083416&amp;Result=3","7083416")</f>
        <v>0</v>
      </c>
      <c r="B4022" t="s">
        <v>101</v>
      </c>
      <c r="C4022" t="s">
        <v>7252</v>
      </c>
      <c r="D4022" t="s">
        <v>17422</v>
      </c>
      <c r="E4022" t="s">
        <v>20995</v>
      </c>
      <c r="F4022" t="s">
        <v>30052</v>
      </c>
      <c r="G4022" t="s">
        <v>30060</v>
      </c>
      <c r="H4022" t="s">
        <v>15498</v>
      </c>
      <c r="I4022" t="s">
        <v>30094</v>
      </c>
      <c r="J4022" t="s">
        <v>31580</v>
      </c>
      <c r="K4022" t="s">
        <v>39019</v>
      </c>
      <c r="M4022" t="s">
        <v>40635</v>
      </c>
      <c r="N4022" t="s">
        <v>43166</v>
      </c>
      <c r="O4022" t="s">
        <v>43167</v>
      </c>
      <c r="P4022">
        <v>0</v>
      </c>
      <c r="Q4022">
        <v>0</v>
      </c>
      <c r="R4022" t="s">
        <v>43171</v>
      </c>
      <c r="S4022" t="s">
        <v>43311</v>
      </c>
      <c r="T4022" t="s">
        <v>44837</v>
      </c>
      <c r="U4022" t="s">
        <v>48505</v>
      </c>
      <c r="W4022" t="s">
        <v>40635</v>
      </c>
      <c r="X4022" t="s">
        <v>43172</v>
      </c>
    </row>
    <row r="4023" spans="1:24">
      <c r="A4023">
        <f>HYPERLINK("https://www.philgeps.gov.ph/GEPSNONPILOT/Tender/SplashBidNoticeAbstractUI.aspx?menuIndex=3&amp;refID=7083415&amp;Result=3","7083415")</f>
        <v>0</v>
      </c>
      <c r="B4023" t="s">
        <v>1475</v>
      </c>
      <c r="C4023" t="s">
        <v>7253</v>
      </c>
      <c r="D4023" t="s">
        <v>17466</v>
      </c>
      <c r="E4023" t="s">
        <v>18626</v>
      </c>
      <c r="F4023" t="s">
        <v>30052</v>
      </c>
      <c r="G4023" t="s">
        <v>30059</v>
      </c>
      <c r="H4023" t="s">
        <v>15498</v>
      </c>
      <c r="I4023" t="s">
        <v>30076</v>
      </c>
      <c r="J4023" t="s">
        <v>31920</v>
      </c>
      <c r="K4023" t="s">
        <v>39034</v>
      </c>
      <c r="M4023" t="s">
        <v>40857</v>
      </c>
      <c r="N4023" t="s">
        <v>43166</v>
      </c>
      <c r="O4023" t="s">
        <v>43167</v>
      </c>
      <c r="P4023">
        <v>0</v>
      </c>
      <c r="Q4023">
        <v>4</v>
      </c>
      <c r="R4023" t="s">
        <v>43171</v>
      </c>
      <c r="S4023" t="s">
        <v>43311</v>
      </c>
      <c r="T4023" t="s">
        <v>44777</v>
      </c>
      <c r="U4023" t="s">
        <v>48506</v>
      </c>
      <c r="W4023" t="s">
        <v>58640</v>
      </c>
      <c r="X4023" t="s">
        <v>43172</v>
      </c>
    </row>
    <row r="4024" spans="1:24">
      <c r="A4024">
        <f>HYPERLINK("https://www.philgeps.gov.ph/GEPSNONPILOT/Tender/SplashBidNoticeAbstractUI.aspx?menuIndex=3&amp;refID=7083412&amp;Result=3","7083412")</f>
        <v>0</v>
      </c>
      <c r="B4024" t="s">
        <v>1477</v>
      </c>
      <c r="C4024" t="s">
        <v>7254</v>
      </c>
      <c r="D4024" t="s">
        <v>17419</v>
      </c>
      <c r="E4024" t="s">
        <v>20996</v>
      </c>
      <c r="F4024" t="s">
        <v>30054</v>
      </c>
      <c r="G4024" t="s">
        <v>30063</v>
      </c>
      <c r="H4024" t="s">
        <v>30067</v>
      </c>
      <c r="I4024" t="s">
        <v>30127</v>
      </c>
      <c r="J4024" t="s">
        <v>32817</v>
      </c>
      <c r="K4024" t="s">
        <v>39140</v>
      </c>
      <c r="M4024" t="s">
        <v>40860</v>
      </c>
      <c r="N4024" t="s">
        <v>43166</v>
      </c>
      <c r="O4024" t="s">
        <v>43167</v>
      </c>
      <c r="P4024">
        <v>0</v>
      </c>
      <c r="Q4024">
        <v>3</v>
      </c>
      <c r="R4024" t="s">
        <v>43171</v>
      </c>
      <c r="S4024" t="s">
        <v>43311</v>
      </c>
      <c r="T4024" t="s">
        <v>44790</v>
      </c>
      <c r="U4024" t="s">
        <v>48507</v>
      </c>
      <c r="V4024" t="s">
        <v>57291</v>
      </c>
      <c r="W4024" t="s">
        <v>40860</v>
      </c>
      <c r="X4024" t="s">
        <v>43172</v>
      </c>
    </row>
    <row r="4025" spans="1:24">
      <c r="A4025">
        <f>HYPERLINK("https://www.philgeps.gov.ph/GEPSNONPILOT/Tender/SplashBidNoticeAbstractUI.aspx?menuIndex=3&amp;refID=7083409&amp;Result=3","7083409")</f>
        <v>0</v>
      </c>
      <c r="B4025" t="s">
        <v>121</v>
      </c>
      <c r="C4025" t="s">
        <v>7255</v>
      </c>
      <c r="D4025" t="s">
        <v>17440</v>
      </c>
      <c r="E4025" t="s">
        <v>20997</v>
      </c>
      <c r="F4025" t="s">
        <v>30052</v>
      </c>
      <c r="G4025" t="s">
        <v>30059</v>
      </c>
      <c r="H4025" t="s">
        <v>15498</v>
      </c>
      <c r="I4025" t="s">
        <v>30084</v>
      </c>
      <c r="J4025" t="s">
        <v>32818</v>
      </c>
      <c r="K4025" t="s">
        <v>39019</v>
      </c>
      <c r="M4025" t="s">
        <v>39410</v>
      </c>
      <c r="N4025" t="s">
        <v>43166</v>
      </c>
      <c r="O4025" t="s">
        <v>43167</v>
      </c>
      <c r="P4025">
        <v>0</v>
      </c>
      <c r="Q4025">
        <v>1</v>
      </c>
      <c r="R4025" t="s">
        <v>43171</v>
      </c>
      <c r="S4025" t="s">
        <v>43311</v>
      </c>
      <c r="T4025" t="s">
        <v>44777</v>
      </c>
      <c r="U4025" t="s">
        <v>48402</v>
      </c>
      <c r="W4025" t="s">
        <v>39410</v>
      </c>
      <c r="X4025" t="s">
        <v>43172</v>
      </c>
    </row>
    <row r="4026" spans="1:24">
      <c r="A4026">
        <f>HYPERLINK("https://www.philgeps.gov.ph/GEPSNONPILOT/Tender/SplashBidNoticeAbstractUI.aspx?menuIndex=3&amp;refID=7083408&amp;Result=3","7083408")</f>
        <v>0</v>
      </c>
      <c r="B4026" t="s">
        <v>1160</v>
      </c>
      <c r="C4026" t="s">
        <v>7256</v>
      </c>
      <c r="D4026" t="s">
        <v>17442</v>
      </c>
      <c r="E4026" t="s">
        <v>20998</v>
      </c>
      <c r="F4026" t="s">
        <v>30052</v>
      </c>
      <c r="G4026" t="s">
        <v>30061</v>
      </c>
      <c r="H4026" t="s">
        <v>15498</v>
      </c>
      <c r="I4026" t="s">
        <v>30119</v>
      </c>
      <c r="J4026" t="s">
        <v>31172</v>
      </c>
      <c r="K4026" t="s">
        <v>39034</v>
      </c>
      <c r="M4026" t="s">
        <v>40506</v>
      </c>
      <c r="N4026" t="s">
        <v>43166</v>
      </c>
      <c r="O4026" t="s">
        <v>43167</v>
      </c>
      <c r="P4026">
        <v>0</v>
      </c>
      <c r="Q4026">
        <v>0</v>
      </c>
      <c r="R4026" t="s">
        <v>43171</v>
      </c>
      <c r="S4026" t="s">
        <v>43311</v>
      </c>
      <c r="T4026" t="s">
        <v>44856</v>
      </c>
      <c r="U4026" t="s">
        <v>48508</v>
      </c>
      <c r="W4026" t="s">
        <v>40506</v>
      </c>
      <c r="X4026" t="s">
        <v>43172</v>
      </c>
    </row>
    <row r="4027" spans="1:24">
      <c r="A4027">
        <f>HYPERLINK("https://www.philgeps.gov.ph/GEPSNONPILOT/Tender/SplashBidNoticeAbstractUI.aspx?menuIndex=3&amp;refID=7083407&amp;Result=3","7083407")</f>
        <v>0</v>
      </c>
      <c r="B4027" t="s">
        <v>1478</v>
      </c>
      <c r="C4027" t="s">
        <v>7257</v>
      </c>
      <c r="D4027" t="s">
        <v>17434</v>
      </c>
      <c r="E4027" t="s">
        <v>20999</v>
      </c>
      <c r="F4027" t="s">
        <v>30052</v>
      </c>
      <c r="G4027" t="s">
        <v>30058</v>
      </c>
      <c r="H4027" t="s">
        <v>30067</v>
      </c>
      <c r="I4027" t="s">
        <v>3693</v>
      </c>
      <c r="J4027" t="s">
        <v>32819</v>
      </c>
      <c r="K4027" t="s">
        <v>39037</v>
      </c>
      <c r="M4027" t="s">
        <v>40861</v>
      </c>
      <c r="N4027" t="s">
        <v>43166</v>
      </c>
      <c r="O4027" t="s">
        <v>43167</v>
      </c>
      <c r="P4027">
        <v>0</v>
      </c>
      <c r="Q4027">
        <v>0</v>
      </c>
      <c r="R4027" t="s">
        <v>43171</v>
      </c>
      <c r="S4027" t="s">
        <v>43311</v>
      </c>
      <c r="T4027" t="s">
        <v>44679</v>
      </c>
      <c r="U4027" t="s">
        <v>48509</v>
      </c>
      <c r="W4027" t="s">
        <v>40861</v>
      </c>
      <c r="X4027" t="s">
        <v>43172</v>
      </c>
    </row>
    <row r="4028" spans="1:24">
      <c r="A4028">
        <f>HYPERLINK("https://www.philgeps.gov.ph/GEPSNONPILOT/Tender/SplashBidNoticeAbstractUI.aspx?menuIndex=3&amp;refID=7083406&amp;Result=3","7083406")</f>
        <v>0</v>
      </c>
      <c r="B4028" t="s">
        <v>701</v>
      </c>
      <c r="C4028" t="s">
        <v>7258</v>
      </c>
      <c r="D4028" t="s">
        <v>17419</v>
      </c>
      <c r="E4028" t="s">
        <v>21000</v>
      </c>
      <c r="F4028" t="s">
        <v>30052</v>
      </c>
      <c r="G4028" t="s">
        <v>30059</v>
      </c>
      <c r="H4028" t="s">
        <v>15498</v>
      </c>
      <c r="I4028" t="s">
        <v>30098</v>
      </c>
      <c r="J4028" t="s">
        <v>30377</v>
      </c>
      <c r="K4028" t="s">
        <v>39025</v>
      </c>
      <c r="M4028" t="s">
        <v>40858</v>
      </c>
      <c r="N4028" t="s">
        <v>43166</v>
      </c>
      <c r="O4028" t="s">
        <v>43167</v>
      </c>
      <c r="P4028">
        <v>0</v>
      </c>
      <c r="Q4028">
        <v>0</v>
      </c>
      <c r="R4028" t="s">
        <v>43171</v>
      </c>
      <c r="S4028" t="s">
        <v>43311</v>
      </c>
      <c r="T4028" t="s">
        <v>44717</v>
      </c>
      <c r="U4028" t="s">
        <v>48510</v>
      </c>
      <c r="W4028" t="s">
        <v>40858</v>
      </c>
      <c r="X4028" t="s">
        <v>43172</v>
      </c>
    </row>
    <row r="4029" spans="1:24">
      <c r="A4029">
        <f>HYPERLINK("https://www.philgeps.gov.ph/GEPSNONPILOT/Tender/SplashBidNoticeAbstractUI.aspx?menuIndex=3&amp;refID=7083400&amp;Result=3","7083400")</f>
        <v>0</v>
      </c>
      <c r="B4029" t="s">
        <v>1479</v>
      </c>
      <c r="C4029" t="s">
        <v>7259</v>
      </c>
      <c r="D4029" t="s">
        <v>17432</v>
      </c>
      <c r="E4029" t="s">
        <v>21001</v>
      </c>
      <c r="F4029" t="s">
        <v>30052</v>
      </c>
      <c r="G4029" t="s">
        <v>30059</v>
      </c>
      <c r="H4029" t="s">
        <v>15498</v>
      </c>
      <c r="I4029" t="s">
        <v>4650</v>
      </c>
      <c r="J4029" t="s">
        <v>30402</v>
      </c>
      <c r="K4029" t="s">
        <v>39029</v>
      </c>
      <c r="M4029" t="s">
        <v>40862</v>
      </c>
      <c r="N4029" t="s">
        <v>43166</v>
      </c>
      <c r="O4029" t="s">
        <v>43167</v>
      </c>
      <c r="P4029">
        <v>0</v>
      </c>
      <c r="Q4029">
        <v>0</v>
      </c>
      <c r="R4029" t="s">
        <v>43171</v>
      </c>
      <c r="S4029" t="s">
        <v>43311</v>
      </c>
      <c r="T4029" t="s">
        <v>44864</v>
      </c>
      <c r="U4029" t="s">
        <v>48511</v>
      </c>
      <c r="W4029" t="s">
        <v>40862</v>
      </c>
      <c r="X4029" t="s">
        <v>43172</v>
      </c>
    </row>
    <row r="4030" spans="1:24">
      <c r="A4030">
        <f>HYPERLINK("https://www.philgeps.gov.ph/GEPSNONPILOT/Tender/SplashBidNoticeAbstractUI.aspx?menuIndex=3&amp;refID=7083351&amp;Result=3","7083351")</f>
        <v>0</v>
      </c>
      <c r="B4030" t="s">
        <v>1449</v>
      </c>
      <c r="C4030" t="s">
        <v>7260</v>
      </c>
      <c r="D4030" t="s">
        <v>17473</v>
      </c>
      <c r="E4030" t="s">
        <v>21002</v>
      </c>
      <c r="F4030" t="s">
        <v>30052</v>
      </c>
      <c r="G4030" t="s">
        <v>30058</v>
      </c>
      <c r="H4030" t="s">
        <v>30067</v>
      </c>
      <c r="I4030" t="s">
        <v>3693</v>
      </c>
      <c r="J4030" t="s">
        <v>32820</v>
      </c>
      <c r="K4030" t="s">
        <v>39026</v>
      </c>
      <c r="M4030" t="s">
        <v>40828</v>
      </c>
      <c r="N4030" t="s">
        <v>43166</v>
      </c>
      <c r="O4030" t="s">
        <v>43167</v>
      </c>
      <c r="P4030">
        <v>0</v>
      </c>
      <c r="Q4030">
        <v>1</v>
      </c>
      <c r="R4030" t="s">
        <v>43171</v>
      </c>
      <c r="S4030" t="s">
        <v>43311</v>
      </c>
      <c r="T4030" t="s">
        <v>44754</v>
      </c>
      <c r="U4030" t="s">
        <v>48512</v>
      </c>
      <c r="V4030" t="s">
        <v>57284</v>
      </c>
      <c r="W4030" t="s">
        <v>40828</v>
      </c>
      <c r="X4030" t="s">
        <v>43172</v>
      </c>
    </row>
    <row r="4031" spans="1:24">
      <c r="A4031">
        <f>HYPERLINK("https://www.philgeps.gov.ph/GEPSNONPILOT/Tender/SplashBidNoticeAbstractUI.aspx?menuIndex=3&amp;refID=7083414&amp;Result=3","7083414")</f>
        <v>0</v>
      </c>
      <c r="B4031" t="s">
        <v>1480</v>
      </c>
      <c r="C4031" t="s">
        <v>7261</v>
      </c>
      <c r="D4031" t="s">
        <v>17432</v>
      </c>
      <c r="E4031" t="s">
        <v>19399</v>
      </c>
      <c r="F4031" t="s">
        <v>30054</v>
      </c>
      <c r="G4031" t="s">
        <v>30059</v>
      </c>
      <c r="H4031" t="s">
        <v>15498</v>
      </c>
      <c r="I4031" t="s">
        <v>30085</v>
      </c>
      <c r="J4031" t="s">
        <v>30337</v>
      </c>
      <c r="K4031" t="s">
        <v>39018</v>
      </c>
      <c r="M4031" t="s">
        <v>40863</v>
      </c>
      <c r="N4031" t="s">
        <v>43166</v>
      </c>
      <c r="O4031" t="s">
        <v>43167</v>
      </c>
      <c r="P4031">
        <v>0</v>
      </c>
      <c r="Q4031">
        <v>0</v>
      </c>
      <c r="R4031" t="s">
        <v>43171</v>
      </c>
      <c r="S4031" t="s">
        <v>43311</v>
      </c>
      <c r="T4031" t="s">
        <v>44978</v>
      </c>
      <c r="U4031" t="s">
        <v>48513</v>
      </c>
      <c r="W4031" t="s">
        <v>40863</v>
      </c>
      <c r="X4031" t="s">
        <v>43172</v>
      </c>
    </row>
    <row r="4032" spans="1:24">
      <c r="A4032">
        <f>HYPERLINK("https://www.philgeps.gov.ph/GEPSNONPILOT/Tender/SplashBidNoticeAbstractUI.aspx?menuIndex=3&amp;refID=7083466&amp;Result=3","7083466")</f>
        <v>0</v>
      </c>
      <c r="B4032" t="s">
        <v>1278</v>
      </c>
      <c r="C4032" t="s">
        <v>7262</v>
      </c>
      <c r="D4032" t="s">
        <v>17449</v>
      </c>
      <c r="E4032" t="s">
        <v>21003</v>
      </c>
      <c r="F4032" t="s">
        <v>30052</v>
      </c>
      <c r="G4032" t="s">
        <v>30059</v>
      </c>
      <c r="H4032" t="s">
        <v>15498</v>
      </c>
      <c r="I4032" t="s">
        <v>4650</v>
      </c>
      <c r="J4032" t="s">
        <v>32821</v>
      </c>
      <c r="K4032" t="s">
        <v>39017</v>
      </c>
      <c r="M4032" t="s">
        <v>40642</v>
      </c>
      <c r="N4032" t="s">
        <v>43166</v>
      </c>
      <c r="O4032" t="s">
        <v>43167</v>
      </c>
      <c r="P4032">
        <v>0</v>
      </c>
      <c r="Q4032">
        <v>0</v>
      </c>
      <c r="R4032" t="s">
        <v>43171</v>
      </c>
      <c r="S4032" t="s">
        <v>43311</v>
      </c>
      <c r="T4032" t="s">
        <v>44837</v>
      </c>
      <c r="U4032" t="s">
        <v>48514</v>
      </c>
      <c r="W4032" t="s">
        <v>40642</v>
      </c>
      <c r="X4032" t="s">
        <v>43172</v>
      </c>
    </row>
    <row r="4033" spans="1:24">
      <c r="A4033">
        <f>HYPERLINK("https://www.philgeps.gov.ph/GEPSNONPILOT/Tender/SplashBidNoticeAbstractUI.aspx?menuIndex=3&amp;refID=7083411&amp;Result=3","7083411")</f>
        <v>0</v>
      </c>
      <c r="B4033" t="s">
        <v>1449</v>
      </c>
      <c r="C4033" t="s">
        <v>7263</v>
      </c>
      <c r="D4033" t="s">
        <v>17473</v>
      </c>
      <c r="E4033" t="s">
        <v>21004</v>
      </c>
      <c r="F4033" t="s">
        <v>30052</v>
      </c>
      <c r="G4033" t="s">
        <v>30058</v>
      </c>
      <c r="H4033" t="s">
        <v>30067</v>
      </c>
      <c r="I4033" t="s">
        <v>3693</v>
      </c>
      <c r="J4033" t="s">
        <v>32822</v>
      </c>
      <c r="K4033" t="s">
        <v>39026</v>
      </c>
      <c r="M4033" t="s">
        <v>40828</v>
      </c>
      <c r="N4033" t="s">
        <v>43166</v>
      </c>
      <c r="O4033" t="s">
        <v>43167</v>
      </c>
      <c r="P4033">
        <v>0</v>
      </c>
      <c r="Q4033">
        <v>0</v>
      </c>
      <c r="R4033" t="s">
        <v>43171</v>
      </c>
      <c r="S4033" t="s">
        <v>43311</v>
      </c>
      <c r="T4033" t="s">
        <v>44754</v>
      </c>
      <c r="U4033" t="s">
        <v>48515</v>
      </c>
      <c r="V4033" t="s">
        <v>57284</v>
      </c>
      <c r="W4033" t="s">
        <v>40828</v>
      </c>
      <c r="X4033" t="s">
        <v>43172</v>
      </c>
    </row>
    <row r="4034" spans="1:24">
      <c r="A4034">
        <f>HYPERLINK("https://www.philgeps.gov.ph/GEPSNONPILOT/Tender/SplashBidNoticeAbstractUI.aspx?menuIndex=3&amp;refID=7083464&amp;Result=3","7083464")</f>
        <v>0</v>
      </c>
      <c r="B4034" t="s">
        <v>701</v>
      </c>
      <c r="C4034" t="s">
        <v>7264</v>
      </c>
      <c r="D4034" t="s">
        <v>17419</v>
      </c>
      <c r="E4034" t="s">
        <v>21005</v>
      </c>
      <c r="F4034" t="s">
        <v>30052</v>
      </c>
      <c r="G4034" t="s">
        <v>30061</v>
      </c>
      <c r="H4034" t="s">
        <v>15498</v>
      </c>
      <c r="I4034" t="s">
        <v>30076</v>
      </c>
      <c r="J4034" t="s">
        <v>32823</v>
      </c>
      <c r="K4034" t="s">
        <v>39025</v>
      </c>
      <c r="M4034" t="s">
        <v>40858</v>
      </c>
      <c r="N4034" t="s">
        <v>43166</v>
      </c>
      <c r="O4034" t="s">
        <v>43167</v>
      </c>
      <c r="P4034">
        <v>0</v>
      </c>
      <c r="Q4034">
        <v>0</v>
      </c>
      <c r="R4034" t="s">
        <v>43171</v>
      </c>
      <c r="S4034" t="s">
        <v>43311</v>
      </c>
      <c r="T4034" t="s">
        <v>44717</v>
      </c>
      <c r="U4034" t="s">
        <v>48516</v>
      </c>
      <c r="W4034" t="s">
        <v>40858</v>
      </c>
      <c r="X4034" t="s">
        <v>43172</v>
      </c>
    </row>
    <row r="4035" spans="1:24">
      <c r="A4035">
        <f>HYPERLINK("https://www.philgeps.gov.ph/GEPSNONPILOT/Tender/SplashBidNoticeAbstractUI.aspx?menuIndex=3&amp;refID=7083457&amp;Result=3","7083457")</f>
        <v>0</v>
      </c>
      <c r="B4035" t="s">
        <v>1475</v>
      </c>
      <c r="C4035" t="s">
        <v>7265</v>
      </c>
      <c r="D4035" t="s">
        <v>17466</v>
      </c>
      <c r="E4035" t="s">
        <v>18626</v>
      </c>
      <c r="F4035" t="s">
        <v>30052</v>
      </c>
      <c r="G4035" t="s">
        <v>30059</v>
      </c>
      <c r="H4035" t="s">
        <v>15498</v>
      </c>
      <c r="I4035" t="s">
        <v>7228</v>
      </c>
      <c r="J4035" t="s">
        <v>32824</v>
      </c>
      <c r="K4035" t="s">
        <v>39098</v>
      </c>
      <c r="M4035" t="s">
        <v>40857</v>
      </c>
      <c r="N4035" t="s">
        <v>43166</v>
      </c>
      <c r="O4035" t="s">
        <v>43167</v>
      </c>
      <c r="P4035">
        <v>0</v>
      </c>
      <c r="Q4035">
        <v>0</v>
      </c>
      <c r="R4035" t="s">
        <v>43171</v>
      </c>
      <c r="S4035" t="s">
        <v>43311</v>
      </c>
      <c r="T4035" t="s">
        <v>44777</v>
      </c>
      <c r="U4035" t="s">
        <v>48517</v>
      </c>
      <c r="W4035" t="s">
        <v>58640</v>
      </c>
      <c r="X4035" t="s">
        <v>43172</v>
      </c>
    </row>
    <row r="4036" spans="1:24">
      <c r="A4036">
        <f>HYPERLINK("https://www.philgeps.gov.ph/GEPSNONPILOT/Tender/SplashBidNoticeAbstractUI.aspx?menuIndex=3&amp;refID=7083399&amp;Result=3","7083399")</f>
        <v>0</v>
      </c>
      <c r="B4036" t="s">
        <v>1428</v>
      </c>
      <c r="C4036" t="s">
        <v>7266</v>
      </c>
      <c r="D4036" t="s">
        <v>17463</v>
      </c>
      <c r="E4036" t="s">
        <v>21006</v>
      </c>
      <c r="F4036" t="s">
        <v>30052</v>
      </c>
      <c r="G4036" t="s">
        <v>30058</v>
      </c>
      <c r="H4036" t="s">
        <v>15498</v>
      </c>
      <c r="I4036" t="s">
        <v>30144</v>
      </c>
      <c r="J4036" t="s">
        <v>30337</v>
      </c>
      <c r="K4036" t="s">
        <v>39034</v>
      </c>
      <c r="M4036" t="s">
        <v>40806</v>
      </c>
      <c r="N4036" t="s">
        <v>43166</v>
      </c>
      <c r="O4036" t="s">
        <v>43167</v>
      </c>
      <c r="P4036">
        <v>0</v>
      </c>
      <c r="Q4036">
        <v>0</v>
      </c>
      <c r="R4036" t="s">
        <v>43171</v>
      </c>
      <c r="S4036" t="s">
        <v>43311</v>
      </c>
      <c r="T4036" t="s">
        <v>44700</v>
      </c>
      <c r="U4036" t="s">
        <v>48494</v>
      </c>
      <c r="W4036" t="s">
        <v>40806</v>
      </c>
      <c r="X4036" t="s">
        <v>43172</v>
      </c>
    </row>
    <row r="4037" spans="1:24">
      <c r="A4037">
        <f>HYPERLINK("https://www.philgeps.gov.ph/GEPSNONPILOT/Tender/SplashBidNoticeAbstractUI.aspx?menuIndex=3&amp;refID=7083453&amp;Result=3","7083453")</f>
        <v>0</v>
      </c>
      <c r="B4037" t="s">
        <v>701</v>
      </c>
      <c r="C4037" t="s">
        <v>7267</v>
      </c>
      <c r="D4037" t="s">
        <v>17419</v>
      </c>
      <c r="E4037" t="s">
        <v>21007</v>
      </c>
      <c r="F4037" t="s">
        <v>30052</v>
      </c>
      <c r="G4037" t="s">
        <v>30059</v>
      </c>
      <c r="H4037" t="s">
        <v>15498</v>
      </c>
      <c r="I4037" t="s">
        <v>30100</v>
      </c>
      <c r="J4037" t="s">
        <v>32825</v>
      </c>
      <c r="K4037" t="s">
        <v>39025</v>
      </c>
      <c r="M4037" t="s">
        <v>40858</v>
      </c>
      <c r="N4037" t="s">
        <v>43166</v>
      </c>
      <c r="O4037" t="s">
        <v>43167</v>
      </c>
      <c r="P4037">
        <v>0</v>
      </c>
      <c r="Q4037">
        <v>0</v>
      </c>
      <c r="R4037" t="s">
        <v>43171</v>
      </c>
      <c r="S4037" t="s">
        <v>43311</v>
      </c>
      <c r="T4037" t="s">
        <v>44717</v>
      </c>
      <c r="U4037" t="s">
        <v>48518</v>
      </c>
      <c r="W4037" t="s">
        <v>40858</v>
      </c>
      <c r="X4037" t="s">
        <v>43172</v>
      </c>
    </row>
    <row r="4038" spans="1:24">
      <c r="A4038">
        <f>HYPERLINK("https://www.philgeps.gov.ph/GEPSNONPILOT/Tender/SplashBidNoticeAbstractUI.aspx?menuIndex=3&amp;refID=7083452&amp;Result=3","7083452")</f>
        <v>0</v>
      </c>
      <c r="B4038" t="s">
        <v>1478</v>
      </c>
      <c r="C4038" t="s">
        <v>7268</v>
      </c>
      <c r="D4038" t="s">
        <v>17434</v>
      </c>
      <c r="E4038" t="s">
        <v>21008</v>
      </c>
      <c r="F4038" t="s">
        <v>30052</v>
      </c>
      <c r="G4038" t="s">
        <v>30058</v>
      </c>
      <c r="H4038" t="s">
        <v>30067</v>
      </c>
      <c r="I4038" t="s">
        <v>3693</v>
      </c>
      <c r="J4038" t="s">
        <v>32826</v>
      </c>
      <c r="K4038" t="s">
        <v>39029</v>
      </c>
      <c r="M4038" t="s">
        <v>40861</v>
      </c>
      <c r="N4038" t="s">
        <v>43166</v>
      </c>
      <c r="O4038" t="s">
        <v>43167</v>
      </c>
      <c r="P4038">
        <v>0</v>
      </c>
      <c r="Q4038">
        <v>1</v>
      </c>
      <c r="R4038" t="s">
        <v>43171</v>
      </c>
      <c r="S4038" t="s">
        <v>43311</v>
      </c>
      <c r="T4038" t="s">
        <v>44983</v>
      </c>
      <c r="U4038" t="s">
        <v>48509</v>
      </c>
      <c r="W4038" t="s">
        <v>40861</v>
      </c>
      <c r="X4038" t="s">
        <v>43172</v>
      </c>
    </row>
    <row r="4039" spans="1:24">
      <c r="A4039">
        <f>HYPERLINK("https://www.philgeps.gov.ph/GEPSNONPILOT/Tender/SplashBidNoticeAbstractUI.aspx?menuIndex=3&amp;refID=7083461&amp;Result=3","7083461")</f>
        <v>0</v>
      </c>
      <c r="B4039" t="s">
        <v>1421</v>
      </c>
      <c r="C4039" t="s">
        <v>7269</v>
      </c>
      <c r="D4039" t="s">
        <v>17456</v>
      </c>
      <c r="E4039" t="s">
        <v>21009</v>
      </c>
      <c r="F4039" t="s">
        <v>30052</v>
      </c>
      <c r="G4039" t="s">
        <v>30059</v>
      </c>
      <c r="H4039" t="s">
        <v>15498</v>
      </c>
      <c r="I4039" t="s">
        <v>30097</v>
      </c>
      <c r="J4039" t="s">
        <v>32827</v>
      </c>
      <c r="K4039" t="s">
        <v>39029</v>
      </c>
      <c r="M4039" t="s">
        <v>40799</v>
      </c>
      <c r="N4039" t="s">
        <v>43166</v>
      </c>
      <c r="O4039" t="s">
        <v>43167</v>
      </c>
      <c r="P4039">
        <v>0</v>
      </c>
      <c r="Q4039">
        <v>3</v>
      </c>
      <c r="R4039" t="s">
        <v>43171</v>
      </c>
      <c r="S4039" t="s">
        <v>43311</v>
      </c>
      <c r="T4039" t="s">
        <v>44779</v>
      </c>
      <c r="U4039" t="s">
        <v>48519</v>
      </c>
      <c r="W4039" t="s">
        <v>40799</v>
      </c>
      <c r="X4039" t="s">
        <v>43172</v>
      </c>
    </row>
    <row r="4040" spans="1:24">
      <c r="A4040">
        <f>HYPERLINK("https://www.philgeps.gov.ph/GEPSNONPILOT/Tender/SplashBidNoticeAbstractUI.aspx?menuIndex=3&amp;refID=7083423&amp;Result=3","7083423")</f>
        <v>0</v>
      </c>
      <c r="B4040" t="s">
        <v>1481</v>
      </c>
      <c r="C4040" t="s">
        <v>7270</v>
      </c>
      <c r="D4040" t="s">
        <v>17456</v>
      </c>
      <c r="E4040" t="s">
        <v>21010</v>
      </c>
      <c r="F4040" t="s">
        <v>30052</v>
      </c>
      <c r="G4040" t="s">
        <v>30059</v>
      </c>
      <c r="H4040" t="s">
        <v>15498</v>
      </c>
      <c r="I4040" t="s">
        <v>3736</v>
      </c>
      <c r="J4040" t="s">
        <v>32828</v>
      </c>
      <c r="K4040" t="s">
        <v>39019</v>
      </c>
      <c r="M4040" t="s">
        <v>40864</v>
      </c>
      <c r="N4040" t="s">
        <v>43166</v>
      </c>
      <c r="O4040" t="s">
        <v>43167</v>
      </c>
      <c r="P4040">
        <v>0</v>
      </c>
      <c r="Q4040">
        <v>0</v>
      </c>
      <c r="R4040" t="s">
        <v>43171</v>
      </c>
      <c r="S4040" t="s">
        <v>43311</v>
      </c>
      <c r="T4040" t="s">
        <v>44714</v>
      </c>
      <c r="U4040" t="s">
        <v>48520</v>
      </c>
      <c r="W4040" t="s">
        <v>40864</v>
      </c>
      <c r="X4040" t="s">
        <v>43172</v>
      </c>
    </row>
    <row r="4041" spans="1:24">
      <c r="A4041">
        <f>HYPERLINK("https://www.philgeps.gov.ph/GEPSNONPILOT/Tender/SplashBidNoticeAbstractUI.aspx?menuIndex=3&amp;refID=7083446&amp;Result=3","7083446")</f>
        <v>0</v>
      </c>
      <c r="B4041" t="s">
        <v>1467</v>
      </c>
      <c r="C4041" t="s">
        <v>7271</v>
      </c>
      <c r="D4041" t="s">
        <v>17464</v>
      </c>
      <c r="E4041" t="s">
        <v>21011</v>
      </c>
      <c r="F4041" t="s">
        <v>30052</v>
      </c>
      <c r="G4041" t="s">
        <v>30059</v>
      </c>
      <c r="H4041" t="s">
        <v>30067</v>
      </c>
      <c r="I4041" t="s">
        <v>3693</v>
      </c>
      <c r="J4041" t="s">
        <v>32829</v>
      </c>
      <c r="K4041" t="s">
        <v>39131</v>
      </c>
      <c r="M4041" t="s">
        <v>40849</v>
      </c>
      <c r="N4041" t="s">
        <v>43166</v>
      </c>
      <c r="O4041" t="s">
        <v>43167</v>
      </c>
      <c r="P4041">
        <v>0</v>
      </c>
      <c r="Q4041">
        <v>0</v>
      </c>
      <c r="R4041" t="s">
        <v>43171</v>
      </c>
      <c r="S4041" t="s">
        <v>43311</v>
      </c>
      <c r="T4041" t="s">
        <v>44678</v>
      </c>
      <c r="U4041" t="s">
        <v>48470</v>
      </c>
      <c r="W4041" t="s">
        <v>40849</v>
      </c>
      <c r="X4041" t="s">
        <v>43172</v>
      </c>
    </row>
    <row r="4042" spans="1:24">
      <c r="A4042">
        <f>HYPERLINK("https://www.philgeps.gov.ph/GEPSNONPILOT/Tender/SplashBidNoticeAbstractUI.aspx?menuIndex=3&amp;refID=7083444&amp;Result=3","7083444")</f>
        <v>0</v>
      </c>
      <c r="B4042" t="s">
        <v>1103</v>
      </c>
      <c r="C4042" t="s">
        <v>7272</v>
      </c>
      <c r="E4042" t="s">
        <v>21012</v>
      </c>
      <c r="F4042" t="s">
        <v>30052</v>
      </c>
      <c r="G4042" t="s">
        <v>30059</v>
      </c>
      <c r="H4042" t="s">
        <v>15498</v>
      </c>
      <c r="I4042" t="s">
        <v>4650</v>
      </c>
      <c r="J4042" t="s">
        <v>32396</v>
      </c>
      <c r="K4042" t="s">
        <v>39025</v>
      </c>
      <c r="M4042" t="s">
        <v>40442</v>
      </c>
      <c r="N4042" t="s">
        <v>43166</v>
      </c>
      <c r="O4042" t="s">
        <v>43167</v>
      </c>
      <c r="P4042">
        <v>0</v>
      </c>
      <c r="Q4042">
        <v>11</v>
      </c>
      <c r="R4042" t="s">
        <v>43171</v>
      </c>
      <c r="S4042" t="s">
        <v>43311</v>
      </c>
      <c r="T4042" t="s">
        <v>44681</v>
      </c>
      <c r="U4042" t="s">
        <v>48521</v>
      </c>
      <c r="W4042" t="s">
        <v>40442</v>
      </c>
      <c r="X4042" t="s">
        <v>43172</v>
      </c>
    </row>
    <row r="4043" spans="1:24">
      <c r="A4043">
        <f>HYPERLINK("https://www.philgeps.gov.ph/GEPSNONPILOT/Tender/SplashBidNoticeAbstractUI.aspx?menuIndex=3&amp;refID=7083445&amp;Result=3","7083445")</f>
        <v>0</v>
      </c>
      <c r="B4043" t="s">
        <v>199</v>
      </c>
      <c r="C4043" t="s">
        <v>7273</v>
      </c>
      <c r="D4043" t="s">
        <v>17415</v>
      </c>
      <c r="E4043" t="s">
        <v>21013</v>
      </c>
      <c r="F4043" t="s">
        <v>30052</v>
      </c>
      <c r="G4043" t="s">
        <v>30062</v>
      </c>
      <c r="H4043" t="s">
        <v>15498</v>
      </c>
      <c r="I4043" t="s">
        <v>30070</v>
      </c>
      <c r="J4043" t="s">
        <v>32830</v>
      </c>
      <c r="K4043" t="s">
        <v>39017</v>
      </c>
      <c r="M4043" t="s">
        <v>39489</v>
      </c>
      <c r="N4043" t="s">
        <v>43166</v>
      </c>
      <c r="O4043" t="s">
        <v>43167</v>
      </c>
      <c r="P4043">
        <v>0</v>
      </c>
      <c r="Q4043">
        <v>4</v>
      </c>
      <c r="R4043" t="s">
        <v>43171</v>
      </c>
      <c r="S4043" t="s">
        <v>43311</v>
      </c>
      <c r="T4043" t="s">
        <v>44678</v>
      </c>
      <c r="U4043" t="s">
        <v>48522</v>
      </c>
      <c r="W4043" t="s">
        <v>39489</v>
      </c>
      <c r="X4043" t="s">
        <v>43172</v>
      </c>
    </row>
    <row r="4044" spans="1:24">
      <c r="A4044">
        <f>HYPERLINK("https://www.philgeps.gov.ph/GEPSNONPILOT/Tender/SplashBidNoticeAbstractUI.aspx?menuIndex=3&amp;refID=7083442&amp;Result=3","7083442")</f>
        <v>0</v>
      </c>
      <c r="B4044" t="s">
        <v>1482</v>
      </c>
      <c r="C4044" t="s">
        <v>4860</v>
      </c>
      <c r="D4044" t="s">
        <v>17482</v>
      </c>
      <c r="E4044" t="s">
        <v>21014</v>
      </c>
      <c r="F4044" t="s">
        <v>30055</v>
      </c>
      <c r="G4044" t="s">
        <v>30061</v>
      </c>
      <c r="H4044" t="s">
        <v>15498</v>
      </c>
      <c r="I4044" t="s">
        <v>30070</v>
      </c>
      <c r="J4044" t="s">
        <v>30398</v>
      </c>
      <c r="K4044" t="s">
        <v>39017</v>
      </c>
      <c r="M4044" t="s">
        <v>40865</v>
      </c>
      <c r="N4044" t="s">
        <v>43166</v>
      </c>
      <c r="O4044" t="s">
        <v>43167</v>
      </c>
      <c r="P4044">
        <v>0</v>
      </c>
      <c r="Q4044">
        <v>1</v>
      </c>
      <c r="R4044" t="s">
        <v>43171</v>
      </c>
      <c r="S4044" t="s">
        <v>43311</v>
      </c>
      <c r="T4044" t="s">
        <v>44710</v>
      </c>
      <c r="U4044" t="s">
        <v>48523</v>
      </c>
      <c r="W4044" t="s">
        <v>40865</v>
      </c>
      <c r="X4044" t="s">
        <v>43172</v>
      </c>
    </row>
    <row r="4045" spans="1:24">
      <c r="A4045">
        <f>HYPERLINK("https://www.philgeps.gov.ph/GEPSNONPILOT/Tender/SplashBidNoticeAbstractUI.aspx?menuIndex=3&amp;refID=7083354&amp;Result=3","7083354")</f>
        <v>0</v>
      </c>
      <c r="B4045" t="s">
        <v>1472</v>
      </c>
      <c r="C4045" t="s">
        <v>7274</v>
      </c>
      <c r="D4045" t="s">
        <v>17489</v>
      </c>
      <c r="E4045" t="s">
        <v>21015</v>
      </c>
      <c r="F4045" t="s">
        <v>30052</v>
      </c>
      <c r="G4045" t="s">
        <v>30059</v>
      </c>
      <c r="H4045" t="s">
        <v>15498</v>
      </c>
      <c r="I4045" t="s">
        <v>30118</v>
      </c>
      <c r="J4045" t="s">
        <v>31271</v>
      </c>
      <c r="K4045" t="s">
        <v>39037</v>
      </c>
      <c r="M4045" t="s">
        <v>40854</v>
      </c>
      <c r="N4045" t="s">
        <v>43166</v>
      </c>
      <c r="O4045" t="s">
        <v>43167</v>
      </c>
      <c r="P4045">
        <v>0</v>
      </c>
      <c r="Q4045">
        <v>2</v>
      </c>
      <c r="R4045" t="s">
        <v>43171</v>
      </c>
      <c r="S4045" t="s">
        <v>43311</v>
      </c>
      <c r="T4045" t="s">
        <v>44773</v>
      </c>
      <c r="U4045" t="s">
        <v>48484</v>
      </c>
      <c r="W4045" t="s">
        <v>40854</v>
      </c>
      <c r="X4045" t="s">
        <v>43172</v>
      </c>
    </row>
    <row r="4046" spans="1:24">
      <c r="A4046">
        <f>HYPERLINK("https://www.philgeps.gov.ph/GEPSNONPILOT/Tender/SplashBidNoticeAbstractUI.aspx?menuIndex=3&amp;refID=7083439&amp;Result=3","7083439")</f>
        <v>0</v>
      </c>
      <c r="B4046" t="s">
        <v>1442</v>
      </c>
      <c r="C4046" t="s">
        <v>7275</v>
      </c>
      <c r="D4046" t="s">
        <v>17421</v>
      </c>
      <c r="E4046" t="s">
        <v>21016</v>
      </c>
      <c r="F4046" t="s">
        <v>30052</v>
      </c>
      <c r="G4046" t="s">
        <v>30058</v>
      </c>
      <c r="H4046" t="s">
        <v>15498</v>
      </c>
      <c r="I4046" t="s">
        <v>3736</v>
      </c>
      <c r="J4046" t="s">
        <v>32831</v>
      </c>
      <c r="K4046" t="s">
        <v>39029</v>
      </c>
      <c r="M4046" t="s">
        <v>40820</v>
      </c>
      <c r="N4046" t="s">
        <v>43166</v>
      </c>
      <c r="O4046" t="s">
        <v>43167</v>
      </c>
      <c r="P4046">
        <v>0</v>
      </c>
      <c r="Q4046">
        <v>3</v>
      </c>
      <c r="R4046" t="s">
        <v>43171</v>
      </c>
      <c r="S4046" t="s">
        <v>43311</v>
      </c>
      <c r="T4046" t="s">
        <v>44807</v>
      </c>
      <c r="U4046" t="s">
        <v>48416</v>
      </c>
      <c r="W4046" t="s">
        <v>40820</v>
      </c>
      <c r="X4046" t="s">
        <v>43172</v>
      </c>
    </row>
    <row r="4047" spans="1:24">
      <c r="A4047">
        <f>HYPERLINK("https://www.philgeps.gov.ph/GEPSNONPILOT/Tender/SplashBidNoticeAbstractUI.aspx?menuIndex=3&amp;refID=7083438&amp;Result=3","7083438")</f>
        <v>0</v>
      </c>
      <c r="B4047" t="s">
        <v>1350</v>
      </c>
      <c r="C4047" t="s">
        <v>7276</v>
      </c>
      <c r="D4047" t="s">
        <v>17415</v>
      </c>
      <c r="E4047" t="s">
        <v>21017</v>
      </c>
      <c r="F4047" t="s">
        <v>30052</v>
      </c>
      <c r="G4047" t="s">
        <v>30058</v>
      </c>
      <c r="H4047" t="s">
        <v>15498</v>
      </c>
      <c r="I4047" t="s">
        <v>9238</v>
      </c>
      <c r="J4047" t="s">
        <v>32832</v>
      </c>
      <c r="K4047" t="s">
        <v>39025</v>
      </c>
      <c r="L4047" t="s">
        <v>1350</v>
      </c>
      <c r="M4047" t="s">
        <v>40719</v>
      </c>
      <c r="N4047" t="s">
        <v>43166</v>
      </c>
      <c r="O4047" t="s">
        <v>43167</v>
      </c>
      <c r="P4047">
        <v>0</v>
      </c>
      <c r="Q4047">
        <v>6</v>
      </c>
      <c r="R4047" t="s">
        <v>43171</v>
      </c>
      <c r="S4047" t="s">
        <v>43311</v>
      </c>
      <c r="T4047" t="s">
        <v>44789</v>
      </c>
      <c r="U4047" t="s">
        <v>48208</v>
      </c>
      <c r="W4047" t="s">
        <v>40719</v>
      </c>
      <c r="X4047" t="s">
        <v>43172</v>
      </c>
    </row>
    <row r="4048" spans="1:24">
      <c r="A4048">
        <f>HYPERLINK("https://www.philgeps.gov.ph/GEPSNONPILOT/Tender/SplashBidNoticeAbstractUI.aspx?menuIndex=3&amp;refID=7083435&amp;Result=3","7083435")</f>
        <v>0</v>
      </c>
      <c r="B4048" t="s">
        <v>1483</v>
      </c>
      <c r="C4048" t="s">
        <v>7277</v>
      </c>
      <c r="D4048" t="s">
        <v>17414</v>
      </c>
      <c r="E4048" t="s">
        <v>21018</v>
      </c>
      <c r="F4048" t="s">
        <v>30052</v>
      </c>
      <c r="G4048" t="s">
        <v>30058</v>
      </c>
      <c r="H4048" t="s">
        <v>30067</v>
      </c>
      <c r="I4048" t="s">
        <v>3693</v>
      </c>
      <c r="J4048" t="s">
        <v>32833</v>
      </c>
      <c r="K4048" t="s">
        <v>39057</v>
      </c>
      <c r="M4048" t="s">
        <v>40866</v>
      </c>
      <c r="N4048" t="s">
        <v>43166</v>
      </c>
      <c r="O4048" t="s">
        <v>43167</v>
      </c>
      <c r="P4048">
        <v>0</v>
      </c>
      <c r="Q4048">
        <v>0</v>
      </c>
      <c r="R4048" t="s">
        <v>43171</v>
      </c>
      <c r="S4048" t="s">
        <v>43311</v>
      </c>
      <c r="T4048" t="s">
        <v>44892</v>
      </c>
      <c r="U4048" t="s">
        <v>48524</v>
      </c>
      <c r="W4048" t="s">
        <v>40866</v>
      </c>
      <c r="X4048" t="s">
        <v>43172</v>
      </c>
    </row>
    <row r="4049" spans="1:24">
      <c r="A4049">
        <f>HYPERLINK("https://www.philgeps.gov.ph/GEPSNONPILOT/Tender/SplashBidNoticeAbstractUI.aspx?menuIndex=3&amp;refID=7083434&amp;Result=3","7083434")</f>
        <v>0</v>
      </c>
      <c r="B4049" t="s">
        <v>1467</v>
      </c>
      <c r="C4049" t="s">
        <v>7278</v>
      </c>
      <c r="D4049" t="s">
        <v>17464</v>
      </c>
      <c r="E4049" t="s">
        <v>21019</v>
      </c>
      <c r="F4049" t="s">
        <v>30052</v>
      </c>
      <c r="G4049" t="s">
        <v>30059</v>
      </c>
      <c r="H4049" t="s">
        <v>15498</v>
      </c>
      <c r="I4049" t="s">
        <v>30096</v>
      </c>
      <c r="J4049" t="s">
        <v>32834</v>
      </c>
      <c r="K4049" t="s">
        <v>39029</v>
      </c>
      <c r="M4049" t="s">
        <v>40849</v>
      </c>
      <c r="N4049" t="s">
        <v>43166</v>
      </c>
      <c r="O4049" t="s">
        <v>43167</v>
      </c>
      <c r="P4049">
        <v>0</v>
      </c>
      <c r="Q4049">
        <v>1</v>
      </c>
      <c r="R4049" t="s">
        <v>43171</v>
      </c>
      <c r="S4049" t="s">
        <v>43311</v>
      </c>
      <c r="T4049" t="s">
        <v>44678</v>
      </c>
      <c r="U4049" t="s">
        <v>48470</v>
      </c>
      <c r="W4049" t="s">
        <v>40849</v>
      </c>
      <c r="X4049" t="s">
        <v>43172</v>
      </c>
    </row>
    <row r="4050" spans="1:24">
      <c r="A4050">
        <f>HYPERLINK("https://www.philgeps.gov.ph/GEPSNONPILOT/Tender/SplashBidNoticeAbstractUI.aspx?menuIndex=3&amp;refID=7083449&amp;Result=3","7083449")</f>
        <v>0</v>
      </c>
      <c r="B4050" t="s">
        <v>1160</v>
      </c>
      <c r="C4050" t="s">
        <v>7279</v>
      </c>
      <c r="D4050" t="s">
        <v>17442</v>
      </c>
      <c r="E4050" t="s">
        <v>21020</v>
      </c>
      <c r="F4050" t="s">
        <v>30052</v>
      </c>
      <c r="G4050" t="s">
        <v>30061</v>
      </c>
      <c r="H4050" t="s">
        <v>15498</v>
      </c>
      <c r="I4050" t="s">
        <v>7228</v>
      </c>
      <c r="J4050" t="s">
        <v>32087</v>
      </c>
      <c r="K4050" t="s">
        <v>39060</v>
      </c>
      <c r="M4050" t="s">
        <v>40506</v>
      </c>
      <c r="N4050" t="s">
        <v>43166</v>
      </c>
      <c r="O4050" t="s">
        <v>43167</v>
      </c>
      <c r="P4050">
        <v>0</v>
      </c>
      <c r="Q4050">
        <v>0</v>
      </c>
      <c r="R4050" t="s">
        <v>43171</v>
      </c>
      <c r="S4050" t="s">
        <v>43311</v>
      </c>
      <c r="T4050" t="s">
        <v>44856</v>
      </c>
      <c r="U4050" t="s">
        <v>48525</v>
      </c>
      <c r="W4050" t="s">
        <v>40506</v>
      </c>
      <c r="X4050" t="s">
        <v>43172</v>
      </c>
    </row>
    <row r="4051" spans="1:24">
      <c r="A4051">
        <f>HYPERLINK("https://www.philgeps.gov.ph/GEPSNONPILOT/Tender/SplashBidNoticeAbstractUI.aspx?menuIndex=3&amp;refID=7083274&amp;Result=3","7083274")</f>
        <v>0</v>
      </c>
      <c r="B4051" t="s">
        <v>1446</v>
      </c>
      <c r="C4051" t="s">
        <v>7280</v>
      </c>
      <c r="D4051" t="s">
        <v>17447</v>
      </c>
      <c r="E4051" t="s">
        <v>21021</v>
      </c>
      <c r="F4051" t="s">
        <v>30052</v>
      </c>
      <c r="G4051" t="s">
        <v>30058</v>
      </c>
      <c r="H4051" t="s">
        <v>30067</v>
      </c>
      <c r="I4051" t="s">
        <v>3693</v>
      </c>
      <c r="J4051" t="s">
        <v>32760</v>
      </c>
      <c r="K4051" t="s">
        <v>39057</v>
      </c>
      <c r="M4051" t="s">
        <v>40824</v>
      </c>
      <c r="N4051" t="s">
        <v>43166</v>
      </c>
      <c r="O4051" t="s">
        <v>43167</v>
      </c>
      <c r="P4051">
        <v>0</v>
      </c>
      <c r="Q4051">
        <v>2</v>
      </c>
      <c r="R4051" t="s">
        <v>43171</v>
      </c>
      <c r="S4051" t="s">
        <v>43311</v>
      </c>
      <c r="T4051" t="s">
        <v>44722</v>
      </c>
      <c r="U4051" t="s">
        <v>48423</v>
      </c>
      <c r="V4051" t="s">
        <v>57283</v>
      </c>
      <c r="W4051" t="s">
        <v>40824</v>
      </c>
      <c r="X4051" t="s">
        <v>43172</v>
      </c>
    </row>
    <row r="4052" spans="1:24">
      <c r="A4052">
        <f>HYPERLINK("https://www.philgeps.gov.ph/GEPSNONPILOT/Tender/SplashBidNoticeAbstractUI.aspx?menuIndex=3&amp;refID=7083349&amp;Result=3","7083349")</f>
        <v>0</v>
      </c>
      <c r="B4052" t="s">
        <v>1246</v>
      </c>
      <c r="C4052" t="s">
        <v>7281</v>
      </c>
      <c r="E4052" t="s">
        <v>21022</v>
      </c>
      <c r="F4052" t="s">
        <v>30052</v>
      </c>
      <c r="G4052" t="s">
        <v>30059</v>
      </c>
      <c r="H4052" t="s">
        <v>15498</v>
      </c>
      <c r="I4052" t="s">
        <v>4119</v>
      </c>
      <c r="J4052" t="s">
        <v>32835</v>
      </c>
      <c r="K4052" t="s">
        <v>39025</v>
      </c>
      <c r="M4052" t="s">
        <v>40602</v>
      </c>
      <c r="N4052" t="s">
        <v>43166</v>
      </c>
      <c r="O4052" t="s">
        <v>43167</v>
      </c>
      <c r="P4052">
        <v>0</v>
      </c>
      <c r="Q4052">
        <v>3</v>
      </c>
      <c r="R4052" t="s">
        <v>43171</v>
      </c>
      <c r="S4052" t="s">
        <v>43311</v>
      </c>
      <c r="T4052" t="s">
        <v>44705</v>
      </c>
      <c r="U4052" t="s">
        <v>48526</v>
      </c>
      <c r="W4052" t="s">
        <v>40602</v>
      </c>
      <c r="X4052" t="s">
        <v>43172</v>
      </c>
    </row>
    <row r="4053" spans="1:24">
      <c r="A4053">
        <f>HYPERLINK("https://www.philgeps.gov.ph/GEPSNONPILOT/Tender/SplashBidNoticeAbstractUI.aspx?menuIndex=3&amp;refID=7083235&amp;Result=3","7083235")</f>
        <v>0</v>
      </c>
      <c r="B4053" t="s">
        <v>257</v>
      </c>
      <c r="C4053" t="s">
        <v>7282</v>
      </c>
      <c r="E4053" t="s">
        <v>21023</v>
      </c>
      <c r="F4053" t="s">
        <v>30052</v>
      </c>
      <c r="G4053" t="s">
        <v>30059</v>
      </c>
      <c r="H4053" t="s">
        <v>15498</v>
      </c>
      <c r="I4053" t="s">
        <v>30070</v>
      </c>
      <c r="J4053" t="s">
        <v>30460</v>
      </c>
      <c r="K4053" t="s">
        <v>39025</v>
      </c>
      <c r="M4053" t="s">
        <v>40839</v>
      </c>
      <c r="N4053" t="s">
        <v>43166</v>
      </c>
      <c r="O4053" t="s">
        <v>43167</v>
      </c>
      <c r="P4053">
        <v>0</v>
      </c>
      <c r="Q4053">
        <v>3</v>
      </c>
      <c r="R4053" t="s">
        <v>43171</v>
      </c>
      <c r="S4053" t="s">
        <v>43311</v>
      </c>
      <c r="T4053" t="s">
        <v>44837</v>
      </c>
      <c r="U4053" t="s">
        <v>48527</v>
      </c>
      <c r="W4053" t="s">
        <v>40839</v>
      </c>
      <c r="X4053" t="s">
        <v>43172</v>
      </c>
    </row>
    <row r="4054" spans="1:24">
      <c r="A4054">
        <f>HYPERLINK("https://www.philgeps.gov.ph/GEPSNONPILOT/Tender/SplashBidNoticeAbstractUI.aspx?menuIndex=3&amp;refID=7083455&amp;Result=3","7083455")</f>
        <v>0</v>
      </c>
      <c r="B4054" t="s">
        <v>1190</v>
      </c>
      <c r="C4054" t="s">
        <v>7283</v>
      </c>
      <c r="D4054" t="s">
        <v>17415</v>
      </c>
      <c r="E4054" t="s">
        <v>21024</v>
      </c>
      <c r="F4054" t="s">
        <v>30052</v>
      </c>
      <c r="G4054" t="s">
        <v>30062</v>
      </c>
      <c r="H4054" t="s">
        <v>15498</v>
      </c>
      <c r="I4054" t="s">
        <v>3736</v>
      </c>
      <c r="J4054" t="s">
        <v>32836</v>
      </c>
      <c r="K4054" t="s">
        <v>39019</v>
      </c>
      <c r="M4054" t="s">
        <v>40848</v>
      </c>
      <c r="N4054" t="s">
        <v>43166</v>
      </c>
      <c r="O4054" t="s">
        <v>43167</v>
      </c>
      <c r="P4054">
        <v>0</v>
      </c>
      <c r="Q4054">
        <v>4</v>
      </c>
      <c r="R4054" t="s">
        <v>43171</v>
      </c>
      <c r="S4054" t="s">
        <v>43311</v>
      </c>
      <c r="T4054" t="s">
        <v>44732</v>
      </c>
      <c r="U4054" t="s">
        <v>48528</v>
      </c>
      <c r="W4054" t="s">
        <v>40848</v>
      </c>
      <c r="X4054" t="s">
        <v>43172</v>
      </c>
    </row>
    <row r="4055" spans="1:24">
      <c r="A4055">
        <f>HYPERLINK("https://www.philgeps.gov.ph/GEPSNONPILOT/Tender/SplashBidNoticeAbstractUI.aspx?menuIndex=3&amp;refID=7083441&amp;Result=3","7083441")</f>
        <v>0</v>
      </c>
      <c r="B4055" t="s">
        <v>208</v>
      </c>
      <c r="C4055" t="s">
        <v>7284</v>
      </c>
      <c r="D4055" t="s">
        <v>17415</v>
      </c>
      <c r="E4055" t="s">
        <v>21025</v>
      </c>
      <c r="F4055" t="s">
        <v>30052</v>
      </c>
      <c r="G4055" t="s">
        <v>30059</v>
      </c>
      <c r="H4055" t="s">
        <v>15498</v>
      </c>
      <c r="I4055" t="s">
        <v>30105</v>
      </c>
      <c r="J4055" t="s">
        <v>32837</v>
      </c>
      <c r="K4055" t="s">
        <v>39025</v>
      </c>
      <c r="M4055" t="s">
        <v>40867</v>
      </c>
      <c r="N4055" t="s">
        <v>43166</v>
      </c>
      <c r="O4055" t="s">
        <v>43167</v>
      </c>
      <c r="P4055">
        <v>0</v>
      </c>
      <c r="Q4055">
        <v>2</v>
      </c>
      <c r="R4055" t="s">
        <v>43171</v>
      </c>
      <c r="S4055" t="s">
        <v>43311</v>
      </c>
      <c r="T4055" t="s">
        <v>44705</v>
      </c>
      <c r="U4055" t="s">
        <v>48529</v>
      </c>
      <c r="W4055" t="s">
        <v>40867</v>
      </c>
      <c r="X4055" t="s">
        <v>43172</v>
      </c>
    </row>
    <row r="4056" spans="1:24">
      <c r="A4056">
        <f>HYPERLINK("https://www.philgeps.gov.ph/GEPSNONPILOT/Tender/SplashBidNoticeAbstractUI.aspx?menuIndex=3&amp;refID=7083322&amp;Result=3","7083322")</f>
        <v>0</v>
      </c>
      <c r="B4056" t="s">
        <v>1484</v>
      </c>
      <c r="C4056" t="s">
        <v>7285</v>
      </c>
      <c r="D4056" t="s">
        <v>17415</v>
      </c>
      <c r="E4056" t="s">
        <v>21026</v>
      </c>
      <c r="F4056" t="s">
        <v>30052</v>
      </c>
      <c r="G4056" t="s">
        <v>30059</v>
      </c>
      <c r="H4056" t="s">
        <v>15498</v>
      </c>
      <c r="I4056" t="s">
        <v>30094</v>
      </c>
      <c r="J4056" t="s">
        <v>32838</v>
      </c>
      <c r="K4056" t="s">
        <v>39017</v>
      </c>
      <c r="M4056" t="s">
        <v>40868</v>
      </c>
      <c r="N4056" t="s">
        <v>43166</v>
      </c>
      <c r="O4056" t="s">
        <v>43167</v>
      </c>
      <c r="P4056">
        <v>0</v>
      </c>
      <c r="Q4056">
        <v>2</v>
      </c>
      <c r="R4056" t="s">
        <v>43171</v>
      </c>
      <c r="S4056" t="s">
        <v>43311</v>
      </c>
      <c r="T4056" t="s">
        <v>44837</v>
      </c>
      <c r="U4056" t="s">
        <v>48530</v>
      </c>
      <c r="W4056" t="s">
        <v>40868</v>
      </c>
      <c r="X4056" t="s">
        <v>43172</v>
      </c>
    </row>
    <row r="4057" spans="1:24">
      <c r="A4057">
        <f>HYPERLINK("https://www.philgeps.gov.ph/GEPSNONPILOT/Tender/SplashBidNoticeAbstractUI.aspx?menuIndex=3&amp;refID=7083232&amp;Result=3","7083232")</f>
        <v>0</v>
      </c>
      <c r="B4057" t="s">
        <v>1457</v>
      </c>
      <c r="C4057" t="s">
        <v>7286</v>
      </c>
      <c r="D4057" t="s">
        <v>17436</v>
      </c>
      <c r="E4057" t="s">
        <v>21027</v>
      </c>
      <c r="F4057" t="s">
        <v>30052</v>
      </c>
      <c r="G4057" t="s">
        <v>30058</v>
      </c>
      <c r="H4057" t="s">
        <v>15498</v>
      </c>
      <c r="I4057" t="s">
        <v>30080</v>
      </c>
      <c r="J4057" t="s">
        <v>30222</v>
      </c>
      <c r="K4057" t="s">
        <v>39029</v>
      </c>
      <c r="M4057" t="s">
        <v>40837</v>
      </c>
      <c r="N4057" t="s">
        <v>43166</v>
      </c>
      <c r="O4057" t="s">
        <v>43167</v>
      </c>
      <c r="P4057">
        <v>0</v>
      </c>
      <c r="Q4057">
        <v>6</v>
      </c>
      <c r="R4057" t="s">
        <v>43171</v>
      </c>
      <c r="S4057" t="s">
        <v>43311</v>
      </c>
      <c r="T4057" t="s">
        <v>44828</v>
      </c>
      <c r="U4057" t="s">
        <v>48531</v>
      </c>
      <c r="V4057" t="s">
        <v>57285</v>
      </c>
      <c r="W4057" t="s">
        <v>40837</v>
      </c>
      <c r="X4057" t="s">
        <v>43172</v>
      </c>
    </row>
    <row r="4058" spans="1:24">
      <c r="A4058">
        <f>HYPERLINK("https://www.philgeps.gov.ph/GEPSNONPILOT/Tender/SplashBidNoticeAbstractUI.aspx?menuIndex=3&amp;refID=7083501&amp;Result=3","7083501")</f>
        <v>0</v>
      </c>
      <c r="B4058" t="s">
        <v>1350</v>
      </c>
      <c r="C4058" t="s">
        <v>7287</v>
      </c>
      <c r="D4058" t="s">
        <v>17415</v>
      </c>
      <c r="E4058" t="s">
        <v>21028</v>
      </c>
      <c r="F4058" t="s">
        <v>30052</v>
      </c>
      <c r="G4058" t="s">
        <v>30058</v>
      </c>
      <c r="H4058" t="s">
        <v>15498</v>
      </c>
      <c r="I4058" t="s">
        <v>9238</v>
      </c>
      <c r="J4058" t="s">
        <v>32839</v>
      </c>
      <c r="K4058" t="s">
        <v>39025</v>
      </c>
      <c r="L4058" t="s">
        <v>1350</v>
      </c>
      <c r="M4058" t="s">
        <v>40719</v>
      </c>
      <c r="N4058" t="s">
        <v>43166</v>
      </c>
      <c r="O4058" t="s">
        <v>43167</v>
      </c>
      <c r="P4058">
        <v>0</v>
      </c>
      <c r="Q4058">
        <v>12</v>
      </c>
      <c r="R4058" t="s">
        <v>43171</v>
      </c>
      <c r="S4058" t="s">
        <v>43311</v>
      </c>
      <c r="T4058" t="s">
        <v>44789</v>
      </c>
      <c r="U4058" t="s">
        <v>48208</v>
      </c>
      <c r="W4058" t="s">
        <v>40719</v>
      </c>
      <c r="X4058" t="s">
        <v>43172</v>
      </c>
    </row>
    <row r="4059" spans="1:24">
      <c r="A4059">
        <f>HYPERLINK("https://www.philgeps.gov.ph/GEPSNONPILOT/Tender/SplashBidNoticeAbstractUI.aspx?menuIndex=3&amp;refID=7083499&amp;Result=3","7083499")</f>
        <v>0</v>
      </c>
      <c r="B4059" t="s">
        <v>1467</v>
      </c>
      <c r="C4059" t="s">
        <v>7208</v>
      </c>
      <c r="D4059" t="s">
        <v>17464</v>
      </c>
      <c r="E4059" t="s">
        <v>21029</v>
      </c>
      <c r="F4059" t="s">
        <v>30052</v>
      </c>
      <c r="G4059" t="s">
        <v>30059</v>
      </c>
      <c r="H4059" t="s">
        <v>15498</v>
      </c>
      <c r="I4059" t="s">
        <v>30081</v>
      </c>
      <c r="J4059" t="s">
        <v>32840</v>
      </c>
      <c r="K4059" t="s">
        <v>39029</v>
      </c>
      <c r="M4059" t="s">
        <v>40849</v>
      </c>
      <c r="N4059" t="s">
        <v>43166</v>
      </c>
      <c r="O4059" t="s">
        <v>43167</v>
      </c>
      <c r="P4059">
        <v>0</v>
      </c>
      <c r="Q4059">
        <v>1</v>
      </c>
      <c r="R4059" t="s">
        <v>43171</v>
      </c>
      <c r="S4059" t="s">
        <v>43311</v>
      </c>
      <c r="T4059" t="s">
        <v>44678</v>
      </c>
      <c r="U4059" t="s">
        <v>48470</v>
      </c>
      <c r="W4059" t="s">
        <v>40849</v>
      </c>
      <c r="X4059" t="s">
        <v>43172</v>
      </c>
    </row>
    <row r="4060" spans="1:24">
      <c r="A4060">
        <f>HYPERLINK("https://www.philgeps.gov.ph/GEPSNONPILOT/Tender/SplashBidNoticeAbstractUI.aspx?menuIndex=3&amp;refID=7083433&amp;Result=3","7083433")</f>
        <v>0</v>
      </c>
      <c r="B4060" t="s">
        <v>1428</v>
      </c>
      <c r="C4060" t="s">
        <v>7288</v>
      </c>
      <c r="D4060" t="s">
        <v>17463</v>
      </c>
      <c r="E4060" t="s">
        <v>21030</v>
      </c>
      <c r="F4060" t="s">
        <v>30052</v>
      </c>
      <c r="G4060" t="s">
        <v>30058</v>
      </c>
      <c r="H4060" t="s">
        <v>15498</v>
      </c>
      <c r="I4060" t="s">
        <v>30109</v>
      </c>
      <c r="J4060" t="s">
        <v>32841</v>
      </c>
      <c r="K4060" t="s">
        <v>39034</v>
      </c>
      <c r="M4060" t="s">
        <v>40806</v>
      </c>
      <c r="N4060" t="s">
        <v>43166</v>
      </c>
      <c r="O4060" t="s">
        <v>43167</v>
      </c>
      <c r="P4060">
        <v>0</v>
      </c>
      <c r="Q4060">
        <v>0</v>
      </c>
      <c r="R4060" t="s">
        <v>43171</v>
      </c>
      <c r="S4060" t="s">
        <v>43311</v>
      </c>
      <c r="T4060" t="s">
        <v>44700</v>
      </c>
      <c r="U4060" t="s">
        <v>48532</v>
      </c>
      <c r="W4060" t="s">
        <v>40806</v>
      </c>
      <c r="X4060" t="s">
        <v>43172</v>
      </c>
    </row>
    <row r="4061" spans="1:24">
      <c r="A4061">
        <f>HYPERLINK("https://www.philgeps.gov.ph/GEPSNONPILOT/Tender/SplashBidNoticeAbstractUI.aspx?menuIndex=3&amp;refID=7083496&amp;Result=3","7083496")</f>
        <v>0</v>
      </c>
      <c r="B4061" t="s">
        <v>1485</v>
      </c>
      <c r="C4061" t="s">
        <v>7289</v>
      </c>
      <c r="D4061" t="s">
        <v>17422</v>
      </c>
      <c r="E4061" t="s">
        <v>21031</v>
      </c>
      <c r="F4061" t="s">
        <v>30052</v>
      </c>
      <c r="G4061" t="s">
        <v>30061</v>
      </c>
      <c r="H4061" t="s">
        <v>15498</v>
      </c>
      <c r="I4061" t="s">
        <v>30100</v>
      </c>
      <c r="J4061" t="s">
        <v>30398</v>
      </c>
      <c r="K4061" t="s">
        <v>39036</v>
      </c>
      <c r="M4061" t="s">
        <v>40869</v>
      </c>
      <c r="N4061" t="s">
        <v>43166</v>
      </c>
      <c r="O4061" t="s">
        <v>43167</v>
      </c>
      <c r="P4061">
        <v>0</v>
      </c>
      <c r="Q4061">
        <v>0</v>
      </c>
      <c r="R4061" t="s">
        <v>43171</v>
      </c>
      <c r="S4061" t="s">
        <v>43311</v>
      </c>
      <c r="T4061" t="s">
        <v>44691</v>
      </c>
      <c r="U4061" t="s">
        <v>48533</v>
      </c>
      <c r="W4061" t="s">
        <v>40869</v>
      </c>
      <c r="X4061" t="s">
        <v>43172</v>
      </c>
    </row>
    <row r="4062" spans="1:24">
      <c r="A4062">
        <f>HYPERLINK("https://www.philgeps.gov.ph/GEPSNONPILOT/Tender/SplashBidNoticeAbstractUI.aspx?menuIndex=3&amp;refID=7083493&amp;Result=3","7083493")</f>
        <v>0</v>
      </c>
      <c r="B4062" t="s">
        <v>701</v>
      </c>
      <c r="C4062" t="s">
        <v>7290</v>
      </c>
      <c r="D4062" t="s">
        <v>17419</v>
      </c>
      <c r="E4062" t="s">
        <v>21032</v>
      </c>
      <c r="F4062" t="s">
        <v>30052</v>
      </c>
      <c r="G4062" t="s">
        <v>30061</v>
      </c>
      <c r="H4062" t="s">
        <v>15498</v>
      </c>
      <c r="I4062" t="s">
        <v>30076</v>
      </c>
      <c r="J4062" t="s">
        <v>32842</v>
      </c>
      <c r="K4062" t="s">
        <v>39025</v>
      </c>
      <c r="M4062" t="s">
        <v>40858</v>
      </c>
      <c r="N4062" t="s">
        <v>43166</v>
      </c>
      <c r="O4062" t="s">
        <v>43167</v>
      </c>
      <c r="P4062">
        <v>0</v>
      </c>
      <c r="Q4062">
        <v>1</v>
      </c>
      <c r="R4062" t="s">
        <v>43171</v>
      </c>
      <c r="S4062" t="s">
        <v>43311</v>
      </c>
      <c r="T4062" t="s">
        <v>44717</v>
      </c>
      <c r="U4062" t="s">
        <v>48534</v>
      </c>
      <c r="W4062" t="s">
        <v>40858</v>
      </c>
      <c r="X4062" t="s">
        <v>43172</v>
      </c>
    </row>
    <row r="4063" spans="1:24">
      <c r="A4063">
        <f>HYPERLINK("https://www.philgeps.gov.ph/GEPSNONPILOT/Tender/SplashBidNoticeAbstractUI.aspx?menuIndex=3&amp;refID=7083489&amp;Result=3","7083489")</f>
        <v>0</v>
      </c>
      <c r="B4063" t="s">
        <v>1486</v>
      </c>
      <c r="C4063" t="s">
        <v>7291</v>
      </c>
      <c r="D4063" t="s">
        <v>17448</v>
      </c>
      <c r="E4063" t="s">
        <v>21033</v>
      </c>
      <c r="F4063" t="s">
        <v>30052</v>
      </c>
      <c r="G4063" t="s">
        <v>30059</v>
      </c>
      <c r="H4063" t="s">
        <v>15498</v>
      </c>
      <c r="I4063" t="s">
        <v>3736</v>
      </c>
      <c r="J4063" t="s">
        <v>32843</v>
      </c>
      <c r="K4063" t="s">
        <v>39017</v>
      </c>
      <c r="M4063" t="s">
        <v>40870</v>
      </c>
      <c r="N4063" t="s">
        <v>43166</v>
      </c>
      <c r="O4063" t="s">
        <v>43167</v>
      </c>
      <c r="P4063">
        <v>0</v>
      </c>
      <c r="Q4063">
        <v>0</v>
      </c>
      <c r="R4063" t="s">
        <v>43171</v>
      </c>
      <c r="S4063" t="s">
        <v>43311</v>
      </c>
      <c r="T4063" t="s">
        <v>44856</v>
      </c>
      <c r="U4063" t="s">
        <v>48535</v>
      </c>
      <c r="W4063" t="s">
        <v>40870</v>
      </c>
      <c r="X4063" t="s">
        <v>43172</v>
      </c>
    </row>
    <row r="4064" spans="1:24">
      <c r="A4064">
        <f>HYPERLINK("https://www.philgeps.gov.ph/GEPSNONPILOT/Tender/SplashBidNoticeAbstractUI.aspx?menuIndex=3&amp;refID=7083472&amp;Result=3","7083472")</f>
        <v>0</v>
      </c>
      <c r="B4064" t="s">
        <v>1467</v>
      </c>
      <c r="C4064" t="s">
        <v>7292</v>
      </c>
      <c r="D4064" t="s">
        <v>17464</v>
      </c>
      <c r="E4064" t="s">
        <v>21034</v>
      </c>
      <c r="F4064" t="s">
        <v>30052</v>
      </c>
      <c r="G4064" t="s">
        <v>30059</v>
      </c>
      <c r="H4064" t="s">
        <v>15498</v>
      </c>
      <c r="I4064" t="s">
        <v>30078</v>
      </c>
      <c r="J4064" t="s">
        <v>31801</v>
      </c>
      <c r="K4064" t="s">
        <v>39029</v>
      </c>
      <c r="M4064" t="s">
        <v>40849</v>
      </c>
      <c r="N4064" t="s">
        <v>43166</v>
      </c>
      <c r="O4064" t="s">
        <v>43167</v>
      </c>
      <c r="P4064">
        <v>0</v>
      </c>
      <c r="Q4064">
        <v>2</v>
      </c>
      <c r="R4064" t="s">
        <v>43171</v>
      </c>
      <c r="S4064" t="s">
        <v>43311</v>
      </c>
      <c r="T4064" t="s">
        <v>44678</v>
      </c>
      <c r="U4064" t="s">
        <v>48470</v>
      </c>
      <c r="W4064" t="s">
        <v>40849</v>
      </c>
      <c r="X4064" t="s">
        <v>43172</v>
      </c>
    </row>
    <row r="4065" spans="1:24">
      <c r="A4065">
        <f>HYPERLINK("https://www.philgeps.gov.ph/GEPSNONPILOT/Tender/SplashBidNoticeAbstractUI.aspx?menuIndex=3&amp;refID=7083488&amp;Result=3","7083488")</f>
        <v>0</v>
      </c>
      <c r="B4065" t="s">
        <v>1467</v>
      </c>
      <c r="C4065" t="s">
        <v>7208</v>
      </c>
      <c r="D4065" t="s">
        <v>17464</v>
      </c>
      <c r="E4065" t="s">
        <v>21035</v>
      </c>
      <c r="F4065" t="s">
        <v>30052</v>
      </c>
      <c r="G4065" t="s">
        <v>30059</v>
      </c>
      <c r="H4065" t="s">
        <v>15498</v>
      </c>
      <c r="I4065" t="s">
        <v>30081</v>
      </c>
      <c r="J4065" t="s">
        <v>32844</v>
      </c>
      <c r="K4065" t="s">
        <v>39029</v>
      </c>
      <c r="M4065" t="s">
        <v>40849</v>
      </c>
      <c r="N4065" t="s">
        <v>43166</v>
      </c>
      <c r="O4065" t="s">
        <v>43167</v>
      </c>
      <c r="P4065">
        <v>0</v>
      </c>
      <c r="Q4065">
        <v>1</v>
      </c>
      <c r="R4065" t="s">
        <v>43171</v>
      </c>
      <c r="S4065" t="s">
        <v>43311</v>
      </c>
      <c r="T4065" t="s">
        <v>44678</v>
      </c>
      <c r="U4065" t="s">
        <v>48470</v>
      </c>
      <c r="W4065" t="s">
        <v>40849</v>
      </c>
      <c r="X4065" t="s">
        <v>43172</v>
      </c>
    </row>
    <row r="4066" spans="1:24">
      <c r="A4066">
        <f>HYPERLINK("https://www.philgeps.gov.ph/GEPSNONPILOT/Tender/SplashBidNoticeAbstractUI.aspx?menuIndex=3&amp;refID=7083484&amp;Result=3","7083484")</f>
        <v>0</v>
      </c>
      <c r="B4066" t="s">
        <v>701</v>
      </c>
      <c r="C4066" t="s">
        <v>7293</v>
      </c>
      <c r="D4066" t="s">
        <v>17419</v>
      </c>
      <c r="E4066" t="s">
        <v>21036</v>
      </c>
      <c r="F4066" t="s">
        <v>30052</v>
      </c>
      <c r="G4066" t="s">
        <v>30059</v>
      </c>
      <c r="H4066" t="s">
        <v>15498</v>
      </c>
      <c r="I4066" t="s">
        <v>30109</v>
      </c>
      <c r="J4066" t="s">
        <v>30207</v>
      </c>
      <c r="K4066" t="s">
        <v>39025</v>
      </c>
      <c r="M4066" t="s">
        <v>40858</v>
      </c>
      <c r="N4066" t="s">
        <v>43166</v>
      </c>
      <c r="O4066" t="s">
        <v>43167</v>
      </c>
      <c r="P4066">
        <v>0</v>
      </c>
      <c r="Q4066">
        <v>0</v>
      </c>
      <c r="R4066" t="s">
        <v>43171</v>
      </c>
      <c r="S4066" t="s">
        <v>43311</v>
      </c>
      <c r="T4066" t="s">
        <v>44717</v>
      </c>
      <c r="U4066" t="s">
        <v>48536</v>
      </c>
      <c r="W4066" t="s">
        <v>40858</v>
      </c>
      <c r="X4066" t="s">
        <v>43172</v>
      </c>
    </row>
    <row r="4067" spans="1:24">
      <c r="A4067">
        <f>HYPERLINK("https://www.philgeps.gov.ph/GEPSNONPILOT/Tender/SplashBidNoticeAbstractUI.aspx?menuIndex=3&amp;refID=7083483&amp;Result=3","7083483")</f>
        <v>0</v>
      </c>
      <c r="B4067" t="s">
        <v>1487</v>
      </c>
      <c r="C4067" t="s">
        <v>7294</v>
      </c>
      <c r="D4067" t="s">
        <v>17455</v>
      </c>
      <c r="E4067" t="s">
        <v>21037</v>
      </c>
      <c r="F4067" t="s">
        <v>30052</v>
      </c>
      <c r="G4067" t="s">
        <v>30061</v>
      </c>
      <c r="H4067" t="s">
        <v>15498</v>
      </c>
      <c r="I4067" t="s">
        <v>30076</v>
      </c>
      <c r="J4067" t="s">
        <v>32845</v>
      </c>
      <c r="K4067" t="s">
        <v>39017</v>
      </c>
      <c r="M4067" t="s">
        <v>40871</v>
      </c>
      <c r="N4067" t="s">
        <v>43166</v>
      </c>
      <c r="O4067" t="s">
        <v>43167</v>
      </c>
      <c r="P4067">
        <v>0</v>
      </c>
      <c r="Q4067">
        <v>2</v>
      </c>
      <c r="R4067" t="s">
        <v>43171</v>
      </c>
      <c r="S4067" t="s">
        <v>43311</v>
      </c>
      <c r="T4067" t="s">
        <v>44695</v>
      </c>
      <c r="U4067" t="s">
        <v>48537</v>
      </c>
      <c r="W4067" t="s">
        <v>40871</v>
      </c>
      <c r="X4067" t="s">
        <v>43172</v>
      </c>
    </row>
    <row r="4068" spans="1:24">
      <c r="A4068">
        <f>HYPERLINK("https://www.philgeps.gov.ph/GEPSNONPILOT/Tender/SplashBidNoticeAbstractUI.aspx?menuIndex=3&amp;refID=7083432&amp;Result=3","7083432")</f>
        <v>0</v>
      </c>
      <c r="B4068" t="s">
        <v>965</v>
      </c>
      <c r="C4068" t="s">
        <v>7295</v>
      </c>
      <c r="D4068" t="s">
        <v>17466</v>
      </c>
      <c r="E4068" t="s">
        <v>21038</v>
      </c>
      <c r="F4068" t="s">
        <v>30055</v>
      </c>
      <c r="G4068" t="s">
        <v>30059</v>
      </c>
      <c r="H4068" t="s">
        <v>15498</v>
      </c>
      <c r="I4068" t="s">
        <v>30076</v>
      </c>
      <c r="J4068" t="s">
        <v>32846</v>
      </c>
      <c r="K4068" t="s">
        <v>39017</v>
      </c>
      <c r="M4068" t="s">
        <v>40291</v>
      </c>
      <c r="N4068" t="s">
        <v>43166</v>
      </c>
      <c r="O4068" t="s">
        <v>43167</v>
      </c>
      <c r="P4068">
        <v>0</v>
      </c>
      <c r="Q4068">
        <v>0</v>
      </c>
      <c r="R4068" t="s">
        <v>43171</v>
      </c>
      <c r="S4068" t="s">
        <v>43311</v>
      </c>
      <c r="T4068" t="s">
        <v>44715</v>
      </c>
      <c r="U4068" t="s">
        <v>48538</v>
      </c>
      <c r="W4068" t="s">
        <v>40291</v>
      </c>
      <c r="X4068" t="s">
        <v>43172</v>
      </c>
    </row>
    <row r="4069" spans="1:24">
      <c r="A4069">
        <f>HYPERLINK("https://www.philgeps.gov.ph/GEPSNONPILOT/Tender/SplashBidNoticeAbstractUI.aspx?menuIndex=3&amp;refID=7083505&amp;Result=3","7083505")</f>
        <v>0</v>
      </c>
      <c r="B4069" t="s">
        <v>1483</v>
      </c>
      <c r="C4069" t="s">
        <v>7296</v>
      </c>
      <c r="D4069" t="s">
        <v>17414</v>
      </c>
      <c r="E4069" t="s">
        <v>21039</v>
      </c>
      <c r="F4069" t="s">
        <v>30052</v>
      </c>
      <c r="G4069" t="s">
        <v>30058</v>
      </c>
      <c r="H4069" t="s">
        <v>30067</v>
      </c>
      <c r="I4069" t="s">
        <v>3693</v>
      </c>
      <c r="J4069" t="s">
        <v>32847</v>
      </c>
      <c r="K4069" t="s">
        <v>39031</v>
      </c>
      <c r="M4069" t="s">
        <v>40866</v>
      </c>
      <c r="N4069" t="s">
        <v>43166</v>
      </c>
      <c r="O4069" t="s">
        <v>43167</v>
      </c>
      <c r="P4069">
        <v>0</v>
      </c>
      <c r="Q4069">
        <v>0</v>
      </c>
      <c r="R4069" t="s">
        <v>43171</v>
      </c>
      <c r="S4069" t="s">
        <v>43311</v>
      </c>
      <c r="T4069" t="s">
        <v>44892</v>
      </c>
      <c r="U4069" t="s">
        <v>48539</v>
      </c>
      <c r="W4069" t="s">
        <v>40866</v>
      </c>
      <c r="X4069" t="s">
        <v>43172</v>
      </c>
    </row>
    <row r="4070" spans="1:24">
      <c r="A4070">
        <f>HYPERLINK("https://www.philgeps.gov.ph/GEPSNONPILOT/Tender/SplashBidNoticeAbstractUI.aspx?menuIndex=3&amp;refID=7083525&amp;Result=3","7083525")</f>
        <v>0</v>
      </c>
      <c r="B4070" t="s">
        <v>1488</v>
      </c>
      <c r="C4070" t="s">
        <v>7297</v>
      </c>
      <c r="D4070" t="s">
        <v>17434</v>
      </c>
      <c r="E4070" t="s">
        <v>21040</v>
      </c>
      <c r="F4070" t="s">
        <v>30052</v>
      </c>
      <c r="G4070" t="s">
        <v>30059</v>
      </c>
      <c r="H4070" t="s">
        <v>15498</v>
      </c>
      <c r="I4070" t="s">
        <v>30094</v>
      </c>
      <c r="J4070" t="s">
        <v>32848</v>
      </c>
      <c r="K4070" t="s">
        <v>39017</v>
      </c>
      <c r="M4070" t="s">
        <v>40872</v>
      </c>
      <c r="N4070" t="s">
        <v>43166</v>
      </c>
      <c r="O4070" t="s">
        <v>43167</v>
      </c>
      <c r="P4070">
        <v>0</v>
      </c>
      <c r="Q4070">
        <v>0</v>
      </c>
      <c r="R4070" t="s">
        <v>43171</v>
      </c>
      <c r="S4070" t="s">
        <v>43311</v>
      </c>
      <c r="T4070" t="s">
        <v>44837</v>
      </c>
      <c r="U4070" t="s">
        <v>48540</v>
      </c>
      <c r="V4070" t="s">
        <v>57292</v>
      </c>
      <c r="W4070" t="s">
        <v>40872</v>
      </c>
      <c r="X4070" t="s">
        <v>43172</v>
      </c>
    </row>
    <row r="4071" spans="1:24">
      <c r="A4071">
        <f>HYPERLINK("https://www.philgeps.gov.ph/GEPSNONPILOT/Tender/SplashBidNoticeAbstractUI.aspx?menuIndex=3&amp;refID=7083239&amp;Result=3","7083239")</f>
        <v>0</v>
      </c>
      <c r="B4071" t="s">
        <v>1489</v>
      </c>
      <c r="C4071" t="s">
        <v>7298</v>
      </c>
      <c r="D4071" t="s">
        <v>17442</v>
      </c>
      <c r="E4071" t="s">
        <v>19739</v>
      </c>
      <c r="F4071" t="s">
        <v>30052</v>
      </c>
      <c r="G4071" t="s">
        <v>30058</v>
      </c>
      <c r="H4071" t="s">
        <v>15498</v>
      </c>
      <c r="I4071" t="s">
        <v>30091</v>
      </c>
      <c r="J4071" t="s">
        <v>30856</v>
      </c>
      <c r="K4071" t="s">
        <v>39029</v>
      </c>
      <c r="M4071" t="s">
        <v>40873</v>
      </c>
      <c r="N4071" t="s">
        <v>43166</v>
      </c>
      <c r="O4071" t="s">
        <v>43167</v>
      </c>
      <c r="P4071">
        <v>0</v>
      </c>
      <c r="Q4071">
        <v>2</v>
      </c>
      <c r="R4071" t="s">
        <v>43171</v>
      </c>
      <c r="S4071" t="s">
        <v>43311</v>
      </c>
      <c r="T4071" t="s">
        <v>44715</v>
      </c>
      <c r="U4071" t="s">
        <v>48541</v>
      </c>
      <c r="W4071" t="s">
        <v>40873</v>
      </c>
      <c r="X4071" t="s">
        <v>43172</v>
      </c>
    </row>
    <row r="4072" spans="1:24">
      <c r="A4072">
        <f>HYPERLINK("https://www.philgeps.gov.ph/GEPSNONPILOT/Tender/SplashBidNoticeAbstractUI.aspx?menuIndex=3&amp;refID=7083234&amp;Result=3","7083234")</f>
        <v>0</v>
      </c>
      <c r="B4072" t="s">
        <v>409</v>
      </c>
      <c r="C4072" t="s">
        <v>7299</v>
      </c>
      <c r="D4072" t="s">
        <v>17473</v>
      </c>
      <c r="E4072" t="s">
        <v>21041</v>
      </c>
      <c r="F4072" t="s">
        <v>30052</v>
      </c>
      <c r="G4072" t="s">
        <v>30059</v>
      </c>
      <c r="H4072" t="s">
        <v>15498</v>
      </c>
      <c r="I4072" t="s">
        <v>30081</v>
      </c>
      <c r="J4072" t="s">
        <v>32849</v>
      </c>
      <c r="K4072" t="s">
        <v>39025</v>
      </c>
      <c r="M4072" t="s">
        <v>40032</v>
      </c>
      <c r="N4072" t="s">
        <v>43166</v>
      </c>
      <c r="O4072" t="s">
        <v>43167</v>
      </c>
      <c r="P4072">
        <v>0</v>
      </c>
      <c r="Q4072">
        <v>0</v>
      </c>
      <c r="R4072" t="s">
        <v>43171</v>
      </c>
      <c r="S4072" t="s">
        <v>43311</v>
      </c>
      <c r="T4072" t="s">
        <v>44737</v>
      </c>
      <c r="U4072" t="s">
        <v>48542</v>
      </c>
      <c r="W4072" t="s">
        <v>40032</v>
      </c>
      <c r="X4072" t="s">
        <v>43172</v>
      </c>
    </row>
    <row r="4073" spans="1:24">
      <c r="A4073">
        <f>HYPERLINK("https://www.philgeps.gov.ph/GEPSNONPILOT/Tender/SplashBidNoticeAbstractUI.aspx?menuIndex=3&amp;refID=7083481&amp;Result=3","7083481")</f>
        <v>0</v>
      </c>
      <c r="B4073" t="s">
        <v>1490</v>
      </c>
      <c r="C4073" t="s">
        <v>4118</v>
      </c>
      <c r="D4073" t="s">
        <v>17465</v>
      </c>
      <c r="E4073" t="s">
        <v>21042</v>
      </c>
      <c r="F4073" t="s">
        <v>30052</v>
      </c>
      <c r="G4073" t="s">
        <v>30061</v>
      </c>
      <c r="H4073" t="s">
        <v>15498</v>
      </c>
      <c r="I4073" t="s">
        <v>30071</v>
      </c>
      <c r="J4073" t="s">
        <v>32850</v>
      </c>
      <c r="K4073" t="s">
        <v>39034</v>
      </c>
      <c r="M4073" t="s">
        <v>40874</v>
      </c>
      <c r="N4073" t="s">
        <v>43166</v>
      </c>
      <c r="O4073" t="s">
        <v>43167</v>
      </c>
      <c r="P4073">
        <v>0</v>
      </c>
      <c r="Q4073">
        <v>0</v>
      </c>
      <c r="R4073" t="s">
        <v>43171</v>
      </c>
      <c r="S4073" t="s">
        <v>43311</v>
      </c>
      <c r="T4073" t="s">
        <v>44843</v>
      </c>
      <c r="U4073" t="s">
        <v>45774</v>
      </c>
      <c r="W4073" t="s">
        <v>40874</v>
      </c>
      <c r="X4073" t="s">
        <v>43172</v>
      </c>
    </row>
    <row r="4074" spans="1:24">
      <c r="A4074">
        <f>HYPERLINK("https://www.philgeps.gov.ph/GEPSNONPILOT/Tender/SplashBidNoticeAbstractUI.aspx?menuIndex=3&amp;refID=7083534&amp;Result=3","7083534")</f>
        <v>0</v>
      </c>
      <c r="B4074" t="s">
        <v>1491</v>
      </c>
      <c r="C4074" t="s">
        <v>7300</v>
      </c>
      <c r="D4074" t="s">
        <v>17457</v>
      </c>
      <c r="E4074" t="s">
        <v>21043</v>
      </c>
      <c r="F4074" t="s">
        <v>30052</v>
      </c>
      <c r="G4074" t="s">
        <v>30058</v>
      </c>
      <c r="H4074" t="s">
        <v>15498</v>
      </c>
      <c r="I4074" t="s">
        <v>30094</v>
      </c>
      <c r="J4074" t="s">
        <v>30529</v>
      </c>
      <c r="K4074" t="s">
        <v>39019</v>
      </c>
      <c r="M4074" t="s">
        <v>40875</v>
      </c>
      <c r="N4074" t="s">
        <v>43166</v>
      </c>
      <c r="O4074" t="s">
        <v>43167</v>
      </c>
      <c r="P4074">
        <v>0</v>
      </c>
      <c r="Q4074">
        <v>0</v>
      </c>
      <c r="R4074" t="s">
        <v>43171</v>
      </c>
      <c r="S4074" t="s">
        <v>43311</v>
      </c>
      <c r="T4074" t="s">
        <v>44705</v>
      </c>
      <c r="U4074" t="s">
        <v>48543</v>
      </c>
      <c r="W4074" t="s">
        <v>40875</v>
      </c>
      <c r="X4074" t="s">
        <v>43172</v>
      </c>
    </row>
    <row r="4075" spans="1:24">
      <c r="A4075">
        <f>HYPERLINK("https://www.philgeps.gov.ph/GEPSNONPILOT/Tender/SplashBidNoticeAbstractUI.aspx?menuIndex=3&amp;refID=7083531&amp;Result=3","7083531")</f>
        <v>0</v>
      </c>
      <c r="B4075" t="s">
        <v>701</v>
      </c>
      <c r="C4075" t="s">
        <v>7301</v>
      </c>
      <c r="D4075" t="s">
        <v>17419</v>
      </c>
      <c r="E4075" t="s">
        <v>21044</v>
      </c>
      <c r="F4075" t="s">
        <v>30052</v>
      </c>
      <c r="G4075" t="s">
        <v>30059</v>
      </c>
      <c r="H4075" t="s">
        <v>15498</v>
      </c>
      <c r="I4075" t="s">
        <v>3736</v>
      </c>
      <c r="J4075" t="s">
        <v>32851</v>
      </c>
      <c r="K4075" t="s">
        <v>39025</v>
      </c>
      <c r="M4075" t="s">
        <v>40010</v>
      </c>
      <c r="N4075" t="s">
        <v>43166</v>
      </c>
      <c r="O4075" t="s">
        <v>43167</v>
      </c>
      <c r="P4075">
        <v>0</v>
      </c>
      <c r="Q4075">
        <v>0</v>
      </c>
      <c r="R4075" t="s">
        <v>43171</v>
      </c>
      <c r="S4075" t="s">
        <v>43311</v>
      </c>
      <c r="T4075" t="s">
        <v>44717</v>
      </c>
      <c r="U4075" t="s">
        <v>48544</v>
      </c>
      <c r="W4075" t="s">
        <v>40010</v>
      </c>
      <c r="X4075" t="s">
        <v>43172</v>
      </c>
    </row>
    <row r="4076" spans="1:24">
      <c r="A4076">
        <f>HYPERLINK("https://www.philgeps.gov.ph/GEPSNONPILOT/Tender/SplashBidNoticeAbstractUI.aspx?menuIndex=3&amp;refID=7083528&amp;Result=3","7083528")</f>
        <v>0</v>
      </c>
      <c r="B4076" t="s">
        <v>1428</v>
      </c>
      <c r="C4076" t="s">
        <v>7302</v>
      </c>
      <c r="D4076" t="s">
        <v>17463</v>
      </c>
      <c r="E4076" t="s">
        <v>21045</v>
      </c>
      <c r="F4076" t="s">
        <v>30052</v>
      </c>
      <c r="G4076" t="s">
        <v>30058</v>
      </c>
      <c r="H4076" t="s">
        <v>15498</v>
      </c>
      <c r="I4076" t="s">
        <v>30073</v>
      </c>
      <c r="J4076" t="s">
        <v>32852</v>
      </c>
      <c r="K4076" t="s">
        <v>39034</v>
      </c>
      <c r="M4076" t="s">
        <v>40806</v>
      </c>
      <c r="N4076" t="s">
        <v>43166</v>
      </c>
      <c r="O4076" t="s">
        <v>43167</v>
      </c>
      <c r="P4076">
        <v>0</v>
      </c>
      <c r="Q4076">
        <v>0</v>
      </c>
      <c r="R4076" t="s">
        <v>43171</v>
      </c>
      <c r="S4076" t="s">
        <v>43311</v>
      </c>
      <c r="T4076" t="s">
        <v>44700</v>
      </c>
      <c r="U4076" t="s">
        <v>48545</v>
      </c>
      <c r="W4076" t="s">
        <v>40806</v>
      </c>
      <c r="X4076" t="s">
        <v>43172</v>
      </c>
    </row>
    <row r="4077" spans="1:24">
      <c r="A4077">
        <f>HYPERLINK("https://www.philgeps.gov.ph/GEPSNONPILOT/Tender/SplashBidNoticeAbstractUI.aspx?menuIndex=3&amp;refID=7083440&amp;Result=3","7083440")</f>
        <v>0</v>
      </c>
      <c r="B4077" t="s">
        <v>1492</v>
      </c>
      <c r="C4077" t="s">
        <v>7303</v>
      </c>
      <c r="D4077" t="s">
        <v>17450</v>
      </c>
      <c r="E4077" t="s">
        <v>18233</v>
      </c>
      <c r="F4077" t="s">
        <v>30052</v>
      </c>
      <c r="G4077" t="s">
        <v>30059</v>
      </c>
      <c r="H4077" t="s">
        <v>15498</v>
      </c>
      <c r="I4077" t="s">
        <v>30070</v>
      </c>
      <c r="J4077" t="s">
        <v>32853</v>
      </c>
      <c r="K4077" t="s">
        <v>39029</v>
      </c>
      <c r="M4077" t="s">
        <v>40876</v>
      </c>
      <c r="N4077" t="s">
        <v>43166</v>
      </c>
      <c r="O4077" t="s">
        <v>43167</v>
      </c>
      <c r="P4077">
        <v>0</v>
      </c>
      <c r="Q4077">
        <v>2</v>
      </c>
      <c r="R4077" t="s">
        <v>43171</v>
      </c>
      <c r="S4077" t="s">
        <v>43311</v>
      </c>
      <c r="T4077" t="s">
        <v>44870</v>
      </c>
      <c r="U4077" t="s">
        <v>48546</v>
      </c>
      <c r="W4077" t="s">
        <v>40876</v>
      </c>
      <c r="X4077" t="s">
        <v>43172</v>
      </c>
    </row>
    <row r="4078" spans="1:24">
      <c r="A4078">
        <f>HYPERLINK("https://www.philgeps.gov.ph/GEPSNONPILOT/Tender/SplashBidNoticeAbstractUI.aspx?menuIndex=3&amp;refID=7083520&amp;Result=3","7083520")</f>
        <v>0</v>
      </c>
      <c r="B4078" t="s">
        <v>1483</v>
      </c>
      <c r="C4078" t="s">
        <v>7304</v>
      </c>
      <c r="D4078" t="s">
        <v>17414</v>
      </c>
      <c r="E4078" t="s">
        <v>21046</v>
      </c>
      <c r="F4078" t="s">
        <v>30052</v>
      </c>
      <c r="G4078" t="s">
        <v>30058</v>
      </c>
      <c r="H4078" t="s">
        <v>30067</v>
      </c>
      <c r="I4078" t="s">
        <v>3693</v>
      </c>
      <c r="J4078" t="s">
        <v>32854</v>
      </c>
      <c r="K4078" t="s">
        <v>39031</v>
      </c>
      <c r="M4078" t="s">
        <v>40866</v>
      </c>
      <c r="N4078" t="s">
        <v>43166</v>
      </c>
      <c r="O4078" t="s">
        <v>43167</v>
      </c>
      <c r="P4078">
        <v>0</v>
      </c>
      <c r="Q4078">
        <v>0</v>
      </c>
      <c r="R4078" t="s">
        <v>43171</v>
      </c>
      <c r="S4078" t="s">
        <v>43311</v>
      </c>
      <c r="T4078" t="s">
        <v>44892</v>
      </c>
      <c r="U4078" t="s">
        <v>48547</v>
      </c>
      <c r="W4078" t="s">
        <v>40866</v>
      </c>
      <c r="X4078" t="s">
        <v>43172</v>
      </c>
    </row>
    <row r="4079" spans="1:24">
      <c r="A4079">
        <f>HYPERLINK("https://www.philgeps.gov.ph/GEPSNONPILOT/Tender/SplashBidNoticeAbstractUI.aspx?menuIndex=3&amp;refID=7083485&amp;Result=3","7083485")</f>
        <v>0</v>
      </c>
      <c r="B4079" t="s">
        <v>1428</v>
      </c>
      <c r="C4079" t="s">
        <v>7305</v>
      </c>
      <c r="D4079" t="s">
        <v>17463</v>
      </c>
      <c r="E4079" t="s">
        <v>21047</v>
      </c>
      <c r="F4079" t="s">
        <v>30052</v>
      </c>
      <c r="G4079" t="s">
        <v>30058</v>
      </c>
      <c r="H4079" t="s">
        <v>15498</v>
      </c>
      <c r="I4079" t="s">
        <v>30100</v>
      </c>
      <c r="J4079" t="s">
        <v>30472</v>
      </c>
      <c r="K4079" t="s">
        <v>39034</v>
      </c>
      <c r="M4079" t="s">
        <v>40806</v>
      </c>
      <c r="N4079" t="s">
        <v>43166</v>
      </c>
      <c r="O4079" t="s">
        <v>43167</v>
      </c>
      <c r="P4079">
        <v>0</v>
      </c>
      <c r="Q4079">
        <v>0</v>
      </c>
      <c r="R4079" t="s">
        <v>43171</v>
      </c>
      <c r="S4079" t="s">
        <v>43311</v>
      </c>
      <c r="T4079" t="s">
        <v>44700</v>
      </c>
      <c r="U4079" t="s">
        <v>48548</v>
      </c>
      <c r="W4079" t="s">
        <v>40806</v>
      </c>
      <c r="X4079" t="s">
        <v>43172</v>
      </c>
    </row>
    <row r="4080" spans="1:24">
      <c r="A4080">
        <f>HYPERLINK("https://www.philgeps.gov.ph/GEPSNONPILOT/Tender/SplashBidNoticeAbstractUI.aspx?menuIndex=3&amp;refID=7083519&amp;Result=3","7083519")</f>
        <v>0</v>
      </c>
      <c r="B4080" t="s">
        <v>1473</v>
      </c>
      <c r="C4080" t="s">
        <v>7306</v>
      </c>
      <c r="D4080" t="s">
        <v>17424</v>
      </c>
      <c r="E4080" t="s">
        <v>21048</v>
      </c>
      <c r="F4080" t="s">
        <v>30055</v>
      </c>
      <c r="G4080" t="s">
        <v>30059</v>
      </c>
      <c r="H4080" t="s">
        <v>30069</v>
      </c>
      <c r="I4080" t="s">
        <v>6691</v>
      </c>
      <c r="J4080" t="s">
        <v>31196</v>
      </c>
      <c r="K4080" t="s">
        <v>39034</v>
      </c>
      <c r="M4080" t="s">
        <v>40855</v>
      </c>
      <c r="N4080" t="s">
        <v>43166</v>
      </c>
      <c r="O4080" t="s">
        <v>43167</v>
      </c>
      <c r="P4080">
        <v>0</v>
      </c>
      <c r="Q4080">
        <v>0</v>
      </c>
      <c r="R4080" t="s">
        <v>43171</v>
      </c>
      <c r="S4080" t="s">
        <v>43311</v>
      </c>
      <c r="T4080" t="s">
        <v>44732</v>
      </c>
      <c r="U4080" t="s">
        <v>48549</v>
      </c>
      <c r="V4080" t="s">
        <v>57289</v>
      </c>
      <c r="W4080" t="s">
        <v>40855</v>
      </c>
      <c r="X4080" t="s">
        <v>43172</v>
      </c>
    </row>
    <row r="4081" spans="1:24">
      <c r="A4081">
        <f>HYPERLINK("https://www.philgeps.gov.ph/GEPSNONPILOT/Tender/SplashBidNoticeAbstractUI.aspx?menuIndex=3&amp;refID=7083521&amp;Result=3","7083521")</f>
        <v>0</v>
      </c>
      <c r="B4081" t="s">
        <v>1493</v>
      </c>
      <c r="C4081" t="s">
        <v>7307</v>
      </c>
      <c r="D4081" t="s">
        <v>17437</v>
      </c>
      <c r="E4081" t="s">
        <v>21049</v>
      </c>
      <c r="F4081" t="s">
        <v>30052</v>
      </c>
      <c r="G4081" t="s">
        <v>30058</v>
      </c>
      <c r="H4081" t="s">
        <v>15498</v>
      </c>
      <c r="I4081" t="s">
        <v>3736</v>
      </c>
      <c r="J4081" t="s">
        <v>32855</v>
      </c>
      <c r="K4081" t="s">
        <v>39025</v>
      </c>
      <c r="M4081" t="s">
        <v>40877</v>
      </c>
      <c r="N4081" t="s">
        <v>43166</v>
      </c>
      <c r="O4081" t="s">
        <v>43167</v>
      </c>
      <c r="P4081">
        <v>0</v>
      </c>
      <c r="Q4081">
        <v>1</v>
      </c>
      <c r="R4081" t="s">
        <v>43171</v>
      </c>
      <c r="S4081" t="s">
        <v>43311</v>
      </c>
      <c r="T4081" t="s">
        <v>44842</v>
      </c>
      <c r="U4081" t="s">
        <v>48550</v>
      </c>
      <c r="W4081" t="s">
        <v>40877</v>
      </c>
      <c r="X4081" t="s">
        <v>43172</v>
      </c>
    </row>
    <row r="4082" spans="1:24">
      <c r="A4082">
        <f>HYPERLINK("https://www.philgeps.gov.ph/GEPSNONPILOT/Tender/SplashBidNoticeAbstractUI.aspx?menuIndex=3&amp;refID=7083513&amp;Result=3","7083513")</f>
        <v>0</v>
      </c>
      <c r="B4082" t="s">
        <v>1428</v>
      </c>
      <c r="C4082" t="s">
        <v>7308</v>
      </c>
      <c r="D4082" t="s">
        <v>17463</v>
      </c>
      <c r="E4082" t="s">
        <v>21050</v>
      </c>
      <c r="F4082" t="s">
        <v>30052</v>
      </c>
      <c r="G4082" t="s">
        <v>30058</v>
      </c>
      <c r="H4082" t="s">
        <v>15498</v>
      </c>
      <c r="I4082" t="s">
        <v>30109</v>
      </c>
      <c r="J4082" t="s">
        <v>32856</v>
      </c>
      <c r="K4082" t="s">
        <v>39034</v>
      </c>
      <c r="M4082" t="s">
        <v>40806</v>
      </c>
      <c r="N4082" t="s">
        <v>43166</v>
      </c>
      <c r="O4082" t="s">
        <v>43167</v>
      </c>
      <c r="P4082">
        <v>0</v>
      </c>
      <c r="Q4082">
        <v>0</v>
      </c>
      <c r="R4082" t="s">
        <v>43171</v>
      </c>
      <c r="S4082" t="s">
        <v>43311</v>
      </c>
      <c r="T4082" t="s">
        <v>44700</v>
      </c>
      <c r="U4082" t="s">
        <v>48532</v>
      </c>
      <c r="W4082" t="s">
        <v>40806</v>
      </c>
      <c r="X4082" t="s">
        <v>43172</v>
      </c>
    </row>
    <row r="4083" spans="1:24">
      <c r="A4083">
        <f>HYPERLINK("https://www.philgeps.gov.ph/GEPSNONPILOT/Tender/SplashBidNoticeAbstractUI.aspx?menuIndex=3&amp;refID=7083512&amp;Result=3","7083512")</f>
        <v>0</v>
      </c>
      <c r="B4083" t="s">
        <v>1100</v>
      </c>
      <c r="C4083" t="s">
        <v>5463</v>
      </c>
      <c r="D4083" t="s">
        <v>17466</v>
      </c>
      <c r="E4083" t="s">
        <v>21051</v>
      </c>
      <c r="F4083" t="s">
        <v>30052</v>
      </c>
      <c r="G4083" t="s">
        <v>30059</v>
      </c>
      <c r="H4083" t="s">
        <v>15498</v>
      </c>
      <c r="I4083" t="s">
        <v>30076</v>
      </c>
      <c r="J4083" t="s">
        <v>32857</v>
      </c>
      <c r="K4083" t="s">
        <v>39025</v>
      </c>
      <c r="M4083" t="s">
        <v>40439</v>
      </c>
      <c r="N4083" t="s">
        <v>43166</v>
      </c>
      <c r="O4083" t="s">
        <v>43167</v>
      </c>
      <c r="P4083">
        <v>0</v>
      </c>
      <c r="Q4083">
        <v>3</v>
      </c>
      <c r="R4083" t="s">
        <v>43171</v>
      </c>
      <c r="S4083" t="s">
        <v>43311</v>
      </c>
      <c r="T4083" t="s">
        <v>44700</v>
      </c>
      <c r="U4083" t="s">
        <v>48450</v>
      </c>
      <c r="W4083" t="s">
        <v>40439</v>
      </c>
      <c r="X4083" t="s">
        <v>43172</v>
      </c>
    </row>
    <row r="4084" spans="1:24">
      <c r="A4084">
        <f>HYPERLINK("https://www.philgeps.gov.ph/GEPSNONPILOT/Tender/SplashBidNoticeAbstractUI.aspx?menuIndex=3&amp;refID=7083535&amp;Result=3","7083535")</f>
        <v>0</v>
      </c>
      <c r="B4084" t="s">
        <v>701</v>
      </c>
      <c r="C4084" t="s">
        <v>7309</v>
      </c>
      <c r="D4084" t="s">
        <v>17419</v>
      </c>
      <c r="E4084" t="s">
        <v>21052</v>
      </c>
      <c r="F4084" t="s">
        <v>30052</v>
      </c>
      <c r="G4084" t="s">
        <v>30059</v>
      </c>
      <c r="H4084" t="s">
        <v>15498</v>
      </c>
      <c r="I4084" t="s">
        <v>3852</v>
      </c>
      <c r="J4084" t="s">
        <v>32858</v>
      </c>
      <c r="K4084" t="s">
        <v>39025</v>
      </c>
      <c r="M4084" t="s">
        <v>40858</v>
      </c>
      <c r="N4084" t="s">
        <v>43166</v>
      </c>
      <c r="O4084" t="s">
        <v>43167</v>
      </c>
      <c r="P4084">
        <v>0</v>
      </c>
      <c r="Q4084">
        <v>0</v>
      </c>
      <c r="R4084" t="s">
        <v>43171</v>
      </c>
      <c r="S4084" t="s">
        <v>43311</v>
      </c>
      <c r="T4084" t="s">
        <v>44717</v>
      </c>
      <c r="U4084" t="s">
        <v>48551</v>
      </c>
      <c r="W4084" t="s">
        <v>40858</v>
      </c>
      <c r="X4084" t="s">
        <v>43172</v>
      </c>
    </row>
    <row r="4085" spans="1:24">
      <c r="A4085">
        <f>HYPERLINK("https://www.philgeps.gov.ph/GEPSNONPILOT/Tender/SplashBidNoticeAbstractUI.aspx?menuIndex=3&amp;refID=7083510&amp;Result=3","7083510")</f>
        <v>0</v>
      </c>
      <c r="B4085" t="s">
        <v>1494</v>
      </c>
      <c r="C4085" t="s">
        <v>7310</v>
      </c>
      <c r="D4085" t="s">
        <v>17437</v>
      </c>
      <c r="E4085" t="s">
        <v>21053</v>
      </c>
      <c r="F4085" t="s">
        <v>30052</v>
      </c>
      <c r="G4085" t="s">
        <v>30058</v>
      </c>
      <c r="H4085" t="s">
        <v>15498</v>
      </c>
      <c r="I4085" t="s">
        <v>30071</v>
      </c>
      <c r="J4085" t="s">
        <v>32859</v>
      </c>
      <c r="K4085" t="s">
        <v>39019</v>
      </c>
      <c r="M4085" t="s">
        <v>40878</v>
      </c>
      <c r="N4085" t="s">
        <v>43166</v>
      </c>
      <c r="O4085" t="s">
        <v>43167</v>
      </c>
      <c r="P4085">
        <v>0</v>
      </c>
      <c r="Q4085">
        <v>0</v>
      </c>
      <c r="R4085" t="s">
        <v>43171</v>
      </c>
      <c r="S4085" t="s">
        <v>43311</v>
      </c>
      <c r="T4085" t="s">
        <v>44791</v>
      </c>
      <c r="U4085" t="s">
        <v>48552</v>
      </c>
      <c r="W4085" t="s">
        <v>40878</v>
      </c>
      <c r="X4085" t="s">
        <v>43172</v>
      </c>
    </row>
    <row r="4086" spans="1:24">
      <c r="A4086">
        <f>HYPERLINK("https://www.philgeps.gov.ph/GEPSNONPILOT/Tender/SplashBidNoticeAbstractUI.aspx?menuIndex=3&amp;refID=7083509&amp;Result=3","7083509")</f>
        <v>0</v>
      </c>
      <c r="B4086" t="s">
        <v>1495</v>
      </c>
      <c r="C4086" t="s">
        <v>7311</v>
      </c>
      <c r="D4086" t="s">
        <v>17434</v>
      </c>
      <c r="E4086" t="s">
        <v>17719</v>
      </c>
      <c r="F4086" t="s">
        <v>30052</v>
      </c>
      <c r="G4086" t="s">
        <v>30062</v>
      </c>
      <c r="H4086" t="s">
        <v>15498</v>
      </c>
      <c r="I4086" t="s">
        <v>30097</v>
      </c>
      <c r="J4086" t="s">
        <v>32860</v>
      </c>
      <c r="K4086" t="s">
        <v>39019</v>
      </c>
      <c r="M4086" t="s">
        <v>40879</v>
      </c>
      <c r="N4086" t="s">
        <v>43166</v>
      </c>
      <c r="O4086" t="s">
        <v>43167</v>
      </c>
      <c r="P4086">
        <v>0</v>
      </c>
      <c r="Q4086">
        <v>13</v>
      </c>
      <c r="R4086" t="s">
        <v>43171</v>
      </c>
      <c r="S4086" t="s">
        <v>43311</v>
      </c>
      <c r="T4086" t="s">
        <v>44735</v>
      </c>
      <c r="U4086" t="s">
        <v>48553</v>
      </c>
      <c r="W4086" t="s">
        <v>40879</v>
      </c>
      <c r="X4086" t="s">
        <v>43172</v>
      </c>
    </row>
    <row r="4087" spans="1:24">
      <c r="A4087">
        <f>HYPERLINK("https://www.philgeps.gov.ph/GEPSNONPILOT/Tender/SplashBidNoticeAbstractUI.aspx?menuIndex=3&amp;refID=7083503&amp;Result=3","7083503")</f>
        <v>0</v>
      </c>
      <c r="B4087" t="s">
        <v>747</v>
      </c>
      <c r="C4087" t="s">
        <v>7312</v>
      </c>
      <c r="E4087" t="s">
        <v>21054</v>
      </c>
      <c r="F4087" t="s">
        <v>30052</v>
      </c>
      <c r="G4087" t="s">
        <v>30058</v>
      </c>
      <c r="H4087" t="s">
        <v>15498</v>
      </c>
      <c r="I4087" t="s">
        <v>30091</v>
      </c>
      <c r="J4087" t="s">
        <v>32861</v>
      </c>
      <c r="K4087" t="s">
        <v>39031</v>
      </c>
      <c r="M4087" t="s">
        <v>40061</v>
      </c>
      <c r="N4087" t="s">
        <v>43166</v>
      </c>
      <c r="O4087" t="s">
        <v>43167</v>
      </c>
      <c r="P4087">
        <v>0</v>
      </c>
      <c r="Q4087">
        <v>4</v>
      </c>
      <c r="R4087" t="s">
        <v>43171</v>
      </c>
      <c r="S4087" t="s">
        <v>43311</v>
      </c>
      <c r="T4087" t="s">
        <v>44692</v>
      </c>
      <c r="U4087" t="s">
        <v>48554</v>
      </c>
      <c r="W4087" t="s">
        <v>40061</v>
      </c>
      <c r="X4087" t="s">
        <v>43172</v>
      </c>
    </row>
    <row r="4088" spans="1:24">
      <c r="A4088">
        <f>HYPERLINK("https://www.philgeps.gov.ph/GEPSNONPILOT/Tender/SplashBidNoticeAbstractUI.aspx?menuIndex=3&amp;refID=7083516&amp;Result=3","7083516")</f>
        <v>0</v>
      </c>
      <c r="B4088" t="s">
        <v>494</v>
      </c>
      <c r="C4088" t="s">
        <v>7313</v>
      </c>
      <c r="E4088" t="s">
        <v>21055</v>
      </c>
      <c r="F4088" t="s">
        <v>30052</v>
      </c>
      <c r="G4088" t="s">
        <v>30059</v>
      </c>
      <c r="H4088" t="s">
        <v>15498</v>
      </c>
      <c r="I4088" t="s">
        <v>9238</v>
      </c>
      <c r="J4088" t="s">
        <v>32862</v>
      </c>
      <c r="K4088" t="s">
        <v>39025</v>
      </c>
      <c r="M4088" t="s">
        <v>39795</v>
      </c>
      <c r="N4088" t="s">
        <v>43166</v>
      </c>
      <c r="O4088" t="s">
        <v>43167</v>
      </c>
      <c r="P4088">
        <v>0</v>
      </c>
      <c r="Q4088">
        <v>7</v>
      </c>
      <c r="R4088" t="s">
        <v>43171</v>
      </c>
      <c r="S4088" t="s">
        <v>43311</v>
      </c>
      <c r="T4088" t="s">
        <v>44822</v>
      </c>
      <c r="U4088" t="s">
        <v>48555</v>
      </c>
      <c r="W4088" t="s">
        <v>39795</v>
      </c>
      <c r="X4088" t="s">
        <v>43172</v>
      </c>
    </row>
    <row r="4089" spans="1:24">
      <c r="A4089">
        <f>HYPERLINK("https://www.philgeps.gov.ph/GEPSNONPILOT/Tender/SplashBidNoticeAbstractUI.aspx?menuIndex=3&amp;refID=7083502&amp;Result=3","7083502")</f>
        <v>0</v>
      </c>
      <c r="B4089" t="s">
        <v>1496</v>
      </c>
      <c r="C4089" t="s">
        <v>7314</v>
      </c>
      <c r="D4089" t="s">
        <v>17455</v>
      </c>
      <c r="E4089" t="s">
        <v>19077</v>
      </c>
      <c r="F4089" t="s">
        <v>30052</v>
      </c>
      <c r="G4089" t="s">
        <v>30061</v>
      </c>
      <c r="H4089" t="s">
        <v>15498</v>
      </c>
      <c r="I4089" t="s">
        <v>30084</v>
      </c>
      <c r="J4089" t="s">
        <v>30518</v>
      </c>
      <c r="K4089" t="s">
        <v>39017</v>
      </c>
      <c r="M4089" t="s">
        <v>40880</v>
      </c>
      <c r="N4089" t="s">
        <v>43166</v>
      </c>
      <c r="O4089" t="s">
        <v>43167</v>
      </c>
      <c r="P4089">
        <v>0</v>
      </c>
      <c r="Q4089">
        <v>2</v>
      </c>
      <c r="R4089" t="s">
        <v>43171</v>
      </c>
      <c r="S4089" t="s">
        <v>43311</v>
      </c>
      <c r="T4089" t="s">
        <v>44844</v>
      </c>
      <c r="U4089" t="s">
        <v>48556</v>
      </c>
      <c r="W4089" t="s">
        <v>40880</v>
      </c>
      <c r="X4089" t="s">
        <v>43172</v>
      </c>
    </row>
    <row r="4090" spans="1:24">
      <c r="A4090">
        <f>HYPERLINK("https://www.philgeps.gov.ph/GEPSNONPILOT/Tender/SplashBidNoticeAbstractUI.aspx?menuIndex=3&amp;refID=7083515&amp;Result=3","7083515")</f>
        <v>0</v>
      </c>
      <c r="B4090" t="s">
        <v>377</v>
      </c>
      <c r="C4090" t="s">
        <v>7315</v>
      </c>
      <c r="D4090" t="s">
        <v>17447</v>
      </c>
      <c r="E4090" t="s">
        <v>21056</v>
      </c>
      <c r="F4090" t="s">
        <v>30052</v>
      </c>
      <c r="G4090" t="s">
        <v>30059</v>
      </c>
      <c r="H4090" t="s">
        <v>15498</v>
      </c>
      <c r="I4090" t="s">
        <v>4598</v>
      </c>
      <c r="J4090" t="s">
        <v>32863</v>
      </c>
      <c r="K4090" t="s">
        <v>39029</v>
      </c>
      <c r="M4090" t="s">
        <v>39675</v>
      </c>
      <c r="N4090" t="s">
        <v>43166</v>
      </c>
      <c r="O4090" t="s">
        <v>43167</v>
      </c>
      <c r="P4090">
        <v>0</v>
      </c>
      <c r="Q4090">
        <v>1</v>
      </c>
      <c r="R4090" t="s">
        <v>43171</v>
      </c>
      <c r="S4090" t="s">
        <v>43311</v>
      </c>
      <c r="T4090" t="s">
        <v>44888</v>
      </c>
      <c r="U4090" t="s">
        <v>48557</v>
      </c>
      <c r="W4090" t="s">
        <v>39675</v>
      </c>
      <c r="X4090" t="s">
        <v>43172</v>
      </c>
    </row>
    <row r="4091" spans="1:24">
      <c r="A4091">
        <f>HYPERLINK("https://www.philgeps.gov.ph/GEPSNONPILOT/Tender/SplashBidNoticeAbstractUI.aspx?menuIndex=3&amp;refID=7083565&amp;Result=3","7083565")</f>
        <v>0</v>
      </c>
      <c r="B4091" t="s">
        <v>1497</v>
      </c>
      <c r="C4091" t="s">
        <v>7316</v>
      </c>
      <c r="D4091" t="s">
        <v>17445</v>
      </c>
      <c r="E4091" t="s">
        <v>21057</v>
      </c>
      <c r="F4091" t="s">
        <v>30052</v>
      </c>
      <c r="G4091" t="s">
        <v>30061</v>
      </c>
      <c r="H4091" t="s">
        <v>15498</v>
      </c>
      <c r="I4091" t="s">
        <v>4598</v>
      </c>
      <c r="J4091" t="s">
        <v>32864</v>
      </c>
      <c r="K4091" t="s">
        <v>39025</v>
      </c>
      <c r="M4091" t="s">
        <v>40881</v>
      </c>
      <c r="N4091" t="s">
        <v>43166</v>
      </c>
      <c r="O4091" t="s">
        <v>43167</v>
      </c>
      <c r="P4091">
        <v>0</v>
      </c>
      <c r="Q4091">
        <v>5</v>
      </c>
      <c r="R4091" t="s">
        <v>43171</v>
      </c>
      <c r="S4091" t="s">
        <v>43311</v>
      </c>
      <c r="T4091" t="s">
        <v>44844</v>
      </c>
      <c r="U4091" t="s">
        <v>48558</v>
      </c>
      <c r="W4091" t="s">
        <v>40881</v>
      </c>
      <c r="X4091" t="s">
        <v>43172</v>
      </c>
    </row>
    <row r="4092" spans="1:24">
      <c r="A4092">
        <f>HYPERLINK("https://www.philgeps.gov.ph/GEPSNONPILOT/Tender/SplashBidNoticeAbstractUI.aspx?menuIndex=3&amp;refID=7083514&amp;Result=3","7083514")</f>
        <v>0</v>
      </c>
      <c r="B4092" t="s">
        <v>1498</v>
      </c>
      <c r="C4092" t="s">
        <v>7317</v>
      </c>
      <c r="D4092" t="s">
        <v>17415</v>
      </c>
      <c r="E4092" t="s">
        <v>21058</v>
      </c>
      <c r="F4092" t="s">
        <v>30052</v>
      </c>
      <c r="G4092" t="s">
        <v>30059</v>
      </c>
      <c r="H4092" t="s">
        <v>15498</v>
      </c>
      <c r="I4092" t="s">
        <v>30137</v>
      </c>
      <c r="J4092" t="s">
        <v>30559</v>
      </c>
      <c r="K4092" t="s">
        <v>39017</v>
      </c>
      <c r="M4092" t="s">
        <v>40882</v>
      </c>
      <c r="N4092" t="s">
        <v>43166</v>
      </c>
      <c r="O4092" t="s">
        <v>43167</v>
      </c>
      <c r="P4092">
        <v>0</v>
      </c>
      <c r="Q4092">
        <v>5</v>
      </c>
      <c r="R4092" t="s">
        <v>43171</v>
      </c>
      <c r="S4092" t="s">
        <v>43311</v>
      </c>
      <c r="T4092" t="s">
        <v>44803</v>
      </c>
      <c r="U4092" t="s">
        <v>48559</v>
      </c>
      <c r="W4092" t="s">
        <v>40882</v>
      </c>
      <c r="X4092" t="s">
        <v>43172</v>
      </c>
    </row>
    <row r="4093" spans="1:24">
      <c r="A4093">
        <f>HYPERLINK("https://www.philgeps.gov.ph/GEPSNONPILOT/Tender/SplashBidNoticeAbstractUI.aspx?menuIndex=3&amp;refID=7083564&amp;Result=3","7083564")</f>
        <v>0</v>
      </c>
      <c r="B4093" t="s">
        <v>796</v>
      </c>
      <c r="C4093" t="s">
        <v>7318</v>
      </c>
      <c r="D4093" t="s">
        <v>17476</v>
      </c>
      <c r="E4093" t="s">
        <v>21059</v>
      </c>
      <c r="F4093" t="s">
        <v>30052</v>
      </c>
      <c r="G4093" t="s">
        <v>30059</v>
      </c>
      <c r="H4093" t="s">
        <v>30069</v>
      </c>
      <c r="I4093" t="s">
        <v>30088</v>
      </c>
      <c r="J4093" t="s">
        <v>32865</v>
      </c>
      <c r="K4093" t="s">
        <v>39034</v>
      </c>
      <c r="M4093" t="s">
        <v>40741</v>
      </c>
      <c r="N4093" t="s">
        <v>43166</v>
      </c>
      <c r="O4093" t="s">
        <v>43167</v>
      </c>
      <c r="P4093">
        <v>0</v>
      </c>
      <c r="Q4093">
        <v>2</v>
      </c>
      <c r="R4093" t="s">
        <v>43171</v>
      </c>
      <c r="S4093" t="s">
        <v>43311</v>
      </c>
      <c r="T4093" t="s">
        <v>44732</v>
      </c>
      <c r="U4093" t="s">
        <v>48560</v>
      </c>
      <c r="W4093" t="s">
        <v>40741</v>
      </c>
      <c r="X4093" t="s">
        <v>43172</v>
      </c>
    </row>
    <row r="4094" spans="1:24">
      <c r="A4094">
        <f>HYPERLINK("https://www.philgeps.gov.ph/GEPSNONPILOT/Tender/SplashBidNoticeAbstractUI.aspx?menuIndex=3&amp;refID=7083561&amp;Result=3","7083561")</f>
        <v>0</v>
      </c>
      <c r="B4094" t="s">
        <v>1499</v>
      </c>
      <c r="C4094" t="s">
        <v>7319</v>
      </c>
      <c r="D4094" t="s">
        <v>17424</v>
      </c>
      <c r="E4094" t="s">
        <v>21060</v>
      </c>
      <c r="F4094" t="s">
        <v>30052</v>
      </c>
      <c r="G4094" t="s">
        <v>30059</v>
      </c>
      <c r="H4094" t="s">
        <v>30067</v>
      </c>
      <c r="I4094" t="s">
        <v>6304</v>
      </c>
      <c r="J4094" t="s">
        <v>32866</v>
      </c>
      <c r="K4094" t="s">
        <v>39029</v>
      </c>
      <c r="M4094" t="s">
        <v>40883</v>
      </c>
      <c r="N4094" t="s">
        <v>43166</v>
      </c>
      <c r="O4094" t="s">
        <v>43167</v>
      </c>
      <c r="P4094">
        <v>0</v>
      </c>
      <c r="Q4094">
        <v>3</v>
      </c>
      <c r="R4094" t="s">
        <v>43171</v>
      </c>
      <c r="S4094" t="s">
        <v>43311</v>
      </c>
      <c r="T4094" t="s">
        <v>44753</v>
      </c>
      <c r="U4094" t="s">
        <v>48561</v>
      </c>
      <c r="W4094" t="s">
        <v>40883</v>
      </c>
      <c r="X4094" t="s">
        <v>43172</v>
      </c>
    </row>
    <row r="4095" spans="1:24">
      <c r="A4095">
        <f>HYPERLINK("https://www.philgeps.gov.ph/GEPSNONPILOT/Tender/SplashBidNoticeAbstractUI.aspx?menuIndex=3&amp;refID=7083560&amp;Result=3","7083560")</f>
        <v>0</v>
      </c>
      <c r="B4095" t="s">
        <v>1500</v>
      </c>
      <c r="C4095" t="s">
        <v>7320</v>
      </c>
      <c r="D4095" t="s">
        <v>17462</v>
      </c>
      <c r="E4095" t="s">
        <v>19253</v>
      </c>
      <c r="F4095" t="s">
        <v>30052</v>
      </c>
      <c r="G4095" t="s">
        <v>30061</v>
      </c>
      <c r="H4095" t="s">
        <v>30067</v>
      </c>
      <c r="I4095" t="s">
        <v>3693</v>
      </c>
      <c r="J4095" t="s">
        <v>32867</v>
      </c>
      <c r="K4095" t="s">
        <v>39017</v>
      </c>
      <c r="M4095" t="s">
        <v>40884</v>
      </c>
      <c r="N4095" t="s">
        <v>43166</v>
      </c>
      <c r="O4095" t="s">
        <v>43167</v>
      </c>
      <c r="P4095">
        <v>0</v>
      </c>
      <c r="Q4095">
        <v>0</v>
      </c>
      <c r="R4095" t="s">
        <v>43171</v>
      </c>
      <c r="S4095" t="s">
        <v>43311</v>
      </c>
      <c r="T4095" t="s">
        <v>44753</v>
      </c>
      <c r="U4095" t="s">
        <v>48562</v>
      </c>
      <c r="W4095" t="s">
        <v>40884</v>
      </c>
      <c r="X4095" t="s">
        <v>43172</v>
      </c>
    </row>
    <row r="4096" spans="1:24">
      <c r="A4096">
        <f>HYPERLINK("https://www.philgeps.gov.ph/GEPSNONPILOT/Tender/SplashBidNoticeAbstractUI.aspx?menuIndex=3&amp;refID=7083523&amp;Result=3","7083523")</f>
        <v>0</v>
      </c>
      <c r="B4096" t="s">
        <v>747</v>
      </c>
      <c r="C4096" t="s">
        <v>7321</v>
      </c>
      <c r="E4096" t="s">
        <v>21061</v>
      </c>
      <c r="F4096" t="s">
        <v>30052</v>
      </c>
      <c r="G4096" t="s">
        <v>30058</v>
      </c>
      <c r="H4096" t="s">
        <v>15498</v>
      </c>
      <c r="I4096" t="s">
        <v>30091</v>
      </c>
      <c r="J4096" t="s">
        <v>32868</v>
      </c>
      <c r="K4096" t="s">
        <v>39031</v>
      </c>
      <c r="M4096" t="s">
        <v>40061</v>
      </c>
      <c r="N4096" t="s">
        <v>43166</v>
      </c>
      <c r="O4096" t="s">
        <v>43167</v>
      </c>
      <c r="P4096">
        <v>0</v>
      </c>
      <c r="Q4096">
        <v>11</v>
      </c>
      <c r="R4096" t="s">
        <v>43171</v>
      </c>
      <c r="S4096" t="s">
        <v>43311</v>
      </c>
      <c r="T4096" t="s">
        <v>44702</v>
      </c>
      <c r="U4096" t="s">
        <v>48563</v>
      </c>
      <c r="W4096" t="s">
        <v>40061</v>
      </c>
      <c r="X4096" t="s">
        <v>43172</v>
      </c>
    </row>
    <row r="4097" spans="1:24">
      <c r="A4097">
        <f>HYPERLINK("https://www.philgeps.gov.ph/GEPSNONPILOT/Tender/SplashBidNoticeAbstractUI.aspx?menuIndex=3&amp;refID=7083556&amp;Result=3","7083556")</f>
        <v>0</v>
      </c>
      <c r="B4097" t="s">
        <v>1501</v>
      </c>
      <c r="C4097" t="s">
        <v>7322</v>
      </c>
      <c r="D4097" t="s">
        <v>17445</v>
      </c>
      <c r="E4097" t="s">
        <v>21062</v>
      </c>
      <c r="F4097" t="s">
        <v>30052</v>
      </c>
      <c r="G4097" t="s">
        <v>30059</v>
      </c>
      <c r="H4097" t="s">
        <v>15498</v>
      </c>
      <c r="I4097" t="s">
        <v>30109</v>
      </c>
      <c r="J4097" t="s">
        <v>30374</v>
      </c>
      <c r="K4097" t="s">
        <v>39029</v>
      </c>
      <c r="M4097" t="s">
        <v>40885</v>
      </c>
      <c r="N4097" t="s">
        <v>43166</v>
      </c>
      <c r="O4097" t="s">
        <v>43167</v>
      </c>
      <c r="P4097">
        <v>0</v>
      </c>
      <c r="Q4097">
        <v>2</v>
      </c>
      <c r="R4097" t="s">
        <v>43171</v>
      </c>
      <c r="S4097" t="s">
        <v>43311</v>
      </c>
      <c r="T4097" t="s">
        <v>44837</v>
      </c>
      <c r="U4097" t="s">
        <v>48564</v>
      </c>
      <c r="W4097" t="s">
        <v>40885</v>
      </c>
      <c r="X4097" t="s">
        <v>43172</v>
      </c>
    </row>
    <row r="4098" spans="1:24">
      <c r="A4098">
        <f>HYPERLINK("https://www.philgeps.gov.ph/GEPSNONPILOT/Tender/SplashBidNoticeAbstractUI.aspx?menuIndex=3&amp;refID=7083555&amp;Result=3","7083555")</f>
        <v>0</v>
      </c>
      <c r="B4098" t="s">
        <v>1389</v>
      </c>
      <c r="C4098" t="s">
        <v>7323</v>
      </c>
      <c r="D4098" t="s">
        <v>17487</v>
      </c>
      <c r="E4098" t="s">
        <v>21063</v>
      </c>
      <c r="F4098" t="s">
        <v>30052</v>
      </c>
      <c r="G4098" t="s">
        <v>30058</v>
      </c>
      <c r="H4098" t="s">
        <v>15498</v>
      </c>
      <c r="I4098" t="s">
        <v>3736</v>
      </c>
      <c r="J4098" t="s">
        <v>32869</v>
      </c>
      <c r="K4098" t="s">
        <v>39025</v>
      </c>
      <c r="M4098" t="s">
        <v>40765</v>
      </c>
      <c r="N4098" t="s">
        <v>43166</v>
      </c>
      <c r="O4098" t="s">
        <v>43167</v>
      </c>
      <c r="P4098">
        <v>0</v>
      </c>
      <c r="Q4098">
        <v>0</v>
      </c>
      <c r="R4098" t="s">
        <v>43171</v>
      </c>
      <c r="S4098" t="s">
        <v>43311</v>
      </c>
      <c r="T4098" t="s">
        <v>44715</v>
      </c>
      <c r="U4098" t="s">
        <v>48565</v>
      </c>
      <c r="W4098" t="s">
        <v>40765</v>
      </c>
      <c r="X4098" t="s">
        <v>43172</v>
      </c>
    </row>
    <row r="4099" spans="1:24">
      <c r="A4099">
        <f>HYPERLINK("https://www.philgeps.gov.ph/GEPSNONPILOT/Tender/SplashBidNoticeAbstractUI.aspx?menuIndex=3&amp;refID=7083549&amp;Result=3","7083549")</f>
        <v>0</v>
      </c>
      <c r="B4099" t="s">
        <v>701</v>
      </c>
      <c r="C4099" t="s">
        <v>7324</v>
      </c>
      <c r="D4099" t="s">
        <v>17419</v>
      </c>
      <c r="E4099" t="s">
        <v>21064</v>
      </c>
      <c r="F4099" t="s">
        <v>30052</v>
      </c>
      <c r="G4099" t="s">
        <v>30061</v>
      </c>
      <c r="H4099" t="s">
        <v>15498</v>
      </c>
      <c r="I4099" t="s">
        <v>30070</v>
      </c>
      <c r="J4099" t="s">
        <v>32870</v>
      </c>
      <c r="K4099" t="s">
        <v>39025</v>
      </c>
      <c r="M4099" t="s">
        <v>40858</v>
      </c>
      <c r="N4099" t="s">
        <v>43166</v>
      </c>
      <c r="O4099" t="s">
        <v>43167</v>
      </c>
      <c r="P4099">
        <v>0</v>
      </c>
      <c r="Q4099">
        <v>3</v>
      </c>
      <c r="R4099" t="s">
        <v>43171</v>
      </c>
      <c r="S4099" t="s">
        <v>43311</v>
      </c>
      <c r="T4099" t="s">
        <v>44717</v>
      </c>
      <c r="U4099" t="s">
        <v>48566</v>
      </c>
      <c r="W4099" t="s">
        <v>40858</v>
      </c>
      <c r="X4099" t="s">
        <v>43172</v>
      </c>
    </row>
    <row r="4100" spans="1:24">
      <c r="A4100">
        <f>HYPERLINK("https://www.philgeps.gov.ph/GEPSNONPILOT/Tender/SplashBidNoticeAbstractUI.aspx?menuIndex=3&amp;refID=7083558&amp;Result=3","7083558")</f>
        <v>0</v>
      </c>
      <c r="B4100" t="s">
        <v>38</v>
      </c>
      <c r="C4100" t="s">
        <v>7325</v>
      </c>
      <c r="D4100" t="s">
        <v>17423</v>
      </c>
      <c r="E4100" t="s">
        <v>21065</v>
      </c>
      <c r="F4100" t="s">
        <v>30052</v>
      </c>
      <c r="G4100" t="s">
        <v>30058</v>
      </c>
      <c r="H4100" t="s">
        <v>15498</v>
      </c>
      <c r="I4100" t="s">
        <v>3736</v>
      </c>
      <c r="J4100" t="s">
        <v>32871</v>
      </c>
      <c r="K4100" t="s">
        <v>39017</v>
      </c>
      <c r="M4100" t="s">
        <v>39328</v>
      </c>
      <c r="N4100" t="s">
        <v>43166</v>
      </c>
      <c r="O4100" t="s">
        <v>43167</v>
      </c>
      <c r="P4100">
        <v>0</v>
      </c>
      <c r="Q4100">
        <v>1</v>
      </c>
      <c r="R4100" t="s">
        <v>43171</v>
      </c>
      <c r="S4100" t="s">
        <v>43311</v>
      </c>
      <c r="T4100" t="s">
        <v>44710</v>
      </c>
      <c r="U4100" t="s">
        <v>48567</v>
      </c>
      <c r="W4100" t="s">
        <v>39328</v>
      </c>
      <c r="X4100" t="s">
        <v>43172</v>
      </c>
    </row>
    <row r="4101" spans="1:24">
      <c r="A4101">
        <f>HYPERLINK("https://www.philgeps.gov.ph/GEPSNONPILOT/Tender/SplashBidNoticeAbstractUI.aspx?menuIndex=3&amp;refID=7083548&amp;Result=3","7083548")</f>
        <v>0</v>
      </c>
      <c r="B4101" t="s">
        <v>1490</v>
      </c>
      <c r="C4101" t="s">
        <v>4118</v>
      </c>
      <c r="D4101" t="s">
        <v>17465</v>
      </c>
      <c r="E4101" t="s">
        <v>21066</v>
      </c>
      <c r="F4101" t="s">
        <v>30052</v>
      </c>
      <c r="G4101" t="s">
        <v>30061</v>
      </c>
      <c r="H4101" t="s">
        <v>15498</v>
      </c>
      <c r="I4101" t="s">
        <v>30071</v>
      </c>
      <c r="J4101" t="s">
        <v>32872</v>
      </c>
      <c r="K4101" t="s">
        <v>39034</v>
      </c>
      <c r="M4101" t="s">
        <v>40874</v>
      </c>
      <c r="N4101" t="s">
        <v>43166</v>
      </c>
      <c r="O4101" t="s">
        <v>43167</v>
      </c>
      <c r="P4101">
        <v>0</v>
      </c>
      <c r="Q4101">
        <v>0</v>
      </c>
      <c r="R4101" t="s">
        <v>43171</v>
      </c>
      <c r="S4101" t="s">
        <v>43311</v>
      </c>
      <c r="T4101" t="s">
        <v>44843</v>
      </c>
      <c r="U4101" t="s">
        <v>45774</v>
      </c>
      <c r="W4101" t="s">
        <v>40874</v>
      </c>
      <c r="X4101" t="s">
        <v>43172</v>
      </c>
    </row>
    <row r="4102" spans="1:24">
      <c r="A4102">
        <f>HYPERLINK("https://www.philgeps.gov.ph/GEPSNONPILOT/Tender/SplashBidNoticeAbstractUI.aspx?menuIndex=3&amp;refID=7083547&amp;Result=3","7083547")</f>
        <v>0</v>
      </c>
      <c r="B4102" t="s">
        <v>1502</v>
      </c>
      <c r="C4102" t="s">
        <v>7326</v>
      </c>
      <c r="D4102" t="s">
        <v>17416</v>
      </c>
      <c r="E4102" t="s">
        <v>21067</v>
      </c>
      <c r="F4102" t="s">
        <v>30052</v>
      </c>
      <c r="G4102" t="s">
        <v>30059</v>
      </c>
      <c r="H4102" t="s">
        <v>15498</v>
      </c>
      <c r="I4102" t="s">
        <v>3736</v>
      </c>
      <c r="J4102" t="s">
        <v>32873</v>
      </c>
      <c r="K4102" t="s">
        <v>39029</v>
      </c>
      <c r="M4102" t="s">
        <v>40886</v>
      </c>
      <c r="N4102" t="s">
        <v>43166</v>
      </c>
      <c r="O4102" t="s">
        <v>43167</v>
      </c>
      <c r="P4102">
        <v>0</v>
      </c>
      <c r="Q4102">
        <v>0</v>
      </c>
      <c r="R4102" t="s">
        <v>43171</v>
      </c>
      <c r="S4102" t="s">
        <v>43311</v>
      </c>
      <c r="T4102" t="s">
        <v>44870</v>
      </c>
      <c r="U4102" t="s">
        <v>48568</v>
      </c>
      <c r="W4102" t="s">
        <v>40886</v>
      </c>
      <c r="X4102" t="s">
        <v>43172</v>
      </c>
    </row>
    <row r="4103" spans="1:24">
      <c r="A4103">
        <f>HYPERLINK("https://www.philgeps.gov.ph/GEPSNONPILOT/Tender/SplashBidNoticeAbstractUI.aspx?menuIndex=3&amp;refID=7083562&amp;Result=3","7083562")</f>
        <v>0</v>
      </c>
      <c r="B4103" t="s">
        <v>1428</v>
      </c>
      <c r="C4103" t="s">
        <v>7327</v>
      </c>
      <c r="D4103" t="s">
        <v>17463</v>
      </c>
      <c r="E4103" t="s">
        <v>21068</v>
      </c>
      <c r="F4103" t="s">
        <v>30052</v>
      </c>
      <c r="G4103" t="s">
        <v>30058</v>
      </c>
      <c r="H4103" t="s">
        <v>15498</v>
      </c>
      <c r="I4103" t="s">
        <v>8323</v>
      </c>
      <c r="J4103" t="s">
        <v>32874</v>
      </c>
      <c r="K4103" t="s">
        <v>39034</v>
      </c>
      <c r="M4103" t="s">
        <v>40806</v>
      </c>
      <c r="N4103" t="s">
        <v>43166</v>
      </c>
      <c r="O4103" t="s">
        <v>43167</v>
      </c>
      <c r="P4103">
        <v>0</v>
      </c>
      <c r="Q4103">
        <v>0</v>
      </c>
      <c r="R4103" t="s">
        <v>43171</v>
      </c>
      <c r="S4103" t="s">
        <v>43311</v>
      </c>
      <c r="T4103" t="s">
        <v>44700</v>
      </c>
      <c r="U4103" t="s">
        <v>48569</v>
      </c>
      <c r="W4103" t="s">
        <v>40806</v>
      </c>
      <c r="X4103" t="s">
        <v>43172</v>
      </c>
    </row>
    <row r="4104" spans="1:24">
      <c r="A4104">
        <f>HYPERLINK("https://www.philgeps.gov.ph/GEPSNONPILOT/Tender/SplashBidNoticeAbstractUI.aspx?menuIndex=3&amp;refID=7083542&amp;Result=3","7083542")</f>
        <v>0</v>
      </c>
      <c r="B4104" t="s">
        <v>1503</v>
      </c>
      <c r="C4104" t="s">
        <v>7328</v>
      </c>
      <c r="D4104" t="s">
        <v>17474</v>
      </c>
      <c r="E4104" t="s">
        <v>19598</v>
      </c>
      <c r="F4104" t="s">
        <v>30052</v>
      </c>
      <c r="G4104" t="s">
        <v>30058</v>
      </c>
      <c r="H4104" t="s">
        <v>15498</v>
      </c>
      <c r="I4104" t="s">
        <v>30097</v>
      </c>
      <c r="J4104" t="s">
        <v>32875</v>
      </c>
      <c r="K4104" t="s">
        <v>39034</v>
      </c>
      <c r="M4104" t="s">
        <v>40887</v>
      </c>
      <c r="N4104" t="s">
        <v>43166</v>
      </c>
      <c r="O4104" t="s">
        <v>43167</v>
      </c>
      <c r="P4104">
        <v>0</v>
      </c>
      <c r="Q4104">
        <v>0</v>
      </c>
      <c r="R4104" t="s">
        <v>43171</v>
      </c>
      <c r="S4104" t="s">
        <v>43311</v>
      </c>
      <c r="T4104" t="s">
        <v>44842</v>
      </c>
      <c r="U4104" t="s">
        <v>48570</v>
      </c>
      <c r="W4104" t="s">
        <v>40887</v>
      </c>
      <c r="X4104" t="s">
        <v>43172</v>
      </c>
    </row>
    <row r="4105" spans="1:24">
      <c r="A4105">
        <f>HYPERLINK("https://www.philgeps.gov.ph/GEPSNONPILOT/Tender/SplashBidNoticeAbstractUI.aspx?menuIndex=3&amp;refID=7083541&amp;Result=3","7083541")</f>
        <v>0</v>
      </c>
      <c r="B4105" t="s">
        <v>1504</v>
      </c>
      <c r="C4105" t="s">
        <v>7329</v>
      </c>
      <c r="D4105" t="s">
        <v>17415</v>
      </c>
      <c r="E4105" t="s">
        <v>21069</v>
      </c>
      <c r="F4105" t="s">
        <v>30052</v>
      </c>
      <c r="G4105" t="s">
        <v>30058</v>
      </c>
      <c r="H4105" t="s">
        <v>15498</v>
      </c>
      <c r="I4105" t="s">
        <v>8758</v>
      </c>
      <c r="J4105" t="s">
        <v>32876</v>
      </c>
      <c r="K4105" t="s">
        <v>39026</v>
      </c>
      <c r="M4105" t="s">
        <v>40888</v>
      </c>
      <c r="N4105" t="s">
        <v>43166</v>
      </c>
      <c r="O4105" t="s">
        <v>43167</v>
      </c>
      <c r="P4105">
        <v>0</v>
      </c>
      <c r="Q4105">
        <v>14</v>
      </c>
      <c r="R4105" t="s">
        <v>43171</v>
      </c>
      <c r="S4105" t="s">
        <v>43311</v>
      </c>
      <c r="T4105" t="s">
        <v>44945</v>
      </c>
      <c r="U4105" t="s">
        <v>48571</v>
      </c>
      <c r="W4105" t="s">
        <v>41524</v>
      </c>
      <c r="X4105" t="s">
        <v>43172</v>
      </c>
    </row>
    <row r="4106" spans="1:24">
      <c r="A4106">
        <f>HYPERLINK("https://www.philgeps.gov.ph/GEPSNONPILOT/Tender/SplashBidNoticeAbstractUI.aspx?menuIndex=3&amp;refID=7083544&amp;Result=3","7083544")</f>
        <v>0</v>
      </c>
      <c r="B4106" t="s">
        <v>1162</v>
      </c>
      <c r="C4106" t="s">
        <v>7330</v>
      </c>
      <c r="D4106" t="s">
        <v>17472</v>
      </c>
      <c r="E4106" t="s">
        <v>21070</v>
      </c>
      <c r="F4106" t="s">
        <v>30052</v>
      </c>
      <c r="G4106" t="s">
        <v>30060</v>
      </c>
      <c r="H4106" t="s">
        <v>15498</v>
      </c>
      <c r="I4106" t="s">
        <v>30144</v>
      </c>
      <c r="J4106" t="s">
        <v>30218</v>
      </c>
      <c r="K4106" t="s">
        <v>39017</v>
      </c>
      <c r="M4106" t="s">
        <v>40508</v>
      </c>
      <c r="N4106" t="s">
        <v>43166</v>
      </c>
      <c r="O4106" t="s">
        <v>43167</v>
      </c>
      <c r="P4106">
        <v>0</v>
      </c>
      <c r="Q4106">
        <v>2</v>
      </c>
      <c r="R4106" t="s">
        <v>43171</v>
      </c>
      <c r="S4106" t="s">
        <v>43311</v>
      </c>
      <c r="T4106" t="s">
        <v>44806</v>
      </c>
      <c r="U4106" t="s">
        <v>48572</v>
      </c>
      <c r="W4106" t="s">
        <v>40508</v>
      </c>
      <c r="X4106" t="s">
        <v>43172</v>
      </c>
    </row>
    <row r="4107" spans="1:24">
      <c r="A4107">
        <f>HYPERLINK("https://www.philgeps.gov.ph/GEPSNONPILOT/Tender/SplashBidNoticeAbstractUI.aspx?menuIndex=3&amp;refID=7083507&amp;Result=3","7083507")</f>
        <v>0</v>
      </c>
      <c r="B4107" t="s">
        <v>1446</v>
      </c>
      <c r="C4107" t="s">
        <v>7331</v>
      </c>
      <c r="D4107" t="s">
        <v>17447</v>
      </c>
      <c r="E4107" t="s">
        <v>21071</v>
      </c>
      <c r="F4107" t="s">
        <v>30052</v>
      </c>
      <c r="G4107" t="s">
        <v>30058</v>
      </c>
      <c r="H4107" t="s">
        <v>30067</v>
      </c>
      <c r="I4107" t="s">
        <v>3693</v>
      </c>
      <c r="J4107" t="s">
        <v>32795</v>
      </c>
      <c r="K4107" t="s">
        <v>39026</v>
      </c>
      <c r="M4107" t="s">
        <v>40824</v>
      </c>
      <c r="N4107" t="s">
        <v>43166</v>
      </c>
      <c r="O4107" t="s">
        <v>43167</v>
      </c>
      <c r="P4107">
        <v>0</v>
      </c>
      <c r="Q4107">
        <v>2</v>
      </c>
      <c r="R4107" t="s">
        <v>43171</v>
      </c>
      <c r="S4107" t="s">
        <v>43311</v>
      </c>
      <c r="T4107" t="s">
        <v>44722</v>
      </c>
      <c r="U4107" t="s">
        <v>48423</v>
      </c>
      <c r="V4107" t="s">
        <v>57283</v>
      </c>
      <c r="W4107" t="s">
        <v>40824</v>
      </c>
      <c r="X4107" t="s">
        <v>43172</v>
      </c>
    </row>
    <row r="4108" spans="1:24">
      <c r="A4108">
        <f>HYPERLINK("https://www.philgeps.gov.ph/GEPSNONPILOT/Tender/SplashBidNoticeAbstractUI.aspx?menuIndex=3&amp;refID=7083537&amp;Result=3","7083537")</f>
        <v>0</v>
      </c>
      <c r="B4108" t="s">
        <v>918</v>
      </c>
      <c r="C4108" t="s">
        <v>7332</v>
      </c>
      <c r="D4108" t="s">
        <v>17424</v>
      </c>
      <c r="E4108" t="s">
        <v>21072</v>
      </c>
      <c r="F4108" t="s">
        <v>30052</v>
      </c>
      <c r="G4108" t="s">
        <v>30063</v>
      </c>
      <c r="H4108" t="s">
        <v>30067</v>
      </c>
      <c r="I4108" t="s">
        <v>3693</v>
      </c>
      <c r="J4108" t="s">
        <v>32877</v>
      </c>
      <c r="K4108" t="s">
        <v>39026</v>
      </c>
      <c r="M4108" t="s">
        <v>40241</v>
      </c>
      <c r="N4108" t="s">
        <v>43166</v>
      </c>
      <c r="O4108" t="s">
        <v>43167</v>
      </c>
      <c r="P4108">
        <v>0</v>
      </c>
      <c r="Q4108">
        <v>7</v>
      </c>
      <c r="R4108" t="s">
        <v>43171</v>
      </c>
      <c r="S4108" t="s">
        <v>43311</v>
      </c>
      <c r="T4108" t="s">
        <v>44842</v>
      </c>
      <c r="U4108" t="s">
        <v>48573</v>
      </c>
      <c r="V4108" t="s">
        <v>57086</v>
      </c>
      <c r="W4108" t="s">
        <v>40241</v>
      </c>
      <c r="X4108" t="s">
        <v>43172</v>
      </c>
    </row>
    <row r="4109" spans="1:24">
      <c r="A4109">
        <f>HYPERLINK("https://www.philgeps.gov.ph/GEPSNONPILOT/Tender/SplashBidNoticeAbstractUI.aspx?menuIndex=3&amp;refID=7083559&amp;Result=3","7083559")</f>
        <v>0</v>
      </c>
      <c r="B4109" t="s">
        <v>1505</v>
      </c>
      <c r="C4109" t="s">
        <v>7333</v>
      </c>
      <c r="D4109" t="s">
        <v>17462</v>
      </c>
      <c r="E4109" t="s">
        <v>21073</v>
      </c>
      <c r="F4109" t="s">
        <v>30052</v>
      </c>
      <c r="G4109" t="s">
        <v>30065</v>
      </c>
      <c r="H4109" t="s">
        <v>30068</v>
      </c>
      <c r="I4109" t="s">
        <v>30166</v>
      </c>
      <c r="J4109" t="s">
        <v>32878</v>
      </c>
      <c r="K4109" t="s">
        <v>39118</v>
      </c>
      <c r="M4109" t="s">
        <v>40889</v>
      </c>
      <c r="N4109" t="s">
        <v>43166</v>
      </c>
      <c r="O4109" t="s">
        <v>43167</v>
      </c>
      <c r="P4109">
        <v>0</v>
      </c>
      <c r="Q4109">
        <v>4</v>
      </c>
      <c r="R4109" t="s">
        <v>43171</v>
      </c>
      <c r="S4109" t="s">
        <v>43311</v>
      </c>
      <c r="T4109" t="s">
        <v>44710</v>
      </c>
      <c r="U4109" t="s">
        <v>48574</v>
      </c>
      <c r="W4109" t="s">
        <v>58641</v>
      </c>
      <c r="X4109" t="s">
        <v>43172</v>
      </c>
    </row>
    <row r="4110" spans="1:24">
      <c r="A4110">
        <f>HYPERLINK("https://www.philgeps.gov.ph/GEPSNONPILOT/Tender/SplashBidNoticeAbstractUI.aspx?menuIndex=3&amp;refID=7083539&amp;Result=3","7083539")</f>
        <v>0</v>
      </c>
      <c r="B4110" t="s">
        <v>1506</v>
      </c>
      <c r="C4110" t="s">
        <v>7334</v>
      </c>
      <c r="D4110" t="s">
        <v>17454</v>
      </c>
      <c r="E4110" t="s">
        <v>21074</v>
      </c>
      <c r="F4110" t="s">
        <v>30052</v>
      </c>
      <c r="G4110" t="s">
        <v>30058</v>
      </c>
      <c r="H4110" t="s">
        <v>30067</v>
      </c>
      <c r="I4110" t="s">
        <v>3693</v>
      </c>
      <c r="J4110" t="s">
        <v>30281</v>
      </c>
      <c r="K4110" t="s">
        <v>39026</v>
      </c>
      <c r="M4110" t="s">
        <v>40890</v>
      </c>
      <c r="N4110" t="s">
        <v>43166</v>
      </c>
      <c r="O4110" t="s">
        <v>43167</v>
      </c>
      <c r="P4110">
        <v>0</v>
      </c>
      <c r="Q4110">
        <v>0</v>
      </c>
      <c r="R4110" t="s">
        <v>43171</v>
      </c>
      <c r="S4110" t="s">
        <v>43311</v>
      </c>
      <c r="T4110" t="s">
        <v>44984</v>
      </c>
      <c r="U4110" t="s">
        <v>48575</v>
      </c>
      <c r="W4110" t="s">
        <v>40890</v>
      </c>
      <c r="X4110" t="s">
        <v>43172</v>
      </c>
    </row>
    <row r="4111" spans="1:24">
      <c r="A4111">
        <f>HYPERLINK("https://www.philgeps.gov.ph/GEPSNONPILOT/Tender/SplashBidNoticeAbstractUI.aspx?menuIndex=3&amp;refID=7083597&amp;Result=3","7083597")</f>
        <v>0</v>
      </c>
      <c r="B4111" t="s">
        <v>1507</v>
      </c>
      <c r="C4111" t="s">
        <v>7335</v>
      </c>
      <c r="D4111" t="s">
        <v>17432</v>
      </c>
      <c r="E4111" t="s">
        <v>21075</v>
      </c>
      <c r="F4111" t="s">
        <v>30052</v>
      </c>
      <c r="G4111" t="s">
        <v>30058</v>
      </c>
      <c r="H4111" t="s">
        <v>30067</v>
      </c>
      <c r="I4111" t="s">
        <v>3693</v>
      </c>
      <c r="J4111" t="s">
        <v>32879</v>
      </c>
      <c r="K4111" t="s">
        <v>39063</v>
      </c>
      <c r="M4111" t="s">
        <v>40891</v>
      </c>
      <c r="N4111" t="s">
        <v>43166</v>
      </c>
      <c r="O4111" t="s">
        <v>43167</v>
      </c>
      <c r="P4111">
        <v>0</v>
      </c>
      <c r="Q4111">
        <v>0</v>
      </c>
      <c r="R4111" t="s">
        <v>43171</v>
      </c>
      <c r="S4111" t="s">
        <v>43311</v>
      </c>
      <c r="T4111" t="s">
        <v>44681</v>
      </c>
      <c r="U4111" t="s">
        <v>48576</v>
      </c>
      <c r="W4111" t="s">
        <v>40891</v>
      </c>
      <c r="X4111" t="s">
        <v>43172</v>
      </c>
    </row>
    <row r="4112" spans="1:24">
      <c r="A4112">
        <f>HYPERLINK("https://www.philgeps.gov.ph/GEPSNONPILOT/Tender/SplashBidNoticeAbstractUI.aspx?menuIndex=3&amp;refID=7083566&amp;Result=3","7083566")</f>
        <v>0</v>
      </c>
      <c r="B4112" t="s">
        <v>1508</v>
      </c>
      <c r="C4112" t="s">
        <v>7336</v>
      </c>
      <c r="D4112" t="s">
        <v>17448</v>
      </c>
      <c r="E4112" t="s">
        <v>21076</v>
      </c>
      <c r="F4112" t="s">
        <v>30052</v>
      </c>
      <c r="G4112" t="s">
        <v>30059</v>
      </c>
      <c r="H4112" t="s">
        <v>15498</v>
      </c>
      <c r="I4112" t="s">
        <v>30094</v>
      </c>
      <c r="J4112" t="s">
        <v>31186</v>
      </c>
      <c r="K4112" t="s">
        <v>39031</v>
      </c>
      <c r="M4112" t="s">
        <v>40892</v>
      </c>
      <c r="N4112" t="s">
        <v>43166</v>
      </c>
      <c r="O4112" t="s">
        <v>43167</v>
      </c>
      <c r="P4112">
        <v>0</v>
      </c>
      <c r="Q4112">
        <v>0</v>
      </c>
      <c r="R4112" t="s">
        <v>43171</v>
      </c>
      <c r="S4112" t="s">
        <v>43311</v>
      </c>
      <c r="T4112" t="s">
        <v>44717</v>
      </c>
      <c r="U4112" t="s">
        <v>48577</v>
      </c>
      <c r="W4112" t="s">
        <v>40892</v>
      </c>
      <c r="X4112" t="s">
        <v>43172</v>
      </c>
    </row>
    <row r="4113" spans="1:24">
      <c r="A4113">
        <f>HYPERLINK("https://www.philgeps.gov.ph/GEPSNONPILOT/Tender/SplashBidNoticeAbstractUI.aspx?menuIndex=3&amp;refID=7083596&amp;Result=3","7083596")</f>
        <v>0</v>
      </c>
      <c r="B4113" t="s">
        <v>1509</v>
      </c>
      <c r="C4113" t="s">
        <v>7337</v>
      </c>
      <c r="D4113" t="s">
        <v>17459</v>
      </c>
      <c r="E4113" t="s">
        <v>21077</v>
      </c>
      <c r="F4113" t="s">
        <v>30052</v>
      </c>
      <c r="G4113" t="s">
        <v>30064</v>
      </c>
      <c r="H4113" t="s">
        <v>15498</v>
      </c>
      <c r="I4113" t="s">
        <v>3736</v>
      </c>
      <c r="J4113" t="s">
        <v>32880</v>
      </c>
      <c r="K4113" t="s">
        <v>39034</v>
      </c>
      <c r="M4113" t="s">
        <v>40893</v>
      </c>
      <c r="N4113" t="s">
        <v>43166</v>
      </c>
      <c r="O4113" t="s">
        <v>43167</v>
      </c>
      <c r="P4113">
        <v>0</v>
      </c>
      <c r="Q4113">
        <v>0</v>
      </c>
      <c r="R4113" t="s">
        <v>43171</v>
      </c>
      <c r="S4113" t="s">
        <v>43311</v>
      </c>
      <c r="T4113" t="s">
        <v>44787</v>
      </c>
      <c r="U4113" t="s">
        <v>48578</v>
      </c>
      <c r="W4113" t="s">
        <v>40893</v>
      </c>
      <c r="X4113" t="s">
        <v>43172</v>
      </c>
    </row>
    <row r="4114" spans="1:24">
      <c r="A4114">
        <f>HYPERLINK("https://www.philgeps.gov.ph/GEPSNONPILOT/Tender/SplashBidNoticeAbstractUI.aspx?menuIndex=3&amp;refID=7083598&amp;Result=3","7083598")</f>
        <v>0</v>
      </c>
      <c r="B4114" t="s">
        <v>1483</v>
      </c>
      <c r="C4114" t="s">
        <v>7338</v>
      </c>
      <c r="D4114" t="s">
        <v>17414</v>
      </c>
      <c r="E4114" t="s">
        <v>21078</v>
      </c>
      <c r="F4114" t="s">
        <v>30052</v>
      </c>
      <c r="G4114" t="s">
        <v>30058</v>
      </c>
      <c r="H4114" t="s">
        <v>30067</v>
      </c>
      <c r="I4114" t="s">
        <v>3693</v>
      </c>
      <c r="J4114" t="s">
        <v>32854</v>
      </c>
      <c r="K4114" t="s">
        <v>39031</v>
      </c>
      <c r="M4114" t="s">
        <v>40866</v>
      </c>
      <c r="N4114" t="s">
        <v>43166</v>
      </c>
      <c r="O4114" t="s">
        <v>43167</v>
      </c>
      <c r="P4114">
        <v>0</v>
      </c>
      <c r="Q4114">
        <v>0</v>
      </c>
      <c r="R4114" t="s">
        <v>43171</v>
      </c>
      <c r="S4114" t="s">
        <v>43311</v>
      </c>
      <c r="T4114" t="s">
        <v>44892</v>
      </c>
      <c r="U4114" t="s">
        <v>48547</v>
      </c>
      <c r="W4114" t="s">
        <v>40866</v>
      </c>
      <c r="X4114" t="s">
        <v>43172</v>
      </c>
    </row>
    <row r="4115" spans="1:24">
      <c r="A4115">
        <f>HYPERLINK("https://www.philgeps.gov.ph/GEPSNONPILOT/Tender/SplashBidNoticeAbstractUI.aspx?menuIndex=3&amp;refID=7083592&amp;Result=3","7083592")</f>
        <v>0</v>
      </c>
      <c r="B4115" t="s">
        <v>1162</v>
      </c>
      <c r="C4115" t="s">
        <v>7339</v>
      </c>
      <c r="D4115" t="s">
        <v>17472</v>
      </c>
      <c r="E4115" t="s">
        <v>21079</v>
      </c>
      <c r="F4115" t="s">
        <v>30052</v>
      </c>
      <c r="G4115" t="s">
        <v>30059</v>
      </c>
      <c r="H4115" t="s">
        <v>15498</v>
      </c>
      <c r="I4115" t="s">
        <v>30088</v>
      </c>
      <c r="J4115" t="s">
        <v>30230</v>
      </c>
      <c r="K4115" t="s">
        <v>39017</v>
      </c>
      <c r="M4115" t="s">
        <v>40894</v>
      </c>
      <c r="N4115" t="s">
        <v>43166</v>
      </c>
      <c r="O4115" t="s">
        <v>43167</v>
      </c>
      <c r="P4115">
        <v>0</v>
      </c>
      <c r="Q4115">
        <v>4</v>
      </c>
      <c r="R4115" t="s">
        <v>43171</v>
      </c>
      <c r="S4115" t="s">
        <v>43311</v>
      </c>
      <c r="T4115" t="s">
        <v>44715</v>
      </c>
      <c r="U4115" t="s">
        <v>48579</v>
      </c>
      <c r="W4115" t="s">
        <v>40894</v>
      </c>
      <c r="X4115" t="s">
        <v>43172</v>
      </c>
    </row>
    <row r="4116" spans="1:24">
      <c r="A4116">
        <f>HYPERLINK("https://www.philgeps.gov.ph/GEPSNONPILOT/Tender/SplashBidNoticeAbstractUI.aspx?menuIndex=3&amp;refID=7083591&amp;Result=3","7083591")</f>
        <v>0</v>
      </c>
      <c r="B4116" t="s">
        <v>1428</v>
      </c>
      <c r="C4116" t="s">
        <v>7340</v>
      </c>
      <c r="D4116" t="s">
        <v>17463</v>
      </c>
      <c r="E4116" t="s">
        <v>21080</v>
      </c>
      <c r="F4116" t="s">
        <v>30052</v>
      </c>
      <c r="G4116" t="s">
        <v>30058</v>
      </c>
      <c r="H4116" t="s">
        <v>15498</v>
      </c>
      <c r="I4116" t="s">
        <v>8323</v>
      </c>
      <c r="J4116" t="s">
        <v>32318</v>
      </c>
      <c r="K4116" t="s">
        <v>39034</v>
      </c>
      <c r="M4116" t="s">
        <v>40806</v>
      </c>
      <c r="N4116" t="s">
        <v>43166</v>
      </c>
      <c r="O4116" t="s">
        <v>43167</v>
      </c>
      <c r="P4116">
        <v>0</v>
      </c>
      <c r="Q4116">
        <v>0</v>
      </c>
      <c r="R4116" t="s">
        <v>43171</v>
      </c>
      <c r="S4116" t="s">
        <v>43311</v>
      </c>
      <c r="T4116" t="s">
        <v>44700</v>
      </c>
      <c r="U4116" t="s">
        <v>48569</v>
      </c>
      <c r="W4116" t="s">
        <v>40806</v>
      </c>
      <c r="X4116" t="s">
        <v>43172</v>
      </c>
    </row>
    <row r="4117" spans="1:24">
      <c r="A4117">
        <f>HYPERLINK("https://www.philgeps.gov.ph/GEPSNONPILOT/Tender/SplashBidNoticeAbstractUI.aspx?menuIndex=3&amp;refID=7083590&amp;Result=3","7083590")</f>
        <v>0</v>
      </c>
      <c r="B4117" t="s">
        <v>1209</v>
      </c>
      <c r="C4117" t="s">
        <v>7341</v>
      </c>
      <c r="D4117" t="s">
        <v>17454</v>
      </c>
      <c r="E4117" t="s">
        <v>21081</v>
      </c>
      <c r="F4117" t="s">
        <v>30055</v>
      </c>
      <c r="G4117" t="s">
        <v>30058</v>
      </c>
      <c r="H4117" t="s">
        <v>15498</v>
      </c>
      <c r="I4117" t="s">
        <v>3736</v>
      </c>
      <c r="J4117" t="s">
        <v>32881</v>
      </c>
      <c r="K4117" t="s">
        <v>39019</v>
      </c>
      <c r="M4117" t="s">
        <v>40563</v>
      </c>
      <c r="N4117" t="s">
        <v>43166</v>
      </c>
      <c r="O4117" t="s">
        <v>43167</v>
      </c>
      <c r="P4117">
        <v>0</v>
      </c>
      <c r="Q4117">
        <v>0</v>
      </c>
      <c r="R4117" t="s">
        <v>43171</v>
      </c>
      <c r="S4117" t="s">
        <v>43311</v>
      </c>
      <c r="T4117" t="s">
        <v>44722</v>
      </c>
      <c r="U4117" t="s">
        <v>48580</v>
      </c>
      <c r="W4117" t="s">
        <v>40563</v>
      </c>
      <c r="X4117" t="s">
        <v>43172</v>
      </c>
    </row>
    <row r="4118" spans="1:24">
      <c r="A4118">
        <f>HYPERLINK("https://www.philgeps.gov.ph/GEPSNONPILOT/Tender/SplashBidNoticeAbstractUI.aspx?menuIndex=3&amp;refID=7083595&amp;Result=3","7083595")</f>
        <v>0</v>
      </c>
      <c r="B4118" t="s">
        <v>866</v>
      </c>
      <c r="C4118" t="s">
        <v>7342</v>
      </c>
      <c r="D4118" t="s">
        <v>17421</v>
      </c>
      <c r="E4118" t="s">
        <v>18731</v>
      </c>
      <c r="F4118" t="s">
        <v>30052</v>
      </c>
      <c r="G4118" t="s">
        <v>30058</v>
      </c>
      <c r="H4118" t="s">
        <v>15498</v>
      </c>
      <c r="I4118" t="s">
        <v>30071</v>
      </c>
      <c r="J4118" t="s">
        <v>32882</v>
      </c>
      <c r="K4118" t="s">
        <v>39037</v>
      </c>
      <c r="M4118" t="s">
        <v>40185</v>
      </c>
      <c r="N4118" t="s">
        <v>43166</v>
      </c>
      <c r="O4118" t="s">
        <v>43167</v>
      </c>
      <c r="P4118">
        <v>0</v>
      </c>
      <c r="Q4118">
        <v>0</v>
      </c>
      <c r="R4118" t="s">
        <v>43171</v>
      </c>
      <c r="S4118" t="s">
        <v>43311</v>
      </c>
      <c r="T4118" t="s">
        <v>44687</v>
      </c>
      <c r="U4118" t="s">
        <v>46911</v>
      </c>
      <c r="W4118" t="s">
        <v>40185</v>
      </c>
      <c r="X4118" t="s">
        <v>43172</v>
      </c>
    </row>
    <row r="4119" spans="1:24">
      <c r="A4119">
        <f>HYPERLINK("https://www.philgeps.gov.ph/GEPSNONPILOT/Tender/SplashBidNoticeAbstractUI.aspx?menuIndex=3&amp;refID=7083589&amp;Result=3","7083589")</f>
        <v>0</v>
      </c>
      <c r="B4119" t="s">
        <v>701</v>
      </c>
      <c r="C4119" t="s">
        <v>7343</v>
      </c>
      <c r="D4119" t="s">
        <v>17419</v>
      </c>
      <c r="E4119" t="s">
        <v>21082</v>
      </c>
      <c r="F4119" t="s">
        <v>30052</v>
      </c>
      <c r="G4119" t="s">
        <v>30059</v>
      </c>
      <c r="H4119" t="s">
        <v>15498</v>
      </c>
      <c r="I4119" t="s">
        <v>3736</v>
      </c>
      <c r="J4119" t="s">
        <v>32883</v>
      </c>
      <c r="K4119" t="s">
        <v>39025</v>
      </c>
      <c r="M4119" t="s">
        <v>40010</v>
      </c>
      <c r="N4119" t="s">
        <v>43166</v>
      </c>
      <c r="O4119" t="s">
        <v>43167</v>
      </c>
      <c r="P4119">
        <v>0</v>
      </c>
      <c r="Q4119">
        <v>0</v>
      </c>
      <c r="R4119" t="s">
        <v>43171</v>
      </c>
      <c r="S4119" t="s">
        <v>43311</v>
      </c>
      <c r="T4119" t="s">
        <v>44717</v>
      </c>
      <c r="U4119" t="s">
        <v>48581</v>
      </c>
      <c r="W4119" t="s">
        <v>40010</v>
      </c>
      <c r="X4119" t="s">
        <v>43172</v>
      </c>
    </row>
    <row r="4120" spans="1:24">
      <c r="A4120">
        <f>HYPERLINK("https://www.philgeps.gov.ph/GEPSNONPILOT/Tender/SplashBidNoticeAbstractUI.aspx?menuIndex=3&amp;refID=7083587&amp;Result=3","7083587")</f>
        <v>0</v>
      </c>
      <c r="B4120" t="s">
        <v>1510</v>
      </c>
      <c r="C4120" t="s">
        <v>7344</v>
      </c>
      <c r="D4120" t="s">
        <v>17484</v>
      </c>
      <c r="E4120" t="s">
        <v>21083</v>
      </c>
      <c r="F4120" t="s">
        <v>30052</v>
      </c>
      <c r="G4120" t="s">
        <v>30058</v>
      </c>
      <c r="H4120" t="s">
        <v>15498</v>
      </c>
      <c r="I4120" t="s">
        <v>30114</v>
      </c>
      <c r="J4120" t="s">
        <v>32884</v>
      </c>
      <c r="K4120" t="s">
        <v>39037</v>
      </c>
      <c r="M4120" t="s">
        <v>40895</v>
      </c>
      <c r="N4120" t="s">
        <v>43166</v>
      </c>
      <c r="O4120" t="s">
        <v>43167</v>
      </c>
      <c r="P4120">
        <v>0</v>
      </c>
      <c r="Q4120">
        <v>5</v>
      </c>
      <c r="R4120" t="s">
        <v>43171</v>
      </c>
      <c r="S4120" t="s">
        <v>43311</v>
      </c>
      <c r="T4120" t="s">
        <v>44877</v>
      </c>
      <c r="U4120" t="s">
        <v>48582</v>
      </c>
      <c r="W4120" t="s">
        <v>40895</v>
      </c>
      <c r="X4120" t="s">
        <v>43172</v>
      </c>
    </row>
    <row r="4121" spans="1:24">
      <c r="A4121">
        <f>HYPERLINK("https://www.philgeps.gov.ph/GEPSNONPILOT/Tender/SplashBidNoticeAbstractUI.aspx?menuIndex=3&amp;refID=7083540&amp;Result=3","7083540")</f>
        <v>0</v>
      </c>
      <c r="B4121" t="s">
        <v>1505</v>
      </c>
      <c r="C4121" t="s">
        <v>7345</v>
      </c>
      <c r="D4121" t="s">
        <v>17462</v>
      </c>
      <c r="E4121" t="s">
        <v>21084</v>
      </c>
      <c r="F4121" t="s">
        <v>30052</v>
      </c>
      <c r="G4121" t="s">
        <v>30065</v>
      </c>
      <c r="H4121" t="s">
        <v>30068</v>
      </c>
      <c r="I4121" t="s">
        <v>30166</v>
      </c>
      <c r="J4121" t="s">
        <v>32885</v>
      </c>
      <c r="K4121" t="s">
        <v>39118</v>
      </c>
      <c r="M4121" t="s">
        <v>40889</v>
      </c>
      <c r="N4121" t="s">
        <v>43166</v>
      </c>
      <c r="O4121" t="s">
        <v>43167</v>
      </c>
      <c r="P4121">
        <v>0</v>
      </c>
      <c r="Q4121">
        <v>4</v>
      </c>
      <c r="R4121" t="s">
        <v>43171</v>
      </c>
      <c r="S4121" t="s">
        <v>43311</v>
      </c>
      <c r="T4121" t="s">
        <v>44710</v>
      </c>
      <c r="U4121" t="s">
        <v>48574</v>
      </c>
      <c r="W4121" t="s">
        <v>58641</v>
      </c>
      <c r="X4121" t="s">
        <v>43172</v>
      </c>
    </row>
    <row r="4122" spans="1:24">
      <c r="A4122">
        <f>HYPERLINK("https://www.philgeps.gov.ph/GEPSNONPILOT/Tender/SplashBidNoticeAbstractUI.aspx?menuIndex=3&amp;refID=7083583&amp;Result=3","7083583")</f>
        <v>0</v>
      </c>
      <c r="B4122" t="s">
        <v>701</v>
      </c>
      <c r="C4122" t="s">
        <v>7346</v>
      </c>
      <c r="D4122" t="s">
        <v>17419</v>
      </c>
      <c r="E4122" t="s">
        <v>21085</v>
      </c>
      <c r="F4122" t="s">
        <v>30052</v>
      </c>
      <c r="G4122" t="s">
        <v>30059</v>
      </c>
      <c r="H4122" t="s">
        <v>15498</v>
      </c>
      <c r="I4122" t="s">
        <v>3852</v>
      </c>
      <c r="J4122" t="s">
        <v>32886</v>
      </c>
      <c r="K4122" t="s">
        <v>39025</v>
      </c>
      <c r="M4122" t="s">
        <v>40858</v>
      </c>
      <c r="N4122" t="s">
        <v>43166</v>
      </c>
      <c r="O4122" t="s">
        <v>43167</v>
      </c>
      <c r="P4122">
        <v>0</v>
      </c>
      <c r="Q4122">
        <v>0</v>
      </c>
      <c r="R4122" t="s">
        <v>43171</v>
      </c>
      <c r="S4122" t="s">
        <v>43311</v>
      </c>
      <c r="T4122" t="s">
        <v>44717</v>
      </c>
      <c r="U4122" t="s">
        <v>48583</v>
      </c>
      <c r="W4122" t="s">
        <v>40858</v>
      </c>
      <c r="X4122" t="s">
        <v>43172</v>
      </c>
    </row>
    <row r="4123" spans="1:24">
      <c r="A4123">
        <f>HYPERLINK("https://www.philgeps.gov.ph/GEPSNONPILOT/Tender/SplashBidNoticeAbstractUI.aspx?menuIndex=3&amp;refID=7083580&amp;Result=3","7083580")</f>
        <v>0</v>
      </c>
      <c r="B4123" t="s">
        <v>1490</v>
      </c>
      <c r="C4123" t="s">
        <v>4125</v>
      </c>
      <c r="D4123" t="s">
        <v>17465</v>
      </c>
      <c r="E4123" t="s">
        <v>21086</v>
      </c>
      <c r="F4123" t="s">
        <v>30052</v>
      </c>
      <c r="G4123" t="s">
        <v>30061</v>
      </c>
      <c r="H4123" t="s">
        <v>15498</v>
      </c>
      <c r="I4123" t="s">
        <v>4119</v>
      </c>
      <c r="J4123" t="s">
        <v>32887</v>
      </c>
      <c r="K4123" t="s">
        <v>39034</v>
      </c>
      <c r="M4123" t="s">
        <v>40874</v>
      </c>
      <c r="N4123" t="s">
        <v>43166</v>
      </c>
      <c r="O4123" t="s">
        <v>43167</v>
      </c>
      <c r="P4123">
        <v>0</v>
      </c>
      <c r="Q4123">
        <v>3</v>
      </c>
      <c r="R4123" t="s">
        <v>43171</v>
      </c>
      <c r="S4123" t="s">
        <v>43311</v>
      </c>
      <c r="T4123" t="s">
        <v>44843</v>
      </c>
      <c r="U4123" t="s">
        <v>45782</v>
      </c>
      <c r="W4123" t="s">
        <v>40874</v>
      </c>
      <c r="X4123" t="s">
        <v>43172</v>
      </c>
    </row>
    <row r="4124" spans="1:24">
      <c r="A4124">
        <f>HYPERLINK("https://www.philgeps.gov.ph/GEPSNONPILOT/Tender/SplashBidNoticeAbstractUI.aspx?menuIndex=3&amp;refID=7083593&amp;Result=3","7083593")</f>
        <v>0</v>
      </c>
      <c r="B4124" t="s">
        <v>1000</v>
      </c>
      <c r="C4124" t="s">
        <v>7347</v>
      </c>
      <c r="D4124" t="s">
        <v>17422</v>
      </c>
      <c r="E4124" t="s">
        <v>21087</v>
      </c>
      <c r="F4124" t="s">
        <v>30052</v>
      </c>
      <c r="G4124" t="s">
        <v>30058</v>
      </c>
      <c r="H4124" t="s">
        <v>15498</v>
      </c>
      <c r="I4124" t="s">
        <v>30130</v>
      </c>
      <c r="J4124" t="s">
        <v>30297</v>
      </c>
      <c r="K4124" t="s">
        <v>39064</v>
      </c>
      <c r="M4124" t="s">
        <v>40541</v>
      </c>
      <c r="N4124" t="s">
        <v>43166</v>
      </c>
      <c r="O4124" t="s">
        <v>43167</v>
      </c>
      <c r="P4124">
        <v>0</v>
      </c>
      <c r="Q4124">
        <v>5</v>
      </c>
      <c r="R4124" t="s">
        <v>43171</v>
      </c>
      <c r="S4124" t="s">
        <v>43311</v>
      </c>
      <c r="T4124" t="s">
        <v>44752</v>
      </c>
      <c r="U4124" t="s">
        <v>48584</v>
      </c>
      <c r="V4124" t="s">
        <v>57200</v>
      </c>
      <c r="W4124" t="s">
        <v>40541</v>
      </c>
      <c r="X4124" t="s">
        <v>43172</v>
      </c>
    </row>
    <row r="4125" spans="1:24">
      <c r="A4125">
        <f>HYPERLINK("https://www.philgeps.gov.ph/GEPSNONPILOT/Tender/SplashBidNoticeAbstractUI.aspx?menuIndex=3&amp;refID=7083576&amp;Result=3","7083576")</f>
        <v>0</v>
      </c>
      <c r="B4125" t="s">
        <v>1443</v>
      </c>
      <c r="C4125" t="s">
        <v>7348</v>
      </c>
      <c r="D4125" t="s">
        <v>17436</v>
      </c>
      <c r="E4125" t="s">
        <v>21088</v>
      </c>
      <c r="F4125" t="s">
        <v>30052</v>
      </c>
      <c r="G4125" t="s">
        <v>30058</v>
      </c>
      <c r="H4125" t="s">
        <v>30067</v>
      </c>
      <c r="I4125" t="s">
        <v>3693</v>
      </c>
      <c r="J4125" t="s">
        <v>32888</v>
      </c>
      <c r="K4125" t="s">
        <v>39025</v>
      </c>
      <c r="M4125" t="s">
        <v>40821</v>
      </c>
      <c r="N4125" t="s">
        <v>43166</v>
      </c>
      <c r="O4125" t="s">
        <v>43167</v>
      </c>
      <c r="P4125">
        <v>0</v>
      </c>
      <c r="Q4125">
        <v>0</v>
      </c>
      <c r="R4125" t="s">
        <v>43171</v>
      </c>
      <c r="S4125" t="s">
        <v>43311</v>
      </c>
      <c r="T4125" t="s">
        <v>44690</v>
      </c>
      <c r="U4125" t="s">
        <v>48585</v>
      </c>
      <c r="W4125" t="s">
        <v>40821</v>
      </c>
      <c r="X4125" t="s">
        <v>43172</v>
      </c>
    </row>
    <row r="4126" spans="1:24">
      <c r="A4126">
        <f>HYPERLINK("https://www.philgeps.gov.ph/GEPSNONPILOT/Tender/SplashBidNoticeAbstractUI.aspx?menuIndex=3&amp;refID=7083588&amp;Result=3","7083588")</f>
        <v>0</v>
      </c>
      <c r="B4126" t="s">
        <v>1511</v>
      </c>
      <c r="C4126" t="s">
        <v>7349</v>
      </c>
      <c r="D4126" t="s">
        <v>17475</v>
      </c>
      <c r="E4126" t="s">
        <v>21089</v>
      </c>
      <c r="F4126" t="s">
        <v>30052</v>
      </c>
      <c r="G4126" t="s">
        <v>30058</v>
      </c>
      <c r="H4126" t="s">
        <v>15498</v>
      </c>
      <c r="I4126" t="s">
        <v>3736</v>
      </c>
      <c r="J4126" t="s">
        <v>32889</v>
      </c>
      <c r="K4126" t="s">
        <v>39046</v>
      </c>
      <c r="M4126" t="s">
        <v>40896</v>
      </c>
      <c r="N4126" t="s">
        <v>43166</v>
      </c>
      <c r="O4126" t="s">
        <v>43167</v>
      </c>
      <c r="P4126">
        <v>0</v>
      </c>
      <c r="Q4126">
        <v>0</v>
      </c>
      <c r="R4126" t="s">
        <v>43171</v>
      </c>
      <c r="S4126" t="s">
        <v>43311</v>
      </c>
      <c r="T4126" t="s">
        <v>44741</v>
      </c>
      <c r="U4126" t="s">
        <v>48586</v>
      </c>
      <c r="W4126" t="s">
        <v>40896</v>
      </c>
      <c r="X4126" t="s">
        <v>43172</v>
      </c>
    </row>
    <row r="4127" spans="1:24">
      <c r="A4127">
        <f>HYPERLINK("https://www.philgeps.gov.ph/GEPSNONPILOT/Tender/SplashBidNoticeAbstractUI.aspx?menuIndex=3&amp;refID=7083550&amp;Result=3","7083550")</f>
        <v>0</v>
      </c>
      <c r="B4127" t="s">
        <v>1483</v>
      </c>
      <c r="C4127" t="s">
        <v>7350</v>
      </c>
      <c r="D4127" t="s">
        <v>17414</v>
      </c>
      <c r="E4127" t="s">
        <v>21090</v>
      </c>
      <c r="F4127" t="s">
        <v>30052</v>
      </c>
      <c r="G4127" t="s">
        <v>30058</v>
      </c>
      <c r="H4127" t="s">
        <v>30067</v>
      </c>
      <c r="I4127" t="s">
        <v>3693</v>
      </c>
      <c r="J4127" t="s">
        <v>32847</v>
      </c>
      <c r="K4127" t="s">
        <v>39031</v>
      </c>
      <c r="M4127" t="s">
        <v>40866</v>
      </c>
      <c r="N4127" t="s">
        <v>43166</v>
      </c>
      <c r="O4127" t="s">
        <v>43167</v>
      </c>
      <c r="P4127">
        <v>0</v>
      </c>
      <c r="Q4127">
        <v>0</v>
      </c>
      <c r="R4127" t="s">
        <v>43171</v>
      </c>
      <c r="S4127" t="s">
        <v>43311</v>
      </c>
      <c r="T4127" t="s">
        <v>44892</v>
      </c>
      <c r="U4127" t="s">
        <v>48539</v>
      </c>
      <c r="W4127" t="s">
        <v>40866</v>
      </c>
      <c r="X4127" t="s">
        <v>43172</v>
      </c>
    </row>
    <row r="4128" spans="1:24">
      <c r="A4128">
        <f>HYPERLINK("https://www.philgeps.gov.ph/GEPSNONPILOT/Tender/SplashBidNoticeAbstractUI.aspx?menuIndex=3&amp;refID=7083575&amp;Result=3","7083575")</f>
        <v>0</v>
      </c>
      <c r="B4128" t="s">
        <v>1512</v>
      </c>
      <c r="C4128" t="s">
        <v>7351</v>
      </c>
      <c r="D4128" t="s">
        <v>17465</v>
      </c>
      <c r="E4128" t="s">
        <v>21091</v>
      </c>
      <c r="F4128" t="s">
        <v>30052</v>
      </c>
      <c r="G4128" t="s">
        <v>30058</v>
      </c>
      <c r="H4128" t="s">
        <v>15498</v>
      </c>
      <c r="I4128" t="s">
        <v>30071</v>
      </c>
      <c r="J4128" t="s">
        <v>32890</v>
      </c>
      <c r="K4128" t="s">
        <v>39025</v>
      </c>
      <c r="M4128" t="s">
        <v>40897</v>
      </c>
      <c r="N4128" t="s">
        <v>43166</v>
      </c>
      <c r="O4128" t="s">
        <v>43167</v>
      </c>
      <c r="P4128">
        <v>0</v>
      </c>
      <c r="Q4128">
        <v>2</v>
      </c>
      <c r="R4128" t="s">
        <v>43171</v>
      </c>
      <c r="S4128" t="s">
        <v>43311</v>
      </c>
      <c r="T4128" t="s">
        <v>44703</v>
      </c>
      <c r="U4128" t="s">
        <v>48587</v>
      </c>
      <c r="W4128" t="s">
        <v>40897</v>
      </c>
      <c r="X4128" t="s">
        <v>43172</v>
      </c>
    </row>
    <row r="4129" spans="1:24">
      <c r="A4129">
        <f>HYPERLINK("https://www.philgeps.gov.ph/GEPSNONPILOT/Tender/SplashBidNoticeAbstractUI.aspx?menuIndex=3&amp;refID=7083568&amp;Result=3","7083568")</f>
        <v>0</v>
      </c>
      <c r="B4129" t="s">
        <v>1513</v>
      </c>
      <c r="C4129" t="s">
        <v>7352</v>
      </c>
      <c r="D4129" t="s">
        <v>17445</v>
      </c>
      <c r="E4129" t="s">
        <v>21092</v>
      </c>
      <c r="F4129" t="s">
        <v>30052</v>
      </c>
      <c r="G4129" t="s">
        <v>30059</v>
      </c>
      <c r="H4129" t="s">
        <v>15498</v>
      </c>
      <c r="I4129" t="s">
        <v>5961</v>
      </c>
      <c r="J4129" t="s">
        <v>32891</v>
      </c>
      <c r="K4129" t="s">
        <v>39019</v>
      </c>
      <c r="M4129" t="s">
        <v>40898</v>
      </c>
      <c r="N4129" t="s">
        <v>43166</v>
      </c>
      <c r="O4129" t="s">
        <v>43167</v>
      </c>
      <c r="P4129">
        <v>0</v>
      </c>
      <c r="Q4129">
        <v>0</v>
      </c>
      <c r="R4129" t="s">
        <v>43171</v>
      </c>
      <c r="S4129" t="s">
        <v>43311</v>
      </c>
      <c r="T4129" t="s">
        <v>44843</v>
      </c>
      <c r="U4129" t="s">
        <v>48588</v>
      </c>
      <c r="V4129" t="s">
        <v>57293</v>
      </c>
      <c r="W4129" t="s">
        <v>40898</v>
      </c>
      <c r="X4129" t="s">
        <v>43172</v>
      </c>
    </row>
    <row r="4130" spans="1:24">
      <c r="A4130">
        <f>HYPERLINK("https://www.philgeps.gov.ph/GEPSNONPILOT/Tender/SplashBidNoticeAbstractUI.aspx?menuIndex=3&amp;refID=7083536&amp;Result=3","7083536")</f>
        <v>0</v>
      </c>
      <c r="B4130" t="s">
        <v>820</v>
      </c>
      <c r="C4130" t="s">
        <v>7353</v>
      </c>
      <c r="E4130" t="s">
        <v>21093</v>
      </c>
      <c r="F4130" t="s">
        <v>30052</v>
      </c>
      <c r="G4130" t="s">
        <v>30059</v>
      </c>
      <c r="H4130" t="s">
        <v>15498</v>
      </c>
      <c r="I4130" t="s">
        <v>30084</v>
      </c>
      <c r="J4130" t="s">
        <v>30377</v>
      </c>
      <c r="K4130" t="s">
        <v>39017</v>
      </c>
      <c r="M4130" t="s">
        <v>40137</v>
      </c>
      <c r="N4130" t="s">
        <v>43166</v>
      </c>
      <c r="O4130" t="s">
        <v>43167</v>
      </c>
      <c r="P4130">
        <v>0</v>
      </c>
      <c r="Q4130">
        <v>0</v>
      </c>
      <c r="R4130" t="s">
        <v>43171</v>
      </c>
      <c r="S4130" t="s">
        <v>43311</v>
      </c>
      <c r="T4130" t="s">
        <v>44798</v>
      </c>
      <c r="U4130" t="s">
        <v>48589</v>
      </c>
      <c r="V4130" t="s">
        <v>57047</v>
      </c>
      <c r="W4130" t="s">
        <v>40137</v>
      </c>
      <c r="X4130" t="s">
        <v>43172</v>
      </c>
    </row>
    <row r="4131" spans="1:24">
      <c r="A4131">
        <f>HYPERLINK("https://www.philgeps.gov.ph/GEPSNONPILOT/Tender/SplashBidNoticeAbstractUI.aspx?menuIndex=3&amp;refID=7083477&amp;Result=3","7083477")</f>
        <v>0</v>
      </c>
      <c r="B4131" t="s">
        <v>1500</v>
      </c>
      <c r="C4131" t="s">
        <v>7354</v>
      </c>
      <c r="D4131" t="s">
        <v>17462</v>
      </c>
      <c r="E4131" t="s">
        <v>21094</v>
      </c>
      <c r="F4131" t="s">
        <v>30052</v>
      </c>
      <c r="G4131" t="s">
        <v>30061</v>
      </c>
      <c r="H4131" t="s">
        <v>30067</v>
      </c>
      <c r="I4131" t="s">
        <v>3693</v>
      </c>
      <c r="J4131" t="s">
        <v>32892</v>
      </c>
      <c r="K4131" t="s">
        <v>39017</v>
      </c>
      <c r="M4131" t="s">
        <v>40884</v>
      </c>
      <c r="N4131" t="s">
        <v>43166</v>
      </c>
      <c r="O4131" t="s">
        <v>43167</v>
      </c>
      <c r="P4131">
        <v>0</v>
      </c>
      <c r="Q4131">
        <v>0</v>
      </c>
      <c r="R4131" t="s">
        <v>43171</v>
      </c>
      <c r="S4131" t="s">
        <v>43311</v>
      </c>
      <c r="T4131" t="s">
        <v>44753</v>
      </c>
      <c r="U4131" t="s">
        <v>48590</v>
      </c>
      <c r="W4131" t="s">
        <v>40884</v>
      </c>
      <c r="X4131" t="s">
        <v>43172</v>
      </c>
    </row>
    <row r="4132" spans="1:24">
      <c r="A4132">
        <f>HYPERLINK("https://www.philgeps.gov.ph/GEPSNONPILOT/Tender/SplashBidNoticeAbstractUI.aspx?menuIndex=3&amp;refID=7083578&amp;Result=3","7083578")</f>
        <v>0</v>
      </c>
      <c r="B4132" t="s">
        <v>1446</v>
      </c>
      <c r="C4132" t="s">
        <v>7355</v>
      </c>
      <c r="D4132" t="s">
        <v>17447</v>
      </c>
      <c r="E4132" t="s">
        <v>21095</v>
      </c>
      <c r="F4132" t="s">
        <v>30052</v>
      </c>
      <c r="G4132" t="s">
        <v>30058</v>
      </c>
      <c r="H4132" t="s">
        <v>30067</v>
      </c>
      <c r="I4132" t="s">
        <v>3693</v>
      </c>
      <c r="J4132" t="s">
        <v>32795</v>
      </c>
      <c r="K4132" t="s">
        <v>39026</v>
      </c>
      <c r="M4132" t="s">
        <v>40824</v>
      </c>
      <c r="N4132" t="s">
        <v>43166</v>
      </c>
      <c r="O4132" t="s">
        <v>43167</v>
      </c>
      <c r="P4132">
        <v>0</v>
      </c>
      <c r="Q4132">
        <v>2</v>
      </c>
      <c r="R4132" t="s">
        <v>43171</v>
      </c>
      <c r="S4132" t="s">
        <v>43311</v>
      </c>
      <c r="T4132" t="s">
        <v>44722</v>
      </c>
      <c r="U4132" t="s">
        <v>48423</v>
      </c>
      <c r="V4132" t="s">
        <v>57283</v>
      </c>
      <c r="W4132" t="s">
        <v>40824</v>
      </c>
      <c r="X4132" t="s">
        <v>43172</v>
      </c>
    </row>
    <row r="4133" spans="1:24">
      <c r="A4133">
        <f>HYPERLINK("https://www.philgeps.gov.ph/GEPSNONPILOT/Tender/SplashBidNoticeAbstractUI.aspx?menuIndex=3&amp;refID=7083474&amp;Result=3","7083474")</f>
        <v>0</v>
      </c>
      <c r="B4133" t="s">
        <v>965</v>
      </c>
      <c r="C4133" t="s">
        <v>7356</v>
      </c>
      <c r="D4133" t="s">
        <v>17466</v>
      </c>
      <c r="E4133" t="s">
        <v>21096</v>
      </c>
      <c r="F4133" t="s">
        <v>30055</v>
      </c>
      <c r="G4133" t="s">
        <v>30059</v>
      </c>
      <c r="H4133" t="s">
        <v>15498</v>
      </c>
      <c r="I4133" t="s">
        <v>30088</v>
      </c>
      <c r="J4133" t="s">
        <v>30763</v>
      </c>
      <c r="K4133" t="s">
        <v>39017</v>
      </c>
      <c r="M4133" t="s">
        <v>40291</v>
      </c>
      <c r="N4133" t="s">
        <v>43166</v>
      </c>
      <c r="O4133" t="s">
        <v>43167</v>
      </c>
      <c r="P4133">
        <v>0</v>
      </c>
      <c r="Q4133">
        <v>3</v>
      </c>
      <c r="R4133" t="s">
        <v>43171</v>
      </c>
      <c r="S4133" t="s">
        <v>43311</v>
      </c>
      <c r="T4133" t="s">
        <v>44715</v>
      </c>
      <c r="U4133" t="s">
        <v>48591</v>
      </c>
      <c r="W4133" t="s">
        <v>40291</v>
      </c>
      <c r="X4133" t="s">
        <v>43172</v>
      </c>
    </row>
    <row r="4134" spans="1:24">
      <c r="A4134">
        <f>HYPERLINK("https://www.philgeps.gov.ph/GEPSNONPILOT/Tender/SplashBidNoticeAbstractUI.aspx?menuIndex=3&amp;refID=7083478&amp;Result=3","7083478")</f>
        <v>0</v>
      </c>
      <c r="B4134" t="s">
        <v>1469</v>
      </c>
      <c r="C4134" t="s">
        <v>7357</v>
      </c>
      <c r="D4134" t="s">
        <v>17417</v>
      </c>
      <c r="E4134" t="s">
        <v>21097</v>
      </c>
      <c r="F4134" t="s">
        <v>30052</v>
      </c>
      <c r="G4134" t="s">
        <v>30059</v>
      </c>
      <c r="H4134" t="s">
        <v>30069</v>
      </c>
      <c r="I4134" t="s">
        <v>30081</v>
      </c>
      <c r="J4134" t="s">
        <v>30292</v>
      </c>
      <c r="K4134" t="s">
        <v>39029</v>
      </c>
      <c r="M4134" t="s">
        <v>40851</v>
      </c>
      <c r="N4134" t="s">
        <v>43166</v>
      </c>
      <c r="O4134" t="s">
        <v>43167</v>
      </c>
      <c r="P4134">
        <v>0</v>
      </c>
      <c r="Q4134">
        <v>1</v>
      </c>
      <c r="R4134" t="s">
        <v>43171</v>
      </c>
      <c r="S4134" t="s">
        <v>43311</v>
      </c>
      <c r="T4134" t="s">
        <v>44844</v>
      </c>
      <c r="U4134" t="s">
        <v>48592</v>
      </c>
      <c r="W4134" t="s">
        <v>40851</v>
      </c>
      <c r="X4134" t="s">
        <v>43172</v>
      </c>
    </row>
    <row r="4135" spans="1:24">
      <c r="A4135">
        <f>HYPERLINK("https://www.philgeps.gov.ph/GEPSNONPILOT/Tender/SplashBidNoticeAbstractUI.aspx?menuIndex=3&amp;refID=7083473&amp;Result=3","7083473")</f>
        <v>0</v>
      </c>
      <c r="B4135" t="s">
        <v>701</v>
      </c>
      <c r="C4135" t="s">
        <v>7358</v>
      </c>
      <c r="D4135" t="s">
        <v>17419</v>
      </c>
      <c r="E4135" t="s">
        <v>21098</v>
      </c>
      <c r="F4135" t="s">
        <v>30052</v>
      </c>
      <c r="G4135" t="s">
        <v>30061</v>
      </c>
      <c r="H4135" t="s">
        <v>15498</v>
      </c>
      <c r="I4135" t="s">
        <v>30070</v>
      </c>
      <c r="J4135" t="s">
        <v>32893</v>
      </c>
      <c r="K4135" t="s">
        <v>39025</v>
      </c>
      <c r="M4135" t="s">
        <v>40858</v>
      </c>
      <c r="N4135" t="s">
        <v>43166</v>
      </c>
      <c r="O4135" t="s">
        <v>43167</v>
      </c>
      <c r="P4135">
        <v>0</v>
      </c>
      <c r="Q4135">
        <v>0</v>
      </c>
      <c r="R4135" t="s">
        <v>43171</v>
      </c>
      <c r="S4135" t="s">
        <v>43311</v>
      </c>
      <c r="T4135" t="s">
        <v>44717</v>
      </c>
      <c r="U4135" t="s">
        <v>48593</v>
      </c>
      <c r="W4135" t="s">
        <v>40858</v>
      </c>
      <c r="X4135" t="s">
        <v>43172</v>
      </c>
    </row>
    <row r="4136" spans="1:24">
      <c r="A4136">
        <f>HYPERLINK("https://www.philgeps.gov.ph/GEPSNONPILOT/Tender/SplashBidNoticeAbstractUI.aspx?menuIndex=3&amp;refID=7083470&amp;Result=3","7083470")</f>
        <v>0</v>
      </c>
      <c r="B4136" t="s">
        <v>1475</v>
      </c>
      <c r="C4136" t="s">
        <v>7359</v>
      </c>
      <c r="D4136" t="s">
        <v>17466</v>
      </c>
      <c r="E4136" t="s">
        <v>21099</v>
      </c>
      <c r="F4136" t="s">
        <v>30052</v>
      </c>
      <c r="G4136" t="s">
        <v>30059</v>
      </c>
      <c r="H4136" t="s">
        <v>15498</v>
      </c>
      <c r="I4136" t="s">
        <v>7228</v>
      </c>
      <c r="J4136" t="s">
        <v>32221</v>
      </c>
      <c r="K4136" t="s">
        <v>39098</v>
      </c>
      <c r="M4136" t="s">
        <v>40857</v>
      </c>
      <c r="N4136" t="s">
        <v>43166</v>
      </c>
      <c r="O4136" t="s">
        <v>43167</v>
      </c>
      <c r="P4136">
        <v>0</v>
      </c>
      <c r="Q4136">
        <v>0</v>
      </c>
      <c r="R4136" t="s">
        <v>43171</v>
      </c>
      <c r="S4136" t="s">
        <v>43311</v>
      </c>
      <c r="T4136" t="s">
        <v>44777</v>
      </c>
      <c r="U4136" t="s">
        <v>48594</v>
      </c>
      <c r="W4136" t="s">
        <v>58640</v>
      </c>
      <c r="X4136" t="s">
        <v>43172</v>
      </c>
    </row>
    <row r="4137" spans="1:24">
      <c r="A4137">
        <f>HYPERLINK("https://www.philgeps.gov.ph/GEPSNONPILOT/Tender/SplashBidNoticeAbstractUI.aspx?menuIndex=3&amp;refID=7083467&amp;Result=3","7083467")</f>
        <v>0</v>
      </c>
      <c r="B4137" t="s">
        <v>1428</v>
      </c>
      <c r="C4137" t="s">
        <v>7360</v>
      </c>
      <c r="D4137" t="s">
        <v>17463</v>
      </c>
      <c r="E4137" t="s">
        <v>21100</v>
      </c>
      <c r="F4137" t="s">
        <v>30052</v>
      </c>
      <c r="G4137" t="s">
        <v>30058</v>
      </c>
      <c r="H4137" t="s">
        <v>15498</v>
      </c>
      <c r="I4137" t="s">
        <v>30070</v>
      </c>
      <c r="J4137" t="s">
        <v>32894</v>
      </c>
      <c r="K4137" t="s">
        <v>39034</v>
      </c>
      <c r="M4137" t="s">
        <v>40806</v>
      </c>
      <c r="N4137" t="s">
        <v>43166</v>
      </c>
      <c r="O4137" t="s">
        <v>43167</v>
      </c>
      <c r="P4137">
        <v>0</v>
      </c>
      <c r="Q4137">
        <v>0</v>
      </c>
      <c r="R4137" t="s">
        <v>43171</v>
      </c>
      <c r="S4137" t="s">
        <v>43311</v>
      </c>
      <c r="T4137" t="s">
        <v>44700</v>
      </c>
      <c r="U4137" t="s">
        <v>45217</v>
      </c>
      <c r="W4137" t="s">
        <v>40806</v>
      </c>
      <c r="X4137" t="s">
        <v>43172</v>
      </c>
    </row>
    <row r="4138" spans="1:24">
      <c r="A4138">
        <f>HYPERLINK("https://www.philgeps.gov.ph/GEPSNONPILOT/Tender/SplashBidNoticeAbstractUI.aspx?menuIndex=3&amp;refID=7083574&amp;Result=3","7083574")</f>
        <v>0</v>
      </c>
      <c r="B4138" t="s">
        <v>1483</v>
      </c>
      <c r="C4138" t="s">
        <v>7361</v>
      </c>
      <c r="D4138" t="s">
        <v>17414</v>
      </c>
      <c r="E4138" t="s">
        <v>21101</v>
      </c>
      <c r="F4138" t="s">
        <v>30052</v>
      </c>
      <c r="G4138" t="s">
        <v>30058</v>
      </c>
      <c r="H4138" t="s">
        <v>30067</v>
      </c>
      <c r="I4138" t="s">
        <v>3693</v>
      </c>
      <c r="J4138" t="s">
        <v>32854</v>
      </c>
      <c r="K4138" t="s">
        <v>39031</v>
      </c>
      <c r="M4138" t="s">
        <v>40866</v>
      </c>
      <c r="N4138" t="s">
        <v>43166</v>
      </c>
      <c r="O4138" t="s">
        <v>43167</v>
      </c>
      <c r="P4138">
        <v>0</v>
      </c>
      <c r="Q4138">
        <v>0</v>
      </c>
      <c r="R4138" t="s">
        <v>43171</v>
      </c>
      <c r="S4138" t="s">
        <v>43311</v>
      </c>
      <c r="T4138" t="s">
        <v>44892</v>
      </c>
      <c r="U4138" t="s">
        <v>48547</v>
      </c>
      <c r="W4138" t="s">
        <v>40866</v>
      </c>
      <c r="X4138" t="s">
        <v>43172</v>
      </c>
    </row>
    <row r="4139" spans="1:24">
      <c r="A4139">
        <f>HYPERLINK("https://www.philgeps.gov.ph/GEPSNONPILOT/Tender/SplashBidNoticeAbstractUI.aspx?menuIndex=3&amp;refID=7083228&amp;Result=3","7083228")</f>
        <v>0</v>
      </c>
      <c r="B4139" t="s">
        <v>1514</v>
      </c>
      <c r="C4139" t="s">
        <v>7362</v>
      </c>
      <c r="D4139" t="s">
        <v>17445</v>
      </c>
      <c r="E4139" t="s">
        <v>21102</v>
      </c>
      <c r="F4139" t="s">
        <v>30052</v>
      </c>
      <c r="G4139" t="s">
        <v>30061</v>
      </c>
      <c r="H4139" t="s">
        <v>15498</v>
      </c>
      <c r="I4139" t="s">
        <v>3736</v>
      </c>
      <c r="J4139" t="s">
        <v>32895</v>
      </c>
      <c r="K4139" t="s">
        <v>39025</v>
      </c>
      <c r="M4139" t="s">
        <v>40899</v>
      </c>
      <c r="N4139" t="s">
        <v>43166</v>
      </c>
      <c r="O4139" t="s">
        <v>43167</v>
      </c>
      <c r="P4139">
        <v>0</v>
      </c>
      <c r="Q4139">
        <v>1</v>
      </c>
      <c r="R4139" t="s">
        <v>43171</v>
      </c>
      <c r="S4139" t="s">
        <v>43311</v>
      </c>
      <c r="T4139" t="s">
        <v>44856</v>
      </c>
      <c r="U4139" t="s">
        <v>48595</v>
      </c>
      <c r="W4139" t="s">
        <v>40899</v>
      </c>
      <c r="X4139" t="s">
        <v>43172</v>
      </c>
    </row>
    <row r="4140" spans="1:24">
      <c r="A4140">
        <f>HYPERLINK("https://www.philgeps.gov.ph/GEPSNONPILOT/Tender/SplashBidNoticeAbstractUI.aspx?menuIndex=3&amp;refID=7083225&amp;Result=3","7083225")</f>
        <v>0</v>
      </c>
      <c r="B4140" t="s">
        <v>1443</v>
      </c>
      <c r="C4140" t="s">
        <v>7363</v>
      </c>
      <c r="D4140" t="s">
        <v>17436</v>
      </c>
      <c r="E4140" t="s">
        <v>21103</v>
      </c>
      <c r="F4140" t="s">
        <v>30052</v>
      </c>
      <c r="G4140" t="s">
        <v>30058</v>
      </c>
      <c r="H4140" t="s">
        <v>15498</v>
      </c>
      <c r="I4140" t="s">
        <v>7228</v>
      </c>
      <c r="J4140" t="s">
        <v>32896</v>
      </c>
      <c r="K4140" t="s">
        <v>39025</v>
      </c>
      <c r="M4140" t="s">
        <v>40821</v>
      </c>
      <c r="N4140" t="s">
        <v>43166</v>
      </c>
      <c r="O4140" t="s">
        <v>43167</v>
      </c>
      <c r="P4140">
        <v>0</v>
      </c>
      <c r="Q4140">
        <v>0</v>
      </c>
      <c r="R4140" t="s">
        <v>43171</v>
      </c>
      <c r="S4140" t="s">
        <v>43311</v>
      </c>
      <c r="T4140" t="s">
        <v>44733</v>
      </c>
      <c r="U4140" t="s">
        <v>48596</v>
      </c>
      <c r="W4140" t="s">
        <v>40821</v>
      </c>
      <c r="X4140" t="s">
        <v>43172</v>
      </c>
    </row>
    <row r="4141" spans="1:24">
      <c r="A4141">
        <f>HYPERLINK("https://www.philgeps.gov.ph/GEPSNONPILOT/Tender/SplashBidNoticeAbstractUI.aspx?menuIndex=3&amp;refID=7083476&amp;Result=3","7083476")</f>
        <v>0</v>
      </c>
      <c r="B4141" t="s">
        <v>1515</v>
      </c>
      <c r="C4141" t="s">
        <v>7364</v>
      </c>
      <c r="D4141" t="s">
        <v>17476</v>
      </c>
      <c r="E4141" t="s">
        <v>21104</v>
      </c>
      <c r="F4141" t="s">
        <v>30052</v>
      </c>
      <c r="G4141" t="s">
        <v>30061</v>
      </c>
      <c r="H4141" t="s">
        <v>15498</v>
      </c>
      <c r="I4141" t="s">
        <v>30162</v>
      </c>
      <c r="J4141" t="s">
        <v>30591</v>
      </c>
      <c r="K4141" t="s">
        <v>39017</v>
      </c>
      <c r="M4141" t="s">
        <v>40900</v>
      </c>
      <c r="N4141" t="s">
        <v>43166</v>
      </c>
      <c r="O4141" t="s">
        <v>43167</v>
      </c>
      <c r="P4141">
        <v>0</v>
      </c>
      <c r="Q4141">
        <v>1</v>
      </c>
      <c r="R4141" t="s">
        <v>43171</v>
      </c>
      <c r="S4141" t="s">
        <v>43311</v>
      </c>
      <c r="T4141" t="s">
        <v>44764</v>
      </c>
      <c r="U4141" t="s">
        <v>48597</v>
      </c>
      <c r="W4141" t="s">
        <v>40900</v>
      </c>
      <c r="X4141" t="s">
        <v>43172</v>
      </c>
    </row>
    <row r="4142" spans="1:24">
      <c r="A4142">
        <f>HYPERLINK("https://www.philgeps.gov.ph/GEPSNONPILOT/Tender/SplashBidNoticeAbstractUI.aspx?menuIndex=3&amp;refID=7083222&amp;Result=3","7083222")</f>
        <v>0</v>
      </c>
      <c r="B4142" t="s">
        <v>1446</v>
      </c>
      <c r="C4142" t="s">
        <v>7365</v>
      </c>
      <c r="D4142" t="s">
        <v>17447</v>
      </c>
      <c r="E4142" t="s">
        <v>21105</v>
      </c>
      <c r="F4142" t="s">
        <v>30052</v>
      </c>
      <c r="G4142" t="s">
        <v>30058</v>
      </c>
      <c r="H4142" t="s">
        <v>30067</v>
      </c>
      <c r="I4142" t="s">
        <v>3693</v>
      </c>
      <c r="J4142" t="s">
        <v>32760</v>
      </c>
      <c r="K4142" t="s">
        <v>39057</v>
      </c>
      <c r="M4142" t="s">
        <v>40824</v>
      </c>
      <c r="N4142" t="s">
        <v>43166</v>
      </c>
      <c r="O4142" t="s">
        <v>43167</v>
      </c>
      <c r="P4142">
        <v>0</v>
      </c>
      <c r="Q4142">
        <v>2</v>
      </c>
      <c r="R4142" t="s">
        <v>43171</v>
      </c>
      <c r="S4142" t="s">
        <v>43311</v>
      </c>
      <c r="T4142" t="s">
        <v>44722</v>
      </c>
      <c r="U4142" t="s">
        <v>48423</v>
      </c>
      <c r="V4142" t="s">
        <v>57283</v>
      </c>
      <c r="W4142" t="s">
        <v>40824</v>
      </c>
      <c r="X4142" t="s">
        <v>43172</v>
      </c>
    </row>
    <row r="4143" spans="1:24">
      <c r="A4143">
        <f>HYPERLINK("https://www.philgeps.gov.ph/GEPSNONPILOT/Tender/SplashBidNoticeAbstractUI.aspx?menuIndex=3&amp;refID=7083199&amp;Result=3","7083199")</f>
        <v>0</v>
      </c>
      <c r="B4143" t="s">
        <v>726</v>
      </c>
      <c r="C4143" t="s">
        <v>7366</v>
      </c>
      <c r="D4143" t="s">
        <v>17477</v>
      </c>
      <c r="E4143" t="s">
        <v>21106</v>
      </c>
      <c r="F4143" t="s">
        <v>30052</v>
      </c>
      <c r="G4143" t="s">
        <v>30058</v>
      </c>
      <c r="H4143" t="s">
        <v>15498</v>
      </c>
      <c r="I4143" t="s">
        <v>3606</v>
      </c>
      <c r="J4143" t="s">
        <v>32897</v>
      </c>
      <c r="K4143" t="s">
        <v>39034</v>
      </c>
      <c r="M4143" t="s">
        <v>40901</v>
      </c>
      <c r="N4143" t="s">
        <v>43166</v>
      </c>
      <c r="O4143" t="s">
        <v>43167</v>
      </c>
      <c r="P4143">
        <v>0</v>
      </c>
      <c r="Q4143">
        <v>5</v>
      </c>
      <c r="R4143" t="s">
        <v>43171</v>
      </c>
      <c r="S4143" t="s">
        <v>43311</v>
      </c>
      <c r="T4143" t="s">
        <v>44985</v>
      </c>
      <c r="U4143" t="s">
        <v>48598</v>
      </c>
      <c r="W4143" t="s">
        <v>40901</v>
      </c>
      <c r="X4143" t="s">
        <v>43172</v>
      </c>
    </row>
    <row r="4144" spans="1:24">
      <c r="A4144">
        <f>HYPERLINK("https://www.philgeps.gov.ph/GEPSNONPILOT/Tender/SplashBidNoticeAbstractUI.aspx?menuIndex=3&amp;refID=7083471&amp;Result=3","7083471")</f>
        <v>0</v>
      </c>
      <c r="B4144" t="s">
        <v>1175</v>
      </c>
      <c r="C4144" t="s">
        <v>7367</v>
      </c>
      <c r="D4144" t="s">
        <v>17427</v>
      </c>
      <c r="E4144" t="s">
        <v>21107</v>
      </c>
      <c r="F4144" t="s">
        <v>30052</v>
      </c>
      <c r="G4144" t="s">
        <v>30058</v>
      </c>
      <c r="H4144" t="s">
        <v>30067</v>
      </c>
      <c r="I4144" t="s">
        <v>3693</v>
      </c>
      <c r="J4144" t="s">
        <v>32898</v>
      </c>
      <c r="K4144" t="s">
        <v>39141</v>
      </c>
      <c r="M4144" t="s">
        <v>40524</v>
      </c>
      <c r="N4144" t="s">
        <v>43166</v>
      </c>
      <c r="O4144" t="s">
        <v>43167</v>
      </c>
      <c r="P4144">
        <v>0</v>
      </c>
      <c r="Q4144">
        <v>0</v>
      </c>
      <c r="R4144" t="s">
        <v>43171</v>
      </c>
      <c r="S4144" t="s">
        <v>43311</v>
      </c>
      <c r="T4144" t="s">
        <v>44784</v>
      </c>
      <c r="U4144" t="s">
        <v>48504</v>
      </c>
      <c r="W4144" t="s">
        <v>40524</v>
      </c>
      <c r="X4144" t="s">
        <v>43172</v>
      </c>
    </row>
    <row r="4145" spans="1:24">
      <c r="A4145">
        <f>HYPERLINK("https://www.philgeps.gov.ph/GEPSNONPILOT/Tender/SplashBidNoticeAbstractUI.aspx?menuIndex=3&amp;refID=7083581&amp;Result=3","7083581")</f>
        <v>0</v>
      </c>
      <c r="B4145" t="s">
        <v>1516</v>
      </c>
      <c r="C4145" t="s">
        <v>7368</v>
      </c>
      <c r="D4145" t="s">
        <v>17415</v>
      </c>
      <c r="E4145" t="s">
        <v>21108</v>
      </c>
      <c r="F4145" t="s">
        <v>30052</v>
      </c>
      <c r="G4145" t="s">
        <v>30059</v>
      </c>
      <c r="H4145" t="s">
        <v>15498</v>
      </c>
      <c r="I4145" t="s">
        <v>3852</v>
      </c>
      <c r="J4145" t="s">
        <v>32899</v>
      </c>
      <c r="K4145" t="s">
        <v>39019</v>
      </c>
      <c r="M4145" t="s">
        <v>40902</v>
      </c>
      <c r="N4145" t="s">
        <v>43166</v>
      </c>
      <c r="O4145" t="s">
        <v>43167</v>
      </c>
      <c r="P4145">
        <v>0</v>
      </c>
      <c r="Q4145">
        <v>2</v>
      </c>
      <c r="R4145" t="s">
        <v>43171</v>
      </c>
      <c r="S4145" t="s">
        <v>43311</v>
      </c>
      <c r="T4145" t="s">
        <v>44685</v>
      </c>
      <c r="U4145" t="s">
        <v>48599</v>
      </c>
      <c r="W4145" t="s">
        <v>40902</v>
      </c>
      <c r="X4145" t="s">
        <v>43172</v>
      </c>
    </row>
    <row r="4146" spans="1:24">
      <c r="A4146">
        <f>HYPERLINK("https://www.philgeps.gov.ph/GEPSNONPILOT/Tender/SplashBidNoticeAbstractUI.aspx?menuIndex=3&amp;refID=7083192&amp;Result=3","7083192")</f>
        <v>0</v>
      </c>
      <c r="B4146" t="s">
        <v>701</v>
      </c>
      <c r="C4146" t="s">
        <v>7369</v>
      </c>
      <c r="D4146" t="s">
        <v>17419</v>
      </c>
      <c r="E4146" t="s">
        <v>21109</v>
      </c>
      <c r="F4146" t="s">
        <v>30052</v>
      </c>
      <c r="G4146" t="s">
        <v>30059</v>
      </c>
      <c r="H4146" t="s">
        <v>15498</v>
      </c>
      <c r="I4146" t="s">
        <v>30073</v>
      </c>
      <c r="J4146" t="s">
        <v>32900</v>
      </c>
      <c r="K4146" t="s">
        <v>39025</v>
      </c>
      <c r="M4146" t="s">
        <v>40010</v>
      </c>
      <c r="N4146" t="s">
        <v>43166</v>
      </c>
      <c r="O4146" t="s">
        <v>43167</v>
      </c>
      <c r="P4146">
        <v>0</v>
      </c>
      <c r="Q4146">
        <v>0</v>
      </c>
      <c r="R4146" t="s">
        <v>43171</v>
      </c>
      <c r="S4146" t="s">
        <v>43311</v>
      </c>
      <c r="T4146" t="s">
        <v>44717</v>
      </c>
      <c r="U4146" t="s">
        <v>48600</v>
      </c>
      <c r="W4146" t="s">
        <v>40010</v>
      </c>
      <c r="X4146" t="s">
        <v>43172</v>
      </c>
    </row>
    <row r="4147" spans="1:24">
      <c r="A4147">
        <f>HYPERLINK("https://www.philgeps.gov.ph/GEPSNONPILOT/Tender/SplashBidNoticeAbstractUI.aspx?menuIndex=3&amp;refID=7083231&amp;Result=3","7083231")</f>
        <v>0</v>
      </c>
      <c r="B4147" t="s">
        <v>918</v>
      </c>
      <c r="C4147" t="s">
        <v>7370</v>
      </c>
      <c r="D4147" t="s">
        <v>17424</v>
      </c>
      <c r="E4147" t="s">
        <v>21110</v>
      </c>
      <c r="F4147" t="s">
        <v>30052</v>
      </c>
      <c r="G4147" t="s">
        <v>30063</v>
      </c>
      <c r="H4147" t="s">
        <v>30067</v>
      </c>
      <c r="I4147" t="s">
        <v>3693</v>
      </c>
      <c r="J4147" t="s">
        <v>31804</v>
      </c>
      <c r="K4147" t="s">
        <v>39020</v>
      </c>
      <c r="M4147" t="s">
        <v>40241</v>
      </c>
      <c r="N4147" t="s">
        <v>43166</v>
      </c>
      <c r="O4147" t="s">
        <v>43167</v>
      </c>
      <c r="P4147">
        <v>0</v>
      </c>
      <c r="Q4147">
        <v>6</v>
      </c>
      <c r="R4147" t="s">
        <v>43171</v>
      </c>
      <c r="S4147" t="s">
        <v>43311</v>
      </c>
      <c r="T4147" t="s">
        <v>44842</v>
      </c>
      <c r="U4147" t="s">
        <v>48601</v>
      </c>
      <c r="V4147" t="s">
        <v>57086</v>
      </c>
      <c r="W4147" t="s">
        <v>40241</v>
      </c>
      <c r="X4147" t="s">
        <v>43172</v>
      </c>
    </row>
    <row r="4148" spans="1:24">
      <c r="A4148">
        <f>HYPERLINK("https://www.philgeps.gov.ph/GEPSNONPILOT/Tender/SplashBidNoticeAbstractUI.aspx?menuIndex=3&amp;refID=7083226&amp;Result=3","7083226")</f>
        <v>0</v>
      </c>
      <c r="B4148" t="s">
        <v>1428</v>
      </c>
      <c r="C4148" t="s">
        <v>7371</v>
      </c>
      <c r="D4148" t="s">
        <v>17463</v>
      </c>
      <c r="E4148" t="s">
        <v>19345</v>
      </c>
      <c r="F4148" t="s">
        <v>30052</v>
      </c>
      <c r="G4148" t="s">
        <v>30058</v>
      </c>
      <c r="H4148" t="s">
        <v>15498</v>
      </c>
      <c r="I4148" t="s">
        <v>30109</v>
      </c>
      <c r="J4148" t="s">
        <v>30771</v>
      </c>
      <c r="K4148" t="s">
        <v>39034</v>
      </c>
      <c r="M4148" t="s">
        <v>40806</v>
      </c>
      <c r="N4148" t="s">
        <v>43166</v>
      </c>
      <c r="O4148" t="s">
        <v>43167</v>
      </c>
      <c r="P4148">
        <v>0</v>
      </c>
      <c r="Q4148">
        <v>0</v>
      </c>
      <c r="R4148" t="s">
        <v>43171</v>
      </c>
      <c r="S4148" t="s">
        <v>43311</v>
      </c>
      <c r="T4148" t="s">
        <v>44700</v>
      </c>
      <c r="U4148" t="s">
        <v>48532</v>
      </c>
      <c r="W4148" t="s">
        <v>40806</v>
      </c>
      <c r="X4148" t="s">
        <v>43172</v>
      </c>
    </row>
    <row r="4149" spans="1:24">
      <c r="A4149">
        <f>HYPERLINK("https://www.philgeps.gov.ph/GEPSNONPILOT/Tender/SplashBidNoticeAbstractUI.aspx?menuIndex=3&amp;refID=7083185&amp;Result=3","7083185")</f>
        <v>0</v>
      </c>
      <c r="B4149" t="s">
        <v>1100</v>
      </c>
      <c r="C4149" t="s">
        <v>7372</v>
      </c>
      <c r="D4149" t="s">
        <v>17466</v>
      </c>
      <c r="E4149" t="s">
        <v>21111</v>
      </c>
      <c r="F4149" t="s">
        <v>30052</v>
      </c>
      <c r="G4149" t="s">
        <v>30059</v>
      </c>
      <c r="H4149" t="s">
        <v>15498</v>
      </c>
      <c r="I4149" t="s">
        <v>3852</v>
      </c>
      <c r="J4149" t="s">
        <v>32901</v>
      </c>
      <c r="K4149" t="s">
        <v>39025</v>
      </c>
      <c r="M4149" t="s">
        <v>40439</v>
      </c>
      <c r="N4149" t="s">
        <v>43166</v>
      </c>
      <c r="O4149" t="s">
        <v>43167</v>
      </c>
      <c r="P4149">
        <v>0</v>
      </c>
      <c r="Q4149">
        <v>0</v>
      </c>
      <c r="R4149" t="s">
        <v>43171</v>
      </c>
      <c r="S4149" t="s">
        <v>43311</v>
      </c>
      <c r="T4149" t="s">
        <v>44699</v>
      </c>
      <c r="U4149" t="s">
        <v>48450</v>
      </c>
      <c r="W4149" t="s">
        <v>40439</v>
      </c>
      <c r="X4149" t="s">
        <v>43172</v>
      </c>
    </row>
    <row r="4150" spans="1:24">
      <c r="A4150">
        <f>HYPERLINK("https://www.philgeps.gov.ph/GEPSNONPILOT/Tender/SplashBidNoticeAbstractUI.aspx?menuIndex=3&amp;refID=7083201&amp;Result=3","7083201")</f>
        <v>0</v>
      </c>
      <c r="B4150" t="s">
        <v>1517</v>
      </c>
      <c r="C4150" t="s">
        <v>7373</v>
      </c>
      <c r="D4150" t="s">
        <v>17421</v>
      </c>
      <c r="E4150" t="s">
        <v>21112</v>
      </c>
      <c r="F4150" t="s">
        <v>30052</v>
      </c>
      <c r="G4150" t="s">
        <v>30058</v>
      </c>
      <c r="H4150" t="s">
        <v>15498</v>
      </c>
      <c r="I4150" t="s">
        <v>30084</v>
      </c>
      <c r="J4150" t="s">
        <v>30247</v>
      </c>
      <c r="K4150" t="s">
        <v>39025</v>
      </c>
      <c r="M4150" t="s">
        <v>40903</v>
      </c>
      <c r="N4150" t="s">
        <v>43166</v>
      </c>
      <c r="O4150" t="s">
        <v>43167</v>
      </c>
      <c r="P4150">
        <v>0</v>
      </c>
      <c r="Q4150">
        <v>3</v>
      </c>
      <c r="R4150" t="s">
        <v>43171</v>
      </c>
      <c r="S4150" t="s">
        <v>43311</v>
      </c>
      <c r="T4150" t="s">
        <v>44945</v>
      </c>
      <c r="U4150" t="s">
        <v>48602</v>
      </c>
      <c r="W4150" t="s">
        <v>40903</v>
      </c>
      <c r="X4150" t="s">
        <v>43172</v>
      </c>
    </row>
    <row r="4151" spans="1:24">
      <c r="A4151">
        <f>HYPERLINK("https://www.philgeps.gov.ph/GEPSNONPILOT/Tender/SplashBidNoticeAbstractUI.aspx?menuIndex=3&amp;refID=7083603&amp;Result=3","7083603")</f>
        <v>0</v>
      </c>
      <c r="B4151" t="s">
        <v>1233</v>
      </c>
      <c r="C4151" t="s">
        <v>6602</v>
      </c>
      <c r="D4151" t="s">
        <v>17442</v>
      </c>
      <c r="E4151" t="s">
        <v>21113</v>
      </c>
      <c r="F4151" t="s">
        <v>30052</v>
      </c>
      <c r="G4151" t="s">
        <v>30059</v>
      </c>
      <c r="H4151" t="s">
        <v>15498</v>
      </c>
      <c r="I4151" t="s">
        <v>30076</v>
      </c>
      <c r="J4151" t="s">
        <v>32902</v>
      </c>
      <c r="K4151" t="s">
        <v>39034</v>
      </c>
      <c r="M4151" t="s">
        <v>40587</v>
      </c>
      <c r="N4151" t="s">
        <v>43166</v>
      </c>
      <c r="O4151" t="s">
        <v>43167</v>
      </c>
      <c r="P4151">
        <v>0</v>
      </c>
      <c r="Q4151">
        <v>3</v>
      </c>
      <c r="R4151" t="s">
        <v>43171</v>
      </c>
      <c r="S4151" t="s">
        <v>43311</v>
      </c>
      <c r="T4151" t="s">
        <v>44773</v>
      </c>
      <c r="U4151" t="s">
        <v>48603</v>
      </c>
      <c r="W4151" t="s">
        <v>40587</v>
      </c>
      <c r="X4151" t="s">
        <v>43172</v>
      </c>
    </row>
    <row r="4152" spans="1:24">
      <c r="A4152">
        <f>HYPERLINK("https://www.philgeps.gov.ph/GEPSNONPILOT/Tender/SplashBidNoticeAbstractUI.aspx?menuIndex=3&amp;refID=7083193&amp;Result=3","7083193")</f>
        <v>0</v>
      </c>
      <c r="B4152" t="s">
        <v>307</v>
      </c>
      <c r="C4152" t="s">
        <v>7374</v>
      </c>
      <c r="D4152" t="s">
        <v>17459</v>
      </c>
      <c r="E4152" t="s">
        <v>21114</v>
      </c>
      <c r="F4152" t="s">
        <v>30052</v>
      </c>
      <c r="G4152" t="s">
        <v>30061</v>
      </c>
      <c r="H4152" t="s">
        <v>15498</v>
      </c>
      <c r="I4152" t="s">
        <v>30092</v>
      </c>
      <c r="J4152" t="s">
        <v>32903</v>
      </c>
      <c r="K4152" t="s">
        <v>39029</v>
      </c>
      <c r="M4152" t="s">
        <v>39602</v>
      </c>
      <c r="N4152" t="s">
        <v>43166</v>
      </c>
      <c r="O4152" t="s">
        <v>43167</v>
      </c>
      <c r="P4152">
        <v>0</v>
      </c>
      <c r="Q4152">
        <v>0</v>
      </c>
      <c r="R4152" t="s">
        <v>43171</v>
      </c>
      <c r="S4152" t="s">
        <v>43311</v>
      </c>
      <c r="T4152" t="s">
        <v>44735</v>
      </c>
      <c r="U4152" t="s">
        <v>48604</v>
      </c>
      <c r="W4152" t="s">
        <v>39602</v>
      </c>
      <c r="X4152" t="s">
        <v>43172</v>
      </c>
    </row>
    <row r="4153" spans="1:24">
      <c r="A4153">
        <f>HYPERLINK("https://www.philgeps.gov.ph/GEPSNONPILOT/Tender/SplashBidNoticeAbstractUI.aspx?menuIndex=3&amp;refID=7083631&amp;Result=3","7083631")</f>
        <v>0</v>
      </c>
      <c r="B4153" t="s">
        <v>1518</v>
      </c>
      <c r="C4153" t="s">
        <v>7375</v>
      </c>
      <c r="D4153" t="s">
        <v>17444</v>
      </c>
      <c r="E4153" t="s">
        <v>21115</v>
      </c>
      <c r="F4153" t="s">
        <v>30052</v>
      </c>
      <c r="G4153" t="s">
        <v>30058</v>
      </c>
      <c r="H4153" t="s">
        <v>30067</v>
      </c>
      <c r="I4153" t="s">
        <v>3693</v>
      </c>
      <c r="J4153" t="s">
        <v>32904</v>
      </c>
      <c r="K4153" t="s">
        <v>39142</v>
      </c>
      <c r="M4153" t="s">
        <v>40904</v>
      </c>
      <c r="N4153" t="s">
        <v>43166</v>
      </c>
      <c r="O4153" t="s">
        <v>43167</v>
      </c>
      <c r="P4153">
        <v>0</v>
      </c>
      <c r="Q4153">
        <v>1</v>
      </c>
      <c r="R4153" t="s">
        <v>43171</v>
      </c>
      <c r="S4153" t="s">
        <v>43311</v>
      </c>
      <c r="T4153" t="s">
        <v>44722</v>
      </c>
      <c r="U4153" t="s">
        <v>48605</v>
      </c>
      <c r="W4153" t="s">
        <v>40904</v>
      </c>
      <c r="X4153" t="s">
        <v>43172</v>
      </c>
    </row>
    <row r="4154" spans="1:24">
      <c r="A4154">
        <f>HYPERLINK("https://www.philgeps.gov.ph/GEPSNONPILOT/Tender/SplashBidNoticeAbstractUI.aspx?menuIndex=3&amp;refID=7083494&amp;Result=3","7083494")</f>
        <v>0</v>
      </c>
      <c r="B4154" t="s">
        <v>965</v>
      </c>
      <c r="C4154" t="s">
        <v>6303</v>
      </c>
      <c r="D4154" t="s">
        <v>17466</v>
      </c>
      <c r="E4154" t="s">
        <v>21038</v>
      </c>
      <c r="F4154" t="s">
        <v>30055</v>
      </c>
      <c r="G4154" t="s">
        <v>30059</v>
      </c>
      <c r="H4154" t="s">
        <v>15498</v>
      </c>
      <c r="I4154" t="s">
        <v>30070</v>
      </c>
      <c r="J4154" t="s">
        <v>30426</v>
      </c>
      <c r="K4154" t="s">
        <v>39017</v>
      </c>
      <c r="M4154" t="s">
        <v>40291</v>
      </c>
      <c r="N4154" t="s">
        <v>43166</v>
      </c>
      <c r="O4154" t="s">
        <v>43167</v>
      </c>
      <c r="P4154">
        <v>0</v>
      </c>
      <c r="Q4154">
        <v>0</v>
      </c>
      <c r="R4154" t="s">
        <v>43171</v>
      </c>
      <c r="S4154" t="s">
        <v>43311</v>
      </c>
      <c r="T4154" t="s">
        <v>44715</v>
      </c>
      <c r="U4154" t="s">
        <v>47677</v>
      </c>
      <c r="W4154" t="s">
        <v>40291</v>
      </c>
      <c r="X4154" t="s">
        <v>43172</v>
      </c>
    </row>
    <row r="4155" spans="1:24">
      <c r="A4155">
        <f>HYPERLINK("https://www.philgeps.gov.ph/GEPSNONPILOT/Tender/SplashBidNoticeAbstractUI.aspx?menuIndex=3&amp;refID=7083629&amp;Result=3","7083629")</f>
        <v>0</v>
      </c>
      <c r="B4155" t="s">
        <v>214</v>
      </c>
      <c r="C4155" t="s">
        <v>7376</v>
      </c>
      <c r="D4155" t="s">
        <v>17415</v>
      </c>
      <c r="E4155" t="s">
        <v>21116</v>
      </c>
      <c r="F4155" t="s">
        <v>30052</v>
      </c>
      <c r="G4155" t="s">
        <v>30062</v>
      </c>
      <c r="H4155" t="s">
        <v>15498</v>
      </c>
      <c r="I4155" t="s">
        <v>30109</v>
      </c>
      <c r="J4155" t="s">
        <v>32905</v>
      </c>
      <c r="K4155" t="s">
        <v>39025</v>
      </c>
      <c r="M4155" t="s">
        <v>39504</v>
      </c>
      <c r="N4155" t="s">
        <v>43166</v>
      </c>
      <c r="O4155" t="s">
        <v>43167</v>
      </c>
      <c r="Q4155">
        <v>14</v>
      </c>
      <c r="R4155" t="s">
        <v>43171</v>
      </c>
      <c r="S4155" t="s">
        <v>43324</v>
      </c>
      <c r="T4155" t="s">
        <v>44882</v>
      </c>
      <c r="U4155" t="s">
        <v>45550</v>
      </c>
      <c r="W4155" t="s">
        <v>39504</v>
      </c>
      <c r="X4155" t="s">
        <v>43172</v>
      </c>
    </row>
    <row r="4156" spans="1:24">
      <c r="A4156">
        <f>HYPERLINK("https://www.philgeps.gov.ph/GEPSNONPILOT/Tender/SplashBidNoticeAbstractUI.aspx?menuIndex=3&amp;refID=7083113&amp;Result=3","7083113")</f>
        <v>0</v>
      </c>
      <c r="B4156" t="s">
        <v>1519</v>
      </c>
      <c r="C4156" t="s">
        <v>7377</v>
      </c>
      <c r="D4156" t="s">
        <v>17464</v>
      </c>
      <c r="E4156" t="s">
        <v>21117</v>
      </c>
      <c r="F4156" t="s">
        <v>30052</v>
      </c>
      <c r="G4156" t="s">
        <v>30065</v>
      </c>
      <c r="H4156" t="s">
        <v>30068</v>
      </c>
      <c r="I4156" t="s">
        <v>30068</v>
      </c>
      <c r="J4156" t="s">
        <v>32906</v>
      </c>
      <c r="K4156" t="s">
        <v>39067</v>
      </c>
      <c r="M4156" t="s">
        <v>40905</v>
      </c>
      <c r="N4156" t="s">
        <v>43166</v>
      </c>
      <c r="O4156" t="s">
        <v>43167</v>
      </c>
      <c r="P4156">
        <v>0</v>
      </c>
      <c r="Q4156">
        <v>8</v>
      </c>
      <c r="R4156" t="s">
        <v>43171</v>
      </c>
      <c r="S4156" t="s">
        <v>43311</v>
      </c>
      <c r="T4156" t="s">
        <v>44710</v>
      </c>
      <c r="U4156" t="s">
        <v>48606</v>
      </c>
      <c r="W4156" t="s">
        <v>40905</v>
      </c>
      <c r="X4156" t="s">
        <v>43172</v>
      </c>
    </row>
    <row r="4157" spans="1:24">
      <c r="A4157">
        <f>HYPERLINK("https://www.philgeps.gov.ph/GEPSNONPILOT/Tender/SplashBidNoticeAbstractUI.aspx?menuIndex=3&amp;refID=7083626&amp;Result=3","7083626")</f>
        <v>0</v>
      </c>
      <c r="B4157" t="s">
        <v>511</v>
      </c>
      <c r="C4157" t="s">
        <v>7378</v>
      </c>
      <c r="D4157" t="s">
        <v>17480</v>
      </c>
      <c r="E4157" t="s">
        <v>21118</v>
      </c>
      <c r="F4157" t="s">
        <v>30052</v>
      </c>
      <c r="G4157" t="s">
        <v>30058</v>
      </c>
      <c r="H4157" t="s">
        <v>15498</v>
      </c>
      <c r="I4157" t="s">
        <v>30135</v>
      </c>
      <c r="J4157" t="s">
        <v>32907</v>
      </c>
      <c r="K4157" t="s">
        <v>39023</v>
      </c>
      <c r="M4157" t="s">
        <v>39812</v>
      </c>
      <c r="N4157" t="s">
        <v>43166</v>
      </c>
      <c r="O4157" t="s">
        <v>43167</v>
      </c>
      <c r="Q4157">
        <v>6</v>
      </c>
      <c r="R4157" t="s">
        <v>43171</v>
      </c>
      <c r="S4157" t="s">
        <v>43325</v>
      </c>
      <c r="T4157" t="s">
        <v>44827</v>
      </c>
      <c r="U4157" t="s">
        <v>47782</v>
      </c>
      <c r="V4157" t="s">
        <v>57294</v>
      </c>
      <c r="W4157" t="s">
        <v>39812</v>
      </c>
      <c r="X4157" t="s">
        <v>43172</v>
      </c>
    </row>
    <row r="4158" spans="1:24">
      <c r="A4158">
        <f>HYPERLINK("https://www.philgeps.gov.ph/GEPSNONPILOT/Tender/SplashBidNoticeAbstractUI.aspx?menuIndex=3&amp;refID=7083623&amp;Result=3","7083623")</f>
        <v>0</v>
      </c>
      <c r="B4158" t="s">
        <v>1520</v>
      </c>
      <c r="C4158" t="s">
        <v>7379</v>
      </c>
      <c r="D4158" t="s">
        <v>17423</v>
      </c>
      <c r="E4158" t="s">
        <v>21119</v>
      </c>
      <c r="F4158" t="s">
        <v>30056</v>
      </c>
      <c r="G4158" t="s">
        <v>30059</v>
      </c>
      <c r="H4158" t="s">
        <v>15498</v>
      </c>
      <c r="I4158" t="s">
        <v>4598</v>
      </c>
      <c r="J4158" t="s">
        <v>30292</v>
      </c>
      <c r="K4158" t="s">
        <v>39017</v>
      </c>
      <c r="M4158" t="s">
        <v>40906</v>
      </c>
      <c r="N4158" t="s">
        <v>43166</v>
      </c>
      <c r="O4158" t="s">
        <v>43167</v>
      </c>
      <c r="P4158">
        <v>0</v>
      </c>
      <c r="Q4158">
        <v>2</v>
      </c>
      <c r="R4158" t="s">
        <v>43171</v>
      </c>
      <c r="S4158" t="s">
        <v>43311</v>
      </c>
      <c r="T4158" t="s">
        <v>44806</v>
      </c>
      <c r="U4158" t="s">
        <v>48607</v>
      </c>
      <c r="W4158" t="s">
        <v>40906</v>
      </c>
      <c r="X4158" t="s">
        <v>43172</v>
      </c>
    </row>
    <row r="4159" spans="1:24">
      <c r="A4159">
        <f>HYPERLINK("https://www.philgeps.gov.ph/GEPSNONPILOT/Tender/SplashBidNoticeAbstractUI.aspx?menuIndex=3&amp;refID=7083200&amp;Result=3","7083200")</f>
        <v>0</v>
      </c>
      <c r="B4159" t="s">
        <v>1428</v>
      </c>
      <c r="C4159" t="s">
        <v>7380</v>
      </c>
      <c r="D4159" t="s">
        <v>17463</v>
      </c>
      <c r="E4159" t="s">
        <v>21120</v>
      </c>
      <c r="F4159" t="s">
        <v>30052</v>
      </c>
      <c r="G4159" t="s">
        <v>30058</v>
      </c>
      <c r="H4159" t="s">
        <v>15498</v>
      </c>
      <c r="I4159" t="s">
        <v>30081</v>
      </c>
      <c r="J4159" t="s">
        <v>32908</v>
      </c>
      <c r="K4159" t="s">
        <v>39034</v>
      </c>
      <c r="M4159" t="s">
        <v>40806</v>
      </c>
      <c r="N4159" t="s">
        <v>43166</v>
      </c>
      <c r="O4159" t="s">
        <v>43167</v>
      </c>
      <c r="P4159">
        <v>0</v>
      </c>
      <c r="Q4159">
        <v>0</v>
      </c>
      <c r="R4159" t="s">
        <v>43171</v>
      </c>
      <c r="S4159" t="s">
        <v>43311</v>
      </c>
      <c r="T4159" t="s">
        <v>44700</v>
      </c>
      <c r="U4159" t="s">
        <v>48608</v>
      </c>
      <c r="W4159" t="s">
        <v>40806</v>
      </c>
      <c r="X4159" t="s">
        <v>43172</v>
      </c>
    </row>
    <row r="4160" spans="1:24">
      <c r="A4160">
        <f>HYPERLINK("https://www.philgeps.gov.ph/GEPSNONPILOT/Tender/SplashBidNoticeAbstractUI.aspx?menuIndex=3&amp;refID=7083184&amp;Result=3","7083184")</f>
        <v>0</v>
      </c>
      <c r="B4160" t="s">
        <v>1428</v>
      </c>
      <c r="C4160" t="s">
        <v>7381</v>
      </c>
      <c r="D4160" t="s">
        <v>17463</v>
      </c>
      <c r="E4160" t="s">
        <v>19301</v>
      </c>
      <c r="F4160" t="s">
        <v>30052</v>
      </c>
      <c r="G4160" t="s">
        <v>30058</v>
      </c>
      <c r="H4160" t="s">
        <v>15498</v>
      </c>
      <c r="I4160" t="s">
        <v>30070</v>
      </c>
      <c r="J4160" t="s">
        <v>32909</v>
      </c>
      <c r="K4160" t="s">
        <v>39034</v>
      </c>
      <c r="M4160" t="s">
        <v>40806</v>
      </c>
      <c r="N4160" t="s">
        <v>43166</v>
      </c>
      <c r="O4160" t="s">
        <v>43167</v>
      </c>
      <c r="P4160">
        <v>0</v>
      </c>
      <c r="Q4160">
        <v>0</v>
      </c>
      <c r="R4160" t="s">
        <v>43171</v>
      </c>
      <c r="S4160" t="s">
        <v>43311</v>
      </c>
      <c r="T4160" t="s">
        <v>44700</v>
      </c>
      <c r="U4160" t="s">
        <v>48532</v>
      </c>
      <c r="W4160" t="s">
        <v>40806</v>
      </c>
      <c r="X4160" t="s">
        <v>43172</v>
      </c>
    </row>
    <row r="4161" spans="1:24">
      <c r="A4161">
        <f>HYPERLINK("https://www.philgeps.gov.ph/GEPSNONPILOT/Tender/SplashBidNoticeAbstractUI.aspx?menuIndex=3&amp;refID=7083619&amp;Result=3","7083619")</f>
        <v>0</v>
      </c>
      <c r="B4161" t="s">
        <v>1512</v>
      </c>
      <c r="C4161" t="s">
        <v>7382</v>
      </c>
      <c r="D4161" t="s">
        <v>17465</v>
      </c>
      <c r="E4161" t="s">
        <v>21121</v>
      </c>
      <c r="F4161" t="s">
        <v>30052</v>
      </c>
      <c r="G4161" t="s">
        <v>30059</v>
      </c>
      <c r="H4161" t="s">
        <v>15498</v>
      </c>
      <c r="I4161" t="s">
        <v>3852</v>
      </c>
      <c r="J4161" t="s">
        <v>32910</v>
      </c>
      <c r="K4161" t="s">
        <v>39025</v>
      </c>
      <c r="M4161" t="s">
        <v>40897</v>
      </c>
      <c r="N4161" t="s">
        <v>43166</v>
      </c>
      <c r="O4161" t="s">
        <v>43167</v>
      </c>
      <c r="P4161">
        <v>0</v>
      </c>
      <c r="Q4161">
        <v>2</v>
      </c>
      <c r="R4161" t="s">
        <v>43171</v>
      </c>
      <c r="S4161" t="s">
        <v>43311</v>
      </c>
      <c r="T4161" t="s">
        <v>44733</v>
      </c>
      <c r="U4161" t="s">
        <v>48609</v>
      </c>
      <c r="W4161" t="s">
        <v>40897</v>
      </c>
      <c r="X4161" t="s">
        <v>43172</v>
      </c>
    </row>
    <row r="4162" spans="1:24">
      <c r="A4162">
        <f>HYPERLINK("https://www.philgeps.gov.ph/GEPSNONPILOT/Tender/SplashBidNoticeAbstractUI.aspx?menuIndex=3&amp;refID=7083115&amp;Result=3","7083115")</f>
        <v>0</v>
      </c>
      <c r="B4162" t="s">
        <v>158</v>
      </c>
      <c r="C4162" t="s">
        <v>7383</v>
      </c>
      <c r="D4162" t="s">
        <v>17471</v>
      </c>
      <c r="E4162" t="s">
        <v>21122</v>
      </c>
      <c r="F4162" t="s">
        <v>30052</v>
      </c>
      <c r="G4162" t="s">
        <v>30058</v>
      </c>
      <c r="H4162" t="s">
        <v>15498</v>
      </c>
      <c r="I4162" t="s">
        <v>30078</v>
      </c>
      <c r="J4162" t="s">
        <v>32911</v>
      </c>
      <c r="K4162" t="s">
        <v>39029</v>
      </c>
      <c r="M4162" t="s">
        <v>39447</v>
      </c>
      <c r="N4162" t="s">
        <v>43166</v>
      </c>
      <c r="O4162" t="s">
        <v>43167</v>
      </c>
      <c r="P4162">
        <v>0</v>
      </c>
      <c r="Q4162">
        <v>0</v>
      </c>
      <c r="R4162" t="s">
        <v>43171</v>
      </c>
      <c r="S4162" t="s">
        <v>43311</v>
      </c>
      <c r="T4162" t="s">
        <v>44704</v>
      </c>
      <c r="U4162" t="s">
        <v>48610</v>
      </c>
      <c r="W4162" t="s">
        <v>39447</v>
      </c>
      <c r="X4162" t="s">
        <v>43172</v>
      </c>
    </row>
    <row r="4163" spans="1:24">
      <c r="A4163">
        <f>HYPERLINK("https://www.philgeps.gov.ph/GEPSNONPILOT/Tender/SplashBidNoticeAbstractUI.aspx?menuIndex=3&amp;refID=7083617&amp;Result=3","7083617")</f>
        <v>0</v>
      </c>
      <c r="B4163" t="s">
        <v>38</v>
      </c>
      <c r="C4163" t="s">
        <v>7384</v>
      </c>
      <c r="D4163" t="s">
        <v>17423</v>
      </c>
      <c r="E4163" t="s">
        <v>21123</v>
      </c>
      <c r="F4163" t="s">
        <v>30052</v>
      </c>
      <c r="G4163" t="s">
        <v>30058</v>
      </c>
      <c r="H4163" t="s">
        <v>15498</v>
      </c>
      <c r="I4163" t="s">
        <v>3736</v>
      </c>
      <c r="J4163" t="s">
        <v>32912</v>
      </c>
      <c r="K4163" t="s">
        <v>39017</v>
      </c>
      <c r="M4163" t="s">
        <v>39328</v>
      </c>
      <c r="N4163" t="s">
        <v>43166</v>
      </c>
      <c r="O4163" t="s">
        <v>43167</v>
      </c>
      <c r="P4163">
        <v>0</v>
      </c>
      <c r="Q4163">
        <v>1</v>
      </c>
      <c r="R4163" t="s">
        <v>43171</v>
      </c>
      <c r="S4163" t="s">
        <v>43311</v>
      </c>
      <c r="T4163" t="s">
        <v>44710</v>
      </c>
      <c r="U4163" t="s">
        <v>48611</v>
      </c>
      <c r="W4163" t="s">
        <v>39328</v>
      </c>
      <c r="X4163" t="s">
        <v>43172</v>
      </c>
    </row>
    <row r="4164" spans="1:24">
      <c r="A4164">
        <f>HYPERLINK("https://www.philgeps.gov.ph/GEPSNONPILOT/Tender/SplashBidNoticeAbstractUI.aspx?menuIndex=3&amp;refID=7083612&amp;Result=3","7083612")</f>
        <v>0</v>
      </c>
      <c r="B4164" t="s">
        <v>1393</v>
      </c>
      <c r="C4164" t="s">
        <v>7385</v>
      </c>
      <c r="D4164" t="s">
        <v>17474</v>
      </c>
      <c r="E4164" t="s">
        <v>17745</v>
      </c>
      <c r="F4164" t="s">
        <v>30052</v>
      </c>
      <c r="G4164" t="s">
        <v>30058</v>
      </c>
      <c r="H4164" t="s">
        <v>15498</v>
      </c>
      <c r="I4164" t="s">
        <v>3736</v>
      </c>
      <c r="J4164" t="s">
        <v>31307</v>
      </c>
      <c r="K4164" t="s">
        <v>39034</v>
      </c>
      <c r="M4164" t="s">
        <v>40769</v>
      </c>
      <c r="N4164" t="s">
        <v>43166</v>
      </c>
      <c r="O4164" t="s">
        <v>43167</v>
      </c>
      <c r="P4164">
        <v>0</v>
      </c>
      <c r="Q4164">
        <v>0</v>
      </c>
      <c r="R4164" t="s">
        <v>43171</v>
      </c>
      <c r="S4164" t="s">
        <v>43311</v>
      </c>
      <c r="T4164" t="s">
        <v>44970</v>
      </c>
      <c r="U4164" t="s">
        <v>48325</v>
      </c>
      <c r="W4164" t="s">
        <v>40769</v>
      </c>
      <c r="X4164" t="s">
        <v>43172</v>
      </c>
    </row>
    <row r="4165" spans="1:24">
      <c r="A4165">
        <f>HYPERLINK("https://www.philgeps.gov.ph/GEPSNONPILOT/Tender/SplashBidNoticeAbstractUI.aspx?menuIndex=3&amp;refID=7083621&amp;Result=3","7083621")</f>
        <v>0</v>
      </c>
      <c r="B4165" t="s">
        <v>620</v>
      </c>
      <c r="C4165" t="s">
        <v>7386</v>
      </c>
      <c r="D4165" t="s">
        <v>17427</v>
      </c>
      <c r="E4165" t="s">
        <v>21124</v>
      </c>
      <c r="F4165" t="s">
        <v>30052</v>
      </c>
      <c r="G4165" t="s">
        <v>30059</v>
      </c>
      <c r="H4165" t="s">
        <v>15498</v>
      </c>
      <c r="I4165" t="s">
        <v>30088</v>
      </c>
      <c r="J4165" t="s">
        <v>32821</v>
      </c>
      <c r="K4165" t="s">
        <v>39017</v>
      </c>
      <c r="M4165" t="s">
        <v>39923</v>
      </c>
      <c r="N4165" t="s">
        <v>43166</v>
      </c>
      <c r="O4165" t="s">
        <v>43167</v>
      </c>
      <c r="P4165">
        <v>0</v>
      </c>
      <c r="Q4165">
        <v>5</v>
      </c>
      <c r="R4165" t="s">
        <v>43171</v>
      </c>
      <c r="S4165" t="s">
        <v>43311</v>
      </c>
      <c r="T4165" t="s">
        <v>44732</v>
      </c>
      <c r="U4165" t="s">
        <v>48612</v>
      </c>
      <c r="V4165" t="s">
        <v>57209</v>
      </c>
      <c r="W4165" t="s">
        <v>39923</v>
      </c>
      <c r="X4165" t="s">
        <v>43172</v>
      </c>
    </row>
    <row r="4166" spans="1:24">
      <c r="A4166">
        <f>HYPERLINK("https://www.philgeps.gov.ph/GEPSNONPILOT/Tender/SplashBidNoticeAbstractUI.aspx?menuIndex=3&amp;refID=7083611&amp;Result=3","7083611")</f>
        <v>0</v>
      </c>
      <c r="B4166" t="s">
        <v>796</v>
      </c>
      <c r="C4166" t="s">
        <v>7387</v>
      </c>
      <c r="D4166" t="s">
        <v>17476</v>
      </c>
      <c r="E4166" t="s">
        <v>21125</v>
      </c>
      <c r="F4166" t="s">
        <v>30052</v>
      </c>
      <c r="G4166" t="s">
        <v>30059</v>
      </c>
      <c r="H4166" t="s">
        <v>30069</v>
      </c>
      <c r="I4166" t="s">
        <v>30088</v>
      </c>
      <c r="J4166" t="s">
        <v>30402</v>
      </c>
      <c r="K4166" t="s">
        <v>39034</v>
      </c>
      <c r="M4166" t="s">
        <v>40741</v>
      </c>
      <c r="N4166" t="s">
        <v>43166</v>
      </c>
      <c r="O4166" t="s">
        <v>43167</v>
      </c>
      <c r="P4166">
        <v>0</v>
      </c>
      <c r="Q4166">
        <v>1</v>
      </c>
      <c r="R4166" t="s">
        <v>43171</v>
      </c>
      <c r="S4166" t="s">
        <v>43311</v>
      </c>
      <c r="T4166" t="s">
        <v>44779</v>
      </c>
      <c r="U4166" t="s">
        <v>48613</v>
      </c>
      <c r="W4166" t="s">
        <v>40741</v>
      </c>
      <c r="X4166" t="s">
        <v>43172</v>
      </c>
    </row>
    <row r="4167" spans="1:24">
      <c r="A4167">
        <f>HYPERLINK("https://www.philgeps.gov.ph/GEPSNONPILOT/Tender/SplashBidNoticeAbstractUI.aspx?menuIndex=3&amp;refID=7083608&amp;Result=3","7083608")</f>
        <v>0</v>
      </c>
      <c r="B4167" t="s">
        <v>501</v>
      </c>
      <c r="C4167" t="s">
        <v>7388</v>
      </c>
      <c r="E4167" t="s">
        <v>21126</v>
      </c>
      <c r="F4167" t="s">
        <v>30052</v>
      </c>
      <c r="G4167" t="s">
        <v>30058</v>
      </c>
      <c r="H4167" t="s">
        <v>15498</v>
      </c>
      <c r="I4167" t="s">
        <v>4598</v>
      </c>
      <c r="J4167" t="s">
        <v>32913</v>
      </c>
      <c r="K4167" t="s">
        <v>39025</v>
      </c>
      <c r="M4167" t="s">
        <v>39802</v>
      </c>
      <c r="N4167" t="s">
        <v>43166</v>
      </c>
      <c r="O4167" t="s">
        <v>43167</v>
      </c>
      <c r="P4167">
        <v>0</v>
      </c>
      <c r="Q4167">
        <v>11</v>
      </c>
      <c r="R4167" t="s">
        <v>43171</v>
      </c>
      <c r="S4167" t="s">
        <v>43311</v>
      </c>
      <c r="T4167" t="s">
        <v>44986</v>
      </c>
      <c r="U4167" t="s">
        <v>48614</v>
      </c>
      <c r="V4167" t="s">
        <v>57295</v>
      </c>
      <c r="W4167" t="s">
        <v>39802</v>
      </c>
      <c r="X4167" t="s">
        <v>43172</v>
      </c>
    </row>
    <row r="4168" spans="1:24">
      <c r="A4168">
        <f>HYPERLINK("https://www.philgeps.gov.ph/GEPSNONPILOT/Tender/SplashBidNoticeAbstractUI.aspx?menuIndex=3&amp;refID=7083602&amp;Result=3","7083602")</f>
        <v>0</v>
      </c>
      <c r="B4168" t="s">
        <v>1505</v>
      </c>
      <c r="C4168" t="s">
        <v>7389</v>
      </c>
      <c r="D4168" t="s">
        <v>17462</v>
      </c>
      <c r="E4168" t="s">
        <v>21127</v>
      </c>
      <c r="F4168" t="s">
        <v>30052</v>
      </c>
      <c r="G4168" t="s">
        <v>30058</v>
      </c>
      <c r="H4168" t="s">
        <v>15498</v>
      </c>
      <c r="I4168" t="s">
        <v>30074</v>
      </c>
      <c r="J4168" t="s">
        <v>30416</v>
      </c>
      <c r="K4168" t="s">
        <v>39025</v>
      </c>
      <c r="M4168" t="s">
        <v>40889</v>
      </c>
      <c r="N4168" t="s">
        <v>43166</v>
      </c>
      <c r="O4168" t="s">
        <v>43167</v>
      </c>
      <c r="P4168">
        <v>0</v>
      </c>
      <c r="Q4168">
        <v>6</v>
      </c>
      <c r="R4168" t="s">
        <v>43171</v>
      </c>
      <c r="S4168" t="s">
        <v>43311</v>
      </c>
      <c r="T4168" t="s">
        <v>44842</v>
      </c>
      <c r="U4168" t="s">
        <v>48615</v>
      </c>
      <c r="W4168" t="s">
        <v>58642</v>
      </c>
      <c r="X4168" t="s">
        <v>43172</v>
      </c>
    </row>
    <row r="4169" spans="1:24">
      <c r="A4169">
        <f>HYPERLINK("https://www.philgeps.gov.ph/GEPSNONPILOT/Tender/SplashBidNoticeAbstractUI.aspx?menuIndex=3&amp;refID=7083615&amp;Result=3","7083615")</f>
        <v>0</v>
      </c>
      <c r="B4169" t="s">
        <v>1483</v>
      </c>
      <c r="C4169" t="s">
        <v>7390</v>
      </c>
      <c r="D4169" t="s">
        <v>17414</v>
      </c>
      <c r="E4169" t="s">
        <v>21128</v>
      </c>
      <c r="F4169" t="s">
        <v>30052</v>
      </c>
      <c r="G4169" t="s">
        <v>30058</v>
      </c>
      <c r="H4169" t="s">
        <v>30067</v>
      </c>
      <c r="I4169" t="s">
        <v>3693</v>
      </c>
      <c r="J4169" t="s">
        <v>32854</v>
      </c>
      <c r="K4169" t="s">
        <v>39031</v>
      </c>
      <c r="M4169" t="s">
        <v>40866</v>
      </c>
      <c r="N4169" t="s">
        <v>43166</v>
      </c>
      <c r="O4169" t="s">
        <v>43167</v>
      </c>
      <c r="P4169">
        <v>0</v>
      </c>
      <c r="Q4169">
        <v>0</v>
      </c>
      <c r="R4169" t="s">
        <v>43171</v>
      </c>
      <c r="S4169" t="s">
        <v>43311</v>
      </c>
      <c r="T4169" t="s">
        <v>44892</v>
      </c>
      <c r="U4169" t="s">
        <v>48547</v>
      </c>
      <c r="W4169" t="s">
        <v>40866</v>
      </c>
      <c r="X4169" t="s">
        <v>43172</v>
      </c>
    </row>
    <row r="4170" spans="1:24">
      <c r="A4170">
        <f>HYPERLINK("https://www.philgeps.gov.ph/GEPSNONPILOT/Tender/SplashBidNoticeAbstractUI.aspx?menuIndex=3&amp;refID=7083622&amp;Result=3","7083622")</f>
        <v>0</v>
      </c>
      <c r="B4170" t="s">
        <v>1428</v>
      </c>
      <c r="C4170" t="s">
        <v>7391</v>
      </c>
      <c r="D4170" t="s">
        <v>17463</v>
      </c>
      <c r="E4170" t="s">
        <v>21129</v>
      </c>
      <c r="F4170" t="s">
        <v>30052</v>
      </c>
      <c r="G4170" t="s">
        <v>30058</v>
      </c>
      <c r="H4170" t="s">
        <v>15498</v>
      </c>
      <c r="I4170" t="s">
        <v>30105</v>
      </c>
      <c r="J4170" t="s">
        <v>30905</v>
      </c>
      <c r="K4170" t="s">
        <v>39034</v>
      </c>
      <c r="M4170" t="s">
        <v>40806</v>
      </c>
      <c r="N4170" t="s">
        <v>43166</v>
      </c>
      <c r="O4170" t="s">
        <v>43167</v>
      </c>
      <c r="P4170">
        <v>0</v>
      </c>
      <c r="Q4170">
        <v>0</v>
      </c>
      <c r="R4170" t="s">
        <v>43171</v>
      </c>
      <c r="S4170" t="s">
        <v>43311</v>
      </c>
      <c r="T4170" t="s">
        <v>44700</v>
      </c>
      <c r="U4170" t="s">
        <v>47318</v>
      </c>
      <c r="W4170" t="s">
        <v>40806</v>
      </c>
      <c r="X4170" t="s">
        <v>43172</v>
      </c>
    </row>
    <row r="4171" spans="1:24">
      <c r="A4171">
        <f>HYPERLINK("https://www.philgeps.gov.ph/GEPSNONPILOT/Tender/SplashBidNoticeAbstractUI.aspx?menuIndex=3&amp;refID=7083601&amp;Result=3","7083601")</f>
        <v>0</v>
      </c>
      <c r="B4171" t="s">
        <v>1521</v>
      </c>
      <c r="C4171" t="s">
        <v>7392</v>
      </c>
      <c r="D4171" t="s">
        <v>17415</v>
      </c>
      <c r="E4171" t="s">
        <v>21130</v>
      </c>
      <c r="F4171" t="s">
        <v>30052</v>
      </c>
      <c r="G4171" t="s">
        <v>30061</v>
      </c>
      <c r="H4171" t="s">
        <v>15498</v>
      </c>
      <c r="I4171" t="s">
        <v>30096</v>
      </c>
      <c r="J4171" t="s">
        <v>31393</v>
      </c>
      <c r="K4171" t="s">
        <v>39034</v>
      </c>
      <c r="L4171" t="s">
        <v>1521</v>
      </c>
      <c r="M4171" t="s">
        <v>40907</v>
      </c>
      <c r="N4171" t="s">
        <v>43166</v>
      </c>
      <c r="O4171" t="s">
        <v>43167</v>
      </c>
      <c r="P4171">
        <v>0</v>
      </c>
      <c r="Q4171">
        <v>6</v>
      </c>
      <c r="R4171" t="s">
        <v>43171</v>
      </c>
      <c r="S4171" t="s">
        <v>43311</v>
      </c>
      <c r="T4171" t="s">
        <v>44744</v>
      </c>
      <c r="U4171" t="s">
        <v>48616</v>
      </c>
      <c r="W4171" t="s">
        <v>40907</v>
      </c>
      <c r="X4171" t="s">
        <v>43172</v>
      </c>
    </row>
    <row r="4172" spans="1:24">
      <c r="A4172">
        <f>HYPERLINK("https://www.philgeps.gov.ph/GEPSNONPILOT/Tender/SplashBidNoticeAbstractUI.aspx?menuIndex=3&amp;refID=7083600&amp;Result=3","7083600")</f>
        <v>0</v>
      </c>
      <c r="B4172" t="s">
        <v>726</v>
      </c>
      <c r="C4172" t="s">
        <v>7393</v>
      </c>
      <c r="D4172" t="s">
        <v>17477</v>
      </c>
      <c r="E4172" t="s">
        <v>21131</v>
      </c>
      <c r="F4172" t="s">
        <v>30052</v>
      </c>
      <c r="G4172" t="s">
        <v>30059</v>
      </c>
      <c r="H4172" t="s">
        <v>15498</v>
      </c>
      <c r="I4172" t="s">
        <v>3606</v>
      </c>
      <c r="J4172" t="s">
        <v>32914</v>
      </c>
      <c r="K4172" t="s">
        <v>39019</v>
      </c>
      <c r="M4172" t="s">
        <v>40037</v>
      </c>
      <c r="N4172" t="s">
        <v>43166</v>
      </c>
      <c r="O4172" t="s">
        <v>43167</v>
      </c>
      <c r="P4172">
        <v>0</v>
      </c>
      <c r="Q4172">
        <v>2</v>
      </c>
      <c r="R4172" t="s">
        <v>43171</v>
      </c>
      <c r="S4172" t="s">
        <v>43311</v>
      </c>
      <c r="T4172" t="s">
        <v>44837</v>
      </c>
      <c r="U4172" t="s">
        <v>48617</v>
      </c>
      <c r="W4172" t="s">
        <v>58613</v>
      </c>
      <c r="X4172" t="s">
        <v>43172</v>
      </c>
    </row>
    <row r="4173" spans="1:24">
      <c r="A4173">
        <f>HYPERLINK("https://www.philgeps.gov.ph/GEPSNONPILOT/Tender/SplashBidNoticeAbstractUI.aspx?menuIndex=3&amp;refID=7083108&amp;Result=3","7083108")</f>
        <v>0</v>
      </c>
      <c r="B4173" t="s">
        <v>1339</v>
      </c>
      <c r="C4173" t="s">
        <v>7394</v>
      </c>
      <c r="D4173" t="s">
        <v>17474</v>
      </c>
      <c r="E4173" t="s">
        <v>21132</v>
      </c>
      <c r="F4173" t="s">
        <v>30052</v>
      </c>
      <c r="G4173" t="s">
        <v>30058</v>
      </c>
      <c r="H4173" t="s">
        <v>15498</v>
      </c>
      <c r="I4173" t="s">
        <v>3736</v>
      </c>
      <c r="J4173" t="s">
        <v>32915</v>
      </c>
      <c r="K4173" t="s">
        <v>39029</v>
      </c>
      <c r="M4173" t="s">
        <v>40706</v>
      </c>
      <c r="N4173" t="s">
        <v>43166</v>
      </c>
      <c r="O4173" t="s">
        <v>43167</v>
      </c>
      <c r="P4173">
        <v>0</v>
      </c>
      <c r="Q4173">
        <v>0</v>
      </c>
      <c r="R4173" t="s">
        <v>43171</v>
      </c>
      <c r="S4173" t="s">
        <v>43311</v>
      </c>
      <c r="T4173" t="s">
        <v>44712</v>
      </c>
      <c r="U4173" t="s">
        <v>48618</v>
      </c>
      <c r="V4173" t="s">
        <v>57248</v>
      </c>
      <c r="W4173" t="s">
        <v>40706</v>
      </c>
      <c r="X4173" t="s">
        <v>43172</v>
      </c>
    </row>
    <row r="4174" spans="1:24">
      <c r="A4174">
        <f>HYPERLINK("https://www.philgeps.gov.ph/GEPSNONPILOT/Tender/SplashBidNoticeAbstractUI.aspx?menuIndex=3&amp;refID=7083660&amp;Result=3","7083660")</f>
        <v>0</v>
      </c>
      <c r="B4174" t="s">
        <v>1483</v>
      </c>
      <c r="C4174" t="s">
        <v>7395</v>
      </c>
      <c r="D4174" t="s">
        <v>17414</v>
      </c>
      <c r="E4174" t="s">
        <v>21133</v>
      </c>
      <c r="F4174" t="s">
        <v>30052</v>
      </c>
      <c r="G4174" t="s">
        <v>30058</v>
      </c>
      <c r="H4174" t="s">
        <v>30067</v>
      </c>
      <c r="I4174" t="s">
        <v>3693</v>
      </c>
      <c r="J4174" t="s">
        <v>32847</v>
      </c>
      <c r="K4174" t="s">
        <v>39031</v>
      </c>
      <c r="M4174" t="s">
        <v>40866</v>
      </c>
      <c r="N4174" t="s">
        <v>43166</v>
      </c>
      <c r="O4174" t="s">
        <v>43167</v>
      </c>
      <c r="P4174">
        <v>0</v>
      </c>
      <c r="Q4174">
        <v>0</v>
      </c>
      <c r="R4174" t="s">
        <v>43171</v>
      </c>
      <c r="S4174" t="s">
        <v>43311</v>
      </c>
      <c r="T4174" t="s">
        <v>44892</v>
      </c>
      <c r="U4174" t="s">
        <v>48539</v>
      </c>
      <c r="W4174" t="s">
        <v>40866</v>
      </c>
      <c r="X4174" t="s">
        <v>43172</v>
      </c>
    </row>
    <row r="4175" spans="1:24">
      <c r="A4175">
        <f>HYPERLINK("https://www.philgeps.gov.ph/GEPSNONPILOT/Tender/SplashBidNoticeAbstractUI.aspx?menuIndex=3&amp;refID=7083613&amp;Result=3","7083613")</f>
        <v>0</v>
      </c>
      <c r="B4175" t="s">
        <v>1490</v>
      </c>
      <c r="C4175" t="s">
        <v>7396</v>
      </c>
      <c r="D4175" t="s">
        <v>17465</v>
      </c>
      <c r="E4175" t="s">
        <v>21134</v>
      </c>
      <c r="F4175" t="s">
        <v>30052</v>
      </c>
      <c r="G4175" t="s">
        <v>30061</v>
      </c>
      <c r="H4175" t="s">
        <v>15498</v>
      </c>
      <c r="I4175" t="s">
        <v>30088</v>
      </c>
      <c r="J4175" t="s">
        <v>32916</v>
      </c>
      <c r="K4175" t="s">
        <v>39034</v>
      </c>
      <c r="M4175" t="s">
        <v>40874</v>
      </c>
      <c r="N4175" t="s">
        <v>43166</v>
      </c>
      <c r="O4175" t="s">
        <v>43167</v>
      </c>
      <c r="P4175">
        <v>0</v>
      </c>
      <c r="Q4175">
        <v>2</v>
      </c>
      <c r="R4175" t="s">
        <v>43171</v>
      </c>
      <c r="S4175" t="s">
        <v>43311</v>
      </c>
      <c r="T4175" t="s">
        <v>44843</v>
      </c>
      <c r="U4175" t="s">
        <v>48619</v>
      </c>
      <c r="W4175" t="s">
        <v>40874</v>
      </c>
      <c r="X4175" t="s">
        <v>43172</v>
      </c>
    </row>
    <row r="4176" spans="1:24">
      <c r="A4176">
        <f>HYPERLINK("https://www.philgeps.gov.ph/GEPSNONPILOT/Tender/SplashBidNoticeAbstractUI.aspx?menuIndex=3&amp;refID=7083656&amp;Result=3","7083656")</f>
        <v>0</v>
      </c>
      <c r="B4176" t="s">
        <v>1499</v>
      </c>
      <c r="C4176" t="s">
        <v>7397</v>
      </c>
      <c r="D4176" t="s">
        <v>17424</v>
      </c>
      <c r="E4176" t="s">
        <v>21135</v>
      </c>
      <c r="F4176" t="s">
        <v>30052</v>
      </c>
      <c r="G4176" t="s">
        <v>30059</v>
      </c>
      <c r="H4176" t="s">
        <v>30067</v>
      </c>
      <c r="I4176" t="s">
        <v>6304</v>
      </c>
      <c r="J4176" t="s">
        <v>32917</v>
      </c>
      <c r="K4176" t="s">
        <v>39029</v>
      </c>
      <c r="M4176" t="s">
        <v>40883</v>
      </c>
      <c r="N4176" t="s">
        <v>43166</v>
      </c>
      <c r="O4176" t="s">
        <v>43167</v>
      </c>
      <c r="P4176">
        <v>0</v>
      </c>
      <c r="Q4176">
        <v>2</v>
      </c>
      <c r="R4176" t="s">
        <v>43171</v>
      </c>
      <c r="S4176" t="s">
        <v>43311</v>
      </c>
      <c r="T4176" t="s">
        <v>44753</v>
      </c>
      <c r="U4176" t="s">
        <v>48620</v>
      </c>
      <c r="W4176" t="s">
        <v>40883</v>
      </c>
      <c r="X4176" t="s">
        <v>43172</v>
      </c>
    </row>
    <row r="4177" spans="1:24">
      <c r="A4177">
        <f>HYPERLINK("https://www.philgeps.gov.ph/GEPSNONPILOT/Tender/SplashBidNoticeAbstractUI.aspx?menuIndex=3&amp;refID=7083190&amp;Result=3","7083190")</f>
        <v>0</v>
      </c>
      <c r="B4177" t="s">
        <v>1438</v>
      </c>
      <c r="C4177" t="s">
        <v>4603</v>
      </c>
      <c r="D4177" t="s">
        <v>17419</v>
      </c>
      <c r="E4177" t="s">
        <v>20900</v>
      </c>
      <c r="F4177" t="s">
        <v>30054</v>
      </c>
      <c r="G4177" t="s">
        <v>30058</v>
      </c>
      <c r="H4177" t="s">
        <v>15498</v>
      </c>
      <c r="I4177" t="s">
        <v>3736</v>
      </c>
      <c r="J4177" t="s">
        <v>32918</v>
      </c>
      <c r="K4177" t="s">
        <v>39019</v>
      </c>
      <c r="M4177" t="s">
        <v>40816</v>
      </c>
      <c r="N4177" t="s">
        <v>43166</v>
      </c>
      <c r="O4177" t="s">
        <v>43167</v>
      </c>
      <c r="P4177">
        <v>0</v>
      </c>
      <c r="Q4177">
        <v>0</v>
      </c>
      <c r="R4177" t="s">
        <v>43171</v>
      </c>
      <c r="S4177" t="s">
        <v>43311</v>
      </c>
      <c r="T4177" t="s">
        <v>44830</v>
      </c>
      <c r="U4177" t="s">
        <v>48411</v>
      </c>
      <c r="W4177" t="s">
        <v>40816</v>
      </c>
      <c r="X4177" t="s">
        <v>43172</v>
      </c>
    </row>
    <row r="4178" spans="1:24">
      <c r="A4178">
        <f>HYPERLINK("https://www.philgeps.gov.ph/GEPSNONPILOT/Tender/SplashBidNoticeAbstractUI.aspx?menuIndex=3&amp;refID=7083655&amp;Result=3","7083655")</f>
        <v>0</v>
      </c>
      <c r="B4178" t="s">
        <v>1511</v>
      </c>
      <c r="C4178" t="s">
        <v>7398</v>
      </c>
      <c r="D4178" t="s">
        <v>17475</v>
      </c>
      <c r="E4178" t="s">
        <v>21136</v>
      </c>
      <c r="F4178" t="s">
        <v>30052</v>
      </c>
      <c r="G4178" t="s">
        <v>30058</v>
      </c>
      <c r="H4178" t="s">
        <v>15498</v>
      </c>
      <c r="I4178" t="s">
        <v>3736</v>
      </c>
      <c r="J4178" t="s">
        <v>32919</v>
      </c>
      <c r="K4178" t="s">
        <v>39046</v>
      </c>
      <c r="M4178" t="s">
        <v>40896</v>
      </c>
      <c r="N4178" t="s">
        <v>43166</v>
      </c>
      <c r="O4178" t="s">
        <v>43167</v>
      </c>
      <c r="P4178">
        <v>0</v>
      </c>
      <c r="Q4178">
        <v>0</v>
      </c>
      <c r="R4178" t="s">
        <v>43171</v>
      </c>
      <c r="S4178" t="s">
        <v>43311</v>
      </c>
      <c r="T4178" t="s">
        <v>44741</v>
      </c>
      <c r="U4178" t="s">
        <v>48586</v>
      </c>
      <c r="W4178" t="s">
        <v>40896</v>
      </c>
      <c r="X4178" t="s">
        <v>43172</v>
      </c>
    </row>
    <row r="4179" spans="1:24">
      <c r="A4179">
        <f>HYPERLINK("https://www.philgeps.gov.ph/GEPSNONPILOT/Tender/SplashBidNoticeAbstractUI.aspx?menuIndex=3&amp;refID=7083628&amp;Result=3","7083628")</f>
        <v>0</v>
      </c>
      <c r="B4179" t="s">
        <v>145</v>
      </c>
      <c r="C4179" t="s">
        <v>7399</v>
      </c>
      <c r="D4179" t="s">
        <v>17453</v>
      </c>
      <c r="E4179" t="s">
        <v>21137</v>
      </c>
      <c r="F4179" t="s">
        <v>30052</v>
      </c>
      <c r="G4179" t="s">
        <v>30059</v>
      </c>
      <c r="H4179" t="s">
        <v>15498</v>
      </c>
      <c r="I4179" t="s">
        <v>4598</v>
      </c>
      <c r="J4179" t="s">
        <v>30277</v>
      </c>
      <c r="K4179" t="s">
        <v>39029</v>
      </c>
      <c r="M4179" t="s">
        <v>40626</v>
      </c>
      <c r="N4179" t="s">
        <v>43166</v>
      </c>
      <c r="O4179" t="s">
        <v>43167</v>
      </c>
      <c r="P4179">
        <v>0</v>
      </c>
      <c r="Q4179">
        <v>5</v>
      </c>
      <c r="R4179" t="s">
        <v>43171</v>
      </c>
      <c r="S4179" t="s">
        <v>43311</v>
      </c>
      <c r="T4179" t="s">
        <v>44956</v>
      </c>
      <c r="U4179" t="s">
        <v>48008</v>
      </c>
      <c r="W4179" t="s">
        <v>58631</v>
      </c>
      <c r="X4179" t="s">
        <v>43172</v>
      </c>
    </row>
    <row r="4180" spans="1:24">
      <c r="A4180">
        <f>HYPERLINK("https://www.philgeps.gov.ph/GEPSNONPILOT/Tender/SplashBidNoticeAbstractUI.aspx?menuIndex=3&amp;refID=7083654&amp;Result=3","7083654")</f>
        <v>0</v>
      </c>
      <c r="B4180" t="s">
        <v>1512</v>
      </c>
      <c r="C4180" t="s">
        <v>7400</v>
      </c>
      <c r="D4180" t="s">
        <v>17465</v>
      </c>
      <c r="E4180" t="s">
        <v>21138</v>
      </c>
      <c r="F4180" t="s">
        <v>30052</v>
      </c>
      <c r="G4180" t="s">
        <v>30059</v>
      </c>
      <c r="H4180" t="s">
        <v>15498</v>
      </c>
      <c r="I4180" t="s">
        <v>30071</v>
      </c>
      <c r="J4180" t="s">
        <v>30226</v>
      </c>
      <c r="K4180" t="s">
        <v>39025</v>
      </c>
      <c r="M4180" t="s">
        <v>40897</v>
      </c>
      <c r="N4180" t="s">
        <v>43166</v>
      </c>
      <c r="O4180" t="s">
        <v>43167</v>
      </c>
      <c r="P4180">
        <v>0</v>
      </c>
      <c r="Q4180">
        <v>3</v>
      </c>
      <c r="R4180" t="s">
        <v>43171</v>
      </c>
      <c r="S4180" t="s">
        <v>43311</v>
      </c>
      <c r="T4180" t="s">
        <v>44733</v>
      </c>
      <c r="U4180" t="s">
        <v>48609</v>
      </c>
      <c r="W4180" t="s">
        <v>40897</v>
      </c>
      <c r="X4180" t="s">
        <v>43172</v>
      </c>
    </row>
    <row r="4181" spans="1:24">
      <c r="A4181">
        <f>HYPERLINK("https://www.philgeps.gov.ph/GEPSNONPILOT/Tender/SplashBidNoticeAbstractUI.aspx?menuIndex=3&amp;refID=7083634&amp;Result=3","7083634")</f>
        <v>0</v>
      </c>
      <c r="B4181" t="s">
        <v>1522</v>
      </c>
      <c r="C4181" t="s">
        <v>7401</v>
      </c>
      <c r="D4181" t="s">
        <v>17415</v>
      </c>
      <c r="E4181" t="s">
        <v>21139</v>
      </c>
      <c r="F4181" t="s">
        <v>30052</v>
      </c>
      <c r="G4181" t="s">
        <v>30062</v>
      </c>
      <c r="H4181" t="s">
        <v>15498</v>
      </c>
      <c r="I4181" t="s">
        <v>30171</v>
      </c>
      <c r="J4181" t="s">
        <v>32336</v>
      </c>
      <c r="K4181" t="s">
        <v>39019</v>
      </c>
      <c r="M4181" t="s">
        <v>40908</v>
      </c>
      <c r="N4181" t="s">
        <v>43166</v>
      </c>
      <c r="O4181" t="s">
        <v>43167</v>
      </c>
      <c r="P4181">
        <v>0</v>
      </c>
      <c r="Q4181">
        <v>5</v>
      </c>
      <c r="R4181" t="s">
        <v>43171</v>
      </c>
      <c r="S4181" t="s">
        <v>43311</v>
      </c>
      <c r="T4181" t="s">
        <v>44894</v>
      </c>
      <c r="U4181" t="s">
        <v>48621</v>
      </c>
      <c r="W4181" t="s">
        <v>40908</v>
      </c>
      <c r="X4181" t="s">
        <v>43172</v>
      </c>
    </row>
    <row r="4182" spans="1:24">
      <c r="A4182">
        <f>HYPERLINK("https://www.philgeps.gov.ph/GEPSNONPILOT/Tender/SplashBidNoticeAbstractUI.aspx?menuIndex=3&amp;refID=7083604&amp;Result=3","7083604")</f>
        <v>0</v>
      </c>
      <c r="B4182" t="s">
        <v>1432</v>
      </c>
      <c r="C4182" t="s">
        <v>7402</v>
      </c>
      <c r="D4182" t="s">
        <v>17417</v>
      </c>
      <c r="E4182" t="s">
        <v>21140</v>
      </c>
      <c r="F4182" t="s">
        <v>30052</v>
      </c>
      <c r="G4182" t="s">
        <v>30059</v>
      </c>
      <c r="H4182" t="s">
        <v>15498</v>
      </c>
      <c r="I4182" t="s">
        <v>30125</v>
      </c>
      <c r="J4182" t="s">
        <v>30299</v>
      </c>
      <c r="K4182" t="s">
        <v>39017</v>
      </c>
      <c r="M4182" t="s">
        <v>40810</v>
      </c>
      <c r="N4182" t="s">
        <v>43166</v>
      </c>
      <c r="O4182" t="s">
        <v>43167</v>
      </c>
      <c r="P4182">
        <v>0</v>
      </c>
      <c r="Q4182">
        <v>0</v>
      </c>
      <c r="R4182" t="s">
        <v>43171</v>
      </c>
      <c r="S4182" t="s">
        <v>43311</v>
      </c>
      <c r="T4182" t="s">
        <v>44987</v>
      </c>
      <c r="U4182" t="s">
        <v>48622</v>
      </c>
      <c r="W4182" t="s">
        <v>40810</v>
      </c>
      <c r="X4182" t="s">
        <v>43172</v>
      </c>
    </row>
    <row r="4183" spans="1:24">
      <c r="A4183">
        <f>HYPERLINK("https://www.philgeps.gov.ph/GEPSNONPILOT/Tender/SplashBidNoticeAbstractUI.aspx?menuIndex=3&amp;refID=7083647&amp;Result=3","7083647")</f>
        <v>0</v>
      </c>
      <c r="B4183" t="s">
        <v>145</v>
      </c>
      <c r="C4183" t="s">
        <v>7403</v>
      </c>
      <c r="D4183" t="s">
        <v>17453</v>
      </c>
      <c r="E4183" t="s">
        <v>21141</v>
      </c>
      <c r="F4183" t="s">
        <v>30052</v>
      </c>
      <c r="G4183" t="s">
        <v>30059</v>
      </c>
      <c r="H4183" t="s">
        <v>15498</v>
      </c>
      <c r="I4183" t="s">
        <v>4650</v>
      </c>
      <c r="J4183" t="s">
        <v>30256</v>
      </c>
      <c r="K4183" t="s">
        <v>39029</v>
      </c>
      <c r="M4183" t="s">
        <v>40626</v>
      </c>
      <c r="N4183" t="s">
        <v>43166</v>
      </c>
      <c r="O4183" t="s">
        <v>43167</v>
      </c>
      <c r="P4183">
        <v>0</v>
      </c>
      <c r="Q4183">
        <v>5</v>
      </c>
      <c r="R4183" t="s">
        <v>43171</v>
      </c>
      <c r="S4183" t="s">
        <v>43311</v>
      </c>
      <c r="T4183" t="s">
        <v>44956</v>
      </c>
      <c r="U4183" t="s">
        <v>48623</v>
      </c>
      <c r="W4183" t="s">
        <v>58631</v>
      </c>
      <c r="X4183" t="s">
        <v>43172</v>
      </c>
    </row>
    <row r="4184" spans="1:24">
      <c r="A4184">
        <f>HYPERLINK("https://www.philgeps.gov.ph/GEPSNONPILOT/Tender/SplashBidNoticeAbstractUI.aspx?menuIndex=3&amp;refID=7083643&amp;Result=3","7083643")</f>
        <v>0</v>
      </c>
      <c r="B4184" t="s">
        <v>409</v>
      </c>
      <c r="C4184" t="s">
        <v>7404</v>
      </c>
      <c r="D4184" t="s">
        <v>17473</v>
      </c>
      <c r="E4184" t="s">
        <v>21142</v>
      </c>
      <c r="F4184" t="s">
        <v>30052</v>
      </c>
      <c r="G4184" t="s">
        <v>30059</v>
      </c>
      <c r="H4184" t="s">
        <v>15498</v>
      </c>
      <c r="I4184" t="s">
        <v>30077</v>
      </c>
      <c r="J4184" t="s">
        <v>30256</v>
      </c>
      <c r="K4184" t="s">
        <v>39025</v>
      </c>
      <c r="M4184" t="s">
        <v>40032</v>
      </c>
      <c r="N4184" t="s">
        <v>43166</v>
      </c>
      <c r="O4184" t="s">
        <v>43167</v>
      </c>
      <c r="P4184">
        <v>0</v>
      </c>
      <c r="Q4184">
        <v>2</v>
      </c>
      <c r="R4184" t="s">
        <v>43171</v>
      </c>
      <c r="S4184" t="s">
        <v>43311</v>
      </c>
      <c r="T4184" t="s">
        <v>44737</v>
      </c>
      <c r="U4184" t="s">
        <v>48624</v>
      </c>
      <c r="W4184" t="s">
        <v>40032</v>
      </c>
      <c r="X4184" t="s">
        <v>43172</v>
      </c>
    </row>
    <row r="4185" spans="1:24">
      <c r="A4185">
        <f>HYPERLINK("https://www.philgeps.gov.ph/GEPSNONPILOT/Tender/SplashBidNoticeAbstractUI.aspx?menuIndex=3&amp;refID=7083640&amp;Result=3","7083640")</f>
        <v>0</v>
      </c>
      <c r="B4185" t="s">
        <v>1483</v>
      </c>
      <c r="C4185" t="s">
        <v>7405</v>
      </c>
      <c r="D4185" t="s">
        <v>17414</v>
      </c>
      <c r="E4185" t="s">
        <v>21143</v>
      </c>
      <c r="F4185" t="s">
        <v>30052</v>
      </c>
      <c r="G4185" t="s">
        <v>30058</v>
      </c>
      <c r="H4185" t="s">
        <v>30067</v>
      </c>
      <c r="I4185" t="s">
        <v>3693</v>
      </c>
      <c r="J4185" t="s">
        <v>32920</v>
      </c>
      <c r="K4185" t="s">
        <v>39031</v>
      </c>
      <c r="M4185" t="s">
        <v>40866</v>
      </c>
      <c r="N4185" t="s">
        <v>43166</v>
      </c>
      <c r="O4185" t="s">
        <v>43167</v>
      </c>
      <c r="P4185">
        <v>0</v>
      </c>
      <c r="Q4185">
        <v>0</v>
      </c>
      <c r="R4185" t="s">
        <v>43171</v>
      </c>
      <c r="S4185" t="s">
        <v>43311</v>
      </c>
      <c r="T4185" t="s">
        <v>44892</v>
      </c>
      <c r="U4185" t="s">
        <v>48625</v>
      </c>
      <c r="W4185" t="s">
        <v>40866</v>
      </c>
      <c r="X4185" t="s">
        <v>43172</v>
      </c>
    </row>
    <row r="4186" spans="1:24">
      <c r="A4186">
        <f>HYPERLINK("https://www.philgeps.gov.ph/GEPSNONPILOT/Tender/SplashBidNoticeAbstractUI.aspx?menuIndex=3&amp;refID=7083652&amp;Result=3","7083652")</f>
        <v>0</v>
      </c>
      <c r="B4186" t="s">
        <v>1162</v>
      </c>
      <c r="C4186" t="s">
        <v>7406</v>
      </c>
      <c r="D4186" t="s">
        <v>17472</v>
      </c>
      <c r="E4186" t="s">
        <v>7406</v>
      </c>
      <c r="F4186" t="s">
        <v>30052</v>
      </c>
      <c r="G4186" t="s">
        <v>30059</v>
      </c>
      <c r="H4186" t="s">
        <v>15498</v>
      </c>
      <c r="I4186" t="s">
        <v>30076</v>
      </c>
      <c r="J4186" t="s">
        <v>32921</v>
      </c>
      <c r="K4186" t="s">
        <v>39017</v>
      </c>
      <c r="M4186" t="s">
        <v>40894</v>
      </c>
      <c r="N4186" t="s">
        <v>43166</v>
      </c>
      <c r="O4186" t="s">
        <v>43167</v>
      </c>
      <c r="P4186">
        <v>0</v>
      </c>
      <c r="Q4186">
        <v>2</v>
      </c>
      <c r="R4186" t="s">
        <v>43171</v>
      </c>
      <c r="S4186" t="s">
        <v>43311</v>
      </c>
      <c r="T4186" t="s">
        <v>44715</v>
      </c>
      <c r="U4186" t="s">
        <v>48579</v>
      </c>
      <c r="W4186" t="s">
        <v>40894</v>
      </c>
      <c r="X4186" t="s">
        <v>43172</v>
      </c>
    </row>
    <row r="4187" spans="1:24">
      <c r="A4187">
        <f>HYPERLINK("https://www.philgeps.gov.ph/GEPSNONPILOT/Tender/SplashBidNoticeAbstractUI.aspx?menuIndex=3&amp;refID=7083639&amp;Result=3","7083639")</f>
        <v>0</v>
      </c>
      <c r="B4187" t="s">
        <v>1523</v>
      </c>
      <c r="C4187" t="s">
        <v>7407</v>
      </c>
      <c r="E4187" t="s">
        <v>21144</v>
      </c>
      <c r="F4187" t="s">
        <v>30052</v>
      </c>
      <c r="G4187" t="s">
        <v>30059</v>
      </c>
      <c r="H4187" t="s">
        <v>15498</v>
      </c>
      <c r="I4187" t="s">
        <v>30096</v>
      </c>
      <c r="J4187" t="s">
        <v>32922</v>
      </c>
      <c r="K4187" t="s">
        <v>39025</v>
      </c>
      <c r="M4187" t="s">
        <v>40909</v>
      </c>
      <c r="N4187" t="s">
        <v>43166</v>
      </c>
      <c r="O4187" t="s">
        <v>43167</v>
      </c>
      <c r="P4187">
        <v>0</v>
      </c>
      <c r="Q4187">
        <v>3</v>
      </c>
      <c r="R4187" t="s">
        <v>43171</v>
      </c>
      <c r="S4187" t="s">
        <v>43311</v>
      </c>
      <c r="T4187" t="s">
        <v>44773</v>
      </c>
      <c r="U4187" t="s">
        <v>48626</v>
      </c>
      <c r="W4187" t="s">
        <v>40909</v>
      </c>
      <c r="X4187" t="s">
        <v>43172</v>
      </c>
    </row>
    <row r="4188" spans="1:24">
      <c r="A4188">
        <f>HYPERLINK("https://www.philgeps.gov.ph/GEPSNONPILOT/Tender/SplashBidNoticeAbstractUI.aspx?menuIndex=3&amp;refID=7083637&amp;Result=3","7083637")</f>
        <v>0</v>
      </c>
      <c r="B4188" t="s">
        <v>1278</v>
      </c>
      <c r="C4188" t="s">
        <v>7408</v>
      </c>
      <c r="D4188" t="s">
        <v>17449</v>
      </c>
      <c r="E4188" t="s">
        <v>21145</v>
      </c>
      <c r="F4188" t="s">
        <v>30052</v>
      </c>
      <c r="G4188" t="s">
        <v>30059</v>
      </c>
      <c r="H4188" t="s">
        <v>15498</v>
      </c>
      <c r="I4188" t="s">
        <v>30094</v>
      </c>
      <c r="J4188" t="s">
        <v>32923</v>
      </c>
      <c r="K4188" t="s">
        <v>39017</v>
      </c>
      <c r="M4188" t="s">
        <v>40642</v>
      </c>
      <c r="N4188" t="s">
        <v>43166</v>
      </c>
      <c r="O4188" t="s">
        <v>43167</v>
      </c>
      <c r="P4188">
        <v>0</v>
      </c>
      <c r="Q4188">
        <v>0</v>
      </c>
      <c r="R4188" t="s">
        <v>43171</v>
      </c>
      <c r="S4188" t="s">
        <v>43311</v>
      </c>
      <c r="T4188" t="s">
        <v>44837</v>
      </c>
      <c r="U4188" t="s">
        <v>48627</v>
      </c>
      <c r="W4188" t="s">
        <v>40642</v>
      </c>
      <c r="X4188" t="s">
        <v>43172</v>
      </c>
    </row>
    <row r="4189" spans="1:24">
      <c r="A4189">
        <f>HYPERLINK("https://www.philgeps.gov.ph/GEPSNONPILOT/Tender/SplashBidNoticeAbstractUI.aspx?menuIndex=3&amp;refID=7083636&amp;Result=3","7083636")</f>
        <v>0</v>
      </c>
      <c r="B4189" t="s">
        <v>701</v>
      </c>
      <c r="C4189" t="s">
        <v>7409</v>
      </c>
      <c r="D4189" t="s">
        <v>17419</v>
      </c>
      <c r="E4189" t="s">
        <v>21146</v>
      </c>
      <c r="F4189" t="s">
        <v>30052</v>
      </c>
      <c r="G4189" t="s">
        <v>30059</v>
      </c>
      <c r="H4189" t="s">
        <v>15498</v>
      </c>
      <c r="I4189" t="s">
        <v>3736</v>
      </c>
      <c r="J4189" t="s">
        <v>32924</v>
      </c>
      <c r="K4189" t="s">
        <v>39025</v>
      </c>
      <c r="M4189" t="s">
        <v>40010</v>
      </c>
      <c r="N4189" t="s">
        <v>43166</v>
      </c>
      <c r="O4189" t="s">
        <v>43167</v>
      </c>
      <c r="P4189">
        <v>0</v>
      </c>
      <c r="Q4189">
        <v>0</v>
      </c>
      <c r="R4189" t="s">
        <v>43171</v>
      </c>
      <c r="S4189" t="s">
        <v>43311</v>
      </c>
      <c r="T4189" t="s">
        <v>44717</v>
      </c>
      <c r="U4189" t="s">
        <v>48628</v>
      </c>
      <c r="W4189" t="s">
        <v>40010</v>
      </c>
      <c r="X4189" t="s">
        <v>43172</v>
      </c>
    </row>
    <row r="4190" spans="1:24">
      <c r="A4190">
        <f>HYPERLINK("https://www.philgeps.gov.ph/GEPSNONPILOT/Tender/SplashBidNoticeAbstractUI.aspx?menuIndex=3&amp;refID=7083635&amp;Result=3","7083635")</f>
        <v>0</v>
      </c>
      <c r="B4190" t="s">
        <v>1490</v>
      </c>
      <c r="C4190" t="s">
        <v>4125</v>
      </c>
      <c r="D4190" t="s">
        <v>17465</v>
      </c>
      <c r="E4190" t="s">
        <v>21147</v>
      </c>
      <c r="F4190" t="s">
        <v>30052</v>
      </c>
      <c r="G4190" t="s">
        <v>30061</v>
      </c>
      <c r="H4190" t="s">
        <v>15498</v>
      </c>
      <c r="I4190" t="s">
        <v>30070</v>
      </c>
      <c r="J4190" t="s">
        <v>32925</v>
      </c>
      <c r="K4190" t="s">
        <v>39034</v>
      </c>
      <c r="M4190" t="s">
        <v>40874</v>
      </c>
      <c r="N4190" t="s">
        <v>43166</v>
      </c>
      <c r="O4190" t="s">
        <v>43167</v>
      </c>
      <c r="P4190">
        <v>0</v>
      </c>
      <c r="Q4190">
        <v>2</v>
      </c>
      <c r="R4190" t="s">
        <v>43171</v>
      </c>
      <c r="S4190" t="s">
        <v>43311</v>
      </c>
      <c r="T4190" t="s">
        <v>44843</v>
      </c>
      <c r="U4190" t="s">
        <v>45782</v>
      </c>
      <c r="W4190" t="s">
        <v>40874</v>
      </c>
      <c r="X4190" t="s">
        <v>43172</v>
      </c>
    </row>
    <row r="4191" spans="1:24">
      <c r="A4191">
        <f>HYPERLINK("https://www.philgeps.gov.ph/GEPSNONPILOT/Tender/SplashBidNoticeAbstractUI.aspx?menuIndex=3&amp;refID=7083646&amp;Result=3","7083646")</f>
        <v>0</v>
      </c>
      <c r="B4191" t="s">
        <v>1524</v>
      </c>
      <c r="C4191" t="s">
        <v>7410</v>
      </c>
      <c r="D4191" t="s">
        <v>17443</v>
      </c>
      <c r="E4191" t="s">
        <v>21148</v>
      </c>
      <c r="F4191" t="s">
        <v>30052</v>
      </c>
      <c r="G4191" t="s">
        <v>30058</v>
      </c>
      <c r="H4191" t="s">
        <v>15498</v>
      </c>
      <c r="I4191" t="s">
        <v>3736</v>
      </c>
      <c r="J4191" t="s">
        <v>32926</v>
      </c>
      <c r="K4191" t="s">
        <v>39019</v>
      </c>
      <c r="M4191" t="s">
        <v>40910</v>
      </c>
      <c r="N4191" t="s">
        <v>43166</v>
      </c>
      <c r="O4191" t="s">
        <v>43167</v>
      </c>
      <c r="P4191">
        <v>0</v>
      </c>
      <c r="Q4191">
        <v>0</v>
      </c>
      <c r="R4191" t="s">
        <v>43171</v>
      </c>
      <c r="S4191" t="s">
        <v>43311</v>
      </c>
      <c r="T4191" t="s">
        <v>44806</v>
      </c>
      <c r="U4191" t="s">
        <v>48629</v>
      </c>
      <c r="W4191" t="s">
        <v>40910</v>
      </c>
      <c r="X4191" t="s">
        <v>43172</v>
      </c>
    </row>
    <row r="4192" spans="1:24">
      <c r="A4192">
        <f>HYPERLINK("https://www.philgeps.gov.ph/GEPSNONPILOT/Tender/SplashBidNoticeAbstractUI.aspx?menuIndex=3&amp;refID=7083632&amp;Result=3","7083632")</f>
        <v>0</v>
      </c>
      <c r="B4192" t="s">
        <v>1525</v>
      </c>
      <c r="C4192" t="s">
        <v>7411</v>
      </c>
      <c r="D4192" t="s">
        <v>17434</v>
      </c>
      <c r="E4192" t="s">
        <v>21149</v>
      </c>
      <c r="F4192" t="s">
        <v>30052</v>
      </c>
      <c r="G4192" t="s">
        <v>30058</v>
      </c>
      <c r="H4192" t="s">
        <v>15498</v>
      </c>
      <c r="I4192" t="s">
        <v>30074</v>
      </c>
      <c r="J4192" t="s">
        <v>32927</v>
      </c>
      <c r="K4192" t="s">
        <v>39025</v>
      </c>
      <c r="M4192" t="s">
        <v>40911</v>
      </c>
      <c r="N4192" t="s">
        <v>43166</v>
      </c>
      <c r="O4192" t="s">
        <v>43167</v>
      </c>
      <c r="P4192">
        <v>0</v>
      </c>
      <c r="Q4192">
        <v>7</v>
      </c>
      <c r="R4192" t="s">
        <v>43171</v>
      </c>
      <c r="S4192" t="s">
        <v>43311</v>
      </c>
      <c r="T4192" t="s">
        <v>44988</v>
      </c>
      <c r="U4192" t="s">
        <v>48630</v>
      </c>
      <c r="W4192" t="s">
        <v>40911</v>
      </c>
      <c r="X4192" t="s">
        <v>43172</v>
      </c>
    </row>
    <row r="4193" spans="1:24">
      <c r="A4193">
        <f>HYPERLINK("https://www.philgeps.gov.ph/GEPSNONPILOT/Tender/SplashBidNoticeAbstractUI.aspx?menuIndex=3&amp;refID=7083641&amp;Result=3","7083641")</f>
        <v>0</v>
      </c>
      <c r="B4193" t="s">
        <v>1000</v>
      </c>
      <c r="C4193" t="s">
        <v>7412</v>
      </c>
      <c r="D4193" t="s">
        <v>17422</v>
      </c>
      <c r="E4193" t="s">
        <v>21150</v>
      </c>
      <c r="F4193" t="s">
        <v>30052</v>
      </c>
      <c r="G4193" t="s">
        <v>30058</v>
      </c>
      <c r="H4193" t="s">
        <v>15498</v>
      </c>
      <c r="I4193" t="s">
        <v>30130</v>
      </c>
      <c r="J4193" t="s">
        <v>30230</v>
      </c>
      <c r="K4193" t="s">
        <v>39064</v>
      </c>
      <c r="M4193" t="s">
        <v>40541</v>
      </c>
      <c r="N4193" t="s">
        <v>43166</v>
      </c>
      <c r="O4193" t="s">
        <v>43167</v>
      </c>
      <c r="P4193">
        <v>0</v>
      </c>
      <c r="Q4193">
        <v>1</v>
      </c>
      <c r="R4193" t="s">
        <v>43171</v>
      </c>
      <c r="S4193" t="s">
        <v>43311</v>
      </c>
      <c r="T4193" t="s">
        <v>44752</v>
      </c>
      <c r="U4193" t="s">
        <v>48631</v>
      </c>
      <c r="V4193" t="s">
        <v>57200</v>
      </c>
      <c r="W4193" t="s">
        <v>40541</v>
      </c>
      <c r="X4193" t="s">
        <v>43172</v>
      </c>
    </row>
    <row r="4194" spans="1:24">
      <c r="A4194">
        <f>HYPERLINK("https://www.philgeps.gov.ph/GEPSNONPILOT/Tender/SplashBidNoticeAbstractUI.aspx?menuIndex=3&amp;refID=7083105&amp;Result=3","7083105")</f>
        <v>0</v>
      </c>
      <c r="B4194" t="s">
        <v>997</v>
      </c>
      <c r="C4194" t="s">
        <v>7413</v>
      </c>
      <c r="D4194" t="s">
        <v>17421</v>
      </c>
      <c r="E4194" t="s">
        <v>21151</v>
      </c>
      <c r="F4194" t="s">
        <v>30052</v>
      </c>
      <c r="G4194" t="s">
        <v>30059</v>
      </c>
      <c r="H4194" t="s">
        <v>15498</v>
      </c>
      <c r="I4194" t="s">
        <v>6691</v>
      </c>
      <c r="J4194" t="s">
        <v>31388</v>
      </c>
      <c r="K4194" t="s">
        <v>39018</v>
      </c>
      <c r="M4194" t="s">
        <v>40325</v>
      </c>
      <c r="N4194" t="s">
        <v>43166</v>
      </c>
      <c r="O4194" t="s">
        <v>43167</v>
      </c>
      <c r="P4194">
        <v>0</v>
      </c>
      <c r="Q4194">
        <v>1</v>
      </c>
      <c r="R4194" t="s">
        <v>43171</v>
      </c>
      <c r="S4194" t="s">
        <v>43311</v>
      </c>
      <c r="T4194" t="s">
        <v>44837</v>
      </c>
      <c r="U4194" t="s">
        <v>48632</v>
      </c>
      <c r="W4194" t="s">
        <v>40325</v>
      </c>
      <c r="X4194" t="s">
        <v>43172</v>
      </c>
    </row>
    <row r="4195" spans="1:24">
      <c r="A4195">
        <f>HYPERLINK("https://www.philgeps.gov.ph/GEPSNONPILOT/Tender/SplashBidNoticeAbstractUI.aspx?menuIndex=3&amp;refID=7083104&amp;Result=3","7083104")</f>
        <v>0</v>
      </c>
      <c r="B4195" t="s">
        <v>1428</v>
      </c>
      <c r="C4195" t="s">
        <v>7414</v>
      </c>
      <c r="D4195" t="s">
        <v>17463</v>
      </c>
      <c r="E4195" t="s">
        <v>21152</v>
      </c>
      <c r="F4195" t="s">
        <v>30052</v>
      </c>
      <c r="G4195" t="s">
        <v>30058</v>
      </c>
      <c r="H4195" t="s">
        <v>15498</v>
      </c>
      <c r="I4195" t="s">
        <v>30070</v>
      </c>
      <c r="J4195" t="s">
        <v>32928</v>
      </c>
      <c r="K4195" t="s">
        <v>39034</v>
      </c>
      <c r="M4195" t="s">
        <v>40806</v>
      </c>
      <c r="N4195" t="s">
        <v>43166</v>
      </c>
      <c r="O4195" t="s">
        <v>43167</v>
      </c>
      <c r="P4195">
        <v>0</v>
      </c>
      <c r="Q4195">
        <v>0</v>
      </c>
      <c r="R4195" t="s">
        <v>43171</v>
      </c>
      <c r="S4195" t="s">
        <v>43311</v>
      </c>
      <c r="T4195" t="s">
        <v>44700</v>
      </c>
      <c r="U4195" t="s">
        <v>45217</v>
      </c>
      <c r="W4195" t="s">
        <v>40806</v>
      </c>
      <c r="X4195" t="s">
        <v>43172</v>
      </c>
    </row>
    <row r="4196" spans="1:24">
      <c r="A4196">
        <f>HYPERLINK("https://www.philgeps.gov.ph/GEPSNONPILOT/Tender/SplashBidNoticeAbstractUI.aspx?menuIndex=3&amp;refID=7083100&amp;Result=3","7083100")</f>
        <v>0</v>
      </c>
      <c r="B4196" t="s">
        <v>1453</v>
      </c>
      <c r="C4196" t="s">
        <v>7415</v>
      </c>
      <c r="D4196" t="s">
        <v>17419</v>
      </c>
      <c r="E4196" t="s">
        <v>21153</v>
      </c>
      <c r="F4196" t="s">
        <v>30052</v>
      </c>
      <c r="G4196" t="s">
        <v>30061</v>
      </c>
      <c r="H4196" t="s">
        <v>15498</v>
      </c>
      <c r="I4196" t="s">
        <v>30141</v>
      </c>
      <c r="J4196" t="s">
        <v>31196</v>
      </c>
      <c r="K4196" t="s">
        <v>39025</v>
      </c>
      <c r="M4196" t="s">
        <v>40832</v>
      </c>
      <c r="N4196" t="s">
        <v>43166</v>
      </c>
      <c r="O4196" t="s">
        <v>43167</v>
      </c>
      <c r="P4196">
        <v>0</v>
      </c>
      <c r="Q4196">
        <v>0</v>
      </c>
      <c r="R4196" t="s">
        <v>43171</v>
      </c>
      <c r="S4196" t="s">
        <v>43311</v>
      </c>
      <c r="T4196" t="s">
        <v>44777</v>
      </c>
      <c r="U4196" t="s">
        <v>48633</v>
      </c>
      <c r="W4196" t="s">
        <v>40832</v>
      </c>
      <c r="X4196" t="s">
        <v>43172</v>
      </c>
    </row>
    <row r="4197" spans="1:24">
      <c r="A4197">
        <f>HYPERLINK("https://www.philgeps.gov.ph/GEPSNONPILOT/Tender/SplashBidNoticeAbstractUI.aspx?menuIndex=3&amp;refID=7083686&amp;Result=3","7083686")</f>
        <v>0</v>
      </c>
      <c r="B4197" t="s">
        <v>1209</v>
      </c>
      <c r="C4197" t="s">
        <v>7416</v>
      </c>
      <c r="D4197" t="s">
        <v>17454</v>
      </c>
      <c r="E4197" t="s">
        <v>21154</v>
      </c>
      <c r="F4197" t="s">
        <v>30055</v>
      </c>
      <c r="G4197" t="s">
        <v>30058</v>
      </c>
      <c r="H4197" t="s">
        <v>15498</v>
      </c>
      <c r="I4197" t="s">
        <v>3736</v>
      </c>
      <c r="J4197" t="s">
        <v>32929</v>
      </c>
      <c r="K4197" t="s">
        <v>39034</v>
      </c>
      <c r="M4197" t="s">
        <v>40563</v>
      </c>
      <c r="N4197" t="s">
        <v>43166</v>
      </c>
      <c r="O4197" t="s">
        <v>43167</v>
      </c>
      <c r="P4197">
        <v>0</v>
      </c>
      <c r="Q4197">
        <v>0</v>
      </c>
      <c r="R4197" t="s">
        <v>43171</v>
      </c>
      <c r="S4197" t="s">
        <v>43311</v>
      </c>
      <c r="T4197" t="s">
        <v>44722</v>
      </c>
      <c r="U4197" t="s">
        <v>48634</v>
      </c>
      <c r="W4197" t="s">
        <v>40563</v>
      </c>
      <c r="X4197" t="s">
        <v>43172</v>
      </c>
    </row>
    <row r="4198" spans="1:24">
      <c r="A4198">
        <f>HYPERLINK("https://www.philgeps.gov.ph/GEPSNONPILOT/Tender/SplashBidNoticeAbstractUI.aspx?menuIndex=3&amp;refID=7083650&amp;Result=3","7083650")</f>
        <v>0</v>
      </c>
      <c r="B4198" t="s">
        <v>1457</v>
      </c>
      <c r="C4198" t="s">
        <v>7417</v>
      </c>
      <c r="D4198" t="s">
        <v>17436</v>
      </c>
      <c r="E4198" t="s">
        <v>21155</v>
      </c>
      <c r="F4198" t="s">
        <v>30052</v>
      </c>
      <c r="G4198" t="s">
        <v>30058</v>
      </c>
      <c r="H4198" t="s">
        <v>30067</v>
      </c>
      <c r="I4198" t="s">
        <v>3693</v>
      </c>
      <c r="J4198" t="s">
        <v>32930</v>
      </c>
      <c r="K4198" t="s">
        <v>39023</v>
      </c>
      <c r="M4198" t="s">
        <v>40837</v>
      </c>
      <c r="N4198" t="s">
        <v>43166</v>
      </c>
      <c r="O4198" t="s">
        <v>43167</v>
      </c>
      <c r="P4198">
        <v>0</v>
      </c>
      <c r="Q4198">
        <v>0</v>
      </c>
      <c r="R4198" t="s">
        <v>43171</v>
      </c>
      <c r="S4198" t="s">
        <v>43311</v>
      </c>
      <c r="T4198" t="s">
        <v>44828</v>
      </c>
      <c r="U4198" t="s">
        <v>48635</v>
      </c>
      <c r="V4198" t="s">
        <v>57285</v>
      </c>
      <c r="W4198" t="s">
        <v>40837</v>
      </c>
      <c r="X4198" t="s">
        <v>43172</v>
      </c>
    </row>
    <row r="4199" spans="1:24">
      <c r="A4199">
        <f>HYPERLINK("https://www.philgeps.gov.ph/GEPSNONPILOT/Tender/SplashBidNoticeAbstractUI.aspx?menuIndex=3&amp;refID=7083633&amp;Result=3","7083633")</f>
        <v>0</v>
      </c>
      <c r="B4199" t="s">
        <v>1526</v>
      </c>
      <c r="C4199" t="s">
        <v>7418</v>
      </c>
      <c r="D4199" t="s">
        <v>17413</v>
      </c>
      <c r="E4199" t="s">
        <v>21156</v>
      </c>
      <c r="F4199" t="s">
        <v>30052</v>
      </c>
      <c r="G4199" t="s">
        <v>30062</v>
      </c>
      <c r="H4199" t="s">
        <v>15498</v>
      </c>
      <c r="I4199" t="s">
        <v>30096</v>
      </c>
      <c r="J4199" t="s">
        <v>30277</v>
      </c>
      <c r="K4199" t="s">
        <v>39064</v>
      </c>
      <c r="M4199" t="s">
        <v>40912</v>
      </c>
      <c r="N4199" t="s">
        <v>43166</v>
      </c>
      <c r="O4199" t="s">
        <v>43167</v>
      </c>
      <c r="P4199">
        <v>0</v>
      </c>
      <c r="Q4199">
        <v>2</v>
      </c>
      <c r="R4199" t="s">
        <v>43171</v>
      </c>
      <c r="S4199" t="s">
        <v>43311</v>
      </c>
      <c r="T4199" t="s">
        <v>44777</v>
      </c>
      <c r="U4199" t="s">
        <v>48636</v>
      </c>
      <c r="W4199" t="s">
        <v>40912</v>
      </c>
      <c r="X4199" t="s">
        <v>43172</v>
      </c>
    </row>
    <row r="4200" spans="1:24">
      <c r="A4200">
        <f>HYPERLINK("https://www.philgeps.gov.ph/GEPSNONPILOT/Tender/SplashBidNoticeAbstractUI.aspx?menuIndex=3&amp;refID=7083703&amp;Result=3","7083703")</f>
        <v>0</v>
      </c>
      <c r="B4200" t="s">
        <v>1527</v>
      </c>
      <c r="C4200" t="s">
        <v>7419</v>
      </c>
      <c r="E4200" t="s">
        <v>21157</v>
      </c>
      <c r="F4200" t="s">
        <v>30052</v>
      </c>
      <c r="G4200" t="s">
        <v>30058</v>
      </c>
      <c r="H4200" t="s">
        <v>30067</v>
      </c>
      <c r="I4200" t="s">
        <v>3693</v>
      </c>
      <c r="J4200" t="s">
        <v>32931</v>
      </c>
      <c r="K4200" t="s">
        <v>39025</v>
      </c>
      <c r="M4200" t="s">
        <v>40913</v>
      </c>
      <c r="N4200" t="s">
        <v>43166</v>
      </c>
      <c r="O4200" t="s">
        <v>43167</v>
      </c>
      <c r="P4200">
        <v>0</v>
      </c>
      <c r="Q4200">
        <v>0</v>
      </c>
      <c r="R4200" t="s">
        <v>43171</v>
      </c>
      <c r="S4200" t="s">
        <v>43311</v>
      </c>
      <c r="T4200" t="s">
        <v>44722</v>
      </c>
      <c r="U4200" t="s">
        <v>48637</v>
      </c>
      <c r="W4200" t="s">
        <v>58643</v>
      </c>
      <c r="X4200" t="s">
        <v>43172</v>
      </c>
    </row>
    <row r="4201" spans="1:24">
      <c r="A4201">
        <f>HYPERLINK("https://www.philgeps.gov.ph/GEPSNONPILOT/Tender/SplashBidNoticeAbstractUI.aspx?menuIndex=3&amp;refID=7083659&amp;Result=3","7083659")</f>
        <v>0</v>
      </c>
      <c r="B4201" t="s">
        <v>965</v>
      </c>
      <c r="C4201" t="s">
        <v>7295</v>
      </c>
      <c r="D4201" t="s">
        <v>17466</v>
      </c>
      <c r="E4201" t="s">
        <v>21158</v>
      </c>
      <c r="F4201" t="s">
        <v>30055</v>
      </c>
      <c r="G4201" t="s">
        <v>30059</v>
      </c>
      <c r="H4201" t="s">
        <v>15498</v>
      </c>
      <c r="I4201" t="s">
        <v>30076</v>
      </c>
      <c r="J4201" t="s">
        <v>32846</v>
      </c>
      <c r="K4201" t="s">
        <v>39017</v>
      </c>
      <c r="M4201" t="s">
        <v>40291</v>
      </c>
      <c r="N4201" t="s">
        <v>43166</v>
      </c>
      <c r="O4201" t="s">
        <v>43167</v>
      </c>
      <c r="P4201">
        <v>0</v>
      </c>
      <c r="Q4201">
        <v>0</v>
      </c>
      <c r="R4201" t="s">
        <v>43171</v>
      </c>
      <c r="S4201" t="s">
        <v>43311</v>
      </c>
      <c r="T4201" t="s">
        <v>44715</v>
      </c>
      <c r="U4201" t="s">
        <v>48538</v>
      </c>
      <c r="W4201" t="s">
        <v>40291</v>
      </c>
      <c r="X4201" t="s">
        <v>43172</v>
      </c>
    </row>
    <row r="4202" spans="1:24">
      <c r="A4202">
        <f>HYPERLINK("https://www.philgeps.gov.ph/GEPSNONPILOT/Tender/SplashBidNoticeAbstractUI.aspx?menuIndex=3&amp;refID=7083107&amp;Result=3","7083107")</f>
        <v>0</v>
      </c>
      <c r="B4202" t="s">
        <v>1528</v>
      </c>
      <c r="C4202" t="s">
        <v>7420</v>
      </c>
      <c r="D4202" t="s">
        <v>17455</v>
      </c>
      <c r="E4202" t="s">
        <v>21159</v>
      </c>
      <c r="F4202" t="s">
        <v>30052</v>
      </c>
      <c r="G4202" t="s">
        <v>30059</v>
      </c>
      <c r="H4202" t="s">
        <v>15498</v>
      </c>
      <c r="I4202" t="s">
        <v>30124</v>
      </c>
      <c r="J4202" t="s">
        <v>30235</v>
      </c>
      <c r="K4202" t="s">
        <v>39019</v>
      </c>
      <c r="M4202" t="s">
        <v>40914</v>
      </c>
      <c r="N4202" t="s">
        <v>43166</v>
      </c>
      <c r="O4202" t="s">
        <v>43167</v>
      </c>
      <c r="P4202">
        <v>0</v>
      </c>
      <c r="Q4202">
        <v>7</v>
      </c>
      <c r="R4202" t="s">
        <v>43171</v>
      </c>
      <c r="S4202" t="s">
        <v>43311</v>
      </c>
      <c r="T4202" t="s">
        <v>44698</v>
      </c>
      <c r="U4202" t="s">
        <v>46812</v>
      </c>
      <c r="W4202" t="s">
        <v>40914</v>
      </c>
      <c r="X4202" t="s">
        <v>43172</v>
      </c>
    </row>
    <row r="4203" spans="1:24">
      <c r="A4203">
        <f>HYPERLINK("https://www.philgeps.gov.ph/GEPSNONPILOT/Tender/SplashBidNoticeAbstractUI.aspx?menuIndex=3&amp;refID=7083692&amp;Result=3","7083692")</f>
        <v>0</v>
      </c>
      <c r="B4203" t="s">
        <v>1529</v>
      </c>
      <c r="C4203" t="s">
        <v>7421</v>
      </c>
      <c r="D4203" t="s">
        <v>17460</v>
      </c>
      <c r="E4203" t="s">
        <v>21160</v>
      </c>
      <c r="F4203" t="s">
        <v>30052</v>
      </c>
      <c r="G4203" t="s">
        <v>30059</v>
      </c>
      <c r="H4203" t="s">
        <v>15498</v>
      </c>
      <c r="I4203" t="s">
        <v>30096</v>
      </c>
      <c r="J4203" t="s">
        <v>30277</v>
      </c>
      <c r="K4203" t="s">
        <v>39019</v>
      </c>
      <c r="M4203" t="s">
        <v>40915</v>
      </c>
      <c r="N4203" t="s">
        <v>43166</v>
      </c>
      <c r="O4203" t="s">
        <v>43167</v>
      </c>
      <c r="P4203">
        <v>0</v>
      </c>
      <c r="Q4203">
        <v>1</v>
      </c>
      <c r="R4203" t="s">
        <v>43171</v>
      </c>
      <c r="S4203" t="s">
        <v>43311</v>
      </c>
      <c r="T4203" t="s">
        <v>44773</v>
      </c>
      <c r="U4203" t="s">
        <v>48638</v>
      </c>
      <c r="V4203" t="s">
        <v>57296</v>
      </c>
      <c r="W4203" t="s">
        <v>40915</v>
      </c>
      <c r="X4203" t="s">
        <v>43172</v>
      </c>
    </row>
    <row r="4204" spans="1:24">
      <c r="A4204">
        <f>HYPERLINK("https://www.philgeps.gov.ph/GEPSNONPILOT/Tender/SplashBidNoticeAbstractUI.aspx?menuIndex=3&amp;refID=7083685&amp;Result=3","7083685")</f>
        <v>0</v>
      </c>
      <c r="B4204" t="s">
        <v>521</v>
      </c>
      <c r="C4204" t="s">
        <v>7422</v>
      </c>
      <c r="D4204" t="s">
        <v>17415</v>
      </c>
      <c r="E4204" t="s">
        <v>21161</v>
      </c>
      <c r="F4204" t="s">
        <v>30052</v>
      </c>
      <c r="G4204" t="s">
        <v>30061</v>
      </c>
      <c r="H4204" t="s">
        <v>15498</v>
      </c>
      <c r="I4204" t="s">
        <v>9238</v>
      </c>
      <c r="J4204" t="s">
        <v>32932</v>
      </c>
      <c r="K4204" t="s">
        <v>39019</v>
      </c>
      <c r="M4204" t="s">
        <v>39823</v>
      </c>
      <c r="N4204" t="s">
        <v>43166</v>
      </c>
      <c r="O4204" t="s">
        <v>43167</v>
      </c>
      <c r="P4204">
        <v>0</v>
      </c>
      <c r="Q4204">
        <v>11</v>
      </c>
      <c r="R4204" t="s">
        <v>43171</v>
      </c>
      <c r="S4204" t="s">
        <v>43311</v>
      </c>
      <c r="T4204" t="s">
        <v>44856</v>
      </c>
      <c r="U4204" t="s">
        <v>48639</v>
      </c>
      <c r="V4204" t="s">
        <v>56959</v>
      </c>
      <c r="W4204" t="s">
        <v>58603</v>
      </c>
      <c r="X4204" t="s">
        <v>43172</v>
      </c>
    </row>
    <row r="4205" spans="1:24">
      <c r="A4205">
        <f>HYPERLINK("https://www.philgeps.gov.ph/GEPSNONPILOT/Tender/SplashBidNoticeAbstractUI.aspx?menuIndex=3&amp;refID=7083638&amp;Result=3","7083638")</f>
        <v>0</v>
      </c>
      <c r="B4205" t="s">
        <v>1494</v>
      </c>
      <c r="C4205" t="s">
        <v>7423</v>
      </c>
      <c r="D4205" t="s">
        <v>17437</v>
      </c>
      <c r="E4205" t="s">
        <v>21162</v>
      </c>
      <c r="F4205" t="s">
        <v>30052</v>
      </c>
      <c r="G4205" t="s">
        <v>30058</v>
      </c>
      <c r="H4205" t="s">
        <v>15498</v>
      </c>
      <c r="I4205" t="s">
        <v>5961</v>
      </c>
      <c r="J4205" t="s">
        <v>32933</v>
      </c>
      <c r="K4205" t="s">
        <v>39019</v>
      </c>
      <c r="M4205" t="s">
        <v>40878</v>
      </c>
      <c r="N4205" t="s">
        <v>43166</v>
      </c>
      <c r="O4205" t="s">
        <v>43167</v>
      </c>
      <c r="P4205">
        <v>0</v>
      </c>
      <c r="Q4205">
        <v>0</v>
      </c>
      <c r="R4205" t="s">
        <v>43171</v>
      </c>
      <c r="S4205" t="s">
        <v>43311</v>
      </c>
      <c r="T4205" t="s">
        <v>44791</v>
      </c>
      <c r="U4205" t="s">
        <v>48640</v>
      </c>
      <c r="W4205" t="s">
        <v>40878</v>
      </c>
      <c r="X4205" t="s">
        <v>43172</v>
      </c>
    </row>
    <row r="4206" spans="1:24">
      <c r="A4206">
        <f>HYPERLINK("https://www.philgeps.gov.ph/GEPSNONPILOT/Tender/SplashBidNoticeAbstractUI.aspx?menuIndex=3&amp;refID=7083680&amp;Result=3","7083680")</f>
        <v>0</v>
      </c>
      <c r="B4206" t="s">
        <v>620</v>
      </c>
      <c r="C4206" t="s">
        <v>7424</v>
      </c>
      <c r="D4206" t="s">
        <v>17427</v>
      </c>
      <c r="E4206" t="s">
        <v>21163</v>
      </c>
      <c r="F4206" t="s">
        <v>30052</v>
      </c>
      <c r="G4206" t="s">
        <v>30059</v>
      </c>
      <c r="H4206" t="s">
        <v>15498</v>
      </c>
      <c r="I4206" t="s">
        <v>30088</v>
      </c>
      <c r="J4206" t="s">
        <v>32566</v>
      </c>
      <c r="K4206" t="s">
        <v>39017</v>
      </c>
      <c r="M4206" t="s">
        <v>39923</v>
      </c>
      <c r="N4206" t="s">
        <v>43166</v>
      </c>
      <c r="O4206" t="s">
        <v>43167</v>
      </c>
      <c r="P4206">
        <v>0</v>
      </c>
      <c r="Q4206">
        <v>2</v>
      </c>
      <c r="R4206" t="s">
        <v>43171</v>
      </c>
      <c r="S4206" t="s">
        <v>43311</v>
      </c>
      <c r="T4206" t="s">
        <v>44732</v>
      </c>
      <c r="U4206" t="s">
        <v>48641</v>
      </c>
      <c r="V4206" t="s">
        <v>57209</v>
      </c>
      <c r="W4206" t="s">
        <v>39923</v>
      </c>
      <c r="X4206" t="s">
        <v>43172</v>
      </c>
    </row>
    <row r="4207" spans="1:24">
      <c r="A4207">
        <f>HYPERLINK("https://www.philgeps.gov.ph/GEPSNONPILOT/Tender/SplashBidNoticeAbstractUI.aspx?menuIndex=3&amp;refID=7083679&amp;Result=3","7083679")</f>
        <v>0</v>
      </c>
      <c r="B4207" t="s">
        <v>1483</v>
      </c>
      <c r="C4207" t="s">
        <v>7425</v>
      </c>
      <c r="D4207" t="s">
        <v>17414</v>
      </c>
      <c r="E4207" t="s">
        <v>21164</v>
      </c>
      <c r="F4207" t="s">
        <v>30052</v>
      </c>
      <c r="G4207" t="s">
        <v>30058</v>
      </c>
      <c r="H4207" t="s">
        <v>30067</v>
      </c>
      <c r="I4207" t="s">
        <v>3693</v>
      </c>
      <c r="J4207" t="s">
        <v>32847</v>
      </c>
      <c r="K4207" t="s">
        <v>39031</v>
      </c>
      <c r="M4207" t="s">
        <v>40866</v>
      </c>
      <c r="N4207" t="s">
        <v>43166</v>
      </c>
      <c r="O4207" t="s">
        <v>43167</v>
      </c>
      <c r="P4207">
        <v>0</v>
      </c>
      <c r="Q4207">
        <v>0</v>
      </c>
      <c r="R4207" t="s">
        <v>43171</v>
      </c>
      <c r="S4207" t="s">
        <v>43311</v>
      </c>
      <c r="T4207" t="s">
        <v>44892</v>
      </c>
      <c r="U4207" t="s">
        <v>48539</v>
      </c>
      <c r="W4207" t="s">
        <v>40866</v>
      </c>
      <c r="X4207" t="s">
        <v>43172</v>
      </c>
    </row>
    <row r="4208" spans="1:24">
      <c r="A4208">
        <f>HYPERLINK("https://www.philgeps.gov.ph/GEPSNONPILOT/Tender/SplashBidNoticeAbstractUI.aspx?menuIndex=3&amp;refID=7083699&amp;Result=3","7083699")</f>
        <v>0</v>
      </c>
      <c r="B4208" t="s">
        <v>1530</v>
      </c>
      <c r="C4208" t="s">
        <v>7426</v>
      </c>
      <c r="D4208" t="s">
        <v>17415</v>
      </c>
      <c r="E4208" t="s">
        <v>21165</v>
      </c>
      <c r="F4208" t="s">
        <v>30052</v>
      </c>
      <c r="G4208" t="s">
        <v>30059</v>
      </c>
      <c r="H4208" t="s">
        <v>15498</v>
      </c>
      <c r="I4208" t="s">
        <v>30128</v>
      </c>
      <c r="J4208" t="s">
        <v>30890</v>
      </c>
      <c r="K4208" t="s">
        <v>39017</v>
      </c>
      <c r="M4208" t="s">
        <v>40916</v>
      </c>
      <c r="N4208" t="s">
        <v>43166</v>
      </c>
      <c r="O4208" t="s">
        <v>43167</v>
      </c>
      <c r="P4208">
        <v>0</v>
      </c>
      <c r="Q4208">
        <v>5</v>
      </c>
      <c r="R4208" t="s">
        <v>43171</v>
      </c>
      <c r="S4208" t="s">
        <v>43311</v>
      </c>
      <c r="T4208" t="s">
        <v>44719</v>
      </c>
      <c r="U4208" t="s">
        <v>48642</v>
      </c>
      <c r="V4208" t="s">
        <v>57297</v>
      </c>
      <c r="W4208" t="s">
        <v>40916</v>
      </c>
      <c r="X4208" t="s">
        <v>43172</v>
      </c>
    </row>
    <row r="4209" spans="1:24">
      <c r="A4209">
        <f>HYPERLINK("https://www.philgeps.gov.ph/GEPSNONPILOT/Tender/SplashBidNoticeAbstractUI.aspx?menuIndex=3&amp;refID=7083678&amp;Result=3","7083678")</f>
        <v>0</v>
      </c>
      <c r="B4209" t="s">
        <v>1428</v>
      </c>
      <c r="C4209" t="s">
        <v>7427</v>
      </c>
      <c r="D4209" t="s">
        <v>17463</v>
      </c>
      <c r="E4209" t="s">
        <v>21166</v>
      </c>
      <c r="F4209" t="s">
        <v>30052</v>
      </c>
      <c r="G4209" t="s">
        <v>30058</v>
      </c>
      <c r="H4209" t="s">
        <v>15498</v>
      </c>
      <c r="I4209" t="s">
        <v>30096</v>
      </c>
      <c r="J4209" t="s">
        <v>32934</v>
      </c>
      <c r="K4209" t="s">
        <v>39034</v>
      </c>
      <c r="M4209" t="s">
        <v>40806</v>
      </c>
      <c r="N4209" t="s">
        <v>43166</v>
      </c>
      <c r="O4209" t="s">
        <v>43167</v>
      </c>
      <c r="P4209">
        <v>0</v>
      </c>
      <c r="Q4209">
        <v>2</v>
      </c>
      <c r="R4209" t="s">
        <v>43171</v>
      </c>
      <c r="S4209" t="s">
        <v>43311</v>
      </c>
      <c r="T4209" t="s">
        <v>44700</v>
      </c>
      <c r="U4209" t="s">
        <v>46715</v>
      </c>
      <c r="W4209" t="s">
        <v>40806</v>
      </c>
      <c r="X4209" t="s">
        <v>43172</v>
      </c>
    </row>
    <row r="4210" spans="1:24">
      <c r="A4210">
        <f>HYPERLINK("https://www.philgeps.gov.ph/GEPSNONPILOT/Tender/SplashBidNoticeAbstractUI.aspx?menuIndex=3&amp;refID=7083671&amp;Result=3","7083671")</f>
        <v>0</v>
      </c>
      <c r="B4210" t="s">
        <v>246</v>
      </c>
      <c r="C4210" t="s">
        <v>7428</v>
      </c>
      <c r="D4210" t="s">
        <v>17439</v>
      </c>
      <c r="E4210" t="s">
        <v>21167</v>
      </c>
      <c r="F4210" t="s">
        <v>30052</v>
      </c>
      <c r="G4210" t="s">
        <v>30058</v>
      </c>
      <c r="H4210" t="s">
        <v>30067</v>
      </c>
      <c r="I4210" t="s">
        <v>3693</v>
      </c>
      <c r="J4210" t="s">
        <v>32935</v>
      </c>
      <c r="K4210" t="s">
        <v>39057</v>
      </c>
      <c r="M4210" t="s">
        <v>39536</v>
      </c>
      <c r="N4210" t="s">
        <v>43166</v>
      </c>
      <c r="O4210" t="s">
        <v>43167</v>
      </c>
      <c r="P4210">
        <v>0</v>
      </c>
      <c r="Q4210">
        <v>1</v>
      </c>
      <c r="R4210" t="s">
        <v>43171</v>
      </c>
      <c r="S4210" t="s">
        <v>43311</v>
      </c>
      <c r="T4210" t="s">
        <v>44721</v>
      </c>
      <c r="U4210" t="s">
        <v>48643</v>
      </c>
      <c r="W4210" t="s">
        <v>39536</v>
      </c>
      <c r="X4210" t="s">
        <v>43172</v>
      </c>
    </row>
    <row r="4211" spans="1:24">
      <c r="A4211">
        <f>HYPERLINK("https://www.philgeps.gov.ph/GEPSNONPILOT/Tender/SplashBidNoticeAbstractUI.aspx?menuIndex=3&amp;refID=7083684&amp;Result=3","7083684")</f>
        <v>0</v>
      </c>
      <c r="B4211" t="s">
        <v>1531</v>
      </c>
      <c r="C4211" t="s">
        <v>7429</v>
      </c>
      <c r="D4211" t="s">
        <v>17446</v>
      </c>
      <c r="E4211" t="s">
        <v>21168</v>
      </c>
      <c r="F4211" t="s">
        <v>30052</v>
      </c>
      <c r="G4211" t="s">
        <v>30058</v>
      </c>
      <c r="H4211" t="s">
        <v>15498</v>
      </c>
      <c r="I4211" t="s">
        <v>9238</v>
      </c>
      <c r="J4211" t="s">
        <v>32936</v>
      </c>
      <c r="K4211" t="s">
        <v>39023</v>
      </c>
      <c r="M4211" t="s">
        <v>40917</v>
      </c>
      <c r="N4211" t="s">
        <v>43166</v>
      </c>
      <c r="O4211" t="s">
        <v>43167</v>
      </c>
      <c r="P4211">
        <v>0</v>
      </c>
      <c r="Q4211">
        <v>15</v>
      </c>
      <c r="R4211" t="s">
        <v>43171</v>
      </c>
      <c r="S4211" t="s">
        <v>43311</v>
      </c>
      <c r="T4211" t="s">
        <v>44842</v>
      </c>
      <c r="U4211" t="s">
        <v>48644</v>
      </c>
      <c r="W4211" t="s">
        <v>40917</v>
      </c>
      <c r="X4211" t="s">
        <v>43172</v>
      </c>
    </row>
    <row r="4212" spans="1:24">
      <c r="A4212">
        <f>HYPERLINK("https://www.philgeps.gov.ph/GEPSNONPILOT/Tender/SplashBidNoticeAbstractUI.aspx?menuIndex=3&amp;refID=7083682&amp;Result=3","7083682")</f>
        <v>0</v>
      </c>
      <c r="B4212" t="s">
        <v>1532</v>
      </c>
      <c r="C4212" t="s">
        <v>7430</v>
      </c>
      <c r="D4212" t="s">
        <v>17468</v>
      </c>
      <c r="E4212" t="s">
        <v>17843</v>
      </c>
      <c r="F4212" t="s">
        <v>30052</v>
      </c>
      <c r="G4212" t="s">
        <v>30058</v>
      </c>
      <c r="H4212" t="s">
        <v>15498</v>
      </c>
      <c r="I4212" t="s">
        <v>30098</v>
      </c>
      <c r="J4212" t="s">
        <v>30428</v>
      </c>
      <c r="K4212" t="s">
        <v>39025</v>
      </c>
      <c r="M4212" t="s">
        <v>40918</v>
      </c>
      <c r="N4212" t="s">
        <v>43166</v>
      </c>
      <c r="O4212" t="s">
        <v>43167</v>
      </c>
      <c r="P4212">
        <v>0</v>
      </c>
      <c r="Q4212">
        <v>2</v>
      </c>
      <c r="R4212" t="s">
        <v>43171</v>
      </c>
      <c r="S4212" t="s">
        <v>43311</v>
      </c>
      <c r="T4212" t="s">
        <v>44713</v>
      </c>
      <c r="U4212" t="s">
        <v>48645</v>
      </c>
      <c r="W4212" t="s">
        <v>40918</v>
      </c>
      <c r="X4212" t="s">
        <v>43172</v>
      </c>
    </row>
    <row r="4213" spans="1:24">
      <c r="A4213">
        <f>HYPERLINK("https://www.philgeps.gov.ph/GEPSNONPILOT/Tender/SplashBidNoticeAbstractUI.aspx?menuIndex=3&amp;refID=7083701&amp;Result=3","7083701")</f>
        <v>0</v>
      </c>
      <c r="B4213" t="s">
        <v>1533</v>
      </c>
      <c r="C4213" t="s">
        <v>7431</v>
      </c>
      <c r="D4213" t="s">
        <v>17463</v>
      </c>
      <c r="E4213" t="s">
        <v>21169</v>
      </c>
      <c r="F4213" t="s">
        <v>30052</v>
      </c>
      <c r="G4213" t="s">
        <v>30058</v>
      </c>
      <c r="H4213" t="s">
        <v>30067</v>
      </c>
      <c r="I4213" t="s">
        <v>3693</v>
      </c>
      <c r="J4213" t="s">
        <v>30277</v>
      </c>
      <c r="K4213" t="s">
        <v>39017</v>
      </c>
      <c r="M4213" t="s">
        <v>40919</v>
      </c>
      <c r="N4213" t="s">
        <v>43166</v>
      </c>
      <c r="O4213" t="s">
        <v>43167</v>
      </c>
      <c r="P4213">
        <v>0</v>
      </c>
      <c r="Q4213">
        <v>0</v>
      </c>
      <c r="R4213" t="s">
        <v>43171</v>
      </c>
      <c r="S4213" t="s">
        <v>43311</v>
      </c>
      <c r="T4213" t="s">
        <v>44687</v>
      </c>
      <c r="U4213" t="s">
        <v>48646</v>
      </c>
      <c r="W4213" t="s">
        <v>40919</v>
      </c>
      <c r="X4213" t="s">
        <v>43172</v>
      </c>
    </row>
    <row r="4214" spans="1:24">
      <c r="A4214">
        <f>HYPERLINK("https://www.philgeps.gov.ph/GEPSNONPILOT/Tender/SplashBidNoticeAbstractUI.aspx?menuIndex=3&amp;refID=7083700&amp;Result=3","7083700")</f>
        <v>0</v>
      </c>
      <c r="B4214" t="s">
        <v>145</v>
      </c>
      <c r="C4214" t="s">
        <v>7432</v>
      </c>
      <c r="D4214" t="s">
        <v>17453</v>
      </c>
      <c r="E4214" t="s">
        <v>21170</v>
      </c>
      <c r="F4214" t="s">
        <v>30052</v>
      </c>
      <c r="G4214" t="s">
        <v>30059</v>
      </c>
      <c r="H4214" t="s">
        <v>15498</v>
      </c>
      <c r="I4214" t="s">
        <v>4650</v>
      </c>
      <c r="J4214" t="s">
        <v>30308</v>
      </c>
      <c r="K4214" t="s">
        <v>39029</v>
      </c>
      <c r="M4214" t="s">
        <v>40626</v>
      </c>
      <c r="N4214" t="s">
        <v>43166</v>
      </c>
      <c r="O4214" t="s">
        <v>43167</v>
      </c>
      <c r="P4214">
        <v>0</v>
      </c>
      <c r="Q4214">
        <v>1</v>
      </c>
      <c r="R4214" t="s">
        <v>43171</v>
      </c>
      <c r="S4214" t="s">
        <v>43311</v>
      </c>
      <c r="T4214" t="s">
        <v>44956</v>
      </c>
      <c r="U4214" t="s">
        <v>48623</v>
      </c>
      <c r="W4214" t="s">
        <v>58631</v>
      </c>
      <c r="X4214" t="s">
        <v>43172</v>
      </c>
    </row>
    <row r="4215" spans="1:24">
      <c r="A4215">
        <f>HYPERLINK("https://www.philgeps.gov.ph/GEPSNONPILOT/Tender/SplashBidNoticeAbstractUI.aspx?menuIndex=3&amp;refID=7083732&amp;Result=3","7083732")</f>
        <v>0</v>
      </c>
      <c r="B4215" t="s">
        <v>1518</v>
      </c>
      <c r="C4215" t="s">
        <v>7433</v>
      </c>
      <c r="D4215" t="s">
        <v>17444</v>
      </c>
      <c r="E4215" t="s">
        <v>21171</v>
      </c>
      <c r="F4215" t="s">
        <v>30052</v>
      </c>
      <c r="G4215" t="s">
        <v>30058</v>
      </c>
      <c r="H4215" t="s">
        <v>30067</v>
      </c>
      <c r="I4215" t="s">
        <v>3693</v>
      </c>
      <c r="J4215" t="s">
        <v>32904</v>
      </c>
      <c r="K4215" t="s">
        <v>39142</v>
      </c>
      <c r="M4215" t="s">
        <v>40904</v>
      </c>
      <c r="N4215" t="s">
        <v>43166</v>
      </c>
      <c r="O4215" t="s">
        <v>43167</v>
      </c>
      <c r="P4215">
        <v>0</v>
      </c>
      <c r="Q4215">
        <v>0</v>
      </c>
      <c r="R4215" t="s">
        <v>43171</v>
      </c>
      <c r="S4215" t="s">
        <v>43311</v>
      </c>
      <c r="T4215" t="s">
        <v>44722</v>
      </c>
      <c r="U4215" t="s">
        <v>48605</v>
      </c>
      <c r="W4215" t="s">
        <v>40904</v>
      </c>
      <c r="X4215" t="s">
        <v>43172</v>
      </c>
    </row>
    <row r="4216" spans="1:24">
      <c r="A4216">
        <f>HYPERLINK("https://www.philgeps.gov.ph/GEPSNONPILOT/Tender/SplashBidNoticeAbstractUI.aspx?menuIndex=3&amp;refID=7083741&amp;Result=3","7083741")</f>
        <v>0</v>
      </c>
      <c r="B4216" t="s">
        <v>904</v>
      </c>
      <c r="C4216" t="s">
        <v>7434</v>
      </c>
      <c r="D4216" t="s">
        <v>17466</v>
      </c>
      <c r="E4216" t="s">
        <v>21172</v>
      </c>
      <c r="F4216" t="s">
        <v>30052</v>
      </c>
      <c r="G4216" t="s">
        <v>30061</v>
      </c>
      <c r="H4216" t="s">
        <v>15498</v>
      </c>
      <c r="I4216" t="s">
        <v>30096</v>
      </c>
      <c r="J4216" t="s">
        <v>31258</v>
      </c>
      <c r="K4216" t="s">
        <v>39029</v>
      </c>
      <c r="M4216" t="s">
        <v>40225</v>
      </c>
      <c r="N4216" t="s">
        <v>43166</v>
      </c>
      <c r="O4216" t="s">
        <v>43167</v>
      </c>
      <c r="P4216">
        <v>0</v>
      </c>
      <c r="Q4216">
        <v>0</v>
      </c>
      <c r="R4216" t="s">
        <v>43171</v>
      </c>
      <c r="S4216" t="s">
        <v>43311</v>
      </c>
      <c r="T4216" t="s">
        <v>44743</v>
      </c>
      <c r="U4216" t="s">
        <v>48647</v>
      </c>
      <c r="W4216" t="s">
        <v>40225</v>
      </c>
      <c r="X4216" t="s">
        <v>43172</v>
      </c>
    </row>
    <row r="4217" spans="1:24">
      <c r="A4217">
        <f>HYPERLINK("https://www.philgeps.gov.ph/GEPSNONPILOT/Tender/SplashBidNoticeAbstractUI.aspx?menuIndex=3&amp;refID=7083668&amp;Result=3","7083668")</f>
        <v>0</v>
      </c>
      <c r="B4217" t="s">
        <v>1534</v>
      </c>
      <c r="C4217" t="s">
        <v>7435</v>
      </c>
      <c r="D4217" t="s">
        <v>17447</v>
      </c>
      <c r="E4217" t="s">
        <v>21173</v>
      </c>
      <c r="F4217" t="s">
        <v>30052</v>
      </c>
      <c r="G4217" t="s">
        <v>30059</v>
      </c>
      <c r="H4217" t="s">
        <v>15498</v>
      </c>
      <c r="I4217" t="s">
        <v>4650</v>
      </c>
      <c r="J4217" t="s">
        <v>32937</v>
      </c>
      <c r="K4217" t="s">
        <v>39025</v>
      </c>
      <c r="M4217" t="s">
        <v>40920</v>
      </c>
      <c r="N4217" t="s">
        <v>43166</v>
      </c>
      <c r="O4217" t="s">
        <v>43167</v>
      </c>
      <c r="P4217">
        <v>0</v>
      </c>
      <c r="Q4217">
        <v>0</v>
      </c>
      <c r="R4217" t="s">
        <v>43171</v>
      </c>
      <c r="S4217" t="s">
        <v>43311</v>
      </c>
      <c r="T4217" t="s">
        <v>44714</v>
      </c>
      <c r="U4217" t="s">
        <v>48648</v>
      </c>
      <c r="W4217" t="s">
        <v>40920</v>
      </c>
      <c r="X4217" t="s">
        <v>43172</v>
      </c>
    </row>
    <row r="4218" spans="1:24">
      <c r="A4218">
        <f>HYPERLINK("https://www.philgeps.gov.ph/GEPSNONPILOT/Tender/SplashBidNoticeAbstractUI.aspx?menuIndex=3&amp;refID=7083689&amp;Result=3","7083689")</f>
        <v>0</v>
      </c>
      <c r="B4218" t="s">
        <v>1527</v>
      </c>
      <c r="C4218" t="s">
        <v>7436</v>
      </c>
      <c r="E4218" t="s">
        <v>21174</v>
      </c>
      <c r="F4218" t="s">
        <v>30052</v>
      </c>
      <c r="G4218" t="s">
        <v>30058</v>
      </c>
      <c r="H4218" t="s">
        <v>30067</v>
      </c>
      <c r="I4218" t="s">
        <v>3693</v>
      </c>
      <c r="J4218" t="s">
        <v>32938</v>
      </c>
      <c r="K4218" t="s">
        <v>39025</v>
      </c>
      <c r="M4218" t="s">
        <v>40913</v>
      </c>
      <c r="N4218" t="s">
        <v>43166</v>
      </c>
      <c r="O4218" t="s">
        <v>43167</v>
      </c>
      <c r="P4218">
        <v>0</v>
      </c>
      <c r="Q4218">
        <v>5</v>
      </c>
      <c r="R4218" t="s">
        <v>43171</v>
      </c>
      <c r="S4218" t="s">
        <v>43311</v>
      </c>
      <c r="T4218" t="s">
        <v>44722</v>
      </c>
      <c r="U4218" t="s">
        <v>48649</v>
      </c>
      <c r="W4218" t="s">
        <v>58643</v>
      </c>
      <c r="X4218" t="s">
        <v>43172</v>
      </c>
    </row>
    <row r="4219" spans="1:24">
      <c r="A4219">
        <f>HYPERLINK("https://www.philgeps.gov.ph/GEPSNONPILOT/Tender/SplashBidNoticeAbstractUI.aspx?menuIndex=3&amp;refID=7083740&amp;Result=3","7083740")</f>
        <v>0</v>
      </c>
      <c r="B4219" t="s">
        <v>1503</v>
      </c>
      <c r="C4219" t="s">
        <v>7437</v>
      </c>
      <c r="D4219" t="s">
        <v>17474</v>
      </c>
      <c r="E4219" t="s">
        <v>21175</v>
      </c>
      <c r="F4219" t="s">
        <v>30052</v>
      </c>
      <c r="G4219" t="s">
        <v>30058</v>
      </c>
      <c r="H4219" t="s">
        <v>15498</v>
      </c>
      <c r="I4219" t="s">
        <v>30094</v>
      </c>
      <c r="J4219" t="s">
        <v>32939</v>
      </c>
      <c r="K4219" t="s">
        <v>39034</v>
      </c>
      <c r="M4219" t="s">
        <v>40887</v>
      </c>
      <c r="N4219" t="s">
        <v>43166</v>
      </c>
      <c r="O4219" t="s">
        <v>43167</v>
      </c>
      <c r="P4219">
        <v>0</v>
      </c>
      <c r="Q4219">
        <v>0</v>
      </c>
      <c r="R4219" t="s">
        <v>43171</v>
      </c>
      <c r="S4219" t="s">
        <v>43311</v>
      </c>
      <c r="T4219" t="s">
        <v>44842</v>
      </c>
      <c r="U4219" t="s">
        <v>48570</v>
      </c>
      <c r="W4219" t="s">
        <v>40887</v>
      </c>
      <c r="X4219" t="s">
        <v>43172</v>
      </c>
    </row>
    <row r="4220" spans="1:24">
      <c r="A4220">
        <f>HYPERLINK("https://www.philgeps.gov.ph/GEPSNONPILOT/Tender/SplashBidNoticeAbstractUI.aspx?menuIndex=3&amp;refID=7083664&amp;Result=3","7083664")</f>
        <v>0</v>
      </c>
      <c r="B4220" t="s">
        <v>1533</v>
      </c>
      <c r="C4220" t="s">
        <v>7438</v>
      </c>
      <c r="D4220" t="s">
        <v>17463</v>
      </c>
      <c r="E4220" t="s">
        <v>21169</v>
      </c>
      <c r="F4220" t="s">
        <v>30052</v>
      </c>
      <c r="G4220" t="s">
        <v>30058</v>
      </c>
      <c r="H4220" t="s">
        <v>30067</v>
      </c>
      <c r="I4220" t="s">
        <v>3693</v>
      </c>
      <c r="J4220" t="s">
        <v>30252</v>
      </c>
      <c r="K4220" t="s">
        <v>39017</v>
      </c>
      <c r="M4220" t="s">
        <v>40919</v>
      </c>
      <c r="N4220" t="s">
        <v>43166</v>
      </c>
      <c r="O4220" t="s">
        <v>43167</v>
      </c>
      <c r="P4220">
        <v>0</v>
      </c>
      <c r="Q4220">
        <v>0</v>
      </c>
      <c r="R4220" t="s">
        <v>43171</v>
      </c>
      <c r="S4220" t="s">
        <v>43311</v>
      </c>
      <c r="T4220" t="s">
        <v>44687</v>
      </c>
      <c r="U4220" t="s">
        <v>48646</v>
      </c>
      <c r="W4220" t="s">
        <v>40919</v>
      </c>
      <c r="X4220" t="s">
        <v>43172</v>
      </c>
    </row>
    <row r="4221" spans="1:24">
      <c r="A4221">
        <f>HYPERLINK("https://www.philgeps.gov.ph/GEPSNONPILOT/Tender/SplashBidNoticeAbstractUI.aspx?menuIndex=3&amp;refID=7083733&amp;Result=3","7083733")</f>
        <v>0</v>
      </c>
      <c r="B4221" t="s">
        <v>1535</v>
      </c>
      <c r="C4221" t="s">
        <v>7439</v>
      </c>
      <c r="D4221" t="s">
        <v>17450</v>
      </c>
      <c r="E4221" t="s">
        <v>21176</v>
      </c>
      <c r="F4221" t="s">
        <v>30052</v>
      </c>
      <c r="G4221" t="s">
        <v>30061</v>
      </c>
      <c r="H4221" t="s">
        <v>15498</v>
      </c>
      <c r="I4221" t="s">
        <v>30076</v>
      </c>
      <c r="J4221" t="s">
        <v>32940</v>
      </c>
      <c r="K4221" t="s">
        <v>39034</v>
      </c>
      <c r="M4221" t="s">
        <v>40921</v>
      </c>
      <c r="N4221" t="s">
        <v>43166</v>
      </c>
      <c r="O4221" t="s">
        <v>43167</v>
      </c>
      <c r="P4221">
        <v>0</v>
      </c>
      <c r="Q4221">
        <v>1</v>
      </c>
      <c r="R4221" t="s">
        <v>43171</v>
      </c>
      <c r="S4221" t="s">
        <v>43311</v>
      </c>
      <c r="T4221" t="s">
        <v>44841</v>
      </c>
      <c r="U4221" t="s">
        <v>48650</v>
      </c>
      <c r="W4221" t="s">
        <v>40921</v>
      </c>
      <c r="X4221" t="s">
        <v>43172</v>
      </c>
    </row>
    <row r="4222" spans="1:24">
      <c r="A4222">
        <f>HYPERLINK("https://www.philgeps.gov.ph/GEPSNONPILOT/Tender/SplashBidNoticeAbstractUI.aspx?menuIndex=3&amp;refID=7083735&amp;Result=3","7083735")</f>
        <v>0</v>
      </c>
      <c r="B4222" t="s">
        <v>1209</v>
      </c>
      <c r="C4222" t="s">
        <v>7440</v>
      </c>
      <c r="D4222" t="s">
        <v>17454</v>
      </c>
      <c r="E4222" t="s">
        <v>21177</v>
      </c>
      <c r="F4222" t="s">
        <v>30055</v>
      </c>
      <c r="G4222" t="s">
        <v>30058</v>
      </c>
      <c r="H4222" t="s">
        <v>15498</v>
      </c>
      <c r="I4222" t="s">
        <v>3736</v>
      </c>
      <c r="J4222" t="s">
        <v>31101</v>
      </c>
      <c r="K4222" t="s">
        <v>39019</v>
      </c>
      <c r="M4222" t="s">
        <v>40563</v>
      </c>
      <c r="N4222" t="s">
        <v>43166</v>
      </c>
      <c r="O4222" t="s">
        <v>43167</v>
      </c>
      <c r="P4222">
        <v>0</v>
      </c>
      <c r="Q4222">
        <v>0</v>
      </c>
      <c r="R4222" t="s">
        <v>43171</v>
      </c>
      <c r="S4222" t="s">
        <v>43311</v>
      </c>
      <c r="T4222" t="s">
        <v>44722</v>
      </c>
      <c r="U4222" t="s">
        <v>48651</v>
      </c>
      <c r="W4222" t="s">
        <v>40563</v>
      </c>
      <c r="X4222" t="s">
        <v>43172</v>
      </c>
    </row>
    <row r="4223" spans="1:24">
      <c r="A4223">
        <f>HYPERLINK("https://www.philgeps.gov.ph/GEPSNONPILOT/Tender/SplashBidNoticeAbstractUI.aspx?menuIndex=3&amp;refID=7083624&amp;Result=3","7083624")</f>
        <v>0</v>
      </c>
      <c r="B4223" t="s">
        <v>1500</v>
      </c>
      <c r="C4223" t="s">
        <v>7441</v>
      </c>
      <c r="D4223" t="s">
        <v>17462</v>
      </c>
      <c r="E4223" t="s">
        <v>21178</v>
      </c>
      <c r="F4223" t="s">
        <v>30052</v>
      </c>
      <c r="G4223" t="s">
        <v>30061</v>
      </c>
      <c r="H4223" t="s">
        <v>30067</v>
      </c>
      <c r="I4223" t="s">
        <v>3693</v>
      </c>
      <c r="J4223" t="s">
        <v>32941</v>
      </c>
      <c r="K4223" t="s">
        <v>39017</v>
      </c>
      <c r="M4223" t="s">
        <v>40884</v>
      </c>
      <c r="N4223" t="s">
        <v>43166</v>
      </c>
      <c r="O4223" t="s">
        <v>43167</v>
      </c>
      <c r="P4223">
        <v>0</v>
      </c>
      <c r="Q4223">
        <v>0</v>
      </c>
      <c r="R4223" t="s">
        <v>43171</v>
      </c>
      <c r="S4223" t="s">
        <v>43311</v>
      </c>
      <c r="T4223" t="s">
        <v>44753</v>
      </c>
      <c r="U4223" t="s">
        <v>48652</v>
      </c>
      <c r="W4223" t="s">
        <v>40884</v>
      </c>
      <c r="X4223" t="s">
        <v>43172</v>
      </c>
    </row>
    <row r="4224" spans="1:24">
      <c r="A4224">
        <f>HYPERLINK("https://www.philgeps.gov.ph/GEPSNONPILOT/Tender/SplashBidNoticeAbstractUI.aspx?menuIndex=3&amp;refID=7083738&amp;Result=3","7083738")</f>
        <v>0</v>
      </c>
      <c r="B4224" t="s">
        <v>1511</v>
      </c>
      <c r="C4224" t="s">
        <v>7442</v>
      </c>
      <c r="D4224" t="s">
        <v>17475</v>
      </c>
      <c r="E4224" t="s">
        <v>21179</v>
      </c>
      <c r="F4224" t="s">
        <v>30052</v>
      </c>
      <c r="G4224" t="s">
        <v>30058</v>
      </c>
      <c r="H4224" t="s">
        <v>15498</v>
      </c>
      <c r="I4224" t="s">
        <v>3736</v>
      </c>
      <c r="J4224" t="s">
        <v>32942</v>
      </c>
      <c r="K4224" t="s">
        <v>39046</v>
      </c>
      <c r="M4224" t="s">
        <v>40896</v>
      </c>
      <c r="N4224" t="s">
        <v>43166</v>
      </c>
      <c r="O4224" t="s">
        <v>43167</v>
      </c>
      <c r="P4224">
        <v>0</v>
      </c>
      <c r="Q4224">
        <v>0</v>
      </c>
      <c r="R4224" t="s">
        <v>43171</v>
      </c>
      <c r="S4224" t="s">
        <v>43311</v>
      </c>
      <c r="T4224" t="s">
        <v>44741</v>
      </c>
      <c r="U4224" t="s">
        <v>48653</v>
      </c>
      <c r="W4224" t="s">
        <v>40896</v>
      </c>
      <c r="X4224" t="s">
        <v>43172</v>
      </c>
    </row>
    <row r="4225" spans="1:24">
      <c r="A4225">
        <f>HYPERLINK("https://www.philgeps.gov.ph/GEPSNONPILOT/Tender/SplashBidNoticeAbstractUI.aspx?menuIndex=3&amp;refID=7083666&amp;Result=3","7083666")</f>
        <v>0</v>
      </c>
      <c r="B4225" t="s">
        <v>1520</v>
      </c>
      <c r="C4225" t="s">
        <v>7443</v>
      </c>
      <c r="D4225" t="s">
        <v>17423</v>
      </c>
      <c r="E4225" t="s">
        <v>21180</v>
      </c>
      <c r="F4225" t="s">
        <v>30056</v>
      </c>
      <c r="G4225" t="s">
        <v>30059</v>
      </c>
      <c r="H4225" t="s">
        <v>15498</v>
      </c>
      <c r="I4225" t="s">
        <v>30111</v>
      </c>
      <c r="J4225" t="s">
        <v>30248</v>
      </c>
      <c r="K4225" t="s">
        <v>39017</v>
      </c>
      <c r="M4225" t="s">
        <v>40906</v>
      </c>
      <c r="N4225" t="s">
        <v>43166</v>
      </c>
      <c r="O4225" t="s">
        <v>43167</v>
      </c>
      <c r="P4225">
        <v>0</v>
      </c>
      <c r="Q4225">
        <v>0</v>
      </c>
      <c r="R4225" t="s">
        <v>43171</v>
      </c>
      <c r="S4225" t="s">
        <v>43311</v>
      </c>
      <c r="T4225" t="s">
        <v>44806</v>
      </c>
      <c r="U4225" t="s">
        <v>48654</v>
      </c>
      <c r="W4225" t="s">
        <v>40906</v>
      </c>
      <c r="X4225" t="s">
        <v>43172</v>
      </c>
    </row>
    <row r="4226" spans="1:24">
      <c r="A4226">
        <f>HYPERLINK("https://www.philgeps.gov.ph/GEPSNONPILOT/Tender/SplashBidNoticeAbstractUI.aspx?menuIndex=3&amp;refID=7083719&amp;Result=3","7083719")</f>
        <v>0</v>
      </c>
      <c r="B4226" t="s">
        <v>1373</v>
      </c>
      <c r="C4226" t="s">
        <v>7444</v>
      </c>
      <c r="D4226" t="s">
        <v>17501</v>
      </c>
      <c r="E4226" t="s">
        <v>21181</v>
      </c>
      <c r="F4226" t="s">
        <v>30052</v>
      </c>
      <c r="G4226" t="s">
        <v>30059</v>
      </c>
      <c r="H4226" t="s">
        <v>15498</v>
      </c>
      <c r="I4226" t="s">
        <v>9238</v>
      </c>
      <c r="J4226" t="s">
        <v>30358</v>
      </c>
      <c r="K4226" t="s">
        <v>39029</v>
      </c>
      <c r="M4226" t="s">
        <v>40745</v>
      </c>
      <c r="N4226" t="s">
        <v>43166</v>
      </c>
      <c r="O4226" t="s">
        <v>43167</v>
      </c>
      <c r="P4226">
        <v>0</v>
      </c>
      <c r="Q4226">
        <v>8</v>
      </c>
      <c r="R4226" t="s">
        <v>43171</v>
      </c>
      <c r="S4226" t="s">
        <v>43311</v>
      </c>
      <c r="T4226" t="s">
        <v>44974</v>
      </c>
      <c r="U4226" t="s">
        <v>48655</v>
      </c>
      <c r="W4226" t="s">
        <v>58637</v>
      </c>
      <c r="X4226" t="s">
        <v>43172</v>
      </c>
    </row>
    <row r="4227" spans="1:24">
      <c r="A4227">
        <f>HYPERLINK("https://www.philgeps.gov.ph/GEPSNONPILOT/Tender/SplashBidNoticeAbstractUI.aspx?menuIndex=3&amp;refID=7083718&amp;Result=3","7083718")</f>
        <v>0</v>
      </c>
      <c r="B4227" t="s">
        <v>1536</v>
      </c>
      <c r="C4227" t="s">
        <v>7445</v>
      </c>
      <c r="D4227" t="s">
        <v>17468</v>
      </c>
      <c r="E4227" t="s">
        <v>21182</v>
      </c>
      <c r="F4227" t="s">
        <v>30052</v>
      </c>
      <c r="G4227" t="s">
        <v>30060</v>
      </c>
      <c r="H4227" t="s">
        <v>15498</v>
      </c>
      <c r="I4227" t="s">
        <v>30135</v>
      </c>
      <c r="J4227" t="s">
        <v>32943</v>
      </c>
      <c r="K4227" t="s">
        <v>39026</v>
      </c>
      <c r="M4227" t="s">
        <v>40922</v>
      </c>
      <c r="N4227" t="s">
        <v>43166</v>
      </c>
      <c r="O4227" t="s">
        <v>43167</v>
      </c>
      <c r="P4227">
        <v>0</v>
      </c>
      <c r="Q4227">
        <v>5</v>
      </c>
      <c r="R4227" t="s">
        <v>43171</v>
      </c>
      <c r="S4227" t="s">
        <v>43311</v>
      </c>
      <c r="T4227" t="s">
        <v>44710</v>
      </c>
      <c r="U4227" t="s">
        <v>48656</v>
      </c>
      <c r="W4227" t="s">
        <v>40922</v>
      </c>
      <c r="X4227" t="s">
        <v>43172</v>
      </c>
    </row>
    <row r="4228" spans="1:24">
      <c r="A4228">
        <f>HYPERLINK("https://www.philgeps.gov.ph/GEPSNONPILOT/Tender/SplashBidNoticeAbstractUI.aspx?menuIndex=3&amp;refID=7083725&amp;Result=3","7083725")</f>
        <v>0</v>
      </c>
      <c r="B4228" t="s">
        <v>1466</v>
      </c>
      <c r="C4228" t="s">
        <v>7446</v>
      </c>
      <c r="D4228" t="s">
        <v>17449</v>
      </c>
      <c r="E4228" t="s">
        <v>21183</v>
      </c>
      <c r="F4228" t="s">
        <v>30052</v>
      </c>
      <c r="G4228" t="s">
        <v>30058</v>
      </c>
      <c r="H4228" t="s">
        <v>15498</v>
      </c>
      <c r="I4228" t="s">
        <v>3736</v>
      </c>
      <c r="J4228" t="s">
        <v>32944</v>
      </c>
      <c r="K4228" t="s">
        <v>39064</v>
      </c>
      <c r="M4228" t="s">
        <v>40847</v>
      </c>
      <c r="N4228" t="s">
        <v>43166</v>
      </c>
      <c r="O4228" t="s">
        <v>43167</v>
      </c>
      <c r="P4228">
        <v>0</v>
      </c>
      <c r="Q4228">
        <v>0</v>
      </c>
      <c r="R4228" t="s">
        <v>43171</v>
      </c>
      <c r="S4228" t="s">
        <v>43311</v>
      </c>
      <c r="T4228" t="s">
        <v>44716</v>
      </c>
      <c r="U4228" t="s">
        <v>48657</v>
      </c>
      <c r="V4228" t="s">
        <v>57281</v>
      </c>
      <c r="W4228" t="s">
        <v>40847</v>
      </c>
      <c r="X4228" t="s">
        <v>43172</v>
      </c>
    </row>
    <row r="4229" spans="1:24">
      <c r="A4229">
        <f>HYPERLINK("https://www.philgeps.gov.ph/GEPSNONPILOT/Tender/SplashBidNoticeAbstractUI.aspx?menuIndex=3&amp;refID=7083711&amp;Result=3","7083711")</f>
        <v>0</v>
      </c>
      <c r="B4229" t="s">
        <v>1000</v>
      </c>
      <c r="C4229" t="s">
        <v>7447</v>
      </c>
      <c r="D4229" t="s">
        <v>17422</v>
      </c>
      <c r="E4229" t="s">
        <v>21184</v>
      </c>
      <c r="F4229" t="s">
        <v>30052</v>
      </c>
      <c r="G4229" t="s">
        <v>30059</v>
      </c>
      <c r="H4229" t="s">
        <v>15498</v>
      </c>
      <c r="I4229" t="s">
        <v>9238</v>
      </c>
      <c r="J4229" t="s">
        <v>32945</v>
      </c>
      <c r="K4229" t="s">
        <v>39064</v>
      </c>
      <c r="M4229" t="s">
        <v>40541</v>
      </c>
      <c r="N4229" t="s">
        <v>43166</v>
      </c>
      <c r="O4229" t="s">
        <v>43167</v>
      </c>
      <c r="P4229">
        <v>0</v>
      </c>
      <c r="Q4229">
        <v>2</v>
      </c>
      <c r="R4229" t="s">
        <v>43171</v>
      </c>
      <c r="S4229" t="s">
        <v>43311</v>
      </c>
      <c r="T4229" t="s">
        <v>44777</v>
      </c>
      <c r="U4229" t="s">
        <v>48658</v>
      </c>
      <c r="V4229" t="s">
        <v>57298</v>
      </c>
      <c r="W4229" t="s">
        <v>40541</v>
      </c>
      <c r="X4229" t="s">
        <v>43172</v>
      </c>
    </row>
    <row r="4230" spans="1:24">
      <c r="A4230">
        <f>HYPERLINK("https://www.philgeps.gov.ph/GEPSNONPILOT/Tender/SplashBidNoticeAbstractUI.aspx?menuIndex=3&amp;refID=7083729&amp;Result=3","7083729")</f>
        <v>0</v>
      </c>
      <c r="B4230" t="s">
        <v>806</v>
      </c>
      <c r="C4230" t="s">
        <v>7448</v>
      </c>
      <c r="D4230" t="s">
        <v>17423</v>
      </c>
      <c r="E4230" t="s">
        <v>21185</v>
      </c>
      <c r="F4230" t="s">
        <v>30052</v>
      </c>
      <c r="G4230" t="s">
        <v>30059</v>
      </c>
      <c r="H4230" t="s">
        <v>15498</v>
      </c>
      <c r="I4230" t="s">
        <v>30081</v>
      </c>
      <c r="J4230" t="s">
        <v>31377</v>
      </c>
      <c r="K4230" t="s">
        <v>39036</v>
      </c>
      <c r="M4230" t="s">
        <v>40123</v>
      </c>
      <c r="N4230" t="s">
        <v>43166</v>
      </c>
      <c r="O4230" t="s">
        <v>43167</v>
      </c>
      <c r="P4230">
        <v>0</v>
      </c>
      <c r="Q4230">
        <v>0</v>
      </c>
      <c r="R4230" t="s">
        <v>43171</v>
      </c>
      <c r="S4230" t="s">
        <v>43311</v>
      </c>
      <c r="T4230" t="s">
        <v>44844</v>
      </c>
      <c r="U4230" t="s">
        <v>48659</v>
      </c>
      <c r="W4230" t="s">
        <v>40123</v>
      </c>
      <c r="X4230" t="s">
        <v>43172</v>
      </c>
    </row>
    <row r="4231" spans="1:24">
      <c r="A4231">
        <f>HYPERLINK("https://www.philgeps.gov.ph/GEPSNONPILOT/Tender/SplashBidNoticeAbstractUI.aspx?menuIndex=3&amp;refID=7083724&amp;Result=3","7083724")</f>
        <v>0</v>
      </c>
      <c r="B4231" t="s">
        <v>904</v>
      </c>
      <c r="C4231" t="s">
        <v>7449</v>
      </c>
      <c r="D4231" t="s">
        <v>17466</v>
      </c>
      <c r="E4231" t="s">
        <v>21186</v>
      </c>
      <c r="F4231" t="s">
        <v>30052</v>
      </c>
      <c r="G4231" t="s">
        <v>30061</v>
      </c>
      <c r="H4231" t="s">
        <v>15498</v>
      </c>
      <c r="I4231" t="s">
        <v>30171</v>
      </c>
      <c r="J4231" t="s">
        <v>32946</v>
      </c>
      <c r="K4231" t="s">
        <v>39046</v>
      </c>
      <c r="M4231" t="s">
        <v>40225</v>
      </c>
      <c r="N4231" t="s">
        <v>43166</v>
      </c>
      <c r="O4231" t="s">
        <v>43167</v>
      </c>
      <c r="P4231">
        <v>0</v>
      </c>
      <c r="Q4231">
        <v>1</v>
      </c>
      <c r="R4231" t="s">
        <v>43171</v>
      </c>
      <c r="S4231" t="s">
        <v>43311</v>
      </c>
      <c r="T4231" t="s">
        <v>44743</v>
      </c>
      <c r="U4231" t="s">
        <v>48660</v>
      </c>
      <c r="W4231" t="s">
        <v>40225</v>
      </c>
      <c r="X4231" t="s">
        <v>43172</v>
      </c>
    </row>
    <row r="4232" spans="1:24">
      <c r="A4232">
        <f>HYPERLINK("https://www.philgeps.gov.ph/GEPSNONPILOT/Tender/SplashBidNoticeAbstractUI.aspx?menuIndex=3&amp;refID=7083721&amp;Result=3","7083721")</f>
        <v>0</v>
      </c>
      <c r="B4232" t="s">
        <v>199</v>
      </c>
      <c r="C4232" t="s">
        <v>7450</v>
      </c>
      <c r="D4232" t="s">
        <v>17415</v>
      </c>
      <c r="E4232" t="s">
        <v>21187</v>
      </c>
      <c r="F4232" t="s">
        <v>30052</v>
      </c>
      <c r="G4232" t="s">
        <v>30059</v>
      </c>
      <c r="H4232" t="s">
        <v>15498</v>
      </c>
      <c r="I4232" t="s">
        <v>4119</v>
      </c>
      <c r="J4232" t="s">
        <v>32947</v>
      </c>
      <c r="K4232" t="s">
        <v>39046</v>
      </c>
      <c r="M4232" t="s">
        <v>40618</v>
      </c>
      <c r="N4232" t="s">
        <v>43166</v>
      </c>
      <c r="O4232" t="s">
        <v>43167</v>
      </c>
      <c r="P4232">
        <v>0</v>
      </c>
      <c r="Q4232">
        <v>9</v>
      </c>
      <c r="R4232" t="s">
        <v>43171</v>
      </c>
      <c r="S4232" t="s">
        <v>43311</v>
      </c>
      <c r="T4232" t="s">
        <v>44678</v>
      </c>
      <c r="U4232" t="s">
        <v>48661</v>
      </c>
      <c r="W4232" t="s">
        <v>40618</v>
      </c>
      <c r="X4232" t="s">
        <v>43172</v>
      </c>
    </row>
    <row r="4233" spans="1:24">
      <c r="A4233">
        <f>HYPERLINK("https://www.philgeps.gov.ph/GEPSNONPILOT/Tender/SplashBidNoticeAbstractUI.aspx?menuIndex=3&amp;refID=7083736&amp;Result=3","7083736")</f>
        <v>0</v>
      </c>
      <c r="B4233" t="s">
        <v>1428</v>
      </c>
      <c r="C4233" t="s">
        <v>7451</v>
      </c>
      <c r="D4233" t="s">
        <v>17463</v>
      </c>
      <c r="E4233" t="s">
        <v>18034</v>
      </c>
      <c r="F4233" t="s">
        <v>30052</v>
      </c>
      <c r="G4233" t="s">
        <v>30058</v>
      </c>
      <c r="H4233" t="s">
        <v>30067</v>
      </c>
      <c r="I4233" t="s">
        <v>3693</v>
      </c>
      <c r="J4233" t="s">
        <v>30230</v>
      </c>
      <c r="K4233" t="s">
        <v>39023</v>
      </c>
      <c r="M4233" t="s">
        <v>40806</v>
      </c>
      <c r="N4233" t="s">
        <v>43166</v>
      </c>
      <c r="O4233" t="s">
        <v>43167</v>
      </c>
      <c r="P4233">
        <v>0</v>
      </c>
      <c r="Q4233">
        <v>2</v>
      </c>
      <c r="R4233" t="s">
        <v>43171</v>
      </c>
      <c r="S4233" t="s">
        <v>43311</v>
      </c>
      <c r="T4233" t="s">
        <v>44955</v>
      </c>
      <c r="U4233" t="s">
        <v>48662</v>
      </c>
      <c r="W4233" t="s">
        <v>40806</v>
      </c>
      <c r="X4233" t="s">
        <v>43172</v>
      </c>
    </row>
    <row r="4234" spans="1:24">
      <c r="A4234">
        <f>HYPERLINK("https://www.philgeps.gov.ph/GEPSNONPILOT/Tender/SplashBidNoticeAbstractUI.aspx?menuIndex=3&amp;refID=7083786&amp;Result=3","7083786")</f>
        <v>0</v>
      </c>
      <c r="B4234" t="s">
        <v>1537</v>
      </c>
      <c r="C4234" t="s">
        <v>7452</v>
      </c>
      <c r="D4234" t="s">
        <v>17416</v>
      </c>
      <c r="E4234" t="s">
        <v>18581</v>
      </c>
      <c r="F4234" t="s">
        <v>30052</v>
      </c>
      <c r="G4234" t="s">
        <v>30058</v>
      </c>
      <c r="H4234" t="s">
        <v>15498</v>
      </c>
      <c r="I4234" t="s">
        <v>3736</v>
      </c>
      <c r="J4234" t="s">
        <v>30218</v>
      </c>
      <c r="K4234" t="s">
        <v>39019</v>
      </c>
      <c r="M4234" t="s">
        <v>40923</v>
      </c>
      <c r="N4234" t="s">
        <v>43166</v>
      </c>
      <c r="O4234" t="s">
        <v>43167</v>
      </c>
      <c r="P4234">
        <v>0</v>
      </c>
      <c r="Q4234">
        <v>1</v>
      </c>
      <c r="R4234" t="s">
        <v>43171</v>
      </c>
      <c r="S4234" t="s">
        <v>43311</v>
      </c>
      <c r="T4234" t="s">
        <v>44904</v>
      </c>
      <c r="U4234" t="s">
        <v>48663</v>
      </c>
      <c r="W4234" t="s">
        <v>40923</v>
      </c>
      <c r="X4234" t="s">
        <v>43172</v>
      </c>
    </row>
    <row r="4235" spans="1:24">
      <c r="A4235">
        <f>HYPERLINK("https://www.philgeps.gov.ph/GEPSNONPILOT/Tender/SplashBidNoticeAbstractUI.aspx?menuIndex=3&amp;refID=7083782&amp;Result=3","7083782")</f>
        <v>0</v>
      </c>
      <c r="B4235" t="s">
        <v>656</v>
      </c>
      <c r="C4235" t="s">
        <v>7453</v>
      </c>
      <c r="D4235" t="s">
        <v>17465</v>
      </c>
      <c r="E4235" t="s">
        <v>21188</v>
      </c>
      <c r="F4235" t="s">
        <v>30052</v>
      </c>
      <c r="G4235" t="s">
        <v>30062</v>
      </c>
      <c r="H4235" t="s">
        <v>15498</v>
      </c>
      <c r="I4235" t="s">
        <v>4119</v>
      </c>
      <c r="J4235" t="s">
        <v>32948</v>
      </c>
      <c r="K4235" t="s">
        <v>39018</v>
      </c>
      <c r="M4235" t="s">
        <v>39961</v>
      </c>
      <c r="N4235" t="s">
        <v>43166</v>
      </c>
      <c r="O4235" t="s">
        <v>43167</v>
      </c>
      <c r="P4235">
        <v>0</v>
      </c>
      <c r="Q4235">
        <v>4</v>
      </c>
      <c r="R4235" t="s">
        <v>43171</v>
      </c>
      <c r="S4235" t="s">
        <v>43311</v>
      </c>
      <c r="T4235" t="s">
        <v>44734</v>
      </c>
      <c r="U4235" t="s">
        <v>46466</v>
      </c>
      <c r="W4235" t="s">
        <v>39961</v>
      </c>
      <c r="X4235" t="s">
        <v>43172</v>
      </c>
    </row>
    <row r="4236" spans="1:24">
      <c r="A4236">
        <f>HYPERLINK("https://www.philgeps.gov.ph/GEPSNONPILOT/Tender/SplashBidNoticeAbstractUI.aspx?menuIndex=3&amp;refID=7083778&amp;Result=3","7083778")</f>
        <v>0</v>
      </c>
      <c r="B4236" t="s">
        <v>1428</v>
      </c>
      <c r="C4236" t="s">
        <v>7454</v>
      </c>
      <c r="D4236" t="s">
        <v>17463</v>
      </c>
      <c r="E4236" t="s">
        <v>18370</v>
      </c>
      <c r="F4236" t="s">
        <v>30052</v>
      </c>
      <c r="G4236" t="s">
        <v>30058</v>
      </c>
      <c r="H4236" t="s">
        <v>30067</v>
      </c>
      <c r="I4236" t="s">
        <v>3693</v>
      </c>
      <c r="J4236" t="s">
        <v>30230</v>
      </c>
      <c r="K4236" t="s">
        <v>39023</v>
      </c>
      <c r="M4236" t="s">
        <v>40806</v>
      </c>
      <c r="N4236" t="s">
        <v>43166</v>
      </c>
      <c r="O4236" t="s">
        <v>43167</v>
      </c>
      <c r="P4236">
        <v>0</v>
      </c>
      <c r="Q4236">
        <v>1</v>
      </c>
      <c r="R4236" t="s">
        <v>43171</v>
      </c>
      <c r="S4236" t="s">
        <v>43311</v>
      </c>
      <c r="T4236" t="s">
        <v>44955</v>
      </c>
      <c r="U4236" t="s">
        <v>48664</v>
      </c>
      <c r="W4236" t="s">
        <v>40806</v>
      </c>
      <c r="X4236" t="s">
        <v>43172</v>
      </c>
    </row>
    <row r="4237" spans="1:24">
      <c r="A4237">
        <f>HYPERLINK("https://www.philgeps.gov.ph/GEPSNONPILOT/Tender/SplashBidNoticeAbstractUI.aspx?menuIndex=3&amp;refID=7083780&amp;Result=3","7083780")</f>
        <v>0</v>
      </c>
      <c r="B4237" t="s">
        <v>595</v>
      </c>
      <c r="C4237" t="s">
        <v>7455</v>
      </c>
      <c r="E4237" t="s">
        <v>21189</v>
      </c>
      <c r="F4237" t="s">
        <v>30052</v>
      </c>
      <c r="G4237" t="s">
        <v>30058</v>
      </c>
      <c r="H4237" t="s">
        <v>30067</v>
      </c>
      <c r="I4237" t="s">
        <v>3693</v>
      </c>
      <c r="J4237" t="s">
        <v>31684</v>
      </c>
      <c r="K4237" t="s">
        <v>39025</v>
      </c>
      <c r="M4237" t="s">
        <v>39897</v>
      </c>
      <c r="N4237" t="s">
        <v>43166</v>
      </c>
      <c r="O4237" t="s">
        <v>43167</v>
      </c>
      <c r="P4237">
        <v>0</v>
      </c>
      <c r="Q4237">
        <v>2</v>
      </c>
      <c r="R4237" t="s">
        <v>43171</v>
      </c>
      <c r="S4237" t="s">
        <v>43311</v>
      </c>
      <c r="T4237" t="s">
        <v>44853</v>
      </c>
      <c r="U4237" t="s">
        <v>48665</v>
      </c>
      <c r="V4237" t="s">
        <v>56838</v>
      </c>
      <c r="W4237" t="s">
        <v>39897</v>
      </c>
      <c r="X4237" t="s">
        <v>43172</v>
      </c>
    </row>
    <row r="4238" spans="1:24">
      <c r="A4238">
        <f>HYPERLINK("https://www.philgeps.gov.ph/GEPSNONPILOT/Tender/SplashBidNoticeAbstractUI.aspx?menuIndex=3&amp;refID=7083777&amp;Result=3","7083777")</f>
        <v>0</v>
      </c>
      <c r="B4238" t="s">
        <v>1538</v>
      </c>
      <c r="C4238" t="s">
        <v>7456</v>
      </c>
      <c r="D4238" t="s">
        <v>17450</v>
      </c>
      <c r="E4238" t="s">
        <v>21190</v>
      </c>
      <c r="F4238" t="s">
        <v>30052</v>
      </c>
      <c r="G4238" t="s">
        <v>30058</v>
      </c>
      <c r="H4238" t="s">
        <v>30067</v>
      </c>
      <c r="I4238" t="s">
        <v>3693</v>
      </c>
      <c r="J4238" t="s">
        <v>30297</v>
      </c>
      <c r="K4238" t="s">
        <v>39143</v>
      </c>
      <c r="M4238" t="s">
        <v>40924</v>
      </c>
      <c r="N4238" t="s">
        <v>43166</v>
      </c>
      <c r="O4238" t="s">
        <v>43167</v>
      </c>
      <c r="P4238">
        <v>0</v>
      </c>
      <c r="Q4238">
        <v>0</v>
      </c>
      <c r="R4238" t="s">
        <v>43171</v>
      </c>
      <c r="S4238" t="s">
        <v>43311</v>
      </c>
      <c r="T4238" t="s">
        <v>44710</v>
      </c>
      <c r="U4238" t="s">
        <v>48666</v>
      </c>
      <c r="W4238" t="s">
        <v>40924</v>
      </c>
      <c r="X4238" t="s">
        <v>43172</v>
      </c>
    </row>
    <row r="4239" spans="1:24">
      <c r="A4239">
        <f>HYPERLINK("https://www.philgeps.gov.ph/GEPSNONPILOT/Tender/SplashBidNoticeAbstractUI.aspx?menuIndex=3&amp;refID=7083775&amp;Result=3","7083775")</f>
        <v>0</v>
      </c>
      <c r="B4239" t="s">
        <v>1539</v>
      </c>
      <c r="C4239" t="s">
        <v>7457</v>
      </c>
      <c r="D4239" t="s">
        <v>17427</v>
      </c>
      <c r="E4239" t="s">
        <v>20469</v>
      </c>
      <c r="F4239" t="s">
        <v>30052</v>
      </c>
      <c r="G4239" t="s">
        <v>30059</v>
      </c>
      <c r="H4239" t="s">
        <v>30067</v>
      </c>
      <c r="I4239" t="s">
        <v>3693</v>
      </c>
      <c r="J4239" t="s">
        <v>30250</v>
      </c>
      <c r="K4239" t="s">
        <v>39023</v>
      </c>
      <c r="M4239" t="s">
        <v>40925</v>
      </c>
      <c r="N4239" t="s">
        <v>43166</v>
      </c>
      <c r="O4239" t="s">
        <v>43167</v>
      </c>
      <c r="P4239">
        <v>0</v>
      </c>
      <c r="Q4239">
        <v>0</v>
      </c>
      <c r="R4239" t="s">
        <v>43171</v>
      </c>
      <c r="S4239" t="s">
        <v>43311</v>
      </c>
      <c r="T4239" t="s">
        <v>44735</v>
      </c>
      <c r="U4239" t="s">
        <v>48667</v>
      </c>
      <c r="W4239" t="s">
        <v>40925</v>
      </c>
      <c r="X4239" t="s">
        <v>43172</v>
      </c>
    </row>
    <row r="4240" spans="1:24">
      <c r="A4240">
        <f>HYPERLINK("https://www.philgeps.gov.ph/GEPSNONPILOT/Tender/SplashBidNoticeAbstractUI.aspx?menuIndex=3&amp;refID=7083771&amp;Result=3","7083771")</f>
        <v>0</v>
      </c>
      <c r="B4240" t="s">
        <v>1208</v>
      </c>
      <c r="C4240" t="s">
        <v>7458</v>
      </c>
      <c r="D4240" t="s">
        <v>17441</v>
      </c>
      <c r="E4240" t="s">
        <v>21191</v>
      </c>
      <c r="F4240" t="s">
        <v>30052</v>
      </c>
      <c r="G4240" t="s">
        <v>30058</v>
      </c>
      <c r="H4240" t="s">
        <v>30067</v>
      </c>
      <c r="I4240" t="s">
        <v>3693</v>
      </c>
      <c r="J4240" t="s">
        <v>30252</v>
      </c>
      <c r="K4240" t="s">
        <v>39026</v>
      </c>
      <c r="L4240" t="s">
        <v>1208</v>
      </c>
      <c r="M4240" t="s">
        <v>40562</v>
      </c>
      <c r="N4240" t="s">
        <v>43166</v>
      </c>
      <c r="O4240" t="s">
        <v>43167</v>
      </c>
      <c r="P4240">
        <v>0</v>
      </c>
      <c r="Q4240">
        <v>5</v>
      </c>
      <c r="R4240" t="s">
        <v>43171</v>
      </c>
      <c r="S4240" t="s">
        <v>43311</v>
      </c>
      <c r="T4240" t="s">
        <v>44813</v>
      </c>
      <c r="U4240" t="s">
        <v>48668</v>
      </c>
      <c r="W4240" t="s">
        <v>40562</v>
      </c>
      <c r="X4240" t="s">
        <v>43172</v>
      </c>
    </row>
    <row r="4241" spans="1:24">
      <c r="A4241">
        <f>HYPERLINK("https://www.philgeps.gov.ph/GEPSNONPILOT/Tender/SplashBidNoticeAbstractUI.aspx?menuIndex=3&amp;refID=7083707&amp;Result=3","7083707")</f>
        <v>0</v>
      </c>
      <c r="B4241" t="s">
        <v>1483</v>
      </c>
      <c r="C4241" t="s">
        <v>7459</v>
      </c>
      <c r="D4241" t="s">
        <v>17414</v>
      </c>
      <c r="E4241" t="s">
        <v>21192</v>
      </c>
      <c r="F4241" t="s">
        <v>30052</v>
      </c>
      <c r="G4241" t="s">
        <v>30058</v>
      </c>
      <c r="H4241" t="s">
        <v>15498</v>
      </c>
      <c r="I4241" t="s">
        <v>3736</v>
      </c>
      <c r="J4241" t="s">
        <v>32949</v>
      </c>
      <c r="K4241" t="s">
        <v>39031</v>
      </c>
      <c r="M4241" t="s">
        <v>40866</v>
      </c>
      <c r="N4241" t="s">
        <v>43166</v>
      </c>
      <c r="O4241" t="s">
        <v>43167</v>
      </c>
      <c r="P4241">
        <v>0</v>
      </c>
      <c r="Q4241">
        <v>0</v>
      </c>
      <c r="R4241" t="s">
        <v>43171</v>
      </c>
      <c r="S4241" t="s">
        <v>43311</v>
      </c>
      <c r="T4241" t="s">
        <v>44892</v>
      </c>
      <c r="U4241" t="s">
        <v>48669</v>
      </c>
      <c r="W4241" t="s">
        <v>40866</v>
      </c>
      <c r="X4241" t="s">
        <v>43172</v>
      </c>
    </row>
    <row r="4242" spans="1:24">
      <c r="A4242">
        <f>HYPERLINK("https://www.philgeps.gov.ph/GEPSNONPILOT/Tender/SplashBidNoticeAbstractUI.aspx?menuIndex=3&amp;refID=7083762&amp;Result=3","7083762")</f>
        <v>0</v>
      </c>
      <c r="B4242" t="s">
        <v>1536</v>
      </c>
      <c r="C4242" t="s">
        <v>7460</v>
      </c>
      <c r="D4242" t="s">
        <v>17425</v>
      </c>
      <c r="E4242" t="s">
        <v>21193</v>
      </c>
      <c r="F4242" t="s">
        <v>30052</v>
      </c>
      <c r="G4242" t="s">
        <v>30058</v>
      </c>
      <c r="H4242" t="s">
        <v>15498</v>
      </c>
      <c r="I4242" t="s">
        <v>30135</v>
      </c>
      <c r="J4242" t="s">
        <v>32950</v>
      </c>
      <c r="K4242" t="s">
        <v>39023</v>
      </c>
      <c r="M4242" t="s">
        <v>40922</v>
      </c>
      <c r="N4242" t="s">
        <v>43166</v>
      </c>
      <c r="O4242" t="s">
        <v>43167</v>
      </c>
      <c r="P4242">
        <v>0</v>
      </c>
      <c r="Q4242">
        <v>2</v>
      </c>
      <c r="R4242" t="s">
        <v>43171</v>
      </c>
      <c r="S4242" t="s">
        <v>43311</v>
      </c>
      <c r="T4242" t="s">
        <v>44710</v>
      </c>
      <c r="U4242" t="s">
        <v>48670</v>
      </c>
      <c r="W4242" t="s">
        <v>40922</v>
      </c>
      <c r="X4242" t="s">
        <v>43172</v>
      </c>
    </row>
    <row r="4243" spans="1:24">
      <c r="A4243">
        <f>HYPERLINK("https://www.philgeps.gov.ph/GEPSNONPILOT/Tender/SplashBidNoticeAbstractUI.aspx?menuIndex=3&amp;refID=7083776&amp;Result=3","7083776")</f>
        <v>0</v>
      </c>
      <c r="B4243" t="s">
        <v>1278</v>
      </c>
      <c r="C4243" t="s">
        <v>7461</v>
      </c>
      <c r="D4243" t="s">
        <v>17449</v>
      </c>
      <c r="E4243" t="s">
        <v>21194</v>
      </c>
      <c r="F4243" t="s">
        <v>30052</v>
      </c>
      <c r="G4243" t="s">
        <v>30059</v>
      </c>
      <c r="H4243" t="s">
        <v>15498</v>
      </c>
      <c r="I4243" t="s">
        <v>9238</v>
      </c>
      <c r="J4243" t="s">
        <v>30276</v>
      </c>
      <c r="K4243" t="s">
        <v>39017</v>
      </c>
      <c r="M4243" t="s">
        <v>40642</v>
      </c>
      <c r="N4243" t="s">
        <v>43166</v>
      </c>
      <c r="O4243" t="s">
        <v>43167</v>
      </c>
      <c r="P4243">
        <v>0</v>
      </c>
      <c r="Q4243">
        <v>2</v>
      </c>
      <c r="R4243" t="s">
        <v>43171</v>
      </c>
      <c r="S4243" t="s">
        <v>43311</v>
      </c>
      <c r="T4243" t="s">
        <v>44837</v>
      </c>
      <c r="U4243" t="s">
        <v>48671</v>
      </c>
      <c r="W4243" t="s">
        <v>40642</v>
      </c>
      <c r="X4243" t="s">
        <v>43172</v>
      </c>
    </row>
    <row r="4244" spans="1:24">
      <c r="A4244">
        <f>HYPERLINK("https://www.philgeps.gov.ph/GEPSNONPILOT/Tender/SplashBidNoticeAbstractUI.aspx?menuIndex=3&amp;refID=7083705&amp;Result=3","7083705")</f>
        <v>0</v>
      </c>
      <c r="B4244" t="s">
        <v>1511</v>
      </c>
      <c r="C4244" t="s">
        <v>7462</v>
      </c>
      <c r="D4244" t="s">
        <v>17475</v>
      </c>
      <c r="E4244" t="s">
        <v>21195</v>
      </c>
      <c r="F4244" t="s">
        <v>30052</v>
      </c>
      <c r="G4244" t="s">
        <v>30058</v>
      </c>
      <c r="H4244" t="s">
        <v>15498</v>
      </c>
      <c r="I4244" t="s">
        <v>3736</v>
      </c>
      <c r="J4244" t="s">
        <v>32951</v>
      </c>
      <c r="K4244" t="s">
        <v>39046</v>
      </c>
      <c r="M4244" t="s">
        <v>40896</v>
      </c>
      <c r="N4244" t="s">
        <v>43166</v>
      </c>
      <c r="O4244" t="s">
        <v>43167</v>
      </c>
      <c r="P4244">
        <v>0</v>
      </c>
      <c r="Q4244">
        <v>0</v>
      </c>
      <c r="R4244" t="s">
        <v>43171</v>
      </c>
      <c r="S4244" t="s">
        <v>43311</v>
      </c>
      <c r="T4244" t="s">
        <v>44741</v>
      </c>
      <c r="U4244" t="s">
        <v>48653</v>
      </c>
      <c r="W4244" t="s">
        <v>40896</v>
      </c>
      <c r="X4244" t="s">
        <v>43172</v>
      </c>
    </row>
    <row r="4245" spans="1:24">
      <c r="A4245">
        <f>HYPERLINK("https://www.philgeps.gov.ph/GEPSNONPILOT/Tender/SplashBidNoticeAbstractUI.aspx?menuIndex=3&amp;refID=7083761&amp;Result=3","7083761")</f>
        <v>0</v>
      </c>
      <c r="B4245" t="s">
        <v>141</v>
      </c>
      <c r="C4245" t="s">
        <v>7463</v>
      </c>
      <c r="D4245" t="s">
        <v>17452</v>
      </c>
      <c r="E4245" t="s">
        <v>21196</v>
      </c>
      <c r="F4245" t="s">
        <v>30052</v>
      </c>
      <c r="G4245" t="s">
        <v>30059</v>
      </c>
      <c r="H4245" t="s">
        <v>15498</v>
      </c>
      <c r="I4245" t="s">
        <v>4119</v>
      </c>
      <c r="J4245" t="s">
        <v>32952</v>
      </c>
      <c r="K4245" t="s">
        <v>39019</v>
      </c>
      <c r="M4245" t="s">
        <v>40926</v>
      </c>
      <c r="N4245" t="s">
        <v>43166</v>
      </c>
      <c r="O4245" t="s">
        <v>43167</v>
      </c>
      <c r="P4245">
        <v>0</v>
      </c>
      <c r="Q4245">
        <v>2</v>
      </c>
      <c r="R4245" t="s">
        <v>43171</v>
      </c>
      <c r="S4245" t="s">
        <v>43311</v>
      </c>
      <c r="T4245" t="s">
        <v>44894</v>
      </c>
      <c r="U4245" t="s">
        <v>48672</v>
      </c>
      <c r="V4245" t="s">
        <v>57299</v>
      </c>
      <c r="W4245" t="s">
        <v>40926</v>
      </c>
      <c r="X4245" t="s">
        <v>43172</v>
      </c>
    </row>
    <row r="4246" spans="1:24">
      <c r="A4246">
        <f>HYPERLINK("https://www.philgeps.gov.ph/GEPSNONPILOT/Tender/SplashBidNoticeAbstractUI.aspx?menuIndex=3&amp;refID=7083759&amp;Result=3","7083759")</f>
        <v>0</v>
      </c>
      <c r="B4246" t="s">
        <v>1540</v>
      </c>
      <c r="C4246" t="s">
        <v>7464</v>
      </c>
      <c r="E4246" t="s">
        <v>21197</v>
      </c>
      <c r="F4246" t="s">
        <v>30052</v>
      </c>
      <c r="G4246" t="s">
        <v>30058</v>
      </c>
      <c r="H4246" t="s">
        <v>15498</v>
      </c>
      <c r="I4246" t="s">
        <v>3736</v>
      </c>
      <c r="J4246" t="s">
        <v>32953</v>
      </c>
      <c r="K4246" t="s">
        <v>39025</v>
      </c>
      <c r="M4246" t="s">
        <v>40927</v>
      </c>
      <c r="N4246" t="s">
        <v>43166</v>
      </c>
      <c r="O4246" t="s">
        <v>43167</v>
      </c>
      <c r="P4246">
        <v>0</v>
      </c>
      <c r="Q4246">
        <v>0</v>
      </c>
      <c r="R4246" t="s">
        <v>43171</v>
      </c>
      <c r="S4246" t="s">
        <v>43311</v>
      </c>
      <c r="T4246" t="s">
        <v>44959</v>
      </c>
      <c r="U4246" t="s">
        <v>48673</v>
      </c>
      <c r="W4246" t="s">
        <v>40927</v>
      </c>
      <c r="X4246" t="s">
        <v>43172</v>
      </c>
    </row>
    <row r="4247" spans="1:24">
      <c r="A4247">
        <f>HYPERLINK("https://www.philgeps.gov.ph/GEPSNONPILOT/Tender/SplashBidNoticeAbstractUI.aspx?menuIndex=3&amp;refID=7083781&amp;Result=3","7083781")</f>
        <v>0</v>
      </c>
      <c r="B4247" t="s">
        <v>544</v>
      </c>
      <c r="C4247" t="s">
        <v>7114</v>
      </c>
      <c r="D4247" t="s">
        <v>17434</v>
      </c>
      <c r="E4247" t="s">
        <v>21198</v>
      </c>
      <c r="F4247" t="s">
        <v>30052</v>
      </c>
      <c r="G4247" t="s">
        <v>30061</v>
      </c>
      <c r="H4247" t="s">
        <v>15498</v>
      </c>
      <c r="I4247" t="s">
        <v>4119</v>
      </c>
      <c r="J4247" t="s">
        <v>32954</v>
      </c>
      <c r="K4247" t="s">
        <v>39017</v>
      </c>
      <c r="M4247" t="s">
        <v>40928</v>
      </c>
      <c r="N4247" t="s">
        <v>43166</v>
      </c>
      <c r="O4247" t="s">
        <v>43167</v>
      </c>
      <c r="P4247">
        <v>0</v>
      </c>
      <c r="Q4247">
        <v>1</v>
      </c>
      <c r="R4247" t="s">
        <v>43171</v>
      </c>
      <c r="S4247" t="s">
        <v>43311</v>
      </c>
      <c r="T4247" t="s">
        <v>44735</v>
      </c>
      <c r="U4247" t="s">
        <v>48674</v>
      </c>
      <c r="W4247" t="s">
        <v>40928</v>
      </c>
      <c r="X4247" t="s">
        <v>43172</v>
      </c>
    </row>
    <row r="4248" spans="1:24">
      <c r="A4248">
        <f>HYPERLINK("https://www.philgeps.gov.ph/GEPSNONPILOT/Tender/SplashBidNoticeAbstractUI.aspx?menuIndex=3&amp;refID=7083833&amp;Result=3","7083833")</f>
        <v>0</v>
      </c>
      <c r="B4248" t="s">
        <v>236</v>
      </c>
      <c r="C4248" t="s">
        <v>5526</v>
      </c>
      <c r="D4248" t="s">
        <v>17476</v>
      </c>
      <c r="E4248" t="s">
        <v>21199</v>
      </c>
      <c r="F4248" t="s">
        <v>30052</v>
      </c>
      <c r="G4248" t="s">
        <v>30059</v>
      </c>
      <c r="H4248" t="s">
        <v>15498</v>
      </c>
      <c r="I4248" t="s">
        <v>3852</v>
      </c>
      <c r="J4248" t="s">
        <v>32955</v>
      </c>
      <c r="K4248" t="s">
        <v>39017</v>
      </c>
      <c r="M4248" t="s">
        <v>40231</v>
      </c>
      <c r="N4248" t="s">
        <v>43166</v>
      </c>
      <c r="O4248" t="s">
        <v>43167</v>
      </c>
      <c r="P4248">
        <v>0</v>
      </c>
      <c r="Q4248">
        <v>0</v>
      </c>
      <c r="R4248" t="s">
        <v>43171</v>
      </c>
      <c r="S4248" t="s">
        <v>43311</v>
      </c>
      <c r="T4248" t="s">
        <v>44708</v>
      </c>
      <c r="U4248" t="s">
        <v>48675</v>
      </c>
      <c r="W4248" t="s">
        <v>40231</v>
      </c>
      <c r="X4248" t="s">
        <v>43172</v>
      </c>
    </row>
    <row r="4249" spans="1:24">
      <c r="A4249">
        <f>HYPERLINK("https://www.philgeps.gov.ph/GEPSNONPILOT/Tender/SplashBidNoticeAbstractUI.aspx?menuIndex=3&amp;refID=7083770&amp;Result=3","7083770")</f>
        <v>0</v>
      </c>
      <c r="B4249" t="s">
        <v>1541</v>
      </c>
      <c r="C4249" t="s">
        <v>7465</v>
      </c>
      <c r="D4249" t="s">
        <v>17434</v>
      </c>
      <c r="E4249" t="s">
        <v>21200</v>
      </c>
      <c r="F4249" t="s">
        <v>30052</v>
      </c>
      <c r="G4249" t="s">
        <v>30058</v>
      </c>
      <c r="H4249" t="s">
        <v>15498</v>
      </c>
      <c r="I4249" t="s">
        <v>30074</v>
      </c>
      <c r="J4249" t="s">
        <v>30218</v>
      </c>
      <c r="K4249" t="s">
        <v>39018</v>
      </c>
      <c r="L4249" t="s">
        <v>1541</v>
      </c>
      <c r="M4249" t="s">
        <v>40929</v>
      </c>
      <c r="N4249" t="s">
        <v>43166</v>
      </c>
      <c r="O4249" t="s">
        <v>43167</v>
      </c>
      <c r="P4249">
        <v>0</v>
      </c>
      <c r="Q4249">
        <v>0</v>
      </c>
      <c r="R4249" t="s">
        <v>43171</v>
      </c>
      <c r="S4249" t="s">
        <v>43311</v>
      </c>
      <c r="T4249" t="s">
        <v>44715</v>
      </c>
      <c r="U4249" t="s">
        <v>48676</v>
      </c>
      <c r="W4249" t="s">
        <v>40929</v>
      </c>
      <c r="X4249" t="s">
        <v>43172</v>
      </c>
    </row>
    <row r="4250" spans="1:24">
      <c r="A4250">
        <f>HYPERLINK("https://www.philgeps.gov.ph/GEPSNONPILOT/Tender/SplashBidNoticeAbstractUI.aspx?menuIndex=3&amp;refID=7083830&amp;Result=3","7083830")</f>
        <v>0</v>
      </c>
      <c r="B4250" t="s">
        <v>1518</v>
      </c>
      <c r="C4250" t="s">
        <v>7466</v>
      </c>
      <c r="D4250" t="s">
        <v>17444</v>
      </c>
      <c r="E4250" t="s">
        <v>21201</v>
      </c>
      <c r="F4250" t="s">
        <v>30052</v>
      </c>
      <c r="G4250" t="s">
        <v>30058</v>
      </c>
      <c r="H4250" t="s">
        <v>30067</v>
      </c>
      <c r="I4250" t="s">
        <v>3693</v>
      </c>
      <c r="J4250" t="s">
        <v>32904</v>
      </c>
      <c r="K4250" t="s">
        <v>39142</v>
      </c>
      <c r="M4250" t="s">
        <v>40904</v>
      </c>
      <c r="N4250" t="s">
        <v>43166</v>
      </c>
      <c r="O4250" t="s">
        <v>43167</v>
      </c>
      <c r="P4250">
        <v>0</v>
      </c>
      <c r="Q4250">
        <v>0</v>
      </c>
      <c r="R4250" t="s">
        <v>43171</v>
      </c>
      <c r="S4250" t="s">
        <v>43311</v>
      </c>
      <c r="T4250" t="s">
        <v>44722</v>
      </c>
      <c r="U4250" t="s">
        <v>48605</v>
      </c>
      <c r="W4250" t="s">
        <v>40904</v>
      </c>
      <c r="X4250" t="s">
        <v>43172</v>
      </c>
    </row>
    <row r="4251" spans="1:24">
      <c r="A4251">
        <f>HYPERLINK("https://www.philgeps.gov.ph/GEPSNONPILOT/Tender/SplashBidNoticeAbstractUI.aspx?menuIndex=3&amp;refID=7083829&amp;Result=3","7083829")</f>
        <v>0</v>
      </c>
      <c r="B4251" t="s">
        <v>217</v>
      </c>
      <c r="C4251" t="s">
        <v>7467</v>
      </c>
      <c r="D4251" t="s">
        <v>17458</v>
      </c>
      <c r="E4251" t="s">
        <v>21202</v>
      </c>
      <c r="F4251" t="s">
        <v>30052</v>
      </c>
      <c r="G4251" t="s">
        <v>30059</v>
      </c>
      <c r="H4251" t="s">
        <v>15498</v>
      </c>
      <c r="I4251" t="s">
        <v>4598</v>
      </c>
      <c r="J4251" t="s">
        <v>30287</v>
      </c>
      <c r="K4251" t="s">
        <v>39019</v>
      </c>
      <c r="M4251" t="s">
        <v>39507</v>
      </c>
      <c r="N4251" t="s">
        <v>43166</v>
      </c>
      <c r="O4251" t="s">
        <v>43167</v>
      </c>
      <c r="P4251">
        <v>0</v>
      </c>
      <c r="Q4251">
        <v>2</v>
      </c>
      <c r="R4251" t="s">
        <v>43171</v>
      </c>
      <c r="S4251" t="s">
        <v>43311</v>
      </c>
      <c r="T4251" t="s">
        <v>44943</v>
      </c>
      <c r="U4251" t="s">
        <v>48677</v>
      </c>
      <c r="W4251" t="s">
        <v>39507</v>
      </c>
      <c r="X4251" t="s">
        <v>43172</v>
      </c>
    </row>
    <row r="4252" spans="1:24">
      <c r="A4252">
        <f>HYPERLINK("https://www.philgeps.gov.ph/GEPSNONPILOT/Tender/SplashBidNoticeAbstractUI.aspx?menuIndex=3&amp;refID=7083788&amp;Result=3","7083788")</f>
        <v>0</v>
      </c>
      <c r="B4252" t="s">
        <v>1511</v>
      </c>
      <c r="C4252" t="s">
        <v>7468</v>
      </c>
      <c r="D4252" t="s">
        <v>17475</v>
      </c>
      <c r="E4252" t="s">
        <v>21203</v>
      </c>
      <c r="F4252" t="s">
        <v>30052</v>
      </c>
      <c r="G4252" t="s">
        <v>30058</v>
      </c>
      <c r="H4252" t="s">
        <v>15498</v>
      </c>
      <c r="I4252" t="s">
        <v>3736</v>
      </c>
      <c r="J4252" t="s">
        <v>32956</v>
      </c>
      <c r="K4252" t="s">
        <v>39046</v>
      </c>
      <c r="M4252" t="s">
        <v>40896</v>
      </c>
      <c r="N4252" t="s">
        <v>43166</v>
      </c>
      <c r="O4252" t="s">
        <v>43167</v>
      </c>
      <c r="P4252">
        <v>0</v>
      </c>
      <c r="Q4252">
        <v>0</v>
      </c>
      <c r="R4252" t="s">
        <v>43171</v>
      </c>
      <c r="S4252" t="s">
        <v>43311</v>
      </c>
      <c r="T4252" t="s">
        <v>44741</v>
      </c>
      <c r="U4252" t="s">
        <v>48653</v>
      </c>
      <c r="W4252" t="s">
        <v>40896</v>
      </c>
      <c r="X4252" t="s">
        <v>43172</v>
      </c>
    </row>
    <row r="4253" spans="1:24">
      <c r="A4253">
        <f>HYPERLINK("https://www.philgeps.gov.ph/GEPSNONPILOT/Tender/SplashBidNoticeAbstractUI.aspx?menuIndex=3&amp;refID=7083758&amp;Result=3","7083758")</f>
        <v>0</v>
      </c>
      <c r="B4253" t="s">
        <v>1483</v>
      </c>
      <c r="C4253" t="s">
        <v>7469</v>
      </c>
      <c r="D4253" t="s">
        <v>17414</v>
      </c>
      <c r="E4253" t="s">
        <v>21204</v>
      </c>
      <c r="F4253" t="s">
        <v>30052</v>
      </c>
      <c r="G4253" t="s">
        <v>30058</v>
      </c>
      <c r="H4253" t="s">
        <v>15498</v>
      </c>
      <c r="I4253" t="s">
        <v>30073</v>
      </c>
      <c r="J4253" t="s">
        <v>30222</v>
      </c>
      <c r="K4253" t="s">
        <v>39031</v>
      </c>
      <c r="M4253" t="s">
        <v>40866</v>
      </c>
      <c r="N4253" t="s">
        <v>43166</v>
      </c>
      <c r="O4253" t="s">
        <v>43167</v>
      </c>
      <c r="P4253">
        <v>0</v>
      </c>
      <c r="Q4253">
        <v>0</v>
      </c>
      <c r="R4253" t="s">
        <v>43171</v>
      </c>
      <c r="S4253" t="s">
        <v>43311</v>
      </c>
      <c r="T4253" t="s">
        <v>44892</v>
      </c>
      <c r="U4253" t="s">
        <v>48678</v>
      </c>
      <c r="W4253" t="s">
        <v>40866</v>
      </c>
      <c r="X4253" t="s">
        <v>43172</v>
      </c>
    </row>
    <row r="4254" spans="1:24">
      <c r="A4254">
        <f>HYPERLINK("https://www.philgeps.gov.ph/GEPSNONPILOT/Tender/SplashBidNoticeAbstractUI.aspx?menuIndex=3&amp;refID=7083819&amp;Result=3","7083819")</f>
        <v>0</v>
      </c>
      <c r="B4254" t="s">
        <v>1208</v>
      </c>
      <c r="C4254" t="s">
        <v>7470</v>
      </c>
      <c r="D4254" t="s">
        <v>17441</v>
      </c>
      <c r="E4254" t="s">
        <v>21191</v>
      </c>
      <c r="F4254" t="s">
        <v>30052</v>
      </c>
      <c r="G4254" t="s">
        <v>30058</v>
      </c>
      <c r="H4254" t="s">
        <v>30067</v>
      </c>
      <c r="I4254" t="s">
        <v>3693</v>
      </c>
      <c r="J4254" t="s">
        <v>30252</v>
      </c>
      <c r="K4254" t="s">
        <v>39026</v>
      </c>
      <c r="L4254" t="s">
        <v>1208</v>
      </c>
      <c r="M4254" t="s">
        <v>40562</v>
      </c>
      <c r="N4254" t="s">
        <v>43166</v>
      </c>
      <c r="O4254" t="s">
        <v>43167</v>
      </c>
      <c r="P4254">
        <v>0</v>
      </c>
      <c r="Q4254">
        <v>5</v>
      </c>
      <c r="R4254" t="s">
        <v>43171</v>
      </c>
      <c r="S4254" t="s">
        <v>43311</v>
      </c>
      <c r="T4254" t="s">
        <v>44813</v>
      </c>
      <c r="U4254" t="s">
        <v>48668</v>
      </c>
      <c r="W4254" t="s">
        <v>40562</v>
      </c>
      <c r="X4254" t="s">
        <v>43172</v>
      </c>
    </row>
    <row r="4255" spans="1:24">
      <c r="A4255">
        <f>HYPERLINK("https://www.philgeps.gov.ph/GEPSNONPILOT/Tender/SplashBidNoticeAbstractUI.aspx?menuIndex=3&amp;refID=7083818&amp;Result=3","7083818")</f>
        <v>0</v>
      </c>
      <c r="B4255" t="s">
        <v>765</v>
      </c>
      <c r="C4255" t="s">
        <v>7471</v>
      </c>
      <c r="D4255" t="s">
        <v>17468</v>
      </c>
      <c r="E4255" t="s">
        <v>21205</v>
      </c>
      <c r="F4255" t="s">
        <v>30052</v>
      </c>
      <c r="G4255" t="s">
        <v>30058</v>
      </c>
      <c r="H4255" t="s">
        <v>15498</v>
      </c>
      <c r="I4255" t="s">
        <v>30084</v>
      </c>
      <c r="J4255" t="s">
        <v>30856</v>
      </c>
      <c r="K4255" t="s">
        <v>39029</v>
      </c>
      <c r="M4255" t="s">
        <v>40079</v>
      </c>
      <c r="N4255" t="s">
        <v>43166</v>
      </c>
      <c r="O4255" t="s">
        <v>43167</v>
      </c>
      <c r="P4255">
        <v>0</v>
      </c>
      <c r="Q4255">
        <v>2</v>
      </c>
      <c r="R4255" t="s">
        <v>43171</v>
      </c>
      <c r="S4255" t="s">
        <v>43311</v>
      </c>
      <c r="T4255" t="s">
        <v>44891</v>
      </c>
      <c r="U4255" t="s">
        <v>48679</v>
      </c>
      <c r="W4255" t="s">
        <v>40079</v>
      </c>
      <c r="X4255" t="s">
        <v>43172</v>
      </c>
    </row>
    <row r="4256" spans="1:24">
      <c r="A4256">
        <f>HYPERLINK("https://www.philgeps.gov.ph/GEPSNONPILOT/Tender/SplashBidNoticeAbstractUI.aspx?menuIndex=3&amp;refID=7083813&amp;Result=3","7083813")</f>
        <v>0</v>
      </c>
      <c r="B4256" t="s">
        <v>892</v>
      </c>
      <c r="C4256" t="s">
        <v>7472</v>
      </c>
      <c r="D4256" t="s">
        <v>17471</v>
      </c>
      <c r="E4256" t="s">
        <v>21206</v>
      </c>
      <c r="F4256" t="s">
        <v>30052</v>
      </c>
      <c r="G4256" t="s">
        <v>30058</v>
      </c>
      <c r="H4256" t="s">
        <v>15498</v>
      </c>
      <c r="I4256" t="s">
        <v>30075</v>
      </c>
      <c r="J4256" t="s">
        <v>30432</v>
      </c>
      <c r="K4256" t="s">
        <v>39029</v>
      </c>
      <c r="M4256" t="s">
        <v>40211</v>
      </c>
      <c r="N4256" t="s">
        <v>43166</v>
      </c>
      <c r="O4256" t="s">
        <v>43167</v>
      </c>
      <c r="P4256">
        <v>0</v>
      </c>
      <c r="Q4256">
        <v>1</v>
      </c>
      <c r="R4256" t="s">
        <v>43171</v>
      </c>
      <c r="S4256" t="s">
        <v>43311</v>
      </c>
      <c r="T4256" t="s">
        <v>44726</v>
      </c>
      <c r="U4256" t="s">
        <v>48680</v>
      </c>
      <c r="W4256" t="s">
        <v>40211</v>
      </c>
      <c r="X4256" t="s">
        <v>43172</v>
      </c>
    </row>
    <row r="4257" spans="1:24">
      <c r="A4257">
        <f>HYPERLINK("https://www.philgeps.gov.ph/GEPSNONPILOT/Tender/SplashBidNoticeAbstractUI.aspx?menuIndex=3&amp;refID=7083824&amp;Result=3","7083824")</f>
        <v>0</v>
      </c>
      <c r="B4257" t="s">
        <v>1542</v>
      </c>
      <c r="C4257" t="s">
        <v>7473</v>
      </c>
      <c r="D4257" t="s">
        <v>17415</v>
      </c>
      <c r="E4257" t="s">
        <v>21207</v>
      </c>
      <c r="F4257" t="s">
        <v>30052</v>
      </c>
      <c r="G4257" t="s">
        <v>30058</v>
      </c>
      <c r="H4257" t="s">
        <v>15498</v>
      </c>
      <c r="I4257" t="s">
        <v>3852</v>
      </c>
      <c r="J4257" t="s">
        <v>32185</v>
      </c>
      <c r="K4257" t="s">
        <v>39029</v>
      </c>
      <c r="M4257" t="s">
        <v>40930</v>
      </c>
      <c r="N4257" t="s">
        <v>43166</v>
      </c>
      <c r="O4257" t="s">
        <v>43167</v>
      </c>
      <c r="P4257">
        <v>0</v>
      </c>
      <c r="Q4257">
        <v>1</v>
      </c>
      <c r="R4257" t="s">
        <v>43171</v>
      </c>
      <c r="S4257" t="s">
        <v>43311</v>
      </c>
      <c r="T4257" t="s">
        <v>44681</v>
      </c>
      <c r="U4257" t="s">
        <v>48681</v>
      </c>
      <c r="W4257" t="s">
        <v>40930</v>
      </c>
      <c r="X4257" t="s">
        <v>43172</v>
      </c>
    </row>
    <row r="4258" spans="1:24">
      <c r="A4258">
        <f>HYPERLINK("https://www.philgeps.gov.ph/GEPSNONPILOT/Tender/SplashBidNoticeAbstractUI.aspx?menuIndex=3&amp;refID=7083809&amp;Result=3","7083809")</f>
        <v>0</v>
      </c>
      <c r="B4258" t="s">
        <v>1518</v>
      </c>
      <c r="C4258" t="s">
        <v>7474</v>
      </c>
      <c r="D4258" t="s">
        <v>17444</v>
      </c>
      <c r="E4258" t="s">
        <v>21208</v>
      </c>
      <c r="F4258" t="s">
        <v>30052</v>
      </c>
      <c r="G4258" t="s">
        <v>30058</v>
      </c>
      <c r="H4258" t="s">
        <v>30067</v>
      </c>
      <c r="I4258" t="s">
        <v>3693</v>
      </c>
      <c r="J4258" t="s">
        <v>32904</v>
      </c>
      <c r="K4258" t="s">
        <v>39142</v>
      </c>
      <c r="M4258" t="s">
        <v>40904</v>
      </c>
      <c r="N4258" t="s">
        <v>43166</v>
      </c>
      <c r="O4258" t="s">
        <v>43167</v>
      </c>
      <c r="P4258">
        <v>0</v>
      </c>
      <c r="Q4258">
        <v>0</v>
      </c>
      <c r="R4258" t="s">
        <v>43171</v>
      </c>
      <c r="S4258" t="s">
        <v>43311</v>
      </c>
      <c r="T4258" t="s">
        <v>44722</v>
      </c>
      <c r="U4258" t="s">
        <v>48605</v>
      </c>
      <c r="W4258" t="s">
        <v>40904</v>
      </c>
      <c r="X4258" t="s">
        <v>43172</v>
      </c>
    </row>
    <row r="4259" spans="1:24">
      <c r="A4259">
        <f>HYPERLINK("https://www.philgeps.gov.ph/GEPSNONPILOT/Tender/SplashBidNoticeAbstractUI.aspx?menuIndex=3&amp;refID=7083802&amp;Result=3","7083802")</f>
        <v>0</v>
      </c>
      <c r="B4259" t="s">
        <v>1534</v>
      </c>
      <c r="C4259" t="s">
        <v>7475</v>
      </c>
      <c r="D4259" t="s">
        <v>17447</v>
      </c>
      <c r="E4259" t="s">
        <v>21209</v>
      </c>
      <c r="F4259" t="s">
        <v>30052</v>
      </c>
      <c r="G4259" t="s">
        <v>30058</v>
      </c>
      <c r="H4259" t="s">
        <v>15498</v>
      </c>
      <c r="I4259" t="s">
        <v>30083</v>
      </c>
      <c r="J4259" t="s">
        <v>30321</v>
      </c>
      <c r="K4259" t="s">
        <v>39025</v>
      </c>
      <c r="M4259" t="s">
        <v>40920</v>
      </c>
      <c r="N4259" t="s">
        <v>43166</v>
      </c>
      <c r="O4259" t="s">
        <v>43167</v>
      </c>
      <c r="P4259">
        <v>0</v>
      </c>
      <c r="Q4259">
        <v>3</v>
      </c>
      <c r="R4259" t="s">
        <v>43171</v>
      </c>
      <c r="S4259" t="s">
        <v>43311</v>
      </c>
      <c r="T4259" t="s">
        <v>44721</v>
      </c>
      <c r="U4259" t="s">
        <v>48682</v>
      </c>
      <c r="W4259" t="s">
        <v>40920</v>
      </c>
      <c r="X4259" t="s">
        <v>43172</v>
      </c>
    </row>
    <row r="4260" spans="1:24">
      <c r="A4260">
        <f>HYPERLINK("https://www.philgeps.gov.ph/GEPSNONPILOT/Tender/SplashBidNoticeAbstractUI.aspx?menuIndex=3&amp;refID=7083801&amp;Result=3","7083801")</f>
        <v>0</v>
      </c>
      <c r="B4260" t="s">
        <v>1543</v>
      </c>
      <c r="C4260" t="s">
        <v>7476</v>
      </c>
      <c r="D4260" t="s">
        <v>17441</v>
      </c>
      <c r="E4260" t="s">
        <v>21210</v>
      </c>
      <c r="F4260" t="s">
        <v>30052</v>
      </c>
      <c r="G4260" t="s">
        <v>30058</v>
      </c>
      <c r="H4260" t="s">
        <v>30067</v>
      </c>
      <c r="I4260" t="s">
        <v>3693</v>
      </c>
      <c r="J4260" t="s">
        <v>32957</v>
      </c>
      <c r="K4260" t="s">
        <v>39025</v>
      </c>
      <c r="M4260" t="s">
        <v>40931</v>
      </c>
      <c r="N4260" t="s">
        <v>43166</v>
      </c>
      <c r="O4260" t="s">
        <v>43167</v>
      </c>
      <c r="P4260">
        <v>0</v>
      </c>
      <c r="Q4260">
        <v>39</v>
      </c>
      <c r="R4260" t="s">
        <v>43171</v>
      </c>
      <c r="S4260" t="s">
        <v>43311</v>
      </c>
      <c r="T4260" t="s">
        <v>44828</v>
      </c>
      <c r="U4260" t="s">
        <v>48683</v>
      </c>
      <c r="W4260" t="s">
        <v>40931</v>
      </c>
      <c r="X4260" t="s">
        <v>43172</v>
      </c>
    </row>
    <row r="4261" spans="1:24">
      <c r="A4261">
        <f>HYPERLINK("https://www.philgeps.gov.ph/GEPSNONPILOT/Tender/SplashBidNoticeAbstractUI.aspx?menuIndex=3&amp;refID=7083800&amp;Result=3","7083800")</f>
        <v>0</v>
      </c>
      <c r="B4261" t="s">
        <v>217</v>
      </c>
      <c r="C4261" t="s">
        <v>7477</v>
      </c>
      <c r="D4261" t="s">
        <v>17458</v>
      </c>
      <c r="E4261" t="s">
        <v>21211</v>
      </c>
      <c r="F4261" t="s">
        <v>30052</v>
      </c>
      <c r="G4261" t="s">
        <v>30058</v>
      </c>
      <c r="H4261" t="s">
        <v>15498</v>
      </c>
      <c r="I4261" t="s">
        <v>30073</v>
      </c>
      <c r="J4261" t="s">
        <v>32958</v>
      </c>
      <c r="K4261" t="s">
        <v>39019</v>
      </c>
      <c r="M4261" t="s">
        <v>39507</v>
      </c>
      <c r="N4261" t="s">
        <v>43166</v>
      </c>
      <c r="O4261" t="s">
        <v>43167</v>
      </c>
      <c r="P4261">
        <v>0</v>
      </c>
      <c r="Q4261">
        <v>0</v>
      </c>
      <c r="R4261" t="s">
        <v>43171</v>
      </c>
      <c r="S4261" t="s">
        <v>43311</v>
      </c>
      <c r="T4261" t="s">
        <v>44741</v>
      </c>
      <c r="U4261" t="s">
        <v>48684</v>
      </c>
      <c r="W4261" t="s">
        <v>39507</v>
      </c>
      <c r="X4261" t="s">
        <v>43172</v>
      </c>
    </row>
    <row r="4262" spans="1:24">
      <c r="A4262">
        <f>HYPERLINK("https://www.philgeps.gov.ph/GEPSNONPILOT/Tender/SplashBidNoticeAbstractUI.aspx?menuIndex=3&amp;refID=7083817&amp;Result=3","7083817")</f>
        <v>0</v>
      </c>
      <c r="B4262" t="s">
        <v>595</v>
      </c>
      <c r="C4262" t="s">
        <v>7478</v>
      </c>
      <c r="E4262" t="s">
        <v>21212</v>
      </c>
      <c r="F4262" t="s">
        <v>30052</v>
      </c>
      <c r="G4262" t="s">
        <v>30058</v>
      </c>
      <c r="H4262" t="s">
        <v>30067</v>
      </c>
      <c r="I4262" t="s">
        <v>3693</v>
      </c>
      <c r="J4262" t="s">
        <v>30222</v>
      </c>
      <c r="K4262" t="s">
        <v>39025</v>
      </c>
      <c r="M4262" t="s">
        <v>39897</v>
      </c>
      <c r="N4262" t="s">
        <v>43166</v>
      </c>
      <c r="O4262" t="s">
        <v>43167</v>
      </c>
      <c r="P4262">
        <v>0</v>
      </c>
      <c r="Q4262">
        <v>2</v>
      </c>
      <c r="R4262" t="s">
        <v>43171</v>
      </c>
      <c r="S4262" t="s">
        <v>43311</v>
      </c>
      <c r="T4262" t="s">
        <v>44853</v>
      </c>
      <c r="U4262" t="s">
        <v>48685</v>
      </c>
      <c r="V4262" t="s">
        <v>56838</v>
      </c>
      <c r="W4262" t="s">
        <v>39897</v>
      </c>
      <c r="X4262" t="s">
        <v>43172</v>
      </c>
    </row>
    <row r="4263" spans="1:24">
      <c r="A4263">
        <f>HYPERLINK("https://www.philgeps.gov.ph/GEPSNONPILOT/Tender/SplashBidNoticeAbstractUI.aspx?menuIndex=3&amp;refID=7083812&amp;Result=3","7083812")</f>
        <v>0</v>
      </c>
      <c r="B4263" t="s">
        <v>511</v>
      </c>
      <c r="C4263" t="s">
        <v>7479</v>
      </c>
      <c r="D4263" t="s">
        <v>17480</v>
      </c>
      <c r="E4263" t="s">
        <v>21213</v>
      </c>
      <c r="F4263" t="s">
        <v>30052</v>
      </c>
      <c r="G4263" t="s">
        <v>30058</v>
      </c>
      <c r="H4263" t="s">
        <v>15498</v>
      </c>
      <c r="I4263" t="s">
        <v>30135</v>
      </c>
      <c r="J4263" t="s">
        <v>31060</v>
      </c>
      <c r="K4263" t="s">
        <v>39023</v>
      </c>
      <c r="M4263" t="s">
        <v>39812</v>
      </c>
      <c r="N4263" t="s">
        <v>43166</v>
      </c>
      <c r="O4263" t="s">
        <v>43167</v>
      </c>
      <c r="Q4263">
        <v>8</v>
      </c>
      <c r="R4263" t="s">
        <v>43171</v>
      </c>
      <c r="S4263" t="s">
        <v>43326</v>
      </c>
      <c r="T4263" t="s">
        <v>44827</v>
      </c>
      <c r="U4263" t="s">
        <v>48686</v>
      </c>
      <c r="V4263" t="s">
        <v>57300</v>
      </c>
      <c r="W4263" t="s">
        <v>39812</v>
      </c>
      <c r="X4263" t="s">
        <v>43172</v>
      </c>
    </row>
    <row r="4264" spans="1:24">
      <c r="A4264">
        <f>HYPERLINK("https://www.philgeps.gov.ph/GEPSNONPILOT/Tender/SplashBidNoticeAbstractUI.aspx?menuIndex=3&amp;refID=7083792&amp;Result=3","7083792")</f>
        <v>0</v>
      </c>
      <c r="B4264" t="s">
        <v>1471</v>
      </c>
      <c r="C4264" t="s">
        <v>7480</v>
      </c>
      <c r="D4264" t="s">
        <v>17445</v>
      </c>
      <c r="E4264" t="s">
        <v>7480</v>
      </c>
      <c r="F4264" t="s">
        <v>30052</v>
      </c>
      <c r="G4264" t="s">
        <v>30059</v>
      </c>
      <c r="H4264" t="s">
        <v>15498</v>
      </c>
      <c r="I4264" t="s">
        <v>3736</v>
      </c>
      <c r="J4264" t="s">
        <v>32799</v>
      </c>
      <c r="K4264" t="s">
        <v>39017</v>
      </c>
      <c r="M4264" t="s">
        <v>40853</v>
      </c>
      <c r="N4264" t="s">
        <v>43166</v>
      </c>
      <c r="O4264" t="s">
        <v>43167</v>
      </c>
      <c r="P4264">
        <v>0</v>
      </c>
      <c r="Q4264">
        <v>3</v>
      </c>
      <c r="R4264" t="s">
        <v>43171</v>
      </c>
      <c r="S4264" t="s">
        <v>43311</v>
      </c>
      <c r="T4264" t="s">
        <v>44698</v>
      </c>
      <c r="U4264" t="s">
        <v>48482</v>
      </c>
      <c r="W4264" t="s">
        <v>40853</v>
      </c>
      <c r="X4264" t="s">
        <v>43172</v>
      </c>
    </row>
    <row r="4265" spans="1:24">
      <c r="A4265">
        <f>HYPERLINK("https://www.philgeps.gov.ph/GEPSNONPILOT/Tender/SplashBidNoticeAbstractUI.aspx?menuIndex=3&amp;refID=7083712&amp;Result=3","7083712")</f>
        <v>0</v>
      </c>
      <c r="B4265" t="s">
        <v>1428</v>
      </c>
      <c r="C4265" t="s">
        <v>7481</v>
      </c>
      <c r="D4265" t="s">
        <v>17463</v>
      </c>
      <c r="E4265" t="s">
        <v>17602</v>
      </c>
      <c r="F4265" t="s">
        <v>30052</v>
      </c>
      <c r="G4265" t="s">
        <v>30058</v>
      </c>
      <c r="H4265" t="s">
        <v>30067</v>
      </c>
      <c r="I4265" t="s">
        <v>3693</v>
      </c>
      <c r="J4265" t="s">
        <v>30230</v>
      </c>
      <c r="K4265" t="s">
        <v>39023</v>
      </c>
      <c r="M4265" t="s">
        <v>40806</v>
      </c>
      <c r="N4265" t="s">
        <v>43166</v>
      </c>
      <c r="O4265" t="s">
        <v>43167</v>
      </c>
      <c r="P4265">
        <v>0</v>
      </c>
      <c r="Q4265">
        <v>2</v>
      </c>
      <c r="R4265" t="s">
        <v>43171</v>
      </c>
      <c r="S4265" t="s">
        <v>43311</v>
      </c>
      <c r="T4265" t="s">
        <v>44955</v>
      </c>
      <c r="U4265" t="s">
        <v>48687</v>
      </c>
      <c r="W4265" t="s">
        <v>40806</v>
      </c>
      <c r="X4265" t="s">
        <v>43172</v>
      </c>
    </row>
    <row r="4266" spans="1:24">
      <c r="A4266">
        <f>HYPERLINK("https://www.philgeps.gov.ph/GEPSNONPILOT/Tender/SplashBidNoticeAbstractUI.aspx?menuIndex=3&amp;refID=7083823&amp;Result=3","7083823")</f>
        <v>0</v>
      </c>
      <c r="B4266" t="s">
        <v>1544</v>
      </c>
      <c r="C4266" t="s">
        <v>7482</v>
      </c>
      <c r="D4266" t="s">
        <v>17446</v>
      </c>
      <c r="E4266" t="s">
        <v>21214</v>
      </c>
      <c r="F4266" t="s">
        <v>30052</v>
      </c>
      <c r="G4266" t="s">
        <v>30059</v>
      </c>
      <c r="H4266" t="s">
        <v>15498</v>
      </c>
      <c r="I4266" t="s">
        <v>3736</v>
      </c>
      <c r="J4266" t="s">
        <v>32959</v>
      </c>
      <c r="K4266" t="s">
        <v>39029</v>
      </c>
      <c r="M4266" t="s">
        <v>40932</v>
      </c>
      <c r="N4266" t="s">
        <v>43166</v>
      </c>
      <c r="O4266" t="s">
        <v>43167</v>
      </c>
      <c r="P4266">
        <v>0</v>
      </c>
      <c r="Q4266">
        <v>2</v>
      </c>
      <c r="R4266" t="s">
        <v>43171</v>
      </c>
      <c r="S4266" t="s">
        <v>43311</v>
      </c>
      <c r="T4266" t="s">
        <v>44717</v>
      </c>
      <c r="U4266" t="s">
        <v>48688</v>
      </c>
      <c r="W4266" t="s">
        <v>40932</v>
      </c>
      <c r="X4266" t="s">
        <v>43172</v>
      </c>
    </row>
    <row r="4267" spans="1:24">
      <c r="A4267">
        <f>HYPERLINK("https://www.philgeps.gov.ph/GEPSNONPILOT/Tender/SplashBidNoticeAbstractUI.aspx?menuIndex=3&amp;refID=7083871&amp;Result=3","7083871")</f>
        <v>0</v>
      </c>
      <c r="B4267" t="s">
        <v>1373</v>
      </c>
      <c r="C4267" t="s">
        <v>7483</v>
      </c>
      <c r="D4267" t="s">
        <v>17501</v>
      </c>
      <c r="E4267" t="s">
        <v>21215</v>
      </c>
      <c r="F4267" t="s">
        <v>30052</v>
      </c>
      <c r="G4267" t="s">
        <v>30059</v>
      </c>
      <c r="H4267" t="s">
        <v>15498</v>
      </c>
      <c r="I4267" t="s">
        <v>6691</v>
      </c>
      <c r="J4267" t="s">
        <v>31970</v>
      </c>
      <c r="K4267" t="s">
        <v>39018</v>
      </c>
      <c r="M4267" t="s">
        <v>40745</v>
      </c>
      <c r="N4267" t="s">
        <v>43166</v>
      </c>
      <c r="O4267" t="s">
        <v>43167</v>
      </c>
      <c r="P4267">
        <v>0</v>
      </c>
      <c r="Q4267">
        <v>0</v>
      </c>
      <c r="R4267" t="s">
        <v>43171</v>
      </c>
      <c r="S4267" t="s">
        <v>43311</v>
      </c>
      <c r="T4267" t="s">
        <v>44989</v>
      </c>
      <c r="U4267" t="s">
        <v>48689</v>
      </c>
      <c r="W4267" t="s">
        <v>58637</v>
      </c>
      <c r="X4267" t="s">
        <v>43172</v>
      </c>
    </row>
    <row r="4268" spans="1:24">
      <c r="A4268">
        <f>HYPERLINK("https://www.philgeps.gov.ph/GEPSNONPILOT/Tender/SplashBidNoticeAbstractUI.aspx?menuIndex=3&amp;refID=7083867&amp;Result=3","7083867")</f>
        <v>0</v>
      </c>
      <c r="B4268" t="s">
        <v>629</v>
      </c>
      <c r="C4268" t="s">
        <v>7484</v>
      </c>
      <c r="D4268" t="s">
        <v>17415</v>
      </c>
      <c r="E4268" t="s">
        <v>21216</v>
      </c>
      <c r="F4268" t="s">
        <v>30052</v>
      </c>
      <c r="G4268" t="s">
        <v>30062</v>
      </c>
      <c r="H4268" t="s">
        <v>15498</v>
      </c>
      <c r="I4268" t="s">
        <v>4650</v>
      </c>
      <c r="J4268" t="s">
        <v>31189</v>
      </c>
      <c r="K4268" t="s">
        <v>39019</v>
      </c>
      <c r="M4268" t="s">
        <v>40046</v>
      </c>
      <c r="N4268" t="s">
        <v>43166</v>
      </c>
      <c r="O4268" t="s">
        <v>43167</v>
      </c>
      <c r="P4268">
        <v>0</v>
      </c>
      <c r="Q4268">
        <v>12</v>
      </c>
      <c r="R4268" t="s">
        <v>43171</v>
      </c>
      <c r="S4268" t="s">
        <v>43311</v>
      </c>
      <c r="T4268" t="s">
        <v>44773</v>
      </c>
      <c r="U4268" t="s">
        <v>48690</v>
      </c>
      <c r="V4268" t="s">
        <v>57301</v>
      </c>
      <c r="W4268" t="s">
        <v>40046</v>
      </c>
      <c r="X4268" t="s">
        <v>43172</v>
      </c>
    </row>
    <row r="4269" spans="1:24">
      <c r="A4269">
        <f>HYPERLINK("https://www.philgeps.gov.ph/GEPSNONPILOT/Tender/SplashBidNoticeAbstractUI.aspx?menuIndex=3&amp;refID=7083822&amp;Result=3","7083822")</f>
        <v>0</v>
      </c>
      <c r="B4269" t="s">
        <v>1545</v>
      </c>
      <c r="C4269" t="s">
        <v>7485</v>
      </c>
      <c r="D4269" t="s">
        <v>17466</v>
      </c>
      <c r="E4269" t="s">
        <v>21217</v>
      </c>
      <c r="F4269" t="s">
        <v>30052</v>
      </c>
      <c r="G4269" t="s">
        <v>30059</v>
      </c>
      <c r="H4269" t="s">
        <v>15498</v>
      </c>
      <c r="I4269" t="s">
        <v>30085</v>
      </c>
      <c r="J4269" t="s">
        <v>30350</v>
      </c>
      <c r="K4269" t="s">
        <v>39017</v>
      </c>
      <c r="M4269" t="s">
        <v>40933</v>
      </c>
      <c r="N4269" t="s">
        <v>43166</v>
      </c>
      <c r="O4269" t="s">
        <v>43167</v>
      </c>
      <c r="P4269">
        <v>0</v>
      </c>
      <c r="Q4269">
        <v>0</v>
      </c>
      <c r="R4269" t="s">
        <v>43171</v>
      </c>
      <c r="S4269" t="s">
        <v>43311</v>
      </c>
      <c r="T4269" t="s">
        <v>44782</v>
      </c>
      <c r="U4269" t="s">
        <v>48691</v>
      </c>
      <c r="W4269" t="s">
        <v>40933</v>
      </c>
      <c r="X4269" t="s">
        <v>43172</v>
      </c>
    </row>
    <row r="4270" spans="1:24">
      <c r="A4270">
        <f>HYPERLINK("https://www.philgeps.gov.ph/GEPSNONPILOT/Tender/SplashBidNoticeAbstractUI.aspx?menuIndex=3&amp;refID=7083866&amp;Result=3","7083866")</f>
        <v>0</v>
      </c>
      <c r="B4270" t="s">
        <v>1208</v>
      </c>
      <c r="C4270" t="s">
        <v>7486</v>
      </c>
      <c r="D4270" t="s">
        <v>17441</v>
      </c>
      <c r="E4270" t="s">
        <v>21191</v>
      </c>
      <c r="F4270" t="s">
        <v>30052</v>
      </c>
      <c r="G4270" t="s">
        <v>30058</v>
      </c>
      <c r="H4270" t="s">
        <v>30067</v>
      </c>
      <c r="I4270" t="s">
        <v>3693</v>
      </c>
      <c r="J4270" t="s">
        <v>30218</v>
      </c>
      <c r="K4270" t="s">
        <v>39023</v>
      </c>
      <c r="L4270" t="s">
        <v>1208</v>
      </c>
      <c r="M4270" t="s">
        <v>40562</v>
      </c>
      <c r="N4270" t="s">
        <v>43166</v>
      </c>
      <c r="O4270" t="s">
        <v>43167</v>
      </c>
      <c r="P4270">
        <v>0</v>
      </c>
      <c r="Q4270">
        <v>4</v>
      </c>
      <c r="R4270" t="s">
        <v>43171</v>
      </c>
      <c r="S4270" t="s">
        <v>43311</v>
      </c>
      <c r="T4270" t="s">
        <v>44813</v>
      </c>
      <c r="U4270" t="s">
        <v>48692</v>
      </c>
      <c r="W4270" t="s">
        <v>40562</v>
      </c>
      <c r="X4270" t="s">
        <v>43172</v>
      </c>
    </row>
    <row r="4271" spans="1:24">
      <c r="A4271">
        <f>HYPERLINK("https://www.philgeps.gov.ph/GEPSNONPILOT/Tender/SplashBidNoticeAbstractUI.aspx?menuIndex=3&amp;refID=7083865&amp;Result=3","7083865")</f>
        <v>0</v>
      </c>
      <c r="B4271" t="s">
        <v>1546</v>
      </c>
      <c r="C4271" t="s">
        <v>7487</v>
      </c>
      <c r="D4271" t="s">
        <v>17431</v>
      </c>
      <c r="E4271" t="s">
        <v>21218</v>
      </c>
      <c r="F4271" t="s">
        <v>30052</v>
      </c>
      <c r="G4271" t="s">
        <v>30059</v>
      </c>
      <c r="H4271" t="s">
        <v>15498</v>
      </c>
      <c r="I4271" t="s">
        <v>30097</v>
      </c>
      <c r="J4271" t="s">
        <v>32960</v>
      </c>
      <c r="K4271" t="s">
        <v>39017</v>
      </c>
      <c r="M4271" t="s">
        <v>40934</v>
      </c>
      <c r="N4271" t="s">
        <v>43166</v>
      </c>
      <c r="O4271" t="s">
        <v>43167</v>
      </c>
      <c r="P4271">
        <v>0</v>
      </c>
      <c r="Q4271">
        <v>12</v>
      </c>
      <c r="R4271" t="s">
        <v>43171</v>
      </c>
      <c r="S4271" t="s">
        <v>43311</v>
      </c>
      <c r="T4271" t="s">
        <v>44681</v>
      </c>
      <c r="U4271" t="s">
        <v>48693</v>
      </c>
      <c r="V4271" t="s">
        <v>57302</v>
      </c>
      <c r="W4271" t="s">
        <v>40934</v>
      </c>
      <c r="X4271" t="s">
        <v>43172</v>
      </c>
    </row>
    <row r="4272" spans="1:24">
      <c r="A4272">
        <f>HYPERLINK("https://www.philgeps.gov.ph/GEPSNONPILOT/Tender/SplashBidNoticeAbstractUI.aspx?menuIndex=3&amp;refID=7083727&amp;Result=3","7083727")</f>
        <v>0</v>
      </c>
      <c r="B4272" t="s">
        <v>1208</v>
      </c>
      <c r="C4272" t="s">
        <v>7488</v>
      </c>
      <c r="D4272" t="s">
        <v>17441</v>
      </c>
      <c r="E4272" t="s">
        <v>21191</v>
      </c>
      <c r="F4272" t="s">
        <v>30052</v>
      </c>
      <c r="G4272" t="s">
        <v>30058</v>
      </c>
      <c r="H4272" t="s">
        <v>30067</v>
      </c>
      <c r="I4272" t="s">
        <v>3693</v>
      </c>
      <c r="J4272" t="s">
        <v>30605</v>
      </c>
      <c r="K4272" t="s">
        <v>39023</v>
      </c>
      <c r="L4272" t="s">
        <v>1208</v>
      </c>
      <c r="M4272" t="s">
        <v>40562</v>
      </c>
      <c r="N4272" t="s">
        <v>43166</v>
      </c>
      <c r="O4272" t="s">
        <v>43167</v>
      </c>
      <c r="P4272">
        <v>0</v>
      </c>
      <c r="Q4272">
        <v>6</v>
      </c>
      <c r="R4272" t="s">
        <v>43171</v>
      </c>
      <c r="S4272" t="s">
        <v>43311</v>
      </c>
      <c r="T4272" t="s">
        <v>44825</v>
      </c>
      <c r="U4272" t="s">
        <v>47864</v>
      </c>
      <c r="W4272" t="s">
        <v>40562</v>
      </c>
      <c r="X4272" t="s">
        <v>43172</v>
      </c>
    </row>
    <row r="4273" spans="1:24">
      <c r="A4273">
        <f>HYPERLINK("https://www.philgeps.gov.ph/GEPSNONPILOT/Tender/SplashBidNoticeAbstractUI.aspx?menuIndex=3&amp;refID=7083861&amp;Result=3","7083861")</f>
        <v>0</v>
      </c>
      <c r="B4273" t="s">
        <v>1542</v>
      </c>
      <c r="C4273" t="s">
        <v>7489</v>
      </c>
      <c r="D4273" t="s">
        <v>17415</v>
      </c>
      <c r="E4273" t="s">
        <v>21219</v>
      </c>
      <c r="F4273" t="s">
        <v>30052</v>
      </c>
      <c r="G4273" t="s">
        <v>30058</v>
      </c>
      <c r="H4273" t="s">
        <v>15498</v>
      </c>
      <c r="I4273" t="s">
        <v>3852</v>
      </c>
      <c r="J4273" t="s">
        <v>32961</v>
      </c>
      <c r="K4273" t="s">
        <v>39029</v>
      </c>
      <c r="M4273" t="s">
        <v>40930</v>
      </c>
      <c r="N4273" t="s">
        <v>43166</v>
      </c>
      <c r="O4273" t="s">
        <v>43167</v>
      </c>
      <c r="P4273">
        <v>0</v>
      </c>
      <c r="Q4273">
        <v>0</v>
      </c>
      <c r="R4273" t="s">
        <v>43171</v>
      </c>
      <c r="S4273" t="s">
        <v>43311</v>
      </c>
      <c r="T4273" t="s">
        <v>44681</v>
      </c>
      <c r="U4273" t="s">
        <v>48694</v>
      </c>
      <c r="W4273" t="s">
        <v>40930</v>
      </c>
      <c r="X4273" t="s">
        <v>43172</v>
      </c>
    </row>
    <row r="4274" spans="1:24">
      <c r="A4274">
        <f>HYPERLINK("https://www.philgeps.gov.ph/GEPSNONPILOT/Tender/SplashBidNoticeAbstractUI.aspx?menuIndex=3&amp;refID=7083853&amp;Result=3","7083853")</f>
        <v>0</v>
      </c>
      <c r="B4274" t="s">
        <v>217</v>
      </c>
      <c r="C4274" t="s">
        <v>7490</v>
      </c>
      <c r="D4274" t="s">
        <v>17458</v>
      </c>
      <c r="E4274" t="s">
        <v>21220</v>
      </c>
      <c r="F4274" t="s">
        <v>30052</v>
      </c>
      <c r="G4274" t="s">
        <v>30059</v>
      </c>
      <c r="H4274" t="s">
        <v>15498</v>
      </c>
      <c r="I4274" t="s">
        <v>30073</v>
      </c>
      <c r="J4274" t="s">
        <v>30248</v>
      </c>
      <c r="K4274" t="s">
        <v>39019</v>
      </c>
      <c r="M4274" t="s">
        <v>39507</v>
      </c>
      <c r="N4274" t="s">
        <v>43166</v>
      </c>
      <c r="O4274" t="s">
        <v>43167</v>
      </c>
      <c r="P4274">
        <v>0</v>
      </c>
      <c r="Q4274">
        <v>0</v>
      </c>
      <c r="R4274" t="s">
        <v>43171</v>
      </c>
      <c r="S4274" t="s">
        <v>43311</v>
      </c>
      <c r="T4274" t="s">
        <v>44943</v>
      </c>
      <c r="U4274" t="s">
        <v>48677</v>
      </c>
      <c r="W4274" t="s">
        <v>39507</v>
      </c>
      <c r="X4274" t="s">
        <v>43172</v>
      </c>
    </row>
    <row r="4275" spans="1:24">
      <c r="A4275">
        <f>HYPERLINK("https://www.philgeps.gov.ph/GEPSNONPILOT/Tender/SplashBidNoticeAbstractUI.aspx?menuIndex=3&amp;refID=7083851&amp;Result=3","7083851")</f>
        <v>0</v>
      </c>
      <c r="B4275" t="s">
        <v>1547</v>
      </c>
      <c r="C4275" t="s">
        <v>7491</v>
      </c>
      <c r="D4275" t="s">
        <v>17449</v>
      </c>
      <c r="E4275" t="s">
        <v>21221</v>
      </c>
      <c r="F4275" t="s">
        <v>30052</v>
      </c>
      <c r="G4275" t="s">
        <v>30058</v>
      </c>
      <c r="H4275" t="s">
        <v>15498</v>
      </c>
      <c r="I4275" t="s">
        <v>3736</v>
      </c>
      <c r="J4275" t="s">
        <v>32962</v>
      </c>
      <c r="K4275" t="s">
        <v>39018</v>
      </c>
      <c r="M4275" t="s">
        <v>40935</v>
      </c>
      <c r="N4275" t="s">
        <v>43166</v>
      </c>
      <c r="O4275" t="s">
        <v>43167</v>
      </c>
      <c r="P4275">
        <v>0</v>
      </c>
      <c r="Q4275">
        <v>0</v>
      </c>
      <c r="R4275" t="s">
        <v>43171</v>
      </c>
      <c r="S4275" t="s">
        <v>43311</v>
      </c>
      <c r="T4275" t="s">
        <v>44710</v>
      </c>
      <c r="U4275" t="s">
        <v>48695</v>
      </c>
      <c r="W4275" t="s">
        <v>40935</v>
      </c>
      <c r="X4275" t="s">
        <v>43172</v>
      </c>
    </row>
    <row r="4276" spans="1:24">
      <c r="A4276">
        <f>HYPERLINK("https://www.philgeps.gov.ph/GEPSNONPILOT/Tender/SplashBidNoticeAbstractUI.aspx?menuIndex=3&amp;refID=7083850&amp;Result=3","7083850")</f>
        <v>0</v>
      </c>
      <c r="B4276" t="s">
        <v>816</v>
      </c>
      <c r="C4276" t="s">
        <v>7492</v>
      </c>
      <c r="D4276" t="s">
        <v>17449</v>
      </c>
      <c r="E4276" t="s">
        <v>21222</v>
      </c>
      <c r="F4276" t="s">
        <v>30052</v>
      </c>
      <c r="G4276" t="s">
        <v>30058</v>
      </c>
      <c r="H4276" t="s">
        <v>30067</v>
      </c>
      <c r="I4276" t="s">
        <v>3693</v>
      </c>
      <c r="J4276" t="s">
        <v>32963</v>
      </c>
      <c r="K4276" t="s">
        <v>39144</v>
      </c>
      <c r="M4276" t="s">
        <v>40133</v>
      </c>
      <c r="N4276" t="s">
        <v>43166</v>
      </c>
      <c r="O4276" t="s">
        <v>43167</v>
      </c>
      <c r="P4276">
        <v>0</v>
      </c>
      <c r="Q4276">
        <v>3</v>
      </c>
      <c r="R4276" t="s">
        <v>43171</v>
      </c>
      <c r="S4276" t="s">
        <v>43311</v>
      </c>
      <c r="T4276" t="s">
        <v>44789</v>
      </c>
      <c r="U4276" t="s">
        <v>48696</v>
      </c>
      <c r="W4276" t="s">
        <v>40133</v>
      </c>
      <c r="X4276" t="s">
        <v>43172</v>
      </c>
    </row>
    <row r="4277" spans="1:24">
      <c r="A4277">
        <f>HYPERLINK("https://www.philgeps.gov.ph/GEPSNONPILOT/Tender/SplashBidNoticeAbstractUI.aspx?menuIndex=3&amp;refID=7083846&amp;Result=3","7083846")</f>
        <v>0</v>
      </c>
      <c r="B4277" t="s">
        <v>1548</v>
      </c>
      <c r="C4277" t="s">
        <v>7493</v>
      </c>
      <c r="D4277" t="s">
        <v>17427</v>
      </c>
      <c r="E4277" t="s">
        <v>21223</v>
      </c>
      <c r="F4277" t="s">
        <v>30052</v>
      </c>
      <c r="G4277" t="s">
        <v>30059</v>
      </c>
      <c r="H4277" t="s">
        <v>15498</v>
      </c>
      <c r="I4277" t="s">
        <v>30129</v>
      </c>
      <c r="J4277" t="s">
        <v>32964</v>
      </c>
      <c r="K4277" t="s">
        <v>39029</v>
      </c>
      <c r="M4277" t="s">
        <v>40936</v>
      </c>
      <c r="N4277" t="s">
        <v>43166</v>
      </c>
      <c r="O4277" t="s">
        <v>43167</v>
      </c>
      <c r="P4277">
        <v>0</v>
      </c>
      <c r="Q4277">
        <v>1</v>
      </c>
      <c r="R4277" t="s">
        <v>43171</v>
      </c>
      <c r="S4277" t="s">
        <v>43311</v>
      </c>
      <c r="T4277" t="s">
        <v>44735</v>
      </c>
      <c r="U4277" t="s">
        <v>48697</v>
      </c>
      <c r="V4277" t="s">
        <v>57303</v>
      </c>
      <c r="W4277" t="s">
        <v>40936</v>
      </c>
      <c r="X4277" t="s">
        <v>43172</v>
      </c>
    </row>
    <row r="4278" spans="1:24">
      <c r="A4278">
        <f>HYPERLINK("https://www.philgeps.gov.ph/GEPSNONPILOT/Tender/SplashBidNoticeAbstractUI.aspx?menuIndex=3&amp;refID=7083857&amp;Result=3","7083857")</f>
        <v>0</v>
      </c>
      <c r="B4278" t="s">
        <v>1483</v>
      </c>
      <c r="C4278" t="s">
        <v>7494</v>
      </c>
      <c r="D4278" t="s">
        <v>17414</v>
      </c>
      <c r="E4278" t="s">
        <v>21224</v>
      </c>
      <c r="F4278" t="s">
        <v>30052</v>
      </c>
      <c r="G4278" t="s">
        <v>30058</v>
      </c>
      <c r="H4278" t="s">
        <v>15498</v>
      </c>
      <c r="I4278" t="s">
        <v>30073</v>
      </c>
      <c r="J4278" t="s">
        <v>30555</v>
      </c>
      <c r="K4278" t="s">
        <v>39029</v>
      </c>
      <c r="M4278" t="s">
        <v>40866</v>
      </c>
      <c r="N4278" t="s">
        <v>43166</v>
      </c>
      <c r="O4278" t="s">
        <v>43167</v>
      </c>
      <c r="P4278">
        <v>0</v>
      </c>
      <c r="Q4278">
        <v>0</v>
      </c>
      <c r="R4278" t="s">
        <v>43171</v>
      </c>
      <c r="S4278" t="s">
        <v>43311</v>
      </c>
      <c r="T4278" t="s">
        <v>44892</v>
      </c>
      <c r="U4278" t="s">
        <v>48698</v>
      </c>
      <c r="W4278" t="s">
        <v>40866</v>
      </c>
      <c r="X4278" t="s">
        <v>43172</v>
      </c>
    </row>
    <row r="4279" spans="1:24">
      <c r="A4279">
        <f>HYPERLINK("https://www.philgeps.gov.ph/GEPSNONPILOT/Tender/SplashBidNoticeAbstractUI.aspx?menuIndex=3&amp;refID=7083843&amp;Result=3","7083843")</f>
        <v>0</v>
      </c>
      <c r="B4279" t="s">
        <v>1518</v>
      </c>
      <c r="C4279" t="s">
        <v>7495</v>
      </c>
      <c r="D4279" t="s">
        <v>17444</v>
      </c>
      <c r="E4279" t="s">
        <v>21225</v>
      </c>
      <c r="F4279" t="s">
        <v>30052</v>
      </c>
      <c r="G4279" t="s">
        <v>30058</v>
      </c>
      <c r="H4279" t="s">
        <v>30067</v>
      </c>
      <c r="I4279" t="s">
        <v>3693</v>
      </c>
      <c r="J4279" t="s">
        <v>32904</v>
      </c>
      <c r="K4279" t="s">
        <v>39142</v>
      </c>
      <c r="M4279" t="s">
        <v>40904</v>
      </c>
      <c r="N4279" t="s">
        <v>43166</v>
      </c>
      <c r="O4279" t="s">
        <v>43167</v>
      </c>
      <c r="P4279">
        <v>0</v>
      </c>
      <c r="Q4279">
        <v>0</v>
      </c>
      <c r="R4279" t="s">
        <v>43171</v>
      </c>
      <c r="S4279" t="s">
        <v>43311</v>
      </c>
      <c r="T4279" t="s">
        <v>44722</v>
      </c>
      <c r="U4279" t="s">
        <v>48605</v>
      </c>
      <c r="W4279" t="s">
        <v>40904</v>
      </c>
      <c r="X4279" t="s">
        <v>43172</v>
      </c>
    </row>
    <row r="4280" spans="1:24">
      <c r="A4280">
        <f>HYPERLINK("https://www.philgeps.gov.ph/GEPSNONPILOT/Tender/SplashBidNoticeAbstractUI.aspx?menuIndex=3&amp;refID=7083869&amp;Result=3","7083869")</f>
        <v>0</v>
      </c>
      <c r="B4280" t="s">
        <v>296</v>
      </c>
      <c r="C4280" t="s">
        <v>7496</v>
      </c>
      <c r="E4280" t="s">
        <v>21226</v>
      </c>
      <c r="F4280" t="s">
        <v>30052</v>
      </c>
      <c r="G4280" t="s">
        <v>30059</v>
      </c>
      <c r="H4280" t="s">
        <v>15498</v>
      </c>
      <c r="I4280" t="s">
        <v>30070</v>
      </c>
      <c r="J4280" t="s">
        <v>32965</v>
      </c>
      <c r="K4280" t="s">
        <v>39034</v>
      </c>
      <c r="M4280" t="s">
        <v>40731</v>
      </c>
      <c r="N4280" t="s">
        <v>43166</v>
      </c>
      <c r="O4280" t="s">
        <v>43167</v>
      </c>
      <c r="P4280">
        <v>0</v>
      </c>
      <c r="Q4280">
        <v>4</v>
      </c>
      <c r="R4280" t="s">
        <v>43171</v>
      </c>
      <c r="S4280" t="s">
        <v>43311</v>
      </c>
      <c r="T4280" t="s">
        <v>44714</v>
      </c>
      <c r="U4280" t="s">
        <v>48699</v>
      </c>
      <c r="V4280" t="s">
        <v>56925</v>
      </c>
      <c r="W4280" t="s">
        <v>40731</v>
      </c>
      <c r="X4280" t="s">
        <v>43172</v>
      </c>
    </row>
    <row r="4281" spans="1:24">
      <c r="A4281">
        <f>HYPERLINK("https://www.philgeps.gov.ph/GEPSNONPILOT/Tender/SplashBidNoticeAbstractUI.aspx?menuIndex=3&amp;refID=7083847&amp;Result=3","7083847")</f>
        <v>0</v>
      </c>
      <c r="B4281" t="s">
        <v>1549</v>
      </c>
      <c r="C4281" t="s">
        <v>7497</v>
      </c>
      <c r="D4281" t="s">
        <v>17429</v>
      </c>
      <c r="E4281" t="s">
        <v>21227</v>
      </c>
      <c r="F4281" t="s">
        <v>30052</v>
      </c>
      <c r="G4281" t="s">
        <v>30058</v>
      </c>
      <c r="H4281" t="s">
        <v>30067</v>
      </c>
      <c r="I4281" t="s">
        <v>3693</v>
      </c>
      <c r="J4281" t="s">
        <v>30397</v>
      </c>
      <c r="K4281" t="s">
        <v>39031</v>
      </c>
      <c r="L4281" t="s">
        <v>1549</v>
      </c>
      <c r="M4281" t="s">
        <v>40937</v>
      </c>
      <c r="N4281" t="s">
        <v>43166</v>
      </c>
      <c r="O4281" t="s">
        <v>43167</v>
      </c>
      <c r="P4281">
        <v>0</v>
      </c>
      <c r="Q4281">
        <v>0</v>
      </c>
      <c r="R4281" t="s">
        <v>43171</v>
      </c>
      <c r="S4281" t="s">
        <v>43311</v>
      </c>
      <c r="T4281" t="s">
        <v>44715</v>
      </c>
      <c r="U4281" t="s">
        <v>48700</v>
      </c>
      <c r="W4281" t="s">
        <v>40937</v>
      </c>
      <c r="X4281" t="s">
        <v>43172</v>
      </c>
    </row>
    <row r="4282" spans="1:24">
      <c r="A4282">
        <f>HYPERLINK("https://www.philgeps.gov.ph/GEPSNONPILOT/Tender/SplashBidNoticeAbstractUI.aspx?menuIndex=3&amp;refID=7083842&amp;Result=3","7083842")</f>
        <v>0</v>
      </c>
      <c r="B4282" t="s">
        <v>1208</v>
      </c>
      <c r="C4282" t="s">
        <v>7498</v>
      </c>
      <c r="D4282" t="s">
        <v>17441</v>
      </c>
      <c r="E4282" t="s">
        <v>21191</v>
      </c>
      <c r="F4282" t="s">
        <v>30052</v>
      </c>
      <c r="G4282" t="s">
        <v>30058</v>
      </c>
      <c r="H4282" t="s">
        <v>30067</v>
      </c>
      <c r="I4282" t="s">
        <v>3693</v>
      </c>
      <c r="J4282" t="s">
        <v>30218</v>
      </c>
      <c r="K4282" t="s">
        <v>39023</v>
      </c>
      <c r="L4282" t="s">
        <v>1208</v>
      </c>
      <c r="M4282" t="s">
        <v>40562</v>
      </c>
      <c r="N4282" t="s">
        <v>43166</v>
      </c>
      <c r="O4282" t="s">
        <v>43167</v>
      </c>
      <c r="P4282">
        <v>0</v>
      </c>
      <c r="Q4282">
        <v>5</v>
      </c>
      <c r="R4282" t="s">
        <v>43171</v>
      </c>
      <c r="S4282" t="s">
        <v>43311</v>
      </c>
      <c r="T4282" t="s">
        <v>44813</v>
      </c>
      <c r="U4282" t="s">
        <v>48668</v>
      </c>
      <c r="W4282" t="s">
        <v>40562</v>
      </c>
      <c r="X4282" t="s">
        <v>43172</v>
      </c>
    </row>
    <row r="4283" spans="1:24">
      <c r="A4283">
        <f>HYPERLINK("https://www.philgeps.gov.ph/GEPSNONPILOT/Tender/SplashBidNoticeAbstractUI.aspx?menuIndex=3&amp;refID=7083840&amp;Result=3","7083840")</f>
        <v>0</v>
      </c>
      <c r="B4283" t="s">
        <v>1550</v>
      </c>
      <c r="C4283" t="s">
        <v>5411</v>
      </c>
      <c r="D4283" t="s">
        <v>17426</v>
      </c>
      <c r="E4283" t="s">
        <v>18173</v>
      </c>
      <c r="F4283" t="s">
        <v>30052</v>
      </c>
      <c r="G4283" t="s">
        <v>30058</v>
      </c>
      <c r="H4283" t="s">
        <v>30067</v>
      </c>
      <c r="I4283" t="s">
        <v>3693</v>
      </c>
      <c r="J4283" t="s">
        <v>32966</v>
      </c>
      <c r="K4283" t="s">
        <v>39086</v>
      </c>
      <c r="M4283" t="s">
        <v>40938</v>
      </c>
      <c r="N4283" t="s">
        <v>43166</v>
      </c>
      <c r="O4283" t="s">
        <v>43167</v>
      </c>
      <c r="P4283">
        <v>0</v>
      </c>
      <c r="Q4283">
        <v>0</v>
      </c>
      <c r="R4283" t="s">
        <v>43171</v>
      </c>
      <c r="S4283" t="s">
        <v>43311</v>
      </c>
      <c r="T4283" t="s">
        <v>44796</v>
      </c>
      <c r="U4283" t="s">
        <v>48701</v>
      </c>
      <c r="V4283" t="s">
        <v>57304</v>
      </c>
      <c r="W4283" t="s">
        <v>40938</v>
      </c>
      <c r="X4283" t="s">
        <v>43172</v>
      </c>
    </row>
    <row r="4284" spans="1:24">
      <c r="A4284">
        <f>HYPERLINK("https://www.philgeps.gov.ph/GEPSNONPILOT/Tender/SplashBidNoticeAbstractUI.aspx?menuIndex=3&amp;refID=7083838&amp;Result=3","7083838")</f>
        <v>0</v>
      </c>
      <c r="B4284" t="s">
        <v>701</v>
      </c>
      <c r="C4284" t="s">
        <v>7499</v>
      </c>
      <c r="D4284" t="s">
        <v>17419</v>
      </c>
      <c r="E4284" t="s">
        <v>21228</v>
      </c>
      <c r="F4284" t="s">
        <v>30052</v>
      </c>
      <c r="G4284" t="s">
        <v>30059</v>
      </c>
      <c r="H4284" t="s">
        <v>15498</v>
      </c>
      <c r="I4284" t="s">
        <v>30073</v>
      </c>
      <c r="J4284" t="s">
        <v>32967</v>
      </c>
      <c r="K4284" t="s">
        <v>39025</v>
      </c>
      <c r="M4284" t="s">
        <v>40010</v>
      </c>
      <c r="N4284" t="s">
        <v>43166</v>
      </c>
      <c r="O4284" t="s">
        <v>43167</v>
      </c>
      <c r="P4284">
        <v>0</v>
      </c>
      <c r="Q4284">
        <v>0</v>
      </c>
      <c r="R4284" t="s">
        <v>43171</v>
      </c>
      <c r="S4284" t="s">
        <v>43311</v>
      </c>
      <c r="T4284" t="s">
        <v>44717</v>
      </c>
      <c r="U4284" t="s">
        <v>48702</v>
      </c>
      <c r="W4284" t="s">
        <v>40010</v>
      </c>
      <c r="X4284" t="s">
        <v>43172</v>
      </c>
    </row>
    <row r="4285" spans="1:24">
      <c r="A4285">
        <f>HYPERLINK("https://www.philgeps.gov.ph/GEPSNONPILOT/Tender/SplashBidNoticeAbstractUI.aspx?menuIndex=3&amp;refID=7083835&amp;Result=3","7083835")</f>
        <v>0</v>
      </c>
      <c r="B4285" t="s">
        <v>1551</v>
      </c>
      <c r="C4285" t="s">
        <v>7500</v>
      </c>
      <c r="D4285" t="s">
        <v>17442</v>
      </c>
      <c r="E4285" t="s">
        <v>21229</v>
      </c>
      <c r="F4285" t="s">
        <v>30052</v>
      </c>
      <c r="G4285" t="s">
        <v>30058</v>
      </c>
      <c r="H4285" t="s">
        <v>15498</v>
      </c>
      <c r="I4285" t="s">
        <v>3736</v>
      </c>
      <c r="J4285" t="s">
        <v>32968</v>
      </c>
      <c r="K4285" t="s">
        <v>39019</v>
      </c>
      <c r="M4285" t="s">
        <v>40939</v>
      </c>
      <c r="N4285" t="s">
        <v>43166</v>
      </c>
      <c r="O4285" t="s">
        <v>43167</v>
      </c>
      <c r="P4285">
        <v>0</v>
      </c>
      <c r="Q4285">
        <v>0</v>
      </c>
      <c r="R4285" t="s">
        <v>43171</v>
      </c>
      <c r="S4285" t="s">
        <v>43311</v>
      </c>
      <c r="T4285" t="s">
        <v>44681</v>
      </c>
      <c r="U4285" t="s">
        <v>48703</v>
      </c>
      <c r="W4285" t="s">
        <v>40939</v>
      </c>
      <c r="X4285" t="s">
        <v>43172</v>
      </c>
    </row>
    <row r="4286" spans="1:24">
      <c r="A4286">
        <f>HYPERLINK("https://www.philgeps.gov.ph/GEPSNONPILOT/Tender/SplashBidNoticeAbstractUI.aspx?menuIndex=3&amp;refID=7083787&amp;Result=3","7083787")</f>
        <v>0</v>
      </c>
      <c r="B4286" t="s">
        <v>1548</v>
      </c>
      <c r="C4286" t="s">
        <v>7501</v>
      </c>
      <c r="D4286" t="s">
        <v>17427</v>
      </c>
      <c r="E4286" t="s">
        <v>20469</v>
      </c>
      <c r="F4286" t="s">
        <v>30052</v>
      </c>
      <c r="G4286" t="s">
        <v>30059</v>
      </c>
      <c r="H4286" t="s">
        <v>15498</v>
      </c>
      <c r="I4286" t="s">
        <v>30098</v>
      </c>
      <c r="J4286" t="s">
        <v>31196</v>
      </c>
      <c r="K4286" t="s">
        <v>39037</v>
      </c>
      <c r="M4286" t="s">
        <v>40936</v>
      </c>
      <c r="N4286" t="s">
        <v>43166</v>
      </c>
      <c r="O4286" t="s">
        <v>43167</v>
      </c>
      <c r="P4286">
        <v>0</v>
      </c>
      <c r="Q4286">
        <v>0</v>
      </c>
      <c r="R4286" t="s">
        <v>43171</v>
      </c>
      <c r="S4286" t="s">
        <v>43311</v>
      </c>
      <c r="T4286" t="s">
        <v>44735</v>
      </c>
      <c r="U4286" t="s">
        <v>48697</v>
      </c>
      <c r="V4286" t="s">
        <v>57303</v>
      </c>
      <c r="W4286" t="s">
        <v>40936</v>
      </c>
      <c r="X4286" t="s">
        <v>43172</v>
      </c>
    </row>
    <row r="4287" spans="1:24">
      <c r="A4287">
        <f>HYPERLINK("https://www.philgeps.gov.ph/GEPSNONPILOT/Tender/SplashBidNoticeAbstractUI.aspx?menuIndex=3&amp;refID=7083757&amp;Result=3","7083757")</f>
        <v>0</v>
      </c>
      <c r="B4287" t="s">
        <v>595</v>
      </c>
      <c r="C4287" t="s">
        <v>7502</v>
      </c>
      <c r="E4287" t="s">
        <v>21230</v>
      </c>
      <c r="F4287" t="s">
        <v>30052</v>
      </c>
      <c r="G4287" t="s">
        <v>30058</v>
      </c>
      <c r="H4287" t="s">
        <v>30067</v>
      </c>
      <c r="I4287" t="s">
        <v>3693</v>
      </c>
      <c r="J4287" t="s">
        <v>32969</v>
      </c>
      <c r="K4287" t="s">
        <v>39025</v>
      </c>
      <c r="M4287" t="s">
        <v>39897</v>
      </c>
      <c r="N4287" t="s">
        <v>43166</v>
      </c>
      <c r="O4287" t="s">
        <v>43167</v>
      </c>
      <c r="P4287">
        <v>0</v>
      </c>
      <c r="Q4287">
        <v>2</v>
      </c>
      <c r="R4287" t="s">
        <v>43171</v>
      </c>
      <c r="S4287" t="s">
        <v>43311</v>
      </c>
      <c r="T4287" t="s">
        <v>44853</v>
      </c>
      <c r="U4287" t="s">
        <v>48704</v>
      </c>
      <c r="V4287" t="s">
        <v>56838</v>
      </c>
      <c r="W4287" t="s">
        <v>39897</v>
      </c>
      <c r="X4287" t="s">
        <v>43172</v>
      </c>
    </row>
    <row r="4288" spans="1:24">
      <c r="A4288">
        <f>HYPERLINK("https://www.philgeps.gov.ph/GEPSNONPILOT/Tender/SplashBidNoticeAbstractUI.aspx?menuIndex=3&amp;refID=7083755&amp;Result=3","7083755")</f>
        <v>0</v>
      </c>
      <c r="B4288" t="s">
        <v>1522</v>
      </c>
      <c r="C4288" t="s">
        <v>7503</v>
      </c>
      <c r="D4288" t="s">
        <v>17415</v>
      </c>
      <c r="E4288" t="s">
        <v>21231</v>
      </c>
      <c r="F4288" t="s">
        <v>30052</v>
      </c>
      <c r="G4288" t="s">
        <v>30061</v>
      </c>
      <c r="H4288" t="s">
        <v>15498</v>
      </c>
      <c r="I4288" t="s">
        <v>30098</v>
      </c>
      <c r="J4288" t="s">
        <v>31049</v>
      </c>
      <c r="K4288" t="s">
        <v>39019</v>
      </c>
      <c r="M4288" t="s">
        <v>40908</v>
      </c>
      <c r="N4288" t="s">
        <v>43166</v>
      </c>
      <c r="O4288" t="s">
        <v>43167</v>
      </c>
      <c r="P4288">
        <v>0</v>
      </c>
      <c r="Q4288">
        <v>3</v>
      </c>
      <c r="R4288" t="s">
        <v>43171</v>
      </c>
      <c r="S4288" t="s">
        <v>43311</v>
      </c>
      <c r="T4288" t="s">
        <v>44734</v>
      </c>
      <c r="U4288" t="s">
        <v>48705</v>
      </c>
      <c r="W4288" t="s">
        <v>40908</v>
      </c>
      <c r="X4288" t="s">
        <v>43172</v>
      </c>
    </row>
    <row r="4289" spans="1:24">
      <c r="A4289">
        <f>HYPERLINK("https://www.philgeps.gov.ph/GEPSNONPILOT/Tender/SplashBidNoticeAbstractUI.aspx?menuIndex=3&amp;refID=7083837&amp;Result=3","7083837")</f>
        <v>0</v>
      </c>
      <c r="B4289" t="s">
        <v>1534</v>
      </c>
      <c r="C4289" t="s">
        <v>7504</v>
      </c>
      <c r="D4289" t="s">
        <v>17447</v>
      </c>
      <c r="E4289" t="s">
        <v>21232</v>
      </c>
      <c r="F4289" t="s">
        <v>30052</v>
      </c>
      <c r="G4289" t="s">
        <v>30059</v>
      </c>
      <c r="H4289" t="s">
        <v>15498</v>
      </c>
      <c r="I4289" t="s">
        <v>4650</v>
      </c>
      <c r="J4289" t="s">
        <v>31096</v>
      </c>
      <c r="K4289" t="s">
        <v>39025</v>
      </c>
      <c r="M4289" t="s">
        <v>40920</v>
      </c>
      <c r="N4289" t="s">
        <v>43166</v>
      </c>
      <c r="O4289" t="s">
        <v>43167</v>
      </c>
      <c r="P4289">
        <v>0</v>
      </c>
      <c r="Q4289">
        <v>0</v>
      </c>
      <c r="R4289" t="s">
        <v>43171</v>
      </c>
      <c r="S4289" t="s">
        <v>43311</v>
      </c>
      <c r="T4289" t="s">
        <v>44714</v>
      </c>
      <c r="U4289" t="s">
        <v>48706</v>
      </c>
      <c r="W4289" t="s">
        <v>40920</v>
      </c>
      <c r="X4289" t="s">
        <v>43172</v>
      </c>
    </row>
    <row r="4290" spans="1:24">
      <c r="A4290">
        <f>HYPERLINK("https://www.philgeps.gov.ph/GEPSNONPILOT/Tender/SplashBidNoticeAbstractUI.aspx?menuIndex=3&amp;refID=7083751&amp;Result=3","7083751")</f>
        <v>0</v>
      </c>
      <c r="B4290" t="s">
        <v>236</v>
      </c>
      <c r="C4290" t="s">
        <v>5526</v>
      </c>
      <c r="D4290" t="s">
        <v>17476</v>
      </c>
      <c r="E4290" t="s">
        <v>21233</v>
      </c>
      <c r="F4290" t="s">
        <v>30052</v>
      </c>
      <c r="G4290" t="s">
        <v>30059</v>
      </c>
      <c r="H4290" t="s">
        <v>15498</v>
      </c>
      <c r="I4290" t="s">
        <v>3852</v>
      </c>
      <c r="J4290" t="s">
        <v>30343</v>
      </c>
      <c r="K4290" t="s">
        <v>39019</v>
      </c>
      <c r="M4290" t="s">
        <v>40231</v>
      </c>
      <c r="N4290" t="s">
        <v>43166</v>
      </c>
      <c r="O4290" t="s">
        <v>43167</v>
      </c>
      <c r="P4290">
        <v>0</v>
      </c>
      <c r="Q4290">
        <v>1</v>
      </c>
      <c r="R4290" t="s">
        <v>43171</v>
      </c>
      <c r="S4290" t="s">
        <v>43311</v>
      </c>
      <c r="T4290" t="s">
        <v>44678</v>
      </c>
      <c r="U4290" t="s">
        <v>48707</v>
      </c>
      <c r="W4290" t="s">
        <v>40231</v>
      </c>
      <c r="X4290" t="s">
        <v>43172</v>
      </c>
    </row>
    <row r="4291" spans="1:24">
      <c r="A4291">
        <f>HYPERLINK("https://www.philgeps.gov.ph/GEPSNONPILOT/Tender/SplashBidNoticeAbstractUI.aspx?menuIndex=3&amp;refID=7083748&amp;Result=3","7083748")</f>
        <v>0</v>
      </c>
      <c r="B4291" t="s">
        <v>1534</v>
      </c>
      <c r="C4291" t="s">
        <v>7505</v>
      </c>
      <c r="D4291" t="s">
        <v>17447</v>
      </c>
      <c r="E4291" t="s">
        <v>21234</v>
      </c>
      <c r="F4291" t="s">
        <v>30052</v>
      </c>
      <c r="G4291" t="s">
        <v>30058</v>
      </c>
      <c r="H4291" t="s">
        <v>15498</v>
      </c>
      <c r="I4291" t="s">
        <v>30083</v>
      </c>
      <c r="J4291" t="s">
        <v>30321</v>
      </c>
      <c r="K4291" t="s">
        <v>39025</v>
      </c>
      <c r="M4291" t="s">
        <v>40920</v>
      </c>
      <c r="N4291" t="s">
        <v>43166</v>
      </c>
      <c r="O4291" t="s">
        <v>43167</v>
      </c>
      <c r="P4291">
        <v>0</v>
      </c>
      <c r="Q4291">
        <v>2</v>
      </c>
      <c r="R4291" t="s">
        <v>43171</v>
      </c>
      <c r="S4291" t="s">
        <v>43311</v>
      </c>
      <c r="T4291" t="s">
        <v>44721</v>
      </c>
      <c r="U4291" t="s">
        <v>48708</v>
      </c>
      <c r="W4291" t="s">
        <v>40920</v>
      </c>
      <c r="X4291" t="s">
        <v>43172</v>
      </c>
    </row>
    <row r="4292" spans="1:24">
      <c r="A4292">
        <f>HYPERLINK("https://www.philgeps.gov.ph/GEPSNONPILOT/Tender/SplashBidNoticeAbstractUI.aspx?menuIndex=3&amp;refID=7083797&amp;Result=3","7083797")</f>
        <v>0</v>
      </c>
      <c r="B4292" t="s">
        <v>1483</v>
      </c>
      <c r="C4292" t="s">
        <v>7506</v>
      </c>
      <c r="D4292" t="s">
        <v>17414</v>
      </c>
      <c r="E4292" t="s">
        <v>21235</v>
      </c>
      <c r="F4292" t="s">
        <v>30052</v>
      </c>
      <c r="G4292" t="s">
        <v>30058</v>
      </c>
      <c r="H4292" t="s">
        <v>15498</v>
      </c>
      <c r="I4292" t="s">
        <v>30073</v>
      </c>
      <c r="J4292" t="s">
        <v>30281</v>
      </c>
      <c r="K4292" t="s">
        <v>39029</v>
      </c>
      <c r="M4292" t="s">
        <v>40866</v>
      </c>
      <c r="N4292" t="s">
        <v>43166</v>
      </c>
      <c r="O4292" t="s">
        <v>43167</v>
      </c>
      <c r="P4292">
        <v>0</v>
      </c>
      <c r="Q4292">
        <v>0</v>
      </c>
      <c r="R4292" t="s">
        <v>43171</v>
      </c>
      <c r="S4292" t="s">
        <v>43311</v>
      </c>
      <c r="T4292" t="s">
        <v>44892</v>
      </c>
      <c r="U4292" t="s">
        <v>48709</v>
      </c>
      <c r="W4292" t="s">
        <v>40866</v>
      </c>
      <c r="X4292" t="s">
        <v>43172</v>
      </c>
    </row>
    <row r="4293" spans="1:24">
      <c r="A4293">
        <f>HYPERLINK("https://www.philgeps.gov.ph/GEPSNONPILOT/Tender/SplashBidNoticeAbstractUI.aspx?menuIndex=3&amp;refID=7083704&amp;Result=3","7083704")</f>
        <v>0</v>
      </c>
      <c r="B4293" t="s">
        <v>1552</v>
      </c>
      <c r="C4293" t="s">
        <v>5874</v>
      </c>
      <c r="D4293" t="s">
        <v>17445</v>
      </c>
      <c r="E4293" t="s">
        <v>21236</v>
      </c>
      <c r="F4293" t="s">
        <v>30052</v>
      </c>
      <c r="G4293" t="s">
        <v>30058</v>
      </c>
      <c r="H4293" t="s">
        <v>15498</v>
      </c>
      <c r="I4293" t="s">
        <v>3693</v>
      </c>
      <c r="J4293" t="s">
        <v>32970</v>
      </c>
      <c r="K4293" t="s">
        <v>39017</v>
      </c>
      <c r="M4293" t="s">
        <v>40940</v>
      </c>
      <c r="N4293" t="s">
        <v>43166</v>
      </c>
      <c r="O4293" t="s">
        <v>43167</v>
      </c>
      <c r="P4293">
        <v>0</v>
      </c>
      <c r="Q4293">
        <v>0</v>
      </c>
      <c r="R4293" t="s">
        <v>43171</v>
      </c>
      <c r="S4293" t="s">
        <v>43311</v>
      </c>
      <c r="T4293" t="s">
        <v>44990</v>
      </c>
      <c r="U4293" t="s">
        <v>48710</v>
      </c>
      <c r="W4293" t="s">
        <v>40940</v>
      </c>
      <c r="X4293" t="s">
        <v>43172</v>
      </c>
    </row>
    <row r="4294" spans="1:24">
      <c r="A4294">
        <f>HYPERLINK("https://www.philgeps.gov.ph/GEPSNONPILOT/Tender/SplashBidNoticeAbstractUI.aspx?menuIndex=3&amp;refID=7083663&amp;Result=3","7083663")</f>
        <v>0</v>
      </c>
      <c r="B4294" t="s">
        <v>1473</v>
      </c>
      <c r="C4294" t="s">
        <v>7507</v>
      </c>
      <c r="D4294" t="s">
        <v>17424</v>
      </c>
      <c r="E4294" t="s">
        <v>21237</v>
      </c>
      <c r="F4294" t="s">
        <v>30055</v>
      </c>
      <c r="G4294" t="s">
        <v>30059</v>
      </c>
      <c r="H4294" t="s">
        <v>30069</v>
      </c>
      <c r="I4294" t="s">
        <v>6691</v>
      </c>
      <c r="J4294" t="s">
        <v>32483</v>
      </c>
      <c r="K4294" t="s">
        <v>39034</v>
      </c>
      <c r="M4294" t="s">
        <v>40855</v>
      </c>
      <c r="N4294" t="s">
        <v>43166</v>
      </c>
      <c r="O4294" t="s">
        <v>43167</v>
      </c>
      <c r="P4294">
        <v>0</v>
      </c>
      <c r="Q4294">
        <v>1</v>
      </c>
      <c r="R4294" t="s">
        <v>43171</v>
      </c>
      <c r="S4294" t="s">
        <v>43311</v>
      </c>
      <c r="T4294" t="s">
        <v>44732</v>
      </c>
      <c r="U4294" t="s">
        <v>48711</v>
      </c>
      <c r="V4294" t="s">
        <v>57289</v>
      </c>
      <c r="W4294" t="s">
        <v>40855</v>
      </c>
      <c r="X4294" t="s">
        <v>43172</v>
      </c>
    </row>
    <row r="4295" spans="1:24">
      <c r="A4295">
        <f>HYPERLINK("https://www.philgeps.gov.ph/GEPSNONPILOT/Tender/SplashBidNoticeAbstractUI.aspx?menuIndex=3&amp;refID=7083662&amp;Result=3","7083662")</f>
        <v>0</v>
      </c>
      <c r="B4295" t="s">
        <v>1500</v>
      </c>
      <c r="C4295" t="s">
        <v>7508</v>
      </c>
      <c r="D4295" t="s">
        <v>17462</v>
      </c>
      <c r="E4295" t="s">
        <v>21238</v>
      </c>
      <c r="F4295" t="s">
        <v>30052</v>
      </c>
      <c r="G4295" t="s">
        <v>30061</v>
      </c>
      <c r="H4295" t="s">
        <v>30067</v>
      </c>
      <c r="I4295" t="s">
        <v>3693</v>
      </c>
      <c r="J4295" t="s">
        <v>31099</v>
      </c>
      <c r="K4295" t="s">
        <v>39017</v>
      </c>
      <c r="M4295" t="s">
        <v>40884</v>
      </c>
      <c r="N4295" t="s">
        <v>43166</v>
      </c>
      <c r="O4295" t="s">
        <v>43167</v>
      </c>
      <c r="P4295">
        <v>0</v>
      </c>
      <c r="Q4295">
        <v>0</v>
      </c>
      <c r="R4295" t="s">
        <v>43171</v>
      </c>
      <c r="S4295" t="s">
        <v>43311</v>
      </c>
      <c r="T4295" t="s">
        <v>44753</v>
      </c>
      <c r="U4295" t="s">
        <v>48712</v>
      </c>
      <c r="W4295" t="s">
        <v>40884</v>
      </c>
      <c r="X4295" t="s">
        <v>43172</v>
      </c>
    </row>
    <row r="4296" spans="1:24">
      <c r="A4296">
        <f>HYPERLINK("https://www.philgeps.gov.ph/GEPSNONPILOT/Tender/SplashBidNoticeAbstractUI.aspx?menuIndex=3&amp;refID=7083078&amp;Result=3","7083078")</f>
        <v>0</v>
      </c>
      <c r="B4296" t="s">
        <v>82</v>
      </c>
      <c r="C4296" t="s">
        <v>7509</v>
      </c>
      <c r="D4296" t="s">
        <v>17448</v>
      </c>
      <c r="E4296" t="s">
        <v>18406</v>
      </c>
      <c r="F4296" t="s">
        <v>30052</v>
      </c>
      <c r="G4296" t="s">
        <v>30058</v>
      </c>
      <c r="H4296" t="s">
        <v>30067</v>
      </c>
      <c r="I4296" t="s">
        <v>3693</v>
      </c>
      <c r="J4296" t="s">
        <v>30209</v>
      </c>
      <c r="K4296" t="s">
        <v>39037</v>
      </c>
      <c r="M4296" t="s">
        <v>39371</v>
      </c>
      <c r="N4296" t="s">
        <v>43166</v>
      </c>
      <c r="O4296" t="s">
        <v>43167</v>
      </c>
      <c r="P4296">
        <v>0</v>
      </c>
      <c r="Q4296">
        <v>0</v>
      </c>
      <c r="R4296" t="s">
        <v>43171</v>
      </c>
      <c r="S4296" t="s">
        <v>43311</v>
      </c>
      <c r="T4296" t="s">
        <v>44787</v>
      </c>
      <c r="U4296" t="s">
        <v>48380</v>
      </c>
      <c r="W4296" t="s">
        <v>39371</v>
      </c>
      <c r="X4296" t="s">
        <v>43172</v>
      </c>
    </row>
    <row r="4297" spans="1:24">
      <c r="A4297">
        <f>HYPERLINK("https://www.philgeps.gov.ph/GEPSNONPILOT/Tender/SplashBidNoticeAbstractUI.aspx?menuIndex=3&amp;refID=7083844&amp;Result=3","7083844")</f>
        <v>0</v>
      </c>
      <c r="B4297" t="s">
        <v>156</v>
      </c>
      <c r="C4297" t="s">
        <v>7510</v>
      </c>
      <c r="D4297" t="s">
        <v>17422</v>
      </c>
      <c r="E4297" t="s">
        <v>21239</v>
      </c>
      <c r="F4297" t="s">
        <v>30052</v>
      </c>
      <c r="G4297" t="s">
        <v>30058</v>
      </c>
      <c r="H4297" t="s">
        <v>30067</v>
      </c>
      <c r="I4297" t="s">
        <v>3693</v>
      </c>
      <c r="J4297" t="s">
        <v>32971</v>
      </c>
      <c r="K4297" t="s">
        <v>39061</v>
      </c>
      <c r="M4297" t="s">
        <v>39445</v>
      </c>
      <c r="N4297" t="s">
        <v>43166</v>
      </c>
      <c r="O4297" t="s">
        <v>43167</v>
      </c>
      <c r="P4297">
        <v>0</v>
      </c>
      <c r="Q4297">
        <v>3</v>
      </c>
      <c r="R4297" t="s">
        <v>43171</v>
      </c>
      <c r="S4297" t="s">
        <v>43311</v>
      </c>
      <c r="T4297" t="s">
        <v>44842</v>
      </c>
      <c r="U4297" t="s">
        <v>48713</v>
      </c>
      <c r="V4297" t="s">
        <v>56850</v>
      </c>
      <c r="W4297" t="s">
        <v>39445</v>
      </c>
      <c r="X4297" t="s">
        <v>43172</v>
      </c>
    </row>
    <row r="4298" spans="1:24">
      <c r="A4298">
        <f>HYPERLINK("https://www.philgeps.gov.ph/GEPSNONPILOT/Tender/SplashBidNoticeAbstractUI.aspx?menuIndex=3&amp;refID=7083746&amp;Result=3","7083746")</f>
        <v>0</v>
      </c>
      <c r="B4298" t="s">
        <v>1443</v>
      </c>
      <c r="C4298" t="s">
        <v>7511</v>
      </c>
      <c r="D4298" t="s">
        <v>17436</v>
      </c>
      <c r="E4298" t="s">
        <v>21240</v>
      </c>
      <c r="F4298" t="s">
        <v>30052</v>
      </c>
      <c r="G4298" t="s">
        <v>30058</v>
      </c>
      <c r="H4298" t="s">
        <v>15498</v>
      </c>
      <c r="I4298" t="s">
        <v>3736</v>
      </c>
      <c r="J4298" t="s">
        <v>31122</v>
      </c>
      <c r="K4298" t="s">
        <v>39025</v>
      </c>
      <c r="M4298" t="s">
        <v>40821</v>
      </c>
      <c r="N4298" t="s">
        <v>43166</v>
      </c>
      <c r="O4298" t="s">
        <v>43167</v>
      </c>
      <c r="P4298">
        <v>0</v>
      </c>
      <c r="Q4298">
        <v>0</v>
      </c>
      <c r="R4298" t="s">
        <v>43171</v>
      </c>
      <c r="S4298" t="s">
        <v>43311</v>
      </c>
      <c r="T4298" t="s">
        <v>44733</v>
      </c>
      <c r="U4298" t="s">
        <v>48714</v>
      </c>
      <c r="W4298" t="s">
        <v>40821</v>
      </c>
      <c r="X4298" t="s">
        <v>43172</v>
      </c>
    </row>
    <row r="4299" spans="1:24">
      <c r="A4299">
        <f>HYPERLINK("https://www.philgeps.gov.ph/GEPSNONPILOT/Tender/SplashBidNoticeAbstractUI.aspx?menuIndex=3&amp;refID=7083834&amp;Result=3","7083834")</f>
        <v>0</v>
      </c>
      <c r="B4299" t="s">
        <v>131</v>
      </c>
      <c r="C4299" t="s">
        <v>7512</v>
      </c>
      <c r="D4299" t="s">
        <v>17424</v>
      </c>
      <c r="E4299" t="s">
        <v>21241</v>
      </c>
      <c r="F4299" t="s">
        <v>30052</v>
      </c>
      <c r="G4299" t="s">
        <v>30058</v>
      </c>
      <c r="H4299" t="s">
        <v>30067</v>
      </c>
      <c r="I4299" t="s">
        <v>3693</v>
      </c>
      <c r="J4299" t="s">
        <v>32972</v>
      </c>
      <c r="K4299" t="s">
        <v>39025</v>
      </c>
      <c r="M4299" t="s">
        <v>39420</v>
      </c>
      <c r="N4299" t="s">
        <v>43166</v>
      </c>
      <c r="O4299" t="s">
        <v>43167</v>
      </c>
      <c r="P4299">
        <v>0</v>
      </c>
      <c r="Q4299">
        <v>0</v>
      </c>
      <c r="R4299" t="s">
        <v>43171</v>
      </c>
      <c r="S4299" t="s">
        <v>43311</v>
      </c>
      <c r="T4299" t="s">
        <v>44789</v>
      </c>
      <c r="U4299" t="s">
        <v>48715</v>
      </c>
      <c r="W4299" t="s">
        <v>39420</v>
      </c>
      <c r="X4299" t="s">
        <v>43172</v>
      </c>
    </row>
    <row r="4300" spans="1:24">
      <c r="A4300">
        <f>HYPERLINK("https://www.philgeps.gov.ph/GEPSNONPILOT/Tender/SplashBidNoticeAbstractUI.aspx?menuIndex=3&amp;refID=7083917&amp;Result=3","7083917")</f>
        <v>0</v>
      </c>
      <c r="B4300" t="s">
        <v>1541</v>
      </c>
      <c r="C4300" t="s">
        <v>7247</v>
      </c>
      <c r="D4300" t="s">
        <v>17434</v>
      </c>
      <c r="E4300" t="s">
        <v>21242</v>
      </c>
      <c r="F4300" t="s">
        <v>30052</v>
      </c>
      <c r="G4300" t="s">
        <v>30058</v>
      </c>
      <c r="H4300" t="s">
        <v>15498</v>
      </c>
      <c r="I4300" t="s">
        <v>3606</v>
      </c>
      <c r="J4300" t="s">
        <v>30545</v>
      </c>
      <c r="K4300" t="s">
        <v>39018</v>
      </c>
      <c r="L4300" t="s">
        <v>1541</v>
      </c>
      <c r="M4300" t="s">
        <v>40929</v>
      </c>
      <c r="N4300" t="s">
        <v>43166</v>
      </c>
      <c r="O4300" t="s">
        <v>43167</v>
      </c>
      <c r="P4300">
        <v>0</v>
      </c>
      <c r="Q4300">
        <v>1</v>
      </c>
      <c r="R4300" t="s">
        <v>43171</v>
      </c>
      <c r="S4300" t="s">
        <v>43311</v>
      </c>
      <c r="T4300" t="s">
        <v>44715</v>
      </c>
      <c r="U4300" t="s">
        <v>48716</v>
      </c>
      <c r="W4300" t="s">
        <v>40929</v>
      </c>
      <c r="X4300" t="s">
        <v>43172</v>
      </c>
    </row>
    <row r="4301" spans="1:24">
      <c r="A4301">
        <f>HYPERLINK("https://www.philgeps.gov.ph/GEPSNONPILOT/Tender/SplashBidNoticeAbstractUI.aspx?menuIndex=3&amp;refID=7083908&amp;Result=3","7083908")</f>
        <v>0</v>
      </c>
      <c r="B4301" t="s">
        <v>1549</v>
      </c>
      <c r="C4301" t="s">
        <v>7513</v>
      </c>
      <c r="D4301" t="s">
        <v>17429</v>
      </c>
      <c r="E4301" t="s">
        <v>21243</v>
      </c>
      <c r="F4301" t="s">
        <v>30052</v>
      </c>
      <c r="G4301" t="s">
        <v>30058</v>
      </c>
      <c r="H4301" t="s">
        <v>30067</v>
      </c>
      <c r="I4301" t="s">
        <v>3693</v>
      </c>
      <c r="J4301" t="s">
        <v>30222</v>
      </c>
      <c r="K4301" t="s">
        <v>39031</v>
      </c>
      <c r="L4301" t="s">
        <v>1549</v>
      </c>
      <c r="M4301" t="s">
        <v>40937</v>
      </c>
      <c r="N4301" t="s">
        <v>43166</v>
      </c>
      <c r="O4301" t="s">
        <v>43167</v>
      </c>
      <c r="P4301">
        <v>0</v>
      </c>
      <c r="Q4301">
        <v>0</v>
      </c>
      <c r="R4301" t="s">
        <v>43171</v>
      </c>
      <c r="S4301" t="s">
        <v>43311</v>
      </c>
      <c r="T4301" t="s">
        <v>44715</v>
      </c>
      <c r="U4301" t="s">
        <v>48717</v>
      </c>
      <c r="W4301" t="s">
        <v>40937</v>
      </c>
      <c r="X4301" t="s">
        <v>43172</v>
      </c>
    </row>
    <row r="4302" spans="1:24">
      <c r="A4302">
        <f>HYPERLINK("https://www.philgeps.gov.ph/GEPSNONPILOT/Tender/SplashBidNoticeAbstractUI.aspx?menuIndex=3&amp;refID=7083661&amp;Result=3","7083661")</f>
        <v>0</v>
      </c>
      <c r="B4302" t="s">
        <v>726</v>
      </c>
      <c r="C4302" t="s">
        <v>7514</v>
      </c>
      <c r="D4302" t="s">
        <v>17477</v>
      </c>
      <c r="E4302" t="s">
        <v>21244</v>
      </c>
      <c r="F4302" t="s">
        <v>30052</v>
      </c>
      <c r="G4302" t="s">
        <v>30061</v>
      </c>
      <c r="H4302" t="s">
        <v>15498</v>
      </c>
      <c r="I4302" t="s">
        <v>3736</v>
      </c>
      <c r="J4302" t="s">
        <v>30497</v>
      </c>
      <c r="K4302" t="s">
        <v>39019</v>
      </c>
      <c r="M4302" t="s">
        <v>40037</v>
      </c>
      <c r="N4302" t="s">
        <v>43166</v>
      </c>
      <c r="O4302" t="s">
        <v>43167</v>
      </c>
      <c r="P4302">
        <v>0</v>
      </c>
      <c r="Q4302">
        <v>2</v>
      </c>
      <c r="R4302" t="s">
        <v>43171</v>
      </c>
      <c r="S4302" t="s">
        <v>43311</v>
      </c>
      <c r="T4302" t="s">
        <v>44837</v>
      </c>
      <c r="U4302" t="s">
        <v>48718</v>
      </c>
      <c r="W4302" t="s">
        <v>58613</v>
      </c>
      <c r="X4302" t="s">
        <v>43172</v>
      </c>
    </row>
    <row r="4303" spans="1:24">
      <c r="A4303">
        <f>HYPERLINK("https://www.philgeps.gov.ph/GEPSNONPILOT/Tender/SplashBidNoticeAbstractUI.aspx?menuIndex=3&amp;refID=7083754&amp;Result=3","7083754")</f>
        <v>0</v>
      </c>
      <c r="B4303" t="s">
        <v>1428</v>
      </c>
      <c r="C4303" t="s">
        <v>7515</v>
      </c>
      <c r="D4303" t="s">
        <v>17463</v>
      </c>
      <c r="E4303" t="s">
        <v>18364</v>
      </c>
      <c r="F4303" t="s">
        <v>30052</v>
      </c>
      <c r="G4303" t="s">
        <v>30058</v>
      </c>
      <c r="H4303" t="s">
        <v>30067</v>
      </c>
      <c r="I4303" t="s">
        <v>3693</v>
      </c>
      <c r="J4303" t="s">
        <v>30230</v>
      </c>
      <c r="K4303" t="s">
        <v>39023</v>
      </c>
      <c r="M4303" t="s">
        <v>40806</v>
      </c>
      <c r="N4303" t="s">
        <v>43166</v>
      </c>
      <c r="O4303" t="s">
        <v>43167</v>
      </c>
      <c r="P4303">
        <v>0</v>
      </c>
      <c r="Q4303">
        <v>1</v>
      </c>
      <c r="R4303" t="s">
        <v>43171</v>
      </c>
      <c r="S4303" t="s">
        <v>43311</v>
      </c>
      <c r="T4303" t="s">
        <v>44955</v>
      </c>
      <c r="U4303" t="s">
        <v>48719</v>
      </c>
      <c r="W4303" t="s">
        <v>40806</v>
      </c>
      <c r="X4303" t="s">
        <v>43172</v>
      </c>
    </row>
    <row r="4304" spans="1:24">
      <c r="A4304">
        <f>HYPERLINK("https://www.philgeps.gov.ph/GEPSNONPILOT/Tender/SplashBidNoticeAbstractUI.aspx?menuIndex=3&amp;refID=7083907&amp;Result=3","7083907")</f>
        <v>0</v>
      </c>
      <c r="B4304" t="s">
        <v>156</v>
      </c>
      <c r="C4304" t="s">
        <v>7516</v>
      </c>
      <c r="D4304" t="s">
        <v>17422</v>
      </c>
      <c r="E4304" t="s">
        <v>21245</v>
      </c>
      <c r="F4304" t="s">
        <v>30052</v>
      </c>
      <c r="G4304" t="s">
        <v>30058</v>
      </c>
      <c r="H4304" t="s">
        <v>15498</v>
      </c>
      <c r="I4304" t="s">
        <v>30073</v>
      </c>
      <c r="J4304" t="s">
        <v>32973</v>
      </c>
      <c r="K4304" t="s">
        <v>39034</v>
      </c>
      <c r="M4304" t="s">
        <v>39445</v>
      </c>
      <c r="N4304" t="s">
        <v>43166</v>
      </c>
      <c r="O4304" t="s">
        <v>43167</v>
      </c>
      <c r="P4304">
        <v>0</v>
      </c>
      <c r="Q4304">
        <v>0</v>
      </c>
      <c r="R4304" t="s">
        <v>43171</v>
      </c>
      <c r="S4304" t="s">
        <v>43311</v>
      </c>
      <c r="T4304" t="s">
        <v>44710</v>
      </c>
      <c r="U4304" t="s">
        <v>48720</v>
      </c>
      <c r="V4304" t="s">
        <v>56850</v>
      </c>
      <c r="W4304" t="s">
        <v>39445</v>
      </c>
      <c r="X4304" t="s">
        <v>43172</v>
      </c>
    </row>
    <row r="4305" spans="1:24">
      <c r="A4305">
        <f>HYPERLINK("https://www.philgeps.gov.ph/GEPSNONPILOT/Tender/SplashBidNoticeAbstractUI.aspx?menuIndex=3&amp;refID=7083904&amp;Result=3","7083904")</f>
        <v>0</v>
      </c>
      <c r="B4305" t="s">
        <v>1393</v>
      </c>
      <c r="C4305" t="s">
        <v>7517</v>
      </c>
      <c r="D4305" t="s">
        <v>17474</v>
      </c>
      <c r="E4305" t="s">
        <v>21246</v>
      </c>
      <c r="F4305" t="s">
        <v>30052</v>
      </c>
      <c r="G4305" t="s">
        <v>30058</v>
      </c>
      <c r="H4305" t="s">
        <v>15498</v>
      </c>
      <c r="I4305" t="s">
        <v>3852</v>
      </c>
      <c r="J4305" t="s">
        <v>32974</v>
      </c>
      <c r="K4305" t="s">
        <v>39034</v>
      </c>
      <c r="M4305" t="s">
        <v>40769</v>
      </c>
      <c r="N4305" t="s">
        <v>43166</v>
      </c>
      <c r="O4305" t="s">
        <v>43167</v>
      </c>
      <c r="P4305">
        <v>0</v>
      </c>
      <c r="Q4305">
        <v>0</v>
      </c>
      <c r="R4305" t="s">
        <v>43171</v>
      </c>
      <c r="S4305" t="s">
        <v>43311</v>
      </c>
      <c r="T4305" t="s">
        <v>44741</v>
      </c>
      <c r="U4305" t="s">
        <v>48721</v>
      </c>
      <c r="W4305" t="s">
        <v>40769</v>
      </c>
      <c r="X4305" t="s">
        <v>43172</v>
      </c>
    </row>
    <row r="4306" spans="1:24">
      <c r="A4306">
        <f>HYPERLINK("https://www.philgeps.gov.ph/GEPSNONPILOT/Tender/SplashBidNoticeAbstractUI.aspx?menuIndex=3&amp;refID=7083799&amp;Result=3","7083799")</f>
        <v>0</v>
      </c>
      <c r="B4306" t="s">
        <v>1208</v>
      </c>
      <c r="C4306" t="s">
        <v>7518</v>
      </c>
      <c r="D4306" t="s">
        <v>17441</v>
      </c>
      <c r="E4306" t="s">
        <v>21191</v>
      </c>
      <c r="F4306" t="s">
        <v>30052</v>
      </c>
      <c r="G4306" t="s">
        <v>30058</v>
      </c>
      <c r="H4306" t="s">
        <v>30067</v>
      </c>
      <c r="I4306" t="s">
        <v>3693</v>
      </c>
      <c r="J4306" t="s">
        <v>32975</v>
      </c>
      <c r="K4306" t="s">
        <v>39026</v>
      </c>
      <c r="L4306" t="s">
        <v>1208</v>
      </c>
      <c r="M4306" t="s">
        <v>40562</v>
      </c>
      <c r="N4306" t="s">
        <v>43166</v>
      </c>
      <c r="O4306" t="s">
        <v>43167</v>
      </c>
      <c r="P4306">
        <v>0</v>
      </c>
      <c r="Q4306">
        <v>6</v>
      </c>
      <c r="R4306" t="s">
        <v>43171</v>
      </c>
      <c r="S4306" t="s">
        <v>43311</v>
      </c>
      <c r="T4306" t="s">
        <v>44813</v>
      </c>
      <c r="U4306" t="s">
        <v>48668</v>
      </c>
      <c r="W4306" t="s">
        <v>40562</v>
      </c>
      <c r="X4306" t="s">
        <v>43172</v>
      </c>
    </row>
    <row r="4307" spans="1:24">
      <c r="A4307">
        <f>HYPERLINK("https://www.philgeps.gov.ph/GEPSNONPILOT/Tender/SplashBidNoticeAbstractUI.aspx?menuIndex=3&amp;refID=7083900&amp;Result=3","7083900")</f>
        <v>0</v>
      </c>
      <c r="B4307" t="s">
        <v>1168</v>
      </c>
      <c r="C4307" t="s">
        <v>7519</v>
      </c>
      <c r="E4307" t="s">
        <v>21247</v>
      </c>
      <c r="F4307" t="s">
        <v>30052</v>
      </c>
      <c r="G4307" t="s">
        <v>30059</v>
      </c>
      <c r="H4307" t="s">
        <v>15498</v>
      </c>
      <c r="I4307" t="s">
        <v>4119</v>
      </c>
      <c r="J4307" t="s">
        <v>32976</v>
      </c>
      <c r="K4307" t="s">
        <v>39025</v>
      </c>
      <c r="M4307" t="s">
        <v>40515</v>
      </c>
      <c r="N4307" t="s">
        <v>43166</v>
      </c>
      <c r="O4307" t="s">
        <v>43167</v>
      </c>
      <c r="P4307">
        <v>0</v>
      </c>
      <c r="Q4307">
        <v>7</v>
      </c>
      <c r="R4307" t="s">
        <v>43171</v>
      </c>
      <c r="S4307" t="s">
        <v>43311</v>
      </c>
      <c r="T4307" t="s">
        <v>44837</v>
      </c>
      <c r="U4307" t="s">
        <v>48722</v>
      </c>
      <c r="W4307" t="s">
        <v>40515</v>
      </c>
      <c r="X4307" t="s">
        <v>43172</v>
      </c>
    </row>
    <row r="4308" spans="1:24">
      <c r="A4308">
        <f>HYPERLINK("https://www.philgeps.gov.ph/GEPSNONPILOT/Tender/SplashBidNoticeAbstractUI.aspx?menuIndex=3&amp;refID=7083898&amp;Result=3","7083898")</f>
        <v>0</v>
      </c>
      <c r="B4308" t="s">
        <v>919</v>
      </c>
      <c r="C4308" t="s">
        <v>7520</v>
      </c>
      <c r="E4308" t="s">
        <v>21248</v>
      </c>
      <c r="F4308" t="s">
        <v>30052</v>
      </c>
      <c r="G4308" t="s">
        <v>30058</v>
      </c>
      <c r="H4308" t="s">
        <v>30067</v>
      </c>
      <c r="I4308" t="s">
        <v>3693</v>
      </c>
      <c r="J4308" t="s">
        <v>32977</v>
      </c>
      <c r="K4308" t="s">
        <v>39025</v>
      </c>
      <c r="M4308" t="s">
        <v>40242</v>
      </c>
      <c r="N4308" t="s">
        <v>43166</v>
      </c>
      <c r="O4308" t="s">
        <v>43167</v>
      </c>
      <c r="P4308">
        <v>0</v>
      </c>
      <c r="Q4308">
        <v>3</v>
      </c>
      <c r="R4308" t="s">
        <v>43171</v>
      </c>
      <c r="S4308" t="s">
        <v>43311</v>
      </c>
      <c r="T4308" t="s">
        <v>44842</v>
      </c>
      <c r="U4308" t="s">
        <v>48723</v>
      </c>
      <c r="W4308" t="s">
        <v>43101</v>
      </c>
      <c r="X4308" t="s">
        <v>43172</v>
      </c>
    </row>
    <row r="4309" spans="1:24">
      <c r="A4309">
        <f>HYPERLINK("https://www.philgeps.gov.ph/GEPSNONPILOT/Tender/SplashBidNoticeAbstractUI.aspx?menuIndex=3&amp;refID=7083890&amp;Result=3","7083890")</f>
        <v>0</v>
      </c>
      <c r="B4309" t="s">
        <v>701</v>
      </c>
      <c r="C4309" t="s">
        <v>7521</v>
      </c>
      <c r="D4309" t="s">
        <v>17419</v>
      </c>
      <c r="E4309" t="s">
        <v>21249</v>
      </c>
      <c r="F4309" t="s">
        <v>30052</v>
      </c>
      <c r="G4309" t="s">
        <v>30059</v>
      </c>
      <c r="H4309" t="s">
        <v>15498</v>
      </c>
      <c r="I4309" t="s">
        <v>30073</v>
      </c>
      <c r="J4309" t="s">
        <v>32978</v>
      </c>
      <c r="K4309" t="s">
        <v>39025</v>
      </c>
      <c r="M4309" t="s">
        <v>40010</v>
      </c>
      <c r="N4309" t="s">
        <v>43166</v>
      </c>
      <c r="O4309" t="s">
        <v>43167</v>
      </c>
      <c r="P4309">
        <v>0</v>
      </c>
      <c r="Q4309">
        <v>0</v>
      </c>
      <c r="R4309" t="s">
        <v>43171</v>
      </c>
      <c r="S4309" t="s">
        <v>43311</v>
      </c>
      <c r="T4309" t="s">
        <v>44717</v>
      </c>
      <c r="U4309" t="s">
        <v>48724</v>
      </c>
      <c r="W4309" t="s">
        <v>40010</v>
      </c>
      <c r="X4309" t="s">
        <v>43172</v>
      </c>
    </row>
    <row r="4310" spans="1:24">
      <c r="A4310">
        <f>HYPERLINK("https://www.philgeps.gov.ph/GEPSNONPILOT/Tender/SplashBidNoticeAbstractUI.aspx?menuIndex=3&amp;refID=7083912&amp;Result=3","7083912")</f>
        <v>0</v>
      </c>
      <c r="B4310" t="s">
        <v>919</v>
      </c>
      <c r="C4310" t="s">
        <v>7522</v>
      </c>
      <c r="E4310" t="s">
        <v>21250</v>
      </c>
      <c r="F4310" t="s">
        <v>30052</v>
      </c>
      <c r="G4310" t="s">
        <v>30058</v>
      </c>
      <c r="H4310" t="s">
        <v>30067</v>
      </c>
      <c r="I4310" t="s">
        <v>3693</v>
      </c>
      <c r="J4310" t="s">
        <v>32979</v>
      </c>
      <c r="K4310" t="s">
        <v>39025</v>
      </c>
      <c r="M4310" t="s">
        <v>40242</v>
      </c>
      <c r="N4310" t="s">
        <v>43166</v>
      </c>
      <c r="O4310" t="s">
        <v>43167</v>
      </c>
      <c r="P4310">
        <v>0</v>
      </c>
      <c r="Q4310">
        <v>0</v>
      </c>
      <c r="R4310" t="s">
        <v>43171</v>
      </c>
      <c r="S4310" t="s">
        <v>43311</v>
      </c>
      <c r="T4310" t="s">
        <v>44842</v>
      </c>
      <c r="U4310" t="s">
        <v>48725</v>
      </c>
      <c r="W4310" t="s">
        <v>43101</v>
      </c>
      <c r="X4310" t="s">
        <v>43172</v>
      </c>
    </row>
    <row r="4311" spans="1:24">
      <c r="A4311">
        <f>HYPERLINK("https://www.philgeps.gov.ph/GEPSNONPILOT/Tender/SplashBidNoticeAbstractUI.aspx?menuIndex=3&amp;refID=7083888&amp;Result=3","7083888")</f>
        <v>0</v>
      </c>
      <c r="B4311" t="s">
        <v>1553</v>
      </c>
      <c r="C4311" t="s">
        <v>7523</v>
      </c>
      <c r="D4311" t="s">
        <v>17470</v>
      </c>
      <c r="E4311" t="s">
        <v>21251</v>
      </c>
      <c r="F4311" t="s">
        <v>30052</v>
      </c>
      <c r="G4311" t="s">
        <v>30058</v>
      </c>
      <c r="H4311" t="s">
        <v>15498</v>
      </c>
      <c r="I4311" t="s">
        <v>30074</v>
      </c>
      <c r="J4311" t="s">
        <v>31977</v>
      </c>
      <c r="K4311" t="s">
        <v>39019</v>
      </c>
      <c r="L4311" t="s">
        <v>1553</v>
      </c>
      <c r="M4311" t="s">
        <v>40941</v>
      </c>
      <c r="N4311" t="s">
        <v>43166</v>
      </c>
      <c r="O4311" t="s">
        <v>43167</v>
      </c>
      <c r="P4311">
        <v>0</v>
      </c>
      <c r="Q4311">
        <v>0</v>
      </c>
      <c r="R4311" t="s">
        <v>43171</v>
      </c>
      <c r="S4311" t="s">
        <v>43311</v>
      </c>
      <c r="T4311" t="s">
        <v>44705</v>
      </c>
      <c r="U4311" t="s">
        <v>48726</v>
      </c>
      <c r="W4311" t="s">
        <v>40941</v>
      </c>
      <c r="X4311" t="s">
        <v>43172</v>
      </c>
    </row>
    <row r="4312" spans="1:24">
      <c r="A4312">
        <f>HYPERLINK("https://www.philgeps.gov.ph/GEPSNONPILOT/Tender/SplashBidNoticeAbstractUI.aspx?menuIndex=3&amp;refID=7083884&amp;Result=3","7083884")</f>
        <v>0</v>
      </c>
      <c r="B4312" t="s">
        <v>947</v>
      </c>
      <c r="C4312" t="s">
        <v>7524</v>
      </c>
      <c r="D4312" t="s">
        <v>17415</v>
      </c>
      <c r="E4312" t="s">
        <v>20553</v>
      </c>
      <c r="F4312" t="s">
        <v>30052</v>
      </c>
      <c r="G4312" t="s">
        <v>30058</v>
      </c>
      <c r="H4312" t="s">
        <v>15498</v>
      </c>
      <c r="I4312" t="s">
        <v>30161</v>
      </c>
      <c r="J4312" t="s">
        <v>32980</v>
      </c>
      <c r="K4312" t="s">
        <v>39145</v>
      </c>
      <c r="M4312" t="s">
        <v>40942</v>
      </c>
      <c r="N4312" t="s">
        <v>43166</v>
      </c>
      <c r="O4312" t="s">
        <v>43167</v>
      </c>
      <c r="Q4312">
        <v>10</v>
      </c>
      <c r="R4312" t="s">
        <v>43171</v>
      </c>
      <c r="S4312" t="s">
        <v>43327</v>
      </c>
      <c r="T4312" t="s">
        <v>44693</v>
      </c>
      <c r="U4312" t="s">
        <v>48727</v>
      </c>
      <c r="W4312" t="s">
        <v>40942</v>
      </c>
      <c r="X4312" t="s">
        <v>43172</v>
      </c>
    </row>
    <row r="4313" spans="1:24">
      <c r="A4313">
        <f>HYPERLINK("https://www.philgeps.gov.ph/GEPSNONPILOT/Tender/SplashBidNoticeAbstractUI.aspx?menuIndex=3&amp;refID=7083903&amp;Result=3","7083903")</f>
        <v>0</v>
      </c>
      <c r="B4313" t="s">
        <v>131</v>
      </c>
      <c r="C4313" t="s">
        <v>7525</v>
      </c>
      <c r="D4313" t="s">
        <v>17424</v>
      </c>
      <c r="E4313" t="s">
        <v>21252</v>
      </c>
      <c r="F4313" t="s">
        <v>30052</v>
      </c>
      <c r="G4313" t="s">
        <v>30059</v>
      </c>
      <c r="H4313" t="s">
        <v>15498</v>
      </c>
      <c r="I4313" t="s">
        <v>30114</v>
      </c>
      <c r="J4313" t="s">
        <v>30276</v>
      </c>
      <c r="K4313" t="s">
        <v>39025</v>
      </c>
      <c r="M4313" t="s">
        <v>39420</v>
      </c>
      <c r="N4313" t="s">
        <v>43166</v>
      </c>
      <c r="O4313" t="s">
        <v>43167</v>
      </c>
      <c r="P4313">
        <v>0</v>
      </c>
      <c r="Q4313">
        <v>3</v>
      </c>
      <c r="R4313" t="s">
        <v>43171</v>
      </c>
      <c r="S4313" t="s">
        <v>43311</v>
      </c>
      <c r="T4313" t="s">
        <v>44837</v>
      </c>
      <c r="U4313" t="s">
        <v>48728</v>
      </c>
      <c r="W4313" t="s">
        <v>39420</v>
      </c>
      <c r="X4313" t="s">
        <v>43172</v>
      </c>
    </row>
    <row r="4314" spans="1:24">
      <c r="A4314">
        <f>HYPERLINK("https://www.philgeps.gov.ph/GEPSNONPILOT/Tender/SplashBidNoticeAbstractUI.aspx?menuIndex=3&amp;refID=7083880&amp;Result=3","7083880")</f>
        <v>0</v>
      </c>
      <c r="B4314" t="s">
        <v>1443</v>
      </c>
      <c r="C4314" t="s">
        <v>7526</v>
      </c>
      <c r="D4314" t="s">
        <v>17436</v>
      </c>
      <c r="E4314" t="s">
        <v>21253</v>
      </c>
      <c r="F4314" t="s">
        <v>30052</v>
      </c>
      <c r="G4314" t="s">
        <v>30058</v>
      </c>
      <c r="H4314" t="s">
        <v>15498</v>
      </c>
      <c r="I4314" t="s">
        <v>30073</v>
      </c>
      <c r="J4314" t="s">
        <v>32981</v>
      </c>
      <c r="K4314" t="s">
        <v>39025</v>
      </c>
      <c r="M4314" t="s">
        <v>40821</v>
      </c>
      <c r="N4314" t="s">
        <v>43166</v>
      </c>
      <c r="O4314" t="s">
        <v>43167</v>
      </c>
      <c r="P4314">
        <v>0</v>
      </c>
      <c r="Q4314">
        <v>0</v>
      </c>
      <c r="R4314" t="s">
        <v>43171</v>
      </c>
      <c r="S4314" t="s">
        <v>43311</v>
      </c>
      <c r="T4314" t="s">
        <v>44733</v>
      </c>
      <c r="U4314" t="s">
        <v>48729</v>
      </c>
      <c r="W4314" t="s">
        <v>40821</v>
      </c>
      <c r="X4314" t="s">
        <v>43172</v>
      </c>
    </row>
    <row r="4315" spans="1:24">
      <c r="A4315">
        <f>HYPERLINK("https://www.philgeps.gov.ph/GEPSNONPILOT/Tender/SplashBidNoticeAbstractUI.aspx?menuIndex=3&amp;refID=7083896&amp;Result=3","7083896")</f>
        <v>0</v>
      </c>
      <c r="B4315" t="s">
        <v>1208</v>
      </c>
      <c r="C4315" t="s">
        <v>7527</v>
      </c>
      <c r="D4315" t="s">
        <v>17441</v>
      </c>
      <c r="E4315" t="s">
        <v>21191</v>
      </c>
      <c r="F4315" t="s">
        <v>30052</v>
      </c>
      <c r="G4315" t="s">
        <v>30058</v>
      </c>
      <c r="H4315" t="s">
        <v>30067</v>
      </c>
      <c r="I4315" t="s">
        <v>3693</v>
      </c>
      <c r="J4315" t="s">
        <v>30207</v>
      </c>
      <c r="K4315" t="s">
        <v>39029</v>
      </c>
      <c r="L4315" t="s">
        <v>1208</v>
      </c>
      <c r="M4315" t="s">
        <v>40562</v>
      </c>
      <c r="N4315" t="s">
        <v>43166</v>
      </c>
      <c r="O4315" t="s">
        <v>43167</v>
      </c>
      <c r="P4315">
        <v>0</v>
      </c>
      <c r="Q4315">
        <v>5</v>
      </c>
      <c r="R4315" t="s">
        <v>43171</v>
      </c>
      <c r="S4315" t="s">
        <v>43311</v>
      </c>
      <c r="T4315" t="s">
        <v>44813</v>
      </c>
      <c r="U4315" t="s">
        <v>48730</v>
      </c>
      <c r="W4315" t="s">
        <v>40562</v>
      </c>
      <c r="X4315" t="s">
        <v>43172</v>
      </c>
    </row>
    <row r="4316" spans="1:24">
      <c r="A4316">
        <f>HYPERLINK("https://www.philgeps.gov.ph/GEPSNONPILOT/Tender/SplashBidNoticeAbstractUI.aspx?menuIndex=3&amp;refID=7083894&amp;Result=3","7083894")</f>
        <v>0</v>
      </c>
      <c r="B4316" t="s">
        <v>1554</v>
      </c>
      <c r="C4316" t="s">
        <v>7528</v>
      </c>
      <c r="E4316" t="s">
        <v>20202</v>
      </c>
      <c r="F4316" t="s">
        <v>30054</v>
      </c>
      <c r="G4316" t="s">
        <v>30058</v>
      </c>
      <c r="H4316" t="s">
        <v>15498</v>
      </c>
      <c r="I4316" t="s">
        <v>3736</v>
      </c>
      <c r="J4316" t="s">
        <v>32982</v>
      </c>
      <c r="K4316" t="s">
        <v>39025</v>
      </c>
      <c r="M4316" t="s">
        <v>40943</v>
      </c>
      <c r="N4316" t="s">
        <v>43166</v>
      </c>
      <c r="O4316" t="s">
        <v>43167</v>
      </c>
      <c r="P4316">
        <v>0</v>
      </c>
      <c r="Q4316">
        <v>0</v>
      </c>
      <c r="R4316" t="s">
        <v>43171</v>
      </c>
      <c r="S4316" t="s">
        <v>43311</v>
      </c>
      <c r="T4316" t="s">
        <v>44877</v>
      </c>
      <c r="U4316" t="s">
        <v>47742</v>
      </c>
      <c r="W4316" t="s">
        <v>40943</v>
      </c>
      <c r="X4316" t="s">
        <v>43172</v>
      </c>
    </row>
    <row r="4317" spans="1:24">
      <c r="A4317">
        <f>HYPERLINK("https://www.philgeps.gov.ph/GEPSNONPILOT/Tender/SplashBidNoticeAbstractUI.aspx?menuIndex=3&amp;refID=7083878&amp;Result=3","7083878")</f>
        <v>0</v>
      </c>
      <c r="B4317" t="s">
        <v>1555</v>
      </c>
      <c r="C4317" t="s">
        <v>7529</v>
      </c>
      <c r="D4317" t="s">
        <v>17422</v>
      </c>
      <c r="E4317" t="s">
        <v>21254</v>
      </c>
      <c r="F4317" t="s">
        <v>30052</v>
      </c>
      <c r="G4317" t="s">
        <v>30059</v>
      </c>
      <c r="H4317" t="s">
        <v>15498</v>
      </c>
      <c r="I4317" t="s">
        <v>30108</v>
      </c>
      <c r="J4317" t="s">
        <v>32983</v>
      </c>
      <c r="K4317" t="s">
        <v>39034</v>
      </c>
      <c r="M4317" t="s">
        <v>40944</v>
      </c>
      <c r="N4317" t="s">
        <v>43166</v>
      </c>
      <c r="O4317" t="s">
        <v>43167</v>
      </c>
      <c r="P4317">
        <v>0</v>
      </c>
      <c r="Q4317">
        <v>1</v>
      </c>
      <c r="R4317" t="s">
        <v>43171</v>
      </c>
      <c r="S4317" t="s">
        <v>43311</v>
      </c>
      <c r="T4317" t="s">
        <v>44691</v>
      </c>
      <c r="U4317" t="s">
        <v>48731</v>
      </c>
      <c r="W4317" t="s">
        <v>58644</v>
      </c>
      <c r="X4317" t="s">
        <v>43172</v>
      </c>
    </row>
    <row r="4318" spans="1:24">
      <c r="A4318">
        <f>HYPERLINK("https://www.philgeps.gov.ph/GEPSNONPILOT/Tender/SplashBidNoticeAbstractUI.aspx?menuIndex=3&amp;refID=7083075&amp;Result=3","7083075")</f>
        <v>0</v>
      </c>
      <c r="B4318" t="s">
        <v>56</v>
      </c>
      <c r="C4318" t="s">
        <v>7530</v>
      </c>
      <c r="D4318" t="s">
        <v>17438</v>
      </c>
      <c r="E4318" t="s">
        <v>21255</v>
      </c>
      <c r="F4318" t="s">
        <v>30052</v>
      </c>
      <c r="G4318" t="s">
        <v>30059</v>
      </c>
      <c r="H4318" t="s">
        <v>15498</v>
      </c>
      <c r="I4318" t="s">
        <v>30096</v>
      </c>
      <c r="J4318" t="s">
        <v>32984</v>
      </c>
      <c r="K4318" t="s">
        <v>39019</v>
      </c>
      <c r="M4318" t="s">
        <v>39345</v>
      </c>
      <c r="N4318" t="s">
        <v>43166</v>
      </c>
      <c r="O4318" t="s">
        <v>43167</v>
      </c>
      <c r="P4318">
        <v>0</v>
      </c>
      <c r="Q4318">
        <v>0</v>
      </c>
      <c r="R4318" t="s">
        <v>43171</v>
      </c>
      <c r="S4318" t="s">
        <v>43311</v>
      </c>
      <c r="T4318" t="s">
        <v>44843</v>
      </c>
      <c r="U4318" t="s">
        <v>45281</v>
      </c>
      <c r="V4318" t="s">
        <v>56817</v>
      </c>
      <c r="W4318" t="s">
        <v>39345</v>
      </c>
      <c r="X4318" t="s">
        <v>43172</v>
      </c>
    </row>
    <row r="4319" spans="1:24">
      <c r="A4319">
        <f>HYPERLINK("https://www.philgeps.gov.ph/GEPSNONPILOT/Tender/SplashBidNoticeAbstractUI.aspx?menuIndex=3&amp;refID=7083706&amp;Result=3","7083706")</f>
        <v>0</v>
      </c>
      <c r="B4319" t="s">
        <v>1556</v>
      </c>
      <c r="C4319" t="s">
        <v>7531</v>
      </c>
      <c r="D4319" t="s">
        <v>17486</v>
      </c>
      <c r="E4319" t="s">
        <v>21256</v>
      </c>
      <c r="F4319" t="s">
        <v>30052</v>
      </c>
      <c r="G4319" t="s">
        <v>30058</v>
      </c>
      <c r="H4319" t="s">
        <v>30069</v>
      </c>
      <c r="I4319" t="s">
        <v>30148</v>
      </c>
      <c r="J4319" t="s">
        <v>32985</v>
      </c>
      <c r="K4319" t="s">
        <v>39029</v>
      </c>
      <c r="M4319" t="s">
        <v>40945</v>
      </c>
      <c r="N4319" t="s">
        <v>43166</v>
      </c>
      <c r="O4319" t="s">
        <v>43167</v>
      </c>
      <c r="P4319">
        <v>0</v>
      </c>
      <c r="Q4319">
        <v>4</v>
      </c>
      <c r="R4319" t="s">
        <v>43171</v>
      </c>
      <c r="S4319" t="s">
        <v>43311</v>
      </c>
      <c r="T4319" t="s">
        <v>44710</v>
      </c>
      <c r="U4319" t="s">
        <v>48732</v>
      </c>
      <c r="W4319" t="s">
        <v>40945</v>
      </c>
      <c r="X4319" t="s">
        <v>43172</v>
      </c>
    </row>
    <row r="4320" spans="1:24">
      <c r="A4320">
        <f>HYPERLINK("https://www.philgeps.gov.ph/GEPSNONPILOT/Tender/SplashBidNoticeAbstractUI.aspx?menuIndex=3&amp;refID=7083879&amp;Result=3","7083879")</f>
        <v>0</v>
      </c>
      <c r="B4320" t="s">
        <v>1557</v>
      </c>
      <c r="C4320" t="s">
        <v>7532</v>
      </c>
      <c r="D4320" t="s">
        <v>17456</v>
      </c>
      <c r="E4320" t="s">
        <v>21257</v>
      </c>
      <c r="F4320" t="s">
        <v>30052</v>
      </c>
      <c r="G4320" t="s">
        <v>30059</v>
      </c>
      <c r="H4320" t="s">
        <v>15498</v>
      </c>
      <c r="I4320" t="s">
        <v>30166</v>
      </c>
      <c r="J4320" t="s">
        <v>30277</v>
      </c>
      <c r="K4320" t="s">
        <v>39019</v>
      </c>
      <c r="M4320" t="s">
        <v>40946</v>
      </c>
      <c r="N4320" t="s">
        <v>43166</v>
      </c>
      <c r="O4320" t="s">
        <v>43167</v>
      </c>
      <c r="P4320">
        <v>0</v>
      </c>
      <c r="Q4320">
        <v>4</v>
      </c>
      <c r="R4320" t="s">
        <v>43171</v>
      </c>
      <c r="S4320" t="s">
        <v>43311</v>
      </c>
      <c r="T4320" t="s">
        <v>44837</v>
      </c>
      <c r="U4320" t="s">
        <v>45642</v>
      </c>
      <c r="W4320" t="s">
        <v>40946</v>
      </c>
      <c r="X4320" t="s">
        <v>43172</v>
      </c>
    </row>
    <row r="4321" spans="1:24">
      <c r="A4321">
        <f>HYPERLINK("https://www.philgeps.gov.ph/GEPSNONPILOT/Tender/SplashBidNoticeAbstractUI.aspx?menuIndex=3&amp;refID=7083893&amp;Result=3","7083893")</f>
        <v>0</v>
      </c>
      <c r="B4321" t="s">
        <v>1558</v>
      </c>
      <c r="C4321" t="s">
        <v>7533</v>
      </c>
      <c r="D4321" t="s">
        <v>17459</v>
      </c>
      <c r="E4321" t="s">
        <v>18240</v>
      </c>
      <c r="F4321" t="s">
        <v>30052</v>
      </c>
      <c r="G4321" t="s">
        <v>30058</v>
      </c>
      <c r="H4321" t="s">
        <v>15498</v>
      </c>
      <c r="I4321" t="s">
        <v>30114</v>
      </c>
      <c r="J4321" t="s">
        <v>32986</v>
      </c>
      <c r="K4321" t="s">
        <v>39037</v>
      </c>
      <c r="M4321" t="s">
        <v>40947</v>
      </c>
      <c r="N4321" t="s">
        <v>43166</v>
      </c>
      <c r="O4321" t="s">
        <v>43167</v>
      </c>
      <c r="P4321">
        <v>0</v>
      </c>
      <c r="Q4321">
        <v>8</v>
      </c>
      <c r="R4321" t="s">
        <v>43171</v>
      </c>
      <c r="S4321" t="s">
        <v>43311</v>
      </c>
      <c r="T4321" t="s">
        <v>44807</v>
      </c>
      <c r="U4321" t="s">
        <v>48733</v>
      </c>
      <c r="W4321" t="s">
        <v>40947</v>
      </c>
      <c r="X4321" t="s">
        <v>43172</v>
      </c>
    </row>
    <row r="4322" spans="1:24">
      <c r="A4322">
        <f>HYPERLINK("https://www.philgeps.gov.ph/GEPSNONPILOT/Tender/SplashBidNoticeAbstractUI.aspx?menuIndex=3&amp;refID=7083945&amp;Result=3","7083945")</f>
        <v>0</v>
      </c>
      <c r="B4322" t="s">
        <v>1551</v>
      </c>
      <c r="C4322" t="s">
        <v>7534</v>
      </c>
      <c r="D4322" t="s">
        <v>17442</v>
      </c>
      <c r="E4322" t="s">
        <v>21258</v>
      </c>
      <c r="F4322" t="s">
        <v>30052</v>
      </c>
      <c r="G4322" t="s">
        <v>30058</v>
      </c>
      <c r="H4322" t="s">
        <v>15498</v>
      </c>
      <c r="I4322" t="s">
        <v>30081</v>
      </c>
      <c r="J4322" t="s">
        <v>30398</v>
      </c>
      <c r="K4322" t="s">
        <v>39019</v>
      </c>
      <c r="M4322" t="s">
        <v>40939</v>
      </c>
      <c r="N4322" t="s">
        <v>43166</v>
      </c>
      <c r="O4322" t="s">
        <v>43167</v>
      </c>
      <c r="P4322">
        <v>0</v>
      </c>
      <c r="Q4322">
        <v>0</v>
      </c>
      <c r="R4322" t="s">
        <v>43171</v>
      </c>
      <c r="S4322" t="s">
        <v>43311</v>
      </c>
      <c r="T4322" t="s">
        <v>44681</v>
      </c>
      <c r="U4322" t="s">
        <v>48734</v>
      </c>
      <c r="W4322" t="s">
        <v>40939</v>
      </c>
      <c r="X4322" t="s">
        <v>43172</v>
      </c>
    </row>
    <row r="4323" spans="1:24">
      <c r="A4323">
        <f>HYPERLINK("https://www.philgeps.gov.ph/GEPSNONPILOT/Tender/SplashBidNoticeAbstractUI.aspx?menuIndex=3&amp;refID=7083875&amp;Result=3","7083875")</f>
        <v>0</v>
      </c>
      <c r="B4323" t="s">
        <v>217</v>
      </c>
      <c r="C4323" t="s">
        <v>7535</v>
      </c>
      <c r="D4323" t="s">
        <v>17458</v>
      </c>
      <c r="E4323" t="s">
        <v>21259</v>
      </c>
      <c r="F4323" t="s">
        <v>30052</v>
      </c>
      <c r="G4323" t="s">
        <v>30059</v>
      </c>
      <c r="H4323" t="s">
        <v>15498</v>
      </c>
      <c r="I4323" t="s">
        <v>3736</v>
      </c>
      <c r="J4323" t="s">
        <v>32987</v>
      </c>
      <c r="K4323" t="s">
        <v>39019</v>
      </c>
      <c r="M4323" t="s">
        <v>39507</v>
      </c>
      <c r="N4323" t="s">
        <v>43166</v>
      </c>
      <c r="O4323" t="s">
        <v>43167</v>
      </c>
      <c r="P4323">
        <v>0</v>
      </c>
      <c r="Q4323">
        <v>0</v>
      </c>
      <c r="R4323" t="s">
        <v>43171</v>
      </c>
      <c r="S4323" t="s">
        <v>43311</v>
      </c>
      <c r="T4323" t="s">
        <v>44943</v>
      </c>
      <c r="U4323" t="s">
        <v>48677</v>
      </c>
      <c r="W4323" t="s">
        <v>39507</v>
      </c>
      <c r="X4323" t="s">
        <v>43172</v>
      </c>
    </row>
    <row r="4324" spans="1:24">
      <c r="A4324">
        <f>HYPERLINK("https://www.philgeps.gov.ph/GEPSNONPILOT/Tender/SplashBidNoticeAbstractUI.aspx?menuIndex=3&amp;refID=7083944&amp;Result=3","7083944")</f>
        <v>0</v>
      </c>
      <c r="B4324" t="s">
        <v>1544</v>
      </c>
      <c r="C4324" t="s">
        <v>7536</v>
      </c>
      <c r="D4324" t="s">
        <v>17446</v>
      </c>
      <c r="E4324" t="s">
        <v>21260</v>
      </c>
      <c r="F4324" t="s">
        <v>30052</v>
      </c>
      <c r="G4324" t="s">
        <v>30059</v>
      </c>
      <c r="H4324" t="s">
        <v>15498</v>
      </c>
      <c r="I4324" t="s">
        <v>30071</v>
      </c>
      <c r="J4324" t="s">
        <v>32988</v>
      </c>
      <c r="K4324" t="s">
        <v>39029</v>
      </c>
      <c r="M4324" t="s">
        <v>40932</v>
      </c>
      <c r="N4324" t="s">
        <v>43166</v>
      </c>
      <c r="O4324" t="s">
        <v>43167</v>
      </c>
      <c r="P4324">
        <v>0</v>
      </c>
      <c r="Q4324">
        <v>1</v>
      </c>
      <c r="R4324" t="s">
        <v>43171</v>
      </c>
      <c r="S4324" t="s">
        <v>43311</v>
      </c>
      <c r="T4324" t="s">
        <v>44717</v>
      </c>
      <c r="U4324" t="s">
        <v>48735</v>
      </c>
      <c r="W4324" t="s">
        <v>40932</v>
      </c>
      <c r="X4324" t="s">
        <v>43172</v>
      </c>
    </row>
    <row r="4325" spans="1:24">
      <c r="A4325">
        <f>HYPERLINK("https://www.philgeps.gov.ph/GEPSNONPILOT/Tender/SplashBidNoticeAbstractUI.aspx?menuIndex=3&amp;refID=7083943&amp;Result=3","7083943")</f>
        <v>0</v>
      </c>
      <c r="B4325" t="s">
        <v>1446</v>
      </c>
      <c r="C4325" t="s">
        <v>7537</v>
      </c>
      <c r="D4325" t="s">
        <v>17447</v>
      </c>
      <c r="E4325" t="s">
        <v>21261</v>
      </c>
      <c r="F4325" t="s">
        <v>30052</v>
      </c>
      <c r="G4325" t="s">
        <v>30058</v>
      </c>
      <c r="H4325" t="s">
        <v>30067</v>
      </c>
      <c r="I4325" t="s">
        <v>3693</v>
      </c>
      <c r="J4325" t="s">
        <v>32795</v>
      </c>
      <c r="K4325" t="s">
        <v>39026</v>
      </c>
      <c r="M4325" t="s">
        <v>40824</v>
      </c>
      <c r="N4325" t="s">
        <v>43166</v>
      </c>
      <c r="O4325" t="s">
        <v>43167</v>
      </c>
      <c r="P4325">
        <v>0</v>
      </c>
      <c r="Q4325">
        <v>2</v>
      </c>
      <c r="R4325" t="s">
        <v>43171</v>
      </c>
      <c r="S4325" t="s">
        <v>43311</v>
      </c>
      <c r="T4325" t="s">
        <v>44722</v>
      </c>
      <c r="U4325" t="s">
        <v>48423</v>
      </c>
      <c r="V4325" t="s">
        <v>57283</v>
      </c>
      <c r="W4325" t="s">
        <v>40824</v>
      </c>
      <c r="X4325" t="s">
        <v>43172</v>
      </c>
    </row>
    <row r="4326" spans="1:24">
      <c r="A4326">
        <f>HYPERLINK("https://www.philgeps.gov.ph/GEPSNONPILOT/Tender/SplashBidNoticeAbstractUI.aspx?menuIndex=3&amp;refID=7083942&amp;Result=3","7083942")</f>
        <v>0</v>
      </c>
      <c r="B4326" t="s">
        <v>658</v>
      </c>
      <c r="C4326" t="s">
        <v>7538</v>
      </c>
      <c r="D4326" t="s">
        <v>17475</v>
      </c>
      <c r="E4326" t="s">
        <v>21262</v>
      </c>
      <c r="F4326" t="s">
        <v>30052</v>
      </c>
      <c r="G4326" t="s">
        <v>30058</v>
      </c>
      <c r="H4326" t="s">
        <v>15498</v>
      </c>
      <c r="I4326" t="s">
        <v>3736</v>
      </c>
      <c r="J4326" t="s">
        <v>32989</v>
      </c>
      <c r="K4326" t="s">
        <v>39029</v>
      </c>
      <c r="M4326" t="s">
        <v>40517</v>
      </c>
      <c r="N4326" t="s">
        <v>43166</v>
      </c>
      <c r="O4326" t="s">
        <v>43167</v>
      </c>
      <c r="P4326">
        <v>0</v>
      </c>
      <c r="Q4326">
        <v>3</v>
      </c>
      <c r="R4326" t="s">
        <v>43171</v>
      </c>
      <c r="S4326" t="s">
        <v>43311</v>
      </c>
      <c r="T4326" t="s">
        <v>44991</v>
      </c>
      <c r="U4326" t="s">
        <v>48736</v>
      </c>
      <c r="W4326" t="s">
        <v>40517</v>
      </c>
      <c r="X4326" t="s">
        <v>43172</v>
      </c>
    </row>
    <row r="4327" spans="1:24">
      <c r="A4327">
        <f>HYPERLINK("https://www.philgeps.gov.ph/GEPSNONPILOT/Tender/SplashBidNoticeAbstractUI.aspx?menuIndex=3&amp;refID=7083940&amp;Result=3","7083940")</f>
        <v>0</v>
      </c>
      <c r="B4327" t="s">
        <v>156</v>
      </c>
      <c r="C4327" t="s">
        <v>7539</v>
      </c>
      <c r="D4327" t="s">
        <v>17422</v>
      </c>
      <c r="E4327" t="s">
        <v>21263</v>
      </c>
      <c r="F4327" t="s">
        <v>30052</v>
      </c>
      <c r="G4327" t="s">
        <v>30059</v>
      </c>
      <c r="H4327" t="s">
        <v>15498</v>
      </c>
      <c r="I4327" t="s">
        <v>30073</v>
      </c>
      <c r="J4327" t="s">
        <v>32990</v>
      </c>
      <c r="K4327" t="s">
        <v>39034</v>
      </c>
      <c r="M4327" t="s">
        <v>39445</v>
      </c>
      <c r="N4327" t="s">
        <v>43166</v>
      </c>
      <c r="O4327" t="s">
        <v>43167</v>
      </c>
      <c r="P4327">
        <v>0</v>
      </c>
      <c r="Q4327">
        <v>0</v>
      </c>
      <c r="R4327" t="s">
        <v>43171</v>
      </c>
      <c r="S4327" t="s">
        <v>43311</v>
      </c>
      <c r="T4327" t="s">
        <v>44717</v>
      </c>
      <c r="U4327" t="s">
        <v>48720</v>
      </c>
      <c r="V4327" t="s">
        <v>56850</v>
      </c>
      <c r="W4327" t="s">
        <v>39445</v>
      </c>
      <c r="X4327" t="s">
        <v>43172</v>
      </c>
    </row>
    <row r="4328" spans="1:24">
      <c r="A4328">
        <f>HYPERLINK("https://www.philgeps.gov.ph/GEPSNONPILOT/Tender/SplashBidNoticeAbstractUI.aspx?menuIndex=3&amp;refID=7083939&amp;Result=3","7083939")</f>
        <v>0</v>
      </c>
      <c r="B4328" t="s">
        <v>1559</v>
      </c>
      <c r="C4328" t="s">
        <v>7540</v>
      </c>
      <c r="D4328" t="s">
        <v>17484</v>
      </c>
      <c r="E4328" t="s">
        <v>21264</v>
      </c>
      <c r="F4328" t="s">
        <v>30052</v>
      </c>
      <c r="G4328" t="s">
        <v>30059</v>
      </c>
      <c r="H4328" t="s">
        <v>15498</v>
      </c>
      <c r="I4328" t="s">
        <v>5961</v>
      </c>
      <c r="J4328" t="s">
        <v>32991</v>
      </c>
      <c r="K4328" t="s">
        <v>39019</v>
      </c>
      <c r="M4328" t="s">
        <v>40948</v>
      </c>
      <c r="N4328" t="s">
        <v>43166</v>
      </c>
      <c r="O4328" t="s">
        <v>43167</v>
      </c>
      <c r="P4328">
        <v>0</v>
      </c>
      <c r="Q4328">
        <v>0</v>
      </c>
      <c r="R4328" t="s">
        <v>43171</v>
      </c>
      <c r="S4328" t="s">
        <v>43311</v>
      </c>
      <c r="T4328" t="s">
        <v>44777</v>
      </c>
      <c r="U4328" t="s">
        <v>48737</v>
      </c>
      <c r="W4328" t="s">
        <v>40948</v>
      </c>
      <c r="X4328" t="s">
        <v>43172</v>
      </c>
    </row>
    <row r="4329" spans="1:24">
      <c r="A4329">
        <f>HYPERLINK("https://www.philgeps.gov.ph/GEPSNONPILOT/Tender/SplashBidNoticeAbstractUI.aspx?menuIndex=3&amp;refID=7083938&amp;Result=3","7083938")</f>
        <v>0</v>
      </c>
      <c r="B4329" t="s">
        <v>1549</v>
      </c>
      <c r="C4329" t="s">
        <v>7541</v>
      </c>
      <c r="D4329" t="s">
        <v>17429</v>
      </c>
      <c r="E4329" t="s">
        <v>21265</v>
      </c>
      <c r="F4329" t="s">
        <v>30052</v>
      </c>
      <c r="G4329" t="s">
        <v>30058</v>
      </c>
      <c r="H4329" t="s">
        <v>30067</v>
      </c>
      <c r="I4329" t="s">
        <v>3693</v>
      </c>
      <c r="J4329" t="s">
        <v>30397</v>
      </c>
      <c r="K4329" t="s">
        <v>39031</v>
      </c>
      <c r="L4329" t="s">
        <v>1549</v>
      </c>
      <c r="M4329" t="s">
        <v>40937</v>
      </c>
      <c r="N4329" t="s">
        <v>43166</v>
      </c>
      <c r="O4329" t="s">
        <v>43167</v>
      </c>
      <c r="P4329">
        <v>0</v>
      </c>
      <c r="Q4329">
        <v>0</v>
      </c>
      <c r="R4329" t="s">
        <v>43171</v>
      </c>
      <c r="S4329" t="s">
        <v>43311</v>
      </c>
      <c r="T4329" t="s">
        <v>44715</v>
      </c>
      <c r="U4329" t="s">
        <v>48738</v>
      </c>
      <c r="W4329" t="s">
        <v>40937</v>
      </c>
      <c r="X4329" t="s">
        <v>43172</v>
      </c>
    </row>
    <row r="4330" spans="1:24">
      <c r="A4330">
        <f>HYPERLINK("https://www.philgeps.gov.ph/GEPSNONPILOT/Tender/SplashBidNoticeAbstractUI.aspx?menuIndex=3&amp;refID=7083932&amp;Result=3","7083932")</f>
        <v>0</v>
      </c>
      <c r="B4330" t="s">
        <v>1560</v>
      </c>
      <c r="C4330" t="s">
        <v>7542</v>
      </c>
      <c r="E4330" t="s">
        <v>21266</v>
      </c>
      <c r="F4330" t="s">
        <v>30052</v>
      </c>
      <c r="G4330" t="s">
        <v>30059</v>
      </c>
      <c r="H4330" t="s">
        <v>15498</v>
      </c>
      <c r="I4330" t="s">
        <v>4650</v>
      </c>
      <c r="J4330" t="s">
        <v>30256</v>
      </c>
      <c r="K4330" t="s">
        <v>39019</v>
      </c>
      <c r="M4330" t="s">
        <v>40949</v>
      </c>
      <c r="N4330" t="s">
        <v>43166</v>
      </c>
      <c r="O4330" t="s">
        <v>43167</v>
      </c>
      <c r="P4330">
        <v>0</v>
      </c>
      <c r="Q4330">
        <v>0</v>
      </c>
      <c r="R4330" t="s">
        <v>43171</v>
      </c>
      <c r="S4330" t="s">
        <v>43311</v>
      </c>
      <c r="T4330" t="s">
        <v>44943</v>
      </c>
      <c r="U4330" t="s">
        <v>48739</v>
      </c>
      <c r="W4330" t="s">
        <v>40949</v>
      </c>
      <c r="X4330" t="s">
        <v>43172</v>
      </c>
    </row>
    <row r="4331" spans="1:24">
      <c r="A4331">
        <f>HYPERLINK("https://www.philgeps.gov.ph/GEPSNONPILOT/Tender/SplashBidNoticeAbstractUI.aspx?menuIndex=3&amp;refID=7083873&amp;Result=3","7083873")</f>
        <v>0</v>
      </c>
      <c r="B4331" t="s">
        <v>1561</v>
      </c>
      <c r="C4331" t="s">
        <v>7543</v>
      </c>
      <c r="D4331" t="s">
        <v>17445</v>
      </c>
      <c r="E4331" t="s">
        <v>21267</v>
      </c>
      <c r="F4331" t="s">
        <v>30054</v>
      </c>
      <c r="G4331" t="s">
        <v>30058</v>
      </c>
      <c r="H4331" t="s">
        <v>30067</v>
      </c>
      <c r="I4331" t="s">
        <v>3693</v>
      </c>
      <c r="J4331" t="s">
        <v>30218</v>
      </c>
      <c r="K4331" t="s">
        <v>39032</v>
      </c>
      <c r="M4331" t="s">
        <v>40950</v>
      </c>
      <c r="N4331" t="s">
        <v>43166</v>
      </c>
      <c r="O4331" t="s">
        <v>43167</v>
      </c>
      <c r="P4331">
        <v>0</v>
      </c>
      <c r="Q4331">
        <v>1</v>
      </c>
      <c r="R4331" t="s">
        <v>43171</v>
      </c>
      <c r="S4331" t="s">
        <v>43311</v>
      </c>
      <c r="T4331" t="s">
        <v>44758</v>
      </c>
      <c r="U4331" t="s">
        <v>48740</v>
      </c>
      <c r="W4331" t="s">
        <v>40950</v>
      </c>
      <c r="X4331" t="s">
        <v>43172</v>
      </c>
    </row>
    <row r="4332" spans="1:24">
      <c r="A4332">
        <f>HYPERLINK("https://www.philgeps.gov.ph/GEPSNONPILOT/Tender/SplashBidNoticeAbstractUI.aspx?menuIndex=3&amp;refID=7083994&amp;Result=3","7083994")</f>
        <v>0</v>
      </c>
      <c r="B4332" t="s">
        <v>131</v>
      </c>
      <c r="C4332" t="s">
        <v>7544</v>
      </c>
      <c r="D4332" t="s">
        <v>17424</v>
      </c>
      <c r="E4332" t="s">
        <v>21268</v>
      </c>
      <c r="F4332" t="s">
        <v>30052</v>
      </c>
      <c r="G4332" t="s">
        <v>30059</v>
      </c>
      <c r="H4332" t="s">
        <v>15498</v>
      </c>
      <c r="I4332" t="s">
        <v>30111</v>
      </c>
      <c r="J4332" t="s">
        <v>32992</v>
      </c>
      <c r="K4332" t="s">
        <v>39025</v>
      </c>
      <c r="M4332" t="s">
        <v>39420</v>
      </c>
      <c r="N4332" t="s">
        <v>43166</v>
      </c>
      <c r="O4332" t="s">
        <v>43167</v>
      </c>
      <c r="P4332">
        <v>0</v>
      </c>
      <c r="Q4332">
        <v>0</v>
      </c>
      <c r="R4332" t="s">
        <v>43171</v>
      </c>
      <c r="S4332" t="s">
        <v>43311</v>
      </c>
      <c r="T4332" t="s">
        <v>44837</v>
      </c>
      <c r="U4332" t="s">
        <v>48741</v>
      </c>
      <c r="W4332" t="s">
        <v>39420</v>
      </c>
      <c r="X4332" t="s">
        <v>43172</v>
      </c>
    </row>
    <row r="4333" spans="1:24">
      <c r="A4333">
        <f>HYPERLINK("https://www.philgeps.gov.ph/GEPSNONPILOT/Tender/SplashBidNoticeAbstractUI.aspx?menuIndex=3&amp;refID=7083885&amp;Result=3","7083885")</f>
        <v>0</v>
      </c>
      <c r="B4333" t="s">
        <v>1562</v>
      </c>
      <c r="C4333" t="s">
        <v>7545</v>
      </c>
      <c r="D4333" t="s">
        <v>17441</v>
      </c>
      <c r="E4333" t="s">
        <v>21269</v>
      </c>
      <c r="F4333" t="s">
        <v>30052</v>
      </c>
      <c r="G4333" t="s">
        <v>30058</v>
      </c>
      <c r="H4333" t="s">
        <v>30067</v>
      </c>
      <c r="I4333" t="s">
        <v>3736</v>
      </c>
      <c r="J4333" t="s">
        <v>32993</v>
      </c>
      <c r="K4333" t="s">
        <v>39025</v>
      </c>
      <c r="M4333" t="s">
        <v>40951</v>
      </c>
      <c r="N4333" t="s">
        <v>43166</v>
      </c>
      <c r="O4333" t="s">
        <v>43167</v>
      </c>
      <c r="P4333">
        <v>0</v>
      </c>
      <c r="Q4333">
        <v>0</v>
      </c>
      <c r="R4333" t="s">
        <v>43171</v>
      </c>
      <c r="S4333" t="s">
        <v>43311</v>
      </c>
      <c r="T4333" t="s">
        <v>44732</v>
      </c>
      <c r="U4333" t="s">
        <v>48742</v>
      </c>
      <c r="W4333" t="s">
        <v>40951</v>
      </c>
      <c r="X4333" t="s">
        <v>43172</v>
      </c>
    </row>
    <row r="4334" spans="1:24">
      <c r="A4334">
        <f>HYPERLINK("https://www.philgeps.gov.ph/GEPSNONPILOT/Tender/SplashBidNoticeAbstractUI.aspx?menuIndex=3&amp;refID=7083993&amp;Result=3","7083993")</f>
        <v>0</v>
      </c>
      <c r="B4334" t="s">
        <v>1208</v>
      </c>
      <c r="C4334" t="s">
        <v>7546</v>
      </c>
      <c r="D4334" t="s">
        <v>17441</v>
      </c>
      <c r="E4334" t="s">
        <v>21191</v>
      </c>
      <c r="F4334" t="s">
        <v>30052</v>
      </c>
      <c r="G4334" t="s">
        <v>30058</v>
      </c>
      <c r="H4334" t="s">
        <v>30067</v>
      </c>
      <c r="I4334" t="s">
        <v>3693</v>
      </c>
      <c r="J4334" t="s">
        <v>30218</v>
      </c>
      <c r="K4334" t="s">
        <v>39023</v>
      </c>
      <c r="L4334" t="s">
        <v>1208</v>
      </c>
      <c r="M4334" t="s">
        <v>40562</v>
      </c>
      <c r="N4334" t="s">
        <v>43166</v>
      </c>
      <c r="O4334" t="s">
        <v>43167</v>
      </c>
      <c r="P4334">
        <v>0</v>
      </c>
      <c r="Q4334">
        <v>5</v>
      </c>
      <c r="R4334" t="s">
        <v>43171</v>
      </c>
      <c r="S4334" t="s">
        <v>43311</v>
      </c>
      <c r="T4334" t="s">
        <v>44813</v>
      </c>
      <c r="U4334" t="s">
        <v>48743</v>
      </c>
      <c r="W4334" t="s">
        <v>40562</v>
      </c>
      <c r="X4334" t="s">
        <v>43172</v>
      </c>
    </row>
    <row r="4335" spans="1:24">
      <c r="A4335">
        <f>HYPERLINK("https://www.philgeps.gov.ph/GEPSNONPILOT/Tender/SplashBidNoticeAbstractUI.aspx?menuIndex=3&amp;refID=7083948&amp;Result=3","7083948")</f>
        <v>0</v>
      </c>
      <c r="B4335" t="s">
        <v>919</v>
      </c>
      <c r="C4335" t="s">
        <v>7547</v>
      </c>
      <c r="E4335" t="s">
        <v>21270</v>
      </c>
      <c r="F4335" t="s">
        <v>30052</v>
      </c>
      <c r="G4335" t="s">
        <v>30058</v>
      </c>
      <c r="H4335" t="s">
        <v>30067</v>
      </c>
      <c r="I4335" t="s">
        <v>3693</v>
      </c>
      <c r="J4335" t="s">
        <v>32979</v>
      </c>
      <c r="K4335" t="s">
        <v>39025</v>
      </c>
      <c r="M4335" t="s">
        <v>40242</v>
      </c>
      <c r="N4335" t="s">
        <v>43166</v>
      </c>
      <c r="O4335" t="s">
        <v>43167</v>
      </c>
      <c r="P4335">
        <v>0</v>
      </c>
      <c r="Q4335">
        <v>1</v>
      </c>
      <c r="R4335" t="s">
        <v>43171</v>
      </c>
      <c r="S4335" t="s">
        <v>43311</v>
      </c>
      <c r="T4335" t="s">
        <v>44842</v>
      </c>
      <c r="U4335" t="s">
        <v>48744</v>
      </c>
      <c r="W4335" t="s">
        <v>43101</v>
      </c>
      <c r="X4335" t="s">
        <v>43172</v>
      </c>
    </row>
    <row r="4336" spans="1:24">
      <c r="A4336">
        <f>HYPERLINK("https://www.philgeps.gov.ph/GEPSNONPILOT/Tender/SplashBidNoticeAbstractUI.aspx?menuIndex=3&amp;refID=7083946&amp;Result=3","7083946")</f>
        <v>0</v>
      </c>
      <c r="B4336" t="s">
        <v>1367</v>
      </c>
      <c r="C4336" t="s">
        <v>3615</v>
      </c>
      <c r="D4336" t="s">
        <v>17415</v>
      </c>
      <c r="E4336" t="s">
        <v>21271</v>
      </c>
      <c r="F4336" t="s">
        <v>30052</v>
      </c>
      <c r="G4336" t="s">
        <v>30061</v>
      </c>
      <c r="H4336" t="s">
        <v>15498</v>
      </c>
      <c r="I4336" t="s">
        <v>3736</v>
      </c>
      <c r="J4336" t="s">
        <v>32994</v>
      </c>
      <c r="K4336" t="s">
        <v>39017</v>
      </c>
      <c r="M4336" t="s">
        <v>40738</v>
      </c>
      <c r="N4336" t="s">
        <v>43166</v>
      </c>
      <c r="O4336" t="s">
        <v>43167</v>
      </c>
      <c r="P4336">
        <v>0</v>
      </c>
      <c r="Q4336">
        <v>0</v>
      </c>
      <c r="R4336" t="s">
        <v>43171</v>
      </c>
      <c r="S4336" t="s">
        <v>43311</v>
      </c>
      <c r="T4336" t="s">
        <v>44735</v>
      </c>
      <c r="U4336" t="s">
        <v>48745</v>
      </c>
      <c r="W4336" t="s">
        <v>40738</v>
      </c>
      <c r="X4336" t="s">
        <v>43172</v>
      </c>
    </row>
    <row r="4337" spans="1:24">
      <c r="A4337">
        <f>HYPERLINK("https://www.philgeps.gov.ph/GEPSNONPILOT/Tender/SplashBidNoticeAbstractUI.aspx?menuIndex=3&amp;refID=7083987&amp;Result=3","7083987")</f>
        <v>0</v>
      </c>
      <c r="B4337" t="s">
        <v>1563</v>
      </c>
      <c r="C4337" t="s">
        <v>7548</v>
      </c>
      <c r="D4337" t="s">
        <v>17455</v>
      </c>
      <c r="E4337" t="s">
        <v>21272</v>
      </c>
      <c r="F4337" t="s">
        <v>30052</v>
      </c>
      <c r="G4337" t="s">
        <v>30062</v>
      </c>
      <c r="H4337" t="s">
        <v>15498</v>
      </c>
      <c r="I4337" t="s">
        <v>4119</v>
      </c>
      <c r="J4337" t="s">
        <v>32995</v>
      </c>
      <c r="K4337" t="s">
        <v>39019</v>
      </c>
      <c r="M4337" t="s">
        <v>40952</v>
      </c>
      <c r="N4337" t="s">
        <v>43166</v>
      </c>
      <c r="O4337" t="s">
        <v>43167</v>
      </c>
      <c r="P4337">
        <v>0</v>
      </c>
      <c r="Q4337">
        <v>4</v>
      </c>
      <c r="R4337" t="s">
        <v>43171</v>
      </c>
      <c r="S4337" t="s">
        <v>43311</v>
      </c>
      <c r="T4337" t="s">
        <v>44773</v>
      </c>
      <c r="U4337" t="s">
        <v>48746</v>
      </c>
      <c r="W4337" t="s">
        <v>40952</v>
      </c>
      <c r="X4337" t="s">
        <v>43172</v>
      </c>
    </row>
    <row r="4338" spans="1:24">
      <c r="A4338">
        <f>HYPERLINK("https://www.philgeps.gov.ph/GEPSNONPILOT/Tender/SplashBidNoticeAbstractUI.aspx?menuIndex=3&amp;refID=7083981&amp;Result=3","7083981")</f>
        <v>0</v>
      </c>
      <c r="B4338" t="s">
        <v>1561</v>
      </c>
      <c r="C4338" t="s">
        <v>7549</v>
      </c>
      <c r="D4338" t="s">
        <v>17445</v>
      </c>
      <c r="E4338" t="s">
        <v>21273</v>
      </c>
      <c r="F4338" t="s">
        <v>30052</v>
      </c>
      <c r="G4338" t="s">
        <v>30058</v>
      </c>
      <c r="H4338" t="s">
        <v>30067</v>
      </c>
      <c r="I4338" t="s">
        <v>3693</v>
      </c>
      <c r="J4338" t="s">
        <v>30230</v>
      </c>
      <c r="K4338" t="s">
        <v>39032</v>
      </c>
      <c r="M4338" t="s">
        <v>40950</v>
      </c>
      <c r="N4338" t="s">
        <v>43166</v>
      </c>
      <c r="O4338" t="s">
        <v>43167</v>
      </c>
      <c r="P4338">
        <v>0</v>
      </c>
      <c r="Q4338">
        <v>0</v>
      </c>
      <c r="R4338" t="s">
        <v>43171</v>
      </c>
      <c r="S4338" t="s">
        <v>43311</v>
      </c>
      <c r="T4338" t="s">
        <v>44758</v>
      </c>
      <c r="U4338" t="s">
        <v>48747</v>
      </c>
      <c r="W4338" t="s">
        <v>40950</v>
      </c>
      <c r="X4338" t="s">
        <v>43172</v>
      </c>
    </row>
    <row r="4339" spans="1:24">
      <c r="A4339">
        <f>HYPERLINK("https://www.philgeps.gov.ph/GEPSNONPILOT/Tender/SplashBidNoticeAbstractUI.aspx?menuIndex=3&amp;refID=7083952&amp;Result=3","7083952")</f>
        <v>0</v>
      </c>
      <c r="B4339" t="s">
        <v>131</v>
      </c>
      <c r="C4339" t="s">
        <v>7550</v>
      </c>
      <c r="D4339" t="s">
        <v>17424</v>
      </c>
      <c r="E4339" t="s">
        <v>21274</v>
      </c>
      <c r="F4339" t="s">
        <v>30052</v>
      </c>
      <c r="G4339" t="s">
        <v>30059</v>
      </c>
      <c r="H4339" t="s">
        <v>15498</v>
      </c>
      <c r="I4339" t="s">
        <v>30073</v>
      </c>
      <c r="J4339" t="s">
        <v>32996</v>
      </c>
      <c r="K4339" t="s">
        <v>39025</v>
      </c>
      <c r="M4339" t="s">
        <v>39420</v>
      </c>
      <c r="N4339" t="s">
        <v>43166</v>
      </c>
      <c r="O4339" t="s">
        <v>43167</v>
      </c>
      <c r="P4339">
        <v>0</v>
      </c>
      <c r="Q4339">
        <v>0</v>
      </c>
      <c r="R4339" t="s">
        <v>43171</v>
      </c>
      <c r="S4339" t="s">
        <v>43311</v>
      </c>
      <c r="T4339" t="s">
        <v>44837</v>
      </c>
      <c r="U4339" t="s">
        <v>48748</v>
      </c>
      <c r="W4339" t="s">
        <v>39420</v>
      </c>
      <c r="X4339" t="s">
        <v>43172</v>
      </c>
    </row>
    <row r="4340" spans="1:24">
      <c r="A4340">
        <f>HYPERLINK("https://www.philgeps.gov.ph/GEPSNONPILOT/Tender/SplashBidNoticeAbstractUI.aspx?menuIndex=3&amp;refID=7083989&amp;Result=3","7083989")</f>
        <v>0</v>
      </c>
      <c r="B4340" t="s">
        <v>856</v>
      </c>
      <c r="C4340" t="s">
        <v>7551</v>
      </c>
      <c r="E4340" t="s">
        <v>21275</v>
      </c>
      <c r="F4340" t="s">
        <v>30052</v>
      </c>
      <c r="G4340" t="s">
        <v>30059</v>
      </c>
      <c r="H4340" t="s">
        <v>30068</v>
      </c>
      <c r="I4340" t="s">
        <v>30068</v>
      </c>
      <c r="J4340" t="s">
        <v>30350</v>
      </c>
      <c r="K4340" t="s">
        <v>39048</v>
      </c>
      <c r="M4340" t="s">
        <v>40173</v>
      </c>
      <c r="N4340" t="s">
        <v>43166</v>
      </c>
      <c r="O4340" t="s">
        <v>43167</v>
      </c>
      <c r="P4340">
        <v>0</v>
      </c>
      <c r="Q4340">
        <v>1</v>
      </c>
      <c r="R4340" t="s">
        <v>43171</v>
      </c>
      <c r="S4340" t="s">
        <v>43311</v>
      </c>
      <c r="T4340" t="s">
        <v>44720</v>
      </c>
      <c r="U4340" t="s">
        <v>48749</v>
      </c>
      <c r="W4340" t="s">
        <v>40173</v>
      </c>
      <c r="X4340" t="s">
        <v>43172</v>
      </c>
    </row>
    <row r="4341" spans="1:24">
      <c r="A4341">
        <f>HYPERLINK("https://www.philgeps.gov.ph/GEPSNONPILOT/Tender/SplashBidNoticeAbstractUI.aspx?menuIndex=3&amp;refID=7083977&amp;Result=3","7083977")</f>
        <v>0</v>
      </c>
      <c r="B4341" t="s">
        <v>494</v>
      </c>
      <c r="C4341" t="s">
        <v>7552</v>
      </c>
      <c r="E4341" t="s">
        <v>21276</v>
      </c>
      <c r="F4341" t="s">
        <v>30052</v>
      </c>
      <c r="G4341" t="s">
        <v>30059</v>
      </c>
      <c r="H4341" t="s">
        <v>15498</v>
      </c>
      <c r="I4341" t="s">
        <v>30084</v>
      </c>
      <c r="J4341" t="s">
        <v>31697</v>
      </c>
      <c r="K4341" t="s">
        <v>39025</v>
      </c>
      <c r="M4341" t="s">
        <v>39795</v>
      </c>
      <c r="N4341" t="s">
        <v>43166</v>
      </c>
      <c r="O4341" t="s">
        <v>43167</v>
      </c>
      <c r="P4341">
        <v>0</v>
      </c>
      <c r="Q4341">
        <v>2</v>
      </c>
      <c r="R4341" t="s">
        <v>43171</v>
      </c>
      <c r="S4341" t="s">
        <v>43311</v>
      </c>
      <c r="T4341" t="s">
        <v>44822</v>
      </c>
      <c r="U4341" t="s">
        <v>48750</v>
      </c>
      <c r="W4341" t="s">
        <v>39795</v>
      </c>
      <c r="X4341" t="s">
        <v>43172</v>
      </c>
    </row>
    <row r="4342" spans="1:24">
      <c r="A4342">
        <f>HYPERLINK("https://www.philgeps.gov.ph/GEPSNONPILOT/Tender/SplashBidNoticeAbstractUI.aspx?menuIndex=3&amp;refID=7083973&amp;Result=3","7083973")</f>
        <v>0</v>
      </c>
      <c r="B4342" t="s">
        <v>1564</v>
      </c>
      <c r="C4342" t="s">
        <v>7553</v>
      </c>
      <c r="D4342" t="s">
        <v>17440</v>
      </c>
      <c r="E4342" t="s">
        <v>21277</v>
      </c>
      <c r="F4342" t="s">
        <v>30052</v>
      </c>
      <c r="G4342" t="s">
        <v>30059</v>
      </c>
      <c r="H4342" t="s">
        <v>30068</v>
      </c>
      <c r="I4342" t="s">
        <v>30068</v>
      </c>
      <c r="J4342" t="s">
        <v>30337</v>
      </c>
      <c r="K4342" t="s">
        <v>39040</v>
      </c>
      <c r="M4342" t="s">
        <v>40953</v>
      </c>
      <c r="N4342" t="s">
        <v>43166</v>
      </c>
      <c r="O4342" t="s">
        <v>43167</v>
      </c>
      <c r="P4342">
        <v>0</v>
      </c>
      <c r="Q4342">
        <v>4</v>
      </c>
      <c r="R4342" t="s">
        <v>43171</v>
      </c>
      <c r="S4342" t="s">
        <v>43311</v>
      </c>
      <c r="T4342" t="s">
        <v>44714</v>
      </c>
      <c r="U4342" t="s">
        <v>48751</v>
      </c>
      <c r="W4342" t="s">
        <v>40953</v>
      </c>
      <c r="X4342" t="s">
        <v>43172</v>
      </c>
    </row>
    <row r="4343" spans="1:24">
      <c r="A4343">
        <f>HYPERLINK("https://www.philgeps.gov.ph/GEPSNONPILOT/Tender/SplashBidNoticeAbstractUI.aspx?menuIndex=3&amp;refID=7083995&amp;Result=3","7083995")</f>
        <v>0</v>
      </c>
      <c r="B4343" t="s">
        <v>701</v>
      </c>
      <c r="C4343" t="s">
        <v>7554</v>
      </c>
      <c r="D4343" t="s">
        <v>17419</v>
      </c>
      <c r="E4343" t="s">
        <v>21278</v>
      </c>
      <c r="F4343" t="s">
        <v>30052</v>
      </c>
      <c r="G4343" t="s">
        <v>30059</v>
      </c>
      <c r="H4343" t="s">
        <v>15498</v>
      </c>
      <c r="I4343" t="s">
        <v>3736</v>
      </c>
      <c r="J4343" t="s">
        <v>32997</v>
      </c>
      <c r="K4343" t="s">
        <v>39025</v>
      </c>
      <c r="M4343" t="s">
        <v>40010</v>
      </c>
      <c r="N4343" t="s">
        <v>43166</v>
      </c>
      <c r="O4343" t="s">
        <v>43167</v>
      </c>
      <c r="P4343">
        <v>0</v>
      </c>
      <c r="Q4343">
        <v>0</v>
      </c>
      <c r="R4343" t="s">
        <v>43171</v>
      </c>
      <c r="S4343" t="s">
        <v>43311</v>
      </c>
      <c r="T4343" t="s">
        <v>44717</v>
      </c>
      <c r="U4343" t="s">
        <v>48752</v>
      </c>
      <c r="W4343" t="s">
        <v>40010</v>
      </c>
      <c r="X4343" t="s">
        <v>43172</v>
      </c>
    </row>
    <row r="4344" spans="1:24">
      <c r="A4344">
        <f>HYPERLINK("https://www.philgeps.gov.ph/GEPSNONPILOT/Tender/SplashBidNoticeAbstractUI.aspx?menuIndex=3&amp;refID=7084001&amp;Result=3","7084001")</f>
        <v>0</v>
      </c>
      <c r="B4344" t="s">
        <v>1561</v>
      </c>
      <c r="C4344" t="s">
        <v>7555</v>
      </c>
      <c r="D4344" t="s">
        <v>17445</v>
      </c>
      <c r="E4344" t="s">
        <v>21279</v>
      </c>
      <c r="F4344" t="s">
        <v>30052</v>
      </c>
      <c r="G4344" t="s">
        <v>30058</v>
      </c>
      <c r="H4344" t="s">
        <v>30067</v>
      </c>
      <c r="I4344" t="s">
        <v>3693</v>
      </c>
      <c r="J4344" t="s">
        <v>30230</v>
      </c>
      <c r="K4344" t="s">
        <v>39032</v>
      </c>
      <c r="M4344" t="s">
        <v>40950</v>
      </c>
      <c r="N4344" t="s">
        <v>43166</v>
      </c>
      <c r="O4344" t="s">
        <v>43167</v>
      </c>
      <c r="P4344">
        <v>0</v>
      </c>
      <c r="Q4344">
        <v>0</v>
      </c>
      <c r="R4344" t="s">
        <v>43171</v>
      </c>
      <c r="S4344" t="s">
        <v>43311</v>
      </c>
      <c r="T4344" t="s">
        <v>44758</v>
      </c>
      <c r="U4344" t="s">
        <v>48747</v>
      </c>
      <c r="W4344" t="s">
        <v>40950</v>
      </c>
      <c r="X4344" t="s">
        <v>43172</v>
      </c>
    </row>
    <row r="4345" spans="1:24">
      <c r="A4345">
        <f>HYPERLINK("https://www.philgeps.gov.ph/GEPSNONPILOT/Tender/SplashBidNoticeAbstractUI.aspx?menuIndex=3&amp;refID=7083980&amp;Result=3","7083980")</f>
        <v>0</v>
      </c>
      <c r="B4345" t="s">
        <v>521</v>
      </c>
      <c r="C4345" t="s">
        <v>7556</v>
      </c>
      <c r="D4345" t="s">
        <v>17415</v>
      </c>
      <c r="E4345" t="s">
        <v>21280</v>
      </c>
      <c r="F4345" t="s">
        <v>30052</v>
      </c>
      <c r="G4345" t="s">
        <v>30061</v>
      </c>
      <c r="H4345" t="s">
        <v>15498</v>
      </c>
      <c r="I4345" t="s">
        <v>9238</v>
      </c>
      <c r="J4345" t="s">
        <v>32998</v>
      </c>
      <c r="K4345" t="s">
        <v>39019</v>
      </c>
      <c r="M4345" t="s">
        <v>39823</v>
      </c>
      <c r="N4345" t="s">
        <v>43166</v>
      </c>
      <c r="O4345" t="s">
        <v>43167</v>
      </c>
      <c r="P4345">
        <v>0</v>
      </c>
      <c r="Q4345">
        <v>4</v>
      </c>
      <c r="R4345" t="s">
        <v>43171</v>
      </c>
      <c r="S4345" t="s">
        <v>43311</v>
      </c>
      <c r="T4345" t="s">
        <v>44856</v>
      </c>
      <c r="U4345" t="s">
        <v>48753</v>
      </c>
      <c r="V4345" t="s">
        <v>56963</v>
      </c>
      <c r="W4345" t="s">
        <v>58603</v>
      </c>
      <c r="X4345" t="s">
        <v>43172</v>
      </c>
    </row>
    <row r="4346" spans="1:24">
      <c r="A4346">
        <f>HYPERLINK("https://www.philgeps.gov.ph/GEPSNONPILOT/Tender/SplashBidNoticeAbstractUI.aspx?menuIndex=3&amp;refID=7084034&amp;Result=3","7084034")</f>
        <v>0</v>
      </c>
      <c r="B4346" t="s">
        <v>1462</v>
      </c>
      <c r="C4346" t="s">
        <v>7557</v>
      </c>
      <c r="D4346" t="s">
        <v>17431</v>
      </c>
      <c r="E4346" t="s">
        <v>21281</v>
      </c>
      <c r="F4346" t="s">
        <v>30052</v>
      </c>
      <c r="G4346" t="s">
        <v>30059</v>
      </c>
      <c r="H4346" t="s">
        <v>15498</v>
      </c>
      <c r="I4346" t="s">
        <v>3736</v>
      </c>
      <c r="J4346" t="s">
        <v>32999</v>
      </c>
      <c r="K4346" t="s">
        <v>39029</v>
      </c>
      <c r="M4346" t="s">
        <v>40843</v>
      </c>
      <c r="N4346" t="s">
        <v>43166</v>
      </c>
      <c r="O4346" t="s">
        <v>43167</v>
      </c>
      <c r="P4346">
        <v>0</v>
      </c>
      <c r="Q4346">
        <v>0</v>
      </c>
      <c r="R4346" t="s">
        <v>43171</v>
      </c>
      <c r="S4346" t="s">
        <v>43311</v>
      </c>
      <c r="T4346" t="s">
        <v>44708</v>
      </c>
      <c r="U4346" t="s">
        <v>48461</v>
      </c>
      <c r="W4346" t="s">
        <v>40843</v>
      </c>
      <c r="X4346" t="s">
        <v>43172</v>
      </c>
    </row>
    <row r="4347" spans="1:24">
      <c r="A4347">
        <f>HYPERLINK("https://www.philgeps.gov.ph/GEPSNONPILOT/Tender/SplashBidNoticeAbstractUI.aspx?menuIndex=3&amp;refID=7083978&amp;Result=3","7083978")</f>
        <v>0</v>
      </c>
      <c r="B4347" t="s">
        <v>1565</v>
      </c>
      <c r="C4347" t="s">
        <v>7558</v>
      </c>
      <c r="D4347" t="s">
        <v>17419</v>
      </c>
      <c r="E4347" t="s">
        <v>7558</v>
      </c>
      <c r="F4347" t="s">
        <v>30052</v>
      </c>
      <c r="G4347" t="s">
        <v>30059</v>
      </c>
      <c r="H4347" t="s">
        <v>15498</v>
      </c>
      <c r="I4347" t="s">
        <v>30097</v>
      </c>
      <c r="J4347" t="s">
        <v>33000</v>
      </c>
      <c r="K4347" t="s">
        <v>39019</v>
      </c>
      <c r="M4347" t="s">
        <v>40954</v>
      </c>
      <c r="N4347" t="s">
        <v>43166</v>
      </c>
      <c r="O4347" t="s">
        <v>43167</v>
      </c>
      <c r="P4347">
        <v>0</v>
      </c>
      <c r="Q4347">
        <v>10</v>
      </c>
      <c r="R4347" t="s">
        <v>43171</v>
      </c>
      <c r="S4347" t="s">
        <v>43311</v>
      </c>
      <c r="T4347" t="s">
        <v>44760</v>
      </c>
      <c r="U4347" t="s">
        <v>48754</v>
      </c>
      <c r="W4347" t="s">
        <v>40954</v>
      </c>
      <c r="X4347" t="s">
        <v>43172</v>
      </c>
    </row>
    <row r="4348" spans="1:24">
      <c r="A4348">
        <f>HYPERLINK("https://www.philgeps.gov.ph/GEPSNONPILOT/Tender/SplashBidNoticeAbstractUI.aspx?menuIndex=3&amp;refID=7083988&amp;Result=3","7083988")</f>
        <v>0</v>
      </c>
      <c r="B4348" t="s">
        <v>1516</v>
      </c>
      <c r="C4348" t="s">
        <v>7559</v>
      </c>
      <c r="D4348" t="s">
        <v>17415</v>
      </c>
      <c r="E4348" t="s">
        <v>21282</v>
      </c>
      <c r="F4348" t="s">
        <v>30052</v>
      </c>
      <c r="G4348" t="s">
        <v>30059</v>
      </c>
      <c r="H4348" t="s">
        <v>15498</v>
      </c>
      <c r="I4348" t="s">
        <v>30070</v>
      </c>
      <c r="J4348" t="s">
        <v>33001</v>
      </c>
      <c r="K4348" t="s">
        <v>39019</v>
      </c>
      <c r="M4348" t="s">
        <v>40902</v>
      </c>
      <c r="N4348" t="s">
        <v>43166</v>
      </c>
      <c r="O4348" t="s">
        <v>43167</v>
      </c>
      <c r="P4348">
        <v>0</v>
      </c>
      <c r="Q4348">
        <v>1</v>
      </c>
      <c r="R4348" t="s">
        <v>43171</v>
      </c>
      <c r="S4348" t="s">
        <v>43311</v>
      </c>
      <c r="T4348" t="s">
        <v>44685</v>
      </c>
      <c r="U4348" t="s">
        <v>48599</v>
      </c>
      <c r="W4348" t="s">
        <v>40902</v>
      </c>
      <c r="X4348" t="s">
        <v>43172</v>
      </c>
    </row>
    <row r="4349" spans="1:24">
      <c r="A4349">
        <f>HYPERLINK("https://www.philgeps.gov.ph/GEPSNONPILOT/Tender/SplashBidNoticeAbstractUI.aspx?menuIndex=3&amp;refID=7084033&amp;Result=3","7084033")</f>
        <v>0</v>
      </c>
      <c r="B4349" t="s">
        <v>156</v>
      </c>
      <c r="C4349" t="s">
        <v>7560</v>
      </c>
      <c r="D4349" t="s">
        <v>17422</v>
      </c>
      <c r="E4349" t="s">
        <v>21283</v>
      </c>
      <c r="F4349" t="s">
        <v>30052</v>
      </c>
      <c r="G4349" t="s">
        <v>30059</v>
      </c>
      <c r="H4349" t="s">
        <v>30069</v>
      </c>
      <c r="I4349" t="s">
        <v>3736</v>
      </c>
      <c r="J4349" t="s">
        <v>33002</v>
      </c>
      <c r="K4349" t="s">
        <v>39034</v>
      </c>
      <c r="M4349" t="s">
        <v>39445</v>
      </c>
      <c r="N4349" t="s">
        <v>43166</v>
      </c>
      <c r="O4349" t="s">
        <v>43167</v>
      </c>
      <c r="P4349">
        <v>0</v>
      </c>
      <c r="Q4349">
        <v>0</v>
      </c>
      <c r="R4349" t="s">
        <v>43171</v>
      </c>
      <c r="S4349" t="s">
        <v>43311</v>
      </c>
      <c r="T4349" t="s">
        <v>44717</v>
      </c>
      <c r="U4349" t="s">
        <v>48755</v>
      </c>
      <c r="V4349" t="s">
        <v>56850</v>
      </c>
      <c r="W4349" t="s">
        <v>39445</v>
      </c>
      <c r="X4349" t="s">
        <v>43172</v>
      </c>
    </row>
    <row r="4350" spans="1:24">
      <c r="A4350">
        <f>HYPERLINK("https://www.philgeps.gov.ph/GEPSNONPILOT/Tender/SplashBidNoticeAbstractUI.aspx?menuIndex=3&amp;refID=7084031&amp;Result=3","7084031")</f>
        <v>0</v>
      </c>
      <c r="B4350" t="s">
        <v>1566</v>
      </c>
      <c r="C4350" t="s">
        <v>7561</v>
      </c>
      <c r="D4350" t="s">
        <v>17486</v>
      </c>
      <c r="E4350" t="s">
        <v>21284</v>
      </c>
      <c r="F4350" t="s">
        <v>30052</v>
      </c>
      <c r="G4350" t="s">
        <v>30058</v>
      </c>
      <c r="H4350" t="s">
        <v>15498</v>
      </c>
      <c r="I4350" t="s">
        <v>30129</v>
      </c>
      <c r="J4350" t="s">
        <v>33003</v>
      </c>
      <c r="K4350" t="s">
        <v>39020</v>
      </c>
      <c r="M4350" t="s">
        <v>40955</v>
      </c>
      <c r="N4350" t="s">
        <v>43166</v>
      </c>
      <c r="O4350" t="s">
        <v>43167</v>
      </c>
      <c r="P4350">
        <v>0</v>
      </c>
      <c r="Q4350">
        <v>0</v>
      </c>
      <c r="R4350" t="s">
        <v>43171</v>
      </c>
      <c r="S4350" t="s">
        <v>43311</v>
      </c>
      <c r="T4350" t="s">
        <v>44684</v>
      </c>
      <c r="U4350" t="s">
        <v>48756</v>
      </c>
      <c r="W4350" t="s">
        <v>40955</v>
      </c>
      <c r="X4350" t="s">
        <v>43172</v>
      </c>
    </row>
    <row r="4351" spans="1:24">
      <c r="A4351">
        <f>HYPERLINK("https://www.philgeps.gov.ph/GEPSNONPILOT/Tender/SplashBidNoticeAbstractUI.aspx?menuIndex=3&amp;refID=7084024&amp;Result=3","7084024")</f>
        <v>0</v>
      </c>
      <c r="B4351" t="s">
        <v>1251</v>
      </c>
      <c r="C4351" t="s">
        <v>7562</v>
      </c>
      <c r="D4351" t="s">
        <v>17463</v>
      </c>
      <c r="E4351" t="s">
        <v>21285</v>
      </c>
      <c r="F4351" t="s">
        <v>30052</v>
      </c>
      <c r="G4351" t="s">
        <v>30059</v>
      </c>
      <c r="H4351" t="s">
        <v>15498</v>
      </c>
      <c r="I4351" t="s">
        <v>30114</v>
      </c>
      <c r="J4351" t="s">
        <v>30743</v>
      </c>
      <c r="K4351" t="s">
        <v>39019</v>
      </c>
      <c r="M4351" t="s">
        <v>40956</v>
      </c>
      <c r="N4351" t="s">
        <v>43166</v>
      </c>
      <c r="O4351" t="s">
        <v>43167</v>
      </c>
      <c r="P4351">
        <v>0</v>
      </c>
      <c r="Q4351">
        <v>3</v>
      </c>
      <c r="R4351" t="s">
        <v>43171</v>
      </c>
      <c r="S4351" t="s">
        <v>43311</v>
      </c>
      <c r="T4351" t="s">
        <v>44717</v>
      </c>
      <c r="U4351" t="s">
        <v>48757</v>
      </c>
      <c r="W4351" t="s">
        <v>40956</v>
      </c>
      <c r="X4351" t="s">
        <v>43172</v>
      </c>
    </row>
    <row r="4352" spans="1:24">
      <c r="A4352">
        <f>HYPERLINK("https://www.philgeps.gov.ph/GEPSNONPILOT/Tender/SplashBidNoticeAbstractUI.aspx?menuIndex=3&amp;refID=7083985&amp;Result=3","7083985")</f>
        <v>0</v>
      </c>
      <c r="B4352" t="s">
        <v>1551</v>
      </c>
      <c r="C4352" t="s">
        <v>7563</v>
      </c>
      <c r="D4352" t="s">
        <v>17442</v>
      </c>
      <c r="E4352" t="s">
        <v>21286</v>
      </c>
      <c r="F4352" t="s">
        <v>30052</v>
      </c>
      <c r="G4352" t="s">
        <v>30058</v>
      </c>
      <c r="H4352" t="s">
        <v>15498</v>
      </c>
      <c r="I4352" t="s">
        <v>30083</v>
      </c>
      <c r="J4352" t="s">
        <v>33004</v>
      </c>
      <c r="K4352" t="s">
        <v>39019</v>
      </c>
      <c r="M4352" t="s">
        <v>40939</v>
      </c>
      <c r="N4352" t="s">
        <v>43166</v>
      </c>
      <c r="O4352" t="s">
        <v>43167</v>
      </c>
      <c r="P4352">
        <v>0</v>
      </c>
      <c r="Q4352">
        <v>0</v>
      </c>
      <c r="R4352" t="s">
        <v>43171</v>
      </c>
      <c r="S4352" t="s">
        <v>43311</v>
      </c>
      <c r="T4352" t="s">
        <v>44681</v>
      </c>
      <c r="U4352" t="s">
        <v>48703</v>
      </c>
      <c r="W4352" t="s">
        <v>40939</v>
      </c>
      <c r="X4352" t="s">
        <v>43172</v>
      </c>
    </row>
    <row r="4353" spans="1:24">
      <c r="A4353">
        <f>HYPERLINK("https://www.philgeps.gov.ph/GEPSNONPILOT/Tender/SplashBidNoticeAbstractUI.aspx?menuIndex=3&amp;refID=7083971&amp;Result=3","7083971")</f>
        <v>0</v>
      </c>
      <c r="B4353" t="s">
        <v>131</v>
      </c>
      <c r="C4353" t="s">
        <v>7564</v>
      </c>
      <c r="D4353" t="s">
        <v>17424</v>
      </c>
      <c r="E4353" t="s">
        <v>21287</v>
      </c>
      <c r="F4353" t="s">
        <v>30052</v>
      </c>
      <c r="G4353" t="s">
        <v>30059</v>
      </c>
      <c r="H4353" t="s">
        <v>15498</v>
      </c>
      <c r="I4353" t="s">
        <v>5961</v>
      </c>
      <c r="J4353" t="s">
        <v>33005</v>
      </c>
      <c r="K4353" t="s">
        <v>39025</v>
      </c>
      <c r="M4353" t="s">
        <v>39420</v>
      </c>
      <c r="N4353" t="s">
        <v>43166</v>
      </c>
      <c r="O4353" t="s">
        <v>43167</v>
      </c>
      <c r="P4353">
        <v>0</v>
      </c>
      <c r="Q4353">
        <v>0</v>
      </c>
      <c r="R4353" t="s">
        <v>43171</v>
      </c>
      <c r="S4353" t="s">
        <v>43311</v>
      </c>
      <c r="T4353" t="s">
        <v>44837</v>
      </c>
      <c r="U4353" t="s">
        <v>48758</v>
      </c>
      <c r="W4353" t="s">
        <v>39420</v>
      </c>
      <c r="X4353" t="s">
        <v>43172</v>
      </c>
    </row>
    <row r="4354" spans="1:24">
      <c r="A4354">
        <f>HYPERLINK("https://www.philgeps.gov.ph/GEPSNONPILOT/Tender/SplashBidNoticeAbstractUI.aspx?menuIndex=3&amp;refID=7084023&amp;Result=3","7084023")</f>
        <v>0</v>
      </c>
      <c r="B4354" t="s">
        <v>701</v>
      </c>
      <c r="C4354" t="s">
        <v>7565</v>
      </c>
      <c r="D4354" t="s">
        <v>17419</v>
      </c>
      <c r="E4354" t="s">
        <v>21288</v>
      </c>
      <c r="F4354" t="s">
        <v>30052</v>
      </c>
      <c r="G4354" t="s">
        <v>30059</v>
      </c>
      <c r="H4354" t="s">
        <v>15498</v>
      </c>
      <c r="I4354" t="s">
        <v>3736</v>
      </c>
      <c r="J4354" t="s">
        <v>33006</v>
      </c>
      <c r="K4354" t="s">
        <v>39025</v>
      </c>
      <c r="M4354" t="s">
        <v>40010</v>
      </c>
      <c r="N4354" t="s">
        <v>43166</v>
      </c>
      <c r="O4354" t="s">
        <v>43167</v>
      </c>
      <c r="P4354">
        <v>0</v>
      </c>
      <c r="Q4354">
        <v>0</v>
      </c>
      <c r="R4354" t="s">
        <v>43171</v>
      </c>
      <c r="S4354" t="s">
        <v>43311</v>
      </c>
      <c r="T4354" t="s">
        <v>44717</v>
      </c>
      <c r="U4354" t="s">
        <v>48759</v>
      </c>
      <c r="W4354" t="s">
        <v>40010</v>
      </c>
      <c r="X4354" t="s">
        <v>43172</v>
      </c>
    </row>
    <row r="4355" spans="1:24">
      <c r="A4355">
        <f>HYPERLINK("https://www.philgeps.gov.ph/GEPSNONPILOT/Tender/SplashBidNoticeAbstractUI.aspx?menuIndex=3&amp;refID=7084019&amp;Result=3","7084019")</f>
        <v>0</v>
      </c>
      <c r="B4355" t="s">
        <v>1561</v>
      </c>
      <c r="C4355" t="s">
        <v>7566</v>
      </c>
      <c r="D4355" t="s">
        <v>17445</v>
      </c>
      <c r="E4355" t="s">
        <v>21289</v>
      </c>
      <c r="F4355" t="s">
        <v>30052</v>
      </c>
      <c r="G4355" t="s">
        <v>30058</v>
      </c>
      <c r="H4355" t="s">
        <v>30067</v>
      </c>
      <c r="I4355" t="s">
        <v>3693</v>
      </c>
      <c r="J4355" t="s">
        <v>30230</v>
      </c>
      <c r="K4355" t="s">
        <v>39032</v>
      </c>
      <c r="M4355" t="s">
        <v>40950</v>
      </c>
      <c r="N4355" t="s">
        <v>43166</v>
      </c>
      <c r="O4355" t="s">
        <v>43167</v>
      </c>
      <c r="P4355">
        <v>0</v>
      </c>
      <c r="Q4355">
        <v>1</v>
      </c>
      <c r="R4355" t="s">
        <v>43171</v>
      </c>
      <c r="S4355" t="s">
        <v>43311</v>
      </c>
      <c r="T4355" t="s">
        <v>44758</v>
      </c>
      <c r="U4355" t="s">
        <v>48747</v>
      </c>
      <c r="W4355" t="s">
        <v>40950</v>
      </c>
      <c r="X4355" t="s">
        <v>43172</v>
      </c>
    </row>
    <row r="4356" spans="1:24">
      <c r="A4356">
        <f>HYPERLINK("https://www.philgeps.gov.ph/GEPSNONPILOT/Tender/SplashBidNoticeAbstractUI.aspx?menuIndex=3&amp;refID=7084017&amp;Result=3","7084017")</f>
        <v>0</v>
      </c>
      <c r="B4356" t="s">
        <v>1567</v>
      </c>
      <c r="C4356" t="s">
        <v>7567</v>
      </c>
      <c r="D4356" t="s">
        <v>17485</v>
      </c>
      <c r="E4356" t="s">
        <v>21290</v>
      </c>
      <c r="F4356" t="s">
        <v>30052</v>
      </c>
      <c r="G4356" t="s">
        <v>30058</v>
      </c>
      <c r="H4356" t="s">
        <v>15498</v>
      </c>
      <c r="I4356" t="s">
        <v>30082</v>
      </c>
      <c r="J4356" t="s">
        <v>33007</v>
      </c>
      <c r="K4356" t="s">
        <v>39034</v>
      </c>
      <c r="M4356" t="s">
        <v>40957</v>
      </c>
      <c r="N4356" t="s">
        <v>43166</v>
      </c>
      <c r="O4356" t="s">
        <v>43167</v>
      </c>
      <c r="P4356">
        <v>0</v>
      </c>
      <c r="Q4356">
        <v>0</v>
      </c>
      <c r="R4356" t="s">
        <v>43171</v>
      </c>
      <c r="S4356" t="s">
        <v>43311</v>
      </c>
      <c r="T4356" t="s">
        <v>44828</v>
      </c>
      <c r="U4356" t="s">
        <v>48760</v>
      </c>
      <c r="W4356" t="s">
        <v>40957</v>
      </c>
      <c r="X4356" t="s">
        <v>43172</v>
      </c>
    </row>
    <row r="4357" spans="1:24">
      <c r="A4357">
        <f>HYPERLINK("https://www.philgeps.gov.ph/GEPSNONPILOT/Tender/SplashBidNoticeAbstractUI.aspx?menuIndex=3&amp;refID=7084013&amp;Result=3","7084013")</f>
        <v>0</v>
      </c>
      <c r="B4357" t="s">
        <v>1065</v>
      </c>
      <c r="C4357" t="s">
        <v>7568</v>
      </c>
      <c r="D4357" t="s">
        <v>17456</v>
      </c>
      <c r="E4357" t="s">
        <v>18819</v>
      </c>
      <c r="F4357" t="s">
        <v>30052</v>
      </c>
      <c r="G4357" t="s">
        <v>30059</v>
      </c>
      <c r="H4357" t="s">
        <v>15498</v>
      </c>
      <c r="I4357" t="s">
        <v>3852</v>
      </c>
      <c r="J4357" t="s">
        <v>31748</v>
      </c>
      <c r="K4357" t="s">
        <v>39034</v>
      </c>
      <c r="M4357" t="s">
        <v>40400</v>
      </c>
      <c r="N4357" t="s">
        <v>43166</v>
      </c>
      <c r="O4357" t="s">
        <v>43167</v>
      </c>
      <c r="P4357">
        <v>0</v>
      </c>
      <c r="Q4357">
        <v>1</v>
      </c>
      <c r="R4357" t="s">
        <v>43171</v>
      </c>
      <c r="S4357" t="s">
        <v>43311</v>
      </c>
      <c r="T4357" t="s">
        <v>44732</v>
      </c>
      <c r="U4357" t="s">
        <v>48761</v>
      </c>
      <c r="W4357" t="s">
        <v>40400</v>
      </c>
      <c r="X4357" t="s">
        <v>43172</v>
      </c>
    </row>
    <row r="4358" spans="1:24">
      <c r="A4358">
        <f>HYPERLINK("https://www.philgeps.gov.ph/GEPSNONPILOT/Tender/SplashBidNoticeAbstractUI.aspx?menuIndex=3&amp;refID=7084012&amp;Result=3","7084012")</f>
        <v>0</v>
      </c>
      <c r="B4358" t="s">
        <v>1564</v>
      </c>
      <c r="C4358" t="s">
        <v>7569</v>
      </c>
      <c r="D4358" t="s">
        <v>17440</v>
      </c>
      <c r="E4358" t="s">
        <v>21291</v>
      </c>
      <c r="F4358" t="s">
        <v>30052</v>
      </c>
      <c r="G4358" t="s">
        <v>30059</v>
      </c>
      <c r="H4358" t="s">
        <v>15498</v>
      </c>
      <c r="I4358" t="s">
        <v>3852</v>
      </c>
      <c r="J4358" t="s">
        <v>33008</v>
      </c>
      <c r="K4358" t="s">
        <v>39034</v>
      </c>
      <c r="M4358" t="s">
        <v>40953</v>
      </c>
      <c r="N4358" t="s">
        <v>43166</v>
      </c>
      <c r="O4358" t="s">
        <v>43167</v>
      </c>
      <c r="P4358">
        <v>0</v>
      </c>
      <c r="Q4358">
        <v>0</v>
      </c>
      <c r="R4358" t="s">
        <v>43171</v>
      </c>
      <c r="S4358" t="s">
        <v>43311</v>
      </c>
      <c r="T4358" t="s">
        <v>44714</v>
      </c>
      <c r="U4358" t="s">
        <v>48762</v>
      </c>
      <c r="W4358" t="s">
        <v>40953</v>
      </c>
      <c r="X4358" t="s">
        <v>43172</v>
      </c>
    </row>
    <row r="4359" spans="1:24">
      <c r="A4359">
        <f>HYPERLINK("https://www.philgeps.gov.ph/GEPSNONPILOT/Tender/SplashBidNoticeAbstractUI.aspx?menuIndex=3&amp;refID=7084010&amp;Result=3","7084010")</f>
        <v>0</v>
      </c>
      <c r="B4359" t="s">
        <v>900</v>
      </c>
      <c r="C4359" t="s">
        <v>7570</v>
      </c>
      <c r="D4359" t="s">
        <v>17443</v>
      </c>
      <c r="E4359" t="s">
        <v>21292</v>
      </c>
      <c r="F4359" t="s">
        <v>30052</v>
      </c>
      <c r="G4359" t="s">
        <v>30059</v>
      </c>
      <c r="H4359" t="s">
        <v>15498</v>
      </c>
      <c r="I4359" t="s">
        <v>30081</v>
      </c>
      <c r="J4359" t="s">
        <v>30673</v>
      </c>
      <c r="K4359" t="s">
        <v>39017</v>
      </c>
      <c r="M4359" t="s">
        <v>40219</v>
      </c>
      <c r="N4359" t="s">
        <v>43166</v>
      </c>
      <c r="O4359" t="s">
        <v>43167</v>
      </c>
      <c r="P4359">
        <v>0</v>
      </c>
      <c r="Q4359">
        <v>1</v>
      </c>
      <c r="R4359" t="s">
        <v>43171</v>
      </c>
      <c r="S4359" t="s">
        <v>43311</v>
      </c>
      <c r="T4359" t="s">
        <v>44856</v>
      </c>
      <c r="U4359" t="s">
        <v>46989</v>
      </c>
      <c r="W4359" t="s">
        <v>40219</v>
      </c>
      <c r="X4359" t="s">
        <v>43172</v>
      </c>
    </row>
    <row r="4360" spans="1:24">
      <c r="A4360">
        <f>HYPERLINK("https://www.philgeps.gov.ph/GEPSNONPILOT/Tender/SplashBidNoticeAbstractUI.aspx?menuIndex=3&amp;refID=7084032&amp;Result=3","7084032")</f>
        <v>0</v>
      </c>
      <c r="B4360" t="s">
        <v>494</v>
      </c>
      <c r="C4360" t="s">
        <v>7571</v>
      </c>
      <c r="E4360" t="s">
        <v>21293</v>
      </c>
      <c r="F4360" t="s">
        <v>30052</v>
      </c>
      <c r="G4360" t="s">
        <v>30059</v>
      </c>
      <c r="H4360" t="s">
        <v>15498</v>
      </c>
      <c r="I4360" t="s">
        <v>8323</v>
      </c>
      <c r="J4360" t="s">
        <v>33009</v>
      </c>
      <c r="K4360" t="s">
        <v>39025</v>
      </c>
      <c r="M4360" t="s">
        <v>39795</v>
      </c>
      <c r="N4360" t="s">
        <v>43166</v>
      </c>
      <c r="O4360" t="s">
        <v>43167</v>
      </c>
      <c r="P4360">
        <v>0</v>
      </c>
      <c r="Q4360">
        <v>4</v>
      </c>
      <c r="R4360" t="s">
        <v>43171</v>
      </c>
      <c r="S4360" t="s">
        <v>43311</v>
      </c>
      <c r="T4360" t="s">
        <v>44822</v>
      </c>
      <c r="U4360" t="s">
        <v>48763</v>
      </c>
      <c r="W4360" t="s">
        <v>39795</v>
      </c>
      <c r="X4360" t="s">
        <v>43172</v>
      </c>
    </row>
    <row r="4361" spans="1:24">
      <c r="A4361">
        <f>HYPERLINK("https://www.philgeps.gov.ph/GEPSNONPILOT/Tender/SplashBidNoticeAbstractUI.aspx?menuIndex=3&amp;refID=7084007&amp;Result=3","7084007")</f>
        <v>0</v>
      </c>
      <c r="B4361" t="s">
        <v>1558</v>
      </c>
      <c r="C4361" t="s">
        <v>7572</v>
      </c>
      <c r="D4361" t="s">
        <v>17459</v>
      </c>
      <c r="E4361" t="s">
        <v>18173</v>
      </c>
      <c r="F4361" t="s">
        <v>30052</v>
      </c>
      <c r="G4361" t="s">
        <v>30058</v>
      </c>
      <c r="H4361" t="s">
        <v>30067</v>
      </c>
      <c r="I4361" t="s">
        <v>3693</v>
      </c>
      <c r="J4361" t="s">
        <v>30343</v>
      </c>
      <c r="K4361" t="s">
        <v>39029</v>
      </c>
      <c r="M4361" t="s">
        <v>40947</v>
      </c>
      <c r="N4361" t="s">
        <v>43166</v>
      </c>
      <c r="O4361" t="s">
        <v>43167</v>
      </c>
      <c r="P4361">
        <v>0</v>
      </c>
      <c r="Q4361">
        <v>0</v>
      </c>
      <c r="R4361" t="s">
        <v>43171</v>
      </c>
      <c r="S4361" t="s">
        <v>43311</v>
      </c>
      <c r="T4361" t="s">
        <v>44806</v>
      </c>
      <c r="U4361" t="s">
        <v>48764</v>
      </c>
      <c r="W4361" t="s">
        <v>40947</v>
      </c>
      <c r="X4361" t="s">
        <v>43172</v>
      </c>
    </row>
    <row r="4362" spans="1:24">
      <c r="A4362">
        <f>HYPERLINK("https://www.philgeps.gov.ph/GEPSNONPILOT/Tender/SplashBidNoticeAbstractUI.aspx?menuIndex=3&amp;refID=7084005&amp;Result=3","7084005")</f>
        <v>0</v>
      </c>
      <c r="B4362" t="s">
        <v>1367</v>
      </c>
      <c r="C4362" t="s">
        <v>7573</v>
      </c>
      <c r="D4362" t="s">
        <v>17415</v>
      </c>
      <c r="E4362" t="s">
        <v>21294</v>
      </c>
      <c r="F4362" t="s">
        <v>30052</v>
      </c>
      <c r="G4362" t="s">
        <v>30061</v>
      </c>
      <c r="H4362" t="s">
        <v>15498</v>
      </c>
      <c r="I4362" t="s">
        <v>30092</v>
      </c>
      <c r="J4362" t="s">
        <v>33010</v>
      </c>
      <c r="K4362" t="s">
        <v>39017</v>
      </c>
      <c r="M4362" t="s">
        <v>40738</v>
      </c>
      <c r="N4362" t="s">
        <v>43166</v>
      </c>
      <c r="O4362" t="s">
        <v>43167</v>
      </c>
      <c r="P4362">
        <v>0</v>
      </c>
      <c r="Q4362">
        <v>2</v>
      </c>
      <c r="R4362" t="s">
        <v>43171</v>
      </c>
      <c r="S4362" t="s">
        <v>43311</v>
      </c>
      <c r="T4362" t="s">
        <v>44864</v>
      </c>
      <c r="U4362" t="s">
        <v>48765</v>
      </c>
      <c r="W4362" t="s">
        <v>40738</v>
      </c>
      <c r="X4362" t="s">
        <v>43172</v>
      </c>
    </row>
    <row r="4363" spans="1:24">
      <c r="A4363">
        <f>HYPERLINK("https://www.philgeps.gov.ph/GEPSNONPILOT/Tender/SplashBidNoticeAbstractUI.aspx?menuIndex=3&amp;refID=7084003&amp;Result=3","7084003")</f>
        <v>0</v>
      </c>
      <c r="B4363" t="s">
        <v>919</v>
      </c>
      <c r="C4363" t="s">
        <v>7574</v>
      </c>
      <c r="E4363" t="s">
        <v>21295</v>
      </c>
      <c r="F4363" t="s">
        <v>30052</v>
      </c>
      <c r="G4363" t="s">
        <v>30058</v>
      </c>
      <c r="H4363" t="s">
        <v>30067</v>
      </c>
      <c r="I4363" t="s">
        <v>3693</v>
      </c>
      <c r="J4363" t="s">
        <v>33011</v>
      </c>
      <c r="K4363" t="s">
        <v>39025</v>
      </c>
      <c r="M4363" t="s">
        <v>40242</v>
      </c>
      <c r="N4363" t="s">
        <v>43166</v>
      </c>
      <c r="O4363" t="s">
        <v>43167</v>
      </c>
      <c r="P4363">
        <v>0</v>
      </c>
      <c r="Q4363">
        <v>0</v>
      </c>
      <c r="R4363" t="s">
        <v>43171</v>
      </c>
      <c r="S4363" t="s">
        <v>43311</v>
      </c>
      <c r="T4363" t="s">
        <v>44842</v>
      </c>
      <c r="U4363" t="s">
        <v>48766</v>
      </c>
      <c r="W4363" t="s">
        <v>43101</v>
      </c>
      <c r="X4363" t="s">
        <v>43172</v>
      </c>
    </row>
    <row r="4364" spans="1:24">
      <c r="A4364">
        <f>HYPERLINK("https://www.philgeps.gov.ph/GEPSNONPILOT/Tender/SplashBidNoticeAbstractUI.aspx?menuIndex=3&amp;refID=7083969&amp;Result=3","7083969")</f>
        <v>0</v>
      </c>
      <c r="B4364" t="s">
        <v>1553</v>
      </c>
      <c r="C4364" t="s">
        <v>7575</v>
      </c>
      <c r="D4364" t="s">
        <v>17470</v>
      </c>
      <c r="E4364" t="s">
        <v>21296</v>
      </c>
      <c r="F4364" t="s">
        <v>30052</v>
      </c>
      <c r="G4364" t="s">
        <v>30058</v>
      </c>
      <c r="H4364" t="s">
        <v>15498</v>
      </c>
      <c r="I4364" t="s">
        <v>30144</v>
      </c>
      <c r="J4364" t="s">
        <v>33012</v>
      </c>
      <c r="K4364" t="s">
        <v>39019</v>
      </c>
      <c r="L4364" t="s">
        <v>1553</v>
      </c>
      <c r="M4364" t="s">
        <v>40941</v>
      </c>
      <c r="N4364" t="s">
        <v>43166</v>
      </c>
      <c r="O4364" t="s">
        <v>43167</v>
      </c>
      <c r="P4364">
        <v>0</v>
      </c>
      <c r="Q4364">
        <v>0</v>
      </c>
      <c r="R4364" t="s">
        <v>43171</v>
      </c>
      <c r="S4364" t="s">
        <v>43311</v>
      </c>
      <c r="T4364" t="s">
        <v>44715</v>
      </c>
      <c r="U4364" t="s">
        <v>48767</v>
      </c>
      <c r="W4364" t="s">
        <v>40941</v>
      </c>
      <c r="X4364" t="s">
        <v>43172</v>
      </c>
    </row>
    <row r="4365" spans="1:24">
      <c r="A4365">
        <f>HYPERLINK("https://www.philgeps.gov.ph/GEPSNONPILOT/Tender/SplashBidNoticeAbstractUI.aspx?menuIndex=3&amp;refID=7084015&amp;Result=3","7084015")</f>
        <v>0</v>
      </c>
      <c r="B4365" t="s">
        <v>156</v>
      </c>
      <c r="C4365" t="s">
        <v>7576</v>
      </c>
      <c r="D4365" t="s">
        <v>17422</v>
      </c>
      <c r="E4365" t="s">
        <v>21297</v>
      </c>
      <c r="F4365" t="s">
        <v>30052</v>
      </c>
      <c r="G4365" t="s">
        <v>30059</v>
      </c>
      <c r="H4365" t="s">
        <v>30069</v>
      </c>
      <c r="I4365" t="s">
        <v>3736</v>
      </c>
      <c r="J4365" t="s">
        <v>33013</v>
      </c>
      <c r="K4365" t="s">
        <v>39034</v>
      </c>
      <c r="M4365" t="s">
        <v>39445</v>
      </c>
      <c r="N4365" t="s">
        <v>43166</v>
      </c>
      <c r="O4365" t="s">
        <v>43167</v>
      </c>
      <c r="P4365">
        <v>0</v>
      </c>
      <c r="Q4365">
        <v>0</v>
      </c>
      <c r="R4365" t="s">
        <v>43171</v>
      </c>
      <c r="S4365" t="s">
        <v>43311</v>
      </c>
      <c r="T4365" t="s">
        <v>44717</v>
      </c>
      <c r="U4365" t="s">
        <v>48755</v>
      </c>
      <c r="V4365" t="s">
        <v>56850</v>
      </c>
      <c r="W4365" t="s">
        <v>39445</v>
      </c>
      <c r="X4365" t="s">
        <v>43172</v>
      </c>
    </row>
    <row r="4366" spans="1:24">
      <c r="A4366">
        <f>HYPERLINK("https://www.philgeps.gov.ph/GEPSNONPILOT/Tender/SplashBidNoticeAbstractUI.aspx?menuIndex=3&amp;refID=7083967&amp;Result=3","7083967")</f>
        <v>0</v>
      </c>
      <c r="B4366" t="s">
        <v>629</v>
      </c>
      <c r="C4366" t="s">
        <v>7577</v>
      </c>
      <c r="D4366" t="s">
        <v>17415</v>
      </c>
      <c r="E4366" t="s">
        <v>21298</v>
      </c>
      <c r="F4366" t="s">
        <v>30052</v>
      </c>
      <c r="G4366" t="s">
        <v>30059</v>
      </c>
      <c r="H4366" t="s">
        <v>15498</v>
      </c>
      <c r="I4366" t="s">
        <v>30103</v>
      </c>
      <c r="J4366" t="s">
        <v>33014</v>
      </c>
      <c r="K4366" t="s">
        <v>39019</v>
      </c>
      <c r="M4366" t="s">
        <v>40046</v>
      </c>
      <c r="N4366" t="s">
        <v>43166</v>
      </c>
      <c r="O4366" t="s">
        <v>43167</v>
      </c>
      <c r="P4366">
        <v>0</v>
      </c>
      <c r="Q4366">
        <v>6</v>
      </c>
      <c r="R4366" t="s">
        <v>43171</v>
      </c>
      <c r="S4366" t="s">
        <v>43311</v>
      </c>
      <c r="T4366" t="s">
        <v>44773</v>
      </c>
      <c r="U4366" t="s">
        <v>48768</v>
      </c>
      <c r="V4366" t="s">
        <v>57301</v>
      </c>
      <c r="W4366" t="s">
        <v>40046</v>
      </c>
      <c r="X4366" t="s">
        <v>43172</v>
      </c>
    </row>
    <row r="4367" spans="1:24">
      <c r="A4367">
        <f>HYPERLINK("https://www.philgeps.gov.ph/GEPSNONPILOT/Tender/SplashBidNoticeAbstractUI.aspx?menuIndex=3&amp;refID=7083964&amp;Result=3","7083964")</f>
        <v>0</v>
      </c>
      <c r="B4367" t="s">
        <v>1208</v>
      </c>
      <c r="C4367" t="s">
        <v>7578</v>
      </c>
      <c r="D4367" t="s">
        <v>17441</v>
      </c>
      <c r="E4367" t="s">
        <v>21191</v>
      </c>
      <c r="F4367" t="s">
        <v>30052</v>
      </c>
      <c r="G4367" t="s">
        <v>30058</v>
      </c>
      <c r="H4367" t="s">
        <v>30067</v>
      </c>
      <c r="I4367" t="s">
        <v>3693</v>
      </c>
      <c r="J4367" t="s">
        <v>30218</v>
      </c>
      <c r="K4367" t="s">
        <v>39023</v>
      </c>
      <c r="L4367" t="s">
        <v>1208</v>
      </c>
      <c r="M4367" t="s">
        <v>40562</v>
      </c>
      <c r="N4367" t="s">
        <v>43166</v>
      </c>
      <c r="O4367" t="s">
        <v>43167</v>
      </c>
      <c r="P4367">
        <v>0</v>
      </c>
      <c r="Q4367">
        <v>5</v>
      </c>
      <c r="R4367" t="s">
        <v>43171</v>
      </c>
      <c r="S4367" t="s">
        <v>43311</v>
      </c>
      <c r="T4367" t="s">
        <v>44813</v>
      </c>
      <c r="U4367" t="s">
        <v>48743</v>
      </c>
      <c r="W4367" t="s">
        <v>40562</v>
      </c>
      <c r="X4367" t="s">
        <v>43172</v>
      </c>
    </row>
    <row r="4368" spans="1:24">
      <c r="A4368">
        <f>HYPERLINK("https://www.philgeps.gov.ph/GEPSNONPILOT/Tender/SplashBidNoticeAbstractUI.aspx?menuIndex=3&amp;refID=7083963&amp;Result=3","7083963")</f>
        <v>0</v>
      </c>
      <c r="B4368" t="s">
        <v>856</v>
      </c>
      <c r="C4368" t="s">
        <v>7579</v>
      </c>
      <c r="E4368" t="s">
        <v>21299</v>
      </c>
      <c r="F4368" t="s">
        <v>30052</v>
      </c>
      <c r="G4368" t="s">
        <v>30059</v>
      </c>
      <c r="H4368" t="s">
        <v>30068</v>
      </c>
      <c r="I4368" t="s">
        <v>30068</v>
      </c>
      <c r="J4368" t="s">
        <v>33015</v>
      </c>
      <c r="K4368" t="s">
        <v>39048</v>
      </c>
      <c r="M4368" t="s">
        <v>40173</v>
      </c>
      <c r="N4368" t="s">
        <v>43166</v>
      </c>
      <c r="O4368" t="s">
        <v>43167</v>
      </c>
      <c r="P4368">
        <v>0</v>
      </c>
      <c r="Q4368">
        <v>0</v>
      </c>
      <c r="R4368" t="s">
        <v>43171</v>
      </c>
      <c r="S4368" t="s">
        <v>43311</v>
      </c>
      <c r="T4368" t="s">
        <v>44720</v>
      </c>
      <c r="U4368" t="s">
        <v>48769</v>
      </c>
      <c r="W4368" t="s">
        <v>40173</v>
      </c>
      <c r="X4368" t="s">
        <v>43172</v>
      </c>
    </row>
    <row r="4369" spans="1:24">
      <c r="A4369">
        <f>HYPERLINK("https://www.philgeps.gov.ph/GEPSNONPILOT/Tender/SplashBidNoticeAbstractUI.aspx?menuIndex=3&amp;refID=7083961&amp;Result=3","7083961")</f>
        <v>0</v>
      </c>
      <c r="B4369" t="s">
        <v>1568</v>
      </c>
      <c r="C4369" t="s">
        <v>7580</v>
      </c>
      <c r="D4369" t="s">
        <v>17456</v>
      </c>
      <c r="E4369" t="s">
        <v>21300</v>
      </c>
      <c r="F4369" t="s">
        <v>30052</v>
      </c>
      <c r="G4369" t="s">
        <v>30059</v>
      </c>
      <c r="H4369" t="s">
        <v>15498</v>
      </c>
      <c r="I4369" t="s">
        <v>30135</v>
      </c>
      <c r="J4369" t="s">
        <v>30801</v>
      </c>
      <c r="K4369" t="s">
        <v>39036</v>
      </c>
      <c r="M4369" t="s">
        <v>40958</v>
      </c>
      <c r="N4369" t="s">
        <v>43166</v>
      </c>
      <c r="O4369" t="s">
        <v>43167</v>
      </c>
      <c r="P4369">
        <v>0</v>
      </c>
      <c r="Q4369">
        <v>6</v>
      </c>
      <c r="R4369" t="s">
        <v>43171</v>
      </c>
      <c r="S4369" t="s">
        <v>43311</v>
      </c>
      <c r="T4369" t="s">
        <v>44732</v>
      </c>
      <c r="U4369" t="s">
        <v>48770</v>
      </c>
      <c r="V4369" t="s">
        <v>57305</v>
      </c>
      <c r="W4369" t="s">
        <v>40958</v>
      </c>
      <c r="X4369" t="s">
        <v>43172</v>
      </c>
    </row>
    <row r="4370" spans="1:24">
      <c r="A4370">
        <f>HYPERLINK("https://www.philgeps.gov.ph/GEPSNONPILOT/Tender/SplashBidNoticeAbstractUI.aspx?menuIndex=3&amp;refID=7083957&amp;Result=3","7083957")</f>
        <v>0</v>
      </c>
      <c r="B4370" t="s">
        <v>1561</v>
      </c>
      <c r="C4370" t="s">
        <v>7581</v>
      </c>
      <c r="D4370" t="s">
        <v>17445</v>
      </c>
      <c r="E4370" t="s">
        <v>21301</v>
      </c>
      <c r="F4370" t="s">
        <v>30052</v>
      </c>
      <c r="G4370" t="s">
        <v>30058</v>
      </c>
      <c r="H4370" t="s">
        <v>30067</v>
      </c>
      <c r="I4370" t="s">
        <v>3693</v>
      </c>
      <c r="J4370" t="s">
        <v>30230</v>
      </c>
      <c r="K4370" t="s">
        <v>39032</v>
      </c>
      <c r="M4370" t="s">
        <v>40950</v>
      </c>
      <c r="N4370" t="s">
        <v>43166</v>
      </c>
      <c r="O4370" t="s">
        <v>43167</v>
      </c>
      <c r="P4370">
        <v>0</v>
      </c>
      <c r="Q4370">
        <v>1</v>
      </c>
      <c r="R4370" t="s">
        <v>43171</v>
      </c>
      <c r="S4370" t="s">
        <v>43311</v>
      </c>
      <c r="T4370" t="s">
        <v>44758</v>
      </c>
      <c r="U4370" t="s">
        <v>48747</v>
      </c>
      <c r="W4370" t="s">
        <v>40950</v>
      </c>
      <c r="X4370" t="s">
        <v>43172</v>
      </c>
    </row>
    <row r="4371" spans="1:24">
      <c r="A4371">
        <f>HYPERLINK("https://www.philgeps.gov.ph/GEPSNONPILOT/Tender/SplashBidNoticeAbstractUI.aspx?menuIndex=3&amp;refID=7083931&amp;Result=3","7083931")</f>
        <v>0</v>
      </c>
      <c r="B4371" t="s">
        <v>141</v>
      </c>
      <c r="C4371" t="s">
        <v>7582</v>
      </c>
      <c r="D4371" t="s">
        <v>17447</v>
      </c>
      <c r="E4371" t="s">
        <v>21302</v>
      </c>
      <c r="F4371" t="s">
        <v>30052</v>
      </c>
      <c r="G4371" t="s">
        <v>30059</v>
      </c>
      <c r="H4371" t="s">
        <v>15498</v>
      </c>
      <c r="I4371" t="s">
        <v>30178</v>
      </c>
      <c r="J4371" t="s">
        <v>33016</v>
      </c>
      <c r="K4371" t="s">
        <v>39019</v>
      </c>
      <c r="M4371" t="s">
        <v>40747</v>
      </c>
      <c r="N4371" t="s">
        <v>43166</v>
      </c>
      <c r="O4371" t="s">
        <v>43167</v>
      </c>
      <c r="P4371">
        <v>0</v>
      </c>
      <c r="Q4371">
        <v>2</v>
      </c>
      <c r="R4371" t="s">
        <v>43171</v>
      </c>
      <c r="S4371" t="s">
        <v>43311</v>
      </c>
      <c r="T4371" t="s">
        <v>44737</v>
      </c>
      <c r="U4371" t="s">
        <v>48771</v>
      </c>
      <c r="V4371" t="s">
        <v>57306</v>
      </c>
      <c r="W4371" t="s">
        <v>40747</v>
      </c>
      <c r="X4371" t="s">
        <v>43172</v>
      </c>
    </row>
    <row r="4372" spans="1:24">
      <c r="A4372">
        <f>HYPERLINK("https://www.philgeps.gov.ph/GEPSNONPILOT/Tender/SplashBidNoticeAbstractUI.aspx?menuIndex=3&amp;refID=7084004&amp;Result=3","7084004")</f>
        <v>0</v>
      </c>
      <c r="B4372" t="s">
        <v>1569</v>
      </c>
      <c r="C4372" t="s">
        <v>7583</v>
      </c>
      <c r="D4372" t="s">
        <v>17438</v>
      </c>
      <c r="E4372" t="s">
        <v>21303</v>
      </c>
      <c r="F4372" t="s">
        <v>30052</v>
      </c>
      <c r="G4372" t="s">
        <v>30059</v>
      </c>
      <c r="H4372" t="s">
        <v>15498</v>
      </c>
      <c r="I4372" t="s">
        <v>6691</v>
      </c>
      <c r="J4372" t="s">
        <v>31954</v>
      </c>
      <c r="K4372" t="s">
        <v>39017</v>
      </c>
      <c r="M4372" t="s">
        <v>40959</v>
      </c>
      <c r="N4372" t="s">
        <v>43166</v>
      </c>
      <c r="O4372" t="s">
        <v>43167</v>
      </c>
      <c r="P4372">
        <v>0</v>
      </c>
      <c r="Q4372">
        <v>0</v>
      </c>
      <c r="R4372" t="s">
        <v>43171</v>
      </c>
      <c r="S4372" t="s">
        <v>43311</v>
      </c>
      <c r="T4372" t="s">
        <v>44732</v>
      </c>
      <c r="U4372" t="s">
        <v>48772</v>
      </c>
      <c r="W4372" t="s">
        <v>40959</v>
      </c>
      <c r="X4372" t="s">
        <v>43172</v>
      </c>
    </row>
    <row r="4373" spans="1:24">
      <c r="A4373">
        <f>HYPERLINK("https://www.philgeps.gov.ph/GEPSNONPILOT/Tender/SplashBidNoticeAbstractUI.aspx?menuIndex=3&amp;refID=7083933&amp;Result=3","7083933")</f>
        <v>0</v>
      </c>
      <c r="B4373" t="s">
        <v>1208</v>
      </c>
      <c r="C4373" t="s">
        <v>7584</v>
      </c>
      <c r="D4373" t="s">
        <v>17441</v>
      </c>
      <c r="E4373" t="s">
        <v>21191</v>
      </c>
      <c r="F4373" t="s">
        <v>30052</v>
      </c>
      <c r="G4373" t="s">
        <v>30058</v>
      </c>
      <c r="H4373" t="s">
        <v>30067</v>
      </c>
      <c r="I4373" t="s">
        <v>3693</v>
      </c>
      <c r="J4373" t="s">
        <v>30218</v>
      </c>
      <c r="K4373" t="s">
        <v>39023</v>
      </c>
      <c r="L4373" t="s">
        <v>1208</v>
      </c>
      <c r="M4373" t="s">
        <v>40562</v>
      </c>
      <c r="N4373" t="s">
        <v>43166</v>
      </c>
      <c r="O4373" t="s">
        <v>43167</v>
      </c>
      <c r="P4373">
        <v>0</v>
      </c>
      <c r="Q4373">
        <v>6</v>
      </c>
      <c r="R4373" t="s">
        <v>43171</v>
      </c>
      <c r="S4373" t="s">
        <v>43311</v>
      </c>
      <c r="T4373" t="s">
        <v>44813</v>
      </c>
      <c r="U4373" t="s">
        <v>48743</v>
      </c>
      <c r="W4373" t="s">
        <v>40562</v>
      </c>
      <c r="X4373" t="s">
        <v>43172</v>
      </c>
    </row>
    <row r="4374" spans="1:24">
      <c r="A4374">
        <f>HYPERLINK("https://www.philgeps.gov.ph/GEPSNONPILOT/Tender/SplashBidNoticeAbstractUI.aspx?menuIndex=3&amp;refID=7083927&amp;Result=3","7083927")</f>
        <v>0</v>
      </c>
      <c r="B4374" t="s">
        <v>1202</v>
      </c>
      <c r="C4374" t="s">
        <v>7585</v>
      </c>
      <c r="D4374" t="s">
        <v>17415</v>
      </c>
      <c r="E4374" t="s">
        <v>21304</v>
      </c>
      <c r="F4374" t="s">
        <v>30052</v>
      </c>
      <c r="G4374" t="s">
        <v>30058</v>
      </c>
      <c r="H4374" t="s">
        <v>15498</v>
      </c>
      <c r="I4374" t="s">
        <v>30074</v>
      </c>
      <c r="J4374" t="s">
        <v>33017</v>
      </c>
      <c r="K4374" t="s">
        <v>39029</v>
      </c>
      <c r="M4374" t="s">
        <v>40960</v>
      </c>
      <c r="N4374" t="s">
        <v>43166</v>
      </c>
      <c r="O4374" t="s">
        <v>43167</v>
      </c>
      <c r="P4374">
        <v>0</v>
      </c>
      <c r="Q4374">
        <v>8</v>
      </c>
      <c r="R4374" t="s">
        <v>43171</v>
      </c>
      <c r="S4374" t="s">
        <v>43311</v>
      </c>
      <c r="T4374" t="s">
        <v>44752</v>
      </c>
      <c r="U4374" t="s">
        <v>48773</v>
      </c>
      <c r="V4374" t="s">
        <v>57307</v>
      </c>
      <c r="W4374" t="s">
        <v>40960</v>
      </c>
      <c r="X4374" t="s">
        <v>43172</v>
      </c>
    </row>
    <row r="4375" spans="1:24">
      <c r="A4375">
        <f>HYPERLINK("https://www.philgeps.gov.ph/GEPSNONPILOT/Tender/SplashBidNoticeAbstractUI.aspx?menuIndex=3&amp;refID=7083926&amp;Result=3","7083926")</f>
        <v>0</v>
      </c>
      <c r="B4375" t="s">
        <v>1570</v>
      </c>
      <c r="C4375" t="s">
        <v>7586</v>
      </c>
      <c r="E4375" t="s">
        <v>21305</v>
      </c>
      <c r="F4375" t="s">
        <v>30052</v>
      </c>
      <c r="G4375" t="s">
        <v>30061</v>
      </c>
      <c r="H4375" t="s">
        <v>15498</v>
      </c>
      <c r="I4375" t="s">
        <v>30084</v>
      </c>
      <c r="J4375" t="s">
        <v>33018</v>
      </c>
      <c r="K4375" t="s">
        <v>39017</v>
      </c>
      <c r="M4375" t="s">
        <v>40961</v>
      </c>
      <c r="N4375" t="s">
        <v>43166</v>
      </c>
      <c r="O4375" t="s">
        <v>43167</v>
      </c>
      <c r="P4375">
        <v>0</v>
      </c>
      <c r="Q4375">
        <v>1</v>
      </c>
      <c r="R4375" t="s">
        <v>43171</v>
      </c>
      <c r="S4375" t="s">
        <v>43311</v>
      </c>
      <c r="T4375" t="s">
        <v>44698</v>
      </c>
      <c r="U4375" t="s">
        <v>48774</v>
      </c>
      <c r="W4375" t="s">
        <v>40961</v>
      </c>
      <c r="X4375" t="s">
        <v>43172</v>
      </c>
    </row>
    <row r="4376" spans="1:24">
      <c r="A4376">
        <f>HYPERLINK("https://www.philgeps.gov.ph/GEPSNONPILOT/Tender/SplashBidNoticeAbstractUI.aspx?menuIndex=3&amp;refID=7084022&amp;Result=3","7084022")</f>
        <v>0</v>
      </c>
      <c r="B4376" t="s">
        <v>1551</v>
      </c>
      <c r="C4376" t="s">
        <v>7587</v>
      </c>
      <c r="D4376" t="s">
        <v>17442</v>
      </c>
      <c r="E4376" t="s">
        <v>21306</v>
      </c>
      <c r="F4376" t="s">
        <v>30052</v>
      </c>
      <c r="G4376" t="s">
        <v>30058</v>
      </c>
      <c r="H4376" t="s">
        <v>15498</v>
      </c>
      <c r="I4376" t="s">
        <v>30083</v>
      </c>
      <c r="J4376" t="s">
        <v>33019</v>
      </c>
      <c r="K4376" t="s">
        <v>39019</v>
      </c>
      <c r="M4376" t="s">
        <v>40939</v>
      </c>
      <c r="N4376" t="s">
        <v>43166</v>
      </c>
      <c r="O4376" t="s">
        <v>43167</v>
      </c>
      <c r="P4376">
        <v>0</v>
      </c>
      <c r="Q4376">
        <v>0</v>
      </c>
      <c r="R4376" t="s">
        <v>43171</v>
      </c>
      <c r="S4376" t="s">
        <v>43311</v>
      </c>
      <c r="T4376" t="s">
        <v>44681</v>
      </c>
      <c r="U4376" t="s">
        <v>48775</v>
      </c>
      <c r="W4376" t="s">
        <v>40939</v>
      </c>
      <c r="X4376" t="s">
        <v>43172</v>
      </c>
    </row>
    <row r="4377" spans="1:24">
      <c r="A4377">
        <f>HYPERLINK("https://www.philgeps.gov.ph/GEPSNONPILOT/Tender/SplashBidNoticeAbstractUI.aspx?menuIndex=3&amp;refID=7083919&amp;Result=3","7083919")</f>
        <v>0</v>
      </c>
      <c r="B4377" t="s">
        <v>161</v>
      </c>
      <c r="C4377" t="s">
        <v>7588</v>
      </c>
      <c r="D4377" t="s">
        <v>17459</v>
      </c>
      <c r="E4377" t="s">
        <v>21307</v>
      </c>
      <c r="F4377" t="s">
        <v>30052</v>
      </c>
      <c r="G4377" t="s">
        <v>30061</v>
      </c>
      <c r="H4377" t="s">
        <v>15498</v>
      </c>
      <c r="I4377" t="s">
        <v>3736</v>
      </c>
      <c r="J4377" t="s">
        <v>33020</v>
      </c>
      <c r="K4377" t="s">
        <v>39029</v>
      </c>
      <c r="M4377" t="s">
        <v>39450</v>
      </c>
      <c r="N4377" t="s">
        <v>43166</v>
      </c>
      <c r="O4377" t="s">
        <v>43167</v>
      </c>
      <c r="P4377">
        <v>0</v>
      </c>
      <c r="Q4377">
        <v>0</v>
      </c>
      <c r="R4377" t="s">
        <v>43171</v>
      </c>
      <c r="S4377" t="s">
        <v>43311</v>
      </c>
      <c r="T4377" t="s">
        <v>44708</v>
      </c>
      <c r="U4377" t="s">
        <v>48776</v>
      </c>
      <c r="W4377" t="s">
        <v>39450</v>
      </c>
      <c r="X4377" t="s">
        <v>43172</v>
      </c>
    </row>
    <row r="4378" spans="1:24">
      <c r="A4378">
        <f>HYPERLINK("https://www.philgeps.gov.ph/GEPSNONPILOT/Tender/SplashBidNoticeAbstractUI.aspx?menuIndex=3&amp;refID=7083918&amp;Result=3","7083918")</f>
        <v>0</v>
      </c>
      <c r="B4378" t="s">
        <v>1571</v>
      </c>
      <c r="C4378" t="s">
        <v>7589</v>
      </c>
      <c r="D4378" t="s">
        <v>17445</v>
      </c>
      <c r="E4378" t="s">
        <v>17715</v>
      </c>
      <c r="F4378" t="s">
        <v>30052</v>
      </c>
      <c r="G4378" t="s">
        <v>30058</v>
      </c>
      <c r="H4378" t="s">
        <v>15498</v>
      </c>
      <c r="I4378" t="s">
        <v>30092</v>
      </c>
      <c r="J4378" t="s">
        <v>33021</v>
      </c>
      <c r="K4378" t="s">
        <v>39029</v>
      </c>
      <c r="M4378" t="s">
        <v>40962</v>
      </c>
      <c r="N4378" t="s">
        <v>43166</v>
      </c>
      <c r="O4378" t="s">
        <v>43167</v>
      </c>
      <c r="P4378">
        <v>0</v>
      </c>
      <c r="Q4378">
        <v>2</v>
      </c>
      <c r="R4378" t="s">
        <v>43171</v>
      </c>
      <c r="S4378" t="s">
        <v>43311</v>
      </c>
      <c r="T4378" t="s">
        <v>44718</v>
      </c>
      <c r="U4378" t="s">
        <v>48777</v>
      </c>
      <c r="W4378" t="s">
        <v>40962</v>
      </c>
      <c r="X4378" t="s">
        <v>43172</v>
      </c>
    </row>
    <row r="4379" spans="1:24">
      <c r="A4379">
        <f>HYPERLINK("https://www.philgeps.gov.ph/GEPSNONPILOT/Tender/SplashBidNoticeAbstractUI.aspx?menuIndex=3&amp;refID=7083998&amp;Result=3","7083998")</f>
        <v>0</v>
      </c>
      <c r="B4379" t="s">
        <v>1544</v>
      </c>
      <c r="C4379" t="s">
        <v>7590</v>
      </c>
      <c r="D4379" t="s">
        <v>17446</v>
      </c>
      <c r="E4379" t="s">
        <v>21308</v>
      </c>
      <c r="F4379" t="s">
        <v>30052</v>
      </c>
      <c r="G4379" t="s">
        <v>30059</v>
      </c>
      <c r="H4379" t="s">
        <v>15498</v>
      </c>
      <c r="I4379" t="s">
        <v>30080</v>
      </c>
      <c r="J4379" t="s">
        <v>33022</v>
      </c>
      <c r="K4379" t="s">
        <v>39029</v>
      </c>
      <c r="M4379" t="s">
        <v>40932</v>
      </c>
      <c r="N4379" t="s">
        <v>43166</v>
      </c>
      <c r="O4379" t="s">
        <v>43167</v>
      </c>
      <c r="P4379">
        <v>0</v>
      </c>
      <c r="Q4379">
        <v>2</v>
      </c>
      <c r="R4379" t="s">
        <v>43171</v>
      </c>
      <c r="S4379" t="s">
        <v>43311</v>
      </c>
      <c r="T4379" t="s">
        <v>44717</v>
      </c>
      <c r="U4379" t="s">
        <v>48735</v>
      </c>
      <c r="W4379" t="s">
        <v>40932</v>
      </c>
      <c r="X4379" t="s">
        <v>43172</v>
      </c>
    </row>
    <row r="4380" spans="1:24">
      <c r="A4380">
        <f>HYPERLINK("https://www.philgeps.gov.ph/GEPSNONPILOT/Tender/SplashBidNoticeAbstractUI.aspx?menuIndex=3&amp;refID=7083071&amp;Result=3","7083071")</f>
        <v>0</v>
      </c>
      <c r="B4380" t="s">
        <v>1572</v>
      </c>
      <c r="C4380" t="s">
        <v>7591</v>
      </c>
      <c r="D4380" t="s">
        <v>17476</v>
      </c>
      <c r="E4380" t="s">
        <v>19655</v>
      </c>
      <c r="F4380" t="s">
        <v>30052</v>
      </c>
      <c r="G4380" t="s">
        <v>30061</v>
      </c>
      <c r="H4380" t="s">
        <v>15498</v>
      </c>
      <c r="I4380" t="s">
        <v>30076</v>
      </c>
      <c r="J4380" t="s">
        <v>30755</v>
      </c>
      <c r="K4380" t="s">
        <v>39017</v>
      </c>
      <c r="M4380" t="s">
        <v>40963</v>
      </c>
      <c r="N4380" t="s">
        <v>43166</v>
      </c>
      <c r="O4380" t="s">
        <v>43167</v>
      </c>
      <c r="P4380">
        <v>0</v>
      </c>
      <c r="Q4380">
        <v>1</v>
      </c>
      <c r="R4380" t="s">
        <v>43171</v>
      </c>
      <c r="S4380" t="s">
        <v>43311</v>
      </c>
      <c r="T4380" t="s">
        <v>44841</v>
      </c>
      <c r="U4380" t="s">
        <v>48778</v>
      </c>
      <c r="W4380" t="s">
        <v>40963</v>
      </c>
      <c r="X4380" t="s">
        <v>43172</v>
      </c>
    </row>
    <row r="4381" spans="1:24">
      <c r="A4381">
        <f>HYPERLINK("https://www.philgeps.gov.ph/GEPSNONPILOT/Tender/SplashBidNoticeAbstractUI.aspx?menuIndex=3&amp;refID=7083928&amp;Result=3","7083928")</f>
        <v>0</v>
      </c>
      <c r="B4381" t="s">
        <v>919</v>
      </c>
      <c r="C4381" t="s">
        <v>7592</v>
      </c>
      <c r="E4381" t="s">
        <v>21309</v>
      </c>
      <c r="F4381" t="s">
        <v>30052</v>
      </c>
      <c r="G4381" t="s">
        <v>30058</v>
      </c>
      <c r="H4381" t="s">
        <v>30067</v>
      </c>
      <c r="I4381" t="s">
        <v>3693</v>
      </c>
      <c r="J4381" t="s">
        <v>33011</v>
      </c>
      <c r="K4381" t="s">
        <v>39025</v>
      </c>
      <c r="M4381" t="s">
        <v>40242</v>
      </c>
      <c r="N4381" t="s">
        <v>43166</v>
      </c>
      <c r="O4381" t="s">
        <v>43167</v>
      </c>
      <c r="P4381">
        <v>0</v>
      </c>
      <c r="Q4381">
        <v>0</v>
      </c>
      <c r="R4381" t="s">
        <v>43171</v>
      </c>
      <c r="S4381" t="s">
        <v>43311</v>
      </c>
      <c r="T4381" t="s">
        <v>44842</v>
      </c>
      <c r="U4381" t="s">
        <v>48779</v>
      </c>
      <c r="W4381" t="s">
        <v>43101</v>
      </c>
      <c r="X4381" t="s">
        <v>43172</v>
      </c>
    </row>
    <row r="4382" spans="1:24">
      <c r="A4382">
        <f>HYPERLINK("https://www.philgeps.gov.ph/GEPSNONPILOT/Tender/SplashBidNoticeAbstractUI.aspx?menuIndex=3&amp;refID=7084061&amp;Result=3","7084061")</f>
        <v>0</v>
      </c>
      <c r="B4382" t="s">
        <v>919</v>
      </c>
      <c r="C4382" t="s">
        <v>7593</v>
      </c>
      <c r="E4382" t="s">
        <v>21310</v>
      </c>
      <c r="F4382" t="s">
        <v>30052</v>
      </c>
      <c r="G4382" t="s">
        <v>30058</v>
      </c>
      <c r="H4382" t="s">
        <v>30067</v>
      </c>
      <c r="I4382" t="s">
        <v>3693</v>
      </c>
      <c r="J4382" t="s">
        <v>32979</v>
      </c>
      <c r="K4382" t="s">
        <v>39025</v>
      </c>
      <c r="M4382" t="s">
        <v>40242</v>
      </c>
      <c r="N4382" t="s">
        <v>43166</v>
      </c>
      <c r="O4382" t="s">
        <v>43167</v>
      </c>
      <c r="P4382">
        <v>0</v>
      </c>
      <c r="Q4382">
        <v>0</v>
      </c>
      <c r="R4382" t="s">
        <v>43171</v>
      </c>
      <c r="S4382" t="s">
        <v>43311</v>
      </c>
      <c r="T4382" t="s">
        <v>44842</v>
      </c>
      <c r="U4382" t="s">
        <v>48780</v>
      </c>
      <c r="W4382" t="s">
        <v>43101</v>
      </c>
      <c r="X4382" t="s">
        <v>43172</v>
      </c>
    </row>
    <row r="4383" spans="1:24">
      <c r="A4383">
        <f>HYPERLINK("https://www.philgeps.gov.ph/GEPSNONPILOT/Tender/SplashBidNoticeAbstractUI.aspx?menuIndex=3&amp;refID=7083929&amp;Result=3","7083929")</f>
        <v>0</v>
      </c>
      <c r="B4383" t="s">
        <v>131</v>
      </c>
      <c r="C4383" t="s">
        <v>7594</v>
      </c>
      <c r="D4383" t="s">
        <v>17424</v>
      </c>
      <c r="E4383" t="s">
        <v>21311</v>
      </c>
      <c r="F4383" t="s">
        <v>30052</v>
      </c>
      <c r="G4383" t="s">
        <v>30059</v>
      </c>
      <c r="H4383" t="s">
        <v>15498</v>
      </c>
      <c r="I4383" t="s">
        <v>30073</v>
      </c>
      <c r="J4383" t="s">
        <v>33023</v>
      </c>
      <c r="K4383" t="s">
        <v>39025</v>
      </c>
      <c r="M4383" t="s">
        <v>39420</v>
      </c>
      <c r="N4383" t="s">
        <v>43166</v>
      </c>
      <c r="O4383" t="s">
        <v>43167</v>
      </c>
      <c r="P4383">
        <v>0</v>
      </c>
      <c r="Q4383">
        <v>0</v>
      </c>
      <c r="R4383" t="s">
        <v>43171</v>
      </c>
      <c r="S4383" t="s">
        <v>43311</v>
      </c>
      <c r="T4383" t="s">
        <v>44837</v>
      </c>
      <c r="U4383" t="s">
        <v>48781</v>
      </c>
      <c r="W4383" t="s">
        <v>39420</v>
      </c>
      <c r="X4383" t="s">
        <v>43172</v>
      </c>
    </row>
    <row r="4384" spans="1:24">
      <c r="A4384">
        <f>HYPERLINK("https://www.philgeps.gov.ph/GEPSNONPILOT/Tender/SplashBidNoticeAbstractUI.aspx?menuIndex=3&amp;refID=7084060&amp;Result=3","7084060")</f>
        <v>0</v>
      </c>
      <c r="B4384" t="s">
        <v>1520</v>
      </c>
      <c r="C4384" t="s">
        <v>7595</v>
      </c>
      <c r="D4384" t="s">
        <v>17423</v>
      </c>
      <c r="E4384" t="s">
        <v>21312</v>
      </c>
      <c r="F4384" t="s">
        <v>30056</v>
      </c>
      <c r="G4384" t="s">
        <v>30059</v>
      </c>
      <c r="H4384" t="s">
        <v>15498</v>
      </c>
      <c r="I4384" t="s">
        <v>30074</v>
      </c>
      <c r="J4384" t="s">
        <v>30230</v>
      </c>
      <c r="K4384" t="s">
        <v>39017</v>
      </c>
      <c r="M4384" t="s">
        <v>40906</v>
      </c>
      <c r="N4384" t="s">
        <v>43166</v>
      </c>
      <c r="O4384" t="s">
        <v>43167</v>
      </c>
      <c r="P4384">
        <v>0</v>
      </c>
      <c r="Q4384">
        <v>1</v>
      </c>
      <c r="R4384" t="s">
        <v>43171</v>
      </c>
      <c r="S4384" t="s">
        <v>43311</v>
      </c>
      <c r="T4384" t="s">
        <v>44806</v>
      </c>
      <c r="U4384" t="s">
        <v>48782</v>
      </c>
      <c r="W4384" t="s">
        <v>40906</v>
      </c>
      <c r="X4384" t="s">
        <v>43172</v>
      </c>
    </row>
    <row r="4385" spans="1:24">
      <c r="A4385">
        <f>HYPERLINK("https://www.philgeps.gov.ph/GEPSNONPILOT/Tender/SplashBidNoticeAbstractUI.aspx?menuIndex=3&amp;refID=7083954&amp;Result=3","7083954")</f>
        <v>0</v>
      </c>
      <c r="B4385" t="s">
        <v>1549</v>
      </c>
      <c r="C4385" t="s">
        <v>7596</v>
      </c>
      <c r="D4385" t="s">
        <v>17429</v>
      </c>
      <c r="E4385" t="s">
        <v>21313</v>
      </c>
      <c r="F4385" t="s">
        <v>30052</v>
      </c>
      <c r="G4385" t="s">
        <v>30058</v>
      </c>
      <c r="H4385" t="s">
        <v>30067</v>
      </c>
      <c r="I4385" t="s">
        <v>3693</v>
      </c>
      <c r="J4385" t="s">
        <v>30247</v>
      </c>
      <c r="K4385" t="s">
        <v>39026</v>
      </c>
      <c r="L4385" t="s">
        <v>1549</v>
      </c>
      <c r="M4385" t="s">
        <v>40937</v>
      </c>
      <c r="N4385" t="s">
        <v>43166</v>
      </c>
      <c r="O4385" t="s">
        <v>43167</v>
      </c>
      <c r="P4385">
        <v>0</v>
      </c>
      <c r="Q4385">
        <v>0</v>
      </c>
      <c r="R4385" t="s">
        <v>43171</v>
      </c>
      <c r="S4385" t="s">
        <v>43311</v>
      </c>
      <c r="T4385" t="s">
        <v>44715</v>
      </c>
      <c r="U4385" t="s">
        <v>48783</v>
      </c>
      <c r="W4385" t="s">
        <v>40937</v>
      </c>
      <c r="X4385" t="s">
        <v>43172</v>
      </c>
    </row>
    <row r="4386" spans="1:24">
      <c r="A4386">
        <f>HYPERLINK("https://www.philgeps.gov.ph/GEPSNONPILOT/Tender/SplashBidNoticeAbstractUI.aspx?menuIndex=3&amp;refID=7083073&amp;Result=3","7083073")</f>
        <v>0</v>
      </c>
      <c r="B4386" t="s">
        <v>797</v>
      </c>
      <c r="C4386" t="s">
        <v>7597</v>
      </c>
      <c r="D4386" t="s">
        <v>17500</v>
      </c>
      <c r="E4386" t="s">
        <v>21314</v>
      </c>
      <c r="F4386" t="s">
        <v>30052</v>
      </c>
      <c r="G4386" t="s">
        <v>30058</v>
      </c>
      <c r="H4386" t="s">
        <v>15498</v>
      </c>
      <c r="I4386" t="s">
        <v>30144</v>
      </c>
      <c r="J4386" t="s">
        <v>33024</v>
      </c>
      <c r="K4386" t="s">
        <v>39031</v>
      </c>
      <c r="M4386" t="s">
        <v>40114</v>
      </c>
      <c r="N4386" t="s">
        <v>43166</v>
      </c>
      <c r="O4386" t="s">
        <v>43167</v>
      </c>
      <c r="P4386">
        <v>0</v>
      </c>
      <c r="Q4386">
        <v>0</v>
      </c>
      <c r="R4386" t="s">
        <v>43171</v>
      </c>
      <c r="S4386" t="s">
        <v>43311</v>
      </c>
      <c r="T4386" t="s">
        <v>44934</v>
      </c>
      <c r="U4386" t="s">
        <v>48784</v>
      </c>
      <c r="W4386" t="s">
        <v>40114</v>
      </c>
      <c r="X4386" t="s">
        <v>43172</v>
      </c>
    </row>
    <row r="4387" spans="1:24">
      <c r="A4387">
        <f>HYPERLINK("https://www.philgeps.gov.ph/GEPSNONPILOT/Tender/SplashBidNoticeAbstractUI.aspx?menuIndex=3&amp;refID=7084056&amp;Result=3","7084056")</f>
        <v>0</v>
      </c>
      <c r="B4387" t="s">
        <v>1568</v>
      </c>
      <c r="C4387" t="s">
        <v>7598</v>
      </c>
      <c r="D4387" t="s">
        <v>17456</v>
      </c>
      <c r="E4387" t="s">
        <v>21315</v>
      </c>
      <c r="F4387" t="s">
        <v>30052</v>
      </c>
      <c r="G4387" t="s">
        <v>30059</v>
      </c>
      <c r="H4387" t="s">
        <v>15498</v>
      </c>
      <c r="I4387" t="s">
        <v>30097</v>
      </c>
      <c r="J4387" t="s">
        <v>33025</v>
      </c>
      <c r="K4387" t="s">
        <v>39029</v>
      </c>
      <c r="M4387" t="s">
        <v>40958</v>
      </c>
      <c r="N4387" t="s">
        <v>43166</v>
      </c>
      <c r="O4387" t="s">
        <v>43167</v>
      </c>
      <c r="P4387">
        <v>0</v>
      </c>
      <c r="Q4387">
        <v>8</v>
      </c>
      <c r="R4387" t="s">
        <v>43171</v>
      </c>
      <c r="S4387" t="s">
        <v>43311</v>
      </c>
      <c r="T4387" t="s">
        <v>44732</v>
      </c>
      <c r="U4387" t="s">
        <v>48785</v>
      </c>
      <c r="V4387" t="s">
        <v>57305</v>
      </c>
      <c r="W4387" t="s">
        <v>40958</v>
      </c>
      <c r="X4387" t="s">
        <v>43172</v>
      </c>
    </row>
    <row r="4388" spans="1:24">
      <c r="A4388">
        <f>HYPERLINK("https://www.philgeps.gov.ph/GEPSNONPILOT/Tender/SplashBidNoticeAbstractUI.aspx?menuIndex=3&amp;refID=7084053&amp;Result=3","7084053")</f>
        <v>0</v>
      </c>
      <c r="B4388" t="s">
        <v>1573</v>
      </c>
      <c r="C4388" t="s">
        <v>7599</v>
      </c>
      <c r="D4388" t="s">
        <v>17438</v>
      </c>
      <c r="E4388" t="s">
        <v>21316</v>
      </c>
      <c r="F4388" t="s">
        <v>30052</v>
      </c>
      <c r="G4388" t="s">
        <v>30058</v>
      </c>
      <c r="H4388" t="s">
        <v>15498</v>
      </c>
      <c r="I4388" t="s">
        <v>3736</v>
      </c>
      <c r="J4388" t="s">
        <v>33026</v>
      </c>
      <c r="K4388" t="s">
        <v>39029</v>
      </c>
      <c r="M4388" t="s">
        <v>40964</v>
      </c>
      <c r="N4388" t="s">
        <v>43166</v>
      </c>
      <c r="O4388" t="s">
        <v>43167</v>
      </c>
      <c r="P4388">
        <v>0</v>
      </c>
      <c r="Q4388">
        <v>0</v>
      </c>
      <c r="R4388" t="s">
        <v>43171</v>
      </c>
      <c r="S4388" t="s">
        <v>43311</v>
      </c>
      <c r="T4388" t="s">
        <v>44787</v>
      </c>
      <c r="U4388" t="s">
        <v>48786</v>
      </c>
      <c r="V4388" t="s">
        <v>57308</v>
      </c>
      <c r="W4388" t="s">
        <v>40964</v>
      </c>
      <c r="X4388" t="s">
        <v>43172</v>
      </c>
    </row>
    <row r="4389" spans="1:24">
      <c r="A4389">
        <f>HYPERLINK("https://www.philgeps.gov.ph/GEPSNONPILOT/Tender/SplashBidNoticeAbstractUI.aspx?menuIndex=3&amp;refID=7084052&amp;Result=3","7084052")</f>
        <v>0</v>
      </c>
      <c r="B4389" t="s">
        <v>1250</v>
      </c>
      <c r="C4389" t="s">
        <v>7600</v>
      </c>
      <c r="D4389" t="s">
        <v>17415</v>
      </c>
      <c r="E4389" t="s">
        <v>21317</v>
      </c>
      <c r="F4389" t="s">
        <v>30052</v>
      </c>
      <c r="G4389" t="s">
        <v>30061</v>
      </c>
      <c r="H4389" t="s">
        <v>15498</v>
      </c>
      <c r="I4389" t="s">
        <v>30076</v>
      </c>
      <c r="J4389" t="s">
        <v>30230</v>
      </c>
      <c r="K4389" t="s">
        <v>39018</v>
      </c>
      <c r="M4389" t="s">
        <v>40965</v>
      </c>
      <c r="N4389" t="s">
        <v>43166</v>
      </c>
      <c r="O4389" t="s">
        <v>43167</v>
      </c>
      <c r="P4389">
        <v>0</v>
      </c>
      <c r="Q4389">
        <v>1</v>
      </c>
      <c r="R4389" t="s">
        <v>43171</v>
      </c>
      <c r="S4389" t="s">
        <v>43311</v>
      </c>
      <c r="T4389" t="s">
        <v>44837</v>
      </c>
      <c r="U4389" t="s">
        <v>48787</v>
      </c>
      <c r="V4389" t="s">
        <v>56888</v>
      </c>
      <c r="W4389" t="s">
        <v>40965</v>
      </c>
      <c r="X4389" t="s">
        <v>43172</v>
      </c>
    </row>
    <row r="4390" spans="1:24">
      <c r="A4390">
        <f>HYPERLINK("https://www.philgeps.gov.ph/GEPSNONPILOT/Tender/SplashBidNoticeAbstractUI.aspx?menuIndex=3&amp;refID=7084050&amp;Result=3","7084050")</f>
        <v>0</v>
      </c>
      <c r="B4390" t="s">
        <v>900</v>
      </c>
      <c r="C4390" t="s">
        <v>7601</v>
      </c>
      <c r="D4390" t="s">
        <v>17443</v>
      </c>
      <c r="E4390" t="s">
        <v>21318</v>
      </c>
      <c r="F4390" t="s">
        <v>30052</v>
      </c>
      <c r="G4390" t="s">
        <v>30059</v>
      </c>
      <c r="H4390" t="s">
        <v>15498</v>
      </c>
      <c r="I4390" t="s">
        <v>3852</v>
      </c>
      <c r="J4390" t="s">
        <v>33027</v>
      </c>
      <c r="K4390" t="s">
        <v>39017</v>
      </c>
      <c r="M4390" t="s">
        <v>40219</v>
      </c>
      <c r="N4390" t="s">
        <v>43166</v>
      </c>
      <c r="O4390" t="s">
        <v>43167</v>
      </c>
      <c r="P4390">
        <v>0</v>
      </c>
      <c r="Q4390">
        <v>0</v>
      </c>
      <c r="R4390" t="s">
        <v>43171</v>
      </c>
      <c r="S4390" t="s">
        <v>43311</v>
      </c>
      <c r="T4390" t="s">
        <v>44856</v>
      </c>
      <c r="U4390" t="s">
        <v>46989</v>
      </c>
      <c r="W4390" t="s">
        <v>40219</v>
      </c>
      <c r="X4390" t="s">
        <v>43172</v>
      </c>
    </row>
    <row r="4391" spans="1:24">
      <c r="A4391">
        <f>HYPERLINK("https://www.philgeps.gov.ph/GEPSNONPILOT/Tender/SplashBidNoticeAbstractUI.aspx?menuIndex=3&amp;refID=7084047&amp;Result=3","7084047")</f>
        <v>0</v>
      </c>
      <c r="B4391" t="s">
        <v>701</v>
      </c>
      <c r="C4391" t="s">
        <v>7602</v>
      </c>
      <c r="D4391" t="s">
        <v>17419</v>
      </c>
      <c r="E4391" t="s">
        <v>21319</v>
      </c>
      <c r="F4391" t="s">
        <v>30052</v>
      </c>
      <c r="G4391" t="s">
        <v>30059</v>
      </c>
      <c r="H4391" t="s">
        <v>15498</v>
      </c>
      <c r="I4391" t="s">
        <v>3736</v>
      </c>
      <c r="J4391" t="s">
        <v>33028</v>
      </c>
      <c r="K4391" t="s">
        <v>39025</v>
      </c>
      <c r="M4391" t="s">
        <v>40010</v>
      </c>
      <c r="N4391" t="s">
        <v>43166</v>
      </c>
      <c r="O4391" t="s">
        <v>43167</v>
      </c>
      <c r="P4391">
        <v>0</v>
      </c>
      <c r="Q4391">
        <v>0</v>
      </c>
      <c r="R4391" t="s">
        <v>43171</v>
      </c>
      <c r="S4391" t="s">
        <v>43311</v>
      </c>
      <c r="T4391" t="s">
        <v>44717</v>
      </c>
      <c r="U4391" t="s">
        <v>48788</v>
      </c>
      <c r="W4391" t="s">
        <v>40010</v>
      </c>
      <c r="X4391" t="s">
        <v>43172</v>
      </c>
    </row>
    <row r="4392" spans="1:24">
      <c r="A4392">
        <f>HYPERLINK("https://www.philgeps.gov.ph/GEPSNONPILOT/Tender/SplashBidNoticeAbstractUI.aspx?menuIndex=3&amp;refID=7084058&amp;Result=3","7084058")</f>
        <v>0</v>
      </c>
      <c r="B4392" t="s">
        <v>1276</v>
      </c>
      <c r="C4392" t="s">
        <v>7603</v>
      </c>
      <c r="D4392" t="s">
        <v>17427</v>
      </c>
      <c r="E4392" t="s">
        <v>21320</v>
      </c>
      <c r="F4392" t="s">
        <v>30052</v>
      </c>
      <c r="G4392" t="s">
        <v>30059</v>
      </c>
      <c r="H4392" t="s">
        <v>15498</v>
      </c>
      <c r="I4392" t="s">
        <v>30171</v>
      </c>
      <c r="J4392" t="s">
        <v>32780</v>
      </c>
      <c r="K4392" t="s">
        <v>39036</v>
      </c>
      <c r="M4392" t="s">
        <v>40637</v>
      </c>
      <c r="N4392" t="s">
        <v>43166</v>
      </c>
      <c r="O4392" t="s">
        <v>43167</v>
      </c>
      <c r="P4392">
        <v>0</v>
      </c>
      <c r="Q4392">
        <v>0</v>
      </c>
      <c r="R4392" t="s">
        <v>43171</v>
      </c>
      <c r="S4392" t="s">
        <v>43311</v>
      </c>
      <c r="T4392" t="s">
        <v>44837</v>
      </c>
      <c r="U4392" t="s">
        <v>48789</v>
      </c>
      <c r="W4392" t="s">
        <v>40637</v>
      </c>
      <c r="X4392" t="s">
        <v>43172</v>
      </c>
    </row>
    <row r="4393" spans="1:24">
      <c r="A4393">
        <f>HYPERLINK("https://www.philgeps.gov.ph/GEPSNONPILOT/Tender/SplashBidNoticeAbstractUI.aspx?menuIndex=3&amp;refID=7084045&amp;Result=3","7084045")</f>
        <v>0</v>
      </c>
      <c r="B4393" t="s">
        <v>919</v>
      </c>
      <c r="C4393" t="s">
        <v>7604</v>
      </c>
      <c r="E4393" t="s">
        <v>21321</v>
      </c>
      <c r="F4393" t="s">
        <v>30052</v>
      </c>
      <c r="G4393" t="s">
        <v>30058</v>
      </c>
      <c r="H4393" t="s">
        <v>30067</v>
      </c>
      <c r="I4393" t="s">
        <v>3693</v>
      </c>
      <c r="J4393" t="s">
        <v>33011</v>
      </c>
      <c r="K4393" t="s">
        <v>39025</v>
      </c>
      <c r="M4393" t="s">
        <v>40242</v>
      </c>
      <c r="N4393" t="s">
        <v>43166</v>
      </c>
      <c r="O4393" t="s">
        <v>43167</v>
      </c>
      <c r="P4393">
        <v>0</v>
      </c>
      <c r="Q4393">
        <v>0</v>
      </c>
      <c r="R4393" t="s">
        <v>43171</v>
      </c>
      <c r="S4393" t="s">
        <v>43311</v>
      </c>
      <c r="T4393" t="s">
        <v>44842</v>
      </c>
      <c r="U4393" t="s">
        <v>48790</v>
      </c>
      <c r="W4393" t="s">
        <v>43101</v>
      </c>
      <c r="X4393" t="s">
        <v>43172</v>
      </c>
    </row>
    <row r="4394" spans="1:24">
      <c r="A4394">
        <f>HYPERLINK("https://www.philgeps.gov.ph/GEPSNONPILOT/Tender/SplashBidNoticeAbstractUI.aspx?menuIndex=3&amp;refID=7084043&amp;Result=3","7084043")</f>
        <v>0</v>
      </c>
      <c r="B4394" t="s">
        <v>1350</v>
      </c>
      <c r="C4394" t="s">
        <v>7605</v>
      </c>
      <c r="D4394" t="s">
        <v>17415</v>
      </c>
      <c r="E4394" t="s">
        <v>21322</v>
      </c>
      <c r="F4394" t="s">
        <v>30052</v>
      </c>
      <c r="G4394" t="s">
        <v>30058</v>
      </c>
      <c r="H4394" t="s">
        <v>15498</v>
      </c>
      <c r="I4394" t="s">
        <v>7228</v>
      </c>
      <c r="J4394" t="s">
        <v>33029</v>
      </c>
      <c r="K4394" t="s">
        <v>39025</v>
      </c>
      <c r="L4394" t="s">
        <v>1350</v>
      </c>
      <c r="M4394" t="s">
        <v>40719</v>
      </c>
      <c r="N4394" t="s">
        <v>43166</v>
      </c>
      <c r="O4394" t="s">
        <v>43167</v>
      </c>
      <c r="Q4394">
        <v>1</v>
      </c>
      <c r="R4394" t="s">
        <v>43171</v>
      </c>
      <c r="S4394" t="s">
        <v>43328</v>
      </c>
      <c r="T4394" t="s">
        <v>44789</v>
      </c>
      <c r="U4394" t="s">
        <v>48208</v>
      </c>
      <c r="W4394" t="s">
        <v>40719</v>
      </c>
      <c r="X4394" t="s">
        <v>43172</v>
      </c>
    </row>
    <row r="4395" spans="1:24">
      <c r="A4395">
        <f>HYPERLINK("https://www.philgeps.gov.ph/GEPSNONPILOT/Tender/SplashBidNoticeAbstractUI.aspx?menuIndex=3&amp;refID=7084051&amp;Result=3","7084051")</f>
        <v>0</v>
      </c>
      <c r="B4395" t="s">
        <v>1397</v>
      </c>
      <c r="C4395" t="s">
        <v>7606</v>
      </c>
      <c r="D4395" t="s">
        <v>17455</v>
      </c>
      <c r="E4395" t="s">
        <v>21323</v>
      </c>
      <c r="F4395" t="s">
        <v>30052</v>
      </c>
      <c r="G4395" t="s">
        <v>30060</v>
      </c>
      <c r="H4395" t="s">
        <v>15498</v>
      </c>
      <c r="I4395" t="s">
        <v>3736</v>
      </c>
      <c r="J4395" t="s">
        <v>33030</v>
      </c>
      <c r="K4395" t="s">
        <v>39034</v>
      </c>
      <c r="M4395" t="s">
        <v>40773</v>
      </c>
      <c r="N4395" t="s">
        <v>43166</v>
      </c>
      <c r="O4395" t="s">
        <v>43167</v>
      </c>
      <c r="P4395">
        <v>0</v>
      </c>
      <c r="Q4395">
        <v>0</v>
      </c>
      <c r="R4395" t="s">
        <v>43171</v>
      </c>
      <c r="S4395" t="s">
        <v>43311</v>
      </c>
      <c r="T4395" t="s">
        <v>44710</v>
      </c>
      <c r="U4395" t="s">
        <v>48791</v>
      </c>
      <c r="W4395" t="s">
        <v>40773</v>
      </c>
      <c r="X4395" t="s">
        <v>43172</v>
      </c>
    </row>
    <row r="4396" spans="1:24">
      <c r="A4396">
        <f>HYPERLINK("https://www.philgeps.gov.ph/GEPSNONPILOT/Tender/SplashBidNoticeAbstractUI.aspx?menuIndex=3&amp;refID=7084049&amp;Result=3","7084049")</f>
        <v>0</v>
      </c>
      <c r="B4396" t="s">
        <v>1561</v>
      </c>
      <c r="C4396" t="s">
        <v>7607</v>
      </c>
      <c r="D4396" t="s">
        <v>17445</v>
      </c>
      <c r="E4396" t="s">
        <v>21324</v>
      </c>
      <c r="F4396" t="s">
        <v>30052</v>
      </c>
      <c r="G4396" t="s">
        <v>30058</v>
      </c>
      <c r="H4396" t="s">
        <v>30067</v>
      </c>
      <c r="I4396" t="s">
        <v>3693</v>
      </c>
      <c r="J4396" t="s">
        <v>30230</v>
      </c>
      <c r="K4396" t="s">
        <v>39032</v>
      </c>
      <c r="M4396" t="s">
        <v>40950</v>
      </c>
      <c r="N4396" t="s">
        <v>43166</v>
      </c>
      <c r="O4396" t="s">
        <v>43167</v>
      </c>
      <c r="P4396">
        <v>0</v>
      </c>
      <c r="Q4396">
        <v>1</v>
      </c>
      <c r="R4396" t="s">
        <v>43171</v>
      </c>
      <c r="S4396" t="s">
        <v>43311</v>
      </c>
      <c r="T4396" t="s">
        <v>44758</v>
      </c>
      <c r="U4396" t="s">
        <v>48747</v>
      </c>
      <c r="W4396" t="s">
        <v>40950</v>
      </c>
      <c r="X4396" t="s">
        <v>43172</v>
      </c>
    </row>
    <row r="4397" spans="1:24">
      <c r="A4397">
        <f>HYPERLINK("https://www.philgeps.gov.ph/GEPSNONPILOT/Tender/SplashBidNoticeAbstractUI.aspx?menuIndex=3&amp;refID=7084040&amp;Result=3","7084040")</f>
        <v>0</v>
      </c>
      <c r="B4397" t="s">
        <v>1574</v>
      </c>
      <c r="C4397" t="s">
        <v>7608</v>
      </c>
      <c r="D4397" t="s">
        <v>17459</v>
      </c>
      <c r="E4397" t="s">
        <v>21325</v>
      </c>
      <c r="F4397" t="s">
        <v>30052</v>
      </c>
      <c r="G4397" t="s">
        <v>30059</v>
      </c>
      <c r="H4397" t="s">
        <v>15498</v>
      </c>
      <c r="I4397" t="s">
        <v>30071</v>
      </c>
      <c r="J4397" t="s">
        <v>33031</v>
      </c>
      <c r="K4397" t="s">
        <v>39018</v>
      </c>
      <c r="M4397" t="s">
        <v>40966</v>
      </c>
      <c r="N4397" t="s">
        <v>43166</v>
      </c>
      <c r="O4397" t="s">
        <v>43167</v>
      </c>
      <c r="P4397">
        <v>0</v>
      </c>
      <c r="Q4397">
        <v>0</v>
      </c>
      <c r="R4397" t="s">
        <v>43171</v>
      </c>
      <c r="S4397" t="s">
        <v>43311</v>
      </c>
      <c r="T4397" t="s">
        <v>44735</v>
      </c>
      <c r="U4397" t="s">
        <v>45625</v>
      </c>
      <c r="W4397" t="s">
        <v>40966</v>
      </c>
      <c r="X4397" t="s">
        <v>43172</v>
      </c>
    </row>
    <row r="4398" spans="1:24">
      <c r="A4398">
        <f>HYPERLINK("https://www.philgeps.gov.ph/GEPSNONPILOT/Tender/SplashBidNoticeAbstractUI.aspx?menuIndex=3&amp;refID=7084039&amp;Result=3","7084039")</f>
        <v>0</v>
      </c>
      <c r="B4398" t="s">
        <v>1190</v>
      </c>
      <c r="C4398" t="s">
        <v>7609</v>
      </c>
      <c r="D4398" t="s">
        <v>17415</v>
      </c>
      <c r="E4398" t="s">
        <v>21326</v>
      </c>
      <c r="F4398" t="s">
        <v>30052</v>
      </c>
      <c r="G4398" t="s">
        <v>30059</v>
      </c>
      <c r="H4398" t="s">
        <v>15498</v>
      </c>
      <c r="I4398" t="s">
        <v>3852</v>
      </c>
      <c r="J4398" t="s">
        <v>33032</v>
      </c>
      <c r="K4398" t="s">
        <v>39019</v>
      </c>
      <c r="M4398" t="s">
        <v>40543</v>
      </c>
      <c r="N4398" t="s">
        <v>43166</v>
      </c>
      <c r="O4398" t="s">
        <v>43167</v>
      </c>
      <c r="P4398">
        <v>0</v>
      </c>
      <c r="Q4398">
        <v>9</v>
      </c>
      <c r="R4398" t="s">
        <v>43171</v>
      </c>
      <c r="S4398" t="s">
        <v>43311</v>
      </c>
      <c r="T4398" t="s">
        <v>44732</v>
      </c>
      <c r="U4398" t="s">
        <v>48792</v>
      </c>
      <c r="W4398" t="s">
        <v>40543</v>
      </c>
      <c r="X4398" t="s">
        <v>43172</v>
      </c>
    </row>
    <row r="4399" spans="1:24">
      <c r="A4399">
        <f>HYPERLINK("https://www.philgeps.gov.ph/GEPSNONPILOT/Tender/SplashBidNoticeAbstractUI.aspx?menuIndex=3&amp;refID=7084044&amp;Result=3","7084044")</f>
        <v>0</v>
      </c>
      <c r="B4399" t="s">
        <v>1094</v>
      </c>
      <c r="C4399" t="s">
        <v>7610</v>
      </c>
      <c r="D4399" t="s">
        <v>17464</v>
      </c>
      <c r="E4399" t="s">
        <v>21327</v>
      </c>
      <c r="F4399" t="s">
        <v>30052</v>
      </c>
      <c r="G4399" t="s">
        <v>30059</v>
      </c>
      <c r="H4399" t="s">
        <v>15498</v>
      </c>
      <c r="I4399" t="s">
        <v>30111</v>
      </c>
      <c r="J4399" t="s">
        <v>30414</v>
      </c>
      <c r="K4399" t="s">
        <v>39017</v>
      </c>
      <c r="M4399" t="s">
        <v>40432</v>
      </c>
      <c r="N4399" t="s">
        <v>43166</v>
      </c>
      <c r="O4399" t="s">
        <v>43167</v>
      </c>
      <c r="P4399">
        <v>0</v>
      </c>
      <c r="Q4399">
        <v>6</v>
      </c>
      <c r="R4399" t="s">
        <v>43171</v>
      </c>
      <c r="S4399" t="s">
        <v>43311</v>
      </c>
      <c r="T4399" t="s">
        <v>44893</v>
      </c>
      <c r="U4399" t="s">
        <v>48793</v>
      </c>
      <c r="W4399" t="s">
        <v>40432</v>
      </c>
      <c r="X4399" t="s">
        <v>43172</v>
      </c>
    </row>
    <row r="4400" spans="1:24">
      <c r="A4400">
        <f>HYPERLINK("https://www.philgeps.gov.ph/GEPSNONPILOT/Tender/SplashBidNoticeAbstractUI.aspx?menuIndex=3&amp;refID=7084037&amp;Result=3","7084037")</f>
        <v>0</v>
      </c>
      <c r="B4400" t="s">
        <v>1250</v>
      </c>
      <c r="C4400" t="s">
        <v>7611</v>
      </c>
      <c r="D4400" t="s">
        <v>17415</v>
      </c>
      <c r="E4400" t="s">
        <v>21328</v>
      </c>
      <c r="F4400" t="s">
        <v>30052</v>
      </c>
      <c r="G4400" t="s">
        <v>30061</v>
      </c>
      <c r="H4400" t="s">
        <v>15498</v>
      </c>
      <c r="I4400" t="s">
        <v>30076</v>
      </c>
      <c r="J4400" t="s">
        <v>30551</v>
      </c>
      <c r="K4400" t="s">
        <v>39018</v>
      </c>
      <c r="M4400" t="s">
        <v>40965</v>
      </c>
      <c r="N4400" t="s">
        <v>43166</v>
      </c>
      <c r="O4400" t="s">
        <v>43167</v>
      </c>
      <c r="P4400">
        <v>0</v>
      </c>
      <c r="Q4400">
        <v>1</v>
      </c>
      <c r="R4400" t="s">
        <v>43171</v>
      </c>
      <c r="S4400" t="s">
        <v>43311</v>
      </c>
      <c r="T4400" t="s">
        <v>44837</v>
      </c>
      <c r="U4400" t="s">
        <v>48794</v>
      </c>
      <c r="V4400" t="s">
        <v>56888</v>
      </c>
      <c r="W4400" t="s">
        <v>40965</v>
      </c>
      <c r="X4400" t="s">
        <v>43172</v>
      </c>
    </row>
    <row r="4401" spans="1:24">
      <c r="A4401">
        <f>HYPERLINK("https://www.philgeps.gov.ph/GEPSNONPILOT/Tender/SplashBidNoticeAbstractUI.aspx?menuIndex=3&amp;refID=7083069&amp;Result=3","7083069")</f>
        <v>0</v>
      </c>
      <c r="B4401" t="s">
        <v>1339</v>
      </c>
      <c r="C4401" t="s">
        <v>7612</v>
      </c>
      <c r="D4401" t="s">
        <v>17474</v>
      </c>
      <c r="E4401" t="s">
        <v>21329</v>
      </c>
      <c r="F4401" t="s">
        <v>30052</v>
      </c>
      <c r="G4401" t="s">
        <v>30058</v>
      </c>
      <c r="H4401" t="s">
        <v>15498</v>
      </c>
      <c r="I4401" t="s">
        <v>30109</v>
      </c>
      <c r="J4401" t="s">
        <v>33033</v>
      </c>
      <c r="K4401" t="s">
        <v>39029</v>
      </c>
      <c r="M4401" t="s">
        <v>40706</v>
      </c>
      <c r="N4401" t="s">
        <v>43166</v>
      </c>
      <c r="O4401" t="s">
        <v>43167</v>
      </c>
      <c r="P4401">
        <v>0</v>
      </c>
      <c r="Q4401">
        <v>0</v>
      </c>
      <c r="R4401" t="s">
        <v>43171</v>
      </c>
      <c r="S4401" t="s">
        <v>43311</v>
      </c>
      <c r="T4401" t="s">
        <v>44704</v>
      </c>
      <c r="U4401" t="s">
        <v>48174</v>
      </c>
      <c r="V4401" t="s">
        <v>57248</v>
      </c>
      <c r="W4401" t="s">
        <v>40706</v>
      </c>
      <c r="X4401" t="s">
        <v>43172</v>
      </c>
    </row>
    <row r="4402" spans="1:24">
      <c r="A4402">
        <f>HYPERLINK("https://www.philgeps.gov.ph/GEPSNONPILOT/Tender/SplashBidNoticeAbstractUI.aspx?menuIndex=3&amp;refID=7083066&amp;Result=3","7083066")</f>
        <v>0</v>
      </c>
      <c r="B4402" t="s">
        <v>596</v>
      </c>
      <c r="C4402" t="s">
        <v>7613</v>
      </c>
      <c r="D4402" t="s">
        <v>17459</v>
      </c>
      <c r="E4402" t="s">
        <v>21330</v>
      </c>
      <c r="F4402" t="s">
        <v>30052</v>
      </c>
      <c r="G4402" t="s">
        <v>30059</v>
      </c>
      <c r="H4402" t="s">
        <v>15498</v>
      </c>
      <c r="I4402" t="s">
        <v>4650</v>
      </c>
      <c r="J4402" t="s">
        <v>33034</v>
      </c>
      <c r="K4402" t="s">
        <v>39037</v>
      </c>
      <c r="M4402" t="s">
        <v>39898</v>
      </c>
      <c r="N4402" t="s">
        <v>43166</v>
      </c>
      <c r="O4402" t="s">
        <v>43167</v>
      </c>
      <c r="P4402">
        <v>0</v>
      </c>
      <c r="Q4402">
        <v>1</v>
      </c>
      <c r="R4402" t="s">
        <v>43171</v>
      </c>
      <c r="S4402" t="s">
        <v>43311</v>
      </c>
      <c r="T4402" t="s">
        <v>44710</v>
      </c>
      <c r="U4402" t="s">
        <v>48795</v>
      </c>
      <c r="V4402" t="s">
        <v>56984</v>
      </c>
      <c r="W4402" t="s">
        <v>39898</v>
      </c>
      <c r="X4402" t="s">
        <v>43172</v>
      </c>
    </row>
    <row r="4403" spans="1:24">
      <c r="A4403">
        <f>HYPERLINK("https://www.philgeps.gov.ph/GEPSNONPILOT/Tender/SplashBidNoticeAbstractUI.aspx?menuIndex=3&amp;refID=7084041&amp;Result=3","7084041")</f>
        <v>0</v>
      </c>
      <c r="B4403" t="s">
        <v>131</v>
      </c>
      <c r="C4403" t="s">
        <v>7614</v>
      </c>
      <c r="D4403" t="s">
        <v>17424</v>
      </c>
      <c r="E4403" t="s">
        <v>21331</v>
      </c>
      <c r="F4403" t="s">
        <v>30052</v>
      </c>
      <c r="G4403" t="s">
        <v>30059</v>
      </c>
      <c r="H4403" t="s">
        <v>15498</v>
      </c>
      <c r="I4403" t="s">
        <v>30081</v>
      </c>
      <c r="J4403" t="s">
        <v>33035</v>
      </c>
      <c r="K4403" t="s">
        <v>39025</v>
      </c>
      <c r="M4403" t="s">
        <v>39420</v>
      </c>
      <c r="N4403" t="s">
        <v>43166</v>
      </c>
      <c r="O4403" t="s">
        <v>43167</v>
      </c>
      <c r="P4403">
        <v>0</v>
      </c>
      <c r="Q4403">
        <v>0</v>
      </c>
      <c r="R4403" t="s">
        <v>43171</v>
      </c>
      <c r="S4403" t="s">
        <v>43311</v>
      </c>
      <c r="T4403" t="s">
        <v>44837</v>
      </c>
      <c r="U4403" t="s">
        <v>48796</v>
      </c>
      <c r="W4403" t="s">
        <v>39420</v>
      </c>
      <c r="X4403" t="s">
        <v>43172</v>
      </c>
    </row>
    <row r="4404" spans="1:24">
      <c r="A4404">
        <f>HYPERLINK("https://www.philgeps.gov.ph/GEPSNONPILOT/Tender/SplashBidNoticeAbstractUI.aspx?menuIndex=3&amp;refID=7083065&amp;Result=3","7083065")</f>
        <v>0</v>
      </c>
      <c r="B4404" t="s">
        <v>1416</v>
      </c>
      <c r="C4404" t="s">
        <v>7615</v>
      </c>
      <c r="D4404" t="s">
        <v>17414</v>
      </c>
      <c r="E4404" t="s">
        <v>19555</v>
      </c>
      <c r="F4404" t="s">
        <v>30052</v>
      </c>
      <c r="G4404" t="s">
        <v>30058</v>
      </c>
      <c r="H4404" t="s">
        <v>15498</v>
      </c>
      <c r="I4404" t="s">
        <v>3736</v>
      </c>
      <c r="J4404" t="s">
        <v>33036</v>
      </c>
      <c r="K4404" t="s">
        <v>39037</v>
      </c>
      <c r="M4404" t="s">
        <v>40794</v>
      </c>
      <c r="N4404" t="s">
        <v>43166</v>
      </c>
      <c r="O4404" t="s">
        <v>43167</v>
      </c>
      <c r="P4404">
        <v>0</v>
      </c>
      <c r="Q4404">
        <v>0</v>
      </c>
      <c r="R4404" t="s">
        <v>43171</v>
      </c>
      <c r="S4404" t="s">
        <v>43311</v>
      </c>
      <c r="T4404" t="s">
        <v>44760</v>
      </c>
      <c r="U4404" t="s">
        <v>48797</v>
      </c>
      <c r="V4404" t="s">
        <v>57277</v>
      </c>
      <c r="W4404" t="s">
        <v>40794</v>
      </c>
      <c r="X4404" t="s">
        <v>43172</v>
      </c>
    </row>
    <row r="4405" spans="1:24">
      <c r="A4405">
        <f>HYPERLINK("https://www.philgeps.gov.ph/GEPSNONPILOT/Tender/SplashBidNoticeAbstractUI.aspx?menuIndex=3&amp;refID=7083063&amp;Result=3","7083063")</f>
        <v>0</v>
      </c>
      <c r="B4405" t="s">
        <v>1446</v>
      </c>
      <c r="C4405" t="s">
        <v>7616</v>
      </c>
      <c r="D4405" t="s">
        <v>17447</v>
      </c>
      <c r="E4405" t="s">
        <v>21332</v>
      </c>
      <c r="F4405" t="s">
        <v>30052</v>
      </c>
      <c r="G4405" t="s">
        <v>30058</v>
      </c>
      <c r="H4405" t="s">
        <v>30067</v>
      </c>
      <c r="I4405" t="s">
        <v>3693</v>
      </c>
      <c r="J4405" t="s">
        <v>33037</v>
      </c>
      <c r="K4405" t="s">
        <v>39058</v>
      </c>
      <c r="M4405" t="s">
        <v>40824</v>
      </c>
      <c r="N4405" t="s">
        <v>43166</v>
      </c>
      <c r="O4405" t="s">
        <v>43167</v>
      </c>
      <c r="P4405">
        <v>0</v>
      </c>
      <c r="Q4405">
        <v>2</v>
      </c>
      <c r="R4405" t="s">
        <v>43171</v>
      </c>
      <c r="S4405" t="s">
        <v>43311</v>
      </c>
      <c r="T4405" t="s">
        <v>44722</v>
      </c>
      <c r="U4405" t="s">
        <v>48423</v>
      </c>
      <c r="V4405" t="s">
        <v>57283</v>
      </c>
      <c r="W4405" t="s">
        <v>40824</v>
      </c>
      <c r="X4405" t="s">
        <v>43172</v>
      </c>
    </row>
    <row r="4406" spans="1:24">
      <c r="A4406">
        <f>HYPERLINK("https://www.philgeps.gov.ph/GEPSNONPILOT/Tender/SplashBidNoticeAbstractUI.aspx?menuIndex=3&amp;refID=7083062&amp;Result=3","7083062")</f>
        <v>0</v>
      </c>
      <c r="B4406" t="s">
        <v>1412</v>
      </c>
      <c r="C4406" t="s">
        <v>7617</v>
      </c>
      <c r="D4406" t="s">
        <v>17444</v>
      </c>
      <c r="E4406" t="s">
        <v>21333</v>
      </c>
      <c r="F4406" t="s">
        <v>30052</v>
      </c>
      <c r="G4406" t="s">
        <v>30058</v>
      </c>
      <c r="H4406" t="s">
        <v>30067</v>
      </c>
      <c r="I4406" t="s">
        <v>3693</v>
      </c>
      <c r="J4406" t="s">
        <v>30315</v>
      </c>
      <c r="K4406" t="s">
        <v>39046</v>
      </c>
      <c r="M4406" t="s">
        <v>40790</v>
      </c>
      <c r="N4406" t="s">
        <v>43166</v>
      </c>
      <c r="O4406" t="s">
        <v>43167</v>
      </c>
      <c r="P4406">
        <v>0</v>
      </c>
      <c r="Q4406">
        <v>0</v>
      </c>
      <c r="R4406" t="s">
        <v>43171</v>
      </c>
      <c r="S4406" t="s">
        <v>43311</v>
      </c>
      <c r="T4406" t="s">
        <v>44719</v>
      </c>
      <c r="U4406" t="s">
        <v>48365</v>
      </c>
      <c r="V4406" t="s">
        <v>57275</v>
      </c>
      <c r="W4406" t="s">
        <v>40790</v>
      </c>
      <c r="X4406" t="s">
        <v>43172</v>
      </c>
    </row>
    <row r="4407" spans="1:24">
      <c r="A4407">
        <f>HYPERLINK("https://www.philgeps.gov.ph/GEPSNONPILOT/Tender/SplashBidNoticeAbstractUI.aspx?menuIndex=3&amp;refID=7083028&amp;Result=3","7083028")</f>
        <v>0</v>
      </c>
      <c r="B4407" t="s">
        <v>1001</v>
      </c>
      <c r="C4407" t="s">
        <v>7618</v>
      </c>
      <c r="D4407" t="s">
        <v>17415</v>
      </c>
      <c r="E4407" t="s">
        <v>21334</v>
      </c>
      <c r="F4407" t="s">
        <v>30052</v>
      </c>
      <c r="G4407" t="s">
        <v>30059</v>
      </c>
      <c r="H4407" t="s">
        <v>15498</v>
      </c>
      <c r="I4407" t="s">
        <v>30137</v>
      </c>
      <c r="J4407" t="s">
        <v>33038</v>
      </c>
      <c r="K4407" t="s">
        <v>39029</v>
      </c>
      <c r="M4407" t="s">
        <v>40967</v>
      </c>
      <c r="N4407" t="s">
        <v>43166</v>
      </c>
      <c r="O4407" t="s">
        <v>43167</v>
      </c>
      <c r="P4407">
        <v>0</v>
      </c>
      <c r="Q4407">
        <v>1</v>
      </c>
      <c r="R4407" t="s">
        <v>43171</v>
      </c>
      <c r="S4407" t="s">
        <v>43311</v>
      </c>
      <c r="T4407" t="s">
        <v>44841</v>
      </c>
      <c r="U4407" t="s">
        <v>48798</v>
      </c>
      <c r="W4407" t="s">
        <v>40967</v>
      </c>
      <c r="X4407" t="s">
        <v>43172</v>
      </c>
    </row>
    <row r="4408" spans="1:24">
      <c r="A4408">
        <f>HYPERLINK("https://www.philgeps.gov.ph/GEPSNONPILOT/Tender/SplashBidNoticeAbstractUI.aspx?menuIndex=3&amp;refID=7084035&amp;Result=3","7084035")</f>
        <v>0</v>
      </c>
      <c r="B4408" t="s">
        <v>1564</v>
      </c>
      <c r="C4408" t="s">
        <v>7619</v>
      </c>
      <c r="D4408" t="s">
        <v>17440</v>
      </c>
      <c r="E4408" t="s">
        <v>21335</v>
      </c>
      <c r="F4408" t="s">
        <v>30052</v>
      </c>
      <c r="G4408" t="s">
        <v>30059</v>
      </c>
      <c r="H4408" t="s">
        <v>15498</v>
      </c>
      <c r="I4408" t="s">
        <v>7228</v>
      </c>
      <c r="J4408" t="s">
        <v>33039</v>
      </c>
      <c r="K4408" t="s">
        <v>39034</v>
      </c>
      <c r="M4408" t="s">
        <v>40953</v>
      </c>
      <c r="N4408" t="s">
        <v>43166</v>
      </c>
      <c r="O4408" t="s">
        <v>43167</v>
      </c>
      <c r="P4408">
        <v>0</v>
      </c>
      <c r="Q4408">
        <v>1</v>
      </c>
      <c r="R4408" t="s">
        <v>43171</v>
      </c>
      <c r="S4408" t="s">
        <v>43311</v>
      </c>
      <c r="T4408" t="s">
        <v>44714</v>
      </c>
      <c r="U4408" t="s">
        <v>48799</v>
      </c>
      <c r="W4408" t="s">
        <v>40953</v>
      </c>
      <c r="X4408" t="s">
        <v>43172</v>
      </c>
    </row>
    <row r="4409" spans="1:24">
      <c r="A4409">
        <f>HYPERLINK("https://www.philgeps.gov.ph/GEPSNONPILOT/Tender/SplashBidNoticeAbstractUI.aspx?menuIndex=3&amp;refID=7083068&amp;Result=3","7083068")</f>
        <v>0</v>
      </c>
      <c r="B4409" t="s">
        <v>1422</v>
      </c>
      <c r="C4409" t="s">
        <v>7620</v>
      </c>
      <c r="D4409" t="s">
        <v>17436</v>
      </c>
      <c r="E4409" t="s">
        <v>21336</v>
      </c>
      <c r="F4409" t="s">
        <v>30052</v>
      </c>
      <c r="G4409" t="s">
        <v>30059</v>
      </c>
      <c r="H4409" t="s">
        <v>15498</v>
      </c>
      <c r="I4409" t="s">
        <v>30100</v>
      </c>
      <c r="J4409" t="s">
        <v>33040</v>
      </c>
      <c r="K4409" t="s">
        <v>39019</v>
      </c>
      <c r="M4409" t="s">
        <v>40800</v>
      </c>
      <c r="N4409" t="s">
        <v>43166</v>
      </c>
      <c r="O4409" t="s">
        <v>43167</v>
      </c>
      <c r="P4409">
        <v>0</v>
      </c>
      <c r="Q4409">
        <v>0</v>
      </c>
      <c r="R4409" t="s">
        <v>43171</v>
      </c>
      <c r="S4409" t="s">
        <v>43311</v>
      </c>
      <c r="T4409" t="s">
        <v>44698</v>
      </c>
      <c r="U4409" t="s">
        <v>48384</v>
      </c>
      <c r="V4409" t="s">
        <v>57309</v>
      </c>
      <c r="W4409" t="s">
        <v>40800</v>
      </c>
      <c r="X4409" t="s">
        <v>43172</v>
      </c>
    </row>
    <row r="4410" spans="1:24">
      <c r="A4410">
        <f>HYPERLINK("https://www.philgeps.gov.ph/GEPSNONPILOT/Tender/SplashBidNoticeAbstractUI.aspx?menuIndex=3&amp;refID=7083026&amp;Result=3","7083026")</f>
        <v>0</v>
      </c>
      <c r="B4410" t="s">
        <v>121</v>
      </c>
      <c r="C4410" t="s">
        <v>7621</v>
      </c>
      <c r="D4410" t="s">
        <v>17440</v>
      </c>
      <c r="E4410" t="s">
        <v>21337</v>
      </c>
      <c r="F4410" t="s">
        <v>30052</v>
      </c>
      <c r="G4410" t="s">
        <v>30059</v>
      </c>
      <c r="H4410" t="s">
        <v>15498</v>
      </c>
      <c r="I4410" t="s">
        <v>4650</v>
      </c>
      <c r="J4410" t="s">
        <v>31146</v>
      </c>
      <c r="K4410" t="s">
        <v>39019</v>
      </c>
      <c r="M4410" t="s">
        <v>39410</v>
      </c>
      <c r="N4410" t="s">
        <v>43166</v>
      </c>
      <c r="O4410" t="s">
        <v>43167</v>
      </c>
      <c r="P4410">
        <v>0</v>
      </c>
      <c r="Q4410">
        <v>3</v>
      </c>
      <c r="R4410" t="s">
        <v>43171</v>
      </c>
      <c r="S4410" t="s">
        <v>43311</v>
      </c>
      <c r="T4410" t="s">
        <v>44992</v>
      </c>
      <c r="U4410" t="s">
        <v>48402</v>
      </c>
      <c r="W4410" t="s">
        <v>39410</v>
      </c>
      <c r="X4410" t="s">
        <v>43172</v>
      </c>
    </row>
    <row r="4411" spans="1:24">
      <c r="A4411">
        <f>HYPERLINK("https://www.philgeps.gov.ph/GEPSNONPILOT/Tender/SplashBidNoticeAbstractUI.aspx?menuIndex=3&amp;refID=7084091&amp;Result=3","7084091")</f>
        <v>0</v>
      </c>
      <c r="B4411" t="s">
        <v>1575</v>
      </c>
      <c r="C4411" t="s">
        <v>7622</v>
      </c>
      <c r="D4411" t="s">
        <v>17415</v>
      </c>
      <c r="E4411" t="s">
        <v>21338</v>
      </c>
      <c r="F4411" t="s">
        <v>30052</v>
      </c>
      <c r="G4411" t="s">
        <v>30059</v>
      </c>
      <c r="H4411" t="s">
        <v>15498</v>
      </c>
      <c r="I4411" t="s">
        <v>8323</v>
      </c>
      <c r="J4411" t="s">
        <v>33041</v>
      </c>
      <c r="K4411" t="s">
        <v>39018</v>
      </c>
      <c r="L4411" t="s">
        <v>1575</v>
      </c>
      <c r="M4411" t="s">
        <v>40968</v>
      </c>
      <c r="N4411" t="s">
        <v>43166</v>
      </c>
      <c r="O4411" t="s">
        <v>43167</v>
      </c>
      <c r="P4411">
        <v>0</v>
      </c>
      <c r="Q4411">
        <v>8</v>
      </c>
      <c r="R4411" t="s">
        <v>43171</v>
      </c>
      <c r="S4411" t="s">
        <v>43311</v>
      </c>
      <c r="T4411" t="s">
        <v>44735</v>
      </c>
      <c r="U4411" t="s">
        <v>48800</v>
      </c>
      <c r="V4411" t="s">
        <v>57310</v>
      </c>
      <c r="W4411" t="s">
        <v>40968</v>
      </c>
      <c r="X4411" t="s">
        <v>43172</v>
      </c>
    </row>
    <row r="4412" spans="1:24">
      <c r="A4412">
        <f>HYPERLINK("https://www.philgeps.gov.ph/GEPSNONPILOT/Tender/SplashBidNoticeAbstractUI.aspx?menuIndex=3&amp;refID=7084089&amp;Result=3","7084089")</f>
        <v>0</v>
      </c>
      <c r="B4412" t="s">
        <v>1568</v>
      </c>
      <c r="C4412" t="s">
        <v>7623</v>
      </c>
      <c r="D4412" t="s">
        <v>17456</v>
      </c>
      <c r="E4412" t="s">
        <v>21339</v>
      </c>
      <c r="F4412" t="s">
        <v>30052</v>
      </c>
      <c r="G4412" t="s">
        <v>30059</v>
      </c>
      <c r="H4412" t="s">
        <v>15498</v>
      </c>
      <c r="I4412" t="s">
        <v>30097</v>
      </c>
      <c r="J4412" t="s">
        <v>33042</v>
      </c>
      <c r="K4412" t="s">
        <v>39029</v>
      </c>
      <c r="M4412" t="s">
        <v>40958</v>
      </c>
      <c r="N4412" t="s">
        <v>43166</v>
      </c>
      <c r="O4412" t="s">
        <v>43167</v>
      </c>
      <c r="P4412">
        <v>0</v>
      </c>
      <c r="Q4412">
        <v>7</v>
      </c>
      <c r="R4412" t="s">
        <v>43171</v>
      </c>
      <c r="S4412" t="s">
        <v>43311</v>
      </c>
      <c r="T4412" t="s">
        <v>44714</v>
      </c>
      <c r="U4412" t="s">
        <v>48801</v>
      </c>
      <c r="V4412" t="s">
        <v>57305</v>
      </c>
      <c r="W4412" t="s">
        <v>40958</v>
      </c>
      <c r="X4412" t="s">
        <v>43172</v>
      </c>
    </row>
    <row r="4413" spans="1:24">
      <c r="A4413">
        <f>HYPERLINK("https://www.philgeps.gov.ph/GEPSNONPILOT/Tender/SplashBidNoticeAbstractUI.aspx?menuIndex=3&amp;refID=7084055&amp;Result=3","7084055")</f>
        <v>0</v>
      </c>
      <c r="B4413" t="s">
        <v>1576</v>
      </c>
      <c r="C4413" t="s">
        <v>7624</v>
      </c>
      <c r="D4413" t="s">
        <v>17415</v>
      </c>
      <c r="E4413" t="s">
        <v>21340</v>
      </c>
      <c r="F4413" t="s">
        <v>30052</v>
      </c>
      <c r="G4413" t="s">
        <v>30059</v>
      </c>
      <c r="H4413" t="s">
        <v>15498</v>
      </c>
      <c r="I4413" t="s">
        <v>3852</v>
      </c>
      <c r="J4413" t="s">
        <v>33043</v>
      </c>
      <c r="K4413" t="s">
        <v>39025</v>
      </c>
      <c r="M4413" t="s">
        <v>40969</v>
      </c>
      <c r="N4413" t="s">
        <v>43166</v>
      </c>
      <c r="O4413" t="s">
        <v>43167</v>
      </c>
      <c r="P4413">
        <v>0</v>
      </c>
      <c r="Q4413">
        <v>11</v>
      </c>
      <c r="R4413" t="s">
        <v>43171</v>
      </c>
      <c r="S4413" t="s">
        <v>43311</v>
      </c>
      <c r="T4413" t="s">
        <v>44894</v>
      </c>
      <c r="U4413" t="s">
        <v>48802</v>
      </c>
      <c r="V4413" t="s">
        <v>56845</v>
      </c>
      <c r="W4413" t="s">
        <v>40969</v>
      </c>
      <c r="X4413" t="s">
        <v>43172</v>
      </c>
    </row>
    <row r="4414" spans="1:24">
      <c r="A4414">
        <f>HYPERLINK("https://www.philgeps.gov.ph/GEPSNONPILOT/Tender/SplashBidNoticeAbstractUI.aspx?menuIndex=3&amp;refID=7083029&amp;Result=3","7083029")</f>
        <v>0</v>
      </c>
      <c r="B4414" t="s">
        <v>1427</v>
      </c>
      <c r="C4414" t="s">
        <v>7625</v>
      </c>
      <c r="E4414" t="s">
        <v>21341</v>
      </c>
      <c r="F4414" t="s">
        <v>30052</v>
      </c>
      <c r="G4414" t="s">
        <v>30058</v>
      </c>
      <c r="H4414" t="s">
        <v>30068</v>
      </c>
      <c r="I4414" t="s">
        <v>30068</v>
      </c>
      <c r="J4414" t="s">
        <v>30218</v>
      </c>
      <c r="K4414" t="s">
        <v>39025</v>
      </c>
      <c r="M4414" t="s">
        <v>40805</v>
      </c>
      <c r="N4414" t="s">
        <v>43166</v>
      </c>
      <c r="O4414" t="s">
        <v>43167</v>
      </c>
      <c r="P4414">
        <v>0</v>
      </c>
      <c r="Q4414">
        <v>3</v>
      </c>
      <c r="R4414" t="s">
        <v>43171</v>
      </c>
      <c r="S4414" t="s">
        <v>43311</v>
      </c>
      <c r="T4414" t="s">
        <v>44705</v>
      </c>
      <c r="U4414" t="s">
        <v>48803</v>
      </c>
      <c r="W4414" t="s">
        <v>40805</v>
      </c>
      <c r="X4414" t="s">
        <v>43172</v>
      </c>
    </row>
    <row r="4415" spans="1:24">
      <c r="A4415">
        <f>HYPERLINK("https://www.philgeps.gov.ph/GEPSNONPILOT/Tender/SplashBidNoticeAbstractUI.aspx?menuIndex=3&amp;refID=7084088&amp;Result=3","7084088")</f>
        <v>0</v>
      </c>
      <c r="B4415" t="s">
        <v>1208</v>
      </c>
      <c r="C4415" t="s">
        <v>7626</v>
      </c>
      <c r="D4415" t="s">
        <v>17441</v>
      </c>
      <c r="E4415" t="s">
        <v>21191</v>
      </c>
      <c r="F4415" t="s">
        <v>30052</v>
      </c>
      <c r="G4415" t="s">
        <v>30058</v>
      </c>
      <c r="H4415" t="s">
        <v>30067</v>
      </c>
      <c r="I4415" t="s">
        <v>3693</v>
      </c>
      <c r="J4415" t="s">
        <v>30277</v>
      </c>
      <c r="K4415" t="s">
        <v>39023</v>
      </c>
      <c r="L4415" t="s">
        <v>1208</v>
      </c>
      <c r="M4415" t="s">
        <v>40562</v>
      </c>
      <c r="N4415" t="s">
        <v>43166</v>
      </c>
      <c r="O4415" t="s">
        <v>43167</v>
      </c>
      <c r="P4415">
        <v>0</v>
      </c>
      <c r="Q4415">
        <v>5</v>
      </c>
      <c r="R4415" t="s">
        <v>43171</v>
      </c>
      <c r="S4415" t="s">
        <v>43311</v>
      </c>
      <c r="T4415" t="s">
        <v>44813</v>
      </c>
      <c r="U4415" t="s">
        <v>48743</v>
      </c>
      <c r="W4415" t="s">
        <v>40562</v>
      </c>
      <c r="X4415" t="s">
        <v>43172</v>
      </c>
    </row>
    <row r="4416" spans="1:24">
      <c r="A4416">
        <f>HYPERLINK("https://www.philgeps.gov.ph/GEPSNONPILOT/Tender/SplashBidNoticeAbstractUI.aspx?menuIndex=3&amp;refID=7084042&amp;Result=3","7084042")</f>
        <v>0</v>
      </c>
      <c r="B4416" t="s">
        <v>1208</v>
      </c>
      <c r="C4416" t="s">
        <v>7627</v>
      </c>
      <c r="D4416" t="s">
        <v>17441</v>
      </c>
      <c r="E4416" t="s">
        <v>21191</v>
      </c>
      <c r="F4416" t="s">
        <v>30052</v>
      </c>
      <c r="G4416" t="s">
        <v>30058</v>
      </c>
      <c r="H4416" t="s">
        <v>30067</v>
      </c>
      <c r="I4416" t="s">
        <v>3693</v>
      </c>
      <c r="J4416" t="s">
        <v>30252</v>
      </c>
      <c r="K4416" t="s">
        <v>39026</v>
      </c>
      <c r="L4416" t="s">
        <v>1208</v>
      </c>
      <c r="M4416" t="s">
        <v>40562</v>
      </c>
      <c r="N4416" t="s">
        <v>43166</v>
      </c>
      <c r="O4416" t="s">
        <v>43167</v>
      </c>
      <c r="P4416">
        <v>0</v>
      </c>
      <c r="Q4416">
        <v>5</v>
      </c>
      <c r="R4416" t="s">
        <v>43171</v>
      </c>
      <c r="S4416" t="s">
        <v>43311</v>
      </c>
      <c r="T4416" t="s">
        <v>44813</v>
      </c>
      <c r="U4416" t="s">
        <v>48743</v>
      </c>
      <c r="W4416" t="s">
        <v>40562</v>
      </c>
      <c r="X4416" t="s">
        <v>43172</v>
      </c>
    </row>
    <row r="4417" spans="1:24">
      <c r="A4417">
        <f>HYPERLINK("https://www.philgeps.gov.ph/GEPSNONPILOT/Tender/SplashBidNoticeAbstractUI.aspx?menuIndex=3&amp;refID=7084085&amp;Result=3","7084085")</f>
        <v>0</v>
      </c>
      <c r="B4417" t="s">
        <v>1577</v>
      </c>
      <c r="C4417" t="s">
        <v>7628</v>
      </c>
      <c r="D4417" t="s">
        <v>17458</v>
      </c>
      <c r="E4417" t="s">
        <v>21342</v>
      </c>
      <c r="F4417" t="s">
        <v>30052</v>
      </c>
      <c r="G4417" t="s">
        <v>30062</v>
      </c>
      <c r="H4417" t="s">
        <v>15498</v>
      </c>
      <c r="I4417" t="s">
        <v>30105</v>
      </c>
      <c r="J4417" t="s">
        <v>30354</v>
      </c>
      <c r="K4417" t="s">
        <v>39034</v>
      </c>
      <c r="M4417" t="s">
        <v>40970</v>
      </c>
      <c r="N4417" t="s">
        <v>43166</v>
      </c>
      <c r="O4417" t="s">
        <v>43167</v>
      </c>
      <c r="P4417">
        <v>0</v>
      </c>
      <c r="Q4417">
        <v>9</v>
      </c>
      <c r="R4417" t="s">
        <v>43171</v>
      </c>
      <c r="S4417" t="s">
        <v>43311</v>
      </c>
      <c r="T4417" t="s">
        <v>44691</v>
      </c>
      <c r="U4417" t="s">
        <v>48804</v>
      </c>
      <c r="W4417" t="s">
        <v>40970</v>
      </c>
      <c r="X4417" t="s">
        <v>43172</v>
      </c>
    </row>
    <row r="4418" spans="1:24">
      <c r="A4418">
        <f>HYPERLINK("https://www.philgeps.gov.ph/GEPSNONPILOT/Tender/SplashBidNoticeAbstractUI.aspx?menuIndex=3&amp;refID=7084083&amp;Result=3","7084083")</f>
        <v>0</v>
      </c>
      <c r="B4418" t="s">
        <v>765</v>
      </c>
      <c r="C4418" t="s">
        <v>7629</v>
      </c>
      <c r="D4418" t="s">
        <v>17468</v>
      </c>
      <c r="E4418" t="s">
        <v>21343</v>
      </c>
      <c r="F4418" t="s">
        <v>30052</v>
      </c>
      <c r="G4418" t="s">
        <v>30060</v>
      </c>
      <c r="H4418" t="s">
        <v>15498</v>
      </c>
      <c r="I4418" t="s">
        <v>3606</v>
      </c>
      <c r="J4418" t="s">
        <v>33044</v>
      </c>
      <c r="K4418" t="s">
        <v>39029</v>
      </c>
      <c r="M4418" t="s">
        <v>40079</v>
      </c>
      <c r="N4418" t="s">
        <v>43166</v>
      </c>
      <c r="O4418" t="s">
        <v>43167</v>
      </c>
      <c r="P4418">
        <v>0</v>
      </c>
      <c r="Q4418">
        <v>3</v>
      </c>
      <c r="R4418" t="s">
        <v>43171</v>
      </c>
      <c r="S4418" t="s">
        <v>43311</v>
      </c>
      <c r="T4418" t="s">
        <v>44891</v>
      </c>
      <c r="U4418" t="s">
        <v>48805</v>
      </c>
      <c r="W4418" t="s">
        <v>40079</v>
      </c>
      <c r="X4418" t="s">
        <v>43172</v>
      </c>
    </row>
    <row r="4419" spans="1:24">
      <c r="A4419">
        <f>HYPERLINK("https://www.philgeps.gov.ph/GEPSNONPILOT/Tender/SplashBidNoticeAbstractUI.aspx?menuIndex=3&amp;refID=7084090&amp;Result=3","7084090")</f>
        <v>0</v>
      </c>
      <c r="B4419" t="s">
        <v>1564</v>
      </c>
      <c r="C4419" t="s">
        <v>7630</v>
      </c>
      <c r="D4419" t="s">
        <v>17440</v>
      </c>
      <c r="E4419" t="s">
        <v>21344</v>
      </c>
      <c r="F4419" t="s">
        <v>30052</v>
      </c>
      <c r="G4419" t="s">
        <v>30058</v>
      </c>
      <c r="H4419" t="s">
        <v>15498</v>
      </c>
      <c r="I4419" t="s">
        <v>30076</v>
      </c>
      <c r="J4419" t="s">
        <v>33045</v>
      </c>
      <c r="K4419" t="s">
        <v>39059</v>
      </c>
      <c r="M4419" t="s">
        <v>40953</v>
      </c>
      <c r="N4419" t="s">
        <v>43166</v>
      </c>
      <c r="O4419" t="s">
        <v>43167</v>
      </c>
      <c r="P4419">
        <v>0</v>
      </c>
      <c r="Q4419">
        <v>14</v>
      </c>
      <c r="R4419" t="s">
        <v>43171</v>
      </c>
      <c r="S4419" t="s">
        <v>43311</v>
      </c>
      <c r="T4419" t="s">
        <v>44951</v>
      </c>
      <c r="U4419" t="s">
        <v>48806</v>
      </c>
      <c r="W4419" t="s">
        <v>40953</v>
      </c>
      <c r="X4419" t="s">
        <v>43172</v>
      </c>
    </row>
    <row r="4420" spans="1:24">
      <c r="A4420">
        <f>HYPERLINK("https://www.philgeps.gov.ph/GEPSNONPILOT/Tender/SplashBidNoticeAbstractUI.aspx?menuIndex=3&amp;refID=7084080&amp;Result=3","7084080")</f>
        <v>0</v>
      </c>
      <c r="B4420" t="s">
        <v>1145</v>
      </c>
      <c r="C4420" t="s">
        <v>7631</v>
      </c>
      <c r="D4420" t="s">
        <v>17465</v>
      </c>
      <c r="E4420" t="s">
        <v>19891</v>
      </c>
      <c r="F4420" t="s">
        <v>30052</v>
      </c>
      <c r="G4420" t="s">
        <v>30058</v>
      </c>
      <c r="H4420" t="s">
        <v>15498</v>
      </c>
      <c r="I4420" t="s">
        <v>3736</v>
      </c>
      <c r="J4420" t="s">
        <v>33046</v>
      </c>
      <c r="K4420" t="s">
        <v>39017</v>
      </c>
      <c r="M4420" t="s">
        <v>40488</v>
      </c>
      <c r="N4420" t="s">
        <v>43166</v>
      </c>
      <c r="O4420" t="s">
        <v>43167</v>
      </c>
      <c r="P4420">
        <v>0</v>
      </c>
      <c r="Q4420">
        <v>2</v>
      </c>
      <c r="R4420" t="s">
        <v>43171</v>
      </c>
      <c r="S4420" t="s">
        <v>43311</v>
      </c>
      <c r="T4420" t="s">
        <v>44847</v>
      </c>
      <c r="U4420" t="s">
        <v>48807</v>
      </c>
      <c r="W4420" t="s">
        <v>40488</v>
      </c>
      <c r="X4420" t="s">
        <v>43172</v>
      </c>
    </row>
    <row r="4421" spans="1:24">
      <c r="A4421">
        <f>HYPERLINK("https://www.philgeps.gov.ph/GEPSNONPILOT/Tender/SplashBidNoticeAbstractUI.aspx?menuIndex=3&amp;refID=7084087&amp;Result=3","7084087")</f>
        <v>0</v>
      </c>
      <c r="B4421" t="s">
        <v>1190</v>
      </c>
      <c r="C4421" t="s">
        <v>7632</v>
      </c>
      <c r="D4421" t="s">
        <v>17415</v>
      </c>
      <c r="E4421" t="s">
        <v>21345</v>
      </c>
      <c r="F4421" t="s">
        <v>30052</v>
      </c>
      <c r="G4421" t="s">
        <v>30062</v>
      </c>
      <c r="H4421" t="s">
        <v>15498</v>
      </c>
      <c r="I4421" t="s">
        <v>3736</v>
      </c>
      <c r="J4421" t="s">
        <v>33047</v>
      </c>
      <c r="K4421" t="s">
        <v>39019</v>
      </c>
      <c r="M4421" t="s">
        <v>40543</v>
      </c>
      <c r="N4421" t="s">
        <v>43166</v>
      </c>
      <c r="O4421" t="s">
        <v>43167</v>
      </c>
      <c r="P4421">
        <v>0</v>
      </c>
      <c r="Q4421">
        <v>2</v>
      </c>
      <c r="R4421" t="s">
        <v>43171</v>
      </c>
      <c r="S4421" t="s">
        <v>43311</v>
      </c>
      <c r="T4421" t="s">
        <v>44732</v>
      </c>
      <c r="U4421" t="s">
        <v>48808</v>
      </c>
      <c r="W4421" t="s">
        <v>40543</v>
      </c>
      <c r="X4421" t="s">
        <v>43172</v>
      </c>
    </row>
    <row r="4422" spans="1:24">
      <c r="A4422">
        <f>HYPERLINK("https://www.philgeps.gov.ph/GEPSNONPILOT/Tender/SplashBidNoticeAbstractUI.aspx?menuIndex=3&amp;refID=7084076&amp;Result=3","7084076")</f>
        <v>0</v>
      </c>
      <c r="B4422" t="s">
        <v>919</v>
      </c>
      <c r="C4422" t="s">
        <v>7633</v>
      </c>
      <c r="E4422" t="s">
        <v>21346</v>
      </c>
      <c r="F4422" t="s">
        <v>30052</v>
      </c>
      <c r="G4422" t="s">
        <v>30058</v>
      </c>
      <c r="H4422" t="s">
        <v>30067</v>
      </c>
      <c r="I4422" t="s">
        <v>3693</v>
      </c>
      <c r="J4422" t="s">
        <v>32979</v>
      </c>
      <c r="K4422" t="s">
        <v>39025</v>
      </c>
      <c r="M4422" t="s">
        <v>40242</v>
      </c>
      <c r="N4422" t="s">
        <v>43166</v>
      </c>
      <c r="O4422" t="s">
        <v>43167</v>
      </c>
      <c r="P4422">
        <v>0</v>
      </c>
      <c r="Q4422">
        <v>0</v>
      </c>
      <c r="R4422" t="s">
        <v>43171</v>
      </c>
      <c r="S4422" t="s">
        <v>43311</v>
      </c>
      <c r="T4422" t="s">
        <v>44842</v>
      </c>
      <c r="U4422" t="s">
        <v>48809</v>
      </c>
      <c r="W4422" t="s">
        <v>43101</v>
      </c>
      <c r="X4422" t="s">
        <v>43172</v>
      </c>
    </row>
    <row r="4423" spans="1:24">
      <c r="A4423">
        <f>HYPERLINK("https://www.philgeps.gov.ph/GEPSNONPILOT/Tender/SplashBidNoticeAbstractUI.aspx?menuIndex=3&amp;refID=7084074&amp;Result=3","7084074")</f>
        <v>0</v>
      </c>
      <c r="B4423" t="s">
        <v>1250</v>
      </c>
      <c r="C4423" t="s">
        <v>7634</v>
      </c>
      <c r="D4423" t="s">
        <v>17415</v>
      </c>
      <c r="E4423" t="s">
        <v>21347</v>
      </c>
      <c r="F4423" t="s">
        <v>30052</v>
      </c>
      <c r="G4423" t="s">
        <v>30061</v>
      </c>
      <c r="H4423" t="s">
        <v>15498</v>
      </c>
      <c r="I4423" t="s">
        <v>30076</v>
      </c>
      <c r="J4423" t="s">
        <v>31133</v>
      </c>
      <c r="K4423" t="s">
        <v>39018</v>
      </c>
      <c r="M4423" t="s">
        <v>40965</v>
      </c>
      <c r="N4423" t="s">
        <v>43166</v>
      </c>
      <c r="O4423" t="s">
        <v>43167</v>
      </c>
      <c r="P4423">
        <v>0</v>
      </c>
      <c r="Q4423">
        <v>2</v>
      </c>
      <c r="R4423" t="s">
        <v>43171</v>
      </c>
      <c r="S4423" t="s">
        <v>43311</v>
      </c>
      <c r="T4423" t="s">
        <v>44837</v>
      </c>
      <c r="U4423" t="s">
        <v>48810</v>
      </c>
      <c r="V4423" t="s">
        <v>56888</v>
      </c>
      <c r="W4423" t="s">
        <v>40965</v>
      </c>
      <c r="X4423" t="s">
        <v>43172</v>
      </c>
    </row>
    <row r="4424" spans="1:24">
      <c r="A4424">
        <f>HYPERLINK("https://www.philgeps.gov.ph/GEPSNONPILOT/Tender/SplashBidNoticeAbstractUI.aspx?menuIndex=3&amp;refID=7084084&amp;Result=3","7084084")</f>
        <v>0</v>
      </c>
      <c r="B4424" t="s">
        <v>1250</v>
      </c>
      <c r="C4424" t="s">
        <v>7635</v>
      </c>
      <c r="D4424" t="s">
        <v>17415</v>
      </c>
      <c r="E4424" t="s">
        <v>21348</v>
      </c>
      <c r="F4424" t="s">
        <v>30052</v>
      </c>
      <c r="G4424" t="s">
        <v>30061</v>
      </c>
      <c r="H4424" t="s">
        <v>15498</v>
      </c>
      <c r="I4424" t="s">
        <v>30076</v>
      </c>
      <c r="J4424" t="s">
        <v>30890</v>
      </c>
      <c r="K4424" t="s">
        <v>39018</v>
      </c>
      <c r="M4424" t="s">
        <v>40965</v>
      </c>
      <c r="N4424" t="s">
        <v>43166</v>
      </c>
      <c r="O4424" t="s">
        <v>43167</v>
      </c>
      <c r="P4424">
        <v>0</v>
      </c>
      <c r="Q4424">
        <v>1</v>
      </c>
      <c r="R4424" t="s">
        <v>43171</v>
      </c>
      <c r="S4424" t="s">
        <v>43311</v>
      </c>
      <c r="T4424" t="s">
        <v>44837</v>
      </c>
      <c r="U4424" t="s">
        <v>48811</v>
      </c>
      <c r="V4424" t="s">
        <v>56888</v>
      </c>
      <c r="W4424" t="s">
        <v>40965</v>
      </c>
      <c r="X4424" t="s">
        <v>43172</v>
      </c>
    </row>
    <row r="4425" spans="1:24">
      <c r="A4425">
        <f>HYPERLINK("https://www.philgeps.gov.ph/GEPSNONPILOT/Tender/SplashBidNoticeAbstractUI.aspx?menuIndex=3&amp;refID=7084068&amp;Result=3","7084068")</f>
        <v>0</v>
      </c>
      <c r="B4425" t="s">
        <v>1578</v>
      </c>
      <c r="C4425" t="s">
        <v>7636</v>
      </c>
      <c r="D4425" t="s">
        <v>17473</v>
      </c>
      <c r="E4425" t="s">
        <v>21349</v>
      </c>
      <c r="F4425" t="s">
        <v>30052</v>
      </c>
      <c r="G4425" t="s">
        <v>30059</v>
      </c>
      <c r="H4425" t="s">
        <v>15498</v>
      </c>
      <c r="I4425" t="s">
        <v>3736</v>
      </c>
      <c r="J4425" t="s">
        <v>33048</v>
      </c>
      <c r="K4425" t="s">
        <v>39019</v>
      </c>
      <c r="M4425" t="s">
        <v>40971</v>
      </c>
      <c r="N4425" t="s">
        <v>43166</v>
      </c>
      <c r="O4425" t="s">
        <v>43167</v>
      </c>
      <c r="P4425">
        <v>0</v>
      </c>
      <c r="Q4425">
        <v>0</v>
      </c>
      <c r="R4425" t="s">
        <v>43171</v>
      </c>
      <c r="S4425" t="s">
        <v>43311</v>
      </c>
      <c r="T4425" t="s">
        <v>44698</v>
      </c>
      <c r="U4425" t="s">
        <v>48812</v>
      </c>
      <c r="W4425" t="s">
        <v>40971</v>
      </c>
      <c r="X4425" t="s">
        <v>43172</v>
      </c>
    </row>
    <row r="4426" spans="1:24">
      <c r="A4426">
        <f>HYPERLINK("https://www.philgeps.gov.ph/GEPSNONPILOT/Tender/SplashBidNoticeAbstractUI.aspx?menuIndex=3&amp;refID=7083924&amp;Result=3","7083924")</f>
        <v>0</v>
      </c>
      <c r="B4426" t="s">
        <v>1579</v>
      </c>
      <c r="C4426" t="s">
        <v>7637</v>
      </c>
      <c r="D4426" t="s">
        <v>17429</v>
      </c>
      <c r="E4426" t="s">
        <v>21350</v>
      </c>
      <c r="F4426" t="s">
        <v>30052</v>
      </c>
      <c r="G4426" t="s">
        <v>30059</v>
      </c>
      <c r="H4426" t="s">
        <v>15498</v>
      </c>
      <c r="I4426" t="s">
        <v>30070</v>
      </c>
      <c r="J4426" t="s">
        <v>33049</v>
      </c>
      <c r="K4426" t="s">
        <v>39017</v>
      </c>
      <c r="M4426" t="s">
        <v>40972</v>
      </c>
      <c r="N4426" t="s">
        <v>43166</v>
      </c>
      <c r="O4426" t="s">
        <v>43167</v>
      </c>
      <c r="P4426">
        <v>0</v>
      </c>
      <c r="Q4426">
        <v>3</v>
      </c>
      <c r="R4426" t="s">
        <v>43171</v>
      </c>
      <c r="S4426" t="s">
        <v>43311</v>
      </c>
      <c r="T4426" t="s">
        <v>44705</v>
      </c>
      <c r="U4426" t="s">
        <v>48813</v>
      </c>
      <c r="W4426" t="s">
        <v>40972</v>
      </c>
      <c r="X4426" t="s">
        <v>43172</v>
      </c>
    </row>
    <row r="4427" spans="1:24">
      <c r="A4427">
        <f>HYPERLINK("https://www.philgeps.gov.ph/GEPSNONPILOT/Tender/SplashBidNoticeAbstractUI.aspx?menuIndex=3&amp;refID=7084016&amp;Result=3","7084016")</f>
        <v>0</v>
      </c>
      <c r="B4427" t="s">
        <v>1544</v>
      </c>
      <c r="C4427" t="s">
        <v>7638</v>
      </c>
      <c r="D4427" t="s">
        <v>17446</v>
      </c>
      <c r="E4427" t="s">
        <v>21351</v>
      </c>
      <c r="F4427" t="s">
        <v>30052</v>
      </c>
      <c r="G4427" t="s">
        <v>30059</v>
      </c>
      <c r="H4427" t="s">
        <v>15498</v>
      </c>
      <c r="I4427" t="s">
        <v>30073</v>
      </c>
      <c r="J4427" t="s">
        <v>33050</v>
      </c>
      <c r="K4427" t="s">
        <v>39029</v>
      </c>
      <c r="M4427" t="s">
        <v>40932</v>
      </c>
      <c r="N4427" t="s">
        <v>43166</v>
      </c>
      <c r="O4427" t="s">
        <v>43167</v>
      </c>
      <c r="P4427">
        <v>0</v>
      </c>
      <c r="Q4427">
        <v>0</v>
      </c>
      <c r="R4427" t="s">
        <v>43171</v>
      </c>
      <c r="S4427" t="s">
        <v>43311</v>
      </c>
      <c r="T4427" t="s">
        <v>44717</v>
      </c>
      <c r="U4427" t="s">
        <v>48735</v>
      </c>
      <c r="W4427" t="s">
        <v>40932</v>
      </c>
      <c r="X4427" t="s">
        <v>43172</v>
      </c>
    </row>
    <row r="4428" spans="1:24">
      <c r="A4428">
        <f>HYPERLINK("https://www.philgeps.gov.ph/GEPSNONPILOT/Tender/SplashBidNoticeAbstractUI.aspx?menuIndex=3&amp;refID=7084079&amp;Result=3","7084079")</f>
        <v>0</v>
      </c>
      <c r="B4428" t="s">
        <v>1580</v>
      </c>
      <c r="C4428" t="s">
        <v>7639</v>
      </c>
      <c r="D4428" t="s">
        <v>17449</v>
      </c>
      <c r="E4428" t="s">
        <v>21352</v>
      </c>
      <c r="F4428" t="s">
        <v>30052</v>
      </c>
      <c r="G4428" t="s">
        <v>30058</v>
      </c>
      <c r="H4428" t="s">
        <v>15498</v>
      </c>
      <c r="I4428" t="s">
        <v>4650</v>
      </c>
      <c r="J4428" t="s">
        <v>33051</v>
      </c>
      <c r="K4428" t="s">
        <v>39017</v>
      </c>
      <c r="M4428" t="s">
        <v>40973</v>
      </c>
      <c r="N4428" t="s">
        <v>43166</v>
      </c>
      <c r="O4428" t="s">
        <v>43167</v>
      </c>
      <c r="P4428">
        <v>0</v>
      </c>
      <c r="Q4428">
        <v>4</v>
      </c>
      <c r="R4428" t="s">
        <v>43171</v>
      </c>
      <c r="S4428" t="s">
        <v>43311</v>
      </c>
      <c r="T4428" t="s">
        <v>44681</v>
      </c>
      <c r="U4428" t="s">
        <v>48814</v>
      </c>
      <c r="W4428" t="s">
        <v>40973</v>
      </c>
      <c r="X4428" t="s">
        <v>43172</v>
      </c>
    </row>
    <row r="4429" spans="1:24">
      <c r="A4429">
        <f>HYPERLINK("https://www.philgeps.gov.ph/GEPSNONPILOT/Tender/SplashBidNoticeAbstractUI.aspx?menuIndex=3&amp;refID=7084063&amp;Result=3","7084063")</f>
        <v>0</v>
      </c>
      <c r="B4429" t="s">
        <v>1250</v>
      </c>
      <c r="C4429" t="s">
        <v>7640</v>
      </c>
      <c r="D4429" t="s">
        <v>17415</v>
      </c>
      <c r="E4429" t="s">
        <v>21353</v>
      </c>
      <c r="F4429" t="s">
        <v>30052</v>
      </c>
      <c r="G4429" t="s">
        <v>30061</v>
      </c>
      <c r="H4429" t="s">
        <v>15498</v>
      </c>
      <c r="I4429" t="s">
        <v>30076</v>
      </c>
      <c r="J4429" t="s">
        <v>30350</v>
      </c>
      <c r="K4429" t="s">
        <v>39018</v>
      </c>
      <c r="M4429" t="s">
        <v>40965</v>
      </c>
      <c r="N4429" t="s">
        <v>43166</v>
      </c>
      <c r="O4429" t="s">
        <v>43167</v>
      </c>
      <c r="P4429">
        <v>0</v>
      </c>
      <c r="Q4429">
        <v>2</v>
      </c>
      <c r="R4429" t="s">
        <v>43171</v>
      </c>
      <c r="S4429" t="s">
        <v>43311</v>
      </c>
      <c r="T4429" t="s">
        <v>44837</v>
      </c>
      <c r="U4429" t="s">
        <v>48815</v>
      </c>
      <c r="V4429" t="s">
        <v>56888</v>
      </c>
      <c r="W4429" t="s">
        <v>40965</v>
      </c>
      <c r="X4429" t="s">
        <v>43172</v>
      </c>
    </row>
    <row r="4430" spans="1:24">
      <c r="A4430">
        <f>HYPERLINK("https://www.philgeps.gov.ph/GEPSNONPILOT/Tender/SplashBidNoticeAbstractUI.aspx?menuIndex=3&amp;refID=7084062&amp;Result=3","7084062")</f>
        <v>0</v>
      </c>
      <c r="B4430" t="s">
        <v>1208</v>
      </c>
      <c r="C4430" t="s">
        <v>7641</v>
      </c>
      <c r="D4430" t="s">
        <v>17441</v>
      </c>
      <c r="E4430" t="s">
        <v>21191</v>
      </c>
      <c r="F4430" t="s">
        <v>30052</v>
      </c>
      <c r="G4430" t="s">
        <v>30058</v>
      </c>
      <c r="H4430" t="s">
        <v>30067</v>
      </c>
      <c r="I4430" t="s">
        <v>3693</v>
      </c>
      <c r="J4430" t="s">
        <v>30218</v>
      </c>
      <c r="K4430" t="s">
        <v>39023</v>
      </c>
      <c r="L4430" t="s">
        <v>1208</v>
      </c>
      <c r="M4430" t="s">
        <v>40562</v>
      </c>
      <c r="N4430" t="s">
        <v>43166</v>
      </c>
      <c r="O4430" t="s">
        <v>43167</v>
      </c>
      <c r="P4430">
        <v>0</v>
      </c>
      <c r="Q4430">
        <v>5</v>
      </c>
      <c r="R4430" t="s">
        <v>43171</v>
      </c>
      <c r="S4430" t="s">
        <v>43311</v>
      </c>
      <c r="T4430" t="s">
        <v>44813</v>
      </c>
      <c r="U4430" t="s">
        <v>48743</v>
      </c>
      <c r="W4430" t="s">
        <v>40562</v>
      </c>
      <c r="X4430" t="s">
        <v>43172</v>
      </c>
    </row>
    <row r="4431" spans="1:24">
      <c r="A4431">
        <f>HYPERLINK("https://www.philgeps.gov.ph/GEPSNONPILOT/Tender/SplashBidNoticeAbstractUI.aspx?menuIndex=3&amp;refID=7082945&amp;Result=3","7082945")</f>
        <v>0</v>
      </c>
      <c r="B4431" t="s">
        <v>548</v>
      </c>
      <c r="C4431" t="s">
        <v>7642</v>
      </c>
      <c r="D4431" t="s">
        <v>17425</v>
      </c>
      <c r="E4431" t="s">
        <v>21354</v>
      </c>
      <c r="F4431" t="s">
        <v>30052</v>
      </c>
      <c r="G4431" t="s">
        <v>30061</v>
      </c>
      <c r="H4431" t="s">
        <v>15498</v>
      </c>
      <c r="I4431" t="s">
        <v>3736</v>
      </c>
      <c r="J4431" t="s">
        <v>30667</v>
      </c>
      <c r="K4431" t="s">
        <v>39017</v>
      </c>
      <c r="L4431" t="s">
        <v>548</v>
      </c>
      <c r="M4431" t="s">
        <v>39850</v>
      </c>
      <c r="N4431" t="s">
        <v>43166</v>
      </c>
      <c r="O4431" t="s">
        <v>43167</v>
      </c>
      <c r="P4431">
        <v>0</v>
      </c>
      <c r="Q4431">
        <v>0</v>
      </c>
      <c r="R4431" t="s">
        <v>43171</v>
      </c>
      <c r="S4431" t="s">
        <v>43311</v>
      </c>
      <c r="T4431" t="s">
        <v>44969</v>
      </c>
      <c r="U4431" t="s">
        <v>48816</v>
      </c>
      <c r="V4431" t="s">
        <v>57242</v>
      </c>
      <c r="W4431" t="s">
        <v>39850</v>
      </c>
      <c r="X4431" t="s">
        <v>43172</v>
      </c>
    </row>
    <row r="4432" spans="1:24">
      <c r="A4432">
        <f>HYPERLINK("https://www.philgeps.gov.ph/GEPSNONPILOT/Tender/SplashBidNoticeAbstractUI.aspx?menuIndex=3&amp;refID=7084075&amp;Result=3","7084075")</f>
        <v>0</v>
      </c>
      <c r="B4432" t="s">
        <v>841</v>
      </c>
      <c r="C4432" t="s">
        <v>7643</v>
      </c>
      <c r="D4432" t="s">
        <v>17456</v>
      </c>
      <c r="E4432" t="s">
        <v>21355</v>
      </c>
      <c r="F4432" t="s">
        <v>30052</v>
      </c>
      <c r="G4432" t="s">
        <v>30058</v>
      </c>
      <c r="H4432" t="s">
        <v>15498</v>
      </c>
      <c r="I4432" t="s">
        <v>30092</v>
      </c>
      <c r="J4432" t="s">
        <v>33052</v>
      </c>
      <c r="K4432" t="s">
        <v>39019</v>
      </c>
      <c r="M4432" t="s">
        <v>40158</v>
      </c>
      <c r="N4432" t="s">
        <v>43166</v>
      </c>
      <c r="O4432" t="s">
        <v>43167</v>
      </c>
      <c r="P4432">
        <v>0</v>
      </c>
      <c r="Q4432">
        <v>4</v>
      </c>
      <c r="R4432" t="s">
        <v>43171</v>
      </c>
      <c r="S4432" t="s">
        <v>43311</v>
      </c>
      <c r="T4432" t="s">
        <v>44829</v>
      </c>
      <c r="U4432" t="s">
        <v>48817</v>
      </c>
      <c r="W4432" t="s">
        <v>40158</v>
      </c>
      <c r="X4432" t="s">
        <v>43172</v>
      </c>
    </row>
    <row r="4433" spans="1:24">
      <c r="A4433">
        <f>HYPERLINK("https://www.philgeps.gov.ph/GEPSNONPILOT/Tender/SplashBidNoticeAbstractUI.aspx?menuIndex=3&amp;refID=7084081&amp;Result=3","7084081")</f>
        <v>0</v>
      </c>
      <c r="B4433" t="s">
        <v>145</v>
      </c>
      <c r="C4433" t="s">
        <v>7644</v>
      </c>
      <c r="E4433" t="s">
        <v>21356</v>
      </c>
      <c r="F4433" t="s">
        <v>30052</v>
      </c>
      <c r="G4433" t="s">
        <v>30060</v>
      </c>
      <c r="H4433" t="s">
        <v>15498</v>
      </c>
      <c r="I4433" t="s">
        <v>30074</v>
      </c>
      <c r="J4433" t="s">
        <v>30555</v>
      </c>
      <c r="K4433" t="s">
        <v>39046</v>
      </c>
      <c r="M4433" t="s">
        <v>39434</v>
      </c>
      <c r="N4433" t="s">
        <v>43166</v>
      </c>
      <c r="O4433" t="s">
        <v>43167</v>
      </c>
      <c r="P4433">
        <v>0</v>
      </c>
      <c r="Q4433">
        <v>2</v>
      </c>
      <c r="R4433" t="s">
        <v>43171</v>
      </c>
      <c r="S4433" t="s">
        <v>43311</v>
      </c>
      <c r="T4433" t="s">
        <v>44993</v>
      </c>
      <c r="U4433" t="s">
        <v>48818</v>
      </c>
      <c r="V4433" t="s">
        <v>57311</v>
      </c>
      <c r="W4433" t="s">
        <v>40626</v>
      </c>
      <c r="X4433" t="s">
        <v>43172</v>
      </c>
    </row>
    <row r="4434" spans="1:24">
      <c r="A4434">
        <f>HYPERLINK("https://www.philgeps.gov.ph/GEPSNONPILOT/Tender/SplashBidNoticeAbstractUI.aspx?menuIndex=3&amp;refID=7084070&amp;Result=3","7084070")</f>
        <v>0</v>
      </c>
      <c r="B4434" t="s">
        <v>900</v>
      </c>
      <c r="C4434" t="s">
        <v>7645</v>
      </c>
      <c r="D4434" t="s">
        <v>17443</v>
      </c>
      <c r="E4434" t="s">
        <v>21357</v>
      </c>
      <c r="F4434" t="s">
        <v>30052</v>
      </c>
      <c r="G4434" t="s">
        <v>30059</v>
      </c>
      <c r="H4434" t="s">
        <v>15498</v>
      </c>
      <c r="I4434" t="s">
        <v>30071</v>
      </c>
      <c r="J4434" t="s">
        <v>33053</v>
      </c>
      <c r="K4434" t="s">
        <v>39017</v>
      </c>
      <c r="M4434" t="s">
        <v>40219</v>
      </c>
      <c r="N4434" t="s">
        <v>43166</v>
      </c>
      <c r="O4434" t="s">
        <v>43167</v>
      </c>
      <c r="P4434">
        <v>0</v>
      </c>
      <c r="Q4434">
        <v>0</v>
      </c>
      <c r="R4434" t="s">
        <v>43171</v>
      </c>
      <c r="S4434" t="s">
        <v>43311</v>
      </c>
      <c r="T4434" t="s">
        <v>44856</v>
      </c>
      <c r="U4434" t="s">
        <v>46989</v>
      </c>
      <c r="W4434" t="s">
        <v>40219</v>
      </c>
      <c r="X4434" t="s">
        <v>43172</v>
      </c>
    </row>
    <row r="4435" spans="1:24">
      <c r="A4435">
        <f>HYPERLINK("https://www.philgeps.gov.ph/GEPSNONPILOT/Tender/SplashBidNoticeAbstractUI.aspx?menuIndex=3&amp;refID=7084064&amp;Result=3","7084064")</f>
        <v>0</v>
      </c>
      <c r="B4435" t="s">
        <v>1581</v>
      </c>
      <c r="C4435" t="s">
        <v>7646</v>
      </c>
      <c r="E4435" t="s">
        <v>21358</v>
      </c>
      <c r="F4435" t="s">
        <v>30052</v>
      </c>
      <c r="G4435" t="s">
        <v>30059</v>
      </c>
      <c r="H4435" t="s">
        <v>15498</v>
      </c>
      <c r="I4435" t="s">
        <v>30081</v>
      </c>
      <c r="J4435" t="s">
        <v>30377</v>
      </c>
      <c r="K4435" t="s">
        <v>39025</v>
      </c>
      <c r="M4435" t="s">
        <v>40974</v>
      </c>
      <c r="N4435" t="s">
        <v>43166</v>
      </c>
      <c r="O4435" t="s">
        <v>43167</v>
      </c>
      <c r="P4435">
        <v>0</v>
      </c>
      <c r="Q4435">
        <v>1</v>
      </c>
      <c r="R4435" t="s">
        <v>43171</v>
      </c>
      <c r="S4435" t="s">
        <v>43311</v>
      </c>
      <c r="T4435" t="s">
        <v>44777</v>
      </c>
      <c r="U4435" t="s">
        <v>48819</v>
      </c>
      <c r="W4435" t="s">
        <v>40974</v>
      </c>
      <c r="X4435" t="s">
        <v>43172</v>
      </c>
    </row>
    <row r="4436" spans="1:24">
      <c r="A4436">
        <f>HYPERLINK("https://www.philgeps.gov.ph/GEPSNONPILOT/Tender/SplashBidNoticeAbstractUI.aspx?menuIndex=3&amp;refID=7082872&amp;Result=3","7082872")</f>
        <v>0</v>
      </c>
      <c r="B4436" t="s">
        <v>806</v>
      </c>
      <c r="C4436" t="s">
        <v>7647</v>
      </c>
      <c r="D4436" t="s">
        <v>17423</v>
      </c>
      <c r="E4436" t="s">
        <v>21359</v>
      </c>
      <c r="F4436" t="s">
        <v>30052</v>
      </c>
      <c r="G4436" t="s">
        <v>30058</v>
      </c>
      <c r="H4436" t="s">
        <v>30067</v>
      </c>
      <c r="I4436" t="s">
        <v>3693</v>
      </c>
      <c r="J4436" t="s">
        <v>30252</v>
      </c>
      <c r="K4436" t="s">
        <v>39038</v>
      </c>
      <c r="M4436" t="s">
        <v>40123</v>
      </c>
      <c r="N4436" t="s">
        <v>43166</v>
      </c>
      <c r="O4436" t="s">
        <v>43167</v>
      </c>
      <c r="P4436">
        <v>0</v>
      </c>
      <c r="Q4436">
        <v>0</v>
      </c>
      <c r="R4436" t="s">
        <v>43171</v>
      </c>
      <c r="S4436" t="s">
        <v>43311</v>
      </c>
      <c r="T4436" t="s">
        <v>44722</v>
      </c>
      <c r="U4436" t="s">
        <v>48820</v>
      </c>
      <c r="W4436" t="s">
        <v>40123</v>
      </c>
      <c r="X4436" t="s">
        <v>43172</v>
      </c>
    </row>
    <row r="4437" spans="1:24">
      <c r="A4437">
        <f>HYPERLINK("https://www.philgeps.gov.ph/GEPSNONPILOT/Tender/SplashBidNoticeAbstractUI.aspx?menuIndex=3&amp;refID=7082942&amp;Result=3","7082942")</f>
        <v>0</v>
      </c>
      <c r="B4437" t="s">
        <v>1527</v>
      </c>
      <c r="C4437" t="s">
        <v>7648</v>
      </c>
      <c r="E4437" t="s">
        <v>21360</v>
      </c>
      <c r="F4437" t="s">
        <v>30052</v>
      </c>
      <c r="G4437" t="s">
        <v>30059</v>
      </c>
      <c r="H4437" t="s">
        <v>15498</v>
      </c>
      <c r="I4437" t="s">
        <v>30076</v>
      </c>
      <c r="J4437" t="s">
        <v>33054</v>
      </c>
      <c r="K4437" t="s">
        <v>39025</v>
      </c>
      <c r="M4437" t="s">
        <v>40913</v>
      </c>
      <c r="N4437" t="s">
        <v>43166</v>
      </c>
      <c r="O4437" t="s">
        <v>43167</v>
      </c>
      <c r="P4437">
        <v>0</v>
      </c>
      <c r="Q4437">
        <v>11</v>
      </c>
      <c r="R4437" t="s">
        <v>43171</v>
      </c>
      <c r="S4437" t="s">
        <v>43311</v>
      </c>
      <c r="T4437" t="s">
        <v>44717</v>
      </c>
      <c r="U4437" t="s">
        <v>48821</v>
      </c>
      <c r="W4437" t="s">
        <v>58645</v>
      </c>
      <c r="X4437" t="s">
        <v>43172</v>
      </c>
    </row>
    <row r="4438" spans="1:24">
      <c r="A4438">
        <f>HYPERLINK("https://www.philgeps.gov.ph/GEPSNONPILOT/Tender/SplashBidNoticeAbstractUI.aspx?menuIndex=3&amp;refID=7082907&amp;Result=3","7082907")</f>
        <v>0</v>
      </c>
      <c r="B4438" t="s">
        <v>266</v>
      </c>
      <c r="C4438" t="s">
        <v>7649</v>
      </c>
      <c r="D4438" t="s">
        <v>17466</v>
      </c>
      <c r="E4438" t="s">
        <v>21361</v>
      </c>
      <c r="F4438" t="s">
        <v>30052</v>
      </c>
      <c r="G4438" t="s">
        <v>30059</v>
      </c>
      <c r="H4438" t="s">
        <v>15498</v>
      </c>
      <c r="I4438" t="s">
        <v>7228</v>
      </c>
      <c r="J4438" t="s">
        <v>32780</v>
      </c>
      <c r="K4438" t="s">
        <v>39025</v>
      </c>
      <c r="M4438" t="s">
        <v>39558</v>
      </c>
      <c r="N4438" t="s">
        <v>43166</v>
      </c>
      <c r="O4438" t="s">
        <v>43167</v>
      </c>
      <c r="P4438">
        <v>0</v>
      </c>
      <c r="Q4438">
        <v>0</v>
      </c>
      <c r="R4438" t="s">
        <v>43171</v>
      </c>
      <c r="S4438" t="s">
        <v>43311</v>
      </c>
      <c r="T4438" t="s">
        <v>44714</v>
      </c>
      <c r="U4438" t="s">
        <v>45652</v>
      </c>
      <c r="W4438" t="s">
        <v>39558</v>
      </c>
      <c r="X4438" t="s">
        <v>43172</v>
      </c>
    </row>
    <row r="4439" spans="1:24">
      <c r="A4439">
        <f>HYPERLINK("https://www.philgeps.gov.ph/GEPSNONPILOT/Tender/SplashBidNoticeAbstractUI.aspx?menuIndex=3&amp;refID=7084119&amp;Result=3","7084119")</f>
        <v>0</v>
      </c>
      <c r="B4439" t="s">
        <v>1276</v>
      </c>
      <c r="C4439" t="s">
        <v>7650</v>
      </c>
      <c r="D4439" t="s">
        <v>17427</v>
      </c>
      <c r="E4439" t="s">
        <v>21362</v>
      </c>
      <c r="F4439" t="s">
        <v>30052</v>
      </c>
      <c r="G4439" t="s">
        <v>30058</v>
      </c>
      <c r="H4439" t="s">
        <v>30067</v>
      </c>
      <c r="I4439" t="s">
        <v>3693</v>
      </c>
      <c r="J4439" t="s">
        <v>30281</v>
      </c>
      <c r="K4439" t="s">
        <v>39031</v>
      </c>
      <c r="M4439" t="s">
        <v>40637</v>
      </c>
      <c r="N4439" t="s">
        <v>43166</v>
      </c>
      <c r="O4439" t="s">
        <v>43167</v>
      </c>
      <c r="P4439">
        <v>0</v>
      </c>
      <c r="Q4439">
        <v>0</v>
      </c>
      <c r="R4439" t="s">
        <v>43171</v>
      </c>
      <c r="S4439" t="s">
        <v>43311</v>
      </c>
      <c r="T4439" t="s">
        <v>44746</v>
      </c>
      <c r="U4439" t="s">
        <v>48822</v>
      </c>
      <c r="W4439" t="s">
        <v>40637</v>
      </c>
      <c r="X4439" t="s">
        <v>43172</v>
      </c>
    </row>
    <row r="4440" spans="1:24">
      <c r="A4440">
        <f>HYPERLINK("https://www.philgeps.gov.ph/GEPSNONPILOT/Tender/SplashBidNoticeAbstractUI.aspx?menuIndex=3&amp;refID=7082899&amp;Result=3","7082899")</f>
        <v>0</v>
      </c>
      <c r="B4440" t="s">
        <v>236</v>
      </c>
      <c r="C4440" t="s">
        <v>7651</v>
      </c>
      <c r="D4440" t="s">
        <v>17427</v>
      </c>
      <c r="E4440" t="s">
        <v>21363</v>
      </c>
      <c r="F4440" t="s">
        <v>30052</v>
      </c>
      <c r="G4440" t="s">
        <v>30059</v>
      </c>
      <c r="H4440" t="s">
        <v>30069</v>
      </c>
      <c r="I4440" t="s">
        <v>8323</v>
      </c>
      <c r="J4440" t="s">
        <v>33055</v>
      </c>
      <c r="K4440" t="s">
        <v>39029</v>
      </c>
      <c r="M4440" t="s">
        <v>39920</v>
      </c>
      <c r="N4440" t="s">
        <v>43166</v>
      </c>
      <c r="O4440" t="s">
        <v>43167</v>
      </c>
      <c r="P4440">
        <v>0</v>
      </c>
      <c r="Q4440">
        <v>12</v>
      </c>
      <c r="R4440" t="s">
        <v>43171</v>
      </c>
      <c r="S4440" t="s">
        <v>43311</v>
      </c>
      <c r="T4440" t="s">
        <v>44744</v>
      </c>
      <c r="U4440" t="s">
        <v>48823</v>
      </c>
      <c r="V4440" t="s">
        <v>45722</v>
      </c>
      <c r="W4440" t="s">
        <v>39920</v>
      </c>
      <c r="X4440" t="s">
        <v>43172</v>
      </c>
    </row>
    <row r="4441" spans="1:24">
      <c r="A4441">
        <f>HYPERLINK("https://www.philgeps.gov.ph/GEPSNONPILOT/Tender/SplashBidNoticeAbstractUI.aspx?menuIndex=3&amp;refID=7084118&amp;Result=3","7084118")</f>
        <v>0</v>
      </c>
      <c r="B4441" t="s">
        <v>1190</v>
      </c>
      <c r="C4441" t="s">
        <v>7652</v>
      </c>
      <c r="D4441" t="s">
        <v>17415</v>
      </c>
      <c r="E4441" t="s">
        <v>21364</v>
      </c>
      <c r="F4441" t="s">
        <v>30052</v>
      </c>
      <c r="G4441" t="s">
        <v>30062</v>
      </c>
      <c r="H4441" t="s">
        <v>15498</v>
      </c>
      <c r="I4441" t="s">
        <v>3736</v>
      </c>
      <c r="J4441" t="s">
        <v>33056</v>
      </c>
      <c r="K4441" t="s">
        <v>39019</v>
      </c>
      <c r="M4441" t="s">
        <v>40543</v>
      </c>
      <c r="N4441" t="s">
        <v>43166</v>
      </c>
      <c r="O4441" t="s">
        <v>43167</v>
      </c>
      <c r="P4441">
        <v>0</v>
      </c>
      <c r="Q4441">
        <v>2</v>
      </c>
      <c r="R4441" t="s">
        <v>43171</v>
      </c>
      <c r="S4441" t="s">
        <v>43311</v>
      </c>
      <c r="T4441" t="s">
        <v>44732</v>
      </c>
      <c r="U4441" t="s">
        <v>48824</v>
      </c>
      <c r="W4441" t="s">
        <v>40543</v>
      </c>
      <c r="X4441" t="s">
        <v>43172</v>
      </c>
    </row>
    <row r="4442" spans="1:24">
      <c r="A4442">
        <f>HYPERLINK("https://www.philgeps.gov.ph/GEPSNONPILOT/Tender/SplashBidNoticeAbstractUI.aspx?menuIndex=3&amp;refID=7084112&amp;Result=3","7084112")</f>
        <v>0</v>
      </c>
      <c r="B4442" t="s">
        <v>1250</v>
      </c>
      <c r="C4442" t="s">
        <v>7653</v>
      </c>
      <c r="D4442" t="s">
        <v>17415</v>
      </c>
      <c r="E4442" t="s">
        <v>21365</v>
      </c>
      <c r="F4442" t="s">
        <v>30052</v>
      </c>
      <c r="G4442" t="s">
        <v>30061</v>
      </c>
      <c r="H4442" t="s">
        <v>15498</v>
      </c>
      <c r="I4442" t="s">
        <v>30076</v>
      </c>
      <c r="J4442" t="s">
        <v>30528</v>
      </c>
      <c r="K4442" t="s">
        <v>39018</v>
      </c>
      <c r="M4442" t="s">
        <v>40965</v>
      </c>
      <c r="N4442" t="s">
        <v>43166</v>
      </c>
      <c r="O4442" t="s">
        <v>43167</v>
      </c>
      <c r="P4442">
        <v>0</v>
      </c>
      <c r="Q4442">
        <v>1</v>
      </c>
      <c r="R4442" t="s">
        <v>43171</v>
      </c>
      <c r="S4442" t="s">
        <v>43311</v>
      </c>
      <c r="T4442" t="s">
        <v>44837</v>
      </c>
      <c r="U4442" t="s">
        <v>48825</v>
      </c>
      <c r="V4442" t="s">
        <v>56888</v>
      </c>
      <c r="W4442" t="s">
        <v>40965</v>
      </c>
      <c r="X4442" t="s">
        <v>43172</v>
      </c>
    </row>
    <row r="4443" spans="1:24">
      <c r="A4443">
        <f>HYPERLINK("https://www.philgeps.gov.ph/GEPSNONPILOT/Tender/SplashBidNoticeAbstractUI.aspx?menuIndex=3&amp;refID=7084109&amp;Result=3","7084109")</f>
        <v>0</v>
      </c>
      <c r="B4443" t="s">
        <v>1516</v>
      </c>
      <c r="C4443" t="s">
        <v>7654</v>
      </c>
      <c r="D4443" t="s">
        <v>17415</v>
      </c>
      <c r="E4443" t="s">
        <v>21366</v>
      </c>
      <c r="F4443" t="s">
        <v>30052</v>
      </c>
      <c r="G4443" t="s">
        <v>30059</v>
      </c>
      <c r="H4443" t="s">
        <v>15498</v>
      </c>
      <c r="I4443" t="s">
        <v>7228</v>
      </c>
      <c r="J4443" t="s">
        <v>30277</v>
      </c>
      <c r="K4443" t="s">
        <v>39019</v>
      </c>
      <c r="M4443" t="s">
        <v>40902</v>
      </c>
      <c r="N4443" t="s">
        <v>43166</v>
      </c>
      <c r="O4443" t="s">
        <v>43167</v>
      </c>
      <c r="P4443">
        <v>0</v>
      </c>
      <c r="Q4443">
        <v>0</v>
      </c>
      <c r="R4443" t="s">
        <v>43171</v>
      </c>
      <c r="S4443" t="s">
        <v>43311</v>
      </c>
      <c r="T4443" t="s">
        <v>44685</v>
      </c>
      <c r="U4443" t="s">
        <v>48599</v>
      </c>
      <c r="W4443" t="s">
        <v>40902</v>
      </c>
      <c r="X4443" t="s">
        <v>43172</v>
      </c>
    </row>
    <row r="4444" spans="1:24">
      <c r="A4444">
        <f>HYPERLINK("https://www.philgeps.gov.ph/GEPSNONPILOT/Tender/SplashBidNoticeAbstractUI.aspx?menuIndex=3&amp;refID=7082903&amp;Result=3","7082903")</f>
        <v>0</v>
      </c>
      <c r="B4444" t="s">
        <v>1582</v>
      </c>
      <c r="C4444" t="s">
        <v>7655</v>
      </c>
      <c r="D4444" t="s">
        <v>17420</v>
      </c>
      <c r="E4444" t="s">
        <v>21367</v>
      </c>
      <c r="F4444" t="s">
        <v>30052</v>
      </c>
      <c r="G4444" t="s">
        <v>30058</v>
      </c>
      <c r="H4444" t="s">
        <v>15498</v>
      </c>
      <c r="I4444" t="s">
        <v>30073</v>
      </c>
      <c r="J4444" t="s">
        <v>30252</v>
      </c>
      <c r="K4444" t="s">
        <v>39034</v>
      </c>
      <c r="M4444" t="s">
        <v>40975</v>
      </c>
      <c r="N4444" t="s">
        <v>43166</v>
      </c>
      <c r="O4444" t="s">
        <v>43167</v>
      </c>
      <c r="P4444">
        <v>0</v>
      </c>
      <c r="Q4444">
        <v>0</v>
      </c>
      <c r="R4444" t="s">
        <v>43171</v>
      </c>
      <c r="S4444" t="s">
        <v>43311</v>
      </c>
      <c r="T4444" t="s">
        <v>44679</v>
      </c>
      <c r="U4444" t="s">
        <v>48826</v>
      </c>
      <c r="W4444" t="s">
        <v>40975</v>
      </c>
      <c r="X4444" t="s">
        <v>43172</v>
      </c>
    </row>
    <row r="4445" spans="1:24">
      <c r="A4445">
        <f>HYPERLINK("https://www.philgeps.gov.ph/GEPSNONPILOT/Tender/SplashBidNoticeAbstractUI.aspx?menuIndex=3&amp;refID=7084107&amp;Result=3","7084107")</f>
        <v>0</v>
      </c>
      <c r="B4445" t="s">
        <v>1208</v>
      </c>
      <c r="C4445" t="s">
        <v>7656</v>
      </c>
      <c r="D4445" t="s">
        <v>17441</v>
      </c>
      <c r="E4445" t="s">
        <v>21191</v>
      </c>
      <c r="F4445" t="s">
        <v>30052</v>
      </c>
      <c r="G4445" t="s">
        <v>30058</v>
      </c>
      <c r="H4445" t="s">
        <v>30067</v>
      </c>
      <c r="I4445" t="s">
        <v>3693</v>
      </c>
      <c r="J4445" t="s">
        <v>30218</v>
      </c>
      <c r="K4445" t="s">
        <v>39023</v>
      </c>
      <c r="L4445" t="s">
        <v>1208</v>
      </c>
      <c r="M4445" t="s">
        <v>40562</v>
      </c>
      <c r="N4445" t="s">
        <v>43166</v>
      </c>
      <c r="O4445" t="s">
        <v>43167</v>
      </c>
      <c r="P4445">
        <v>0</v>
      </c>
      <c r="Q4445">
        <v>5</v>
      </c>
      <c r="R4445" t="s">
        <v>43171</v>
      </c>
      <c r="S4445" t="s">
        <v>43311</v>
      </c>
      <c r="T4445" t="s">
        <v>44813</v>
      </c>
      <c r="U4445" t="s">
        <v>48827</v>
      </c>
      <c r="W4445" t="s">
        <v>40562</v>
      </c>
      <c r="X4445" t="s">
        <v>43172</v>
      </c>
    </row>
    <row r="4446" spans="1:24">
      <c r="A4446">
        <f>HYPERLINK("https://www.philgeps.gov.ph/GEPSNONPILOT/Tender/SplashBidNoticeAbstractUI.aspx?menuIndex=3&amp;refID=7083024&amp;Result=3","7083024")</f>
        <v>0</v>
      </c>
      <c r="B4446" t="s">
        <v>56</v>
      </c>
      <c r="C4446" t="s">
        <v>7657</v>
      </c>
      <c r="D4446" t="s">
        <v>17438</v>
      </c>
      <c r="E4446" t="s">
        <v>21368</v>
      </c>
      <c r="F4446" t="s">
        <v>30052</v>
      </c>
      <c r="G4446" t="s">
        <v>30059</v>
      </c>
      <c r="H4446" t="s">
        <v>15498</v>
      </c>
      <c r="I4446" t="s">
        <v>3736</v>
      </c>
      <c r="J4446" t="s">
        <v>33057</v>
      </c>
      <c r="K4446" t="s">
        <v>39029</v>
      </c>
      <c r="M4446" t="s">
        <v>39345</v>
      </c>
      <c r="N4446" t="s">
        <v>43166</v>
      </c>
      <c r="O4446" t="s">
        <v>43167</v>
      </c>
      <c r="P4446">
        <v>0</v>
      </c>
      <c r="Q4446">
        <v>2</v>
      </c>
      <c r="R4446" t="s">
        <v>43171</v>
      </c>
      <c r="S4446" t="s">
        <v>43311</v>
      </c>
      <c r="T4446" t="s">
        <v>44843</v>
      </c>
      <c r="U4446" t="s">
        <v>45281</v>
      </c>
      <c r="V4446" t="s">
        <v>56817</v>
      </c>
      <c r="W4446" t="s">
        <v>39345</v>
      </c>
      <c r="X4446" t="s">
        <v>43172</v>
      </c>
    </row>
    <row r="4447" spans="1:24">
      <c r="A4447">
        <f>HYPERLINK("https://www.philgeps.gov.ph/GEPSNONPILOT/Tender/SplashBidNoticeAbstractUI.aspx?menuIndex=3&amp;refID=7084106&amp;Result=3","7084106")</f>
        <v>0</v>
      </c>
      <c r="B4447" t="s">
        <v>620</v>
      </c>
      <c r="C4447" t="s">
        <v>7658</v>
      </c>
      <c r="D4447" t="s">
        <v>17427</v>
      </c>
      <c r="E4447" t="s">
        <v>21369</v>
      </c>
      <c r="F4447" t="s">
        <v>30052</v>
      </c>
      <c r="G4447" t="s">
        <v>30061</v>
      </c>
      <c r="H4447" t="s">
        <v>15498</v>
      </c>
      <c r="I4447" t="s">
        <v>30076</v>
      </c>
      <c r="J4447" t="s">
        <v>31881</v>
      </c>
      <c r="K4447" t="s">
        <v>39017</v>
      </c>
      <c r="M4447" t="s">
        <v>39923</v>
      </c>
      <c r="N4447" t="s">
        <v>43166</v>
      </c>
      <c r="O4447" t="s">
        <v>43167</v>
      </c>
      <c r="P4447">
        <v>0</v>
      </c>
      <c r="Q4447">
        <v>2</v>
      </c>
      <c r="R4447" t="s">
        <v>43171</v>
      </c>
      <c r="S4447" t="s">
        <v>43311</v>
      </c>
      <c r="T4447" t="s">
        <v>44732</v>
      </c>
      <c r="U4447" t="s">
        <v>48828</v>
      </c>
      <c r="V4447" t="s">
        <v>57209</v>
      </c>
      <c r="W4447" t="s">
        <v>39923</v>
      </c>
      <c r="X4447" t="s">
        <v>43172</v>
      </c>
    </row>
    <row r="4448" spans="1:24">
      <c r="A4448">
        <f>HYPERLINK("https://www.philgeps.gov.ph/GEPSNONPILOT/Tender/SplashBidNoticeAbstractUI.aspx?menuIndex=3&amp;refID=7084110&amp;Result=3","7084110")</f>
        <v>0</v>
      </c>
      <c r="B4448" t="s">
        <v>1583</v>
      </c>
      <c r="C4448" t="s">
        <v>7659</v>
      </c>
      <c r="D4448" t="s">
        <v>17486</v>
      </c>
      <c r="E4448" t="s">
        <v>21370</v>
      </c>
      <c r="F4448" t="s">
        <v>30052</v>
      </c>
      <c r="G4448" t="s">
        <v>30058</v>
      </c>
      <c r="H4448" t="s">
        <v>30067</v>
      </c>
      <c r="I4448" t="s">
        <v>3693</v>
      </c>
      <c r="J4448" t="s">
        <v>30747</v>
      </c>
      <c r="K4448" t="s">
        <v>39017</v>
      </c>
      <c r="M4448" t="s">
        <v>40976</v>
      </c>
      <c r="N4448" t="s">
        <v>43166</v>
      </c>
      <c r="O4448" t="s">
        <v>43167</v>
      </c>
      <c r="P4448">
        <v>0</v>
      </c>
      <c r="Q4448">
        <v>0</v>
      </c>
      <c r="R4448" t="s">
        <v>43171</v>
      </c>
      <c r="S4448" t="s">
        <v>43311</v>
      </c>
      <c r="T4448" t="s">
        <v>44733</v>
      </c>
      <c r="U4448" t="s">
        <v>48829</v>
      </c>
      <c r="W4448" t="s">
        <v>40976</v>
      </c>
      <c r="X4448" t="s">
        <v>43172</v>
      </c>
    </row>
    <row r="4449" spans="1:24">
      <c r="A4449">
        <f>HYPERLINK("https://www.philgeps.gov.ph/GEPSNONPILOT/Tender/SplashBidNoticeAbstractUI.aspx?menuIndex=3&amp;refID=7084102&amp;Result=3","7084102")</f>
        <v>0</v>
      </c>
      <c r="B4449" t="s">
        <v>1584</v>
      </c>
      <c r="C4449" t="s">
        <v>7660</v>
      </c>
      <c r="D4449" t="s">
        <v>17488</v>
      </c>
      <c r="E4449" t="s">
        <v>21371</v>
      </c>
      <c r="F4449" t="s">
        <v>30052</v>
      </c>
      <c r="G4449" t="s">
        <v>30059</v>
      </c>
      <c r="H4449" t="s">
        <v>15498</v>
      </c>
      <c r="I4449" t="s">
        <v>30100</v>
      </c>
      <c r="J4449" t="s">
        <v>30230</v>
      </c>
      <c r="K4449" t="s">
        <v>39095</v>
      </c>
      <c r="M4449" t="s">
        <v>40977</v>
      </c>
      <c r="N4449" t="s">
        <v>43166</v>
      </c>
      <c r="O4449" t="s">
        <v>43167</v>
      </c>
      <c r="P4449">
        <v>0</v>
      </c>
      <c r="Q4449">
        <v>0</v>
      </c>
      <c r="R4449" t="s">
        <v>43171</v>
      </c>
      <c r="S4449" t="s">
        <v>43311</v>
      </c>
      <c r="T4449" t="s">
        <v>44732</v>
      </c>
      <c r="U4449" t="s">
        <v>48830</v>
      </c>
      <c r="W4449" t="s">
        <v>40977</v>
      </c>
      <c r="X4449" t="s">
        <v>43172</v>
      </c>
    </row>
    <row r="4450" spans="1:24">
      <c r="A4450">
        <f>HYPERLINK("https://www.philgeps.gov.ph/GEPSNONPILOT/Tender/SplashBidNoticeAbstractUI.aspx?menuIndex=3&amp;refID=7084099&amp;Result=3","7084099")</f>
        <v>0</v>
      </c>
      <c r="B4450" t="s">
        <v>1585</v>
      </c>
      <c r="C4450" t="s">
        <v>7661</v>
      </c>
      <c r="D4450" t="s">
        <v>17476</v>
      </c>
      <c r="E4450" t="s">
        <v>21372</v>
      </c>
      <c r="F4450" t="s">
        <v>30052</v>
      </c>
      <c r="G4450" t="s">
        <v>30060</v>
      </c>
      <c r="H4450" t="s">
        <v>15498</v>
      </c>
      <c r="I4450" t="s">
        <v>3693</v>
      </c>
      <c r="J4450" t="s">
        <v>33058</v>
      </c>
      <c r="K4450" t="s">
        <v>39025</v>
      </c>
      <c r="M4450" t="s">
        <v>40978</v>
      </c>
      <c r="N4450" t="s">
        <v>43166</v>
      </c>
      <c r="O4450" t="s">
        <v>43167</v>
      </c>
      <c r="P4450">
        <v>0</v>
      </c>
      <c r="Q4450">
        <v>0</v>
      </c>
      <c r="R4450" t="s">
        <v>43171</v>
      </c>
      <c r="S4450" t="s">
        <v>43311</v>
      </c>
      <c r="T4450" t="s">
        <v>44698</v>
      </c>
      <c r="U4450" t="s">
        <v>48831</v>
      </c>
      <c r="W4450" t="s">
        <v>40978</v>
      </c>
      <c r="X4450" t="s">
        <v>43172</v>
      </c>
    </row>
    <row r="4451" spans="1:24">
      <c r="A4451">
        <f>HYPERLINK("https://www.philgeps.gov.ph/GEPSNONPILOT/Tender/SplashBidNoticeAbstractUI.aspx?menuIndex=3&amp;refID=7082875&amp;Result=3","7082875")</f>
        <v>0</v>
      </c>
      <c r="B4451" t="s">
        <v>1408</v>
      </c>
      <c r="C4451" t="s">
        <v>7076</v>
      </c>
      <c r="D4451" t="s">
        <v>17421</v>
      </c>
      <c r="E4451" t="s">
        <v>17779</v>
      </c>
      <c r="F4451" t="s">
        <v>30052</v>
      </c>
      <c r="G4451" t="s">
        <v>30058</v>
      </c>
      <c r="H4451" t="s">
        <v>15498</v>
      </c>
      <c r="I4451" t="s">
        <v>4598</v>
      </c>
      <c r="J4451" t="s">
        <v>30230</v>
      </c>
      <c r="K4451" t="s">
        <v>39029</v>
      </c>
      <c r="M4451" t="s">
        <v>40785</v>
      </c>
      <c r="N4451" t="s">
        <v>43166</v>
      </c>
      <c r="O4451" t="s">
        <v>43167</v>
      </c>
      <c r="P4451">
        <v>0</v>
      </c>
      <c r="Q4451">
        <v>1</v>
      </c>
      <c r="R4451" t="s">
        <v>43171</v>
      </c>
      <c r="S4451" t="s">
        <v>43311</v>
      </c>
      <c r="T4451" t="s">
        <v>44787</v>
      </c>
      <c r="U4451" t="s">
        <v>48832</v>
      </c>
      <c r="W4451" t="s">
        <v>40785</v>
      </c>
      <c r="X4451" t="s">
        <v>43172</v>
      </c>
    </row>
    <row r="4452" spans="1:24">
      <c r="A4452">
        <f>HYPERLINK("https://www.philgeps.gov.ph/GEPSNONPILOT/Tender/SplashBidNoticeAbstractUI.aspx?menuIndex=3&amp;refID=7084104&amp;Result=3","7084104")</f>
        <v>0</v>
      </c>
      <c r="B4452" t="s">
        <v>1586</v>
      </c>
      <c r="C4452" t="s">
        <v>7662</v>
      </c>
      <c r="D4452" t="s">
        <v>17448</v>
      </c>
      <c r="E4452" t="s">
        <v>21373</v>
      </c>
      <c r="F4452" t="s">
        <v>30052</v>
      </c>
      <c r="G4452" t="s">
        <v>30058</v>
      </c>
      <c r="H4452" t="s">
        <v>15498</v>
      </c>
      <c r="I4452" t="s">
        <v>30076</v>
      </c>
      <c r="J4452" t="s">
        <v>33059</v>
      </c>
      <c r="K4452" t="s">
        <v>39025</v>
      </c>
      <c r="M4452" t="s">
        <v>40979</v>
      </c>
      <c r="N4452" t="s">
        <v>43166</v>
      </c>
      <c r="O4452" t="s">
        <v>43167</v>
      </c>
      <c r="P4452">
        <v>0</v>
      </c>
      <c r="Q4452">
        <v>2</v>
      </c>
      <c r="R4452" t="s">
        <v>43171</v>
      </c>
      <c r="S4452" t="s">
        <v>43311</v>
      </c>
      <c r="T4452" t="s">
        <v>44722</v>
      </c>
      <c r="U4452" t="s">
        <v>48833</v>
      </c>
      <c r="W4452" t="s">
        <v>40979</v>
      </c>
      <c r="X4452" t="s">
        <v>43172</v>
      </c>
    </row>
    <row r="4453" spans="1:24">
      <c r="A4453">
        <f>HYPERLINK("https://www.philgeps.gov.ph/GEPSNONPILOT/Tender/SplashBidNoticeAbstractUI.aspx?menuIndex=3&amp;refID=7084113&amp;Result=3","7084113")</f>
        <v>0</v>
      </c>
      <c r="B4453" t="s">
        <v>1350</v>
      </c>
      <c r="C4453" t="s">
        <v>7663</v>
      </c>
      <c r="D4453" t="s">
        <v>17415</v>
      </c>
      <c r="E4453" t="s">
        <v>21374</v>
      </c>
      <c r="F4453" t="s">
        <v>30052</v>
      </c>
      <c r="G4453" t="s">
        <v>30058</v>
      </c>
      <c r="H4453" t="s">
        <v>15498</v>
      </c>
      <c r="I4453" t="s">
        <v>7228</v>
      </c>
      <c r="J4453" t="s">
        <v>33060</v>
      </c>
      <c r="K4453" t="s">
        <v>39025</v>
      </c>
      <c r="L4453" t="s">
        <v>1350</v>
      </c>
      <c r="M4453" t="s">
        <v>40719</v>
      </c>
      <c r="N4453" t="s">
        <v>43166</v>
      </c>
      <c r="O4453" t="s">
        <v>43167</v>
      </c>
      <c r="Q4453">
        <v>0</v>
      </c>
      <c r="R4453" t="s">
        <v>43171</v>
      </c>
      <c r="S4453" t="s">
        <v>43329</v>
      </c>
      <c r="T4453" t="s">
        <v>44789</v>
      </c>
      <c r="U4453" t="s">
        <v>48208</v>
      </c>
      <c r="W4453" t="s">
        <v>40719</v>
      </c>
      <c r="X4453" t="s">
        <v>43172</v>
      </c>
    </row>
    <row r="4454" spans="1:24">
      <c r="A4454">
        <f>HYPERLINK("https://www.philgeps.gov.ph/GEPSNONPILOT/Tender/SplashBidNoticeAbstractUI.aspx?menuIndex=3&amp;refID=7084101&amp;Result=3","7084101")</f>
        <v>0</v>
      </c>
      <c r="B4454" t="s">
        <v>1145</v>
      </c>
      <c r="C4454" t="s">
        <v>7664</v>
      </c>
      <c r="D4454" t="s">
        <v>17465</v>
      </c>
      <c r="E4454" t="s">
        <v>19907</v>
      </c>
      <c r="F4454" t="s">
        <v>30052</v>
      </c>
      <c r="G4454" t="s">
        <v>30058</v>
      </c>
      <c r="H4454" t="s">
        <v>15498</v>
      </c>
      <c r="I4454" t="s">
        <v>3736</v>
      </c>
      <c r="J4454" t="s">
        <v>33061</v>
      </c>
      <c r="K4454" t="s">
        <v>39017</v>
      </c>
      <c r="M4454" t="s">
        <v>40488</v>
      </c>
      <c r="N4454" t="s">
        <v>43166</v>
      </c>
      <c r="O4454" t="s">
        <v>43167</v>
      </c>
      <c r="P4454">
        <v>0</v>
      </c>
      <c r="Q4454">
        <v>2</v>
      </c>
      <c r="R4454" t="s">
        <v>43171</v>
      </c>
      <c r="S4454" t="s">
        <v>43311</v>
      </c>
      <c r="T4454" t="s">
        <v>44847</v>
      </c>
      <c r="U4454" t="s">
        <v>48834</v>
      </c>
      <c r="W4454" t="s">
        <v>40488</v>
      </c>
      <c r="X4454" t="s">
        <v>43172</v>
      </c>
    </row>
    <row r="4455" spans="1:24">
      <c r="A4455">
        <f>HYPERLINK("https://www.philgeps.gov.ph/GEPSNONPILOT/Tender/SplashBidNoticeAbstractUI.aspx?menuIndex=3&amp;refID=7084149&amp;Result=3","7084149")</f>
        <v>0</v>
      </c>
      <c r="B4455" t="s">
        <v>1536</v>
      </c>
      <c r="C4455" t="s">
        <v>7665</v>
      </c>
      <c r="D4455" t="s">
        <v>17468</v>
      </c>
      <c r="E4455" t="s">
        <v>21375</v>
      </c>
      <c r="F4455" t="s">
        <v>30052</v>
      </c>
      <c r="G4455" t="s">
        <v>30059</v>
      </c>
      <c r="H4455" t="s">
        <v>15498</v>
      </c>
      <c r="I4455" t="s">
        <v>30073</v>
      </c>
      <c r="J4455" t="s">
        <v>33062</v>
      </c>
      <c r="K4455" t="s">
        <v>39031</v>
      </c>
      <c r="M4455" t="s">
        <v>40922</v>
      </c>
      <c r="N4455" t="s">
        <v>43166</v>
      </c>
      <c r="O4455" t="s">
        <v>43167</v>
      </c>
      <c r="P4455">
        <v>0</v>
      </c>
      <c r="Q4455">
        <v>0</v>
      </c>
      <c r="R4455" t="s">
        <v>43171</v>
      </c>
      <c r="S4455" t="s">
        <v>43311</v>
      </c>
      <c r="T4455" t="s">
        <v>44773</v>
      </c>
      <c r="U4455" t="s">
        <v>48835</v>
      </c>
      <c r="W4455" t="s">
        <v>40922</v>
      </c>
      <c r="X4455" t="s">
        <v>43172</v>
      </c>
    </row>
    <row r="4456" spans="1:24">
      <c r="A4456">
        <f>HYPERLINK("https://www.philgeps.gov.ph/GEPSNONPILOT/Tender/SplashBidNoticeAbstractUI.aspx?menuIndex=3&amp;refID=7084066&amp;Result=3","7084066")</f>
        <v>0</v>
      </c>
      <c r="B4456" t="s">
        <v>494</v>
      </c>
      <c r="C4456" t="s">
        <v>7666</v>
      </c>
      <c r="E4456" t="s">
        <v>21376</v>
      </c>
      <c r="F4456" t="s">
        <v>30052</v>
      </c>
      <c r="G4456" t="s">
        <v>30059</v>
      </c>
      <c r="H4456" t="s">
        <v>15498</v>
      </c>
      <c r="I4456" t="s">
        <v>30115</v>
      </c>
      <c r="J4456" t="s">
        <v>33063</v>
      </c>
      <c r="K4456" t="s">
        <v>39025</v>
      </c>
      <c r="M4456" t="s">
        <v>39795</v>
      </c>
      <c r="N4456" t="s">
        <v>43166</v>
      </c>
      <c r="O4456" t="s">
        <v>43167</v>
      </c>
      <c r="P4456">
        <v>0</v>
      </c>
      <c r="Q4456">
        <v>2</v>
      </c>
      <c r="R4456" t="s">
        <v>43171</v>
      </c>
      <c r="S4456" t="s">
        <v>43311</v>
      </c>
      <c r="T4456" t="s">
        <v>44822</v>
      </c>
      <c r="U4456" t="s">
        <v>48836</v>
      </c>
      <c r="W4456" t="s">
        <v>39795</v>
      </c>
      <c r="X4456" t="s">
        <v>43172</v>
      </c>
    </row>
    <row r="4457" spans="1:24">
      <c r="A4457">
        <f>HYPERLINK("https://www.philgeps.gov.ph/GEPSNONPILOT/Tender/SplashBidNoticeAbstractUI.aspx?menuIndex=3&amp;refID=7084147&amp;Result=3","7084147")</f>
        <v>0</v>
      </c>
      <c r="B4457" t="s">
        <v>465</v>
      </c>
      <c r="C4457" t="s">
        <v>7667</v>
      </c>
      <c r="D4457" t="s">
        <v>17448</v>
      </c>
      <c r="E4457" t="s">
        <v>21377</v>
      </c>
      <c r="F4457" t="s">
        <v>30052</v>
      </c>
      <c r="G4457" t="s">
        <v>30058</v>
      </c>
      <c r="H4457" t="s">
        <v>15498</v>
      </c>
      <c r="I4457" t="s">
        <v>4598</v>
      </c>
      <c r="J4457" t="s">
        <v>31846</v>
      </c>
      <c r="K4457" t="s">
        <v>39025</v>
      </c>
      <c r="M4457" t="s">
        <v>39766</v>
      </c>
      <c r="N4457" t="s">
        <v>43166</v>
      </c>
      <c r="O4457" t="s">
        <v>43167</v>
      </c>
      <c r="P4457">
        <v>0</v>
      </c>
      <c r="Q4457">
        <v>1</v>
      </c>
      <c r="R4457" t="s">
        <v>43171</v>
      </c>
      <c r="S4457" t="s">
        <v>43311</v>
      </c>
      <c r="T4457" t="s">
        <v>44710</v>
      </c>
      <c r="U4457" t="s">
        <v>48837</v>
      </c>
      <c r="W4457" t="s">
        <v>39766</v>
      </c>
      <c r="X4457" t="s">
        <v>43172</v>
      </c>
    </row>
    <row r="4458" spans="1:24">
      <c r="A4458">
        <f>HYPERLINK("https://www.philgeps.gov.ph/GEPSNONPILOT/Tender/SplashBidNoticeAbstractUI.aspx?menuIndex=3&amp;refID=7084146&amp;Result=3","7084146")</f>
        <v>0</v>
      </c>
      <c r="B4458" t="s">
        <v>620</v>
      </c>
      <c r="C4458" t="s">
        <v>7668</v>
      </c>
      <c r="D4458" t="s">
        <v>17427</v>
      </c>
      <c r="E4458" t="s">
        <v>21378</v>
      </c>
      <c r="F4458" t="s">
        <v>30052</v>
      </c>
      <c r="G4458" t="s">
        <v>30061</v>
      </c>
      <c r="H4458" t="s">
        <v>15498</v>
      </c>
      <c r="I4458" t="s">
        <v>30088</v>
      </c>
      <c r="J4458" t="s">
        <v>30230</v>
      </c>
      <c r="K4458" t="s">
        <v>39017</v>
      </c>
      <c r="M4458" t="s">
        <v>39923</v>
      </c>
      <c r="N4458" t="s">
        <v>43166</v>
      </c>
      <c r="O4458" t="s">
        <v>43167</v>
      </c>
      <c r="P4458">
        <v>0</v>
      </c>
      <c r="Q4458">
        <v>4</v>
      </c>
      <c r="R4458" t="s">
        <v>43171</v>
      </c>
      <c r="S4458" t="s">
        <v>43311</v>
      </c>
      <c r="T4458" t="s">
        <v>44732</v>
      </c>
      <c r="U4458" t="s">
        <v>48838</v>
      </c>
      <c r="V4458" t="s">
        <v>57209</v>
      </c>
      <c r="W4458" t="s">
        <v>39923</v>
      </c>
      <c r="X4458" t="s">
        <v>43172</v>
      </c>
    </row>
    <row r="4459" spans="1:24">
      <c r="A4459">
        <f>HYPERLINK("https://www.philgeps.gov.ph/GEPSNONPILOT/Tender/SplashBidNoticeAbstractUI.aspx?menuIndex=3&amp;refID=7084100&amp;Result=3","7084100")</f>
        <v>0</v>
      </c>
      <c r="B4459" t="s">
        <v>900</v>
      </c>
      <c r="C4459" t="s">
        <v>7669</v>
      </c>
      <c r="D4459" t="s">
        <v>17443</v>
      </c>
      <c r="E4459" t="s">
        <v>21379</v>
      </c>
      <c r="F4459" t="s">
        <v>30052</v>
      </c>
      <c r="G4459" t="s">
        <v>30059</v>
      </c>
      <c r="H4459" t="s">
        <v>15498</v>
      </c>
      <c r="I4459" t="s">
        <v>30071</v>
      </c>
      <c r="J4459" t="s">
        <v>33064</v>
      </c>
      <c r="K4459" t="s">
        <v>39017</v>
      </c>
      <c r="M4459" t="s">
        <v>40219</v>
      </c>
      <c r="N4459" t="s">
        <v>43166</v>
      </c>
      <c r="O4459" t="s">
        <v>43167</v>
      </c>
      <c r="P4459">
        <v>0</v>
      </c>
      <c r="Q4459">
        <v>1</v>
      </c>
      <c r="R4459" t="s">
        <v>43171</v>
      </c>
      <c r="S4459" t="s">
        <v>43311</v>
      </c>
      <c r="T4459" t="s">
        <v>44856</v>
      </c>
      <c r="U4459" t="s">
        <v>46989</v>
      </c>
      <c r="W4459" t="s">
        <v>40219</v>
      </c>
      <c r="X4459" t="s">
        <v>43172</v>
      </c>
    </row>
    <row r="4460" spans="1:24">
      <c r="A4460">
        <f>HYPERLINK("https://www.philgeps.gov.ph/GEPSNONPILOT/Tender/SplashBidNoticeAbstractUI.aspx?menuIndex=3&amp;refID=7084142&amp;Result=3","7084142")</f>
        <v>0</v>
      </c>
      <c r="B4460" t="s">
        <v>1162</v>
      </c>
      <c r="C4460" t="s">
        <v>6462</v>
      </c>
      <c r="D4460" t="s">
        <v>17472</v>
      </c>
      <c r="E4460" t="s">
        <v>21380</v>
      </c>
      <c r="F4460" t="s">
        <v>30052</v>
      </c>
      <c r="G4460" t="s">
        <v>30058</v>
      </c>
      <c r="H4460" t="s">
        <v>15498</v>
      </c>
      <c r="I4460" t="s">
        <v>3736</v>
      </c>
      <c r="J4460" t="s">
        <v>33065</v>
      </c>
      <c r="K4460" t="s">
        <v>39025</v>
      </c>
      <c r="M4460" t="s">
        <v>40508</v>
      </c>
      <c r="N4460" t="s">
        <v>43166</v>
      </c>
      <c r="O4460" t="s">
        <v>43167</v>
      </c>
      <c r="P4460">
        <v>0</v>
      </c>
      <c r="Q4460">
        <v>1</v>
      </c>
      <c r="R4460" t="s">
        <v>43171</v>
      </c>
      <c r="S4460" t="s">
        <v>43311</v>
      </c>
      <c r="T4460" t="s">
        <v>44703</v>
      </c>
      <c r="U4460" t="s">
        <v>48839</v>
      </c>
      <c r="W4460" t="s">
        <v>40508</v>
      </c>
      <c r="X4460" t="s">
        <v>43172</v>
      </c>
    </row>
    <row r="4461" spans="1:24">
      <c r="A4461">
        <f>HYPERLINK("https://www.philgeps.gov.ph/GEPSNONPILOT/Tender/SplashBidNoticeAbstractUI.aspx?menuIndex=3&amp;refID=7084140&amp;Result=3","7084140")</f>
        <v>0</v>
      </c>
      <c r="B4461" t="s">
        <v>726</v>
      </c>
      <c r="C4461" t="s">
        <v>7670</v>
      </c>
      <c r="D4461" t="s">
        <v>17477</v>
      </c>
      <c r="E4461" t="s">
        <v>21381</v>
      </c>
      <c r="F4461" t="s">
        <v>30052</v>
      </c>
      <c r="G4461" t="s">
        <v>30061</v>
      </c>
      <c r="H4461" t="s">
        <v>15498</v>
      </c>
      <c r="I4461" t="s">
        <v>7228</v>
      </c>
      <c r="J4461" t="s">
        <v>33066</v>
      </c>
      <c r="K4461" t="s">
        <v>39019</v>
      </c>
      <c r="M4461" t="s">
        <v>40037</v>
      </c>
      <c r="N4461" t="s">
        <v>43166</v>
      </c>
      <c r="O4461" t="s">
        <v>43167</v>
      </c>
      <c r="P4461">
        <v>0</v>
      </c>
      <c r="Q4461">
        <v>1</v>
      </c>
      <c r="R4461" t="s">
        <v>43171</v>
      </c>
      <c r="S4461" t="s">
        <v>43311</v>
      </c>
      <c r="T4461" t="s">
        <v>44837</v>
      </c>
      <c r="U4461" t="s">
        <v>48840</v>
      </c>
      <c r="W4461" t="s">
        <v>58613</v>
      </c>
      <c r="X4461" t="s">
        <v>43172</v>
      </c>
    </row>
    <row r="4462" spans="1:24">
      <c r="A4462">
        <f>HYPERLINK("https://www.philgeps.gov.ph/GEPSNONPILOT/Tender/SplashBidNoticeAbstractUI.aspx?menuIndex=3&amp;refID=7084152&amp;Result=3","7084152")</f>
        <v>0</v>
      </c>
      <c r="B4462" t="s">
        <v>1516</v>
      </c>
      <c r="C4462" t="s">
        <v>7671</v>
      </c>
      <c r="D4462" t="s">
        <v>17415</v>
      </c>
      <c r="E4462" t="s">
        <v>21382</v>
      </c>
      <c r="F4462" t="s">
        <v>30052</v>
      </c>
      <c r="G4462" t="s">
        <v>30059</v>
      </c>
      <c r="H4462" t="s">
        <v>15498</v>
      </c>
      <c r="I4462" t="s">
        <v>30076</v>
      </c>
      <c r="J4462" t="s">
        <v>31852</v>
      </c>
      <c r="K4462" t="s">
        <v>39019</v>
      </c>
      <c r="M4462" t="s">
        <v>40902</v>
      </c>
      <c r="N4462" t="s">
        <v>43166</v>
      </c>
      <c r="O4462" t="s">
        <v>43167</v>
      </c>
      <c r="P4462">
        <v>0</v>
      </c>
      <c r="Q4462">
        <v>3</v>
      </c>
      <c r="R4462" t="s">
        <v>43171</v>
      </c>
      <c r="S4462" t="s">
        <v>43311</v>
      </c>
      <c r="T4462" t="s">
        <v>44685</v>
      </c>
      <c r="U4462" t="s">
        <v>48599</v>
      </c>
      <c r="W4462" t="s">
        <v>40902</v>
      </c>
      <c r="X4462" t="s">
        <v>43172</v>
      </c>
    </row>
    <row r="4463" spans="1:24">
      <c r="A4463">
        <f>HYPERLINK("https://www.philgeps.gov.ph/GEPSNONPILOT/Tender/SplashBidNoticeAbstractUI.aspx?menuIndex=3&amp;refID=7084137&amp;Result=3","7084137")</f>
        <v>0</v>
      </c>
      <c r="B4463" t="s">
        <v>1587</v>
      </c>
      <c r="C4463" t="s">
        <v>7672</v>
      </c>
      <c r="D4463" t="s">
        <v>17415</v>
      </c>
      <c r="E4463" t="s">
        <v>21383</v>
      </c>
      <c r="F4463" t="s">
        <v>30052</v>
      </c>
      <c r="G4463" t="s">
        <v>30063</v>
      </c>
      <c r="H4463" t="s">
        <v>30068</v>
      </c>
      <c r="I4463" t="s">
        <v>30068</v>
      </c>
      <c r="J4463" t="s">
        <v>33067</v>
      </c>
      <c r="K4463" t="s">
        <v>39146</v>
      </c>
      <c r="M4463" t="s">
        <v>40980</v>
      </c>
      <c r="N4463" t="s">
        <v>43166</v>
      </c>
      <c r="O4463" t="s">
        <v>43167</v>
      </c>
      <c r="P4463">
        <v>0</v>
      </c>
      <c r="Q4463">
        <v>1</v>
      </c>
      <c r="R4463" t="s">
        <v>43171</v>
      </c>
      <c r="S4463" t="s">
        <v>43311</v>
      </c>
      <c r="T4463" t="s">
        <v>44739</v>
      </c>
      <c r="U4463" t="s">
        <v>48841</v>
      </c>
      <c r="V4463" t="s">
        <v>57312</v>
      </c>
      <c r="W4463" t="s">
        <v>58646</v>
      </c>
      <c r="X4463" t="s">
        <v>43172</v>
      </c>
    </row>
    <row r="4464" spans="1:24">
      <c r="A4464">
        <f>HYPERLINK("https://www.philgeps.gov.ph/GEPSNONPILOT/Tender/SplashBidNoticeAbstractUI.aspx?menuIndex=3&amp;refID=7084136&amp;Result=3","7084136")</f>
        <v>0</v>
      </c>
      <c r="B4464" t="s">
        <v>1350</v>
      </c>
      <c r="C4464" t="s">
        <v>7673</v>
      </c>
      <c r="D4464" t="s">
        <v>17415</v>
      </c>
      <c r="E4464" t="s">
        <v>21384</v>
      </c>
      <c r="F4464" t="s">
        <v>30052</v>
      </c>
      <c r="G4464" t="s">
        <v>30058</v>
      </c>
      <c r="H4464" t="s">
        <v>15498</v>
      </c>
      <c r="I4464" t="s">
        <v>30101</v>
      </c>
      <c r="J4464" t="s">
        <v>33068</v>
      </c>
      <c r="K4464" t="s">
        <v>39025</v>
      </c>
      <c r="L4464" t="s">
        <v>1350</v>
      </c>
      <c r="M4464" t="s">
        <v>40719</v>
      </c>
      <c r="N4464" t="s">
        <v>43166</v>
      </c>
      <c r="O4464" t="s">
        <v>43167</v>
      </c>
      <c r="P4464">
        <v>0</v>
      </c>
      <c r="Q4464">
        <v>0</v>
      </c>
      <c r="R4464" t="s">
        <v>43171</v>
      </c>
      <c r="S4464" t="s">
        <v>43311</v>
      </c>
      <c r="T4464" t="s">
        <v>44789</v>
      </c>
      <c r="U4464" t="s">
        <v>48208</v>
      </c>
      <c r="W4464" t="s">
        <v>40719</v>
      </c>
      <c r="X4464" t="s">
        <v>43172</v>
      </c>
    </row>
    <row r="4465" spans="1:24">
      <c r="A4465">
        <f>HYPERLINK("https://www.philgeps.gov.ph/GEPSNONPILOT/Tender/SplashBidNoticeAbstractUI.aspx?menuIndex=3&amp;refID=7084132&amp;Result=3","7084132")</f>
        <v>0</v>
      </c>
      <c r="B4465" t="s">
        <v>1250</v>
      </c>
      <c r="C4465" t="s">
        <v>7674</v>
      </c>
      <c r="D4465" t="s">
        <v>17415</v>
      </c>
      <c r="E4465" t="s">
        <v>21385</v>
      </c>
      <c r="F4465" t="s">
        <v>30052</v>
      </c>
      <c r="G4465" t="s">
        <v>30061</v>
      </c>
      <c r="H4465" t="s">
        <v>15498</v>
      </c>
      <c r="I4465" t="s">
        <v>30076</v>
      </c>
      <c r="J4465" t="s">
        <v>30344</v>
      </c>
      <c r="K4465" t="s">
        <v>39018</v>
      </c>
      <c r="M4465" t="s">
        <v>40965</v>
      </c>
      <c r="N4465" t="s">
        <v>43166</v>
      </c>
      <c r="O4465" t="s">
        <v>43167</v>
      </c>
      <c r="P4465">
        <v>0</v>
      </c>
      <c r="Q4465">
        <v>1</v>
      </c>
      <c r="R4465" t="s">
        <v>43171</v>
      </c>
      <c r="S4465" t="s">
        <v>43311</v>
      </c>
      <c r="T4465" t="s">
        <v>44837</v>
      </c>
      <c r="U4465" t="s">
        <v>48842</v>
      </c>
      <c r="V4465" t="s">
        <v>56888</v>
      </c>
      <c r="W4465" t="s">
        <v>40965</v>
      </c>
      <c r="X4465" t="s">
        <v>43172</v>
      </c>
    </row>
    <row r="4466" spans="1:24">
      <c r="A4466">
        <f>HYPERLINK("https://www.philgeps.gov.ph/GEPSNONPILOT/Tender/SplashBidNoticeAbstractUI.aspx?menuIndex=3&amp;refID=7084129&amp;Result=3","7084129")</f>
        <v>0</v>
      </c>
      <c r="B4466" t="s">
        <v>145</v>
      </c>
      <c r="C4466" t="s">
        <v>7675</v>
      </c>
      <c r="E4466" t="s">
        <v>21386</v>
      </c>
      <c r="F4466" t="s">
        <v>30052</v>
      </c>
      <c r="G4466" t="s">
        <v>30060</v>
      </c>
      <c r="H4466" t="s">
        <v>15498</v>
      </c>
      <c r="I4466" t="s">
        <v>30074</v>
      </c>
      <c r="J4466" t="s">
        <v>33069</v>
      </c>
      <c r="K4466" t="s">
        <v>39046</v>
      </c>
      <c r="M4466" t="s">
        <v>39434</v>
      </c>
      <c r="N4466" t="s">
        <v>43166</v>
      </c>
      <c r="O4466" t="s">
        <v>43167</v>
      </c>
      <c r="P4466">
        <v>0</v>
      </c>
      <c r="Q4466">
        <v>5</v>
      </c>
      <c r="R4466" t="s">
        <v>43171</v>
      </c>
      <c r="S4466" t="s">
        <v>43311</v>
      </c>
      <c r="T4466" t="s">
        <v>44993</v>
      </c>
      <c r="U4466" t="s">
        <v>48843</v>
      </c>
      <c r="V4466" t="s">
        <v>57311</v>
      </c>
      <c r="W4466" t="s">
        <v>40626</v>
      </c>
      <c r="X4466" t="s">
        <v>43172</v>
      </c>
    </row>
    <row r="4467" spans="1:24">
      <c r="A4467">
        <f>HYPERLINK("https://www.philgeps.gov.ph/GEPSNONPILOT/Tender/SplashBidNoticeAbstractUI.aspx?menuIndex=3&amp;refID=7084138&amp;Result=3","7084138")</f>
        <v>0</v>
      </c>
      <c r="B4467" t="s">
        <v>1250</v>
      </c>
      <c r="C4467" t="s">
        <v>7676</v>
      </c>
      <c r="D4467" t="s">
        <v>17415</v>
      </c>
      <c r="E4467" t="s">
        <v>21387</v>
      </c>
      <c r="F4467" t="s">
        <v>30052</v>
      </c>
      <c r="G4467" t="s">
        <v>30061</v>
      </c>
      <c r="H4467" t="s">
        <v>15498</v>
      </c>
      <c r="I4467" t="s">
        <v>30076</v>
      </c>
      <c r="J4467" t="s">
        <v>30248</v>
      </c>
      <c r="K4467" t="s">
        <v>39018</v>
      </c>
      <c r="M4467" t="s">
        <v>40965</v>
      </c>
      <c r="N4467" t="s">
        <v>43166</v>
      </c>
      <c r="O4467" t="s">
        <v>43167</v>
      </c>
      <c r="P4467">
        <v>0</v>
      </c>
      <c r="Q4467">
        <v>1</v>
      </c>
      <c r="R4467" t="s">
        <v>43171</v>
      </c>
      <c r="S4467" t="s">
        <v>43311</v>
      </c>
      <c r="T4467" t="s">
        <v>44837</v>
      </c>
      <c r="U4467" t="s">
        <v>48844</v>
      </c>
      <c r="V4467" t="s">
        <v>56888</v>
      </c>
      <c r="W4467" t="s">
        <v>40965</v>
      </c>
      <c r="X4467" t="s">
        <v>43172</v>
      </c>
    </row>
    <row r="4468" spans="1:24">
      <c r="A4468">
        <f>HYPERLINK("https://www.philgeps.gov.ph/GEPSNONPILOT/Tender/SplashBidNoticeAbstractUI.aspx?menuIndex=3&amp;refID=7084190&amp;Result=3","7084190")</f>
        <v>0</v>
      </c>
      <c r="B4468" t="s">
        <v>1588</v>
      </c>
      <c r="C4468" t="s">
        <v>7677</v>
      </c>
      <c r="D4468" t="s">
        <v>17415</v>
      </c>
      <c r="E4468" t="s">
        <v>21388</v>
      </c>
      <c r="F4468" t="s">
        <v>30052</v>
      </c>
      <c r="G4468" t="s">
        <v>30059</v>
      </c>
      <c r="H4468" t="s">
        <v>15498</v>
      </c>
      <c r="I4468" t="s">
        <v>4119</v>
      </c>
      <c r="J4468" t="s">
        <v>31397</v>
      </c>
      <c r="K4468" t="s">
        <v>39017</v>
      </c>
      <c r="M4468" t="s">
        <v>40981</v>
      </c>
      <c r="N4468" t="s">
        <v>43166</v>
      </c>
      <c r="O4468" t="s">
        <v>43167</v>
      </c>
      <c r="P4468">
        <v>0</v>
      </c>
      <c r="Q4468">
        <v>19</v>
      </c>
      <c r="R4468" t="s">
        <v>43171</v>
      </c>
      <c r="S4468" t="s">
        <v>43311</v>
      </c>
      <c r="T4468" t="s">
        <v>44870</v>
      </c>
      <c r="U4468" t="s">
        <v>48845</v>
      </c>
      <c r="W4468" t="s">
        <v>40981</v>
      </c>
      <c r="X4468" t="s">
        <v>43172</v>
      </c>
    </row>
    <row r="4469" spans="1:24">
      <c r="A4469">
        <f>HYPERLINK("https://www.philgeps.gov.ph/GEPSNONPILOT/Tender/SplashBidNoticeAbstractUI.aspx?menuIndex=3&amp;refID=7084134&amp;Result=3","7084134")</f>
        <v>0</v>
      </c>
      <c r="B4469" t="s">
        <v>1589</v>
      </c>
      <c r="C4469" t="s">
        <v>7678</v>
      </c>
      <c r="D4469" t="s">
        <v>17494</v>
      </c>
      <c r="E4469" t="s">
        <v>21389</v>
      </c>
      <c r="F4469" t="s">
        <v>30052</v>
      </c>
      <c r="G4469" t="s">
        <v>30058</v>
      </c>
      <c r="H4469" t="s">
        <v>30067</v>
      </c>
      <c r="I4469" t="s">
        <v>3693</v>
      </c>
      <c r="J4469" t="s">
        <v>30876</v>
      </c>
      <c r="K4469" t="s">
        <v>39147</v>
      </c>
      <c r="M4469" t="s">
        <v>40982</v>
      </c>
      <c r="N4469" t="s">
        <v>43166</v>
      </c>
      <c r="O4469" t="s">
        <v>43167</v>
      </c>
      <c r="P4469">
        <v>0</v>
      </c>
      <c r="Q4469">
        <v>1</v>
      </c>
      <c r="R4469" t="s">
        <v>43171</v>
      </c>
      <c r="S4469" t="s">
        <v>43311</v>
      </c>
      <c r="T4469" t="s">
        <v>44693</v>
      </c>
      <c r="U4469" t="s">
        <v>48846</v>
      </c>
      <c r="W4469" t="s">
        <v>40982</v>
      </c>
      <c r="X4469" t="s">
        <v>43172</v>
      </c>
    </row>
    <row r="4470" spans="1:24">
      <c r="A4470">
        <f>HYPERLINK("https://www.philgeps.gov.ph/GEPSNONPILOT/Tender/SplashBidNoticeAbstractUI.aspx?menuIndex=3&amp;refID=7084189&amp;Result=3","7084189")</f>
        <v>0</v>
      </c>
      <c r="B4470" t="s">
        <v>1590</v>
      </c>
      <c r="C4470" t="s">
        <v>7679</v>
      </c>
      <c r="E4470" t="s">
        <v>21390</v>
      </c>
      <c r="F4470" t="s">
        <v>30052</v>
      </c>
      <c r="G4470" t="s">
        <v>30059</v>
      </c>
      <c r="H4470" t="s">
        <v>15498</v>
      </c>
      <c r="I4470" t="s">
        <v>4119</v>
      </c>
      <c r="J4470" t="s">
        <v>30497</v>
      </c>
      <c r="K4470" t="s">
        <v>39064</v>
      </c>
      <c r="M4470" t="s">
        <v>40983</v>
      </c>
      <c r="N4470" t="s">
        <v>43166</v>
      </c>
      <c r="O4470" t="s">
        <v>43167</v>
      </c>
      <c r="P4470">
        <v>0</v>
      </c>
      <c r="Q4470">
        <v>2</v>
      </c>
      <c r="R4470" t="s">
        <v>43171</v>
      </c>
      <c r="S4470" t="s">
        <v>43311</v>
      </c>
      <c r="T4470" t="s">
        <v>44678</v>
      </c>
      <c r="U4470" t="s">
        <v>48847</v>
      </c>
      <c r="W4470" t="s">
        <v>40983</v>
      </c>
      <c r="X4470" t="s">
        <v>43172</v>
      </c>
    </row>
    <row r="4471" spans="1:24">
      <c r="A4471">
        <f>HYPERLINK("https://www.philgeps.gov.ph/GEPSNONPILOT/Tender/SplashBidNoticeAbstractUI.aspx?menuIndex=3&amp;refID=7084188&amp;Result=3","7084188")</f>
        <v>0</v>
      </c>
      <c r="B4471" t="s">
        <v>1190</v>
      </c>
      <c r="C4471" t="s">
        <v>7680</v>
      </c>
      <c r="D4471" t="s">
        <v>17415</v>
      </c>
      <c r="E4471" t="s">
        <v>21391</v>
      </c>
      <c r="F4471" t="s">
        <v>30052</v>
      </c>
      <c r="G4471" t="s">
        <v>30059</v>
      </c>
      <c r="H4471" t="s">
        <v>15498</v>
      </c>
      <c r="I4471" t="s">
        <v>30084</v>
      </c>
      <c r="J4471" t="s">
        <v>33070</v>
      </c>
      <c r="K4471" t="s">
        <v>39025</v>
      </c>
      <c r="M4471" t="s">
        <v>40543</v>
      </c>
      <c r="N4471" t="s">
        <v>43166</v>
      </c>
      <c r="O4471" t="s">
        <v>43167</v>
      </c>
      <c r="P4471">
        <v>0</v>
      </c>
      <c r="Q4471">
        <v>7</v>
      </c>
      <c r="R4471" t="s">
        <v>43171</v>
      </c>
      <c r="S4471" t="s">
        <v>43311</v>
      </c>
      <c r="T4471" t="s">
        <v>44732</v>
      </c>
      <c r="U4471" t="s">
        <v>48848</v>
      </c>
      <c r="W4471" t="s">
        <v>40543</v>
      </c>
      <c r="X4471" t="s">
        <v>43172</v>
      </c>
    </row>
    <row r="4472" spans="1:24">
      <c r="A4472">
        <f>HYPERLINK("https://www.philgeps.gov.ph/GEPSNONPILOT/Tender/SplashBidNoticeAbstractUI.aspx?menuIndex=3&amp;refID=7084186&amp;Result=3","7084186")</f>
        <v>0</v>
      </c>
      <c r="B4472" t="s">
        <v>501</v>
      </c>
      <c r="C4472" t="s">
        <v>7681</v>
      </c>
      <c r="E4472" t="s">
        <v>21392</v>
      </c>
      <c r="F4472" t="s">
        <v>30052</v>
      </c>
      <c r="G4472" t="s">
        <v>30059</v>
      </c>
      <c r="H4472" t="s">
        <v>15498</v>
      </c>
      <c r="I4472" t="s">
        <v>4598</v>
      </c>
      <c r="J4472" t="s">
        <v>33071</v>
      </c>
      <c r="K4472" t="s">
        <v>39025</v>
      </c>
      <c r="M4472" t="s">
        <v>39802</v>
      </c>
      <c r="N4472" t="s">
        <v>43166</v>
      </c>
      <c r="O4472" t="s">
        <v>43167</v>
      </c>
      <c r="P4472">
        <v>0</v>
      </c>
      <c r="Q4472">
        <v>6</v>
      </c>
      <c r="R4472" t="s">
        <v>43171</v>
      </c>
      <c r="S4472" t="s">
        <v>43311</v>
      </c>
      <c r="T4472" t="s">
        <v>44826</v>
      </c>
      <c r="U4472" t="s">
        <v>48849</v>
      </c>
      <c r="V4472" t="s">
        <v>56949</v>
      </c>
      <c r="W4472" t="s">
        <v>39802</v>
      </c>
      <c r="X4472" t="s">
        <v>43172</v>
      </c>
    </row>
    <row r="4473" spans="1:24">
      <c r="A4473">
        <f>HYPERLINK("https://www.philgeps.gov.ph/GEPSNONPILOT/Tender/SplashBidNoticeAbstractUI.aspx?menuIndex=3&amp;refID=7084111&amp;Result=3","7084111")</f>
        <v>0</v>
      </c>
      <c r="B4473" t="s">
        <v>925</v>
      </c>
      <c r="C4473" t="s">
        <v>7682</v>
      </c>
      <c r="D4473" t="s">
        <v>17474</v>
      </c>
      <c r="E4473" t="s">
        <v>21393</v>
      </c>
      <c r="F4473" t="s">
        <v>30052</v>
      </c>
      <c r="G4473" t="s">
        <v>30058</v>
      </c>
      <c r="H4473" t="s">
        <v>30067</v>
      </c>
      <c r="I4473" t="s">
        <v>3693</v>
      </c>
      <c r="J4473" t="s">
        <v>31835</v>
      </c>
      <c r="K4473" t="s">
        <v>39148</v>
      </c>
      <c r="M4473" t="s">
        <v>40984</v>
      </c>
      <c r="N4473" t="s">
        <v>43166</v>
      </c>
      <c r="O4473" t="s">
        <v>43167</v>
      </c>
      <c r="P4473">
        <v>0</v>
      </c>
      <c r="Q4473">
        <v>2</v>
      </c>
      <c r="R4473" t="s">
        <v>43171</v>
      </c>
      <c r="S4473" t="s">
        <v>43311</v>
      </c>
      <c r="T4473" t="s">
        <v>44758</v>
      </c>
      <c r="U4473" t="s">
        <v>48850</v>
      </c>
      <c r="V4473" t="s">
        <v>57313</v>
      </c>
      <c r="W4473" t="s">
        <v>40984</v>
      </c>
      <c r="X4473" t="s">
        <v>43172</v>
      </c>
    </row>
    <row r="4474" spans="1:24">
      <c r="A4474">
        <f>HYPERLINK("https://www.philgeps.gov.ph/GEPSNONPILOT/Tender/SplashBidNoticeAbstractUI.aspx?menuIndex=3&amp;refID=7084184&amp;Result=3","7084184")</f>
        <v>0</v>
      </c>
      <c r="B4474" t="s">
        <v>1591</v>
      </c>
      <c r="C4474" t="s">
        <v>7683</v>
      </c>
      <c r="D4474" t="s">
        <v>17438</v>
      </c>
      <c r="E4474" t="s">
        <v>21394</v>
      </c>
      <c r="F4474" t="s">
        <v>30052</v>
      </c>
      <c r="G4474" t="s">
        <v>30059</v>
      </c>
      <c r="H4474" t="s">
        <v>30069</v>
      </c>
      <c r="I4474" t="s">
        <v>6304</v>
      </c>
      <c r="J4474" t="s">
        <v>33072</v>
      </c>
      <c r="K4474" t="s">
        <v>39031</v>
      </c>
      <c r="M4474" t="s">
        <v>40985</v>
      </c>
      <c r="N4474" t="s">
        <v>43166</v>
      </c>
      <c r="O4474" t="s">
        <v>43167</v>
      </c>
      <c r="P4474">
        <v>0</v>
      </c>
      <c r="Q4474">
        <v>2</v>
      </c>
      <c r="R4474" t="s">
        <v>43171</v>
      </c>
      <c r="S4474" t="s">
        <v>43311</v>
      </c>
      <c r="T4474" t="s">
        <v>44710</v>
      </c>
      <c r="U4474" t="s">
        <v>48851</v>
      </c>
      <c r="V4474" t="s">
        <v>57314</v>
      </c>
      <c r="W4474" t="s">
        <v>40985</v>
      </c>
      <c r="X4474" t="s">
        <v>43172</v>
      </c>
    </row>
    <row r="4475" spans="1:24">
      <c r="A4475">
        <f>HYPERLINK("https://www.philgeps.gov.ph/GEPSNONPILOT/Tender/SplashBidNoticeAbstractUI.aspx?menuIndex=3&amp;refID=7084183&amp;Result=3","7084183")</f>
        <v>0</v>
      </c>
      <c r="B4475" t="s">
        <v>217</v>
      </c>
      <c r="C4475" t="s">
        <v>7684</v>
      </c>
      <c r="D4475" t="s">
        <v>17458</v>
      </c>
      <c r="E4475" t="s">
        <v>21395</v>
      </c>
      <c r="F4475" t="s">
        <v>30052</v>
      </c>
      <c r="G4475" t="s">
        <v>30059</v>
      </c>
      <c r="H4475" t="s">
        <v>15498</v>
      </c>
      <c r="I4475" t="s">
        <v>3736</v>
      </c>
      <c r="J4475" t="s">
        <v>33073</v>
      </c>
      <c r="K4475" t="s">
        <v>39019</v>
      </c>
      <c r="M4475" t="s">
        <v>39507</v>
      </c>
      <c r="N4475" t="s">
        <v>43166</v>
      </c>
      <c r="O4475" t="s">
        <v>43167</v>
      </c>
      <c r="P4475">
        <v>0</v>
      </c>
      <c r="Q4475">
        <v>0</v>
      </c>
      <c r="R4475" t="s">
        <v>43171</v>
      </c>
      <c r="S4475" t="s">
        <v>43311</v>
      </c>
      <c r="T4475" t="s">
        <v>44943</v>
      </c>
      <c r="U4475" t="s">
        <v>48677</v>
      </c>
      <c r="W4475" t="s">
        <v>39507</v>
      </c>
      <c r="X4475" t="s">
        <v>43172</v>
      </c>
    </row>
    <row r="4476" spans="1:24">
      <c r="A4476">
        <f>HYPERLINK("https://www.philgeps.gov.ph/GEPSNONPILOT/Tender/SplashBidNoticeAbstractUI.aspx?menuIndex=3&amp;refID=7084133&amp;Result=3","7084133")</f>
        <v>0</v>
      </c>
      <c r="B4476" t="s">
        <v>768</v>
      </c>
      <c r="C4476" t="s">
        <v>7685</v>
      </c>
      <c r="D4476" t="s">
        <v>17462</v>
      </c>
      <c r="E4476" t="s">
        <v>21396</v>
      </c>
      <c r="F4476" t="s">
        <v>30052</v>
      </c>
      <c r="G4476" t="s">
        <v>30058</v>
      </c>
      <c r="H4476" t="s">
        <v>15498</v>
      </c>
      <c r="I4476" t="s">
        <v>3852</v>
      </c>
      <c r="J4476" t="s">
        <v>33074</v>
      </c>
      <c r="K4476" t="s">
        <v>39046</v>
      </c>
      <c r="M4476" t="s">
        <v>40986</v>
      </c>
      <c r="N4476" t="s">
        <v>43166</v>
      </c>
      <c r="O4476" t="s">
        <v>43167</v>
      </c>
      <c r="P4476">
        <v>0</v>
      </c>
      <c r="Q4476">
        <v>1</v>
      </c>
      <c r="R4476" t="s">
        <v>43171</v>
      </c>
      <c r="S4476" t="s">
        <v>43311</v>
      </c>
      <c r="T4476" t="s">
        <v>44709</v>
      </c>
      <c r="U4476" t="s">
        <v>48852</v>
      </c>
      <c r="V4476" t="s">
        <v>57315</v>
      </c>
      <c r="W4476" t="s">
        <v>40986</v>
      </c>
      <c r="X4476" t="s">
        <v>43172</v>
      </c>
    </row>
    <row r="4477" spans="1:24">
      <c r="A4477">
        <f>HYPERLINK("https://www.philgeps.gov.ph/GEPSNONPILOT/Tender/SplashBidNoticeAbstractUI.aspx?menuIndex=3&amp;refID=7084180&amp;Result=3","7084180")</f>
        <v>0</v>
      </c>
      <c r="B4477" t="s">
        <v>1592</v>
      </c>
      <c r="C4477" t="s">
        <v>7686</v>
      </c>
      <c r="D4477" t="s">
        <v>17414</v>
      </c>
      <c r="E4477" t="s">
        <v>18885</v>
      </c>
      <c r="F4477" t="s">
        <v>30052</v>
      </c>
      <c r="G4477" t="s">
        <v>30058</v>
      </c>
      <c r="H4477" t="s">
        <v>15498</v>
      </c>
      <c r="I4477" t="s">
        <v>3736</v>
      </c>
      <c r="J4477" t="s">
        <v>33075</v>
      </c>
      <c r="K4477" t="s">
        <v>39029</v>
      </c>
      <c r="M4477" t="s">
        <v>40987</v>
      </c>
      <c r="N4477" t="s">
        <v>43166</v>
      </c>
      <c r="O4477" t="s">
        <v>43167</v>
      </c>
      <c r="P4477">
        <v>0</v>
      </c>
      <c r="Q4477">
        <v>0</v>
      </c>
      <c r="R4477" t="s">
        <v>43171</v>
      </c>
      <c r="S4477" t="s">
        <v>43311</v>
      </c>
      <c r="T4477" t="s">
        <v>44681</v>
      </c>
      <c r="U4477" t="s">
        <v>48853</v>
      </c>
      <c r="W4477" t="s">
        <v>40987</v>
      </c>
      <c r="X4477" t="s">
        <v>43172</v>
      </c>
    </row>
    <row r="4478" spans="1:24">
      <c r="A4478">
        <f>HYPERLINK("https://www.philgeps.gov.ph/GEPSNONPILOT/Tender/SplashBidNoticeAbstractUI.aspx?menuIndex=3&amp;refID=7084143&amp;Result=3","7084143")</f>
        <v>0</v>
      </c>
      <c r="B4478" t="s">
        <v>1321</v>
      </c>
      <c r="C4478" t="s">
        <v>7687</v>
      </c>
      <c r="D4478" t="s">
        <v>17424</v>
      </c>
      <c r="E4478" t="s">
        <v>21397</v>
      </c>
      <c r="F4478" t="s">
        <v>30052</v>
      </c>
      <c r="G4478" t="s">
        <v>30058</v>
      </c>
      <c r="H4478" t="s">
        <v>15498</v>
      </c>
      <c r="I4478" t="s">
        <v>30091</v>
      </c>
      <c r="J4478" t="s">
        <v>32072</v>
      </c>
      <c r="K4478" t="s">
        <v>39046</v>
      </c>
      <c r="M4478" t="s">
        <v>40988</v>
      </c>
      <c r="N4478" t="s">
        <v>43166</v>
      </c>
      <c r="O4478" t="s">
        <v>43167</v>
      </c>
      <c r="P4478">
        <v>0</v>
      </c>
      <c r="Q4478">
        <v>1</v>
      </c>
      <c r="R4478" t="s">
        <v>43171</v>
      </c>
      <c r="S4478" t="s">
        <v>43311</v>
      </c>
      <c r="T4478" t="s">
        <v>44828</v>
      </c>
      <c r="U4478" t="s">
        <v>48854</v>
      </c>
      <c r="W4478" t="s">
        <v>40988</v>
      </c>
      <c r="X4478" t="s">
        <v>43172</v>
      </c>
    </row>
    <row r="4479" spans="1:24">
      <c r="A4479">
        <f>HYPERLINK("https://www.philgeps.gov.ph/GEPSNONPILOT/Tender/SplashBidNoticeAbstractUI.aspx?menuIndex=3&amp;refID=7084175&amp;Result=3","7084175")</f>
        <v>0</v>
      </c>
      <c r="B4479" t="s">
        <v>1580</v>
      </c>
      <c r="C4479" t="s">
        <v>7688</v>
      </c>
      <c r="D4479" t="s">
        <v>17449</v>
      </c>
      <c r="E4479" t="s">
        <v>21398</v>
      </c>
      <c r="F4479" t="s">
        <v>30052</v>
      </c>
      <c r="G4479" t="s">
        <v>30058</v>
      </c>
      <c r="H4479" t="s">
        <v>15498</v>
      </c>
      <c r="I4479" t="s">
        <v>4119</v>
      </c>
      <c r="J4479" t="s">
        <v>33076</v>
      </c>
      <c r="K4479" t="s">
        <v>39017</v>
      </c>
      <c r="M4479" t="s">
        <v>40973</v>
      </c>
      <c r="N4479" t="s">
        <v>43166</v>
      </c>
      <c r="O4479" t="s">
        <v>43167</v>
      </c>
      <c r="P4479">
        <v>0</v>
      </c>
      <c r="Q4479">
        <v>1</v>
      </c>
      <c r="R4479" t="s">
        <v>43171</v>
      </c>
      <c r="S4479" t="s">
        <v>43311</v>
      </c>
      <c r="T4479" t="s">
        <v>44818</v>
      </c>
      <c r="U4479" t="s">
        <v>48855</v>
      </c>
      <c r="W4479" t="s">
        <v>40973</v>
      </c>
      <c r="X4479" t="s">
        <v>43172</v>
      </c>
    </row>
    <row r="4480" spans="1:24">
      <c r="A4480">
        <f>HYPERLINK("https://www.philgeps.gov.ph/GEPSNONPILOT/Tender/SplashBidNoticeAbstractUI.aspx?menuIndex=3&amp;refID=7084187&amp;Result=3","7084187")</f>
        <v>0</v>
      </c>
      <c r="B4480" t="s">
        <v>1593</v>
      </c>
      <c r="C4480" t="s">
        <v>7689</v>
      </c>
      <c r="D4480" t="s">
        <v>17415</v>
      </c>
      <c r="E4480" t="s">
        <v>18700</v>
      </c>
      <c r="F4480" t="s">
        <v>30052</v>
      </c>
      <c r="G4480" t="s">
        <v>30061</v>
      </c>
      <c r="H4480" t="s">
        <v>15498</v>
      </c>
      <c r="I4480" t="s">
        <v>30183</v>
      </c>
      <c r="J4480" t="s">
        <v>33077</v>
      </c>
      <c r="K4480" t="s">
        <v>39029</v>
      </c>
      <c r="M4480" t="s">
        <v>40989</v>
      </c>
      <c r="N4480" t="s">
        <v>43166</v>
      </c>
      <c r="O4480" t="s">
        <v>43167</v>
      </c>
      <c r="P4480">
        <v>0</v>
      </c>
      <c r="Q4480">
        <v>4</v>
      </c>
      <c r="R4480" t="s">
        <v>43171</v>
      </c>
      <c r="S4480" t="s">
        <v>43311</v>
      </c>
      <c r="T4480" t="s">
        <v>44779</v>
      </c>
      <c r="U4480" t="s">
        <v>48856</v>
      </c>
      <c r="W4480" t="s">
        <v>40989</v>
      </c>
      <c r="X4480" t="s">
        <v>43172</v>
      </c>
    </row>
    <row r="4481" spans="1:24">
      <c r="A4481">
        <f>HYPERLINK("https://www.philgeps.gov.ph/GEPSNONPILOT/Tender/SplashBidNoticeAbstractUI.aspx?menuIndex=3&amp;refID=7084172&amp;Result=3","7084172")</f>
        <v>0</v>
      </c>
      <c r="B4481" t="s">
        <v>1350</v>
      </c>
      <c r="C4481" t="s">
        <v>7690</v>
      </c>
      <c r="D4481" t="s">
        <v>17415</v>
      </c>
      <c r="E4481" t="s">
        <v>21399</v>
      </c>
      <c r="F4481" t="s">
        <v>30052</v>
      </c>
      <c r="G4481" t="s">
        <v>30058</v>
      </c>
      <c r="H4481" t="s">
        <v>15498</v>
      </c>
      <c r="I4481" t="s">
        <v>30138</v>
      </c>
      <c r="J4481" t="s">
        <v>33078</v>
      </c>
      <c r="K4481" t="s">
        <v>39025</v>
      </c>
      <c r="L4481" t="s">
        <v>1350</v>
      </c>
      <c r="M4481" t="s">
        <v>40719</v>
      </c>
      <c r="N4481" t="s">
        <v>43166</v>
      </c>
      <c r="O4481" t="s">
        <v>43167</v>
      </c>
      <c r="P4481">
        <v>0</v>
      </c>
      <c r="Q4481">
        <v>0</v>
      </c>
      <c r="R4481" t="s">
        <v>43171</v>
      </c>
      <c r="S4481" t="s">
        <v>43311</v>
      </c>
      <c r="T4481" t="s">
        <v>44789</v>
      </c>
      <c r="U4481" t="s">
        <v>48208</v>
      </c>
      <c r="W4481" t="s">
        <v>40719</v>
      </c>
      <c r="X4481" t="s">
        <v>43172</v>
      </c>
    </row>
    <row r="4482" spans="1:24">
      <c r="A4482">
        <f>HYPERLINK("https://www.philgeps.gov.ph/GEPSNONPILOT/Tender/SplashBidNoticeAbstractUI.aspx?menuIndex=3&amp;refID=7084171&amp;Result=3","7084171")</f>
        <v>0</v>
      </c>
      <c r="B4482" t="s">
        <v>1162</v>
      </c>
      <c r="C4482" t="s">
        <v>7691</v>
      </c>
      <c r="D4482" t="s">
        <v>17472</v>
      </c>
      <c r="E4482" t="s">
        <v>21400</v>
      </c>
      <c r="F4482" t="s">
        <v>30052</v>
      </c>
      <c r="G4482" t="s">
        <v>30060</v>
      </c>
      <c r="H4482" t="s">
        <v>15498</v>
      </c>
      <c r="I4482" t="s">
        <v>30070</v>
      </c>
      <c r="J4482" t="s">
        <v>33079</v>
      </c>
      <c r="K4482" t="s">
        <v>39017</v>
      </c>
      <c r="M4482" t="s">
        <v>40508</v>
      </c>
      <c r="N4482" t="s">
        <v>43166</v>
      </c>
      <c r="O4482" t="s">
        <v>43167</v>
      </c>
      <c r="P4482">
        <v>0</v>
      </c>
      <c r="Q4482">
        <v>7</v>
      </c>
      <c r="R4482" t="s">
        <v>43171</v>
      </c>
      <c r="S4482" t="s">
        <v>43311</v>
      </c>
      <c r="T4482" t="s">
        <v>44806</v>
      </c>
      <c r="U4482" t="s">
        <v>48857</v>
      </c>
      <c r="W4482" t="s">
        <v>40508</v>
      </c>
      <c r="X4482" t="s">
        <v>43172</v>
      </c>
    </row>
    <row r="4483" spans="1:24">
      <c r="A4483">
        <f>HYPERLINK("https://www.philgeps.gov.ph/GEPSNONPILOT/Tender/SplashBidNoticeAbstractUI.aspx?menuIndex=3&amp;refID=7084168&amp;Result=3","7084168")</f>
        <v>0</v>
      </c>
      <c r="B4483" t="s">
        <v>217</v>
      </c>
      <c r="C4483" t="s">
        <v>7692</v>
      </c>
      <c r="D4483" t="s">
        <v>17458</v>
      </c>
      <c r="E4483" t="s">
        <v>21401</v>
      </c>
      <c r="F4483" t="s">
        <v>30052</v>
      </c>
      <c r="G4483" t="s">
        <v>30059</v>
      </c>
      <c r="H4483" t="s">
        <v>15498</v>
      </c>
      <c r="I4483" t="s">
        <v>3736</v>
      </c>
      <c r="J4483" t="s">
        <v>33080</v>
      </c>
      <c r="K4483" t="s">
        <v>39019</v>
      </c>
      <c r="M4483" t="s">
        <v>39507</v>
      </c>
      <c r="N4483" t="s">
        <v>43166</v>
      </c>
      <c r="O4483" t="s">
        <v>43167</v>
      </c>
      <c r="P4483">
        <v>0</v>
      </c>
      <c r="Q4483">
        <v>0</v>
      </c>
      <c r="R4483" t="s">
        <v>43171</v>
      </c>
      <c r="S4483" t="s">
        <v>43311</v>
      </c>
      <c r="T4483" t="s">
        <v>44943</v>
      </c>
      <c r="U4483" t="s">
        <v>48677</v>
      </c>
      <c r="W4483" t="s">
        <v>39507</v>
      </c>
      <c r="X4483" t="s">
        <v>43172</v>
      </c>
    </row>
    <row r="4484" spans="1:24">
      <c r="A4484">
        <f>HYPERLINK("https://www.philgeps.gov.ph/GEPSNONPILOT/Tender/SplashBidNoticeAbstractUI.aspx?menuIndex=3&amp;refID=7084144&amp;Result=3","7084144")</f>
        <v>0</v>
      </c>
      <c r="B4484" t="s">
        <v>1250</v>
      </c>
      <c r="C4484" t="s">
        <v>7693</v>
      </c>
      <c r="D4484" t="s">
        <v>17415</v>
      </c>
      <c r="E4484" t="s">
        <v>21402</v>
      </c>
      <c r="F4484" t="s">
        <v>30052</v>
      </c>
      <c r="G4484" t="s">
        <v>30061</v>
      </c>
      <c r="H4484" t="s">
        <v>15498</v>
      </c>
      <c r="I4484" t="s">
        <v>30076</v>
      </c>
      <c r="J4484" t="s">
        <v>31383</v>
      </c>
      <c r="K4484" t="s">
        <v>39018</v>
      </c>
      <c r="M4484" t="s">
        <v>40965</v>
      </c>
      <c r="N4484" t="s">
        <v>43166</v>
      </c>
      <c r="O4484" t="s">
        <v>43167</v>
      </c>
      <c r="P4484">
        <v>0</v>
      </c>
      <c r="Q4484">
        <v>1</v>
      </c>
      <c r="R4484" t="s">
        <v>43171</v>
      </c>
      <c r="S4484" t="s">
        <v>43311</v>
      </c>
      <c r="T4484" t="s">
        <v>44837</v>
      </c>
      <c r="U4484" t="s">
        <v>48858</v>
      </c>
      <c r="V4484" t="s">
        <v>56888</v>
      </c>
      <c r="W4484" t="s">
        <v>40965</v>
      </c>
      <c r="X4484" t="s">
        <v>43172</v>
      </c>
    </row>
    <row r="4485" spans="1:24">
      <c r="A4485">
        <f>HYPERLINK("https://www.philgeps.gov.ph/GEPSNONPILOT/Tender/SplashBidNoticeAbstractUI.aspx?menuIndex=3&amp;refID=7084166&amp;Result=3","7084166")</f>
        <v>0</v>
      </c>
      <c r="B4485" t="s">
        <v>232</v>
      </c>
      <c r="C4485" t="s">
        <v>7694</v>
      </c>
      <c r="D4485" t="s">
        <v>17453</v>
      </c>
      <c r="E4485" t="s">
        <v>21403</v>
      </c>
      <c r="F4485" t="s">
        <v>30052</v>
      </c>
      <c r="G4485" t="s">
        <v>30063</v>
      </c>
      <c r="H4485" t="s">
        <v>15498</v>
      </c>
      <c r="I4485" t="s">
        <v>30085</v>
      </c>
      <c r="J4485" t="s">
        <v>33081</v>
      </c>
      <c r="K4485" t="s">
        <v>39031</v>
      </c>
      <c r="M4485" t="s">
        <v>39522</v>
      </c>
      <c r="N4485" t="s">
        <v>43166</v>
      </c>
      <c r="O4485" t="s">
        <v>43167</v>
      </c>
      <c r="P4485">
        <v>0</v>
      </c>
      <c r="Q4485">
        <v>4</v>
      </c>
      <c r="R4485" t="s">
        <v>43171</v>
      </c>
      <c r="S4485" t="s">
        <v>43311</v>
      </c>
      <c r="T4485" t="s">
        <v>44677</v>
      </c>
      <c r="U4485" t="s">
        <v>48859</v>
      </c>
      <c r="W4485" t="s">
        <v>39522</v>
      </c>
      <c r="X4485" t="s">
        <v>43172</v>
      </c>
    </row>
    <row r="4486" spans="1:24">
      <c r="A4486">
        <f>HYPERLINK("https://www.philgeps.gov.ph/GEPSNONPILOT/Tender/SplashBidNoticeAbstractUI.aspx?menuIndex=3&amp;refID=7084158&amp;Result=3","7084158")</f>
        <v>0</v>
      </c>
      <c r="B4486" t="s">
        <v>925</v>
      </c>
      <c r="C4486" t="s">
        <v>7695</v>
      </c>
      <c r="D4486" t="s">
        <v>17474</v>
      </c>
      <c r="E4486" t="s">
        <v>21404</v>
      </c>
      <c r="F4486" t="s">
        <v>30052</v>
      </c>
      <c r="G4486" t="s">
        <v>30058</v>
      </c>
      <c r="H4486" t="s">
        <v>30067</v>
      </c>
      <c r="I4486" t="s">
        <v>3693</v>
      </c>
      <c r="J4486" t="s">
        <v>31835</v>
      </c>
      <c r="K4486" t="s">
        <v>39148</v>
      </c>
      <c r="M4486" t="s">
        <v>40984</v>
      </c>
      <c r="N4486" t="s">
        <v>43166</v>
      </c>
      <c r="O4486" t="s">
        <v>43167</v>
      </c>
      <c r="P4486">
        <v>0</v>
      </c>
      <c r="Q4486">
        <v>3</v>
      </c>
      <c r="R4486" t="s">
        <v>43171</v>
      </c>
      <c r="S4486" t="s">
        <v>43311</v>
      </c>
      <c r="T4486" t="s">
        <v>44758</v>
      </c>
      <c r="U4486" t="s">
        <v>48860</v>
      </c>
      <c r="V4486" t="s">
        <v>57316</v>
      </c>
      <c r="W4486" t="s">
        <v>40984</v>
      </c>
      <c r="X4486" t="s">
        <v>43172</v>
      </c>
    </row>
    <row r="4487" spans="1:24">
      <c r="A4487">
        <f>HYPERLINK("https://www.philgeps.gov.ph/GEPSNONPILOT/Tender/SplashBidNoticeAbstractUI.aspx?menuIndex=3&amp;refID=7084151&amp;Result=3","7084151")</f>
        <v>0</v>
      </c>
      <c r="B4487" t="s">
        <v>1350</v>
      </c>
      <c r="C4487" t="s">
        <v>7696</v>
      </c>
      <c r="D4487" t="s">
        <v>17415</v>
      </c>
      <c r="E4487" t="s">
        <v>21405</v>
      </c>
      <c r="F4487" t="s">
        <v>30052</v>
      </c>
      <c r="G4487" t="s">
        <v>30058</v>
      </c>
      <c r="H4487" t="s">
        <v>15498</v>
      </c>
      <c r="I4487" t="s">
        <v>30101</v>
      </c>
      <c r="J4487" t="s">
        <v>33082</v>
      </c>
      <c r="K4487" t="s">
        <v>39025</v>
      </c>
      <c r="L4487" t="s">
        <v>1350</v>
      </c>
      <c r="M4487" t="s">
        <v>40719</v>
      </c>
      <c r="N4487" t="s">
        <v>43166</v>
      </c>
      <c r="O4487" t="s">
        <v>43167</v>
      </c>
      <c r="P4487">
        <v>0</v>
      </c>
      <c r="Q4487">
        <v>0</v>
      </c>
      <c r="R4487" t="s">
        <v>43171</v>
      </c>
      <c r="S4487" t="s">
        <v>43311</v>
      </c>
      <c r="T4487" t="s">
        <v>44789</v>
      </c>
      <c r="U4487" t="s">
        <v>48208</v>
      </c>
      <c r="W4487" t="s">
        <v>40719</v>
      </c>
      <c r="X4487" t="s">
        <v>43172</v>
      </c>
    </row>
    <row r="4488" spans="1:24">
      <c r="A4488">
        <f>HYPERLINK("https://www.philgeps.gov.ph/GEPSNONPILOT/Tender/SplashBidNoticeAbstractUI.aspx?menuIndex=3&amp;refID=7084169&amp;Result=3","7084169")</f>
        <v>0</v>
      </c>
      <c r="B4488" t="s">
        <v>1321</v>
      </c>
      <c r="C4488" t="s">
        <v>7697</v>
      </c>
      <c r="D4488" t="s">
        <v>17424</v>
      </c>
      <c r="E4488" t="s">
        <v>21406</v>
      </c>
      <c r="F4488" t="s">
        <v>30052</v>
      </c>
      <c r="G4488" t="s">
        <v>30058</v>
      </c>
      <c r="H4488" t="s">
        <v>15498</v>
      </c>
      <c r="I4488" t="s">
        <v>30091</v>
      </c>
      <c r="J4488" t="s">
        <v>30555</v>
      </c>
      <c r="K4488" t="s">
        <v>39046</v>
      </c>
      <c r="M4488" t="s">
        <v>40988</v>
      </c>
      <c r="N4488" t="s">
        <v>43166</v>
      </c>
      <c r="O4488" t="s">
        <v>43167</v>
      </c>
      <c r="P4488">
        <v>0</v>
      </c>
      <c r="Q4488">
        <v>2</v>
      </c>
      <c r="R4488" t="s">
        <v>43171</v>
      </c>
      <c r="S4488" t="s">
        <v>43311</v>
      </c>
      <c r="T4488" t="s">
        <v>44828</v>
      </c>
      <c r="U4488" t="s">
        <v>48861</v>
      </c>
      <c r="W4488" t="s">
        <v>40988</v>
      </c>
      <c r="X4488" t="s">
        <v>43172</v>
      </c>
    </row>
    <row r="4489" spans="1:24">
      <c r="A4489">
        <f>HYPERLINK("https://www.philgeps.gov.ph/GEPSNONPILOT/Tender/SplashBidNoticeAbstractUI.aspx?menuIndex=3&amp;refID=7084167&amp;Result=3","7084167")</f>
        <v>0</v>
      </c>
      <c r="B4489" t="s">
        <v>1594</v>
      </c>
      <c r="C4489" t="s">
        <v>7698</v>
      </c>
      <c r="D4489" t="s">
        <v>17416</v>
      </c>
      <c r="E4489" t="s">
        <v>21407</v>
      </c>
      <c r="F4489" t="s">
        <v>30052</v>
      </c>
      <c r="G4489" t="s">
        <v>30061</v>
      </c>
      <c r="H4489" t="s">
        <v>15498</v>
      </c>
      <c r="I4489" t="s">
        <v>7228</v>
      </c>
      <c r="J4489" t="s">
        <v>30594</v>
      </c>
      <c r="K4489" t="s">
        <v>39040</v>
      </c>
      <c r="L4489" t="s">
        <v>1594</v>
      </c>
      <c r="M4489" t="s">
        <v>40990</v>
      </c>
      <c r="N4489" t="s">
        <v>43166</v>
      </c>
      <c r="O4489" t="s">
        <v>43167</v>
      </c>
      <c r="P4489">
        <v>0</v>
      </c>
      <c r="Q4489">
        <v>0</v>
      </c>
      <c r="R4489" t="s">
        <v>43171</v>
      </c>
      <c r="S4489" t="s">
        <v>43311</v>
      </c>
      <c r="T4489" t="s">
        <v>44864</v>
      </c>
      <c r="U4489" t="s">
        <v>48862</v>
      </c>
      <c r="V4489" t="s">
        <v>57317</v>
      </c>
      <c r="W4489" t="s">
        <v>40990</v>
      </c>
      <c r="X4489" t="s">
        <v>43172</v>
      </c>
    </row>
    <row r="4490" spans="1:24">
      <c r="A4490">
        <f>HYPERLINK("https://www.philgeps.gov.ph/GEPSNONPILOT/Tender/SplashBidNoticeAbstractUI.aspx?menuIndex=3&amp;refID=7084125&amp;Result=3","7084125")</f>
        <v>0</v>
      </c>
      <c r="B4490" t="s">
        <v>1595</v>
      </c>
      <c r="C4490" t="s">
        <v>7699</v>
      </c>
      <c r="D4490" t="s">
        <v>17453</v>
      </c>
      <c r="E4490" t="s">
        <v>20098</v>
      </c>
      <c r="F4490" t="s">
        <v>30052</v>
      </c>
      <c r="G4490" t="s">
        <v>30059</v>
      </c>
      <c r="H4490" t="s">
        <v>15498</v>
      </c>
      <c r="I4490" t="s">
        <v>30076</v>
      </c>
      <c r="J4490" t="s">
        <v>33083</v>
      </c>
      <c r="K4490" t="s">
        <v>39064</v>
      </c>
      <c r="M4490" t="s">
        <v>40991</v>
      </c>
      <c r="N4490" t="s">
        <v>43166</v>
      </c>
      <c r="O4490" t="s">
        <v>43167</v>
      </c>
      <c r="P4490">
        <v>0</v>
      </c>
      <c r="Q4490">
        <v>0</v>
      </c>
      <c r="R4490" t="s">
        <v>43171</v>
      </c>
      <c r="S4490" t="s">
        <v>43311</v>
      </c>
      <c r="T4490" t="s">
        <v>44968</v>
      </c>
      <c r="U4490" t="s">
        <v>48863</v>
      </c>
      <c r="W4490" t="s">
        <v>40991</v>
      </c>
      <c r="X4490" t="s">
        <v>43172</v>
      </c>
    </row>
    <row r="4491" spans="1:24">
      <c r="A4491">
        <f>HYPERLINK("https://www.philgeps.gov.ph/GEPSNONPILOT/Tender/SplashBidNoticeAbstractUI.aspx?menuIndex=3&amp;refID=7084176&amp;Result=3","7084176")</f>
        <v>0</v>
      </c>
      <c r="B4491" t="s">
        <v>1596</v>
      </c>
      <c r="C4491" t="s">
        <v>7700</v>
      </c>
      <c r="D4491" t="s">
        <v>17444</v>
      </c>
      <c r="E4491" t="s">
        <v>21408</v>
      </c>
      <c r="F4491" t="s">
        <v>30052</v>
      </c>
      <c r="G4491" t="s">
        <v>30059</v>
      </c>
      <c r="H4491" t="s">
        <v>15498</v>
      </c>
      <c r="I4491" t="s">
        <v>4598</v>
      </c>
      <c r="J4491" t="s">
        <v>33084</v>
      </c>
      <c r="K4491" t="s">
        <v>39023</v>
      </c>
      <c r="M4491" t="s">
        <v>40992</v>
      </c>
      <c r="N4491" t="s">
        <v>43166</v>
      </c>
      <c r="O4491" t="s">
        <v>43167</v>
      </c>
      <c r="P4491">
        <v>0</v>
      </c>
      <c r="Q4491">
        <v>7</v>
      </c>
      <c r="R4491" t="s">
        <v>43171</v>
      </c>
      <c r="S4491" t="s">
        <v>43311</v>
      </c>
      <c r="T4491" t="s">
        <v>44695</v>
      </c>
      <c r="U4491" t="s">
        <v>48864</v>
      </c>
      <c r="W4491" t="s">
        <v>40992</v>
      </c>
      <c r="X4491" t="s">
        <v>43172</v>
      </c>
    </row>
    <row r="4492" spans="1:24">
      <c r="A4492">
        <f>HYPERLINK("https://www.philgeps.gov.ph/GEPSNONPILOT/Tender/SplashBidNoticeAbstractUI.aspx?menuIndex=3&amp;refID=7084124&amp;Result=3","7084124")</f>
        <v>0</v>
      </c>
      <c r="B4492" t="s">
        <v>1250</v>
      </c>
      <c r="C4492" t="s">
        <v>7674</v>
      </c>
      <c r="D4492" t="s">
        <v>17415</v>
      </c>
      <c r="E4492" t="s">
        <v>21409</v>
      </c>
      <c r="F4492" t="s">
        <v>30052</v>
      </c>
      <c r="G4492" t="s">
        <v>30061</v>
      </c>
      <c r="H4492" t="s">
        <v>15498</v>
      </c>
      <c r="I4492" t="s">
        <v>30076</v>
      </c>
      <c r="J4492" t="s">
        <v>30344</v>
      </c>
      <c r="K4492" t="s">
        <v>39018</v>
      </c>
      <c r="M4492" t="s">
        <v>40965</v>
      </c>
      <c r="N4492" t="s">
        <v>43166</v>
      </c>
      <c r="O4492" t="s">
        <v>43167</v>
      </c>
      <c r="P4492">
        <v>0</v>
      </c>
      <c r="Q4492">
        <v>1</v>
      </c>
      <c r="R4492" t="s">
        <v>43171</v>
      </c>
      <c r="S4492" t="s">
        <v>43311</v>
      </c>
      <c r="T4492" t="s">
        <v>44837</v>
      </c>
      <c r="U4492" t="s">
        <v>48865</v>
      </c>
      <c r="V4492" t="s">
        <v>56888</v>
      </c>
      <c r="W4492" t="s">
        <v>40965</v>
      </c>
      <c r="X4492" t="s">
        <v>43172</v>
      </c>
    </row>
    <row r="4493" spans="1:24">
      <c r="A4493">
        <f>HYPERLINK("https://www.philgeps.gov.ph/GEPSNONPILOT/Tender/SplashBidNoticeAbstractUI.aspx?menuIndex=3&amp;refID=7084098&amp;Result=3","7084098")</f>
        <v>0</v>
      </c>
      <c r="B4493" t="s">
        <v>1350</v>
      </c>
      <c r="C4493" t="s">
        <v>7701</v>
      </c>
      <c r="D4493" t="s">
        <v>17415</v>
      </c>
      <c r="E4493" t="s">
        <v>21410</v>
      </c>
      <c r="F4493" t="s">
        <v>30052</v>
      </c>
      <c r="G4493" t="s">
        <v>30058</v>
      </c>
      <c r="H4493" t="s">
        <v>15498</v>
      </c>
      <c r="I4493" t="s">
        <v>7228</v>
      </c>
      <c r="J4493" t="s">
        <v>33085</v>
      </c>
      <c r="K4493" t="s">
        <v>39025</v>
      </c>
      <c r="L4493" t="s">
        <v>1350</v>
      </c>
      <c r="M4493" t="s">
        <v>40719</v>
      </c>
      <c r="N4493" t="s">
        <v>43166</v>
      </c>
      <c r="O4493" t="s">
        <v>43167</v>
      </c>
      <c r="P4493">
        <v>0</v>
      </c>
      <c r="Q4493">
        <v>1</v>
      </c>
      <c r="R4493" t="s">
        <v>43171</v>
      </c>
      <c r="S4493" t="s">
        <v>43311</v>
      </c>
      <c r="T4493" t="s">
        <v>44789</v>
      </c>
      <c r="U4493" t="s">
        <v>48208</v>
      </c>
      <c r="W4493" t="s">
        <v>40719</v>
      </c>
      <c r="X4493" t="s">
        <v>43172</v>
      </c>
    </row>
    <row r="4494" spans="1:24">
      <c r="A4494">
        <f>HYPERLINK("https://www.philgeps.gov.ph/GEPSNONPILOT/Tender/SplashBidNoticeAbstractUI.aspx?menuIndex=3&amp;refID=7084097&amp;Result=3","7084097")</f>
        <v>0</v>
      </c>
      <c r="B4494" t="s">
        <v>1597</v>
      </c>
      <c r="C4494" t="s">
        <v>7702</v>
      </c>
      <c r="D4494" t="s">
        <v>17452</v>
      </c>
      <c r="E4494" t="s">
        <v>21411</v>
      </c>
      <c r="F4494" t="s">
        <v>30052</v>
      </c>
      <c r="G4494" t="s">
        <v>30058</v>
      </c>
      <c r="H4494" t="s">
        <v>15498</v>
      </c>
      <c r="I4494" t="s">
        <v>3736</v>
      </c>
      <c r="J4494" t="s">
        <v>33086</v>
      </c>
      <c r="K4494" t="s">
        <v>39019</v>
      </c>
      <c r="M4494" t="s">
        <v>40993</v>
      </c>
      <c r="N4494" t="s">
        <v>43166</v>
      </c>
      <c r="O4494" t="s">
        <v>43167</v>
      </c>
      <c r="P4494">
        <v>0</v>
      </c>
      <c r="Q4494">
        <v>1</v>
      </c>
      <c r="R4494" t="s">
        <v>43171</v>
      </c>
      <c r="S4494" t="s">
        <v>43311</v>
      </c>
      <c r="T4494" t="s">
        <v>44710</v>
      </c>
      <c r="U4494" t="s">
        <v>48866</v>
      </c>
      <c r="W4494" t="s">
        <v>40993</v>
      </c>
      <c r="X4494" t="s">
        <v>43172</v>
      </c>
    </row>
    <row r="4495" spans="1:24">
      <c r="A4495">
        <f>HYPERLINK("https://www.philgeps.gov.ph/GEPSNONPILOT/Tender/SplashBidNoticeAbstractUI.aspx?menuIndex=3&amp;refID=7084155&amp;Result=3","7084155")</f>
        <v>0</v>
      </c>
      <c r="B4495" t="s">
        <v>1250</v>
      </c>
      <c r="C4495" t="s">
        <v>7703</v>
      </c>
      <c r="D4495" t="s">
        <v>17415</v>
      </c>
      <c r="E4495" t="s">
        <v>21412</v>
      </c>
      <c r="F4495" t="s">
        <v>30052</v>
      </c>
      <c r="G4495" t="s">
        <v>30061</v>
      </c>
      <c r="H4495" t="s">
        <v>15498</v>
      </c>
      <c r="I4495" t="s">
        <v>30076</v>
      </c>
      <c r="J4495" t="s">
        <v>30330</v>
      </c>
      <c r="K4495" t="s">
        <v>39018</v>
      </c>
      <c r="M4495" t="s">
        <v>40965</v>
      </c>
      <c r="N4495" t="s">
        <v>43166</v>
      </c>
      <c r="O4495" t="s">
        <v>43167</v>
      </c>
      <c r="P4495">
        <v>0</v>
      </c>
      <c r="Q4495">
        <v>1</v>
      </c>
      <c r="R4495" t="s">
        <v>43171</v>
      </c>
      <c r="S4495" t="s">
        <v>43311</v>
      </c>
      <c r="T4495" t="s">
        <v>44837</v>
      </c>
      <c r="U4495" t="s">
        <v>48867</v>
      </c>
      <c r="V4495" t="s">
        <v>56888</v>
      </c>
      <c r="W4495" t="s">
        <v>40965</v>
      </c>
      <c r="X4495" t="s">
        <v>43172</v>
      </c>
    </row>
    <row r="4496" spans="1:24">
      <c r="A4496">
        <f>HYPERLINK("https://www.philgeps.gov.ph/GEPSNONPILOT/Tender/SplashBidNoticeAbstractUI.aspx?menuIndex=3&amp;refID=7084095&amp;Result=3","7084095")</f>
        <v>0</v>
      </c>
      <c r="B4496" t="s">
        <v>1591</v>
      </c>
      <c r="C4496" t="s">
        <v>7704</v>
      </c>
      <c r="D4496" t="s">
        <v>17422</v>
      </c>
      <c r="E4496" t="s">
        <v>21413</v>
      </c>
      <c r="F4496" t="s">
        <v>30052</v>
      </c>
      <c r="G4496" t="s">
        <v>30059</v>
      </c>
      <c r="H4496" t="s">
        <v>30069</v>
      </c>
      <c r="I4496" t="s">
        <v>6304</v>
      </c>
      <c r="J4496" t="s">
        <v>33087</v>
      </c>
      <c r="K4496" t="s">
        <v>39031</v>
      </c>
      <c r="M4496" t="s">
        <v>40985</v>
      </c>
      <c r="N4496" t="s">
        <v>43166</v>
      </c>
      <c r="O4496" t="s">
        <v>43167</v>
      </c>
      <c r="P4496">
        <v>0</v>
      </c>
      <c r="Q4496">
        <v>2</v>
      </c>
      <c r="R4496" t="s">
        <v>43171</v>
      </c>
      <c r="S4496" t="s">
        <v>43311</v>
      </c>
      <c r="T4496" t="s">
        <v>44710</v>
      </c>
      <c r="U4496" t="s">
        <v>48851</v>
      </c>
      <c r="V4496" t="s">
        <v>57314</v>
      </c>
      <c r="W4496" t="s">
        <v>40985</v>
      </c>
      <c r="X4496" t="s">
        <v>43172</v>
      </c>
    </row>
    <row r="4497" spans="1:24">
      <c r="A4497">
        <f>HYPERLINK("https://www.philgeps.gov.ph/GEPSNONPILOT/Tender/SplashBidNoticeAbstractUI.aspx?menuIndex=3&amp;refID=7084093&amp;Result=3","7084093")</f>
        <v>0</v>
      </c>
      <c r="B4497" t="s">
        <v>1598</v>
      </c>
      <c r="C4497" t="s">
        <v>7705</v>
      </c>
      <c r="D4497" t="s">
        <v>17488</v>
      </c>
      <c r="E4497" t="s">
        <v>21414</v>
      </c>
      <c r="F4497" t="s">
        <v>30052</v>
      </c>
      <c r="G4497" t="s">
        <v>30059</v>
      </c>
      <c r="H4497" t="s">
        <v>15498</v>
      </c>
      <c r="I4497" t="s">
        <v>4598</v>
      </c>
      <c r="J4497" t="s">
        <v>33088</v>
      </c>
      <c r="K4497" t="s">
        <v>39019</v>
      </c>
      <c r="M4497" t="s">
        <v>40994</v>
      </c>
      <c r="N4497" t="s">
        <v>43166</v>
      </c>
      <c r="O4497" t="s">
        <v>43167</v>
      </c>
      <c r="P4497">
        <v>0</v>
      </c>
      <c r="Q4497">
        <v>3</v>
      </c>
      <c r="R4497" t="s">
        <v>43171</v>
      </c>
      <c r="S4497" t="s">
        <v>43311</v>
      </c>
      <c r="T4497" t="s">
        <v>44773</v>
      </c>
      <c r="U4497" t="s">
        <v>48868</v>
      </c>
      <c r="W4497" t="s">
        <v>40994</v>
      </c>
      <c r="X4497" t="s">
        <v>43172</v>
      </c>
    </row>
    <row r="4498" spans="1:24">
      <c r="A4498">
        <f>HYPERLINK("https://www.philgeps.gov.ph/GEPSNONPILOT/Tender/SplashBidNoticeAbstractUI.aspx?menuIndex=3&amp;refID=7084182&amp;Result=3","7084182")</f>
        <v>0</v>
      </c>
      <c r="B4498" t="s">
        <v>768</v>
      </c>
      <c r="C4498" t="s">
        <v>7706</v>
      </c>
      <c r="D4498" t="s">
        <v>17464</v>
      </c>
      <c r="E4498" t="s">
        <v>21415</v>
      </c>
      <c r="F4498" t="s">
        <v>30052</v>
      </c>
      <c r="G4498" t="s">
        <v>30058</v>
      </c>
      <c r="H4498" t="s">
        <v>15498</v>
      </c>
      <c r="I4498" t="s">
        <v>3852</v>
      </c>
      <c r="J4498" t="s">
        <v>33089</v>
      </c>
      <c r="K4498" t="s">
        <v>39046</v>
      </c>
      <c r="M4498" t="s">
        <v>40986</v>
      </c>
      <c r="N4498" t="s">
        <v>43166</v>
      </c>
      <c r="O4498" t="s">
        <v>43167</v>
      </c>
      <c r="P4498">
        <v>0</v>
      </c>
      <c r="Q4498">
        <v>2</v>
      </c>
      <c r="R4498" t="s">
        <v>43171</v>
      </c>
      <c r="S4498" t="s">
        <v>43311</v>
      </c>
      <c r="T4498" t="s">
        <v>44801</v>
      </c>
      <c r="U4498" t="s">
        <v>48869</v>
      </c>
      <c r="V4498" t="s">
        <v>57315</v>
      </c>
      <c r="W4498" t="s">
        <v>40986</v>
      </c>
      <c r="X4498" t="s">
        <v>43172</v>
      </c>
    </row>
    <row r="4499" spans="1:24">
      <c r="A4499">
        <f>HYPERLINK("https://www.philgeps.gov.ph/GEPSNONPILOT/Tender/SplashBidNoticeAbstractUI.aspx?menuIndex=3&amp;refID=7082868&amp;Result=3","7082868")</f>
        <v>0</v>
      </c>
      <c r="B4499" t="s">
        <v>94</v>
      </c>
      <c r="C4499" t="s">
        <v>7707</v>
      </c>
      <c r="D4499" t="s">
        <v>17454</v>
      </c>
      <c r="E4499" t="s">
        <v>21416</v>
      </c>
      <c r="F4499" t="s">
        <v>30052</v>
      </c>
      <c r="G4499" t="s">
        <v>30060</v>
      </c>
      <c r="H4499" t="s">
        <v>15498</v>
      </c>
      <c r="I4499" t="s">
        <v>30077</v>
      </c>
      <c r="J4499" t="s">
        <v>32623</v>
      </c>
      <c r="K4499" t="s">
        <v>39017</v>
      </c>
      <c r="M4499" t="s">
        <v>39383</v>
      </c>
      <c r="N4499" t="s">
        <v>43166</v>
      </c>
      <c r="O4499" t="s">
        <v>43167</v>
      </c>
      <c r="P4499">
        <v>0</v>
      </c>
      <c r="Q4499">
        <v>2</v>
      </c>
      <c r="R4499" t="s">
        <v>43171</v>
      </c>
      <c r="S4499" t="s">
        <v>43311</v>
      </c>
      <c r="T4499" t="s">
        <v>44691</v>
      </c>
      <c r="U4499" t="s">
        <v>47758</v>
      </c>
      <c r="W4499" t="s">
        <v>39383</v>
      </c>
      <c r="X4499" t="s">
        <v>43172</v>
      </c>
    </row>
    <row r="4500" spans="1:24">
      <c r="A4500">
        <f>HYPERLINK("https://www.philgeps.gov.ph/GEPSNONPILOT/Tender/SplashBidNoticeAbstractUI.aspx?menuIndex=3&amp;refID=7082866&amp;Result=3","7082866")</f>
        <v>0</v>
      </c>
      <c r="B4500" t="s">
        <v>1599</v>
      </c>
      <c r="C4500" t="s">
        <v>7708</v>
      </c>
      <c r="D4500" t="s">
        <v>17448</v>
      </c>
      <c r="E4500" t="s">
        <v>17620</v>
      </c>
      <c r="F4500" t="s">
        <v>30052</v>
      </c>
      <c r="G4500" t="s">
        <v>30058</v>
      </c>
      <c r="H4500" t="s">
        <v>15498</v>
      </c>
      <c r="I4500" t="s">
        <v>30078</v>
      </c>
      <c r="J4500" t="s">
        <v>31186</v>
      </c>
      <c r="K4500" t="s">
        <v>39036</v>
      </c>
      <c r="M4500" t="s">
        <v>40995</v>
      </c>
      <c r="N4500" t="s">
        <v>43166</v>
      </c>
      <c r="O4500" t="s">
        <v>43167</v>
      </c>
      <c r="P4500">
        <v>0</v>
      </c>
      <c r="Q4500">
        <v>0</v>
      </c>
      <c r="R4500" t="s">
        <v>43171</v>
      </c>
      <c r="S4500" t="s">
        <v>43311</v>
      </c>
      <c r="T4500" t="s">
        <v>44811</v>
      </c>
      <c r="U4500" t="s">
        <v>48870</v>
      </c>
      <c r="W4500" t="s">
        <v>40995</v>
      </c>
      <c r="X4500" t="s">
        <v>43172</v>
      </c>
    </row>
    <row r="4501" spans="1:24">
      <c r="A4501">
        <f>HYPERLINK("https://www.philgeps.gov.ph/GEPSNONPILOT/Tender/SplashBidNoticeAbstractUI.aspx?menuIndex=3&amp;refID=7084121&amp;Result=3","7084121")</f>
        <v>0</v>
      </c>
      <c r="B4501" t="s">
        <v>362</v>
      </c>
      <c r="C4501" t="s">
        <v>7709</v>
      </c>
      <c r="E4501" t="s">
        <v>21417</v>
      </c>
      <c r="F4501" t="s">
        <v>30052</v>
      </c>
      <c r="G4501" t="s">
        <v>30061</v>
      </c>
      <c r="H4501" t="s">
        <v>15498</v>
      </c>
      <c r="I4501" t="s">
        <v>30070</v>
      </c>
      <c r="J4501" t="s">
        <v>33090</v>
      </c>
      <c r="K4501" t="s">
        <v>39025</v>
      </c>
      <c r="M4501" t="s">
        <v>40996</v>
      </c>
      <c r="N4501" t="s">
        <v>43166</v>
      </c>
      <c r="O4501" t="s">
        <v>43167</v>
      </c>
      <c r="P4501">
        <v>0</v>
      </c>
      <c r="Q4501">
        <v>9</v>
      </c>
      <c r="R4501" t="s">
        <v>43171</v>
      </c>
      <c r="S4501" t="s">
        <v>43311</v>
      </c>
      <c r="T4501" t="s">
        <v>44743</v>
      </c>
      <c r="U4501" t="s">
        <v>48871</v>
      </c>
      <c r="W4501" t="s">
        <v>58598</v>
      </c>
      <c r="X4501" t="s">
        <v>43172</v>
      </c>
    </row>
    <row r="4502" spans="1:24">
      <c r="A4502">
        <f>HYPERLINK("https://www.philgeps.gov.ph/GEPSNONPILOT/Tender/SplashBidNoticeAbstractUI.aspx?menuIndex=3&amp;refID=7082864&amp;Result=3","7082864")</f>
        <v>0</v>
      </c>
      <c r="B4502" t="s">
        <v>630</v>
      </c>
      <c r="C4502" t="s">
        <v>7710</v>
      </c>
      <c r="D4502" t="s">
        <v>17456</v>
      </c>
      <c r="E4502" t="s">
        <v>21418</v>
      </c>
      <c r="F4502" t="s">
        <v>30052</v>
      </c>
      <c r="G4502" t="s">
        <v>30059</v>
      </c>
      <c r="H4502" t="s">
        <v>15498</v>
      </c>
      <c r="I4502" t="s">
        <v>30098</v>
      </c>
      <c r="J4502" t="s">
        <v>30591</v>
      </c>
      <c r="K4502" t="s">
        <v>39017</v>
      </c>
      <c r="M4502" t="s">
        <v>39933</v>
      </c>
      <c r="N4502" t="s">
        <v>43166</v>
      </c>
      <c r="O4502" t="s">
        <v>43167</v>
      </c>
      <c r="P4502">
        <v>0</v>
      </c>
      <c r="Q4502">
        <v>1</v>
      </c>
      <c r="R4502" t="s">
        <v>43171</v>
      </c>
      <c r="S4502" t="s">
        <v>43311</v>
      </c>
      <c r="T4502" t="s">
        <v>44773</v>
      </c>
      <c r="U4502" t="s">
        <v>46432</v>
      </c>
      <c r="W4502" t="s">
        <v>39933</v>
      </c>
      <c r="X4502" t="s">
        <v>43172</v>
      </c>
    </row>
    <row r="4503" spans="1:24">
      <c r="A4503">
        <f>HYPERLINK("https://www.philgeps.gov.ph/GEPSNONPILOT/Tender/SplashBidNoticeAbstractUI.aspx?menuIndex=3&amp;refID=7084096&amp;Result=3","7084096")</f>
        <v>0</v>
      </c>
      <c r="B4503" t="s">
        <v>1250</v>
      </c>
      <c r="C4503" t="s">
        <v>7711</v>
      </c>
      <c r="D4503" t="s">
        <v>17415</v>
      </c>
      <c r="E4503" t="s">
        <v>21419</v>
      </c>
      <c r="F4503" t="s">
        <v>30052</v>
      </c>
      <c r="G4503" t="s">
        <v>30061</v>
      </c>
      <c r="H4503" t="s">
        <v>15498</v>
      </c>
      <c r="I4503" t="s">
        <v>30076</v>
      </c>
      <c r="J4503" t="s">
        <v>32004</v>
      </c>
      <c r="K4503" t="s">
        <v>39018</v>
      </c>
      <c r="M4503" t="s">
        <v>40965</v>
      </c>
      <c r="N4503" t="s">
        <v>43166</v>
      </c>
      <c r="O4503" t="s">
        <v>43167</v>
      </c>
      <c r="P4503">
        <v>0</v>
      </c>
      <c r="Q4503">
        <v>1</v>
      </c>
      <c r="R4503" t="s">
        <v>43171</v>
      </c>
      <c r="S4503" t="s">
        <v>43311</v>
      </c>
      <c r="T4503" t="s">
        <v>44837</v>
      </c>
      <c r="U4503" t="s">
        <v>48872</v>
      </c>
      <c r="V4503" t="s">
        <v>56888</v>
      </c>
      <c r="W4503" t="s">
        <v>40965</v>
      </c>
      <c r="X4503" t="s">
        <v>43172</v>
      </c>
    </row>
    <row r="4504" spans="1:24">
      <c r="A4504">
        <f>HYPERLINK("https://www.philgeps.gov.ph/GEPSNONPILOT/Tender/SplashBidNoticeAbstractUI.aspx?menuIndex=3&amp;refID=7082835&amp;Result=3","7082835")</f>
        <v>0</v>
      </c>
      <c r="B4504" t="s">
        <v>121</v>
      </c>
      <c r="C4504" t="s">
        <v>7712</v>
      </c>
      <c r="D4504" t="s">
        <v>17440</v>
      </c>
      <c r="E4504" t="s">
        <v>21420</v>
      </c>
      <c r="F4504" t="s">
        <v>30052</v>
      </c>
      <c r="G4504" t="s">
        <v>30058</v>
      </c>
      <c r="H4504" t="s">
        <v>15498</v>
      </c>
      <c r="I4504" t="s">
        <v>30124</v>
      </c>
      <c r="J4504" t="s">
        <v>31821</v>
      </c>
      <c r="K4504" t="s">
        <v>39019</v>
      </c>
      <c r="M4504" t="s">
        <v>39410</v>
      </c>
      <c r="N4504" t="s">
        <v>43166</v>
      </c>
      <c r="O4504" t="s">
        <v>43167</v>
      </c>
      <c r="P4504">
        <v>0</v>
      </c>
      <c r="Q4504">
        <v>0</v>
      </c>
      <c r="R4504" t="s">
        <v>43171</v>
      </c>
      <c r="S4504" t="s">
        <v>43311</v>
      </c>
      <c r="T4504" t="s">
        <v>44754</v>
      </c>
      <c r="U4504" t="s">
        <v>48873</v>
      </c>
      <c r="W4504" t="s">
        <v>39410</v>
      </c>
      <c r="X4504" t="s">
        <v>43172</v>
      </c>
    </row>
    <row r="4505" spans="1:24">
      <c r="A4505">
        <f>HYPERLINK("https://www.philgeps.gov.ph/GEPSNONPILOT/Tender/SplashBidNoticeAbstractUI.aspx?menuIndex=3&amp;refID=7084092&amp;Result=3","7084092")</f>
        <v>0</v>
      </c>
      <c r="B4505" t="s">
        <v>1397</v>
      </c>
      <c r="C4505" t="s">
        <v>7713</v>
      </c>
      <c r="D4505" t="s">
        <v>17455</v>
      </c>
      <c r="E4505" t="s">
        <v>21421</v>
      </c>
      <c r="F4505" t="s">
        <v>30052</v>
      </c>
      <c r="G4505" t="s">
        <v>30061</v>
      </c>
      <c r="H4505" t="s">
        <v>15498</v>
      </c>
      <c r="I4505" t="s">
        <v>30168</v>
      </c>
      <c r="J4505" t="s">
        <v>30248</v>
      </c>
      <c r="K4505" t="s">
        <v>39018</v>
      </c>
      <c r="M4505" t="s">
        <v>40773</v>
      </c>
      <c r="N4505" t="s">
        <v>43166</v>
      </c>
      <c r="O4505" t="s">
        <v>43167</v>
      </c>
      <c r="P4505">
        <v>0</v>
      </c>
      <c r="Q4505">
        <v>2</v>
      </c>
      <c r="R4505" t="s">
        <v>43171</v>
      </c>
      <c r="S4505" t="s">
        <v>43311</v>
      </c>
      <c r="T4505" t="s">
        <v>44717</v>
      </c>
      <c r="U4505" t="s">
        <v>48874</v>
      </c>
      <c r="W4505" t="s">
        <v>40773</v>
      </c>
      <c r="X4505" t="s">
        <v>43172</v>
      </c>
    </row>
    <row r="4506" spans="1:24">
      <c r="A4506">
        <f>HYPERLINK("https://www.philgeps.gov.ph/GEPSNONPILOT/Tender/SplashBidNoticeAbstractUI.aspx?menuIndex=3&amp;refID=7082832&amp;Result=3","7082832")</f>
        <v>0</v>
      </c>
      <c r="B4506" t="s">
        <v>1354</v>
      </c>
      <c r="C4506" t="s">
        <v>7714</v>
      </c>
      <c r="D4506" t="s">
        <v>17463</v>
      </c>
      <c r="E4506" t="s">
        <v>21422</v>
      </c>
      <c r="F4506" t="s">
        <v>30052</v>
      </c>
      <c r="G4506" t="s">
        <v>30058</v>
      </c>
      <c r="H4506" t="s">
        <v>15498</v>
      </c>
      <c r="I4506" t="s">
        <v>30070</v>
      </c>
      <c r="J4506" t="s">
        <v>33091</v>
      </c>
      <c r="K4506" t="s">
        <v>39034</v>
      </c>
      <c r="M4506" t="s">
        <v>40723</v>
      </c>
      <c r="N4506" t="s">
        <v>43166</v>
      </c>
      <c r="O4506" t="s">
        <v>43167</v>
      </c>
      <c r="P4506">
        <v>0</v>
      </c>
      <c r="Q4506">
        <v>0</v>
      </c>
      <c r="R4506" t="s">
        <v>43171</v>
      </c>
      <c r="S4506" t="s">
        <v>43311</v>
      </c>
      <c r="T4506" t="s">
        <v>44795</v>
      </c>
      <c r="U4506" t="s">
        <v>48875</v>
      </c>
      <c r="W4506" t="s">
        <v>40723</v>
      </c>
      <c r="X4506" t="s">
        <v>43172</v>
      </c>
    </row>
    <row r="4507" spans="1:24">
      <c r="A4507">
        <f>HYPERLINK("https://www.philgeps.gov.ph/GEPSNONPILOT/Tender/SplashBidNoticeAbstractUI.aspx?menuIndex=3&amp;refID=7084160&amp;Result=3","7084160")</f>
        <v>0</v>
      </c>
      <c r="B4507" t="s">
        <v>501</v>
      </c>
      <c r="C4507" t="s">
        <v>7715</v>
      </c>
      <c r="E4507" t="s">
        <v>21423</v>
      </c>
      <c r="F4507" t="s">
        <v>30052</v>
      </c>
      <c r="G4507" t="s">
        <v>30059</v>
      </c>
      <c r="H4507" t="s">
        <v>15498</v>
      </c>
      <c r="I4507" t="s">
        <v>30118</v>
      </c>
      <c r="J4507" t="s">
        <v>33092</v>
      </c>
      <c r="K4507" t="s">
        <v>39025</v>
      </c>
      <c r="M4507" t="s">
        <v>40997</v>
      </c>
      <c r="N4507" t="s">
        <v>43166</v>
      </c>
      <c r="O4507" t="s">
        <v>43167</v>
      </c>
      <c r="P4507">
        <v>0</v>
      </c>
      <c r="Q4507">
        <v>2</v>
      </c>
      <c r="R4507" t="s">
        <v>43171</v>
      </c>
      <c r="S4507" t="s">
        <v>43311</v>
      </c>
      <c r="T4507" t="s">
        <v>44826</v>
      </c>
      <c r="U4507" t="s">
        <v>48876</v>
      </c>
      <c r="V4507" t="s">
        <v>56949</v>
      </c>
      <c r="W4507" t="s">
        <v>39802</v>
      </c>
      <c r="X4507" t="s">
        <v>43172</v>
      </c>
    </row>
    <row r="4508" spans="1:24">
      <c r="A4508">
        <f>HYPERLINK("https://www.philgeps.gov.ph/GEPSNONPILOT/Tender/SplashBidNoticeAbstractUI.aspx?menuIndex=3&amp;refID=7082865&amp;Result=3","7082865")</f>
        <v>0</v>
      </c>
      <c r="B4508" t="s">
        <v>1143</v>
      </c>
      <c r="C4508" t="s">
        <v>7716</v>
      </c>
      <c r="D4508" t="s">
        <v>17449</v>
      </c>
      <c r="E4508" t="s">
        <v>21424</v>
      </c>
      <c r="F4508" t="s">
        <v>30052</v>
      </c>
      <c r="G4508" t="s">
        <v>30059</v>
      </c>
      <c r="H4508" t="s">
        <v>15498</v>
      </c>
      <c r="I4508" t="s">
        <v>30129</v>
      </c>
      <c r="J4508" t="s">
        <v>33093</v>
      </c>
      <c r="K4508" t="s">
        <v>39017</v>
      </c>
      <c r="M4508" t="s">
        <v>40486</v>
      </c>
      <c r="N4508" t="s">
        <v>43166</v>
      </c>
      <c r="O4508" t="s">
        <v>43167</v>
      </c>
      <c r="P4508">
        <v>0</v>
      </c>
      <c r="Q4508">
        <v>0</v>
      </c>
      <c r="R4508" t="s">
        <v>43171</v>
      </c>
      <c r="S4508" t="s">
        <v>43311</v>
      </c>
      <c r="T4508" t="s">
        <v>44787</v>
      </c>
      <c r="U4508" t="s">
        <v>48877</v>
      </c>
      <c r="W4508" t="s">
        <v>40486</v>
      </c>
      <c r="X4508" t="s">
        <v>43172</v>
      </c>
    </row>
    <row r="4509" spans="1:24">
      <c r="A4509">
        <f>HYPERLINK("https://www.philgeps.gov.ph/GEPSNONPILOT/Tender/SplashBidNoticeAbstractUI.aspx?menuIndex=3&amp;refID=7082831&amp;Result=3","7082831")</f>
        <v>0</v>
      </c>
      <c r="B4509" t="s">
        <v>1190</v>
      </c>
      <c r="C4509" t="s">
        <v>7717</v>
      </c>
      <c r="D4509" t="s">
        <v>17415</v>
      </c>
      <c r="E4509" t="s">
        <v>21425</v>
      </c>
      <c r="F4509" t="s">
        <v>30052</v>
      </c>
      <c r="G4509" t="s">
        <v>30059</v>
      </c>
      <c r="H4509" t="s">
        <v>15498</v>
      </c>
      <c r="I4509" t="s">
        <v>30096</v>
      </c>
      <c r="J4509" t="s">
        <v>33094</v>
      </c>
      <c r="K4509" t="s">
        <v>39029</v>
      </c>
      <c r="M4509" t="s">
        <v>40737</v>
      </c>
      <c r="N4509" t="s">
        <v>43166</v>
      </c>
      <c r="O4509" t="s">
        <v>43167</v>
      </c>
      <c r="P4509">
        <v>0</v>
      </c>
      <c r="Q4509">
        <v>11</v>
      </c>
      <c r="R4509" t="s">
        <v>43171</v>
      </c>
      <c r="S4509" t="s">
        <v>43311</v>
      </c>
      <c r="T4509" t="s">
        <v>44691</v>
      </c>
      <c r="U4509" t="s">
        <v>48878</v>
      </c>
      <c r="W4509" t="s">
        <v>40737</v>
      </c>
      <c r="X4509" t="s">
        <v>43172</v>
      </c>
    </row>
    <row r="4510" spans="1:24">
      <c r="A4510">
        <f>HYPERLINK("https://www.philgeps.gov.ph/GEPSNONPILOT/Tender/SplashBidNoticeAbstractUI.aspx?menuIndex=3&amp;refID=7084219&amp;Result=3","7084219")</f>
        <v>0</v>
      </c>
      <c r="B4510" t="s">
        <v>1600</v>
      </c>
      <c r="C4510" t="s">
        <v>7718</v>
      </c>
      <c r="D4510" t="s">
        <v>17441</v>
      </c>
      <c r="E4510" t="s">
        <v>21426</v>
      </c>
      <c r="F4510" t="s">
        <v>30052</v>
      </c>
      <c r="G4510" t="s">
        <v>30058</v>
      </c>
      <c r="H4510" t="s">
        <v>30067</v>
      </c>
      <c r="I4510" t="s">
        <v>3693</v>
      </c>
      <c r="J4510" t="s">
        <v>33095</v>
      </c>
      <c r="K4510" t="s">
        <v>39065</v>
      </c>
      <c r="M4510" t="s">
        <v>40998</v>
      </c>
      <c r="N4510" t="s">
        <v>43166</v>
      </c>
      <c r="O4510" t="s">
        <v>43167</v>
      </c>
      <c r="Q4510">
        <v>7</v>
      </c>
      <c r="R4510" t="s">
        <v>43171</v>
      </c>
      <c r="S4510" t="s">
        <v>43330</v>
      </c>
      <c r="T4510" t="s">
        <v>44722</v>
      </c>
      <c r="U4510" t="s">
        <v>48879</v>
      </c>
      <c r="V4510" t="s">
        <v>57318</v>
      </c>
      <c r="W4510" t="s">
        <v>40998</v>
      </c>
      <c r="X4510" t="s">
        <v>43172</v>
      </c>
    </row>
    <row r="4511" spans="1:24">
      <c r="A4511">
        <f>HYPERLINK("https://www.philgeps.gov.ph/GEPSNONPILOT/Tender/SplashBidNoticeAbstractUI.aspx?menuIndex=3&amp;refID=7082856&amp;Result=3","7082856")</f>
        <v>0</v>
      </c>
      <c r="B4511" t="s">
        <v>521</v>
      </c>
      <c r="C4511" t="s">
        <v>7719</v>
      </c>
      <c r="D4511" t="s">
        <v>17415</v>
      </c>
      <c r="E4511" t="s">
        <v>21427</v>
      </c>
      <c r="F4511" t="s">
        <v>30052</v>
      </c>
      <c r="G4511" t="s">
        <v>30061</v>
      </c>
      <c r="H4511" t="s">
        <v>15498</v>
      </c>
      <c r="I4511" t="s">
        <v>9238</v>
      </c>
      <c r="J4511" t="s">
        <v>33096</v>
      </c>
      <c r="K4511" t="s">
        <v>39019</v>
      </c>
      <c r="M4511" t="s">
        <v>39823</v>
      </c>
      <c r="N4511" t="s">
        <v>43166</v>
      </c>
      <c r="O4511" t="s">
        <v>43167</v>
      </c>
      <c r="P4511">
        <v>0</v>
      </c>
      <c r="Q4511">
        <v>8</v>
      </c>
      <c r="R4511" t="s">
        <v>43171</v>
      </c>
      <c r="S4511" t="s">
        <v>43311</v>
      </c>
      <c r="T4511" t="s">
        <v>44856</v>
      </c>
      <c r="U4511" t="s">
        <v>48880</v>
      </c>
      <c r="V4511" t="s">
        <v>57319</v>
      </c>
      <c r="W4511" t="s">
        <v>58603</v>
      </c>
      <c r="X4511" t="s">
        <v>43172</v>
      </c>
    </row>
    <row r="4512" spans="1:24">
      <c r="A4512">
        <f>HYPERLINK("https://www.philgeps.gov.ph/GEPSNONPILOT/Tender/SplashBidNoticeAbstractUI.aspx?menuIndex=3&amp;refID=7082839&amp;Result=3","7082839")</f>
        <v>0</v>
      </c>
      <c r="B4512" t="s">
        <v>1252</v>
      </c>
      <c r="C4512" t="s">
        <v>7720</v>
      </c>
      <c r="D4512" t="s">
        <v>17452</v>
      </c>
      <c r="E4512" t="s">
        <v>21428</v>
      </c>
      <c r="F4512" t="s">
        <v>30052</v>
      </c>
      <c r="G4512" t="s">
        <v>30061</v>
      </c>
      <c r="H4512" t="s">
        <v>15498</v>
      </c>
      <c r="I4512" t="s">
        <v>30098</v>
      </c>
      <c r="J4512" t="s">
        <v>30256</v>
      </c>
      <c r="K4512" t="s">
        <v>39019</v>
      </c>
      <c r="M4512" t="s">
        <v>40609</v>
      </c>
      <c r="N4512" t="s">
        <v>43166</v>
      </c>
      <c r="O4512" t="s">
        <v>43167</v>
      </c>
      <c r="P4512">
        <v>0</v>
      </c>
      <c r="Q4512">
        <v>3</v>
      </c>
      <c r="R4512" t="s">
        <v>43171</v>
      </c>
      <c r="S4512" t="s">
        <v>43311</v>
      </c>
      <c r="T4512" t="s">
        <v>44696</v>
      </c>
      <c r="U4512" t="s">
        <v>48881</v>
      </c>
      <c r="W4512" t="s">
        <v>40609</v>
      </c>
      <c r="X4512" t="s">
        <v>43172</v>
      </c>
    </row>
    <row r="4513" spans="1:24">
      <c r="A4513">
        <f>HYPERLINK("https://www.philgeps.gov.ph/GEPSNONPILOT/Tender/SplashBidNoticeAbstractUI.aspx?menuIndex=3&amp;refID=7084218&amp;Result=3","7084218")</f>
        <v>0</v>
      </c>
      <c r="B4513" t="s">
        <v>1208</v>
      </c>
      <c r="C4513" t="s">
        <v>7721</v>
      </c>
      <c r="D4513" t="s">
        <v>17441</v>
      </c>
      <c r="E4513" t="s">
        <v>21191</v>
      </c>
      <c r="F4513" t="s">
        <v>30052</v>
      </c>
      <c r="G4513" t="s">
        <v>30058</v>
      </c>
      <c r="H4513" t="s">
        <v>30067</v>
      </c>
      <c r="I4513" t="s">
        <v>30097</v>
      </c>
      <c r="J4513" t="s">
        <v>30218</v>
      </c>
      <c r="K4513" t="s">
        <v>39023</v>
      </c>
      <c r="L4513" t="s">
        <v>1208</v>
      </c>
      <c r="M4513" t="s">
        <v>40562</v>
      </c>
      <c r="N4513" t="s">
        <v>43166</v>
      </c>
      <c r="O4513" t="s">
        <v>43167</v>
      </c>
      <c r="Q4513">
        <v>3</v>
      </c>
      <c r="R4513" t="s">
        <v>43171</v>
      </c>
      <c r="S4513" t="s">
        <v>43309</v>
      </c>
      <c r="T4513" t="s">
        <v>44813</v>
      </c>
      <c r="U4513" t="s">
        <v>48882</v>
      </c>
      <c r="W4513" t="s">
        <v>40562</v>
      </c>
      <c r="X4513" t="s">
        <v>43172</v>
      </c>
    </row>
    <row r="4514" spans="1:24">
      <c r="A4514">
        <f>HYPERLINK("https://www.philgeps.gov.ph/GEPSNONPILOT/Tender/SplashBidNoticeAbstractUI.aspx?menuIndex=3&amp;refID=7084216&amp;Result=3","7084216")</f>
        <v>0</v>
      </c>
      <c r="B4514" t="s">
        <v>1600</v>
      </c>
      <c r="C4514" t="s">
        <v>7722</v>
      </c>
      <c r="D4514" t="s">
        <v>17441</v>
      </c>
      <c r="E4514" t="s">
        <v>21429</v>
      </c>
      <c r="F4514" t="s">
        <v>30052</v>
      </c>
      <c r="G4514" t="s">
        <v>30058</v>
      </c>
      <c r="H4514" t="s">
        <v>30067</v>
      </c>
      <c r="I4514" t="s">
        <v>3693</v>
      </c>
      <c r="J4514" t="s">
        <v>33097</v>
      </c>
      <c r="K4514" t="s">
        <v>39031</v>
      </c>
      <c r="M4514" t="s">
        <v>40998</v>
      </c>
      <c r="N4514" t="s">
        <v>43166</v>
      </c>
      <c r="O4514" t="s">
        <v>43167</v>
      </c>
      <c r="Q4514">
        <v>5</v>
      </c>
      <c r="R4514" t="s">
        <v>43171</v>
      </c>
      <c r="S4514" t="s">
        <v>43331</v>
      </c>
      <c r="T4514" t="s">
        <v>44722</v>
      </c>
      <c r="U4514" t="s">
        <v>48883</v>
      </c>
      <c r="V4514" t="s">
        <v>57320</v>
      </c>
      <c r="W4514" t="s">
        <v>40998</v>
      </c>
      <c r="X4514" t="s">
        <v>43172</v>
      </c>
    </row>
    <row r="4515" spans="1:24">
      <c r="A4515">
        <f>HYPERLINK("https://www.philgeps.gov.ph/GEPSNONPILOT/Tender/SplashBidNoticeAbstractUI.aspx?menuIndex=3&amp;refID=7082867&amp;Result=3","7082867")</f>
        <v>0</v>
      </c>
      <c r="B4515" t="s">
        <v>1601</v>
      </c>
      <c r="C4515" t="s">
        <v>7723</v>
      </c>
      <c r="D4515" t="s">
        <v>17427</v>
      </c>
      <c r="E4515" t="s">
        <v>21430</v>
      </c>
      <c r="F4515" t="s">
        <v>30055</v>
      </c>
      <c r="G4515" t="s">
        <v>30059</v>
      </c>
      <c r="H4515" t="s">
        <v>15498</v>
      </c>
      <c r="I4515" t="s">
        <v>30096</v>
      </c>
      <c r="J4515" t="s">
        <v>32106</v>
      </c>
      <c r="K4515" t="s">
        <v>39036</v>
      </c>
      <c r="M4515" t="s">
        <v>40999</v>
      </c>
      <c r="N4515" t="s">
        <v>43166</v>
      </c>
      <c r="O4515" t="s">
        <v>43167</v>
      </c>
      <c r="P4515">
        <v>0</v>
      </c>
      <c r="Q4515">
        <v>0</v>
      </c>
      <c r="R4515" t="s">
        <v>43171</v>
      </c>
      <c r="S4515" t="s">
        <v>43311</v>
      </c>
      <c r="T4515" t="s">
        <v>44715</v>
      </c>
      <c r="U4515" t="s">
        <v>48884</v>
      </c>
      <c r="W4515" t="s">
        <v>40999</v>
      </c>
      <c r="X4515" t="s">
        <v>43172</v>
      </c>
    </row>
    <row r="4516" spans="1:24">
      <c r="A4516">
        <f>HYPERLINK("https://www.philgeps.gov.ph/GEPSNONPILOT/Tender/SplashBidNoticeAbstractUI.aspx?menuIndex=3&amp;refID=7082829&amp;Result=3","7082829")</f>
        <v>0</v>
      </c>
      <c r="B4516" t="s">
        <v>273</v>
      </c>
      <c r="C4516" t="s">
        <v>7724</v>
      </c>
      <c r="D4516" t="s">
        <v>17434</v>
      </c>
      <c r="E4516" t="s">
        <v>17719</v>
      </c>
      <c r="F4516" t="s">
        <v>30052</v>
      </c>
      <c r="G4516" t="s">
        <v>30059</v>
      </c>
      <c r="H4516" t="s">
        <v>30067</v>
      </c>
      <c r="I4516" t="s">
        <v>30094</v>
      </c>
      <c r="J4516" t="s">
        <v>30230</v>
      </c>
      <c r="K4516" t="s">
        <v>39019</v>
      </c>
      <c r="M4516" t="s">
        <v>39568</v>
      </c>
      <c r="N4516" t="s">
        <v>43166</v>
      </c>
      <c r="O4516" t="s">
        <v>43167</v>
      </c>
      <c r="P4516">
        <v>0</v>
      </c>
      <c r="Q4516">
        <v>2</v>
      </c>
      <c r="R4516" t="s">
        <v>43171</v>
      </c>
      <c r="S4516" t="s">
        <v>43311</v>
      </c>
      <c r="T4516" t="s">
        <v>44841</v>
      </c>
      <c r="U4516" t="s">
        <v>48885</v>
      </c>
      <c r="W4516" t="s">
        <v>39568</v>
      </c>
      <c r="X4516" t="s">
        <v>43172</v>
      </c>
    </row>
    <row r="4517" spans="1:24">
      <c r="A4517">
        <f>HYPERLINK("https://www.philgeps.gov.ph/GEPSNONPILOT/Tender/SplashBidNoticeAbstractUI.aspx?menuIndex=3&amp;refID=7084211&amp;Result=3","7084211")</f>
        <v>0</v>
      </c>
      <c r="B4517" t="s">
        <v>1602</v>
      </c>
      <c r="C4517" t="s">
        <v>7725</v>
      </c>
      <c r="D4517" t="s">
        <v>17445</v>
      </c>
      <c r="E4517" t="s">
        <v>20129</v>
      </c>
      <c r="F4517" t="s">
        <v>30052</v>
      </c>
      <c r="G4517" t="s">
        <v>30058</v>
      </c>
      <c r="H4517" t="s">
        <v>30067</v>
      </c>
      <c r="I4517" t="s">
        <v>3693</v>
      </c>
      <c r="J4517" t="s">
        <v>30252</v>
      </c>
      <c r="K4517" t="s">
        <v>39025</v>
      </c>
      <c r="M4517" t="s">
        <v>41000</v>
      </c>
      <c r="N4517" t="s">
        <v>43166</v>
      </c>
      <c r="O4517" t="s">
        <v>43167</v>
      </c>
      <c r="P4517">
        <v>0</v>
      </c>
      <c r="Q4517">
        <v>0</v>
      </c>
      <c r="R4517" t="s">
        <v>43171</v>
      </c>
      <c r="S4517" t="s">
        <v>43311</v>
      </c>
      <c r="T4517" t="s">
        <v>44721</v>
      </c>
      <c r="U4517" t="s">
        <v>48886</v>
      </c>
      <c r="W4517" t="s">
        <v>41000</v>
      </c>
      <c r="X4517" t="s">
        <v>43172</v>
      </c>
    </row>
    <row r="4518" spans="1:24">
      <c r="A4518">
        <f>HYPERLINK("https://www.philgeps.gov.ph/GEPSNONPILOT/Tender/SplashBidNoticeAbstractUI.aspx?menuIndex=3&amp;refID=7084209&amp;Result=3","7084209")</f>
        <v>0</v>
      </c>
      <c r="B4518" t="s">
        <v>217</v>
      </c>
      <c r="C4518" t="s">
        <v>7726</v>
      </c>
      <c r="D4518" t="s">
        <v>17458</v>
      </c>
      <c r="E4518" t="s">
        <v>21431</v>
      </c>
      <c r="F4518" t="s">
        <v>30052</v>
      </c>
      <c r="G4518" t="s">
        <v>30059</v>
      </c>
      <c r="H4518" t="s">
        <v>15498</v>
      </c>
      <c r="I4518" t="s">
        <v>30073</v>
      </c>
      <c r="J4518" t="s">
        <v>30350</v>
      </c>
      <c r="K4518" t="s">
        <v>39019</v>
      </c>
      <c r="M4518" t="s">
        <v>39507</v>
      </c>
      <c r="N4518" t="s">
        <v>43166</v>
      </c>
      <c r="O4518" t="s">
        <v>43167</v>
      </c>
      <c r="P4518">
        <v>0</v>
      </c>
      <c r="Q4518">
        <v>0</v>
      </c>
      <c r="R4518" t="s">
        <v>43171</v>
      </c>
      <c r="S4518" t="s">
        <v>43311</v>
      </c>
      <c r="T4518" t="s">
        <v>44943</v>
      </c>
      <c r="U4518" t="s">
        <v>48677</v>
      </c>
      <c r="W4518" t="s">
        <v>39507</v>
      </c>
      <c r="X4518" t="s">
        <v>43172</v>
      </c>
    </row>
    <row r="4519" spans="1:24">
      <c r="A4519">
        <f>HYPERLINK("https://www.philgeps.gov.ph/GEPSNONPILOT/Tender/SplashBidNoticeAbstractUI.aspx?menuIndex=3&amp;refID=7084206&amp;Result=3","7084206")</f>
        <v>0</v>
      </c>
      <c r="B4519" t="s">
        <v>465</v>
      </c>
      <c r="C4519" t="s">
        <v>7727</v>
      </c>
      <c r="D4519" t="s">
        <v>17448</v>
      </c>
      <c r="E4519" t="s">
        <v>21432</v>
      </c>
      <c r="F4519" t="s">
        <v>30052</v>
      </c>
      <c r="G4519" t="s">
        <v>30061</v>
      </c>
      <c r="H4519" t="s">
        <v>15498</v>
      </c>
      <c r="I4519" t="s">
        <v>30071</v>
      </c>
      <c r="J4519" t="s">
        <v>33098</v>
      </c>
      <c r="K4519" t="s">
        <v>39025</v>
      </c>
      <c r="M4519" t="s">
        <v>39766</v>
      </c>
      <c r="N4519" t="s">
        <v>43166</v>
      </c>
      <c r="O4519" t="s">
        <v>43167</v>
      </c>
      <c r="P4519">
        <v>0</v>
      </c>
      <c r="Q4519">
        <v>0</v>
      </c>
      <c r="R4519" t="s">
        <v>43171</v>
      </c>
      <c r="S4519" t="s">
        <v>43311</v>
      </c>
      <c r="T4519" t="s">
        <v>44717</v>
      </c>
      <c r="U4519" t="s">
        <v>48887</v>
      </c>
      <c r="W4519" t="s">
        <v>39766</v>
      </c>
      <c r="X4519" t="s">
        <v>43172</v>
      </c>
    </row>
    <row r="4520" spans="1:24">
      <c r="A4520">
        <f>HYPERLINK("https://www.philgeps.gov.ph/GEPSNONPILOT/Tender/SplashBidNoticeAbstractUI.aspx?menuIndex=3&amp;refID=7084127&amp;Result=3","7084127")</f>
        <v>0</v>
      </c>
      <c r="B4520" t="s">
        <v>1603</v>
      </c>
      <c r="C4520" t="s">
        <v>7728</v>
      </c>
      <c r="D4520" t="s">
        <v>17461</v>
      </c>
      <c r="E4520" t="s">
        <v>21433</v>
      </c>
      <c r="F4520" t="s">
        <v>30052</v>
      </c>
      <c r="G4520" t="s">
        <v>30059</v>
      </c>
      <c r="H4520" t="s">
        <v>15498</v>
      </c>
      <c r="I4520" t="s">
        <v>30081</v>
      </c>
      <c r="J4520" t="s">
        <v>30299</v>
      </c>
      <c r="K4520" t="s">
        <v>39019</v>
      </c>
      <c r="M4520" t="s">
        <v>41001</v>
      </c>
      <c r="N4520" t="s">
        <v>43166</v>
      </c>
      <c r="O4520" t="s">
        <v>43167</v>
      </c>
      <c r="P4520">
        <v>0</v>
      </c>
      <c r="Q4520">
        <v>0</v>
      </c>
      <c r="R4520" t="s">
        <v>43171</v>
      </c>
      <c r="S4520" t="s">
        <v>43311</v>
      </c>
      <c r="T4520" t="s">
        <v>44698</v>
      </c>
      <c r="U4520" t="s">
        <v>48888</v>
      </c>
      <c r="W4520" t="s">
        <v>41001</v>
      </c>
      <c r="X4520" t="s">
        <v>43172</v>
      </c>
    </row>
    <row r="4521" spans="1:24">
      <c r="A4521">
        <f>HYPERLINK("https://www.philgeps.gov.ph/GEPSNONPILOT/Tender/SplashBidNoticeAbstractUI.aspx?menuIndex=3&amp;refID=7084201&amp;Result=3","7084201")</f>
        <v>0</v>
      </c>
      <c r="B4521" t="s">
        <v>217</v>
      </c>
      <c r="C4521" t="s">
        <v>7729</v>
      </c>
      <c r="D4521" t="s">
        <v>17458</v>
      </c>
      <c r="E4521" t="s">
        <v>21434</v>
      </c>
      <c r="F4521" t="s">
        <v>30052</v>
      </c>
      <c r="G4521" t="s">
        <v>30059</v>
      </c>
      <c r="H4521" t="s">
        <v>15498</v>
      </c>
      <c r="I4521" t="s">
        <v>30084</v>
      </c>
      <c r="J4521" t="s">
        <v>30277</v>
      </c>
      <c r="K4521" t="s">
        <v>39019</v>
      </c>
      <c r="M4521" t="s">
        <v>39507</v>
      </c>
      <c r="N4521" t="s">
        <v>43166</v>
      </c>
      <c r="O4521" t="s">
        <v>43167</v>
      </c>
      <c r="P4521">
        <v>0</v>
      </c>
      <c r="Q4521">
        <v>4</v>
      </c>
      <c r="R4521" t="s">
        <v>43171</v>
      </c>
      <c r="S4521" t="s">
        <v>43311</v>
      </c>
      <c r="T4521" t="s">
        <v>44943</v>
      </c>
      <c r="U4521" t="s">
        <v>48677</v>
      </c>
      <c r="W4521" t="s">
        <v>39507</v>
      </c>
      <c r="X4521" t="s">
        <v>43172</v>
      </c>
    </row>
    <row r="4522" spans="1:24">
      <c r="A4522">
        <f>HYPERLINK("https://www.philgeps.gov.ph/GEPSNONPILOT/Tender/SplashBidNoticeAbstractUI.aspx?menuIndex=3&amp;refID=7082834&amp;Result=3","7082834")</f>
        <v>0</v>
      </c>
      <c r="B4522" t="s">
        <v>1604</v>
      </c>
      <c r="C4522" t="s">
        <v>7730</v>
      </c>
      <c r="D4522" t="s">
        <v>17421</v>
      </c>
      <c r="E4522" t="s">
        <v>21435</v>
      </c>
      <c r="F4522" t="s">
        <v>30052</v>
      </c>
      <c r="G4522" t="s">
        <v>30059</v>
      </c>
      <c r="H4522" t="s">
        <v>30069</v>
      </c>
      <c r="I4522" t="s">
        <v>30134</v>
      </c>
      <c r="J4522" t="s">
        <v>30287</v>
      </c>
      <c r="K4522" t="s">
        <v>39073</v>
      </c>
      <c r="M4522" t="s">
        <v>41002</v>
      </c>
      <c r="N4522" t="s">
        <v>43166</v>
      </c>
      <c r="O4522" t="s">
        <v>43167</v>
      </c>
      <c r="P4522">
        <v>0</v>
      </c>
      <c r="Q4522">
        <v>0</v>
      </c>
      <c r="R4522" t="s">
        <v>43171</v>
      </c>
      <c r="S4522" t="s">
        <v>43311</v>
      </c>
      <c r="T4522" t="s">
        <v>44717</v>
      </c>
      <c r="U4522" t="s">
        <v>48889</v>
      </c>
      <c r="W4522" t="s">
        <v>41002</v>
      </c>
      <c r="X4522" t="s">
        <v>43172</v>
      </c>
    </row>
    <row r="4523" spans="1:24">
      <c r="A4523">
        <f>HYPERLINK("https://www.philgeps.gov.ph/GEPSNONPILOT/Tender/SplashBidNoticeAbstractUI.aspx?menuIndex=3&amp;refID=7084200&amp;Result=3","7084200")</f>
        <v>0</v>
      </c>
      <c r="B4523" t="s">
        <v>726</v>
      </c>
      <c r="C4523" t="s">
        <v>7731</v>
      </c>
      <c r="D4523" t="s">
        <v>17477</v>
      </c>
      <c r="E4523" t="s">
        <v>21436</v>
      </c>
      <c r="F4523" t="s">
        <v>30052</v>
      </c>
      <c r="G4523" t="s">
        <v>30061</v>
      </c>
      <c r="H4523" t="s">
        <v>15498</v>
      </c>
      <c r="I4523" t="s">
        <v>7228</v>
      </c>
      <c r="J4523" t="s">
        <v>33099</v>
      </c>
      <c r="K4523" t="s">
        <v>39019</v>
      </c>
      <c r="M4523" t="s">
        <v>40037</v>
      </c>
      <c r="N4523" t="s">
        <v>43166</v>
      </c>
      <c r="O4523" t="s">
        <v>43167</v>
      </c>
      <c r="P4523">
        <v>0</v>
      </c>
      <c r="Q4523">
        <v>1</v>
      </c>
      <c r="R4523" t="s">
        <v>43171</v>
      </c>
      <c r="S4523" t="s">
        <v>43311</v>
      </c>
      <c r="T4523" t="s">
        <v>44837</v>
      </c>
      <c r="U4523" t="s">
        <v>48890</v>
      </c>
      <c r="W4523" t="s">
        <v>58613</v>
      </c>
      <c r="X4523" t="s">
        <v>43172</v>
      </c>
    </row>
    <row r="4524" spans="1:24">
      <c r="A4524">
        <f>HYPERLINK("https://www.philgeps.gov.ph/GEPSNONPILOT/Tender/SplashBidNoticeAbstractUI.aspx?menuIndex=3&amp;refID=7084196&amp;Result=3","7084196")</f>
        <v>0</v>
      </c>
      <c r="B4524" t="s">
        <v>465</v>
      </c>
      <c r="C4524" t="s">
        <v>7732</v>
      </c>
      <c r="D4524" t="s">
        <v>17448</v>
      </c>
      <c r="E4524" t="s">
        <v>21437</v>
      </c>
      <c r="F4524" t="s">
        <v>30052</v>
      </c>
      <c r="G4524" t="s">
        <v>30058</v>
      </c>
      <c r="H4524" t="s">
        <v>15498</v>
      </c>
      <c r="I4524" t="s">
        <v>30071</v>
      </c>
      <c r="J4524" t="s">
        <v>33100</v>
      </c>
      <c r="K4524" t="s">
        <v>39025</v>
      </c>
      <c r="M4524" t="s">
        <v>39766</v>
      </c>
      <c r="N4524" t="s">
        <v>43166</v>
      </c>
      <c r="O4524" t="s">
        <v>43167</v>
      </c>
      <c r="P4524">
        <v>0</v>
      </c>
      <c r="Q4524">
        <v>0</v>
      </c>
      <c r="R4524" t="s">
        <v>43171</v>
      </c>
      <c r="S4524" t="s">
        <v>43311</v>
      </c>
      <c r="T4524" t="s">
        <v>44710</v>
      </c>
      <c r="U4524" t="s">
        <v>48891</v>
      </c>
      <c r="W4524" t="s">
        <v>39766</v>
      </c>
      <c r="X4524" t="s">
        <v>43172</v>
      </c>
    </row>
    <row r="4525" spans="1:24">
      <c r="A4525">
        <f>HYPERLINK("https://www.philgeps.gov.ph/GEPSNONPILOT/Tender/SplashBidNoticeAbstractUI.aspx?menuIndex=3&amp;refID=7084214&amp;Result=3","7084214")</f>
        <v>0</v>
      </c>
      <c r="B4525" t="s">
        <v>1605</v>
      </c>
      <c r="C4525" t="s">
        <v>7733</v>
      </c>
      <c r="D4525" t="s">
        <v>17441</v>
      </c>
      <c r="E4525" t="s">
        <v>17843</v>
      </c>
      <c r="F4525" t="s">
        <v>30052</v>
      </c>
      <c r="G4525" t="s">
        <v>30058</v>
      </c>
      <c r="H4525" t="s">
        <v>15498</v>
      </c>
      <c r="I4525" t="s">
        <v>3736</v>
      </c>
      <c r="J4525" t="s">
        <v>33101</v>
      </c>
      <c r="K4525" t="s">
        <v>39017</v>
      </c>
      <c r="M4525" t="s">
        <v>41003</v>
      </c>
      <c r="N4525" t="s">
        <v>43166</v>
      </c>
      <c r="O4525" t="s">
        <v>43167</v>
      </c>
      <c r="P4525">
        <v>0</v>
      </c>
      <c r="Q4525">
        <v>2</v>
      </c>
      <c r="R4525" t="s">
        <v>43171</v>
      </c>
      <c r="S4525" t="s">
        <v>43311</v>
      </c>
      <c r="T4525" t="s">
        <v>44719</v>
      </c>
      <c r="U4525" t="s">
        <v>48892</v>
      </c>
      <c r="V4525" t="s">
        <v>57321</v>
      </c>
      <c r="W4525" t="s">
        <v>41003</v>
      </c>
      <c r="X4525" t="s">
        <v>43172</v>
      </c>
    </row>
    <row r="4526" spans="1:24">
      <c r="A4526">
        <f>HYPERLINK("https://www.philgeps.gov.ph/GEPSNONPILOT/Tender/SplashBidNoticeAbstractUI.aspx?menuIndex=3&amp;refID=7084195&amp;Result=3","7084195")</f>
        <v>0</v>
      </c>
      <c r="B4526" t="s">
        <v>360</v>
      </c>
      <c r="C4526" t="s">
        <v>7734</v>
      </c>
      <c r="E4526" t="s">
        <v>21438</v>
      </c>
      <c r="F4526" t="s">
        <v>30052</v>
      </c>
      <c r="G4526" t="s">
        <v>30059</v>
      </c>
      <c r="H4526" t="s">
        <v>30069</v>
      </c>
      <c r="I4526" t="s">
        <v>30094</v>
      </c>
      <c r="J4526" t="s">
        <v>33102</v>
      </c>
      <c r="K4526" t="s">
        <v>39023</v>
      </c>
      <c r="M4526" t="s">
        <v>41004</v>
      </c>
      <c r="N4526" t="s">
        <v>43166</v>
      </c>
      <c r="O4526" t="s">
        <v>43167</v>
      </c>
      <c r="P4526">
        <v>0</v>
      </c>
      <c r="Q4526">
        <v>0</v>
      </c>
      <c r="R4526" t="s">
        <v>43171</v>
      </c>
      <c r="S4526" t="s">
        <v>43311</v>
      </c>
      <c r="T4526" t="s">
        <v>44843</v>
      </c>
      <c r="U4526" t="s">
        <v>46847</v>
      </c>
      <c r="V4526" t="s">
        <v>56908</v>
      </c>
      <c r="W4526" t="s">
        <v>41004</v>
      </c>
      <c r="X4526" t="s">
        <v>43172</v>
      </c>
    </row>
    <row r="4527" spans="1:24">
      <c r="A4527">
        <f>HYPERLINK("https://www.philgeps.gov.ph/GEPSNONPILOT/Tender/SplashBidNoticeAbstractUI.aspx?menuIndex=3&amp;refID=7084202&amp;Result=3","7084202")</f>
        <v>0</v>
      </c>
      <c r="B4527" t="s">
        <v>1074</v>
      </c>
      <c r="C4527" t="s">
        <v>7735</v>
      </c>
      <c r="D4527" t="s">
        <v>17415</v>
      </c>
      <c r="E4527" t="s">
        <v>21439</v>
      </c>
      <c r="F4527" t="s">
        <v>30052</v>
      </c>
      <c r="G4527" t="s">
        <v>30058</v>
      </c>
      <c r="H4527" t="s">
        <v>30069</v>
      </c>
      <c r="I4527" t="s">
        <v>30100</v>
      </c>
      <c r="J4527" t="s">
        <v>33103</v>
      </c>
      <c r="K4527" t="s">
        <v>39017</v>
      </c>
      <c r="M4527" t="s">
        <v>40409</v>
      </c>
      <c r="N4527" t="s">
        <v>43166</v>
      </c>
      <c r="O4527" t="s">
        <v>43167</v>
      </c>
      <c r="P4527">
        <v>0</v>
      </c>
      <c r="Q4527">
        <v>1</v>
      </c>
      <c r="R4527" t="s">
        <v>43171</v>
      </c>
      <c r="S4527" t="s">
        <v>43311</v>
      </c>
      <c r="T4527" t="s">
        <v>44704</v>
      </c>
      <c r="U4527" t="s">
        <v>47463</v>
      </c>
      <c r="W4527" t="s">
        <v>40409</v>
      </c>
      <c r="X4527" t="s">
        <v>43172</v>
      </c>
    </row>
    <row r="4528" spans="1:24">
      <c r="A4528">
        <f>HYPERLINK("https://www.philgeps.gov.ph/GEPSNONPILOT/Tender/SplashBidNoticeAbstractUI.aspx?menuIndex=3&amp;refID=7084254&amp;Result=3","7084254")</f>
        <v>0</v>
      </c>
      <c r="B4528" t="s">
        <v>1208</v>
      </c>
      <c r="C4528" t="s">
        <v>7736</v>
      </c>
      <c r="D4528" t="s">
        <v>17441</v>
      </c>
      <c r="E4528" t="s">
        <v>21191</v>
      </c>
      <c r="F4528" t="s">
        <v>30052</v>
      </c>
      <c r="G4528" t="s">
        <v>30059</v>
      </c>
      <c r="H4528" t="s">
        <v>30069</v>
      </c>
      <c r="I4528" t="s">
        <v>30088</v>
      </c>
      <c r="J4528" t="s">
        <v>30230</v>
      </c>
      <c r="K4528" t="s">
        <v>39019</v>
      </c>
      <c r="L4528" t="s">
        <v>1208</v>
      </c>
      <c r="M4528" t="s">
        <v>40562</v>
      </c>
      <c r="N4528" t="s">
        <v>43166</v>
      </c>
      <c r="O4528" t="s">
        <v>43167</v>
      </c>
      <c r="P4528">
        <v>0</v>
      </c>
      <c r="Q4528">
        <v>3</v>
      </c>
      <c r="R4528" t="s">
        <v>43171</v>
      </c>
      <c r="S4528" t="s">
        <v>43311</v>
      </c>
      <c r="T4528" t="s">
        <v>44813</v>
      </c>
      <c r="U4528" t="s">
        <v>48893</v>
      </c>
      <c r="W4528" t="s">
        <v>40562</v>
      </c>
      <c r="X4528" t="s">
        <v>43172</v>
      </c>
    </row>
    <row r="4529" spans="1:24">
      <c r="A4529">
        <f>HYPERLINK("https://www.philgeps.gov.ph/GEPSNONPILOT/Tender/SplashBidNoticeAbstractUI.aspx?menuIndex=3&amp;refID=7084215&amp;Result=3","7084215")</f>
        <v>0</v>
      </c>
      <c r="B4529" t="s">
        <v>1523</v>
      </c>
      <c r="C4529" t="s">
        <v>7737</v>
      </c>
      <c r="E4529" t="s">
        <v>21440</v>
      </c>
      <c r="F4529" t="s">
        <v>30052</v>
      </c>
      <c r="G4529" t="s">
        <v>30059</v>
      </c>
      <c r="H4529" t="s">
        <v>15498</v>
      </c>
      <c r="I4529" t="s">
        <v>30125</v>
      </c>
      <c r="J4529" t="s">
        <v>33104</v>
      </c>
      <c r="K4529" t="s">
        <v>39025</v>
      </c>
      <c r="M4529" t="s">
        <v>40909</v>
      </c>
      <c r="N4529" t="s">
        <v>43166</v>
      </c>
      <c r="O4529" t="s">
        <v>43167</v>
      </c>
      <c r="P4529">
        <v>0</v>
      </c>
      <c r="Q4529">
        <v>4</v>
      </c>
      <c r="R4529" t="s">
        <v>43171</v>
      </c>
      <c r="S4529" t="s">
        <v>43311</v>
      </c>
      <c r="T4529" t="s">
        <v>44882</v>
      </c>
      <c r="U4529" t="s">
        <v>48894</v>
      </c>
      <c r="W4529" t="s">
        <v>40909</v>
      </c>
      <c r="X4529" t="s">
        <v>43172</v>
      </c>
    </row>
    <row r="4530" spans="1:24">
      <c r="A4530">
        <f>HYPERLINK("https://www.philgeps.gov.ph/GEPSNONPILOT/Tender/SplashBidNoticeAbstractUI.aspx?menuIndex=3&amp;refID=7084251&amp;Result=3","7084251")</f>
        <v>0</v>
      </c>
      <c r="B4530" t="s">
        <v>1606</v>
      </c>
      <c r="C4530" t="s">
        <v>7738</v>
      </c>
      <c r="D4530" t="s">
        <v>17477</v>
      </c>
      <c r="E4530" t="s">
        <v>21441</v>
      </c>
      <c r="F4530" t="s">
        <v>30052</v>
      </c>
      <c r="G4530" t="s">
        <v>30058</v>
      </c>
      <c r="H4530" t="s">
        <v>30067</v>
      </c>
      <c r="I4530" t="s">
        <v>3693</v>
      </c>
      <c r="J4530" t="s">
        <v>33105</v>
      </c>
      <c r="K4530" t="s">
        <v>39080</v>
      </c>
      <c r="M4530" t="s">
        <v>41005</v>
      </c>
      <c r="N4530" t="s">
        <v>43166</v>
      </c>
      <c r="O4530" t="s">
        <v>43167</v>
      </c>
      <c r="P4530">
        <v>0</v>
      </c>
      <c r="Q4530">
        <v>0</v>
      </c>
      <c r="R4530" t="s">
        <v>43171</v>
      </c>
      <c r="S4530" t="s">
        <v>43311</v>
      </c>
      <c r="T4530" t="s">
        <v>44842</v>
      </c>
      <c r="U4530" t="s">
        <v>48895</v>
      </c>
      <c r="V4530" t="s">
        <v>57322</v>
      </c>
      <c r="W4530" t="s">
        <v>41005</v>
      </c>
      <c r="X4530" t="s">
        <v>43172</v>
      </c>
    </row>
    <row r="4531" spans="1:24">
      <c r="A4531">
        <f>HYPERLINK("https://www.philgeps.gov.ph/GEPSNONPILOT/Tender/SplashBidNoticeAbstractUI.aspx?menuIndex=3&amp;refID=7084221&amp;Result=3","7084221")</f>
        <v>0</v>
      </c>
      <c r="B4531" t="s">
        <v>665</v>
      </c>
      <c r="C4531" t="s">
        <v>7739</v>
      </c>
      <c r="D4531" t="s">
        <v>17432</v>
      </c>
      <c r="E4531" t="s">
        <v>21442</v>
      </c>
      <c r="F4531" t="s">
        <v>30052</v>
      </c>
      <c r="G4531" t="s">
        <v>30059</v>
      </c>
      <c r="H4531" t="s">
        <v>15498</v>
      </c>
      <c r="I4531" t="s">
        <v>30070</v>
      </c>
      <c r="J4531" t="s">
        <v>33106</v>
      </c>
      <c r="K4531" t="s">
        <v>39029</v>
      </c>
      <c r="M4531" t="s">
        <v>39971</v>
      </c>
      <c r="N4531" t="s">
        <v>43166</v>
      </c>
      <c r="O4531" t="s">
        <v>43167</v>
      </c>
      <c r="P4531">
        <v>0</v>
      </c>
      <c r="Q4531">
        <v>0</v>
      </c>
      <c r="R4531" t="s">
        <v>43171</v>
      </c>
      <c r="S4531" t="s">
        <v>43311</v>
      </c>
      <c r="T4531" t="s">
        <v>44732</v>
      </c>
      <c r="U4531" t="s">
        <v>48896</v>
      </c>
      <c r="W4531" t="s">
        <v>39971</v>
      </c>
      <c r="X4531" t="s">
        <v>43172</v>
      </c>
    </row>
    <row r="4532" spans="1:24">
      <c r="A4532">
        <f>HYPERLINK("https://www.philgeps.gov.ph/GEPSNONPILOT/Tender/SplashBidNoticeAbstractUI.aspx?menuIndex=3&amp;refID=7084248&amp;Result=3","7084248")</f>
        <v>0</v>
      </c>
      <c r="B4532" t="s">
        <v>1602</v>
      </c>
      <c r="C4532" t="s">
        <v>7740</v>
      </c>
      <c r="D4532" t="s">
        <v>17445</v>
      </c>
      <c r="E4532" t="s">
        <v>20213</v>
      </c>
      <c r="F4532" t="s">
        <v>30052</v>
      </c>
      <c r="G4532" t="s">
        <v>30058</v>
      </c>
      <c r="H4532" t="s">
        <v>30067</v>
      </c>
      <c r="I4532" t="s">
        <v>3693</v>
      </c>
      <c r="J4532" t="s">
        <v>30343</v>
      </c>
      <c r="K4532" t="s">
        <v>39025</v>
      </c>
      <c r="M4532" t="s">
        <v>41000</v>
      </c>
      <c r="N4532" t="s">
        <v>43166</v>
      </c>
      <c r="O4532" t="s">
        <v>43167</v>
      </c>
      <c r="P4532">
        <v>0</v>
      </c>
      <c r="Q4532">
        <v>0</v>
      </c>
      <c r="R4532" t="s">
        <v>43171</v>
      </c>
      <c r="S4532" t="s">
        <v>43311</v>
      </c>
      <c r="T4532" t="s">
        <v>44721</v>
      </c>
      <c r="U4532" t="s">
        <v>48897</v>
      </c>
      <c r="W4532" t="s">
        <v>41000</v>
      </c>
      <c r="X4532" t="s">
        <v>43172</v>
      </c>
    </row>
    <row r="4533" spans="1:24">
      <c r="A4533">
        <f>HYPERLINK("https://www.philgeps.gov.ph/GEPSNONPILOT/Tender/SplashBidNoticeAbstractUI.aspx?menuIndex=3&amp;refID=7084247&amp;Result=3","7084247")</f>
        <v>0</v>
      </c>
      <c r="B4533" t="s">
        <v>1603</v>
      </c>
      <c r="C4533" t="s">
        <v>7741</v>
      </c>
      <c r="D4533" t="s">
        <v>17461</v>
      </c>
      <c r="E4533" t="s">
        <v>21443</v>
      </c>
      <c r="F4533" t="s">
        <v>30052</v>
      </c>
      <c r="G4533" t="s">
        <v>30062</v>
      </c>
      <c r="H4533" t="s">
        <v>15498</v>
      </c>
      <c r="I4533" t="s">
        <v>30070</v>
      </c>
      <c r="J4533" t="s">
        <v>33107</v>
      </c>
      <c r="K4533" t="s">
        <v>39029</v>
      </c>
      <c r="M4533" t="s">
        <v>41001</v>
      </c>
      <c r="N4533" t="s">
        <v>43166</v>
      </c>
      <c r="O4533" t="s">
        <v>43167</v>
      </c>
      <c r="P4533">
        <v>0</v>
      </c>
      <c r="Q4533">
        <v>4</v>
      </c>
      <c r="R4533" t="s">
        <v>43171</v>
      </c>
      <c r="S4533" t="s">
        <v>43311</v>
      </c>
      <c r="T4533" t="s">
        <v>44698</v>
      </c>
      <c r="U4533" t="s">
        <v>48898</v>
      </c>
      <c r="W4533" t="s">
        <v>41001</v>
      </c>
      <c r="X4533" t="s">
        <v>43172</v>
      </c>
    </row>
    <row r="4534" spans="1:24">
      <c r="A4534">
        <f>HYPERLINK("https://www.philgeps.gov.ph/GEPSNONPILOT/Tender/SplashBidNoticeAbstractUI.aspx?menuIndex=3&amp;refID=7084245&amp;Result=3","7084245")</f>
        <v>0</v>
      </c>
      <c r="B4534" t="s">
        <v>501</v>
      </c>
      <c r="C4534" t="s">
        <v>7742</v>
      </c>
      <c r="E4534" t="s">
        <v>21444</v>
      </c>
      <c r="F4534" t="s">
        <v>30052</v>
      </c>
      <c r="G4534" t="s">
        <v>30059</v>
      </c>
      <c r="H4534" t="s">
        <v>15498</v>
      </c>
      <c r="I4534" t="s">
        <v>30115</v>
      </c>
      <c r="J4534" t="s">
        <v>33108</v>
      </c>
      <c r="K4534" t="s">
        <v>39025</v>
      </c>
      <c r="M4534" t="s">
        <v>39802</v>
      </c>
      <c r="N4534" t="s">
        <v>43166</v>
      </c>
      <c r="O4534" t="s">
        <v>43167</v>
      </c>
      <c r="P4534">
        <v>0</v>
      </c>
      <c r="Q4534">
        <v>10</v>
      </c>
      <c r="R4534" t="s">
        <v>43171</v>
      </c>
      <c r="S4534" t="s">
        <v>43311</v>
      </c>
      <c r="T4534" t="s">
        <v>44826</v>
      </c>
      <c r="U4534" t="s">
        <v>48899</v>
      </c>
      <c r="V4534" t="s">
        <v>56949</v>
      </c>
      <c r="W4534" t="s">
        <v>39802</v>
      </c>
      <c r="X4534" t="s">
        <v>43172</v>
      </c>
    </row>
    <row r="4535" spans="1:24">
      <c r="A4535">
        <f>HYPERLINK("https://www.philgeps.gov.ph/GEPSNONPILOT/Tender/SplashBidNoticeAbstractUI.aspx?menuIndex=3&amp;refID=7084249&amp;Result=3","7084249")</f>
        <v>0</v>
      </c>
      <c r="B4535" t="s">
        <v>665</v>
      </c>
      <c r="C4535" t="s">
        <v>7743</v>
      </c>
      <c r="D4535" t="s">
        <v>17432</v>
      </c>
      <c r="E4535" t="s">
        <v>21445</v>
      </c>
      <c r="F4535" t="s">
        <v>30052</v>
      </c>
      <c r="G4535" t="s">
        <v>30059</v>
      </c>
      <c r="H4535" t="s">
        <v>15498</v>
      </c>
      <c r="I4535" t="s">
        <v>30091</v>
      </c>
      <c r="J4535" t="s">
        <v>33109</v>
      </c>
      <c r="K4535" t="s">
        <v>39029</v>
      </c>
      <c r="M4535" t="s">
        <v>39971</v>
      </c>
      <c r="N4535" t="s">
        <v>43166</v>
      </c>
      <c r="O4535" t="s">
        <v>43167</v>
      </c>
      <c r="P4535">
        <v>0</v>
      </c>
      <c r="Q4535">
        <v>2</v>
      </c>
      <c r="R4535" t="s">
        <v>43171</v>
      </c>
      <c r="S4535" t="s">
        <v>43311</v>
      </c>
      <c r="T4535" t="s">
        <v>44732</v>
      </c>
      <c r="U4535" t="s">
        <v>48900</v>
      </c>
      <c r="W4535" t="s">
        <v>39971</v>
      </c>
      <c r="X4535" t="s">
        <v>43172</v>
      </c>
    </row>
    <row r="4536" spans="1:24">
      <c r="A4536">
        <f>HYPERLINK("https://www.philgeps.gov.ph/GEPSNONPILOT/Tender/SplashBidNoticeAbstractUI.aspx?menuIndex=3&amp;refID=7084243&amp;Result=3","7084243")</f>
        <v>0</v>
      </c>
      <c r="B4536" t="s">
        <v>1607</v>
      </c>
      <c r="C4536" t="s">
        <v>7744</v>
      </c>
      <c r="E4536" t="s">
        <v>21446</v>
      </c>
      <c r="F4536" t="s">
        <v>30052</v>
      </c>
      <c r="G4536" t="s">
        <v>30058</v>
      </c>
      <c r="H4536" t="s">
        <v>15498</v>
      </c>
      <c r="I4536" t="s">
        <v>3693</v>
      </c>
      <c r="J4536" t="s">
        <v>33110</v>
      </c>
      <c r="K4536" t="s">
        <v>39025</v>
      </c>
      <c r="M4536" t="s">
        <v>41006</v>
      </c>
      <c r="N4536" t="s">
        <v>43166</v>
      </c>
      <c r="O4536" t="s">
        <v>43167</v>
      </c>
      <c r="P4536">
        <v>0</v>
      </c>
      <c r="Q4536">
        <v>8</v>
      </c>
      <c r="R4536" t="s">
        <v>43171</v>
      </c>
      <c r="S4536" t="s">
        <v>43311</v>
      </c>
      <c r="T4536" t="s">
        <v>44994</v>
      </c>
      <c r="U4536" t="s">
        <v>48901</v>
      </c>
      <c r="W4536" t="s">
        <v>41006</v>
      </c>
      <c r="X4536" t="s">
        <v>43172</v>
      </c>
    </row>
    <row r="4537" spans="1:24">
      <c r="A4537">
        <f>HYPERLINK("https://www.philgeps.gov.ph/GEPSNONPILOT/Tender/SplashBidNoticeAbstractUI.aspx?menuIndex=3&amp;refID=7084241&amp;Result=3","7084241")</f>
        <v>0</v>
      </c>
      <c r="B4537" t="s">
        <v>1606</v>
      </c>
      <c r="C4537" t="s">
        <v>7745</v>
      </c>
      <c r="D4537" t="s">
        <v>17477</v>
      </c>
      <c r="E4537" t="s">
        <v>21447</v>
      </c>
      <c r="F4537" t="s">
        <v>30052</v>
      </c>
      <c r="G4537" t="s">
        <v>30058</v>
      </c>
      <c r="H4537" t="s">
        <v>30067</v>
      </c>
      <c r="I4537" t="s">
        <v>3693</v>
      </c>
      <c r="J4537" t="s">
        <v>32481</v>
      </c>
      <c r="K4537" t="s">
        <v>39073</v>
      </c>
      <c r="M4537" t="s">
        <v>41005</v>
      </c>
      <c r="N4537" t="s">
        <v>43166</v>
      </c>
      <c r="O4537" t="s">
        <v>43167</v>
      </c>
      <c r="P4537">
        <v>0</v>
      </c>
      <c r="Q4537">
        <v>0</v>
      </c>
      <c r="R4537" t="s">
        <v>43171</v>
      </c>
      <c r="S4537" t="s">
        <v>43311</v>
      </c>
      <c r="T4537" t="s">
        <v>44842</v>
      </c>
      <c r="U4537" t="s">
        <v>48902</v>
      </c>
      <c r="V4537" t="s">
        <v>57323</v>
      </c>
      <c r="W4537" t="s">
        <v>41005</v>
      </c>
      <c r="X4537" t="s">
        <v>43172</v>
      </c>
    </row>
    <row r="4538" spans="1:24">
      <c r="A4538">
        <f>HYPERLINK("https://www.philgeps.gov.ph/GEPSNONPILOT/Tender/SplashBidNoticeAbstractUI.aspx?menuIndex=3&amp;refID=7084250&amp;Result=3","7084250")</f>
        <v>0</v>
      </c>
      <c r="B4538" t="s">
        <v>1608</v>
      </c>
      <c r="C4538" t="s">
        <v>7746</v>
      </c>
      <c r="D4538" t="s">
        <v>17415</v>
      </c>
      <c r="E4538" t="s">
        <v>21448</v>
      </c>
      <c r="F4538" t="s">
        <v>30052</v>
      </c>
      <c r="G4538" t="s">
        <v>30058</v>
      </c>
      <c r="H4538" t="s">
        <v>15498</v>
      </c>
      <c r="I4538" t="s">
        <v>30070</v>
      </c>
      <c r="J4538" t="s">
        <v>32274</v>
      </c>
      <c r="K4538" t="s">
        <v>39019</v>
      </c>
      <c r="M4538" t="s">
        <v>41007</v>
      </c>
      <c r="N4538" t="s">
        <v>43166</v>
      </c>
      <c r="O4538" t="s">
        <v>43167</v>
      </c>
      <c r="P4538">
        <v>0</v>
      </c>
      <c r="Q4538">
        <v>0</v>
      </c>
      <c r="R4538" t="s">
        <v>43171</v>
      </c>
      <c r="S4538" t="s">
        <v>43311</v>
      </c>
      <c r="T4538" t="s">
        <v>44705</v>
      </c>
      <c r="U4538" t="s">
        <v>45217</v>
      </c>
      <c r="W4538" t="s">
        <v>41007</v>
      </c>
      <c r="X4538" t="s">
        <v>43172</v>
      </c>
    </row>
    <row r="4539" spans="1:24">
      <c r="A4539">
        <f>HYPERLINK("https://www.philgeps.gov.ph/GEPSNONPILOT/Tender/SplashBidNoticeAbstractUI.aspx?menuIndex=3&amp;refID=7084238&amp;Result=3","7084238")</f>
        <v>0</v>
      </c>
      <c r="B4539" t="s">
        <v>665</v>
      </c>
      <c r="C4539" t="s">
        <v>7747</v>
      </c>
      <c r="D4539" t="s">
        <v>17432</v>
      </c>
      <c r="E4539" t="s">
        <v>21449</v>
      </c>
      <c r="F4539" t="s">
        <v>30052</v>
      </c>
      <c r="G4539" t="s">
        <v>30059</v>
      </c>
      <c r="H4539" t="s">
        <v>15498</v>
      </c>
      <c r="I4539" t="s">
        <v>30070</v>
      </c>
      <c r="J4539" t="s">
        <v>32306</v>
      </c>
      <c r="K4539" t="s">
        <v>39029</v>
      </c>
      <c r="M4539" t="s">
        <v>39971</v>
      </c>
      <c r="N4539" t="s">
        <v>43166</v>
      </c>
      <c r="O4539" t="s">
        <v>43167</v>
      </c>
      <c r="P4539">
        <v>0</v>
      </c>
      <c r="Q4539">
        <v>1</v>
      </c>
      <c r="R4539" t="s">
        <v>43171</v>
      </c>
      <c r="S4539" t="s">
        <v>43311</v>
      </c>
      <c r="T4539" t="s">
        <v>44732</v>
      </c>
      <c r="U4539" t="s">
        <v>48903</v>
      </c>
      <c r="W4539" t="s">
        <v>39971</v>
      </c>
      <c r="X4539" t="s">
        <v>43172</v>
      </c>
    </row>
    <row r="4540" spans="1:24">
      <c r="A4540">
        <f>HYPERLINK("https://www.philgeps.gov.ph/GEPSNONPILOT/Tender/SplashBidNoticeAbstractUI.aspx?menuIndex=3&amp;refID=7084244&amp;Result=3","7084244")</f>
        <v>0</v>
      </c>
      <c r="B4540" t="s">
        <v>1208</v>
      </c>
      <c r="C4540" t="s">
        <v>7748</v>
      </c>
      <c r="D4540" t="s">
        <v>17441</v>
      </c>
      <c r="E4540" t="s">
        <v>21191</v>
      </c>
      <c r="F4540" t="s">
        <v>30052</v>
      </c>
      <c r="G4540" t="s">
        <v>30059</v>
      </c>
      <c r="H4540" t="s">
        <v>30069</v>
      </c>
      <c r="I4540" t="s">
        <v>30088</v>
      </c>
      <c r="J4540" t="s">
        <v>30230</v>
      </c>
      <c r="K4540" t="s">
        <v>39019</v>
      </c>
      <c r="L4540" t="s">
        <v>1208</v>
      </c>
      <c r="M4540" t="s">
        <v>40562</v>
      </c>
      <c r="N4540" t="s">
        <v>43166</v>
      </c>
      <c r="O4540" t="s">
        <v>43167</v>
      </c>
      <c r="P4540">
        <v>0</v>
      </c>
      <c r="Q4540">
        <v>2</v>
      </c>
      <c r="R4540" t="s">
        <v>43171</v>
      </c>
      <c r="S4540" t="s">
        <v>43311</v>
      </c>
      <c r="T4540" t="s">
        <v>44813</v>
      </c>
      <c r="U4540" t="s">
        <v>48893</v>
      </c>
      <c r="W4540" t="s">
        <v>40562</v>
      </c>
      <c r="X4540" t="s">
        <v>43172</v>
      </c>
    </row>
    <row r="4541" spans="1:24">
      <c r="A4541">
        <f>HYPERLINK("https://www.philgeps.gov.ph/GEPSNONPILOT/Tender/SplashBidNoticeAbstractUI.aspx?menuIndex=3&amp;refID=7084236&amp;Result=3","7084236")</f>
        <v>0</v>
      </c>
      <c r="B4541" t="s">
        <v>1609</v>
      </c>
      <c r="C4541" t="s">
        <v>7749</v>
      </c>
      <c r="D4541" t="s">
        <v>17415</v>
      </c>
      <c r="E4541" t="s">
        <v>21450</v>
      </c>
      <c r="F4541" t="s">
        <v>30052</v>
      </c>
      <c r="G4541" t="s">
        <v>30058</v>
      </c>
      <c r="H4541" t="s">
        <v>30067</v>
      </c>
      <c r="I4541" t="s">
        <v>3693</v>
      </c>
      <c r="J4541" t="s">
        <v>33111</v>
      </c>
      <c r="K4541" t="s">
        <v>39029</v>
      </c>
      <c r="M4541" t="s">
        <v>41008</v>
      </c>
      <c r="N4541" t="s">
        <v>43166</v>
      </c>
      <c r="O4541" t="s">
        <v>43167</v>
      </c>
      <c r="P4541">
        <v>0</v>
      </c>
      <c r="Q4541">
        <v>1</v>
      </c>
      <c r="R4541" t="s">
        <v>43171</v>
      </c>
      <c r="S4541" t="s">
        <v>43311</v>
      </c>
      <c r="T4541" t="s">
        <v>44827</v>
      </c>
      <c r="U4541" t="s">
        <v>48904</v>
      </c>
      <c r="V4541" t="s">
        <v>57324</v>
      </c>
      <c r="W4541" t="s">
        <v>41008</v>
      </c>
      <c r="X4541" t="s">
        <v>43172</v>
      </c>
    </row>
    <row r="4542" spans="1:24">
      <c r="A4542">
        <f>HYPERLINK("https://www.philgeps.gov.ph/GEPSNONPILOT/Tender/SplashBidNoticeAbstractUI.aspx?menuIndex=3&amp;refID=7084197&amp;Result=3","7084197")</f>
        <v>0</v>
      </c>
      <c r="B4542" t="s">
        <v>1594</v>
      </c>
      <c r="C4542" t="s">
        <v>7750</v>
      </c>
      <c r="D4542" t="s">
        <v>17416</v>
      </c>
      <c r="E4542" t="s">
        <v>21451</v>
      </c>
      <c r="F4542" t="s">
        <v>30052</v>
      </c>
      <c r="G4542" t="s">
        <v>30061</v>
      </c>
      <c r="H4542" t="s">
        <v>15498</v>
      </c>
      <c r="I4542" t="s">
        <v>7228</v>
      </c>
      <c r="J4542" t="s">
        <v>30890</v>
      </c>
      <c r="K4542" t="s">
        <v>39039</v>
      </c>
      <c r="L4542" t="s">
        <v>1594</v>
      </c>
      <c r="M4542" t="s">
        <v>40990</v>
      </c>
      <c r="N4542" t="s">
        <v>43166</v>
      </c>
      <c r="O4542" t="s">
        <v>43167</v>
      </c>
      <c r="P4542">
        <v>0</v>
      </c>
      <c r="Q4542">
        <v>0</v>
      </c>
      <c r="R4542" t="s">
        <v>43171</v>
      </c>
      <c r="S4542" t="s">
        <v>43311</v>
      </c>
      <c r="T4542" t="s">
        <v>44864</v>
      </c>
      <c r="U4542" t="s">
        <v>48905</v>
      </c>
      <c r="V4542" t="s">
        <v>57317</v>
      </c>
      <c r="W4542" t="s">
        <v>40990</v>
      </c>
      <c r="X4542" t="s">
        <v>43172</v>
      </c>
    </row>
    <row r="4543" spans="1:24">
      <c r="A4543">
        <f>HYPERLINK("https://www.philgeps.gov.ph/GEPSNONPILOT/Tender/SplashBidNoticeAbstractUI.aspx?menuIndex=3&amp;refID=7084239&amp;Result=3","7084239")</f>
        <v>0</v>
      </c>
      <c r="B4543" t="s">
        <v>1608</v>
      </c>
      <c r="C4543" t="s">
        <v>7751</v>
      </c>
      <c r="D4543" t="s">
        <v>17415</v>
      </c>
      <c r="E4543" t="s">
        <v>21452</v>
      </c>
      <c r="F4543" t="s">
        <v>30052</v>
      </c>
      <c r="G4543" t="s">
        <v>30058</v>
      </c>
      <c r="H4543" t="s">
        <v>15498</v>
      </c>
      <c r="I4543" t="s">
        <v>30070</v>
      </c>
      <c r="J4543" t="s">
        <v>33112</v>
      </c>
      <c r="K4543" t="s">
        <v>39019</v>
      </c>
      <c r="M4543" t="s">
        <v>41007</v>
      </c>
      <c r="N4543" t="s">
        <v>43166</v>
      </c>
      <c r="O4543" t="s">
        <v>43167</v>
      </c>
      <c r="P4543">
        <v>0</v>
      </c>
      <c r="Q4543">
        <v>0</v>
      </c>
      <c r="R4543" t="s">
        <v>43171</v>
      </c>
      <c r="S4543" t="s">
        <v>43311</v>
      </c>
      <c r="T4543" t="s">
        <v>44705</v>
      </c>
      <c r="U4543" t="s">
        <v>45217</v>
      </c>
      <c r="W4543" t="s">
        <v>41007</v>
      </c>
      <c r="X4543" t="s">
        <v>43172</v>
      </c>
    </row>
    <row r="4544" spans="1:24">
      <c r="A4544">
        <f>HYPERLINK("https://www.philgeps.gov.ph/GEPSNONPILOT/Tender/SplashBidNoticeAbstractUI.aspx?menuIndex=3&amp;refID=7084225&amp;Result=3","7084225")</f>
        <v>0</v>
      </c>
      <c r="B4544" t="s">
        <v>1610</v>
      </c>
      <c r="C4544" t="s">
        <v>7752</v>
      </c>
      <c r="D4544" t="s">
        <v>17455</v>
      </c>
      <c r="E4544" t="s">
        <v>21453</v>
      </c>
      <c r="F4544" t="s">
        <v>30052</v>
      </c>
      <c r="G4544" t="s">
        <v>30058</v>
      </c>
      <c r="H4544" t="s">
        <v>15498</v>
      </c>
      <c r="I4544" t="s">
        <v>30073</v>
      </c>
      <c r="J4544" t="s">
        <v>33113</v>
      </c>
      <c r="K4544" t="s">
        <v>39057</v>
      </c>
      <c r="M4544" t="s">
        <v>41009</v>
      </c>
      <c r="N4544" t="s">
        <v>43166</v>
      </c>
      <c r="O4544" t="s">
        <v>43167</v>
      </c>
      <c r="P4544">
        <v>0</v>
      </c>
      <c r="Q4544">
        <v>1</v>
      </c>
      <c r="R4544" t="s">
        <v>43171</v>
      </c>
      <c r="S4544" t="s">
        <v>43311</v>
      </c>
      <c r="T4544" t="s">
        <v>44789</v>
      </c>
      <c r="U4544" t="s">
        <v>48906</v>
      </c>
      <c r="W4544" t="s">
        <v>41009</v>
      </c>
      <c r="X4544" t="s">
        <v>43172</v>
      </c>
    </row>
    <row r="4545" spans="1:24">
      <c r="A4545">
        <f>HYPERLINK("https://www.philgeps.gov.ph/GEPSNONPILOT/Tender/SplashBidNoticeAbstractUI.aspx?menuIndex=3&amp;refID=7084293&amp;Result=3","7084293")</f>
        <v>0</v>
      </c>
      <c r="B4545" t="s">
        <v>1180</v>
      </c>
      <c r="C4545" t="s">
        <v>7753</v>
      </c>
      <c r="D4545" t="s">
        <v>17455</v>
      </c>
      <c r="E4545" t="s">
        <v>21454</v>
      </c>
      <c r="F4545" t="s">
        <v>30052</v>
      </c>
      <c r="G4545" t="s">
        <v>30058</v>
      </c>
      <c r="H4545" t="s">
        <v>15498</v>
      </c>
      <c r="I4545" t="s">
        <v>6304</v>
      </c>
      <c r="J4545" t="s">
        <v>33114</v>
      </c>
      <c r="K4545" t="s">
        <v>39029</v>
      </c>
      <c r="M4545" t="s">
        <v>40530</v>
      </c>
      <c r="N4545" t="s">
        <v>43166</v>
      </c>
      <c r="O4545" t="s">
        <v>43167</v>
      </c>
      <c r="P4545">
        <v>0</v>
      </c>
      <c r="Q4545">
        <v>1</v>
      </c>
      <c r="R4545" t="s">
        <v>43171</v>
      </c>
      <c r="S4545" t="s">
        <v>43311</v>
      </c>
      <c r="T4545" t="s">
        <v>44789</v>
      </c>
      <c r="U4545" t="s">
        <v>48907</v>
      </c>
      <c r="W4545" t="s">
        <v>40530</v>
      </c>
      <c r="X4545" t="s">
        <v>43172</v>
      </c>
    </row>
    <row r="4546" spans="1:24">
      <c r="A4546">
        <f>HYPERLINK("https://www.philgeps.gov.ph/GEPSNONPILOT/Tender/SplashBidNoticeAbstractUI.aspx?menuIndex=3&amp;refID=7084288&amp;Result=3","7084288")</f>
        <v>0</v>
      </c>
      <c r="B4546" t="s">
        <v>1608</v>
      </c>
      <c r="C4546" t="s">
        <v>7754</v>
      </c>
      <c r="D4546" t="s">
        <v>17415</v>
      </c>
      <c r="E4546" t="s">
        <v>21455</v>
      </c>
      <c r="F4546" t="s">
        <v>30052</v>
      </c>
      <c r="G4546" t="s">
        <v>30058</v>
      </c>
      <c r="H4546" t="s">
        <v>15498</v>
      </c>
      <c r="I4546" t="s">
        <v>3852</v>
      </c>
      <c r="J4546" t="s">
        <v>30384</v>
      </c>
      <c r="K4546" t="s">
        <v>39019</v>
      </c>
      <c r="M4546" t="s">
        <v>41007</v>
      </c>
      <c r="N4546" t="s">
        <v>43166</v>
      </c>
      <c r="O4546" t="s">
        <v>43167</v>
      </c>
      <c r="P4546">
        <v>0</v>
      </c>
      <c r="Q4546">
        <v>0</v>
      </c>
      <c r="R4546" t="s">
        <v>43171</v>
      </c>
      <c r="S4546" t="s">
        <v>43311</v>
      </c>
      <c r="T4546" t="s">
        <v>44705</v>
      </c>
      <c r="U4546" t="s">
        <v>48908</v>
      </c>
      <c r="W4546" t="s">
        <v>41007</v>
      </c>
      <c r="X4546" t="s">
        <v>43172</v>
      </c>
    </row>
    <row r="4547" spans="1:24">
      <c r="A4547">
        <f>HYPERLINK("https://www.philgeps.gov.ph/GEPSNONPILOT/Tender/SplashBidNoticeAbstractUI.aspx?menuIndex=3&amp;refID=7084231&amp;Result=3","7084231")</f>
        <v>0</v>
      </c>
      <c r="B4547" t="s">
        <v>1602</v>
      </c>
      <c r="C4547" t="s">
        <v>7755</v>
      </c>
      <c r="D4547" t="s">
        <v>17445</v>
      </c>
      <c r="E4547" t="s">
        <v>20112</v>
      </c>
      <c r="F4547" t="s">
        <v>30052</v>
      </c>
      <c r="G4547" t="s">
        <v>30058</v>
      </c>
      <c r="H4547" t="s">
        <v>30067</v>
      </c>
      <c r="I4547" t="s">
        <v>3693</v>
      </c>
      <c r="J4547" t="s">
        <v>30605</v>
      </c>
      <c r="K4547" t="s">
        <v>39025</v>
      </c>
      <c r="M4547" t="s">
        <v>41000</v>
      </c>
      <c r="N4547" t="s">
        <v>43166</v>
      </c>
      <c r="O4547" t="s">
        <v>43167</v>
      </c>
      <c r="P4547">
        <v>0</v>
      </c>
      <c r="Q4547">
        <v>0</v>
      </c>
      <c r="R4547" t="s">
        <v>43171</v>
      </c>
      <c r="S4547" t="s">
        <v>43311</v>
      </c>
      <c r="T4547" t="s">
        <v>44721</v>
      </c>
      <c r="U4547" t="s">
        <v>48909</v>
      </c>
      <c r="W4547" t="s">
        <v>41000</v>
      </c>
      <c r="X4547" t="s">
        <v>43172</v>
      </c>
    </row>
    <row r="4548" spans="1:24">
      <c r="A4548">
        <f>HYPERLINK("https://www.philgeps.gov.ph/GEPSNONPILOT/Tender/SplashBidNoticeAbstractUI.aspx?menuIndex=3&amp;refID=7084230&amp;Result=3","7084230")</f>
        <v>0</v>
      </c>
      <c r="B4548" t="s">
        <v>1208</v>
      </c>
      <c r="C4548" t="s">
        <v>7756</v>
      </c>
      <c r="D4548" t="s">
        <v>17441</v>
      </c>
      <c r="E4548" t="s">
        <v>21191</v>
      </c>
      <c r="F4548" t="s">
        <v>30052</v>
      </c>
      <c r="G4548" t="s">
        <v>30059</v>
      </c>
      <c r="H4548" t="s">
        <v>30069</v>
      </c>
      <c r="I4548" t="s">
        <v>30088</v>
      </c>
      <c r="J4548" t="s">
        <v>30230</v>
      </c>
      <c r="K4548" t="s">
        <v>39019</v>
      </c>
      <c r="L4548" t="s">
        <v>1208</v>
      </c>
      <c r="M4548" t="s">
        <v>40562</v>
      </c>
      <c r="N4548" t="s">
        <v>43166</v>
      </c>
      <c r="O4548" t="s">
        <v>43167</v>
      </c>
      <c r="P4548">
        <v>0</v>
      </c>
      <c r="Q4548">
        <v>2</v>
      </c>
      <c r="R4548" t="s">
        <v>43171</v>
      </c>
      <c r="S4548" t="s">
        <v>43311</v>
      </c>
      <c r="T4548" t="s">
        <v>44813</v>
      </c>
      <c r="U4548" t="s">
        <v>48893</v>
      </c>
      <c r="W4548" t="s">
        <v>40562</v>
      </c>
      <c r="X4548" t="s">
        <v>43172</v>
      </c>
    </row>
    <row r="4549" spans="1:24">
      <c r="A4549">
        <f>HYPERLINK("https://www.philgeps.gov.ph/GEPSNONPILOT/Tender/SplashBidNoticeAbstractUI.aspx?menuIndex=3&amp;refID=7084287&amp;Result=3","7084287")</f>
        <v>0</v>
      </c>
      <c r="B4549" t="s">
        <v>1611</v>
      </c>
      <c r="C4549" t="s">
        <v>7757</v>
      </c>
      <c r="D4549" t="s">
        <v>17448</v>
      </c>
      <c r="E4549" t="s">
        <v>17760</v>
      </c>
      <c r="F4549" t="s">
        <v>30052</v>
      </c>
      <c r="G4549" t="s">
        <v>30058</v>
      </c>
      <c r="H4549" t="s">
        <v>15498</v>
      </c>
      <c r="I4549" t="s">
        <v>30071</v>
      </c>
      <c r="J4549" t="s">
        <v>30277</v>
      </c>
      <c r="K4549" t="s">
        <v>39025</v>
      </c>
      <c r="M4549" t="s">
        <v>41010</v>
      </c>
      <c r="N4549" t="s">
        <v>43166</v>
      </c>
      <c r="O4549" t="s">
        <v>43167</v>
      </c>
      <c r="P4549">
        <v>0</v>
      </c>
      <c r="Q4549">
        <v>0</v>
      </c>
      <c r="R4549" t="s">
        <v>43171</v>
      </c>
      <c r="S4549" t="s">
        <v>43311</v>
      </c>
      <c r="T4549" t="s">
        <v>44723</v>
      </c>
      <c r="U4549" t="s">
        <v>48910</v>
      </c>
      <c r="W4549" t="s">
        <v>41010</v>
      </c>
      <c r="X4549" t="s">
        <v>43172</v>
      </c>
    </row>
    <row r="4550" spans="1:24">
      <c r="A4550">
        <f>HYPERLINK("https://www.philgeps.gov.ph/GEPSNONPILOT/Tender/SplashBidNoticeAbstractUI.aspx?menuIndex=3&amp;refID=7084284&amp;Result=3","7084284")</f>
        <v>0</v>
      </c>
      <c r="B4550" t="s">
        <v>1608</v>
      </c>
      <c r="C4550" t="s">
        <v>7758</v>
      </c>
      <c r="D4550" t="s">
        <v>17415</v>
      </c>
      <c r="E4550" t="s">
        <v>21456</v>
      </c>
      <c r="F4550" t="s">
        <v>30052</v>
      </c>
      <c r="G4550" t="s">
        <v>30058</v>
      </c>
      <c r="H4550" t="s">
        <v>15498</v>
      </c>
      <c r="I4550" t="s">
        <v>3852</v>
      </c>
      <c r="J4550" t="s">
        <v>30209</v>
      </c>
      <c r="K4550" t="s">
        <v>39019</v>
      </c>
      <c r="M4550" t="s">
        <v>41007</v>
      </c>
      <c r="N4550" t="s">
        <v>43166</v>
      </c>
      <c r="O4550" t="s">
        <v>43167</v>
      </c>
      <c r="P4550">
        <v>0</v>
      </c>
      <c r="Q4550">
        <v>0</v>
      </c>
      <c r="R4550" t="s">
        <v>43171</v>
      </c>
      <c r="S4550" t="s">
        <v>43311</v>
      </c>
      <c r="T4550" t="s">
        <v>44705</v>
      </c>
      <c r="U4550" t="s">
        <v>48908</v>
      </c>
      <c r="W4550" t="s">
        <v>41007</v>
      </c>
      <c r="X4550" t="s">
        <v>43172</v>
      </c>
    </row>
    <row r="4551" spans="1:24">
      <c r="A4551">
        <f>HYPERLINK("https://www.philgeps.gov.ph/GEPSNONPILOT/Tender/SplashBidNoticeAbstractUI.aspx?menuIndex=3&amp;refID=7084280&amp;Result=3","7084280")</f>
        <v>0</v>
      </c>
      <c r="B4551" t="s">
        <v>1602</v>
      </c>
      <c r="C4551" t="s">
        <v>7759</v>
      </c>
      <c r="D4551" t="s">
        <v>17445</v>
      </c>
      <c r="E4551" t="s">
        <v>20129</v>
      </c>
      <c r="F4551" t="s">
        <v>30052</v>
      </c>
      <c r="G4551" t="s">
        <v>30058</v>
      </c>
      <c r="H4551" t="s">
        <v>30067</v>
      </c>
      <c r="I4551" t="s">
        <v>3693</v>
      </c>
      <c r="J4551" t="s">
        <v>30207</v>
      </c>
      <c r="K4551" t="s">
        <v>39025</v>
      </c>
      <c r="M4551" t="s">
        <v>41000</v>
      </c>
      <c r="N4551" t="s">
        <v>43166</v>
      </c>
      <c r="O4551" t="s">
        <v>43167</v>
      </c>
      <c r="P4551">
        <v>0</v>
      </c>
      <c r="Q4551">
        <v>0</v>
      </c>
      <c r="R4551" t="s">
        <v>43171</v>
      </c>
      <c r="S4551" t="s">
        <v>43311</v>
      </c>
      <c r="T4551" t="s">
        <v>44729</v>
      </c>
      <c r="U4551" t="s">
        <v>48911</v>
      </c>
      <c r="W4551" t="s">
        <v>41000</v>
      </c>
      <c r="X4551" t="s">
        <v>43172</v>
      </c>
    </row>
    <row r="4552" spans="1:24">
      <c r="A4552">
        <f>HYPERLINK("https://www.philgeps.gov.ph/GEPSNONPILOT/Tender/SplashBidNoticeAbstractUI.aspx?menuIndex=3&amp;refID=7084278&amp;Result=3","7084278")</f>
        <v>0</v>
      </c>
      <c r="B4552" t="s">
        <v>1608</v>
      </c>
      <c r="C4552" t="s">
        <v>7760</v>
      </c>
      <c r="D4552" t="s">
        <v>17415</v>
      </c>
      <c r="E4552" t="s">
        <v>21457</v>
      </c>
      <c r="F4552" t="s">
        <v>30052</v>
      </c>
      <c r="G4552" t="s">
        <v>30058</v>
      </c>
      <c r="H4552" t="s">
        <v>15498</v>
      </c>
      <c r="I4552" t="s">
        <v>3852</v>
      </c>
      <c r="J4552" t="s">
        <v>33115</v>
      </c>
      <c r="K4552" t="s">
        <v>39019</v>
      </c>
      <c r="M4552" t="s">
        <v>41007</v>
      </c>
      <c r="N4552" t="s">
        <v>43166</v>
      </c>
      <c r="O4552" t="s">
        <v>43167</v>
      </c>
      <c r="P4552">
        <v>0</v>
      </c>
      <c r="Q4552">
        <v>1</v>
      </c>
      <c r="R4552" t="s">
        <v>43171</v>
      </c>
      <c r="S4552" t="s">
        <v>43311</v>
      </c>
      <c r="T4552" t="s">
        <v>44705</v>
      </c>
      <c r="U4552" t="s">
        <v>48908</v>
      </c>
      <c r="W4552" t="s">
        <v>41007</v>
      </c>
      <c r="X4552" t="s">
        <v>43172</v>
      </c>
    </row>
    <row r="4553" spans="1:24">
      <c r="A4553">
        <f>HYPERLINK("https://www.philgeps.gov.ph/GEPSNONPILOT/Tender/SplashBidNoticeAbstractUI.aspx?menuIndex=3&amp;refID=7084275&amp;Result=3","7084275")</f>
        <v>0</v>
      </c>
      <c r="B4553" t="s">
        <v>1017</v>
      </c>
      <c r="C4553" t="s">
        <v>7761</v>
      </c>
      <c r="D4553" t="s">
        <v>17444</v>
      </c>
      <c r="E4553" t="s">
        <v>21458</v>
      </c>
      <c r="F4553" t="s">
        <v>30052</v>
      </c>
      <c r="G4553" t="s">
        <v>30058</v>
      </c>
      <c r="H4553" t="s">
        <v>15498</v>
      </c>
      <c r="I4553" t="s">
        <v>30101</v>
      </c>
      <c r="J4553" t="s">
        <v>33116</v>
      </c>
      <c r="K4553" t="s">
        <v>39031</v>
      </c>
      <c r="M4553" t="s">
        <v>40346</v>
      </c>
      <c r="N4553" t="s">
        <v>43166</v>
      </c>
      <c r="O4553" t="s">
        <v>43167</v>
      </c>
      <c r="P4553">
        <v>0</v>
      </c>
      <c r="Q4553">
        <v>4</v>
      </c>
      <c r="R4553" t="s">
        <v>43171</v>
      </c>
      <c r="S4553" t="s">
        <v>43311</v>
      </c>
      <c r="T4553" t="s">
        <v>44704</v>
      </c>
      <c r="U4553" t="s">
        <v>48912</v>
      </c>
      <c r="W4553" t="s">
        <v>40346</v>
      </c>
      <c r="X4553" t="s">
        <v>43172</v>
      </c>
    </row>
    <row r="4554" spans="1:24">
      <c r="A4554">
        <f>HYPERLINK("https://www.philgeps.gov.ph/GEPSNONPILOT/Tender/SplashBidNoticeAbstractUI.aspx?menuIndex=3&amp;refID=7084274&amp;Result=3","7084274")</f>
        <v>0</v>
      </c>
      <c r="B4554" t="s">
        <v>1038</v>
      </c>
      <c r="C4554" t="s">
        <v>7762</v>
      </c>
      <c r="D4554" t="s">
        <v>17436</v>
      </c>
      <c r="E4554" t="s">
        <v>21459</v>
      </c>
      <c r="F4554" t="s">
        <v>30052</v>
      </c>
      <c r="G4554" t="s">
        <v>30059</v>
      </c>
      <c r="H4554" t="s">
        <v>15498</v>
      </c>
      <c r="I4554" t="s">
        <v>30094</v>
      </c>
      <c r="J4554" t="s">
        <v>33117</v>
      </c>
      <c r="K4554" t="s">
        <v>39025</v>
      </c>
      <c r="M4554" t="s">
        <v>40369</v>
      </c>
      <c r="N4554" t="s">
        <v>43166</v>
      </c>
      <c r="O4554" t="s">
        <v>43167</v>
      </c>
      <c r="P4554">
        <v>0</v>
      </c>
      <c r="Q4554">
        <v>0</v>
      </c>
      <c r="R4554" t="s">
        <v>43171</v>
      </c>
      <c r="S4554" t="s">
        <v>43311</v>
      </c>
      <c r="T4554" t="s">
        <v>44777</v>
      </c>
      <c r="U4554" t="s">
        <v>48913</v>
      </c>
      <c r="W4554" t="s">
        <v>40369</v>
      </c>
      <c r="X4554" t="s">
        <v>43172</v>
      </c>
    </row>
    <row r="4555" spans="1:24">
      <c r="A4555">
        <f>HYPERLINK("https://www.philgeps.gov.ph/GEPSNONPILOT/Tender/SplashBidNoticeAbstractUI.aspx?menuIndex=3&amp;refID=7084273&amp;Result=3","7084273")</f>
        <v>0</v>
      </c>
      <c r="B4555" t="s">
        <v>1612</v>
      </c>
      <c r="C4555" t="s">
        <v>7763</v>
      </c>
      <c r="D4555" t="s">
        <v>17469</v>
      </c>
      <c r="E4555" t="s">
        <v>21460</v>
      </c>
      <c r="F4555" t="s">
        <v>30052</v>
      </c>
      <c r="G4555" t="s">
        <v>30058</v>
      </c>
      <c r="H4555" t="s">
        <v>15498</v>
      </c>
      <c r="I4555" t="s">
        <v>30087</v>
      </c>
      <c r="J4555" t="s">
        <v>33118</v>
      </c>
      <c r="K4555" t="s">
        <v>39019</v>
      </c>
      <c r="M4555" t="s">
        <v>41011</v>
      </c>
      <c r="N4555" t="s">
        <v>43166</v>
      </c>
      <c r="O4555" t="s">
        <v>43167</v>
      </c>
      <c r="P4555">
        <v>0</v>
      </c>
      <c r="Q4555">
        <v>0</v>
      </c>
      <c r="R4555" t="s">
        <v>43171</v>
      </c>
      <c r="S4555" t="s">
        <v>43311</v>
      </c>
      <c r="T4555" t="s">
        <v>44746</v>
      </c>
      <c r="U4555" t="s">
        <v>48914</v>
      </c>
      <c r="V4555" t="s">
        <v>57325</v>
      </c>
      <c r="W4555" t="s">
        <v>41011</v>
      </c>
      <c r="X4555" t="s">
        <v>43172</v>
      </c>
    </row>
    <row r="4556" spans="1:24">
      <c r="A4556">
        <f>HYPERLINK("https://www.philgeps.gov.ph/GEPSNONPILOT/Tender/SplashBidNoticeAbstractUI.aspx?menuIndex=3&amp;refID=7084272&amp;Result=3","7084272")</f>
        <v>0</v>
      </c>
      <c r="B4556" t="s">
        <v>1610</v>
      </c>
      <c r="C4556" t="s">
        <v>7764</v>
      </c>
      <c r="D4556" t="s">
        <v>17455</v>
      </c>
      <c r="E4556" t="s">
        <v>21461</v>
      </c>
      <c r="F4556" t="s">
        <v>30052</v>
      </c>
      <c r="G4556" t="s">
        <v>30058</v>
      </c>
      <c r="H4556" t="s">
        <v>15498</v>
      </c>
      <c r="I4556" t="s">
        <v>30114</v>
      </c>
      <c r="J4556" t="s">
        <v>33119</v>
      </c>
      <c r="K4556" t="s">
        <v>39046</v>
      </c>
      <c r="M4556" t="s">
        <v>41009</v>
      </c>
      <c r="N4556" t="s">
        <v>43166</v>
      </c>
      <c r="O4556" t="s">
        <v>43167</v>
      </c>
      <c r="P4556">
        <v>0</v>
      </c>
      <c r="Q4556">
        <v>16</v>
      </c>
      <c r="R4556" t="s">
        <v>43171</v>
      </c>
      <c r="S4556" t="s">
        <v>43311</v>
      </c>
      <c r="T4556" t="s">
        <v>44789</v>
      </c>
      <c r="U4556" t="s">
        <v>48915</v>
      </c>
      <c r="W4556" t="s">
        <v>41009</v>
      </c>
      <c r="X4556" t="s">
        <v>43172</v>
      </c>
    </row>
    <row r="4557" spans="1:24">
      <c r="A4557">
        <f>HYPERLINK("https://www.philgeps.gov.ph/GEPSNONPILOT/Tender/SplashBidNoticeAbstractUI.aspx?menuIndex=3&amp;refID=7084271&amp;Result=3","7084271")</f>
        <v>0</v>
      </c>
      <c r="B4557" t="s">
        <v>1208</v>
      </c>
      <c r="C4557" t="s">
        <v>7765</v>
      </c>
      <c r="D4557" t="s">
        <v>17441</v>
      </c>
      <c r="E4557" t="s">
        <v>21191</v>
      </c>
      <c r="F4557" t="s">
        <v>30052</v>
      </c>
      <c r="G4557" t="s">
        <v>30059</v>
      </c>
      <c r="H4557" t="s">
        <v>30069</v>
      </c>
      <c r="I4557" t="s">
        <v>30088</v>
      </c>
      <c r="J4557" t="s">
        <v>30230</v>
      </c>
      <c r="K4557" t="s">
        <v>39019</v>
      </c>
      <c r="L4557" t="s">
        <v>1208</v>
      </c>
      <c r="M4557" t="s">
        <v>40562</v>
      </c>
      <c r="N4557" t="s">
        <v>43166</v>
      </c>
      <c r="O4557" t="s">
        <v>43167</v>
      </c>
      <c r="P4557">
        <v>0</v>
      </c>
      <c r="Q4557">
        <v>5</v>
      </c>
      <c r="R4557" t="s">
        <v>43171</v>
      </c>
      <c r="S4557" t="s">
        <v>43311</v>
      </c>
      <c r="T4557" t="s">
        <v>44813</v>
      </c>
      <c r="U4557" t="s">
        <v>48893</v>
      </c>
      <c r="W4557" t="s">
        <v>40562</v>
      </c>
      <c r="X4557" t="s">
        <v>43172</v>
      </c>
    </row>
    <row r="4558" spans="1:24">
      <c r="A4558">
        <f>HYPERLINK("https://www.philgeps.gov.ph/GEPSNONPILOT/Tender/SplashBidNoticeAbstractUI.aspx?menuIndex=3&amp;refID=7084205&amp;Result=3","7084205")</f>
        <v>0</v>
      </c>
      <c r="B4558" t="s">
        <v>1613</v>
      </c>
      <c r="C4558" t="s">
        <v>7766</v>
      </c>
      <c r="E4558" t="s">
        <v>18028</v>
      </c>
      <c r="F4558" t="s">
        <v>30052</v>
      </c>
      <c r="G4558" t="s">
        <v>30058</v>
      </c>
      <c r="H4558" t="s">
        <v>15498</v>
      </c>
      <c r="I4558" t="s">
        <v>3736</v>
      </c>
      <c r="J4558" t="s">
        <v>31189</v>
      </c>
      <c r="K4558" t="s">
        <v>39025</v>
      </c>
      <c r="M4558" t="s">
        <v>41012</v>
      </c>
      <c r="N4558" t="s">
        <v>43166</v>
      </c>
      <c r="O4558" t="s">
        <v>43167</v>
      </c>
      <c r="P4558">
        <v>0</v>
      </c>
      <c r="Q4558">
        <v>0</v>
      </c>
      <c r="R4558" t="s">
        <v>43171</v>
      </c>
      <c r="S4558" t="s">
        <v>43311</v>
      </c>
      <c r="T4558" t="s">
        <v>44787</v>
      </c>
      <c r="U4558" t="s">
        <v>48916</v>
      </c>
      <c r="W4558" t="s">
        <v>41012</v>
      </c>
      <c r="X4558" t="s">
        <v>43172</v>
      </c>
    </row>
    <row r="4559" spans="1:24">
      <c r="A4559">
        <f>HYPERLINK("https://www.philgeps.gov.ph/GEPSNONPILOT/Tender/SplashBidNoticeAbstractUI.aspx?menuIndex=3&amp;refID=7084268&amp;Result=3","7084268")</f>
        <v>0</v>
      </c>
      <c r="B4559" t="s">
        <v>1606</v>
      </c>
      <c r="C4559" t="s">
        <v>7767</v>
      </c>
      <c r="D4559" t="s">
        <v>17477</v>
      </c>
      <c r="E4559" t="s">
        <v>21462</v>
      </c>
      <c r="F4559" t="s">
        <v>30052</v>
      </c>
      <c r="G4559" t="s">
        <v>30058</v>
      </c>
      <c r="H4559" t="s">
        <v>30067</v>
      </c>
      <c r="I4559" t="s">
        <v>3693</v>
      </c>
      <c r="J4559" t="s">
        <v>30240</v>
      </c>
      <c r="K4559" t="s">
        <v>39023</v>
      </c>
      <c r="M4559" t="s">
        <v>41005</v>
      </c>
      <c r="N4559" t="s">
        <v>43166</v>
      </c>
      <c r="O4559" t="s">
        <v>43167</v>
      </c>
      <c r="P4559">
        <v>0</v>
      </c>
      <c r="Q4559">
        <v>0</v>
      </c>
      <c r="R4559" t="s">
        <v>43171</v>
      </c>
      <c r="S4559" t="s">
        <v>43311</v>
      </c>
      <c r="T4559" t="s">
        <v>44842</v>
      </c>
      <c r="U4559" t="s">
        <v>48917</v>
      </c>
      <c r="V4559" t="s">
        <v>57326</v>
      </c>
      <c r="W4559" t="s">
        <v>41005</v>
      </c>
      <c r="X4559" t="s">
        <v>43172</v>
      </c>
    </row>
    <row r="4560" spans="1:24">
      <c r="A4560">
        <f>HYPERLINK("https://www.philgeps.gov.ph/GEPSNONPILOT/Tender/SplashBidNoticeAbstractUI.aspx?menuIndex=3&amp;refID=7084240&amp;Result=3","7084240")</f>
        <v>0</v>
      </c>
      <c r="B4560" t="s">
        <v>877</v>
      </c>
      <c r="C4560" t="s">
        <v>7768</v>
      </c>
      <c r="D4560" t="s">
        <v>17415</v>
      </c>
      <c r="E4560" t="s">
        <v>21463</v>
      </c>
      <c r="F4560" t="s">
        <v>30052</v>
      </c>
      <c r="G4560" t="s">
        <v>30059</v>
      </c>
      <c r="H4560" t="s">
        <v>15498</v>
      </c>
      <c r="I4560" t="s">
        <v>4598</v>
      </c>
      <c r="J4560" t="s">
        <v>32965</v>
      </c>
      <c r="K4560" t="s">
        <v>39017</v>
      </c>
      <c r="M4560" t="s">
        <v>41013</v>
      </c>
      <c r="N4560" t="s">
        <v>43166</v>
      </c>
      <c r="O4560" t="s">
        <v>43167</v>
      </c>
      <c r="P4560">
        <v>0</v>
      </c>
      <c r="Q4560">
        <v>3</v>
      </c>
      <c r="R4560" t="s">
        <v>43171</v>
      </c>
      <c r="S4560" t="s">
        <v>43311</v>
      </c>
      <c r="T4560" t="s">
        <v>44773</v>
      </c>
      <c r="U4560" t="s">
        <v>48918</v>
      </c>
      <c r="W4560" t="s">
        <v>41013</v>
      </c>
      <c r="X4560" t="s">
        <v>43172</v>
      </c>
    </row>
    <row r="4561" spans="1:24">
      <c r="A4561">
        <f>HYPERLINK("https://www.philgeps.gov.ph/GEPSNONPILOT/Tender/SplashBidNoticeAbstractUI.aspx?menuIndex=3&amp;refID=7084262&amp;Result=3","7084262")</f>
        <v>0</v>
      </c>
      <c r="B4561" t="s">
        <v>1208</v>
      </c>
      <c r="C4561" t="s">
        <v>7769</v>
      </c>
      <c r="D4561" t="s">
        <v>17441</v>
      </c>
      <c r="E4561" t="s">
        <v>21191</v>
      </c>
      <c r="F4561" t="s">
        <v>30052</v>
      </c>
      <c r="G4561" t="s">
        <v>30059</v>
      </c>
      <c r="H4561" t="s">
        <v>30069</v>
      </c>
      <c r="I4561" t="s">
        <v>30088</v>
      </c>
      <c r="J4561" t="s">
        <v>30230</v>
      </c>
      <c r="K4561" t="s">
        <v>39019</v>
      </c>
      <c r="L4561" t="s">
        <v>1208</v>
      </c>
      <c r="M4561" t="s">
        <v>40562</v>
      </c>
      <c r="N4561" t="s">
        <v>43166</v>
      </c>
      <c r="O4561" t="s">
        <v>43167</v>
      </c>
      <c r="P4561">
        <v>0</v>
      </c>
      <c r="Q4561">
        <v>2</v>
      </c>
      <c r="R4561" t="s">
        <v>43171</v>
      </c>
      <c r="S4561" t="s">
        <v>43311</v>
      </c>
      <c r="T4561" t="s">
        <v>44813</v>
      </c>
      <c r="U4561" t="s">
        <v>48893</v>
      </c>
      <c r="W4561" t="s">
        <v>40562</v>
      </c>
      <c r="X4561" t="s">
        <v>43172</v>
      </c>
    </row>
    <row r="4562" spans="1:24">
      <c r="A4562">
        <f>HYPERLINK("https://www.philgeps.gov.ph/GEPSNONPILOT/Tender/SplashBidNoticeAbstractUI.aspx?menuIndex=3&amp;refID=7084269&amp;Result=3","7084269")</f>
        <v>0</v>
      </c>
      <c r="B4562" t="s">
        <v>1608</v>
      </c>
      <c r="C4562" t="s">
        <v>7770</v>
      </c>
      <c r="D4562" t="s">
        <v>17415</v>
      </c>
      <c r="E4562" t="s">
        <v>21464</v>
      </c>
      <c r="F4562" t="s">
        <v>30052</v>
      </c>
      <c r="G4562" t="s">
        <v>30058</v>
      </c>
      <c r="H4562" t="s">
        <v>15498</v>
      </c>
      <c r="I4562" t="s">
        <v>3852</v>
      </c>
      <c r="J4562" t="s">
        <v>33120</v>
      </c>
      <c r="K4562" t="s">
        <v>39019</v>
      </c>
      <c r="M4562" t="s">
        <v>41007</v>
      </c>
      <c r="N4562" t="s">
        <v>43166</v>
      </c>
      <c r="O4562" t="s">
        <v>43167</v>
      </c>
      <c r="P4562">
        <v>0</v>
      </c>
      <c r="Q4562">
        <v>0</v>
      </c>
      <c r="R4562" t="s">
        <v>43171</v>
      </c>
      <c r="S4562" t="s">
        <v>43311</v>
      </c>
      <c r="T4562" t="s">
        <v>44705</v>
      </c>
      <c r="U4562" t="s">
        <v>48908</v>
      </c>
      <c r="W4562" t="s">
        <v>41007</v>
      </c>
      <c r="X4562" t="s">
        <v>43172</v>
      </c>
    </row>
    <row r="4563" spans="1:24">
      <c r="A4563">
        <f>HYPERLINK("https://www.philgeps.gov.ph/GEPSNONPILOT/Tender/SplashBidNoticeAbstractUI.aspx?menuIndex=3&amp;refID=7084285&amp;Result=3","7084285")</f>
        <v>0</v>
      </c>
      <c r="B4563" t="s">
        <v>1017</v>
      </c>
      <c r="C4563" t="s">
        <v>7771</v>
      </c>
      <c r="D4563" t="s">
        <v>17444</v>
      </c>
      <c r="E4563" t="s">
        <v>21465</v>
      </c>
      <c r="F4563" t="s">
        <v>30052</v>
      </c>
      <c r="G4563" t="s">
        <v>30058</v>
      </c>
      <c r="H4563" t="s">
        <v>15498</v>
      </c>
      <c r="I4563" t="s">
        <v>30073</v>
      </c>
      <c r="J4563" t="s">
        <v>33121</v>
      </c>
      <c r="K4563" t="s">
        <v>39019</v>
      </c>
      <c r="M4563" t="s">
        <v>40346</v>
      </c>
      <c r="N4563" t="s">
        <v>43166</v>
      </c>
      <c r="O4563" t="s">
        <v>43167</v>
      </c>
      <c r="P4563">
        <v>0</v>
      </c>
      <c r="Q4563">
        <v>0</v>
      </c>
      <c r="R4563" t="s">
        <v>43171</v>
      </c>
      <c r="S4563" t="s">
        <v>43311</v>
      </c>
      <c r="T4563" t="s">
        <v>44712</v>
      </c>
      <c r="U4563" t="s">
        <v>48912</v>
      </c>
      <c r="W4563" t="s">
        <v>40346</v>
      </c>
      <c r="X4563" t="s">
        <v>43172</v>
      </c>
    </row>
    <row r="4564" spans="1:24">
      <c r="A4564">
        <f>HYPERLINK("https://www.philgeps.gov.ph/GEPSNONPILOT/Tender/SplashBidNoticeAbstractUI.aspx?menuIndex=3&amp;refID=7084258&amp;Result=3","7084258")</f>
        <v>0</v>
      </c>
      <c r="B4564" t="s">
        <v>1602</v>
      </c>
      <c r="C4564" t="s">
        <v>7772</v>
      </c>
      <c r="D4564" t="s">
        <v>17445</v>
      </c>
      <c r="E4564" t="s">
        <v>20129</v>
      </c>
      <c r="F4564" t="s">
        <v>30052</v>
      </c>
      <c r="G4564" t="s">
        <v>30058</v>
      </c>
      <c r="H4564" t="s">
        <v>30067</v>
      </c>
      <c r="I4564" t="s">
        <v>3693</v>
      </c>
      <c r="J4564" t="s">
        <v>30292</v>
      </c>
      <c r="K4564" t="s">
        <v>39025</v>
      </c>
      <c r="M4564" t="s">
        <v>41000</v>
      </c>
      <c r="N4564" t="s">
        <v>43166</v>
      </c>
      <c r="O4564" t="s">
        <v>43167</v>
      </c>
      <c r="P4564">
        <v>0</v>
      </c>
      <c r="Q4564">
        <v>0</v>
      </c>
      <c r="R4564" t="s">
        <v>43171</v>
      </c>
      <c r="S4564" t="s">
        <v>43311</v>
      </c>
      <c r="T4564" t="s">
        <v>44721</v>
      </c>
      <c r="U4564" t="s">
        <v>48919</v>
      </c>
      <c r="W4564" t="s">
        <v>41000</v>
      </c>
      <c r="X4564" t="s">
        <v>43172</v>
      </c>
    </row>
    <row r="4565" spans="1:24">
      <c r="A4565">
        <f>HYPERLINK("https://www.philgeps.gov.ph/GEPSNONPILOT/Tender/SplashBidNoticeAbstractUI.aspx?menuIndex=3&amp;refID=7084255&amp;Result=3","7084255")</f>
        <v>0</v>
      </c>
      <c r="B4565" t="s">
        <v>1608</v>
      </c>
      <c r="C4565" t="s">
        <v>7773</v>
      </c>
      <c r="D4565" t="s">
        <v>17415</v>
      </c>
      <c r="E4565" t="s">
        <v>21466</v>
      </c>
      <c r="F4565" t="s">
        <v>30052</v>
      </c>
      <c r="G4565" t="s">
        <v>30058</v>
      </c>
      <c r="H4565" t="s">
        <v>15498</v>
      </c>
      <c r="I4565" t="s">
        <v>3852</v>
      </c>
      <c r="J4565" t="s">
        <v>30277</v>
      </c>
      <c r="K4565" t="s">
        <v>39019</v>
      </c>
      <c r="M4565" t="s">
        <v>41007</v>
      </c>
      <c r="N4565" t="s">
        <v>43166</v>
      </c>
      <c r="O4565" t="s">
        <v>43167</v>
      </c>
      <c r="P4565">
        <v>0</v>
      </c>
      <c r="Q4565">
        <v>0</v>
      </c>
      <c r="R4565" t="s">
        <v>43171</v>
      </c>
      <c r="S4565" t="s">
        <v>43311</v>
      </c>
      <c r="T4565" t="s">
        <v>44705</v>
      </c>
      <c r="U4565" t="s">
        <v>48908</v>
      </c>
      <c r="W4565" t="s">
        <v>41007</v>
      </c>
      <c r="X4565" t="s">
        <v>43172</v>
      </c>
    </row>
    <row r="4566" spans="1:24">
      <c r="A4566">
        <f>HYPERLINK("https://www.philgeps.gov.ph/GEPSNONPILOT/Tender/SplashBidNoticeAbstractUI.aspx?menuIndex=3&amp;refID=7084210&amp;Result=3","7084210")</f>
        <v>0</v>
      </c>
      <c r="B4566" t="s">
        <v>501</v>
      </c>
      <c r="C4566" t="s">
        <v>7774</v>
      </c>
      <c r="E4566" t="s">
        <v>21467</v>
      </c>
      <c r="F4566" t="s">
        <v>30052</v>
      </c>
      <c r="G4566" t="s">
        <v>30059</v>
      </c>
      <c r="H4566" t="s">
        <v>15498</v>
      </c>
      <c r="I4566" t="s">
        <v>30165</v>
      </c>
      <c r="J4566" t="s">
        <v>33122</v>
      </c>
      <c r="K4566" t="s">
        <v>39025</v>
      </c>
      <c r="M4566" t="s">
        <v>39802</v>
      </c>
      <c r="N4566" t="s">
        <v>43166</v>
      </c>
      <c r="O4566" t="s">
        <v>43167</v>
      </c>
      <c r="P4566">
        <v>0</v>
      </c>
      <c r="Q4566">
        <v>1</v>
      </c>
      <c r="R4566" t="s">
        <v>43171</v>
      </c>
      <c r="S4566" t="s">
        <v>43311</v>
      </c>
      <c r="T4566" t="s">
        <v>44826</v>
      </c>
      <c r="U4566" t="s">
        <v>48920</v>
      </c>
      <c r="V4566" t="s">
        <v>56949</v>
      </c>
      <c r="W4566" t="s">
        <v>39802</v>
      </c>
      <c r="X4566" t="s">
        <v>43172</v>
      </c>
    </row>
    <row r="4567" spans="1:24">
      <c r="A4567">
        <f>HYPERLINK("https://www.philgeps.gov.ph/GEPSNONPILOT/Tender/SplashBidNoticeAbstractUI.aspx?menuIndex=3&amp;refID=7084193&amp;Result=3","7084193")</f>
        <v>0</v>
      </c>
      <c r="B4567" t="s">
        <v>217</v>
      </c>
      <c r="C4567" t="s">
        <v>7775</v>
      </c>
      <c r="D4567" t="s">
        <v>17458</v>
      </c>
      <c r="E4567" t="s">
        <v>21468</v>
      </c>
      <c r="F4567" t="s">
        <v>30052</v>
      </c>
      <c r="G4567" t="s">
        <v>30059</v>
      </c>
      <c r="H4567" t="s">
        <v>15498</v>
      </c>
      <c r="I4567" t="s">
        <v>4598</v>
      </c>
      <c r="J4567" t="s">
        <v>30256</v>
      </c>
      <c r="K4567" t="s">
        <v>39019</v>
      </c>
      <c r="M4567" t="s">
        <v>39507</v>
      </c>
      <c r="N4567" t="s">
        <v>43166</v>
      </c>
      <c r="O4567" t="s">
        <v>43167</v>
      </c>
      <c r="P4567">
        <v>0</v>
      </c>
      <c r="Q4567">
        <v>3</v>
      </c>
      <c r="R4567" t="s">
        <v>43171</v>
      </c>
      <c r="S4567" t="s">
        <v>43311</v>
      </c>
      <c r="T4567" t="s">
        <v>44943</v>
      </c>
      <c r="U4567" t="s">
        <v>48677</v>
      </c>
      <c r="W4567" t="s">
        <v>39507</v>
      </c>
      <c r="X4567" t="s">
        <v>43172</v>
      </c>
    </row>
    <row r="4568" spans="1:24">
      <c r="A4568">
        <f>HYPERLINK("https://www.philgeps.gov.ph/GEPSNONPILOT/Tender/SplashBidNoticeAbstractUI.aspx?menuIndex=3&amp;refID=7084332&amp;Result=3","7084332")</f>
        <v>0</v>
      </c>
      <c r="B4568" t="s">
        <v>1608</v>
      </c>
      <c r="C4568" t="s">
        <v>7776</v>
      </c>
      <c r="D4568" t="s">
        <v>17415</v>
      </c>
      <c r="E4568" t="s">
        <v>21469</v>
      </c>
      <c r="F4568" t="s">
        <v>30052</v>
      </c>
      <c r="G4568" t="s">
        <v>30058</v>
      </c>
      <c r="H4568" t="s">
        <v>15498</v>
      </c>
      <c r="I4568" t="s">
        <v>7228</v>
      </c>
      <c r="J4568" t="s">
        <v>30900</v>
      </c>
      <c r="K4568" t="s">
        <v>39019</v>
      </c>
      <c r="M4568" t="s">
        <v>41007</v>
      </c>
      <c r="N4568" t="s">
        <v>43166</v>
      </c>
      <c r="O4568" t="s">
        <v>43167</v>
      </c>
      <c r="P4568">
        <v>0</v>
      </c>
      <c r="Q4568">
        <v>0</v>
      </c>
      <c r="R4568" t="s">
        <v>43171</v>
      </c>
      <c r="S4568" t="s">
        <v>43311</v>
      </c>
      <c r="T4568" t="s">
        <v>44705</v>
      </c>
      <c r="U4568" t="s">
        <v>48921</v>
      </c>
      <c r="W4568" t="s">
        <v>41007</v>
      </c>
      <c r="X4568" t="s">
        <v>43172</v>
      </c>
    </row>
    <row r="4569" spans="1:24">
      <c r="A4569">
        <f>HYPERLINK("https://www.philgeps.gov.ph/GEPSNONPILOT/Tender/SplashBidNoticeAbstractUI.aspx?menuIndex=3&amp;refID=7084329&amp;Result=3","7084329")</f>
        <v>0</v>
      </c>
      <c r="B4569" t="s">
        <v>1180</v>
      </c>
      <c r="C4569" t="s">
        <v>7777</v>
      </c>
      <c r="D4569" t="s">
        <v>17455</v>
      </c>
      <c r="E4569" t="s">
        <v>21470</v>
      </c>
      <c r="F4569" t="s">
        <v>30052</v>
      </c>
      <c r="G4569" t="s">
        <v>30058</v>
      </c>
      <c r="H4569" t="s">
        <v>30067</v>
      </c>
      <c r="I4569" t="s">
        <v>3693</v>
      </c>
      <c r="J4569" t="s">
        <v>33123</v>
      </c>
      <c r="K4569" t="s">
        <v>39149</v>
      </c>
      <c r="M4569" t="s">
        <v>40530</v>
      </c>
      <c r="N4569" t="s">
        <v>43166</v>
      </c>
      <c r="O4569" t="s">
        <v>43167</v>
      </c>
      <c r="P4569">
        <v>0</v>
      </c>
      <c r="Q4569">
        <v>2</v>
      </c>
      <c r="R4569" t="s">
        <v>43171</v>
      </c>
      <c r="S4569" t="s">
        <v>43311</v>
      </c>
      <c r="T4569" t="s">
        <v>44789</v>
      </c>
      <c r="U4569" t="s">
        <v>48922</v>
      </c>
      <c r="W4569" t="s">
        <v>40530</v>
      </c>
      <c r="X4569" t="s">
        <v>43172</v>
      </c>
    </row>
    <row r="4570" spans="1:24">
      <c r="A4570">
        <f>HYPERLINK("https://www.philgeps.gov.ph/GEPSNONPILOT/Tender/SplashBidNoticeAbstractUI.aspx?menuIndex=3&amp;refID=7084224&amp;Result=3","7084224")</f>
        <v>0</v>
      </c>
      <c r="B4570" t="s">
        <v>1557</v>
      </c>
      <c r="C4570" t="s">
        <v>7778</v>
      </c>
      <c r="D4570" t="s">
        <v>17456</v>
      </c>
      <c r="E4570" t="s">
        <v>21471</v>
      </c>
      <c r="F4570" t="s">
        <v>30052</v>
      </c>
      <c r="G4570" t="s">
        <v>30058</v>
      </c>
      <c r="H4570" t="s">
        <v>30067</v>
      </c>
      <c r="I4570" t="s">
        <v>3693</v>
      </c>
      <c r="J4570" t="s">
        <v>30247</v>
      </c>
      <c r="K4570" t="s">
        <v>39022</v>
      </c>
      <c r="M4570" t="s">
        <v>40946</v>
      </c>
      <c r="N4570" t="s">
        <v>43166</v>
      </c>
      <c r="O4570" t="s">
        <v>43167</v>
      </c>
      <c r="P4570">
        <v>0</v>
      </c>
      <c r="Q4570">
        <v>1</v>
      </c>
      <c r="R4570" t="s">
        <v>43171</v>
      </c>
      <c r="S4570" t="s">
        <v>43311</v>
      </c>
      <c r="T4570" t="s">
        <v>44688</v>
      </c>
      <c r="U4570" t="s">
        <v>48923</v>
      </c>
      <c r="W4570" t="s">
        <v>40946</v>
      </c>
      <c r="X4570" t="s">
        <v>43172</v>
      </c>
    </row>
    <row r="4571" spans="1:24">
      <c r="A4571">
        <f>HYPERLINK("https://www.philgeps.gov.ph/GEPSNONPILOT/Tender/SplashBidNoticeAbstractUI.aspx?menuIndex=3&amp;refID=7084328&amp;Result=3","7084328")</f>
        <v>0</v>
      </c>
      <c r="B4571" t="s">
        <v>1608</v>
      </c>
      <c r="C4571" t="s">
        <v>7779</v>
      </c>
      <c r="D4571" t="s">
        <v>17415</v>
      </c>
      <c r="E4571" t="s">
        <v>21472</v>
      </c>
      <c r="F4571" t="s">
        <v>30052</v>
      </c>
      <c r="G4571" t="s">
        <v>30058</v>
      </c>
      <c r="H4571" t="s">
        <v>15498</v>
      </c>
      <c r="I4571" t="s">
        <v>3852</v>
      </c>
      <c r="J4571" t="s">
        <v>30605</v>
      </c>
      <c r="K4571" t="s">
        <v>39019</v>
      </c>
      <c r="M4571" t="s">
        <v>41007</v>
      </c>
      <c r="N4571" t="s">
        <v>43166</v>
      </c>
      <c r="O4571" t="s">
        <v>43167</v>
      </c>
      <c r="P4571">
        <v>0</v>
      </c>
      <c r="Q4571">
        <v>0</v>
      </c>
      <c r="R4571" t="s">
        <v>43171</v>
      </c>
      <c r="S4571" t="s">
        <v>43311</v>
      </c>
      <c r="T4571" t="s">
        <v>44705</v>
      </c>
      <c r="U4571" t="s">
        <v>48908</v>
      </c>
      <c r="W4571" t="s">
        <v>41007</v>
      </c>
      <c r="X4571" t="s">
        <v>43172</v>
      </c>
    </row>
    <row r="4572" spans="1:24">
      <c r="A4572">
        <f>HYPERLINK("https://www.philgeps.gov.ph/GEPSNONPILOT/Tender/SplashBidNoticeAbstractUI.aspx?menuIndex=3&amp;refID=7084326&amp;Result=3","7084326")</f>
        <v>0</v>
      </c>
      <c r="B4572" t="s">
        <v>1614</v>
      </c>
      <c r="C4572" t="s">
        <v>7780</v>
      </c>
      <c r="D4572" t="s">
        <v>17459</v>
      </c>
      <c r="E4572" t="s">
        <v>17760</v>
      </c>
      <c r="F4572" t="s">
        <v>30052</v>
      </c>
      <c r="G4572" t="s">
        <v>30058</v>
      </c>
      <c r="H4572" t="s">
        <v>30067</v>
      </c>
      <c r="I4572" t="s">
        <v>30106</v>
      </c>
      <c r="J4572" t="s">
        <v>30209</v>
      </c>
      <c r="K4572" t="s">
        <v>39029</v>
      </c>
      <c r="M4572" t="s">
        <v>41014</v>
      </c>
      <c r="N4572" t="s">
        <v>43166</v>
      </c>
      <c r="O4572" t="s">
        <v>43167</v>
      </c>
      <c r="P4572">
        <v>0</v>
      </c>
      <c r="Q4572">
        <v>0</v>
      </c>
      <c r="R4572" t="s">
        <v>43171</v>
      </c>
      <c r="S4572" t="s">
        <v>43311</v>
      </c>
      <c r="T4572" t="s">
        <v>44830</v>
      </c>
      <c r="U4572" t="s">
        <v>48924</v>
      </c>
      <c r="W4572" t="s">
        <v>41014</v>
      </c>
      <c r="X4572" t="s">
        <v>43172</v>
      </c>
    </row>
    <row r="4573" spans="1:24">
      <c r="A4573">
        <f>HYPERLINK("https://www.philgeps.gov.ph/GEPSNONPILOT/Tender/SplashBidNoticeAbstractUI.aspx?menuIndex=3&amp;refID=7084217&amp;Result=3","7084217")</f>
        <v>0</v>
      </c>
      <c r="B4573" t="s">
        <v>1076</v>
      </c>
      <c r="C4573" t="s">
        <v>7781</v>
      </c>
      <c r="D4573" t="s">
        <v>17487</v>
      </c>
      <c r="E4573" t="s">
        <v>21473</v>
      </c>
      <c r="F4573" t="s">
        <v>30052</v>
      </c>
      <c r="G4573" t="s">
        <v>30058</v>
      </c>
      <c r="H4573" t="s">
        <v>30067</v>
      </c>
      <c r="I4573" t="s">
        <v>3693</v>
      </c>
      <c r="J4573" t="s">
        <v>30247</v>
      </c>
      <c r="K4573" t="s">
        <v>39022</v>
      </c>
      <c r="M4573" t="s">
        <v>40411</v>
      </c>
      <c r="N4573" t="s">
        <v>43166</v>
      </c>
      <c r="O4573" t="s">
        <v>43167</v>
      </c>
      <c r="P4573">
        <v>0</v>
      </c>
      <c r="Q4573">
        <v>0</v>
      </c>
      <c r="R4573" t="s">
        <v>43171</v>
      </c>
      <c r="S4573" t="s">
        <v>43311</v>
      </c>
      <c r="T4573" t="s">
        <v>44981</v>
      </c>
      <c r="U4573" t="s">
        <v>48925</v>
      </c>
      <c r="W4573" t="s">
        <v>40411</v>
      </c>
      <c r="X4573" t="s">
        <v>43172</v>
      </c>
    </row>
    <row r="4574" spans="1:24">
      <c r="A4574">
        <f>HYPERLINK("https://www.philgeps.gov.ph/GEPSNONPILOT/Tender/SplashBidNoticeAbstractUI.aspx?menuIndex=3&amp;refID=7084266&amp;Result=3","7084266")</f>
        <v>0</v>
      </c>
      <c r="B4574" t="s">
        <v>1602</v>
      </c>
      <c r="C4574" t="s">
        <v>7782</v>
      </c>
      <c r="D4574" t="s">
        <v>17445</v>
      </c>
      <c r="E4574" t="s">
        <v>20112</v>
      </c>
      <c r="F4574" t="s">
        <v>30052</v>
      </c>
      <c r="G4574" t="s">
        <v>30058</v>
      </c>
      <c r="H4574" t="s">
        <v>30067</v>
      </c>
      <c r="I4574" t="s">
        <v>3693</v>
      </c>
      <c r="J4574" t="s">
        <v>33124</v>
      </c>
      <c r="K4574" t="s">
        <v>39025</v>
      </c>
      <c r="M4574" t="s">
        <v>41000</v>
      </c>
      <c r="N4574" t="s">
        <v>43166</v>
      </c>
      <c r="O4574" t="s">
        <v>43167</v>
      </c>
      <c r="P4574">
        <v>0</v>
      </c>
      <c r="Q4574">
        <v>0</v>
      </c>
      <c r="R4574" t="s">
        <v>43171</v>
      </c>
      <c r="S4574" t="s">
        <v>43311</v>
      </c>
      <c r="T4574" t="s">
        <v>44721</v>
      </c>
      <c r="U4574" t="s">
        <v>48926</v>
      </c>
      <c r="W4574" t="s">
        <v>41000</v>
      </c>
      <c r="X4574" t="s">
        <v>43172</v>
      </c>
    </row>
    <row r="4575" spans="1:24">
      <c r="A4575">
        <f>HYPERLINK("https://www.philgeps.gov.ph/GEPSNONPILOT/Tender/SplashBidNoticeAbstractUI.aspx?menuIndex=3&amp;refID=7084321&amp;Result=3","7084321")</f>
        <v>0</v>
      </c>
      <c r="B4575" t="s">
        <v>1615</v>
      </c>
      <c r="C4575" t="s">
        <v>7783</v>
      </c>
      <c r="D4575" t="s">
        <v>17459</v>
      </c>
      <c r="E4575" t="s">
        <v>21474</v>
      </c>
      <c r="F4575" t="s">
        <v>30052</v>
      </c>
      <c r="G4575" t="s">
        <v>30058</v>
      </c>
      <c r="H4575" t="s">
        <v>15498</v>
      </c>
      <c r="I4575" t="s">
        <v>30097</v>
      </c>
      <c r="J4575" t="s">
        <v>33125</v>
      </c>
      <c r="K4575" t="s">
        <v>39036</v>
      </c>
      <c r="M4575" t="s">
        <v>41015</v>
      </c>
      <c r="N4575" t="s">
        <v>43166</v>
      </c>
      <c r="O4575" t="s">
        <v>43167</v>
      </c>
      <c r="P4575">
        <v>0</v>
      </c>
      <c r="Q4575">
        <v>0</v>
      </c>
      <c r="R4575" t="s">
        <v>43171</v>
      </c>
      <c r="S4575" t="s">
        <v>43311</v>
      </c>
      <c r="T4575" t="s">
        <v>44806</v>
      </c>
      <c r="U4575" t="s">
        <v>48927</v>
      </c>
      <c r="W4575" t="s">
        <v>41015</v>
      </c>
      <c r="X4575" t="s">
        <v>43172</v>
      </c>
    </row>
    <row r="4576" spans="1:24">
      <c r="A4576">
        <f>HYPERLINK("https://www.philgeps.gov.ph/GEPSNONPILOT/Tender/SplashBidNoticeAbstractUI.aspx?menuIndex=3&amp;refID=7084223&amp;Result=3","7084223")</f>
        <v>0</v>
      </c>
      <c r="B4576" t="s">
        <v>1090</v>
      </c>
      <c r="C4576" t="s">
        <v>7784</v>
      </c>
      <c r="D4576" t="s">
        <v>17415</v>
      </c>
      <c r="E4576" t="s">
        <v>21475</v>
      </c>
      <c r="F4576" t="s">
        <v>30052</v>
      </c>
      <c r="G4576" t="s">
        <v>30058</v>
      </c>
      <c r="H4576" t="s">
        <v>30069</v>
      </c>
      <c r="I4576" t="s">
        <v>30116</v>
      </c>
      <c r="J4576" t="s">
        <v>33126</v>
      </c>
      <c r="K4576" t="s">
        <v>39067</v>
      </c>
      <c r="M4576" t="s">
        <v>40427</v>
      </c>
      <c r="N4576" t="s">
        <v>43166</v>
      </c>
      <c r="O4576" t="s">
        <v>43167</v>
      </c>
      <c r="P4576">
        <v>0</v>
      </c>
      <c r="Q4576">
        <v>9</v>
      </c>
      <c r="R4576" t="s">
        <v>43171</v>
      </c>
      <c r="S4576" t="s">
        <v>43311</v>
      </c>
      <c r="T4576" t="s">
        <v>44896</v>
      </c>
      <c r="U4576" t="s">
        <v>47488</v>
      </c>
      <c r="W4576" t="s">
        <v>40427</v>
      </c>
      <c r="X4576" t="s">
        <v>43172</v>
      </c>
    </row>
    <row r="4577" spans="1:24">
      <c r="A4577">
        <f>HYPERLINK("https://www.philgeps.gov.ph/GEPSNONPILOT/Tender/SplashBidNoticeAbstractUI.aspx?menuIndex=3&amp;refID=7084318&amp;Result=3","7084318")</f>
        <v>0</v>
      </c>
      <c r="B4577" t="s">
        <v>409</v>
      </c>
      <c r="C4577" t="s">
        <v>7785</v>
      </c>
      <c r="D4577" t="s">
        <v>17473</v>
      </c>
      <c r="E4577" t="s">
        <v>21476</v>
      </c>
      <c r="F4577" t="s">
        <v>30052</v>
      </c>
      <c r="G4577" t="s">
        <v>30060</v>
      </c>
      <c r="H4577" t="s">
        <v>15498</v>
      </c>
      <c r="I4577" t="s">
        <v>9238</v>
      </c>
      <c r="J4577" t="s">
        <v>33127</v>
      </c>
      <c r="K4577" t="s">
        <v>39034</v>
      </c>
      <c r="M4577" t="s">
        <v>40296</v>
      </c>
      <c r="N4577" t="s">
        <v>43166</v>
      </c>
      <c r="O4577" t="s">
        <v>43167</v>
      </c>
      <c r="P4577">
        <v>0</v>
      </c>
      <c r="Q4577">
        <v>14</v>
      </c>
      <c r="R4577" t="s">
        <v>43171</v>
      </c>
      <c r="S4577" t="s">
        <v>43311</v>
      </c>
      <c r="T4577" t="s">
        <v>44780</v>
      </c>
      <c r="U4577" t="s">
        <v>48928</v>
      </c>
      <c r="W4577" t="s">
        <v>40296</v>
      </c>
      <c r="X4577" t="s">
        <v>43172</v>
      </c>
    </row>
    <row r="4578" spans="1:24">
      <c r="A4578">
        <f>HYPERLINK("https://www.philgeps.gov.ph/GEPSNONPILOT/Tender/SplashBidNoticeAbstractUI.aspx?menuIndex=3&amp;refID=7084317&amp;Result=3","7084317")</f>
        <v>0</v>
      </c>
      <c r="B4578" t="s">
        <v>1373</v>
      </c>
      <c r="C4578" t="s">
        <v>7786</v>
      </c>
      <c r="D4578" t="s">
        <v>17501</v>
      </c>
      <c r="E4578" t="s">
        <v>21477</v>
      </c>
      <c r="F4578" t="s">
        <v>30052</v>
      </c>
      <c r="G4578" t="s">
        <v>30059</v>
      </c>
      <c r="H4578" t="s">
        <v>30067</v>
      </c>
      <c r="I4578" t="s">
        <v>3693</v>
      </c>
      <c r="J4578" t="s">
        <v>33128</v>
      </c>
      <c r="K4578" t="s">
        <v>39023</v>
      </c>
      <c r="M4578" t="s">
        <v>40745</v>
      </c>
      <c r="N4578" t="s">
        <v>43166</v>
      </c>
      <c r="O4578" t="s">
        <v>43167</v>
      </c>
      <c r="P4578">
        <v>0</v>
      </c>
      <c r="Q4578">
        <v>0</v>
      </c>
      <c r="R4578" t="s">
        <v>43171</v>
      </c>
      <c r="S4578" t="s">
        <v>43311</v>
      </c>
      <c r="T4578" t="s">
        <v>44995</v>
      </c>
      <c r="U4578" t="s">
        <v>48929</v>
      </c>
      <c r="W4578" t="s">
        <v>58637</v>
      </c>
      <c r="X4578" t="s">
        <v>43172</v>
      </c>
    </row>
    <row r="4579" spans="1:24">
      <c r="A4579">
        <f>HYPERLINK("https://www.philgeps.gov.ph/GEPSNONPILOT/Tender/SplashBidNoticeAbstractUI.aspx?menuIndex=3&amp;refID=7084361&amp;Result=3","7084361")</f>
        <v>0</v>
      </c>
      <c r="B4579" t="s">
        <v>1616</v>
      </c>
      <c r="C4579" t="s">
        <v>7787</v>
      </c>
      <c r="D4579" t="s">
        <v>17433</v>
      </c>
      <c r="E4579" t="s">
        <v>21478</v>
      </c>
      <c r="F4579" t="s">
        <v>30052</v>
      </c>
      <c r="G4579" t="s">
        <v>30058</v>
      </c>
      <c r="H4579" t="s">
        <v>30067</v>
      </c>
      <c r="I4579" t="s">
        <v>3693</v>
      </c>
      <c r="J4579" t="s">
        <v>33129</v>
      </c>
      <c r="K4579" t="s">
        <v>39022</v>
      </c>
      <c r="M4579" t="s">
        <v>41016</v>
      </c>
      <c r="N4579" t="s">
        <v>43166</v>
      </c>
      <c r="O4579" t="s">
        <v>43167</v>
      </c>
      <c r="P4579">
        <v>0</v>
      </c>
      <c r="Q4579">
        <v>0</v>
      </c>
      <c r="R4579" t="s">
        <v>43171</v>
      </c>
      <c r="S4579" t="s">
        <v>43311</v>
      </c>
      <c r="T4579" t="s">
        <v>44711</v>
      </c>
      <c r="U4579" t="s">
        <v>48930</v>
      </c>
      <c r="V4579" t="s">
        <v>57327</v>
      </c>
      <c r="W4579" t="s">
        <v>41016</v>
      </c>
      <c r="X4579" t="s">
        <v>43172</v>
      </c>
    </row>
    <row r="4580" spans="1:24">
      <c r="A4580">
        <f>HYPERLINK("https://www.philgeps.gov.ph/GEPSNONPILOT/Tender/SplashBidNoticeAbstractUI.aspx?menuIndex=3&amp;refID=7084367&amp;Result=3","7084367")</f>
        <v>0</v>
      </c>
      <c r="B4580" t="s">
        <v>1616</v>
      </c>
      <c r="C4580" t="s">
        <v>7788</v>
      </c>
      <c r="D4580" t="s">
        <v>17433</v>
      </c>
      <c r="E4580" t="s">
        <v>21479</v>
      </c>
      <c r="F4580" t="s">
        <v>30052</v>
      </c>
      <c r="G4580" t="s">
        <v>30058</v>
      </c>
      <c r="H4580" t="s">
        <v>30067</v>
      </c>
      <c r="I4580" t="s">
        <v>3693</v>
      </c>
      <c r="J4580" t="s">
        <v>33130</v>
      </c>
      <c r="K4580" t="s">
        <v>39020</v>
      </c>
      <c r="M4580" t="s">
        <v>41016</v>
      </c>
      <c r="N4580" t="s">
        <v>43166</v>
      </c>
      <c r="O4580" t="s">
        <v>43167</v>
      </c>
      <c r="P4580">
        <v>0</v>
      </c>
      <c r="Q4580">
        <v>0</v>
      </c>
      <c r="R4580" t="s">
        <v>43171</v>
      </c>
      <c r="S4580" t="s">
        <v>43311</v>
      </c>
      <c r="T4580" t="s">
        <v>44711</v>
      </c>
      <c r="U4580" t="s">
        <v>48930</v>
      </c>
      <c r="V4580" t="s">
        <v>57327</v>
      </c>
      <c r="W4580" t="s">
        <v>41016</v>
      </c>
      <c r="X4580" t="s">
        <v>43172</v>
      </c>
    </row>
    <row r="4581" spans="1:24">
      <c r="A4581">
        <f>HYPERLINK("https://www.philgeps.gov.ph/GEPSNONPILOT/Tender/SplashBidNoticeAbstractUI.aspx?menuIndex=3&amp;refID=7084364&amp;Result=3","7084364")</f>
        <v>0</v>
      </c>
      <c r="B4581" t="s">
        <v>1617</v>
      </c>
      <c r="C4581" t="s">
        <v>7789</v>
      </c>
      <c r="D4581" t="s">
        <v>17458</v>
      </c>
      <c r="E4581" t="s">
        <v>21480</v>
      </c>
      <c r="F4581" t="s">
        <v>30052</v>
      </c>
      <c r="G4581" t="s">
        <v>30058</v>
      </c>
      <c r="H4581" t="s">
        <v>15498</v>
      </c>
      <c r="I4581" t="s">
        <v>30098</v>
      </c>
      <c r="J4581" t="s">
        <v>30208</v>
      </c>
      <c r="K4581" t="s">
        <v>39019</v>
      </c>
      <c r="M4581" t="s">
        <v>41017</v>
      </c>
      <c r="N4581" t="s">
        <v>43166</v>
      </c>
      <c r="O4581" t="s">
        <v>43167</v>
      </c>
      <c r="P4581">
        <v>0</v>
      </c>
      <c r="Q4581">
        <v>2</v>
      </c>
      <c r="R4581" t="s">
        <v>43171</v>
      </c>
      <c r="S4581" t="s">
        <v>43311</v>
      </c>
      <c r="T4581" t="s">
        <v>44804</v>
      </c>
      <c r="U4581" t="s">
        <v>48931</v>
      </c>
      <c r="W4581" t="s">
        <v>41017</v>
      </c>
      <c r="X4581" t="s">
        <v>43172</v>
      </c>
    </row>
    <row r="4582" spans="1:24">
      <c r="A4582">
        <f>HYPERLINK("https://www.philgeps.gov.ph/GEPSNONPILOT/Tender/SplashBidNoticeAbstractUI.aspx?menuIndex=3&amp;refID=7084319&amp;Result=3","7084319")</f>
        <v>0</v>
      </c>
      <c r="B4582" t="s">
        <v>1608</v>
      </c>
      <c r="C4582" t="s">
        <v>7790</v>
      </c>
      <c r="D4582" t="s">
        <v>17415</v>
      </c>
      <c r="E4582" t="s">
        <v>21481</v>
      </c>
      <c r="F4582" t="s">
        <v>30052</v>
      </c>
      <c r="G4582" t="s">
        <v>30058</v>
      </c>
      <c r="H4582" t="s">
        <v>15498</v>
      </c>
      <c r="I4582" t="s">
        <v>30070</v>
      </c>
      <c r="J4582" t="s">
        <v>30900</v>
      </c>
      <c r="K4582" t="s">
        <v>39019</v>
      </c>
      <c r="M4582" t="s">
        <v>41007</v>
      </c>
      <c r="N4582" t="s">
        <v>43166</v>
      </c>
      <c r="O4582" t="s">
        <v>43167</v>
      </c>
      <c r="P4582">
        <v>0</v>
      </c>
      <c r="Q4582">
        <v>1</v>
      </c>
      <c r="R4582" t="s">
        <v>43171</v>
      </c>
      <c r="S4582" t="s">
        <v>43311</v>
      </c>
      <c r="T4582" t="s">
        <v>44705</v>
      </c>
      <c r="U4582" t="s">
        <v>45217</v>
      </c>
      <c r="W4582" t="s">
        <v>41007</v>
      </c>
      <c r="X4582" t="s">
        <v>43172</v>
      </c>
    </row>
    <row r="4583" spans="1:24">
      <c r="A4583">
        <f>HYPERLINK("https://www.philgeps.gov.ph/GEPSNONPILOT/Tender/SplashBidNoticeAbstractUI.aspx?menuIndex=3&amp;refID=7084362&amp;Result=3","7084362")</f>
        <v>0</v>
      </c>
      <c r="B4583" t="s">
        <v>521</v>
      </c>
      <c r="C4583" t="s">
        <v>7791</v>
      </c>
      <c r="D4583" t="s">
        <v>17415</v>
      </c>
      <c r="E4583" t="s">
        <v>21482</v>
      </c>
      <c r="F4583" t="s">
        <v>30052</v>
      </c>
      <c r="G4583" t="s">
        <v>30059</v>
      </c>
      <c r="H4583" t="s">
        <v>30069</v>
      </c>
      <c r="I4583" t="s">
        <v>9238</v>
      </c>
      <c r="J4583" t="s">
        <v>30343</v>
      </c>
      <c r="K4583" t="s">
        <v>39019</v>
      </c>
      <c r="M4583" t="s">
        <v>39823</v>
      </c>
      <c r="N4583" t="s">
        <v>43166</v>
      </c>
      <c r="O4583" t="s">
        <v>43167</v>
      </c>
      <c r="P4583">
        <v>0</v>
      </c>
      <c r="Q4583">
        <v>1</v>
      </c>
      <c r="R4583" t="s">
        <v>43171</v>
      </c>
      <c r="S4583" t="s">
        <v>43311</v>
      </c>
      <c r="T4583" t="s">
        <v>44856</v>
      </c>
      <c r="U4583" t="s">
        <v>48932</v>
      </c>
      <c r="V4583" t="s">
        <v>56959</v>
      </c>
      <c r="W4583" t="s">
        <v>58603</v>
      </c>
      <c r="X4583" t="s">
        <v>43172</v>
      </c>
    </row>
    <row r="4584" spans="1:24">
      <c r="A4584">
        <f>HYPERLINK("https://www.philgeps.gov.ph/GEPSNONPILOT/Tender/SplashBidNoticeAbstractUI.aspx?menuIndex=3&amp;refID=7084322&amp;Result=3","7084322")</f>
        <v>0</v>
      </c>
      <c r="B4584" t="s">
        <v>1618</v>
      </c>
      <c r="C4584" t="s">
        <v>7792</v>
      </c>
      <c r="D4584" t="s">
        <v>17422</v>
      </c>
      <c r="E4584" t="s">
        <v>7792</v>
      </c>
      <c r="F4584" t="s">
        <v>30052</v>
      </c>
      <c r="G4584" t="s">
        <v>30059</v>
      </c>
      <c r="H4584" t="s">
        <v>15498</v>
      </c>
      <c r="I4584" t="s">
        <v>4650</v>
      </c>
      <c r="J4584" t="s">
        <v>30319</v>
      </c>
      <c r="K4584" t="s">
        <v>39029</v>
      </c>
      <c r="M4584" t="s">
        <v>41018</v>
      </c>
      <c r="N4584" t="s">
        <v>43166</v>
      </c>
      <c r="O4584" t="s">
        <v>43167</v>
      </c>
      <c r="P4584">
        <v>0</v>
      </c>
      <c r="Q4584">
        <v>5</v>
      </c>
      <c r="R4584" t="s">
        <v>43171</v>
      </c>
      <c r="S4584" t="s">
        <v>43311</v>
      </c>
      <c r="T4584" t="s">
        <v>44691</v>
      </c>
      <c r="U4584" t="s">
        <v>48933</v>
      </c>
      <c r="W4584" t="s">
        <v>41018</v>
      </c>
      <c r="X4584" t="s">
        <v>43172</v>
      </c>
    </row>
    <row r="4585" spans="1:24">
      <c r="A4585">
        <f>HYPERLINK("https://www.philgeps.gov.ph/GEPSNONPILOT/Tender/SplashBidNoticeAbstractUI.aspx?menuIndex=3&amp;refID=7084265&amp;Result=3","7084265")</f>
        <v>0</v>
      </c>
      <c r="B4585" t="s">
        <v>501</v>
      </c>
      <c r="C4585" t="s">
        <v>7793</v>
      </c>
      <c r="E4585" t="s">
        <v>21483</v>
      </c>
      <c r="F4585" t="s">
        <v>30052</v>
      </c>
      <c r="G4585" t="s">
        <v>30059</v>
      </c>
      <c r="H4585" t="s">
        <v>15498</v>
      </c>
      <c r="I4585" t="s">
        <v>30105</v>
      </c>
      <c r="J4585" t="s">
        <v>33131</v>
      </c>
      <c r="K4585" t="s">
        <v>39025</v>
      </c>
      <c r="M4585" t="s">
        <v>39802</v>
      </c>
      <c r="N4585" t="s">
        <v>43166</v>
      </c>
      <c r="O4585" t="s">
        <v>43167</v>
      </c>
      <c r="P4585">
        <v>0</v>
      </c>
      <c r="Q4585">
        <v>7</v>
      </c>
      <c r="R4585" t="s">
        <v>43171</v>
      </c>
      <c r="S4585" t="s">
        <v>43311</v>
      </c>
      <c r="T4585" t="s">
        <v>44826</v>
      </c>
      <c r="U4585" t="s">
        <v>48934</v>
      </c>
      <c r="V4585" t="s">
        <v>56949</v>
      </c>
      <c r="W4585" t="s">
        <v>39802</v>
      </c>
      <c r="X4585" t="s">
        <v>43172</v>
      </c>
    </row>
    <row r="4586" spans="1:24">
      <c r="A4586">
        <f>HYPERLINK("https://www.philgeps.gov.ph/GEPSNONPILOT/Tender/SplashBidNoticeAbstractUI.aspx?menuIndex=3&amp;refID=7084356&amp;Result=3","7084356")</f>
        <v>0</v>
      </c>
      <c r="B4586" t="s">
        <v>1567</v>
      </c>
      <c r="C4586" t="s">
        <v>7794</v>
      </c>
      <c r="D4586" t="s">
        <v>17485</v>
      </c>
      <c r="E4586" t="s">
        <v>21484</v>
      </c>
      <c r="F4586" t="s">
        <v>30052</v>
      </c>
      <c r="G4586" t="s">
        <v>30060</v>
      </c>
      <c r="H4586" t="s">
        <v>30067</v>
      </c>
      <c r="I4586" t="s">
        <v>30097</v>
      </c>
      <c r="J4586" t="s">
        <v>33132</v>
      </c>
      <c r="K4586" t="s">
        <v>39057</v>
      </c>
      <c r="M4586" t="s">
        <v>40957</v>
      </c>
      <c r="N4586" t="s">
        <v>43166</v>
      </c>
      <c r="O4586" t="s">
        <v>43167</v>
      </c>
      <c r="P4586">
        <v>0</v>
      </c>
      <c r="Q4586">
        <v>0</v>
      </c>
      <c r="R4586" t="s">
        <v>43171</v>
      </c>
      <c r="S4586" t="s">
        <v>43311</v>
      </c>
      <c r="T4586" t="s">
        <v>44879</v>
      </c>
      <c r="U4586" t="s">
        <v>48935</v>
      </c>
      <c r="W4586" t="s">
        <v>40957</v>
      </c>
      <c r="X4586" t="s">
        <v>43172</v>
      </c>
    </row>
    <row r="4587" spans="1:24">
      <c r="A4587">
        <f>HYPERLINK("https://www.philgeps.gov.ph/GEPSNONPILOT/Tender/SplashBidNoticeAbstractUI.aspx?menuIndex=3&amp;refID=7084363&amp;Result=3","7084363")</f>
        <v>0</v>
      </c>
      <c r="B4587" t="s">
        <v>1619</v>
      </c>
      <c r="C4587" t="s">
        <v>7795</v>
      </c>
      <c r="D4587" t="s">
        <v>17415</v>
      </c>
      <c r="E4587" t="s">
        <v>21485</v>
      </c>
      <c r="F4587" t="s">
        <v>30052</v>
      </c>
      <c r="G4587" t="s">
        <v>30059</v>
      </c>
      <c r="H4587" t="s">
        <v>30067</v>
      </c>
      <c r="I4587" t="s">
        <v>3693</v>
      </c>
      <c r="J4587" t="s">
        <v>33133</v>
      </c>
      <c r="K4587" t="s">
        <v>39037</v>
      </c>
      <c r="M4587" t="s">
        <v>41019</v>
      </c>
      <c r="N4587" t="s">
        <v>43166</v>
      </c>
      <c r="O4587" t="s">
        <v>43167</v>
      </c>
      <c r="P4587">
        <v>0</v>
      </c>
      <c r="Q4587">
        <v>0</v>
      </c>
      <c r="R4587" t="s">
        <v>43171</v>
      </c>
      <c r="S4587" t="s">
        <v>43311</v>
      </c>
      <c r="T4587" t="s">
        <v>44715</v>
      </c>
      <c r="U4587" t="s">
        <v>48936</v>
      </c>
      <c r="V4587" t="s">
        <v>57328</v>
      </c>
      <c r="W4587" t="s">
        <v>41019</v>
      </c>
      <c r="X4587" t="s">
        <v>43172</v>
      </c>
    </row>
    <row r="4588" spans="1:24">
      <c r="A4588">
        <f>HYPERLINK("https://www.philgeps.gov.ph/GEPSNONPILOT/Tender/SplashBidNoticeAbstractUI.aspx?menuIndex=3&amp;refID=7084354&amp;Result=3","7084354")</f>
        <v>0</v>
      </c>
      <c r="B4588" t="s">
        <v>305</v>
      </c>
      <c r="C4588" t="s">
        <v>7796</v>
      </c>
      <c r="D4588" t="s">
        <v>17455</v>
      </c>
      <c r="E4588" t="s">
        <v>21486</v>
      </c>
      <c r="F4588" t="s">
        <v>30052</v>
      </c>
      <c r="G4588" t="s">
        <v>30059</v>
      </c>
      <c r="H4588" t="s">
        <v>15498</v>
      </c>
      <c r="I4588" t="s">
        <v>30099</v>
      </c>
      <c r="J4588" t="s">
        <v>31307</v>
      </c>
      <c r="K4588" t="s">
        <v>39057</v>
      </c>
      <c r="L4588" t="s">
        <v>305</v>
      </c>
      <c r="M4588" t="s">
        <v>39600</v>
      </c>
      <c r="N4588" t="s">
        <v>43166</v>
      </c>
      <c r="O4588" t="s">
        <v>43167</v>
      </c>
      <c r="P4588">
        <v>0</v>
      </c>
      <c r="Q4588">
        <v>0</v>
      </c>
      <c r="R4588" t="s">
        <v>43171</v>
      </c>
      <c r="S4588" t="s">
        <v>43311</v>
      </c>
      <c r="T4588" t="s">
        <v>44837</v>
      </c>
      <c r="U4588" t="s">
        <v>48937</v>
      </c>
      <c r="W4588" t="s">
        <v>39600</v>
      </c>
      <c r="X4588" t="s">
        <v>43172</v>
      </c>
    </row>
    <row r="4589" spans="1:24">
      <c r="A4589">
        <f>HYPERLINK("https://www.philgeps.gov.ph/GEPSNONPILOT/Tender/SplashBidNoticeAbstractUI.aspx?menuIndex=3&amp;refID=7084323&amp;Result=3","7084323")</f>
        <v>0</v>
      </c>
      <c r="B4589" t="s">
        <v>1180</v>
      </c>
      <c r="C4589" t="s">
        <v>7797</v>
      </c>
      <c r="D4589" t="s">
        <v>17455</v>
      </c>
      <c r="E4589" t="s">
        <v>21487</v>
      </c>
      <c r="F4589" t="s">
        <v>30052</v>
      </c>
      <c r="G4589" t="s">
        <v>30058</v>
      </c>
      <c r="H4589" t="s">
        <v>15498</v>
      </c>
      <c r="I4589" t="s">
        <v>3852</v>
      </c>
      <c r="J4589" t="s">
        <v>33134</v>
      </c>
      <c r="K4589" t="s">
        <v>39017</v>
      </c>
      <c r="M4589" t="s">
        <v>40530</v>
      </c>
      <c r="N4589" t="s">
        <v>43166</v>
      </c>
      <c r="O4589" t="s">
        <v>43167</v>
      </c>
      <c r="P4589">
        <v>0</v>
      </c>
      <c r="Q4589">
        <v>3</v>
      </c>
      <c r="R4589" t="s">
        <v>43171</v>
      </c>
      <c r="S4589" t="s">
        <v>43311</v>
      </c>
      <c r="T4589" t="s">
        <v>44789</v>
      </c>
      <c r="U4589" t="s">
        <v>48938</v>
      </c>
      <c r="W4589" t="s">
        <v>40530</v>
      </c>
      <c r="X4589" t="s">
        <v>43172</v>
      </c>
    </row>
    <row r="4590" spans="1:24">
      <c r="A4590">
        <f>HYPERLINK("https://www.philgeps.gov.ph/GEPSNONPILOT/Tender/SplashBidNoticeAbstractUI.aspx?menuIndex=3&amp;refID=7084360&amp;Result=3","7084360")</f>
        <v>0</v>
      </c>
      <c r="B4590" t="s">
        <v>1617</v>
      </c>
      <c r="C4590" t="s">
        <v>7798</v>
      </c>
      <c r="D4590" t="s">
        <v>17458</v>
      </c>
      <c r="E4590" t="s">
        <v>21488</v>
      </c>
      <c r="F4590" t="s">
        <v>30052</v>
      </c>
      <c r="G4590" t="s">
        <v>30058</v>
      </c>
      <c r="H4590" t="s">
        <v>15498</v>
      </c>
      <c r="I4590" t="s">
        <v>3736</v>
      </c>
      <c r="J4590" t="s">
        <v>33135</v>
      </c>
      <c r="K4590" t="s">
        <v>39019</v>
      </c>
      <c r="M4590" t="s">
        <v>41017</v>
      </c>
      <c r="N4590" t="s">
        <v>43166</v>
      </c>
      <c r="O4590" t="s">
        <v>43167</v>
      </c>
      <c r="P4590">
        <v>0</v>
      </c>
      <c r="Q4590">
        <v>0</v>
      </c>
      <c r="R4590" t="s">
        <v>43171</v>
      </c>
      <c r="S4590" t="s">
        <v>43311</v>
      </c>
      <c r="T4590" t="s">
        <v>44804</v>
      </c>
      <c r="U4590" t="s">
        <v>48939</v>
      </c>
      <c r="W4590" t="s">
        <v>41017</v>
      </c>
      <c r="X4590" t="s">
        <v>43172</v>
      </c>
    </row>
    <row r="4591" spans="1:24">
      <c r="A4591">
        <f>HYPERLINK("https://www.philgeps.gov.ph/GEPSNONPILOT/Tender/SplashBidNoticeAbstractUI.aspx?menuIndex=3&amp;refID=7084358&amp;Result=3","7084358")</f>
        <v>0</v>
      </c>
      <c r="B4591" t="s">
        <v>1620</v>
      </c>
      <c r="C4591" t="s">
        <v>7799</v>
      </c>
      <c r="D4591" t="s">
        <v>17441</v>
      </c>
      <c r="E4591" t="s">
        <v>17715</v>
      </c>
      <c r="F4591" t="s">
        <v>30052</v>
      </c>
      <c r="G4591" t="s">
        <v>30058</v>
      </c>
      <c r="H4591" t="s">
        <v>15498</v>
      </c>
      <c r="I4591" t="s">
        <v>3736</v>
      </c>
      <c r="J4591" t="s">
        <v>33136</v>
      </c>
      <c r="K4591" t="s">
        <v>39036</v>
      </c>
      <c r="M4591" t="s">
        <v>41020</v>
      </c>
      <c r="N4591" t="s">
        <v>43166</v>
      </c>
      <c r="O4591" t="s">
        <v>43167</v>
      </c>
      <c r="P4591">
        <v>0</v>
      </c>
      <c r="Q4591">
        <v>2</v>
      </c>
      <c r="R4591" t="s">
        <v>43171</v>
      </c>
      <c r="S4591" t="s">
        <v>43311</v>
      </c>
      <c r="T4591" t="s">
        <v>44724</v>
      </c>
      <c r="U4591" t="s">
        <v>48940</v>
      </c>
      <c r="V4591" t="s">
        <v>57329</v>
      </c>
      <c r="W4591" t="s">
        <v>41020</v>
      </c>
      <c r="X4591" t="s">
        <v>43172</v>
      </c>
    </row>
    <row r="4592" spans="1:24">
      <c r="A4592">
        <f>HYPERLINK("https://www.philgeps.gov.ph/GEPSNONPILOT/Tender/SplashBidNoticeAbstractUI.aspx?menuIndex=3&amp;refID=7084346&amp;Result=3","7084346")</f>
        <v>0</v>
      </c>
      <c r="B4592" t="s">
        <v>331</v>
      </c>
      <c r="C4592" t="s">
        <v>7800</v>
      </c>
      <c r="D4592" t="s">
        <v>17415</v>
      </c>
      <c r="E4592" t="s">
        <v>21489</v>
      </c>
      <c r="F4592" t="s">
        <v>30052</v>
      </c>
      <c r="G4592" t="s">
        <v>30058</v>
      </c>
      <c r="H4592" t="s">
        <v>15498</v>
      </c>
      <c r="I4592" t="s">
        <v>30099</v>
      </c>
      <c r="J4592" t="s">
        <v>33137</v>
      </c>
      <c r="K4592" t="s">
        <v>39099</v>
      </c>
      <c r="M4592" t="s">
        <v>39627</v>
      </c>
      <c r="N4592" t="s">
        <v>43166</v>
      </c>
      <c r="O4592" t="s">
        <v>43167</v>
      </c>
      <c r="P4592">
        <v>0</v>
      </c>
      <c r="Q4592">
        <v>9</v>
      </c>
      <c r="R4592" t="s">
        <v>43171</v>
      </c>
      <c r="S4592" t="s">
        <v>43311</v>
      </c>
      <c r="T4592" t="s">
        <v>44677</v>
      </c>
      <c r="U4592" t="s">
        <v>48941</v>
      </c>
      <c r="W4592" t="s">
        <v>39627</v>
      </c>
      <c r="X4592" t="s">
        <v>43172</v>
      </c>
    </row>
    <row r="4593" spans="1:24">
      <c r="A4593">
        <f>HYPERLINK("https://www.philgeps.gov.ph/GEPSNONPILOT/Tender/SplashBidNoticeAbstractUI.aspx?menuIndex=3&amp;refID=7084342&amp;Result=3","7084342")</f>
        <v>0</v>
      </c>
      <c r="B4593" t="s">
        <v>1621</v>
      </c>
      <c r="C4593" t="s">
        <v>7801</v>
      </c>
      <c r="E4593" t="s">
        <v>21490</v>
      </c>
      <c r="F4593" t="s">
        <v>30052</v>
      </c>
      <c r="G4593" t="s">
        <v>30058</v>
      </c>
      <c r="H4593" t="s">
        <v>15498</v>
      </c>
      <c r="I4593" t="s">
        <v>30144</v>
      </c>
      <c r="J4593" t="s">
        <v>31246</v>
      </c>
      <c r="K4593" t="s">
        <v>39046</v>
      </c>
      <c r="M4593" t="s">
        <v>41021</v>
      </c>
      <c r="N4593" t="s">
        <v>43166</v>
      </c>
      <c r="O4593" t="s">
        <v>43167</v>
      </c>
      <c r="P4593">
        <v>0</v>
      </c>
      <c r="Q4593">
        <v>7</v>
      </c>
      <c r="R4593" t="s">
        <v>43171</v>
      </c>
      <c r="S4593" t="s">
        <v>43311</v>
      </c>
      <c r="T4593" t="s">
        <v>44936</v>
      </c>
      <c r="U4593" t="s">
        <v>47077</v>
      </c>
      <c r="W4593" t="s">
        <v>41021</v>
      </c>
      <c r="X4593" t="s">
        <v>43172</v>
      </c>
    </row>
    <row r="4594" spans="1:24">
      <c r="A4594">
        <f>HYPERLINK("https://www.philgeps.gov.ph/GEPSNONPILOT/Tender/SplashBidNoticeAbstractUI.aspx?menuIndex=3&amp;refID=7084355&amp;Result=3","7084355")</f>
        <v>0</v>
      </c>
      <c r="B4594" t="s">
        <v>1622</v>
      </c>
      <c r="C4594" t="s">
        <v>7802</v>
      </c>
      <c r="D4594" t="s">
        <v>17415</v>
      </c>
      <c r="E4594" t="s">
        <v>21491</v>
      </c>
      <c r="F4594" t="s">
        <v>30052</v>
      </c>
      <c r="G4594" t="s">
        <v>30058</v>
      </c>
      <c r="H4594" t="s">
        <v>15498</v>
      </c>
      <c r="I4594" t="s">
        <v>9238</v>
      </c>
      <c r="J4594" t="s">
        <v>33138</v>
      </c>
      <c r="K4594" t="s">
        <v>39031</v>
      </c>
      <c r="M4594" t="s">
        <v>41022</v>
      </c>
      <c r="N4594" t="s">
        <v>43166</v>
      </c>
      <c r="O4594" t="s">
        <v>43167</v>
      </c>
      <c r="P4594">
        <v>0</v>
      </c>
      <c r="Q4594">
        <v>20</v>
      </c>
      <c r="R4594" t="s">
        <v>43171</v>
      </c>
      <c r="S4594" t="s">
        <v>43311</v>
      </c>
      <c r="T4594" t="s">
        <v>44726</v>
      </c>
      <c r="U4594" t="s">
        <v>48942</v>
      </c>
      <c r="W4594" t="s">
        <v>41022</v>
      </c>
      <c r="X4594" t="s">
        <v>43172</v>
      </c>
    </row>
    <row r="4595" spans="1:24">
      <c r="A4595">
        <f>HYPERLINK("https://www.philgeps.gov.ph/GEPSNONPILOT/Tender/SplashBidNoticeAbstractUI.aspx?menuIndex=3&amp;refID=7084331&amp;Result=3","7084331")</f>
        <v>0</v>
      </c>
      <c r="B4595" t="s">
        <v>1618</v>
      </c>
      <c r="C4595" t="s">
        <v>7803</v>
      </c>
      <c r="D4595" t="s">
        <v>17422</v>
      </c>
      <c r="E4595" t="s">
        <v>7803</v>
      </c>
      <c r="F4595" t="s">
        <v>30052</v>
      </c>
      <c r="G4595" t="s">
        <v>30059</v>
      </c>
      <c r="H4595" t="s">
        <v>15498</v>
      </c>
      <c r="I4595" t="s">
        <v>4650</v>
      </c>
      <c r="J4595" t="s">
        <v>33139</v>
      </c>
      <c r="K4595" t="s">
        <v>39029</v>
      </c>
      <c r="M4595" t="s">
        <v>41018</v>
      </c>
      <c r="N4595" t="s">
        <v>43166</v>
      </c>
      <c r="O4595" t="s">
        <v>43167</v>
      </c>
      <c r="P4595">
        <v>0</v>
      </c>
      <c r="Q4595">
        <v>6</v>
      </c>
      <c r="R4595" t="s">
        <v>43171</v>
      </c>
      <c r="S4595" t="s">
        <v>43311</v>
      </c>
      <c r="T4595" t="s">
        <v>44691</v>
      </c>
      <c r="U4595" t="s">
        <v>48943</v>
      </c>
      <c r="W4595" t="s">
        <v>41018</v>
      </c>
      <c r="X4595" t="s">
        <v>43172</v>
      </c>
    </row>
    <row r="4596" spans="1:24">
      <c r="A4596">
        <f>HYPERLINK("https://www.philgeps.gov.ph/GEPSNONPILOT/Tender/SplashBidNoticeAbstractUI.aspx?menuIndex=3&amp;refID=7084341&amp;Result=3","7084341")</f>
        <v>0</v>
      </c>
      <c r="B4596" t="s">
        <v>1180</v>
      </c>
      <c r="C4596" t="s">
        <v>7804</v>
      </c>
      <c r="D4596" t="s">
        <v>17455</v>
      </c>
      <c r="E4596" t="s">
        <v>21492</v>
      </c>
      <c r="F4596" t="s">
        <v>30052</v>
      </c>
      <c r="G4596" t="s">
        <v>30058</v>
      </c>
      <c r="H4596" t="s">
        <v>30067</v>
      </c>
      <c r="I4596" t="s">
        <v>3693</v>
      </c>
      <c r="J4596" t="s">
        <v>33140</v>
      </c>
      <c r="K4596" t="s">
        <v>39026</v>
      </c>
      <c r="M4596" t="s">
        <v>40530</v>
      </c>
      <c r="N4596" t="s">
        <v>43166</v>
      </c>
      <c r="O4596" t="s">
        <v>43167</v>
      </c>
      <c r="P4596">
        <v>0</v>
      </c>
      <c r="Q4596">
        <v>2</v>
      </c>
      <c r="R4596" t="s">
        <v>43171</v>
      </c>
      <c r="S4596" t="s">
        <v>43311</v>
      </c>
      <c r="T4596" t="s">
        <v>44789</v>
      </c>
      <c r="U4596" t="s">
        <v>48944</v>
      </c>
      <c r="W4596" t="s">
        <v>40530</v>
      </c>
      <c r="X4596" t="s">
        <v>43172</v>
      </c>
    </row>
    <row r="4597" spans="1:24">
      <c r="A4597">
        <f>HYPERLINK("https://www.philgeps.gov.ph/GEPSNONPILOT/Tender/SplashBidNoticeAbstractUI.aspx?menuIndex=3&amp;refID=7084348&amp;Result=3","7084348")</f>
        <v>0</v>
      </c>
      <c r="B4597" t="s">
        <v>1622</v>
      </c>
      <c r="C4597" t="s">
        <v>7805</v>
      </c>
      <c r="D4597" t="s">
        <v>17415</v>
      </c>
      <c r="E4597" t="s">
        <v>21493</v>
      </c>
      <c r="F4597" t="s">
        <v>30052</v>
      </c>
      <c r="G4597" t="s">
        <v>30058</v>
      </c>
      <c r="H4597" t="s">
        <v>15498</v>
      </c>
      <c r="I4597" t="s">
        <v>9238</v>
      </c>
      <c r="J4597" t="s">
        <v>30397</v>
      </c>
      <c r="K4597" t="s">
        <v>39031</v>
      </c>
      <c r="M4597" t="s">
        <v>41022</v>
      </c>
      <c r="N4597" t="s">
        <v>43166</v>
      </c>
      <c r="O4597" t="s">
        <v>43167</v>
      </c>
      <c r="P4597">
        <v>0</v>
      </c>
      <c r="Q4597">
        <v>24</v>
      </c>
      <c r="R4597" t="s">
        <v>43171</v>
      </c>
      <c r="S4597" t="s">
        <v>43311</v>
      </c>
      <c r="T4597" t="s">
        <v>44677</v>
      </c>
      <c r="U4597" t="s">
        <v>48945</v>
      </c>
      <c r="W4597" t="s">
        <v>41022</v>
      </c>
      <c r="X4597" t="s">
        <v>43172</v>
      </c>
    </row>
    <row r="4598" spans="1:24">
      <c r="A4598">
        <f>HYPERLINK("https://www.philgeps.gov.ph/GEPSNONPILOT/Tender/SplashBidNoticeAbstractUI.aspx?menuIndex=3&amp;refID=7084369&amp;Result=3","7084369")</f>
        <v>0</v>
      </c>
      <c r="B4598" t="s">
        <v>338</v>
      </c>
      <c r="C4598" t="s">
        <v>7806</v>
      </c>
      <c r="D4598" t="s">
        <v>17460</v>
      </c>
      <c r="E4598" t="s">
        <v>21494</v>
      </c>
      <c r="F4598" t="s">
        <v>30052</v>
      </c>
      <c r="G4598" t="s">
        <v>30058</v>
      </c>
      <c r="H4598" t="s">
        <v>15498</v>
      </c>
      <c r="I4598" t="s">
        <v>30074</v>
      </c>
      <c r="J4598" t="s">
        <v>33141</v>
      </c>
      <c r="K4598" t="s">
        <v>39029</v>
      </c>
      <c r="M4598" t="s">
        <v>39634</v>
      </c>
      <c r="N4598" t="s">
        <v>43166</v>
      </c>
      <c r="O4598" t="s">
        <v>43167</v>
      </c>
      <c r="P4598">
        <v>0</v>
      </c>
      <c r="Q4598">
        <v>2</v>
      </c>
      <c r="R4598" t="s">
        <v>43171</v>
      </c>
      <c r="S4598" t="s">
        <v>43311</v>
      </c>
      <c r="T4598" t="s">
        <v>44726</v>
      </c>
      <c r="U4598" t="s">
        <v>48946</v>
      </c>
      <c r="V4598" t="s">
        <v>57330</v>
      </c>
      <c r="W4598" t="s">
        <v>39634</v>
      </c>
      <c r="X4598" t="s">
        <v>43172</v>
      </c>
    </row>
    <row r="4599" spans="1:24">
      <c r="A4599">
        <f>HYPERLINK("https://www.philgeps.gov.ph/GEPSNONPILOT/Tender/SplashBidNoticeAbstractUI.aspx?menuIndex=3&amp;refID=7084416&amp;Result=3","7084416")</f>
        <v>0</v>
      </c>
      <c r="B4599" t="s">
        <v>1363</v>
      </c>
      <c r="C4599" t="s">
        <v>7807</v>
      </c>
      <c r="D4599" t="s">
        <v>17432</v>
      </c>
      <c r="E4599" t="s">
        <v>21495</v>
      </c>
      <c r="F4599" t="s">
        <v>30052</v>
      </c>
      <c r="G4599" t="s">
        <v>30062</v>
      </c>
      <c r="H4599" t="s">
        <v>15498</v>
      </c>
      <c r="I4599" t="s">
        <v>30171</v>
      </c>
      <c r="J4599" t="s">
        <v>30402</v>
      </c>
      <c r="K4599" t="s">
        <v>39029</v>
      </c>
      <c r="M4599" t="s">
        <v>40733</v>
      </c>
      <c r="N4599" t="s">
        <v>43166</v>
      </c>
      <c r="O4599" t="s">
        <v>43167</v>
      </c>
      <c r="P4599">
        <v>0</v>
      </c>
      <c r="Q4599">
        <v>4</v>
      </c>
      <c r="R4599" t="s">
        <v>43171</v>
      </c>
      <c r="S4599" t="s">
        <v>43311</v>
      </c>
      <c r="T4599" t="s">
        <v>44787</v>
      </c>
      <c r="U4599" t="s">
        <v>48947</v>
      </c>
      <c r="V4599" t="s">
        <v>57259</v>
      </c>
      <c r="W4599" t="s">
        <v>40733</v>
      </c>
      <c r="X4599" t="s">
        <v>43172</v>
      </c>
    </row>
    <row r="4600" spans="1:24">
      <c r="A4600">
        <f>HYPERLINK("https://www.philgeps.gov.ph/GEPSNONPILOT/Tender/SplashBidNoticeAbstractUI.aspx?menuIndex=3&amp;refID=7084415&amp;Result=3","7084415")</f>
        <v>0</v>
      </c>
      <c r="B4600" t="s">
        <v>1363</v>
      </c>
      <c r="C4600" t="s">
        <v>7808</v>
      </c>
      <c r="D4600" t="s">
        <v>17432</v>
      </c>
      <c r="E4600" t="s">
        <v>21496</v>
      </c>
      <c r="F4600" t="s">
        <v>30052</v>
      </c>
      <c r="G4600" t="s">
        <v>30062</v>
      </c>
      <c r="H4600" t="s">
        <v>15498</v>
      </c>
      <c r="I4600" t="s">
        <v>30151</v>
      </c>
      <c r="J4600" t="s">
        <v>30390</v>
      </c>
      <c r="K4600" t="s">
        <v>39029</v>
      </c>
      <c r="M4600" t="s">
        <v>40733</v>
      </c>
      <c r="N4600" t="s">
        <v>43166</v>
      </c>
      <c r="O4600" t="s">
        <v>43167</v>
      </c>
      <c r="P4600">
        <v>0</v>
      </c>
      <c r="Q4600">
        <v>5</v>
      </c>
      <c r="R4600" t="s">
        <v>43171</v>
      </c>
      <c r="S4600" t="s">
        <v>43311</v>
      </c>
      <c r="T4600" t="s">
        <v>44787</v>
      </c>
      <c r="U4600" t="s">
        <v>48948</v>
      </c>
      <c r="V4600" t="s">
        <v>57259</v>
      </c>
      <c r="W4600" t="s">
        <v>40733</v>
      </c>
      <c r="X4600" t="s">
        <v>43172</v>
      </c>
    </row>
    <row r="4601" spans="1:24">
      <c r="A4601">
        <f>HYPERLINK("https://www.philgeps.gov.ph/GEPSNONPILOT/Tender/SplashBidNoticeAbstractUI.aspx?menuIndex=3&amp;refID=7084344&amp;Result=3","7084344")</f>
        <v>0</v>
      </c>
      <c r="B4601" t="s">
        <v>1180</v>
      </c>
      <c r="C4601" t="s">
        <v>7809</v>
      </c>
      <c r="D4601" t="s">
        <v>17455</v>
      </c>
      <c r="E4601" t="s">
        <v>20506</v>
      </c>
      <c r="F4601" t="s">
        <v>30052</v>
      </c>
      <c r="G4601" t="s">
        <v>30058</v>
      </c>
      <c r="H4601" t="s">
        <v>30067</v>
      </c>
      <c r="I4601" t="s">
        <v>3693</v>
      </c>
      <c r="J4601" t="s">
        <v>33142</v>
      </c>
      <c r="K4601" t="s">
        <v>39037</v>
      </c>
      <c r="M4601" t="s">
        <v>40530</v>
      </c>
      <c r="N4601" t="s">
        <v>43166</v>
      </c>
      <c r="O4601" t="s">
        <v>43167</v>
      </c>
      <c r="P4601">
        <v>0</v>
      </c>
      <c r="Q4601">
        <v>2</v>
      </c>
      <c r="R4601" t="s">
        <v>43171</v>
      </c>
      <c r="S4601" t="s">
        <v>43311</v>
      </c>
      <c r="T4601" t="s">
        <v>44789</v>
      </c>
      <c r="U4601" t="s">
        <v>48949</v>
      </c>
      <c r="W4601" t="s">
        <v>40530</v>
      </c>
      <c r="X4601" t="s">
        <v>43172</v>
      </c>
    </row>
    <row r="4602" spans="1:24">
      <c r="A4602">
        <f>HYPERLINK("https://www.philgeps.gov.ph/GEPSNONPILOT/Tender/SplashBidNoticeAbstractUI.aspx?menuIndex=3&amp;refID=7084412&amp;Result=3","7084412")</f>
        <v>0</v>
      </c>
      <c r="B4602" t="s">
        <v>304</v>
      </c>
      <c r="C4602" t="s">
        <v>7810</v>
      </c>
      <c r="D4602" t="s">
        <v>17438</v>
      </c>
      <c r="E4602" t="s">
        <v>21497</v>
      </c>
      <c r="F4602" t="s">
        <v>30052</v>
      </c>
      <c r="G4602" t="s">
        <v>30058</v>
      </c>
      <c r="H4602" t="s">
        <v>15498</v>
      </c>
      <c r="I4602" t="s">
        <v>30072</v>
      </c>
      <c r="J4602" t="s">
        <v>33143</v>
      </c>
      <c r="K4602" t="s">
        <v>39091</v>
      </c>
      <c r="M4602" t="s">
        <v>39599</v>
      </c>
      <c r="N4602" t="s">
        <v>43166</v>
      </c>
      <c r="O4602" t="s">
        <v>43167</v>
      </c>
      <c r="Q4602">
        <v>1</v>
      </c>
      <c r="R4602" t="s">
        <v>43171</v>
      </c>
      <c r="S4602" t="s">
        <v>43332</v>
      </c>
      <c r="T4602" t="s">
        <v>44722</v>
      </c>
      <c r="U4602" t="s">
        <v>48950</v>
      </c>
      <c r="V4602" t="s">
        <v>57331</v>
      </c>
      <c r="W4602" t="s">
        <v>39599</v>
      </c>
      <c r="X4602" t="s">
        <v>43172</v>
      </c>
    </row>
    <row r="4603" spans="1:24">
      <c r="A4603">
        <f>HYPERLINK("https://www.philgeps.gov.ph/GEPSNONPILOT/Tender/SplashBidNoticeAbstractUI.aspx?menuIndex=3&amp;refID=7084264&amp;Result=3","7084264")</f>
        <v>0</v>
      </c>
      <c r="B4603" t="s">
        <v>1608</v>
      </c>
      <c r="C4603" t="s">
        <v>7811</v>
      </c>
      <c r="D4603" t="s">
        <v>17415</v>
      </c>
      <c r="E4603" t="s">
        <v>21498</v>
      </c>
      <c r="F4603" t="s">
        <v>30052</v>
      </c>
      <c r="G4603" t="s">
        <v>30058</v>
      </c>
      <c r="H4603" t="s">
        <v>15498</v>
      </c>
      <c r="I4603" t="s">
        <v>3852</v>
      </c>
      <c r="J4603" t="s">
        <v>33144</v>
      </c>
      <c r="K4603" t="s">
        <v>39019</v>
      </c>
      <c r="M4603" t="s">
        <v>41007</v>
      </c>
      <c r="N4603" t="s">
        <v>43166</v>
      </c>
      <c r="O4603" t="s">
        <v>43167</v>
      </c>
      <c r="P4603">
        <v>0</v>
      </c>
      <c r="Q4603">
        <v>0</v>
      </c>
      <c r="R4603" t="s">
        <v>43171</v>
      </c>
      <c r="S4603" t="s">
        <v>43311</v>
      </c>
      <c r="T4603" t="s">
        <v>44705</v>
      </c>
      <c r="U4603" t="s">
        <v>48908</v>
      </c>
      <c r="W4603" t="s">
        <v>41007</v>
      </c>
      <c r="X4603" t="s">
        <v>43172</v>
      </c>
    </row>
    <row r="4604" spans="1:24">
      <c r="A4604">
        <f>HYPERLINK("https://www.philgeps.gov.ph/GEPSNONPILOT/Tender/SplashBidNoticeAbstractUI.aspx?menuIndex=3&amp;refID=7084338&amp;Result=3","7084338")</f>
        <v>0</v>
      </c>
      <c r="B4604" t="s">
        <v>1623</v>
      </c>
      <c r="C4604" t="s">
        <v>7812</v>
      </c>
      <c r="D4604" t="s">
        <v>17432</v>
      </c>
      <c r="E4604" t="s">
        <v>21499</v>
      </c>
      <c r="F4604" t="s">
        <v>30052</v>
      </c>
      <c r="G4604" t="s">
        <v>30061</v>
      </c>
      <c r="H4604" t="s">
        <v>15498</v>
      </c>
      <c r="I4604" t="s">
        <v>30085</v>
      </c>
      <c r="J4604" t="s">
        <v>30343</v>
      </c>
      <c r="K4604" t="s">
        <v>39017</v>
      </c>
      <c r="L4604" t="s">
        <v>1623</v>
      </c>
      <c r="M4604" t="s">
        <v>41023</v>
      </c>
      <c r="N4604" t="s">
        <v>43166</v>
      </c>
      <c r="O4604" t="s">
        <v>43167</v>
      </c>
      <c r="P4604">
        <v>0</v>
      </c>
      <c r="Q4604">
        <v>1</v>
      </c>
      <c r="R4604" t="s">
        <v>43171</v>
      </c>
      <c r="S4604" t="s">
        <v>43311</v>
      </c>
      <c r="T4604" t="s">
        <v>44678</v>
      </c>
      <c r="U4604" t="s">
        <v>48951</v>
      </c>
      <c r="W4604" t="s">
        <v>41023</v>
      </c>
      <c r="X4604" t="s">
        <v>43172</v>
      </c>
    </row>
    <row r="4605" spans="1:24">
      <c r="A4605">
        <f>HYPERLINK("https://www.philgeps.gov.ph/GEPSNONPILOT/Tender/SplashBidNoticeAbstractUI.aspx?menuIndex=3&amp;refID=7084411&amp;Result=3","7084411")</f>
        <v>0</v>
      </c>
      <c r="B4605" t="s">
        <v>1363</v>
      </c>
      <c r="C4605" t="s">
        <v>7813</v>
      </c>
      <c r="D4605" t="s">
        <v>17432</v>
      </c>
      <c r="E4605" t="s">
        <v>21500</v>
      </c>
      <c r="F4605" t="s">
        <v>30052</v>
      </c>
      <c r="G4605" t="s">
        <v>30059</v>
      </c>
      <c r="H4605" t="s">
        <v>15498</v>
      </c>
      <c r="I4605" t="s">
        <v>30114</v>
      </c>
      <c r="J4605" t="s">
        <v>30594</v>
      </c>
      <c r="K4605" t="s">
        <v>39029</v>
      </c>
      <c r="M4605" t="s">
        <v>40733</v>
      </c>
      <c r="N4605" t="s">
        <v>43166</v>
      </c>
      <c r="O4605" t="s">
        <v>43167</v>
      </c>
      <c r="P4605">
        <v>0</v>
      </c>
      <c r="Q4605">
        <v>4</v>
      </c>
      <c r="R4605" t="s">
        <v>43171</v>
      </c>
      <c r="S4605" t="s">
        <v>43311</v>
      </c>
      <c r="T4605" t="s">
        <v>44787</v>
      </c>
      <c r="U4605" t="s">
        <v>48952</v>
      </c>
      <c r="V4605" t="s">
        <v>57259</v>
      </c>
      <c r="W4605" t="s">
        <v>40733</v>
      </c>
      <c r="X4605" t="s">
        <v>43172</v>
      </c>
    </row>
    <row r="4606" spans="1:24">
      <c r="A4606">
        <f>HYPERLINK("https://www.philgeps.gov.ph/GEPSNONPILOT/Tender/SplashBidNoticeAbstractUI.aspx?menuIndex=3&amp;refID=7084407&amp;Result=3","7084407")</f>
        <v>0</v>
      </c>
      <c r="B4606" t="s">
        <v>1624</v>
      </c>
      <c r="C4606" t="s">
        <v>7814</v>
      </c>
      <c r="D4606" t="s">
        <v>17448</v>
      </c>
      <c r="E4606" t="s">
        <v>21501</v>
      </c>
      <c r="F4606" t="s">
        <v>30052</v>
      </c>
      <c r="G4606" t="s">
        <v>30058</v>
      </c>
      <c r="H4606" t="s">
        <v>30068</v>
      </c>
      <c r="I4606" t="s">
        <v>30068</v>
      </c>
      <c r="J4606" t="s">
        <v>33145</v>
      </c>
      <c r="K4606" t="s">
        <v>39054</v>
      </c>
      <c r="L4606" t="s">
        <v>1624</v>
      </c>
      <c r="M4606" t="s">
        <v>41024</v>
      </c>
      <c r="N4606" t="s">
        <v>43166</v>
      </c>
      <c r="O4606" t="s">
        <v>43167</v>
      </c>
      <c r="P4606">
        <v>0</v>
      </c>
      <c r="Q4606">
        <v>6</v>
      </c>
      <c r="R4606" t="s">
        <v>43171</v>
      </c>
      <c r="S4606" t="s">
        <v>43311</v>
      </c>
      <c r="T4606" t="s">
        <v>44901</v>
      </c>
      <c r="U4606" t="s">
        <v>48953</v>
      </c>
      <c r="W4606" t="s">
        <v>41024</v>
      </c>
      <c r="X4606" t="s">
        <v>43172</v>
      </c>
    </row>
    <row r="4607" spans="1:24">
      <c r="A4607">
        <f>HYPERLINK("https://www.philgeps.gov.ph/GEPSNONPILOT/Tender/SplashBidNoticeAbstractUI.aspx?menuIndex=3&amp;refID=7084347&amp;Result=3","7084347")</f>
        <v>0</v>
      </c>
      <c r="B4607" t="s">
        <v>338</v>
      </c>
      <c r="C4607" t="s">
        <v>7815</v>
      </c>
      <c r="D4607" t="s">
        <v>17460</v>
      </c>
      <c r="E4607" t="s">
        <v>21502</v>
      </c>
      <c r="F4607" t="s">
        <v>30052</v>
      </c>
      <c r="G4607" t="s">
        <v>30058</v>
      </c>
      <c r="H4607" t="s">
        <v>30067</v>
      </c>
      <c r="I4607" t="s">
        <v>3693</v>
      </c>
      <c r="J4607" t="s">
        <v>33146</v>
      </c>
      <c r="K4607" t="s">
        <v>39057</v>
      </c>
      <c r="M4607" t="s">
        <v>39634</v>
      </c>
      <c r="N4607" t="s">
        <v>43166</v>
      </c>
      <c r="O4607" t="s">
        <v>43167</v>
      </c>
      <c r="P4607">
        <v>0</v>
      </c>
      <c r="Q4607">
        <v>44</v>
      </c>
      <c r="R4607" t="s">
        <v>43171</v>
      </c>
      <c r="S4607" t="s">
        <v>43311</v>
      </c>
      <c r="T4607" t="s">
        <v>44809</v>
      </c>
      <c r="U4607" t="s">
        <v>48954</v>
      </c>
      <c r="V4607" t="s">
        <v>57330</v>
      </c>
      <c r="W4607" t="s">
        <v>39634</v>
      </c>
      <c r="X4607" t="s">
        <v>43172</v>
      </c>
    </row>
    <row r="4608" spans="1:24">
      <c r="A4608">
        <f>HYPERLINK("https://www.philgeps.gov.ph/GEPSNONPILOT/Tender/SplashBidNoticeAbstractUI.aspx?menuIndex=3&amp;refID=7084403&amp;Result=3","7084403")</f>
        <v>0</v>
      </c>
      <c r="B4608" t="s">
        <v>1625</v>
      </c>
      <c r="C4608" t="s">
        <v>7816</v>
      </c>
      <c r="D4608" t="s">
        <v>17427</v>
      </c>
      <c r="E4608" t="s">
        <v>21503</v>
      </c>
      <c r="F4608" t="s">
        <v>30052</v>
      </c>
      <c r="G4608" t="s">
        <v>30058</v>
      </c>
      <c r="H4608" t="s">
        <v>15498</v>
      </c>
      <c r="I4608" t="s">
        <v>3736</v>
      </c>
      <c r="J4608" t="s">
        <v>33147</v>
      </c>
      <c r="K4608" t="s">
        <v>39029</v>
      </c>
      <c r="M4608" t="s">
        <v>41025</v>
      </c>
      <c r="N4608" t="s">
        <v>43166</v>
      </c>
      <c r="O4608" t="s">
        <v>43167</v>
      </c>
      <c r="P4608">
        <v>0</v>
      </c>
      <c r="Q4608">
        <v>0</v>
      </c>
      <c r="R4608" t="s">
        <v>43171</v>
      </c>
      <c r="S4608" t="s">
        <v>43311</v>
      </c>
      <c r="T4608" t="s">
        <v>44732</v>
      </c>
      <c r="U4608" t="s">
        <v>48955</v>
      </c>
      <c r="W4608" t="s">
        <v>41025</v>
      </c>
      <c r="X4608" t="s">
        <v>43172</v>
      </c>
    </row>
    <row r="4609" spans="1:24">
      <c r="A4609">
        <f>HYPERLINK("https://www.philgeps.gov.ph/GEPSNONPILOT/Tender/SplashBidNoticeAbstractUI.aspx?menuIndex=3&amp;refID=7084398&amp;Result=3","7084398")</f>
        <v>0</v>
      </c>
      <c r="B4609" t="s">
        <v>1363</v>
      </c>
      <c r="C4609" t="s">
        <v>7817</v>
      </c>
      <c r="D4609" t="s">
        <v>17432</v>
      </c>
      <c r="E4609" t="s">
        <v>21504</v>
      </c>
      <c r="F4609" t="s">
        <v>30052</v>
      </c>
      <c r="G4609" t="s">
        <v>30059</v>
      </c>
      <c r="H4609" t="s">
        <v>15498</v>
      </c>
      <c r="I4609" t="s">
        <v>6304</v>
      </c>
      <c r="J4609" t="s">
        <v>30252</v>
      </c>
      <c r="K4609" t="s">
        <v>39029</v>
      </c>
      <c r="M4609" t="s">
        <v>40733</v>
      </c>
      <c r="N4609" t="s">
        <v>43166</v>
      </c>
      <c r="O4609" t="s">
        <v>43167</v>
      </c>
      <c r="P4609">
        <v>0</v>
      </c>
      <c r="Q4609">
        <v>1</v>
      </c>
      <c r="R4609" t="s">
        <v>43171</v>
      </c>
      <c r="S4609" t="s">
        <v>43311</v>
      </c>
      <c r="T4609" t="s">
        <v>44787</v>
      </c>
      <c r="U4609" t="s">
        <v>48956</v>
      </c>
      <c r="V4609" t="s">
        <v>57259</v>
      </c>
      <c r="W4609" t="s">
        <v>40733</v>
      </c>
      <c r="X4609" t="s">
        <v>43172</v>
      </c>
    </row>
    <row r="4610" spans="1:24">
      <c r="A4610">
        <f>HYPERLINK("https://www.philgeps.gov.ph/GEPSNONPILOT/Tender/SplashBidNoticeAbstractUI.aspx?menuIndex=3&amp;refID=7084395&amp;Result=3","7084395")</f>
        <v>0</v>
      </c>
      <c r="B4610" t="s">
        <v>1363</v>
      </c>
      <c r="C4610" t="s">
        <v>7818</v>
      </c>
      <c r="D4610" t="s">
        <v>17432</v>
      </c>
      <c r="E4610" t="s">
        <v>21505</v>
      </c>
      <c r="F4610" t="s">
        <v>30052</v>
      </c>
      <c r="G4610" t="s">
        <v>30062</v>
      </c>
      <c r="H4610" t="s">
        <v>15498</v>
      </c>
      <c r="I4610" t="s">
        <v>4119</v>
      </c>
      <c r="J4610" t="s">
        <v>33148</v>
      </c>
      <c r="K4610" t="s">
        <v>39029</v>
      </c>
      <c r="M4610" t="s">
        <v>40733</v>
      </c>
      <c r="N4610" t="s">
        <v>43166</v>
      </c>
      <c r="O4610" t="s">
        <v>43167</v>
      </c>
      <c r="P4610">
        <v>0</v>
      </c>
      <c r="Q4610">
        <v>1</v>
      </c>
      <c r="R4610" t="s">
        <v>43171</v>
      </c>
      <c r="S4610" t="s">
        <v>43311</v>
      </c>
      <c r="T4610" t="s">
        <v>44787</v>
      </c>
      <c r="U4610" t="s">
        <v>48957</v>
      </c>
      <c r="V4610" t="s">
        <v>57259</v>
      </c>
      <c r="W4610" t="s">
        <v>40733</v>
      </c>
      <c r="X4610" t="s">
        <v>43172</v>
      </c>
    </row>
    <row r="4611" spans="1:24">
      <c r="A4611">
        <f>HYPERLINK("https://www.philgeps.gov.ph/GEPSNONPILOT/Tender/SplashBidNoticeAbstractUI.aspx?menuIndex=3&amp;refID=7084374&amp;Result=3","7084374")</f>
        <v>0</v>
      </c>
      <c r="B4611" t="s">
        <v>1623</v>
      </c>
      <c r="C4611" t="s">
        <v>7812</v>
      </c>
      <c r="D4611" t="s">
        <v>17432</v>
      </c>
      <c r="E4611" t="s">
        <v>21506</v>
      </c>
      <c r="F4611" t="s">
        <v>30052</v>
      </c>
      <c r="G4611" t="s">
        <v>30061</v>
      </c>
      <c r="H4611" t="s">
        <v>15498</v>
      </c>
      <c r="I4611" t="s">
        <v>30085</v>
      </c>
      <c r="J4611" t="s">
        <v>30230</v>
      </c>
      <c r="K4611" t="s">
        <v>39036</v>
      </c>
      <c r="L4611" t="s">
        <v>1623</v>
      </c>
      <c r="M4611" t="s">
        <v>41023</v>
      </c>
      <c r="N4611" t="s">
        <v>43166</v>
      </c>
      <c r="O4611" t="s">
        <v>43167</v>
      </c>
      <c r="P4611">
        <v>0</v>
      </c>
      <c r="Q4611">
        <v>2</v>
      </c>
      <c r="R4611" t="s">
        <v>43171</v>
      </c>
      <c r="S4611" t="s">
        <v>43311</v>
      </c>
      <c r="T4611" t="s">
        <v>44678</v>
      </c>
      <c r="U4611" t="s">
        <v>48951</v>
      </c>
      <c r="W4611" t="s">
        <v>41023</v>
      </c>
      <c r="X4611" t="s">
        <v>43172</v>
      </c>
    </row>
    <row r="4612" spans="1:24">
      <c r="A4612">
        <f>HYPERLINK("https://www.philgeps.gov.ph/GEPSNONPILOT/Tender/SplashBidNoticeAbstractUI.aspx?menuIndex=3&amp;refID=7084391&amp;Result=3","7084391")</f>
        <v>0</v>
      </c>
      <c r="B4612" t="s">
        <v>304</v>
      </c>
      <c r="C4612" t="s">
        <v>7819</v>
      </c>
      <c r="D4612" t="s">
        <v>17438</v>
      </c>
      <c r="E4612" t="s">
        <v>21507</v>
      </c>
      <c r="F4612" t="s">
        <v>30052</v>
      </c>
      <c r="G4612" t="s">
        <v>30058</v>
      </c>
      <c r="H4612" t="s">
        <v>15498</v>
      </c>
      <c r="I4612" t="s">
        <v>4650</v>
      </c>
      <c r="J4612" t="s">
        <v>30208</v>
      </c>
      <c r="K4612" t="s">
        <v>39029</v>
      </c>
      <c r="M4612" t="s">
        <v>39599</v>
      </c>
      <c r="N4612" t="s">
        <v>43166</v>
      </c>
      <c r="O4612" t="s">
        <v>43167</v>
      </c>
      <c r="P4612">
        <v>0</v>
      </c>
      <c r="Q4612">
        <v>2</v>
      </c>
      <c r="R4612" t="s">
        <v>43171</v>
      </c>
      <c r="S4612" t="s">
        <v>43311</v>
      </c>
      <c r="T4612" t="s">
        <v>44722</v>
      </c>
      <c r="U4612" t="s">
        <v>48958</v>
      </c>
      <c r="V4612" t="s">
        <v>57332</v>
      </c>
      <c r="W4612" t="s">
        <v>39599</v>
      </c>
      <c r="X4612" t="s">
        <v>43172</v>
      </c>
    </row>
    <row r="4613" spans="1:24">
      <c r="A4613">
        <f>HYPERLINK("https://www.philgeps.gov.ph/GEPSNONPILOT/Tender/SplashBidNoticeAbstractUI.aspx?menuIndex=3&amp;refID=7084388&amp;Result=3","7084388")</f>
        <v>0</v>
      </c>
      <c r="B4613" t="s">
        <v>1626</v>
      </c>
      <c r="C4613" t="s">
        <v>7820</v>
      </c>
      <c r="D4613" t="s">
        <v>17445</v>
      </c>
      <c r="E4613" t="s">
        <v>21508</v>
      </c>
      <c r="F4613" t="s">
        <v>30052</v>
      </c>
      <c r="G4613" t="s">
        <v>30058</v>
      </c>
      <c r="H4613" t="s">
        <v>30067</v>
      </c>
      <c r="I4613" t="s">
        <v>3693</v>
      </c>
      <c r="J4613" t="s">
        <v>32072</v>
      </c>
      <c r="K4613" t="s">
        <v>39031</v>
      </c>
      <c r="M4613" t="s">
        <v>41026</v>
      </c>
      <c r="N4613" t="s">
        <v>43166</v>
      </c>
      <c r="O4613" t="s">
        <v>43167</v>
      </c>
      <c r="P4613">
        <v>0</v>
      </c>
      <c r="Q4613">
        <v>1</v>
      </c>
      <c r="R4613" t="s">
        <v>43171</v>
      </c>
      <c r="S4613" t="s">
        <v>43311</v>
      </c>
      <c r="T4613" t="s">
        <v>44842</v>
      </c>
      <c r="U4613" t="s">
        <v>48959</v>
      </c>
      <c r="W4613" t="s">
        <v>41026</v>
      </c>
      <c r="X4613" t="s">
        <v>43172</v>
      </c>
    </row>
    <row r="4614" spans="1:24">
      <c r="A4614">
        <f>HYPERLINK("https://www.philgeps.gov.ph/GEPSNONPILOT/Tender/SplashBidNoticeAbstractUI.aspx?menuIndex=3&amp;refID=7084408&amp;Result=3","7084408")</f>
        <v>0</v>
      </c>
      <c r="B4614" t="s">
        <v>1363</v>
      </c>
      <c r="C4614" t="s">
        <v>7821</v>
      </c>
      <c r="D4614" t="s">
        <v>17432</v>
      </c>
      <c r="E4614" t="s">
        <v>21509</v>
      </c>
      <c r="F4614" t="s">
        <v>30052</v>
      </c>
      <c r="G4614" t="s">
        <v>30062</v>
      </c>
      <c r="H4614" t="s">
        <v>15498</v>
      </c>
      <c r="I4614" t="s">
        <v>30105</v>
      </c>
      <c r="J4614" t="s">
        <v>33149</v>
      </c>
      <c r="K4614" t="s">
        <v>39029</v>
      </c>
      <c r="M4614" t="s">
        <v>40733</v>
      </c>
      <c r="N4614" t="s">
        <v>43166</v>
      </c>
      <c r="O4614" t="s">
        <v>43167</v>
      </c>
      <c r="P4614">
        <v>0</v>
      </c>
      <c r="Q4614">
        <v>1</v>
      </c>
      <c r="R4614" t="s">
        <v>43171</v>
      </c>
      <c r="S4614" t="s">
        <v>43311</v>
      </c>
      <c r="T4614" t="s">
        <v>44787</v>
      </c>
      <c r="U4614" t="s">
        <v>48960</v>
      </c>
      <c r="V4614" t="s">
        <v>57259</v>
      </c>
      <c r="W4614" t="s">
        <v>40733</v>
      </c>
      <c r="X4614" t="s">
        <v>43172</v>
      </c>
    </row>
    <row r="4615" spans="1:24">
      <c r="A4615">
        <f>HYPERLINK("https://www.philgeps.gov.ph/GEPSNONPILOT/Tender/SplashBidNoticeAbstractUI.aspx?menuIndex=3&amp;refID=7084350&amp;Result=3","7084350")</f>
        <v>0</v>
      </c>
      <c r="B4615" t="s">
        <v>1627</v>
      </c>
      <c r="C4615" t="s">
        <v>7822</v>
      </c>
      <c r="D4615" t="s">
        <v>17415</v>
      </c>
      <c r="E4615" t="s">
        <v>18135</v>
      </c>
      <c r="F4615" t="s">
        <v>30052</v>
      </c>
      <c r="G4615" t="s">
        <v>30059</v>
      </c>
      <c r="H4615" t="s">
        <v>15498</v>
      </c>
      <c r="I4615" t="s">
        <v>8323</v>
      </c>
      <c r="J4615" t="s">
        <v>33150</v>
      </c>
      <c r="K4615" t="s">
        <v>39018</v>
      </c>
      <c r="M4615" t="s">
        <v>41027</v>
      </c>
      <c r="N4615" t="s">
        <v>43166</v>
      </c>
      <c r="O4615" t="s">
        <v>43167</v>
      </c>
      <c r="P4615">
        <v>0</v>
      </c>
      <c r="Q4615">
        <v>9</v>
      </c>
      <c r="R4615" t="s">
        <v>43171</v>
      </c>
      <c r="S4615" t="s">
        <v>43311</v>
      </c>
      <c r="T4615" t="s">
        <v>44735</v>
      </c>
      <c r="U4615" t="s">
        <v>48961</v>
      </c>
      <c r="V4615" t="s">
        <v>57333</v>
      </c>
      <c r="W4615" t="s">
        <v>41027</v>
      </c>
      <c r="X4615" t="s">
        <v>43172</v>
      </c>
    </row>
    <row r="4616" spans="1:24">
      <c r="A4616">
        <f>HYPERLINK("https://www.philgeps.gov.ph/GEPSNONPILOT/Tender/SplashBidNoticeAbstractUI.aspx?menuIndex=3&amp;refID=7084335&amp;Result=3","7084335")</f>
        <v>0</v>
      </c>
      <c r="B4616" t="s">
        <v>1628</v>
      </c>
      <c r="C4616" t="s">
        <v>7823</v>
      </c>
      <c r="D4616" t="s">
        <v>17455</v>
      </c>
      <c r="E4616" t="s">
        <v>18205</v>
      </c>
      <c r="F4616" t="s">
        <v>30052</v>
      </c>
      <c r="G4616" t="s">
        <v>30058</v>
      </c>
      <c r="H4616" t="s">
        <v>15498</v>
      </c>
      <c r="I4616" t="s">
        <v>3736</v>
      </c>
      <c r="J4616" t="s">
        <v>30845</v>
      </c>
      <c r="K4616" t="s">
        <v>39040</v>
      </c>
      <c r="M4616" t="s">
        <v>41028</v>
      </c>
      <c r="N4616" t="s">
        <v>43166</v>
      </c>
      <c r="O4616" t="s">
        <v>43167</v>
      </c>
      <c r="P4616">
        <v>0</v>
      </c>
      <c r="Q4616">
        <v>0</v>
      </c>
      <c r="R4616" t="s">
        <v>43171</v>
      </c>
      <c r="S4616" t="s">
        <v>43311</v>
      </c>
      <c r="T4616" t="s">
        <v>44715</v>
      </c>
      <c r="U4616" t="s">
        <v>48962</v>
      </c>
      <c r="W4616" t="s">
        <v>41028</v>
      </c>
      <c r="X4616" t="s">
        <v>43172</v>
      </c>
    </row>
    <row r="4617" spans="1:24">
      <c r="A4617">
        <f>HYPERLINK("https://www.philgeps.gov.ph/GEPSNONPILOT/Tender/SplashBidNoticeAbstractUI.aspx?menuIndex=3&amp;refID=7084389&amp;Result=3","7084389")</f>
        <v>0</v>
      </c>
      <c r="B4617" t="s">
        <v>1363</v>
      </c>
      <c r="C4617" t="s">
        <v>7824</v>
      </c>
      <c r="D4617" t="s">
        <v>17432</v>
      </c>
      <c r="E4617" t="s">
        <v>21510</v>
      </c>
      <c r="F4617" t="s">
        <v>30052</v>
      </c>
      <c r="G4617" t="s">
        <v>30062</v>
      </c>
      <c r="H4617" t="s">
        <v>15498</v>
      </c>
      <c r="I4617" t="s">
        <v>4119</v>
      </c>
      <c r="J4617" t="s">
        <v>33151</v>
      </c>
      <c r="K4617" t="s">
        <v>39029</v>
      </c>
      <c r="M4617" t="s">
        <v>40733</v>
      </c>
      <c r="N4617" t="s">
        <v>43166</v>
      </c>
      <c r="O4617" t="s">
        <v>43167</v>
      </c>
      <c r="P4617">
        <v>0</v>
      </c>
      <c r="Q4617">
        <v>0</v>
      </c>
      <c r="R4617" t="s">
        <v>43171</v>
      </c>
      <c r="S4617" t="s">
        <v>43311</v>
      </c>
      <c r="T4617" t="s">
        <v>44787</v>
      </c>
      <c r="U4617" t="s">
        <v>48963</v>
      </c>
      <c r="V4617" t="s">
        <v>57259</v>
      </c>
      <c r="W4617" t="s">
        <v>40733</v>
      </c>
      <c r="X4617" t="s">
        <v>43172</v>
      </c>
    </row>
    <row r="4618" spans="1:24">
      <c r="A4618">
        <f>HYPERLINK("https://www.philgeps.gov.ph/GEPSNONPILOT/Tender/SplashBidNoticeAbstractUI.aspx?menuIndex=3&amp;refID=7084334&amp;Result=3","7084334")</f>
        <v>0</v>
      </c>
      <c r="B4618" t="s">
        <v>1629</v>
      </c>
      <c r="C4618" t="s">
        <v>7825</v>
      </c>
      <c r="D4618" t="s">
        <v>17467</v>
      </c>
      <c r="E4618" t="s">
        <v>21511</v>
      </c>
      <c r="F4618" t="s">
        <v>30052</v>
      </c>
      <c r="G4618" t="s">
        <v>30058</v>
      </c>
      <c r="H4618" t="s">
        <v>15498</v>
      </c>
      <c r="I4618" t="s">
        <v>3606</v>
      </c>
      <c r="J4618" t="s">
        <v>30277</v>
      </c>
      <c r="K4618" t="s">
        <v>39037</v>
      </c>
      <c r="M4618" t="s">
        <v>41029</v>
      </c>
      <c r="N4618" t="s">
        <v>43166</v>
      </c>
      <c r="O4618" t="s">
        <v>43167</v>
      </c>
      <c r="P4618">
        <v>0</v>
      </c>
      <c r="Q4618">
        <v>1</v>
      </c>
      <c r="R4618" t="s">
        <v>43171</v>
      </c>
      <c r="S4618" t="s">
        <v>43311</v>
      </c>
      <c r="T4618" t="s">
        <v>44996</v>
      </c>
      <c r="U4618" t="s">
        <v>48964</v>
      </c>
      <c r="W4618" t="s">
        <v>41029</v>
      </c>
      <c r="X4618" t="s">
        <v>43172</v>
      </c>
    </row>
    <row r="4619" spans="1:24">
      <c r="A4619">
        <f>HYPERLINK("https://www.philgeps.gov.ph/GEPSNONPILOT/Tender/SplashBidNoticeAbstractUI.aspx?menuIndex=3&amp;refID=7084382&amp;Result=3","7084382")</f>
        <v>0</v>
      </c>
      <c r="B4619" t="s">
        <v>1363</v>
      </c>
      <c r="C4619" t="s">
        <v>7826</v>
      </c>
      <c r="D4619" t="s">
        <v>17432</v>
      </c>
      <c r="E4619" t="s">
        <v>21512</v>
      </c>
      <c r="F4619" t="s">
        <v>30052</v>
      </c>
      <c r="G4619" t="s">
        <v>30059</v>
      </c>
      <c r="H4619" t="s">
        <v>15498</v>
      </c>
      <c r="I4619" t="s">
        <v>3693</v>
      </c>
      <c r="J4619" t="s">
        <v>30338</v>
      </c>
      <c r="K4619" t="s">
        <v>39029</v>
      </c>
      <c r="M4619" t="s">
        <v>40733</v>
      </c>
      <c r="N4619" t="s">
        <v>43166</v>
      </c>
      <c r="O4619" t="s">
        <v>43167</v>
      </c>
      <c r="P4619">
        <v>0</v>
      </c>
      <c r="Q4619">
        <v>0</v>
      </c>
      <c r="R4619" t="s">
        <v>43171</v>
      </c>
      <c r="S4619" t="s">
        <v>43311</v>
      </c>
      <c r="T4619" t="s">
        <v>44787</v>
      </c>
      <c r="U4619" t="s">
        <v>48965</v>
      </c>
      <c r="V4619" t="s">
        <v>57259</v>
      </c>
      <c r="W4619" t="s">
        <v>40733</v>
      </c>
      <c r="X4619" t="s">
        <v>43172</v>
      </c>
    </row>
    <row r="4620" spans="1:24">
      <c r="A4620">
        <f>HYPERLINK("https://www.philgeps.gov.ph/GEPSNONPILOT/Tender/SplashBidNoticeAbstractUI.aspx?menuIndex=3&amp;refID=7084314&amp;Result=3","7084314")</f>
        <v>0</v>
      </c>
      <c r="B4620" t="s">
        <v>1630</v>
      </c>
      <c r="C4620" t="s">
        <v>7827</v>
      </c>
      <c r="D4620" t="s">
        <v>17472</v>
      </c>
      <c r="E4620" t="s">
        <v>21513</v>
      </c>
      <c r="F4620" t="s">
        <v>30055</v>
      </c>
      <c r="G4620" t="s">
        <v>30058</v>
      </c>
      <c r="H4620" t="s">
        <v>15498</v>
      </c>
      <c r="I4620" t="s">
        <v>30089</v>
      </c>
      <c r="J4620" t="s">
        <v>31593</v>
      </c>
      <c r="K4620" t="s">
        <v>39034</v>
      </c>
      <c r="M4620" t="s">
        <v>41030</v>
      </c>
      <c r="N4620" t="s">
        <v>43166</v>
      </c>
      <c r="O4620" t="s">
        <v>43167</v>
      </c>
      <c r="P4620">
        <v>0</v>
      </c>
      <c r="Q4620">
        <v>2</v>
      </c>
      <c r="R4620" t="s">
        <v>43171</v>
      </c>
      <c r="S4620" t="s">
        <v>43311</v>
      </c>
      <c r="T4620" t="s">
        <v>44873</v>
      </c>
      <c r="U4620" t="s">
        <v>48966</v>
      </c>
      <c r="V4620" t="s">
        <v>57334</v>
      </c>
      <c r="W4620" t="s">
        <v>41030</v>
      </c>
      <c r="X4620" t="s">
        <v>43172</v>
      </c>
    </row>
    <row r="4621" spans="1:24">
      <c r="A4621">
        <f>HYPERLINK("https://www.philgeps.gov.ph/GEPSNONPILOT/Tender/SplashBidNoticeAbstractUI.aspx?menuIndex=3&amp;refID=7084394&amp;Result=3","7084394")</f>
        <v>0</v>
      </c>
      <c r="B4621" t="s">
        <v>1631</v>
      </c>
      <c r="C4621" t="s">
        <v>7828</v>
      </c>
      <c r="D4621" t="s">
        <v>17415</v>
      </c>
      <c r="E4621" t="s">
        <v>21514</v>
      </c>
      <c r="F4621" t="s">
        <v>30052</v>
      </c>
      <c r="G4621" t="s">
        <v>30061</v>
      </c>
      <c r="H4621" t="s">
        <v>15498</v>
      </c>
      <c r="I4621" t="s">
        <v>30092</v>
      </c>
      <c r="J4621" t="s">
        <v>30230</v>
      </c>
      <c r="K4621" t="s">
        <v>39018</v>
      </c>
      <c r="M4621" t="s">
        <v>41031</v>
      </c>
      <c r="N4621" t="s">
        <v>43166</v>
      </c>
      <c r="O4621" t="s">
        <v>43167</v>
      </c>
      <c r="P4621">
        <v>0</v>
      </c>
      <c r="Q4621">
        <v>3</v>
      </c>
      <c r="R4621" t="s">
        <v>43171</v>
      </c>
      <c r="S4621" t="s">
        <v>43311</v>
      </c>
      <c r="T4621" t="s">
        <v>44717</v>
      </c>
      <c r="U4621" t="s">
        <v>48967</v>
      </c>
      <c r="W4621" t="s">
        <v>41031</v>
      </c>
      <c r="X4621" t="s">
        <v>43172</v>
      </c>
    </row>
    <row r="4622" spans="1:24">
      <c r="A4622">
        <f>HYPERLINK("https://www.philgeps.gov.ph/GEPSNONPILOT/Tender/SplashBidNoticeAbstractUI.aspx?menuIndex=3&amp;refID=7084381&amp;Result=3","7084381")</f>
        <v>0</v>
      </c>
      <c r="B4622" t="s">
        <v>1095</v>
      </c>
      <c r="C4622" t="s">
        <v>7829</v>
      </c>
      <c r="E4622" t="s">
        <v>21515</v>
      </c>
      <c r="F4622" t="s">
        <v>30052</v>
      </c>
      <c r="G4622" t="s">
        <v>30061</v>
      </c>
      <c r="H4622" t="s">
        <v>15498</v>
      </c>
      <c r="I4622" t="s">
        <v>30093</v>
      </c>
      <c r="J4622" t="s">
        <v>33152</v>
      </c>
      <c r="K4622" t="s">
        <v>39023</v>
      </c>
      <c r="M4622" t="s">
        <v>40433</v>
      </c>
      <c r="N4622" t="s">
        <v>43166</v>
      </c>
      <c r="O4622" t="s">
        <v>43167</v>
      </c>
      <c r="P4622">
        <v>0</v>
      </c>
      <c r="Q4622">
        <v>1</v>
      </c>
      <c r="R4622" t="s">
        <v>43171</v>
      </c>
      <c r="S4622" t="s">
        <v>43311</v>
      </c>
      <c r="T4622" t="s">
        <v>44691</v>
      </c>
      <c r="U4622" t="s">
        <v>48968</v>
      </c>
      <c r="W4622" t="s">
        <v>40433</v>
      </c>
      <c r="X4622" t="s">
        <v>43172</v>
      </c>
    </row>
    <row r="4623" spans="1:24">
      <c r="A4623">
        <f>HYPERLINK("https://www.philgeps.gov.ph/GEPSNONPILOT/Tender/SplashBidNoticeAbstractUI.aspx?menuIndex=3&amp;refID=7084386&amp;Result=3","7084386")</f>
        <v>0</v>
      </c>
      <c r="B4623" t="s">
        <v>1363</v>
      </c>
      <c r="C4623" t="s">
        <v>7830</v>
      </c>
      <c r="D4623" t="s">
        <v>17432</v>
      </c>
      <c r="E4623" t="s">
        <v>21516</v>
      </c>
      <c r="F4623" t="s">
        <v>30052</v>
      </c>
      <c r="G4623" t="s">
        <v>30062</v>
      </c>
      <c r="H4623" t="s">
        <v>15498</v>
      </c>
      <c r="I4623" t="s">
        <v>30124</v>
      </c>
      <c r="J4623" t="s">
        <v>30598</v>
      </c>
      <c r="K4623" t="s">
        <v>39029</v>
      </c>
      <c r="M4623" t="s">
        <v>40733</v>
      </c>
      <c r="N4623" t="s">
        <v>43166</v>
      </c>
      <c r="O4623" t="s">
        <v>43167</v>
      </c>
      <c r="P4623">
        <v>0</v>
      </c>
      <c r="Q4623">
        <v>3</v>
      </c>
      <c r="R4623" t="s">
        <v>43171</v>
      </c>
      <c r="S4623" t="s">
        <v>43311</v>
      </c>
      <c r="T4623" t="s">
        <v>44787</v>
      </c>
      <c r="U4623" t="s">
        <v>48969</v>
      </c>
      <c r="V4623" t="s">
        <v>57259</v>
      </c>
      <c r="W4623" t="s">
        <v>40733</v>
      </c>
      <c r="X4623" t="s">
        <v>43172</v>
      </c>
    </row>
    <row r="4624" spans="1:24">
      <c r="A4624">
        <f>HYPERLINK("https://www.philgeps.gov.ph/GEPSNONPILOT/Tender/SplashBidNoticeAbstractUI.aspx?menuIndex=3&amp;refID=7084316&amp;Result=3","7084316")</f>
        <v>0</v>
      </c>
      <c r="B4624" t="s">
        <v>1608</v>
      </c>
      <c r="C4624" t="s">
        <v>7831</v>
      </c>
      <c r="D4624" t="s">
        <v>17415</v>
      </c>
      <c r="E4624" t="s">
        <v>21517</v>
      </c>
      <c r="F4624" t="s">
        <v>30052</v>
      </c>
      <c r="G4624" t="s">
        <v>30058</v>
      </c>
      <c r="H4624" t="s">
        <v>15498</v>
      </c>
      <c r="I4624" t="s">
        <v>7228</v>
      </c>
      <c r="J4624" t="s">
        <v>33153</v>
      </c>
      <c r="K4624" t="s">
        <v>39019</v>
      </c>
      <c r="M4624" t="s">
        <v>41007</v>
      </c>
      <c r="N4624" t="s">
        <v>43166</v>
      </c>
      <c r="O4624" t="s">
        <v>43167</v>
      </c>
      <c r="P4624">
        <v>0</v>
      </c>
      <c r="Q4624">
        <v>0</v>
      </c>
      <c r="R4624" t="s">
        <v>43171</v>
      </c>
      <c r="S4624" t="s">
        <v>43311</v>
      </c>
      <c r="T4624" t="s">
        <v>44705</v>
      </c>
      <c r="U4624" t="s">
        <v>48921</v>
      </c>
      <c r="W4624" t="s">
        <v>41007</v>
      </c>
      <c r="X4624" t="s">
        <v>43172</v>
      </c>
    </row>
    <row r="4625" spans="1:24">
      <c r="A4625">
        <f>HYPERLINK("https://www.philgeps.gov.ph/GEPSNONPILOT/Tender/SplashBidNoticeAbstractUI.aspx?menuIndex=3&amp;refID=7084313&amp;Result=3","7084313")</f>
        <v>0</v>
      </c>
      <c r="B4625" t="s">
        <v>1180</v>
      </c>
      <c r="C4625" t="s">
        <v>7832</v>
      </c>
      <c r="D4625" t="s">
        <v>17455</v>
      </c>
      <c r="E4625" t="s">
        <v>21518</v>
      </c>
      <c r="F4625" t="s">
        <v>30052</v>
      </c>
      <c r="G4625" t="s">
        <v>30058</v>
      </c>
      <c r="H4625" t="s">
        <v>15498</v>
      </c>
      <c r="I4625" t="s">
        <v>3852</v>
      </c>
      <c r="J4625" t="s">
        <v>33154</v>
      </c>
      <c r="K4625" t="s">
        <v>39064</v>
      </c>
      <c r="M4625" t="s">
        <v>40530</v>
      </c>
      <c r="N4625" t="s">
        <v>43166</v>
      </c>
      <c r="O4625" t="s">
        <v>43167</v>
      </c>
      <c r="P4625">
        <v>0</v>
      </c>
      <c r="Q4625">
        <v>1</v>
      </c>
      <c r="R4625" t="s">
        <v>43171</v>
      </c>
      <c r="S4625" t="s">
        <v>43311</v>
      </c>
      <c r="T4625" t="s">
        <v>44789</v>
      </c>
      <c r="U4625" t="s">
        <v>48970</v>
      </c>
      <c r="W4625" t="s">
        <v>40530</v>
      </c>
      <c r="X4625" t="s">
        <v>43172</v>
      </c>
    </row>
    <row r="4626" spans="1:24">
      <c r="A4626">
        <f>HYPERLINK("https://www.philgeps.gov.ph/GEPSNONPILOT/Tender/SplashBidNoticeAbstractUI.aspx?menuIndex=3&amp;refID=7084308&amp;Result=3","7084308")</f>
        <v>0</v>
      </c>
      <c r="B4626" t="s">
        <v>1632</v>
      </c>
      <c r="C4626" t="s">
        <v>7833</v>
      </c>
      <c r="D4626" t="s">
        <v>17459</v>
      </c>
      <c r="E4626" t="s">
        <v>21519</v>
      </c>
      <c r="F4626" t="s">
        <v>30052</v>
      </c>
      <c r="G4626" t="s">
        <v>30064</v>
      </c>
      <c r="H4626" t="s">
        <v>30067</v>
      </c>
      <c r="I4626" t="s">
        <v>3736</v>
      </c>
      <c r="J4626" t="s">
        <v>30230</v>
      </c>
      <c r="K4626" t="s">
        <v>39029</v>
      </c>
      <c r="M4626" t="s">
        <v>41032</v>
      </c>
      <c r="N4626" t="s">
        <v>43166</v>
      </c>
      <c r="O4626" t="s">
        <v>43167</v>
      </c>
      <c r="P4626">
        <v>0</v>
      </c>
      <c r="Q4626">
        <v>0</v>
      </c>
      <c r="R4626" t="s">
        <v>43171</v>
      </c>
      <c r="S4626" t="s">
        <v>43311</v>
      </c>
      <c r="T4626" t="s">
        <v>44830</v>
      </c>
      <c r="U4626" t="s">
        <v>48971</v>
      </c>
      <c r="V4626" t="s">
        <v>57335</v>
      </c>
      <c r="W4626" t="s">
        <v>41032</v>
      </c>
      <c r="X4626" t="s">
        <v>43172</v>
      </c>
    </row>
    <row r="4627" spans="1:24">
      <c r="A4627">
        <f>HYPERLINK("https://www.philgeps.gov.ph/GEPSNONPILOT/Tender/SplashBidNoticeAbstractUI.aspx?menuIndex=3&amp;refID=7084452&amp;Result=3","7084452")</f>
        <v>0</v>
      </c>
      <c r="B4627" t="s">
        <v>1435</v>
      </c>
      <c r="C4627" t="s">
        <v>7834</v>
      </c>
      <c r="D4627" t="s">
        <v>17415</v>
      </c>
      <c r="E4627" t="s">
        <v>21520</v>
      </c>
      <c r="F4627" t="s">
        <v>30052</v>
      </c>
      <c r="G4627" t="s">
        <v>30059</v>
      </c>
      <c r="H4627" t="s">
        <v>30067</v>
      </c>
      <c r="I4627" t="s">
        <v>3693</v>
      </c>
      <c r="J4627" t="s">
        <v>33155</v>
      </c>
      <c r="K4627" t="s">
        <v>39023</v>
      </c>
      <c r="M4627" t="s">
        <v>40813</v>
      </c>
      <c r="N4627" t="s">
        <v>43166</v>
      </c>
      <c r="O4627" t="s">
        <v>43167</v>
      </c>
      <c r="P4627">
        <v>0</v>
      </c>
      <c r="Q4627">
        <v>0</v>
      </c>
      <c r="R4627" t="s">
        <v>43171</v>
      </c>
      <c r="S4627" t="s">
        <v>43311</v>
      </c>
      <c r="T4627" t="s">
        <v>44844</v>
      </c>
      <c r="U4627" t="s">
        <v>48972</v>
      </c>
      <c r="W4627" t="s">
        <v>40813</v>
      </c>
      <c r="X4627" t="s">
        <v>43172</v>
      </c>
    </row>
    <row r="4628" spans="1:24">
      <c r="A4628">
        <f>HYPERLINK("https://www.philgeps.gov.ph/GEPSNONPILOT/Tender/SplashBidNoticeAbstractUI.aspx?menuIndex=3&amp;refID=7084451&amp;Result=3","7084451")</f>
        <v>0</v>
      </c>
      <c r="B4628" t="s">
        <v>1633</v>
      </c>
      <c r="C4628" t="s">
        <v>7835</v>
      </c>
      <c r="D4628" t="s">
        <v>17434</v>
      </c>
      <c r="E4628" t="s">
        <v>21521</v>
      </c>
      <c r="F4628" t="s">
        <v>30052</v>
      </c>
      <c r="G4628" t="s">
        <v>30058</v>
      </c>
      <c r="H4628" t="s">
        <v>15498</v>
      </c>
      <c r="I4628" t="s">
        <v>30074</v>
      </c>
      <c r="J4628" t="s">
        <v>33156</v>
      </c>
      <c r="K4628" t="s">
        <v>39031</v>
      </c>
      <c r="M4628" t="s">
        <v>41033</v>
      </c>
      <c r="N4628" t="s">
        <v>43166</v>
      </c>
      <c r="O4628" t="s">
        <v>43167</v>
      </c>
      <c r="P4628">
        <v>0</v>
      </c>
      <c r="Q4628">
        <v>1</v>
      </c>
      <c r="R4628" t="s">
        <v>43171</v>
      </c>
      <c r="S4628" t="s">
        <v>43311</v>
      </c>
      <c r="T4628" t="s">
        <v>44764</v>
      </c>
      <c r="U4628" t="s">
        <v>48973</v>
      </c>
      <c r="W4628" t="s">
        <v>41033</v>
      </c>
      <c r="X4628" t="s">
        <v>43172</v>
      </c>
    </row>
    <row r="4629" spans="1:24">
      <c r="A4629">
        <f>HYPERLINK("https://www.philgeps.gov.ph/GEPSNONPILOT/Tender/SplashBidNoticeAbstractUI.aspx?menuIndex=3&amp;refID=7084450&amp;Result=3","7084450")</f>
        <v>0</v>
      </c>
      <c r="B4629" t="s">
        <v>362</v>
      </c>
      <c r="C4629" t="s">
        <v>7836</v>
      </c>
      <c r="E4629" t="s">
        <v>21522</v>
      </c>
      <c r="F4629" t="s">
        <v>30052</v>
      </c>
      <c r="G4629" t="s">
        <v>30059</v>
      </c>
      <c r="H4629" t="s">
        <v>15498</v>
      </c>
      <c r="I4629" t="s">
        <v>30075</v>
      </c>
      <c r="J4629" t="s">
        <v>33157</v>
      </c>
      <c r="K4629" t="s">
        <v>39025</v>
      </c>
      <c r="M4629" t="s">
        <v>41034</v>
      </c>
      <c r="N4629" t="s">
        <v>43166</v>
      </c>
      <c r="O4629" t="s">
        <v>43167</v>
      </c>
      <c r="P4629">
        <v>0</v>
      </c>
      <c r="Q4629">
        <v>2</v>
      </c>
      <c r="R4629" t="s">
        <v>43171</v>
      </c>
      <c r="S4629" t="s">
        <v>43311</v>
      </c>
      <c r="T4629" t="s">
        <v>44743</v>
      </c>
      <c r="U4629" t="s">
        <v>48974</v>
      </c>
      <c r="W4629" t="s">
        <v>58598</v>
      </c>
      <c r="X4629" t="s">
        <v>43172</v>
      </c>
    </row>
    <row r="4630" spans="1:24">
      <c r="A4630">
        <f>HYPERLINK("https://www.philgeps.gov.ph/GEPSNONPILOT/Tender/SplashBidNoticeAbstractUI.aspx?menuIndex=3&amp;refID=7084448&amp;Result=3","7084448")</f>
        <v>0</v>
      </c>
      <c r="B4630" t="s">
        <v>1634</v>
      </c>
      <c r="C4630" t="s">
        <v>7837</v>
      </c>
      <c r="D4630" t="s">
        <v>17447</v>
      </c>
      <c r="E4630" t="s">
        <v>19628</v>
      </c>
      <c r="F4630" t="s">
        <v>30052</v>
      </c>
      <c r="G4630" t="s">
        <v>30058</v>
      </c>
      <c r="H4630" t="s">
        <v>30067</v>
      </c>
      <c r="I4630" t="s">
        <v>3693</v>
      </c>
      <c r="J4630" t="s">
        <v>33158</v>
      </c>
      <c r="K4630" t="s">
        <v>39022</v>
      </c>
      <c r="M4630" t="s">
        <v>41035</v>
      </c>
      <c r="N4630" t="s">
        <v>43166</v>
      </c>
      <c r="O4630" t="s">
        <v>43167</v>
      </c>
      <c r="P4630">
        <v>0</v>
      </c>
      <c r="Q4630">
        <v>0</v>
      </c>
      <c r="R4630" t="s">
        <v>43171</v>
      </c>
      <c r="S4630" t="s">
        <v>43311</v>
      </c>
      <c r="T4630" t="s">
        <v>44983</v>
      </c>
      <c r="U4630" t="s">
        <v>48975</v>
      </c>
      <c r="W4630" t="s">
        <v>41035</v>
      </c>
      <c r="X4630" t="s">
        <v>43172</v>
      </c>
    </row>
    <row r="4631" spans="1:24">
      <c r="A4631">
        <f>HYPERLINK("https://www.philgeps.gov.ph/GEPSNONPILOT/Tender/SplashBidNoticeAbstractUI.aspx?menuIndex=3&amp;refID=7084444&amp;Result=3","7084444")</f>
        <v>0</v>
      </c>
      <c r="B4631" t="s">
        <v>1185</v>
      </c>
      <c r="C4631" t="s">
        <v>7838</v>
      </c>
      <c r="D4631" t="s">
        <v>17415</v>
      </c>
      <c r="E4631" t="s">
        <v>21523</v>
      </c>
      <c r="F4631" t="s">
        <v>30052</v>
      </c>
      <c r="G4631" t="s">
        <v>30058</v>
      </c>
      <c r="H4631" t="s">
        <v>15498</v>
      </c>
      <c r="I4631" t="s">
        <v>8323</v>
      </c>
      <c r="J4631" t="s">
        <v>33159</v>
      </c>
      <c r="K4631" t="s">
        <v>39064</v>
      </c>
      <c r="M4631" t="s">
        <v>40537</v>
      </c>
      <c r="N4631" t="s">
        <v>43166</v>
      </c>
      <c r="O4631" t="s">
        <v>43167</v>
      </c>
      <c r="P4631">
        <v>0</v>
      </c>
      <c r="Q4631">
        <v>8</v>
      </c>
      <c r="R4631" t="s">
        <v>43171</v>
      </c>
      <c r="S4631" t="s">
        <v>43311</v>
      </c>
      <c r="T4631" t="s">
        <v>44715</v>
      </c>
      <c r="U4631" t="s">
        <v>48976</v>
      </c>
      <c r="W4631" t="s">
        <v>40537</v>
      </c>
      <c r="X4631" t="s">
        <v>43172</v>
      </c>
    </row>
    <row r="4632" spans="1:24">
      <c r="A4632">
        <f>HYPERLINK("https://www.philgeps.gov.ph/GEPSNONPILOT/Tender/SplashBidNoticeAbstractUI.aspx?menuIndex=3&amp;refID=7084310&amp;Result=3","7084310")</f>
        <v>0</v>
      </c>
      <c r="B4632" t="s">
        <v>1608</v>
      </c>
      <c r="C4632" t="s">
        <v>7839</v>
      </c>
      <c r="D4632" t="s">
        <v>17415</v>
      </c>
      <c r="E4632" t="s">
        <v>21524</v>
      </c>
      <c r="F4632" t="s">
        <v>30052</v>
      </c>
      <c r="G4632" t="s">
        <v>30058</v>
      </c>
      <c r="H4632" t="s">
        <v>15498</v>
      </c>
      <c r="I4632" t="s">
        <v>7228</v>
      </c>
      <c r="J4632" t="s">
        <v>31236</v>
      </c>
      <c r="K4632" t="s">
        <v>39019</v>
      </c>
      <c r="M4632" t="s">
        <v>41007</v>
      </c>
      <c r="N4632" t="s">
        <v>43166</v>
      </c>
      <c r="O4632" t="s">
        <v>43167</v>
      </c>
      <c r="P4632">
        <v>0</v>
      </c>
      <c r="Q4632">
        <v>0</v>
      </c>
      <c r="R4632" t="s">
        <v>43171</v>
      </c>
      <c r="S4632" t="s">
        <v>43311</v>
      </c>
      <c r="T4632" t="s">
        <v>44705</v>
      </c>
      <c r="U4632" t="s">
        <v>48921</v>
      </c>
      <c r="W4632" t="s">
        <v>41007</v>
      </c>
      <c r="X4632" t="s">
        <v>43172</v>
      </c>
    </row>
    <row r="4633" spans="1:24">
      <c r="A4633">
        <f>HYPERLINK("https://www.philgeps.gov.ph/GEPSNONPILOT/Tender/SplashBidNoticeAbstractUI.aspx?menuIndex=3&amp;refID=7084443&amp;Result=3","7084443")</f>
        <v>0</v>
      </c>
      <c r="B4633" t="s">
        <v>1469</v>
      </c>
      <c r="C4633" t="s">
        <v>7840</v>
      </c>
      <c r="D4633" t="s">
        <v>17417</v>
      </c>
      <c r="E4633" t="s">
        <v>21525</v>
      </c>
      <c r="F4633" t="s">
        <v>30052</v>
      </c>
      <c r="G4633" t="s">
        <v>30058</v>
      </c>
      <c r="H4633" t="s">
        <v>15498</v>
      </c>
      <c r="I4633" t="s">
        <v>30105</v>
      </c>
      <c r="J4633" t="s">
        <v>30856</v>
      </c>
      <c r="K4633" t="s">
        <v>39038</v>
      </c>
      <c r="M4633" t="s">
        <v>41036</v>
      </c>
      <c r="N4633" t="s">
        <v>43166</v>
      </c>
      <c r="O4633" t="s">
        <v>43167</v>
      </c>
      <c r="P4633">
        <v>0</v>
      </c>
      <c r="Q4633">
        <v>5</v>
      </c>
      <c r="R4633" t="s">
        <v>43171</v>
      </c>
      <c r="S4633" t="s">
        <v>43311</v>
      </c>
      <c r="T4633" t="s">
        <v>44688</v>
      </c>
      <c r="U4633" t="s">
        <v>48977</v>
      </c>
      <c r="W4633" t="s">
        <v>41036</v>
      </c>
      <c r="X4633" t="s">
        <v>43172</v>
      </c>
    </row>
    <row r="4634" spans="1:24">
      <c r="A4634">
        <f>HYPERLINK("https://www.philgeps.gov.ph/GEPSNONPILOT/Tender/SplashBidNoticeAbstractUI.aspx?menuIndex=3&amp;refID=7084442&amp;Result=3","7084442")</f>
        <v>0</v>
      </c>
      <c r="B4634" t="s">
        <v>1635</v>
      </c>
      <c r="C4634" t="s">
        <v>7841</v>
      </c>
      <c r="D4634" t="s">
        <v>17456</v>
      </c>
      <c r="E4634" t="s">
        <v>21526</v>
      </c>
      <c r="F4634" t="s">
        <v>30052</v>
      </c>
      <c r="G4634" t="s">
        <v>30063</v>
      </c>
      <c r="H4634" t="s">
        <v>30067</v>
      </c>
      <c r="I4634" t="s">
        <v>3693</v>
      </c>
      <c r="J4634" t="s">
        <v>33160</v>
      </c>
      <c r="K4634" t="s">
        <v>39092</v>
      </c>
      <c r="M4634" t="s">
        <v>41037</v>
      </c>
      <c r="N4634" t="s">
        <v>43166</v>
      </c>
      <c r="O4634" t="s">
        <v>43167</v>
      </c>
      <c r="P4634">
        <v>0</v>
      </c>
      <c r="Q4634">
        <v>0</v>
      </c>
      <c r="R4634" t="s">
        <v>43171</v>
      </c>
      <c r="S4634" t="s">
        <v>43311</v>
      </c>
      <c r="T4634" t="s">
        <v>44732</v>
      </c>
      <c r="U4634" t="s">
        <v>48978</v>
      </c>
      <c r="V4634" t="s">
        <v>57336</v>
      </c>
      <c r="W4634" t="s">
        <v>41037</v>
      </c>
      <c r="X4634" t="s">
        <v>43172</v>
      </c>
    </row>
    <row r="4635" spans="1:24">
      <c r="A4635">
        <f>HYPERLINK("https://www.philgeps.gov.ph/GEPSNONPILOT/Tender/SplashBidNoticeAbstractUI.aspx?menuIndex=3&amp;refID=7084440&amp;Result=3","7084440")</f>
        <v>0</v>
      </c>
      <c r="B4635" t="s">
        <v>1633</v>
      </c>
      <c r="C4635" t="s">
        <v>7842</v>
      </c>
      <c r="D4635" t="s">
        <v>17434</v>
      </c>
      <c r="E4635" t="s">
        <v>21527</v>
      </c>
      <c r="F4635" t="s">
        <v>30052</v>
      </c>
      <c r="G4635" t="s">
        <v>30058</v>
      </c>
      <c r="H4635" t="s">
        <v>15498</v>
      </c>
      <c r="I4635" t="s">
        <v>3852</v>
      </c>
      <c r="J4635" t="s">
        <v>32820</v>
      </c>
      <c r="K4635" t="s">
        <v>39029</v>
      </c>
      <c r="M4635" t="s">
        <v>41033</v>
      </c>
      <c r="N4635" t="s">
        <v>43166</v>
      </c>
      <c r="O4635" t="s">
        <v>43167</v>
      </c>
      <c r="P4635">
        <v>0</v>
      </c>
      <c r="Q4635">
        <v>2</v>
      </c>
      <c r="R4635" t="s">
        <v>43171</v>
      </c>
      <c r="S4635" t="s">
        <v>43311</v>
      </c>
      <c r="T4635" t="s">
        <v>44764</v>
      </c>
      <c r="U4635" t="s">
        <v>48979</v>
      </c>
      <c r="W4635" t="s">
        <v>41033</v>
      </c>
      <c r="X4635" t="s">
        <v>43172</v>
      </c>
    </row>
    <row r="4636" spans="1:24">
      <c r="A4636">
        <f>HYPERLINK("https://www.philgeps.gov.ph/GEPSNONPILOT/Tender/SplashBidNoticeAbstractUI.aspx?menuIndex=3&amp;refID=7084439&amp;Result=3","7084439")</f>
        <v>0</v>
      </c>
      <c r="B4636" t="s">
        <v>620</v>
      </c>
      <c r="C4636" t="s">
        <v>7843</v>
      </c>
      <c r="D4636" t="s">
        <v>17427</v>
      </c>
      <c r="E4636" t="s">
        <v>21528</v>
      </c>
      <c r="F4636" t="s">
        <v>30052</v>
      </c>
      <c r="G4636" t="s">
        <v>30059</v>
      </c>
      <c r="H4636" t="s">
        <v>15498</v>
      </c>
      <c r="I4636" t="s">
        <v>30070</v>
      </c>
      <c r="J4636" t="s">
        <v>30594</v>
      </c>
      <c r="K4636" t="s">
        <v>39025</v>
      </c>
      <c r="M4636" t="s">
        <v>39923</v>
      </c>
      <c r="N4636" t="s">
        <v>43166</v>
      </c>
      <c r="O4636" t="s">
        <v>43167</v>
      </c>
      <c r="P4636">
        <v>0</v>
      </c>
      <c r="Q4636">
        <v>4</v>
      </c>
      <c r="R4636" t="s">
        <v>43171</v>
      </c>
      <c r="S4636" t="s">
        <v>43311</v>
      </c>
      <c r="T4636" t="s">
        <v>44691</v>
      </c>
      <c r="U4636" t="s">
        <v>48980</v>
      </c>
      <c r="W4636" t="s">
        <v>39923</v>
      </c>
      <c r="X4636" t="s">
        <v>43172</v>
      </c>
    </row>
    <row r="4637" spans="1:24">
      <c r="A4637">
        <f>HYPERLINK("https://www.philgeps.gov.ph/GEPSNONPILOT/Tender/SplashBidNoticeAbstractUI.aspx?menuIndex=3&amp;refID=7084437&amp;Result=3","7084437")</f>
        <v>0</v>
      </c>
      <c r="B4637" t="s">
        <v>1469</v>
      </c>
      <c r="C4637" t="s">
        <v>7844</v>
      </c>
      <c r="D4637" t="s">
        <v>17417</v>
      </c>
      <c r="E4637" t="s">
        <v>21529</v>
      </c>
      <c r="F4637" t="s">
        <v>30052</v>
      </c>
      <c r="G4637" t="s">
        <v>30058</v>
      </c>
      <c r="H4637" t="s">
        <v>15498</v>
      </c>
      <c r="I4637" t="s">
        <v>30105</v>
      </c>
      <c r="J4637" t="s">
        <v>30239</v>
      </c>
      <c r="K4637" t="s">
        <v>39046</v>
      </c>
      <c r="M4637" t="s">
        <v>41036</v>
      </c>
      <c r="N4637" t="s">
        <v>43166</v>
      </c>
      <c r="O4637" t="s">
        <v>43167</v>
      </c>
      <c r="P4637">
        <v>0</v>
      </c>
      <c r="Q4637">
        <v>6</v>
      </c>
      <c r="R4637" t="s">
        <v>43171</v>
      </c>
      <c r="S4637" t="s">
        <v>43311</v>
      </c>
      <c r="T4637" t="s">
        <v>44688</v>
      </c>
      <c r="U4637" t="s">
        <v>48981</v>
      </c>
      <c r="W4637" t="s">
        <v>41036</v>
      </c>
      <c r="X4637" t="s">
        <v>43172</v>
      </c>
    </row>
    <row r="4638" spans="1:24">
      <c r="A4638">
        <f>HYPERLINK("https://www.philgeps.gov.ph/GEPSNONPILOT/Tender/SplashBidNoticeAbstractUI.aspx?menuIndex=3&amp;refID=7084300&amp;Result=3","7084300")</f>
        <v>0</v>
      </c>
      <c r="B4638" t="s">
        <v>1608</v>
      </c>
      <c r="C4638" t="s">
        <v>7845</v>
      </c>
      <c r="D4638" t="s">
        <v>17415</v>
      </c>
      <c r="E4638" t="s">
        <v>21530</v>
      </c>
      <c r="F4638" t="s">
        <v>30052</v>
      </c>
      <c r="G4638" t="s">
        <v>30058</v>
      </c>
      <c r="H4638" t="s">
        <v>15498</v>
      </c>
      <c r="I4638" t="s">
        <v>7228</v>
      </c>
      <c r="J4638" t="s">
        <v>33161</v>
      </c>
      <c r="K4638" t="s">
        <v>39019</v>
      </c>
      <c r="M4638" t="s">
        <v>41007</v>
      </c>
      <c r="N4638" t="s">
        <v>43166</v>
      </c>
      <c r="O4638" t="s">
        <v>43167</v>
      </c>
      <c r="P4638">
        <v>0</v>
      </c>
      <c r="Q4638">
        <v>1</v>
      </c>
      <c r="R4638" t="s">
        <v>43171</v>
      </c>
      <c r="S4638" t="s">
        <v>43311</v>
      </c>
      <c r="T4638" t="s">
        <v>44705</v>
      </c>
      <c r="U4638" t="s">
        <v>48921</v>
      </c>
      <c r="W4638" t="s">
        <v>41007</v>
      </c>
      <c r="X4638" t="s">
        <v>43172</v>
      </c>
    </row>
    <row r="4639" spans="1:24">
      <c r="A4639">
        <f>HYPERLINK("https://www.philgeps.gov.ph/GEPSNONPILOT/Tender/SplashBidNoticeAbstractUI.aspx?menuIndex=3&amp;refID=7084435&amp;Result=3","7084435")</f>
        <v>0</v>
      </c>
      <c r="B4639" t="s">
        <v>1616</v>
      </c>
      <c r="C4639" t="s">
        <v>7846</v>
      </c>
      <c r="D4639" t="s">
        <v>17433</v>
      </c>
      <c r="E4639" t="s">
        <v>21531</v>
      </c>
      <c r="F4639" t="s">
        <v>30052</v>
      </c>
      <c r="G4639" t="s">
        <v>30058</v>
      </c>
      <c r="H4639" t="s">
        <v>30067</v>
      </c>
      <c r="I4639" t="s">
        <v>3693</v>
      </c>
      <c r="J4639" t="s">
        <v>30574</v>
      </c>
      <c r="K4639" t="s">
        <v>39061</v>
      </c>
      <c r="M4639" t="s">
        <v>41016</v>
      </c>
      <c r="N4639" t="s">
        <v>43166</v>
      </c>
      <c r="O4639" t="s">
        <v>43167</v>
      </c>
      <c r="P4639">
        <v>0</v>
      </c>
      <c r="Q4639">
        <v>0</v>
      </c>
      <c r="R4639" t="s">
        <v>43171</v>
      </c>
      <c r="S4639" t="s">
        <v>43311</v>
      </c>
      <c r="T4639" t="s">
        <v>44905</v>
      </c>
      <c r="U4639" t="s">
        <v>48982</v>
      </c>
      <c r="V4639" t="s">
        <v>57327</v>
      </c>
      <c r="W4639" t="s">
        <v>41016</v>
      </c>
      <c r="X4639" t="s">
        <v>43172</v>
      </c>
    </row>
    <row r="4640" spans="1:24">
      <c r="A4640">
        <f>HYPERLINK("https://www.philgeps.gov.ph/GEPSNONPILOT/Tender/SplashBidNoticeAbstractUI.aspx?menuIndex=3&amp;refID=7084434&amp;Result=3","7084434")</f>
        <v>0</v>
      </c>
      <c r="B4640" t="s">
        <v>199</v>
      </c>
      <c r="C4640" t="s">
        <v>7847</v>
      </c>
      <c r="D4640" t="s">
        <v>17415</v>
      </c>
      <c r="E4640" t="s">
        <v>21532</v>
      </c>
      <c r="F4640" t="s">
        <v>30052</v>
      </c>
      <c r="G4640" t="s">
        <v>30059</v>
      </c>
      <c r="H4640" t="s">
        <v>15498</v>
      </c>
      <c r="I4640" t="s">
        <v>30124</v>
      </c>
      <c r="J4640" t="s">
        <v>33162</v>
      </c>
      <c r="K4640" t="s">
        <v>39023</v>
      </c>
      <c r="M4640" t="s">
        <v>39489</v>
      </c>
      <c r="N4640" t="s">
        <v>43166</v>
      </c>
      <c r="O4640" t="s">
        <v>43167</v>
      </c>
      <c r="P4640">
        <v>0</v>
      </c>
      <c r="Q4640">
        <v>2</v>
      </c>
      <c r="R4640" t="s">
        <v>43171</v>
      </c>
      <c r="S4640" t="s">
        <v>43311</v>
      </c>
      <c r="T4640" t="s">
        <v>44760</v>
      </c>
      <c r="U4640" t="s">
        <v>48983</v>
      </c>
      <c r="W4640" t="s">
        <v>39489</v>
      </c>
      <c r="X4640" t="s">
        <v>43172</v>
      </c>
    </row>
    <row r="4641" spans="1:24">
      <c r="A4641">
        <f>HYPERLINK("https://www.philgeps.gov.ph/GEPSNONPILOT/Tender/SplashBidNoticeAbstractUI.aspx?menuIndex=3&amp;refID=7084433&amp;Result=3","7084433")</f>
        <v>0</v>
      </c>
      <c r="B4641" t="s">
        <v>521</v>
      </c>
      <c r="C4641" t="s">
        <v>4595</v>
      </c>
      <c r="D4641" t="s">
        <v>17415</v>
      </c>
      <c r="E4641" t="s">
        <v>18575</v>
      </c>
      <c r="F4641" t="s">
        <v>30052</v>
      </c>
      <c r="G4641" t="s">
        <v>30061</v>
      </c>
      <c r="H4641" t="s">
        <v>15498</v>
      </c>
      <c r="I4641" t="s">
        <v>9238</v>
      </c>
      <c r="J4641" t="s">
        <v>33163</v>
      </c>
      <c r="K4641" t="s">
        <v>39019</v>
      </c>
      <c r="M4641" t="s">
        <v>39823</v>
      </c>
      <c r="N4641" t="s">
        <v>43166</v>
      </c>
      <c r="O4641" t="s">
        <v>43167</v>
      </c>
      <c r="P4641">
        <v>0</v>
      </c>
      <c r="Q4641">
        <v>8</v>
      </c>
      <c r="R4641" t="s">
        <v>43171</v>
      </c>
      <c r="S4641" t="s">
        <v>43311</v>
      </c>
      <c r="T4641" t="s">
        <v>44856</v>
      </c>
      <c r="U4641" t="s">
        <v>48984</v>
      </c>
      <c r="V4641" t="s">
        <v>56959</v>
      </c>
      <c r="W4641" t="s">
        <v>58603</v>
      </c>
      <c r="X4641" t="s">
        <v>43172</v>
      </c>
    </row>
    <row r="4642" spans="1:24">
      <c r="A4642">
        <f>HYPERLINK("https://www.philgeps.gov.ph/GEPSNONPILOT/Tender/SplashBidNoticeAbstractUI.aspx?menuIndex=3&amp;refID=7084431&amp;Result=3","7084431")</f>
        <v>0</v>
      </c>
      <c r="B4642" t="s">
        <v>1633</v>
      </c>
      <c r="C4642" t="s">
        <v>7848</v>
      </c>
      <c r="D4642" t="s">
        <v>17434</v>
      </c>
      <c r="E4642" t="s">
        <v>21533</v>
      </c>
      <c r="F4642" t="s">
        <v>30052</v>
      </c>
      <c r="G4642" t="s">
        <v>30058</v>
      </c>
      <c r="H4642" t="s">
        <v>15498</v>
      </c>
      <c r="I4642" t="s">
        <v>30076</v>
      </c>
      <c r="J4642" t="s">
        <v>33164</v>
      </c>
      <c r="K4642" t="s">
        <v>39037</v>
      </c>
      <c r="M4642" t="s">
        <v>41033</v>
      </c>
      <c r="N4642" t="s">
        <v>43166</v>
      </c>
      <c r="O4642" t="s">
        <v>43167</v>
      </c>
      <c r="P4642">
        <v>0</v>
      </c>
      <c r="Q4642">
        <v>4</v>
      </c>
      <c r="R4642" t="s">
        <v>43171</v>
      </c>
      <c r="S4642" t="s">
        <v>43311</v>
      </c>
      <c r="T4642" t="s">
        <v>44820</v>
      </c>
      <c r="U4642" t="s">
        <v>48979</v>
      </c>
      <c r="W4642" t="s">
        <v>41033</v>
      </c>
      <c r="X4642" t="s">
        <v>43172</v>
      </c>
    </row>
    <row r="4643" spans="1:24">
      <c r="A4643">
        <f>HYPERLINK("https://www.philgeps.gov.ph/GEPSNONPILOT/Tender/SplashBidNoticeAbstractUI.aspx?menuIndex=3&amp;refID=7084421&amp;Result=3","7084421")</f>
        <v>0</v>
      </c>
      <c r="B4643" t="s">
        <v>620</v>
      </c>
      <c r="C4643" t="s">
        <v>7849</v>
      </c>
      <c r="D4643" t="s">
        <v>17427</v>
      </c>
      <c r="E4643" t="s">
        <v>21534</v>
      </c>
      <c r="F4643" t="s">
        <v>30052</v>
      </c>
      <c r="G4643" t="s">
        <v>30058</v>
      </c>
      <c r="H4643" t="s">
        <v>15498</v>
      </c>
      <c r="I4643" t="s">
        <v>30107</v>
      </c>
      <c r="J4643" t="s">
        <v>33165</v>
      </c>
      <c r="K4643" t="s">
        <v>39025</v>
      </c>
      <c r="M4643" t="s">
        <v>39923</v>
      </c>
      <c r="N4643" t="s">
        <v>43166</v>
      </c>
      <c r="O4643" t="s">
        <v>43167</v>
      </c>
      <c r="P4643">
        <v>0</v>
      </c>
      <c r="Q4643">
        <v>3</v>
      </c>
      <c r="R4643" t="s">
        <v>43171</v>
      </c>
      <c r="S4643" t="s">
        <v>43311</v>
      </c>
      <c r="T4643" t="s">
        <v>44677</v>
      </c>
      <c r="U4643" t="s">
        <v>48985</v>
      </c>
      <c r="W4643" t="s">
        <v>39923</v>
      </c>
      <c r="X4643" t="s">
        <v>43172</v>
      </c>
    </row>
    <row r="4644" spans="1:24">
      <c r="A4644">
        <f>HYPERLINK("https://www.philgeps.gov.ph/GEPSNONPILOT/Tender/SplashBidNoticeAbstractUI.aspx?menuIndex=3&amp;refID=7084419&amp;Result=3","7084419")</f>
        <v>0</v>
      </c>
      <c r="B4644" t="s">
        <v>1435</v>
      </c>
      <c r="C4644" t="s">
        <v>7850</v>
      </c>
      <c r="D4644" t="s">
        <v>17415</v>
      </c>
      <c r="E4644" t="s">
        <v>21535</v>
      </c>
      <c r="F4644" t="s">
        <v>30052</v>
      </c>
      <c r="G4644" t="s">
        <v>30059</v>
      </c>
      <c r="H4644" t="s">
        <v>30067</v>
      </c>
      <c r="I4644" t="s">
        <v>3693</v>
      </c>
      <c r="J4644" t="s">
        <v>33166</v>
      </c>
      <c r="K4644" t="s">
        <v>39023</v>
      </c>
      <c r="M4644" t="s">
        <v>40813</v>
      </c>
      <c r="N4644" t="s">
        <v>43166</v>
      </c>
      <c r="O4644" t="s">
        <v>43167</v>
      </c>
      <c r="P4644">
        <v>0</v>
      </c>
      <c r="Q4644">
        <v>1</v>
      </c>
      <c r="R4644" t="s">
        <v>43171</v>
      </c>
      <c r="S4644" t="s">
        <v>43311</v>
      </c>
      <c r="T4644" t="s">
        <v>44844</v>
      </c>
      <c r="U4644" t="s">
        <v>48972</v>
      </c>
      <c r="W4644" t="s">
        <v>40813</v>
      </c>
      <c r="X4644" t="s">
        <v>43172</v>
      </c>
    </row>
    <row r="4645" spans="1:24">
      <c r="A4645">
        <f>HYPERLINK("https://www.philgeps.gov.ph/GEPSNONPILOT/Tender/SplashBidNoticeAbstractUI.aspx?menuIndex=3&amp;refID=7084417&amp;Result=3","7084417")</f>
        <v>0</v>
      </c>
      <c r="B4645" t="s">
        <v>1624</v>
      </c>
      <c r="C4645" t="s">
        <v>7851</v>
      </c>
      <c r="D4645" t="s">
        <v>17448</v>
      </c>
      <c r="E4645" t="s">
        <v>21536</v>
      </c>
      <c r="F4645" t="s">
        <v>30052</v>
      </c>
      <c r="G4645" t="s">
        <v>30058</v>
      </c>
      <c r="H4645" t="s">
        <v>30068</v>
      </c>
      <c r="I4645" t="s">
        <v>30068</v>
      </c>
      <c r="J4645" t="s">
        <v>33167</v>
      </c>
      <c r="K4645" t="s">
        <v>39119</v>
      </c>
      <c r="L4645" t="s">
        <v>1624</v>
      </c>
      <c r="M4645" t="s">
        <v>41024</v>
      </c>
      <c r="N4645" t="s">
        <v>43166</v>
      </c>
      <c r="O4645" t="s">
        <v>43167</v>
      </c>
      <c r="P4645">
        <v>0</v>
      </c>
      <c r="Q4645">
        <v>5</v>
      </c>
      <c r="R4645" t="s">
        <v>43171</v>
      </c>
      <c r="S4645" t="s">
        <v>43311</v>
      </c>
      <c r="T4645" t="s">
        <v>44901</v>
      </c>
      <c r="U4645" t="s">
        <v>48986</v>
      </c>
      <c r="W4645" t="s">
        <v>41024</v>
      </c>
      <c r="X4645" t="s">
        <v>43172</v>
      </c>
    </row>
    <row r="4646" spans="1:24">
      <c r="A4646">
        <f>HYPERLINK("https://www.philgeps.gov.ph/GEPSNONPILOT/Tender/SplashBidNoticeAbstractUI.aspx?menuIndex=3&amp;refID=7084296&amp;Result=3","7084296")</f>
        <v>0</v>
      </c>
      <c r="B4646" t="s">
        <v>1608</v>
      </c>
      <c r="C4646" t="s">
        <v>7852</v>
      </c>
      <c r="D4646" t="s">
        <v>17415</v>
      </c>
      <c r="E4646" t="s">
        <v>21537</v>
      </c>
      <c r="F4646" t="s">
        <v>30052</v>
      </c>
      <c r="G4646" t="s">
        <v>30058</v>
      </c>
      <c r="H4646" t="s">
        <v>15498</v>
      </c>
      <c r="I4646" t="s">
        <v>3852</v>
      </c>
      <c r="J4646" t="s">
        <v>32121</v>
      </c>
      <c r="K4646" t="s">
        <v>39019</v>
      </c>
      <c r="M4646" t="s">
        <v>41007</v>
      </c>
      <c r="N4646" t="s">
        <v>43166</v>
      </c>
      <c r="O4646" t="s">
        <v>43167</v>
      </c>
      <c r="P4646">
        <v>0</v>
      </c>
      <c r="Q4646">
        <v>0</v>
      </c>
      <c r="R4646" t="s">
        <v>43171</v>
      </c>
      <c r="S4646" t="s">
        <v>43311</v>
      </c>
      <c r="T4646" t="s">
        <v>44705</v>
      </c>
      <c r="U4646" t="s">
        <v>48908</v>
      </c>
      <c r="W4646" t="s">
        <v>41007</v>
      </c>
      <c r="X4646" t="s">
        <v>43172</v>
      </c>
    </row>
    <row r="4647" spans="1:24">
      <c r="A4647">
        <f>HYPERLINK("https://www.philgeps.gov.ph/GEPSNONPILOT/Tender/SplashBidNoticeAbstractUI.aspx?menuIndex=3&amp;refID=7084441&amp;Result=3","7084441")</f>
        <v>0</v>
      </c>
      <c r="B4647" t="s">
        <v>1616</v>
      </c>
      <c r="C4647" t="s">
        <v>7853</v>
      </c>
      <c r="D4647" t="s">
        <v>17433</v>
      </c>
      <c r="E4647" t="s">
        <v>21538</v>
      </c>
      <c r="F4647" t="s">
        <v>30052</v>
      </c>
      <c r="G4647" t="s">
        <v>30058</v>
      </c>
      <c r="H4647" t="s">
        <v>30067</v>
      </c>
      <c r="I4647" t="s">
        <v>3693</v>
      </c>
      <c r="J4647" t="s">
        <v>30235</v>
      </c>
      <c r="K4647" t="s">
        <v>39031</v>
      </c>
      <c r="M4647" t="s">
        <v>41016</v>
      </c>
      <c r="N4647" t="s">
        <v>43166</v>
      </c>
      <c r="O4647" t="s">
        <v>43167</v>
      </c>
      <c r="P4647">
        <v>0</v>
      </c>
      <c r="Q4647">
        <v>0</v>
      </c>
      <c r="R4647" t="s">
        <v>43171</v>
      </c>
      <c r="S4647" t="s">
        <v>43311</v>
      </c>
      <c r="T4647" t="s">
        <v>44905</v>
      </c>
      <c r="U4647" t="s">
        <v>48982</v>
      </c>
      <c r="V4647" t="s">
        <v>57327</v>
      </c>
      <c r="W4647" t="s">
        <v>41016</v>
      </c>
      <c r="X4647" t="s">
        <v>43172</v>
      </c>
    </row>
    <row r="4648" spans="1:24">
      <c r="A4648">
        <f>HYPERLINK("https://www.philgeps.gov.ph/GEPSNONPILOT/Tender/SplashBidNoticeAbstractUI.aspx?menuIndex=3&amp;refID=7084192&amp;Result=3","7084192")</f>
        <v>0</v>
      </c>
      <c r="B4648" t="s">
        <v>1636</v>
      </c>
      <c r="C4648" t="s">
        <v>7854</v>
      </c>
      <c r="D4648" t="s">
        <v>17466</v>
      </c>
      <c r="E4648" t="s">
        <v>21539</v>
      </c>
      <c r="F4648" t="s">
        <v>30052</v>
      </c>
      <c r="G4648" t="s">
        <v>30058</v>
      </c>
      <c r="H4648" t="s">
        <v>15498</v>
      </c>
      <c r="I4648" t="s">
        <v>30074</v>
      </c>
      <c r="J4648" t="s">
        <v>30397</v>
      </c>
      <c r="K4648" t="s">
        <v>39029</v>
      </c>
      <c r="M4648" t="s">
        <v>41038</v>
      </c>
      <c r="N4648" t="s">
        <v>43166</v>
      </c>
      <c r="O4648" t="s">
        <v>43167</v>
      </c>
      <c r="P4648">
        <v>0</v>
      </c>
      <c r="Q4648">
        <v>3</v>
      </c>
      <c r="R4648" t="s">
        <v>43171</v>
      </c>
      <c r="S4648" t="s">
        <v>43311</v>
      </c>
      <c r="T4648" t="s">
        <v>44997</v>
      </c>
      <c r="U4648" t="s">
        <v>48987</v>
      </c>
      <c r="W4648" t="s">
        <v>41038</v>
      </c>
      <c r="X4648" t="s">
        <v>43172</v>
      </c>
    </row>
    <row r="4649" spans="1:24">
      <c r="A4649">
        <f>HYPERLINK("https://www.philgeps.gov.ph/GEPSNONPILOT/Tender/SplashBidNoticeAbstractUI.aspx?menuIndex=3&amp;refID=7084445&amp;Result=3","7084445")</f>
        <v>0</v>
      </c>
      <c r="B4649" t="s">
        <v>1637</v>
      </c>
      <c r="C4649" t="s">
        <v>7855</v>
      </c>
      <c r="D4649" t="s">
        <v>17447</v>
      </c>
      <c r="E4649" t="s">
        <v>21540</v>
      </c>
      <c r="F4649" t="s">
        <v>30052</v>
      </c>
      <c r="G4649" t="s">
        <v>30059</v>
      </c>
      <c r="H4649" t="s">
        <v>15498</v>
      </c>
      <c r="I4649" t="s">
        <v>30084</v>
      </c>
      <c r="J4649" t="s">
        <v>33168</v>
      </c>
      <c r="K4649" t="s">
        <v>39046</v>
      </c>
      <c r="M4649" t="s">
        <v>41039</v>
      </c>
      <c r="N4649" t="s">
        <v>43166</v>
      </c>
      <c r="O4649" t="s">
        <v>43167</v>
      </c>
      <c r="P4649">
        <v>0</v>
      </c>
      <c r="Q4649">
        <v>5</v>
      </c>
      <c r="R4649" t="s">
        <v>43171</v>
      </c>
      <c r="S4649" t="s">
        <v>43311</v>
      </c>
      <c r="T4649" t="s">
        <v>44837</v>
      </c>
      <c r="U4649" t="s">
        <v>48988</v>
      </c>
      <c r="W4649" t="s">
        <v>41039</v>
      </c>
      <c r="X4649" t="s">
        <v>43172</v>
      </c>
    </row>
    <row r="4650" spans="1:24">
      <c r="A4650">
        <f>HYPERLINK("https://www.philgeps.gov.ph/GEPSNONPILOT/Tender/SplashBidNoticeAbstractUI.aspx?menuIndex=3&amp;refID=7084484&amp;Result=3","7084484")</f>
        <v>0</v>
      </c>
      <c r="B4650" t="s">
        <v>1638</v>
      </c>
      <c r="C4650" t="s">
        <v>7856</v>
      </c>
      <c r="D4650" t="s">
        <v>17463</v>
      </c>
      <c r="E4650" t="s">
        <v>21541</v>
      </c>
      <c r="F4650" t="s">
        <v>30052</v>
      </c>
      <c r="G4650" t="s">
        <v>30059</v>
      </c>
      <c r="H4650" t="s">
        <v>15498</v>
      </c>
      <c r="I4650" t="s">
        <v>30094</v>
      </c>
      <c r="J4650" t="s">
        <v>33169</v>
      </c>
      <c r="K4650" t="s">
        <v>39017</v>
      </c>
      <c r="M4650" t="s">
        <v>41040</v>
      </c>
      <c r="N4650" t="s">
        <v>43166</v>
      </c>
      <c r="O4650" t="s">
        <v>43167</v>
      </c>
      <c r="P4650">
        <v>0</v>
      </c>
      <c r="Q4650">
        <v>0</v>
      </c>
      <c r="R4650" t="s">
        <v>43171</v>
      </c>
      <c r="S4650" t="s">
        <v>43311</v>
      </c>
      <c r="T4650" t="s">
        <v>44698</v>
      </c>
      <c r="U4650" t="s">
        <v>48989</v>
      </c>
      <c r="W4650" t="s">
        <v>58647</v>
      </c>
      <c r="X4650" t="s">
        <v>43172</v>
      </c>
    </row>
    <row r="4651" spans="1:24">
      <c r="A4651">
        <f>HYPERLINK("https://www.philgeps.gov.ph/GEPSNONPILOT/Tender/SplashBidNoticeAbstractUI.aspx?menuIndex=3&amp;refID=7084405&amp;Result=3","7084405")</f>
        <v>0</v>
      </c>
      <c r="B4651" t="s">
        <v>304</v>
      </c>
      <c r="C4651" t="s">
        <v>7857</v>
      </c>
      <c r="D4651" t="s">
        <v>17438</v>
      </c>
      <c r="E4651" t="s">
        <v>19907</v>
      </c>
      <c r="F4651" t="s">
        <v>30052</v>
      </c>
      <c r="G4651" t="s">
        <v>30058</v>
      </c>
      <c r="H4651" t="s">
        <v>15498</v>
      </c>
      <c r="I4651" t="s">
        <v>4598</v>
      </c>
      <c r="J4651" t="s">
        <v>33170</v>
      </c>
      <c r="K4651" t="s">
        <v>39029</v>
      </c>
      <c r="M4651" t="s">
        <v>39599</v>
      </c>
      <c r="N4651" t="s">
        <v>43166</v>
      </c>
      <c r="O4651" t="s">
        <v>43167</v>
      </c>
      <c r="P4651">
        <v>0</v>
      </c>
      <c r="Q4651">
        <v>1</v>
      </c>
      <c r="R4651" t="s">
        <v>43171</v>
      </c>
      <c r="S4651" t="s">
        <v>43311</v>
      </c>
      <c r="T4651" t="s">
        <v>44722</v>
      </c>
      <c r="U4651" t="s">
        <v>48990</v>
      </c>
      <c r="V4651" t="s">
        <v>57337</v>
      </c>
      <c r="W4651" t="s">
        <v>39599</v>
      </c>
      <c r="X4651" t="s">
        <v>43172</v>
      </c>
    </row>
    <row r="4652" spans="1:24">
      <c r="A4652">
        <f>HYPERLINK("https://www.philgeps.gov.ph/GEPSNONPILOT/Tender/SplashBidNoticeAbstractUI.aspx?menuIndex=3&amp;refID=7084436&amp;Result=3","7084436")</f>
        <v>0</v>
      </c>
      <c r="B4652" t="s">
        <v>1435</v>
      </c>
      <c r="C4652" t="s">
        <v>7858</v>
      </c>
      <c r="D4652" t="s">
        <v>17415</v>
      </c>
      <c r="E4652" t="s">
        <v>21542</v>
      </c>
      <c r="F4652" t="s">
        <v>30052</v>
      </c>
      <c r="G4652" t="s">
        <v>30059</v>
      </c>
      <c r="H4652" t="s">
        <v>30067</v>
      </c>
      <c r="I4652" t="s">
        <v>3693</v>
      </c>
      <c r="J4652" t="s">
        <v>33171</v>
      </c>
      <c r="K4652" t="s">
        <v>39023</v>
      </c>
      <c r="M4652" t="s">
        <v>40813</v>
      </c>
      <c r="N4652" t="s">
        <v>43166</v>
      </c>
      <c r="O4652" t="s">
        <v>43167</v>
      </c>
      <c r="P4652">
        <v>0</v>
      </c>
      <c r="Q4652">
        <v>0</v>
      </c>
      <c r="R4652" t="s">
        <v>43171</v>
      </c>
      <c r="S4652" t="s">
        <v>43311</v>
      </c>
      <c r="T4652" t="s">
        <v>44735</v>
      </c>
      <c r="U4652" t="s">
        <v>48972</v>
      </c>
      <c r="W4652" t="s">
        <v>40813</v>
      </c>
      <c r="X4652" t="s">
        <v>43172</v>
      </c>
    </row>
    <row r="4653" spans="1:24">
      <c r="A4653">
        <f>HYPERLINK("https://www.philgeps.gov.ph/GEPSNONPILOT/Tender/SplashBidNoticeAbstractUI.aspx?menuIndex=3&amp;refID=7084295&amp;Result=3","7084295")</f>
        <v>0</v>
      </c>
      <c r="B4653" t="s">
        <v>1602</v>
      </c>
      <c r="C4653" t="s">
        <v>7859</v>
      </c>
      <c r="D4653" t="s">
        <v>17445</v>
      </c>
      <c r="E4653" t="s">
        <v>20112</v>
      </c>
      <c r="F4653" t="s">
        <v>30052</v>
      </c>
      <c r="G4653" t="s">
        <v>30058</v>
      </c>
      <c r="H4653" t="s">
        <v>15498</v>
      </c>
      <c r="I4653" t="s">
        <v>30074</v>
      </c>
      <c r="J4653" t="s">
        <v>30218</v>
      </c>
      <c r="K4653" t="s">
        <v>39025</v>
      </c>
      <c r="M4653" t="s">
        <v>41000</v>
      </c>
      <c r="N4653" t="s">
        <v>43166</v>
      </c>
      <c r="O4653" t="s">
        <v>43167</v>
      </c>
      <c r="P4653">
        <v>0</v>
      </c>
      <c r="Q4653">
        <v>0</v>
      </c>
      <c r="R4653" t="s">
        <v>43171</v>
      </c>
      <c r="S4653" t="s">
        <v>43311</v>
      </c>
      <c r="T4653" t="s">
        <v>44729</v>
      </c>
      <c r="U4653" t="s">
        <v>48991</v>
      </c>
      <c r="W4653" t="s">
        <v>41000</v>
      </c>
      <c r="X4653" t="s">
        <v>43172</v>
      </c>
    </row>
    <row r="4654" spans="1:24">
      <c r="A4654">
        <f>HYPERLINK("https://www.philgeps.gov.ph/GEPSNONPILOT/Tender/SplashBidNoticeAbstractUI.aspx?menuIndex=3&amp;refID=7084478&amp;Result=3","7084478")</f>
        <v>0</v>
      </c>
      <c r="B4654" t="s">
        <v>521</v>
      </c>
      <c r="C4654" t="s">
        <v>7860</v>
      </c>
      <c r="D4654" t="s">
        <v>17415</v>
      </c>
      <c r="E4654" t="s">
        <v>21543</v>
      </c>
      <c r="F4654" t="s">
        <v>30052</v>
      </c>
      <c r="G4654" t="s">
        <v>30061</v>
      </c>
      <c r="H4654" t="s">
        <v>15498</v>
      </c>
      <c r="I4654" t="s">
        <v>9238</v>
      </c>
      <c r="J4654" t="s">
        <v>33172</v>
      </c>
      <c r="K4654" t="s">
        <v>39019</v>
      </c>
      <c r="M4654" t="s">
        <v>39823</v>
      </c>
      <c r="N4654" t="s">
        <v>43166</v>
      </c>
      <c r="O4654" t="s">
        <v>43167</v>
      </c>
      <c r="P4654">
        <v>0</v>
      </c>
      <c r="Q4654">
        <v>2</v>
      </c>
      <c r="R4654" t="s">
        <v>43171</v>
      </c>
      <c r="S4654" t="s">
        <v>43311</v>
      </c>
      <c r="T4654" t="s">
        <v>44998</v>
      </c>
      <c r="U4654" t="s">
        <v>48992</v>
      </c>
      <c r="V4654" t="s">
        <v>56959</v>
      </c>
      <c r="W4654" t="s">
        <v>58603</v>
      </c>
      <c r="X4654" t="s">
        <v>43172</v>
      </c>
    </row>
    <row r="4655" spans="1:24">
      <c r="A4655">
        <f>HYPERLINK("https://www.philgeps.gov.ph/GEPSNONPILOT/Tender/SplashBidNoticeAbstractUI.aspx?menuIndex=3&amp;refID=7084457&amp;Result=3","7084457")</f>
        <v>0</v>
      </c>
      <c r="B4655" t="s">
        <v>1625</v>
      </c>
      <c r="C4655" t="s">
        <v>7861</v>
      </c>
      <c r="D4655" t="s">
        <v>17427</v>
      </c>
      <c r="E4655" t="s">
        <v>21544</v>
      </c>
      <c r="F4655" t="s">
        <v>30052</v>
      </c>
      <c r="G4655" t="s">
        <v>30058</v>
      </c>
      <c r="H4655" t="s">
        <v>15498</v>
      </c>
      <c r="I4655" t="s">
        <v>3736</v>
      </c>
      <c r="J4655" t="s">
        <v>33173</v>
      </c>
      <c r="K4655" t="s">
        <v>39029</v>
      </c>
      <c r="M4655" t="s">
        <v>41025</v>
      </c>
      <c r="N4655" t="s">
        <v>43166</v>
      </c>
      <c r="O4655" t="s">
        <v>43167</v>
      </c>
      <c r="P4655">
        <v>0</v>
      </c>
      <c r="Q4655">
        <v>0</v>
      </c>
      <c r="R4655" t="s">
        <v>43171</v>
      </c>
      <c r="S4655" t="s">
        <v>43311</v>
      </c>
      <c r="T4655" t="s">
        <v>44732</v>
      </c>
      <c r="U4655" t="s">
        <v>48993</v>
      </c>
      <c r="W4655" t="s">
        <v>41025</v>
      </c>
      <c r="X4655" t="s">
        <v>43172</v>
      </c>
    </row>
    <row r="4656" spans="1:24">
      <c r="A4656">
        <f>HYPERLINK("https://www.philgeps.gov.ph/GEPSNONPILOT/Tender/SplashBidNoticeAbstractUI.aspx?menuIndex=3&amp;refID=7084477&amp;Result=3","7084477")</f>
        <v>0</v>
      </c>
      <c r="B4656" t="s">
        <v>1638</v>
      </c>
      <c r="C4656" t="s">
        <v>5044</v>
      </c>
      <c r="D4656" t="s">
        <v>17463</v>
      </c>
      <c r="E4656" t="s">
        <v>21545</v>
      </c>
      <c r="F4656" t="s">
        <v>30052</v>
      </c>
      <c r="G4656" t="s">
        <v>30059</v>
      </c>
      <c r="H4656" t="s">
        <v>15498</v>
      </c>
      <c r="I4656" t="s">
        <v>30070</v>
      </c>
      <c r="J4656" t="s">
        <v>30895</v>
      </c>
      <c r="K4656" t="s">
        <v>39017</v>
      </c>
      <c r="M4656" t="s">
        <v>41041</v>
      </c>
      <c r="N4656" t="s">
        <v>43166</v>
      </c>
      <c r="O4656" t="s">
        <v>43167</v>
      </c>
      <c r="P4656">
        <v>0</v>
      </c>
      <c r="Q4656">
        <v>0</v>
      </c>
      <c r="R4656" t="s">
        <v>43171</v>
      </c>
      <c r="S4656" t="s">
        <v>43311</v>
      </c>
      <c r="T4656" t="s">
        <v>44698</v>
      </c>
      <c r="U4656" t="s">
        <v>48994</v>
      </c>
      <c r="W4656" t="s">
        <v>58647</v>
      </c>
      <c r="X4656" t="s">
        <v>43172</v>
      </c>
    </row>
    <row r="4657" spans="1:24">
      <c r="A4657">
        <f>HYPERLINK("https://www.philgeps.gov.ph/GEPSNONPILOT/Tender/SplashBidNoticeAbstractUI.aspx?menuIndex=3&amp;refID=7084476&amp;Result=3","7084476")</f>
        <v>0</v>
      </c>
      <c r="B4657" t="s">
        <v>1435</v>
      </c>
      <c r="C4657" t="s">
        <v>7862</v>
      </c>
      <c r="D4657" t="s">
        <v>17415</v>
      </c>
      <c r="E4657" t="s">
        <v>21546</v>
      </c>
      <c r="F4657" t="s">
        <v>30052</v>
      </c>
      <c r="G4657" t="s">
        <v>30059</v>
      </c>
      <c r="H4657" t="s">
        <v>30067</v>
      </c>
      <c r="I4657" t="s">
        <v>3693</v>
      </c>
      <c r="J4657" t="s">
        <v>33174</v>
      </c>
      <c r="K4657" t="s">
        <v>39023</v>
      </c>
      <c r="M4657" t="s">
        <v>40813</v>
      </c>
      <c r="N4657" t="s">
        <v>43166</v>
      </c>
      <c r="O4657" t="s">
        <v>43167</v>
      </c>
      <c r="P4657">
        <v>0</v>
      </c>
      <c r="Q4657">
        <v>0</v>
      </c>
      <c r="R4657" t="s">
        <v>43171</v>
      </c>
      <c r="S4657" t="s">
        <v>43311</v>
      </c>
      <c r="T4657" t="s">
        <v>44844</v>
      </c>
      <c r="U4657" t="s">
        <v>48972</v>
      </c>
      <c r="W4657" t="s">
        <v>40813</v>
      </c>
      <c r="X4657" t="s">
        <v>43172</v>
      </c>
    </row>
    <row r="4658" spans="1:24">
      <c r="A4658">
        <f>HYPERLINK("https://www.philgeps.gov.ph/GEPSNONPILOT/Tender/SplashBidNoticeAbstractUI.aspx?menuIndex=3&amp;refID=7084475&amp;Result=3","7084475")</f>
        <v>0</v>
      </c>
      <c r="B4658" t="s">
        <v>1639</v>
      </c>
      <c r="C4658" t="s">
        <v>7863</v>
      </c>
      <c r="D4658" t="s">
        <v>17482</v>
      </c>
      <c r="E4658" t="s">
        <v>21547</v>
      </c>
      <c r="F4658" t="s">
        <v>30052</v>
      </c>
      <c r="G4658" t="s">
        <v>30059</v>
      </c>
      <c r="H4658" t="s">
        <v>15498</v>
      </c>
      <c r="I4658" t="s">
        <v>30076</v>
      </c>
      <c r="J4658" t="s">
        <v>33175</v>
      </c>
      <c r="K4658" t="s">
        <v>39025</v>
      </c>
      <c r="M4658" t="s">
        <v>41042</v>
      </c>
      <c r="N4658" t="s">
        <v>43166</v>
      </c>
      <c r="O4658" t="s">
        <v>43167</v>
      </c>
      <c r="P4658">
        <v>0</v>
      </c>
      <c r="Q4658">
        <v>5</v>
      </c>
      <c r="R4658" t="s">
        <v>43171</v>
      </c>
      <c r="S4658" t="s">
        <v>43311</v>
      </c>
      <c r="T4658" t="s">
        <v>44717</v>
      </c>
      <c r="U4658" t="s">
        <v>48995</v>
      </c>
      <c r="W4658" t="s">
        <v>58648</v>
      </c>
      <c r="X4658" t="s">
        <v>43172</v>
      </c>
    </row>
    <row r="4659" spans="1:24">
      <c r="A4659">
        <f>HYPERLINK("https://www.philgeps.gov.ph/GEPSNONPILOT/Tender/SplashBidNoticeAbstractUI.aspx?menuIndex=3&amp;refID=7084472&amp;Result=3","7084472")</f>
        <v>0</v>
      </c>
      <c r="B4659" t="s">
        <v>1634</v>
      </c>
      <c r="C4659" t="s">
        <v>7837</v>
      </c>
      <c r="D4659" t="s">
        <v>17447</v>
      </c>
      <c r="E4659" t="s">
        <v>21548</v>
      </c>
      <c r="F4659" t="s">
        <v>30052</v>
      </c>
      <c r="G4659" t="s">
        <v>30058</v>
      </c>
      <c r="H4659" t="s">
        <v>30067</v>
      </c>
      <c r="I4659" t="s">
        <v>3693</v>
      </c>
      <c r="J4659" t="s">
        <v>33176</v>
      </c>
      <c r="K4659" t="s">
        <v>39022</v>
      </c>
      <c r="M4659" t="s">
        <v>41035</v>
      </c>
      <c r="N4659" t="s">
        <v>43166</v>
      </c>
      <c r="O4659" t="s">
        <v>43167</v>
      </c>
      <c r="P4659">
        <v>0</v>
      </c>
      <c r="Q4659">
        <v>0</v>
      </c>
      <c r="R4659" t="s">
        <v>43171</v>
      </c>
      <c r="S4659" t="s">
        <v>43311</v>
      </c>
      <c r="T4659" t="s">
        <v>44983</v>
      </c>
      <c r="U4659" t="s">
        <v>48975</v>
      </c>
      <c r="W4659" t="s">
        <v>41035</v>
      </c>
      <c r="X4659" t="s">
        <v>43172</v>
      </c>
    </row>
    <row r="4660" spans="1:24">
      <c r="A4660">
        <f>HYPERLINK("https://www.philgeps.gov.ph/GEPSNONPILOT/Tender/SplashBidNoticeAbstractUI.aspx?menuIndex=3&amp;refID=7084471&amp;Result=3","7084471")</f>
        <v>0</v>
      </c>
      <c r="B4660" t="s">
        <v>399</v>
      </c>
      <c r="C4660" t="s">
        <v>7864</v>
      </c>
      <c r="D4660" t="s">
        <v>17453</v>
      </c>
      <c r="E4660" t="s">
        <v>21549</v>
      </c>
      <c r="F4660" t="s">
        <v>30052</v>
      </c>
      <c r="G4660" t="s">
        <v>30059</v>
      </c>
      <c r="H4660" t="s">
        <v>15498</v>
      </c>
      <c r="I4660" t="s">
        <v>8323</v>
      </c>
      <c r="J4660" t="s">
        <v>30292</v>
      </c>
      <c r="K4660" t="s">
        <v>39029</v>
      </c>
      <c r="M4660" t="s">
        <v>39698</v>
      </c>
      <c r="N4660" t="s">
        <v>43166</v>
      </c>
      <c r="O4660" t="s">
        <v>43167</v>
      </c>
      <c r="P4660">
        <v>0</v>
      </c>
      <c r="Q4660">
        <v>9</v>
      </c>
      <c r="R4660" t="s">
        <v>43171</v>
      </c>
      <c r="S4660" t="s">
        <v>43311</v>
      </c>
      <c r="T4660" t="s">
        <v>44844</v>
      </c>
      <c r="U4660" t="s">
        <v>45954</v>
      </c>
      <c r="V4660" t="s">
        <v>57338</v>
      </c>
      <c r="W4660" t="s">
        <v>39698</v>
      </c>
      <c r="X4660" t="s">
        <v>43172</v>
      </c>
    </row>
    <row r="4661" spans="1:24">
      <c r="A4661">
        <f>HYPERLINK("https://www.philgeps.gov.ph/GEPSNONPILOT/Tender/SplashBidNoticeAbstractUI.aspx?menuIndex=3&amp;refID=7084469&amp;Result=3","7084469")</f>
        <v>0</v>
      </c>
      <c r="B4661" t="s">
        <v>1639</v>
      </c>
      <c r="C4661" t="s">
        <v>7865</v>
      </c>
      <c r="D4661" t="s">
        <v>17482</v>
      </c>
      <c r="E4661" t="s">
        <v>21550</v>
      </c>
      <c r="F4661" t="s">
        <v>30052</v>
      </c>
      <c r="G4661" t="s">
        <v>30059</v>
      </c>
      <c r="H4661" t="s">
        <v>15498</v>
      </c>
      <c r="I4661" t="s">
        <v>30078</v>
      </c>
      <c r="J4661" t="s">
        <v>30414</v>
      </c>
      <c r="K4661" t="s">
        <v>39025</v>
      </c>
      <c r="M4661" t="s">
        <v>41042</v>
      </c>
      <c r="N4661" t="s">
        <v>43166</v>
      </c>
      <c r="O4661" t="s">
        <v>43167</v>
      </c>
      <c r="P4661">
        <v>0</v>
      </c>
      <c r="Q4661">
        <v>1</v>
      </c>
      <c r="R4661" t="s">
        <v>43171</v>
      </c>
      <c r="S4661" t="s">
        <v>43311</v>
      </c>
      <c r="T4661" t="s">
        <v>44717</v>
      </c>
      <c r="U4661" t="s">
        <v>48995</v>
      </c>
      <c r="W4661" t="s">
        <v>58648</v>
      </c>
      <c r="X4661" t="s">
        <v>43172</v>
      </c>
    </row>
    <row r="4662" spans="1:24">
      <c r="A4662">
        <f>HYPERLINK("https://www.philgeps.gov.ph/GEPSNONPILOT/Tender/SplashBidNoticeAbstractUI.aspx?menuIndex=3&amp;refID=7084468&amp;Result=3","7084468")</f>
        <v>0</v>
      </c>
      <c r="B4662" t="s">
        <v>1435</v>
      </c>
      <c r="C4662" t="s">
        <v>7866</v>
      </c>
      <c r="D4662" t="s">
        <v>17415</v>
      </c>
      <c r="E4662" t="s">
        <v>21551</v>
      </c>
      <c r="F4662" t="s">
        <v>30052</v>
      </c>
      <c r="G4662" t="s">
        <v>30059</v>
      </c>
      <c r="H4662" t="s">
        <v>30067</v>
      </c>
      <c r="I4662" t="s">
        <v>3693</v>
      </c>
      <c r="J4662" t="s">
        <v>33177</v>
      </c>
      <c r="K4662" t="s">
        <v>39019</v>
      </c>
      <c r="M4662" t="s">
        <v>40813</v>
      </c>
      <c r="N4662" t="s">
        <v>43166</v>
      </c>
      <c r="O4662" t="s">
        <v>43167</v>
      </c>
      <c r="P4662">
        <v>0</v>
      </c>
      <c r="Q4662">
        <v>0</v>
      </c>
      <c r="R4662" t="s">
        <v>43171</v>
      </c>
      <c r="S4662" t="s">
        <v>43311</v>
      </c>
      <c r="T4662" t="s">
        <v>44844</v>
      </c>
      <c r="U4662" t="s">
        <v>48972</v>
      </c>
      <c r="W4662" t="s">
        <v>40813</v>
      </c>
      <c r="X4662" t="s">
        <v>43172</v>
      </c>
    </row>
    <row r="4663" spans="1:24">
      <c r="A4663">
        <f>HYPERLINK("https://www.philgeps.gov.ph/GEPSNONPILOT/Tender/SplashBidNoticeAbstractUI.aspx?menuIndex=3&amp;refID=7084480&amp;Result=3","7084480")</f>
        <v>0</v>
      </c>
      <c r="B4663" t="s">
        <v>1144</v>
      </c>
      <c r="C4663" t="s">
        <v>7867</v>
      </c>
      <c r="D4663" t="s">
        <v>17444</v>
      </c>
      <c r="E4663" t="s">
        <v>21552</v>
      </c>
      <c r="F4663" t="s">
        <v>30052</v>
      </c>
      <c r="G4663" t="s">
        <v>30058</v>
      </c>
      <c r="H4663" t="s">
        <v>15498</v>
      </c>
      <c r="I4663" t="s">
        <v>30084</v>
      </c>
      <c r="J4663" t="s">
        <v>33178</v>
      </c>
      <c r="K4663" t="s">
        <v>39046</v>
      </c>
      <c r="M4663" t="s">
        <v>40487</v>
      </c>
      <c r="N4663" t="s">
        <v>43166</v>
      </c>
      <c r="O4663" t="s">
        <v>43167</v>
      </c>
      <c r="P4663">
        <v>0</v>
      </c>
      <c r="Q4663">
        <v>1</v>
      </c>
      <c r="R4663" t="s">
        <v>43171</v>
      </c>
      <c r="S4663" t="s">
        <v>43311</v>
      </c>
      <c r="T4663" t="s">
        <v>44776</v>
      </c>
      <c r="U4663" t="s">
        <v>48996</v>
      </c>
      <c r="W4663" t="s">
        <v>40487</v>
      </c>
      <c r="X4663" t="s">
        <v>43172</v>
      </c>
    </row>
    <row r="4664" spans="1:24">
      <c r="A4664">
        <f>HYPERLINK("https://www.philgeps.gov.ph/GEPSNONPILOT/Tender/SplashBidNoticeAbstractUI.aspx?menuIndex=3&amp;refID=7084467&amp;Result=3","7084467")</f>
        <v>0</v>
      </c>
      <c r="B4664" t="s">
        <v>1634</v>
      </c>
      <c r="C4664" t="s">
        <v>7837</v>
      </c>
      <c r="D4664" t="s">
        <v>17447</v>
      </c>
      <c r="E4664" t="s">
        <v>19688</v>
      </c>
      <c r="F4664" t="s">
        <v>30052</v>
      </c>
      <c r="G4664" t="s">
        <v>30058</v>
      </c>
      <c r="H4664" t="s">
        <v>30067</v>
      </c>
      <c r="I4664" t="s">
        <v>3693</v>
      </c>
      <c r="J4664" t="s">
        <v>33179</v>
      </c>
      <c r="K4664" t="s">
        <v>39022</v>
      </c>
      <c r="M4664" t="s">
        <v>41035</v>
      </c>
      <c r="N4664" t="s">
        <v>43166</v>
      </c>
      <c r="O4664" t="s">
        <v>43167</v>
      </c>
      <c r="P4664">
        <v>0</v>
      </c>
      <c r="Q4664">
        <v>0</v>
      </c>
      <c r="R4664" t="s">
        <v>43171</v>
      </c>
      <c r="S4664" t="s">
        <v>43311</v>
      </c>
      <c r="T4664" t="s">
        <v>44983</v>
      </c>
      <c r="U4664" t="s">
        <v>48975</v>
      </c>
      <c r="W4664" t="s">
        <v>41035</v>
      </c>
      <c r="X4664" t="s">
        <v>43172</v>
      </c>
    </row>
    <row r="4665" spans="1:24">
      <c r="A4665">
        <f>HYPERLINK("https://www.philgeps.gov.ph/GEPSNONPILOT/Tender/SplashBidNoticeAbstractUI.aspx?menuIndex=3&amp;refID=7084483&amp;Result=3","7084483")</f>
        <v>0</v>
      </c>
      <c r="B4665" t="s">
        <v>1640</v>
      </c>
      <c r="C4665" t="s">
        <v>7868</v>
      </c>
      <c r="D4665" t="s">
        <v>17415</v>
      </c>
      <c r="E4665" t="s">
        <v>21553</v>
      </c>
      <c r="F4665" t="s">
        <v>30052</v>
      </c>
      <c r="G4665" t="s">
        <v>30062</v>
      </c>
      <c r="H4665" t="s">
        <v>15498</v>
      </c>
      <c r="I4665" t="s">
        <v>30070</v>
      </c>
      <c r="J4665" t="s">
        <v>30277</v>
      </c>
      <c r="K4665" t="s">
        <v>39019</v>
      </c>
      <c r="M4665" t="s">
        <v>41043</v>
      </c>
      <c r="N4665" t="s">
        <v>43166</v>
      </c>
      <c r="O4665" t="s">
        <v>43167</v>
      </c>
      <c r="P4665">
        <v>0</v>
      </c>
      <c r="Q4665">
        <v>9</v>
      </c>
      <c r="R4665" t="s">
        <v>43171</v>
      </c>
      <c r="S4665" t="s">
        <v>43311</v>
      </c>
      <c r="T4665" t="s">
        <v>44732</v>
      </c>
      <c r="U4665" t="s">
        <v>45268</v>
      </c>
      <c r="W4665" t="s">
        <v>41043</v>
      </c>
      <c r="X4665" t="s">
        <v>43172</v>
      </c>
    </row>
    <row r="4666" spans="1:24">
      <c r="A4666">
        <f>HYPERLINK("https://www.philgeps.gov.ph/GEPSNONPILOT/Tender/SplashBidNoticeAbstractUI.aspx?menuIndex=3&amp;refID=7084297&amp;Result=3","7084297")</f>
        <v>0</v>
      </c>
      <c r="B4666" t="s">
        <v>1619</v>
      </c>
      <c r="C4666" t="s">
        <v>7869</v>
      </c>
      <c r="D4666" t="s">
        <v>17415</v>
      </c>
      <c r="E4666" t="s">
        <v>21554</v>
      </c>
      <c r="F4666" t="s">
        <v>30052</v>
      </c>
      <c r="G4666" t="s">
        <v>30059</v>
      </c>
      <c r="H4666" t="s">
        <v>30067</v>
      </c>
      <c r="I4666" t="s">
        <v>3693</v>
      </c>
      <c r="J4666" t="s">
        <v>33180</v>
      </c>
      <c r="K4666" t="s">
        <v>39037</v>
      </c>
      <c r="M4666" t="s">
        <v>41019</v>
      </c>
      <c r="N4666" t="s">
        <v>43166</v>
      </c>
      <c r="O4666" t="s">
        <v>43167</v>
      </c>
      <c r="P4666">
        <v>0</v>
      </c>
      <c r="Q4666">
        <v>0</v>
      </c>
      <c r="R4666" t="s">
        <v>43171</v>
      </c>
      <c r="S4666" t="s">
        <v>43311</v>
      </c>
      <c r="T4666" t="s">
        <v>44715</v>
      </c>
      <c r="U4666" t="s">
        <v>48997</v>
      </c>
      <c r="V4666" t="s">
        <v>57339</v>
      </c>
      <c r="W4666" t="s">
        <v>41019</v>
      </c>
      <c r="X4666" t="s">
        <v>43172</v>
      </c>
    </row>
    <row r="4667" spans="1:24">
      <c r="A4667">
        <f>HYPERLINK("https://www.philgeps.gov.ph/GEPSNONPILOT/Tender/SplashBidNoticeAbstractUI.aspx?menuIndex=3&amp;refID=7084513&amp;Result=3","7084513")</f>
        <v>0</v>
      </c>
      <c r="B4667" t="s">
        <v>721</v>
      </c>
      <c r="C4667" t="s">
        <v>7870</v>
      </c>
      <c r="D4667" t="s">
        <v>17451</v>
      </c>
      <c r="E4667" t="s">
        <v>21555</v>
      </c>
      <c r="F4667" t="s">
        <v>30052</v>
      </c>
      <c r="G4667" t="s">
        <v>30060</v>
      </c>
      <c r="H4667" t="s">
        <v>15498</v>
      </c>
      <c r="I4667" t="s">
        <v>3606</v>
      </c>
      <c r="J4667" t="s">
        <v>33181</v>
      </c>
      <c r="K4667" t="s">
        <v>39017</v>
      </c>
      <c r="M4667" t="s">
        <v>41044</v>
      </c>
      <c r="N4667" t="s">
        <v>43166</v>
      </c>
      <c r="O4667" t="s">
        <v>43167</v>
      </c>
      <c r="P4667">
        <v>0</v>
      </c>
      <c r="Q4667">
        <v>2</v>
      </c>
      <c r="R4667" t="s">
        <v>43171</v>
      </c>
      <c r="S4667" t="s">
        <v>43311</v>
      </c>
      <c r="T4667" t="s">
        <v>44678</v>
      </c>
      <c r="U4667" t="s">
        <v>48998</v>
      </c>
      <c r="W4667" t="s">
        <v>41044</v>
      </c>
      <c r="X4667" t="s">
        <v>43172</v>
      </c>
    </row>
    <row r="4668" spans="1:24">
      <c r="A4668">
        <f>HYPERLINK("https://www.philgeps.gov.ph/GEPSNONPILOT/Tender/SplashBidNoticeAbstractUI.aspx?menuIndex=3&amp;refID=7084511&amp;Result=3","7084511")</f>
        <v>0</v>
      </c>
      <c r="B4668" t="s">
        <v>1417</v>
      </c>
      <c r="C4668" t="s">
        <v>7871</v>
      </c>
      <c r="D4668" t="s">
        <v>17441</v>
      </c>
      <c r="E4668" t="s">
        <v>21556</v>
      </c>
      <c r="F4668" t="s">
        <v>30052</v>
      </c>
      <c r="G4668" t="s">
        <v>30058</v>
      </c>
      <c r="H4668" t="s">
        <v>15498</v>
      </c>
      <c r="I4668" t="s">
        <v>3852</v>
      </c>
      <c r="J4668" t="s">
        <v>33182</v>
      </c>
      <c r="K4668" t="s">
        <v>39034</v>
      </c>
      <c r="M4668" t="s">
        <v>40795</v>
      </c>
      <c r="N4668" t="s">
        <v>43166</v>
      </c>
      <c r="O4668" t="s">
        <v>43167</v>
      </c>
      <c r="P4668">
        <v>0</v>
      </c>
      <c r="Q4668">
        <v>3</v>
      </c>
      <c r="R4668" t="s">
        <v>43171</v>
      </c>
      <c r="S4668" t="s">
        <v>43311</v>
      </c>
      <c r="T4668" t="s">
        <v>44880</v>
      </c>
      <c r="U4668" t="s">
        <v>48999</v>
      </c>
      <c r="W4668" t="s">
        <v>40795</v>
      </c>
      <c r="X4668" t="s">
        <v>43172</v>
      </c>
    </row>
    <row r="4669" spans="1:24">
      <c r="A4669">
        <f>HYPERLINK("https://www.philgeps.gov.ph/GEPSNONPILOT/Tender/SplashBidNoticeAbstractUI.aspx?menuIndex=3&amp;refID=7084404&amp;Result=3","7084404")</f>
        <v>0</v>
      </c>
      <c r="B4669" t="s">
        <v>1363</v>
      </c>
      <c r="C4669" t="s">
        <v>7872</v>
      </c>
      <c r="D4669" t="s">
        <v>17432</v>
      </c>
      <c r="E4669" t="s">
        <v>21557</v>
      </c>
      <c r="F4669" t="s">
        <v>30052</v>
      </c>
      <c r="G4669" t="s">
        <v>30059</v>
      </c>
      <c r="H4669" t="s">
        <v>15498</v>
      </c>
      <c r="I4669" t="s">
        <v>6304</v>
      </c>
      <c r="J4669" t="s">
        <v>32204</v>
      </c>
      <c r="K4669" t="s">
        <v>39029</v>
      </c>
      <c r="M4669" t="s">
        <v>40733</v>
      </c>
      <c r="N4669" t="s">
        <v>43166</v>
      </c>
      <c r="O4669" t="s">
        <v>43167</v>
      </c>
      <c r="P4669">
        <v>0</v>
      </c>
      <c r="Q4669">
        <v>0</v>
      </c>
      <c r="R4669" t="s">
        <v>43171</v>
      </c>
      <c r="S4669" t="s">
        <v>43311</v>
      </c>
      <c r="T4669" t="s">
        <v>44787</v>
      </c>
      <c r="U4669" t="s">
        <v>49000</v>
      </c>
      <c r="V4669" t="s">
        <v>57259</v>
      </c>
      <c r="W4669" t="s">
        <v>40733</v>
      </c>
      <c r="X4669" t="s">
        <v>43172</v>
      </c>
    </row>
    <row r="4670" spans="1:24">
      <c r="A4670">
        <f>HYPERLINK("https://www.philgeps.gov.ph/GEPSNONPILOT/Tender/SplashBidNoticeAbstractUI.aspx?menuIndex=3&amp;refID=7084508&amp;Result=3","7084508")</f>
        <v>0</v>
      </c>
      <c r="B4670" t="s">
        <v>1178</v>
      </c>
      <c r="C4670" t="s">
        <v>7873</v>
      </c>
      <c r="D4670" t="s">
        <v>17499</v>
      </c>
      <c r="E4670" t="s">
        <v>21558</v>
      </c>
      <c r="F4670" t="s">
        <v>30052</v>
      </c>
      <c r="G4670" t="s">
        <v>30058</v>
      </c>
      <c r="H4670" t="s">
        <v>30067</v>
      </c>
      <c r="I4670" t="s">
        <v>3693</v>
      </c>
      <c r="J4670" t="s">
        <v>33183</v>
      </c>
      <c r="K4670" t="s">
        <v>39016</v>
      </c>
      <c r="M4670" t="s">
        <v>40527</v>
      </c>
      <c r="N4670" t="s">
        <v>43166</v>
      </c>
      <c r="O4670" t="s">
        <v>43167</v>
      </c>
      <c r="P4670">
        <v>0</v>
      </c>
      <c r="Q4670">
        <v>1</v>
      </c>
      <c r="R4670" t="s">
        <v>43171</v>
      </c>
      <c r="S4670" t="s">
        <v>43311</v>
      </c>
      <c r="T4670" t="s">
        <v>44828</v>
      </c>
      <c r="U4670" t="s">
        <v>49001</v>
      </c>
      <c r="W4670" t="s">
        <v>40527</v>
      </c>
      <c r="X4670" t="s">
        <v>43172</v>
      </c>
    </row>
    <row r="4671" spans="1:24">
      <c r="A4671">
        <f>HYPERLINK("https://www.philgeps.gov.ph/GEPSNONPILOT/Tender/SplashBidNoticeAbstractUI.aspx?menuIndex=3&amp;refID=7084516&amp;Result=3","7084516")</f>
        <v>0</v>
      </c>
      <c r="B4671" t="s">
        <v>802</v>
      </c>
      <c r="C4671" t="s">
        <v>7874</v>
      </c>
      <c r="D4671" t="s">
        <v>17415</v>
      </c>
      <c r="E4671" t="s">
        <v>21559</v>
      </c>
      <c r="F4671" t="s">
        <v>30052</v>
      </c>
      <c r="G4671" t="s">
        <v>30059</v>
      </c>
      <c r="H4671" t="s">
        <v>15498</v>
      </c>
      <c r="I4671" t="s">
        <v>9238</v>
      </c>
      <c r="J4671" t="s">
        <v>30248</v>
      </c>
      <c r="K4671" t="s">
        <v>39017</v>
      </c>
      <c r="M4671" t="s">
        <v>40119</v>
      </c>
      <c r="N4671" t="s">
        <v>43166</v>
      </c>
      <c r="O4671" t="s">
        <v>43167</v>
      </c>
      <c r="P4671">
        <v>0</v>
      </c>
      <c r="Q4671">
        <v>4</v>
      </c>
      <c r="R4671" t="s">
        <v>43171</v>
      </c>
      <c r="S4671" t="s">
        <v>43311</v>
      </c>
      <c r="T4671" t="s">
        <v>44691</v>
      </c>
      <c r="U4671" t="s">
        <v>46770</v>
      </c>
      <c r="W4671" t="s">
        <v>40119</v>
      </c>
      <c r="X4671" t="s">
        <v>43172</v>
      </c>
    </row>
    <row r="4672" spans="1:24">
      <c r="A4672">
        <f>HYPERLINK("https://www.philgeps.gov.ph/GEPSNONPILOT/Tender/SplashBidNoticeAbstractUI.aspx?menuIndex=3&amp;refID=7084502&amp;Result=3","7084502")</f>
        <v>0</v>
      </c>
      <c r="B4672" t="s">
        <v>802</v>
      </c>
      <c r="C4672" t="s">
        <v>7875</v>
      </c>
      <c r="D4672" t="s">
        <v>17415</v>
      </c>
      <c r="E4672" t="s">
        <v>21560</v>
      </c>
      <c r="F4672" t="s">
        <v>30052</v>
      </c>
      <c r="G4672" t="s">
        <v>30059</v>
      </c>
      <c r="H4672" t="s">
        <v>15498</v>
      </c>
      <c r="I4672" t="s">
        <v>4119</v>
      </c>
      <c r="J4672" t="s">
        <v>30673</v>
      </c>
      <c r="K4672" t="s">
        <v>39017</v>
      </c>
      <c r="M4672" t="s">
        <v>40119</v>
      </c>
      <c r="N4672" t="s">
        <v>43166</v>
      </c>
      <c r="O4672" t="s">
        <v>43167</v>
      </c>
      <c r="P4672">
        <v>0</v>
      </c>
      <c r="Q4672">
        <v>14</v>
      </c>
      <c r="R4672" t="s">
        <v>43171</v>
      </c>
      <c r="S4672" t="s">
        <v>43311</v>
      </c>
      <c r="T4672" t="s">
        <v>44691</v>
      </c>
      <c r="U4672" t="s">
        <v>46770</v>
      </c>
      <c r="W4672" t="s">
        <v>40119</v>
      </c>
      <c r="X4672" t="s">
        <v>43172</v>
      </c>
    </row>
    <row r="4673" spans="1:24">
      <c r="A4673">
        <f>HYPERLINK("https://www.philgeps.gov.ph/GEPSNONPILOT/Tender/SplashBidNoticeAbstractUI.aspx?menuIndex=3&amp;refID=7084500&amp;Result=3","7084500")</f>
        <v>0</v>
      </c>
      <c r="B4673" t="s">
        <v>1417</v>
      </c>
      <c r="C4673" t="s">
        <v>7876</v>
      </c>
      <c r="D4673" t="s">
        <v>17441</v>
      </c>
      <c r="E4673" t="s">
        <v>21561</v>
      </c>
      <c r="F4673" t="s">
        <v>30052</v>
      </c>
      <c r="G4673" t="s">
        <v>30058</v>
      </c>
      <c r="H4673" t="s">
        <v>15498</v>
      </c>
      <c r="I4673" t="s">
        <v>30074</v>
      </c>
      <c r="J4673" t="s">
        <v>33184</v>
      </c>
      <c r="K4673" t="s">
        <v>39029</v>
      </c>
      <c r="M4673" t="s">
        <v>40795</v>
      </c>
      <c r="N4673" t="s">
        <v>43166</v>
      </c>
      <c r="O4673" t="s">
        <v>43167</v>
      </c>
      <c r="P4673">
        <v>0</v>
      </c>
      <c r="Q4673">
        <v>4</v>
      </c>
      <c r="R4673" t="s">
        <v>43171</v>
      </c>
      <c r="S4673" t="s">
        <v>43311</v>
      </c>
      <c r="T4673" t="s">
        <v>44722</v>
      </c>
      <c r="U4673" t="s">
        <v>49002</v>
      </c>
      <c r="W4673" t="s">
        <v>40795</v>
      </c>
      <c r="X4673" t="s">
        <v>43172</v>
      </c>
    </row>
    <row r="4674" spans="1:24">
      <c r="A4674">
        <f>HYPERLINK("https://www.philgeps.gov.ph/GEPSNONPILOT/Tender/SplashBidNoticeAbstractUI.aspx?menuIndex=3&amp;refID=7084481&amp;Result=3","7084481")</f>
        <v>0</v>
      </c>
      <c r="B4674" t="s">
        <v>1641</v>
      </c>
      <c r="C4674" t="s">
        <v>7877</v>
      </c>
      <c r="D4674" t="s">
        <v>17450</v>
      </c>
      <c r="E4674" t="s">
        <v>21562</v>
      </c>
      <c r="F4674" t="s">
        <v>30052</v>
      </c>
      <c r="G4674" t="s">
        <v>30058</v>
      </c>
      <c r="H4674" t="s">
        <v>15498</v>
      </c>
      <c r="I4674" t="s">
        <v>3736</v>
      </c>
      <c r="J4674" t="s">
        <v>33185</v>
      </c>
      <c r="K4674" t="s">
        <v>39034</v>
      </c>
      <c r="M4674" t="s">
        <v>41045</v>
      </c>
      <c r="N4674" t="s">
        <v>43166</v>
      </c>
      <c r="O4674" t="s">
        <v>43167</v>
      </c>
      <c r="P4674">
        <v>0</v>
      </c>
      <c r="Q4674">
        <v>0</v>
      </c>
      <c r="R4674" t="s">
        <v>43171</v>
      </c>
      <c r="S4674" t="s">
        <v>43311</v>
      </c>
      <c r="T4674" t="s">
        <v>44787</v>
      </c>
      <c r="U4674" t="s">
        <v>49003</v>
      </c>
      <c r="V4674" t="s">
        <v>57340</v>
      </c>
      <c r="W4674" t="s">
        <v>41045</v>
      </c>
      <c r="X4674" t="s">
        <v>43172</v>
      </c>
    </row>
    <row r="4675" spans="1:24">
      <c r="A4675">
        <f>HYPERLINK("https://www.philgeps.gov.ph/GEPSNONPILOT/Tender/SplashBidNoticeAbstractUI.aspx?menuIndex=3&amp;refID=7084512&amp;Result=3","7084512")</f>
        <v>0</v>
      </c>
      <c r="B4675" t="s">
        <v>802</v>
      </c>
      <c r="C4675" t="s">
        <v>7878</v>
      </c>
      <c r="D4675" t="s">
        <v>17415</v>
      </c>
      <c r="E4675" t="s">
        <v>21563</v>
      </c>
      <c r="F4675" t="s">
        <v>30052</v>
      </c>
      <c r="G4675" t="s">
        <v>30059</v>
      </c>
      <c r="H4675" t="s">
        <v>15498</v>
      </c>
      <c r="I4675" t="s">
        <v>30084</v>
      </c>
      <c r="J4675" t="s">
        <v>30908</v>
      </c>
      <c r="K4675" t="s">
        <v>39017</v>
      </c>
      <c r="M4675" t="s">
        <v>40119</v>
      </c>
      <c r="N4675" t="s">
        <v>43166</v>
      </c>
      <c r="O4675" t="s">
        <v>43167</v>
      </c>
      <c r="P4675">
        <v>0</v>
      </c>
      <c r="Q4675">
        <v>9</v>
      </c>
      <c r="R4675" t="s">
        <v>43171</v>
      </c>
      <c r="S4675" t="s">
        <v>43311</v>
      </c>
      <c r="T4675" t="s">
        <v>44691</v>
      </c>
      <c r="U4675" t="s">
        <v>46770</v>
      </c>
      <c r="W4675" t="s">
        <v>40119</v>
      </c>
      <c r="X4675" t="s">
        <v>43172</v>
      </c>
    </row>
    <row r="4676" spans="1:24">
      <c r="A4676">
        <f>HYPERLINK("https://www.philgeps.gov.ph/GEPSNONPILOT/Tender/SplashBidNoticeAbstractUI.aspx?menuIndex=3&amp;refID=7084495&amp;Result=3","7084495")</f>
        <v>0</v>
      </c>
      <c r="B4676" t="s">
        <v>1642</v>
      </c>
      <c r="C4676" t="s">
        <v>7879</v>
      </c>
      <c r="D4676" t="s">
        <v>17427</v>
      </c>
      <c r="E4676" t="s">
        <v>17704</v>
      </c>
      <c r="F4676" t="s">
        <v>30052</v>
      </c>
      <c r="G4676" t="s">
        <v>30058</v>
      </c>
      <c r="H4676" t="s">
        <v>30067</v>
      </c>
      <c r="I4676" t="s">
        <v>3693</v>
      </c>
      <c r="J4676" t="s">
        <v>30230</v>
      </c>
      <c r="K4676" t="s">
        <v>39046</v>
      </c>
      <c r="M4676" t="s">
        <v>41046</v>
      </c>
      <c r="N4676" t="s">
        <v>43166</v>
      </c>
      <c r="O4676" t="s">
        <v>43167</v>
      </c>
      <c r="P4676">
        <v>0</v>
      </c>
      <c r="Q4676">
        <v>0</v>
      </c>
      <c r="R4676" t="s">
        <v>43171</v>
      </c>
      <c r="S4676" t="s">
        <v>43311</v>
      </c>
      <c r="T4676" t="s">
        <v>44677</v>
      </c>
      <c r="U4676" t="s">
        <v>49004</v>
      </c>
      <c r="V4676" t="s">
        <v>56941</v>
      </c>
      <c r="W4676" t="s">
        <v>41046</v>
      </c>
      <c r="X4676" t="s">
        <v>43172</v>
      </c>
    </row>
    <row r="4677" spans="1:24">
      <c r="A4677">
        <f>HYPERLINK("https://www.philgeps.gov.ph/GEPSNONPILOT/Tender/SplashBidNoticeAbstractUI.aspx?menuIndex=3&amp;refID=7084509&amp;Result=3","7084509")</f>
        <v>0</v>
      </c>
      <c r="B4677" t="s">
        <v>1640</v>
      </c>
      <c r="C4677" t="s">
        <v>7880</v>
      </c>
      <c r="D4677" t="s">
        <v>17415</v>
      </c>
      <c r="E4677" t="s">
        <v>21564</v>
      </c>
      <c r="F4677" t="s">
        <v>30052</v>
      </c>
      <c r="G4677" t="s">
        <v>30059</v>
      </c>
      <c r="H4677" t="s">
        <v>15498</v>
      </c>
      <c r="I4677" t="s">
        <v>30070</v>
      </c>
      <c r="J4677" t="s">
        <v>30299</v>
      </c>
      <c r="K4677" t="s">
        <v>39019</v>
      </c>
      <c r="M4677" t="s">
        <v>41043</v>
      </c>
      <c r="N4677" t="s">
        <v>43166</v>
      </c>
      <c r="O4677" t="s">
        <v>43167</v>
      </c>
      <c r="P4677">
        <v>0</v>
      </c>
      <c r="Q4677">
        <v>4</v>
      </c>
      <c r="R4677" t="s">
        <v>43171</v>
      </c>
      <c r="S4677" t="s">
        <v>43311</v>
      </c>
      <c r="T4677" t="s">
        <v>44732</v>
      </c>
      <c r="U4677" t="s">
        <v>49005</v>
      </c>
      <c r="W4677" t="s">
        <v>41043</v>
      </c>
      <c r="X4677" t="s">
        <v>43172</v>
      </c>
    </row>
    <row r="4678" spans="1:24">
      <c r="A4678">
        <f>HYPERLINK("https://www.philgeps.gov.ph/GEPSNONPILOT/Tender/SplashBidNoticeAbstractUI.aspx?menuIndex=3&amp;refID=7084494&amp;Result=3","7084494")</f>
        <v>0</v>
      </c>
      <c r="B4678" t="s">
        <v>802</v>
      </c>
      <c r="C4678" t="s">
        <v>7881</v>
      </c>
      <c r="D4678" t="s">
        <v>17415</v>
      </c>
      <c r="E4678" t="s">
        <v>21565</v>
      </c>
      <c r="F4678" t="s">
        <v>30052</v>
      </c>
      <c r="G4678" t="s">
        <v>30059</v>
      </c>
      <c r="H4678" t="s">
        <v>15498</v>
      </c>
      <c r="I4678" t="s">
        <v>4119</v>
      </c>
      <c r="J4678" t="s">
        <v>31945</v>
      </c>
      <c r="K4678" t="s">
        <v>39017</v>
      </c>
      <c r="M4678" t="s">
        <v>40119</v>
      </c>
      <c r="N4678" t="s">
        <v>43166</v>
      </c>
      <c r="O4678" t="s">
        <v>43167</v>
      </c>
      <c r="P4678">
        <v>0</v>
      </c>
      <c r="Q4678">
        <v>15</v>
      </c>
      <c r="R4678" t="s">
        <v>43171</v>
      </c>
      <c r="S4678" t="s">
        <v>43311</v>
      </c>
      <c r="T4678" t="s">
        <v>44691</v>
      </c>
      <c r="U4678" t="s">
        <v>46770</v>
      </c>
      <c r="W4678" t="s">
        <v>40119</v>
      </c>
      <c r="X4678" t="s">
        <v>43172</v>
      </c>
    </row>
    <row r="4679" spans="1:24">
      <c r="A4679">
        <f>HYPERLINK("https://www.philgeps.gov.ph/GEPSNONPILOT/Tender/SplashBidNoticeAbstractUI.aspx?menuIndex=3&amp;refID=7084566&amp;Result=3","7084566")</f>
        <v>0</v>
      </c>
      <c r="B4679" t="s">
        <v>1643</v>
      </c>
      <c r="C4679" t="s">
        <v>7882</v>
      </c>
      <c r="D4679" t="s">
        <v>17449</v>
      </c>
      <c r="E4679" t="s">
        <v>21566</v>
      </c>
      <c r="F4679" t="s">
        <v>30052</v>
      </c>
      <c r="G4679" t="s">
        <v>30059</v>
      </c>
      <c r="H4679" t="s">
        <v>15498</v>
      </c>
      <c r="I4679" t="s">
        <v>30092</v>
      </c>
      <c r="J4679" t="s">
        <v>33186</v>
      </c>
      <c r="K4679" t="s">
        <v>39025</v>
      </c>
      <c r="M4679" t="s">
        <v>41047</v>
      </c>
      <c r="N4679" t="s">
        <v>43166</v>
      </c>
      <c r="O4679" t="s">
        <v>43167</v>
      </c>
      <c r="P4679">
        <v>0</v>
      </c>
      <c r="Q4679">
        <v>3</v>
      </c>
      <c r="R4679" t="s">
        <v>43171</v>
      </c>
      <c r="S4679" t="s">
        <v>43311</v>
      </c>
      <c r="T4679" t="s">
        <v>44734</v>
      </c>
      <c r="U4679" t="s">
        <v>49006</v>
      </c>
      <c r="W4679" t="s">
        <v>41047</v>
      </c>
      <c r="X4679" t="s">
        <v>43172</v>
      </c>
    </row>
    <row r="4680" spans="1:24">
      <c r="A4680">
        <f>HYPERLINK("https://www.philgeps.gov.ph/GEPSNONPILOT/Tender/SplashBidNoticeAbstractUI.aspx?menuIndex=3&amp;refID=7084517&amp;Result=3","7084517")</f>
        <v>0</v>
      </c>
      <c r="B4680" t="s">
        <v>667</v>
      </c>
      <c r="C4680" t="s">
        <v>7883</v>
      </c>
      <c r="E4680" t="s">
        <v>21567</v>
      </c>
      <c r="F4680" t="s">
        <v>30052</v>
      </c>
      <c r="G4680" t="s">
        <v>30059</v>
      </c>
      <c r="H4680" t="s">
        <v>15498</v>
      </c>
      <c r="I4680" t="s">
        <v>4598</v>
      </c>
      <c r="J4680" t="s">
        <v>33187</v>
      </c>
      <c r="K4680" t="s">
        <v>39046</v>
      </c>
      <c r="M4680" t="s">
        <v>39973</v>
      </c>
      <c r="N4680" t="s">
        <v>43166</v>
      </c>
      <c r="O4680" t="s">
        <v>43167</v>
      </c>
      <c r="P4680">
        <v>0</v>
      </c>
      <c r="Q4680">
        <v>13</v>
      </c>
      <c r="R4680" t="s">
        <v>43171</v>
      </c>
      <c r="S4680" t="s">
        <v>43311</v>
      </c>
      <c r="T4680" t="s">
        <v>44862</v>
      </c>
      <c r="U4680" t="s">
        <v>49007</v>
      </c>
      <c r="W4680" t="s">
        <v>39973</v>
      </c>
      <c r="X4680" t="s">
        <v>43172</v>
      </c>
    </row>
    <row r="4681" spans="1:24">
      <c r="A4681">
        <f>HYPERLINK("https://www.philgeps.gov.ph/GEPSNONPILOT/Tender/SplashBidNoticeAbstractUI.aspx?menuIndex=3&amp;refID=7084564&amp;Result=3","7084564")</f>
        <v>0</v>
      </c>
      <c r="B4681" t="s">
        <v>1643</v>
      </c>
      <c r="C4681" t="s">
        <v>7884</v>
      </c>
      <c r="D4681" t="s">
        <v>17449</v>
      </c>
      <c r="E4681" t="s">
        <v>21568</v>
      </c>
      <c r="F4681" t="s">
        <v>30052</v>
      </c>
      <c r="G4681" t="s">
        <v>30059</v>
      </c>
      <c r="H4681" t="s">
        <v>15498</v>
      </c>
      <c r="I4681" t="s">
        <v>8323</v>
      </c>
      <c r="J4681" t="s">
        <v>33188</v>
      </c>
      <c r="K4681" t="s">
        <v>39039</v>
      </c>
      <c r="M4681" t="s">
        <v>41047</v>
      </c>
      <c r="N4681" t="s">
        <v>43166</v>
      </c>
      <c r="O4681" t="s">
        <v>43167</v>
      </c>
      <c r="P4681">
        <v>0</v>
      </c>
      <c r="Q4681">
        <v>8</v>
      </c>
      <c r="R4681" t="s">
        <v>43171</v>
      </c>
      <c r="S4681" t="s">
        <v>43311</v>
      </c>
      <c r="T4681" t="s">
        <v>44734</v>
      </c>
      <c r="U4681" t="s">
        <v>49008</v>
      </c>
      <c r="W4681" t="s">
        <v>41047</v>
      </c>
      <c r="X4681" t="s">
        <v>43172</v>
      </c>
    </row>
    <row r="4682" spans="1:24">
      <c r="A4682">
        <f>HYPERLINK("https://www.philgeps.gov.ph/GEPSNONPILOT/Tender/SplashBidNoticeAbstractUI.aspx?menuIndex=3&amp;refID=7084479&amp;Result=3","7084479")</f>
        <v>0</v>
      </c>
      <c r="B4682" t="s">
        <v>1644</v>
      </c>
      <c r="C4682" t="s">
        <v>7885</v>
      </c>
      <c r="D4682" t="s">
        <v>17499</v>
      </c>
      <c r="E4682" t="s">
        <v>7885</v>
      </c>
      <c r="F4682" t="s">
        <v>30052</v>
      </c>
      <c r="G4682" t="s">
        <v>30059</v>
      </c>
      <c r="H4682" t="s">
        <v>15498</v>
      </c>
      <c r="I4682" t="s">
        <v>3736</v>
      </c>
      <c r="J4682" t="s">
        <v>33189</v>
      </c>
      <c r="K4682" t="s">
        <v>39019</v>
      </c>
      <c r="M4682" t="s">
        <v>41048</v>
      </c>
      <c r="N4682" t="s">
        <v>43166</v>
      </c>
      <c r="O4682" t="s">
        <v>43167</v>
      </c>
      <c r="P4682">
        <v>0</v>
      </c>
      <c r="Q4682">
        <v>0</v>
      </c>
      <c r="R4682" t="s">
        <v>43171</v>
      </c>
      <c r="S4682" t="s">
        <v>43311</v>
      </c>
      <c r="T4682" t="s">
        <v>44761</v>
      </c>
      <c r="U4682" t="s">
        <v>49009</v>
      </c>
      <c r="W4682" t="s">
        <v>41048</v>
      </c>
      <c r="X4682" t="s">
        <v>43172</v>
      </c>
    </row>
    <row r="4683" spans="1:24">
      <c r="A4683">
        <f>HYPERLINK("https://www.philgeps.gov.ph/GEPSNONPILOT/Tender/SplashBidNoticeAbstractUI.aspx?menuIndex=3&amp;refID=7084562&amp;Result=3","7084562")</f>
        <v>0</v>
      </c>
      <c r="B4683" t="s">
        <v>1645</v>
      </c>
      <c r="C4683" t="s">
        <v>7886</v>
      </c>
      <c r="D4683" t="s">
        <v>17415</v>
      </c>
      <c r="E4683" t="s">
        <v>17715</v>
      </c>
      <c r="F4683" t="s">
        <v>30052</v>
      </c>
      <c r="G4683" t="s">
        <v>30059</v>
      </c>
      <c r="H4683" t="s">
        <v>15498</v>
      </c>
      <c r="I4683" t="s">
        <v>3852</v>
      </c>
      <c r="J4683" t="s">
        <v>30287</v>
      </c>
      <c r="K4683" t="s">
        <v>39036</v>
      </c>
      <c r="M4683" t="s">
        <v>41049</v>
      </c>
      <c r="N4683" t="s">
        <v>43166</v>
      </c>
      <c r="O4683" t="s">
        <v>43167</v>
      </c>
      <c r="P4683">
        <v>0</v>
      </c>
      <c r="Q4683">
        <v>1</v>
      </c>
      <c r="R4683" t="s">
        <v>43171</v>
      </c>
      <c r="S4683" t="s">
        <v>43311</v>
      </c>
      <c r="T4683" t="s">
        <v>44708</v>
      </c>
      <c r="U4683" t="s">
        <v>49010</v>
      </c>
      <c r="V4683" t="s">
        <v>56940</v>
      </c>
      <c r="W4683" t="s">
        <v>41049</v>
      </c>
      <c r="X4683" t="s">
        <v>43172</v>
      </c>
    </row>
    <row r="4684" spans="1:24">
      <c r="A4684">
        <f>HYPERLINK("https://www.philgeps.gov.ph/GEPSNONPILOT/Tender/SplashBidNoticeAbstractUI.aspx?menuIndex=3&amp;refID=7084496&amp;Result=3","7084496")</f>
        <v>0</v>
      </c>
      <c r="B4684" t="s">
        <v>296</v>
      </c>
      <c r="C4684" t="s">
        <v>7887</v>
      </c>
      <c r="E4684" t="s">
        <v>21569</v>
      </c>
      <c r="F4684" t="s">
        <v>30052</v>
      </c>
      <c r="G4684" t="s">
        <v>30058</v>
      </c>
      <c r="H4684" t="s">
        <v>15498</v>
      </c>
      <c r="I4684" t="s">
        <v>30091</v>
      </c>
      <c r="J4684" t="s">
        <v>33190</v>
      </c>
      <c r="K4684" t="s">
        <v>39025</v>
      </c>
      <c r="M4684" t="s">
        <v>41050</v>
      </c>
      <c r="N4684" t="s">
        <v>43166</v>
      </c>
      <c r="O4684" t="s">
        <v>43167</v>
      </c>
      <c r="P4684">
        <v>0</v>
      </c>
      <c r="Q4684">
        <v>1</v>
      </c>
      <c r="R4684" t="s">
        <v>43171</v>
      </c>
      <c r="S4684" t="s">
        <v>43311</v>
      </c>
      <c r="T4684" t="s">
        <v>44752</v>
      </c>
      <c r="U4684" t="s">
        <v>49011</v>
      </c>
      <c r="V4684" t="s">
        <v>57341</v>
      </c>
      <c r="W4684" t="s">
        <v>41050</v>
      </c>
      <c r="X4684" t="s">
        <v>43172</v>
      </c>
    </row>
    <row r="4685" spans="1:24">
      <c r="A4685">
        <f>HYPERLINK("https://www.philgeps.gov.ph/GEPSNONPILOT/Tender/SplashBidNoticeAbstractUI.aspx?menuIndex=3&amp;refID=7084559&amp;Result=3","7084559")</f>
        <v>0</v>
      </c>
      <c r="B4685" t="s">
        <v>1417</v>
      </c>
      <c r="C4685" t="s">
        <v>7888</v>
      </c>
      <c r="D4685" t="s">
        <v>17441</v>
      </c>
      <c r="E4685" t="s">
        <v>21570</v>
      </c>
      <c r="F4685" t="s">
        <v>30052</v>
      </c>
      <c r="G4685" t="s">
        <v>30058</v>
      </c>
      <c r="H4685" t="s">
        <v>30067</v>
      </c>
      <c r="I4685" t="s">
        <v>3693</v>
      </c>
      <c r="J4685" t="s">
        <v>33191</v>
      </c>
      <c r="K4685" t="s">
        <v>39093</v>
      </c>
      <c r="M4685" t="s">
        <v>40795</v>
      </c>
      <c r="N4685" t="s">
        <v>43166</v>
      </c>
      <c r="O4685" t="s">
        <v>43167</v>
      </c>
      <c r="P4685">
        <v>0</v>
      </c>
      <c r="Q4685">
        <v>22</v>
      </c>
      <c r="R4685" t="s">
        <v>43171</v>
      </c>
      <c r="S4685" t="s">
        <v>43311</v>
      </c>
      <c r="T4685" t="s">
        <v>44722</v>
      </c>
      <c r="U4685" t="s">
        <v>48999</v>
      </c>
      <c r="V4685" t="s">
        <v>57342</v>
      </c>
      <c r="W4685" t="s">
        <v>40795</v>
      </c>
      <c r="X4685" t="s">
        <v>43172</v>
      </c>
    </row>
    <row r="4686" spans="1:24">
      <c r="A4686">
        <f>HYPERLINK("https://www.philgeps.gov.ph/GEPSNONPILOT/Tender/SplashBidNoticeAbstractUI.aspx?menuIndex=3&amp;refID=7084550&amp;Result=3","7084550")</f>
        <v>0</v>
      </c>
      <c r="B4686" t="s">
        <v>1417</v>
      </c>
      <c r="C4686" t="s">
        <v>7889</v>
      </c>
      <c r="D4686" t="s">
        <v>17441</v>
      </c>
      <c r="E4686" t="s">
        <v>21571</v>
      </c>
      <c r="F4686" t="s">
        <v>30052</v>
      </c>
      <c r="G4686" t="s">
        <v>30058</v>
      </c>
      <c r="H4686" t="s">
        <v>30067</v>
      </c>
      <c r="I4686" t="s">
        <v>3693</v>
      </c>
      <c r="J4686" t="s">
        <v>30227</v>
      </c>
      <c r="K4686" t="s">
        <v>39134</v>
      </c>
      <c r="M4686" t="s">
        <v>40795</v>
      </c>
      <c r="N4686" t="s">
        <v>43166</v>
      </c>
      <c r="O4686" t="s">
        <v>43167</v>
      </c>
      <c r="P4686">
        <v>0</v>
      </c>
      <c r="Q4686">
        <v>16</v>
      </c>
      <c r="R4686" t="s">
        <v>43171</v>
      </c>
      <c r="S4686" t="s">
        <v>43311</v>
      </c>
      <c r="T4686" t="s">
        <v>44880</v>
      </c>
      <c r="U4686" t="s">
        <v>48999</v>
      </c>
      <c r="V4686" t="s">
        <v>57342</v>
      </c>
      <c r="W4686" t="s">
        <v>40795</v>
      </c>
      <c r="X4686" t="s">
        <v>43172</v>
      </c>
    </row>
    <row r="4687" spans="1:24">
      <c r="A4687">
        <f>HYPERLINK("https://www.philgeps.gov.ph/GEPSNONPILOT/Tender/SplashBidNoticeAbstractUI.aspx?menuIndex=3&amp;refID=7084503&amp;Result=3","7084503")</f>
        <v>0</v>
      </c>
      <c r="B4687" t="s">
        <v>1646</v>
      </c>
      <c r="C4687" t="s">
        <v>7890</v>
      </c>
      <c r="D4687" t="s">
        <v>17477</v>
      </c>
      <c r="E4687" t="s">
        <v>21572</v>
      </c>
      <c r="F4687" t="s">
        <v>30052</v>
      </c>
      <c r="G4687" t="s">
        <v>30059</v>
      </c>
      <c r="H4687" t="s">
        <v>15498</v>
      </c>
      <c r="I4687" t="s">
        <v>9238</v>
      </c>
      <c r="J4687" t="s">
        <v>33192</v>
      </c>
      <c r="K4687" t="s">
        <v>39025</v>
      </c>
      <c r="M4687" t="s">
        <v>41051</v>
      </c>
      <c r="N4687" t="s">
        <v>43166</v>
      </c>
      <c r="O4687" t="s">
        <v>43167</v>
      </c>
      <c r="P4687">
        <v>0</v>
      </c>
      <c r="Q4687">
        <v>20</v>
      </c>
      <c r="R4687" t="s">
        <v>43171</v>
      </c>
      <c r="S4687" t="s">
        <v>43311</v>
      </c>
      <c r="T4687" t="s">
        <v>44862</v>
      </c>
      <c r="U4687" t="s">
        <v>49012</v>
      </c>
      <c r="W4687" t="s">
        <v>41051</v>
      </c>
      <c r="X4687" t="s">
        <v>43172</v>
      </c>
    </row>
    <row r="4688" spans="1:24">
      <c r="A4688">
        <f>HYPERLINK("https://www.philgeps.gov.ph/GEPSNONPILOT/Tender/SplashBidNoticeAbstractUI.aspx?menuIndex=3&amp;refID=7084547&amp;Result=3","7084547")</f>
        <v>0</v>
      </c>
      <c r="B4688" t="s">
        <v>802</v>
      </c>
      <c r="C4688" t="s">
        <v>7891</v>
      </c>
      <c r="D4688" t="s">
        <v>17415</v>
      </c>
      <c r="E4688" t="s">
        <v>21573</v>
      </c>
      <c r="F4688" t="s">
        <v>30052</v>
      </c>
      <c r="G4688" t="s">
        <v>30059</v>
      </c>
      <c r="H4688" t="s">
        <v>15498</v>
      </c>
      <c r="I4688" t="s">
        <v>9238</v>
      </c>
      <c r="J4688" t="s">
        <v>33193</v>
      </c>
      <c r="K4688" t="s">
        <v>39017</v>
      </c>
      <c r="M4688" t="s">
        <v>40119</v>
      </c>
      <c r="N4688" t="s">
        <v>43166</v>
      </c>
      <c r="O4688" t="s">
        <v>43167</v>
      </c>
      <c r="P4688">
        <v>0</v>
      </c>
      <c r="Q4688">
        <v>4</v>
      </c>
      <c r="R4688" t="s">
        <v>43171</v>
      </c>
      <c r="S4688" t="s">
        <v>43311</v>
      </c>
      <c r="T4688" t="s">
        <v>44691</v>
      </c>
      <c r="U4688" t="s">
        <v>46770</v>
      </c>
      <c r="W4688" t="s">
        <v>40119</v>
      </c>
      <c r="X4688" t="s">
        <v>43172</v>
      </c>
    </row>
    <row r="4689" spans="1:24">
      <c r="A4689">
        <f>HYPERLINK("https://www.philgeps.gov.ph/GEPSNONPILOT/Tender/SplashBidNoticeAbstractUI.aspx?menuIndex=3&amp;refID=7084545&amp;Result=3","7084545")</f>
        <v>0</v>
      </c>
      <c r="B4689" t="s">
        <v>1417</v>
      </c>
      <c r="C4689" t="s">
        <v>7892</v>
      </c>
      <c r="D4689" t="s">
        <v>17441</v>
      </c>
      <c r="E4689" t="s">
        <v>19622</v>
      </c>
      <c r="F4689" t="s">
        <v>30052</v>
      </c>
      <c r="G4689" t="s">
        <v>30058</v>
      </c>
      <c r="H4689" t="s">
        <v>15498</v>
      </c>
      <c r="I4689" t="s">
        <v>30074</v>
      </c>
      <c r="J4689" t="s">
        <v>32173</v>
      </c>
      <c r="K4689" t="s">
        <v>39029</v>
      </c>
      <c r="M4689" t="s">
        <v>40795</v>
      </c>
      <c r="N4689" t="s">
        <v>43166</v>
      </c>
      <c r="O4689" t="s">
        <v>43167</v>
      </c>
      <c r="P4689">
        <v>0</v>
      </c>
      <c r="Q4689">
        <v>3</v>
      </c>
      <c r="R4689" t="s">
        <v>43171</v>
      </c>
      <c r="S4689" t="s">
        <v>43311</v>
      </c>
      <c r="T4689" t="s">
        <v>44722</v>
      </c>
      <c r="U4689" t="s">
        <v>48999</v>
      </c>
      <c r="W4689" t="s">
        <v>40795</v>
      </c>
      <c r="X4689" t="s">
        <v>43172</v>
      </c>
    </row>
    <row r="4690" spans="1:24">
      <c r="A4690">
        <f>HYPERLINK("https://www.philgeps.gov.ph/GEPSNONPILOT/Tender/SplashBidNoticeAbstractUI.aspx?menuIndex=3&amp;refID=7084565&amp;Result=3","7084565")</f>
        <v>0</v>
      </c>
      <c r="B4690" t="s">
        <v>84</v>
      </c>
      <c r="C4690" t="s">
        <v>7893</v>
      </c>
      <c r="D4690" t="s">
        <v>17444</v>
      </c>
      <c r="E4690" t="s">
        <v>17979</v>
      </c>
      <c r="F4690" t="s">
        <v>30052</v>
      </c>
      <c r="G4690" t="s">
        <v>30061</v>
      </c>
      <c r="H4690" t="s">
        <v>15498</v>
      </c>
      <c r="I4690" t="s">
        <v>4119</v>
      </c>
      <c r="J4690" t="s">
        <v>30230</v>
      </c>
      <c r="K4690" t="s">
        <v>39040</v>
      </c>
      <c r="M4690" t="s">
        <v>39373</v>
      </c>
      <c r="N4690" t="s">
        <v>43166</v>
      </c>
      <c r="O4690" t="s">
        <v>43167</v>
      </c>
      <c r="P4690">
        <v>0</v>
      </c>
      <c r="Q4690">
        <v>0</v>
      </c>
      <c r="R4690" t="s">
        <v>43171</v>
      </c>
      <c r="S4690" t="s">
        <v>43311</v>
      </c>
      <c r="T4690" t="s">
        <v>44717</v>
      </c>
      <c r="U4690" t="s">
        <v>49013</v>
      </c>
      <c r="V4690" t="s">
        <v>56828</v>
      </c>
      <c r="W4690" t="s">
        <v>39373</v>
      </c>
      <c r="X4690" t="s">
        <v>43172</v>
      </c>
    </row>
    <row r="4691" spans="1:24">
      <c r="A4691">
        <f>HYPERLINK("https://www.philgeps.gov.ph/GEPSNONPILOT/Tender/SplashBidNoticeAbstractUI.aspx?menuIndex=3&amp;refID=7084537&amp;Result=3","7084537")</f>
        <v>0</v>
      </c>
      <c r="B4691" t="s">
        <v>1417</v>
      </c>
      <c r="C4691" t="s">
        <v>7894</v>
      </c>
      <c r="D4691" t="s">
        <v>17441</v>
      </c>
      <c r="E4691" t="s">
        <v>21574</v>
      </c>
      <c r="F4691" t="s">
        <v>30052</v>
      </c>
      <c r="G4691" t="s">
        <v>30058</v>
      </c>
      <c r="H4691" t="s">
        <v>15498</v>
      </c>
      <c r="I4691" t="s">
        <v>30071</v>
      </c>
      <c r="J4691" t="s">
        <v>33194</v>
      </c>
      <c r="K4691" t="s">
        <v>39034</v>
      </c>
      <c r="M4691" t="s">
        <v>40795</v>
      </c>
      <c r="N4691" t="s">
        <v>43166</v>
      </c>
      <c r="O4691" t="s">
        <v>43167</v>
      </c>
      <c r="P4691">
        <v>0</v>
      </c>
      <c r="Q4691">
        <v>0</v>
      </c>
      <c r="R4691" t="s">
        <v>43171</v>
      </c>
      <c r="S4691" t="s">
        <v>43311</v>
      </c>
      <c r="T4691" t="s">
        <v>44880</v>
      </c>
      <c r="U4691" t="s">
        <v>48999</v>
      </c>
      <c r="W4691" t="s">
        <v>40795</v>
      </c>
      <c r="X4691" t="s">
        <v>43172</v>
      </c>
    </row>
    <row r="4692" spans="1:24">
      <c r="A4692">
        <f>HYPERLINK("https://www.philgeps.gov.ph/GEPSNONPILOT/Tender/SplashBidNoticeAbstractUI.aspx?menuIndex=3&amp;refID=7084534&amp;Result=3","7084534")</f>
        <v>0</v>
      </c>
      <c r="B4692" t="s">
        <v>1642</v>
      </c>
      <c r="C4692" t="s">
        <v>7895</v>
      </c>
      <c r="D4692" t="s">
        <v>17427</v>
      </c>
      <c r="E4692" t="s">
        <v>21575</v>
      </c>
      <c r="F4692" t="s">
        <v>30052</v>
      </c>
      <c r="G4692" t="s">
        <v>30058</v>
      </c>
      <c r="H4692" t="s">
        <v>30067</v>
      </c>
      <c r="I4692" t="s">
        <v>3693</v>
      </c>
      <c r="J4692" t="s">
        <v>33195</v>
      </c>
      <c r="K4692" t="s">
        <v>39046</v>
      </c>
      <c r="M4692" t="s">
        <v>41046</v>
      </c>
      <c r="N4692" t="s">
        <v>43166</v>
      </c>
      <c r="O4692" t="s">
        <v>43167</v>
      </c>
      <c r="P4692">
        <v>0</v>
      </c>
      <c r="Q4692">
        <v>0</v>
      </c>
      <c r="R4692" t="s">
        <v>43171</v>
      </c>
      <c r="S4692" t="s">
        <v>43311</v>
      </c>
      <c r="T4692" t="s">
        <v>44677</v>
      </c>
      <c r="U4692" t="s">
        <v>49014</v>
      </c>
      <c r="V4692" t="s">
        <v>56941</v>
      </c>
      <c r="W4692" t="s">
        <v>41046</v>
      </c>
      <c r="X4692" t="s">
        <v>43172</v>
      </c>
    </row>
    <row r="4693" spans="1:24">
      <c r="A4693">
        <f>HYPERLINK("https://www.philgeps.gov.ph/GEPSNONPILOT/Tender/SplashBidNoticeAbstractUI.aspx?menuIndex=3&amp;refID=7084528&amp;Result=3","7084528")</f>
        <v>0</v>
      </c>
      <c r="B4693" t="s">
        <v>664</v>
      </c>
      <c r="C4693" t="s">
        <v>7896</v>
      </c>
      <c r="D4693" t="s">
        <v>17466</v>
      </c>
      <c r="E4693" t="s">
        <v>17540</v>
      </c>
      <c r="F4693" t="s">
        <v>30052</v>
      </c>
      <c r="G4693" t="s">
        <v>30059</v>
      </c>
      <c r="H4693" t="s">
        <v>15498</v>
      </c>
      <c r="I4693" t="s">
        <v>30076</v>
      </c>
      <c r="J4693" t="s">
        <v>30337</v>
      </c>
      <c r="K4693" t="s">
        <v>39018</v>
      </c>
      <c r="L4693" t="s">
        <v>664</v>
      </c>
      <c r="M4693" t="s">
        <v>39970</v>
      </c>
      <c r="N4693" t="s">
        <v>43166</v>
      </c>
      <c r="O4693" t="s">
        <v>43167</v>
      </c>
      <c r="P4693">
        <v>0</v>
      </c>
      <c r="Q4693">
        <v>1</v>
      </c>
      <c r="R4693" t="s">
        <v>43171</v>
      </c>
      <c r="S4693" t="s">
        <v>43311</v>
      </c>
      <c r="T4693" t="s">
        <v>44870</v>
      </c>
      <c r="U4693" t="s">
        <v>49015</v>
      </c>
      <c r="V4693" t="s">
        <v>57000</v>
      </c>
      <c r="W4693" t="s">
        <v>39970</v>
      </c>
      <c r="X4693" t="s">
        <v>43172</v>
      </c>
    </row>
    <row r="4694" spans="1:24">
      <c r="A4694">
        <f>HYPERLINK("https://www.philgeps.gov.ph/GEPSNONPILOT/Tender/SplashBidNoticeAbstractUI.aspx?menuIndex=3&amp;refID=7084548&amp;Result=3","7084548")</f>
        <v>0</v>
      </c>
      <c r="B4694" t="s">
        <v>1647</v>
      </c>
      <c r="C4694" t="s">
        <v>7897</v>
      </c>
      <c r="D4694" t="s">
        <v>17427</v>
      </c>
      <c r="E4694" t="s">
        <v>17704</v>
      </c>
      <c r="F4694" t="s">
        <v>30052</v>
      </c>
      <c r="G4694" t="s">
        <v>30058</v>
      </c>
      <c r="H4694" t="s">
        <v>30067</v>
      </c>
      <c r="I4694" t="s">
        <v>3693</v>
      </c>
      <c r="J4694" t="s">
        <v>33196</v>
      </c>
      <c r="K4694" t="s">
        <v>39046</v>
      </c>
      <c r="M4694" t="s">
        <v>41052</v>
      </c>
      <c r="N4694" t="s">
        <v>43166</v>
      </c>
      <c r="O4694" t="s">
        <v>43167</v>
      </c>
      <c r="P4694">
        <v>0</v>
      </c>
      <c r="Q4694">
        <v>0</v>
      </c>
      <c r="R4694" t="s">
        <v>43171</v>
      </c>
      <c r="S4694" t="s">
        <v>43311</v>
      </c>
      <c r="T4694" t="s">
        <v>44677</v>
      </c>
      <c r="U4694" t="s">
        <v>49016</v>
      </c>
      <c r="V4694" t="s">
        <v>56941</v>
      </c>
      <c r="W4694" t="s">
        <v>41052</v>
      </c>
      <c r="X4694" t="s">
        <v>43172</v>
      </c>
    </row>
    <row r="4695" spans="1:24">
      <c r="A4695">
        <f>HYPERLINK("https://www.philgeps.gov.ph/GEPSNONPILOT/Tender/SplashBidNoticeAbstractUI.aspx?menuIndex=3&amp;refID=7084572&amp;Result=3","7084572")</f>
        <v>0</v>
      </c>
      <c r="B4695" t="s">
        <v>1648</v>
      </c>
      <c r="C4695" t="s">
        <v>7898</v>
      </c>
      <c r="D4695" t="s">
        <v>17444</v>
      </c>
      <c r="E4695" t="s">
        <v>21576</v>
      </c>
      <c r="F4695" t="s">
        <v>30052</v>
      </c>
      <c r="G4695" t="s">
        <v>30058</v>
      </c>
      <c r="H4695" t="s">
        <v>30067</v>
      </c>
      <c r="I4695" t="s">
        <v>3693</v>
      </c>
      <c r="J4695" t="s">
        <v>33197</v>
      </c>
      <c r="K4695" t="s">
        <v>39073</v>
      </c>
      <c r="M4695" t="s">
        <v>41053</v>
      </c>
      <c r="N4695" t="s">
        <v>43166</v>
      </c>
      <c r="O4695" t="s">
        <v>43167</v>
      </c>
      <c r="P4695">
        <v>0</v>
      </c>
      <c r="Q4695">
        <v>0</v>
      </c>
      <c r="R4695" t="s">
        <v>43171</v>
      </c>
      <c r="S4695" t="s">
        <v>43311</v>
      </c>
      <c r="T4695" t="s">
        <v>44681</v>
      </c>
      <c r="U4695" t="s">
        <v>49017</v>
      </c>
      <c r="W4695" t="s">
        <v>41053</v>
      </c>
      <c r="X4695" t="s">
        <v>43172</v>
      </c>
    </row>
    <row r="4696" spans="1:24">
      <c r="A4696">
        <f>HYPERLINK("https://www.philgeps.gov.ph/GEPSNONPILOT/Tender/SplashBidNoticeAbstractUI.aspx?menuIndex=3&amp;refID=7084526&amp;Result=3","7084526")</f>
        <v>0</v>
      </c>
      <c r="B4696" t="s">
        <v>1417</v>
      </c>
      <c r="C4696" t="s">
        <v>7899</v>
      </c>
      <c r="D4696" t="s">
        <v>17441</v>
      </c>
      <c r="E4696" t="s">
        <v>21577</v>
      </c>
      <c r="F4696" t="s">
        <v>30052</v>
      </c>
      <c r="G4696" t="s">
        <v>30058</v>
      </c>
      <c r="H4696" t="s">
        <v>15498</v>
      </c>
      <c r="I4696" t="s">
        <v>30074</v>
      </c>
      <c r="J4696" t="s">
        <v>33198</v>
      </c>
      <c r="K4696" t="s">
        <v>39029</v>
      </c>
      <c r="M4696" t="s">
        <v>40795</v>
      </c>
      <c r="N4696" t="s">
        <v>43166</v>
      </c>
      <c r="O4696" t="s">
        <v>43167</v>
      </c>
      <c r="P4696">
        <v>0</v>
      </c>
      <c r="Q4696">
        <v>1</v>
      </c>
      <c r="R4696" t="s">
        <v>43171</v>
      </c>
      <c r="S4696" t="s">
        <v>43311</v>
      </c>
      <c r="T4696" t="s">
        <v>44880</v>
      </c>
      <c r="U4696" t="s">
        <v>48999</v>
      </c>
      <c r="W4696" t="s">
        <v>40795</v>
      </c>
      <c r="X4696" t="s">
        <v>43172</v>
      </c>
    </row>
    <row r="4697" spans="1:24">
      <c r="A4697">
        <f>HYPERLINK("https://www.philgeps.gov.ph/GEPSNONPILOT/Tender/SplashBidNoticeAbstractUI.aspx?menuIndex=3&amp;refID=7084523&amp;Result=3","7084523")</f>
        <v>0</v>
      </c>
      <c r="B4697" t="s">
        <v>802</v>
      </c>
      <c r="C4697" t="s">
        <v>7900</v>
      </c>
      <c r="D4697" t="s">
        <v>17415</v>
      </c>
      <c r="E4697" t="s">
        <v>21578</v>
      </c>
      <c r="F4697" t="s">
        <v>30052</v>
      </c>
      <c r="G4697" t="s">
        <v>30059</v>
      </c>
      <c r="H4697" t="s">
        <v>15498</v>
      </c>
      <c r="I4697" t="s">
        <v>9238</v>
      </c>
      <c r="J4697" t="s">
        <v>33199</v>
      </c>
      <c r="K4697" t="s">
        <v>39017</v>
      </c>
      <c r="M4697" t="s">
        <v>40119</v>
      </c>
      <c r="N4697" t="s">
        <v>43166</v>
      </c>
      <c r="O4697" t="s">
        <v>43167</v>
      </c>
      <c r="P4697">
        <v>0</v>
      </c>
      <c r="Q4697">
        <v>3</v>
      </c>
      <c r="R4697" t="s">
        <v>43171</v>
      </c>
      <c r="S4697" t="s">
        <v>43311</v>
      </c>
      <c r="T4697" t="s">
        <v>44691</v>
      </c>
      <c r="U4697" t="s">
        <v>46770</v>
      </c>
      <c r="W4697" t="s">
        <v>40119</v>
      </c>
      <c r="X4697" t="s">
        <v>43172</v>
      </c>
    </row>
    <row r="4698" spans="1:24">
      <c r="A4698">
        <f>HYPERLINK("https://www.philgeps.gov.ph/GEPSNONPILOT/Tender/SplashBidNoticeAbstractUI.aspx?menuIndex=3&amp;refID=7084519&amp;Result=3","7084519")</f>
        <v>0</v>
      </c>
      <c r="B4698" t="s">
        <v>1417</v>
      </c>
      <c r="C4698" t="s">
        <v>7901</v>
      </c>
      <c r="D4698" t="s">
        <v>17441</v>
      </c>
      <c r="E4698" t="s">
        <v>21579</v>
      </c>
      <c r="F4698" t="s">
        <v>30052</v>
      </c>
      <c r="G4698" t="s">
        <v>30058</v>
      </c>
      <c r="H4698" t="s">
        <v>15498</v>
      </c>
      <c r="I4698" t="s">
        <v>30071</v>
      </c>
      <c r="J4698" t="s">
        <v>33200</v>
      </c>
      <c r="K4698" t="s">
        <v>39034</v>
      </c>
      <c r="M4698" t="s">
        <v>40795</v>
      </c>
      <c r="N4698" t="s">
        <v>43166</v>
      </c>
      <c r="O4698" t="s">
        <v>43167</v>
      </c>
      <c r="P4698">
        <v>0</v>
      </c>
      <c r="Q4698">
        <v>0</v>
      </c>
      <c r="R4698" t="s">
        <v>43171</v>
      </c>
      <c r="S4698" t="s">
        <v>43311</v>
      </c>
      <c r="T4698" t="s">
        <v>44880</v>
      </c>
      <c r="U4698" t="s">
        <v>48999</v>
      </c>
      <c r="W4698" t="s">
        <v>40795</v>
      </c>
      <c r="X4698" t="s">
        <v>43172</v>
      </c>
    </row>
    <row r="4699" spans="1:24">
      <c r="A4699">
        <f>HYPERLINK("https://www.philgeps.gov.ph/GEPSNONPILOT/Tender/SplashBidNoticeAbstractUI.aspx?menuIndex=3&amp;refID=7084493&amp;Result=3","7084493")</f>
        <v>0</v>
      </c>
      <c r="B4699" t="s">
        <v>1640</v>
      </c>
      <c r="C4699" t="s">
        <v>7902</v>
      </c>
      <c r="D4699" t="s">
        <v>17415</v>
      </c>
      <c r="E4699" t="s">
        <v>21580</v>
      </c>
      <c r="F4699" t="s">
        <v>30052</v>
      </c>
      <c r="G4699" t="s">
        <v>30062</v>
      </c>
      <c r="H4699" t="s">
        <v>15498</v>
      </c>
      <c r="I4699" t="s">
        <v>30070</v>
      </c>
      <c r="J4699" t="s">
        <v>33201</v>
      </c>
      <c r="K4699" t="s">
        <v>39019</v>
      </c>
      <c r="M4699" t="s">
        <v>41043</v>
      </c>
      <c r="N4699" t="s">
        <v>43166</v>
      </c>
      <c r="O4699" t="s">
        <v>43167</v>
      </c>
      <c r="P4699">
        <v>0</v>
      </c>
      <c r="Q4699">
        <v>18</v>
      </c>
      <c r="R4699" t="s">
        <v>43171</v>
      </c>
      <c r="S4699" t="s">
        <v>43311</v>
      </c>
      <c r="T4699" t="s">
        <v>44732</v>
      </c>
      <c r="U4699" t="s">
        <v>49018</v>
      </c>
      <c r="W4699" t="s">
        <v>41043</v>
      </c>
      <c r="X4699" t="s">
        <v>43172</v>
      </c>
    </row>
    <row r="4700" spans="1:24">
      <c r="A4700">
        <f>HYPERLINK("https://www.philgeps.gov.ph/GEPSNONPILOT/Tender/SplashBidNoticeAbstractUI.aspx?menuIndex=3&amp;refID=7084492&amp;Result=3","7084492")</f>
        <v>0</v>
      </c>
      <c r="B4700" t="s">
        <v>1649</v>
      </c>
      <c r="C4700" t="s">
        <v>7903</v>
      </c>
      <c r="D4700" t="s">
        <v>17415</v>
      </c>
      <c r="E4700" t="s">
        <v>21581</v>
      </c>
      <c r="F4700" t="s">
        <v>30052</v>
      </c>
      <c r="G4700" t="s">
        <v>30059</v>
      </c>
      <c r="H4700" t="s">
        <v>15498</v>
      </c>
      <c r="I4700" t="s">
        <v>30085</v>
      </c>
      <c r="J4700" t="s">
        <v>33202</v>
      </c>
      <c r="K4700" t="s">
        <v>39019</v>
      </c>
      <c r="M4700" t="s">
        <v>41054</v>
      </c>
      <c r="N4700" t="s">
        <v>43166</v>
      </c>
      <c r="O4700" t="s">
        <v>43167</v>
      </c>
      <c r="P4700">
        <v>0</v>
      </c>
      <c r="Q4700">
        <v>6</v>
      </c>
      <c r="R4700" t="s">
        <v>43171</v>
      </c>
      <c r="S4700" t="s">
        <v>43311</v>
      </c>
      <c r="T4700" t="s">
        <v>44870</v>
      </c>
      <c r="U4700" t="s">
        <v>49019</v>
      </c>
      <c r="W4700" t="s">
        <v>41054</v>
      </c>
      <c r="X4700" t="s">
        <v>43172</v>
      </c>
    </row>
    <row r="4701" spans="1:24">
      <c r="A4701">
        <f>HYPERLINK("https://www.philgeps.gov.ph/GEPSNONPILOT/Tender/SplashBidNoticeAbstractUI.aspx?menuIndex=3&amp;refID=7084529&amp;Result=3","7084529")</f>
        <v>0</v>
      </c>
      <c r="B4701" t="s">
        <v>802</v>
      </c>
      <c r="C4701" t="s">
        <v>7904</v>
      </c>
      <c r="D4701" t="s">
        <v>17415</v>
      </c>
      <c r="E4701" t="s">
        <v>21582</v>
      </c>
      <c r="F4701" t="s">
        <v>30052</v>
      </c>
      <c r="G4701" t="s">
        <v>30059</v>
      </c>
      <c r="H4701" t="s">
        <v>15498</v>
      </c>
      <c r="I4701" t="s">
        <v>9238</v>
      </c>
      <c r="J4701" t="s">
        <v>31383</v>
      </c>
      <c r="K4701" t="s">
        <v>39017</v>
      </c>
      <c r="M4701" t="s">
        <v>40119</v>
      </c>
      <c r="N4701" t="s">
        <v>43166</v>
      </c>
      <c r="O4701" t="s">
        <v>43167</v>
      </c>
      <c r="P4701">
        <v>0</v>
      </c>
      <c r="Q4701">
        <v>5</v>
      </c>
      <c r="R4701" t="s">
        <v>43171</v>
      </c>
      <c r="S4701" t="s">
        <v>43311</v>
      </c>
      <c r="T4701" t="s">
        <v>44691</v>
      </c>
      <c r="U4701" t="s">
        <v>46770</v>
      </c>
      <c r="W4701" t="s">
        <v>40119</v>
      </c>
      <c r="X4701" t="s">
        <v>43172</v>
      </c>
    </row>
    <row r="4702" spans="1:24">
      <c r="A4702">
        <f>HYPERLINK("https://www.philgeps.gov.ph/GEPSNONPILOT/Tender/SplashBidNoticeAbstractUI.aspx?menuIndex=3&amp;refID=7084491&amp;Result=3","7084491")</f>
        <v>0</v>
      </c>
      <c r="B4702" t="s">
        <v>802</v>
      </c>
      <c r="C4702" t="s">
        <v>7905</v>
      </c>
      <c r="D4702" t="s">
        <v>17415</v>
      </c>
      <c r="E4702" t="s">
        <v>21583</v>
      </c>
      <c r="F4702" t="s">
        <v>30052</v>
      </c>
      <c r="G4702" t="s">
        <v>30059</v>
      </c>
      <c r="H4702" t="s">
        <v>15498</v>
      </c>
      <c r="I4702" t="s">
        <v>4119</v>
      </c>
      <c r="J4702" t="s">
        <v>30402</v>
      </c>
      <c r="K4702" t="s">
        <v>39017</v>
      </c>
      <c r="M4702" t="s">
        <v>40119</v>
      </c>
      <c r="N4702" t="s">
        <v>43166</v>
      </c>
      <c r="O4702" t="s">
        <v>43167</v>
      </c>
      <c r="P4702">
        <v>0</v>
      </c>
      <c r="Q4702">
        <v>18</v>
      </c>
      <c r="R4702" t="s">
        <v>43171</v>
      </c>
      <c r="S4702" t="s">
        <v>43311</v>
      </c>
      <c r="T4702" t="s">
        <v>44691</v>
      </c>
      <c r="U4702" t="s">
        <v>46770</v>
      </c>
      <c r="W4702" t="s">
        <v>40119</v>
      </c>
      <c r="X4702" t="s">
        <v>43172</v>
      </c>
    </row>
    <row r="4703" spans="1:24">
      <c r="A4703">
        <f>HYPERLINK("https://www.philgeps.gov.ph/GEPSNONPILOT/Tender/SplashBidNoticeAbstractUI.aspx?menuIndex=3&amp;refID=7084489&amp;Result=3","7084489")</f>
        <v>0</v>
      </c>
      <c r="B4703" t="s">
        <v>1650</v>
      </c>
      <c r="C4703" t="s">
        <v>7906</v>
      </c>
      <c r="D4703" t="s">
        <v>17427</v>
      </c>
      <c r="E4703" t="s">
        <v>17704</v>
      </c>
      <c r="F4703" t="s">
        <v>30052</v>
      </c>
      <c r="G4703" t="s">
        <v>30058</v>
      </c>
      <c r="H4703" t="s">
        <v>30067</v>
      </c>
      <c r="I4703" t="s">
        <v>30106</v>
      </c>
      <c r="J4703" t="s">
        <v>33203</v>
      </c>
      <c r="K4703" t="s">
        <v>39046</v>
      </c>
      <c r="M4703" t="s">
        <v>41055</v>
      </c>
      <c r="N4703" t="s">
        <v>43166</v>
      </c>
      <c r="O4703" t="s">
        <v>43167</v>
      </c>
      <c r="P4703">
        <v>0</v>
      </c>
      <c r="Q4703">
        <v>1</v>
      </c>
      <c r="R4703" t="s">
        <v>43171</v>
      </c>
      <c r="S4703" t="s">
        <v>43311</v>
      </c>
      <c r="T4703" t="s">
        <v>44677</v>
      </c>
      <c r="U4703" t="s">
        <v>49020</v>
      </c>
      <c r="V4703" t="s">
        <v>56941</v>
      </c>
      <c r="W4703" t="s">
        <v>41055</v>
      </c>
      <c r="X4703" t="s">
        <v>43172</v>
      </c>
    </row>
    <row r="4704" spans="1:24">
      <c r="A4704">
        <f>HYPERLINK("https://www.philgeps.gov.ph/GEPSNONPILOT/Tender/SplashBidNoticeAbstractUI.aspx?menuIndex=3&amp;refID=7084488&amp;Result=3","7084488")</f>
        <v>0</v>
      </c>
      <c r="B4704" t="s">
        <v>1635</v>
      </c>
      <c r="C4704" t="s">
        <v>7907</v>
      </c>
      <c r="D4704" t="s">
        <v>17456</v>
      </c>
      <c r="E4704" t="s">
        <v>21584</v>
      </c>
      <c r="F4704" t="s">
        <v>30052</v>
      </c>
      <c r="G4704" t="s">
        <v>30063</v>
      </c>
      <c r="H4704" t="s">
        <v>15498</v>
      </c>
      <c r="I4704" t="s">
        <v>30129</v>
      </c>
      <c r="J4704" t="s">
        <v>33204</v>
      </c>
      <c r="K4704" t="s">
        <v>39031</v>
      </c>
      <c r="M4704" t="s">
        <v>41037</v>
      </c>
      <c r="N4704" t="s">
        <v>43166</v>
      </c>
      <c r="O4704" t="s">
        <v>43167</v>
      </c>
      <c r="P4704">
        <v>0</v>
      </c>
      <c r="Q4704">
        <v>2</v>
      </c>
      <c r="R4704" t="s">
        <v>43171</v>
      </c>
      <c r="S4704" t="s">
        <v>43311</v>
      </c>
      <c r="T4704" t="s">
        <v>44732</v>
      </c>
      <c r="U4704" t="s">
        <v>49021</v>
      </c>
      <c r="V4704" t="s">
        <v>57343</v>
      </c>
      <c r="W4704" t="s">
        <v>41037</v>
      </c>
      <c r="X4704" t="s">
        <v>43172</v>
      </c>
    </row>
    <row r="4705" spans="1:24">
      <c r="A4705">
        <f>HYPERLINK("https://www.philgeps.gov.ph/GEPSNONPILOT/Tender/SplashBidNoticeAbstractUI.aspx?menuIndex=3&amp;refID=7084459&amp;Result=3","7084459")</f>
        <v>0</v>
      </c>
      <c r="B4705" t="s">
        <v>1651</v>
      </c>
      <c r="C4705" t="s">
        <v>7908</v>
      </c>
      <c r="D4705" t="s">
        <v>17486</v>
      </c>
      <c r="E4705" t="s">
        <v>18175</v>
      </c>
      <c r="F4705" t="s">
        <v>30052</v>
      </c>
      <c r="G4705" t="s">
        <v>30058</v>
      </c>
      <c r="H4705" t="s">
        <v>30067</v>
      </c>
      <c r="I4705" t="s">
        <v>3693</v>
      </c>
      <c r="J4705" t="s">
        <v>33205</v>
      </c>
      <c r="K4705" t="s">
        <v>39023</v>
      </c>
      <c r="M4705" t="s">
        <v>41056</v>
      </c>
      <c r="N4705" t="s">
        <v>43166</v>
      </c>
      <c r="O4705" t="s">
        <v>43167</v>
      </c>
      <c r="P4705">
        <v>0</v>
      </c>
      <c r="Q4705">
        <v>1</v>
      </c>
      <c r="R4705" t="s">
        <v>43171</v>
      </c>
      <c r="S4705" t="s">
        <v>43311</v>
      </c>
      <c r="T4705" t="s">
        <v>44704</v>
      </c>
      <c r="U4705" t="s">
        <v>49022</v>
      </c>
      <c r="W4705" t="s">
        <v>41056</v>
      </c>
      <c r="X4705" t="s">
        <v>43172</v>
      </c>
    </row>
    <row r="4706" spans="1:24">
      <c r="A4706">
        <f>HYPERLINK("https://www.philgeps.gov.ph/GEPSNONPILOT/Tender/SplashBidNoticeAbstractUI.aspx?menuIndex=3&amp;refID=7084539&amp;Result=3","7084539")</f>
        <v>0</v>
      </c>
      <c r="B4706" t="s">
        <v>1652</v>
      </c>
      <c r="C4706" t="s">
        <v>7909</v>
      </c>
      <c r="D4706" t="s">
        <v>17427</v>
      </c>
      <c r="E4706" t="s">
        <v>17704</v>
      </c>
      <c r="F4706" t="s">
        <v>30052</v>
      </c>
      <c r="G4706" t="s">
        <v>30058</v>
      </c>
      <c r="H4706" t="s">
        <v>30067</v>
      </c>
      <c r="I4706" t="s">
        <v>3693</v>
      </c>
      <c r="J4706" t="s">
        <v>30218</v>
      </c>
      <c r="K4706" t="s">
        <v>39046</v>
      </c>
      <c r="M4706" t="s">
        <v>41057</v>
      </c>
      <c r="N4706" t="s">
        <v>43166</v>
      </c>
      <c r="O4706" t="s">
        <v>43167</v>
      </c>
      <c r="P4706">
        <v>0</v>
      </c>
      <c r="Q4706">
        <v>0</v>
      </c>
      <c r="R4706" t="s">
        <v>43171</v>
      </c>
      <c r="S4706" t="s">
        <v>43311</v>
      </c>
      <c r="T4706" t="s">
        <v>44677</v>
      </c>
      <c r="U4706" t="s">
        <v>49023</v>
      </c>
      <c r="V4706" t="s">
        <v>56941</v>
      </c>
      <c r="W4706" t="s">
        <v>41057</v>
      </c>
      <c r="X4706" t="s">
        <v>43172</v>
      </c>
    </row>
    <row r="4707" spans="1:24">
      <c r="A4707">
        <f>HYPERLINK("https://www.philgeps.gov.ph/GEPSNONPILOT/Tender/SplashBidNoticeAbstractUI.aspx?menuIndex=3&amp;refID=7084458&amp;Result=3","7084458")</f>
        <v>0</v>
      </c>
      <c r="B4707" t="s">
        <v>1469</v>
      </c>
      <c r="C4707" t="s">
        <v>7910</v>
      </c>
      <c r="D4707" t="s">
        <v>17417</v>
      </c>
      <c r="E4707" t="s">
        <v>21585</v>
      </c>
      <c r="F4707" t="s">
        <v>30052</v>
      </c>
      <c r="G4707" t="s">
        <v>30058</v>
      </c>
      <c r="H4707" t="s">
        <v>15498</v>
      </c>
      <c r="I4707" t="s">
        <v>30084</v>
      </c>
      <c r="J4707" t="s">
        <v>32231</v>
      </c>
      <c r="K4707" t="s">
        <v>39046</v>
      </c>
      <c r="M4707" t="s">
        <v>41036</v>
      </c>
      <c r="N4707" t="s">
        <v>43166</v>
      </c>
      <c r="O4707" t="s">
        <v>43167</v>
      </c>
      <c r="P4707">
        <v>0</v>
      </c>
      <c r="Q4707">
        <v>8</v>
      </c>
      <c r="R4707" t="s">
        <v>43171</v>
      </c>
      <c r="S4707" t="s">
        <v>43311</v>
      </c>
      <c r="T4707" t="s">
        <v>44688</v>
      </c>
      <c r="U4707" t="s">
        <v>49024</v>
      </c>
      <c r="W4707" t="s">
        <v>41036</v>
      </c>
      <c r="X4707" t="s">
        <v>43172</v>
      </c>
    </row>
    <row r="4708" spans="1:24">
      <c r="A4708">
        <f>HYPERLINK("https://www.philgeps.gov.ph/GEPSNONPILOT/Tender/SplashBidNoticeAbstractUI.aspx?menuIndex=3&amp;refID=7084453&amp;Result=3","7084453")</f>
        <v>0</v>
      </c>
      <c r="B4708" t="s">
        <v>1651</v>
      </c>
      <c r="C4708" t="s">
        <v>7911</v>
      </c>
      <c r="D4708" t="s">
        <v>17486</v>
      </c>
      <c r="E4708" t="s">
        <v>19685</v>
      </c>
      <c r="F4708" t="s">
        <v>30052</v>
      </c>
      <c r="G4708" t="s">
        <v>30058</v>
      </c>
      <c r="H4708" t="s">
        <v>15498</v>
      </c>
      <c r="I4708" t="s">
        <v>30073</v>
      </c>
      <c r="J4708" t="s">
        <v>33206</v>
      </c>
      <c r="K4708" t="s">
        <v>39150</v>
      </c>
      <c r="M4708" t="s">
        <v>41056</v>
      </c>
      <c r="N4708" t="s">
        <v>43166</v>
      </c>
      <c r="O4708" t="s">
        <v>43167</v>
      </c>
      <c r="P4708">
        <v>0</v>
      </c>
      <c r="Q4708">
        <v>0</v>
      </c>
      <c r="R4708" t="s">
        <v>43171</v>
      </c>
      <c r="S4708" t="s">
        <v>43311</v>
      </c>
      <c r="T4708" t="s">
        <v>44828</v>
      </c>
      <c r="U4708" t="s">
        <v>49025</v>
      </c>
      <c r="W4708" t="s">
        <v>41056</v>
      </c>
      <c r="X4708" t="s">
        <v>43172</v>
      </c>
    </row>
    <row r="4709" spans="1:24">
      <c r="A4709">
        <f>HYPERLINK("https://www.philgeps.gov.ph/GEPSNONPILOT/Tender/SplashBidNoticeAbstractUI.aspx?menuIndex=3&amp;refID=7084191&amp;Result=3","7084191")</f>
        <v>0</v>
      </c>
      <c r="B4709" t="s">
        <v>1321</v>
      </c>
      <c r="C4709" t="s">
        <v>7912</v>
      </c>
      <c r="D4709" t="s">
        <v>17424</v>
      </c>
      <c r="E4709" t="s">
        <v>21586</v>
      </c>
      <c r="F4709" t="s">
        <v>30052</v>
      </c>
      <c r="G4709" t="s">
        <v>30058</v>
      </c>
      <c r="H4709" t="s">
        <v>15498</v>
      </c>
      <c r="I4709" t="s">
        <v>30092</v>
      </c>
      <c r="J4709" t="s">
        <v>32072</v>
      </c>
      <c r="K4709" t="s">
        <v>39023</v>
      </c>
      <c r="M4709" t="s">
        <v>40988</v>
      </c>
      <c r="N4709" t="s">
        <v>43166</v>
      </c>
      <c r="O4709" t="s">
        <v>43167</v>
      </c>
      <c r="P4709">
        <v>0</v>
      </c>
      <c r="Q4709">
        <v>1</v>
      </c>
      <c r="R4709" t="s">
        <v>43171</v>
      </c>
      <c r="S4709" t="s">
        <v>43311</v>
      </c>
      <c r="T4709" t="s">
        <v>44828</v>
      </c>
      <c r="U4709" t="s">
        <v>49026</v>
      </c>
      <c r="W4709" t="s">
        <v>40988</v>
      </c>
      <c r="X4709" t="s">
        <v>43172</v>
      </c>
    </row>
    <row r="4710" spans="1:24">
      <c r="A4710">
        <f>HYPERLINK("https://www.philgeps.gov.ph/GEPSNONPILOT/Tender/SplashBidNoticeAbstractUI.aspx?menuIndex=3&amp;refID=7084486&amp;Result=3","7084486")</f>
        <v>0</v>
      </c>
      <c r="B4710" t="s">
        <v>1435</v>
      </c>
      <c r="C4710" t="s">
        <v>7913</v>
      </c>
      <c r="D4710" t="s">
        <v>17415</v>
      </c>
      <c r="E4710" t="s">
        <v>21587</v>
      </c>
      <c r="F4710" t="s">
        <v>30052</v>
      </c>
      <c r="G4710" t="s">
        <v>30059</v>
      </c>
      <c r="H4710" t="s">
        <v>15498</v>
      </c>
      <c r="I4710" t="s">
        <v>30108</v>
      </c>
      <c r="J4710" t="s">
        <v>33207</v>
      </c>
      <c r="K4710" t="s">
        <v>39025</v>
      </c>
      <c r="M4710" t="s">
        <v>40813</v>
      </c>
      <c r="N4710" t="s">
        <v>43166</v>
      </c>
      <c r="O4710" t="s">
        <v>43167</v>
      </c>
      <c r="P4710">
        <v>0</v>
      </c>
      <c r="Q4710">
        <v>3</v>
      </c>
      <c r="R4710" t="s">
        <v>43171</v>
      </c>
      <c r="S4710" t="s">
        <v>43311</v>
      </c>
      <c r="T4710" t="s">
        <v>44844</v>
      </c>
      <c r="U4710" t="s">
        <v>49027</v>
      </c>
      <c r="W4710" t="s">
        <v>40813</v>
      </c>
      <c r="X4710" t="s">
        <v>43172</v>
      </c>
    </row>
    <row r="4711" spans="1:24">
      <c r="A4711">
        <f>HYPERLINK("https://www.philgeps.gov.ph/GEPSNONPILOT/Tender/SplashBidNoticeAbstractUI.aspx?menuIndex=3&amp;refID=7082827&amp;Result=3","7082827")</f>
        <v>0</v>
      </c>
      <c r="B4711" t="s">
        <v>854</v>
      </c>
      <c r="C4711" t="s">
        <v>7914</v>
      </c>
      <c r="D4711" t="s">
        <v>17445</v>
      </c>
      <c r="E4711" t="s">
        <v>21588</v>
      </c>
      <c r="F4711" t="s">
        <v>30052</v>
      </c>
      <c r="G4711" t="s">
        <v>30058</v>
      </c>
      <c r="H4711" t="s">
        <v>30067</v>
      </c>
      <c r="I4711" t="s">
        <v>3693</v>
      </c>
      <c r="J4711" t="s">
        <v>31202</v>
      </c>
      <c r="K4711" t="s">
        <v>39031</v>
      </c>
      <c r="M4711" t="s">
        <v>40171</v>
      </c>
      <c r="N4711" t="s">
        <v>43166</v>
      </c>
      <c r="O4711" t="s">
        <v>43167</v>
      </c>
      <c r="P4711">
        <v>0</v>
      </c>
      <c r="Q4711">
        <v>0</v>
      </c>
      <c r="R4711" t="s">
        <v>43171</v>
      </c>
      <c r="S4711" t="s">
        <v>43311</v>
      </c>
      <c r="T4711" t="s">
        <v>44710</v>
      </c>
      <c r="U4711" t="s">
        <v>49028</v>
      </c>
      <c r="W4711" t="s">
        <v>40171</v>
      </c>
      <c r="X4711" t="s">
        <v>43172</v>
      </c>
    </row>
    <row r="4712" spans="1:24">
      <c r="A4712">
        <f>HYPERLINK("https://www.philgeps.gov.ph/GEPSNONPILOT/Tender/SplashBidNoticeAbstractUI.aspx?menuIndex=3&amp;refID=7082792&amp;Result=3","7082792")</f>
        <v>0</v>
      </c>
      <c r="B4712" t="s">
        <v>607</v>
      </c>
      <c r="C4712" t="s">
        <v>7915</v>
      </c>
      <c r="D4712" t="s">
        <v>17459</v>
      </c>
      <c r="E4712" t="s">
        <v>21589</v>
      </c>
      <c r="F4712" t="s">
        <v>30052</v>
      </c>
      <c r="G4712" t="s">
        <v>30059</v>
      </c>
      <c r="H4712" t="s">
        <v>30067</v>
      </c>
      <c r="I4712" t="s">
        <v>3693</v>
      </c>
      <c r="J4712" t="s">
        <v>33208</v>
      </c>
      <c r="K4712" t="s">
        <v>39052</v>
      </c>
      <c r="M4712" t="s">
        <v>40755</v>
      </c>
      <c r="N4712" t="s">
        <v>43166</v>
      </c>
      <c r="O4712" t="s">
        <v>43167</v>
      </c>
      <c r="P4712">
        <v>0</v>
      </c>
      <c r="Q4712">
        <v>0</v>
      </c>
      <c r="R4712" t="s">
        <v>43171</v>
      </c>
      <c r="S4712" t="s">
        <v>43311</v>
      </c>
      <c r="T4712" t="s">
        <v>44714</v>
      </c>
      <c r="U4712" t="s">
        <v>49029</v>
      </c>
      <c r="W4712" t="s">
        <v>40755</v>
      </c>
      <c r="X4712" t="s">
        <v>43172</v>
      </c>
    </row>
    <row r="4713" spans="1:24">
      <c r="A4713">
        <f>HYPERLINK("https://www.philgeps.gov.ph/GEPSNONPILOT/Tender/SplashBidNoticeAbstractUI.aspx?menuIndex=3&amp;refID=7084454&amp;Result=3","7084454")</f>
        <v>0</v>
      </c>
      <c r="B4713" t="s">
        <v>1632</v>
      </c>
      <c r="C4713" t="s">
        <v>7916</v>
      </c>
      <c r="D4713" t="s">
        <v>17459</v>
      </c>
      <c r="E4713" t="s">
        <v>21590</v>
      </c>
      <c r="F4713" t="s">
        <v>30052</v>
      </c>
      <c r="G4713" t="s">
        <v>30064</v>
      </c>
      <c r="H4713" t="s">
        <v>30067</v>
      </c>
      <c r="I4713" t="s">
        <v>3736</v>
      </c>
      <c r="J4713" t="s">
        <v>30230</v>
      </c>
      <c r="K4713" t="s">
        <v>39029</v>
      </c>
      <c r="M4713" t="s">
        <v>41032</v>
      </c>
      <c r="N4713" t="s">
        <v>43166</v>
      </c>
      <c r="O4713" t="s">
        <v>43167</v>
      </c>
      <c r="P4713">
        <v>0</v>
      </c>
      <c r="Q4713">
        <v>0</v>
      </c>
      <c r="R4713" t="s">
        <v>43171</v>
      </c>
      <c r="S4713" t="s">
        <v>43311</v>
      </c>
      <c r="T4713" t="s">
        <v>44830</v>
      </c>
      <c r="U4713" t="s">
        <v>49030</v>
      </c>
      <c r="V4713" t="s">
        <v>57335</v>
      </c>
      <c r="W4713" t="s">
        <v>41032</v>
      </c>
      <c r="X4713" t="s">
        <v>43172</v>
      </c>
    </row>
    <row r="4714" spans="1:24">
      <c r="A4714">
        <f>HYPERLINK("https://www.philgeps.gov.ph/GEPSNONPILOT/Tender/SplashBidNoticeAbstractUI.aspx?menuIndex=3&amp;refID=7082789&amp;Result=3","7082789")</f>
        <v>0</v>
      </c>
      <c r="B4714" t="s">
        <v>1653</v>
      </c>
      <c r="C4714" t="s">
        <v>7917</v>
      </c>
      <c r="D4714" t="s">
        <v>17464</v>
      </c>
      <c r="E4714" t="s">
        <v>21591</v>
      </c>
      <c r="F4714" t="s">
        <v>30052</v>
      </c>
      <c r="G4714" t="s">
        <v>30059</v>
      </c>
      <c r="H4714" t="s">
        <v>15498</v>
      </c>
      <c r="I4714" t="s">
        <v>30071</v>
      </c>
      <c r="J4714" t="s">
        <v>33209</v>
      </c>
      <c r="K4714" t="s">
        <v>39017</v>
      </c>
      <c r="M4714" t="s">
        <v>41058</v>
      </c>
      <c r="N4714" t="s">
        <v>43166</v>
      </c>
      <c r="O4714" t="s">
        <v>43167</v>
      </c>
      <c r="P4714">
        <v>0</v>
      </c>
      <c r="Q4714">
        <v>0</v>
      </c>
      <c r="R4714" t="s">
        <v>43171</v>
      </c>
      <c r="S4714" t="s">
        <v>43311</v>
      </c>
      <c r="T4714" t="s">
        <v>44841</v>
      </c>
      <c r="U4714" t="s">
        <v>49031</v>
      </c>
      <c r="V4714" t="s">
        <v>57344</v>
      </c>
      <c r="W4714" t="s">
        <v>41058</v>
      </c>
      <c r="X4714" t="s">
        <v>43172</v>
      </c>
    </row>
    <row r="4715" spans="1:24">
      <c r="A4715">
        <f>HYPERLINK("https://www.philgeps.gov.ph/GEPSNONPILOT/Tender/SplashBidNoticeAbstractUI.aspx?menuIndex=3&amp;refID=7084462&amp;Result=3","7084462")</f>
        <v>0</v>
      </c>
      <c r="B4715" t="s">
        <v>1435</v>
      </c>
      <c r="C4715" t="s">
        <v>7918</v>
      </c>
      <c r="D4715" t="s">
        <v>17415</v>
      </c>
      <c r="E4715" t="s">
        <v>21592</v>
      </c>
      <c r="F4715" t="s">
        <v>30052</v>
      </c>
      <c r="G4715" t="s">
        <v>30059</v>
      </c>
      <c r="H4715" t="s">
        <v>30067</v>
      </c>
      <c r="I4715" t="s">
        <v>3693</v>
      </c>
      <c r="J4715" t="s">
        <v>33210</v>
      </c>
      <c r="K4715" t="s">
        <v>39023</v>
      </c>
      <c r="M4715" t="s">
        <v>40813</v>
      </c>
      <c r="N4715" t="s">
        <v>43166</v>
      </c>
      <c r="O4715" t="s">
        <v>43167</v>
      </c>
      <c r="P4715">
        <v>0</v>
      </c>
      <c r="Q4715">
        <v>0</v>
      </c>
      <c r="R4715" t="s">
        <v>43171</v>
      </c>
      <c r="S4715" t="s">
        <v>43311</v>
      </c>
      <c r="T4715" t="s">
        <v>44844</v>
      </c>
      <c r="U4715" t="s">
        <v>49032</v>
      </c>
      <c r="W4715" t="s">
        <v>40813</v>
      </c>
      <c r="X4715" t="s">
        <v>43172</v>
      </c>
    </row>
    <row r="4716" spans="1:24">
      <c r="A4716">
        <f>HYPERLINK("https://www.philgeps.gov.ph/GEPSNONPILOT/Tender/SplashBidNoticeAbstractUI.aspx?menuIndex=3&amp;refID=7082825&amp;Result=3","7082825")</f>
        <v>0</v>
      </c>
      <c r="B4716" t="s">
        <v>1134</v>
      </c>
      <c r="C4716" t="s">
        <v>7919</v>
      </c>
      <c r="D4716" t="s">
        <v>17459</v>
      </c>
      <c r="E4716" t="s">
        <v>21593</v>
      </c>
      <c r="F4716" t="s">
        <v>30052</v>
      </c>
      <c r="G4716" t="s">
        <v>30058</v>
      </c>
      <c r="H4716" t="s">
        <v>15498</v>
      </c>
      <c r="I4716" t="s">
        <v>30097</v>
      </c>
      <c r="J4716" t="s">
        <v>33211</v>
      </c>
      <c r="K4716" t="s">
        <v>39029</v>
      </c>
      <c r="M4716" t="s">
        <v>40749</v>
      </c>
      <c r="N4716" t="s">
        <v>43166</v>
      </c>
      <c r="O4716" t="s">
        <v>43167</v>
      </c>
      <c r="P4716">
        <v>0</v>
      </c>
      <c r="Q4716">
        <v>2</v>
      </c>
      <c r="R4716" t="s">
        <v>43171</v>
      </c>
      <c r="S4716" t="s">
        <v>43311</v>
      </c>
      <c r="T4716" t="s">
        <v>44722</v>
      </c>
      <c r="U4716" t="s">
        <v>49033</v>
      </c>
      <c r="V4716" t="s">
        <v>57265</v>
      </c>
      <c r="W4716" t="s">
        <v>40749</v>
      </c>
      <c r="X4716" t="s">
        <v>43172</v>
      </c>
    </row>
    <row r="4717" spans="1:24">
      <c r="A4717">
        <f>HYPERLINK("https://www.philgeps.gov.ph/GEPSNONPILOT/Tender/SplashBidNoticeAbstractUI.aspx?menuIndex=3&amp;refID=7082691&amp;Result=3","7082691")</f>
        <v>0</v>
      </c>
      <c r="B4717" t="s">
        <v>1056</v>
      </c>
      <c r="C4717" t="s">
        <v>7920</v>
      </c>
      <c r="D4717" t="s">
        <v>17422</v>
      </c>
      <c r="E4717" t="s">
        <v>21594</v>
      </c>
      <c r="F4717" t="s">
        <v>30052</v>
      </c>
      <c r="G4717" t="s">
        <v>30059</v>
      </c>
      <c r="H4717" t="s">
        <v>15498</v>
      </c>
      <c r="I4717" t="s">
        <v>3693</v>
      </c>
      <c r="J4717" t="s">
        <v>30439</v>
      </c>
      <c r="K4717" t="s">
        <v>39017</v>
      </c>
      <c r="M4717" t="s">
        <v>40391</v>
      </c>
      <c r="N4717" t="s">
        <v>43166</v>
      </c>
      <c r="O4717" t="s">
        <v>43167</v>
      </c>
      <c r="P4717">
        <v>0</v>
      </c>
      <c r="Q4717">
        <v>0</v>
      </c>
      <c r="R4717" t="s">
        <v>43171</v>
      </c>
      <c r="S4717" t="s">
        <v>43311</v>
      </c>
      <c r="T4717" t="s">
        <v>44685</v>
      </c>
      <c r="U4717" t="s">
        <v>47430</v>
      </c>
      <c r="W4717" t="s">
        <v>40391</v>
      </c>
      <c r="X4717" t="s">
        <v>43172</v>
      </c>
    </row>
    <row r="4718" spans="1:24">
      <c r="A4718">
        <f>HYPERLINK("https://www.philgeps.gov.ph/GEPSNONPILOT/Tender/SplashBidNoticeAbstractUI.aspx?menuIndex=3&amp;refID=7082655&amp;Result=3","7082655")</f>
        <v>0</v>
      </c>
      <c r="B4718" t="s">
        <v>1350</v>
      </c>
      <c r="C4718" t="s">
        <v>7921</v>
      </c>
      <c r="D4718" t="s">
        <v>17415</v>
      </c>
      <c r="E4718" t="s">
        <v>21595</v>
      </c>
      <c r="F4718" t="s">
        <v>30052</v>
      </c>
      <c r="G4718" t="s">
        <v>30058</v>
      </c>
      <c r="H4718" t="s">
        <v>15498</v>
      </c>
      <c r="I4718" t="s">
        <v>9238</v>
      </c>
      <c r="J4718" t="s">
        <v>33212</v>
      </c>
      <c r="K4718" t="s">
        <v>39025</v>
      </c>
      <c r="L4718" t="s">
        <v>1350</v>
      </c>
      <c r="M4718" t="s">
        <v>40719</v>
      </c>
      <c r="N4718" t="s">
        <v>43166</v>
      </c>
      <c r="O4718" t="s">
        <v>43167</v>
      </c>
      <c r="P4718">
        <v>0</v>
      </c>
      <c r="Q4718">
        <v>13</v>
      </c>
      <c r="R4718" t="s">
        <v>43171</v>
      </c>
      <c r="S4718" t="s">
        <v>43311</v>
      </c>
      <c r="T4718" t="s">
        <v>44789</v>
      </c>
      <c r="U4718" t="s">
        <v>48208</v>
      </c>
      <c r="W4718" t="s">
        <v>40719</v>
      </c>
      <c r="X4718" t="s">
        <v>43172</v>
      </c>
    </row>
    <row r="4719" spans="1:24">
      <c r="A4719">
        <f>HYPERLINK("https://www.philgeps.gov.ph/GEPSNONPILOT/Tender/SplashBidNoticeAbstractUI.aspx?menuIndex=3&amp;refID=7082653&amp;Result=3","7082653")</f>
        <v>0</v>
      </c>
      <c r="B4719" t="s">
        <v>721</v>
      </c>
      <c r="C4719" t="s">
        <v>7922</v>
      </c>
      <c r="E4719" t="s">
        <v>21596</v>
      </c>
      <c r="F4719" t="s">
        <v>30052</v>
      </c>
      <c r="G4719" t="s">
        <v>30058</v>
      </c>
      <c r="H4719" t="s">
        <v>30067</v>
      </c>
      <c r="I4719" t="s">
        <v>3693</v>
      </c>
      <c r="J4719" t="s">
        <v>33213</v>
      </c>
      <c r="K4719" t="s">
        <v>39111</v>
      </c>
      <c r="M4719" t="s">
        <v>40031</v>
      </c>
      <c r="N4719" t="s">
        <v>43166</v>
      </c>
      <c r="O4719" t="s">
        <v>43167</v>
      </c>
      <c r="P4719">
        <v>0</v>
      </c>
      <c r="Q4719">
        <v>0</v>
      </c>
      <c r="R4719" t="s">
        <v>43171</v>
      </c>
      <c r="S4719" t="s">
        <v>43311</v>
      </c>
      <c r="T4719" t="s">
        <v>44780</v>
      </c>
      <c r="U4719" t="s">
        <v>46563</v>
      </c>
      <c r="W4719" t="s">
        <v>40031</v>
      </c>
      <c r="X4719" t="s">
        <v>43172</v>
      </c>
    </row>
    <row r="4720" spans="1:24">
      <c r="A4720">
        <f>HYPERLINK("https://www.philgeps.gov.ph/GEPSNONPILOT/Tender/SplashBidNoticeAbstractUI.aspx?menuIndex=3&amp;refID=7082650&amp;Result=3","7082650")</f>
        <v>0</v>
      </c>
      <c r="B4720" t="s">
        <v>1181</v>
      </c>
      <c r="C4720" t="s">
        <v>7923</v>
      </c>
      <c r="D4720" t="s">
        <v>17444</v>
      </c>
      <c r="E4720" t="s">
        <v>21597</v>
      </c>
      <c r="F4720" t="s">
        <v>30052</v>
      </c>
      <c r="G4720" t="s">
        <v>30059</v>
      </c>
      <c r="H4720" t="s">
        <v>30068</v>
      </c>
      <c r="I4720" t="s">
        <v>30068</v>
      </c>
      <c r="J4720" t="s">
        <v>33214</v>
      </c>
      <c r="K4720" t="s">
        <v>39025</v>
      </c>
      <c r="M4720" t="s">
        <v>40531</v>
      </c>
      <c r="N4720" t="s">
        <v>43166</v>
      </c>
      <c r="O4720" t="s">
        <v>43167</v>
      </c>
      <c r="P4720">
        <v>0</v>
      </c>
      <c r="Q4720">
        <v>2</v>
      </c>
      <c r="R4720" t="s">
        <v>43171</v>
      </c>
      <c r="S4720" t="s">
        <v>43311</v>
      </c>
      <c r="T4720" t="s">
        <v>44705</v>
      </c>
      <c r="U4720" t="s">
        <v>49034</v>
      </c>
      <c r="W4720" t="s">
        <v>40531</v>
      </c>
      <c r="X4720" t="s">
        <v>43172</v>
      </c>
    </row>
    <row r="4721" spans="1:24">
      <c r="A4721">
        <f>HYPERLINK("https://www.philgeps.gov.ph/GEPSNONPILOT/Tender/SplashBidNoticeAbstractUI.aspx?menuIndex=3&amp;refID=7082649&amp;Result=3","7082649")</f>
        <v>0</v>
      </c>
      <c r="B4721" t="s">
        <v>622</v>
      </c>
      <c r="C4721" t="s">
        <v>7924</v>
      </c>
      <c r="D4721" t="s">
        <v>17421</v>
      </c>
      <c r="E4721" t="s">
        <v>21598</v>
      </c>
      <c r="F4721" t="s">
        <v>30052</v>
      </c>
      <c r="G4721" t="s">
        <v>30059</v>
      </c>
      <c r="H4721" t="s">
        <v>15498</v>
      </c>
      <c r="I4721" t="s">
        <v>30130</v>
      </c>
      <c r="J4721" t="s">
        <v>30258</v>
      </c>
      <c r="K4721" t="s">
        <v>39023</v>
      </c>
      <c r="M4721" t="s">
        <v>39925</v>
      </c>
      <c r="N4721" t="s">
        <v>43166</v>
      </c>
      <c r="O4721" t="s">
        <v>43167</v>
      </c>
      <c r="P4721">
        <v>0</v>
      </c>
      <c r="Q4721">
        <v>2</v>
      </c>
      <c r="R4721" t="s">
        <v>43171</v>
      </c>
      <c r="S4721" t="s">
        <v>43311</v>
      </c>
      <c r="T4721" t="s">
        <v>44864</v>
      </c>
      <c r="U4721" t="s">
        <v>49035</v>
      </c>
      <c r="W4721" t="s">
        <v>39925</v>
      </c>
      <c r="X4721" t="s">
        <v>43172</v>
      </c>
    </row>
    <row r="4722" spans="1:24">
      <c r="A4722">
        <f>HYPERLINK("https://www.philgeps.gov.ph/GEPSNONPILOT/Tender/SplashBidNoticeAbstractUI.aspx?menuIndex=3&amp;refID=7082648&amp;Result=3","7082648")</f>
        <v>0</v>
      </c>
      <c r="B4722" t="s">
        <v>1320</v>
      </c>
      <c r="C4722" t="s">
        <v>7925</v>
      </c>
      <c r="D4722" t="s">
        <v>17440</v>
      </c>
      <c r="E4722" t="s">
        <v>21599</v>
      </c>
      <c r="F4722" t="s">
        <v>30052</v>
      </c>
      <c r="G4722" t="s">
        <v>30058</v>
      </c>
      <c r="H4722" t="s">
        <v>15498</v>
      </c>
      <c r="I4722" t="s">
        <v>30091</v>
      </c>
      <c r="J4722" t="s">
        <v>33215</v>
      </c>
      <c r="K4722" t="s">
        <v>39023</v>
      </c>
      <c r="M4722" t="s">
        <v>40687</v>
      </c>
      <c r="N4722" t="s">
        <v>43166</v>
      </c>
      <c r="O4722" t="s">
        <v>43167</v>
      </c>
      <c r="P4722">
        <v>0</v>
      </c>
      <c r="Q4722">
        <v>4</v>
      </c>
      <c r="R4722" t="s">
        <v>43171</v>
      </c>
      <c r="S4722" t="s">
        <v>43311</v>
      </c>
      <c r="T4722" t="s">
        <v>44789</v>
      </c>
      <c r="U4722" t="s">
        <v>48107</v>
      </c>
      <c r="V4722" t="s">
        <v>57260</v>
      </c>
      <c r="W4722" t="s">
        <v>40687</v>
      </c>
      <c r="X4722" t="s">
        <v>43172</v>
      </c>
    </row>
    <row r="4723" spans="1:24">
      <c r="A4723">
        <f>HYPERLINK("https://www.philgeps.gov.ph/GEPSNONPILOT/Tender/SplashBidNoticeAbstractUI.aspx?menuIndex=3&amp;refID=6988609-2&amp;Result=3","6988609-2")</f>
        <v>0</v>
      </c>
      <c r="B4723" t="s">
        <v>1654</v>
      </c>
      <c r="C4723" t="s">
        <v>7926</v>
      </c>
      <c r="E4723" t="s">
        <v>21600</v>
      </c>
      <c r="F4723" t="s">
        <v>30052</v>
      </c>
      <c r="G4723" t="s">
        <v>30058</v>
      </c>
      <c r="H4723" t="s">
        <v>30068</v>
      </c>
      <c r="I4723" t="s">
        <v>30068</v>
      </c>
      <c r="J4723" t="s">
        <v>33216</v>
      </c>
      <c r="K4723" t="s">
        <v>39025</v>
      </c>
      <c r="M4723" t="s">
        <v>41059</v>
      </c>
      <c r="N4723" t="s">
        <v>43166</v>
      </c>
      <c r="O4723" t="s">
        <v>43167</v>
      </c>
      <c r="Q4723">
        <v>2</v>
      </c>
      <c r="R4723" t="s">
        <v>43172</v>
      </c>
      <c r="S4723" t="s">
        <v>43333</v>
      </c>
      <c r="T4723" t="s">
        <v>44828</v>
      </c>
      <c r="U4723" t="s">
        <v>49036</v>
      </c>
      <c r="W4723" t="s">
        <v>41059</v>
      </c>
      <c r="X4723" t="s">
        <v>43173</v>
      </c>
    </row>
    <row r="4724" spans="1:24">
      <c r="A4724">
        <f>HYPERLINK("https://www.philgeps.gov.ph/GEPSNONPILOT/Tender/SplashBidNoticeAbstractUI.aspx?menuIndex=3&amp;refID=7068158&amp;Result=3","7068158")</f>
        <v>0</v>
      </c>
      <c r="B4724" t="s">
        <v>1655</v>
      </c>
      <c r="C4724" t="s">
        <v>7927</v>
      </c>
      <c r="D4724" t="s">
        <v>17481</v>
      </c>
      <c r="E4724" t="s">
        <v>21601</v>
      </c>
      <c r="F4724" t="s">
        <v>30052</v>
      </c>
      <c r="G4724" t="s">
        <v>30058</v>
      </c>
      <c r="H4724" t="s">
        <v>15498</v>
      </c>
      <c r="I4724" t="s">
        <v>30088</v>
      </c>
      <c r="J4724" t="s">
        <v>30360</v>
      </c>
      <c r="K4724" t="s">
        <v>39034</v>
      </c>
      <c r="M4724" t="s">
        <v>41060</v>
      </c>
      <c r="N4724" t="s">
        <v>43166</v>
      </c>
      <c r="O4724" t="s">
        <v>43167</v>
      </c>
      <c r="P4724">
        <v>0</v>
      </c>
      <c r="Q4724">
        <v>8</v>
      </c>
      <c r="R4724" t="s">
        <v>43172</v>
      </c>
      <c r="S4724" t="s">
        <v>43334</v>
      </c>
      <c r="T4724" t="s">
        <v>44685</v>
      </c>
      <c r="U4724" t="s">
        <v>49037</v>
      </c>
      <c r="W4724" t="s">
        <v>41060</v>
      </c>
      <c r="X4724" t="s">
        <v>43179</v>
      </c>
    </row>
    <row r="4725" spans="1:24">
      <c r="A4725">
        <f>HYPERLINK("https://www.philgeps.gov.ph/GEPSNONPILOT/Tender/SplashBidNoticeAbstractUI.aspx?menuIndex=3&amp;refID=7064120&amp;Result=3","7064120")</f>
        <v>0</v>
      </c>
      <c r="B4725" t="s">
        <v>1656</v>
      </c>
      <c r="C4725" t="s">
        <v>7928</v>
      </c>
      <c r="D4725" t="s">
        <v>17432</v>
      </c>
      <c r="E4725" t="s">
        <v>17892</v>
      </c>
      <c r="F4725" t="s">
        <v>30052</v>
      </c>
      <c r="G4725" t="s">
        <v>30061</v>
      </c>
      <c r="H4725" t="s">
        <v>15498</v>
      </c>
      <c r="I4725" t="s">
        <v>3852</v>
      </c>
      <c r="J4725" t="s">
        <v>32983</v>
      </c>
      <c r="K4725" t="s">
        <v>39018</v>
      </c>
      <c r="M4725" t="s">
        <v>41061</v>
      </c>
      <c r="N4725" t="s">
        <v>43166</v>
      </c>
      <c r="O4725" t="s">
        <v>43167</v>
      </c>
      <c r="P4725">
        <v>0</v>
      </c>
      <c r="Q4725">
        <v>0</v>
      </c>
      <c r="R4725" t="s">
        <v>43172</v>
      </c>
      <c r="S4725" t="s">
        <v>43334</v>
      </c>
      <c r="T4725" t="s">
        <v>44843</v>
      </c>
      <c r="U4725" t="s">
        <v>49038</v>
      </c>
      <c r="W4725" t="s">
        <v>41061</v>
      </c>
      <c r="X4725" t="s">
        <v>43181</v>
      </c>
    </row>
    <row r="4726" spans="1:24">
      <c r="A4726">
        <f>HYPERLINK("https://www.philgeps.gov.ph/GEPSNONPILOT/Tender/SplashBidNoticeAbstractUI.aspx?menuIndex=3&amp;refID=7063633&amp;Result=3","7063633")</f>
        <v>0</v>
      </c>
      <c r="B4726" t="s">
        <v>1657</v>
      </c>
      <c r="C4726" t="s">
        <v>7929</v>
      </c>
      <c r="D4726" t="s">
        <v>17450</v>
      </c>
      <c r="E4726" t="s">
        <v>17799</v>
      </c>
      <c r="F4726" t="s">
        <v>30052</v>
      </c>
      <c r="G4726" t="s">
        <v>30058</v>
      </c>
      <c r="H4726" t="s">
        <v>15498</v>
      </c>
      <c r="I4726" t="s">
        <v>30076</v>
      </c>
      <c r="J4726" t="s">
        <v>33217</v>
      </c>
      <c r="K4726" t="s">
        <v>39029</v>
      </c>
      <c r="M4726" t="s">
        <v>41062</v>
      </c>
      <c r="N4726" t="s">
        <v>43166</v>
      </c>
      <c r="O4726" t="s">
        <v>43167</v>
      </c>
      <c r="Q4726">
        <v>10</v>
      </c>
      <c r="R4726" t="s">
        <v>43172</v>
      </c>
      <c r="S4726" t="s">
        <v>43335</v>
      </c>
      <c r="T4726" t="s">
        <v>44999</v>
      </c>
      <c r="U4726" t="s">
        <v>49039</v>
      </c>
      <c r="W4726" t="s">
        <v>41062</v>
      </c>
      <c r="X4726" t="s">
        <v>43181</v>
      </c>
    </row>
    <row r="4727" spans="1:24">
      <c r="A4727">
        <f>HYPERLINK("https://www.philgeps.gov.ph/GEPSNONPILOT/Tender/SplashBidNoticeAbstractUI.aspx?menuIndex=3&amp;refID=7061234-2&amp;Result=3","7061234-2")</f>
        <v>0</v>
      </c>
      <c r="B4727" t="s">
        <v>1658</v>
      </c>
      <c r="C4727" t="s">
        <v>7930</v>
      </c>
      <c r="E4727" t="s">
        <v>21602</v>
      </c>
      <c r="F4727" t="s">
        <v>30052</v>
      </c>
      <c r="G4727" t="s">
        <v>30058</v>
      </c>
      <c r="H4727" t="s">
        <v>30068</v>
      </c>
      <c r="I4727" t="s">
        <v>30068</v>
      </c>
      <c r="J4727" t="s">
        <v>33218</v>
      </c>
      <c r="K4727" t="s">
        <v>39025</v>
      </c>
      <c r="M4727" t="s">
        <v>41063</v>
      </c>
      <c r="N4727" t="s">
        <v>43166</v>
      </c>
      <c r="O4727" t="s">
        <v>43167</v>
      </c>
      <c r="P4727">
        <v>0</v>
      </c>
      <c r="Q4727">
        <v>0</v>
      </c>
      <c r="R4727" t="s">
        <v>43172</v>
      </c>
      <c r="S4727" t="s">
        <v>43334</v>
      </c>
      <c r="T4727" t="s">
        <v>44758</v>
      </c>
      <c r="U4727" t="s">
        <v>49040</v>
      </c>
      <c r="V4727" t="s">
        <v>57345</v>
      </c>
      <c r="W4727" t="s">
        <v>41063</v>
      </c>
      <c r="X4727" t="s">
        <v>43173</v>
      </c>
    </row>
    <row r="4728" spans="1:24">
      <c r="A4728">
        <f>HYPERLINK("https://www.philgeps.gov.ph/GEPSNONPILOT/Tender/SplashBidNoticeAbstractUI.aspx?menuIndex=3&amp;refID=7082786&amp;Result=3","7082786")</f>
        <v>0</v>
      </c>
      <c r="B4728" t="s">
        <v>1370</v>
      </c>
      <c r="C4728" t="s">
        <v>7931</v>
      </c>
      <c r="D4728" t="s">
        <v>17432</v>
      </c>
      <c r="E4728" t="s">
        <v>21603</v>
      </c>
      <c r="F4728" t="s">
        <v>30052</v>
      </c>
      <c r="G4728" t="s">
        <v>30058</v>
      </c>
      <c r="H4728" t="s">
        <v>15498</v>
      </c>
      <c r="I4728" t="s">
        <v>3736</v>
      </c>
      <c r="J4728" t="s">
        <v>30591</v>
      </c>
      <c r="K4728" t="s">
        <v>39034</v>
      </c>
      <c r="M4728" t="s">
        <v>40742</v>
      </c>
      <c r="N4728" t="s">
        <v>43166</v>
      </c>
      <c r="O4728" t="s">
        <v>43167</v>
      </c>
      <c r="P4728">
        <v>0</v>
      </c>
      <c r="Q4728">
        <v>0</v>
      </c>
      <c r="R4728" t="s">
        <v>43171</v>
      </c>
      <c r="S4728" t="s">
        <v>43311</v>
      </c>
      <c r="T4728" t="s">
        <v>44765</v>
      </c>
      <c r="U4728" t="s">
        <v>49041</v>
      </c>
      <c r="W4728" t="s">
        <v>40742</v>
      </c>
      <c r="X4728" t="s">
        <v>43172</v>
      </c>
    </row>
    <row r="4729" spans="1:24">
      <c r="A4729">
        <f>HYPERLINK("https://www.philgeps.gov.ph/GEPSNONPILOT/Tender/SplashBidNoticeAbstractUI.aspx?menuIndex=3&amp;refID=7059933&amp;Result=3","7059933")</f>
        <v>0</v>
      </c>
      <c r="B4729" t="s">
        <v>1659</v>
      </c>
      <c r="C4729" t="s">
        <v>7932</v>
      </c>
      <c r="D4729" t="s">
        <v>17462</v>
      </c>
      <c r="E4729" t="s">
        <v>21604</v>
      </c>
      <c r="F4729" t="s">
        <v>30052</v>
      </c>
      <c r="G4729" t="s">
        <v>30058</v>
      </c>
      <c r="H4729" t="s">
        <v>15498</v>
      </c>
      <c r="I4729" t="s">
        <v>3852</v>
      </c>
      <c r="J4729" t="s">
        <v>33219</v>
      </c>
      <c r="K4729" t="s">
        <v>39017</v>
      </c>
      <c r="M4729" t="s">
        <v>41064</v>
      </c>
      <c r="N4729" t="s">
        <v>43166</v>
      </c>
      <c r="O4729" t="s">
        <v>43167</v>
      </c>
      <c r="P4729">
        <v>0</v>
      </c>
      <c r="Q4729">
        <v>0</v>
      </c>
      <c r="R4729" t="s">
        <v>43172</v>
      </c>
      <c r="S4729" t="s">
        <v>43334</v>
      </c>
      <c r="T4729" t="s">
        <v>44737</v>
      </c>
      <c r="U4729" t="s">
        <v>49042</v>
      </c>
      <c r="W4729" t="s">
        <v>41064</v>
      </c>
      <c r="X4729" t="s">
        <v>43182</v>
      </c>
    </row>
    <row r="4730" spans="1:24">
      <c r="A4730">
        <f>HYPERLINK("https://www.philgeps.gov.ph/GEPSNONPILOT/Tender/SplashBidNoticeAbstractUI.aspx?menuIndex=3&amp;refID=7082791&amp;Result=3","7082791")</f>
        <v>0</v>
      </c>
      <c r="B4730" t="s">
        <v>1489</v>
      </c>
      <c r="C4730" t="s">
        <v>7933</v>
      </c>
      <c r="D4730" t="s">
        <v>17442</v>
      </c>
      <c r="E4730" t="s">
        <v>21605</v>
      </c>
      <c r="F4730" t="s">
        <v>30052</v>
      </c>
      <c r="G4730" t="s">
        <v>30058</v>
      </c>
      <c r="H4730" t="s">
        <v>30067</v>
      </c>
      <c r="I4730" t="s">
        <v>30166</v>
      </c>
      <c r="J4730" t="s">
        <v>33220</v>
      </c>
      <c r="K4730" t="s">
        <v>39029</v>
      </c>
      <c r="M4730" t="s">
        <v>40873</v>
      </c>
      <c r="N4730" t="s">
        <v>43166</v>
      </c>
      <c r="O4730" t="s">
        <v>43167</v>
      </c>
      <c r="P4730">
        <v>0</v>
      </c>
      <c r="Q4730">
        <v>2</v>
      </c>
      <c r="R4730" t="s">
        <v>43171</v>
      </c>
      <c r="S4730" t="s">
        <v>43311</v>
      </c>
      <c r="T4730" t="s">
        <v>44715</v>
      </c>
      <c r="U4730" t="s">
        <v>49043</v>
      </c>
      <c r="W4730" t="s">
        <v>40873</v>
      </c>
      <c r="X4730" t="s">
        <v>43172</v>
      </c>
    </row>
    <row r="4731" spans="1:24">
      <c r="A4731">
        <f>HYPERLINK("https://www.philgeps.gov.ph/GEPSNONPILOT/Tender/SplashBidNoticeAbstractUI.aspx?menuIndex=3&amp;refID=7059814&amp;Result=3","7059814")</f>
        <v>0</v>
      </c>
      <c r="B4731" t="s">
        <v>1659</v>
      </c>
      <c r="C4731" t="s">
        <v>7934</v>
      </c>
      <c r="D4731" t="s">
        <v>17462</v>
      </c>
      <c r="E4731" t="s">
        <v>21604</v>
      </c>
      <c r="F4731" t="s">
        <v>30052</v>
      </c>
      <c r="G4731" t="s">
        <v>30058</v>
      </c>
      <c r="H4731" t="s">
        <v>15498</v>
      </c>
      <c r="I4731" t="s">
        <v>30111</v>
      </c>
      <c r="J4731" t="s">
        <v>33221</v>
      </c>
      <c r="K4731" t="s">
        <v>39017</v>
      </c>
      <c r="M4731" t="s">
        <v>41064</v>
      </c>
      <c r="N4731" t="s">
        <v>43166</v>
      </c>
      <c r="O4731" t="s">
        <v>43167</v>
      </c>
      <c r="P4731">
        <v>0</v>
      </c>
      <c r="Q4731">
        <v>2</v>
      </c>
      <c r="R4731" t="s">
        <v>43172</v>
      </c>
      <c r="S4731" t="s">
        <v>43334</v>
      </c>
      <c r="T4731" t="s">
        <v>44737</v>
      </c>
      <c r="U4731" t="s">
        <v>49044</v>
      </c>
      <c r="W4731" t="s">
        <v>41064</v>
      </c>
      <c r="X4731" t="s">
        <v>43182</v>
      </c>
    </row>
    <row r="4732" spans="1:24">
      <c r="A4732">
        <f>HYPERLINK("https://www.philgeps.gov.ph/GEPSNONPILOT/Tender/SplashBidNoticeAbstractUI.aspx?menuIndex=3&amp;refID=7059781&amp;Result=3","7059781")</f>
        <v>0</v>
      </c>
      <c r="B4732" t="s">
        <v>1659</v>
      </c>
      <c r="C4732" t="s">
        <v>7935</v>
      </c>
      <c r="D4732" t="s">
        <v>17462</v>
      </c>
      <c r="E4732" t="s">
        <v>21604</v>
      </c>
      <c r="F4732" t="s">
        <v>30052</v>
      </c>
      <c r="G4732" t="s">
        <v>30058</v>
      </c>
      <c r="H4732" t="s">
        <v>15498</v>
      </c>
      <c r="I4732" t="s">
        <v>30148</v>
      </c>
      <c r="J4732" t="s">
        <v>33222</v>
      </c>
      <c r="K4732" t="s">
        <v>39017</v>
      </c>
      <c r="M4732" t="s">
        <v>41064</v>
      </c>
      <c r="N4732" t="s">
        <v>43166</v>
      </c>
      <c r="O4732" t="s">
        <v>43167</v>
      </c>
      <c r="P4732">
        <v>0</v>
      </c>
      <c r="Q4732">
        <v>0</v>
      </c>
      <c r="R4732" t="s">
        <v>43172</v>
      </c>
      <c r="S4732" t="s">
        <v>43334</v>
      </c>
      <c r="T4732" t="s">
        <v>44737</v>
      </c>
      <c r="U4732" t="s">
        <v>49045</v>
      </c>
      <c r="W4732" t="s">
        <v>41064</v>
      </c>
      <c r="X4732" t="s">
        <v>43182</v>
      </c>
    </row>
    <row r="4733" spans="1:24">
      <c r="A4733">
        <f>HYPERLINK("https://www.philgeps.gov.ph/GEPSNONPILOT/Tender/SplashBidNoticeAbstractUI.aspx?menuIndex=3&amp;refID=7082787&amp;Result=3","7082787")</f>
        <v>0</v>
      </c>
      <c r="B4733" t="s">
        <v>1325</v>
      </c>
      <c r="C4733" t="s">
        <v>7936</v>
      </c>
      <c r="D4733" t="s">
        <v>17413</v>
      </c>
      <c r="E4733" t="s">
        <v>21606</v>
      </c>
      <c r="F4733" t="s">
        <v>30052</v>
      </c>
      <c r="G4733" t="s">
        <v>30058</v>
      </c>
      <c r="H4733" t="s">
        <v>30067</v>
      </c>
      <c r="I4733" t="s">
        <v>3693</v>
      </c>
      <c r="J4733" t="s">
        <v>31728</v>
      </c>
      <c r="K4733" t="s">
        <v>39133</v>
      </c>
      <c r="M4733" t="s">
        <v>40692</v>
      </c>
      <c r="N4733" t="s">
        <v>43166</v>
      </c>
      <c r="O4733" t="s">
        <v>43167</v>
      </c>
      <c r="P4733">
        <v>0</v>
      </c>
      <c r="Q4733">
        <v>0</v>
      </c>
      <c r="R4733" t="s">
        <v>43171</v>
      </c>
      <c r="S4733" t="s">
        <v>43311</v>
      </c>
      <c r="T4733" t="s">
        <v>44917</v>
      </c>
      <c r="U4733" t="s">
        <v>49046</v>
      </c>
      <c r="W4733" t="s">
        <v>40692</v>
      </c>
      <c r="X4733" t="s">
        <v>43172</v>
      </c>
    </row>
    <row r="4734" spans="1:24">
      <c r="A4734">
        <f>HYPERLINK("https://www.philgeps.gov.ph/GEPSNONPILOT/Tender/SplashBidNoticeAbstractUI.aspx?menuIndex=3&amp;refID=7054892-2&amp;Result=3","7054892-2")</f>
        <v>0</v>
      </c>
      <c r="B4734" t="s">
        <v>1660</v>
      </c>
      <c r="C4734" t="s">
        <v>7937</v>
      </c>
      <c r="E4734" t="s">
        <v>21607</v>
      </c>
      <c r="F4734" t="s">
        <v>30052</v>
      </c>
      <c r="G4734" t="s">
        <v>30058</v>
      </c>
      <c r="H4734" t="s">
        <v>30068</v>
      </c>
      <c r="I4734" t="s">
        <v>30068</v>
      </c>
      <c r="J4734" t="s">
        <v>33223</v>
      </c>
      <c r="K4734" t="s">
        <v>39065</v>
      </c>
      <c r="M4734" t="s">
        <v>41065</v>
      </c>
      <c r="N4734" t="s">
        <v>43166</v>
      </c>
      <c r="O4734" t="s">
        <v>43167</v>
      </c>
      <c r="P4734">
        <v>0</v>
      </c>
      <c r="Q4734">
        <v>1</v>
      </c>
      <c r="R4734" t="s">
        <v>43172</v>
      </c>
      <c r="S4734" t="s">
        <v>43334</v>
      </c>
      <c r="T4734" t="s">
        <v>44791</v>
      </c>
      <c r="U4734" t="s">
        <v>49047</v>
      </c>
      <c r="W4734" t="s">
        <v>41065</v>
      </c>
      <c r="X4734" t="s">
        <v>43173</v>
      </c>
    </row>
    <row r="4735" spans="1:24">
      <c r="A4735">
        <f>HYPERLINK("https://www.philgeps.gov.ph/GEPSNONPILOT/Tender/SplashBidNoticeAbstractUI.aspx?menuIndex=3&amp;refID=7054849-2&amp;Result=3","7054849-2")</f>
        <v>0</v>
      </c>
      <c r="B4735" t="s">
        <v>1660</v>
      </c>
      <c r="C4735" t="s">
        <v>7938</v>
      </c>
      <c r="E4735" t="s">
        <v>21608</v>
      </c>
      <c r="F4735" t="s">
        <v>30052</v>
      </c>
      <c r="G4735" t="s">
        <v>30058</v>
      </c>
      <c r="H4735" t="s">
        <v>30068</v>
      </c>
      <c r="I4735" t="s">
        <v>30068</v>
      </c>
      <c r="J4735" t="s">
        <v>33224</v>
      </c>
      <c r="K4735" t="s">
        <v>39031</v>
      </c>
      <c r="M4735" t="s">
        <v>41065</v>
      </c>
      <c r="N4735" t="s">
        <v>43166</v>
      </c>
      <c r="O4735" t="s">
        <v>43167</v>
      </c>
      <c r="P4735">
        <v>0</v>
      </c>
      <c r="Q4735">
        <v>1</v>
      </c>
      <c r="R4735" t="s">
        <v>43172</v>
      </c>
      <c r="S4735" t="s">
        <v>43334</v>
      </c>
      <c r="T4735" t="s">
        <v>44791</v>
      </c>
      <c r="U4735" t="s">
        <v>49048</v>
      </c>
      <c r="W4735" t="s">
        <v>41065</v>
      </c>
      <c r="X4735" t="s">
        <v>43173</v>
      </c>
    </row>
    <row r="4736" spans="1:24">
      <c r="A4736">
        <f>HYPERLINK("https://www.philgeps.gov.ph/GEPSNONPILOT/Tender/SplashBidNoticeAbstractUI.aspx?menuIndex=3&amp;refID=7074155&amp;Result=3","7074155")</f>
        <v>0</v>
      </c>
      <c r="B4736" t="s">
        <v>1661</v>
      </c>
      <c r="C4736" t="s">
        <v>7939</v>
      </c>
      <c r="D4736" t="s">
        <v>17422</v>
      </c>
      <c r="E4736" t="s">
        <v>21609</v>
      </c>
      <c r="F4736" t="s">
        <v>30052</v>
      </c>
      <c r="G4736" t="s">
        <v>30058</v>
      </c>
      <c r="H4736" t="s">
        <v>15498</v>
      </c>
      <c r="I4736" t="s">
        <v>30076</v>
      </c>
      <c r="J4736" t="s">
        <v>33225</v>
      </c>
      <c r="K4736" t="s">
        <v>39034</v>
      </c>
      <c r="M4736" t="s">
        <v>41066</v>
      </c>
      <c r="N4736" t="s">
        <v>43166</v>
      </c>
      <c r="O4736" t="s">
        <v>43167</v>
      </c>
      <c r="P4736">
        <v>0</v>
      </c>
      <c r="Q4736">
        <v>17</v>
      </c>
      <c r="R4736" t="s">
        <v>43172</v>
      </c>
      <c r="S4736" t="s">
        <v>43334</v>
      </c>
      <c r="T4736" t="s">
        <v>44934</v>
      </c>
      <c r="U4736" t="s">
        <v>49049</v>
      </c>
      <c r="W4736" t="s">
        <v>41066</v>
      </c>
      <c r="X4736" t="s">
        <v>43175</v>
      </c>
    </row>
    <row r="4737" spans="1:24">
      <c r="A4737">
        <f>HYPERLINK("https://www.philgeps.gov.ph/GEPSNONPILOT/Tender/SplashBidNoticeAbstractUI.aspx?menuIndex=3&amp;refID=7074403&amp;Result=3","7074403")</f>
        <v>0</v>
      </c>
      <c r="B4737" t="s">
        <v>1661</v>
      </c>
      <c r="C4737" t="s">
        <v>7940</v>
      </c>
      <c r="D4737" t="s">
        <v>17422</v>
      </c>
      <c r="E4737" t="s">
        <v>21610</v>
      </c>
      <c r="F4737" t="s">
        <v>30052</v>
      </c>
      <c r="G4737" t="s">
        <v>30058</v>
      </c>
      <c r="H4737" t="s">
        <v>30067</v>
      </c>
      <c r="I4737" t="s">
        <v>3693</v>
      </c>
      <c r="J4737" t="s">
        <v>30252</v>
      </c>
      <c r="K4737" t="s">
        <v>39029</v>
      </c>
      <c r="M4737" t="s">
        <v>41066</v>
      </c>
      <c r="N4737" t="s">
        <v>43166</v>
      </c>
      <c r="O4737" t="s">
        <v>43167</v>
      </c>
      <c r="P4737">
        <v>0</v>
      </c>
      <c r="Q4737">
        <v>0</v>
      </c>
      <c r="R4737" t="s">
        <v>43172</v>
      </c>
      <c r="S4737" t="s">
        <v>43334</v>
      </c>
      <c r="T4737" t="s">
        <v>44685</v>
      </c>
      <c r="U4737" t="s">
        <v>49050</v>
      </c>
      <c r="W4737" t="s">
        <v>41066</v>
      </c>
      <c r="X4737" t="s">
        <v>43175</v>
      </c>
    </row>
    <row r="4738" spans="1:24">
      <c r="A4738">
        <f>HYPERLINK("https://www.philgeps.gov.ph/GEPSNONPILOT/Tender/SplashBidNoticeAbstractUI.aspx?menuIndex=3&amp;refID=7074346&amp;Result=3","7074346")</f>
        <v>0</v>
      </c>
      <c r="B4738" t="s">
        <v>1661</v>
      </c>
      <c r="C4738" t="s">
        <v>7941</v>
      </c>
      <c r="D4738" t="s">
        <v>17422</v>
      </c>
      <c r="E4738" t="s">
        <v>21611</v>
      </c>
      <c r="F4738" t="s">
        <v>30052</v>
      </c>
      <c r="G4738" t="s">
        <v>30058</v>
      </c>
      <c r="H4738" t="s">
        <v>30067</v>
      </c>
      <c r="I4738" t="s">
        <v>3693</v>
      </c>
      <c r="J4738" t="s">
        <v>30252</v>
      </c>
      <c r="K4738" t="s">
        <v>39029</v>
      </c>
      <c r="M4738" t="s">
        <v>41066</v>
      </c>
      <c r="N4738" t="s">
        <v>43166</v>
      </c>
      <c r="O4738" t="s">
        <v>43167</v>
      </c>
      <c r="P4738">
        <v>0</v>
      </c>
      <c r="Q4738">
        <v>0</v>
      </c>
      <c r="R4738" t="s">
        <v>43172</v>
      </c>
      <c r="S4738" t="s">
        <v>43334</v>
      </c>
      <c r="T4738" t="s">
        <v>44685</v>
      </c>
      <c r="U4738" t="s">
        <v>49051</v>
      </c>
      <c r="W4738" t="s">
        <v>41066</v>
      </c>
      <c r="X4738" t="s">
        <v>43175</v>
      </c>
    </row>
    <row r="4739" spans="1:24">
      <c r="A4739">
        <f>HYPERLINK("https://www.philgeps.gov.ph/GEPSNONPILOT/Tender/SplashBidNoticeAbstractUI.aspx?menuIndex=3&amp;refID=7074295&amp;Result=3","7074295")</f>
        <v>0</v>
      </c>
      <c r="B4739" t="s">
        <v>1661</v>
      </c>
      <c r="C4739" t="s">
        <v>7942</v>
      </c>
      <c r="D4739" t="s">
        <v>17422</v>
      </c>
      <c r="E4739" t="s">
        <v>21612</v>
      </c>
      <c r="F4739" t="s">
        <v>30052</v>
      </c>
      <c r="G4739" t="s">
        <v>30058</v>
      </c>
      <c r="H4739" t="s">
        <v>30067</v>
      </c>
      <c r="I4739" t="s">
        <v>3693</v>
      </c>
      <c r="J4739" t="s">
        <v>30207</v>
      </c>
      <c r="K4739" t="s">
        <v>39019</v>
      </c>
      <c r="M4739" t="s">
        <v>41066</v>
      </c>
      <c r="N4739" t="s">
        <v>43166</v>
      </c>
      <c r="O4739" t="s">
        <v>43167</v>
      </c>
      <c r="P4739">
        <v>0</v>
      </c>
      <c r="Q4739">
        <v>0</v>
      </c>
      <c r="R4739" t="s">
        <v>43172</v>
      </c>
      <c r="S4739" t="s">
        <v>43334</v>
      </c>
      <c r="T4739" t="s">
        <v>44685</v>
      </c>
      <c r="U4739" t="s">
        <v>49052</v>
      </c>
      <c r="W4739" t="s">
        <v>41066</v>
      </c>
      <c r="X4739" t="s">
        <v>43175</v>
      </c>
    </row>
    <row r="4740" spans="1:24">
      <c r="A4740">
        <f>HYPERLINK("https://www.philgeps.gov.ph/GEPSNONPILOT/Tender/SplashBidNoticeAbstractUI.aspx?menuIndex=3&amp;refID=7059894&amp;Result=3","7059894")</f>
        <v>0</v>
      </c>
      <c r="B4740" t="s">
        <v>1659</v>
      </c>
      <c r="C4740" t="s">
        <v>7943</v>
      </c>
      <c r="D4740" t="s">
        <v>17462</v>
      </c>
      <c r="E4740" t="s">
        <v>21604</v>
      </c>
      <c r="F4740" t="s">
        <v>30052</v>
      </c>
      <c r="G4740" t="s">
        <v>30058</v>
      </c>
      <c r="H4740" t="s">
        <v>15498</v>
      </c>
      <c r="I4740" t="s">
        <v>30148</v>
      </c>
      <c r="J4740" t="s">
        <v>33226</v>
      </c>
      <c r="K4740" t="s">
        <v>39017</v>
      </c>
      <c r="M4740" t="s">
        <v>41064</v>
      </c>
      <c r="N4740" t="s">
        <v>43166</v>
      </c>
      <c r="O4740" t="s">
        <v>43167</v>
      </c>
      <c r="P4740">
        <v>0</v>
      </c>
      <c r="Q4740">
        <v>2</v>
      </c>
      <c r="R4740" t="s">
        <v>43172</v>
      </c>
      <c r="S4740" t="s">
        <v>43334</v>
      </c>
      <c r="T4740" t="s">
        <v>44737</v>
      </c>
      <c r="U4740" t="s">
        <v>49053</v>
      </c>
      <c r="W4740" t="s">
        <v>41064</v>
      </c>
      <c r="X4740" t="s">
        <v>43182</v>
      </c>
    </row>
    <row r="4741" spans="1:24">
      <c r="A4741">
        <f>HYPERLINK("https://www.philgeps.gov.ph/GEPSNONPILOT/Tender/SplashBidNoticeAbstractUI.aspx?menuIndex=3&amp;refID=7074081&amp;Result=3","7074081")</f>
        <v>0</v>
      </c>
      <c r="B4741" t="s">
        <v>1661</v>
      </c>
      <c r="C4741" t="s">
        <v>7944</v>
      </c>
      <c r="D4741" t="s">
        <v>17422</v>
      </c>
      <c r="E4741" t="s">
        <v>21613</v>
      </c>
      <c r="F4741" t="s">
        <v>30052</v>
      </c>
      <c r="G4741" t="s">
        <v>30058</v>
      </c>
      <c r="H4741" t="s">
        <v>15498</v>
      </c>
      <c r="I4741" t="s">
        <v>30109</v>
      </c>
      <c r="J4741" t="s">
        <v>33227</v>
      </c>
      <c r="K4741" t="s">
        <v>39034</v>
      </c>
      <c r="M4741" t="s">
        <v>41066</v>
      </c>
      <c r="N4741" t="s">
        <v>43166</v>
      </c>
      <c r="O4741" t="s">
        <v>43167</v>
      </c>
      <c r="P4741">
        <v>0</v>
      </c>
      <c r="Q4741">
        <v>0</v>
      </c>
      <c r="R4741" t="s">
        <v>43172</v>
      </c>
      <c r="S4741" t="s">
        <v>43334</v>
      </c>
      <c r="T4741" t="s">
        <v>44685</v>
      </c>
      <c r="U4741" t="s">
        <v>49054</v>
      </c>
      <c r="W4741" t="s">
        <v>41066</v>
      </c>
      <c r="X4741" t="s">
        <v>43175</v>
      </c>
    </row>
    <row r="4742" spans="1:24">
      <c r="A4742">
        <f>HYPERLINK("https://www.philgeps.gov.ph/GEPSNONPILOT/Tender/SplashBidNoticeAbstractUI.aspx?menuIndex=3&amp;refID=7054917-2&amp;Result=3","7054917-2")</f>
        <v>0</v>
      </c>
      <c r="B4742" t="s">
        <v>1660</v>
      </c>
      <c r="C4742" t="s">
        <v>7945</v>
      </c>
      <c r="E4742" t="s">
        <v>21614</v>
      </c>
      <c r="F4742" t="s">
        <v>30052</v>
      </c>
      <c r="G4742" t="s">
        <v>30058</v>
      </c>
      <c r="H4742" t="s">
        <v>30068</v>
      </c>
      <c r="I4742" t="s">
        <v>30068</v>
      </c>
      <c r="J4742" t="s">
        <v>33228</v>
      </c>
      <c r="K4742" t="s">
        <v>39054</v>
      </c>
      <c r="M4742" t="s">
        <v>41065</v>
      </c>
      <c r="N4742" t="s">
        <v>43166</v>
      </c>
      <c r="O4742" t="s">
        <v>43167</v>
      </c>
      <c r="P4742">
        <v>0</v>
      </c>
      <c r="Q4742">
        <v>1</v>
      </c>
      <c r="R4742" t="s">
        <v>43172</v>
      </c>
      <c r="S4742" t="s">
        <v>43334</v>
      </c>
      <c r="T4742" t="s">
        <v>44791</v>
      </c>
      <c r="U4742" t="s">
        <v>49047</v>
      </c>
      <c r="W4742" t="s">
        <v>41065</v>
      </c>
      <c r="X4742" t="s">
        <v>43173</v>
      </c>
    </row>
    <row r="4743" spans="1:24">
      <c r="A4743">
        <f>HYPERLINK("https://www.philgeps.gov.ph/GEPSNONPILOT/Tender/SplashBidNoticeAbstractUI.aspx?menuIndex=3&amp;refID=7074046&amp;Result=3","7074046")</f>
        <v>0</v>
      </c>
      <c r="B4743" t="s">
        <v>1661</v>
      </c>
      <c r="C4743" t="s">
        <v>7946</v>
      </c>
      <c r="D4743" t="s">
        <v>17422</v>
      </c>
      <c r="E4743" t="s">
        <v>21615</v>
      </c>
      <c r="F4743" t="s">
        <v>30052</v>
      </c>
      <c r="G4743" t="s">
        <v>30058</v>
      </c>
      <c r="H4743" t="s">
        <v>15498</v>
      </c>
      <c r="I4743" t="s">
        <v>4598</v>
      </c>
      <c r="J4743" t="s">
        <v>33229</v>
      </c>
      <c r="K4743" t="s">
        <v>39034</v>
      </c>
      <c r="M4743" t="s">
        <v>41066</v>
      </c>
      <c r="N4743" t="s">
        <v>43166</v>
      </c>
      <c r="O4743" t="s">
        <v>43167</v>
      </c>
      <c r="P4743">
        <v>0</v>
      </c>
      <c r="Q4743">
        <v>2</v>
      </c>
      <c r="R4743" t="s">
        <v>43172</v>
      </c>
      <c r="S4743" t="s">
        <v>43334</v>
      </c>
      <c r="T4743" t="s">
        <v>44685</v>
      </c>
      <c r="U4743" t="s">
        <v>49055</v>
      </c>
      <c r="W4743" t="s">
        <v>41066</v>
      </c>
      <c r="X4743" t="s">
        <v>43175</v>
      </c>
    </row>
    <row r="4744" spans="1:24">
      <c r="A4744">
        <f>HYPERLINK("https://www.philgeps.gov.ph/GEPSNONPILOT/Tender/SplashBidNoticeAbstractUI.aspx?menuIndex=3&amp;refID=7074006&amp;Result=3","7074006")</f>
        <v>0</v>
      </c>
      <c r="B4744" t="s">
        <v>1661</v>
      </c>
      <c r="C4744" t="s">
        <v>7947</v>
      </c>
      <c r="D4744" t="s">
        <v>17422</v>
      </c>
      <c r="E4744" t="s">
        <v>21616</v>
      </c>
      <c r="F4744" t="s">
        <v>30052</v>
      </c>
      <c r="G4744" t="s">
        <v>30058</v>
      </c>
      <c r="H4744" t="s">
        <v>15498</v>
      </c>
      <c r="I4744" t="s">
        <v>30076</v>
      </c>
      <c r="J4744" t="s">
        <v>33230</v>
      </c>
      <c r="K4744" t="s">
        <v>39034</v>
      </c>
      <c r="M4744" t="s">
        <v>41066</v>
      </c>
      <c r="N4744" t="s">
        <v>43166</v>
      </c>
      <c r="O4744" t="s">
        <v>43167</v>
      </c>
      <c r="P4744">
        <v>0</v>
      </c>
      <c r="Q4744">
        <v>1</v>
      </c>
      <c r="R4744" t="s">
        <v>43172</v>
      </c>
      <c r="S4744" t="s">
        <v>43334</v>
      </c>
      <c r="T4744" t="s">
        <v>44685</v>
      </c>
      <c r="U4744" t="s">
        <v>49056</v>
      </c>
      <c r="W4744" t="s">
        <v>41066</v>
      </c>
      <c r="X4744" t="s">
        <v>43175</v>
      </c>
    </row>
    <row r="4745" spans="1:24">
      <c r="A4745">
        <f>HYPERLINK("https://www.philgeps.gov.ph/GEPSNONPILOT/Tender/SplashBidNoticeAbstractUI.aspx?menuIndex=3&amp;refID=7074187&amp;Result=3","7074187")</f>
        <v>0</v>
      </c>
      <c r="B4745" t="s">
        <v>1661</v>
      </c>
      <c r="C4745" t="s">
        <v>7948</v>
      </c>
      <c r="D4745" t="s">
        <v>17422</v>
      </c>
      <c r="E4745" t="s">
        <v>21617</v>
      </c>
      <c r="F4745" t="s">
        <v>30052</v>
      </c>
      <c r="G4745" t="s">
        <v>30058</v>
      </c>
      <c r="H4745" t="s">
        <v>15498</v>
      </c>
      <c r="I4745" t="s">
        <v>30070</v>
      </c>
      <c r="J4745" t="s">
        <v>33231</v>
      </c>
      <c r="K4745" t="s">
        <v>39034</v>
      </c>
      <c r="M4745" t="s">
        <v>41066</v>
      </c>
      <c r="N4745" t="s">
        <v>43166</v>
      </c>
      <c r="O4745" t="s">
        <v>43167</v>
      </c>
      <c r="P4745">
        <v>0</v>
      </c>
      <c r="Q4745">
        <v>3</v>
      </c>
      <c r="R4745" t="s">
        <v>43172</v>
      </c>
      <c r="S4745" t="s">
        <v>43334</v>
      </c>
      <c r="T4745" t="s">
        <v>44934</v>
      </c>
      <c r="U4745" t="s">
        <v>49057</v>
      </c>
      <c r="W4745" t="s">
        <v>41066</v>
      </c>
      <c r="X4745" t="s">
        <v>43175</v>
      </c>
    </row>
    <row r="4746" spans="1:24">
      <c r="A4746">
        <f>HYPERLINK("https://www.philgeps.gov.ph/GEPSNONPILOT/Tender/SplashBidNoticeAbstractUI.aspx?menuIndex=3&amp;refID=7074001&amp;Result=3","7074001")</f>
        <v>0</v>
      </c>
      <c r="B4746" t="s">
        <v>1662</v>
      </c>
      <c r="C4746" t="s">
        <v>7949</v>
      </c>
      <c r="D4746" t="s">
        <v>17416</v>
      </c>
      <c r="E4746" t="s">
        <v>21618</v>
      </c>
      <c r="F4746" t="s">
        <v>30052</v>
      </c>
      <c r="G4746" t="s">
        <v>30058</v>
      </c>
      <c r="H4746" t="s">
        <v>15498</v>
      </c>
      <c r="I4746" t="s">
        <v>3736</v>
      </c>
      <c r="J4746" t="s">
        <v>30277</v>
      </c>
      <c r="K4746" t="s">
        <v>39037</v>
      </c>
      <c r="M4746" t="s">
        <v>41067</v>
      </c>
      <c r="N4746" t="s">
        <v>43166</v>
      </c>
      <c r="O4746" t="s">
        <v>43167</v>
      </c>
      <c r="P4746">
        <v>0</v>
      </c>
      <c r="Q4746">
        <v>1</v>
      </c>
      <c r="R4746" t="s">
        <v>43172</v>
      </c>
      <c r="S4746" t="s">
        <v>43334</v>
      </c>
      <c r="T4746" t="s">
        <v>44716</v>
      </c>
      <c r="U4746" t="s">
        <v>49058</v>
      </c>
      <c r="V4746" t="s">
        <v>57346</v>
      </c>
      <c r="W4746" t="s">
        <v>58649</v>
      </c>
      <c r="X4746" t="s">
        <v>43175</v>
      </c>
    </row>
    <row r="4747" spans="1:24">
      <c r="A4747">
        <f>HYPERLINK("https://www.philgeps.gov.ph/GEPSNONPILOT/Tender/SplashBidNoticeAbstractUI.aspx?menuIndex=3&amp;refID=7073961&amp;Result=3","7073961")</f>
        <v>0</v>
      </c>
      <c r="B4747" t="s">
        <v>1661</v>
      </c>
      <c r="C4747" t="s">
        <v>7950</v>
      </c>
      <c r="D4747" t="s">
        <v>17422</v>
      </c>
      <c r="E4747" t="s">
        <v>21619</v>
      </c>
      <c r="F4747" t="s">
        <v>30052</v>
      </c>
      <c r="G4747" t="s">
        <v>30058</v>
      </c>
      <c r="H4747" t="s">
        <v>15498</v>
      </c>
      <c r="I4747" t="s">
        <v>30083</v>
      </c>
      <c r="J4747" t="s">
        <v>33232</v>
      </c>
      <c r="K4747" t="s">
        <v>39019</v>
      </c>
      <c r="M4747" t="s">
        <v>41066</v>
      </c>
      <c r="N4747" t="s">
        <v>43166</v>
      </c>
      <c r="O4747" t="s">
        <v>43167</v>
      </c>
      <c r="P4747">
        <v>0</v>
      </c>
      <c r="Q4747">
        <v>0</v>
      </c>
      <c r="R4747" t="s">
        <v>43172</v>
      </c>
      <c r="S4747" t="s">
        <v>43334</v>
      </c>
      <c r="T4747" t="s">
        <v>44685</v>
      </c>
      <c r="U4747" t="s">
        <v>49059</v>
      </c>
      <c r="W4747" t="s">
        <v>41066</v>
      </c>
      <c r="X4747" t="s">
        <v>43175</v>
      </c>
    </row>
    <row r="4748" spans="1:24">
      <c r="A4748">
        <f>HYPERLINK("https://www.philgeps.gov.ph/GEPSNONPILOT/Tender/SplashBidNoticeAbstractUI.aspx?menuIndex=3&amp;refID=7073744&amp;Result=3","7073744")</f>
        <v>0</v>
      </c>
      <c r="B4748" t="s">
        <v>1663</v>
      </c>
      <c r="C4748" t="s">
        <v>7951</v>
      </c>
      <c r="D4748" t="s">
        <v>17449</v>
      </c>
      <c r="E4748" t="s">
        <v>21620</v>
      </c>
      <c r="F4748" t="s">
        <v>30052</v>
      </c>
      <c r="G4748" t="s">
        <v>30058</v>
      </c>
      <c r="H4748" t="s">
        <v>15498</v>
      </c>
      <c r="I4748" t="s">
        <v>3736</v>
      </c>
      <c r="J4748" t="s">
        <v>33233</v>
      </c>
      <c r="K4748" t="s">
        <v>39025</v>
      </c>
      <c r="M4748" t="s">
        <v>41068</v>
      </c>
      <c r="N4748" t="s">
        <v>43166</v>
      </c>
      <c r="O4748" t="s">
        <v>43167</v>
      </c>
      <c r="P4748">
        <v>0</v>
      </c>
      <c r="Q4748">
        <v>1</v>
      </c>
      <c r="R4748" t="s">
        <v>43172</v>
      </c>
      <c r="S4748" t="s">
        <v>43334</v>
      </c>
      <c r="T4748" t="s">
        <v>44789</v>
      </c>
      <c r="U4748" t="s">
        <v>49060</v>
      </c>
      <c r="W4748" t="s">
        <v>41068</v>
      </c>
      <c r="X4748" t="s">
        <v>43175</v>
      </c>
    </row>
    <row r="4749" spans="1:24">
      <c r="A4749">
        <f>HYPERLINK("https://www.philgeps.gov.ph/GEPSNONPILOT/Tender/SplashBidNoticeAbstractUI.aspx?menuIndex=3&amp;refID=7073014&amp;Result=3","7073014")</f>
        <v>0</v>
      </c>
      <c r="B4749" t="s">
        <v>208</v>
      </c>
      <c r="C4749" t="s">
        <v>7952</v>
      </c>
      <c r="D4749" t="s">
        <v>17415</v>
      </c>
      <c r="E4749" t="s">
        <v>21621</v>
      </c>
      <c r="F4749" t="s">
        <v>30052</v>
      </c>
      <c r="G4749" t="s">
        <v>30058</v>
      </c>
      <c r="H4749" t="s">
        <v>15498</v>
      </c>
      <c r="I4749" t="s">
        <v>6304</v>
      </c>
      <c r="J4749" t="s">
        <v>33234</v>
      </c>
      <c r="K4749" t="s">
        <v>39025</v>
      </c>
      <c r="M4749" t="s">
        <v>41069</v>
      </c>
      <c r="N4749" t="s">
        <v>43166</v>
      </c>
      <c r="O4749" t="s">
        <v>43167</v>
      </c>
      <c r="P4749">
        <v>0</v>
      </c>
      <c r="Q4749">
        <v>2</v>
      </c>
      <c r="R4749" t="s">
        <v>43172</v>
      </c>
      <c r="S4749" t="s">
        <v>43334</v>
      </c>
      <c r="T4749" t="s">
        <v>44828</v>
      </c>
      <c r="U4749" t="s">
        <v>49061</v>
      </c>
      <c r="W4749" t="s">
        <v>41069</v>
      </c>
      <c r="X4749" t="s">
        <v>43176</v>
      </c>
    </row>
    <row r="4750" spans="1:24">
      <c r="A4750">
        <f>HYPERLINK("https://www.philgeps.gov.ph/GEPSNONPILOT/Tender/SplashBidNoticeAbstractUI.aspx?menuIndex=3&amp;refID=7075526&amp;Result=3","7075526")</f>
        <v>0</v>
      </c>
      <c r="B4750" t="s">
        <v>1664</v>
      </c>
      <c r="C4750" t="s">
        <v>7953</v>
      </c>
      <c r="D4750" t="s">
        <v>17434</v>
      </c>
      <c r="E4750" t="s">
        <v>21622</v>
      </c>
      <c r="F4750" t="s">
        <v>30052</v>
      </c>
      <c r="G4750" t="s">
        <v>30058</v>
      </c>
      <c r="H4750" t="s">
        <v>15498</v>
      </c>
      <c r="I4750" t="s">
        <v>30157</v>
      </c>
      <c r="J4750" t="s">
        <v>33235</v>
      </c>
      <c r="K4750" t="s">
        <v>39037</v>
      </c>
      <c r="M4750" t="s">
        <v>41070</v>
      </c>
      <c r="N4750" t="s">
        <v>43166</v>
      </c>
      <c r="O4750" t="s">
        <v>43167</v>
      </c>
      <c r="P4750">
        <v>0</v>
      </c>
      <c r="Q4750">
        <v>1</v>
      </c>
      <c r="R4750" t="s">
        <v>43172</v>
      </c>
      <c r="S4750" t="s">
        <v>43334</v>
      </c>
      <c r="T4750" t="s">
        <v>44722</v>
      </c>
      <c r="U4750" t="s">
        <v>49062</v>
      </c>
      <c r="V4750" t="s">
        <v>57347</v>
      </c>
      <c r="W4750" t="s">
        <v>41070</v>
      </c>
      <c r="X4750" t="s">
        <v>43175</v>
      </c>
    </row>
    <row r="4751" spans="1:24">
      <c r="A4751">
        <f>HYPERLINK("https://www.philgeps.gov.ph/GEPSNONPILOT/Tender/SplashBidNoticeAbstractUI.aspx?menuIndex=3&amp;refID=7063594&amp;Result=3","7063594")</f>
        <v>0</v>
      </c>
      <c r="B4751" t="s">
        <v>1657</v>
      </c>
      <c r="C4751" t="s">
        <v>7954</v>
      </c>
      <c r="D4751" t="s">
        <v>17450</v>
      </c>
      <c r="E4751" t="s">
        <v>17843</v>
      </c>
      <c r="F4751" t="s">
        <v>30052</v>
      </c>
      <c r="G4751" t="s">
        <v>30058</v>
      </c>
      <c r="H4751" t="s">
        <v>15498</v>
      </c>
      <c r="I4751" t="s">
        <v>30070</v>
      </c>
      <c r="J4751" t="s">
        <v>30207</v>
      </c>
      <c r="K4751" t="s">
        <v>39029</v>
      </c>
      <c r="M4751" t="s">
        <v>41062</v>
      </c>
      <c r="N4751" t="s">
        <v>43166</v>
      </c>
      <c r="O4751" t="s">
        <v>43167</v>
      </c>
      <c r="Q4751">
        <v>2</v>
      </c>
      <c r="R4751" t="s">
        <v>43172</v>
      </c>
      <c r="S4751" t="s">
        <v>43335</v>
      </c>
      <c r="T4751" t="s">
        <v>44722</v>
      </c>
      <c r="U4751" t="s">
        <v>49063</v>
      </c>
      <c r="W4751" t="s">
        <v>41062</v>
      </c>
      <c r="X4751" t="s">
        <v>43181</v>
      </c>
    </row>
    <row r="4752" spans="1:24">
      <c r="A4752">
        <f>HYPERLINK("https://www.philgeps.gov.ph/GEPSNONPILOT/Tender/SplashBidNoticeAbstractUI.aspx?menuIndex=3&amp;refID=7075432&amp;Result=3","7075432")</f>
        <v>0</v>
      </c>
      <c r="B4752" t="s">
        <v>1665</v>
      </c>
      <c r="C4752" t="s">
        <v>7955</v>
      </c>
      <c r="D4752" t="s">
        <v>17439</v>
      </c>
      <c r="E4752" t="s">
        <v>21623</v>
      </c>
      <c r="F4752" t="s">
        <v>30052</v>
      </c>
      <c r="G4752" t="s">
        <v>30059</v>
      </c>
      <c r="H4752" t="s">
        <v>15498</v>
      </c>
      <c r="I4752" t="s">
        <v>30097</v>
      </c>
      <c r="J4752" t="s">
        <v>30256</v>
      </c>
      <c r="K4752" t="s">
        <v>39017</v>
      </c>
      <c r="M4752" t="s">
        <v>41071</v>
      </c>
      <c r="N4752" t="s">
        <v>43166</v>
      </c>
      <c r="O4752" t="s">
        <v>43167</v>
      </c>
      <c r="P4752">
        <v>0</v>
      </c>
      <c r="Q4752">
        <v>11</v>
      </c>
      <c r="R4752" t="s">
        <v>43172</v>
      </c>
      <c r="S4752" t="s">
        <v>43334</v>
      </c>
      <c r="T4752" t="s">
        <v>44773</v>
      </c>
      <c r="U4752" t="s">
        <v>49064</v>
      </c>
      <c r="W4752" t="s">
        <v>41071</v>
      </c>
      <c r="X4752" t="s">
        <v>43175</v>
      </c>
    </row>
    <row r="4753" spans="1:24">
      <c r="A4753">
        <f>HYPERLINK("https://www.philgeps.gov.ph/GEPSNONPILOT/Tender/SplashBidNoticeAbstractUI.aspx?menuIndex=3&amp;refID=7074974&amp;Result=3","7074974")</f>
        <v>0</v>
      </c>
      <c r="B4753" t="s">
        <v>76</v>
      </c>
      <c r="C4753" t="s">
        <v>7956</v>
      </c>
      <c r="D4753" t="s">
        <v>17443</v>
      </c>
      <c r="E4753" t="s">
        <v>17843</v>
      </c>
      <c r="F4753" t="s">
        <v>30052</v>
      </c>
      <c r="G4753" t="s">
        <v>30058</v>
      </c>
      <c r="H4753" t="s">
        <v>30067</v>
      </c>
      <c r="I4753" t="s">
        <v>3693</v>
      </c>
      <c r="J4753" t="s">
        <v>33236</v>
      </c>
      <c r="K4753" t="s">
        <v>39029</v>
      </c>
      <c r="L4753" t="s">
        <v>76</v>
      </c>
      <c r="M4753" t="s">
        <v>39365</v>
      </c>
      <c r="N4753" t="s">
        <v>43166</v>
      </c>
      <c r="O4753" t="s">
        <v>43167</v>
      </c>
      <c r="P4753">
        <v>0</v>
      </c>
      <c r="Q4753">
        <v>1</v>
      </c>
      <c r="R4753" t="s">
        <v>43172</v>
      </c>
      <c r="S4753" t="s">
        <v>43334</v>
      </c>
      <c r="T4753" t="s">
        <v>44807</v>
      </c>
      <c r="U4753" t="s">
        <v>49065</v>
      </c>
      <c r="W4753" t="s">
        <v>39365</v>
      </c>
      <c r="X4753" t="s">
        <v>43175</v>
      </c>
    </row>
    <row r="4754" spans="1:24">
      <c r="A4754">
        <f>HYPERLINK("https://www.philgeps.gov.ph/GEPSNONPILOT/Tender/SplashBidNoticeAbstractUI.aspx?menuIndex=3&amp;refID=7074899&amp;Result=3","7074899")</f>
        <v>0</v>
      </c>
      <c r="B4754" t="s">
        <v>76</v>
      </c>
      <c r="C4754" t="s">
        <v>7957</v>
      </c>
      <c r="D4754" t="s">
        <v>17443</v>
      </c>
      <c r="E4754" t="s">
        <v>17673</v>
      </c>
      <c r="F4754" t="s">
        <v>30052</v>
      </c>
      <c r="G4754" t="s">
        <v>30058</v>
      </c>
      <c r="H4754" t="s">
        <v>30067</v>
      </c>
      <c r="I4754" t="s">
        <v>3693</v>
      </c>
      <c r="J4754" t="s">
        <v>33237</v>
      </c>
      <c r="K4754" t="s">
        <v>39029</v>
      </c>
      <c r="L4754" t="s">
        <v>76</v>
      </c>
      <c r="M4754" t="s">
        <v>39365</v>
      </c>
      <c r="N4754" t="s">
        <v>43166</v>
      </c>
      <c r="O4754" t="s">
        <v>43167</v>
      </c>
      <c r="P4754">
        <v>0</v>
      </c>
      <c r="Q4754">
        <v>1</v>
      </c>
      <c r="R4754" t="s">
        <v>43172</v>
      </c>
      <c r="S4754" t="s">
        <v>43334</v>
      </c>
      <c r="T4754" t="s">
        <v>45000</v>
      </c>
      <c r="U4754" t="s">
        <v>49066</v>
      </c>
      <c r="W4754" t="s">
        <v>39365</v>
      </c>
      <c r="X4754" t="s">
        <v>43175</v>
      </c>
    </row>
    <row r="4755" spans="1:24">
      <c r="A4755">
        <f>HYPERLINK("https://www.philgeps.gov.ph/GEPSNONPILOT/Tender/SplashBidNoticeAbstractUI.aspx?menuIndex=3&amp;refID=7074739&amp;Result=3","7074739")</f>
        <v>0</v>
      </c>
      <c r="B4755" t="s">
        <v>764</v>
      </c>
      <c r="C4755" t="s">
        <v>7958</v>
      </c>
      <c r="D4755" t="s">
        <v>17461</v>
      </c>
      <c r="E4755" t="s">
        <v>21624</v>
      </c>
      <c r="F4755" t="s">
        <v>30052</v>
      </c>
      <c r="G4755" t="s">
        <v>30058</v>
      </c>
      <c r="H4755" t="s">
        <v>30067</v>
      </c>
      <c r="I4755" t="s">
        <v>30152</v>
      </c>
      <c r="J4755" t="s">
        <v>33238</v>
      </c>
      <c r="K4755" t="s">
        <v>39025</v>
      </c>
      <c r="M4755" t="s">
        <v>40078</v>
      </c>
      <c r="N4755" t="s">
        <v>43166</v>
      </c>
      <c r="O4755" t="s">
        <v>43167</v>
      </c>
      <c r="P4755">
        <v>0</v>
      </c>
      <c r="Q4755">
        <v>0</v>
      </c>
      <c r="R4755" t="s">
        <v>43172</v>
      </c>
      <c r="S4755" t="s">
        <v>43334</v>
      </c>
      <c r="T4755" t="s">
        <v>44705</v>
      </c>
      <c r="U4755" t="s">
        <v>49067</v>
      </c>
      <c r="W4755" t="s">
        <v>58650</v>
      </c>
      <c r="X4755" t="s">
        <v>43175</v>
      </c>
    </row>
    <row r="4756" spans="1:24">
      <c r="A4756">
        <f>HYPERLINK("https://www.philgeps.gov.ph/GEPSNONPILOT/Tender/SplashBidNoticeAbstractUI.aspx?menuIndex=3&amp;refID=7074724&amp;Result=3","7074724")</f>
        <v>0</v>
      </c>
      <c r="B4756" t="s">
        <v>1666</v>
      </c>
      <c r="C4756" t="s">
        <v>7959</v>
      </c>
      <c r="D4756" t="s">
        <v>17459</v>
      </c>
      <c r="E4756" t="s">
        <v>21625</v>
      </c>
      <c r="F4756" t="s">
        <v>30052</v>
      </c>
      <c r="G4756" t="s">
        <v>30058</v>
      </c>
      <c r="H4756" t="s">
        <v>15498</v>
      </c>
      <c r="I4756" t="s">
        <v>30076</v>
      </c>
      <c r="J4756" t="s">
        <v>33239</v>
      </c>
      <c r="K4756" t="s">
        <v>39019</v>
      </c>
      <c r="M4756" t="s">
        <v>41072</v>
      </c>
      <c r="N4756" t="s">
        <v>43166</v>
      </c>
      <c r="O4756" t="s">
        <v>43167</v>
      </c>
      <c r="P4756">
        <v>0</v>
      </c>
      <c r="Q4756">
        <v>20</v>
      </c>
      <c r="R4756" t="s">
        <v>43172</v>
      </c>
      <c r="S4756" t="s">
        <v>43334</v>
      </c>
      <c r="T4756" t="s">
        <v>44842</v>
      </c>
      <c r="U4756" t="s">
        <v>49068</v>
      </c>
      <c r="W4756" t="s">
        <v>41072</v>
      </c>
      <c r="X4756" t="s">
        <v>43175</v>
      </c>
    </row>
    <row r="4757" spans="1:24">
      <c r="A4757">
        <f>HYPERLINK("https://www.philgeps.gov.ph/GEPSNONPILOT/Tender/SplashBidNoticeAbstractUI.aspx?menuIndex=3&amp;refID=7074673&amp;Result=3","7074673")</f>
        <v>0</v>
      </c>
      <c r="B4757" t="s">
        <v>1339</v>
      </c>
      <c r="C4757" t="s">
        <v>7960</v>
      </c>
      <c r="D4757" t="s">
        <v>17474</v>
      </c>
      <c r="E4757" t="s">
        <v>21626</v>
      </c>
      <c r="F4757" t="s">
        <v>30052</v>
      </c>
      <c r="G4757" t="s">
        <v>30058</v>
      </c>
      <c r="H4757" t="s">
        <v>15498</v>
      </c>
      <c r="I4757" t="s">
        <v>30074</v>
      </c>
      <c r="J4757" t="s">
        <v>31196</v>
      </c>
      <c r="K4757" t="s">
        <v>39029</v>
      </c>
      <c r="M4757" t="s">
        <v>41073</v>
      </c>
      <c r="N4757" t="s">
        <v>43166</v>
      </c>
      <c r="O4757" t="s">
        <v>43167</v>
      </c>
      <c r="P4757">
        <v>0</v>
      </c>
      <c r="Q4757">
        <v>0</v>
      </c>
      <c r="R4757" t="s">
        <v>43172</v>
      </c>
      <c r="S4757" t="s">
        <v>43334</v>
      </c>
      <c r="T4757" t="s">
        <v>44685</v>
      </c>
      <c r="U4757" t="s">
        <v>48174</v>
      </c>
      <c r="V4757" t="s">
        <v>57248</v>
      </c>
      <c r="W4757" t="s">
        <v>41073</v>
      </c>
      <c r="X4757" t="s">
        <v>43175</v>
      </c>
    </row>
    <row r="4758" spans="1:24">
      <c r="A4758">
        <f>HYPERLINK("https://www.philgeps.gov.ph/GEPSNONPILOT/Tender/SplashBidNoticeAbstractUI.aspx?menuIndex=3&amp;refID=7074658&amp;Result=3","7074658")</f>
        <v>0</v>
      </c>
      <c r="B4758" t="s">
        <v>1339</v>
      </c>
      <c r="C4758" t="s">
        <v>7961</v>
      </c>
      <c r="D4758" t="s">
        <v>17474</v>
      </c>
      <c r="E4758" t="s">
        <v>21627</v>
      </c>
      <c r="F4758" t="s">
        <v>30052</v>
      </c>
      <c r="G4758" t="s">
        <v>30058</v>
      </c>
      <c r="H4758" t="s">
        <v>15498</v>
      </c>
      <c r="I4758" t="s">
        <v>30084</v>
      </c>
      <c r="J4758" t="s">
        <v>31388</v>
      </c>
      <c r="K4758" t="s">
        <v>39029</v>
      </c>
      <c r="M4758" t="s">
        <v>41073</v>
      </c>
      <c r="N4758" t="s">
        <v>43166</v>
      </c>
      <c r="O4758" t="s">
        <v>43167</v>
      </c>
      <c r="P4758">
        <v>0</v>
      </c>
      <c r="Q4758">
        <v>1</v>
      </c>
      <c r="R4758" t="s">
        <v>43172</v>
      </c>
      <c r="S4758" t="s">
        <v>43334</v>
      </c>
      <c r="T4758" t="s">
        <v>44685</v>
      </c>
      <c r="U4758" t="s">
        <v>48174</v>
      </c>
      <c r="V4758" t="s">
        <v>57248</v>
      </c>
      <c r="W4758" t="s">
        <v>41073</v>
      </c>
      <c r="X4758" t="s">
        <v>43175</v>
      </c>
    </row>
    <row r="4759" spans="1:24">
      <c r="A4759">
        <f>HYPERLINK("https://www.philgeps.gov.ph/GEPSNONPILOT/Tender/SplashBidNoticeAbstractUI.aspx?menuIndex=3&amp;refID=7074642&amp;Result=3","7074642")</f>
        <v>0</v>
      </c>
      <c r="B4759" t="s">
        <v>1339</v>
      </c>
      <c r="C4759" t="s">
        <v>7962</v>
      </c>
      <c r="D4759" t="s">
        <v>17474</v>
      </c>
      <c r="E4759" t="s">
        <v>21628</v>
      </c>
      <c r="F4759" t="s">
        <v>30052</v>
      </c>
      <c r="G4759" t="s">
        <v>30058</v>
      </c>
      <c r="H4759" t="s">
        <v>15498</v>
      </c>
      <c r="I4759" t="s">
        <v>30109</v>
      </c>
      <c r="J4759" t="s">
        <v>33240</v>
      </c>
      <c r="K4759" t="s">
        <v>39029</v>
      </c>
      <c r="M4759" t="s">
        <v>41073</v>
      </c>
      <c r="N4759" t="s">
        <v>43166</v>
      </c>
      <c r="O4759" t="s">
        <v>43167</v>
      </c>
      <c r="P4759">
        <v>0</v>
      </c>
      <c r="Q4759">
        <v>0</v>
      </c>
      <c r="R4759" t="s">
        <v>43172</v>
      </c>
      <c r="S4759" t="s">
        <v>43334</v>
      </c>
      <c r="T4759" t="s">
        <v>44685</v>
      </c>
      <c r="U4759" t="s">
        <v>48174</v>
      </c>
      <c r="V4759" t="s">
        <v>57248</v>
      </c>
      <c r="W4759" t="s">
        <v>41073</v>
      </c>
      <c r="X4759" t="s">
        <v>43175</v>
      </c>
    </row>
    <row r="4760" spans="1:24">
      <c r="A4760">
        <f>HYPERLINK("https://www.philgeps.gov.ph/GEPSNONPILOT/Tender/SplashBidNoticeAbstractUI.aspx?menuIndex=3&amp;refID=7074631&amp;Result=3","7074631")</f>
        <v>0</v>
      </c>
      <c r="B4760" t="s">
        <v>1339</v>
      </c>
      <c r="C4760" t="s">
        <v>7963</v>
      </c>
      <c r="D4760" t="s">
        <v>17474</v>
      </c>
      <c r="E4760" t="s">
        <v>21629</v>
      </c>
      <c r="F4760" t="s">
        <v>30052</v>
      </c>
      <c r="G4760" t="s">
        <v>30058</v>
      </c>
      <c r="H4760" t="s">
        <v>15498</v>
      </c>
      <c r="I4760" t="s">
        <v>30081</v>
      </c>
      <c r="J4760" t="s">
        <v>33241</v>
      </c>
      <c r="K4760" t="s">
        <v>39029</v>
      </c>
      <c r="M4760" t="s">
        <v>41073</v>
      </c>
      <c r="N4760" t="s">
        <v>43166</v>
      </c>
      <c r="O4760" t="s">
        <v>43167</v>
      </c>
      <c r="P4760">
        <v>0</v>
      </c>
      <c r="Q4760">
        <v>0</v>
      </c>
      <c r="R4760" t="s">
        <v>43172</v>
      </c>
      <c r="S4760" t="s">
        <v>43334</v>
      </c>
      <c r="T4760" t="s">
        <v>44685</v>
      </c>
      <c r="U4760" t="s">
        <v>48174</v>
      </c>
      <c r="V4760" t="s">
        <v>57248</v>
      </c>
      <c r="W4760" t="s">
        <v>41073</v>
      </c>
      <c r="X4760" t="s">
        <v>43175</v>
      </c>
    </row>
    <row r="4761" spans="1:24">
      <c r="A4761">
        <f>HYPERLINK("https://www.philgeps.gov.ph/GEPSNONPILOT/Tender/SplashBidNoticeAbstractUI.aspx?menuIndex=3&amp;refID=7074604&amp;Result=3","7074604")</f>
        <v>0</v>
      </c>
      <c r="B4761" t="s">
        <v>1667</v>
      </c>
      <c r="C4761" t="s">
        <v>7964</v>
      </c>
      <c r="D4761" t="s">
        <v>17416</v>
      </c>
      <c r="E4761" t="s">
        <v>21630</v>
      </c>
      <c r="F4761" t="s">
        <v>30052</v>
      </c>
      <c r="G4761" t="s">
        <v>30058</v>
      </c>
      <c r="H4761" t="s">
        <v>15498</v>
      </c>
      <c r="I4761" t="s">
        <v>3736</v>
      </c>
      <c r="J4761" t="s">
        <v>33242</v>
      </c>
      <c r="K4761" t="s">
        <v>39017</v>
      </c>
      <c r="M4761" t="s">
        <v>41074</v>
      </c>
      <c r="N4761" t="s">
        <v>43166</v>
      </c>
      <c r="O4761" t="s">
        <v>43167</v>
      </c>
      <c r="P4761">
        <v>0</v>
      </c>
      <c r="Q4761">
        <v>1</v>
      </c>
      <c r="R4761" t="s">
        <v>43172</v>
      </c>
      <c r="S4761" t="s">
        <v>43334</v>
      </c>
      <c r="T4761" t="s">
        <v>44945</v>
      </c>
      <c r="U4761" t="s">
        <v>49069</v>
      </c>
      <c r="W4761" t="s">
        <v>41074</v>
      </c>
      <c r="X4761" t="s">
        <v>43175</v>
      </c>
    </row>
    <row r="4762" spans="1:24">
      <c r="A4762">
        <f>HYPERLINK("https://www.philgeps.gov.ph/GEPSNONPILOT/Tender/SplashBidNoticeAbstractUI.aspx?menuIndex=3&amp;refID=7074595&amp;Result=3","7074595")</f>
        <v>0</v>
      </c>
      <c r="B4762" t="s">
        <v>1339</v>
      </c>
      <c r="C4762" t="s">
        <v>7965</v>
      </c>
      <c r="D4762" t="s">
        <v>17474</v>
      </c>
      <c r="E4762" t="s">
        <v>21631</v>
      </c>
      <c r="F4762" t="s">
        <v>30052</v>
      </c>
      <c r="G4762" t="s">
        <v>30058</v>
      </c>
      <c r="H4762" t="s">
        <v>15498</v>
      </c>
      <c r="I4762" t="s">
        <v>30081</v>
      </c>
      <c r="J4762" t="s">
        <v>30302</v>
      </c>
      <c r="K4762" t="s">
        <v>39029</v>
      </c>
      <c r="M4762" t="s">
        <v>41073</v>
      </c>
      <c r="N4762" t="s">
        <v>43166</v>
      </c>
      <c r="O4762" t="s">
        <v>43167</v>
      </c>
      <c r="P4762">
        <v>0</v>
      </c>
      <c r="Q4762">
        <v>0</v>
      </c>
      <c r="R4762" t="s">
        <v>43172</v>
      </c>
      <c r="S4762" t="s">
        <v>43334</v>
      </c>
      <c r="T4762" t="s">
        <v>44685</v>
      </c>
      <c r="U4762" t="s">
        <v>48174</v>
      </c>
      <c r="V4762" t="s">
        <v>57248</v>
      </c>
      <c r="W4762" t="s">
        <v>41073</v>
      </c>
      <c r="X4762" t="s">
        <v>43175</v>
      </c>
    </row>
    <row r="4763" spans="1:24">
      <c r="A4763">
        <f>HYPERLINK("https://www.philgeps.gov.ph/GEPSNONPILOT/Tender/SplashBidNoticeAbstractUI.aspx?menuIndex=3&amp;refID=7074576&amp;Result=3","7074576")</f>
        <v>0</v>
      </c>
      <c r="B4763" t="s">
        <v>1339</v>
      </c>
      <c r="C4763" t="s">
        <v>7966</v>
      </c>
      <c r="D4763" t="s">
        <v>17474</v>
      </c>
      <c r="E4763" t="s">
        <v>21632</v>
      </c>
      <c r="F4763" t="s">
        <v>30052</v>
      </c>
      <c r="G4763" t="s">
        <v>30058</v>
      </c>
      <c r="H4763" t="s">
        <v>15498</v>
      </c>
      <c r="I4763" t="s">
        <v>3736</v>
      </c>
      <c r="J4763" t="s">
        <v>33243</v>
      </c>
      <c r="K4763" t="s">
        <v>39029</v>
      </c>
      <c r="M4763" t="s">
        <v>41073</v>
      </c>
      <c r="N4763" t="s">
        <v>43166</v>
      </c>
      <c r="O4763" t="s">
        <v>43167</v>
      </c>
      <c r="P4763">
        <v>0</v>
      </c>
      <c r="Q4763">
        <v>0</v>
      </c>
      <c r="R4763" t="s">
        <v>43172</v>
      </c>
      <c r="S4763" t="s">
        <v>43334</v>
      </c>
      <c r="T4763" t="s">
        <v>44685</v>
      </c>
      <c r="U4763" t="s">
        <v>48174</v>
      </c>
      <c r="V4763" t="s">
        <v>57248</v>
      </c>
      <c r="W4763" t="s">
        <v>41073</v>
      </c>
      <c r="X4763" t="s">
        <v>43175</v>
      </c>
    </row>
    <row r="4764" spans="1:24">
      <c r="A4764">
        <f>HYPERLINK("https://www.philgeps.gov.ph/GEPSNONPILOT/Tender/SplashBidNoticeAbstractUI.aspx?menuIndex=3&amp;refID=7074565&amp;Result=3","7074565")</f>
        <v>0</v>
      </c>
      <c r="B4764" t="s">
        <v>1339</v>
      </c>
      <c r="C4764" t="s">
        <v>7967</v>
      </c>
      <c r="D4764" t="s">
        <v>17474</v>
      </c>
      <c r="E4764" t="s">
        <v>21633</v>
      </c>
      <c r="F4764" t="s">
        <v>30052</v>
      </c>
      <c r="G4764" t="s">
        <v>30058</v>
      </c>
      <c r="H4764" t="s">
        <v>15498</v>
      </c>
      <c r="I4764" t="s">
        <v>3736</v>
      </c>
      <c r="J4764" t="s">
        <v>33244</v>
      </c>
      <c r="K4764" t="s">
        <v>39029</v>
      </c>
      <c r="M4764" t="s">
        <v>41073</v>
      </c>
      <c r="N4764" t="s">
        <v>43166</v>
      </c>
      <c r="O4764" t="s">
        <v>43167</v>
      </c>
      <c r="P4764">
        <v>0</v>
      </c>
      <c r="Q4764">
        <v>0</v>
      </c>
      <c r="R4764" t="s">
        <v>43172</v>
      </c>
      <c r="S4764" t="s">
        <v>43334</v>
      </c>
      <c r="T4764" t="s">
        <v>44685</v>
      </c>
      <c r="U4764" t="s">
        <v>48174</v>
      </c>
      <c r="V4764" t="s">
        <v>57248</v>
      </c>
      <c r="W4764" t="s">
        <v>41073</v>
      </c>
      <c r="X4764" t="s">
        <v>43175</v>
      </c>
    </row>
    <row r="4765" spans="1:24">
      <c r="A4765">
        <f>HYPERLINK("https://www.philgeps.gov.ph/GEPSNONPILOT/Tender/SplashBidNoticeAbstractUI.aspx?menuIndex=3&amp;refID=7074554&amp;Result=3","7074554")</f>
        <v>0</v>
      </c>
      <c r="B4765" t="s">
        <v>1339</v>
      </c>
      <c r="C4765" t="s">
        <v>7968</v>
      </c>
      <c r="D4765" t="s">
        <v>17474</v>
      </c>
      <c r="E4765" t="s">
        <v>21634</v>
      </c>
      <c r="F4765" t="s">
        <v>30052</v>
      </c>
      <c r="G4765" t="s">
        <v>30058</v>
      </c>
      <c r="H4765" t="s">
        <v>15498</v>
      </c>
      <c r="I4765" t="s">
        <v>3736</v>
      </c>
      <c r="J4765" t="s">
        <v>31189</v>
      </c>
      <c r="K4765" t="s">
        <v>39029</v>
      </c>
      <c r="M4765" t="s">
        <v>41073</v>
      </c>
      <c r="N4765" t="s">
        <v>43166</v>
      </c>
      <c r="O4765" t="s">
        <v>43167</v>
      </c>
      <c r="P4765">
        <v>0</v>
      </c>
      <c r="Q4765">
        <v>0</v>
      </c>
      <c r="R4765" t="s">
        <v>43172</v>
      </c>
      <c r="S4765" t="s">
        <v>43334</v>
      </c>
      <c r="T4765" t="s">
        <v>44685</v>
      </c>
      <c r="U4765" t="s">
        <v>48174</v>
      </c>
      <c r="V4765" t="s">
        <v>57248</v>
      </c>
      <c r="W4765" t="s">
        <v>41073</v>
      </c>
      <c r="X4765" t="s">
        <v>43175</v>
      </c>
    </row>
    <row r="4766" spans="1:24">
      <c r="A4766">
        <f>HYPERLINK("https://www.philgeps.gov.ph/GEPSNONPILOT/Tender/SplashBidNoticeAbstractUI.aspx?menuIndex=3&amp;refID=7074509&amp;Result=3","7074509")</f>
        <v>0</v>
      </c>
      <c r="B4766" t="s">
        <v>1339</v>
      </c>
      <c r="C4766" t="s">
        <v>7969</v>
      </c>
      <c r="D4766" t="s">
        <v>17474</v>
      </c>
      <c r="E4766" t="s">
        <v>21635</v>
      </c>
      <c r="F4766" t="s">
        <v>30052</v>
      </c>
      <c r="G4766" t="s">
        <v>30058</v>
      </c>
      <c r="H4766" t="s">
        <v>15498</v>
      </c>
      <c r="I4766" t="s">
        <v>3736</v>
      </c>
      <c r="J4766" t="s">
        <v>30426</v>
      </c>
      <c r="K4766" t="s">
        <v>39029</v>
      </c>
      <c r="M4766" t="s">
        <v>41073</v>
      </c>
      <c r="N4766" t="s">
        <v>43166</v>
      </c>
      <c r="O4766" t="s">
        <v>43167</v>
      </c>
      <c r="P4766">
        <v>0</v>
      </c>
      <c r="Q4766">
        <v>0</v>
      </c>
      <c r="R4766" t="s">
        <v>43172</v>
      </c>
      <c r="S4766" t="s">
        <v>43334</v>
      </c>
      <c r="T4766" t="s">
        <v>44685</v>
      </c>
      <c r="U4766" t="s">
        <v>48174</v>
      </c>
      <c r="V4766" t="s">
        <v>57248</v>
      </c>
      <c r="W4766" t="s">
        <v>41073</v>
      </c>
      <c r="X4766" t="s">
        <v>43175</v>
      </c>
    </row>
    <row r="4767" spans="1:24">
      <c r="A4767">
        <f>HYPERLINK("https://www.philgeps.gov.ph/GEPSNONPILOT/Tender/SplashBidNoticeAbstractUI.aspx?menuIndex=3&amp;refID=7074577&amp;Result=3","7074577")</f>
        <v>0</v>
      </c>
      <c r="B4767" t="s">
        <v>1667</v>
      </c>
      <c r="C4767" t="s">
        <v>7970</v>
      </c>
      <c r="D4767" t="s">
        <v>17416</v>
      </c>
      <c r="E4767" t="s">
        <v>21636</v>
      </c>
      <c r="F4767" t="s">
        <v>30052</v>
      </c>
      <c r="G4767" t="s">
        <v>30058</v>
      </c>
      <c r="H4767" t="s">
        <v>15498</v>
      </c>
      <c r="I4767" t="s">
        <v>30081</v>
      </c>
      <c r="J4767" t="s">
        <v>33245</v>
      </c>
      <c r="K4767" t="s">
        <v>39017</v>
      </c>
      <c r="M4767" t="s">
        <v>41074</v>
      </c>
      <c r="N4767" t="s">
        <v>43166</v>
      </c>
      <c r="O4767" t="s">
        <v>43167</v>
      </c>
      <c r="P4767">
        <v>0</v>
      </c>
      <c r="Q4767">
        <v>1</v>
      </c>
      <c r="R4767" t="s">
        <v>43172</v>
      </c>
      <c r="S4767" t="s">
        <v>43334</v>
      </c>
      <c r="T4767" t="s">
        <v>44945</v>
      </c>
      <c r="U4767" t="s">
        <v>49070</v>
      </c>
      <c r="W4767" t="s">
        <v>41074</v>
      </c>
      <c r="X4767" t="s">
        <v>43175</v>
      </c>
    </row>
    <row r="4768" spans="1:24">
      <c r="A4768">
        <f>HYPERLINK("https://www.philgeps.gov.ph/GEPSNONPILOT/Tender/SplashBidNoticeAbstractUI.aspx?menuIndex=3&amp;refID=7074479&amp;Result=3","7074479")</f>
        <v>0</v>
      </c>
      <c r="B4768" t="s">
        <v>1339</v>
      </c>
      <c r="C4768" t="s">
        <v>7971</v>
      </c>
      <c r="D4768" t="s">
        <v>17474</v>
      </c>
      <c r="E4768" t="s">
        <v>21637</v>
      </c>
      <c r="F4768" t="s">
        <v>30052</v>
      </c>
      <c r="G4768" t="s">
        <v>30058</v>
      </c>
      <c r="H4768" t="s">
        <v>15498</v>
      </c>
      <c r="I4768" t="s">
        <v>3736</v>
      </c>
      <c r="J4768" t="s">
        <v>30905</v>
      </c>
      <c r="K4768" t="s">
        <v>39029</v>
      </c>
      <c r="M4768" t="s">
        <v>41073</v>
      </c>
      <c r="N4768" t="s">
        <v>43166</v>
      </c>
      <c r="O4768" t="s">
        <v>43167</v>
      </c>
      <c r="P4768">
        <v>0</v>
      </c>
      <c r="Q4768">
        <v>0</v>
      </c>
      <c r="R4768" t="s">
        <v>43172</v>
      </c>
      <c r="S4768" t="s">
        <v>43334</v>
      </c>
      <c r="T4768" t="s">
        <v>44685</v>
      </c>
      <c r="U4768" t="s">
        <v>48174</v>
      </c>
      <c r="V4768" t="s">
        <v>57248</v>
      </c>
      <c r="W4768" t="s">
        <v>41073</v>
      </c>
      <c r="X4768" t="s">
        <v>43175</v>
      </c>
    </row>
    <row r="4769" spans="1:24">
      <c r="A4769">
        <f>HYPERLINK("https://www.philgeps.gov.ph/GEPSNONPILOT/Tender/SplashBidNoticeAbstractUI.aspx?menuIndex=3&amp;refID=7074456&amp;Result=3","7074456")</f>
        <v>0</v>
      </c>
      <c r="B4769" t="s">
        <v>1661</v>
      </c>
      <c r="C4769" t="s">
        <v>7972</v>
      </c>
      <c r="D4769" t="s">
        <v>17422</v>
      </c>
      <c r="E4769" t="s">
        <v>21638</v>
      </c>
      <c r="F4769" t="s">
        <v>30052</v>
      </c>
      <c r="G4769" t="s">
        <v>30058</v>
      </c>
      <c r="H4769" t="s">
        <v>30067</v>
      </c>
      <c r="I4769" t="s">
        <v>3693</v>
      </c>
      <c r="J4769" t="s">
        <v>30252</v>
      </c>
      <c r="K4769" t="s">
        <v>39029</v>
      </c>
      <c r="M4769" t="s">
        <v>41066</v>
      </c>
      <c r="N4769" t="s">
        <v>43166</v>
      </c>
      <c r="O4769" t="s">
        <v>43167</v>
      </c>
      <c r="P4769">
        <v>0</v>
      </c>
      <c r="Q4769">
        <v>0</v>
      </c>
      <c r="R4769" t="s">
        <v>43172</v>
      </c>
      <c r="S4769" t="s">
        <v>43334</v>
      </c>
      <c r="T4769" t="s">
        <v>44698</v>
      </c>
      <c r="U4769" t="s">
        <v>49071</v>
      </c>
      <c r="W4769" t="s">
        <v>41066</v>
      </c>
      <c r="X4769" t="s">
        <v>43175</v>
      </c>
    </row>
    <row r="4770" spans="1:24">
      <c r="A4770">
        <f>HYPERLINK("https://www.philgeps.gov.ph/GEPSNONPILOT/Tender/SplashBidNoticeAbstractUI.aspx?menuIndex=3&amp;refID=7072665&amp;Result=3","7072665")</f>
        <v>0</v>
      </c>
      <c r="B4770" t="s">
        <v>1668</v>
      </c>
      <c r="C4770" t="s">
        <v>7973</v>
      </c>
      <c r="D4770" t="s">
        <v>17432</v>
      </c>
      <c r="E4770" t="s">
        <v>21639</v>
      </c>
      <c r="F4770" t="s">
        <v>30055</v>
      </c>
      <c r="G4770" t="s">
        <v>30061</v>
      </c>
      <c r="H4770" t="s">
        <v>30069</v>
      </c>
      <c r="I4770" t="s">
        <v>30085</v>
      </c>
      <c r="J4770" t="s">
        <v>32397</v>
      </c>
      <c r="K4770" t="s">
        <v>39035</v>
      </c>
      <c r="M4770" t="s">
        <v>41075</v>
      </c>
      <c r="N4770" t="s">
        <v>43166</v>
      </c>
      <c r="O4770" t="s">
        <v>43167</v>
      </c>
      <c r="P4770">
        <v>0</v>
      </c>
      <c r="Q4770">
        <v>0</v>
      </c>
      <c r="R4770" t="s">
        <v>43172</v>
      </c>
      <c r="S4770" t="s">
        <v>43334</v>
      </c>
      <c r="T4770" t="s">
        <v>44735</v>
      </c>
      <c r="U4770" t="s">
        <v>49072</v>
      </c>
      <c r="W4770" t="s">
        <v>41075</v>
      </c>
      <c r="X4770" t="s">
        <v>43177</v>
      </c>
    </row>
    <row r="4771" spans="1:24">
      <c r="A4771">
        <f>HYPERLINK("https://www.philgeps.gov.ph/GEPSNONPILOT/Tender/SplashBidNoticeAbstractUI.aspx?menuIndex=3&amp;refID=7072051&amp;Result=3","7072051")</f>
        <v>0</v>
      </c>
      <c r="B4771" t="s">
        <v>1520</v>
      </c>
      <c r="C4771" t="s">
        <v>7974</v>
      </c>
      <c r="D4771" t="s">
        <v>17423</v>
      </c>
      <c r="E4771" t="s">
        <v>21640</v>
      </c>
      <c r="F4771" t="s">
        <v>30056</v>
      </c>
      <c r="G4771" t="s">
        <v>30058</v>
      </c>
      <c r="H4771" t="s">
        <v>15498</v>
      </c>
      <c r="I4771" t="s">
        <v>3693</v>
      </c>
      <c r="J4771" t="s">
        <v>33246</v>
      </c>
      <c r="K4771" t="s">
        <v>39111</v>
      </c>
      <c r="M4771" t="s">
        <v>40906</v>
      </c>
      <c r="N4771" t="s">
        <v>43166</v>
      </c>
      <c r="O4771" t="s">
        <v>43167</v>
      </c>
      <c r="P4771">
        <v>0</v>
      </c>
      <c r="Q4771">
        <v>0</v>
      </c>
      <c r="R4771" t="s">
        <v>43172</v>
      </c>
      <c r="S4771" t="s">
        <v>43334</v>
      </c>
      <c r="T4771" t="s">
        <v>44828</v>
      </c>
      <c r="U4771" t="s">
        <v>49073</v>
      </c>
      <c r="W4771" t="s">
        <v>40906</v>
      </c>
      <c r="X4771" t="s">
        <v>43178</v>
      </c>
    </row>
    <row r="4772" spans="1:24">
      <c r="A4772">
        <f>HYPERLINK("https://www.philgeps.gov.ph/GEPSNONPILOT/Tender/SplashBidNoticeAbstractUI.aspx?menuIndex=3&amp;refID=7070961&amp;Result=3","7070961")</f>
        <v>0</v>
      </c>
      <c r="B4772" t="s">
        <v>1142</v>
      </c>
      <c r="C4772" t="s">
        <v>7975</v>
      </c>
      <c r="E4772" t="s">
        <v>21641</v>
      </c>
      <c r="F4772" t="s">
        <v>30052</v>
      </c>
      <c r="G4772" t="s">
        <v>30058</v>
      </c>
      <c r="H4772" t="s">
        <v>15498</v>
      </c>
      <c r="I4772" t="s">
        <v>30074</v>
      </c>
      <c r="J4772" t="s">
        <v>32337</v>
      </c>
      <c r="K4772" t="s">
        <v>39025</v>
      </c>
      <c r="M4772" t="s">
        <v>40485</v>
      </c>
      <c r="N4772" t="s">
        <v>43166</v>
      </c>
      <c r="O4772" t="s">
        <v>43167</v>
      </c>
      <c r="P4772">
        <v>0</v>
      </c>
      <c r="Q4772">
        <v>6</v>
      </c>
      <c r="R4772" t="s">
        <v>43172</v>
      </c>
      <c r="S4772" t="s">
        <v>43334</v>
      </c>
      <c r="T4772" t="s">
        <v>44796</v>
      </c>
      <c r="U4772" t="s">
        <v>49074</v>
      </c>
      <c r="W4772" t="s">
        <v>40485</v>
      </c>
      <c r="X4772" t="s">
        <v>43178</v>
      </c>
    </row>
    <row r="4773" spans="1:24">
      <c r="A4773">
        <f>HYPERLINK("https://www.philgeps.gov.ph/GEPSNONPILOT/Tender/SplashBidNoticeAbstractUI.aspx?menuIndex=3&amp;refID=7070811&amp;Result=3","7070811")</f>
        <v>0</v>
      </c>
      <c r="B4773" t="s">
        <v>1669</v>
      </c>
      <c r="C4773" t="s">
        <v>7976</v>
      </c>
      <c r="D4773" t="s">
        <v>17456</v>
      </c>
      <c r="E4773" t="s">
        <v>21642</v>
      </c>
      <c r="F4773" t="s">
        <v>30052</v>
      </c>
      <c r="G4773" t="s">
        <v>30058</v>
      </c>
      <c r="H4773" t="s">
        <v>30067</v>
      </c>
      <c r="I4773" t="s">
        <v>3693</v>
      </c>
      <c r="J4773" t="s">
        <v>30230</v>
      </c>
      <c r="K4773" t="s">
        <v>39029</v>
      </c>
      <c r="M4773" t="s">
        <v>41076</v>
      </c>
      <c r="N4773" t="s">
        <v>43166</v>
      </c>
      <c r="O4773" t="s">
        <v>43167</v>
      </c>
      <c r="P4773">
        <v>0</v>
      </c>
      <c r="Q4773">
        <v>0</v>
      </c>
      <c r="R4773" t="s">
        <v>43172</v>
      </c>
      <c r="S4773" t="s">
        <v>43334</v>
      </c>
      <c r="T4773" t="s">
        <v>44759</v>
      </c>
      <c r="U4773" t="s">
        <v>49075</v>
      </c>
      <c r="W4773" t="s">
        <v>41076</v>
      </c>
      <c r="X4773" t="s">
        <v>43178</v>
      </c>
    </row>
    <row r="4774" spans="1:24">
      <c r="A4774">
        <f>HYPERLINK("https://www.philgeps.gov.ph/GEPSNONPILOT/Tender/SplashBidNoticeAbstractUI.aspx?menuIndex=3&amp;refID=7074527&amp;Result=3","7074527")</f>
        <v>0</v>
      </c>
      <c r="B4774" t="s">
        <v>1670</v>
      </c>
      <c r="C4774" t="s">
        <v>7977</v>
      </c>
      <c r="D4774" t="s">
        <v>17452</v>
      </c>
      <c r="E4774" t="s">
        <v>21643</v>
      </c>
      <c r="F4774" t="s">
        <v>30052</v>
      </c>
      <c r="G4774" t="s">
        <v>30059</v>
      </c>
      <c r="H4774" t="s">
        <v>15498</v>
      </c>
      <c r="I4774" t="s">
        <v>30115</v>
      </c>
      <c r="J4774" t="s">
        <v>33247</v>
      </c>
      <c r="K4774" t="s">
        <v>39017</v>
      </c>
      <c r="M4774" t="s">
        <v>41077</v>
      </c>
      <c r="N4774" t="s">
        <v>43166</v>
      </c>
      <c r="O4774" t="s">
        <v>43167</v>
      </c>
      <c r="P4774">
        <v>0</v>
      </c>
      <c r="Q4774">
        <v>2</v>
      </c>
      <c r="R4774" t="s">
        <v>43172</v>
      </c>
      <c r="S4774" t="s">
        <v>43334</v>
      </c>
      <c r="T4774" t="s">
        <v>44698</v>
      </c>
      <c r="U4774" t="s">
        <v>49076</v>
      </c>
      <c r="W4774" t="s">
        <v>41077</v>
      </c>
      <c r="X4774" t="s">
        <v>43175</v>
      </c>
    </row>
    <row r="4775" spans="1:24">
      <c r="A4775">
        <f>HYPERLINK("https://www.philgeps.gov.ph/GEPSNONPILOT/Tender/SplashBidNoticeAbstractUI.aspx?menuIndex=3&amp;refID=7070773&amp;Result=3","7070773")</f>
        <v>0</v>
      </c>
      <c r="B4775" t="s">
        <v>1669</v>
      </c>
      <c r="C4775" t="s">
        <v>7978</v>
      </c>
      <c r="D4775" t="s">
        <v>17456</v>
      </c>
      <c r="E4775" t="s">
        <v>17650</v>
      </c>
      <c r="F4775" t="s">
        <v>30052</v>
      </c>
      <c r="G4775" t="s">
        <v>30058</v>
      </c>
      <c r="H4775" t="s">
        <v>30067</v>
      </c>
      <c r="I4775" t="s">
        <v>3693</v>
      </c>
      <c r="J4775" t="s">
        <v>30277</v>
      </c>
      <c r="K4775" t="s">
        <v>39029</v>
      </c>
      <c r="M4775" t="s">
        <v>41076</v>
      </c>
      <c r="N4775" t="s">
        <v>43166</v>
      </c>
      <c r="O4775" t="s">
        <v>43167</v>
      </c>
      <c r="P4775">
        <v>0</v>
      </c>
      <c r="Q4775">
        <v>0</v>
      </c>
      <c r="R4775" t="s">
        <v>43172</v>
      </c>
      <c r="S4775" t="s">
        <v>43334</v>
      </c>
      <c r="T4775" t="s">
        <v>44759</v>
      </c>
      <c r="U4775" t="s">
        <v>49077</v>
      </c>
      <c r="W4775" t="s">
        <v>41076</v>
      </c>
      <c r="X4775" t="s">
        <v>43178</v>
      </c>
    </row>
    <row r="4776" spans="1:24">
      <c r="A4776">
        <f>HYPERLINK("https://www.philgeps.gov.ph/GEPSNONPILOT/Tender/SplashBidNoticeAbstractUI.aspx?menuIndex=3&amp;refID=7076549&amp;Result=3","7076549")</f>
        <v>0</v>
      </c>
      <c r="B4776" t="s">
        <v>121</v>
      </c>
      <c r="C4776" t="s">
        <v>7979</v>
      </c>
      <c r="D4776" t="s">
        <v>17440</v>
      </c>
      <c r="E4776" t="s">
        <v>21644</v>
      </c>
      <c r="F4776" t="s">
        <v>30052</v>
      </c>
      <c r="G4776" t="s">
        <v>30058</v>
      </c>
      <c r="H4776" t="s">
        <v>30067</v>
      </c>
      <c r="I4776" t="s">
        <v>3693</v>
      </c>
      <c r="J4776" t="s">
        <v>33248</v>
      </c>
      <c r="K4776" t="s">
        <v>39023</v>
      </c>
      <c r="M4776" t="s">
        <v>39410</v>
      </c>
      <c r="N4776" t="s">
        <v>43166</v>
      </c>
      <c r="O4776" t="s">
        <v>43167</v>
      </c>
      <c r="P4776">
        <v>0</v>
      </c>
      <c r="Q4776">
        <v>0</v>
      </c>
      <c r="R4776" t="s">
        <v>43172</v>
      </c>
      <c r="S4776" t="s">
        <v>43334</v>
      </c>
      <c r="T4776" t="s">
        <v>44925</v>
      </c>
      <c r="U4776" t="s">
        <v>49078</v>
      </c>
      <c r="W4776" t="s">
        <v>39410</v>
      </c>
      <c r="X4776" t="s">
        <v>43174</v>
      </c>
    </row>
    <row r="4777" spans="1:24">
      <c r="A4777">
        <f>HYPERLINK("https://www.philgeps.gov.ph/GEPSNONPILOT/Tender/SplashBidNoticeAbstractUI.aspx?menuIndex=3&amp;refID=7073723&amp;Result=3","7073723")</f>
        <v>0</v>
      </c>
      <c r="B4777" t="s">
        <v>1663</v>
      </c>
      <c r="C4777" t="s">
        <v>7980</v>
      </c>
      <c r="D4777" t="s">
        <v>17449</v>
      </c>
      <c r="E4777" t="s">
        <v>21645</v>
      </c>
      <c r="F4777" t="s">
        <v>30052</v>
      </c>
      <c r="G4777" t="s">
        <v>30058</v>
      </c>
      <c r="H4777" t="s">
        <v>15498</v>
      </c>
      <c r="I4777" t="s">
        <v>3736</v>
      </c>
      <c r="J4777" t="s">
        <v>33249</v>
      </c>
      <c r="K4777" t="s">
        <v>39025</v>
      </c>
      <c r="M4777" t="s">
        <v>41068</v>
      </c>
      <c r="N4777" t="s">
        <v>43166</v>
      </c>
      <c r="O4777" t="s">
        <v>43167</v>
      </c>
      <c r="P4777">
        <v>0</v>
      </c>
      <c r="Q4777">
        <v>1</v>
      </c>
      <c r="R4777" t="s">
        <v>43172</v>
      </c>
      <c r="S4777" t="s">
        <v>43334</v>
      </c>
      <c r="T4777" t="s">
        <v>44789</v>
      </c>
      <c r="U4777" t="s">
        <v>49079</v>
      </c>
      <c r="W4777" t="s">
        <v>41068</v>
      </c>
      <c r="X4777" t="s">
        <v>43175</v>
      </c>
    </row>
    <row r="4778" spans="1:24">
      <c r="A4778">
        <f>HYPERLINK("https://www.philgeps.gov.ph/GEPSNONPILOT/Tender/SplashBidNoticeAbstractUI.aspx?menuIndex=3&amp;refID=7076668&amp;Result=3","7076668")</f>
        <v>0</v>
      </c>
      <c r="B4778" t="s">
        <v>1172</v>
      </c>
      <c r="C4778" t="s">
        <v>7981</v>
      </c>
      <c r="D4778" t="s">
        <v>17466</v>
      </c>
      <c r="E4778" t="s">
        <v>21646</v>
      </c>
      <c r="F4778" t="s">
        <v>30052</v>
      </c>
      <c r="G4778" t="s">
        <v>30059</v>
      </c>
      <c r="H4778" t="s">
        <v>15498</v>
      </c>
      <c r="I4778" t="s">
        <v>30094</v>
      </c>
      <c r="J4778" t="s">
        <v>32932</v>
      </c>
      <c r="K4778" t="s">
        <v>39037</v>
      </c>
      <c r="M4778" t="s">
        <v>40520</v>
      </c>
      <c r="N4778" t="s">
        <v>43166</v>
      </c>
      <c r="O4778" t="s">
        <v>43167</v>
      </c>
      <c r="P4778">
        <v>0</v>
      </c>
      <c r="Q4778">
        <v>1</v>
      </c>
      <c r="R4778" t="s">
        <v>43172</v>
      </c>
      <c r="S4778" t="s">
        <v>43334</v>
      </c>
      <c r="T4778" t="s">
        <v>44943</v>
      </c>
      <c r="U4778" t="s">
        <v>47744</v>
      </c>
      <c r="W4778" t="s">
        <v>58626</v>
      </c>
      <c r="X4778" t="s">
        <v>43174</v>
      </c>
    </row>
    <row r="4779" spans="1:24">
      <c r="A4779">
        <f>HYPERLINK("https://www.philgeps.gov.ph/GEPSNONPILOT/Tender/SplashBidNoticeAbstractUI.aspx?menuIndex=3&amp;refID=7084524&amp;Result=3","7084524")</f>
        <v>0</v>
      </c>
      <c r="B4779" t="s">
        <v>1671</v>
      </c>
      <c r="C4779" t="s">
        <v>7982</v>
      </c>
      <c r="D4779" t="s">
        <v>17424</v>
      </c>
      <c r="E4779" t="s">
        <v>21647</v>
      </c>
      <c r="F4779" t="s">
        <v>30052</v>
      </c>
      <c r="G4779" t="s">
        <v>30058</v>
      </c>
      <c r="H4779" t="s">
        <v>15498</v>
      </c>
      <c r="I4779" t="s">
        <v>4598</v>
      </c>
      <c r="J4779" t="s">
        <v>30230</v>
      </c>
      <c r="K4779" t="s">
        <v>39017</v>
      </c>
      <c r="M4779" t="s">
        <v>41078</v>
      </c>
      <c r="N4779" t="s">
        <v>43166</v>
      </c>
      <c r="O4779" t="s">
        <v>43167</v>
      </c>
      <c r="P4779">
        <v>0</v>
      </c>
      <c r="Q4779">
        <v>1</v>
      </c>
      <c r="R4779" t="s">
        <v>43171</v>
      </c>
      <c r="S4779" t="s">
        <v>43311</v>
      </c>
      <c r="T4779" t="s">
        <v>44715</v>
      </c>
      <c r="U4779" t="s">
        <v>49080</v>
      </c>
      <c r="V4779" t="s">
        <v>57348</v>
      </c>
      <c r="W4779" t="s">
        <v>41078</v>
      </c>
      <c r="X4779" t="s">
        <v>43172</v>
      </c>
    </row>
    <row r="4780" spans="1:24">
      <c r="A4780">
        <f>HYPERLINK("https://www.philgeps.gov.ph/GEPSNONPILOT/Tender/SplashBidNoticeAbstractUI.aspx?menuIndex=3&amp;refID=7076638&amp;Result=3","7076638")</f>
        <v>0</v>
      </c>
      <c r="B4780" t="s">
        <v>1672</v>
      </c>
      <c r="C4780" t="s">
        <v>7983</v>
      </c>
      <c r="D4780" t="s">
        <v>17427</v>
      </c>
      <c r="E4780" t="s">
        <v>21648</v>
      </c>
      <c r="F4780" t="s">
        <v>30052</v>
      </c>
      <c r="G4780" t="s">
        <v>30058</v>
      </c>
      <c r="H4780" t="s">
        <v>15498</v>
      </c>
      <c r="I4780" t="s">
        <v>30080</v>
      </c>
      <c r="J4780" t="s">
        <v>30277</v>
      </c>
      <c r="K4780" t="s">
        <v>39017</v>
      </c>
      <c r="M4780" t="s">
        <v>41079</v>
      </c>
      <c r="N4780" t="s">
        <v>43166</v>
      </c>
      <c r="O4780" t="s">
        <v>43167</v>
      </c>
      <c r="P4780">
        <v>0</v>
      </c>
      <c r="Q4780">
        <v>5</v>
      </c>
      <c r="R4780" t="s">
        <v>43172</v>
      </c>
      <c r="S4780" t="s">
        <v>43334</v>
      </c>
      <c r="T4780" t="s">
        <v>44698</v>
      </c>
      <c r="U4780" t="s">
        <v>49081</v>
      </c>
      <c r="W4780" t="s">
        <v>41079</v>
      </c>
      <c r="X4780" t="s">
        <v>43174</v>
      </c>
    </row>
    <row r="4781" spans="1:24">
      <c r="A4781">
        <f>HYPERLINK("https://www.philgeps.gov.ph/GEPSNONPILOT/Tender/SplashBidNoticeAbstractUI.aspx?menuIndex=3&amp;refID=7076456&amp;Result=3","7076456")</f>
        <v>0</v>
      </c>
      <c r="B4781" t="s">
        <v>591</v>
      </c>
      <c r="C4781" t="s">
        <v>7984</v>
      </c>
      <c r="D4781" t="s">
        <v>17464</v>
      </c>
      <c r="E4781" t="s">
        <v>21649</v>
      </c>
      <c r="F4781" t="s">
        <v>30052</v>
      </c>
      <c r="G4781" t="s">
        <v>30061</v>
      </c>
      <c r="H4781" t="s">
        <v>15498</v>
      </c>
      <c r="I4781" t="s">
        <v>30097</v>
      </c>
      <c r="J4781" t="s">
        <v>33250</v>
      </c>
      <c r="K4781" t="s">
        <v>39017</v>
      </c>
      <c r="M4781" t="s">
        <v>39893</v>
      </c>
      <c r="N4781" t="s">
        <v>43166</v>
      </c>
      <c r="O4781" t="s">
        <v>43167</v>
      </c>
      <c r="P4781">
        <v>0</v>
      </c>
      <c r="Q4781">
        <v>6</v>
      </c>
      <c r="R4781" t="s">
        <v>43172</v>
      </c>
      <c r="S4781" t="s">
        <v>43334</v>
      </c>
      <c r="T4781" t="s">
        <v>44870</v>
      </c>
      <c r="U4781" t="s">
        <v>49082</v>
      </c>
      <c r="W4781" t="s">
        <v>39893</v>
      </c>
      <c r="X4781" t="s">
        <v>43174</v>
      </c>
    </row>
    <row r="4782" spans="1:24">
      <c r="A4782">
        <f>HYPERLINK("https://www.philgeps.gov.ph/GEPSNONPILOT/Tender/SplashBidNoticeAbstractUI.aspx?menuIndex=3&amp;refID=7076453&amp;Result=3","7076453")</f>
        <v>0</v>
      </c>
      <c r="B4782" t="s">
        <v>1673</v>
      </c>
      <c r="C4782" t="s">
        <v>7985</v>
      </c>
      <c r="D4782" t="s">
        <v>17476</v>
      </c>
      <c r="E4782" t="s">
        <v>21650</v>
      </c>
      <c r="F4782" t="s">
        <v>30052</v>
      </c>
      <c r="G4782" t="s">
        <v>30058</v>
      </c>
      <c r="H4782" t="s">
        <v>30067</v>
      </c>
      <c r="I4782" t="s">
        <v>3693</v>
      </c>
      <c r="J4782" t="s">
        <v>31814</v>
      </c>
      <c r="K4782" t="s">
        <v>39043</v>
      </c>
      <c r="M4782" t="s">
        <v>41080</v>
      </c>
      <c r="N4782" t="s">
        <v>43166</v>
      </c>
      <c r="O4782" t="s">
        <v>43167</v>
      </c>
      <c r="P4782">
        <v>0</v>
      </c>
      <c r="Q4782">
        <v>0</v>
      </c>
      <c r="R4782" t="s">
        <v>43172</v>
      </c>
      <c r="S4782" t="s">
        <v>43334</v>
      </c>
      <c r="T4782" t="s">
        <v>45001</v>
      </c>
      <c r="U4782" t="s">
        <v>49083</v>
      </c>
      <c r="W4782" t="s">
        <v>41080</v>
      </c>
      <c r="X4782" t="s">
        <v>43174</v>
      </c>
    </row>
    <row r="4783" spans="1:24">
      <c r="A4783">
        <f>HYPERLINK("https://www.philgeps.gov.ph/GEPSNONPILOT/Tender/SplashBidNoticeAbstractUI.aspx?menuIndex=3&amp;refID=7076345&amp;Result=3","7076345")</f>
        <v>0</v>
      </c>
      <c r="B4783" t="s">
        <v>591</v>
      </c>
      <c r="C4783" t="s">
        <v>7986</v>
      </c>
      <c r="D4783" t="s">
        <v>17464</v>
      </c>
      <c r="E4783" t="s">
        <v>21651</v>
      </c>
      <c r="F4783" t="s">
        <v>30052</v>
      </c>
      <c r="G4783" t="s">
        <v>30061</v>
      </c>
      <c r="H4783" t="s">
        <v>15498</v>
      </c>
      <c r="I4783" t="s">
        <v>30097</v>
      </c>
      <c r="J4783" t="s">
        <v>33251</v>
      </c>
      <c r="K4783" t="s">
        <v>39017</v>
      </c>
      <c r="M4783" t="s">
        <v>39893</v>
      </c>
      <c r="N4783" t="s">
        <v>43166</v>
      </c>
      <c r="O4783" t="s">
        <v>43167</v>
      </c>
      <c r="P4783">
        <v>0</v>
      </c>
      <c r="Q4783">
        <v>6</v>
      </c>
      <c r="R4783" t="s">
        <v>43172</v>
      </c>
      <c r="S4783" t="s">
        <v>43334</v>
      </c>
      <c r="T4783" t="s">
        <v>44841</v>
      </c>
      <c r="U4783" t="s">
        <v>49084</v>
      </c>
      <c r="W4783" t="s">
        <v>39893</v>
      </c>
      <c r="X4783" t="s">
        <v>43174</v>
      </c>
    </row>
    <row r="4784" spans="1:24">
      <c r="A4784">
        <f>HYPERLINK("https://www.philgeps.gov.ph/GEPSNONPILOT/Tender/SplashBidNoticeAbstractUI.aspx?menuIndex=3&amp;refID=7074125&amp;Result=3","7074125")</f>
        <v>0</v>
      </c>
      <c r="B4784" t="s">
        <v>667</v>
      </c>
      <c r="C4784" t="s">
        <v>7987</v>
      </c>
      <c r="E4784" t="s">
        <v>21652</v>
      </c>
      <c r="F4784" t="s">
        <v>30052</v>
      </c>
      <c r="G4784" t="s">
        <v>30059</v>
      </c>
      <c r="H4784" t="s">
        <v>15498</v>
      </c>
      <c r="I4784" t="s">
        <v>4598</v>
      </c>
      <c r="J4784" t="s">
        <v>33252</v>
      </c>
      <c r="K4784" t="s">
        <v>39025</v>
      </c>
      <c r="M4784" t="s">
        <v>39973</v>
      </c>
      <c r="N4784" t="s">
        <v>43166</v>
      </c>
      <c r="O4784" t="s">
        <v>43167</v>
      </c>
      <c r="P4784">
        <v>0</v>
      </c>
      <c r="Q4784">
        <v>19</v>
      </c>
      <c r="R4784" t="s">
        <v>43172</v>
      </c>
      <c r="S4784" t="s">
        <v>43334</v>
      </c>
      <c r="T4784" t="s">
        <v>44862</v>
      </c>
      <c r="U4784" t="s">
        <v>49085</v>
      </c>
      <c r="W4784" t="s">
        <v>39973</v>
      </c>
      <c r="X4784" t="s">
        <v>43175</v>
      </c>
    </row>
    <row r="4785" spans="1:24">
      <c r="A4785">
        <f>HYPERLINK("https://www.philgeps.gov.ph/GEPSNONPILOT/Tender/SplashBidNoticeAbstractUI.aspx?menuIndex=3&amp;refID=7076326&amp;Result=3","7076326")</f>
        <v>0</v>
      </c>
      <c r="B4785" t="s">
        <v>591</v>
      </c>
      <c r="C4785" t="s">
        <v>7988</v>
      </c>
      <c r="D4785" t="s">
        <v>17464</v>
      </c>
      <c r="E4785" t="s">
        <v>21653</v>
      </c>
      <c r="F4785" t="s">
        <v>30052</v>
      </c>
      <c r="G4785" t="s">
        <v>30061</v>
      </c>
      <c r="H4785" t="s">
        <v>15498</v>
      </c>
      <c r="I4785" t="s">
        <v>30097</v>
      </c>
      <c r="J4785" t="s">
        <v>33253</v>
      </c>
      <c r="K4785" t="s">
        <v>39017</v>
      </c>
      <c r="M4785" t="s">
        <v>39893</v>
      </c>
      <c r="N4785" t="s">
        <v>43166</v>
      </c>
      <c r="O4785" t="s">
        <v>43167</v>
      </c>
      <c r="P4785">
        <v>0</v>
      </c>
      <c r="Q4785">
        <v>8</v>
      </c>
      <c r="R4785" t="s">
        <v>43172</v>
      </c>
      <c r="S4785" t="s">
        <v>43334</v>
      </c>
      <c r="T4785" t="s">
        <v>44841</v>
      </c>
      <c r="U4785" t="s">
        <v>49086</v>
      </c>
      <c r="W4785" t="s">
        <v>39893</v>
      </c>
      <c r="X4785" t="s">
        <v>43174</v>
      </c>
    </row>
    <row r="4786" spans="1:24">
      <c r="A4786">
        <f>HYPERLINK("https://www.philgeps.gov.ph/GEPSNONPILOT/Tender/SplashBidNoticeAbstractUI.aspx?menuIndex=3&amp;refID=7076214&amp;Result=3","7076214")</f>
        <v>0</v>
      </c>
      <c r="B4786" t="s">
        <v>1314</v>
      </c>
      <c r="C4786" t="s">
        <v>7989</v>
      </c>
      <c r="D4786" t="s">
        <v>17420</v>
      </c>
      <c r="E4786" t="s">
        <v>21654</v>
      </c>
      <c r="F4786" t="s">
        <v>30052</v>
      </c>
      <c r="G4786" t="s">
        <v>30058</v>
      </c>
      <c r="H4786" t="s">
        <v>15498</v>
      </c>
      <c r="I4786" t="s">
        <v>30073</v>
      </c>
      <c r="J4786" t="s">
        <v>33254</v>
      </c>
      <c r="K4786" t="s">
        <v>39029</v>
      </c>
      <c r="M4786" t="s">
        <v>40681</v>
      </c>
      <c r="N4786" t="s">
        <v>43166</v>
      </c>
      <c r="O4786" t="s">
        <v>43167</v>
      </c>
      <c r="P4786">
        <v>0</v>
      </c>
      <c r="Q4786">
        <v>0</v>
      </c>
      <c r="R4786" t="s">
        <v>43172</v>
      </c>
      <c r="S4786" t="s">
        <v>43334</v>
      </c>
      <c r="T4786" t="s">
        <v>44678</v>
      </c>
      <c r="U4786" t="s">
        <v>49087</v>
      </c>
      <c r="W4786" t="s">
        <v>58632</v>
      </c>
      <c r="X4786" t="s">
        <v>43174</v>
      </c>
    </row>
    <row r="4787" spans="1:24">
      <c r="A4787">
        <f>HYPERLINK("https://www.philgeps.gov.ph/GEPSNONPILOT/Tender/SplashBidNoticeAbstractUI.aspx?menuIndex=3&amp;refID=7076714&amp;Result=3","7076714")</f>
        <v>0</v>
      </c>
      <c r="B4787" t="s">
        <v>1674</v>
      </c>
      <c r="C4787" t="s">
        <v>7990</v>
      </c>
      <c r="D4787" t="s">
        <v>17466</v>
      </c>
      <c r="E4787" t="s">
        <v>21655</v>
      </c>
      <c r="F4787" t="s">
        <v>30052</v>
      </c>
      <c r="G4787" t="s">
        <v>30058</v>
      </c>
      <c r="H4787" t="s">
        <v>15498</v>
      </c>
      <c r="I4787" t="s">
        <v>30124</v>
      </c>
      <c r="J4787" t="s">
        <v>33255</v>
      </c>
      <c r="K4787" t="s">
        <v>39025</v>
      </c>
      <c r="M4787" t="s">
        <v>41081</v>
      </c>
      <c r="N4787" t="s">
        <v>43166</v>
      </c>
      <c r="O4787" t="s">
        <v>43167</v>
      </c>
      <c r="P4787">
        <v>0</v>
      </c>
      <c r="Q4787">
        <v>1</v>
      </c>
      <c r="R4787" t="s">
        <v>43172</v>
      </c>
      <c r="S4787" t="s">
        <v>43334</v>
      </c>
      <c r="T4787" t="s">
        <v>44685</v>
      </c>
      <c r="U4787" t="s">
        <v>49088</v>
      </c>
      <c r="W4787" t="s">
        <v>41081</v>
      </c>
      <c r="X4787" t="s">
        <v>43174</v>
      </c>
    </row>
    <row r="4788" spans="1:24">
      <c r="A4788">
        <f>HYPERLINK("https://www.philgeps.gov.ph/GEPSNONPILOT/Tender/SplashBidNoticeAbstractUI.aspx?menuIndex=3&amp;refID=7076420&amp;Result=3","7076420")</f>
        <v>0</v>
      </c>
      <c r="B4788" t="s">
        <v>591</v>
      </c>
      <c r="C4788" t="s">
        <v>7991</v>
      </c>
      <c r="D4788" t="s">
        <v>17464</v>
      </c>
      <c r="E4788" t="s">
        <v>21656</v>
      </c>
      <c r="F4788" t="s">
        <v>30052</v>
      </c>
      <c r="G4788" t="s">
        <v>30061</v>
      </c>
      <c r="H4788" t="s">
        <v>15498</v>
      </c>
      <c r="I4788" t="s">
        <v>30097</v>
      </c>
      <c r="J4788" t="s">
        <v>33256</v>
      </c>
      <c r="K4788" t="s">
        <v>39017</v>
      </c>
      <c r="M4788" t="s">
        <v>39893</v>
      </c>
      <c r="N4788" t="s">
        <v>43166</v>
      </c>
      <c r="O4788" t="s">
        <v>43167</v>
      </c>
      <c r="P4788">
        <v>0</v>
      </c>
      <c r="Q4788">
        <v>6</v>
      </c>
      <c r="R4788" t="s">
        <v>43172</v>
      </c>
      <c r="S4788" t="s">
        <v>43334</v>
      </c>
      <c r="T4788" t="s">
        <v>44841</v>
      </c>
      <c r="U4788" t="s">
        <v>49089</v>
      </c>
      <c r="W4788" t="s">
        <v>39893</v>
      </c>
      <c r="X4788" t="s">
        <v>43174</v>
      </c>
    </row>
    <row r="4789" spans="1:24">
      <c r="A4789">
        <f>HYPERLINK("https://www.philgeps.gov.ph/GEPSNONPILOT/Tender/SplashBidNoticeAbstractUI.aspx?menuIndex=3&amp;refID=7076344&amp;Result=3","7076344")</f>
        <v>0</v>
      </c>
      <c r="B4789" t="s">
        <v>1675</v>
      </c>
      <c r="C4789" t="s">
        <v>7992</v>
      </c>
      <c r="D4789" t="s">
        <v>17471</v>
      </c>
      <c r="E4789" t="s">
        <v>21657</v>
      </c>
      <c r="F4789" t="s">
        <v>30052</v>
      </c>
      <c r="G4789" t="s">
        <v>30058</v>
      </c>
      <c r="H4789" t="s">
        <v>30067</v>
      </c>
      <c r="I4789" t="s">
        <v>3693</v>
      </c>
      <c r="J4789" t="s">
        <v>30227</v>
      </c>
      <c r="K4789" t="s">
        <v>39031</v>
      </c>
      <c r="M4789" t="s">
        <v>41082</v>
      </c>
      <c r="N4789" t="s">
        <v>43166</v>
      </c>
      <c r="O4789" t="s">
        <v>43167</v>
      </c>
      <c r="P4789">
        <v>0</v>
      </c>
      <c r="Q4789">
        <v>0</v>
      </c>
      <c r="R4789" t="s">
        <v>43172</v>
      </c>
      <c r="S4789" t="s">
        <v>43334</v>
      </c>
      <c r="T4789" t="s">
        <v>44791</v>
      </c>
      <c r="U4789" t="s">
        <v>49090</v>
      </c>
      <c r="W4789" t="s">
        <v>41082</v>
      </c>
      <c r="X4789" t="s">
        <v>43174</v>
      </c>
    </row>
    <row r="4790" spans="1:24">
      <c r="A4790">
        <f>HYPERLINK("https://www.philgeps.gov.ph/GEPSNONPILOT/Tender/SplashBidNoticeAbstractUI.aspx?menuIndex=3&amp;refID=7076093&amp;Result=3","7076093")</f>
        <v>0</v>
      </c>
      <c r="B4790" t="s">
        <v>1676</v>
      </c>
      <c r="C4790" t="s">
        <v>7993</v>
      </c>
      <c r="E4790" t="s">
        <v>21658</v>
      </c>
      <c r="F4790" t="s">
        <v>30052</v>
      </c>
      <c r="G4790" t="s">
        <v>30058</v>
      </c>
      <c r="H4790" t="s">
        <v>30067</v>
      </c>
      <c r="I4790" t="s">
        <v>3693</v>
      </c>
      <c r="J4790" t="s">
        <v>33257</v>
      </c>
      <c r="K4790" t="s">
        <v>39022</v>
      </c>
      <c r="M4790" t="s">
        <v>41083</v>
      </c>
      <c r="N4790" t="s">
        <v>43166</v>
      </c>
      <c r="O4790" t="s">
        <v>43167</v>
      </c>
      <c r="P4790">
        <v>0</v>
      </c>
      <c r="Q4790">
        <v>1</v>
      </c>
      <c r="R4790" t="s">
        <v>43172</v>
      </c>
      <c r="S4790" t="s">
        <v>43334</v>
      </c>
      <c r="T4790" t="s">
        <v>44712</v>
      </c>
      <c r="U4790" t="s">
        <v>49091</v>
      </c>
      <c r="W4790" t="s">
        <v>41083</v>
      </c>
      <c r="X4790" t="s">
        <v>43174</v>
      </c>
    </row>
    <row r="4791" spans="1:24">
      <c r="A4791">
        <f>HYPERLINK("https://www.philgeps.gov.ph/GEPSNONPILOT/Tender/SplashBidNoticeAbstractUI.aspx?menuIndex=3&amp;refID=7075785&amp;Result=3","7075785")</f>
        <v>0</v>
      </c>
      <c r="B4791" t="s">
        <v>1676</v>
      </c>
      <c r="C4791" t="s">
        <v>7994</v>
      </c>
      <c r="E4791" t="s">
        <v>21659</v>
      </c>
      <c r="F4791" t="s">
        <v>30052</v>
      </c>
      <c r="G4791" t="s">
        <v>30058</v>
      </c>
      <c r="H4791" t="s">
        <v>30067</v>
      </c>
      <c r="I4791" t="s">
        <v>3693</v>
      </c>
      <c r="J4791" t="s">
        <v>33258</v>
      </c>
      <c r="K4791" t="s">
        <v>39026</v>
      </c>
      <c r="M4791" t="s">
        <v>41083</v>
      </c>
      <c r="N4791" t="s">
        <v>43166</v>
      </c>
      <c r="O4791" t="s">
        <v>43167</v>
      </c>
      <c r="P4791">
        <v>0</v>
      </c>
      <c r="Q4791">
        <v>2</v>
      </c>
      <c r="R4791" t="s">
        <v>43172</v>
      </c>
      <c r="S4791" t="s">
        <v>43334</v>
      </c>
      <c r="T4791" t="s">
        <v>44712</v>
      </c>
      <c r="U4791" t="s">
        <v>49092</v>
      </c>
      <c r="W4791" t="s">
        <v>41083</v>
      </c>
      <c r="X4791" t="s">
        <v>43175</v>
      </c>
    </row>
    <row r="4792" spans="1:24">
      <c r="A4792">
        <f>HYPERLINK("https://www.philgeps.gov.ph/GEPSNONPILOT/Tender/SplashBidNoticeAbstractUI.aspx?menuIndex=3&amp;refID=7084540&amp;Result=3","7084540")</f>
        <v>0</v>
      </c>
      <c r="B4792" t="s">
        <v>483</v>
      </c>
      <c r="C4792" t="s">
        <v>7995</v>
      </c>
      <c r="D4792" t="s">
        <v>17489</v>
      </c>
      <c r="E4792" t="s">
        <v>21660</v>
      </c>
      <c r="F4792" t="s">
        <v>30052</v>
      </c>
      <c r="G4792" t="s">
        <v>30058</v>
      </c>
      <c r="H4792" t="s">
        <v>15498</v>
      </c>
      <c r="I4792" t="s">
        <v>30155</v>
      </c>
      <c r="J4792" t="s">
        <v>31977</v>
      </c>
      <c r="K4792" t="s">
        <v>39017</v>
      </c>
      <c r="M4792" t="s">
        <v>39784</v>
      </c>
      <c r="N4792" t="s">
        <v>43166</v>
      </c>
      <c r="O4792" t="s">
        <v>43167</v>
      </c>
      <c r="P4792">
        <v>0</v>
      </c>
      <c r="Q4792">
        <v>1</v>
      </c>
      <c r="R4792" t="s">
        <v>43171</v>
      </c>
      <c r="S4792" t="s">
        <v>43311</v>
      </c>
      <c r="T4792" t="s">
        <v>44758</v>
      </c>
      <c r="U4792" t="s">
        <v>49093</v>
      </c>
      <c r="W4792" t="s">
        <v>39784</v>
      </c>
      <c r="X4792" t="s">
        <v>43172</v>
      </c>
    </row>
    <row r="4793" spans="1:24">
      <c r="A4793">
        <f>HYPERLINK("https://www.philgeps.gov.ph/GEPSNONPILOT/Tender/SplashBidNoticeAbstractUI.aspx?menuIndex=3&amp;refID=7075748&amp;Result=3","7075748")</f>
        <v>0</v>
      </c>
      <c r="B4793" t="s">
        <v>1677</v>
      </c>
      <c r="C4793" t="s">
        <v>7996</v>
      </c>
      <c r="D4793" t="s">
        <v>17477</v>
      </c>
      <c r="E4793" t="s">
        <v>21661</v>
      </c>
      <c r="F4793" t="s">
        <v>30055</v>
      </c>
      <c r="G4793" t="s">
        <v>30059</v>
      </c>
      <c r="H4793" t="s">
        <v>30069</v>
      </c>
      <c r="I4793" t="s">
        <v>8323</v>
      </c>
      <c r="J4793" t="s">
        <v>33259</v>
      </c>
      <c r="K4793" t="s">
        <v>39028</v>
      </c>
      <c r="M4793" t="s">
        <v>41084</v>
      </c>
      <c r="N4793" t="s">
        <v>43166</v>
      </c>
      <c r="O4793" t="s">
        <v>43167</v>
      </c>
      <c r="P4793">
        <v>0</v>
      </c>
      <c r="Q4793">
        <v>13</v>
      </c>
      <c r="R4793" t="s">
        <v>43172</v>
      </c>
      <c r="S4793" t="s">
        <v>43334</v>
      </c>
      <c r="T4793" t="s">
        <v>44708</v>
      </c>
      <c r="U4793" t="s">
        <v>49094</v>
      </c>
      <c r="W4793" t="s">
        <v>41084</v>
      </c>
      <c r="X4793" t="s">
        <v>43175</v>
      </c>
    </row>
    <row r="4794" spans="1:24">
      <c r="A4794">
        <f>HYPERLINK("https://www.philgeps.gov.ph/GEPSNONPILOT/Tender/SplashBidNoticeAbstractUI.aspx?menuIndex=3&amp;refID=7076206&amp;Result=3","7076206")</f>
        <v>0</v>
      </c>
      <c r="B4794" t="s">
        <v>591</v>
      </c>
      <c r="C4794" t="s">
        <v>7997</v>
      </c>
      <c r="D4794" t="s">
        <v>17464</v>
      </c>
      <c r="E4794" t="s">
        <v>21662</v>
      </c>
      <c r="F4794" t="s">
        <v>30052</v>
      </c>
      <c r="G4794" t="s">
        <v>30061</v>
      </c>
      <c r="H4794" t="s">
        <v>15498</v>
      </c>
      <c r="I4794" t="s">
        <v>30097</v>
      </c>
      <c r="J4794" t="s">
        <v>33260</v>
      </c>
      <c r="K4794" t="s">
        <v>39017</v>
      </c>
      <c r="M4794" t="s">
        <v>39893</v>
      </c>
      <c r="N4794" t="s">
        <v>43166</v>
      </c>
      <c r="O4794" t="s">
        <v>43167</v>
      </c>
      <c r="P4794">
        <v>0</v>
      </c>
      <c r="Q4794">
        <v>10</v>
      </c>
      <c r="R4794" t="s">
        <v>43172</v>
      </c>
      <c r="S4794" t="s">
        <v>43334</v>
      </c>
      <c r="T4794" t="s">
        <v>44841</v>
      </c>
      <c r="U4794" t="s">
        <v>49095</v>
      </c>
      <c r="W4794" t="s">
        <v>39893</v>
      </c>
      <c r="X4794" t="s">
        <v>43174</v>
      </c>
    </row>
    <row r="4795" spans="1:24">
      <c r="A4795">
        <f>HYPERLINK("https://www.philgeps.gov.ph/GEPSNONPILOT/Tender/SplashBidNoticeAbstractUI.aspx?menuIndex=3&amp;refID=7075587&amp;Result=3","7075587")</f>
        <v>0</v>
      </c>
      <c r="B4795" t="s">
        <v>1678</v>
      </c>
      <c r="C4795" t="s">
        <v>7998</v>
      </c>
      <c r="E4795" t="s">
        <v>21663</v>
      </c>
      <c r="F4795" t="s">
        <v>30052</v>
      </c>
      <c r="G4795" t="s">
        <v>30058</v>
      </c>
      <c r="H4795" t="s">
        <v>15498</v>
      </c>
      <c r="I4795" t="s">
        <v>30074</v>
      </c>
      <c r="J4795" t="s">
        <v>33261</v>
      </c>
      <c r="K4795" t="s">
        <v>39025</v>
      </c>
      <c r="M4795" t="s">
        <v>41085</v>
      </c>
      <c r="N4795" t="s">
        <v>43166</v>
      </c>
      <c r="O4795" t="s">
        <v>43167</v>
      </c>
      <c r="P4795">
        <v>0</v>
      </c>
      <c r="Q4795">
        <v>6</v>
      </c>
      <c r="R4795" t="s">
        <v>43172</v>
      </c>
      <c r="S4795" t="s">
        <v>43334</v>
      </c>
      <c r="T4795" t="s">
        <v>44764</v>
      </c>
      <c r="U4795" t="s">
        <v>49096</v>
      </c>
      <c r="W4795" t="s">
        <v>41085</v>
      </c>
      <c r="X4795" t="s">
        <v>43175</v>
      </c>
    </row>
    <row r="4796" spans="1:24">
      <c r="A4796">
        <f>HYPERLINK("https://www.philgeps.gov.ph/GEPSNONPILOT/Tender/SplashBidNoticeAbstractUI.aspx?menuIndex=3&amp;refID=7054389&amp;Result=3","7054389")</f>
        <v>0</v>
      </c>
      <c r="B4796" t="s">
        <v>1679</v>
      </c>
      <c r="C4796" t="s">
        <v>7999</v>
      </c>
      <c r="D4796" t="s">
        <v>17415</v>
      </c>
      <c r="E4796" t="s">
        <v>21664</v>
      </c>
      <c r="F4796" t="s">
        <v>30052</v>
      </c>
      <c r="G4796" t="s">
        <v>30059</v>
      </c>
      <c r="H4796" t="s">
        <v>15498</v>
      </c>
      <c r="I4796" t="s">
        <v>30184</v>
      </c>
      <c r="J4796" t="s">
        <v>30377</v>
      </c>
      <c r="K4796" t="s">
        <v>39025</v>
      </c>
      <c r="M4796" t="s">
        <v>41086</v>
      </c>
      <c r="N4796" t="s">
        <v>43166</v>
      </c>
      <c r="O4796" t="s">
        <v>43167</v>
      </c>
      <c r="P4796">
        <v>0</v>
      </c>
      <c r="Q4796">
        <v>21</v>
      </c>
      <c r="R4796" t="s">
        <v>43172</v>
      </c>
      <c r="S4796" t="s">
        <v>43334</v>
      </c>
      <c r="T4796" t="s">
        <v>44737</v>
      </c>
      <c r="U4796" t="s">
        <v>49097</v>
      </c>
      <c r="W4796" t="s">
        <v>58651</v>
      </c>
      <c r="X4796" t="s">
        <v>43186</v>
      </c>
    </row>
    <row r="4797" spans="1:24">
      <c r="A4797">
        <f>HYPERLINK("https://www.philgeps.gov.ph/GEPSNONPILOT/Tender/SplashBidNoticeAbstractUI.aspx?menuIndex=3&amp;refID=7076009&amp;Result=3","7076009")</f>
        <v>0</v>
      </c>
      <c r="B4797" t="s">
        <v>1680</v>
      </c>
      <c r="C4797" t="s">
        <v>8000</v>
      </c>
      <c r="D4797" t="s">
        <v>17449</v>
      </c>
      <c r="E4797" t="s">
        <v>17715</v>
      </c>
      <c r="F4797" t="s">
        <v>30055</v>
      </c>
      <c r="G4797" t="s">
        <v>30058</v>
      </c>
      <c r="H4797" t="s">
        <v>30067</v>
      </c>
      <c r="I4797" t="s">
        <v>3693</v>
      </c>
      <c r="J4797" t="s">
        <v>31189</v>
      </c>
      <c r="K4797" t="s">
        <v>39037</v>
      </c>
      <c r="M4797" t="s">
        <v>41087</v>
      </c>
      <c r="N4797" t="s">
        <v>43166</v>
      </c>
      <c r="O4797" t="s">
        <v>43167</v>
      </c>
      <c r="P4797">
        <v>0</v>
      </c>
      <c r="Q4797">
        <v>0</v>
      </c>
      <c r="R4797" t="s">
        <v>43172</v>
      </c>
      <c r="S4797" t="s">
        <v>43334</v>
      </c>
      <c r="T4797" t="s">
        <v>45002</v>
      </c>
      <c r="U4797" t="s">
        <v>49098</v>
      </c>
      <c r="V4797" t="s">
        <v>57349</v>
      </c>
      <c r="W4797" t="s">
        <v>41087</v>
      </c>
      <c r="X4797" t="s">
        <v>43175</v>
      </c>
    </row>
    <row r="4798" spans="1:24">
      <c r="A4798">
        <f>HYPERLINK("https://www.philgeps.gov.ph/GEPSNONPILOT/Tender/SplashBidNoticeAbstractUI.aspx?menuIndex=3&amp;refID=7051906-2&amp;Result=3","7051906-2")</f>
        <v>0</v>
      </c>
      <c r="B4798" t="s">
        <v>1658</v>
      </c>
      <c r="C4798" t="s">
        <v>8001</v>
      </c>
      <c r="E4798" t="s">
        <v>21665</v>
      </c>
      <c r="F4798" t="s">
        <v>30052</v>
      </c>
      <c r="G4798" t="s">
        <v>30058</v>
      </c>
      <c r="H4798" t="s">
        <v>30068</v>
      </c>
      <c r="I4798" t="s">
        <v>30068</v>
      </c>
      <c r="J4798" t="s">
        <v>33262</v>
      </c>
      <c r="K4798" t="s">
        <v>39025</v>
      </c>
      <c r="M4798" t="s">
        <v>41063</v>
      </c>
      <c r="N4798" t="s">
        <v>43166</v>
      </c>
      <c r="O4798" t="s">
        <v>43167</v>
      </c>
      <c r="P4798">
        <v>0</v>
      </c>
      <c r="Q4798">
        <v>1</v>
      </c>
      <c r="R4798" t="s">
        <v>43172</v>
      </c>
      <c r="S4798" t="s">
        <v>43334</v>
      </c>
      <c r="T4798" t="s">
        <v>44758</v>
      </c>
      <c r="U4798" t="s">
        <v>49099</v>
      </c>
      <c r="V4798" t="s">
        <v>57350</v>
      </c>
      <c r="W4798" t="s">
        <v>41063</v>
      </c>
      <c r="X4798" t="s">
        <v>43173</v>
      </c>
    </row>
    <row r="4799" spans="1:24">
      <c r="A4799">
        <f>HYPERLINK("https://www.philgeps.gov.ph/GEPSNONPILOT/Tender/SplashBidNoticeAbstractUI.aspx?menuIndex=3&amp;refID=7069321&amp;Result=3","7069321")</f>
        <v>0</v>
      </c>
      <c r="B4799" t="s">
        <v>1681</v>
      </c>
      <c r="C4799" t="s">
        <v>8002</v>
      </c>
      <c r="D4799" t="s">
        <v>17424</v>
      </c>
      <c r="E4799" t="s">
        <v>21666</v>
      </c>
      <c r="F4799" t="s">
        <v>30055</v>
      </c>
      <c r="G4799" t="s">
        <v>30059</v>
      </c>
      <c r="H4799" t="s">
        <v>15498</v>
      </c>
      <c r="I4799" t="s">
        <v>30084</v>
      </c>
      <c r="J4799" t="s">
        <v>30377</v>
      </c>
      <c r="K4799" t="s">
        <v>39036</v>
      </c>
      <c r="M4799" t="s">
        <v>41088</v>
      </c>
      <c r="N4799" t="s">
        <v>43166</v>
      </c>
      <c r="O4799" t="s">
        <v>43167</v>
      </c>
      <c r="P4799">
        <v>0</v>
      </c>
      <c r="Q4799">
        <v>0</v>
      </c>
      <c r="R4799" t="s">
        <v>43172</v>
      </c>
      <c r="S4799" t="s">
        <v>43334</v>
      </c>
      <c r="T4799" t="s">
        <v>44685</v>
      </c>
      <c r="U4799" t="s">
        <v>49100</v>
      </c>
      <c r="W4799" t="s">
        <v>41088</v>
      </c>
      <c r="X4799" t="s">
        <v>43179</v>
      </c>
    </row>
    <row r="4800" spans="1:24">
      <c r="A4800">
        <f>HYPERLINK("https://www.philgeps.gov.ph/GEPSNONPILOT/Tender/SplashBidNoticeAbstractUI.aspx?menuIndex=3&amp;refID=7043524&amp;Result=3","7043524")</f>
        <v>0</v>
      </c>
      <c r="B4800" t="s">
        <v>1000</v>
      </c>
      <c r="C4800" t="s">
        <v>8003</v>
      </c>
      <c r="D4800" t="s">
        <v>17422</v>
      </c>
      <c r="E4800" t="s">
        <v>21667</v>
      </c>
      <c r="F4800" t="s">
        <v>30052</v>
      </c>
      <c r="G4800" t="s">
        <v>30058</v>
      </c>
      <c r="H4800" t="s">
        <v>15498</v>
      </c>
      <c r="I4800" t="s">
        <v>3736</v>
      </c>
      <c r="J4800" t="s">
        <v>33263</v>
      </c>
      <c r="K4800" t="s">
        <v>39034</v>
      </c>
      <c r="M4800" t="s">
        <v>41089</v>
      </c>
      <c r="N4800" t="s">
        <v>43166</v>
      </c>
      <c r="O4800" t="s">
        <v>43167</v>
      </c>
      <c r="P4800">
        <v>0</v>
      </c>
      <c r="Q4800">
        <v>0</v>
      </c>
      <c r="R4800" t="s">
        <v>43172</v>
      </c>
      <c r="S4800" t="s">
        <v>43334</v>
      </c>
      <c r="T4800" t="s">
        <v>44705</v>
      </c>
      <c r="U4800" t="s">
        <v>49101</v>
      </c>
      <c r="W4800" t="s">
        <v>41089</v>
      </c>
      <c r="X4800" t="s">
        <v>43190</v>
      </c>
    </row>
    <row r="4801" spans="1:24">
      <c r="A4801">
        <f>HYPERLINK("https://www.philgeps.gov.ph/GEPSNONPILOT/Tender/SplashBidNoticeAbstractUI.aspx?menuIndex=3&amp;refID=7009355-2&amp;Result=3","7009355-2")</f>
        <v>0</v>
      </c>
      <c r="B4801" t="s">
        <v>1654</v>
      </c>
      <c r="C4801" t="s">
        <v>8004</v>
      </c>
      <c r="E4801" t="s">
        <v>21668</v>
      </c>
      <c r="F4801" t="s">
        <v>30052</v>
      </c>
      <c r="G4801" t="s">
        <v>30058</v>
      </c>
      <c r="H4801" t="s">
        <v>30068</v>
      </c>
      <c r="I4801" t="s">
        <v>30068</v>
      </c>
      <c r="J4801" t="s">
        <v>33264</v>
      </c>
      <c r="K4801" t="s">
        <v>39059</v>
      </c>
      <c r="M4801" t="s">
        <v>41090</v>
      </c>
      <c r="N4801" t="s">
        <v>43166</v>
      </c>
      <c r="O4801" t="s">
        <v>43167</v>
      </c>
      <c r="P4801">
        <v>0</v>
      </c>
      <c r="Q4801">
        <v>0</v>
      </c>
      <c r="R4801" t="s">
        <v>43172</v>
      </c>
      <c r="S4801" t="s">
        <v>43334</v>
      </c>
      <c r="T4801" t="s">
        <v>45003</v>
      </c>
      <c r="U4801" t="s">
        <v>49102</v>
      </c>
      <c r="W4801" t="s">
        <v>41090</v>
      </c>
      <c r="X4801" t="s">
        <v>43173</v>
      </c>
    </row>
    <row r="4802" spans="1:24">
      <c r="A4802">
        <f>HYPERLINK("https://www.philgeps.gov.ph/GEPSNONPILOT/Tender/SplashBidNoticeAbstractUI.aspx?menuIndex=3&amp;refID=6953182&amp;Result=3","6953182")</f>
        <v>0</v>
      </c>
      <c r="B4802" t="s">
        <v>1682</v>
      </c>
      <c r="C4802" t="s">
        <v>8005</v>
      </c>
      <c r="D4802" t="s">
        <v>17453</v>
      </c>
      <c r="E4802" t="s">
        <v>21669</v>
      </c>
      <c r="F4802" t="s">
        <v>30052</v>
      </c>
      <c r="G4802" t="s">
        <v>30059</v>
      </c>
      <c r="H4802" t="s">
        <v>15498</v>
      </c>
      <c r="I4802" t="s">
        <v>9238</v>
      </c>
      <c r="J4802" t="s">
        <v>31196</v>
      </c>
      <c r="K4802" t="s">
        <v>39019</v>
      </c>
      <c r="M4802" t="s">
        <v>41091</v>
      </c>
      <c r="N4802" t="s">
        <v>43166</v>
      </c>
      <c r="O4802" t="s">
        <v>43167</v>
      </c>
      <c r="P4802">
        <v>0</v>
      </c>
      <c r="Q4802">
        <v>19</v>
      </c>
      <c r="R4802" t="s">
        <v>43172</v>
      </c>
      <c r="S4802" t="s">
        <v>43334</v>
      </c>
      <c r="T4802" t="s">
        <v>44837</v>
      </c>
      <c r="U4802" t="s">
        <v>49103</v>
      </c>
      <c r="W4802" t="s">
        <v>41091</v>
      </c>
      <c r="X4802" t="s">
        <v>43270</v>
      </c>
    </row>
    <row r="4803" spans="1:24">
      <c r="A4803">
        <f>HYPERLINK("https://www.philgeps.gov.ph/GEPSNONPILOT/Tender/SplashBidNoticeAbstractUI.aspx?menuIndex=3&amp;refID=7076240&amp;Result=3","7076240")</f>
        <v>0</v>
      </c>
      <c r="B4803" t="s">
        <v>591</v>
      </c>
      <c r="C4803" t="s">
        <v>8006</v>
      </c>
      <c r="D4803" t="s">
        <v>17464</v>
      </c>
      <c r="E4803" t="s">
        <v>21670</v>
      </c>
      <c r="F4803" t="s">
        <v>30052</v>
      </c>
      <c r="G4803" t="s">
        <v>30061</v>
      </c>
      <c r="H4803" t="s">
        <v>15498</v>
      </c>
      <c r="I4803" t="s">
        <v>30097</v>
      </c>
      <c r="J4803" t="s">
        <v>33265</v>
      </c>
      <c r="K4803" t="s">
        <v>39017</v>
      </c>
      <c r="M4803" t="s">
        <v>39893</v>
      </c>
      <c r="N4803" t="s">
        <v>43166</v>
      </c>
      <c r="O4803" t="s">
        <v>43167</v>
      </c>
      <c r="P4803">
        <v>0</v>
      </c>
      <c r="Q4803">
        <v>8</v>
      </c>
      <c r="R4803" t="s">
        <v>43172</v>
      </c>
      <c r="S4803" t="s">
        <v>43334</v>
      </c>
      <c r="T4803" t="s">
        <v>44734</v>
      </c>
      <c r="U4803" t="s">
        <v>49104</v>
      </c>
      <c r="W4803" t="s">
        <v>39893</v>
      </c>
      <c r="X4803" t="s">
        <v>43174</v>
      </c>
    </row>
    <row r="4804" spans="1:24">
      <c r="A4804">
        <f>HYPERLINK("https://www.philgeps.gov.ph/GEPSNONPILOT/Tender/SplashBidNoticeAbstractUI.aspx?menuIndex=3&amp;refID=7082541&amp;Result=3","7082541")</f>
        <v>0</v>
      </c>
      <c r="B4804" t="s">
        <v>1172</v>
      </c>
      <c r="C4804" t="s">
        <v>8007</v>
      </c>
      <c r="D4804" t="s">
        <v>17466</v>
      </c>
      <c r="E4804" t="s">
        <v>21671</v>
      </c>
      <c r="F4804" t="s">
        <v>30052</v>
      </c>
      <c r="G4804" t="s">
        <v>30058</v>
      </c>
      <c r="H4804" t="s">
        <v>15498</v>
      </c>
      <c r="I4804" t="s">
        <v>3606</v>
      </c>
      <c r="J4804" t="s">
        <v>33266</v>
      </c>
      <c r="K4804" t="s">
        <v>39037</v>
      </c>
      <c r="M4804" t="s">
        <v>40520</v>
      </c>
      <c r="N4804" t="s">
        <v>43166</v>
      </c>
      <c r="O4804" t="s">
        <v>43167</v>
      </c>
      <c r="P4804">
        <v>0</v>
      </c>
      <c r="Q4804">
        <v>5</v>
      </c>
      <c r="R4804" t="s">
        <v>43171</v>
      </c>
      <c r="S4804" t="s">
        <v>43311</v>
      </c>
      <c r="T4804" t="s">
        <v>44835</v>
      </c>
      <c r="U4804" t="s">
        <v>48176</v>
      </c>
      <c r="W4804" t="s">
        <v>58626</v>
      </c>
      <c r="X4804" t="s">
        <v>43172</v>
      </c>
    </row>
    <row r="4805" spans="1:24">
      <c r="A4805">
        <f>HYPERLINK("https://www.philgeps.gov.ph/GEPSNONPILOT/Tender/SplashBidNoticeAbstractUI.aspx?menuIndex=3&amp;refID=7075662&amp;Result=3","7075662")</f>
        <v>0</v>
      </c>
      <c r="B4805" t="s">
        <v>1683</v>
      </c>
      <c r="C4805" t="s">
        <v>8008</v>
      </c>
      <c r="D4805" t="s">
        <v>17415</v>
      </c>
      <c r="E4805" t="s">
        <v>21672</v>
      </c>
      <c r="F4805" t="s">
        <v>30052</v>
      </c>
      <c r="G4805" t="s">
        <v>30059</v>
      </c>
      <c r="H4805" t="s">
        <v>30069</v>
      </c>
      <c r="I4805" t="s">
        <v>6304</v>
      </c>
      <c r="J4805" t="s">
        <v>30890</v>
      </c>
      <c r="K4805" t="s">
        <v>39029</v>
      </c>
      <c r="M4805" t="s">
        <v>41092</v>
      </c>
      <c r="N4805" t="s">
        <v>43166</v>
      </c>
      <c r="O4805" t="s">
        <v>43167</v>
      </c>
      <c r="Q4805">
        <v>3</v>
      </c>
      <c r="R4805" t="s">
        <v>43172</v>
      </c>
      <c r="S4805" t="s">
        <v>43336</v>
      </c>
      <c r="T4805" t="s">
        <v>44732</v>
      </c>
      <c r="U4805" t="s">
        <v>49105</v>
      </c>
      <c r="W4805" t="s">
        <v>41092</v>
      </c>
      <c r="X4805" t="s">
        <v>43175</v>
      </c>
    </row>
    <row r="4806" spans="1:24">
      <c r="A4806">
        <f>HYPERLINK("https://www.philgeps.gov.ph/GEPSNONPILOT/Tender/SplashBidNoticeAbstractUI.aspx?menuIndex=3&amp;refID=7082514&amp;Result=3","7082514")</f>
        <v>0</v>
      </c>
      <c r="B4806" t="s">
        <v>1359</v>
      </c>
      <c r="C4806" t="s">
        <v>8009</v>
      </c>
      <c r="D4806" t="s">
        <v>17415</v>
      </c>
      <c r="E4806" t="s">
        <v>21673</v>
      </c>
      <c r="F4806" t="s">
        <v>30052</v>
      </c>
      <c r="G4806" t="s">
        <v>30061</v>
      </c>
      <c r="H4806" t="s">
        <v>15498</v>
      </c>
      <c r="I4806" t="s">
        <v>3736</v>
      </c>
      <c r="J4806" t="s">
        <v>33267</v>
      </c>
      <c r="K4806" t="s">
        <v>39019</v>
      </c>
      <c r="M4806" t="s">
        <v>40728</v>
      </c>
      <c r="N4806" t="s">
        <v>43166</v>
      </c>
      <c r="O4806" t="s">
        <v>43167</v>
      </c>
      <c r="P4806">
        <v>0</v>
      </c>
      <c r="Q4806">
        <v>0</v>
      </c>
      <c r="R4806" t="s">
        <v>43171</v>
      </c>
      <c r="S4806" t="s">
        <v>43311</v>
      </c>
      <c r="T4806" t="s">
        <v>44698</v>
      </c>
      <c r="U4806" t="s">
        <v>49106</v>
      </c>
      <c r="W4806" t="s">
        <v>58636</v>
      </c>
      <c r="X4806" t="s">
        <v>43172</v>
      </c>
    </row>
    <row r="4807" spans="1:24">
      <c r="A4807">
        <f>HYPERLINK("https://www.philgeps.gov.ph/GEPSNONPILOT/Tender/SplashBidNoticeAbstractUI.aspx?menuIndex=3&amp;refID=7082512&amp;Result=3","7082512")</f>
        <v>0</v>
      </c>
      <c r="B4807" t="s">
        <v>1300</v>
      </c>
      <c r="C4807" t="s">
        <v>8010</v>
      </c>
      <c r="D4807" t="s">
        <v>17444</v>
      </c>
      <c r="E4807" t="s">
        <v>21674</v>
      </c>
      <c r="F4807" t="s">
        <v>30052</v>
      </c>
      <c r="G4807" t="s">
        <v>30058</v>
      </c>
      <c r="H4807" t="s">
        <v>30067</v>
      </c>
      <c r="I4807" t="s">
        <v>3736</v>
      </c>
      <c r="J4807" t="s">
        <v>33268</v>
      </c>
      <c r="K4807" t="s">
        <v>39026</v>
      </c>
      <c r="M4807" t="s">
        <v>40666</v>
      </c>
      <c r="N4807" t="s">
        <v>43166</v>
      </c>
      <c r="O4807" t="s">
        <v>43167</v>
      </c>
      <c r="P4807">
        <v>0</v>
      </c>
      <c r="Q4807">
        <v>3</v>
      </c>
      <c r="R4807" t="s">
        <v>43171</v>
      </c>
      <c r="S4807" t="s">
        <v>43311</v>
      </c>
      <c r="T4807" t="s">
        <v>44828</v>
      </c>
      <c r="U4807" t="s">
        <v>48064</v>
      </c>
      <c r="V4807" t="s">
        <v>57230</v>
      </c>
      <c r="W4807" t="s">
        <v>40666</v>
      </c>
      <c r="X4807" t="s">
        <v>43172</v>
      </c>
    </row>
    <row r="4808" spans="1:24">
      <c r="A4808">
        <f>HYPERLINK("https://www.philgeps.gov.ph/GEPSNONPILOT/Tender/SplashBidNoticeAbstractUI.aspx?menuIndex=3&amp;refID=7082510&amp;Result=3","7082510")</f>
        <v>0</v>
      </c>
      <c r="B4808" t="s">
        <v>1320</v>
      </c>
      <c r="C4808" t="s">
        <v>8011</v>
      </c>
      <c r="D4808" t="s">
        <v>17440</v>
      </c>
      <c r="E4808" t="s">
        <v>21675</v>
      </c>
      <c r="F4808" t="s">
        <v>30052</v>
      </c>
      <c r="G4808" t="s">
        <v>30058</v>
      </c>
      <c r="H4808" t="s">
        <v>15498</v>
      </c>
      <c r="I4808" t="s">
        <v>30088</v>
      </c>
      <c r="J4808" t="s">
        <v>33269</v>
      </c>
      <c r="K4808" t="s">
        <v>39029</v>
      </c>
      <c r="M4808" t="s">
        <v>40687</v>
      </c>
      <c r="N4808" t="s">
        <v>43166</v>
      </c>
      <c r="O4808" t="s">
        <v>43167</v>
      </c>
      <c r="P4808">
        <v>0</v>
      </c>
      <c r="Q4808">
        <v>7</v>
      </c>
      <c r="R4808" t="s">
        <v>43171</v>
      </c>
      <c r="S4808" t="s">
        <v>43311</v>
      </c>
      <c r="T4808" t="s">
        <v>44789</v>
      </c>
      <c r="U4808" t="s">
        <v>48107</v>
      </c>
      <c r="V4808" t="s">
        <v>57260</v>
      </c>
      <c r="W4808" t="s">
        <v>40687</v>
      </c>
      <c r="X4808" t="s">
        <v>43172</v>
      </c>
    </row>
    <row r="4809" spans="1:24">
      <c r="A4809">
        <f>HYPERLINK("https://www.philgeps.gov.ph/GEPSNONPILOT/Tender/SplashBidNoticeAbstractUI.aspx?menuIndex=3&amp;refID=7082509&amp;Result=3","7082509")</f>
        <v>0</v>
      </c>
      <c r="B4809" t="s">
        <v>1307</v>
      </c>
      <c r="C4809" t="s">
        <v>8012</v>
      </c>
      <c r="D4809" t="s">
        <v>17435</v>
      </c>
      <c r="E4809" t="s">
        <v>21676</v>
      </c>
      <c r="F4809" t="s">
        <v>30052</v>
      </c>
      <c r="G4809" t="s">
        <v>30059</v>
      </c>
      <c r="H4809" t="s">
        <v>15498</v>
      </c>
      <c r="I4809" t="s">
        <v>30103</v>
      </c>
      <c r="J4809" t="s">
        <v>33270</v>
      </c>
      <c r="K4809" t="s">
        <v>39019</v>
      </c>
      <c r="M4809" t="s">
        <v>40674</v>
      </c>
      <c r="N4809" t="s">
        <v>43166</v>
      </c>
      <c r="O4809" t="s">
        <v>43167</v>
      </c>
      <c r="P4809">
        <v>0</v>
      </c>
      <c r="Q4809">
        <v>1</v>
      </c>
      <c r="R4809" t="s">
        <v>43171</v>
      </c>
      <c r="S4809" t="s">
        <v>43311</v>
      </c>
      <c r="T4809" t="s">
        <v>44837</v>
      </c>
      <c r="U4809" t="s">
        <v>49107</v>
      </c>
      <c r="V4809" t="s">
        <v>57234</v>
      </c>
      <c r="W4809" t="s">
        <v>40674</v>
      </c>
      <c r="X4809" t="s">
        <v>43172</v>
      </c>
    </row>
    <row r="4810" spans="1:24">
      <c r="A4810">
        <f>HYPERLINK("https://www.philgeps.gov.ph/GEPSNONPILOT/Tender/SplashBidNoticeAbstractUI.aspx?menuIndex=3&amp;refID=7082507&amp;Result=3","7082507")</f>
        <v>0</v>
      </c>
      <c r="B4810" t="s">
        <v>1181</v>
      </c>
      <c r="C4810" t="s">
        <v>8013</v>
      </c>
      <c r="D4810" t="s">
        <v>17444</v>
      </c>
      <c r="E4810" t="s">
        <v>21677</v>
      </c>
      <c r="F4810" t="s">
        <v>30052</v>
      </c>
      <c r="G4810" t="s">
        <v>30059</v>
      </c>
      <c r="H4810" t="s">
        <v>30068</v>
      </c>
      <c r="I4810" t="s">
        <v>30068</v>
      </c>
      <c r="J4810" t="s">
        <v>32610</v>
      </c>
      <c r="K4810" t="s">
        <v>39025</v>
      </c>
      <c r="M4810" t="s">
        <v>40531</v>
      </c>
      <c r="N4810" t="s">
        <v>43166</v>
      </c>
      <c r="O4810" t="s">
        <v>43167</v>
      </c>
      <c r="P4810">
        <v>0</v>
      </c>
      <c r="Q4810">
        <v>0</v>
      </c>
      <c r="R4810" t="s">
        <v>43171</v>
      </c>
      <c r="S4810" t="s">
        <v>43311</v>
      </c>
      <c r="T4810" t="s">
        <v>44705</v>
      </c>
      <c r="U4810" t="s">
        <v>49108</v>
      </c>
      <c r="W4810" t="s">
        <v>40531</v>
      </c>
      <c r="X4810" t="s">
        <v>43172</v>
      </c>
    </row>
    <row r="4811" spans="1:24">
      <c r="A4811">
        <f>HYPERLINK("https://www.philgeps.gov.ph/GEPSNONPILOT/Tender/SplashBidNoticeAbstractUI.aspx?menuIndex=3&amp;refID=7082503&amp;Result=3","7082503")</f>
        <v>0</v>
      </c>
      <c r="B4811" t="s">
        <v>1309</v>
      </c>
      <c r="C4811" t="s">
        <v>8014</v>
      </c>
      <c r="D4811" t="s">
        <v>17414</v>
      </c>
      <c r="E4811" t="s">
        <v>21678</v>
      </c>
      <c r="F4811" t="s">
        <v>30052</v>
      </c>
      <c r="G4811" t="s">
        <v>30060</v>
      </c>
      <c r="H4811" t="s">
        <v>15498</v>
      </c>
      <c r="I4811" t="s">
        <v>30074</v>
      </c>
      <c r="J4811" t="s">
        <v>30397</v>
      </c>
      <c r="K4811" t="s">
        <v>39031</v>
      </c>
      <c r="M4811" t="s">
        <v>40676</v>
      </c>
      <c r="N4811" t="s">
        <v>43166</v>
      </c>
      <c r="O4811" t="s">
        <v>43167</v>
      </c>
      <c r="P4811">
        <v>0</v>
      </c>
      <c r="Q4811">
        <v>4</v>
      </c>
      <c r="R4811" t="s">
        <v>43171</v>
      </c>
      <c r="S4811" t="s">
        <v>43311</v>
      </c>
      <c r="T4811" t="s">
        <v>44677</v>
      </c>
      <c r="U4811" t="s">
        <v>49109</v>
      </c>
      <c r="W4811" t="s">
        <v>40676</v>
      </c>
      <c r="X4811" t="s">
        <v>43172</v>
      </c>
    </row>
    <row r="4812" spans="1:24">
      <c r="A4812">
        <f>HYPERLINK("https://www.philgeps.gov.ph/GEPSNONPILOT/Tender/SplashBidNoticeAbstractUI.aspx?menuIndex=3&amp;refID=7082501&amp;Result=3","7082501")</f>
        <v>0</v>
      </c>
      <c r="B4812" t="s">
        <v>1684</v>
      </c>
      <c r="C4812" t="s">
        <v>8015</v>
      </c>
      <c r="E4812" t="s">
        <v>18722</v>
      </c>
      <c r="F4812" t="s">
        <v>30052</v>
      </c>
      <c r="G4812" t="s">
        <v>30058</v>
      </c>
      <c r="H4812" t="s">
        <v>30067</v>
      </c>
      <c r="I4812" t="s">
        <v>30072</v>
      </c>
      <c r="J4812" t="s">
        <v>30235</v>
      </c>
      <c r="K4812" t="s">
        <v>39025</v>
      </c>
      <c r="M4812" t="s">
        <v>41093</v>
      </c>
      <c r="N4812" t="s">
        <v>43166</v>
      </c>
      <c r="O4812" t="s">
        <v>43167</v>
      </c>
      <c r="P4812">
        <v>0</v>
      </c>
      <c r="Q4812">
        <v>3</v>
      </c>
      <c r="R4812" t="s">
        <v>43171</v>
      </c>
      <c r="S4812" t="s">
        <v>43311</v>
      </c>
      <c r="T4812" t="s">
        <v>44715</v>
      </c>
      <c r="U4812" t="s">
        <v>49110</v>
      </c>
      <c r="W4812" t="s">
        <v>41093</v>
      </c>
      <c r="X4812" t="s">
        <v>43172</v>
      </c>
    </row>
    <row r="4813" spans="1:24">
      <c r="A4813">
        <f>HYPERLINK("https://www.philgeps.gov.ph/GEPSNONPILOT/Tender/SplashBidNoticeAbstractUI.aspx?menuIndex=3&amp;refID=7082477&amp;Result=3","7082477")</f>
        <v>0</v>
      </c>
      <c r="B4813" t="s">
        <v>1339</v>
      </c>
      <c r="C4813" t="s">
        <v>8016</v>
      </c>
      <c r="D4813" t="s">
        <v>17474</v>
      </c>
      <c r="E4813" t="s">
        <v>21679</v>
      </c>
      <c r="F4813" t="s">
        <v>30052</v>
      </c>
      <c r="G4813" t="s">
        <v>30058</v>
      </c>
      <c r="H4813" t="s">
        <v>15498</v>
      </c>
      <c r="I4813" t="s">
        <v>3736</v>
      </c>
      <c r="J4813" t="s">
        <v>33271</v>
      </c>
      <c r="K4813" t="s">
        <v>39029</v>
      </c>
      <c r="M4813" t="s">
        <v>40706</v>
      </c>
      <c r="N4813" t="s">
        <v>43166</v>
      </c>
      <c r="O4813" t="s">
        <v>43167</v>
      </c>
      <c r="P4813">
        <v>0</v>
      </c>
      <c r="Q4813">
        <v>0</v>
      </c>
      <c r="R4813" t="s">
        <v>43171</v>
      </c>
      <c r="S4813" t="s">
        <v>43311</v>
      </c>
      <c r="T4813" t="s">
        <v>44704</v>
      </c>
      <c r="U4813" t="s">
        <v>48174</v>
      </c>
      <c r="V4813" t="s">
        <v>57248</v>
      </c>
      <c r="W4813" t="s">
        <v>40706</v>
      </c>
      <c r="X4813" t="s">
        <v>43172</v>
      </c>
    </row>
    <row r="4814" spans="1:24">
      <c r="A4814">
        <f>HYPERLINK("https://www.philgeps.gov.ph/GEPSNONPILOT/Tender/SplashBidNoticeAbstractUI.aspx?menuIndex=3&amp;refID=7082472&amp;Result=3","7082472")</f>
        <v>0</v>
      </c>
      <c r="B4814" t="s">
        <v>1359</v>
      </c>
      <c r="C4814" t="s">
        <v>8017</v>
      </c>
      <c r="D4814" t="s">
        <v>17415</v>
      </c>
      <c r="E4814" t="s">
        <v>21680</v>
      </c>
      <c r="F4814" t="s">
        <v>30052</v>
      </c>
      <c r="G4814" t="s">
        <v>30061</v>
      </c>
      <c r="H4814" t="s">
        <v>15498</v>
      </c>
      <c r="I4814" t="s">
        <v>3736</v>
      </c>
      <c r="J4814" t="s">
        <v>33272</v>
      </c>
      <c r="K4814" t="s">
        <v>39019</v>
      </c>
      <c r="M4814" t="s">
        <v>40728</v>
      </c>
      <c r="N4814" t="s">
        <v>43166</v>
      </c>
      <c r="O4814" t="s">
        <v>43167</v>
      </c>
      <c r="P4814">
        <v>0</v>
      </c>
      <c r="Q4814">
        <v>5</v>
      </c>
      <c r="R4814" t="s">
        <v>43171</v>
      </c>
      <c r="S4814" t="s">
        <v>43311</v>
      </c>
      <c r="T4814" t="s">
        <v>44698</v>
      </c>
      <c r="U4814" t="s">
        <v>49111</v>
      </c>
      <c r="W4814" t="s">
        <v>58636</v>
      </c>
      <c r="X4814" t="s">
        <v>43172</v>
      </c>
    </row>
    <row r="4815" spans="1:24">
      <c r="A4815">
        <f>HYPERLINK("https://www.philgeps.gov.ph/GEPSNONPILOT/Tender/SplashBidNoticeAbstractUI.aspx?menuIndex=3&amp;refID=7082513&amp;Result=3","7082513")</f>
        <v>0</v>
      </c>
      <c r="B4815" t="s">
        <v>720</v>
      </c>
      <c r="C4815" t="s">
        <v>8018</v>
      </c>
      <c r="E4815" t="s">
        <v>21681</v>
      </c>
      <c r="F4815" t="s">
        <v>30052</v>
      </c>
      <c r="G4815" t="s">
        <v>30058</v>
      </c>
      <c r="H4815" t="s">
        <v>30067</v>
      </c>
      <c r="I4815" t="s">
        <v>3736</v>
      </c>
      <c r="J4815" t="s">
        <v>33273</v>
      </c>
      <c r="K4815" t="s">
        <v>39025</v>
      </c>
      <c r="M4815" t="s">
        <v>40030</v>
      </c>
      <c r="N4815" t="s">
        <v>43166</v>
      </c>
      <c r="O4815" t="s">
        <v>43167</v>
      </c>
      <c r="P4815">
        <v>0</v>
      </c>
      <c r="Q4815">
        <v>0</v>
      </c>
      <c r="R4815" t="s">
        <v>43171</v>
      </c>
      <c r="S4815" t="s">
        <v>43311</v>
      </c>
      <c r="T4815" t="s">
        <v>44710</v>
      </c>
      <c r="U4815" t="s">
        <v>49112</v>
      </c>
      <c r="W4815" t="s">
        <v>40030</v>
      </c>
      <c r="X4815" t="s">
        <v>43172</v>
      </c>
    </row>
    <row r="4816" spans="1:24">
      <c r="A4816">
        <f>HYPERLINK("https://www.philgeps.gov.ph/GEPSNONPILOT/Tender/SplashBidNoticeAbstractUI.aspx?menuIndex=3&amp;refID=7076759&amp;Result=3","7076759")</f>
        <v>0</v>
      </c>
      <c r="B4816" t="s">
        <v>1674</v>
      </c>
      <c r="C4816" t="s">
        <v>8019</v>
      </c>
      <c r="D4816" t="s">
        <v>17466</v>
      </c>
      <c r="E4816" t="s">
        <v>21682</v>
      </c>
      <c r="F4816" t="s">
        <v>30052</v>
      </c>
      <c r="G4816" t="s">
        <v>30058</v>
      </c>
      <c r="H4816" t="s">
        <v>15498</v>
      </c>
      <c r="I4816" t="s">
        <v>30081</v>
      </c>
      <c r="J4816" t="s">
        <v>33274</v>
      </c>
      <c r="K4816" t="s">
        <v>39025</v>
      </c>
      <c r="M4816" t="s">
        <v>41081</v>
      </c>
      <c r="N4816" t="s">
        <v>43166</v>
      </c>
      <c r="O4816" t="s">
        <v>43167</v>
      </c>
      <c r="P4816">
        <v>0</v>
      </c>
      <c r="Q4816">
        <v>0</v>
      </c>
      <c r="R4816" t="s">
        <v>43172</v>
      </c>
      <c r="S4816" t="s">
        <v>43334</v>
      </c>
      <c r="T4816" t="s">
        <v>44685</v>
      </c>
      <c r="U4816" t="s">
        <v>49088</v>
      </c>
      <c r="W4816" t="s">
        <v>41081</v>
      </c>
      <c r="X4816" t="s">
        <v>43174</v>
      </c>
    </row>
    <row r="4817" spans="1:24">
      <c r="A4817">
        <f>HYPERLINK("https://www.philgeps.gov.ph/GEPSNONPILOT/Tender/SplashBidNoticeAbstractUI.aspx?menuIndex=3&amp;refID=7082647&amp;Result=3","7082647")</f>
        <v>0</v>
      </c>
      <c r="B4817" t="s">
        <v>1340</v>
      </c>
      <c r="C4817" t="s">
        <v>8020</v>
      </c>
      <c r="D4817" t="s">
        <v>17427</v>
      </c>
      <c r="E4817" t="s">
        <v>21683</v>
      </c>
      <c r="F4817" t="s">
        <v>30052</v>
      </c>
      <c r="G4817" t="s">
        <v>30062</v>
      </c>
      <c r="H4817" t="s">
        <v>15498</v>
      </c>
      <c r="I4817" t="s">
        <v>4598</v>
      </c>
      <c r="J4817" t="s">
        <v>30327</v>
      </c>
      <c r="K4817" t="s">
        <v>39018</v>
      </c>
      <c r="M4817" t="s">
        <v>40707</v>
      </c>
      <c r="N4817" t="s">
        <v>43166</v>
      </c>
      <c r="O4817" t="s">
        <v>43167</v>
      </c>
      <c r="P4817">
        <v>0</v>
      </c>
      <c r="Q4817">
        <v>1</v>
      </c>
      <c r="R4817" t="s">
        <v>43171</v>
      </c>
      <c r="S4817" t="s">
        <v>43311</v>
      </c>
      <c r="T4817" t="s">
        <v>44844</v>
      </c>
      <c r="U4817" t="s">
        <v>49113</v>
      </c>
      <c r="W4817" t="s">
        <v>40707</v>
      </c>
      <c r="X4817" t="s">
        <v>43172</v>
      </c>
    </row>
    <row r="4818" spans="1:24">
      <c r="A4818">
        <f>HYPERLINK("https://www.philgeps.gov.ph/GEPSNONPILOT/Tender/SplashBidNoticeAbstractUI.aspx?menuIndex=3&amp;refID=7077181&amp;Result=3","7077181")</f>
        <v>0</v>
      </c>
      <c r="B4818" t="s">
        <v>1339</v>
      </c>
      <c r="C4818" t="s">
        <v>8021</v>
      </c>
      <c r="D4818" t="s">
        <v>17474</v>
      </c>
      <c r="E4818" t="s">
        <v>21684</v>
      </c>
      <c r="F4818" t="s">
        <v>30052</v>
      </c>
      <c r="G4818" t="s">
        <v>30058</v>
      </c>
      <c r="H4818" t="s">
        <v>15498</v>
      </c>
      <c r="I4818" t="s">
        <v>30081</v>
      </c>
      <c r="J4818" t="s">
        <v>33275</v>
      </c>
      <c r="K4818" t="s">
        <v>39029</v>
      </c>
      <c r="M4818" t="s">
        <v>40706</v>
      </c>
      <c r="N4818" t="s">
        <v>43166</v>
      </c>
      <c r="O4818" t="s">
        <v>43167</v>
      </c>
      <c r="P4818">
        <v>0</v>
      </c>
      <c r="Q4818">
        <v>0</v>
      </c>
      <c r="R4818" t="s">
        <v>43172</v>
      </c>
      <c r="S4818" t="s">
        <v>43334</v>
      </c>
      <c r="T4818" t="s">
        <v>44685</v>
      </c>
      <c r="U4818" t="s">
        <v>48174</v>
      </c>
      <c r="V4818" t="s">
        <v>57248</v>
      </c>
      <c r="W4818" t="s">
        <v>40706</v>
      </c>
      <c r="X4818" t="s">
        <v>43174</v>
      </c>
    </row>
    <row r="4819" spans="1:24">
      <c r="A4819">
        <f>HYPERLINK("https://www.philgeps.gov.ph/GEPSNONPILOT/Tender/SplashBidNoticeAbstractUI.aspx?menuIndex=3&amp;refID=7026689&amp;Result=3","7026689")</f>
        <v>0</v>
      </c>
      <c r="B4819" t="s">
        <v>1177</v>
      </c>
      <c r="C4819" t="s">
        <v>8022</v>
      </c>
      <c r="D4819" t="s">
        <v>17460</v>
      </c>
      <c r="E4819" t="s">
        <v>21685</v>
      </c>
      <c r="F4819" t="s">
        <v>30052</v>
      </c>
      <c r="G4819" t="s">
        <v>30059</v>
      </c>
      <c r="H4819" t="s">
        <v>15498</v>
      </c>
      <c r="I4819" t="s">
        <v>30109</v>
      </c>
      <c r="J4819" t="s">
        <v>30574</v>
      </c>
      <c r="K4819" t="s">
        <v>39019</v>
      </c>
      <c r="M4819" t="s">
        <v>40526</v>
      </c>
      <c r="N4819" t="s">
        <v>43166</v>
      </c>
      <c r="O4819" t="s">
        <v>43167</v>
      </c>
      <c r="P4819">
        <v>0</v>
      </c>
      <c r="Q4819">
        <v>2</v>
      </c>
      <c r="R4819" t="s">
        <v>43172</v>
      </c>
      <c r="S4819" t="s">
        <v>43334</v>
      </c>
      <c r="T4819" t="s">
        <v>44717</v>
      </c>
      <c r="U4819" t="s">
        <v>49114</v>
      </c>
      <c r="W4819" t="s">
        <v>58627</v>
      </c>
      <c r="X4819" t="s">
        <v>43199</v>
      </c>
    </row>
    <row r="4820" spans="1:24">
      <c r="A4820">
        <f>HYPERLINK("https://www.philgeps.gov.ph/GEPSNONPILOT/Tender/SplashBidNoticeAbstractUI.aspx?menuIndex=3&amp;refID=7077179&amp;Result=3","7077179")</f>
        <v>0</v>
      </c>
      <c r="B4820" t="s">
        <v>1685</v>
      </c>
      <c r="C4820" t="s">
        <v>8023</v>
      </c>
      <c r="D4820" t="s">
        <v>17455</v>
      </c>
      <c r="E4820" t="s">
        <v>21686</v>
      </c>
      <c r="F4820" t="s">
        <v>30052</v>
      </c>
      <c r="G4820" t="s">
        <v>30058</v>
      </c>
      <c r="H4820" t="s">
        <v>15498</v>
      </c>
      <c r="I4820" t="s">
        <v>30074</v>
      </c>
      <c r="J4820" t="s">
        <v>33276</v>
      </c>
      <c r="K4820" t="s">
        <v>39023</v>
      </c>
      <c r="M4820" t="s">
        <v>41094</v>
      </c>
      <c r="N4820" t="s">
        <v>43166</v>
      </c>
      <c r="O4820" t="s">
        <v>43167</v>
      </c>
      <c r="P4820">
        <v>0</v>
      </c>
      <c r="Q4820">
        <v>5</v>
      </c>
      <c r="R4820" t="s">
        <v>43172</v>
      </c>
      <c r="S4820" t="s">
        <v>43334</v>
      </c>
      <c r="T4820" t="s">
        <v>44722</v>
      </c>
      <c r="U4820" t="s">
        <v>49115</v>
      </c>
      <c r="W4820" t="s">
        <v>58652</v>
      </c>
      <c r="X4820" t="s">
        <v>43174</v>
      </c>
    </row>
    <row r="4821" spans="1:24">
      <c r="A4821">
        <f>HYPERLINK("https://www.philgeps.gov.ph/GEPSNONPILOT/Tender/SplashBidNoticeAbstractUI.aspx?menuIndex=3&amp;refID=7077170&amp;Result=3","7077170")</f>
        <v>0</v>
      </c>
      <c r="B4821" t="s">
        <v>1339</v>
      </c>
      <c r="C4821" t="s">
        <v>8024</v>
      </c>
      <c r="D4821" t="s">
        <v>17474</v>
      </c>
      <c r="E4821" t="s">
        <v>21687</v>
      </c>
      <c r="F4821" t="s">
        <v>30052</v>
      </c>
      <c r="G4821" t="s">
        <v>30058</v>
      </c>
      <c r="H4821" t="s">
        <v>15498</v>
      </c>
      <c r="I4821" t="s">
        <v>30081</v>
      </c>
      <c r="J4821" t="s">
        <v>33277</v>
      </c>
      <c r="K4821" t="s">
        <v>39029</v>
      </c>
      <c r="M4821" t="s">
        <v>40706</v>
      </c>
      <c r="N4821" t="s">
        <v>43166</v>
      </c>
      <c r="O4821" t="s">
        <v>43167</v>
      </c>
      <c r="P4821">
        <v>0</v>
      </c>
      <c r="Q4821">
        <v>0</v>
      </c>
      <c r="R4821" t="s">
        <v>43172</v>
      </c>
      <c r="S4821" t="s">
        <v>43334</v>
      </c>
      <c r="T4821" t="s">
        <v>44685</v>
      </c>
      <c r="U4821" t="s">
        <v>48174</v>
      </c>
      <c r="V4821" t="s">
        <v>57248</v>
      </c>
      <c r="W4821" t="s">
        <v>40706</v>
      </c>
      <c r="X4821" t="s">
        <v>43174</v>
      </c>
    </row>
    <row r="4822" spans="1:24">
      <c r="A4822">
        <f>HYPERLINK("https://www.philgeps.gov.ph/GEPSNONPILOT/Tender/SplashBidNoticeAbstractUI.aspx?menuIndex=3&amp;refID=7077167&amp;Result=3","7077167")</f>
        <v>0</v>
      </c>
      <c r="B4822" t="s">
        <v>217</v>
      </c>
      <c r="C4822" t="s">
        <v>8025</v>
      </c>
      <c r="D4822" t="s">
        <v>17458</v>
      </c>
      <c r="E4822" t="s">
        <v>21688</v>
      </c>
      <c r="F4822" t="s">
        <v>30052</v>
      </c>
      <c r="G4822" t="s">
        <v>30059</v>
      </c>
      <c r="H4822" t="s">
        <v>15498</v>
      </c>
      <c r="I4822" t="s">
        <v>4119</v>
      </c>
      <c r="J4822" t="s">
        <v>33278</v>
      </c>
      <c r="K4822" t="s">
        <v>39019</v>
      </c>
      <c r="M4822" t="s">
        <v>39507</v>
      </c>
      <c r="N4822" t="s">
        <v>43166</v>
      </c>
      <c r="O4822" t="s">
        <v>43167</v>
      </c>
      <c r="P4822">
        <v>0</v>
      </c>
      <c r="Q4822">
        <v>2</v>
      </c>
      <c r="R4822" t="s">
        <v>43172</v>
      </c>
      <c r="S4822" t="s">
        <v>43334</v>
      </c>
      <c r="T4822" t="s">
        <v>44943</v>
      </c>
      <c r="U4822" t="s">
        <v>48677</v>
      </c>
      <c r="W4822" t="s">
        <v>39507</v>
      </c>
      <c r="X4822" t="s">
        <v>43174</v>
      </c>
    </row>
    <row r="4823" spans="1:24">
      <c r="A4823">
        <f>HYPERLINK("https://www.philgeps.gov.ph/GEPSNONPILOT/Tender/SplashBidNoticeAbstractUI.aspx?menuIndex=3&amp;refID=7084578&amp;Result=3","7084578")</f>
        <v>0</v>
      </c>
      <c r="B4823" t="s">
        <v>656</v>
      </c>
      <c r="C4823" t="s">
        <v>7453</v>
      </c>
      <c r="D4823" t="s">
        <v>17465</v>
      </c>
      <c r="E4823" t="s">
        <v>21188</v>
      </c>
      <c r="F4823" t="s">
        <v>30052</v>
      </c>
      <c r="G4823" t="s">
        <v>30062</v>
      </c>
      <c r="H4823" t="s">
        <v>15498</v>
      </c>
      <c r="I4823" t="s">
        <v>4119</v>
      </c>
      <c r="J4823" t="s">
        <v>32948</v>
      </c>
      <c r="K4823" t="s">
        <v>39018</v>
      </c>
      <c r="M4823" t="s">
        <v>39961</v>
      </c>
      <c r="N4823" t="s">
        <v>43166</v>
      </c>
      <c r="O4823" t="s">
        <v>43167</v>
      </c>
      <c r="P4823">
        <v>0</v>
      </c>
      <c r="Q4823">
        <v>3</v>
      </c>
      <c r="R4823" t="s">
        <v>43171</v>
      </c>
      <c r="S4823" t="s">
        <v>43311</v>
      </c>
      <c r="T4823" t="s">
        <v>44734</v>
      </c>
      <c r="U4823" t="s">
        <v>46466</v>
      </c>
      <c r="W4823" t="s">
        <v>39961</v>
      </c>
      <c r="X4823" t="s">
        <v>43172</v>
      </c>
    </row>
    <row r="4824" spans="1:24">
      <c r="A4824">
        <f>HYPERLINK("https://www.philgeps.gov.ph/GEPSNONPILOT/Tender/SplashBidNoticeAbstractUI.aspx?menuIndex=3&amp;refID=7077160&amp;Result=3","7077160")</f>
        <v>0</v>
      </c>
      <c r="B4824" t="s">
        <v>1339</v>
      </c>
      <c r="C4824" t="s">
        <v>8026</v>
      </c>
      <c r="D4824" t="s">
        <v>17474</v>
      </c>
      <c r="E4824" t="s">
        <v>21689</v>
      </c>
      <c r="F4824" t="s">
        <v>30052</v>
      </c>
      <c r="G4824" t="s">
        <v>30058</v>
      </c>
      <c r="H4824" t="s">
        <v>15498</v>
      </c>
      <c r="I4824" t="s">
        <v>30081</v>
      </c>
      <c r="J4824" t="s">
        <v>33279</v>
      </c>
      <c r="K4824" t="s">
        <v>39029</v>
      </c>
      <c r="M4824" t="s">
        <v>40706</v>
      </c>
      <c r="N4824" t="s">
        <v>43166</v>
      </c>
      <c r="O4824" t="s">
        <v>43167</v>
      </c>
      <c r="P4824">
        <v>0</v>
      </c>
      <c r="Q4824">
        <v>0</v>
      </c>
      <c r="R4824" t="s">
        <v>43172</v>
      </c>
      <c r="S4824" t="s">
        <v>43334</v>
      </c>
      <c r="T4824" t="s">
        <v>44685</v>
      </c>
      <c r="U4824" t="s">
        <v>48174</v>
      </c>
      <c r="V4824" t="s">
        <v>57248</v>
      </c>
      <c r="W4824" t="s">
        <v>40706</v>
      </c>
      <c r="X4824" t="s">
        <v>43174</v>
      </c>
    </row>
    <row r="4825" spans="1:24">
      <c r="A4825">
        <f>HYPERLINK("https://www.philgeps.gov.ph/GEPSNONPILOT/Tender/SplashBidNoticeAbstractUI.aspx?menuIndex=3&amp;refID=7077139&amp;Result=3","7077139")</f>
        <v>0</v>
      </c>
      <c r="B4825" t="s">
        <v>1685</v>
      </c>
      <c r="C4825" t="s">
        <v>8027</v>
      </c>
      <c r="D4825" t="s">
        <v>17455</v>
      </c>
      <c r="E4825" t="s">
        <v>21690</v>
      </c>
      <c r="F4825" t="s">
        <v>30052</v>
      </c>
      <c r="G4825" t="s">
        <v>30058</v>
      </c>
      <c r="H4825" t="s">
        <v>15498</v>
      </c>
      <c r="I4825" t="s">
        <v>30098</v>
      </c>
      <c r="J4825" t="s">
        <v>33280</v>
      </c>
      <c r="K4825" t="s">
        <v>39034</v>
      </c>
      <c r="M4825" t="s">
        <v>41094</v>
      </c>
      <c r="N4825" t="s">
        <v>43166</v>
      </c>
      <c r="O4825" t="s">
        <v>43167</v>
      </c>
      <c r="P4825">
        <v>0</v>
      </c>
      <c r="Q4825">
        <v>4</v>
      </c>
      <c r="R4825" t="s">
        <v>43172</v>
      </c>
      <c r="S4825" t="s">
        <v>43334</v>
      </c>
      <c r="T4825" t="s">
        <v>44722</v>
      </c>
      <c r="U4825" t="s">
        <v>49116</v>
      </c>
      <c r="W4825" t="s">
        <v>58652</v>
      </c>
      <c r="X4825" t="s">
        <v>43174</v>
      </c>
    </row>
    <row r="4826" spans="1:24">
      <c r="A4826">
        <f>HYPERLINK("https://www.philgeps.gov.ph/GEPSNONPILOT/Tender/SplashBidNoticeAbstractUI.aspx?menuIndex=3&amp;refID=7077136&amp;Result=3","7077136")</f>
        <v>0</v>
      </c>
      <c r="B4826" t="s">
        <v>1339</v>
      </c>
      <c r="C4826" t="s">
        <v>8028</v>
      </c>
      <c r="D4826" t="s">
        <v>17474</v>
      </c>
      <c r="E4826" t="s">
        <v>21691</v>
      </c>
      <c r="F4826" t="s">
        <v>30052</v>
      </c>
      <c r="G4826" t="s">
        <v>30058</v>
      </c>
      <c r="H4826" t="s">
        <v>15498</v>
      </c>
      <c r="I4826" t="s">
        <v>5961</v>
      </c>
      <c r="J4826" t="s">
        <v>32477</v>
      </c>
      <c r="K4826" t="s">
        <v>39029</v>
      </c>
      <c r="M4826" t="s">
        <v>40706</v>
      </c>
      <c r="N4826" t="s">
        <v>43166</v>
      </c>
      <c r="O4826" t="s">
        <v>43167</v>
      </c>
      <c r="P4826">
        <v>0</v>
      </c>
      <c r="Q4826">
        <v>0</v>
      </c>
      <c r="R4826" t="s">
        <v>43172</v>
      </c>
      <c r="S4826" t="s">
        <v>43334</v>
      </c>
      <c r="T4826" t="s">
        <v>44685</v>
      </c>
      <c r="U4826" t="s">
        <v>48174</v>
      </c>
      <c r="V4826" t="s">
        <v>57248</v>
      </c>
      <c r="W4826" t="s">
        <v>40706</v>
      </c>
      <c r="X4826" t="s">
        <v>43174</v>
      </c>
    </row>
    <row r="4827" spans="1:24">
      <c r="A4827">
        <f>HYPERLINK("https://www.philgeps.gov.ph/GEPSNONPILOT/Tender/SplashBidNoticeAbstractUI.aspx?menuIndex=3&amp;refID=7077184&amp;Result=3","7077184")</f>
        <v>0</v>
      </c>
      <c r="B4827" t="s">
        <v>217</v>
      </c>
      <c r="C4827" t="s">
        <v>8029</v>
      </c>
      <c r="D4827" t="s">
        <v>17458</v>
      </c>
      <c r="E4827" t="s">
        <v>21692</v>
      </c>
      <c r="F4827" t="s">
        <v>30052</v>
      </c>
      <c r="G4827" t="s">
        <v>30059</v>
      </c>
      <c r="H4827" t="s">
        <v>15498</v>
      </c>
      <c r="I4827" t="s">
        <v>30134</v>
      </c>
      <c r="J4827" t="s">
        <v>33281</v>
      </c>
      <c r="K4827" t="s">
        <v>39019</v>
      </c>
      <c r="M4827" t="s">
        <v>39507</v>
      </c>
      <c r="N4827" t="s">
        <v>43166</v>
      </c>
      <c r="O4827" t="s">
        <v>43167</v>
      </c>
      <c r="P4827">
        <v>0</v>
      </c>
      <c r="Q4827">
        <v>0</v>
      </c>
      <c r="R4827" t="s">
        <v>43172</v>
      </c>
      <c r="S4827" t="s">
        <v>43334</v>
      </c>
      <c r="T4827" t="s">
        <v>44943</v>
      </c>
      <c r="U4827" t="s">
        <v>48677</v>
      </c>
      <c r="W4827" t="s">
        <v>39507</v>
      </c>
      <c r="X4827" t="s">
        <v>43174</v>
      </c>
    </row>
    <row r="4828" spans="1:24">
      <c r="A4828">
        <f>HYPERLINK("https://www.philgeps.gov.ph/GEPSNONPILOT/Tender/SplashBidNoticeAbstractUI.aspx?menuIndex=3&amp;refID=7077099&amp;Result=3","7077099")</f>
        <v>0</v>
      </c>
      <c r="B4828" t="s">
        <v>1300</v>
      </c>
      <c r="C4828" t="s">
        <v>8030</v>
      </c>
      <c r="D4828" t="s">
        <v>17434</v>
      </c>
      <c r="E4828" t="s">
        <v>21693</v>
      </c>
      <c r="F4828" t="s">
        <v>30052</v>
      </c>
      <c r="G4828" t="s">
        <v>30058</v>
      </c>
      <c r="H4828" t="s">
        <v>30069</v>
      </c>
      <c r="I4828" t="s">
        <v>30185</v>
      </c>
      <c r="J4828" t="s">
        <v>33282</v>
      </c>
      <c r="K4828" t="s">
        <v>39029</v>
      </c>
      <c r="M4828" t="s">
        <v>40666</v>
      </c>
      <c r="N4828" t="s">
        <v>43166</v>
      </c>
      <c r="O4828" t="s">
        <v>43167</v>
      </c>
      <c r="P4828">
        <v>0</v>
      </c>
      <c r="Q4828">
        <v>8</v>
      </c>
      <c r="R4828" t="s">
        <v>43172</v>
      </c>
      <c r="S4828" t="s">
        <v>43334</v>
      </c>
      <c r="T4828" t="s">
        <v>44828</v>
      </c>
      <c r="U4828" t="s">
        <v>48064</v>
      </c>
      <c r="V4828" t="s">
        <v>57256</v>
      </c>
      <c r="W4828" t="s">
        <v>40666</v>
      </c>
      <c r="X4828" t="s">
        <v>43174</v>
      </c>
    </row>
    <row r="4829" spans="1:24">
      <c r="A4829">
        <f>HYPERLINK("https://www.philgeps.gov.ph/GEPSNONPILOT/Tender/SplashBidNoticeAbstractUI.aspx?menuIndex=3&amp;refID=7082476&amp;Result=3","7082476")</f>
        <v>0</v>
      </c>
      <c r="B4829" t="s">
        <v>1155</v>
      </c>
      <c r="C4829" t="s">
        <v>8031</v>
      </c>
      <c r="D4829" t="s">
        <v>17449</v>
      </c>
      <c r="E4829" t="s">
        <v>21694</v>
      </c>
      <c r="F4829" t="s">
        <v>30052</v>
      </c>
      <c r="G4829" t="s">
        <v>30059</v>
      </c>
      <c r="H4829" t="s">
        <v>15498</v>
      </c>
      <c r="I4829" t="s">
        <v>30103</v>
      </c>
      <c r="J4829" t="s">
        <v>31997</v>
      </c>
      <c r="K4829" t="s">
        <v>39019</v>
      </c>
      <c r="M4829" t="s">
        <v>40499</v>
      </c>
      <c r="N4829" t="s">
        <v>43166</v>
      </c>
      <c r="O4829" t="s">
        <v>43167</v>
      </c>
      <c r="P4829">
        <v>0</v>
      </c>
      <c r="Q4829">
        <v>1</v>
      </c>
      <c r="R4829" t="s">
        <v>43171</v>
      </c>
      <c r="S4829" t="s">
        <v>43311</v>
      </c>
      <c r="T4829" t="s">
        <v>44721</v>
      </c>
      <c r="U4829" t="s">
        <v>47670</v>
      </c>
      <c r="V4829" t="s">
        <v>57351</v>
      </c>
      <c r="W4829" t="s">
        <v>40499</v>
      </c>
      <c r="X4829" t="s">
        <v>43172</v>
      </c>
    </row>
    <row r="4830" spans="1:24">
      <c r="A4830">
        <f>HYPERLINK("https://www.philgeps.gov.ph/GEPSNONPILOT/Tender/SplashBidNoticeAbstractUI.aspx?menuIndex=3&amp;refID=7084498&amp;Result=3","7084498")</f>
        <v>0</v>
      </c>
      <c r="B4830" t="s">
        <v>1686</v>
      </c>
      <c r="C4830" t="s">
        <v>8032</v>
      </c>
      <c r="D4830" t="s">
        <v>17485</v>
      </c>
      <c r="E4830" t="s">
        <v>21695</v>
      </c>
      <c r="F4830" t="s">
        <v>30052</v>
      </c>
      <c r="G4830" t="s">
        <v>30058</v>
      </c>
      <c r="H4830" t="s">
        <v>15498</v>
      </c>
      <c r="I4830" t="s">
        <v>30091</v>
      </c>
      <c r="J4830" t="s">
        <v>33283</v>
      </c>
      <c r="K4830" t="s">
        <v>39017</v>
      </c>
      <c r="L4830" t="s">
        <v>1686</v>
      </c>
      <c r="M4830" t="s">
        <v>41095</v>
      </c>
      <c r="N4830" t="s">
        <v>43166</v>
      </c>
      <c r="O4830" t="s">
        <v>43167</v>
      </c>
      <c r="P4830">
        <v>0</v>
      </c>
      <c r="Q4830">
        <v>0</v>
      </c>
      <c r="R4830" t="s">
        <v>43171</v>
      </c>
      <c r="S4830" t="s">
        <v>43311</v>
      </c>
      <c r="T4830" t="s">
        <v>45004</v>
      </c>
      <c r="U4830" t="s">
        <v>49117</v>
      </c>
      <c r="W4830" t="s">
        <v>41095</v>
      </c>
      <c r="X4830" t="s">
        <v>43172</v>
      </c>
    </row>
    <row r="4831" spans="1:24">
      <c r="A4831">
        <f>HYPERLINK("https://www.philgeps.gov.ph/GEPSNONPILOT/Tender/SplashBidNoticeAbstractUI.aspx?menuIndex=3&amp;refID=7076935&amp;Result=3","7076935")</f>
        <v>0</v>
      </c>
      <c r="B4831" t="s">
        <v>1687</v>
      </c>
      <c r="C4831" t="s">
        <v>8033</v>
      </c>
      <c r="D4831" t="s">
        <v>17466</v>
      </c>
      <c r="E4831" t="s">
        <v>21696</v>
      </c>
      <c r="F4831" t="s">
        <v>30052</v>
      </c>
      <c r="G4831" t="s">
        <v>30058</v>
      </c>
      <c r="H4831" t="s">
        <v>15498</v>
      </c>
      <c r="I4831" t="s">
        <v>30074</v>
      </c>
      <c r="J4831" t="s">
        <v>33284</v>
      </c>
      <c r="K4831" t="s">
        <v>39025</v>
      </c>
      <c r="M4831" t="s">
        <v>41096</v>
      </c>
      <c r="N4831" t="s">
        <v>43166</v>
      </c>
      <c r="O4831" t="s">
        <v>43167</v>
      </c>
      <c r="P4831">
        <v>0</v>
      </c>
      <c r="Q4831">
        <v>3</v>
      </c>
      <c r="R4831" t="s">
        <v>43172</v>
      </c>
      <c r="S4831" t="s">
        <v>43334</v>
      </c>
      <c r="T4831" t="s">
        <v>45005</v>
      </c>
      <c r="U4831" t="s">
        <v>49118</v>
      </c>
      <c r="V4831" t="s">
        <v>57352</v>
      </c>
      <c r="W4831" t="s">
        <v>41096</v>
      </c>
      <c r="X4831" t="s">
        <v>43174</v>
      </c>
    </row>
    <row r="4832" spans="1:24">
      <c r="A4832">
        <f>HYPERLINK("https://www.philgeps.gov.ph/GEPSNONPILOT/Tender/SplashBidNoticeAbstractUI.aspx?menuIndex=3&amp;refID=7076923&amp;Result=3","7076923")</f>
        <v>0</v>
      </c>
      <c r="B4832" t="s">
        <v>1687</v>
      </c>
      <c r="C4832" t="s">
        <v>8034</v>
      </c>
      <c r="D4832" t="s">
        <v>17466</v>
      </c>
      <c r="E4832" t="s">
        <v>21697</v>
      </c>
      <c r="F4832" t="s">
        <v>30052</v>
      </c>
      <c r="G4832" t="s">
        <v>30058</v>
      </c>
      <c r="H4832" t="s">
        <v>15498</v>
      </c>
      <c r="I4832" t="s">
        <v>30084</v>
      </c>
      <c r="J4832" t="s">
        <v>33284</v>
      </c>
      <c r="K4832" t="s">
        <v>39025</v>
      </c>
      <c r="M4832" t="s">
        <v>41096</v>
      </c>
      <c r="N4832" t="s">
        <v>43166</v>
      </c>
      <c r="O4832" t="s">
        <v>43167</v>
      </c>
      <c r="P4832">
        <v>0</v>
      </c>
      <c r="Q4832">
        <v>4</v>
      </c>
      <c r="R4832" t="s">
        <v>43172</v>
      </c>
      <c r="S4832" t="s">
        <v>43334</v>
      </c>
      <c r="T4832" t="s">
        <v>45005</v>
      </c>
      <c r="U4832" t="s">
        <v>49119</v>
      </c>
      <c r="V4832" t="s">
        <v>57352</v>
      </c>
      <c r="W4832" t="s">
        <v>41096</v>
      </c>
      <c r="X4832" t="s">
        <v>43174</v>
      </c>
    </row>
    <row r="4833" spans="1:24">
      <c r="A4833">
        <f>HYPERLINK("https://www.philgeps.gov.ph/GEPSNONPILOT/Tender/SplashBidNoticeAbstractUI.aspx?menuIndex=3&amp;refID=7077132&amp;Result=3","7077132")</f>
        <v>0</v>
      </c>
      <c r="B4833" t="s">
        <v>217</v>
      </c>
      <c r="C4833" t="s">
        <v>7726</v>
      </c>
      <c r="D4833" t="s">
        <v>17458</v>
      </c>
      <c r="E4833" t="s">
        <v>21698</v>
      </c>
      <c r="F4833" t="s">
        <v>30052</v>
      </c>
      <c r="G4833" t="s">
        <v>30059</v>
      </c>
      <c r="H4833" t="s">
        <v>15498</v>
      </c>
      <c r="I4833" t="s">
        <v>30073</v>
      </c>
      <c r="J4833" t="s">
        <v>30402</v>
      </c>
      <c r="K4833" t="s">
        <v>39019</v>
      </c>
      <c r="M4833" t="s">
        <v>39507</v>
      </c>
      <c r="N4833" t="s">
        <v>43166</v>
      </c>
      <c r="O4833" t="s">
        <v>43167</v>
      </c>
      <c r="P4833">
        <v>0</v>
      </c>
      <c r="Q4833">
        <v>0</v>
      </c>
      <c r="R4833" t="s">
        <v>43172</v>
      </c>
      <c r="S4833" t="s">
        <v>43334</v>
      </c>
      <c r="T4833" t="s">
        <v>44943</v>
      </c>
      <c r="U4833" t="s">
        <v>48677</v>
      </c>
      <c r="W4833" t="s">
        <v>39507</v>
      </c>
      <c r="X4833" t="s">
        <v>43174</v>
      </c>
    </row>
    <row r="4834" spans="1:24">
      <c r="A4834">
        <f>HYPERLINK("https://www.philgeps.gov.ph/GEPSNONPILOT/Tender/SplashBidNoticeAbstractUI.aspx?menuIndex=3&amp;refID=7076869&amp;Result=3","7076869")</f>
        <v>0</v>
      </c>
      <c r="B4834" t="s">
        <v>1172</v>
      </c>
      <c r="C4834" t="s">
        <v>8035</v>
      </c>
      <c r="D4834" t="s">
        <v>17466</v>
      </c>
      <c r="E4834" t="s">
        <v>21699</v>
      </c>
      <c r="F4834" t="s">
        <v>30052</v>
      </c>
      <c r="G4834" t="s">
        <v>30059</v>
      </c>
      <c r="H4834" t="s">
        <v>15498</v>
      </c>
      <c r="I4834" t="s">
        <v>30094</v>
      </c>
      <c r="J4834" t="s">
        <v>30868</v>
      </c>
      <c r="K4834" t="s">
        <v>39037</v>
      </c>
      <c r="M4834" t="s">
        <v>40520</v>
      </c>
      <c r="N4834" t="s">
        <v>43166</v>
      </c>
      <c r="O4834" t="s">
        <v>43167</v>
      </c>
      <c r="P4834">
        <v>0</v>
      </c>
      <c r="Q4834">
        <v>0</v>
      </c>
      <c r="R4834" t="s">
        <v>43172</v>
      </c>
      <c r="S4834" t="s">
        <v>43334</v>
      </c>
      <c r="T4834" t="s">
        <v>44943</v>
      </c>
      <c r="U4834" t="s">
        <v>47744</v>
      </c>
      <c r="W4834" t="s">
        <v>58626</v>
      </c>
      <c r="X4834" t="s">
        <v>43174</v>
      </c>
    </row>
    <row r="4835" spans="1:24">
      <c r="A4835">
        <f>HYPERLINK("https://www.philgeps.gov.ph/GEPSNONPILOT/Tender/SplashBidNoticeAbstractUI.aspx?menuIndex=3&amp;refID=7076823&amp;Result=3","7076823")</f>
        <v>0</v>
      </c>
      <c r="B4835" t="s">
        <v>1663</v>
      </c>
      <c r="C4835" t="s">
        <v>8036</v>
      </c>
      <c r="D4835" t="s">
        <v>17449</v>
      </c>
      <c r="E4835" t="s">
        <v>21700</v>
      </c>
      <c r="F4835" t="s">
        <v>30052</v>
      </c>
      <c r="G4835" t="s">
        <v>30058</v>
      </c>
      <c r="H4835" t="s">
        <v>15498</v>
      </c>
      <c r="I4835" t="s">
        <v>3736</v>
      </c>
      <c r="J4835" t="s">
        <v>33285</v>
      </c>
      <c r="K4835" t="s">
        <v>39025</v>
      </c>
      <c r="M4835" t="s">
        <v>41068</v>
      </c>
      <c r="N4835" t="s">
        <v>43166</v>
      </c>
      <c r="O4835" t="s">
        <v>43167</v>
      </c>
      <c r="P4835">
        <v>0</v>
      </c>
      <c r="Q4835">
        <v>1</v>
      </c>
      <c r="R4835" t="s">
        <v>43172</v>
      </c>
      <c r="S4835" t="s">
        <v>43334</v>
      </c>
      <c r="T4835" t="s">
        <v>44789</v>
      </c>
      <c r="U4835" t="s">
        <v>49120</v>
      </c>
      <c r="W4835" t="s">
        <v>41068</v>
      </c>
      <c r="X4835" t="s">
        <v>43174</v>
      </c>
    </row>
    <row r="4836" spans="1:24">
      <c r="A4836">
        <f>HYPERLINK("https://www.philgeps.gov.ph/GEPSNONPILOT/Tender/SplashBidNoticeAbstractUI.aspx?menuIndex=3&amp;refID=7077212&amp;Result=3","7077212")</f>
        <v>0</v>
      </c>
      <c r="B4836" t="s">
        <v>1685</v>
      </c>
      <c r="C4836" t="s">
        <v>8037</v>
      </c>
      <c r="D4836" t="s">
        <v>17455</v>
      </c>
      <c r="E4836" t="s">
        <v>21701</v>
      </c>
      <c r="F4836" t="s">
        <v>30052</v>
      </c>
      <c r="G4836" t="s">
        <v>30058</v>
      </c>
      <c r="H4836" t="s">
        <v>15498</v>
      </c>
      <c r="I4836" t="s">
        <v>30074</v>
      </c>
      <c r="J4836" t="s">
        <v>33286</v>
      </c>
      <c r="K4836" t="s">
        <v>39023</v>
      </c>
      <c r="M4836" t="s">
        <v>41094</v>
      </c>
      <c r="N4836" t="s">
        <v>43166</v>
      </c>
      <c r="O4836" t="s">
        <v>43167</v>
      </c>
      <c r="P4836">
        <v>0</v>
      </c>
      <c r="Q4836">
        <v>2</v>
      </c>
      <c r="R4836" t="s">
        <v>43172</v>
      </c>
      <c r="S4836" t="s">
        <v>43334</v>
      </c>
      <c r="T4836" t="s">
        <v>44722</v>
      </c>
      <c r="U4836" t="s">
        <v>49121</v>
      </c>
      <c r="W4836" t="s">
        <v>58652</v>
      </c>
      <c r="X4836" t="s">
        <v>43174</v>
      </c>
    </row>
    <row r="4837" spans="1:24">
      <c r="A4837">
        <f>HYPERLINK("https://www.philgeps.gov.ph/GEPSNONPILOT/Tender/SplashBidNoticeAbstractUI.aspx?menuIndex=3&amp;refID=7077211&amp;Result=3","7077211")</f>
        <v>0</v>
      </c>
      <c r="B4837" t="s">
        <v>217</v>
      </c>
      <c r="C4837" t="s">
        <v>8038</v>
      </c>
      <c r="D4837" t="s">
        <v>17458</v>
      </c>
      <c r="E4837" t="s">
        <v>21702</v>
      </c>
      <c r="F4837" t="s">
        <v>30052</v>
      </c>
      <c r="G4837" t="s">
        <v>30059</v>
      </c>
      <c r="H4837" t="s">
        <v>15498</v>
      </c>
      <c r="I4837" t="s">
        <v>30075</v>
      </c>
      <c r="J4837" t="s">
        <v>30788</v>
      </c>
      <c r="K4837" t="s">
        <v>39019</v>
      </c>
      <c r="M4837" t="s">
        <v>39507</v>
      </c>
      <c r="N4837" t="s">
        <v>43166</v>
      </c>
      <c r="O4837" t="s">
        <v>43167</v>
      </c>
      <c r="P4837">
        <v>0</v>
      </c>
      <c r="Q4837">
        <v>3</v>
      </c>
      <c r="R4837" t="s">
        <v>43172</v>
      </c>
      <c r="S4837" t="s">
        <v>43334</v>
      </c>
      <c r="T4837" t="s">
        <v>44943</v>
      </c>
      <c r="U4837" t="s">
        <v>48677</v>
      </c>
      <c r="W4837" t="s">
        <v>39507</v>
      </c>
      <c r="X4837" t="s">
        <v>43174</v>
      </c>
    </row>
    <row r="4838" spans="1:24">
      <c r="A4838">
        <f>HYPERLINK("https://www.philgeps.gov.ph/GEPSNONPILOT/Tender/SplashBidNoticeAbstractUI.aspx?menuIndex=3&amp;refID=7077664&amp;Result=3","7077664")</f>
        <v>0</v>
      </c>
      <c r="B4838" t="s">
        <v>1688</v>
      </c>
      <c r="C4838" t="s">
        <v>8039</v>
      </c>
      <c r="D4838" t="s">
        <v>17427</v>
      </c>
      <c r="E4838" t="s">
        <v>21703</v>
      </c>
      <c r="F4838" t="s">
        <v>30052</v>
      </c>
      <c r="G4838" t="s">
        <v>30058</v>
      </c>
      <c r="H4838" t="s">
        <v>30067</v>
      </c>
      <c r="I4838" t="s">
        <v>3693</v>
      </c>
      <c r="J4838" t="s">
        <v>30230</v>
      </c>
      <c r="K4838" t="s">
        <v>39023</v>
      </c>
      <c r="M4838" t="s">
        <v>41097</v>
      </c>
      <c r="N4838" t="s">
        <v>43166</v>
      </c>
      <c r="O4838" t="s">
        <v>43167</v>
      </c>
      <c r="P4838">
        <v>0</v>
      </c>
      <c r="Q4838">
        <v>1</v>
      </c>
      <c r="R4838" t="s">
        <v>43172</v>
      </c>
      <c r="S4838" t="s">
        <v>43334</v>
      </c>
      <c r="T4838" t="s">
        <v>44722</v>
      </c>
      <c r="U4838" t="s">
        <v>49122</v>
      </c>
      <c r="W4838" t="s">
        <v>41097</v>
      </c>
      <c r="X4838" t="s">
        <v>43174</v>
      </c>
    </row>
    <row r="4839" spans="1:24">
      <c r="A4839">
        <f>HYPERLINK("https://www.philgeps.gov.ph/GEPSNONPILOT/Tender/SplashBidNoticeAbstractUI.aspx?menuIndex=3&amp;refID=7077660&amp;Result=3","7077660")</f>
        <v>0</v>
      </c>
      <c r="B4839" t="s">
        <v>1689</v>
      </c>
      <c r="C4839" t="s">
        <v>8040</v>
      </c>
      <c r="D4839" t="s">
        <v>17474</v>
      </c>
      <c r="E4839" t="s">
        <v>21704</v>
      </c>
      <c r="F4839" t="s">
        <v>30052</v>
      </c>
      <c r="G4839" t="s">
        <v>30058</v>
      </c>
      <c r="H4839" t="s">
        <v>15498</v>
      </c>
      <c r="I4839" t="s">
        <v>30081</v>
      </c>
      <c r="J4839" t="s">
        <v>33287</v>
      </c>
      <c r="K4839" t="s">
        <v>39029</v>
      </c>
      <c r="M4839" t="s">
        <v>41098</v>
      </c>
      <c r="N4839" t="s">
        <v>43166</v>
      </c>
      <c r="O4839" t="s">
        <v>43167</v>
      </c>
      <c r="P4839">
        <v>0</v>
      </c>
      <c r="Q4839">
        <v>0</v>
      </c>
      <c r="R4839" t="s">
        <v>43172</v>
      </c>
      <c r="S4839" t="s">
        <v>43334</v>
      </c>
      <c r="T4839" t="s">
        <v>44696</v>
      </c>
      <c r="U4839" t="s">
        <v>49123</v>
      </c>
      <c r="W4839" t="s">
        <v>41098</v>
      </c>
      <c r="X4839" t="s">
        <v>43174</v>
      </c>
    </row>
    <row r="4840" spans="1:24">
      <c r="A4840">
        <f>HYPERLINK("https://www.philgeps.gov.ph/GEPSNONPILOT/Tender/SplashBidNoticeAbstractUI.aspx?menuIndex=3&amp;refID=7077644&amp;Result=3","7077644")</f>
        <v>0</v>
      </c>
      <c r="B4840" t="s">
        <v>1690</v>
      </c>
      <c r="C4840" t="s">
        <v>8041</v>
      </c>
      <c r="D4840" t="s">
        <v>17454</v>
      </c>
      <c r="E4840" t="s">
        <v>21705</v>
      </c>
      <c r="F4840" t="s">
        <v>30052</v>
      </c>
      <c r="G4840" t="s">
        <v>30061</v>
      </c>
      <c r="H4840" t="s">
        <v>15498</v>
      </c>
      <c r="I4840" t="s">
        <v>4119</v>
      </c>
      <c r="J4840" t="s">
        <v>33288</v>
      </c>
      <c r="K4840" t="s">
        <v>39032</v>
      </c>
      <c r="M4840" t="s">
        <v>41099</v>
      </c>
      <c r="N4840" t="s">
        <v>43166</v>
      </c>
      <c r="O4840" t="s">
        <v>43167</v>
      </c>
      <c r="P4840">
        <v>0</v>
      </c>
      <c r="Q4840">
        <v>5</v>
      </c>
      <c r="R4840" t="s">
        <v>43172</v>
      </c>
      <c r="S4840" t="s">
        <v>43334</v>
      </c>
      <c r="T4840" t="s">
        <v>44678</v>
      </c>
      <c r="U4840" t="s">
        <v>49124</v>
      </c>
      <c r="V4840" t="s">
        <v>57353</v>
      </c>
      <c r="W4840" t="s">
        <v>41099</v>
      </c>
      <c r="X4840" t="s">
        <v>43174</v>
      </c>
    </row>
    <row r="4841" spans="1:24">
      <c r="A4841">
        <f>HYPERLINK("https://www.philgeps.gov.ph/GEPSNONPILOT/Tender/SplashBidNoticeAbstractUI.aspx?menuIndex=3&amp;refID=7077818&amp;Result=3","7077818")</f>
        <v>0</v>
      </c>
      <c r="B4841" t="s">
        <v>1691</v>
      </c>
      <c r="C4841" t="s">
        <v>8042</v>
      </c>
      <c r="D4841" t="s">
        <v>17459</v>
      </c>
      <c r="E4841" t="s">
        <v>21706</v>
      </c>
      <c r="F4841" t="s">
        <v>30052</v>
      </c>
      <c r="G4841" t="s">
        <v>30058</v>
      </c>
      <c r="H4841" t="s">
        <v>15498</v>
      </c>
      <c r="I4841" t="s">
        <v>30074</v>
      </c>
      <c r="J4841" t="s">
        <v>30609</v>
      </c>
      <c r="K4841" t="s">
        <v>39019</v>
      </c>
      <c r="M4841" t="s">
        <v>41100</v>
      </c>
      <c r="N4841" t="s">
        <v>43166</v>
      </c>
      <c r="O4841" t="s">
        <v>43167</v>
      </c>
      <c r="P4841">
        <v>0</v>
      </c>
      <c r="Q4841">
        <v>6</v>
      </c>
      <c r="R4841" t="s">
        <v>43172</v>
      </c>
      <c r="S4841" t="s">
        <v>43334</v>
      </c>
      <c r="T4841" t="s">
        <v>44985</v>
      </c>
      <c r="U4841" t="s">
        <v>49125</v>
      </c>
      <c r="W4841" t="s">
        <v>41100</v>
      </c>
      <c r="X4841" t="s">
        <v>43174</v>
      </c>
    </row>
    <row r="4842" spans="1:24">
      <c r="A4842">
        <f>HYPERLINK("https://www.philgeps.gov.ph/GEPSNONPILOT/Tender/SplashBidNoticeAbstractUI.aspx?menuIndex=3&amp;refID=7077115&amp;Result=3","7077115")</f>
        <v>0</v>
      </c>
      <c r="B4842" t="s">
        <v>1240</v>
      </c>
      <c r="C4842" t="s">
        <v>8043</v>
      </c>
      <c r="D4842" t="s">
        <v>17424</v>
      </c>
      <c r="E4842" t="s">
        <v>21707</v>
      </c>
      <c r="F4842" t="s">
        <v>30052</v>
      </c>
      <c r="G4842" t="s">
        <v>30061</v>
      </c>
      <c r="H4842" t="s">
        <v>15498</v>
      </c>
      <c r="I4842" t="s">
        <v>4598</v>
      </c>
      <c r="J4842" t="s">
        <v>33289</v>
      </c>
      <c r="K4842" t="s">
        <v>39025</v>
      </c>
      <c r="M4842" t="s">
        <v>40596</v>
      </c>
      <c r="N4842" t="s">
        <v>43166</v>
      </c>
      <c r="O4842" t="s">
        <v>43167</v>
      </c>
      <c r="P4842">
        <v>0</v>
      </c>
      <c r="Q4842">
        <v>6</v>
      </c>
      <c r="R4842" t="s">
        <v>43172</v>
      </c>
      <c r="S4842" t="s">
        <v>43334</v>
      </c>
      <c r="T4842" t="s">
        <v>44837</v>
      </c>
      <c r="U4842" t="s">
        <v>49126</v>
      </c>
      <c r="V4842" t="s">
        <v>57205</v>
      </c>
      <c r="W4842" t="s">
        <v>40596</v>
      </c>
      <c r="X4842" t="s">
        <v>43174</v>
      </c>
    </row>
    <row r="4843" spans="1:24">
      <c r="A4843">
        <f>HYPERLINK("https://www.philgeps.gov.ph/GEPSNONPILOT/Tender/SplashBidNoticeAbstractUI.aspx?menuIndex=3&amp;refID=7076775&amp;Result=3","7076775")</f>
        <v>0</v>
      </c>
      <c r="B4843" t="s">
        <v>1692</v>
      </c>
      <c r="C4843" t="s">
        <v>8044</v>
      </c>
      <c r="D4843" t="s">
        <v>17482</v>
      </c>
      <c r="E4843" t="s">
        <v>8044</v>
      </c>
      <c r="F4843" t="s">
        <v>30052</v>
      </c>
      <c r="G4843" t="s">
        <v>30058</v>
      </c>
      <c r="H4843" t="s">
        <v>15498</v>
      </c>
      <c r="I4843" t="s">
        <v>3736</v>
      </c>
      <c r="J4843" t="s">
        <v>33290</v>
      </c>
      <c r="K4843" t="s">
        <v>39029</v>
      </c>
      <c r="M4843" t="s">
        <v>41101</v>
      </c>
      <c r="N4843" t="s">
        <v>43166</v>
      </c>
      <c r="O4843" t="s">
        <v>43167</v>
      </c>
      <c r="P4843">
        <v>0</v>
      </c>
      <c r="Q4843">
        <v>1</v>
      </c>
      <c r="R4843" t="s">
        <v>43172</v>
      </c>
      <c r="S4843" t="s">
        <v>43334</v>
      </c>
      <c r="T4843" t="s">
        <v>44681</v>
      </c>
      <c r="U4843" t="s">
        <v>49127</v>
      </c>
      <c r="W4843" t="s">
        <v>41101</v>
      </c>
      <c r="X4843" t="s">
        <v>43174</v>
      </c>
    </row>
    <row r="4844" spans="1:24">
      <c r="A4844">
        <f>HYPERLINK("https://www.philgeps.gov.ph/GEPSNONPILOT/Tender/SplashBidNoticeAbstractUI.aspx?menuIndex=3&amp;refID=7077803&amp;Result=3","7077803")</f>
        <v>0</v>
      </c>
      <c r="B4844" t="s">
        <v>1333</v>
      </c>
      <c r="C4844" t="s">
        <v>8045</v>
      </c>
      <c r="D4844" t="s">
        <v>17474</v>
      </c>
      <c r="E4844" t="s">
        <v>21708</v>
      </c>
      <c r="F4844" t="s">
        <v>30052</v>
      </c>
      <c r="G4844" t="s">
        <v>30058</v>
      </c>
      <c r="H4844" t="s">
        <v>15498</v>
      </c>
      <c r="I4844" t="s">
        <v>3693</v>
      </c>
      <c r="J4844" t="s">
        <v>30222</v>
      </c>
      <c r="K4844" t="s">
        <v>39031</v>
      </c>
      <c r="M4844" t="s">
        <v>40700</v>
      </c>
      <c r="N4844" t="s">
        <v>43166</v>
      </c>
      <c r="O4844" t="s">
        <v>43167</v>
      </c>
      <c r="P4844">
        <v>0</v>
      </c>
      <c r="Q4844">
        <v>1</v>
      </c>
      <c r="R4844" t="s">
        <v>43172</v>
      </c>
      <c r="S4844" t="s">
        <v>43334</v>
      </c>
      <c r="T4844" t="s">
        <v>44754</v>
      </c>
      <c r="U4844" t="s">
        <v>49128</v>
      </c>
      <c r="W4844" t="s">
        <v>40700</v>
      </c>
      <c r="X4844" t="s">
        <v>43174</v>
      </c>
    </row>
    <row r="4845" spans="1:24">
      <c r="A4845">
        <f>HYPERLINK("https://www.philgeps.gov.ph/GEPSNONPILOT/Tender/SplashBidNoticeAbstractUI.aspx?menuIndex=3&amp;refID=7077677&amp;Result=3","7077677")</f>
        <v>0</v>
      </c>
      <c r="B4845" t="s">
        <v>1693</v>
      </c>
      <c r="C4845" t="s">
        <v>8046</v>
      </c>
      <c r="D4845" t="s">
        <v>17470</v>
      </c>
      <c r="E4845" t="s">
        <v>21709</v>
      </c>
      <c r="F4845" t="s">
        <v>30052</v>
      </c>
      <c r="G4845" t="s">
        <v>30060</v>
      </c>
      <c r="H4845" t="s">
        <v>30068</v>
      </c>
      <c r="I4845" t="s">
        <v>30166</v>
      </c>
      <c r="J4845" t="s">
        <v>30306</v>
      </c>
      <c r="K4845" t="s">
        <v>39025</v>
      </c>
      <c r="M4845" t="s">
        <v>41102</v>
      </c>
      <c r="N4845" t="s">
        <v>43166</v>
      </c>
      <c r="O4845" t="s">
        <v>43167</v>
      </c>
      <c r="P4845">
        <v>0</v>
      </c>
      <c r="Q4845">
        <v>2</v>
      </c>
      <c r="R4845" t="s">
        <v>43172</v>
      </c>
      <c r="S4845" t="s">
        <v>43334</v>
      </c>
      <c r="T4845" t="s">
        <v>44705</v>
      </c>
      <c r="U4845" t="s">
        <v>49129</v>
      </c>
      <c r="W4845" t="s">
        <v>41102</v>
      </c>
      <c r="X4845" t="s">
        <v>43174</v>
      </c>
    </row>
    <row r="4846" spans="1:24">
      <c r="A4846">
        <f>HYPERLINK("https://www.philgeps.gov.ph/GEPSNONPILOT/Tender/SplashBidNoticeAbstractUI.aspx?menuIndex=3&amp;refID=7076929&amp;Result=3","7076929")</f>
        <v>0</v>
      </c>
      <c r="B4846" t="s">
        <v>1694</v>
      </c>
      <c r="C4846" t="s">
        <v>8047</v>
      </c>
      <c r="D4846" t="s">
        <v>17474</v>
      </c>
      <c r="E4846" t="s">
        <v>18583</v>
      </c>
      <c r="F4846" t="s">
        <v>30052</v>
      </c>
      <c r="G4846" t="s">
        <v>30058</v>
      </c>
      <c r="H4846" t="s">
        <v>15498</v>
      </c>
      <c r="I4846" t="s">
        <v>3736</v>
      </c>
      <c r="J4846" t="s">
        <v>33291</v>
      </c>
      <c r="K4846" t="s">
        <v>39034</v>
      </c>
      <c r="M4846" t="s">
        <v>41103</v>
      </c>
      <c r="N4846" t="s">
        <v>43166</v>
      </c>
      <c r="O4846" t="s">
        <v>43167</v>
      </c>
      <c r="P4846">
        <v>0</v>
      </c>
      <c r="Q4846">
        <v>1</v>
      </c>
      <c r="R4846" t="s">
        <v>43172</v>
      </c>
      <c r="S4846" t="s">
        <v>43334</v>
      </c>
      <c r="T4846" t="s">
        <v>44996</v>
      </c>
      <c r="U4846" t="s">
        <v>49130</v>
      </c>
      <c r="W4846" t="s">
        <v>41103</v>
      </c>
      <c r="X4846" t="s">
        <v>43174</v>
      </c>
    </row>
    <row r="4847" spans="1:24">
      <c r="A4847">
        <f>HYPERLINK("https://www.philgeps.gov.ph/GEPSNONPILOT/Tender/SplashBidNoticeAbstractUI.aspx?menuIndex=3&amp;refID=7077625&amp;Result=3","7077625")</f>
        <v>0</v>
      </c>
      <c r="B4847" t="s">
        <v>1695</v>
      </c>
      <c r="C4847" t="s">
        <v>8048</v>
      </c>
      <c r="D4847" t="s">
        <v>17489</v>
      </c>
      <c r="E4847" t="s">
        <v>21710</v>
      </c>
      <c r="F4847" t="s">
        <v>30052</v>
      </c>
      <c r="G4847" t="s">
        <v>30059</v>
      </c>
      <c r="H4847" t="s">
        <v>15498</v>
      </c>
      <c r="I4847" t="s">
        <v>3693</v>
      </c>
      <c r="J4847" t="s">
        <v>33292</v>
      </c>
      <c r="K4847" t="s">
        <v>39046</v>
      </c>
      <c r="M4847" t="s">
        <v>41104</v>
      </c>
      <c r="N4847" t="s">
        <v>43166</v>
      </c>
      <c r="O4847" t="s">
        <v>43167</v>
      </c>
      <c r="P4847">
        <v>0</v>
      </c>
      <c r="Q4847">
        <v>1</v>
      </c>
      <c r="R4847" t="s">
        <v>43172</v>
      </c>
      <c r="S4847" t="s">
        <v>43334</v>
      </c>
      <c r="T4847" t="s">
        <v>44844</v>
      </c>
      <c r="U4847" t="s">
        <v>49131</v>
      </c>
      <c r="W4847" t="s">
        <v>41104</v>
      </c>
      <c r="X4847" t="s">
        <v>43174</v>
      </c>
    </row>
    <row r="4848" spans="1:24">
      <c r="A4848">
        <f>HYPERLINK("https://www.philgeps.gov.ph/GEPSNONPILOT/Tender/SplashBidNoticeAbstractUI.aspx?menuIndex=3&amp;refID=7076942&amp;Result=3","7076942")</f>
        <v>0</v>
      </c>
      <c r="B4848" t="s">
        <v>1696</v>
      </c>
      <c r="C4848" t="s">
        <v>8049</v>
      </c>
      <c r="D4848" t="s">
        <v>17422</v>
      </c>
      <c r="E4848" t="s">
        <v>19629</v>
      </c>
      <c r="F4848" t="s">
        <v>30052</v>
      </c>
      <c r="G4848" t="s">
        <v>30059</v>
      </c>
      <c r="H4848" t="s">
        <v>15498</v>
      </c>
      <c r="I4848" t="s">
        <v>30102</v>
      </c>
      <c r="J4848" t="s">
        <v>33293</v>
      </c>
      <c r="K4848" t="s">
        <v>39017</v>
      </c>
      <c r="M4848" t="s">
        <v>41105</v>
      </c>
      <c r="N4848" t="s">
        <v>43166</v>
      </c>
      <c r="O4848" t="s">
        <v>43167</v>
      </c>
      <c r="P4848">
        <v>0</v>
      </c>
      <c r="Q4848">
        <v>2</v>
      </c>
      <c r="R4848" t="s">
        <v>43172</v>
      </c>
      <c r="S4848" t="s">
        <v>43334</v>
      </c>
      <c r="T4848" t="s">
        <v>44710</v>
      </c>
      <c r="U4848" t="s">
        <v>49132</v>
      </c>
      <c r="W4848" t="s">
        <v>41105</v>
      </c>
      <c r="X4848" t="s">
        <v>43174</v>
      </c>
    </row>
    <row r="4849" spans="1:24">
      <c r="A4849">
        <f>HYPERLINK("https://www.philgeps.gov.ph/GEPSNONPILOT/Tender/SplashBidNoticeAbstractUI.aspx?menuIndex=3&amp;refID=7077641&amp;Result=3","7077641")</f>
        <v>0</v>
      </c>
      <c r="B4849" t="s">
        <v>780</v>
      </c>
      <c r="C4849" t="s">
        <v>8050</v>
      </c>
      <c r="D4849" t="s">
        <v>17441</v>
      </c>
      <c r="E4849" t="s">
        <v>21711</v>
      </c>
      <c r="F4849" t="s">
        <v>30052</v>
      </c>
      <c r="G4849" t="s">
        <v>30059</v>
      </c>
      <c r="H4849" t="s">
        <v>15498</v>
      </c>
      <c r="I4849" t="s">
        <v>4119</v>
      </c>
      <c r="J4849" t="s">
        <v>33294</v>
      </c>
      <c r="K4849" t="s">
        <v>39025</v>
      </c>
      <c r="M4849" t="s">
        <v>40095</v>
      </c>
      <c r="N4849" t="s">
        <v>43166</v>
      </c>
      <c r="O4849" t="s">
        <v>43167</v>
      </c>
      <c r="P4849">
        <v>0</v>
      </c>
      <c r="Q4849">
        <v>4</v>
      </c>
      <c r="R4849" t="s">
        <v>43172</v>
      </c>
      <c r="S4849" t="s">
        <v>43334</v>
      </c>
      <c r="T4849" t="s">
        <v>44844</v>
      </c>
      <c r="U4849" t="s">
        <v>49133</v>
      </c>
      <c r="W4849" t="s">
        <v>40095</v>
      </c>
      <c r="X4849" t="s">
        <v>43174</v>
      </c>
    </row>
    <row r="4850" spans="1:24">
      <c r="A4850">
        <f>HYPERLINK("https://www.philgeps.gov.ph/GEPSNONPILOT/Tender/SplashBidNoticeAbstractUI.aspx?menuIndex=3&amp;refID=7077787&amp;Result=3","7077787")</f>
        <v>0</v>
      </c>
      <c r="B4850" t="s">
        <v>1697</v>
      </c>
      <c r="C4850" t="s">
        <v>8051</v>
      </c>
      <c r="D4850" t="s">
        <v>17449</v>
      </c>
      <c r="E4850" t="s">
        <v>21712</v>
      </c>
      <c r="F4850" t="s">
        <v>30052</v>
      </c>
      <c r="G4850" t="s">
        <v>30058</v>
      </c>
      <c r="H4850" t="s">
        <v>30067</v>
      </c>
      <c r="I4850" t="s">
        <v>3693</v>
      </c>
      <c r="J4850" t="s">
        <v>30230</v>
      </c>
      <c r="K4850" t="s">
        <v>39029</v>
      </c>
      <c r="M4850" t="s">
        <v>41106</v>
      </c>
      <c r="N4850" t="s">
        <v>43166</v>
      </c>
      <c r="O4850" t="s">
        <v>43167</v>
      </c>
      <c r="P4850">
        <v>0</v>
      </c>
      <c r="Q4850">
        <v>1</v>
      </c>
      <c r="R4850" t="s">
        <v>43172</v>
      </c>
      <c r="S4850" t="s">
        <v>43334</v>
      </c>
      <c r="T4850" t="s">
        <v>44810</v>
      </c>
      <c r="U4850" t="s">
        <v>49134</v>
      </c>
      <c r="W4850" t="s">
        <v>41106</v>
      </c>
      <c r="X4850" t="s">
        <v>43174</v>
      </c>
    </row>
    <row r="4851" spans="1:24">
      <c r="A4851">
        <f>HYPERLINK("https://www.philgeps.gov.ph/GEPSNONPILOT/Tender/SplashBidNoticeAbstractUI.aspx?menuIndex=3&amp;refID=7077627&amp;Result=3","7077627")</f>
        <v>0</v>
      </c>
      <c r="B4851" t="s">
        <v>1646</v>
      </c>
      <c r="C4851" t="s">
        <v>8052</v>
      </c>
      <c r="E4851" t="s">
        <v>21713</v>
      </c>
      <c r="F4851" t="s">
        <v>30052</v>
      </c>
      <c r="G4851" t="s">
        <v>30058</v>
      </c>
      <c r="H4851" t="s">
        <v>15498</v>
      </c>
      <c r="I4851" t="s">
        <v>9238</v>
      </c>
      <c r="J4851" t="s">
        <v>33295</v>
      </c>
      <c r="K4851" t="s">
        <v>39025</v>
      </c>
      <c r="M4851" t="s">
        <v>41107</v>
      </c>
      <c r="N4851" t="s">
        <v>43166</v>
      </c>
      <c r="O4851" t="s">
        <v>43167</v>
      </c>
      <c r="P4851">
        <v>0</v>
      </c>
      <c r="Q4851">
        <v>20</v>
      </c>
      <c r="R4851" t="s">
        <v>43172</v>
      </c>
      <c r="S4851" t="s">
        <v>43334</v>
      </c>
      <c r="T4851" t="s">
        <v>44678</v>
      </c>
      <c r="U4851" t="s">
        <v>49135</v>
      </c>
      <c r="W4851" t="s">
        <v>41107</v>
      </c>
      <c r="X4851" t="s">
        <v>43174</v>
      </c>
    </row>
    <row r="4852" spans="1:24">
      <c r="A4852">
        <f>HYPERLINK("https://www.philgeps.gov.ph/GEPSNONPILOT/Tender/SplashBidNoticeAbstractUI.aspx?menuIndex=3&amp;refID=7077383&amp;Result=3","7077383")</f>
        <v>0</v>
      </c>
      <c r="B4852" t="s">
        <v>1698</v>
      </c>
      <c r="C4852" t="s">
        <v>8053</v>
      </c>
      <c r="D4852" t="s">
        <v>17468</v>
      </c>
      <c r="E4852" t="s">
        <v>21714</v>
      </c>
      <c r="F4852" t="s">
        <v>30052</v>
      </c>
      <c r="G4852" t="s">
        <v>30058</v>
      </c>
      <c r="H4852" t="s">
        <v>15498</v>
      </c>
      <c r="I4852" t="s">
        <v>30074</v>
      </c>
      <c r="J4852" t="s">
        <v>31644</v>
      </c>
      <c r="K4852" t="s">
        <v>39025</v>
      </c>
      <c r="M4852" t="s">
        <v>41108</v>
      </c>
      <c r="N4852" t="s">
        <v>43166</v>
      </c>
      <c r="O4852" t="s">
        <v>43167</v>
      </c>
      <c r="P4852">
        <v>0</v>
      </c>
      <c r="Q4852">
        <v>0</v>
      </c>
      <c r="R4852" t="s">
        <v>43172</v>
      </c>
      <c r="S4852" t="s">
        <v>43334</v>
      </c>
      <c r="T4852" t="s">
        <v>44798</v>
      </c>
      <c r="U4852" t="s">
        <v>49136</v>
      </c>
      <c r="W4852" t="s">
        <v>41108</v>
      </c>
      <c r="X4852" t="s">
        <v>43174</v>
      </c>
    </row>
    <row r="4853" spans="1:24">
      <c r="A4853">
        <f>HYPERLINK("https://www.philgeps.gov.ph/GEPSNONPILOT/Tender/SplashBidNoticeAbstractUI.aspx?menuIndex=3&amp;refID=7077371&amp;Result=3","7077371")</f>
        <v>0</v>
      </c>
      <c r="B4853" t="s">
        <v>1699</v>
      </c>
      <c r="C4853" t="s">
        <v>8054</v>
      </c>
      <c r="D4853" t="s">
        <v>17421</v>
      </c>
      <c r="E4853" t="s">
        <v>21715</v>
      </c>
      <c r="F4853" t="s">
        <v>30055</v>
      </c>
      <c r="G4853" t="s">
        <v>30061</v>
      </c>
      <c r="H4853" t="s">
        <v>15498</v>
      </c>
      <c r="I4853" t="s">
        <v>30168</v>
      </c>
      <c r="J4853" t="s">
        <v>33296</v>
      </c>
      <c r="K4853" t="s">
        <v>39034</v>
      </c>
      <c r="M4853" t="s">
        <v>41109</v>
      </c>
      <c r="N4853" t="s">
        <v>43166</v>
      </c>
      <c r="O4853" t="s">
        <v>43167</v>
      </c>
      <c r="P4853">
        <v>0</v>
      </c>
      <c r="Q4853">
        <v>3</v>
      </c>
      <c r="R4853" t="s">
        <v>43172</v>
      </c>
      <c r="S4853" t="s">
        <v>43334</v>
      </c>
      <c r="T4853" t="s">
        <v>44791</v>
      </c>
      <c r="U4853" t="s">
        <v>49137</v>
      </c>
      <c r="W4853" t="s">
        <v>41109</v>
      </c>
      <c r="X4853" t="s">
        <v>43174</v>
      </c>
    </row>
    <row r="4854" spans="1:24">
      <c r="A4854">
        <f>HYPERLINK("https://www.philgeps.gov.ph/GEPSNONPILOT/Tender/SplashBidNoticeAbstractUI.aspx?menuIndex=3&amp;refID=7076944&amp;Result=3","7076944")</f>
        <v>0</v>
      </c>
      <c r="B4854" t="s">
        <v>1263</v>
      </c>
      <c r="C4854" t="s">
        <v>8055</v>
      </c>
      <c r="D4854" t="s">
        <v>17416</v>
      </c>
      <c r="E4854" t="s">
        <v>21716</v>
      </c>
      <c r="F4854" t="s">
        <v>30052</v>
      </c>
      <c r="G4854" t="s">
        <v>30058</v>
      </c>
      <c r="H4854" t="s">
        <v>15498</v>
      </c>
      <c r="I4854" t="s">
        <v>3736</v>
      </c>
      <c r="J4854" t="s">
        <v>33297</v>
      </c>
      <c r="K4854" t="s">
        <v>39029</v>
      </c>
      <c r="M4854" t="s">
        <v>40621</v>
      </c>
      <c r="N4854" t="s">
        <v>43166</v>
      </c>
      <c r="O4854" t="s">
        <v>43167</v>
      </c>
      <c r="P4854">
        <v>0</v>
      </c>
      <c r="Q4854">
        <v>0</v>
      </c>
      <c r="R4854" t="s">
        <v>43172</v>
      </c>
      <c r="S4854" t="s">
        <v>43334</v>
      </c>
      <c r="T4854" t="s">
        <v>44713</v>
      </c>
      <c r="U4854" t="s">
        <v>49138</v>
      </c>
      <c r="V4854" t="s">
        <v>57354</v>
      </c>
      <c r="W4854" t="s">
        <v>40621</v>
      </c>
      <c r="X4854" t="s">
        <v>43174</v>
      </c>
    </row>
    <row r="4855" spans="1:24">
      <c r="A4855">
        <f>HYPERLINK("https://www.philgeps.gov.ph/GEPSNONPILOT/Tender/SplashBidNoticeAbstractUI.aspx?menuIndex=3&amp;refID=7077829&amp;Result=3","7077829")</f>
        <v>0</v>
      </c>
      <c r="B4855" t="s">
        <v>1277</v>
      </c>
      <c r="C4855" t="s">
        <v>8056</v>
      </c>
      <c r="D4855" t="s">
        <v>17454</v>
      </c>
      <c r="E4855" t="s">
        <v>21717</v>
      </c>
      <c r="F4855" t="s">
        <v>30052</v>
      </c>
      <c r="G4855" t="s">
        <v>30059</v>
      </c>
      <c r="H4855" t="s">
        <v>15498</v>
      </c>
      <c r="I4855" t="s">
        <v>9238</v>
      </c>
      <c r="J4855" t="s">
        <v>33298</v>
      </c>
      <c r="K4855" t="s">
        <v>39037</v>
      </c>
      <c r="M4855" t="s">
        <v>40639</v>
      </c>
      <c r="N4855" t="s">
        <v>43166</v>
      </c>
      <c r="O4855" t="s">
        <v>43167</v>
      </c>
      <c r="P4855">
        <v>0</v>
      </c>
      <c r="Q4855">
        <v>5</v>
      </c>
      <c r="R4855" t="s">
        <v>43172</v>
      </c>
      <c r="S4855" t="s">
        <v>43334</v>
      </c>
      <c r="T4855" t="s">
        <v>44735</v>
      </c>
      <c r="U4855" t="s">
        <v>49139</v>
      </c>
      <c r="W4855" t="s">
        <v>40639</v>
      </c>
      <c r="X4855" t="s">
        <v>43174</v>
      </c>
    </row>
    <row r="4856" spans="1:24">
      <c r="A4856">
        <f>HYPERLINK("https://www.philgeps.gov.ph/GEPSNONPILOT/Tender/SplashBidNoticeAbstractUI.aspx?menuIndex=3&amp;refID=7076193&amp;Result=3","7076193")</f>
        <v>0</v>
      </c>
      <c r="B4856" t="s">
        <v>1334</v>
      </c>
      <c r="C4856" t="s">
        <v>8057</v>
      </c>
      <c r="D4856" t="s">
        <v>17441</v>
      </c>
      <c r="E4856" t="s">
        <v>21718</v>
      </c>
      <c r="F4856" t="s">
        <v>30052</v>
      </c>
      <c r="G4856" t="s">
        <v>30058</v>
      </c>
      <c r="H4856" t="s">
        <v>15498</v>
      </c>
      <c r="I4856" t="s">
        <v>30129</v>
      </c>
      <c r="J4856" t="s">
        <v>33299</v>
      </c>
      <c r="K4856" t="s">
        <v>39023</v>
      </c>
      <c r="M4856" t="s">
        <v>41110</v>
      </c>
      <c r="N4856" t="s">
        <v>43166</v>
      </c>
      <c r="O4856" t="s">
        <v>43167</v>
      </c>
      <c r="P4856">
        <v>0</v>
      </c>
      <c r="Q4856">
        <v>5</v>
      </c>
      <c r="R4856" t="s">
        <v>43172</v>
      </c>
      <c r="S4856" t="s">
        <v>43334</v>
      </c>
      <c r="T4856" t="s">
        <v>44828</v>
      </c>
      <c r="U4856" t="s">
        <v>49140</v>
      </c>
      <c r="W4856" t="s">
        <v>41110</v>
      </c>
      <c r="X4856" t="s">
        <v>43174</v>
      </c>
    </row>
    <row r="4857" spans="1:24">
      <c r="A4857">
        <f>HYPERLINK("https://www.philgeps.gov.ph/GEPSNONPILOT/Tender/SplashBidNoticeAbstractUI.aspx?menuIndex=3&amp;refID=7078072&amp;Result=3","7078072")</f>
        <v>0</v>
      </c>
      <c r="B4857" t="s">
        <v>1700</v>
      </c>
      <c r="C4857" t="s">
        <v>8058</v>
      </c>
      <c r="D4857" t="s">
        <v>17429</v>
      </c>
      <c r="E4857" t="s">
        <v>21719</v>
      </c>
      <c r="F4857" t="s">
        <v>30052</v>
      </c>
      <c r="G4857" t="s">
        <v>30059</v>
      </c>
      <c r="H4857" t="s">
        <v>30067</v>
      </c>
      <c r="I4857" t="s">
        <v>30152</v>
      </c>
      <c r="J4857" t="s">
        <v>33300</v>
      </c>
      <c r="K4857" t="s">
        <v>39029</v>
      </c>
      <c r="M4857" t="s">
        <v>41111</v>
      </c>
      <c r="N4857" t="s">
        <v>43166</v>
      </c>
      <c r="O4857" t="s">
        <v>43167</v>
      </c>
      <c r="P4857">
        <v>0</v>
      </c>
      <c r="Q4857">
        <v>0</v>
      </c>
      <c r="R4857" t="s">
        <v>43172</v>
      </c>
      <c r="S4857" t="s">
        <v>43334</v>
      </c>
      <c r="T4857" t="s">
        <v>44777</v>
      </c>
      <c r="U4857" t="s">
        <v>49141</v>
      </c>
      <c r="W4857" t="s">
        <v>41111</v>
      </c>
      <c r="X4857" t="s">
        <v>43174</v>
      </c>
    </row>
    <row r="4858" spans="1:24">
      <c r="A4858">
        <f>HYPERLINK("https://www.philgeps.gov.ph/GEPSNONPILOT/Tender/SplashBidNoticeAbstractUI.aspx?menuIndex=3&amp;refID=7077372&amp;Result=3","7077372")</f>
        <v>0</v>
      </c>
      <c r="B4858" t="s">
        <v>1701</v>
      </c>
      <c r="C4858" t="s">
        <v>8059</v>
      </c>
      <c r="D4858" t="s">
        <v>17427</v>
      </c>
      <c r="E4858" t="s">
        <v>21720</v>
      </c>
      <c r="F4858" t="s">
        <v>30052</v>
      </c>
      <c r="G4858" t="s">
        <v>30059</v>
      </c>
      <c r="H4858" t="s">
        <v>15498</v>
      </c>
      <c r="I4858" t="s">
        <v>4598</v>
      </c>
      <c r="J4858" t="s">
        <v>33301</v>
      </c>
      <c r="K4858" t="s">
        <v>39025</v>
      </c>
      <c r="M4858" t="s">
        <v>41112</v>
      </c>
      <c r="N4858" t="s">
        <v>43166</v>
      </c>
      <c r="O4858" t="s">
        <v>43167</v>
      </c>
      <c r="P4858">
        <v>0</v>
      </c>
      <c r="Q4858">
        <v>9</v>
      </c>
      <c r="R4858" t="s">
        <v>43172</v>
      </c>
      <c r="S4858" t="s">
        <v>43334</v>
      </c>
      <c r="T4858" t="s">
        <v>44841</v>
      </c>
      <c r="U4858" t="s">
        <v>49142</v>
      </c>
      <c r="W4858" t="s">
        <v>41112</v>
      </c>
      <c r="X4858" t="s">
        <v>43174</v>
      </c>
    </row>
    <row r="4859" spans="1:24">
      <c r="A4859">
        <f>HYPERLINK("https://www.philgeps.gov.ph/GEPSNONPILOT/Tender/SplashBidNoticeAbstractUI.aspx?menuIndex=3&amp;refID=7078021&amp;Result=3","7078021")</f>
        <v>0</v>
      </c>
      <c r="B4859" t="s">
        <v>1339</v>
      </c>
      <c r="C4859" t="s">
        <v>8060</v>
      </c>
      <c r="D4859" t="s">
        <v>17474</v>
      </c>
      <c r="E4859" t="s">
        <v>21721</v>
      </c>
      <c r="F4859" t="s">
        <v>30052</v>
      </c>
      <c r="G4859" t="s">
        <v>30058</v>
      </c>
      <c r="H4859" t="s">
        <v>15498</v>
      </c>
      <c r="I4859" t="s">
        <v>6691</v>
      </c>
      <c r="J4859" t="s">
        <v>33302</v>
      </c>
      <c r="K4859" t="s">
        <v>39039</v>
      </c>
      <c r="M4859" t="s">
        <v>40706</v>
      </c>
      <c r="N4859" t="s">
        <v>43166</v>
      </c>
      <c r="O4859" t="s">
        <v>43167</v>
      </c>
      <c r="P4859">
        <v>0</v>
      </c>
      <c r="Q4859">
        <v>0</v>
      </c>
      <c r="R4859" t="s">
        <v>43172</v>
      </c>
      <c r="S4859" t="s">
        <v>43334</v>
      </c>
      <c r="T4859" t="s">
        <v>44685</v>
      </c>
      <c r="U4859" t="s">
        <v>48174</v>
      </c>
      <c r="V4859" t="s">
        <v>57248</v>
      </c>
      <c r="W4859" t="s">
        <v>40706</v>
      </c>
      <c r="X4859" t="s">
        <v>43174</v>
      </c>
    </row>
    <row r="4860" spans="1:24">
      <c r="A4860">
        <f>HYPERLINK("https://www.philgeps.gov.ph/GEPSNONPILOT/Tender/SplashBidNoticeAbstractUI.aspx?menuIndex=3&amp;refID=7077462&amp;Result=3","7077462")</f>
        <v>0</v>
      </c>
      <c r="B4860" t="s">
        <v>583</v>
      </c>
      <c r="C4860" t="s">
        <v>8061</v>
      </c>
      <c r="D4860" t="s">
        <v>17442</v>
      </c>
      <c r="E4860" t="s">
        <v>21722</v>
      </c>
      <c r="F4860" t="s">
        <v>30052</v>
      </c>
      <c r="G4860" t="s">
        <v>30059</v>
      </c>
      <c r="H4860" t="s">
        <v>15498</v>
      </c>
      <c r="I4860" t="s">
        <v>4598</v>
      </c>
      <c r="J4860" t="s">
        <v>30230</v>
      </c>
      <c r="K4860" t="s">
        <v>39017</v>
      </c>
      <c r="M4860" t="s">
        <v>39885</v>
      </c>
      <c r="N4860" t="s">
        <v>43166</v>
      </c>
      <c r="O4860" t="s">
        <v>43167</v>
      </c>
      <c r="P4860">
        <v>0</v>
      </c>
      <c r="Q4860">
        <v>1</v>
      </c>
      <c r="R4860" t="s">
        <v>43172</v>
      </c>
      <c r="S4860" t="s">
        <v>43334</v>
      </c>
      <c r="T4860" t="s">
        <v>44714</v>
      </c>
      <c r="U4860" t="s">
        <v>49143</v>
      </c>
      <c r="W4860" t="s">
        <v>39885</v>
      </c>
      <c r="X4860" t="s">
        <v>43174</v>
      </c>
    </row>
    <row r="4861" spans="1:24">
      <c r="A4861">
        <f>HYPERLINK("https://www.philgeps.gov.ph/GEPSNONPILOT/Tender/SplashBidNoticeAbstractUI.aspx?menuIndex=3&amp;refID=7078006&amp;Result=3","7078006")</f>
        <v>0</v>
      </c>
      <c r="B4861" t="s">
        <v>1691</v>
      </c>
      <c r="C4861" t="s">
        <v>8062</v>
      </c>
      <c r="D4861" t="s">
        <v>17459</v>
      </c>
      <c r="E4861" t="s">
        <v>21723</v>
      </c>
      <c r="F4861" t="s">
        <v>30052</v>
      </c>
      <c r="G4861" t="s">
        <v>30058</v>
      </c>
      <c r="H4861" t="s">
        <v>15498</v>
      </c>
      <c r="I4861" t="s">
        <v>4598</v>
      </c>
      <c r="J4861" t="s">
        <v>33303</v>
      </c>
      <c r="K4861" t="s">
        <v>39019</v>
      </c>
      <c r="M4861" t="s">
        <v>41100</v>
      </c>
      <c r="N4861" t="s">
        <v>43166</v>
      </c>
      <c r="O4861" t="s">
        <v>43167</v>
      </c>
      <c r="P4861">
        <v>0</v>
      </c>
      <c r="Q4861">
        <v>9</v>
      </c>
      <c r="R4861" t="s">
        <v>43172</v>
      </c>
      <c r="S4861" t="s">
        <v>43334</v>
      </c>
      <c r="T4861" t="s">
        <v>44985</v>
      </c>
      <c r="U4861" t="s">
        <v>49144</v>
      </c>
      <c r="W4861" t="s">
        <v>41100</v>
      </c>
      <c r="X4861" t="s">
        <v>43174</v>
      </c>
    </row>
    <row r="4862" spans="1:24">
      <c r="A4862">
        <f>HYPERLINK("https://www.philgeps.gov.ph/GEPSNONPILOT/Tender/SplashBidNoticeAbstractUI.aspx?menuIndex=3&amp;refID=7078075&amp;Result=3","7078075")</f>
        <v>0</v>
      </c>
      <c r="B4862" t="s">
        <v>102</v>
      </c>
      <c r="C4862" t="s">
        <v>8063</v>
      </c>
      <c r="D4862" t="s">
        <v>17433</v>
      </c>
      <c r="E4862" t="s">
        <v>21724</v>
      </c>
      <c r="F4862" t="s">
        <v>30052</v>
      </c>
      <c r="G4862" t="s">
        <v>30058</v>
      </c>
      <c r="H4862" t="s">
        <v>15498</v>
      </c>
      <c r="I4862" t="s">
        <v>3736</v>
      </c>
      <c r="J4862" t="s">
        <v>33304</v>
      </c>
      <c r="K4862" t="s">
        <v>39029</v>
      </c>
      <c r="M4862" t="s">
        <v>39391</v>
      </c>
      <c r="N4862" t="s">
        <v>43166</v>
      </c>
      <c r="O4862" t="s">
        <v>43167</v>
      </c>
      <c r="P4862">
        <v>0</v>
      </c>
      <c r="Q4862">
        <v>0</v>
      </c>
      <c r="R4862" t="s">
        <v>43172</v>
      </c>
      <c r="S4862" t="s">
        <v>43334</v>
      </c>
      <c r="T4862" t="s">
        <v>44789</v>
      </c>
      <c r="U4862" t="s">
        <v>49145</v>
      </c>
      <c r="W4862" t="s">
        <v>39391</v>
      </c>
      <c r="X4862" t="s">
        <v>43174</v>
      </c>
    </row>
    <row r="4863" spans="1:24">
      <c r="A4863">
        <f>HYPERLINK("https://www.philgeps.gov.ph/GEPSNONPILOT/Tender/SplashBidNoticeAbstractUI.aspx?menuIndex=3&amp;refID=7077985&amp;Result=3","7077985")</f>
        <v>0</v>
      </c>
      <c r="B4863" t="s">
        <v>637</v>
      </c>
      <c r="C4863" t="s">
        <v>8064</v>
      </c>
      <c r="D4863" t="s">
        <v>17468</v>
      </c>
      <c r="E4863" t="s">
        <v>18988</v>
      </c>
      <c r="F4863" t="s">
        <v>30052</v>
      </c>
      <c r="G4863" t="s">
        <v>30062</v>
      </c>
      <c r="H4863" t="s">
        <v>15498</v>
      </c>
      <c r="I4863" t="s">
        <v>30070</v>
      </c>
      <c r="J4863" t="s">
        <v>33305</v>
      </c>
      <c r="K4863" t="s">
        <v>39025</v>
      </c>
      <c r="M4863" t="s">
        <v>39941</v>
      </c>
      <c r="N4863" t="s">
        <v>43166</v>
      </c>
      <c r="O4863" t="s">
        <v>43167</v>
      </c>
      <c r="P4863">
        <v>0</v>
      </c>
      <c r="Q4863">
        <v>6</v>
      </c>
      <c r="R4863" t="s">
        <v>43172</v>
      </c>
      <c r="S4863" t="s">
        <v>43334</v>
      </c>
      <c r="T4863" t="s">
        <v>44837</v>
      </c>
      <c r="U4863" t="s">
        <v>49146</v>
      </c>
      <c r="W4863" t="s">
        <v>39941</v>
      </c>
      <c r="X4863" t="s">
        <v>43174</v>
      </c>
    </row>
    <row r="4864" spans="1:24">
      <c r="A4864">
        <f>HYPERLINK("https://www.philgeps.gov.ph/GEPSNONPILOT/Tender/SplashBidNoticeAbstractUI.aspx?menuIndex=3&amp;refID=7077974&amp;Result=3","7077974")</f>
        <v>0</v>
      </c>
      <c r="B4864" t="s">
        <v>1000</v>
      </c>
      <c r="C4864" t="s">
        <v>8065</v>
      </c>
      <c r="D4864" t="s">
        <v>17422</v>
      </c>
      <c r="E4864" t="s">
        <v>21725</v>
      </c>
      <c r="F4864" t="s">
        <v>30052</v>
      </c>
      <c r="G4864" t="s">
        <v>30058</v>
      </c>
      <c r="H4864" t="s">
        <v>15498</v>
      </c>
      <c r="I4864" t="s">
        <v>30076</v>
      </c>
      <c r="J4864" t="s">
        <v>33306</v>
      </c>
      <c r="K4864" t="s">
        <v>39064</v>
      </c>
      <c r="M4864" t="s">
        <v>40505</v>
      </c>
      <c r="N4864" t="s">
        <v>43166</v>
      </c>
      <c r="O4864" t="s">
        <v>43167</v>
      </c>
      <c r="P4864">
        <v>0</v>
      </c>
      <c r="Q4864">
        <v>2</v>
      </c>
      <c r="R4864" t="s">
        <v>43172</v>
      </c>
      <c r="S4864" t="s">
        <v>43334</v>
      </c>
      <c r="T4864" t="s">
        <v>44705</v>
      </c>
      <c r="U4864" t="s">
        <v>49147</v>
      </c>
      <c r="V4864" t="s">
        <v>57175</v>
      </c>
      <c r="W4864" t="s">
        <v>40505</v>
      </c>
      <c r="X4864" t="s">
        <v>43174</v>
      </c>
    </row>
    <row r="4865" spans="1:24">
      <c r="A4865">
        <f>HYPERLINK("https://www.philgeps.gov.ph/GEPSNONPILOT/Tender/SplashBidNoticeAbstractUI.aspx?menuIndex=3&amp;refID=7078033&amp;Result=3","7078033")</f>
        <v>0</v>
      </c>
      <c r="B4865" t="s">
        <v>1702</v>
      </c>
      <c r="C4865" t="s">
        <v>8066</v>
      </c>
      <c r="D4865" t="s">
        <v>17435</v>
      </c>
      <c r="E4865" t="s">
        <v>17861</v>
      </c>
      <c r="F4865" t="s">
        <v>30054</v>
      </c>
      <c r="G4865" t="s">
        <v>30058</v>
      </c>
      <c r="H4865" t="s">
        <v>30067</v>
      </c>
      <c r="I4865" t="s">
        <v>3693</v>
      </c>
      <c r="J4865" t="s">
        <v>33307</v>
      </c>
      <c r="K4865" t="s">
        <v>39029</v>
      </c>
      <c r="M4865" t="s">
        <v>41113</v>
      </c>
      <c r="N4865" t="s">
        <v>43166</v>
      </c>
      <c r="O4865" t="s">
        <v>43167</v>
      </c>
      <c r="P4865">
        <v>0</v>
      </c>
      <c r="Q4865">
        <v>0</v>
      </c>
      <c r="R4865" t="s">
        <v>43172</v>
      </c>
      <c r="S4865" t="s">
        <v>43334</v>
      </c>
      <c r="T4865" t="s">
        <v>44690</v>
      </c>
      <c r="U4865" t="s">
        <v>49148</v>
      </c>
      <c r="W4865" t="s">
        <v>41113</v>
      </c>
      <c r="X4865" t="s">
        <v>43174</v>
      </c>
    </row>
    <row r="4866" spans="1:24">
      <c r="A4866">
        <f>HYPERLINK("https://www.philgeps.gov.ph/GEPSNONPILOT/Tender/SplashBidNoticeAbstractUI.aspx?menuIndex=3&amp;refID=7077968&amp;Result=3","7077968")</f>
        <v>0</v>
      </c>
      <c r="B4866" t="s">
        <v>1693</v>
      </c>
      <c r="C4866" t="s">
        <v>8067</v>
      </c>
      <c r="D4866" t="s">
        <v>17470</v>
      </c>
      <c r="E4866" t="s">
        <v>21726</v>
      </c>
      <c r="F4866" t="s">
        <v>30052</v>
      </c>
      <c r="G4866" t="s">
        <v>30058</v>
      </c>
      <c r="H4866" t="s">
        <v>30067</v>
      </c>
      <c r="I4866" t="s">
        <v>3693</v>
      </c>
      <c r="J4866" t="s">
        <v>30321</v>
      </c>
      <c r="K4866" t="s">
        <v>39025</v>
      </c>
      <c r="M4866" t="s">
        <v>41102</v>
      </c>
      <c r="N4866" t="s">
        <v>43166</v>
      </c>
      <c r="O4866" t="s">
        <v>43167</v>
      </c>
      <c r="P4866">
        <v>0</v>
      </c>
      <c r="Q4866">
        <v>1</v>
      </c>
      <c r="R4866" t="s">
        <v>43172</v>
      </c>
      <c r="S4866" t="s">
        <v>43334</v>
      </c>
      <c r="T4866" t="s">
        <v>44722</v>
      </c>
      <c r="U4866" t="s">
        <v>49149</v>
      </c>
      <c r="W4866" t="s">
        <v>41102</v>
      </c>
      <c r="X4866" t="s">
        <v>43174</v>
      </c>
    </row>
    <row r="4867" spans="1:24">
      <c r="A4867">
        <f>HYPERLINK("https://www.philgeps.gov.ph/GEPSNONPILOT/Tender/SplashBidNoticeAbstractUI.aspx?menuIndex=3&amp;refID=7078014&amp;Result=3","7078014")</f>
        <v>0</v>
      </c>
      <c r="B4867" t="s">
        <v>1646</v>
      </c>
      <c r="C4867" t="s">
        <v>8068</v>
      </c>
      <c r="E4867" t="s">
        <v>21727</v>
      </c>
      <c r="F4867" t="s">
        <v>30052</v>
      </c>
      <c r="G4867" t="s">
        <v>30059</v>
      </c>
      <c r="H4867" t="s">
        <v>15498</v>
      </c>
      <c r="I4867" t="s">
        <v>30172</v>
      </c>
      <c r="J4867" t="s">
        <v>30594</v>
      </c>
      <c r="K4867" t="s">
        <v>39025</v>
      </c>
      <c r="M4867" t="s">
        <v>41114</v>
      </c>
      <c r="N4867" t="s">
        <v>43166</v>
      </c>
      <c r="O4867" t="s">
        <v>43167</v>
      </c>
      <c r="P4867">
        <v>0</v>
      </c>
      <c r="Q4867">
        <v>5</v>
      </c>
      <c r="R4867" t="s">
        <v>43172</v>
      </c>
      <c r="S4867" t="s">
        <v>43334</v>
      </c>
      <c r="T4867" t="s">
        <v>44862</v>
      </c>
      <c r="U4867" t="s">
        <v>49150</v>
      </c>
      <c r="W4867" t="s">
        <v>41114</v>
      </c>
      <c r="X4867" t="s">
        <v>43174</v>
      </c>
    </row>
    <row r="4868" spans="1:24">
      <c r="A4868">
        <f>HYPERLINK("https://www.philgeps.gov.ph/GEPSNONPILOT/Tender/SplashBidNoticeAbstractUI.aspx?menuIndex=3&amp;refID=7077391&amp;Result=3","7077391")</f>
        <v>0</v>
      </c>
      <c r="B4868" t="s">
        <v>1172</v>
      </c>
      <c r="C4868" t="s">
        <v>8069</v>
      </c>
      <c r="D4868" t="s">
        <v>17466</v>
      </c>
      <c r="E4868" t="s">
        <v>21728</v>
      </c>
      <c r="F4868" t="s">
        <v>30052</v>
      </c>
      <c r="G4868" t="s">
        <v>30059</v>
      </c>
      <c r="H4868" t="s">
        <v>15498</v>
      </c>
      <c r="I4868" t="s">
        <v>6691</v>
      </c>
      <c r="J4868" t="s">
        <v>31258</v>
      </c>
      <c r="K4868" t="s">
        <v>39037</v>
      </c>
      <c r="M4868" t="s">
        <v>40520</v>
      </c>
      <c r="N4868" t="s">
        <v>43166</v>
      </c>
      <c r="O4868" t="s">
        <v>43167</v>
      </c>
      <c r="P4868">
        <v>0</v>
      </c>
      <c r="Q4868">
        <v>0</v>
      </c>
      <c r="R4868" t="s">
        <v>43172</v>
      </c>
      <c r="S4868" t="s">
        <v>43334</v>
      </c>
      <c r="T4868" t="s">
        <v>44943</v>
      </c>
      <c r="U4868" t="s">
        <v>47744</v>
      </c>
      <c r="W4868" t="s">
        <v>58626</v>
      </c>
      <c r="X4868" t="s">
        <v>43174</v>
      </c>
    </row>
    <row r="4869" spans="1:24">
      <c r="A4869">
        <f>HYPERLINK("https://www.philgeps.gov.ph/GEPSNONPILOT/Tender/SplashBidNoticeAbstractUI.aspx?menuIndex=3&amp;refID=7078260&amp;Result=3","7078260")</f>
        <v>0</v>
      </c>
      <c r="B4869" t="s">
        <v>1172</v>
      </c>
      <c r="C4869" t="s">
        <v>8070</v>
      </c>
      <c r="D4869" t="s">
        <v>17466</v>
      </c>
      <c r="E4869" t="s">
        <v>21729</v>
      </c>
      <c r="F4869" t="s">
        <v>30052</v>
      </c>
      <c r="G4869" t="s">
        <v>30059</v>
      </c>
      <c r="H4869" t="s">
        <v>15498</v>
      </c>
      <c r="I4869" t="s">
        <v>30076</v>
      </c>
      <c r="J4869" t="s">
        <v>33281</v>
      </c>
      <c r="K4869" t="s">
        <v>39037</v>
      </c>
      <c r="M4869" t="s">
        <v>40520</v>
      </c>
      <c r="N4869" t="s">
        <v>43166</v>
      </c>
      <c r="O4869" t="s">
        <v>43167</v>
      </c>
      <c r="P4869">
        <v>0</v>
      </c>
      <c r="Q4869">
        <v>2</v>
      </c>
      <c r="R4869" t="s">
        <v>43172</v>
      </c>
      <c r="S4869" t="s">
        <v>43334</v>
      </c>
      <c r="T4869" t="s">
        <v>44943</v>
      </c>
      <c r="U4869" t="s">
        <v>47744</v>
      </c>
      <c r="W4869" t="s">
        <v>58626</v>
      </c>
      <c r="X4869" t="s">
        <v>43174</v>
      </c>
    </row>
    <row r="4870" spans="1:24">
      <c r="A4870">
        <f>HYPERLINK("https://www.philgeps.gov.ph/GEPSNONPILOT/Tender/SplashBidNoticeAbstractUI.aspx?menuIndex=3&amp;refID=7077992&amp;Result=3","7077992")</f>
        <v>0</v>
      </c>
      <c r="B4870" t="s">
        <v>1703</v>
      </c>
      <c r="C4870" t="s">
        <v>8071</v>
      </c>
      <c r="D4870" t="s">
        <v>17468</v>
      </c>
      <c r="E4870" t="s">
        <v>21730</v>
      </c>
      <c r="F4870" t="s">
        <v>30052</v>
      </c>
      <c r="G4870" t="s">
        <v>30058</v>
      </c>
      <c r="H4870" t="s">
        <v>30067</v>
      </c>
      <c r="I4870" t="s">
        <v>3693</v>
      </c>
      <c r="J4870" t="s">
        <v>33308</v>
      </c>
      <c r="K4870" t="s">
        <v>39151</v>
      </c>
      <c r="M4870" t="s">
        <v>41115</v>
      </c>
      <c r="N4870" t="s">
        <v>43166</v>
      </c>
      <c r="O4870" t="s">
        <v>43167</v>
      </c>
      <c r="P4870">
        <v>0</v>
      </c>
      <c r="Q4870">
        <v>4</v>
      </c>
      <c r="R4870" t="s">
        <v>43172</v>
      </c>
      <c r="S4870" t="s">
        <v>43334</v>
      </c>
      <c r="T4870" t="s">
        <v>44712</v>
      </c>
      <c r="U4870" t="s">
        <v>49151</v>
      </c>
      <c r="W4870" t="s">
        <v>41115</v>
      </c>
      <c r="X4870" t="s">
        <v>43174</v>
      </c>
    </row>
    <row r="4871" spans="1:24">
      <c r="A4871">
        <f>HYPERLINK("https://www.philgeps.gov.ph/GEPSNONPILOT/Tender/SplashBidNoticeAbstractUI.aspx?menuIndex=3&amp;refID=7078256&amp;Result=3","7078256")</f>
        <v>0</v>
      </c>
      <c r="B4871" t="s">
        <v>1691</v>
      </c>
      <c r="C4871" t="s">
        <v>8072</v>
      </c>
      <c r="D4871" t="s">
        <v>17459</v>
      </c>
      <c r="E4871" t="s">
        <v>21731</v>
      </c>
      <c r="F4871" t="s">
        <v>30052</v>
      </c>
      <c r="G4871" t="s">
        <v>30058</v>
      </c>
      <c r="H4871" t="s">
        <v>15498</v>
      </c>
      <c r="I4871" t="s">
        <v>30114</v>
      </c>
      <c r="J4871" t="s">
        <v>31734</v>
      </c>
      <c r="K4871" t="s">
        <v>39019</v>
      </c>
      <c r="M4871" t="s">
        <v>41100</v>
      </c>
      <c r="N4871" t="s">
        <v>43166</v>
      </c>
      <c r="O4871" t="s">
        <v>43167</v>
      </c>
      <c r="P4871">
        <v>0</v>
      </c>
      <c r="Q4871">
        <v>14</v>
      </c>
      <c r="R4871" t="s">
        <v>43172</v>
      </c>
      <c r="S4871" t="s">
        <v>43334</v>
      </c>
      <c r="T4871" t="s">
        <v>44993</v>
      </c>
      <c r="U4871" t="s">
        <v>49152</v>
      </c>
      <c r="W4871" t="s">
        <v>41100</v>
      </c>
      <c r="X4871" t="s">
        <v>43174</v>
      </c>
    </row>
    <row r="4872" spans="1:24">
      <c r="A4872">
        <f>HYPERLINK("https://www.philgeps.gov.ph/GEPSNONPILOT/Tender/SplashBidNoticeAbstractUI.aspx?menuIndex=3&amp;refID=7078242&amp;Result=3","7078242")</f>
        <v>0</v>
      </c>
      <c r="B4872" t="s">
        <v>1704</v>
      </c>
      <c r="C4872" t="s">
        <v>8073</v>
      </c>
      <c r="D4872" t="s">
        <v>17476</v>
      </c>
      <c r="E4872" t="s">
        <v>21732</v>
      </c>
      <c r="F4872" t="s">
        <v>30052</v>
      </c>
      <c r="G4872" t="s">
        <v>30065</v>
      </c>
      <c r="H4872" t="s">
        <v>30068</v>
      </c>
      <c r="I4872" t="s">
        <v>30068</v>
      </c>
      <c r="J4872" t="s">
        <v>30297</v>
      </c>
      <c r="K4872" t="s">
        <v>39029</v>
      </c>
      <c r="M4872" t="s">
        <v>41116</v>
      </c>
      <c r="N4872" t="s">
        <v>43166</v>
      </c>
      <c r="O4872" t="s">
        <v>43167</v>
      </c>
      <c r="P4872">
        <v>0</v>
      </c>
      <c r="Q4872">
        <v>3</v>
      </c>
      <c r="R4872" t="s">
        <v>43172</v>
      </c>
      <c r="S4872" t="s">
        <v>43334</v>
      </c>
      <c r="T4872" t="s">
        <v>44702</v>
      </c>
      <c r="U4872" t="s">
        <v>49153</v>
      </c>
      <c r="W4872" t="s">
        <v>41116</v>
      </c>
      <c r="X4872" t="s">
        <v>43174</v>
      </c>
    </row>
    <row r="4873" spans="1:24">
      <c r="A4873">
        <f>HYPERLINK("https://www.philgeps.gov.ph/GEPSNONPILOT/Tender/SplashBidNoticeAbstractUI.aspx?menuIndex=3&amp;refID=7078241&amp;Result=3","7078241")</f>
        <v>0</v>
      </c>
      <c r="B4873" t="s">
        <v>1690</v>
      </c>
      <c r="C4873" t="s">
        <v>8074</v>
      </c>
      <c r="D4873" t="s">
        <v>17454</v>
      </c>
      <c r="E4873" t="s">
        <v>21733</v>
      </c>
      <c r="F4873" t="s">
        <v>30052</v>
      </c>
      <c r="G4873" t="s">
        <v>30061</v>
      </c>
      <c r="H4873" t="s">
        <v>15498</v>
      </c>
      <c r="I4873" t="s">
        <v>30081</v>
      </c>
      <c r="J4873" t="s">
        <v>33309</v>
      </c>
      <c r="K4873" t="s">
        <v>39032</v>
      </c>
      <c r="M4873" t="s">
        <v>41099</v>
      </c>
      <c r="N4873" t="s">
        <v>43166</v>
      </c>
      <c r="O4873" t="s">
        <v>43167</v>
      </c>
      <c r="P4873">
        <v>0</v>
      </c>
      <c r="Q4873">
        <v>2</v>
      </c>
      <c r="R4873" t="s">
        <v>43172</v>
      </c>
      <c r="S4873" t="s">
        <v>43334</v>
      </c>
      <c r="T4873" t="s">
        <v>44678</v>
      </c>
      <c r="U4873" t="s">
        <v>49154</v>
      </c>
      <c r="V4873" t="s">
        <v>57353</v>
      </c>
      <c r="W4873" t="s">
        <v>41099</v>
      </c>
      <c r="X4873" t="s">
        <v>43174</v>
      </c>
    </row>
    <row r="4874" spans="1:24">
      <c r="A4874">
        <f>HYPERLINK("https://www.philgeps.gov.ph/GEPSNONPILOT/Tender/SplashBidNoticeAbstractUI.aspx?menuIndex=3&amp;refID=7077476&amp;Result=3","7077476")</f>
        <v>0</v>
      </c>
      <c r="B4874" t="s">
        <v>50</v>
      </c>
      <c r="C4874" t="s">
        <v>8075</v>
      </c>
      <c r="D4874" t="s">
        <v>17433</v>
      </c>
      <c r="E4874" t="s">
        <v>21734</v>
      </c>
      <c r="F4874" t="s">
        <v>30052</v>
      </c>
      <c r="G4874" t="s">
        <v>30059</v>
      </c>
      <c r="H4874" t="s">
        <v>15498</v>
      </c>
      <c r="I4874" t="s">
        <v>7228</v>
      </c>
      <c r="J4874" t="s">
        <v>30402</v>
      </c>
      <c r="K4874" t="s">
        <v>39017</v>
      </c>
      <c r="M4874" t="s">
        <v>39340</v>
      </c>
      <c r="N4874" t="s">
        <v>43166</v>
      </c>
      <c r="O4874" t="s">
        <v>43167</v>
      </c>
      <c r="P4874">
        <v>0</v>
      </c>
      <c r="Q4874">
        <v>0</v>
      </c>
      <c r="R4874" t="s">
        <v>43172</v>
      </c>
      <c r="S4874" t="s">
        <v>43334</v>
      </c>
      <c r="T4874" t="s">
        <v>44735</v>
      </c>
      <c r="U4874" t="s">
        <v>49155</v>
      </c>
      <c r="W4874" t="s">
        <v>39340</v>
      </c>
      <c r="X4874" t="s">
        <v>43174</v>
      </c>
    </row>
    <row r="4875" spans="1:24">
      <c r="A4875">
        <f>HYPERLINK("https://www.philgeps.gov.ph/GEPSNONPILOT/Tender/SplashBidNoticeAbstractUI.aspx?menuIndex=3&amp;refID=7078201&amp;Result=3","7078201")</f>
        <v>0</v>
      </c>
      <c r="B4875" t="s">
        <v>1170</v>
      </c>
      <c r="C4875" t="s">
        <v>8076</v>
      </c>
      <c r="D4875" t="s">
        <v>17482</v>
      </c>
      <c r="E4875" t="s">
        <v>21735</v>
      </c>
      <c r="F4875" t="s">
        <v>30052</v>
      </c>
      <c r="G4875" t="s">
        <v>30059</v>
      </c>
      <c r="H4875" t="s">
        <v>15498</v>
      </c>
      <c r="I4875" t="s">
        <v>30098</v>
      </c>
      <c r="J4875" t="s">
        <v>31412</v>
      </c>
      <c r="K4875" t="s">
        <v>39025</v>
      </c>
      <c r="M4875" t="s">
        <v>41117</v>
      </c>
      <c r="N4875" t="s">
        <v>43166</v>
      </c>
      <c r="O4875" t="s">
        <v>43167</v>
      </c>
      <c r="P4875">
        <v>0</v>
      </c>
      <c r="Q4875">
        <v>0</v>
      </c>
      <c r="R4875" t="s">
        <v>43172</v>
      </c>
      <c r="S4875" t="s">
        <v>43334</v>
      </c>
      <c r="T4875" t="s">
        <v>44969</v>
      </c>
      <c r="U4875" t="s">
        <v>49156</v>
      </c>
      <c r="V4875" t="s">
        <v>57355</v>
      </c>
      <c r="W4875" t="s">
        <v>41117</v>
      </c>
      <c r="X4875" t="s">
        <v>43174</v>
      </c>
    </row>
    <row r="4876" spans="1:24">
      <c r="A4876">
        <f>HYPERLINK("https://www.philgeps.gov.ph/GEPSNONPILOT/Tender/SplashBidNoticeAbstractUI.aspx?menuIndex=3&amp;refID=7078194&amp;Result=3","7078194")</f>
        <v>0</v>
      </c>
      <c r="B4876" t="s">
        <v>208</v>
      </c>
      <c r="C4876" t="s">
        <v>8077</v>
      </c>
      <c r="D4876" t="s">
        <v>17415</v>
      </c>
      <c r="E4876" t="s">
        <v>18362</v>
      </c>
      <c r="F4876" t="s">
        <v>30052</v>
      </c>
      <c r="G4876" t="s">
        <v>30058</v>
      </c>
      <c r="H4876" t="s">
        <v>15498</v>
      </c>
      <c r="I4876" t="s">
        <v>30130</v>
      </c>
      <c r="J4876" t="s">
        <v>33310</v>
      </c>
      <c r="K4876" t="s">
        <v>39025</v>
      </c>
      <c r="M4876" t="s">
        <v>39498</v>
      </c>
      <c r="N4876" t="s">
        <v>43166</v>
      </c>
      <c r="O4876" t="s">
        <v>43167</v>
      </c>
      <c r="P4876">
        <v>0</v>
      </c>
      <c r="Q4876">
        <v>19</v>
      </c>
      <c r="R4876" t="s">
        <v>43172</v>
      </c>
      <c r="S4876" t="s">
        <v>43334</v>
      </c>
      <c r="T4876" t="s">
        <v>44828</v>
      </c>
      <c r="U4876" t="s">
        <v>49157</v>
      </c>
      <c r="W4876" t="s">
        <v>39498</v>
      </c>
      <c r="X4876" t="s">
        <v>43174</v>
      </c>
    </row>
    <row r="4877" spans="1:24">
      <c r="A4877">
        <f>HYPERLINK("https://www.philgeps.gov.ph/GEPSNONPILOT/Tender/SplashBidNoticeAbstractUI.aspx?menuIndex=3&amp;refID=7077979&amp;Result=3","7077979")</f>
        <v>0</v>
      </c>
      <c r="B4877" t="s">
        <v>102</v>
      </c>
      <c r="C4877" t="s">
        <v>8078</v>
      </c>
      <c r="D4877" t="s">
        <v>17433</v>
      </c>
      <c r="E4877" t="s">
        <v>21736</v>
      </c>
      <c r="F4877" t="s">
        <v>30052</v>
      </c>
      <c r="G4877" t="s">
        <v>30058</v>
      </c>
      <c r="H4877" t="s">
        <v>30067</v>
      </c>
      <c r="I4877" t="s">
        <v>3693</v>
      </c>
      <c r="J4877" t="s">
        <v>30397</v>
      </c>
      <c r="K4877" t="s">
        <v>39025</v>
      </c>
      <c r="M4877" t="s">
        <v>39391</v>
      </c>
      <c r="N4877" t="s">
        <v>43166</v>
      </c>
      <c r="O4877" t="s">
        <v>43167</v>
      </c>
      <c r="P4877">
        <v>0</v>
      </c>
      <c r="Q4877">
        <v>0</v>
      </c>
      <c r="R4877" t="s">
        <v>43172</v>
      </c>
      <c r="S4877" t="s">
        <v>43334</v>
      </c>
      <c r="T4877" t="s">
        <v>44789</v>
      </c>
      <c r="U4877" t="s">
        <v>49158</v>
      </c>
      <c r="W4877" t="s">
        <v>39391</v>
      </c>
      <c r="X4877" t="s">
        <v>43174</v>
      </c>
    </row>
    <row r="4878" spans="1:24">
      <c r="A4878">
        <f>HYPERLINK("https://www.philgeps.gov.ph/GEPSNONPILOT/Tender/SplashBidNoticeAbstractUI.aspx?menuIndex=3&amp;refID=7078187&amp;Result=3","7078187")</f>
        <v>0</v>
      </c>
      <c r="B4878" t="s">
        <v>1170</v>
      </c>
      <c r="C4878" t="s">
        <v>8079</v>
      </c>
      <c r="D4878" t="s">
        <v>17482</v>
      </c>
      <c r="E4878" t="s">
        <v>21737</v>
      </c>
      <c r="F4878" t="s">
        <v>30052</v>
      </c>
      <c r="G4878" t="s">
        <v>30059</v>
      </c>
      <c r="H4878" t="s">
        <v>15498</v>
      </c>
      <c r="I4878" t="s">
        <v>30084</v>
      </c>
      <c r="J4878" t="s">
        <v>30402</v>
      </c>
      <c r="K4878" t="s">
        <v>39025</v>
      </c>
      <c r="M4878" t="s">
        <v>41117</v>
      </c>
      <c r="N4878" t="s">
        <v>43166</v>
      </c>
      <c r="O4878" t="s">
        <v>43167</v>
      </c>
      <c r="P4878">
        <v>0</v>
      </c>
      <c r="Q4878">
        <v>3</v>
      </c>
      <c r="R4878" t="s">
        <v>43172</v>
      </c>
      <c r="S4878" t="s">
        <v>43334</v>
      </c>
      <c r="T4878" t="s">
        <v>44969</v>
      </c>
      <c r="U4878" t="s">
        <v>49159</v>
      </c>
      <c r="V4878" t="s">
        <v>57356</v>
      </c>
      <c r="W4878" t="s">
        <v>41117</v>
      </c>
      <c r="X4878" t="s">
        <v>43174</v>
      </c>
    </row>
    <row r="4879" spans="1:24">
      <c r="A4879">
        <f>HYPERLINK("https://www.philgeps.gov.ph/GEPSNONPILOT/Tender/SplashBidNoticeAbstractUI.aspx?menuIndex=3&amp;refID=7078221&amp;Result=3","7078221")</f>
        <v>0</v>
      </c>
      <c r="B4879" t="s">
        <v>1170</v>
      </c>
      <c r="C4879" t="s">
        <v>8080</v>
      </c>
      <c r="D4879" t="s">
        <v>17482</v>
      </c>
      <c r="E4879" t="s">
        <v>21738</v>
      </c>
      <c r="F4879" t="s">
        <v>30052</v>
      </c>
      <c r="G4879" t="s">
        <v>30061</v>
      </c>
      <c r="H4879" t="s">
        <v>15498</v>
      </c>
      <c r="I4879" t="s">
        <v>30084</v>
      </c>
      <c r="J4879" t="s">
        <v>30377</v>
      </c>
      <c r="K4879" t="s">
        <v>39025</v>
      </c>
      <c r="M4879" t="s">
        <v>41117</v>
      </c>
      <c r="N4879" t="s">
        <v>43166</v>
      </c>
      <c r="O4879" t="s">
        <v>43167</v>
      </c>
      <c r="P4879">
        <v>0</v>
      </c>
      <c r="Q4879">
        <v>3</v>
      </c>
      <c r="R4879" t="s">
        <v>43172</v>
      </c>
      <c r="S4879" t="s">
        <v>43334</v>
      </c>
      <c r="T4879" t="s">
        <v>44969</v>
      </c>
      <c r="U4879" t="s">
        <v>49160</v>
      </c>
      <c r="V4879" t="s">
        <v>57357</v>
      </c>
      <c r="W4879" t="s">
        <v>41117</v>
      </c>
      <c r="X4879" t="s">
        <v>43174</v>
      </c>
    </row>
    <row r="4880" spans="1:24">
      <c r="A4880">
        <f>HYPERLINK("https://www.philgeps.gov.ph/GEPSNONPILOT/Tender/SplashBidNoticeAbstractUI.aspx?menuIndex=3&amp;refID=7078197&amp;Result=3","7078197")</f>
        <v>0</v>
      </c>
      <c r="B4880" t="s">
        <v>1682</v>
      </c>
      <c r="C4880" t="s">
        <v>8081</v>
      </c>
      <c r="D4880" t="s">
        <v>17453</v>
      </c>
      <c r="E4880" t="s">
        <v>21739</v>
      </c>
      <c r="F4880" t="s">
        <v>30052</v>
      </c>
      <c r="G4880" t="s">
        <v>30059</v>
      </c>
      <c r="H4880" t="s">
        <v>15498</v>
      </c>
      <c r="I4880" t="s">
        <v>30134</v>
      </c>
      <c r="J4880" t="s">
        <v>33311</v>
      </c>
      <c r="K4880" t="s">
        <v>39019</v>
      </c>
      <c r="M4880" t="s">
        <v>41118</v>
      </c>
      <c r="N4880" t="s">
        <v>43166</v>
      </c>
      <c r="O4880" t="s">
        <v>43167</v>
      </c>
      <c r="P4880">
        <v>0</v>
      </c>
      <c r="Q4880">
        <v>4</v>
      </c>
      <c r="R4880" t="s">
        <v>43172</v>
      </c>
      <c r="S4880" t="s">
        <v>43334</v>
      </c>
      <c r="T4880" t="s">
        <v>44737</v>
      </c>
      <c r="U4880" t="s">
        <v>49161</v>
      </c>
      <c r="W4880" t="s">
        <v>41118</v>
      </c>
      <c r="X4880" t="s">
        <v>43174</v>
      </c>
    </row>
    <row r="4881" spans="1:24">
      <c r="A4881">
        <f>HYPERLINK("https://www.philgeps.gov.ph/GEPSNONPILOT/Tender/SplashBidNoticeAbstractUI.aspx?menuIndex=3&amp;refID=7078170&amp;Result=3","7078170")</f>
        <v>0</v>
      </c>
      <c r="B4881" t="s">
        <v>208</v>
      </c>
      <c r="C4881" t="s">
        <v>8082</v>
      </c>
      <c r="D4881" t="s">
        <v>17415</v>
      </c>
      <c r="E4881" t="s">
        <v>21740</v>
      </c>
      <c r="F4881" t="s">
        <v>30052</v>
      </c>
      <c r="G4881" t="s">
        <v>30058</v>
      </c>
      <c r="H4881" t="s">
        <v>15498</v>
      </c>
      <c r="I4881" t="s">
        <v>30130</v>
      </c>
      <c r="J4881" t="s">
        <v>33312</v>
      </c>
      <c r="K4881" t="s">
        <v>39025</v>
      </c>
      <c r="M4881" t="s">
        <v>39498</v>
      </c>
      <c r="N4881" t="s">
        <v>43166</v>
      </c>
      <c r="O4881" t="s">
        <v>43167</v>
      </c>
      <c r="P4881">
        <v>0</v>
      </c>
      <c r="Q4881">
        <v>16</v>
      </c>
      <c r="R4881" t="s">
        <v>43172</v>
      </c>
      <c r="S4881" t="s">
        <v>43334</v>
      </c>
      <c r="T4881" t="s">
        <v>44828</v>
      </c>
      <c r="U4881" t="s">
        <v>49162</v>
      </c>
      <c r="W4881" t="s">
        <v>39498</v>
      </c>
      <c r="X4881" t="s">
        <v>43174</v>
      </c>
    </row>
    <row r="4882" spans="1:24">
      <c r="A4882">
        <f>HYPERLINK("https://www.philgeps.gov.ph/GEPSNONPILOT/Tender/SplashBidNoticeAbstractUI.aspx?menuIndex=3&amp;refID=7078165&amp;Result=3","7078165")</f>
        <v>0</v>
      </c>
      <c r="B4882" t="s">
        <v>1687</v>
      </c>
      <c r="C4882" t="s">
        <v>8083</v>
      </c>
      <c r="D4882" t="s">
        <v>17466</v>
      </c>
      <c r="E4882" t="s">
        <v>21741</v>
      </c>
      <c r="F4882" t="s">
        <v>30052</v>
      </c>
      <c r="G4882" t="s">
        <v>30058</v>
      </c>
      <c r="H4882" t="s">
        <v>15498</v>
      </c>
      <c r="I4882" t="s">
        <v>30074</v>
      </c>
      <c r="J4882" t="s">
        <v>33313</v>
      </c>
      <c r="K4882" t="s">
        <v>39025</v>
      </c>
      <c r="M4882" t="s">
        <v>41096</v>
      </c>
      <c r="N4882" t="s">
        <v>43166</v>
      </c>
      <c r="O4882" t="s">
        <v>43167</v>
      </c>
      <c r="P4882">
        <v>0</v>
      </c>
      <c r="Q4882">
        <v>4</v>
      </c>
      <c r="R4882" t="s">
        <v>43172</v>
      </c>
      <c r="S4882" t="s">
        <v>43334</v>
      </c>
      <c r="T4882" t="s">
        <v>45005</v>
      </c>
      <c r="U4882" t="s">
        <v>49163</v>
      </c>
      <c r="V4882" t="s">
        <v>57352</v>
      </c>
      <c r="W4882" t="s">
        <v>41096</v>
      </c>
      <c r="X4882" t="s">
        <v>43174</v>
      </c>
    </row>
    <row r="4883" spans="1:24">
      <c r="A4883">
        <f>HYPERLINK("https://www.philgeps.gov.ph/GEPSNONPILOT/Tender/SplashBidNoticeAbstractUI.aspx?menuIndex=3&amp;refID=7078133&amp;Result=3","7078133")</f>
        <v>0</v>
      </c>
      <c r="B4883" t="s">
        <v>1646</v>
      </c>
      <c r="C4883" t="s">
        <v>8084</v>
      </c>
      <c r="E4883" t="s">
        <v>21742</v>
      </c>
      <c r="F4883" t="s">
        <v>30052</v>
      </c>
      <c r="G4883" t="s">
        <v>30059</v>
      </c>
      <c r="H4883" t="s">
        <v>15498</v>
      </c>
      <c r="I4883" t="s">
        <v>30153</v>
      </c>
      <c r="J4883" t="s">
        <v>33314</v>
      </c>
      <c r="K4883" t="s">
        <v>39025</v>
      </c>
      <c r="M4883" t="s">
        <v>41107</v>
      </c>
      <c r="N4883" t="s">
        <v>43166</v>
      </c>
      <c r="O4883" t="s">
        <v>43167</v>
      </c>
      <c r="P4883">
        <v>0</v>
      </c>
      <c r="Q4883">
        <v>9</v>
      </c>
      <c r="R4883" t="s">
        <v>43172</v>
      </c>
      <c r="S4883" t="s">
        <v>43334</v>
      </c>
      <c r="T4883" t="s">
        <v>44862</v>
      </c>
      <c r="U4883" t="s">
        <v>46812</v>
      </c>
      <c r="W4883" t="s">
        <v>41107</v>
      </c>
      <c r="X4883" t="s">
        <v>43174</v>
      </c>
    </row>
    <row r="4884" spans="1:24">
      <c r="A4884">
        <f>HYPERLINK("https://www.philgeps.gov.ph/GEPSNONPILOT/Tender/SplashBidNoticeAbstractUI.aspx?menuIndex=3&amp;refID=7078182&amp;Result=3","7078182")</f>
        <v>0</v>
      </c>
      <c r="B4884" t="s">
        <v>1646</v>
      </c>
      <c r="C4884" t="s">
        <v>8085</v>
      </c>
      <c r="E4884" t="s">
        <v>21743</v>
      </c>
      <c r="F4884" t="s">
        <v>30052</v>
      </c>
      <c r="G4884" t="s">
        <v>30059</v>
      </c>
      <c r="H4884" t="s">
        <v>15498</v>
      </c>
      <c r="I4884" t="s">
        <v>30098</v>
      </c>
      <c r="J4884" t="s">
        <v>30591</v>
      </c>
      <c r="K4884" t="s">
        <v>39025</v>
      </c>
      <c r="M4884" t="s">
        <v>41107</v>
      </c>
      <c r="N4884" t="s">
        <v>43166</v>
      </c>
      <c r="O4884" t="s">
        <v>43167</v>
      </c>
      <c r="P4884">
        <v>0</v>
      </c>
      <c r="Q4884">
        <v>5</v>
      </c>
      <c r="R4884" t="s">
        <v>43172</v>
      </c>
      <c r="S4884" t="s">
        <v>43334</v>
      </c>
      <c r="T4884" t="s">
        <v>44862</v>
      </c>
      <c r="U4884" t="s">
        <v>46812</v>
      </c>
      <c r="W4884" t="s">
        <v>41107</v>
      </c>
      <c r="X4884" t="s">
        <v>43174</v>
      </c>
    </row>
    <row r="4885" spans="1:24">
      <c r="A4885">
        <f>HYPERLINK("https://www.philgeps.gov.ph/GEPSNONPILOT/Tender/SplashBidNoticeAbstractUI.aspx?menuIndex=3&amp;refID=7078266&amp;Result=3","7078266")</f>
        <v>0</v>
      </c>
      <c r="B4885" t="s">
        <v>1054</v>
      </c>
      <c r="C4885" t="s">
        <v>8086</v>
      </c>
      <c r="D4885" t="s">
        <v>17462</v>
      </c>
      <c r="E4885" t="s">
        <v>21744</v>
      </c>
      <c r="F4885" t="s">
        <v>30052</v>
      </c>
      <c r="G4885" t="s">
        <v>30059</v>
      </c>
      <c r="H4885" t="s">
        <v>15498</v>
      </c>
      <c r="I4885" t="s">
        <v>30094</v>
      </c>
      <c r="J4885" t="s">
        <v>31199</v>
      </c>
      <c r="K4885" t="s">
        <v>39017</v>
      </c>
      <c r="M4885" t="s">
        <v>40387</v>
      </c>
      <c r="N4885" t="s">
        <v>43166</v>
      </c>
      <c r="O4885" t="s">
        <v>43167</v>
      </c>
      <c r="P4885">
        <v>0</v>
      </c>
      <c r="Q4885">
        <v>0</v>
      </c>
      <c r="R4885" t="s">
        <v>43172</v>
      </c>
      <c r="S4885" t="s">
        <v>43334</v>
      </c>
      <c r="T4885" t="s">
        <v>44843</v>
      </c>
      <c r="U4885" t="s">
        <v>49164</v>
      </c>
      <c r="V4885" t="s">
        <v>57358</v>
      </c>
      <c r="W4885" t="s">
        <v>40387</v>
      </c>
      <c r="X4885" t="s">
        <v>43174</v>
      </c>
    </row>
    <row r="4886" spans="1:24">
      <c r="A4886">
        <f>HYPERLINK("https://www.philgeps.gov.ph/GEPSNONPILOT/Tender/SplashBidNoticeAbstractUI.aspx?menuIndex=3&amp;refID=7078188&amp;Result=3","7078188")</f>
        <v>0</v>
      </c>
      <c r="B4886" t="s">
        <v>1704</v>
      </c>
      <c r="C4886" t="s">
        <v>8087</v>
      </c>
      <c r="D4886" t="s">
        <v>17476</v>
      </c>
      <c r="E4886" t="s">
        <v>21745</v>
      </c>
      <c r="F4886" t="s">
        <v>30052</v>
      </c>
      <c r="G4886" t="s">
        <v>30065</v>
      </c>
      <c r="H4886" t="s">
        <v>30068</v>
      </c>
      <c r="I4886" t="s">
        <v>30068</v>
      </c>
      <c r="J4886" t="s">
        <v>30900</v>
      </c>
      <c r="K4886" t="s">
        <v>39029</v>
      </c>
      <c r="M4886" t="s">
        <v>41116</v>
      </c>
      <c r="N4886" t="s">
        <v>43166</v>
      </c>
      <c r="O4886" t="s">
        <v>43167</v>
      </c>
      <c r="P4886">
        <v>0</v>
      </c>
      <c r="Q4886">
        <v>3</v>
      </c>
      <c r="R4886" t="s">
        <v>43172</v>
      </c>
      <c r="S4886" t="s">
        <v>43334</v>
      </c>
      <c r="T4886" t="s">
        <v>44702</v>
      </c>
      <c r="U4886" t="s">
        <v>49153</v>
      </c>
      <c r="W4886" t="s">
        <v>41116</v>
      </c>
      <c r="X4886" t="s">
        <v>43174</v>
      </c>
    </row>
    <row r="4887" spans="1:24">
      <c r="A4887">
        <f>HYPERLINK("https://www.philgeps.gov.ph/GEPSNONPILOT/Tender/SplashBidNoticeAbstractUI.aspx?menuIndex=3&amp;refID=7078163&amp;Result=3","7078163")</f>
        <v>0</v>
      </c>
      <c r="B4887" t="s">
        <v>1170</v>
      </c>
      <c r="C4887" t="s">
        <v>8088</v>
      </c>
      <c r="D4887" t="s">
        <v>17482</v>
      </c>
      <c r="E4887" t="s">
        <v>21746</v>
      </c>
      <c r="F4887" t="s">
        <v>30052</v>
      </c>
      <c r="G4887" t="s">
        <v>30061</v>
      </c>
      <c r="H4887" t="s">
        <v>15498</v>
      </c>
      <c r="I4887" t="s">
        <v>30071</v>
      </c>
      <c r="J4887" t="s">
        <v>30508</v>
      </c>
      <c r="K4887" t="s">
        <v>39025</v>
      </c>
      <c r="M4887" t="s">
        <v>41117</v>
      </c>
      <c r="N4887" t="s">
        <v>43166</v>
      </c>
      <c r="O4887" t="s">
        <v>43167</v>
      </c>
      <c r="P4887">
        <v>0</v>
      </c>
      <c r="Q4887">
        <v>0</v>
      </c>
      <c r="R4887" t="s">
        <v>43172</v>
      </c>
      <c r="S4887" t="s">
        <v>43334</v>
      </c>
      <c r="T4887" t="s">
        <v>44969</v>
      </c>
      <c r="U4887" t="s">
        <v>49165</v>
      </c>
      <c r="V4887" t="s">
        <v>57359</v>
      </c>
      <c r="W4887" t="s">
        <v>41117</v>
      </c>
      <c r="X4887" t="s">
        <v>43174</v>
      </c>
    </row>
    <row r="4888" spans="1:24">
      <c r="A4888">
        <f>HYPERLINK("https://www.philgeps.gov.ph/GEPSNONPILOT/Tender/SplashBidNoticeAbstractUI.aspx?menuIndex=3&amp;refID=7078339&amp;Result=3","7078339")</f>
        <v>0</v>
      </c>
      <c r="B4888" t="s">
        <v>1705</v>
      </c>
      <c r="C4888" t="s">
        <v>8089</v>
      </c>
      <c r="D4888" t="s">
        <v>17434</v>
      </c>
      <c r="E4888" t="s">
        <v>21747</v>
      </c>
      <c r="F4888" t="s">
        <v>30052</v>
      </c>
      <c r="G4888" t="s">
        <v>30061</v>
      </c>
      <c r="H4888" t="s">
        <v>15498</v>
      </c>
      <c r="I4888" t="s">
        <v>30082</v>
      </c>
      <c r="J4888" t="s">
        <v>33315</v>
      </c>
      <c r="K4888" t="s">
        <v>39017</v>
      </c>
      <c r="M4888" t="s">
        <v>41119</v>
      </c>
      <c r="N4888" t="s">
        <v>43166</v>
      </c>
      <c r="O4888" t="s">
        <v>43167</v>
      </c>
      <c r="P4888">
        <v>0</v>
      </c>
      <c r="Q4888">
        <v>1</v>
      </c>
      <c r="R4888" t="s">
        <v>43172</v>
      </c>
      <c r="S4888" t="s">
        <v>43334</v>
      </c>
      <c r="T4888" t="s">
        <v>44691</v>
      </c>
      <c r="U4888" t="s">
        <v>49166</v>
      </c>
      <c r="W4888" t="s">
        <v>41119</v>
      </c>
      <c r="X4888" t="s">
        <v>43174</v>
      </c>
    </row>
    <row r="4889" spans="1:24">
      <c r="A4889">
        <f>HYPERLINK("https://www.philgeps.gov.ph/GEPSNONPILOT/Tender/SplashBidNoticeAbstractUI.aspx?menuIndex=3&amp;refID=7078332&amp;Result=3","7078332")</f>
        <v>0</v>
      </c>
      <c r="B4889" t="s">
        <v>1170</v>
      </c>
      <c r="C4889" t="s">
        <v>8090</v>
      </c>
      <c r="D4889" t="s">
        <v>17482</v>
      </c>
      <c r="E4889" t="s">
        <v>21748</v>
      </c>
      <c r="F4889" t="s">
        <v>30052</v>
      </c>
      <c r="G4889" t="s">
        <v>30061</v>
      </c>
      <c r="H4889" t="s">
        <v>15498</v>
      </c>
      <c r="I4889" t="s">
        <v>30076</v>
      </c>
      <c r="J4889" t="s">
        <v>33316</v>
      </c>
      <c r="K4889" t="s">
        <v>39025</v>
      </c>
      <c r="M4889" t="s">
        <v>41117</v>
      </c>
      <c r="N4889" t="s">
        <v>43166</v>
      </c>
      <c r="O4889" t="s">
        <v>43167</v>
      </c>
      <c r="P4889">
        <v>0</v>
      </c>
      <c r="Q4889">
        <v>0</v>
      </c>
      <c r="R4889" t="s">
        <v>43172</v>
      </c>
      <c r="S4889" t="s">
        <v>43334</v>
      </c>
      <c r="T4889" t="s">
        <v>44969</v>
      </c>
      <c r="U4889" t="s">
        <v>49167</v>
      </c>
      <c r="V4889" t="s">
        <v>57357</v>
      </c>
      <c r="W4889" t="s">
        <v>41117</v>
      </c>
      <c r="X4889" t="s">
        <v>43174</v>
      </c>
    </row>
    <row r="4890" spans="1:24">
      <c r="A4890">
        <f>HYPERLINK("https://www.philgeps.gov.ph/GEPSNONPILOT/Tender/SplashBidNoticeAbstractUI.aspx?menuIndex=3&amp;refID=7078236&amp;Result=3","7078236")</f>
        <v>0</v>
      </c>
      <c r="B4890" t="s">
        <v>1170</v>
      </c>
      <c r="C4890" t="s">
        <v>8091</v>
      </c>
      <c r="D4890" t="s">
        <v>17482</v>
      </c>
      <c r="E4890" t="s">
        <v>21749</v>
      </c>
      <c r="F4890" t="s">
        <v>30052</v>
      </c>
      <c r="G4890" t="s">
        <v>30061</v>
      </c>
      <c r="H4890" t="s">
        <v>15498</v>
      </c>
      <c r="I4890" t="s">
        <v>30076</v>
      </c>
      <c r="J4890" t="s">
        <v>30594</v>
      </c>
      <c r="K4890" t="s">
        <v>39025</v>
      </c>
      <c r="M4890" t="s">
        <v>41117</v>
      </c>
      <c r="N4890" t="s">
        <v>43166</v>
      </c>
      <c r="O4890" t="s">
        <v>43167</v>
      </c>
      <c r="P4890">
        <v>0</v>
      </c>
      <c r="Q4890">
        <v>4</v>
      </c>
      <c r="R4890" t="s">
        <v>43172</v>
      </c>
      <c r="S4890" t="s">
        <v>43334</v>
      </c>
      <c r="T4890" t="s">
        <v>44969</v>
      </c>
      <c r="U4890" t="s">
        <v>49168</v>
      </c>
      <c r="V4890" t="s">
        <v>57357</v>
      </c>
      <c r="W4890" t="s">
        <v>41117</v>
      </c>
      <c r="X4890" t="s">
        <v>43174</v>
      </c>
    </row>
    <row r="4891" spans="1:24">
      <c r="A4891">
        <f>HYPERLINK("https://www.philgeps.gov.ph/GEPSNONPILOT/Tender/SplashBidNoticeAbstractUI.aspx?menuIndex=3&amp;refID=7078329&amp;Result=3","7078329")</f>
        <v>0</v>
      </c>
      <c r="B4891" t="s">
        <v>1706</v>
      </c>
      <c r="C4891" t="s">
        <v>8092</v>
      </c>
      <c r="D4891" t="s">
        <v>17489</v>
      </c>
      <c r="E4891" t="s">
        <v>21750</v>
      </c>
      <c r="F4891" t="s">
        <v>30052</v>
      </c>
      <c r="G4891" t="s">
        <v>30058</v>
      </c>
      <c r="H4891" t="s">
        <v>15498</v>
      </c>
      <c r="I4891" t="s">
        <v>3693</v>
      </c>
      <c r="J4891" t="s">
        <v>33317</v>
      </c>
      <c r="K4891" t="s">
        <v>39029</v>
      </c>
      <c r="M4891" t="s">
        <v>41120</v>
      </c>
      <c r="N4891" t="s">
        <v>43166</v>
      </c>
      <c r="O4891" t="s">
        <v>43167</v>
      </c>
      <c r="P4891">
        <v>0</v>
      </c>
      <c r="Q4891">
        <v>0</v>
      </c>
      <c r="R4891" t="s">
        <v>43172</v>
      </c>
      <c r="S4891" t="s">
        <v>43334</v>
      </c>
      <c r="T4891" t="s">
        <v>44710</v>
      </c>
      <c r="U4891" t="s">
        <v>49169</v>
      </c>
      <c r="W4891" t="s">
        <v>41120</v>
      </c>
      <c r="X4891" t="s">
        <v>43174</v>
      </c>
    </row>
    <row r="4892" spans="1:24">
      <c r="A4892">
        <f>HYPERLINK("https://www.philgeps.gov.ph/GEPSNONPILOT/Tender/SplashBidNoticeAbstractUI.aspx?menuIndex=3&amp;refID=7078342&amp;Result=3","7078342")</f>
        <v>0</v>
      </c>
      <c r="B4892" t="s">
        <v>685</v>
      </c>
      <c r="C4892" t="s">
        <v>8093</v>
      </c>
      <c r="D4892" t="s">
        <v>17460</v>
      </c>
      <c r="E4892" t="s">
        <v>21751</v>
      </c>
      <c r="F4892" t="s">
        <v>30052</v>
      </c>
      <c r="G4892" t="s">
        <v>30058</v>
      </c>
      <c r="H4892" t="s">
        <v>30067</v>
      </c>
      <c r="I4892" t="s">
        <v>3693</v>
      </c>
      <c r="J4892" t="s">
        <v>33318</v>
      </c>
      <c r="K4892" t="s">
        <v>39023</v>
      </c>
      <c r="M4892" t="s">
        <v>39991</v>
      </c>
      <c r="N4892" t="s">
        <v>43166</v>
      </c>
      <c r="O4892" t="s">
        <v>43167</v>
      </c>
      <c r="P4892">
        <v>0</v>
      </c>
      <c r="Q4892">
        <v>14</v>
      </c>
      <c r="R4892" t="s">
        <v>43172</v>
      </c>
      <c r="S4892" t="s">
        <v>43334</v>
      </c>
      <c r="T4892" t="s">
        <v>44716</v>
      </c>
      <c r="U4892" t="s">
        <v>49170</v>
      </c>
      <c r="W4892" t="s">
        <v>39991</v>
      </c>
      <c r="X4892" t="s">
        <v>43174</v>
      </c>
    </row>
    <row r="4893" spans="1:24">
      <c r="A4893">
        <f>HYPERLINK("https://www.philgeps.gov.ph/GEPSNONPILOT/Tender/SplashBidNoticeAbstractUI.aspx?menuIndex=3&amp;refID=7078176&amp;Result=3","7078176")</f>
        <v>0</v>
      </c>
      <c r="B4893" t="s">
        <v>1691</v>
      </c>
      <c r="C4893" t="s">
        <v>8094</v>
      </c>
      <c r="D4893" t="s">
        <v>17459</v>
      </c>
      <c r="E4893" t="s">
        <v>21752</v>
      </c>
      <c r="F4893" t="s">
        <v>30052</v>
      </c>
      <c r="G4893" t="s">
        <v>30058</v>
      </c>
      <c r="H4893" t="s">
        <v>15498</v>
      </c>
      <c r="I4893" t="s">
        <v>30084</v>
      </c>
      <c r="J4893" t="s">
        <v>33319</v>
      </c>
      <c r="K4893" t="s">
        <v>39019</v>
      </c>
      <c r="M4893" t="s">
        <v>41100</v>
      </c>
      <c r="N4893" t="s">
        <v>43166</v>
      </c>
      <c r="O4893" t="s">
        <v>43167</v>
      </c>
      <c r="P4893">
        <v>0</v>
      </c>
      <c r="Q4893">
        <v>3</v>
      </c>
      <c r="R4893" t="s">
        <v>43172</v>
      </c>
      <c r="S4893" t="s">
        <v>43334</v>
      </c>
      <c r="T4893" t="s">
        <v>44985</v>
      </c>
      <c r="U4893" t="s">
        <v>49171</v>
      </c>
      <c r="W4893" t="s">
        <v>41100</v>
      </c>
      <c r="X4893" t="s">
        <v>43174</v>
      </c>
    </row>
    <row r="4894" spans="1:24">
      <c r="A4894">
        <f>HYPERLINK("https://www.philgeps.gov.ph/GEPSNONPILOT/Tender/SplashBidNoticeAbstractUI.aspx?menuIndex=3&amp;refID=7078318&amp;Result=3","7078318")</f>
        <v>0</v>
      </c>
      <c r="B4894" t="s">
        <v>1170</v>
      </c>
      <c r="C4894" t="s">
        <v>8095</v>
      </c>
      <c r="D4894" t="s">
        <v>17482</v>
      </c>
      <c r="E4894" t="s">
        <v>21753</v>
      </c>
      <c r="F4894" t="s">
        <v>30052</v>
      </c>
      <c r="G4894" t="s">
        <v>30061</v>
      </c>
      <c r="H4894" t="s">
        <v>15498</v>
      </c>
      <c r="I4894" t="s">
        <v>4598</v>
      </c>
      <c r="J4894" t="s">
        <v>30890</v>
      </c>
      <c r="K4894" t="s">
        <v>39025</v>
      </c>
      <c r="M4894" t="s">
        <v>41117</v>
      </c>
      <c r="N4894" t="s">
        <v>43166</v>
      </c>
      <c r="O4894" t="s">
        <v>43167</v>
      </c>
      <c r="P4894">
        <v>0</v>
      </c>
      <c r="Q4894">
        <v>2</v>
      </c>
      <c r="R4894" t="s">
        <v>43172</v>
      </c>
      <c r="S4894" t="s">
        <v>43334</v>
      </c>
      <c r="T4894" t="s">
        <v>44969</v>
      </c>
      <c r="U4894" t="s">
        <v>49172</v>
      </c>
      <c r="V4894" t="s">
        <v>57360</v>
      </c>
      <c r="W4894" t="s">
        <v>41117</v>
      </c>
      <c r="X4894" t="s">
        <v>43174</v>
      </c>
    </row>
    <row r="4895" spans="1:24">
      <c r="A4895">
        <f>HYPERLINK("https://www.philgeps.gov.ph/GEPSNONPILOT/Tender/SplashBidNoticeAbstractUI.aspx?menuIndex=3&amp;refID=7078315&amp;Result=3","7078315")</f>
        <v>0</v>
      </c>
      <c r="B4895" t="s">
        <v>1621</v>
      </c>
      <c r="C4895" t="s">
        <v>8096</v>
      </c>
      <c r="E4895" t="s">
        <v>21754</v>
      </c>
      <c r="F4895" t="s">
        <v>30052</v>
      </c>
      <c r="G4895" t="s">
        <v>30059</v>
      </c>
      <c r="H4895" t="s">
        <v>15498</v>
      </c>
      <c r="I4895" t="s">
        <v>30144</v>
      </c>
      <c r="J4895" t="s">
        <v>30252</v>
      </c>
      <c r="K4895" t="s">
        <v>39029</v>
      </c>
      <c r="M4895" t="s">
        <v>41021</v>
      </c>
      <c r="N4895" t="s">
        <v>43166</v>
      </c>
      <c r="O4895" t="s">
        <v>43167</v>
      </c>
      <c r="P4895">
        <v>0</v>
      </c>
      <c r="Q4895">
        <v>7</v>
      </c>
      <c r="R4895" t="s">
        <v>43172</v>
      </c>
      <c r="S4895" t="s">
        <v>43334</v>
      </c>
      <c r="T4895" t="s">
        <v>44969</v>
      </c>
      <c r="U4895" t="s">
        <v>49173</v>
      </c>
      <c r="W4895" t="s">
        <v>41021</v>
      </c>
      <c r="X4895" t="s">
        <v>43174</v>
      </c>
    </row>
    <row r="4896" spans="1:24">
      <c r="A4896">
        <f>HYPERLINK("https://www.philgeps.gov.ph/GEPSNONPILOT/Tender/SplashBidNoticeAbstractUI.aspx?menuIndex=3&amp;refID=7078296&amp;Result=3","7078296")</f>
        <v>0</v>
      </c>
      <c r="B4896" t="s">
        <v>182</v>
      </c>
      <c r="C4896" t="s">
        <v>8097</v>
      </c>
      <c r="D4896" t="s">
        <v>17420</v>
      </c>
      <c r="E4896" t="s">
        <v>21755</v>
      </c>
      <c r="F4896" t="s">
        <v>30052</v>
      </c>
      <c r="G4896" t="s">
        <v>30058</v>
      </c>
      <c r="H4896" t="s">
        <v>15498</v>
      </c>
      <c r="I4896" t="s">
        <v>30081</v>
      </c>
      <c r="J4896" t="s">
        <v>30302</v>
      </c>
      <c r="K4896" t="s">
        <v>39017</v>
      </c>
      <c r="M4896" t="s">
        <v>39471</v>
      </c>
      <c r="N4896" t="s">
        <v>43166</v>
      </c>
      <c r="O4896" t="s">
        <v>43167</v>
      </c>
      <c r="P4896">
        <v>0</v>
      </c>
      <c r="Q4896">
        <v>0</v>
      </c>
      <c r="R4896" t="s">
        <v>43172</v>
      </c>
      <c r="S4896" t="s">
        <v>43334</v>
      </c>
      <c r="T4896" t="s">
        <v>44733</v>
      </c>
      <c r="U4896" t="s">
        <v>49174</v>
      </c>
      <c r="V4896" t="s">
        <v>57361</v>
      </c>
      <c r="W4896" t="s">
        <v>39471</v>
      </c>
      <c r="X4896" t="s">
        <v>43174</v>
      </c>
    </row>
    <row r="4897" spans="1:24">
      <c r="A4897">
        <f>HYPERLINK("https://www.philgeps.gov.ph/GEPSNONPILOT/Tender/SplashBidNoticeAbstractUI.aspx?menuIndex=3&amp;refID=7078337&amp;Result=3","7078337")</f>
        <v>0</v>
      </c>
      <c r="B4897" t="s">
        <v>208</v>
      </c>
      <c r="C4897" t="s">
        <v>8098</v>
      </c>
      <c r="D4897" t="s">
        <v>17415</v>
      </c>
      <c r="E4897" t="s">
        <v>21756</v>
      </c>
      <c r="F4897" t="s">
        <v>30052</v>
      </c>
      <c r="G4897" t="s">
        <v>30058</v>
      </c>
      <c r="H4897" t="s">
        <v>15498</v>
      </c>
      <c r="I4897" t="s">
        <v>30130</v>
      </c>
      <c r="J4897" t="s">
        <v>33320</v>
      </c>
      <c r="K4897" t="s">
        <v>39025</v>
      </c>
      <c r="M4897" t="s">
        <v>41121</v>
      </c>
      <c r="N4897" t="s">
        <v>43166</v>
      </c>
      <c r="O4897" t="s">
        <v>43167</v>
      </c>
      <c r="P4897">
        <v>0</v>
      </c>
      <c r="Q4897">
        <v>18</v>
      </c>
      <c r="R4897" t="s">
        <v>43172</v>
      </c>
      <c r="S4897" t="s">
        <v>43334</v>
      </c>
      <c r="T4897" t="s">
        <v>44828</v>
      </c>
      <c r="U4897" t="s">
        <v>49175</v>
      </c>
      <c r="V4897" t="s">
        <v>57362</v>
      </c>
      <c r="W4897" t="s">
        <v>41121</v>
      </c>
      <c r="X4897" t="s">
        <v>43174</v>
      </c>
    </row>
    <row r="4898" spans="1:24">
      <c r="A4898">
        <f>HYPERLINK("https://www.philgeps.gov.ph/GEPSNONPILOT/Tender/SplashBidNoticeAbstractUI.aspx?menuIndex=3&amp;refID=7078325&amp;Result=3","7078325")</f>
        <v>0</v>
      </c>
      <c r="B4898" t="s">
        <v>1172</v>
      </c>
      <c r="C4898" t="s">
        <v>8099</v>
      </c>
      <c r="D4898" t="s">
        <v>17466</v>
      </c>
      <c r="E4898" t="s">
        <v>21757</v>
      </c>
      <c r="F4898" t="s">
        <v>30052</v>
      </c>
      <c r="G4898" t="s">
        <v>30059</v>
      </c>
      <c r="H4898" t="s">
        <v>15498</v>
      </c>
      <c r="I4898" t="s">
        <v>4598</v>
      </c>
      <c r="J4898" t="s">
        <v>33321</v>
      </c>
      <c r="K4898" t="s">
        <v>39037</v>
      </c>
      <c r="M4898" t="s">
        <v>40520</v>
      </c>
      <c r="N4898" t="s">
        <v>43166</v>
      </c>
      <c r="O4898" t="s">
        <v>43167</v>
      </c>
      <c r="P4898">
        <v>0</v>
      </c>
      <c r="Q4898">
        <v>4</v>
      </c>
      <c r="R4898" t="s">
        <v>43172</v>
      </c>
      <c r="S4898" t="s">
        <v>43334</v>
      </c>
      <c r="T4898" t="s">
        <v>44685</v>
      </c>
      <c r="U4898" t="s">
        <v>47744</v>
      </c>
      <c r="W4898" t="s">
        <v>58626</v>
      </c>
      <c r="X4898" t="s">
        <v>43174</v>
      </c>
    </row>
    <row r="4899" spans="1:24">
      <c r="A4899">
        <f>HYPERLINK("https://www.philgeps.gov.ph/GEPSNONPILOT/Tender/SplashBidNoticeAbstractUI.aspx?menuIndex=3&amp;refID=7078279&amp;Result=3","7078279")</f>
        <v>0</v>
      </c>
      <c r="B4899" t="s">
        <v>182</v>
      </c>
      <c r="C4899" t="s">
        <v>8100</v>
      </c>
      <c r="D4899" t="s">
        <v>17420</v>
      </c>
      <c r="E4899" t="s">
        <v>21758</v>
      </c>
      <c r="F4899" t="s">
        <v>30052</v>
      </c>
      <c r="G4899" t="s">
        <v>30058</v>
      </c>
      <c r="H4899" t="s">
        <v>15498</v>
      </c>
      <c r="I4899" t="s">
        <v>4650</v>
      </c>
      <c r="J4899" t="s">
        <v>33322</v>
      </c>
      <c r="K4899" t="s">
        <v>39017</v>
      </c>
      <c r="M4899" t="s">
        <v>39471</v>
      </c>
      <c r="N4899" t="s">
        <v>43166</v>
      </c>
      <c r="O4899" t="s">
        <v>43167</v>
      </c>
      <c r="P4899">
        <v>0</v>
      </c>
      <c r="Q4899">
        <v>1</v>
      </c>
      <c r="R4899" t="s">
        <v>43172</v>
      </c>
      <c r="S4899" t="s">
        <v>43334</v>
      </c>
      <c r="T4899" t="s">
        <v>44733</v>
      </c>
      <c r="U4899" t="s">
        <v>49176</v>
      </c>
      <c r="V4899" t="s">
        <v>57363</v>
      </c>
      <c r="W4899" t="s">
        <v>39471</v>
      </c>
      <c r="X4899" t="s">
        <v>43174</v>
      </c>
    </row>
    <row r="4900" spans="1:24">
      <c r="A4900">
        <f>HYPERLINK("https://www.philgeps.gov.ph/GEPSNONPILOT/Tender/SplashBidNoticeAbstractUI.aspx?menuIndex=3&amp;refID=7078277&amp;Result=3","7078277")</f>
        <v>0</v>
      </c>
      <c r="B4900" t="s">
        <v>1172</v>
      </c>
      <c r="C4900" t="s">
        <v>8101</v>
      </c>
      <c r="D4900" t="s">
        <v>17466</v>
      </c>
      <c r="E4900" t="s">
        <v>21759</v>
      </c>
      <c r="F4900" t="s">
        <v>30052</v>
      </c>
      <c r="G4900" t="s">
        <v>30059</v>
      </c>
      <c r="H4900" t="s">
        <v>15498</v>
      </c>
      <c r="I4900" t="s">
        <v>3736</v>
      </c>
      <c r="J4900" t="s">
        <v>33323</v>
      </c>
      <c r="K4900" t="s">
        <v>39037</v>
      </c>
      <c r="M4900" t="s">
        <v>40520</v>
      </c>
      <c r="N4900" t="s">
        <v>43166</v>
      </c>
      <c r="O4900" t="s">
        <v>43167</v>
      </c>
      <c r="P4900">
        <v>0</v>
      </c>
      <c r="Q4900">
        <v>0</v>
      </c>
      <c r="R4900" t="s">
        <v>43172</v>
      </c>
      <c r="S4900" t="s">
        <v>43334</v>
      </c>
      <c r="T4900" t="s">
        <v>44943</v>
      </c>
      <c r="U4900" t="s">
        <v>47744</v>
      </c>
      <c r="W4900" t="s">
        <v>58626</v>
      </c>
      <c r="X4900" t="s">
        <v>43174</v>
      </c>
    </row>
    <row r="4901" spans="1:24">
      <c r="A4901">
        <f>HYPERLINK("https://www.philgeps.gov.ph/GEPSNONPILOT/Tender/SplashBidNoticeAbstractUI.aspx?menuIndex=3&amp;refID=7078273&amp;Result=3","7078273")</f>
        <v>0</v>
      </c>
      <c r="B4901" t="s">
        <v>1170</v>
      </c>
      <c r="C4901" t="s">
        <v>5187</v>
      </c>
      <c r="D4901" t="s">
        <v>17482</v>
      </c>
      <c r="E4901" t="s">
        <v>21760</v>
      </c>
      <c r="F4901" t="s">
        <v>30052</v>
      </c>
      <c r="G4901" t="s">
        <v>30061</v>
      </c>
      <c r="H4901" t="s">
        <v>15498</v>
      </c>
      <c r="I4901" t="s">
        <v>30084</v>
      </c>
      <c r="J4901" t="s">
        <v>30402</v>
      </c>
      <c r="K4901" t="s">
        <v>39025</v>
      </c>
      <c r="M4901" t="s">
        <v>41117</v>
      </c>
      <c r="N4901" t="s">
        <v>43166</v>
      </c>
      <c r="O4901" t="s">
        <v>43167</v>
      </c>
      <c r="P4901">
        <v>0</v>
      </c>
      <c r="Q4901">
        <v>0</v>
      </c>
      <c r="R4901" t="s">
        <v>43172</v>
      </c>
      <c r="S4901" t="s">
        <v>43334</v>
      </c>
      <c r="T4901" t="s">
        <v>44969</v>
      </c>
      <c r="U4901" t="s">
        <v>49177</v>
      </c>
      <c r="V4901" t="s">
        <v>57364</v>
      </c>
      <c r="W4901" t="s">
        <v>41117</v>
      </c>
      <c r="X4901" t="s">
        <v>43174</v>
      </c>
    </row>
    <row r="4902" spans="1:24">
      <c r="A4902">
        <f>HYPERLINK("https://www.philgeps.gov.ph/GEPSNONPILOT/Tender/SplashBidNoticeAbstractUI.aspx?menuIndex=3&amp;refID=7078264&amp;Result=3","7078264")</f>
        <v>0</v>
      </c>
      <c r="B4902" t="s">
        <v>1170</v>
      </c>
      <c r="C4902" t="s">
        <v>4790</v>
      </c>
      <c r="D4902" t="s">
        <v>17482</v>
      </c>
      <c r="E4902" t="s">
        <v>21761</v>
      </c>
      <c r="F4902" t="s">
        <v>30052</v>
      </c>
      <c r="G4902" t="s">
        <v>30061</v>
      </c>
      <c r="H4902" t="s">
        <v>15498</v>
      </c>
      <c r="I4902" t="s">
        <v>4119</v>
      </c>
      <c r="J4902" t="s">
        <v>33324</v>
      </c>
      <c r="K4902" t="s">
        <v>39025</v>
      </c>
      <c r="M4902" t="s">
        <v>41117</v>
      </c>
      <c r="N4902" t="s">
        <v>43166</v>
      </c>
      <c r="O4902" t="s">
        <v>43167</v>
      </c>
      <c r="P4902">
        <v>0</v>
      </c>
      <c r="Q4902">
        <v>3</v>
      </c>
      <c r="R4902" t="s">
        <v>43172</v>
      </c>
      <c r="S4902" t="s">
        <v>43334</v>
      </c>
      <c r="T4902" t="s">
        <v>44969</v>
      </c>
      <c r="U4902" t="s">
        <v>49178</v>
      </c>
      <c r="V4902" t="s">
        <v>57365</v>
      </c>
      <c r="W4902" t="s">
        <v>41117</v>
      </c>
      <c r="X4902" t="s">
        <v>43174</v>
      </c>
    </row>
    <row r="4903" spans="1:24">
      <c r="A4903">
        <f>HYPERLINK("https://www.philgeps.gov.ph/GEPSNONPILOT/Tender/SplashBidNoticeAbstractUI.aspx?menuIndex=3&amp;refID=7078300&amp;Result=3","7078300")</f>
        <v>0</v>
      </c>
      <c r="B4903" t="s">
        <v>1170</v>
      </c>
      <c r="C4903" t="s">
        <v>8102</v>
      </c>
      <c r="D4903" t="s">
        <v>17482</v>
      </c>
      <c r="E4903" t="s">
        <v>21762</v>
      </c>
      <c r="F4903" t="s">
        <v>30052</v>
      </c>
      <c r="G4903" t="s">
        <v>30059</v>
      </c>
      <c r="H4903" t="s">
        <v>15498</v>
      </c>
      <c r="I4903" t="s">
        <v>30094</v>
      </c>
      <c r="J4903" t="s">
        <v>33325</v>
      </c>
      <c r="K4903" t="s">
        <v>39025</v>
      </c>
      <c r="M4903" t="s">
        <v>41117</v>
      </c>
      <c r="N4903" t="s">
        <v>43166</v>
      </c>
      <c r="O4903" t="s">
        <v>43167</v>
      </c>
      <c r="P4903">
        <v>0</v>
      </c>
      <c r="Q4903">
        <v>0</v>
      </c>
      <c r="R4903" t="s">
        <v>43172</v>
      </c>
      <c r="S4903" t="s">
        <v>43334</v>
      </c>
      <c r="T4903" t="s">
        <v>44969</v>
      </c>
      <c r="U4903" t="s">
        <v>49179</v>
      </c>
      <c r="V4903" t="s">
        <v>57366</v>
      </c>
      <c r="W4903" t="s">
        <v>41117</v>
      </c>
      <c r="X4903" t="s">
        <v>43174</v>
      </c>
    </row>
    <row r="4904" spans="1:24">
      <c r="A4904">
        <f>HYPERLINK("https://www.philgeps.gov.ph/GEPSNONPILOT/Tender/SplashBidNoticeAbstractUI.aspx?menuIndex=3&amp;refID=7078261&amp;Result=3","7078261")</f>
        <v>0</v>
      </c>
      <c r="B4904" t="s">
        <v>1707</v>
      </c>
      <c r="C4904" t="s">
        <v>8103</v>
      </c>
      <c r="D4904" t="s">
        <v>17422</v>
      </c>
      <c r="E4904" t="s">
        <v>21763</v>
      </c>
      <c r="F4904" t="s">
        <v>30052</v>
      </c>
      <c r="G4904" t="s">
        <v>30058</v>
      </c>
      <c r="H4904" t="s">
        <v>15498</v>
      </c>
      <c r="I4904" t="s">
        <v>3736</v>
      </c>
      <c r="J4904" t="s">
        <v>33326</v>
      </c>
      <c r="K4904" t="s">
        <v>39037</v>
      </c>
      <c r="M4904" t="s">
        <v>41122</v>
      </c>
      <c r="N4904" t="s">
        <v>43166</v>
      </c>
      <c r="O4904" t="s">
        <v>43167</v>
      </c>
      <c r="P4904">
        <v>0</v>
      </c>
      <c r="Q4904">
        <v>0</v>
      </c>
      <c r="R4904" t="s">
        <v>43172</v>
      </c>
      <c r="S4904" t="s">
        <v>43334</v>
      </c>
      <c r="T4904" t="s">
        <v>44684</v>
      </c>
      <c r="U4904" t="s">
        <v>46487</v>
      </c>
      <c r="V4904" t="s">
        <v>57367</v>
      </c>
      <c r="W4904" t="s">
        <v>41122</v>
      </c>
      <c r="X4904" t="s">
        <v>43174</v>
      </c>
    </row>
    <row r="4905" spans="1:24">
      <c r="A4905">
        <f>HYPERLINK("https://www.philgeps.gov.ph/GEPSNONPILOT/Tender/SplashBidNoticeAbstractUI.aspx?menuIndex=3&amp;refID=7078290&amp;Result=3","7078290")</f>
        <v>0</v>
      </c>
      <c r="B4905" t="s">
        <v>226</v>
      </c>
      <c r="C4905" t="s">
        <v>8104</v>
      </c>
      <c r="D4905" t="s">
        <v>17427</v>
      </c>
      <c r="E4905" t="s">
        <v>21764</v>
      </c>
      <c r="F4905" t="s">
        <v>30052</v>
      </c>
      <c r="G4905" t="s">
        <v>30058</v>
      </c>
      <c r="H4905" t="s">
        <v>15498</v>
      </c>
      <c r="I4905" t="s">
        <v>30074</v>
      </c>
      <c r="J4905" t="s">
        <v>30397</v>
      </c>
      <c r="K4905" t="s">
        <v>39046</v>
      </c>
      <c r="M4905" t="s">
        <v>39516</v>
      </c>
      <c r="N4905" t="s">
        <v>43166</v>
      </c>
      <c r="O4905" t="s">
        <v>43167</v>
      </c>
      <c r="P4905">
        <v>0</v>
      </c>
      <c r="Q4905">
        <v>3</v>
      </c>
      <c r="R4905" t="s">
        <v>43172</v>
      </c>
      <c r="S4905" t="s">
        <v>43334</v>
      </c>
      <c r="T4905" t="s">
        <v>44828</v>
      </c>
      <c r="U4905" t="s">
        <v>49180</v>
      </c>
      <c r="W4905" t="s">
        <v>39516</v>
      </c>
      <c r="X4905" t="s">
        <v>43174</v>
      </c>
    </row>
    <row r="4906" spans="1:24">
      <c r="A4906">
        <f>HYPERLINK("https://www.philgeps.gov.ph/GEPSNONPILOT/Tender/SplashBidNoticeAbstractUI.aspx?menuIndex=3&amp;refID=7077942&amp;Result=3","7077942")</f>
        <v>0</v>
      </c>
      <c r="B4906" t="s">
        <v>583</v>
      </c>
      <c r="C4906" t="s">
        <v>8105</v>
      </c>
      <c r="D4906" t="s">
        <v>17494</v>
      </c>
      <c r="E4906" t="s">
        <v>21765</v>
      </c>
      <c r="F4906" t="s">
        <v>30052</v>
      </c>
      <c r="G4906" t="s">
        <v>30059</v>
      </c>
      <c r="H4906" t="s">
        <v>15498</v>
      </c>
      <c r="I4906" t="s">
        <v>4598</v>
      </c>
      <c r="J4906" t="s">
        <v>31654</v>
      </c>
      <c r="K4906" t="s">
        <v>39017</v>
      </c>
      <c r="M4906" t="s">
        <v>39885</v>
      </c>
      <c r="N4906" t="s">
        <v>43166</v>
      </c>
      <c r="O4906" t="s">
        <v>43167</v>
      </c>
      <c r="P4906">
        <v>0</v>
      </c>
      <c r="Q4906">
        <v>2</v>
      </c>
      <c r="R4906" t="s">
        <v>43172</v>
      </c>
      <c r="S4906" t="s">
        <v>43334</v>
      </c>
      <c r="T4906" t="s">
        <v>44714</v>
      </c>
      <c r="U4906" t="s">
        <v>49181</v>
      </c>
      <c r="W4906" t="s">
        <v>39885</v>
      </c>
      <c r="X4906" t="s">
        <v>43174</v>
      </c>
    </row>
    <row r="4907" spans="1:24">
      <c r="A4907">
        <f>HYPERLINK("https://www.philgeps.gov.ph/GEPSNONPILOT/Tender/SplashBidNoticeAbstractUI.aspx?menuIndex=3&amp;refID=7078274&amp;Result=3","7078274")</f>
        <v>0</v>
      </c>
      <c r="B4907" t="s">
        <v>1674</v>
      </c>
      <c r="C4907" t="s">
        <v>8106</v>
      </c>
      <c r="D4907" t="s">
        <v>17466</v>
      </c>
      <c r="E4907" t="s">
        <v>21766</v>
      </c>
      <c r="F4907" t="s">
        <v>30052</v>
      </c>
      <c r="G4907" t="s">
        <v>30058</v>
      </c>
      <c r="H4907" t="s">
        <v>15498</v>
      </c>
      <c r="I4907" t="s">
        <v>30081</v>
      </c>
      <c r="J4907" t="s">
        <v>33327</v>
      </c>
      <c r="K4907" t="s">
        <v>39025</v>
      </c>
      <c r="M4907" t="s">
        <v>41081</v>
      </c>
      <c r="N4907" t="s">
        <v>43166</v>
      </c>
      <c r="O4907" t="s">
        <v>43167</v>
      </c>
      <c r="P4907">
        <v>0</v>
      </c>
      <c r="Q4907">
        <v>0</v>
      </c>
      <c r="R4907" t="s">
        <v>43172</v>
      </c>
      <c r="S4907" t="s">
        <v>43334</v>
      </c>
      <c r="T4907" t="s">
        <v>44685</v>
      </c>
      <c r="U4907" t="s">
        <v>49088</v>
      </c>
      <c r="W4907" t="s">
        <v>41081</v>
      </c>
      <c r="X4907" t="s">
        <v>43174</v>
      </c>
    </row>
    <row r="4908" spans="1:24">
      <c r="A4908">
        <f>HYPERLINK("https://www.philgeps.gov.ph/GEPSNONPILOT/Tender/SplashBidNoticeAbstractUI.aspx?menuIndex=3&amp;refID=7077941&amp;Result=3","7077941")</f>
        <v>0</v>
      </c>
      <c r="B4908" t="s">
        <v>1696</v>
      </c>
      <c r="C4908" t="s">
        <v>8107</v>
      </c>
      <c r="D4908" t="s">
        <v>17422</v>
      </c>
      <c r="E4908" t="s">
        <v>19663</v>
      </c>
      <c r="F4908" t="s">
        <v>30052</v>
      </c>
      <c r="G4908" t="s">
        <v>30058</v>
      </c>
      <c r="H4908" t="s">
        <v>15498</v>
      </c>
      <c r="I4908" t="s">
        <v>3606</v>
      </c>
      <c r="J4908" t="s">
        <v>33328</v>
      </c>
      <c r="K4908" t="s">
        <v>39017</v>
      </c>
      <c r="M4908" t="s">
        <v>41105</v>
      </c>
      <c r="N4908" t="s">
        <v>43166</v>
      </c>
      <c r="O4908" t="s">
        <v>43167</v>
      </c>
      <c r="P4908">
        <v>0</v>
      </c>
      <c r="Q4908">
        <v>11</v>
      </c>
      <c r="R4908" t="s">
        <v>43172</v>
      </c>
      <c r="S4908" t="s">
        <v>43334</v>
      </c>
      <c r="T4908" t="s">
        <v>44828</v>
      </c>
      <c r="U4908" t="s">
        <v>49182</v>
      </c>
      <c r="W4908" t="s">
        <v>41105</v>
      </c>
      <c r="X4908" t="s">
        <v>43174</v>
      </c>
    </row>
    <row r="4909" spans="1:24">
      <c r="A4909">
        <f>HYPERLINK("https://www.philgeps.gov.ph/GEPSNONPILOT/Tender/SplashBidNoticeAbstractUI.aspx?menuIndex=3&amp;refID=7078263&amp;Result=3","7078263")</f>
        <v>0</v>
      </c>
      <c r="B4909" t="s">
        <v>208</v>
      </c>
      <c r="C4909" t="s">
        <v>8108</v>
      </c>
      <c r="D4909" t="s">
        <v>17415</v>
      </c>
      <c r="E4909" t="s">
        <v>21767</v>
      </c>
      <c r="F4909" t="s">
        <v>30052</v>
      </c>
      <c r="G4909" t="s">
        <v>30058</v>
      </c>
      <c r="H4909" t="s">
        <v>15498</v>
      </c>
      <c r="I4909" t="s">
        <v>30130</v>
      </c>
      <c r="J4909" t="s">
        <v>33329</v>
      </c>
      <c r="K4909" t="s">
        <v>39025</v>
      </c>
      <c r="M4909" t="s">
        <v>39498</v>
      </c>
      <c r="N4909" t="s">
        <v>43166</v>
      </c>
      <c r="O4909" t="s">
        <v>43167</v>
      </c>
      <c r="P4909">
        <v>0</v>
      </c>
      <c r="Q4909">
        <v>17</v>
      </c>
      <c r="R4909" t="s">
        <v>43172</v>
      </c>
      <c r="S4909" t="s">
        <v>43334</v>
      </c>
      <c r="T4909" t="s">
        <v>44828</v>
      </c>
      <c r="U4909" t="s">
        <v>49183</v>
      </c>
      <c r="W4909" t="s">
        <v>39498</v>
      </c>
      <c r="X4909" t="s">
        <v>43174</v>
      </c>
    </row>
    <row r="4910" spans="1:24">
      <c r="A4910">
        <f>HYPERLINK("https://www.philgeps.gov.ph/GEPSNONPILOT/Tender/SplashBidNoticeAbstractUI.aspx?menuIndex=3&amp;refID=7077933&amp;Result=3","7077933")</f>
        <v>0</v>
      </c>
      <c r="B4910" t="s">
        <v>1708</v>
      </c>
      <c r="C4910" t="s">
        <v>8109</v>
      </c>
      <c r="D4910" t="s">
        <v>17466</v>
      </c>
      <c r="E4910" t="s">
        <v>21768</v>
      </c>
      <c r="F4910" t="s">
        <v>30052</v>
      </c>
      <c r="G4910" t="s">
        <v>30064</v>
      </c>
      <c r="H4910" t="s">
        <v>15498</v>
      </c>
      <c r="I4910" t="s">
        <v>3852</v>
      </c>
      <c r="J4910" t="s">
        <v>30763</v>
      </c>
      <c r="K4910" t="s">
        <v>39018</v>
      </c>
      <c r="M4910" t="s">
        <v>41123</v>
      </c>
      <c r="N4910" t="s">
        <v>43166</v>
      </c>
      <c r="O4910" t="s">
        <v>43167</v>
      </c>
      <c r="P4910">
        <v>0</v>
      </c>
      <c r="Q4910">
        <v>1</v>
      </c>
      <c r="R4910" t="s">
        <v>43172</v>
      </c>
      <c r="S4910" t="s">
        <v>43334</v>
      </c>
      <c r="T4910" t="s">
        <v>44843</v>
      </c>
      <c r="U4910" t="s">
        <v>49184</v>
      </c>
      <c r="W4910" t="s">
        <v>41123</v>
      </c>
      <c r="X4910" t="s">
        <v>43174</v>
      </c>
    </row>
    <row r="4911" spans="1:24">
      <c r="A4911">
        <f>HYPERLINK("https://www.philgeps.gov.ph/GEPSNONPILOT/Tender/SplashBidNoticeAbstractUI.aspx?menuIndex=3&amp;refID=7077915&amp;Result=3","7077915")</f>
        <v>0</v>
      </c>
      <c r="B4911" t="s">
        <v>1709</v>
      </c>
      <c r="C4911" t="s">
        <v>8110</v>
      </c>
      <c r="D4911" t="s">
        <v>17466</v>
      </c>
      <c r="E4911" t="s">
        <v>18034</v>
      </c>
      <c r="F4911" t="s">
        <v>30052</v>
      </c>
      <c r="G4911" t="s">
        <v>30058</v>
      </c>
      <c r="H4911" t="s">
        <v>15498</v>
      </c>
      <c r="I4911" t="s">
        <v>30070</v>
      </c>
      <c r="J4911" t="s">
        <v>33330</v>
      </c>
      <c r="K4911" t="s">
        <v>39019</v>
      </c>
      <c r="M4911" t="s">
        <v>41124</v>
      </c>
      <c r="N4911" t="s">
        <v>43166</v>
      </c>
      <c r="O4911" t="s">
        <v>43167</v>
      </c>
      <c r="P4911">
        <v>0</v>
      </c>
      <c r="Q4911">
        <v>2</v>
      </c>
      <c r="R4911" t="s">
        <v>43172</v>
      </c>
      <c r="S4911" t="s">
        <v>43334</v>
      </c>
      <c r="T4911" t="s">
        <v>45006</v>
      </c>
      <c r="U4911" t="s">
        <v>49185</v>
      </c>
      <c r="W4911" t="s">
        <v>41124</v>
      </c>
      <c r="X4911" t="s">
        <v>43174</v>
      </c>
    </row>
    <row r="4912" spans="1:24">
      <c r="A4912">
        <f>HYPERLINK("https://www.philgeps.gov.ph/GEPSNONPILOT/Tender/SplashBidNoticeAbstractUI.aspx?menuIndex=3&amp;refID=7077899&amp;Result=3","7077899")</f>
        <v>0</v>
      </c>
      <c r="B4912" t="s">
        <v>583</v>
      </c>
      <c r="C4912" t="s">
        <v>8111</v>
      </c>
      <c r="D4912" t="s">
        <v>17494</v>
      </c>
      <c r="E4912" t="s">
        <v>21769</v>
      </c>
      <c r="F4912" t="s">
        <v>30052</v>
      </c>
      <c r="G4912" t="s">
        <v>30059</v>
      </c>
      <c r="H4912" t="s">
        <v>15498</v>
      </c>
      <c r="I4912" t="s">
        <v>4650</v>
      </c>
      <c r="J4912" t="s">
        <v>30277</v>
      </c>
      <c r="K4912" t="s">
        <v>39017</v>
      </c>
      <c r="M4912" t="s">
        <v>39885</v>
      </c>
      <c r="N4912" t="s">
        <v>43166</v>
      </c>
      <c r="O4912" t="s">
        <v>43167</v>
      </c>
      <c r="P4912">
        <v>0</v>
      </c>
      <c r="Q4912">
        <v>0</v>
      </c>
      <c r="R4912" t="s">
        <v>43172</v>
      </c>
      <c r="S4912" t="s">
        <v>43334</v>
      </c>
      <c r="T4912" t="s">
        <v>44714</v>
      </c>
      <c r="U4912" t="s">
        <v>49186</v>
      </c>
      <c r="W4912" t="s">
        <v>39885</v>
      </c>
      <c r="X4912" t="s">
        <v>43174</v>
      </c>
    </row>
    <row r="4913" spans="1:24">
      <c r="A4913">
        <f>HYPERLINK("https://www.philgeps.gov.ph/GEPSNONPILOT/Tender/SplashBidNoticeAbstractUI.aspx?menuIndex=3&amp;refID=7077854&amp;Result=3","7077854")</f>
        <v>0</v>
      </c>
      <c r="B4913" t="s">
        <v>1054</v>
      </c>
      <c r="C4913" t="s">
        <v>8112</v>
      </c>
      <c r="D4913" t="s">
        <v>17462</v>
      </c>
      <c r="E4913" t="s">
        <v>21770</v>
      </c>
      <c r="F4913" t="s">
        <v>30052</v>
      </c>
      <c r="G4913" t="s">
        <v>30058</v>
      </c>
      <c r="H4913" t="s">
        <v>15498</v>
      </c>
      <c r="I4913" t="s">
        <v>30092</v>
      </c>
      <c r="J4913" t="s">
        <v>33331</v>
      </c>
      <c r="K4913" t="s">
        <v>39029</v>
      </c>
      <c r="M4913" t="s">
        <v>40387</v>
      </c>
      <c r="N4913" t="s">
        <v>43166</v>
      </c>
      <c r="O4913" t="s">
        <v>43167</v>
      </c>
      <c r="P4913">
        <v>0</v>
      </c>
      <c r="Q4913">
        <v>1</v>
      </c>
      <c r="R4913" t="s">
        <v>43172</v>
      </c>
      <c r="S4913" t="s">
        <v>43334</v>
      </c>
      <c r="T4913" t="s">
        <v>44708</v>
      </c>
      <c r="U4913" t="s">
        <v>49187</v>
      </c>
      <c r="V4913" t="s">
        <v>57133</v>
      </c>
      <c r="W4913" t="s">
        <v>40387</v>
      </c>
      <c r="X4913" t="s">
        <v>43174</v>
      </c>
    </row>
    <row r="4914" spans="1:24">
      <c r="A4914">
        <f>HYPERLINK("https://www.philgeps.gov.ph/GEPSNONPILOT/Tender/SplashBidNoticeAbstractUI.aspx?menuIndex=3&amp;refID=7078109&amp;Result=3","7078109")</f>
        <v>0</v>
      </c>
      <c r="B4914" t="s">
        <v>1690</v>
      </c>
      <c r="C4914" t="s">
        <v>8113</v>
      </c>
      <c r="D4914" t="s">
        <v>17454</v>
      </c>
      <c r="E4914" t="s">
        <v>21771</v>
      </c>
      <c r="F4914" t="s">
        <v>30052</v>
      </c>
      <c r="G4914" t="s">
        <v>30061</v>
      </c>
      <c r="H4914" t="s">
        <v>15498</v>
      </c>
      <c r="I4914" t="s">
        <v>4119</v>
      </c>
      <c r="J4914" t="s">
        <v>33332</v>
      </c>
      <c r="K4914" t="s">
        <v>39032</v>
      </c>
      <c r="M4914" t="s">
        <v>41099</v>
      </c>
      <c r="N4914" t="s">
        <v>43166</v>
      </c>
      <c r="O4914" t="s">
        <v>43167</v>
      </c>
      <c r="P4914">
        <v>0</v>
      </c>
      <c r="Q4914">
        <v>5</v>
      </c>
      <c r="R4914" t="s">
        <v>43172</v>
      </c>
      <c r="S4914" t="s">
        <v>43334</v>
      </c>
      <c r="T4914" t="s">
        <v>44678</v>
      </c>
      <c r="U4914" t="s">
        <v>49188</v>
      </c>
      <c r="V4914" t="s">
        <v>57353</v>
      </c>
      <c r="W4914" t="s">
        <v>41099</v>
      </c>
      <c r="X4914" t="s">
        <v>43174</v>
      </c>
    </row>
    <row r="4915" spans="1:24">
      <c r="A4915">
        <f>HYPERLINK("https://www.philgeps.gov.ph/GEPSNONPILOT/Tender/SplashBidNoticeAbstractUI.aspx?menuIndex=3&amp;refID=7077346&amp;Result=3","7077346")</f>
        <v>0</v>
      </c>
      <c r="B4915" t="s">
        <v>1710</v>
      </c>
      <c r="C4915" t="s">
        <v>8114</v>
      </c>
      <c r="D4915" t="s">
        <v>17414</v>
      </c>
      <c r="E4915" t="s">
        <v>19296</v>
      </c>
      <c r="F4915" t="s">
        <v>30052</v>
      </c>
      <c r="G4915" t="s">
        <v>30059</v>
      </c>
      <c r="H4915" t="s">
        <v>15498</v>
      </c>
      <c r="I4915" t="s">
        <v>30074</v>
      </c>
      <c r="J4915" t="s">
        <v>30230</v>
      </c>
      <c r="K4915" t="s">
        <v>39037</v>
      </c>
      <c r="M4915" t="s">
        <v>41125</v>
      </c>
      <c r="N4915" t="s">
        <v>43166</v>
      </c>
      <c r="O4915" t="s">
        <v>43167</v>
      </c>
      <c r="P4915">
        <v>0</v>
      </c>
      <c r="Q4915">
        <v>1</v>
      </c>
      <c r="R4915" t="s">
        <v>43172</v>
      </c>
      <c r="S4915" t="s">
        <v>43334</v>
      </c>
      <c r="T4915" t="s">
        <v>44864</v>
      </c>
      <c r="U4915" t="s">
        <v>48983</v>
      </c>
      <c r="W4915" t="s">
        <v>41125</v>
      </c>
      <c r="X4915" t="s">
        <v>43174</v>
      </c>
    </row>
    <row r="4916" spans="1:24">
      <c r="A4916">
        <f>HYPERLINK("https://www.philgeps.gov.ph/GEPSNONPILOT/Tender/SplashBidNoticeAbstractUI.aspx?menuIndex=3&amp;refID=7078252&amp;Result=3","7078252")</f>
        <v>0</v>
      </c>
      <c r="B4916" t="s">
        <v>1170</v>
      </c>
      <c r="C4916" t="s">
        <v>4790</v>
      </c>
      <c r="D4916" t="s">
        <v>17482</v>
      </c>
      <c r="E4916" t="s">
        <v>21772</v>
      </c>
      <c r="F4916" t="s">
        <v>30052</v>
      </c>
      <c r="G4916" t="s">
        <v>30061</v>
      </c>
      <c r="H4916" t="s">
        <v>15498</v>
      </c>
      <c r="I4916" t="s">
        <v>30070</v>
      </c>
      <c r="J4916" t="s">
        <v>33333</v>
      </c>
      <c r="K4916" t="s">
        <v>39025</v>
      </c>
      <c r="M4916" t="s">
        <v>41117</v>
      </c>
      <c r="N4916" t="s">
        <v>43166</v>
      </c>
      <c r="O4916" t="s">
        <v>43167</v>
      </c>
      <c r="P4916">
        <v>0</v>
      </c>
      <c r="Q4916">
        <v>0</v>
      </c>
      <c r="R4916" t="s">
        <v>43172</v>
      </c>
      <c r="S4916" t="s">
        <v>43334</v>
      </c>
      <c r="T4916" t="s">
        <v>44969</v>
      </c>
      <c r="U4916" t="s">
        <v>49189</v>
      </c>
      <c r="V4916" t="s">
        <v>57368</v>
      </c>
      <c r="W4916" t="s">
        <v>41117</v>
      </c>
      <c r="X4916" t="s">
        <v>43174</v>
      </c>
    </row>
    <row r="4917" spans="1:24">
      <c r="A4917">
        <f>HYPERLINK("https://www.philgeps.gov.ph/GEPSNONPILOT/Tender/SplashBidNoticeAbstractUI.aspx?menuIndex=3&amp;refID=7077927&amp;Result=3","7077927")</f>
        <v>0</v>
      </c>
      <c r="B4917" t="s">
        <v>1691</v>
      </c>
      <c r="C4917" t="s">
        <v>8115</v>
      </c>
      <c r="D4917" t="s">
        <v>17459</v>
      </c>
      <c r="E4917" t="s">
        <v>21773</v>
      </c>
      <c r="F4917" t="s">
        <v>30052</v>
      </c>
      <c r="G4917" t="s">
        <v>30058</v>
      </c>
      <c r="H4917" t="s">
        <v>15498</v>
      </c>
      <c r="I4917" t="s">
        <v>30144</v>
      </c>
      <c r="J4917" t="s">
        <v>30343</v>
      </c>
      <c r="K4917" t="s">
        <v>39019</v>
      </c>
      <c r="M4917" t="s">
        <v>41100</v>
      </c>
      <c r="N4917" t="s">
        <v>43166</v>
      </c>
      <c r="O4917" t="s">
        <v>43167</v>
      </c>
      <c r="P4917">
        <v>0</v>
      </c>
      <c r="Q4917">
        <v>0</v>
      </c>
      <c r="R4917" t="s">
        <v>43172</v>
      </c>
      <c r="S4917" t="s">
        <v>43334</v>
      </c>
      <c r="T4917" t="s">
        <v>44985</v>
      </c>
      <c r="U4917" t="s">
        <v>49190</v>
      </c>
      <c r="W4917" t="s">
        <v>41100</v>
      </c>
      <c r="X4917" t="s">
        <v>43174</v>
      </c>
    </row>
    <row r="4918" spans="1:24">
      <c r="A4918">
        <f>HYPERLINK("https://www.philgeps.gov.ph/GEPSNONPILOT/Tender/SplashBidNoticeAbstractUI.aspx?menuIndex=3&amp;refID=7078469&amp;Result=3","7078469")</f>
        <v>0</v>
      </c>
      <c r="B4918" t="s">
        <v>74</v>
      </c>
      <c r="C4918" t="s">
        <v>8116</v>
      </c>
      <c r="E4918" t="s">
        <v>21774</v>
      </c>
      <c r="F4918" t="s">
        <v>30052</v>
      </c>
      <c r="G4918" t="s">
        <v>30058</v>
      </c>
      <c r="H4918" t="s">
        <v>30067</v>
      </c>
      <c r="I4918" t="s">
        <v>3693</v>
      </c>
      <c r="J4918" t="s">
        <v>33334</v>
      </c>
      <c r="K4918" t="s">
        <v>39025</v>
      </c>
      <c r="M4918" t="s">
        <v>39363</v>
      </c>
      <c r="N4918" t="s">
        <v>43166</v>
      </c>
      <c r="O4918" t="s">
        <v>43167</v>
      </c>
      <c r="Q4918">
        <v>2</v>
      </c>
      <c r="R4918" t="s">
        <v>43172</v>
      </c>
      <c r="S4918" t="s">
        <v>43337</v>
      </c>
      <c r="T4918" t="s">
        <v>44758</v>
      </c>
      <c r="U4918" t="s">
        <v>49191</v>
      </c>
      <c r="W4918" t="s">
        <v>39363</v>
      </c>
      <c r="X4918" t="s">
        <v>43174</v>
      </c>
    </row>
    <row r="4919" spans="1:24">
      <c r="A4919">
        <f>HYPERLINK("https://www.philgeps.gov.ph/GEPSNONPILOT/Tender/SplashBidNoticeAbstractUI.aspx?menuIndex=3&amp;refID=7077867&amp;Result=3","7077867")</f>
        <v>0</v>
      </c>
      <c r="B4919" t="s">
        <v>1711</v>
      </c>
      <c r="C4919" t="s">
        <v>8117</v>
      </c>
      <c r="D4919" t="s">
        <v>17465</v>
      </c>
      <c r="E4919" t="s">
        <v>21775</v>
      </c>
      <c r="F4919" t="s">
        <v>30052</v>
      </c>
      <c r="G4919" t="s">
        <v>30061</v>
      </c>
      <c r="H4919" t="s">
        <v>15498</v>
      </c>
      <c r="I4919" t="s">
        <v>30070</v>
      </c>
      <c r="J4919" t="s">
        <v>33335</v>
      </c>
      <c r="K4919" t="s">
        <v>39034</v>
      </c>
      <c r="L4919" t="s">
        <v>1711</v>
      </c>
      <c r="M4919" t="s">
        <v>41126</v>
      </c>
      <c r="N4919" t="s">
        <v>43166</v>
      </c>
      <c r="O4919" t="s">
        <v>43167</v>
      </c>
      <c r="P4919">
        <v>0</v>
      </c>
      <c r="Q4919">
        <v>4</v>
      </c>
      <c r="R4919" t="s">
        <v>43172</v>
      </c>
      <c r="S4919" t="s">
        <v>43334</v>
      </c>
      <c r="T4919" t="s">
        <v>44844</v>
      </c>
      <c r="U4919" t="s">
        <v>49192</v>
      </c>
      <c r="V4919" t="s">
        <v>57369</v>
      </c>
      <c r="W4919" t="s">
        <v>41126</v>
      </c>
      <c r="X4919" t="s">
        <v>43174</v>
      </c>
    </row>
    <row r="4920" spans="1:24">
      <c r="A4920">
        <f>HYPERLINK("https://www.philgeps.gov.ph/GEPSNONPILOT/Tender/SplashBidNoticeAbstractUI.aspx?menuIndex=3&amp;refID=7078088&amp;Result=3","7078088")</f>
        <v>0</v>
      </c>
      <c r="B4920" t="s">
        <v>1172</v>
      </c>
      <c r="C4920" t="s">
        <v>8118</v>
      </c>
      <c r="D4920" t="s">
        <v>17466</v>
      </c>
      <c r="E4920" t="s">
        <v>21776</v>
      </c>
      <c r="F4920" t="s">
        <v>30052</v>
      </c>
      <c r="G4920" t="s">
        <v>30059</v>
      </c>
      <c r="H4920" t="s">
        <v>15498</v>
      </c>
      <c r="I4920" t="s">
        <v>8323</v>
      </c>
      <c r="J4920" t="s">
        <v>33336</v>
      </c>
      <c r="K4920" t="s">
        <v>39037</v>
      </c>
      <c r="M4920" t="s">
        <v>40520</v>
      </c>
      <c r="N4920" t="s">
        <v>43166</v>
      </c>
      <c r="O4920" t="s">
        <v>43167</v>
      </c>
      <c r="P4920">
        <v>0</v>
      </c>
      <c r="Q4920">
        <v>5</v>
      </c>
      <c r="R4920" t="s">
        <v>43172</v>
      </c>
      <c r="S4920" t="s">
        <v>43334</v>
      </c>
      <c r="T4920" t="s">
        <v>44943</v>
      </c>
      <c r="U4920" t="s">
        <v>47744</v>
      </c>
      <c r="W4920" t="s">
        <v>58626</v>
      </c>
      <c r="X4920" t="s">
        <v>43174</v>
      </c>
    </row>
    <row r="4921" spans="1:24">
      <c r="A4921">
        <f>HYPERLINK("https://www.philgeps.gov.ph/GEPSNONPILOT/Tender/SplashBidNoticeAbstractUI.aspx?menuIndex=3&amp;refID=7077800&amp;Result=3","7077800")</f>
        <v>0</v>
      </c>
      <c r="B4921" t="s">
        <v>1690</v>
      </c>
      <c r="C4921" t="s">
        <v>8119</v>
      </c>
      <c r="D4921" t="s">
        <v>17454</v>
      </c>
      <c r="E4921" t="s">
        <v>21777</v>
      </c>
      <c r="F4921" t="s">
        <v>30052</v>
      </c>
      <c r="G4921" t="s">
        <v>30061</v>
      </c>
      <c r="H4921" t="s">
        <v>15498</v>
      </c>
      <c r="I4921" t="s">
        <v>30073</v>
      </c>
      <c r="J4921" t="s">
        <v>31344</v>
      </c>
      <c r="K4921" t="s">
        <v>39032</v>
      </c>
      <c r="M4921" t="s">
        <v>41099</v>
      </c>
      <c r="N4921" t="s">
        <v>43166</v>
      </c>
      <c r="O4921" t="s">
        <v>43167</v>
      </c>
      <c r="P4921">
        <v>0</v>
      </c>
      <c r="Q4921">
        <v>0</v>
      </c>
      <c r="R4921" t="s">
        <v>43172</v>
      </c>
      <c r="S4921" t="s">
        <v>43334</v>
      </c>
      <c r="T4921" t="s">
        <v>44678</v>
      </c>
      <c r="U4921" t="s">
        <v>49193</v>
      </c>
      <c r="V4921" t="s">
        <v>57353</v>
      </c>
      <c r="W4921" t="s">
        <v>41099</v>
      </c>
      <c r="X4921" t="s">
        <v>43174</v>
      </c>
    </row>
    <row r="4922" spans="1:24">
      <c r="A4922">
        <f>HYPERLINK("https://www.philgeps.gov.ph/GEPSNONPILOT/Tender/SplashBidNoticeAbstractUI.aspx?menuIndex=3&amp;refID=7078406&amp;Result=3","7078406")</f>
        <v>0</v>
      </c>
      <c r="B4922" t="s">
        <v>1712</v>
      </c>
      <c r="C4922" t="s">
        <v>8120</v>
      </c>
      <c r="D4922" t="s">
        <v>17421</v>
      </c>
      <c r="E4922" t="s">
        <v>21778</v>
      </c>
      <c r="F4922" t="s">
        <v>30052</v>
      </c>
      <c r="G4922" t="s">
        <v>30058</v>
      </c>
      <c r="H4922" t="s">
        <v>15498</v>
      </c>
      <c r="I4922" t="s">
        <v>3736</v>
      </c>
      <c r="J4922" t="s">
        <v>33337</v>
      </c>
      <c r="K4922" t="s">
        <v>39029</v>
      </c>
      <c r="M4922" t="s">
        <v>41127</v>
      </c>
      <c r="N4922" t="s">
        <v>43166</v>
      </c>
      <c r="O4922" t="s">
        <v>43167</v>
      </c>
      <c r="P4922">
        <v>0</v>
      </c>
      <c r="Q4922">
        <v>0</v>
      </c>
      <c r="R4922" t="s">
        <v>43172</v>
      </c>
      <c r="S4922" t="s">
        <v>43334</v>
      </c>
      <c r="T4922" t="s">
        <v>44780</v>
      </c>
      <c r="U4922" t="s">
        <v>49194</v>
      </c>
      <c r="W4922" t="s">
        <v>41127</v>
      </c>
      <c r="X4922" t="s">
        <v>43174</v>
      </c>
    </row>
    <row r="4923" spans="1:24">
      <c r="A4923">
        <f>HYPERLINK("https://www.philgeps.gov.ph/GEPSNONPILOT/Tender/SplashBidNoticeAbstractUI.aspx?menuIndex=3&amp;refID=7078404&amp;Result=3","7078404")</f>
        <v>0</v>
      </c>
      <c r="B4923" t="s">
        <v>182</v>
      </c>
      <c r="C4923" t="s">
        <v>8121</v>
      </c>
      <c r="D4923" t="s">
        <v>17420</v>
      </c>
      <c r="E4923" t="s">
        <v>21779</v>
      </c>
      <c r="F4923" t="s">
        <v>30052</v>
      </c>
      <c r="G4923" t="s">
        <v>30058</v>
      </c>
      <c r="H4923" t="s">
        <v>15498</v>
      </c>
      <c r="I4923" t="s">
        <v>30071</v>
      </c>
      <c r="J4923" t="s">
        <v>33338</v>
      </c>
      <c r="K4923" t="s">
        <v>39017</v>
      </c>
      <c r="M4923" t="s">
        <v>39471</v>
      </c>
      <c r="N4923" t="s">
        <v>43166</v>
      </c>
      <c r="O4923" t="s">
        <v>43167</v>
      </c>
      <c r="P4923">
        <v>0</v>
      </c>
      <c r="Q4923">
        <v>0</v>
      </c>
      <c r="R4923" t="s">
        <v>43172</v>
      </c>
      <c r="S4923" t="s">
        <v>43334</v>
      </c>
      <c r="T4923" t="s">
        <v>44733</v>
      </c>
      <c r="U4923" t="s">
        <v>49195</v>
      </c>
      <c r="V4923" t="s">
        <v>57370</v>
      </c>
      <c r="W4923" t="s">
        <v>39471</v>
      </c>
      <c r="X4923" t="s">
        <v>43174</v>
      </c>
    </row>
    <row r="4924" spans="1:24">
      <c r="A4924">
        <f>HYPERLINK("https://www.philgeps.gov.ph/GEPSNONPILOT/Tender/SplashBidNoticeAbstractUI.aspx?menuIndex=3&amp;refID=7078415&amp;Result=3","7078415")</f>
        <v>0</v>
      </c>
      <c r="B4924" t="s">
        <v>182</v>
      </c>
      <c r="C4924" t="s">
        <v>8122</v>
      </c>
      <c r="D4924" t="s">
        <v>17420</v>
      </c>
      <c r="E4924" t="s">
        <v>21780</v>
      </c>
      <c r="F4924" t="s">
        <v>30052</v>
      </c>
      <c r="G4924" t="s">
        <v>30058</v>
      </c>
      <c r="H4924" t="s">
        <v>15498</v>
      </c>
      <c r="I4924" t="s">
        <v>30071</v>
      </c>
      <c r="J4924" t="s">
        <v>33339</v>
      </c>
      <c r="K4924" t="s">
        <v>39017</v>
      </c>
      <c r="M4924" t="s">
        <v>39471</v>
      </c>
      <c r="N4924" t="s">
        <v>43166</v>
      </c>
      <c r="O4924" t="s">
        <v>43167</v>
      </c>
      <c r="P4924">
        <v>0</v>
      </c>
      <c r="Q4924">
        <v>0</v>
      </c>
      <c r="R4924" t="s">
        <v>43172</v>
      </c>
      <c r="S4924" t="s">
        <v>43334</v>
      </c>
      <c r="T4924" t="s">
        <v>44733</v>
      </c>
      <c r="U4924" t="s">
        <v>49196</v>
      </c>
      <c r="V4924" t="s">
        <v>57371</v>
      </c>
      <c r="W4924" t="s">
        <v>39471</v>
      </c>
      <c r="X4924" t="s">
        <v>43174</v>
      </c>
    </row>
    <row r="4925" spans="1:24">
      <c r="A4925">
        <f>HYPERLINK("https://www.philgeps.gov.ph/GEPSNONPILOT/Tender/SplashBidNoticeAbstractUI.aspx?menuIndex=3&amp;refID=7078377&amp;Result=3","7078377")</f>
        <v>0</v>
      </c>
      <c r="B4925" t="s">
        <v>208</v>
      </c>
      <c r="C4925" t="s">
        <v>8123</v>
      </c>
      <c r="D4925" t="s">
        <v>17415</v>
      </c>
      <c r="E4925" t="s">
        <v>18377</v>
      </c>
      <c r="F4925" t="s">
        <v>30052</v>
      </c>
      <c r="G4925" t="s">
        <v>30058</v>
      </c>
      <c r="H4925" t="s">
        <v>15498</v>
      </c>
      <c r="I4925" t="s">
        <v>30130</v>
      </c>
      <c r="J4925" t="s">
        <v>33340</v>
      </c>
      <c r="K4925" t="s">
        <v>39025</v>
      </c>
      <c r="M4925" t="s">
        <v>41121</v>
      </c>
      <c r="N4925" t="s">
        <v>43166</v>
      </c>
      <c r="O4925" t="s">
        <v>43167</v>
      </c>
      <c r="P4925">
        <v>0</v>
      </c>
      <c r="Q4925">
        <v>18</v>
      </c>
      <c r="R4925" t="s">
        <v>43172</v>
      </c>
      <c r="S4925" t="s">
        <v>43334</v>
      </c>
      <c r="T4925" t="s">
        <v>44828</v>
      </c>
      <c r="U4925" t="s">
        <v>49197</v>
      </c>
      <c r="V4925" t="s">
        <v>57362</v>
      </c>
      <c r="W4925" t="s">
        <v>41121</v>
      </c>
      <c r="X4925" t="s">
        <v>43174</v>
      </c>
    </row>
    <row r="4926" spans="1:24">
      <c r="A4926">
        <f>HYPERLINK("https://www.philgeps.gov.ph/GEPSNONPILOT/Tender/SplashBidNoticeAbstractUI.aspx?menuIndex=3&amp;refID=7078387&amp;Result=3","7078387")</f>
        <v>0</v>
      </c>
      <c r="B4926" t="s">
        <v>1170</v>
      </c>
      <c r="C4926" t="s">
        <v>8124</v>
      </c>
      <c r="D4926" t="s">
        <v>17482</v>
      </c>
      <c r="E4926" t="s">
        <v>21781</v>
      </c>
      <c r="F4926" t="s">
        <v>30052</v>
      </c>
      <c r="G4926" t="s">
        <v>30059</v>
      </c>
      <c r="H4926" t="s">
        <v>15498</v>
      </c>
      <c r="I4926" t="s">
        <v>30084</v>
      </c>
      <c r="J4926" t="s">
        <v>30343</v>
      </c>
      <c r="K4926" t="s">
        <v>39025</v>
      </c>
      <c r="M4926" t="s">
        <v>41117</v>
      </c>
      <c r="N4926" t="s">
        <v>43166</v>
      </c>
      <c r="O4926" t="s">
        <v>43167</v>
      </c>
      <c r="P4926">
        <v>0</v>
      </c>
      <c r="Q4926">
        <v>0</v>
      </c>
      <c r="R4926" t="s">
        <v>43172</v>
      </c>
      <c r="S4926" t="s">
        <v>43334</v>
      </c>
      <c r="T4926" t="s">
        <v>44969</v>
      </c>
      <c r="U4926" t="s">
        <v>49198</v>
      </c>
      <c r="V4926" t="s">
        <v>57372</v>
      </c>
      <c r="W4926" t="s">
        <v>41117</v>
      </c>
      <c r="X4926" t="s">
        <v>43174</v>
      </c>
    </row>
    <row r="4927" spans="1:24">
      <c r="A4927">
        <f>HYPERLINK("https://www.philgeps.gov.ph/GEPSNONPILOT/Tender/SplashBidNoticeAbstractUI.aspx?menuIndex=3&amp;refID=7078376&amp;Result=3","7078376")</f>
        <v>0</v>
      </c>
      <c r="B4927" t="s">
        <v>1713</v>
      </c>
      <c r="C4927" t="s">
        <v>8125</v>
      </c>
      <c r="D4927" t="s">
        <v>17455</v>
      </c>
      <c r="E4927" t="s">
        <v>21117</v>
      </c>
      <c r="F4927" t="s">
        <v>30052</v>
      </c>
      <c r="G4927" t="s">
        <v>30059</v>
      </c>
      <c r="H4927" t="s">
        <v>15498</v>
      </c>
      <c r="I4927" t="s">
        <v>3852</v>
      </c>
      <c r="J4927" t="s">
        <v>31872</v>
      </c>
      <c r="K4927" t="s">
        <v>39039</v>
      </c>
      <c r="M4927" t="s">
        <v>41128</v>
      </c>
      <c r="N4927" t="s">
        <v>43166</v>
      </c>
      <c r="O4927" t="s">
        <v>43167</v>
      </c>
      <c r="P4927">
        <v>0</v>
      </c>
      <c r="Q4927">
        <v>0</v>
      </c>
      <c r="R4927" t="s">
        <v>43172</v>
      </c>
      <c r="S4927" t="s">
        <v>43334</v>
      </c>
      <c r="T4927" t="s">
        <v>44746</v>
      </c>
      <c r="U4927" t="s">
        <v>49199</v>
      </c>
      <c r="W4927" t="s">
        <v>41128</v>
      </c>
      <c r="X4927" t="s">
        <v>43174</v>
      </c>
    </row>
    <row r="4928" spans="1:24">
      <c r="A4928">
        <f>HYPERLINK("https://www.philgeps.gov.ph/GEPSNONPILOT/Tender/SplashBidNoticeAbstractUI.aspx?menuIndex=3&amp;refID=7078379&amp;Result=3","7078379")</f>
        <v>0</v>
      </c>
      <c r="B4928" t="s">
        <v>1418</v>
      </c>
      <c r="C4928" t="s">
        <v>8126</v>
      </c>
      <c r="D4928" t="s">
        <v>17449</v>
      </c>
      <c r="E4928" t="s">
        <v>21782</v>
      </c>
      <c r="F4928" t="s">
        <v>30052</v>
      </c>
      <c r="G4928" t="s">
        <v>30059</v>
      </c>
      <c r="H4928" t="s">
        <v>15498</v>
      </c>
      <c r="I4928" t="s">
        <v>4650</v>
      </c>
      <c r="J4928" t="s">
        <v>30230</v>
      </c>
      <c r="K4928" t="s">
        <v>39019</v>
      </c>
      <c r="M4928" t="s">
        <v>40796</v>
      </c>
      <c r="N4928" t="s">
        <v>43166</v>
      </c>
      <c r="O4928" t="s">
        <v>43167</v>
      </c>
      <c r="P4928">
        <v>0</v>
      </c>
      <c r="Q4928">
        <v>8</v>
      </c>
      <c r="R4928" t="s">
        <v>43172</v>
      </c>
      <c r="S4928" t="s">
        <v>43334</v>
      </c>
      <c r="T4928" t="s">
        <v>44837</v>
      </c>
      <c r="U4928" t="s">
        <v>49200</v>
      </c>
      <c r="W4928" t="s">
        <v>40796</v>
      </c>
      <c r="X4928" t="s">
        <v>43174</v>
      </c>
    </row>
    <row r="4929" spans="1:24">
      <c r="A4929">
        <f>HYPERLINK("https://www.philgeps.gov.ph/GEPSNONPILOT/Tender/SplashBidNoticeAbstractUI.aspx?menuIndex=3&amp;refID=7078369&amp;Result=3","7078369")</f>
        <v>0</v>
      </c>
      <c r="B4929" t="s">
        <v>1707</v>
      </c>
      <c r="C4929" t="s">
        <v>8127</v>
      </c>
      <c r="D4929" t="s">
        <v>17422</v>
      </c>
      <c r="E4929" t="s">
        <v>21783</v>
      </c>
      <c r="F4929" t="s">
        <v>30052</v>
      </c>
      <c r="G4929" t="s">
        <v>30058</v>
      </c>
      <c r="H4929" t="s">
        <v>15498</v>
      </c>
      <c r="I4929" t="s">
        <v>3736</v>
      </c>
      <c r="J4929" t="s">
        <v>33341</v>
      </c>
      <c r="K4929" t="s">
        <v>39037</v>
      </c>
      <c r="M4929" t="s">
        <v>41122</v>
      </c>
      <c r="N4929" t="s">
        <v>43166</v>
      </c>
      <c r="O4929" t="s">
        <v>43167</v>
      </c>
      <c r="P4929">
        <v>0</v>
      </c>
      <c r="Q4929">
        <v>0</v>
      </c>
      <c r="R4929" t="s">
        <v>43172</v>
      </c>
      <c r="S4929" t="s">
        <v>43334</v>
      </c>
      <c r="T4929" t="s">
        <v>44825</v>
      </c>
      <c r="U4929" t="s">
        <v>46487</v>
      </c>
      <c r="V4929" t="s">
        <v>57367</v>
      </c>
      <c r="W4929" t="s">
        <v>41122</v>
      </c>
      <c r="X4929" t="s">
        <v>43174</v>
      </c>
    </row>
    <row r="4930" spans="1:24">
      <c r="A4930">
        <f>HYPERLINK("https://www.philgeps.gov.ph/GEPSNONPILOT/Tender/SplashBidNoticeAbstractUI.aspx?menuIndex=3&amp;refID=7078367&amp;Result=3","7078367")</f>
        <v>0</v>
      </c>
      <c r="B4930" t="s">
        <v>1170</v>
      </c>
      <c r="C4930" t="s">
        <v>8128</v>
      </c>
      <c r="D4930" t="s">
        <v>17482</v>
      </c>
      <c r="E4930" t="s">
        <v>21784</v>
      </c>
      <c r="F4930" t="s">
        <v>30052</v>
      </c>
      <c r="G4930" t="s">
        <v>30061</v>
      </c>
      <c r="H4930" t="s">
        <v>15498</v>
      </c>
      <c r="I4930" t="s">
        <v>3606</v>
      </c>
      <c r="J4930" t="s">
        <v>33342</v>
      </c>
      <c r="K4930" t="s">
        <v>39025</v>
      </c>
      <c r="M4930" t="s">
        <v>41117</v>
      </c>
      <c r="N4930" t="s">
        <v>43166</v>
      </c>
      <c r="O4930" t="s">
        <v>43167</v>
      </c>
      <c r="P4930">
        <v>0</v>
      </c>
      <c r="Q4930">
        <v>1</v>
      </c>
      <c r="R4930" t="s">
        <v>43172</v>
      </c>
      <c r="S4930" t="s">
        <v>43334</v>
      </c>
      <c r="T4930" t="s">
        <v>44969</v>
      </c>
      <c r="U4930" t="s">
        <v>49201</v>
      </c>
      <c r="V4930" t="s">
        <v>57373</v>
      </c>
      <c r="W4930" t="s">
        <v>41117</v>
      </c>
      <c r="X4930" t="s">
        <v>43174</v>
      </c>
    </row>
    <row r="4931" spans="1:24">
      <c r="A4931">
        <f>HYPERLINK("https://www.philgeps.gov.ph/GEPSNONPILOT/Tender/SplashBidNoticeAbstractUI.aspx?menuIndex=3&amp;refID=7078360&amp;Result=3","7078360")</f>
        <v>0</v>
      </c>
      <c r="B4931" t="s">
        <v>208</v>
      </c>
      <c r="C4931" t="s">
        <v>8129</v>
      </c>
      <c r="D4931" t="s">
        <v>17415</v>
      </c>
      <c r="E4931" t="s">
        <v>21785</v>
      </c>
      <c r="F4931" t="s">
        <v>30052</v>
      </c>
      <c r="G4931" t="s">
        <v>30058</v>
      </c>
      <c r="H4931" t="s">
        <v>15498</v>
      </c>
      <c r="I4931" t="s">
        <v>30130</v>
      </c>
      <c r="J4931" t="s">
        <v>30321</v>
      </c>
      <c r="K4931" t="s">
        <v>39025</v>
      </c>
      <c r="M4931" t="s">
        <v>41121</v>
      </c>
      <c r="N4931" t="s">
        <v>43166</v>
      </c>
      <c r="O4931" t="s">
        <v>43167</v>
      </c>
      <c r="P4931">
        <v>0</v>
      </c>
      <c r="Q4931">
        <v>19</v>
      </c>
      <c r="R4931" t="s">
        <v>43172</v>
      </c>
      <c r="S4931" t="s">
        <v>43334</v>
      </c>
      <c r="T4931" t="s">
        <v>44828</v>
      </c>
      <c r="U4931" t="s">
        <v>49202</v>
      </c>
      <c r="V4931" t="s">
        <v>57362</v>
      </c>
      <c r="W4931" t="s">
        <v>41121</v>
      </c>
      <c r="X4931" t="s">
        <v>43174</v>
      </c>
    </row>
    <row r="4932" spans="1:24">
      <c r="A4932">
        <f>HYPERLINK("https://www.philgeps.gov.ph/GEPSNONPILOT/Tender/SplashBidNoticeAbstractUI.aspx?menuIndex=3&amp;refID=7078381&amp;Result=3","7078381")</f>
        <v>0</v>
      </c>
      <c r="B4932" t="s">
        <v>182</v>
      </c>
      <c r="C4932" t="s">
        <v>8130</v>
      </c>
      <c r="D4932" t="s">
        <v>17420</v>
      </c>
      <c r="E4932" t="s">
        <v>21786</v>
      </c>
      <c r="F4932" t="s">
        <v>30052</v>
      </c>
      <c r="G4932" t="s">
        <v>30058</v>
      </c>
      <c r="H4932" t="s">
        <v>15498</v>
      </c>
      <c r="I4932" t="s">
        <v>30076</v>
      </c>
      <c r="J4932" t="s">
        <v>33343</v>
      </c>
      <c r="K4932" t="s">
        <v>39017</v>
      </c>
      <c r="M4932" t="s">
        <v>39471</v>
      </c>
      <c r="N4932" t="s">
        <v>43166</v>
      </c>
      <c r="O4932" t="s">
        <v>43167</v>
      </c>
      <c r="P4932">
        <v>0</v>
      </c>
      <c r="Q4932">
        <v>0</v>
      </c>
      <c r="R4932" t="s">
        <v>43172</v>
      </c>
      <c r="S4932" t="s">
        <v>43334</v>
      </c>
      <c r="T4932" t="s">
        <v>44733</v>
      </c>
      <c r="U4932" t="s">
        <v>49203</v>
      </c>
      <c r="V4932" t="s">
        <v>57374</v>
      </c>
      <c r="W4932" t="s">
        <v>39471</v>
      </c>
      <c r="X4932" t="s">
        <v>43174</v>
      </c>
    </row>
    <row r="4933" spans="1:24">
      <c r="A4933">
        <f>HYPERLINK("https://www.philgeps.gov.ph/GEPSNONPILOT/Tender/SplashBidNoticeAbstractUI.aspx?menuIndex=3&amp;refID=7078375&amp;Result=3","7078375")</f>
        <v>0</v>
      </c>
      <c r="B4933" t="s">
        <v>1170</v>
      </c>
      <c r="C4933" t="s">
        <v>8102</v>
      </c>
      <c r="D4933" t="s">
        <v>17482</v>
      </c>
      <c r="E4933" t="s">
        <v>21787</v>
      </c>
      <c r="F4933" t="s">
        <v>30052</v>
      </c>
      <c r="G4933" t="s">
        <v>30059</v>
      </c>
      <c r="H4933" t="s">
        <v>15498</v>
      </c>
      <c r="I4933" t="s">
        <v>30094</v>
      </c>
      <c r="J4933" t="s">
        <v>30733</v>
      </c>
      <c r="K4933" t="s">
        <v>39025</v>
      </c>
      <c r="M4933" t="s">
        <v>41117</v>
      </c>
      <c r="N4933" t="s">
        <v>43166</v>
      </c>
      <c r="O4933" t="s">
        <v>43167</v>
      </c>
      <c r="P4933">
        <v>0</v>
      </c>
      <c r="Q4933">
        <v>0</v>
      </c>
      <c r="R4933" t="s">
        <v>43172</v>
      </c>
      <c r="S4933" t="s">
        <v>43334</v>
      </c>
      <c r="T4933" t="s">
        <v>44969</v>
      </c>
      <c r="U4933" t="s">
        <v>49204</v>
      </c>
      <c r="V4933" t="s">
        <v>57375</v>
      </c>
      <c r="W4933" t="s">
        <v>41117</v>
      </c>
      <c r="X4933" t="s">
        <v>43174</v>
      </c>
    </row>
    <row r="4934" spans="1:24">
      <c r="A4934">
        <f>HYPERLINK("https://www.philgeps.gov.ph/GEPSNONPILOT/Tender/SplashBidNoticeAbstractUI.aspx?menuIndex=3&amp;refID=7078356&amp;Result=3","7078356")</f>
        <v>0</v>
      </c>
      <c r="B4934" t="s">
        <v>757</v>
      </c>
      <c r="C4934" t="s">
        <v>8131</v>
      </c>
      <c r="D4934" t="s">
        <v>17462</v>
      </c>
      <c r="E4934" t="s">
        <v>21297</v>
      </c>
      <c r="F4934" t="s">
        <v>30052</v>
      </c>
      <c r="G4934" t="s">
        <v>30058</v>
      </c>
      <c r="H4934" t="s">
        <v>30067</v>
      </c>
      <c r="I4934" t="s">
        <v>3693</v>
      </c>
      <c r="J4934" t="s">
        <v>33344</v>
      </c>
      <c r="K4934" t="s">
        <v>39092</v>
      </c>
      <c r="M4934" t="s">
        <v>40071</v>
      </c>
      <c r="N4934" t="s">
        <v>43166</v>
      </c>
      <c r="O4934" t="s">
        <v>43167</v>
      </c>
      <c r="P4934">
        <v>0</v>
      </c>
      <c r="Q4934">
        <v>0</v>
      </c>
      <c r="R4934" t="s">
        <v>43172</v>
      </c>
      <c r="S4934" t="s">
        <v>43334</v>
      </c>
      <c r="T4934" t="s">
        <v>44966</v>
      </c>
      <c r="U4934" t="s">
        <v>49205</v>
      </c>
      <c r="W4934" t="s">
        <v>40071</v>
      </c>
      <c r="X4934" t="s">
        <v>43174</v>
      </c>
    </row>
    <row r="4935" spans="1:24">
      <c r="A4935">
        <f>HYPERLINK("https://www.philgeps.gov.ph/GEPSNONPILOT/Tender/SplashBidNoticeAbstractUI.aspx?menuIndex=3&amp;refID=7078348&amp;Result=3","7078348")</f>
        <v>0</v>
      </c>
      <c r="B4935" t="s">
        <v>182</v>
      </c>
      <c r="C4935" t="s">
        <v>8132</v>
      </c>
      <c r="D4935" t="s">
        <v>17420</v>
      </c>
      <c r="E4935" t="s">
        <v>21788</v>
      </c>
      <c r="F4935" t="s">
        <v>30052</v>
      </c>
      <c r="G4935" t="s">
        <v>30058</v>
      </c>
      <c r="H4935" t="s">
        <v>15498</v>
      </c>
      <c r="I4935" t="s">
        <v>30074</v>
      </c>
      <c r="J4935" t="s">
        <v>30761</v>
      </c>
      <c r="K4935" t="s">
        <v>39017</v>
      </c>
      <c r="M4935" t="s">
        <v>39471</v>
      </c>
      <c r="N4935" t="s">
        <v>43166</v>
      </c>
      <c r="O4935" t="s">
        <v>43167</v>
      </c>
      <c r="P4935">
        <v>0</v>
      </c>
      <c r="Q4935">
        <v>1</v>
      </c>
      <c r="R4935" t="s">
        <v>43172</v>
      </c>
      <c r="S4935" t="s">
        <v>43334</v>
      </c>
      <c r="T4935" t="s">
        <v>44733</v>
      </c>
      <c r="U4935" t="s">
        <v>49206</v>
      </c>
      <c r="V4935" t="s">
        <v>57376</v>
      </c>
      <c r="W4935" t="s">
        <v>39471</v>
      </c>
      <c r="X4935" t="s">
        <v>43174</v>
      </c>
    </row>
    <row r="4936" spans="1:24">
      <c r="A4936">
        <f>HYPERLINK("https://www.philgeps.gov.ph/GEPSNONPILOT/Tender/SplashBidNoticeAbstractUI.aspx?menuIndex=3&amp;refID=7078426&amp;Result=3","7078426")</f>
        <v>0</v>
      </c>
      <c r="B4936" t="s">
        <v>1714</v>
      </c>
      <c r="C4936" t="s">
        <v>8133</v>
      </c>
      <c r="D4936" t="s">
        <v>17441</v>
      </c>
      <c r="E4936" t="s">
        <v>21789</v>
      </c>
      <c r="F4936" t="s">
        <v>30052</v>
      </c>
      <c r="G4936" t="s">
        <v>30059</v>
      </c>
      <c r="H4936" t="s">
        <v>30069</v>
      </c>
      <c r="I4936" t="s">
        <v>12885</v>
      </c>
      <c r="J4936" t="s">
        <v>31062</v>
      </c>
      <c r="K4936" t="s">
        <v>39029</v>
      </c>
      <c r="M4936" t="s">
        <v>41129</v>
      </c>
      <c r="N4936" t="s">
        <v>43166</v>
      </c>
      <c r="O4936" t="s">
        <v>43167</v>
      </c>
      <c r="P4936">
        <v>0</v>
      </c>
      <c r="Q4936">
        <v>0</v>
      </c>
      <c r="R4936" t="s">
        <v>43172</v>
      </c>
      <c r="S4936" t="s">
        <v>43334</v>
      </c>
      <c r="T4936" t="s">
        <v>44841</v>
      </c>
      <c r="U4936" t="s">
        <v>49207</v>
      </c>
      <c r="V4936" t="s">
        <v>57377</v>
      </c>
      <c r="W4936" t="s">
        <v>41129</v>
      </c>
      <c r="X4936" t="s">
        <v>43174</v>
      </c>
    </row>
    <row r="4937" spans="1:24">
      <c r="A4937">
        <f>HYPERLINK("https://www.philgeps.gov.ph/GEPSNONPILOT/Tender/SplashBidNoticeAbstractUI.aspx?menuIndex=3&amp;refID=7078353&amp;Result=3","7078353")</f>
        <v>0</v>
      </c>
      <c r="B4937" t="s">
        <v>1170</v>
      </c>
      <c r="C4937" t="s">
        <v>8134</v>
      </c>
      <c r="D4937" t="s">
        <v>17482</v>
      </c>
      <c r="E4937" t="s">
        <v>21790</v>
      </c>
      <c r="F4937" t="s">
        <v>30052</v>
      </c>
      <c r="G4937" t="s">
        <v>30059</v>
      </c>
      <c r="H4937" t="s">
        <v>15498</v>
      </c>
      <c r="I4937" t="s">
        <v>9238</v>
      </c>
      <c r="J4937" t="s">
        <v>33345</v>
      </c>
      <c r="K4937" t="s">
        <v>39025</v>
      </c>
      <c r="M4937" t="s">
        <v>41117</v>
      </c>
      <c r="N4937" t="s">
        <v>43166</v>
      </c>
      <c r="O4937" t="s">
        <v>43167</v>
      </c>
      <c r="P4937">
        <v>0</v>
      </c>
      <c r="Q4937">
        <v>1</v>
      </c>
      <c r="R4937" t="s">
        <v>43172</v>
      </c>
      <c r="S4937" t="s">
        <v>43334</v>
      </c>
      <c r="T4937" t="s">
        <v>44969</v>
      </c>
      <c r="U4937" t="s">
        <v>49208</v>
      </c>
      <c r="V4937" t="s">
        <v>57378</v>
      </c>
      <c r="W4937" t="s">
        <v>41117</v>
      </c>
      <c r="X4937" t="s">
        <v>43174</v>
      </c>
    </row>
    <row r="4938" spans="1:24">
      <c r="A4938">
        <f>HYPERLINK("https://www.philgeps.gov.ph/GEPSNONPILOT/Tender/SplashBidNoticeAbstractUI.aspx?menuIndex=3&amp;refID=7078349&amp;Result=3","7078349")</f>
        <v>0</v>
      </c>
      <c r="B4938" t="s">
        <v>1715</v>
      </c>
      <c r="C4938" t="s">
        <v>8135</v>
      </c>
      <c r="D4938" t="s">
        <v>17455</v>
      </c>
      <c r="E4938" t="s">
        <v>21791</v>
      </c>
      <c r="F4938" t="s">
        <v>30052</v>
      </c>
      <c r="G4938" t="s">
        <v>30059</v>
      </c>
      <c r="H4938" t="s">
        <v>30069</v>
      </c>
      <c r="I4938" t="s">
        <v>30100</v>
      </c>
      <c r="J4938" t="s">
        <v>30327</v>
      </c>
      <c r="K4938" t="s">
        <v>39029</v>
      </c>
      <c r="M4938" t="s">
        <v>41130</v>
      </c>
      <c r="N4938" t="s">
        <v>43166</v>
      </c>
      <c r="O4938" t="s">
        <v>43167</v>
      </c>
      <c r="P4938">
        <v>0</v>
      </c>
      <c r="Q4938">
        <v>3</v>
      </c>
      <c r="R4938" t="s">
        <v>43172</v>
      </c>
      <c r="S4938" t="s">
        <v>43334</v>
      </c>
      <c r="T4938" t="s">
        <v>44714</v>
      </c>
      <c r="U4938" t="s">
        <v>49209</v>
      </c>
      <c r="V4938" t="s">
        <v>57379</v>
      </c>
      <c r="W4938" t="s">
        <v>41130</v>
      </c>
      <c r="X4938" t="s">
        <v>43174</v>
      </c>
    </row>
    <row r="4939" spans="1:24">
      <c r="A4939">
        <f>HYPERLINK("https://www.philgeps.gov.ph/GEPSNONPILOT/Tender/SplashBidNoticeAbstractUI.aspx?menuIndex=3&amp;refID=7078364&amp;Result=3","7078364")</f>
        <v>0</v>
      </c>
      <c r="B4939" t="s">
        <v>182</v>
      </c>
      <c r="C4939" t="s">
        <v>8136</v>
      </c>
      <c r="D4939" t="s">
        <v>17420</v>
      </c>
      <c r="E4939" t="s">
        <v>21792</v>
      </c>
      <c r="F4939" t="s">
        <v>30052</v>
      </c>
      <c r="G4939" t="s">
        <v>30058</v>
      </c>
      <c r="H4939" t="s">
        <v>15498</v>
      </c>
      <c r="I4939" t="s">
        <v>30081</v>
      </c>
      <c r="J4939" t="s">
        <v>32723</v>
      </c>
      <c r="K4939" t="s">
        <v>39017</v>
      </c>
      <c r="M4939" t="s">
        <v>39471</v>
      </c>
      <c r="N4939" t="s">
        <v>43166</v>
      </c>
      <c r="O4939" t="s">
        <v>43167</v>
      </c>
      <c r="P4939">
        <v>0</v>
      </c>
      <c r="Q4939">
        <v>0</v>
      </c>
      <c r="R4939" t="s">
        <v>43172</v>
      </c>
      <c r="S4939" t="s">
        <v>43334</v>
      </c>
      <c r="T4939" t="s">
        <v>44733</v>
      </c>
      <c r="U4939" t="s">
        <v>49210</v>
      </c>
      <c r="V4939" t="s">
        <v>57380</v>
      </c>
      <c r="W4939" t="s">
        <v>39471</v>
      </c>
      <c r="X4939" t="s">
        <v>43174</v>
      </c>
    </row>
    <row r="4940" spans="1:24">
      <c r="A4940">
        <f>HYPERLINK("https://www.philgeps.gov.ph/GEPSNONPILOT/Tender/SplashBidNoticeAbstractUI.aspx?menuIndex=3&amp;refID=7078474&amp;Result=3","7078474")</f>
        <v>0</v>
      </c>
      <c r="B4940" t="s">
        <v>74</v>
      </c>
      <c r="C4940" t="s">
        <v>8137</v>
      </c>
      <c r="E4940" t="s">
        <v>21793</v>
      </c>
      <c r="F4940" t="s">
        <v>30052</v>
      </c>
      <c r="G4940" t="s">
        <v>30058</v>
      </c>
      <c r="H4940" t="s">
        <v>30067</v>
      </c>
      <c r="I4940" t="s">
        <v>3693</v>
      </c>
      <c r="J4940" t="s">
        <v>33346</v>
      </c>
      <c r="K4940" t="s">
        <v>39025</v>
      </c>
      <c r="M4940" t="s">
        <v>39363</v>
      </c>
      <c r="N4940" t="s">
        <v>43166</v>
      </c>
      <c r="O4940" t="s">
        <v>43167</v>
      </c>
      <c r="Q4940">
        <v>3</v>
      </c>
      <c r="R4940" t="s">
        <v>43172</v>
      </c>
      <c r="S4940" t="s">
        <v>43338</v>
      </c>
      <c r="T4940" t="s">
        <v>45007</v>
      </c>
      <c r="U4940" t="s">
        <v>49211</v>
      </c>
      <c r="W4940" t="s">
        <v>39363</v>
      </c>
      <c r="X4940" t="s">
        <v>43174</v>
      </c>
    </row>
    <row r="4941" spans="1:24">
      <c r="A4941">
        <f>HYPERLINK("https://www.philgeps.gov.ph/GEPSNONPILOT/Tender/SplashBidNoticeAbstractUI.aspx?menuIndex=3&amp;refID=7078640&amp;Result=3","7078640")</f>
        <v>0</v>
      </c>
      <c r="B4941" t="s">
        <v>1716</v>
      </c>
      <c r="C4941" t="s">
        <v>8138</v>
      </c>
      <c r="D4941" t="s">
        <v>17435</v>
      </c>
      <c r="E4941" t="s">
        <v>18868</v>
      </c>
      <c r="F4941" t="s">
        <v>30052</v>
      </c>
      <c r="G4941" t="s">
        <v>30061</v>
      </c>
      <c r="H4941" t="s">
        <v>15498</v>
      </c>
      <c r="I4941" t="s">
        <v>3736</v>
      </c>
      <c r="J4941" t="s">
        <v>33347</v>
      </c>
      <c r="K4941" t="s">
        <v>39017</v>
      </c>
      <c r="M4941" t="s">
        <v>41131</v>
      </c>
      <c r="N4941" t="s">
        <v>43166</v>
      </c>
      <c r="O4941" t="s">
        <v>43167</v>
      </c>
      <c r="P4941">
        <v>0</v>
      </c>
      <c r="Q4941">
        <v>0</v>
      </c>
      <c r="R4941" t="s">
        <v>43172</v>
      </c>
      <c r="S4941" t="s">
        <v>43334</v>
      </c>
      <c r="T4941" t="s">
        <v>44777</v>
      </c>
      <c r="U4941" t="s">
        <v>49212</v>
      </c>
      <c r="W4941" t="s">
        <v>41131</v>
      </c>
      <c r="X4941" t="s">
        <v>43174</v>
      </c>
    </row>
    <row r="4942" spans="1:24">
      <c r="A4942">
        <f>HYPERLINK("https://www.philgeps.gov.ph/GEPSNONPILOT/Tender/SplashBidNoticeAbstractUI.aspx?menuIndex=3&amp;refID=7078606&amp;Result=3","7078606")</f>
        <v>0</v>
      </c>
      <c r="B4942" t="s">
        <v>1094</v>
      </c>
      <c r="C4942" t="s">
        <v>8139</v>
      </c>
      <c r="D4942" t="s">
        <v>17464</v>
      </c>
      <c r="E4942" t="s">
        <v>21794</v>
      </c>
      <c r="F4942" t="s">
        <v>30052</v>
      </c>
      <c r="G4942" t="s">
        <v>30058</v>
      </c>
      <c r="H4942" t="s">
        <v>15498</v>
      </c>
      <c r="I4942" t="s">
        <v>30084</v>
      </c>
      <c r="J4942" t="s">
        <v>33348</v>
      </c>
      <c r="K4942" t="s">
        <v>39029</v>
      </c>
      <c r="M4942" t="s">
        <v>41132</v>
      </c>
      <c r="N4942" t="s">
        <v>43166</v>
      </c>
      <c r="O4942" t="s">
        <v>43167</v>
      </c>
      <c r="P4942">
        <v>0</v>
      </c>
      <c r="Q4942">
        <v>12</v>
      </c>
      <c r="R4942" t="s">
        <v>43172</v>
      </c>
      <c r="S4942" t="s">
        <v>43334</v>
      </c>
      <c r="T4942" t="s">
        <v>44944</v>
      </c>
      <c r="U4942" t="s">
        <v>49213</v>
      </c>
      <c r="W4942" t="s">
        <v>41132</v>
      </c>
      <c r="X4942" t="s">
        <v>43174</v>
      </c>
    </row>
    <row r="4943" spans="1:24">
      <c r="A4943">
        <f>HYPERLINK("https://www.philgeps.gov.ph/GEPSNONPILOT/Tender/SplashBidNoticeAbstractUI.aspx?menuIndex=3&amp;refID=7078549&amp;Result=3","7078549")</f>
        <v>0</v>
      </c>
      <c r="B4943" t="s">
        <v>1717</v>
      </c>
      <c r="C4943" t="s">
        <v>8140</v>
      </c>
      <c r="D4943" t="s">
        <v>17435</v>
      </c>
      <c r="E4943" t="s">
        <v>21795</v>
      </c>
      <c r="F4943" t="s">
        <v>30052</v>
      </c>
      <c r="G4943" t="s">
        <v>30058</v>
      </c>
      <c r="H4943" t="s">
        <v>30067</v>
      </c>
      <c r="I4943" t="s">
        <v>3693</v>
      </c>
      <c r="J4943" t="s">
        <v>33349</v>
      </c>
      <c r="K4943" t="s">
        <v>39022</v>
      </c>
      <c r="M4943" t="s">
        <v>41133</v>
      </c>
      <c r="N4943" t="s">
        <v>43166</v>
      </c>
      <c r="O4943" t="s">
        <v>43167</v>
      </c>
      <c r="P4943">
        <v>0</v>
      </c>
      <c r="Q4943">
        <v>1</v>
      </c>
      <c r="R4943" t="s">
        <v>43172</v>
      </c>
      <c r="S4943" t="s">
        <v>43334</v>
      </c>
      <c r="T4943" t="s">
        <v>44758</v>
      </c>
      <c r="U4943" t="s">
        <v>49214</v>
      </c>
      <c r="W4943" t="s">
        <v>41133</v>
      </c>
      <c r="X4943" t="s">
        <v>43174</v>
      </c>
    </row>
    <row r="4944" spans="1:24">
      <c r="A4944">
        <f>HYPERLINK("https://www.philgeps.gov.ph/GEPSNONPILOT/Tender/SplashBidNoticeAbstractUI.aspx?menuIndex=3&amp;refID=7078504&amp;Result=3","7078504")</f>
        <v>0</v>
      </c>
      <c r="B4944" t="s">
        <v>431</v>
      </c>
      <c r="C4944" t="s">
        <v>8141</v>
      </c>
      <c r="D4944" t="s">
        <v>17482</v>
      </c>
      <c r="E4944" t="s">
        <v>21796</v>
      </c>
      <c r="F4944" t="s">
        <v>30054</v>
      </c>
      <c r="G4944" t="s">
        <v>30058</v>
      </c>
      <c r="H4944" t="s">
        <v>15498</v>
      </c>
      <c r="I4944" t="s">
        <v>3736</v>
      </c>
      <c r="J4944" t="s">
        <v>33350</v>
      </c>
      <c r="K4944" t="s">
        <v>39034</v>
      </c>
      <c r="M4944" t="s">
        <v>39730</v>
      </c>
      <c r="N4944" t="s">
        <v>43166</v>
      </c>
      <c r="O4944" t="s">
        <v>43167</v>
      </c>
      <c r="P4944">
        <v>0</v>
      </c>
      <c r="Q4944">
        <v>0</v>
      </c>
      <c r="R4944" t="s">
        <v>43172</v>
      </c>
      <c r="S4944" t="s">
        <v>43334</v>
      </c>
      <c r="T4944" t="s">
        <v>45008</v>
      </c>
      <c r="U4944" t="s">
        <v>49215</v>
      </c>
      <c r="W4944" t="s">
        <v>39730</v>
      </c>
      <c r="X4944" t="s">
        <v>43174</v>
      </c>
    </row>
    <row r="4945" spans="1:24">
      <c r="A4945">
        <f>HYPERLINK("https://www.philgeps.gov.ph/GEPSNONPILOT/Tender/SplashBidNoticeAbstractUI.aspx?menuIndex=3&amp;refID=7078467&amp;Result=3","7078467")</f>
        <v>0</v>
      </c>
      <c r="B4945" t="s">
        <v>74</v>
      </c>
      <c r="C4945" t="s">
        <v>8142</v>
      </c>
      <c r="E4945" t="s">
        <v>21797</v>
      </c>
      <c r="F4945" t="s">
        <v>30052</v>
      </c>
      <c r="G4945" t="s">
        <v>30058</v>
      </c>
      <c r="H4945" t="s">
        <v>30067</v>
      </c>
      <c r="I4945" t="s">
        <v>3693</v>
      </c>
      <c r="J4945" t="s">
        <v>33351</v>
      </c>
      <c r="K4945" t="s">
        <v>39025</v>
      </c>
      <c r="M4945" t="s">
        <v>39363</v>
      </c>
      <c r="N4945" t="s">
        <v>43166</v>
      </c>
      <c r="O4945" t="s">
        <v>43167</v>
      </c>
      <c r="Q4945">
        <v>1</v>
      </c>
      <c r="R4945" t="s">
        <v>43172</v>
      </c>
      <c r="S4945" t="s">
        <v>43339</v>
      </c>
      <c r="T4945" t="s">
        <v>44796</v>
      </c>
      <c r="U4945" t="s">
        <v>49216</v>
      </c>
      <c r="W4945" t="s">
        <v>39363</v>
      </c>
      <c r="X4945" t="s">
        <v>43174</v>
      </c>
    </row>
    <row r="4946" spans="1:24">
      <c r="A4946">
        <f>HYPERLINK("https://www.philgeps.gov.ph/GEPSNONPILOT/Tender/SplashBidNoticeAbstractUI.aspx?menuIndex=3&amp;refID=7078498&amp;Result=3","7078498")</f>
        <v>0</v>
      </c>
      <c r="B4946" t="s">
        <v>747</v>
      </c>
      <c r="C4946" t="s">
        <v>8143</v>
      </c>
      <c r="E4946" t="s">
        <v>21798</v>
      </c>
      <c r="F4946" t="s">
        <v>30052</v>
      </c>
      <c r="G4946" t="s">
        <v>30063</v>
      </c>
      <c r="H4946" t="s">
        <v>15498</v>
      </c>
      <c r="I4946" t="s">
        <v>30091</v>
      </c>
      <c r="J4946" t="s">
        <v>33352</v>
      </c>
      <c r="K4946" t="s">
        <v>39026</v>
      </c>
      <c r="M4946" t="s">
        <v>40061</v>
      </c>
      <c r="N4946" t="s">
        <v>43166</v>
      </c>
      <c r="O4946" t="s">
        <v>43167</v>
      </c>
      <c r="P4946">
        <v>0</v>
      </c>
      <c r="Q4946">
        <v>18</v>
      </c>
      <c r="R4946" t="s">
        <v>43172</v>
      </c>
      <c r="S4946" t="s">
        <v>43334</v>
      </c>
      <c r="T4946" t="s">
        <v>44842</v>
      </c>
      <c r="U4946" t="s">
        <v>49217</v>
      </c>
      <c r="W4946" t="s">
        <v>40061</v>
      </c>
      <c r="X4946" t="s">
        <v>43174</v>
      </c>
    </row>
    <row r="4947" spans="1:24">
      <c r="A4947">
        <f>HYPERLINK("https://www.philgeps.gov.ph/GEPSNONPILOT/Tender/SplashBidNoticeAbstractUI.aspx?menuIndex=3&amp;refID=7078491&amp;Result=3","7078491")</f>
        <v>0</v>
      </c>
      <c r="B4947" t="s">
        <v>1718</v>
      </c>
      <c r="C4947" t="s">
        <v>8144</v>
      </c>
      <c r="E4947" t="s">
        <v>21799</v>
      </c>
      <c r="F4947" t="s">
        <v>30052</v>
      </c>
      <c r="G4947" t="s">
        <v>30058</v>
      </c>
      <c r="H4947" t="s">
        <v>30067</v>
      </c>
      <c r="I4947" t="s">
        <v>3693</v>
      </c>
      <c r="J4947" t="s">
        <v>33353</v>
      </c>
      <c r="K4947" t="s">
        <v>39035</v>
      </c>
      <c r="M4947" t="s">
        <v>41134</v>
      </c>
      <c r="N4947" t="s">
        <v>43166</v>
      </c>
      <c r="O4947" t="s">
        <v>43167</v>
      </c>
      <c r="P4947">
        <v>0</v>
      </c>
      <c r="Q4947">
        <v>1</v>
      </c>
      <c r="R4947" t="s">
        <v>43172</v>
      </c>
      <c r="S4947" t="s">
        <v>43334</v>
      </c>
      <c r="T4947" t="s">
        <v>44685</v>
      </c>
      <c r="U4947" t="s">
        <v>49218</v>
      </c>
      <c r="W4947" t="s">
        <v>41134</v>
      </c>
      <c r="X4947" t="s">
        <v>43174</v>
      </c>
    </row>
    <row r="4948" spans="1:24">
      <c r="A4948">
        <f>HYPERLINK("https://www.philgeps.gov.ph/GEPSNONPILOT/Tender/SplashBidNoticeAbstractUI.aspx?menuIndex=3&amp;refID=7078483&amp;Result=3","7078483")</f>
        <v>0</v>
      </c>
      <c r="B4948" t="s">
        <v>747</v>
      </c>
      <c r="C4948" t="s">
        <v>8145</v>
      </c>
      <c r="E4948" t="s">
        <v>21800</v>
      </c>
      <c r="F4948" t="s">
        <v>30052</v>
      </c>
      <c r="G4948" t="s">
        <v>30063</v>
      </c>
      <c r="H4948" t="s">
        <v>15498</v>
      </c>
      <c r="I4948" t="s">
        <v>30091</v>
      </c>
      <c r="J4948" t="s">
        <v>33354</v>
      </c>
      <c r="K4948" t="s">
        <v>39026</v>
      </c>
      <c r="M4948" t="s">
        <v>40061</v>
      </c>
      <c r="N4948" t="s">
        <v>43166</v>
      </c>
      <c r="O4948" t="s">
        <v>43167</v>
      </c>
      <c r="P4948">
        <v>0</v>
      </c>
      <c r="Q4948">
        <v>16</v>
      </c>
      <c r="R4948" t="s">
        <v>43172</v>
      </c>
      <c r="S4948" t="s">
        <v>43334</v>
      </c>
      <c r="T4948" t="s">
        <v>44794</v>
      </c>
      <c r="U4948" t="s">
        <v>49219</v>
      </c>
      <c r="W4948" t="s">
        <v>40061</v>
      </c>
      <c r="X4948" t="s">
        <v>43174</v>
      </c>
    </row>
    <row r="4949" spans="1:24">
      <c r="A4949">
        <f>HYPERLINK("https://www.philgeps.gov.ph/GEPSNONPILOT/Tender/SplashBidNoticeAbstractUI.aspx?menuIndex=3&amp;refID=7078560&amp;Result=3","7078560")</f>
        <v>0</v>
      </c>
      <c r="B4949" t="s">
        <v>1717</v>
      </c>
      <c r="C4949" t="s">
        <v>8146</v>
      </c>
      <c r="D4949" t="s">
        <v>17435</v>
      </c>
      <c r="E4949" t="s">
        <v>21801</v>
      </c>
      <c r="F4949" t="s">
        <v>30052</v>
      </c>
      <c r="G4949" t="s">
        <v>30058</v>
      </c>
      <c r="H4949" t="s">
        <v>30067</v>
      </c>
      <c r="I4949" t="s">
        <v>3693</v>
      </c>
      <c r="J4949" t="s">
        <v>33355</v>
      </c>
      <c r="K4949" t="s">
        <v>39022</v>
      </c>
      <c r="M4949" t="s">
        <v>41133</v>
      </c>
      <c r="N4949" t="s">
        <v>43166</v>
      </c>
      <c r="O4949" t="s">
        <v>43167</v>
      </c>
      <c r="P4949">
        <v>0</v>
      </c>
      <c r="Q4949">
        <v>1</v>
      </c>
      <c r="R4949" t="s">
        <v>43172</v>
      </c>
      <c r="S4949" t="s">
        <v>43334</v>
      </c>
      <c r="T4949" t="s">
        <v>44758</v>
      </c>
      <c r="U4949" t="s">
        <v>49220</v>
      </c>
      <c r="W4949" t="s">
        <v>41133</v>
      </c>
      <c r="X4949" t="s">
        <v>43174</v>
      </c>
    </row>
    <row r="4950" spans="1:24">
      <c r="A4950">
        <f>HYPERLINK("https://www.philgeps.gov.ph/GEPSNONPILOT/Tender/SplashBidNoticeAbstractUI.aspx?menuIndex=3&amp;refID=7078777&amp;Result=3","7078777")</f>
        <v>0</v>
      </c>
      <c r="B4950" t="s">
        <v>1181</v>
      </c>
      <c r="C4950" t="s">
        <v>8147</v>
      </c>
      <c r="D4950" t="s">
        <v>17444</v>
      </c>
      <c r="E4950" t="s">
        <v>21802</v>
      </c>
      <c r="F4950" t="s">
        <v>30052</v>
      </c>
      <c r="G4950" t="s">
        <v>30061</v>
      </c>
      <c r="H4950" t="s">
        <v>15498</v>
      </c>
      <c r="I4950" t="s">
        <v>30108</v>
      </c>
      <c r="J4950" t="s">
        <v>33356</v>
      </c>
      <c r="K4950" t="s">
        <v>39025</v>
      </c>
      <c r="M4950" t="s">
        <v>40531</v>
      </c>
      <c r="N4950" t="s">
        <v>43166</v>
      </c>
      <c r="O4950" t="s">
        <v>43167</v>
      </c>
      <c r="P4950">
        <v>0</v>
      </c>
      <c r="Q4950">
        <v>1</v>
      </c>
      <c r="R4950" t="s">
        <v>43172</v>
      </c>
      <c r="S4950" t="s">
        <v>43334</v>
      </c>
      <c r="T4950" t="s">
        <v>44705</v>
      </c>
      <c r="U4950" t="s">
        <v>49221</v>
      </c>
      <c r="W4950" t="s">
        <v>40531</v>
      </c>
      <c r="X4950" t="s">
        <v>43174</v>
      </c>
    </row>
    <row r="4951" spans="1:24">
      <c r="A4951">
        <f>HYPERLINK("https://www.philgeps.gov.ph/GEPSNONPILOT/Tender/SplashBidNoticeAbstractUI.aspx?menuIndex=3&amp;refID=7078765&amp;Result=3","7078765")</f>
        <v>0</v>
      </c>
      <c r="B4951" t="s">
        <v>1181</v>
      </c>
      <c r="C4951" t="s">
        <v>8148</v>
      </c>
      <c r="D4951" t="s">
        <v>17474</v>
      </c>
      <c r="E4951" t="s">
        <v>21803</v>
      </c>
      <c r="F4951" t="s">
        <v>30052</v>
      </c>
      <c r="G4951" t="s">
        <v>30061</v>
      </c>
      <c r="H4951" t="s">
        <v>15498</v>
      </c>
      <c r="I4951" t="s">
        <v>30070</v>
      </c>
      <c r="J4951" t="s">
        <v>33357</v>
      </c>
      <c r="K4951" t="s">
        <v>39025</v>
      </c>
      <c r="M4951" t="s">
        <v>40531</v>
      </c>
      <c r="N4951" t="s">
        <v>43166</v>
      </c>
      <c r="O4951" t="s">
        <v>43167</v>
      </c>
      <c r="P4951">
        <v>0</v>
      </c>
      <c r="Q4951">
        <v>1</v>
      </c>
      <c r="R4951" t="s">
        <v>43172</v>
      </c>
      <c r="S4951" t="s">
        <v>43334</v>
      </c>
      <c r="T4951" t="s">
        <v>44689</v>
      </c>
      <c r="U4951" t="s">
        <v>49222</v>
      </c>
      <c r="W4951" t="s">
        <v>40531</v>
      </c>
      <c r="X4951" t="s">
        <v>43174</v>
      </c>
    </row>
    <row r="4952" spans="1:24">
      <c r="A4952">
        <f>HYPERLINK("https://www.philgeps.gov.ph/GEPSNONPILOT/Tender/SplashBidNoticeAbstractUI.aspx?menuIndex=3&amp;refID=7078762&amp;Result=3","7078762")</f>
        <v>0</v>
      </c>
      <c r="B4952" t="s">
        <v>1719</v>
      </c>
      <c r="C4952" t="s">
        <v>8149</v>
      </c>
      <c r="D4952" t="s">
        <v>17432</v>
      </c>
      <c r="E4952" t="s">
        <v>17713</v>
      </c>
      <c r="F4952" t="s">
        <v>30052</v>
      </c>
      <c r="G4952" t="s">
        <v>30061</v>
      </c>
      <c r="H4952" t="s">
        <v>15498</v>
      </c>
      <c r="I4952" t="s">
        <v>30076</v>
      </c>
      <c r="J4952" t="s">
        <v>30398</v>
      </c>
      <c r="K4952" t="s">
        <v>39018</v>
      </c>
      <c r="M4952" t="s">
        <v>41135</v>
      </c>
      <c r="N4952" t="s">
        <v>43166</v>
      </c>
      <c r="O4952" t="s">
        <v>43167</v>
      </c>
      <c r="P4952">
        <v>0</v>
      </c>
      <c r="Q4952">
        <v>1</v>
      </c>
      <c r="R4952" t="s">
        <v>43172</v>
      </c>
      <c r="S4952" t="s">
        <v>43334</v>
      </c>
      <c r="T4952" t="s">
        <v>44734</v>
      </c>
      <c r="U4952" t="s">
        <v>49223</v>
      </c>
      <c r="W4952" t="s">
        <v>41135</v>
      </c>
      <c r="X4952" t="s">
        <v>43174</v>
      </c>
    </row>
    <row r="4953" spans="1:24">
      <c r="A4953">
        <f>HYPERLINK("https://www.philgeps.gov.ph/GEPSNONPILOT/Tender/SplashBidNoticeAbstractUI.aspx?menuIndex=3&amp;refID=7078756&amp;Result=3","7078756")</f>
        <v>0</v>
      </c>
      <c r="B4953" t="s">
        <v>1181</v>
      </c>
      <c r="C4953" t="s">
        <v>8150</v>
      </c>
      <c r="D4953" t="s">
        <v>17444</v>
      </c>
      <c r="E4953" t="s">
        <v>21804</v>
      </c>
      <c r="F4953" t="s">
        <v>30052</v>
      </c>
      <c r="G4953" t="s">
        <v>30061</v>
      </c>
      <c r="H4953" t="s">
        <v>15498</v>
      </c>
      <c r="I4953" t="s">
        <v>7228</v>
      </c>
      <c r="J4953" t="s">
        <v>33358</v>
      </c>
      <c r="K4953" t="s">
        <v>39025</v>
      </c>
      <c r="M4953" t="s">
        <v>40531</v>
      </c>
      <c r="N4953" t="s">
        <v>43166</v>
      </c>
      <c r="O4953" t="s">
        <v>43167</v>
      </c>
      <c r="P4953">
        <v>0</v>
      </c>
      <c r="Q4953">
        <v>0</v>
      </c>
      <c r="R4953" t="s">
        <v>43172</v>
      </c>
      <c r="S4953" t="s">
        <v>43334</v>
      </c>
      <c r="T4953" t="s">
        <v>44705</v>
      </c>
      <c r="U4953" t="s">
        <v>49224</v>
      </c>
      <c r="W4953" t="s">
        <v>40531</v>
      </c>
      <c r="X4953" t="s">
        <v>43174</v>
      </c>
    </row>
    <row r="4954" spans="1:24">
      <c r="A4954">
        <f>HYPERLINK("https://www.philgeps.gov.ph/GEPSNONPILOT/Tender/SplashBidNoticeAbstractUI.aspx?menuIndex=3&amp;refID=7078751&amp;Result=3","7078751")</f>
        <v>0</v>
      </c>
      <c r="B4954" t="s">
        <v>1181</v>
      </c>
      <c r="C4954" t="s">
        <v>8151</v>
      </c>
      <c r="D4954" t="s">
        <v>17444</v>
      </c>
      <c r="E4954" t="s">
        <v>21805</v>
      </c>
      <c r="F4954" t="s">
        <v>30052</v>
      </c>
      <c r="G4954" t="s">
        <v>30061</v>
      </c>
      <c r="H4954" t="s">
        <v>15498</v>
      </c>
      <c r="I4954" t="s">
        <v>30070</v>
      </c>
      <c r="J4954" t="s">
        <v>33359</v>
      </c>
      <c r="K4954" t="s">
        <v>39025</v>
      </c>
      <c r="M4954" t="s">
        <v>40531</v>
      </c>
      <c r="N4954" t="s">
        <v>43166</v>
      </c>
      <c r="O4954" t="s">
        <v>43167</v>
      </c>
      <c r="P4954">
        <v>0</v>
      </c>
      <c r="Q4954">
        <v>1</v>
      </c>
      <c r="R4954" t="s">
        <v>43172</v>
      </c>
      <c r="S4954" t="s">
        <v>43334</v>
      </c>
      <c r="T4954" t="s">
        <v>44787</v>
      </c>
      <c r="U4954" t="s">
        <v>49225</v>
      </c>
      <c r="W4954" t="s">
        <v>40531</v>
      </c>
      <c r="X4954" t="s">
        <v>43174</v>
      </c>
    </row>
    <row r="4955" spans="1:24">
      <c r="A4955">
        <f>HYPERLINK("https://www.philgeps.gov.ph/GEPSNONPILOT/Tender/SplashBidNoticeAbstractUI.aspx?menuIndex=3&amp;refID=7078284&amp;Result=3","7078284")</f>
        <v>0</v>
      </c>
      <c r="B4955" t="s">
        <v>1170</v>
      </c>
      <c r="C4955" t="s">
        <v>8124</v>
      </c>
      <c r="D4955" t="s">
        <v>17482</v>
      </c>
      <c r="E4955" t="s">
        <v>21806</v>
      </c>
      <c r="F4955" t="s">
        <v>30052</v>
      </c>
      <c r="G4955" t="s">
        <v>30061</v>
      </c>
      <c r="H4955" t="s">
        <v>15498</v>
      </c>
      <c r="I4955" t="s">
        <v>30084</v>
      </c>
      <c r="J4955" t="s">
        <v>30358</v>
      </c>
      <c r="K4955" t="s">
        <v>39025</v>
      </c>
      <c r="M4955" t="s">
        <v>41117</v>
      </c>
      <c r="N4955" t="s">
        <v>43166</v>
      </c>
      <c r="O4955" t="s">
        <v>43167</v>
      </c>
      <c r="P4955">
        <v>0</v>
      </c>
      <c r="Q4955">
        <v>0</v>
      </c>
      <c r="R4955" t="s">
        <v>43172</v>
      </c>
      <c r="S4955" t="s">
        <v>43334</v>
      </c>
      <c r="T4955" t="s">
        <v>44969</v>
      </c>
      <c r="U4955" t="s">
        <v>49226</v>
      </c>
      <c r="V4955" t="s">
        <v>57364</v>
      </c>
      <c r="W4955" t="s">
        <v>41117</v>
      </c>
      <c r="X4955" t="s">
        <v>43174</v>
      </c>
    </row>
    <row r="4956" spans="1:24">
      <c r="A4956">
        <f>HYPERLINK("https://www.philgeps.gov.ph/GEPSNONPILOT/Tender/SplashBidNoticeAbstractUI.aspx?menuIndex=3&amp;refID=7078801&amp;Result=3","7078801")</f>
        <v>0</v>
      </c>
      <c r="B4956" t="s">
        <v>1720</v>
      </c>
      <c r="C4956" t="s">
        <v>8152</v>
      </c>
      <c r="D4956" t="s">
        <v>17415</v>
      </c>
      <c r="E4956" t="s">
        <v>21807</v>
      </c>
      <c r="F4956" t="s">
        <v>30052</v>
      </c>
      <c r="G4956" t="s">
        <v>30058</v>
      </c>
      <c r="H4956" t="s">
        <v>15498</v>
      </c>
      <c r="I4956" t="s">
        <v>3852</v>
      </c>
      <c r="J4956" t="s">
        <v>33360</v>
      </c>
      <c r="K4956" t="s">
        <v>39017</v>
      </c>
      <c r="M4956" t="s">
        <v>41136</v>
      </c>
      <c r="N4956" t="s">
        <v>43166</v>
      </c>
      <c r="O4956" t="s">
        <v>43167</v>
      </c>
      <c r="P4956">
        <v>0</v>
      </c>
      <c r="Q4956">
        <v>1</v>
      </c>
      <c r="R4956" t="s">
        <v>43172</v>
      </c>
      <c r="S4956" t="s">
        <v>43334</v>
      </c>
      <c r="T4956" t="s">
        <v>44708</v>
      </c>
      <c r="U4956" t="s">
        <v>49227</v>
      </c>
      <c r="W4956" t="s">
        <v>41136</v>
      </c>
      <c r="X4956" t="s">
        <v>43174</v>
      </c>
    </row>
    <row r="4957" spans="1:24">
      <c r="A4957">
        <f>HYPERLINK("https://www.philgeps.gov.ph/GEPSNONPILOT/Tender/SplashBidNoticeAbstractUI.aspx?menuIndex=3&amp;refID=7078799&amp;Result=3","7078799")</f>
        <v>0</v>
      </c>
      <c r="B4957" t="s">
        <v>1721</v>
      </c>
      <c r="C4957" t="s">
        <v>8153</v>
      </c>
      <c r="D4957" t="s">
        <v>17465</v>
      </c>
      <c r="E4957" t="s">
        <v>21808</v>
      </c>
      <c r="F4957" t="s">
        <v>30052</v>
      </c>
      <c r="G4957" t="s">
        <v>30061</v>
      </c>
      <c r="H4957" t="s">
        <v>15498</v>
      </c>
      <c r="I4957" t="s">
        <v>3606</v>
      </c>
      <c r="J4957" t="s">
        <v>33361</v>
      </c>
      <c r="K4957" t="s">
        <v>39025</v>
      </c>
      <c r="M4957" t="s">
        <v>41137</v>
      </c>
      <c r="N4957" t="s">
        <v>43166</v>
      </c>
      <c r="O4957" t="s">
        <v>43167</v>
      </c>
      <c r="P4957">
        <v>0</v>
      </c>
      <c r="Q4957">
        <v>3</v>
      </c>
      <c r="R4957" t="s">
        <v>43172</v>
      </c>
      <c r="S4957" t="s">
        <v>43334</v>
      </c>
      <c r="T4957" t="s">
        <v>44720</v>
      </c>
      <c r="U4957" t="s">
        <v>49228</v>
      </c>
      <c r="W4957" t="s">
        <v>41137</v>
      </c>
      <c r="X4957" t="s">
        <v>43174</v>
      </c>
    </row>
    <row r="4958" spans="1:24">
      <c r="A4958">
        <f>HYPERLINK("https://www.philgeps.gov.ph/GEPSNONPILOT/Tender/SplashBidNoticeAbstractUI.aspx?menuIndex=3&amp;refID=7078822&amp;Result=3","7078822")</f>
        <v>0</v>
      </c>
      <c r="B4958" t="s">
        <v>431</v>
      </c>
      <c r="C4958" t="s">
        <v>8154</v>
      </c>
      <c r="D4958" t="s">
        <v>17482</v>
      </c>
      <c r="E4958" t="s">
        <v>21809</v>
      </c>
      <c r="F4958" t="s">
        <v>30054</v>
      </c>
      <c r="G4958" t="s">
        <v>30061</v>
      </c>
      <c r="H4958" t="s">
        <v>15498</v>
      </c>
      <c r="I4958" t="s">
        <v>4650</v>
      </c>
      <c r="J4958" t="s">
        <v>30895</v>
      </c>
      <c r="K4958" t="s">
        <v>39034</v>
      </c>
      <c r="M4958" t="s">
        <v>39730</v>
      </c>
      <c r="N4958" t="s">
        <v>43166</v>
      </c>
      <c r="O4958" t="s">
        <v>43167</v>
      </c>
      <c r="P4958">
        <v>0</v>
      </c>
      <c r="Q4958">
        <v>0</v>
      </c>
      <c r="R4958" t="s">
        <v>43172</v>
      </c>
      <c r="S4958" t="s">
        <v>43334</v>
      </c>
      <c r="T4958" t="s">
        <v>44685</v>
      </c>
      <c r="U4958" t="s">
        <v>49229</v>
      </c>
      <c r="W4958" t="s">
        <v>39730</v>
      </c>
      <c r="X4958" t="s">
        <v>43173</v>
      </c>
    </row>
    <row r="4959" spans="1:24">
      <c r="A4959">
        <f>HYPERLINK("https://www.philgeps.gov.ph/GEPSNONPILOT/Tender/SplashBidNoticeAbstractUI.aspx?menuIndex=3&amp;refID=7078475&amp;Result=3","7078475")</f>
        <v>0</v>
      </c>
      <c r="B4959" t="s">
        <v>1646</v>
      </c>
      <c r="C4959" t="s">
        <v>8155</v>
      </c>
      <c r="E4959" t="s">
        <v>21810</v>
      </c>
      <c r="F4959" t="s">
        <v>30052</v>
      </c>
      <c r="G4959" t="s">
        <v>30059</v>
      </c>
      <c r="H4959" t="s">
        <v>15498</v>
      </c>
      <c r="I4959" t="s">
        <v>30153</v>
      </c>
      <c r="J4959" t="s">
        <v>33362</v>
      </c>
      <c r="K4959" t="s">
        <v>39025</v>
      </c>
      <c r="M4959" t="s">
        <v>41107</v>
      </c>
      <c r="N4959" t="s">
        <v>43166</v>
      </c>
      <c r="O4959" t="s">
        <v>43167</v>
      </c>
      <c r="P4959">
        <v>0</v>
      </c>
      <c r="Q4959">
        <v>7</v>
      </c>
      <c r="R4959" t="s">
        <v>43172</v>
      </c>
      <c r="S4959" t="s">
        <v>43334</v>
      </c>
      <c r="T4959" t="s">
        <v>44862</v>
      </c>
      <c r="U4959" t="s">
        <v>49230</v>
      </c>
      <c r="W4959" t="s">
        <v>41107</v>
      </c>
      <c r="X4959" t="s">
        <v>43174</v>
      </c>
    </row>
    <row r="4960" spans="1:24">
      <c r="A4960">
        <f>HYPERLINK("https://www.philgeps.gov.ph/GEPSNONPILOT/Tender/SplashBidNoticeAbstractUI.aspx?menuIndex=3&amp;refID=7078772&amp;Result=3","7078772")</f>
        <v>0</v>
      </c>
      <c r="B4960" t="s">
        <v>1181</v>
      </c>
      <c r="C4960" t="s">
        <v>8156</v>
      </c>
      <c r="D4960" t="s">
        <v>17444</v>
      </c>
      <c r="E4960" t="s">
        <v>21802</v>
      </c>
      <c r="F4960" t="s">
        <v>30052</v>
      </c>
      <c r="G4960" t="s">
        <v>30059</v>
      </c>
      <c r="H4960" t="s">
        <v>15498</v>
      </c>
      <c r="I4960" t="s">
        <v>30105</v>
      </c>
      <c r="J4960" t="s">
        <v>33363</v>
      </c>
      <c r="K4960" t="s">
        <v>39025</v>
      </c>
      <c r="M4960" t="s">
        <v>40531</v>
      </c>
      <c r="N4960" t="s">
        <v>43166</v>
      </c>
      <c r="O4960" t="s">
        <v>43167</v>
      </c>
      <c r="P4960">
        <v>0</v>
      </c>
      <c r="Q4960">
        <v>3</v>
      </c>
      <c r="R4960" t="s">
        <v>43172</v>
      </c>
      <c r="S4960" t="s">
        <v>43334</v>
      </c>
      <c r="T4960" t="s">
        <v>44705</v>
      </c>
      <c r="U4960" t="s">
        <v>49231</v>
      </c>
      <c r="W4960" t="s">
        <v>40531</v>
      </c>
      <c r="X4960" t="s">
        <v>43174</v>
      </c>
    </row>
    <row r="4961" spans="1:24">
      <c r="A4961">
        <f>HYPERLINK("https://www.philgeps.gov.ph/GEPSNONPILOT/Tender/SplashBidNoticeAbstractUI.aspx?menuIndex=3&amp;refID=7078815&amp;Result=3","7078815")</f>
        <v>0</v>
      </c>
      <c r="B4961" t="s">
        <v>1721</v>
      </c>
      <c r="C4961" t="s">
        <v>8157</v>
      </c>
      <c r="D4961" t="s">
        <v>17465</v>
      </c>
      <c r="E4961" t="s">
        <v>21811</v>
      </c>
      <c r="F4961" t="s">
        <v>30052</v>
      </c>
      <c r="G4961" t="s">
        <v>30061</v>
      </c>
      <c r="H4961" t="s">
        <v>15498</v>
      </c>
      <c r="I4961" t="s">
        <v>30070</v>
      </c>
      <c r="J4961" t="s">
        <v>30905</v>
      </c>
      <c r="K4961" t="s">
        <v>39025</v>
      </c>
      <c r="M4961" t="s">
        <v>41137</v>
      </c>
      <c r="N4961" t="s">
        <v>43166</v>
      </c>
      <c r="O4961" t="s">
        <v>43167</v>
      </c>
      <c r="P4961">
        <v>0</v>
      </c>
      <c r="Q4961">
        <v>2</v>
      </c>
      <c r="R4961" t="s">
        <v>43172</v>
      </c>
      <c r="S4961" t="s">
        <v>43334</v>
      </c>
      <c r="T4961" t="s">
        <v>44720</v>
      </c>
      <c r="U4961" t="s">
        <v>49232</v>
      </c>
      <c r="W4961" t="s">
        <v>41137</v>
      </c>
      <c r="X4961" t="s">
        <v>43173</v>
      </c>
    </row>
    <row r="4962" spans="1:24">
      <c r="A4962">
        <f>HYPERLINK("https://www.philgeps.gov.ph/GEPSNONPILOT/Tender/SplashBidNoticeAbstractUI.aspx?menuIndex=3&amp;refID=7078814&amp;Result=3","7078814")</f>
        <v>0</v>
      </c>
      <c r="B4962" t="s">
        <v>1721</v>
      </c>
      <c r="C4962" t="s">
        <v>8158</v>
      </c>
      <c r="D4962" t="s">
        <v>17465</v>
      </c>
      <c r="E4962" t="s">
        <v>21808</v>
      </c>
      <c r="F4962" t="s">
        <v>30052</v>
      </c>
      <c r="G4962" t="s">
        <v>30061</v>
      </c>
      <c r="H4962" t="s">
        <v>15498</v>
      </c>
      <c r="I4962" t="s">
        <v>3852</v>
      </c>
      <c r="J4962" t="s">
        <v>33364</v>
      </c>
      <c r="K4962" t="s">
        <v>39025</v>
      </c>
      <c r="M4962" t="s">
        <v>41137</v>
      </c>
      <c r="N4962" t="s">
        <v>43166</v>
      </c>
      <c r="O4962" t="s">
        <v>43167</v>
      </c>
      <c r="P4962">
        <v>0</v>
      </c>
      <c r="Q4962">
        <v>1</v>
      </c>
      <c r="R4962" t="s">
        <v>43172</v>
      </c>
      <c r="S4962" t="s">
        <v>43334</v>
      </c>
      <c r="T4962" t="s">
        <v>44720</v>
      </c>
      <c r="U4962" t="s">
        <v>49233</v>
      </c>
      <c r="W4962" t="s">
        <v>41137</v>
      </c>
      <c r="X4962" t="s">
        <v>43173</v>
      </c>
    </row>
    <row r="4963" spans="1:24">
      <c r="A4963">
        <f>HYPERLINK("https://www.philgeps.gov.ph/GEPSNONPILOT/Tender/SplashBidNoticeAbstractUI.aspx?menuIndex=3&amp;refID=7078832&amp;Result=3","7078832")</f>
        <v>0</v>
      </c>
      <c r="B4963" t="s">
        <v>431</v>
      </c>
      <c r="C4963" t="s">
        <v>8159</v>
      </c>
      <c r="D4963" t="s">
        <v>17482</v>
      </c>
      <c r="E4963" t="s">
        <v>21812</v>
      </c>
      <c r="F4963" t="s">
        <v>30054</v>
      </c>
      <c r="G4963" t="s">
        <v>30058</v>
      </c>
      <c r="H4963" t="s">
        <v>15498</v>
      </c>
      <c r="I4963" t="s">
        <v>3736</v>
      </c>
      <c r="J4963" t="s">
        <v>30218</v>
      </c>
      <c r="K4963" t="s">
        <v>39034</v>
      </c>
      <c r="M4963" t="s">
        <v>39730</v>
      </c>
      <c r="N4963" t="s">
        <v>43166</v>
      </c>
      <c r="O4963" t="s">
        <v>43167</v>
      </c>
      <c r="P4963">
        <v>0</v>
      </c>
      <c r="Q4963">
        <v>0</v>
      </c>
      <c r="R4963" t="s">
        <v>43172</v>
      </c>
      <c r="S4963" t="s">
        <v>43334</v>
      </c>
      <c r="T4963" t="s">
        <v>44763</v>
      </c>
      <c r="U4963" t="s">
        <v>49234</v>
      </c>
      <c r="W4963" t="s">
        <v>39730</v>
      </c>
      <c r="X4963" t="s">
        <v>43173</v>
      </c>
    </row>
    <row r="4964" spans="1:24">
      <c r="A4964">
        <f>HYPERLINK("https://www.philgeps.gov.ph/GEPSNONPILOT/Tender/SplashBidNoticeAbstractUI.aspx?menuIndex=3&amp;refID=7078827&amp;Result=3","7078827")</f>
        <v>0</v>
      </c>
      <c r="B4964" t="s">
        <v>431</v>
      </c>
      <c r="C4964" t="s">
        <v>8160</v>
      </c>
      <c r="D4964" t="s">
        <v>17482</v>
      </c>
      <c r="E4964" t="s">
        <v>21813</v>
      </c>
      <c r="F4964" t="s">
        <v>30054</v>
      </c>
      <c r="G4964" t="s">
        <v>30058</v>
      </c>
      <c r="H4964" t="s">
        <v>15498</v>
      </c>
      <c r="I4964" t="s">
        <v>3736</v>
      </c>
      <c r="J4964" t="s">
        <v>30207</v>
      </c>
      <c r="K4964" t="s">
        <v>39034</v>
      </c>
      <c r="M4964" t="s">
        <v>39730</v>
      </c>
      <c r="N4964" t="s">
        <v>43166</v>
      </c>
      <c r="O4964" t="s">
        <v>43167</v>
      </c>
      <c r="P4964">
        <v>0</v>
      </c>
      <c r="Q4964">
        <v>0</v>
      </c>
      <c r="R4964" t="s">
        <v>43172</v>
      </c>
      <c r="S4964" t="s">
        <v>43334</v>
      </c>
      <c r="T4964" t="s">
        <v>44791</v>
      </c>
      <c r="U4964" t="s">
        <v>49235</v>
      </c>
      <c r="W4964" t="s">
        <v>39730</v>
      </c>
      <c r="X4964" t="s">
        <v>43173</v>
      </c>
    </row>
    <row r="4965" spans="1:24">
      <c r="A4965">
        <f>HYPERLINK("https://www.philgeps.gov.ph/GEPSNONPILOT/Tender/SplashBidNoticeAbstractUI.aspx?menuIndex=3&amp;refID=7078823&amp;Result=3","7078823")</f>
        <v>0</v>
      </c>
      <c r="B4965" t="s">
        <v>431</v>
      </c>
      <c r="C4965" t="s">
        <v>8161</v>
      </c>
      <c r="D4965" t="s">
        <v>17482</v>
      </c>
      <c r="E4965" t="s">
        <v>21814</v>
      </c>
      <c r="F4965" t="s">
        <v>30054</v>
      </c>
      <c r="G4965" t="s">
        <v>30058</v>
      </c>
      <c r="H4965" t="s">
        <v>15498</v>
      </c>
      <c r="I4965" t="s">
        <v>30097</v>
      </c>
      <c r="J4965" t="s">
        <v>33365</v>
      </c>
      <c r="K4965" t="s">
        <v>39034</v>
      </c>
      <c r="M4965" t="s">
        <v>39730</v>
      </c>
      <c r="N4965" t="s">
        <v>43166</v>
      </c>
      <c r="O4965" t="s">
        <v>43167</v>
      </c>
      <c r="P4965">
        <v>0</v>
      </c>
      <c r="Q4965">
        <v>1</v>
      </c>
      <c r="R4965" t="s">
        <v>43172</v>
      </c>
      <c r="S4965" t="s">
        <v>43334</v>
      </c>
      <c r="T4965" t="s">
        <v>44763</v>
      </c>
      <c r="U4965" t="s">
        <v>49236</v>
      </c>
      <c r="W4965" t="s">
        <v>39730</v>
      </c>
      <c r="X4965" t="s">
        <v>43173</v>
      </c>
    </row>
    <row r="4966" spans="1:24">
      <c r="A4966">
        <f>HYPERLINK("https://www.philgeps.gov.ph/GEPSNONPILOT/Tender/SplashBidNoticeAbstractUI.aspx?menuIndex=3&amp;refID=7078812&amp;Result=3","7078812")</f>
        <v>0</v>
      </c>
      <c r="B4966" t="s">
        <v>1721</v>
      </c>
      <c r="C4966" t="s">
        <v>8162</v>
      </c>
      <c r="D4966" t="s">
        <v>17465</v>
      </c>
      <c r="E4966" t="s">
        <v>21808</v>
      </c>
      <c r="F4966" t="s">
        <v>30052</v>
      </c>
      <c r="G4966" t="s">
        <v>30061</v>
      </c>
      <c r="H4966" t="s">
        <v>15498</v>
      </c>
      <c r="I4966" t="s">
        <v>3852</v>
      </c>
      <c r="J4966" t="s">
        <v>33366</v>
      </c>
      <c r="K4966" t="s">
        <v>39025</v>
      </c>
      <c r="M4966" t="s">
        <v>41137</v>
      </c>
      <c r="N4966" t="s">
        <v>43166</v>
      </c>
      <c r="O4966" t="s">
        <v>43167</v>
      </c>
      <c r="P4966">
        <v>0</v>
      </c>
      <c r="Q4966">
        <v>1</v>
      </c>
      <c r="R4966" t="s">
        <v>43172</v>
      </c>
      <c r="S4966" t="s">
        <v>43334</v>
      </c>
      <c r="T4966" t="s">
        <v>44720</v>
      </c>
      <c r="U4966" t="s">
        <v>49237</v>
      </c>
      <c r="W4966" t="s">
        <v>41137</v>
      </c>
      <c r="X4966" t="s">
        <v>43173</v>
      </c>
    </row>
    <row r="4967" spans="1:24">
      <c r="A4967">
        <f>HYPERLINK("https://www.philgeps.gov.ph/GEPSNONPILOT/Tender/SplashBidNoticeAbstractUI.aspx?menuIndex=3&amp;refID=7078820&amp;Result=3","7078820")</f>
        <v>0</v>
      </c>
      <c r="B4967" t="s">
        <v>431</v>
      </c>
      <c r="C4967" t="s">
        <v>8163</v>
      </c>
      <c r="D4967" t="s">
        <v>17482</v>
      </c>
      <c r="E4967" t="s">
        <v>21815</v>
      </c>
      <c r="F4967" t="s">
        <v>30054</v>
      </c>
      <c r="G4967" t="s">
        <v>30061</v>
      </c>
      <c r="H4967" t="s">
        <v>15498</v>
      </c>
      <c r="I4967" t="s">
        <v>4650</v>
      </c>
      <c r="J4967" t="s">
        <v>30398</v>
      </c>
      <c r="K4967" t="s">
        <v>39034</v>
      </c>
      <c r="M4967" t="s">
        <v>39730</v>
      </c>
      <c r="N4967" t="s">
        <v>43166</v>
      </c>
      <c r="O4967" t="s">
        <v>43167</v>
      </c>
      <c r="P4967">
        <v>0</v>
      </c>
      <c r="Q4967">
        <v>1</v>
      </c>
      <c r="R4967" t="s">
        <v>43172</v>
      </c>
      <c r="S4967" t="s">
        <v>43334</v>
      </c>
      <c r="T4967" t="s">
        <v>44708</v>
      </c>
      <c r="U4967" t="s">
        <v>49238</v>
      </c>
      <c r="W4967" t="s">
        <v>39730</v>
      </c>
      <c r="X4967" t="s">
        <v>43173</v>
      </c>
    </row>
    <row r="4968" spans="1:24">
      <c r="A4968">
        <f>HYPERLINK("https://www.philgeps.gov.ph/GEPSNONPILOT/Tender/SplashBidNoticeAbstractUI.aspx?menuIndex=3&amp;refID=7078810&amp;Result=3","7078810")</f>
        <v>0</v>
      </c>
      <c r="B4968" t="s">
        <v>1721</v>
      </c>
      <c r="C4968" t="s">
        <v>8164</v>
      </c>
      <c r="E4968" t="s">
        <v>21811</v>
      </c>
      <c r="F4968" t="s">
        <v>30052</v>
      </c>
      <c r="G4968" t="s">
        <v>30061</v>
      </c>
      <c r="H4968" t="s">
        <v>15498</v>
      </c>
      <c r="I4968" t="s">
        <v>30078</v>
      </c>
      <c r="J4968" t="s">
        <v>33367</v>
      </c>
      <c r="K4968" t="s">
        <v>39025</v>
      </c>
      <c r="M4968" t="s">
        <v>41137</v>
      </c>
      <c r="N4968" t="s">
        <v>43166</v>
      </c>
      <c r="O4968" t="s">
        <v>43167</v>
      </c>
      <c r="P4968">
        <v>0</v>
      </c>
      <c r="Q4968">
        <v>0</v>
      </c>
      <c r="R4968" t="s">
        <v>43172</v>
      </c>
      <c r="S4968" t="s">
        <v>43334</v>
      </c>
      <c r="T4968" t="s">
        <v>44720</v>
      </c>
      <c r="U4968" t="s">
        <v>49239</v>
      </c>
      <c r="W4968" t="s">
        <v>41137</v>
      </c>
      <c r="X4968" t="s">
        <v>43173</v>
      </c>
    </row>
    <row r="4969" spans="1:24">
      <c r="A4969">
        <f>HYPERLINK("https://www.philgeps.gov.ph/GEPSNONPILOT/Tender/SplashBidNoticeAbstractUI.aspx?menuIndex=3&amp;refID=7078645&amp;Result=3","7078645")</f>
        <v>0</v>
      </c>
      <c r="B4969" t="s">
        <v>1722</v>
      </c>
      <c r="C4969" t="s">
        <v>8165</v>
      </c>
      <c r="D4969" t="s">
        <v>17503</v>
      </c>
      <c r="E4969" t="s">
        <v>21816</v>
      </c>
      <c r="F4969" t="s">
        <v>30052</v>
      </c>
      <c r="G4969" t="s">
        <v>30058</v>
      </c>
      <c r="H4969" t="s">
        <v>15498</v>
      </c>
      <c r="I4969" t="s">
        <v>30092</v>
      </c>
      <c r="J4969" t="s">
        <v>33368</v>
      </c>
      <c r="K4969" t="s">
        <v>39037</v>
      </c>
      <c r="M4969" t="s">
        <v>41138</v>
      </c>
      <c r="N4969" t="s">
        <v>43166</v>
      </c>
      <c r="O4969" t="s">
        <v>43167</v>
      </c>
      <c r="Q4969">
        <v>1</v>
      </c>
      <c r="R4969" t="s">
        <v>43172</v>
      </c>
      <c r="S4969" t="s">
        <v>43340</v>
      </c>
      <c r="T4969" t="s">
        <v>44722</v>
      </c>
      <c r="U4969" t="s">
        <v>49240</v>
      </c>
      <c r="W4969" t="s">
        <v>58653</v>
      </c>
      <c r="X4969" t="s">
        <v>43174</v>
      </c>
    </row>
    <row r="4970" spans="1:24">
      <c r="A4970">
        <f>HYPERLINK("https://www.philgeps.gov.ph/GEPSNONPILOT/Tender/SplashBidNoticeAbstractUI.aspx?menuIndex=3&amp;refID=7078809&amp;Result=3","7078809")</f>
        <v>0</v>
      </c>
      <c r="B4970" t="s">
        <v>1723</v>
      </c>
      <c r="C4970" t="s">
        <v>8166</v>
      </c>
      <c r="D4970" t="s">
        <v>17458</v>
      </c>
      <c r="E4970" t="s">
        <v>21817</v>
      </c>
      <c r="F4970" t="s">
        <v>30052</v>
      </c>
      <c r="G4970" t="s">
        <v>30058</v>
      </c>
      <c r="H4970" t="s">
        <v>30067</v>
      </c>
      <c r="I4970" t="s">
        <v>3693</v>
      </c>
      <c r="J4970" t="s">
        <v>30252</v>
      </c>
      <c r="K4970" t="s">
        <v>39046</v>
      </c>
      <c r="L4970" t="s">
        <v>1723</v>
      </c>
      <c r="M4970" t="s">
        <v>41139</v>
      </c>
      <c r="N4970" t="s">
        <v>43166</v>
      </c>
      <c r="O4970" t="s">
        <v>43167</v>
      </c>
      <c r="P4970">
        <v>0</v>
      </c>
      <c r="Q4970">
        <v>0</v>
      </c>
      <c r="R4970" t="s">
        <v>43172</v>
      </c>
      <c r="S4970" t="s">
        <v>43334</v>
      </c>
      <c r="T4970" t="s">
        <v>44762</v>
      </c>
      <c r="U4970" t="s">
        <v>49241</v>
      </c>
      <c r="V4970" t="s">
        <v>57381</v>
      </c>
      <c r="W4970" t="s">
        <v>41139</v>
      </c>
      <c r="X4970" t="s">
        <v>43173</v>
      </c>
    </row>
    <row r="4971" spans="1:24">
      <c r="A4971">
        <f>HYPERLINK("https://www.philgeps.gov.ph/GEPSNONPILOT/Tender/SplashBidNoticeAbstractUI.aspx?menuIndex=3&amp;refID=7078790&amp;Result=3","7078790")</f>
        <v>0</v>
      </c>
      <c r="B4971" t="s">
        <v>557</v>
      </c>
      <c r="C4971" t="s">
        <v>8167</v>
      </c>
      <c r="D4971" t="s">
        <v>17422</v>
      </c>
      <c r="E4971" t="s">
        <v>21818</v>
      </c>
      <c r="F4971" t="s">
        <v>30052</v>
      </c>
      <c r="G4971" t="s">
        <v>30058</v>
      </c>
      <c r="H4971" t="s">
        <v>15498</v>
      </c>
      <c r="I4971" t="s">
        <v>30078</v>
      </c>
      <c r="J4971" t="s">
        <v>33369</v>
      </c>
      <c r="K4971" t="s">
        <v>39029</v>
      </c>
      <c r="M4971" t="s">
        <v>39859</v>
      </c>
      <c r="N4971" t="s">
        <v>43166</v>
      </c>
      <c r="O4971" t="s">
        <v>43167</v>
      </c>
      <c r="P4971">
        <v>0</v>
      </c>
      <c r="Q4971">
        <v>0</v>
      </c>
      <c r="R4971" t="s">
        <v>43172</v>
      </c>
      <c r="S4971" t="s">
        <v>43334</v>
      </c>
      <c r="T4971" t="s">
        <v>44922</v>
      </c>
      <c r="U4971" t="s">
        <v>49242</v>
      </c>
      <c r="V4971" t="s">
        <v>57382</v>
      </c>
      <c r="W4971" t="s">
        <v>39859</v>
      </c>
      <c r="X4971" t="s">
        <v>43174</v>
      </c>
    </row>
    <row r="4972" spans="1:24">
      <c r="A4972">
        <f>HYPERLINK("https://www.philgeps.gov.ph/GEPSNONPILOT/Tender/SplashBidNoticeAbstractUI.aspx?menuIndex=3&amp;refID=7078807&amp;Result=3","7078807")</f>
        <v>0</v>
      </c>
      <c r="B4972" t="s">
        <v>1723</v>
      </c>
      <c r="C4972" t="s">
        <v>8168</v>
      </c>
      <c r="D4972" t="s">
        <v>17458</v>
      </c>
      <c r="E4972" t="s">
        <v>21819</v>
      </c>
      <c r="F4972" t="s">
        <v>30052</v>
      </c>
      <c r="G4972" t="s">
        <v>30058</v>
      </c>
      <c r="H4972" t="s">
        <v>30067</v>
      </c>
      <c r="I4972" t="s">
        <v>3693</v>
      </c>
      <c r="J4972" t="s">
        <v>30252</v>
      </c>
      <c r="K4972" t="s">
        <v>39046</v>
      </c>
      <c r="L4972" t="s">
        <v>1723</v>
      </c>
      <c r="M4972" t="s">
        <v>41139</v>
      </c>
      <c r="N4972" t="s">
        <v>43166</v>
      </c>
      <c r="O4972" t="s">
        <v>43167</v>
      </c>
      <c r="P4972">
        <v>0</v>
      </c>
      <c r="Q4972">
        <v>0</v>
      </c>
      <c r="R4972" t="s">
        <v>43172</v>
      </c>
      <c r="S4972" t="s">
        <v>43334</v>
      </c>
      <c r="T4972" t="s">
        <v>44762</v>
      </c>
      <c r="U4972" t="s">
        <v>49243</v>
      </c>
      <c r="V4972" t="s">
        <v>57381</v>
      </c>
      <c r="W4972" t="s">
        <v>41139</v>
      </c>
      <c r="X4972" t="s">
        <v>43173</v>
      </c>
    </row>
    <row r="4973" spans="1:24">
      <c r="A4973">
        <f>HYPERLINK("https://www.philgeps.gov.ph/GEPSNONPILOT/Tender/SplashBidNoticeAbstractUI.aspx?menuIndex=3&amp;refID=7078806&amp;Result=3","7078806")</f>
        <v>0</v>
      </c>
      <c r="B4973" t="s">
        <v>1721</v>
      </c>
      <c r="C4973" t="s">
        <v>8169</v>
      </c>
      <c r="D4973" t="s">
        <v>17465</v>
      </c>
      <c r="E4973" t="s">
        <v>21811</v>
      </c>
      <c r="F4973" t="s">
        <v>30052</v>
      </c>
      <c r="G4973" t="s">
        <v>30061</v>
      </c>
      <c r="H4973" t="s">
        <v>15498</v>
      </c>
      <c r="I4973" t="s">
        <v>9238</v>
      </c>
      <c r="J4973" t="s">
        <v>33370</v>
      </c>
      <c r="K4973" t="s">
        <v>39025</v>
      </c>
      <c r="M4973" t="s">
        <v>41137</v>
      </c>
      <c r="N4973" t="s">
        <v>43166</v>
      </c>
      <c r="O4973" t="s">
        <v>43167</v>
      </c>
      <c r="P4973">
        <v>0</v>
      </c>
      <c r="Q4973">
        <v>3</v>
      </c>
      <c r="R4973" t="s">
        <v>43172</v>
      </c>
      <c r="S4973" t="s">
        <v>43334</v>
      </c>
      <c r="T4973" t="s">
        <v>44720</v>
      </c>
      <c r="U4973" t="s">
        <v>49244</v>
      </c>
      <c r="W4973" t="s">
        <v>41137</v>
      </c>
      <c r="X4973" t="s">
        <v>43173</v>
      </c>
    </row>
    <row r="4974" spans="1:24">
      <c r="A4974">
        <f>HYPERLINK("https://www.philgeps.gov.ph/GEPSNONPILOT/Tender/SplashBidNoticeAbstractUI.aspx?menuIndex=3&amp;refID=7078805&amp;Result=3","7078805")</f>
        <v>0</v>
      </c>
      <c r="B4974" t="s">
        <v>1721</v>
      </c>
      <c r="C4974" t="s">
        <v>8170</v>
      </c>
      <c r="D4974" t="s">
        <v>17465</v>
      </c>
      <c r="E4974" t="s">
        <v>21808</v>
      </c>
      <c r="F4974" t="s">
        <v>30052</v>
      </c>
      <c r="G4974" t="s">
        <v>30061</v>
      </c>
      <c r="H4974" t="s">
        <v>15498</v>
      </c>
      <c r="I4974" t="s">
        <v>30147</v>
      </c>
      <c r="J4974" t="s">
        <v>33371</v>
      </c>
      <c r="K4974" t="s">
        <v>39025</v>
      </c>
      <c r="M4974" t="s">
        <v>41137</v>
      </c>
      <c r="N4974" t="s">
        <v>43166</v>
      </c>
      <c r="O4974" t="s">
        <v>43167</v>
      </c>
      <c r="P4974">
        <v>0</v>
      </c>
      <c r="Q4974">
        <v>1</v>
      </c>
      <c r="R4974" t="s">
        <v>43172</v>
      </c>
      <c r="S4974" t="s">
        <v>43334</v>
      </c>
      <c r="T4974" t="s">
        <v>44720</v>
      </c>
      <c r="U4974" t="s">
        <v>49245</v>
      </c>
      <c r="W4974" t="s">
        <v>41137</v>
      </c>
      <c r="X4974" t="s">
        <v>43173</v>
      </c>
    </row>
    <row r="4975" spans="1:24">
      <c r="A4975">
        <f>HYPERLINK("https://www.philgeps.gov.ph/GEPSNONPILOT/Tender/SplashBidNoticeAbstractUI.aspx?menuIndex=3&amp;refID=7078813&amp;Result=3","7078813")</f>
        <v>0</v>
      </c>
      <c r="B4975" t="s">
        <v>1721</v>
      </c>
      <c r="C4975" t="s">
        <v>8171</v>
      </c>
      <c r="D4975" t="s">
        <v>17465</v>
      </c>
      <c r="E4975" t="s">
        <v>21808</v>
      </c>
      <c r="F4975" t="s">
        <v>30052</v>
      </c>
      <c r="G4975" t="s">
        <v>30061</v>
      </c>
      <c r="H4975" t="s">
        <v>15498</v>
      </c>
      <c r="I4975" t="s">
        <v>3852</v>
      </c>
      <c r="J4975" t="s">
        <v>33372</v>
      </c>
      <c r="K4975" t="s">
        <v>39025</v>
      </c>
      <c r="M4975" t="s">
        <v>41137</v>
      </c>
      <c r="N4975" t="s">
        <v>43166</v>
      </c>
      <c r="O4975" t="s">
        <v>43167</v>
      </c>
      <c r="P4975">
        <v>0</v>
      </c>
      <c r="Q4975">
        <v>1</v>
      </c>
      <c r="R4975" t="s">
        <v>43172</v>
      </c>
      <c r="S4975" t="s">
        <v>43334</v>
      </c>
      <c r="T4975" t="s">
        <v>44720</v>
      </c>
      <c r="U4975" t="s">
        <v>49246</v>
      </c>
      <c r="W4975" t="s">
        <v>41137</v>
      </c>
      <c r="X4975" t="s">
        <v>43173</v>
      </c>
    </row>
    <row r="4976" spans="1:24">
      <c r="A4976">
        <f>HYPERLINK("https://www.philgeps.gov.ph/GEPSNONPILOT/Tender/SplashBidNoticeAbstractUI.aspx?menuIndex=3&amp;refID=7078808&amp;Result=3","7078808")</f>
        <v>0</v>
      </c>
      <c r="B4976" t="s">
        <v>1721</v>
      </c>
      <c r="C4976" t="s">
        <v>8172</v>
      </c>
      <c r="D4976" t="s">
        <v>17465</v>
      </c>
      <c r="E4976" t="s">
        <v>21811</v>
      </c>
      <c r="F4976" t="s">
        <v>30052</v>
      </c>
      <c r="G4976" t="s">
        <v>30061</v>
      </c>
      <c r="H4976" t="s">
        <v>15498</v>
      </c>
      <c r="I4976" t="s">
        <v>30071</v>
      </c>
      <c r="J4976" t="s">
        <v>33373</v>
      </c>
      <c r="K4976" t="s">
        <v>39025</v>
      </c>
      <c r="M4976" t="s">
        <v>41137</v>
      </c>
      <c r="N4976" t="s">
        <v>43166</v>
      </c>
      <c r="O4976" t="s">
        <v>43167</v>
      </c>
      <c r="P4976">
        <v>0</v>
      </c>
      <c r="Q4976">
        <v>0</v>
      </c>
      <c r="R4976" t="s">
        <v>43172</v>
      </c>
      <c r="S4976" t="s">
        <v>43334</v>
      </c>
      <c r="T4976" t="s">
        <v>44720</v>
      </c>
      <c r="U4976" t="s">
        <v>49247</v>
      </c>
      <c r="W4976" t="s">
        <v>41137</v>
      </c>
      <c r="X4976" t="s">
        <v>43173</v>
      </c>
    </row>
    <row r="4977" spans="1:24">
      <c r="A4977">
        <f>HYPERLINK("https://www.philgeps.gov.ph/GEPSNONPILOT/Tender/SplashBidNoticeAbstractUI.aspx?menuIndex=3&amp;refID=7078883&amp;Result=3","7078883")</f>
        <v>0</v>
      </c>
      <c r="B4977" t="s">
        <v>1724</v>
      </c>
      <c r="C4977" t="s">
        <v>8173</v>
      </c>
      <c r="D4977" t="s">
        <v>17449</v>
      </c>
      <c r="E4977" t="s">
        <v>21820</v>
      </c>
      <c r="F4977" t="s">
        <v>30052</v>
      </c>
      <c r="G4977" t="s">
        <v>30058</v>
      </c>
      <c r="H4977" t="s">
        <v>15498</v>
      </c>
      <c r="I4977" t="s">
        <v>4598</v>
      </c>
      <c r="J4977" t="s">
        <v>30402</v>
      </c>
      <c r="K4977" t="s">
        <v>39019</v>
      </c>
      <c r="M4977" t="s">
        <v>41140</v>
      </c>
      <c r="N4977" t="s">
        <v>43166</v>
      </c>
      <c r="O4977" t="s">
        <v>43167</v>
      </c>
      <c r="P4977">
        <v>0</v>
      </c>
      <c r="Q4977">
        <v>3</v>
      </c>
      <c r="R4977" t="s">
        <v>43172</v>
      </c>
      <c r="S4977" t="s">
        <v>43334</v>
      </c>
      <c r="T4977" t="s">
        <v>45009</v>
      </c>
      <c r="U4977" t="s">
        <v>49248</v>
      </c>
      <c r="W4977" t="s">
        <v>41140</v>
      </c>
      <c r="X4977" t="s">
        <v>43173</v>
      </c>
    </row>
    <row r="4978" spans="1:24">
      <c r="A4978">
        <f>HYPERLINK("https://www.philgeps.gov.ph/GEPSNONPILOT/Tender/SplashBidNoticeAbstractUI.aspx?menuIndex=3&amp;refID=7078881&amp;Result=3","7078881")</f>
        <v>0</v>
      </c>
      <c r="B4978" t="s">
        <v>1170</v>
      </c>
      <c r="C4978" t="s">
        <v>4790</v>
      </c>
      <c r="D4978" t="s">
        <v>17482</v>
      </c>
      <c r="E4978" t="s">
        <v>21821</v>
      </c>
      <c r="F4978" t="s">
        <v>30052</v>
      </c>
      <c r="G4978" t="s">
        <v>30061</v>
      </c>
      <c r="H4978" t="s">
        <v>15498</v>
      </c>
      <c r="I4978" t="s">
        <v>30070</v>
      </c>
      <c r="J4978" t="s">
        <v>33374</v>
      </c>
      <c r="K4978" t="s">
        <v>39025</v>
      </c>
      <c r="M4978" t="s">
        <v>41117</v>
      </c>
      <c r="N4978" t="s">
        <v>43166</v>
      </c>
      <c r="O4978" t="s">
        <v>43167</v>
      </c>
      <c r="P4978">
        <v>0</v>
      </c>
      <c r="Q4978">
        <v>0</v>
      </c>
      <c r="R4978" t="s">
        <v>43172</v>
      </c>
      <c r="S4978" t="s">
        <v>43334</v>
      </c>
      <c r="T4978" t="s">
        <v>44969</v>
      </c>
      <c r="U4978" t="s">
        <v>49249</v>
      </c>
      <c r="V4978" t="s">
        <v>57357</v>
      </c>
      <c r="W4978" t="s">
        <v>41117</v>
      </c>
      <c r="X4978" t="s">
        <v>43173</v>
      </c>
    </row>
    <row r="4979" spans="1:24">
      <c r="A4979">
        <f>HYPERLINK("https://www.philgeps.gov.ph/GEPSNONPILOT/Tender/SplashBidNoticeAbstractUI.aspx?menuIndex=3&amp;refID=7078811&amp;Result=3","7078811")</f>
        <v>0</v>
      </c>
      <c r="B4979" t="s">
        <v>1723</v>
      </c>
      <c r="C4979" t="s">
        <v>8174</v>
      </c>
      <c r="D4979" t="s">
        <v>17458</v>
      </c>
      <c r="E4979" t="s">
        <v>21822</v>
      </c>
      <c r="F4979" t="s">
        <v>30052</v>
      </c>
      <c r="G4979" t="s">
        <v>30058</v>
      </c>
      <c r="H4979" t="s">
        <v>30067</v>
      </c>
      <c r="I4979" t="s">
        <v>3693</v>
      </c>
      <c r="J4979" t="s">
        <v>30209</v>
      </c>
      <c r="K4979" t="s">
        <v>39046</v>
      </c>
      <c r="L4979" t="s">
        <v>1723</v>
      </c>
      <c r="M4979" t="s">
        <v>41139</v>
      </c>
      <c r="N4979" t="s">
        <v>43166</v>
      </c>
      <c r="O4979" t="s">
        <v>43167</v>
      </c>
      <c r="P4979">
        <v>0</v>
      </c>
      <c r="Q4979">
        <v>0</v>
      </c>
      <c r="R4979" t="s">
        <v>43172</v>
      </c>
      <c r="S4979" t="s">
        <v>43334</v>
      </c>
      <c r="T4979" t="s">
        <v>44762</v>
      </c>
      <c r="U4979" t="s">
        <v>49243</v>
      </c>
      <c r="V4979" t="s">
        <v>57381</v>
      </c>
      <c r="W4979" t="s">
        <v>41139</v>
      </c>
      <c r="X4979" t="s">
        <v>43173</v>
      </c>
    </row>
    <row r="4980" spans="1:24">
      <c r="A4980">
        <f>HYPERLINK("https://www.philgeps.gov.ph/GEPSNONPILOT/Tender/SplashBidNoticeAbstractUI.aspx?menuIndex=3&amp;refID=7078880&amp;Result=3","7078880")</f>
        <v>0</v>
      </c>
      <c r="B4980" t="s">
        <v>1170</v>
      </c>
      <c r="C4980" t="s">
        <v>4790</v>
      </c>
      <c r="D4980" t="s">
        <v>17482</v>
      </c>
      <c r="E4980" t="s">
        <v>21823</v>
      </c>
      <c r="F4980" t="s">
        <v>30052</v>
      </c>
      <c r="G4980" t="s">
        <v>30061</v>
      </c>
      <c r="H4980" t="s">
        <v>15498</v>
      </c>
      <c r="I4980" t="s">
        <v>4119</v>
      </c>
      <c r="J4980" t="s">
        <v>33375</v>
      </c>
      <c r="K4980" t="s">
        <v>39025</v>
      </c>
      <c r="M4980" t="s">
        <v>41117</v>
      </c>
      <c r="N4980" t="s">
        <v>43166</v>
      </c>
      <c r="O4980" t="s">
        <v>43167</v>
      </c>
      <c r="P4980">
        <v>0</v>
      </c>
      <c r="Q4980">
        <v>2</v>
      </c>
      <c r="R4980" t="s">
        <v>43172</v>
      </c>
      <c r="S4980" t="s">
        <v>43334</v>
      </c>
      <c r="T4980" t="s">
        <v>44969</v>
      </c>
      <c r="U4980" t="s">
        <v>49250</v>
      </c>
      <c r="V4980" t="s">
        <v>57357</v>
      </c>
      <c r="W4980" t="s">
        <v>41117</v>
      </c>
      <c r="X4980" t="s">
        <v>43173</v>
      </c>
    </row>
    <row r="4981" spans="1:24">
      <c r="A4981">
        <f>HYPERLINK("https://www.philgeps.gov.ph/GEPSNONPILOT/Tender/SplashBidNoticeAbstractUI.aspx?menuIndex=3&amp;refID=7078879&amp;Result=3","7078879")</f>
        <v>0</v>
      </c>
      <c r="B4981" t="s">
        <v>1170</v>
      </c>
      <c r="C4981" t="s">
        <v>8128</v>
      </c>
      <c r="D4981" t="s">
        <v>17482</v>
      </c>
      <c r="E4981" t="s">
        <v>21824</v>
      </c>
      <c r="F4981" t="s">
        <v>30052</v>
      </c>
      <c r="G4981" t="s">
        <v>30059</v>
      </c>
      <c r="H4981" t="s">
        <v>15498</v>
      </c>
      <c r="I4981" t="s">
        <v>3606</v>
      </c>
      <c r="J4981" t="s">
        <v>30232</v>
      </c>
      <c r="K4981" t="s">
        <v>39025</v>
      </c>
      <c r="M4981" t="s">
        <v>41117</v>
      </c>
      <c r="N4981" t="s">
        <v>43166</v>
      </c>
      <c r="O4981" t="s">
        <v>43167</v>
      </c>
      <c r="P4981">
        <v>0</v>
      </c>
      <c r="Q4981">
        <v>1</v>
      </c>
      <c r="R4981" t="s">
        <v>43172</v>
      </c>
      <c r="S4981" t="s">
        <v>43334</v>
      </c>
      <c r="T4981" t="s">
        <v>44969</v>
      </c>
      <c r="U4981" t="s">
        <v>49251</v>
      </c>
      <c r="V4981" t="s">
        <v>57383</v>
      </c>
      <c r="W4981" t="s">
        <v>41117</v>
      </c>
      <c r="X4981" t="s">
        <v>43173</v>
      </c>
    </row>
    <row r="4982" spans="1:24">
      <c r="A4982">
        <f>HYPERLINK("https://www.philgeps.gov.ph/GEPSNONPILOT/Tender/SplashBidNoticeAbstractUI.aspx?menuIndex=3&amp;refID=7078877&amp;Result=3","7078877")</f>
        <v>0</v>
      </c>
      <c r="B4982" t="s">
        <v>1170</v>
      </c>
      <c r="C4982" t="s">
        <v>8175</v>
      </c>
      <c r="D4982" t="s">
        <v>17482</v>
      </c>
      <c r="E4982" t="s">
        <v>21825</v>
      </c>
      <c r="F4982" t="s">
        <v>30052</v>
      </c>
      <c r="G4982" t="s">
        <v>30059</v>
      </c>
      <c r="H4982" t="s">
        <v>15498</v>
      </c>
      <c r="I4982" t="s">
        <v>3606</v>
      </c>
      <c r="J4982" t="s">
        <v>33376</v>
      </c>
      <c r="K4982" t="s">
        <v>39025</v>
      </c>
      <c r="M4982" t="s">
        <v>41117</v>
      </c>
      <c r="N4982" t="s">
        <v>43166</v>
      </c>
      <c r="O4982" t="s">
        <v>43167</v>
      </c>
      <c r="P4982">
        <v>0</v>
      </c>
      <c r="Q4982">
        <v>1</v>
      </c>
      <c r="R4982" t="s">
        <v>43172</v>
      </c>
      <c r="S4982" t="s">
        <v>43334</v>
      </c>
      <c r="T4982" t="s">
        <v>44969</v>
      </c>
      <c r="U4982" t="s">
        <v>49252</v>
      </c>
      <c r="V4982" t="s">
        <v>57384</v>
      </c>
      <c r="W4982" t="s">
        <v>41117</v>
      </c>
      <c r="X4982" t="s">
        <v>43173</v>
      </c>
    </row>
    <row r="4983" spans="1:24">
      <c r="A4983">
        <f>HYPERLINK("https://www.philgeps.gov.ph/GEPSNONPILOT/Tender/SplashBidNoticeAbstractUI.aspx?menuIndex=3&amp;refID=7078870&amp;Result=3","7078870")</f>
        <v>0</v>
      </c>
      <c r="B4983" t="s">
        <v>1725</v>
      </c>
      <c r="C4983" t="s">
        <v>8176</v>
      </c>
      <c r="D4983" t="s">
        <v>17465</v>
      </c>
      <c r="E4983" t="s">
        <v>21826</v>
      </c>
      <c r="F4983" t="s">
        <v>30052</v>
      </c>
      <c r="G4983" t="s">
        <v>30062</v>
      </c>
      <c r="H4983" t="s">
        <v>15498</v>
      </c>
      <c r="I4983" t="s">
        <v>12885</v>
      </c>
      <c r="J4983" t="s">
        <v>33377</v>
      </c>
      <c r="K4983" t="s">
        <v>39017</v>
      </c>
      <c r="M4983" t="s">
        <v>41141</v>
      </c>
      <c r="N4983" t="s">
        <v>43166</v>
      </c>
      <c r="O4983" t="s">
        <v>43167</v>
      </c>
      <c r="P4983">
        <v>0</v>
      </c>
      <c r="Q4983">
        <v>0</v>
      </c>
      <c r="R4983" t="s">
        <v>43172</v>
      </c>
      <c r="S4983" t="s">
        <v>43334</v>
      </c>
      <c r="T4983" t="s">
        <v>44715</v>
      </c>
      <c r="U4983" t="s">
        <v>49253</v>
      </c>
      <c r="W4983" t="s">
        <v>41141</v>
      </c>
      <c r="X4983" t="s">
        <v>43173</v>
      </c>
    </row>
    <row r="4984" spans="1:24">
      <c r="A4984">
        <f>HYPERLINK("https://www.philgeps.gov.ph/GEPSNONPILOT/Tender/SplashBidNoticeAbstractUI.aspx?menuIndex=3&amp;refID=7078868&amp;Result=3","7078868")</f>
        <v>0</v>
      </c>
      <c r="B4984" t="s">
        <v>964</v>
      </c>
      <c r="C4984" t="s">
        <v>8177</v>
      </c>
      <c r="D4984" t="s">
        <v>17415</v>
      </c>
      <c r="E4984" t="s">
        <v>21827</v>
      </c>
      <c r="F4984" t="s">
        <v>30052</v>
      </c>
      <c r="G4984" t="s">
        <v>30059</v>
      </c>
      <c r="H4984" t="s">
        <v>15498</v>
      </c>
      <c r="I4984" t="s">
        <v>30084</v>
      </c>
      <c r="J4984" t="s">
        <v>30354</v>
      </c>
      <c r="K4984" t="s">
        <v>39025</v>
      </c>
      <c r="M4984" t="s">
        <v>41142</v>
      </c>
      <c r="N4984" t="s">
        <v>43166</v>
      </c>
      <c r="O4984" t="s">
        <v>43167</v>
      </c>
      <c r="P4984">
        <v>0</v>
      </c>
      <c r="Q4984">
        <v>10</v>
      </c>
      <c r="R4984" t="s">
        <v>43172</v>
      </c>
      <c r="S4984" t="s">
        <v>43334</v>
      </c>
      <c r="T4984" t="s">
        <v>44691</v>
      </c>
      <c r="U4984" t="s">
        <v>49254</v>
      </c>
      <c r="W4984" t="s">
        <v>41142</v>
      </c>
      <c r="X4984" t="s">
        <v>43173</v>
      </c>
    </row>
    <row r="4985" spans="1:24">
      <c r="A4985">
        <f>HYPERLINK("https://www.philgeps.gov.ph/GEPSNONPILOT/Tender/SplashBidNoticeAbstractUI.aspx?menuIndex=3&amp;refID=7078867&amp;Result=3","7078867")</f>
        <v>0</v>
      </c>
      <c r="B4985" t="s">
        <v>1725</v>
      </c>
      <c r="C4985" t="s">
        <v>8178</v>
      </c>
      <c r="D4985" t="s">
        <v>17465</v>
      </c>
      <c r="E4985" t="s">
        <v>21828</v>
      </c>
      <c r="F4985" t="s">
        <v>30052</v>
      </c>
      <c r="G4985" t="s">
        <v>30062</v>
      </c>
      <c r="H4985" t="s">
        <v>15498</v>
      </c>
      <c r="I4985" t="s">
        <v>3736</v>
      </c>
      <c r="J4985" t="s">
        <v>33378</v>
      </c>
      <c r="K4985" t="s">
        <v>39017</v>
      </c>
      <c r="M4985" t="s">
        <v>41141</v>
      </c>
      <c r="N4985" t="s">
        <v>43166</v>
      </c>
      <c r="O4985" t="s">
        <v>43167</v>
      </c>
      <c r="P4985">
        <v>0</v>
      </c>
      <c r="Q4985">
        <v>1</v>
      </c>
      <c r="R4985" t="s">
        <v>43172</v>
      </c>
      <c r="S4985" t="s">
        <v>43334</v>
      </c>
      <c r="T4985" t="s">
        <v>44715</v>
      </c>
      <c r="U4985" t="s">
        <v>49255</v>
      </c>
      <c r="W4985" t="s">
        <v>41141</v>
      </c>
      <c r="X4985" t="s">
        <v>43173</v>
      </c>
    </row>
    <row r="4986" spans="1:24">
      <c r="A4986">
        <f>HYPERLINK("https://www.philgeps.gov.ph/GEPSNONPILOT/Tender/SplashBidNoticeAbstractUI.aspx?menuIndex=3&amp;refID=7078882&amp;Result=3","7078882")</f>
        <v>0</v>
      </c>
      <c r="B4986" t="s">
        <v>441</v>
      </c>
      <c r="C4986" t="s">
        <v>8179</v>
      </c>
      <c r="D4986" t="s">
        <v>17424</v>
      </c>
      <c r="E4986" t="s">
        <v>21829</v>
      </c>
      <c r="F4986" t="s">
        <v>30052</v>
      </c>
      <c r="G4986" t="s">
        <v>30058</v>
      </c>
      <c r="H4986" t="s">
        <v>15498</v>
      </c>
      <c r="I4986" t="s">
        <v>3736</v>
      </c>
      <c r="J4986" t="s">
        <v>33379</v>
      </c>
      <c r="K4986" t="s">
        <v>39019</v>
      </c>
      <c r="M4986" t="s">
        <v>39740</v>
      </c>
      <c r="N4986" t="s">
        <v>43166</v>
      </c>
      <c r="O4986" t="s">
        <v>43167</v>
      </c>
      <c r="P4986">
        <v>0</v>
      </c>
      <c r="Q4986">
        <v>0</v>
      </c>
      <c r="R4986" t="s">
        <v>43172</v>
      </c>
      <c r="S4986" t="s">
        <v>43334</v>
      </c>
      <c r="T4986" t="s">
        <v>44685</v>
      </c>
      <c r="U4986" t="s">
        <v>46035</v>
      </c>
      <c r="W4986" t="s">
        <v>39740</v>
      </c>
      <c r="X4986" t="s">
        <v>43173</v>
      </c>
    </row>
    <row r="4987" spans="1:24">
      <c r="A4987">
        <f>HYPERLINK("https://www.philgeps.gov.ph/GEPSNONPILOT/Tender/SplashBidNoticeAbstractUI.aspx?menuIndex=3&amp;refID=7078650&amp;Result=3","7078650")</f>
        <v>0</v>
      </c>
      <c r="B4987" t="s">
        <v>1726</v>
      </c>
      <c r="C4987" t="s">
        <v>8180</v>
      </c>
      <c r="D4987" t="s">
        <v>17420</v>
      </c>
      <c r="E4987" t="s">
        <v>21830</v>
      </c>
      <c r="F4987" t="s">
        <v>30052</v>
      </c>
      <c r="G4987" t="s">
        <v>30058</v>
      </c>
      <c r="H4987" t="s">
        <v>15498</v>
      </c>
      <c r="I4987" t="s">
        <v>3736</v>
      </c>
      <c r="J4987" t="s">
        <v>33380</v>
      </c>
      <c r="K4987" t="s">
        <v>39029</v>
      </c>
      <c r="M4987" t="s">
        <v>41143</v>
      </c>
      <c r="N4987" t="s">
        <v>43166</v>
      </c>
      <c r="O4987" t="s">
        <v>43167</v>
      </c>
      <c r="P4987">
        <v>0</v>
      </c>
      <c r="Q4987">
        <v>0</v>
      </c>
      <c r="R4987" t="s">
        <v>43172</v>
      </c>
      <c r="S4987" t="s">
        <v>43334</v>
      </c>
      <c r="T4987" t="s">
        <v>44853</v>
      </c>
      <c r="U4987" t="s">
        <v>49256</v>
      </c>
      <c r="W4987" t="s">
        <v>41143</v>
      </c>
      <c r="X4987" t="s">
        <v>43174</v>
      </c>
    </row>
    <row r="4988" spans="1:24">
      <c r="A4988">
        <f>HYPERLINK("https://www.philgeps.gov.ph/GEPSNONPILOT/Tender/SplashBidNoticeAbstractUI.aspx?menuIndex=3&amp;refID=7078899&amp;Result=3","7078899")</f>
        <v>0</v>
      </c>
      <c r="B4988" t="s">
        <v>1727</v>
      </c>
      <c r="C4988" t="s">
        <v>8181</v>
      </c>
      <c r="D4988" t="s">
        <v>17436</v>
      </c>
      <c r="E4988" t="s">
        <v>21831</v>
      </c>
      <c r="F4988" t="s">
        <v>30052</v>
      </c>
      <c r="G4988" t="s">
        <v>30058</v>
      </c>
      <c r="H4988" t="s">
        <v>15498</v>
      </c>
      <c r="I4988" t="s">
        <v>30109</v>
      </c>
      <c r="J4988" t="s">
        <v>33381</v>
      </c>
      <c r="K4988" t="s">
        <v>39034</v>
      </c>
      <c r="M4988" t="s">
        <v>41144</v>
      </c>
      <c r="N4988" t="s">
        <v>43166</v>
      </c>
      <c r="O4988" t="s">
        <v>43167</v>
      </c>
      <c r="P4988">
        <v>0</v>
      </c>
      <c r="Q4988">
        <v>0</v>
      </c>
      <c r="R4988" t="s">
        <v>43172</v>
      </c>
      <c r="S4988" t="s">
        <v>43334</v>
      </c>
      <c r="T4988" t="s">
        <v>44818</v>
      </c>
      <c r="U4988" t="s">
        <v>49257</v>
      </c>
      <c r="W4988" t="s">
        <v>41144</v>
      </c>
      <c r="X4988" t="s">
        <v>43173</v>
      </c>
    </row>
    <row r="4989" spans="1:24">
      <c r="A4989">
        <f>HYPERLINK("https://www.philgeps.gov.ph/GEPSNONPILOT/Tender/SplashBidNoticeAbstractUI.aspx?menuIndex=3&amp;refID=7078889&amp;Result=3","7078889")</f>
        <v>0</v>
      </c>
      <c r="B4989" t="s">
        <v>1728</v>
      </c>
      <c r="C4989" t="s">
        <v>8182</v>
      </c>
      <c r="D4989" t="s">
        <v>17435</v>
      </c>
      <c r="E4989" t="s">
        <v>21832</v>
      </c>
      <c r="F4989" t="s">
        <v>30052</v>
      </c>
      <c r="G4989" t="s">
        <v>30061</v>
      </c>
      <c r="H4989" t="s">
        <v>15498</v>
      </c>
      <c r="I4989" t="s">
        <v>7228</v>
      </c>
      <c r="J4989" t="s">
        <v>33382</v>
      </c>
      <c r="K4989" t="s">
        <v>39018</v>
      </c>
      <c r="M4989" t="s">
        <v>41145</v>
      </c>
      <c r="N4989" t="s">
        <v>43166</v>
      </c>
      <c r="O4989" t="s">
        <v>43167</v>
      </c>
      <c r="P4989">
        <v>0</v>
      </c>
      <c r="Q4989">
        <v>0</v>
      </c>
      <c r="R4989" t="s">
        <v>43172</v>
      </c>
      <c r="S4989" t="s">
        <v>43334</v>
      </c>
      <c r="T4989" t="s">
        <v>44856</v>
      </c>
      <c r="U4989" t="s">
        <v>49258</v>
      </c>
      <c r="V4989" t="s">
        <v>57385</v>
      </c>
      <c r="W4989" t="s">
        <v>41145</v>
      </c>
      <c r="X4989" t="s">
        <v>43173</v>
      </c>
    </row>
    <row r="4990" spans="1:24">
      <c r="A4990">
        <f>HYPERLINK("https://www.philgeps.gov.ph/GEPSNONPILOT/Tender/SplashBidNoticeAbstractUI.aspx?menuIndex=3&amp;refID=7078942&amp;Result=3","7078942")</f>
        <v>0</v>
      </c>
      <c r="B4990" t="s">
        <v>1727</v>
      </c>
      <c r="C4990" t="s">
        <v>8183</v>
      </c>
      <c r="D4990" t="s">
        <v>17436</v>
      </c>
      <c r="E4990" t="s">
        <v>21833</v>
      </c>
      <c r="F4990" t="s">
        <v>30052</v>
      </c>
      <c r="G4990" t="s">
        <v>30058</v>
      </c>
      <c r="H4990" t="s">
        <v>15498</v>
      </c>
      <c r="I4990" t="s">
        <v>30070</v>
      </c>
      <c r="J4990" t="s">
        <v>33383</v>
      </c>
      <c r="K4990" t="s">
        <v>39034</v>
      </c>
      <c r="M4990" t="s">
        <v>41144</v>
      </c>
      <c r="N4990" t="s">
        <v>43166</v>
      </c>
      <c r="O4990" t="s">
        <v>43167</v>
      </c>
      <c r="P4990">
        <v>0</v>
      </c>
      <c r="Q4990">
        <v>0</v>
      </c>
      <c r="R4990" t="s">
        <v>43172</v>
      </c>
      <c r="S4990" t="s">
        <v>43334</v>
      </c>
      <c r="T4990" t="s">
        <v>44818</v>
      </c>
      <c r="U4990" t="s">
        <v>49259</v>
      </c>
      <c r="W4990" t="s">
        <v>41144</v>
      </c>
      <c r="X4990" t="s">
        <v>43173</v>
      </c>
    </row>
    <row r="4991" spans="1:24">
      <c r="A4991">
        <f>HYPERLINK("https://www.philgeps.gov.ph/GEPSNONPILOT/Tender/SplashBidNoticeAbstractUI.aspx?menuIndex=3&amp;refID=7078935&amp;Result=3","7078935")</f>
        <v>0</v>
      </c>
      <c r="B4991" t="s">
        <v>620</v>
      </c>
      <c r="C4991" t="s">
        <v>8184</v>
      </c>
      <c r="D4991" t="s">
        <v>17427</v>
      </c>
      <c r="E4991" t="s">
        <v>21834</v>
      </c>
      <c r="F4991" t="s">
        <v>30052</v>
      </c>
      <c r="G4991" t="s">
        <v>30059</v>
      </c>
      <c r="H4991" t="s">
        <v>15498</v>
      </c>
      <c r="I4991" t="s">
        <v>30076</v>
      </c>
      <c r="J4991" t="s">
        <v>30354</v>
      </c>
      <c r="K4991" t="s">
        <v>39025</v>
      </c>
      <c r="M4991" t="s">
        <v>39923</v>
      </c>
      <c r="N4991" t="s">
        <v>43166</v>
      </c>
      <c r="O4991" t="s">
        <v>43167</v>
      </c>
      <c r="P4991">
        <v>0</v>
      </c>
      <c r="Q4991">
        <v>4</v>
      </c>
      <c r="R4991" t="s">
        <v>43172</v>
      </c>
      <c r="S4991" t="s">
        <v>43334</v>
      </c>
      <c r="T4991" t="s">
        <v>44777</v>
      </c>
      <c r="U4991" t="s">
        <v>49260</v>
      </c>
      <c r="W4991" t="s">
        <v>39923</v>
      </c>
      <c r="X4991" t="s">
        <v>43173</v>
      </c>
    </row>
    <row r="4992" spans="1:24">
      <c r="A4992">
        <f>HYPERLINK("https://www.philgeps.gov.ph/GEPSNONPILOT/Tender/SplashBidNoticeAbstractUI.aspx?menuIndex=3&amp;refID=7078865&amp;Result=3","7078865")</f>
        <v>0</v>
      </c>
      <c r="B4992" t="s">
        <v>696</v>
      </c>
      <c r="C4992" t="s">
        <v>8185</v>
      </c>
      <c r="D4992" t="s">
        <v>17432</v>
      </c>
      <c r="E4992" t="s">
        <v>21835</v>
      </c>
      <c r="F4992" t="s">
        <v>30052</v>
      </c>
      <c r="G4992" t="s">
        <v>30059</v>
      </c>
      <c r="H4992" t="s">
        <v>15498</v>
      </c>
      <c r="I4992" t="s">
        <v>30081</v>
      </c>
      <c r="J4992" t="s">
        <v>33384</v>
      </c>
      <c r="K4992" t="s">
        <v>39064</v>
      </c>
      <c r="M4992" t="s">
        <v>40004</v>
      </c>
      <c r="N4992" t="s">
        <v>43166</v>
      </c>
      <c r="O4992" t="s">
        <v>43167</v>
      </c>
      <c r="P4992">
        <v>0</v>
      </c>
      <c r="Q4992">
        <v>0</v>
      </c>
      <c r="R4992" t="s">
        <v>43172</v>
      </c>
      <c r="S4992" t="s">
        <v>43334</v>
      </c>
      <c r="T4992" t="s">
        <v>44832</v>
      </c>
      <c r="U4992" t="s">
        <v>49261</v>
      </c>
      <c r="W4992" t="s">
        <v>40004</v>
      </c>
      <c r="X4992" t="s">
        <v>43173</v>
      </c>
    </row>
    <row r="4993" spans="1:24">
      <c r="A4993">
        <f>HYPERLINK("https://www.philgeps.gov.ph/GEPSNONPILOT/Tender/SplashBidNoticeAbstractUI.aspx?menuIndex=3&amp;refID=7078933&amp;Result=3","7078933")</f>
        <v>0</v>
      </c>
      <c r="B4993" t="s">
        <v>1729</v>
      </c>
      <c r="C4993" t="s">
        <v>8186</v>
      </c>
      <c r="D4993" t="s">
        <v>17421</v>
      </c>
      <c r="E4993" t="s">
        <v>18825</v>
      </c>
      <c r="F4993" t="s">
        <v>30052</v>
      </c>
      <c r="G4993" t="s">
        <v>30058</v>
      </c>
      <c r="H4993" t="s">
        <v>15498</v>
      </c>
      <c r="I4993" t="s">
        <v>30070</v>
      </c>
      <c r="J4993" t="s">
        <v>33385</v>
      </c>
      <c r="K4993" t="s">
        <v>39029</v>
      </c>
      <c r="M4993" t="s">
        <v>41146</v>
      </c>
      <c r="N4993" t="s">
        <v>43166</v>
      </c>
      <c r="O4993" t="s">
        <v>43167</v>
      </c>
      <c r="P4993">
        <v>0</v>
      </c>
      <c r="Q4993">
        <v>3</v>
      </c>
      <c r="R4993" t="s">
        <v>43172</v>
      </c>
      <c r="S4993" t="s">
        <v>43334</v>
      </c>
      <c r="T4993" t="s">
        <v>44685</v>
      </c>
      <c r="U4993" t="s">
        <v>49262</v>
      </c>
      <c r="W4993" t="s">
        <v>41146</v>
      </c>
      <c r="X4993" t="s">
        <v>43173</v>
      </c>
    </row>
    <row r="4994" spans="1:24">
      <c r="A4994">
        <f>HYPERLINK("https://www.philgeps.gov.ph/GEPSNONPILOT/Tender/SplashBidNoticeAbstractUI.aspx?menuIndex=3&amp;refID=7078930&amp;Result=3","7078930")</f>
        <v>0</v>
      </c>
      <c r="B4994" t="s">
        <v>1730</v>
      </c>
      <c r="C4994" t="s">
        <v>8187</v>
      </c>
      <c r="D4994" t="s">
        <v>17423</v>
      </c>
      <c r="E4994" t="s">
        <v>21836</v>
      </c>
      <c r="F4994" t="s">
        <v>30052</v>
      </c>
      <c r="G4994" t="s">
        <v>30060</v>
      </c>
      <c r="H4994" t="s">
        <v>15498</v>
      </c>
      <c r="I4994" t="s">
        <v>30130</v>
      </c>
      <c r="J4994" t="s">
        <v>30277</v>
      </c>
      <c r="K4994" t="s">
        <v>39023</v>
      </c>
      <c r="M4994" t="s">
        <v>41147</v>
      </c>
      <c r="N4994" t="s">
        <v>43166</v>
      </c>
      <c r="O4994" t="s">
        <v>43167</v>
      </c>
      <c r="P4994">
        <v>0</v>
      </c>
      <c r="Q4994">
        <v>3</v>
      </c>
      <c r="R4994" t="s">
        <v>43172</v>
      </c>
      <c r="S4994" t="s">
        <v>43334</v>
      </c>
      <c r="T4994" t="s">
        <v>44965</v>
      </c>
      <c r="U4994" t="s">
        <v>49263</v>
      </c>
      <c r="V4994" t="s">
        <v>57386</v>
      </c>
      <c r="W4994" t="s">
        <v>41147</v>
      </c>
      <c r="X4994" t="s">
        <v>43173</v>
      </c>
    </row>
    <row r="4995" spans="1:24">
      <c r="A4995">
        <f>HYPERLINK("https://www.philgeps.gov.ph/GEPSNONPILOT/Tender/SplashBidNoticeAbstractUI.aspx?menuIndex=3&amp;refID=7078878&amp;Result=3","7078878")</f>
        <v>0</v>
      </c>
      <c r="B4995" t="s">
        <v>1731</v>
      </c>
      <c r="C4995" t="s">
        <v>8188</v>
      </c>
      <c r="D4995" t="s">
        <v>17459</v>
      </c>
      <c r="E4995" t="s">
        <v>21837</v>
      </c>
      <c r="F4995" t="s">
        <v>30052</v>
      </c>
      <c r="G4995" t="s">
        <v>30058</v>
      </c>
      <c r="H4995" t="s">
        <v>15498</v>
      </c>
      <c r="I4995" t="s">
        <v>6691</v>
      </c>
      <c r="J4995" t="s">
        <v>33386</v>
      </c>
      <c r="K4995" t="s">
        <v>39031</v>
      </c>
      <c r="M4995" t="s">
        <v>41148</v>
      </c>
      <c r="N4995" t="s">
        <v>43166</v>
      </c>
      <c r="O4995" t="s">
        <v>43167</v>
      </c>
      <c r="P4995">
        <v>0</v>
      </c>
      <c r="Q4995">
        <v>1</v>
      </c>
      <c r="R4995" t="s">
        <v>43172</v>
      </c>
      <c r="S4995" t="s">
        <v>43334</v>
      </c>
      <c r="T4995" t="s">
        <v>44715</v>
      </c>
      <c r="U4995" t="s">
        <v>49264</v>
      </c>
      <c r="W4995" t="s">
        <v>41148</v>
      </c>
      <c r="X4995" t="s">
        <v>43173</v>
      </c>
    </row>
    <row r="4996" spans="1:24">
      <c r="A4996">
        <f>HYPERLINK("https://www.philgeps.gov.ph/GEPSNONPILOT/Tender/SplashBidNoticeAbstractUI.aspx?menuIndex=3&amp;refID=7078934&amp;Result=3","7078934")</f>
        <v>0</v>
      </c>
      <c r="B4996" t="s">
        <v>1356</v>
      </c>
      <c r="C4996" t="s">
        <v>8189</v>
      </c>
      <c r="D4996" t="s">
        <v>17445</v>
      </c>
      <c r="E4996" t="s">
        <v>21838</v>
      </c>
      <c r="F4996" t="s">
        <v>30052</v>
      </c>
      <c r="G4996" t="s">
        <v>30061</v>
      </c>
      <c r="H4996" t="s">
        <v>15498</v>
      </c>
      <c r="I4996" t="s">
        <v>30078</v>
      </c>
      <c r="J4996" t="s">
        <v>31186</v>
      </c>
      <c r="K4996" t="s">
        <v>39018</v>
      </c>
      <c r="M4996" t="s">
        <v>40725</v>
      </c>
      <c r="N4996" t="s">
        <v>43166</v>
      </c>
      <c r="O4996" t="s">
        <v>43167</v>
      </c>
      <c r="P4996">
        <v>0</v>
      </c>
      <c r="Q4996">
        <v>5</v>
      </c>
      <c r="R4996" t="s">
        <v>43172</v>
      </c>
      <c r="S4996" t="s">
        <v>43334</v>
      </c>
      <c r="T4996" t="s">
        <v>44788</v>
      </c>
      <c r="U4996" t="s">
        <v>49265</v>
      </c>
      <c r="W4996" t="s">
        <v>40725</v>
      </c>
      <c r="X4996" t="s">
        <v>43173</v>
      </c>
    </row>
    <row r="4997" spans="1:24">
      <c r="A4997">
        <f>HYPERLINK("https://www.philgeps.gov.ph/GEPSNONPILOT/Tender/SplashBidNoticeAbstractUI.aspx?menuIndex=3&amp;refID=7078863&amp;Result=3","7078863")</f>
        <v>0</v>
      </c>
      <c r="B4997" t="s">
        <v>1725</v>
      </c>
      <c r="C4997" t="s">
        <v>8190</v>
      </c>
      <c r="D4997" t="s">
        <v>17465</v>
      </c>
      <c r="E4997" t="s">
        <v>21839</v>
      </c>
      <c r="F4997" t="s">
        <v>30052</v>
      </c>
      <c r="G4997" t="s">
        <v>30062</v>
      </c>
      <c r="H4997" t="s">
        <v>15498</v>
      </c>
      <c r="I4997" t="s">
        <v>4119</v>
      </c>
      <c r="J4997" t="s">
        <v>33387</v>
      </c>
      <c r="K4997" t="s">
        <v>39017</v>
      </c>
      <c r="M4997" t="s">
        <v>41141</v>
      </c>
      <c r="N4997" t="s">
        <v>43166</v>
      </c>
      <c r="O4997" t="s">
        <v>43167</v>
      </c>
      <c r="P4997">
        <v>0</v>
      </c>
      <c r="Q4997">
        <v>4</v>
      </c>
      <c r="R4997" t="s">
        <v>43172</v>
      </c>
      <c r="S4997" t="s">
        <v>43334</v>
      </c>
      <c r="T4997" t="s">
        <v>44715</v>
      </c>
      <c r="U4997" t="s">
        <v>49266</v>
      </c>
      <c r="W4997" t="s">
        <v>41141</v>
      </c>
      <c r="X4997" t="s">
        <v>43173</v>
      </c>
    </row>
    <row r="4998" spans="1:24">
      <c r="A4998">
        <f>HYPERLINK("https://www.philgeps.gov.ph/GEPSNONPILOT/Tender/SplashBidNoticeAbstractUI.aspx?menuIndex=3&amp;refID=7078920&amp;Result=3","7078920")</f>
        <v>0</v>
      </c>
      <c r="B4998" t="s">
        <v>159</v>
      </c>
      <c r="C4998" t="s">
        <v>8191</v>
      </c>
      <c r="D4998" t="s">
        <v>17446</v>
      </c>
      <c r="E4998" t="s">
        <v>21840</v>
      </c>
      <c r="F4998" t="s">
        <v>30052</v>
      </c>
      <c r="G4998" t="s">
        <v>30058</v>
      </c>
      <c r="H4998" t="s">
        <v>15498</v>
      </c>
      <c r="I4998" t="s">
        <v>30078</v>
      </c>
      <c r="J4998" t="s">
        <v>33388</v>
      </c>
      <c r="K4998" t="s">
        <v>39019</v>
      </c>
      <c r="L4998" t="s">
        <v>159</v>
      </c>
      <c r="M4998" t="s">
        <v>39448</v>
      </c>
      <c r="N4998" t="s">
        <v>43166</v>
      </c>
      <c r="O4998" t="s">
        <v>43167</v>
      </c>
      <c r="P4998">
        <v>0</v>
      </c>
      <c r="Q4998">
        <v>3</v>
      </c>
      <c r="R4998" t="s">
        <v>43172</v>
      </c>
      <c r="S4998" t="s">
        <v>43334</v>
      </c>
      <c r="T4998" t="s">
        <v>44905</v>
      </c>
      <c r="U4998" t="s">
        <v>49267</v>
      </c>
      <c r="W4998" t="s">
        <v>39448</v>
      </c>
      <c r="X4998" t="s">
        <v>43173</v>
      </c>
    </row>
    <row r="4999" spans="1:24">
      <c r="A4999">
        <f>HYPERLINK("https://www.philgeps.gov.ph/GEPSNONPILOT/Tender/SplashBidNoticeAbstractUI.aspx?menuIndex=3&amp;refID=7078919&amp;Result=3","7078919")</f>
        <v>0</v>
      </c>
      <c r="B4999" t="s">
        <v>759</v>
      </c>
      <c r="C4999" t="s">
        <v>8192</v>
      </c>
      <c r="D4999" t="s">
        <v>17416</v>
      </c>
      <c r="E4999" t="s">
        <v>21841</v>
      </c>
      <c r="F4999" t="s">
        <v>30052</v>
      </c>
      <c r="G4999" t="s">
        <v>30058</v>
      </c>
      <c r="H4999" t="s">
        <v>30067</v>
      </c>
      <c r="I4999" t="s">
        <v>3693</v>
      </c>
      <c r="J4999" t="s">
        <v>33389</v>
      </c>
      <c r="K4999" t="s">
        <v>39086</v>
      </c>
      <c r="M4999" t="s">
        <v>40073</v>
      </c>
      <c r="N4999" t="s">
        <v>43166</v>
      </c>
      <c r="O4999" t="s">
        <v>43167</v>
      </c>
      <c r="P4999">
        <v>0</v>
      </c>
      <c r="Q4999">
        <v>0</v>
      </c>
      <c r="R4999" t="s">
        <v>43172</v>
      </c>
      <c r="S4999" t="s">
        <v>43334</v>
      </c>
      <c r="T4999" t="s">
        <v>44696</v>
      </c>
      <c r="U4999" t="s">
        <v>49268</v>
      </c>
      <c r="W4999" t="s">
        <v>40073</v>
      </c>
      <c r="X4999" t="s">
        <v>43173</v>
      </c>
    </row>
    <row r="5000" spans="1:24">
      <c r="A5000">
        <f>HYPERLINK("https://www.philgeps.gov.ph/GEPSNONPILOT/Tender/SplashBidNoticeAbstractUI.aspx?menuIndex=3&amp;refID=7078931&amp;Result=3","7078931")</f>
        <v>0</v>
      </c>
      <c r="B5000" t="s">
        <v>759</v>
      </c>
      <c r="C5000" t="s">
        <v>8193</v>
      </c>
      <c r="D5000" t="s">
        <v>17416</v>
      </c>
      <c r="E5000" t="s">
        <v>21842</v>
      </c>
      <c r="F5000" t="s">
        <v>30052</v>
      </c>
      <c r="G5000" t="s">
        <v>30058</v>
      </c>
      <c r="H5000" t="s">
        <v>30067</v>
      </c>
      <c r="I5000" t="s">
        <v>3693</v>
      </c>
      <c r="J5000" t="s">
        <v>33390</v>
      </c>
      <c r="K5000" t="s">
        <v>39054</v>
      </c>
      <c r="M5000" t="s">
        <v>40073</v>
      </c>
      <c r="N5000" t="s">
        <v>43166</v>
      </c>
      <c r="O5000" t="s">
        <v>43167</v>
      </c>
      <c r="P5000">
        <v>0</v>
      </c>
      <c r="Q5000">
        <v>0</v>
      </c>
      <c r="R5000" t="s">
        <v>43172</v>
      </c>
      <c r="S5000" t="s">
        <v>43334</v>
      </c>
      <c r="T5000" t="s">
        <v>44696</v>
      </c>
      <c r="U5000" t="s">
        <v>49269</v>
      </c>
      <c r="W5000" t="s">
        <v>40073</v>
      </c>
      <c r="X5000" t="s">
        <v>43173</v>
      </c>
    </row>
    <row r="5001" spans="1:24">
      <c r="A5001">
        <f>HYPERLINK("https://www.philgeps.gov.ph/GEPSNONPILOT/Tender/SplashBidNoticeAbstractUI.aspx?menuIndex=3&amp;refID=7078912&amp;Result=3","7078912")</f>
        <v>0</v>
      </c>
      <c r="B5001" t="s">
        <v>1520</v>
      </c>
      <c r="C5001" t="s">
        <v>8194</v>
      </c>
      <c r="D5001" t="s">
        <v>17423</v>
      </c>
      <c r="E5001" t="s">
        <v>21843</v>
      </c>
      <c r="F5001" t="s">
        <v>30056</v>
      </c>
      <c r="G5001" t="s">
        <v>30059</v>
      </c>
      <c r="H5001" t="s">
        <v>15498</v>
      </c>
      <c r="I5001" t="s">
        <v>4598</v>
      </c>
      <c r="J5001" t="s">
        <v>30533</v>
      </c>
      <c r="K5001" t="s">
        <v>39017</v>
      </c>
      <c r="M5001" t="s">
        <v>40906</v>
      </c>
      <c r="N5001" t="s">
        <v>43166</v>
      </c>
      <c r="O5001" t="s">
        <v>43167</v>
      </c>
      <c r="P5001">
        <v>0</v>
      </c>
      <c r="Q5001">
        <v>1</v>
      </c>
      <c r="R5001" t="s">
        <v>43172</v>
      </c>
      <c r="S5001" t="s">
        <v>43334</v>
      </c>
      <c r="T5001" t="s">
        <v>44696</v>
      </c>
      <c r="U5001" t="s">
        <v>49270</v>
      </c>
      <c r="W5001" t="s">
        <v>40906</v>
      </c>
      <c r="X5001" t="s">
        <v>43173</v>
      </c>
    </row>
    <row r="5002" spans="1:24">
      <c r="A5002">
        <f>HYPERLINK("https://www.philgeps.gov.ph/GEPSNONPILOT/Tender/SplashBidNoticeAbstractUI.aspx?menuIndex=3&amp;refID=7078906&amp;Result=3","7078906")</f>
        <v>0</v>
      </c>
      <c r="B5002" t="s">
        <v>620</v>
      </c>
      <c r="C5002" t="s">
        <v>8195</v>
      </c>
      <c r="D5002" t="s">
        <v>17427</v>
      </c>
      <c r="E5002" t="s">
        <v>21844</v>
      </c>
      <c r="F5002" t="s">
        <v>30052</v>
      </c>
      <c r="G5002" t="s">
        <v>30061</v>
      </c>
      <c r="H5002" t="s">
        <v>15498</v>
      </c>
      <c r="I5002" t="s">
        <v>30070</v>
      </c>
      <c r="J5002" t="s">
        <v>30256</v>
      </c>
      <c r="K5002" t="s">
        <v>39025</v>
      </c>
      <c r="M5002" t="s">
        <v>39923</v>
      </c>
      <c r="N5002" t="s">
        <v>43166</v>
      </c>
      <c r="O5002" t="s">
        <v>43167</v>
      </c>
      <c r="P5002">
        <v>0</v>
      </c>
      <c r="Q5002">
        <v>6</v>
      </c>
      <c r="R5002" t="s">
        <v>43172</v>
      </c>
      <c r="S5002" t="s">
        <v>43334</v>
      </c>
      <c r="T5002" t="s">
        <v>44777</v>
      </c>
      <c r="U5002" t="s">
        <v>49271</v>
      </c>
      <c r="W5002" t="s">
        <v>39923</v>
      </c>
      <c r="X5002" t="s">
        <v>43173</v>
      </c>
    </row>
    <row r="5003" spans="1:24">
      <c r="A5003">
        <f>HYPERLINK("https://www.philgeps.gov.ph/GEPSNONPILOT/Tender/SplashBidNoticeAbstractUI.aspx?menuIndex=3&amp;refID=7078904&amp;Result=3","7078904")</f>
        <v>0</v>
      </c>
      <c r="B5003" t="s">
        <v>312</v>
      </c>
      <c r="C5003" t="s">
        <v>8196</v>
      </c>
      <c r="D5003" t="s">
        <v>17462</v>
      </c>
      <c r="E5003" t="s">
        <v>21845</v>
      </c>
      <c r="F5003" t="s">
        <v>30052</v>
      </c>
      <c r="G5003" t="s">
        <v>30058</v>
      </c>
      <c r="H5003" t="s">
        <v>15498</v>
      </c>
      <c r="I5003" t="s">
        <v>30098</v>
      </c>
      <c r="J5003" t="s">
        <v>33391</v>
      </c>
      <c r="K5003" t="s">
        <v>39029</v>
      </c>
      <c r="M5003" t="s">
        <v>39608</v>
      </c>
      <c r="N5003" t="s">
        <v>43166</v>
      </c>
      <c r="O5003" t="s">
        <v>43167</v>
      </c>
      <c r="P5003">
        <v>0</v>
      </c>
      <c r="Q5003">
        <v>3</v>
      </c>
      <c r="R5003" t="s">
        <v>43172</v>
      </c>
      <c r="S5003" t="s">
        <v>43334</v>
      </c>
      <c r="T5003" t="s">
        <v>44691</v>
      </c>
      <c r="U5003" t="s">
        <v>49272</v>
      </c>
      <c r="W5003" t="s">
        <v>39608</v>
      </c>
      <c r="X5003" t="s">
        <v>43173</v>
      </c>
    </row>
    <row r="5004" spans="1:24">
      <c r="A5004">
        <f>HYPERLINK("https://www.philgeps.gov.ph/GEPSNONPILOT/Tender/SplashBidNoticeAbstractUI.aspx?menuIndex=3&amp;refID=7078903&amp;Result=3","7078903")</f>
        <v>0</v>
      </c>
      <c r="B5004" t="s">
        <v>1732</v>
      </c>
      <c r="C5004" t="s">
        <v>8197</v>
      </c>
      <c r="D5004" t="s">
        <v>17466</v>
      </c>
      <c r="E5004" t="s">
        <v>21846</v>
      </c>
      <c r="F5004" t="s">
        <v>30052</v>
      </c>
      <c r="G5004" t="s">
        <v>30061</v>
      </c>
      <c r="H5004" t="s">
        <v>15498</v>
      </c>
      <c r="I5004" t="s">
        <v>30070</v>
      </c>
      <c r="J5004" t="s">
        <v>33392</v>
      </c>
      <c r="K5004" t="s">
        <v>39029</v>
      </c>
      <c r="M5004" t="s">
        <v>41149</v>
      </c>
      <c r="N5004" t="s">
        <v>43166</v>
      </c>
      <c r="O5004" t="s">
        <v>43167</v>
      </c>
      <c r="P5004">
        <v>0</v>
      </c>
      <c r="Q5004">
        <v>1</v>
      </c>
      <c r="R5004" t="s">
        <v>43172</v>
      </c>
      <c r="S5004" t="s">
        <v>43334</v>
      </c>
      <c r="T5004" t="s">
        <v>44717</v>
      </c>
      <c r="U5004" t="s">
        <v>49273</v>
      </c>
      <c r="W5004" t="s">
        <v>41149</v>
      </c>
      <c r="X5004" t="s">
        <v>43173</v>
      </c>
    </row>
    <row r="5005" spans="1:24">
      <c r="A5005">
        <f>HYPERLINK("https://www.philgeps.gov.ph/GEPSNONPILOT/Tender/SplashBidNoticeAbstractUI.aspx?menuIndex=3&amp;refID=7078732&amp;Result=3","7078732")</f>
        <v>0</v>
      </c>
      <c r="B5005" t="s">
        <v>1733</v>
      </c>
      <c r="C5005" t="s">
        <v>8198</v>
      </c>
      <c r="D5005" t="s">
        <v>17467</v>
      </c>
      <c r="E5005" t="s">
        <v>21847</v>
      </c>
      <c r="F5005" t="s">
        <v>30052</v>
      </c>
      <c r="G5005" t="s">
        <v>30059</v>
      </c>
      <c r="H5005" t="s">
        <v>15498</v>
      </c>
      <c r="I5005" t="s">
        <v>30089</v>
      </c>
      <c r="J5005" t="s">
        <v>33393</v>
      </c>
      <c r="K5005" t="s">
        <v>39017</v>
      </c>
      <c r="L5005" t="s">
        <v>1733</v>
      </c>
      <c r="M5005" t="s">
        <v>41150</v>
      </c>
      <c r="N5005" t="s">
        <v>43166</v>
      </c>
      <c r="O5005" t="s">
        <v>43167</v>
      </c>
      <c r="P5005">
        <v>0</v>
      </c>
      <c r="Q5005">
        <v>0</v>
      </c>
      <c r="R5005" t="s">
        <v>43172</v>
      </c>
      <c r="S5005" t="s">
        <v>43334</v>
      </c>
      <c r="T5005" t="s">
        <v>44773</v>
      </c>
      <c r="U5005" t="s">
        <v>49274</v>
      </c>
      <c r="W5005" t="s">
        <v>41150</v>
      </c>
      <c r="X5005" t="s">
        <v>43174</v>
      </c>
    </row>
    <row r="5006" spans="1:24">
      <c r="A5006">
        <f>HYPERLINK("https://www.philgeps.gov.ph/GEPSNONPILOT/Tender/SplashBidNoticeAbstractUI.aspx?menuIndex=3&amp;refID=7078924&amp;Result=3","7078924")</f>
        <v>0</v>
      </c>
      <c r="B5006" t="s">
        <v>1734</v>
      </c>
      <c r="C5006" t="s">
        <v>8199</v>
      </c>
      <c r="D5006" t="s">
        <v>17459</v>
      </c>
      <c r="E5006" t="s">
        <v>21848</v>
      </c>
      <c r="F5006" t="s">
        <v>30052</v>
      </c>
      <c r="G5006" t="s">
        <v>30058</v>
      </c>
      <c r="H5006" t="s">
        <v>30067</v>
      </c>
      <c r="I5006" t="s">
        <v>3693</v>
      </c>
      <c r="J5006" t="s">
        <v>30297</v>
      </c>
      <c r="K5006" t="s">
        <v>39043</v>
      </c>
      <c r="M5006" t="s">
        <v>41151</v>
      </c>
      <c r="N5006" t="s">
        <v>43166</v>
      </c>
      <c r="O5006" t="s">
        <v>43167</v>
      </c>
      <c r="P5006">
        <v>0</v>
      </c>
      <c r="Q5006">
        <v>0</v>
      </c>
      <c r="R5006" t="s">
        <v>43172</v>
      </c>
      <c r="S5006" t="s">
        <v>43334</v>
      </c>
      <c r="T5006" t="s">
        <v>44698</v>
      </c>
      <c r="U5006" t="s">
        <v>49275</v>
      </c>
      <c r="W5006" t="s">
        <v>41151</v>
      </c>
      <c r="X5006" t="s">
        <v>43173</v>
      </c>
    </row>
    <row r="5007" spans="1:24">
      <c r="A5007">
        <f>HYPERLINK("https://www.philgeps.gov.ph/GEPSNONPILOT/Tender/SplashBidNoticeAbstractUI.aspx?menuIndex=3&amp;refID=7078892&amp;Result=3","7078892")</f>
        <v>0</v>
      </c>
      <c r="B5007" t="s">
        <v>1727</v>
      </c>
      <c r="C5007" t="s">
        <v>8200</v>
      </c>
      <c r="D5007" t="s">
        <v>17436</v>
      </c>
      <c r="E5007" t="s">
        <v>21849</v>
      </c>
      <c r="F5007" t="s">
        <v>30052</v>
      </c>
      <c r="G5007" t="s">
        <v>30058</v>
      </c>
      <c r="H5007" t="s">
        <v>15498</v>
      </c>
      <c r="I5007" t="s">
        <v>4598</v>
      </c>
      <c r="J5007" t="s">
        <v>30327</v>
      </c>
      <c r="K5007" t="s">
        <v>39034</v>
      </c>
      <c r="M5007" t="s">
        <v>41144</v>
      </c>
      <c r="N5007" t="s">
        <v>43166</v>
      </c>
      <c r="O5007" t="s">
        <v>43167</v>
      </c>
      <c r="P5007">
        <v>0</v>
      </c>
      <c r="Q5007">
        <v>2</v>
      </c>
      <c r="R5007" t="s">
        <v>43172</v>
      </c>
      <c r="S5007" t="s">
        <v>43334</v>
      </c>
      <c r="T5007" t="s">
        <v>44818</v>
      </c>
      <c r="U5007" t="s">
        <v>49276</v>
      </c>
      <c r="W5007" t="s">
        <v>41144</v>
      </c>
      <c r="X5007" t="s">
        <v>43173</v>
      </c>
    </row>
    <row r="5008" spans="1:24">
      <c r="A5008">
        <f>HYPERLINK("https://www.philgeps.gov.ph/GEPSNONPILOT/Tender/SplashBidNoticeAbstractUI.aspx?menuIndex=3&amp;refID=7078916&amp;Result=3","7078916")</f>
        <v>0</v>
      </c>
      <c r="B5008" t="s">
        <v>443</v>
      </c>
      <c r="C5008" t="s">
        <v>8201</v>
      </c>
      <c r="D5008" t="s">
        <v>17425</v>
      </c>
      <c r="E5008" t="s">
        <v>21850</v>
      </c>
      <c r="F5008" t="s">
        <v>30052</v>
      </c>
      <c r="G5008" t="s">
        <v>30058</v>
      </c>
      <c r="H5008" t="s">
        <v>30067</v>
      </c>
      <c r="I5008" t="s">
        <v>3693</v>
      </c>
      <c r="J5008" t="s">
        <v>33394</v>
      </c>
      <c r="K5008" t="s">
        <v>39057</v>
      </c>
      <c r="M5008" t="s">
        <v>39743</v>
      </c>
      <c r="N5008" t="s">
        <v>43166</v>
      </c>
      <c r="O5008" t="s">
        <v>43167</v>
      </c>
      <c r="P5008">
        <v>0</v>
      </c>
      <c r="Q5008">
        <v>0</v>
      </c>
      <c r="R5008" t="s">
        <v>43172</v>
      </c>
      <c r="S5008" t="s">
        <v>43334</v>
      </c>
      <c r="T5008" t="s">
        <v>44934</v>
      </c>
      <c r="U5008" t="s">
        <v>49277</v>
      </c>
      <c r="W5008" t="s">
        <v>39743</v>
      </c>
      <c r="X5008" t="s">
        <v>43173</v>
      </c>
    </row>
    <row r="5009" spans="1:24">
      <c r="A5009">
        <f>HYPERLINK("https://www.philgeps.gov.ph/GEPSNONPILOT/Tender/SplashBidNoticeAbstractUI.aspx?menuIndex=3&amp;refID=7078925&amp;Result=3","7078925")</f>
        <v>0</v>
      </c>
      <c r="B5009" t="s">
        <v>1727</v>
      </c>
      <c r="C5009" t="s">
        <v>8202</v>
      </c>
      <c r="D5009" t="s">
        <v>17436</v>
      </c>
      <c r="E5009" t="s">
        <v>21851</v>
      </c>
      <c r="F5009" t="s">
        <v>30052</v>
      </c>
      <c r="G5009" t="s">
        <v>30058</v>
      </c>
      <c r="H5009" t="s">
        <v>15498</v>
      </c>
      <c r="I5009" t="s">
        <v>30070</v>
      </c>
      <c r="J5009" t="s">
        <v>33395</v>
      </c>
      <c r="K5009" t="s">
        <v>39034</v>
      </c>
      <c r="M5009" t="s">
        <v>41144</v>
      </c>
      <c r="N5009" t="s">
        <v>43166</v>
      </c>
      <c r="O5009" t="s">
        <v>43167</v>
      </c>
      <c r="P5009">
        <v>0</v>
      </c>
      <c r="Q5009">
        <v>0</v>
      </c>
      <c r="R5009" t="s">
        <v>43172</v>
      </c>
      <c r="S5009" t="s">
        <v>43334</v>
      </c>
      <c r="T5009" t="s">
        <v>44818</v>
      </c>
      <c r="U5009" t="s">
        <v>49278</v>
      </c>
      <c r="W5009" t="s">
        <v>41144</v>
      </c>
      <c r="X5009" t="s">
        <v>43173</v>
      </c>
    </row>
    <row r="5010" spans="1:24">
      <c r="A5010">
        <f>HYPERLINK("https://www.philgeps.gov.ph/GEPSNONPILOT/Tender/SplashBidNoticeAbstractUI.aspx?menuIndex=3&amp;refID=7078901&amp;Result=3","7078901")</f>
        <v>0</v>
      </c>
      <c r="B5010" t="s">
        <v>841</v>
      </c>
      <c r="C5010" t="s">
        <v>8203</v>
      </c>
      <c r="D5010" t="s">
        <v>17456</v>
      </c>
      <c r="E5010" t="s">
        <v>21852</v>
      </c>
      <c r="F5010" t="s">
        <v>30052</v>
      </c>
      <c r="G5010" t="s">
        <v>30058</v>
      </c>
      <c r="H5010" t="s">
        <v>30067</v>
      </c>
      <c r="I5010" t="s">
        <v>3693</v>
      </c>
      <c r="J5010" t="s">
        <v>33396</v>
      </c>
      <c r="K5010" t="s">
        <v>39082</v>
      </c>
      <c r="M5010" t="s">
        <v>40158</v>
      </c>
      <c r="N5010" t="s">
        <v>43166</v>
      </c>
      <c r="O5010" t="s">
        <v>43167</v>
      </c>
      <c r="P5010">
        <v>0</v>
      </c>
      <c r="Q5010">
        <v>1</v>
      </c>
      <c r="R5010" t="s">
        <v>43172</v>
      </c>
      <c r="S5010" t="s">
        <v>43334</v>
      </c>
      <c r="T5010" t="s">
        <v>44936</v>
      </c>
      <c r="U5010" t="s">
        <v>49279</v>
      </c>
      <c r="W5010" t="s">
        <v>40158</v>
      </c>
      <c r="X5010" t="s">
        <v>43173</v>
      </c>
    </row>
    <row r="5011" spans="1:24">
      <c r="A5011">
        <f>HYPERLINK("https://www.philgeps.gov.ph/GEPSNONPILOT/Tender/SplashBidNoticeAbstractUI.aspx?menuIndex=3&amp;refID=7078893&amp;Result=3","7078893")</f>
        <v>0</v>
      </c>
      <c r="B5011" t="s">
        <v>841</v>
      </c>
      <c r="C5011" t="s">
        <v>8204</v>
      </c>
      <c r="D5011" t="s">
        <v>17456</v>
      </c>
      <c r="E5011" t="s">
        <v>21853</v>
      </c>
      <c r="F5011" t="s">
        <v>30052</v>
      </c>
      <c r="G5011" t="s">
        <v>30058</v>
      </c>
      <c r="H5011" t="s">
        <v>30067</v>
      </c>
      <c r="I5011" t="s">
        <v>3693</v>
      </c>
      <c r="J5011" t="s">
        <v>33397</v>
      </c>
      <c r="K5011" t="s">
        <v>39082</v>
      </c>
      <c r="M5011" t="s">
        <v>40158</v>
      </c>
      <c r="N5011" t="s">
        <v>43166</v>
      </c>
      <c r="O5011" t="s">
        <v>43167</v>
      </c>
      <c r="P5011">
        <v>0</v>
      </c>
      <c r="Q5011">
        <v>0</v>
      </c>
      <c r="R5011" t="s">
        <v>43172</v>
      </c>
      <c r="S5011" t="s">
        <v>43334</v>
      </c>
      <c r="T5011" t="s">
        <v>44936</v>
      </c>
      <c r="U5011" t="s">
        <v>49280</v>
      </c>
      <c r="W5011" t="s">
        <v>40158</v>
      </c>
      <c r="X5011" t="s">
        <v>43173</v>
      </c>
    </row>
    <row r="5012" spans="1:24">
      <c r="A5012">
        <f>HYPERLINK("https://www.philgeps.gov.ph/GEPSNONPILOT/Tender/SplashBidNoticeAbstractUI.aspx?menuIndex=3&amp;refID=7078890&amp;Result=3","7078890")</f>
        <v>0</v>
      </c>
      <c r="B5012" t="s">
        <v>1403</v>
      </c>
      <c r="C5012" t="s">
        <v>8205</v>
      </c>
      <c r="D5012" t="s">
        <v>17441</v>
      </c>
      <c r="E5012" t="s">
        <v>21854</v>
      </c>
      <c r="F5012" t="s">
        <v>30052</v>
      </c>
      <c r="G5012" t="s">
        <v>30059</v>
      </c>
      <c r="H5012" t="s">
        <v>30067</v>
      </c>
      <c r="I5012" t="s">
        <v>3693</v>
      </c>
      <c r="J5012" t="s">
        <v>33398</v>
      </c>
      <c r="K5012" t="s">
        <v>39025</v>
      </c>
      <c r="M5012" t="s">
        <v>40780</v>
      </c>
      <c r="N5012" t="s">
        <v>43166</v>
      </c>
      <c r="O5012" t="s">
        <v>43167</v>
      </c>
      <c r="P5012">
        <v>0</v>
      </c>
      <c r="Q5012">
        <v>6</v>
      </c>
      <c r="R5012" t="s">
        <v>43172</v>
      </c>
      <c r="S5012" t="s">
        <v>43334</v>
      </c>
      <c r="T5012" t="s">
        <v>44717</v>
      </c>
      <c r="U5012" t="s">
        <v>49281</v>
      </c>
      <c r="W5012" t="s">
        <v>40780</v>
      </c>
      <c r="X5012" t="s">
        <v>43173</v>
      </c>
    </row>
    <row r="5013" spans="1:24">
      <c r="A5013">
        <f>HYPERLINK("https://www.philgeps.gov.ph/GEPSNONPILOT/Tender/SplashBidNoticeAbstractUI.aspx?menuIndex=3&amp;refID=7078862&amp;Result=3","7078862")</f>
        <v>0</v>
      </c>
      <c r="B5013" t="s">
        <v>1706</v>
      </c>
      <c r="C5013" t="s">
        <v>8206</v>
      </c>
      <c r="D5013" t="s">
        <v>17489</v>
      </c>
      <c r="E5013" t="s">
        <v>21855</v>
      </c>
      <c r="F5013" t="s">
        <v>30052</v>
      </c>
      <c r="G5013" t="s">
        <v>30058</v>
      </c>
      <c r="H5013" t="s">
        <v>15498</v>
      </c>
      <c r="I5013" t="s">
        <v>3693</v>
      </c>
      <c r="J5013" t="s">
        <v>30538</v>
      </c>
      <c r="K5013" t="s">
        <v>39019</v>
      </c>
      <c r="M5013" t="s">
        <v>41120</v>
      </c>
      <c r="N5013" t="s">
        <v>43166</v>
      </c>
      <c r="O5013" t="s">
        <v>43167</v>
      </c>
      <c r="P5013">
        <v>0</v>
      </c>
      <c r="Q5013">
        <v>0</v>
      </c>
      <c r="R5013" t="s">
        <v>43172</v>
      </c>
      <c r="S5013" t="s">
        <v>43334</v>
      </c>
      <c r="T5013" t="s">
        <v>44710</v>
      </c>
      <c r="U5013" t="s">
        <v>49282</v>
      </c>
      <c r="W5013" t="s">
        <v>41120</v>
      </c>
      <c r="X5013" t="s">
        <v>43173</v>
      </c>
    </row>
    <row r="5014" spans="1:24">
      <c r="A5014">
        <f>HYPERLINK("https://www.philgeps.gov.ph/GEPSNONPILOT/Tender/SplashBidNoticeAbstractUI.aspx?menuIndex=3&amp;refID=7078991&amp;Result=3","7078991")</f>
        <v>0</v>
      </c>
      <c r="B5014" t="s">
        <v>107</v>
      </c>
      <c r="C5014" t="s">
        <v>8207</v>
      </c>
      <c r="D5014" t="s">
        <v>17448</v>
      </c>
      <c r="E5014" t="s">
        <v>21856</v>
      </c>
      <c r="F5014" t="s">
        <v>30052</v>
      </c>
      <c r="G5014" t="s">
        <v>30059</v>
      </c>
      <c r="H5014" t="s">
        <v>15498</v>
      </c>
      <c r="I5014" t="s">
        <v>9238</v>
      </c>
      <c r="J5014" t="s">
        <v>33399</v>
      </c>
      <c r="K5014" t="s">
        <v>39025</v>
      </c>
      <c r="M5014" t="s">
        <v>39396</v>
      </c>
      <c r="N5014" t="s">
        <v>43166</v>
      </c>
      <c r="O5014" t="s">
        <v>43167</v>
      </c>
      <c r="P5014">
        <v>0</v>
      </c>
      <c r="Q5014">
        <v>14</v>
      </c>
      <c r="R5014" t="s">
        <v>43172</v>
      </c>
      <c r="S5014" t="s">
        <v>43334</v>
      </c>
      <c r="T5014" t="s">
        <v>44862</v>
      </c>
      <c r="U5014" t="s">
        <v>49283</v>
      </c>
      <c r="W5014" t="s">
        <v>39396</v>
      </c>
      <c r="X5014" t="s">
        <v>43173</v>
      </c>
    </row>
    <row r="5015" spans="1:24">
      <c r="A5015">
        <f>HYPERLINK("https://www.philgeps.gov.ph/GEPSNONPILOT/Tender/SplashBidNoticeAbstractUI.aspx?menuIndex=3&amp;refID=7078977&amp;Result=3","7078977")</f>
        <v>0</v>
      </c>
      <c r="B5015" t="s">
        <v>1735</v>
      </c>
      <c r="C5015" t="s">
        <v>8208</v>
      </c>
      <c r="D5015" t="s">
        <v>17476</v>
      </c>
      <c r="E5015" t="s">
        <v>21857</v>
      </c>
      <c r="F5015" t="s">
        <v>30052</v>
      </c>
      <c r="G5015" t="s">
        <v>30058</v>
      </c>
      <c r="H5015" t="s">
        <v>15498</v>
      </c>
      <c r="I5015" t="s">
        <v>30083</v>
      </c>
      <c r="J5015" t="s">
        <v>31447</v>
      </c>
      <c r="K5015" t="s">
        <v>39046</v>
      </c>
      <c r="M5015" t="s">
        <v>41152</v>
      </c>
      <c r="N5015" t="s">
        <v>43166</v>
      </c>
      <c r="O5015" t="s">
        <v>43167</v>
      </c>
      <c r="P5015">
        <v>0</v>
      </c>
      <c r="Q5015">
        <v>6</v>
      </c>
      <c r="R5015" t="s">
        <v>43172</v>
      </c>
      <c r="S5015" t="s">
        <v>43334</v>
      </c>
      <c r="T5015" t="s">
        <v>45007</v>
      </c>
      <c r="U5015" t="s">
        <v>49284</v>
      </c>
      <c r="W5015" t="s">
        <v>41152</v>
      </c>
      <c r="X5015" t="s">
        <v>43173</v>
      </c>
    </row>
    <row r="5016" spans="1:24">
      <c r="A5016">
        <f>HYPERLINK("https://www.philgeps.gov.ph/GEPSNONPILOT/Tender/SplashBidNoticeAbstractUI.aspx?menuIndex=3&amp;refID=7078996&amp;Result=3","7078996")</f>
        <v>0</v>
      </c>
      <c r="B5016" t="s">
        <v>1414</v>
      </c>
      <c r="C5016" t="s">
        <v>8209</v>
      </c>
      <c r="D5016" t="s">
        <v>17419</v>
      </c>
      <c r="E5016" t="s">
        <v>21858</v>
      </c>
      <c r="F5016" t="s">
        <v>30052</v>
      </c>
      <c r="G5016" t="s">
        <v>30058</v>
      </c>
      <c r="H5016" t="s">
        <v>15498</v>
      </c>
      <c r="I5016" t="s">
        <v>30074</v>
      </c>
      <c r="J5016" t="s">
        <v>33400</v>
      </c>
      <c r="K5016" t="s">
        <v>39029</v>
      </c>
      <c r="M5016" t="s">
        <v>40792</v>
      </c>
      <c r="N5016" t="s">
        <v>43166</v>
      </c>
      <c r="O5016" t="s">
        <v>43167</v>
      </c>
      <c r="P5016">
        <v>0</v>
      </c>
      <c r="Q5016">
        <v>3</v>
      </c>
      <c r="R5016" t="s">
        <v>43172</v>
      </c>
      <c r="S5016" t="s">
        <v>43334</v>
      </c>
      <c r="T5016" t="s">
        <v>44758</v>
      </c>
      <c r="U5016" t="s">
        <v>49285</v>
      </c>
      <c r="W5016" t="s">
        <v>40792</v>
      </c>
      <c r="X5016" t="s">
        <v>43173</v>
      </c>
    </row>
    <row r="5017" spans="1:24">
      <c r="A5017">
        <f>HYPERLINK("https://www.philgeps.gov.ph/GEPSNONPILOT/Tender/SplashBidNoticeAbstractUI.aspx?menuIndex=3&amp;refID=7078976&amp;Result=3","7078976")</f>
        <v>0</v>
      </c>
      <c r="B5017" t="s">
        <v>1736</v>
      </c>
      <c r="C5017" t="s">
        <v>8210</v>
      </c>
      <c r="D5017" t="s">
        <v>17444</v>
      </c>
      <c r="E5017" t="s">
        <v>21859</v>
      </c>
      <c r="F5017" t="s">
        <v>30052</v>
      </c>
      <c r="G5017" t="s">
        <v>30061</v>
      </c>
      <c r="H5017" t="s">
        <v>15498</v>
      </c>
      <c r="I5017" t="s">
        <v>4119</v>
      </c>
      <c r="J5017" t="s">
        <v>30939</v>
      </c>
      <c r="K5017" t="s">
        <v>39034</v>
      </c>
      <c r="M5017" t="s">
        <v>41153</v>
      </c>
      <c r="N5017" t="s">
        <v>43166</v>
      </c>
      <c r="O5017" t="s">
        <v>43167</v>
      </c>
      <c r="Q5017">
        <v>0</v>
      </c>
      <c r="R5017" t="s">
        <v>43172</v>
      </c>
      <c r="S5017" t="s">
        <v>43341</v>
      </c>
      <c r="T5017" t="s">
        <v>44717</v>
      </c>
      <c r="U5017" t="s">
        <v>49286</v>
      </c>
      <c r="W5017" t="s">
        <v>41153</v>
      </c>
      <c r="X5017" t="s">
        <v>43173</v>
      </c>
    </row>
    <row r="5018" spans="1:24">
      <c r="A5018">
        <f>HYPERLINK("https://www.philgeps.gov.ph/GEPSNONPILOT/Tender/SplashBidNoticeAbstractUI.aspx?menuIndex=3&amp;refID=7078993&amp;Result=3","7078993")</f>
        <v>0</v>
      </c>
      <c r="B5018" t="s">
        <v>1727</v>
      </c>
      <c r="C5018" t="s">
        <v>8211</v>
      </c>
      <c r="D5018" t="s">
        <v>17436</v>
      </c>
      <c r="E5018" t="s">
        <v>21860</v>
      </c>
      <c r="F5018" t="s">
        <v>30052</v>
      </c>
      <c r="G5018" t="s">
        <v>30058</v>
      </c>
      <c r="H5018" t="s">
        <v>15498</v>
      </c>
      <c r="I5018" t="s">
        <v>30070</v>
      </c>
      <c r="J5018" t="s">
        <v>31045</v>
      </c>
      <c r="K5018" t="s">
        <v>39034</v>
      </c>
      <c r="M5018" t="s">
        <v>41144</v>
      </c>
      <c r="N5018" t="s">
        <v>43166</v>
      </c>
      <c r="O5018" t="s">
        <v>43167</v>
      </c>
      <c r="P5018">
        <v>0</v>
      </c>
      <c r="Q5018">
        <v>0</v>
      </c>
      <c r="R5018" t="s">
        <v>43172</v>
      </c>
      <c r="S5018" t="s">
        <v>43334</v>
      </c>
      <c r="T5018" t="s">
        <v>44818</v>
      </c>
      <c r="U5018" t="s">
        <v>49287</v>
      </c>
      <c r="W5018" t="s">
        <v>41144</v>
      </c>
      <c r="X5018" t="s">
        <v>43173</v>
      </c>
    </row>
    <row r="5019" spans="1:24">
      <c r="A5019">
        <f>HYPERLINK("https://www.philgeps.gov.ph/GEPSNONPILOT/Tender/SplashBidNoticeAbstractUI.aspx?menuIndex=3&amp;refID=7078992&amp;Result=3","7078992")</f>
        <v>0</v>
      </c>
      <c r="B5019" t="s">
        <v>1737</v>
      </c>
      <c r="C5019" t="s">
        <v>8212</v>
      </c>
      <c r="D5019" t="s">
        <v>17415</v>
      </c>
      <c r="E5019" t="s">
        <v>21861</v>
      </c>
      <c r="F5019" t="s">
        <v>30052</v>
      </c>
      <c r="G5019" t="s">
        <v>30058</v>
      </c>
      <c r="H5019" t="s">
        <v>30067</v>
      </c>
      <c r="I5019" t="s">
        <v>3693</v>
      </c>
      <c r="J5019" t="s">
        <v>33401</v>
      </c>
      <c r="K5019" t="s">
        <v>39016</v>
      </c>
      <c r="M5019" t="s">
        <v>41154</v>
      </c>
      <c r="N5019" t="s">
        <v>43166</v>
      </c>
      <c r="O5019" t="s">
        <v>43167</v>
      </c>
      <c r="P5019">
        <v>0</v>
      </c>
      <c r="Q5019">
        <v>2</v>
      </c>
      <c r="R5019" t="s">
        <v>43172</v>
      </c>
      <c r="S5019" t="s">
        <v>43334</v>
      </c>
      <c r="T5019" t="s">
        <v>44828</v>
      </c>
      <c r="U5019" t="s">
        <v>49288</v>
      </c>
      <c r="V5019" t="s">
        <v>57387</v>
      </c>
      <c r="W5019" t="s">
        <v>41154</v>
      </c>
      <c r="X5019" t="s">
        <v>43173</v>
      </c>
    </row>
    <row r="5020" spans="1:24">
      <c r="A5020">
        <f>HYPERLINK("https://www.philgeps.gov.ph/GEPSNONPILOT/Tender/SplashBidNoticeAbstractUI.aspx?menuIndex=3&amp;refID=7078975&amp;Result=3","7078975")</f>
        <v>0</v>
      </c>
      <c r="B5020" t="s">
        <v>1738</v>
      </c>
      <c r="C5020" t="s">
        <v>8213</v>
      </c>
      <c r="D5020" t="s">
        <v>17445</v>
      </c>
      <c r="E5020" t="s">
        <v>20929</v>
      </c>
      <c r="F5020" t="s">
        <v>30052</v>
      </c>
      <c r="G5020" t="s">
        <v>30058</v>
      </c>
      <c r="H5020" t="s">
        <v>15498</v>
      </c>
      <c r="I5020" t="s">
        <v>4650</v>
      </c>
      <c r="J5020" t="s">
        <v>30330</v>
      </c>
      <c r="K5020" t="s">
        <v>39017</v>
      </c>
      <c r="M5020" t="s">
        <v>41155</v>
      </c>
      <c r="N5020" t="s">
        <v>43166</v>
      </c>
      <c r="O5020" t="s">
        <v>43167</v>
      </c>
      <c r="P5020">
        <v>0</v>
      </c>
      <c r="Q5020">
        <v>8</v>
      </c>
      <c r="R5020" t="s">
        <v>43172</v>
      </c>
      <c r="S5020" t="s">
        <v>43334</v>
      </c>
      <c r="T5020" t="s">
        <v>44691</v>
      </c>
      <c r="U5020" t="s">
        <v>49289</v>
      </c>
      <c r="W5020" t="s">
        <v>41155</v>
      </c>
      <c r="X5020" t="s">
        <v>43173</v>
      </c>
    </row>
    <row r="5021" spans="1:24">
      <c r="A5021">
        <f>HYPERLINK("https://www.philgeps.gov.ph/GEPSNONPILOT/Tender/SplashBidNoticeAbstractUI.aspx?menuIndex=3&amp;refID=7078974&amp;Result=3","7078974")</f>
        <v>0</v>
      </c>
      <c r="B5021" t="s">
        <v>1729</v>
      </c>
      <c r="C5021" t="s">
        <v>8214</v>
      </c>
      <c r="D5021" t="s">
        <v>17421</v>
      </c>
      <c r="E5021" t="s">
        <v>18731</v>
      </c>
      <c r="F5021" t="s">
        <v>30052</v>
      </c>
      <c r="G5021" t="s">
        <v>30058</v>
      </c>
      <c r="H5021" t="s">
        <v>15498</v>
      </c>
      <c r="I5021" t="s">
        <v>4650</v>
      </c>
      <c r="J5021" t="s">
        <v>33402</v>
      </c>
      <c r="K5021" t="s">
        <v>39029</v>
      </c>
      <c r="M5021" t="s">
        <v>41146</v>
      </c>
      <c r="N5021" t="s">
        <v>43166</v>
      </c>
      <c r="O5021" t="s">
        <v>43167</v>
      </c>
      <c r="P5021">
        <v>0</v>
      </c>
      <c r="Q5021">
        <v>3</v>
      </c>
      <c r="R5021" t="s">
        <v>43172</v>
      </c>
      <c r="S5021" t="s">
        <v>43334</v>
      </c>
      <c r="T5021" t="s">
        <v>44685</v>
      </c>
      <c r="U5021" t="s">
        <v>49262</v>
      </c>
      <c r="W5021" t="s">
        <v>41146</v>
      </c>
      <c r="X5021" t="s">
        <v>43173</v>
      </c>
    </row>
    <row r="5022" spans="1:24">
      <c r="A5022">
        <f>HYPERLINK("https://www.philgeps.gov.ph/GEPSNONPILOT/Tender/SplashBidNoticeAbstractUI.aspx?menuIndex=3&amp;refID=7078971&amp;Result=3","7078971")</f>
        <v>0</v>
      </c>
      <c r="B5022" t="s">
        <v>993</v>
      </c>
      <c r="C5022" t="s">
        <v>8215</v>
      </c>
      <c r="D5022" t="s">
        <v>17425</v>
      </c>
      <c r="E5022" t="s">
        <v>21862</v>
      </c>
      <c r="F5022" t="s">
        <v>30052</v>
      </c>
      <c r="G5022" t="s">
        <v>30058</v>
      </c>
      <c r="H5022" t="s">
        <v>15498</v>
      </c>
      <c r="I5022" t="s">
        <v>3736</v>
      </c>
      <c r="J5022" t="s">
        <v>33403</v>
      </c>
      <c r="K5022" t="s">
        <v>39025</v>
      </c>
      <c r="L5022" t="s">
        <v>993</v>
      </c>
      <c r="M5022" t="s">
        <v>40320</v>
      </c>
      <c r="N5022" t="s">
        <v>43166</v>
      </c>
      <c r="O5022" t="s">
        <v>43167</v>
      </c>
      <c r="P5022">
        <v>0</v>
      </c>
      <c r="Q5022">
        <v>0</v>
      </c>
      <c r="R5022" t="s">
        <v>43172</v>
      </c>
      <c r="S5022" t="s">
        <v>43334</v>
      </c>
      <c r="T5022" t="s">
        <v>44691</v>
      </c>
      <c r="U5022" t="s">
        <v>49290</v>
      </c>
      <c r="W5022" t="s">
        <v>40320</v>
      </c>
      <c r="X5022" t="s">
        <v>43173</v>
      </c>
    </row>
    <row r="5023" spans="1:24">
      <c r="A5023">
        <f>HYPERLINK("https://www.philgeps.gov.ph/GEPSNONPILOT/Tender/SplashBidNoticeAbstractUI.aspx?menuIndex=3&amp;refID=7078970&amp;Result=3","7078970")</f>
        <v>0</v>
      </c>
      <c r="B5023" t="s">
        <v>1739</v>
      </c>
      <c r="C5023" t="s">
        <v>8216</v>
      </c>
      <c r="D5023" t="s">
        <v>17449</v>
      </c>
      <c r="E5023" t="s">
        <v>21863</v>
      </c>
      <c r="F5023" t="s">
        <v>30052</v>
      </c>
      <c r="G5023" t="s">
        <v>30059</v>
      </c>
      <c r="H5023" t="s">
        <v>15498</v>
      </c>
      <c r="I5023" t="s">
        <v>4650</v>
      </c>
      <c r="J5023" t="s">
        <v>30417</v>
      </c>
      <c r="K5023" t="s">
        <v>39039</v>
      </c>
      <c r="M5023" t="s">
        <v>41156</v>
      </c>
      <c r="N5023" t="s">
        <v>43166</v>
      </c>
      <c r="O5023" t="s">
        <v>43167</v>
      </c>
      <c r="P5023">
        <v>0</v>
      </c>
      <c r="Q5023">
        <v>0</v>
      </c>
      <c r="R5023" t="s">
        <v>43172</v>
      </c>
      <c r="S5023" t="s">
        <v>43334</v>
      </c>
      <c r="T5023" t="s">
        <v>44777</v>
      </c>
      <c r="U5023" t="s">
        <v>49291</v>
      </c>
      <c r="W5023" t="s">
        <v>41156</v>
      </c>
      <c r="X5023" t="s">
        <v>43173</v>
      </c>
    </row>
    <row r="5024" spans="1:24">
      <c r="A5024">
        <f>HYPERLINK("https://www.philgeps.gov.ph/GEPSNONPILOT/Tender/SplashBidNoticeAbstractUI.aspx?menuIndex=3&amp;refID=7079029&amp;Result=3","7079029")</f>
        <v>0</v>
      </c>
      <c r="B5024" t="s">
        <v>1740</v>
      </c>
      <c r="C5024" t="s">
        <v>8217</v>
      </c>
      <c r="D5024" t="s">
        <v>17456</v>
      </c>
      <c r="E5024" t="s">
        <v>21864</v>
      </c>
      <c r="F5024" t="s">
        <v>30052</v>
      </c>
      <c r="G5024" t="s">
        <v>30059</v>
      </c>
      <c r="H5024" t="s">
        <v>15498</v>
      </c>
      <c r="I5024" t="s">
        <v>30094</v>
      </c>
      <c r="J5024" t="s">
        <v>33404</v>
      </c>
      <c r="K5024" t="s">
        <v>39019</v>
      </c>
      <c r="M5024" t="s">
        <v>41157</v>
      </c>
      <c r="N5024" t="s">
        <v>43166</v>
      </c>
      <c r="O5024" t="s">
        <v>43167</v>
      </c>
      <c r="P5024">
        <v>0</v>
      </c>
      <c r="Q5024">
        <v>2</v>
      </c>
      <c r="R5024" t="s">
        <v>43172</v>
      </c>
      <c r="S5024" t="s">
        <v>43334</v>
      </c>
      <c r="T5024" t="s">
        <v>44856</v>
      </c>
      <c r="U5024" t="s">
        <v>49292</v>
      </c>
      <c r="W5024" t="s">
        <v>41157</v>
      </c>
      <c r="X5024" t="s">
        <v>43173</v>
      </c>
    </row>
    <row r="5025" spans="1:24">
      <c r="A5025">
        <f>HYPERLINK("https://www.philgeps.gov.ph/GEPSNONPILOT/Tender/SplashBidNoticeAbstractUI.aspx?menuIndex=3&amp;refID=7079026&amp;Result=3","7079026")</f>
        <v>0</v>
      </c>
      <c r="B5025" t="s">
        <v>1741</v>
      </c>
      <c r="C5025" t="s">
        <v>8218</v>
      </c>
      <c r="D5025" t="s">
        <v>17455</v>
      </c>
      <c r="E5025" t="s">
        <v>21865</v>
      </c>
      <c r="F5025" t="s">
        <v>30052</v>
      </c>
      <c r="G5025" t="s">
        <v>30058</v>
      </c>
      <c r="H5025" t="s">
        <v>15498</v>
      </c>
      <c r="I5025" t="s">
        <v>3736</v>
      </c>
      <c r="J5025" t="s">
        <v>33405</v>
      </c>
      <c r="K5025" t="s">
        <v>39017</v>
      </c>
      <c r="M5025" t="s">
        <v>41158</v>
      </c>
      <c r="N5025" t="s">
        <v>43166</v>
      </c>
      <c r="O5025" t="s">
        <v>43167</v>
      </c>
      <c r="P5025">
        <v>0</v>
      </c>
      <c r="Q5025">
        <v>2</v>
      </c>
      <c r="R5025" t="s">
        <v>43172</v>
      </c>
      <c r="S5025" t="s">
        <v>43334</v>
      </c>
      <c r="T5025" t="s">
        <v>45010</v>
      </c>
      <c r="U5025" t="s">
        <v>49293</v>
      </c>
      <c r="V5025" t="s">
        <v>57388</v>
      </c>
      <c r="W5025" t="s">
        <v>41158</v>
      </c>
      <c r="X5025" t="s">
        <v>43173</v>
      </c>
    </row>
    <row r="5026" spans="1:24">
      <c r="A5026">
        <f>HYPERLINK("https://www.philgeps.gov.ph/GEPSNONPILOT/Tender/SplashBidNoticeAbstractUI.aspx?menuIndex=3&amp;refID=7078972&amp;Result=3","7078972")</f>
        <v>0</v>
      </c>
      <c r="B5026" t="s">
        <v>759</v>
      </c>
      <c r="C5026" t="s">
        <v>8219</v>
      </c>
      <c r="D5026" t="s">
        <v>17416</v>
      </c>
      <c r="E5026" t="s">
        <v>21866</v>
      </c>
      <c r="F5026" t="s">
        <v>30052</v>
      </c>
      <c r="G5026" t="s">
        <v>30058</v>
      </c>
      <c r="H5026" t="s">
        <v>30067</v>
      </c>
      <c r="I5026" t="s">
        <v>3693</v>
      </c>
      <c r="J5026" t="s">
        <v>33406</v>
      </c>
      <c r="K5026" t="s">
        <v>39061</v>
      </c>
      <c r="M5026" t="s">
        <v>40073</v>
      </c>
      <c r="N5026" t="s">
        <v>43166</v>
      </c>
      <c r="O5026" t="s">
        <v>43167</v>
      </c>
      <c r="P5026">
        <v>0</v>
      </c>
      <c r="Q5026">
        <v>0</v>
      </c>
      <c r="R5026" t="s">
        <v>43172</v>
      </c>
      <c r="S5026" t="s">
        <v>43334</v>
      </c>
      <c r="T5026" t="s">
        <v>44789</v>
      </c>
      <c r="U5026" t="s">
        <v>49294</v>
      </c>
      <c r="W5026" t="s">
        <v>40073</v>
      </c>
      <c r="X5026" t="s">
        <v>43173</v>
      </c>
    </row>
    <row r="5027" spans="1:24">
      <c r="A5027">
        <f>HYPERLINK("https://www.philgeps.gov.ph/GEPSNONPILOT/Tender/SplashBidNoticeAbstractUI.aspx?menuIndex=3&amp;refID=7079024&amp;Result=3","7079024")</f>
        <v>0</v>
      </c>
      <c r="B5027" t="s">
        <v>1333</v>
      </c>
      <c r="C5027" t="s">
        <v>8220</v>
      </c>
      <c r="D5027" t="s">
        <v>17474</v>
      </c>
      <c r="E5027" t="s">
        <v>20704</v>
      </c>
      <c r="F5027" t="s">
        <v>30052</v>
      </c>
      <c r="G5027" t="s">
        <v>30058</v>
      </c>
      <c r="H5027" t="s">
        <v>15498</v>
      </c>
      <c r="I5027" t="s">
        <v>30097</v>
      </c>
      <c r="J5027" t="s">
        <v>33407</v>
      </c>
      <c r="K5027" t="s">
        <v>39034</v>
      </c>
      <c r="M5027" t="s">
        <v>40700</v>
      </c>
      <c r="N5027" t="s">
        <v>43166</v>
      </c>
      <c r="O5027" t="s">
        <v>43167</v>
      </c>
      <c r="P5027">
        <v>0</v>
      </c>
      <c r="Q5027">
        <v>0</v>
      </c>
      <c r="R5027" t="s">
        <v>43172</v>
      </c>
      <c r="S5027" t="s">
        <v>43334</v>
      </c>
      <c r="T5027" t="s">
        <v>44754</v>
      </c>
      <c r="U5027" t="s">
        <v>49295</v>
      </c>
      <c r="W5027" t="s">
        <v>40700</v>
      </c>
      <c r="X5027" t="s">
        <v>43173</v>
      </c>
    </row>
    <row r="5028" spans="1:24">
      <c r="A5028">
        <f>HYPERLINK("https://www.philgeps.gov.ph/GEPSNONPILOT/Tender/SplashBidNoticeAbstractUI.aspx?menuIndex=3&amp;refID=7078969&amp;Result=3","7078969")</f>
        <v>0</v>
      </c>
      <c r="B5028" t="s">
        <v>910</v>
      </c>
      <c r="C5028" t="s">
        <v>8221</v>
      </c>
      <c r="D5028" t="s">
        <v>17427</v>
      </c>
      <c r="E5028" t="s">
        <v>21867</v>
      </c>
      <c r="F5028" t="s">
        <v>30052</v>
      </c>
      <c r="G5028" t="s">
        <v>30059</v>
      </c>
      <c r="H5028" t="s">
        <v>15498</v>
      </c>
      <c r="I5028" t="s">
        <v>30070</v>
      </c>
      <c r="J5028" t="s">
        <v>30586</v>
      </c>
      <c r="K5028" t="s">
        <v>39025</v>
      </c>
      <c r="M5028" t="s">
        <v>41159</v>
      </c>
      <c r="N5028" t="s">
        <v>43166</v>
      </c>
      <c r="O5028" t="s">
        <v>43167</v>
      </c>
      <c r="P5028">
        <v>0</v>
      </c>
      <c r="Q5028">
        <v>0</v>
      </c>
      <c r="R5028" t="s">
        <v>43172</v>
      </c>
      <c r="S5028" t="s">
        <v>43334</v>
      </c>
      <c r="T5028" t="s">
        <v>44837</v>
      </c>
      <c r="U5028" t="s">
        <v>47997</v>
      </c>
      <c r="W5028" t="s">
        <v>41159</v>
      </c>
      <c r="X5028" t="s">
        <v>43173</v>
      </c>
    </row>
    <row r="5029" spans="1:24">
      <c r="A5029">
        <f>HYPERLINK("https://www.philgeps.gov.ph/GEPSNONPILOT/Tender/SplashBidNoticeAbstractUI.aspx?menuIndex=3&amp;refID=7079017&amp;Result=3","7079017")</f>
        <v>0</v>
      </c>
      <c r="B5029" t="s">
        <v>1387</v>
      </c>
      <c r="C5029" t="s">
        <v>8222</v>
      </c>
      <c r="E5029" t="s">
        <v>21868</v>
      </c>
      <c r="F5029" t="s">
        <v>30052</v>
      </c>
      <c r="G5029" t="s">
        <v>30059</v>
      </c>
      <c r="H5029" t="s">
        <v>15498</v>
      </c>
      <c r="I5029" t="s">
        <v>30120</v>
      </c>
      <c r="J5029" t="s">
        <v>33408</v>
      </c>
      <c r="K5029" t="s">
        <v>39017</v>
      </c>
      <c r="M5029" t="s">
        <v>40763</v>
      </c>
      <c r="N5029" t="s">
        <v>43166</v>
      </c>
      <c r="O5029" t="s">
        <v>43167</v>
      </c>
      <c r="P5029">
        <v>0</v>
      </c>
      <c r="Q5029">
        <v>0</v>
      </c>
      <c r="R5029" t="s">
        <v>43172</v>
      </c>
      <c r="S5029" t="s">
        <v>43334</v>
      </c>
      <c r="T5029" t="s">
        <v>44887</v>
      </c>
      <c r="U5029" t="s">
        <v>49296</v>
      </c>
      <c r="W5029" t="s">
        <v>40763</v>
      </c>
      <c r="X5029" t="s">
        <v>43173</v>
      </c>
    </row>
    <row r="5030" spans="1:24">
      <c r="A5030">
        <f>HYPERLINK("https://www.philgeps.gov.ph/GEPSNONPILOT/Tender/SplashBidNoticeAbstractUI.aspx?menuIndex=3&amp;refID=7079016&amp;Result=3","7079016")</f>
        <v>0</v>
      </c>
      <c r="B5030" t="s">
        <v>1730</v>
      </c>
      <c r="C5030" t="s">
        <v>8223</v>
      </c>
      <c r="D5030" t="s">
        <v>17423</v>
      </c>
      <c r="E5030" t="s">
        <v>21869</v>
      </c>
      <c r="F5030" t="s">
        <v>30052</v>
      </c>
      <c r="G5030" t="s">
        <v>30059</v>
      </c>
      <c r="H5030" t="s">
        <v>15498</v>
      </c>
      <c r="I5030" t="s">
        <v>30103</v>
      </c>
      <c r="J5030" t="s">
        <v>30915</v>
      </c>
      <c r="K5030" t="s">
        <v>39019</v>
      </c>
      <c r="M5030" t="s">
        <v>41160</v>
      </c>
      <c r="N5030" t="s">
        <v>43166</v>
      </c>
      <c r="O5030" t="s">
        <v>43167</v>
      </c>
      <c r="P5030">
        <v>0</v>
      </c>
      <c r="Q5030">
        <v>2</v>
      </c>
      <c r="R5030" t="s">
        <v>43172</v>
      </c>
      <c r="S5030" t="s">
        <v>43334</v>
      </c>
      <c r="T5030" t="s">
        <v>44844</v>
      </c>
      <c r="U5030" t="s">
        <v>49297</v>
      </c>
      <c r="V5030" t="s">
        <v>56838</v>
      </c>
      <c r="W5030" t="s">
        <v>41160</v>
      </c>
      <c r="X5030" t="s">
        <v>43173</v>
      </c>
    </row>
    <row r="5031" spans="1:24">
      <c r="A5031">
        <f>HYPERLINK("https://www.philgeps.gov.ph/GEPSNONPILOT/Tender/SplashBidNoticeAbstractUI.aspx?menuIndex=3&amp;refID=7079012&amp;Result=3","7079012")</f>
        <v>0</v>
      </c>
      <c r="B5031" t="s">
        <v>1742</v>
      </c>
      <c r="C5031" t="s">
        <v>8224</v>
      </c>
      <c r="D5031" t="s">
        <v>17484</v>
      </c>
      <c r="E5031" t="s">
        <v>21870</v>
      </c>
      <c r="F5031" t="s">
        <v>30052</v>
      </c>
      <c r="G5031" t="s">
        <v>30061</v>
      </c>
      <c r="H5031" t="s">
        <v>15498</v>
      </c>
      <c r="I5031" t="s">
        <v>30186</v>
      </c>
      <c r="J5031" t="s">
        <v>31236</v>
      </c>
      <c r="K5031" t="s">
        <v>39019</v>
      </c>
      <c r="L5031" t="s">
        <v>1742</v>
      </c>
      <c r="M5031" t="s">
        <v>41161</v>
      </c>
      <c r="N5031" t="s">
        <v>43166</v>
      </c>
      <c r="O5031" t="s">
        <v>43167</v>
      </c>
      <c r="P5031">
        <v>0</v>
      </c>
      <c r="Q5031">
        <v>2</v>
      </c>
      <c r="R5031" t="s">
        <v>43172</v>
      </c>
      <c r="S5031" t="s">
        <v>43334</v>
      </c>
      <c r="T5031" t="s">
        <v>44720</v>
      </c>
      <c r="U5031" t="s">
        <v>49298</v>
      </c>
      <c r="V5031" t="s">
        <v>57389</v>
      </c>
      <c r="W5031" t="s">
        <v>41161</v>
      </c>
      <c r="X5031" t="s">
        <v>43173</v>
      </c>
    </row>
    <row r="5032" spans="1:24">
      <c r="A5032">
        <f>HYPERLINK("https://www.philgeps.gov.ph/GEPSNONPILOT/Tender/SplashBidNoticeAbstractUI.aspx?menuIndex=3&amp;refID=7079011&amp;Result=3","7079011")</f>
        <v>0</v>
      </c>
      <c r="B5032" t="s">
        <v>107</v>
      </c>
      <c r="C5032" t="s">
        <v>8225</v>
      </c>
      <c r="D5032" t="s">
        <v>17448</v>
      </c>
      <c r="E5032" t="s">
        <v>21871</v>
      </c>
      <c r="F5032" t="s">
        <v>30052</v>
      </c>
      <c r="G5032" t="s">
        <v>30059</v>
      </c>
      <c r="H5032" t="s">
        <v>15498</v>
      </c>
      <c r="I5032" t="s">
        <v>9238</v>
      </c>
      <c r="J5032" t="s">
        <v>31189</v>
      </c>
      <c r="K5032" t="s">
        <v>39025</v>
      </c>
      <c r="M5032" t="s">
        <v>39396</v>
      </c>
      <c r="N5032" t="s">
        <v>43166</v>
      </c>
      <c r="O5032" t="s">
        <v>43167</v>
      </c>
      <c r="P5032">
        <v>0</v>
      </c>
      <c r="Q5032">
        <v>21</v>
      </c>
      <c r="R5032" t="s">
        <v>43172</v>
      </c>
      <c r="S5032" t="s">
        <v>43334</v>
      </c>
      <c r="T5032" t="s">
        <v>44862</v>
      </c>
      <c r="U5032" t="s">
        <v>49299</v>
      </c>
      <c r="W5032" t="s">
        <v>39396</v>
      </c>
      <c r="X5032" t="s">
        <v>43173</v>
      </c>
    </row>
    <row r="5033" spans="1:24">
      <c r="A5033">
        <f>HYPERLINK("https://www.philgeps.gov.ph/GEPSNONPILOT/Tender/SplashBidNoticeAbstractUI.aspx?menuIndex=3&amp;refID=7078986&amp;Result=3","7078986")</f>
        <v>0</v>
      </c>
      <c r="B5033" t="s">
        <v>1743</v>
      </c>
      <c r="C5033" t="s">
        <v>8226</v>
      </c>
      <c r="D5033" t="s">
        <v>17447</v>
      </c>
      <c r="E5033" t="s">
        <v>21872</v>
      </c>
      <c r="F5033" t="s">
        <v>30052</v>
      </c>
      <c r="G5033" t="s">
        <v>30061</v>
      </c>
      <c r="H5033" t="s">
        <v>15498</v>
      </c>
      <c r="I5033" t="s">
        <v>30070</v>
      </c>
      <c r="J5033" t="s">
        <v>30323</v>
      </c>
      <c r="K5033" t="s">
        <v>39017</v>
      </c>
      <c r="M5033" t="s">
        <v>41162</v>
      </c>
      <c r="N5033" t="s">
        <v>43166</v>
      </c>
      <c r="O5033" t="s">
        <v>43167</v>
      </c>
      <c r="P5033">
        <v>0</v>
      </c>
      <c r="Q5033">
        <v>0</v>
      </c>
      <c r="R5033" t="s">
        <v>43172</v>
      </c>
      <c r="S5033" t="s">
        <v>43334</v>
      </c>
      <c r="T5033" t="s">
        <v>44691</v>
      </c>
      <c r="U5033" t="s">
        <v>49300</v>
      </c>
      <c r="W5033" t="s">
        <v>41162</v>
      </c>
      <c r="X5033" t="s">
        <v>43173</v>
      </c>
    </row>
    <row r="5034" spans="1:24">
      <c r="A5034">
        <f>HYPERLINK("https://www.philgeps.gov.ph/GEPSNONPILOT/Tender/SplashBidNoticeAbstractUI.aspx?menuIndex=3&amp;refID=7079010&amp;Result=3","7079010")</f>
        <v>0</v>
      </c>
      <c r="B5034" t="s">
        <v>993</v>
      </c>
      <c r="C5034" t="s">
        <v>8227</v>
      </c>
      <c r="D5034" t="s">
        <v>17425</v>
      </c>
      <c r="E5034" t="s">
        <v>21873</v>
      </c>
      <c r="F5034" t="s">
        <v>30052</v>
      </c>
      <c r="G5034" t="s">
        <v>30058</v>
      </c>
      <c r="H5034" t="s">
        <v>15498</v>
      </c>
      <c r="I5034" t="s">
        <v>30125</v>
      </c>
      <c r="J5034" t="s">
        <v>30277</v>
      </c>
      <c r="K5034" t="s">
        <v>39025</v>
      </c>
      <c r="L5034" t="s">
        <v>993</v>
      </c>
      <c r="M5034" t="s">
        <v>40320</v>
      </c>
      <c r="N5034" t="s">
        <v>43166</v>
      </c>
      <c r="O5034" t="s">
        <v>43167</v>
      </c>
      <c r="P5034">
        <v>0</v>
      </c>
      <c r="Q5034">
        <v>3</v>
      </c>
      <c r="R5034" t="s">
        <v>43172</v>
      </c>
      <c r="S5034" t="s">
        <v>43334</v>
      </c>
      <c r="T5034" t="s">
        <v>44691</v>
      </c>
      <c r="U5034" t="s">
        <v>49301</v>
      </c>
      <c r="W5034" t="s">
        <v>40320</v>
      </c>
      <c r="X5034" t="s">
        <v>43173</v>
      </c>
    </row>
    <row r="5035" spans="1:24">
      <c r="A5035">
        <f>HYPERLINK("https://www.philgeps.gov.ph/GEPSNONPILOT/Tender/SplashBidNoticeAbstractUI.aspx?menuIndex=3&amp;refID=7079008&amp;Result=3","7079008")</f>
        <v>0</v>
      </c>
      <c r="B5035" t="s">
        <v>1356</v>
      </c>
      <c r="C5035" t="s">
        <v>8228</v>
      </c>
      <c r="D5035" t="s">
        <v>17445</v>
      </c>
      <c r="E5035" t="s">
        <v>21874</v>
      </c>
      <c r="F5035" t="s">
        <v>30052</v>
      </c>
      <c r="G5035" t="s">
        <v>30059</v>
      </c>
      <c r="H5035" t="s">
        <v>15498</v>
      </c>
      <c r="I5035" t="s">
        <v>30080</v>
      </c>
      <c r="J5035" t="s">
        <v>33409</v>
      </c>
      <c r="K5035" t="s">
        <v>39018</v>
      </c>
      <c r="M5035" t="s">
        <v>40725</v>
      </c>
      <c r="N5035" t="s">
        <v>43166</v>
      </c>
      <c r="O5035" t="s">
        <v>43167</v>
      </c>
      <c r="P5035">
        <v>0</v>
      </c>
      <c r="Q5035">
        <v>5</v>
      </c>
      <c r="R5035" t="s">
        <v>43172</v>
      </c>
      <c r="S5035" t="s">
        <v>43334</v>
      </c>
      <c r="T5035" t="s">
        <v>44777</v>
      </c>
      <c r="U5035" t="s">
        <v>49302</v>
      </c>
      <c r="W5035" t="s">
        <v>40725</v>
      </c>
      <c r="X5035" t="s">
        <v>43173</v>
      </c>
    </row>
    <row r="5036" spans="1:24">
      <c r="A5036">
        <f>HYPERLINK("https://www.philgeps.gov.ph/GEPSNONPILOT/Tender/SplashBidNoticeAbstractUI.aspx?menuIndex=3&amp;refID=7079006&amp;Result=3","7079006")</f>
        <v>0</v>
      </c>
      <c r="B5036" t="s">
        <v>1744</v>
      </c>
      <c r="C5036" t="s">
        <v>8229</v>
      </c>
      <c r="D5036" t="s">
        <v>17457</v>
      </c>
      <c r="E5036" t="s">
        <v>21875</v>
      </c>
      <c r="F5036" t="s">
        <v>30052</v>
      </c>
      <c r="G5036" t="s">
        <v>30058</v>
      </c>
      <c r="H5036" t="s">
        <v>30067</v>
      </c>
      <c r="I5036" t="s">
        <v>3693</v>
      </c>
      <c r="J5036" t="s">
        <v>33410</v>
      </c>
      <c r="K5036" t="s">
        <v>39046</v>
      </c>
      <c r="M5036" t="s">
        <v>41163</v>
      </c>
      <c r="N5036" t="s">
        <v>43166</v>
      </c>
      <c r="O5036" t="s">
        <v>43167</v>
      </c>
      <c r="P5036">
        <v>0</v>
      </c>
      <c r="Q5036">
        <v>1</v>
      </c>
      <c r="R5036" t="s">
        <v>43172</v>
      </c>
      <c r="S5036" t="s">
        <v>43334</v>
      </c>
      <c r="T5036" t="s">
        <v>44758</v>
      </c>
      <c r="U5036" t="s">
        <v>49303</v>
      </c>
      <c r="V5036" t="s">
        <v>57390</v>
      </c>
      <c r="W5036" t="s">
        <v>41163</v>
      </c>
      <c r="X5036" t="s">
        <v>43173</v>
      </c>
    </row>
    <row r="5037" spans="1:24">
      <c r="A5037">
        <f>HYPERLINK("https://www.philgeps.gov.ph/GEPSNONPILOT/Tender/SplashBidNoticeAbstractUI.aspx?menuIndex=3&amp;refID=7079007&amp;Result=3","7079007")</f>
        <v>0</v>
      </c>
      <c r="B5037" t="s">
        <v>1737</v>
      </c>
      <c r="C5037" t="s">
        <v>8230</v>
      </c>
      <c r="D5037" t="s">
        <v>17415</v>
      </c>
      <c r="E5037" t="s">
        <v>21876</v>
      </c>
      <c r="F5037" t="s">
        <v>30052</v>
      </c>
      <c r="G5037" t="s">
        <v>30058</v>
      </c>
      <c r="H5037" t="s">
        <v>30067</v>
      </c>
      <c r="I5037" t="s">
        <v>3693</v>
      </c>
      <c r="J5037" t="s">
        <v>33411</v>
      </c>
      <c r="K5037" t="s">
        <v>39033</v>
      </c>
      <c r="M5037" t="s">
        <v>41154</v>
      </c>
      <c r="N5037" t="s">
        <v>43166</v>
      </c>
      <c r="O5037" t="s">
        <v>43167</v>
      </c>
      <c r="P5037">
        <v>0</v>
      </c>
      <c r="Q5037">
        <v>3</v>
      </c>
      <c r="R5037" t="s">
        <v>43172</v>
      </c>
      <c r="S5037" t="s">
        <v>43334</v>
      </c>
      <c r="T5037" t="s">
        <v>44828</v>
      </c>
      <c r="U5037" t="s">
        <v>49304</v>
      </c>
      <c r="V5037" t="s">
        <v>57387</v>
      </c>
      <c r="W5037" t="s">
        <v>41154</v>
      </c>
      <c r="X5037" t="s">
        <v>43173</v>
      </c>
    </row>
    <row r="5038" spans="1:24">
      <c r="A5038">
        <f>HYPERLINK("https://www.philgeps.gov.ph/GEPSNONPILOT/Tender/SplashBidNoticeAbstractUI.aspx?menuIndex=3&amp;refID=7079005&amp;Result=3","7079005")</f>
        <v>0</v>
      </c>
      <c r="B5038" t="s">
        <v>1745</v>
      </c>
      <c r="C5038" t="s">
        <v>8231</v>
      </c>
      <c r="D5038" t="s">
        <v>17415</v>
      </c>
      <c r="E5038" t="s">
        <v>21877</v>
      </c>
      <c r="F5038" t="s">
        <v>30052</v>
      </c>
      <c r="G5038" t="s">
        <v>30058</v>
      </c>
      <c r="H5038" t="s">
        <v>15498</v>
      </c>
      <c r="I5038" t="s">
        <v>3736</v>
      </c>
      <c r="J5038" t="s">
        <v>33412</v>
      </c>
      <c r="K5038" t="s">
        <v>39029</v>
      </c>
      <c r="M5038" t="s">
        <v>41164</v>
      </c>
      <c r="N5038" t="s">
        <v>43166</v>
      </c>
      <c r="O5038" t="s">
        <v>43167</v>
      </c>
      <c r="P5038">
        <v>0</v>
      </c>
      <c r="Q5038">
        <v>1</v>
      </c>
      <c r="R5038" t="s">
        <v>43172</v>
      </c>
      <c r="S5038" t="s">
        <v>43334</v>
      </c>
      <c r="T5038" t="s">
        <v>44789</v>
      </c>
      <c r="U5038" t="s">
        <v>49305</v>
      </c>
      <c r="W5038" t="s">
        <v>41164</v>
      </c>
      <c r="X5038" t="s">
        <v>43173</v>
      </c>
    </row>
    <row r="5039" spans="1:24">
      <c r="A5039">
        <f>HYPERLINK("https://www.philgeps.gov.ph/GEPSNONPILOT/Tender/SplashBidNoticeAbstractUI.aspx?menuIndex=3&amp;refID=7079004&amp;Result=3","7079004")</f>
        <v>0</v>
      </c>
      <c r="B5039" t="s">
        <v>1737</v>
      </c>
      <c r="C5039" t="s">
        <v>8232</v>
      </c>
      <c r="D5039" t="s">
        <v>17415</v>
      </c>
      <c r="E5039" t="s">
        <v>21878</v>
      </c>
      <c r="F5039" t="s">
        <v>30052</v>
      </c>
      <c r="G5039" t="s">
        <v>30058</v>
      </c>
      <c r="H5039" t="s">
        <v>30067</v>
      </c>
      <c r="I5039" t="s">
        <v>3693</v>
      </c>
      <c r="J5039" t="s">
        <v>33413</v>
      </c>
      <c r="K5039" t="s">
        <v>39022</v>
      </c>
      <c r="M5039" t="s">
        <v>41154</v>
      </c>
      <c r="N5039" t="s">
        <v>43166</v>
      </c>
      <c r="O5039" t="s">
        <v>43167</v>
      </c>
      <c r="P5039">
        <v>0</v>
      </c>
      <c r="Q5039">
        <v>3</v>
      </c>
      <c r="R5039" t="s">
        <v>43172</v>
      </c>
      <c r="S5039" t="s">
        <v>43334</v>
      </c>
      <c r="T5039" t="s">
        <v>44828</v>
      </c>
      <c r="U5039" t="s">
        <v>49306</v>
      </c>
      <c r="V5039" t="s">
        <v>57387</v>
      </c>
      <c r="W5039" t="s">
        <v>41154</v>
      </c>
      <c r="X5039" t="s">
        <v>43173</v>
      </c>
    </row>
    <row r="5040" spans="1:24">
      <c r="A5040">
        <f>HYPERLINK("https://www.philgeps.gov.ph/GEPSNONPILOT/Tender/SplashBidNoticeAbstractUI.aspx?menuIndex=3&amp;refID=7079003&amp;Result=3","7079003")</f>
        <v>0</v>
      </c>
      <c r="B5040" t="s">
        <v>964</v>
      </c>
      <c r="C5040" t="s">
        <v>8233</v>
      </c>
      <c r="D5040" t="s">
        <v>17415</v>
      </c>
      <c r="E5040" t="s">
        <v>21879</v>
      </c>
      <c r="F5040" t="s">
        <v>30052</v>
      </c>
      <c r="G5040" t="s">
        <v>30059</v>
      </c>
      <c r="H5040" t="s">
        <v>15498</v>
      </c>
      <c r="I5040" t="s">
        <v>9238</v>
      </c>
      <c r="J5040" t="s">
        <v>32983</v>
      </c>
      <c r="K5040" t="s">
        <v>39025</v>
      </c>
      <c r="M5040" t="s">
        <v>41142</v>
      </c>
      <c r="N5040" t="s">
        <v>43166</v>
      </c>
      <c r="O5040" t="s">
        <v>43167</v>
      </c>
      <c r="P5040">
        <v>0</v>
      </c>
      <c r="Q5040">
        <v>12</v>
      </c>
      <c r="R5040" t="s">
        <v>43172</v>
      </c>
      <c r="S5040" t="s">
        <v>43334</v>
      </c>
      <c r="T5040" t="s">
        <v>44720</v>
      </c>
      <c r="U5040" t="s">
        <v>49307</v>
      </c>
      <c r="W5040" t="s">
        <v>41142</v>
      </c>
      <c r="X5040" t="s">
        <v>43173</v>
      </c>
    </row>
    <row r="5041" spans="1:24">
      <c r="A5041">
        <f>HYPERLINK("https://www.philgeps.gov.ph/GEPSNONPILOT/Tender/SplashBidNoticeAbstractUI.aspx?menuIndex=3&amp;refID=7079067&amp;Result=3","7079067")</f>
        <v>0</v>
      </c>
      <c r="B5041" t="s">
        <v>1746</v>
      </c>
      <c r="C5041" t="s">
        <v>8234</v>
      </c>
      <c r="D5041" t="s">
        <v>17440</v>
      </c>
      <c r="E5041" t="s">
        <v>21880</v>
      </c>
      <c r="F5041" t="s">
        <v>30052</v>
      </c>
      <c r="G5041" t="s">
        <v>30058</v>
      </c>
      <c r="H5041" t="s">
        <v>30067</v>
      </c>
      <c r="I5041" t="s">
        <v>3693</v>
      </c>
      <c r="J5041" t="s">
        <v>33414</v>
      </c>
      <c r="K5041" t="s">
        <v>39053</v>
      </c>
      <c r="L5041" t="s">
        <v>1746</v>
      </c>
      <c r="M5041" t="s">
        <v>41165</v>
      </c>
      <c r="N5041" t="s">
        <v>43166</v>
      </c>
      <c r="O5041" t="s">
        <v>43167</v>
      </c>
      <c r="P5041">
        <v>0</v>
      </c>
      <c r="Q5041">
        <v>0</v>
      </c>
      <c r="R5041" t="s">
        <v>43172</v>
      </c>
      <c r="S5041" t="s">
        <v>43334</v>
      </c>
      <c r="T5041" t="s">
        <v>44698</v>
      </c>
      <c r="U5041" t="s">
        <v>45283</v>
      </c>
      <c r="V5041" t="s">
        <v>57391</v>
      </c>
      <c r="W5041" t="s">
        <v>41165</v>
      </c>
      <c r="X5041" t="s">
        <v>43173</v>
      </c>
    </row>
    <row r="5042" spans="1:24">
      <c r="A5042">
        <f>HYPERLINK("https://www.philgeps.gov.ph/GEPSNONPILOT/Tender/SplashBidNoticeAbstractUI.aspx?menuIndex=3&amp;refID=7078956&amp;Result=3","7078956")</f>
        <v>0</v>
      </c>
      <c r="B5042" t="s">
        <v>1356</v>
      </c>
      <c r="C5042" t="s">
        <v>8235</v>
      </c>
      <c r="D5042" t="s">
        <v>17445</v>
      </c>
      <c r="E5042" t="s">
        <v>21881</v>
      </c>
      <c r="F5042" t="s">
        <v>30052</v>
      </c>
      <c r="G5042" t="s">
        <v>30059</v>
      </c>
      <c r="H5042" t="s">
        <v>15498</v>
      </c>
      <c r="I5042" t="s">
        <v>30078</v>
      </c>
      <c r="J5042" t="s">
        <v>30921</v>
      </c>
      <c r="K5042" t="s">
        <v>39018</v>
      </c>
      <c r="M5042" t="s">
        <v>40725</v>
      </c>
      <c r="N5042" t="s">
        <v>43166</v>
      </c>
      <c r="O5042" t="s">
        <v>43167</v>
      </c>
      <c r="P5042">
        <v>0</v>
      </c>
      <c r="Q5042">
        <v>1</v>
      </c>
      <c r="R5042" t="s">
        <v>43172</v>
      </c>
      <c r="S5042" t="s">
        <v>43334</v>
      </c>
      <c r="T5042" t="s">
        <v>44788</v>
      </c>
      <c r="U5042" t="s">
        <v>49308</v>
      </c>
      <c r="W5042" t="s">
        <v>40725</v>
      </c>
      <c r="X5042" t="s">
        <v>43173</v>
      </c>
    </row>
    <row r="5043" spans="1:24">
      <c r="A5043">
        <f>HYPERLINK("https://www.philgeps.gov.ph/GEPSNONPILOT/Tender/SplashBidNoticeAbstractUI.aspx?menuIndex=3&amp;refID=7079066&amp;Result=3","7079066")</f>
        <v>0</v>
      </c>
      <c r="B5043" t="s">
        <v>195</v>
      </c>
      <c r="C5043" t="s">
        <v>8236</v>
      </c>
      <c r="D5043" t="s">
        <v>17479</v>
      </c>
      <c r="E5043" t="s">
        <v>21882</v>
      </c>
      <c r="F5043" t="s">
        <v>30052</v>
      </c>
      <c r="G5043" t="s">
        <v>30059</v>
      </c>
      <c r="H5043" t="s">
        <v>15498</v>
      </c>
      <c r="I5043" t="s">
        <v>30076</v>
      </c>
      <c r="J5043" t="s">
        <v>33415</v>
      </c>
      <c r="K5043" t="s">
        <v>39025</v>
      </c>
      <c r="M5043" t="s">
        <v>39485</v>
      </c>
      <c r="N5043" t="s">
        <v>43166</v>
      </c>
      <c r="O5043" t="s">
        <v>43167</v>
      </c>
      <c r="P5043">
        <v>0</v>
      </c>
      <c r="Q5043">
        <v>4</v>
      </c>
      <c r="R5043" t="s">
        <v>43172</v>
      </c>
      <c r="S5043" t="s">
        <v>43334</v>
      </c>
      <c r="T5043" t="s">
        <v>44843</v>
      </c>
      <c r="U5043" t="s">
        <v>49309</v>
      </c>
      <c r="W5043" t="s">
        <v>39485</v>
      </c>
      <c r="X5043" t="s">
        <v>43173</v>
      </c>
    </row>
    <row r="5044" spans="1:24">
      <c r="A5044">
        <f>HYPERLINK("https://www.philgeps.gov.ph/GEPSNONPILOT/Tender/SplashBidNoticeAbstractUI.aspx?menuIndex=3&amp;refID=7079064&amp;Result=3","7079064")</f>
        <v>0</v>
      </c>
      <c r="B5044" t="s">
        <v>1747</v>
      </c>
      <c r="C5044" t="s">
        <v>4408</v>
      </c>
      <c r="D5044" t="s">
        <v>17435</v>
      </c>
      <c r="E5044" t="s">
        <v>18038</v>
      </c>
      <c r="F5044" t="s">
        <v>30052</v>
      </c>
      <c r="G5044" t="s">
        <v>30058</v>
      </c>
      <c r="H5044" t="s">
        <v>15498</v>
      </c>
      <c r="I5044" t="s">
        <v>3736</v>
      </c>
      <c r="J5044" t="s">
        <v>33416</v>
      </c>
      <c r="K5044" t="s">
        <v>39034</v>
      </c>
      <c r="M5044" t="s">
        <v>41166</v>
      </c>
      <c r="N5044" t="s">
        <v>43166</v>
      </c>
      <c r="O5044" t="s">
        <v>43167</v>
      </c>
      <c r="P5044">
        <v>0</v>
      </c>
      <c r="Q5044">
        <v>0</v>
      </c>
      <c r="R5044" t="s">
        <v>43172</v>
      </c>
      <c r="S5044" t="s">
        <v>43334</v>
      </c>
      <c r="T5044" t="s">
        <v>44737</v>
      </c>
      <c r="U5044" t="s">
        <v>49310</v>
      </c>
      <c r="W5044" t="s">
        <v>41166</v>
      </c>
      <c r="X5044" t="s">
        <v>43173</v>
      </c>
    </row>
    <row r="5045" spans="1:24">
      <c r="A5045">
        <f>HYPERLINK("https://www.philgeps.gov.ph/GEPSNONPILOT/Tender/SplashBidNoticeAbstractUI.aspx?menuIndex=3&amp;refID=7079063&amp;Result=3","7079063")</f>
        <v>0</v>
      </c>
      <c r="B5045" t="s">
        <v>1748</v>
      </c>
      <c r="C5045" t="s">
        <v>8237</v>
      </c>
      <c r="D5045" t="s">
        <v>17435</v>
      </c>
      <c r="E5045" t="s">
        <v>21883</v>
      </c>
      <c r="F5045" t="s">
        <v>30052</v>
      </c>
      <c r="G5045" t="s">
        <v>30058</v>
      </c>
      <c r="H5045" t="s">
        <v>30067</v>
      </c>
      <c r="I5045" t="s">
        <v>3693</v>
      </c>
      <c r="J5045" t="s">
        <v>33417</v>
      </c>
      <c r="K5045" t="s">
        <v>39028</v>
      </c>
      <c r="M5045" t="s">
        <v>41167</v>
      </c>
      <c r="N5045" t="s">
        <v>43166</v>
      </c>
      <c r="O5045" t="s">
        <v>43167</v>
      </c>
      <c r="P5045">
        <v>0</v>
      </c>
      <c r="Q5045">
        <v>0</v>
      </c>
      <c r="R5045" t="s">
        <v>43172</v>
      </c>
      <c r="S5045" t="s">
        <v>43334</v>
      </c>
      <c r="T5045" t="s">
        <v>44685</v>
      </c>
      <c r="U5045" t="s">
        <v>49311</v>
      </c>
      <c r="W5045" t="s">
        <v>41167</v>
      </c>
      <c r="X5045" t="s">
        <v>43173</v>
      </c>
    </row>
    <row r="5046" spans="1:24">
      <c r="A5046">
        <f>HYPERLINK("https://www.philgeps.gov.ph/GEPSNONPILOT/Tender/SplashBidNoticeAbstractUI.aspx?menuIndex=3&amp;refID=7079062&amp;Result=3","7079062")</f>
        <v>0</v>
      </c>
      <c r="B5046" t="s">
        <v>107</v>
      </c>
      <c r="C5046" t="s">
        <v>8238</v>
      </c>
      <c r="D5046" t="s">
        <v>17448</v>
      </c>
      <c r="E5046" t="s">
        <v>21884</v>
      </c>
      <c r="F5046" t="s">
        <v>30052</v>
      </c>
      <c r="G5046" t="s">
        <v>30059</v>
      </c>
      <c r="H5046" t="s">
        <v>15498</v>
      </c>
      <c r="I5046" t="s">
        <v>30070</v>
      </c>
      <c r="J5046" t="s">
        <v>30763</v>
      </c>
      <c r="K5046" t="s">
        <v>39025</v>
      </c>
      <c r="M5046" t="s">
        <v>39396</v>
      </c>
      <c r="N5046" t="s">
        <v>43166</v>
      </c>
      <c r="O5046" t="s">
        <v>43167</v>
      </c>
      <c r="P5046">
        <v>0</v>
      </c>
      <c r="Q5046">
        <v>3</v>
      </c>
      <c r="R5046" t="s">
        <v>43172</v>
      </c>
      <c r="S5046" t="s">
        <v>43334</v>
      </c>
      <c r="T5046" t="s">
        <v>44862</v>
      </c>
      <c r="U5046" t="s">
        <v>49312</v>
      </c>
      <c r="W5046" t="s">
        <v>39396</v>
      </c>
      <c r="X5046" t="s">
        <v>43173</v>
      </c>
    </row>
    <row r="5047" spans="1:24">
      <c r="A5047">
        <f>HYPERLINK("https://www.philgeps.gov.ph/GEPSNONPILOT/Tender/SplashBidNoticeAbstractUI.aspx?menuIndex=3&amp;refID=7079060&amp;Result=3","7079060")</f>
        <v>0</v>
      </c>
      <c r="B5047" t="s">
        <v>1727</v>
      </c>
      <c r="C5047" t="s">
        <v>8239</v>
      </c>
      <c r="D5047" t="s">
        <v>17436</v>
      </c>
      <c r="E5047" t="s">
        <v>21885</v>
      </c>
      <c r="F5047" t="s">
        <v>30052</v>
      </c>
      <c r="G5047" t="s">
        <v>30058</v>
      </c>
      <c r="H5047" t="s">
        <v>15498</v>
      </c>
      <c r="I5047" t="s">
        <v>30070</v>
      </c>
      <c r="J5047" t="s">
        <v>33418</v>
      </c>
      <c r="K5047" t="s">
        <v>39034</v>
      </c>
      <c r="M5047" t="s">
        <v>41144</v>
      </c>
      <c r="N5047" t="s">
        <v>43166</v>
      </c>
      <c r="O5047" t="s">
        <v>43167</v>
      </c>
      <c r="P5047">
        <v>0</v>
      </c>
      <c r="Q5047">
        <v>0</v>
      </c>
      <c r="R5047" t="s">
        <v>43172</v>
      </c>
      <c r="S5047" t="s">
        <v>43334</v>
      </c>
      <c r="T5047" t="s">
        <v>44818</v>
      </c>
      <c r="U5047" t="s">
        <v>49313</v>
      </c>
      <c r="W5047" t="s">
        <v>41144</v>
      </c>
      <c r="X5047" t="s">
        <v>43173</v>
      </c>
    </row>
    <row r="5048" spans="1:24">
      <c r="A5048">
        <f>HYPERLINK("https://www.philgeps.gov.ph/GEPSNONPILOT/Tender/SplashBidNoticeAbstractUI.aspx?menuIndex=3&amp;refID=7078670&amp;Result=3","7078670")</f>
        <v>0</v>
      </c>
      <c r="B5048" t="s">
        <v>1726</v>
      </c>
      <c r="C5048" t="s">
        <v>8240</v>
      </c>
      <c r="D5048" t="s">
        <v>17420</v>
      </c>
      <c r="E5048" t="s">
        <v>21886</v>
      </c>
      <c r="F5048" t="s">
        <v>30052</v>
      </c>
      <c r="G5048" t="s">
        <v>30058</v>
      </c>
      <c r="H5048" t="s">
        <v>15498</v>
      </c>
      <c r="I5048" t="s">
        <v>30097</v>
      </c>
      <c r="J5048" t="s">
        <v>33419</v>
      </c>
      <c r="K5048" t="s">
        <v>39029</v>
      </c>
      <c r="M5048" t="s">
        <v>41143</v>
      </c>
      <c r="N5048" t="s">
        <v>43166</v>
      </c>
      <c r="O5048" t="s">
        <v>43167</v>
      </c>
      <c r="P5048">
        <v>0</v>
      </c>
      <c r="Q5048">
        <v>0</v>
      </c>
      <c r="R5048" t="s">
        <v>43172</v>
      </c>
      <c r="S5048" t="s">
        <v>43334</v>
      </c>
      <c r="T5048" t="s">
        <v>44853</v>
      </c>
      <c r="U5048" t="s">
        <v>49314</v>
      </c>
      <c r="W5048" t="s">
        <v>41143</v>
      </c>
      <c r="X5048" t="s">
        <v>43174</v>
      </c>
    </row>
    <row r="5049" spans="1:24">
      <c r="A5049">
        <f>HYPERLINK("https://www.philgeps.gov.ph/GEPSNONPILOT/Tender/SplashBidNoticeAbstractUI.aspx?menuIndex=3&amp;refID=7079055&amp;Result=3","7079055")</f>
        <v>0</v>
      </c>
      <c r="B5049" t="s">
        <v>1744</v>
      </c>
      <c r="C5049" t="s">
        <v>8241</v>
      </c>
      <c r="D5049" t="s">
        <v>17457</v>
      </c>
      <c r="E5049" t="s">
        <v>21887</v>
      </c>
      <c r="F5049" t="s">
        <v>30052</v>
      </c>
      <c r="G5049" t="s">
        <v>30058</v>
      </c>
      <c r="H5049" t="s">
        <v>30067</v>
      </c>
      <c r="I5049" t="s">
        <v>3693</v>
      </c>
      <c r="J5049" t="s">
        <v>33420</v>
      </c>
      <c r="K5049" t="s">
        <v>39046</v>
      </c>
      <c r="M5049" t="s">
        <v>41163</v>
      </c>
      <c r="N5049" t="s">
        <v>43166</v>
      </c>
      <c r="O5049" t="s">
        <v>43167</v>
      </c>
      <c r="P5049">
        <v>0</v>
      </c>
      <c r="Q5049">
        <v>0</v>
      </c>
      <c r="R5049" t="s">
        <v>43172</v>
      </c>
      <c r="S5049" t="s">
        <v>43334</v>
      </c>
      <c r="T5049" t="s">
        <v>44758</v>
      </c>
      <c r="U5049" t="s">
        <v>49303</v>
      </c>
      <c r="V5049" t="s">
        <v>57392</v>
      </c>
      <c r="W5049" t="s">
        <v>41163</v>
      </c>
      <c r="X5049" t="s">
        <v>43173</v>
      </c>
    </row>
    <row r="5050" spans="1:24">
      <c r="A5050">
        <f>HYPERLINK("https://www.philgeps.gov.ph/GEPSNONPILOT/Tender/SplashBidNoticeAbstractUI.aspx?menuIndex=3&amp;refID=7079053&amp;Result=3","7079053")</f>
        <v>0</v>
      </c>
      <c r="B5050" t="s">
        <v>773</v>
      </c>
      <c r="C5050" t="s">
        <v>8242</v>
      </c>
      <c r="D5050" t="s">
        <v>17435</v>
      </c>
      <c r="E5050" t="s">
        <v>21888</v>
      </c>
      <c r="F5050" t="s">
        <v>30052</v>
      </c>
      <c r="G5050" t="s">
        <v>30058</v>
      </c>
      <c r="H5050" t="s">
        <v>15498</v>
      </c>
      <c r="I5050" t="s">
        <v>3736</v>
      </c>
      <c r="J5050" t="s">
        <v>33421</v>
      </c>
      <c r="K5050" t="s">
        <v>39019</v>
      </c>
      <c r="M5050" t="s">
        <v>40087</v>
      </c>
      <c r="N5050" t="s">
        <v>43166</v>
      </c>
      <c r="O5050" t="s">
        <v>43167</v>
      </c>
      <c r="P5050">
        <v>0</v>
      </c>
      <c r="Q5050">
        <v>0</v>
      </c>
      <c r="R5050" t="s">
        <v>43172</v>
      </c>
      <c r="S5050" t="s">
        <v>43334</v>
      </c>
      <c r="T5050" t="s">
        <v>44733</v>
      </c>
      <c r="U5050" t="s">
        <v>49315</v>
      </c>
      <c r="W5050" t="s">
        <v>40087</v>
      </c>
      <c r="X5050" t="s">
        <v>43173</v>
      </c>
    </row>
    <row r="5051" spans="1:24">
      <c r="A5051">
        <f>HYPERLINK("https://www.philgeps.gov.ph/GEPSNONPILOT/Tender/SplashBidNoticeAbstractUI.aspx?menuIndex=3&amp;refID=7079052&amp;Result=3","7079052")</f>
        <v>0</v>
      </c>
      <c r="B5051" t="s">
        <v>1333</v>
      </c>
      <c r="C5051" t="s">
        <v>8243</v>
      </c>
      <c r="D5051" t="s">
        <v>17474</v>
      </c>
      <c r="E5051" t="s">
        <v>21889</v>
      </c>
      <c r="F5051" t="s">
        <v>30052</v>
      </c>
      <c r="G5051" t="s">
        <v>30059</v>
      </c>
      <c r="H5051" t="s">
        <v>15498</v>
      </c>
      <c r="I5051" t="s">
        <v>30071</v>
      </c>
      <c r="J5051" t="s">
        <v>32652</v>
      </c>
      <c r="K5051" t="s">
        <v>39034</v>
      </c>
      <c r="M5051" t="s">
        <v>40700</v>
      </c>
      <c r="N5051" t="s">
        <v>43166</v>
      </c>
      <c r="O5051" t="s">
        <v>43167</v>
      </c>
      <c r="P5051">
        <v>0</v>
      </c>
      <c r="Q5051">
        <v>0</v>
      </c>
      <c r="R5051" t="s">
        <v>43172</v>
      </c>
      <c r="S5051" t="s">
        <v>43334</v>
      </c>
      <c r="T5051" t="s">
        <v>44754</v>
      </c>
      <c r="U5051" t="s">
        <v>49316</v>
      </c>
      <c r="W5051" t="s">
        <v>40700</v>
      </c>
      <c r="X5051" t="s">
        <v>43173</v>
      </c>
    </row>
    <row r="5052" spans="1:24">
      <c r="A5052">
        <f>HYPERLINK("https://www.philgeps.gov.ph/GEPSNONPILOT/Tender/SplashBidNoticeAbstractUI.aspx?menuIndex=3&amp;refID=7079050&amp;Result=3","7079050")</f>
        <v>0</v>
      </c>
      <c r="B5052" t="s">
        <v>1749</v>
      </c>
      <c r="C5052" t="s">
        <v>8244</v>
      </c>
      <c r="D5052" t="s">
        <v>17424</v>
      </c>
      <c r="E5052" t="s">
        <v>21890</v>
      </c>
      <c r="F5052" t="s">
        <v>30052</v>
      </c>
      <c r="G5052" t="s">
        <v>30059</v>
      </c>
      <c r="H5052" t="s">
        <v>30067</v>
      </c>
      <c r="I5052" t="s">
        <v>3693</v>
      </c>
      <c r="J5052" t="s">
        <v>33422</v>
      </c>
      <c r="K5052" t="s">
        <v>39025</v>
      </c>
      <c r="M5052" t="s">
        <v>41168</v>
      </c>
      <c r="N5052" t="s">
        <v>43166</v>
      </c>
      <c r="O5052" t="s">
        <v>43167</v>
      </c>
      <c r="P5052">
        <v>0</v>
      </c>
      <c r="Q5052">
        <v>0</v>
      </c>
      <c r="R5052" t="s">
        <v>43172</v>
      </c>
      <c r="S5052" t="s">
        <v>43334</v>
      </c>
      <c r="T5052" t="s">
        <v>44788</v>
      </c>
      <c r="U5052" t="s">
        <v>49317</v>
      </c>
      <c r="V5052" t="s">
        <v>57393</v>
      </c>
      <c r="W5052" t="s">
        <v>41168</v>
      </c>
      <c r="X5052" t="s">
        <v>43173</v>
      </c>
    </row>
    <row r="5053" spans="1:24">
      <c r="A5053">
        <f>HYPERLINK("https://www.philgeps.gov.ph/GEPSNONPILOT/Tender/SplashBidNoticeAbstractUI.aspx?menuIndex=3&amp;refID=7079061&amp;Result=3","7079061")</f>
        <v>0</v>
      </c>
      <c r="B5053" t="s">
        <v>1750</v>
      </c>
      <c r="C5053" t="s">
        <v>8245</v>
      </c>
      <c r="D5053" t="s">
        <v>17434</v>
      </c>
      <c r="E5053" t="s">
        <v>21891</v>
      </c>
      <c r="F5053" t="s">
        <v>30052</v>
      </c>
      <c r="G5053" t="s">
        <v>30058</v>
      </c>
      <c r="H5053" t="s">
        <v>30069</v>
      </c>
      <c r="I5053" t="s">
        <v>30148</v>
      </c>
      <c r="J5053" t="s">
        <v>30208</v>
      </c>
      <c r="K5053" t="s">
        <v>39017</v>
      </c>
      <c r="M5053" t="s">
        <v>41169</v>
      </c>
      <c r="N5053" t="s">
        <v>43166</v>
      </c>
      <c r="O5053" t="s">
        <v>43167</v>
      </c>
      <c r="P5053">
        <v>0</v>
      </c>
      <c r="Q5053">
        <v>2</v>
      </c>
      <c r="R5053" t="s">
        <v>43172</v>
      </c>
      <c r="S5053" t="s">
        <v>43334</v>
      </c>
      <c r="T5053" t="s">
        <v>44708</v>
      </c>
      <c r="U5053" t="s">
        <v>49318</v>
      </c>
      <c r="W5053" t="s">
        <v>41169</v>
      </c>
      <c r="X5053" t="s">
        <v>43173</v>
      </c>
    </row>
    <row r="5054" spans="1:24">
      <c r="A5054">
        <f>HYPERLINK("https://www.philgeps.gov.ph/GEPSNONPILOT/Tender/SplashBidNoticeAbstractUI.aspx?menuIndex=3&amp;refID=7079048&amp;Result=3","7079048")</f>
        <v>0</v>
      </c>
      <c r="B5054" t="s">
        <v>1751</v>
      </c>
      <c r="C5054" t="s">
        <v>8246</v>
      </c>
      <c r="E5054" t="s">
        <v>21892</v>
      </c>
      <c r="F5054" t="s">
        <v>30052</v>
      </c>
      <c r="G5054" t="s">
        <v>30058</v>
      </c>
      <c r="H5054" t="s">
        <v>15498</v>
      </c>
      <c r="I5054" t="s">
        <v>30105</v>
      </c>
      <c r="J5054" t="s">
        <v>30533</v>
      </c>
      <c r="K5054" t="s">
        <v>39025</v>
      </c>
      <c r="M5054" t="s">
        <v>41170</v>
      </c>
      <c r="N5054" t="s">
        <v>43166</v>
      </c>
      <c r="O5054" t="s">
        <v>43167</v>
      </c>
      <c r="P5054">
        <v>0</v>
      </c>
      <c r="Q5054">
        <v>3</v>
      </c>
      <c r="R5054" t="s">
        <v>43172</v>
      </c>
      <c r="S5054" t="s">
        <v>43334</v>
      </c>
      <c r="T5054" t="s">
        <v>44873</v>
      </c>
      <c r="U5054" t="s">
        <v>49319</v>
      </c>
      <c r="W5054" t="s">
        <v>41170</v>
      </c>
      <c r="X5054" t="s">
        <v>43173</v>
      </c>
    </row>
    <row r="5055" spans="1:24">
      <c r="A5055">
        <f>HYPERLINK("https://www.philgeps.gov.ph/GEPSNONPILOT/Tender/SplashBidNoticeAbstractUI.aspx?menuIndex=3&amp;refID=7079018&amp;Result=3","7079018")</f>
        <v>0</v>
      </c>
      <c r="B5055" t="s">
        <v>236</v>
      </c>
      <c r="C5055" t="s">
        <v>5729</v>
      </c>
      <c r="D5055" t="s">
        <v>17476</v>
      </c>
      <c r="E5055" t="s">
        <v>21893</v>
      </c>
      <c r="F5055" t="s">
        <v>30052</v>
      </c>
      <c r="G5055" t="s">
        <v>30059</v>
      </c>
      <c r="H5055" t="s">
        <v>15498</v>
      </c>
      <c r="I5055" t="s">
        <v>4119</v>
      </c>
      <c r="J5055" t="s">
        <v>33423</v>
      </c>
      <c r="K5055" t="s">
        <v>39019</v>
      </c>
      <c r="M5055" t="s">
        <v>40231</v>
      </c>
      <c r="N5055" t="s">
        <v>43166</v>
      </c>
      <c r="O5055" t="s">
        <v>43167</v>
      </c>
      <c r="P5055">
        <v>0</v>
      </c>
      <c r="Q5055">
        <v>2</v>
      </c>
      <c r="R5055" t="s">
        <v>43172</v>
      </c>
      <c r="S5055" t="s">
        <v>43334</v>
      </c>
      <c r="T5055" t="s">
        <v>45011</v>
      </c>
      <c r="U5055" t="s">
        <v>49320</v>
      </c>
      <c r="W5055" t="s">
        <v>40231</v>
      </c>
      <c r="X5055" t="s">
        <v>43173</v>
      </c>
    </row>
    <row r="5056" spans="1:24">
      <c r="A5056">
        <f>HYPERLINK("https://www.philgeps.gov.ph/GEPSNONPILOT/Tender/SplashBidNoticeAbstractUI.aspx?menuIndex=3&amp;refID=7079047&amp;Result=3","7079047")</f>
        <v>0</v>
      </c>
      <c r="B5056" t="s">
        <v>1744</v>
      </c>
      <c r="C5056" t="s">
        <v>8247</v>
      </c>
      <c r="D5056" t="s">
        <v>17457</v>
      </c>
      <c r="E5056" t="s">
        <v>21894</v>
      </c>
      <c r="F5056" t="s">
        <v>30052</v>
      </c>
      <c r="G5056" t="s">
        <v>30058</v>
      </c>
      <c r="H5056" t="s">
        <v>30067</v>
      </c>
      <c r="I5056" t="s">
        <v>3693</v>
      </c>
      <c r="J5056" t="s">
        <v>30222</v>
      </c>
      <c r="K5056" t="s">
        <v>39029</v>
      </c>
      <c r="M5056" t="s">
        <v>41163</v>
      </c>
      <c r="N5056" t="s">
        <v>43166</v>
      </c>
      <c r="O5056" t="s">
        <v>43167</v>
      </c>
      <c r="P5056">
        <v>0</v>
      </c>
      <c r="Q5056">
        <v>0</v>
      </c>
      <c r="R5056" t="s">
        <v>43172</v>
      </c>
      <c r="S5056" t="s">
        <v>43334</v>
      </c>
      <c r="T5056" t="s">
        <v>44758</v>
      </c>
      <c r="U5056" t="s">
        <v>49303</v>
      </c>
      <c r="V5056" t="s">
        <v>57394</v>
      </c>
      <c r="W5056" t="s">
        <v>41163</v>
      </c>
      <c r="X5056" t="s">
        <v>43173</v>
      </c>
    </row>
    <row r="5057" spans="1:24">
      <c r="A5057">
        <f>HYPERLINK("https://www.philgeps.gov.ph/GEPSNONPILOT/Tender/SplashBidNoticeAbstractUI.aspx?menuIndex=3&amp;refID=7079043&amp;Result=3","7079043")</f>
        <v>0</v>
      </c>
      <c r="B5057" t="s">
        <v>1387</v>
      </c>
      <c r="C5057" t="s">
        <v>8248</v>
      </c>
      <c r="E5057" t="s">
        <v>21895</v>
      </c>
      <c r="F5057" t="s">
        <v>30052</v>
      </c>
      <c r="G5057" t="s">
        <v>30059</v>
      </c>
      <c r="H5057" t="s">
        <v>15498</v>
      </c>
      <c r="I5057" t="s">
        <v>30120</v>
      </c>
      <c r="J5057" t="s">
        <v>33424</v>
      </c>
      <c r="K5057" t="s">
        <v>39017</v>
      </c>
      <c r="M5057" t="s">
        <v>40763</v>
      </c>
      <c r="N5057" t="s">
        <v>43166</v>
      </c>
      <c r="O5057" t="s">
        <v>43167</v>
      </c>
      <c r="P5057">
        <v>0</v>
      </c>
      <c r="Q5057">
        <v>1</v>
      </c>
      <c r="R5057" t="s">
        <v>43172</v>
      </c>
      <c r="S5057" t="s">
        <v>43334</v>
      </c>
      <c r="T5057" t="s">
        <v>44837</v>
      </c>
      <c r="U5057" t="s">
        <v>49321</v>
      </c>
      <c r="W5057" t="s">
        <v>40763</v>
      </c>
      <c r="X5057" t="s">
        <v>43173</v>
      </c>
    </row>
    <row r="5058" spans="1:24">
      <c r="A5058">
        <f>HYPERLINK("https://www.philgeps.gov.ph/GEPSNONPILOT/Tender/SplashBidNoticeAbstractUI.aspx?menuIndex=3&amp;refID=7079056&amp;Result=3","7079056")</f>
        <v>0</v>
      </c>
      <c r="B5058" t="s">
        <v>1411</v>
      </c>
      <c r="C5058" t="s">
        <v>8249</v>
      </c>
      <c r="D5058" t="s">
        <v>17416</v>
      </c>
      <c r="E5058" t="s">
        <v>17540</v>
      </c>
      <c r="F5058" t="s">
        <v>30052</v>
      </c>
      <c r="G5058" t="s">
        <v>30058</v>
      </c>
      <c r="H5058" t="s">
        <v>15498</v>
      </c>
      <c r="I5058" t="s">
        <v>30074</v>
      </c>
      <c r="J5058" t="s">
        <v>30542</v>
      </c>
      <c r="K5058" t="s">
        <v>39017</v>
      </c>
      <c r="M5058" t="s">
        <v>40789</v>
      </c>
      <c r="N5058" t="s">
        <v>43166</v>
      </c>
      <c r="O5058" t="s">
        <v>43167</v>
      </c>
      <c r="P5058">
        <v>0</v>
      </c>
      <c r="Q5058">
        <v>10</v>
      </c>
      <c r="R5058" t="s">
        <v>43172</v>
      </c>
      <c r="S5058" t="s">
        <v>43334</v>
      </c>
      <c r="T5058" t="s">
        <v>44684</v>
      </c>
      <c r="U5058" t="s">
        <v>49322</v>
      </c>
      <c r="V5058" t="s">
        <v>57395</v>
      </c>
      <c r="W5058" t="s">
        <v>40789</v>
      </c>
      <c r="X5058" t="s">
        <v>43173</v>
      </c>
    </row>
    <row r="5059" spans="1:24">
      <c r="A5059">
        <f>HYPERLINK("https://www.philgeps.gov.ph/GEPSNONPILOT/Tender/SplashBidNoticeAbstractUI.aspx?menuIndex=3&amp;refID=7079038&amp;Result=3","7079038")</f>
        <v>0</v>
      </c>
      <c r="B5059" t="s">
        <v>1752</v>
      </c>
      <c r="C5059" t="s">
        <v>8250</v>
      </c>
      <c r="D5059" t="s">
        <v>17448</v>
      </c>
      <c r="E5059" t="s">
        <v>17650</v>
      </c>
      <c r="F5059" t="s">
        <v>30052</v>
      </c>
      <c r="G5059" t="s">
        <v>30058</v>
      </c>
      <c r="H5059" t="s">
        <v>15498</v>
      </c>
      <c r="I5059" t="s">
        <v>3606</v>
      </c>
      <c r="J5059" t="s">
        <v>33425</v>
      </c>
      <c r="K5059" t="s">
        <v>39019</v>
      </c>
      <c r="M5059" t="s">
        <v>41171</v>
      </c>
      <c r="N5059" t="s">
        <v>43166</v>
      </c>
      <c r="O5059" t="s">
        <v>43167</v>
      </c>
      <c r="P5059">
        <v>0</v>
      </c>
      <c r="Q5059">
        <v>1</v>
      </c>
      <c r="R5059" t="s">
        <v>43172</v>
      </c>
      <c r="S5059" t="s">
        <v>43334</v>
      </c>
      <c r="T5059" t="s">
        <v>44696</v>
      </c>
      <c r="U5059" t="s">
        <v>49323</v>
      </c>
      <c r="W5059" t="s">
        <v>41171</v>
      </c>
      <c r="X5059" t="s">
        <v>43173</v>
      </c>
    </row>
    <row r="5060" spans="1:24">
      <c r="A5060">
        <f>HYPERLINK("https://www.philgeps.gov.ph/GEPSNONPILOT/Tender/SplashBidNoticeAbstractUI.aspx?menuIndex=3&amp;refID=7079034&amp;Result=3","7079034")</f>
        <v>0</v>
      </c>
      <c r="B5060" t="s">
        <v>1753</v>
      </c>
      <c r="C5060" t="s">
        <v>8251</v>
      </c>
      <c r="D5060" t="s">
        <v>17415</v>
      </c>
      <c r="E5060" t="s">
        <v>19699</v>
      </c>
      <c r="F5060" t="s">
        <v>30055</v>
      </c>
      <c r="G5060" t="s">
        <v>30059</v>
      </c>
      <c r="H5060" t="s">
        <v>15498</v>
      </c>
      <c r="I5060" t="s">
        <v>30106</v>
      </c>
      <c r="J5060" t="s">
        <v>31530</v>
      </c>
      <c r="K5060" t="s">
        <v>39034</v>
      </c>
      <c r="M5060" t="s">
        <v>41172</v>
      </c>
      <c r="N5060" t="s">
        <v>43166</v>
      </c>
      <c r="O5060" t="s">
        <v>43167</v>
      </c>
      <c r="P5060">
        <v>0</v>
      </c>
      <c r="Q5060">
        <v>5</v>
      </c>
      <c r="R5060" t="s">
        <v>43172</v>
      </c>
      <c r="S5060" t="s">
        <v>43334</v>
      </c>
      <c r="T5060" t="s">
        <v>44715</v>
      </c>
      <c r="U5060" t="s">
        <v>49324</v>
      </c>
      <c r="W5060" t="s">
        <v>41172</v>
      </c>
      <c r="X5060" t="s">
        <v>43173</v>
      </c>
    </row>
    <row r="5061" spans="1:24">
      <c r="A5061">
        <f>HYPERLINK("https://www.philgeps.gov.ph/GEPSNONPILOT/Tender/SplashBidNoticeAbstractUI.aspx?menuIndex=3&amp;refID=7079032&amp;Result=3","7079032")</f>
        <v>0</v>
      </c>
      <c r="B5061" t="s">
        <v>1727</v>
      </c>
      <c r="C5061" t="s">
        <v>8252</v>
      </c>
      <c r="D5061" t="s">
        <v>17504</v>
      </c>
      <c r="E5061" t="s">
        <v>21896</v>
      </c>
      <c r="F5061" t="s">
        <v>30052</v>
      </c>
      <c r="G5061" t="s">
        <v>30058</v>
      </c>
      <c r="H5061" t="s">
        <v>15498</v>
      </c>
      <c r="I5061" t="s">
        <v>30156</v>
      </c>
      <c r="J5061" t="s">
        <v>33426</v>
      </c>
      <c r="K5061" t="s">
        <v>39034</v>
      </c>
      <c r="M5061" t="s">
        <v>41144</v>
      </c>
      <c r="N5061" t="s">
        <v>43166</v>
      </c>
      <c r="O5061" t="s">
        <v>43167</v>
      </c>
      <c r="P5061">
        <v>0</v>
      </c>
      <c r="Q5061">
        <v>0</v>
      </c>
      <c r="R5061" t="s">
        <v>43172</v>
      </c>
      <c r="S5061" t="s">
        <v>43334</v>
      </c>
      <c r="T5061" t="s">
        <v>44818</v>
      </c>
      <c r="U5061" t="s">
        <v>49325</v>
      </c>
      <c r="W5061" t="s">
        <v>41144</v>
      </c>
      <c r="X5061" t="s">
        <v>43173</v>
      </c>
    </row>
    <row r="5062" spans="1:24">
      <c r="A5062">
        <f>HYPERLINK("https://www.philgeps.gov.ph/GEPSNONPILOT/Tender/SplashBidNoticeAbstractUI.aspx?menuIndex=3&amp;refID=7079098&amp;Result=3","7079098")</f>
        <v>0</v>
      </c>
      <c r="B5062" t="s">
        <v>1699</v>
      </c>
      <c r="C5062" t="s">
        <v>8253</v>
      </c>
      <c r="D5062" t="s">
        <v>17421</v>
      </c>
      <c r="E5062" t="s">
        <v>21897</v>
      </c>
      <c r="F5062" t="s">
        <v>30055</v>
      </c>
      <c r="G5062" t="s">
        <v>30061</v>
      </c>
      <c r="H5062" t="s">
        <v>15498</v>
      </c>
      <c r="I5062" t="s">
        <v>30076</v>
      </c>
      <c r="J5062" t="s">
        <v>31713</v>
      </c>
      <c r="K5062" t="s">
        <v>39034</v>
      </c>
      <c r="M5062" t="s">
        <v>41109</v>
      </c>
      <c r="N5062" t="s">
        <v>43166</v>
      </c>
      <c r="O5062" t="s">
        <v>43167</v>
      </c>
      <c r="P5062">
        <v>0</v>
      </c>
      <c r="Q5062">
        <v>11</v>
      </c>
      <c r="R5062" t="s">
        <v>43172</v>
      </c>
      <c r="S5062" t="s">
        <v>43334</v>
      </c>
      <c r="T5062" t="s">
        <v>44791</v>
      </c>
      <c r="U5062" t="s">
        <v>49326</v>
      </c>
      <c r="W5062" t="s">
        <v>41109</v>
      </c>
      <c r="X5062" t="s">
        <v>43173</v>
      </c>
    </row>
    <row r="5063" spans="1:24">
      <c r="A5063">
        <f>HYPERLINK("https://www.philgeps.gov.ph/GEPSNONPILOT/Tender/SplashBidNoticeAbstractUI.aspx?menuIndex=3&amp;refID=7079097&amp;Result=3","7079097")</f>
        <v>0</v>
      </c>
      <c r="B5063" t="s">
        <v>1291</v>
      </c>
      <c r="C5063" t="s">
        <v>8254</v>
      </c>
      <c r="D5063" t="s">
        <v>17464</v>
      </c>
      <c r="E5063" t="s">
        <v>21898</v>
      </c>
      <c r="F5063" t="s">
        <v>30052</v>
      </c>
      <c r="G5063" t="s">
        <v>30061</v>
      </c>
      <c r="H5063" t="s">
        <v>15498</v>
      </c>
      <c r="I5063" t="s">
        <v>4119</v>
      </c>
      <c r="J5063" t="s">
        <v>33427</v>
      </c>
      <c r="K5063" t="s">
        <v>39034</v>
      </c>
      <c r="M5063" t="s">
        <v>41173</v>
      </c>
      <c r="N5063" t="s">
        <v>43166</v>
      </c>
      <c r="O5063" t="s">
        <v>43167</v>
      </c>
      <c r="P5063">
        <v>0</v>
      </c>
      <c r="Q5063">
        <v>3</v>
      </c>
      <c r="R5063" t="s">
        <v>43172</v>
      </c>
      <c r="S5063" t="s">
        <v>43334</v>
      </c>
      <c r="T5063" t="s">
        <v>44717</v>
      </c>
      <c r="U5063" t="s">
        <v>49327</v>
      </c>
      <c r="W5063" t="s">
        <v>41173</v>
      </c>
      <c r="X5063" t="s">
        <v>43173</v>
      </c>
    </row>
    <row r="5064" spans="1:24">
      <c r="A5064">
        <f>HYPERLINK("https://www.philgeps.gov.ph/GEPSNONPILOT/Tender/SplashBidNoticeAbstractUI.aspx?menuIndex=3&amp;refID=7079045&amp;Result=3","7079045")</f>
        <v>0</v>
      </c>
      <c r="B5064" t="s">
        <v>738</v>
      </c>
      <c r="C5064" t="s">
        <v>8255</v>
      </c>
      <c r="D5064" t="s">
        <v>17464</v>
      </c>
      <c r="E5064" t="s">
        <v>21899</v>
      </c>
      <c r="F5064" t="s">
        <v>30052</v>
      </c>
      <c r="G5064" t="s">
        <v>30058</v>
      </c>
      <c r="H5064" t="s">
        <v>15498</v>
      </c>
      <c r="I5064" t="s">
        <v>30074</v>
      </c>
      <c r="J5064" t="s">
        <v>31891</v>
      </c>
      <c r="K5064" t="s">
        <v>39025</v>
      </c>
      <c r="M5064" t="s">
        <v>40051</v>
      </c>
      <c r="N5064" t="s">
        <v>43166</v>
      </c>
      <c r="O5064" t="s">
        <v>43167</v>
      </c>
      <c r="P5064">
        <v>0</v>
      </c>
      <c r="Q5064">
        <v>4</v>
      </c>
      <c r="R5064" t="s">
        <v>43172</v>
      </c>
      <c r="S5064" t="s">
        <v>43334</v>
      </c>
      <c r="T5064" t="s">
        <v>44691</v>
      </c>
      <c r="U5064" t="s">
        <v>49328</v>
      </c>
      <c r="W5064" t="s">
        <v>40051</v>
      </c>
      <c r="X5064" t="s">
        <v>43173</v>
      </c>
    </row>
    <row r="5065" spans="1:24">
      <c r="A5065">
        <f>HYPERLINK("https://www.philgeps.gov.ph/GEPSNONPILOT/Tender/SplashBidNoticeAbstractUI.aspx?menuIndex=3&amp;refID=7079095&amp;Result=3","7079095")</f>
        <v>0</v>
      </c>
      <c r="B5065" t="s">
        <v>1754</v>
      </c>
      <c r="C5065" t="s">
        <v>8256</v>
      </c>
      <c r="D5065" t="s">
        <v>17415</v>
      </c>
      <c r="E5065" t="s">
        <v>21900</v>
      </c>
      <c r="F5065" t="s">
        <v>30052</v>
      </c>
      <c r="G5065" t="s">
        <v>30058</v>
      </c>
      <c r="H5065" t="s">
        <v>15498</v>
      </c>
      <c r="I5065" t="s">
        <v>30156</v>
      </c>
      <c r="J5065" t="s">
        <v>30600</v>
      </c>
      <c r="K5065" t="s">
        <v>39018</v>
      </c>
      <c r="M5065" t="s">
        <v>41174</v>
      </c>
      <c r="N5065" t="s">
        <v>43166</v>
      </c>
      <c r="O5065" t="s">
        <v>43167</v>
      </c>
      <c r="P5065">
        <v>0</v>
      </c>
      <c r="Q5065">
        <v>12</v>
      </c>
      <c r="R5065" t="s">
        <v>43172</v>
      </c>
      <c r="S5065" t="s">
        <v>43334</v>
      </c>
      <c r="T5065" t="s">
        <v>44720</v>
      </c>
      <c r="U5065" t="s">
        <v>49329</v>
      </c>
      <c r="W5065" t="s">
        <v>41174</v>
      </c>
      <c r="X5065" t="s">
        <v>43173</v>
      </c>
    </row>
    <row r="5066" spans="1:24">
      <c r="A5066">
        <f>HYPERLINK("https://www.philgeps.gov.ph/GEPSNONPILOT/Tender/SplashBidNoticeAbstractUI.aspx?menuIndex=3&amp;refID=7079035&amp;Result=3","7079035")</f>
        <v>0</v>
      </c>
      <c r="B5066" t="s">
        <v>1538</v>
      </c>
      <c r="C5066" t="s">
        <v>8257</v>
      </c>
      <c r="D5066" t="s">
        <v>17450</v>
      </c>
      <c r="E5066" t="s">
        <v>21901</v>
      </c>
      <c r="F5066" t="s">
        <v>30052</v>
      </c>
      <c r="G5066" t="s">
        <v>30058</v>
      </c>
      <c r="H5066" t="s">
        <v>15498</v>
      </c>
      <c r="I5066" t="s">
        <v>30074</v>
      </c>
      <c r="J5066" t="s">
        <v>30281</v>
      </c>
      <c r="K5066" t="s">
        <v>39029</v>
      </c>
      <c r="M5066" t="s">
        <v>40924</v>
      </c>
      <c r="N5066" t="s">
        <v>43166</v>
      </c>
      <c r="O5066" t="s">
        <v>43167</v>
      </c>
      <c r="Q5066">
        <v>3</v>
      </c>
      <c r="R5066" t="s">
        <v>43172</v>
      </c>
      <c r="S5066" t="s">
        <v>43342</v>
      </c>
      <c r="T5066" t="s">
        <v>44710</v>
      </c>
      <c r="U5066" t="s">
        <v>49330</v>
      </c>
      <c r="W5066" t="s">
        <v>40924</v>
      </c>
      <c r="X5066" t="s">
        <v>43173</v>
      </c>
    </row>
    <row r="5067" spans="1:24">
      <c r="A5067">
        <f>HYPERLINK("https://www.philgeps.gov.ph/GEPSNONPILOT/Tender/SplashBidNoticeAbstractUI.aspx?menuIndex=3&amp;refID=7079086&amp;Result=3","7079086")</f>
        <v>0</v>
      </c>
      <c r="B5067" t="s">
        <v>1755</v>
      </c>
      <c r="C5067" t="s">
        <v>4123</v>
      </c>
      <c r="D5067" t="s">
        <v>17448</v>
      </c>
      <c r="E5067" t="s">
        <v>21902</v>
      </c>
      <c r="F5067" t="s">
        <v>30052</v>
      </c>
      <c r="G5067" t="s">
        <v>30058</v>
      </c>
      <c r="H5067" t="s">
        <v>15498</v>
      </c>
      <c r="I5067" t="s">
        <v>3852</v>
      </c>
      <c r="J5067" t="s">
        <v>33428</v>
      </c>
      <c r="K5067" t="s">
        <v>39025</v>
      </c>
      <c r="M5067" t="s">
        <v>41175</v>
      </c>
      <c r="N5067" t="s">
        <v>43166</v>
      </c>
      <c r="O5067" t="s">
        <v>43167</v>
      </c>
      <c r="P5067">
        <v>0</v>
      </c>
      <c r="Q5067">
        <v>0</v>
      </c>
      <c r="R5067" t="s">
        <v>43172</v>
      </c>
      <c r="S5067" t="s">
        <v>43334</v>
      </c>
      <c r="T5067" t="s">
        <v>44696</v>
      </c>
      <c r="U5067" t="s">
        <v>49331</v>
      </c>
      <c r="W5067" t="s">
        <v>41175</v>
      </c>
      <c r="X5067" t="s">
        <v>43173</v>
      </c>
    </row>
    <row r="5068" spans="1:24">
      <c r="A5068">
        <f>HYPERLINK("https://www.philgeps.gov.ph/GEPSNONPILOT/Tender/SplashBidNoticeAbstractUI.aspx?menuIndex=3&amp;refID=7079091&amp;Result=3","7079091")</f>
        <v>0</v>
      </c>
      <c r="B5068" t="s">
        <v>1740</v>
      </c>
      <c r="C5068" t="s">
        <v>8258</v>
      </c>
      <c r="D5068" t="s">
        <v>17456</v>
      </c>
      <c r="E5068" t="s">
        <v>21903</v>
      </c>
      <c r="F5068" t="s">
        <v>30052</v>
      </c>
      <c r="G5068" t="s">
        <v>30059</v>
      </c>
      <c r="H5068" t="s">
        <v>15498</v>
      </c>
      <c r="I5068" t="s">
        <v>4119</v>
      </c>
      <c r="J5068" t="s">
        <v>33429</v>
      </c>
      <c r="K5068" t="s">
        <v>39019</v>
      </c>
      <c r="M5068" t="s">
        <v>41157</v>
      </c>
      <c r="N5068" t="s">
        <v>43166</v>
      </c>
      <c r="O5068" t="s">
        <v>43167</v>
      </c>
      <c r="P5068">
        <v>0</v>
      </c>
      <c r="Q5068">
        <v>5</v>
      </c>
      <c r="R5068" t="s">
        <v>43172</v>
      </c>
      <c r="S5068" t="s">
        <v>43334</v>
      </c>
      <c r="T5068" t="s">
        <v>44856</v>
      </c>
      <c r="U5068" t="s">
        <v>49332</v>
      </c>
      <c r="W5068" t="s">
        <v>41157</v>
      </c>
      <c r="X5068" t="s">
        <v>43173</v>
      </c>
    </row>
    <row r="5069" spans="1:24">
      <c r="A5069">
        <f>HYPERLINK("https://www.philgeps.gov.ph/GEPSNONPILOT/Tender/SplashBidNoticeAbstractUI.aspx?menuIndex=3&amp;refID=7079022&amp;Result=3","7079022")</f>
        <v>0</v>
      </c>
      <c r="B5069" t="s">
        <v>1737</v>
      </c>
      <c r="C5069" t="s">
        <v>8259</v>
      </c>
      <c r="D5069" t="s">
        <v>17415</v>
      </c>
      <c r="E5069" t="s">
        <v>21904</v>
      </c>
      <c r="F5069" t="s">
        <v>30052</v>
      </c>
      <c r="G5069" t="s">
        <v>30058</v>
      </c>
      <c r="H5069" t="s">
        <v>30067</v>
      </c>
      <c r="I5069" t="s">
        <v>3693</v>
      </c>
      <c r="J5069" t="s">
        <v>33430</v>
      </c>
      <c r="K5069" t="s">
        <v>39092</v>
      </c>
      <c r="M5069" t="s">
        <v>41154</v>
      </c>
      <c r="N5069" t="s">
        <v>43166</v>
      </c>
      <c r="O5069" t="s">
        <v>43167</v>
      </c>
      <c r="P5069">
        <v>0</v>
      </c>
      <c r="Q5069">
        <v>2</v>
      </c>
      <c r="R5069" t="s">
        <v>43172</v>
      </c>
      <c r="S5069" t="s">
        <v>43334</v>
      </c>
      <c r="T5069" t="s">
        <v>44828</v>
      </c>
      <c r="U5069" t="s">
        <v>49333</v>
      </c>
      <c r="V5069" t="s">
        <v>57387</v>
      </c>
      <c r="W5069" t="s">
        <v>41154</v>
      </c>
      <c r="X5069" t="s">
        <v>43173</v>
      </c>
    </row>
    <row r="5070" spans="1:24">
      <c r="A5070">
        <f>HYPERLINK("https://www.philgeps.gov.ph/GEPSNONPILOT/Tender/SplashBidNoticeAbstractUI.aspx?menuIndex=3&amp;refID=7079088&amp;Result=3","7079088")</f>
        <v>0</v>
      </c>
      <c r="B5070" t="s">
        <v>773</v>
      </c>
      <c r="C5070" t="s">
        <v>8260</v>
      </c>
      <c r="D5070" t="s">
        <v>17435</v>
      </c>
      <c r="E5070" t="s">
        <v>21905</v>
      </c>
      <c r="F5070" t="s">
        <v>30052</v>
      </c>
      <c r="G5070" t="s">
        <v>30058</v>
      </c>
      <c r="H5070" t="s">
        <v>15498</v>
      </c>
      <c r="I5070" t="s">
        <v>3852</v>
      </c>
      <c r="J5070" t="s">
        <v>33431</v>
      </c>
      <c r="K5070" t="s">
        <v>39019</v>
      </c>
      <c r="M5070" t="s">
        <v>40087</v>
      </c>
      <c r="N5070" t="s">
        <v>43166</v>
      </c>
      <c r="O5070" t="s">
        <v>43167</v>
      </c>
      <c r="P5070">
        <v>0</v>
      </c>
      <c r="Q5070">
        <v>2</v>
      </c>
      <c r="R5070" t="s">
        <v>43172</v>
      </c>
      <c r="S5070" t="s">
        <v>43334</v>
      </c>
      <c r="T5070" t="s">
        <v>44733</v>
      </c>
      <c r="U5070" t="s">
        <v>49334</v>
      </c>
      <c r="W5070" t="s">
        <v>40087</v>
      </c>
      <c r="X5070" t="s">
        <v>43173</v>
      </c>
    </row>
    <row r="5071" spans="1:24">
      <c r="A5071">
        <f>HYPERLINK("https://www.philgeps.gov.ph/GEPSNONPILOT/Tender/SplashBidNoticeAbstractUI.aspx?menuIndex=3&amp;refID=7079081&amp;Result=3","7079081")</f>
        <v>0</v>
      </c>
      <c r="B5071" t="s">
        <v>1736</v>
      </c>
      <c r="C5071" t="s">
        <v>8261</v>
      </c>
      <c r="D5071" t="s">
        <v>17444</v>
      </c>
      <c r="E5071" t="s">
        <v>21906</v>
      </c>
      <c r="F5071" t="s">
        <v>30052</v>
      </c>
      <c r="G5071" t="s">
        <v>30061</v>
      </c>
      <c r="H5071" t="s">
        <v>15498</v>
      </c>
      <c r="I5071" t="s">
        <v>30070</v>
      </c>
      <c r="J5071" t="s">
        <v>32805</v>
      </c>
      <c r="K5071" t="s">
        <v>39034</v>
      </c>
      <c r="M5071" t="s">
        <v>41153</v>
      </c>
      <c r="N5071" t="s">
        <v>43166</v>
      </c>
      <c r="O5071" t="s">
        <v>43167</v>
      </c>
      <c r="P5071">
        <v>0</v>
      </c>
      <c r="Q5071">
        <v>0</v>
      </c>
      <c r="R5071" t="s">
        <v>43172</v>
      </c>
      <c r="S5071" t="s">
        <v>43334</v>
      </c>
      <c r="T5071" t="s">
        <v>44717</v>
      </c>
      <c r="U5071" t="s">
        <v>49335</v>
      </c>
      <c r="W5071" t="s">
        <v>41153</v>
      </c>
      <c r="X5071" t="s">
        <v>43173</v>
      </c>
    </row>
    <row r="5072" spans="1:24">
      <c r="A5072">
        <f>HYPERLINK("https://www.philgeps.gov.ph/GEPSNONPILOT/Tender/SplashBidNoticeAbstractUI.aspx?menuIndex=3&amp;refID=7079002&amp;Result=3","7079002")</f>
        <v>0</v>
      </c>
      <c r="B5072" t="s">
        <v>1756</v>
      </c>
      <c r="C5072" t="s">
        <v>8262</v>
      </c>
      <c r="D5072" t="s">
        <v>17455</v>
      </c>
      <c r="E5072" t="s">
        <v>19710</v>
      </c>
      <c r="F5072" t="s">
        <v>30052</v>
      </c>
      <c r="G5072" t="s">
        <v>30061</v>
      </c>
      <c r="H5072" t="s">
        <v>15498</v>
      </c>
      <c r="I5072" t="s">
        <v>30097</v>
      </c>
      <c r="J5072" t="s">
        <v>33432</v>
      </c>
      <c r="K5072" t="s">
        <v>39017</v>
      </c>
      <c r="M5072" t="s">
        <v>41176</v>
      </c>
      <c r="N5072" t="s">
        <v>43166</v>
      </c>
      <c r="O5072" t="s">
        <v>43167</v>
      </c>
      <c r="P5072">
        <v>0</v>
      </c>
      <c r="Q5072">
        <v>13</v>
      </c>
      <c r="R5072" t="s">
        <v>43172</v>
      </c>
      <c r="S5072" t="s">
        <v>43334</v>
      </c>
      <c r="T5072" t="s">
        <v>44841</v>
      </c>
      <c r="U5072" t="s">
        <v>49336</v>
      </c>
      <c r="V5072" t="s">
        <v>57396</v>
      </c>
      <c r="W5072" t="s">
        <v>58654</v>
      </c>
      <c r="X5072" t="s">
        <v>43173</v>
      </c>
    </row>
    <row r="5073" spans="1:24">
      <c r="A5073">
        <f>HYPERLINK("https://www.philgeps.gov.ph/GEPSNONPILOT/Tender/SplashBidNoticeAbstractUI.aspx?menuIndex=3&amp;refID=7079077&amp;Result=3","7079077")</f>
        <v>0</v>
      </c>
      <c r="B5073" t="s">
        <v>1757</v>
      </c>
      <c r="C5073" t="s">
        <v>8263</v>
      </c>
      <c r="D5073" t="s">
        <v>17441</v>
      </c>
      <c r="E5073" t="s">
        <v>21907</v>
      </c>
      <c r="F5073" t="s">
        <v>30052</v>
      </c>
      <c r="G5073" t="s">
        <v>30058</v>
      </c>
      <c r="H5073" t="s">
        <v>30067</v>
      </c>
      <c r="I5073" t="s">
        <v>3693</v>
      </c>
      <c r="J5073" t="s">
        <v>33433</v>
      </c>
      <c r="K5073" t="s">
        <v>39025</v>
      </c>
      <c r="M5073" t="s">
        <v>41177</v>
      </c>
      <c r="N5073" t="s">
        <v>43166</v>
      </c>
      <c r="O5073" t="s">
        <v>43167</v>
      </c>
      <c r="P5073">
        <v>0</v>
      </c>
      <c r="Q5073">
        <v>2</v>
      </c>
      <c r="R5073" t="s">
        <v>43172</v>
      </c>
      <c r="S5073" t="s">
        <v>43334</v>
      </c>
      <c r="T5073" t="s">
        <v>44691</v>
      </c>
      <c r="U5073" t="s">
        <v>49337</v>
      </c>
      <c r="V5073" t="s">
        <v>57397</v>
      </c>
      <c r="W5073" t="s">
        <v>41177</v>
      </c>
      <c r="X5073" t="s">
        <v>43173</v>
      </c>
    </row>
    <row r="5074" spans="1:24">
      <c r="A5074">
        <f>HYPERLINK("https://www.philgeps.gov.ph/GEPSNONPILOT/Tender/SplashBidNoticeAbstractUI.aspx?menuIndex=3&amp;refID=7079075&amp;Result=3","7079075")</f>
        <v>0</v>
      </c>
      <c r="B5074" t="s">
        <v>1740</v>
      </c>
      <c r="C5074" t="s">
        <v>8264</v>
      </c>
      <c r="D5074" t="s">
        <v>17456</v>
      </c>
      <c r="E5074" t="s">
        <v>21908</v>
      </c>
      <c r="F5074" t="s">
        <v>30052</v>
      </c>
      <c r="G5074" t="s">
        <v>30059</v>
      </c>
      <c r="H5074" t="s">
        <v>15498</v>
      </c>
      <c r="I5074" t="s">
        <v>3736</v>
      </c>
      <c r="J5074" t="s">
        <v>31282</v>
      </c>
      <c r="K5074" t="s">
        <v>39019</v>
      </c>
      <c r="M5074" t="s">
        <v>41157</v>
      </c>
      <c r="N5074" t="s">
        <v>43166</v>
      </c>
      <c r="O5074" t="s">
        <v>43167</v>
      </c>
      <c r="P5074">
        <v>0</v>
      </c>
      <c r="Q5074">
        <v>0</v>
      </c>
      <c r="R5074" t="s">
        <v>43172</v>
      </c>
      <c r="S5074" t="s">
        <v>43334</v>
      </c>
      <c r="T5074" t="s">
        <v>44856</v>
      </c>
      <c r="U5074" t="s">
        <v>49338</v>
      </c>
      <c r="W5074" t="s">
        <v>41157</v>
      </c>
      <c r="X5074" t="s">
        <v>43173</v>
      </c>
    </row>
    <row r="5075" spans="1:24">
      <c r="A5075">
        <f>HYPERLINK("https://www.philgeps.gov.ph/GEPSNONPILOT/Tender/SplashBidNoticeAbstractUI.aspx?menuIndex=3&amp;refID=7078982&amp;Result=3","7078982")</f>
        <v>0</v>
      </c>
      <c r="B5075" t="s">
        <v>1758</v>
      </c>
      <c r="C5075" t="s">
        <v>8265</v>
      </c>
      <c r="D5075" t="s">
        <v>17421</v>
      </c>
      <c r="E5075" t="s">
        <v>21909</v>
      </c>
      <c r="F5075" t="s">
        <v>30052</v>
      </c>
      <c r="G5075" t="s">
        <v>30058</v>
      </c>
      <c r="H5075" t="s">
        <v>30067</v>
      </c>
      <c r="I5075" t="s">
        <v>3693</v>
      </c>
      <c r="J5075" t="s">
        <v>33434</v>
      </c>
      <c r="K5075" t="s">
        <v>39086</v>
      </c>
      <c r="M5075" t="s">
        <v>41178</v>
      </c>
      <c r="N5075" t="s">
        <v>43166</v>
      </c>
      <c r="O5075" t="s">
        <v>43167</v>
      </c>
      <c r="P5075">
        <v>0</v>
      </c>
      <c r="Q5075">
        <v>0</v>
      </c>
      <c r="R5075" t="s">
        <v>43172</v>
      </c>
      <c r="S5075" t="s">
        <v>43334</v>
      </c>
      <c r="T5075" t="s">
        <v>44733</v>
      </c>
      <c r="U5075" t="s">
        <v>49339</v>
      </c>
      <c r="W5075" t="s">
        <v>41178</v>
      </c>
      <c r="X5075" t="s">
        <v>43173</v>
      </c>
    </row>
    <row r="5076" spans="1:24">
      <c r="A5076">
        <f>HYPERLINK("https://www.philgeps.gov.ph/GEPSNONPILOT/Tender/SplashBidNoticeAbstractUI.aspx?menuIndex=3&amp;refID=7079073&amp;Result=3","7079073")</f>
        <v>0</v>
      </c>
      <c r="B5076" t="s">
        <v>1759</v>
      </c>
      <c r="C5076" t="s">
        <v>8266</v>
      </c>
      <c r="D5076" t="s">
        <v>17442</v>
      </c>
      <c r="E5076" t="s">
        <v>21910</v>
      </c>
      <c r="F5076" t="s">
        <v>30052</v>
      </c>
      <c r="G5076" t="s">
        <v>30061</v>
      </c>
      <c r="H5076" t="s">
        <v>15498</v>
      </c>
      <c r="I5076" t="s">
        <v>30084</v>
      </c>
      <c r="J5076" t="s">
        <v>33435</v>
      </c>
      <c r="K5076" t="s">
        <v>39029</v>
      </c>
      <c r="M5076" t="s">
        <v>41179</v>
      </c>
      <c r="N5076" t="s">
        <v>43166</v>
      </c>
      <c r="O5076" t="s">
        <v>43167</v>
      </c>
      <c r="P5076">
        <v>0</v>
      </c>
      <c r="Q5076">
        <v>2</v>
      </c>
      <c r="R5076" t="s">
        <v>43172</v>
      </c>
      <c r="S5076" t="s">
        <v>43334</v>
      </c>
      <c r="T5076" t="s">
        <v>44698</v>
      </c>
      <c r="U5076" t="s">
        <v>49340</v>
      </c>
      <c r="W5076" t="s">
        <v>41179</v>
      </c>
      <c r="X5076" t="s">
        <v>43173</v>
      </c>
    </row>
    <row r="5077" spans="1:24">
      <c r="A5077">
        <f>HYPERLINK("https://www.philgeps.gov.ph/GEPSNONPILOT/Tender/SplashBidNoticeAbstractUI.aspx?menuIndex=3&amp;refID=7079072&amp;Result=3","7079072")</f>
        <v>0</v>
      </c>
      <c r="B5077" t="s">
        <v>219</v>
      </c>
      <c r="C5077" t="s">
        <v>3824</v>
      </c>
      <c r="D5077" t="s">
        <v>17482</v>
      </c>
      <c r="E5077" t="s">
        <v>21911</v>
      </c>
      <c r="F5077" t="s">
        <v>30052</v>
      </c>
      <c r="G5077" t="s">
        <v>30058</v>
      </c>
      <c r="H5077" t="s">
        <v>15498</v>
      </c>
      <c r="I5077" t="s">
        <v>3693</v>
      </c>
      <c r="J5077" t="s">
        <v>30402</v>
      </c>
      <c r="K5077" t="s">
        <v>39064</v>
      </c>
      <c r="M5077" t="s">
        <v>39509</v>
      </c>
      <c r="N5077" t="s">
        <v>43166</v>
      </c>
      <c r="O5077" t="s">
        <v>43167</v>
      </c>
      <c r="P5077">
        <v>0</v>
      </c>
      <c r="Q5077">
        <v>0</v>
      </c>
      <c r="R5077" t="s">
        <v>43172</v>
      </c>
      <c r="S5077" t="s">
        <v>43334</v>
      </c>
      <c r="T5077" t="s">
        <v>45012</v>
      </c>
      <c r="U5077" t="s">
        <v>49341</v>
      </c>
      <c r="W5077" t="s">
        <v>39509</v>
      </c>
      <c r="X5077" t="s">
        <v>43173</v>
      </c>
    </row>
    <row r="5078" spans="1:24">
      <c r="A5078">
        <f>HYPERLINK("https://www.philgeps.gov.ph/GEPSNONPILOT/Tender/SplashBidNoticeAbstractUI.aspx?menuIndex=3&amp;refID=7079071&amp;Result=3","7079071")</f>
        <v>0</v>
      </c>
      <c r="B5078" t="s">
        <v>1760</v>
      </c>
      <c r="C5078" t="s">
        <v>8267</v>
      </c>
      <c r="D5078" t="s">
        <v>17418</v>
      </c>
      <c r="E5078" t="s">
        <v>21912</v>
      </c>
      <c r="F5078" t="s">
        <v>30052</v>
      </c>
      <c r="G5078" t="s">
        <v>30059</v>
      </c>
      <c r="H5078" t="s">
        <v>15498</v>
      </c>
      <c r="I5078" t="s">
        <v>4119</v>
      </c>
      <c r="J5078" t="s">
        <v>33436</v>
      </c>
      <c r="K5078" t="s">
        <v>39025</v>
      </c>
      <c r="M5078" t="s">
        <v>41180</v>
      </c>
      <c r="N5078" t="s">
        <v>43166</v>
      </c>
      <c r="O5078" t="s">
        <v>43167</v>
      </c>
      <c r="P5078">
        <v>0</v>
      </c>
      <c r="Q5078">
        <v>0</v>
      </c>
      <c r="R5078" t="s">
        <v>43172</v>
      </c>
      <c r="S5078" t="s">
        <v>43334</v>
      </c>
      <c r="T5078" t="s">
        <v>44773</v>
      </c>
      <c r="U5078" t="s">
        <v>49342</v>
      </c>
      <c r="V5078" t="s">
        <v>57398</v>
      </c>
      <c r="W5078" t="s">
        <v>41180</v>
      </c>
      <c r="X5078" t="s">
        <v>43173</v>
      </c>
    </row>
    <row r="5079" spans="1:24">
      <c r="A5079">
        <f>HYPERLINK("https://www.philgeps.gov.ph/GEPSNONPILOT/Tender/SplashBidNoticeAbstractUI.aspx?menuIndex=3&amp;refID=7079069&amp;Result=3","7079069")</f>
        <v>0</v>
      </c>
      <c r="B5079" t="s">
        <v>1751</v>
      </c>
      <c r="C5079" t="s">
        <v>8268</v>
      </c>
      <c r="E5079" t="s">
        <v>21913</v>
      </c>
      <c r="F5079" t="s">
        <v>30052</v>
      </c>
      <c r="G5079" t="s">
        <v>30058</v>
      </c>
      <c r="H5079" t="s">
        <v>15498</v>
      </c>
      <c r="I5079" t="s">
        <v>3736</v>
      </c>
      <c r="J5079" t="s">
        <v>30327</v>
      </c>
      <c r="K5079" t="s">
        <v>39025</v>
      </c>
      <c r="M5079" t="s">
        <v>41170</v>
      </c>
      <c r="N5079" t="s">
        <v>43166</v>
      </c>
      <c r="O5079" t="s">
        <v>43167</v>
      </c>
      <c r="P5079">
        <v>0</v>
      </c>
      <c r="Q5079">
        <v>0</v>
      </c>
      <c r="R5079" t="s">
        <v>43172</v>
      </c>
      <c r="S5079" t="s">
        <v>43334</v>
      </c>
      <c r="T5079" t="s">
        <v>44873</v>
      </c>
      <c r="U5079" t="s">
        <v>49319</v>
      </c>
      <c r="W5079" t="s">
        <v>41170</v>
      </c>
      <c r="X5079" t="s">
        <v>43173</v>
      </c>
    </row>
    <row r="5080" spans="1:24">
      <c r="A5080">
        <f>HYPERLINK("https://www.philgeps.gov.ph/GEPSNONPILOT/Tender/SplashBidNoticeAbstractUI.aspx?menuIndex=3&amp;refID=7079136&amp;Result=3","7079136")</f>
        <v>0</v>
      </c>
      <c r="B5080" t="s">
        <v>1291</v>
      </c>
      <c r="C5080" t="s">
        <v>8269</v>
      </c>
      <c r="D5080" t="s">
        <v>17464</v>
      </c>
      <c r="E5080" t="s">
        <v>21914</v>
      </c>
      <c r="F5080" t="s">
        <v>30052</v>
      </c>
      <c r="G5080" t="s">
        <v>30061</v>
      </c>
      <c r="H5080" t="s">
        <v>15498</v>
      </c>
      <c r="I5080" t="s">
        <v>3736</v>
      </c>
      <c r="J5080" t="s">
        <v>33437</v>
      </c>
      <c r="K5080" t="s">
        <v>39034</v>
      </c>
      <c r="M5080" t="s">
        <v>41173</v>
      </c>
      <c r="N5080" t="s">
        <v>43166</v>
      </c>
      <c r="O5080" t="s">
        <v>43167</v>
      </c>
      <c r="P5080">
        <v>0</v>
      </c>
      <c r="Q5080">
        <v>2</v>
      </c>
      <c r="R5080" t="s">
        <v>43172</v>
      </c>
      <c r="S5080" t="s">
        <v>43334</v>
      </c>
      <c r="T5080" t="s">
        <v>44717</v>
      </c>
      <c r="U5080" t="s">
        <v>46487</v>
      </c>
      <c r="W5080" t="s">
        <v>41173</v>
      </c>
      <c r="X5080" t="s">
        <v>43173</v>
      </c>
    </row>
    <row r="5081" spans="1:24">
      <c r="A5081">
        <f>HYPERLINK("https://www.philgeps.gov.ph/GEPSNONPILOT/Tender/SplashBidNoticeAbstractUI.aspx?menuIndex=3&amp;refID=7079074&amp;Result=3","7079074")</f>
        <v>0</v>
      </c>
      <c r="B5081" t="s">
        <v>1761</v>
      </c>
      <c r="C5081" t="s">
        <v>8270</v>
      </c>
      <c r="D5081" t="s">
        <v>17437</v>
      </c>
      <c r="E5081" t="s">
        <v>18346</v>
      </c>
      <c r="F5081" t="s">
        <v>30052</v>
      </c>
      <c r="G5081" t="s">
        <v>30058</v>
      </c>
      <c r="H5081" t="s">
        <v>15498</v>
      </c>
      <c r="I5081" t="s">
        <v>30106</v>
      </c>
      <c r="J5081" t="s">
        <v>32337</v>
      </c>
      <c r="K5081" t="s">
        <v>39025</v>
      </c>
      <c r="M5081" t="s">
        <v>41181</v>
      </c>
      <c r="N5081" t="s">
        <v>43166</v>
      </c>
      <c r="O5081" t="s">
        <v>43167</v>
      </c>
      <c r="P5081">
        <v>0</v>
      </c>
      <c r="Q5081">
        <v>7</v>
      </c>
      <c r="R5081" t="s">
        <v>43172</v>
      </c>
      <c r="S5081" t="s">
        <v>43334</v>
      </c>
      <c r="T5081" t="s">
        <v>44722</v>
      </c>
      <c r="U5081" t="s">
        <v>49343</v>
      </c>
      <c r="V5081" t="s">
        <v>57399</v>
      </c>
      <c r="W5081" t="s">
        <v>41181</v>
      </c>
      <c r="X5081" t="s">
        <v>43173</v>
      </c>
    </row>
    <row r="5082" spans="1:24">
      <c r="A5082">
        <f>HYPERLINK("https://www.philgeps.gov.ph/GEPSNONPILOT/Tender/SplashBidNoticeAbstractUI.aspx?menuIndex=3&amp;refID=7079084&amp;Result=3","7079084")</f>
        <v>0</v>
      </c>
      <c r="B5082" t="s">
        <v>1762</v>
      </c>
      <c r="C5082" t="s">
        <v>8271</v>
      </c>
      <c r="D5082" t="s">
        <v>17474</v>
      </c>
      <c r="E5082" t="s">
        <v>21915</v>
      </c>
      <c r="F5082" t="s">
        <v>30052</v>
      </c>
      <c r="G5082" t="s">
        <v>30059</v>
      </c>
      <c r="H5082" t="s">
        <v>15498</v>
      </c>
      <c r="I5082" t="s">
        <v>4650</v>
      </c>
      <c r="J5082" t="s">
        <v>30673</v>
      </c>
      <c r="K5082" t="s">
        <v>39029</v>
      </c>
      <c r="M5082" t="s">
        <v>41182</v>
      </c>
      <c r="N5082" t="s">
        <v>43166</v>
      </c>
      <c r="O5082" t="s">
        <v>43167</v>
      </c>
      <c r="P5082">
        <v>0</v>
      </c>
      <c r="Q5082">
        <v>3</v>
      </c>
      <c r="R5082" t="s">
        <v>43172</v>
      </c>
      <c r="S5082" t="s">
        <v>43334</v>
      </c>
      <c r="T5082" t="s">
        <v>44698</v>
      </c>
      <c r="U5082" t="s">
        <v>49344</v>
      </c>
      <c r="V5082" t="s">
        <v>57400</v>
      </c>
      <c r="W5082" t="s">
        <v>41182</v>
      </c>
      <c r="X5082" t="s">
        <v>43173</v>
      </c>
    </row>
    <row r="5083" spans="1:24">
      <c r="A5083">
        <f>HYPERLINK("https://www.philgeps.gov.ph/GEPSNONPILOT/Tender/SplashBidNoticeAbstractUI.aspx?menuIndex=3&amp;refID=7079127&amp;Result=3","7079127")</f>
        <v>0</v>
      </c>
      <c r="B5083" t="s">
        <v>107</v>
      </c>
      <c r="C5083" t="s">
        <v>8272</v>
      </c>
      <c r="D5083" t="s">
        <v>17448</v>
      </c>
      <c r="E5083" t="s">
        <v>21916</v>
      </c>
      <c r="F5083" t="s">
        <v>30052</v>
      </c>
      <c r="G5083" t="s">
        <v>30059</v>
      </c>
      <c r="H5083" t="s">
        <v>15498</v>
      </c>
      <c r="I5083" t="s">
        <v>9238</v>
      </c>
      <c r="J5083" t="s">
        <v>31258</v>
      </c>
      <c r="K5083" t="s">
        <v>39025</v>
      </c>
      <c r="M5083" t="s">
        <v>39396</v>
      </c>
      <c r="N5083" t="s">
        <v>43166</v>
      </c>
      <c r="O5083" t="s">
        <v>43167</v>
      </c>
      <c r="P5083">
        <v>0</v>
      </c>
      <c r="Q5083">
        <v>18</v>
      </c>
      <c r="R5083" t="s">
        <v>43172</v>
      </c>
      <c r="S5083" t="s">
        <v>43334</v>
      </c>
      <c r="T5083" t="s">
        <v>44862</v>
      </c>
      <c r="U5083" t="s">
        <v>49345</v>
      </c>
      <c r="W5083" t="s">
        <v>39396</v>
      </c>
      <c r="X5083" t="s">
        <v>43173</v>
      </c>
    </row>
    <row r="5084" spans="1:24">
      <c r="A5084">
        <f>HYPERLINK("https://www.philgeps.gov.ph/GEPSNONPILOT/Tender/SplashBidNoticeAbstractUI.aspx?menuIndex=3&amp;refID=7079070&amp;Result=3","7079070")</f>
        <v>0</v>
      </c>
      <c r="B5084" t="s">
        <v>773</v>
      </c>
      <c r="C5084" t="s">
        <v>8273</v>
      </c>
      <c r="D5084" t="s">
        <v>17435</v>
      </c>
      <c r="E5084" t="s">
        <v>21917</v>
      </c>
      <c r="F5084" t="s">
        <v>30052</v>
      </c>
      <c r="G5084" t="s">
        <v>30058</v>
      </c>
      <c r="H5084" t="s">
        <v>15498</v>
      </c>
      <c r="I5084" t="s">
        <v>3852</v>
      </c>
      <c r="J5084" t="s">
        <v>33438</v>
      </c>
      <c r="K5084" t="s">
        <v>39019</v>
      </c>
      <c r="M5084" t="s">
        <v>40087</v>
      </c>
      <c r="N5084" t="s">
        <v>43166</v>
      </c>
      <c r="O5084" t="s">
        <v>43167</v>
      </c>
      <c r="P5084">
        <v>0</v>
      </c>
      <c r="Q5084">
        <v>2</v>
      </c>
      <c r="R5084" t="s">
        <v>43172</v>
      </c>
      <c r="S5084" t="s">
        <v>43334</v>
      </c>
      <c r="T5084" t="s">
        <v>44733</v>
      </c>
      <c r="U5084" t="s">
        <v>49346</v>
      </c>
      <c r="W5084" t="s">
        <v>40087</v>
      </c>
      <c r="X5084" t="s">
        <v>43173</v>
      </c>
    </row>
    <row r="5085" spans="1:24">
      <c r="A5085">
        <f>HYPERLINK("https://www.philgeps.gov.ph/GEPSNONPILOT/Tender/SplashBidNoticeAbstractUI.aspx?menuIndex=3&amp;refID=7079078&amp;Result=3","7079078")</f>
        <v>0</v>
      </c>
      <c r="B5085" t="s">
        <v>1763</v>
      </c>
      <c r="C5085" t="s">
        <v>8274</v>
      </c>
      <c r="D5085" t="s">
        <v>17460</v>
      </c>
      <c r="E5085" t="s">
        <v>21918</v>
      </c>
      <c r="F5085" t="s">
        <v>30052</v>
      </c>
      <c r="G5085" t="s">
        <v>30059</v>
      </c>
      <c r="H5085" t="s">
        <v>15498</v>
      </c>
      <c r="I5085" t="s">
        <v>30100</v>
      </c>
      <c r="J5085" t="s">
        <v>33439</v>
      </c>
      <c r="K5085" t="s">
        <v>39017</v>
      </c>
      <c r="M5085" t="s">
        <v>41183</v>
      </c>
      <c r="N5085" t="s">
        <v>43166</v>
      </c>
      <c r="O5085" t="s">
        <v>43167</v>
      </c>
      <c r="P5085">
        <v>0</v>
      </c>
      <c r="Q5085">
        <v>2</v>
      </c>
      <c r="R5085" t="s">
        <v>43172</v>
      </c>
      <c r="S5085" t="s">
        <v>43334</v>
      </c>
      <c r="T5085" t="s">
        <v>44837</v>
      </c>
      <c r="U5085" t="s">
        <v>49347</v>
      </c>
      <c r="W5085" t="s">
        <v>41183</v>
      </c>
      <c r="X5085" t="s">
        <v>43173</v>
      </c>
    </row>
    <row r="5086" spans="1:24">
      <c r="A5086">
        <f>HYPERLINK("https://www.philgeps.gov.ph/GEPSNONPILOT/Tender/SplashBidNoticeAbstractUI.aspx?menuIndex=3&amp;refID=7079126&amp;Result=3","7079126")</f>
        <v>0</v>
      </c>
      <c r="B5086" t="s">
        <v>1764</v>
      </c>
      <c r="C5086" t="s">
        <v>8275</v>
      </c>
      <c r="D5086" t="s">
        <v>17466</v>
      </c>
      <c r="E5086" t="s">
        <v>20629</v>
      </c>
      <c r="F5086" t="s">
        <v>30052</v>
      </c>
      <c r="G5086" t="s">
        <v>30058</v>
      </c>
      <c r="H5086" t="s">
        <v>15498</v>
      </c>
      <c r="I5086" t="s">
        <v>30074</v>
      </c>
      <c r="J5086" t="s">
        <v>33440</v>
      </c>
      <c r="K5086" t="s">
        <v>39029</v>
      </c>
      <c r="M5086" t="s">
        <v>41184</v>
      </c>
      <c r="N5086" t="s">
        <v>43166</v>
      </c>
      <c r="O5086" t="s">
        <v>43167</v>
      </c>
      <c r="P5086">
        <v>0</v>
      </c>
      <c r="Q5086">
        <v>2</v>
      </c>
      <c r="R5086" t="s">
        <v>43172</v>
      </c>
      <c r="S5086" t="s">
        <v>43334</v>
      </c>
      <c r="T5086" t="s">
        <v>44807</v>
      </c>
      <c r="U5086" t="s">
        <v>49348</v>
      </c>
      <c r="W5086" t="s">
        <v>41184</v>
      </c>
      <c r="X5086" t="s">
        <v>43173</v>
      </c>
    </row>
    <row r="5087" spans="1:24">
      <c r="A5087">
        <f>HYPERLINK("https://www.philgeps.gov.ph/GEPSNONPILOT/Tender/SplashBidNoticeAbstractUI.aspx?menuIndex=3&amp;refID=7079083&amp;Result=3","7079083")</f>
        <v>0</v>
      </c>
      <c r="B5087" t="s">
        <v>759</v>
      </c>
      <c r="C5087" t="s">
        <v>8276</v>
      </c>
      <c r="D5087" t="s">
        <v>17416</v>
      </c>
      <c r="E5087" t="s">
        <v>21919</v>
      </c>
      <c r="F5087" t="s">
        <v>30052</v>
      </c>
      <c r="G5087" t="s">
        <v>30058</v>
      </c>
      <c r="H5087" t="s">
        <v>30067</v>
      </c>
      <c r="I5087" t="s">
        <v>3693</v>
      </c>
      <c r="J5087" t="s">
        <v>33441</v>
      </c>
      <c r="K5087" t="s">
        <v>39152</v>
      </c>
      <c r="M5087" t="s">
        <v>40073</v>
      </c>
      <c r="N5087" t="s">
        <v>43166</v>
      </c>
      <c r="O5087" t="s">
        <v>43167</v>
      </c>
      <c r="P5087">
        <v>0</v>
      </c>
      <c r="Q5087">
        <v>0</v>
      </c>
      <c r="R5087" t="s">
        <v>43172</v>
      </c>
      <c r="S5087" t="s">
        <v>43334</v>
      </c>
      <c r="T5087" t="s">
        <v>44789</v>
      </c>
      <c r="U5087" t="s">
        <v>49349</v>
      </c>
      <c r="W5087" t="s">
        <v>40073</v>
      </c>
      <c r="X5087" t="s">
        <v>43173</v>
      </c>
    </row>
    <row r="5088" spans="1:24">
      <c r="A5088">
        <f>HYPERLINK("https://www.philgeps.gov.ph/GEPSNONPILOT/Tender/SplashBidNoticeAbstractUI.aspx?menuIndex=3&amp;refID=7079131&amp;Result=3","7079131")</f>
        <v>0</v>
      </c>
      <c r="B5088" t="s">
        <v>1736</v>
      </c>
      <c r="C5088" t="s">
        <v>8210</v>
      </c>
      <c r="D5088" t="s">
        <v>17444</v>
      </c>
      <c r="E5088" t="s">
        <v>21920</v>
      </c>
      <c r="F5088" t="s">
        <v>30052</v>
      </c>
      <c r="G5088" t="s">
        <v>30061</v>
      </c>
      <c r="H5088" t="s">
        <v>15498</v>
      </c>
      <c r="I5088" t="s">
        <v>4119</v>
      </c>
      <c r="J5088" t="s">
        <v>30398</v>
      </c>
      <c r="K5088" t="s">
        <v>39034</v>
      </c>
      <c r="M5088" t="s">
        <v>41153</v>
      </c>
      <c r="N5088" t="s">
        <v>43166</v>
      </c>
      <c r="O5088" t="s">
        <v>43167</v>
      </c>
      <c r="P5088">
        <v>0</v>
      </c>
      <c r="Q5088">
        <v>0</v>
      </c>
      <c r="R5088" t="s">
        <v>43172</v>
      </c>
      <c r="S5088" t="s">
        <v>43334</v>
      </c>
      <c r="T5088" t="s">
        <v>44717</v>
      </c>
      <c r="U5088" t="s">
        <v>49350</v>
      </c>
      <c r="W5088" t="s">
        <v>41153</v>
      </c>
      <c r="X5088" t="s">
        <v>43173</v>
      </c>
    </row>
    <row r="5089" spans="1:24">
      <c r="A5089">
        <f>HYPERLINK("https://www.philgeps.gov.ph/GEPSNONPILOT/Tender/SplashBidNoticeAbstractUI.aspx?menuIndex=3&amp;refID=7079121&amp;Result=3","7079121")</f>
        <v>0</v>
      </c>
      <c r="B5089" t="s">
        <v>1411</v>
      </c>
      <c r="C5089" t="s">
        <v>8277</v>
      </c>
      <c r="D5089" t="s">
        <v>17416</v>
      </c>
      <c r="E5089" t="s">
        <v>17617</v>
      </c>
      <c r="F5089" t="s">
        <v>30052</v>
      </c>
      <c r="G5089" t="s">
        <v>30058</v>
      </c>
      <c r="H5089" t="s">
        <v>30067</v>
      </c>
      <c r="I5089" t="s">
        <v>3736</v>
      </c>
      <c r="J5089" t="s">
        <v>30212</v>
      </c>
      <c r="K5089" t="s">
        <v>39017</v>
      </c>
      <c r="M5089" t="s">
        <v>40789</v>
      </c>
      <c r="N5089" t="s">
        <v>43166</v>
      </c>
      <c r="O5089" t="s">
        <v>43167</v>
      </c>
      <c r="P5089">
        <v>0</v>
      </c>
      <c r="Q5089">
        <v>0</v>
      </c>
      <c r="R5089" t="s">
        <v>43172</v>
      </c>
      <c r="S5089" t="s">
        <v>43334</v>
      </c>
      <c r="T5089" t="s">
        <v>44784</v>
      </c>
      <c r="U5089" t="s">
        <v>49351</v>
      </c>
      <c r="V5089" t="s">
        <v>57401</v>
      </c>
      <c r="W5089" t="s">
        <v>40789</v>
      </c>
      <c r="X5089" t="s">
        <v>43173</v>
      </c>
    </row>
    <row r="5090" spans="1:24">
      <c r="A5090">
        <f>HYPERLINK("https://www.philgeps.gov.ph/GEPSNONPILOT/Tender/SplashBidNoticeAbstractUI.aspx?menuIndex=3&amp;refID=7079119&amp;Result=3","7079119")</f>
        <v>0</v>
      </c>
      <c r="B5090" t="s">
        <v>188</v>
      </c>
      <c r="C5090" t="s">
        <v>8278</v>
      </c>
      <c r="D5090" t="s">
        <v>17422</v>
      </c>
      <c r="E5090" t="s">
        <v>21921</v>
      </c>
      <c r="F5090" t="s">
        <v>30052</v>
      </c>
      <c r="G5090" t="s">
        <v>30058</v>
      </c>
      <c r="H5090" t="s">
        <v>15498</v>
      </c>
      <c r="I5090" t="s">
        <v>3736</v>
      </c>
      <c r="J5090" t="s">
        <v>33442</v>
      </c>
      <c r="K5090" t="s">
        <v>39029</v>
      </c>
      <c r="M5090" t="s">
        <v>39477</v>
      </c>
      <c r="N5090" t="s">
        <v>43166</v>
      </c>
      <c r="O5090" t="s">
        <v>43167</v>
      </c>
      <c r="P5090">
        <v>0</v>
      </c>
      <c r="Q5090">
        <v>3</v>
      </c>
      <c r="R5090" t="s">
        <v>43172</v>
      </c>
      <c r="S5090" t="s">
        <v>43334</v>
      </c>
      <c r="T5090" t="s">
        <v>44691</v>
      </c>
      <c r="U5090" t="s">
        <v>49352</v>
      </c>
      <c r="W5090" t="s">
        <v>39477</v>
      </c>
      <c r="X5090" t="s">
        <v>43173</v>
      </c>
    </row>
    <row r="5091" spans="1:24">
      <c r="A5091">
        <f>HYPERLINK("https://www.philgeps.gov.ph/GEPSNONPILOT/Tender/SplashBidNoticeAbstractUI.aspx?menuIndex=3&amp;refID=7079087&amp;Result=3","7079087")</f>
        <v>0</v>
      </c>
      <c r="B5091" t="s">
        <v>1411</v>
      </c>
      <c r="C5091" t="s">
        <v>8279</v>
      </c>
      <c r="D5091" t="s">
        <v>17416</v>
      </c>
      <c r="E5091" t="s">
        <v>18292</v>
      </c>
      <c r="F5091" t="s">
        <v>30052</v>
      </c>
      <c r="G5091" t="s">
        <v>30058</v>
      </c>
      <c r="H5091" t="s">
        <v>15498</v>
      </c>
      <c r="I5091" t="s">
        <v>30074</v>
      </c>
      <c r="J5091" t="s">
        <v>30588</v>
      </c>
      <c r="K5091" t="s">
        <v>39017</v>
      </c>
      <c r="M5091" t="s">
        <v>40789</v>
      </c>
      <c r="N5091" t="s">
        <v>43166</v>
      </c>
      <c r="O5091" t="s">
        <v>43167</v>
      </c>
      <c r="P5091">
        <v>0</v>
      </c>
      <c r="Q5091">
        <v>4</v>
      </c>
      <c r="R5091" t="s">
        <v>43172</v>
      </c>
      <c r="S5091" t="s">
        <v>43334</v>
      </c>
      <c r="T5091" t="s">
        <v>44684</v>
      </c>
      <c r="U5091" t="s">
        <v>49353</v>
      </c>
      <c r="V5091" t="s">
        <v>57401</v>
      </c>
      <c r="W5091" t="s">
        <v>40789</v>
      </c>
      <c r="X5091" t="s">
        <v>43173</v>
      </c>
    </row>
    <row r="5092" spans="1:24">
      <c r="A5092">
        <f>HYPERLINK("https://www.philgeps.gov.ph/GEPSNONPILOT/Tender/SplashBidNoticeAbstractUI.aspx?menuIndex=3&amp;refID=7079113&amp;Result=3","7079113")</f>
        <v>0</v>
      </c>
      <c r="B5092" t="s">
        <v>1520</v>
      </c>
      <c r="C5092" t="s">
        <v>8280</v>
      </c>
      <c r="D5092" t="s">
        <v>17423</v>
      </c>
      <c r="E5092" t="s">
        <v>21922</v>
      </c>
      <c r="F5092" t="s">
        <v>30056</v>
      </c>
      <c r="G5092" t="s">
        <v>30058</v>
      </c>
      <c r="H5092" t="s">
        <v>15498</v>
      </c>
      <c r="I5092" t="s">
        <v>30071</v>
      </c>
      <c r="J5092" t="s">
        <v>33443</v>
      </c>
      <c r="K5092" t="s">
        <v>39111</v>
      </c>
      <c r="M5092" t="s">
        <v>40906</v>
      </c>
      <c r="N5092" t="s">
        <v>43166</v>
      </c>
      <c r="O5092" t="s">
        <v>43167</v>
      </c>
      <c r="P5092">
        <v>0</v>
      </c>
      <c r="Q5092">
        <v>1</v>
      </c>
      <c r="R5092" t="s">
        <v>43172</v>
      </c>
      <c r="S5092" t="s">
        <v>43334</v>
      </c>
      <c r="T5092" t="s">
        <v>44905</v>
      </c>
      <c r="U5092" t="s">
        <v>49354</v>
      </c>
      <c r="W5092" t="s">
        <v>40906</v>
      </c>
      <c r="X5092" t="s">
        <v>43173</v>
      </c>
    </row>
    <row r="5093" spans="1:24">
      <c r="A5093">
        <f>HYPERLINK("https://www.philgeps.gov.ph/GEPSNONPILOT/Tender/SplashBidNoticeAbstractUI.aspx?menuIndex=3&amp;refID=7079112&amp;Result=3","7079112")</f>
        <v>0</v>
      </c>
      <c r="B5093" t="s">
        <v>1765</v>
      </c>
      <c r="C5093" t="s">
        <v>8281</v>
      </c>
      <c r="D5093" t="s">
        <v>17449</v>
      </c>
      <c r="E5093" t="s">
        <v>21923</v>
      </c>
      <c r="F5093" t="s">
        <v>30052</v>
      </c>
      <c r="G5093" t="s">
        <v>30059</v>
      </c>
      <c r="H5093" t="s">
        <v>15498</v>
      </c>
      <c r="I5093" t="s">
        <v>30076</v>
      </c>
      <c r="J5093" t="s">
        <v>33444</v>
      </c>
      <c r="K5093" t="s">
        <v>39025</v>
      </c>
      <c r="M5093" t="s">
        <v>41185</v>
      </c>
      <c r="N5093" t="s">
        <v>43166</v>
      </c>
      <c r="O5093" t="s">
        <v>43167</v>
      </c>
      <c r="P5093">
        <v>0</v>
      </c>
      <c r="Q5093">
        <v>1</v>
      </c>
      <c r="R5093" t="s">
        <v>43172</v>
      </c>
      <c r="S5093" t="s">
        <v>43334</v>
      </c>
      <c r="T5093" t="s">
        <v>44735</v>
      </c>
      <c r="U5093" t="s">
        <v>49355</v>
      </c>
      <c r="W5093" t="s">
        <v>41185</v>
      </c>
      <c r="X5093" t="s">
        <v>43173</v>
      </c>
    </row>
    <row r="5094" spans="1:24">
      <c r="A5094">
        <f>HYPERLINK("https://www.philgeps.gov.ph/GEPSNONPILOT/Tender/SplashBidNoticeAbstractUI.aspx?menuIndex=3&amp;refID=7079111&amp;Result=3","7079111")</f>
        <v>0</v>
      </c>
      <c r="B5094" t="s">
        <v>1736</v>
      </c>
      <c r="C5094" t="s">
        <v>8282</v>
      </c>
      <c r="D5094" t="s">
        <v>17444</v>
      </c>
      <c r="E5094" t="s">
        <v>21924</v>
      </c>
      <c r="F5094" t="s">
        <v>30052</v>
      </c>
      <c r="G5094" t="s">
        <v>30061</v>
      </c>
      <c r="H5094" t="s">
        <v>15498</v>
      </c>
      <c r="I5094" t="s">
        <v>30084</v>
      </c>
      <c r="J5094" t="s">
        <v>30398</v>
      </c>
      <c r="K5094" t="s">
        <v>39034</v>
      </c>
      <c r="M5094" t="s">
        <v>41153</v>
      </c>
      <c r="N5094" t="s">
        <v>43166</v>
      </c>
      <c r="O5094" t="s">
        <v>43167</v>
      </c>
      <c r="P5094">
        <v>0</v>
      </c>
      <c r="Q5094">
        <v>0</v>
      </c>
      <c r="R5094" t="s">
        <v>43172</v>
      </c>
      <c r="S5094" t="s">
        <v>43334</v>
      </c>
      <c r="T5094" t="s">
        <v>44717</v>
      </c>
      <c r="U5094" t="s">
        <v>49356</v>
      </c>
      <c r="W5094" t="s">
        <v>41153</v>
      </c>
      <c r="X5094" t="s">
        <v>43173</v>
      </c>
    </row>
    <row r="5095" spans="1:24">
      <c r="A5095">
        <f>HYPERLINK("https://www.philgeps.gov.ph/GEPSNONPILOT/Tender/SplashBidNoticeAbstractUI.aspx?menuIndex=3&amp;refID=7079105&amp;Result=3","7079105")</f>
        <v>0</v>
      </c>
      <c r="B5095" t="s">
        <v>1333</v>
      </c>
      <c r="C5095" t="s">
        <v>8283</v>
      </c>
      <c r="D5095" t="s">
        <v>17474</v>
      </c>
      <c r="E5095" t="s">
        <v>21925</v>
      </c>
      <c r="F5095" t="s">
        <v>30052</v>
      </c>
      <c r="G5095" t="s">
        <v>30058</v>
      </c>
      <c r="H5095" t="s">
        <v>30067</v>
      </c>
      <c r="I5095" t="s">
        <v>3693</v>
      </c>
      <c r="J5095" t="s">
        <v>30252</v>
      </c>
      <c r="K5095" t="s">
        <v>39054</v>
      </c>
      <c r="M5095" t="s">
        <v>40700</v>
      </c>
      <c r="N5095" t="s">
        <v>43166</v>
      </c>
      <c r="O5095" t="s">
        <v>43167</v>
      </c>
      <c r="P5095">
        <v>0</v>
      </c>
      <c r="Q5095">
        <v>1</v>
      </c>
      <c r="R5095" t="s">
        <v>43172</v>
      </c>
      <c r="S5095" t="s">
        <v>43334</v>
      </c>
      <c r="T5095" t="s">
        <v>44754</v>
      </c>
      <c r="U5095" t="s">
        <v>49357</v>
      </c>
      <c r="W5095" t="s">
        <v>40700</v>
      </c>
      <c r="X5095" t="s">
        <v>43173</v>
      </c>
    </row>
    <row r="5096" spans="1:24">
      <c r="A5096">
        <f>HYPERLINK("https://www.philgeps.gov.ph/GEPSNONPILOT/Tender/SplashBidNoticeAbstractUI.aspx?menuIndex=3&amp;refID=7079104&amp;Result=3","7079104")</f>
        <v>0</v>
      </c>
      <c r="B5096" t="s">
        <v>1751</v>
      </c>
      <c r="C5096" t="s">
        <v>8284</v>
      </c>
      <c r="E5096" t="s">
        <v>21892</v>
      </c>
      <c r="F5096" t="s">
        <v>30052</v>
      </c>
      <c r="G5096" t="s">
        <v>30058</v>
      </c>
      <c r="H5096" t="s">
        <v>15498</v>
      </c>
      <c r="I5096" t="s">
        <v>30076</v>
      </c>
      <c r="J5096" t="s">
        <v>30398</v>
      </c>
      <c r="K5096" t="s">
        <v>39025</v>
      </c>
      <c r="M5096" t="s">
        <v>41170</v>
      </c>
      <c r="N5096" t="s">
        <v>43166</v>
      </c>
      <c r="O5096" t="s">
        <v>43167</v>
      </c>
      <c r="P5096">
        <v>0</v>
      </c>
      <c r="Q5096">
        <v>1</v>
      </c>
      <c r="R5096" t="s">
        <v>43172</v>
      </c>
      <c r="S5096" t="s">
        <v>43334</v>
      </c>
      <c r="T5096" t="s">
        <v>44873</v>
      </c>
      <c r="U5096" t="s">
        <v>49319</v>
      </c>
      <c r="W5096" t="s">
        <v>41170</v>
      </c>
      <c r="X5096" t="s">
        <v>43173</v>
      </c>
    </row>
    <row r="5097" spans="1:24">
      <c r="A5097">
        <f>HYPERLINK("https://www.philgeps.gov.ph/GEPSNONPILOT/Tender/SplashBidNoticeAbstractUI.aspx?menuIndex=3&amp;refID=7079103&amp;Result=3","7079103")</f>
        <v>0</v>
      </c>
      <c r="B5097" t="s">
        <v>1411</v>
      </c>
      <c r="C5097" t="s">
        <v>8285</v>
      </c>
      <c r="D5097" t="s">
        <v>17416</v>
      </c>
      <c r="E5097" t="s">
        <v>17979</v>
      </c>
      <c r="F5097" t="s">
        <v>30052</v>
      </c>
      <c r="G5097" t="s">
        <v>30058</v>
      </c>
      <c r="H5097" t="s">
        <v>30067</v>
      </c>
      <c r="I5097" t="s">
        <v>3736</v>
      </c>
      <c r="J5097" t="s">
        <v>30321</v>
      </c>
      <c r="K5097" t="s">
        <v>39017</v>
      </c>
      <c r="M5097" t="s">
        <v>40789</v>
      </c>
      <c r="N5097" t="s">
        <v>43166</v>
      </c>
      <c r="O5097" t="s">
        <v>43167</v>
      </c>
      <c r="P5097">
        <v>0</v>
      </c>
      <c r="Q5097">
        <v>0</v>
      </c>
      <c r="R5097" t="s">
        <v>43172</v>
      </c>
      <c r="S5097" t="s">
        <v>43334</v>
      </c>
      <c r="T5097" t="s">
        <v>44784</v>
      </c>
      <c r="U5097" t="s">
        <v>49358</v>
      </c>
      <c r="V5097" t="s">
        <v>57401</v>
      </c>
      <c r="W5097" t="s">
        <v>40789</v>
      </c>
      <c r="X5097" t="s">
        <v>43173</v>
      </c>
    </row>
    <row r="5098" spans="1:24">
      <c r="A5098">
        <f>HYPERLINK("https://www.philgeps.gov.ph/GEPSNONPILOT/Tender/SplashBidNoticeAbstractUI.aspx?menuIndex=3&amp;refID=7079102&amp;Result=3","7079102")</f>
        <v>0</v>
      </c>
      <c r="B5098" t="s">
        <v>107</v>
      </c>
      <c r="C5098" t="s">
        <v>8286</v>
      </c>
      <c r="D5098" t="s">
        <v>17448</v>
      </c>
      <c r="E5098" t="s">
        <v>21926</v>
      </c>
      <c r="F5098" t="s">
        <v>30052</v>
      </c>
      <c r="G5098" t="s">
        <v>30059</v>
      </c>
      <c r="H5098" t="s">
        <v>15498</v>
      </c>
      <c r="I5098" t="s">
        <v>9238</v>
      </c>
      <c r="J5098" t="s">
        <v>30377</v>
      </c>
      <c r="K5098" t="s">
        <v>39025</v>
      </c>
      <c r="M5098" t="s">
        <v>39396</v>
      </c>
      <c r="N5098" t="s">
        <v>43166</v>
      </c>
      <c r="O5098" t="s">
        <v>43167</v>
      </c>
      <c r="P5098">
        <v>0</v>
      </c>
      <c r="Q5098">
        <v>17</v>
      </c>
      <c r="R5098" t="s">
        <v>43172</v>
      </c>
      <c r="S5098" t="s">
        <v>43334</v>
      </c>
      <c r="T5098" t="s">
        <v>44862</v>
      </c>
      <c r="U5098" t="s">
        <v>49359</v>
      </c>
      <c r="W5098" t="s">
        <v>39396</v>
      </c>
      <c r="X5098" t="s">
        <v>43173</v>
      </c>
    </row>
    <row r="5099" spans="1:24">
      <c r="A5099">
        <f>HYPERLINK("https://www.philgeps.gov.ph/GEPSNONPILOT/Tender/SplashBidNoticeAbstractUI.aspx?menuIndex=3&amp;refID=7079100&amp;Result=3","7079100")</f>
        <v>0</v>
      </c>
      <c r="B5099" t="s">
        <v>1727</v>
      </c>
      <c r="C5099" t="s">
        <v>8287</v>
      </c>
      <c r="D5099" t="s">
        <v>17436</v>
      </c>
      <c r="E5099" t="s">
        <v>21927</v>
      </c>
      <c r="F5099" t="s">
        <v>30052</v>
      </c>
      <c r="G5099" t="s">
        <v>30058</v>
      </c>
      <c r="H5099" t="s">
        <v>15498</v>
      </c>
      <c r="I5099" t="s">
        <v>30070</v>
      </c>
      <c r="J5099" t="s">
        <v>33445</v>
      </c>
      <c r="K5099" t="s">
        <v>39034</v>
      </c>
      <c r="M5099" t="s">
        <v>41144</v>
      </c>
      <c r="N5099" t="s">
        <v>43166</v>
      </c>
      <c r="O5099" t="s">
        <v>43167</v>
      </c>
      <c r="P5099">
        <v>0</v>
      </c>
      <c r="Q5099">
        <v>0</v>
      </c>
      <c r="R5099" t="s">
        <v>43172</v>
      </c>
      <c r="S5099" t="s">
        <v>43334</v>
      </c>
      <c r="T5099" t="s">
        <v>44818</v>
      </c>
      <c r="U5099" t="s">
        <v>49360</v>
      </c>
      <c r="W5099" t="s">
        <v>41144</v>
      </c>
      <c r="X5099" t="s">
        <v>43173</v>
      </c>
    </row>
    <row r="5100" spans="1:24">
      <c r="A5100">
        <f>HYPERLINK("https://www.philgeps.gov.ph/GEPSNONPILOT/Tender/SplashBidNoticeAbstractUI.aspx?menuIndex=3&amp;refID=7079118&amp;Result=3","7079118")</f>
        <v>0</v>
      </c>
      <c r="B5100" t="s">
        <v>1356</v>
      </c>
      <c r="C5100" t="s">
        <v>8288</v>
      </c>
      <c r="D5100" t="s">
        <v>17445</v>
      </c>
      <c r="E5100" t="s">
        <v>21928</v>
      </c>
      <c r="F5100" t="s">
        <v>30052</v>
      </c>
      <c r="G5100" t="s">
        <v>30059</v>
      </c>
      <c r="H5100" t="s">
        <v>15498</v>
      </c>
      <c r="I5100" t="s">
        <v>30098</v>
      </c>
      <c r="J5100" t="s">
        <v>30230</v>
      </c>
      <c r="K5100" t="s">
        <v>39018</v>
      </c>
      <c r="M5100" t="s">
        <v>40725</v>
      </c>
      <c r="N5100" t="s">
        <v>43166</v>
      </c>
      <c r="O5100" t="s">
        <v>43167</v>
      </c>
      <c r="P5100">
        <v>0</v>
      </c>
      <c r="Q5100">
        <v>2</v>
      </c>
      <c r="R5100" t="s">
        <v>43172</v>
      </c>
      <c r="S5100" t="s">
        <v>43334</v>
      </c>
      <c r="T5100" t="s">
        <v>44777</v>
      </c>
      <c r="U5100" t="s">
        <v>49361</v>
      </c>
      <c r="W5100" t="s">
        <v>40725</v>
      </c>
      <c r="X5100" t="s">
        <v>43173</v>
      </c>
    </row>
    <row r="5101" spans="1:24">
      <c r="A5101">
        <f>HYPERLINK("https://www.philgeps.gov.ph/GEPSNONPILOT/Tender/SplashBidNoticeAbstractUI.aspx?menuIndex=3&amp;refID=7079068&amp;Result=3","7079068")</f>
        <v>0</v>
      </c>
      <c r="B5101" t="s">
        <v>1766</v>
      </c>
      <c r="C5101" t="s">
        <v>8289</v>
      </c>
      <c r="D5101" t="s">
        <v>17466</v>
      </c>
      <c r="E5101" t="s">
        <v>21929</v>
      </c>
      <c r="F5101" t="s">
        <v>30052</v>
      </c>
      <c r="G5101" t="s">
        <v>30058</v>
      </c>
      <c r="H5101" t="s">
        <v>30067</v>
      </c>
      <c r="I5101" t="s">
        <v>3693</v>
      </c>
      <c r="J5101" t="s">
        <v>31851</v>
      </c>
      <c r="K5101" t="s">
        <v>39147</v>
      </c>
      <c r="M5101" t="s">
        <v>41186</v>
      </c>
      <c r="N5101" t="s">
        <v>43166</v>
      </c>
      <c r="O5101" t="s">
        <v>43167</v>
      </c>
      <c r="P5101">
        <v>0</v>
      </c>
      <c r="Q5101">
        <v>1</v>
      </c>
      <c r="R5101" t="s">
        <v>43172</v>
      </c>
      <c r="S5101" t="s">
        <v>43334</v>
      </c>
      <c r="T5101" t="s">
        <v>44936</v>
      </c>
      <c r="U5101" t="s">
        <v>49362</v>
      </c>
      <c r="W5101" t="s">
        <v>41186</v>
      </c>
      <c r="X5101" t="s">
        <v>43173</v>
      </c>
    </row>
    <row r="5102" spans="1:24">
      <c r="A5102">
        <f>HYPERLINK("https://www.philgeps.gov.ph/GEPSNONPILOT/Tender/SplashBidNoticeAbstractUI.aspx?menuIndex=3&amp;refID=7079123&amp;Result=3","7079123")</f>
        <v>0</v>
      </c>
      <c r="B5102" t="s">
        <v>757</v>
      </c>
      <c r="C5102" t="s">
        <v>8290</v>
      </c>
      <c r="D5102" t="s">
        <v>17462</v>
      </c>
      <c r="E5102" t="s">
        <v>21930</v>
      </c>
      <c r="F5102" t="s">
        <v>30052</v>
      </c>
      <c r="G5102" t="s">
        <v>30058</v>
      </c>
      <c r="H5102" t="s">
        <v>30067</v>
      </c>
      <c r="I5102" t="s">
        <v>3693</v>
      </c>
      <c r="J5102" t="s">
        <v>33446</v>
      </c>
      <c r="K5102" t="s">
        <v>39057</v>
      </c>
      <c r="M5102" t="s">
        <v>40071</v>
      </c>
      <c r="N5102" t="s">
        <v>43166</v>
      </c>
      <c r="O5102" t="s">
        <v>43167</v>
      </c>
      <c r="P5102">
        <v>0</v>
      </c>
      <c r="Q5102">
        <v>0</v>
      </c>
      <c r="R5102" t="s">
        <v>43172</v>
      </c>
      <c r="S5102" t="s">
        <v>43334</v>
      </c>
      <c r="T5102" t="s">
        <v>44966</v>
      </c>
      <c r="U5102" t="s">
        <v>49205</v>
      </c>
      <c r="W5102" t="s">
        <v>40071</v>
      </c>
      <c r="X5102" t="s">
        <v>43173</v>
      </c>
    </row>
    <row r="5103" spans="1:24">
      <c r="A5103">
        <f>HYPERLINK("https://www.philgeps.gov.ph/GEPSNONPILOT/Tender/SplashBidNoticeAbstractUI.aspx?menuIndex=3&amp;refID=7079176&amp;Result=3","7079176")</f>
        <v>0</v>
      </c>
      <c r="B5103" t="s">
        <v>1766</v>
      </c>
      <c r="C5103" t="s">
        <v>8291</v>
      </c>
      <c r="D5103" t="s">
        <v>17466</v>
      </c>
      <c r="E5103" t="s">
        <v>21931</v>
      </c>
      <c r="F5103" t="s">
        <v>30052</v>
      </c>
      <c r="G5103" t="s">
        <v>30058</v>
      </c>
      <c r="H5103" t="s">
        <v>30067</v>
      </c>
      <c r="I5103" t="s">
        <v>3693</v>
      </c>
      <c r="J5103" t="s">
        <v>31851</v>
      </c>
      <c r="K5103" t="s">
        <v>39147</v>
      </c>
      <c r="M5103" t="s">
        <v>41186</v>
      </c>
      <c r="N5103" t="s">
        <v>43166</v>
      </c>
      <c r="O5103" t="s">
        <v>43167</v>
      </c>
      <c r="P5103">
        <v>0</v>
      </c>
      <c r="Q5103">
        <v>2</v>
      </c>
      <c r="R5103" t="s">
        <v>43172</v>
      </c>
      <c r="S5103" t="s">
        <v>43334</v>
      </c>
      <c r="T5103" t="s">
        <v>44936</v>
      </c>
      <c r="U5103" t="s">
        <v>49363</v>
      </c>
      <c r="W5103" t="s">
        <v>41186</v>
      </c>
      <c r="X5103" t="s">
        <v>43173</v>
      </c>
    </row>
    <row r="5104" spans="1:24">
      <c r="A5104">
        <f>HYPERLINK("https://www.philgeps.gov.ph/GEPSNONPILOT/Tender/SplashBidNoticeAbstractUI.aspx?menuIndex=3&amp;refID=7079129&amp;Result=3","7079129")</f>
        <v>0</v>
      </c>
      <c r="B5104" t="s">
        <v>1754</v>
      </c>
      <c r="C5104" t="s">
        <v>8292</v>
      </c>
      <c r="D5104" t="s">
        <v>17415</v>
      </c>
      <c r="E5104" t="s">
        <v>21932</v>
      </c>
      <c r="F5104" t="s">
        <v>30052</v>
      </c>
      <c r="G5104" t="s">
        <v>30058</v>
      </c>
      <c r="H5104" t="s">
        <v>15498</v>
      </c>
      <c r="I5104" t="s">
        <v>30103</v>
      </c>
      <c r="J5104" t="s">
        <v>33447</v>
      </c>
      <c r="K5104" t="s">
        <v>39018</v>
      </c>
      <c r="M5104" t="s">
        <v>41174</v>
      </c>
      <c r="N5104" t="s">
        <v>43166</v>
      </c>
      <c r="O5104" t="s">
        <v>43167</v>
      </c>
      <c r="P5104">
        <v>0</v>
      </c>
      <c r="Q5104">
        <v>0</v>
      </c>
      <c r="R5104" t="s">
        <v>43172</v>
      </c>
      <c r="S5104" t="s">
        <v>43334</v>
      </c>
      <c r="T5104" t="s">
        <v>44743</v>
      </c>
      <c r="U5104" t="s">
        <v>46667</v>
      </c>
      <c r="W5104" t="s">
        <v>41174</v>
      </c>
      <c r="X5104" t="s">
        <v>43173</v>
      </c>
    </row>
    <row r="5105" spans="1:24">
      <c r="A5105">
        <f>HYPERLINK("https://www.philgeps.gov.ph/GEPSNONPILOT/Tender/SplashBidNoticeAbstractUI.aspx?menuIndex=3&amp;refID=7079175&amp;Result=3","7079175")</f>
        <v>0</v>
      </c>
      <c r="B5105" t="s">
        <v>757</v>
      </c>
      <c r="C5105" t="s">
        <v>8293</v>
      </c>
      <c r="D5105" t="s">
        <v>17462</v>
      </c>
      <c r="E5105" t="s">
        <v>21930</v>
      </c>
      <c r="F5105" t="s">
        <v>30052</v>
      </c>
      <c r="G5105" t="s">
        <v>30058</v>
      </c>
      <c r="H5105" t="s">
        <v>30067</v>
      </c>
      <c r="I5105" t="s">
        <v>3693</v>
      </c>
      <c r="J5105" t="s">
        <v>33448</v>
      </c>
      <c r="K5105" t="s">
        <v>39057</v>
      </c>
      <c r="M5105" t="s">
        <v>40071</v>
      </c>
      <c r="N5105" t="s">
        <v>43166</v>
      </c>
      <c r="O5105" t="s">
        <v>43167</v>
      </c>
      <c r="P5105">
        <v>0</v>
      </c>
      <c r="Q5105">
        <v>1</v>
      </c>
      <c r="R5105" t="s">
        <v>43172</v>
      </c>
      <c r="S5105" t="s">
        <v>43334</v>
      </c>
      <c r="T5105" t="s">
        <v>44966</v>
      </c>
      <c r="U5105" t="s">
        <v>49205</v>
      </c>
      <c r="W5105" t="s">
        <v>40071</v>
      </c>
      <c r="X5105" t="s">
        <v>43173</v>
      </c>
    </row>
    <row r="5106" spans="1:24">
      <c r="A5106">
        <f>HYPERLINK("https://www.philgeps.gov.ph/GEPSNONPILOT/Tender/SplashBidNoticeAbstractUI.aspx?menuIndex=3&amp;refID=7079173&amp;Result=3","7079173")</f>
        <v>0</v>
      </c>
      <c r="B5106" t="s">
        <v>188</v>
      </c>
      <c r="C5106" t="s">
        <v>8294</v>
      </c>
      <c r="D5106" t="s">
        <v>17422</v>
      </c>
      <c r="E5106" t="s">
        <v>21933</v>
      </c>
      <c r="F5106" t="s">
        <v>30052</v>
      </c>
      <c r="G5106" t="s">
        <v>30058</v>
      </c>
      <c r="H5106" t="s">
        <v>15498</v>
      </c>
      <c r="I5106" t="s">
        <v>3736</v>
      </c>
      <c r="J5106" t="s">
        <v>33449</v>
      </c>
      <c r="K5106" t="s">
        <v>39029</v>
      </c>
      <c r="M5106" t="s">
        <v>39477</v>
      </c>
      <c r="N5106" t="s">
        <v>43166</v>
      </c>
      <c r="O5106" t="s">
        <v>43167</v>
      </c>
      <c r="P5106">
        <v>0</v>
      </c>
      <c r="Q5106">
        <v>2</v>
      </c>
      <c r="R5106" t="s">
        <v>43172</v>
      </c>
      <c r="S5106" t="s">
        <v>43334</v>
      </c>
      <c r="T5106" t="s">
        <v>44691</v>
      </c>
      <c r="U5106" t="s">
        <v>49352</v>
      </c>
      <c r="W5106" t="s">
        <v>39477</v>
      </c>
      <c r="X5106" t="s">
        <v>43173</v>
      </c>
    </row>
    <row r="5107" spans="1:24">
      <c r="A5107">
        <f>HYPERLINK("https://www.philgeps.gov.ph/GEPSNONPILOT/Tender/SplashBidNoticeAbstractUI.aspx?menuIndex=3&amp;refID=7079172&amp;Result=3","7079172")</f>
        <v>0</v>
      </c>
      <c r="B5107" t="s">
        <v>417</v>
      </c>
      <c r="C5107" t="s">
        <v>8295</v>
      </c>
      <c r="D5107" t="s">
        <v>17416</v>
      </c>
      <c r="E5107" t="s">
        <v>21934</v>
      </c>
      <c r="F5107" t="s">
        <v>30052</v>
      </c>
      <c r="G5107" t="s">
        <v>30059</v>
      </c>
      <c r="H5107" t="s">
        <v>15498</v>
      </c>
      <c r="I5107" t="s">
        <v>9238</v>
      </c>
      <c r="J5107" t="s">
        <v>33450</v>
      </c>
      <c r="K5107" t="s">
        <v>39029</v>
      </c>
      <c r="M5107" t="s">
        <v>39716</v>
      </c>
      <c r="N5107" t="s">
        <v>43166</v>
      </c>
      <c r="O5107" t="s">
        <v>43167</v>
      </c>
      <c r="P5107">
        <v>0</v>
      </c>
      <c r="Q5107">
        <v>13</v>
      </c>
      <c r="R5107" t="s">
        <v>43172</v>
      </c>
      <c r="S5107" t="s">
        <v>43334</v>
      </c>
      <c r="T5107" t="s">
        <v>44691</v>
      </c>
      <c r="U5107" t="s">
        <v>49364</v>
      </c>
      <c r="W5107" t="s">
        <v>39716</v>
      </c>
      <c r="X5107" t="s">
        <v>43173</v>
      </c>
    </row>
    <row r="5108" spans="1:24">
      <c r="A5108">
        <f>HYPERLINK("https://www.philgeps.gov.ph/GEPSNONPILOT/Tender/SplashBidNoticeAbstractUI.aspx?menuIndex=3&amp;refID=7079125&amp;Result=3","7079125")</f>
        <v>0</v>
      </c>
      <c r="B5108" t="s">
        <v>1767</v>
      </c>
      <c r="C5108" t="s">
        <v>8296</v>
      </c>
      <c r="D5108" t="s">
        <v>17435</v>
      </c>
      <c r="E5108" t="s">
        <v>17540</v>
      </c>
      <c r="F5108" t="s">
        <v>30052</v>
      </c>
      <c r="G5108" t="s">
        <v>30058</v>
      </c>
      <c r="H5108" t="s">
        <v>15498</v>
      </c>
      <c r="I5108" t="s">
        <v>4642</v>
      </c>
      <c r="J5108" t="s">
        <v>33451</v>
      </c>
      <c r="K5108" t="s">
        <v>39017</v>
      </c>
      <c r="M5108" t="s">
        <v>41187</v>
      </c>
      <c r="N5108" t="s">
        <v>43166</v>
      </c>
      <c r="O5108" t="s">
        <v>43167</v>
      </c>
      <c r="P5108">
        <v>0</v>
      </c>
      <c r="Q5108">
        <v>1</v>
      </c>
      <c r="R5108" t="s">
        <v>43172</v>
      </c>
      <c r="S5108" t="s">
        <v>43334</v>
      </c>
      <c r="T5108" t="s">
        <v>44787</v>
      </c>
      <c r="U5108" t="s">
        <v>49365</v>
      </c>
      <c r="W5108" t="s">
        <v>41187</v>
      </c>
      <c r="X5108" t="s">
        <v>43173</v>
      </c>
    </row>
    <row r="5109" spans="1:24">
      <c r="A5109">
        <f>HYPERLINK("https://www.philgeps.gov.ph/GEPSNONPILOT/Tender/SplashBidNoticeAbstractUI.aspx?menuIndex=3&amp;refID=7079179&amp;Result=3","7079179")</f>
        <v>0</v>
      </c>
      <c r="B5109" t="s">
        <v>1768</v>
      </c>
      <c r="C5109" t="s">
        <v>8297</v>
      </c>
      <c r="E5109" t="s">
        <v>21935</v>
      </c>
      <c r="F5109" t="s">
        <v>30052</v>
      </c>
      <c r="G5109" t="s">
        <v>30059</v>
      </c>
      <c r="H5109" t="s">
        <v>30068</v>
      </c>
      <c r="I5109" t="s">
        <v>30068</v>
      </c>
      <c r="J5109" t="s">
        <v>31113</v>
      </c>
      <c r="K5109" t="s">
        <v>39025</v>
      </c>
      <c r="M5109" t="s">
        <v>41188</v>
      </c>
      <c r="N5109" t="s">
        <v>43166</v>
      </c>
      <c r="O5109" t="s">
        <v>43167</v>
      </c>
      <c r="P5109">
        <v>0</v>
      </c>
      <c r="Q5109">
        <v>3</v>
      </c>
      <c r="R5109" t="s">
        <v>43172</v>
      </c>
      <c r="S5109" t="s">
        <v>43334</v>
      </c>
      <c r="T5109" t="s">
        <v>44894</v>
      </c>
      <c r="U5109" t="s">
        <v>49366</v>
      </c>
      <c r="W5109" t="s">
        <v>41188</v>
      </c>
      <c r="X5109" t="s">
        <v>43173</v>
      </c>
    </row>
    <row r="5110" spans="1:24">
      <c r="A5110">
        <f>HYPERLINK("https://www.philgeps.gov.ph/GEPSNONPILOT/Tender/SplashBidNoticeAbstractUI.aspx?menuIndex=3&amp;refID=7079168&amp;Result=3","7079168")</f>
        <v>0</v>
      </c>
      <c r="B5110" t="s">
        <v>1736</v>
      </c>
      <c r="C5110" t="s">
        <v>8210</v>
      </c>
      <c r="D5110" t="s">
        <v>17444</v>
      </c>
      <c r="E5110" t="s">
        <v>21936</v>
      </c>
      <c r="F5110" t="s">
        <v>30052</v>
      </c>
      <c r="G5110" t="s">
        <v>30061</v>
      </c>
      <c r="H5110" t="s">
        <v>15498</v>
      </c>
      <c r="I5110" t="s">
        <v>4119</v>
      </c>
      <c r="J5110" t="s">
        <v>30763</v>
      </c>
      <c r="K5110" t="s">
        <v>39034</v>
      </c>
      <c r="M5110" t="s">
        <v>41153</v>
      </c>
      <c r="N5110" t="s">
        <v>43166</v>
      </c>
      <c r="O5110" t="s">
        <v>43167</v>
      </c>
      <c r="P5110">
        <v>0</v>
      </c>
      <c r="Q5110">
        <v>0</v>
      </c>
      <c r="R5110" t="s">
        <v>43172</v>
      </c>
      <c r="S5110" t="s">
        <v>43334</v>
      </c>
      <c r="T5110" t="s">
        <v>44717</v>
      </c>
      <c r="U5110" t="s">
        <v>49367</v>
      </c>
      <c r="W5110" t="s">
        <v>41153</v>
      </c>
      <c r="X5110" t="s">
        <v>43173</v>
      </c>
    </row>
    <row r="5111" spans="1:24">
      <c r="A5111">
        <f>HYPERLINK("https://www.philgeps.gov.ph/GEPSNONPILOT/Tender/SplashBidNoticeAbstractUI.aspx?menuIndex=3&amp;refID=7079166&amp;Result=3","7079166")</f>
        <v>0</v>
      </c>
      <c r="B5111" t="s">
        <v>1769</v>
      </c>
      <c r="C5111" t="s">
        <v>8298</v>
      </c>
      <c r="D5111" t="s">
        <v>17499</v>
      </c>
      <c r="E5111" t="s">
        <v>21937</v>
      </c>
      <c r="F5111" t="s">
        <v>30052</v>
      </c>
      <c r="G5111" t="s">
        <v>30059</v>
      </c>
      <c r="H5111" t="s">
        <v>15498</v>
      </c>
      <c r="I5111" t="s">
        <v>30187</v>
      </c>
      <c r="J5111" t="s">
        <v>30743</v>
      </c>
      <c r="K5111" t="s">
        <v>39034</v>
      </c>
      <c r="M5111" t="s">
        <v>41189</v>
      </c>
      <c r="N5111" t="s">
        <v>43166</v>
      </c>
      <c r="O5111" t="s">
        <v>43167</v>
      </c>
      <c r="P5111">
        <v>0</v>
      </c>
      <c r="Q5111">
        <v>0</v>
      </c>
      <c r="R5111" t="s">
        <v>43172</v>
      </c>
      <c r="S5111" t="s">
        <v>43334</v>
      </c>
      <c r="T5111" t="s">
        <v>44720</v>
      </c>
      <c r="U5111" t="s">
        <v>49368</v>
      </c>
      <c r="W5111" t="s">
        <v>41189</v>
      </c>
      <c r="X5111" t="s">
        <v>43173</v>
      </c>
    </row>
    <row r="5112" spans="1:24">
      <c r="A5112">
        <f>HYPERLINK("https://www.philgeps.gov.ph/GEPSNONPILOT/Tender/SplashBidNoticeAbstractUI.aspx?menuIndex=3&amp;refID=7079160&amp;Result=3","7079160")</f>
        <v>0</v>
      </c>
      <c r="B5112" t="s">
        <v>1770</v>
      </c>
      <c r="C5112" t="s">
        <v>3461</v>
      </c>
      <c r="D5112" t="s">
        <v>17417</v>
      </c>
      <c r="E5112" t="s">
        <v>21938</v>
      </c>
      <c r="F5112" t="s">
        <v>30052</v>
      </c>
      <c r="G5112" t="s">
        <v>30058</v>
      </c>
      <c r="H5112" t="s">
        <v>30067</v>
      </c>
      <c r="I5112" t="s">
        <v>30075</v>
      </c>
      <c r="J5112" t="s">
        <v>30287</v>
      </c>
      <c r="K5112" t="s">
        <v>39036</v>
      </c>
      <c r="M5112" t="s">
        <v>41190</v>
      </c>
      <c r="N5112" t="s">
        <v>43166</v>
      </c>
      <c r="O5112" t="s">
        <v>43167</v>
      </c>
      <c r="P5112">
        <v>0</v>
      </c>
      <c r="Q5112">
        <v>1</v>
      </c>
      <c r="R5112" t="s">
        <v>43172</v>
      </c>
      <c r="S5112" t="s">
        <v>43334</v>
      </c>
      <c r="T5112" t="s">
        <v>44698</v>
      </c>
      <c r="U5112" t="s">
        <v>49369</v>
      </c>
      <c r="W5112" t="s">
        <v>41190</v>
      </c>
      <c r="X5112" t="s">
        <v>43173</v>
      </c>
    </row>
    <row r="5113" spans="1:24">
      <c r="A5113">
        <f>HYPERLINK("https://www.philgeps.gov.ph/GEPSNONPILOT/Tender/SplashBidNoticeAbstractUI.aspx?menuIndex=3&amp;refID=7079155&amp;Result=3","7079155")</f>
        <v>0</v>
      </c>
      <c r="B5113" t="s">
        <v>1771</v>
      </c>
      <c r="C5113" t="s">
        <v>8299</v>
      </c>
      <c r="D5113" t="s">
        <v>17447</v>
      </c>
      <c r="E5113" t="s">
        <v>18038</v>
      </c>
      <c r="F5113" t="s">
        <v>30052</v>
      </c>
      <c r="G5113" t="s">
        <v>30058</v>
      </c>
      <c r="H5113" t="s">
        <v>15498</v>
      </c>
      <c r="I5113" t="s">
        <v>3736</v>
      </c>
      <c r="J5113" t="s">
        <v>31849</v>
      </c>
      <c r="K5113" t="s">
        <v>39018</v>
      </c>
      <c r="M5113" t="s">
        <v>41191</v>
      </c>
      <c r="N5113" t="s">
        <v>43166</v>
      </c>
      <c r="O5113" t="s">
        <v>43167</v>
      </c>
      <c r="P5113">
        <v>0</v>
      </c>
      <c r="Q5113">
        <v>0</v>
      </c>
      <c r="R5113" t="s">
        <v>43172</v>
      </c>
      <c r="S5113" t="s">
        <v>43334</v>
      </c>
      <c r="T5113" t="s">
        <v>44732</v>
      </c>
      <c r="U5113" t="s">
        <v>49370</v>
      </c>
      <c r="V5113" t="s">
        <v>57402</v>
      </c>
      <c r="W5113" t="s">
        <v>41191</v>
      </c>
      <c r="X5113" t="s">
        <v>43173</v>
      </c>
    </row>
    <row r="5114" spans="1:24">
      <c r="A5114">
        <f>HYPERLINK("https://www.philgeps.gov.ph/GEPSNONPILOT/Tender/SplashBidNoticeAbstractUI.aspx?menuIndex=3&amp;refID=7079114&amp;Result=3","7079114")</f>
        <v>0</v>
      </c>
      <c r="B5114" t="s">
        <v>1762</v>
      </c>
      <c r="C5114" t="s">
        <v>8300</v>
      </c>
      <c r="D5114" t="s">
        <v>17474</v>
      </c>
      <c r="E5114" t="s">
        <v>21915</v>
      </c>
      <c r="F5114" t="s">
        <v>30052</v>
      </c>
      <c r="G5114" t="s">
        <v>30059</v>
      </c>
      <c r="H5114" t="s">
        <v>15498</v>
      </c>
      <c r="I5114" t="s">
        <v>30113</v>
      </c>
      <c r="J5114" t="s">
        <v>33409</v>
      </c>
      <c r="K5114" t="s">
        <v>39029</v>
      </c>
      <c r="M5114" t="s">
        <v>41182</v>
      </c>
      <c r="N5114" t="s">
        <v>43166</v>
      </c>
      <c r="O5114" t="s">
        <v>43167</v>
      </c>
      <c r="P5114">
        <v>0</v>
      </c>
      <c r="Q5114">
        <v>2</v>
      </c>
      <c r="R5114" t="s">
        <v>43172</v>
      </c>
      <c r="S5114" t="s">
        <v>43334</v>
      </c>
      <c r="T5114" t="s">
        <v>44698</v>
      </c>
      <c r="U5114" t="s">
        <v>49344</v>
      </c>
      <c r="V5114" t="s">
        <v>57403</v>
      </c>
      <c r="W5114" t="s">
        <v>41182</v>
      </c>
      <c r="X5114" t="s">
        <v>43173</v>
      </c>
    </row>
    <row r="5115" spans="1:24">
      <c r="A5115">
        <f>HYPERLINK("https://www.philgeps.gov.ph/GEPSNONPILOT/Tender/SplashBidNoticeAbstractUI.aspx?menuIndex=3&amp;refID=7079187&amp;Result=3","7079187")</f>
        <v>0</v>
      </c>
      <c r="B5115" t="s">
        <v>1772</v>
      </c>
      <c r="C5115" t="s">
        <v>8301</v>
      </c>
      <c r="D5115" t="s">
        <v>17425</v>
      </c>
      <c r="E5115" t="s">
        <v>21939</v>
      </c>
      <c r="F5115" t="s">
        <v>30052</v>
      </c>
      <c r="G5115" t="s">
        <v>30058</v>
      </c>
      <c r="H5115" t="s">
        <v>15498</v>
      </c>
      <c r="I5115" t="s">
        <v>30084</v>
      </c>
      <c r="J5115" t="s">
        <v>31644</v>
      </c>
      <c r="K5115" t="s">
        <v>39025</v>
      </c>
      <c r="M5115" t="s">
        <v>41192</v>
      </c>
      <c r="N5115" t="s">
        <v>43166</v>
      </c>
      <c r="O5115" t="s">
        <v>43167</v>
      </c>
      <c r="P5115">
        <v>0</v>
      </c>
      <c r="Q5115">
        <v>1</v>
      </c>
      <c r="R5115" t="s">
        <v>43172</v>
      </c>
      <c r="S5115" t="s">
        <v>43334</v>
      </c>
      <c r="T5115" t="s">
        <v>44710</v>
      </c>
      <c r="U5115" t="s">
        <v>49371</v>
      </c>
      <c r="W5115" t="s">
        <v>58655</v>
      </c>
      <c r="X5115" t="s">
        <v>43173</v>
      </c>
    </row>
    <row r="5116" spans="1:24">
      <c r="A5116">
        <f>HYPERLINK("https://www.philgeps.gov.ph/GEPSNONPILOT/Tender/SplashBidNoticeAbstractUI.aspx?menuIndex=3&amp;refID=7079174&amp;Result=3","7079174")</f>
        <v>0</v>
      </c>
      <c r="B5116" t="s">
        <v>1773</v>
      </c>
      <c r="C5116" t="s">
        <v>8302</v>
      </c>
      <c r="D5116" t="s">
        <v>17486</v>
      </c>
      <c r="E5116" t="s">
        <v>21940</v>
      </c>
      <c r="F5116" t="s">
        <v>30052</v>
      </c>
      <c r="G5116" t="s">
        <v>30058</v>
      </c>
      <c r="H5116" t="s">
        <v>15498</v>
      </c>
      <c r="I5116" t="s">
        <v>4119</v>
      </c>
      <c r="J5116" t="s">
        <v>33452</v>
      </c>
      <c r="K5116" t="s">
        <v>39019</v>
      </c>
      <c r="M5116" t="s">
        <v>41193</v>
      </c>
      <c r="N5116" t="s">
        <v>43166</v>
      </c>
      <c r="O5116" t="s">
        <v>43167</v>
      </c>
      <c r="P5116">
        <v>0</v>
      </c>
      <c r="Q5116">
        <v>2</v>
      </c>
      <c r="R5116" t="s">
        <v>43172</v>
      </c>
      <c r="S5116" t="s">
        <v>43334</v>
      </c>
      <c r="T5116" t="s">
        <v>44736</v>
      </c>
      <c r="U5116" t="s">
        <v>49372</v>
      </c>
      <c r="W5116" t="s">
        <v>41193</v>
      </c>
      <c r="X5116" t="s">
        <v>43173</v>
      </c>
    </row>
    <row r="5117" spans="1:24">
      <c r="A5117">
        <f>HYPERLINK("https://www.philgeps.gov.ph/GEPSNONPILOT/Tender/SplashBidNoticeAbstractUI.aspx?menuIndex=3&amp;refID=7079222&amp;Result=3","7079222")</f>
        <v>0</v>
      </c>
      <c r="B5117" t="s">
        <v>1774</v>
      </c>
      <c r="C5117" t="s">
        <v>8303</v>
      </c>
      <c r="D5117" t="s">
        <v>17477</v>
      </c>
      <c r="E5117" t="s">
        <v>21941</v>
      </c>
      <c r="F5117" t="s">
        <v>30052</v>
      </c>
      <c r="G5117" t="s">
        <v>30058</v>
      </c>
      <c r="H5117" t="s">
        <v>15498</v>
      </c>
      <c r="I5117" t="s">
        <v>6691</v>
      </c>
      <c r="J5117" t="s">
        <v>30337</v>
      </c>
      <c r="K5117" t="s">
        <v>39036</v>
      </c>
      <c r="M5117" t="s">
        <v>41194</v>
      </c>
      <c r="N5117" t="s">
        <v>43166</v>
      </c>
      <c r="O5117" t="s">
        <v>43167</v>
      </c>
      <c r="P5117">
        <v>0</v>
      </c>
      <c r="Q5117">
        <v>0</v>
      </c>
      <c r="R5117" t="s">
        <v>43172</v>
      </c>
      <c r="S5117" t="s">
        <v>43334</v>
      </c>
      <c r="T5117" t="s">
        <v>44698</v>
      </c>
      <c r="U5117" t="s">
        <v>49373</v>
      </c>
      <c r="W5117" t="s">
        <v>41194</v>
      </c>
      <c r="X5117" t="s">
        <v>43173</v>
      </c>
    </row>
    <row r="5118" spans="1:24">
      <c r="A5118">
        <f>HYPERLINK("https://www.philgeps.gov.ph/GEPSNONPILOT/Tender/SplashBidNoticeAbstractUI.aspx?menuIndex=3&amp;refID=7079170&amp;Result=3","7079170")</f>
        <v>0</v>
      </c>
      <c r="B5118" t="s">
        <v>219</v>
      </c>
      <c r="C5118" t="s">
        <v>3797</v>
      </c>
      <c r="D5118" t="s">
        <v>17482</v>
      </c>
      <c r="E5118" t="s">
        <v>21942</v>
      </c>
      <c r="F5118" t="s">
        <v>30052</v>
      </c>
      <c r="G5118" t="s">
        <v>30058</v>
      </c>
      <c r="H5118" t="s">
        <v>15498</v>
      </c>
      <c r="I5118" t="s">
        <v>3693</v>
      </c>
      <c r="J5118" t="s">
        <v>30230</v>
      </c>
      <c r="K5118" t="s">
        <v>39064</v>
      </c>
      <c r="M5118" t="s">
        <v>39509</v>
      </c>
      <c r="N5118" t="s">
        <v>43166</v>
      </c>
      <c r="O5118" t="s">
        <v>43167</v>
      </c>
      <c r="P5118">
        <v>0</v>
      </c>
      <c r="Q5118">
        <v>0</v>
      </c>
      <c r="R5118" t="s">
        <v>43172</v>
      </c>
      <c r="S5118" t="s">
        <v>43334</v>
      </c>
      <c r="T5118" t="s">
        <v>44750</v>
      </c>
      <c r="U5118" t="s">
        <v>49374</v>
      </c>
      <c r="W5118" t="s">
        <v>39509</v>
      </c>
      <c r="X5118" t="s">
        <v>43173</v>
      </c>
    </row>
    <row r="5119" spans="1:24">
      <c r="A5119">
        <f>HYPERLINK("https://www.philgeps.gov.ph/GEPSNONPILOT/Tender/SplashBidNoticeAbstractUI.aspx?menuIndex=3&amp;refID=7079180&amp;Result=3","7079180")</f>
        <v>0</v>
      </c>
      <c r="B5119" t="s">
        <v>1775</v>
      </c>
      <c r="C5119" t="s">
        <v>8304</v>
      </c>
      <c r="D5119" t="s">
        <v>17469</v>
      </c>
      <c r="E5119" t="s">
        <v>21943</v>
      </c>
      <c r="F5119" t="s">
        <v>30052</v>
      </c>
      <c r="G5119" t="s">
        <v>30058</v>
      </c>
      <c r="H5119" t="s">
        <v>15498</v>
      </c>
      <c r="I5119" t="s">
        <v>3736</v>
      </c>
      <c r="J5119" t="s">
        <v>30857</v>
      </c>
      <c r="K5119" t="s">
        <v>39029</v>
      </c>
      <c r="M5119" t="s">
        <v>41195</v>
      </c>
      <c r="N5119" t="s">
        <v>43166</v>
      </c>
      <c r="O5119" t="s">
        <v>43167</v>
      </c>
      <c r="P5119">
        <v>0</v>
      </c>
      <c r="Q5119">
        <v>0</v>
      </c>
      <c r="R5119" t="s">
        <v>43172</v>
      </c>
      <c r="S5119" t="s">
        <v>43334</v>
      </c>
      <c r="T5119" t="s">
        <v>44691</v>
      </c>
      <c r="U5119" t="s">
        <v>49375</v>
      </c>
      <c r="W5119" t="s">
        <v>41195</v>
      </c>
      <c r="X5119" t="s">
        <v>43173</v>
      </c>
    </row>
    <row r="5120" spans="1:24">
      <c r="A5120">
        <f>HYPERLINK("https://www.philgeps.gov.ph/GEPSNONPILOT/Tender/SplashBidNoticeAbstractUI.aspx?menuIndex=3&amp;refID=7079215&amp;Result=3","7079215")</f>
        <v>0</v>
      </c>
      <c r="B5120" t="s">
        <v>1776</v>
      </c>
      <c r="C5120" t="s">
        <v>8305</v>
      </c>
      <c r="D5120" t="s">
        <v>17443</v>
      </c>
      <c r="E5120" t="s">
        <v>21944</v>
      </c>
      <c r="F5120" t="s">
        <v>30052</v>
      </c>
      <c r="G5120" t="s">
        <v>30061</v>
      </c>
      <c r="H5120" t="s">
        <v>15498</v>
      </c>
      <c r="I5120" t="s">
        <v>30097</v>
      </c>
      <c r="J5120" t="s">
        <v>33453</v>
      </c>
      <c r="K5120" t="s">
        <v>39019</v>
      </c>
      <c r="M5120" t="s">
        <v>41196</v>
      </c>
      <c r="N5120" t="s">
        <v>43166</v>
      </c>
      <c r="O5120" t="s">
        <v>43167</v>
      </c>
      <c r="P5120">
        <v>0</v>
      </c>
      <c r="Q5120">
        <v>12</v>
      </c>
      <c r="R5120" t="s">
        <v>43172</v>
      </c>
      <c r="S5120" t="s">
        <v>43334</v>
      </c>
      <c r="T5120" t="s">
        <v>44715</v>
      </c>
      <c r="U5120" t="s">
        <v>49376</v>
      </c>
      <c r="V5120" t="s">
        <v>57404</v>
      </c>
      <c r="W5120" t="s">
        <v>41196</v>
      </c>
      <c r="X5120" t="s">
        <v>43173</v>
      </c>
    </row>
    <row r="5121" spans="1:24">
      <c r="A5121">
        <f>HYPERLINK("https://www.philgeps.gov.ph/GEPSNONPILOT/Tender/SplashBidNoticeAbstractUI.aspx?menuIndex=3&amp;refID=7079156&amp;Result=3","7079156")</f>
        <v>0</v>
      </c>
      <c r="B5121" t="s">
        <v>1291</v>
      </c>
      <c r="C5121" t="s">
        <v>8306</v>
      </c>
      <c r="D5121" t="s">
        <v>17464</v>
      </c>
      <c r="E5121" t="s">
        <v>21945</v>
      </c>
      <c r="F5121" t="s">
        <v>30052</v>
      </c>
      <c r="G5121" t="s">
        <v>30061</v>
      </c>
      <c r="H5121" t="s">
        <v>15498</v>
      </c>
      <c r="I5121" t="s">
        <v>3736</v>
      </c>
      <c r="J5121" t="s">
        <v>33454</v>
      </c>
      <c r="K5121" t="s">
        <v>39034</v>
      </c>
      <c r="M5121" t="s">
        <v>41173</v>
      </c>
      <c r="N5121" t="s">
        <v>43166</v>
      </c>
      <c r="O5121" t="s">
        <v>43167</v>
      </c>
      <c r="P5121">
        <v>0</v>
      </c>
      <c r="Q5121">
        <v>2</v>
      </c>
      <c r="R5121" t="s">
        <v>43172</v>
      </c>
      <c r="S5121" t="s">
        <v>43334</v>
      </c>
      <c r="T5121" t="s">
        <v>44717</v>
      </c>
      <c r="U5121" t="s">
        <v>49377</v>
      </c>
      <c r="W5121" t="s">
        <v>41173</v>
      </c>
      <c r="X5121" t="s">
        <v>43173</v>
      </c>
    </row>
    <row r="5122" spans="1:24">
      <c r="A5122">
        <f>HYPERLINK("https://www.philgeps.gov.ph/GEPSNONPILOT/Tender/SplashBidNoticeAbstractUI.aspx?menuIndex=3&amp;refID=7079208&amp;Result=3","7079208")</f>
        <v>0</v>
      </c>
      <c r="B5122" t="s">
        <v>1777</v>
      </c>
      <c r="C5122" t="s">
        <v>8307</v>
      </c>
      <c r="D5122" t="s">
        <v>17461</v>
      </c>
      <c r="E5122" t="s">
        <v>21946</v>
      </c>
      <c r="F5122" t="s">
        <v>30052</v>
      </c>
      <c r="G5122" t="s">
        <v>30059</v>
      </c>
      <c r="H5122" t="s">
        <v>15498</v>
      </c>
      <c r="I5122" t="s">
        <v>6691</v>
      </c>
      <c r="J5122" t="s">
        <v>33429</v>
      </c>
      <c r="K5122" t="s">
        <v>39029</v>
      </c>
      <c r="M5122" t="s">
        <v>41197</v>
      </c>
      <c r="N5122" t="s">
        <v>43166</v>
      </c>
      <c r="O5122" t="s">
        <v>43167</v>
      </c>
      <c r="P5122">
        <v>0</v>
      </c>
      <c r="Q5122">
        <v>0</v>
      </c>
      <c r="R5122" t="s">
        <v>43172</v>
      </c>
      <c r="S5122" t="s">
        <v>43334</v>
      </c>
      <c r="T5122" t="s">
        <v>44696</v>
      </c>
      <c r="U5122" t="s">
        <v>49378</v>
      </c>
      <c r="W5122" t="s">
        <v>41197</v>
      </c>
      <c r="X5122" t="s">
        <v>43173</v>
      </c>
    </row>
    <row r="5123" spans="1:24">
      <c r="A5123">
        <f>HYPERLINK("https://www.philgeps.gov.ph/GEPSNONPILOT/Tender/SplashBidNoticeAbstractUI.aspx?menuIndex=3&amp;refID=7079124&amp;Result=3","7079124")</f>
        <v>0</v>
      </c>
      <c r="B5123" t="s">
        <v>1778</v>
      </c>
      <c r="C5123" t="s">
        <v>8308</v>
      </c>
      <c r="D5123" t="s">
        <v>17416</v>
      </c>
      <c r="E5123" t="s">
        <v>21947</v>
      </c>
      <c r="F5123" t="s">
        <v>30052</v>
      </c>
      <c r="G5123" t="s">
        <v>30059</v>
      </c>
      <c r="H5123" t="s">
        <v>15498</v>
      </c>
      <c r="I5123" t="s">
        <v>4650</v>
      </c>
      <c r="J5123" t="s">
        <v>33455</v>
      </c>
      <c r="K5123" t="s">
        <v>39037</v>
      </c>
      <c r="M5123" t="s">
        <v>41198</v>
      </c>
      <c r="N5123" t="s">
        <v>43166</v>
      </c>
      <c r="O5123" t="s">
        <v>43167</v>
      </c>
      <c r="P5123">
        <v>0</v>
      </c>
      <c r="Q5123">
        <v>1</v>
      </c>
      <c r="R5123" t="s">
        <v>43172</v>
      </c>
      <c r="S5123" t="s">
        <v>43334</v>
      </c>
      <c r="T5123" t="s">
        <v>44698</v>
      </c>
      <c r="U5123" t="s">
        <v>49379</v>
      </c>
      <c r="W5123" t="s">
        <v>41198</v>
      </c>
      <c r="X5123" t="s">
        <v>43173</v>
      </c>
    </row>
    <row r="5124" spans="1:24">
      <c r="A5124">
        <f>HYPERLINK("https://www.philgeps.gov.ph/GEPSNONPILOT/Tender/SplashBidNoticeAbstractUI.aspx?menuIndex=3&amp;refID=7079203&amp;Result=3","7079203")</f>
        <v>0</v>
      </c>
      <c r="B5124" t="s">
        <v>1779</v>
      </c>
      <c r="C5124" t="s">
        <v>8309</v>
      </c>
      <c r="D5124" t="s">
        <v>17444</v>
      </c>
      <c r="E5124" t="s">
        <v>21948</v>
      </c>
      <c r="F5124" t="s">
        <v>30052</v>
      </c>
      <c r="G5124" t="s">
        <v>30060</v>
      </c>
      <c r="H5124" t="s">
        <v>15498</v>
      </c>
      <c r="I5124" t="s">
        <v>30073</v>
      </c>
      <c r="J5124" t="s">
        <v>33456</v>
      </c>
      <c r="K5124" t="s">
        <v>39048</v>
      </c>
      <c r="M5124" t="s">
        <v>41199</v>
      </c>
      <c r="N5124" t="s">
        <v>43166</v>
      </c>
      <c r="O5124" t="s">
        <v>43167</v>
      </c>
      <c r="P5124">
        <v>0</v>
      </c>
      <c r="Q5124">
        <v>0</v>
      </c>
      <c r="R5124" t="s">
        <v>43172</v>
      </c>
      <c r="S5124" t="s">
        <v>43334</v>
      </c>
      <c r="T5124" t="s">
        <v>44698</v>
      </c>
      <c r="U5124" t="s">
        <v>49380</v>
      </c>
      <c r="V5124" t="s">
        <v>57405</v>
      </c>
      <c r="W5124" t="s">
        <v>41199</v>
      </c>
      <c r="X5124" t="s">
        <v>43173</v>
      </c>
    </row>
    <row r="5125" spans="1:24">
      <c r="A5125">
        <f>HYPERLINK("https://www.philgeps.gov.ph/GEPSNONPILOT/Tender/SplashBidNoticeAbstractUI.aspx?menuIndex=3&amp;refID=7079216&amp;Result=3","7079216")</f>
        <v>0</v>
      </c>
      <c r="B5125" t="s">
        <v>1780</v>
      </c>
      <c r="C5125" t="s">
        <v>8310</v>
      </c>
      <c r="D5125" t="s">
        <v>17449</v>
      </c>
      <c r="E5125" t="s">
        <v>17760</v>
      </c>
      <c r="F5125" t="s">
        <v>30052</v>
      </c>
      <c r="G5125" t="s">
        <v>30058</v>
      </c>
      <c r="H5125" t="s">
        <v>15498</v>
      </c>
      <c r="I5125" t="s">
        <v>3736</v>
      </c>
      <c r="J5125" t="s">
        <v>33457</v>
      </c>
      <c r="K5125" t="s">
        <v>39064</v>
      </c>
      <c r="M5125" t="s">
        <v>41200</v>
      </c>
      <c r="N5125" t="s">
        <v>43166</v>
      </c>
      <c r="O5125" t="s">
        <v>43167</v>
      </c>
      <c r="P5125">
        <v>0</v>
      </c>
      <c r="Q5125">
        <v>0</v>
      </c>
      <c r="R5125" t="s">
        <v>43172</v>
      </c>
      <c r="S5125" t="s">
        <v>43334</v>
      </c>
      <c r="T5125" t="s">
        <v>44791</v>
      </c>
      <c r="U5125" t="s">
        <v>49381</v>
      </c>
      <c r="V5125" t="s">
        <v>57281</v>
      </c>
      <c r="W5125" t="s">
        <v>41200</v>
      </c>
      <c r="X5125" t="s">
        <v>43173</v>
      </c>
    </row>
    <row r="5126" spans="1:24">
      <c r="A5126">
        <f>HYPERLINK("https://www.philgeps.gov.ph/GEPSNONPILOT/Tender/SplashBidNoticeAbstractUI.aspx?menuIndex=3&amp;refID=7079214&amp;Result=3","7079214")</f>
        <v>0</v>
      </c>
      <c r="B5126" t="s">
        <v>1736</v>
      </c>
      <c r="C5126" t="s">
        <v>8311</v>
      </c>
      <c r="D5126" t="s">
        <v>17444</v>
      </c>
      <c r="E5126" t="s">
        <v>21949</v>
      </c>
      <c r="F5126" t="s">
        <v>30052</v>
      </c>
      <c r="G5126" t="s">
        <v>30061</v>
      </c>
      <c r="H5126" t="s">
        <v>15498</v>
      </c>
      <c r="I5126" t="s">
        <v>30096</v>
      </c>
      <c r="J5126" t="s">
        <v>33458</v>
      </c>
      <c r="K5126" t="s">
        <v>39034</v>
      </c>
      <c r="M5126" t="s">
        <v>41153</v>
      </c>
      <c r="N5126" t="s">
        <v>43166</v>
      </c>
      <c r="O5126" t="s">
        <v>43167</v>
      </c>
      <c r="P5126">
        <v>0</v>
      </c>
      <c r="Q5126">
        <v>0</v>
      </c>
      <c r="R5126" t="s">
        <v>43172</v>
      </c>
      <c r="S5126" t="s">
        <v>43334</v>
      </c>
      <c r="T5126" t="s">
        <v>44717</v>
      </c>
      <c r="U5126" t="s">
        <v>49382</v>
      </c>
      <c r="W5126" t="s">
        <v>41153</v>
      </c>
      <c r="X5126" t="s">
        <v>43173</v>
      </c>
    </row>
    <row r="5127" spans="1:24">
      <c r="A5127">
        <f>HYPERLINK("https://www.philgeps.gov.ph/GEPSNONPILOT/Tender/SplashBidNoticeAbstractUI.aspx?menuIndex=3&amp;refID=7079201&amp;Result=3","7079201")</f>
        <v>0</v>
      </c>
      <c r="B5127" t="s">
        <v>1609</v>
      </c>
      <c r="C5127" t="s">
        <v>8312</v>
      </c>
      <c r="D5127" t="s">
        <v>17415</v>
      </c>
      <c r="E5127" t="s">
        <v>21950</v>
      </c>
      <c r="F5127" t="s">
        <v>30052</v>
      </c>
      <c r="G5127" t="s">
        <v>30059</v>
      </c>
      <c r="H5127" t="s">
        <v>15498</v>
      </c>
      <c r="I5127" t="s">
        <v>30096</v>
      </c>
      <c r="J5127" t="s">
        <v>30230</v>
      </c>
      <c r="K5127" t="s">
        <v>39017</v>
      </c>
      <c r="M5127" t="s">
        <v>41201</v>
      </c>
      <c r="N5127" t="s">
        <v>43166</v>
      </c>
      <c r="O5127" t="s">
        <v>43167</v>
      </c>
      <c r="P5127">
        <v>0</v>
      </c>
      <c r="Q5127">
        <v>6</v>
      </c>
      <c r="R5127" t="s">
        <v>43172</v>
      </c>
      <c r="S5127" t="s">
        <v>43334</v>
      </c>
      <c r="T5127" t="s">
        <v>44734</v>
      </c>
      <c r="U5127" t="s">
        <v>49383</v>
      </c>
      <c r="V5127" t="s">
        <v>57406</v>
      </c>
      <c r="W5127" t="s">
        <v>41201</v>
      </c>
      <c r="X5127" t="s">
        <v>43173</v>
      </c>
    </row>
    <row r="5128" spans="1:24">
      <c r="A5128">
        <f>HYPERLINK("https://www.philgeps.gov.ph/GEPSNONPILOT/Tender/SplashBidNoticeAbstractUI.aspx?menuIndex=3&amp;refID=7079200&amp;Result=3","7079200")</f>
        <v>0</v>
      </c>
      <c r="B5128" t="s">
        <v>757</v>
      </c>
      <c r="C5128" t="s">
        <v>8313</v>
      </c>
      <c r="D5128" t="s">
        <v>17462</v>
      </c>
      <c r="E5128" t="s">
        <v>21930</v>
      </c>
      <c r="F5128" t="s">
        <v>30052</v>
      </c>
      <c r="G5128" t="s">
        <v>30058</v>
      </c>
      <c r="H5128" t="s">
        <v>30067</v>
      </c>
      <c r="I5128" t="s">
        <v>3693</v>
      </c>
      <c r="J5128" t="s">
        <v>33459</v>
      </c>
      <c r="K5128" t="s">
        <v>39057</v>
      </c>
      <c r="M5128" t="s">
        <v>40071</v>
      </c>
      <c r="N5128" t="s">
        <v>43166</v>
      </c>
      <c r="O5128" t="s">
        <v>43167</v>
      </c>
      <c r="P5128">
        <v>0</v>
      </c>
      <c r="Q5128">
        <v>1</v>
      </c>
      <c r="R5128" t="s">
        <v>43172</v>
      </c>
      <c r="S5128" t="s">
        <v>43334</v>
      </c>
      <c r="T5128" t="s">
        <v>44966</v>
      </c>
      <c r="U5128" t="s">
        <v>49205</v>
      </c>
      <c r="W5128" t="s">
        <v>40071</v>
      </c>
      <c r="X5128" t="s">
        <v>43173</v>
      </c>
    </row>
    <row r="5129" spans="1:24">
      <c r="A5129">
        <f>HYPERLINK("https://www.philgeps.gov.ph/GEPSNONPILOT/Tender/SplashBidNoticeAbstractUI.aspx?menuIndex=3&amp;refID=7079198&amp;Result=3","7079198")</f>
        <v>0</v>
      </c>
      <c r="B5129" t="s">
        <v>1781</v>
      </c>
      <c r="C5129" t="s">
        <v>8314</v>
      </c>
      <c r="D5129" t="s">
        <v>17464</v>
      </c>
      <c r="E5129" t="s">
        <v>21951</v>
      </c>
      <c r="F5129" t="s">
        <v>30052</v>
      </c>
      <c r="G5129" t="s">
        <v>30059</v>
      </c>
      <c r="H5129" t="s">
        <v>15498</v>
      </c>
      <c r="I5129" t="s">
        <v>6304</v>
      </c>
      <c r="J5129" t="s">
        <v>33460</v>
      </c>
      <c r="K5129" t="s">
        <v>39017</v>
      </c>
      <c r="M5129" t="s">
        <v>41202</v>
      </c>
      <c r="N5129" t="s">
        <v>43166</v>
      </c>
      <c r="O5129" t="s">
        <v>43167</v>
      </c>
      <c r="P5129">
        <v>0</v>
      </c>
      <c r="Q5129">
        <v>0</v>
      </c>
      <c r="R5129" t="s">
        <v>43172</v>
      </c>
      <c r="S5129" t="s">
        <v>43334</v>
      </c>
      <c r="T5129" t="s">
        <v>44698</v>
      </c>
      <c r="U5129" t="s">
        <v>49384</v>
      </c>
      <c r="W5129" t="s">
        <v>41202</v>
      </c>
      <c r="X5129" t="s">
        <v>43173</v>
      </c>
    </row>
    <row r="5130" spans="1:24">
      <c r="A5130">
        <f>HYPERLINK("https://www.philgeps.gov.ph/GEPSNONPILOT/Tender/SplashBidNoticeAbstractUI.aspx?menuIndex=3&amp;refID=7079210&amp;Result=3","7079210")</f>
        <v>0</v>
      </c>
      <c r="B5130" t="s">
        <v>1782</v>
      </c>
      <c r="C5130" t="s">
        <v>8315</v>
      </c>
      <c r="D5130" t="s">
        <v>17441</v>
      </c>
      <c r="E5130" t="s">
        <v>21952</v>
      </c>
      <c r="F5130" t="s">
        <v>30052</v>
      </c>
      <c r="G5130" t="s">
        <v>30058</v>
      </c>
      <c r="H5130" t="s">
        <v>15498</v>
      </c>
      <c r="I5130" t="s">
        <v>3606</v>
      </c>
      <c r="J5130" t="s">
        <v>31189</v>
      </c>
      <c r="K5130" t="s">
        <v>39025</v>
      </c>
      <c r="M5130" t="s">
        <v>41203</v>
      </c>
      <c r="N5130" t="s">
        <v>43166</v>
      </c>
      <c r="O5130" t="s">
        <v>43167</v>
      </c>
      <c r="P5130">
        <v>0</v>
      </c>
      <c r="Q5130">
        <v>2</v>
      </c>
      <c r="R5130" t="s">
        <v>43172</v>
      </c>
      <c r="S5130" t="s">
        <v>43334</v>
      </c>
      <c r="T5130" t="s">
        <v>44691</v>
      </c>
      <c r="U5130" t="s">
        <v>49385</v>
      </c>
      <c r="V5130" t="s">
        <v>57407</v>
      </c>
      <c r="W5130" t="s">
        <v>41203</v>
      </c>
      <c r="X5130" t="s">
        <v>43173</v>
      </c>
    </row>
    <row r="5131" spans="1:24">
      <c r="A5131">
        <f>HYPERLINK("https://www.philgeps.gov.ph/GEPSNONPILOT/Tender/SplashBidNoticeAbstractUI.aspx?menuIndex=3&amp;refID=7079193&amp;Result=3","7079193")</f>
        <v>0</v>
      </c>
      <c r="B5131" t="s">
        <v>1779</v>
      </c>
      <c r="C5131" t="s">
        <v>8316</v>
      </c>
      <c r="D5131" t="s">
        <v>17444</v>
      </c>
      <c r="E5131" t="s">
        <v>21953</v>
      </c>
      <c r="F5131" t="s">
        <v>30052</v>
      </c>
      <c r="G5131" t="s">
        <v>30059</v>
      </c>
      <c r="H5131" t="s">
        <v>15498</v>
      </c>
      <c r="I5131" t="s">
        <v>30091</v>
      </c>
      <c r="J5131" t="s">
        <v>30218</v>
      </c>
      <c r="K5131" t="s">
        <v>39034</v>
      </c>
      <c r="M5131" t="s">
        <v>41199</v>
      </c>
      <c r="N5131" t="s">
        <v>43166</v>
      </c>
      <c r="O5131" t="s">
        <v>43167</v>
      </c>
      <c r="P5131">
        <v>0</v>
      </c>
      <c r="Q5131">
        <v>1</v>
      </c>
      <c r="R5131" t="s">
        <v>43172</v>
      </c>
      <c r="S5131" t="s">
        <v>43334</v>
      </c>
      <c r="T5131" t="s">
        <v>44698</v>
      </c>
      <c r="U5131" t="s">
        <v>49386</v>
      </c>
      <c r="V5131" t="s">
        <v>57405</v>
      </c>
      <c r="W5131" t="s">
        <v>41199</v>
      </c>
      <c r="X5131" t="s">
        <v>43173</v>
      </c>
    </row>
    <row r="5132" spans="1:24">
      <c r="A5132">
        <f>HYPERLINK("https://www.philgeps.gov.ph/GEPSNONPILOT/Tender/SplashBidNoticeAbstractUI.aspx?menuIndex=3&amp;refID=7079191&amp;Result=3","7079191")</f>
        <v>0</v>
      </c>
      <c r="B5132" t="s">
        <v>1333</v>
      </c>
      <c r="C5132" t="s">
        <v>8317</v>
      </c>
      <c r="D5132" t="s">
        <v>17474</v>
      </c>
      <c r="E5132" t="s">
        <v>21954</v>
      </c>
      <c r="F5132" t="s">
        <v>30052</v>
      </c>
      <c r="G5132" t="s">
        <v>30058</v>
      </c>
      <c r="H5132" t="s">
        <v>15498</v>
      </c>
      <c r="I5132" t="s">
        <v>3693</v>
      </c>
      <c r="J5132" t="s">
        <v>30277</v>
      </c>
      <c r="K5132" t="s">
        <v>39029</v>
      </c>
      <c r="M5132" t="s">
        <v>40700</v>
      </c>
      <c r="N5132" t="s">
        <v>43166</v>
      </c>
      <c r="O5132" t="s">
        <v>43167</v>
      </c>
      <c r="P5132">
        <v>0</v>
      </c>
      <c r="Q5132">
        <v>1</v>
      </c>
      <c r="R5132" t="s">
        <v>43172</v>
      </c>
      <c r="S5132" t="s">
        <v>43334</v>
      </c>
      <c r="T5132" t="s">
        <v>44754</v>
      </c>
      <c r="U5132" t="s">
        <v>49387</v>
      </c>
      <c r="W5132" t="s">
        <v>40700</v>
      </c>
      <c r="X5132" t="s">
        <v>43173</v>
      </c>
    </row>
    <row r="5133" spans="1:24">
      <c r="A5133">
        <f>HYPERLINK("https://www.philgeps.gov.ph/GEPSNONPILOT/Tender/SplashBidNoticeAbstractUI.aspx?menuIndex=3&amp;refID=7079262&amp;Result=3","7079262")</f>
        <v>0</v>
      </c>
      <c r="B5133" t="s">
        <v>677</v>
      </c>
      <c r="C5133" t="s">
        <v>8318</v>
      </c>
      <c r="D5133" t="s">
        <v>17415</v>
      </c>
      <c r="E5133" t="s">
        <v>21955</v>
      </c>
      <c r="F5133" t="s">
        <v>30052</v>
      </c>
      <c r="G5133" t="s">
        <v>30062</v>
      </c>
      <c r="H5133" t="s">
        <v>15498</v>
      </c>
      <c r="I5133" t="s">
        <v>30070</v>
      </c>
      <c r="J5133" t="s">
        <v>33461</v>
      </c>
      <c r="K5133" t="s">
        <v>39017</v>
      </c>
      <c r="M5133" t="s">
        <v>39983</v>
      </c>
      <c r="N5133" t="s">
        <v>43166</v>
      </c>
      <c r="O5133" t="s">
        <v>43167</v>
      </c>
      <c r="P5133">
        <v>0</v>
      </c>
      <c r="Q5133">
        <v>2</v>
      </c>
      <c r="R5133" t="s">
        <v>43172</v>
      </c>
      <c r="S5133" t="s">
        <v>43334</v>
      </c>
      <c r="T5133" t="s">
        <v>44696</v>
      </c>
      <c r="U5133" t="s">
        <v>49388</v>
      </c>
      <c r="W5133" t="s">
        <v>58607</v>
      </c>
      <c r="X5133" t="s">
        <v>43173</v>
      </c>
    </row>
    <row r="5134" spans="1:24">
      <c r="A5134">
        <f>HYPERLINK("https://www.philgeps.gov.ph/GEPSNONPILOT/Tender/SplashBidNoticeAbstractUI.aspx?menuIndex=3&amp;refID=7079259&amp;Result=3","7079259")</f>
        <v>0</v>
      </c>
      <c r="B5134" t="s">
        <v>658</v>
      </c>
      <c r="C5134" t="s">
        <v>8319</v>
      </c>
      <c r="D5134" t="s">
        <v>17415</v>
      </c>
      <c r="E5134" t="s">
        <v>20684</v>
      </c>
      <c r="F5134" t="s">
        <v>30052</v>
      </c>
      <c r="G5134" t="s">
        <v>30058</v>
      </c>
      <c r="H5134" t="s">
        <v>15498</v>
      </c>
      <c r="I5134" t="s">
        <v>30105</v>
      </c>
      <c r="J5134" t="s">
        <v>33462</v>
      </c>
      <c r="K5134" t="s">
        <v>39046</v>
      </c>
      <c r="M5134" t="s">
        <v>40492</v>
      </c>
      <c r="N5134" t="s">
        <v>43166</v>
      </c>
      <c r="O5134" t="s">
        <v>43167</v>
      </c>
      <c r="P5134">
        <v>0</v>
      </c>
      <c r="Q5134">
        <v>13</v>
      </c>
      <c r="R5134" t="s">
        <v>43172</v>
      </c>
      <c r="S5134" t="s">
        <v>43334</v>
      </c>
      <c r="T5134" t="s">
        <v>44711</v>
      </c>
      <c r="U5134" t="s">
        <v>49389</v>
      </c>
      <c r="W5134" t="s">
        <v>40492</v>
      </c>
      <c r="X5134" t="s">
        <v>43173</v>
      </c>
    </row>
    <row r="5135" spans="1:24">
      <c r="A5135">
        <f>HYPERLINK("https://www.philgeps.gov.ph/GEPSNONPILOT/Tender/SplashBidNoticeAbstractUI.aspx?menuIndex=3&amp;refID=7079256&amp;Result=3","7079256")</f>
        <v>0</v>
      </c>
      <c r="B5135" t="s">
        <v>1783</v>
      </c>
      <c r="C5135" t="s">
        <v>8320</v>
      </c>
      <c r="D5135" t="s">
        <v>17488</v>
      </c>
      <c r="E5135" t="s">
        <v>21956</v>
      </c>
      <c r="F5135" t="s">
        <v>30052</v>
      </c>
      <c r="G5135" t="s">
        <v>30059</v>
      </c>
      <c r="H5135" t="s">
        <v>30067</v>
      </c>
      <c r="I5135" t="s">
        <v>3693</v>
      </c>
      <c r="J5135" t="s">
        <v>33463</v>
      </c>
      <c r="K5135" t="s">
        <v>39018</v>
      </c>
      <c r="M5135" t="s">
        <v>41204</v>
      </c>
      <c r="N5135" t="s">
        <v>43166</v>
      </c>
      <c r="O5135" t="s">
        <v>43167</v>
      </c>
      <c r="P5135">
        <v>0</v>
      </c>
      <c r="Q5135">
        <v>0</v>
      </c>
      <c r="R5135" t="s">
        <v>43172</v>
      </c>
      <c r="S5135" t="s">
        <v>43334</v>
      </c>
      <c r="T5135" t="s">
        <v>44843</v>
      </c>
      <c r="U5135" t="s">
        <v>49390</v>
      </c>
      <c r="W5135" t="s">
        <v>41204</v>
      </c>
      <c r="X5135" t="s">
        <v>43173</v>
      </c>
    </row>
    <row r="5136" spans="1:24">
      <c r="A5136">
        <f>HYPERLINK("https://www.philgeps.gov.ph/GEPSNONPILOT/Tender/SplashBidNoticeAbstractUI.aspx?menuIndex=3&amp;refID=7079196&amp;Result=3","7079196")</f>
        <v>0</v>
      </c>
      <c r="B5136" t="s">
        <v>679</v>
      </c>
      <c r="C5136" t="s">
        <v>8321</v>
      </c>
      <c r="D5136" t="s">
        <v>17419</v>
      </c>
      <c r="E5136" t="s">
        <v>21957</v>
      </c>
      <c r="F5136" t="s">
        <v>30052</v>
      </c>
      <c r="G5136" t="s">
        <v>30059</v>
      </c>
      <c r="H5136" t="s">
        <v>15498</v>
      </c>
      <c r="I5136" t="s">
        <v>30073</v>
      </c>
      <c r="J5136" t="s">
        <v>33464</v>
      </c>
      <c r="K5136" t="s">
        <v>39017</v>
      </c>
      <c r="M5136" t="s">
        <v>39985</v>
      </c>
      <c r="N5136" t="s">
        <v>43166</v>
      </c>
      <c r="O5136" t="s">
        <v>43167</v>
      </c>
      <c r="P5136">
        <v>0</v>
      </c>
      <c r="Q5136">
        <v>0</v>
      </c>
      <c r="R5136" t="s">
        <v>43172</v>
      </c>
      <c r="S5136" t="s">
        <v>43334</v>
      </c>
      <c r="T5136" t="s">
        <v>44717</v>
      </c>
      <c r="U5136" t="s">
        <v>49391</v>
      </c>
      <c r="W5136" t="s">
        <v>39985</v>
      </c>
      <c r="X5136" t="s">
        <v>43173</v>
      </c>
    </row>
    <row r="5137" spans="1:24">
      <c r="A5137">
        <f>HYPERLINK("https://www.philgeps.gov.ph/GEPSNONPILOT/Tender/SplashBidNoticeAbstractUI.aspx?menuIndex=3&amp;refID=7079206&amp;Result=3","7079206")</f>
        <v>0</v>
      </c>
      <c r="B5137" t="s">
        <v>188</v>
      </c>
      <c r="C5137" t="s">
        <v>8322</v>
      </c>
      <c r="D5137" t="s">
        <v>17422</v>
      </c>
      <c r="E5137" t="s">
        <v>21958</v>
      </c>
      <c r="F5137" t="s">
        <v>30052</v>
      </c>
      <c r="G5137" t="s">
        <v>30058</v>
      </c>
      <c r="H5137" t="s">
        <v>15498</v>
      </c>
      <c r="I5137" t="s">
        <v>3736</v>
      </c>
      <c r="J5137" t="s">
        <v>33465</v>
      </c>
      <c r="K5137" t="s">
        <v>39029</v>
      </c>
      <c r="M5137" t="s">
        <v>39477</v>
      </c>
      <c r="N5137" t="s">
        <v>43166</v>
      </c>
      <c r="O5137" t="s">
        <v>43167</v>
      </c>
      <c r="P5137">
        <v>0</v>
      </c>
      <c r="Q5137">
        <v>2</v>
      </c>
      <c r="R5137" t="s">
        <v>43172</v>
      </c>
      <c r="S5137" t="s">
        <v>43334</v>
      </c>
      <c r="T5137" t="s">
        <v>44691</v>
      </c>
      <c r="U5137" t="s">
        <v>49352</v>
      </c>
      <c r="W5137" t="s">
        <v>39477</v>
      </c>
      <c r="X5137" t="s">
        <v>43173</v>
      </c>
    </row>
    <row r="5138" spans="1:24">
      <c r="A5138">
        <f>HYPERLINK("https://www.philgeps.gov.ph/GEPSNONPILOT/Tender/SplashBidNoticeAbstractUI.aspx?menuIndex=3&amp;refID=7079253&amp;Result=3","7079253")</f>
        <v>0</v>
      </c>
      <c r="B5138" t="s">
        <v>1784</v>
      </c>
      <c r="C5138" t="s">
        <v>8323</v>
      </c>
      <c r="D5138" t="s">
        <v>17459</v>
      </c>
      <c r="E5138" t="s">
        <v>21959</v>
      </c>
      <c r="F5138" t="s">
        <v>30052</v>
      </c>
      <c r="G5138" t="s">
        <v>30059</v>
      </c>
      <c r="H5138" t="s">
        <v>15498</v>
      </c>
      <c r="I5138" t="s">
        <v>8323</v>
      </c>
      <c r="J5138" t="s">
        <v>30861</v>
      </c>
      <c r="K5138" t="s">
        <v>39029</v>
      </c>
      <c r="M5138" t="s">
        <v>41205</v>
      </c>
      <c r="N5138" t="s">
        <v>43166</v>
      </c>
      <c r="O5138" t="s">
        <v>43167</v>
      </c>
      <c r="P5138">
        <v>0</v>
      </c>
      <c r="Q5138">
        <v>4</v>
      </c>
      <c r="R5138" t="s">
        <v>43172</v>
      </c>
      <c r="S5138" t="s">
        <v>43334</v>
      </c>
      <c r="T5138" t="s">
        <v>44777</v>
      </c>
      <c r="U5138" t="s">
        <v>49392</v>
      </c>
      <c r="W5138" t="s">
        <v>41205</v>
      </c>
      <c r="X5138" t="s">
        <v>43173</v>
      </c>
    </row>
    <row r="5139" spans="1:24">
      <c r="A5139">
        <f>HYPERLINK("https://www.philgeps.gov.ph/GEPSNONPILOT/Tender/SplashBidNoticeAbstractUI.aspx?menuIndex=3&amp;refID=7079229&amp;Result=3","7079229")</f>
        <v>0</v>
      </c>
      <c r="B5139" t="s">
        <v>1785</v>
      </c>
      <c r="C5139" t="s">
        <v>8324</v>
      </c>
      <c r="D5139" t="s">
        <v>17449</v>
      </c>
      <c r="E5139" t="s">
        <v>17715</v>
      </c>
      <c r="F5139" t="s">
        <v>30054</v>
      </c>
      <c r="G5139" t="s">
        <v>30058</v>
      </c>
      <c r="H5139" t="s">
        <v>30067</v>
      </c>
      <c r="I5139" t="s">
        <v>3693</v>
      </c>
      <c r="J5139" t="s">
        <v>30230</v>
      </c>
      <c r="K5139" t="s">
        <v>39029</v>
      </c>
      <c r="L5139" t="s">
        <v>1785</v>
      </c>
      <c r="M5139" t="s">
        <v>41206</v>
      </c>
      <c r="N5139" t="s">
        <v>43166</v>
      </c>
      <c r="O5139" t="s">
        <v>43167</v>
      </c>
      <c r="P5139">
        <v>0</v>
      </c>
      <c r="Q5139">
        <v>1</v>
      </c>
      <c r="R5139" t="s">
        <v>43172</v>
      </c>
      <c r="S5139" t="s">
        <v>43334</v>
      </c>
      <c r="T5139" t="s">
        <v>45003</v>
      </c>
      <c r="U5139" t="s">
        <v>49393</v>
      </c>
      <c r="W5139" t="s">
        <v>41206</v>
      </c>
      <c r="X5139" t="s">
        <v>43173</v>
      </c>
    </row>
    <row r="5140" spans="1:24">
      <c r="A5140">
        <f>HYPERLINK("https://www.philgeps.gov.ph/GEPSNONPILOT/Tender/SplashBidNoticeAbstractUI.aspx?menuIndex=3&amp;refID=7079158&amp;Result=3","7079158")</f>
        <v>0</v>
      </c>
      <c r="B5140" t="s">
        <v>1764</v>
      </c>
      <c r="C5140" t="s">
        <v>8325</v>
      </c>
      <c r="D5140" t="s">
        <v>17466</v>
      </c>
      <c r="E5140" t="s">
        <v>21960</v>
      </c>
      <c r="F5140" t="s">
        <v>30052</v>
      </c>
      <c r="G5140" t="s">
        <v>30058</v>
      </c>
      <c r="H5140" t="s">
        <v>15498</v>
      </c>
      <c r="I5140" t="s">
        <v>3606</v>
      </c>
      <c r="J5140" t="s">
        <v>32616</v>
      </c>
      <c r="K5140" t="s">
        <v>39036</v>
      </c>
      <c r="M5140" t="s">
        <v>41184</v>
      </c>
      <c r="N5140" t="s">
        <v>43166</v>
      </c>
      <c r="O5140" t="s">
        <v>43167</v>
      </c>
      <c r="P5140">
        <v>0</v>
      </c>
      <c r="Q5140">
        <v>3</v>
      </c>
      <c r="R5140" t="s">
        <v>43172</v>
      </c>
      <c r="S5140" t="s">
        <v>43334</v>
      </c>
      <c r="T5140" t="s">
        <v>44807</v>
      </c>
      <c r="U5140" t="s">
        <v>49394</v>
      </c>
      <c r="W5140" t="s">
        <v>41184</v>
      </c>
      <c r="X5140" t="s">
        <v>43173</v>
      </c>
    </row>
    <row r="5141" spans="1:24">
      <c r="A5141">
        <f>HYPERLINK("https://www.philgeps.gov.ph/GEPSNONPILOT/Tender/SplashBidNoticeAbstractUI.aspx?menuIndex=3&amp;refID=7079247&amp;Result=3","7079247")</f>
        <v>0</v>
      </c>
      <c r="B5141" t="s">
        <v>1786</v>
      </c>
      <c r="C5141" t="s">
        <v>8326</v>
      </c>
      <c r="D5141" t="s">
        <v>17434</v>
      </c>
      <c r="E5141" t="s">
        <v>21961</v>
      </c>
      <c r="F5141" t="s">
        <v>30052</v>
      </c>
      <c r="G5141" t="s">
        <v>30058</v>
      </c>
      <c r="H5141" t="s">
        <v>30069</v>
      </c>
      <c r="I5141" t="s">
        <v>30148</v>
      </c>
      <c r="J5141" t="s">
        <v>30402</v>
      </c>
      <c r="K5141" t="s">
        <v>39017</v>
      </c>
      <c r="M5141" t="s">
        <v>41207</v>
      </c>
      <c r="N5141" t="s">
        <v>43166</v>
      </c>
      <c r="O5141" t="s">
        <v>43167</v>
      </c>
      <c r="P5141">
        <v>0</v>
      </c>
      <c r="Q5141">
        <v>3</v>
      </c>
      <c r="R5141" t="s">
        <v>43172</v>
      </c>
      <c r="S5141" t="s">
        <v>43334</v>
      </c>
      <c r="T5141" t="s">
        <v>44708</v>
      </c>
      <c r="U5141" t="s">
        <v>49395</v>
      </c>
      <c r="W5141" t="s">
        <v>41207</v>
      </c>
      <c r="X5141" t="s">
        <v>43173</v>
      </c>
    </row>
    <row r="5142" spans="1:24">
      <c r="A5142">
        <f>HYPERLINK("https://www.philgeps.gov.ph/GEPSNONPILOT/Tender/SplashBidNoticeAbstractUI.aspx?menuIndex=3&amp;refID=7079246&amp;Result=3","7079246")</f>
        <v>0</v>
      </c>
      <c r="B5142" t="s">
        <v>1787</v>
      </c>
      <c r="C5142" t="s">
        <v>8327</v>
      </c>
      <c r="D5142" t="s">
        <v>17446</v>
      </c>
      <c r="E5142" t="s">
        <v>21962</v>
      </c>
      <c r="F5142" t="s">
        <v>30052</v>
      </c>
      <c r="G5142" t="s">
        <v>30059</v>
      </c>
      <c r="H5142" t="s">
        <v>15498</v>
      </c>
      <c r="I5142" t="s">
        <v>30070</v>
      </c>
      <c r="J5142" t="s">
        <v>33466</v>
      </c>
      <c r="K5142" t="s">
        <v>39019</v>
      </c>
      <c r="M5142" t="s">
        <v>41208</v>
      </c>
      <c r="N5142" t="s">
        <v>43166</v>
      </c>
      <c r="O5142" t="s">
        <v>43167</v>
      </c>
      <c r="P5142">
        <v>0</v>
      </c>
      <c r="Q5142">
        <v>8</v>
      </c>
      <c r="R5142" t="s">
        <v>43172</v>
      </c>
      <c r="S5142" t="s">
        <v>43334</v>
      </c>
      <c r="T5142" t="s">
        <v>44710</v>
      </c>
      <c r="U5142" t="s">
        <v>49396</v>
      </c>
      <c r="W5142" t="s">
        <v>41208</v>
      </c>
      <c r="X5142" t="s">
        <v>43173</v>
      </c>
    </row>
    <row r="5143" spans="1:24">
      <c r="A5143">
        <f>HYPERLINK("https://www.philgeps.gov.ph/GEPSNONPILOT/Tender/SplashBidNoticeAbstractUI.aspx?menuIndex=3&amp;refID=7079241&amp;Result=3","7079241")</f>
        <v>0</v>
      </c>
      <c r="B5143" t="s">
        <v>1779</v>
      </c>
      <c r="C5143" t="s">
        <v>8328</v>
      </c>
      <c r="D5143" t="s">
        <v>17444</v>
      </c>
      <c r="E5143" t="s">
        <v>21963</v>
      </c>
      <c r="F5143" t="s">
        <v>30052</v>
      </c>
      <c r="G5143" t="s">
        <v>30059</v>
      </c>
      <c r="H5143" t="s">
        <v>15498</v>
      </c>
      <c r="I5143" t="s">
        <v>30074</v>
      </c>
      <c r="J5143" t="s">
        <v>30330</v>
      </c>
      <c r="K5143" t="s">
        <v>39034</v>
      </c>
      <c r="M5143" t="s">
        <v>41199</v>
      </c>
      <c r="N5143" t="s">
        <v>43166</v>
      </c>
      <c r="O5143" t="s">
        <v>43167</v>
      </c>
      <c r="P5143">
        <v>0</v>
      </c>
      <c r="Q5143">
        <v>0</v>
      </c>
      <c r="R5143" t="s">
        <v>43172</v>
      </c>
      <c r="S5143" t="s">
        <v>43334</v>
      </c>
      <c r="T5143" t="s">
        <v>44698</v>
      </c>
      <c r="U5143" t="s">
        <v>49397</v>
      </c>
      <c r="V5143" t="s">
        <v>57405</v>
      </c>
      <c r="W5143" t="s">
        <v>41199</v>
      </c>
      <c r="X5143" t="s">
        <v>43173</v>
      </c>
    </row>
    <row r="5144" spans="1:24">
      <c r="A5144">
        <f>HYPERLINK("https://www.philgeps.gov.ph/GEPSNONPILOT/Tender/SplashBidNoticeAbstractUI.aspx?menuIndex=3&amp;refID=7079238&amp;Result=3","7079238")</f>
        <v>0</v>
      </c>
      <c r="B5144" t="s">
        <v>1788</v>
      </c>
      <c r="C5144" t="s">
        <v>8329</v>
      </c>
      <c r="D5144" t="s">
        <v>17441</v>
      </c>
      <c r="E5144" t="s">
        <v>20087</v>
      </c>
      <c r="F5144" t="s">
        <v>30052</v>
      </c>
      <c r="G5144" t="s">
        <v>30059</v>
      </c>
      <c r="H5144" t="s">
        <v>15498</v>
      </c>
      <c r="I5144" t="s">
        <v>30162</v>
      </c>
      <c r="J5144" t="s">
        <v>33467</v>
      </c>
      <c r="K5144" t="s">
        <v>39020</v>
      </c>
      <c r="M5144" t="s">
        <v>41209</v>
      </c>
      <c r="N5144" t="s">
        <v>43166</v>
      </c>
      <c r="O5144" t="s">
        <v>43167</v>
      </c>
      <c r="P5144">
        <v>0</v>
      </c>
      <c r="Q5144">
        <v>3</v>
      </c>
      <c r="R5144" t="s">
        <v>43172</v>
      </c>
      <c r="S5144" t="s">
        <v>43334</v>
      </c>
      <c r="T5144" t="s">
        <v>44714</v>
      </c>
      <c r="U5144" t="s">
        <v>49398</v>
      </c>
      <c r="W5144" t="s">
        <v>41209</v>
      </c>
      <c r="X5144" t="s">
        <v>43173</v>
      </c>
    </row>
    <row r="5145" spans="1:24">
      <c r="A5145">
        <f>HYPERLINK("https://www.philgeps.gov.ph/GEPSNONPILOT/Tender/SplashBidNoticeAbstractUI.aspx?menuIndex=3&amp;refID=7079257&amp;Result=3","7079257")</f>
        <v>0</v>
      </c>
      <c r="B5145" t="s">
        <v>236</v>
      </c>
      <c r="C5145" t="s">
        <v>8330</v>
      </c>
      <c r="D5145" t="s">
        <v>17423</v>
      </c>
      <c r="E5145" t="s">
        <v>21964</v>
      </c>
      <c r="F5145" t="s">
        <v>30052</v>
      </c>
      <c r="G5145" t="s">
        <v>30059</v>
      </c>
      <c r="H5145" t="s">
        <v>15498</v>
      </c>
      <c r="I5145" t="s">
        <v>30092</v>
      </c>
      <c r="J5145" t="s">
        <v>33468</v>
      </c>
      <c r="K5145" t="s">
        <v>39029</v>
      </c>
      <c r="M5145" t="s">
        <v>41210</v>
      </c>
      <c r="N5145" t="s">
        <v>43166</v>
      </c>
      <c r="O5145" t="s">
        <v>43167</v>
      </c>
      <c r="P5145">
        <v>0</v>
      </c>
      <c r="Q5145">
        <v>4</v>
      </c>
      <c r="R5145" t="s">
        <v>43172</v>
      </c>
      <c r="S5145" t="s">
        <v>43334</v>
      </c>
      <c r="T5145" t="s">
        <v>44720</v>
      </c>
      <c r="U5145" t="s">
        <v>49399</v>
      </c>
      <c r="W5145" t="s">
        <v>41210</v>
      </c>
      <c r="X5145" t="s">
        <v>43173</v>
      </c>
    </row>
    <row r="5146" spans="1:24">
      <c r="A5146">
        <f>HYPERLINK("https://www.philgeps.gov.ph/GEPSNONPILOT/Tender/SplashBidNoticeAbstractUI.aspx?menuIndex=3&amp;refID=7079267&amp;Result=3","7079267")</f>
        <v>0</v>
      </c>
      <c r="B5146" t="s">
        <v>685</v>
      </c>
      <c r="C5146" t="s">
        <v>8331</v>
      </c>
      <c r="D5146" t="s">
        <v>17460</v>
      </c>
      <c r="E5146" t="s">
        <v>21965</v>
      </c>
      <c r="F5146" t="s">
        <v>30052</v>
      </c>
      <c r="G5146" t="s">
        <v>30058</v>
      </c>
      <c r="H5146" t="s">
        <v>30068</v>
      </c>
      <c r="I5146" t="s">
        <v>30068</v>
      </c>
      <c r="J5146" t="s">
        <v>33469</v>
      </c>
      <c r="K5146" t="s">
        <v>39153</v>
      </c>
      <c r="M5146" t="s">
        <v>39991</v>
      </c>
      <c r="N5146" t="s">
        <v>43166</v>
      </c>
      <c r="O5146" t="s">
        <v>43167</v>
      </c>
      <c r="P5146">
        <v>0</v>
      </c>
      <c r="Q5146">
        <v>5</v>
      </c>
      <c r="R5146" t="s">
        <v>43172</v>
      </c>
      <c r="S5146" t="s">
        <v>43334</v>
      </c>
      <c r="T5146" t="s">
        <v>44698</v>
      </c>
      <c r="U5146" t="s">
        <v>49400</v>
      </c>
      <c r="W5146" t="s">
        <v>39991</v>
      </c>
      <c r="X5146" t="s">
        <v>43173</v>
      </c>
    </row>
    <row r="5147" spans="1:24">
      <c r="A5147">
        <f>HYPERLINK("https://www.philgeps.gov.ph/GEPSNONPILOT/Tender/SplashBidNoticeAbstractUI.aspx?menuIndex=3&amp;refID=7079292&amp;Result=3","7079292")</f>
        <v>0</v>
      </c>
      <c r="B5147" t="s">
        <v>1789</v>
      </c>
      <c r="C5147" t="s">
        <v>8332</v>
      </c>
      <c r="D5147" t="s">
        <v>17448</v>
      </c>
      <c r="E5147" t="s">
        <v>21966</v>
      </c>
      <c r="F5147" t="s">
        <v>30052</v>
      </c>
      <c r="G5147" t="s">
        <v>30058</v>
      </c>
      <c r="H5147" t="s">
        <v>15498</v>
      </c>
      <c r="I5147" t="s">
        <v>3852</v>
      </c>
      <c r="J5147" t="s">
        <v>33470</v>
      </c>
      <c r="K5147" t="s">
        <v>39025</v>
      </c>
      <c r="M5147" t="s">
        <v>41211</v>
      </c>
      <c r="N5147" t="s">
        <v>43166</v>
      </c>
      <c r="O5147" t="s">
        <v>43167</v>
      </c>
      <c r="P5147">
        <v>0</v>
      </c>
      <c r="Q5147">
        <v>0</v>
      </c>
      <c r="R5147" t="s">
        <v>43172</v>
      </c>
      <c r="S5147" t="s">
        <v>43334</v>
      </c>
      <c r="T5147" t="s">
        <v>44806</v>
      </c>
      <c r="U5147" t="s">
        <v>49401</v>
      </c>
      <c r="W5147" t="s">
        <v>41211</v>
      </c>
      <c r="X5147" t="s">
        <v>43173</v>
      </c>
    </row>
    <row r="5148" spans="1:24">
      <c r="A5148">
        <f>HYPERLINK("https://www.philgeps.gov.ph/GEPSNONPILOT/Tender/SplashBidNoticeAbstractUI.aspx?menuIndex=3&amp;refID=7079297&amp;Result=3","7079297")</f>
        <v>0</v>
      </c>
      <c r="B5148" t="s">
        <v>757</v>
      </c>
      <c r="C5148" t="s">
        <v>8333</v>
      </c>
      <c r="D5148" t="s">
        <v>17462</v>
      </c>
      <c r="E5148" t="s">
        <v>21930</v>
      </c>
      <c r="F5148" t="s">
        <v>30052</v>
      </c>
      <c r="G5148" t="s">
        <v>30058</v>
      </c>
      <c r="H5148" t="s">
        <v>30067</v>
      </c>
      <c r="I5148" t="s">
        <v>3693</v>
      </c>
      <c r="J5148" t="s">
        <v>33471</v>
      </c>
      <c r="K5148" t="s">
        <v>39086</v>
      </c>
      <c r="M5148" t="s">
        <v>40071</v>
      </c>
      <c r="N5148" t="s">
        <v>43166</v>
      </c>
      <c r="O5148" t="s">
        <v>43167</v>
      </c>
      <c r="P5148">
        <v>0</v>
      </c>
      <c r="Q5148">
        <v>0</v>
      </c>
      <c r="R5148" t="s">
        <v>43172</v>
      </c>
      <c r="S5148" t="s">
        <v>43334</v>
      </c>
      <c r="T5148" t="s">
        <v>44966</v>
      </c>
      <c r="U5148" t="s">
        <v>49205</v>
      </c>
      <c r="W5148" t="s">
        <v>40071</v>
      </c>
      <c r="X5148" t="s">
        <v>43173</v>
      </c>
    </row>
    <row r="5149" spans="1:24">
      <c r="A5149">
        <f>HYPERLINK("https://www.philgeps.gov.ph/GEPSNONPILOT/Tender/SplashBidNoticeAbstractUI.aspx?menuIndex=3&amp;refID=7079249&amp;Result=3","7079249")</f>
        <v>0</v>
      </c>
      <c r="B5149" t="s">
        <v>1790</v>
      </c>
      <c r="C5149" t="s">
        <v>8334</v>
      </c>
      <c r="D5149" t="s">
        <v>17431</v>
      </c>
      <c r="E5149" t="s">
        <v>21967</v>
      </c>
      <c r="F5149" t="s">
        <v>30052</v>
      </c>
      <c r="G5149" t="s">
        <v>30058</v>
      </c>
      <c r="H5149" t="s">
        <v>30067</v>
      </c>
      <c r="I5149" t="s">
        <v>3693</v>
      </c>
      <c r="J5149" t="s">
        <v>33472</v>
      </c>
      <c r="K5149" t="s">
        <v>39026</v>
      </c>
      <c r="M5149" t="s">
        <v>41212</v>
      </c>
      <c r="N5149" t="s">
        <v>43166</v>
      </c>
      <c r="O5149" t="s">
        <v>43167</v>
      </c>
      <c r="P5149">
        <v>0</v>
      </c>
      <c r="Q5149">
        <v>2</v>
      </c>
      <c r="R5149" t="s">
        <v>43172</v>
      </c>
      <c r="S5149" t="s">
        <v>43334</v>
      </c>
      <c r="T5149" t="s">
        <v>44842</v>
      </c>
      <c r="U5149" t="s">
        <v>49402</v>
      </c>
      <c r="W5149" t="s">
        <v>41212</v>
      </c>
      <c r="X5149" t="s">
        <v>43173</v>
      </c>
    </row>
    <row r="5150" spans="1:24">
      <c r="A5150">
        <f>HYPERLINK("https://www.philgeps.gov.ph/GEPSNONPILOT/Tender/SplashBidNoticeAbstractUI.aspx?menuIndex=3&amp;refID=7079294&amp;Result=3","7079294")</f>
        <v>0</v>
      </c>
      <c r="B5150" t="s">
        <v>1034</v>
      </c>
      <c r="C5150" t="s">
        <v>8335</v>
      </c>
      <c r="D5150" t="s">
        <v>17473</v>
      </c>
      <c r="E5150" t="s">
        <v>21864</v>
      </c>
      <c r="F5150" t="s">
        <v>30052</v>
      </c>
      <c r="G5150" t="s">
        <v>30061</v>
      </c>
      <c r="H5150" t="s">
        <v>15498</v>
      </c>
      <c r="I5150" t="s">
        <v>30097</v>
      </c>
      <c r="J5150" t="s">
        <v>33473</v>
      </c>
      <c r="K5150" t="s">
        <v>39017</v>
      </c>
      <c r="M5150" t="s">
        <v>40363</v>
      </c>
      <c r="N5150" t="s">
        <v>43166</v>
      </c>
      <c r="O5150" t="s">
        <v>43167</v>
      </c>
      <c r="P5150">
        <v>0</v>
      </c>
      <c r="Q5150">
        <v>9</v>
      </c>
      <c r="R5150" t="s">
        <v>43172</v>
      </c>
      <c r="S5150" t="s">
        <v>43334</v>
      </c>
      <c r="T5150" t="s">
        <v>44773</v>
      </c>
      <c r="U5150" t="s">
        <v>49403</v>
      </c>
      <c r="W5150" t="s">
        <v>40363</v>
      </c>
      <c r="X5150" t="s">
        <v>43173</v>
      </c>
    </row>
    <row r="5151" spans="1:24">
      <c r="A5151">
        <f>HYPERLINK("https://www.philgeps.gov.ph/GEPSNONPILOT/Tender/SplashBidNoticeAbstractUI.aspx?menuIndex=3&amp;refID=7079289&amp;Result=3","7079289")</f>
        <v>0</v>
      </c>
      <c r="B5151" t="s">
        <v>1791</v>
      </c>
      <c r="C5151" t="s">
        <v>8336</v>
      </c>
      <c r="D5151" t="s">
        <v>17424</v>
      </c>
      <c r="E5151" t="s">
        <v>18473</v>
      </c>
      <c r="F5151" t="s">
        <v>30052</v>
      </c>
      <c r="G5151" t="s">
        <v>30059</v>
      </c>
      <c r="H5151" t="s">
        <v>15498</v>
      </c>
      <c r="I5151" t="s">
        <v>8323</v>
      </c>
      <c r="J5151" t="s">
        <v>32780</v>
      </c>
      <c r="K5151" t="s">
        <v>39029</v>
      </c>
      <c r="M5151" t="s">
        <v>41213</v>
      </c>
      <c r="N5151" t="s">
        <v>43166</v>
      </c>
      <c r="O5151" t="s">
        <v>43167</v>
      </c>
      <c r="P5151">
        <v>0</v>
      </c>
      <c r="Q5151">
        <v>5</v>
      </c>
      <c r="R5151" t="s">
        <v>43172</v>
      </c>
      <c r="S5151" t="s">
        <v>43334</v>
      </c>
      <c r="T5151" t="s">
        <v>44965</v>
      </c>
      <c r="U5151" t="s">
        <v>49404</v>
      </c>
      <c r="W5151" t="s">
        <v>41213</v>
      </c>
      <c r="X5151" t="s">
        <v>43173</v>
      </c>
    </row>
    <row r="5152" spans="1:24">
      <c r="A5152">
        <f>HYPERLINK("https://www.philgeps.gov.ph/GEPSNONPILOT/Tender/SplashBidNoticeAbstractUI.aspx?menuIndex=3&amp;refID=7079204&amp;Result=3","7079204")</f>
        <v>0</v>
      </c>
      <c r="B5152" t="s">
        <v>87</v>
      </c>
      <c r="C5152" t="s">
        <v>8337</v>
      </c>
      <c r="D5152" t="s">
        <v>17443</v>
      </c>
      <c r="E5152" t="s">
        <v>17856</v>
      </c>
      <c r="F5152" t="s">
        <v>30052</v>
      </c>
      <c r="G5152" t="s">
        <v>30059</v>
      </c>
      <c r="H5152" t="s">
        <v>15498</v>
      </c>
      <c r="I5152" t="s">
        <v>30106</v>
      </c>
      <c r="J5152" t="s">
        <v>30230</v>
      </c>
      <c r="K5152" t="s">
        <v>39034</v>
      </c>
      <c r="M5152" t="s">
        <v>39376</v>
      </c>
      <c r="N5152" t="s">
        <v>43166</v>
      </c>
      <c r="O5152" t="s">
        <v>43167</v>
      </c>
      <c r="P5152">
        <v>0</v>
      </c>
      <c r="Q5152">
        <v>1</v>
      </c>
      <c r="R5152" t="s">
        <v>43172</v>
      </c>
      <c r="S5152" t="s">
        <v>43334</v>
      </c>
      <c r="T5152" t="s">
        <v>44720</v>
      </c>
      <c r="U5152" t="s">
        <v>49405</v>
      </c>
      <c r="W5152" t="s">
        <v>39376</v>
      </c>
      <c r="X5152" t="s">
        <v>43173</v>
      </c>
    </row>
    <row r="5153" spans="1:24">
      <c r="A5153">
        <f>HYPERLINK("https://www.philgeps.gov.ph/GEPSNONPILOT/Tender/SplashBidNoticeAbstractUI.aspx?menuIndex=3&amp;refID=7079284&amp;Result=3","7079284")</f>
        <v>0</v>
      </c>
      <c r="B5153" t="s">
        <v>1779</v>
      </c>
      <c r="C5153" t="s">
        <v>8338</v>
      </c>
      <c r="D5153" t="s">
        <v>17444</v>
      </c>
      <c r="E5153" t="s">
        <v>21968</v>
      </c>
      <c r="F5153" t="s">
        <v>30052</v>
      </c>
      <c r="G5153" t="s">
        <v>30059</v>
      </c>
      <c r="H5153" t="s">
        <v>15498</v>
      </c>
      <c r="I5153" t="s">
        <v>30084</v>
      </c>
      <c r="J5153" t="s">
        <v>30890</v>
      </c>
      <c r="K5153" t="s">
        <v>39025</v>
      </c>
      <c r="M5153" t="s">
        <v>41199</v>
      </c>
      <c r="N5153" t="s">
        <v>43166</v>
      </c>
      <c r="O5153" t="s">
        <v>43167</v>
      </c>
      <c r="P5153">
        <v>0</v>
      </c>
      <c r="Q5153">
        <v>2</v>
      </c>
      <c r="R5153" t="s">
        <v>43172</v>
      </c>
      <c r="S5153" t="s">
        <v>43334</v>
      </c>
      <c r="T5153" t="s">
        <v>44698</v>
      </c>
      <c r="U5153" t="s">
        <v>49406</v>
      </c>
      <c r="V5153" t="s">
        <v>57405</v>
      </c>
      <c r="W5153" t="s">
        <v>41199</v>
      </c>
      <c r="X5153" t="s">
        <v>43173</v>
      </c>
    </row>
    <row r="5154" spans="1:24">
      <c r="A5154">
        <f>HYPERLINK("https://www.philgeps.gov.ph/GEPSNONPILOT/Tender/SplashBidNoticeAbstractUI.aspx?menuIndex=3&amp;refID=7079299&amp;Result=3","7079299")</f>
        <v>0</v>
      </c>
      <c r="B5154" t="s">
        <v>887</v>
      </c>
      <c r="C5154" t="s">
        <v>8339</v>
      </c>
      <c r="D5154" t="s">
        <v>17474</v>
      </c>
      <c r="E5154" t="s">
        <v>17892</v>
      </c>
      <c r="F5154" t="s">
        <v>30054</v>
      </c>
      <c r="G5154" t="s">
        <v>30058</v>
      </c>
      <c r="H5154" t="s">
        <v>15498</v>
      </c>
      <c r="I5154" t="s">
        <v>30096</v>
      </c>
      <c r="J5154" t="s">
        <v>30337</v>
      </c>
      <c r="K5154" t="s">
        <v>39017</v>
      </c>
      <c r="M5154" t="s">
        <v>40206</v>
      </c>
      <c r="N5154" t="s">
        <v>43166</v>
      </c>
      <c r="O5154" t="s">
        <v>43167</v>
      </c>
      <c r="P5154">
        <v>0</v>
      </c>
      <c r="Q5154">
        <v>1</v>
      </c>
      <c r="R5154" t="s">
        <v>43172</v>
      </c>
      <c r="S5154" t="s">
        <v>43334</v>
      </c>
      <c r="T5154" t="s">
        <v>44807</v>
      </c>
      <c r="U5154" t="s">
        <v>49407</v>
      </c>
      <c r="W5154" t="s">
        <v>40206</v>
      </c>
      <c r="X5154" t="s">
        <v>43173</v>
      </c>
    </row>
    <row r="5155" spans="1:24">
      <c r="A5155">
        <f>HYPERLINK("https://www.philgeps.gov.ph/GEPSNONPILOT/Tender/SplashBidNoticeAbstractUI.aspx?menuIndex=3&amp;refID=7079283&amp;Result=3","7079283")</f>
        <v>0</v>
      </c>
      <c r="B5155" t="s">
        <v>1777</v>
      </c>
      <c r="C5155" t="s">
        <v>8340</v>
      </c>
      <c r="D5155" t="s">
        <v>17461</v>
      </c>
      <c r="E5155" t="s">
        <v>21969</v>
      </c>
      <c r="F5155" t="s">
        <v>30052</v>
      </c>
      <c r="G5155" t="s">
        <v>30059</v>
      </c>
      <c r="H5155" t="s">
        <v>15498</v>
      </c>
      <c r="I5155" t="s">
        <v>6691</v>
      </c>
      <c r="J5155" t="s">
        <v>31388</v>
      </c>
      <c r="K5155" t="s">
        <v>39029</v>
      </c>
      <c r="M5155" t="s">
        <v>41197</v>
      </c>
      <c r="N5155" t="s">
        <v>43166</v>
      </c>
      <c r="O5155" t="s">
        <v>43167</v>
      </c>
      <c r="P5155">
        <v>0</v>
      </c>
      <c r="Q5155">
        <v>0</v>
      </c>
      <c r="R5155" t="s">
        <v>43172</v>
      </c>
      <c r="S5155" t="s">
        <v>43334</v>
      </c>
      <c r="T5155" t="s">
        <v>44696</v>
      </c>
      <c r="U5155" t="s">
        <v>49408</v>
      </c>
      <c r="W5155" t="s">
        <v>41197</v>
      </c>
      <c r="X5155" t="s">
        <v>43173</v>
      </c>
    </row>
    <row r="5156" spans="1:24">
      <c r="A5156">
        <f>HYPERLINK("https://www.philgeps.gov.ph/GEPSNONPILOT/Tender/SplashBidNoticeAbstractUI.aspx?menuIndex=3&amp;refID=7079293&amp;Result=3","7079293")</f>
        <v>0</v>
      </c>
      <c r="B5156" t="s">
        <v>1792</v>
      </c>
      <c r="C5156" t="s">
        <v>8341</v>
      </c>
      <c r="D5156" t="s">
        <v>17432</v>
      </c>
      <c r="E5156" t="s">
        <v>21970</v>
      </c>
      <c r="F5156" t="s">
        <v>30052</v>
      </c>
      <c r="G5156" t="s">
        <v>30060</v>
      </c>
      <c r="H5156" t="s">
        <v>15498</v>
      </c>
      <c r="I5156" t="s">
        <v>30108</v>
      </c>
      <c r="J5156" t="s">
        <v>30377</v>
      </c>
      <c r="K5156" t="s">
        <v>39034</v>
      </c>
      <c r="M5156" t="s">
        <v>41214</v>
      </c>
      <c r="N5156" t="s">
        <v>43166</v>
      </c>
      <c r="O5156" t="s">
        <v>43167</v>
      </c>
      <c r="P5156">
        <v>0</v>
      </c>
      <c r="Q5156">
        <v>3</v>
      </c>
      <c r="R5156" t="s">
        <v>43172</v>
      </c>
      <c r="S5156" t="s">
        <v>43334</v>
      </c>
      <c r="T5156" t="s">
        <v>44714</v>
      </c>
      <c r="U5156" t="s">
        <v>49409</v>
      </c>
      <c r="W5156" t="s">
        <v>41214</v>
      </c>
      <c r="X5156" t="s">
        <v>43173</v>
      </c>
    </row>
    <row r="5157" spans="1:24">
      <c r="A5157">
        <f>HYPERLINK("https://www.philgeps.gov.ph/GEPSNONPILOT/Tender/SplashBidNoticeAbstractUI.aspx?menuIndex=3&amp;refID=7079205&amp;Result=3","7079205")</f>
        <v>0</v>
      </c>
      <c r="B5157" t="s">
        <v>1681</v>
      </c>
      <c r="C5157" t="s">
        <v>8342</v>
      </c>
      <c r="D5157" t="s">
        <v>17482</v>
      </c>
      <c r="E5157" t="s">
        <v>21971</v>
      </c>
      <c r="F5157" t="s">
        <v>30055</v>
      </c>
      <c r="G5157" t="s">
        <v>30059</v>
      </c>
      <c r="H5157" t="s">
        <v>15498</v>
      </c>
      <c r="I5157" t="s">
        <v>30183</v>
      </c>
      <c r="J5157" t="s">
        <v>30402</v>
      </c>
      <c r="K5157" t="s">
        <v>39098</v>
      </c>
      <c r="M5157" t="s">
        <v>41088</v>
      </c>
      <c r="N5157" t="s">
        <v>43166</v>
      </c>
      <c r="O5157" t="s">
        <v>43167</v>
      </c>
      <c r="P5157">
        <v>0</v>
      </c>
      <c r="Q5157">
        <v>0</v>
      </c>
      <c r="R5157" t="s">
        <v>43172</v>
      </c>
      <c r="S5157" t="s">
        <v>43334</v>
      </c>
      <c r="T5157" t="s">
        <v>44685</v>
      </c>
      <c r="U5157" t="s">
        <v>49410</v>
      </c>
      <c r="W5157" t="s">
        <v>41088</v>
      </c>
      <c r="X5157" t="s">
        <v>43173</v>
      </c>
    </row>
    <row r="5158" spans="1:24">
      <c r="A5158">
        <f>HYPERLINK("https://www.philgeps.gov.ph/GEPSNONPILOT/Tender/SplashBidNoticeAbstractUI.aspx?menuIndex=3&amp;refID=7079275&amp;Result=3","7079275")</f>
        <v>0</v>
      </c>
      <c r="B5158" t="s">
        <v>1576</v>
      </c>
      <c r="C5158" t="s">
        <v>8343</v>
      </c>
      <c r="D5158" t="s">
        <v>17415</v>
      </c>
      <c r="E5158" t="s">
        <v>21972</v>
      </c>
      <c r="F5158" t="s">
        <v>30052</v>
      </c>
      <c r="G5158" t="s">
        <v>30058</v>
      </c>
      <c r="H5158" t="s">
        <v>15498</v>
      </c>
      <c r="I5158" t="s">
        <v>9238</v>
      </c>
      <c r="J5158" t="s">
        <v>33474</v>
      </c>
      <c r="K5158" t="s">
        <v>39025</v>
      </c>
      <c r="M5158" t="s">
        <v>41215</v>
      </c>
      <c r="N5158" t="s">
        <v>43166</v>
      </c>
      <c r="O5158" t="s">
        <v>43167</v>
      </c>
      <c r="P5158">
        <v>0</v>
      </c>
      <c r="Q5158">
        <v>42</v>
      </c>
      <c r="R5158" t="s">
        <v>43172</v>
      </c>
      <c r="S5158" t="s">
        <v>43334</v>
      </c>
      <c r="T5158" t="s">
        <v>44796</v>
      </c>
      <c r="U5158" t="s">
        <v>49411</v>
      </c>
      <c r="W5158" t="s">
        <v>41215</v>
      </c>
      <c r="X5158" t="s">
        <v>43173</v>
      </c>
    </row>
    <row r="5159" spans="1:24">
      <c r="A5159">
        <f>HYPERLINK("https://www.philgeps.gov.ph/GEPSNONPILOT/Tender/SplashBidNoticeAbstractUI.aspx?menuIndex=3&amp;refID=7079274&amp;Result=3","7079274")</f>
        <v>0</v>
      </c>
      <c r="B5159" t="s">
        <v>1782</v>
      </c>
      <c r="C5159" t="s">
        <v>8344</v>
      </c>
      <c r="D5159" t="s">
        <v>17441</v>
      </c>
      <c r="E5159" t="s">
        <v>21973</v>
      </c>
      <c r="F5159" t="s">
        <v>30052</v>
      </c>
      <c r="G5159" t="s">
        <v>30058</v>
      </c>
      <c r="H5159" t="s">
        <v>30067</v>
      </c>
      <c r="I5159" t="s">
        <v>3693</v>
      </c>
      <c r="J5159" t="s">
        <v>33475</v>
      </c>
      <c r="K5159" t="s">
        <v>39025</v>
      </c>
      <c r="M5159" t="s">
        <v>41203</v>
      </c>
      <c r="N5159" t="s">
        <v>43166</v>
      </c>
      <c r="O5159" t="s">
        <v>43167</v>
      </c>
      <c r="P5159">
        <v>0</v>
      </c>
      <c r="Q5159">
        <v>2</v>
      </c>
      <c r="R5159" t="s">
        <v>43172</v>
      </c>
      <c r="S5159" t="s">
        <v>43334</v>
      </c>
      <c r="T5159" t="s">
        <v>44691</v>
      </c>
      <c r="U5159" t="s">
        <v>49412</v>
      </c>
      <c r="V5159" t="s">
        <v>57397</v>
      </c>
      <c r="W5159" t="s">
        <v>41203</v>
      </c>
      <c r="X5159" t="s">
        <v>43173</v>
      </c>
    </row>
    <row r="5160" spans="1:24">
      <c r="A5160">
        <f>HYPERLINK("https://www.philgeps.gov.ph/GEPSNONPILOT/Tender/SplashBidNoticeAbstractUI.aspx?menuIndex=3&amp;refID=7079285&amp;Result=3","7079285")</f>
        <v>0</v>
      </c>
      <c r="B5160" t="s">
        <v>311</v>
      </c>
      <c r="C5160" t="s">
        <v>8345</v>
      </c>
      <c r="D5160" t="s">
        <v>17429</v>
      </c>
      <c r="E5160" t="s">
        <v>18147</v>
      </c>
      <c r="F5160" t="s">
        <v>30052</v>
      </c>
      <c r="G5160" t="s">
        <v>30058</v>
      </c>
      <c r="H5160" t="s">
        <v>15498</v>
      </c>
      <c r="I5160" t="s">
        <v>30078</v>
      </c>
      <c r="J5160" t="s">
        <v>33476</v>
      </c>
      <c r="K5160" t="s">
        <v>39029</v>
      </c>
      <c r="M5160" t="s">
        <v>39607</v>
      </c>
      <c r="N5160" t="s">
        <v>43166</v>
      </c>
      <c r="O5160" t="s">
        <v>43167</v>
      </c>
      <c r="P5160">
        <v>0</v>
      </c>
      <c r="Q5160">
        <v>1</v>
      </c>
      <c r="R5160" t="s">
        <v>43172</v>
      </c>
      <c r="S5160" t="s">
        <v>43334</v>
      </c>
      <c r="T5160" t="s">
        <v>45009</v>
      </c>
      <c r="U5160" t="s">
        <v>49413</v>
      </c>
      <c r="W5160" t="s">
        <v>39607</v>
      </c>
      <c r="X5160" t="s">
        <v>43173</v>
      </c>
    </row>
    <row r="5161" spans="1:24">
      <c r="A5161">
        <f>HYPERLINK("https://www.philgeps.gov.ph/GEPSNONPILOT/Tender/SplashBidNoticeAbstractUI.aspx?menuIndex=3&amp;refID=7079272&amp;Result=3","7079272")</f>
        <v>0</v>
      </c>
      <c r="B5161" t="s">
        <v>1655</v>
      </c>
      <c r="C5161" t="s">
        <v>8346</v>
      </c>
      <c r="D5161" t="s">
        <v>17481</v>
      </c>
      <c r="E5161" t="s">
        <v>21974</v>
      </c>
      <c r="F5161" t="s">
        <v>30052</v>
      </c>
      <c r="G5161" t="s">
        <v>30058</v>
      </c>
      <c r="H5161" t="s">
        <v>30067</v>
      </c>
      <c r="I5161" t="s">
        <v>3693</v>
      </c>
      <c r="J5161" t="s">
        <v>33477</v>
      </c>
      <c r="K5161" t="s">
        <v>39029</v>
      </c>
      <c r="M5161" t="s">
        <v>41060</v>
      </c>
      <c r="N5161" t="s">
        <v>43166</v>
      </c>
      <c r="O5161" t="s">
        <v>43167</v>
      </c>
      <c r="P5161">
        <v>0</v>
      </c>
      <c r="Q5161">
        <v>0</v>
      </c>
      <c r="R5161" t="s">
        <v>43172</v>
      </c>
      <c r="S5161" t="s">
        <v>43334</v>
      </c>
      <c r="T5161" t="s">
        <v>44685</v>
      </c>
      <c r="U5161" t="s">
        <v>49414</v>
      </c>
      <c r="W5161" t="s">
        <v>41060</v>
      </c>
      <c r="X5161" t="s">
        <v>43173</v>
      </c>
    </row>
    <row r="5162" spans="1:24">
      <c r="A5162">
        <f>HYPERLINK("https://www.philgeps.gov.ph/GEPSNONPILOT/Tender/SplashBidNoticeAbstractUI.aspx?menuIndex=3&amp;refID=7079282&amp;Result=3","7079282")</f>
        <v>0</v>
      </c>
      <c r="B5162" t="s">
        <v>1793</v>
      </c>
      <c r="C5162" t="s">
        <v>8347</v>
      </c>
      <c r="D5162" t="s">
        <v>17443</v>
      </c>
      <c r="E5162" t="s">
        <v>21975</v>
      </c>
      <c r="F5162" t="s">
        <v>30052</v>
      </c>
      <c r="G5162" t="s">
        <v>30058</v>
      </c>
      <c r="H5162" t="s">
        <v>15498</v>
      </c>
      <c r="I5162" t="s">
        <v>3852</v>
      </c>
      <c r="J5162" t="s">
        <v>33478</v>
      </c>
      <c r="K5162" t="s">
        <v>39025</v>
      </c>
      <c r="M5162" t="s">
        <v>41216</v>
      </c>
      <c r="N5162" t="s">
        <v>43166</v>
      </c>
      <c r="O5162" t="s">
        <v>43167</v>
      </c>
      <c r="P5162">
        <v>0</v>
      </c>
      <c r="Q5162">
        <v>0</v>
      </c>
      <c r="R5162" t="s">
        <v>43172</v>
      </c>
      <c r="S5162" t="s">
        <v>43334</v>
      </c>
      <c r="T5162" t="s">
        <v>44806</v>
      </c>
      <c r="U5162" t="s">
        <v>49415</v>
      </c>
      <c r="V5162" t="s">
        <v>57027</v>
      </c>
      <c r="W5162" t="s">
        <v>41216</v>
      </c>
      <c r="X5162" t="s">
        <v>43173</v>
      </c>
    </row>
    <row r="5163" spans="1:24">
      <c r="A5163">
        <f>HYPERLINK("https://www.philgeps.gov.ph/GEPSNONPILOT/Tender/SplashBidNoticeAbstractUI.aspx?menuIndex=3&amp;refID=7079277&amp;Result=3","7079277")</f>
        <v>0</v>
      </c>
      <c r="B5163" t="s">
        <v>1794</v>
      </c>
      <c r="C5163" t="s">
        <v>8348</v>
      </c>
      <c r="D5163" t="s">
        <v>17418</v>
      </c>
      <c r="E5163" t="s">
        <v>21976</v>
      </c>
      <c r="F5163" t="s">
        <v>30052</v>
      </c>
      <c r="G5163" t="s">
        <v>30059</v>
      </c>
      <c r="H5163" t="s">
        <v>15498</v>
      </c>
      <c r="I5163" t="s">
        <v>30074</v>
      </c>
      <c r="J5163" t="s">
        <v>30230</v>
      </c>
      <c r="K5163" t="s">
        <v>39019</v>
      </c>
      <c r="M5163" t="s">
        <v>41217</v>
      </c>
      <c r="N5163" t="s">
        <v>43166</v>
      </c>
      <c r="O5163" t="s">
        <v>43167</v>
      </c>
      <c r="P5163">
        <v>0</v>
      </c>
      <c r="Q5163">
        <v>0</v>
      </c>
      <c r="R5163" t="s">
        <v>43172</v>
      </c>
      <c r="S5163" t="s">
        <v>43334</v>
      </c>
      <c r="T5163" t="s">
        <v>44777</v>
      </c>
      <c r="U5163" t="s">
        <v>49416</v>
      </c>
      <c r="W5163" t="s">
        <v>41217</v>
      </c>
      <c r="X5163" t="s">
        <v>43173</v>
      </c>
    </row>
    <row r="5164" spans="1:24">
      <c r="A5164">
        <f>HYPERLINK("https://www.philgeps.gov.ph/GEPSNONPILOT/Tender/SplashBidNoticeAbstractUI.aspx?menuIndex=3&amp;refID=7079263&amp;Result=3","7079263")</f>
        <v>0</v>
      </c>
      <c r="B5164" t="s">
        <v>1777</v>
      </c>
      <c r="C5164" t="s">
        <v>8349</v>
      </c>
      <c r="D5164" t="s">
        <v>17461</v>
      </c>
      <c r="E5164" t="s">
        <v>21977</v>
      </c>
      <c r="F5164" t="s">
        <v>30052</v>
      </c>
      <c r="G5164" t="s">
        <v>30059</v>
      </c>
      <c r="H5164" t="s">
        <v>15498</v>
      </c>
      <c r="I5164" t="s">
        <v>6691</v>
      </c>
      <c r="J5164" t="s">
        <v>30459</v>
      </c>
      <c r="K5164" t="s">
        <v>39029</v>
      </c>
      <c r="M5164" t="s">
        <v>41197</v>
      </c>
      <c r="N5164" t="s">
        <v>43166</v>
      </c>
      <c r="O5164" t="s">
        <v>43167</v>
      </c>
      <c r="P5164">
        <v>0</v>
      </c>
      <c r="Q5164">
        <v>0</v>
      </c>
      <c r="R5164" t="s">
        <v>43172</v>
      </c>
      <c r="S5164" t="s">
        <v>43334</v>
      </c>
      <c r="T5164" t="s">
        <v>44696</v>
      </c>
      <c r="U5164" t="s">
        <v>49417</v>
      </c>
      <c r="W5164" t="s">
        <v>41197</v>
      </c>
      <c r="X5164" t="s">
        <v>43173</v>
      </c>
    </row>
    <row r="5165" spans="1:24">
      <c r="A5165">
        <f>HYPERLINK("https://www.philgeps.gov.ph/GEPSNONPILOT/Tender/SplashBidNoticeAbstractUI.aspx?menuIndex=3&amp;refID=7079233&amp;Result=3","7079233")</f>
        <v>0</v>
      </c>
      <c r="B5165" t="s">
        <v>757</v>
      </c>
      <c r="C5165" t="s">
        <v>8350</v>
      </c>
      <c r="D5165" t="s">
        <v>17462</v>
      </c>
      <c r="E5165" t="s">
        <v>21930</v>
      </c>
      <c r="F5165" t="s">
        <v>30052</v>
      </c>
      <c r="G5165" t="s">
        <v>30058</v>
      </c>
      <c r="H5165" t="s">
        <v>30067</v>
      </c>
      <c r="I5165" t="s">
        <v>3693</v>
      </c>
      <c r="J5165" t="s">
        <v>33479</v>
      </c>
      <c r="K5165" t="s">
        <v>39022</v>
      </c>
      <c r="M5165" t="s">
        <v>40071</v>
      </c>
      <c r="N5165" t="s">
        <v>43166</v>
      </c>
      <c r="O5165" t="s">
        <v>43167</v>
      </c>
      <c r="P5165">
        <v>0</v>
      </c>
      <c r="Q5165">
        <v>1</v>
      </c>
      <c r="R5165" t="s">
        <v>43172</v>
      </c>
      <c r="S5165" t="s">
        <v>43334</v>
      </c>
      <c r="T5165" t="s">
        <v>44966</v>
      </c>
      <c r="U5165" t="s">
        <v>49205</v>
      </c>
      <c r="W5165" t="s">
        <v>40071</v>
      </c>
      <c r="X5165" t="s">
        <v>43173</v>
      </c>
    </row>
    <row r="5166" spans="1:24">
      <c r="A5166">
        <f>HYPERLINK("https://www.philgeps.gov.ph/GEPSNONPILOT/Tender/SplashBidNoticeAbstractUI.aspx?menuIndex=3&amp;refID=7079250&amp;Result=3","7079250")</f>
        <v>0</v>
      </c>
      <c r="B5166" t="s">
        <v>1779</v>
      </c>
      <c r="C5166" t="s">
        <v>8351</v>
      </c>
      <c r="D5166" t="s">
        <v>17444</v>
      </c>
      <c r="E5166" t="s">
        <v>21978</v>
      </c>
      <c r="F5166" t="s">
        <v>30052</v>
      </c>
      <c r="G5166" t="s">
        <v>30059</v>
      </c>
      <c r="H5166" t="s">
        <v>15498</v>
      </c>
      <c r="I5166" t="s">
        <v>30094</v>
      </c>
      <c r="J5166" t="s">
        <v>33480</v>
      </c>
      <c r="K5166" t="s">
        <v>39019</v>
      </c>
      <c r="M5166" t="s">
        <v>41199</v>
      </c>
      <c r="N5166" t="s">
        <v>43166</v>
      </c>
      <c r="O5166" t="s">
        <v>43167</v>
      </c>
      <c r="P5166">
        <v>0</v>
      </c>
      <c r="Q5166">
        <v>0</v>
      </c>
      <c r="R5166" t="s">
        <v>43172</v>
      </c>
      <c r="S5166" t="s">
        <v>43334</v>
      </c>
      <c r="T5166" t="s">
        <v>44698</v>
      </c>
      <c r="U5166" t="s">
        <v>49418</v>
      </c>
      <c r="V5166" t="s">
        <v>57405</v>
      </c>
      <c r="W5166" t="s">
        <v>41199</v>
      </c>
      <c r="X5166" t="s">
        <v>43173</v>
      </c>
    </row>
    <row r="5167" spans="1:24">
      <c r="A5167">
        <f>HYPERLINK("https://www.philgeps.gov.ph/GEPSNONPILOT/Tender/SplashBidNoticeAbstractUI.aspx?menuIndex=3&amp;refID=7079232&amp;Result=3","7079232")</f>
        <v>0</v>
      </c>
      <c r="B5167" t="s">
        <v>1727</v>
      </c>
      <c r="C5167" t="s">
        <v>8352</v>
      </c>
      <c r="D5167" t="s">
        <v>17436</v>
      </c>
      <c r="E5167" t="s">
        <v>21979</v>
      </c>
      <c r="F5167" t="s">
        <v>30052</v>
      </c>
      <c r="G5167" t="s">
        <v>30058</v>
      </c>
      <c r="H5167" t="s">
        <v>15498</v>
      </c>
      <c r="I5167" t="s">
        <v>30070</v>
      </c>
      <c r="J5167" t="s">
        <v>33481</v>
      </c>
      <c r="K5167" t="s">
        <v>39034</v>
      </c>
      <c r="M5167" t="s">
        <v>41144</v>
      </c>
      <c r="N5167" t="s">
        <v>43166</v>
      </c>
      <c r="O5167" t="s">
        <v>43167</v>
      </c>
      <c r="P5167">
        <v>0</v>
      </c>
      <c r="Q5167">
        <v>0</v>
      </c>
      <c r="R5167" t="s">
        <v>43172</v>
      </c>
      <c r="S5167" t="s">
        <v>43334</v>
      </c>
      <c r="T5167" t="s">
        <v>44818</v>
      </c>
      <c r="U5167" t="s">
        <v>49419</v>
      </c>
      <c r="W5167" t="s">
        <v>41144</v>
      </c>
      <c r="X5167" t="s">
        <v>43173</v>
      </c>
    </row>
    <row r="5168" spans="1:24">
      <c r="A5168">
        <f>HYPERLINK("https://www.philgeps.gov.ph/GEPSNONPILOT/Tender/SplashBidNoticeAbstractUI.aspx?menuIndex=3&amp;refID=7079231&amp;Result=3","7079231")</f>
        <v>0</v>
      </c>
      <c r="B5168" t="s">
        <v>1772</v>
      </c>
      <c r="C5168" t="s">
        <v>8353</v>
      </c>
      <c r="D5168" t="s">
        <v>17425</v>
      </c>
      <c r="E5168" t="s">
        <v>21980</v>
      </c>
      <c r="F5168" t="s">
        <v>30052</v>
      </c>
      <c r="G5168" t="s">
        <v>30058</v>
      </c>
      <c r="H5168" t="s">
        <v>15498</v>
      </c>
      <c r="I5168" t="s">
        <v>30098</v>
      </c>
      <c r="J5168" t="s">
        <v>33482</v>
      </c>
      <c r="K5168" t="s">
        <v>39025</v>
      </c>
      <c r="M5168" t="s">
        <v>41192</v>
      </c>
      <c r="N5168" t="s">
        <v>43166</v>
      </c>
      <c r="O5168" t="s">
        <v>43167</v>
      </c>
      <c r="P5168">
        <v>0</v>
      </c>
      <c r="Q5168">
        <v>2</v>
      </c>
      <c r="R5168" t="s">
        <v>43172</v>
      </c>
      <c r="S5168" t="s">
        <v>43334</v>
      </c>
      <c r="T5168" t="s">
        <v>44794</v>
      </c>
      <c r="U5168" t="s">
        <v>49420</v>
      </c>
      <c r="W5168" t="s">
        <v>58655</v>
      </c>
      <c r="X5168" t="s">
        <v>43173</v>
      </c>
    </row>
    <row r="5169" spans="1:24">
      <c r="A5169">
        <f>HYPERLINK("https://www.philgeps.gov.ph/GEPSNONPILOT/Tender/SplashBidNoticeAbstractUI.aspx?menuIndex=3&amp;refID=7079270&amp;Result=3","7079270")</f>
        <v>0</v>
      </c>
      <c r="B5169" t="s">
        <v>1701</v>
      </c>
      <c r="C5169" t="s">
        <v>8354</v>
      </c>
      <c r="D5169" t="s">
        <v>17427</v>
      </c>
      <c r="E5169" t="s">
        <v>21981</v>
      </c>
      <c r="F5169" t="s">
        <v>30052</v>
      </c>
      <c r="G5169" t="s">
        <v>30062</v>
      </c>
      <c r="H5169" t="s">
        <v>15498</v>
      </c>
      <c r="I5169" t="s">
        <v>30070</v>
      </c>
      <c r="J5169" t="s">
        <v>33483</v>
      </c>
      <c r="K5169" t="s">
        <v>39025</v>
      </c>
      <c r="M5169" t="s">
        <v>41112</v>
      </c>
      <c r="N5169" t="s">
        <v>43166</v>
      </c>
      <c r="O5169" t="s">
        <v>43167</v>
      </c>
      <c r="P5169">
        <v>0</v>
      </c>
      <c r="Q5169">
        <v>4</v>
      </c>
      <c r="R5169" t="s">
        <v>43172</v>
      </c>
      <c r="S5169" t="s">
        <v>43334</v>
      </c>
      <c r="T5169" t="s">
        <v>44773</v>
      </c>
      <c r="U5169" t="s">
        <v>49421</v>
      </c>
      <c r="W5169" t="s">
        <v>41112</v>
      </c>
      <c r="X5169" t="s">
        <v>43173</v>
      </c>
    </row>
    <row r="5170" spans="1:24">
      <c r="A5170">
        <f>HYPERLINK("https://www.philgeps.gov.ph/GEPSNONPILOT/Tender/SplashBidNoticeAbstractUI.aspx?menuIndex=3&amp;refID=7079228&amp;Result=3","7079228")</f>
        <v>0</v>
      </c>
      <c r="B5170" t="s">
        <v>1766</v>
      </c>
      <c r="C5170" t="s">
        <v>8355</v>
      </c>
      <c r="D5170" t="s">
        <v>17466</v>
      </c>
      <c r="E5170" t="s">
        <v>21982</v>
      </c>
      <c r="F5170" t="s">
        <v>30052</v>
      </c>
      <c r="G5170" t="s">
        <v>30058</v>
      </c>
      <c r="H5170" t="s">
        <v>30067</v>
      </c>
      <c r="I5170" t="s">
        <v>3693</v>
      </c>
      <c r="J5170" t="s">
        <v>31851</v>
      </c>
      <c r="K5170" t="s">
        <v>39147</v>
      </c>
      <c r="M5170" t="s">
        <v>41186</v>
      </c>
      <c r="N5170" t="s">
        <v>43166</v>
      </c>
      <c r="O5170" t="s">
        <v>43167</v>
      </c>
      <c r="P5170">
        <v>0</v>
      </c>
      <c r="Q5170">
        <v>1</v>
      </c>
      <c r="R5170" t="s">
        <v>43172</v>
      </c>
      <c r="S5170" t="s">
        <v>43334</v>
      </c>
      <c r="T5170" t="s">
        <v>44936</v>
      </c>
      <c r="U5170" t="s">
        <v>49422</v>
      </c>
      <c r="W5170" t="s">
        <v>41186</v>
      </c>
      <c r="X5170" t="s">
        <v>43173</v>
      </c>
    </row>
    <row r="5171" spans="1:24">
      <c r="A5171">
        <f>HYPERLINK("https://www.philgeps.gov.ph/GEPSNONPILOT/Tender/SplashBidNoticeAbstractUI.aspx?menuIndex=3&amp;refID=7079224&amp;Result=3","7079224")</f>
        <v>0</v>
      </c>
      <c r="B5171" t="s">
        <v>1325</v>
      </c>
      <c r="C5171" t="s">
        <v>8356</v>
      </c>
      <c r="D5171" t="s">
        <v>17413</v>
      </c>
      <c r="E5171" t="s">
        <v>21983</v>
      </c>
      <c r="F5171" t="s">
        <v>30052</v>
      </c>
      <c r="G5171" t="s">
        <v>30058</v>
      </c>
      <c r="H5171" t="s">
        <v>30067</v>
      </c>
      <c r="I5171" t="s">
        <v>3693</v>
      </c>
      <c r="J5171" t="s">
        <v>31157</v>
      </c>
      <c r="K5171" t="s">
        <v>39154</v>
      </c>
      <c r="M5171" t="s">
        <v>40692</v>
      </c>
      <c r="N5171" t="s">
        <v>43166</v>
      </c>
      <c r="O5171" t="s">
        <v>43167</v>
      </c>
      <c r="P5171">
        <v>0</v>
      </c>
      <c r="Q5171">
        <v>0</v>
      </c>
      <c r="R5171" t="s">
        <v>43172</v>
      </c>
      <c r="S5171" t="s">
        <v>43334</v>
      </c>
      <c r="T5171" t="s">
        <v>44874</v>
      </c>
      <c r="U5171" t="s">
        <v>49423</v>
      </c>
      <c r="W5171" t="s">
        <v>40692</v>
      </c>
      <c r="X5171" t="s">
        <v>43173</v>
      </c>
    </row>
    <row r="5172" spans="1:24">
      <c r="A5172">
        <f>HYPERLINK("https://www.philgeps.gov.ph/GEPSNONPILOT/Tender/SplashBidNoticeAbstractUI.aspx?menuIndex=3&amp;refID=7079237&amp;Result=3","7079237")</f>
        <v>0</v>
      </c>
      <c r="B5172" t="s">
        <v>1777</v>
      </c>
      <c r="C5172" t="s">
        <v>8357</v>
      </c>
      <c r="D5172" t="s">
        <v>17461</v>
      </c>
      <c r="E5172" t="s">
        <v>21984</v>
      </c>
      <c r="F5172" t="s">
        <v>30052</v>
      </c>
      <c r="G5172" t="s">
        <v>30059</v>
      </c>
      <c r="H5172" t="s">
        <v>15498</v>
      </c>
      <c r="I5172" t="s">
        <v>30091</v>
      </c>
      <c r="J5172" t="s">
        <v>30277</v>
      </c>
      <c r="K5172" t="s">
        <v>39046</v>
      </c>
      <c r="M5172" t="s">
        <v>41197</v>
      </c>
      <c r="N5172" t="s">
        <v>43166</v>
      </c>
      <c r="O5172" t="s">
        <v>43167</v>
      </c>
      <c r="P5172">
        <v>0</v>
      </c>
      <c r="Q5172">
        <v>3</v>
      </c>
      <c r="R5172" t="s">
        <v>43172</v>
      </c>
      <c r="S5172" t="s">
        <v>43334</v>
      </c>
      <c r="T5172" t="s">
        <v>44696</v>
      </c>
      <c r="U5172" t="s">
        <v>49424</v>
      </c>
      <c r="W5172" t="s">
        <v>41197</v>
      </c>
      <c r="X5172" t="s">
        <v>43173</v>
      </c>
    </row>
    <row r="5173" spans="1:24">
      <c r="A5173">
        <f>HYPERLINK("https://www.philgeps.gov.ph/GEPSNONPILOT/Tender/SplashBidNoticeAbstractUI.aspx?menuIndex=3&amp;refID=7079341&amp;Result=3","7079341")</f>
        <v>0</v>
      </c>
      <c r="B5173" t="s">
        <v>757</v>
      </c>
      <c r="C5173" t="s">
        <v>8358</v>
      </c>
      <c r="D5173" t="s">
        <v>17462</v>
      </c>
      <c r="E5173" t="s">
        <v>21930</v>
      </c>
      <c r="F5173" t="s">
        <v>30052</v>
      </c>
      <c r="G5173" t="s">
        <v>30058</v>
      </c>
      <c r="H5173" t="s">
        <v>30067</v>
      </c>
      <c r="I5173" t="s">
        <v>3693</v>
      </c>
      <c r="J5173" t="s">
        <v>33484</v>
      </c>
      <c r="K5173" t="s">
        <v>39026</v>
      </c>
      <c r="M5173" t="s">
        <v>40071</v>
      </c>
      <c r="N5173" t="s">
        <v>43166</v>
      </c>
      <c r="O5173" t="s">
        <v>43167</v>
      </c>
      <c r="P5173">
        <v>0</v>
      </c>
      <c r="Q5173">
        <v>0</v>
      </c>
      <c r="R5173" t="s">
        <v>43172</v>
      </c>
      <c r="S5173" t="s">
        <v>43334</v>
      </c>
      <c r="T5173" t="s">
        <v>44966</v>
      </c>
      <c r="U5173" t="s">
        <v>49205</v>
      </c>
      <c r="W5173" t="s">
        <v>40071</v>
      </c>
      <c r="X5173" t="s">
        <v>43173</v>
      </c>
    </row>
    <row r="5174" spans="1:24">
      <c r="A5174">
        <f>HYPERLINK("https://www.philgeps.gov.ph/GEPSNONPILOT/Tender/SplashBidNoticeAbstractUI.aspx?menuIndex=3&amp;refID=7079340&amp;Result=3","7079340")</f>
        <v>0</v>
      </c>
      <c r="B5174" t="s">
        <v>1777</v>
      </c>
      <c r="C5174" t="s">
        <v>8359</v>
      </c>
      <c r="D5174" t="s">
        <v>17461</v>
      </c>
      <c r="E5174" t="s">
        <v>21985</v>
      </c>
      <c r="F5174" t="s">
        <v>30052</v>
      </c>
      <c r="G5174" t="s">
        <v>30059</v>
      </c>
      <c r="H5174" t="s">
        <v>15498</v>
      </c>
      <c r="I5174" t="s">
        <v>3852</v>
      </c>
      <c r="J5174" t="s">
        <v>33485</v>
      </c>
      <c r="K5174" t="s">
        <v>39023</v>
      </c>
      <c r="M5174" t="s">
        <v>41197</v>
      </c>
      <c r="N5174" t="s">
        <v>43166</v>
      </c>
      <c r="O5174" t="s">
        <v>43167</v>
      </c>
      <c r="P5174">
        <v>0</v>
      </c>
      <c r="Q5174">
        <v>0</v>
      </c>
      <c r="R5174" t="s">
        <v>43172</v>
      </c>
      <c r="S5174" t="s">
        <v>43334</v>
      </c>
      <c r="T5174" t="s">
        <v>44696</v>
      </c>
      <c r="U5174" t="s">
        <v>49425</v>
      </c>
      <c r="W5174" t="s">
        <v>41197</v>
      </c>
      <c r="X5174" t="s">
        <v>43173</v>
      </c>
    </row>
    <row r="5175" spans="1:24">
      <c r="A5175">
        <f>HYPERLINK("https://www.philgeps.gov.ph/GEPSNONPILOT/Tender/SplashBidNoticeAbstractUI.aspx?menuIndex=3&amp;refID=7079335&amp;Result=3","7079335")</f>
        <v>0</v>
      </c>
      <c r="B5175" t="s">
        <v>1795</v>
      </c>
      <c r="C5175" t="s">
        <v>8360</v>
      </c>
      <c r="D5175" t="s">
        <v>17433</v>
      </c>
      <c r="E5175" t="s">
        <v>21986</v>
      </c>
      <c r="F5175" t="s">
        <v>30052</v>
      </c>
      <c r="G5175" t="s">
        <v>30058</v>
      </c>
      <c r="H5175" t="s">
        <v>30067</v>
      </c>
      <c r="I5175" t="s">
        <v>3736</v>
      </c>
      <c r="J5175" t="s">
        <v>32820</v>
      </c>
      <c r="K5175" t="s">
        <v>39022</v>
      </c>
      <c r="M5175" t="s">
        <v>41218</v>
      </c>
      <c r="N5175" t="s">
        <v>43166</v>
      </c>
      <c r="O5175" t="s">
        <v>43167</v>
      </c>
      <c r="P5175">
        <v>0</v>
      </c>
      <c r="Q5175">
        <v>0</v>
      </c>
      <c r="R5175" t="s">
        <v>43172</v>
      </c>
      <c r="S5175" t="s">
        <v>43334</v>
      </c>
      <c r="T5175" t="s">
        <v>44716</v>
      </c>
      <c r="U5175" t="s">
        <v>49426</v>
      </c>
      <c r="W5175" t="s">
        <v>41218</v>
      </c>
      <c r="X5175" t="s">
        <v>43173</v>
      </c>
    </row>
    <row r="5176" spans="1:24">
      <c r="A5176">
        <f>HYPERLINK("https://www.philgeps.gov.ph/GEPSNONPILOT/Tender/SplashBidNoticeAbstractUI.aspx?menuIndex=3&amp;refID=7079269&amp;Result=3","7079269")</f>
        <v>0</v>
      </c>
      <c r="B5176" t="s">
        <v>1779</v>
      </c>
      <c r="C5176" t="s">
        <v>8361</v>
      </c>
      <c r="D5176" t="s">
        <v>17444</v>
      </c>
      <c r="E5176" t="s">
        <v>21987</v>
      </c>
      <c r="F5176" t="s">
        <v>30052</v>
      </c>
      <c r="G5176" t="s">
        <v>30059</v>
      </c>
      <c r="H5176" t="s">
        <v>15498</v>
      </c>
      <c r="I5176" t="s">
        <v>30116</v>
      </c>
      <c r="J5176" t="s">
        <v>33486</v>
      </c>
      <c r="K5176" t="s">
        <v>39034</v>
      </c>
      <c r="M5176" t="s">
        <v>41199</v>
      </c>
      <c r="N5176" t="s">
        <v>43166</v>
      </c>
      <c r="O5176" t="s">
        <v>43167</v>
      </c>
      <c r="P5176">
        <v>0</v>
      </c>
      <c r="Q5176">
        <v>1</v>
      </c>
      <c r="R5176" t="s">
        <v>43172</v>
      </c>
      <c r="S5176" t="s">
        <v>43334</v>
      </c>
      <c r="T5176" t="s">
        <v>44698</v>
      </c>
      <c r="U5176" t="s">
        <v>49427</v>
      </c>
      <c r="V5176" t="s">
        <v>57405</v>
      </c>
      <c r="W5176" t="s">
        <v>41199</v>
      </c>
      <c r="X5176" t="s">
        <v>43173</v>
      </c>
    </row>
    <row r="5177" spans="1:24">
      <c r="A5177">
        <f>HYPERLINK("https://www.philgeps.gov.ph/GEPSNONPILOT/Tender/SplashBidNoticeAbstractUI.aspx?menuIndex=3&amp;refID=7079331&amp;Result=3","7079331")</f>
        <v>0</v>
      </c>
      <c r="B5177" t="s">
        <v>1784</v>
      </c>
      <c r="C5177" t="s">
        <v>4119</v>
      </c>
      <c r="D5177" t="s">
        <v>17459</v>
      </c>
      <c r="E5177" t="s">
        <v>21988</v>
      </c>
      <c r="F5177" t="s">
        <v>30052</v>
      </c>
      <c r="G5177" t="s">
        <v>30062</v>
      </c>
      <c r="H5177" t="s">
        <v>15498</v>
      </c>
      <c r="I5177" t="s">
        <v>4119</v>
      </c>
      <c r="J5177" t="s">
        <v>33487</v>
      </c>
      <c r="K5177" t="s">
        <v>39029</v>
      </c>
      <c r="M5177" t="s">
        <v>41205</v>
      </c>
      <c r="N5177" t="s">
        <v>43166</v>
      </c>
      <c r="O5177" t="s">
        <v>43167</v>
      </c>
      <c r="P5177">
        <v>0</v>
      </c>
      <c r="Q5177">
        <v>4</v>
      </c>
      <c r="R5177" t="s">
        <v>43172</v>
      </c>
      <c r="S5177" t="s">
        <v>43334</v>
      </c>
      <c r="T5177" t="s">
        <v>44777</v>
      </c>
      <c r="U5177" t="s">
        <v>49428</v>
      </c>
      <c r="W5177" t="s">
        <v>41205</v>
      </c>
      <c r="X5177" t="s">
        <v>43173</v>
      </c>
    </row>
    <row r="5178" spans="1:24">
      <c r="A5178">
        <f>HYPERLINK("https://www.philgeps.gov.ph/GEPSNONPILOT/Tender/SplashBidNoticeAbstractUI.aspx?menuIndex=3&amp;refID=7079223&amp;Result=3","7079223")</f>
        <v>0</v>
      </c>
      <c r="B5178" t="s">
        <v>1576</v>
      </c>
      <c r="C5178" t="s">
        <v>8362</v>
      </c>
      <c r="D5178" t="s">
        <v>17415</v>
      </c>
      <c r="E5178" t="s">
        <v>21989</v>
      </c>
      <c r="F5178" t="s">
        <v>30052</v>
      </c>
      <c r="G5178" t="s">
        <v>30058</v>
      </c>
      <c r="H5178" t="s">
        <v>15498</v>
      </c>
      <c r="I5178" t="s">
        <v>9238</v>
      </c>
      <c r="J5178" t="s">
        <v>30555</v>
      </c>
      <c r="K5178" t="s">
        <v>39025</v>
      </c>
      <c r="M5178" t="s">
        <v>41215</v>
      </c>
      <c r="N5178" t="s">
        <v>43166</v>
      </c>
      <c r="O5178" t="s">
        <v>43167</v>
      </c>
      <c r="P5178">
        <v>0</v>
      </c>
      <c r="Q5178">
        <v>43</v>
      </c>
      <c r="R5178" t="s">
        <v>43172</v>
      </c>
      <c r="S5178" t="s">
        <v>43334</v>
      </c>
      <c r="T5178" t="s">
        <v>44796</v>
      </c>
      <c r="U5178" t="s">
        <v>49429</v>
      </c>
      <c r="W5178" t="s">
        <v>41215</v>
      </c>
      <c r="X5178" t="s">
        <v>43173</v>
      </c>
    </row>
    <row r="5179" spans="1:24">
      <c r="A5179">
        <f>HYPERLINK("https://www.philgeps.gov.ph/GEPSNONPILOT/Tender/SplashBidNoticeAbstractUI.aspx?menuIndex=3&amp;refID=7079336&amp;Result=3","7079336")</f>
        <v>0</v>
      </c>
      <c r="B5179" t="s">
        <v>844</v>
      </c>
      <c r="C5179" t="s">
        <v>8363</v>
      </c>
      <c r="D5179" t="s">
        <v>17428</v>
      </c>
      <c r="E5179" t="s">
        <v>8363</v>
      </c>
      <c r="F5179" t="s">
        <v>30052</v>
      </c>
      <c r="G5179" t="s">
        <v>30061</v>
      </c>
      <c r="H5179" t="s">
        <v>15498</v>
      </c>
      <c r="I5179" t="s">
        <v>4650</v>
      </c>
      <c r="J5179" t="s">
        <v>31137</v>
      </c>
      <c r="K5179" t="s">
        <v>39017</v>
      </c>
      <c r="L5179" t="s">
        <v>844</v>
      </c>
      <c r="M5179" t="s">
        <v>40161</v>
      </c>
      <c r="N5179" t="s">
        <v>43166</v>
      </c>
      <c r="O5179" t="s">
        <v>43167</v>
      </c>
      <c r="P5179">
        <v>0</v>
      </c>
      <c r="Q5179">
        <v>1</v>
      </c>
      <c r="R5179" t="s">
        <v>43172</v>
      </c>
      <c r="S5179" t="s">
        <v>43334</v>
      </c>
      <c r="T5179" t="s">
        <v>44788</v>
      </c>
      <c r="U5179" t="s">
        <v>49430</v>
      </c>
      <c r="W5179" t="s">
        <v>40161</v>
      </c>
      <c r="X5179" t="s">
        <v>43173</v>
      </c>
    </row>
    <row r="5180" spans="1:24">
      <c r="A5180">
        <f>HYPERLINK("https://www.philgeps.gov.ph/GEPSNONPILOT/Tender/SplashBidNoticeAbstractUI.aspx?menuIndex=3&amp;refID=7079239&amp;Result=3","7079239")</f>
        <v>0</v>
      </c>
      <c r="B5180" t="s">
        <v>1796</v>
      </c>
      <c r="C5180" t="s">
        <v>8364</v>
      </c>
      <c r="D5180" t="s">
        <v>17425</v>
      </c>
      <c r="E5180" t="s">
        <v>21990</v>
      </c>
      <c r="F5180" t="s">
        <v>30052</v>
      </c>
      <c r="G5180" t="s">
        <v>30061</v>
      </c>
      <c r="H5180" t="s">
        <v>15498</v>
      </c>
      <c r="I5180" t="s">
        <v>8323</v>
      </c>
      <c r="J5180" t="s">
        <v>30343</v>
      </c>
      <c r="K5180" t="s">
        <v>39025</v>
      </c>
      <c r="M5180" t="s">
        <v>41219</v>
      </c>
      <c r="N5180" t="s">
        <v>43166</v>
      </c>
      <c r="O5180" t="s">
        <v>43167</v>
      </c>
      <c r="P5180">
        <v>0</v>
      </c>
      <c r="Q5180">
        <v>9</v>
      </c>
      <c r="R5180" t="s">
        <v>43172</v>
      </c>
      <c r="S5180" t="s">
        <v>43334</v>
      </c>
      <c r="T5180" t="s">
        <v>44841</v>
      </c>
      <c r="U5180" t="s">
        <v>49431</v>
      </c>
      <c r="W5180" t="s">
        <v>58656</v>
      </c>
      <c r="X5180" t="s">
        <v>43173</v>
      </c>
    </row>
    <row r="5181" spans="1:24">
      <c r="A5181">
        <f>HYPERLINK("https://www.philgeps.gov.ph/GEPSNONPILOT/Tender/SplashBidNoticeAbstractUI.aspx?menuIndex=3&amp;refID=7079320&amp;Result=3","7079320")</f>
        <v>0</v>
      </c>
      <c r="B5181" t="s">
        <v>1777</v>
      </c>
      <c r="C5181" t="s">
        <v>8365</v>
      </c>
      <c r="D5181" t="s">
        <v>17461</v>
      </c>
      <c r="E5181" t="s">
        <v>21991</v>
      </c>
      <c r="F5181" t="s">
        <v>30052</v>
      </c>
      <c r="G5181" t="s">
        <v>30059</v>
      </c>
      <c r="H5181" t="s">
        <v>15498</v>
      </c>
      <c r="I5181" t="s">
        <v>6691</v>
      </c>
      <c r="J5181" t="s">
        <v>30299</v>
      </c>
      <c r="K5181" t="s">
        <v>39029</v>
      </c>
      <c r="M5181" t="s">
        <v>41197</v>
      </c>
      <c r="N5181" t="s">
        <v>43166</v>
      </c>
      <c r="O5181" t="s">
        <v>43167</v>
      </c>
      <c r="P5181">
        <v>0</v>
      </c>
      <c r="Q5181">
        <v>0</v>
      </c>
      <c r="R5181" t="s">
        <v>43172</v>
      </c>
      <c r="S5181" t="s">
        <v>43334</v>
      </c>
      <c r="T5181" t="s">
        <v>44696</v>
      </c>
      <c r="U5181" t="s">
        <v>49432</v>
      </c>
      <c r="W5181" t="s">
        <v>41197</v>
      </c>
      <c r="X5181" t="s">
        <v>43173</v>
      </c>
    </row>
    <row r="5182" spans="1:24">
      <c r="A5182">
        <f>HYPERLINK("https://www.philgeps.gov.ph/GEPSNONPILOT/Tender/SplashBidNoticeAbstractUI.aspx?menuIndex=3&amp;refID=7079264&amp;Result=3","7079264")</f>
        <v>0</v>
      </c>
      <c r="B5182" t="s">
        <v>311</v>
      </c>
      <c r="C5182" t="s">
        <v>8366</v>
      </c>
      <c r="D5182" t="s">
        <v>17429</v>
      </c>
      <c r="E5182" t="s">
        <v>21992</v>
      </c>
      <c r="F5182" t="s">
        <v>30052</v>
      </c>
      <c r="G5182" t="s">
        <v>30058</v>
      </c>
      <c r="H5182" t="s">
        <v>15498</v>
      </c>
      <c r="I5182" t="s">
        <v>30078</v>
      </c>
      <c r="J5182" t="s">
        <v>33488</v>
      </c>
      <c r="K5182" t="s">
        <v>39029</v>
      </c>
      <c r="M5182" t="s">
        <v>39607</v>
      </c>
      <c r="N5182" t="s">
        <v>43166</v>
      </c>
      <c r="O5182" t="s">
        <v>43167</v>
      </c>
      <c r="P5182">
        <v>0</v>
      </c>
      <c r="Q5182">
        <v>2</v>
      </c>
      <c r="R5182" t="s">
        <v>43172</v>
      </c>
      <c r="S5182" t="s">
        <v>43334</v>
      </c>
      <c r="T5182" t="s">
        <v>44825</v>
      </c>
      <c r="U5182" t="s">
        <v>49433</v>
      </c>
      <c r="W5182" t="s">
        <v>39607</v>
      </c>
      <c r="X5182" t="s">
        <v>43173</v>
      </c>
    </row>
    <row r="5183" spans="1:24">
      <c r="A5183">
        <f>HYPERLINK("https://www.philgeps.gov.ph/GEPSNONPILOT/Tender/SplashBidNoticeAbstractUI.aspx?menuIndex=3&amp;refID=7079313&amp;Result=3","7079313")</f>
        <v>0</v>
      </c>
      <c r="B5183" t="s">
        <v>1779</v>
      </c>
      <c r="C5183" t="s">
        <v>8367</v>
      </c>
      <c r="D5183" t="s">
        <v>17444</v>
      </c>
      <c r="E5183" t="s">
        <v>21993</v>
      </c>
      <c r="F5183" t="s">
        <v>30052</v>
      </c>
      <c r="G5183" t="s">
        <v>30059</v>
      </c>
      <c r="H5183" t="s">
        <v>15498</v>
      </c>
      <c r="I5183" t="s">
        <v>30073</v>
      </c>
      <c r="J5183" t="s">
        <v>33489</v>
      </c>
      <c r="K5183" t="s">
        <v>39037</v>
      </c>
      <c r="M5183" t="s">
        <v>41199</v>
      </c>
      <c r="N5183" t="s">
        <v>43166</v>
      </c>
      <c r="O5183" t="s">
        <v>43167</v>
      </c>
      <c r="P5183">
        <v>0</v>
      </c>
      <c r="Q5183">
        <v>0</v>
      </c>
      <c r="R5183" t="s">
        <v>43172</v>
      </c>
      <c r="S5183" t="s">
        <v>43334</v>
      </c>
      <c r="T5183" t="s">
        <v>44698</v>
      </c>
      <c r="U5183" t="s">
        <v>49434</v>
      </c>
      <c r="V5183" t="s">
        <v>57405</v>
      </c>
      <c r="W5183" t="s">
        <v>41199</v>
      </c>
      <c r="X5183" t="s">
        <v>43173</v>
      </c>
    </row>
    <row r="5184" spans="1:24">
      <c r="A5184">
        <f>HYPERLINK("https://www.philgeps.gov.ph/GEPSNONPILOT/Tender/SplashBidNoticeAbstractUI.aspx?menuIndex=3&amp;refID=7079319&amp;Result=3","7079319")</f>
        <v>0</v>
      </c>
      <c r="B5184" t="s">
        <v>757</v>
      </c>
      <c r="C5184" t="s">
        <v>8368</v>
      </c>
      <c r="D5184" t="s">
        <v>17462</v>
      </c>
      <c r="E5184" t="s">
        <v>21930</v>
      </c>
      <c r="F5184" t="s">
        <v>30052</v>
      </c>
      <c r="G5184" t="s">
        <v>30058</v>
      </c>
      <c r="H5184" t="s">
        <v>30067</v>
      </c>
      <c r="I5184" t="s">
        <v>3693</v>
      </c>
      <c r="J5184" t="s">
        <v>33490</v>
      </c>
      <c r="K5184" t="s">
        <v>39065</v>
      </c>
      <c r="M5184" t="s">
        <v>40071</v>
      </c>
      <c r="N5184" t="s">
        <v>43166</v>
      </c>
      <c r="O5184" t="s">
        <v>43167</v>
      </c>
      <c r="P5184">
        <v>0</v>
      </c>
      <c r="Q5184">
        <v>0</v>
      </c>
      <c r="R5184" t="s">
        <v>43172</v>
      </c>
      <c r="S5184" t="s">
        <v>43334</v>
      </c>
      <c r="T5184" t="s">
        <v>44966</v>
      </c>
      <c r="U5184" t="s">
        <v>49205</v>
      </c>
      <c r="W5184" t="s">
        <v>40071</v>
      </c>
      <c r="X5184" t="s">
        <v>43173</v>
      </c>
    </row>
    <row r="5185" spans="1:24">
      <c r="A5185">
        <f>HYPERLINK("https://www.philgeps.gov.ph/GEPSNONPILOT/Tender/SplashBidNoticeAbstractUI.aspx?menuIndex=3&amp;refID=7079312&amp;Result=3","7079312")</f>
        <v>0</v>
      </c>
      <c r="B5185" t="s">
        <v>816</v>
      </c>
      <c r="C5185" t="s">
        <v>8369</v>
      </c>
      <c r="D5185" t="s">
        <v>17449</v>
      </c>
      <c r="E5185" t="s">
        <v>21994</v>
      </c>
      <c r="F5185" t="s">
        <v>30052</v>
      </c>
      <c r="G5185" t="s">
        <v>30058</v>
      </c>
      <c r="H5185" t="s">
        <v>30067</v>
      </c>
      <c r="I5185" t="s">
        <v>3693</v>
      </c>
      <c r="J5185" t="s">
        <v>33491</v>
      </c>
      <c r="K5185" t="s">
        <v>39128</v>
      </c>
      <c r="M5185" t="s">
        <v>40133</v>
      </c>
      <c r="N5185" t="s">
        <v>43166</v>
      </c>
      <c r="O5185" t="s">
        <v>43167</v>
      </c>
      <c r="P5185">
        <v>0</v>
      </c>
      <c r="Q5185">
        <v>2</v>
      </c>
      <c r="R5185" t="s">
        <v>43172</v>
      </c>
      <c r="S5185" t="s">
        <v>43334</v>
      </c>
      <c r="T5185" t="s">
        <v>45013</v>
      </c>
      <c r="U5185" t="s">
        <v>49435</v>
      </c>
      <c r="W5185" t="s">
        <v>40133</v>
      </c>
      <c r="X5185" t="s">
        <v>43173</v>
      </c>
    </row>
    <row r="5186" spans="1:24">
      <c r="A5186">
        <f>HYPERLINK("https://www.philgeps.gov.ph/GEPSNONPILOT/Tender/SplashBidNoticeAbstractUI.aspx?menuIndex=3&amp;refID=7079311&amp;Result=3","7079311")</f>
        <v>0</v>
      </c>
      <c r="B5186" t="s">
        <v>1681</v>
      </c>
      <c r="C5186" t="s">
        <v>8342</v>
      </c>
      <c r="D5186" t="s">
        <v>17424</v>
      </c>
      <c r="E5186" t="s">
        <v>21995</v>
      </c>
      <c r="F5186" t="s">
        <v>30055</v>
      </c>
      <c r="G5186" t="s">
        <v>30059</v>
      </c>
      <c r="H5186" t="s">
        <v>15498</v>
      </c>
      <c r="I5186" t="s">
        <v>30183</v>
      </c>
      <c r="J5186" t="s">
        <v>30402</v>
      </c>
      <c r="K5186" t="s">
        <v>39098</v>
      </c>
      <c r="M5186" t="s">
        <v>41088</v>
      </c>
      <c r="N5186" t="s">
        <v>43166</v>
      </c>
      <c r="O5186" t="s">
        <v>43167</v>
      </c>
      <c r="P5186">
        <v>0</v>
      </c>
      <c r="Q5186">
        <v>1</v>
      </c>
      <c r="R5186" t="s">
        <v>43172</v>
      </c>
      <c r="S5186" t="s">
        <v>43334</v>
      </c>
      <c r="T5186" t="s">
        <v>44685</v>
      </c>
      <c r="U5186" t="s">
        <v>49436</v>
      </c>
      <c r="W5186" t="s">
        <v>41088</v>
      </c>
      <c r="X5186" t="s">
        <v>43173</v>
      </c>
    </row>
    <row r="5187" spans="1:24">
      <c r="A5187">
        <f>HYPERLINK("https://www.philgeps.gov.ph/GEPSNONPILOT/Tender/SplashBidNoticeAbstractUI.aspx?menuIndex=3&amp;refID=7079273&amp;Result=3","7079273")</f>
        <v>0</v>
      </c>
      <c r="B5187" t="s">
        <v>1703</v>
      </c>
      <c r="C5187" t="s">
        <v>8370</v>
      </c>
      <c r="D5187" t="s">
        <v>17468</v>
      </c>
      <c r="E5187" t="s">
        <v>21996</v>
      </c>
      <c r="F5187" t="s">
        <v>30052</v>
      </c>
      <c r="G5187" t="s">
        <v>30058</v>
      </c>
      <c r="H5187" t="s">
        <v>30067</v>
      </c>
      <c r="I5187" t="s">
        <v>3693</v>
      </c>
      <c r="J5187" t="s">
        <v>33492</v>
      </c>
      <c r="K5187" t="s">
        <v>39097</v>
      </c>
      <c r="M5187" t="s">
        <v>41115</v>
      </c>
      <c r="N5187" t="s">
        <v>43166</v>
      </c>
      <c r="O5187" t="s">
        <v>43167</v>
      </c>
      <c r="P5187">
        <v>0</v>
      </c>
      <c r="Q5187">
        <v>5</v>
      </c>
      <c r="R5187" t="s">
        <v>43172</v>
      </c>
      <c r="S5187" t="s">
        <v>43334</v>
      </c>
      <c r="T5187" t="s">
        <v>44712</v>
      </c>
      <c r="U5187" t="s">
        <v>49437</v>
      </c>
      <c r="W5187" t="s">
        <v>41115</v>
      </c>
      <c r="X5187" t="s">
        <v>43173</v>
      </c>
    </row>
    <row r="5188" spans="1:24">
      <c r="A5188">
        <f>HYPERLINK("https://www.philgeps.gov.ph/GEPSNONPILOT/Tender/SplashBidNoticeAbstractUI.aspx?menuIndex=3&amp;refID=7079307&amp;Result=3","7079307")</f>
        <v>0</v>
      </c>
      <c r="B5188" t="s">
        <v>219</v>
      </c>
      <c r="C5188" t="s">
        <v>8371</v>
      </c>
      <c r="D5188" t="s">
        <v>17482</v>
      </c>
      <c r="E5188" t="s">
        <v>21997</v>
      </c>
      <c r="F5188" t="s">
        <v>30052</v>
      </c>
      <c r="G5188" t="s">
        <v>30058</v>
      </c>
      <c r="H5188" t="s">
        <v>15498</v>
      </c>
      <c r="I5188" t="s">
        <v>30074</v>
      </c>
      <c r="J5188" t="s">
        <v>30530</v>
      </c>
      <c r="K5188" t="s">
        <v>39064</v>
      </c>
      <c r="M5188" t="s">
        <v>39509</v>
      </c>
      <c r="N5188" t="s">
        <v>43166</v>
      </c>
      <c r="O5188" t="s">
        <v>43167</v>
      </c>
      <c r="P5188">
        <v>0</v>
      </c>
      <c r="Q5188">
        <v>0</v>
      </c>
      <c r="R5188" t="s">
        <v>43172</v>
      </c>
      <c r="S5188" t="s">
        <v>43334</v>
      </c>
      <c r="T5188" t="s">
        <v>44730</v>
      </c>
      <c r="U5188" t="s">
        <v>49438</v>
      </c>
      <c r="W5188" t="s">
        <v>39509</v>
      </c>
      <c r="X5188" t="s">
        <v>43173</v>
      </c>
    </row>
    <row r="5189" spans="1:24">
      <c r="A5189">
        <f>HYPERLINK("https://www.philgeps.gov.ph/GEPSNONPILOT/Tender/SplashBidNoticeAbstractUI.aspx?menuIndex=3&amp;refID=7079305&amp;Result=3","7079305")</f>
        <v>0</v>
      </c>
      <c r="B5189" t="s">
        <v>1797</v>
      </c>
      <c r="C5189" t="s">
        <v>8372</v>
      </c>
      <c r="D5189" t="s">
        <v>17415</v>
      </c>
      <c r="E5189" t="s">
        <v>21998</v>
      </c>
      <c r="F5189" t="s">
        <v>30052</v>
      </c>
      <c r="G5189" t="s">
        <v>30059</v>
      </c>
      <c r="H5189" t="s">
        <v>15498</v>
      </c>
      <c r="I5189" t="s">
        <v>30091</v>
      </c>
      <c r="J5189" t="s">
        <v>33493</v>
      </c>
      <c r="K5189" t="s">
        <v>39017</v>
      </c>
      <c r="M5189" t="s">
        <v>41220</v>
      </c>
      <c r="N5189" t="s">
        <v>43166</v>
      </c>
      <c r="O5189" t="s">
        <v>43167</v>
      </c>
      <c r="P5189">
        <v>0</v>
      </c>
      <c r="Q5189">
        <v>3</v>
      </c>
      <c r="R5189" t="s">
        <v>43172</v>
      </c>
      <c r="S5189" t="s">
        <v>43334</v>
      </c>
      <c r="T5189" t="s">
        <v>44767</v>
      </c>
      <c r="U5189" t="s">
        <v>49439</v>
      </c>
      <c r="W5189" t="s">
        <v>41220</v>
      </c>
      <c r="X5189" t="s">
        <v>43173</v>
      </c>
    </row>
    <row r="5190" spans="1:24">
      <c r="A5190">
        <f>HYPERLINK("https://www.philgeps.gov.ph/GEPSNONPILOT/Tender/SplashBidNoticeAbstractUI.aspx?menuIndex=3&amp;refID=7079303&amp;Result=3","7079303")</f>
        <v>0</v>
      </c>
      <c r="B5190" t="s">
        <v>226</v>
      </c>
      <c r="C5190" t="s">
        <v>8373</v>
      </c>
      <c r="D5190" t="s">
        <v>17427</v>
      </c>
      <c r="E5190" t="s">
        <v>21999</v>
      </c>
      <c r="F5190" t="s">
        <v>30052</v>
      </c>
      <c r="G5190" t="s">
        <v>30058</v>
      </c>
      <c r="H5190" t="s">
        <v>30067</v>
      </c>
      <c r="I5190" t="s">
        <v>3693</v>
      </c>
      <c r="J5190" t="s">
        <v>30247</v>
      </c>
      <c r="K5190" t="s">
        <v>39057</v>
      </c>
      <c r="M5190" t="s">
        <v>39516</v>
      </c>
      <c r="N5190" t="s">
        <v>43166</v>
      </c>
      <c r="O5190" t="s">
        <v>43167</v>
      </c>
      <c r="P5190">
        <v>0</v>
      </c>
      <c r="Q5190">
        <v>0</v>
      </c>
      <c r="R5190" t="s">
        <v>43172</v>
      </c>
      <c r="S5190" t="s">
        <v>43334</v>
      </c>
      <c r="T5190" t="s">
        <v>44828</v>
      </c>
      <c r="U5190" t="s">
        <v>49440</v>
      </c>
      <c r="W5190" t="s">
        <v>39516</v>
      </c>
      <c r="X5190" t="s">
        <v>43173</v>
      </c>
    </row>
    <row r="5191" spans="1:24">
      <c r="A5191">
        <f>HYPERLINK("https://www.philgeps.gov.ph/GEPSNONPILOT/Tender/SplashBidNoticeAbstractUI.aspx?menuIndex=3&amp;refID=7079326&amp;Result=3","7079326")</f>
        <v>0</v>
      </c>
      <c r="B5191" t="s">
        <v>1780</v>
      </c>
      <c r="C5191" t="s">
        <v>8374</v>
      </c>
      <c r="D5191" t="s">
        <v>17449</v>
      </c>
      <c r="E5191" t="s">
        <v>17706</v>
      </c>
      <c r="F5191" t="s">
        <v>30052</v>
      </c>
      <c r="G5191" t="s">
        <v>30058</v>
      </c>
      <c r="H5191" t="s">
        <v>15498</v>
      </c>
      <c r="I5191" t="s">
        <v>3736</v>
      </c>
      <c r="J5191" t="s">
        <v>33457</v>
      </c>
      <c r="K5191" t="s">
        <v>39064</v>
      </c>
      <c r="M5191" t="s">
        <v>41200</v>
      </c>
      <c r="N5191" t="s">
        <v>43166</v>
      </c>
      <c r="O5191" t="s">
        <v>43167</v>
      </c>
      <c r="P5191">
        <v>0</v>
      </c>
      <c r="Q5191">
        <v>0</v>
      </c>
      <c r="R5191" t="s">
        <v>43172</v>
      </c>
      <c r="S5191" t="s">
        <v>43334</v>
      </c>
      <c r="T5191" t="s">
        <v>44791</v>
      </c>
      <c r="U5191" t="s">
        <v>49441</v>
      </c>
      <c r="V5191" t="s">
        <v>57408</v>
      </c>
      <c r="W5191" t="s">
        <v>41200</v>
      </c>
      <c r="X5191" t="s">
        <v>43173</v>
      </c>
    </row>
    <row r="5192" spans="1:24">
      <c r="A5192">
        <f>HYPERLINK("https://www.philgeps.gov.ph/GEPSNONPILOT/Tender/SplashBidNoticeAbstractUI.aspx?menuIndex=3&amp;refID=7079345&amp;Result=3","7079345")</f>
        <v>0</v>
      </c>
      <c r="B5192" t="s">
        <v>1798</v>
      </c>
      <c r="C5192" t="s">
        <v>8375</v>
      </c>
      <c r="D5192" t="s">
        <v>17418</v>
      </c>
      <c r="E5192" t="s">
        <v>22000</v>
      </c>
      <c r="F5192" t="s">
        <v>30052</v>
      </c>
      <c r="G5192" t="s">
        <v>30058</v>
      </c>
      <c r="H5192" t="s">
        <v>15498</v>
      </c>
      <c r="I5192" t="s">
        <v>30094</v>
      </c>
      <c r="J5192" t="s">
        <v>31258</v>
      </c>
      <c r="K5192" t="s">
        <v>39019</v>
      </c>
      <c r="M5192" t="s">
        <v>41221</v>
      </c>
      <c r="N5192" t="s">
        <v>43166</v>
      </c>
      <c r="O5192" t="s">
        <v>43167</v>
      </c>
      <c r="P5192">
        <v>0</v>
      </c>
      <c r="Q5192">
        <v>1</v>
      </c>
      <c r="R5192" t="s">
        <v>43172</v>
      </c>
      <c r="S5192" t="s">
        <v>43334</v>
      </c>
      <c r="T5192" t="s">
        <v>44737</v>
      </c>
      <c r="U5192" t="s">
        <v>49442</v>
      </c>
      <c r="W5192" t="s">
        <v>41221</v>
      </c>
      <c r="X5192" t="s">
        <v>43173</v>
      </c>
    </row>
    <row r="5193" spans="1:24">
      <c r="A5193">
        <f>HYPERLINK("https://www.philgeps.gov.ph/GEPSNONPILOT/Tender/SplashBidNoticeAbstractUI.aspx?menuIndex=3&amp;refID=7079388&amp;Result=3","7079388")</f>
        <v>0</v>
      </c>
      <c r="B5193" t="s">
        <v>692</v>
      </c>
      <c r="C5193" t="s">
        <v>8376</v>
      </c>
      <c r="D5193" t="s">
        <v>17452</v>
      </c>
      <c r="E5193" t="s">
        <v>17715</v>
      </c>
      <c r="F5193" t="s">
        <v>30052</v>
      </c>
      <c r="G5193" t="s">
        <v>30058</v>
      </c>
      <c r="H5193" t="s">
        <v>30067</v>
      </c>
      <c r="I5193" t="s">
        <v>3693</v>
      </c>
      <c r="J5193" t="s">
        <v>33494</v>
      </c>
      <c r="K5193" t="s">
        <v>39025</v>
      </c>
      <c r="M5193" t="s">
        <v>39998</v>
      </c>
      <c r="N5193" t="s">
        <v>43166</v>
      </c>
      <c r="O5193" t="s">
        <v>43167</v>
      </c>
      <c r="P5193">
        <v>0</v>
      </c>
      <c r="Q5193">
        <v>0</v>
      </c>
      <c r="R5193" t="s">
        <v>43172</v>
      </c>
      <c r="S5193" t="s">
        <v>43334</v>
      </c>
      <c r="T5193" t="s">
        <v>44720</v>
      </c>
      <c r="U5193" t="s">
        <v>45564</v>
      </c>
      <c r="W5193" t="s">
        <v>39998</v>
      </c>
      <c r="X5193" t="s">
        <v>43173</v>
      </c>
    </row>
    <row r="5194" spans="1:24">
      <c r="A5194">
        <f>HYPERLINK("https://www.philgeps.gov.ph/GEPSNONPILOT/Tender/SplashBidNoticeAbstractUI.aspx?menuIndex=3&amp;refID=7079384&amp;Result=3","7079384")</f>
        <v>0</v>
      </c>
      <c r="B5194" t="s">
        <v>1799</v>
      </c>
      <c r="C5194" t="s">
        <v>8377</v>
      </c>
      <c r="D5194" t="s">
        <v>17494</v>
      </c>
      <c r="E5194" t="s">
        <v>21156</v>
      </c>
      <c r="F5194" t="s">
        <v>30052</v>
      </c>
      <c r="G5194" t="s">
        <v>30058</v>
      </c>
      <c r="H5194" t="s">
        <v>15498</v>
      </c>
      <c r="I5194" t="s">
        <v>30106</v>
      </c>
      <c r="J5194" t="s">
        <v>32652</v>
      </c>
      <c r="K5194" t="s">
        <v>39019</v>
      </c>
      <c r="M5194" t="s">
        <v>41222</v>
      </c>
      <c r="N5194" t="s">
        <v>43166</v>
      </c>
      <c r="O5194" t="s">
        <v>43167</v>
      </c>
      <c r="P5194">
        <v>0</v>
      </c>
      <c r="Q5194">
        <v>2</v>
      </c>
      <c r="R5194" t="s">
        <v>43172</v>
      </c>
      <c r="S5194" t="s">
        <v>43334</v>
      </c>
      <c r="T5194" t="s">
        <v>44708</v>
      </c>
      <c r="U5194" t="s">
        <v>49443</v>
      </c>
      <c r="W5194" t="s">
        <v>41222</v>
      </c>
      <c r="X5194" t="s">
        <v>43173</v>
      </c>
    </row>
    <row r="5195" spans="1:24">
      <c r="A5195">
        <f>HYPERLINK("https://www.philgeps.gov.ph/GEPSNONPILOT/Tender/SplashBidNoticeAbstractUI.aspx?menuIndex=3&amp;refID=7079332&amp;Result=3","7079332")</f>
        <v>0</v>
      </c>
      <c r="B5195" t="s">
        <v>1014</v>
      </c>
      <c r="C5195" t="s">
        <v>8378</v>
      </c>
      <c r="D5195" t="s">
        <v>17465</v>
      </c>
      <c r="E5195" t="s">
        <v>22001</v>
      </c>
      <c r="F5195" t="s">
        <v>30052</v>
      </c>
      <c r="G5195" t="s">
        <v>30058</v>
      </c>
      <c r="H5195" t="s">
        <v>30067</v>
      </c>
      <c r="I5195" t="s">
        <v>3693</v>
      </c>
      <c r="J5195" t="s">
        <v>33495</v>
      </c>
      <c r="K5195" t="s">
        <v>39025</v>
      </c>
      <c r="M5195" t="s">
        <v>40343</v>
      </c>
      <c r="N5195" t="s">
        <v>43166</v>
      </c>
      <c r="O5195" t="s">
        <v>43167</v>
      </c>
      <c r="P5195">
        <v>0</v>
      </c>
      <c r="Q5195">
        <v>0</v>
      </c>
      <c r="R5195" t="s">
        <v>43172</v>
      </c>
      <c r="S5195" t="s">
        <v>43334</v>
      </c>
      <c r="T5195" t="s">
        <v>44698</v>
      </c>
      <c r="U5195" t="s">
        <v>49444</v>
      </c>
      <c r="W5195" t="s">
        <v>58623</v>
      </c>
      <c r="X5195" t="s">
        <v>43173</v>
      </c>
    </row>
    <row r="5196" spans="1:24">
      <c r="A5196">
        <f>HYPERLINK("https://www.philgeps.gov.ph/GEPSNONPILOT/Tender/SplashBidNoticeAbstractUI.aspx?menuIndex=3&amp;refID=7079379&amp;Result=3","7079379")</f>
        <v>0</v>
      </c>
      <c r="B5196" t="s">
        <v>1581</v>
      </c>
      <c r="C5196" t="s">
        <v>8379</v>
      </c>
      <c r="E5196" t="s">
        <v>22002</v>
      </c>
      <c r="F5196" t="s">
        <v>30052</v>
      </c>
      <c r="G5196" t="s">
        <v>30059</v>
      </c>
      <c r="H5196" t="s">
        <v>15498</v>
      </c>
      <c r="I5196" t="s">
        <v>30143</v>
      </c>
      <c r="J5196" t="s">
        <v>33496</v>
      </c>
      <c r="K5196" t="s">
        <v>39025</v>
      </c>
      <c r="M5196" t="s">
        <v>40974</v>
      </c>
      <c r="N5196" t="s">
        <v>43166</v>
      </c>
      <c r="O5196" t="s">
        <v>43167</v>
      </c>
      <c r="P5196">
        <v>0</v>
      </c>
      <c r="Q5196">
        <v>2</v>
      </c>
      <c r="R5196" t="s">
        <v>43172</v>
      </c>
      <c r="S5196" t="s">
        <v>43334</v>
      </c>
      <c r="T5196" t="s">
        <v>44777</v>
      </c>
      <c r="U5196" t="s">
        <v>49445</v>
      </c>
      <c r="W5196" t="s">
        <v>40974</v>
      </c>
      <c r="X5196" t="s">
        <v>43173</v>
      </c>
    </row>
    <row r="5197" spans="1:24">
      <c r="A5197">
        <f>HYPERLINK("https://www.philgeps.gov.ph/GEPSNONPILOT/Tender/SplashBidNoticeAbstractUI.aspx?menuIndex=3&amp;refID=7079329&amp;Result=3","7079329")</f>
        <v>0</v>
      </c>
      <c r="B5197" t="s">
        <v>123</v>
      </c>
      <c r="C5197" t="s">
        <v>8380</v>
      </c>
      <c r="D5197" t="s">
        <v>17458</v>
      </c>
      <c r="E5197" t="s">
        <v>22003</v>
      </c>
      <c r="F5197" t="s">
        <v>30052</v>
      </c>
      <c r="G5197" t="s">
        <v>30059</v>
      </c>
      <c r="H5197" t="s">
        <v>15498</v>
      </c>
      <c r="I5197" t="s">
        <v>8323</v>
      </c>
      <c r="J5197" t="s">
        <v>33497</v>
      </c>
      <c r="K5197" t="s">
        <v>39025</v>
      </c>
      <c r="M5197" t="s">
        <v>39412</v>
      </c>
      <c r="N5197" t="s">
        <v>43166</v>
      </c>
      <c r="O5197" t="s">
        <v>43167</v>
      </c>
      <c r="Q5197">
        <v>9</v>
      </c>
      <c r="R5197" t="s">
        <v>43172</v>
      </c>
      <c r="S5197" t="s">
        <v>43343</v>
      </c>
      <c r="T5197" t="s">
        <v>44717</v>
      </c>
      <c r="U5197" t="s">
        <v>49446</v>
      </c>
      <c r="W5197" t="s">
        <v>39412</v>
      </c>
      <c r="X5197" t="s">
        <v>43173</v>
      </c>
    </row>
    <row r="5198" spans="1:24">
      <c r="A5198">
        <f>HYPERLINK("https://www.philgeps.gov.ph/GEPSNONPILOT/Tender/SplashBidNoticeAbstractUI.aspx?menuIndex=3&amp;refID=7079378&amp;Result=3","7079378")</f>
        <v>0</v>
      </c>
      <c r="B5198" t="s">
        <v>1779</v>
      </c>
      <c r="C5198" t="s">
        <v>8381</v>
      </c>
      <c r="D5198" t="s">
        <v>17444</v>
      </c>
      <c r="E5198" t="s">
        <v>22004</v>
      </c>
      <c r="F5198" t="s">
        <v>30052</v>
      </c>
      <c r="G5198" t="s">
        <v>30059</v>
      </c>
      <c r="H5198" t="s">
        <v>15498</v>
      </c>
      <c r="I5198" t="s">
        <v>5961</v>
      </c>
      <c r="J5198" t="s">
        <v>33498</v>
      </c>
      <c r="K5198" t="s">
        <v>39034</v>
      </c>
      <c r="M5198" t="s">
        <v>41199</v>
      </c>
      <c r="N5198" t="s">
        <v>43166</v>
      </c>
      <c r="O5198" t="s">
        <v>43167</v>
      </c>
      <c r="P5198">
        <v>0</v>
      </c>
      <c r="Q5198">
        <v>2</v>
      </c>
      <c r="R5198" t="s">
        <v>43172</v>
      </c>
      <c r="S5198" t="s">
        <v>43334</v>
      </c>
      <c r="T5198" t="s">
        <v>44698</v>
      </c>
      <c r="U5198" t="s">
        <v>49447</v>
      </c>
      <c r="V5198" t="s">
        <v>57405</v>
      </c>
      <c r="W5198" t="s">
        <v>41199</v>
      </c>
      <c r="X5198" t="s">
        <v>43173</v>
      </c>
    </row>
    <row r="5199" spans="1:24">
      <c r="A5199">
        <f>HYPERLINK("https://www.philgeps.gov.ph/GEPSNONPILOT/Tender/SplashBidNoticeAbstractUI.aspx?menuIndex=3&amp;refID=7079372&amp;Result=3","7079372")</f>
        <v>0</v>
      </c>
      <c r="B5199" t="s">
        <v>887</v>
      </c>
      <c r="C5199" t="s">
        <v>5458</v>
      </c>
      <c r="D5199" t="s">
        <v>17474</v>
      </c>
      <c r="E5199" t="s">
        <v>17779</v>
      </c>
      <c r="F5199" t="s">
        <v>30054</v>
      </c>
      <c r="G5199" t="s">
        <v>30058</v>
      </c>
      <c r="H5199" t="s">
        <v>30067</v>
      </c>
      <c r="I5199" t="s">
        <v>3693</v>
      </c>
      <c r="J5199" t="s">
        <v>33499</v>
      </c>
      <c r="K5199" t="s">
        <v>39017</v>
      </c>
      <c r="M5199" t="s">
        <v>40206</v>
      </c>
      <c r="N5199" t="s">
        <v>43166</v>
      </c>
      <c r="O5199" t="s">
        <v>43167</v>
      </c>
      <c r="P5199">
        <v>0</v>
      </c>
      <c r="Q5199">
        <v>0</v>
      </c>
      <c r="R5199" t="s">
        <v>43172</v>
      </c>
      <c r="S5199" t="s">
        <v>43334</v>
      </c>
      <c r="T5199" t="s">
        <v>44807</v>
      </c>
      <c r="U5199" t="s">
        <v>49448</v>
      </c>
      <c r="W5199" t="s">
        <v>40206</v>
      </c>
      <c r="X5199" t="s">
        <v>43173</v>
      </c>
    </row>
    <row r="5200" spans="1:24">
      <c r="A5200">
        <f>HYPERLINK("https://www.philgeps.gov.ph/GEPSNONPILOT/Tender/SplashBidNoticeAbstractUI.aspx?menuIndex=3&amp;refID=7079309&amp;Result=3","7079309")</f>
        <v>0</v>
      </c>
      <c r="B5200" t="s">
        <v>844</v>
      </c>
      <c r="C5200" t="s">
        <v>8382</v>
      </c>
      <c r="D5200" t="s">
        <v>17428</v>
      </c>
      <c r="E5200" t="s">
        <v>8382</v>
      </c>
      <c r="F5200" t="s">
        <v>30052</v>
      </c>
      <c r="G5200" t="s">
        <v>30061</v>
      </c>
      <c r="H5200" t="s">
        <v>15498</v>
      </c>
      <c r="I5200" t="s">
        <v>4650</v>
      </c>
      <c r="J5200" t="s">
        <v>30216</v>
      </c>
      <c r="K5200" t="s">
        <v>39017</v>
      </c>
      <c r="L5200" t="s">
        <v>844</v>
      </c>
      <c r="M5200" t="s">
        <v>40161</v>
      </c>
      <c r="N5200" t="s">
        <v>43166</v>
      </c>
      <c r="O5200" t="s">
        <v>43167</v>
      </c>
      <c r="P5200">
        <v>0</v>
      </c>
      <c r="Q5200">
        <v>2</v>
      </c>
      <c r="R5200" t="s">
        <v>43172</v>
      </c>
      <c r="S5200" t="s">
        <v>43334</v>
      </c>
      <c r="T5200" t="s">
        <v>44788</v>
      </c>
      <c r="U5200" t="s">
        <v>49449</v>
      </c>
      <c r="W5200" t="s">
        <v>40161</v>
      </c>
      <c r="X5200" t="s">
        <v>43173</v>
      </c>
    </row>
    <row r="5201" spans="1:24">
      <c r="A5201">
        <f>HYPERLINK("https://www.philgeps.gov.ph/GEPSNONPILOT/Tender/SplashBidNoticeAbstractUI.aspx?menuIndex=3&amp;refID=7079371&amp;Result=3","7079371")</f>
        <v>0</v>
      </c>
      <c r="B5201" t="s">
        <v>1800</v>
      </c>
      <c r="C5201" t="s">
        <v>8383</v>
      </c>
      <c r="D5201" t="s">
        <v>17474</v>
      </c>
      <c r="E5201" t="s">
        <v>22005</v>
      </c>
      <c r="F5201" t="s">
        <v>30052</v>
      </c>
      <c r="G5201" t="s">
        <v>30059</v>
      </c>
      <c r="H5201" t="s">
        <v>15498</v>
      </c>
      <c r="I5201" t="s">
        <v>30096</v>
      </c>
      <c r="J5201" t="s">
        <v>33500</v>
      </c>
      <c r="K5201" t="s">
        <v>39038</v>
      </c>
      <c r="M5201" t="s">
        <v>41223</v>
      </c>
      <c r="N5201" t="s">
        <v>43166</v>
      </c>
      <c r="O5201" t="s">
        <v>43167</v>
      </c>
      <c r="P5201">
        <v>0</v>
      </c>
      <c r="Q5201">
        <v>1</v>
      </c>
      <c r="R5201" t="s">
        <v>43172</v>
      </c>
      <c r="S5201" t="s">
        <v>43334</v>
      </c>
      <c r="T5201" t="s">
        <v>44861</v>
      </c>
      <c r="U5201" t="s">
        <v>49450</v>
      </c>
      <c r="W5201" t="s">
        <v>41223</v>
      </c>
      <c r="X5201" t="s">
        <v>43173</v>
      </c>
    </row>
    <row r="5202" spans="1:24">
      <c r="A5202">
        <f>HYPERLINK("https://www.philgeps.gov.ph/GEPSNONPILOT/Tender/SplashBidNoticeAbstractUI.aspx?menuIndex=3&amp;refID=7079367&amp;Result=3","7079367")</f>
        <v>0</v>
      </c>
      <c r="B5202" t="s">
        <v>1801</v>
      </c>
      <c r="C5202" t="s">
        <v>8384</v>
      </c>
      <c r="D5202" t="s">
        <v>17440</v>
      </c>
      <c r="E5202" t="s">
        <v>22006</v>
      </c>
      <c r="F5202" t="s">
        <v>30052</v>
      </c>
      <c r="G5202" t="s">
        <v>30058</v>
      </c>
      <c r="H5202" t="s">
        <v>15498</v>
      </c>
      <c r="I5202" t="s">
        <v>3693</v>
      </c>
      <c r="J5202" t="s">
        <v>33501</v>
      </c>
      <c r="K5202" t="s">
        <v>39056</v>
      </c>
      <c r="M5202" t="s">
        <v>41224</v>
      </c>
      <c r="N5202" t="s">
        <v>43166</v>
      </c>
      <c r="O5202" t="s">
        <v>43167</v>
      </c>
      <c r="P5202">
        <v>0</v>
      </c>
      <c r="Q5202">
        <v>1</v>
      </c>
      <c r="R5202" t="s">
        <v>43172</v>
      </c>
      <c r="S5202" t="s">
        <v>43334</v>
      </c>
      <c r="T5202" t="s">
        <v>44722</v>
      </c>
      <c r="U5202" t="s">
        <v>49451</v>
      </c>
      <c r="V5202" t="s">
        <v>57409</v>
      </c>
      <c r="W5202" t="s">
        <v>41224</v>
      </c>
      <c r="X5202" t="s">
        <v>43173</v>
      </c>
    </row>
    <row r="5203" spans="1:24">
      <c r="A5203">
        <f>HYPERLINK("https://www.philgeps.gov.ph/GEPSNONPILOT/Tender/SplashBidNoticeAbstractUI.aspx?menuIndex=3&amp;refID=7079365&amp;Result=3","7079365")</f>
        <v>0</v>
      </c>
      <c r="B5203" t="s">
        <v>1802</v>
      </c>
      <c r="C5203" t="s">
        <v>5354</v>
      </c>
      <c r="D5203" t="s">
        <v>17442</v>
      </c>
      <c r="E5203" t="s">
        <v>18749</v>
      </c>
      <c r="F5203" t="s">
        <v>30052</v>
      </c>
      <c r="G5203" t="s">
        <v>30058</v>
      </c>
      <c r="H5203" t="s">
        <v>15498</v>
      </c>
      <c r="I5203" t="s">
        <v>30152</v>
      </c>
      <c r="J5203" t="s">
        <v>33502</v>
      </c>
      <c r="K5203" t="s">
        <v>39046</v>
      </c>
      <c r="M5203" t="s">
        <v>41225</v>
      </c>
      <c r="N5203" t="s">
        <v>43166</v>
      </c>
      <c r="O5203" t="s">
        <v>43167</v>
      </c>
      <c r="P5203">
        <v>0</v>
      </c>
      <c r="Q5203">
        <v>0</v>
      </c>
      <c r="R5203" t="s">
        <v>43172</v>
      </c>
      <c r="S5203" t="s">
        <v>43334</v>
      </c>
      <c r="T5203" t="s">
        <v>44934</v>
      </c>
      <c r="U5203" t="s">
        <v>49452</v>
      </c>
      <c r="W5203" t="s">
        <v>41225</v>
      </c>
      <c r="X5203" t="s">
        <v>43173</v>
      </c>
    </row>
    <row r="5204" spans="1:24">
      <c r="A5204">
        <f>HYPERLINK("https://www.philgeps.gov.ph/GEPSNONPILOT/Tender/SplashBidNoticeAbstractUI.aspx?menuIndex=3&amp;refID=7079354&amp;Result=3","7079354")</f>
        <v>0</v>
      </c>
      <c r="B5204" t="s">
        <v>1777</v>
      </c>
      <c r="C5204" t="s">
        <v>8385</v>
      </c>
      <c r="D5204" t="s">
        <v>17461</v>
      </c>
      <c r="E5204" t="s">
        <v>22007</v>
      </c>
      <c r="F5204" t="s">
        <v>30052</v>
      </c>
      <c r="G5204" t="s">
        <v>30059</v>
      </c>
      <c r="H5204" t="s">
        <v>15498</v>
      </c>
      <c r="I5204" t="s">
        <v>30081</v>
      </c>
      <c r="J5204" t="s">
        <v>30256</v>
      </c>
      <c r="K5204" t="s">
        <v>39029</v>
      </c>
      <c r="M5204" t="s">
        <v>41197</v>
      </c>
      <c r="N5204" t="s">
        <v>43166</v>
      </c>
      <c r="O5204" t="s">
        <v>43167</v>
      </c>
      <c r="P5204">
        <v>0</v>
      </c>
      <c r="Q5204">
        <v>1</v>
      </c>
      <c r="R5204" t="s">
        <v>43172</v>
      </c>
      <c r="S5204" t="s">
        <v>43334</v>
      </c>
      <c r="T5204" t="s">
        <v>44696</v>
      </c>
      <c r="U5204" t="s">
        <v>49453</v>
      </c>
      <c r="W5204" t="s">
        <v>41197</v>
      </c>
      <c r="X5204" t="s">
        <v>43173</v>
      </c>
    </row>
    <row r="5205" spans="1:24">
      <c r="A5205">
        <f>HYPERLINK("https://www.philgeps.gov.ph/GEPSNONPILOT/Tender/SplashBidNoticeAbstractUI.aspx?menuIndex=3&amp;refID=7079382&amp;Result=3","7079382")</f>
        <v>0</v>
      </c>
      <c r="B5205" t="s">
        <v>1777</v>
      </c>
      <c r="C5205" t="s">
        <v>8386</v>
      </c>
      <c r="D5205" t="s">
        <v>17461</v>
      </c>
      <c r="E5205" t="s">
        <v>22008</v>
      </c>
      <c r="F5205" t="s">
        <v>30052</v>
      </c>
      <c r="G5205" t="s">
        <v>30059</v>
      </c>
      <c r="H5205" t="s">
        <v>15498</v>
      </c>
      <c r="I5205" t="s">
        <v>30081</v>
      </c>
      <c r="J5205" t="s">
        <v>33503</v>
      </c>
      <c r="K5205" t="s">
        <v>39029</v>
      </c>
      <c r="M5205" t="s">
        <v>41197</v>
      </c>
      <c r="N5205" t="s">
        <v>43166</v>
      </c>
      <c r="O5205" t="s">
        <v>43167</v>
      </c>
      <c r="P5205">
        <v>0</v>
      </c>
      <c r="Q5205">
        <v>0</v>
      </c>
      <c r="R5205" t="s">
        <v>43172</v>
      </c>
      <c r="S5205" t="s">
        <v>43334</v>
      </c>
      <c r="T5205" t="s">
        <v>44696</v>
      </c>
      <c r="U5205" t="s">
        <v>49454</v>
      </c>
      <c r="W5205" t="s">
        <v>41197</v>
      </c>
      <c r="X5205" t="s">
        <v>43173</v>
      </c>
    </row>
    <row r="5206" spans="1:24">
      <c r="A5206">
        <f>HYPERLINK("https://www.philgeps.gov.ph/GEPSNONPILOT/Tender/SplashBidNoticeAbstractUI.aspx?menuIndex=3&amp;refID=7079351&amp;Result=3","7079351")</f>
        <v>0</v>
      </c>
      <c r="B5206" t="s">
        <v>226</v>
      </c>
      <c r="C5206" t="s">
        <v>8387</v>
      </c>
      <c r="D5206" t="s">
        <v>17427</v>
      </c>
      <c r="E5206" t="s">
        <v>22009</v>
      </c>
      <c r="F5206" t="s">
        <v>30052</v>
      </c>
      <c r="G5206" t="s">
        <v>30058</v>
      </c>
      <c r="H5206" t="s">
        <v>30067</v>
      </c>
      <c r="I5206" t="s">
        <v>3693</v>
      </c>
      <c r="J5206" t="s">
        <v>33504</v>
      </c>
      <c r="K5206" t="s">
        <v>39057</v>
      </c>
      <c r="M5206" t="s">
        <v>39516</v>
      </c>
      <c r="N5206" t="s">
        <v>43166</v>
      </c>
      <c r="O5206" t="s">
        <v>43167</v>
      </c>
      <c r="P5206">
        <v>0</v>
      </c>
      <c r="Q5206">
        <v>2</v>
      </c>
      <c r="R5206" t="s">
        <v>43172</v>
      </c>
      <c r="S5206" t="s">
        <v>43334</v>
      </c>
      <c r="T5206" t="s">
        <v>44828</v>
      </c>
      <c r="U5206" t="s">
        <v>49455</v>
      </c>
      <c r="W5206" t="s">
        <v>39516</v>
      </c>
      <c r="X5206" t="s">
        <v>43173</v>
      </c>
    </row>
    <row r="5207" spans="1:24">
      <c r="A5207">
        <f>HYPERLINK("https://www.philgeps.gov.ph/GEPSNONPILOT/Tender/SplashBidNoticeAbstractUI.aspx?menuIndex=3&amp;refID=7079375&amp;Result=3","7079375")</f>
        <v>0</v>
      </c>
      <c r="B5207" t="s">
        <v>1803</v>
      </c>
      <c r="C5207" t="s">
        <v>8388</v>
      </c>
      <c r="D5207" t="s">
        <v>17427</v>
      </c>
      <c r="E5207" t="s">
        <v>22010</v>
      </c>
      <c r="F5207" t="s">
        <v>30052</v>
      </c>
      <c r="G5207" t="s">
        <v>30058</v>
      </c>
      <c r="H5207" t="s">
        <v>15498</v>
      </c>
      <c r="I5207" t="s">
        <v>3736</v>
      </c>
      <c r="J5207" t="s">
        <v>33505</v>
      </c>
      <c r="K5207" t="s">
        <v>39029</v>
      </c>
      <c r="M5207" t="s">
        <v>41226</v>
      </c>
      <c r="N5207" t="s">
        <v>43166</v>
      </c>
      <c r="O5207" t="s">
        <v>43167</v>
      </c>
      <c r="P5207">
        <v>0</v>
      </c>
      <c r="Q5207">
        <v>0</v>
      </c>
      <c r="R5207" t="s">
        <v>43172</v>
      </c>
      <c r="S5207" t="s">
        <v>43334</v>
      </c>
      <c r="T5207" t="s">
        <v>45003</v>
      </c>
      <c r="U5207" t="s">
        <v>49456</v>
      </c>
      <c r="W5207" t="s">
        <v>41226</v>
      </c>
      <c r="X5207" t="s">
        <v>43173</v>
      </c>
    </row>
    <row r="5208" spans="1:24">
      <c r="A5208">
        <f>HYPERLINK("https://www.philgeps.gov.ph/GEPSNONPILOT/Tender/SplashBidNoticeAbstractUI.aspx?menuIndex=3&amp;refID=7079368&amp;Result=3","7079368")</f>
        <v>0</v>
      </c>
      <c r="B5208" t="s">
        <v>390</v>
      </c>
      <c r="C5208" t="s">
        <v>8389</v>
      </c>
      <c r="D5208" t="s">
        <v>17415</v>
      </c>
      <c r="E5208" t="s">
        <v>22011</v>
      </c>
      <c r="F5208" t="s">
        <v>30052</v>
      </c>
      <c r="G5208" t="s">
        <v>30059</v>
      </c>
      <c r="H5208" t="s">
        <v>15498</v>
      </c>
      <c r="I5208" t="s">
        <v>30100</v>
      </c>
      <c r="J5208" t="s">
        <v>31891</v>
      </c>
      <c r="K5208" t="s">
        <v>39019</v>
      </c>
      <c r="M5208" t="s">
        <v>40412</v>
      </c>
      <c r="N5208" t="s">
        <v>43166</v>
      </c>
      <c r="O5208" t="s">
        <v>43167</v>
      </c>
      <c r="P5208">
        <v>0</v>
      </c>
      <c r="Q5208">
        <v>3</v>
      </c>
      <c r="R5208" t="s">
        <v>43172</v>
      </c>
      <c r="S5208" t="s">
        <v>43334</v>
      </c>
      <c r="T5208" t="s">
        <v>44862</v>
      </c>
      <c r="U5208" t="s">
        <v>47466</v>
      </c>
      <c r="V5208" t="s">
        <v>47466</v>
      </c>
      <c r="W5208" t="s">
        <v>40412</v>
      </c>
      <c r="X5208" t="s">
        <v>43173</v>
      </c>
    </row>
    <row r="5209" spans="1:24">
      <c r="A5209">
        <f>HYPERLINK("https://www.philgeps.gov.ph/GEPSNONPILOT/Tender/SplashBidNoticeAbstractUI.aspx?menuIndex=3&amp;refID=7079349&amp;Result=3","7079349")</f>
        <v>0</v>
      </c>
      <c r="B5209" t="s">
        <v>1014</v>
      </c>
      <c r="C5209" t="s">
        <v>8390</v>
      </c>
      <c r="D5209" t="s">
        <v>17465</v>
      </c>
      <c r="E5209" t="s">
        <v>22012</v>
      </c>
      <c r="F5209" t="s">
        <v>30052</v>
      </c>
      <c r="G5209" t="s">
        <v>30058</v>
      </c>
      <c r="H5209" t="s">
        <v>30067</v>
      </c>
      <c r="I5209" t="s">
        <v>3693</v>
      </c>
      <c r="J5209" t="s">
        <v>33506</v>
      </c>
      <c r="K5209" t="s">
        <v>39025</v>
      </c>
      <c r="M5209" t="s">
        <v>40343</v>
      </c>
      <c r="N5209" t="s">
        <v>43166</v>
      </c>
      <c r="O5209" t="s">
        <v>43167</v>
      </c>
      <c r="P5209">
        <v>0</v>
      </c>
      <c r="Q5209">
        <v>1</v>
      </c>
      <c r="R5209" t="s">
        <v>43172</v>
      </c>
      <c r="S5209" t="s">
        <v>43334</v>
      </c>
      <c r="T5209" t="s">
        <v>44698</v>
      </c>
      <c r="U5209" t="s">
        <v>49457</v>
      </c>
      <c r="W5209" t="s">
        <v>58623</v>
      </c>
      <c r="X5209" t="s">
        <v>43173</v>
      </c>
    </row>
    <row r="5210" spans="1:24">
      <c r="A5210">
        <f>HYPERLINK("https://www.philgeps.gov.ph/GEPSNONPILOT/Tender/SplashBidNoticeAbstractUI.aspx?menuIndex=3&amp;refID=7079344&amp;Result=3","7079344")</f>
        <v>0</v>
      </c>
      <c r="B5210" t="s">
        <v>1779</v>
      </c>
      <c r="C5210" t="s">
        <v>8391</v>
      </c>
      <c r="D5210" t="s">
        <v>17444</v>
      </c>
      <c r="E5210" t="s">
        <v>22013</v>
      </c>
      <c r="F5210" t="s">
        <v>30052</v>
      </c>
      <c r="G5210" t="s">
        <v>30059</v>
      </c>
      <c r="H5210" t="s">
        <v>15498</v>
      </c>
      <c r="I5210" t="s">
        <v>4650</v>
      </c>
      <c r="J5210" t="s">
        <v>30277</v>
      </c>
      <c r="K5210" t="s">
        <v>39025</v>
      </c>
      <c r="M5210" t="s">
        <v>41199</v>
      </c>
      <c r="N5210" t="s">
        <v>43166</v>
      </c>
      <c r="O5210" t="s">
        <v>43167</v>
      </c>
      <c r="P5210">
        <v>0</v>
      </c>
      <c r="Q5210">
        <v>1</v>
      </c>
      <c r="R5210" t="s">
        <v>43172</v>
      </c>
      <c r="S5210" t="s">
        <v>43334</v>
      </c>
      <c r="T5210" t="s">
        <v>44698</v>
      </c>
      <c r="U5210" t="s">
        <v>49458</v>
      </c>
      <c r="V5210" t="s">
        <v>57405</v>
      </c>
      <c r="W5210" t="s">
        <v>41199</v>
      </c>
      <c r="X5210" t="s">
        <v>43173</v>
      </c>
    </row>
    <row r="5211" spans="1:24">
      <c r="A5211">
        <f>HYPERLINK("https://www.philgeps.gov.ph/GEPSNONPILOT/Tender/SplashBidNoticeAbstractUI.aspx?menuIndex=3&amp;refID=7079357&amp;Result=3","7079357")</f>
        <v>0</v>
      </c>
      <c r="B5211" t="s">
        <v>1779</v>
      </c>
      <c r="C5211" t="s">
        <v>8392</v>
      </c>
      <c r="D5211" t="s">
        <v>17444</v>
      </c>
      <c r="E5211" t="s">
        <v>22014</v>
      </c>
      <c r="F5211" t="s">
        <v>30052</v>
      </c>
      <c r="G5211" t="s">
        <v>30059</v>
      </c>
      <c r="H5211" t="s">
        <v>15498</v>
      </c>
      <c r="I5211" t="s">
        <v>4650</v>
      </c>
      <c r="J5211" t="s">
        <v>30277</v>
      </c>
      <c r="K5211" t="s">
        <v>39034</v>
      </c>
      <c r="M5211" t="s">
        <v>41199</v>
      </c>
      <c r="N5211" t="s">
        <v>43166</v>
      </c>
      <c r="O5211" t="s">
        <v>43167</v>
      </c>
      <c r="P5211">
        <v>0</v>
      </c>
      <c r="Q5211">
        <v>9</v>
      </c>
      <c r="R5211" t="s">
        <v>43172</v>
      </c>
      <c r="S5211" t="s">
        <v>43334</v>
      </c>
      <c r="T5211" t="s">
        <v>44698</v>
      </c>
      <c r="U5211" t="s">
        <v>49459</v>
      </c>
      <c r="V5211" t="s">
        <v>57405</v>
      </c>
      <c r="W5211" t="s">
        <v>41199</v>
      </c>
      <c r="X5211" t="s">
        <v>43173</v>
      </c>
    </row>
    <row r="5212" spans="1:24">
      <c r="A5212">
        <f>HYPERLINK("https://www.philgeps.gov.ph/GEPSNONPILOT/Tender/SplashBidNoticeAbstractUI.aspx?menuIndex=3&amp;refID=7079302&amp;Result=3","7079302")</f>
        <v>0</v>
      </c>
      <c r="B5212" t="s">
        <v>1804</v>
      </c>
      <c r="C5212" t="s">
        <v>4068</v>
      </c>
      <c r="E5212" t="s">
        <v>22015</v>
      </c>
      <c r="F5212" t="s">
        <v>30052</v>
      </c>
      <c r="G5212" t="s">
        <v>30059</v>
      </c>
      <c r="H5212" t="s">
        <v>15498</v>
      </c>
      <c r="I5212" t="s">
        <v>4650</v>
      </c>
      <c r="J5212" t="s">
        <v>33507</v>
      </c>
      <c r="K5212" t="s">
        <v>39025</v>
      </c>
      <c r="M5212" t="s">
        <v>41227</v>
      </c>
      <c r="N5212" t="s">
        <v>43166</v>
      </c>
      <c r="O5212" t="s">
        <v>43167</v>
      </c>
      <c r="P5212">
        <v>0</v>
      </c>
      <c r="Q5212">
        <v>1</v>
      </c>
      <c r="R5212" t="s">
        <v>43172</v>
      </c>
      <c r="S5212" t="s">
        <v>43334</v>
      </c>
      <c r="T5212" t="s">
        <v>44837</v>
      </c>
      <c r="U5212" t="s">
        <v>49460</v>
      </c>
      <c r="W5212" t="s">
        <v>41227</v>
      </c>
      <c r="X5212" t="s">
        <v>43173</v>
      </c>
    </row>
    <row r="5213" spans="1:24">
      <c r="A5213">
        <f>HYPERLINK("https://www.philgeps.gov.ph/GEPSNONPILOT/Tender/SplashBidNoticeAbstractUI.aspx?menuIndex=3&amp;refID=7079185&amp;Result=3","7079185")</f>
        <v>0</v>
      </c>
      <c r="B5213" t="s">
        <v>1805</v>
      </c>
      <c r="C5213" t="s">
        <v>8393</v>
      </c>
      <c r="D5213" t="s">
        <v>17439</v>
      </c>
      <c r="E5213" t="s">
        <v>22016</v>
      </c>
      <c r="F5213" t="s">
        <v>30052</v>
      </c>
      <c r="G5213" t="s">
        <v>30061</v>
      </c>
      <c r="H5213" t="s">
        <v>15498</v>
      </c>
      <c r="I5213" t="s">
        <v>30115</v>
      </c>
      <c r="J5213" t="s">
        <v>33508</v>
      </c>
      <c r="K5213" t="s">
        <v>39019</v>
      </c>
      <c r="M5213" t="s">
        <v>41228</v>
      </c>
      <c r="N5213" t="s">
        <v>43166</v>
      </c>
      <c r="O5213" t="s">
        <v>43167</v>
      </c>
      <c r="P5213">
        <v>0</v>
      </c>
      <c r="Q5213">
        <v>7</v>
      </c>
      <c r="R5213" t="s">
        <v>43172</v>
      </c>
      <c r="S5213" t="s">
        <v>43334</v>
      </c>
      <c r="T5213" t="s">
        <v>44728</v>
      </c>
      <c r="U5213" t="s">
        <v>49461</v>
      </c>
      <c r="W5213" t="s">
        <v>41228</v>
      </c>
      <c r="X5213" t="s">
        <v>43173</v>
      </c>
    </row>
    <row r="5214" spans="1:24">
      <c r="A5214">
        <f>HYPERLINK("https://www.philgeps.gov.ph/GEPSNONPILOT/Tender/SplashBidNoticeAbstractUI.aspx?menuIndex=3&amp;refID=7079353&amp;Result=3","7079353")</f>
        <v>0</v>
      </c>
      <c r="B5214" t="s">
        <v>1806</v>
      </c>
      <c r="C5214" t="s">
        <v>8394</v>
      </c>
      <c r="D5214" t="s">
        <v>17425</v>
      </c>
      <c r="E5214" t="s">
        <v>18038</v>
      </c>
      <c r="F5214" t="s">
        <v>30055</v>
      </c>
      <c r="G5214" t="s">
        <v>30058</v>
      </c>
      <c r="H5214" t="s">
        <v>30067</v>
      </c>
      <c r="I5214" t="s">
        <v>3693</v>
      </c>
      <c r="J5214" t="s">
        <v>33509</v>
      </c>
      <c r="K5214" t="s">
        <v>39026</v>
      </c>
      <c r="M5214" t="s">
        <v>41229</v>
      </c>
      <c r="N5214" t="s">
        <v>43166</v>
      </c>
      <c r="O5214" t="s">
        <v>43167</v>
      </c>
      <c r="P5214">
        <v>0</v>
      </c>
      <c r="Q5214">
        <v>0</v>
      </c>
      <c r="R5214" t="s">
        <v>43172</v>
      </c>
      <c r="S5214" t="s">
        <v>43334</v>
      </c>
      <c r="T5214" t="s">
        <v>44825</v>
      </c>
      <c r="U5214" t="s">
        <v>49462</v>
      </c>
      <c r="W5214" t="s">
        <v>41229</v>
      </c>
      <c r="X5214" t="s">
        <v>43173</v>
      </c>
    </row>
    <row r="5215" spans="1:24">
      <c r="A5215">
        <f>HYPERLINK("https://www.philgeps.gov.ph/GEPSNONPILOT/Tender/SplashBidNoticeAbstractUI.aspx?menuIndex=3&amp;refID=7079181&amp;Result=3","7079181")</f>
        <v>0</v>
      </c>
      <c r="B5215" t="s">
        <v>297</v>
      </c>
      <c r="C5215" t="s">
        <v>8395</v>
      </c>
      <c r="D5215" t="s">
        <v>17449</v>
      </c>
      <c r="E5215" t="s">
        <v>22017</v>
      </c>
      <c r="F5215" t="s">
        <v>30052</v>
      </c>
      <c r="G5215" t="s">
        <v>30059</v>
      </c>
      <c r="H5215" t="s">
        <v>15498</v>
      </c>
      <c r="I5215" t="s">
        <v>30070</v>
      </c>
      <c r="J5215" t="s">
        <v>33510</v>
      </c>
      <c r="K5215" t="s">
        <v>39040</v>
      </c>
      <c r="M5215" t="s">
        <v>39592</v>
      </c>
      <c r="N5215" t="s">
        <v>43166</v>
      </c>
      <c r="O5215" t="s">
        <v>43167</v>
      </c>
      <c r="P5215">
        <v>0</v>
      </c>
      <c r="Q5215">
        <v>2</v>
      </c>
      <c r="R5215" t="s">
        <v>43172</v>
      </c>
      <c r="S5215" t="s">
        <v>43334</v>
      </c>
      <c r="T5215" t="s">
        <v>44717</v>
      </c>
      <c r="U5215" t="s">
        <v>49463</v>
      </c>
      <c r="W5215" t="s">
        <v>39592</v>
      </c>
      <c r="X5215" t="s">
        <v>43173</v>
      </c>
    </row>
    <row r="5216" spans="1:24">
      <c r="A5216">
        <f>HYPERLINK("https://www.philgeps.gov.ph/GEPSNONPILOT/Tender/SplashBidNoticeAbstractUI.aspx?menuIndex=3&amp;refID=7079153&amp;Result=3","7079153")</f>
        <v>0</v>
      </c>
      <c r="B5216" t="s">
        <v>42</v>
      </c>
      <c r="C5216" t="s">
        <v>8396</v>
      </c>
      <c r="D5216" t="s">
        <v>17425</v>
      </c>
      <c r="E5216" t="s">
        <v>22018</v>
      </c>
      <c r="F5216" t="s">
        <v>30052</v>
      </c>
      <c r="G5216" t="s">
        <v>30061</v>
      </c>
      <c r="H5216" t="s">
        <v>15498</v>
      </c>
      <c r="I5216" t="s">
        <v>30073</v>
      </c>
      <c r="J5216" t="s">
        <v>30810</v>
      </c>
      <c r="K5216" t="s">
        <v>39048</v>
      </c>
      <c r="M5216" t="s">
        <v>39332</v>
      </c>
      <c r="N5216" t="s">
        <v>43166</v>
      </c>
      <c r="O5216" t="s">
        <v>43167</v>
      </c>
      <c r="P5216">
        <v>0</v>
      </c>
      <c r="Q5216">
        <v>0</v>
      </c>
      <c r="R5216" t="s">
        <v>43172</v>
      </c>
      <c r="S5216" t="s">
        <v>43334</v>
      </c>
      <c r="T5216" t="s">
        <v>44696</v>
      </c>
      <c r="U5216" t="s">
        <v>45237</v>
      </c>
      <c r="W5216" t="s">
        <v>39332</v>
      </c>
      <c r="X5216" t="s">
        <v>43173</v>
      </c>
    </row>
    <row r="5217" spans="1:24">
      <c r="A5217">
        <f>HYPERLINK("https://www.philgeps.gov.ph/GEPSNONPILOT/Tender/SplashBidNoticeAbstractUI.aspx?menuIndex=3&amp;refID=7079150&amp;Result=3","7079150")</f>
        <v>0</v>
      </c>
      <c r="B5217" t="s">
        <v>1762</v>
      </c>
      <c r="C5217" t="s">
        <v>8397</v>
      </c>
      <c r="D5217" t="s">
        <v>17474</v>
      </c>
      <c r="E5217" t="s">
        <v>22019</v>
      </c>
      <c r="F5217" t="s">
        <v>30052</v>
      </c>
      <c r="G5217" t="s">
        <v>30059</v>
      </c>
      <c r="H5217" t="s">
        <v>15498</v>
      </c>
      <c r="I5217" t="s">
        <v>4598</v>
      </c>
      <c r="J5217" t="s">
        <v>31230</v>
      </c>
      <c r="K5217" t="s">
        <v>39029</v>
      </c>
      <c r="M5217" t="s">
        <v>41182</v>
      </c>
      <c r="N5217" t="s">
        <v>43166</v>
      </c>
      <c r="O5217" t="s">
        <v>43167</v>
      </c>
      <c r="P5217">
        <v>0</v>
      </c>
      <c r="Q5217">
        <v>5</v>
      </c>
      <c r="R5217" t="s">
        <v>43172</v>
      </c>
      <c r="S5217" t="s">
        <v>43334</v>
      </c>
      <c r="T5217" t="s">
        <v>44698</v>
      </c>
      <c r="U5217" t="s">
        <v>49344</v>
      </c>
      <c r="V5217" t="s">
        <v>57410</v>
      </c>
      <c r="W5217" t="s">
        <v>41182</v>
      </c>
      <c r="X5217" t="s">
        <v>43173</v>
      </c>
    </row>
    <row r="5218" spans="1:24">
      <c r="A5218">
        <f>HYPERLINK("https://www.philgeps.gov.ph/GEPSNONPILOT/Tender/SplashBidNoticeAbstractUI.aspx?menuIndex=3&amp;refID=7079147&amp;Result=3","7079147")</f>
        <v>0</v>
      </c>
      <c r="B5218" t="s">
        <v>1773</v>
      </c>
      <c r="C5218" t="s">
        <v>8398</v>
      </c>
      <c r="D5218" t="s">
        <v>17486</v>
      </c>
      <c r="E5218" t="s">
        <v>22020</v>
      </c>
      <c r="F5218" t="s">
        <v>30052</v>
      </c>
      <c r="G5218" t="s">
        <v>30058</v>
      </c>
      <c r="H5218" t="s">
        <v>15498</v>
      </c>
      <c r="I5218" t="s">
        <v>30076</v>
      </c>
      <c r="J5218" t="s">
        <v>33511</v>
      </c>
      <c r="K5218" t="s">
        <v>39019</v>
      </c>
      <c r="M5218" t="s">
        <v>41193</v>
      </c>
      <c r="N5218" t="s">
        <v>43166</v>
      </c>
      <c r="O5218" t="s">
        <v>43167</v>
      </c>
      <c r="P5218">
        <v>0</v>
      </c>
      <c r="Q5218">
        <v>12</v>
      </c>
      <c r="R5218" t="s">
        <v>43172</v>
      </c>
      <c r="S5218" t="s">
        <v>43334</v>
      </c>
      <c r="T5218" t="s">
        <v>44736</v>
      </c>
      <c r="U5218" t="s">
        <v>49464</v>
      </c>
      <c r="W5218" t="s">
        <v>41193</v>
      </c>
      <c r="X5218" t="s">
        <v>43173</v>
      </c>
    </row>
    <row r="5219" spans="1:24">
      <c r="A5219">
        <f>HYPERLINK("https://www.philgeps.gov.ph/GEPSNONPILOT/Tender/SplashBidNoticeAbstractUI.aspx?menuIndex=3&amp;refID=7079348&amp;Result=3","7079348")</f>
        <v>0</v>
      </c>
      <c r="B5219" t="s">
        <v>1807</v>
      </c>
      <c r="C5219" t="s">
        <v>8399</v>
      </c>
      <c r="D5219" t="s">
        <v>17468</v>
      </c>
      <c r="E5219" t="s">
        <v>22021</v>
      </c>
      <c r="F5219" t="s">
        <v>30052</v>
      </c>
      <c r="G5219" t="s">
        <v>30059</v>
      </c>
      <c r="H5219" t="s">
        <v>30067</v>
      </c>
      <c r="I5219" t="s">
        <v>3693</v>
      </c>
      <c r="J5219" t="s">
        <v>33512</v>
      </c>
      <c r="K5219" t="s">
        <v>39034</v>
      </c>
      <c r="M5219" t="s">
        <v>41230</v>
      </c>
      <c r="N5219" t="s">
        <v>43166</v>
      </c>
      <c r="O5219" t="s">
        <v>43167</v>
      </c>
      <c r="P5219">
        <v>0</v>
      </c>
      <c r="Q5219">
        <v>0</v>
      </c>
      <c r="R5219" t="s">
        <v>43172</v>
      </c>
      <c r="S5219" t="s">
        <v>43334</v>
      </c>
      <c r="T5219" t="s">
        <v>44717</v>
      </c>
      <c r="U5219" t="s">
        <v>49465</v>
      </c>
      <c r="V5219" t="s">
        <v>57411</v>
      </c>
      <c r="W5219" t="s">
        <v>41230</v>
      </c>
      <c r="X5219" t="s">
        <v>43173</v>
      </c>
    </row>
    <row r="5220" spans="1:24">
      <c r="A5220">
        <f>HYPERLINK("https://www.philgeps.gov.ph/GEPSNONPILOT/Tender/SplashBidNoticeAbstractUI.aspx?menuIndex=3&amp;refID=7079301&amp;Result=3","7079301")</f>
        <v>0</v>
      </c>
      <c r="B5220" t="s">
        <v>1779</v>
      </c>
      <c r="C5220" t="s">
        <v>8400</v>
      </c>
      <c r="D5220" t="s">
        <v>17444</v>
      </c>
      <c r="E5220" t="s">
        <v>22022</v>
      </c>
      <c r="F5220" t="s">
        <v>30052</v>
      </c>
      <c r="G5220" t="s">
        <v>30059</v>
      </c>
      <c r="H5220" t="s">
        <v>15498</v>
      </c>
      <c r="I5220" t="s">
        <v>30094</v>
      </c>
      <c r="J5220" t="s">
        <v>33513</v>
      </c>
      <c r="K5220" t="s">
        <v>39029</v>
      </c>
      <c r="M5220" t="s">
        <v>41199</v>
      </c>
      <c r="N5220" t="s">
        <v>43166</v>
      </c>
      <c r="O5220" t="s">
        <v>43167</v>
      </c>
      <c r="P5220">
        <v>0</v>
      </c>
      <c r="Q5220">
        <v>0</v>
      </c>
      <c r="R5220" t="s">
        <v>43172</v>
      </c>
      <c r="S5220" t="s">
        <v>43334</v>
      </c>
      <c r="T5220" t="s">
        <v>44698</v>
      </c>
      <c r="U5220" t="s">
        <v>49466</v>
      </c>
      <c r="V5220" t="s">
        <v>57405</v>
      </c>
      <c r="W5220" t="s">
        <v>41199</v>
      </c>
      <c r="X5220" t="s">
        <v>43173</v>
      </c>
    </row>
    <row r="5221" spans="1:24">
      <c r="A5221">
        <f>HYPERLINK("https://www.philgeps.gov.ph/GEPSNONPILOT/Tender/SplashBidNoticeAbstractUI.aspx?menuIndex=3&amp;refID=7079426&amp;Result=3","7079426")</f>
        <v>0</v>
      </c>
      <c r="B5221" t="s">
        <v>236</v>
      </c>
      <c r="C5221" t="s">
        <v>8401</v>
      </c>
      <c r="D5221" t="s">
        <v>17423</v>
      </c>
      <c r="E5221" t="s">
        <v>22023</v>
      </c>
      <c r="F5221" t="s">
        <v>30052</v>
      </c>
      <c r="G5221" t="s">
        <v>30059</v>
      </c>
      <c r="H5221" t="s">
        <v>15498</v>
      </c>
      <c r="I5221" t="s">
        <v>30092</v>
      </c>
      <c r="J5221" t="s">
        <v>30337</v>
      </c>
      <c r="K5221" t="s">
        <v>39029</v>
      </c>
      <c r="M5221" t="s">
        <v>41210</v>
      </c>
      <c r="N5221" t="s">
        <v>43166</v>
      </c>
      <c r="O5221" t="s">
        <v>43167</v>
      </c>
      <c r="P5221">
        <v>0</v>
      </c>
      <c r="Q5221">
        <v>2</v>
      </c>
      <c r="R5221" t="s">
        <v>43172</v>
      </c>
      <c r="S5221" t="s">
        <v>43334</v>
      </c>
      <c r="T5221" t="s">
        <v>44720</v>
      </c>
      <c r="U5221" t="s">
        <v>49467</v>
      </c>
      <c r="W5221" t="s">
        <v>41210</v>
      </c>
      <c r="X5221" t="s">
        <v>43173</v>
      </c>
    </row>
    <row r="5222" spans="1:24">
      <c r="A5222">
        <f>HYPERLINK("https://www.philgeps.gov.ph/GEPSNONPILOT/Tender/SplashBidNoticeAbstractUI.aspx?menuIndex=3&amp;refID=7079424&amp;Result=3","7079424")</f>
        <v>0</v>
      </c>
      <c r="B5222" t="s">
        <v>1777</v>
      </c>
      <c r="C5222" t="s">
        <v>8402</v>
      </c>
      <c r="D5222" t="s">
        <v>17461</v>
      </c>
      <c r="E5222" t="s">
        <v>22024</v>
      </c>
      <c r="F5222" t="s">
        <v>30052</v>
      </c>
      <c r="G5222" t="s">
        <v>30059</v>
      </c>
      <c r="H5222" t="s">
        <v>15498</v>
      </c>
      <c r="I5222" t="s">
        <v>6691</v>
      </c>
      <c r="J5222" t="s">
        <v>32780</v>
      </c>
      <c r="K5222" t="s">
        <v>39059</v>
      </c>
      <c r="M5222" t="s">
        <v>41197</v>
      </c>
      <c r="N5222" t="s">
        <v>43166</v>
      </c>
      <c r="O5222" t="s">
        <v>43167</v>
      </c>
      <c r="P5222">
        <v>0</v>
      </c>
      <c r="Q5222">
        <v>0</v>
      </c>
      <c r="R5222" t="s">
        <v>43172</v>
      </c>
      <c r="S5222" t="s">
        <v>43334</v>
      </c>
      <c r="T5222" t="s">
        <v>44696</v>
      </c>
      <c r="U5222" t="s">
        <v>49468</v>
      </c>
      <c r="W5222" t="s">
        <v>41197</v>
      </c>
      <c r="X5222" t="s">
        <v>43173</v>
      </c>
    </row>
    <row r="5223" spans="1:24">
      <c r="A5223">
        <f>HYPERLINK("https://www.philgeps.gov.ph/GEPSNONPILOT/Tender/SplashBidNoticeAbstractUI.aspx?menuIndex=3&amp;refID=7079148&amp;Result=3","7079148")</f>
        <v>0</v>
      </c>
      <c r="B5223" t="s">
        <v>1727</v>
      </c>
      <c r="C5223" t="s">
        <v>8403</v>
      </c>
      <c r="D5223" t="s">
        <v>17436</v>
      </c>
      <c r="E5223" t="s">
        <v>22025</v>
      </c>
      <c r="F5223" t="s">
        <v>30052</v>
      </c>
      <c r="G5223" t="s">
        <v>30058</v>
      </c>
      <c r="H5223" t="s">
        <v>15498</v>
      </c>
      <c r="I5223" t="s">
        <v>30070</v>
      </c>
      <c r="J5223" t="s">
        <v>33514</v>
      </c>
      <c r="K5223" t="s">
        <v>39034</v>
      </c>
      <c r="M5223" t="s">
        <v>41144</v>
      </c>
      <c r="N5223" t="s">
        <v>43166</v>
      </c>
      <c r="O5223" t="s">
        <v>43167</v>
      </c>
      <c r="P5223">
        <v>0</v>
      </c>
      <c r="Q5223">
        <v>0</v>
      </c>
      <c r="R5223" t="s">
        <v>43172</v>
      </c>
      <c r="S5223" t="s">
        <v>43334</v>
      </c>
      <c r="T5223" t="s">
        <v>44818</v>
      </c>
      <c r="U5223" t="s">
        <v>49469</v>
      </c>
      <c r="W5223" t="s">
        <v>41144</v>
      </c>
      <c r="X5223" t="s">
        <v>43173</v>
      </c>
    </row>
    <row r="5224" spans="1:24">
      <c r="A5224">
        <f>HYPERLINK("https://www.philgeps.gov.ph/GEPSNONPILOT/Tender/SplashBidNoticeAbstractUI.aspx?menuIndex=3&amp;refID=7079422&amp;Result=3","7079422")</f>
        <v>0</v>
      </c>
      <c r="B5224" t="s">
        <v>1779</v>
      </c>
      <c r="C5224" t="s">
        <v>8404</v>
      </c>
      <c r="D5224" t="s">
        <v>17444</v>
      </c>
      <c r="E5224" t="s">
        <v>22026</v>
      </c>
      <c r="F5224" t="s">
        <v>30052</v>
      </c>
      <c r="G5224" t="s">
        <v>30059</v>
      </c>
      <c r="H5224" t="s">
        <v>15498</v>
      </c>
      <c r="I5224" t="s">
        <v>30071</v>
      </c>
      <c r="J5224" t="s">
        <v>33515</v>
      </c>
      <c r="K5224" t="s">
        <v>39034</v>
      </c>
      <c r="M5224" t="s">
        <v>41199</v>
      </c>
      <c r="N5224" t="s">
        <v>43166</v>
      </c>
      <c r="O5224" t="s">
        <v>43167</v>
      </c>
      <c r="P5224">
        <v>0</v>
      </c>
      <c r="Q5224">
        <v>3</v>
      </c>
      <c r="R5224" t="s">
        <v>43172</v>
      </c>
      <c r="S5224" t="s">
        <v>43334</v>
      </c>
      <c r="T5224" t="s">
        <v>44698</v>
      </c>
      <c r="U5224" t="s">
        <v>49470</v>
      </c>
      <c r="V5224" t="s">
        <v>57405</v>
      </c>
      <c r="W5224" t="s">
        <v>41199</v>
      </c>
      <c r="X5224" t="s">
        <v>43173</v>
      </c>
    </row>
    <row r="5225" spans="1:24">
      <c r="A5225">
        <f>HYPERLINK("https://www.philgeps.gov.ph/GEPSNONPILOT/Tender/SplashBidNoticeAbstractUI.aspx?menuIndex=3&amp;refID=7079421&amp;Result=3","7079421")</f>
        <v>0</v>
      </c>
      <c r="B5225" t="s">
        <v>1808</v>
      </c>
      <c r="C5225" t="s">
        <v>8405</v>
      </c>
      <c r="D5225" t="s">
        <v>17485</v>
      </c>
      <c r="E5225" t="s">
        <v>22027</v>
      </c>
      <c r="F5225" t="s">
        <v>30052</v>
      </c>
      <c r="G5225" t="s">
        <v>30059</v>
      </c>
      <c r="H5225" t="s">
        <v>15498</v>
      </c>
      <c r="I5225" t="s">
        <v>3736</v>
      </c>
      <c r="J5225" t="s">
        <v>30407</v>
      </c>
      <c r="K5225" t="s">
        <v>39017</v>
      </c>
      <c r="M5225" t="s">
        <v>41231</v>
      </c>
      <c r="N5225" t="s">
        <v>43166</v>
      </c>
      <c r="O5225" t="s">
        <v>43167</v>
      </c>
      <c r="P5225">
        <v>0</v>
      </c>
      <c r="Q5225">
        <v>0</v>
      </c>
      <c r="R5225" t="s">
        <v>43172</v>
      </c>
      <c r="S5225" t="s">
        <v>43334</v>
      </c>
      <c r="T5225" t="s">
        <v>44691</v>
      </c>
      <c r="U5225" t="s">
        <v>49471</v>
      </c>
      <c r="W5225" t="s">
        <v>41231</v>
      </c>
      <c r="X5225" t="s">
        <v>43173</v>
      </c>
    </row>
    <row r="5226" spans="1:24">
      <c r="A5226">
        <f>HYPERLINK("https://www.philgeps.gov.ph/GEPSNONPILOT/Tender/SplashBidNoticeAbstractUI.aspx?menuIndex=3&amp;refID=7079145&amp;Result=3","7079145")</f>
        <v>0</v>
      </c>
      <c r="B5226" t="s">
        <v>188</v>
      </c>
      <c r="C5226" t="s">
        <v>8406</v>
      </c>
      <c r="D5226" t="s">
        <v>17422</v>
      </c>
      <c r="E5226" t="s">
        <v>22028</v>
      </c>
      <c r="F5226" t="s">
        <v>30052</v>
      </c>
      <c r="G5226" t="s">
        <v>30058</v>
      </c>
      <c r="H5226" t="s">
        <v>15498</v>
      </c>
      <c r="I5226" t="s">
        <v>3736</v>
      </c>
      <c r="J5226" t="s">
        <v>33516</v>
      </c>
      <c r="K5226" t="s">
        <v>39029</v>
      </c>
      <c r="M5226" t="s">
        <v>39477</v>
      </c>
      <c r="N5226" t="s">
        <v>43166</v>
      </c>
      <c r="O5226" t="s">
        <v>43167</v>
      </c>
      <c r="P5226">
        <v>0</v>
      </c>
      <c r="Q5226">
        <v>2</v>
      </c>
      <c r="R5226" t="s">
        <v>43172</v>
      </c>
      <c r="S5226" t="s">
        <v>43334</v>
      </c>
      <c r="T5226" t="s">
        <v>44691</v>
      </c>
      <c r="U5226" t="s">
        <v>49352</v>
      </c>
      <c r="W5226" t="s">
        <v>39477</v>
      </c>
      <c r="X5226" t="s">
        <v>43173</v>
      </c>
    </row>
    <row r="5227" spans="1:24">
      <c r="A5227">
        <f>HYPERLINK("https://www.philgeps.gov.ph/GEPSNONPILOT/Tender/SplashBidNoticeAbstractUI.aspx?menuIndex=3&amp;refID=7079419&amp;Result=3","7079419")</f>
        <v>0</v>
      </c>
      <c r="B5227" t="s">
        <v>1800</v>
      </c>
      <c r="C5227" t="s">
        <v>7114</v>
      </c>
      <c r="D5227" t="s">
        <v>17474</v>
      </c>
      <c r="E5227" t="s">
        <v>22029</v>
      </c>
      <c r="F5227" t="s">
        <v>30052</v>
      </c>
      <c r="G5227" t="s">
        <v>30059</v>
      </c>
      <c r="H5227" t="s">
        <v>15498</v>
      </c>
      <c r="I5227" t="s">
        <v>4119</v>
      </c>
      <c r="J5227" t="s">
        <v>33517</v>
      </c>
      <c r="K5227" t="s">
        <v>39038</v>
      </c>
      <c r="M5227" t="s">
        <v>41223</v>
      </c>
      <c r="N5227" t="s">
        <v>43166</v>
      </c>
      <c r="O5227" t="s">
        <v>43167</v>
      </c>
      <c r="P5227">
        <v>0</v>
      </c>
      <c r="Q5227">
        <v>2</v>
      </c>
      <c r="R5227" t="s">
        <v>43172</v>
      </c>
      <c r="S5227" t="s">
        <v>43334</v>
      </c>
      <c r="T5227" t="s">
        <v>44861</v>
      </c>
      <c r="U5227" t="s">
        <v>49472</v>
      </c>
      <c r="W5227" t="s">
        <v>41223</v>
      </c>
      <c r="X5227" t="s">
        <v>43173</v>
      </c>
    </row>
    <row r="5228" spans="1:24">
      <c r="A5228">
        <f>HYPERLINK("https://www.philgeps.gov.ph/GEPSNONPILOT/Tender/SplashBidNoticeAbstractUI.aspx?menuIndex=3&amp;refID=7079423&amp;Result=3","7079423")</f>
        <v>0</v>
      </c>
      <c r="B5228" t="s">
        <v>689</v>
      </c>
      <c r="C5228" t="s">
        <v>8407</v>
      </c>
      <c r="D5228" t="s">
        <v>17475</v>
      </c>
      <c r="E5228" t="s">
        <v>21770</v>
      </c>
      <c r="F5228" t="s">
        <v>30052</v>
      </c>
      <c r="G5228" t="s">
        <v>30058</v>
      </c>
      <c r="H5228" t="s">
        <v>30067</v>
      </c>
      <c r="I5228" t="s">
        <v>3693</v>
      </c>
      <c r="J5228" t="s">
        <v>33518</v>
      </c>
      <c r="K5228" t="s">
        <v>39031</v>
      </c>
      <c r="M5228" t="s">
        <v>39995</v>
      </c>
      <c r="N5228" t="s">
        <v>43166</v>
      </c>
      <c r="O5228" t="s">
        <v>43167</v>
      </c>
      <c r="P5228">
        <v>0</v>
      </c>
      <c r="Q5228">
        <v>1</v>
      </c>
      <c r="R5228" t="s">
        <v>43172</v>
      </c>
      <c r="S5228" t="s">
        <v>43334</v>
      </c>
      <c r="T5228" t="s">
        <v>45014</v>
      </c>
      <c r="U5228" t="s">
        <v>49473</v>
      </c>
      <c r="V5228" t="s">
        <v>57412</v>
      </c>
      <c r="W5228" t="s">
        <v>39995</v>
      </c>
      <c r="X5228" t="s">
        <v>43173</v>
      </c>
    </row>
    <row r="5229" spans="1:24">
      <c r="A5229">
        <f>HYPERLINK("https://www.philgeps.gov.ph/GEPSNONPILOT/Tender/SplashBidNoticeAbstractUI.aspx?menuIndex=3&amp;refID=7079410&amp;Result=3","7079410")</f>
        <v>0</v>
      </c>
      <c r="B5229" t="s">
        <v>887</v>
      </c>
      <c r="C5229" t="s">
        <v>5458</v>
      </c>
      <c r="D5229" t="s">
        <v>17474</v>
      </c>
      <c r="E5229" t="s">
        <v>17779</v>
      </c>
      <c r="F5229" t="s">
        <v>30054</v>
      </c>
      <c r="G5229" t="s">
        <v>30058</v>
      </c>
      <c r="H5229" t="s">
        <v>30067</v>
      </c>
      <c r="I5229" t="s">
        <v>3693</v>
      </c>
      <c r="J5229" t="s">
        <v>33499</v>
      </c>
      <c r="K5229" t="s">
        <v>39029</v>
      </c>
      <c r="M5229" t="s">
        <v>40206</v>
      </c>
      <c r="N5229" t="s">
        <v>43166</v>
      </c>
      <c r="O5229" t="s">
        <v>43167</v>
      </c>
      <c r="P5229">
        <v>0</v>
      </c>
      <c r="Q5229">
        <v>0</v>
      </c>
      <c r="R5229" t="s">
        <v>43172</v>
      </c>
      <c r="S5229" t="s">
        <v>43334</v>
      </c>
      <c r="T5229" t="s">
        <v>44807</v>
      </c>
      <c r="U5229" t="s">
        <v>49448</v>
      </c>
      <c r="W5229" t="s">
        <v>40206</v>
      </c>
      <c r="X5229" t="s">
        <v>43173</v>
      </c>
    </row>
    <row r="5230" spans="1:24">
      <c r="A5230">
        <f>HYPERLINK("https://www.philgeps.gov.ph/GEPSNONPILOT/Tender/SplashBidNoticeAbstractUI.aspx?menuIndex=3&amp;refID=7079324&amp;Result=3","7079324")</f>
        <v>0</v>
      </c>
      <c r="B5230" t="s">
        <v>1779</v>
      </c>
      <c r="C5230" t="s">
        <v>8408</v>
      </c>
      <c r="D5230" t="s">
        <v>17444</v>
      </c>
      <c r="E5230" t="s">
        <v>22030</v>
      </c>
      <c r="F5230" t="s">
        <v>30052</v>
      </c>
      <c r="G5230" t="s">
        <v>30059</v>
      </c>
      <c r="H5230" t="s">
        <v>15498</v>
      </c>
      <c r="I5230" t="s">
        <v>30094</v>
      </c>
      <c r="J5230" t="s">
        <v>33519</v>
      </c>
      <c r="K5230" t="s">
        <v>39034</v>
      </c>
      <c r="M5230" t="s">
        <v>41199</v>
      </c>
      <c r="N5230" t="s">
        <v>43166</v>
      </c>
      <c r="O5230" t="s">
        <v>43167</v>
      </c>
      <c r="P5230">
        <v>0</v>
      </c>
      <c r="Q5230">
        <v>0</v>
      </c>
      <c r="R5230" t="s">
        <v>43172</v>
      </c>
      <c r="S5230" t="s">
        <v>43334</v>
      </c>
      <c r="T5230" t="s">
        <v>44698</v>
      </c>
      <c r="U5230" t="s">
        <v>49474</v>
      </c>
      <c r="V5230" t="s">
        <v>57405</v>
      </c>
      <c r="W5230" t="s">
        <v>41199</v>
      </c>
      <c r="X5230" t="s">
        <v>43173</v>
      </c>
    </row>
    <row r="5231" spans="1:24">
      <c r="A5231">
        <f>HYPERLINK("https://www.philgeps.gov.ph/GEPSNONPILOT/Tender/SplashBidNoticeAbstractUI.aspx?menuIndex=3&amp;refID=7079407&amp;Result=3","7079407")</f>
        <v>0</v>
      </c>
      <c r="B5231" t="s">
        <v>1779</v>
      </c>
      <c r="C5231" t="s">
        <v>8409</v>
      </c>
      <c r="D5231" t="s">
        <v>17444</v>
      </c>
      <c r="E5231" t="s">
        <v>22031</v>
      </c>
      <c r="F5231" t="s">
        <v>30052</v>
      </c>
      <c r="G5231" t="s">
        <v>30059</v>
      </c>
      <c r="H5231" t="s">
        <v>15498</v>
      </c>
      <c r="I5231" t="s">
        <v>30070</v>
      </c>
      <c r="J5231" t="s">
        <v>33520</v>
      </c>
      <c r="K5231" t="s">
        <v>39037</v>
      </c>
      <c r="M5231" t="s">
        <v>41199</v>
      </c>
      <c r="N5231" t="s">
        <v>43166</v>
      </c>
      <c r="O5231" t="s">
        <v>43167</v>
      </c>
      <c r="P5231">
        <v>0</v>
      </c>
      <c r="Q5231">
        <v>1</v>
      </c>
      <c r="R5231" t="s">
        <v>43172</v>
      </c>
      <c r="S5231" t="s">
        <v>43334</v>
      </c>
      <c r="T5231" t="s">
        <v>44698</v>
      </c>
      <c r="U5231" t="s">
        <v>49475</v>
      </c>
      <c r="V5231" t="s">
        <v>57405</v>
      </c>
      <c r="W5231" t="s">
        <v>41199</v>
      </c>
      <c r="X5231" t="s">
        <v>43173</v>
      </c>
    </row>
    <row r="5232" spans="1:24">
      <c r="A5232">
        <f>HYPERLINK("https://www.philgeps.gov.ph/GEPSNONPILOT/Tender/SplashBidNoticeAbstractUI.aspx?menuIndex=3&amp;refID=7079420&amp;Result=3","7079420")</f>
        <v>0</v>
      </c>
      <c r="B5232" t="s">
        <v>1799</v>
      </c>
      <c r="C5232" t="s">
        <v>8410</v>
      </c>
      <c r="D5232" t="s">
        <v>17494</v>
      </c>
      <c r="E5232" t="s">
        <v>20668</v>
      </c>
      <c r="F5232" t="s">
        <v>30052</v>
      </c>
      <c r="G5232" t="s">
        <v>30058</v>
      </c>
      <c r="H5232" t="s">
        <v>15498</v>
      </c>
      <c r="I5232" t="s">
        <v>3736</v>
      </c>
      <c r="J5232" t="s">
        <v>33521</v>
      </c>
      <c r="K5232" t="s">
        <v>39019</v>
      </c>
      <c r="M5232" t="s">
        <v>41222</v>
      </c>
      <c r="N5232" t="s">
        <v>43166</v>
      </c>
      <c r="O5232" t="s">
        <v>43167</v>
      </c>
      <c r="P5232">
        <v>0</v>
      </c>
      <c r="Q5232">
        <v>0</v>
      </c>
      <c r="R5232" t="s">
        <v>43172</v>
      </c>
      <c r="S5232" t="s">
        <v>43334</v>
      </c>
      <c r="T5232" t="s">
        <v>44708</v>
      </c>
      <c r="U5232" t="s">
        <v>49476</v>
      </c>
      <c r="W5232" t="s">
        <v>41222</v>
      </c>
      <c r="X5232" t="s">
        <v>43173</v>
      </c>
    </row>
    <row r="5233" spans="1:24">
      <c r="A5233">
        <f>HYPERLINK("https://www.philgeps.gov.ph/GEPSNONPILOT/Tender/SplashBidNoticeAbstractUI.aspx?menuIndex=3&amp;refID=7079406&amp;Result=3","7079406")</f>
        <v>0</v>
      </c>
      <c r="B5233" t="s">
        <v>1809</v>
      </c>
      <c r="C5233" t="s">
        <v>8411</v>
      </c>
      <c r="D5233" t="s">
        <v>17421</v>
      </c>
      <c r="E5233" t="s">
        <v>22032</v>
      </c>
      <c r="F5233" t="s">
        <v>30052</v>
      </c>
      <c r="G5233" t="s">
        <v>30058</v>
      </c>
      <c r="H5233" t="s">
        <v>15498</v>
      </c>
      <c r="I5233" t="s">
        <v>3736</v>
      </c>
      <c r="J5233" t="s">
        <v>33522</v>
      </c>
      <c r="K5233" t="s">
        <v>39017</v>
      </c>
      <c r="M5233" t="s">
        <v>41232</v>
      </c>
      <c r="N5233" t="s">
        <v>43166</v>
      </c>
      <c r="O5233" t="s">
        <v>43167</v>
      </c>
      <c r="P5233">
        <v>0</v>
      </c>
      <c r="Q5233">
        <v>0</v>
      </c>
      <c r="R5233" t="s">
        <v>43172</v>
      </c>
      <c r="S5233" t="s">
        <v>43334</v>
      </c>
      <c r="T5233" t="s">
        <v>44696</v>
      </c>
      <c r="U5233" t="s">
        <v>45564</v>
      </c>
      <c r="W5233" t="s">
        <v>41232</v>
      </c>
      <c r="X5233" t="s">
        <v>43173</v>
      </c>
    </row>
    <row r="5234" spans="1:24">
      <c r="A5234">
        <f>HYPERLINK("https://www.philgeps.gov.ph/GEPSNONPILOT/Tender/SplashBidNoticeAbstractUI.aspx?menuIndex=3&amp;refID=7079418&amp;Result=3","7079418")</f>
        <v>0</v>
      </c>
      <c r="B5234" t="s">
        <v>1797</v>
      </c>
      <c r="C5234" t="s">
        <v>8412</v>
      </c>
      <c r="D5234" t="s">
        <v>17415</v>
      </c>
      <c r="E5234" t="s">
        <v>22033</v>
      </c>
      <c r="F5234" t="s">
        <v>30052</v>
      </c>
      <c r="G5234" t="s">
        <v>30059</v>
      </c>
      <c r="H5234" t="s">
        <v>30067</v>
      </c>
      <c r="I5234" t="s">
        <v>3693</v>
      </c>
      <c r="J5234" t="s">
        <v>33523</v>
      </c>
      <c r="K5234" t="s">
        <v>39025</v>
      </c>
      <c r="M5234" t="s">
        <v>41220</v>
      </c>
      <c r="N5234" t="s">
        <v>43166</v>
      </c>
      <c r="O5234" t="s">
        <v>43167</v>
      </c>
      <c r="P5234">
        <v>0</v>
      </c>
      <c r="Q5234">
        <v>0</v>
      </c>
      <c r="R5234" t="s">
        <v>43172</v>
      </c>
      <c r="S5234" t="s">
        <v>43334</v>
      </c>
      <c r="T5234" t="s">
        <v>44767</v>
      </c>
      <c r="U5234" t="s">
        <v>49477</v>
      </c>
      <c r="W5234" t="s">
        <v>41220</v>
      </c>
      <c r="X5234" t="s">
        <v>43173</v>
      </c>
    </row>
    <row r="5235" spans="1:24">
      <c r="A5235">
        <f>HYPERLINK("https://www.philgeps.gov.ph/GEPSNONPILOT/Tender/SplashBidNoticeAbstractUI.aspx?menuIndex=3&amp;refID=7079402&amp;Result=3","7079402")</f>
        <v>0</v>
      </c>
      <c r="B5235" t="s">
        <v>1808</v>
      </c>
      <c r="C5235" t="s">
        <v>8413</v>
      </c>
      <c r="D5235" t="s">
        <v>17485</v>
      </c>
      <c r="E5235" t="s">
        <v>22034</v>
      </c>
      <c r="F5235" t="s">
        <v>30052</v>
      </c>
      <c r="G5235" t="s">
        <v>30059</v>
      </c>
      <c r="H5235" t="s">
        <v>15498</v>
      </c>
      <c r="I5235" t="s">
        <v>4119</v>
      </c>
      <c r="J5235" t="s">
        <v>33524</v>
      </c>
      <c r="K5235" t="s">
        <v>39017</v>
      </c>
      <c r="M5235" t="s">
        <v>41231</v>
      </c>
      <c r="N5235" t="s">
        <v>43166</v>
      </c>
      <c r="O5235" t="s">
        <v>43167</v>
      </c>
      <c r="P5235">
        <v>0</v>
      </c>
      <c r="Q5235">
        <v>0</v>
      </c>
      <c r="R5235" t="s">
        <v>43172</v>
      </c>
      <c r="S5235" t="s">
        <v>43334</v>
      </c>
      <c r="T5235" t="s">
        <v>44691</v>
      </c>
      <c r="U5235" t="s">
        <v>49471</v>
      </c>
      <c r="W5235" t="s">
        <v>41231</v>
      </c>
      <c r="X5235" t="s">
        <v>43173</v>
      </c>
    </row>
    <row r="5236" spans="1:24">
      <c r="A5236">
        <f>HYPERLINK("https://www.philgeps.gov.ph/GEPSNONPILOT/Tender/SplashBidNoticeAbstractUI.aspx?menuIndex=3&amp;refID=7079401&amp;Result=3","7079401")</f>
        <v>0</v>
      </c>
      <c r="B5236" t="s">
        <v>123</v>
      </c>
      <c r="C5236" t="s">
        <v>8414</v>
      </c>
      <c r="D5236" t="s">
        <v>17458</v>
      </c>
      <c r="E5236" t="s">
        <v>22035</v>
      </c>
      <c r="F5236" t="s">
        <v>30052</v>
      </c>
      <c r="G5236" t="s">
        <v>30059</v>
      </c>
      <c r="H5236" t="s">
        <v>15498</v>
      </c>
      <c r="I5236" t="s">
        <v>4650</v>
      </c>
      <c r="J5236" t="s">
        <v>30248</v>
      </c>
      <c r="K5236" t="s">
        <v>39025</v>
      </c>
      <c r="M5236" t="s">
        <v>39412</v>
      </c>
      <c r="N5236" t="s">
        <v>43166</v>
      </c>
      <c r="O5236" t="s">
        <v>43167</v>
      </c>
      <c r="P5236">
        <v>0</v>
      </c>
      <c r="Q5236">
        <v>6</v>
      </c>
      <c r="R5236" t="s">
        <v>43172</v>
      </c>
      <c r="S5236" t="s">
        <v>43334</v>
      </c>
      <c r="T5236" t="s">
        <v>44717</v>
      </c>
      <c r="U5236" t="s">
        <v>49478</v>
      </c>
      <c r="W5236" t="s">
        <v>39412</v>
      </c>
      <c r="X5236" t="s">
        <v>43173</v>
      </c>
    </row>
    <row r="5237" spans="1:24">
      <c r="A5237">
        <f>HYPERLINK("https://www.philgeps.gov.ph/GEPSNONPILOT/Tender/SplashBidNoticeAbstractUI.aspx?menuIndex=3&amp;refID=7079417&amp;Result=3","7079417")</f>
        <v>0</v>
      </c>
      <c r="B5237" t="s">
        <v>1810</v>
      </c>
      <c r="C5237" t="s">
        <v>8415</v>
      </c>
      <c r="D5237" t="s">
        <v>17492</v>
      </c>
      <c r="E5237" t="s">
        <v>22036</v>
      </c>
      <c r="F5237" t="s">
        <v>30052</v>
      </c>
      <c r="G5237" t="s">
        <v>30064</v>
      </c>
      <c r="H5237" t="s">
        <v>15498</v>
      </c>
      <c r="I5237" t="s">
        <v>30071</v>
      </c>
      <c r="J5237" t="s">
        <v>33525</v>
      </c>
      <c r="K5237" t="s">
        <v>39019</v>
      </c>
      <c r="M5237" t="s">
        <v>41233</v>
      </c>
      <c r="N5237" t="s">
        <v>43166</v>
      </c>
      <c r="O5237" t="s">
        <v>43167</v>
      </c>
      <c r="P5237">
        <v>0</v>
      </c>
      <c r="Q5237">
        <v>0</v>
      </c>
      <c r="R5237" t="s">
        <v>43172</v>
      </c>
      <c r="S5237" t="s">
        <v>43334</v>
      </c>
      <c r="T5237" t="s">
        <v>45015</v>
      </c>
      <c r="U5237" t="s">
        <v>49479</v>
      </c>
      <c r="W5237" t="s">
        <v>41233</v>
      </c>
      <c r="X5237" t="s">
        <v>43173</v>
      </c>
    </row>
    <row r="5238" spans="1:24">
      <c r="A5238">
        <f>HYPERLINK("https://www.philgeps.gov.ph/GEPSNONPILOT/Tender/SplashBidNoticeAbstractUI.aspx?menuIndex=3&amp;refID=7079394&amp;Result=3","7079394")</f>
        <v>0</v>
      </c>
      <c r="B5238" t="s">
        <v>1811</v>
      </c>
      <c r="C5238" t="s">
        <v>8416</v>
      </c>
      <c r="D5238" t="s">
        <v>17450</v>
      </c>
      <c r="E5238" t="s">
        <v>22037</v>
      </c>
      <c r="F5238" t="s">
        <v>30052</v>
      </c>
      <c r="G5238" t="s">
        <v>30058</v>
      </c>
      <c r="H5238" t="s">
        <v>30067</v>
      </c>
      <c r="I5238" t="s">
        <v>3693</v>
      </c>
      <c r="J5238" t="s">
        <v>33526</v>
      </c>
      <c r="K5238" t="s">
        <v>39026</v>
      </c>
      <c r="M5238" t="s">
        <v>41234</v>
      </c>
      <c r="N5238" t="s">
        <v>43166</v>
      </c>
      <c r="O5238" t="s">
        <v>43167</v>
      </c>
      <c r="P5238">
        <v>0</v>
      </c>
      <c r="Q5238">
        <v>1</v>
      </c>
      <c r="R5238" t="s">
        <v>43172</v>
      </c>
      <c r="S5238" t="s">
        <v>43334</v>
      </c>
      <c r="T5238" t="s">
        <v>44722</v>
      </c>
      <c r="U5238" t="s">
        <v>49480</v>
      </c>
      <c r="W5238" t="s">
        <v>41234</v>
      </c>
      <c r="X5238" t="s">
        <v>43173</v>
      </c>
    </row>
    <row r="5239" spans="1:24">
      <c r="A5239">
        <f>HYPERLINK("https://www.philgeps.gov.ph/GEPSNONPILOT/Tender/SplashBidNoticeAbstractUI.aspx?menuIndex=3&amp;refID=7079391&amp;Result=3","7079391")</f>
        <v>0</v>
      </c>
      <c r="B5239" t="s">
        <v>1812</v>
      </c>
      <c r="C5239" t="s">
        <v>8411</v>
      </c>
      <c r="D5239" t="s">
        <v>17421</v>
      </c>
      <c r="E5239" t="s">
        <v>22038</v>
      </c>
      <c r="F5239" t="s">
        <v>30052</v>
      </c>
      <c r="G5239" t="s">
        <v>30058</v>
      </c>
      <c r="H5239" t="s">
        <v>15498</v>
      </c>
      <c r="I5239" t="s">
        <v>3736</v>
      </c>
      <c r="J5239" t="s">
        <v>30207</v>
      </c>
      <c r="K5239" t="s">
        <v>39017</v>
      </c>
      <c r="M5239" t="s">
        <v>41235</v>
      </c>
      <c r="N5239" t="s">
        <v>43166</v>
      </c>
      <c r="O5239" t="s">
        <v>43167</v>
      </c>
      <c r="P5239">
        <v>0</v>
      </c>
      <c r="Q5239">
        <v>0</v>
      </c>
      <c r="R5239" t="s">
        <v>43172</v>
      </c>
      <c r="S5239" t="s">
        <v>43334</v>
      </c>
      <c r="T5239" t="s">
        <v>44696</v>
      </c>
      <c r="U5239" t="s">
        <v>45564</v>
      </c>
      <c r="W5239" t="s">
        <v>41235</v>
      </c>
      <c r="X5239" t="s">
        <v>43173</v>
      </c>
    </row>
    <row r="5240" spans="1:24">
      <c r="A5240">
        <f>HYPERLINK("https://www.philgeps.gov.ph/GEPSNONPILOT/Tender/SplashBidNoticeAbstractUI.aspx?menuIndex=3&amp;refID=7079137&amp;Result=3","7079137")</f>
        <v>0</v>
      </c>
      <c r="B5240" t="s">
        <v>757</v>
      </c>
      <c r="C5240" t="s">
        <v>8417</v>
      </c>
      <c r="D5240" t="s">
        <v>17462</v>
      </c>
      <c r="E5240" t="s">
        <v>21930</v>
      </c>
      <c r="F5240" t="s">
        <v>30052</v>
      </c>
      <c r="G5240" t="s">
        <v>30058</v>
      </c>
      <c r="H5240" t="s">
        <v>30067</v>
      </c>
      <c r="I5240" t="s">
        <v>3693</v>
      </c>
      <c r="J5240" t="s">
        <v>33527</v>
      </c>
      <c r="K5240" t="s">
        <v>39033</v>
      </c>
      <c r="M5240" t="s">
        <v>40071</v>
      </c>
      <c r="N5240" t="s">
        <v>43166</v>
      </c>
      <c r="O5240" t="s">
        <v>43167</v>
      </c>
      <c r="P5240">
        <v>0</v>
      </c>
      <c r="Q5240">
        <v>1</v>
      </c>
      <c r="R5240" t="s">
        <v>43172</v>
      </c>
      <c r="S5240" t="s">
        <v>43334</v>
      </c>
      <c r="T5240" t="s">
        <v>44966</v>
      </c>
      <c r="U5240" t="s">
        <v>49205</v>
      </c>
      <c r="W5240" t="s">
        <v>40071</v>
      </c>
      <c r="X5240" t="s">
        <v>43173</v>
      </c>
    </row>
    <row r="5241" spans="1:24">
      <c r="A5241">
        <f>HYPERLINK("https://www.philgeps.gov.ph/GEPSNONPILOT/Tender/SplashBidNoticeAbstractUI.aspx?menuIndex=3&amp;refID=7079001&amp;Result=3","7079001")</f>
        <v>0</v>
      </c>
      <c r="B5241" t="s">
        <v>1333</v>
      </c>
      <c r="C5241" t="s">
        <v>8418</v>
      </c>
      <c r="D5241" t="s">
        <v>17474</v>
      </c>
      <c r="E5241" t="s">
        <v>20633</v>
      </c>
      <c r="F5241" t="s">
        <v>30052</v>
      </c>
      <c r="G5241" t="s">
        <v>30058</v>
      </c>
      <c r="H5241" t="s">
        <v>15498</v>
      </c>
      <c r="I5241" t="s">
        <v>30071</v>
      </c>
      <c r="J5241" t="s">
        <v>33528</v>
      </c>
      <c r="K5241" t="s">
        <v>39034</v>
      </c>
      <c r="M5241" t="s">
        <v>40700</v>
      </c>
      <c r="N5241" t="s">
        <v>43166</v>
      </c>
      <c r="O5241" t="s">
        <v>43167</v>
      </c>
      <c r="P5241">
        <v>0</v>
      </c>
      <c r="Q5241">
        <v>1</v>
      </c>
      <c r="R5241" t="s">
        <v>43172</v>
      </c>
      <c r="S5241" t="s">
        <v>43334</v>
      </c>
      <c r="T5241" t="s">
        <v>44754</v>
      </c>
      <c r="U5241" t="s">
        <v>49481</v>
      </c>
      <c r="W5241" t="s">
        <v>40700</v>
      </c>
      <c r="X5241" t="s">
        <v>43173</v>
      </c>
    </row>
    <row r="5242" spans="1:24">
      <c r="A5242">
        <f>HYPERLINK("https://www.philgeps.gov.ph/GEPSNONPILOT/Tender/SplashBidNoticeAbstractUI.aspx?menuIndex=3&amp;refID=7079404&amp;Result=3","7079404")</f>
        <v>0</v>
      </c>
      <c r="B5242" t="s">
        <v>1777</v>
      </c>
      <c r="C5242" t="s">
        <v>8419</v>
      </c>
      <c r="D5242" t="s">
        <v>17461</v>
      </c>
      <c r="E5242" t="s">
        <v>22039</v>
      </c>
      <c r="F5242" t="s">
        <v>30052</v>
      </c>
      <c r="G5242" t="s">
        <v>30059</v>
      </c>
      <c r="H5242" t="s">
        <v>15498</v>
      </c>
      <c r="I5242" t="s">
        <v>30120</v>
      </c>
      <c r="J5242" t="s">
        <v>33529</v>
      </c>
      <c r="K5242" t="s">
        <v>39029</v>
      </c>
      <c r="M5242" t="s">
        <v>41197</v>
      </c>
      <c r="N5242" t="s">
        <v>43166</v>
      </c>
      <c r="O5242" t="s">
        <v>43167</v>
      </c>
      <c r="P5242">
        <v>0</v>
      </c>
      <c r="Q5242">
        <v>0</v>
      </c>
      <c r="R5242" t="s">
        <v>43172</v>
      </c>
      <c r="S5242" t="s">
        <v>43334</v>
      </c>
      <c r="T5242" t="s">
        <v>44696</v>
      </c>
      <c r="U5242" t="s">
        <v>49482</v>
      </c>
      <c r="W5242" t="s">
        <v>41197</v>
      </c>
      <c r="X5242" t="s">
        <v>43173</v>
      </c>
    </row>
    <row r="5243" spans="1:24">
      <c r="A5243">
        <f>HYPERLINK("https://www.philgeps.gov.ph/GEPSNONPILOT/Tender/SplashBidNoticeAbstractUI.aspx?menuIndex=3&amp;refID=7078998&amp;Result=3","7078998")</f>
        <v>0</v>
      </c>
      <c r="B5243" t="s">
        <v>1277</v>
      </c>
      <c r="C5243" t="s">
        <v>8420</v>
      </c>
      <c r="D5243" t="s">
        <v>17454</v>
      </c>
      <c r="E5243" t="s">
        <v>22040</v>
      </c>
      <c r="F5243" t="s">
        <v>30052</v>
      </c>
      <c r="G5243" t="s">
        <v>30059</v>
      </c>
      <c r="H5243" t="s">
        <v>15498</v>
      </c>
      <c r="I5243" t="s">
        <v>9238</v>
      </c>
      <c r="J5243" t="s">
        <v>31199</v>
      </c>
      <c r="K5243" t="s">
        <v>39037</v>
      </c>
      <c r="M5243" t="s">
        <v>40639</v>
      </c>
      <c r="N5243" t="s">
        <v>43166</v>
      </c>
      <c r="O5243" t="s">
        <v>43167</v>
      </c>
      <c r="P5243">
        <v>0</v>
      </c>
      <c r="Q5243">
        <v>9</v>
      </c>
      <c r="R5243" t="s">
        <v>43172</v>
      </c>
      <c r="S5243" t="s">
        <v>43334</v>
      </c>
      <c r="T5243" t="s">
        <v>44735</v>
      </c>
      <c r="U5243" t="s">
        <v>49483</v>
      </c>
      <c r="W5243" t="s">
        <v>40639</v>
      </c>
      <c r="X5243" t="s">
        <v>43173</v>
      </c>
    </row>
    <row r="5244" spans="1:24">
      <c r="A5244">
        <f>HYPERLINK("https://www.philgeps.gov.ph/GEPSNONPILOT/Tender/SplashBidNoticeAbstractUI.aspx?menuIndex=3&amp;refID=7079393&amp;Result=3","7079393")</f>
        <v>0</v>
      </c>
      <c r="B5244" t="s">
        <v>1014</v>
      </c>
      <c r="C5244" t="s">
        <v>8421</v>
      </c>
      <c r="D5244" t="s">
        <v>17465</v>
      </c>
      <c r="E5244" t="s">
        <v>22041</v>
      </c>
      <c r="F5244" t="s">
        <v>30052</v>
      </c>
      <c r="G5244" t="s">
        <v>30058</v>
      </c>
      <c r="H5244" t="s">
        <v>30067</v>
      </c>
      <c r="I5244" t="s">
        <v>3693</v>
      </c>
      <c r="J5244" t="s">
        <v>33530</v>
      </c>
      <c r="K5244" t="s">
        <v>39025</v>
      </c>
      <c r="M5244" t="s">
        <v>40343</v>
      </c>
      <c r="N5244" t="s">
        <v>43166</v>
      </c>
      <c r="O5244" t="s">
        <v>43167</v>
      </c>
      <c r="P5244">
        <v>0</v>
      </c>
      <c r="Q5244">
        <v>0</v>
      </c>
      <c r="R5244" t="s">
        <v>43172</v>
      </c>
      <c r="S5244" t="s">
        <v>43334</v>
      </c>
      <c r="T5244" t="s">
        <v>44698</v>
      </c>
      <c r="U5244" t="s">
        <v>49484</v>
      </c>
      <c r="W5244" t="s">
        <v>58623</v>
      </c>
      <c r="X5244" t="s">
        <v>43173</v>
      </c>
    </row>
    <row r="5245" spans="1:24">
      <c r="A5245">
        <f>HYPERLINK("https://www.philgeps.gov.ph/GEPSNONPILOT/Tender/SplashBidNoticeAbstractUI.aspx?menuIndex=3&amp;refID=7078966&amp;Result=3","7078966")</f>
        <v>0</v>
      </c>
      <c r="B5245" t="s">
        <v>1813</v>
      </c>
      <c r="C5245" t="s">
        <v>7188</v>
      </c>
      <c r="D5245" t="s">
        <v>17415</v>
      </c>
      <c r="E5245" t="s">
        <v>22042</v>
      </c>
      <c r="F5245" t="s">
        <v>30052</v>
      </c>
      <c r="G5245" t="s">
        <v>30061</v>
      </c>
      <c r="H5245" t="s">
        <v>15498</v>
      </c>
      <c r="I5245" t="s">
        <v>30102</v>
      </c>
      <c r="J5245" t="s">
        <v>31196</v>
      </c>
      <c r="K5245" t="s">
        <v>39017</v>
      </c>
      <c r="M5245" t="s">
        <v>41236</v>
      </c>
      <c r="N5245" t="s">
        <v>43166</v>
      </c>
      <c r="O5245" t="s">
        <v>43167</v>
      </c>
      <c r="P5245">
        <v>0</v>
      </c>
      <c r="Q5245">
        <v>6</v>
      </c>
      <c r="R5245" t="s">
        <v>43172</v>
      </c>
      <c r="S5245" t="s">
        <v>43334</v>
      </c>
      <c r="T5245" t="s">
        <v>45016</v>
      </c>
      <c r="U5245" t="s">
        <v>49485</v>
      </c>
      <c r="W5245" t="s">
        <v>41236</v>
      </c>
      <c r="X5245" t="s">
        <v>43173</v>
      </c>
    </row>
    <row r="5246" spans="1:24">
      <c r="A5246">
        <f>HYPERLINK("https://www.philgeps.gov.ph/GEPSNONPILOT/Tender/SplashBidNoticeAbstractUI.aspx?menuIndex=3&amp;refID=7079392&amp;Result=3","7079392")</f>
        <v>0</v>
      </c>
      <c r="B5246" t="s">
        <v>226</v>
      </c>
      <c r="C5246" t="s">
        <v>8422</v>
      </c>
      <c r="D5246" t="s">
        <v>17427</v>
      </c>
      <c r="E5246" t="s">
        <v>22043</v>
      </c>
      <c r="F5246" t="s">
        <v>30052</v>
      </c>
      <c r="G5246" t="s">
        <v>30058</v>
      </c>
      <c r="H5246" t="s">
        <v>30067</v>
      </c>
      <c r="I5246" t="s">
        <v>3693</v>
      </c>
      <c r="J5246" t="s">
        <v>33531</v>
      </c>
      <c r="K5246" t="s">
        <v>39022</v>
      </c>
      <c r="M5246" t="s">
        <v>39516</v>
      </c>
      <c r="N5246" t="s">
        <v>43166</v>
      </c>
      <c r="O5246" t="s">
        <v>43167</v>
      </c>
      <c r="P5246">
        <v>0</v>
      </c>
      <c r="Q5246">
        <v>1</v>
      </c>
      <c r="R5246" t="s">
        <v>43172</v>
      </c>
      <c r="S5246" t="s">
        <v>43334</v>
      </c>
      <c r="T5246" t="s">
        <v>44828</v>
      </c>
      <c r="U5246" t="s">
        <v>49486</v>
      </c>
      <c r="W5246" t="s">
        <v>39516</v>
      </c>
      <c r="X5246" t="s">
        <v>43173</v>
      </c>
    </row>
    <row r="5247" spans="1:24">
      <c r="A5247">
        <f>HYPERLINK("https://www.philgeps.gov.ph/GEPSNONPILOT/Tender/SplashBidNoticeAbstractUI.aspx?menuIndex=3&amp;refID=7078957&amp;Result=3","7078957")</f>
        <v>0</v>
      </c>
      <c r="B5247" t="s">
        <v>1737</v>
      </c>
      <c r="C5247" t="s">
        <v>8423</v>
      </c>
      <c r="D5247" t="s">
        <v>17415</v>
      </c>
      <c r="E5247" t="s">
        <v>22044</v>
      </c>
      <c r="F5247" t="s">
        <v>30052</v>
      </c>
      <c r="G5247" t="s">
        <v>30058</v>
      </c>
      <c r="H5247" t="s">
        <v>30067</v>
      </c>
      <c r="I5247" t="s">
        <v>3693</v>
      </c>
      <c r="J5247" t="s">
        <v>33532</v>
      </c>
      <c r="K5247" t="s">
        <v>39022</v>
      </c>
      <c r="M5247" t="s">
        <v>41154</v>
      </c>
      <c r="N5247" t="s">
        <v>43166</v>
      </c>
      <c r="O5247" t="s">
        <v>43167</v>
      </c>
      <c r="P5247">
        <v>0</v>
      </c>
      <c r="Q5247">
        <v>4</v>
      </c>
      <c r="R5247" t="s">
        <v>43172</v>
      </c>
      <c r="S5247" t="s">
        <v>43334</v>
      </c>
      <c r="T5247" t="s">
        <v>44680</v>
      </c>
      <c r="U5247" t="s">
        <v>49487</v>
      </c>
      <c r="V5247" t="s">
        <v>57387</v>
      </c>
      <c r="W5247" t="s">
        <v>41154</v>
      </c>
      <c r="X5247" t="s">
        <v>43173</v>
      </c>
    </row>
    <row r="5248" spans="1:24">
      <c r="A5248">
        <f>HYPERLINK("https://www.philgeps.gov.ph/GEPSNONPILOT/Tender/SplashBidNoticeAbstractUI.aspx?menuIndex=3&amp;refID=7078952&amp;Result=3","7078952")</f>
        <v>0</v>
      </c>
      <c r="B5248" t="s">
        <v>1148</v>
      </c>
      <c r="C5248" t="s">
        <v>3596</v>
      </c>
      <c r="D5248" t="s">
        <v>17417</v>
      </c>
      <c r="E5248" t="s">
        <v>22045</v>
      </c>
      <c r="F5248" t="s">
        <v>30052</v>
      </c>
      <c r="G5248" t="s">
        <v>30058</v>
      </c>
      <c r="H5248" t="s">
        <v>30067</v>
      </c>
      <c r="I5248" t="s">
        <v>3693</v>
      </c>
      <c r="J5248" t="s">
        <v>30218</v>
      </c>
      <c r="K5248" t="s">
        <v>39049</v>
      </c>
      <c r="M5248" t="s">
        <v>40491</v>
      </c>
      <c r="N5248" t="s">
        <v>43166</v>
      </c>
      <c r="O5248" t="s">
        <v>43167</v>
      </c>
      <c r="P5248">
        <v>0</v>
      </c>
      <c r="Q5248">
        <v>0</v>
      </c>
      <c r="R5248" t="s">
        <v>43172</v>
      </c>
      <c r="S5248" t="s">
        <v>43334</v>
      </c>
      <c r="T5248" t="s">
        <v>44698</v>
      </c>
      <c r="U5248" t="s">
        <v>49488</v>
      </c>
      <c r="W5248" t="s">
        <v>40491</v>
      </c>
      <c r="X5248" t="s">
        <v>43173</v>
      </c>
    </row>
    <row r="5249" spans="1:24">
      <c r="A5249">
        <f>HYPERLINK("https://www.philgeps.gov.ph/GEPSNONPILOT/Tender/SplashBidNoticeAbstractUI.aspx?menuIndex=3&amp;refID=7078857&amp;Result=3","7078857")</f>
        <v>0</v>
      </c>
      <c r="B5249" t="s">
        <v>1814</v>
      </c>
      <c r="C5249" t="s">
        <v>8424</v>
      </c>
      <c r="D5249" t="s">
        <v>17477</v>
      </c>
      <c r="E5249" t="s">
        <v>22046</v>
      </c>
      <c r="F5249" t="s">
        <v>30052</v>
      </c>
      <c r="G5249" t="s">
        <v>30058</v>
      </c>
      <c r="H5249" t="s">
        <v>15498</v>
      </c>
      <c r="I5249" t="s">
        <v>3736</v>
      </c>
      <c r="J5249" t="s">
        <v>30252</v>
      </c>
      <c r="K5249" t="s">
        <v>39019</v>
      </c>
      <c r="M5249" t="s">
        <v>41237</v>
      </c>
      <c r="N5249" t="s">
        <v>43166</v>
      </c>
      <c r="O5249" t="s">
        <v>43167</v>
      </c>
      <c r="P5249">
        <v>0</v>
      </c>
      <c r="Q5249">
        <v>0</v>
      </c>
      <c r="R5249" t="s">
        <v>43172</v>
      </c>
      <c r="S5249" t="s">
        <v>43334</v>
      </c>
      <c r="T5249" t="s">
        <v>44934</v>
      </c>
      <c r="U5249" t="s">
        <v>49489</v>
      </c>
      <c r="W5249" t="s">
        <v>41237</v>
      </c>
      <c r="X5249" t="s">
        <v>43173</v>
      </c>
    </row>
    <row r="5250" spans="1:24">
      <c r="A5250">
        <f>HYPERLINK("https://www.philgeps.gov.ph/GEPSNONPILOT/Tender/SplashBidNoticeAbstractUI.aspx?menuIndex=3&amp;refID=7078997&amp;Result=3","7078997")</f>
        <v>0</v>
      </c>
      <c r="B5250" t="s">
        <v>1739</v>
      </c>
      <c r="C5250" t="s">
        <v>8425</v>
      </c>
      <c r="D5250" t="s">
        <v>17449</v>
      </c>
      <c r="E5250" t="s">
        <v>22047</v>
      </c>
      <c r="F5250" t="s">
        <v>30052</v>
      </c>
      <c r="G5250" t="s">
        <v>30059</v>
      </c>
      <c r="H5250" t="s">
        <v>15498</v>
      </c>
      <c r="I5250" t="s">
        <v>30076</v>
      </c>
      <c r="J5250" t="s">
        <v>30644</v>
      </c>
      <c r="K5250" t="s">
        <v>39039</v>
      </c>
      <c r="M5250" t="s">
        <v>41156</v>
      </c>
      <c r="N5250" t="s">
        <v>43166</v>
      </c>
      <c r="O5250" t="s">
        <v>43167</v>
      </c>
      <c r="P5250">
        <v>0</v>
      </c>
      <c r="Q5250">
        <v>1</v>
      </c>
      <c r="R5250" t="s">
        <v>43172</v>
      </c>
      <c r="S5250" t="s">
        <v>43334</v>
      </c>
      <c r="T5250" t="s">
        <v>44708</v>
      </c>
      <c r="U5250" t="s">
        <v>49490</v>
      </c>
      <c r="W5250" t="s">
        <v>41156</v>
      </c>
      <c r="X5250" t="s">
        <v>43173</v>
      </c>
    </row>
    <row r="5251" spans="1:24">
      <c r="A5251">
        <f>HYPERLINK("https://www.philgeps.gov.ph/GEPSNONPILOT/Tender/SplashBidNoticeAbstractUI.aspx?menuIndex=3&amp;refID=7079389&amp;Result=3","7079389")</f>
        <v>0</v>
      </c>
      <c r="B5251" t="s">
        <v>1815</v>
      </c>
      <c r="C5251" t="s">
        <v>8426</v>
      </c>
      <c r="D5251" t="s">
        <v>17459</v>
      </c>
      <c r="E5251" t="s">
        <v>22048</v>
      </c>
      <c r="F5251" t="s">
        <v>30052</v>
      </c>
      <c r="G5251" t="s">
        <v>30059</v>
      </c>
      <c r="H5251" t="s">
        <v>15498</v>
      </c>
      <c r="I5251" t="s">
        <v>3736</v>
      </c>
      <c r="J5251" t="s">
        <v>33533</v>
      </c>
      <c r="K5251" t="s">
        <v>39034</v>
      </c>
      <c r="M5251" t="s">
        <v>41238</v>
      </c>
      <c r="N5251" t="s">
        <v>43166</v>
      </c>
      <c r="O5251" t="s">
        <v>43167</v>
      </c>
      <c r="P5251">
        <v>0</v>
      </c>
      <c r="Q5251">
        <v>0</v>
      </c>
      <c r="R5251" t="s">
        <v>43172</v>
      </c>
      <c r="S5251" t="s">
        <v>43334</v>
      </c>
      <c r="T5251" t="s">
        <v>44715</v>
      </c>
      <c r="U5251" t="s">
        <v>49491</v>
      </c>
      <c r="W5251" t="s">
        <v>41238</v>
      </c>
      <c r="X5251" t="s">
        <v>43173</v>
      </c>
    </row>
    <row r="5252" spans="1:24">
      <c r="A5252">
        <f>HYPERLINK("https://www.philgeps.gov.ph/GEPSNONPILOT/Tender/SplashBidNoticeAbstractUI.aspx?menuIndex=3&amp;refID=7078854&amp;Result=3","7078854")</f>
        <v>0</v>
      </c>
      <c r="B5252" t="s">
        <v>51</v>
      </c>
      <c r="C5252" t="s">
        <v>8427</v>
      </c>
      <c r="D5252" t="s">
        <v>17434</v>
      </c>
      <c r="E5252" t="s">
        <v>8427</v>
      </c>
      <c r="F5252" t="s">
        <v>30052</v>
      </c>
      <c r="G5252" t="s">
        <v>30059</v>
      </c>
      <c r="H5252" t="s">
        <v>15498</v>
      </c>
      <c r="I5252" t="s">
        <v>30081</v>
      </c>
      <c r="J5252" t="s">
        <v>33534</v>
      </c>
      <c r="K5252" t="s">
        <v>39029</v>
      </c>
      <c r="M5252" t="s">
        <v>39331</v>
      </c>
      <c r="N5252" t="s">
        <v>43166</v>
      </c>
      <c r="O5252" t="s">
        <v>43167</v>
      </c>
      <c r="P5252">
        <v>0</v>
      </c>
      <c r="Q5252">
        <v>0</v>
      </c>
      <c r="R5252" t="s">
        <v>43172</v>
      </c>
      <c r="S5252" t="s">
        <v>43334</v>
      </c>
      <c r="T5252" t="s">
        <v>44844</v>
      </c>
      <c r="U5252" t="s">
        <v>49492</v>
      </c>
      <c r="W5252" t="s">
        <v>39331</v>
      </c>
      <c r="X5252" t="s">
        <v>43173</v>
      </c>
    </row>
    <row r="5253" spans="1:24">
      <c r="A5253">
        <f>HYPERLINK("https://www.philgeps.gov.ph/GEPSNONPILOT/Tender/SplashBidNoticeAbstractUI.aspx?menuIndex=3&amp;refID=7078961&amp;Result=3","7078961")</f>
        <v>0</v>
      </c>
      <c r="B5253" t="s">
        <v>1758</v>
      </c>
      <c r="C5253" t="s">
        <v>8428</v>
      </c>
      <c r="D5253" t="s">
        <v>17421</v>
      </c>
      <c r="E5253" t="s">
        <v>18840</v>
      </c>
      <c r="F5253" t="s">
        <v>30052</v>
      </c>
      <c r="G5253" t="s">
        <v>30058</v>
      </c>
      <c r="H5253" t="s">
        <v>15498</v>
      </c>
      <c r="I5253" t="s">
        <v>30070</v>
      </c>
      <c r="J5253" t="s">
        <v>33535</v>
      </c>
      <c r="K5253" t="s">
        <v>39019</v>
      </c>
      <c r="M5253" t="s">
        <v>41178</v>
      </c>
      <c r="N5253" t="s">
        <v>43166</v>
      </c>
      <c r="O5253" t="s">
        <v>43167</v>
      </c>
      <c r="P5253">
        <v>0</v>
      </c>
      <c r="Q5253">
        <v>3</v>
      </c>
      <c r="R5253" t="s">
        <v>43172</v>
      </c>
      <c r="S5253" t="s">
        <v>43334</v>
      </c>
      <c r="T5253" t="s">
        <v>44733</v>
      </c>
      <c r="U5253" t="s">
        <v>49493</v>
      </c>
      <c r="W5253" t="s">
        <v>41178</v>
      </c>
      <c r="X5253" t="s">
        <v>43173</v>
      </c>
    </row>
    <row r="5254" spans="1:24">
      <c r="A5254">
        <f>HYPERLINK("https://www.philgeps.gov.ph/GEPSNONPILOT/Tender/SplashBidNoticeAbstractUI.aspx?menuIndex=3&amp;refID=7078851&amp;Result=3","7078851")</f>
        <v>0</v>
      </c>
      <c r="B5254" t="s">
        <v>1816</v>
      </c>
      <c r="C5254" t="s">
        <v>8429</v>
      </c>
      <c r="D5254" t="s">
        <v>17486</v>
      </c>
      <c r="E5254" t="s">
        <v>17799</v>
      </c>
      <c r="F5254" t="s">
        <v>30052</v>
      </c>
      <c r="G5254" t="s">
        <v>30058</v>
      </c>
      <c r="H5254" t="s">
        <v>15498</v>
      </c>
      <c r="I5254" t="s">
        <v>4119</v>
      </c>
      <c r="J5254" t="s">
        <v>30230</v>
      </c>
      <c r="K5254" t="s">
        <v>39017</v>
      </c>
      <c r="M5254" t="s">
        <v>41239</v>
      </c>
      <c r="N5254" t="s">
        <v>43166</v>
      </c>
      <c r="O5254" t="s">
        <v>43167</v>
      </c>
      <c r="P5254">
        <v>0</v>
      </c>
      <c r="Q5254">
        <v>5</v>
      </c>
      <c r="R5254" t="s">
        <v>43172</v>
      </c>
      <c r="S5254" t="s">
        <v>43334</v>
      </c>
      <c r="T5254" t="s">
        <v>44708</v>
      </c>
      <c r="U5254" t="s">
        <v>49494</v>
      </c>
      <c r="W5254" t="s">
        <v>41239</v>
      </c>
      <c r="X5254" t="s">
        <v>43173</v>
      </c>
    </row>
    <row r="5255" spans="1:24">
      <c r="A5255">
        <f>HYPERLINK("https://www.philgeps.gov.ph/GEPSNONPILOT/Tender/SplashBidNoticeAbstractUI.aspx?menuIndex=3&amp;refID=7078803&amp;Result=3","7078803")</f>
        <v>0</v>
      </c>
      <c r="B5255" t="s">
        <v>1721</v>
      </c>
      <c r="C5255" t="s">
        <v>8430</v>
      </c>
      <c r="D5255" t="s">
        <v>17465</v>
      </c>
      <c r="E5255" t="s">
        <v>21808</v>
      </c>
      <c r="F5255" t="s">
        <v>30052</v>
      </c>
      <c r="G5255" t="s">
        <v>30061</v>
      </c>
      <c r="H5255" t="s">
        <v>15498</v>
      </c>
      <c r="I5255" t="s">
        <v>3852</v>
      </c>
      <c r="J5255" t="s">
        <v>33536</v>
      </c>
      <c r="K5255" t="s">
        <v>39025</v>
      </c>
      <c r="M5255" t="s">
        <v>41137</v>
      </c>
      <c r="N5255" t="s">
        <v>43166</v>
      </c>
      <c r="O5255" t="s">
        <v>43167</v>
      </c>
      <c r="P5255">
        <v>0</v>
      </c>
      <c r="Q5255">
        <v>1</v>
      </c>
      <c r="R5255" t="s">
        <v>43172</v>
      </c>
      <c r="S5255" t="s">
        <v>43334</v>
      </c>
      <c r="T5255" t="s">
        <v>44720</v>
      </c>
      <c r="U5255" t="s">
        <v>49495</v>
      </c>
      <c r="W5255" t="s">
        <v>41137</v>
      </c>
      <c r="X5255" t="s">
        <v>43173</v>
      </c>
    </row>
    <row r="5256" spans="1:24">
      <c r="A5256">
        <f>HYPERLINK("https://www.philgeps.gov.ph/GEPSNONPILOT/Tender/SplashBidNoticeAbstractUI.aspx?menuIndex=3&amp;refID=7079434&amp;Result=3","7079434")</f>
        <v>0</v>
      </c>
      <c r="B5256" t="s">
        <v>801</v>
      </c>
      <c r="C5256" t="s">
        <v>8431</v>
      </c>
      <c r="D5256" t="s">
        <v>17459</v>
      </c>
      <c r="E5256" t="s">
        <v>22049</v>
      </c>
      <c r="F5256" t="s">
        <v>30052</v>
      </c>
      <c r="G5256" t="s">
        <v>30058</v>
      </c>
      <c r="H5256" t="s">
        <v>15498</v>
      </c>
      <c r="I5256" t="s">
        <v>30100</v>
      </c>
      <c r="J5256" t="s">
        <v>30900</v>
      </c>
      <c r="K5256" t="s">
        <v>39057</v>
      </c>
      <c r="M5256" t="s">
        <v>40118</v>
      </c>
      <c r="N5256" t="s">
        <v>43166</v>
      </c>
      <c r="O5256" t="s">
        <v>43167</v>
      </c>
      <c r="P5256">
        <v>0</v>
      </c>
      <c r="Q5256">
        <v>1</v>
      </c>
      <c r="R5256" t="s">
        <v>43172</v>
      </c>
      <c r="S5256" t="s">
        <v>43334</v>
      </c>
      <c r="T5256" t="s">
        <v>44873</v>
      </c>
      <c r="U5256" t="s">
        <v>49496</v>
      </c>
      <c r="V5256" t="s">
        <v>57413</v>
      </c>
      <c r="W5256" t="s">
        <v>40118</v>
      </c>
      <c r="X5256" t="s">
        <v>43173</v>
      </c>
    </row>
    <row r="5257" spans="1:24">
      <c r="A5257">
        <f>HYPERLINK("https://www.philgeps.gov.ph/GEPSNONPILOT/Tender/SplashBidNoticeAbstractUI.aspx?menuIndex=3&amp;refID=7079432&amp;Result=3","7079432")</f>
        <v>0</v>
      </c>
      <c r="B5257" t="s">
        <v>1808</v>
      </c>
      <c r="C5257" t="s">
        <v>8432</v>
      </c>
      <c r="D5257" t="s">
        <v>17485</v>
      </c>
      <c r="E5257" t="s">
        <v>22050</v>
      </c>
      <c r="F5257" t="s">
        <v>30052</v>
      </c>
      <c r="G5257" t="s">
        <v>30059</v>
      </c>
      <c r="H5257" t="s">
        <v>15498</v>
      </c>
      <c r="I5257" t="s">
        <v>3736</v>
      </c>
      <c r="J5257" t="s">
        <v>33537</v>
      </c>
      <c r="K5257" t="s">
        <v>39017</v>
      </c>
      <c r="M5257" t="s">
        <v>41231</v>
      </c>
      <c r="N5257" t="s">
        <v>43166</v>
      </c>
      <c r="O5257" t="s">
        <v>43167</v>
      </c>
      <c r="P5257">
        <v>0</v>
      </c>
      <c r="Q5257">
        <v>0</v>
      </c>
      <c r="R5257" t="s">
        <v>43172</v>
      </c>
      <c r="S5257" t="s">
        <v>43334</v>
      </c>
      <c r="T5257" t="s">
        <v>44691</v>
      </c>
      <c r="U5257" t="s">
        <v>49471</v>
      </c>
      <c r="W5257" t="s">
        <v>41231</v>
      </c>
      <c r="X5257" t="s">
        <v>43173</v>
      </c>
    </row>
    <row r="5258" spans="1:24">
      <c r="A5258">
        <f>HYPERLINK("https://www.philgeps.gov.ph/GEPSNONPILOT/Tender/SplashBidNoticeAbstractUI.aspx?menuIndex=3&amp;refID=7078858&amp;Result=3","7078858")</f>
        <v>0</v>
      </c>
      <c r="B5258" t="s">
        <v>696</v>
      </c>
      <c r="C5258" t="s">
        <v>8433</v>
      </c>
      <c r="D5258" t="s">
        <v>17432</v>
      </c>
      <c r="E5258" t="s">
        <v>22051</v>
      </c>
      <c r="F5258" t="s">
        <v>30052</v>
      </c>
      <c r="G5258" t="s">
        <v>30059</v>
      </c>
      <c r="H5258" t="s">
        <v>15498</v>
      </c>
      <c r="I5258" t="s">
        <v>3693</v>
      </c>
      <c r="J5258" t="s">
        <v>33538</v>
      </c>
      <c r="K5258" t="s">
        <v>39064</v>
      </c>
      <c r="M5258" t="s">
        <v>40004</v>
      </c>
      <c r="N5258" t="s">
        <v>43166</v>
      </c>
      <c r="O5258" t="s">
        <v>43167</v>
      </c>
      <c r="P5258">
        <v>0</v>
      </c>
      <c r="Q5258">
        <v>0</v>
      </c>
      <c r="R5258" t="s">
        <v>43172</v>
      </c>
      <c r="S5258" t="s">
        <v>43334</v>
      </c>
      <c r="T5258" t="s">
        <v>44832</v>
      </c>
      <c r="U5258" t="s">
        <v>49497</v>
      </c>
      <c r="W5258" t="s">
        <v>40004</v>
      </c>
      <c r="X5258" t="s">
        <v>43173</v>
      </c>
    </row>
    <row r="5259" spans="1:24">
      <c r="A5259">
        <f>HYPERLINK("https://www.philgeps.gov.ph/GEPSNONPILOT/Tender/SplashBidNoticeAbstractUI.aspx?menuIndex=3&amp;refID=7078853&amp;Result=3","7078853")</f>
        <v>0</v>
      </c>
      <c r="B5259" t="s">
        <v>696</v>
      </c>
      <c r="C5259" t="s">
        <v>8434</v>
      </c>
      <c r="D5259" t="s">
        <v>17432</v>
      </c>
      <c r="E5259" t="s">
        <v>22052</v>
      </c>
      <c r="F5259" t="s">
        <v>30052</v>
      </c>
      <c r="G5259" t="s">
        <v>30059</v>
      </c>
      <c r="H5259" t="s">
        <v>15498</v>
      </c>
      <c r="I5259" t="s">
        <v>30081</v>
      </c>
      <c r="J5259" t="s">
        <v>33539</v>
      </c>
      <c r="K5259" t="s">
        <v>39064</v>
      </c>
      <c r="M5259" t="s">
        <v>40004</v>
      </c>
      <c r="N5259" t="s">
        <v>43166</v>
      </c>
      <c r="O5259" t="s">
        <v>43167</v>
      </c>
      <c r="P5259">
        <v>0</v>
      </c>
      <c r="Q5259">
        <v>0</v>
      </c>
      <c r="R5259" t="s">
        <v>43172</v>
      </c>
      <c r="S5259" t="s">
        <v>43334</v>
      </c>
      <c r="T5259" t="s">
        <v>44832</v>
      </c>
      <c r="U5259" t="s">
        <v>49498</v>
      </c>
      <c r="W5259" t="s">
        <v>40004</v>
      </c>
      <c r="X5259" t="s">
        <v>43173</v>
      </c>
    </row>
    <row r="5260" spans="1:24">
      <c r="A5260">
        <f>HYPERLINK("https://www.philgeps.gov.ph/GEPSNONPILOT/Tender/SplashBidNoticeAbstractUI.aspx?menuIndex=3&amp;refID=7078834&amp;Result=3","7078834")</f>
        <v>0</v>
      </c>
      <c r="B5260" t="s">
        <v>1748</v>
      </c>
      <c r="C5260" t="s">
        <v>8435</v>
      </c>
      <c r="D5260" t="s">
        <v>17435</v>
      </c>
      <c r="E5260" t="s">
        <v>21883</v>
      </c>
      <c r="F5260" t="s">
        <v>30052</v>
      </c>
      <c r="G5260" t="s">
        <v>30058</v>
      </c>
      <c r="H5260" t="s">
        <v>30067</v>
      </c>
      <c r="I5260" t="s">
        <v>3693</v>
      </c>
      <c r="J5260" t="s">
        <v>33540</v>
      </c>
      <c r="K5260" t="s">
        <v>39155</v>
      </c>
      <c r="M5260" t="s">
        <v>41167</v>
      </c>
      <c r="N5260" t="s">
        <v>43166</v>
      </c>
      <c r="O5260" t="s">
        <v>43167</v>
      </c>
      <c r="P5260">
        <v>0</v>
      </c>
      <c r="Q5260">
        <v>0</v>
      </c>
      <c r="R5260" t="s">
        <v>43172</v>
      </c>
      <c r="S5260" t="s">
        <v>43334</v>
      </c>
      <c r="T5260" t="s">
        <v>44685</v>
      </c>
      <c r="U5260" t="s">
        <v>49499</v>
      </c>
      <c r="W5260" t="s">
        <v>41167</v>
      </c>
      <c r="X5260" t="s">
        <v>43173</v>
      </c>
    </row>
    <row r="5261" spans="1:24">
      <c r="A5261">
        <f>HYPERLINK("https://www.philgeps.gov.ph/GEPSNONPILOT/Tender/SplashBidNoticeAbstractUI.aspx?menuIndex=3&amp;refID=7079463&amp;Result=3","7079463")</f>
        <v>0</v>
      </c>
      <c r="B5261" t="s">
        <v>1779</v>
      </c>
      <c r="C5261" t="s">
        <v>8436</v>
      </c>
      <c r="D5261" t="s">
        <v>17444</v>
      </c>
      <c r="E5261" t="s">
        <v>22053</v>
      </c>
      <c r="F5261" t="s">
        <v>30052</v>
      </c>
      <c r="G5261" t="s">
        <v>30059</v>
      </c>
      <c r="H5261" t="s">
        <v>15498</v>
      </c>
      <c r="I5261" t="s">
        <v>30081</v>
      </c>
      <c r="J5261" t="s">
        <v>33541</v>
      </c>
      <c r="K5261" t="s">
        <v>39034</v>
      </c>
      <c r="M5261" t="s">
        <v>41199</v>
      </c>
      <c r="N5261" t="s">
        <v>43166</v>
      </c>
      <c r="O5261" t="s">
        <v>43167</v>
      </c>
      <c r="P5261">
        <v>0</v>
      </c>
      <c r="Q5261">
        <v>0</v>
      </c>
      <c r="R5261" t="s">
        <v>43172</v>
      </c>
      <c r="S5261" t="s">
        <v>43334</v>
      </c>
      <c r="T5261" t="s">
        <v>44698</v>
      </c>
      <c r="U5261" t="s">
        <v>49500</v>
      </c>
      <c r="V5261" t="s">
        <v>57405</v>
      </c>
      <c r="W5261" t="s">
        <v>41199</v>
      </c>
      <c r="X5261" t="s">
        <v>43173</v>
      </c>
    </row>
    <row r="5262" spans="1:24">
      <c r="A5262">
        <f>HYPERLINK("https://www.philgeps.gov.ph/GEPSNONPILOT/Tender/SplashBidNoticeAbstractUI.aspx?menuIndex=3&amp;refID=7079462&amp;Result=3","7079462")</f>
        <v>0</v>
      </c>
      <c r="B5262" t="s">
        <v>1817</v>
      </c>
      <c r="C5262" t="s">
        <v>8437</v>
      </c>
      <c r="D5262" t="s">
        <v>17424</v>
      </c>
      <c r="E5262" t="s">
        <v>22054</v>
      </c>
      <c r="F5262" t="s">
        <v>30052</v>
      </c>
      <c r="G5262" t="s">
        <v>30061</v>
      </c>
      <c r="H5262" t="s">
        <v>15498</v>
      </c>
      <c r="I5262" t="s">
        <v>30118</v>
      </c>
      <c r="J5262" t="s">
        <v>33542</v>
      </c>
      <c r="K5262" t="s">
        <v>39036</v>
      </c>
      <c r="M5262" t="s">
        <v>41240</v>
      </c>
      <c r="N5262" t="s">
        <v>43166</v>
      </c>
      <c r="O5262" t="s">
        <v>43167</v>
      </c>
      <c r="P5262">
        <v>0</v>
      </c>
      <c r="Q5262">
        <v>0</v>
      </c>
      <c r="R5262" t="s">
        <v>43172</v>
      </c>
      <c r="S5262" t="s">
        <v>43334</v>
      </c>
      <c r="T5262" t="s">
        <v>44714</v>
      </c>
      <c r="U5262" t="s">
        <v>49501</v>
      </c>
      <c r="W5262" t="s">
        <v>41240</v>
      </c>
      <c r="X5262" t="s">
        <v>43173</v>
      </c>
    </row>
    <row r="5263" spans="1:24">
      <c r="A5263">
        <f>HYPERLINK("https://www.philgeps.gov.ph/GEPSNONPILOT/Tender/SplashBidNoticeAbstractUI.aspx?menuIndex=3&amp;refID=7079461&amp;Result=3","7079461")</f>
        <v>0</v>
      </c>
      <c r="B5263" t="s">
        <v>1777</v>
      </c>
      <c r="C5263" t="s">
        <v>8438</v>
      </c>
      <c r="D5263" t="s">
        <v>17461</v>
      </c>
      <c r="E5263" t="s">
        <v>22055</v>
      </c>
      <c r="F5263" t="s">
        <v>30052</v>
      </c>
      <c r="G5263" t="s">
        <v>30059</v>
      </c>
      <c r="H5263" t="s">
        <v>15498</v>
      </c>
      <c r="I5263" t="s">
        <v>9238</v>
      </c>
      <c r="J5263" t="s">
        <v>33543</v>
      </c>
      <c r="K5263" t="s">
        <v>39029</v>
      </c>
      <c r="M5263" t="s">
        <v>41197</v>
      </c>
      <c r="N5263" t="s">
        <v>43166</v>
      </c>
      <c r="O5263" t="s">
        <v>43167</v>
      </c>
      <c r="P5263">
        <v>0</v>
      </c>
      <c r="Q5263">
        <v>2</v>
      </c>
      <c r="R5263" t="s">
        <v>43172</v>
      </c>
      <c r="S5263" t="s">
        <v>43334</v>
      </c>
      <c r="T5263" t="s">
        <v>44696</v>
      </c>
      <c r="U5263" t="s">
        <v>49502</v>
      </c>
      <c r="W5263" t="s">
        <v>41197</v>
      </c>
      <c r="X5263" t="s">
        <v>43173</v>
      </c>
    </row>
    <row r="5264" spans="1:24">
      <c r="A5264">
        <f>HYPERLINK("https://www.philgeps.gov.ph/GEPSNONPILOT/Tender/SplashBidNoticeAbstractUI.aspx?menuIndex=3&amp;refID=7079457&amp;Result=3","7079457")</f>
        <v>0</v>
      </c>
      <c r="B5264" t="s">
        <v>1014</v>
      </c>
      <c r="C5264" t="s">
        <v>8439</v>
      </c>
      <c r="D5264" t="s">
        <v>17465</v>
      </c>
      <c r="E5264" t="s">
        <v>22056</v>
      </c>
      <c r="F5264" t="s">
        <v>30052</v>
      </c>
      <c r="G5264" t="s">
        <v>30058</v>
      </c>
      <c r="H5264" t="s">
        <v>30067</v>
      </c>
      <c r="I5264" t="s">
        <v>3693</v>
      </c>
      <c r="J5264" t="s">
        <v>33544</v>
      </c>
      <c r="K5264" t="s">
        <v>39025</v>
      </c>
      <c r="M5264" t="s">
        <v>40343</v>
      </c>
      <c r="N5264" t="s">
        <v>43166</v>
      </c>
      <c r="O5264" t="s">
        <v>43167</v>
      </c>
      <c r="P5264">
        <v>0</v>
      </c>
      <c r="Q5264">
        <v>0</v>
      </c>
      <c r="R5264" t="s">
        <v>43172</v>
      </c>
      <c r="S5264" t="s">
        <v>43334</v>
      </c>
      <c r="T5264" t="s">
        <v>44698</v>
      </c>
      <c r="U5264" t="s">
        <v>49503</v>
      </c>
      <c r="W5264" t="s">
        <v>58623</v>
      </c>
      <c r="X5264" t="s">
        <v>43173</v>
      </c>
    </row>
    <row r="5265" spans="1:24">
      <c r="A5265">
        <f>HYPERLINK("https://www.philgeps.gov.ph/GEPSNONPILOT/Tender/SplashBidNoticeAbstractUI.aspx?menuIndex=3&amp;refID=7079459&amp;Result=3","7079459")</f>
        <v>0</v>
      </c>
      <c r="B5265" t="s">
        <v>1356</v>
      </c>
      <c r="C5265" t="s">
        <v>6967</v>
      </c>
      <c r="D5265" t="s">
        <v>17445</v>
      </c>
      <c r="E5265" t="s">
        <v>22057</v>
      </c>
      <c r="F5265" t="s">
        <v>30052</v>
      </c>
      <c r="G5265" t="s">
        <v>30059</v>
      </c>
      <c r="H5265" t="s">
        <v>15498</v>
      </c>
      <c r="I5265" t="s">
        <v>30073</v>
      </c>
      <c r="J5265" t="s">
        <v>33545</v>
      </c>
      <c r="K5265" t="s">
        <v>39018</v>
      </c>
      <c r="M5265" t="s">
        <v>40725</v>
      </c>
      <c r="N5265" t="s">
        <v>43166</v>
      </c>
      <c r="O5265" t="s">
        <v>43167</v>
      </c>
      <c r="P5265">
        <v>0</v>
      </c>
      <c r="Q5265">
        <v>0</v>
      </c>
      <c r="R5265" t="s">
        <v>43172</v>
      </c>
      <c r="S5265" t="s">
        <v>43334</v>
      </c>
      <c r="T5265" t="s">
        <v>44773</v>
      </c>
      <c r="U5265" t="s">
        <v>47333</v>
      </c>
      <c r="W5265" t="s">
        <v>40725</v>
      </c>
      <c r="X5265" t="s">
        <v>43173</v>
      </c>
    </row>
    <row r="5266" spans="1:24">
      <c r="A5266">
        <f>HYPERLINK("https://www.philgeps.gov.ph/GEPSNONPILOT/Tender/SplashBidNoticeAbstractUI.aspx?menuIndex=3&amp;refID=7079452&amp;Result=3","7079452")</f>
        <v>0</v>
      </c>
      <c r="B5266" t="s">
        <v>802</v>
      </c>
      <c r="C5266" t="s">
        <v>8440</v>
      </c>
      <c r="D5266" t="s">
        <v>17415</v>
      </c>
      <c r="E5266" t="s">
        <v>22058</v>
      </c>
      <c r="F5266" t="s">
        <v>30052</v>
      </c>
      <c r="G5266" t="s">
        <v>30059</v>
      </c>
      <c r="H5266" t="s">
        <v>15498</v>
      </c>
      <c r="I5266" t="s">
        <v>3693</v>
      </c>
      <c r="J5266" t="s">
        <v>30545</v>
      </c>
      <c r="K5266" t="s">
        <v>39017</v>
      </c>
      <c r="M5266" t="s">
        <v>40119</v>
      </c>
      <c r="N5266" t="s">
        <v>43166</v>
      </c>
      <c r="O5266" t="s">
        <v>43167</v>
      </c>
      <c r="P5266">
        <v>0</v>
      </c>
      <c r="Q5266">
        <v>3</v>
      </c>
      <c r="R5266" t="s">
        <v>43172</v>
      </c>
      <c r="S5266" t="s">
        <v>43334</v>
      </c>
      <c r="T5266" t="s">
        <v>44714</v>
      </c>
      <c r="U5266" t="s">
        <v>46770</v>
      </c>
      <c r="W5266" t="s">
        <v>40119</v>
      </c>
      <c r="X5266" t="s">
        <v>43173</v>
      </c>
    </row>
    <row r="5267" spans="1:24">
      <c r="A5267">
        <f>HYPERLINK("https://www.philgeps.gov.ph/GEPSNONPILOT/Tender/SplashBidNoticeAbstractUI.aspx?menuIndex=3&amp;refID=7079450&amp;Result=3","7079450")</f>
        <v>0</v>
      </c>
      <c r="B5267" t="s">
        <v>1093</v>
      </c>
      <c r="C5267" t="s">
        <v>8441</v>
      </c>
      <c r="D5267" t="s">
        <v>17449</v>
      </c>
      <c r="E5267" t="s">
        <v>22059</v>
      </c>
      <c r="F5267" t="s">
        <v>30052</v>
      </c>
      <c r="G5267" t="s">
        <v>30058</v>
      </c>
      <c r="H5267" t="s">
        <v>30068</v>
      </c>
      <c r="I5267" t="s">
        <v>30097</v>
      </c>
      <c r="J5267" t="s">
        <v>31898</v>
      </c>
      <c r="K5267" t="s">
        <v>39036</v>
      </c>
      <c r="M5267" t="s">
        <v>40431</v>
      </c>
      <c r="N5267" t="s">
        <v>43166</v>
      </c>
      <c r="O5267" t="s">
        <v>43167</v>
      </c>
      <c r="P5267">
        <v>0</v>
      </c>
      <c r="Q5267">
        <v>0</v>
      </c>
      <c r="R5267" t="s">
        <v>43172</v>
      </c>
      <c r="S5267" t="s">
        <v>43334</v>
      </c>
      <c r="T5267" t="s">
        <v>44691</v>
      </c>
      <c r="U5267" t="s">
        <v>49504</v>
      </c>
      <c r="W5267" t="s">
        <v>40431</v>
      </c>
      <c r="X5267" t="s">
        <v>43173</v>
      </c>
    </row>
    <row r="5268" spans="1:24">
      <c r="A5268">
        <f>HYPERLINK("https://www.philgeps.gov.ph/GEPSNONPILOT/Tender/SplashBidNoticeAbstractUI.aspx?menuIndex=3&amp;refID=7079449&amp;Result=3","7079449")</f>
        <v>0</v>
      </c>
      <c r="B5268" t="s">
        <v>1777</v>
      </c>
      <c r="C5268" t="s">
        <v>8442</v>
      </c>
      <c r="D5268" t="s">
        <v>17461</v>
      </c>
      <c r="E5268" t="s">
        <v>22060</v>
      </c>
      <c r="F5268" t="s">
        <v>30052</v>
      </c>
      <c r="G5268" t="s">
        <v>30059</v>
      </c>
      <c r="H5268" t="s">
        <v>15498</v>
      </c>
      <c r="I5268" t="s">
        <v>9238</v>
      </c>
      <c r="J5268" t="s">
        <v>33546</v>
      </c>
      <c r="K5268" t="s">
        <v>39029</v>
      </c>
      <c r="M5268" t="s">
        <v>41197</v>
      </c>
      <c r="N5268" t="s">
        <v>43166</v>
      </c>
      <c r="O5268" t="s">
        <v>43167</v>
      </c>
      <c r="P5268">
        <v>0</v>
      </c>
      <c r="Q5268">
        <v>4</v>
      </c>
      <c r="R5268" t="s">
        <v>43172</v>
      </c>
      <c r="S5268" t="s">
        <v>43334</v>
      </c>
      <c r="T5268" t="s">
        <v>44696</v>
      </c>
      <c r="U5268" t="s">
        <v>49505</v>
      </c>
      <c r="W5268" t="s">
        <v>41197</v>
      </c>
      <c r="X5268" t="s">
        <v>43173</v>
      </c>
    </row>
    <row r="5269" spans="1:24">
      <c r="A5269">
        <f>HYPERLINK("https://www.philgeps.gov.ph/GEPSNONPILOT/Tender/SplashBidNoticeAbstractUI.aspx?menuIndex=3&amp;refID=7079447&amp;Result=3","7079447")</f>
        <v>0</v>
      </c>
      <c r="B5269" t="s">
        <v>1818</v>
      </c>
      <c r="C5269" t="s">
        <v>8443</v>
      </c>
      <c r="D5269" t="s">
        <v>17458</v>
      </c>
      <c r="E5269" t="s">
        <v>22061</v>
      </c>
      <c r="F5269" t="s">
        <v>30052</v>
      </c>
      <c r="G5269" t="s">
        <v>30058</v>
      </c>
      <c r="H5269" t="s">
        <v>30068</v>
      </c>
      <c r="I5269" t="s">
        <v>30166</v>
      </c>
      <c r="J5269" t="s">
        <v>33547</v>
      </c>
      <c r="K5269" t="s">
        <v>39025</v>
      </c>
      <c r="M5269" t="s">
        <v>41241</v>
      </c>
      <c r="N5269" t="s">
        <v>43166</v>
      </c>
      <c r="O5269" t="s">
        <v>43167</v>
      </c>
      <c r="P5269">
        <v>0</v>
      </c>
      <c r="Q5269">
        <v>4</v>
      </c>
      <c r="R5269" t="s">
        <v>43172</v>
      </c>
      <c r="S5269" t="s">
        <v>43334</v>
      </c>
      <c r="T5269" t="s">
        <v>44677</v>
      </c>
      <c r="U5269" t="s">
        <v>49506</v>
      </c>
      <c r="W5269" t="s">
        <v>41241</v>
      </c>
      <c r="X5269" t="s">
        <v>43173</v>
      </c>
    </row>
    <row r="5270" spans="1:24">
      <c r="A5270">
        <f>HYPERLINK("https://www.philgeps.gov.ph/GEPSNONPILOT/Tender/SplashBidNoticeAbstractUI.aspx?menuIndex=3&amp;refID=7079443&amp;Result=3","7079443")</f>
        <v>0</v>
      </c>
      <c r="B5270" t="s">
        <v>1819</v>
      </c>
      <c r="C5270" t="s">
        <v>8444</v>
      </c>
      <c r="D5270" t="s">
        <v>17421</v>
      </c>
      <c r="E5270" t="s">
        <v>22062</v>
      </c>
      <c r="F5270" t="s">
        <v>30052</v>
      </c>
      <c r="G5270" t="s">
        <v>30058</v>
      </c>
      <c r="H5270" t="s">
        <v>30067</v>
      </c>
      <c r="I5270" t="s">
        <v>3693</v>
      </c>
      <c r="J5270" t="s">
        <v>33548</v>
      </c>
      <c r="K5270" t="s">
        <v>39031</v>
      </c>
      <c r="M5270" t="s">
        <v>41242</v>
      </c>
      <c r="N5270" t="s">
        <v>43166</v>
      </c>
      <c r="O5270" t="s">
        <v>43167</v>
      </c>
      <c r="P5270">
        <v>0</v>
      </c>
      <c r="Q5270">
        <v>1</v>
      </c>
      <c r="R5270" t="s">
        <v>43172</v>
      </c>
      <c r="S5270" t="s">
        <v>43334</v>
      </c>
      <c r="T5270" t="s">
        <v>44807</v>
      </c>
      <c r="U5270" t="s">
        <v>49507</v>
      </c>
      <c r="W5270" t="s">
        <v>41242</v>
      </c>
      <c r="X5270" t="s">
        <v>43173</v>
      </c>
    </row>
    <row r="5271" spans="1:24">
      <c r="A5271">
        <f>HYPERLINK("https://www.philgeps.gov.ph/GEPSNONPILOT/Tender/SplashBidNoticeAbstractUI.aspx?menuIndex=3&amp;refID=7079427&amp;Result=3","7079427")</f>
        <v>0</v>
      </c>
      <c r="B5271" t="s">
        <v>1820</v>
      </c>
      <c r="C5271" t="s">
        <v>8445</v>
      </c>
      <c r="E5271" t="s">
        <v>22063</v>
      </c>
      <c r="F5271" t="s">
        <v>30052</v>
      </c>
      <c r="G5271" t="s">
        <v>30058</v>
      </c>
      <c r="H5271" t="s">
        <v>30067</v>
      </c>
      <c r="I5271" t="s">
        <v>3693</v>
      </c>
      <c r="J5271" t="s">
        <v>30538</v>
      </c>
      <c r="K5271" t="s">
        <v>39017</v>
      </c>
      <c r="M5271" t="s">
        <v>41243</v>
      </c>
      <c r="N5271" t="s">
        <v>43166</v>
      </c>
      <c r="O5271" t="s">
        <v>43167</v>
      </c>
      <c r="P5271">
        <v>0</v>
      </c>
      <c r="Q5271">
        <v>1</v>
      </c>
      <c r="R5271" t="s">
        <v>43172</v>
      </c>
      <c r="S5271" t="s">
        <v>43334</v>
      </c>
      <c r="T5271" t="s">
        <v>44685</v>
      </c>
      <c r="U5271" t="s">
        <v>49508</v>
      </c>
      <c r="W5271" t="s">
        <v>41243</v>
      </c>
      <c r="X5271" t="s">
        <v>43173</v>
      </c>
    </row>
    <row r="5272" spans="1:24">
      <c r="A5272">
        <f>HYPERLINK("https://www.philgeps.gov.ph/GEPSNONPILOT/Tender/SplashBidNoticeAbstractUI.aspx?menuIndex=3&amp;refID=7079441&amp;Result=3","7079441")</f>
        <v>0</v>
      </c>
      <c r="B5272" t="s">
        <v>1779</v>
      </c>
      <c r="C5272" t="s">
        <v>8446</v>
      </c>
      <c r="D5272" t="s">
        <v>17444</v>
      </c>
      <c r="E5272" t="s">
        <v>22064</v>
      </c>
      <c r="F5272" t="s">
        <v>30052</v>
      </c>
      <c r="G5272" t="s">
        <v>30059</v>
      </c>
      <c r="H5272" t="s">
        <v>15498</v>
      </c>
      <c r="I5272" t="s">
        <v>30126</v>
      </c>
      <c r="J5272" t="s">
        <v>33549</v>
      </c>
      <c r="K5272" t="s">
        <v>39037</v>
      </c>
      <c r="M5272" t="s">
        <v>41199</v>
      </c>
      <c r="N5272" t="s">
        <v>43166</v>
      </c>
      <c r="O5272" t="s">
        <v>43167</v>
      </c>
      <c r="P5272">
        <v>0</v>
      </c>
      <c r="Q5272">
        <v>0</v>
      </c>
      <c r="R5272" t="s">
        <v>43172</v>
      </c>
      <c r="S5272" t="s">
        <v>43334</v>
      </c>
      <c r="T5272" t="s">
        <v>44698</v>
      </c>
      <c r="U5272" t="s">
        <v>49509</v>
      </c>
      <c r="V5272" t="s">
        <v>57405</v>
      </c>
      <c r="W5272" t="s">
        <v>41199</v>
      </c>
      <c r="X5272" t="s">
        <v>43173</v>
      </c>
    </row>
    <row r="5273" spans="1:24">
      <c r="A5273">
        <f>HYPERLINK("https://www.philgeps.gov.ph/GEPSNONPILOT/Tender/SplashBidNoticeAbstractUI.aspx?menuIndex=3&amp;refID=7079437&amp;Result=3","7079437")</f>
        <v>0</v>
      </c>
      <c r="B5273" t="s">
        <v>1777</v>
      </c>
      <c r="C5273" t="s">
        <v>8447</v>
      </c>
      <c r="D5273" t="s">
        <v>17461</v>
      </c>
      <c r="E5273" t="s">
        <v>22065</v>
      </c>
      <c r="F5273" t="s">
        <v>30052</v>
      </c>
      <c r="G5273" t="s">
        <v>30059</v>
      </c>
      <c r="H5273" t="s">
        <v>15498</v>
      </c>
      <c r="I5273" t="s">
        <v>30144</v>
      </c>
      <c r="J5273" t="s">
        <v>30402</v>
      </c>
      <c r="K5273" t="s">
        <v>39029</v>
      </c>
      <c r="M5273" t="s">
        <v>41197</v>
      </c>
      <c r="N5273" t="s">
        <v>43166</v>
      </c>
      <c r="O5273" t="s">
        <v>43167</v>
      </c>
      <c r="P5273">
        <v>0</v>
      </c>
      <c r="Q5273">
        <v>0</v>
      </c>
      <c r="R5273" t="s">
        <v>43172</v>
      </c>
      <c r="S5273" t="s">
        <v>43334</v>
      </c>
      <c r="T5273" t="s">
        <v>44696</v>
      </c>
      <c r="U5273" t="s">
        <v>49510</v>
      </c>
      <c r="W5273" t="s">
        <v>41197</v>
      </c>
      <c r="X5273" t="s">
        <v>43173</v>
      </c>
    </row>
    <row r="5274" spans="1:24">
      <c r="A5274">
        <f>HYPERLINK("https://www.philgeps.gov.ph/GEPSNONPILOT/Tender/SplashBidNoticeAbstractUI.aspx?menuIndex=3&amp;refID=7079453&amp;Result=3","7079453")</f>
        <v>0</v>
      </c>
      <c r="B5274" t="s">
        <v>1779</v>
      </c>
      <c r="C5274" t="s">
        <v>8448</v>
      </c>
      <c r="D5274" t="s">
        <v>17444</v>
      </c>
      <c r="E5274" t="s">
        <v>22066</v>
      </c>
      <c r="F5274" t="s">
        <v>30052</v>
      </c>
      <c r="G5274" t="s">
        <v>30059</v>
      </c>
      <c r="H5274" t="s">
        <v>15498</v>
      </c>
      <c r="I5274" t="s">
        <v>30081</v>
      </c>
      <c r="J5274" t="s">
        <v>33550</v>
      </c>
      <c r="K5274" t="s">
        <v>39034</v>
      </c>
      <c r="M5274" t="s">
        <v>41199</v>
      </c>
      <c r="N5274" t="s">
        <v>43166</v>
      </c>
      <c r="O5274" t="s">
        <v>43167</v>
      </c>
      <c r="P5274">
        <v>0</v>
      </c>
      <c r="Q5274">
        <v>1</v>
      </c>
      <c r="R5274" t="s">
        <v>43172</v>
      </c>
      <c r="S5274" t="s">
        <v>43334</v>
      </c>
      <c r="T5274" t="s">
        <v>44698</v>
      </c>
      <c r="U5274" t="s">
        <v>49511</v>
      </c>
      <c r="V5274" t="s">
        <v>57405</v>
      </c>
      <c r="W5274" t="s">
        <v>41199</v>
      </c>
      <c r="X5274" t="s">
        <v>43173</v>
      </c>
    </row>
    <row r="5275" spans="1:24">
      <c r="A5275">
        <f>HYPERLINK("https://www.philgeps.gov.ph/GEPSNONPILOT/Tender/SplashBidNoticeAbstractUI.aspx?menuIndex=3&amp;refID=7079469&amp;Result=3","7079469")</f>
        <v>0</v>
      </c>
      <c r="B5275" t="s">
        <v>689</v>
      </c>
      <c r="C5275" t="s">
        <v>8449</v>
      </c>
      <c r="D5275" t="s">
        <v>17475</v>
      </c>
      <c r="E5275" t="s">
        <v>21744</v>
      </c>
      <c r="F5275" t="s">
        <v>30052</v>
      </c>
      <c r="G5275" t="s">
        <v>30058</v>
      </c>
      <c r="H5275" t="s">
        <v>30067</v>
      </c>
      <c r="I5275" t="s">
        <v>3693</v>
      </c>
      <c r="J5275" t="s">
        <v>33551</v>
      </c>
      <c r="K5275" t="s">
        <v>39065</v>
      </c>
      <c r="M5275" t="s">
        <v>39995</v>
      </c>
      <c r="N5275" t="s">
        <v>43166</v>
      </c>
      <c r="O5275" t="s">
        <v>43167</v>
      </c>
      <c r="P5275">
        <v>0</v>
      </c>
      <c r="Q5275">
        <v>1</v>
      </c>
      <c r="R5275" t="s">
        <v>43172</v>
      </c>
      <c r="S5275" t="s">
        <v>43334</v>
      </c>
      <c r="T5275" t="s">
        <v>45017</v>
      </c>
      <c r="U5275" t="s">
        <v>49512</v>
      </c>
      <c r="V5275" t="s">
        <v>57412</v>
      </c>
      <c r="W5275" t="s">
        <v>39995</v>
      </c>
      <c r="X5275" t="s">
        <v>43173</v>
      </c>
    </row>
    <row r="5276" spans="1:24">
      <c r="A5276">
        <f>HYPERLINK("https://www.philgeps.gov.ph/GEPSNONPILOT/Tender/SplashBidNoticeAbstractUI.aspx?menuIndex=3&amp;refID=7079451&amp;Result=3","7079451")</f>
        <v>0</v>
      </c>
      <c r="B5276" t="s">
        <v>1581</v>
      </c>
      <c r="C5276" t="s">
        <v>8450</v>
      </c>
      <c r="E5276" t="s">
        <v>22067</v>
      </c>
      <c r="F5276" t="s">
        <v>30052</v>
      </c>
      <c r="G5276" t="s">
        <v>30059</v>
      </c>
      <c r="H5276" t="s">
        <v>15498</v>
      </c>
      <c r="I5276" t="s">
        <v>30096</v>
      </c>
      <c r="J5276" t="s">
        <v>30384</v>
      </c>
      <c r="K5276" t="s">
        <v>39025</v>
      </c>
      <c r="M5276" t="s">
        <v>40974</v>
      </c>
      <c r="N5276" t="s">
        <v>43166</v>
      </c>
      <c r="O5276" t="s">
        <v>43167</v>
      </c>
      <c r="P5276">
        <v>0</v>
      </c>
      <c r="Q5276">
        <v>5</v>
      </c>
      <c r="R5276" t="s">
        <v>43172</v>
      </c>
      <c r="S5276" t="s">
        <v>43334</v>
      </c>
      <c r="T5276" t="s">
        <v>44777</v>
      </c>
      <c r="U5276" t="s">
        <v>49513</v>
      </c>
      <c r="W5276" t="s">
        <v>40974</v>
      </c>
      <c r="X5276" t="s">
        <v>43173</v>
      </c>
    </row>
    <row r="5277" spans="1:24">
      <c r="A5277">
        <f>HYPERLINK("https://www.philgeps.gov.ph/GEPSNONPILOT/Tender/SplashBidNoticeAbstractUI.aspx?menuIndex=3&amp;refID=7079502&amp;Result=3","7079502")</f>
        <v>0</v>
      </c>
      <c r="B5277" t="s">
        <v>685</v>
      </c>
      <c r="C5277" t="s">
        <v>8451</v>
      </c>
      <c r="D5277" t="s">
        <v>17460</v>
      </c>
      <c r="E5277" t="s">
        <v>22068</v>
      </c>
      <c r="F5277" t="s">
        <v>30052</v>
      </c>
      <c r="G5277" t="s">
        <v>30058</v>
      </c>
      <c r="H5277" t="s">
        <v>15498</v>
      </c>
      <c r="I5277" t="s">
        <v>30073</v>
      </c>
      <c r="J5277" t="s">
        <v>33552</v>
      </c>
      <c r="K5277" t="s">
        <v>39025</v>
      </c>
      <c r="M5277" t="s">
        <v>39991</v>
      </c>
      <c r="N5277" t="s">
        <v>43166</v>
      </c>
      <c r="O5277" t="s">
        <v>43167</v>
      </c>
      <c r="P5277">
        <v>0</v>
      </c>
      <c r="Q5277">
        <v>0</v>
      </c>
      <c r="R5277" t="s">
        <v>43172</v>
      </c>
      <c r="S5277" t="s">
        <v>43334</v>
      </c>
      <c r="T5277" t="s">
        <v>44716</v>
      </c>
      <c r="U5277" t="s">
        <v>49514</v>
      </c>
      <c r="W5277" t="s">
        <v>39991</v>
      </c>
      <c r="X5277" t="s">
        <v>43173</v>
      </c>
    </row>
    <row r="5278" spans="1:24">
      <c r="A5278">
        <f>HYPERLINK("https://www.philgeps.gov.ph/GEPSNONPILOT/Tender/SplashBidNoticeAbstractUI.aspx?menuIndex=3&amp;refID=7079501&amp;Result=3","7079501")</f>
        <v>0</v>
      </c>
      <c r="B5278" t="s">
        <v>1821</v>
      </c>
      <c r="C5278" t="s">
        <v>8452</v>
      </c>
      <c r="D5278" t="s">
        <v>17467</v>
      </c>
      <c r="E5278" t="s">
        <v>22069</v>
      </c>
      <c r="F5278" t="s">
        <v>30052</v>
      </c>
      <c r="G5278" t="s">
        <v>30058</v>
      </c>
      <c r="H5278" t="s">
        <v>15498</v>
      </c>
      <c r="I5278" t="s">
        <v>30078</v>
      </c>
      <c r="J5278" t="s">
        <v>33553</v>
      </c>
      <c r="K5278" t="s">
        <v>39026</v>
      </c>
      <c r="L5278" t="s">
        <v>1821</v>
      </c>
      <c r="M5278" t="s">
        <v>41244</v>
      </c>
      <c r="N5278" t="s">
        <v>43166</v>
      </c>
      <c r="O5278" t="s">
        <v>43167</v>
      </c>
      <c r="P5278">
        <v>0</v>
      </c>
      <c r="Q5278">
        <v>1</v>
      </c>
      <c r="R5278" t="s">
        <v>43172</v>
      </c>
      <c r="S5278" t="s">
        <v>43334</v>
      </c>
      <c r="T5278" t="s">
        <v>45009</v>
      </c>
      <c r="U5278" t="s">
        <v>49515</v>
      </c>
      <c r="V5278" t="s">
        <v>57414</v>
      </c>
      <c r="W5278" t="s">
        <v>41244</v>
      </c>
      <c r="X5278" t="s">
        <v>43173</v>
      </c>
    </row>
    <row r="5279" spans="1:24">
      <c r="A5279">
        <f>HYPERLINK("https://www.philgeps.gov.ph/GEPSNONPILOT/Tender/SplashBidNoticeAbstractUI.aspx?menuIndex=3&amp;refID=7078959&amp;Result=3","7078959")</f>
        <v>0</v>
      </c>
      <c r="B5279" t="s">
        <v>759</v>
      </c>
      <c r="C5279" t="s">
        <v>8453</v>
      </c>
      <c r="D5279" t="s">
        <v>17416</v>
      </c>
      <c r="E5279" t="s">
        <v>22070</v>
      </c>
      <c r="F5279" t="s">
        <v>30052</v>
      </c>
      <c r="G5279" t="s">
        <v>30058</v>
      </c>
      <c r="H5279" t="s">
        <v>30067</v>
      </c>
      <c r="I5279" t="s">
        <v>3693</v>
      </c>
      <c r="J5279" t="s">
        <v>33554</v>
      </c>
      <c r="K5279" t="s">
        <v>39061</v>
      </c>
      <c r="M5279" t="s">
        <v>40073</v>
      </c>
      <c r="N5279" t="s">
        <v>43166</v>
      </c>
      <c r="O5279" t="s">
        <v>43167</v>
      </c>
      <c r="P5279">
        <v>0</v>
      </c>
      <c r="Q5279">
        <v>0</v>
      </c>
      <c r="R5279" t="s">
        <v>43172</v>
      </c>
      <c r="S5279" t="s">
        <v>43334</v>
      </c>
      <c r="T5279" t="s">
        <v>44806</v>
      </c>
      <c r="U5279" t="s">
        <v>49516</v>
      </c>
      <c r="W5279" t="s">
        <v>40073</v>
      </c>
      <c r="X5279" t="s">
        <v>43173</v>
      </c>
    </row>
    <row r="5280" spans="1:24">
      <c r="A5280">
        <f>HYPERLINK("https://www.philgeps.gov.ph/GEPSNONPILOT/Tender/SplashBidNoticeAbstractUI.aspx?menuIndex=3&amp;refID=7079436&amp;Result=3","7079436")</f>
        <v>0</v>
      </c>
      <c r="B5280" t="s">
        <v>1822</v>
      </c>
      <c r="C5280" t="s">
        <v>8454</v>
      </c>
      <c r="D5280" t="s">
        <v>17437</v>
      </c>
      <c r="E5280" t="s">
        <v>22071</v>
      </c>
      <c r="F5280" t="s">
        <v>30052</v>
      </c>
      <c r="G5280" t="s">
        <v>30059</v>
      </c>
      <c r="H5280" t="s">
        <v>15498</v>
      </c>
      <c r="I5280" t="s">
        <v>30098</v>
      </c>
      <c r="J5280" t="s">
        <v>33555</v>
      </c>
      <c r="K5280" t="s">
        <v>39034</v>
      </c>
      <c r="M5280" t="s">
        <v>41245</v>
      </c>
      <c r="N5280" t="s">
        <v>43166</v>
      </c>
      <c r="O5280" t="s">
        <v>43167</v>
      </c>
      <c r="P5280">
        <v>0</v>
      </c>
      <c r="Q5280">
        <v>2</v>
      </c>
      <c r="R5280" t="s">
        <v>43172</v>
      </c>
      <c r="S5280" t="s">
        <v>43334</v>
      </c>
      <c r="T5280" t="s">
        <v>44717</v>
      </c>
      <c r="U5280" t="s">
        <v>49517</v>
      </c>
      <c r="W5280" t="s">
        <v>41245</v>
      </c>
      <c r="X5280" t="s">
        <v>43173</v>
      </c>
    </row>
    <row r="5281" spans="1:24">
      <c r="A5281">
        <f>HYPERLINK("https://www.philgeps.gov.ph/GEPSNONPILOT/Tender/SplashBidNoticeAbstractUI.aspx?menuIndex=3&amp;refID=7079495&amp;Result=3","7079495")</f>
        <v>0</v>
      </c>
      <c r="B5281" t="s">
        <v>1801</v>
      </c>
      <c r="C5281" t="s">
        <v>8455</v>
      </c>
      <c r="D5281" t="s">
        <v>17440</v>
      </c>
      <c r="E5281" t="s">
        <v>22072</v>
      </c>
      <c r="F5281" t="s">
        <v>30052</v>
      </c>
      <c r="G5281" t="s">
        <v>30058</v>
      </c>
      <c r="H5281" t="s">
        <v>15498</v>
      </c>
      <c r="I5281" t="s">
        <v>3693</v>
      </c>
      <c r="J5281" t="s">
        <v>33556</v>
      </c>
      <c r="K5281" t="s">
        <v>39104</v>
      </c>
      <c r="M5281" t="s">
        <v>41224</v>
      </c>
      <c r="N5281" t="s">
        <v>43166</v>
      </c>
      <c r="O5281" t="s">
        <v>43167</v>
      </c>
      <c r="P5281">
        <v>0</v>
      </c>
      <c r="Q5281">
        <v>1</v>
      </c>
      <c r="R5281" t="s">
        <v>43172</v>
      </c>
      <c r="S5281" t="s">
        <v>43334</v>
      </c>
      <c r="T5281" t="s">
        <v>44722</v>
      </c>
      <c r="U5281" t="s">
        <v>49518</v>
      </c>
      <c r="V5281" t="s">
        <v>57409</v>
      </c>
      <c r="W5281" t="s">
        <v>41224</v>
      </c>
      <c r="X5281" t="s">
        <v>43173</v>
      </c>
    </row>
    <row r="5282" spans="1:24">
      <c r="A5282">
        <f>HYPERLINK("https://www.philgeps.gov.ph/GEPSNONPILOT/Tender/SplashBidNoticeAbstractUI.aspx?menuIndex=3&amp;refID=7079442&amp;Result=3","7079442")</f>
        <v>0</v>
      </c>
      <c r="B5282" t="s">
        <v>165</v>
      </c>
      <c r="C5282" t="s">
        <v>8456</v>
      </c>
      <c r="D5282" t="s">
        <v>17448</v>
      </c>
      <c r="E5282" t="s">
        <v>22073</v>
      </c>
      <c r="F5282" t="s">
        <v>30052</v>
      </c>
      <c r="G5282" t="s">
        <v>30059</v>
      </c>
      <c r="H5282" t="s">
        <v>15498</v>
      </c>
      <c r="I5282" t="s">
        <v>30100</v>
      </c>
      <c r="J5282" t="s">
        <v>33557</v>
      </c>
      <c r="K5282" t="s">
        <v>39029</v>
      </c>
      <c r="M5282" t="s">
        <v>39454</v>
      </c>
      <c r="N5282" t="s">
        <v>43166</v>
      </c>
      <c r="O5282" t="s">
        <v>43167</v>
      </c>
      <c r="P5282">
        <v>0</v>
      </c>
      <c r="Q5282">
        <v>0</v>
      </c>
      <c r="R5282" t="s">
        <v>43172</v>
      </c>
      <c r="S5282" t="s">
        <v>43334</v>
      </c>
      <c r="T5282" t="s">
        <v>44691</v>
      </c>
      <c r="U5282" t="s">
        <v>49519</v>
      </c>
      <c r="W5282" t="s">
        <v>39454</v>
      </c>
      <c r="X5282" t="s">
        <v>43173</v>
      </c>
    </row>
    <row r="5283" spans="1:24">
      <c r="A5283">
        <f>HYPERLINK("https://www.philgeps.gov.ph/GEPSNONPILOT/Tender/SplashBidNoticeAbstractUI.aspx?menuIndex=3&amp;refID=7079489&amp;Result=3","7079489")</f>
        <v>0</v>
      </c>
      <c r="B5283" t="s">
        <v>1014</v>
      </c>
      <c r="C5283" t="s">
        <v>8457</v>
      </c>
      <c r="D5283" t="s">
        <v>17465</v>
      </c>
      <c r="E5283" t="s">
        <v>22074</v>
      </c>
      <c r="F5283" t="s">
        <v>30052</v>
      </c>
      <c r="G5283" t="s">
        <v>30058</v>
      </c>
      <c r="H5283" t="s">
        <v>30067</v>
      </c>
      <c r="I5283" t="s">
        <v>3693</v>
      </c>
      <c r="J5283" t="s">
        <v>33558</v>
      </c>
      <c r="K5283" t="s">
        <v>39025</v>
      </c>
      <c r="M5283" t="s">
        <v>40343</v>
      </c>
      <c r="N5283" t="s">
        <v>43166</v>
      </c>
      <c r="O5283" t="s">
        <v>43167</v>
      </c>
      <c r="P5283">
        <v>0</v>
      </c>
      <c r="Q5283">
        <v>1</v>
      </c>
      <c r="R5283" t="s">
        <v>43172</v>
      </c>
      <c r="S5283" t="s">
        <v>43334</v>
      </c>
      <c r="T5283" t="s">
        <v>44698</v>
      </c>
      <c r="U5283" t="s">
        <v>49520</v>
      </c>
      <c r="W5283" t="s">
        <v>58623</v>
      </c>
      <c r="X5283" t="s">
        <v>43173</v>
      </c>
    </row>
    <row r="5284" spans="1:24">
      <c r="A5284">
        <f>HYPERLINK("https://www.philgeps.gov.ph/GEPSNONPILOT/Tender/SplashBidNoticeAbstractUI.aspx?menuIndex=3&amp;refID=7079498&amp;Result=3","7079498")</f>
        <v>0</v>
      </c>
      <c r="B5284" t="s">
        <v>1356</v>
      </c>
      <c r="C5284" t="s">
        <v>8458</v>
      </c>
      <c r="D5284" t="s">
        <v>17445</v>
      </c>
      <c r="E5284" t="s">
        <v>22075</v>
      </c>
      <c r="F5284" t="s">
        <v>30052</v>
      </c>
      <c r="G5284" t="s">
        <v>30059</v>
      </c>
      <c r="H5284" t="s">
        <v>15498</v>
      </c>
      <c r="I5284" t="s">
        <v>30073</v>
      </c>
      <c r="J5284" t="s">
        <v>33559</v>
      </c>
      <c r="K5284" t="s">
        <v>39018</v>
      </c>
      <c r="M5284" t="s">
        <v>40725</v>
      </c>
      <c r="N5284" t="s">
        <v>43166</v>
      </c>
      <c r="O5284" t="s">
        <v>43167</v>
      </c>
      <c r="P5284">
        <v>0</v>
      </c>
      <c r="Q5284">
        <v>1</v>
      </c>
      <c r="R5284" t="s">
        <v>43172</v>
      </c>
      <c r="S5284" t="s">
        <v>43334</v>
      </c>
      <c r="T5284" t="s">
        <v>44773</v>
      </c>
      <c r="U5284" t="s">
        <v>48263</v>
      </c>
      <c r="W5284" t="s">
        <v>40725</v>
      </c>
      <c r="X5284" t="s">
        <v>43173</v>
      </c>
    </row>
    <row r="5285" spans="1:24">
      <c r="A5285">
        <f>HYPERLINK("https://www.philgeps.gov.ph/GEPSNONPILOT/Tender/SplashBidNoticeAbstractUI.aspx?menuIndex=3&amp;refID=7079484&amp;Result=3","7079484")</f>
        <v>0</v>
      </c>
      <c r="B5285" t="s">
        <v>1713</v>
      </c>
      <c r="C5285" t="s">
        <v>8459</v>
      </c>
      <c r="D5285" t="s">
        <v>17455</v>
      </c>
      <c r="E5285" t="s">
        <v>22076</v>
      </c>
      <c r="F5285" t="s">
        <v>30052</v>
      </c>
      <c r="G5285" t="s">
        <v>30059</v>
      </c>
      <c r="H5285" t="s">
        <v>15498</v>
      </c>
      <c r="I5285" t="s">
        <v>3736</v>
      </c>
      <c r="J5285" t="s">
        <v>33560</v>
      </c>
      <c r="K5285" t="s">
        <v>39039</v>
      </c>
      <c r="M5285" t="s">
        <v>41128</v>
      </c>
      <c r="N5285" t="s">
        <v>43166</v>
      </c>
      <c r="O5285" t="s">
        <v>43167</v>
      </c>
      <c r="P5285">
        <v>0</v>
      </c>
      <c r="Q5285">
        <v>0</v>
      </c>
      <c r="R5285" t="s">
        <v>43172</v>
      </c>
      <c r="S5285" t="s">
        <v>43334</v>
      </c>
      <c r="T5285" t="s">
        <v>44746</v>
      </c>
      <c r="U5285" t="s">
        <v>49521</v>
      </c>
      <c r="W5285" t="s">
        <v>41128</v>
      </c>
      <c r="X5285" t="s">
        <v>43173</v>
      </c>
    </row>
    <row r="5286" spans="1:24">
      <c r="A5286">
        <f>HYPERLINK("https://www.philgeps.gov.ph/GEPSNONPILOT/Tender/SplashBidNoticeAbstractUI.aspx?menuIndex=3&amp;refID=7079483&amp;Result=3","7079483")</f>
        <v>0</v>
      </c>
      <c r="B5286" t="s">
        <v>1777</v>
      </c>
      <c r="C5286" t="s">
        <v>8460</v>
      </c>
      <c r="D5286" t="s">
        <v>17461</v>
      </c>
      <c r="E5286" t="s">
        <v>22077</v>
      </c>
      <c r="F5286" t="s">
        <v>30052</v>
      </c>
      <c r="G5286" t="s">
        <v>30059</v>
      </c>
      <c r="H5286" t="s">
        <v>15498</v>
      </c>
      <c r="I5286" t="s">
        <v>30108</v>
      </c>
      <c r="J5286" t="s">
        <v>30315</v>
      </c>
      <c r="K5286" t="s">
        <v>39029</v>
      </c>
      <c r="M5286" t="s">
        <v>41197</v>
      </c>
      <c r="N5286" t="s">
        <v>43166</v>
      </c>
      <c r="O5286" t="s">
        <v>43167</v>
      </c>
      <c r="P5286">
        <v>0</v>
      </c>
      <c r="Q5286">
        <v>3</v>
      </c>
      <c r="R5286" t="s">
        <v>43172</v>
      </c>
      <c r="S5286" t="s">
        <v>43334</v>
      </c>
      <c r="T5286" t="s">
        <v>44696</v>
      </c>
      <c r="U5286" t="s">
        <v>49522</v>
      </c>
      <c r="W5286" t="s">
        <v>41197</v>
      </c>
      <c r="X5286" t="s">
        <v>43173</v>
      </c>
    </row>
    <row r="5287" spans="1:24">
      <c r="A5287">
        <f>HYPERLINK("https://www.philgeps.gov.ph/GEPSNONPILOT/Tender/SplashBidNoticeAbstractUI.aspx?menuIndex=3&amp;refID=7079352&amp;Result=3","7079352")</f>
        <v>0</v>
      </c>
      <c r="B5287" t="s">
        <v>757</v>
      </c>
      <c r="C5287" t="s">
        <v>8461</v>
      </c>
      <c r="D5287" t="s">
        <v>17462</v>
      </c>
      <c r="E5287" t="s">
        <v>21297</v>
      </c>
      <c r="F5287" t="s">
        <v>30052</v>
      </c>
      <c r="G5287" t="s">
        <v>30058</v>
      </c>
      <c r="H5287" t="s">
        <v>30067</v>
      </c>
      <c r="I5287" t="s">
        <v>3693</v>
      </c>
      <c r="J5287" t="s">
        <v>33561</v>
      </c>
      <c r="K5287" t="s">
        <v>39057</v>
      </c>
      <c r="M5287" t="s">
        <v>40071</v>
      </c>
      <c r="N5287" t="s">
        <v>43166</v>
      </c>
      <c r="O5287" t="s">
        <v>43167</v>
      </c>
      <c r="P5287">
        <v>0</v>
      </c>
      <c r="Q5287">
        <v>4</v>
      </c>
      <c r="R5287" t="s">
        <v>43172</v>
      </c>
      <c r="S5287" t="s">
        <v>43334</v>
      </c>
      <c r="T5287" t="s">
        <v>44966</v>
      </c>
      <c r="U5287" t="s">
        <v>49205</v>
      </c>
      <c r="W5287" t="s">
        <v>40071</v>
      </c>
      <c r="X5287" t="s">
        <v>43173</v>
      </c>
    </row>
    <row r="5288" spans="1:24">
      <c r="A5288">
        <f>HYPERLINK("https://www.philgeps.gov.ph/GEPSNONPILOT/Tender/SplashBidNoticeAbstractUI.aspx?menuIndex=3&amp;refID=7079479&amp;Result=3","7079479")</f>
        <v>0</v>
      </c>
      <c r="B5288" t="s">
        <v>1655</v>
      </c>
      <c r="C5288" t="s">
        <v>8462</v>
      </c>
      <c r="D5288" t="s">
        <v>17481</v>
      </c>
      <c r="E5288" t="s">
        <v>22078</v>
      </c>
      <c r="F5288" t="s">
        <v>30052</v>
      </c>
      <c r="G5288" t="s">
        <v>30058</v>
      </c>
      <c r="H5288" t="s">
        <v>15498</v>
      </c>
      <c r="I5288" t="s">
        <v>30076</v>
      </c>
      <c r="J5288" t="s">
        <v>33562</v>
      </c>
      <c r="K5288" t="s">
        <v>39025</v>
      </c>
      <c r="M5288" t="s">
        <v>41060</v>
      </c>
      <c r="N5288" t="s">
        <v>43166</v>
      </c>
      <c r="O5288" t="s">
        <v>43167</v>
      </c>
      <c r="P5288">
        <v>0</v>
      </c>
      <c r="Q5288">
        <v>0</v>
      </c>
      <c r="R5288" t="s">
        <v>43172</v>
      </c>
      <c r="S5288" t="s">
        <v>43334</v>
      </c>
      <c r="T5288" t="s">
        <v>44685</v>
      </c>
      <c r="U5288" t="s">
        <v>49523</v>
      </c>
      <c r="W5288" t="s">
        <v>41060</v>
      </c>
      <c r="X5288" t="s">
        <v>43173</v>
      </c>
    </row>
    <row r="5289" spans="1:24">
      <c r="A5289">
        <f>HYPERLINK("https://www.philgeps.gov.ph/GEPSNONPILOT/Tender/SplashBidNoticeAbstractUI.aspx?menuIndex=3&amp;refID=7079477&amp;Result=3","7079477")</f>
        <v>0</v>
      </c>
      <c r="B5289" t="s">
        <v>1823</v>
      </c>
      <c r="C5289" t="s">
        <v>8463</v>
      </c>
      <c r="D5289" t="s">
        <v>17449</v>
      </c>
      <c r="E5289" t="s">
        <v>17715</v>
      </c>
      <c r="F5289" t="s">
        <v>30057</v>
      </c>
      <c r="G5289" t="s">
        <v>30058</v>
      </c>
      <c r="H5289" t="s">
        <v>30067</v>
      </c>
      <c r="I5289" t="s">
        <v>3693</v>
      </c>
      <c r="J5289" t="s">
        <v>33563</v>
      </c>
      <c r="K5289" t="s">
        <v>39029</v>
      </c>
      <c r="M5289" t="s">
        <v>41246</v>
      </c>
      <c r="N5289" t="s">
        <v>43166</v>
      </c>
      <c r="O5289" t="s">
        <v>43167</v>
      </c>
      <c r="P5289">
        <v>0</v>
      </c>
      <c r="Q5289">
        <v>1</v>
      </c>
      <c r="R5289" t="s">
        <v>43172</v>
      </c>
      <c r="S5289" t="s">
        <v>43334</v>
      </c>
      <c r="T5289" t="s">
        <v>44828</v>
      </c>
      <c r="U5289" t="s">
        <v>49524</v>
      </c>
      <c r="W5289" t="s">
        <v>41246</v>
      </c>
      <c r="X5289" t="s">
        <v>43173</v>
      </c>
    </row>
    <row r="5290" spans="1:24">
      <c r="A5290">
        <f>HYPERLINK("https://www.philgeps.gov.ph/GEPSNONPILOT/Tender/SplashBidNoticeAbstractUI.aspx?menuIndex=3&amp;refID=7079476&amp;Result=3","7079476")</f>
        <v>0</v>
      </c>
      <c r="B5290" t="s">
        <v>620</v>
      </c>
      <c r="C5290" t="s">
        <v>8464</v>
      </c>
      <c r="D5290" t="s">
        <v>17427</v>
      </c>
      <c r="E5290" t="s">
        <v>22079</v>
      </c>
      <c r="F5290" t="s">
        <v>30052</v>
      </c>
      <c r="G5290" t="s">
        <v>30061</v>
      </c>
      <c r="H5290" t="s">
        <v>15498</v>
      </c>
      <c r="I5290" t="s">
        <v>30081</v>
      </c>
      <c r="J5290" t="s">
        <v>31302</v>
      </c>
      <c r="K5290" t="s">
        <v>39025</v>
      </c>
      <c r="M5290" t="s">
        <v>39923</v>
      </c>
      <c r="N5290" t="s">
        <v>43166</v>
      </c>
      <c r="O5290" t="s">
        <v>43167</v>
      </c>
      <c r="P5290">
        <v>0</v>
      </c>
      <c r="Q5290">
        <v>0</v>
      </c>
      <c r="R5290" t="s">
        <v>43172</v>
      </c>
      <c r="S5290" t="s">
        <v>43334</v>
      </c>
      <c r="T5290" t="s">
        <v>44720</v>
      </c>
      <c r="U5290" t="s">
        <v>49525</v>
      </c>
      <c r="W5290" t="s">
        <v>39923</v>
      </c>
      <c r="X5290" t="s">
        <v>43173</v>
      </c>
    </row>
    <row r="5291" spans="1:24">
      <c r="A5291">
        <f>HYPERLINK("https://www.philgeps.gov.ph/GEPSNONPILOT/Tender/SplashBidNoticeAbstractUI.aspx?menuIndex=3&amp;refID=7079474&amp;Result=3","7079474")</f>
        <v>0</v>
      </c>
      <c r="B5291" t="s">
        <v>1824</v>
      </c>
      <c r="C5291" t="s">
        <v>8465</v>
      </c>
      <c r="D5291" t="s">
        <v>17436</v>
      </c>
      <c r="E5291" t="s">
        <v>22080</v>
      </c>
      <c r="F5291" t="s">
        <v>30052</v>
      </c>
      <c r="G5291" t="s">
        <v>30062</v>
      </c>
      <c r="H5291" t="s">
        <v>15498</v>
      </c>
      <c r="I5291" t="s">
        <v>30116</v>
      </c>
      <c r="J5291" t="s">
        <v>31303</v>
      </c>
      <c r="K5291" t="s">
        <v>39019</v>
      </c>
      <c r="M5291" t="s">
        <v>41247</v>
      </c>
      <c r="N5291" t="s">
        <v>43166</v>
      </c>
      <c r="O5291" t="s">
        <v>43167</v>
      </c>
      <c r="P5291">
        <v>0</v>
      </c>
      <c r="Q5291">
        <v>0</v>
      </c>
      <c r="R5291" t="s">
        <v>43172</v>
      </c>
      <c r="S5291" t="s">
        <v>43334</v>
      </c>
      <c r="T5291" t="s">
        <v>44837</v>
      </c>
      <c r="U5291" t="s">
        <v>49526</v>
      </c>
      <c r="W5291" t="s">
        <v>41247</v>
      </c>
      <c r="X5291" t="s">
        <v>43173</v>
      </c>
    </row>
    <row r="5292" spans="1:24">
      <c r="A5292">
        <f>HYPERLINK("https://www.philgeps.gov.ph/GEPSNONPILOT/Tender/SplashBidNoticeAbstractUI.aspx?menuIndex=3&amp;refID=7079473&amp;Result=3","7079473")</f>
        <v>0</v>
      </c>
      <c r="B5292" t="s">
        <v>1825</v>
      </c>
      <c r="C5292" t="s">
        <v>8466</v>
      </c>
      <c r="D5292" t="s">
        <v>17422</v>
      </c>
      <c r="E5292" t="s">
        <v>17715</v>
      </c>
      <c r="F5292" t="s">
        <v>30052</v>
      </c>
      <c r="G5292" t="s">
        <v>30058</v>
      </c>
      <c r="H5292" t="s">
        <v>15498</v>
      </c>
      <c r="I5292" t="s">
        <v>30140</v>
      </c>
      <c r="J5292" t="s">
        <v>30218</v>
      </c>
      <c r="K5292" t="s">
        <v>39034</v>
      </c>
      <c r="M5292" t="s">
        <v>41248</v>
      </c>
      <c r="N5292" t="s">
        <v>43166</v>
      </c>
      <c r="O5292" t="s">
        <v>43167</v>
      </c>
      <c r="P5292">
        <v>0</v>
      </c>
      <c r="Q5292">
        <v>0</v>
      </c>
      <c r="R5292" t="s">
        <v>43172</v>
      </c>
      <c r="S5292" t="s">
        <v>43334</v>
      </c>
      <c r="T5292" t="s">
        <v>44685</v>
      </c>
      <c r="U5292" t="s">
        <v>49527</v>
      </c>
      <c r="W5292" t="s">
        <v>41248</v>
      </c>
      <c r="X5292" t="s">
        <v>43173</v>
      </c>
    </row>
    <row r="5293" spans="1:24">
      <c r="A5293">
        <f>HYPERLINK("https://www.philgeps.gov.ph/GEPSNONPILOT/Tender/SplashBidNoticeAbstractUI.aspx?menuIndex=3&amp;refID=7079182&amp;Result=3","7079182")</f>
        <v>0</v>
      </c>
      <c r="B5293" t="s">
        <v>1826</v>
      </c>
      <c r="C5293" t="s">
        <v>8467</v>
      </c>
      <c r="D5293" t="s">
        <v>17471</v>
      </c>
      <c r="E5293" t="s">
        <v>22081</v>
      </c>
      <c r="F5293" t="s">
        <v>30052</v>
      </c>
      <c r="G5293" t="s">
        <v>30059</v>
      </c>
      <c r="H5293" t="s">
        <v>15498</v>
      </c>
      <c r="I5293" t="s">
        <v>30070</v>
      </c>
      <c r="J5293" t="s">
        <v>30384</v>
      </c>
      <c r="K5293" t="s">
        <v>39018</v>
      </c>
      <c r="M5293" t="s">
        <v>41249</v>
      </c>
      <c r="N5293" t="s">
        <v>43166</v>
      </c>
      <c r="O5293" t="s">
        <v>43167</v>
      </c>
      <c r="P5293">
        <v>0</v>
      </c>
      <c r="Q5293">
        <v>1</v>
      </c>
      <c r="R5293" t="s">
        <v>43172</v>
      </c>
      <c r="S5293" t="s">
        <v>43334</v>
      </c>
      <c r="T5293" t="s">
        <v>44870</v>
      </c>
      <c r="U5293" t="s">
        <v>49528</v>
      </c>
      <c r="W5293" t="s">
        <v>41249</v>
      </c>
      <c r="X5293" t="s">
        <v>43173</v>
      </c>
    </row>
    <row r="5294" spans="1:24">
      <c r="A5294">
        <f>HYPERLINK("https://www.philgeps.gov.ph/GEPSNONPILOT/Tender/SplashBidNoticeAbstractUI.aspx?menuIndex=3&amp;refID=7079465&amp;Result=3","7079465")</f>
        <v>0</v>
      </c>
      <c r="B5294" t="s">
        <v>1714</v>
      </c>
      <c r="C5294" t="s">
        <v>8468</v>
      </c>
      <c r="D5294" t="s">
        <v>17441</v>
      </c>
      <c r="E5294" t="s">
        <v>22082</v>
      </c>
      <c r="F5294" t="s">
        <v>30052</v>
      </c>
      <c r="G5294" t="s">
        <v>30059</v>
      </c>
      <c r="H5294" t="s">
        <v>15498</v>
      </c>
      <c r="I5294" t="s">
        <v>30135</v>
      </c>
      <c r="J5294" t="s">
        <v>30344</v>
      </c>
      <c r="K5294" t="s">
        <v>39029</v>
      </c>
      <c r="M5294" t="s">
        <v>41129</v>
      </c>
      <c r="N5294" t="s">
        <v>43166</v>
      </c>
      <c r="O5294" t="s">
        <v>43167</v>
      </c>
      <c r="P5294">
        <v>0</v>
      </c>
      <c r="Q5294">
        <v>0</v>
      </c>
      <c r="R5294" t="s">
        <v>43172</v>
      </c>
      <c r="S5294" t="s">
        <v>43334</v>
      </c>
      <c r="T5294" t="s">
        <v>44734</v>
      </c>
      <c r="U5294" t="s">
        <v>49529</v>
      </c>
      <c r="V5294" t="s">
        <v>57415</v>
      </c>
      <c r="W5294" t="s">
        <v>41129</v>
      </c>
      <c r="X5294" t="s">
        <v>43173</v>
      </c>
    </row>
    <row r="5295" spans="1:24">
      <c r="A5295">
        <f>HYPERLINK("https://www.philgeps.gov.ph/GEPSNONPILOT/Tender/SplashBidNoticeAbstractUI.aspx?menuIndex=3&amp;refID=7079492&amp;Result=3","7079492")</f>
        <v>0</v>
      </c>
      <c r="B5295" t="s">
        <v>107</v>
      </c>
      <c r="C5295" t="s">
        <v>8469</v>
      </c>
      <c r="D5295" t="s">
        <v>17448</v>
      </c>
      <c r="E5295" t="s">
        <v>22083</v>
      </c>
      <c r="F5295" t="s">
        <v>30052</v>
      </c>
      <c r="G5295" t="s">
        <v>30059</v>
      </c>
      <c r="H5295" t="s">
        <v>15498</v>
      </c>
      <c r="I5295" t="s">
        <v>9238</v>
      </c>
      <c r="J5295" t="s">
        <v>30530</v>
      </c>
      <c r="K5295" t="s">
        <v>39025</v>
      </c>
      <c r="M5295" t="s">
        <v>39396</v>
      </c>
      <c r="N5295" t="s">
        <v>43166</v>
      </c>
      <c r="O5295" t="s">
        <v>43167</v>
      </c>
      <c r="P5295">
        <v>0</v>
      </c>
      <c r="Q5295">
        <v>20</v>
      </c>
      <c r="R5295" t="s">
        <v>43172</v>
      </c>
      <c r="S5295" t="s">
        <v>43334</v>
      </c>
      <c r="T5295" t="s">
        <v>44862</v>
      </c>
      <c r="U5295" t="s">
        <v>49530</v>
      </c>
      <c r="W5295" t="s">
        <v>39396</v>
      </c>
      <c r="X5295" t="s">
        <v>43173</v>
      </c>
    </row>
    <row r="5296" spans="1:24">
      <c r="A5296">
        <f>HYPERLINK("https://www.philgeps.gov.ph/GEPSNONPILOT/Tender/SplashBidNoticeAbstractUI.aspx?menuIndex=3&amp;refID=7079464&amp;Result=3","7079464")</f>
        <v>0</v>
      </c>
      <c r="B5296" t="s">
        <v>107</v>
      </c>
      <c r="C5296" t="s">
        <v>8470</v>
      </c>
      <c r="D5296" t="s">
        <v>17448</v>
      </c>
      <c r="E5296" t="s">
        <v>22084</v>
      </c>
      <c r="F5296" t="s">
        <v>30052</v>
      </c>
      <c r="G5296" t="s">
        <v>30059</v>
      </c>
      <c r="H5296" t="s">
        <v>15498</v>
      </c>
      <c r="I5296" t="s">
        <v>9238</v>
      </c>
      <c r="J5296" t="s">
        <v>32017</v>
      </c>
      <c r="K5296" t="s">
        <v>39025</v>
      </c>
      <c r="M5296" t="s">
        <v>39396</v>
      </c>
      <c r="N5296" t="s">
        <v>43166</v>
      </c>
      <c r="O5296" t="s">
        <v>43167</v>
      </c>
      <c r="P5296">
        <v>0</v>
      </c>
      <c r="Q5296">
        <v>26</v>
      </c>
      <c r="R5296" t="s">
        <v>43172</v>
      </c>
      <c r="S5296" t="s">
        <v>43334</v>
      </c>
      <c r="T5296" t="s">
        <v>44862</v>
      </c>
      <c r="U5296" t="s">
        <v>49531</v>
      </c>
      <c r="W5296" t="s">
        <v>39396</v>
      </c>
      <c r="X5296" t="s">
        <v>43173</v>
      </c>
    </row>
    <row r="5297" spans="1:24">
      <c r="A5297">
        <f>HYPERLINK("https://www.philgeps.gov.ph/GEPSNONPILOT/Tender/SplashBidNoticeAbstractUI.aspx?menuIndex=3&amp;refID=7079486&amp;Result=3","7079486")</f>
        <v>0</v>
      </c>
      <c r="B5297" t="s">
        <v>1797</v>
      </c>
      <c r="C5297" t="s">
        <v>8471</v>
      </c>
      <c r="D5297" t="s">
        <v>17415</v>
      </c>
      <c r="E5297" t="s">
        <v>22085</v>
      </c>
      <c r="F5297" t="s">
        <v>30052</v>
      </c>
      <c r="G5297" t="s">
        <v>30059</v>
      </c>
      <c r="H5297" t="s">
        <v>30067</v>
      </c>
      <c r="I5297" t="s">
        <v>3693</v>
      </c>
      <c r="J5297" t="s">
        <v>33564</v>
      </c>
      <c r="K5297" t="s">
        <v>39025</v>
      </c>
      <c r="M5297" t="s">
        <v>41220</v>
      </c>
      <c r="N5297" t="s">
        <v>43166</v>
      </c>
      <c r="O5297" t="s">
        <v>43167</v>
      </c>
      <c r="P5297">
        <v>0</v>
      </c>
      <c r="Q5297">
        <v>0</v>
      </c>
      <c r="R5297" t="s">
        <v>43172</v>
      </c>
      <c r="S5297" t="s">
        <v>43334</v>
      </c>
      <c r="T5297" t="s">
        <v>44767</v>
      </c>
      <c r="U5297" t="s">
        <v>49532</v>
      </c>
      <c r="W5297" t="s">
        <v>41220</v>
      </c>
      <c r="X5297" t="s">
        <v>43173</v>
      </c>
    </row>
    <row r="5298" spans="1:24">
      <c r="A5298">
        <f>HYPERLINK("https://www.philgeps.gov.ph/GEPSNONPILOT/Tender/SplashBidNoticeAbstractUI.aspx?menuIndex=3&amp;refID=7079466&amp;Result=3","7079466")</f>
        <v>0</v>
      </c>
      <c r="B5298" t="s">
        <v>1530</v>
      </c>
      <c r="C5298" t="s">
        <v>8472</v>
      </c>
      <c r="D5298" t="s">
        <v>17415</v>
      </c>
      <c r="E5298" t="s">
        <v>22086</v>
      </c>
      <c r="F5298" t="s">
        <v>30052</v>
      </c>
      <c r="G5298" t="s">
        <v>30059</v>
      </c>
      <c r="H5298" t="s">
        <v>15498</v>
      </c>
      <c r="I5298" t="s">
        <v>30094</v>
      </c>
      <c r="J5298" t="s">
        <v>33565</v>
      </c>
      <c r="K5298" t="s">
        <v>39017</v>
      </c>
      <c r="M5298" t="s">
        <v>40916</v>
      </c>
      <c r="N5298" t="s">
        <v>43166</v>
      </c>
      <c r="O5298" t="s">
        <v>43167</v>
      </c>
      <c r="P5298">
        <v>0</v>
      </c>
      <c r="Q5298">
        <v>7</v>
      </c>
      <c r="R5298" t="s">
        <v>43172</v>
      </c>
      <c r="S5298" t="s">
        <v>43334</v>
      </c>
      <c r="T5298" t="s">
        <v>44708</v>
      </c>
      <c r="U5298" t="s">
        <v>49533</v>
      </c>
      <c r="W5298" t="s">
        <v>40916</v>
      </c>
      <c r="X5298" t="s">
        <v>43173</v>
      </c>
    </row>
    <row r="5299" spans="1:24">
      <c r="A5299">
        <f>HYPERLINK("https://www.philgeps.gov.ph/GEPSNONPILOT/Tender/SplashBidNoticeAbstractUI.aspx?menuIndex=3&amp;refID=7079435&amp;Result=3","7079435")</f>
        <v>0</v>
      </c>
      <c r="B5299" t="s">
        <v>1827</v>
      </c>
      <c r="C5299" t="s">
        <v>8473</v>
      </c>
      <c r="D5299" t="s">
        <v>17469</v>
      </c>
      <c r="E5299" t="s">
        <v>22087</v>
      </c>
      <c r="F5299" t="s">
        <v>30052</v>
      </c>
      <c r="G5299" t="s">
        <v>30059</v>
      </c>
      <c r="H5299" t="s">
        <v>15498</v>
      </c>
      <c r="I5299" t="s">
        <v>3736</v>
      </c>
      <c r="J5299" t="s">
        <v>33566</v>
      </c>
      <c r="K5299" t="s">
        <v>39034</v>
      </c>
      <c r="M5299" t="s">
        <v>41250</v>
      </c>
      <c r="N5299" t="s">
        <v>43166</v>
      </c>
      <c r="O5299" t="s">
        <v>43167</v>
      </c>
      <c r="P5299">
        <v>0</v>
      </c>
      <c r="Q5299">
        <v>0</v>
      </c>
      <c r="R5299" t="s">
        <v>43172</v>
      </c>
      <c r="S5299" t="s">
        <v>43334</v>
      </c>
      <c r="T5299" t="s">
        <v>44844</v>
      </c>
      <c r="U5299" t="s">
        <v>49534</v>
      </c>
      <c r="W5299" t="s">
        <v>41250</v>
      </c>
      <c r="X5299" t="s">
        <v>43173</v>
      </c>
    </row>
    <row r="5300" spans="1:24">
      <c r="A5300">
        <f>HYPERLINK("https://www.philgeps.gov.ph/GEPSNONPILOT/Tender/SplashBidNoticeAbstractUI.aspx?menuIndex=3&amp;refID=7079497&amp;Result=3","7079497")</f>
        <v>0</v>
      </c>
      <c r="B5300" t="s">
        <v>1777</v>
      </c>
      <c r="C5300" t="s">
        <v>8474</v>
      </c>
      <c r="D5300" t="s">
        <v>17461</v>
      </c>
      <c r="E5300" t="s">
        <v>22088</v>
      </c>
      <c r="F5300" t="s">
        <v>30052</v>
      </c>
      <c r="G5300" t="s">
        <v>30059</v>
      </c>
      <c r="H5300" t="s">
        <v>15498</v>
      </c>
      <c r="I5300" t="s">
        <v>30073</v>
      </c>
      <c r="J5300" t="s">
        <v>31585</v>
      </c>
      <c r="K5300" t="s">
        <v>39029</v>
      </c>
      <c r="M5300" t="s">
        <v>41197</v>
      </c>
      <c r="N5300" t="s">
        <v>43166</v>
      </c>
      <c r="O5300" t="s">
        <v>43167</v>
      </c>
      <c r="P5300">
        <v>0</v>
      </c>
      <c r="Q5300">
        <v>0</v>
      </c>
      <c r="R5300" t="s">
        <v>43172</v>
      </c>
      <c r="S5300" t="s">
        <v>43334</v>
      </c>
      <c r="T5300" t="s">
        <v>44696</v>
      </c>
      <c r="U5300" t="s">
        <v>49535</v>
      </c>
      <c r="W5300" t="s">
        <v>41197</v>
      </c>
      <c r="X5300" t="s">
        <v>43173</v>
      </c>
    </row>
    <row r="5301" spans="1:24">
      <c r="A5301">
        <f>HYPERLINK("https://www.philgeps.gov.ph/GEPSNONPILOT/Tender/SplashBidNoticeAbstractUI.aspx?menuIndex=3&amp;refID=7079533&amp;Result=3","7079533")</f>
        <v>0</v>
      </c>
      <c r="B5301" t="s">
        <v>170</v>
      </c>
      <c r="C5301" t="s">
        <v>8475</v>
      </c>
      <c r="D5301" t="s">
        <v>17475</v>
      </c>
      <c r="E5301" t="s">
        <v>22089</v>
      </c>
      <c r="F5301" t="s">
        <v>30052</v>
      </c>
      <c r="G5301" t="s">
        <v>30059</v>
      </c>
      <c r="H5301" t="s">
        <v>15498</v>
      </c>
      <c r="I5301" t="s">
        <v>3736</v>
      </c>
      <c r="J5301" t="s">
        <v>33567</v>
      </c>
      <c r="K5301" t="s">
        <v>39018</v>
      </c>
      <c r="M5301" t="s">
        <v>39459</v>
      </c>
      <c r="N5301" t="s">
        <v>43166</v>
      </c>
      <c r="O5301" t="s">
        <v>43167</v>
      </c>
      <c r="P5301">
        <v>0</v>
      </c>
      <c r="Q5301">
        <v>0</v>
      </c>
      <c r="R5301" t="s">
        <v>43172</v>
      </c>
      <c r="S5301" t="s">
        <v>43334</v>
      </c>
      <c r="T5301" t="s">
        <v>44739</v>
      </c>
      <c r="U5301" t="s">
        <v>49536</v>
      </c>
      <c r="W5301" t="s">
        <v>39459</v>
      </c>
      <c r="X5301" t="s">
        <v>43173</v>
      </c>
    </row>
    <row r="5302" spans="1:24">
      <c r="A5302">
        <f>HYPERLINK("https://www.philgeps.gov.ph/GEPSNONPILOT/Tender/SplashBidNoticeAbstractUI.aspx?menuIndex=3&amp;refID=7079503&amp;Result=3","7079503")</f>
        <v>0</v>
      </c>
      <c r="B5302" t="s">
        <v>1792</v>
      </c>
      <c r="C5302" t="s">
        <v>8476</v>
      </c>
      <c r="D5302" t="s">
        <v>17432</v>
      </c>
      <c r="E5302" t="s">
        <v>21970</v>
      </c>
      <c r="F5302" t="s">
        <v>30052</v>
      </c>
      <c r="G5302" t="s">
        <v>30060</v>
      </c>
      <c r="H5302" t="s">
        <v>15498</v>
      </c>
      <c r="I5302" t="s">
        <v>30108</v>
      </c>
      <c r="J5302" t="s">
        <v>30358</v>
      </c>
      <c r="K5302" t="s">
        <v>39034</v>
      </c>
      <c r="M5302" t="s">
        <v>41214</v>
      </c>
      <c r="N5302" t="s">
        <v>43166</v>
      </c>
      <c r="O5302" t="s">
        <v>43167</v>
      </c>
      <c r="P5302">
        <v>0</v>
      </c>
      <c r="Q5302">
        <v>2</v>
      </c>
      <c r="R5302" t="s">
        <v>43172</v>
      </c>
      <c r="S5302" t="s">
        <v>43334</v>
      </c>
      <c r="T5302" t="s">
        <v>44714</v>
      </c>
      <c r="U5302" t="s">
        <v>49537</v>
      </c>
      <c r="W5302" t="s">
        <v>41214</v>
      </c>
      <c r="X5302" t="s">
        <v>43173</v>
      </c>
    </row>
    <row r="5303" spans="1:24">
      <c r="A5303">
        <f>HYPERLINK("https://www.philgeps.gov.ph/GEPSNONPILOT/Tender/SplashBidNoticeAbstractUI.aspx?menuIndex=3&amp;refID=7079532&amp;Result=3","7079532")</f>
        <v>0</v>
      </c>
      <c r="B5303" t="s">
        <v>1797</v>
      </c>
      <c r="C5303" t="s">
        <v>8477</v>
      </c>
      <c r="D5303" t="s">
        <v>17415</v>
      </c>
      <c r="E5303" t="s">
        <v>22090</v>
      </c>
      <c r="F5303" t="s">
        <v>30052</v>
      </c>
      <c r="G5303" t="s">
        <v>30059</v>
      </c>
      <c r="H5303" t="s">
        <v>30067</v>
      </c>
      <c r="I5303" t="s">
        <v>3693</v>
      </c>
      <c r="J5303" t="s">
        <v>33568</v>
      </c>
      <c r="K5303" t="s">
        <v>39017</v>
      </c>
      <c r="M5303" t="s">
        <v>41220</v>
      </c>
      <c r="N5303" t="s">
        <v>43166</v>
      </c>
      <c r="O5303" t="s">
        <v>43167</v>
      </c>
      <c r="P5303">
        <v>0</v>
      </c>
      <c r="Q5303">
        <v>0</v>
      </c>
      <c r="R5303" t="s">
        <v>43172</v>
      </c>
      <c r="S5303" t="s">
        <v>43334</v>
      </c>
      <c r="T5303" t="s">
        <v>44767</v>
      </c>
      <c r="U5303" t="s">
        <v>49538</v>
      </c>
      <c r="W5303" t="s">
        <v>41220</v>
      </c>
      <c r="X5303" t="s">
        <v>43173</v>
      </c>
    </row>
    <row r="5304" spans="1:24">
      <c r="A5304">
        <f>HYPERLINK("https://www.philgeps.gov.ph/GEPSNONPILOT/Tender/SplashBidNoticeAbstractUI.aspx?menuIndex=3&amp;refID=7079530&amp;Result=3","7079530")</f>
        <v>0</v>
      </c>
      <c r="B5304" t="s">
        <v>1828</v>
      </c>
      <c r="C5304" t="s">
        <v>8478</v>
      </c>
      <c r="D5304" t="s">
        <v>17488</v>
      </c>
      <c r="E5304" t="s">
        <v>22091</v>
      </c>
      <c r="F5304" t="s">
        <v>30052</v>
      </c>
      <c r="G5304" t="s">
        <v>30058</v>
      </c>
      <c r="H5304" t="s">
        <v>30067</v>
      </c>
      <c r="I5304" t="s">
        <v>3693</v>
      </c>
      <c r="J5304" t="s">
        <v>31198</v>
      </c>
      <c r="K5304" t="s">
        <v>39065</v>
      </c>
      <c r="L5304" t="s">
        <v>1828</v>
      </c>
      <c r="M5304" t="s">
        <v>41251</v>
      </c>
      <c r="N5304" t="s">
        <v>43166</v>
      </c>
      <c r="O5304" t="s">
        <v>43167</v>
      </c>
      <c r="P5304">
        <v>0</v>
      </c>
      <c r="Q5304">
        <v>0</v>
      </c>
      <c r="R5304" t="s">
        <v>43172</v>
      </c>
      <c r="S5304" t="s">
        <v>43334</v>
      </c>
      <c r="T5304" t="s">
        <v>44716</v>
      </c>
      <c r="U5304" t="s">
        <v>49539</v>
      </c>
      <c r="W5304" t="s">
        <v>41251</v>
      </c>
      <c r="X5304" t="s">
        <v>43173</v>
      </c>
    </row>
    <row r="5305" spans="1:24">
      <c r="A5305">
        <f>HYPERLINK("https://www.philgeps.gov.ph/GEPSNONPILOT/Tender/SplashBidNoticeAbstractUI.aspx?menuIndex=3&amp;refID=7079528&amp;Result=3","7079528")</f>
        <v>0</v>
      </c>
      <c r="B5305" t="s">
        <v>1690</v>
      </c>
      <c r="C5305" t="s">
        <v>8479</v>
      </c>
      <c r="D5305" t="s">
        <v>17454</v>
      </c>
      <c r="E5305" t="s">
        <v>22092</v>
      </c>
      <c r="F5305" t="s">
        <v>30052</v>
      </c>
      <c r="G5305" t="s">
        <v>30058</v>
      </c>
      <c r="H5305" t="s">
        <v>30067</v>
      </c>
      <c r="I5305" t="s">
        <v>3693</v>
      </c>
      <c r="J5305" t="s">
        <v>33569</v>
      </c>
      <c r="K5305" t="s">
        <v>39023</v>
      </c>
      <c r="M5305" t="s">
        <v>41252</v>
      </c>
      <c r="N5305" t="s">
        <v>43166</v>
      </c>
      <c r="O5305" t="s">
        <v>43167</v>
      </c>
      <c r="P5305">
        <v>0</v>
      </c>
      <c r="Q5305">
        <v>0</v>
      </c>
      <c r="R5305" t="s">
        <v>43172</v>
      </c>
      <c r="S5305" t="s">
        <v>43334</v>
      </c>
      <c r="T5305" t="s">
        <v>44722</v>
      </c>
      <c r="U5305" t="s">
        <v>49540</v>
      </c>
      <c r="W5305" t="s">
        <v>41252</v>
      </c>
      <c r="X5305" t="s">
        <v>43173</v>
      </c>
    </row>
    <row r="5306" spans="1:24">
      <c r="A5306">
        <f>HYPERLINK("https://www.philgeps.gov.ph/GEPSNONPILOT/Tender/SplashBidNoticeAbstractUI.aspx?menuIndex=3&amp;refID=7079513&amp;Result=3","7079513")</f>
        <v>0</v>
      </c>
      <c r="B5306" t="s">
        <v>1100</v>
      </c>
      <c r="C5306" t="s">
        <v>8480</v>
      </c>
      <c r="D5306" t="s">
        <v>17466</v>
      </c>
      <c r="E5306" t="s">
        <v>22093</v>
      </c>
      <c r="F5306" t="s">
        <v>30052</v>
      </c>
      <c r="G5306" t="s">
        <v>30059</v>
      </c>
      <c r="H5306" t="s">
        <v>15498</v>
      </c>
      <c r="I5306" t="s">
        <v>30081</v>
      </c>
      <c r="J5306" t="s">
        <v>30585</v>
      </c>
      <c r="K5306" t="s">
        <v>39025</v>
      </c>
      <c r="M5306" t="s">
        <v>40439</v>
      </c>
      <c r="N5306" t="s">
        <v>43166</v>
      </c>
      <c r="O5306" t="s">
        <v>43167</v>
      </c>
      <c r="P5306">
        <v>0</v>
      </c>
      <c r="Q5306">
        <v>1</v>
      </c>
      <c r="R5306" t="s">
        <v>43172</v>
      </c>
      <c r="S5306" t="s">
        <v>43334</v>
      </c>
      <c r="T5306" t="s">
        <v>44685</v>
      </c>
      <c r="U5306" t="s">
        <v>49541</v>
      </c>
      <c r="W5306" t="s">
        <v>40439</v>
      </c>
      <c r="X5306" t="s">
        <v>43173</v>
      </c>
    </row>
    <row r="5307" spans="1:24">
      <c r="A5307">
        <f>HYPERLINK("https://www.philgeps.gov.ph/GEPSNONPILOT/Tender/SplashBidNoticeAbstractUI.aspx?menuIndex=3&amp;refID=7079540&amp;Result=3","7079540")</f>
        <v>0</v>
      </c>
      <c r="B5307" t="s">
        <v>1829</v>
      </c>
      <c r="C5307" t="s">
        <v>8481</v>
      </c>
      <c r="D5307" t="s">
        <v>17487</v>
      </c>
      <c r="E5307" t="s">
        <v>22094</v>
      </c>
      <c r="F5307" t="s">
        <v>30052</v>
      </c>
      <c r="G5307" t="s">
        <v>30058</v>
      </c>
      <c r="H5307" t="s">
        <v>30067</v>
      </c>
      <c r="I5307" t="s">
        <v>3693</v>
      </c>
      <c r="J5307" t="s">
        <v>32291</v>
      </c>
      <c r="K5307" t="s">
        <v>39022</v>
      </c>
      <c r="M5307" t="s">
        <v>41253</v>
      </c>
      <c r="N5307" t="s">
        <v>43166</v>
      </c>
      <c r="O5307" t="s">
        <v>43167</v>
      </c>
      <c r="P5307">
        <v>0</v>
      </c>
      <c r="Q5307">
        <v>2</v>
      </c>
      <c r="R5307" t="s">
        <v>43172</v>
      </c>
      <c r="S5307" t="s">
        <v>43334</v>
      </c>
      <c r="T5307" t="s">
        <v>44722</v>
      </c>
      <c r="U5307" t="s">
        <v>49542</v>
      </c>
      <c r="W5307" t="s">
        <v>41253</v>
      </c>
      <c r="X5307" t="s">
        <v>43173</v>
      </c>
    </row>
    <row r="5308" spans="1:24">
      <c r="A5308">
        <f>HYPERLINK("https://www.philgeps.gov.ph/GEPSNONPILOT/Tender/SplashBidNoticeAbstractUI.aspx?menuIndex=3&amp;refID=7079531&amp;Result=3","7079531")</f>
        <v>0</v>
      </c>
      <c r="B5308" t="s">
        <v>1403</v>
      </c>
      <c r="C5308" t="s">
        <v>8482</v>
      </c>
      <c r="D5308" t="s">
        <v>17441</v>
      </c>
      <c r="E5308" t="s">
        <v>22095</v>
      </c>
      <c r="F5308" t="s">
        <v>30052</v>
      </c>
      <c r="G5308" t="s">
        <v>30059</v>
      </c>
      <c r="H5308" t="s">
        <v>15498</v>
      </c>
      <c r="I5308" t="s">
        <v>30097</v>
      </c>
      <c r="J5308" t="s">
        <v>33570</v>
      </c>
      <c r="K5308" t="s">
        <v>39025</v>
      </c>
      <c r="M5308" t="s">
        <v>40780</v>
      </c>
      <c r="N5308" t="s">
        <v>43166</v>
      </c>
      <c r="O5308" t="s">
        <v>43167</v>
      </c>
      <c r="P5308">
        <v>0</v>
      </c>
      <c r="Q5308">
        <v>2</v>
      </c>
      <c r="R5308" t="s">
        <v>43172</v>
      </c>
      <c r="S5308" t="s">
        <v>43334</v>
      </c>
      <c r="T5308" t="s">
        <v>44773</v>
      </c>
      <c r="U5308" t="s">
        <v>49543</v>
      </c>
      <c r="W5308" t="s">
        <v>40780</v>
      </c>
      <c r="X5308" t="s">
        <v>43173</v>
      </c>
    </row>
    <row r="5309" spans="1:24">
      <c r="A5309">
        <f>HYPERLINK("https://www.philgeps.gov.ph/GEPSNONPILOT/Tender/SplashBidNoticeAbstractUI.aspx?menuIndex=3&amp;refID=7079520&amp;Result=3","7079520")</f>
        <v>0</v>
      </c>
      <c r="B5309" t="s">
        <v>1418</v>
      </c>
      <c r="C5309" t="s">
        <v>8483</v>
      </c>
      <c r="D5309" t="s">
        <v>17449</v>
      </c>
      <c r="E5309" t="s">
        <v>22096</v>
      </c>
      <c r="F5309" t="s">
        <v>30052</v>
      </c>
      <c r="G5309" t="s">
        <v>30058</v>
      </c>
      <c r="H5309" t="s">
        <v>15498</v>
      </c>
      <c r="I5309" t="s">
        <v>3852</v>
      </c>
      <c r="J5309" t="s">
        <v>33571</v>
      </c>
      <c r="K5309" t="s">
        <v>39059</v>
      </c>
      <c r="M5309" t="s">
        <v>40796</v>
      </c>
      <c r="N5309" t="s">
        <v>43166</v>
      </c>
      <c r="O5309" t="s">
        <v>43167</v>
      </c>
      <c r="P5309">
        <v>0</v>
      </c>
      <c r="Q5309">
        <v>3</v>
      </c>
      <c r="R5309" t="s">
        <v>43172</v>
      </c>
      <c r="S5309" t="s">
        <v>43334</v>
      </c>
      <c r="T5309" t="s">
        <v>44691</v>
      </c>
      <c r="U5309" t="s">
        <v>49544</v>
      </c>
      <c r="W5309" t="s">
        <v>40796</v>
      </c>
      <c r="X5309" t="s">
        <v>43173</v>
      </c>
    </row>
    <row r="5310" spans="1:24">
      <c r="A5310">
        <f>HYPERLINK("https://www.philgeps.gov.ph/GEPSNONPILOT/Tender/SplashBidNoticeAbstractUI.aspx?menuIndex=3&amp;refID=7079516&amp;Result=3","7079516")</f>
        <v>0</v>
      </c>
      <c r="B5310" t="s">
        <v>814</v>
      </c>
      <c r="C5310" t="s">
        <v>8484</v>
      </c>
      <c r="D5310" t="s">
        <v>17424</v>
      </c>
      <c r="E5310" t="s">
        <v>22097</v>
      </c>
      <c r="F5310" t="s">
        <v>30052</v>
      </c>
      <c r="G5310" t="s">
        <v>30059</v>
      </c>
      <c r="H5310" t="s">
        <v>15498</v>
      </c>
      <c r="I5310" t="s">
        <v>30097</v>
      </c>
      <c r="J5310" t="s">
        <v>31412</v>
      </c>
      <c r="K5310" t="s">
        <v>39017</v>
      </c>
      <c r="M5310" t="s">
        <v>40131</v>
      </c>
      <c r="N5310" t="s">
        <v>43166</v>
      </c>
      <c r="O5310" t="s">
        <v>43167</v>
      </c>
      <c r="P5310">
        <v>0</v>
      </c>
      <c r="Q5310">
        <v>6</v>
      </c>
      <c r="R5310" t="s">
        <v>43172</v>
      </c>
      <c r="S5310" t="s">
        <v>43334</v>
      </c>
      <c r="T5310" t="s">
        <v>44685</v>
      </c>
      <c r="U5310" t="s">
        <v>49545</v>
      </c>
      <c r="W5310" t="s">
        <v>40131</v>
      </c>
      <c r="X5310" t="s">
        <v>43173</v>
      </c>
    </row>
    <row r="5311" spans="1:24">
      <c r="A5311">
        <f>HYPERLINK("https://www.philgeps.gov.ph/GEPSNONPILOT/Tender/SplashBidNoticeAbstractUI.aspx?menuIndex=3&amp;refID=7079545&amp;Result=3","7079545")</f>
        <v>0</v>
      </c>
      <c r="B5311" t="s">
        <v>1830</v>
      </c>
      <c r="C5311" t="s">
        <v>8485</v>
      </c>
      <c r="E5311" t="s">
        <v>22098</v>
      </c>
      <c r="F5311" t="s">
        <v>30052</v>
      </c>
      <c r="G5311" t="s">
        <v>30059</v>
      </c>
      <c r="H5311" t="s">
        <v>15498</v>
      </c>
      <c r="I5311" t="s">
        <v>30185</v>
      </c>
      <c r="J5311" t="s">
        <v>33572</v>
      </c>
      <c r="K5311" t="s">
        <v>39025</v>
      </c>
      <c r="M5311" t="s">
        <v>41254</v>
      </c>
      <c r="N5311" t="s">
        <v>43166</v>
      </c>
      <c r="O5311" t="s">
        <v>43167</v>
      </c>
      <c r="P5311">
        <v>0</v>
      </c>
      <c r="Q5311">
        <v>1</v>
      </c>
      <c r="R5311" t="s">
        <v>43172</v>
      </c>
      <c r="S5311" t="s">
        <v>43334</v>
      </c>
      <c r="T5311" t="s">
        <v>44705</v>
      </c>
      <c r="U5311" t="s">
        <v>45722</v>
      </c>
      <c r="W5311" t="s">
        <v>41254</v>
      </c>
      <c r="X5311" t="s">
        <v>43173</v>
      </c>
    </row>
    <row r="5312" spans="1:24">
      <c r="A5312">
        <f>HYPERLINK("https://www.philgeps.gov.ph/GEPSNONPILOT/Tender/SplashBidNoticeAbstractUI.aspx?menuIndex=3&amp;refID=7079511&amp;Result=3","7079511")</f>
        <v>0</v>
      </c>
      <c r="B5312" t="s">
        <v>1681</v>
      </c>
      <c r="C5312" t="s">
        <v>8486</v>
      </c>
      <c r="D5312" t="s">
        <v>17424</v>
      </c>
      <c r="E5312" t="s">
        <v>22099</v>
      </c>
      <c r="F5312" t="s">
        <v>30055</v>
      </c>
      <c r="G5312" t="s">
        <v>30059</v>
      </c>
      <c r="H5312" t="s">
        <v>15498</v>
      </c>
      <c r="I5312" t="s">
        <v>30093</v>
      </c>
      <c r="J5312" t="s">
        <v>30230</v>
      </c>
      <c r="K5312" t="s">
        <v>39019</v>
      </c>
      <c r="M5312" t="s">
        <v>41088</v>
      </c>
      <c r="N5312" t="s">
        <v>43166</v>
      </c>
      <c r="O5312" t="s">
        <v>43167</v>
      </c>
      <c r="P5312">
        <v>0</v>
      </c>
      <c r="Q5312">
        <v>0</v>
      </c>
      <c r="R5312" t="s">
        <v>43172</v>
      </c>
      <c r="S5312" t="s">
        <v>43334</v>
      </c>
      <c r="T5312" t="s">
        <v>44685</v>
      </c>
      <c r="U5312" t="s">
        <v>49546</v>
      </c>
      <c r="W5312" t="s">
        <v>41088</v>
      </c>
      <c r="X5312" t="s">
        <v>43173</v>
      </c>
    </row>
    <row r="5313" spans="1:24">
      <c r="A5313">
        <f>HYPERLINK("https://www.philgeps.gov.ph/GEPSNONPILOT/Tender/SplashBidNoticeAbstractUI.aspx?menuIndex=3&amp;refID=7079543&amp;Result=3","7079543")</f>
        <v>0</v>
      </c>
      <c r="B5313" t="s">
        <v>1777</v>
      </c>
      <c r="C5313" t="s">
        <v>8487</v>
      </c>
      <c r="D5313" t="s">
        <v>17461</v>
      </c>
      <c r="E5313" t="s">
        <v>22100</v>
      </c>
      <c r="F5313" t="s">
        <v>30052</v>
      </c>
      <c r="G5313" t="s">
        <v>30059</v>
      </c>
      <c r="H5313" t="s">
        <v>15498</v>
      </c>
      <c r="I5313" t="s">
        <v>6691</v>
      </c>
      <c r="J5313" t="s">
        <v>33175</v>
      </c>
      <c r="K5313" t="s">
        <v>39029</v>
      </c>
      <c r="M5313" t="s">
        <v>41197</v>
      </c>
      <c r="N5313" t="s">
        <v>43166</v>
      </c>
      <c r="O5313" t="s">
        <v>43167</v>
      </c>
      <c r="P5313">
        <v>0</v>
      </c>
      <c r="Q5313">
        <v>0</v>
      </c>
      <c r="R5313" t="s">
        <v>43172</v>
      </c>
      <c r="S5313" t="s">
        <v>43334</v>
      </c>
      <c r="T5313" t="s">
        <v>44696</v>
      </c>
      <c r="U5313" t="s">
        <v>49547</v>
      </c>
      <c r="W5313" t="s">
        <v>41197</v>
      </c>
      <c r="X5313" t="s">
        <v>43173</v>
      </c>
    </row>
    <row r="5314" spans="1:24">
      <c r="A5314">
        <f>HYPERLINK("https://www.philgeps.gov.ph/GEPSNONPILOT/Tender/SplashBidNoticeAbstractUI.aspx?menuIndex=3&amp;refID=7079542&amp;Result=3","7079542")</f>
        <v>0</v>
      </c>
      <c r="B5314" t="s">
        <v>1831</v>
      </c>
      <c r="C5314" t="s">
        <v>8488</v>
      </c>
      <c r="D5314" t="s">
        <v>17421</v>
      </c>
      <c r="E5314" t="s">
        <v>22101</v>
      </c>
      <c r="F5314" t="s">
        <v>30052</v>
      </c>
      <c r="G5314" t="s">
        <v>30058</v>
      </c>
      <c r="H5314" t="s">
        <v>15498</v>
      </c>
      <c r="I5314" t="s">
        <v>3736</v>
      </c>
      <c r="J5314" t="s">
        <v>33573</v>
      </c>
      <c r="K5314" t="s">
        <v>39017</v>
      </c>
      <c r="M5314" t="s">
        <v>41255</v>
      </c>
      <c r="N5314" t="s">
        <v>43166</v>
      </c>
      <c r="O5314" t="s">
        <v>43167</v>
      </c>
      <c r="P5314">
        <v>0</v>
      </c>
      <c r="Q5314">
        <v>0</v>
      </c>
      <c r="R5314" t="s">
        <v>43172</v>
      </c>
      <c r="S5314" t="s">
        <v>43334</v>
      </c>
      <c r="T5314" t="s">
        <v>44696</v>
      </c>
      <c r="U5314" t="s">
        <v>45564</v>
      </c>
      <c r="W5314" t="s">
        <v>41255</v>
      </c>
      <c r="X5314" t="s">
        <v>43173</v>
      </c>
    </row>
    <row r="5315" spans="1:24">
      <c r="A5315">
        <f>HYPERLINK("https://www.philgeps.gov.ph/GEPSNONPILOT/Tender/SplashBidNoticeAbstractUI.aspx?menuIndex=3&amp;refID=7079541&amp;Result=3","7079541")</f>
        <v>0</v>
      </c>
      <c r="B5315" t="s">
        <v>1808</v>
      </c>
      <c r="C5315" t="s">
        <v>8489</v>
      </c>
      <c r="D5315" t="s">
        <v>17485</v>
      </c>
      <c r="E5315" t="s">
        <v>22102</v>
      </c>
      <c r="F5315" t="s">
        <v>30052</v>
      </c>
      <c r="G5315" t="s">
        <v>30059</v>
      </c>
      <c r="H5315" t="s">
        <v>15498</v>
      </c>
      <c r="I5315" t="s">
        <v>3736</v>
      </c>
      <c r="J5315" t="s">
        <v>33574</v>
      </c>
      <c r="K5315" t="s">
        <v>39017</v>
      </c>
      <c r="M5315" t="s">
        <v>41231</v>
      </c>
      <c r="N5315" t="s">
        <v>43166</v>
      </c>
      <c r="O5315" t="s">
        <v>43167</v>
      </c>
      <c r="P5315">
        <v>0</v>
      </c>
      <c r="Q5315">
        <v>0</v>
      </c>
      <c r="R5315" t="s">
        <v>43172</v>
      </c>
      <c r="S5315" t="s">
        <v>43334</v>
      </c>
      <c r="T5315" t="s">
        <v>44691</v>
      </c>
      <c r="U5315" t="s">
        <v>49471</v>
      </c>
      <c r="W5315" t="s">
        <v>41231</v>
      </c>
      <c r="X5315" t="s">
        <v>43173</v>
      </c>
    </row>
    <row r="5316" spans="1:24">
      <c r="A5316">
        <f>HYPERLINK("https://www.philgeps.gov.ph/GEPSNONPILOT/Tender/SplashBidNoticeAbstractUI.aspx?menuIndex=3&amp;refID=7079515&amp;Result=3","7079515")</f>
        <v>0</v>
      </c>
      <c r="B5316" t="s">
        <v>1818</v>
      </c>
      <c r="C5316" t="s">
        <v>8490</v>
      </c>
      <c r="D5316" t="s">
        <v>17458</v>
      </c>
      <c r="E5316" t="s">
        <v>22061</v>
      </c>
      <c r="F5316" t="s">
        <v>30052</v>
      </c>
      <c r="G5316" t="s">
        <v>30058</v>
      </c>
      <c r="H5316" t="s">
        <v>30068</v>
      </c>
      <c r="I5316" t="s">
        <v>30166</v>
      </c>
      <c r="J5316" t="s">
        <v>33575</v>
      </c>
      <c r="K5316" t="s">
        <v>39025</v>
      </c>
      <c r="M5316" t="s">
        <v>41241</v>
      </c>
      <c r="N5316" t="s">
        <v>43166</v>
      </c>
      <c r="O5316" t="s">
        <v>43167</v>
      </c>
      <c r="P5316">
        <v>0</v>
      </c>
      <c r="Q5316">
        <v>4</v>
      </c>
      <c r="R5316" t="s">
        <v>43172</v>
      </c>
      <c r="S5316" t="s">
        <v>43334</v>
      </c>
      <c r="T5316" t="s">
        <v>44677</v>
      </c>
      <c r="U5316" t="s">
        <v>49548</v>
      </c>
      <c r="W5316" t="s">
        <v>41241</v>
      </c>
      <c r="X5316" t="s">
        <v>43173</v>
      </c>
    </row>
    <row r="5317" spans="1:24">
      <c r="A5317">
        <f>HYPERLINK("https://www.philgeps.gov.ph/GEPSNONPILOT/Tender/SplashBidNoticeAbstractUI.aspx?menuIndex=3&amp;refID=7079572&amp;Result=3","7079572")</f>
        <v>0</v>
      </c>
      <c r="B5317" t="s">
        <v>701</v>
      </c>
      <c r="C5317" t="s">
        <v>8491</v>
      </c>
      <c r="D5317" t="s">
        <v>17419</v>
      </c>
      <c r="E5317" t="s">
        <v>22103</v>
      </c>
      <c r="F5317" t="s">
        <v>30052</v>
      </c>
      <c r="G5317" t="s">
        <v>30060</v>
      </c>
      <c r="H5317" t="s">
        <v>30067</v>
      </c>
      <c r="I5317" t="s">
        <v>3693</v>
      </c>
      <c r="J5317" t="s">
        <v>33576</v>
      </c>
      <c r="K5317" t="s">
        <v>39025</v>
      </c>
      <c r="M5317" t="s">
        <v>40858</v>
      </c>
      <c r="N5317" t="s">
        <v>43166</v>
      </c>
      <c r="O5317" t="s">
        <v>43167</v>
      </c>
      <c r="P5317">
        <v>0</v>
      </c>
      <c r="Q5317">
        <v>0</v>
      </c>
      <c r="R5317" t="s">
        <v>43172</v>
      </c>
      <c r="S5317" t="s">
        <v>43334</v>
      </c>
      <c r="T5317" t="s">
        <v>44699</v>
      </c>
      <c r="U5317" t="s">
        <v>49549</v>
      </c>
      <c r="W5317" t="s">
        <v>40858</v>
      </c>
      <c r="X5317" t="s">
        <v>43173</v>
      </c>
    </row>
    <row r="5318" spans="1:24">
      <c r="A5318">
        <f>HYPERLINK("https://www.philgeps.gov.ph/GEPSNONPILOT/Tender/SplashBidNoticeAbstractUI.aspx?menuIndex=3&amp;refID=7079546&amp;Result=3","7079546")</f>
        <v>0</v>
      </c>
      <c r="B5318" t="s">
        <v>1832</v>
      </c>
      <c r="C5318" t="s">
        <v>8492</v>
      </c>
      <c r="D5318" t="s">
        <v>17422</v>
      </c>
      <c r="E5318" t="s">
        <v>22104</v>
      </c>
      <c r="F5318" t="s">
        <v>30052</v>
      </c>
      <c r="G5318" t="s">
        <v>30059</v>
      </c>
      <c r="H5318" t="s">
        <v>30069</v>
      </c>
      <c r="I5318" t="s">
        <v>30077</v>
      </c>
      <c r="J5318" t="s">
        <v>30591</v>
      </c>
      <c r="K5318" t="s">
        <v>39039</v>
      </c>
      <c r="M5318" t="s">
        <v>41256</v>
      </c>
      <c r="N5318" t="s">
        <v>43166</v>
      </c>
      <c r="O5318" t="s">
        <v>43167</v>
      </c>
      <c r="P5318">
        <v>0</v>
      </c>
      <c r="Q5318">
        <v>7</v>
      </c>
      <c r="R5318" t="s">
        <v>43172</v>
      </c>
      <c r="S5318" t="s">
        <v>43334</v>
      </c>
      <c r="T5318" t="s">
        <v>44735</v>
      </c>
      <c r="U5318" t="s">
        <v>49550</v>
      </c>
      <c r="V5318" t="s">
        <v>57416</v>
      </c>
      <c r="W5318" t="s">
        <v>41256</v>
      </c>
      <c r="X5318" t="s">
        <v>43173</v>
      </c>
    </row>
    <row r="5319" spans="1:24">
      <c r="A5319">
        <f>HYPERLINK("https://www.philgeps.gov.ph/GEPSNONPILOT/Tender/SplashBidNoticeAbstractUI.aspx?menuIndex=3&amp;refID=7079570&amp;Result=3","7079570")</f>
        <v>0</v>
      </c>
      <c r="B5319" t="s">
        <v>1797</v>
      </c>
      <c r="C5319" t="s">
        <v>8493</v>
      </c>
      <c r="D5319" t="s">
        <v>17415</v>
      </c>
      <c r="E5319" t="s">
        <v>22105</v>
      </c>
      <c r="F5319" t="s">
        <v>30052</v>
      </c>
      <c r="G5319" t="s">
        <v>30059</v>
      </c>
      <c r="H5319" t="s">
        <v>30067</v>
      </c>
      <c r="I5319" t="s">
        <v>3693</v>
      </c>
      <c r="J5319" t="s">
        <v>33577</v>
      </c>
      <c r="K5319" t="s">
        <v>39025</v>
      </c>
      <c r="M5319" t="s">
        <v>41220</v>
      </c>
      <c r="N5319" t="s">
        <v>43166</v>
      </c>
      <c r="O5319" t="s">
        <v>43167</v>
      </c>
      <c r="P5319">
        <v>0</v>
      </c>
      <c r="Q5319">
        <v>0</v>
      </c>
      <c r="R5319" t="s">
        <v>43172</v>
      </c>
      <c r="S5319" t="s">
        <v>43334</v>
      </c>
      <c r="T5319" t="s">
        <v>44767</v>
      </c>
      <c r="U5319" t="s">
        <v>49551</v>
      </c>
      <c r="W5319" t="s">
        <v>41220</v>
      </c>
      <c r="X5319" t="s">
        <v>43173</v>
      </c>
    </row>
    <row r="5320" spans="1:24">
      <c r="A5320">
        <f>HYPERLINK("https://www.philgeps.gov.ph/GEPSNONPILOT/Tender/SplashBidNoticeAbstractUI.aspx?menuIndex=3&amp;refID=7079566&amp;Result=3","7079566")</f>
        <v>0</v>
      </c>
      <c r="B5320" t="s">
        <v>1777</v>
      </c>
      <c r="C5320" t="s">
        <v>8494</v>
      </c>
      <c r="D5320" t="s">
        <v>17461</v>
      </c>
      <c r="E5320" t="s">
        <v>22106</v>
      </c>
      <c r="F5320" t="s">
        <v>30052</v>
      </c>
      <c r="G5320" t="s">
        <v>30059</v>
      </c>
      <c r="H5320" t="s">
        <v>15498</v>
      </c>
      <c r="I5320" t="s">
        <v>8323</v>
      </c>
      <c r="J5320" t="s">
        <v>31697</v>
      </c>
      <c r="K5320" t="s">
        <v>39029</v>
      </c>
      <c r="M5320" t="s">
        <v>41197</v>
      </c>
      <c r="N5320" t="s">
        <v>43166</v>
      </c>
      <c r="O5320" t="s">
        <v>43167</v>
      </c>
      <c r="P5320">
        <v>0</v>
      </c>
      <c r="Q5320">
        <v>1</v>
      </c>
      <c r="R5320" t="s">
        <v>43172</v>
      </c>
      <c r="S5320" t="s">
        <v>43334</v>
      </c>
      <c r="T5320" t="s">
        <v>44696</v>
      </c>
      <c r="U5320" t="s">
        <v>49552</v>
      </c>
      <c r="W5320" t="s">
        <v>41197</v>
      </c>
      <c r="X5320" t="s">
        <v>43173</v>
      </c>
    </row>
    <row r="5321" spans="1:24">
      <c r="A5321">
        <f>HYPERLINK("https://www.philgeps.gov.ph/GEPSNONPILOT/Tender/SplashBidNoticeAbstractUI.aspx?menuIndex=3&amp;refID=7079524&amp;Result=3","7079524")</f>
        <v>0</v>
      </c>
      <c r="B5321" t="s">
        <v>1833</v>
      </c>
      <c r="C5321" t="s">
        <v>8495</v>
      </c>
      <c r="D5321" t="s">
        <v>17434</v>
      </c>
      <c r="E5321" t="s">
        <v>17650</v>
      </c>
      <c r="F5321" t="s">
        <v>30052</v>
      </c>
      <c r="G5321" t="s">
        <v>30059</v>
      </c>
      <c r="H5321" t="s">
        <v>15498</v>
      </c>
      <c r="I5321" t="s">
        <v>30094</v>
      </c>
      <c r="J5321" t="s">
        <v>33578</v>
      </c>
      <c r="K5321" t="s">
        <v>39018</v>
      </c>
      <c r="M5321" t="s">
        <v>41257</v>
      </c>
      <c r="N5321" t="s">
        <v>43166</v>
      </c>
      <c r="O5321" t="s">
        <v>43167</v>
      </c>
      <c r="P5321">
        <v>0</v>
      </c>
      <c r="Q5321">
        <v>0</v>
      </c>
      <c r="R5321" t="s">
        <v>43172</v>
      </c>
      <c r="S5321" t="s">
        <v>43334</v>
      </c>
      <c r="T5321" t="s">
        <v>45012</v>
      </c>
      <c r="U5321" t="s">
        <v>49553</v>
      </c>
      <c r="W5321" t="s">
        <v>41257</v>
      </c>
      <c r="X5321" t="s">
        <v>43173</v>
      </c>
    </row>
    <row r="5322" spans="1:24">
      <c r="A5322">
        <f>HYPERLINK("https://www.philgeps.gov.ph/GEPSNONPILOT/Tender/SplashBidNoticeAbstractUI.aspx?menuIndex=3&amp;refID=7079564&amp;Result=3","7079564")</f>
        <v>0</v>
      </c>
      <c r="B5322" t="s">
        <v>1830</v>
      </c>
      <c r="C5322" t="s">
        <v>8496</v>
      </c>
      <c r="E5322" t="s">
        <v>22107</v>
      </c>
      <c r="F5322" t="s">
        <v>30052</v>
      </c>
      <c r="G5322" t="s">
        <v>30059</v>
      </c>
      <c r="H5322" t="s">
        <v>15498</v>
      </c>
      <c r="I5322" t="s">
        <v>30185</v>
      </c>
      <c r="J5322" t="s">
        <v>33579</v>
      </c>
      <c r="K5322" t="s">
        <v>39025</v>
      </c>
      <c r="M5322" t="s">
        <v>41254</v>
      </c>
      <c r="N5322" t="s">
        <v>43166</v>
      </c>
      <c r="O5322" t="s">
        <v>43167</v>
      </c>
      <c r="P5322">
        <v>0</v>
      </c>
      <c r="Q5322">
        <v>2</v>
      </c>
      <c r="R5322" t="s">
        <v>43172</v>
      </c>
      <c r="S5322" t="s">
        <v>43334</v>
      </c>
      <c r="T5322" t="s">
        <v>44705</v>
      </c>
      <c r="U5322" t="s">
        <v>45722</v>
      </c>
      <c r="W5322" t="s">
        <v>41254</v>
      </c>
      <c r="X5322" t="s">
        <v>43173</v>
      </c>
    </row>
    <row r="5323" spans="1:24">
      <c r="A5323">
        <f>HYPERLINK("https://www.philgeps.gov.ph/GEPSNONPILOT/Tender/SplashBidNoticeAbstractUI.aspx?menuIndex=3&amp;refID=7079560&amp;Result=3","7079560")</f>
        <v>0</v>
      </c>
      <c r="B5323" t="s">
        <v>1512</v>
      </c>
      <c r="C5323" t="s">
        <v>8497</v>
      </c>
      <c r="D5323" t="s">
        <v>17465</v>
      </c>
      <c r="E5323" t="s">
        <v>22108</v>
      </c>
      <c r="F5323" t="s">
        <v>30052</v>
      </c>
      <c r="G5323" t="s">
        <v>30059</v>
      </c>
      <c r="H5323" t="s">
        <v>15498</v>
      </c>
      <c r="I5323" t="s">
        <v>30070</v>
      </c>
      <c r="J5323" t="s">
        <v>33580</v>
      </c>
      <c r="K5323" t="s">
        <v>39025</v>
      </c>
      <c r="M5323" t="s">
        <v>40897</v>
      </c>
      <c r="N5323" t="s">
        <v>43166</v>
      </c>
      <c r="O5323" t="s">
        <v>43167</v>
      </c>
      <c r="P5323">
        <v>0</v>
      </c>
      <c r="Q5323">
        <v>6</v>
      </c>
      <c r="R5323" t="s">
        <v>43172</v>
      </c>
      <c r="S5323" t="s">
        <v>43334</v>
      </c>
      <c r="T5323" t="s">
        <v>44696</v>
      </c>
      <c r="U5323" t="s">
        <v>49133</v>
      </c>
      <c r="W5323" t="s">
        <v>40897</v>
      </c>
      <c r="X5323" t="s">
        <v>43173</v>
      </c>
    </row>
    <row r="5324" spans="1:24">
      <c r="A5324">
        <f>HYPERLINK("https://www.philgeps.gov.ph/GEPSNONPILOT/Tender/SplashBidNoticeAbstractUI.aspx?menuIndex=3&amp;refID=7079554&amp;Result=3","7079554")</f>
        <v>0</v>
      </c>
      <c r="B5324" t="s">
        <v>1834</v>
      </c>
      <c r="C5324" t="s">
        <v>8498</v>
      </c>
      <c r="D5324" t="s">
        <v>17466</v>
      </c>
      <c r="E5324" t="s">
        <v>17673</v>
      </c>
      <c r="F5324" t="s">
        <v>30052</v>
      </c>
      <c r="G5324" t="s">
        <v>30059</v>
      </c>
      <c r="H5324" t="s">
        <v>15498</v>
      </c>
      <c r="I5324" t="s">
        <v>8758</v>
      </c>
      <c r="J5324" t="s">
        <v>33581</v>
      </c>
      <c r="K5324" t="s">
        <v>39034</v>
      </c>
      <c r="M5324" t="s">
        <v>41258</v>
      </c>
      <c r="N5324" t="s">
        <v>43166</v>
      </c>
      <c r="O5324" t="s">
        <v>43167</v>
      </c>
      <c r="P5324">
        <v>0</v>
      </c>
      <c r="Q5324">
        <v>2</v>
      </c>
      <c r="R5324" t="s">
        <v>43172</v>
      </c>
      <c r="S5324" t="s">
        <v>43334</v>
      </c>
      <c r="T5324" t="s">
        <v>45018</v>
      </c>
      <c r="U5324" t="s">
        <v>49554</v>
      </c>
      <c r="V5324" t="s">
        <v>57417</v>
      </c>
      <c r="W5324" t="s">
        <v>41258</v>
      </c>
      <c r="X5324" t="s">
        <v>43173</v>
      </c>
    </row>
    <row r="5325" spans="1:24">
      <c r="A5325">
        <f>HYPERLINK("https://www.philgeps.gov.ph/GEPSNONPILOT/Tender/SplashBidNoticeAbstractUI.aspx?menuIndex=3&amp;refID=7079551&amp;Result=3","7079551")</f>
        <v>0</v>
      </c>
      <c r="B5325" t="s">
        <v>701</v>
      </c>
      <c r="C5325" t="s">
        <v>8499</v>
      </c>
      <c r="D5325" t="s">
        <v>17419</v>
      </c>
      <c r="E5325" t="s">
        <v>22109</v>
      </c>
      <c r="F5325" t="s">
        <v>30052</v>
      </c>
      <c r="G5325" t="s">
        <v>30060</v>
      </c>
      <c r="H5325" t="s">
        <v>30067</v>
      </c>
      <c r="I5325" t="s">
        <v>3693</v>
      </c>
      <c r="J5325" t="s">
        <v>32344</v>
      </c>
      <c r="K5325" t="s">
        <v>39025</v>
      </c>
      <c r="M5325" t="s">
        <v>40858</v>
      </c>
      <c r="N5325" t="s">
        <v>43166</v>
      </c>
      <c r="O5325" t="s">
        <v>43167</v>
      </c>
      <c r="P5325">
        <v>0</v>
      </c>
      <c r="Q5325">
        <v>0</v>
      </c>
      <c r="R5325" t="s">
        <v>43172</v>
      </c>
      <c r="S5325" t="s">
        <v>43334</v>
      </c>
      <c r="T5325" t="s">
        <v>44699</v>
      </c>
      <c r="U5325" t="s">
        <v>49555</v>
      </c>
      <c r="W5325" t="s">
        <v>40858</v>
      </c>
      <c r="X5325" t="s">
        <v>43173</v>
      </c>
    </row>
    <row r="5326" spans="1:24">
      <c r="A5326">
        <f>HYPERLINK("https://www.philgeps.gov.ph/GEPSNONPILOT/Tender/SplashBidNoticeAbstractUI.aspx?menuIndex=3&amp;refID=7079509&amp;Result=3","7079509")</f>
        <v>0</v>
      </c>
      <c r="B5326" t="s">
        <v>622</v>
      </c>
      <c r="C5326" t="s">
        <v>3589</v>
      </c>
      <c r="D5326" t="s">
        <v>17421</v>
      </c>
      <c r="E5326" t="s">
        <v>22110</v>
      </c>
      <c r="F5326" t="s">
        <v>30052</v>
      </c>
      <c r="G5326" t="s">
        <v>30058</v>
      </c>
      <c r="H5326" t="s">
        <v>15498</v>
      </c>
      <c r="I5326" t="s">
        <v>3606</v>
      </c>
      <c r="J5326" t="s">
        <v>33582</v>
      </c>
      <c r="K5326" t="s">
        <v>39037</v>
      </c>
      <c r="M5326" t="s">
        <v>39925</v>
      </c>
      <c r="N5326" t="s">
        <v>43166</v>
      </c>
      <c r="O5326" t="s">
        <v>43167</v>
      </c>
      <c r="P5326">
        <v>0</v>
      </c>
      <c r="Q5326">
        <v>10</v>
      </c>
      <c r="R5326" t="s">
        <v>43172</v>
      </c>
      <c r="S5326" t="s">
        <v>43334</v>
      </c>
      <c r="T5326" t="s">
        <v>44716</v>
      </c>
      <c r="U5326" t="s">
        <v>49556</v>
      </c>
      <c r="W5326" t="s">
        <v>39925</v>
      </c>
      <c r="X5326" t="s">
        <v>43173</v>
      </c>
    </row>
    <row r="5327" spans="1:24">
      <c r="A5327">
        <f>HYPERLINK("https://www.philgeps.gov.ph/GEPSNONPILOT/Tender/SplashBidNoticeAbstractUI.aspx?menuIndex=3&amp;refID=7079583&amp;Result=3","7079583")</f>
        <v>0</v>
      </c>
      <c r="B5327" t="s">
        <v>1822</v>
      </c>
      <c r="C5327" t="s">
        <v>8500</v>
      </c>
      <c r="D5327" t="s">
        <v>17437</v>
      </c>
      <c r="E5327" t="s">
        <v>22111</v>
      </c>
      <c r="F5327" t="s">
        <v>30052</v>
      </c>
      <c r="G5327" t="s">
        <v>30059</v>
      </c>
      <c r="H5327" t="s">
        <v>15498</v>
      </c>
      <c r="I5327" t="s">
        <v>3852</v>
      </c>
      <c r="J5327" t="s">
        <v>33583</v>
      </c>
      <c r="K5327" t="s">
        <v>39034</v>
      </c>
      <c r="M5327" t="s">
        <v>41245</v>
      </c>
      <c r="N5327" t="s">
        <v>43166</v>
      </c>
      <c r="O5327" t="s">
        <v>43167</v>
      </c>
      <c r="P5327">
        <v>0</v>
      </c>
      <c r="Q5327">
        <v>0</v>
      </c>
      <c r="R5327" t="s">
        <v>43172</v>
      </c>
      <c r="S5327" t="s">
        <v>43334</v>
      </c>
      <c r="T5327" t="s">
        <v>44717</v>
      </c>
      <c r="U5327" t="s">
        <v>49557</v>
      </c>
      <c r="W5327" t="s">
        <v>41245</v>
      </c>
      <c r="X5327" t="s">
        <v>43173</v>
      </c>
    </row>
    <row r="5328" spans="1:24">
      <c r="A5328">
        <f>HYPERLINK("https://www.philgeps.gov.ph/GEPSNONPILOT/Tender/SplashBidNoticeAbstractUI.aspx?menuIndex=3&amp;refID=7079580&amp;Result=3","7079580")</f>
        <v>0</v>
      </c>
      <c r="B5328" t="s">
        <v>107</v>
      </c>
      <c r="C5328" t="s">
        <v>8501</v>
      </c>
      <c r="D5328" t="s">
        <v>17448</v>
      </c>
      <c r="E5328" t="s">
        <v>22112</v>
      </c>
      <c r="F5328" t="s">
        <v>30052</v>
      </c>
      <c r="G5328" t="s">
        <v>30059</v>
      </c>
      <c r="H5328" t="s">
        <v>15498</v>
      </c>
      <c r="I5328" t="s">
        <v>9238</v>
      </c>
      <c r="J5328" t="s">
        <v>30208</v>
      </c>
      <c r="K5328" t="s">
        <v>39025</v>
      </c>
      <c r="M5328" t="s">
        <v>39396</v>
      </c>
      <c r="N5328" t="s">
        <v>43166</v>
      </c>
      <c r="O5328" t="s">
        <v>43167</v>
      </c>
      <c r="P5328">
        <v>0</v>
      </c>
      <c r="Q5328">
        <v>17</v>
      </c>
      <c r="R5328" t="s">
        <v>43172</v>
      </c>
      <c r="S5328" t="s">
        <v>43334</v>
      </c>
      <c r="T5328" t="s">
        <v>44862</v>
      </c>
      <c r="U5328" t="s">
        <v>49558</v>
      </c>
      <c r="W5328" t="s">
        <v>39396</v>
      </c>
      <c r="X5328" t="s">
        <v>43173</v>
      </c>
    </row>
    <row r="5329" spans="1:24">
      <c r="A5329">
        <f>HYPERLINK("https://www.philgeps.gov.ph/GEPSNONPILOT/Tender/SplashBidNoticeAbstractUI.aspx?menuIndex=3&amp;refID=7079579&amp;Result=3","7079579")</f>
        <v>0</v>
      </c>
      <c r="B5329" t="s">
        <v>1777</v>
      </c>
      <c r="C5329" t="s">
        <v>8502</v>
      </c>
      <c r="D5329" t="s">
        <v>17461</v>
      </c>
      <c r="E5329" t="s">
        <v>22113</v>
      </c>
      <c r="F5329" t="s">
        <v>30052</v>
      </c>
      <c r="G5329" t="s">
        <v>30059</v>
      </c>
      <c r="H5329" t="s">
        <v>15498</v>
      </c>
      <c r="I5329" t="s">
        <v>6691</v>
      </c>
      <c r="J5329" t="s">
        <v>30337</v>
      </c>
      <c r="K5329" t="s">
        <v>39059</v>
      </c>
      <c r="M5329" t="s">
        <v>41197</v>
      </c>
      <c r="N5329" t="s">
        <v>43166</v>
      </c>
      <c r="O5329" t="s">
        <v>43167</v>
      </c>
      <c r="P5329">
        <v>0</v>
      </c>
      <c r="Q5329">
        <v>0</v>
      </c>
      <c r="R5329" t="s">
        <v>43172</v>
      </c>
      <c r="S5329" t="s">
        <v>43334</v>
      </c>
      <c r="T5329" t="s">
        <v>44696</v>
      </c>
      <c r="U5329" t="s">
        <v>49559</v>
      </c>
      <c r="W5329" t="s">
        <v>41197</v>
      </c>
      <c r="X5329" t="s">
        <v>43173</v>
      </c>
    </row>
    <row r="5330" spans="1:24">
      <c r="A5330">
        <f>HYPERLINK("https://www.philgeps.gov.ph/GEPSNONPILOT/Tender/SplashBidNoticeAbstractUI.aspx?menuIndex=3&amp;refID=7079552&amp;Result=3","7079552")</f>
        <v>0</v>
      </c>
      <c r="B5330" t="s">
        <v>1351</v>
      </c>
      <c r="C5330" t="s">
        <v>8503</v>
      </c>
      <c r="D5330" t="s">
        <v>17427</v>
      </c>
      <c r="E5330" t="s">
        <v>22114</v>
      </c>
      <c r="F5330" t="s">
        <v>30052</v>
      </c>
      <c r="G5330" t="s">
        <v>30058</v>
      </c>
      <c r="H5330" t="s">
        <v>15498</v>
      </c>
      <c r="I5330" t="s">
        <v>3606</v>
      </c>
      <c r="J5330" t="s">
        <v>33584</v>
      </c>
      <c r="K5330" t="s">
        <v>39019</v>
      </c>
      <c r="M5330" t="s">
        <v>40720</v>
      </c>
      <c r="N5330" t="s">
        <v>43166</v>
      </c>
      <c r="O5330" t="s">
        <v>43167</v>
      </c>
      <c r="P5330">
        <v>0</v>
      </c>
      <c r="Q5330">
        <v>3</v>
      </c>
      <c r="R5330" t="s">
        <v>43172</v>
      </c>
      <c r="S5330" t="s">
        <v>43334</v>
      </c>
      <c r="T5330" t="s">
        <v>44750</v>
      </c>
      <c r="U5330" t="s">
        <v>49560</v>
      </c>
      <c r="V5330" t="s">
        <v>56837</v>
      </c>
      <c r="W5330" t="s">
        <v>40720</v>
      </c>
      <c r="X5330" t="s">
        <v>43173</v>
      </c>
    </row>
    <row r="5331" spans="1:24">
      <c r="A5331">
        <f>HYPERLINK("https://www.philgeps.gov.ph/GEPSNONPILOT/Tender/SplashBidNoticeAbstractUI.aspx?menuIndex=3&amp;refID=7079527&amp;Result=3","7079527")</f>
        <v>0</v>
      </c>
      <c r="B5331" t="s">
        <v>1714</v>
      </c>
      <c r="C5331" t="s">
        <v>8504</v>
      </c>
      <c r="D5331" t="s">
        <v>17441</v>
      </c>
      <c r="E5331" t="s">
        <v>22115</v>
      </c>
      <c r="F5331" t="s">
        <v>30052</v>
      </c>
      <c r="G5331" t="s">
        <v>30059</v>
      </c>
      <c r="H5331" t="s">
        <v>15498</v>
      </c>
      <c r="I5331" t="s">
        <v>30108</v>
      </c>
      <c r="J5331" t="s">
        <v>33585</v>
      </c>
      <c r="K5331" t="s">
        <v>39029</v>
      </c>
      <c r="M5331" t="s">
        <v>41129</v>
      </c>
      <c r="N5331" t="s">
        <v>43166</v>
      </c>
      <c r="O5331" t="s">
        <v>43167</v>
      </c>
      <c r="P5331">
        <v>0</v>
      </c>
      <c r="Q5331">
        <v>1</v>
      </c>
      <c r="R5331" t="s">
        <v>43172</v>
      </c>
      <c r="S5331" t="s">
        <v>43334</v>
      </c>
      <c r="T5331" t="s">
        <v>44728</v>
      </c>
      <c r="U5331" t="s">
        <v>49561</v>
      </c>
      <c r="V5331" t="s">
        <v>57415</v>
      </c>
      <c r="W5331" t="s">
        <v>41129</v>
      </c>
      <c r="X5331" t="s">
        <v>43173</v>
      </c>
    </row>
    <row r="5332" spans="1:24">
      <c r="A5332">
        <f>HYPERLINK("https://www.philgeps.gov.ph/GEPSNONPILOT/Tender/SplashBidNoticeAbstractUI.aspx?menuIndex=3&amp;refID=7079577&amp;Result=3","7079577")</f>
        <v>0</v>
      </c>
      <c r="B5332" t="s">
        <v>1690</v>
      </c>
      <c r="C5332" t="s">
        <v>8505</v>
      </c>
      <c r="D5332" t="s">
        <v>17454</v>
      </c>
      <c r="E5332" t="s">
        <v>22116</v>
      </c>
      <c r="F5332" t="s">
        <v>30052</v>
      </c>
      <c r="G5332" t="s">
        <v>30058</v>
      </c>
      <c r="H5332" t="s">
        <v>30067</v>
      </c>
      <c r="I5332" t="s">
        <v>3693</v>
      </c>
      <c r="J5332" t="s">
        <v>33586</v>
      </c>
      <c r="K5332" t="s">
        <v>39029</v>
      </c>
      <c r="M5332" t="s">
        <v>41252</v>
      </c>
      <c r="N5332" t="s">
        <v>43166</v>
      </c>
      <c r="O5332" t="s">
        <v>43167</v>
      </c>
      <c r="P5332">
        <v>0</v>
      </c>
      <c r="Q5332">
        <v>0</v>
      </c>
      <c r="R5332" t="s">
        <v>43172</v>
      </c>
      <c r="S5332" t="s">
        <v>43334</v>
      </c>
      <c r="T5332" t="s">
        <v>44722</v>
      </c>
      <c r="U5332" t="s">
        <v>49540</v>
      </c>
      <c r="W5332" t="s">
        <v>41252</v>
      </c>
      <c r="X5332" t="s">
        <v>43173</v>
      </c>
    </row>
    <row r="5333" spans="1:24">
      <c r="A5333">
        <f>HYPERLINK("https://www.philgeps.gov.ph/GEPSNONPILOT/Tender/SplashBidNoticeAbstractUI.aspx?menuIndex=3&amp;refID=7079548&amp;Result=3","7079548")</f>
        <v>0</v>
      </c>
      <c r="B5333" t="s">
        <v>1018</v>
      </c>
      <c r="C5333" t="s">
        <v>4662</v>
      </c>
      <c r="E5333" t="s">
        <v>22117</v>
      </c>
      <c r="F5333" t="s">
        <v>30052</v>
      </c>
      <c r="G5333" t="s">
        <v>30061</v>
      </c>
      <c r="H5333" t="s">
        <v>15498</v>
      </c>
      <c r="I5333" t="s">
        <v>30070</v>
      </c>
      <c r="J5333" t="s">
        <v>33587</v>
      </c>
      <c r="K5333" t="s">
        <v>39025</v>
      </c>
      <c r="M5333" t="s">
        <v>40347</v>
      </c>
      <c r="N5333" t="s">
        <v>43166</v>
      </c>
      <c r="O5333" t="s">
        <v>43167</v>
      </c>
      <c r="P5333">
        <v>0</v>
      </c>
      <c r="Q5333">
        <v>1</v>
      </c>
      <c r="R5333" t="s">
        <v>43172</v>
      </c>
      <c r="S5333" t="s">
        <v>43334</v>
      </c>
      <c r="T5333" t="s">
        <v>44847</v>
      </c>
      <c r="U5333" t="s">
        <v>45217</v>
      </c>
      <c r="W5333" t="s">
        <v>40347</v>
      </c>
      <c r="X5333" t="s">
        <v>43173</v>
      </c>
    </row>
    <row r="5334" spans="1:24">
      <c r="A5334">
        <f>HYPERLINK("https://www.philgeps.gov.ph/GEPSNONPILOT/Tender/SplashBidNoticeAbstractUI.aspx?menuIndex=3&amp;refID=7079563&amp;Result=3","7079563")</f>
        <v>0</v>
      </c>
      <c r="B5334" t="s">
        <v>1808</v>
      </c>
      <c r="C5334" t="s">
        <v>8506</v>
      </c>
      <c r="D5334" t="s">
        <v>17485</v>
      </c>
      <c r="E5334" t="s">
        <v>22118</v>
      </c>
      <c r="F5334" t="s">
        <v>30052</v>
      </c>
      <c r="G5334" t="s">
        <v>30059</v>
      </c>
      <c r="H5334" t="s">
        <v>15498</v>
      </c>
      <c r="I5334" t="s">
        <v>3736</v>
      </c>
      <c r="J5334" t="s">
        <v>33574</v>
      </c>
      <c r="K5334" t="s">
        <v>39017</v>
      </c>
      <c r="M5334" t="s">
        <v>41231</v>
      </c>
      <c r="N5334" t="s">
        <v>43166</v>
      </c>
      <c r="O5334" t="s">
        <v>43167</v>
      </c>
      <c r="P5334">
        <v>0</v>
      </c>
      <c r="Q5334">
        <v>0</v>
      </c>
      <c r="R5334" t="s">
        <v>43172</v>
      </c>
      <c r="S5334" t="s">
        <v>43334</v>
      </c>
      <c r="T5334" t="s">
        <v>44691</v>
      </c>
      <c r="U5334" t="s">
        <v>49471</v>
      </c>
      <c r="W5334" t="s">
        <v>41231</v>
      </c>
      <c r="X5334" t="s">
        <v>43173</v>
      </c>
    </row>
    <row r="5335" spans="1:24">
      <c r="A5335">
        <f>HYPERLINK("https://www.philgeps.gov.ph/GEPSNONPILOT/Tender/SplashBidNoticeAbstractUI.aspx?menuIndex=3&amp;refID=7079578&amp;Result=3","7079578")</f>
        <v>0</v>
      </c>
      <c r="B5335" t="s">
        <v>679</v>
      </c>
      <c r="C5335" t="s">
        <v>8507</v>
      </c>
      <c r="D5335" t="s">
        <v>17419</v>
      </c>
      <c r="E5335" t="s">
        <v>22119</v>
      </c>
      <c r="F5335" t="s">
        <v>30052</v>
      </c>
      <c r="G5335" t="s">
        <v>30059</v>
      </c>
      <c r="H5335" t="s">
        <v>15498</v>
      </c>
      <c r="I5335" t="s">
        <v>30073</v>
      </c>
      <c r="J5335" t="s">
        <v>33588</v>
      </c>
      <c r="K5335" t="s">
        <v>39017</v>
      </c>
      <c r="M5335" t="s">
        <v>39985</v>
      </c>
      <c r="N5335" t="s">
        <v>43166</v>
      </c>
      <c r="O5335" t="s">
        <v>43167</v>
      </c>
      <c r="P5335">
        <v>0</v>
      </c>
      <c r="Q5335">
        <v>0</v>
      </c>
      <c r="R5335" t="s">
        <v>43172</v>
      </c>
      <c r="S5335" t="s">
        <v>43334</v>
      </c>
      <c r="T5335" t="s">
        <v>44717</v>
      </c>
      <c r="U5335" t="s">
        <v>49562</v>
      </c>
      <c r="W5335" t="s">
        <v>39985</v>
      </c>
      <c r="X5335" t="s">
        <v>43173</v>
      </c>
    </row>
    <row r="5336" spans="1:24">
      <c r="A5336">
        <f>HYPERLINK("https://www.philgeps.gov.ph/GEPSNONPILOT/Tender/SplashBidNoticeAbstractUI.aspx?menuIndex=3&amp;refID=7079593&amp;Result=3","7079593")</f>
        <v>0</v>
      </c>
      <c r="B5336" t="s">
        <v>701</v>
      </c>
      <c r="C5336" t="s">
        <v>8508</v>
      </c>
      <c r="D5336" t="s">
        <v>17419</v>
      </c>
      <c r="E5336" t="s">
        <v>22120</v>
      </c>
      <c r="F5336" t="s">
        <v>30052</v>
      </c>
      <c r="G5336" t="s">
        <v>30058</v>
      </c>
      <c r="H5336" t="s">
        <v>15498</v>
      </c>
      <c r="I5336" t="s">
        <v>30070</v>
      </c>
      <c r="J5336" t="s">
        <v>33589</v>
      </c>
      <c r="K5336" t="s">
        <v>39025</v>
      </c>
      <c r="M5336" t="s">
        <v>40858</v>
      </c>
      <c r="N5336" t="s">
        <v>43166</v>
      </c>
      <c r="O5336" t="s">
        <v>43167</v>
      </c>
      <c r="P5336">
        <v>0</v>
      </c>
      <c r="Q5336">
        <v>2</v>
      </c>
      <c r="R5336" t="s">
        <v>43172</v>
      </c>
      <c r="S5336" t="s">
        <v>43334</v>
      </c>
      <c r="T5336" t="s">
        <v>44699</v>
      </c>
      <c r="U5336" t="s">
        <v>49563</v>
      </c>
      <c r="W5336" t="s">
        <v>40858</v>
      </c>
      <c r="X5336" t="s">
        <v>43173</v>
      </c>
    </row>
    <row r="5337" spans="1:24">
      <c r="A5337">
        <f>HYPERLINK("https://www.philgeps.gov.ph/GEPSNONPILOT/Tender/SplashBidNoticeAbstractUI.aspx?menuIndex=3&amp;refID=7079571&amp;Result=3","7079571")</f>
        <v>0</v>
      </c>
      <c r="B5337" t="s">
        <v>165</v>
      </c>
      <c r="C5337" t="s">
        <v>8509</v>
      </c>
      <c r="D5337" t="s">
        <v>17448</v>
      </c>
      <c r="E5337" t="s">
        <v>22121</v>
      </c>
      <c r="F5337" t="s">
        <v>30052</v>
      </c>
      <c r="G5337" t="s">
        <v>30059</v>
      </c>
      <c r="H5337" t="s">
        <v>15498</v>
      </c>
      <c r="I5337" t="s">
        <v>30096</v>
      </c>
      <c r="J5337" t="s">
        <v>30297</v>
      </c>
      <c r="K5337" t="s">
        <v>39029</v>
      </c>
      <c r="M5337" t="s">
        <v>39454</v>
      </c>
      <c r="N5337" t="s">
        <v>43166</v>
      </c>
      <c r="O5337" t="s">
        <v>43167</v>
      </c>
      <c r="P5337">
        <v>0</v>
      </c>
      <c r="Q5337">
        <v>1</v>
      </c>
      <c r="R5337" t="s">
        <v>43172</v>
      </c>
      <c r="S5337" t="s">
        <v>43334</v>
      </c>
      <c r="T5337" t="s">
        <v>44691</v>
      </c>
      <c r="U5337" t="s">
        <v>49564</v>
      </c>
      <c r="W5337" t="s">
        <v>39454</v>
      </c>
      <c r="X5337" t="s">
        <v>43173</v>
      </c>
    </row>
    <row r="5338" spans="1:24">
      <c r="A5338">
        <f>HYPERLINK("https://www.philgeps.gov.ph/GEPSNONPILOT/Tender/SplashBidNoticeAbstractUI.aspx?menuIndex=3&amp;refID=7079573&amp;Result=3","7079573")</f>
        <v>0</v>
      </c>
      <c r="B5338" t="s">
        <v>448</v>
      </c>
      <c r="C5338" t="s">
        <v>8510</v>
      </c>
      <c r="D5338" t="s">
        <v>17445</v>
      </c>
      <c r="E5338" t="s">
        <v>22122</v>
      </c>
      <c r="F5338" t="s">
        <v>30052</v>
      </c>
      <c r="G5338" t="s">
        <v>30058</v>
      </c>
      <c r="H5338" t="s">
        <v>15498</v>
      </c>
      <c r="I5338" t="s">
        <v>30098</v>
      </c>
      <c r="J5338" t="s">
        <v>33590</v>
      </c>
      <c r="K5338" t="s">
        <v>39025</v>
      </c>
      <c r="M5338" t="s">
        <v>39748</v>
      </c>
      <c r="N5338" t="s">
        <v>43166</v>
      </c>
      <c r="O5338" t="s">
        <v>43167</v>
      </c>
      <c r="P5338">
        <v>0</v>
      </c>
      <c r="Q5338">
        <v>6</v>
      </c>
      <c r="R5338" t="s">
        <v>43172</v>
      </c>
      <c r="S5338" t="s">
        <v>43334</v>
      </c>
      <c r="T5338" t="s">
        <v>44704</v>
      </c>
      <c r="U5338" t="s">
        <v>49565</v>
      </c>
      <c r="V5338" t="s">
        <v>57418</v>
      </c>
      <c r="W5338" t="s">
        <v>39748</v>
      </c>
      <c r="X5338" t="s">
        <v>43173</v>
      </c>
    </row>
    <row r="5339" spans="1:24">
      <c r="A5339">
        <f>HYPERLINK("https://www.philgeps.gov.ph/GEPSNONPILOT/Tender/SplashBidNoticeAbstractUI.aspx?menuIndex=3&amp;refID=7079586&amp;Result=3","7079586")</f>
        <v>0</v>
      </c>
      <c r="B5339" t="s">
        <v>1248</v>
      </c>
      <c r="C5339" t="s">
        <v>8511</v>
      </c>
      <c r="D5339" t="s">
        <v>17469</v>
      </c>
      <c r="E5339" t="s">
        <v>22123</v>
      </c>
      <c r="F5339" t="s">
        <v>30052</v>
      </c>
      <c r="G5339" t="s">
        <v>30061</v>
      </c>
      <c r="H5339" t="s">
        <v>15498</v>
      </c>
      <c r="I5339" t="s">
        <v>4650</v>
      </c>
      <c r="J5339" t="s">
        <v>33591</v>
      </c>
      <c r="K5339" t="s">
        <v>39019</v>
      </c>
      <c r="M5339" t="s">
        <v>40604</v>
      </c>
      <c r="N5339" t="s">
        <v>43166</v>
      </c>
      <c r="O5339" t="s">
        <v>43167</v>
      </c>
      <c r="P5339">
        <v>0</v>
      </c>
      <c r="Q5339">
        <v>5</v>
      </c>
      <c r="R5339" t="s">
        <v>43172</v>
      </c>
      <c r="S5339" t="s">
        <v>43334</v>
      </c>
      <c r="T5339" t="s">
        <v>44750</v>
      </c>
      <c r="U5339" t="s">
        <v>49566</v>
      </c>
      <c r="W5339" t="s">
        <v>40604</v>
      </c>
      <c r="X5339" t="s">
        <v>43173</v>
      </c>
    </row>
    <row r="5340" spans="1:24">
      <c r="A5340">
        <f>HYPERLINK("https://www.philgeps.gov.ph/GEPSNONPILOT/Tender/SplashBidNoticeAbstractUI.aspx?menuIndex=3&amp;refID=7079549&amp;Result=3","7079549")</f>
        <v>0</v>
      </c>
      <c r="B5340" t="s">
        <v>1835</v>
      </c>
      <c r="C5340" t="s">
        <v>8512</v>
      </c>
      <c r="D5340" t="s">
        <v>17449</v>
      </c>
      <c r="E5340" t="s">
        <v>17715</v>
      </c>
      <c r="F5340" t="s">
        <v>30054</v>
      </c>
      <c r="G5340" t="s">
        <v>30058</v>
      </c>
      <c r="H5340" t="s">
        <v>30067</v>
      </c>
      <c r="I5340" t="s">
        <v>3693</v>
      </c>
      <c r="J5340" t="s">
        <v>30277</v>
      </c>
      <c r="K5340" t="s">
        <v>39029</v>
      </c>
      <c r="M5340" t="s">
        <v>41259</v>
      </c>
      <c r="N5340" t="s">
        <v>43166</v>
      </c>
      <c r="O5340" t="s">
        <v>43167</v>
      </c>
      <c r="P5340">
        <v>0</v>
      </c>
      <c r="Q5340">
        <v>1</v>
      </c>
      <c r="R5340" t="s">
        <v>43172</v>
      </c>
      <c r="S5340" t="s">
        <v>43334</v>
      </c>
      <c r="T5340" t="s">
        <v>45003</v>
      </c>
      <c r="U5340" t="s">
        <v>49567</v>
      </c>
      <c r="W5340" t="s">
        <v>41259</v>
      </c>
      <c r="X5340" t="s">
        <v>43173</v>
      </c>
    </row>
    <row r="5341" spans="1:24">
      <c r="A5341">
        <f>HYPERLINK("https://www.philgeps.gov.ph/GEPSNONPILOT/Tender/SplashBidNoticeAbstractUI.aspx?menuIndex=3&amp;refID=7079621&amp;Result=3","7079621")</f>
        <v>0</v>
      </c>
      <c r="B5341" t="s">
        <v>1714</v>
      </c>
      <c r="C5341" t="s">
        <v>8513</v>
      </c>
      <c r="D5341" t="s">
        <v>17441</v>
      </c>
      <c r="E5341" t="s">
        <v>22124</v>
      </c>
      <c r="F5341" t="s">
        <v>30052</v>
      </c>
      <c r="G5341" t="s">
        <v>30059</v>
      </c>
      <c r="H5341" t="s">
        <v>15498</v>
      </c>
      <c r="I5341" t="s">
        <v>30082</v>
      </c>
      <c r="J5341" t="s">
        <v>30343</v>
      </c>
      <c r="K5341" t="s">
        <v>39029</v>
      </c>
      <c r="M5341" t="s">
        <v>41129</v>
      </c>
      <c r="N5341" t="s">
        <v>43166</v>
      </c>
      <c r="O5341" t="s">
        <v>43167</v>
      </c>
      <c r="P5341">
        <v>0</v>
      </c>
      <c r="Q5341">
        <v>1</v>
      </c>
      <c r="R5341" t="s">
        <v>43172</v>
      </c>
      <c r="S5341" t="s">
        <v>43334</v>
      </c>
      <c r="T5341" t="s">
        <v>44728</v>
      </c>
      <c r="U5341" t="s">
        <v>49568</v>
      </c>
      <c r="V5341" t="s">
        <v>57419</v>
      </c>
      <c r="W5341" t="s">
        <v>41129</v>
      </c>
      <c r="X5341" t="s">
        <v>43173</v>
      </c>
    </row>
    <row r="5342" spans="1:24">
      <c r="A5342">
        <f>HYPERLINK("https://www.philgeps.gov.ph/GEPSNONPILOT/Tender/SplashBidNoticeAbstractUI.aspx?menuIndex=3&amp;refID=7079537&amp;Result=3","7079537")</f>
        <v>0</v>
      </c>
      <c r="B5342" t="s">
        <v>1836</v>
      </c>
      <c r="C5342" t="s">
        <v>8514</v>
      </c>
      <c r="D5342" t="s">
        <v>17440</v>
      </c>
      <c r="E5342" t="s">
        <v>22125</v>
      </c>
      <c r="F5342" t="s">
        <v>30052</v>
      </c>
      <c r="G5342" t="s">
        <v>30059</v>
      </c>
      <c r="H5342" t="s">
        <v>15498</v>
      </c>
      <c r="I5342" t="s">
        <v>30111</v>
      </c>
      <c r="J5342" t="s">
        <v>33592</v>
      </c>
      <c r="K5342" t="s">
        <v>39017</v>
      </c>
      <c r="M5342" t="s">
        <v>41260</v>
      </c>
      <c r="N5342" t="s">
        <v>43166</v>
      </c>
      <c r="O5342" t="s">
        <v>43167</v>
      </c>
      <c r="P5342">
        <v>0</v>
      </c>
      <c r="Q5342">
        <v>0</v>
      </c>
      <c r="R5342" t="s">
        <v>43172</v>
      </c>
      <c r="S5342" t="s">
        <v>43334</v>
      </c>
      <c r="T5342" t="s">
        <v>44864</v>
      </c>
      <c r="U5342" t="s">
        <v>49569</v>
      </c>
      <c r="W5342" t="s">
        <v>41260</v>
      </c>
      <c r="X5342" t="s">
        <v>43173</v>
      </c>
    </row>
    <row r="5343" spans="1:24">
      <c r="A5343">
        <f>HYPERLINK("https://www.philgeps.gov.ph/GEPSNONPILOT/Tender/SplashBidNoticeAbstractUI.aspx?menuIndex=3&amp;refID=7079627&amp;Result=3","7079627")</f>
        <v>0</v>
      </c>
      <c r="B5343" t="s">
        <v>1792</v>
      </c>
      <c r="C5343" t="s">
        <v>8515</v>
      </c>
      <c r="D5343" t="s">
        <v>17432</v>
      </c>
      <c r="E5343" t="s">
        <v>21970</v>
      </c>
      <c r="F5343" t="s">
        <v>30052</v>
      </c>
      <c r="G5343" t="s">
        <v>30060</v>
      </c>
      <c r="H5343" t="s">
        <v>15498</v>
      </c>
      <c r="I5343" t="s">
        <v>30108</v>
      </c>
      <c r="J5343" t="s">
        <v>30358</v>
      </c>
      <c r="K5343" t="s">
        <v>39034</v>
      </c>
      <c r="M5343" t="s">
        <v>41214</v>
      </c>
      <c r="N5343" t="s">
        <v>43166</v>
      </c>
      <c r="O5343" t="s">
        <v>43167</v>
      </c>
      <c r="P5343">
        <v>0</v>
      </c>
      <c r="Q5343">
        <v>1</v>
      </c>
      <c r="R5343" t="s">
        <v>43172</v>
      </c>
      <c r="S5343" t="s">
        <v>43334</v>
      </c>
      <c r="T5343" t="s">
        <v>44714</v>
      </c>
      <c r="U5343" t="s">
        <v>49570</v>
      </c>
      <c r="W5343" t="s">
        <v>41214</v>
      </c>
      <c r="X5343" t="s">
        <v>43173</v>
      </c>
    </row>
    <row r="5344" spans="1:24">
      <c r="A5344">
        <f>HYPERLINK("https://www.philgeps.gov.ph/GEPSNONPILOT/Tender/SplashBidNoticeAbstractUI.aspx?menuIndex=3&amp;refID=7079624&amp;Result=3","7079624")</f>
        <v>0</v>
      </c>
      <c r="B5344" t="s">
        <v>1269</v>
      </c>
      <c r="C5344" t="s">
        <v>8516</v>
      </c>
      <c r="D5344" t="s">
        <v>17415</v>
      </c>
      <c r="E5344" t="s">
        <v>22126</v>
      </c>
      <c r="F5344" t="s">
        <v>30052</v>
      </c>
      <c r="G5344" t="s">
        <v>30059</v>
      </c>
      <c r="H5344" t="s">
        <v>15498</v>
      </c>
      <c r="I5344" t="s">
        <v>30076</v>
      </c>
      <c r="J5344" t="s">
        <v>32336</v>
      </c>
      <c r="K5344" t="s">
        <v>39034</v>
      </c>
      <c r="M5344" t="s">
        <v>41261</v>
      </c>
      <c r="N5344" t="s">
        <v>43166</v>
      </c>
      <c r="O5344" t="s">
        <v>43167</v>
      </c>
      <c r="P5344">
        <v>0</v>
      </c>
      <c r="Q5344">
        <v>14</v>
      </c>
      <c r="R5344" t="s">
        <v>43172</v>
      </c>
      <c r="S5344" t="s">
        <v>43334</v>
      </c>
      <c r="T5344" t="s">
        <v>44962</v>
      </c>
      <c r="U5344" t="s">
        <v>49571</v>
      </c>
      <c r="V5344" t="s">
        <v>57420</v>
      </c>
      <c r="W5344" t="s">
        <v>41261</v>
      </c>
      <c r="X5344" t="s">
        <v>43173</v>
      </c>
    </row>
    <row r="5345" spans="1:24">
      <c r="A5345">
        <f>HYPERLINK("https://www.philgeps.gov.ph/GEPSNONPILOT/Tender/SplashBidNoticeAbstractUI.aspx?menuIndex=3&amp;refID=7079620&amp;Result=3","7079620")</f>
        <v>0</v>
      </c>
      <c r="B5345" t="s">
        <v>1830</v>
      </c>
      <c r="C5345" t="s">
        <v>8517</v>
      </c>
      <c r="E5345" t="s">
        <v>22127</v>
      </c>
      <c r="F5345" t="s">
        <v>30052</v>
      </c>
      <c r="G5345" t="s">
        <v>30059</v>
      </c>
      <c r="H5345" t="s">
        <v>15498</v>
      </c>
      <c r="I5345" t="s">
        <v>30185</v>
      </c>
      <c r="J5345" t="s">
        <v>33593</v>
      </c>
      <c r="K5345" t="s">
        <v>39025</v>
      </c>
      <c r="M5345" t="s">
        <v>41254</v>
      </c>
      <c r="N5345" t="s">
        <v>43166</v>
      </c>
      <c r="O5345" t="s">
        <v>43167</v>
      </c>
      <c r="P5345">
        <v>0</v>
      </c>
      <c r="Q5345">
        <v>2</v>
      </c>
      <c r="R5345" t="s">
        <v>43172</v>
      </c>
      <c r="S5345" t="s">
        <v>43334</v>
      </c>
      <c r="T5345" t="s">
        <v>44705</v>
      </c>
      <c r="U5345" t="s">
        <v>45722</v>
      </c>
      <c r="W5345" t="s">
        <v>41254</v>
      </c>
      <c r="X5345" t="s">
        <v>43173</v>
      </c>
    </row>
    <row r="5346" spans="1:24">
      <c r="A5346">
        <f>HYPERLINK("https://www.philgeps.gov.ph/GEPSNONPILOT/Tender/SplashBidNoticeAbstractUI.aspx?menuIndex=3&amp;refID=7079618&amp;Result=3","7079618")</f>
        <v>0</v>
      </c>
      <c r="B5346" t="s">
        <v>1837</v>
      </c>
      <c r="C5346" t="s">
        <v>8518</v>
      </c>
      <c r="D5346" t="s">
        <v>17415</v>
      </c>
      <c r="E5346" t="s">
        <v>21316</v>
      </c>
      <c r="F5346" t="s">
        <v>30052</v>
      </c>
      <c r="G5346" t="s">
        <v>30059</v>
      </c>
      <c r="H5346" t="s">
        <v>15498</v>
      </c>
      <c r="I5346" t="s">
        <v>3852</v>
      </c>
      <c r="J5346" t="s">
        <v>30586</v>
      </c>
      <c r="K5346" t="s">
        <v>39025</v>
      </c>
      <c r="M5346" t="s">
        <v>41262</v>
      </c>
      <c r="N5346" t="s">
        <v>43166</v>
      </c>
      <c r="O5346" t="s">
        <v>43167</v>
      </c>
      <c r="P5346">
        <v>0</v>
      </c>
      <c r="Q5346">
        <v>5</v>
      </c>
      <c r="R5346" t="s">
        <v>43172</v>
      </c>
      <c r="S5346" t="s">
        <v>43334</v>
      </c>
      <c r="T5346" t="s">
        <v>44844</v>
      </c>
      <c r="U5346" t="s">
        <v>49572</v>
      </c>
      <c r="W5346" t="s">
        <v>41262</v>
      </c>
      <c r="X5346" t="s">
        <v>43173</v>
      </c>
    </row>
    <row r="5347" spans="1:24">
      <c r="A5347">
        <f>HYPERLINK("https://www.philgeps.gov.ph/GEPSNONPILOT/Tender/SplashBidNoticeAbstractUI.aspx?menuIndex=3&amp;refID=7079617&amp;Result=3","7079617")</f>
        <v>0</v>
      </c>
      <c r="B5347" t="s">
        <v>1777</v>
      </c>
      <c r="C5347" t="s">
        <v>8519</v>
      </c>
      <c r="D5347" t="s">
        <v>17461</v>
      </c>
      <c r="E5347" t="s">
        <v>22128</v>
      </c>
      <c r="F5347" t="s">
        <v>30052</v>
      </c>
      <c r="G5347" t="s">
        <v>30059</v>
      </c>
      <c r="H5347" t="s">
        <v>15498</v>
      </c>
      <c r="I5347" t="s">
        <v>30099</v>
      </c>
      <c r="J5347" t="s">
        <v>30528</v>
      </c>
      <c r="K5347" t="s">
        <v>39029</v>
      </c>
      <c r="M5347" t="s">
        <v>41197</v>
      </c>
      <c r="N5347" t="s">
        <v>43166</v>
      </c>
      <c r="O5347" t="s">
        <v>43167</v>
      </c>
      <c r="P5347">
        <v>0</v>
      </c>
      <c r="Q5347">
        <v>1</v>
      </c>
      <c r="R5347" t="s">
        <v>43172</v>
      </c>
      <c r="S5347" t="s">
        <v>43334</v>
      </c>
      <c r="T5347" t="s">
        <v>44696</v>
      </c>
      <c r="U5347" t="s">
        <v>49573</v>
      </c>
      <c r="W5347" t="s">
        <v>41197</v>
      </c>
      <c r="X5347" t="s">
        <v>43173</v>
      </c>
    </row>
    <row r="5348" spans="1:24">
      <c r="A5348">
        <f>HYPERLINK("https://www.philgeps.gov.ph/GEPSNONPILOT/Tender/SplashBidNoticeAbstractUI.aspx?menuIndex=3&amp;refID=7079610&amp;Result=3","7079610")</f>
        <v>0</v>
      </c>
      <c r="B5348" t="s">
        <v>1018</v>
      </c>
      <c r="C5348" t="s">
        <v>4662</v>
      </c>
      <c r="E5348" t="s">
        <v>22129</v>
      </c>
      <c r="F5348" t="s">
        <v>30052</v>
      </c>
      <c r="G5348" t="s">
        <v>30061</v>
      </c>
      <c r="H5348" t="s">
        <v>15498</v>
      </c>
      <c r="I5348" t="s">
        <v>30070</v>
      </c>
      <c r="J5348" t="s">
        <v>33594</v>
      </c>
      <c r="K5348" t="s">
        <v>39025</v>
      </c>
      <c r="M5348" t="s">
        <v>40347</v>
      </c>
      <c r="N5348" t="s">
        <v>43166</v>
      </c>
      <c r="O5348" t="s">
        <v>43167</v>
      </c>
      <c r="P5348">
        <v>0</v>
      </c>
      <c r="Q5348">
        <v>2</v>
      </c>
      <c r="R5348" t="s">
        <v>43172</v>
      </c>
      <c r="S5348" t="s">
        <v>43334</v>
      </c>
      <c r="T5348" t="s">
        <v>44847</v>
      </c>
      <c r="U5348" t="s">
        <v>45217</v>
      </c>
      <c r="W5348" t="s">
        <v>40347</v>
      </c>
      <c r="X5348" t="s">
        <v>43173</v>
      </c>
    </row>
    <row r="5349" spans="1:24">
      <c r="A5349">
        <f>HYPERLINK("https://www.philgeps.gov.ph/GEPSNONPILOT/Tender/SplashBidNoticeAbstractUI.aspx?menuIndex=3&amp;refID=7079606&amp;Result=3","7079606")</f>
        <v>0</v>
      </c>
      <c r="B5349" t="s">
        <v>1830</v>
      </c>
      <c r="C5349" t="s">
        <v>8520</v>
      </c>
      <c r="E5349" t="s">
        <v>22130</v>
      </c>
      <c r="F5349" t="s">
        <v>30052</v>
      </c>
      <c r="G5349" t="s">
        <v>30059</v>
      </c>
      <c r="H5349" t="s">
        <v>15498</v>
      </c>
      <c r="I5349" t="s">
        <v>30185</v>
      </c>
      <c r="J5349" t="s">
        <v>31290</v>
      </c>
      <c r="K5349" t="s">
        <v>39025</v>
      </c>
      <c r="M5349" t="s">
        <v>41254</v>
      </c>
      <c r="N5349" t="s">
        <v>43166</v>
      </c>
      <c r="O5349" t="s">
        <v>43167</v>
      </c>
      <c r="P5349">
        <v>0</v>
      </c>
      <c r="Q5349">
        <v>1</v>
      </c>
      <c r="R5349" t="s">
        <v>43172</v>
      </c>
      <c r="S5349" t="s">
        <v>43334</v>
      </c>
      <c r="T5349" t="s">
        <v>44705</v>
      </c>
      <c r="U5349" t="s">
        <v>45722</v>
      </c>
      <c r="W5349" t="s">
        <v>41254</v>
      </c>
      <c r="X5349" t="s">
        <v>43173</v>
      </c>
    </row>
    <row r="5350" spans="1:24">
      <c r="A5350">
        <f>HYPERLINK("https://www.philgeps.gov.ph/GEPSNONPILOT/Tender/SplashBidNoticeAbstractUI.aspx?menuIndex=3&amp;refID=7079592&amp;Result=3","7079592")</f>
        <v>0</v>
      </c>
      <c r="B5350" t="s">
        <v>1777</v>
      </c>
      <c r="C5350" t="s">
        <v>8521</v>
      </c>
      <c r="D5350" t="s">
        <v>17461</v>
      </c>
      <c r="E5350" t="s">
        <v>22131</v>
      </c>
      <c r="F5350" t="s">
        <v>30052</v>
      </c>
      <c r="G5350" t="s">
        <v>30059</v>
      </c>
      <c r="H5350" t="s">
        <v>15498</v>
      </c>
      <c r="I5350" t="s">
        <v>30094</v>
      </c>
      <c r="J5350" t="s">
        <v>33595</v>
      </c>
      <c r="K5350" t="s">
        <v>39029</v>
      </c>
      <c r="M5350" t="s">
        <v>41197</v>
      </c>
      <c r="N5350" t="s">
        <v>43166</v>
      </c>
      <c r="O5350" t="s">
        <v>43167</v>
      </c>
      <c r="P5350">
        <v>0</v>
      </c>
      <c r="Q5350">
        <v>0</v>
      </c>
      <c r="R5350" t="s">
        <v>43172</v>
      </c>
      <c r="S5350" t="s">
        <v>43334</v>
      </c>
      <c r="T5350" t="s">
        <v>44696</v>
      </c>
      <c r="U5350" t="s">
        <v>49574</v>
      </c>
      <c r="W5350" t="s">
        <v>41197</v>
      </c>
      <c r="X5350" t="s">
        <v>43173</v>
      </c>
    </row>
    <row r="5351" spans="1:24">
      <c r="A5351">
        <f>HYPERLINK("https://www.philgeps.gov.ph/GEPSNONPILOT/Tender/SplashBidNoticeAbstractUI.aspx?menuIndex=3&amp;refID=7079604&amp;Result=3","7079604")</f>
        <v>0</v>
      </c>
      <c r="B5351" t="s">
        <v>1838</v>
      </c>
      <c r="C5351" t="s">
        <v>8522</v>
      </c>
      <c r="D5351" t="s">
        <v>17442</v>
      </c>
      <c r="E5351" t="s">
        <v>22132</v>
      </c>
      <c r="F5351" t="s">
        <v>30052</v>
      </c>
      <c r="G5351" t="s">
        <v>30059</v>
      </c>
      <c r="H5351" t="s">
        <v>30068</v>
      </c>
      <c r="I5351" t="s">
        <v>30068</v>
      </c>
      <c r="J5351" t="s">
        <v>30440</v>
      </c>
      <c r="K5351" t="s">
        <v>39146</v>
      </c>
      <c r="M5351" t="s">
        <v>41263</v>
      </c>
      <c r="N5351" t="s">
        <v>43166</v>
      </c>
      <c r="O5351" t="s">
        <v>43167</v>
      </c>
      <c r="P5351">
        <v>0</v>
      </c>
      <c r="Q5351">
        <v>4</v>
      </c>
      <c r="R5351" t="s">
        <v>43172</v>
      </c>
      <c r="S5351" t="s">
        <v>43334</v>
      </c>
      <c r="T5351" t="s">
        <v>44728</v>
      </c>
      <c r="U5351" t="s">
        <v>49575</v>
      </c>
      <c r="W5351" t="s">
        <v>41263</v>
      </c>
      <c r="X5351" t="s">
        <v>43173</v>
      </c>
    </row>
    <row r="5352" spans="1:24">
      <c r="A5352">
        <f>HYPERLINK("https://www.philgeps.gov.ph/GEPSNONPILOT/Tender/SplashBidNoticeAbstractUI.aspx?menuIndex=3&amp;refID=7079623&amp;Result=3","7079623")</f>
        <v>0</v>
      </c>
      <c r="B5352" t="s">
        <v>701</v>
      </c>
      <c r="C5352" t="s">
        <v>8523</v>
      </c>
      <c r="D5352" t="s">
        <v>17419</v>
      </c>
      <c r="E5352" t="s">
        <v>22133</v>
      </c>
      <c r="F5352" t="s">
        <v>30052</v>
      </c>
      <c r="G5352" t="s">
        <v>30058</v>
      </c>
      <c r="H5352" t="s">
        <v>30067</v>
      </c>
      <c r="I5352" t="s">
        <v>3693</v>
      </c>
      <c r="J5352" t="s">
        <v>30240</v>
      </c>
      <c r="K5352" t="s">
        <v>39025</v>
      </c>
      <c r="M5352" t="s">
        <v>40858</v>
      </c>
      <c r="N5352" t="s">
        <v>43166</v>
      </c>
      <c r="O5352" t="s">
        <v>43167</v>
      </c>
      <c r="P5352">
        <v>0</v>
      </c>
      <c r="Q5352">
        <v>2</v>
      </c>
      <c r="R5352" t="s">
        <v>43172</v>
      </c>
      <c r="S5352" t="s">
        <v>43334</v>
      </c>
      <c r="T5352" t="s">
        <v>44758</v>
      </c>
      <c r="U5352" t="s">
        <v>49576</v>
      </c>
      <c r="W5352" t="s">
        <v>40858</v>
      </c>
      <c r="X5352" t="s">
        <v>43173</v>
      </c>
    </row>
    <row r="5353" spans="1:24">
      <c r="A5353">
        <f>HYPERLINK("https://www.philgeps.gov.ph/GEPSNONPILOT/Tender/SplashBidNoticeAbstractUI.aspx?menuIndex=3&amp;refID=7079599&amp;Result=3","7079599")</f>
        <v>0</v>
      </c>
      <c r="B5353" t="s">
        <v>1839</v>
      </c>
      <c r="C5353" t="s">
        <v>8524</v>
      </c>
      <c r="D5353" t="s">
        <v>17415</v>
      </c>
      <c r="E5353" t="s">
        <v>22134</v>
      </c>
      <c r="F5353" t="s">
        <v>30052</v>
      </c>
      <c r="G5353" t="s">
        <v>30059</v>
      </c>
      <c r="H5353" t="s">
        <v>15498</v>
      </c>
      <c r="I5353" t="s">
        <v>4650</v>
      </c>
      <c r="J5353" t="s">
        <v>33131</v>
      </c>
      <c r="K5353" t="s">
        <v>39029</v>
      </c>
      <c r="M5353" t="s">
        <v>41264</v>
      </c>
      <c r="N5353" t="s">
        <v>43166</v>
      </c>
      <c r="O5353" t="s">
        <v>43167</v>
      </c>
      <c r="P5353">
        <v>0</v>
      </c>
      <c r="Q5353">
        <v>10</v>
      </c>
      <c r="R5353" t="s">
        <v>43172</v>
      </c>
      <c r="S5353" t="s">
        <v>43334</v>
      </c>
      <c r="T5353" t="s">
        <v>44777</v>
      </c>
      <c r="U5353" t="s">
        <v>49577</v>
      </c>
      <c r="W5353" t="s">
        <v>41264</v>
      </c>
      <c r="X5353" t="s">
        <v>43173</v>
      </c>
    </row>
    <row r="5354" spans="1:24">
      <c r="A5354">
        <f>HYPERLINK("https://www.philgeps.gov.ph/GEPSNONPILOT/Tender/SplashBidNoticeAbstractUI.aspx?menuIndex=3&amp;refID=7079608&amp;Result=3","7079608")</f>
        <v>0</v>
      </c>
      <c r="B5354" t="s">
        <v>701</v>
      </c>
      <c r="C5354" t="s">
        <v>8525</v>
      </c>
      <c r="D5354" t="s">
        <v>17419</v>
      </c>
      <c r="E5354" t="s">
        <v>22135</v>
      </c>
      <c r="F5354" t="s">
        <v>30052</v>
      </c>
      <c r="G5354" t="s">
        <v>30058</v>
      </c>
      <c r="H5354" t="s">
        <v>30067</v>
      </c>
      <c r="I5354" t="s">
        <v>3693</v>
      </c>
      <c r="J5354" t="s">
        <v>30240</v>
      </c>
      <c r="K5354" t="s">
        <v>39025</v>
      </c>
      <c r="M5354" t="s">
        <v>40858</v>
      </c>
      <c r="N5354" t="s">
        <v>43166</v>
      </c>
      <c r="O5354" t="s">
        <v>43167</v>
      </c>
      <c r="P5354">
        <v>0</v>
      </c>
      <c r="Q5354">
        <v>0</v>
      </c>
      <c r="R5354" t="s">
        <v>43172</v>
      </c>
      <c r="S5354" t="s">
        <v>43334</v>
      </c>
      <c r="T5354" t="s">
        <v>44758</v>
      </c>
      <c r="U5354" t="s">
        <v>49578</v>
      </c>
      <c r="W5354" t="s">
        <v>40858</v>
      </c>
      <c r="X5354" t="s">
        <v>43173</v>
      </c>
    </row>
    <row r="5355" spans="1:24">
      <c r="A5355">
        <f>HYPERLINK("https://www.philgeps.gov.ph/GEPSNONPILOT/Tender/SplashBidNoticeAbstractUI.aspx?menuIndex=3&amp;refID=7079584&amp;Result=3","7079584")</f>
        <v>0</v>
      </c>
      <c r="B5355" t="s">
        <v>1811</v>
      </c>
      <c r="C5355" t="s">
        <v>8526</v>
      </c>
      <c r="D5355" t="s">
        <v>17450</v>
      </c>
      <c r="E5355" t="s">
        <v>22136</v>
      </c>
      <c r="F5355" t="s">
        <v>30052</v>
      </c>
      <c r="G5355" t="s">
        <v>30058</v>
      </c>
      <c r="H5355" t="s">
        <v>30067</v>
      </c>
      <c r="I5355" t="s">
        <v>3693</v>
      </c>
      <c r="J5355" t="s">
        <v>33596</v>
      </c>
      <c r="K5355" t="s">
        <v>39033</v>
      </c>
      <c r="M5355" t="s">
        <v>41234</v>
      </c>
      <c r="N5355" t="s">
        <v>43166</v>
      </c>
      <c r="O5355" t="s">
        <v>43167</v>
      </c>
      <c r="P5355">
        <v>0</v>
      </c>
      <c r="Q5355">
        <v>1</v>
      </c>
      <c r="R5355" t="s">
        <v>43172</v>
      </c>
      <c r="S5355" t="s">
        <v>43334</v>
      </c>
      <c r="T5355" t="s">
        <v>44722</v>
      </c>
      <c r="U5355" t="s">
        <v>49480</v>
      </c>
      <c r="W5355" t="s">
        <v>41234</v>
      </c>
      <c r="X5355" t="s">
        <v>43173</v>
      </c>
    </row>
    <row r="5356" spans="1:24">
      <c r="A5356">
        <f>HYPERLINK("https://www.philgeps.gov.ph/GEPSNONPILOT/Tender/SplashBidNoticeAbstractUI.aspx?menuIndex=3&amp;refID=7079634&amp;Result=3","7079634")</f>
        <v>0</v>
      </c>
      <c r="B5356" t="s">
        <v>1840</v>
      </c>
      <c r="C5356" t="s">
        <v>8527</v>
      </c>
      <c r="D5356" t="s">
        <v>17449</v>
      </c>
      <c r="E5356" t="s">
        <v>22137</v>
      </c>
      <c r="F5356" t="s">
        <v>30052</v>
      </c>
      <c r="G5356" t="s">
        <v>30059</v>
      </c>
      <c r="H5356" t="s">
        <v>15498</v>
      </c>
      <c r="I5356" t="s">
        <v>30084</v>
      </c>
      <c r="J5356" t="s">
        <v>33597</v>
      </c>
      <c r="K5356" t="s">
        <v>39029</v>
      </c>
      <c r="M5356" t="s">
        <v>41265</v>
      </c>
      <c r="N5356" t="s">
        <v>43166</v>
      </c>
      <c r="O5356" t="s">
        <v>43167</v>
      </c>
      <c r="P5356">
        <v>0</v>
      </c>
      <c r="Q5356">
        <v>4</v>
      </c>
      <c r="R5356" t="s">
        <v>43172</v>
      </c>
      <c r="S5356" t="s">
        <v>43334</v>
      </c>
      <c r="T5356" t="s">
        <v>44717</v>
      </c>
      <c r="U5356" t="s">
        <v>49579</v>
      </c>
      <c r="V5356" t="s">
        <v>57421</v>
      </c>
      <c r="W5356" t="s">
        <v>41265</v>
      </c>
      <c r="X5356" t="s">
        <v>43173</v>
      </c>
    </row>
    <row r="5357" spans="1:24">
      <c r="A5357">
        <f>HYPERLINK("https://www.philgeps.gov.ph/GEPSNONPILOT/Tender/SplashBidNoticeAbstractUI.aspx?menuIndex=3&amp;refID=7079633&amp;Result=3","7079633")</f>
        <v>0</v>
      </c>
      <c r="B5357" t="s">
        <v>701</v>
      </c>
      <c r="C5357" t="s">
        <v>8528</v>
      </c>
      <c r="D5357" t="s">
        <v>17419</v>
      </c>
      <c r="E5357" t="s">
        <v>22138</v>
      </c>
      <c r="F5357" t="s">
        <v>30052</v>
      </c>
      <c r="G5357" t="s">
        <v>30058</v>
      </c>
      <c r="H5357" t="s">
        <v>30067</v>
      </c>
      <c r="I5357" t="s">
        <v>3693</v>
      </c>
      <c r="J5357" t="s">
        <v>33105</v>
      </c>
      <c r="K5357" t="s">
        <v>39025</v>
      </c>
      <c r="M5357" t="s">
        <v>40858</v>
      </c>
      <c r="N5357" t="s">
        <v>43166</v>
      </c>
      <c r="O5357" t="s">
        <v>43167</v>
      </c>
      <c r="P5357">
        <v>0</v>
      </c>
      <c r="Q5357">
        <v>0</v>
      </c>
      <c r="R5357" t="s">
        <v>43172</v>
      </c>
      <c r="S5357" t="s">
        <v>43334</v>
      </c>
      <c r="T5357" t="s">
        <v>44758</v>
      </c>
      <c r="U5357" t="s">
        <v>49580</v>
      </c>
      <c r="W5357" t="s">
        <v>40858</v>
      </c>
      <c r="X5357" t="s">
        <v>43173</v>
      </c>
    </row>
    <row r="5358" spans="1:24">
      <c r="A5358">
        <f>HYPERLINK("https://www.philgeps.gov.ph/GEPSNONPILOT/Tender/SplashBidNoticeAbstractUI.aspx?menuIndex=3&amp;refID=7079631&amp;Result=3","7079631")</f>
        <v>0</v>
      </c>
      <c r="B5358" t="s">
        <v>582</v>
      </c>
      <c r="C5358" t="s">
        <v>8529</v>
      </c>
      <c r="D5358" t="s">
        <v>17466</v>
      </c>
      <c r="E5358" t="s">
        <v>22139</v>
      </c>
      <c r="F5358" t="s">
        <v>30052</v>
      </c>
      <c r="G5358" t="s">
        <v>30058</v>
      </c>
      <c r="H5358" t="s">
        <v>15498</v>
      </c>
      <c r="I5358" t="s">
        <v>30073</v>
      </c>
      <c r="J5358" t="s">
        <v>33598</v>
      </c>
      <c r="K5358" t="s">
        <v>39025</v>
      </c>
      <c r="M5358" t="s">
        <v>39884</v>
      </c>
      <c r="N5358" t="s">
        <v>43166</v>
      </c>
      <c r="O5358" t="s">
        <v>43167</v>
      </c>
      <c r="P5358">
        <v>0</v>
      </c>
      <c r="Q5358">
        <v>0</v>
      </c>
      <c r="R5358" t="s">
        <v>43172</v>
      </c>
      <c r="S5358" t="s">
        <v>43334</v>
      </c>
      <c r="T5358" t="s">
        <v>44741</v>
      </c>
      <c r="U5358" t="s">
        <v>49581</v>
      </c>
      <c r="V5358" t="s">
        <v>56981</v>
      </c>
      <c r="W5358" t="s">
        <v>39884</v>
      </c>
      <c r="X5358" t="s">
        <v>43173</v>
      </c>
    </row>
    <row r="5359" spans="1:24">
      <c r="A5359">
        <f>HYPERLINK("https://www.philgeps.gov.ph/GEPSNONPILOT/Tender/SplashBidNoticeAbstractUI.aspx?menuIndex=3&amp;refID=7079666&amp;Result=3","7079666")</f>
        <v>0</v>
      </c>
      <c r="B5359" t="s">
        <v>1841</v>
      </c>
      <c r="C5359" t="s">
        <v>8530</v>
      </c>
      <c r="D5359" t="s">
        <v>17445</v>
      </c>
      <c r="E5359" t="s">
        <v>22140</v>
      </c>
      <c r="F5359" t="s">
        <v>30052</v>
      </c>
      <c r="G5359" t="s">
        <v>30059</v>
      </c>
      <c r="H5359" t="s">
        <v>30068</v>
      </c>
      <c r="I5359" t="s">
        <v>3693</v>
      </c>
      <c r="J5359" t="s">
        <v>31861</v>
      </c>
      <c r="K5359" t="s">
        <v>39156</v>
      </c>
      <c r="L5359" t="s">
        <v>1841</v>
      </c>
      <c r="M5359" t="s">
        <v>41266</v>
      </c>
      <c r="N5359" t="s">
        <v>43166</v>
      </c>
      <c r="O5359" t="s">
        <v>43167</v>
      </c>
      <c r="Q5359">
        <v>0</v>
      </c>
      <c r="R5359" t="s">
        <v>43172</v>
      </c>
      <c r="S5359" t="s">
        <v>43344</v>
      </c>
      <c r="T5359" t="s">
        <v>44773</v>
      </c>
      <c r="U5359" t="s">
        <v>49582</v>
      </c>
      <c r="W5359" t="s">
        <v>41266</v>
      </c>
      <c r="X5359" t="s">
        <v>43173</v>
      </c>
    </row>
    <row r="5360" spans="1:24">
      <c r="A5360">
        <f>HYPERLINK("https://www.philgeps.gov.ph/GEPSNONPILOT/Tender/SplashBidNoticeAbstractUI.aspx?menuIndex=3&amp;refID=7079662&amp;Result=3","7079662")</f>
        <v>0</v>
      </c>
      <c r="B5360" t="s">
        <v>1269</v>
      </c>
      <c r="C5360" t="s">
        <v>8531</v>
      </c>
      <c r="D5360" t="s">
        <v>17415</v>
      </c>
      <c r="E5360" t="s">
        <v>22141</v>
      </c>
      <c r="F5360" t="s">
        <v>30052</v>
      </c>
      <c r="G5360" t="s">
        <v>30059</v>
      </c>
      <c r="H5360" t="s">
        <v>15498</v>
      </c>
      <c r="I5360" t="s">
        <v>4650</v>
      </c>
      <c r="J5360" t="s">
        <v>33599</v>
      </c>
      <c r="K5360" t="s">
        <v>39034</v>
      </c>
      <c r="M5360" t="s">
        <v>41261</v>
      </c>
      <c r="N5360" t="s">
        <v>43166</v>
      </c>
      <c r="O5360" t="s">
        <v>43167</v>
      </c>
      <c r="P5360">
        <v>0</v>
      </c>
      <c r="Q5360">
        <v>2</v>
      </c>
      <c r="R5360" t="s">
        <v>43172</v>
      </c>
      <c r="S5360" t="s">
        <v>43334</v>
      </c>
      <c r="T5360" t="s">
        <v>44962</v>
      </c>
      <c r="U5360" t="s">
        <v>49583</v>
      </c>
      <c r="V5360" t="s">
        <v>57420</v>
      </c>
      <c r="W5360" t="s">
        <v>41261</v>
      </c>
      <c r="X5360" t="s">
        <v>43173</v>
      </c>
    </row>
    <row r="5361" spans="1:24">
      <c r="A5361">
        <f>HYPERLINK("https://www.philgeps.gov.ph/GEPSNONPILOT/Tender/SplashBidNoticeAbstractUI.aspx?menuIndex=3&amp;refID=7079597&amp;Result=3","7079597")</f>
        <v>0</v>
      </c>
      <c r="B5361" t="s">
        <v>1840</v>
      </c>
      <c r="C5361" t="s">
        <v>8532</v>
      </c>
      <c r="D5361" t="s">
        <v>17449</v>
      </c>
      <c r="E5361" t="s">
        <v>22142</v>
      </c>
      <c r="F5361" t="s">
        <v>30052</v>
      </c>
      <c r="G5361" t="s">
        <v>30059</v>
      </c>
      <c r="H5361" t="s">
        <v>15498</v>
      </c>
      <c r="I5361" t="s">
        <v>7228</v>
      </c>
      <c r="J5361" t="s">
        <v>33600</v>
      </c>
      <c r="K5361" t="s">
        <v>39029</v>
      </c>
      <c r="M5361" t="s">
        <v>41265</v>
      </c>
      <c r="N5361" t="s">
        <v>43166</v>
      </c>
      <c r="O5361" t="s">
        <v>43167</v>
      </c>
      <c r="P5361">
        <v>0</v>
      </c>
      <c r="Q5361">
        <v>0</v>
      </c>
      <c r="R5361" t="s">
        <v>43172</v>
      </c>
      <c r="S5361" t="s">
        <v>43334</v>
      </c>
      <c r="T5361" t="s">
        <v>44717</v>
      </c>
      <c r="U5361" t="s">
        <v>49579</v>
      </c>
      <c r="V5361" t="s">
        <v>57421</v>
      </c>
      <c r="W5361" t="s">
        <v>41265</v>
      </c>
      <c r="X5361" t="s">
        <v>43173</v>
      </c>
    </row>
    <row r="5362" spans="1:24">
      <c r="A5362">
        <f>HYPERLINK("https://www.philgeps.gov.ph/GEPSNONPILOT/Tender/SplashBidNoticeAbstractUI.aspx?menuIndex=3&amp;refID=7079659&amp;Result=3","7079659")</f>
        <v>0</v>
      </c>
      <c r="B5362" t="s">
        <v>1842</v>
      </c>
      <c r="C5362" t="s">
        <v>8533</v>
      </c>
      <c r="D5362" t="s">
        <v>17466</v>
      </c>
      <c r="E5362" t="s">
        <v>22143</v>
      </c>
      <c r="F5362" t="s">
        <v>30052</v>
      </c>
      <c r="G5362" t="s">
        <v>30058</v>
      </c>
      <c r="H5362" t="s">
        <v>15498</v>
      </c>
      <c r="I5362" t="s">
        <v>30070</v>
      </c>
      <c r="J5362" t="s">
        <v>33601</v>
      </c>
      <c r="K5362" t="s">
        <v>39039</v>
      </c>
      <c r="M5362" t="s">
        <v>41267</v>
      </c>
      <c r="N5362" t="s">
        <v>43166</v>
      </c>
      <c r="O5362" t="s">
        <v>43167</v>
      </c>
      <c r="P5362">
        <v>0</v>
      </c>
      <c r="Q5362">
        <v>1</v>
      </c>
      <c r="R5362" t="s">
        <v>43172</v>
      </c>
      <c r="S5362" t="s">
        <v>43334</v>
      </c>
      <c r="T5362" t="s">
        <v>44716</v>
      </c>
      <c r="U5362" t="s">
        <v>49584</v>
      </c>
      <c r="W5362" t="s">
        <v>41267</v>
      </c>
      <c r="X5362" t="s">
        <v>43173</v>
      </c>
    </row>
    <row r="5363" spans="1:24">
      <c r="A5363">
        <f>HYPERLINK("https://www.philgeps.gov.ph/GEPSNONPILOT/Tender/SplashBidNoticeAbstractUI.aspx?menuIndex=3&amp;refID=7079656&amp;Result=3","7079656")</f>
        <v>0</v>
      </c>
      <c r="B5363" t="s">
        <v>1843</v>
      </c>
      <c r="C5363" t="s">
        <v>8534</v>
      </c>
      <c r="E5363" t="s">
        <v>22144</v>
      </c>
      <c r="F5363" t="s">
        <v>30052</v>
      </c>
      <c r="G5363" t="s">
        <v>30058</v>
      </c>
      <c r="H5363" t="s">
        <v>15498</v>
      </c>
      <c r="I5363" t="s">
        <v>30076</v>
      </c>
      <c r="J5363" t="s">
        <v>33602</v>
      </c>
      <c r="K5363" t="s">
        <v>39025</v>
      </c>
      <c r="M5363" t="s">
        <v>41268</v>
      </c>
      <c r="N5363" t="s">
        <v>43166</v>
      </c>
      <c r="O5363" t="s">
        <v>43167</v>
      </c>
      <c r="P5363">
        <v>0</v>
      </c>
      <c r="Q5363">
        <v>9</v>
      </c>
      <c r="R5363" t="s">
        <v>43172</v>
      </c>
      <c r="S5363" t="s">
        <v>43334</v>
      </c>
      <c r="T5363" t="s">
        <v>44722</v>
      </c>
      <c r="U5363" t="s">
        <v>49585</v>
      </c>
      <c r="W5363" t="s">
        <v>41268</v>
      </c>
      <c r="X5363" t="s">
        <v>43173</v>
      </c>
    </row>
    <row r="5364" spans="1:24">
      <c r="A5364">
        <f>HYPERLINK("https://www.philgeps.gov.ph/GEPSNONPILOT/Tender/SplashBidNoticeAbstractUI.aspx?menuIndex=3&amp;refID=7079672&amp;Result=3","7079672")</f>
        <v>0</v>
      </c>
      <c r="B5364" t="s">
        <v>24</v>
      </c>
      <c r="C5364" t="s">
        <v>8535</v>
      </c>
      <c r="D5364" t="s">
        <v>17413</v>
      </c>
      <c r="E5364" t="s">
        <v>22145</v>
      </c>
      <c r="F5364" t="s">
        <v>30052</v>
      </c>
      <c r="G5364" t="s">
        <v>30059</v>
      </c>
      <c r="H5364" t="s">
        <v>15498</v>
      </c>
      <c r="I5364" t="s">
        <v>30087</v>
      </c>
      <c r="J5364" t="s">
        <v>33603</v>
      </c>
      <c r="K5364" t="s">
        <v>39019</v>
      </c>
      <c r="M5364" t="s">
        <v>41269</v>
      </c>
      <c r="N5364" t="s">
        <v>43166</v>
      </c>
      <c r="O5364" t="s">
        <v>43167</v>
      </c>
      <c r="P5364">
        <v>0</v>
      </c>
      <c r="Q5364">
        <v>1</v>
      </c>
      <c r="R5364" t="s">
        <v>43172</v>
      </c>
      <c r="S5364" t="s">
        <v>43334</v>
      </c>
      <c r="T5364" t="s">
        <v>44715</v>
      </c>
      <c r="U5364" t="s">
        <v>49586</v>
      </c>
      <c r="W5364" t="s">
        <v>41269</v>
      </c>
      <c r="X5364" t="s">
        <v>43173</v>
      </c>
    </row>
    <row r="5365" spans="1:24">
      <c r="A5365">
        <f>HYPERLINK("https://www.philgeps.gov.ph/GEPSNONPILOT/Tender/SplashBidNoticeAbstractUI.aspx?menuIndex=3&amp;refID=7079670&amp;Result=3","7079670")</f>
        <v>0</v>
      </c>
      <c r="B5365" t="s">
        <v>1844</v>
      </c>
      <c r="C5365" t="s">
        <v>8536</v>
      </c>
      <c r="D5365" t="s">
        <v>17455</v>
      </c>
      <c r="E5365" t="s">
        <v>22146</v>
      </c>
      <c r="F5365" t="s">
        <v>30052</v>
      </c>
      <c r="G5365" t="s">
        <v>30059</v>
      </c>
      <c r="H5365" t="s">
        <v>15498</v>
      </c>
      <c r="I5365" t="s">
        <v>4119</v>
      </c>
      <c r="J5365" t="s">
        <v>30895</v>
      </c>
      <c r="K5365" t="s">
        <v>39018</v>
      </c>
      <c r="M5365" t="s">
        <v>41270</v>
      </c>
      <c r="N5365" t="s">
        <v>43166</v>
      </c>
      <c r="O5365" t="s">
        <v>43167</v>
      </c>
      <c r="P5365">
        <v>0</v>
      </c>
      <c r="Q5365">
        <v>1</v>
      </c>
      <c r="R5365" t="s">
        <v>43172</v>
      </c>
      <c r="S5365" t="s">
        <v>43334</v>
      </c>
      <c r="T5365" t="s">
        <v>44715</v>
      </c>
      <c r="U5365" t="s">
        <v>49587</v>
      </c>
      <c r="W5365" t="s">
        <v>41270</v>
      </c>
      <c r="X5365" t="s">
        <v>43173</v>
      </c>
    </row>
    <row r="5366" spans="1:24">
      <c r="A5366">
        <f>HYPERLINK("https://www.philgeps.gov.ph/GEPSNONPILOT/Tender/SplashBidNoticeAbstractUI.aspx?menuIndex=3&amp;refID=7079635&amp;Result=3","7079635")</f>
        <v>0</v>
      </c>
      <c r="B5366" t="s">
        <v>1845</v>
      </c>
      <c r="C5366" t="s">
        <v>4252</v>
      </c>
      <c r="D5366" t="s">
        <v>17415</v>
      </c>
      <c r="E5366" t="s">
        <v>22147</v>
      </c>
      <c r="F5366" t="s">
        <v>30052</v>
      </c>
      <c r="G5366" t="s">
        <v>30058</v>
      </c>
      <c r="H5366" t="s">
        <v>15498</v>
      </c>
      <c r="I5366" t="s">
        <v>30070</v>
      </c>
      <c r="J5366" t="s">
        <v>30277</v>
      </c>
      <c r="K5366" t="s">
        <v>39017</v>
      </c>
      <c r="M5366" t="s">
        <v>41271</v>
      </c>
      <c r="N5366" t="s">
        <v>43166</v>
      </c>
      <c r="O5366" t="s">
        <v>43167</v>
      </c>
      <c r="P5366">
        <v>0</v>
      </c>
      <c r="Q5366">
        <v>1</v>
      </c>
      <c r="R5366" t="s">
        <v>43172</v>
      </c>
      <c r="S5366" t="s">
        <v>43334</v>
      </c>
      <c r="T5366" t="s">
        <v>44737</v>
      </c>
      <c r="U5366" t="s">
        <v>49588</v>
      </c>
      <c r="W5366" t="s">
        <v>41271</v>
      </c>
      <c r="X5366" t="s">
        <v>43173</v>
      </c>
    </row>
    <row r="5367" spans="1:24">
      <c r="A5367">
        <f>HYPERLINK("https://www.philgeps.gov.ph/GEPSNONPILOT/Tender/SplashBidNoticeAbstractUI.aspx?menuIndex=3&amp;refID=7079605&amp;Result=3","7079605")</f>
        <v>0</v>
      </c>
      <c r="B5367" t="s">
        <v>1777</v>
      </c>
      <c r="C5367" t="s">
        <v>8537</v>
      </c>
      <c r="D5367" t="s">
        <v>17461</v>
      </c>
      <c r="E5367" t="s">
        <v>22148</v>
      </c>
      <c r="F5367" t="s">
        <v>30052</v>
      </c>
      <c r="G5367" t="s">
        <v>30059</v>
      </c>
      <c r="H5367" t="s">
        <v>15498</v>
      </c>
      <c r="I5367" t="s">
        <v>30094</v>
      </c>
      <c r="J5367" t="s">
        <v>33604</v>
      </c>
      <c r="K5367" t="s">
        <v>39029</v>
      </c>
      <c r="M5367" t="s">
        <v>41197</v>
      </c>
      <c r="N5367" t="s">
        <v>43166</v>
      </c>
      <c r="O5367" t="s">
        <v>43167</v>
      </c>
      <c r="P5367">
        <v>0</v>
      </c>
      <c r="Q5367">
        <v>0</v>
      </c>
      <c r="R5367" t="s">
        <v>43172</v>
      </c>
      <c r="S5367" t="s">
        <v>43334</v>
      </c>
      <c r="T5367" t="s">
        <v>44696</v>
      </c>
      <c r="U5367" t="s">
        <v>49589</v>
      </c>
      <c r="W5367" t="s">
        <v>41197</v>
      </c>
      <c r="X5367" t="s">
        <v>43173</v>
      </c>
    </row>
    <row r="5368" spans="1:24">
      <c r="A5368">
        <f>HYPERLINK("https://www.philgeps.gov.ph/GEPSNONPILOT/Tender/SplashBidNoticeAbstractUI.aspx?menuIndex=3&amp;refID=7079675&amp;Result=3","7079675")</f>
        <v>0</v>
      </c>
      <c r="B5368" t="s">
        <v>1100</v>
      </c>
      <c r="C5368" t="s">
        <v>8538</v>
      </c>
      <c r="D5368" t="s">
        <v>17466</v>
      </c>
      <c r="E5368" t="s">
        <v>22149</v>
      </c>
      <c r="F5368" t="s">
        <v>30052</v>
      </c>
      <c r="G5368" t="s">
        <v>30059</v>
      </c>
      <c r="H5368" t="s">
        <v>15498</v>
      </c>
      <c r="I5368" t="s">
        <v>30094</v>
      </c>
      <c r="J5368" t="s">
        <v>33605</v>
      </c>
      <c r="K5368" t="s">
        <v>39025</v>
      </c>
      <c r="M5368" t="s">
        <v>40439</v>
      </c>
      <c r="N5368" t="s">
        <v>43166</v>
      </c>
      <c r="O5368" t="s">
        <v>43167</v>
      </c>
      <c r="P5368">
        <v>0</v>
      </c>
      <c r="Q5368">
        <v>0</v>
      </c>
      <c r="R5368" t="s">
        <v>43172</v>
      </c>
      <c r="S5368" t="s">
        <v>43334</v>
      </c>
      <c r="T5368" t="s">
        <v>44698</v>
      </c>
      <c r="U5368" t="s">
        <v>49541</v>
      </c>
      <c r="W5368" t="s">
        <v>40439</v>
      </c>
      <c r="X5368" t="s">
        <v>43173</v>
      </c>
    </row>
    <row r="5369" spans="1:24">
      <c r="A5369">
        <f>HYPERLINK("https://www.philgeps.gov.ph/GEPSNONPILOT/Tender/SplashBidNoticeAbstractUI.aspx?menuIndex=3&amp;refID=7079651&amp;Result=3","7079651")</f>
        <v>0</v>
      </c>
      <c r="B5369" t="s">
        <v>1846</v>
      </c>
      <c r="C5369" t="s">
        <v>8539</v>
      </c>
      <c r="D5369" t="s">
        <v>17416</v>
      </c>
      <c r="E5369" t="s">
        <v>22150</v>
      </c>
      <c r="F5369" t="s">
        <v>30052</v>
      </c>
      <c r="G5369" t="s">
        <v>30061</v>
      </c>
      <c r="H5369" t="s">
        <v>15498</v>
      </c>
      <c r="I5369" t="s">
        <v>30071</v>
      </c>
      <c r="J5369" t="s">
        <v>33606</v>
      </c>
      <c r="K5369" t="s">
        <v>39034</v>
      </c>
      <c r="M5369" t="s">
        <v>41272</v>
      </c>
      <c r="N5369" t="s">
        <v>43166</v>
      </c>
      <c r="O5369" t="s">
        <v>43167</v>
      </c>
      <c r="P5369">
        <v>0</v>
      </c>
      <c r="Q5369">
        <v>1</v>
      </c>
      <c r="R5369" t="s">
        <v>43172</v>
      </c>
      <c r="S5369" t="s">
        <v>43334</v>
      </c>
      <c r="T5369" t="s">
        <v>44777</v>
      </c>
      <c r="U5369" t="s">
        <v>49590</v>
      </c>
      <c r="W5369" t="s">
        <v>41272</v>
      </c>
      <c r="X5369" t="s">
        <v>43173</v>
      </c>
    </row>
    <row r="5370" spans="1:24">
      <c r="A5370">
        <f>HYPERLINK("https://www.philgeps.gov.ph/GEPSNONPILOT/Tender/SplashBidNoticeAbstractUI.aspx?menuIndex=3&amp;refID=7079650&amp;Result=3","7079650")</f>
        <v>0</v>
      </c>
      <c r="B5370" t="s">
        <v>1840</v>
      </c>
      <c r="C5370" t="s">
        <v>8540</v>
      </c>
      <c r="D5370" t="s">
        <v>17449</v>
      </c>
      <c r="E5370" t="s">
        <v>22151</v>
      </c>
      <c r="F5370" t="s">
        <v>30052</v>
      </c>
      <c r="G5370" t="s">
        <v>30059</v>
      </c>
      <c r="H5370" t="s">
        <v>15498</v>
      </c>
      <c r="I5370" t="s">
        <v>3852</v>
      </c>
      <c r="J5370" t="s">
        <v>33607</v>
      </c>
      <c r="K5370" t="s">
        <v>39029</v>
      </c>
      <c r="M5370" t="s">
        <v>41265</v>
      </c>
      <c r="N5370" t="s">
        <v>43166</v>
      </c>
      <c r="O5370" t="s">
        <v>43167</v>
      </c>
      <c r="P5370">
        <v>0</v>
      </c>
      <c r="Q5370">
        <v>2</v>
      </c>
      <c r="R5370" t="s">
        <v>43172</v>
      </c>
      <c r="S5370" t="s">
        <v>43334</v>
      </c>
      <c r="T5370" t="s">
        <v>44717</v>
      </c>
      <c r="U5370" t="s">
        <v>49579</v>
      </c>
      <c r="V5370" t="s">
        <v>57421</v>
      </c>
      <c r="W5370" t="s">
        <v>41265</v>
      </c>
      <c r="X5370" t="s">
        <v>43173</v>
      </c>
    </row>
    <row r="5371" spans="1:24">
      <c r="A5371">
        <f>HYPERLINK("https://www.philgeps.gov.ph/GEPSNONPILOT/Tender/SplashBidNoticeAbstractUI.aspx?menuIndex=3&amp;refID=7079602&amp;Result=3","7079602")</f>
        <v>0</v>
      </c>
      <c r="B5371" t="s">
        <v>1655</v>
      </c>
      <c r="C5371" t="s">
        <v>8541</v>
      </c>
      <c r="D5371" t="s">
        <v>17481</v>
      </c>
      <c r="E5371" t="s">
        <v>22152</v>
      </c>
      <c r="F5371" t="s">
        <v>30052</v>
      </c>
      <c r="G5371" t="s">
        <v>30058</v>
      </c>
      <c r="H5371" t="s">
        <v>15498</v>
      </c>
      <c r="I5371" t="s">
        <v>30076</v>
      </c>
      <c r="J5371" t="s">
        <v>33608</v>
      </c>
      <c r="K5371" t="s">
        <v>39034</v>
      </c>
      <c r="M5371" t="s">
        <v>41060</v>
      </c>
      <c r="N5371" t="s">
        <v>43166</v>
      </c>
      <c r="O5371" t="s">
        <v>43167</v>
      </c>
      <c r="P5371">
        <v>0</v>
      </c>
      <c r="Q5371">
        <v>6</v>
      </c>
      <c r="R5371" t="s">
        <v>43172</v>
      </c>
      <c r="S5371" t="s">
        <v>43334</v>
      </c>
      <c r="T5371" t="s">
        <v>44796</v>
      </c>
      <c r="U5371" t="s">
        <v>49591</v>
      </c>
      <c r="W5371" t="s">
        <v>41060</v>
      </c>
      <c r="X5371" t="s">
        <v>43173</v>
      </c>
    </row>
    <row r="5372" spans="1:24">
      <c r="A5372">
        <f>HYPERLINK("https://www.philgeps.gov.ph/GEPSNONPILOT/Tender/SplashBidNoticeAbstractUI.aspx?menuIndex=3&amp;refID=7079646&amp;Result=3","7079646")</f>
        <v>0</v>
      </c>
      <c r="B5372" t="s">
        <v>978</v>
      </c>
      <c r="C5372" t="s">
        <v>8542</v>
      </c>
      <c r="D5372" t="s">
        <v>17421</v>
      </c>
      <c r="E5372" t="s">
        <v>22153</v>
      </c>
      <c r="F5372" t="s">
        <v>30052</v>
      </c>
      <c r="G5372" t="s">
        <v>30058</v>
      </c>
      <c r="H5372" t="s">
        <v>30067</v>
      </c>
      <c r="I5372" t="s">
        <v>30097</v>
      </c>
      <c r="J5372" t="s">
        <v>33609</v>
      </c>
      <c r="K5372" t="s">
        <v>39019</v>
      </c>
      <c r="M5372" t="s">
        <v>40305</v>
      </c>
      <c r="N5372" t="s">
        <v>43166</v>
      </c>
      <c r="O5372" t="s">
        <v>43167</v>
      </c>
      <c r="P5372">
        <v>0</v>
      </c>
      <c r="Q5372">
        <v>0</v>
      </c>
      <c r="R5372" t="s">
        <v>43172</v>
      </c>
      <c r="S5372" t="s">
        <v>43334</v>
      </c>
      <c r="T5372" t="s">
        <v>44685</v>
      </c>
      <c r="U5372" t="s">
        <v>47233</v>
      </c>
      <c r="W5372" t="s">
        <v>40305</v>
      </c>
      <c r="X5372" t="s">
        <v>43173</v>
      </c>
    </row>
    <row r="5373" spans="1:24">
      <c r="A5373">
        <f>HYPERLINK("https://www.philgeps.gov.ph/GEPSNONPILOT/Tender/SplashBidNoticeAbstractUI.aspx?menuIndex=3&amp;refID=7079644&amp;Result=3","7079644")</f>
        <v>0</v>
      </c>
      <c r="B5373" t="s">
        <v>54</v>
      </c>
      <c r="C5373" t="s">
        <v>8543</v>
      </c>
      <c r="D5373" t="s">
        <v>17437</v>
      </c>
      <c r="E5373" t="s">
        <v>22154</v>
      </c>
      <c r="F5373" t="s">
        <v>30052</v>
      </c>
      <c r="G5373" t="s">
        <v>30058</v>
      </c>
      <c r="H5373" t="s">
        <v>30067</v>
      </c>
      <c r="I5373" t="s">
        <v>3693</v>
      </c>
      <c r="J5373" t="s">
        <v>31564</v>
      </c>
      <c r="K5373" t="s">
        <v>39026</v>
      </c>
      <c r="M5373" t="s">
        <v>39343</v>
      </c>
      <c r="N5373" t="s">
        <v>43166</v>
      </c>
      <c r="O5373" t="s">
        <v>43167</v>
      </c>
      <c r="P5373">
        <v>0</v>
      </c>
      <c r="Q5373">
        <v>1</v>
      </c>
      <c r="R5373" t="s">
        <v>43172</v>
      </c>
      <c r="S5373" t="s">
        <v>43334</v>
      </c>
      <c r="T5373" t="s">
        <v>44722</v>
      </c>
      <c r="U5373" t="s">
        <v>49592</v>
      </c>
      <c r="W5373" t="s">
        <v>39343</v>
      </c>
      <c r="X5373" t="s">
        <v>43173</v>
      </c>
    </row>
    <row r="5374" spans="1:24">
      <c r="A5374">
        <f>HYPERLINK("https://www.philgeps.gov.ph/GEPSNONPILOT/Tender/SplashBidNoticeAbstractUI.aspx?menuIndex=3&amp;refID=7079668&amp;Result=3","7079668")</f>
        <v>0</v>
      </c>
      <c r="B5374" t="s">
        <v>1792</v>
      </c>
      <c r="C5374" t="s">
        <v>8544</v>
      </c>
      <c r="D5374" t="s">
        <v>17432</v>
      </c>
      <c r="E5374" t="s">
        <v>21970</v>
      </c>
      <c r="F5374" t="s">
        <v>30052</v>
      </c>
      <c r="G5374" t="s">
        <v>30060</v>
      </c>
      <c r="H5374" t="s">
        <v>15498</v>
      </c>
      <c r="I5374" t="s">
        <v>30108</v>
      </c>
      <c r="J5374" t="s">
        <v>30417</v>
      </c>
      <c r="K5374" t="s">
        <v>39034</v>
      </c>
      <c r="M5374" t="s">
        <v>41214</v>
      </c>
      <c r="N5374" t="s">
        <v>43166</v>
      </c>
      <c r="O5374" t="s">
        <v>43167</v>
      </c>
      <c r="P5374">
        <v>0</v>
      </c>
      <c r="Q5374">
        <v>2</v>
      </c>
      <c r="R5374" t="s">
        <v>43172</v>
      </c>
      <c r="S5374" t="s">
        <v>43334</v>
      </c>
      <c r="T5374" t="s">
        <v>44714</v>
      </c>
      <c r="U5374" t="s">
        <v>49593</v>
      </c>
      <c r="W5374" t="s">
        <v>41214</v>
      </c>
      <c r="X5374" t="s">
        <v>43173</v>
      </c>
    </row>
    <row r="5375" spans="1:24">
      <c r="A5375">
        <f>HYPERLINK("https://www.philgeps.gov.ph/GEPSNONPILOT/Tender/SplashBidNoticeAbstractUI.aspx?menuIndex=3&amp;refID=7079652&amp;Result=3","7079652")</f>
        <v>0</v>
      </c>
      <c r="B5375" t="s">
        <v>1845</v>
      </c>
      <c r="C5375" t="s">
        <v>8545</v>
      </c>
      <c r="D5375" t="s">
        <v>17415</v>
      </c>
      <c r="E5375" t="s">
        <v>22155</v>
      </c>
      <c r="F5375" t="s">
        <v>30052</v>
      </c>
      <c r="G5375" t="s">
        <v>30058</v>
      </c>
      <c r="H5375" t="s">
        <v>15498</v>
      </c>
      <c r="I5375" t="s">
        <v>3852</v>
      </c>
      <c r="J5375" t="s">
        <v>31358</v>
      </c>
      <c r="K5375" t="s">
        <v>39017</v>
      </c>
      <c r="M5375" t="s">
        <v>41271</v>
      </c>
      <c r="N5375" t="s">
        <v>43166</v>
      </c>
      <c r="O5375" t="s">
        <v>43167</v>
      </c>
      <c r="P5375">
        <v>0</v>
      </c>
      <c r="Q5375">
        <v>1</v>
      </c>
      <c r="R5375" t="s">
        <v>43172</v>
      </c>
      <c r="S5375" t="s">
        <v>43334</v>
      </c>
      <c r="T5375" t="s">
        <v>44737</v>
      </c>
      <c r="U5375" t="s">
        <v>49594</v>
      </c>
      <c r="W5375" t="s">
        <v>41271</v>
      </c>
      <c r="X5375" t="s">
        <v>43173</v>
      </c>
    </row>
    <row r="5376" spans="1:24">
      <c r="A5376">
        <f>HYPERLINK("https://www.philgeps.gov.ph/GEPSNONPILOT/Tender/SplashBidNoticeAbstractUI.aspx?menuIndex=3&amp;refID=7079641&amp;Result=3","7079641")</f>
        <v>0</v>
      </c>
      <c r="B5376" t="s">
        <v>1269</v>
      </c>
      <c r="C5376" t="s">
        <v>8546</v>
      </c>
      <c r="D5376" t="s">
        <v>17415</v>
      </c>
      <c r="E5376" t="s">
        <v>22156</v>
      </c>
      <c r="F5376" t="s">
        <v>30052</v>
      </c>
      <c r="G5376" t="s">
        <v>30059</v>
      </c>
      <c r="H5376" t="s">
        <v>15498</v>
      </c>
      <c r="I5376" t="s">
        <v>30111</v>
      </c>
      <c r="J5376" t="s">
        <v>33610</v>
      </c>
      <c r="K5376" t="s">
        <v>39034</v>
      </c>
      <c r="M5376" t="s">
        <v>41261</v>
      </c>
      <c r="N5376" t="s">
        <v>43166</v>
      </c>
      <c r="O5376" t="s">
        <v>43167</v>
      </c>
      <c r="P5376">
        <v>0</v>
      </c>
      <c r="Q5376">
        <v>12</v>
      </c>
      <c r="R5376" t="s">
        <v>43172</v>
      </c>
      <c r="S5376" t="s">
        <v>43334</v>
      </c>
      <c r="T5376" t="s">
        <v>44962</v>
      </c>
      <c r="U5376" t="s">
        <v>49595</v>
      </c>
      <c r="V5376" t="s">
        <v>57420</v>
      </c>
      <c r="W5376" t="s">
        <v>41261</v>
      </c>
      <c r="X5376" t="s">
        <v>43173</v>
      </c>
    </row>
    <row r="5377" spans="1:24">
      <c r="A5377">
        <f>HYPERLINK("https://www.philgeps.gov.ph/GEPSNONPILOT/Tender/SplashBidNoticeAbstractUI.aspx?menuIndex=3&amp;refID=7079681&amp;Result=3","7079681")</f>
        <v>0</v>
      </c>
      <c r="B5377" t="s">
        <v>348</v>
      </c>
      <c r="C5377" t="s">
        <v>8547</v>
      </c>
      <c r="D5377" t="s">
        <v>17416</v>
      </c>
      <c r="E5377" t="s">
        <v>22157</v>
      </c>
      <c r="F5377" t="s">
        <v>30052</v>
      </c>
      <c r="G5377" t="s">
        <v>30058</v>
      </c>
      <c r="H5377" t="s">
        <v>30067</v>
      </c>
      <c r="I5377" t="s">
        <v>3693</v>
      </c>
      <c r="J5377" t="s">
        <v>33611</v>
      </c>
      <c r="K5377" t="s">
        <v>39157</v>
      </c>
      <c r="M5377" t="s">
        <v>39645</v>
      </c>
      <c r="N5377" t="s">
        <v>43166</v>
      </c>
      <c r="O5377" t="s">
        <v>43167</v>
      </c>
      <c r="P5377">
        <v>0</v>
      </c>
      <c r="Q5377">
        <v>0</v>
      </c>
      <c r="R5377" t="s">
        <v>43172</v>
      </c>
      <c r="S5377" t="s">
        <v>43334</v>
      </c>
      <c r="T5377" t="s">
        <v>45005</v>
      </c>
      <c r="U5377" t="s">
        <v>49596</v>
      </c>
      <c r="V5377" t="s">
        <v>57422</v>
      </c>
      <c r="W5377" t="s">
        <v>39645</v>
      </c>
      <c r="X5377" t="s">
        <v>43173</v>
      </c>
    </row>
    <row r="5378" spans="1:24">
      <c r="A5378">
        <f>HYPERLINK("https://www.philgeps.gov.ph/GEPSNONPILOT/Tender/SplashBidNoticeAbstractUI.aspx?menuIndex=3&amp;refID=7079678&amp;Result=3","7079678")</f>
        <v>0</v>
      </c>
      <c r="B5378" t="s">
        <v>1847</v>
      </c>
      <c r="C5378" t="s">
        <v>8548</v>
      </c>
      <c r="D5378" t="s">
        <v>17480</v>
      </c>
      <c r="E5378" t="s">
        <v>22158</v>
      </c>
      <c r="F5378" t="s">
        <v>30052</v>
      </c>
      <c r="G5378" t="s">
        <v>30058</v>
      </c>
      <c r="H5378" t="s">
        <v>15498</v>
      </c>
      <c r="I5378" t="s">
        <v>30140</v>
      </c>
      <c r="J5378" t="s">
        <v>33612</v>
      </c>
      <c r="K5378" t="s">
        <v>39037</v>
      </c>
      <c r="M5378" t="s">
        <v>41273</v>
      </c>
      <c r="N5378" t="s">
        <v>43166</v>
      </c>
      <c r="O5378" t="s">
        <v>43167</v>
      </c>
      <c r="P5378">
        <v>0</v>
      </c>
      <c r="Q5378">
        <v>1</v>
      </c>
      <c r="R5378" t="s">
        <v>43172</v>
      </c>
      <c r="S5378" t="s">
        <v>43334</v>
      </c>
      <c r="T5378" t="s">
        <v>44720</v>
      </c>
      <c r="U5378" t="s">
        <v>49597</v>
      </c>
      <c r="W5378" t="s">
        <v>41273</v>
      </c>
      <c r="X5378" t="s">
        <v>43173</v>
      </c>
    </row>
    <row r="5379" spans="1:24">
      <c r="A5379">
        <f>HYPERLINK("https://www.philgeps.gov.ph/GEPSNONPILOT/Tender/SplashBidNoticeAbstractUI.aspx?menuIndex=3&amp;refID=7079649&amp;Result=3","7079649")</f>
        <v>0</v>
      </c>
      <c r="B5379" t="s">
        <v>582</v>
      </c>
      <c r="C5379" t="s">
        <v>8549</v>
      </c>
      <c r="D5379" t="s">
        <v>17466</v>
      </c>
      <c r="E5379" t="s">
        <v>22159</v>
      </c>
      <c r="F5379" t="s">
        <v>30052</v>
      </c>
      <c r="G5379" t="s">
        <v>30058</v>
      </c>
      <c r="H5379" t="s">
        <v>15498</v>
      </c>
      <c r="I5379" t="s">
        <v>9238</v>
      </c>
      <c r="J5379" t="s">
        <v>33613</v>
      </c>
      <c r="K5379" t="s">
        <v>39025</v>
      </c>
      <c r="M5379" t="s">
        <v>39884</v>
      </c>
      <c r="N5379" t="s">
        <v>43166</v>
      </c>
      <c r="O5379" t="s">
        <v>43167</v>
      </c>
      <c r="P5379">
        <v>0</v>
      </c>
      <c r="Q5379">
        <v>4</v>
      </c>
      <c r="R5379" t="s">
        <v>43172</v>
      </c>
      <c r="S5379" t="s">
        <v>43334</v>
      </c>
      <c r="T5379" t="s">
        <v>44741</v>
      </c>
      <c r="U5379" t="s">
        <v>49598</v>
      </c>
      <c r="V5379" t="s">
        <v>56981</v>
      </c>
      <c r="W5379" t="s">
        <v>39884</v>
      </c>
      <c r="X5379" t="s">
        <v>43173</v>
      </c>
    </row>
    <row r="5380" spans="1:24">
      <c r="A5380">
        <f>HYPERLINK("https://www.philgeps.gov.ph/GEPSNONPILOT/Tender/SplashBidNoticeAbstractUI.aspx?menuIndex=3&amp;refID=7079677&amp;Result=3","7079677")</f>
        <v>0</v>
      </c>
      <c r="B5380" t="s">
        <v>1840</v>
      </c>
      <c r="C5380" t="s">
        <v>8550</v>
      </c>
      <c r="D5380" t="s">
        <v>17449</v>
      </c>
      <c r="E5380" t="s">
        <v>22160</v>
      </c>
      <c r="F5380" t="s">
        <v>30052</v>
      </c>
      <c r="G5380" t="s">
        <v>30059</v>
      </c>
      <c r="H5380" t="s">
        <v>15498</v>
      </c>
      <c r="I5380" t="s">
        <v>3852</v>
      </c>
      <c r="J5380" t="s">
        <v>33614</v>
      </c>
      <c r="K5380" t="s">
        <v>39029</v>
      </c>
      <c r="M5380" t="s">
        <v>41265</v>
      </c>
      <c r="N5380" t="s">
        <v>43166</v>
      </c>
      <c r="O5380" t="s">
        <v>43167</v>
      </c>
      <c r="P5380">
        <v>0</v>
      </c>
      <c r="Q5380">
        <v>3</v>
      </c>
      <c r="R5380" t="s">
        <v>43172</v>
      </c>
      <c r="S5380" t="s">
        <v>43334</v>
      </c>
      <c r="T5380" t="s">
        <v>44717</v>
      </c>
      <c r="U5380" t="s">
        <v>49579</v>
      </c>
      <c r="V5380" t="s">
        <v>57421</v>
      </c>
      <c r="W5380" t="s">
        <v>41265</v>
      </c>
      <c r="X5380" t="s">
        <v>43173</v>
      </c>
    </row>
    <row r="5381" spans="1:24">
      <c r="A5381">
        <f>HYPERLINK("https://www.philgeps.gov.ph/GEPSNONPILOT/Tender/SplashBidNoticeAbstractUI.aspx?menuIndex=3&amp;refID=7079709&amp;Result=3","7079709")</f>
        <v>0</v>
      </c>
      <c r="B5381" t="s">
        <v>1308</v>
      </c>
      <c r="C5381" t="s">
        <v>8551</v>
      </c>
      <c r="D5381" t="s">
        <v>17446</v>
      </c>
      <c r="E5381" t="s">
        <v>22161</v>
      </c>
      <c r="F5381" t="s">
        <v>30052</v>
      </c>
      <c r="G5381" t="s">
        <v>30059</v>
      </c>
      <c r="H5381" t="s">
        <v>15498</v>
      </c>
      <c r="I5381" t="s">
        <v>30150</v>
      </c>
      <c r="J5381" t="s">
        <v>30277</v>
      </c>
      <c r="K5381" t="s">
        <v>39017</v>
      </c>
      <c r="M5381" t="s">
        <v>40675</v>
      </c>
      <c r="N5381" t="s">
        <v>43166</v>
      </c>
      <c r="O5381" t="s">
        <v>43167</v>
      </c>
      <c r="P5381">
        <v>0</v>
      </c>
      <c r="Q5381">
        <v>7</v>
      </c>
      <c r="R5381" t="s">
        <v>43172</v>
      </c>
      <c r="S5381" t="s">
        <v>43334</v>
      </c>
      <c r="T5381" t="s">
        <v>44844</v>
      </c>
      <c r="U5381" t="s">
        <v>49599</v>
      </c>
      <c r="W5381" t="s">
        <v>40675</v>
      </c>
      <c r="X5381" t="s">
        <v>43173</v>
      </c>
    </row>
    <row r="5382" spans="1:24">
      <c r="A5382">
        <f>HYPERLINK("https://www.philgeps.gov.ph/GEPSNONPILOT/Tender/SplashBidNoticeAbstractUI.aspx?menuIndex=3&amp;refID=7079707&amp;Result=3","7079707")</f>
        <v>0</v>
      </c>
      <c r="B5382" t="s">
        <v>596</v>
      </c>
      <c r="C5382" t="s">
        <v>8552</v>
      </c>
      <c r="D5382" t="s">
        <v>17459</v>
      </c>
      <c r="E5382" t="s">
        <v>22162</v>
      </c>
      <c r="F5382" t="s">
        <v>30052</v>
      </c>
      <c r="G5382" t="s">
        <v>30058</v>
      </c>
      <c r="H5382" t="s">
        <v>30067</v>
      </c>
      <c r="I5382" t="s">
        <v>3693</v>
      </c>
      <c r="J5382" t="s">
        <v>33615</v>
      </c>
      <c r="K5382" t="s">
        <v>39023</v>
      </c>
      <c r="M5382" t="s">
        <v>39898</v>
      </c>
      <c r="N5382" t="s">
        <v>43166</v>
      </c>
      <c r="O5382" t="s">
        <v>43167</v>
      </c>
      <c r="P5382">
        <v>0</v>
      </c>
      <c r="Q5382">
        <v>1</v>
      </c>
      <c r="R5382" t="s">
        <v>43172</v>
      </c>
      <c r="S5382" t="s">
        <v>43334</v>
      </c>
      <c r="T5382" t="s">
        <v>44796</v>
      </c>
      <c r="U5382" t="s">
        <v>49600</v>
      </c>
      <c r="V5382" t="s">
        <v>56984</v>
      </c>
      <c r="W5382" t="s">
        <v>39898</v>
      </c>
      <c r="X5382" t="s">
        <v>43173</v>
      </c>
    </row>
    <row r="5383" spans="1:24">
      <c r="A5383">
        <f>HYPERLINK("https://www.philgeps.gov.ph/GEPSNONPILOT/Tender/SplashBidNoticeAbstractUI.aspx?menuIndex=3&amp;refID=7079706&amp;Result=3","7079706")</f>
        <v>0</v>
      </c>
      <c r="B5383" t="s">
        <v>1792</v>
      </c>
      <c r="C5383" t="s">
        <v>8553</v>
      </c>
      <c r="D5383" t="s">
        <v>17432</v>
      </c>
      <c r="E5383" t="s">
        <v>21970</v>
      </c>
      <c r="F5383" t="s">
        <v>30052</v>
      </c>
      <c r="G5383" t="s">
        <v>30060</v>
      </c>
      <c r="H5383" t="s">
        <v>15498</v>
      </c>
      <c r="I5383" t="s">
        <v>30092</v>
      </c>
      <c r="J5383" t="s">
        <v>32396</v>
      </c>
      <c r="K5383" t="s">
        <v>39034</v>
      </c>
      <c r="M5383" t="s">
        <v>41214</v>
      </c>
      <c r="N5383" t="s">
        <v>43166</v>
      </c>
      <c r="O5383" t="s">
        <v>43167</v>
      </c>
      <c r="P5383">
        <v>0</v>
      </c>
      <c r="Q5383">
        <v>0</v>
      </c>
      <c r="R5383" t="s">
        <v>43172</v>
      </c>
      <c r="S5383" t="s">
        <v>43334</v>
      </c>
      <c r="T5383" t="s">
        <v>44714</v>
      </c>
      <c r="U5383" t="s">
        <v>49601</v>
      </c>
      <c r="W5383" t="s">
        <v>41214</v>
      </c>
      <c r="X5383" t="s">
        <v>43173</v>
      </c>
    </row>
    <row r="5384" spans="1:24">
      <c r="A5384">
        <f>HYPERLINK("https://www.philgeps.gov.ph/GEPSNONPILOT/Tender/SplashBidNoticeAbstractUI.aspx?menuIndex=3&amp;refID=7079642&amp;Result=3","7079642")</f>
        <v>0</v>
      </c>
      <c r="B5384" t="s">
        <v>582</v>
      </c>
      <c r="C5384" t="s">
        <v>8554</v>
      </c>
      <c r="D5384" t="s">
        <v>17466</v>
      </c>
      <c r="E5384" t="s">
        <v>22163</v>
      </c>
      <c r="F5384" t="s">
        <v>30052</v>
      </c>
      <c r="G5384" t="s">
        <v>30058</v>
      </c>
      <c r="H5384" t="s">
        <v>15498</v>
      </c>
      <c r="I5384" t="s">
        <v>30073</v>
      </c>
      <c r="J5384" t="s">
        <v>33616</v>
      </c>
      <c r="K5384" t="s">
        <v>39025</v>
      </c>
      <c r="M5384" t="s">
        <v>39884</v>
      </c>
      <c r="N5384" t="s">
        <v>43166</v>
      </c>
      <c r="O5384" t="s">
        <v>43167</v>
      </c>
      <c r="P5384">
        <v>0</v>
      </c>
      <c r="Q5384">
        <v>0</v>
      </c>
      <c r="R5384" t="s">
        <v>43172</v>
      </c>
      <c r="S5384" t="s">
        <v>43334</v>
      </c>
      <c r="T5384" t="s">
        <v>44741</v>
      </c>
      <c r="U5384" t="s">
        <v>49602</v>
      </c>
      <c r="V5384" t="s">
        <v>56981</v>
      </c>
      <c r="W5384" t="s">
        <v>39884</v>
      </c>
      <c r="X5384" t="s">
        <v>43173</v>
      </c>
    </row>
    <row r="5385" spans="1:24">
      <c r="A5385">
        <f>HYPERLINK("https://www.philgeps.gov.ph/GEPSNONPILOT/Tender/SplashBidNoticeAbstractUI.aspx?menuIndex=3&amp;refID=7079705&amp;Result=3","7079705")</f>
        <v>0</v>
      </c>
      <c r="B5385" t="s">
        <v>1444</v>
      </c>
      <c r="C5385" t="s">
        <v>8555</v>
      </c>
      <c r="E5385" t="s">
        <v>22164</v>
      </c>
      <c r="F5385" t="s">
        <v>30052</v>
      </c>
      <c r="G5385" t="s">
        <v>30059</v>
      </c>
      <c r="H5385" t="s">
        <v>30068</v>
      </c>
      <c r="I5385" t="s">
        <v>30068</v>
      </c>
      <c r="J5385" t="s">
        <v>30222</v>
      </c>
      <c r="K5385" t="s">
        <v>39048</v>
      </c>
      <c r="M5385" t="s">
        <v>40822</v>
      </c>
      <c r="N5385" t="s">
        <v>43166</v>
      </c>
      <c r="O5385" t="s">
        <v>43167</v>
      </c>
      <c r="P5385">
        <v>0</v>
      </c>
      <c r="Q5385">
        <v>0</v>
      </c>
      <c r="R5385" t="s">
        <v>43172</v>
      </c>
      <c r="S5385" t="s">
        <v>43334</v>
      </c>
      <c r="T5385" t="s">
        <v>44734</v>
      </c>
      <c r="U5385" t="s">
        <v>49603</v>
      </c>
      <c r="W5385" t="s">
        <v>40822</v>
      </c>
      <c r="X5385" t="s">
        <v>43173</v>
      </c>
    </row>
    <row r="5386" spans="1:24">
      <c r="A5386">
        <f>HYPERLINK("https://www.philgeps.gov.ph/GEPSNONPILOT/Tender/SplashBidNoticeAbstractUI.aspx?menuIndex=3&amp;refID=7079716&amp;Result=3","7079716")</f>
        <v>0</v>
      </c>
      <c r="B5386" t="s">
        <v>637</v>
      </c>
      <c r="C5386" t="s">
        <v>8064</v>
      </c>
      <c r="D5386" t="s">
        <v>17468</v>
      </c>
      <c r="E5386" t="s">
        <v>22165</v>
      </c>
      <c r="F5386" t="s">
        <v>30052</v>
      </c>
      <c r="G5386" t="s">
        <v>30062</v>
      </c>
      <c r="H5386" t="s">
        <v>15498</v>
      </c>
      <c r="I5386" t="s">
        <v>30070</v>
      </c>
      <c r="J5386" t="s">
        <v>33617</v>
      </c>
      <c r="K5386" t="s">
        <v>39025</v>
      </c>
      <c r="M5386" t="s">
        <v>39941</v>
      </c>
      <c r="N5386" t="s">
        <v>43166</v>
      </c>
      <c r="O5386" t="s">
        <v>43167</v>
      </c>
      <c r="P5386">
        <v>0</v>
      </c>
      <c r="Q5386">
        <v>4</v>
      </c>
      <c r="R5386" t="s">
        <v>43172</v>
      </c>
      <c r="S5386" t="s">
        <v>43334</v>
      </c>
      <c r="T5386" t="s">
        <v>44837</v>
      </c>
      <c r="U5386" t="s">
        <v>49146</v>
      </c>
      <c r="W5386" t="s">
        <v>39941</v>
      </c>
      <c r="X5386" t="s">
        <v>43173</v>
      </c>
    </row>
    <row r="5387" spans="1:24">
      <c r="A5387">
        <f>HYPERLINK("https://www.philgeps.gov.ph/GEPSNONPILOT/Tender/SplashBidNoticeAbstractUI.aspx?menuIndex=3&amp;refID=7079547&amp;Result=3","7079547")</f>
        <v>0</v>
      </c>
      <c r="B5387" t="s">
        <v>448</v>
      </c>
      <c r="C5387" t="s">
        <v>8556</v>
      </c>
      <c r="D5387" t="s">
        <v>17445</v>
      </c>
      <c r="E5387" t="s">
        <v>22166</v>
      </c>
      <c r="F5387" t="s">
        <v>30052</v>
      </c>
      <c r="G5387" t="s">
        <v>30058</v>
      </c>
      <c r="H5387" t="s">
        <v>15498</v>
      </c>
      <c r="I5387" t="s">
        <v>30098</v>
      </c>
      <c r="J5387" t="s">
        <v>33618</v>
      </c>
      <c r="K5387" t="s">
        <v>39025</v>
      </c>
      <c r="M5387" t="s">
        <v>39748</v>
      </c>
      <c r="N5387" t="s">
        <v>43166</v>
      </c>
      <c r="O5387" t="s">
        <v>43167</v>
      </c>
      <c r="P5387">
        <v>0</v>
      </c>
      <c r="Q5387">
        <v>5</v>
      </c>
      <c r="R5387" t="s">
        <v>43172</v>
      </c>
      <c r="S5387" t="s">
        <v>43334</v>
      </c>
      <c r="T5387" t="s">
        <v>44704</v>
      </c>
      <c r="U5387" t="s">
        <v>49604</v>
      </c>
      <c r="V5387" t="s">
        <v>57418</v>
      </c>
      <c r="W5387" t="s">
        <v>39748</v>
      </c>
      <c r="X5387" t="s">
        <v>43173</v>
      </c>
    </row>
    <row r="5388" spans="1:24">
      <c r="A5388">
        <f>HYPERLINK("https://www.philgeps.gov.ph/GEPSNONPILOT/Tender/SplashBidNoticeAbstractUI.aspx?menuIndex=3&amp;refID=7079715&amp;Result=3","7079715")</f>
        <v>0</v>
      </c>
      <c r="B5388" t="s">
        <v>1843</v>
      </c>
      <c r="C5388" t="s">
        <v>8557</v>
      </c>
      <c r="E5388" t="s">
        <v>22167</v>
      </c>
      <c r="F5388" t="s">
        <v>30052</v>
      </c>
      <c r="G5388" t="s">
        <v>30058</v>
      </c>
      <c r="H5388" t="s">
        <v>15498</v>
      </c>
      <c r="I5388" t="s">
        <v>3852</v>
      </c>
      <c r="J5388" t="s">
        <v>31054</v>
      </c>
      <c r="K5388" t="s">
        <v>39025</v>
      </c>
      <c r="M5388" t="s">
        <v>41268</v>
      </c>
      <c r="N5388" t="s">
        <v>43166</v>
      </c>
      <c r="O5388" t="s">
        <v>43167</v>
      </c>
      <c r="P5388">
        <v>0</v>
      </c>
      <c r="Q5388">
        <v>7</v>
      </c>
      <c r="R5388" t="s">
        <v>43172</v>
      </c>
      <c r="S5388" t="s">
        <v>43334</v>
      </c>
      <c r="T5388" t="s">
        <v>44722</v>
      </c>
      <c r="U5388" t="s">
        <v>49605</v>
      </c>
      <c r="W5388" t="s">
        <v>41268</v>
      </c>
      <c r="X5388" t="s">
        <v>43173</v>
      </c>
    </row>
    <row r="5389" spans="1:24">
      <c r="A5389">
        <f>HYPERLINK("https://www.philgeps.gov.ph/GEPSNONPILOT/Tender/SplashBidNoticeAbstractUI.aspx?menuIndex=3&amp;refID=7079680&amp;Result=3","7079680")</f>
        <v>0</v>
      </c>
      <c r="B5389" t="s">
        <v>1843</v>
      </c>
      <c r="C5389" t="s">
        <v>8558</v>
      </c>
      <c r="E5389" t="s">
        <v>22168</v>
      </c>
      <c r="F5389" t="s">
        <v>30052</v>
      </c>
      <c r="G5389" t="s">
        <v>30058</v>
      </c>
      <c r="H5389" t="s">
        <v>15498</v>
      </c>
      <c r="I5389" t="s">
        <v>7228</v>
      </c>
      <c r="J5389" t="s">
        <v>33619</v>
      </c>
      <c r="K5389" t="s">
        <v>39025</v>
      </c>
      <c r="M5389" t="s">
        <v>41268</v>
      </c>
      <c r="N5389" t="s">
        <v>43166</v>
      </c>
      <c r="O5389" t="s">
        <v>43167</v>
      </c>
      <c r="P5389">
        <v>0</v>
      </c>
      <c r="Q5389">
        <v>1</v>
      </c>
      <c r="R5389" t="s">
        <v>43172</v>
      </c>
      <c r="S5389" t="s">
        <v>43334</v>
      </c>
      <c r="T5389" t="s">
        <v>44722</v>
      </c>
      <c r="U5389" t="s">
        <v>49606</v>
      </c>
      <c r="W5389" t="s">
        <v>41268</v>
      </c>
      <c r="X5389" t="s">
        <v>43173</v>
      </c>
    </row>
    <row r="5390" spans="1:24">
      <c r="A5390">
        <f>HYPERLINK("https://www.philgeps.gov.ph/GEPSNONPILOT/Tender/SplashBidNoticeAbstractUI.aspx?menuIndex=3&amp;refID=7079710&amp;Result=3","7079710")</f>
        <v>0</v>
      </c>
      <c r="B5390" t="s">
        <v>978</v>
      </c>
      <c r="C5390" t="s">
        <v>8559</v>
      </c>
      <c r="D5390" t="s">
        <v>17421</v>
      </c>
      <c r="E5390" t="s">
        <v>18475</v>
      </c>
      <c r="F5390" t="s">
        <v>30052</v>
      </c>
      <c r="G5390" t="s">
        <v>30058</v>
      </c>
      <c r="H5390" t="s">
        <v>15498</v>
      </c>
      <c r="I5390" t="s">
        <v>30076</v>
      </c>
      <c r="J5390" t="s">
        <v>30218</v>
      </c>
      <c r="K5390" t="s">
        <v>39037</v>
      </c>
      <c r="M5390" t="s">
        <v>40305</v>
      </c>
      <c r="N5390" t="s">
        <v>43166</v>
      </c>
      <c r="O5390" t="s">
        <v>43167</v>
      </c>
      <c r="P5390">
        <v>0</v>
      </c>
      <c r="Q5390">
        <v>3</v>
      </c>
      <c r="R5390" t="s">
        <v>43172</v>
      </c>
      <c r="S5390" t="s">
        <v>43334</v>
      </c>
      <c r="T5390" t="s">
        <v>44685</v>
      </c>
      <c r="U5390" t="s">
        <v>47233</v>
      </c>
      <c r="W5390" t="s">
        <v>40305</v>
      </c>
      <c r="X5390" t="s">
        <v>43173</v>
      </c>
    </row>
    <row r="5391" spans="1:24">
      <c r="A5391">
        <f>HYPERLINK("https://www.philgeps.gov.ph/GEPSNONPILOT/Tender/SplashBidNoticeAbstractUI.aspx?menuIndex=3&amp;refID=7079698&amp;Result=3","7079698")</f>
        <v>0</v>
      </c>
      <c r="B5391" t="s">
        <v>710</v>
      </c>
      <c r="C5391" t="s">
        <v>8560</v>
      </c>
      <c r="D5391" t="s">
        <v>17415</v>
      </c>
      <c r="E5391" t="s">
        <v>22169</v>
      </c>
      <c r="F5391" t="s">
        <v>30052</v>
      </c>
      <c r="G5391" t="s">
        <v>30059</v>
      </c>
      <c r="H5391" t="s">
        <v>15498</v>
      </c>
      <c r="I5391" t="s">
        <v>30088</v>
      </c>
      <c r="J5391" t="s">
        <v>33620</v>
      </c>
      <c r="K5391" t="s">
        <v>39029</v>
      </c>
      <c r="M5391" t="s">
        <v>41274</v>
      </c>
      <c r="N5391" t="s">
        <v>43166</v>
      </c>
      <c r="O5391" t="s">
        <v>43167</v>
      </c>
      <c r="P5391">
        <v>0</v>
      </c>
      <c r="Q5391">
        <v>8</v>
      </c>
      <c r="R5391" t="s">
        <v>43172</v>
      </c>
      <c r="S5391" t="s">
        <v>43334</v>
      </c>
      <c r="T5391" t="s">
        <v>44717</v>
      </c>
      <c r="U5391" t="s">
        <v>49607</v>
      </c>
      <c r="V5391" t="s">
        <v>57423</v>
      </c>
      <c r="W5391" t="s">
        <v>41274</v>
      </c>
      <c r="X5391" t="s">
        <v>43173</v>
      </c>
    </row>
    <row r="5392" spans="1:24">
      <c r="A5392">
        <f>HYPERLINK("https://www.philgeps.gov.ph/GEPSNONPILOT/Tender/SplashBidNoticeAbstractUI.aspx?menuIndex=3&amp;refID=7079695&amp;Result=3","7079695")</f>
        <v>0</v>
      </c>
      <c r="B5392" t="s">
        <v>1848</v>
      </c>
      <c r="C5392" t="s">
        <v>8561</v>
      </c>
      <c r="D5392" t="s">
        <v>17421</v>
      </c>
      <c r="E5392" t="s">
        <v>22170</v>
      </c>
      <c r="F5392" t="s">
        <v>30052</v>
      </c>
      <c r="G5392" t="s">
        <v>30058</v>
      </c>
      <c r="H5392" t="s">
        <v>15498</v>
      </c>
      <c r="I5392" t="s">
        <v>3736</v>
      </c>
      <c r="J5392" t="s">
        <v>31293</v>
      </c>
      <c r="K5392" t="s">
        <v>39023</v>
      </c>
      <c r="M5392" t="s">
        <v>41275</v>
      </c>
      <c r="N5392" t="s">
        <v>43166</v>
      </c>
      <c r="O5392" t="s">
        <v>43167</v>
      </c>
      <c r="P5392">
        <v>0</v>
      </c>
      <c r="Q5392">
        <v>0</v>
      </c>
      <c r="R5392" t="s">
        <v>43172</v>
      </c>
      <c r="S5392" t="s">
        <v>43334</v>
      </c>
      <c r="T5392" t="s">
        <v>44698</v>
      </c>
      <c r="U5392" t="s">
        <v>49608</v>
      </c>
      <c r="W5392" t="s">
        <v>41275</v>
      </c>
      <c r="X5392" t="s">
        <v>43173</v>
      </c>
    </row>
    <row r="5393" spans="1:24">
      <c r="A5393">
        <f>HYPERLINK("https://www.philgeps.gov.ph/GEPSNONPILOT/Tender/SplashBidNoticeAbstractUI.aspx?menuIndex=3&amp;refID=7079643&amp;Result=3","7079643")</f>
        <v>0</v>
      </c>
      <c r="B5393" t="s">
        <v>701</v>
      </c>
      <c r="C5393" t="s">
        <v>8562</v>
      </c>
      <c r="D5393" t="s">
        <v>17419</v>
      </c>
      <c r="E5393" t="s">
        <v>22171</v>
      </c>
      <c r="F5393" t="s">
        <v>30052</v>
      </c>
      <c r="G5393" t="s">
        <v>30058</v>
      </c>
      <c r="H5393" t="s">
        <v>30067</v>
      </c>
      <c r="I5393" t="s">
        <v>3693</v>
      </c>
      <c r="J5393" t="s">
        <v>33621</v>
      </c>
      <c r="K5393" t="s">
        <v>39025</v>
      </c>
      <c r="M5393" t="s">
        <v>40858</v>
      </c>
      <c r="N5393" t="s">
        <v>43166</v>
      </c>
      <c r="O5393" t="s">
        <v>43167</v>
      </c>
      <c r="P5393">
        <v>0</v>
      </c>
      <c r="Q5393">
        <v>0</v>
      </c>
      <c r="R5393" t="s">
        <v>43172</v>
      </c>
      <c r="S5393" t="s">
        <v>43334</v>
      </c>
      <c r="T5393" t="s">
        <v>44758</v>
      </c>
      <c r="U5393" t="s">
        <v>49609</v>
      </c>
      <c r="W5393" t="s">
        <v>40858</v>
      </c>
      <c r="X5393" t="s">
        <v>43173</v>
      </c>
    </row>
    <row r="5394" spans="1:24">
      <c r="A5394">
        <f>HYPERLINK("https://www.philgeps.gov.ph/GEPSNONPILOT/Tender/SplashBidNoticeAbstractUI.aspx?menuIndex=3&amp;refID=7079694&amp;Result=3","7079694")</f>
        <v>0</v>
      </c>
      <c r="B5394" t="s">
        <v>1849</v>
      </c>
      <c r="C5394" t="s">
        <v>8563</v>
      </c>
      <c r="D5394" t="s">
        <v>17473</v>
      </c>
      <c r="E5394" t="s">
        <v>22172</v>
      </c>
      <c r="F5394" t="s">
        <v>30052</v>
      </c>
      <c r="G5394" t="s">
        <v>30059</v>
      </c>
      <c r="H5394" t="s">
        <v>15498</v>
      </c>
      <c r="I5394" t="s">
        <v>30073</v>
      </c>
      <c r="J5394" t="s">
        <v>31189</v>
      </c>
      <c r="K5394" t="s">
        <v>39025</v>
      </c>
      <c r="M5394" t="s">
        <v>41276</v>
      </c>
      <c r="N5394" t="s">
        <v>43166</v>
      </c>
      <c r="O5394" t="s">
        <v>43167</v>
      </c>
      <c r="P5394">
        <v>0</v>
      </c>
      <c r="Q5394">
        <v>0</v>
      </c>
      <c r="R5394" t="s">
        <v>43172</v>
      </c>
      <c r="S5394" t="s">
        <v>43334</v>
      </c>
      <c r="T5394" t="s">
        <v>44685</v>
      </c>
      <c r="U5394" t="s">
        <v>49610</v>
      </c>
      <c r="W5394" t="s">
        <v>41276</v>
      </c>
      <c r="X5394" t="s">
        <v>43173</v>
      </c>
    </row>
    <row r="5395" spans="1:24">
      <c r="A5395">
        <f>HYPERLINK("https://www.philgeps.gov.ph/GEPSNONPILOT/Tender/SplashBidNoticeAbstractUI.aspx?menuIndex=3&amp;refID=7079690&amp;Result=3","7079690")</f>
        <v>0</v>
      </c>
      <c r="B5395" t="s">
        <v>677</v>
      </c>
      <c r="C5395" t="s">
        <v>8564</v>
      </c>
      <c r="D5395" t="s">
        <v>17415</v>
      </c>
      <c r="E5395" t="s">
        <v>22173</v>
      </c>
      <c r="F5395" t="s">
        <v>30052</v>
      </c>
      <c r="G5395" t="s">
        <v>30059</v>
      </c>
      <c r="H5395" t="s">
        <v>15498</v>
      </c>
      <c r="I5395" t="s">
        <v>30100</v>
      </c>
      <c r="J5395" t="s">
        <v>30207</v>
      </c>
      <c r="K5395" t="s">
        <v>39019</v>
      </c>
      <c r="M5395" t="s">
        <v>39983</v>
      </c>
      <c r="N5395" t="s">
        <v>43166</v>
      </c>
      <c r="O5395" t="s">
        <v>43167</v>
      </c>
      <c r="P5395">
        <v>0</v>
      </c>
      <c r="Q5395">
        <v>3</v>
      </c>
      <c r="R5395" t="s">
        <v>43172</v>
      </c>
      <c r="S5395" t="s">
        <v>43334</v>
      </c>
      <c r="T5395" t="s">
        <v>44696</v>
      </c>
      <c r="U5395" t="s">
        <v>49611</v>
      </c>
      <c r="W5395" t="s">
        <v>58607</v>
      </c>
      <c r="X5395" t="s">
        <v>43173</v>
      </c>
    </row>
    <row r="5396" spans="1:24">
      <c r="A5396">
        <f>HYPERLINK("https://www.philgeps.gov.ph/GEPSNONPILOT/Tender/SplashBidNoticeAbstractUI.aspx?menuIndex=3&amp;refID=7079683&amp;Result=3","7079683")</f>
        <v>0</v>
      </c>
      <c r="B5396" t="s">
        <v>1708</v>
      </c>
      <c r="C5396" t="s">
        <v>8565</v>
      </c>
      <c r="D5396" t="s">
        <v>17419</v>
      </c>
      <c r="E5396" t="s">
        <v>22174</v>
      </c>
      <c r="F5396" t="s">
        <v>30052</v>
      </c>
      <c r="G5396" t="s">
        <v>30059</v>
      </c>
      <c r="H5396" t="s">
        <v>15498</v>
      </c>
      <c r="I5396" t="s">
        <v>3852</v>
      </c>
      <c r="J5396" t="s">
        <v>30327</v>
      </c>
      <c r="K5396" t="s">
        <v>39018</v>
      </c>
      <c r="M5396" t="s">
        <v>41123</v>
      </c>
      <c r="N5396" t="s">
        <v>43166</v>
      </c>
      <c r="O5396" t="s">
        <v>43167</v>
      </c>
      <c r="P5396">
        <v>0</v>
      </c>
      <c r="Q5396">
        <v>1</v>
      </c>
      <c r="R5396" t="s">
        <v>43172</v>
      </c>
      <c r="S5396" t="s">
        <v>43334</v>
      </c>
      <c r="T5396" t="s">
        <v>44734</v>
      </c>
      <c r="U5396" t="s">
        <v>49612</v>
      </c>
      <c r="W5396" t="s">
        <v>41123</v>
      </c>
      <c r="X5396" t="s">
        <v>43173</v>
      </c>
    </row>
    <row r="5397" spans="1:24">
      <c r="A5397">
        <f>HYPERLINK("https://www.philgeps.gov.ph/GEPSNONPILOT/Tender/SplashBidNoticeAbstractUI.aspx?menuIndex=3&amp;refID=7079725&amp;Result=3","7079725")</f>
        <v>0</v>
      </c>
      <c r="B5397" t="s">
        <v>1843</v>
      </c>
      <c r="C5397" t="s">
        <v>8566</v>
      </c>
      <c r="E5397" t="s">
        <v>22175</v>
      </c>
      <c r="F5397" t="s">
        <v>30052</v>
      </c>
      <c r="G5397" t="s">
        <v>30058</v>
      </c>
      <c r="H5397" t="s">
        <v>15498</v>
      </c>
      <c r="I5397" t="s">
        <v>4598</v>
      </c>
      <c r="J5397" t="s">
        <v>33622</v>
      </c>
      <c r="K5397" t="s">
        <v>39025</v>
      </c>
      <c r="M5397" t="s">
        <v>41268</v>
      </c>
      <c r="N5397" t="s">
        <v>43166</v>
      </c>
      <c r="O5397" t="s">
        <v>43167</v>
      </c>
      <c r="P5397">
        <v>0</v>
      </c>
      <c r="Q5397">
        <v>11</v>
      </c>
      <c r="R5397" t="s">
        <v>43172</v>
      </c>
      <c r="S5397" t="s">
        <v>43334</v>
      </c>
      <c r="T5397" t="s">
        <v>44722</v>
      </c>
      <c r="U5397" t="s">
        <v>49613</v>
      </c>
      <c r="W5397" t="s">
        <v>41268</v>
      </c>
      <c r="X5397" t="s">
        <v>43173</v>
      </c>
    </row>
    <row r="5398" spans="1:24">
      <c r="A5398">
        <f>HYPERLINK("https://www.philgeps.gov.ph/GEPSNONPILOT/Tender/SplashBidNoticeAbstractUI.aspx?menuIndex=3&amp;refID=7079723&amp;Result=3","7079723")</f>
        <v>0</v>
      </c>
      <c r="B5398" t="s">
        <v>1850</v>
      </c>
      <c r="C5398" t="s">
        <v>8567</v>
      </c>
      <c r="D5398" t="s">
        <v>17459</v>
      </c>
      <c r="E5398" t="s">
        <v>22176</v>
      </c>
      <c r="F5398" t="s">
        <v>30052</v>
      </c>
      <c r="G5398" t="s">
        <v>30058</v>
      </c>
      <c r="H5398" t="s">
        <v>30067</v>
      </c>
      <c r="I5398" t="s">
        <v>3693</v>
      </c>
      <c r="J5398" t="s">
        <v>30207</v>
      </c>
      <c r="K5398" t="s">
        <v>39025</v>
      </c>
      <c r="M5398" t="s">
        <v>41277</v>
      </c>
      <c r="N5398" t="s">
        <v>43166</v>
      </c>
      <c r="O5398" t="s">
        <v>43167</v>
      </c>
      <c r="P5398">
        <v>0</v>
      </c>
      <c r="Q5398">
        <v>1</v>
      </c>
      <c r="R5398" t="s">
        <v>43172</v>
      </c>
      <c r="S5398" t="s">
        <v>43334</v>
      </c>
      <c r="T5398" t="s">
        <v>44905</v>
      </c>
      <c r="U5398" t="s">
        <v>49614</v>
      </c>
      <c r="W5398" t="s">
        <v>41277</v>
      </c>
      <c r="X5398" t="s">
        <v>43173</v>
      </c>
    </row>
    <row r="5399" spans="1:24">
      <c r="A5399">
        <f>HYPERLINK("https://www.philgeps.gov.ph/GEPSNONPILOT/Tender/SplashBidNoticeAbstractUI.aspx?menuIndex=3&amp;refID=7079719&amp;Result=3","7079719")</f>
        <v>0</v>
      </c>
      <c r="B5399" t="s">
        <v>54</v>
      </c>
      <c r="C5399" t="s">
        <v>8568</v>
      </c>
      <c r="D5399" t="s">
        <v>17437</v>
      </c>
      <c r="E5399" t="s">
        <v>21492</v>
      </c>
      <c r="F5399" t="s">
        <v>30052</v>
      </c>
      <c r="G5399" t="s">
        <v>30058</v>
      </c>
      <c r="H5399" t="s">
        <v>30067</v>
      </c>
      <c r="I5399" t="s">
        <v>3693</v>
      </c>
      <c r="J5399" t="s">
        <v>31060</v>
      </c>
      <c r="K5399" t="s">
        <v>39026</v>
      </c>
      <c r="M5399" t="s">
        <v>39343</v>
      </c>
      <c r="N5399" t="s">
        <v>43166</v>
      </c>
      <c r="O5399" t="s">
        <v>43167</v>
      </c>
      <c r="P5399">
        <v>0</v>
      </c>
      <c r="Q5399">
        <v>1</v>
      </c>
      <c r="R5399" t="s">
        <v>43172</v>
      </c>
      <c r="S5399" t="s">
        <v>43334</v>
      </c>
      <c r="T5399" t="s">
        <v>45003</v>
      </c>
      <c r="U5399" t="s">
        <v>49615</v>
      </c>
      <c r="W5399" t="s">
        <v>39343</v>
      </c>
      <c r="X5399" t="s">
        <v>43173</v>
      </c>
    </row>
    <row r="5400" spans="1:24">
      <c r="A5400">
        <f>HYPERLINK("https://www.philgeps.gov.ph/GEPSNONPILOT/Tender/SplashBidNoticeAbstractUI.aspx?menuIndex=3&amp;refID=7079714&amp;Result=3","7079714")</f>
        <v>0</v>
      </c>
      <c r="B5400" t="s">
        <v>1846</v>
      </c>
      <c r="C5400" t="s">
        <v>8569</v>
      </c>
      <c r="D5400" t="s">
        <v>17416</v>
      </c>
      <c r="E5400" t="s">
        <v>22177</v>
      </c>
      <c r="F5400" t="s">
        <v>30052</v>
      </c>
      <c r="G5400" t="s">
        <v>30061</v>
      </c>
      <c r="H5400" t="s">
        <v>15498</v>
      </c>
      <c r="I5400" t="s">
        <v>4650</v>
      </c>
      <c r="J5400" t="s">
        <v>30308</v>
      </c>
      <c r="K5400" t="s">
        <v>39034</v>
      </c>
      <c r="M5400" t="s">
        <v>41272</v>
      </c>
      <c r="N5400" t="s">
        <v>43166</v>
      </c>
      <c r="O5400" t="s">
        <v>43167</v>
      </c>
      <c r="P5400">
        <v>0</v>
      </c>
      <c r="Q5400">
        <v>1</v>
      </c>
      <c r="R5400" t="s">
        <v>43172</v>
      </c>
      <c r="S5400" t="s">
        <v>43334</v>
      </c>
      <c r="T5400" t="s">
        <v>44773</v>
      </c>
      <c r="U5400" t="s">
        <v>49616</v>
      </c>
      <c r="W5400" t="s">
        <v>41272</v>
      </c>
      <c r="X5400" t="s">
        <v>43173</v>
      </c>
    </row>
    <row r="5401" spans="1:24">
      <c r="A5401">
        <f>HYPERLINK("https://www.philgeps.gov.ph/GEPSNONPILOT/Tender/SplashBidNoticeAbstractUI.aspx?menuIndex=3&amp;refID=7079700&amp;Result=3","7079700")</f>
        <v>0</v>
      </c>
      <c r="B5401" t="s">
        <v>1269</v>
      </c>
      <c r="C5401" t="s">
        <v>8570</v>
      </c>
      <c r="D5401" t="s">
        <v>17415</v>
      </c>
      <c r="E5401" t="s">
        <v>22178</v>
      </c>
      <c r="F5401" t="s">
        <v>30052</v>
      </c>
      <c r="G5401" t="s">
        <v>30059</v>
      </c>
      <c r="H5401" t="s">
        <v>15498</v>
      </c>
      <c r="I5401" t="s">
        <v>4598</v>
      </c>
      <c r="J5401" t="s">
        <v>33623</v>
      </c>
      <c r="K5401" t="s">
        <v>39034</v>
      </c>
      <c r="M5401" t="s">
        <v>41261</v>
      </c>
      <c r="N5401" t="s">
        <v>43166</v>
      </c>
      <c r="O5401" t="s">
        <v>43167</v>
      </c>
      <c r="P5401">
        <v>0</v>
      </c>
      <c r="Q5401">
        <v>8</v>
      </c>
      <c r="R5401" t="s">
        <v>43172</v>
      </c>
      <c r="S5401" t="s">
        <v>43334</v>
      </c>
      <c r="T5401" t="s">
        <v>44962</v>
      </c>
      <c r="U5401" t="s">
        <v>49617</v>
      </c>
      <c r="V5401" t="s">
        <v>57420</v>
      </c>
      <c r="W5401" t="s">
        <v>41261</v>
      </c>
      <c r="X5401" t="s">
        <v>43173</v>
      </c>
    </row>
    <row r="5402" spans="1:24">
      <c r="A5402">
        <f>HYPERLINK("https://www.philgeps.gov.ph/GEPSNONPILOT/Tender/SplashBidNoticeAbstractUI.aspx?menuIndex=3&amp;refID=7079741&amp;Result=3","7079741")</f>
        <v>0</v>
      </c>
      <c r="B5402" t="s">
        <v>1263</v>
      </c>
      <c r="C5402" t="s">
        <v>8571</v>
      </c>
      <c r="D5402" t="s">
        <v>17416</v>
      </c>
      <c r="E5402" t="s">
        <v>22179</v>
      </c>
      <c r="F5402" t="s">
        <v>30052</v>
      </c>
      <c r="G5402" t="s">
        <v>30058</v>
      </c>
      <c r="H5402" t="s">
        <v>15498</v>
      </c>
      <c r="I5402" t="s">
        <v>3736</v>
      </c>
      <c r="J5402" t="s">
        <v>33624</v>
      </c>
      <c r="K5402" t="s">
        <v>39029</v>
      </c>
      <c r="M5402" t="s">
        <v>40621</v>
      </c>
      <c r="N5402" t="s">
        <v>43166</v>
      </c>
      <c r="O5402" t="s">
        <v>43167</v>
      </c>
      <c r="P5402">
        <v>0</v>
      </c>
      <c r="Q5402">
        <v>0</v>
      </c>
      <c r="R5402" t="s">
        <v>43172</v>
      </c>
      <c r="S5402" t="s">
        <v>43334</v>
      </c>
      <c r="T5402" t="s">
        <v>44807</v>
      </c>
      <c r="U5402" t="s">
        <v>49618</v>
      </c>
      <c r="V5402" t="s">
        <v>57424</v>
      </c>
      <c r="W5402" t="s">
        <v>40621</v>
      </c>
      <c r="X5402" t="s">
        <v>43173</v>
      </c>
    </row>
    <row r="5403" spans="1:24">
      <c r="A5403">
        <f>HYPERLINK("https://www.philgeps.gov.ph/GEPSNONPILOT/Tender/SplashBidNoticeAbstractUI.aspx?menuIndex=3&amp;refID=7079739&amp;Result=3","7079739")</f>
        <v>0</v>
      </c>
      <c r="B5403" t="s">
        <v>1851</v>
      </c>
      <c r="C5403" t="s">
        <v>8572</v>
      </c>
      <c r="D5403" t="s">
        <v>17415</v>
      </c>
      <c r="E5403" t="s">
        <v>18038</v>
      </c>
      <c r="F5403" t="s">
        <v>30052</v>
      </c>
      <c r="G5403" t="s">
        <v>30059</v>
      </c>
      <c r="H5403" t="s">
        <v>15498</v>
      </c>
      <c r="I5403" t="s">
        <v>30102</v>
      </c>
      <c r="J5403" t="s">
        <v>30440</v>
      </c>
      <c r="K5403" t="s">
        <v>39029</v>
      </c>
      <c r="M5403" t="s">
        <v>41278</v>
      </c>
      <c r="N5403" t="s">
        <v>43166</v>
      </c>
      <c r="O5403" t="s">
        <v>43167</v>
      </c>
      <c r="P5403">
        <v>0</v>
      </c>
      <c r="Q5403">
        <v>7</v>
      </c>
      <c r="R5403" t="s">
        <v>43172</v>
      </c>
      <c r="S5403" t="s">
        <v>43334</v>
      </c>
      <c r="T5403" t="s">
        <v>44837</v>
      </c>
      <c r="U5403" t="s">
        <v>49619</v>
      </c>
      <c r="W5403" t="s">
        <v>41278</v>
      </c>
      <c r="X5403" t="s">
        <v>43173</v>
      </c>
    </row>
    <row r="5404" spans="1:24">
      <c r="A5404">
        <f>HYPERLINK("https://www.philgeps.gov.ph/GEPSNONPILOT/Tender/SplashBidNoticeAbstractUI.aspx?menuIndex=3&amp;refID=7079749&amp;Result=3","7079749")</f>
        <v>0</v>
      </c>
      <c r="B5404" t="s">
        <v>1624</v>
      </c>
      <c r="C5404" t="s">
        <v>8573</v>
      </c>
      <c r="D5404" t="s">
        <v>17448</v>
      </c>
      <c r="E5404" t="s">
        <v>22180</v>
      </c>
      <c r="F5404" t="s">
        <v>30052</v>
      </c>
      <c r="G5404" t="s">
        <v>30058</v>
      </c>
      <c r="H5404" t="s">
        <v>15498</v>
      </c>
      <c r="I5404" t="s">
        <v>3736</v>
      </c>
      <c r="J5404" t="s">
        <v>33625</v>
      </c>
      <c r="K5404" t="s">
        <v>39029</v>
      </c>
      <c r="L5404" t="s">
        <v>1624</v>
      </c>
      <c r="M5404" t="s">
        <v>41279</v>
      </c>
      <c r="N5404" t="s">
        <v>43166</v>
      </c>
      <c r="O5404" t="s">
        <v>43167</v>
      </c>
      <c r="P5404">
        <v>0</v>
      </c>
      <c r="Q5404">
        <v>0</v>
      </c>
      <c r="R5404" t="s">
        <v>43172</v>
      </c>
      <c r="S5404" t="s">
        <v>43334</v>
      </c>
      <c r="T5404" t="s">
        <v>44758</v>
      </c>
      <c r="U5404" t="s">
        <v>49620</v>
      </c>
      <c r="W5404" t="s">
        <v>41279</v>
      </c>
      <c r="X5404" t="s">
        <v>43173</v>
      </c>
    </row>
    <row r="5405" spans="1:24">
      <c r="A5405">
        <f>HYPERLINK("https://www.philgeps.gov.ph/GEPSNONPILOT/Tender/SplashBidNoticeAbstractUI.aspx?menuIndex=3&amp;refID=7079692&amp;Result=3","7079692")</f>
        <v>0</v>
      </c>
      <c r="B5405" t="s">
        <v>1840</v>
      </c>
      <c r="C5405" t="s">
        <v>8574</v>
      </c>
      <c r="D5405" t="s">
        <v>17449</v>
      </c>
      <c r="E5405" t="s">
        <v>22181</v>
      </c>
      <c r="F5405" t="s">
        <v>30052</v>
      </c>
      <c r="G5405" t="s">
        <v>30059</v>
      </c>
      <c r="H5405" t="s">
        <v>15498</v>
      </c>
      <c r="I5405" t="s">
        <v>3852</v>
      </c>
      <c r="J5405" t="s">
        <v>33626</v>
      </c>
      <c r="K5405" t="s">
        <v>39029</v>
      </c>
      <c r="M5405" t="s">
        <v>41265</v>
      </c>
      <c r="N5405" t="s">
        <v>43166</v>
      </c>
      <c r="O5405" t="s">
        <v>43167</v>
      </c>
      <c r="P5405">
        <v>0</v>
      </c>
      <c r="Q5405">
        <v>2</v>
      </c>
      <c r="R5405" t="s">
        <v>43172</v>
      </c>
      <c r="S5405" t="s">
        <v>43334</v>
      </c>
      <c r="T5405" t="s">
        <v>44717</v>
      </c>
      <c r="U5405" t="s">
        <v>49579</v>
      </c>
      <c r="V5405" t="s">
        <v>57421</v>
      </c>
      <c r="W5405" t="s">
        <v>41265</v>
      </c>
      <c r="X5405" t="s">
        <v>43173</v>
      </c>
    </row>
    <row r="5406" spans="1:24">
      <c r="A5406">
        <f>HYPERLINK("https://www.philgeps.gov.ph/GEPSNONPILOT/Tender/SplashBidNoticeAbstractUI.aspx?menuIndex=3&amp;refID=7079702&amp;Result=3","7079702")</f>
        <v>0</v>
      </c>
      <c r="B5406" t="s">
        <v>1852</v>
      </c>
      <c r="C5406" t="s">
        <v>8575</v>
      </c>
      <c r="D5406" t="s">
        <v>17424</v>
      </c>
      <c r="E5406" t="s">
        <v>22182</v>
      </c>
      <c r="F5406" t="s">
        <v>30052</v>
      </c>
      <c r="G5406" t="s">
        <v>30061</v>
      </c>
      <c r="H5406" t="s">
        <v>30069</v>
      </c>
      <c r="I5406" t="s">
        <v>30138</v>
      </c>
      <c r="J5406" t="s">
        <v>33627</v>
      </c>
      <c r="K5406" t="s">
        <v>39035</v>
      </c>
      <c r="M5406" t="s">
        <v>41280</v>
      </c>
      <c r="N5406" t="s">
        <v>43166</v>
      </c>
      <c r="O5406" t="s">
        <v>43167</v>
      </c>
      <c r="P5406">
        <v>0</v>
      </c>
      <c r="Q5406">
        <v>0</v>
      </c>
      <c r="R5406" t="s">
        <v>43172</v>
      </c>
      <c r="S5406" t="s">
        <v>43334</v>
      </c>
      <c r="T5406" t="s">
        <v>45019</v>
      </c>
      <c r="U5406" t="s">
        <v>49621</v>
      </c>
      <c r="W5406" t="s">
        <v>41280</v>
      </c>
      <c r="X5406" t="s">
        <v>43173</v>
      </c>
    </row>
    <row r="5407" spans="1:24">
      <c r="A5407">
        <f>HYPERLINK("https://www.philgeps.gov.ph/GEPSNONPILOT/Tender/SplashBidNoticeAbstractUI.aspx?menuIndex=3&amp;refID=7079745&amp;Result=3","7079745")</f>
        <v>0</v>
      </c>
      <c r="B5407" t="s">
        <v>1843</v>
      </c>
      <c r="C5407" t="s">
        <v>8576</v>
      </c>
      <c r="E5407" t="s">
        <v>22183</v>
      </c>
      <c r="F5407" t="s">
        <v>30052</v>
      </c>
      <c r="G5407" t="s">
        <v>30058</v>
      </c>
      <c r="H5407" t="s">
        <v>15498</v>
      </c>
      <c r="I5407" t="s">
        <v>3852</v>
      </c>
      <c r="J5407" t="s">
        <v>33628</v>
      </c>
      <c r="K5407" t="s">
        <v>39025</v>
      </c>
      <c r="M5407" t="s">
        <v>41268</v>
      </c>
      <c r="N5407" t="s">
        <v>43166</v>
      </c>
      <c r="O5407" t="s">
        <v>43167</v>
      </c>
      <c r="P5407">
        <v>0</v>
      </c>
      <c r="Q5407">
        <v>3</v>
      </c>
      <c r="R5407" t="s">
        <v>43172</v>
      </c>
      <c r="S5407" t="s">
        <v>43334</v>
      </c>
      <c r="T5407" t="s">
        <v>44722</v>
      </c>
      <c r="U5407" t="s">
        <v>49622</v>
      </c>
      <c r="W5407" t="s">
        <v>41268</v>
      </c>
      <c r="X5407" t="s">
        <v>43173</v>
      </c>
    </row>
    <row r="5408" spans="1:24">
      <c r="A5408">
        <f>HYPERLINK("https://www.philgeps.gov.ph/GEPSNONPILOT/Tender/SplashBidNoticeAbstractUI.aspx?menuIndex=3&amp;refID=7079737&amp;Result=3","7079737")</f>
        <v>0</v>
      </c>
      <c r="B5408" t="s">
        <v>595</v>
      </c>
      <c r="C5408" t="s">
        <v>8577</v>
      </c>
      <c r="E5408" t="s">
        <v>22184</v>
      </c>
      <c r="F5408" t="s">
        <v>30052</v>
      </c>
      <c r="G5408" t="s">
        <v>30058</v>
      </c>
      <c r="H5408" t="s">
        <v>15498</v>
      </c>
      <c r="I5408" t="s">
        <v>30070</v>
      </c>
      <c r="J5408" t="s">
        <v>33629</v>
      </c>
      <c r="K5408" t="s">
        <v>39025</v>
      </c>
      <c r="M5408" t="s">
        <v>39897</v>
      </c>
      <c r="N5408" t="s">
        <v>43166</v>
      </c>
      <c r="O5408" t="s">
        <v>43167</v>
      </c>
      <c r="P5408">
        <v>0</v>
      </c>
      <c r="Q5408">
        <v>2</v>
      </c>
      <c r="R5408" t="s">
        <v>43172</v>
      </c>
      <c r="S5408" t="s">
        <v>43334</v>
      </c>
      <c r="T5408" t="s">
        <v>44853</v>
      </c>
      <c r="U5408" t="s">
        <v>49623</v>
      </c>
      <c r="V5408" t="s">
        <v>56838</v>
      </c>
      <c r="W5408" t="s">
        <v>39897</v>
      </c>
      <c r="X5408" t="s">
        <v>43173</v>
      </c>
    </row>
    <row r="5409" spans="1:24">
      <c r="A5409">
        <f>HYPERLINK("https://www.philgeps.gov.ph/GEPSNONPILOT/Tender/SplashBidNoticeAbstractUI.aspx?menuIndex=3&amp;refID=7079735&amp;Result=3","7079735")</f>
        <v>0</v>
      </c>
      <c r="B5409" t="s">
        <v>1834</v>
      </c>
      <c r="C5409" t="s">
        <v>8578</v>
      </c>
      <c r="D5409" t="s">
        <v>17466</v>
      </c>
      <c r="E5409" t="s">
        <v>17843</v>
      </c>
      <c r="F5409" t="s">
        <v>30052</v>
      </c>
      <c r="G5409" t="s">
        <v>30059</v>
      </c>
      <c r="H5409" t="s">
        <v>15498</v>
      </c>
      <c r="I5409" t="s">
        <v>30071</v>
      </c>
      <c r="J5409" t="s">
        <v>33630</v>
      </c>
      <c r="K5409" t="s">
        <v>39034</v>
      </c>
      <c r="M5409" t="s">
        <v>41258</v>
      </c>
      <c r="N5409" t="s">
        <v>43166</v>
      </c>
      <c r="O5409" t="s">
        <v>43167</v>
      </c>
      <c r="P5409">
        <v>0</v>
      </c>
      <c r="Q5409">
        <v>1</v>
      </c>
      <c r="R5409" t="s">
        <v>43172</v>
      </c>
      <c r="S5409" t="s">
        <v>43334</v>
      </c>
      <c r="T5409" t="s">
        <v>45018</v>
      </c>
      <c r="U5409" t="s">
        <v>49554</v>
      </c>
      <c r="V5409" t="s">
        <v>57417</v>
      </c>
      <c r="W5409" t="s">
        <v>41258</v>
      </c>
      <c r="X5409" t="s">
        <v>43173</v>
      </c>
    </row>
    <row r="5410" spans="1:24">
      <c r="A5410">
        <f>HYPERLINK("https://www.philgeps.gov.ph/GEPSNONPILOT/Tender/SplashBidNoticeAbstractUI.aspx?menuIndex=3&amp;refID=7079733&amp;Result=3","7079733")</f>
        <v>0</v>
      </c>
      <c r="B5410" t="s">
        <v>1853</v>
      </c>
      <c r="C5410" t="s">
        <v>8579</v>
      </c>
      <c r="D5410" t="s">
        <v>17464</v>
      </c>
      <c r="E5410" t="s">
        <v>22185</v>
      </c>
      <c r="F5410" t="s">
        <v>30052</v>
      </c>
      <c r="G5410" t="s">
        <v>30058</v>
      </c>
      <c r="H5410" t="s">
        <v>30067</v>
      </c>
      <c r="I5410" t="s">
        <v>3693</v>
      </c>
      <c r="J5410" t="s">
        <v>30277</v>
      </c>
      <c r="K5410" t="s">
        <v>39053</v>
      </c>
      <c r="M5410" t="s">
        <v>41281</v>
      </c>
      <c r="N5410" t="s">
        <v>43166</v>
      </c>
      <c r="O5410" t="s">
        <v>43167</v>
      </c>
      <c r="P5410">
        <v>0</v>
      </c>
      <c r="Q5410">
        <v>0</v>
      </c>
      <c r="R5410" t="s">
        <v>43172</v>
      </c>
      <c r="S5410" t="s">
        <v>43334</v>
      </c>
      <c r="T5410" t="s">
        <v>44806</v>
      </c>
      <c r="U5410" t="s">
        <v>49624</v>
      </c>
      <c r="W5410" t="s">
        <v>41281</v>
      </c>
      <c r="X5410" t="s">
        <v>43173</v>
      </c>
    </row>
    <row r="5411" spans="1:24">
      <c r="A5411">
        <f>HYPERLINK("https://www.philgeps.gov.ph/GEPSNONPILOT/Tender/SplashBidNoticeAbstractUI.aspx?menuIndex=3&amp;refID=7079732&amp;Result=3","7079732")</f>
        <v>0</v>
      </c>
      <c r="B5411" t="s">
        <v>1854</v>
      </c>
      <c r="C5411" t="s">
        <v>8580</v>
      </c>
      <c r="D5411" t="s">
        <v>17446</v>
      </c>
      <c r="E5411" t="s">
        <v>22186</v>
      </c>
      <c r="F5411" t="s">
        <v>30052</v>
      </c>
      <c r="G5411" t="s">
        <v>30059</v>
      </c>
      <c r="H5411" t="s">
        <v>15498</v>
      </c>
      <c r="I5411" t="s">
        <v>3693</v>
      </c>
      <c r="J5411" t="s">
        <v>31186</v>
      </c>
      <c r="K5411" t="s">
        <v>39029</v>
      </c>
      <c r="M5411" t="s">
        <v>41282</v>
      </c>
      <c r="N5411" t="s">
        <v>43166</v>
      </c>
      <c r="O5411" t="s">
        <v>43167</v>
      </c>
      <c r="P5411">
        <v>0</v>
      </c>
      <c r="Q5411">
        <v>0</v>
      </c>
      <c r="R5411" t="s">
        <v>43172</v>
      </c>
      <c r="S5411" t="s">
        <v>43334</v>
      </c>
      <c r="T5411" t="s">
        <v>44735</v>
      </c>
      <c r="U5411" t="s">
        <v>49625</v>
      </c>
      <c r="W5411" t="s">
        <v>41282</v>
      </c>
      <c r="X5411" t="s">
        <v>43173</v>
      </c>
    </row>
    <row r="5412" spans="1:24">
      <c r="A5412">
        <f>HYPERLINK("https://www.philgeps.gov.ph/GEPSNONPILOT/Tender/SplashBidNoticeAbstractUI.aspx?menuIndex=3&amp;refID=7079750&amp;Result=3","7079750")</f>
        <v>0</v>
      </c>
      <c r="B5412" t="s">
        <v>1855</v>
      </c>
      <c r="C5412" t="s">
        <v>8581</v>
      </c>
      <c r="D5412" t="s">
        <v>17437</v>
      </c>
      <c r="E5412" t="s">
        <v>22187</v>
      </c>
      <c r="F5412" t="s">
        <v>30052</v>
      </c>
      <c r="G5412" t="s">
        <v>30058</v>
      </c>
      <c r="H5412" t="s">
        <v>15498</v>
      </c>
      <c r="I5412" t="s">
        <v>3852</v>
      </c>
      <c r="J5412" t="s">
        <v>33631</v>
      </c>
      <c r="K5412" t="s">
        <v>39052</v>
      </c>
      <c r="M5412" t="s">
        <v>41283</v>
      </c>
      <c r="N5412" t="s">
        <v>43166</v>
      </c>
      <c r="O5412" t="s">
        <v>43167</v>
      </c>
      <c r="P5412">
        <v>0</v>
      </c>
      <c r="Q5412">
        <v>4</v>
      </c>
      <c r="R5412" t="s">
        <v>43172</v>
      </c>
      <c r="S5412" t="s">
        <v>43334</v>
      </c>
      <c r="T5412" t="s">
        <v>44722</v>
      </c>
      <c r="U5412" t="s">
        <v>49626</v>
      </c>
      <c r="W5412" t="s">
        <v>58657</v>
      </c>
      <c r="X5412" t="s">
        <v>43173</v>
      </c>
    </row>
    <row r="5413" spans="1:24">
      <c r="A5413">
        <f>HYPERLINK("https://www.philgeps.gov.ph/GEPSNONPILOT/Tender/SplashBidNoticeAbstractUI.aspx?menuIndex=3&amp;refID=7079731&amp;Result=3","7079731")</f>
        <v>0</v>
      </c>
      <c r="B5413" t="s">
        <v>1843</v>
      </c>
      <c r="C5413" t="s">
        <v>8582</v>
      </c>
      <c r="E5413" t="s">
        <v>22188</v>
      </c>
      <c r="F5413" t="s">
        <v>30052</v>
      </c>
      <c r="G5413" t="s">
        <v>30058</v>
      </c>
      <c r="H5413" t="s">
        <v>15498</v>
      </c>
      <c r="I5413" t="s">
        <v>30157</v>
      </c>
      <c r="J5413" t="s">
        <v>33632</v>
      </c>
      <c r="K5413" t="s">
        <v>39025</v>
      </c>
      <c r="M5413" t="s">
        <v>41268</v>
      </c>
      <c r="N5413" t="s">
        <v>43166</v>
      </c>
      <c r="O5413" t="s">
        <v>43167</v>
      </c>
      <c r="P5413">
        <v>0</v>
      </c>
      <c r="Q5413">
        <v>1</v>
      </c>
      <c r="R5413" t="s">
        <v>43172</v>
      </c>
      <c r="S5413" t="s">
        <v>43334</v>
      </c>
      <c r="T5413" t="s">
        <v>44722</v>
      </c>
      <c r="U5413" t="s">
        <v>49627</v>
      </c>
      <c r="W5413" t="s">
        <v>41268</v>
      </c>
      <c r="X5413" t="s">
        <v>43173</v>
      </c>
    </row>
    <row r="5414" spans="1:24">
      <c r="A5414">
        <f>HYPERLINK("https://www.philgeps.gov.ph/GEPSNONPILOT/Tender/SplashBidNoticeAbstractUI.aspx?menuIndex=3&amp;refID=7079738&amp;Result=3","7079738")</f>
        <v>0</v>
      </c>
      <c r="B5414" t="s">
        <v>1856</v>
      </c>
      <c r="C5414" t="s">
        <v>8583</v>
      </c>
      <c r="D5414" t="s">
        <v>17455</v>
      </c>
      <c r="E5414" t="s">
        <v>22189</v>
      </c>
      <c r="F5414" t="s">
        <v>30052</v>
      </c>
      <c r="G5414" t="s">
        <v>30061</v>
      </c>
      <c r="H5414" t="s">
        <v>15498</v>
      </c>
      <c r="I5414" t="s">
        <v>30097</v>
      </c>
      <c r="J5414" t="s">
        <v>30432</v>
      </c>
      <c r="K5414" t="s">
        <v>39025</v>
      </c>
      <c r="M5414" t="s">
        <v>41284</v>
      </c>
      <c r="N5414" t="s">
        <v>43166</v>
      </c>
      <c r="O5414" t="s">
        <v>43167</v>
      </c>
      <c r="P5414">
        <v>0</v>
      </c>
      <c r="Q5414">
        <v>10</v>
      </c>
      <c r="R5414" t="s">
        <v>43172</v>
      </c>
      <c r="S5414" t="s">
        <v>43334</v>
      </c>
      <c r="T5414" t="s">
        <v>44832</v>
      </c>
      <c r="U5414" t="s">
        <v>49628</v>
      </c>
      <c r="W5414" t="s">
        <v>41284</v>
      </c>
      <c r="X5414" t="s">
        <v>43173</v>
      </c>
    </row>
    <row r="5415" spans="1:24">
      <c r="A5415">
        <f>HYPERLINK("https://www.philgeps.gov.ph/GEPSNONPILOT/Tender/SplashBidNoticeAbstractUI.aspx?menuIndex=3&amp;refID=7079742&amp;Result=3","7079742")</f>
        <v>0</v>
      </c>
      <c r="B5415" t="s">
        <v>1857</v>
      </c>
      <c r="C5415" t="s">
        <v>8584</v>
      </c>
      <c r="D5415" t="s">
        <v>17464</v>
      </c>
      <c r="E5415" t="s">
        <v>22190</v>
      </c>
      <c r="F5415" t="s">
        <v>30052</v>
      </c>
      <c r="G5415" t="s">
        <v>30061</v>
      </c>
      <c r="H5415" t="s">
        <v>15498</v>
      </c>
      <c r="I5415" t="s">
        <v>30098</v>
      </c>
      <c r="J5415" t="s">
        <v>33633</v>
      </c>
      <c r="K5415" t="s">
        <v>39025</v>
      </c>
      <c r="M5415" t="s">
        <v>41285</v>
      </c>
      <c r="N5415" t="s">
        <v>43166</v>
      </c>
      <c r="O5415" t="s">
        <v>43167</v>
      </c>
      <c r="P5415">
        <v>0</v>
      </c>
      <c r="Q5415">
        <v>4</v>
      </c>
      <c r="R5415" t="s">
        <v>43172</v>
      </c>
      <c r="S5415" t="s">
        <v>43334</v>
      </c>
      <c r="T5415" t="s">
        <v>44764</v>
      </c>
      <c r="U5415" t="s">
        <v>49629</v>
      </c>
      <c r="W5415" t="s">
        <v>41285</v>
      </c>
      <c r="X5415" t="s">
        <v>43173</v>
      </c>
    </row>
    <row r="5416" spans="1:24">
      <c r="A5416">
        <f>HYPERLINK("https://www.philgeps.gov.ph/GEPSNONPILOT/Tender/SplashBidNoticeAbstractUI.aspx?menuIndex=3&amp;refID=7079736&amp;Result=3","7079736")</f>
        <v>0</v>
      </c>
      <c r="B5416" t="s">
        <v>1858</v>
      </c>
      <c r="C5416" t="s">
        <v>8585</v>
      </c>
      <c r="D5416" t="s">
        <v>17415</v>
      </c>
      <c r="E5416" t="s">
        <v>22191</v>
      </c>
      <c r="F5416" t="s">
        <v>30052</v>
      </c>
      <c r="G5416" t="s">
        <v>30058</v>
      </c>
      <c r="H5416" t="s">
        <v>15498</v>
      </c>
      <c r="I5416" t="s">
        <v>30094</v>
      </c>
      <c r="J5416" t="s">
        <v>33534</v>
      </c>
      <c r="K5416" t="s">
        <v>39029</v>
      </c>
      <c r="M5416" t="s">
        <v>41286</v>
      </c>
      <c r="N5416" t="s">
        <v>43166</v>
      </c>
      <c r="O5416" t="s">
        <v>43167</v>
      </c>
      <c r="P5416">
        <v>0</v>
      </c>
      <c r="Q5416">
        <v>0</v>
      </c>
      <c r="R5416" t="s">
        <v>43172</v>
      </c>
      <c r="S5416" t="s">
        <v>43334</v>
      </c>
      <c r="T5416" t="s">
        <v>44720</v>
      </c>
      <c r="U5416" t="s">
        <v>49630</v>
      </c>
      <c r="W5416" t="s">
        <v>41286</v>
      </c>
      <c r="X5416" t="s">
        <v>43173</v>
      </c>
    </row>
    <row r="5417" spans="1:24">
      <c r="A5417">
        <f>HYPERLINK("https://www.philgeps.gov.ph/GEPSNONPILOT/Tender/SplashBidNoticeAbstractUI.aspx?menuIndex=3&amp;refID=7079753&amp;Result=3","7079753")</f>
        <v>0</v>
      </c>
      <c r="B5417" t="s">
        <v>1822</v>
      </c>
      <c r="C5417" t="s">
        <v>8586</v>
      </c>
      <c r="D5417" t="s">
        <v>17437</v>
      </c>
      <c r="E5417" t="s">
        <v>22192</v>
      </c>
      <c r="F5417" t="s">
        <v>30052</v>
      </c>
      <c r="G5417" t="s">
        <v>30059</v>
      </c>
      <c r="H5417" t="s">
        <v>15498</v>
      </c>
      <c r="I5417" t="s">
        <v>5961</v>
      </c>
      <c r="J5417" t="s">
        <v>33634</v>
      </c>
      <c r="K5417" t="s">
        <v>39034</v>
      </c>
      <c r="M5417" t="s">
        <v>41245</v>
      </c>
      <c r="N5417" t="s">
        <v>43166</v>
      </c>
      <c r="O5417" t="s">
        <v>43167</v>
      </c>
      <c r="P5417">
        <v>0</v>
      </c>
      <c r="Q5417">
        <v>0</v>
      </c>
      <c r="R5417" t="s">
        <v>43172</v>
      </c>
      <c r="S5417" t="s">
        <v>43334</v>
      </c>
      <c r="T5417" t="s">
        <v>44717</v>
      </c>
      <c r="U5417" t="s">
        <v>49631</v>
      </c>
      <c r="W5417" t="s">
        <v>41245</v>
      </c>
      <c r="X5417" t="s">
        <v>43173</v>
      </c>
    </row>
    <row r="5418" spans="1:24">
      <c r="A5418">
        <f>HYPERLINK("https://www.philgeps.gov.ph/GEPSNONPILOT/Tender/SplashBidNoticeAbstractUI.aspx?menuIndex=3&amp;refID=7079752&amp;Result=3","7079752")</f>
        <v>0</v>
      </c>
      <c r="B5418" t="s">
        <v>1859</v>
      </c>
      <c r="C5418" t="s">
        <v>8587</v>
      </c>
      <c r="D5418" t="s">
        <v>17444</v>
      </c>
      <c r="E5418" t="s">
        <v>22193</v>
      </c>
      <c r="F5418" t="s">
        <v>30052</v>
      </c>
      <c r="G5418" t="s">
        <v>30061</v>
      </c>
      <c r="H5418" t="s">
        <v>15498</v>
      </c>
      <c r="I5418" t="s">
        <v>30103</v>
      </c>
      <c r="J5418" t="s">
        <v>31370</v>
      </c>
      <c r="K5418" t="s">
        <v>39029</v>
      </c>
      <c r="M5418" t="s">
        <v>41287</v>
      </c>
      <c r="N5418" t="s">
        <v>43166</v>
      </c>
      <c r="O5418" t="s">
        <v>43167</v>
      </c>
      <c r="P5418">
        <v>0</v>
      </c>
      <c r="Q5418">
        <v>1</v>
      </c>
      <c r="R5418" t="s">
        <v>43172</v>
      </c>
      <c r="S5418" t="s">
        <v>43334</v>
      </c>
      <c r="T5418" t="s">
        <v>44735</v>
      </c>
      <c r="U5418" t="s">
        <v>49632</v>
      </c>
      <c r="W5418" t="s">
        <v>41287</v>
      </c>
      <c r="X5418" t="s">
        <v>43173</v>
      </c>
    </row>
    <row r="5419" spans="1:24">
      <c r="A5419">
        <f>HYPERLINK("https://www.philgeps.gov.ph/GEPSNONPILOT/Tender/SplashBidNoticeAbstractUI.aspx?menuIndex=3&amp;refID=7079786&amp;Result=3","7079786")</f>
        <v>0</v>
      </c>
      <c r="B5419" t="s">
        <v>1277</v>
      </c>
      <c r="C5419" t="s">
        <v>8588</v>
      </c>
      <c r="D5419" t="s">
        <v>17454</v>
      </c>
      <c r="E5419" t="s">
        <v>22194</v>
      </c>
      <c r="F5419" t="s">
        <v>30052</v>
      </c>
      <c r="G5419" t="s">
        <v>30059</v>
      </c>
      <c r="H5419" t="s">
        <v>15498</v>
      </c>
      <c r="I5419" t="s">
        <v>9238</v>
      </c>
      <c r="J5419" t="s">
        <v>33635</v>
      </c>
      <c r="K5419" t="s">
        <v>39037</v>
      </c>
      <c r="M5419" t="s">
        <v>40639</v>
      </c>
      <c r="N5419" t="s">
        <v>43166</v>
      </c>
      <c r="O5419" t="s">
        <v>43167</v>
      </c>
      <c r="P5419">
        <v>0</v>
      </c>
      <c r="Q5419">
        <v>7</v>
      </c>
      <c r="R5419" t="s">
        <v>43172</v>
      </c>
      <c r="S5419" t="s">
        <v>43334</v>
      </c>
      <c r="T5419" t="s">
        <v>44735</v>
      </c>
      <c r="U5419" t="s">
        <v>49633</v>
      </c>
      <c r="W5419" t="s">
        <v>40639</v>
      </c>
      <c r="X5419" t="s">
        <v>43173</v>
      </c>
    </row>
    <row r="5420" spans="1:24">
      <c r="A5420">
        <f>HYPERLINK("https://www.philgeps.gov.ph/GEPSNONPILOT/Tender/SplashBidNoticeAbstractUI.aspx?menuIndex=3&amp;refID=7079730&amp;Result=3","7079730")</f>
        <v>0</v>
      </c>
      <c r="B5420" t="s">
        <v>1708</v>
      </c>
      <c r="C5420" t="s">
        <v>8589</v>
      </c>
      <c r="D5420" t="s">
        <v>17419</v>
      </c>
      <c r="E5420" t="s">
        <v>22195</v>
      </c>
      <c r="F5420" t="s">
        <v>30052</v>
      </c>
      <c r="G5420" t="s">
        <v>30063</v>
      </c>
      <c r="H5420" t="s">
        <v>15498</v>
      </c>
      <c r="I5420" t="s">
        <v>3852</v>
      </c>
      <c r="J5420" t="s">
        <v>33636</v>
      </c>
      <c r="K5420" t="s">
        <v>39018</v>
      </c>
      <c r="M5420" t="s">
        <v>41123</v>
      </c>
      <c r="N5420" t="s">
        <v>43166</v>
      </c>
      <c r="O5420" t="s">
        <v>43167</v>
      </c>
      <c r="P5420">
        <v>0</v>
      </c>
      <c r="Q5420">
        <v>1</v>
      </c>
      <c r="R5420" t="s">
        <v>43172</v>
      </c>
      <c r="S5420" t="s">
        <v>43334</v>
      </c>
      <c r="T5420" t="s">
        <v>44698</v>
      </c>
      <c r="U5420" t="s">
        <v>49634</v>
      </c>
      <c r="W5420" t="s">
        <v>41123</v>
      </c>
      <c r="X5420" t="s">
        <v>43173</v>
      </c>
    </row>
    <row r="5421" spans="1:24">
      <c r="A5421">
        <f>HYPERLINK("https://www.philgeps.gov.ph/GEPSNONPILOT/Tender/SplashBidNoticeAbstractUI.aspx?menuIndex=3&amp;refID=7079785&amp;Result=3","7079785")</f>
        <v>0</v>
      </c>
      <c r="B5421" t="s">
        <v>1792</v>
      </c>
      <c r="C5421" t="s">
        <v>8590</v>
      </c>
      <c r="D5421" t="s">
        <v>17432</v>
      </c>
      <c r="E5421" t="s">
        <v>21970</v>
      </c>
      <c r="F5421" t="s">
        <v>30052</v>
      </c>
      <c r="G5421" t="s">
        <v>30060</v>
      </c>
      <c r="H5421" t="s">
        <v>15498</v>
      </c>
      <c r="I5421" t="s">
        <v>30075</v>
      </c>
      <c r="J5421" t="s">
        <v>30417</v>
      </c>
      <c r="K5421" t="s">
        <v>39034</v>
      </c>
      <c r="M5421" t="s">
        <v>41214</v>
      </c>
      <c r="N5421" t="s">
        <v>43166</v>
      </c>
      <c r="O5421" t="s">
        <v>43167</v>
      </c>
      <c r="P5421">
        <v>0</v>
      </c>
      <c r="Q5421">
        <v>0</v>
      </c>
      <c r="R5421" t="s">
        <v>43172</v>
      </c>
      <c r="S5421" t="s">
        <v>43334</v>
      </c>
      <c r="T5421" t="s">
        <v>44714</v>
      </c>
      <c r="U5421" t="s">
        <v>49635</v>
      </c>
      <c r="W5421" t="s">
        <v>41214</v>
      </c>
      <c r="X5421" t="s">
        <v>43173</v>
      </c>
    </row>
    <row r="5422" spans="1:24">
      <c r="A5422">
        <f>HYPERLINK("https://www.philgeps.gov.ph/GEPSNONPILOT/Tender/SplashBidNoticeAbstractUI.aspx?menuIndex=3&amp;refID=7079782&amp;Result=3","7079782")</f>
        <v>0</v>
      </c>
      <c r="B5422" t="s">
        <v>793</v>
      </c>
      <c r="C5422" t="s">
        <v>8591</v>
      </c>
      <c r="D5422" t="s">
        <v>17444</v>
      </c>
      <c r="E5422" t="s">
        <v>22196</v>
      </c>
      <c r="F5422" t="s">
        <v>30052</v>
      </c>
      <c r="G5422" t="s">
        <v>30058</v>
      </c>
      <c r="H5422" t="s">
        <v>15498</v>
      </c>
      <c r="I5422" t="s">
        <v>30074</v>
      </c>
      <c r="J5422" t="s">
        <v>33637</v>
      </c>
      <c r="K5422" t="s">
        <v>39046</v>
      </c>
      <c r="M5422" t="s">
        <v>40110</v>
      </c>
      <c r="N5422" t="s">
        <v>43166</v>
      </c>
      <c r="O5422" t="s">
        <v>43167</v>
      </c>
      <c r="P5422">
        <v>0</v>
      </c>
      <c r="Q5422">
        <v>2</v>
      </c>
      <c r="R5422" t="s">
        <v>43172</v>
      </c>
      <c r="S5422" t="s">
        <v>43334</v>
      </c>
      <c r="T5422" t="s">
        <v>44720</v>
      </c>
      <c r="U5422" t="s">
        <v>49636</v>
      </c>
      <c r="W5422" t="s">
        <v>40110</v>
      </c>
      <c r="X5422" t="s">
        <v>43173</v>
      </c>
    </row>
    <row r="5423" spans="1:24">
      <c r="A5423">
        <f>HYPERLINK("https://www.philgeps.gov.ph/GEPSNONPILOT/Tender/SplashBidNoticeAbstractUI.aspx?menuIndex=3&amp;refID=7079512&amp;Result=3","7079512")</f>
        <v>0</v>
      </c>
      <c r="B5423" t="s">
        <v>1860</v>
      </c>
      <c r="C5423" t="s">
        <v>8592</v>
      </c>
      <c r="D5423" t="s">
        <v>17449</v>
      </c>
      <c r="E5423" t="s">
        <v>17715</v>
      </c>
      <c r="F5423" t="s">
        <v>30054</v>
      </c>
      <c r="G5423" t="s">
        <v>30058</v>
      </c>
      <c r="H5423" t="s">
        <v>30067</v>
      </c>
      <c r="I5423" t="s">
        <v>3693</v>
      </c>
      <c r="J5423" t="s">
        <v>30277</v>
      </c>
      <c r="K5423" t="s">
        <v>39029</v>
      </c>
      <c r="M5423" t="s">
        <v>41288</v>
      </c>
      <c r="N5423" t="s">
        <v>43166</v>
      </c>
      <c r="O5423" t="s">
        <v>43167</v>
      </c>
      <c r="P5423">
        <v>0</v>
      </c>
      <c r="Q5423">
        <v>1</v>
      </c>
      <c r="R5423" t="s">
        <v>43172</v>
      </c>
      <c r="S5423" t="s">
        <v>43334</v>
      </c>
      <c r="T5423" t="s">
        <v>44958</v>
      </c>
      <c r="U5423" t="s">
        <v>49637</v>
      </c>
      <c r="W5423" t="s">
        <v>41288</v>
      </c>
      <c r="X5423" t="s">
        <v>43173</v>
      </c>
    </row>
    <row r="5424" spans="1:24">
      <c r="A5424">
        <f>HYPERLINK("https://www.philgeps.gov.ph/GEPSNONPILOT/Tender/SplashBidNoticeAbstractUI.aspx?menuIndex=3&amp;refID=7079778&amp;Result=3","7079778")</f>
        <v>0</v>
      </c>
      <c r="B5424" t="s">
        <v>1861</v>
      </c>
      <c r="C5424" t="s">
        <v>8593</v>
      </c>
      <c r="D5424" t="s">
        <v>17441</v>
      </c>
      <c r="E5424" t="s">
        <v>22197</v>
      </c>
      <c r="F5424" t="s">
        <v>30052</v>
      </c>
      <c r="G5424" t="s">
        <v>30058</v>
      </c>
      <c r="H5424" t="s">
        <v>15498</v>
      </c>
      <c r="I5424" t="s">
        <v>3736</v>
      </c>
      <c r="J5424" t="s">
        <v>33638</v>
      </c>
      <c r="K5424" t="s">
        <v>39064</v>
      </c>
      <c r="M5424" t="s">
        <v>41289</v>
      </c>
      <c r="N5424" t="s">
        <v>43166</v>
      </c>
      <c r="O5424" t="s">
        <v>43167</v>
      </c>
      <c r="P5424">
        <v>0</v>
      </c>
      <c r="Q5424">
        <v>0</v>
      </c>
      <c r="R5424" t="s">
        <v>43172</v>
      </c>
      <c r="S5424" t="s">
        <v>43334</v>
      </c>
      <c r="T5424" t="s">
        <v>44720</v>
      </c>
      <c r="U5424" t="s">
        <v>49638</v>
      </c>
      <c r="W5424" t="s">
        <v>41289</v>
      </c>
      <c r="X5424" t="s">
        <v>43173</v>
      </c>
    </row>
    <row r="5425" spans="1:24">
      <c r="A5425">
        <f>HYPERLINK("https://www.philgeps.gov.ph/GEPSNONPILOT/Tender/SplashBidNoticeAbstractUI.aspx?menuIndex=3&amp;refID=7079772&amp;Result=3","7079772")</f>
        <v>0</v>
      </c>
      <c r="B5425" t="s">
        <v>1299</v>
      </c>
      <c r="C5425" t="s">
        <v>3736</v>
      </c>
      <c r="D5425" t="s">
        <v>17442</v>
      </c>
      <c r="E5425" t="s">
        <v>22198</v>
      </c>
      <c r="F5425" t="s">
        <v>30052</v>
      </c>
      <c r="G5425" t="s">
        <v>30059</v>
      </c>
      <c r="H5425" t="s">
        <v>15498</v>
      </c>
      <c r="I5425" t="s">
        <v>30071</v>
      </c>
      <c r="J5425" t="s">
        <v>33639</v>
      </c>
      <c r="K5425" t="s">
        <v>39019</v>
      </c>
      <c r="M5425" t="s">
        <v>40665</v>
      </c>
      <c r="N5425" t="s">
        <v>43166</v>
      </c>
      <c r="O5425" t="s">
        <v>43167</v>
      </c>
      <c r="P5425">
        <v>0</v>
      </c>
      <c r="Q5425">
        <v>0</v>
      </c>
      <c r="R5425" t="s">
        <v>43172</v>
      </c>
      <c r="S5425" t="s">
        <v>43334</v>
      </c>
      <c r="T5425" t="s">
        <v>44870</v>
      </c>
      <c r="U5425" t="s">
        <v>49639</v>
      </c>
      <c r="W5425" t="s">
        <v>40665</v>
      </c>
      <c r="X5425" t="s">
        <v>43173</v>
      </c>
    </row>
    <row r="5426" spans="1:24">
      <c r="A5426">
        <f>HYPERLINK("https://www.philgeps.gov.ph/GEPSNONPILOT/Tender/SplashBidNoticeAbstractUI.aspx?menuIndex=3&amp;refID=7079729&amp;Result=3","7079729")</f>
        <v>0</v>
      </c>
      <c r="B5426" t="s">
        <v>1862</v>
      </c>
      <c r="C5426" t="s">
        <v>8594</v>
      </c>
      <c r="D5426" t="s">
        <v>17471</v>
      </c>
      <c r="E5426" t="s">
        <v>20290</v>
      </c>
      <c r="F5426" t="s">
        <v>30052</v>
      </c>
      <c r="G5426" t="s">
        <v>30059</v>
      </c>
      <c r="H5426" t="s">
        <v>15498</v>
      </c>
      <c r="I5426" t="s">
        <v>30078</v>
      </c>
      <c r="J5426" t="s">
        <v>31710</v>
      </c>
      <c r="K5426" t="s">
        <v>39034</v>
      </c>
      <c r="M5426" t="s">
        <v>41290</v>
      </c>
      <c r="N5426" t="s">
        <v>43166</v>
      </c>
      <c r="O5426" t="s">
        <v>43167</v>
      </c>
      <c r="P5426">
        <v>0</v>
      </c>
      <c r="Q5426">
        <v>1</v>
      </c>
      <c r="R5426" t="s">
        <v>43172</v>
      </c>
      <c r="S5426" t="s">
        <v>43334</v>
      </c>
      <c r="T5426" t="s">
        <v>44843</v>
      </c>
      <c r="U5426" t="s">
        <v>49640</v>
      </c>
      <c r="W5426" t="s">
        <v>41290</v>
      </c>
      <c r="X5426" t="s">
        <v>43173</v>
      </c>
    </row>
    <row r="5427" spans="1:24">
      <c r="A5427">
        <f>HYPERLINK("https://www.philgeps.gov.ph/GEPSNONPILOT/Tender/SplashBidNoticeAbstractUI.aspx?menuIndex=3&amp;refID=7079755&amp;Result=3","7079755")</f>
        <v>0</v>
      </c>
      <c r="B5427" t="s">
        <v>1310</v>
      </c>
      <c r="C5427" t="s">
        <v>8595</v>
      </c>
      <c r="D5427" t="s">
        <v>17459</v>
      </c>
      <c r="E5427" t="s">
        <v>22199</v>
      </c>
      <c r="F5427" t="s">
        <v>30052</v>
      </c>
      <c r="G5427" t="s">
        <v>30058</v>
      </c>
      <c r="H5427" t="s">
        <v>30067</v>
      </c>
      <c r="I5427" t="s">
        <v>3693</v>
      </c>
      <c r="J5427" t="s">
        <v>33640</v>
      </c>
      <c r="K5427" t="s">
        <v>39032</v>
      </c>
      <c r="M5427" t="s">
        <v>40677</v>
      </c>
      <c r="N5427" t="s">
        <v>43166</v>
      </c>
      <c r="O5427" t="s">
        <v>43167</v>
      </c>
      <c r="P5427">
        <v>0</v>
      </c>
      <c r="Q5427">
        <v>0</v>
      </c>
      <c r="R5427" t="s">
        <v>43172</v>
      </c>
      <c r="S5427" t="s">
        <v>43334</v>
      </c>
      <c r="T5427" t="s">
        <v>44722</v>
      </c>
      <c r="U5427" t="s">
        <v>49641</v>
      </c>
      <c r="W5427" t="s">
        <v>40677</v>
      </c>
      <c r="X5427" t="s">
        <v>43173</v>
      </c>
    </row>
    <row r="5428" spans="1:24">
      <c r="A5428">
        <f>HYPERLINK("https://www.philgeps.gov.ph/GEPSNONPILOT/Tender/SplashBidNoticeAbstractUI.aspx?menuIndex=3&amp;refID=7079780&amp;Result=3","7079780")</f>
        <v>0</v>
      </c>
      <c r="B5428" t="s">
        <v>1708</v>
      </c>
      <c r="C5428" t="s">
        <v>8596</v>
      </c>
      <c r="D5428" t="s">
        <v>17466</v>
      </c>
      <c r="E5428" t="s">
        <v>22200</v>
      </c>
      <c r="F5428" t="s">
        <v>30052</v>
      </c>
      <c r="G5428" t="s">
        <v>30059</v>
      </c>
      <c r="H5428" t="s">
        <v>15498</v>
      </c>
      <c r="I5428" t="s">
        <v>3852</v>
      </c>
      <c r="J5428" t="s">
        <v>30895</v>
      </c>
      <c r="K5428" t="s">
        <v>39018</v>
      </c>
      <c r="M5428" t="s">
        <v>41123</v>
      </c>
      <c r="N5428" t="s">
        <v>43166</v>
      </c>
      <c r="O5428" t="s">
        <v>43167</v>
      </c>
      <c r="P5428">
        <v>0</v>
      </c>
      <c r="Q5428">
        <v>1</v>
      </c>
      <c r="R5428" t="s">
        <v>43172</v>
      </c>
      <c r="S5428" t="s">
        <v>43334</v>
      </c>
      <c r="T5428" t="s">
        <v>44720</v>
      </c>
      <c r="U5428" t="s">
        <v>49642</v>
      </c>
      <c r="W5428" t="s">
        <v>41123</v>
      </c>
      <c r="X5428" t="s">
        <v>43173</v>
      </c>
    </row>
    <row r="5429" spans="1:24">
      <c r="A5429">
        <f>HYPERLINK("https://www.philgeps.gov.ph/GEPSNONPILOT/Tender/SplashBidNoticeAbstractUI.aspx?menuIndex=3&amp;refID=7079767&amp;Result=3","7079767")</f>
        <v>0</v>
      </c>
      <c r="B5429" t="s">
        <v>1863</v>
      </c>
      <c r="C5429" t="s">
        <v>8597</v>
      </c>
      <c r="D5429" t="s">
        <v>17451</v>
      </c>
      <c r="E5429" t="s">
        <v>22201</v>
      </c>
      <c r="F5429" t="s">
        <v>30052</v>
      </c>
      <c r="G5429" t="s">
        <v>30058</v>
      </c>
      <c r="H5429" t="s">
        <v>15498</v>
      </c>
      <c r="I5429" t="s">
        <v>30120</v>
      </c>
      <c r="J5429" t="s">
        <v>33641</v>
      </c>
      <c r="K5429" t="s">
        <v>39037</v>
      </c>
      <c r="M5429" t="s">
        <v>41291</v>
      </c>
      <c r="N5429" t="s">
        <v>43166</v>
      </c>
      <c r="O5429" t="s">
        <v>43167</v>
      </c>
      <c r="P5429">
        <v>0</v>
      </c>
      <c r="Q5429">
        <v>3</v>
      </c>
      <c r="R5429" t="s">
        <v>43172</v>
      </c>
      <c r="S5429" t="s">
        <v>43334</v>
      </c>
      <c r="T5429" t="s">
        <v>44685</v>
      </c>
      <c r="U5429" t="s">
        <v>49643</v>
      </c>
      <c r="W5429" t="s">
        <v>41291</v>
      </c>
      <c r="X5429" t="s">
        <v>43173</v>
      </c>
    </row>
    <row r="5430" spans="1:24">
      <c r="A5430">
        <f>HYPERLINK("https://www.philgeps.gov.ph/GEPSNONPILOT/Tender/SplashBidNoticeAbstractUI.aspx?menuIndex=3&amp;refID=7079748&amp;Result=3","7079748")</f>
        <v>0</v>
      </c>
      <c r="B5430" t="s">
        <v>595</v>
      </c>
      <c r="C5430" t="s">
        <v>8598</v>
      </c>
      <c r="E5430" t="s">
        <v>22202</v>
      </c>
      <c r="F5430" t="s">
        <v>30052</v>
      </c>
      <c r="G5430" t="s">
        <v>30058</v>
      </c>
      <c r="H5430" t="s">
        <v>15498</v>
      </c>
      <c r="I5430" t="s">
        <v>30074</v>
      </c>
      <c r="J5430" t="s">
        <v>33642</v>
      </c>
      <c r="K5430" t="s">
        <v>39025</v>
      </c>
      <c r="M5430" t="s">
        <v>39897</v>
      </c>
      <c r="N5430" t="s">
        <v>43166</v>
      </c>
      <c r="O5430" t="s">
        <v>43167</v>
      </c>
      <c r="P5430">
        <v>0</v>
      </c>
      <c r="Q5430">
        <v>2</v>
      </c>
      <c r="R5430" t="s">
        <v>43172</v>
      </c>
      <c r="S5430" t="s">
        <v>43334</v>
      </c>
      <c r="T5430" t="s">
        <v>44853</v>
      </c>
      <c r="U5430" t="s">
        <v>49623</v>
      </c>
      <c r="V5430" t="s">
        <v>56838</v>
      </c>
      <c r="W5430" t="s">
        <v>39897</v>
      </c>
      <c r="X5430" t="s">
        <v>43173</v>
      </c>
    </row>
    <row r="5431" spans="1:24">
      <c r="A5431">
        <f>HYPERLINK("https://www.philgeps.gov.ph/GEPSNONPILOT/Tender/SplashBidNoticeAbstractUI.aspx?menuIndex=3&amp;refID=7079776&amp;Result=3","7079776")</f>
        <v>0</v>
      </c>
      <c r="B5431" t="s">
        <v>1864</v>
      </c>
      <c r="C5431" t="s">
        <v>8599</v>
      </c>
      <c r="D5431" t="s">
        <v>17435</v>
      </c>
      <c r="E5431" t="s">
        <v>22203</v>
      </c>
      <c r="F5431" t="s">
        <v>30052</v>
      </c>
      <c r="G5431" t="s">
        <v>30058</v>
      </c>
      <c r="H5431" t="s">
        <v>30067</v>
      </c>
      <c r="I5431" t="s">
        <v>3693</v>
      </c>
      <c r="J5431" t="s">
        <v>33643</v>
      </c>
      <c r="K5431" t="s">
        <v>39074</v>
      </c>
      <c r="M5431" t="s">
        <v>41292</v>
      </c>
      <c r="N5431" t="s">
        <v>43166</v>
      </c>
      <c r="O5431" t="s">
        <v>43167</v>
      </c>
      <c r="P5431">
        <v>0</v>
      </c>
      <c r="Q5431">
        <v>0</v>
      </c>
      <c r="R5431" t="s">
        <v>43172</v>
      </c>
      <c r="S5431" t="s">
        <v>43334</v>
      </c>
      <c r="T5431" t="s">
        <v>44716</v>
      </c>
      <c r="U5431" t="s">
        <v>49644</v>
      </c>
      <c r="V5431" t="s">
        <v>57425</v>
      </c>
      <c r="W5431" t="s">
        <v>41292</v>
      </c>
      <c r="X5431" t="s">
        <v>43173</v>
      </c>
    </row>
    <row r="5432" spans="1:24">
      <c r="A5432">
        <f>HYPERLINK("https://www.philgeps.gov.ph/GEPSNONPILOT/Tender/SplashBidNoticeAbstractUI.aspx?menuIndex=3&amp;refID=7079728&amp;Result=3","7079728")</f>
        <v>0</v>
      </c>
      <c r="B5432" t="s">
        <v>912</v>
      </c>
      <c r="C5432" t="s">
        <v>8600</v>
      </c>
      <c r="D5432" t="s">
        <v>17440</v>
      </c>
      <c r="E5432" t="s">
        <v>22204</v>
      </c>
      <c r="F5432" t="s">
        <v>30052</v>
      </c>
      <c r="G5432" t="s">
        <v>30058</v>
      </c>
      <c r="H5432" t="s">
        <v>15498</v>
      </c>
      <c r="I5432" t="s">
        <v>30084</v>
      </c>
      <c r="J5432" t="s">
        <v>33644</v>
      </c>
      <c r="K5432" t="s">
        <v>39019</v>
      </c>
      <c r="M5432" t="s">
        <v>41293</v>
      </c>
      <c r="N5432" t="s">
        <v>43166</v>
      </c>
      <c r="O5432" t="s">
        <v>43167</v>
      </c>
      <c r="P5432">
        <v>0</v>
      </c>
      <c r="Q5432">
        <v>9</v>
      </c>
      <c r="R5432" t="s">
        <v>43172</v>
      </c>
      <c r="S5432" t="s">
        <v>43334</v>
      </c>
      <c r="T5432" t="s">
        <v>45003</v>
      </c>
      <c r="U5432" t="s">
        <v>49645</v>
      </c>
      <c r="W5432" t="s">
        <v>41293</v>
      </c>
      <c r="X5432" t="s">
        <v>43173</v>
      </c>
    </row>
    <row r="5433" spans="1:24">
      <c r="A5433">
        <f>HYPERLINK("https://www.philgeps.gov.ph/GEPSNONPILOT/Tender/SplashBidNoticeAbstractUI.aspx?menuIndex=3&amp;refID=7079770&amp;Result=3","7079770")</f>
        <v>0</v>
      </c>
      <c r="B5433" t="s">
        <v>1853</v>
      </c>
      <c r="C5433" t="s">
        <v>8601</v>
      </c>
      <c r="D5433" t="s">
        <v>17464</v>
      </c>
      <c r="E5433" t="s">
        <v>22205</v>
      </c>
      <c r="F5433" t="s">
        <v>30052</v>
      </c>
      <c r="G5433" t="s">
        <v>30058</v>
      </c>
      <c r="H5433" t="s">
        <v>30067</v>
      </c>
      <c r="I5433" t="s">
        <v>3693</v>
      </c>
      <c r="J5433" t="s">
        <v>30252</v>
      </c>
      <c r="K5433" t="s">
        <v>39025</v>
      </c>
      <c r="M5433" t="s">
        <v>41281</v>
      </c>
      <c r="N5433" t="s">
        <v>43166</v>
      </c>
      <c r="O5433" t="s">
        <v>43167</v>
      </c>
      <c r="P5433">
        <v>0</v>
      </c>
      <c r="Q5433">
        <v>0</v>
      </c>
      <c r="R5433" t="s">
        <v>43172</v>
      </c>
      <c r="S5433" t="s">
        <v>43334</v>
      </c>
      <c r="T5433" t="s">
        <v>44806</v>
      </c>
      <c r="U5433" t="s">
        <v>49646</v>
      </c>
      <c r="W5433" t="s">
        <v>41281</v>
      </c>
      <c r="X5433" t="s">
        <v>43173</v>
      </c>
    </row>
    <row r="5434" spans="1:24">
      <c r="A5434">
        <f>HYPERLINK("https://www.philgeps.gov.ph/GEPSNONPILOT/Tender/SplashBidNoticeAbstractUI.aspx?menuIndex=3&amp;refID=7079763&amp;Result=3","7079763")</f>
        <v>0</v>
      </c>
      <c r="B5434" t="s">
        <v>1843</v>
      </c>
      <c r="C5434" t="s">
        <v>8602</v>
      </c>
      <c r="E5434" t="s">
        <v>22206</v>
      </c>
      <c r="F5434" t="s">
        <v>30052</v>
      </c>
      <c r="G5434" t="s">
        <v>30058</v>
      </c>
      <c r="H5434" t="s">
        <v>15498</v>
      </c>
      <c r="I5434" t="s">
        <v>30100</v>
      </c>
      <c r="J5434" t="s">
        <v>33645</v>
      </c>
      <c r="K5434" t="s">
        <v>39025</v>
      </c>
      <c r="M5434" t="s">
        <v>41268</v>
      </c>
      <c r="N5434" t="s">
        <v>43166</v>
      </c>
      <c r="O5434" t="s">
        <v>43167</v>
      </c>
      <c r="P5434">
        <v>0</v>
      </c>
      <c r="Q5434">
        <v>1</v>
      </c>
      <c r="R5434" t="s">
        <v>43172</v>
      </c>
      <c r="S5434" t="s">
        <v>43334</v>
      </c>
      <c r="T5434" t="s">
        <v>44722</v>
      </c>
      <c r="U5434" t="s">
        <v>49647</v>
      </c>
      <c r="W5434" t="s">
        <v>41268</v>
      </c>
      <c r="X5434" t="s">
        <v>43173</v>
      </c>
    </row>
    <row r="5435" spans="1:24">
      <c r="A5435">
        <f>HYPERLINK("https://www.philgeps.gov.ph/GEPSNONPILOT/Tender/SplashBidNoticeAbstractUI.aspx?menuIndex=3&amp;refID=7079759&amp;Result=3","7079759")</f>
        <v>0</v>
      </c>
      <c r="B5435" t="s">
        <v>1865</v>
      </c>
      <c r="C5435" t="s">
        <v>8603</v>
      </c>
      <c r="D5435" t="s">
        <v>17424</v>
      </c>
      <c r="E5435" t="s">
        <v>22207</v>
      </c>
      <c r="F5435" t="s">
        <v>30052</v>
      </c>
      <c r="G5435" t="s">
        <v>30059</v>
      </c>
      <c r="H5435" t="s">
        <v>15498</v>
      </c>
      <c r="I5435" t="s">
        <v>9238</v>
      </c>
      <c r="J5435" t="s">
        <v>33646</v>
      </c>
      <c r="K5435" t="s">
        <v>39029</v>
      </c>
      <c r="M5435" t="s">
        <v>41294</v>
      </c>
      <c r="N5435" t="s">
        <v>43166</v>
      </c>
      <c r="O5435" t="s">
        <v>43167</v>
      </c>
      <c r="P5435">
        <v>0</v>
      </c>
      <c r="Q5435">
        <v>11</v>
      </c>
      <c r="R5435" t="s">
        <v>43172</v>
      </c>
      <c r="S5435" t="s">
        <v>43334</v>
      </c>
      <c r="T5435" t="s">
        <v>44685</v>
      </c>
      <c r="U5435" t="s">
        <v>49648</v>
      </c>
      <c r="W5435" t="s">
        <v>41294</v>
      </c>
      <c r="X5435" t="s">
        <v>43173</v>
      </c>
    </row>
    <row r="5436" spans="1:24">
      <c r="A5436">
        <f>HYPERLINK("https://www.philgeps.gov.ph/GEPSNONPILOT/Tender/SplashBidNoticeAbstractUI.aspx?menuIndex=3&amp;refID=7079757&amp;Result=3","7079757")</f>
        <v>0</v>
      </c>
      <c r="B5436" t="s">
        <v>1866</v>
      </c>
      <c r="C5436" t="s">
        <v>8604</v>
      </c>
      <c r="D5436" t="s">
        <v>17441</v>
      </c>
      <c r="E5436" t="s">
        <v>22208</v>
      </c>
      <c r="F5436" t="s">
        <v>30052</v>
      </c>
      <c r="G5436" t="s">
        <v>30058</v>
      </c>
      <c r="H5436" t="s">
        <v>15498</v>
      </c>
      <c r="I5436" t="s">
        <v>30085</v>
      </c>
      <c r="J5436" t="s">
        <v>33647</v>
      </c>
      <c r="K5436" t="s">
        <v>39064</v>
      </c>
      <c r="M5436" t="s">
        <v>41295</v>
      </c>
      <c r="N5436" t="s">
        <v>43166</v>
      </c>
      <c r="O5436" t="s">
        <v>43167</v>
      </c>
      <c r="P5436">
        <v>0</v>
      </c>
      <c r="Q5436">
        <v>1</v>
      </c>
      <c r="R5436" t="s">
        <v>43172</v>
      </c>
      <c r="S5436" t="s">
        <v>43334</v>
      </c>
      <c r="T5436" t="s">
        <v>44720</v>
      </c>
      <c r="U5436" t="s">
        <v>49638</v>
      </c>
      <c r="W5436" t="s">
        <v>41295</v>
      </c>
      <c r="X5436" t="s">
        <v>43173</v>
      </c>
    </row>
    <row r="5437" spans="1:24">
      <c r="A5437">
        <f>HYPERLINK("https://www.philgeps.gov.ph/GEPSNONPILOT/Tender/SplashBidNoticeAbstractUI.aspx?menuIndex=3&amp;refID=7079756&amp;Result=3","7079756")</f>
        <v>0</v>
      </c>
      <c r="B5437" t="s">
        <v>1867</v>
      </c>
      <c r="C5437" t="s">
        <v>8605</v>
      </c>
      <c r="D5437" t="s">
        <v>17459</v>
      </c>
      <c r="E5437" t="s">
        <v>22209</v>
      </c>
      <c r="F5437" t="s">
        <v>30052</v>
      </c>
      <c r="G5437" t="s">
        <v>30059</v>
      </c>
      <c r="H5437" t="s">
        <v>15498</v>
      </c>
      <c r="I5437" t="s">
        <v>3736</v>
      </c>
      <c r="J5437" t="s">
        <v>33648</v>
      </c>
      <c r="K5437" t="s">
        <v>39017</v>
      </c>
      <c r="M5437" t="s">
        <v>41296</v>
      </c>
      <c r="N5437" t="s">
        <v>43166</v>
      </c>
      <c r="O5437" t="s">
        <v>43167</v>
      </c>
      <c r="P5437">
        <v>0</v>
      </c>
      <c r="Q5437">
        <v>0</v>
      </c>
      <c r="R5437" t="s">
        <v>43172</v>
      </c>
      <c r="S5437" t="s">
        <v>43334</v>
      </c>
      <c r="T5437" t="s">
        <v>44710</v>
      </c>
      <c r="U5437" t="s">
        <v>49649</v>
      </c>
      <c r="W5437" t="s">
        <v>41296</v>
      </c>
      <c r="X5437" t="s">
        <v>43173</v>
      </c>
    </row>
    <row r="5438" spans="1:24">
      <c r="A5438">
        <f>HYPERLINK("https://www.philgeps.gov.ph/GEPSNONPILOT/Tender/SplashBidNoticeAbstractUI.aspx?menuIndex=3&amp;refID=7079765&amp;Result=3","7079765")</f>
        <v>0</v>
      </c>
      <c r="B5438" t="s">
        <v>1868</v>
      </c>
      <c r="C5438" t="s">
        <v>8606</v>
      </c>
      <c r="D5438" t="s">
        <v>17415</v>
      </c>
      <c r="E5438" t="s">
        <v>22210</v>
      </c>
      <c r="F5438" t="s">
        <v>30052</v>
      </c>
      <c r="G5438" t="s">
        <v>30058</v>
      </c>
      <c r="H5438" t="s">
        <v>15498</v>
      </c>
      <c r="I5438" t="s">
        <v>30094</v>
      </c>
      <c r="J5438" t="s">
        <v>30277</v>
      </c>
      <c r="K5438" t="s">
        <v>39019</v>
      </c>
      <c r="M5438" t="s">
        <v>41297</v>
      </c>
      <c r="N5438" t="s">
        <v>43166</v>
      </c>
      <c r="O5438" t="s">
        <v>43167</v>
      </c>
      <c r="P5438">
        <v>0</v>
      </c>
      <c r="Q5438">
        <v>1</v>
      </c>
      <c r="R5438" t="s">
        <v>43172</v>
      </c>
      <c r="S5438" t="s">
        <v>43334</v>
      </c>
      <c r="T5438" t="s">
        <v>44737</v>
      </c>
      <c r="U5438" t="s">
        <v>49650</v>
      </c>
      <c r="W5438" t="s">
        <v>41297</v>
      </c>
      <c r="X5438" t="s">
        <v>43173</v>
      </c>
    </row>
    <row r="5439" spans="1:24">
      <c r="A5439">
        <f>HYPERLINK("https://www.philgeps.gov.ph/GEPSNONPILOT/Tender/SplashBidNoticeAbstractUI.aspx?menuIndex=3&amp;refID=7079768&amp;Result=3","7079768")</f>
        <v>0</v>
      </c>
      <c r="B5439" t="s">
        <v>474</v>
      </c>
      <c r="C5439" t="s">
        <v>8607</v>
      </c>
      <c r="D5439" t="s">
        <v>17490</v>
      </c>
      <c r="E5439" t="s">
        <v>22211</v>
      </c>
      <c r="F5439" t="s">
        <v>30052</v>
      </c>
      <c r="G5439" t="s">
        <v>30062</v>
      </c>
      <c r="H5439" t="s">
        <v>15498</v>
      </c>
      <c r="I5439" t="s">
        <v>30151</v>
      </c>
      <c r="J5439" t="s">
        <v>32221</v>
      </c>
      <c r="K5439" t="s">
        <v>39029</v>
      </c>
      <c r="M5439" t="s">
        <v>39775</v>
      </c>
      <c r="N5439" t="s">
        <v>43166</v>
      </c>
      <c r="O5439" t="s">
        <v>43167</v>
      </c>
      <c r="P5439">
        <v>0</v>
      </c>
      <c r="Q5439">
        <v>5</v>
      </c>
      <c r="R5439" t="s">
        <v>43172</v>
      </c>
      <c r="S5439" t="s">
        <v>43334</v>
      </c>
      <c r="T5439" t="s">
        <v>44696</v>
      </c>
      <c r="U5439" t="s">
        <v>49651</v>
      </c>
      <c r="W5439" t="s">
        <v>39775</v>
      </c>
      <c r="X5439" t="s">
        <v>43173</v>
      </c>
    </row>
    <row r="5440" spans="1:24">
      <c r="A5440">
        <f>HYPERLINK("https://www.philgeps.gov.ph/GEPSNONPILOT/Tender/SplashBidNoticeAbstractUI.aspx?menuIndex=3&amp;refID=7079760&amp;Result=3","7079760")</f>
        <v>0</v>
      </c>
      <c r="B5440" t="s">
        <v>595</v>
      </c>
      <c r="C5440" t="s">
        <v>8608</v>
      </c>
      <c r="E5440" t="s">
        <v>21212</v>
      </c>
      <c r="F5440" t="s">
        <v>30052</v>
      </c>
      <c r="G5440" t="s">
        <v>30058</v>
      </c>
      <c r="H5440" t="s">
        <v>15498</v>
      </c>
      <c r="I5440" t="s">
        <v>4650</v>
      </c>
      <c r="J5440" t="s">
        <v>33649</v>
      </c>
      <c r="K5440" t="s">
        <v>39025</v>
      </c>
      <c r="M5440" t="s">
        <v>39897</v>
      </c>
      <c r="N5440" t="s">
        <v>43166</v>
      </c>
      <c r="O5440" t="s">
        <v>43167</v>
      </c>
      <c r="Q5440">
        <v>8</v>
      </c>
      <c r="R5440" t="s">
        <v>43172</v>
      </c>
      <c r="S5440" t="s">
        <v>43345</v>
      </c>
      <c r="T5440" t="s">
        <v>44853</v>
      </c>
      <c r="U5440" t="s">
        <v>49623</v>
      </c>
      <c r="V5440" t="s">
        <v>56838</v>
      </c>
      <c r="W5440" t="s">
        <v>39897</v>
      </c>
      <c r="X5440" t="s">
        <v>43173</v>
      </c>
    </row>
    <row r="5441" spans="1:24">
      <c r="A5441">
        <f>HYPERLINK("https://www.philgeps.gov.ph/GEPSNONPILOT/Tender/SplashBidNoticeAbstractUI.aspx?menuIndex=3&amp;refID=7079766&amp;Result=3","7079766")</f>
        <v>0</v>
      </c>
      <c r="B5441" t="s">
        <v>1869</v>
      </c>
      <c r="C5441" t="s">
        <v>8609</v>
      </c>
      <c r="D5441" t="s">
        <v>17415</v>
      </c>
      <c r="E5441" t="s">
        <v>22212</v>
      </c>
      <c r="F5441" t="s">
        <v>30052</v>
      </c>
      <c r="G5441" t="s">
        <v>30059</v>
      </c>
      <c r="H5441" t="s">
        <v>30069</v>
      </c>
      <c r="I5441" t="s">
        <v>30105</v>
      </c>
      <c r="J5441" t="s">
        <v>33650</v>
      </c>
      <c r="K5441" t="s">
        <v>39019</v>
      </c>
      <c r="M5441" t="s">
        <v>41298</v>
      </c>
      <c r="N5441" t="s">
        <v>43166</v>
      </c>
      <c r="O5441" t="s">
        <v>43167</v>
      </c>
      <c r="P5441">
        <v>0</v>
      </c>
      <c r="Q5441">
        <v>10</v>
      </c>
      <c r="R5441" t="s">
        <v>43172</v>
      </c>
      <c r="S5441" t="s">
        <v>43334</v>
      </c>
      <c r="T5441" t="s">
        <v>44734</v>
      </c>
      <c r="U5441" t="s">
        <v>49652</v>
      </c>
      <c r="V5441" t="s">
        <v>57426</v>
      </c>
      <c r="W5441" t="s">
        <v>41298</v>
      </c>
      <c r="X5441" t="s">
        <v>43173</v>
      </c>
    </row>
    <row r="5442" spans="1:24">
      <c r="A5442">
        <f>HYPERLINK("https://www.philgeps.gov.ph/GEPSNONPILOT/Tender/SplashBidNoticeAbstractUI.aspx?menuIndex=3&amp;refID=7079794&amp;Result=3","7079794")</f>
        <v>0</v>
      </c>
      <c r="B5442" t="s">
        <v>1853</v>
      </c>
      <c r="C5442" t="s">
        <v>8601</v>
      </c>
      <c r="D5442" t="s">
        <v>17464</v>
      </c>
      <c r="E5442" t="s">
        <v>22213</v>
      </c>
      <c r="F5442" t="s">
        <v>30052</v>
      </c>
      <c r="G5442" t="s">
        <v>30058</v>
      </c>
      <c r="H5442" t="s">
        <v>30067</v>
      </c>
      <c r="I5442" t="s">
        <v>3693</v>
      </c>
      <c r="J5442" t="s">
        <v>30252</v>
      </c>
      <c r="K5442" t="s">
        <v>39025</v>
      </c>
      <c r="M5442" t="s">
        <v>41281</v>
      </c>
      <c r="N5442" t="s">
        <v>43166</v>
      </c>
      <c r="O5442" t="s">
        <v>43167</v>
      </c>
      <c r="P5442">
        <v>0</v>
      </c>
      <c r="Q5442">
        <v>0</v>
      </c>
      <c r="R5442" t="s">
        <v>43172</v>
      </c>
      <c r="S5442" t="s">
        <v>43334</v>
      </c>
      <c r="T5442" t="s">
        <v>44806</v>
      </c>
      <c r="U5442" t="s">
        <v>49653</v>
      </c>
      <c r="W5442" t="s">
        <v>41281</v>
      </c>
      <c r="X5442" t="s">
        <v>43173</v>
      </c>
    </row>
    <row r="5443" spans="1:24">
      <c r="A5443">
        <f>HYPERLINK("https://www.philgeps.gov.ph/GEPSNONPILOT/Tender/SplashBidNoticeAbstractUI.aspx?menuIndex=3&amp;refID=7079808&amp;Result=3","7079808")</f>
        <v>0</v>
      </c>
      <c r="B5443" t="s">
        <v>1863</v>
      </c>
      <c r="C5443" t="s">
        <v>8610</v>
      </c>
      <c r="D5443" t="s">
        <v>17451</v>
      </c>
      <c r="E5443" t="s">
        <v>22214</v>
      </c>
      <c r="F5443" t="s">
        <v>30052</v>
      </c>
      <c r="G5443" t="s">
        <v>30058</v>
      </c>
      <c r="H5443" t="s">
        <v>15498</v>
      </c>
      <c r="I5443" t="s">
        <v>30111</v>
      </c>
      <c r="J5443" t="s">
        <v>30337</v>
      </c>
      <c r="K5443" t="s">
        <v>39037</v>
      </c>
      <c r="M5443" t="s">
        <v>41291</v>
      </c>
      <c r="N5443" t="s">
        <v>43166</v>
      </c>
      <c r="O5443" t="s">
        <v>43167</v>
      </c>
      <c r="P5443">
        <v>0</v>
      </c>
      <c r="Q5443">
        <v>1</v>
      </c>
      <c r="R5443" t="s">
        <v>43172</v>
      </c>
      <c r="S5443" t="s">
        <v>43334</v>
      </c>
      <c r="T5443" t="s">
        <v>44685</v>
      </c>
      <c r="U5443" t="s">
        <v>49643</v>
      </c>
      <c r="W5443" t="s">
        <v>41291</v>
      </c>
      <c r="X5443" t="s">
        <v>43173</v>
      </c>
    </row>
    <row r="5444" spans="1:24">
      <c r="A5444">
        <f>HYPERLINK("https://www.philgeps.gov.ph/GEPSNONPILOT/Tender/SplashBidNoticeAbstractUI.aspx?menuIndex=3&amp;refID=7079823&amp;Result=3","7079823")</f>
        <v>0</v>
      </c>
      <c r="B5444" t="s">
        <v>1870</v>
      </c>
      <c r="C5444" t="s">
        <v>8611</v>
      </c>
      <c r="D5444" t="s">
        <v>17461</v>
      </c>
      <c r="E5444" t="s">
        <v>22215</v>
      </c>
      <c r="F5444" t="s">
        <v>30052</v>
      </c>
      <c r="G5444" t="s">
        <v>30060</v>
      </c>
      <c r="H5444" t="s">
        <v>15498</v>
      </c>
      <c r="I5444" t="s">
        <v>30074</v>
      </c>
      <c r="J5444" t="s">
        <v>30532</v>
      </c>
      <c r="K5444" t="s">
        <v>39029</v>
      </c>
      <c r="M5444" t="s">
        <v>41299</v>
      </c>
      <c r="N5444" t="s">
        <v>43166</v>
      </c>
      <c r="O5444" t="s">
        <v>43167</v>
      </c>
      <c r="P5444">
        <v>0</v>
      </c>
      <c r="Q5444">
        <v>3</v>
      </c>
      <c r="R5444" t="s">
        <v>43172</v>
      </c>
      <c r="S5444" t="s">
        <v>43334</v>
      </c>
      <c r="T5444" t="s">
        <v>44862</v>
      </c>
      <c r="U5444" t="s">
        <v>49654</v>
      </c>
      <c r="V5444" t="s">
        <v>57427</v>
      </c>
      <c r="W5444" t="s">
        <v>41299</v>
      </c>
      <c r="X5444" t="s">
        <v>43173</v>
      </c>
    </row>
    <row r="5445" spans="1:24">
      <c r="A5445">
        <f>HYPERLINK("https://www.philgeps.gov.ph/GEPSNONPILOT/Tender/SplashBidNoticeAbstractUI.aspx?menuIndex=3&amp;refID=7079805&amp;Result=3","7079805")</f>
        <v>0</v>
      </c>
      <c r="B5445" t="s">
        <v>1181</v>
      </c>
      <c r="C5445" t="s">
        <v>8612</v>
      </c>
      <c r="D5445" t="s">
        <v>17444</v>
      </c>
      <c r="E5445" t="s">
        <v>22216</v>
      </c>
      <c r="F5445" t="s">
        <v>30052</v>
      </c>
      <c r="G5445" t="s">
        <v>30062</v>
      </c>
      <c r="H5445" t="s">
        <v>15498</v>
      </c>
      <c r="I5445" t="s">
        <v>30076</v>
      </c>
      <c r="J5445" t="s">
        <v>31206</v>
      </c>
      <c r="K5445" t="s">
        <v>39025</v>
      </c>
      <c r="M5445" t="s">
        <v>41300</v>
      </c>
      <c r="N5445" t="s">
        <v>43166</v>
      </c>
      <c r="O5445" t="s">
        <v>43167</v>
      </c>
      <c r="P5445">
        <v>0</v>
      </c>
      <c r="Q5445">
        <v>4</v>
      </c>
      <c r="R5445" t="s">
        <v>43172</v>
      </c>
      <c r="S5445" t="s">
        <v>43334</v>
      </c>
      <c r="T5445" t="s">
        <v>44837</v>
      </c>
      <c r="U5445" t="s">
        <v>49655</v>
      </c>
      <c r="W5445" t="s">
        <v>41300</v>
      </c>
      <c r="X5445" t="s">
        <v>43173</v>
      </c>
    </row>
    <row r="5446" spans="1:24">
      <c r="A5446">
        <f>HYPERLINK("https://www.philgeps.gov.ph/GEPSNONPILOT/Tender/SplashBidNoticeAbstractUI.aspx?menuIndex=3&amp;refID=7079801&amp;Result=3","7079801")</f>
        <v>0</v>
      </c>
      <c r="B5446" t="s">
        <v>592</v>
      </c>
      <c r="C5446" t="s">
        <v>8613</v>
      </c>
      <c r="D5446" t="s">
        <v>17461</v>
      </c>
      <c r="E5446" t="s">
        <v>8613</v>
      </c>
      <c r="F5446" t="s">
        <v>30052</v>
      </c>
      <c r="G5446" t="s">
        <v>30058</v>
      </c>
      <c r="H5446" t="s">
        <v>15498</v>
      </c>
      <c r="I5446" t="s">
        <v>3852</v>
      </c>
      <c r="J5446" t="s">
        <v>33651</v>
      </c>
      <c r="K5446" t="s">
        <v>39034</v>
      </c>
      <c r="M5446" t="s">
        <v>41301</v>
      </c>
      <c r="N5446" t="s">
        <v>43166</v>
      </c>
      <c r="O5446" t="s">
        <v>43167</v>
      </c>
      <c r="P5446">
        <v>0</v>
      </c>
      <c r="Q5446">
        <v>0</v>
      </c>
      <c r="R5446" t="s">
        <v>43172</v>
      </c>
      <c r="S5446" t="s">
        <v>43334</v>
      </c>
      <c r="T5446" t="s">
        <v>44761</v>
      </c>
      <c r="U5446" t="s">
        <v>49656</v>
      </c>
      <c r="W5446" t="s">
        <v>41301</v>
      </c>
      <c r="X5446" t="s">
        <v>43173</v>
      </c>
    </row>
    <row r="5447" spans="1:24">
      <c r="A5447">
        <f>HYPERLINK("https://www.philgeps.gov.ph/GEPSNONPILOT/Tender/SplashBidNoticeAbstractUI.aspx?menuIndex=3&amp;refID=7079799&amp;Result=3","7079799")</f>
        <v>0</v>
      </c>
      <c r="B5447" t="s">
        <v>1863</v>
      </c>
      <c r="C5447" t="s">
        <v>8614</v>
      </c>
      <c r="D5447" t="s">
        <v>17451</v>
      </c>
      <c r="E5447" t="s">
        <v>22217</v>
      </c>
      <c r="F5447" t="s">
        <v>30052</v>
      </c>
      <c r="G5447" t="s">
        <v>30058</v>
      </c>
      <c r="H5447" t="s">
        <v>15498</v>
      </c>
      <c r="I5447" t="s">
        <v>4598</v>
      </c>
      <c r="J5447" t="s">
        <v>30230</v>
      </c>
      <c r="K5447" t="s">
        <v>39037</v>
      </c>
      <c r="M5447" t="s">
        <v>41291</v>
      </c>
      <c r="N5447" t="s">
        <v>43166</v>
      </c>
      <c r="O5447" t="s">
        <v>43167</v>
      </c>
      <c r="P5447">
        <v>0</v>
      </c>
      <c r="Q5447">
        <v>2</v>
      </c>
      <c r="R5447" t="s">
        <v>43172</v>
      </c>
      <c r="S5447" t="s">
        <v>43334</v>
      </c>
      <c r="T5447" t="s">
        <v>44685</v>
      </c>
      <c r="U5447" t="s">
        <v>49643</v>
      </c>
      <c r="W5447" t="s">
        <v>41291</v>
      </c>
      <c r="X5447" t="s">
        <v>43173</v>
      </c>
    </row>
    <row r="5448" spans="1:24">
      <c r="A5448">
        <f>HYPERLINK("https://www.philgeps.gov.ph/GEPSNONPILOT/Tender/SplashBidNoticeAbstractUI.aspx?menuIndex=3&amp;refID=7079787&amp;Result=3","7079787")</f>
        <v>0</v>
      </c>
      <c r="B5448" t="s">
        <v>1859</v>
      </c>
      <c r="C5448" t="s">
        <v>8587</v>
      </c>
      <c r="D5448" t="s">
        <v>17444</v>
      </c>
      <c r="E5448" t="s">
        <v>22218</v>
      </c>
      <c r="F5448" t="s">
        <v>30052</v>
      </c>
      <c r="G5448" t="s">
        <v>30061</v>
      </c>
      <c r="H5448" t="s">
        <v>15498</v>
      </c>
      <c r="I5448" t="s">
        <v>4650</v>
      </c>
      <c r="J5448" t="s">
        <v>33652</v>
      </c>
      <c r="K5448" t="s">
        <v>39023</v>
      </c>
      <c r="M5448" t="s">
        <v>41287</v>
      </c>
      <c r="N5448" t="s">
        <v>43166</v>
      </c>
      <c r="O5448" t="s">
        <v>43167</v>
      </c>
      <c r="P5448">
        <v>0</v>
      </c>
      <c r="Q5448">
        <v>1</v>
      </c>
      <c r="R5448" t="s">
        <v>43172</v>
      </c>
      <c r="S5448" t="s">
        <v>43334</v>
      </c>
      <c r="T5448" t="s">
        <v>44735</v>
      </c>
      <c r="U5448" t="s">
        <v>49657</v>
      </c>
      <c r="W5448" t="s">
        <v>41287</v>
      </c>
      <c r="X5448" t="s">
        <v>43173</v>
      </c>
    </row>
    <row r="5449" spans="1:24">
      <c r="A5449">
        <f>HYPERLINK("https://www.philgeps.gov.ph/GEPSNONPILOT/Tender/SplashBidNoticeAbstractUI.aspx?menuIndex=3&amp;refID=7079809&amp;Result=3","7079809")</f>
        <v>0</v>
      </c>
      <c r="B5449" t="s">
        <v>1853</v>
      </c>
      <c r="C5449" t="s">
        <v>8615</v>
      </c>
      <c r="D5449" t="s">
        <v>17464</v>
      </c>
      <c r="E5449" t="s">
        <v>22219</v>
      </c>
      <c r="F5449" t="s">
        <v>30052</v>
      </c>
      <c r="G5449" t="s">
        <v>30058</v>
      </c>
      <c r="H5449" t="s">
        <v>30067</v>
      </c>
      <c r="I5449" t="s">
        <v>3693</v>
      </c>
      <c r="J5449" t="s">
        <v>30218</v>
      </c>
      <c r="K5449" t="s">
        <v>39025</v>
      </c>
      <c r="M5449" t="s">
        <v>41281</v>
      </c>
      <c r="N5449" t="s">
        <v>43166</v>
      </c>
      <c r="O5449" t="s">
        <v>43167</v>
      </c>
      <c r="P5449">
        <v>0</v>
      </c>
      <c r="Q5449">
        <v>0</v>
      </c>
      <c r="R5449" t="s">
        <v>43172</v>
      </c>
      <c r="S5449" t="s">
        <v>43334</v>
      </c>
      <c r="T5449" t="s">
        <v>44806</v>
      </c>
      <c r="U5449" t="s">
        <v>49658</v>
      </c>
      <c r="W5449" t="s">
        <v>41281</v>
      </c>
      <c r="X5449" t="s">
        <v>43173</v>
      </c>
    </row>
    <row r="5450" spans="1:24">
      <c r="A5450">
        <f>HYPERLINK("https://www.philgeps.gov.ph/GEPSNONPILOT/Tender/SplashBidNoticeAbstractUI.aspx?menuIndex=3&amp;refID=7079834&amp;Result=3","7079834")</f>
        <v>0</v>
      </c>
      <c r="B5450" t="s">
        <v>382</v>
      </c>
      <c r="C5450" t="s">
        <v>8616</v>
      </c>
      <c r="D5450" t="s">
        <v>17474</v>
      </c>
      <c r="E5450" t="s">
        <v>22220</v>
      </c>
      <c r="F5450" t="s">
        <v>30052</v>
      </c>
      <c r="G5450" t="s">
        <v>30059</v>
      </c>
      <c r="H5450" t="s">
        <v>15498</v>
      </c>
      <c r="I5450" t="s">
        <v>30133</v>
      </c>
      <c r="J5450" t="s">
        <v>32318</v>
      </c>
      <c r="K5450" t="s">
        <v>39025</v>
      </c>
      <c r="M5450" t="s">
        <v>39680</v>
      </c>
      <c r="N5450" t="s">
        <v>43166</v>
      </c>
      <c r="O5450" t="s">
        <v>43167</v>
      </c>
      <c r="P5450">
        <v>0</v>
      </c>
      <c r="Q5450">
        <v>0</v>
      </c>
      <c r="R5450" t="s">
        <v>43172</v>
      </c>
      <c r="S5450" t="s">
        <v>43334</v>
      </c>
      <c r="T5450" t="s">
        <v>44969</v>
      </c>
      <c r="U5450" t="s">
        <v>49659</v>
      </c>
      <c r="W5450" t="s">
        <v>39680</v>
      </c>
      <c r="X5450" t="s">
        <v>43173</v>
      </c>
    </row>
    <row r="5451" spans="1:24">
      <c r="A5451">
        <f>HYPERLINK("https://www.philgeps.gov.ph/GEPSNONPILOT/Tender/SplashBidNoticeAbstractUI.aspx?menuIndex=3&amp;refID=7079833&amp;Result=3","7079833")</f>
        <v>0</v>
      </c>
      <c r="B5451" t="s">
        <v>1863</v>
      </c>
      <c r="C5451" t="s">
        <v>8617</v>
      </c>
      <c r="D5451" t="s">
        <v>17451</v>
      </c>
      <c r="E5451" t="s">
        <v>22221</v>
      </c>
      <c r="F5451" t="s">
        <v>30052</v>
      </c>
      <c r="G5451" t="s">
        <v>30058</v>
      </c>
      <c r="H5451" t="s">
        <v>15498</v>
      </c>
      <c r="I5451" t="s">
        <v>30084</v>
      </c>
      <c r="J5451" t="s">
        <v>31189</v>
      </c>
      <c r="K5451" t="s">
        <v>39037</v>
      </c>
      <c r="M5451" t="s">
        <v>41291</v>
      </c>
      <c r="N5451" t="s">
        <v>43166</v>
      </c>
      <c r="O5451" t="s">
        <v>43167</v>
      </c>
      <c r="P5451">
        <v>0</v>
      </c>
      <c r="Q5451">
        <v>5</v>
      </c>
      <c r="R5451" t="s">
        <v>43172</v>
      </c>
      <c r="S5451" t="s">
        <v>43334</v>
      </c>
      <c r="T5451" t="s">
        <v>44685</v>
      </c>
      <c r="U5451" t="s">
        <v>49643</v>
      </c>
      <c r="W5451" t="s">
        <v>41291</v>
      </c>
      <c r="X5451" t="s">
        <v>43173</v>
      </c>
    </row>
    <row r="5452" spans="1:24">
      <c r="A5452">
        <f>HYPERLINK("https://www.philgeps.gov.ph/GEPSNONPILOT/Tender/SplashBidNoticeAbstractUI.aspx?menuIndex=3&amp;refID=7079831&amp;Result=3","7079831")</f>
        <v>0</v>
      </c>
      <c r="B5452" t="s">
        <v>1863</v>
      </c>
      <c r="C5452" t="s">
        <v>8618</v>
      </c>
      <c r="D5452" t="s">
        <v>17451</v>
      </c>
      <c r="E5452" t="s">
        <v>22222</v>
      </c>
      <c r="F5452" t="s">
        <v>30052</v>
      </c>
      <c r="G5452" t="s">
        <v>30058</v>
      </c>
      <c r="H5452" t="s">
        <v>15498</v>
      </c>
      <c r="I5452" t="s">
        <v>30074</v>
      </c>
      <c r="J5452" t="s">
        <v>30207</v>
      </c>
      <c r="K5452" t="s">
        <v>39037</v>
      </c>
      <c r="M5452" t="s">
        <v>41291</v>
      </c>
      <c r="N5452" t="s">
        <v>43166</v>
      </c>
      <c r="O5452" t="s">
        <v>43167</v>
      </c>
      <c r="P5452">
        <v>0</v>
      </c>
      <c r="Q5452">
        <v>0</v>
      </c>
      <c r="R5452" t="s">
        <v>43172</v>
      </c>
      <c r="S5452" t="s">
        <v>43334</v>
      </c>
      <c r="T5452" t="s">
        <v>44685</v>
      </c>
      <c r="U5452" t="s">
        <v>49643</v>
      </c>
      <c r="W5452" t="s">
        <v>41291</v>
      </c>
      <c r="X5452" t="s">
        <v>43173</v>
      </c>
    </row>
    <row r="5453" spans="1:24">
      <c r="A5453">
        <f>HYPERLINK("https://www.philgeps.gov.ph/GEPSNONPILOT/Tender/SplashBidNoticeAbstractUI.aspx?menuIndex=3&amp;refID=7079829&amp;Result=3","7079829")</f>
        <v>0</v>
      </c>
      <c r="B5453" t="s">
        <v>1863</v>
      </c>
      <c r="C5453" t="s">
        <v>8619</v>
      </c>
      <c r="D5453" t="s">
        <v>17451</v>
      </c>
      <c r="E5453" t="s">
        <v>22223</v>
      </c>
      <c r="F5453" t="s">
        <v>30052</v>
      </c>
      <c r="G5453" t="s">
        <v>30058</v>
      </c>
      <c r="H5453" t="s">
        <v>15498</v>
      </c>
      <c r="I5453" t="s">
        <v>4650</v>
      </c>
      <c r="J5453" t="s">
        <v>33653</v>
      </c>
      <c r="K5453" t="s">
        <v>39037</v>
      </c>
      <c r="M5453" t="s">
        <v>41291</v>
      </c>
      <c r="N5453" t="s">
        <v>43166</v>
      </c>
      <c r="O5453" t="s">
        <v>43167</v>
      </c>
      <c r="P5453">
        <v>0</v>
      </c>
      <c r="Q5453">
        <v>6</v>
      </c>
      <c r="R5453" t="s">
        <v>43172</v>
      </c>
      <c r="S5453" t="s">
        <v>43334</v>
      </c>
      <c r="T5453" t="s">
        <v>44685</v>
      </c>
      <c r="U5453" t="s">
        <v>49643</v>
      </c>
      <c r="W5453" t="s">
        <v>41291</v>
      </c>
      <c r="X5453" t="s">
        <v>43173</v>
      </c>
    </row>
    <row r="5454" spans="1:24">
      <c r="A5454">
        <f>HYPERLINK("https://www.philgeps.gov.ph/GEPSNONPILOT/Tender/SplashBidNoticeAbstractUI.aspx?menuIndex=3&amp;refID=7079828&amp;Result=3","7079828")</f>
        <v>0</v>
      </c>
      <c r="B5454" t="s">
        <v>1863</v>
      </c>
      <c r="C5454" t="s">
        <v>8620</v>
      </c>
      <c r="D5454" t="s">
        <v>17451</v>
      </c>
      <c r="E5454" t="s">
        <v>22224</v>
      </c>
      <c r="F5454" t="s">
        <v>30052</v>
      </c>
      <c r="G5454" t="s">
        <v>30058</v>
      </c>
      <c r="H5454" t="s">
        <v>15498</v>
      </c>
      <c r="I5454" t="s">
        <v>4650</v>
      </c>
      <c r="J5454" t="s">
        <v>30292</v>
      </c>
      <c r="K5454" t="s">
        <v>39037</v>
      </c>
      <c r="M5454" t="s">
        <v>41291</v>
      </c>
      <c r="N5454" t="s">
        <v>43166</v>
      </c>
      <c r="O5454" t="s">
        <v>43167</v>
      </c>
      <c r="P5454">
        <v>0</v>
      </c>
      <c r="Q5454">
        <v>4</v>
      </c>
      <c r="R5454" t="s">
        <v>43172</v>
      </c>
      <c r="S5454" t="s">
        <v>43334</v>
      </c>
      <c r="T5454" t="s">
        <v>44685</v>
      </c>
      <c r="U5454" t="s">
        <v>49643</v>
      </c>
      <c r="W5454" t="s">
        <v>41291</v>
      </c>
      <c r="X5454" t="s">
        <v>43173</v>
      </c>
    </row>
    <row r="5455" spans="1:24">
      <c r="A5455">
        <f>HYPERLINK("https://www.philgeps.gov.ph/GEPSNONPILOT/Tender/SplashBidNoticeAbstractUI.aspx?menuIndex=3&amp;refID=7079825&amp;Result=3","7079825")</f>
        <v>0</v>
      </c>
      <c r="B5455" t="s">
        <v>1853</v>
      </c>
      <c r="C5455" t="s">
        <v>8621</v>
      </c>
      <c r="D5455" t="s">
        <v>17464</v>
      </c>
      <c r="E5455" t="s">
        <v>22225</v>
      </c>
      <c r="F5455" t="s">
        <v>30052</v>
      </c>
      <c r="G5455" t="s">
        <v>30058</v>
      </c>
      <c r="H5455" t="s">
        <v>30067</v>
      </c>
      <c r="I5455" t="s">
        <v>3693</v>
      </c>
      <c r="J5455" t="s">
        <v>30218</v>
      </c>
      <c r="K5455" t="s">
        <v>39025</v>
      </c>
      <c r="M5455" t="s">
        <v>41281</v>
      </c>
      <c r="N5455" t="s">
        <v>43166</v>
      </c>
      <c r="O5455" t="s">
        <v>43167</v>
      </c>
      <c r="P5455">
        <v>0</v>
      </c>
      <c r="Q5455">
        <v>0</v>
      </c>
      <c r="R5455" t="s">
        <v>43172</v>
      </c>
      <c r="S5455" t="s">
        <v>43334</v>
      </c>
      <c r="T5455" t="s">
        <v>44806</v>
      </c>
      <c r="U5455" t="s">
        <v>49660</v>
      </c>
      <c r="W5455" t="s">
        <v>41281</v>
      </c>
      <c r="X5455" t="s">
        <v>43173</v>
      </c>
    </row>
    <row r="5456" spans="1:24">
      <c r="A5456">
        <f>HYPERLINK("https://www.philgeps.gov.ph/GEPSNONPILOT/Tender/SplashBidNoticeAbstractUI.aspx?menuIndex=3&amp;refID=7079817&amp;Result=3","7079817")</f>
        <v>0</v>
      </c>
      <c r="B5456" t="s">
        <v>1859</v>
      </c>
      <c r="C5456" t="s">
        <v>8587</v>
      </c>
      <c r="D5456" t="s">
        <v>17444</v>
      </c>
      <c r="E5456" t="s">
        <v>22226</v>
      </c>
      <c r="F5456" t="s">
        <v>30052</v>
      </c>
      <c r="G5456" t="s">
        <v>30061</v>
      </c>
      <c r="H5456" t="s">
        <v>15498</v>
      </c>
      <c r="I5456" t="s">
        <v>4650</v>
      </c>
      <c r="J5456" t="s">
        <v>33654</v>
      </c>
      <c r="K5456" t="s">
        <v>39023</v>
      </c>
      <c r="M5456" t="s">
        <v>41287</v>
      </c>
      <c r="N5456" t="s">
        <v>43166</v>
      </c>
      <c r="O5456" t="s">
        <v>43167</v>
      </c>
      <c r="P5456">
        <v>0</v>
      </c>
      <c r="Q5456">
        <v>0</v>
      </c>
      <c r="R5456" t="s">
        <v>43172</v>
      </c>
      <c r="S5456" t="s">
        <v>43334</v>
      </c>
      <c r="T5456" t="s">
        <v>44735</v>
      </c>
      <c r="U5456" t="s">
        <v>49661</v>
      </c>
      <c r="W5456" t="s">
        <v>41287</v>
      </c>
      <c r="X5456" t="s">
        <v>43173</v>
      </c>
    </row>
    <row r="5457" spans="1:24">
      <c r="A5457">
        <f>HYPERLINK("https://www.philgeps.gov.ph/GEPSNONPILOT/Tender/SplashBidNoticeAbstractUI.aspx?menuIndex=3&amp;refID=7079797&amp;Result=3","7079797")</f>
        <v>0</v>
      </c>
      <c r="B5457" t="s">
        <v>1863</v>
      </c>
      <c r="C5457" t="s">
        <v>8622</v>
      </c>
      <c r="D5457" t="s">
        <v>17451</v>
      </c>
      <c r="E5457" t="s">
        <v>22227</v>
      </c>
      <c r="F5457" t="s">
        <v>30052</v>
      </c>
      <c r="G5457" t="s">
        <v>30058</v>
      </c>
      <c r="H5457" t="s">
        <v>15498</v>
      </c>
      <c r="I5457" t="s">
        <v>30084</v>
      </c>
      <c r="J5457" t="s">
        <v>30230</v>
      </c>
      <c r="K5457" t="s">
        <v>39037</v>
      </c>
      <c r="M5457" t="s">
        <v>41291</v>
      </c>
      <c r="N5457" t="s">
        <v>43166</v>
      </c>
      <c r="O5457" t="s">
        <v>43167</v>
      </c>
      <c r="P5457">
        <v>0</v>
      </c>
      <c r="Q5457">
        <v>6</v>
      </c>
      <c r="R5457" t="s">
        <v>43172</v>
      </c>
      <c r="S5457" t="s">
        <v>43334</v>
      </c>
      <c r="T5457" t="s">
        <v>44685</v>
      </c>
      <c r="U5457" t="s">
        <v>49643</v>
      </c>
      <c r="W5457" t="s">
        <v>41291</v>
      </c>
      <c r="X5457" t="s">
        <v>43173</v>
      </c>
    </row>
    <row r="5458" spans="1:24">
      <c r="A5458">
        <f>HYPERLINK("https://www.philgeps.gov.ph/GEPSNONPILOT/Tender/SplashBidNoticeAbstractUI.aspx?menuIndex=3&amp;refID=7079853&amp;Result=3","7079853")</f>
        <v>0</v>
      </c>
      <c r="B5458" t="s">
        <v>1871</v>
      </c>
      <c r="C5458" t="s">
        <v>8623</v>
      </c>
      <c r="E5458" t="s">
        <v>18907</v>
      </c>
      <c r="F5458" t="s">
        <v>30052</v>
      </c>
      <c r="G5458" t="s">
        <v>30058</v>
      </c>
      <c r="H5458" t="s">
        <v>15498</v>
      </c>
      <c r="I5458" t="s">
        <v>3736</v>
      </c>
      <c r="J5458" t="s">
        <v>33655</v>
      </c>
      <c r="K5458" t="s">
        <v>39025</v>
      </c>
      <c r="M5458" t="s">
        <v>41302</v>
      </c>
      <c r="N5458" t="s">
        <v>43166</v>
      </c>
      <c r="O5458" t="s">
        <v>43167</v>
      </c>
      <c r="P5458">
        <v>0</v>
      </c>
      <c r="Q5458">
        <v>0</v>
      </c>
      <c r="R5458" t="s">
        <v>43172</v>
      </c>
      <c r="S5458" t="s">
        <v>43334</v>
      </c>
      <c r="T5458" t="s">
        <v>44737</v>
      </c>
      <c r="U5458" t="s">
        <v>49662</v>
      </c>
      <c r="W5458" t="s">
        <v>41302</v>
      </c>
      <c r="X5458" t="s">
        <v>43173</v>
      </c>
    </row>
    <row r="5459" spans="1:24">
      <c r="A5459">
        <f>HYPERLINK("https://www.philgeps.gov.ph/GEPSNONPILOT/Tender/SplashBidNoticeAbstractUI.aspx?menuIndex=3&amp;refID=7079815&amp;Result=3","7079815")</f>
        <v>0</v>
      </c>
      <c r="B5459" t="s">
        <v>592</v>
      </c>
      <c r="C5459" t="s">
        <v>8624</v>
      </c>
      <c r="D5459" t="s">
        <v>17461</v>
      </c>
      <c r="E5459" t="s">
        <v>8624</v>
      </c>
      <c r="F5459" t="s">
        <v>30052</v>
      </c>
      <c r="G5459" t="s">
        <v>30058</v>
      </c>
      <c r="H5459" t="s">
        <v>15498</v>
      </c>
      <c r="I5459" t="s">
        <v>3606</v>
      </c>
      <c r="J5459" t="s">
        <v>33656</v>
      </c>
      <c r="K5459" t="s">
        <v>39029</v>
      </c>
      <c r="M5459" t="s">
        <v>41301</v>
      </c>
      <c r="N5459" t="s">
        <v>43166</v>
      </c>
      <c r="O5459" t="s">
        <v>43167</v>
      </c>
      <c r="P5459">
        <v>0</v>
      </c>
      <c r="Q5459">
        <v>2</v>
      </c>
      <c r="R5459" t="s">
        <v>43172</v>
      </c>
      <c r="S5459" t="s">
        <v>43334</v>
      </c>
      <c r="T5459" t="s">
        <v>44761</v>
      </c>
      <c r="U5459" t="s">
        <v>49663</v>
      </c>
      <c r="W5459" t="s">
        <v>41301</v>
      </c>
      <c r="X5459" t="s">
        <v>43173</v>
      </c>
    </row>
    <row r="5460" spans="1:24">
      <c r="A5460">
        <f>HYPERLINK("https://www.philgeps.gov.ph/GEPSNONPILOT/Tender/SplashBidNoticeAbstractUI.aspx?menuIndex=3&amp;refID=7079855&amp;Result=3","7079855")</f>
        <v>0</v>
      </c>
      <c r="B5460" t="s">
        <v>1872</v>
      </c>
      <c r="C5460" t="s">
        <v>8625</v>
      </c>
      <c r="D5460" t="s">
        <v>17465</v>
      </c>
      <c r="E5460" t="s">
        <v>17585</v>
      </c>
      <c r="F5460" t="s">
        <v>30052</v>
      </c>
      <c r="G5460" t="s">
        <v>30058</v>
      </c>
      <c r="H5460" t="s">
        <v>15498</v>
      </c>
      <c r="I5460" t="s">
        <v>4650</v>
      </c>
      <c r="J5460" t="s">
        <v>30358</v>
      </c>
      <c r="K5460" t="s">
        <v>39034</v>
      </c>
      <c r="M5460" t="s">
        <v>41303</v>
      </c>
      <c r="N5460" t="s">
        <v>43166</v>
      </c>
      <c r="O5460" t="s">
        <v>43167</v>
      </c>
      <c r="P5460">
        <v>0</v>
      </c>
      <c r="Q5460">
        <v>8</v>
      </c>
      <c r="R5460" t="s">
        <v>43172</v>
      </c>
      <c r="S5460" t="s">
        <v>43334</v>
      </c>
      <c r="T5460" t="s">
        <v>44807</v>
      </c>
      <c r="U5460" t="s">
        <v>49664</v>
      </c>
      <c r="W5460" t="s">
        <v>41303</v>
      </c>
      <c r="X5460" t="s">
        <v>43173</v>
      </c>
    </row>
    <row r="5461" spans="1:24">
      <c r="A5461">
        <f>HYPERLINK("https://www.philgeps.gov.ph/GEPSNONPILOT/Tender/SplashBidNoticeAbstractUI.aspx?menuIndex=3&amp;refID=7079852&amp;Result=3","7079852")</f>
        <v>0</v>
      </c>
      <c r="B5461" t="s">
        <v>1863</v>
      </c>
      <c r="C5461" t="s">
        <v>8626</v>
      </c>
      <c r="D5461" t="s">
        <v>17451</v>
      </c>
      <c r="E5461" t="s">
        <v>22228</v>
      </c>
      <c r="F5461" t="s">
        <v>30052</v>
      </c>
      <c r="G5461" t="s">
        <v>30058</v>
      </c>
      <c r="H5461" t="s">
        <v>15498</v>
      </c>
      <c r="I5461" t="s">
        <v>30084</v>
      </c>
      <c r="J5461" t="s">
        <v>33657</v>
      </c>
      <c r="K5461" t="s">
        <v>39037</v>
      </c>
      <c r="M5461" t="s">
        <v>41291</v>
      </c>
      <c r="N5461" t="s">
        <v>43166</v>
      </c>
      <c r="O5461" t="s">
        <v>43167</v>
      </c>
      <c r="P5461">
        <v>0</v>
      </c>
      <c r="Q5461">
        <v>7</v>
      </c>
      <c r="R5461" t="s">
        <v>43172</v>
      </c>
      <c r="S5461" t="s">
        <v>43334</v>
      </c>
      <c r="T5461" t="s">
        <v>44685</v>
      </c>
      <c r="U5461" t="s">
        <v>49643</v>
      </c>
      <c r="W5461" t="s">
        <v>41291</v>
      </c>
      <c r="X5461" t="s">
        <v>43173</v>
      </c>
    </row>
    <row r="5462" spans="1:24">
      <c r="A5462">
        <f>HYPERLINK("https://www.philgeps.gov.ph/GEPSNONPILOT/Tender/SplashBidNoticeAbstractUI.aspx?menuIndex=3&amp;refID=7079848&amp;Result=3","7079848")</f>
        <v>0</v>
      </c>
      <c r="B5462" t="s">
        <v>1863</v>
      </c>
      <c r="C5462" t="s">
        <v>8627</v>
      </c>
      <c r="D5462" t="s">
        <v>17451</v>
      </c>
      <c r="E5462" t="s">
        <v>22229</v>
      </c>
      <c r="F5462" t="s">
        <v>30052</v>
      </c>
      <c r="G5462" t="s">
        <v>30058</v>
      </c>
      <c r="H5462" t="s">
        <v>15498</v>
      </c>
      <c r="I5462" t="s">
        <v>3852</v>
      </c>
      <c r="J5462" t="s">
        <v>33658</v>
      </c>
      <c r="K5462" t="s">
        <v>39037</v>
      </c>
      <c r="M5462" t="s">
        <v>41291</v>
      </c>
      <c r="N5462" t="s">
        <v>43166</v>
      </c>
      <c r="O5462" t="s">
        <v>43167</v>
      </c>
      <c r="P5462">
        <v>0</v>
      </c>
      <c r="Q5462">
        <v>0</v>
      </c>
      <c r="R5462" t="s">
        <v>43172</v>
      </c>
      <c r="S5462" t="s">
        <v>43334</v>
      </c>
      <c r="T5462" t="s">
        <v>44685</v>
      </c>
      <c r="U5462" t="s">
        <v>49643</v>
      </c>
      <c r="W5462" t="s">
        <v>41291</v>
      </c>
      <c r="X5462" t="s">
        <v>43173</v>
      </c>
    </row>
    <row r="5463" spans="1:24">
      <c r="A5463">
        <f>HYPERLINK("https://www.philgeps.gov.ph/GEPSNONPILOT/Tender/SplashBidNoticeAbstractUI.aspx?menuIndex=3&amp;refID=7079824&amp;Result=3","7079824")</f>
        <v>0</v>
      </c>
      <c r="B5463" t="s">
        <v>1863</v>
      </c>
      <c r="C5463" t="s">
        <v>8628</v>
      </c>
      <c r="D5463" t="s">
        <v>17451</v>
      </c>
      <c r="E5463" t="s">
        <v>22230</v>
      </c>
      <c r="F5463" t="s">
        <v>30052</v>
      </c>
      <c r="G5463" t="s">
        <v>30058</v>
      </c>
      <c r="H5463" t="s">
        <v>15498</v>
      </c>
      <c r="I5463" t="s">
        <v>4598</v>
      </c>
      <c r="J5463" t="s">
        <v>30230</v>
      </c>
      <c r="K5463" t="s">
        <v>39037</v>
      </c>
      <c r="M5463" t="s">
        <v>41291</v>
      </c>
      <c r="N5463" t="s">
        <v>43166</v>
      </c>
      <c r="O5463" t="s">
        <v>43167</v>
      </c>
      <c r="P5463">
        <v>0</v>
      </c>
      <c r="Q5463">
        <v>2</v>
      </c>
      <c r="R5463" t="s">
        <v>43172</v>
      </c>
      <c r="S5463" t="s">
        <v>43334</v>
      </c>
      <c r="T5463" t="s">
        <v>44685</v>
      </c>
      <c r="U5463" t="s">
        <v>49643</v>
      </c>
      <c r="W5463" t="s">
        <v>41291</v>
      </c>
      <c r="X5463" t="s">
        <v>43173</v>
      </c>
    </row>
    <row r="5464" spans="1:24">
      <c r="A5464">
        <f>HYPERLINK("https://www.philgeps.gov.ph/GEPSNONPILOT/Tender/SplashBidNoticeAbstractUI.aspx?menuIndex=3&amp;refID=7079854&amp;Result=3","7079854")</f>
        <v>0</v>
      </c>
      <c r="B5464" t="s">
        <v>1028</v>
      </c>
      <c r="C5464" t="s">
        <v>8629</v>
      </c>
      <c r="D5464" t="s">
        <v>17438</v>
      </c>
      <c r="E5464" t="s">
        <v>22231</v>
      </c>
      <c r="F5464" t="s">
        <v>30052</v>
      </c>
      <c r="G5464" t="s">
        <v>30059</v>
      </c>
      <c r="H5464" t="s">
        <v>15498</v>
      </c>
      <c r="I5464" t="s">
        <v>6691</v>
      </c>
      <c r="J5464" t="s">
        <v>33659</v>
      </c>
      <c r="K5464" t="s">
        <v>39035</v>
      </c>
      <c r="M5464" t="s">
        <v>40357</v>
      </c>
      <c r="N5464" t="s">
        <v>43166</v>
      </c>
      <c r="O5464" t="s">
        <v>43167</v>
      </c>
      <c r="P5464">
        <v>0</v>
      </c>
      <c r="Q5464">
        <v>0</v>
      </c>
      <c r="R5464" t="s">
        <v>43172</v>
      </c>
      <c r="S5464" t="s">
        <v>43334</v>
      </c>
      <c r="T5464" t="s">
        <v>44691</v>
      </c>
      <c r="U5464" t="s">
        <v>47341</v>
      </c>
      <c r="W5464" t="s">
        <v>40357</v>
      </c>
      <c r="X5464" t="s">
        <v>43173</v>
      </c>
    </row>
    <row r="5465" spans="1:24">
      <c r="A5465">
        <f>HYPERLINK("https://www.philgeps.gov.ph/GEPSNONPILOT/Tender/SplashBidNoticeAbstractUI.aspx?menuIndex=3&amp;refID=7079845&amp;Result=3","7079845")</f>
        <v>0</v>
      </c>
      <c r="B5465" t="s">
        <v>1872</v>
      </c>
      <c r="C5465" t="s">
        <v>8630</v>
      </c>
      <c r="D5465" t="s">
        <v>17465</v>
      </c>
      <c r="E5465" t="s">
        <v>17892</v>
      </c>
      <c r="F5465" t="s">
        <v>30052</v>
      </c>
      <c r="G5465" t="s">
        <v>30058</v>
      </c>
      <c r="H5465" t="s">
        <v>15498</v>
      </c>
      <c r="I5465" t="s">
        <v>3736</v>
      </c>
      <c r="J5465" t="s">
        <v>33660</v>
      </c>
      <c r="K5465" t="s">
        <v>39034</v>
      </c>
      <c r="M5465" t="s">
        <v>41303</v>
      </c>
      <c r="N5465" t="s">
        <v>43166</v>
      </c>
      <c r="O5465" t="s">
        <v>43167</v>
      </c>
      <c r="P5465">
        <v>0</v>
      </c>
      <c r="Q5465">
        <v>5</v>
      </c>
      <c r="R5465" t="s">
        <v>43172</v>
      </c>
      <c r="S5465" t="s">
        <v>43334</v>
      </c>
      <c r="T5465" t="s">
        <v>44807</v>
      </c>
      <c r="U5465" t="s">
        <v>49665</v>
      </c>
      <c r="W5465" t="s">
        <v>41303</v>
      </c>
      <c r="X5465" t="s">
        <v>43173</v>
      </c>
    </row>
    <row r="5466" spans="1:24">
      <c r="A5466">
        <f>HYPERLINK("https://www.philgeps.gov.ph/GEPSNONPILOT/Tender/SplashBidNoticeAbstractUI.aspx?menuIndex=3&amp;refID=7079851&amp;Result=3","7079851")</f>
        <v>0</v>
      </c>
      <c r="B5466" t="s">
        <v>1872</v>
      </c>
      <c r="C5466" t="s">
        <v>8631</v>
      </c>
      <c r="D5466" t="s">
        <v>17465</v>
      </c>
      <c r="E5466" t="s">
        <v>17779</v>
      </c>
      <c r="F5466" t="s">
        <v>30052</v>
      </c>
      <c r="G5466" t="s">
        <v>30058</v>
      </c>
      <c r="H5466" t="s">
        <v>15498</v>
      </c>
      <c r="I5466" t="s">
        <v>4650</v>
      </c>
      <c r="J5466" t="s">
        <v>30277</v>
      </c>
      <c r="K5466" t="s">
        <v>39034</v>
      </c>
      <c r="M5466" t="s">
        <v>41303</v>
      </c>
      <c r="N5466" t="s">
        <v>43166</v>
      </c>
      <c r="O5466" t="s">
        <v>43167</v>
      </c>
      <c r="P5466">
        <v>0</v>
      </c>
      <c r="Q5466">
        <v>8</v>
      </c>
      <c r="R5466" t="s">
        <v>43172</v>
      </c>
      <c r="S5466" t="s">
        <v>43334</v>
      </c>
      <c r="T5466" t="s">
        <v>44807</v>
      </c>
      <c r="U5466" t="s">
        <v>49666</v>
      </c>
      <c r="W5466" t="s">
        <v>41303</v>
      </c>
      <c r="X5466" t="s">
        <v>43173</v>
      </c>
    </row>
    <row r="5467" spans="1:24">
      <c r="A5467">
        <f>HYPERLINK("https://www.philgeps.gov.ph/GEPSNONPILOT/Tender/SplashBidNoticeAbstractUI.aspx?menuIndex=3&amp;refID=7079865&amp;Result=3","7079865")</f>
        <v>0</v>
      </c>
      <c r="B5467" t="s">
        <v>1028</v>
      </c>
      <c r="C5467" t="s">
        <v>8632</v>
      </c>
      <c r="D5467" t="s">
        <v>17438</v>
      </c>
      <c r="E5467" t="s">
        <v>22232</v>
      </c>
      <c r="F5467" t="s">
        <v>30052</v>
      </c>
      <c r="G5467" t="s">
        <v>30059</v>
      </c>
      <c r="H5467" t="s">
        <v>15498</v>
      </c>
      <c r="I5467" t="s">
        <v>6691</v>
      </c>
      <c r="J5467" t="s">
        <v>33661</v>
      </c>
      <c r="K5467" t="s">
        <v>39035</v>
      </c>
      <c r="M5467" t="s">
        <v>40357</v>
      </c>
      <c r="N5467" t="s">
        <v>43166</v>
      </c>
      <c r="O5467" t="s">
        <v>43167</v>
      </c>
      <c r="P5467">
        <v>0</v>
      </c>
      <c r="Q5467">
        <v>0</v>
      </c>
      <c r="R5467" t="s">
        <v>43172</v>
      </c>
      <c r="S5467" t="s">
        <v>43334</v>
      </c>
      <c r="T5467" t="s">
        <v>44691</v>
      </c>
      <c r="U5467" t="s">
        <v>47341</v>
      </c>
      <c r="W5467" t="s">
        <v>40357</v>
      </c>
      <c r="X5467" t="s">
        <v>43173</v>
      </c>
    </row>
    <row r="5468" spans="1:24">
      <c r="A5468">
        <f>HYPERLINK("https://www.philgeps.gov.ph/GEPSNONPILOT/Tender/SplashBidNoticeAbstractUI.aspx?menuIndex=3&amp;refID=7079864&amp;Result=3","7079864")</f>
        <v>0</v>
      </c>
      <c r="B5468" t="s">
        <v>1873</v>
      </c>
      <c r="C5468" t="s">
        <v>8633</v>
      </c>
      <c r="D5468" t="s">
        <v>17490</v>
      </c>
      <c r="E5468" t="s">
        <v>22233</v>
      </c>
      <c r="F5468" t="s">
        <v>30052</v>
      </c>
      <c r="G5468" t="s">
        <v>30058</v>
      </c>
      <c r="H5468" t="s">
        <v>15498</v>
      </c>
      <c r="I5468" t="s">
        <v>3736</v>
      </c>
      <c r="J5468" t="s">
        <v>30227</v>
      </c>
      <c r="K5468" t="s">
        <v>39029</v>
      </c>
      <c r="M5468" t="s">
        <v>41304</v>
      </c>
      <c r="N5468" t="s">
        <v>43166</v>
      </c>
      <c r="O5468" t="s">
        <v>43167</v>
      </c>
      <c r="P5468">
        <v>0</v>
      </c>
      <c r="Q5468">
        <v>0</v>
      </c>
      <c r="R5468" t="s">
        <v>43172</v>
      </c>
      <c r="S5468" t="s">
        <v>43334</v>
      </c>
      <c r="T5468" t="s">
        <v>44698</v>
      </c>
      <c r="U5468" t="s">
        <v>49667</v>
      </c>
      <c r="W5468" t="s">
        <v>41304</v>
      </c>
      <c r="X5468" t="s">
        <v>43173</v>
      </c>
    </row>
    <row r="5469" spans="1:24">
      <c r="A5469">
        <f>HYPERLINK("https://www.philgeps.gov.ph/GEPSNONPILOT/Tender/SplashBidNoticeAbstractUI.aspx?menuIndex=3&amp;refID=7079844&amp;Result=3","7079844")</f>
        <v>0</v>
      </c>
      <c r="B5469" t="s">
        <v>1863</v>
      </c>
      <c r="C5469" t="s">
        <v>8634</v>
      </c>
      <c r="D5469" t="s">
        <v>17451</v>
      </c>
      <c r="E5469" t="s">
        <v>22234</v>
      </c>
      <c r="F5469" t="s">
        <v>30052</v>
      </c>
      <c r="G5469" t="s">
        <v>30058</v>
      </c>
      <c r="H5469" t="s">
        <v>15498</v>
      </c>
      <c r="I5469" t="s">
        <v>30118</v>
      </c>
      <c r="J5469" t="s">
        <v>33662</v>
      </c>
      <c r="K5469" t="s">
        <v>39037</v>
      </c>
      <c r="M5469" t="s">
        <v>41291</v>
      </c>
      <c r="N5469" t="s">
        <v>43166</v>
      </c>
      <c r="O5469" t="s">
        <v>43167</v>
      </c>
      <c r="P5469">
        <v>0</v>
      </c>
      <c r="Q5469">
        <v>1</v>
      </c>
      <c r="R5469" t="s">
        <v>43172</v>
      </c>
      <c r="S5469" t="s">
        <v>43334</v>
      </c>
      <c r="T5469" t="s">
        <v>44685</v>
      </c>
      <c r="U5469" t="s">
        <v>49643</v>
      </c>
      <c r="W5469" t="s">
        <v>41291</v>
      </c>
      <c r="X5469" t="s">
        <v>43173</v>
      </c>
    </row>
    <row r="5470" spans="1:24">
      <c r="A5470">
        <f>HYPERLINK("https://www.philgeps.gov.ph/GEPSNONPILOT/Tender/SplashBidNoticeAbstractUI.aspx?menuIndex=3&amp;refID=7079858&amp;Result=3","7079858")</f>
        <v>0</v>
      </c>
      <c r="B5470" t="s">
        <v>1863</v>
      </c>
      <c r="C5470" t="s">
        <v>8635</v>
      </c>
      <c r="D5470" t="s">
        <v>17451</v>
      </c>
      <c r="E5470" t="s">
        <v>22235</v>
      </c>
      <c r="F5470" t="s">
        <v>30052</v>
      </c>
      <c r="G5470" t="s">
        <v>30058</v>
      </c>
      <c r="H5470" t="s">
        <v>15498</v>
      </c>
      <c r="I5470" t="s">
        <v>30074</v>
      </c>
      <c r="J5470" t="s">
        <v>30384</v>
      </c>
      <c r="K5470" t="s">
        <v>39037</v>
      </c>
      <c r="M5470" t="s">
        <v>41291</v>
      </c>
      <c r="N5470" t="s">
        <v>43166</v>
      </c>
      <c r="O5470" t="s">
        <v>43167</v>
      </c>
      <c r="P5470">
        <v>0</v>
      </c>
      <c r="Q5470">
        <v>0</v>
      </c>
      <c r="R5470" t="s">
        <v>43172</v>
      </c>
      <c r="S5470" t="s">
        <v>43334</v>
      </c>
      <c r="T5470" t="s">
        <v>44685</v>
      </c>
      <c r="U5470" t="s">
        <v>49643</v>
      </c>
      <c r="W5470" t="s">
        <v>41291</v>
      </c>
      <c r="X5470" t="s">
        <v>43173</v>
      </c>
    </row>
    <row r="5471" spans="1:24">
      <c r="A5471">
        <f>HYPERLINK("https://www.philgeps.gov.ph/GEPSNONPILOT/Tender/SplashBidNoticeAbstractUI.aspx?menuIndex=3&amp;refID=7079863&amp;Result=3","7079863")</f>
        <v>0</v>
      </c>
      <c r="B5471" t="s">
        <v>1843</v>
      </c>
      <c r="C5471" t="s">
        <v>8636</v>
      </c>
      <c r="E5471" t="s">
        <v>22236</v>
      </c>
      <c r="F5471" t="s">
        <v>30052</v>
      </c>
      <c r="G5471" t="s">
        <v>30058</v>
      </c>
      <c r="H5471" t="s">
        <v>15498</v>
      </c>
      <c r="I5471" t="s">
        <v>4650</v>
      </c>
      <c r="J5471" t="s">
        <v>33663</v>
      </c>
      <c r="K5471" t="s">
        <v>39025</v>
      </c>
      <c r="M5471" t="s">
        <v>41268</v>
      </c>
      <c r="N5471" t="s">
        <v>43166</v>
      </c>
      <c r="O5471" t="s">
        <v>43167</v>
      </c>
      <c r="P5471">
        <v>0</v>
      </c>
      <c r="Q5471">
        <v>8</v>
      </c>
      <c r="R5471" t="s">
        <v>43172</v>
      </c>
      <c r="S5471" t="s">
        <v>43334</v>
      </c>
      <c r="T5471" t="s">
        <v>44722</v>
      </c>
      <c r="U5471" t="s">
        <v>49668</v>
      </c>
      <c r="W5471" t="s">
        <v>41268</v>
      </c>
      <c r="X5471" t="s">
        <v>43173</v>
      </c>
    </row>
    <row r="5472" spans="1:24">
      <c r="A5472">
        <f>HYPERLINK("https://www.philgeps.gov.ph/GEPSNONPILOT/Tender/SplashBidNoticeAbstractUI.aspx?menuIndex=3&amp;refID=7079857&amp;Result=3","7079857")</f>
        <v>0</v>
      </c>
      <c r="B5472" t="s">
        <v>107</v>
      </c>
      <c r="C5472" t="s">
        <v>8637</v>
      </c>
      <c r="D5472" t="s">
        <v>17448</v>
      </c>
      <c r="E5472" t="s">
        <v>22237</v>
      </c>
      <c r="F5472" t="s">
        <v>30052</v>
      </c>
      <c r="G5472" t="s">
        <v>30059</v>
      </c>
      <c r="H5472" t="s">
        <v>15498</v>
      </c>
      <c r="I5472" t="s">
        <v>9238</v>
      </c>
      <c r="J5472" t="s">
        <v>30404</v>
      </c>
      <c r="K5472" t="s">
        <v>39025</v>
      </c>
      <c r="M5472" t="s">
        <v>39396</v>
      </c>
      <c r="N5472" t="s">
        <v>43166</v>
      </c>
      <c r="O5472" t="s">
        <v>43167</v>
      </c>
      <c r="P5472">
        <v>0</v>
      </c>
      <c r="Q5472">
        <v>26</v>
      </c>
      <c r="R5472" t="s">
        <v>43172</v>
      </c>
      <c r="S5472" t="s">
        <v>43334</v>
      </c>
      <c r="T5472" t="s">
        <v>44862</v>
      </c>
      <c r="U5472" t="s">
        <v>49669</v>
      </c>
      <c r="W5472" t="s">
        <v>39396</v>
      </c>
      <c r="X5472" t="s">
        <v>43173</v>
      </c>
    </row>
    <row r="5473" spans="1:24">
      <c r="A5473">
        <f>HYPERLINK("https://www.philgeps.gov.ph/GEPSNONPILOT/Tender/SplashBidNoticeAbstractUI.aspx?menuIndex=3&amp;refID=7079847&amp;Result=3","7079847")</f>
        <v>0</v>
      </c>
      <c r="B5473" t="s">
        <v>1874</v>
      </c>
      <c r="C5473" t="s">
        <v>8638</v>
      </c>
      <c r="D5473" t="s">
        <v>17441</v>
      </c>
      <c r="E5473" t="s">
        <v>22238</v>
      </c>
      <c r="F5473" t="s">
        <v>30052</v>
      </c>
      <c r="G5473" t="s">
        <v>30058</v>
      </c>
      <c r="H5473" t="s">
        <v>30067</v>
      </c>
      <c r="I5473" t="s">
        <v>3693</v>
      </c>
      <c r="J5473" t="s">
        <v>33664</v>
      </c>
      <c r="K5473" t="s">
        <v>39057</v>
      </c>
      <c r="M5473" t="s">
        <v>41305</v>
      </c>
      <c r="N5473" t="s">
        <v>43166</v>
      </c>
      <c r="O5473" t="s">
        <v>43167</v>
      </c>
      <c r="P5473">
        <v>0</v>
      </c>
      <c r="Q5473">
        <v>10</v>
      </c>
      <c r="R5473" t="s">
        <v>43172</v>
      </c>
      <c r="S5473" t="s">
        <v>43334</v>
      </c>
      <c r="T5473" t="s">
        <v>44722</v>
      </c>
      <c r="U5473" t="s">
        <v>49670</v>
      </c>
      <c r="V5473" t="s">
        <v>57428</v>
      </c>
      <c r="W5473" t="s">
        <v>41305</v>
      </c>
      <c r="X5473" t="s">
        <v>43173</v>
      </c>
    </row>
    <row r="5474" spans="1:24">
      <c r="A5474">
        <f>HYPERLINK("https://www.philgeps.gov.ph/GEPSNONPILOT/Tender/SplashBidNoticeAbstractUI.aspx?menuIndex=3&amp;refID=7079842&amp;Result=3","7079842")</f>
        <v>0</v>
      </c>
      <c r="B5474" t="s">
        <v>1875</v>
      </c>
      <c r="C5474" t="s">
        <v>8639</v>
      </c>
      <c r="D5474" t="s">
        <v>17422</v>
      </c>
      <c r="E5474" t="s">
        <v>22239</v>
      </c>
      <c r="F5474" t="s">
        <v>30055</v>
      </c>
      <c r="G5474" t="s">
        <v>30061</v>
      </c>
      <c r="H5474" t="s">
        <v>15498</v>
      </c>
      <c r="I5474" t="s">
        <v>30070</v>
      </c>
      <c r="J5474" t="s">
        <v>33665</v>
      </c>
      <c r="K5474" t="s">
        <v>39017</v>
      </c>
      <c r="M5474" t="s">
        <v>41306</v>
      </c>
      <c r="N5474" t="s">
        <v>43166</v>
      </c>
      <c r="O5474" t="s">
        <v>43167</v>
      </c>
      <c r="P5474">
        <v>0</v>
      </c>
      <c r="Q5474">
        <v>1</v>
      </c>
      <c r="R5474" t="s">
        <v>43172</v>
      </c>
      <c r="S5474" t="s">
        <v>43334</v>
      </c>
      <c r="T5474" t="s">
        <v>44965</v>
      </c>
      <c r="U5474" t="s">
        <v>49671</v>
      </c>
      <c r="W5474" t="s">
        <v>41306</v>
      </c>
      <c r="X5474" t="s">
        <v>43173</v>
      </c>
    </row>
    <row r="5475" spans="1:24">
      <c r="A5475">
        <f>HYPERLINK("https://www.philgeps.gov.ph/GEPSNONPILOT/Tender/SplashBidNoticeAbstractUI.aspx?menuIndex=3&amp;refID=7079841&amp;Result=3","7079841")</f>
        <v>0</v>
      </c>
      <c r="B5475" t="s">
        <v>1863</v>
      </c>
      <c r="C5475" t="s">
        <v>8640</v>
      </c>
      <c r="D5475" t="s">
        <v>17451</v>
      </c>
      <c r="E5475" t="s">
        <v>22240</v>
      </c>
      <c r="F5475" t="s">
        <v>30052</v>
      </c>
      <c r="G5475" t="s">
        <v>30058</v>
      </c>
      <c r="H5475" t="s">
        <v>15498</v>
      </c>
      <c r="I5475" t="s">
        <v>30123</v>
      </c>
      <c r="J5475" t="s">
        <v>33666</v>
      </c>
      <c r="K5475" t="s">
        <v>39037</v>
      </c>
      <c r="M5475" t="s">
        <v>41291</v>
      </c>
      <c r="N5475" t="s">
        <v>43166</v>
      </c>
      <c r="O5475" t="s">
        <v>43167</v>
      </c>
      <c r="P5475">
        <v>0</v>
      </c>
      <c r="Q5475">
        <v>0</v>
      </c>
      <c r="R5475" t="s">
        <v>43172</v>
      </c>
      <c r="S5475" t="s">
        <v>43334</v>
      </c>
      <c r="T5475" t="s">
        <v>44685</v>
      </c>
      <c r="U5475" t="s">
        <v>49643</v>
      </c>
      <c r="W5475" t="s">
        <v>41291</v>
      </c>
      <c r="X5475" t="s">
        <v>43173</v>
      </c>
    </row>
    <row r="5476" spans="1:24">
      <c r="A5476">
        <f>HYPERLINK("https://www.philgeps.gov.ph/GEPSNONPILOT/Tender/SplashBidNoticeAbstractUI.aspx?menuIndex=3&amp;refID=7079867&amp;Result=3","7079867")</f>
        <v>0</v>
      </c>
      <c r="B5476" t="s">
        <v>50</v>
      </c>
      <c r="C5476" t="s">
        <v>8641</v>
      </c>
      <c r="D5476" t="s">
        <v>17433</v>
      </c>
      <c r="E5476" t="s">
        <v>22241</v>
      </c>
      <c r="F5476" t="s">
        <v>30052</v>
      </c>
      <c r="G5476" t="s">
        <v>30059</v>
      </c>
      <c r="H5476" t="s">
        <v>15498</v>
      </c>
      <c r="I5476" t="s">
        <v>7228</v>
      </c>
      <c r="J5476" t="s">
        <v>30230</v>
      </c>
      <c r="K5476" t="s">
        <v>39017</v>
      </c>
      <c r="M5476" t="s">
        <v>39340</v>
      </c>
      <c r="N5476" t="s">
        <v>43166</v>
      </c>
      <c r="O5476" t="s">
        <v>43167</v>
      </c>
      <c r="P5476">
        <v>0</v>
      </c>
      <c r="Q5476">
        <v>0</v>
      </c>
      <c r="R5476" t="s">
        <v>43172</v>
      </c>
      <c r="S5476" t="s">
        <v>43334</v>
      </c>
      <c r="T5476" t="s">
        <v>44844</v>
      </c>
      <c r="U5476" t="s">
        <v>49672</v>
      </c>
      <c r="W5476" t="s">
        <v>39340</v>
      </c>
      <c r="X5476" t="s">
        <v>43173</v>
      </c>
    </row>
    <row r="5477" spans="1:24">
      <c r="A5477">
        <f>HYPERLINK("https://www.philgeps.gov.ph/GEPSNONPILOT/Tender/SplashBidNoticeAbstractUI.aspx?menuIndex=3&amp;refID=7079849&amp;Result=3","7079849")</f>
        <v>0</v>
      </c>
      <c r="B5477" t="s">
        <v>1266</v>
      </c>
      <c r="C5477" t="s">
        <v>8642</v>
      </c>
      <c r="D5477" t="s">
        <v>17466</v>
      </c>
      <c r="E5477" t="s">
        <v>22242</v>
      </c>
      <c r="F5477" t="s">
        <v>30052</v>
      </c>
      <c r="G5477" t="s">
        <v>30059</v>
      </c>
      <c r="H5477" t="s">
        <v>15498</v>
      </c>
      <c r="I5477" t="s">
        <v>30074</v>
      </c>
      <c r="J5477" t="s">
        <v>33473</v>
      </c>
      <c r="K5477" t="s">
        <v>39017</v>
      </c>
      <c r="M5477" t="s">
        <v>40624</v>
      </c>
      <c r="N5477" t="s">
        <v>43166</v>
      </c>
      <c r="O5477" t="s">
        <v>43167</v>
      </c>
      <c r="P5477">
        <v>0</v>
      </c>
      <c r="Q5477">
        <v>0</v>
      </c>
      <c r="R5477" t="s">
        <v>43172</v>
      </c>
      <c r="S5477" t="s">
        <v>43334</v>
      </c>
      <c r="T5477" t="s">
        <v>44720</v>
      </c>
      <c r="U5477" t="s">
        <v>49673</v>
      </c>
      <c r="W5477" t="s">
        <v>40624</v>
      </c>
      <c r="X5477" t="s">
        <v>43173</v>
      </c>
    </row>
    <row r="5478" spans="1:24">
      <c r="A5478">
        <f>HYPERLINK("https://www.philgeps.gov.ph/GEPSNONPILOT/Tender/SplashBidNoticeAbstractUI.aspx?menuIndex=3&amp;refID=7079883&amp;Result=3","7079883")</f>
        <v>0</v>
      </c>
      <c r="B5478" t="s">
        <v>1727</v>
      </c>
      <c r="C5478" t="s">
        <v>8643</v>
      </c>
      <c r="D5478" t="s">
        <v>17436</v>
      </c>
      <c r="E5478" t="s">
        <v>22243</v>
      </c>
      <c r="F5478" t="s">
        <v>30052</v>
      </c>
      <c r="G5478" t="s">
        <v>30058</v>
      </c>
      <c r="H5478" t="s">
        <v>15498</v>
      </c>
      <c r="I5478" t="s">
        <v>30109</v>
      </c>
      <c r="J5478" t="s">
        <v>33667</v>
      </c>
      <c r="K5478" t="s">
        <v>39034</v>
      </c>
      <c r="M5478" t="s">
        <v>41144</v>
      </c>
      <c r="N5478" t="s">
        <v>43166</v>
      </c>
      <c r="O5478" t="s">
        <v>43167</v>
      </c>
      <c r="P5478">
        <v>0</v>
      </c>
      <c r="Q5478">
        <v>0</v>
      </c>
      <c r="R5478" t="s">
        <v>43172</v>
      </c>
      <c r="S5478" t="s">
        <v>43334</v>
      </c>
      <c r="T5478" t="s">
        <v>44818</v>
      </c>
      <c r="U5478" t="s">
        <v>49674</v>
      </c>
      <c r="W5478" t="s">
        <v>41144</v>
      </c>
      <c r="X5478" t="s">
        <v>43173</v>
      </c>
    </row>
    <row r="5479" spans="1:24">
      <c r="A5479">
        <f>HYPERLINK("https://www.philgeps.gov.ph/GEPSNONPILOT/Tender/SplashBidNoticeAbstractUI.aspx?menuIndex=3&amp;refID=7079882&amp;Result=3","7079882")</f>
        <v>0</v>
      </c>
      <c r="B5479" t="s">
        <v>1863</v>
      </c>
      <c r="C5479" t="s">
        <v>8644</v>
      </c>
      <c r="D5479" t="s">
        <v>17451</v>
      </c>
      <c r="E5479" t="s">
        <v>22244</v>
      </c>
      <c r="F5479" t="s">
        <v>30052</v>
      </c>
      <c r="G5479" t="s">
        <v>30060</v>
      </c>
      <c r="H5479" t="s">
        <v>15498</v>
      </c>
      <c r="I5479" t="s">
        <v>30074</v>
      </c>
      <c r="J5479" t="s">
        <v>31307</v>
      </c>
      <c r="K5479" t="s">
        <v>39037</v>
      </c>
      <c r="M5479" t="s">
        <v>41291</v>
      </c>
      <c r="N5479" t="s">
        <v>43166</v>
      </c>
      <c r="O5479" t="s">
        <v>43167</v>
      </c>
      <c r="P5479">
        <v>0</v>
      </c>
      <c r="Q5479">
        <v>0</v>
      </c>
      <c r="R5479" t="s">
        <v>43172</v>
      </c>
      <c r="S5479" t="s">
        <v>43334</v>
      </c>
      <c r="T5479" t="s">
        <v>44685</v>
      </c>
      <c r="U5479" t="s">
        <v>49643</v>
      </c>
      <c r="W5479" t="s">
        <v>41291</v>
      </c>
      <c r="X5479" t="s">
        <v>43173</v>
      </c>
    </row>
    <row r="5480" spans="1:24">
      <c r="A5480">
        <f>HYPERLINK("https://www.philgeps.gov.ph/GEPSNONPILOT/Tender/SplashBidNoticeAbstractUI.aspx?menuIndex=3&amp;refID=7079898&amp;Result=3","7079898")</f>
        <v>0</v>
      </c>
      <c r="B5480" t="s">
        <v>1863</v>
      </c>
      <c r="C5480" t="s">
        <v>8645</v>
      </c>
      <c r="D5480" t="s">
        <v>17451</v>
      </c>
      <c r="E5480" t="s">
        <v>22245</v>
      </c>
      <c r="F5480" t="s">
        <v>30052</v>
      </c>
      <c r="G5480" t="s">
        <v>30060</v>
      </c>
      <c r="H5480" t="s">
        <v>15498</v>
      </c>
      <c r="I5480" t="s">
        <v>30070</v>
      </c>
      <c r="J5480" t="s">
        <v>33668</v>
      </c>
      <c r="K5480" t="s">
        <v>39037</v>
      </c>
      <c r="M5480" t="s">
        <v>41291</v>
      </c>
      <c r="N5480" t="s">
        <v>43166</v>
      </c>
      <c r="O5480" t="s">
        <v>43167</v>
      </c>
      <c r="P5480">
        <v>0</v>
      </c>
      <c r="Q5480">
        <v>2</v>
      </c>
      <c r="R5480" t="s">
        <v>43172</v>
      </c>
      <c r="S5480" t="s">
        <v>43334</v>
      </c>
      <c r="T5480" t="s">
        <v>44685</v>
      </c>
      <c r="U5480" t="s">
        <v>49643</v>
      </c>
      <c r="W5480" t="s">
        <v>41291</v>
      </c>
      <c r="X5480" t="s">
        <v>43173</v>
      </c>
    </row>
    <row r="5481" spans="1:24">
      <c r="A5481">
        <f>HYPERLINK("https://www.philgeps.gov.ph/GEPSNONPILOT/Tender/SplashBidNoticeAbstractUI.aspx?menuIndex=3&amp;refID=7079839&amp;Result=3","7079839")</f>
        <v>0</v>
      </c>
      <c r="B5481" t="s">
        <v>1859</v>
      </c>
      <c r="C5481" t="s">
        <v>8587</v>
      </c>
      <c r="D5481" t="s">
        <v>17444</v>
      </c>
      <c r="E5481" t="s">
        <v>22246</v>
      </c>
      <c r="F5481" t="s">
        <v>30052</v>
      </c>
      <c r="G5481" t="s">
        <v>30061</v>
      </c>
      <c r="H5481" t="s">
        <v>15498</v>
      </c>
      <c r="I5481" t="s">
        <v>4642</v>
      </c>
      <c r="J5481" t="s">
        <v>30407</v>
      </c>
      <c r="K5481" t="s">
        <v>39029</v>
      </c>
      <c r="M5481" t="s">
        <v>41287</v>
      </c>
      <c r="N5481" t="s">
        <v>43166</v>
      </c>
      <c r="O5481" t="s">
        <v>43167</v>
      </c>
      <c r="P5481">
        <v>0</v>
      </c>
      <c r="Q5481">
        <v>3</v>
      </c>
      <c r="R5481" t="s">
        <v>43172</v>
      </c>
      <c r="S5481" t="s">
        <v>43334</v>
      </c>
      <c r="T5481" t="s">
        <v>44735</v>
      </c>
      <c r="U5481" t="s">
        <v>49675</v>
      </c>
      <c r="W5481" t="s">
        <v>41287</v>
      </c>
      <c r="X5481" t="s">
        <v>43173</v>
      </c>
    </row>
    <row r="5482" spans="1:24">
      <c r="A5482">
        <f>HYPERLINK("https://www.philgeps.gov.ph/GEPSNONPILOT/Tender/SplashBidNoticeAbstractUI.aspx?menuIndex=3&amp;refID=7079895&amp;Result=3","7079895")</f>
        <v>0</v>
      </c>
      <c r="B5482" t="s">
        <v>1876</v>
      </c>
      <c r="C5482" t="s">
        <v>8646</v>
      </c>
      <c r="D5482" t="s">
        <v>17422</v>
      </c>
      <c r="E5482" t="s">
        <v>22247</v>
      </c>
      <c r="F5482" t="s">
        <v>30052</v>
      </c>
      <c r="G5482" t="s">
        <v>30061</v>
      </c>
      <c r="H5482" t="s">
        <v>15498</v>
      </c>
      <c r="I5482" t="s">
        <v>30075</v>
      </c>
      <c r="J5482" t="s">
        <v>33399</v>
      </c>
      <c r="K5482" t="s">
        <v>39036</v>
      </c>
      <c r="M5482" t="s">
        <v>41307</v>
      </c>
      <c r="N5482" t="s">
        <v>43166</v>
      </c>
      <c r="O5482" t="s">
        <v>43167</v>
      </c>
      <c r="P5482">
        <v>0</v>
      </c>
      <c r="Q5482">
        <v>1</v>
      </c>
      <c r="R5482" t="s">
        <v>43172</v>
      </c>
      <c r="S5482" t="s">
        <v>43334</v>
      </c>
      <c r="T5482" t="s">
        <v>44714</v>
      </c>
      <c r="U5482" t="s">
        <v>49676</v>
      </c>
      <c r="W5482" t="s">
        <v>41307</v>
      </c>
      <c r="X5482" t="s">
        <v>43173</v>
      </c>
    </row>
    <row r="5483" spans="1:24">
      <c r="A5483">
        <f>HYPERLINK("https://www.philgeps.gov.ph/GEPSNONPILOT/Tender/SplashBidNoticeAbstractUI.aspx?menuIndex=3&amp;refID=7079893&amp;Result=3","7079893")</f>
        <v>0</v>
      </c>
      <c r="B5483" t="s">
        <v>1873</v>
      </c>
      <c r="C5483" t="s">
        <v>8647</v>
      </c>
      <c r="D5483" t="s">
        <v>17490</v>
      </c>
      <c r="E5483" t="s">
        <v>22248</v>
      </c>
      <c r="F5483" t="s">
        <v>30052</v>
      </c>
      <c r="G5483" t="s">
        <v>30058</v>
      </c>
      <c r="H5483" t="s">
        <v>15498</v>
      </c>
      <c r="I5483" t="s">
        <v>3736</v>
      </c>
      <c r="J5483" t="s">
        <v>31062</v>
      </c>
      <c r="K5483" t="s">
        <v>39029</v>
      </c>
      <c r="M5483" t="s">
        <v>41304</v>
      </c>
      <c r="N5483" t="s">
        <v>43166</v>
      </c>
      <c r="O5483" t="s">
        <v>43167</v>
      </c>
      <c r="P5483">
        <v>0</v>
      </c>
      <c r="Q5483">
        <v>0</v>
      </c>
      <c r="R5483" t="s">
        <v>43172</v>
      </c>
      <c r="S5483" t="s">
        <v>43334</v>
      </c>
      <c r="T5483" t="s">
        <v>44698</v>
      </c>
      <c r="U5483" t="s">
        <v>49677</v>
      </c>
      <c r="W5483" t="s">
        <v>41304</v>
      </c>
      <c r="X5483" t="s">
        <v>43173</v>
      </c>
    </row>
    <row r="5484" spans="1:24">
      <c r="A5484">
        <f>HYPERLINK("https://www.philgeps.gov.ph/GEPSNONPILOT/Tender/SplashBidNoticeAbstractUI.aspx?menuIndex=3&amp;refID=7079891&amp;Result=3","7079891")</f>
        <v>0</v>
      </c>
      <c r="B5484" t="s">
        <v>1727</v>
      </c>
      <c r="C5484" t="s">
        <v>8648</v>
      </c>
      <c r="D5484" t="s">
        <v>17436</v>
      </c>
      <c r="E5484" t="s">
        <v>22249</v>
      </c>
      <c r="F5484" t="s">
        <v>30052</v>
      </c>
      <c r="G5484" t="s">
        <v>30058</v>
      </c>
      <c r="H5484" t="s">
        <v>15498</v>
      </c>
      <c r="I5484" t="s">
        <v>30070</v>
      </c>
      <c r="J5484" t="s">
        <v>33669</v>
      </c>
      <c r="K5484" t="s">
        <v>39034</v>
      </c>
      <c r="M5484" t="s">
        <v>41144</v>
      </c>
      <c r="N5484" t="s">
        <v>43166</v>
      </c>
      <c r="O5484" t="s">
        <v>43167</v>
      </c>
      <c r="P5484">
        <v>0</v>
      </c>
      <c r="Q5484">
        <v>0</v>
      </c>
      <c r="R5484" t="s">
        <v>43172</v>
      </c>
      <c r="S5484" t="s">
        <v>43334</v>
      </c>
      <c r="T5484" t="s">
        <v>44818</v>
      </c>
      <c r="U5484" t="s">
        <v>49678</v>
      </c>
      <c r="W5484" t="s">
        <v>41144</v>
      </c>
      <c r="X5484" t="s">
        <v>43173</v>
      </c>
    </row>
    <row r="5485" spans="1:24">
      <c r="A5485">
        <f>HYPERLINK("https://www.philgeps.gov.ph/GEPSNONPILOT/Tender/SplashBidNoticeAbstractUI.aspx?menuIndex=3&amp;refID=7079840&amp;Result=3","7079840")</f>
        <v>0</v>
      </c>
      <c r="B5485" t="s">
        <v>1811</v>
      </c>
      <c r="C5485" t="s">
        <v>8649</v>
      </c>
      <c r="D5485" t="s">
        <v>17450</v>
      </c>
      <c r="E5485" t="s">
        <v>22250</v>
      </c>
      <c r="F5485" t="s">
        <v>30052</v>
      </c>
      <c r="G5485" t="s">
        <v>30058</v>
      </c>
      <c r="H5485" t="s">
        <v>30067</v>
      </c>
      <c r="I5485" t="s">
        <v>3693</v>
      </c>
      <c r="J5485" t="s">
        <v>33670</v>
      </c>
      <c r="K5485" t="s">
        <v>39026</v>
      </c>
      <c r="M5485" t="s">
        <v>41234</v>
      </c>
      <c r="N5485" t="s">
        <v>43166</v>
      </c>
      <c r="O5485" t="s">
        <v>43167</v>
      </c>
      <c r="P5485">
        <v>0</v>
      </c>
      <c r="Q5485">
        <v>2</v>
      </c>
      <c r="R5485" t="s">
        <v>43172</v>
      </c>
      <c r="S5485" t="s">
        <v>43334</v>
      </c>
      <c r="T5485" t="s">
        <v>44722</v>
      </c>
      <c r="U5485" t="s">
        <v>49480</v>
      </c>
      <c r="W5485" t="s">
        <v>41234</v>
      </c>
      <c r="X5485" t="s">
        <v>43173</v>
      </c>
    </row>
    <row r="5486" spans="1:24">
      <c r="A5486">
        <f>HYPERLINK("https://www.philgeps.gov.ph/GEPSNONPILOT/Tender/SplashBidNoticeAbstractUI.aspx?menuIndex=3&amp;refID=7079890&amp;Result=3","7079890")</f>
        <v>0</v>
      </c>
      <c r="B5486" t="s">
        <v>1028</v>
      </c>
      <c r="C5486" t="s">
        <v>8650</v>
      </c>
      <c r="D5486" t="s">
        <v>17438</v>
      </c>
      <c r="E5486" t="s">
        <v>22251</v>
      </c>
      <c r="F5486" t="s">
        <v>30052</v>
      </c>
      <c r="G5486" t="s">
        <v>30059</v>
      </c>
      <c r="H5486" t="s">
        <v>15498</v>
      </c>
      <c r="I5486" t="s">
        <v>6691</v>
      </c>
      <c r="J5486" t="s">
        <v>33671</v>
      </c>
      <c r="K5486" t="s">
        <v>39035</v>
      </c>
      <c r="M5486" t="s">
        <v>40357</v>
      </c>
      <c r="N5486" t="s">
        <v>43166</v>
      </c>
      <c r="O5486" t="s">
        <v>43167</v>
      </c>
      <c r="P5486">
        <v>0</v>
      </c>
      <c r="Q5486">
        <v>0</v>
      </c>
      <c r="R5486" t="s">
        <v>43172</v>
      </c>
      <c r="S5486" t="s">
        <v>43334</v>
      </c>
      <c r="T5486" t="s">
        <v>44691</v>
      </c>
      <c r="U5486" t="s">
        <v>47341</v>
      </c>
      <c r="W5486" t="s">
        <v>40357</v>
      </c>
      <c r="X5486" t="s">
        <v>43173</v>
      </c>
    </row>
    <row r="5487" spans="1:24">
      <c r="A5487">
        <f>HYPERLINK("https://www.philgeps.gov.ph/GEPSNONPILOT/Tender/SplashBidNoticeAbstractUI.aspx?menuIndex=3&amp;refID=7079899&amp;Result=3","7079899")</f>
        <v>0</v>
      </c>
      <c r="B5487" t="s">
        <v>1877</v>
      </c>
      <c r="C5487" t="s">
        <v>8651</v>
      </c>
      <c r="D5487" t="s">
        <v>17415</v>
      </c>
      <c r="E5487" t="s">
        <v>22252</v>
      </c>
      <c r="F5487" t="s">
        <v>30052</v>
      </c>
      <c r="G5487" t="s">
        <v>30058</v>
      </c>
      <c r="H5487" t="s">
        <v>30067</v>
      </c>
      <c r="I5487" t="s">
        <v>3693</v>
      </c>
      <c r="J5487" t="s">
        <v>33672</v>
      </c>
      <c r="K5487" t="s">
        <v>39019</v>
      </c>
      <c r="M5487" t="s">
        <v>41308</v>
      </c>
      <c r="N5487" t="s">
        <v>43166</v>
      </c>
      <c r="O5487" t="s">
        <v>43167</v>
      </c>
      <c r="P5487">
        <v>0</v>
      </c>
      <c r="Q5487">
        <v>3</v>
      </c>
      <c r="R5487" t="s">
        <v>43172</v>
      </c>
      <c r="S5487" t="s">
        <v>43334</v>
      </c>
      <c r="T5487" t="s">
        <v>44737</v>
      </c>
      <c r="U5487" t="s">
        <v>49679</v>
      </c>
      <c r="W5487" t="s">
        <v>41308</v>
      </c>
      <c r="X5487" t="s">
        <v>43173</v>
      </c>
    </row>
    <row r="5488" spans="1:24">
      <c r="A5488">
        <f>HYPERLINK("https://www.philgeps.gov.ph/GEPSNONPILOT/Tender/SplashBidNoticeAbstractUI.aspx?menuIndex=3&amp;refID=7079887&amp;Result=3","7079887")</f>
        <v>0</v>
      </c>
      <c r="B5488" t="s">
        <v>1878</v>
      </c>
      <c r="C5488" t="s">
        <v>8652</v>
      </c>
      <c r="D5488" t="s">
        <v>17440</v>
      </c>
      <c r="E5488" t="s">
        <v>8652</v>
      </c>
      <c r="F5488" t="s">
        <v>30052</v>
      </c>
      <c r="G5488" t="s">
        <v>30059</v>
      </c>
      <c r="H5488" t="s">
        <v>30069</v>
      </c>
      <c r="I5488" t="s">
        <v>5961</v>
      </c>
      <c r="J5488" t="s">
        <v>30287</v>
      </c>
      <c r="K5488" t="s">
        <v>39034</v>
      </c>
      <c r="L5488" t="s">
        <v>1878</v>
      </c>
      <c r="M5488" t="s">
        <v>41309</v>
      </c>
      <c r="N5488" t="s">
        <v>43166</v>
      </c>
      <c r="O5488" t="s">
        <v>43167</v>
      </c>
      <c r="P5488">
        <v>0</v>
      </c>
      <c r="Q5488">
        <v>6</v>
      </c>
      <c r="R5488" t="s">
        <v>43172</v>
      </c>
      <c r="S5488" t="s">
        <v>43334</v>
      </c>
      <c r="T5488" t="s">
        <v>44788</v>
      </c>
      <c r="U5488" t="s">
        <v>49680</v>
      </c>
      <c r="W5488" t="s">
        <v>41309</v>
      </c>
      <c r="X5488" t="s">
        <v>43173</v>
      </c>
    </row>
    <row r="5489" spans="1:24">
      <c r="A5489">
        <f>HYPERLINK("https://www.philgeps.gov.ph/GEPSNONPILOT/Tender/SplashBidNoticeAbstractUI.aspx?menuIndex=3&amp;refID=7079880&amp;Result=3","7079880")</f>
        <v>0</v>
      </c>
      <c r="B5489" t="s">
        <v>1727</v>
      </c>
      <c r="C5489" t="s">
        <v>8653</v>
      </c>
      <c r="D5489" t="s">
        <v>17436</v>
      </c>
      <c r="E5489" t="s">
        <v>22253</v>
      </c>
      <c r="F5489" t="s">
        <v>30052</v>
      </c>
      <c r="G5489" t="s">
        <v>30058</v>
      </c>
      <c r="H5489" t="s">
        <v>15498</v>
      </c>
      <c r="I5489" t="s">
        <v>30070</v>
      </c>
      <c r="J5489" t="s">
        <v>33673</v>
      </c>
      <c r="K5489" t="s">
        <v>39034</v>
      </c>
      <c r="M5489" t="s">
        <v>41144</v>
      </c>
      <c r="N5489" t="s">
        <v>43166</v>
      </c>
      <c r="O5489" t="s">
        <v>43167</v>
      </c>
      <c r="P5489">
        <v>0</v>
      </c>
      <c r="Q5489">
        <v>0</v>
      </c>
      <c r="R5489" t="s">
        <v>43172</v>
      </c>
      <c r="S5489" t="s">
        <v>43334</v>
      </c>
      <c r="T5489" t="s">
        <v>44818</v>
      </c>
      <c r="U5489" t="s">
        <v>49681</v>
      </c>
      <c r="W5489" t="s">
        <v>41144</v>
      </c>
      <c r="X5489" t="s">
        <v>43173</v>
      </c>
    </row>
    <row r="5490" spans="1:24">
      <c r="A5490">
        <f>HYPERLINK("https://www.philgeps.gov.ph/GEPSNONPILOT/Tender/SplashBidNoticeAbstractUI.aspx?menuIndex=3&amp;refID=7079894&amp;Result=3","7079894")</f>
        <v>0</v>
      </c>
      <c r="B5490" t="s">
        <v>1863</v>
      </c>
      <c r="C5490" t="s">
        <v>8654</v>
      </c>
      <c r="D5490" t="s">
        <v>17451</v>
      </c>
      <c r="E5490" t="s">
        <v>22254</v>
      </c>
      <c r="F5490" t="s">
        <v>30052</v>
      </c>
      <c r="G5490" t="s">
        <v>30060</v>
      </c>
      <c r="H5490" t="s">
        <v>15498</v>
      </c>
      <c r="I5490" t="s">
        <v>4650</v>
      </c>
      <c r="J5490" t="s">
        <v>30230</v>
      </c>
      <c r="K5490" t="s">
        <v>39037</v>
      </c>
      <c r="M5490" t="s">
        <v>41291</v>
      </c>
      <c r="N5490" t="s">
        <v>43166</v>
      </c>
      <c r="O5490" t="s">
        <v>43167</v>
      </c>
      <c r="P5490">
        <v>0</v>
      </c>
      <c r="Q5490">
        <v>4</v>
      </c>
      <c r="R5490" t="s">
        <v>43172</v>
      </c>
      <c r="S5490" t="s">
        <v>43334</v>
      </c>
      <c r="T5490" t="s">
        <v>44685</v>
      </c>
      <c r="U5490" t="s">
        <v>49643</v>
      </c>
      <c r="W5490" t="s">
        <v>41291</v>
      </c>
      <c r="X5490" t="s">
        <v>43173</v>
      </c>
    </row>
    <row r="5491" spans="1:24">
      <c r="A5491">
        <f>HYPERLINK("https://www.philgeps.gov.ph/GEPSNONPILOT/Tender/SplashBidNoticeAbstractUI.aspx?menuIndex=3&amp;refID=7079862&amp;Result=3","7079862")</f>
        <v>0</v>
      </c>
      <c r="B5491" t="s">
        <v>902</v>
      </c>
      <c r="C5491" t="s">
        <v>8655</v>
      </c>
      <c r="D5491" t="s">
        <v>17444</v>
      </c>
      <c r="E5491" t="s">
        <v>22255</v>
      </c>
      <c r="F5491" t="s">
        <v>30052</v>
      </c>
      <c r="G5491" t="s">
        <v>30059</v>
      </c>
      <c r="H5491" t="s">
        <v>15498</v>
      </c>
      <c r="I5491" t="s">
        <v>30076</v>
      </c>
      <c r="J5491" t="s">
        <v>33674</v>
      </c>
      <c r="K5491" t="s">
        <v>39017</v>
      </c>
      <c r="M5491" t="s">
        <v>40221</v>
      </c>
      <c r="N5491" t="s">
        <v>43166</v>
      </c>
      <c r="O5491" t="s">
        <v>43167</v>
      </c>
      <c r="P5491">
        <v>0</v>
      </c>
      <c r="Q5491">
        <v>3</v>
      </c>
      <c r="R5491" t="s">
        <v>43172</v>
      </c>
      <c r="S5491" t="s">
        <v>43334</v>
      </c>
      <c r="T5491" t="s">
        <v>44685</v>
      </c>
      <c r="U5491" t="s">
        <v>49682</v>
      </c>
      <c r="W5491" t="s">
        <v>40221</v>
      </c>
      <c r="X5491" t="s">
        <v>43173</v>
      </c>
    </row>
    <row r="5492" spans="1:24">
      <c r="A5492">
        <f>HYPERLINK("https://www.philgeps.gov.ph/GEPSNONPILOT/Tender/SplashBidNoticeAbstractUI.aspx?menuIndex=3&amp;refID=7079874&amp;Result=3","7079874")</f>
        <v>0</v>
      </c>
      <c r="B5492" t="s">
        <v>50</v>
      </c>
      <c r="C5492" t="s">
        <v>8656</v>
      </c>
      <c r="D5492" t="s">
        <v>17433</v>
      </c>
      <c r="E5492" t="s">
        <v>22256</v>
      </c>
      <c r="F5492" t="s">
        <v>30052</v>
      </c>
      <c r="G5492" t="s">
        <v>30059</v>
      </c>
      <c r="H5492" t="s">
        <v>15498</v>
      </c>
      <c r="I5492" t="s">
        <v>30073</v>
      </c>
      <c r="J5492" t="s">
        <v>33675</v>
      </c>
      <c r="K5492" t="s">
        <v>39017</v>
      </c>
      <c r="M5492" t="s">
        <v>39340</v>
      </c>
      <c r="N5492" t="s">
        <v>43166</v>
      </c>
      <c r="O5492" t="s">
        <v>43167</v>
      </c>
      <c r="P5492">
        <v>0</v>
      </c>
      <c r="Q5492">
        <v>0</v>
      </c>
      <c r="R5492" t="s">
        <v>43172</v>
      </c>
      <c r="S5492" t="s">
        <v>43334</v>
      </c>
      <c r="T5492" t="s">
        <v>44844</v>
      </c>
      <c r="U5492" t="s">
        <v>49683</v>
      </c>
      <c r="W5492" t="s">
        <v>39340</v>
      </c>
      <c r="X5492" t="s">
        <v>43173</v>
      </c>
    </row>
    <row r="5493" spans="1:24">
      <c r="A5493">
        <f>HYPERLINK("https://www.philgeps.gov.ph/GEPSNONPILOT/Tender/SplashBidNoticeAbstractUI.aspx?menuIndex=3&amp;refID=7079871&amp;Result=3","7079871")</f>
        <v>0</v>
      </c>
      <c r="B5493" t="s">
        <v>1843</v>
      </c>
      <c r="C5493" t="s">
        <v>8657</v>
      </c>
      <c r="E5493" t="s">
        <v>22257</v>
      </c>
      <c r="F5493" t="s">
        <v>30052</v>
      </c>
      <c r="G5493" t="s">
        <v>30058</v>
      </c>
      <c r="H5493" t="s">
        <v>15498</v>
      </c>
      <c r="I5493" t="s">
        <v>30148</v>
      </c>
      <c r="J5493" t="s">
        <v>32690</v>
      </c>
      <c r="K5493" t="s">
        <v>39025</v>
      </c>
      <c r="M5493" t="s">
        <v>41268</v>
      </c>
      <c r="N5493" t="s">
        <v>43166</v>
      </c>
      <c r="O5493" t="s">
        <v>43167</v>
      </c>
      <c r="P5493">
        <v>0</v>
      </c>
      <c r="Q5493">
        <v>5</v>
      </c>
      <c r="R5493" t="s">
        <v>43172</v>
      </c>
      <c r="S5493" t="s">
        <v>43334</v>
      </c>
      <c r="T5493" t="s">
        <v>44722</v>
      </c>
      <c r="U5493" t="s">
        <v>49684</v>
      </c>
      <c r="W5493" t="s">
        <v>41268</v>
      </c>
      <c r="X5493" t="s">
        <v>43173</v>
      </c>
    </row>
    <row r="5494" spans="1:24">
      <c r="A5494">
        <f>HYPERLINK("https://www.philgeps.gov.ph/GEPSNONPILOT/Tender/SplashBidNoticeAbstractUI.aspx?menuIndex=3&amp;refID=7079888&amp;Result=3","7079888")</f>
        <v>0</v>
      </c>
      <c r="B5494" t="s">
        <v>1811</v>
      </c>
      <c r="C5494" t="s">
        <v>8658</v>
      </c>
      <c r="D5494" t="s">
        <v>17450</v>
      </c>
      <c r="E5494" t="s">
        <v>22258</v>
      </c>
      <c r="F5494" t="s">
        <v>30052</v>
      </c>
      <c r="G5494" t="s">
        <v>30058</v>
      </c>
      <c r="H5494" t="s">
        <v>30067</v>
      </c>
      <c r="I5494" t="s">
        <v>3693</v>
      </c>
      <c r="J5494" t="s">
        <v>33670</v>
      </c>
      <c r="K5494" t="s">
        <v>39026</v>
      </c>
      <c r="M5494" t="s">
        <v>41234</v>
      </c>
      <c r="N5494" t="s">
        <v>43166</v>
      </c>
      <c r="O5494" t="s">
        <v>43167</v>
      </c>
      <c r="P5494">
        <v>0</v>
      </c>
      <c r="Q5494">
        <v>2</v>
      </c>
      <c r="R5494" t="s">
        <v>43172</v>
      </c>
      <c r="S5494" t="s">
        <v>43334</v>
      </c>
      <c r="T5494" t="s">
        <v>44722</v>
      </c>
      <c r="U5494" t="s">
        <v>49480</v>
      </c>
      <c r="W5494" t="s">
        <v>41234</v>
      </c>
      <c r="X5494" t="s">
        <v>43173</v>
      </c>
    </row>
    <row r="5495" spans="1:24">
      <c r="A5495">
        <f>HYPERLINK("https://www.philgeps.gov.ph/GEPSNONPILOT/Tender/SplashBidNoticeAbstractUI.aspx?menuIndex=3&amp;refID=7079886&amp;Result=3","7079886")</f>
        <v>0</v>
      </c>
      <c r="B5495" t="s">
        <v>1555</v>
      </c>
      <c r="C5495" t="s">
        <v>8659</v>
      </c>
      <c r="D5495" t="s">
        <v>17422</v>
      </c>
      <c r="E5495" t="s">
        <v>22259</v>
      </c>
      <c r="F5495" t="s">
        <v>30052</v>
      </c>
      <c r="G5495" t="s">
        <v>30059</v>
      </c>
      <c r="H5495" t="s">
        <v>15498</v>
      </c>
      <c r="I5495" t="s">
        <v>30076</v>
      </c>
      <c r="J5495" t="s">
        <v>33676</v>
      </c>
      <c r="K5495" t="s">
        <v>39034</v>
      </c>
      <c r="M5495" t="s">
        <v>40944</v>
      </c>
      <c r="N5495" t="s">
        <v>43166</v>
      </c>
      <c r="O5495" t="s">
        <v>43167</v>
      </c>
      <c r="P5495">
        <v>0</v>
      </c>
      <c r="Q5495">
        <v>5</v>
      </c>
      <c r="R5495" t="s">
        <v>43172</v>
      </c>
      <c r="S5495" t="s">
        <v>43334</v>
      </c>
      <c r="T5495" t="s">
        <v>44836</v>
      </c>
      <c r="U5495" t="s">
        <v>49685</v>
      </c>
      <c r="W5495" t="s">
        <v>58644</v>
      </c>
      <c r="X5495" t="s">
        <v>43173</v>
      </c>
    </row>
    <row r="5496" spans="1:24">
      <c r="A5496">
        <f>HYPERLINK("https://www.philgeps.gov.ph/GEPSNONPILOT/Tender/SplashBidNoticeAbstractUI.aspx?menuIndex=3&amp;refID=7079875&amp;Result=3","7079875")</f>
        <v>0</v>
      </c>
      <c r="B5496" t="s">
        <v>1028</v>
      </c>
      <c r="C5496" t="s">
        <v>8660</v>
      </c>
      <c r="D5496" t="s">
        <v>17438</v>
      </c>
      <c r="E5496" t="s">
        <v>22260</v>
      </c>
      <c r="F5496" t="s">
        <v>30052</v>
      </c>
      <c r="G5496" t="s">
        <v>30059</v>
      </c>
      <c r="H5496" t="s">
        <v>15498</v>
      </c>
      <c r="I5496" t="s">
        <v>6691</v>
      </c>
      <c r="J5496" t="s">
        <v>31245</v>
      </c>
      <c r="K5496" t="s">
        <v>39035</v>
      </c>
      <c r="M5496" t="s">
        <v>40357</v>
      </c>
      <c r="N5496" t="s">
        <v>43166</v>
      </c>
      <c r="O5496" t="s">
        <v>43167</v>
      </c>
      <c r="P5496">
        <v>0</v>
      </c>
      <c r="Q5496">
        <v>0</v>
      </c>
      <c r="R5496" t="s">
        <v>43172</v>
      </c>
      <c r="S5496" t="s">
        <v>43334</v>
      </c>
      <c r="T5496" t="s">
        <v>44691</v>
      </c>
      <c r="U5496" t="s">
        <v>47341</v>
      </c>
      <c r="W5496" t="s">
        <v>40357</v>
      </c>
      <c r="X5496" t="s">
        <v>43173</v>
      </c>
    </row>
    <row r="5497" spans="1:24">
      <c r="A5497">
        <f>HYPERLINK("https://www.philgeps.gov.ph/GEPSNONPILOT/Tender/SplashBidNoticeAbstractUI.aspx?menuIndex=3&amp;refID=7079873&amp;Result=3","7079873")</f>
        <v>0</v>
      </c>
      <c r="B5497" t="s">
        <v>1727</v>
      </c>
      <c r="C5497" t="s">
        <v>8661</v>
      </c>
      <c r="D5497" t="s">
        <v>17436</v>
      </c>
      <c r="E5497" t="s">
        <v>22261</v>
      </c>
      <c r="F5497" t="s">
        <v>30052</v>
      </c>
      <c r="G5497" t="s">
        <v>30058</v>
      </c>
      <c r="H5497" t="s">
        <v>15498</v>
      </c>
      <c r="I5497" t="s">
        <v>30070</v>
      </c>
      <c r="J5497" t="s">
        <v>33677</v>
      </c>
      <c r="K5497" t="s">
        <v>39034</v>
      </c>
      <c r="M5497" t="s">
        <v>41144</v>
      </c>
      <c r="N5497" t="s">
        <v>43166</v>
      </c>
      <c r="O5497" t="s">
        <v>43167</v>
      </c>
      <c r="P5497">
        <v>0</v>
      </c>
      <c r="Q5497">
        <v>0</v>
      </c>
      <c r="R5497" t="s">
        <v>43172</v>
      </c>
      <c r="S5497" t="s">
        <v>43334</v>
      </c>
      <c r="T5497" t="s">
        <v>44818</v>
      </c>
      <c r="U5497" t="s">
        <v>49686</v>
      </c>
      <c r="W5497" t="s">
        <v>41144</v>
      </c>
      <c r="X5497" t="s">
        <v>43173</v>
      </c>
    </row>
    <row r="5498" spans="1:24">
      <c r="A5498">
        <f>HYPERLINK("https://www.philgeps.gov.ph/GEPSNONPILOT/Tender/SplashBidNoticeAbstractUI.aspx?menuIndex=3&amp;refID=7079925&amp;Result=3","7079925")</f>
        <v>0</v>
      </c>
      <c r="B5498" t="s">
        <v>1028</v>
      </c>
      <c r="C5498" t="s">
        <v>8662</v>
      </c>
      <c r="D5498" t="s">
        <v>17438</v>
      </c>
      <c r="E5498" t="s">
        <v>22262</v>
      </c>
      <c r="F5498" t="s">
        <v>30052</v>
      </c>
      <c r="G5498" t="s">
        <v>30059</v>
      </c>
      <c r="H5498" t="s">
        <v>15498</v>
      </c>
      <c r="I5498" t="s">
        <v>6691</v>
      </c>
      <c r="J5498" t="s">
        <v>33678</v>
      </c>
      <c r="K5498" t="s">
        <v>39035</v>
      </c>
      <c r="M5498" t="s">
        <v>40357</v>
      </c>
      <c r="N5498" t="s">
        <v>43166</v>
      </c>
      <c r="O5498" t="s">
        <v>43167</v>
      </c>
      <c r="P5498">
        <v>0</v>
      </c>
      <c r="Q5498">
        <v>0</v>
      </c>
      <c r="R5498" t="s">
        <v>43172</v>
      </c>
      <c r="S5498" t="s">
        <v>43334</v>
      </c>
      <c r="T5498" t="s">
        <v>44691</v>
      </c>
      <c r="U5498" t="s">
        <v>47341</v>
      </c>
      <c r="W5498" t="s">
        <v>40357</v>
      </c>
      <c r="X5498" t="s">
        <v>43173</v>
      </c>
    </row>
    <row r="5499" spans="1:24">
      <c r="A5499">
        <f>HYPERLINK("https://www.philgeps.gov.ph/GEPSNONPILOT/Tender/SplashBidNoticeAbstractUI.aspx?menuIndex=3&amp;refID=7079903&amp;Result=3","7079903")</f>
        <v>0</v>
      </c>
      <c r="B5499" t="s">
        <v>736</v>
      </c>
      <c r="C5499" t="s">
        <v>8663</v>
      </c>
      <c r="D5499" t="s">
        <v>17455</v>
      </c>
      <c r="E5499" t="s">
        <v>22263</v>
      </c>
      <c r="F5499" t="s">
        <v>30052</v>
      </c>
      <c r="G5499" t="s">
        <v>30058</v>
      </c>
      <c r="H5499" t="s">
        <v>30067</v>
      </c>
      <c r="I5499" t="s">
        <v>3693</v>
      </c>
      <c r="J5499" t="s">
        <v>30212</v>
      </c>
      <c r="K5499" t="s">
        <v>39025</v>
      </c>
      <c r="M5499" t="s">
        <v>40049</v>
      </c>
      <c r="N5499" t="s">
        <v>43166</v>
      </c>
      <c r="O5499" t="s">
        <v>43167</v>
      </c>
      <c r="P5499">
        <v>0</v>
      </c>
      <c r="Q5499">
        <v>0</v>
      </c>
      <c r="R5499" t="s">
        <v>43172</v>
      </c>
      <c r="S5499" t="s">
        <v>43334</v>
      </c>
      <c r="T5499" t="s">
        <v>44842</v>
      </c>
      <c r="U5499" t="s">
        <v>49687</v>
      </c>
      <c r="W5499" t="s">
        <v>40049</v>
      </c>
      <c r="X5499" t="s">
        <v>43173</v>
      </c>
    </row>
    <row r="5500" spans="1:24">
      <c r="A5500">
        <f>HYPERLINK("https://www.philgeps.gov.ph/GEPSNONPILOT/Tender/SplashBidNoticeAbstractUI.aspx?menuIndex=3&amp;refID=7079920&amp;Result=3","7079920")</f>
        <v>0</v>
      </c>
      <c r="B5500" t="s">
        <v>1863</v>
      </c>
      <c r="C5500" t="s">
        <v>8664</v>
      </c>
      <c r="D5500" t="s">
        <v>17451</v>
      </c>
      <c r="E5500" t="s">
        <v>22264</v>
      </c>
      <c r="F5500" t="s">
        <v>30052</v>
      </c>
      <c r="G5500" t="s">
        <v>30060</v>
      </c>
      <c r="H5500" t="s">
        <v>15498</v>
      </c>
      <c r="I5500" t="s">
        <v>30117</v>
      </c>
      <c r="J5500" t="s">
        <v>33679</v>
      </c>
      <c r="K5500" t="s">
        <v>39037</v>
      </c>
      <c r="M5500" t="s">
        <v>41291</v>
      </c>
      <c r="N5500" t="s">
        <v>43166</v>
      </c>
      <c r="O5500" t="s">
        <v>43167</v>
      </c>
      <c r="P5500">
        <v>0</v>
      </c>
      <c r="Q5500">
        <v>0</v>
      </c>
      <c r="R5500" t="s">
        <v>43172</v>
      </c>
      <c r="S5500" t="s">
        <v>43334</v>
      </c>
      <c r="T5500" t="s">
        <v>44685</v>
      </c>
      <c r="U5500" t="s">
        <v>49643</v>
      </c>
      <c r="W5500" t="s">
        <v>41291</v>
      </c>
      <c r="X5500" t="s">
        <v>43173</v>
      </c>
    </row>
    <row r="5501" spans="1:24">
      <c r="A5501">
        <f>HYPERLINK("https://www.philgeps.gov.ph/GEPSNONPILOT/Tender/SplashBidNoticeAbstractUI.aspx?menuIndex=3&amp;refID=7079919&amp;Result=3","7079919")</f>
        <v>0</v>
      </c>
      <c r="B5501" t="s">
        <v>1727</v>
      </c>
      <c r="C5501" t="s">
        <v>8665</v>
      </c>
      <c r="D5501" t="s">
        <v>17436</v>
      </c>
      <c r="E5501" t="s">
        <v>22265</v>
      </c>
      <c r="F5501" t="s">
        <v>30052</v>
      </c>
      <c r="G5501" t="s">
        <v>30058</v>
      </c>
      <c r="H5501" t="s">
        <v>15498</v>
      </c>
      <c r="I5501" t="s">
        <v>4650</v>
      </c>
      <c r="J5501" t="s">
        <v>30248</v>
      </c>
      <c r="K5501" t="s">
        <v>39034</v>
      </c>
      <c r="M5501" t="s">
        <v>41144</v>
      </c>
      <c r="N5501" t="s">
        <v>43166</v>
      </c>
      <c r="O5501" t="s">
        <v>43167</v>
      </c>
      <c r="P5501">
        <v>0</v>
      </c>
      <c r="Q5501">
        <v>0</v>
      </c>
      <c r="R5501" t="s">
        <v>43172</v>
      </c>
      <c r="S5501" t="s">
        <v>43334</v>
      </c>
      <c r="T5501" t="s">
        <v>44818</v>
      </c>
      <c r="U5501" t="s">
        <v>49688</v>
      </c>
      <c r="W5501" t="s">
        <v>41144</v>
      </c>
      <c r="X5501" t="s">
        <v>43173</v>
      </c>
    </row>
    <row r="5502" spans="1:24">
      <c r="A5502">
        <f>HYPERLINK("https://www.philgeps.gov.ph/GEPSNONPILOT/Tender/SplashBidNoticeAbstractUI.aspx?menuIndex=3&amp;refID=7079926&amp;Result=3","7079926")</f>
        <v>0</v>
      </c>
      <c r="B5502" t="s">
        <v>1727</v>
      </c>
      <c r="C5502" t="s">
        <v>8666</v>
      </c>
      <c r="D5502" t="s">
        <v>17436</v>
      </c>
      <c r="E5502" t="s">
        <v>22266</v>
      </c>
      <c r="F5502" t="s">
        <v>30052</v>
      </c>
      <c r="G5502" t="s">
        <v>30058</v>
      </c>
      <c r="H5502" t="s">
        <v>15498</v>
      </c>
      <c r="I5502" t="s">
        <v>4650</v>
      </c>
      <c r="J5502" t="s">
        <v>30398</v>
      </c>
      <c r="K5502" t="s">
        <v>39034</v>
      </c>
      <c r="M5502" t="s">
        <v>41144</v>
      </c>
      <c r="N5502" t="s">
        <v>43166</v>
      </c>
      <c r="O5502" t="s">
        <v>43167</v>
      </c>
      <c r="P5502">
        <v>0</v>
      </c>
      <c r="Q5502">
        <v>0</v>
      </c>
      <c r="R5502" t="s">
        <v>43172</v>
      </c>
      <c r="S5502" t="s">
        <v>43334</v>
      </c>
      <c r="T5502" t="s">
        <v>44818</v>
      </c>
      <c r="U5502" t="s">
        <v>49689</v>
      </c>
      <c r="W5502" t="s">
        <v>41144</v>
      </c>
      <c r="X5502" t="s">
        <v>43173</v>
      </c>
    </row>
    <row r="5503" spans="1:24">
      <c r="A5503">
        <f>HYPERLINK("https://www.philgeps.gov.ph/GEPSNONPILOT/Tender/SplashBidNoticeAbstractUI.aspx?menuIndex=3&amp;refID=7079914&amp;Result=3","7079914")</f>
        <v>0</v>
      </c>
      <c r="B5503" t="s">
        <v>1879</v>
      </c>
      <c r="C5503" t="s">
        <v>8667</v>
      </c>
      <c r="D5503" t="s">
        <v>17415</v>
      </c>
      <c r="E5503" t="s">
        <v>11577</v>
      </c>
      <c r="F5503" t="s">
        <v>30052</v>
      </c>
      <c r="G5503" t="s">
        <v>30058</v>
      </c>
      <c r="H5503" t="s">
        <v>15498</v>
      </c>
      <c r="I5503" t="s">
        <v>3852</v>
      </c>
      <c r="J5503" t="s">
        <v>30605</v>
      </c>
      <c r="K5503" t="s">
        <v>39017</v>
      </c>
      <c r="M5503" t="s">
        <v>41310</v>
      </c>
      <c r="N5503" t="s">
        <v>43166</v>
      </c>
      <c r="O5503" t="s">
        <v>43167</v>
      </c>
      <c r="P5503">
        <v>0</v>
      </c>
      <c r="Q5503">
        <v>2</v>
      </c>
      <c r="R5503" t="s">
        <v>43172</v>
      </c>
      <c r="S5503" t="s">
        <v>43334</v>
      </c>
      <c r="T5503" t="s">
        <v>44715</v>
      </c>
      <c r="U5503" t="s">
        <v>49690</v>
      </c>
      <c r="V5503" t="s">
        <v>57429</v>
      </c>
      <c r="W5503" t="s">
        <v>41310</v>
      </c>
      <c r="X5503" t="s">
        <v>43173</v>
      </c>
    </row>
    <row r="5504" spans="1:24">
      <c r="A5504">
        <f>HYPERLINK("https://www.philgeps.gov.ph/GEPSNONPILOT/Tender/SplashBidNoticeAbstractUI.aspx?menuIndex=3&amp;refID=7079913&amp;Result=3","7079913")</f>
        <v>0</v>
      </c>
      <c r="B5504" t="s">
        <v>1880</v>
      </c>
      <c r="C5504" t="s">
        <v>8668</v>
      </c>
      <c r="D5504" t="s">
        <v>17457</v>
      </c>
      <c r="E5504" t="s">
        <v>22267</v>
      </c>
      <c r="F5504" t="s">
        <v>30052</v>
      </c>
      <c r="G5504" t="s">
        <v>30058</v>
      </c>
      <c r="H5504" t="s">
        <v>30067</v>
      </c>
      <c r="I5504" t="s">
        <v>30097</v>
      </c>
      <c r="J5504" t="s">
        <v>33680</v>
      </c>
      <c r="K5504" t="s">
        <v>39023</v>
      </c>
      <c r="L5504" t="s">
        <v>1880</v>
      </c>
      <c r="M5504" t="s">
        <v>41311</v>
      </c>
      <c r="N5504" t="s">
        <v>43166</v>
      </c>
      <c r="O5504" t="s">
        <v>43167</v>
      </c>
      <c r="P5504">
        <v>0</v>
      </c>
      <c r="Q5504">
        <v>0</v>
      </c>
      <c r="R5504" t="s">
        <v>43172</v>
      </c>
      <c r="S5504" t="s">
        <v>43334</v>
      </c>
      <c r="T5504" t="s">
        <v>44729</v>
      </c>
      <c r="U5504" t="s">
        <v>49691</v>
      </c>
      <c r="W5504" t="s">
        <v>41311</v>
      </c>
      <c r="X5504" t="s">
        <v>43173</v>
      </c>
    </row>
    <row r="5505" spans="1:24">
      <c r="A5505">
        <f>HYPERLINK("https://www.philgeps.gov.ph/GEPSNONPILOT/Tender/SplashBidNoticeAbstractUI.aspx?menuIndex=3&amp;refID=7079910&amp;Result=3","7079910")</f>
        <v>0</v>
      </c>
      <c r="B5505" t="s">
        <v>1727</v>
      </c>
      <c r="C5505" t="s">
        <v>8669</v>
      </c>
      <c r="D5505" t="s">
        <v>17436</v>
      </c>
      <c r="E5505" t="s">
        <v>22268</v>
      </c>
      <c r="F5505" t="s">
        <v>30052</v>
      </c>
      <c r="G5505" t="s">
        <v>30058</v>
      </c>
      <c r="H5505" t="s">
        <v>15498</v>
      </c>
      <c r="I5505" t="s">
        <v>30070</v>
      </c>
      <c r="J5505" t="s">
        <v>33681</v>
      </c>
      <c r="K5505" t="s">
        <v>39034</v>
      </c>
      <c r="M5505" t="s">
        <v>41144</v>
      </c>
      <c r="N5505" t="s">
        <v>43166</v>
      </c>
      <c r="O5505" t="s">
        <v>43167</v>
      </c>
      <c r="P5505">
        <v>0</v>
      </c>
      <c r="Q5505">
        <v>0</v>
      </c>
      <c r="R5505" t="s">
        <v>43172</v>
      </c>
      <c r="S5505" t="s">
        <v>43334</v>
      </c>
      <c r="T5505" t="s">
        <v>44818</v>
      </c>
      <c r="U5505" t="s">
        <v>49692</v>
      </c>
      <c r="W5505" t="s">
        <v>41144</v>
      </c>
      <c r="X5505" t="s">
        <v>43173</v>
      </c>
    </row>
    <row r="5506" spans="1:24">
      <c r="A5506">
        <f>HYPERLINK("https://www.philgeps.gov.ph/GEPSNONPILOT/Tender/SplashBidNoticeAbstractUI.aspx?menuIndex=3&amp;refID=7079917&amp;Result=3","7079917")</f>
        <v>0</v>
      </c>
      <c r="B5506" t="s">
        <v>1863</v>
      </c>
      <c r="C5506" t="s">
        <v>8670</v>
      </c>
      <c r="D5506" t="s">
        <v>17451</v>
      </c>
      <c r="E5506" t="s">
        <v>22269</v>
      </c>
      <c r="F5506" t="s">
        <v>30052</v>
      </c>
      <c r="G5506" t="s">
        <v>30060</v>
      </c>
      <c r="H5506" t="s">
        <v>15498</v>
      </c>
      <c r="I5506" t="s">
        <v>30074</v>
      </c>
      <c r="J5506" t="s">
        <v>30447</v>
      </c>
      <c r="K5506" t="s">
        <v>39037</v>
      </c>
      <c r="M5506" t="s">
        <v>41291</v>
      </c>
      <c r="N5506" t="s">
        <v>43166</v>
      </c>
      <c r="O5506" t="s">
        <v>43167</v>
      </c>
      <c r="P5506">
        <v>0</v>
      </c>
      <c r="Q5506">
        <v>0</v>
      </c>
      <c r="R5506" t="s">
        <v>43172</v>
      </c>
      <c r="S5506" t="s">
        <v>43334</v>
      </c>
      <c r="T5506" t="s">
        <v>44685</v>
      </c>
      <c r="U5506" t="s">
        <v>49643</v>
      </c>
      <c r="W5506" t="s">
        <v>41291</v>
      </c>
      <c r="X5506" t="s">
        <v>43173</v>
      </c>
    </row>
    <row r="5507" spans="1:24">
      <c r="A5507">
        <f>HYPERLINK("https://www.philgeps.gov.ph/GEPSNONPILOT/Tender/SplashBidNoticeAbstractUI.aspx?menuIndex=3&amp;refID=7079908&amp;Result=3","7079908")</f>
        <v>0</v>
      </c>
      <c r="B5507" t="s">
        <v>1555</v>
      </c>
      <c r="C5507" t="s">
        <v>8671</v>
      </c>
      <c r="D5507" t="s">
        <v>17422</v>
      </c>
      <c r="E5507" t="s">
        <v>22270</v>
      </c>
      <c r="F5507" t="s">
        <v>30052</v>
      </c>
      <c r="G5507" t="s">
        <v>30059</v>
      </c>
      <c r="H5507" t="s">
        <v>15498</v>
      </c>
      <c r="I5507" t="s">
        <v>30081</v>
      </c>
      <c r="J5507" t="s">
        <v>33682</v>
      </c>
      <c r="K5507" t="s">
        <v>39034</v>
      </c>
      <c r="M5507" t="s">
        <v>40944</v>
      </c>
      <c r="N5507" t="s">
        <v>43166</v>
      </c>
      <c r="O5507" t="s">
        <v>43167</v>
      </c>
      <c r="P5507">
        <v>0</v>
      </c>
      <c r="Q5507">
        <v>0</v>
      </c>
      <c r="R5507" t="s">
        <v>43172</v>
      </c>
      <c r="S5507" t="s">
        <v>43334</v>
      </c>
      <c r="T5507" t="s">
        <v>44714</v>
      </c>
      <c r="U5507" t="s">
        <v>49693</v>
      </c>
      <c r="W5507" t="s">
        <v>58644</v>
      </c>
      <c r="X5507" t="s">
        <v>43173</v>
      </c>
    </row>
    <row r="5508" spans="1:24">
      <c r="A5508">
        <f>HYPERLINK("https://www.philgeps.gov.ph/GEPSNONPILOT/Tender/SplashBidNoticeAbstractUI.aspx?menuIndex=3&amp;refID=7079911&amp;Result=3","7079911")</f>
        <v>0</v>
      </c>
      <c r="B5508" t="s">
        <v>107</v>
      </c>
      <c r="C5508" t="s">
        <v>8672</v>
      </c>
      <c r="D5508" t="s">
        <v>17448</v>
      </c>
      <c r="E5508" t="s">
        <v>22271</v>
      </c>
      <c r="F5508" t="s">
        <v>30052</v>
      </c>
      <c r="G5508" t="s">
        <v>30059</v>
      </c>
      <c r="H5508" t="s">
        <v>15498</v>
      </c>
      <c r="I5508" t="s">
        <v>9238</v>
      </c>
      <c r="J5508" t="s">
        <v>33683</v>
      </c>
      <c r="K5508" t="s">
        <v>39025</v>
      </c>
      <c r="M5508" t="s">
        <v>39396</v>
      </c>
      <c r="N5508" t="s">
        <v>43166</v>
      </c>
      <c r="O5508" t="s">
        <v>43167</v>
      </c>
      <c r="P5508">
        <v>0</v>
      </c>
      <c r="Q5508">
        <v>11</v>
      </c>
      <c r="R5508" t="s">
        <v>43172</v>
      </c>
      <c r="S5508" t="s">
        <v>43334</v>
      </c>
      <c r="T5508" t="s">
        <v>44862</v>
      </c>
      <c r="U5508" t="s">
        <v>49694</v>
      </c>
      <c r="W5508" t="s">
        <v>39396</v>
      </c>
      <c r="X5508" t="s">
        <v>43173</v>
      </c>
    </row>
    <row r="5509" spans="1:24">
      <c r="A5509">
        <f>HYPERLINK("https://www.philgeps.gov.ph/GEPSNONPILOT/Tender/SplashBidNoticeAbstractUI.aspx?menuIndex=3&amp;refID=7079907&amp;Result=3","7079907")</f>
        <v>0</v>
      </c>
      <c r="B5509" t="s">
        <v>1881</v>
      </c>
      <c r="C5509" t="s">
        <v>8673</v>
      </c>
      <c r="D5509" t="s">
        <v>17468</v>
      </c>
      <c r="E5509" t="s">
        <v>22272</v>
      </c>
      <c r="F5509" t="s">
        <v>30052</v>
      </c>
      <c r="G5509" t="s">
        <v>30058</v>
      </c>
      <c r="H5509" t="s">
        <v>30067</v>
      </c>
      <c r="I5509" t="s">
        <v>3693</v>
      </c>
      <c r="J5509" t="s">
        <v>30588</v>
      </c>
      <c r="K5509" t="s">
        <v>39158</v>
      </c>
      <c r="M5509" t="s">
        <v>41312</v>
      </c>
      <c r="N5509" t="s">
        <v>43166</v>
      </c>
      <c r="O5509" t="s">
        <v>43167</v>
      </c>
      <c r="P5509">
        <v>0</v>
      </c>
      <c r="Q5509">
        <v>1</v>
      </c>
      <c r="R5509" t="s">
        <v>43172</v>
      </c>
      <c r="S5509" t="s">
        <v>43334</v>
      </c>
      <c r="T5509" t="s">
        <v>45005</v>
      </c>
      <c r="U5509" t="s">
        <v>49695</v>
      </c>
      <c r="W5509" t="s">
        <v>41312</v>
      </c>
      <c r="X5509" t="s">
        <v>43173</v>
      </c>
    </row>
    <row r="5510" spans="1:24">
      <c r="A5510">
        <f>HYPERLINK("https://www.philgeps.gov.ph/GEPSNONPILOT/Tender/SplashBidNoticeAbstractUI.aspx?menuIndex=3&amp;refID=7079906&amp;Result=3","7079906")</f>
        <v>0</v>
      </c>
      <c r="B5510" t="s">
        <v>1028</v>
      </c>
      <c r="C5510" t="s">
        <v>8674</v>
      </c>
      <c r="D5510" t="s">
        <v>17438</v>
      </c>
      <c r="E5510" t="s">
        <v>22273</v>
      </c>
      <c r="F5510" t="s">
        <v>30052</v>
      </c>
      <c r="G5510" t="s">
        <v>30059</v>
      </c>
      <c r="H5510" t="s">
        <v>15498</v>
      </c>
      <c r="I5510" t="s">
        <v>6691</v>
      </c>
      <c r="J5510" t="s">
        <v>30861</v>
      </c>
      <c r="K5510" t="s">
        <v>39035</v>
      </c>
      <c r="M5510" t="s">
        <v>40357</v>
      </c>
      <c r="N5510" t="s">
        <v>43166</v>
      </c>
      <c r="O5510" t="s">
        <v>43167</v>
      </c>
      <c r="P5510">
        <v>0</v>
      </c>
      <c r="Q5510">
        <v>0</v>
      </c>
      <c r="R5510" t="s">
        <v>43172</v>
      </c>
      <c r="S5510" t="s">
        <v>43334</v>
      </c>
      <c r="T5510" t="s">
        <v>44691</v>
      </c>
      <c r="U5510" t="s">
        <v>47341</v>
      </c>
      <c r="W5510" t="s">
        <v>40357</v>
      </c>
      <c r="X5510" t="s">
        <v>43173</v>
      </c>
    </row>
    <row r="5511" spans="1:24">
      <c r="A5511">
        <f>HYPERLINK("https://www.philgeps.gov.ph/GEPSNONPILOT/Tender/SplashBidNoticeAbstractUI.aspx?menuIndex=3&amp;refID=7079909&amp;Result=3","7079909")</f>
        <v>0</v>
      </c>
      <c r="B5511" t="s">
        <v>1863</v>
      </c>
      <c r="C5511" t="s">
        <v>8675</v>
      </c>
      <c r="D5511" t="s">
        <v>17451</v>
      </c>
      <c r="E5511" t="s">
        <v>22274</v>
      </c>
      <c r="F5511" t="s">
        <v>30052</v>
      </c>
      <c r="G5511" t="s">
        <v>30060</v>
      </c>
      <c r="H5511" t="s">
        <v>15498</v>
      </c>
      <c r="I5511" t="s">
        <v>30084</v>
      </c>
      <c r="J5511" t="s">
        <v>31196</v>
      </c>
      <c r="K5511" t="s">
        <v>39037</v>
      </c>
      <c r="M5511" t="s">
        <v>41291</v>
      </c>
      <c r="N5511" t="s">
        <v>43166</v>
      </c>
      <c r="O5511" t="s">
        <v>43167</v>
      </c>
      <c r="P5511">
        <v>0</v>
      </c>
      <c r="Q5511">
        <v>2</v>
      </c>
      <c r="R5511" t="s">
        <v>43172</v>
      </c>
      <c r="S5511" t="s">
        <v>43334</v>
      </c>
      <c r="T5511" t="s">
        <v>44685</v>
      </c>
      <c r="U5511" t="s">
        <v>49643</v>
      </c>
      <c r="W5511" t="s">
        <v>41291</v>
      </c>
      <c r="X5511" t="s">
        <v>43173</v>
      </c>
    </row>
    <row r="5512" spans="1:24">
      <c r="A5512">
        <f>HYPERLINK("https://www.philgeps.gov.ph/GEPSNONPILOT/Tender/SplashBidNoticeAbstractUI.aspx?menuIndex=3&amp;refID=7079902&amp;Result=3","7079902")</f>
        <v>0</v>
      </c>
      <c r="B5512" t="s">
        <v>1863</v>
      </c>
      <c r="C5512" t="s">
        <v>8676</v>
      </c>
      <c r="D5512" t="s">
        <v>17451</v>
      </c>
      <c r="E5512" t="s">
        <v>22275</v>
      </c>
      <c r="F5512" t="s">
        <v>30052</v>
      </c>
      <c r="G5512" t="s">
        <v>30060</v>
      </c>
      <c r="H5512" t="s">
        <v>15498</v>
      </c>
      <c r="I5512" t="s">
        <v>30084</v>
      </c>
      <c r="J5512" t="s">
        <v>30528</v>
      </c>
      <c r="K5512" t="s">
        <v>39037</v>
      </c>
      <c r="M5512" t="s">
        <v>41291</v>
      </c>
      <c r="N5512" t="s">
        <v>43166</v>
      </c>
      <c r="O5512" t="s">
        <v>43167</v>
      </c>
      <c r="P5512">
        <v>0</v>
      </c>
      <c r="Q5512">
        <v>3</v>
      </c>
      <c r="R5512" t="s">
        <v>43172</v>
      </c>
      <c r="S5512" t="s">
        <v>43334</v>
      </c>
      <c r="T5512" t="s">
        <v>44685</v>
      </c>
      <c r="U5512" t="s">
        <v>49643</v>
      </c>
      <c r="W5512" t="s">
        <v>41291</v>
      </c>
      <c r="X5512" t="s">
        <v>43173</v>
      </c>
    </row>
    <row r="5513" spans="1:24">
      <c r="A5513">
        <f>HYPERLINK("https://www.philgeps.gov.ph/GEPSNONPILOT/Tender/SplashBidNoticeAbstractUI.aspx?menuIndex=3&amp;refID=7079901&amp;Result=3","7079901")</f>
        <v>0</v>
      </c>
      <c r="B5513" t="s">
        <v>1882</v>
      </c>
      <c r="C5513" t="s">
        <v>8677</v>
      </c>
      <c r="D5513" t="s">
        <v>17474</v>
      </c>
      <c r="E5513" t="s">
        <v>17760</v>
      </c>
      <c r="F5513" t="s">
        <v>30052</v>
      </c>
      <c r="G5513" t="s">
        <v>30058</v>
      </c>
      <c r="H5513" t="s">
        <v>15498</v>
      </c>
      <c r="I5513" t="s">
        <v>3736</v>
      </c>
      <c r="J5513" t="s">
        <v>33684</v>
      </c>
      <c r="K5513" t="s">
        <v>39029</v>
      </c>
      <c r="M5513" t="s">
        <v>41313</v>
      </c>
      <c r="N5513" t="s">
        <v>43166</v>
      </c>
      <c r="O5513" t="s">
        <v>43167</v>
      </c>
      <c r="P5513">
        <v>0</v>
      </c>
      <c r="Q5513">
        <v>0</v>
      </c>
      <c r="R5513" t="s">
        <v>43172</v>
      </c>
      <c r="S5513" t="s">
        <v>43334</v>
      </c>
      <c r="T5513" t="s">
        <v>44699</v>
      </c>
      <c r="U5513" t="s">
        <v>49696</v>
      </c>
      <c r="W5513" t="s">
        <v>41313</v>
      </c>
      <c r="X5513" t="s">
        <v>43173</v>
      </c>
    </row>
    <row r="5514" spans="1:24">
      <c r="A5514">
        <f>HYPERLINK("https://www.philgeps.gov.ph/GEPSNONPILOT/Tender/SplashBidNoticeAbstractUI.aspx?menuIndex=3&amp;refID=7079869&amp;Result=3","7079869")</f>
        <v>0</v>
      </c>
      <c r="B5514" t="s">
        <v>1266</v>
      </c>
      <c r="C5514" t="s">
        <v>8678</v>
      </c>
      <c r="D5514" t="s">
        <v>17466</v>
      </c>
      <c r="E5514" t="s">
        <v>22276</v>
      </c>
      <c r="F5514" t="s">
        <v>30052</v>
      </c>
      <c r="G5514" t="s">
        <v>30059</v>
      </c>
      <c r="H5514" t="s">
        <v>15498</v>
      </c>
      <c r="I5514" t="s">
        <v>30084</v>
      </c>
      <c r="J5514" t="s">
        <v>30900</v>
      </c>
      <c r="K5514" t="s">
        <v>39017</v>
      </c>
      <c r="M5514" t="s">
        <v>40624</v>
      </c>
      <c r="N5514" t="s">
        <v>43166</v>
      </c>
      <c r="O5514" t="s">
        <v>43167</v>
      </c>
      <c r="P5514">
        <v>0</v>
      </c>
      <c r="Q5514">
        <v>4</v>
      </c>
      <c r="R5514" t="s">
        <v>43172</v>
      </c>
      <c r="S5514" t="s">
        <v>43334</v>
      </c>
      <c r="T5514" t="s">
        <v>44720</v>
      </c>
      <c r="U5514" t="s">
        <v>49697</v>
      </c>
      <c r="W5514" t="s">
        <v>40624</v>
      </c>
      <c r="X5514" t="s">
        <v>43173</v>
      </c>
    </row>
    <row r="5515" spans="1:24">
      <c r="A5515">
        <f>HYPERLINK("https://www.philgeps.gov.ph/GEPSNONPILOT/Tender/SplashBidNoticeAbstractUI.aspx?menuIndex=3&amp;refID=7079811&amp;Result=3","7079811")</f>
        <v>0</v>
      </c>
      <c r="B5515" t="s">
        <v>592</v>
      </c>
      <c r="C5515" t="s">
        <v>8679</v>
      </c>
      <c r="D5515" t="s">
        <v>17461</v>
      </c>
      <c r="E5515" t="s">
        <v>8679</v>
      </c>
      <c r="F5515" t="s">
        <v>30052</v>
      </c>
      <c r="G5515" t="s">
        <v>30058</v>
      </c>
      <c r="H5515" t="s">
        <v>15498</v>
      </c>
      <c r="I5515" t="s">
        <v>7228</v>
      </c>
      <c r="J5515" t="s">
        <v>33685</v>
      </c>
      <c r="K5515" t="s">
        <v>39029</v>
      </c>
      <c r="M5515" t="s">
        <v>41301</v>
      </c>
      <c r="N5515" t="s">
        <v>43166</v>
      </c>
      <c r="O5515" t="s">
        <v>43167</v>
      </c>
      <c r="P5515">
        <v>0</v>
      </c>
      <c r="Q5515">
        <v>1</v>
      </c>
      <c r="R5515" t="s">
        <v>43172</v>
      </c>
      <c r="S5515" t="s">
        <v>43334</v>
      </c>
      <c r="T5515" t="s">
        <v>44761</v>
      </c>
      <c r="U5515" t="s">
        <v>49698</v>
      </c>
      <c r="W5515" t="s">
        <v>41301</v>
      </c>
      <c r="X5515" t="s">
        <v>43173</v>
      </c>
    </row>
    <row r="5516" spans="1:24">
      <c r="A5516">
        <f>HYPERLINK("https://www.philgeps.gov.ph/GEPSNONPILOT/Tender/SplashBidNoticeAbstractUI.aspx?menuIndex=3&amp;refID=7079924&amp;Result=3","7079924")</f>
        <v>0</v>
      </c>
      <c r="B5516" t="s">
        <v>1868</v>
      </c>
      <c r="C5516" t="s">
        <v>8680</v>
      </c>
      <c r="D5516" t="s">
        <v>17415</v>
      </c>
      <c r="E5516" t="s">
        <v>22277</v>
      </c>
      <c r="F5516" t="s">
        <v>30052</v>
      </c>
      <c r="G5516" t="s">
        <v>30058</v>
      </c>
      <c r="H5516" t="s">
        <v>15498</v>
      </c>
      <c r="I5516" t="s">
        <v>3852</v>
      </c>
      <c r="J5516" t="s">
        <v>33686</v>
      </c>
      <c r="K5516" t="s">
        <v>39017</v>
      </c>
      <c r="M5516" t="s">
        <v>41297</v>
      </c>
      <c r="N5516" t="s">
        <v>43166</v>
      </c>
      <c r="O5516" t="s">
        <v>43167</v>
      </c>
      <c r="P5516">
        <v>0</v>
      </c>
      <c r="Q5516">
        <v>2</v>
      </c>
      <c r="R5516" t="s">
        <v>43172</v>
      </c>
      <c r="S5516" t="s">
        <v>43334</v>
      </c>
      <c r="T5516" t="s">
        <v>44737</v>
      </c>
      <c r="U5516" t="s">
        <v>49699</v>
      </c>
      <c r="W5516" t="s">
        <v>41297</v>
      </c>
      <c r="X5516" t="s">
        <v>43173</v>
      </c>
    </row>
    <row r="5517" spans="1:24">
      <c r="A5517">
        <f>HYPERLINK("https://www.philgeps.gov.ph/GEPSNONPILOT/Tender/SplashBidNoticeAbstractUI.aspx?menuIndex=3&amp;refID=7079868&amp;Result=3","7079868")</f>
        <v>0</v>
      </c>
      <c r="B5517" t="s">
        <v>1727</v>
      </c>
      <c r="C5517" t="s">
        <v>8681</v>
      </c>
      <c r="D5517" t="s">
        <v>17436</v>
      </c>
      <c r="E5517" t="s">
        <v>22278</v>
      </c>
      <c r="F5517" t="s">
        <v>30052</v>
      </c>
      <c r="G5517" t="s">
        <v>30058</v>
      </c>
      <c r="H5517" t="s">
        <v>15498</v>
      </c>
      <c r="I5517" t="s">
        <v>30070</v>
      </c>
      <c r="J5517" t="s">
        <v>33687</v>
      </c>
      <c r="K5517" t="s">
        <v>39034</v>
      </c>
      <c r="M5517" t="s">
        <v>41144</v>
      </c>
      <c r="N5517" t="s">
        <v>43166</v>
      </c>
      <c r="O5517" t="s">
        <v>43167</v>
      </c>
      <c r="P5517">
        <v>0</v>
      </c>
      <c r="Q5517">
        <v>0</v>
      </c>
      <c r="R5517" t="s">
        <v>43172</v>
      </c>
      <c r="S5517" t="s">
        <v>43334</v>
      </c>
      <c r="T5517" t="s">
        <v>44818</v>
      </c>
      <c r="U5517" t="s">
        <v>49700</v>
      </c>
      <c r="W5517" t="s">
        <v>41144</v>
      </c>
      <c r="X5517" t="s">
        <v>43173</v>
      </c>
    </row>
    <row r="5518" spans="1:24">
      <c r="A5518">
        <f>HYPERLINK("https://www.philgeps.gov.ph/GEPSNONPILOT/Tender/SplashBidNoticeAbstractUI.aspx?menuIndex=3&amp;refID=7079905&amp;Result=3","7079905")</f>
        <v>0</v>
      </c>
      <c r="B5518" t="s">
        <v>1868</v>
      </c>
      <c r="C5518" t="s">
        <v>8682</v>
      </c>
      <c r="D5518" t="s">
        <v>17415</v>
      </c>
      <c r="E5518" t="s">
        <v>22279</v>
      </c>
      <c r="F5518" t="s">
        <v>30052</v>
      </c>
      <c r="G5518" t="s">
        <v>30058</v>
      </c>
      <c r="H5518" t="s">
        <v>15498</v>
      </c>
      <c r="I5518" t="s">
        <v>3852</v>
      </c>
      <c r="J5518" t="s">
        <v>30277</v>
      </c>
      <c r="K5518" t="s">
        <v>39017</v>
      </c>
      <c r="M5518" t="s">
        <v>41297</v>
      </c>
      <c r="N5518" t="s">
        <v>43166</v>
      </c>
      <c r="O5518" t="s">
        <v>43167</v>
      </c>
      <c r="P5518">
        <v>0</v>
      </c>
      <c r="Q5518">
        <v>3</v>
      </c>
      <c r="R5518" t="s">
        <v>43172</v>
      </c>
      <c r="S5518" t="s">
        <v>43334</v>
      </c>
      <c r="T5518" t="s">
        <v>44737</v>
      </c>
      <c r="U5518" t="s">
        <v>49701</v>
      </c>
      <c r="W5518" t="s">
        <v>41297</v>
      </c>
      <c r="X5518" t="s">
        <v>43173</v>
      </c>
    </row>
    <row r="5519" spans="1:24">
      <c r="A5519">
        <f>HYPERLINK("https://www.philgeps.gov.ph/GEPSNONPILOT/Tender/SplashBidNoticeAbstractUI.aspx?menuIndex=3&amp;refID=7079900&amp;Result=3","7079900")</f>
        <v>0</v>
      </c>
      <c r="B5519" t="s">
        <v>1727</v>
      </c>
      <c r="C5519" t="s">
        <v>8683</v>
      </c>
      <c r="D5519" t="s">
        <v>17436</v>
      </c>
      <c r="E5519" t="s">
        <v>22280</v>
      </c>
      <c r="F5519" t="s">
        <v>30052</v>
      </c>
      <c r="G5519" t="s">
        <v>30058</v>
      </c>
      <c r="H5519" t="s">
        <v>15498</v>
      </c>
      <c r="I5519" t="s">
        <v>30109</v>
      </c>
      <c r="J5519" t="s">
        <v>33688</v>
      </c>
      <c r="K5519" t="s">
        <v>39034</v>
      </c>
      <c r="M5519" t="s">
        <v>41144</v>
      </c>
      <c r="N5519" t="s">
        <v>43166</v>
      </c>
      <c r="O5519" t="s">
        <v>43167</v>
      </c>
      <c r="P5519">
        <v>0</v>
      </c>
      <c r="Q5519">
        <v>0</v>
      </c>
      <c r="R5519" t="s">
        <v>43172</v>
      </c>
      <c r="S5519" t="s">
        <v>43334</v>
      </c>
      <c r="T5519" t="s">
        <v>44818</v>
      </c>
      <c r="U5519" t="s">
        <v>49702</v>
      </c>
      <c r="W5519" t="s">
        <v>41144</v>
      </c>
      <c r="X5519" t="s">
        <v>43173</v>
      </c>
    </row>
    <row r="5520" spans="1:24">
      <c r="A5520">
        <f>HYPERLINK("https://www.philgeps.gov.ph/GEPSNONPILOT/Tender/SplashBidNoticeAbstractUI.aspx?menuIndex=3&amp;refID=7079930&amp;Result=3","7079930")</f>
        <v>0</v>
      </c>
      <c r="B5520" t="s">
        <v>1883</v>
      </c>
      <c r="C5520" t="s">
        <v>8684</v>
      </c>
      <c r="D5520" t="s">
        <v>17432</v>
      </c>
      <c r="E5520" t="s">
        <v>22281</v>
      </c>
      <c r="F5520" t="s">
        <v>30055</v>
      </c>
      <c r="G5520" t="s">
        <v>30058</v>
      </c>
      <c r="H5520" t="s">
        <v>15498</v>
      </c>
      <c r="I5520" t="s">
        <v>30188</v>
      </c>
      <c r="J5520" t="s">
        <v>33689</v>
      </c>
      <c r="K5520" t="s">
        <v>39034</v>
      </c>
      <c r="M5520" t="s">
        <v>41314</v>
      </c>
      <c r="N5520" t="s">
        <v>43166</v>
      </c>
      <c r="O5520" t="s">
        <v>43167</v>
      </c>
      <c r="P5520">
        <v>0</v>
      </c>
      <c r="Q5520">
        <v>2</v>
      </c>
      <c r="R5520" t="s">
        <v>43172</v>
      </c>
      <c r="S5520" t="s">
        <v>43334</v>
      </c>
      <c r="T5520" t="s">
        <v>44828</v>
      </c>
      <c r="U5520" t="s">
        <v>49703</v>
      </c>
      <c r="W5520" t="s">
        <v>41314</v>
      </c>
      <c r="X5520" t="s">
        <v>43173</v>
      </c>
    </row>
    <row r="5521" spans="1:24">
      <c r="A5521">
        <f>HYPERLINK("https://www.philgeps.gov.ph/GEPSNONPILOT/Tender/SplashBidNoticeAbstractUI.aspx?menuIndex=3&amp;refID=7079820&amp;Result=3","7079820")</f>
        <v>0</v>
      </c>
      <c r="B5521" t="s">
        <v>1863</v>
      </c>
      <c r="C5521" t="s">
        <v>8685</v>
      </c>
      <c r="D5521" t="s">
        <v>17451</v>
      </c>
      <c r="E5521" t="s">
        <v>22282</v>
      </c>
      <c r="F5521" t="s">
        <v>30052</v>
      </c>
      <c r="G5521" t="s">
        <v>30058</v>
      </c>
      <c r="H5521" t="s">
        <v>15498</v>
      </c>
      <c r="I5521" t="s">
        <v>30084</v>
      </c>
      <c r="J5521" t="s">
        <v>30230</v>
      </c>
      <c r="K5521" t="s">
        <v>39037</v>
      </c>
      <c r="M5521" t="s">
        <v>41291</v>
      </c>
      <c r="N5521" t="s">
        <v>43166</v>
      </c>
      <c r="O5521" t="s">
        <v>43167</v>
      </c>
      <c r="P5521">
        <v>0</v>
      </c>
      <c r="Q5521">
        <v>4</v>
      </c>
      <c r="R5521" t="s">
        <v>43172</v>
      </c>
      <c r="S5521" t="s">
        <v>43334</v>
      </c>
      <c r="T5521" t="s">
        <v>44685</v>
      </c>
      <c r="U5521" t="s">
        <v>49643</v>
      </c>
      <c r="W5521" t="s">
        <v>41291</v>
      </c>
      <c r="X5521" t="s">
        <v>43173</v>
      </c>
    </row>
    <row r="5522" spans="1:24">
      <c r="A5522">
        <f>HYPERLINK("https://www.philgeps.gov.ph/GEPSNONPILOT/Tender/SplashBidNoticeAbstractUI.aspx?menuIndex=3&amp;refID=7079935&amp;Result=3","7079935")</f>
        <v>0</v>
      </c>
      <c r="B5522" t="s">
        <v>1863</v>
      </c>
      <c r="C5522" t="s">
        <v>8686</v>
      </c>
      <c r="D5522" t="s">
        <v>17451</v>
      </c>
      <c r="E5522" t="s">
        <v>22283</v>
      </c>
      <c r="F5522" t="s">
        <v>30052</v>
      </c>
      <c r="G5522" t="s">
        <v>30058</v>
      </c>
      <c r="H5522" t="s">
        <v>15498</v>
      </c>
      <c r="I5522" t="s">
        <v>3852</v>
      </c>
      <c r="J5522" t="s">
        <v>31248</v>
      </c>
      <c r="K5522" t="s">
        <v>39029</v>
      </c>
      <c r="M5522" t="s">
        <v>41291</v>
      </c>
      <c r="N5522" t="s">
        <v>43166</v>
      </c>
      <c r="O5522" t="s">
        <v>43167</v>
      </c>
      <c r="P5522">
        <v>0</v>
      </c>
      <c r="Q5522">
        <v>2</v>
      </c>
      <c r="R5522" t="s">
        <v>43172</v>
      </c>
      <c r="S5522" t="s">
        <v>43334</v>
      </c>
      <c r="T5522" t="s">
        <v>44828</v>
      </c>
      <c r="U5522" t="s">
        <v>49704</v>
      </c>
      <c r="W5522" t="s">
        <v>41291</v>
      </c>
      <c r="X5522" t="s">
        <v>43173</v>
      </c>
    </row>
    <row r="5523" spans="1:24">
      <c r="A5523">
        <f>HYPERLINK("https://www.philgeps.gov.ph/GEPSNONPILOT/Tender/SplashBidNoticeAbstractUI.aspx?menuIndex=3&amp;refID=7079948&amp;Result=3","7079948")</f>
        <v>0</v>
      </c>
      <c r="B5523" t="s">
        <v>1868</v>
      </c>
      <c r="C5523" t="s">
        <v>8687</v>
      </c>
      <c r="D5523" t="s">
        <v>17415</v>
      </c>
      <c r="E5523" t="s">
        <v>22284</v>
      </c>
      <c r="F5523" t="s">
        <v>30052</v>
      </c>
      <c r="G5523" t="s">
        <v>30058</v>
      </c>
      <c r="H5523" t="s">
        <v>15498</v>
      </c>
      <c r="I5523" t="s">
        <v>3852</v>
      </c>
      <c r="J5523" t="s">
        <v>33690</v>
      </c>
      <c r="K5523" t="s">
        <v>39017</v>
      </c>
      <c r="M5523" t="s">
        <v>41297</v>
      </c>
      <c r="N5523" t="s">
        <v>43166</v>
      </c>
      <c r="O5523" t="s">
        <v>43167</v>
      </c>
      <c r="P5523">
        <v>0</v>
      </c>
      <c r="Q5523">
        <v>1</v>
      </c>
      <c r="R5523" t="s">
        <v>43172</v>
      </c>
      <c r="S5523" t="s">
        <v>43334</v>
      </c>
      <c r="T5523" t="s">
        <v>44737</v>
      </c>
      <c r="U5523" t="s">
        <v>49705</v>
      </c>
      <c r="W5523" t="s">
        <v>41297</v>
      </c>
      <c r="X5523" t="s">
        <v>43173</v>
      </c>
    </row>
    <row r="5524" spans="1:24">
      <c r="A5524">
        <f>HYPERLINK("https://www.philgeps.gov.ph/GEPSNONPILOT/Tender/SplashBidNoticeAbstractUI.aspx?menuIndex=3&amp;refID=7079943&amp;Result=3","7079943")</f>
        <v>0</v>
      </c>
      <c r="B5524" t="s">
        <v>1028</v>
      </c>
      <c r="C5524" t="s">
        <v>8688</v>
      </c>
      <c r="D5524" t="s">
        <v>17438</v>
      </c>
      <c r="E5524" t="s">
        <v>22285</v>
      </c>
      <c r="F5524" t="s">
        <v>30052</v>
      </c>
      <c r="G5524" t="s">
        <v>30059</v>
      </c>
      <c r="H5524" t="s">
        <v>15498</v>
      </c>
      <c r="I5524" t="s">
        <v>6691</v>
      </c>
      <c r="J5524" t="s">
        <v>31795</v>
      </c>
      <c r="K5524" t="s">
        <v>39035</v>
      </c>
      <c r="M5524" t="s">
        <v>40357</v>
      </c>
      <c r="N5524" t="s">
        <v>43166</v>
      </c>
      <c r="O5524" t="s">
        <v>43167</v>
      </c>
      <c r="P5524">
        <v>0</v>
      </c>
      <c r="Q5524">
        <v>0</v>
      </c>
      <c r="R5524" t="s">
        <v>43172</v>
      </c>
      <c r="S5524" t="s">
        <v>43334</v>
      </c>
      <c r="T5524" t="s">
        <v>44691</v>
      </c>
      <c r="U5524" t="s">
        <v>47341</v>
      </c>
      <c r="W5524" t="s">
        <v>40357</v>
      </c>
      <c r="X5524" t="s">
        <v>43173</v>
      </c>
    </row>
    <row r="5525" spans="1:24">
      <c r="A5525">
        <f>HYPERLINK("https://www.philgeps.gov.ph/GEPSNONPILOT/Tender/SplashBidNoticeAbstractUI.aspx?menuIndex=3&amp;refID=7079941&amp;Result=3","7079941")</f>
        <v>0</v>
      </c>
      <c r="B5525" t="s">
        <v>1877</v>
      </c>
      <c r="C5525" t="s">
        <v>8689</v>
      </c>
      <c r="E5525" t="s">
        <v>22286</v>
      </c>
      <c r="F5525" t="s">
        <v>30052</v>
      </c>
      <c r="G5525" t="s">
        <v>30058</v>
      </c>
      <c r="H5525" t="s">
        <v>30067</v>
      </c>
      <c r="I5525" t="s">
        <v>3693</v>
      </c>
      <c r="J5525" t="s">
        <v>33691</v>
      </c>
      <c r="K5525" t="s">
        <v>39019</v>
      </c>
      <c r="M5525" t="s">
        <v>41308</v>
      </c>
      <c r="N5525" t="s">
        <v>43166</v>
      </c>
      <c r="O5525" t="s">
        <v>43167</v>
      </c>
      <c r="P5525">
        <v>0</v>
      </c>
      <c r="Q5525">
        <v>3</v>
      </c>
      <c r="R5525" t="s">
        <v>43172</v>
      </c>
      <c r="S5525" t="s">
        <v>43334</v>
      </c>
      <c r="T5525" t="s">
        <v>44737</v>
      </c>
      <c r="U5525" t="s">
        <v>49706</v>
      </c>
      <c r="W5525" t="s">
        <v>41308</v>
      </c>
      <c r="X5525" t="s">
        <v>43173</v>
      </c>
    </row>
    <row r="5526" spans="1:24">
      <c r="A5526">
        <f>HYPERLINK("https://www.philgeps.gov.ph/GEPSNONPILOT/Tender/SplashBidNoticeAbstractUI.aspx?menuIndex=3&amp;refID=7079939&amp;Result=3","7079939")</f>
        <v>0</v>
      </c>
      <c r="B5526" t="s">
        <v>1881</v>
      </c>
      <c r="C5526" t="s">
        <v>8690</v>
      </c>
      <c r="D5526" t="s">
        <v>17468</v>
      </c>
      <c r="E5526" t="s">
        <v>22287</v>
      </c>
      <c r="F5526" t="s">
        <v>30052</v>
      </c>
      <c r="G5526" t="s">
        <v>30058</v>
      </c>
      <c r="H5526" t="s">
        <v>15498</v>
      </c>
      <c r="I5526" t="s">
        <v>3736</v>
      </c>
      <c r="J5526" t="s">
        <v>30252</v>
      </c>
      <c r="K5526" t="s">
        <v>39023</v>
      </c>
      <c r="M5526" t="s">
        <v>41312</v>
      </c>
      <c r="N5526" t="s">
        <v>43166</v>
      </c>
      <c r="O5526" t="s">
        <v>43167</v>
      </c>
      <c r="P5526">
        <v>0</v>
      </c>
      <c r="Q5526">
        <v>1</v>
      </c>
      <c r="R5526" t="s">
        <v>43172</v>
      </c>
      <c r="S5526" t="s">
        <v>43334</v>
      </c>
      <c r="T5526" t="s">
        <v>45000</v>
      </c>
      <c r="U5526" t="s">
        <v>49695</v>
      </c>
      <c r="W5526" t="s">
        <v>41312</v>
      </c>
      <c r="X5526" t="s">
        <v>43173</v>
      </c>
    </row>
    <row r="5527" spans="1:24">
      <c r="A5527">
        <f>HYPERLINK("https://www.philgeps.gov.ph/GEPSNONPILOT/Tender/SplashBidNoticeAbstractUI.aspx?menuIndex=3&amp;refID=7079938&amp;Result=3","7079938")</f>
        <v>0</v>
      </c>
      <c r="B5527" t="s">
        <v>1868</v>
      </c>
      <c r="C5527" t="s">
        <v>8691</v>
      </c>
      <c r="D5527" t="s">
        <v>17415</v>
      </c>
      <c r="E5527" t="s">
        <v>22288</v>
      </c>
      <c r="F5527" t="s">
        <v>30052</v>
      </c>
      <c r="G5527" t="s">
        <v>30058</v>
      </c>
      <c r="H5527" t="s">
        <v>15498</v>
      </c>
      <c r="I5527" t="s">
        <v>3852</v>
      </c>
      <c r="J5527" t="s">
        <v>33692</v>
      </c>
      <c r="K5527" t="s">
        <v>39017</v>
      </c>
      <c r="M5527" t="s">
        <v>41297</v>
      </c>
      <c r="N5527" t="s">
        <v>43166</v>
      </c>
      <c r="O5527" t="s">
        <v>43167</v>
      </c>
      <c r="P5527">
        <v>0</v>
      </c>
      <c r="Q5527">
        <v>1</v>
      </c>
      <c r="R5527" t="s">
        <v>43172</v>
      </c>
      <c r="S5527" t="s">
        <v>43334</v>
      </c>
      <c r="T5527" t="s">
        <v>44737</v>
      </c>
      <c r="U5527" t="s">
        <v>49707</v>
      </c>
      <c r="W5527" t="s">
        <v>41297</v>
      </c>
      <c r="X5527" t="s">
        <v>43173</v>
      </c>
    </row>
    <row r="5528" spans="1:24">
      <c r="A5528">
        <f>HYPERLINK("https://www.philgeps.gov.ph/GEPSNONPILOT/Tender/SplashBidNoticeAbstractUI.aspx?menuIndex=3&amp;refID=7079937&amp;Result=3","7079937")</f>
        <v>0</v>
      </c>
      <c r="B5528" t="s">
        <v>382</v>
      </c>
      <c r="C5528" t="s">
        <v>8692</v>
      </c>
      <c r="D5528" t="s">
        <v>17474</v>
      </c>
      <c r="E5528" t="s">
        <v>22289</v>
      </c>
      <c r="F5528" t="s">
        <v>30052</v>
      </c>
      <c r="G5528" t="s">
        <v>30059</v>
      </c>
      <c r="H5528" t="s">
        <v>15498</v>
      </c>
      <c r="I5528" t="s">
        <v>3852</v>
      </c>
      <c r="J5528" t="s">
        <v>31997</v>
      </c>
      <c r="K5528" t="s">
        <v>39025</v>
      </c>
      <c r="M5528" t="s">
        <v>39680</v>
      </c>
      <c r="N5528" t="s">
        <v>43166</v>
      </c>
      <c r="O5528" t="s">
        <v>43167</v>
      </c>
      <c r="P5528">
        <v>0</v>
      </c>
      <c r="Q5528">
        <v>0</v>
      </c>
      <c r="R5528" t="s">
        <v>43172</v>
      </c>
      <c r="S5528" t="s">
        <v>43334</v>
      </c>
      <c r="T5528" t="s">
        <v>44969</v>
      </c>
      <c r="U5528" t="s">
        <v>49659</v>
      </c>
      <c r="W5528" t="s">
        <v>39680</v>
      </c>
      <c r="X5528" t="s">
        <v>43173</v>
      </c>
    </row>
    <row r="5529" spans="1:24">
      <c r="A5529">
        <f>HYPERLINK("https://www.philgeps.gov.ph/GEPSNONPILOT/Tender/SplashBidNoticeAbstractUI.aspx?menuIndex=3&amp;refID=7079934&amp;Result=3","7079934")</f>
        <v>0</v>
      </c>
      <c r="B5529" t="s">
        <v>1727</v>
      </c>
      <c r="C5529" t="s">
        <v>8693</v>
      </c>
      <c r="D5529" t="s">
        <v>17436</v>
      </c>
      <c r="E5529" t="s">
        <v>22290</v>
      </c>
      <c r="F5529" t="s">
        <v>30052</v>
      </c>
      <c r="G5529" t="s">
        <v>30058</v>
      </c>
      <c r="H5529" t="s">
        <v>15498</v>
      </c>
      <c r="I5529" t="s">
        <v>4650</v>
      </c>
      <c r="J5529" t="s">
        <v>33693</v>
      </c>
      <c r="K5529" t="s">
        <v>39034</v>
      </c>
      <c r="M5529" t="s">
        <v>41144</v>
      </c>
      <c r="N5529" t="s">
        <v>43166</v>
      </c>
      <c r="O5529" t="s">
        <v>43167</v>
      </c>
      <c r="P5529">
        <v>0</v>
      </c>
      <c r="Q5529">
        <v>1</v>
      </c>
      <c r="R5529" t="s">
        <v>43172</v>
      </c>
      <c r="S5529" t="s">
        <v>43334</v>
      </c>
      <c r="T5529" t="s">
        <v>44818</v>
      </c>
      <c r="U5529" t="s">
        <v>49708</v>
      </c>
      <c r="W5529" t="s">
        <v>41144</v>
      </c>
      <c r="X5529" t="s">
        <v>43173</v>
      </c>
    </row>
    <row r="5530" spans="1:24">
      <c r="A5530">
        <f>HYPERLINK("https://www.philgeps.gov.ph/GEPSNONPILOT/Tender/SplashBidNoticeAbstractUI.aspx?menuIndex=3&amp;refID=7079949&amp;Result=3","7079949")</f>
        <v>0</v>
      </c>
      <c r="B5530" t="s">
        <v>382</v>
      </c>
      <c r="C5530" t="s">
        <v>8694</v>
      </c>
      <c r="D5530" t="s">
        <v>17474</v>
      </c>
      <c r="E5530" t="s">
        <v>22291</v>
      </c>
      <c r="F5530" t="s">
        <v>30052</v>
      </c>
      <c r="G5530" t="s">
        <v>30059</v>
      </c>
      <c r="H5530" t="s">
        <v>15498</v>
      </c>
      <c r="I5530" t="s">
        <v>3852</v>
      </c>
      <c r="J5530" t="s">
        <v>30248</v>
      </c>
      <c r="K5530" t="s">
        <v>39025</v>
      </c>
      <c r="M5530" t="s">
        <v>39680</v>
      </c>
      <c r="N5530" t="s">
        <v>43166</v>
      </c>
      <c r="O5530" t="s">
        <v>43167</v>
      </c>
      <c r="P5530">
        <v>0</v>
      </c>
      <c r="Q5530">
        <v>0</v>
      </c>
      <c r="R5530" t="s">
        <v>43172</v>
      </c>
      <c r="S5530" t="s">
        <v>43334</v>
      </c>
      <c r="T5530" t="s">
        <v>44969</v>
      </c>
      <c r="U5530" t="s">
        <v>49659</v>
      </c>
      <c r="W5530" t="s">
        <v>39680</v>
      </c>
      <c r="X5530" t="s">
        <v>43173</v>
      </c>
    </row>
    <row r="5531" spans="1:24">
      <c r="A5531">
        <f>HYPERLINK("https://www.philgeps.gov.ph/GEPSNONPILOT/Tender/SplashBidNoticeAbstractUI.aspx?menuIndex=3&amp;refID=7079960&amp;Result=3","7079960")</f>
        <v>0</v>
      </c>
      <c r="B5531" t="s">
        <v>1873</v>
      </c>
      <c r="C5531" t="s">
        <v>8695</v>
      </c>
      <c r="D5531" t="s">
        <v>17490</v>
      </c>
      <c r="E5531" t="s">
        <v>22292</v>
      </c>
      <c r="F5531" t="s">
        <v>30052</v>
      </c>
      <c r="G5531" t="s">
        <v>30058</v>
      </c>
      <c r="H5531" t="s">
        <v>15498</v>
      </c>
      <c r="I5531" t="s">
        <v>3736</v>
      </c>
      <c r="J5531" t="s">
        <v>31062</v>
      </c>
      <c r="K5531" t="s">
        <v>39029</v>
      </c>
      <c r="M5531" t="s">
        <v>41304</v>
      </c>
      <c r="N5531" t="s">
        <v>43166</v>
      </c>
      <c r="O5531" t="s">
        <v>43167</v>
      </c>
      <c r="P5531">
        <v>0</v>
      </c>
      <c r="Q5531">
        <v>0</v>
      </c>
      <c r="R5531" t="s">
        <v>43172</v>
      </c>
      <c r="S5531" t="s">
        <v>43334</v>
      </c>
      <c r="T5531" t="s">
        <v>44698</v>
      </c>
      <c r="U5531" t="s">
        <v>49709</v>
      </c>
      <c r="W5531" t="s">
        <v>41304</v>
      </c>
      <c r="X5531" t="s">
        <v>43173</v>
      </c>
    </row>
    <row r="5532" spans="1:24">
      <c r="A5532">
        <f>HYPERLINK("https://www.philgeps.gov.ph/GEPSNONPILOT/Tender/SplashBidNoticeAbstractUI.aspx?menuIndex=3&amp;refID=7079958&amp;Result=3","7079958")</f>
        <v>0</v>
      </c>
      <c r="B5532" t="s">
        <v>1884</v>
      </c>
      <c r="C5532" t="s">
        <v>8696</v>
      </c>
      <c r="D5532" t="s">
        <v>17466</v>
      </c>
      <c r="E5532" t="s">
        <v>22293</v>
      </c>
      <c r="F5532" t="s">
        <v>30052</v>
      </c>
      <c r="G5532" t="s">
        <v>30059</v>
      </c>
      <c r="H5532" t="s">
        <v>15498</v>
      </c>
      <c r="I5532" t="s">
        <v>30070</v>
      </c>
      <c r="J5532" t="s">
        <v>32681</v>
      </c>
      <c r="K5532" t="s">
        <v>39025</v>
      </c>
      <c r="M5532" t="s">
        <v>41315</v>
      </c>
      <c r="N5532" t="s">
        <v>43166</v>
      </c>
      <c r="O5532" t="s">
        <v>43167</v>
      </c>
      <c r="P5532">
        <v>0</v>
      </c>
      <c r="Q5532">
        <v>0</v>
      </c>
      <c r="R5532" t="s">
        <v>43172</v>
      </c>
      <c r="S5532" t="s">
        <v>43334</v>
      </c>
      <c r="T5532" t="s">
        <v>44681</v>
      </c>
      <c r="U5532" t="s">
        <v>49710</v>
      </c>
      <c r="W5532" t="s">
        <v>41315</v>
      </c>
      <c r="X5532" t="s">
        <v>43173</v>
      </c>
    </row>
    <row r="5533" spans="1:24">
      <c r="A5533">
        <f>HYPERLINK("https://www.philgeps.gov.ph/GEPSNONPILOT/Tender/SplashBidNoticeAbstractUI.aspx?menuIndex=3&amp;refID=7079956&amp;Result=3","7079956")</f>
        <v>0</v>
      </c>
      <c r="B5533" t="s">
        <v>1727</v>
      </c>
      <c r="C5533" t="s">
        <v>8697</v>
      </c>
      <c r="D5533" t="s">
        <v>17436</v>
      </c>
      <c r="E5533" t="s">
        <v>22294</v>
      </c>
      <c r="F5533" t="s">
        <v>30052</v>
      </c>
      <c r="G5533" t="s">
        <v>30058</v>
      </c>
      <c r="H5533" t="s">
        <v>15498</v>
      </c>
      <c r="I5533" t="s">
        <v>4650</v>
      </c>
      <c r="J5533" t="s">
        <v>30472</v>
      </c>
      <c r="K5533" t="s">
        <v>39034</v>
      </c>
      <c r="M5533" t="s">
        <v>41144</v>
      </c>
      <c r="N5533" t="s">
        <v>43166</v>
      </c>
      <c r="O5533" t="s">
        <v>43167</v>
      </c>
      <c r="P5533">
        <v>0</v>
      </c>
      <c r="Q5533">
        <v>1</v>
      </c>
      <c r="R5533" t="s">
        <v>43172</v>
      </c>
      <c r="S5533" t="s">
        <v>43334</v>
      </c>
      <c r="T5533" t="s">
        <v>44818</v>
      </c>
      <c r="U5533" t="s">
        <v>49711</v>
      </c>
      <c r="W5533" t="s">
        <v>41144</v>
      </c>
      <c r="X5533" t="s">
        <v>43173</v>
      </c>
    </row>
    <row r="5534" spans="1:24">
      <c r="A5534">
        <f>HYPERLINK("https://www.philgeps.gov.ph/GEPSNONPILOT/Tender/SplashBidNoticeAbstractUI.aspx?menuIndex=3&amp;refID=7079954&amp;Result=3","7079954")</f>
        <v>0</v>
      </c>
      <c r="B5534" t="s">
        <v>1863</v>
      </c>
      <c r="C5534" t="s">
        <v>8698</v>
      </c>
      <c r="D5534" t="s">
        <v>17451</v>
      </c>
      <c r="E5534" t="s">
        <v>22295</v>
      </c>
      <c r="F5534" t="s">
        <v>30052</v>
      </c>
      <c r="G5534" t="s">
        <v>30058</v>
      </c>
      <c r="H5534" t="s">
        <v>15498</v>
      </c>
      <c r="I5534" t="s">
        <v>30153</v>
      </c>
      <c r="J5534" t="s">
        <v>33694</v>
      </c>
      <c r="K5534" t="s">
        <v>39029</v>
      </c>
      <c r="M5534" t="s">
        <v>41291</v>
      </c>
      <c r="N5534" t="s">
        <v>43166</v>
      </c>
      <c r="O5534" t="s">
        <v>43167</v>
      </c>
      <c r="P5534">
        <v>0</v>
      </c>
      <c r="Q5534">
        <v>0</v>
      </c>
      <c r="R5534" t="s">
        <v>43172</v>
      </c>
      <c r="S5534" t="s">
        <v>43334</v>
      </c>
      <c r="T5534" t="s">
        <v>44828</v>
      </c>
      <c r="U5534" t="s">
        <v>49712</v>
      </c>
      <c r="W5534" t="s">
        <v>41291</v>
      </c>
      <c r="X5534" t="s">
        <v>43173</v>
      </c>
    </row>
    <row r="5535" spans="1:24">
      <c r="A5535">
        <f>HYPERLINK("https://www.philgeps.gov.ph/GEPSNONPILOT/Tender/SplashBidNoticeAbstractUI.aspx?menuIndex=3&amp;refID=7079933&amp;Result=3","7079933")</f>
        <v>0</v>
      </c>
      <c r="B5535" t="s">
        <v>1885</v>
      </c>
      <c r="C5535" t="s">
        <v>8699</v>
      </c>
      <c r="D5535" t="s">
        <v>17424</v>
      </c>
      <c r="E5535" t="s">
        <v>17760</v>
      </c>
      <c r="F5535" t="s">
        <v>30052</v>
      </c>
      <c r="G5535" t="s">
        <v>30058</v>
      </c>
      <c r="H5535" t="s">
        <v>15498</v>
      </c>
      <c r="I5535" t="s">
        <v>3736</v>
      </c>
      <c r="J5535" t="s">
        <v>33695</v>
      </c>
      <c r="K5535" t="s">
        <v>39019</v>
      </c>
      <c r="M5535" t="s">
        <v>41316</v>
      </c>
      <c r="N5535" t="s">
        <v>43166</v>
      </c>
      <c r="O5535" t="s">
        <v>43167</v>
      </c>
      <c r="P5535">
        <v>0</v>
      </c>
      <c r="Q5535">
        <v>0</v>
      </c>
      <c r="R5535" t="s">
        <v>43172</v>
      </c>
      <c r="S5535" t="s">
        <v>43334</v>
      </c>
      <c r="T5535" t="s">
        <v>44737</v>
      </c>
      <c r="U5535" t="s">
        <v>49713</v>
      </c>
      <c r="W5535" t="s">
        <v>41316</v>
      </c>
      <c r="X5535" t="s">
        <v>43173</v>
      </c>
    </row>
    <row r="5536" spans="1:24">
      <c r="A5536">
        <f>HYPERLINK("https://www.philgeps.gov.ph/GEPSNONPILOT/Tender/SplashBidNoticeAbstractUI.aspx?menuIndex=3&amp;refID=7079962&amp;Result=3","7079962")</f>
        <v>0</v>
      </c>
      <c r="B5536" t="s">
        <v>1028</v>
      </c>
      <c r="C5536" t="s">
        <v>8700</v>
      </c>
      <c r="D5536" t="s">
        <v>17438</v>
      </c>
      <c r="E5536" t="s">
        <v>22296</v>
      </c>
      <c r="F5536" t="s">
        <v>30052</v>
      </c>
      <c r="G5536" t="s">
        <v>30059</v>
      </c>
      <c r="H5536" t="s">
        <v>15498</v>
      </c>
      <c r="I5536" t="s">
        <v>6691</v>
      </c>
      <c r="J5536" t="s">
        <v>31242</v>
      </c>
      <c r="K5536" t="s">
        <v>39035</v>
      </c>
      <c r="M5536" t="s">
        <v>40357</v>
      </c>
      <c r="N5536" t="s">
        <v>43166</v>
      </c>
      <c r="O5536" t="s">
        <v>43167</v>
      </c>
      <c r="P5536">
        <v>0</v>
      </c>
      <c r="Q5536">
        <v>0</v>
      </c>
      <c r="R5536" t="s">
        <v>43172</v>
      </c>
      <c r="S5536" t="s">
        <v>43334</v>
      </c>
      <c r="T5536" t="s">
        <v>44691</v>
      </c>
      <c r="U5536" t="s">
        <v>47341</v>
      </c>
      <c r="W5536" t="s">
        <v>40357</v>
      </c>
      <c r="X5536" t="s">
        <v>43173</v>
      </c>
    </row>
    <row r="5537" spans="1:24">
      <c r="A5537">
        <f>HYPERLINK("https://www.philgeps.gov.ph/GEPSNONPILOT/Tender/SplashBidNoticeAbstractUI.aspx?menuIndex=3&amp;refID=7079976&amp;Result=3","7079976")</f>
        <v>0</v>
      </c>
      <c r="B5537" t="s">
        <v>1886</v>
      </c>
      <c r="C5537" t="s">
        <v>8701</v>
      </c>
      <c r="D5537" t="s">
        <v>17455</v>
      </c>
      <c r="E5537" t="s">
        <v>22297</v>
      </c>
      <c r="F5537" t="s">
        <v>30052</v>
      </c>
      <c r="G5537" t="s">
        <v>30059</v>
      </c>
      <c r="H5537" t="s">
        <v>15498</v>
      </c>
      <c r="I5537" t="s">
        <v>30120</v>
      </c>
      <c r="J5537" t="s">
        <v>30248</v>
      </c>
      <c r="K5537" t="s">
        <v>39017</v>
      </c>
      <c r="M5537" t="s">
        <v>41317</v>
      </c>
      <c r="N5537" t="s">
        <v>43166</v>
      </c>
      <c r="O5537" t="s">
        <v>43167</v>
      </c>
      <c r="P5537">
        <v>0</v>
      </c>
      <c r="Q5537">
        <v>4</v>
      </c>
      <c r="R5537" t="s">
        <v>43172</v>
      </c>
      <c r="S5537" t="s">
        <v>43334</v>
      </c>
      <c r="T5537" t="s">
        <v>44698</v>
      </c>
      <c r="U5537" t="s">
        <v>49714</v>
      </c>
      <c r="W5537" t="s">
        <v>41317</v>
      </c>
      <c r="X5537" t="s">
        <v>43173</v>
      </c>
    </row>
    <row r="5538" spans="1:24">
      <c r="A5538">
        <f>HYPERLINK("https://www.philgeps.gov.ph/GEPSNONPILOT/Tender/SplashBidNoticeAbstractUI.aspx?menuIndex=3&amp;refID=7079957&amp;Result=3","7079957")</f>
        <v>0</v>
      </c>
      <c r="B5538" t="s">
        <v>1887</v>
      </c>
      <c r="C5538" t="s">
        <v>8702</v>
      </c>
      <c r="D5538" t="s">
        <v>17427</v>
      </c>
      <c r="E5538" t="s">
        <v>22298</v>
      </c>
      <c r="F5538" t="s">
        <v>30052</v>
      </c>
      <c r="G5538" t="s">
        <v>30058</v>
      </c>
      <c r="H5538" t="s">
        <v>30067</v>
      </c>
      <c r="I5538" t="s">
        <v>3693</v>
      </c>
      <c r="J5538" t="s">
        <v>32291</v>
      </c>
      <c r="K5538" t="s">
        <v>39016</v>
      </c>
      <c r="M5538" t="s">
        <v>41318</v>
      </c>
      <c r="N5538" t="s">
        <v>43166</v>
      </c>
      <c r="O5538" t="s">
        <v>43167</v>
      </c>
      <c r="P5538">
        <v>0</v>
      </c>
      <c r="Q5538">
        <v>1</v>
      </c>
      <c r="R5538" t="s">
        <v>43172</v>
      </c>
      <c r="S5538" t="s">
        <v>43334</v>
      </c>
      <c r="T5538" t="s">
        <v>44796</v>
      </c>
      <c r="U5538" t="s">
        <v>49715</v>
      </c>
      <c r="W5538" t="s">
        <v>41318</v>
      </c>
      <c r="X5538" t="s">
        <v>43173</v>
      </c>
    </row>
    <row r="5539" spans="1:24">
      <c r="A5539">
        <f>HYPERLINK("https://www.philgeps.gov.ph/GEPSNONPILOT/Tender/SplashBidNoticeAbstractUI.aspx?menuIndex=3&amp;refID=7079973&amp;Result=3","7079973")</f>
        <v>0</v>
      </c>
      <c r="B5539" t="s">
        <v>50</v>
      </c>
      <c r="C5539" t="s">
        <v>8703</v>
      </c>
      <c r="D5539" t="s">
        <v>17433</v>
      </c>
      <c r="E5539" t="s">
        <v>22299</v>
      </c>
      <c r="F5539" t="s">
        <v>30052</v>
      </c>
      <c r="G5539" t="s">
        <v>30059</v>
      </c>
      <c r="H5539" t="s">
        <v>15498</v>
      </c>
      <c r="I5539" t="s">
        <v>7228</v>
      </c>
      <c r="J5539" t="s">
        <v>33696</v>
      </c>
      <c r="K5539" t="s">
        <v>39017</v>
      </c>
      <c r="M5539" t="s">
        <v>39340</v>
      </c>
      <c r="N5539" t="s">
        <v>43166</v>
      </c>
      <c r="O5539" t="s">
        <v>43167</v>
      </c>
      <c r="P5539">
        <v>0</v>
      </c>
      <c r="Q5539">
        <v>0</v>
      </c>
      <c r="R5539" t="s">
        <v>43172</v>
      </c>
      <c r="S5539" t="s">
        <v>43334</v>
      </c>
      <c r="T5539" t="s">
        <v>44735</v>
      </c>
      <c r="U5539" t="s">
        <v>49716</v>
      </c>
      <c r="W5539" t="s">
        <v>39340</v>
      </c>
      <c r="X5539" t="s">
        <v>43173</v>
      </c>
    </row>
    <row r="5540" spans="1:24">
      <c r="A5540">
        <f>HYPERLINK("https://www.philgeps.gov.ph/GEPSNONPILOT/Tender/SplashBidNoticeAbstractUI.aspx?menuIndex=3&amp;refID=7079972&amp;Result=3","7079972")</f>
        <v>0</v>
      </c>
      <c r="B5540" t="s">
        <v>765</v>
      </c>
      <c r="C5540" t="s">
        <v>8704</v>
      </c>
      <c r="D5540" t="s">
        <v>17468</v>
      </c>
      <c r="E5540" t="s">
        <v>22300</v>
      </c>
      <c r="F5540" t="s">
        <v>30052</v>
      </c>
      <c r="G5540" t="s">
        <v>30059</v>
      </c>
      <c r="H5540" t="s">
        <v>15498</v>
      </c>
      <c r="I5540" t="s">
        <v>7228</v>
      </c>
      <c r="J5540" t="s">
        <v>33697</v>
      </c>
      <c r="K5540" t="s">
        <v>39048</v>
      </c>
      <c r="M5540" t="s">
        <v>40079</v>
      </c>
      <c r="N5540" t="s">
        <v>43166</v>
      </c>
      <c r="O5540" t="s">
        <v>43167</v>
      </c>
      <c r="P5540">
        <v>0</v>
      </c>
      <c r="Q5540">
        <v>0</v>
      </c>
      <c r="R5540" t="s">
        <v>43172</v>
      </c>
      <c r="S5540" t="s">
        <v>43334</v>
      </c>
      <c r="T5540" t="s">
        <v>44696</v>
      </c>
      <c r="U5540" t="s">
        <v>49717</v>
      </c>
      <c r="W5540" t="s">
        <v>40079</v>
      </c>
      <c r="X5540" t="s">
        <v>43173</v>
      </c>
    </row>
    <row r="5541" spans="1:24">
      <c r="A5541">
        <f>HYPERLINK("https://www.philgeps.gov.ph/GEPSNONPILOT/Tender/SplashBidNoticeAbstractUI.aspx?menuIndex=3&amp;refID=7079955&amp;Result=3","7079955")</f>
        <v>0</v>
      </c>
      <c r="B5541" t="s">
        <v>1888</v>
      </c>
      <c r="C5541" t="s">
        <v>8705</v>
      </c>
      <c r="D5541" t="s">
        <v>17449</v>
      </c>
      <c r="E5541" t="s">
        <v>22301</v>
      </c>
      <c r="F5541" t="s">
        <v>30054</v>
      </c>
      <c r="G5541" t="s">
        <v>30058</v>
      </c>
      <c r="H5541" t="s">
        <v>30067</v>
      </c>
      <c r="I5541" t="s">
        <v>30068</v>
      </c>
      <c r="J5541" t="s">
        <v>33698</v>
      </c>
      <c r="K5541" t="s">
        <v>39029</v>
      </c>
      <c r="M5541" t="s">
        <v>41319</v>
      </c>
      <c r="N5541" t="s">
        <v>43166</v>
      </c>
      <c r="O5541" t="s">
        <v>43167</v>
      </c>
      <c r="P5541">
        <v>0</v>
      </c>
      <c r="Q5541">
        <v>1</v>
      </c>
      <c r="R5541" t="s">
        <v>43172</v>
      </c>
      <c r="S5541" t="s">
        <v>43334</v>
      </c>
      <c r="T5541" t="s">
        <v>44905</v>
      </c>
      <c r="U5541" t="s">
        <v>49718</v>
      </c>
      <c r="W5541" t="s">
        <v>41319</v>
      </c>
      <c r="X5541" t="s">
        <v>43173</v>
      </c>
    </row>
    <row r="5542" spans="1:24">
      <c r="A5542">
        <f>HYPERLINK("https://www.philgeps.gov.ph/GEPSNONPILOT/Tender/SplashBidNoticeAbstractUI.aspx?menuIndex=3&amp;refID=7079970&amp;Result=3","7079970")</f>
        <v>0</v>
      </c>
      <c r="B5542" t="s">
        <v>1887</v>
      </c>
      <c r="C5542" t="s">
        <v>8706</v>
      </c>
      <c r="D5542" t="s">
        <v>17427</v>
      </c>
      <c r="E5542" t="s">
        <v>22302</v>
      </c>
      <c r="F5542" t="s">
        <v>30052</v>
      </c>
      <c r="G5542" t="s">
        <v>30058</v>
      </c>
      <c r="H5542" t="s">
        <v>30067</v>
      </c>
      <c r="I5542" t="s">
        <v>3693</v>
      </c>
      <c r="J5542" t="s">
        <v>32291</v>
      </c>
      <c r="K5542" t="s">
        <v>39057</v>
      </c>
      <c r="M5542" t="s">
        <v>41318</v>
      </c>
      <c r="N5542" t="s">
        <v>43166</v>
      </c>
      <c r="O5542" t="s">
        <v>43167</v>
      </c>
      <c r="P5542">
        <v>0</v>
      </c>
      <c r="Q5542">
        <v>2</v>
      </c>
      <c r="R5542" t="s">
        <v>43172</v>
      </c>
      <c r="S5542" t="s">
        <v>43334</v>
      </c>
      <c r="T5542" t="s">
        <v>44796</v>
      </c>
      <c r="U5542" t="s">
        <v>49719</v>
      </c>
      <c r="W5542" t="s">
        <v>41318</v>
      </c>
      <c r="X5542" t="s">
        <v>43173</v>
      </c>
    </row>
    <row r="5543" spans="1:24">
      <c r="A5543">
        <f>HYPERLINK("https://www.philgeps.gov.ph/GEPSNONPILOT/Tender/SplashBidNoticeAbstractUI.aspx?menuIndex=3&amp;refID=7079952&amp;Result=3","7079952")</f>
        <v>0</v>
      </c>
      <c r="B5543" t="s">
        <v>107</v>
      </c>
      <c r="C5543" t="s">
        <v>8707</v>
      </c>
      <c r="D5543" t="s">
        <v>17448</v>
      </c>
      <c r="E5543" t="s">
        <v>22303</v>
      </c>
      <c r="F5543" t="s">
        <v>30052</v>
      </c>
      <c r="G5543" t="s">
        <v>30059</v>
      </c>
      <c r="H5543" t="s">
        <v>15498</v>
      </c>
      <c r="I5543" t="s">
        <v>30098</v>
      </c>
      <c r="J5543" t="s">
        <v>30398</v>
      </c>
      <c r="K5543" t="s">
        <v>39025</v>
      </c>
      <c r="M5543" t="s">
        <v>39396</v>
      </c>
      <c r="N5543" t="s">
        <v>43166</v>
      </c>
      <c r="O5543" t="s">
        <v>43167</v>
      </c>
      <c r="P5543">
        <v>0</v>
      </c>
      <c r="Q5543">
        <v>1</v>
      </c>
      <c r="R5543" t="s">
        <v>43172</v>
      </c>
      <c r="S5543" t="s">
        <v>43334</v>
      </c>
      <c r="T5543" t="s">
        <v>44862</v>
      </c>
      <c r="U5543" t="s">
        <v>49720</v>
      </c>
      <c r="W5543" t="s">
        <v>39396</v>
      </c>
      <c r="X5543" t="s">
        <v>43173</v>
      </c>
    </row>
    <row r="5544" spans="1:24">
      <c r="A5544">
        <f>HYPERLINK("https://www.philgeps.gov.ph/GEPSNONPILOT/Tender/SplashBidNoticeAbstractUI.aspx?menuIndex=3&amp;refID=7079974&amp;Result=3","7079974")</f>
        <v>0</v>
      </c>
      <c r="B5544" t="s">
        <v>1727</v>
      </c>
      <c r="C5544" t="s">
        <v>8708</v>
      </c>
      <c r="D5544" t="s">
        <v>17436</v>
      </c>
      <c r="E5544" t="s">
        <v>22304</v>
      </c>
      <c r="F5544" t="s">
        <v>30052</v>
      </c>
      <c r="G5544" t="s">
        <v>30058</v>
      </c>
      <c r="H5544" t="s">
        <v>15498</v>
      </c>
      <c r="I5544" t="s">
        <v>4650</v>
      </c>
      <c r="J5544" t="s">
        <v>30644</v>
      </c>
      <c r="K5544" t="s">
        <v>39034</v>
      </c>
      <c r="M5544" t="s">
        <v>41144</v>
      </c>
      <c r="N5544" t="s">
        <v>43166</v>
      </c>
      <c r="O5544" t="s">
        <v>43167</v>
      </c>
      <c r="P5544">
        <v>0</v>
      </c>
      <c r="Q5544">
        <v>1</v>
      </c>
      <c r="R5544" t="s">
        <v>43172</v>
      </c>
      <c r="S5544" t="s">
        <v>43334</v>
      </c>
      <c r="T5544" t="s">
        <v>44818</v>
      </c>
      <c r="U5544" t="s">
        <v>49721</v>
      </c>
      <c r="W5544" t="s">
        <v>41144</v>
      </c>
      <c r="X5544" t="s">
        <v>43173</v>
      </c>
    </row>
    <row r="5545" spans="1:24">
      <c r="A5545">
        <f>HYPERLINK("https://www.philgeps.gov.ph/GEPSNONPILOT/Tender/SplashBidNoticeAbstractUI.aspx?menuIndex=3&amp;refID=7079990&amp;Result=3","7079990")</f>
        <v>0</v>
      </c>
      <c r="B5545" t="s">
        <v>1889</v>
      </c>
      <c r="C5545" t="s">
        <v>8709</v>
      </c>
      <c r="D5545" t="s">
        <v>17465</v>
      </c>
      <c r="E5545" t="s">
        <v>22305</v>
      </c>
      <c r="F5545" t="s">
        <v>30052</v>
      </c>
      <c r="G5545" t="s">
        <v>30061</v>
      </c>
      <c r="H5545" t="s">
        <v>15498</v>
      </c>
      <c r="I5545" t="s">
        <v>30070</v>
      </c>
      <c r="J5545" t="s">
        <v>33699</v>
      </c>
      <c r="K5545" t="s">
        <v>39025</v>
      </c>
      <c r="M5545" t="s">
        <v>41320</v>
      </c>
      <c r="N5545" t="s">
        <v>43166</v>
      </c>
      <c r="O5545" t="s">
        <v>43167</v>
      </c>
      <c r="P5545">
        <v>0</v>
      </c>
      <c r="Q5545">
        <v>2</v>
      </c>
      <c r="R5545" t="s">
        <v>43172</v>
      </c>
      <c r="S5545" t="s">
        <v>43334</v>
      </c>
      <c r="T5545" t="s">
        <v>44715</v>
      </c>
      <c r="U5545" t="s">
        <v>49722</v>
      </c>
      <c r="W5545" t="s">
        <v>41320</v>
      </c>
      <c r="X5545" t="s">
        <v>43173</v>
      </c>
    </row>
    <row r="5546" spans="1:24">
      <c r="A5546">
        <f>HYPERLINK("https://www.philgeps.gov.ph/GEPSNONPILOT/Tender/SplashBidNoticeAbstractUI.aspx?menuIndex=3&amp;refID=7079989&amp;Result=3","7079989")</f>
        <v>0</v>
      </c>
      <c r="B5546" t="s">
        <v>1890</v>
      </c>
      <c r="C5546" t="s">
        <v>8710</v>
      </c>
      <c r="D5546" t="s">
        <v>17422</v>
      </c>
      <c r="E5546" t="s">
        <v>18907</v>
      </c>
      <c r="F5546" t="s">
        <v>30052</v>
      </c>
      <c r="G5546" t="s">
        <v>30058</v>
      </c>
      <c r="H5546" t="s">
        <v>15498</v>
      </c>
      <c r="I5546" t="s">
        <v>3736</v>
      </c>
      <c r="J5546" t="s">
        <v>33700</v>
      </c>
      <c r="K5546" t="s">
        <v>39034</v>
      </c>
      <c r="M5546" t="s">
        <v>41321</v>
      </c>
      <c r="N5546" t="s">
        <v>43166</v>
      </c>
      <c r="O5546" t="s">
        <v>43167</v>
      </c>
      <c r="P5546">
        <v>0</v>
      </c>
      <c r="Q5546">
        <v>0</v>
      </c>
      <c r="R5546" t="s">
        <v>43172</v>
      </c>
      <c r="S5546" t="s">
        <v>43334</v>
      </c>
      <c r="T5546" t="s">
        <v>44719</v>
      </c>
      <c r="U5546" t="s">
        <v>49723</v>
      </c>
      <c r="V5546" t="s">
        <v>57430</v>
      </c>
      <c r="W5546" t="s">
        <v>41321</v>
      </c>
      <c r="X5546" t="s">
        <v>43173</v>
      </c>
    </row>
    <row r="5547" spans="1:24">
      <c r="A5547">
        <f>HYPERLINK("https://www.philgeps.gov.ph/GEPSNONPILOT/Tender/SplashBidNoticeAbstractUI.aspx?menuIndex=3&amp;refID=7079987&amp;Result=3","7079987")</f>
        <v>0</v>
      </c>
      <c r="B5547" t="s">
        <v>1891</v>
      </c>
      <c r="C5547" t="s">
        <v>8711</v>
      </c>
      <c r="D5547" t="s">
        <v>17418</v>
      </c>
      <c r="E5547" t="s">
        <v>20231</v>
      </c>
      <c r="F5547" t="s">
        <v>30052</v>
      </c>
      <c r="G5547" t="s">
        <v>30058</v>
      </c>
      <c r="H5547" t="s">
        <v>30067</v>
      </c>
      <c r="I5547" t="s">
        <v>3693</v>
      </c>
      <c r="J5547" t="s">
        <v>30559</v>
      </c>
      <c r="K5547" t="s">
        <v>39017</v>
      </c>
      <c r="M5547" t="s">
        <v>41322</v>
      </c>
      <c r="N5547" t="s">
        <v>43166</v>
      </c>
      <c r="O5547" t="s">
        <v>43167</v>
      </c>
      <c r="P5547">
        <v>0</v>
      </c>
      <c r="Q5547">
        <v>0</v>
      </c>
      <c r="R5547" t="s">
        <v>43172</v>
      </c>
      <c r="S5547" t="s">
        <v>43334</v>
      </c>
      <c r="T5547" t="s">
        <v>44991</v>
      </c>
      <c r="U5547" t="s">
        <v>49724</v>
      </c>
      <c r="V5547" t="s">
        <v>57431</v>
      </c>
      <c r="W5547" t="s">
        <v>41322</v>
      </c>
      <c r="X5547" t="s">
        <v>43173</v>
      </c>
    </row>
    <row r="5548" spans="1:24">
      <c r="A5548">
        <f>HYPERLINK("https://www.philgeps.gov.ph/GEPSNONPILOT/Tender/SplashBidNoticeAbstractUI.aspx?menuIndex=3&amp;refID=7079950&amp;Result=3","7079950")</f>
        <v>0</v>
      </c>
      <c r="B5548" t="s">
        <v>1882</v>
      </c>
      <c r="C5548" t="s">
        <v>8677</v>
      </c>
      <c r="D5548" t="s">
        <v>17474</v>
      </c>
      <c r="E5548" t="s">
        <v>17706</v>
      </c>
      <c r="F5548" t="s">
        <v>30052</v>
      </c>
      <c r="G5548" t="s">
        <v>30058</v>
      </c>
      <c r="H5548" t="s">
        <v>15498</v>
      </c>
      <c r="I5548" t="s">
        <v>3736</v>
      </c>
      <c r="J5548" t="s">
        <v>32511</v>
      </c>
      <c r="K5548" t="s">
        <v>39029</v>
      </c>
      <c r="M5548" t="s">
        <v>41313</v>
      </c>
      <c r="N5548" t="s">
        <v>43166</v>
      </c>
      <c r="O5548" t="s">
        <v>43167</v>
      </c>
      <c r="P5548">
        <v>0</v>
      </c>
      <c r="Q5548">
        <v>0</v>
      </c>
      <c r="R5548" t="s">
        <v>43172</v>
      </c>
      <c r="S5548" t="s">
        <v>43334</v>
      </c>
      <c r="T5548" t="s">
        <v>44699</v>
      </c>
      <c r="U5548" t="s">
        <v>49725</v>
      </c>
      <c r="W5548" t="s">
        <v>41313</v>
      </c>
      <c r="X5548" t="s">
        <v>43173</v>
      </c>
    </row>
    <row r="5549" spans="1:24">
      <c r="A5549">
        <f>HYPERLINK("https://www.philgeps.gov.ph/GEPSNONPILOT/Tender/SplashBidNoticeAbstractUI.aspx?menuIndex=3&amp;refID=7079985&amp;Result=3","7079985")</f>
        <v>0</v>
      </c>
      <c r="B5549" t="s">
        <v>1015</v>
      </c>
      <c r="C5549" t="s">
        <v>8712</v>
      </c>
      <c r="D5549" t="s">
        <v>17415</v>
      </c>
      <c r="E5549" t="s">
        <v>22306</v>
      </c>
      <c r="F5549" t="s">
        <v>30052</v>
      </c>
      <c r="G5549" t="s">
        <v>30062</v>
      </c>
      <c r="H5549" t="s">
        <v>15498</v>
      </c>
      <c r="I5549" t="s">
        <v>30076</v>
      </c>
      <c r="J5549" t="s">
        <v>33701</v>
      </c>
      <c r="K5549" t="s">
        <v>39017</v>
      </c>
      <c r="M5549" t="s">
        <v>40344</v>
      </c>
      <c r="N5549" t="s">
        <v>43166</v>
      </c>
      <c r="O5549" t="s">
        <v>43167</v>
      </c>
      <c r="P5549">
        <v>0</v>
      </c>
      <c r="Q5549">
        <v>23</v>
      </c>
      <c r="R5549" t="s">
        <v>43172</v>
      </c>
      <c r="S5549" t="s">
        <v>43334</v>
      </c>
      <c r="T5549" t="s">
        <v>44832</v>
      </c>
      <c r="U5549" t="s">
        <v>49726</v>
      </c>
      <c r="V5549" t="s">
        <v>57123</v>
      </c>
      <c r="W5549" t="s">
        <v>40344</v>
      </c>
      <c r="X5549" t="s">
        <v>43173</v>
      </c>
    </row>
    <row r="5550" spans="1:24">
      <c r="A5550">
        <f>HYPERLINK("https://www.philgeps.gov.ph/GEPSNONPILOT/Tender/SplashBidNoticeAbstractUI.aspx?menuIndex=3&amp;refID=7079984&amp;Result=3","7079984")</f>
        <v>0</v>
      </c>
      <c r="B5550" t="s">
        <v>1727</v>
      </c>
      <c r="C5550" t="s">
        <v>8713</v>
      </c>
      <c r="D5550" t="s">
        <v>17436</v>
      </c>
      <c r="E5550" t="s">
        <v>22307</v>
      </c>
      <c r="F5550" t="s">
        <v>30052</v>
      </c>
      <c r="G5550" t="s">
        <v>30058</v>
      </c>
      <c r="H5550" t="s">
        <v>15498</v>
      </c>
      <c r="I5550" t="s">
        <v>4650</v>
      </c>
      <c r="J5550" t="s">
        <v>30472</v>
      </c>
      <c r="K5550" t="s">
        <v>39034</v>
      </c>
      <c r="M5550" t="s">
        <v>41144</v>
      </c>
      <c r="N5550" t="s">
        <v>43166</v>
      </c>
      <c r="O5550" t="s">
        <v>43167</v>
      </c>
      <c r="P5550">
        <v>0</v>
      </c>
      <c r="Q5550">
        <v>1</v>
      </c>
      <c r="R5550" t="s">
        <v>43172</v>
      </c>
      <c r="S5550" t="s">
        <v>43334</v>
      </c>
      <c r="T5550" t="s">
        <v>44818</v>
      </c>
      <c r="U5550" t="s">
        <v>49727</v>
      </c>
      <c r="W5550" t="s">
        <v>41144</v>
      </c>
      <c r="X5550" t="s">
        <v>43173</v>
      </c>
    </row>
    <row r="5551" spans="1:24">
      <c r="A5551">
        <f>HYPERLINK("https://www.philgeps.gov.ph/GEPSNONPILOT/Tender/SplashBidNoticeAbstractUI.aspx?menuIndex=3&amp;refID=7079979&amp;Result=3","7079979")</f>
        <v>0</v>
      </c>
      <c r="B5551" t="s">
        <v>1028</v>
      </c>
      <c r="C5551" t="s">
        <v>8714</v>
      </c>
      <c r="D5551" t="s">
        <v>17438</v>
      </c>
      <c r="E5551" t="s">
        <v>22308</v>
      </c>
      <c r="F5551" t="s">
        <v>30052</v>
      </c>
      <c r="G5551" t="s">
        <v>30059</v>
      </c>
      <c r="H5551" t="s">
        <v>15498</v>
      </c>
      <c r="I5551" t="s">
        <v>6691</v>
      </c>
      <c r="J5551" t="s">
        <v>30287</v>
      </c>
      <c r="K5551" t="s">
        <v>39035</v>
      </c>
      <c r="M5551" t="s">
        <v>40357</v>
      </c>
      <c r="N5551" t="s">
        <v>43166</v>
      </c>
      <c r="O5551" t="s">
        <v>43167</v>
      </c>
      <c r="P5551">
        <v>0</v>
      </c>
      <c r="Q5551">
        <v>0</v>
      </c>
      <c r="R5551" t="s">
        <v>43172</v>
      </c>
      <c r="S5551" t="s">
        <v>43334</v>
      </c>
      <c r="T5551" t="s">
        <v>44691</v>
      </c>
      <c r="U5551" t="s">
        <v>47341</v>
      </c>
      <c r="W5551" t="s">
        <v>40357</v>
      </c>
      <c r="X5551" t="s">
        <v>43173</v>
      </c>
    </row>
    <row r="5552" spans="1:24">
      <c r="A5552">
        <f>HYPERLINK("https://www.philgeps.gov.ph/GEPSNONPILOT/Tender/SplashBidNoticeAbstractUI.aspx?menuIndex=3&amp;refID=7079966&amp;Result=3","7079966")</f>
        <v>0</v>
      </c>
      <c r="B5552" t="s">
        <v>1727</v>
      </c>
      <c r="C5552" t="s">
        <v>8715</v>
      </c>
      <c r="D5552" t="s">
        <v>17436</v>
      </c>
      <c r="E5552" t="s">
        <v>22309</v>
      </c>
      <c r="F5552" t="s">
        <v>30052</v>
      </c>
      <c r="G5552" t="s">
        <v>30058</v>
      </c>
      <c r="H5552" t="s">
        <v>15498</v>
      </c>
      <c r="I5552" t="s">
        <v>4650</v>
      </c>
      <c r="J5552" t="s">
        <v>30327</v>
      </c>
      <c r="K5552" t="s">
        <v>39034</v>
      </c>
      <c r="M5552" t="s">
        <v>41144</v>
      </c>
      <c r="N5552" t="s">
        <v>43166</v>
      </c>
      <c r="O5552" t="s">
        <v>43167</v>
      </c>
      <c r="P5552">
        <v>0</v>
      </c>
      <c r="Q5552">
        <v>1</v>
      </c>
      <c r="R5552" t="s">
        <v>43172</v>
      </c>
      <c r="S5552" t="s">
        <v>43334</v>
      </c>
      <c r="T5552" t="s">
        <v>44818</v>
      </c>
      <c r="U5552" t="s">
        <v>49728</v>
      </c>
      <c r="W5552" t="s">
        <v>41144</v>
      </c>
      <c r="X5552" t="s">
        <v>43173</v>
      </c>
    </row>
    <row r="5553" spans="1:24">
      <c r="A5553">
        <f>HYPERLINK("https://www.philgeps.gov.ph/GEPSNONPILOT/Tender/SplashBidNoticeAbstractUI.aspx?menuIndex=3&amp;refID=7079977&amp;Result=3","7079977")</f>
        <v>0</v>
      </c>
      <c r="B5553" t="s">
        <v>1892</v>
      </c>
      <c r="C5553" t="s">
        <v>8716</v>
      </c>
      <c r="D5553" t="s">
        <v>17444</v>
      </c>
      <c r="E5553" t="s">
        <v>22310</v>
      </c>
      <c r="F5553" t="s">
        <v>30052</v>
      </c>
      <c r="G5553" t="s">
        <v>30058</v>
      </c>
      <c r="H5553" t="s">
        <v>30067</v>
      </c>
      <c r="I5553" t="s">
        <v>3693</v>
      </c>
      <c r="J5553" t="s">
        <v>30594</v>
      </c>
      <c r="K5553" t="s">
        <v>39038</v>
      </c>
      <c r="M5553" t="s">
        <v>41323</v>
      </c>
      <c r="N5553" t="s">
        <v>43166</v>
      </c>
      <c r="O5553" t="s">
        <v>43167</v>
      </c>
      <c r="P5553">
        <v>0</v>
      </c>
      <c r="Q5553">
        <v>0</v>
      </c>
      <c r="R5553" t="s">
        <v>43172</v>
      </c>
      <c r="S5553" t="s">
        <v>43334</v>
      </c>
      <c r="T5553" t="s">
        <v>44789</v>
      </c>
      <c r="U5553" t="s">
        <v>49729</v>
      </c>
      <c r="V5553" t="s">
        <v>57432</v>
      </c>
      <c r="W5553" t="s">
        <v>41323</v>
      </c>
      <c r="X5553" t="s">
        <v>43173</v>
      </c>
    </row>
    <row r="5554" spans="1:24">
      <c r="A5554">
        <f>HYPERLINK("https://www.philgeps.gov.ph/GEPSNONPILOT/Tender/SplashBidNoticeAbstractUI.aspx?menuIndex=3&amp;refID=7079964&amp;Result=3","7079964")</f>
        <v>0</v>
      </c>
      <c r="B5554" t="s">
        <v>1052</v>
      </c>
      <c r="C5554" t="s">
        <v>8717</v>
      </c>
      <c r="D5554" t="s">
        <v>17452</v>
      </c>
      <c r="E5554" t="s">
        <v>21070</v>
      </c>
      <c r="F5554" t="s">
        <v>30052</v>
      </c>
      <c r="G5554" t="s">
        <v>30058</v>
      </c>
      <c r="H5554" t="s">
        <v>15498</v>
      </c>
      <c r="I5554" t="s">
        <v>4119</v>
      </c>
      <c r="J5554" t="s">
        <v>33702</v>
      </c>
      <c r="K5554" t="s">
        <v>39017</v>
      </c>
      <c r="M5554" t="s">
        <v>40385</v>
      </c>
      <c r="N5554" t="s">
        <v>43166</v>
      </c>
      <c r="O5554" t="s">
        <v>43167</v>
      </c>
      <c r="P5554">
        <v>0</v>
      </c>
      <c r="Q5554">
        <v>6</v>
      </c>
      <c r="R5554" t="s">
        <v>43172</v>
      </c>
      <c r="S5554" t="s">
        <v>43334</v>
      </c>
      <c r="T5554" t="s">
        <v>45020</v>
      </c>
      <c r="U5554" t="s">
        <v>49730</v>
      </c>
      <c r="V5554" t="s">
        <v>57433</v>
      </c>
      <c r="W5554" t="s">
        <v>40385</v>
      </c>
      <c r="X5554" t="s">
        <v>43173</v>
      </c>
    </row>
    <row r="5555" spans="1:24">
      <c r="A5555">
        <f>HYPERLINK("https://www.philgeps.gov.ph/GEPSNONPILOT/Tender/SplashBidNoticeAbstractUI.aspx?menuIndex=3&amp;refID=7079963&amp;Result=3","7079963")</f>
        <v>0</v>
      </c>
      <c r="B5555" t="s">
        <v>1266</v>
      </c>
      <c r="C5555" t="s">
        <v>8718</v>
      </c>
      <c r="D5555" t="s">
        <v>17466</v>
      </c>
      <c r="E5555" t="s">
        <v>22311</v>
      </c>
      <c r="F5555" t="s">
        <v>30052</v>
      </c>
      <c r="G5555" t="s">
        <v>30059</v>
      </c>
      <c r="H5555" t="s">
        <v>15498</v>
      </c>
      <c r="I5555" t="s">
        <v>30070</v>
      </c>
      <c r="J5555" t="s">
        <v>30256</v>
      </c>
      <c r="K5555" t="s">
        <v>39017</v>
      </c>
      <c r="M5555" t="s">
        <v>40624</v>
      </c>
      <c r="N5555" t="s">
        <v>43166</v>
      </c>
      <c r="O5555" t="s">
        <v>43167</v>
      </c>
      <c r="P5555">
        <v>0</v>
      </c>
      <c r="Q5555">
        <v>2</v>
      </c>
      <c r="R5555" t="s">
        <v>43172</v>
      </c>
      <c r="S5555" t="s">
        <v>43334</v>
      </c>
      <c r="T5555" t="s">
        <v>44720</v>
      </c>
      <c r="U5555" t="s">
        <v>49731</v>
      </c>
      <c r="W5555" t="s">
        <v>40624</v>
      </c>
      <c r="X5555" t="s">
        <v>43173</v>
      </c>
    </row>
    <row r="5556" spans="1:24">
      <c r="A5556">
        <f>HYPERLINK("https://www.philgeps.gov.ph/GEPSNONPILOT/Tender/SplashBidNoticeAbstractUI.aspx?menuIndex=3&amp;refID=7079993&amp;Result=3","7079993")</f>
        <v>0</v>
      </c>
      <c r="B5556" t="s">
        <v>1893</v>
      </c>
      <c r="C5556" t="s">
        <v>8719</v>
      </c>
      <c r="D5556" t="s">
        <v>17460</v>
      </c>
      <c r="E5556" t="s">
        <v>17892</v>
      </c>
      <c r="F5556" t="s">
        <v>30052</v>
      </c>
      <c r="G5556" t="s">
        <v>30058</v>
      </c>
      <c r="H5556" t="s">
        <v>30067</v>
      </c>
      <c r="I5556" t="s">
        <v>3736</v>
      </c>
      <c r="J5556" t="s">
        <v>33703</v>
      </c>
      <c r="K5556" t="s">
        <v>39019</v>
      </c>
      <c r="M5556" t="s">
        <v>41324</v>
      </c>
      <c r="N5556" t="s">
        <v>43166</v>
      </c>
      <c r="O5556" t="s">
        <v>43167</v>
      </c>
      <c r="P5556">
        <v>0</v>
      </c>
      <c r="Q5556">
        <v>2</v>
      </c>
      <c r="R5556" t="s">
        <v>43172</v>
      </c>
      <c r="S5556" t="s">
        <v>43334</v>
      </c>
      <c r="T5556" t="s">
        <v>44690</v>
      </c>
      <c r="U5556" t="s">
        <v>49732</v>
      </c>
      <c r="W5556" t="s">
        <v>41324</v>
      </c>
      <c r="X5556" t="s">
        <v>43173</v>
      </c>
    </row>
    <row r="5557" spans="1:24">
      <c r="A5557">
        <f>HYPERLINK("https://www.philgeps.gov.ph/GEPSNONPILOT/Tender/SplashBidNoticeAbstractUI.aspx?menuIndex=3&amp;refID=7079988&amp;Result=3","7079988")</f>
        <v>0</v>
      </c>
      <c r="B5557" t="s">
        <v>1052</v>
      </c>
      <c r="C5557" t="s">
        <v>8720</v>
      </c>
      <c r="D5557" t="s">
        <v>17452</v>
      </c>
      <c r="E5557" t="s">
        <v>21400</v>
      </c>
      <c r="F5557" t="s">
        <v>30052</v>
      </c>
      <c r="G5557" t="s">
        <v>30058</v>
      </c>
      <c r="H5557" t="s">
        <v>15498</v>
      </c>
      <c r="I5557" t="s">
        <v>30070</v>
      </c>
      <c r="J5557" t="s">
        <v>33704</v>
      </c>
      <c r="K5557" t="s">
        <v>39017</v>
      </c>
      <c r="M5557" t="s">
        <v>40385</v>
      </c>
      <c r="N5557" t="s">
        <v>43166</v>
      </c>
      <c r="O5557" t="s">
        <v>43167</v>
      </c>
      <c r="P5557">
        <v>0</v>
      </c>
      <c r="Q5557">
        <v>4</v>
      </c>
      <c r="R5557" t="s">
        <v>43172</v>
      </c>
      <c r="S5557" t="s">
        <v>43334</v>
      </c>
      <c r="T5557" t="s">
        <v>45020</v>
      </c>
      <c r="U5557" t="s">
        <v>49733</v>
      </c>
      <c r="V5557" t="s">
        <v>57433</v>
      </c>
      <c r="W5557" t="s">
        <v>40385</v>
      </c>
      <c r="X5557" t="s">
        <v>43173</v>
      </c>
    </row>
    <row r="5558" spans="1:24">
      <c r="A5558">
        <f>HYPERLINK("https://www.philgeps.gov.ph/GEPSNONPILOT/Tender/SplashBidNoticeAbstractUI.aspx?menuIndex=3&amp;refID=7080004&amp;Result=3","7080004")</f>
        <v>0</v>
      </c>
      <c r="B5558" t="s">
        <v>1028</v>
      </c>
      <c r="C5558" t="s">
        <v>8721</v>
      </c>
      <c r="D5558" t="s">
        <v>17438</v>
      </c>
      <c r="E5558" t="s">
        <v>22312</v>
      </c>
      <c r="F5558" t="s">
        <v>30052</v>
      </c>
      <c r="G5558" t="s">
        <v>30059</v>
      </c>
      <c r="H5558" t="s">
        <v>15498</v>
      </c>
      <c r="I5558" t="s">
        <v>6691</v>
      </c>
      <c r="J5558" t="s">
        <v>33705</v>
      </c>
      <c r="K5558" t="s">
        <v>39035</v>
      </c>
      <c r="M5558" t="s">
        <v>40357</v>
      </c>
      <c r="N5558" t="s">
        <v>43166</v>
      </c>
      <c r="O5558" t="s">
        <v>43167</v>
      </c>
      <c r="P5558">
        <v>0</v>
      </c>
      <c r="Q5558">
        <v>0</v>
      </c>
      <c r="R5558" t="s">
        <v>43172</v>
      </c>
      <c r="S5558" t="s">
        <v>43334</v>
      </c>
      <c r="T5558" t="s">
        <v>44691</v>
      </c>
      <c r="U5558" t="s">
        <v>47341</v>
      </c>
      <c r="W5558" t="s">
        <v>40357</v>
      </c>
      <c r="X5558" t="s">
        <v>43173</v>
      </c>
    </row>
    <row r="5559" spans="1:24">
      <c r="A5559">
        <f>HYPERLINK("https://www.philgeps.gov.ph/GEPSNONPILOT/Tender/SplashBidNoticeAbstractUI.aspx?menuIndex=3&amp;refID=7080018&amp;Result=3","7080018")</f>
        <v>0</v>
      </c>
      <c r="B5559" t="s">
        <v>1894</v>
      </c>
      <c r="C5559" t="s">
        <v>8722</v>
      </c>
      <c r="D5559" t="s">
        <v>17464</v>
      </c>
      <c r="E5559" t="s">
        <v>22313</v>
      </c>
      <c r="F5559" t="s">
        <v>30052</v>
      </c>
      <c r="G5559" t="s">
        <v>30061</v>
      </c>
      <c r="H5559" t="s">
        <v>15498</v>
      </c>
      <c r="I5559" t="s">
        <v>30160</v>
      </c>
      <c r="J5559" t="s">
        <v>33706</v>
      </c>
      <c r="K5559" t="s">
        <v>39023</v>
      </c>
      <c r="M5559" t="s">
        <v>41325</v>
      </c>
      <c r="N5559" t="s">
        <v>43166</v>
      </c>
      <c r="O5559" t="s">
        <v>43167</v>
      </c>
      <c r="P5559">
        <v>0</v>
      </c>
      <c r="Q5559">
        <v>1</v>
      </c>
      <c r="R5559" t="s">
        <v>43172</v>
      </c>
      <c r="S5559" t="s">
        <v>43334</v>
      </c>
      <c r="T5559" t="s">
        <v>44870</v>
      </c>
      <c r="U5559" t="s">
        <v>49734</v>
      </c>
      <c r="W5559" t="s">
        <v>41325</v>
      </c>
      <c r="X5559" t="s">
        <v>43173</v>
      </c>
    </row>
    <row r="5560" spans="1:24">
      <c r="A5560">
        <f>HYPERLINK("https://www.philgeps.gov.ph/GEPSNONPILOT/Tender/SplashBidNoticeAbstractUI.aspx?menuIndex=3&amp;refID=7079969&amp;Result=3","7079969")</f>
        <v>0</v>
      </c>
      <c r="B5560" t="s">
        <v>1863</v>
      </c>
      <c r="C5560" t="s">
        <v>8723</v>
      </c>
      <c r="D5560" t="s">
        <v>17451</v>
      </c>
      <c r="E5560" t="s">
        <v>22314</v>
      </c>
      <c r="F5560" t="s">
        <v>30052</v>
      </c>
      <c r="G5560" t="s">
        <v>30058</v>
      </c>
      <c r="H5560" t="s">
        <v>15498</v>
      </c>
      <c r="I5560" t="s">
        <v>30128</v>
      </c>
      <c r="J5560" t="s">
        <v>33707</v>
      </c>
      <c r="K5560" t="s">
        <v>39029</v>
      </c>
      <c r="M5560" t="s">
        <v>41291</v>
      </c>
      <c r="N5560" t="s">
        <v>43166</v>
      </c>
      <c r="O5560" t="s">
        <v>43167</v>
      </c>
      <c r="P5560">
        <v>0</v>
      </c>
      <c r="Q5560">
        <v>7</v>
      </c>
      <c r="R5560" t="s">
        <v>43172</v>
      </c>
      <c r="S5560" t="s">
        <v>43334</v>
      </c>
      <c r="T5560" t="s">
        <v>44828</v>
      </c>
      <c r="U5560" t="s">
        <v>49735</v>
      </c>
      <c r="V5560" t="s">
        <v>57434</v>
      </c>
      <c r="W5560" t="s">
        <v>41291</v>
      </c>
      <c r="X5560" t="s">
        <v>43173</v>
      </c>
    </row>
    <row r="5561" spans="1:24">
      <c r="A5561">
        <f>HYPERLINK("https://www.philgeps.gov.ph/GEPSNONPILOT/Tender/SplashBidNoticeAbstractUI.aspx?menuIndex=3&amp;refID=7080014&amp;Result=3","7080014")</f>
        <v>0</v>
      </c>
      <c r="B5561" t="s">
        <v>1417</v>
      </c>
      <c r="C5561" t="s">
        <v>8724</v>
      </c>
      <c r="D5561" t="s">
        <v>17441</v>
      </c>
      <c r="E5561" t="s">
        <v>22315</v>
      </c>
      <c r="F5561" t="s">
        <v>30052</v>
      </c>
      <c r="G5561" t="s">
        <v>30060</v>
      </c>
      <c r="H5561" t="s">
        <v>15498</v>
      </c>
      <c r="I5561" t="s">
        <v>30071</v>
      </c>
      <c r="J5561" t="s">
        <v>33708</v>
      </c>
      <c r="K5561" t="s">
        <v>39034</v>
      </c>
      <c r="M5561" t="s">
        <v>40795</v>
      </c>
      <c r="N5561" t="s">
        <v>43166</v>
      </c>
      <c r="O5561" t="s">
        <v>43167</v>
      </c>
      <c r="P5561">
        <v>0</v>
      </c>
      <c r="Q5561">
        <v>0</v>
      </c>
      <c r="R5561" t="s">
        <v>43172</v>
      </c>
      <c r="S5561" t="s">
        <v>43334</v>
      </c>
      <c r="T5561" t="s">
        <v>44773</v>
      </c>
      <c r="U5561" t="s">
        <v>49736</v>
      </c>
      <c r="W5561" t="s">
        <v>40795</v>
      </c>
      <c r="X5561" t="s">
        <v>43173</v>
      </c>
    </row>
    <row r="5562" spans="1:24">
      <c r="A5562">
        <f>HYPERLINK("https://www.philgeps.gov.ph/GEPSNONPILOT/Tender/SplashBidNoticeAbstractUI.aspx?menuIndex=3&amp;refID=7079978&amp;Result=3","7079978")</f>
        <v>0</v>
      </c>
      <c r="B5562" t="s">
        <v>592</v>
      </c>
      <c r="C5562" t="s">
        <v>8725</v>
      </c>
      <c r="D5562" t="s">
        <v>17461</v>
      </c>
      <c r="E5562" t="s">
        <v>8725</v>
      </c>
      <c r="F5562" t="s">
        <v>30052</v>
      </c>
      <c r="G5562" t="s">
        <v>30058</v>
      </c>
      <c r="H5562" t="s">
        <v>15498</v>
      </c>
      <c r="I5562" t="s">
        <v>30084</v>
      </c>
      <c r="J5562" t="s">
        <v>30857</v>
      </c>
      <c r="K5562" t="s">
        <v>39029</v>
      </c>
      <c r="M5562" t="s">
        <v>41301</v>
      </c>
      <c r="N5562" t="s">
        <v>43166</v>
      </c>
      <c r="O5562" t="s">
        <v>43167</v>
      </c>
      <c r="P5562">
        <v>0</v>
      </c>
      <c r="Q5562">
        <v>1</v>
      </c>
      <c r="R5562" t="s">
        <v>43172</v>
      </c>
      <c r="S5562" t="s">
        <v>43334</v>
      </c>
      <c r="T5562" t="s">
        <v>44761</v>
      </c>
      <c r="U5562" t="s">
        <v>49737</v>
      </c>
      <c r="W5562" t="s">
        <v>41301</v>
      </c>
      <c r="X5562" t="s">
        <v>43173</v>
      </c>
    </row>
    <row r="5563" spans="1:24">
      <c r="A5563">
        <f>HYPERLINK("https://www.philgeps.gov.ph/GEPSNONPILOT/Tender/SplashBidNoticeAbstractUI.aspx?menuIndex=3&amp;refID=7079971&amp;Result=3","7079971")</f>
        <v>0</v>
      </c>
      <c r="B5563" t="s">
        <v>1895</v>
      </c>
      <c r="C5563" t="s">
        <v>8726</v>
      </c>
      <c r="D5563" t="s">
        <v>17435</v>
      </c>
      <c r="E5563" t="s">
        <v>22316</v>
      </c>
      <c r="F5563" t="s">
        <v>30052</v>
      </c>
      <c r="G5563" t="s">
        <v>30059</v>
      </c>
      <c r="H5563" t="s">
        <v>15498</v>
      </c>
      <c r="I5563" t="s">
        <v>30070</v>
      </c>
      <c r="J5563" t="s">
        <v>33709</v>
      </c>
      <c r="K5563" t="s">
        <v>39018</v>
      </c>
      <c r="M5563" t="s">
        <v>41326</v>
      </c>
      <c r="N5563" t="s">
        <v>43166</v>
      </c>
      <c r="O5563" t="s">
        <v>43167</v>
      </c>
      <c r="P5563">
        <v>0</v>
      </c>
      <c r="Q5563">
        <v>1</v>
      </c>
      <c r="R5563" t="s">
        <v>43172</v>
      </c>
      <c r="S5563" t="s">
        <v>43334</v>
      </c>
      <c r="T5563" t="s">
        <v>44735</v>
      </c>
      <c r="U5563" t="s">
        <v>49738</v>
      </c>
      <c r="W5563" t="s">
        <v>41326</v>
      </c>
      <c r="X5563" t="s">
        <v>43173</v>
      </c>
    </row>
    <row r="5564" spans="1:24">
      <c r="A5564">
        <f>HYPERLINK("https://www.philgeps.gov.ph/GEPSNONPILOT/Tender/SplashBidNoticeAbstractUI.aspx?menuIndex=3&amp;refID=7079944&amp;Result=3","7079944")</f>
        <v>0</v>
      </c>
      <c r="B5564" t="s">
        <v>1727</v>
      </c>
      <c r="C5564" t="s">
        <v>8727</v>
      </c>
      <c r="D5564" t="s">
        <v>17436</v>
      </c>
      <c r="E5564" t="s">
        <v>22317</v>
      </c>
      <c r="F5564" t="s">
        <v>30052</v>
      </c>
      <c r="G5564" t="s">
        <v>30058</v>
      </c>
      <c r="H5564" t="s">
        <v>15498</v>
      </c>
      <c r="I5564" t="s">
        <v>30109</v>
      </c>
      <c r="J5564" t="s">
        <v>33710</v>
      </c>
      <c r="K5564" t="s">
        <v>39034</v>
      </c>
      <c r="M5564" t="s">
        <v>41144</v>
      </c>
      <c r="N5564" t="s">
        <v>43166</v>
      </c>
      <c r="O5564" t="s">
        <v>43167</v>
      </c>
      <c r="P5564">
        <v>0</v>
      </c>
      <c r="Q5564">
        <v>0</v>
      </c>
      <c r="R5564" t="s">
        <v>43172</v>
      </c>
      <c r="S5564" t="s">
        <v>43334</v>
      </c>
      <c r="T5564" t="s">
        <v>44818</v>
      </c>
      <c r="U5564" t="s">
        <v>49739</v>
      </c>
      <c r="W5564" t="s">
        <v>41144</v>
      </c>
      <c r="X5564" t="s">
        <v>43173</v>
      </c>
    </row>
    <row r="5565" spans="1:24">
      <c r="A5565">
        <f>HYPERLINK("https://www.philgeps.gov.ph/GEPSNONPILOT/Tender/SplashBidNoticeAbstractUI.aspx?menuIndex=3&amp;refID=7080010&amp;Result=3","7080010")</f>
        <v>0</v>
      </c>
      <c r="B5565" t="s">
        <v>1681</v>
      </c>
      <c r="C5565" t="s">
        <v>8728</v>
      </c>
      <c r="E5565" t="s">
        <v>22318</v>
      </c>
      <c r="F5565" t="s">
        <v>30055</v>
      </c>
      <c r="G5565" t="s">
        <v>30059</v>
      </c>
      <c r="H5565" t="s">
        <v>15498</v>
      </c>
      <c r="I5565" t="s">
        <v>3736</v>
      </c>
      <c r="J5565" t="s">
        <v>30538</v>
      </c>
      <c r="K5565" t="s">
        <v>39036</v>
      </c>
      <c r="M5565" t="s">
        <v>41088</v>
      </c>
      <c r="N5565" t="s">
        <v>43166</v>
      </c>
      <c r="O5565" t="s">
        <v>43167</v>
      </c>
      <c r="P5565">
        <v>0</v>
      </c>
      <c r="Q5565">
        <v>1</v>
      </c>
      <c r="R5565" t="s">
        <v>43172</v>
      </c>
      <c r="S5565" t="s">
        <v>43334</v>
      </c>
      <c r="T5565" t="s">
        <v>44685</v>
      </c>
      <c r="U5565" t="s">
        <v>49740</v>
      </c>
      <c r="W5565" t="s">
        <v>41088</v>
      </c>
      <c r="X5565" t="s">
        <v>43173</v>
      </c>
    </row>
    <row r="5566" spans="1:24">
      <c r="A5566">
        <f>HYPERLINK("https://www.philgeps.gov.ph/GEPSNONPILOT/Tender/SplashBidNoticeAbstractUI.aspx?menuIndex=3&amp;refID=7080008&amp;Result=3","7080008")</f>
        <v>0</v>
      </c>
      <c r="B5566" t="s">
        <v>1418</v>
      </c>
      <c r="C5566" t="s">
        <v>8729</v>
      </c>
      <c r="D5566" t="s">
        <v>17449</v>
      </c>
      <c r="E5566" t="s">
        <v>22319</v>
      </c>
      <c r="F5566" t="s">
        <v>30052</v>
      </c>
      <c r="G5566" t="s">
        <v>30058</v>
      </c>
      <c r="H5566" t="s">
        <v>30067</v>
      </c>
      <c r="I5566" t="s">
        <v>3693</v>
      </c>
      <c r="J5566" t="s">
        <v>31198</v>
      </c>
      <c r="K5566" t="s">
        <v>39065</v>
      </c>
      <c r="M5566" t="s">
        <v>40796</v>
      </c>
      <c r="N5566" t="s">
        <v>43166</v>
      </c>
      <c r="O5566" t="s">
        <v>43167</v>
      </c>
      <c r="P5566">
        <v>0</v>
      </c>
      <c r="Q5566">
        <v>4</v>
      </c>
      <c r="R5566" t="s">
        <v>43172</v>
      </c>
      <c r="S5566" t="s">
        <v>43334</v>
      </c>
      <c r="T5566" t="s">
        <v>44691</v>
      </c>
      <c r="U5566" t="s">
        <v>49741</v>
      </c>
      <c r="W5566" t="s">
        <v>40796</v>
      </c>
      <c r="X5566" t="s">
        <v>43173</v>
      </c>
    </row>
    <row r="5567" spans="1:24">
      <c r="A5567">
        <f>HYPERLINK("https://www.philgeps.gov.ph/GEPSNONPILOT/Tender/SplashBidNoticeAbstractUI.aspx?menuIndex=3&amp;refID=7080003&amp;Result=3","7080003")</f>
        <v>0</v>
      </c>
      <c r="B5567" t="s">
        <v>107</v>
      </c>
      <c r="C5567" t="s">
        <v>8730</v>
      </c>
      <c r="D5567" t="s">
        <v>17448</v>
      </c>
      <c r="E5567" t="s">
        <v>22320</v>
      </c>
      <c r="F5567" t="s">
        <v>30052</v>
      </c>
      <c r="G5567" t="s">
        <v>30059</v>
      </c>
      <c r="H5567" t="s">
        <v>15498</v>
      </c>
      <c r="I5567" t="s">
        <v>3606</v>
      </c>
      <c r="J5567" t="s">
        <v>33711</v>
      </c>
      <c r="K5567" t="s">
        <v>39025</v>
      </c>
      <c r="M5567" t="s">
        <v>39396</v>
      </c>
      <c r="N5567" t="s">
        <v>43166</v>
      </c>
      <c r="O5567" t="s">
        <v>43167</v>
      </c>
      <c r="P5567">
        <v>0</v>
      </c>
      <c r="Q5567">
        <v>3</v>
      </c>
      <c r="R5567" t="s">
        <v>43172</v>
      </c>
      <c r="S5567" t="s">
        <v>43334</v>
      </c>
      <c r="T5567" t="s">
        <v>44862</v>
      </c>
      <c r="U5567" t="s">
        <v>49742</v>
      </c>
      <c r="W5567" t="s">
        <v>39396</v>
      </c>
      <c r="X5567" t="s">
        <v>43173</v>
      </c>
    </row>
    <row r="5568" spans="1:24">
      <c r="A5568">
        <f>HYPERLINK("https://www.philgeps.gov.ph/GEPSNONPILOT/Tender/SplashBidNoticeAbstractUI.aspx?menuIndex=3&amp;refID=7080016&amp;Result=3","7080016")</f>
        <v>0</v>
      </c>
      <c r="B5568" t="s">
        <v>592</v>
      </c>
      <c r="C5568" t="s">
        <v>8731</v>
      </c>
      <c r="D5568" t="s">
        <v>17461</v>
      </c>
      <c r="E5568" t="s">
        <v>22321</v>
      </c>
      <c r="F5568" t="s">
        <v>30052</v>
      </c>
      <c r="G5568" t="s">
        <v>30058</v>
      </c>
      <c r="H5568" t="s">
        <v>15498</v>
      </c>
      <c r="I5568" t="s">
        <v>4598</v>
      </c>
      <c r="J5568" t="s">
        <v>33712</v>
      </c>
      <c r="K5568" t="s">
        <v>39029</v>
      </c>
      <c r="M5568" t="s">
        <v>41301</v>
      </c>
      <c r="N5568" t="s">
        <v>43166</v>
      </c>
      <c r="O5568" t="s">
        <v>43167</v>
      </c>
      <c r="P5568">
        <v>0</v>
      </c>
      <c r="Q5568">
        <v>5</v>
      </c>
      <c r="R5568" t="s">
        <v>43172</v>
      </c>
      <c r="S5568" t="s">
        <v>43334</v>
      </c>
      <c r="T5568" t="s">
        <v>44761</v>
      </c>
      <c r="U5568" t="s">
        <v>49743</v>
      </c>
      <c r="W5568" t="s">
        <v>41301</v>
      </c>
      <c r="X5568" t="s">
        <v>43173</v>
      </c>
    </row>
    <row r="5569" spans="1:24">
      <c r="A5569">
        <f>HYPERLINK("https://www.philgeps.gov.ph/GEPSNONPILOT/Tender/SplashBidNoticeAbstractUI.aspx?menuIndex=3&amp;refID=7080000&amp;Result=3","7080000")</f>
        <v>0</v>
      </c>
      <c r="B5569" t="s">
        <v>1896</v>
      </c>
      <c r="C5569" t="s">
        <v>8732</v>
      </c>
      <c r="D5569" t="s">
        <v>17415</v>
      </c>
      <c r="E5569" t="s">
        <v>22322</v>
      </c>
      <c r="F5569" t="s">
        <v>30052</v>
      </c>
      <c r="G5569" t="s">
        <v>30061</v>
      </c>
      <c r="H5569" t="s">
        <v>15498</v>
      </c>
      <c r="I5569" t="s">
        <v>3852</v>
      </c>
      <c r="J5569" t="s">
        <v>33713</v>
      </c>
      <c r="K5569" t="s">
        <v>39017</v>
      </c>
      <c r="M5569" t="s">
        <v>41327</v>
      </c>
      <c r="N5569" t="s">
        <v>43166</v>
      </c>
      <c r="O5569" t="s">
        <v>43167</v>
      </c>
      <c r="P5569">
        <v>0</v>
      </c>
      <c r="Q5569">
        <v>1</v>
      </c>
      <c r="R5569" t="s">
        <v>43172</v>
      </c>
      <c r="S5569" t="s">
        <v>43334</v>
      </c>
      <c r="T5569" t="s">
        <v>44734</v>
      </c>
      <c r="U5569" t="s">
        <v>49744</v>
      </c>
      <c r="W5569" t="s">
        <v>41327</v>
      </c>
      <c r="X5569" t="s">
        <v>43173</v>
      </c>
    </row>
    <row r="5570" spans="1:24">
      <c r="A5570">
        <f>HYPERLINK("https://www.philgeps.gov.ph/GEPSNONPILOT/Tender/SplashBidNoticeAbstractUI.aspx?menuIndex=3&amp;refID=7079999&amp;Result=3","7079999")</f>
        <v>0</v>
      </c>
      <c r="B5570" t="s">
        <v>1417</v>
      </c>
      <c r="C5570" t="s">
        <v>8733</v>
      </c>
      <c r="D5570" t="s">
        <v>17441</v>
      </c>
      <c r="E5570" t="s">
        <v>22323</v>
      </c>
      <c r="F5570" t="s">
        <v>30052</v>
      </c>
      <c r="G5570" t="s">
        <v>30060</v>
      </c>
      <c r="H5570" t="s">
        <v>15498</v>
      </c>
      <c r="I5570" t="s">
        <v>30071</v>
      </c>
      <c r="J5570" t="s">
        <v>33714</v>
      </c>
      <c r="K5570" t="s">
        <v>39034</v>
      </c>
      <c r="M5570" t="s">
        <v>40795</v>
      </c>
      <c r="N5570" t="s">
        <v>43166</v>
      </c>
      <c r="O5570" t="s">
        <v>43167</v>
      </c>
      <c r="P5570">
        <v>0</v>
      </c>
      <c r="Q5570">
        <v>0</v>
      </c>
      <c r="R5570" t="s">
        <v>43172</v>
      </c>
      <c r="S5570" t="s">
        <v>43334</v>
      </c>
      <c r="T5570" t="s">
        <v>44773</v>
      </c>
      <c r="U5570" t="s">
        <v>49745</v>
      </c>
      <c r="W5570" t="s">
        <v>40795</v>
      </c>
      <c r="X5570" t="s">
        <v>43173</v>
      </c>
    </row>
    <row r="5571" spans="1:24">
      <c r="A5571">
        <f>HYPERLINK("https://www.philgeps.gov.ph/GEPSNONPILOT/Tender/SplashBidNoticeAbstractUI.aspx?menuIndex=3&amp;refID=7080012&amp;Result=3","7080012")</f>
        <v>0</v>
      </c>
      <c r="B5571" t="s">
        <v>1727</v>
      </c>
      <c r="C5571" t="s">
        <v>8734</v>
      </c>
      <c r="D5571" t="s">
        <v>17436</v>
      </c>
      <c r="E5571" t="s">
        <v>22324</v>
      </c>
      <c r="F5571" t="s">
        <v>30052</v>
      </c>
      <c r="G5571" t="s">
        <v>30058</v>
      </c>
      <c r="H5571" t="s">
        <v>15498</v>
      </c>
      <c r="I5571" t="s">
        <v>30070</v>
      </c>
      <c r="J5571" t="s">
        <v>30377</v>
      </c>
      <c r="K5571" t="s">
        <v>39034</v>
      </c>
      <c r="M5571" t="s">
        <v>41144</v>
      </c>
      <c r="N5571" t="s">
        <v>43166</v>
      </c>
      <c r="O5571" t="s">
        <v>43167</v>
      </c>
      <c r="P5571">
        <v>0</v>
      </c>
      <c r="Q5571">
        <v>0</v>
      </c>
      <c r="R5571" t="s">
        <v>43172</v>
      </c>
      <c r="S5571" t="s">
        <v>43334</v>
      </c>
      <c r="T5571" t="s">
        <v>44818</v>
      </c>
      <c r="U5571" t="s">
        <v>49746</v>
      </c>
      <c r="W5571" t="s">
        <v>41144</v>
      </c>
      <c r="X5571" t="s">
        <v>43173</v>
      </c>
    </row>
    <row r="5572" spans="1:24">
      <c r="A5572">
        <f>HYPERLINK("https://www.philgeps.gov.ph/GEPSNONPILOT/Tender/SplashBidNoticeAbstractUI.aspx?menuIndex=3&amp;refID=7079997&amp;Result=3","7079997")</f>
        <v>0</v>
      </c>
      <c r="B5572" t="s">
        <v>1885</v>
      </c>
      <c r="C5572" t="s">
        <v>4592</v>
      </c>
      <c r="D5572" t="s">
        <v>17424</v>
      </c>
      <c r="E5572" t="s">
        <v>17706</v>
      </c>
      <c r="F5572" t="s">
        <v>30052</v>
      </c>
      <c r="G5572" t="s">
        <v>30058</v>
      </c>
      <c r="H5572" t="s">
        <v>15498</v>
      </c>
      <c r="I5572" t="s">
        <v>3736</v>
      </c>
      <c r="J5572" t="s">
        <v>31089</v>
      </c>
      <c r="K5572" t="s">
        <v>39019</v>
      </c>
      <c r="M5572" t="s">
        <v>41316</v>
      </c>
      <c r="N5572" t="s">
        <v>43166</v>
      </c>
      <c r="O5572" t="s">
        <v>43167</v>
      </c>
      <c r="P5572">
        <v>0</v>
      </c>
      <c r="Q5572">
        <v>0</v>
      </c>
      <c r="R5572" t="s">
        <v>43172</v>
      </c>
      <c r="S5572" t="s">
        <v>43334</v>
      </c>
      <c r="T5572" t="s">
        <v>44737</v>
      </c>
      <c r="U5572" t="s">
        <v>49747</v>
      </c>
      <c r="W5572" t="s">
        <v>41316</v>
      </c>
      <c r="X5572" t="s">
        <v>43173</v>
      </c>
    </row>
    <row r="5573" spans="1:24">
      <c r="A5573">
        <f>HYPERLINK("https://www.philgeps.gov.ph/GEPSNONPILOT/Tender/SplashBidNoticeAbstractUI.aspx?menuIndex=3&amp;refID=7080011&amp;Result=3","7080011")</f>
        <v>0</v>
      </c>
      <c r="B5573" t="s">
        <v>818</v>
      </c>
      <c r="C5573" t="s">
        <v>8735</v>
      </c>
      <c r="D5573" t="s">
        <v>17449</v>
      </c>
      <c r="E5573" t="s">
        <v>19208</v>
      </c>
      <c r="F5573" t="s">
        <v>30052</v>
      </c>
      <c r="G5573" t="s">
        <v>30060</v>
      </c>
      <c r="H5573" t="s">
        <v>15498</v>
      </c>
      <c r="I5573" t="s">
        <v>30129</v>
      </c>
      <c r="J5573" t="s">
        <v>30252</v>
      </c>
      <c r="K5573" t="s">
        <v>39017</v>
      </c>
      <c r="M5573" t="s">
        <v>40135</v>
      </c>
      <c r="N5573" t="s">
        <v>43166</v>
      </c>
      <c r="O5573" t="s">
        <v>43167</v>
      </c>
      <c r="P5573">
        <v>0</v>
      </c>
      <c r="Q5573">
        <v>3</v>
      </c>
      <c r="R5573" t="s">
        <v>43172</v>
      </c>
      <c r="S5573" t="s">
        <v>43334</v>
      </c>
      <c r="T5573" t="s">
        <v>44714</v>
      </c>
      <c r="U5573" t="s">
        <v>49748</v>
      </c>
      <c r="W5573" t="s">
        <v>40135</v>
      </c>
      <c r="X5573" t="s">
        <v>43173</v>
      </c>
    </row>
    <row r="5574" spans="1:24">
      <c r="A5574">
        <f>HYPERLINK("https://www.philgeps.gov.ph/GEPSNONPILOT/Tender/SplashBidNoticeAbstractUI.aspx?menuIndex=3&amp;refID=7079992&amp;Result=3","7079992")</f>
        <v>0</v>
      </c>
      <c r="B5574" t="s">
        <v>592</v>
      </c>
      <c r="C5574" t="s">
        <v>8736</v>
      </c>
      <c r="D5574" t="s">
        <v>17461</v>
      </c>
      <c r="E5574" t="s">
        <v>8736</v>
      </c>
      <c r="F5574" t="s">
        <v>30052</v>
      </c>
      <c r="G5574" t="s">
        <v>30058</v>
      </c>
      <c r="H5574" t="s">
        <v>15498</v>
      </c>
      <c r="I5574" t="s">
        <v>30073</v>
      </c>
      <c r="J5574" t="s">
        <v>33715</v>
      </c>
      <c r="K5574" t="s">
        <v>39025</v>
      </c>
      <c r="M5574" t="s">
        <v>41301</v>
      </c>
      <c r="N5574" t="s">
        <v>43166</v>
      </c>
      <c r="O5574" t="s">
        <v>43167</v>
      </c>
      <c r="P5574">
        <v>0</v>
      </c>
      <c r="Q5574">
        <v>0</v>
      </c>
      <c r="R5574" t="s">
        <v>43172</v>
      </c>
      <c r="S5574" t="s">
        <v>43334</v>
      </c>
      <c r="T5574" t="s">
        <v>44761</v>
      </c>
      <c r="U5574" t="s">
        <v>49749</v>
      </c>
      <c r="W5574" t="s">
        <v>41301</v>
      </c>
      <c r="X5574" t="s">
        <v>43173</v>
      </c>
    </row>
    <row r="5575" spans="1:24">
      <c r="A5575">
        <f>HYPERLINK("https://www.philgeps.gov.ph/GEPSNONPILOT/Tender/SplashBidNoticeAbstractUI.aspx?menuIndex=3&amp;refID=7080006&amp;Result=3","7080006")</f>
        <v>0</v>
      </c>
      <c r="B5575" t="s">
        <v>1727</v>
      </c>
      <c r="C5575" t="s">
        <v>8737</v>
      </c>
      <c r="D5575" t="s">
        <v>17436</v>
      </c>
      <c r="E5575" t="s">
        <v>22325</v>
      </c>
      <c r="F5575" t="s">
        <v>30052</v>
      </c>
      <c r="G5575" t="s">
        <v>30058</v>
      </c>
      <c r="H5575" t="s">
        <v>15498</v>
      </c>
      <c r="I5575" t="s">
        <v>4650</v>
      </c>
      <c r="J5575" t="s">
        <v>30398</v>
      </c>
      <c r="K5575" t="s">
        <v>39034</v>
      </c>
      <c r="M5575" t="s">
        <v>41144</v>
      </c>
      <c r="N5575" t="s">
        <v>43166</v>
      </c>
      <c r="O5575" t="s">
        <v>43167</v>
      </c>
      <c r="P5575">
        <v>0</v>
      </c>
      <c r="Q5575">
        <v>0</v>
      </c>
      <c r="R5575" t="s">
        <v>43172</v>
      </c>
      <c r="S5575" t="s">
        <v>43334</v>
      </c>
      <c r="T5575" t="s">
        <v>44818</v>
      </c>
      <c r="U5575" t="s">
        <v>49750</v>
      </c>
      <c r="W5575" t="s">
        <v>41144</v>
      </c>
      <c r="X5575" t="s">
        <v>43173</v>
      </c>
    </row>
    <row r="5576" spans="1:24">
      <c r="A5576">
        <f>HYPERLINK("https://www.philgeps.gov.ph/GEPSNONPILOT/Tender/SplashBidNoticeAbstractUI.aspx?menuIndex=3&amp;refID=7080002&amp;Result=3","7080002")</f>
        <v>0</v>
      </c>
      <c r="B5576" t="s">
        <v>1351</v>
      </c>
      <c r="C5576" t="s">
        <v>8738</v>
      </c>
      <c r="D5576" t="s">
        <v>17427</v>
      </c>
      <c r="E5576" t="s">
        <v>22326</v>
      </c>
      <c r="F5576" t="s">
        <v>30052</v>
      </c>
      <c r="G5576" t="s">
        <v>30058</v>
      </c>
      <c r="H5576" t="s">
        <v>30067</v>
      </c>
      <c r="I5576" t="s">
        <v>3693</v>
      </c>
      <c r="J5576" t="s">
        <v>33716</v>
      </c>
      <c r="K5576" t="s">
        <v>39037</v>
      </c>
      <c r="M5576" t="s">
        <v>40720</v>
      </c>
      <c r="N5576" t="s">
        <v>43166</v>
      </c>
      <c r="O5576" t="s">
        <v>43167</v>
      </c>
      <c r="P5576">
        <v>0</v>
      </c>
      <c r="Q5576">
        <v>0</v>
      </c>
      <c r="R5576" t="s">
        <v>43172</v>
      </c>
      <c r="S5576" t="s">
        <v>43334</v>
      </c>
      <c r="T5576" t="s">
        <v>44971</v>
      </c>
      <c r="U5576" t="s">
        <v>49751</v>
      </c>
      <c r="V5576" t="s">
        <v>56837</v>
      </c>
      <c r="W5576" t="s">
        <v>40720</v>
      </c>
      <c r="X5576" t="s">
        <v>43173</v>
      </c>
    </row>
    <row r="5577" spans="1:24">
      <c r="A5577">
        <f>HYPERLINK("https://www.philgeps.gov.ph/GEPSNONPILOT/Tender/SplashBidNoticeAbstractUI.aspx?menuIndex=3&amp;refID=7080027&amp;Result=3","7080027")</f>
        <v>0</v>
      </c>
      <c r="B5577" t="s">
        <v>1897</v>
      </c>
      <c r="C5577" t="s">
        <v>8739</v>
      </c>
      <c r="D5577" t="s">
        <v>17444</v>
      </c>
      <c r="E5577" t="s">
        <v>17665</v>
      </c>
      <c r="F5577" t="s">
        <v>30052</v>
      </c>
      <c r="G5577" t="s">
        <v>30058</v>
      </c>
      <c r="H5577" t="s">
        <v>30067</v>
      </c>
      <c r="I5577" t="s">
        <v>3693</v>
      </c>
      <c r="J5577" t="s">
        <v>30337</v>
      </c>
      <c r="K5577" t="s">
        <v>39046</v>
      </c>
      <c r="M5577" t="s">
        <v>41328</v>
      </c>
      <c r="N5577" t="s">
        <v>43166</v>
      </c>
      <c r="O5577" t="s">
        <v>43167</v>
      </c>
      <c r="P5577">
        <v>0</v>
      </c>
      <c r="Q5577">
        <v>0</v>
      </c>
      <c r="R5577" t="s">
        <v>43172</v>
      </c>
      <c r="S5577" t="s">
        <v>43334</v>
      </c>
      <c r="T5577" t="s">
        <v>45007</v>
      </c>
      <c r="U5577" t="s">
        <v>49752</v>
      </c>
      <c r="W5577" t="s">
        <v>41328</v>
      </c>
      <c r="X5577" t="s">
        <v>43173</v>
      </c>
    </row>
    <row r="5578" spans="1:24">
      <c r="A5578">
        <f>HYPERLINK("https://www.philgeps.gov.ph/GEPSNONPILOT/Tender/SplashBidNoticeAbstractUI.aspx?menuIndex=3&amp;refID=7079998&amp;Result=3","7079998")</f>
        <v>0</v>
      </c>
      <c r="B5578" t="s">
        <v>1898</v>
      </c>
      <c r="C5578" t="s">
        <v>8740</v>
      </c>
      <c r="D5578" t="s">
        <v>17415</v>
      </c>
      <c r="E5578" t="s">
        <v>22327</v>
      </c>
      <c r="F5578" t="s">
        <v>30052</v>
      </c>
      <c r="G5578" t="s">
        <v>30058</v>
      </c>
      <c r="H5578" t="s">
        <v>15498</v>
      </c>
      <c r="I5578" t="s">
        <v>30085</v>
      </c>
      <c r="J5578" t="s">
        <v>33717</v>
      </c>
      <c r="K5578" t="s">
        <v>39029</v>
      </c>
      <c r="M5578" t="s">
        <v>41329</v>
      </c>
      <c r="N5578" t="s">
        <v>43166</v>
      </c>
      <c r="O5578" t="s">
        <v>43167</v>
      </c>
      <c r="P5578">
        <v>0</v>
      </c>
      <c r="Q5578">
        <v>0</v>
      </c>
      <c r="R5578" t="s">
        <v>43172</v>
      </c>
      <c r="S5578" t="s">
        <v>43334</v>
      </c>
      <c r="T5578" t="s">
        <v>44710</v>
      </c>
      <c r="U5578" t="s">
        <v>49753</v>
      </c>
      <c r="W5578" t="s">
        <v>41329</v>
      </c>
      <c r="X5578" t="s">
        <v>43173</v>
      </c>
    </row>
    <row r="5579" spans="1:24">
      <c r="A5579">
        <f>HYPERLINK("https://www.philgeps.gov.ph/GEPSNONPILOT/Tender/SplashBidNoticeAbstractUI.aspx?menuIndex=3&amp;refID=7080020&amp;Result=3","7080020")</f>
        <v>0</v>
      </c>
      <c r="B5579" t="s">
        <v>1899</v>
      </c>
      <c r="C5579" t="s">
        <v>8741</v>
      </c>
      <c r="D5579" t="s">
        <v>17422</v>
      </c>
      <c r="E5579" t="s">
        <v>22328</v>
      </c>
      <c r="F5579" t="s">
        <v>30052</v>
      </c>
      <c r="G5579" t="s">
        <v>30059</v>
      </c>
      <c r="H5579" t="s">
        <v>15498</v>
      </c>
      <c r="I5579" t="s">
        <v>3736</v>
      </c>
      <c r="J5579" t="s">
        <v>33718</v>
      </c>
      <c r="K5579" t="s">
        <v>39017</v>
      </c>
      <c r="M5579" t="s">
        <v>41330</v>
      </c>
      <c r="N5579" t="s">
        <v>43166</v>
      </c>
      <c r="O5579" t="s">
        <v>43167</v>
      </c>
      <c r="P5579">
        <v>0</v>
      </c>
      <c r="Q5579">
        <v>0</v>
      </c>
      <c r="R5579" t="s">
        <v>43172</v>
      </c>
      <c r="S5579" t="s">
        <v>43334</v>
      </c>
      <c r="T5579" t="s">
        <v>44691</v>
      </c>
      <c r="U5579" t="s">
        <v>49754</v>
      </c>
      <c r="W5579" t="s">
        <v>41330</v>
      </c>
      <c r="X5579" t="s">
        <v>43173</v>
      </c>
    </row>
    <row r="5580" spans="1:24">
      <c r="A5580">
        <f>HYPERLINK("https://www.philgeps.gov.ph/GEPSNONPILOT/Tender/SplashBidNoticeAbstractUI.aspx?menuIndex=3&amp;refID=7080047&amp;Result=3","7080047")</f>
        <v>0</v>
      </c>
      <c r="B5580" t="s">
        <v>1266</v>
      </c>
      <c r="C5580" t="s">
        <v>8742</v>
      </c>
      <c r="D5580" t="s">
        <v>17466</v>
      </c>
      <c r="E5580" t="s">
        <v>22329</v>
      </c>
      <c r="F5580" t="s">
        <v>30052</v>
      </c>
      <c r="G5580" t="s">
        <v>30059</v>
      </c>
      <c r="H5580" t="s">
        <v>15498</v>
      </c>
      <c r="I5580" t="s">
        <v>30080</v>
      </c>
      <c r="J5580" t="s">
        <v>31133</v>
      </c>
      <c r="K5580" t="s">
        <v>39017</v>
      </c>
      <c r="M5580" t="s">
        <v>40624</v>
      </c>
      <c r="N5580" t="s">
        <v>43166</v>
      </c>
      <c r="O5580" t="s">
        <v>43167</v>
      </c>
      <c r="P5580">
        <v>0</v>
      </c>
      <c r="Q5580">
        <v>6</v>
      </c>
      <c r="R5580" t="s">
        <v>43172</v>
      </c>
      <c r="S5580" t="s">
        <v>43334</v>
      </c>
      <c r="T5580" t="s">
        <v>44720</v>
      </c>
      <c r="U5580" t="s">
        <v>49755</v>
      </c>
      <c r="W5580" t="s">
        <v>40624</v>
      </c>
      <c r="X5580" t="s">
        <v>43173</v>
      </c>
    </row>
    <row r="5581" spans="1:24">
      <c r="A5581">
        <f>HYPERLINK("https://www.philgeps.gov.ph/GEPSNONPILOT/Tender/SplashBidNoticeAbstractUI.aspx?menuIndex=3&amp;refID=7079991&amp;Result=3","7079991")</f>
        <v>0</v>
      </c>
      <c r="B5581" t="s">
        <v>1811</v>
      </c>
      <c r="C5581" t="s">
        <v>8743</v>
      </c>
      <c r="D5581" t="s">
        <v>17450</v>
      </c>
      <c r="E5581" t="s">
        <v>22330</v>
      </c>
      <c r="F5581" t="s">
        <v>30052</v>
      </c>
      <c r="G5581" t="s">
        <v>30058</v>
      </c>
      <c r="H5581" t="s">
        <v>30067</v>
      </c>
      <c r="I5581" t="s">
        <v>3693</v>
      </c>
      <c r="J5581" t="s">
        <v>33670</v>
      </c>
      <c r="K5581" t="s">
        <v>39026</v>
      </c>
      <c r="M5581" t="s">
        <v>41234</v>
      </c>
      <c r="N5581" t="s">
        <v>43166</v>
      </c>
      <c r="O5581" t="s">
        <v>43167</v>
      </c>
      <c r="P5581">
        <v>0</v>
      </c>
      <c r="Q5581">
        <v>2</v>
      </c>
      <c r="R5581" t="s">
        <v>43172</v>
      </c>
      <c r="S5581" t="s">
        <v>43334</v>
      </c>
      <c r="T5581" t="s">
        <v>44722</v>
      </c>
      <c r="U5581" t="s">
        <v>49480</v>
      </c>
      <c r="W5581" t="s">
        <v>41234</v>
      </c>
      <c r="X5581" t="s">
        <v>43173</v>
      </c>
    </row>
    <row r="5582" spans="1:24">
      <c r="A5582">
        <f>HYPERLINK("https://www.philgeps.gov.ph/GEPSNONPILOT/Tender/SplashBidNoticeAbstractUI.aspx?menuIndex=3&amp;refID=7080025&amp;Result=3","7080025")</f>
        <v>0</v>
      </c>
      <c r="B5582" t="s">
        <v>1028</v>
      </c>
      <c r="C5582" t="s">
        <v>8744</v>
      </c>
      <c r="D5582" t="s">
        <v>17438</v>
      </c>
      <c r="E5582" t="s">
        <v>22331</v>
      </c>
      <c r="F5582" t="s">
        <v>30052</v>
      </c>
      <c r="G5582" t="s">
        <v>30059</v>
      </c>
      <c r="H5582" t="s">
        <v>15498</v>
      </c>
      <c r="I5582" t="s">
        <v>6691</v>
      </c>
      <c r="J5582" t="s">
        <v>33719</v>
      </c>
      <c r="K5582" t="s">
        <v>39035</v>
      </c>
      <c r="M5582" t="s">
        <v>40357</v>
      </c>
      <c r="N5582" t="s">
        <v>43166</v>
      </c>
      <c r="O5582" t="s">
        <v>43167</v>
      </c>
      <c r="P5582">
        <v>0</v>
      </c>
      <c r="Q5582">
        <v>0</v>
      </c>
      <c r="R5582" t="s">
        <v>43172</v>
      </c>
      <c r="S5582" t="s">
        <v>43334</v>
      </c>
      <c r="T5582" t="s">
        <v>44691</v>
      </c>
      <c r="U5582" t="s">
        <v>47341</v>
      </c>
      <c r="W5582" t="s">
        <v>40357</v>
      </c>
      <c r="X5582" t="s">
        <v>43173</v>
      </c>
    </row>
    <row r="5583" spans="1:24">
      <c r="A5583">
        <f>HYPERLINK("https://www.philgeps.gov.ph/GEPSNONPILOT/Tender/SplashBidNoticeAbstractUI.aspx?menuIndex=3&amp;refID=7080052&amp;Result=3","7080052")</f>
        <v>0</v>
      </c>
      <c r="B5583" t="s">
        <v>143</v>
      </c>
      <c r="C5583" t="s">
        <v>8745</v>
      </c>
      <c r="D5583" t="s">
        <v>17415</v>
      </c>
      <c r="E5583" t="s">
        <v>22332</v>
      </c>
      <c r="F5583" t="s">
        <v>30052</v>
      </c>
      <c r="G5583" t="s">
        <v>30059</v>
      </c>
      <c r="H5583" t="s">
        <v>15498</v>
      </c>
      <c r="I5583" t="s">
        <v>8323</v>
      </c>
      <c r="J5583" t="s">
        <v>33720</v>
      </c>
      <c r="K5583" t="s">
        <v>39025</v>
      </c>
      <c r="M5583" t="s">
        <v>39432</v>
      </c>
      <c r="N5583" t="s">
        <v>43166</v>
      </c>
      <c r="O5583" t="s">
        <v>43167</v>
      </c>
      <c r="P5583">
        <v>0</v>
      </c>
      <c r="Q5583">
        <v>9</v>
      </c>
      <c r="R5583" t="s">
        <v>43172</v>
      </c>
      <c r="S5583" t="s">
        <v>43334</v>
      </c>
      <c r="T5583" t="s">
        <v>44962</v>
      </c>
      <c r="U5583" t="s">
        <v>49756</v>
      </c>
      <c r="W5583" t="s">
        <v>39432</v>
      </c>
      <c r="X5583" t="s">
        <v>43173</v>
      </c>
    </row>
    <row r="5584" spans="1:24">
      <c r="A5584">
        <f>HYPERLINK("https://www.philgeps.gov.ph/GEPSNONPILOT/Tender/SplashBidNoticeAbstractUI.aspx?menuIndex=3&amp;refID=7079936&amp;Result=3","7079936")</f>
        <v>0</v>
      </c>
      <c r="B5584" t="s">
        <v>1900</v>
      </c>
      <c r="C5584" t="s">
        <v>8746</v>
      </c>
      <c r="D5584" t="s">
        <v>17486</v>
      </c>
      <c r="E5584" t="s">
        <v>22333</v>
      </c>
      <c r="F5584" t="s">
        <v>30052</v>
      </c>
      <c r="G5584" t="s">
        <v>30058</v>
      </c>
      <c r="H5584" t="s">
        <v>15498</v>
      </c>
      <c r="I5584" t="s">
        <v>30074</v>
      </c>
      <c r="J5584" t="s">
        <v>30222</v>
      </c>
      <c r="K5584" t="s">
        <v>39019</v>
      </c>
      <c r="M5584" t="s">
        <v>41331</v>
      </c>
      <c r="N5584" t="s">
        <v>43166</v>
      </c>
      <c r="O5584" t="s">
        <v>43167</v>
      </c>
      <c r="P5584">
        <v>0</v>
      </c>
      <c r="Q5584">
        <v>2</v>
      </c>
      <c r="R5584" t="s">
        <v>43172</v>
      </c>
      <c r="S5584" t="s">
        <v>43334</v>
      </c>
      <c r="T5584" t="s">
        <v>44703</v>
      </c>
      <c r="U5584" t="s">
        <v>49757</v>
      </c>
      <c r="W5584" t="s">
        <v>41331</v>
      </c>
      <c r="X5584" t="s">
        <v>43173</v>
      </c>
    </row>
    <row r="5585" spans="1:24">
      <c r="A5585">
        <f>HYPERLINK("https://www.philgeps.gov.ph/GEPSNONPILOT/Tender/SplashBidNoticeAbstractUI.aspx?menuIndex=3&amp;refID=7080051&amp;Result=3","7080051")</f>
        <v>0</v>
      </c>
      <c r="B5585" t="s">
        <v>1882</v>
      </c>
      <c r="C5585" t="s">
        <v>8677</v>
      </c>
      <c r="D5585" t="s">
        <v>17474</v>
      </c>
      <c r="E5585" t="s">
        <v>17922</v>
      </c>
      <c r="F5585" t="s">
        <v>30052</v>
      </c>
      <c r="G5585" t="s">
        <v>30058</v>
      </c>
      <c r="H5585" t="s">
        <v>15498</v>
      </c>
      <c r="I5585" t="s">
        <v>3736</v>
      </c>
      <c r="J5585" t="s">
        <v>33721</v>
      </c>
      <c r="K5585" t="s">
        <v>39029</v>
      </c>
      <c r="M5585" t="s">
        <v>41313</v>
      </c>
      <c r="N5585" t="s">
        <v>43166</v>
      </c>
      <c r="O5585" t="s">
        <v>43167</v>
      </c>
      <c r="P5585">
        <v>0</v>
      </c>
      <c r="Q5585">
        <v>0</v>
      </c>
      <c r="R5585" t="s">
        <v>43172</v>
      </c>
      <c r="S5585" t="s">
        <v>43334</v>
      </c>
      <c r="T5585" t="s">
        <v>44699</v>
      </c>
      <c r="U5585" t="s">
        <v>49758</v>
      </c>
      <c r="W5585" t="s">
        <v>41313</v>
      </c>
      <c r="X5585" t="s">
        <v>43173</v>
      </c>
    </row>
    <row r="5586" spans="1:24">
      <c r="A5586">
        <f>HYPERLINK("https://www.philgeps.gov.ph/GEPSNONPILOT/Tender/SplashBidNoticeAbstractUI.aspx?menuIndex=3&amp;refID=7080043&amp;Result=3","7080043")</f>
        <v>0</v>
      </c>
      <c r="B5586" t="s">
        <v>1028</v>
      </c>
      <c r="C5586" t="s">
        <v>8747</v>
      </c>
      <c r="D5586" t="s">
        <v>17438</v>
      </c>
      <c r="E5586" t="s">
        <v>22334</v>
      </c>
      <c r="F5586" t="s">
        <v>30052</v>
      </c>
      <c r="G5586" t="s">
        <v>30059</v>
      </c>
      <c r="H5586" t="s">
        <v>15498</v>
      </c>
      <c r="I5586" t="s">
        <v>6691</v>
      </c>
      <c r="J5586" t="s">
        <v>31307</v>
      </c>
      <c r="K5586" t="s">
        <v>39035</v>
      </c>
      <c r="M5586" t="s">
        <v>40357</v>
      </c>
      <c r="N5586" t="s">
        <v>43166</v>
      </c>
      <c r="O5586" t="s">
        <v>43167</v>
      </c>
      <c r="P5586">
        <v>0</v>
      </c>
      <c r="Q5586">
        <v>0</v>
      </c>
      <c r="R5586" t="s">
        <v>43172</v>
      </c>
      <c r="S5586" t="s">
        <v>43334</v>
      </c>
      <c r="T5586" t="s">
        <v>44691</v>
      </c>
      <c r="U5586" t="s">
        <v>47341</v>
      </c>
      <c r="W5586" t="s">
        <v>40357</v>
      </c>
      <c r="X5586" t="s">
        <v>43173</v>
      </c>
    </row>
    <row r="5587" spans="1:24">
      <c r="A5587">
        <f>HYPERLINK("https://www.philgeps.gov.ph/GEPSNONPILOT/Tender/SplashBidNoticeAbstractUI.aspx?menuIndex=3&amp;refID=7080045&amp;Result=3","7080045")</f>
        <v>0</v>
      </c>
      <c r="B5587" t="s">
        <v>50</v>
      </c>
      <c r="C5587" t="s">
        <v>8748</v>
      </c>
      <c r="D5587" t="s">
        <v>17433</v>
      </c>
      <c r="E5587" t="s">
        <v>22335</v>
      </c>
      <c r="F5587" t="s">
        <v>30052</v>
      </c>
      <c r="G5587" t="s">
        <v>30062</v>
      </c>
      <c r="H5587" t="s">
        <v>15498</v>
      </c>
      <c r="I5587" t="s">
        <v>30139</v>
      </c>
      <c r="J5587" t="s">
        <v>33722</v>
      </c>
      <c r="K5587" t="s">
        <v>39017</v>
      </c>
      <c r="M5587" t="s">
        <v>39340</v>
      </c>
      <c r="N5587" t="s">
        <v>43166</v>
      </c>
      <c r="O5587" t="s">
        <v>43167</v>
      </c>
      <c r="P5587">
        <v>0</v>
      </c>
      <c r="Q5587">
        <v>2</v>
      </c>
      <c r="R5587" t="s">
        <v>43172</v>
      </c>
      <c r="S5587" t="s">
        <v>43334</v>
      </c>
      <c r="T5587" t="s">
        <v>44764</v>
      </c>
      <c r="U5587" t="s">
        <v>49759</v>
      </c>
      <c r="W5587" t="s">
        <v>39340</v>
      </c>
      <c r="X5587" t="s">
        <v>43173</v>
      </c>
    </row>
    <row r="5588" spans="1:24">
      <c r="A5588">
        <f>HYPERLINK("https://www.philgeps.gov.ph/GEPSNONPILOT/Tender/SplashBidNoticeAbstractUI.aspx?menuIndex=3&amp;refID=7080042&amp;Result=3","7080042")</f>
        <v>0</v>
      </c>
      <c r="B5588" t="s">
        <v>1901</v>
      </c>
      <c r="C5588" t="s">
        <v>8749</v>
      </c>
      <c r="D5588" t="s">
        <v>17459</v>
      </c>
      <c r="E5588" t="s">
        <v>22090</v>
      </c>
      <c r="F5588" t="s">
        <v>30052</v>
      </c>
      <c r="G5588" t="s">
        <v>30059</v>
      </c>
      <c r="H5588" t="s">
        <v>15498</v>
      </c>
      <c r="I5588" t="s">
        <v>30070</v>
      </c>
      <c r="J5588" t="s">
        <v>33723</v>
      </c>
      <c r="K5588" t="s">
        <v>39037</v>
      </c>
      <c r="L5588" t="s">
        <v>1901</v>
      </c>
      <c r="M5588" t="s">
        <v>41332</v>
      </c>
      <c r="N5588" t="s">
        <v>43166</v>
      </c>
      <c r="O5588" t="s">
        <v>43167</v>
      </c>
      <c r="P5588">
        <v>0</v>
      </c>
      <c r="Q5588">
        <v>1</v>
      </c>
      <c r="R5588" t="s">
        <v>43172</v>
      </c>
      <c r="S5588" t="s">
        <v>43334</v>
      </c>
      <c r="T5588" t="s">
        <v>44777</v>
      </c>
      <c r="U5588" t="s">
        <v>46522</v>
      </c>
      <c r="W5588" t="s">
        <v>41332</v>
      </c>
      <c r="X5588" t="s">
        <v>43173</v>
      </c>
    </row>
    <row r="5589" spans="1:24">
      <c r="A5589">
        <f>HYPERLINK("https://www.philgeps.gov.ph/GEPSNONPILOT/Tender/SplashBidNoticeAbstractUI.aspx?menuIndex=3&amp;refID=7080039&amp;Result=3","7080039")</f>
        <v>0</v>
      </c>
      <c r="B5589" t="s">
        <v>1902</v>
      </c>
      <c r="C5589" t="s">
        <v>8750</v>
      </c>
      <c r="D5589" t="s">
        <v>17421</v>
      </c>
      <c r="E5589" t="s">
        <v>22336</v>
      </c>
      <c r="F5589" t="s">
        <v>30052</v>
      </c>
      <c r="G5589" t="s">
        <v>30058</v>
      </c>
      <c r="H5589" t="s">
        <v>15498</v>
      </c>
      <c r="I5589" t="s">
        <v>30073</v>
      </c>
      <c r="J5589" t="s">
        <v>33724</v>
      </c>
      <c r="K5589" t="s">
        <v>39046</v>
      </c>
      <c r="M5589" t="s">
        <v>41333</v>
      </c>
      <c r="N5589" t="s">
        <v>43166</v>
      </c>
      <c r="O5589" t="s">
        <v>43167</v>
      </c>
      <c r="P5589">
        <v>0</v>
      </c>
      <c r="Q5589">
        <v>0</v>
      </c>
      <c r="R5589" t="s">
        <v>43172</v>
      </c>
      <c r="S5589" t="s">
        <v>43334</v>
      </c>
      <c r="T5589" t="s">
        <v>44797</v>
      </c>
      <c r="U5589" t="s">
        <v>49760</v>
      </c>
      <c r="W5589" t="s">
        <v>41333</v>
      </c>
      <c r="X5589" t="s">
        <v>43173</v>
      </c>
    </row>
    <row r="5590" spans="1:24">
      <c r="A5590">
        <f>HYPERLINK("https://www.philgeps.gov.ph/GEPSNONPILOT/Tender/SplashBidNoticeAbstractUI.aspx?menuIndex=3&amp;refID=7080038&amp;Result=3","7080038")</f>
        <v>0</v>
      </c>
      <c r="B5590" t="s">
        <v>1736</v>
      </c>
      <c r="C5590" t="s">
        <v>8210</v>
      </c>
      <c r="D5590" t="s">
        <v>17444</v>
      </c>
      <c r="E5590" t="s">
        <v>22337</v>
      </c>
      <c r="F5590" t="s">
        <v>30052</v>
      </c>
      <c r="G5590" t="s">
        <v>30061</v>
      </c>
      <c r="H5590" t="s">
        <v>15498</v>
      </c>
      <c r="I5590" t="s">
        <v>4119</v>
      </c>
      <c r="J5590" t="s">
        <v>33725</v>
      </c>
      <c r="K5590" t="s">
        <v>39034</v>
      </c>
      <c r="M5590" t="s">
        <v>41153</v>
      </c>
      <c r="N5590" t="s">
        <v>43166</v>
      </c>
      <c r="O5590" t="s">
        <v>43167</v>
      </c>
      <c r="P5590">
        <v>0</v>
      </c>
      <c r="Q5590">
        <v>0</v>
      </c>
      <c r="R5590" t="s">
        <v>43172</v>
      </c>
      <c r="S5590" t="s">
        <v>43334</v>
      </c>
      <c r="T5590" t="s">
        <v>44717</v>
      </c>
      <c r="U5590" t="s">
        <v>49761</v>
      </c>
      <c r="W5590" t="s">
        <v>41153</v>
      </c>
      <c r="X5590" t="s">
        <v>43173</v>
      </c>
    </row>
    <row r="5591" spans="1:24">
      <c r="A5591">
        <f>HYPERLINK("https://www.philgeps.gov.ph/GEPSNONPILOT/Tender/SplashBidNoticeAbstractUI.aspx?menuIndex=3&amp;refID=7080022&amp;Result=3","7080022")</f>
        <v>0</v>
      </c>
      <c r="B5591" t="s">
        <v>1727</v>
      </c>
      <c r="C5591" t="s">
        <v>8751</v>
      </c>
      <c r="D5591" t="s">
        <v>17436</v>
      </c>
      <c r="E5591" t="s">
        <v>22338</v>
      </c>
      <c r="F5591" t="s">
        <v>30052</v>
      </c>
      <c r="G5591" t="s">
        <v>30058</v>
      </c>
      <c r="H5591" t="s">
        <v>15498</v>
      </c>
      <c r="I5591" t="s">
        <v>30070</v>
      </c>
      <c r="J5591" t="s">
        <v>33726</v>
      </c>
      <c r="K5591" t="s">
        <v>39034</v>
      </c>
      <c r="M5591" t="s">
        <v>41144</v>
      </c>
      <c r="N5591" t="s">
        <v>43166</v>
      </c>
      <c r="O5591" t="s">
        <v>43167</v>
      </c>
      <c r="P5591">
        <v>0</v>
      </c>
      <c r="Q5591">
        <v>0</v>
      </c>
      <c r="R5591" t="s">
        <v>43172</v>
      </c>
      <c r="S5591" t="s">
        <v>43334</v>
      </c>
      <c r="T5591" t="s">
        <v>44818</v>
      </c>
      <c r="U5591" t="s">
        <v>49762</v>
      </c>
      <c r="W5591" t="s">
        <v>41144</v>
      </c>
      <c r="X5591" t="s">
        <v>43173</v>
      </c>
    </row>
    <row r="5592" spans="1:24">
      <c r="A5592">
        <f>HYPERLINK("https://www.philgeps.gov.ph/GEPSNONPILOT/Tender/SplashBidNoticeAbstractUI.aspx?menuIndex=3&amp;refID=7079995&amp;Result=3","7079995")</f>
        <v>0</v>
      </c>
      <c r="B5592" t="s">
        <v>1903</v>
      </c>
      <c r="C5592" t="s">
        <v>8752</v>
      </c>
      <c r="D5592" t="s">
        <v>17446</v>
      </c>
      <c r="E5592" t="s">
        <v>22339</v>
      </c>
      <c r="F5592" t="s">
        <v>30052</v>
      </c>
      <c r="G5592" t="s">
        <v>30058</v>
      </c>
      <c r="H5592" t="s">
        <v>15498</v>
      </c>
      <c r="I5592" t="s">
        <v>3736</v>
      </c>
      <c r="J5592" t="s">
        <v>33727</v>
      </c>
      <c r="K5592" t="s">
        <v>39029</v>
      </c>
      <c r="M5592" t="s">
        <v>41334</v>
      </c>
      <c r="N5592" t="s">
        <v>43166</v>
      </c>
      <c r="O5592" t="s">
        <v>43167</v>
      </c>
      <c r="P5592">
        <v>0</v>
      </c>
      <c r="Q5592">
        <v>0</v>
      </c>
      <c r="R5592" t="s">
        <v>43172</v>
      </c>
      <c r="S5592" t="s">
        <v>43334</v>
      </c>
      <c r="T5592" t="s">
        <v>44803</v>
      </c>
      <c r="U5592" t="s">
        <v>49763</v>
      </c>
      <c r="W5592" t="s">
        <v>41334</v>
      </c>
      <c r="X5592" t="s">
        <v>43173</v>
      </c>
    </row>
    <row r="5593" spans="1:24">
      <c r="A5593">
        <f>HYPERLINK("https://www.philgeps.gov.ph/GEPSNONPILOT/Tender/SplashBidNoticeAbstractUI.aspx?menuIndex=3&amp;refID=7080044&amp;Result=3","7080044")</f>
        <v>0</v>
      </c>
      <c r="B5593" t="s">
        <v>1417</v>
      </c>
      <c r="C5593" t="s">
        <v>8753</v>
      </c>
      <c r="D5593" t="s">
        <v>17441</v>
      </c>
      <c r="E5593" t="s">
        <v>22340</v>
      </c>
      <c r="F5593" t="s">
        <v>30052</v>
      </c>
      <c r="G5593" t="s">
        <v>30060</v>
      </c>
      <c r="H5593" t="s">
        <v>15498</v>
      </c>
      <c r="I5593" t="s">
        <v>30074</v>
      </c>
      <c r="J5593" t="s">
        <v>33728</v>
      </c>
      <c r="K5593" t="s">
        <v>39034</v>
      </c>
      <c r="M5593" t="s">
        <v>40795</v>
      </c>
      <c r="N5593" t="s">
        <v>43166</v>
      </c>
      <c r="O5593" t="s">
        <v>43167</v>
      </c>
      <c r="P5593">
        <v>0</v>
      </c>
      <c r="Q5593">
        <v>2</v>
      </c>
      <c r="R5593" t="s">
        <v>43172</v>
      </c>
      <c r="S5593" t="s">
        <v>43334</v>
      </c>
      <c r="T5593" t="s">
        <v>44773</v>
      </c>
      <c r="U5593" t="s">
        <v>49764</v>
      </c>
      <c r="W5593" t="s">
        <v>40795</v>
      </c>
      <c r="X5593" t="s">
        <v>43173</v>
      </c>
    </row>
    <row r="5594" spans="1:24">
      <c r="A5594">
        <f>HYPERLINK("https://www.philgeps.gov.ph/GEPSNONPILOT/Tender/SplashBidNoticeAbstractUI.aspx?menuIndex=3&amp;refID=7080032&amp;Result=3","7080032")</f>
        <v>0</v>
      </c>
      <c r="B5594" t="s">
        <v>1898</v>
      </c>
      <c r="C5594" t="s">
        <v>8754</v>
      </c>
      <c r="D5594" t="s">
        <v>17415</v>
      </c>
      <c r="E5594" t="s">
        <v>22341</v>
      </c>
      <c r="F5594" t="s">
        <v>30052</v>
      </c>
      <c r="G5594" t="s">
        <v>30058</v>
      </c>
      <c r="H5594" t="s">
        <v>15498</v>
      </c>
      <c r="I5594" t="s">
        <v>6304</v>
      </c>
      <c r="J5594" t="s">
        <v>33729</v>
      </c>
      <c r="K5594" t="s">
        <v>39029</v>
      </c>
      <c r="M5594" t="s">
        <v>41329</v>
      </c>
      <c r="N5594" t="s">
        <v>43166</v>
      </c>
      <c r="O5594" t="s">
        <v>43167</v>
      </c>
      <c r="P5594">
        <v>0</v>
      </c>
      <c r="Q5594">
        <v>1</v>
      </c>
      <c r="R5594" t="s">
        <v>43172</v>
      </c>
      <c r="S5594" t="s">
        <v>43334</v>
      </c>
      <c r="T5594" t="s">
        <v>44710</v>
      </c>
      <c r="U5594" t="s">
        <v>49765</v>
      </c>
      <c r="W5594" t="s">
        <v>41329</v>
      </c>
      <c r="X5594" t="s">
        <v>43173</v>
      </c>
    </row>
    <row r="5595" spans="1:24">
      <c r="A5595">
        <f>HYPERLINK("https://www.philgeps.gov.ph/GEPSNONPILOT/Tender/SplashBidNoticeAbstractUI.aspx?menuIndex=3&amp;refID=7080033&amp;Result=3","7080033")</f>
        <v>0</v>
      </c>
      <c r="B5595" t="s">
        <v>1740</v>
      </c>
      <c r="C5595" t="s">
        <v>8755</v>
      </c>
      <c r="D5595" t="s">
        <v>17456</v>
      </c>
      <c r="E5595" t="s">
        <v>22342</v>
      </c>
      <c r="F5595" t="s">
        <v>30052</v>
      </c>
      <c r="G5595" t="s">
        <v>30058</v>
      </c>
      <c r="H5595" t="s">
        <v>30068</v>
      </c>
      <c r="I5595" t="s">
        <v>30068</v>
      </c>
      <c r="J5595" t="s">
        <v>33730</v>
      </c>
      <c r="K5595" t="s">
        <v>39037</v>
      </c>
      <c r="M5595" t="s">
        <v>41157</v>
      </c>
      <c r="N5595" t="s">
        <v>43166</v>
      </c>
      <c r="O5595" t="s">
        <v>43167</v>
      </c>
      <c r="P5595">
        <v>0</v>
      </c>
      <c r="Q5595">
        <v>3</v>
      </c>
      <c r="R5595" t="s">
        <v>43172</v>
      </c>
      <c r="S5595" t="s">
        <v>43334</v>
      </c>
      <c r="T5595" t="s">
        <v>44747</v>
      </c>
      <c r="U5595" t="s">
        <v>49766</v>
      </c>
      <c r="W5595" t="s">
        <v>41157</v>
      </c>
      <c r="X5595" t="s">
        <v>43173</v>
      </c>
    </row>
    <row r="5596" spans="1:24">
      <c r="A5596">
        <f>HYPERLINK("https://www.philgeps.gov.ph/GEPSNONPILOT/Tender/SplashBidNoticeAbstractUI.aspx?menuIndex=3&amp;refID=7080029&amp;Result=3","7080029")</f>
        <v>0</v>
      </c>
      <c r="B5596" t="s">
        <v>1015</v>
      </c>
      <c r="C5596" t="s">
        <v>8756</v>
      </c>
      <c r="D5596" t="s">
        <v>17415</v>
      </c>
      <c r="E5596" t="s">
        <v>22343</v>
      </c>
      <c r="F5596" t="s">
        <v>30052</v>
      </c>
      <c r="G5596" t="s">
        <v>30062</v>
      </c>
      <c r="H5596" t="s">
        <v>15498</v>
      </c>
      <c r="I5596" t="s">
        <v>30076</v>
      </c>
      <c r="J5596" t="s">
        <v>33731</v>
      </c>
      <c r="K5596" t="s">
        <v>39017</v>
      </c>
      <c r="M5596" t="s">
        <v>40344</v>
      </c>
      <c r="N5596" t="s">
        <v>43166</v>
      </c>
      <c r="O5596" t="s">
        <v>43167</v>
      </c>
      <c r="P5596">
        <v>0</v>
      </c>
      <c r="Q5596">
        <v>11</v>
      </c>
      <c r="R5596" t="s">
        <v>43172</v>
      </c>
      <c r="S5596" t="s">
        <v>43334</v>
      </c>
      <c r="T5596" t="s">
        <v>44832</v>
      </c>
      <c r="U5596" t="s">
        <v>49767</v>
      </c>
      <c r="V5596" t="s">
        <v>57123</v>
      </c>
      <c r="W5596" t="s">
        <v>40344</v>
      </c>
      <c r="X5596" t="s">
        <v>43173</v>
      </c>
    </row>
    <row r="5597" spans="1:24">
      <c r="A5597">
        <f>HYPERLINK("https://www.philgeps.gov.ph/GEPSNONPILOT/Tender/SplashBidNoticeAbstractUI.aspx?menuIndex=3&amp;refID=7080028&amp;Result=3","7080028")</f>
        <v>0</v>
      </c>
      <c r="B5597" t="s">
        <v>1246</v>
      </c>
      <c r="C5597" t="s">
        <v>8757</v>
      </c>
      <c r="E5597" t="s">
        <v>22344</v>
      </c>
      <c r="F5597" t="s">
        <v>30052</v>
      </c>
      <c r="G5597" t="s">
        <v>30059</v>
      </c>
      <c r="H5597" t="s">
        <v>15498</v>
      </c>
      <c r="I5597" t="s">
        <v>3852</v>
      </c>
      <c r="J5597" t="s">
        <v>33732</v>
      </c>
      <c r="K5597" t="s">
        <v>39025</v>
      </c>
      <c r="M5597" t="s">
        <v>40602</v>
      </c>
      <c r="N5597" t="s">
        <v>43166</v>
      </c>
      <c r="O5597" t="s">
        <v>43167</v>
      </c>
      <c r="P5597">
        <v>0</v>
      </c>
      <c r="Q5597">
        <v>2</v>
      </c>
      <c r="R5597" t="s">
        <v>43172</v>
      </c>
      <c r="S5597" t="s">
        <v>43334</v>
      </c>
      <c r="T5597" t="s">
        <v>44844</v>
      </c>
      <c r="U5597" t="s">
        <v>49768</v>
      </c>
      <c r="W5597" t="s">
        <v>40602</v>
      </c>
      <c r="X5597" t="s">
        <v>43173</v>
      </c>
    </row>
    <row r="5598" spans="1:24">
      <c r="A5598">
        <f>HYPERLINK("https://www.philgeps.gov.ph/GEPSNONPILOT/Tender/SplashBidNoticeAbstractUI.aspx?menuIndex=3&amp;refID=7080035&amp;Result=3","7080035")</f>
        <v>0</v>
      </c>
      <c r="B5598" t="s">
        <v>1576</v>
      </c>
      <c r="C5598" t="s">
        <v>8758</v>
      </c>
      <c r="D5598" t="s">
        <v>17415</v>
      </c>
      <c r="E5598" t="s">
        <v>22345</v>
      </c>
      <c r="F5598" t="s">
        <v>30052</v>
      </c>
      <c r="G5598" t="s">
        <v>30059</v>
      </c>
      <c r="H5598" t="s">
        <v>15498</v>
      </c>
      <c r="I5598" t="s">
        <v>8758</v>
      </c>
      <c r="J5598" t="s">
        <v>33733</v>
      </c>
      <c r="K5598" t="s">
        <v>39025</v>
      </c>
      <c r="M5598" t="s">
        <v>40969</v>
      </c>
      <c r="N5598" t="s">
        <v>43166</v>
      </c>
      <c r="O5598" t="s">
        <v>43167</v>
      </c>
      <c r="P5598">
        <v>0</v>
      </c>
      <c r="Q5598">
        <v>16</v>
      </c>
      <c r="R5598" t="s">
        <v>43172</v>
      </c>
      <c r="S5598" t="s">
        <v>43334</v>
      </c>
      <c r="T5598" t="s">
        <v>44888</v>
      </c>
      <c r="U5598" t="s">
        <v>49769</v>
      </c>
      <c r="V5598" t="s">
        <v>56845</v>
      </c>
      <c r="W5598" t="s">
        <v>40969</v>
      </c>
      <c r="X5598" t="s">
        <v>43173</v>
      </c>
    </row>
    <row r="5599" spans="1:24">
      <c r="A5599">
        <f>HYPERLINK("https://www.philgeps.gov.ph/GEPSNONPILOT/Tender/SplashBidNoticeAbstractUI.aspx?menuIndex=3&amp;refID=7080034&amp;Result=3","7080034")</f>
        <v>0</v>
      </c>
      <c r="B5599" t="s">
        <v>1727</v>
      </c>
      <c r="C5599" t="s">
        <v>8759</v>
      </c>
      <c r="D5599" t="s">
        <v>17436</v>
      </c>
      <c r="E5599" t="s">
        <v>22346</v>
      </c>
      <c r="F5599" t="s">
        <v>30052</v>
      </c>
      <c r="G5599" t="s">
        <v>30058</v>
      </c>
      <c r="H5599" t="s">
        <v>15498</v>
      </c>
      <c r="I5599" t="s">
        <v>30070</v>
      </c>
      <c r="J5599" t="s">
        <v>33734</v>
      </c>
      <c r="K5599" t="s">
        <v>39034</v>
      </c>
      <c r="M5599" t="s">
        <v>41144</v>
      </c>
      <c r="N5599" t="s">
        <v>43166</v>
      </c>
      <c r="O5599" t="s">
        <v>43167</v>
      </c>
      <c r="P5599">
        <v>0</v>
      </c>
      <c r="Q5599">
        <v>0</v>
      </c>
      <c r="R5599" t="s">
        <v>43172</v>
      </c>
      <c r="S5599" t="s">
        <v>43334</v>
      </c>
      <c r="T5599" t="s">
        <v>44818</v>
      </c>
      <c r="U5599" t="s">
        <v>49770</v>
      </c>
      <c r="W5599" t="s">
        <v>41144</v>
      </c>
      <c r="X5599" t="s">
        <v>43173</v>
      </c>
    </row>
    <row r="5600" spans="1:24">
      <c r="A5600">
        <f>HYPERLINK("https://www.philgeps.gov.ph/GEPSNONPILOT/Tender/SplashBidNoticeAbstractUI.aspx?menuIndex=3&amp;refID=7079994&amp;Result=3","7079994")</f>
        <v>0</v>
      </c>
      <c r="B5600" t="s">
        <v>1727</v>
      </c>
      <c r="C5600" t="s">
        <v>8760</v>
      </c>
      <c r="D5600" t="s">
        <v>17436</v>
      </c>
      <c r="E5600" t="s">
        <v>22347</v>
      </c>
      <c r="F5600" t="s">
        <v>30052</v>
      </c>
      <c r="G5600" t="s">
        <v>30058</v>
      </c>
      <c r="H5600" t="s">
        <v>15498</v>
      </c>
      <c r="I5600" t="s">
        <v>30070</v>
      </c>
      <c r="J5600" t="s">
        <v>30472</v>
      </c>
      <c r="K5600" t="s">
        <v>39034</v>
      </c>
      <c r="M5600" t="s">
        <v>41144</v>
      </c>
      <c r="N5600" t="s">
        <v>43166</v>
      </c>
      <c r="O5600" t="s">
        <v>43167</v>
      </c>
      <c r="P5600">
        <v>0</v>
      </c>
      <c r="Q5600">
        <v>0</v>
      </c>
      <c r="R5600" t="s">
        <v>43172</v>
      </c>
      <c r="S5600" t="s">
        <v>43334</v>
      </c>
      <c r="T5600" t="s">
        <v>44818</v>
      </c>
      <c r="U5600" t="s">
        <v>49771</v>
      </c>
      <c r="W5600" t="s">
        <v>41144</v>
      </c>
      <c r="X5600" t="s">
        <v>43173</v>
      </c>
    </row>
    <row r="5601" spans="1:24">
      <c r="A5601">
        <f>HYPERLINK("https://www.philgeps.gov.ph/GEPSNONPILOT/Tender/SplashBidNoticeAbstractUI.aspx?menuIndex=3&amp;refID=7080071&amp;Result=3","7080071")</f>
        <v>0</v>
      </c>
      <c r="B5601" t="s">
        <v>1276</v>
      </c>
      <c r="C5601" t="s">
        <v>8761</v>
      </c>
      <c r="D5601" t="s">
        <v>17427</v>
      </c>
      <c r="E5601" t="s">
        <v>22165</v>
      </c>
      <c r="F5601" t="s">
        <v>30052</v>
      </c>
      <c r="G5601" t="s">
        <v>30059</v>
      </c>
      <c r="H5601" t="s">
        <v>15498</v>
      </c>
      <c r="I5601" t="s">
        <v>30084</v>
      </c>
      <c r="J5601" t="s">
        <v>30890</v>
      </c>
      <c r="K5601" t="s">
        <v>39036</v>
      </c>
      <c r="M5601" t="s">
        <v>40637</v>
      </c>
      <c r="N5601" t="s">
        <v>43166</v>
      </c>
      <c r="O5601" t="s">
        <v>43167</v>
      </c>
      <c r="P5601">
        <v>0</v>
      </c>
      <c r="Q5601">
        <v>1</v>
      </c>
      <c r="R5601" t="s">
        <v>43172</v>
      </c>
      <c r="S5601" t="s">
        <v>43334</v>
      </c>
      <c r="T5601" t="s">
        <v>44837</v>
      </c>
      <c r="U5601" t="s">
        <v>49772</v>
      </c>
      <c r="W5601" t="s">
        <v>40637</v>
      </c>
      <c r="X5601" t="s">
        <v>43173</v>
      </c>
    </row>
    <row r="5602" spans="1:24">
      <c r="A5602">
        <f>HYPERLINK("https://www.philgeps.gov.ph/GEPSNONPILOT/Tender/SplashBidNoticeAbstractUI.aspx?menuIndex=3&amp;refID=7080050&amp;Result=3","7080050")</f>
        <v>0</v>
      </c>
      <c r="B5602" t="s">
        <v>1897</v>
      </c>
      <c r="C5602" t="s">
        <v>8762</v>
      </c>
      <c r="D5602" t="s">
        <v>17444</v>
      </c>
      <c r="E5602" t="s">
        <v>19739</v>
      </c>
      <c r="F5602" t="s">
        <v>30052</v>
      </c>
      <c r="G5602" t="s">
        <v>30058</v>
      </c>
      <c r="H5602" t="s">
        <v>30067</v>
      </c>
      <c r="I5602" t="s">
        <v>3693</v>
      </c>
      <c r="J5602" t="s">
        <v>33735</v>
      </c>
      <c r="K5602" t="s">
        <v>39046</v>
      </c>
      <c r="M5602" t="s">
        <v>41328</v>
      </c>
      <c r="N5602" t="s">
        <v>43166</v>
      </c>
      <c r="O5602" t="s">
        <v>43167</v>
      </c>
      <c r="P5602">
        <v>0</v>
      </c>
      <c r="Q5602">
        <v>0</v>
      </c>
      <c r="R5602" t="s">
        <v>43172</v>
      </c>
      <c r="S5602" t="s">
        <v>43334</v>
      </c>
      <c r="T5602" t="s">
        <v>45007</v>
      </c>
      <c r="U5602" t="s">
        <v>49752</v>
      </c>
      <c r="W5602" t="s">
        <v>41328</v>
      </c>
      <c r="X5602" t="s">
        <v>43173</v>
      </c>
    </row>
    <row r="5603" spans="1:24">
      <c r="A5603">
        <f>HYPERLINK("https://www.philgeps.gov.ph/GEPSNONPILOT/Tender/SplashBidNoticeAbstractUI.aspx?menuIndex=3&amp;refID=7080070&amp;Result=3","7080070")</f>
        <v>0</v>
      </c>
      <c r="B5603" t="s">
        <v>1028</v>
      </c>
      <c r="C5603" t="s">
        <v>8763</v>
      </c>
      <c r="D5603" t="s">
        <v>17438</v>
      </c>
      <c r="E5603" t="s">
        <v>22348</v>
      </c>
      <c r="F5603" t="s">
        <v>30052</v>
      </c>
      <c r="G5603" t="s">
        <v>30059</v>
      </c>
      <c r="H5603" t="s">
        <v>15498</v>
      </c>
      <c r="I5603" t="s">
        <v>6691</v>
      </c>
      <c r="J5603" t="s">
        <v>33659</v>
      </c>
      <c r="K5603" t="s">
        <v>39035</v>
      </c>
      <c r="M5603" t="s">
        <v>40357</v>
      </c>
      <c r="N5603" t="s">
        <v>43166</v>
      </c>
      <c r="O5603" t="s">
        <v>43167</v>
      </c>
      <c r="P5603">
        <v>0</v>
      </c>
      <c r="Q5603">
        <v>0</v>
      </c>
      <c r="R5603" t="s">
        <v>43172</v>
      </c>
      <c r="S5603" t="s">
        <v>43334</v>
      </c>
      <c r="T5603" t="s">
        <v>44691</v>
      </c>
      <c r="U5603" t="s">
        <v>47341</v>
      </c>
      <c r="W5603" t="s">
        <v>40357</v>
      </c>
      <c r="X5603" t="s">
        <v>43173</v>
      </c>
    </row>
    <row r="5604" spans="1:24">
      <c r="A5604">
        <f>HYPERLINK("https://www.philgeps.gov.ph/GEPSNONPILOT/Tender/SplashBidNoticeAbstractUI.aspx?menuIndex=3&amp;refID=7080069&amp;Result=3","7080069")</f>
        <v>0</v>
      </c>
      <c r="B5604" t="s">
        <v>1901</v>
      </c>
      <c r="C5604" t="s">
        <v>8764</v>
      </c>
      <c r="D5604" t="s">
        <v>17459</v>
      </c>
      <c r="E5604" t="s">
        <v>22105</v>
      </c>
      <c r="F5604" t="s">
        <v>30052</v>
      </c>
      <c r="G5604" t="s">
        <v>30059</v>
      </c>
      <c r="H5604" t="s">
        <v>15498</v>
      </c>
      <c r="I5604" t="s">
        <v>30070</v>
      </c>
      <c r="J5604" t="s">
        <v>33736</v>
      </c>
      <c r="K5604" t="s">
        <v>39037</v>
      </c>
      <c r="L5604" t="s">
        <v>1901</v>
      </c>
      <c r="M5604" t="s">
        <v>41332</v>
      </c>
      <c r="N5604" t="s">
        <v>43166</v>
      </c>
      <c r="O5604" t="s">
        <v>43167</v>
      </c>
      <c r="P5604">
        <v>0</v>
      </c>
      <c r="Q5604">
        <v>4</v>
      </c>
      <c r="R5604" t="s">
        <v>43172</v>
      </c>
      <c r="S5604" t="s">
        <v>43334</v>
      </c>
      <c r="T5604" t="s">
        <v>44777</v>
      </c>
      <c r="U5604" t="s">
        <v>46522</v>
      </c>
      <c r="W5604" t="s">
        <v>41332</v>
      </c>
      <c r="X5604" t="s">
        <v>43173</v>
      </c>
    </row>
    <row r="5605" spans="1:24">
      <c r="A5605">
        <f>HYPERLINK("https://www.philgeps.gov.ph/GEPSNONPILOT/Tender/SplashBidNoticeAbstractUI.aspx?menuIndex=3&amp;refID=7080068&amp;Result=3","7080068")</f>
        <v>0</v>
      </c>
      <c r="B5605" t="s">
        <v>1904</v>
      </c>
      <c r="C5605" t="s">
        <v>8765</v>
      </c>
      <c r="D5605" t="s">
        <v>17443</v>
      </c>
      <c r="E5605" t="s">
        <v>17715</v>
      </c>
      <c r="F5605" t="s">
        <v>30052</v>
      </c>
      <c r="G5605" t="s">
        <v>30058</v>
      </c>
      <c r="H5605" t="s">
        <v>15498</v>
      </c>
      <c r="I5605" t="s">
        <v>3736</v>
      </c>
      <c r="J5605" t="s">
        <v>33737</v>
      </c>
      <c r="K5605" t="s">
        <v>39019</v>
      </c>
      <c r="M5605" t="s">
        <v>41335</v>
      </c>
      <c r="N5605" t="s">
        <v>43166</v>
      </c>
      <c r="O5605" t="s">
        <v>43167</v>
      </c>
      <c r="P5605">
        <v>0</v>
      </c>
      <c r="Q5605">
        <v>0</v>
      </c>
      <c r="R5605" t="s">
        <v>43172</v>
      </c>
      <c r="S5605" t="s">
        <v>43334</v>
      </c>
      <c r="T5605" t="s">
        <v>44710</v>
      </c>
      <c r="U5605" t="s">
        <v>49773</v>
      </c>
      <c r="W5605" t="s">
        <v>41335</v>
      </c>
      <c r="X5605" t="s">
        <v>43173</v>
      </c>
    </row>
    <row r="5606" spans="1:24">
      <c r="A5606">
        <f>HYPERLINK("https://www.philgeps.gov.ph/GEPSNONPILOT/Tender/SplashBidNoticeAbstractUI.aspx?menuIndex=3&amp;refID=7080065&amp;Result=3","7080065")</f>
        <v>0</v>
      </c>
      <c r="B5606" t="s">
        <v>1905</v>
      </c>
      <c r="C5606" t="s">
        <v>8766</v>
      </c>
      <c r="D5606" t="s">
        <v>17424</v>
      </c>
      <c r="E5606" t="s">
        <v>22349</v>
      </c>
      <c r="F5606" t="s">
        <v>30052</v>
      </c>
      <c r="G5606" t="s">
        <v>30058</v>
      </c>
      <c r="H5606" t="s">
        <v>30067</v>
      </c>
      <c r="I5606" t="s">
        <v>3693</v>
      </c>
      <c r="J5606" t="s">
        <v>33738</v>
      </c>
      <c r="K5606" t="s">
        <v>39023</v>
      </c>
      <c r="M5606" t="s">
        <v>41336</v>
      </c>
      <c r="N5606" t="s">
        <v>43166</v>
      </c>
      <c r="O5606" t="s">
        <v>43167</v>
      </c>
      <c r="P5606">
        <v>0</v>
      </c>
      <c r="Q5606">
        <v>3</v>
      </c>
      <c r="R5606" t="s">
        <v>43172</v>
      </c>
      <c r="S5606" t="s">
        <v>43334</v>
      </c>
      <c r="T5606" t="s">
        <v>44716</v>
      </c>
      <c r="U5606" t="s">
        <v>49774</v>
      </c>
      <c r="V5606" t="s">
        <v>57435</v>
      </c>
      <c r="W5606" t="s">
        <v>41336</v>
      </c>
      <c r="X5606" t="s">
        <v>43173</v>
      </c>
    </row>
    <row r="5607" spans="1:24">
      <c r="A5607">
        <f>HYPERLINK("https://www.philgeps.gov.ph/GEPSNONPILOT/Tender/SplashBidNoticeAbstractUI.aspx?menuIndex=3&amp;refID=7080064&amp;Result=3","7080064")</f>
        <v>0</v>
      </c>
      <c r="B5607" t="s">
        <v>1882</v>
      </c>
      <c r="C5607" t="s">
        <v>8767</v>
      </c>
      <c r="D5607" t="s">
        <v>17474</v>
      </c>
      <c r="E5607" t="s">
        <v>18410</v>
      </c>
      <c r="F5607" t="s">
        <v>30052</v>
      </c>
      <c r="G5607" t="s">
        <v>30058</v>
      </c>
      <c r="H5607" t="s">
        <v>15498</v>
      </c>
      <c r="I5607" t="s">
        <v>3736</v>
      </c>
      <c r="J5607" t="s">
        <v>33739</v>
      </c>
      <c r="K5607" t="s">
        <v>39029</v>
      </c>
      <c r="M5607" t="s">
        <v>41313</v>
      </c>
      <c r="N5607" t="s">
        <v>43166</v>
      </c>
      <c r="O5607" t="s">
        <v>43167</v>
      </c>
      <c r="P5607">
        <v>0</v>
      </c>
      <c r="Q5607">
        <v>0</v>
      </c>
      <c r="R5607" t="s">
        <v>43172</v>
      </c>
      <c r="S5607" t="s">
        <v>43334</v>
      </c>
      <c r="T5607" t="s">
        <v>44699</v>
      </c>
      <c r="U5607" t="s">
        <v>49775</v>
      </c>
      <c r="W5607" t="s">
        <v>41313</v>
      </c>
      <c r="X5607" t="s">
        <v>43173</v>
      </c>
    </row>
    <row r="5608" spans="1:24">
      <c r="A5608">
        <f>HYPERLINK("https://www.philgeps.gov.ph/GEPSNONPILOT/Tender/SplashBidNoticeAbstractUI.aspx?menuIndex=3&amp;refID=7080063&amp;Result=3","7080063")</f>
        <v>0</v>
      </c>
      <c r="B5608" t="s">
        <v>1032</v>
      </c>
      <c r="C5608" t="s">
        <v>8768</v>
      </c>
      <c r="D5608" t="s">
        <v>17485</v>
      </c>
      <c r="E5608" t="s">
        <v>22350</v>
      </c>
      <c r="F5608" t="s">
        <v>30052</v>
      </c>
      <c r="G5608" t="s">
        <v>30061</v>
      </c>
      <c r="H5608" t="s">
        <v>15498</v>
      </c>
      <c r="I5608" t="s">
        <v>3736</v>
      </c>
      <c r="J5608" t="s">
        <v>31592</v>
      </c>
      <c r="K5608" t="s">
        <v>39019</v>
      </c>
      <c r="M5608" t="s">
        <v>40361</v>
      </c>
      <c r="N5608" t="s">
        <v>43166</v>
      </c>
      <c r="O5608" t="s">
        <v>43167</v>
      </c>
      <c r="P5608">
        <v>0</v>
      </c>
      <c r="Q5608">
        <v>1</v>
      </c>
      <c r="R5608" t="s">
        <v>43172</v>
      </c>
      <c r="S5608" t="s">
        <v>43334</v>
      </c>
      <c r="T5608" t="s">
        <v>44717</v>
      </c>
      <c r="U5608" t="s">
        <v>49776</v>
      </c>
      <c r="W5608" t="s">
        <v>40361</v>
      </c>
      <c r="X5608" t="s">
        <v>43173</v>
      </c>
    </row>
    <row r="5609" spans="1:24">
      <c r="A5609">
        <f>HYPERLINK("https://www.philgeps.gov.ph/GEPSNONPILOT/Tender/SplashBidNoticeAbstractUI.aspx?menuIndex=3&amp;refID=7080060&amp;Result=3","7080060")</f>
        <v>0</v>
      </c>
      <c r="B5609" t="s">
        <v>723</v>
      </c>
      <c r="C5609" t="s">
        <v>8769</v>
      </c>
      <c r="D5609" t="s">
        <v>17459</v>
      </c>
      <c r="E5609" t="s">
        <v>22351</v>
      </c>
      <c r="F5609" t="s">
        <v>30052</v>
      </c>
      <c r="G5609" t="s">
        <v>30060</v>
      </c>
      <c r="H5609" t="s">
        <v>15498</v>
      </c>
      <c r="I5609" t="s">
        <v>30073</v>
      </c>
      <c r="J5609" t="s">
        <v>33740</v>
      </c>
      <c r="K5609" t="s">
        <v>39086</v>
      </c>
      <c r="M5609" t="s">
        <v>40034</v>
      </c>
      <c r="N5609" t="s">
        <v>43166</v>
      </c>
      <c r="O5609" t="s">
        <v>43167</v>
      </c>
      <c r="P5609">
        <v>0</v>
      </c>
      <c r="Q5609">
        <v>0</v>
      </c>
      <c r="R5609" t="s">
        <v>43172</v>
      </c>
      <c r="S5609" t="s">
        <v>43334</v>
      </c>
      <c r="T5609" t="s">
        <v>44949</v>
      </c>
      <c r="U5609" t="s">
        <v>46566</v>
      </c>
      <c r="W5609" t="s">
        <v>40034</v>
      </c>
      <c r="X5609" t="s">
        <v>43173</v>
      </c>
    </row>
    <row r="5610" spans="1:24">
      <c r="A5610">
        <f>HYPERLINK("https://www.philgeps.gov.ph/GEPSNONPILOT/Tender/SplashBidNoticeAbstractUI.aspx?menuIndex=3&amp;refID=7080057&amp;Result=3","7080057")</f>
        <v>0</v>
      </c>
      <c r="B5610" t="s">
        <v>592</v>
      </c>
      <c r="C5610" t="s">
        <v>8770</v>
      </c>
      <c r="D5610" t="s">
        <v>17461</v>
      </c>
      <c r="E5610" t="s">
        <v>22352</v>
      </c>
      <c r="F5610" t="s">
        <v>30052</v>
      </c>
      <c r="G5610" t="s">
        <v>30058</v>
      </c>
      <c r="H5610" t="s">
        <v>15498</v>
      </c>
      <c r="I5610" t="s">
        <v>30081</v>
      </c>
      <c r="J5610" t="s">
        <v>33741</v>
      </c>
      <c r="K5610" t="s">
        <v>39029</v>
      </c>
      <c r="M5610" t="s">
        <v>41301</v>
      </c>
      <c r="N5610" t="s">
        <v>43166</v>
      </c>
      <c r="O5610" t="s">
        <v>43167</v>
      </c>
      <c r="P5610">
        <v>0</v>
      </c>
      <c r="Q5610">
        <v>0</v>
      </c>
      <c r="R5610" t="s">
        <v>43172</v>
      </c>
      <c r="S5610" t="s">
        <v>43334</v>
      </c>
      <c r="T5610" t="s">
        <v>44761</v>
      </c>
      <c r="U5610" t="s">
        <v>49777</v>
      </c>
      <c r="W5610" t="s">
        <v>41301</v>
      </c>
      <c r="X5610" t="s">
        <v>43173</v>
      </c>
    </row>
    <row r="5611" spans="1:24">
      <c r="A5611">
        <f>HYPERLINK("https://www.philgeps.gov.ph/GEPSNONPILOT/Tender/SplashBidNoticeAbstractUI.aspx?menuIndex=3&amp;refID=7080083&amp;Result=3","7080083")</f>
        <v>0</v>
      </c>
      <c r="B5611" t="s">
        <v>1727</v>
      </c>
      <c r="C5611" t="s">
        <v>8771</v>
      </c>
      <c r="D5611" t="s">
        <v>17436</v>
      </c>
      <c r="E5611" t="s">
        <v>22353</v>
      </c>
      <c r="F5611" t="s">
        <v>30052</v>
      </c>
      <c r="G5611" t="s">
        <v>30058</v>
      </c>
      <c r="H5611" t="s">
        <v>15498</v>
      </c>
      <c r="I5611" t="s">
        <v>3736</v>
      </c>
      <c r="J5611" t="s">
        <v>33742</v>
      </c>
      <c r="K5611" t="s">
        <v>39034</v>
      </c>
      <c r="M5611" t="s">
        <v>41144</v>
      </c>
      <c r="N5611" t="s">
        <v>43166</v>
      </c>
      <c r="O5611" t="s">
        <v>43167</v>
      </c>
      <c r="P5611">
        <v>0</v>
      </c>
      <c r="Q5611">
        <v>1</v>
      </c>
      <c r="R5611" t="s">
        <v>43172</v>
      </c>
      <c r="S5611" t="s">
        <v>43334</v>
      </c>
      <c r="T5611" t="s">
        <v>44818</v>
      </c>
      <c r="U5611" t="s">
        <v>49778</v>
      </c>
      <c r="W5611" t="s">
        <v>41144</v>
      </c>
      <c r="X5611" t="s">
        <v>43173</v>
      </c>
    </row>
    <row r="5612" spans="1:24">
      <c r="A5612">
        <f>HYPERLINK("https://www.philgeps.gov.ph/GEPSNONPILOT/Tender/SplashBidNoticeAbstractUI.aspx?menuIndex=3&amp;refID=7080066&amp;Result=3","7080066")</f>
        <v>0</v>
      </c>
      <c r="B5612" t="s">
        <v>1727</v>
      </c>
      <c r="C5612" t="s">
        <v>8772</v>
      </c>
      <c r="D5612" t="s">
        <v>17436</v>
      </c>
      <c r="E5612" t="s">
        <v>22354</v>
      </c>
      <c r="F5612" t="s">
        <v>30052</v>
      </c>
      <c r="G5612" t="s">
        <v>30058</v>
      </c>
      <c r="H5612" t="s">
        <v>15498</v>
      </c>
      <c r="I5612" t="s">
        <v>30124</v>
      </c>
      <c r="J5612" t="s">
        <v>30763</v>
      </c>
      <c r="K5612" t="s">
        <v>39034</v>
      </c>
      <c r="M5612" t="s">
        <v>41144</v>
      </c>
      <c r="N5612" t="s">
        <v>43166</v>
      </c>
      <c r="O5612" t="s">
        <v>43167</v>
      </c>
      <c r="P5612">
        <v>0</v>
      </c>
      <c r="Q5612">
        <v>0</v>
      </c>
      <c r="R5612" t="s">
        <v>43172</v>
      </c>
      <c r="S5612" t="s">
        <v>43334</v>
      </c>
      <c r="T5612" t="s">
        <v>44818</v>
      </c>
      <c r="U5612" t="s">
        <v>49779</v>
      </c>
      <c r="W5612" t="s">
        <v>41144</v>
      </c>
      <c r="X5612" t="s">
        <v>43173</v>
      </c>
    </row>
    <row r="5613" spans="1:24">
      <c r="A5613">
        <f>HYPERLINK("https://www.philgeps.gov.ph/GEPSNONPILOT/Tender/SplashBidNoticeAbstractUI.aspx?menuIndex=3&amp;refID=7080082&amp;Result=3","7080082")</f>
        <v>0</v>
      </c>
      <c r="B5613" t="s">
        <v>1417</v>
      </c>
      <c r="C5613" t="s">
        <v>8773</v>
      </c>
      <c r="D5613" t="s">
        <v>17441</v>
      </c>
      <c r="E5613" t="s">
        <v>22355</v>
      </c>
      <c r="F5613" t="s">
        <v>30052</v>
      </c>
      <c r="G5613" t="s">
        <v>30060</v>
      </c>
      <c r="H5613" t="s">
        <v>15498</v>
      </c>
      <c r="I5613" t="s">
        <v>30094</v>
      </c>
      <c r="J5613" t="s">
        <v>33743</v>
      </c>
      <c r="K5613" t="s">
        <v>39034</v>
      </c>
      <c r="M5613" t="s">
        <v>40795</v>
      </c>
      <c r="N5613" t="s">
        <v>43166</v>
      </c>
      <c r="O5613" t="s">
        <v>43167</v>
      </c>
      <c r="P5613">
        <v>0</v>
      </c>
      <c r="Q5613">
        <v>0</v>
      </c>
      <c r="R5613" t="s">
        <v>43172</v>
      </c>
      <c r="S5613" t="s">
        <v>43334</v>
      </c>
      <c r="T5613" t="s">
        <v>44773</v>
      </c>
      <c r="U5613" t="s">
        <v>49780</v>
      </c>
      <c r="W5613" t="s">
        <v>40795</v>
      </c>
      <c r="X5613" t="s">
        <v>43173</v>
      </c>
    </row>
    <row r="5614" spans="1:24">
      <c r="A5614">
        <f>HYPERLINK("https://www.philgeps.gov.ph/GEPSNONPILOT/Tender/SplashBidNoticeAbstractUI.aspx?menuIndex=3&amp;refID=7080075&amp;Result=3","7080075")</f>
        <v>0</v>
      </c>
      <c r="B5614" t="s">
        <v>592</v>
      </c>
      <c r="C5614" t="s">
        <v>8774</v>
      </c>
      <c r="D5614" t="s">
        <v>17461</v>
      </c>
      <c r="E5614" t="s">
        <v>8774</v>
      </c>
      <c r="F5614" t="s">
        <v>30052</v>
      </c>
      <c r="G5614" t="s">
        <v>30058</v>
      </c>
      <c r="H5614" t="s">
        <v>15498</v>
      </c>
      <c r="I5614" t="s">
        <v>5961</v>
      </c>
      <c r="J5614" t="s">
        <v>33744</v>
      </c>
      <c r="K5614" t="s">
        <v>39029</v>
      </c>
      <c r="M5614" t="s">
        <v>41301</v>
      </c>
      <c r="N5614" t="s">
        <v>43166</v>
      </c>
      <c r="O5614" t="s">
        <v>43167</v>
      </c>
      <c r="P5614">
        <v>0</v>
      </c>
      <c r="Q5614">
        <v>1</v>
      </c>
      <c r="R5614" t="s">
        <v>43172</v>
      </c>
      <c r="S5614" t="s">
        <v>43334</v>
      </c>
      <c r="T5614" t="s">
        <v>44761</v>
      </c>
      <c r="U5614" t="s">
        <v>49781</v>
      </c>
      <c r="W5614" t="s">
        <v>41301</v>
      </c>
      <c r="X5614" t="s">
        <v>43173</v>
      </c>
    </row>
    <row r="5615" spans="1:24">
      <c r="A5615">
        <f>HYPERLINK("https://www.philgeps.gov.ph/GEPSNONPILOT/Tender/SplashBidNoticeAbstractUI.aspx?menuIndex=3&amp;refID=7080059&amp;Result=3","7080059")</f>
        <v>0</v>
      </c>
      <c r="B5615" t="s">
        <v>1906</v>
      </c>
      <c r="C5615" t="s">
        <v>8775</v>
      </c>
      <c r="D5615" t="s">
        <v>17442</v>
      </c>
      <c r="E5615" t="s">
        <v>22356</v>
      </c>
      <c r="F5615" t="s">
        <v>30052</v>
      </c>
      <c r="G5615" t="s">
        <v>30059</v>
      </c>
      <c r="H5615" t="s">
        <v>15498</v>
      </c>
      <c r="I5615" t="s">
        <v>3736</v>
      </c>
      <c r="J5615" t="s">
        <v>33745</v>
      </c>
      <c r="K5615" t="s">
        <v>39025</v>
      </c>
      <c r="M5615" t="s">
        <v>41337</v>
      </c>
      <c r="N5615" t="s">
        <v>43166</v>
      </c>
      <c r="O5615" t="s">
        <v>43167</v>
      </c>
      <c r="P5615">
        <v>0</v>
      </c>
      <c r="Q5615">
        <v>0</v>
      </c>
      <c r="R5615" t="s">
        <v>43172</v>
      </c>
      <c r="S5615" t="s">
        <v>43334</v>
      </c>
      <c r="T5615" t="s">
        <v>44717</v>
      </c>
      <c r="U5615" t="s">
        <v>49782</v>
      </c>
      <c r="V5615" t="s">
        <v>57436</v>
      </c>
      <c r="W5615" t="s">
        <v>41337</v>
      </c>
      <c r="X5615" t="s">
        <v>43173</v>
      </c>
    </row>
    <row r="5616" spans="1:24">
      <c r="A5616">
        <f>HYPERLINK("https://www.philgeps.gov.ph/GEPSNONPILOT/Tender/SplashBidNoticeAbstractUI.aspx?menuIndex=3&amp;refID=7080086&amp;Result=3","7080086")</f>
        <v>0</v>
      </c>
      <c r="B5616" t="s">
        <v>1819</v>
      </c>
      <c r="C5616" t="s">
        <v>8776</v>
      </c>
      <c r="D5616" t="s">
        <v>17421</v>
      </c>
      <c r="E5616" t="s">
        <v>22357</v>
      </c>
      <c r="F5616" t="s">
        <v>30052</v>
      </c>
      <c r="G5616" t="s">
        <v>30058</v>
      </c>
      <c r="H5616" t="s">
        <v>15498</v>
      </c>
      <c r="I5616" t="s">
        <v>3852</v>
      </c>
      <c r="J5616" t="s">
        <v>30218</v>
      </c>
      <c r="K5616" t="s">
        <v>39019</v>
      </c>
      <c r="M5616" t="s">
        <v>41242</v>
      </c>
      <c r="N5616" t="s">
        <v>43166</v>
      </c>
      <c r="O5616" t="s">
        <v>43167</v>
      </c>
      <c r="P5616">
        <v>0</v>
      </c>
      <c r="Q5616">
        <v>0</v>
      </c>
      <c r="R5616" t="s">
        <v>43172</v>
      </c>
      <c r="S5616" t="s">
        <v>43334</v>
      </c>
      <c r="T5616" t="s">
        <v>44696</v>
      </c>
      <c r="U5616" t="s">
        <v>49783</v>
      </c>
      <c r="W5616" t="s">
        <v>41242</v>
      </c>
      <c r="X5616" t="s">
        <v>43173</v>
      </c>
    </row>
    <row r="5617" spans="1:24">
      <c r="A5617">
        <f>HYPERLINK("https://www.philgeps.gov.ph/GEPSNONPILOT/Tender/SplashBidNoticeAbstractUI.aspx?menuIndex=3&amp;refID=7080084&amp;Result=3","7080084")</f>
        <v>0</v>
      </c>
      <c r="B5617" t="s">
        <v>1901</v>
      </c>
      <c r="C5617" t="s">
        <v>8777</v>
      </c>
      <c r="D5617" t="s">
        <v>17459</v>
      </c>
      <c r="E5617" t="s">
        <v>22358</v>
      </c>
      <c r="F5617" t="s">
        <v>30052</v>
      </c>
      <c r="G5617" t="s">
        <v>30059</v>
      </c>
      <c r="H5617" t="s">
        <v>15498</v>
      </c>
      <c r="I5617" t="s">
        <v>30081</v>
      </c>
      <c r="J5617" t="s">
        <v>33746</v>
      </c>
      <c r="K5617" t="s">
        <v>39029</v>
      </c>
      <c r="L5617" t="s">
        <v>1901</v>
      </c>
      <c r="M5617" t="s">
        <v>41332</v>
      </c>
      <c r="N5617" t="s">
        <v>43166</v>
      </c>
      <c r="O5617" t="s">
        <v>43167</v>
      </c>
      <c r="P5617">
        <v>0</v>
      </c>
      <c r="Q5617">
        <v>1</v>
      </c>
      <c r="R5617" t="s">
        <v>43172</v>
      </c>
      <c r="S5617" t="s">
        <v>43334</v>
      </c>
      <c r="T5617" t="s">
        <v>44777</v>
      </c>
      <c r="U5617" t="s">
        <v>46522</v>
      </c>
      <c r="W5617" t="s">
        <v>41332</v>
      </c>
      <c r="X5617" t="s">
        <v>43173</v>
      </c>
    </row>
    <row r="5618" spans="1:24">
      <c r="A5618">
        <f>HYPERLINK("https://www.philgeps.gov.ph/GEPSNONPILOT/Tender/SplashBidNoticeAbstractUI.aspx?menuIndex=3&amp;refID=7080102&amp;Result=3","7080102")</f>
        <v>0</v>
      </c>
      <c r="B5618" t="s">
        <v>1901</v>
      </c>
      <c r="C5618" t="s">
        <v>8778</v>
      </c>
      <c r="D5618" t="s">
        <v>17459</v>
      </c>
      <c r="E5618" t="s">
        <v>22359</v>
      </c>
      <c r="F5618" t="s">
        <v>30052</v>
      </c>
      <c r="G5618" t="s">
        <v>30059</v>
      </c>
      <c r="H5618" t="s">
        <v>15498</v>
      </c>
      <c r="I5618" t="s">
        <v>30081</v>
      </c>
      <c r="J5618" t="s">
        <v>33747</v>
      </c>
      <c r="K5618" t="s">
        <v>39029</v>
      </c>
      <c r="L5618" t="s">
        <v>1901</v>
      </c>
      <c r="M5618" t="s">
        <v>41332</v>
      </c>
      <c r="N5618" t="s">
        <v>43166</v>
      </c>
      <c r="O5618" t="s">
        <v>43167</v>
      </c>
      <c r="P5618">
        <v>0</v>
      </c>
      <c r="Q5618">
        <v>1</v>
      </c>
      <c r="R5618" t="s">
        <v>43172</v>
      </c>
      <c r="S5618" t="s">
        <v>43334</v>
      </c>
      <c r="T5618" t="s">
        <v>44777</v>
      </c>
      <c r="U5618" t="s">
        <v>46522</v>
      </c>
      <c r="W5618" t="s">
        <v>41332</v>
      </c>
      <c r="X5618" t="s">
        <v>43173</v>
      </c>
    </row>
    <row r="5619" spans="1:24">
      <c r="A5619">
        <f>HYPERLINK("https://www.philgeps.gov.ph/GEPSNONPILOT/Tender/SplashBidNoticeAbstractUI.aspx?menuIndex=3&amp;refID=7080103&amp;Result=3","7080103")</f>
        <v>0</v>
      </c>
      <c r="B5619" t="s">
        <v>1727</v>
      </c>
      <c r="C5619" t="s">
        <v>8779</v>
      </c>
      <c r="D5619" t="s">
        <v>17436</v>
      </c>
      <c r="E5619" t="s">
        <v>22360</v>
      </c>
      <c r="F5619" t="s">
        <v>30052</v>
      </c>
      <c r="G5619" t="s">
        <v>30058</v>
      </c>
      <c r="H5619" t="s">
        <v>15498</v>
      </c>
      <c r="I5619" t="s">
        <v>30092</v>
      </c>
      <c r="J5619" t="s">
        <v>30230</v>
      </c>
      <c r="K5619" t="s">
        <v>39034</v>
      </c>
      <c r="M5619" t="s">
        <v>41144</v>
      </c>
      <c r="N5619" t="s">
        <v>43166</v>
      </c>
      <c r="O5619" t="s">
        <v>43167</v>
      </c>
      <c r="P5619">
        <v>0</v>
      </c>
      <c r="Q5619">
        <v>0</v>
      </c>
      <c r="R5619" t="s">
        <v>43172</v>
      </c>
      <c r="S5619" t="s">
        <v>43334</v>
      </c>
      <c r="T5619" t="s">
        <v>44818</v>
      </c>
      <c r="U5619" t="s">
        <v>49784</v>
      </c>
      <c r="W5619" t="s">
        <v>41144</v>
      </c>
      <c r="X5619" t="s">
        <v>43173</v>
      </c>
    </row>
    <row r="5620" spans="1:24">
      <c r="A5620">
        <f>HYPERLINK("https://www.philgeps.gov.ph/GEPSNONPILOT/Tender/SplashBidNoticeAbstractUI.aspx?menuIndex=3&amp;refID=7080100&amp;Result=3","7080100")</f>
        <v>0</v>
      </c>
      <c r="B5620" t="s">
        <v>90</v>
      </c>
      <c r="C5620" t="s">
        <v>8780</v>
      </c>
      <c r="D5620" t="s">
        <v>17414</v>
      </c>
      <c r="E5620" t="s">
        <v>22361</v>
      </c>
      <c r="F5620" t="s">
        <v>30052</v>
      </c>
      <c r="G5620" t="s">
        <v>30059</v>
      </c>
      <c r="H5620" t="s">
        <v>15498</v>
      </c>
      <c r="I5620" t="s">
        <v>30098</v>
      </c>
      <c r="J5620" t="s">
        <v>30230</v>
      </c>
      <c r="K5620" t="s">
        <v>39029</v>
      </c>
      <c r="M5620" t="s">
        <v>39379</v>
      </c>
      <c r="N5620" t="s">
        <v>43166</v>
      </c>
      <c r="O5620" t="s">
        <v>43167</v>
      </c>
      <c r="P5620">
        <v>0</v>
      </c>
      <c r="Q5620">
        <v>1</v>
      </c>
      <c r="R5620" t="s">
        <v>43172</v>
      </c>
      <c r="S5620" t="s">
        <v>43334</v>
      </c>
      <c r="T5620" t="s">
        <v>44721</v>
      </c>
      <c r="U5620" t="s">
        <v>49785</v>
      </c>
      <c r="W5620" t="s">
        <v>39379</v>
      </c>
      <c r="X5620" t="s">
        <v>43173</v>
      </c>
    </row>
    <row r="5621" spans="1:24">
      <c r="A5621">
        <f>HYPERLINK("https://www.philgeps.gov.ph/GEPSNONPILOT/Tender/SplashBidNoticeAbstractUI.aspx?menuIndex=3&amp;refID=7080058&amp;Result=3","7080058")</f>
        <v>0</v>
      </c>
      <c r="B5621" t="s">
        <v>1907</v>
      </c>
      <c r="C5621" t="s">
        <v>8781</v>
      </c>
      <c r="D5621" t="s">
        <v>17443</v>
      </c>
      <c r="E5621" t="s">
        <v>22362</v>
      </c>
      <c r="F5621" t="s">
        <v>30052</v>
      </c>
      <c r="G5621" t="s">
        <v>30058</v>
      </c>
      <c r="H5621" t="s">
        <v>15498</v>
      </c>
      <c r="I5621" t="s">
        <v>3736</v>
      </c>
      <c r="J5621" t="s">
        <v>33748</v>
      </c>
      <c r="K5621" t="s">
        <v>39019</v>
      </c>
      <c r="L5621" t="s">
        <v>1907</v>
      </c>
      <c r="M5621" t="s">
        <v>41338</v>
      </c>
      <c r="N5621" t="s">
        <v>43166</v>
      </c>
      <c r="O5621" t="s">
        <v>43167</v>
      </c>
      <c r="P5621">
        <v>0</v>
      </c>
      <c r="Q5621">
        <v>1</v>
      </c>
      <c r="R5621" t="s">
        <v>43172</v>
      </c>
      <c r="S5621" t="s">
        <v>43334</v>
      </c>
      <c r="T5621" t="s">
        <v>44750</v>
      </c>
      <c r="U5621" t="s">
        <v>49786</v>
      </c>
      <c r="W5621" t="s">
        <v>41338</v>
      </c>
      <c r="X5621" t="s">
        <v>43173</v>
      </c>
    </row>
    <row r="5622" spans="1:24">
      <c r="A5622">
        <f>HYPERLINK("https://www.philgeps.gov.ph/GEPSNONPILOT/Tender/SplashBidNoticeAbstractUI.aspx?menuIndex=3&amp;refID=7080096&amp;Result=3","7080096")</f>
        <v>0</v>
      </c>
      <c r="B5622" t="s">
        <v>1882</v>
      </c>
      <c r="C5622" t="s">
        <v>8767</v>
      </c>
      <c r="D5622" t="s">
        <v>17474</v>
      </c>
      <c r="E5622" t="s">
        <v>18885</v>
      </c>
      <c r="F5622" t="s">
        <v>30052</v>
      </c>
      <c r="G5622" t="s">
        <v>30058</v>
      </c>
      <c r="H5622" t="s">
        <v>15498</v>
      </c>
      <c r="I5622" t="s">
        <v>3736</v>
      </c>
      <c r="J5622" t="s">
        <v>33749</v>
      </c>
      <c r="K5622" t="s">
        <v>39029</v>
      </c>
      <c r="M5622" t="s">
        <v>41313</v>
      </c>
      <c r="N5622" t="s">
        <v>43166</v>
      </c>
      <c r="O5622" t="s">
        <v>43167</v>
      </c>
      <c r="P5622">
        <v>0</v>
      </c>
      <c r="Q5622">
        <v>0</v>
      </c>
      <c r="R5622" t="s">
        <v>43172</v>
      </c>
      <c r="S5622" t="s">
        <v>43334</v>
      </c>
      <c r="T5622" t="s">
        <v>44699</v>
      </c>
      <c r="U5622" t="s">
        <v>49787</v>
      </c>
      <c r="W5622" t="s">
        <v>41313</v>
      </c>
      <c r="X5622" t="s">
        <v>43173</v>
      </c>
    </row>
    <row r="5623" spans="1:24">
      <c r="A5623">
        <f>HYPERLINK("https://www.philgeps.gov.ph/GEPSNONPILOT/Tender/SplashBidNoticeAbstractUI.aspx?menuIndex=3&amp;refID=7080099&amp;Result=3","7080099")</f>
        <v>0</v>
      </c>
      <c r="B5623" t="s">
        <v>1908</v>
      </c>
      <c r="C5623" t="s">
        <v>8782</v>
      </c>
      <c r="D5623" t="s">
        <v>17468</v>
      </c>
      <c r="E5623" t="s">
        <v>22363</v>
      </c>
      <c r="F5623" t="s">
        <v>30052</v>
      </c>
      <c r="G5623" t="s">
        <v>30058</v>
      </c>
      <c r="H5623" t="s">
        <v>30067</v>
      </c>
      <c r="I5623" t="s">
        <v>3693</v>
      </c>
      <c r="J5623" t="s">
        <v>30247</v>
      </c>
      <c r="K5623" t="s">
        <v>39058</v>
      </c>
      <c r="M5623" t="s">
        <v>41339</v>
      </c>
      <c r="N5623" t="s">
        <v>43166</v>
      </c>
      <c r="O5623" t="s">
        <v>43167</v>
      </c>
      <c r="P5623">
        <v>0</v>
      </c>
      <c r="Q5623">
        <v>0</v>
      </c>
      <c r="R5623" t="s">
        <v>43172</v>
      </c>
      <c r="S5623" t="s">
        <v>43334</v>
      </c>
      <c r="T5623" t="s">
        <v>44716</v>
      </c>
      <c r="U5623" t="s">
        <v>49788</v>
      </c>
      <c r="W5623" t="s">
        <v>41339</v>
      </c>
      <c r="X5623" t="s">
        <v>43173</v>
      </c>
    </row>
    <row r="5624" spans="1:24">
      <c r="A5624">
        <f>HYPERLINK("https://www.philgeps.gov.ph/GEPSNONPILOT/Tender/SplashBidNoticeAbstractUI.aspx?menuIndex=3&amp;refID=7080112&amp;Result=3","7080112")</f>
        <v>0</v>
      </c>
      <c r="B5624" t="s">
        <v>1028</v>
      </c>
      <c r="C5624" t="s">
        <v>8783</v>
      </c>
      <c r="D5624" t="s">
        <v>17438</v>
      </c>
      <c r="E5624" t="s">
        <v>22364</v>
      </c>
      <c r="F5624" t="s">
        <v>30052</v>
      </c>
      <c r="G5624" t="s">
        <v>30059</v>
      </c>
      <c r="H5624" t="s">
        <v>15498</v>
      </c>
      <c r="I5624" t="s">
        <v>6691</v>
      </c>
      <c r="J5624" t="s">
        <v>33750</v>
      </c>
      <c r="K5624" t="s">
        <v>39035</v>
      </c>
      <c r="M5624" t="s">
        <v>40357</v>
      </c>
      <c r="N5624" t="s">
        <v>43166</v>
      </c>
      <c r="O5624" t="s">
        <v>43167</v>
      </c>
      <c r="P5624">
        <v>0</v>
      </c>
      <c r="Q5624">
        <v>0</v>
      </c>
      <c r="R5624" t="s">
        <v>43172</v>
      </c>
      <c r="S5624" t="s">
        <v>43334</v>
      </c>
      <c r="T5624" t="s">
        <v>44691</v>
      </c>
      <c r="U5624" t="s">
        <v>47341</v>
      </c>
      <c r="W5624" t="s">
        <v>40357</v>
      </c>
      <c r="X5624" t="s">
        <v>43173</v>
      </c>
    </row>
    <row r="5625" spans="1:24">
      <c r="A5625">
        <f>HYPERLINK("https://www.philgeps.gov.ph/GEPSNONPILOT/Tender/SplashBidNoticeAbstractUI.aspx?menuIndex=3&amp;refID=7080077&amp;Result=3","7080077")</f>
        <v>0</v>
      </c>
      <c r="B5625" t="s">
        <v>1909</v>
      </c>
      <c r="C5625" t="s">
        <v>8784</v>
      </c>
      <c r="D5625" t="s">
        <v>17438</v>
      </c>
      <c r="E5625" t="s">
        <v>22365</v>
      </c>
      <c r="F5625" t="s">
        <v>30052</v>
      </c>
      <c r="G5625" t="s">
        <v>30058</v>
      </c>
      <c r="H5625" t="s">
        <v>15498</v>
      </c>
      <c r="I5625" t="s">
        <v>30083</v>
      </c>
      <c r="J5625" t="s">
        <v>31207</v>
      </c>
      <c r="K5625" t="s">
        <v>39019</v>
      </c>
      <c r="M5625" t="s">
        <v>41340</v>
      </c>
      <c r="N5625" t="s">
        <v>43166</v>
      </c>
      <c r="O5625" t="s">
        <v>43167</v>
      </c>
      <c r="P5625">
        <v>0</v>
      </c>
      <c r="Q5625">
        <v>4</v>
      </c>
      <c r="R5625" t="s">
        <v>43172</v>
      </c>
      <c r="S5625" t="s">
        <v>43334</v>
      </c>
      <c r="T5625" t="s">
        <v>44996</v>
      </c>
      <c r="U5625" t="s">
        <v>49789</v>
      </c>
      <c r="W5625" t="s">
        <v>41340</v>
      </c>
      <c r="X5625" t="s">
        <v>43173</v>
      </c>
    </row>
    <row r="5626" spans="1:24">
      <c r="A5626">
        <f>HYPERLINK("https://www.philgeps.gov.ph/GEPSNONPILOT/Tender/SplashBidNoticeAbstractUI.aspx?menuIndex=3&amp;refID=7080073&amp;Result=3","7080073")</f>
        <v>0</v>
      </c>
      <c r="B5626" t="s">
        <v>1897</v>
      </c>
      <c r="C5626" t="s">
        <v>8785</v>
      </c>
      <c r="D5626" t="s">
        <v>17444</v>
      </c>
      <c r="E5626" t="s">
        <v>19284</v>
      </c>
      <c r="F5626" t="s">
        <v>30052</v>
      </c>
      <c r="G5626" t="s">
        <v>30058</v>
      </c>
      <c r="H5626" t="s">
        <v>15498</v>
      </c>
      <c r="I5626" t="s">
        <v>30074</v>
      </c>
      <c r="J5626" t="s">
        <v>30343</v>
      </c>
      <c r="K5626" t="s">
        <v>39023</v>
      </c>
      <c r="M5626" t="s">
        <v>41328</v>
      </c>
      <c r="N5626" t="s">
        <v>43166</v>
      </c>
      <c r="O5626" t="s">
        <v>43167</v>
      </c>
      <c r="P5626">
        <v>0</v>
      </c>
      <c r="Q5626">
        <v>0</v>
      </c>
      <c r="R5626" t="s">
        <v>43172</v>
      </c>
      <c r="S5626" t="s">
        <v>43334</v>
      </c>
      <c r="T5626" t="s">
        <v>45007</v>
      </c>
      <c r="U5626" t="s">
        <v>49752</v>
      </c>
      <c r="W5626" t="s">
        <v>41328</v>
      </c>
      <c r="X5626" t="s">
        <v>43173</v>
      </c>
    </row>
    <row r="5627" spans="1:24">
      <c r="A5627">
        <f>HYPERLINK("https://www.philgeps.gov.ph/GEPSNONPILOT/Tender/SplashBidNoticeAbstractUI.aspx?menuIndex=3&amp;refID=7080107&amp;Result=3","7080107")</f>
        <v>0</v>
      </c>
      <c r="B5627" t="s">
        <v>764</v>
      </c>
      <c r="C5627" t="s">
        <v>8786</v>
      </c>
      <c r="D5627" t="s">
        <v>17461</v>
      </c>
      <c r="E5627" t="s">
        <v>22366</v>
      </c>
      <c r="F5627" t="s">
        <v>30052</v>
      </c>
      <c r="G5627" t="s">
        <v>30060</v>
      </c>
      <c r="H5627" t="s">
        <v>15498</v>
      </c>
      <c r="I5627" t="s">
        <v>30084</v>
      </c>
      <c r="J5627" t="s">
        <v>30218</v>
      </c>
      <c r="K5627" t="s">
        <v>39025</v>
      </c>
      <c r="M5627" t="s">
        <v>40078</v>
      </c>
      <c r="N5627" t="s">
        <v>43166</v>
      </c>
      <c r="O5627" t="s">
        <v>43167</v>
      </c>
      <c r="P5627">
        <v>0</v>
      </c>
      <c r="Q5627">
        <v>1</v>
      </c>
      <c r="R5627" t="s">
        <v>43172</v>
      </c>
      <c r="S5627" t="s">
        <v>43334</v>
      </c>
      <c r="T5627" t="s">
        <v>44844</v>
      </c>
      <c r="U5627" t="s">
        <v>49790</v>
      </c>
      <c r="W5627" t="s">
        <v>58615</v>
      </c>
      <c r="X5627" t="s">
        <v>43173</v>
      </c>
    </row>
    <row r="5628" spans="1:24">
      <c r="A5628">
        <f>HYPERLINK("https://www.philgeps.gov.ph/GEPSNONPILOT/Tender/SplashBidNoticeAbstractUI.aspx?menuIndex=3&amp;refID=7080097&amp;Result=3","7080097")</f>
        <v>0</v>
      </c>
      <c r="B5628" t="s">
        <v>1417</v>
      </c>
      <c r="C5628" t="s">
        <v>8787</v>
      </c>
      <c r="D5628" t="s">
        <v>17441</v>
      </c>
      <c r="E5628" t="s">
        <v>22367</v>
      </c>
      <c r="F5628" t="s">
        <v>30052</v>
      </c>
      <c r="G5628" t="s">
        <v>30059</v>
      </c>
      <c r="H5628" t="s">
        <v>15498</v>
      </c>
      <c r="I5628" t="s">
        <v>30092</v>
      </c>
      <c r="J5628" t="s">
        <v>31199</v>
      </c>
      <c r="K5628" t="s">
        <v>39034</v>
      </c>
      <c r="M5628" t="s">
        <v>40795</v>
      </c>
      <c r="N5628" t="s">
        <v>43166</v>
      </c>
      <c r="O5628" t="s">
        <v>43167</v>
      </c>
      <c r="P5628">
        <v>0</v>
      </c>
      <c r="Q5628">
        <v>3</v>
      </c>
      <c r="R5628" t="s">
        <v>43172</v>
      </c>
      <c r="S5628" t="s">
        <v>43334</v>
      </c>
      <c r="T5628" t="s">
        <v>44773</v>
      </c>
      <c r="U5628" t="s">
        <v>49791</v>
      </c>
      <c r="W5628" t="s">
        <v>40795</v>
      </c>
      <c r="X5628" t="s">
        <v>43173</v>
      </c>
    </row>
    <row r="5629" spans="1:24">
      <c r="A5629">
        <f>HYPERLINK("https://www.philgeps.gov.ph/GEPSNONPILOT/Tender/SplashBidNoticeAbstractUI.aspx?menuIndex=3&amp;refID=7080106&amp;Result=3","7080106")</f>
        <v>0</v>
      </c>
      <c r="B5629" t="s">
        <v>1181</v>
      </c>
      <c r="C5629" t="s">
        <v>8788</v>
      </c>
      <c r="D5629" t="s">
        <v>17444</v>
      </c>
      <c r="E5629" t="s">
        <v>22368</v>
      </c>
      <c r="F5629" t="s">
        <v>30052</v>
      </c>
      <c r="G5629" t="s">
        <v>30061</v>
      </c>
      <c r="H5629" t="s">
        <v>15498</v>
      </c>
      <c r="I5629" t="s">
        <v>30076</v>
      </c>
      <c r="J5629" t="s">
        <v>33751</v>
      </c>
      <c r="K5629" t="s">
        <v>39025</v>
      </c>
      <c r="M5629" t="s">
        <v>40531</v>
      </c>
      <c r="N5629" t="s">
        <v>43166</v>
      </c>
      <c r="O5629" t="s">
        <v>43167</v>
      </c>
      <c r="P5629">
        <v>0</v>
      </c>
      <c r="Q5629">
        <v>4</v>
      </c>
      <c r="R5629" t="s">
        <v>43172</v>
      </c>
      <c r="S5629" t="s">
        <v>43334</v>
      </c>
      <c r="T5629" t="s">
        <v>44705</v>
      </c>
      <c r="U5629" t="s">
        <v>49792</v>
      </c>
      <c r="W5629" t="s">
        <v>40531</v>
      </c>
      <c r="X5629" t="s">
        <v>43173</v>
      </c>
    </row>
    <row r="5630" spans="1:24">
      <c r="A5630">
        <f>HYPERLINK("https://www.philgeps.gov.ph/GEPSNONPILOT/Tender/SplashBidNoticeAbstractUI.aspx?menuIndex=3&amp;refID=7080111&amp;Result=3","7080111")</f>
        <v>0</v>
      </c>
      <c r="B5630" t="s">
        <v>1727</v>
      </c>
      <c r="C5630" t="s">
        <v>8789</v>
      </c>
      <c r="D5630" t="s">
        <v>17436</v>
      </c>
      <c r="E5630" t="s">
        <v>22369</v>
      </c>
      <c r="F5630" t="s">
        <v>30052</v>
      </c>
      <c r="G5630" t="s">
        <v>30058</v>
      </c>
      <c r="H5630" t="s">
        <v>15498</v>
      </c>
      <c r="I5630" t="s">
        <v>3736</v>
      </c>
      <c r="J5630" t="s">
        <v>33752</v>
      </c>
      <c r="K5630" t="s">
        <v>39034</v>
      </c>
      <c r="M5630" t="s">
        <v>41144</v>
      </c>
      <c r="N5630" t="s">
        <v>43166</v>
      </c>
      <c r="O5630" t="s">
        <v>43167</v>
      </c>
      <c r="P5630">
        <v>0</v>
      </c>
      <c r="Q5630">
        <v>0</v>
      </c>
      <c r="R5630" t="s">
        <v>43172</v>
      </c>
      <c r="S5630" t="s">
        <v>43334</v>
      </c>
      <c r="T5630" t="s">
        <v>44818</v>
      </c>
      <c r="U5630" t="s">
        <v>49793</v>
      </c>
      <c r="W5630" t="s">
        <v>41144</v>
      </c>
      <c r="X5630" t="s">
        <v>43173</v>
      </c>
    </row>
    <row r="5631" spans="1:24">
      <c r="A5631">
        <f>HYPERLINK("https://www.philgeps.gov.ph/GEPSNONPILOT/Tender/SplashBidNoticeAbstractUI.aspx?menuIndex=3&amp;refID=7080053&amp;Result=3","7080053")</f>
        <v>0</v>
      </c>
      <c r="B5631" t="s">
        <v>1727</v>
      </c>
      <c r="C5631" t="s">
        <v>8790</v>
      </c>
      <c r="D5631" t="s">
        <v>17436</v>
      </c>
      <c r="E5631" t="s">
        <v>22370</v>
      </c>
      <c r="F5631" t="s">
        <v>30052</v>
      </c>
      <c r="G5631" t="s">
        <v>30058</v>
      </c>
      <c r="H5631" t="s">
        <v>15498</v>
      </c>
      <c r="I5631" t="s">
        <v>30070</v>
      </c>
      <c r="J5631" t="s">
        <v>33753</v>
      </c>
      <c r="K5631" t="s">
        <v>39034</v>
      </c>
      <c r="M5631" t="s">
        <v>41144</v>
      </c>
      <c r="N5631" t="s">
        <v>43166</v>
      </c>
      <c r="O5631" t="s">
        <v>43167</v>
      </c>
      <c r="P5631">
        <v>0</v>
      </c>
      <c r="Q5631">
        <v>0</v>
      </c>
      <c r="R5631" t="s">
        <v>43172</v>
      </c>
      <c r="S5631" t="s">
        <v>43334</v>
      </c>
      <c r="T5631" t="s">
        <v>44818</v>
      </c>
      <c r="U5631" t="s">
        <v>49794</v>
      </c>
      <c r="W5631" t="s">
        <v>41144</v>
      </c>
      <c r="X5631" t="s">
        <v>43173</v>
      </c>
    </row>
    <row r="5632" spans="1:24">
      <c r="A5632">
        <f>HYPERLINK("https://www.philgeps.gov.ph/GEPSNONPILOT/Tender/SplashBidNoticeAbstractUI.aspx?menuIndex=3&amp;refID=7080092&amp;Result=3","7080092")</f>
        <v>0</v>
      </c>
      <c r="B5632" t="s">
        <v>1910</v>
      </c>
      <c r="C5632" t="s">
        <v>8791</v>
      </c>
      <c r="D5632" t="s">
        <v>17422</v>
      </c>
      <c r="E5632" t="s">
        <v>22371</v>
      </c>
      <c r="F5632" t="s">
        <v>30052</v>
      </c>
      <c r="G5632" t="s">
        <v>30058</v>
      </c>
      <c r="H5632" t="s">
        <v>15498</v>
      </c>
      <c r="I5632" t="s">
        <v>30140</v>
      </c>
      <c r="J5632" t="s">
        <v>31196</v>
      </c>
      <c r="K5632" t="s">
        <v>39029</v>
      </c>
      <c r="M5632" t="s">
        <v>41341</v>
      </c>
      <c r="N5632" t="s">
        <v>43166</v>
      </c>
      <c r="O5632" t="s">
        <v>43167</v>
      </c>
      <c r="P5632">
        <v>0</v>
      </c>
      <c r="Q5632">
        <v>0</v>
      </c>
      <c r="R5632" t="s">
        <v>43172</v>
      </c>
      <c r="S5632" t="s">
        <v>43334</v>
      </c>
      <c r="T5632" t="s">
        <v>44698</v>
      </c>
      <c r="U5632" t="s">
        <v>49795</v>
      </c>
      <c r="V5632" t="s">
        <v>57437</v>
      </c>
      <c r="W5632" t="s">
        <v>41341</v>
      </c>
      <c r="X5632" t="s">
        <v>43173</v>
      </c>
    </row>
    <row r="5633" spans="1:24">
      <c r="A5633">
        <f>HYPERLINK("https://www.philgeps.gov.ph/GEPSNONPILOT/Tender/SplashBidNoticeAbstractUI.aspx?menuIndex=3&amp;refID=7080088&amp;Result=3","7080088")</f>
        <v>0</v>
      </c>
      <c r="B5633" t="s">
        <v>102</v>
      </c>
      <c r="C5633" t="s">
        <v>8792</v>
      </c>
      <c r="D5633" t="s">
        <v>17433</v>
      </c>
      <c r="E5633" t="s">
        <v>22372</v>
      </c>
      <c r="F5633" t="s">
        <v>30052</v>
      </c>
      <c r="G5633" t="s">
        <v>30058</v>
      </c>
      <c r="H5633" t="s">
        <v>15498</v>
      </c>
      <c r="I5633" t="s">
        <v>7228</v>
      </c>
      <c r="J5633" t="s">
        <v>33754</v>
      </c>
      <c r="K5633" t="s">
        <v>39029</v>
      </c>
      <c r="M5633" t="s">
        <v>39391</v>
      </c>
      <c r="N5633" t="s">
        <v>43166</v>
      </c>
      <c r="O5633" t="s">
        <v>43167</v>
      </c>
      <c r="P5633">
        <v>0</v>
      </c>
      <c r="Q5633">
        <v>0</v>
      </c>
      <c r="R5633" t="s">
        <v>43172</v>
      </c>
      <c r="S5633" t="s">
        <v>43334</v>
      </c>
      <c r="T5633" t="s">
        <v>44789</v>
      </c>
      <c r="U5633" t="s">
        <v>49796</v>
      </c>
      <c r="W5633" t="s">
        <v>39391</v>
      </c>
      <c r="X5633" t="s">
        <v>43173</v>
      </c>
    </row>
    <row r="5634" spans="1:24">
      <c r="A5634">
        <f>HYPERLINK("https://www.philgeps.gov.ph/GEPSNONPILOT/Tender/SplashBidNoticeAbstractUI.aspx?menuIndex=3&amp;refID=7080109&amp;Result=3","7080109")</f>
        <v>0</v>
      </c>
      <c r="B5634" t="s">
        <v>1901</v>
      </c>
      <c r="C5634" t="s">
        <v>8793</v>
      </c>
      <c r="D5634" t="s">
        <v>17459</v>
      </c>
      <c r="E5634" t="s">
        <v>22373</v>
      </c>
      <c r="F5634" t="s">
        <v>30052</v>
      </c>
      <c r="G5634" t="s">
        <v>30059</v>
      </c>
      <c r="H5634" t="s">
        <v>15498</v>
      </c>
      <c r="I5634" t="s">
        <v>30070</v>
      </c>
      <c r="J5634" t="s">
        <v>30747</v>
      </c>
      <c r="K5634" t="s">
        <v>39029</v>
      </c>
      <c r="L5634" t="s">
        <v>1901</v>
      </c>
      <c r="M5634" t="s">
        <v>41332</v>
      </c>
      <c r="N5634" t="s">
        <v>43166</v>
      </c>
      <c r="O5634" t="s">
        <v>43167</v>
      </c>
      <c r="P5634">
        <v>0</v>
      </c>
      <c r="Q5634">
        <v>2</v>
      </c>
      <c r="R5634" t="s">
        <v>43172</v>
      </c>
      <c r="S5634" t="s">
        <v>43334</v>
      </c>
      <c r="T5634" t="s">
        <v>44777</v>
      </c>
      <c r="U5634" t="s">
        <v>46522</v>
      </c>
      <c r="W5634" t="s">
        <v>41332</v>
      </c>
      <c r="X5634" t="s">
        <v>43173</v>
      </c>
    </row>
    <row r="5635" spans="1:24">
      <c r="A5635">
        <f>HYPERLINK("https://www.philgeps.gov.ph/GEPSNONPILOT/Tender/SplashBidNoticeAbstractUI.aspx?menuIndex=3&amp;refID=7080110&amp;Result=3","7080110")</f>
        <v>0</v>
      </c>
      <c r="B5635" t="s">
        <v>995</v>
      </c>
      <c r="C5635" t="s">
        <v>8794</v>
      </c>
      <c r="D5635" t="s">
        <v>17441</v>
      </c>
      <c r="E5635" t="s">
        <v>22374</v>
      </c>
      <c r="F5635" t="s">
        <v>30052</v>
      </c>
      <c r="G5635" t="s">
        <v>30058</v>
      </c>
      <c r="H5635" t="s">
        <v>15498</v>
      </c>
      <c r="I5635" t="s">
        <v>30098</v>
      </c>
      <c r="J5635" t="s">
        <v>30254</v>
      </c>
      <c r="K5635" t="s">
        <v>39046</v>
      </c>
      <c r="M5635" t="s">
        <v>40322</v>
      </c>
      <c r="N5635" t="s">
        <v>43166</v>
      </c>
      <c r="O5635" t="s">
        <v>43167</v>
      </c>
      <c r="P5635">
        <v>0</v>
      </c>
      <c r="Q5635">
        <v>4</v>
      </c>
      <c r="R5635" t="s">
        <v>43172</v>
      </c>
      <c r="S5635" t="s">
        <v>43334</v>
      </c>
      <c r="T5635" t="s">
        <v>44689</v>
      </c>
      <c r="U5635" t="s">
        <v>49797</v>
      </c>
      <c r="W5635" t="s">
        <v>40322</v>
      </c>
      <c r="X5635" t="s">
        <v>43173</v>
      </c>
    </row>
    <row r="5636" spans="1:24">
      <c r="A5636">
        <f>HYPERLINK("https://www.philgeps.gov.ph/GEPSNONPILOT/Tender/SplashBidNoticeAbstractUI.aspx?menuIndex=3&amp;refID=7080087&amp;Result=3","7080087")</f>
        <v>0</v>
      </c>
      <c r="B5636" t="s">
        <v>1911</v>
      </c>
      <c r="C5636" t="s">
        <v>8795</v>
      </c>
      <c r="D5636" t="s">
        <v>17459</v>
      </c>
      <c r="E5636" t="s">
        <v>22375</v>
      </c>
      <c r="F5636" t="s">
        <v>30052</v>
      </c>
      <c r="G5636" t="s">
        <v>30059</v>
      </c>
      <c r="H5636" t="s">
        <v>15498</v>
      </c>
      <c r="I5636" t="s">
        <v>9238</v>
      </c>
      <c r="J5636" t="s">
        <v>30218</v>
      </c>
      <c r="K5636" t="s">
        <v>39017</v>
      </c>
      <c r="M5636" t="s">
        <v>41342</v>
      </c>
      <c r="N5636" t="s">
        <v>43166</v>
      </c>
      <c r="O5636" t="s">
        <v>43167</v>
      </c>
      <c r="P5636">
        <v>0</v>
      </c>
      <c r="Q5636">
        <v>5</v>
      </c>
      <c r="R5636" t="s">
        <v>43172</v>
      </c>
      <c r="S5636" t="s">
        <v>43334</v>
      </c>
      <c r="T5636" t="s">
        <v>44705</v>
      </c>
      <c r="U5636" t="s">
        <v>49798</v>
      </c>
      <c r="W5636" t="s">
        <v>41342</v>
      </c>
      <c r="X5636" t="s">
        <v>43173</v>
      </c>
    </row>
    <row r="5637" spans="1:24">
      <c r="A5637">
        <f>HYPERLINK("https://www.philgeps.gov.ph/GEPSNONPILOT/Tender/SplashBidNoticeAbstractUI.aspx?menuIndex=3&amp;refID=7080095&amp;Result=3","7080095")</f>
        <v>0</v>
      </c>
      <c r="B5637" t="s">
        <v>1261</v>
      </c>
      <c r="C5637" t="s">
        <v>8796</v>
      </c>
      <c r="D5637" t="s">
        <v>17425</v>
      </c>
      <c r="E5637" t="s">
        <v>18160</v>
      </c>
      <c r="F5637" t="s">
        <v>30052</v>
      </c>
      <c r="G5637" t="s">
        <v>30059</v>
      </c>
      <c r="H5637" t="s">
        <v>15498</v>
      </c>
      <c r="I5637" t="s">
        <v>30071</v>
      </c>
      <c r="J5637" t="s">
        <v>33755</v>
      </c>
      <c r="K5637" t="s">
        <v>39019</v>
      </c>
      <c r="M5637" t="s">
        <v>40619</v>
      </c>
      <c r="N5637" t="s">
        <v>43166</v>
      </c>
      <c r="O5637" t="s">
        <v>43167</v>
      </c>
      <c r="P5637">
        <v>0</v>
      </c>
      <c r="Q5637">
        <v>2</v>
      </c>
      <c r="R5637" t="s">
        <v>43172</v>
      </c>
      <c r="S5637" t="s">
        <v>43334</v>
      </c>
      <c r="T5637" t="s">
        <v>44773</v>
      </c>
      <c r="U5637" t="s">
        <v>49799</v>
      </c>
      <c r="W5637" t="s">
        <v>40619</v>
      </c>
      <c r="X5637" t="s">
        <v>43173</v>
      </c>
    </row>
    <row r="5638" spans="1:24">
      <c r="A5638">
        <f>HYPERLINK("https://www.philgeps.gov.ph/GEPSNONPILOT/Tender/SplashBidNoticeAbstractUI.aspx?menuIndex=3&amp;refID=7080093&amp;Result=3","7080093")</f>
        <v>0</v>
      </c>
      <c r="B5638" t="s">
        <v>1897</v>
      </c>
      <c r="C5638" t="s">
        <v>8797</v>
      </c>
      <c r="D5638" t="s">
        <v>17444</v>
      </c>
      <c r="E5638" t="s">
        <v>18401</v>
      </c>
      <c r="F5638" t="s">
        <v>30052</v>
      </c>
      <c r="G5638" t="s">
        <v>30058</v>
      </c>
      <c r="H5638" t="s">
        <v>30067</v>
      </c>
      <c r="I5638" t="s">
        <v>3693</v>
      </c>
      <c r="J5638" t="s">
        <v>30327</v>
      </c>
      <c r="K5638" t="s">
        <v>39029</v>
      </c>
      <c r="M5638" t="s">
        <v>41328</v>
      </c>
      <c r="N5638" t="s">
        <v>43166</v>
      </c>
      <c r="O5638" t="s">
        <v>43167</v>
      </c>
      <c r="P5638">
        <v>0</v>
      </c>
      <c r="Q5638">
        <v>0</v>
      </c>
      <c r="R5638" t="s">
        <v>43172</v>
      </c>
      <c r="S5638" t="s">
        <v>43334</v>
      </c>
      <c r="T5638" t="s">
        <v>45007</v>
      </c>
      <c r="U5638" t="s">
        <v>49752</v>
      </c>
      <c r="W5638" t="s">
        <v>41328</v>
      </c>
      <c r="X5638" t="s">
        <v>43173</v>
      </c>
    </row>
    <row r="5639" spans="1:24">
      <c r="A5639">
        <f>HYPERLINK("https://www.philgeps.gov.ph/GEPSNONPILOT/Tender/SplashBidNoticeAbstractUI.aspx?menuIndex=3&amp;refID=7080151&amp;Result=3","7080151")</f>
        <v>0</v>
      </c>
      <c r="B5639" t="s">
        <v>1347</v>
      </c>
      <c r="C5639" t="s">
        <v>8798</v>
      </c>
      <c r="D5639" t="s">
        <v>17478</v>
      </c>
      <c r="E5639" t="s">
        <v>22376</v>
      </c>
      <c r="F5639" t="s">
        <v>30052</v>
      </c>
      <c r="G5639" t="s">
        <v>30058</v>
      </c>
      <c r="H5639" t="s">
        <v>15498</v>
      </c>
      <c r="I5639" t="s">
        <v>3736</v>
      </c>
      <c r="J5639" t="s">
        <v>33756</v>
      </c>
      <c r="K5639" t="s">
        <v>39019</v>
      </c>
      <c r="M5639" t="s">
        <v>40715</v>
      </c>
      <c r="N5639" t="s">
        <v>43166</v>
      </c>
      <c r="O5639" t="s">
        <v>43167</v>
      </c>
      <c r="P5639">
        <v>0</v>
      </c>
      <c r="Q5639">
        <v>0</v>
      </c>
      <c r="R5639" t="s">
        <v>43172</v>
      </c>
      <c r="S5639" t="s">
        <v>43334</v>
      </c>
      <c r="T5639" t="s">
        <v>44708</v>
      </c>
      <c r="U5639" t="s">
        <v>49800</v>
      </c>
      <c r="W5639" t="s">
        <v>40715</v>
      </c>
      <c r="X5639" t="s">
        <v>43173</v>
      </c>
    </row>
    <row r="5640" spans="1:24">
      <c r="A5640">
        <f>HYPERLINK("https://www.philgeps.gov.ph/GEPSNONPILOT/Tender/SplashBidNoticeAbstractUI.aspx?menuIndex=3&amp;refID=7080056&amp;Result=3","7080056")</f>
        <v>0</v>
      </c>
      <c r="B5640" t="s">
        <v>1898</v>
      </c>
      <c r="C5640" t="s">
        <v>8799</v>
      </c>
      <c r="D5640" t="s">
        <v>17415</v>
      </c>
      <c r="E5640" t="s">
        <v>22377</v>
      </c>
      <c r="F5640" t="s">
        <v>30052</v>
      </c>
      <c r="G5640" t="s">
        <v>30058</v>
      </c>
      <c r="H5640" t="s">
        <v>15498</v>
      </c>
      <c r="I5640" t="s">
        <v>4119</v>
      </c>
      <c r="J5640" t="s">
        <v>33757</v>
      </c>
      <c r="K5640" t="s">
        <v>39029</v>
      </c>
      <c r="M5640" t="s">
        <v>41329</v>
      </c>
      <c r="N5640" t="s">
        <v>43166</v>
      </c>
      <c r="O5640" t="s">
        <v>43167</v>
      </c>
      <c r="P5640">
        <v>0</v>
      </c>
      <c r="Q5640">
        <v>3</v>
      </c>
      <c r="R5640" t="s">
        <v>43172</v>
      </c>
      <c r="S5640" t="s">
        <v>43334</v>
      </c>
      <c r="T5640" t="s">
        <v>44710</v>
      </c>
      <c r="U5640" t="s">
        <v>49801</v>
      </c>
      <c r="W5640" t="s">
        <v>41329</v>
      </c>
      <c r="X5640" t="s">
        <v>43173</v>
      </c>
    </row>
    <row r="5641" spans="1:24">
      <c r="A5641">
        <f>HYPERLINK("https://www.philgeps.gov.ph/GEPSNONPILOT/Tender/SplashBidNoticeAbstractUI.aspx?menuIndex=3&amp;refID=7080147&amp;Result=3","7080147")</f>
        <v>0</v>
      </c>
      <c r="B5641" t="s">
        <v>1912</v>
      </c>
      <c r="C5641" t="s">
        <v>8800</v>
      </c>
      <c r="D5641" t="s">
        <v>17441</v>
      </c>
      <c r="E5641" t="s">
        <v>18436</v>
      </c>
      <c r="F5641" t="s">
        <v>30052</v>
      </c>
      <c r="G5641" t="s">
        <v>30058</v>
      </c>
      <c r="H5641" t="s">
        <v>15498</v>
      </c>
      <c r="I5641" t="s">
        <v>3736</v>
      </c>
      <c r="J5641" t="s">
        <v>30277</v>
      </c>
      <c r="K5641" t="s">
        <v>39034</v>
      </c>
      <c r="L5641" t="s">
        <v>1912</v>
      </c>
      <c r="M5641" t="s">
        <v>41343</v>
      </c>
      <c r="N5641" t="s">
        <v>43166</v>
      </c>
      <c r="O5641" t="s">
        <v>43167</v>
      </c>
      <c r="P5641">
        <v>0</v>
      </c>
      <c r="Q5641">
        <v>5</v>
      </c>
      <c r="R5641" t="s">
        <v>43172</v>
      </c>
      <c r="S5641" t="s">
        <v>43334</v>
      </c>
      <c r="T5641" t="s">
        <v>44806</v>
      </c>
      <c r="U5641" t="s">
        <v>49802</v>
      </c>
      <c r="W5641" t="s">
        <v>41343</v>
      </c>
      <c r="X5641" t="s">
        <v>43173</v>
      </c>
    </row>
    <row r="5642" spans="1:24">
      <c r="A5642">
        <f>HYPERLINK("https://www.philgeps.gov.ph/GEPSNONPILOT/Tender/SplashBidNoticeAbstractUI.aspx?menuIndex=3&amp;refID=7080105&amp;Result=3","7080105")</f>
        <v>0</v>
      </c>
      <c r="B5642" t="s">
        <v>1913</v>
      </c>
      <c r="C5642" t="s">
        <v>8801</v>
      </c>
      <c r="D5642" t="s">
        <v>17424</v>
      </c>
      <c r="E5642" t="s">
        <v>18907</v>
      </c>
      <c r="F5642" t="s">
        <v>30052</v>
      </c>
      <c r="G5642" t="s">
        <v>30058</v>
      </c>
      <c r="H5642" t="s">
        <v>15498</v>
      </c>
      <c r="I5642" t="s">
        <v>3736</v>
      </c>
      <c r="J5642" t="s">
        <v>33758</v>
      </c>
      <c r="K5642" t="s">
        <v>39017</v>
      </c>
      <c r="M5642" t="s">
        <v>41344</v>
      </c>
      <c r="N5642" t="s">
        <v>43166</v>
      </c>
      <c r="O5642" t="s">
        <v>43167</v>
      </c>
      <c r="P5642">
        <v>0</v>
      </c>
      <c r="Q5642">
        <v>0</v>
      </c>
      <c r="R5642" t="s">
        <v>43172</v>
      </c>
      <c r="S5642" t="s">
        <v>43334</v>
      </c>
      <c r="T5642" t="s">
        <v>44708</v>
      </c>
      <c r="U5642" t="s">
        <v>49803</v>
      </c>
      <c r="W5642" t="s">
        <v>41344</v>
      </c>
      <c r="X5642" t="s">
        <v>43173</v>
      </c>
    </row>
    <row r="5643" spans="1:24">
      <c r="A5643">
        <f>HYPERLINK("https://www.philgeps.gov.ph/GEPSNONPILOT/Tender/SplashBidNoticeAbstractUI.aspx?menuIndex=3&amp;refID=7080139&amp;Result=3","7080139")</f>
        <v>0</v>
      </c>
      <c r="B5643" t="s">
        <v>1727</v>
      </c>
      <c r="C5643" t="s">
        <v>8802</v>
      </c>
      <c r="D5643" t="s">
        <v>17436</v>
      </c>
      <c r="E5643" t="s">
        <v>22378</v>
      </c>
      <c r="F5643" t="s">
        <v>30052</v>
      </c>
      <c r="G5643" t="s">
        <v>30058</v>
      </c>
      <c r="H5643" t="s">
        <v>15498</v>
      </c>
      <c r="I5643" t="s">
        <v>4650</v>
      </c>
      <c r="J5643" t="s">
        <v>30644</v>
      </c>
      <c r="K5643" t="s">
        <v>39034</v>
      </c>
      <c r="M5643" t="s">
        <v>41144</v>
      </c>
      <c r="N5643" t="s">
        <v>43166</v>
      </c>
      <c r="O5643" t="s">
        <v>43167</v>
      </c>
      <c r="P5643">
        <v>0</v>
      </c>
      <c r="Q5643">
        <v>0</v>
      </c>
      <c r="R5643" t="s">
        <v>43172</v>
      </c>
      <c r="S5643" t="s">
        <v>43334</v>
      </c>
      <c r="T5643" t="s">
        <v>44818</v>
      </c>
      <c r="U5643" t="s">
        <v>49804</v>
      </c>
      <c r="W5643" t="s">
        <v>41144</v>
      </c>
      <c r="X5643" t="s">
        <v>43173</v>
      </c>
    </row>
    <row r="5644" spans="1:24">
      <c r="A5644">
        <f>HYPERLINK("https://www.philgeps.gov.ph/GEPSNONPILOT/Tender/SplashBidNoticeAbstractUI.aspx?menuIndex=3&amp;refID=7080137&amp;Result=3","7080137")</f>
        <v>0</v>
      </c>
      <c r="B5644" t="s">
        <v>90</v>
      </c>
      <c r="C5644" t="s">
        <v>8803</v>
      </c>
      <c r="D5644" t="s">
        <v>17414</v>
      </c>
      <c r="E5644" t="s">
        <v>22379</v>
      </c>
      <c r="F5644" t="s">
        <v>30052</v>
      </c>
      <c r="G5644" t="s">
        <v>30061</v>
      </c>
      <c r="H5644" t="s">
        <v>15498</v>
      </c>
      <c r="I5644" t="s">
        <v>5961</v>
      </c>
      <c r="J5644" t="s">
        <v>30248</v>
      </c>
      <c r="K5644" t="s">
        <v>39029</v>
      </c>
      <c r="M5644" t="s">
        <v>39379</v>
      </c>
      <c r="N5644" t="s">
        <v>43166</v>
      </c>
      <c r="O5644" t="s">
        <v>43167</v>
      </c>
      <c r="P5644">
        <v>0</v>
      </c>
      <c r="Q5644">
        <v>4</v>
      </c>
      <c r="R5644" t="s">
        <v>43172</v>
      </c>
      <c r="S5644" t="s">
        <v>43334</v>
      </c>
      <c r="T5644" t="s">
        <v>44837</v>
      </c>
      <c r="U5644" t="s">
        <v>49805</v>
      </c>
      <c r="W5644" t="s">
        <v>39379</v>
      </c>
      <c r="X5644" t="s">
        <v>43173</v>
      </c>
    </row>
    <row r="5645" spans="1:24">
      <c r="A5645">
        <f>HYPERLINK("https://www.philgeps.gov.ph/GEPSNONPILOT/Tender/SplashBidNoticeAbstractUI.aspx?menuIndex=3&amp;refID=7080120&amp;Result=3","7080120")</f>
        <v>0</v>
      </c>
      <c r="B5645" t="s">
        <v>1417</v>
      </c>
      <c r="C5645" t="s">
        <v>8804</v>
      </c>
      <c r="D5645" t="s">
        <v>17441</v>
      </c>
      <c r="E5645" t="s">
        <v>22380</v>
      </c>
      <c r="F5645" t="s">
        <v>30052</v>
      </c>
      <c r="G5645" t="s">
        <v>30060</v>
      </c>
      <c r="H5645" t="s">
        <v>15498</v>
      </c>
      <c r="I5645" t="s">
        <v>30071</v>
      </c>
      <c r="J5645" t="s">
        <v>33759</v>
      </c>
      <c r="K5645" t="s">
        <v>39034</v>
      </c>
      <c r="M5645" t="s">
        <v>40795</v>
      </c>
      <c r="N5645" t="s">
        <v>43166</v>
      </c>
      <c r="O5645" t="s">
        <v>43167</v>
      </c>
      <c r="P5645">
        <v>0</v>
      </c>
      <c r="Q5645">
        <v>2</v>
      </c>
      <c r="R5645" t="s">
        <v>43172</v>
      </c>
      <c r="S5645" t="s">
        <v>43334</v>
      </c>
      <c r="T5645" t="s">
        <v>44773</v>
      </c>
      <c r="U5645" t="s">
        <v>49806</v>
      </c>
      <c r="W5645" t="s">
        <v>40795</v>
      </c>
      <c r="X5645" t="s">
        <v>43173</v>
      </c>
    </row>
    <row r="5646" spans="1:24">
      <c r="A5646">
        <f>HYPERLINK("https://www.philgeps.gov.ph/GEPSNONPILOT/Tender/SplashBidNoticeAbstractUI.aspx?menuIndex=3&amp;refID=7080135&amp;Result=3","7080135")</f>
        <v>0</v>
      </c>
      <c r="B5646" t="s">
        <v>1270</v>
      </c>
      <c r="C5646" t="s">
        <v>8805</v>
      </c>
      <c r="D5646" t="s">
        <v>17465</v>
      </c>
      <c r="E5646" t="s">
        <v>22381</v>
      </c>
      <c r="F5646" t="s">
        <v>30052</v>
      </c>
      <c r="G5646" t="s">
        <v>30058</v>
      </c>
      <c r="H5646" t="s">
        <v>15498</v>
      </c>
      <c r="I5646" t="s">
        <v>4119</v>
      </c>
      <c r="J5646" t="s">
        <v>31737</v>
      </c>
      <c r="K5646" t="s">
        <v>39034</v>
      </c>
      <c r="M5646" t="s">
        <v>40629</v>
      </c>
      <c r="N5646" t="s">
        <v>43166</v>
      </c>
      <c r="O5646" t="s">
        <v>43167</v>
      </c>
      <c r="P5646">
        <v>0</v>
      </c>
      <c r="Q5646">
        <v>10</v>
      </c>
      <c r="R5646" t="s">
        <v>43172</v>
      </c>
      <c r="S5646" t="s">
        <v>43334</v>
      </c>
      <c r="T5646" t="s">
        <v>44879</v>
      </c>
      <c r="U5646" t="s">
        <v>49807</v>
      </c>
      <c r="W5646" t="s">
        <v>40629</v>
      </c>
      <c r="X5646" t="s">
        <v>43173</v>
      </c>
    </row>
    <row r="5647" spans="1:24">
      <c r="A5647">
        <f>HYPERLINK("https://www.philgeps.gov.ph/GEPSNONPILOT/Tender/SplashBidNoticeAbstractUI.aspx?menuIndex=3&amp;refID=7080133&amp;Result=3","7080133")</f>
        <v>0</v>
      </c>
      <c r="B5647" t="s">
        <v>1028</v>
      </c>
      <c r="C5647" t="s">
        <v>8806</v>
      </c>
      <c r="D5647" t="s">
        <v>17438</v>
      </c>
      <c r="E5647" t="s">
        <v>22382</v>
      </c>
      <c r="F5647" t="s">
        <v>30052</v>
      </c>
      <c r="G5647" t="s">
        <v>30059</v>
      </c>
      <c r="H5647" t="s">
        <v>15498</v>
      </c>
      <c r="I5647" t="s">
        <v>6691</v>
      </c>
      <c r="J5647" t="s">
        <v>33760</v>
      </c>
      <c r="K5647" t="s">
        <v>39035</v>
      </c>
      <c r="M5647" t="s">
        <v>40357</v>
      </c>
      <c r="N5647" t="s">
        <v>43166</v>
      </c>
      <c r="O5647" t="s">
        <v>43167</v>
      </c>
      <c r="P5647">
        <v>0</v>
      </c>
      <c r="Q5647">
        <v>0</v>
      </c>
      <c r="R5647" t="s">
        <v>43172</v>
      </c>
      <c r="S5647" t="s">
        <v>43334</v>
      </c>
      <c r="T5647" t="s">
        <v>44691</v>
      </c>
      <c r="U5647" t="s">
        <v>47341</v>
      </c>
      <c r="W5647" t="s">
        <v>40357</v>
      </c>
      <c r="X5647" t="s">
        <v>43173</v>
      </c>
    </row>
    <row r="5648" spans="1:24">
      <c r="A5648">
        <f>HYPERLINK("https://www.philgeps.gov.ph/GEPSNONPILOT/Tender/SplashBidNoticeAbstractUI.aspx?menuIndex=3&amp;refID=7080141&amp;Result=3","7080141")</f>
        <v>0</v>
      </c>
      <c r="B5648" t="s">
        <v>1911</v>
      </c>
      <c r="C5648" t="s">
        <v>8807</v>
      </c>
      <c r="D5648" t="s">
        <v>17459</v>
      </c>
      <c r="E5648" t="s">
        <v>22383</v>
      </c>
      <c r="F5648" t="s">
        <v>30052</v>
      </c>
      <c r="G5648" t="s">
        <v>30059</v>
      </c>
      <c r="H5648" t="s">
        <v>15498</v>
      </c>
      <c r="I5648" t="s">
        <v>30071</v>
      </c>
      <c r="J5648" t="s">
        <v>33761</v>
      </c>
      <c r="K5648" t="s">
        <v>39017</v>
      </c>
      <c r="M5648" t="s">
        <v>41342</v>
      </c>
      <c r="N5648" t="s">
        <v>43166</v>
      </c>
      <c r="O5648" t="s">
        <v>43167</v>
      </c>
      <c r="P5648">
        <v>0</v>
      </c>
      <c r="Q5648">
        <v>0</v>
      </c>
      <c r="R5648" t="s">
        <v>43172</v>
      </c>
      <c r="S5648" t="s">
        <v>43334</v>
      </c>
      <c r="T5648" t="s">
        <v>44777</v>
      </c>
      <c r="U5648" t="s">
        <v>49808</v>
      </c>
      <c r="W5648" t="s">
        <v>41342</v>
      </c>
      <c r="X5648" t="s">
        <v>43173</v>
      </c>
    </row>
    <row r="5649" spans="1:24">
      <c r="A5649">
        <f>HYPERLINK("https://www.philgeps.gov.ph/GEPSNONPILOT/Tender/SplashBidNoticeAbstractUI.aspx?menuIndex=3&amp;refID=7080126&amp;Result=3","7080126")</f>
        <v>0</v>
      </c>
      <c r="B5649" t="s">
        <v>1727</v>
      </c>
      <c r="C5649" t="s">
        <v>8808</v>
      </c>
      <c r="D5649" t="s">
        <v>17436</v>
      </c>
      <c r="E5649" t="s">
        <v>22384</v>
      </c>
      <c r="F5649" t="s">
        <v>30052</v>
      </c>
      <c r="G5649" t="s">
        <v>30058</v>
      </c>
      <c r="H5649" t="s">
        <v>15498</v>
      </c>
      <c r="I5649" t="s">
        <v>3736</v>
      </c>
      <c r="J5649" t="s">
        <v>33762</v>
      </c>
      <c r="K5649" t="s">
        <v>39034</v>
      </c>
      <c r="M5649" t="s">
        <v>41144</v>
      </c>
      <c r="N5649" t="s">
        <v>43166</v>
      </c>
      <c r="O5649" t="s">
        <v>43167</v>
      </c>
      <c r="P5649">
        <v>0</v>
      </c>
      <c r="Q5649">
        <v>1</v>
      </c>
      <c r="R5649" t="s">
        <v>43172</v>
      </c>
      <c r="S5649" t="s">
        <v>43334</v>
      </c>
      <c r="T5649" t="s">
        <v>44818</v>
      </c>
      <c r="U5649" t="s">
        <v>49809</v>
      </c>
      <c r="W5649" t="s">
        <v>41144</v>
      </c>
      <c r="X5649" t="s">
        <v>43173</v>
      </c>
    </row>
    <row r="5650" spans="1:24">
      <c r="A5650">
        <f>HYPERLINK("https://www.philgeps.gov.ph/GEPSNONPILOT/Tender/SplashBidNoticeAbstractUI.aspx?menuIndex=3&amp;refID=7080146&amp;Result=3","7080146")</f>
        <v>0</v>
      </c>
      <c r="B5650" t="s">
        <v>1914</v>
      </c>
      <c r="C5650" t="s">
        <v>8809</v>
      </c>
      <c r="D5650" t="s">
        <v>17435</v>
      </c>
      <c r="E5650" t="s">
        <v>17650</v>
      </c>
      <c r="F5650" t="s">
        <v>30052</v>
      </c>
      <c r="G5650" t="s">
        <v>30058</v>
      </c>
      <c r="H5650" t="s">
        <v>30067</v>
      </c>
      <c r="I5650" t="s">
        <v>3693</v>
      </c>
      <c r="J5650" t="s">
        <v>30436</v>
      </c>
      <c r="K5650" t="s">
        <v>39037</v>
      </c>
      <c r="M5650" t="s">
        <v>41345</v>
      </c>
      <c r="N5650" t="s">
        <v>43166</v>
      </c>
      <c r="O5650" t="s">
        <v>43167</v>
      </c>
      <c r="P5650">
        <v>0</v>
      </c>
      <c r="Q5650">
        <v>0</v>
      </c>
      <c r="R5650" t="s">
        <v>43172</v>
      </c>
      <c r="S5650" t="s">
        <v>43334</v>
      </c>
      <c r="T5650" t="s">
        <v>44705</v>
      </c>
      <c r="U5650" t="s">
        <v>49810</v>
      </c>
      <c r="W5650" t="s">
        <v>41345</v>
      </c>
      <c r="X5650" t="s">
        <v>43173</v>
      </c>
    </row>
    <row r="5651" spans="1:24">
      <c r="A5651">
        <f>HYPERLINK("https://www.philgeps.gov.ph/GEPSNONPILOT/Tender/SplashBidNoticeAbstractUI.aspx?menuIndex=3&amp;refID=7080122&amp;Result=3","7080122")</f>
        <v>0</v>
      </c>
      <c r="B5651" t="s">
        <v>1869</v>
      </c>
      <c r="C5651" t="s">
        <v>8810</v>
      </c>
      <c r="D5651" t="s">
        <v>17415</v>
      </c>
      <c r="E5651" t="s">
        <v>20466</v>
      </c>
      <c r="F5651" t="s">
        <v>30052</v>
      </c>
      <c r="G5651" t="s">
        <v>30059</v>
      </c>
      <c r="H5651" t="s">
        <v>30069</v>
      </c>
      <c r="I5651" t="s">
        <v>8323</v>
      </c>
      <c r="J5651" t="s">
        <v>33763</v>
      </c>
      <c r="K5651" t="s">
        <v>39019</v>
      </c>
      <c r="M5651" t="s">
        <v>41298</v>
      </c>
      <c r="N5651" t="s">
        <v>43166</v>
      </c>
      <c r="O5651" t="s">
        <v>43167</v>
      </c>
      <c r="P5651">
        <v>0</v>
      </c>
      <c r="Q5651">
        <v>18</v>
      </c>
      <c r="R5651" t="s">
        <v>43172</v>
      </c>
      <c r="S5651" t="s">
        <v>43334</v>
      </c>
      <c r="T5651" t="s">
        <v>44734</v>
      </c>
      <c r="U5651" t="s">
        <v>49811</v>
      </c>
      <c r="V5651" t="s">
        <v>57128</v>
      </c>
      <c r="W5651" t="s">
        <v>41298</v>
      </c>
      <c r="X5651" t="s">
        <v>43173</v>
      </c>
    </row>
    <row r="5652" spans="1:24">
      <c r="A5652">
        <f>HYPERLINK("https://www.philgeps.gov.ph/GEPSNONPILOT/Tender/SplashBidNoticeAbstractUI.aspx?menuIndex=3&amp;refID=7080121&amp;Result=3","7080121")</f>
        <v>0</v>
      </c>
      <c r="B5652" t="s">
        <v>1915</v>
      </c>
      <c r="C5652" t="s">
        <v>8811</v>
      </c>
      <c r="D5652" t="s">
        <v>17446</v>
      </c>
      <c r="E5652" t="s">
        <v>22385</v>
      </c>
      <c r="F5652" t="s">
        <v>30052</v>
      </c>
      <c r="G5652" t="s">
        <v>30058</v>
      </c>
      <c r="H5652" t="s">
        <v>30067</v>
      </c>
      <c r="I5652" t="s">
        <v>3693</v>
      </c>
      <c r="J5652" t="s">
        <v>30545</v>
      </c>
      <c r="K5652" t="s">
        <v>39042</v>
      </c>
      <c r="M5652" t="s">
        <v>41346</v>
      </c>
      <c r="N5652" t="s">
        <v>43166</v>
      </c>
      <c r="O5652" t="s">
        <v>43167</v>
      </c>
      <c r="P5652">
        <v>0</v>
      </c>
      <c r="Q5652">
        <v>0</v>
      </c>
      <c r="R5652" t="s">
        <v>43172</v>
      </c>
      <c r="S5652" t="s">
        <v>43334</v>
      </c>
      <c r="T5652" t="s">
        <v>44828</v>
      </c>
      <c r="U5652" t="s">
        <v>49812</v>
      </c>
      <c r="W5652" t="s">
        <v>41346</v>
      </c>
      <c r="X5652" t="s">
        <v>43173</v>
      </c>
    </row>
    <row r="5653" spans="1:24">
      <c r="A5653">
        <f>HYPERLINK("https://www.philgeps.gov.ph/GEPSNONPILOT/Tender/SplashBidNoticeAbstractUI.aspx?menuIndex=3&amp;refID=7080129&amp;Result=3","7080129")</f>
        <v>0</v>
      </c>
      <c r="B5653" t="s">
        <v>1916</v>
      </c>
      <c r="C5653" t="s">
        <v>8812</v>
      </c>
      <c r="D5653" t="s">
        <v>17436</v>
      </c>
      <c r="E5653" t="s">
        <v>22386</v>
      </c>
      <c r="F5653" t="s">
        <v>30052</v>
      </c>
      <c r="G5653" t="s">
        <v>30059</v>
      </c>
      <c r="H5653" t="s">
        <v>15498</v>
      </c>
      <c r="I5653" t="s">
        <v>30106</v>
      </c>
      <c r="J5653" t="s">
        <v>30337</v>
      </c>
      <c r="K5653" t="s">
        <v>39019</v>
      </c>
      <c r="M5653" t="s">
        <v>41347</v>
      </c>
      <c r="N5653" t="s">
        <v>43166</v>
      </c>
      <c r="O5653" t="s">
        <v>43167</v>
      </c>
      <c r="P5653">
        <v>0</v>
      </c>
      <c r="Q5653">
        <v>0</v>
      </c>
      <c r="R5653" t="s">
        <v>43172</v>
      </c>
      <c r="S5653" t="s">
        <v>43334</v>
      </c>
      <c r="T5653" t="s">
        <v>44691</v>
      </c>
      <c r="U5653" t="s">
        <v>49813</v>
      </c>
      <c r="V5653" t="s">
        <v>57438</v>
      </c>
      <c r="W5653" t="s">
        <v>41347</v>
      </c>
      <c r="X5653" t="s">
        <v>43173</v>
      </c>
    </row>
    <row r="5654" spans="1:24">
      <c r="A5654">
        <f>HYPERLINK("https://www.philgeps.gov.ph/GEPSNONPILOT/Tender/SplashBidNoticeAbstractUI.aspx?menuIndex=3&amp;refID=7080116&amp;Result=3","7080116")</f>
        <v>0</v>
      </c>
      <c r="B5654" t="s">
        <v>1882</v>
      </c>
      <c r="C5654" t="s">
        <v>8767</v>
      </c>
      <c r="D5654" t="s">
        <v>17474</v>
      </c>
      <c r="E5654" t="s">
        <v>22387</v>
      </c>
      <c r="F5654" t="s">
        <v>30052</v>
      </c>
      <c r="G5654" t="s">
        <v>30058</v>
      </c>
      <c r="H5654" t="s">
        <v>15498</v>
      </c>
      <c r="I5654" t="s">
        <v>3736</v>
      </c>
      <c r="J5654" t="s">
        <v>33764</v>
      </c>
      <c r="K5654" t="s">
        <v>39029</v>
      </c>
      <c r="M5654" t="s">
        <v>41313</v>
      </c>
      <c r="N5654" t="s">
        <v>43166</v>
      </c>
      <c r="O5654" t="s">
        <v>43167</v>
      </c>
      <c r="P5654">
        <v>0</v>
      </c>
      <c r="Q5654">
        <v>0</v>
      </c>
      <c r="R5654" t="s">
        <v>43172</v>
      </c>
      <c r="S5654" t="s">
        <v>43334</v>
      </c>
      <c r="T5654" t="s">
        <v>44699</v>
      </c>
      <c r="U5654" t="s">
        <v>49814</v>
      </c>
      <c r="W5654" t="s">
        <v>41313</v>
      </c>
      <c r="X5654" t="s">
        <v>43173</v>
      </c>
    </row>
    <row r="5655" spans="1:24">
      <c r="A5655">
        <f>HYPERLINK("https://www.philgeps.gov.ph/GEPSNONPILOT/Tender/SplashBidNoticeAbstractUI.aspx?menuIndex=3&amp;refID=7080115&amp;Result=3","7080115")</f>
        <v>0</v>
      </c>
      <c r="B5655" t="s">
        <v>696</v>
      </c>
      <c r="C5655" t="s">
        <v>8813</v>
      </c>
      <c r="D5655" t="s">
        <v>17432</v>
      </c>
      <c r="E5655" t="s">
        <v>22388</v>
      </c>
      <c r="F5655" t="s">
        <v>30052</v>
      </c>
      <c r="G5655" t="s">
        <v>30059</v>
      </c>
      <c r="H5655" t="s">
        <v>15498</v>
      </c>
      <c r="I5655" t="s">
        <v>5961</v>
      </c>
      <c r="J5655" t="s">
        <v>33765</v>
      </c>
      <c r="K5655" t="s">
        <v>39064</v>
      </c>
      <c r="M5655" t="s">
        <v>40004</v>
      </c>
      <c r="N5655" t="s">
        <v>43166</v>
      </c>
      <c r="O5655" t="s">
        <v>43167</v>
      </c>
      <c r="P5655">
        <v>0</v>
      </c>
      <c r="Q5655">
        <v>3</v>
      </c>
      <c r="R5655" t="s">
        <v>43172</v>
      </c>
      <c r="S5655" t="s">
        <v>43334</v>
      </c>
      <c r="T5655" t="s">
        <v>44832</v>
      </c>
      <c r="U5655" t="s">
        <v>49815</v>
      </c>
      <c r="W5655" t="s">
        <v>40004</v>
      </c>
      <c r="X5655" t="s">
        <v>43173</v>
      </c>
    </row>
    <row r="5656" spans="1:24">
      <c r="A5656">
        <f>HYPERLINK("https://www.philgeps.gov.ph/GEPSNONPILOT/Tender/SplashBidNoticeAbstractUI.aspx?menuIndex=3&amp;refID=7080124&amp;Result=3","7080124")</f>
        <v>0</v>
      </c>
      <c r="B5656" t="s">
        <v>1917</v>
      </c>
      <c r="C5656" t="s">
        <v>8814</v>
      </c>
      <c r="D5656" t="s">
        <v>17417</v>
      </c>
      <c r="E5656" t="s">
        <v>22389</v>
      </c>
      <c r="F5656" t="s">
        <v>30052</v>
      </c>
      <c r="G5656" t="s">
        <v>30062</v>
      </c>
      <c r="H5656" t="s">
        <v>15498</v>
      </c>
      <c r="I5656" t="s">
        <v>5961</v>
      </c>
      <c r="J5656" t="s">
        <v>33766</v>
      </c>
      <c r="K5656" t="s">
        <v>39019</v>
      </c>
      <c r="M5656" t="s">
        <v>41348</v>
      </c>
      <c r="N5656" t="s">
        <v>43166</v>
      </c>
      <c r="O5656" t="s">
        <v>43167</v>
      </c>
      <c r="P5656">
        <v>0</v>
      </c>
      <c r="Q5656">
        <v>1</v>
      </c>
      <c r="R5656" t="s">
        <v>43172</v>
      </c>
      <c r="S5656" t="s">
        <v>43334</v>
      </c>
      <c r="T5656" t="s">
        <v>44844</v>
      </c>
      <c r="U5656" t="s">
        <v>49816</v>
      </c>
      <c r="W5656" t="s">
        <v>41348</v>
      </c>
      <c r="X5656" t="s">
        <v>43173</v>
      </c>
    </row>
    <row r="5657" spans="1:24">
      <c r="A5657">
        <f>HYPERLINK("https://www.philgeps.gov.ph/GEPSNONPILOT/Tender/SplashBidNoticeAbstractUI.aspx?menuIndex=3&amp;refID=7080154&amp;Result=3","7080154")</f>
        <v>0</v>
      </c>
      <c r="B5657" t="s">
        <v>1917</v>
      </c>
      <c r="C5657" t="s">
        <v>8815</v>
      </c>
      <c r="D5657" t="s">
        <v>17417</v>
      </c>
      <c r="E5657" t="s">
        <v>22390</v>
      </c>
      <c r="F5657" t="s">
        <v>30052</v>
      </c>
      <c r="G5657" t="s">
        <v>30062</v>
      </c>
      <c r="H5657" t="s">
        <v>15498</v>
      </c>
      <c r="I5657" t="s">
        <v>30084</v>
      </c>
      <c r="J5657" t="s">
        <v>30277</v>
      </c>
      <c r="K5657" t="s">
        <v>39019</v>
      </c>
      <c r="M5657" t="s">
        <v>41348</v>
      </c>
      <c r="N5657" t="s">
        <v>43166</v>
      </c>
      <c r="O5657" t="s">
        <v>43167</v>
      </c>
      <c r="P5657">
        <v>0</v>
      </c>
      <c r="Q5657">
        <v>2</v>
      </c>
      <c r="R5657" t="s">
        <v>43172</v>
      </c>
      <c r="S5657" t="s">
        <v>43334</v>
      </c>
      <c r="T5657" t="s">
        <v>44844</v>
      </c>
      <c r="U5657" t="s">
        <v>49817</v>
      </c>
      <c r="W5657" t="s">
        <v>41348</v>
      </c>
      <c r="X5657" t="s">
        <v>43173</v>
      </c>
    </row>
    <row r="5658" spans="1:24">
      <c r="A5658">
        <f>HYPERLINK("https://www.philgeps.gov.ph/GEPSNONPILOT/Tender/SplashBidNoticeAbstractUI.aspx?menuIndex=3&amp;refID=7080153&amp;Result=3","7080153")</f>
        <v>0</v>
      </c>
      <c r="B5658" t="s">
        <v>1512</v>
      </c>
      <c r="C5658" t="s">
        <v>8816</v>
      </c>
      <c r="D5658" t="s">
        <v>17465</v>
      </c>
      <c r="E5658" t="s">
        <v>22391</v>
      </c>
      <c r="F5658" t="s">
        <v>30052</v>
      </c>
      <c r="G5658" t="s">
        <v>30059</v>
      </c>
      <c r="H5658" t="s">
        <v>15498</v>
      </c>
      <c r="I5658" t="s">
        <v>9238</v>
      </c>
      <c r="J5658" t="s">
        <v>33767</v>
      </c>
      <c r="K5658" t="s">
        <v>39025</v>
      </c>
      <c r="M5658" t="s">
        <v>40897</v>
      </c>
      <c r="N5658" t="s">
        <v>43166</v>
      </c>
      <c r="O5658" t="s">
        <v>43167</v>
      </c>
      <c r="P5658">
        <v>0</v>
      </c>
      <c r="Q5658">
        <v>23</v>
      </c>
      <c r="R5658" t="s">
        <v>43172</v>
      </c>
      <c r="S5658" t="s">
        <v>43334</v>
      </c>
      <c r="T5658" t="s">
        <v>44696</v>
      </c>
      <c r="U5658" t="s">
        <v>49818</v>
      </c>
      <c r="W5658" t="s">
        <v>40897</v>
      </c>
      <c r="X5658" t="s">
        <v>43173</v>
      </c>
    </row>
    <row r="5659" spans="1:24">
      <c r="A5659">
        <f>HYPERLINK("https://www.philgeps.gov.ph/GEPSNONPILOT/Tender/SplashBidNoticeAbstractUI.aspx?menuIndex=3&amp;refID=7080090&amp;Result=3","7080090")</f>
        <v>0</v>
      </c>
      <c r="B5659" t="s">
        <v>1277</v>
      </c>
      <c r="C5659" t="s">
        <v>8817</v>
      </c>
      <c r="D5659" t="s">
        <v>17454</v>
      </c>
      <c r="E5659" t="s">
        <v>22392</v>
      </c>
      <c r="F5659" t="s">
        <v>30052</v>
      </c>
      <c r="G5659" t="s">
        <v>30059</v>
      </c>
      <c r="H5659" t="s">
        <v>15498</v>
      </c>
      <c r="I5659" t="s">
        <v>9238</v>
      </c>
      <c r="J5659" t="s">
        <v>33768</v>
      </c>
      <c r="K5659" t="s">
        <v>39037</v>
      </c>
      <c r="M5659" t="s">
        <v>40639</v>
      </c>
      <c r="N5659" t="s">
        <v>43166</v>
      </c>
      <c r="O5659" t="s">
        <v>43167</v>
      </c>
      <c r="P5659">
        <v>0</v>
      </c>
      <c r="Q5659">
        <v>6</v>
      </c>
      <c r="R5659" t="s">
        <v>43172</v>
      </c>
      <c r="S5659" t="s">
        <v>43334</v>
      </c>
      <c r="T5659" t="s">
        <v>44735</v>
      </c>
      <c r="U5659" t="s">
        <v>49819</v>
      </c>
      <c r="W5659" t="s">
        <v>40639</v>
      </c>
      <c r="X5659" t="s">
        <v>43173</v>
      </c>
    </row>
    <row r="5660" spans="1:24">
      <c r="A5660">
        <f>HYPERLINK("https://www.philgeps.gov.ph/GEPSNONPILOT/Tender/SplashBidNoticeAbstractUI.aspx?menuIndex=3&amp;refID=7080128&amp;Result=3","7080128")</f>
        <v>0</v>
      </c>
      <c r="B5660" t="s">
        <v>1572</v>
      </c>
      <c r="C5660" t="s">
        <v>8818</v>
      </c>
      <c r="D5660" t="s">
        <v>17476</v>
      </c>
      <c r="E5660" t="s">
        <v>18926</v>
      </c>
      <c r="F5660" t="s">
        <v>30052</v>
      </c>
      <c r="G5660" t="s">
        <v>30061</v>
      </c>
      <c r="H5660" t="s">
        <v>15498</v>
      </c>
      <c r="I5660" t="s">
        <v>30076</v>
      </c>
      <c r="J5660" t="s">
        <v>30209</v>
      </c>
      <c r="K5660" t="s">
        <v>39036</v>
      </c>
      <c r="M5660" t="s">
        <v>40963</v>
      </c>
      <c r="N5660" t="s">
        <v>43166</v>
      </c>
      <c r="O5660" t="s">
        <v>43167</v>
      </c>
      <c r="P5660">
        <v>0</v>
      </c>
      <c r="Q5660">
        <v>2</v>
      </c>
      <c r="R5660" t="s">
        <v>43172</v>
      </c>
      <c r="S5660" t="s">
        <v>43334</v>
      </c>
      <c r="T5660" t="s">
        <v>44737</v>
      </c>
      <c r="U5660" t="s">
        <v>49820</v>
      </c>
      <c r="W5660" t="s">
        <v>40963</v>
      </c>
      <c r="X5660" t="s">
        <v>43173</v>
      </c>
    </row>
    <row r="5661" spans="1:24">
      <c r="A5661">
        <f>HYPERLINK("https://www.philgeps.gov.ph/GEPSNONPILOT/Tender/SplashBidNoticeAbstractUI.aspx?menuIndex=3&amp;refID=7080156&amp;Result=3","7080156")</f>
        <v>0</v>
      </c>
      <c r="B5661" t="s">
        <v>1918</v>
      </c>
      <c r="C5661" t="s">
        <v>8819</v>
      </c>
      <c r="D5661" t="s">
        <v>17415</v>
      </c>
      <c r="E5661" t="s">
        <v>22393</v>
      </c>
      <c r="F5661" t="s">
        <v>30052</v>
      </c>
      <c r="G5661" t="s">
        <v>30058</v>
      </c>
      <c r="H5661" t="s">
        <v>15498</v>
      </c>
      <c r="I5661" t="s">
        <v>30098</v>
      </c>
      <c r="J5661" t="s">
        <v>33769</v>
      </c>
      <c r="K5661" t="s">
        <v>39036</v>
      </c>
      <c r="M5661" t="s">
        <v>41349</v>
      </c>
      <c r="N5661" t="s">
        <v>43166</v>
      </c>
      <c r="O5661" t="s">
        <v>43167</v>
      </c>
      <c r="P5661">
        <v>0</v>
      </c>
      <c r="Q5661">
        <v>4</v>
      </c>
      <c r="R5661" t="s">
        <v>43172</v>
      </c>
      <c r="S5661" t="s">
        <v>43334</v>
      </c>
      <c r="T5661" t="s">
        <v>44696</v>
      </c>
      <c r="U5661" t="s">
        <v>45464</v>
      </c>
      <c r="W5661" t="s">
        <v>41349</v>
      </c>
      <c r="X5661" t="s">
        <v>43173</v>
      </c>
    </row>
    <row r="5662" spans="1:24">
      <c r="A5662">
        <f>HYPERLINK("https://www.philgeps.gov.ph/GEPSNONPILOT/Tender/SplashBidNoticeAbstractUI.aspx?menuIndex=3&amp;refID=7080179&amp;Result=3","7080179")</f>
        <v>0</v>
      </c>
      <c r="B5662" t="s">
        <v>1417</v>
      </c>
      <c r="C5662" t="s">
        <v>8820</v>
      </c>
      <c r="D5662" t="s">
        <v>17441</v>
      </c>
      <c r="E5662" t="s">
        <v>22394</v>
      </c>
      <c r="F5662" t="s">
        <v>30052</v>
      </c>
      <c r="G5662" t="s">
        <v>30059</v>
      </c>
      <c r="H5662" t="s">
        <v>15498</v>
      </c>
      <c r="I5662" t="s">
        <v>30070</v>
      </c>
      <c r="J5662" t="s">
        <v>30444</v>
      </c>
      <c r="K5662" t="s">
        <v>39034</v>
      </c>
      <c r="M5662" t="s">
        <v>40795</v>
      </c>
      <c r="N5662" t="s">
        <v>43166</v>
      </c>
      <c r="O5662" t="s">
        <v>43167</v>
      </c>
      <c r="P5662">
        <v>0</v>
      </c>
      <c r="Q5662">
        <v>1</v>
      </c>
      <c r="R5662" t="s">
        <v>43172</v>
      </c>
      <c r="S5662" t="s">
        <v>43334</v>
      </c>
      <c r="T5662" t="s">
        <v>44788</v>
      </c>
      <c r="U5662" t="s">
        <v>49821</v>
      </c>
      <c r="W5662" t="s">
        <v>40795</v>
      </c>
      <c r="X5662" t="s">
        <v>43173</v>
      </c>
    </row>
    <row r="5663" spans="1:24">
      <c r="A5663">
        <f>HYPERLINK("https://www.philgeps.gov.ph/GEPSNONPILOT/Tender/SplashBidNoticeAbstractUI.aspx?menuIndex=3&amp;refID=7080152&amp;Result=3","7080152")</f>
        <v>0</v>
      </c>
      <c r="B5663" t="s">
        <v>1734</v>
      </c>
      <c r="C5663" t="s">
        <v>8821</v>
      </c>
      <c r="D5663" t="s">
        <v>17459</v>
      </c>
      <c r="E5663" t="s">
        <v>22395</v>
      </c>
      <c r="F5663" t="s">
        <v>30052</v>
      </c>
      <c r="G5663" t="s">
        <v>30059</v>
      </c>
      <c r="H5663" t="s">
        <v>15498</v>
      </c>
      <c r="I5663" t="s">
        <v>6304</v>
      </c>
      <c r="J5663" t="s">
        <v>30890</v>
      </c>
      <c r="K5663" t="s">
        <v>39036</v>
      </c>
      <c r="M5663" t="s">
        <v>41151</v>
      </c>
      <c r="N5663" t="s">
        <v>43166</v>
      </c>
      <c r="O5663" t="s">
        <v>43167</v>
      </c>
      <c r="P5663">
        <v>0</v>
      </c>
      <c r="Q5663">
        <v>0</v>
      </c>
      <c r="R5663" t="s">
        <v>43172</v>
      </c>
      <c r="S5663" t="s">
        <v>43334</v>
      </c>
      <c r="T5663" t="s">
        <v>44844</v>
      </c>
      <c r="U5663" t="s">
        <v>49822</v>
      </c>
      <c r="W5663" t="s">
        <v>41151</v>
      </c>
      <c r="X5663" t="s">
        <v>43173</v>
      </c>
    </row>
    <row r="5664" spans="1:24">
      <c r="A5664">
        <f>HYPERLINK("https://www.philgeps.gov.ph/GEPSNONPILOT/Tender/SplashBidNoticeAbstractUI.aspx?menuIndex=3&amp;refID=7080177&amp;Result=3","7080177")</f>
        <v>0</v>
      </c>
      <c r="B5664" t="s">
        <v>1919</v>
      </c>
      <c r="C5664" t="s">
        <v>8822</v>
      </c>
      <c r="D5664" t="s">
        <v>17459</v>
      </c>
      <c r="E5664" t="s">
        <v>22396</v>
      </c>
      <c r="F5664" t="s">
        <v>30055</v>
      </c>
      <c r="G5664" t="s">
        <v>30058</v>
      </c>
      <c r="H5664" t="s">
        <v>15498</v>
      </c>
      <c r="I5664" t="s">
        <v>3736</v>
      </c>
      <c r="J5664" t="s">
        <v>33770</v>
      </c>
      <c r="K5664" t="s">
        <v>39034</v>
      </c>
      <c r="M5664" t="s">
        <v>41350</v>
      </c>
      <c r="N5664" t="s">
        <v>43166</v>
      </c>
      <c r="O5664" t="s">
        <v>43167</v>
      </c>
      <c r="P5664">
        <v>0</v>
      </c>
      <c r="Q5664">
        <v>0</v>
      </c>
      <c r="R5664" t="s">
        <v>43172</v>
      </c>
      <c r="S5664" t="s">
        <v>43334</v>
      </c>
      <c r="T5664" t="s">
        <v>44828</v>
      </c>
      <c r="U5664" t="s">
        <v>49823</v>
      </c>
      <c r="V5664" t="s">
        <v>53214</v>
      </c>
      <c r="W5664" t="s">
        <v>41350</v>
      </c>
      <c r="X5664" t="s">
        <v>43173</v>
      </c>
    </row>
    <row r="5665" spans="1:24">
      <c r="A5665">
        <f>HYPERLINK("https://www.philgeps.gov.ph/GEPSNONPILOT/Tender/SplashBidNoticeAbstractUI.aspx?menuIndex=3&amp;refID=7080174&amp;Result=3","7080174")</f>
        <v>0</v>
      </c>
      <c r="B5665" t="s">
        <v>1347</v>
      </c>
      <c r="C5665" t="s">
        <v>8823</v>
      </c>
      <c r="D5665" t="s">
        <v>17478</v>
      </c>
      <c r="E5665" t="s">
        <v>22397</v>
      </c>
      <c r="F5665" t="s">
        <v>30052</v>
      </c>
      <c r="G5665" t="s">
        <v>30058</v>
      </c>
      <c r="H5665" t="s">
        <v>15498</v>
      </c>
      <c r="I5665" t="s">
        <v>3736</v>
      </c>
      <c r="J5665" t="s">
        <v>33771</v>
      </c>
      <c r="K5665" t="s">
        <v>39019</v>
      </c>
      <c r="M5665" t="s">
        <v>40715</v>
      </c>
      <c r="N5665" t="s">
        <v>43166</v>
      </c>
      <c r="O5665" t="s">
        <v>43167</v>
      </c>
      <c r="P5665">
        <v>0</v>
      </c>
      <c r="Q5665">
        <v>0</v>
      </c>
      <c r="R5665" t="s">
        <v>43172</v>
      </c>
      <c r="S5665" t="s">
        <v>43334</v>
      </c>
      <c r="T5665" t="s">
        <v>44708</v>
      </c>
      <c r="U5665" t="s">
        <v>49800</v>
      </c>
      <c r="W5665" t="s">
        <v>40715</v>
      </c>
      <c r="X5665" t="s">
        <v>43173</v>
      </c>
    </row>
    <row r="5666" spans="1:24">
      <c r="A5666">
        <f>HYPERLINK("https://www.philgeps.gov.ph/GEPSNONPILOT/Tender/SplashBidNoticeAbstractUI.aspx?menuIndex=3&amp;refID=7080186&amp;Result=3","7080186")</f>
        <v>0</v>
      </c>
      <c r="B5666" t="s">
        <v>1059</v>
      </c>
      <c r="C5666" t="s">
        <v>8824</v>
      </c>
      <c r="D5666" t="s">
        <v>17432</v>
      </c>
      <c r="E5666" t="s">
        <v>22398</v>
      </c>
      <c r="F5666" t="s">
        <v>30052</v>
      </c>
      <c r="G5666" t="s">
        <v>30059</v>
      </c>
      <c r="H5666" t="s">
        <v>15498</v>
      </c>
      <c r="I5666" t="s">
        <v>4598</v>
      </c>
      <c r="J5666" t="s">
        <v>33772</v>
      </c>
      <c r="K5666" t="s">
        <v>39037</v>
      </c>
      <c r="M5666" t="s">
        <v>41351</v>
      </c>
      <c r="N5666" t="s">
        <v>43166</v>
      </c>
      <c r="O5666" t="s">
        <v>43167</v>
      </c>
      <c r="P5666">
        <v>0</v>
      </c>
      <c r="Q5666">
        <v>7</v>
      </c>
      <c r="R5666" t="s">
        <v>43172</v>
      </c>
      <c r="S5666" t="s">
        <v>43334</v>
      </c>
      <c r="T5666" t="s">
        <v>44704</v>
      </c>
      <c r="U5666" t="s">
        <v>49824</v>
      </c>
      <c r="W5666" t="s">
        <v>41351</v>
      </c>
      <c r="X5666" t="s">
        <v>43173</v>
      </c>
    </row>
    <row r="5667" spans="1:24">
      <c r="A5667">
        <f>HYPERLINK("https://www.philgeps.gov.ph/GEPSNONPILOT/Tender/SplashBidNoticeAbstractUI.aspx?menuIndex=3&amp;refID=7080173&amp;Result=3","7080173")</f>
        <v>0</v>
      </c>
      <c r="B5667" t="s">
        <v>1916</v>
      </c>
      <c r="C5667" t="s">
        <v>8825</v>
      </c>
      <c r="D5667" t="s">
        <v>17436</v>
      </c>
      <c r="E5667" t="s">
        <v>22399</v>
      </c>
      <c r="F5667" t="s">
        <v>30052</v>
      </c>
      <c r="G5667" t="s">
        <v>30059</v>
      </c>
      <c r="H5667" t="s">
        <v>15498</v>
      </c>
      <c r="I5667" t="s">
        <v>30168</v>
      </c>
      <c r="J5667" t="s">
        <v>30248</v>
      </c>
      <c r="K5667" t="s">
        <v>39019</v>
      </c>
      <c r="M5667" t="s">
        <v>41347</v>
      </c>
      <c r="N5667" t="s">
        <v>43166</v>
      </c>
      <c r="O5667" t="s">
        <v>43167</v>
      </c>
      <c r="P5667">
        <v>0</v>
      </c>
      <c r="Q5667">
        <v>1</v>
      </c>
      <c r="R5667" t="s">
        <v>43172</v>
      </c>
      <c r="S5667" t="s">
        <v>43334</v>
      </c>
      <c r="T5667" t="s">
        <v>44737</v>
      </c>
      <c r="U5667" t="s">
        <v>49825</v>
      </c>
      <c r="V5667" t="s">
        <v>57438</v>
      </c>
      <c r="W5667" t="s">
        <v>41347</v>
      </c>
      <c r="X5667" t="s">
        <v>43173</v>
      </c>
    </row>
    <row r="5668" spans="1:24">
      <c r="A5668">
        <f>HYPERLINK("https://www.philgeps.gov.ph/GEPSNONPILOT/Tender/SplashBidNoticeAbstractUI.aspx?menuIndex=3&amp;refID=7080167&amp;Result=3","7080167")</f>
        <v>0</v>
      </c>
      <c r="B5668" t="s">
        <v>1134</v>
      </c>
      <c r="C5668" t="s">
        <v>8826</v>
      </c>
      <c r="D5668" t="s">
        <v>17459</v>
      </c>
      <c r="E5668" t="s">
        <v>22400</v>
      </c>
      <c r="F5668" t="s">
        <v>30052</v>
      </c>
      <c r="G5668" t="s">
        <v>30059</v>
      </c>
      <c r="H5668" t="s">
        <v>15498</v>
      </c>
      <c r="I5668" t="s">
        <v>4598</v>
      </c>
      <c r="J5668" t="s">
        <v>30861</v>
      </c>
      <c r="K5668" t="s">
        <v>39037</v>
      </c>
      <c r="M5668" t="s">
        <v>40477</v>
      </c>
      <c r="N5668" t="s">
        <v>43166</v>
      </c>
      <c r="O5668" t="s">
        <v>43167</v>
      </c>
      <c r="P5668">
        <v>0</v>
      </c>
      <c r="Q5668">
        <v>4</v>
      </c>
      <c r="R5668" t="s">
        <v>43172</v>
      </c>
      <c r="S5668" t="s">
        <v>43334</v>
      </c>
      <c r="T5668" t="s">
        <v>44717</v>
      </c>
      <c r="U5668" t="s">
        <v>49826</v>
      </c>
      <c r="W5668" t="s">
        <v>40477</v>
      </c>
      <c r="X5668" t="s">
        <v>43173</v>
      </c>
    </row>
    <row r="5669" spans="1:24">
      <c r="A5669">
        <f>HYPERLINK("https://www.philgeps.gov.ph/GEPSNONPILOT/Tender/SplashBidNoticeAbstractUI.aspx?menuIndex=3&amp;refID=7080175&amp;Result=3","7080175")</f>
        <v>0</v>
      </c>
      <c r="B5669" t="s">
        <v>1920</v>
      </c>
      <c r="C5669" t="s">
        <v>8827</v>
      </c>
      <c r="D5669" t="s">
        <v>17476</v>
      </c>
      <c r="E5669" t="s">
        <v>8827</v>
      </c>
      <c r="F5669" t="s">
        <v>30052</v>
      </c>
      <c r="G5669" t="s">
        <v>30058</v>
      </c>
      <c r="H5669" t="s">
        <v>15498</v>
      </c>
      <c r="I5669" t="s">
        <v>30074</v>
      </c>
      <c r="J5669" t="s">
        <v>33773</v>
      </c>
      <c r="K5669" t="s">
        <v>39026</v>
      </c>
      <c r="M5669" t="s">
        <v>41352</v>
      </c>
      <c r="N5669" t="s">
        <v>43166</v>
      </c>
      <c r="O5669" t="s">
        <v>43167</v>
      </c>
      <c r="P5669">
        <v>0</v>
      </c>
      <c r="Q5669">
        <v>7</v>
      </c>
      <c r="R5669" t="s">
        <v>43172</v>
      </c>
      <c r="S5669" t="s">
        <v>43334</v>
      </c>
      <c r="T5669" t="s">
        <v>45021</v>
      </c>
      <c r="U5669" t="s">
        <v>49827</v>
      </c>
      <c r="W5669" t="s">
        <v>41352</v>
      </c>
      <c r="X5669" t="s">
        <v>43173</v>
      </c>
    </row>
    <row r="5670" spans="1:24">
      <c r="A5670">
        <f>HYPERLINK("https://www.philgeps.gov.ph/GEPSNONPILOT/Tender/SplashBidNoticeAbstractUI.aspx?menuIndex=3&amp;refID=7080136&amp;Result=3","7080136")</f>
        <v>0</v>
      </c>
      <c r="B5670" t="s">
        <v>1875</v>
      </c>
      <c r="C5670" t="s">
        <v>8828</v>
      </c>
      <c r="D5670" t="s">
        <v>17422</v>
      </c>
      <c r="E5670" t="s">
        <v>18734</v>
      </c>
      <c r="F5670" t="s">
        <v>30055</v>
      </c>
      <c r="G5670" t="s">
        <v>30061</v>
      </c>
      <c r="H5670" t="s">
        <v>15498</v>
      </c>
      <c r="I5670" t="s">
        <v>30172</v>
      </c>
      <c r="J5670" t="s">
        <v>33774</v>
      </c>
      <c r="K5670" t="s">
        <v>39017</v>
      </c>
      <c r="M5670" t="s">
        <v>41306</v>
      </c>
      <c r="N5670" t="s">
        <v>43166</v>
      </c>
      <c r="O5670" t="s">
        <v>43167</v>
      </c>
      <c r="P5670">
        <v>0</v>
      </c>
      <c r="Q5670">
        <v>1</v>
      </c>
      <c r="R5670" t="s">
        <v>43172</v>
      </c>
      <c r="S5670" t="s">
        <v>43334</v>
      </c>
      <c r="T5670" t="s">
        <v>44844</v>
      </c>
      <c r="U5670" t="s">
        <v>49828</v>
      </c>
      <c r="W5670" t="s">
        <v>41306</v>
      </c>
      <c r="X5670" t="s">
        <v>43173</v>
      </c>
    </row>
    <row r="5671" spans="1:24">
      <c r="A5671">
        <f>HYPERLINK("https://www.philgeps.gov.ph/GEPSNONPILOT/Tender/SplashBidNoticeAbstractUI.aspx?menuIndex=3&amp;refID=7080164&amp;Result=3","7080164")</f>
        <v>0</v>
      </c>
      <c r="B5671" t="s">
        <v>1028</v>
      </c>
      <c r="C5671" t="s">
        <v>8829</v>
      </c>
      <c r="D5671" t="s">
        <v>17438</v>
      </c>
      <c r="E5671" t="s">
        <v>22401</v>
      </c>
      <c r="F5671" t="s">
        <v>30052</v>
      </c>
      <c r="G5671" t="s">
        <v>30059</v>
      </c>
      <c r="H5671" t="s">
        <v>15498</v>
      </c>
      <c r="I5671" t="s">
        <v>6691</v>
      </c>
      <c r="J5671" t="s">
        <v>32512</v>
      </c>
      <c r="K5671" t="s">
        <v>39035</v>
      </c>
      <c r="M5671" t="s">
        <v>40357</v>
      </c>
      <c r="N5671" t="s">
        <v>43166</v>
      </c>
      <c r="O5671" t="s">
        <v>43167</v>
      </c>
      <c r="P5671">
        <v>0</v>
      </c>
      <c r="Q5671">
        <v>0</v>
      </c>
      <c r="R5671" t="s">
        <v>43172</v>
      </c>
      <c r="S5671" t="s">
        <v>43334</v>
      </c>
      <c r="T5671" t="s">
        <v>44691</v>
      </c>
      <c r="U5671" t="s">
        <v>47341</v>
      </c>
      <c r="W5671" t="s">
        <v>40357</v>
      </c>
      <c r="X5671" t="s">
        <v>43173</v>
      </c>
    </row>
    <row r="5672" spans="1:24">
      <c r="A5672">
        <f>HYPERLINK("https://www.philgeps.gov.ph/GEPSNONPILOT/Tender/SplashBidNoticeAbstractUI.aspx?menuIndex=3&amp;refID=7080165&amp;Result=3","7080165")</f>
        <v>0</v>
      </c>
      <c r="B5672" t="s">
        <v>1524</v>
      </c>
      <c r="C5672" t="s">
        <v>8830</v>
      </c>
      <c r="D5672" t="s">
        <v>17443</v>
      </c>
      <c r="E5672" t="s">
        <v>22402</v>
      </c>
      <c r="F5672" t="s">
        <v>30052</v>
      </c>
      <c r="G5672" t="s">
        <v>30058</v>
      </c>
      <c r="H5672" t="s">
        <v>15498</v>
      </c>
      <c r="I5672" t="s">
        <v>3736</v>
      </c>
      <c r="J5672" t="s">
        <v>33775</v>
      </c>
      <c r="K5672" t="s">
        <v>39039</v>
      </c>
      <c r="M5672" t="s">
        <v>40910</v>
      </c>
      <c r="N5672" t="s">
        <v>43166</v>
      </c>
      <c r="O5672" t="s">
        <v>43167</v>
      </c>
      <c r="P5672">
        <v>0</v>
      </c>
      <c r="Q5672">
        <v>0</v>
      </c>
      <c r="R5672" t="s">
        <v>43172</v>
      </c>
      <c r="S5672" t="s">
        <v>43334</v>
      </c>
      <c r="T5672" t="s">
        <v>44806</v>
      </c>
      <c r="U5672" t="s">
        <v>49829</v>
      </c>
      <c r="W5672" t="s">
        <v>40910</v>
      </c>
      <c r="X5672" t="s">
        <v>43173</v>
      </c>
    </row>
    <row r="5673" spans="1:24">
      <c r="A5673">
        <f>HYPERLINK("https://www.philgeps.gov.ph/GEPSNONPILOT/Tender/SplashBidNoticeAbstractUI.aspx?menuIndex=3&amp;refID=7080183&amp;Result=3","7080183")</f>
        <v>0</v>
      </c>
      <c r="B5673" t="s">
        <v>550</v>
      </c>
      <c r="C5673" t="s">
        <v>8831</v>
      </c>
      <c r="D5673" t="s">
        <v>17453</v>
      </c>
      <c r="E5673" t="s">
        <v>22403</v>
      </c>
      <c r="F5673" t="s">
        <v>30052</v>
      </c>
      <c r="G5673" t="s">
        <v>30059</v>
      </c>
      <c r="H5673" t="s">
        <v>15498</v>
      </c>
      <c r="I5673" t="s">
        <v>4650</v>
      </c>
      <c r="J5673" t="s">
        <v>30207</v>
      </c>
      <c r="K5673" t="s">
        <v>39036</v>
      </c>
      <c r="M5673" t="s">
        <v>39852</v>
      </c>
      <c r="N5673" t="s">
        <v>43166</v>
      </c>
      <c r="O5673" t="s">
        <v>43167</v>
      </c>
      <c r="P5673">
        <v>0</v>
      </c>
      <c r="Q5673">
        <v>5</v>
      </c>
      <c r="R5673" t="s">
        <v>43172</v>
      </c>
      <c r="S5673" t="s">
        <v>43334</v>
      </c>
      <c r="T5673" t="s">
        <v>44840</v>
      </c>
      <c r="U5673" t="s">
        <v>46253</v>
      </c>
      <c r="W5673" t="s">
        <v>39852</v>
      </c>
      <c r="X5673" t="s">
        <v>43173</v>
      </c>
    </row>
    <row r="5674" spans="1:24">
      <c r="A5674">
        <f>HYPERLINK("https://www.philgeps.gov.ph/GEPSNONPILOT/Tender/SplashBidNoticeAbstractUI.aspx?menuIndex=3&amp;refID=7080211&amp;Result=3","7080211")</f>
        <v>0</v>
      </c>
      <c r="B5674" t="s">
        <v>1734</v>
      </c>
      <c r="C5674" t="s">
        <v>8832</v>
      </c>
      <c r="D5674" t="s">
        <v>17459</v>
      </c>
      <c r="E5674" t="s">
        <v>22404</v>
      </c>
      <c r="F5674" t="s">
        <v>30052</v>
      </c>
      <c r="G5674" t="s">
        <v>30059</v>
      </c>
      <c r="H5674" t="s">
        <v>15498</v>
      </c>
      <c r="I5674" t="s">
        <v>4650</v>
      </c>
      <c r="J5674" t="s">
        <v>30256</v>
      </c>
      <c r="K5674" t="s">
        <v>39036</v>
      </c>
      <c r="M5674" t="s">
        <v>41151</v>
      </c>
      <c r="N5674" t="s">
        <v>43166</v>
      </c>
      <c r="O5674" t="s">
        <v>43167</v>
      </c>
      <c r="P5674">
        <v>0</v>
      </c>
      <c r="Q5674">
        <v>1</v>
      </c>
      <c r="R5674" t="s">
        <v>43172</v>
      </c>
      <c r="S5674" t="s">
        <v>43334</v>
      </c>
      <c r="T5674" t="s">
        <v>44717</v>
      </c>
      <c r="U5674" t="s">
        <v>49830</v>
      </c>
      <c r="W5674" t="s">
        <v>41151</v>
      </c>
      <c r="X5674" t="s">
        <v>43173</v>
      </c>
    </row>
    <row r="5675" spans="1:24">
      <c r="A5675">
        <f>HYPERLINK("https://www.philgeps.gov.ph/GEPSNONPILOT/Tender/SplashBidNoticeAbstractUI.aspx?menuIndex=3&amp;refID=7080208&amp;Result=3","7080208")</f>
        <v>0</v>
      </c>
      <c r="B5675" t="s">
        <v>1921</v>
      </c>
      <c r="C5675" t="s">
        <v>8833</v>
      </c>
      <c r="D5675" t="s">
        <v>17447</v>
      </c>
      <c r="E5675" t="s">
        <v>22405</v>
      </c>
      <c r="F5675" t="s">
        <v>30052</v>
      </c>
      <c r="G5675" t="s">
        <v>30058</v>
      </c>
      <c r="H5675" t="s">
        <v>15498</v>
      </c>
      <c r="I5675" t="s">
        <v>3736</v>
      </c>
      <c r="J5675" t="s">
        <v>30207</v>
      </c>
      <c r="K5675" t="s">
        <v>39025</v>
      </c>
      <c r="M5675" t="s">
        <v>41353</v>
      </c>
      <c r="N5675" t="s">
        <v>43166</v>
      </c>
      <c r="O5675" t="s">
        <v>43167</v>
      </c>
      <c r="P5675">
        <v>0</v>
      </c>
      <c r="Q5675">
        <v>0</v>
      </c>
      <c r="R5675" t="s">
        <v>43172</v>
      </c>
      <c r="S5675" t="s">
        <v>43334</v>
      </c>
      <c r="T5675" t="s">
        <v>44787</v>
      </c>
      <c r="U5675" t="s">
        <v>49831</v>
      </c>
      <c r="W5675" t="s">
        <v>41353</v>
      </c>
      <c r="X5675" t="s">
        <v>43173</v>
      </c>
    </row>
    <row r="5676" spans="1:24">
      <c r="A5676">
        <f>HYPERLINK("https://www.philgeps.gov.ph/GEPSNONPILOT/Tender/SplashBidNoticeAbstractUI.aspx?menuIndex=3&amp;refID=7080210&amp;Result=3","7080210")</f>
        <v>0</v>
      </c>
      <c r="B5676" t="s">
        <v>1922</v>
      </c>
      <c r="C5676" t="s">
        <v>8834</v>
      </c>
      <c r="D5676" t="s">
        <v>17446</v>
      </c>
      <c r="E5676" t="s">
        <v>22406</v>
      </c>
      <c r="F5676" t="s">
        <v>30054</v>
      </c>
      <c r="G5676" t="s">
        <v>30058</v>
      </c>
      <c r="H5676" t="s">
        <v>30067</v>
      </c>
      <c r="I5676" t="s">
        <v>3693</v>
      </c>
      <c r="J5676" t="s">
        <v>31846</v>
      </c>
      <c r="K5676" t="s">
        <v>39047</v>
      </c>
      <c r="M5676" t="s">
        <v>41354</v>
      </c>
      <c r="N5676" t="s">
        <v>43166</v>
      </c>
      <c r="O5676" t="s">
        <v>43167</v>
      </c>
      <c r="P5676">
        <v>0</v>
      </c>
      <c r="Q5676">
        <v>2</v>
      </c>
      <c r="R5676" t="s">
        <v>43172</v>
      </c>
      <c r="S5676" t="s">
        <v>43334</v>
      </c>
      <c r="T5676" t="s">
        <v>45022</v>
      </c>
      <c r="U5676" t="s">
        <v>49832</v>
      </c>
      <c r="W5676" t="s">
        <v>41354</v>
      </c>
      <c r="X5676" t="s">
        <v>43173</v>
      </c>
    </row>
    <row r="5677" spans="1:24">
      <c r="A5677">
        <f>HYPERLINK("https://www.philgeps.gov.ph/GEPSNONPILOT/Tender/SplashBidNoticeAbstractUI.aspx?menuIndex=3&amp;refID=7080206&amp;Result=3","7080206")</f>
        <v>0</v>
      </c>
      <c r="B5677" t="s">
        <v>1811</v>
      </c>
      <c r="C5677" t="s">
        <v>8835</v>
      </c>
      <c r="D5677" t="s">
        <v>17450</v>
      </c>
      <c r="E5677" t="s">
        <v>22407</v>
      </c>
      <c r="F5677" t="s">
        <v>30052</v>
      </c>
      <c r="G5677" t="s">
        <v>30058</v>
      </c>
      <c r="H5677" t="s">
        <v>30067</v>
      </c>
      <c r="I5677" t="s">
        <v>3693</v>
      </c>
      <c r="J5677" t="s">
        <v>33670</v>
      </c>
      <c r="K5677" t="s">
        <v>39026</v>
      </c>
      <c r="M5677" t="s">
        <v>41234</v>
      </c>
      <c r="N5677" t="s">
        <v>43166</v>
      </c>
      <c r="O5677" t="s">
        <v>43167</v>
      </c>
      <c r="P5677">
        <v>0</v>
      </c>
      <c r="Q5677">
        <v>2</v>
      </c>
      <c r="R5677" t="s">
        <v>43172</v>
      </c>
      <c r="S5677" t="s">
        <v>43334</v>
      </c>
      <c r="T5677" t="s">
        <v>44722</v>
      </c>
      <c r="U5677" t="s">
        <v>49480</v>
      </c>
      <c r="W5677" t="s">
        <v>41234</v>
      </c>
      <c r="X5677" t="s">
        <v>43173</v>
      </c>
    </row>
    <row r="5678" spans="1:24">
      <c r="A5678">
        <f>HYPERLINK("https://www.philgeps.gov.ph/GEPSNONPILOT/Tender/SplashBidNoticeAbstractUI.aspx?menuIndex=3&amp;refID=7080205&amp;Result=3","7080205")</f>
        <v>0</v>
      </c>
      <c r="B5678" t="s">
        <v>679</v>
      </c>
      <c r="C5678" t="s">
        <v>8836</v>
      </c>
      <c r="D5678" t="s">
        <v>17419</v>
      </c>
      <c r="E5678" t="s">
        <v>22408</v>
      </c>
      <c r="F5678" t="s">
        <v>30052</v>
      </c>
      <c r="G5678" t="s">
        <v>30058</v>
      </c>
      <c r="H5678" t="s">
        <v>15498</v>
      </c>
      <c r="I5678" t="s">
        <v>3852</v>
      </c>
      <c r="J5678" t="s">
        <v>33776</v>
      </c>
      <c r="K5678" t="s">
        <v>39034</v>
      </c>
      <c r="M5678" t="s">
        <v>39985</v>
      </c>
      <c r="N5678" t="s">
        <v>43166</v>
      </c>
      <c r="O5678" t="s">
        <v>43167</v>
      </c>
      <c r="P5678">
        <v>0</v>
      </c>
      <c r="Q5678">
        <v>0</v>
      </c>
      <c r="R5678" t="s">
        <v>43172</v>
      </c>
      <c r="S5678" t="s">
        <v>43334</v>
      </c>
      <c r="T5678" t="s">
        <v>44698</v>
      </c>
      <c r="U5678" t="s">
        <v>49833</v>
      </c>
      <c r="W5678" t="s">
        <v>39985</v>
      </c>
      <c r="X5678" t="s">
        <v>43173</v>
      </c>
    </row>
    <row r="5679" spans="1:24">
      <c r="A5679">
        <f>HYPERLINK("https://www.philgeps.gov.ph/GEPSNONPILOT/Tender/SplashBidNoticeAbstractUI.aspx?menuIndex=3&amp;refID=7080144&amp;Result=3","7080144")</f>
        <v>0</v>
      </c>
      <c r="B5679" t="s">
        <v>1923</v>
      </c>
      <c r="C5679" t="s">
        <v>8837</v>
      </c>
      <c r="D5679" t="s">
        <v>17483</v>
      </c>
      <c r="E5679" t="s">
        <v>22409</v>
      </c>
      <c r="F5679" t="s">
        <v>30052</v>
      </c>
      <c r="G5679" t="s">
        <v>30058</v>
      </c>
      <c r="H5679" t="s">
        <v>30067</v>
      </c>
      <c r="I5679" t="s">
        <v>3693</v>
      </c>
      <c r="J5679" t="s">
        <v>31185</v>
      </c>
      <c r="K5679" t="s">
        <v>39020</v>
      </c>
      <c r="M5679" t="s">
        <v>41355</v>
      </c>
      <c r="N5679" t="s">
        <v>43166</v>
      </c>
      <c r="O5679" t="s">
        <v>43167</v>
      </c>
      <c r="P5679">
        <v>0</v>
      </c>
      <c r="Q5679">
        <v>0</v>
      </c>
      <c r="R5679" t="s">
        <v>43172</v>
      </c>
      <c r="S5679" t="s">
        <v>43334</v>
      </c>
      <c r="T5679" t="s">
        <v>44720</v>
      </c>
      <c r="U5679" t="s">
        <v>49834</v>
      </c>
      <c r="V5679" t="s">
        <v>57439</v>
      </c>
      <c r="W5679" t="s">
        <v>41355</v>
      </c>
      <c r="X5679" t="s">
        <v>43173</v>
      </c>
    </row>
    <row r="5680" spans="1:24">
      <c r="A5680">
        <f>HYPERLINK("https://www.philgeps.gov.ph/GEPSNONPILOT/Tender/SplashBidNoticeAbstractUI.aspx?menuIndex=3&amp;refID=7080200&amp;Result=3","7080200")</f>
        <v>0</v>
      </c>
      <c r="B5680" t="s">
        <v>782</v>
      </c>
      <c r="C5680" t="s">
        <v>8838</v>
      </c>
      <c r="D5680" t="s">
        <v>17415</v>
      </c>
      <c r="E5680" t="s">
        <v>22410</v>
      </c>
      <c r="F5680" t="s">
        <v>30052</v>
      </c>
      <c r="G5680" t="s">
        <v>30058</v>
      </c>
      <c r="H5680" t="s">
        <v>15498</v>
      </c>
      <c r="I5680" t="s">
        <v>30096</v>
      </c>
      <c r="J5680" t="s">
        <v>33777</v>
      </c>
      <c r="K5680" t="s">
        <v>39063</v>
      </c>
      <c r="M5680" t="s">
        <v>40097</v>
      </c>
      <c r="N5680" t="s">
        <v>43166</v>
      </c>
      <c r="O5680" t="s">
        <v>43167</v>
      </c>
      <c r="P5680">
        <v>0</v>
      </c>
      <c r="Q5680">
        <v>3</v>
      </c>
      <c r="R5680" t="s">
        <v>43172</v>
      </c>
      <c r="S5680" t="s">
        <v>43334</v>
      </c>
      <c r="T5680" t="s">
        <v>44722</v>
      </c>
      <c r="U5680" t="s">
        <v>49835</v>
      </c>
      <c r="W5680" t="s">
        <v>40097</v>
      </c>
      <c r="X5680" t="s">
        <v>43173</v>
      </c>
    </row>
    <row r="5681" spans="1:24">
      <c r="A5681">
        <f>HYPERLINK("https://www.philgeps.gov.ph/GEPSNONPILOT/Tender/SplashBidNoticeAbstractUI.aspx?menuIndex=3&amp;refID=7080204&amp;Result=3","7080204")</f>
        <v>0</v>
      </c>
      <c r="B5681" t="s">
        <v>925</v>
      </c>
      <c r="C5681" t="s">
        <v>8839</v>
      </c>
      <c r="D5681" t="s">
        <v>17474</v>
      </c>
      <c r="E5681" t="s">
        <v>22411</v>
      </c>
      <c r="F5681" t="s">
        <v>30052</v>
      </c>
      <c r="G5681" t="s">
        <v>30058</v>
      </c>
      <c r="H5681" t="s">
        <v>30068</v>
      </c>
      <c r="I5681" t="s">
        <v>30068</v>
      </c>
      <c r="J5681" t="s">
        <v>33778</v>
      </c>
      <c r="K5681" t="s">
        <v>39019</v>
      </c>
      <c r="M5681" t="s">
        <v>41356</v>
      </c>
      <c r="N5681" t="s">
        <v>43166</v>
      </c>
      <c r="O5681" t="s">
        <v>43167</v>
      </c>
      <c r="P5681">
        <v>0</v>
      </c>
      <c r="Q5681">
        <v>3</v>
      </c>
      <c r="R5681" t="s">
        <v>43172</v>
      </c>
      <c r="S5681" t="s">
        <v>43334</v>
      </c>
      <c r="T5681" t="s">
        <v>44901</v>
      </c>
      <c r="U5681" t="s">
        <v>49836</v>
      </c>
      <c r="V5681" t="s">
        <v>57440</v>
      </c>
      <c r="W5681" t="s">
        <v>41356</v>
      </c>
      <c r="X5681" t="s">
        <v>43173</v>
      </c>
    </row>
    <row r="5682" spans="1:24">
      <c r="A5682">
        <f>HYPERLINK("https://www.philgeps.gov.ph/GEPSNONPILOT/Tender/SplashBidNoticeAbstractUI.aspx?menuIndex=3&amp;refID=7080198&amp;Result=3","7080198")</f>
        <v>0</v>
      </c>
      <c r="B5682" t="s">
        <v>1924</v>
      </c>
      <c r="C5682" t="s">
        <v>8840</v>
      </c>
      <c r="D5682" t="s">
        <v>17435</v>
      </c>
      <c r="E5682" t="s">
        <v>18749</v>
      </c>
      <c r="F5682" t="s">
        <v>30052</v>
      </c>
      <c r="G5682" t="s">
        <v>30058</v>
      </c>
      <c r="H5682" t="s">
        <v>15498</v>
      </c>
      <c r="I5682" t="s">
        <v>3736</v>
      </c>
      <c r="J5682" t="s">
        <v>33779</v>
      </c>
      <c r="K5682" t="s">
        <v>39034</v>
      </c>
      <c r="M5682" t="s">
        <v>41357</v>
      </c>
      <c r="N5682" t="s">
        <v>43166</v>
      </c>
      <c r="O5682" t="s">
        <v>43167</v>
      </c>
      <c r="P5682">
        <v>0</v>
      </c>
      <c r="Q5682">
        <v>0</v>
      </c>
      <c r="R5682" t="s">
        <v>43172</v>
      </c>
      <c r="S5682" t="s">
        <v>43334</v>
      </c>
      <c r="T5682" t="s">
        <v>44696</v>
      </c>
      <c r="U5682" t="s">
        <v>49837</v>
      </c>
      <c r="W5682" t="s">
        <v>41357</v>
      </c>
      <c r="X5682" t="s">
        <v>43173</v>
      </c>
    </row>
    <row r="5683" spans="1:24">
      <c r="A5683">
        <f>HYPERLINK("https://www.philgeps.gov.ph/GEPSNONPILOT/Tender/SplashBidNoticeAbstractUI.aspx?menuIndex=3&amp;refID=7080197&amp;Result=3","7080197")</f>
        <v>0</v>
      </c>
      <c r="B5683" t="s">
        <v>201</v>
      </c>
      <c r="C5683" t="s">
        <v>8841</v>
      </c>
      <c r="D5683" t="s">
        <v>17415</v>
      </c>
      <c r="E5683" t="s">
        <v>22412</v>
      </c>
      <c r="F5683" t="s">
        <v>30052</v>
      </c>
      <c r="G5683" t="s">
        <v>30059</v>
      </c>
      <c r="H5683" t="s">
        <v>15498</v>
      </c>
      <c r="I5683" t="s">
        <v>30110</v>
      </c>
      <c r="J5683" t="s">
        <v>30358</v>
      </c>
      <c r="K5683" t="s">
        <v>39017</v>
      </c>
      <c r="M5683" t="s">
        <v>39491</v>
      </c>
      <c r="N5683" t="s">
        <v>43166</v>
      </c>
      <c r="O5683" t="s">
        <v>43167</v>
      </c>
      <c r="P5683">
        <v>0</v>
      </c>
      <c r="Q5683">
        <v>0</v>
      </c>
      <c r="R5683" t="s">
        <v>43172</v>
      </c>
      <c r="S5683" t="s">
        <v>43334</v>
      </c>
      <c r="T5683" t="s">
        <v>45023</v>
      </c>
      <c r="U5683" t="s">
        <v>49838</v>
      </c>
      <c r="W5683" t="s">
        <v>39491</v>
      </c>
      <c r="X5683" t="s">
        <v>43173</v>
      </c>
    </row>
    <row r="5684" spans="1:24">
      <c r="A5684">
        <f>HYPERLINK("https://www.philgeps.gov.ph/GEPSNONPILOT/Tender/SplashBidNoticeAbstractUI.aspx?menuIndex=3&amp;refID=7080207&amp;Result=3","7080207")</f>
        <v>0</v>
      </c>
      <c r="B5684" t="s">
        <v>1925</v>
      </c>
      <c r="C5684" t="s">
        <v>8842</v>
      </c>
      <c r="D5684" t="s">
        <v>17462</v>
      </c>
      <c r="E5684" t="s">
        <v>22413</v>
      </c>
      <c r="F5684" t="s">
        <v>30052</v>
      </c>
      <c r="G5684" t="s">
        <v>30060</v>
      </c>
      <c r="H5684" t="s">
        <v>30067</v>
      </c>
      <c r="I5684" t="s">
        <v>3693</v>
      </c>
      <c r="J5684" t="s">
        <v>33780</v>
      </c>
      <c r="K5684" t="s">
        <v>39023</v>
      </c>
      <c r="M5684" t="s">
        <v>41358</v>
      </c>
      <c r="N5684" t="s">
        <v>43166</v>
      </c>
      <c r="O5684" t="s">
        <v>43167</v>
      </c>
      <c r="P5684">
        <v>0</v>
      </c>
      <c r="Q5684">
        <v>2</v>
      </c>
      <c r="R5684" t="s">
        <v>43172</v>
      </c>
      <c r="S5684" t="s">
        <v>43334</v>
      </c>
      <c r="T5684" t="s">
        <v>45024</v>
      </c>
      <c r="U5684" t="s">
        <v>49839</v>
      </c>
      <c r="W5684" t="s">
        <v>41358</v>
      </c>
      <c r="X5684" t="s">
        <v>43173</v>
      </c>
    </row>
    <row r="5685" spans="1:24">
      <c r="A5685">
        <f>HYPERLINK("https://www.philgeps.gov.ph/GEPSNONPILOT/Tender/SplashBidNoticeAbstractUI.aspx?menuIndex=3&amp;refID=7080196&amp;Result=3","7080196")</f>
        <v>0</v>
      </c>
      <c r="B5685" t="s">
        <v>90</v>
      </c>
      <c r="C5685" t="s">
        <v>8843</v>
      </c>
      <c r="D5685" t="s">
        <v>17414</v>
      </c>
      <c r="E5685" t="s">
        <v>22414</v>
      </c>
      <c r="F5685" t="s">
        <v>30052</v>
      </c>
      <c r="G5685" t="s">
        <v>30061</v>
      </c>
      <c r="H5685" t="s">
        <v>15498</v>
      </c>
      <c r="I5685" t="s">
        <v>5961</v>
      </c>
      <c r="J5685" t="s">
        <v>33781</v>
      </c>
      <c r="K5685" t="s">
        <v>39029</v>
      </c>
      <c r="M5685" t="s">
        <v>39379</v>
      </c>
      <c r="N5685" t="s">
        <v>43166</v>
      </c>
      <c r="O5685" t="s">
        <v>43167</v>
      </c>
      <c r="P5685">
        <v>0</v>
      </c>
      <c r="Q5685">
        <v>4</v>
      </c>
      <c r="R5685" t="s">
        <v>43172</v>
      </c>
      <c r="S5685" t="s">
        <v>43334</v>
      </c>
      <c r="T5685" t="s">
        <v>44721</v>
      </c>
      <c r="U5685" t="s">
        <v>49840</v>
      </c>
      <c r="W5685" t="s">
        <v>39379</v>
      </c>
      <c r="X5685" t="s">
        <v>43173</v>
      </c>
    </row>
    <row r="5686" spans="1:24">
      <c r="A5686">
        <f>HYPERLINK("https://www.philgeps.gov.ph/GEPSNONPILOT/Tender/SplashBidNoticeAbstractUI.aspx?menuIndex=3&amp;refID=7080201&amp;Result=3","7080201")</f>
        <v>0</v>
      </c>
      <c r="B5686" t="s">
        <v>1727</v>
      </c>
      <c r="C5686" t="s">
        <v>8844</v>
      </c>
      <c r="D5686" t="s">
        <v>17436</v>
      </c>
      <c r="E5686" t="s">
        <v>22415</v>
      </c>
      <c r="F5686" t="s">
        <v>30052</v>
      </c>
      <c r="G5686" t="s">
        <v>30058</v>
      </c>
      <c r="H5686" t="s">
        <v>15498</v>
      </c>
      <c r="I5686" t="s">
        <v>4650</v>
      </c>
      <c r="J5686" t="s">
        <v>30248</v>
      </c>
      <c r="K5686" t="s">
        <v>39034</v>
      </c>
      <c r="M5686" t="s">
        <v>41144</v>
      </c>
      <c r="N5686" t="s">
        <v>43166</v>
      </c>
      <c r="O5686" t="s">
        <v>43167</v>
      </c>
      <c r="P5686">
        <v>0</v>
      </c>
      <c r="Q5686">
        <v>0</v>
      </c>
      <c r="R5686" t="s">
        <v>43172</v>
      </c>
      <c r="S5686" t="s">
        <v>43334</v>
      </c>
      <c r="T5686" t="s">
        <v>44818</v>
      </c>
      <c r="U5686" t="s">
        <v>49841</v>
      </c>
      <c r="W5686" t="s">
        <v>41144</v>
      </c>
      <c r="X5686" t="s">
        <v>43173</v>
      </c>
    </row>
    <row r="5687" spans="1:24">
      <c r="A5687">
        <f>HYPERLINK("https://www.philgeps.gov.ph/GEPSNONPILOT/Tender/SplashBidNoticeAbstractUI.aspx?menuIndex=3&amp;refID=7080194&amp;Result=3","7080194")</f>
        <v>0</v>
      </c>
      <c r="B5687" t="s">
        <v>1898</v>
      </c>
      <c r="C5687" t="s">
        <v>8845</v>
      </c>
      <c r="D5687" t="s">
        <v>17415</v>
      </c>
      <c r="E5687" t="s">
        <v>22416</v>
      </c>
      <c r="F5687" t="s">
        <v>30052</v>
      </c>
      <c r="G5687" t="s">
        <v>30058</v>
      </c>
      <c r="H5687" t="s">
        <v>15498</v>
      </c>
      <c r="I5687" t="s">
        <v>7228</v>
      </c>
      <c r="J5687" t="s">
        <v>33782</v>
      </c>
      <c r="K5687" t="s">
        <v>39029</v>
      </c>
      <c r="M5687" t="s">
        <v>41329</v>
      </c>
      <c r="N5687" t="s">
        <v>43166</v>
      </c>
      <c r="O5687" t="s">
        <v>43167</v>
      </c>
      <c r="P5687">
        <v>0</v>
      </c>
      <c r="Q5687">
        <v>1</v>
      </c>
      <c r="R5687" t="s">
        <v>43172</v>
      </c>
      <c r="S5687" t="s">
        <v>43334</v>
      </c>
      <c r="T5687" t="s">
        <v>44710</v>
      </c>
      <c r="U5687" t="s">
        <v>49842</v>
      </c>
      <c r="W5687" t="s">
        <v>41329</v>
      </c>
      <c r="X5687" t="s">
        <v>43173</v>
      </c>
    </row>
    <row r="5688" spans="1:24">
      <c r="A5688">
        <f>HYPERLINK("https://www.philgeps.gov.ph/GEPSNONPILOT/Tender/SplashBidNoticeAbstractUI.aspx?menuIndex=3&amp;refID=7080193&amp;Result=3","7080193")</f>
        <v>0</v>
      </c>
      <c r="B5688" t="s">
        <v>1417</v>
      </c>
      <c r="C5688" t="s">
        <v>8846</v>
      </c>
      <c r="D5688" t="s">
        <v>17441</v>
      </c>
      <c r="E5688" t="s">
        <v>22417</v>
      </c>
      <c r="F5688" t="s">
        <v>30052</v>
      </c>
      <c r="G5688" t="s">
        <v>30059</v>
      </c>
      <c r="H5688" t="s">
        <v>15498</v>
      </c>
      <c r="I5688" t="s">
        <v>30071</v>
      </c>
      <c r="J5688" t="s">
        <v>33783</v>
      </c>
      <c r="K5688" t="s">
        <v>39034</v>
      </c>
      <c r="M5688" t="s">
        <v>40795</v>
      </c>
      <c r="N5688" t="s">
        <v>43166</v>
      </c>
      <c r="O5688" t="s">
        <v>43167</v>
      </c>
      <c r="P5688">
        <v>0</v>
      </c>
      <c r="Q5688">
        <v>0</v>
      </c>
      <c r="R5688" t="s">
        <v>43172</v>
      </c>
      <c r="S5688" t="s">
        <v>43334</v>
      </c>
      <c r="T5688" t="s">
        <v>44734</v>
      </c>
      <c r="U5688" t="s">
        <v>49843</v>
      </c>
      <c r="W5688" t="s">
        <v>40795</v>
      </c>
      <c r="X5688" t="s">
        <v>43173</v>
      </c>
    </row>
    <row r="5689" spans="1:24">
      <c r="A5689">
        <f>HYPERLINK("https://www.philgeps.gov.ph/GEPSNONPILOT/Tender/SplashBidNoticeAbstractUI.aspx?menuIndex=3&amp;refID=7080248&amp;Result=3","7080248")</f>
        <v>0</v>
      </c>
      <c r="B5689" t="s">
        <v>1727</v>
      </c>
      <c r="C5689" t="s">
        <v>8847</v>
      </c>
      <c r="D5689" t="s">
        <v>17436</v>
      </c>
      <c r="E5689" t="s">
        <v>22418</v>
      </c>
      <c r="F5689" t="s">
        <v>30052</v>
      </c>
      <c r="G5689" t="s">
        <v>30058</v>
      </c>
      <c r="H5689" t="s">
        <v>15498</v>
      </c>
      <c r="I5689" t="s">
        <v>3736</v>
      </c>
      <c r="J5689" t="s">
        <v>33784</v>
      </c>
      <c r="K5689" t="s">
        <v>39034</v>
      </c>
      <c r="M5689" t="s">
        <v>41144</v>
      </c>
      <c r="N5689" t="s">
        <v>43166</v>
      </c>
      <c r="O5689" t="s">
        <v>43167</v>
      </c>
      <c r="P5689">
        <v>0</v>
      </c>
      <c r="Q5689">
        <v>1</v>
      </c>
      <c r="R5689" t="s">
        <v>43172</v>
      </c>
      <c r="S5689" t="s">
        <v>43334</v>
      </c>
      <c r="T5689" t="s">
        <v>44818</v>
      </c>
      <c r="U5689" t="s">
        <v>49844</v>
      </c>
      <c r="W5689" t="s">
        <v>41144</v>
      </c>
      <c r="X5689" t="s">
        <v>43173</v>
      </c>
    </row>
    <row r="5690" spans="1:24">
      <c r="A5690">
        <f>HYPERLINK("https://www.philgeps.gov.ph/GEPSNONPILOT/Tender/SplashBidNoticeAbstractUI.aspx?menuIndex=3&amp;refID=7080246&amp;Result=3","7080246")</f>
        <v>0</v>
      </c>
      <c r="B5690" t="s">
        <v>204</v>
      </c>
      <c r="C5690" t="s">
        <v>8848</v>
      </c>
      <c r="D5690" t="s">
        <v>17435</v>
      </c>
      <c r="E5690" t="s">
        <v>22419</v>
      </c>
      <c r="F5690" t="s">
        <v>30052</v>
      </c>
      <c r="G5690" t="s">
        <v>30058</v>
      </c>
      <c r="H5690" t="s">
        <v>15498</v>
      </c>
      <c r="I5690" t="s">
        <v>30087</v>
      </c>
      <c r="J5690" t="s">
        <v>30218</v>
      </c>
      <c r="K5690" t="s">
        <v>39019</v>
      </c>
      <c r="M5690" t="s">
        <v>39494</v>
      </c>
      <c r="N5690" t="s">
        <v>43166</v>
      </c>
      <c r="O5690" t="s">
        <v>43167</v>
      </c>
      <c r="P5690">
        <v>0</v>
      </c>
      <c r="Q5690">
        <v>0</v>
      </c>
      <c r="R5690" t="s">
        <v>43172</v>
      </c>
      <c r="S5690" t="s">
        <v>43334</v>
      </c>
      <c r="T5690" t="s">
        <v>44771</v>
      </c>
      <c r="U5690" t="s">
        <v>49845</v>
      </c>
      <c r="W5690" t="s">
        <v>39494</v>
      </c>
      <c r="X5690" t="s">
        <v>43173</v>
      </c>
    </row>
    <row r="5691" spans="1:24">
      <c r="A5691">
        <f>HYPERLINK("https://www.philgeps.gov.ph/GEPSNONPILOT/Tender/SplashBidNoticeAbstractUI.aspx?menuIndex=3&amp;refID=7080189&amp;Result=3","7080189")</f>
        <v>0</v>
      </c>
      <c r="B5691" t="s">
        <v>24</v>
      </c>
      <c r="C5691" t="s">
        <v>8849</v>
      </c>
      <c r="D5691" t="s">
        <v>17413</v>
      </c>
      <c r="E5691" t="s">
        <v>22420</v>
      </c>
      <c r="F5691" t="s">
        <v>30052</v>
      </c>
      <c r="G5691" t="s">
        <v>30059</v>
      </c>
      <c r="H5691" t="s">
        <v>15498</v>
      </c>
      <c r="I5691" t="s">
        <v>30076</v>
      </c>
      <c r="J5691" t="s">
        <v>33785</v>
      </c>
      <c r="K5691" t="s">
        <v>39019</v>
      </c>
      <c r="M5691" t="s">
        <v>41269</v>
      </c>
      <c r="N5691" t="s">
        <v>43166</v>
      </c>
      <c r="O5691" t="s">
        <v>43167</v>
      </c>
      <c r="P5691">
        <v>0</v>
      </c>
      <c r="Q5691">
        <v>5</v>
      </c>
      <c r="R5691" t="s">
        <v>43172</v>
      </c>
      <c r="S5691" t="s">
        <v>43334</v>
      </c>
      <c r="T5691" t="s">
        <v>44715</v>
      </c>
      <c r="U5691" t="s">
        <v>49846</v>
      </c>
      <c r="W5691" t="s">
        <v>41269</v>
      </c>
      <c r="X5691" t="s">
        <v>43173</v>
      </c>
    </row>
    <row r="5692" spans="1:24">
      <c r="A5692">
        <f>HYPERLINK("https://www.philgeps.gov.ph/GEPSNONPILOT/Tender/SplashBidNoticeAbstractUI.aspx?menuIndex=3&amp;refID=7080245&amp;Result=3","7080245")</f>
        <v>0</v>
      </c>
      <c r="B5692" t="s">
        <v>827</v>
      </c>
      <c r="C5692" t="s">
        <v>8850</v>
      </c>
      <c r="D5692" t="s">
        <v>17456</v>
      </c>
      <c r="E5692" t="s">
        <v>22421</v>
      </c>
      <c r="F5692" t="s">
        <v>30052</v>
      </c>
      <c r="G5692" t="s">
        <v>30059</v>
      </c>
      <c r="H5692" t="s">
        <v>15498</v>
      </c>
      <c r="I5692" t="s">
        <v>8758</v>
      </c>
      <c r="J5692" t="s">
        <v>30447</v>
      </c>
      <c r="K5692" t="s">
        <v>39029</v>
      </c>
      <c r="M5692" t="s">
        <v>40144</v>
      </c>
      <c r="N5692" t="s">
        <v>43166</v>
      </c>
      <c r="O5692" t="s">
        <v>43167</v>
      </c>
      <c r="P5692">
        <v>0</v>
      </c>
      <c r="Q5692">
        <v>1</v>
      </c>
      <c r="R5692" t="s">
        <v>43172</v>
      </c>
      <c r="S5692" t="s">
        <v>43334</v>
      </c>
      <c r="T5692" t="s">
        <v>44720</v>
      </c>
      <c r="U5692" t="s">
        <v>49847</v>
      </c>
      <c r="W5692" t="s">
        <v>40144</v>
      </c>
      <c r="X5692" t="s">
        <v>43173</v>
      </c>
    </row>
    <row r="5693" spans="1:24">
      <c r="A5693">
        <f>HYPERLINK("https://www.philgeps.gov.ph/GEPSNONPILOT/Tender/SplashBidNoticeAbstractUI.aspx?menuIndex=3&amp;refID=7080241&amp;Result=3","7080241")</f>
        <v>0</v>
      </c>
      <c r="B5693" t="s">
        <v>1918</v>
      </c>
      <c r="C5693" t="s">
        <v>8851</v>
      </c>
      <c r="D5693" t="s">
        <v>17415</v>
      </c>
      <c r="E5693" t="s">
        <v>22422</v>
      </c>
      <c r="F5693" t="s">
        <v>30052</v>
      </c>
      <c r="G5693" t="s">
        <v>30058</v>
      </c>
      <c r="H5693" t="s">
        <v>15498</v>
      </c>
      <c r="I5693" t="s">
        <v>30168</v>
      </c>
      <c r="J5693" t="s">
        <v>31375</v>
      </c>
      <c r="K5693" t="s">
        <v>39036</v>
      </c>
      <c r="M5693" t="s">
        <v>41349</v>
      </c>
      <c r="N5693" t="s">
        <v>43166</v>
      </c>
      <c r="O5693" t="s">
        <v>43167</v>
      </c>
      <c r="P5693">
        <v>0</v>
      </c>
      <c r="Q5693">
        <v>5</v>
      </c>
      <c r="R5693" t="s">
        <v>43172</v>
      </c>
      <c r="S5693" t="s">
        <v>43334</v>
      </c>
      <c r="T5693" t="s">
        <v>44696</v>
      </c>
      <c r="U5693" t="s">
        <v>45464</v>
      </c>
      <c r="W5693" t="s">
        <v>41349</v>
      </c>
      <c r="X5693" t="s">
        <v>43173</v>
      </c>
    </row>
    <row r="5694" spans="1:24">
      <c r="A5694">
        <f>HYPERLINK("https://www.philgeps.gov.ph/GEPSNONPILOT/Tender/SplashBidNoticeAbstractUI.aspx?menuIndex=3&amp;refID=7080239&amp;Result=3","7080239")</f>
        <v>0</v>
      </c>
      <c r="B5694" t="s">
        <v>1261</v>
      </c>
      <c r="C5694" t="s">
        <v>8852</v>
      </c>
      <c r="D5694" t="s">
        <v>17425</v>
      </c>
      <c r="E5694" t="s">
        <v>20014</v>
      </c>
      <c r="F5694" t="s">
        <v>30052</v>
      </c>
      <c r="G5694" t="s">
        <v>30059</v>
      </c>
      <c r="H5694" t="s">
        <v>15498</v>
      </c>
      <c r="I5694" t="s">
        <v>30070</v>
      </c>
      <c r="J5694" t="s">
        <v>33786</v>
      </c>
      <c r="K5694" t="s">
        <v>39019</v>
      </c>
      <c r="M5694" t="s">
        <v>40619</v>
      </c>
      <c r="N5694" t="s">
        <v>43166</v>
      </c>
      <c r="O5694" t="s">
        <v>43167</v>
      </c>
      <c r="P5694">
        <v>0</v>
      </c>
      <c r="Q5694">
        <v>2</v>
      </c>
      <c r="R5694" t="s">
        <v>43172</v>
      </c>
      <c r="S5694" t="s">
        <v>43334</v>
      </c>
      <c r="T5694" t="s">
        <v>44773</v>
      </c>
      <c r="U5694" t="s">
        <v>49848</v>
      </c>
      <c r="W5694" t="s">
        <v>40619</v>
      </c>
      <c r="X5694" t="s">
        <v>43173</v>
      </c>
    </row>
    <row r="5695" spans="1:24">
      <c r="A5695">
        <f>HYPERLINK("https://www.philgeps.gov.ph/GEPSNONPILOT/Tender/SplashBidNoticeAbstractUI.aspx?menuIndex=3&amp;refID=7080192&amp;Result=3","7080192")</f>
        <v>0</v>
      </c>
      <c r="B5695" t="s">
        <v>1908</v>
      </c>
      <c r="C5695" t="s">
        <v>8853</v>
      </c>
      <c r="D5695" t="s">
        <v>17468</v>
      </c>
      <c r="E5695" t="s">
        <v>22423</v>
      </c>
      <c r="F5695" t="s">
        <v>30052</v>
      </c>
      <c r="G5695" t="s">
        <v>30058</v>
      </c>
      <c r="H5695" t="s">
        <v>30067</v>
      </c>
      <c r="I5695" t="s">
        <v>3693</v>
      </c>
      <c r="J5695" t="s">
        <v>30212</v>
      </c>
      <c r="K5695" t="s">
        <v>39065</v>
      </c>
      <c r="M5695" t="s">
        <v>41339</v>
      </c>
      <c r="N5695" t="s">
        <v>43166</v>
      </c>
      <c r="O5695" t="s">
        <v>43167</v>
      </c>
      <c r="P5695">
        <v>0</v>
      </c>
      <c r="Q5695">
        <v>0</v>
      </c>
      <c r="R5695" t="s">
        <v>43172</v>
      </c>
      <c r="S5695" t="s">
        <v>43334</v>
      </c>
      <c r="T5695" t="s">
        <v>44716</v>
      </c>
      <c r="U5695" t="s">
        <v>49849</v>
      </c>
      <c r="W5695" t="s">
        <v>41339</v>
      </c>
      <c r="X5695" t="s">
        <v>43173</v>
      </c>
    </row>
    <row r="5696" spans="1:24">
      <c r="A5696">
        <f>HYPERLINK("https://www.philgeps.gov.ph/GEPSNONPILOT/Tender/SplashBidNoticeAbstractUI.aspx?menuIndex=3&amp;refID=7080238&amp;Result=3","7080238")</f>
        <v>0</v>
      </c>
      <c r="B5696" t="s">
        <v>1926</v>
      </c>
      <c r="C5696" t="s">
        <v>8854</v>
      </c>
      <c r="D5696" t="s">
        <v>17424</v>
      </c>
      <c r="E5696" t="s">
        <v>22424</v>
      </c>
      <c r="F5696" t="s">
        <v>30055</v>
      </c>
      <c r="G5696" t="s">
        <v>30061</v>
      </c>
      <c r="H5696" t="s">
        <v>15498</v>
      </c>
      <c r="I5696" t="s">
        <v>4119</v>
      </c>
      <c r="J5696" t="s">
        <v>32106</v>
      </c>
      <c r="K5696" t="s">
        <v>39018</v>
      </c>
      <c r="M5696" t="s">
        <v>41359</v>
      </c>
      <c r="N5696" t="s">
        <v>43166</v>
      </c>
      <c r="O5696" t="s">
        <v>43167</v>
      </c>
      <c r="P5696">
        <v>0</v>
      </c>
      <c r="Q5696">
        <v>1</v>
      </c>
      <c r="R5696" t="s">
        <v>43172</v>
      </c>
      <c r="S5696" t="s">
        <v>43334</v>
      </c>
      <c r="T5696" t="s">
        <v>44735</v>
      </c>
      <c r="U5696" t="s">
        <v>49850</v>
      </c>
      <c r="W5696" t="s">
        <v>41359</v>
      </c>
      <c r="X5696" t="s">
        <v>43173</v>
      </c>
    </row>
    <row r="5697" spans="1:24">
      <c r="A5697">
        <f>HYPERLINK("https://www.philgeps.gov.ph/GEPSNONPILOT/Tender/SplashBidNoticeAbstractUI.aspx?menuIndex=3&amp;refID=7080244&amp;Result=3","7080244")</f>
        <v>0</v>
      </c>
      <c r="B5697" t="s">
        <v>50</v>
      </c>
      <c r="C5697" t="s">
        <v>8855</v>
      </c>
      <c r="D5697" t="s">
        <v>17433</v>
      </c>
      <c r="E5697" t="s">
        <v>22425</v>
      </c>
      <c r="F5697" t="s">
        <v>30052</v>
      </c>
      <c r="G5697" t="s">
        <v>30059</v>
      </c>
      <c r="H5697" t="s">
        <v>15498</v>
      </c>
      <c r="I5697" t="s">
        <v>7228</v>
      </c>
      <c r="J5697" t="s">
        <v>32978</v>
      </c>
      <c r="K5697" t="s">
        <v>39017</v>
      </c>
      <c r="M5697" t="s">
        <v>39340</v>
      </c>
      <c r="N5697" t="s">
        <v>43166</v>
      </c>
      <c r="O5697" t="s">
        <v>43167</v>
      </c>
      <c r="P5697">
        <v>0</v>
      </c>
      <c r="Q5697">
        <v>0</v>
      </c>
      <c r="R5697" t="s">
        <v>43172</v>
      </c>
      <c r="S5697" t="s">
        <v>43334</v>
      </c>
      <c r="T5697" t="s">
        <v>44704</v>
      </c>
      <c r="U5697" t="s">
        <v>49851</v>
      </c>
      <c r="W5697" t="s">
        <v>39340</v>
      </c>
      <c r="X5697" t="s">
        <v>43173</v>
      </c>
    </row>
    <row r="5698" spans="1:24">
      <c r="A5698">
        <f>HYPERLINK("https://www.philgeps.gov.ph/GEPSNONPILOT/Tender/SplashBidNoticeAbstractUI.aspx?menuIndex=3&amp;refID=7080234&amp;Result=3","7080234")</f>
        <v>0</v>
      </c>
      <c r="B5698" t="s">
        <v>925</v>
      </c>
      <c r="C5698" t="s">
        <v>8856</v>
      </c>
      <c r="D5698" t="s">
        <v>17474</v>
      </c>
      <c r="E5698" t="s">
        <v>22426</v>
      </c>
      <c r="F5698" t="s">
        <v>30052</v>
      </c>
      <c r="G5698" t="s">
        <v>30058</v>
      </c>
      <c r="H5698" t="s">
        <v>30068</v>
      </c>
      <c r="I5698" t="s">
        <v>30068</v>
      </c>
      <c r="J5698" t="s">
        <v>33787</v>
      </c>
      <c r="K5698" t="s">
        <v>39029</v>
      </c>
      <c r="M5698" t="s">
        <v>41356</v>
      </c>
      <c r="N5698" t="s">
        <v>43166</v>
      </c>
      <c r="O5698" t="s">
        <v>43167</v>
      </c>
      <c r="P5698">
        <v>0</v>
      </c>
      <c r="Q5698">
        <v>3</v>
      </c>
      <c r="R5698" t="s">
        <v>43172</v>
      </c>
      <c r="S5698" t="s">
        <v>43334</v>
      </c>
      <c r="T5698" t="s">
        <v>44901</v>
      </c>
      <c r="U5698" t="s">
        <v>49852</v>
      </c>
      <c r="V5698" t="s">
        <v>57441</v>
      </c>
      <c r="W5698" t="s">
        <v>41356</v>
      </c>
      <c r="X5698" t="s">
        <v>43173</v>
      </c>
    </row>
    <row r="5699" spans="1:24">
      <c r="A5699">
        <f>HYPERLINK("https://www.philgeps.gov.ph/GEPSNONPILOT/Tender/SplashBidNoticeAbstractUI.aspx?menuIndex=3&amp;refID=7080230&amp;Result=3","7080230")</f>
        <v>0</v>
      </c>
      <c r="B5699" t="s">
        <v>1920</v>
      </c>
      <c r="C5699" t="s">
        <v>8857</v>
      </c>
      <c r="D5699" t="s">
        <v>17476</v>
      </c>
      <c r="E5699" t="s">
        <v>8857</v>
      </c>
      <c r="F5699" t="s">
        <v>30052</v>
      </c>
      <c r="G5699" t="s">
        <v>30058</v>
      </c>
      <c r="H5699" t="s">
        <v>30067</v>
      </c>
      <c r="I5699" t="s">
        <v>3693</v>
      </c>
      <c r="J5699" t="s">
        <v>33788</v>
      </c>
      <c r="K5699" t="s">
        <v>39026</v>
      </c>
      <c r="M5699" t="s">
        <v>41352</v>
      </c>
      <c r="N5699" t="s">
        <v>43166</v>
      </c>
      <c r="O5699" t="s">
        <v>43167</v>
      </c>
      <c r="P5699">
        <v>0</v>
      </c>
      <c r="Q5699">
        <v>0</v>
      </c>
      <c r="R5699" t="s">
        <v>43172</v>
      </c>
      <c r="S5699" t="s">
        <v>43334</v>
      </c>
      <c r="T5699" t="s">
        <v>45005</v>
      </c>
      <c r="U5699" t="s">
        <v>49853</v>
      </c>
      <c r="W5699" t="s">
        <v>41352</v>
      </c>
      <c r="X5699" t="s">
        <v>43173</v>
      </c>
    </row>
    <row r="5700" spans="1:24">
      <c r="A5700">
        <f>HYPERLINK("https://www.philgeps.gov.ph/GEPSNONPILOT/Tender/SplashBidNoticeAbstractUI.aspx?menuIndex=3&amp;refID=7080240&amp;Result=3","7080240")</f>
        <v>0</v>
      </c>
      <c r="B5700" t="s">
        <v>454</v>
      </c>
      <c r="C5700" t="s">
        <v>8858</v>
      </c>
      <c r="D5700" t="s">
        <v>17452</v>
      </c>
      <c r="E5700" t="s">
        <v>22427</v>
      </c>
      <c r="F5700" t="s">
        <v>30052</v>
      </c>
      <c r="G5700" t="s">
        <v>30058</v>
      </c>
      <c r="H5700" t="s">
        <v>30067</v>
      </c>
      <c r="I5700" t="s">
        <v>3693</v>
      </c>
      <c r="J5700" t="s">
        <v>33789</v>
      </c>
      <c r="K5700" t="s">
        <v>39023</v>
      </c>
      <c r="M5700" t="s">
        <v>39754</v>
      </c>
      <c r="N5700" t="s">
        <v>43166</v>
      </c>
      <c r="O5700" t="s">
        <v>43167</v>
      </c>
      <c r="P5700">
        <v>0</v>
      </c>
      <c r="Q5700">
        <v>1</v>
      </c>
      <c r="R5700" t="s">
        <v>43172</v>
      </c>
      <c r="S5700" t="s">
        <v>43334</v>
      </c>
      <c r="T5700" t="s">
        <v>44758</v>
      </c>
      <c r="U5700" t="s">
        <v>49854</v>
      </c>
      <c r="W5700" t="s">
        <v>39754</v>
      </c>
      <c r="X5700" t="s">
        <v>43173</v>
      </c>
    </row>
    <row r="5701" spans="1:24">
      <c r="A5701">
        <f>HYPERLINK("https://www.philgeps.gov.ph/GEPSNONPILOT/Tender/SplashBidNoticeAbstractUI.aspx?menuIndex=3&amp;refID=7080229&amp;Result=3","7080229")</f>
        <v>0</v>
      </c>
      <c r="B5701" t="s">
        <v>1898</v>
      </c>
      <c r="C5701" t="s">
        <v>8859</v>
      </c>
      <c r="D5701" t="s">
        <v>17415</v>
      </c>
      <c r="E5701" t="s">
        <v>22428</v>
      </c>
      <c r="F5701" t="s">
        <v>30052</v>
      </c>
      <c r="G5701" t="s">
        <v>30058</v>
      </c>
      <c r="H5701" t="s">
        <v>15498</v>
      </c>
      <c r="I5701" t="s">
        <v>30076</v>
      </c>
      <c r="J5701" t="s">
        <v>33790</v>
      </c>
      <c r="K5701" t="s">
        <v>39029</v>
      </c>
      <c r="M5701" t="s">
        <v>41329</v>
      </c>
      <c r="N5701" t="s">
        <v>43166</v>
      </c>
      <c r="O5701" t="s">
        <v>43167</v>
      </c>
      <c r="P5701">
        <v>0</v>
      </c>
      <c r="Q5701">
        <v>3</v>
      </c>
      <c r="R5701" t="s">
        <v>43172</v>
      </c>
      <c r="S5701" t="s">
        <v>43334</v>
      </c>
      <c r="T5701" t="s">
        <v>44710</v>
      </c>
      <c r="U5701" t="s">
        <v>49855</v>
      </c>
      <c r="W5701" t="s">
        <v>41329</v>
      </c>
      <c r="X5701" t="s">
        <v>43173</v>
      </c>
    </row>
    <row r="5702" spans="1:24">
      <c r="A5702">
        <f>HYPERLINK("https://www.philgeps.gov.ph/GEPSNONPILOT/Tender/SplashBidNoticeAbstractUI.aspx?menuIndex=3&amp;refID=7080227&amp;Result=3","7080227")</f>
        <v>0</v>
      </c>
      <c r="B5702" t="s">
        <v>1900</v>
      </c>
      <c r="C5702" t="s">
        <v>8860</v>
      </c>
      <c r="D5702" t="s">
        <v>17486</v>
      </c>
      <c r="E5702" t="s">
        <v>22429</v>
      </c>
      <c r="F5702" t="s">
        <v>30052</v>
      </c>
      <c r="G5702" t="s">
        <v>30058</v>
      </c>
      <c r="H5702" t="s">
        <v>30067</v>
      </c>
      <c r="I5702" t="s">
        <v>30106</v>
      </c>
      <c r="J5702" t="s">
        <v>33791</v>
      </c>
      <c r="K5702" t="s">
        <v>39031</v>
      </c>
      <c r="M5702" t="s">
        <v>41331</v>
      </c>
      <c r="N5702" t="s">
        <v>43166</v>
      </c>
      <c r="O5702" t="s">
        <v>43167</v>
      </c>
      <c r="P5702">
        <v>0</v>
      </c>
      <c r="Q5702">
        <v>6</v>
      </c>
      <c r="R5702" t="s">
        <v>43172</v>
      </c>
      <c r="S5702" t="s">
        <v>43334</v>
      </c>
      <c r="T5702" t="s">
        <v>44703</v>
      </c>
      <c r="U5702" t="s">
        <v>49856</v>
      </c>
      <c r="W5702" t="s">
        <v>41331</v>
      </c>
      <c r="X5702" t="s">
        <v>43173</v>
      </c>
    </row>
    <row r="5703" spans="1:24">
      <c r="A5703">
        <f>HYPERLINK("https://www.philgeps.gov.ph/GEPSNONPILOT/Tender/SplashBidNoticeAbstractUI.aspx?menuIndex=3&amp;refID=7080170&amp;Result=3","7080170")</f>
        <v>0</v>
      </c>
      <c r="B5703" t="s">
        <v>1927</v>
      </c>
      <c r="C5703" t="s">
        <v>8861</v>
      </c>
      <c r="D5703" t="s">
        <v>17439</v>
      </c>
      <c r="E5703" t="s">
        <v>22430</v>
      </c>
      <c r="F5703" t="s">
        <v>30052</v>
      </c>
      <c r="G5703" t="s">
        <v>30058</v>
      </c>
      <c r="H5703" t="s">
        <v>30067</v>
      </c>
      <c r="I5703" t="s">
        <v>3693</v>
      </c>
      <c r="J5703" t="s">
        <v>31198</v>
      </c>
      <c r="K5703" t="s">
        <v>39073</v>
      </c>
      <c r="M5703" t="s">
        <v>41360</v>
      </c>
      <c r="N5703" t="s">
        <v>43166</v>
      </c>
      <c r="O5703" t="s">
        <v>43167</v>
      </c>
      <c r="P5703">
        <v>0</v>
      </c>
      <c r="Q5703">
        <v>1</v>
      </c>
      <c r="R5703" t="s">
        <v>43172</v>
      </c>
      <c r="S5703" t="s">
        <v>43334</v>
      </c>
      <c r="T5703" t="s">
        <v>44892</v>
      </c>
      <c r="U5703" t="s">
        <v>49857</v>
      </c>
      <c r="V5703" t="s">
        <v>57442</v>
      </c>
      <c r="W5703" t="s">
        <v>41360</v>
      </c>
      <c r="X5703" t="s">
        <v>43173</v>
      </c>
    </row>
    <row r="5704" spans="1:24">
      <c r="A5704">
        <f>HYPERLINK("https://www.philgeps.gov.ph/GEPSNONPILOT/Tender/SplashBidNoticeAbstractUI.aspx?menuIndex=3&amp;refID=7080237&amp;Result=3","7080237")</f>
        <v>0</v>
      </c>
      <c r="B5704" t="s">
        <v>90</v>
      </c>
      <c r="C5704" t="s">
        <v>8862</v>
      </c>
      <c r="D5704" t="s">
        <v>17414</v>
      </c>
      <c r="E5704" t="s">
        <v>22431</v>
      </c>
      <c r="F5704" t="s">
        <v>30052</v>
      </c>
      <c r="G5704" t="s">
        <v>30059</v>
      </c>
      <c r="H5704" t="s">
        <v>15498</v>
      </c>
      <c r="I5704" t="s">
        <v>30071</v>
      </c>
      <c r="J5704" t="s">
        <v>33792</v>
      </c>
      <c r="K5704" t="s">
        <v>39029</v>
      </c>
      <c r="M5704" t="s">
        <v>39379</v>
      </c>
      <c r="N5704" t="s">
        <v>43166</v>
      </c>
      <c r="O5704" t="s">
        <v>43167</v>
      </c>
      <c r="P5704">
        <v>0</v>
      </c>
      <c r="Q5704">
        <v>1</v>
      </c>
      <c r="R5704" t="s">
        <v>43172</v>
      </c>
      <c r="S5704" t="s">
        <v>43334</v>
      </c>
      <c r="T5704" t="s">
        <v>44721</v>
      </c>
      <c r="U5704" t="s">
        <v>49858</v>
      </c>
      <c r="W5704" t="s">
        <v>39379</v>
      </c>
      <c r="X5704" t="s">
        <v>43173</v>
      </c>
    </row>
    <row r="5705" spans="1:24">
      <c r="A5705">
        <f>HYPERLINK("https://www.philgeps.gov.ph/GEPSNONPILOT/Tender/SplashBidNoticeAbstractUI.aspx?menuIndex=3&amp;refID=7080242&amp;Result=3","7080242")</f>
        <v>0</v>
      </c>
      <c r="B5705" t="s">
        <v>1907</v>
      </c>
      <c r="C5705" t="s">
        <v>8863</v>
      </c>
      <c r="D5705" t="s">
        <v>17443</v>
      </c>
      <c r="E5705" t="s">
        <v>22432</v>
      </c>
      <c r="F5705" t="s">
        <v>30052</v>
      </c>
      <c r="G5705" t="s">
        <v>30058</v>
      </c>
      <c r="H5705" t="s">
        <v>15498</v>
      </c>
      <c r="I5705" t="s">
        <v>3736</v>
      </c>
      <c r="J5705" t="s">
        <v>33793</v>
      </c>
      <c r="K5705" t="s">
        <v>39029</v>
      </c>
      <c r="L5705" t="s">
        <v>1907</v>
      </c>
      <c r="M5705" t="s">
        <v>41338</v>
      </c>
      <c r="N5705" t="s">
        <v>43166</v>
      </c>
      <c r="O5705" t="s">
        <v>43167</v>
      </c>
      <c r="P5705">
        <v>0</v>
      </c>
      <c r="Q5705">
        <v>0</v>
      </c>
      <c r="R5705" t="s">
        <v>43172</v>
      </c>
      <c r="S5705" t="s">
        <v>43334</v>
      </c>
      <c r="T5705" t="s">
        <v>44750</v>
      </c>
      <c r="U5705" t="s">
        <v>49859</v>
      </c>
      <c r="W5705" t="s">
        <v>41338</v>
      </c>
      <c r="X5705" t="s">
        <v>43173</v>
      </c>
    </row>
    <row r="5706" spans="1:24">
      <c r="A5706">
        <f>HYPERLINK("https://www.philgeps.gov.ph/GEPSNONPILOT/Tender/SplashBidNoticeAbstractUI.aspx?menuIndex=3&amp;refID=7080287&amp;Result=3","7080287")</f>
        <v>0</v>
      </c>
      <c r="B5706" t="s">
        <v>1918</v>
      </c>
      <c r="C5706" t="s">
        <v>8864</v>
      </c>
      <c r="D5706" t="s">
        <v>17415</v>
      </c>
      <c r="E5706" t="s">
        <v>22433</v>
      </c>
      <c r="F5706" t="s">
        <v>30052</v>
      </c>
      <c r="G5706" t="s">
        <v>30058</v>
      </c>
      <c r="H5706" t="s">
        <v>15498</v>
      </c>
      <c r="I5706" t="s">
        <v>30168</v>
      </c>
      <c r="J5706" t="s">
        <v>33363</v>
      </c>
      <c r="K5706" t="s">
        <v>39036</v>
      </c>
      <c r="M5706" t="s">
        <v>41349</v>
      </c>
      <c r="N5706" t="s">
        <v>43166</v>
      </c>
      <c r="O5706" t="s">
        <v>43167</v>
      </c>
      <c r="P5706">
        <v>0</v>
      </c>
      <c r="Q5706">
        <v>13</v>
      </c>
      <c r="R5706" t="s">
        <v>43172</v>
      </c>
      <c r="S5706" t="s">
        <v>43334</v>
      </c>
      <c r="T5706" t="s">
        <v>44696</v>
      </c>
      <c r="U5706" t="s">
        <v>45464</v>
      </c>
      <c r="W5706" t="s">
        <v>41349</v>
      </c>
      <c r="X5706" t="s">
        <v>43173</v>
      </c>
    </row>
    <row r="5707" spans="1:24">
      <c r="A5707">
        <f>HYPERLINK("https://www.philgeps.gov.ph/GEPSNONPILOT/Tender/SplashBidNoticeAbstractUI.aspx?menuIndex=3&amp;refID=7080286&amp;Result=3","7080286")</f>
        <v>0</v>
      </c>
      <c r="B5707" t="s">
        <v>723</v>
      </c>
      <c r="C5707" t="s">
        <v>8865</v>
      </c>
      <c r="D5707" t="s">
        <v>17459</v>
      </c>
      <c r="E5707" t="s">
        <v>22434</v>
      </c>
      <c r="F5707" t="s">
        <v>30052</v>
      </c>
      <c r="G5707" t="s">
        <v>30058</v>
      </c>
      <c r="H5707" t="s">
        <v>30067</v>
      </c>
      <c r="I5707" t="s">
        <v>3693</v>
      </c>
      <c r="J5707" t="s">
        <v>31057</v>
      </c>
      <c r="K5707" t="s">
        <v>39023</v>
      </c>
      <c r="M5707" t="s">
        <v>40034</v>
      </c>
      <c r="N5707" t="s">
        <v>43166</v>
      </c>
      <c r="O5707" t="s">
        <v>43167</v>
      </c>
      <c r="P5707">
        <v>0</v>
      </c>
      <c r="Q5707">
        <v>0</v>
      </c>
      <c r="R5707" t="s">
        <v>43172</v>
      </c>
      <c r="S5707" t="s">
        <v>43334</v>
      </c>
      <c r="T5707" t="s">
        <v>44789</v>
      </c>
      <c r="U5707" t="s">
        <v>49860</v>
      </c>
      <c r="W5707" t="s">
        <v>40034</v>
      </c>
      <c r="X5707" t="s">
        <v>43173</v>
      </c>
    </row>
    <row r="5708" spans="1:24">
      <c r="A5708">
        <f>HYPERLINK("https://www.philgeps.gov.ph/GEPSNONPILOT/Tender/SplashBidNoticeAbstractUI.aspx?menuIndex=3&amp;refID=7080285&amp;Result=3","7080285")</f>
        <v>0</v>
      </c>
      <c r="B5708" t="s">
        <v>1524</v>
      </c>
      <c r="C5708" t="s">
        <v>5411</v>
      </c>
      <c r="D5708" t="s">
        <v>17443</v>
      </c>
      <c r="E5708" t="s">
        <v>22435</v>
      </c>
      <c r="F5708" t="s">
        <v>30052</v>
      </c>
      <c r="G5708" t="s">
        <v>30058</v>
      </c>
      <c r="H5708" t="s">
        <v>15498</v>
      </c>
      <c r="I5708" t="s">
        <v>30097</v>
      </c>
      <c r="J5708" t="s">
        <v>33794</v>
      </c>
      <c r="K5708" t="s">
        <v>39019</v>
      </c>
      <c r="M5708" t="s">
        <v>40910</v>
      </c>
      <c r="N5708" t="s">
        <v>43166</v>
      </c>
      <c r="O5708" t="s">
        <v>43167</v>
      </c>
      <c r="P5708">
        <v>0</v>
      </c>
      <c r="Q5708">
        <v>0</v>
      </c>
      <c r="R5708" t="s">
        <v>43172</v>
      </c>
      <c r="S5708" t="s">
        <v>43334</v>
      </c>
      <c r="T5708" t="s">
        <v>44806</v>
      </c>
      <c r="U5708" t="s">
        <v>49861</v>
      </c>
      <c r="W5708" t="s">
        <v>40910</v>
      </c>
      <c r="X5708" t="s">
        <v>43173</v>
      </c>
    </row>
    <row r="5709" spans="1:24">
      <c r="A5709">
        <f>HYPERLINK("https://www.philgeps.gov.ph/GEPSNONPILOT/Tender/SplashBidNoticeAbstractUI.aspx?menuIndex=3&amp;refID=7080280&amp;Result=3","7080280")</f>
        <v>0</v>
      </c>
      <c r="B5709" t="s">
        <v>1928</v>
      </c>
      <c r="C5709" t="s">
        <v>8866</v>
      </c>
      <c r="D5709" t="s">
        <v>17435</v>
      </c>
      <c r="E5709" t="s">
        <v>17838</v>
      </c>
      <c r="F5709" t="s">
        <v>30052</v>
      </c>
      <c r="G5709" t="s">
        <v>30058</v>
      </c>
      <c r="H5709" t="s">
        <v>30067</v>
      </c>
      <c r="I5709" t="s">
        <v>30163</v>
      </c>
      <c r="J5709" t="s">
        <v>30230</v>
      </c>
      <c r="K5709" t="s">
        <v>39046</v>
      </c>
      <c r="M5709" t="s">
        <v>41361</v>
      </c>
      <c r="N5709" t="s">
        <v>43166</v>
      </c>
      <c r="O5709" t="s">
        <v>43167</v>
      </c>
      <c r="Q5709">
        <v>0</v>
      </c>
      <c r="R5709" t="s">
        <v>43172</v>
      </c>
      <c r="S5709" t="s">
        <v>43346</v>
      </c>
      <c r="T5709" t="s">
        <v>44720</v>
      </c>
      <c r="U5709" t="s">
        <v>49862</v>
      </c>
      <c r="W5709" t="s">
        <v>41361</v>
      </c>
      <c r="X5709" t="s">
        <v>43173</v>
      </c>
    </row>
    <row r="5710" spans="1:24">
      <c r="A5710">
        <f>HYPERLINK("https://www.philgeps.gov.ph/GEPSNONPILOT/Tender/SplashBidNoticeAbstractUI.aspx?menuIndex=3&amp;refID=7080228&amp;Result=3","7080228")</f>
        <v>0</v>
      </c>
      <c r="B5710" t="s">
        <v>550</v>
      </c>
      <c r="C5710" t="s">
        <v>8867</v>
      </c>
      <c r="D5710" t="s">
        <v>17453</v>
      </c>
      <c r="E5710" t="s">
        <v>22436</v>
      </c>
      <c r="F5710" t="s">
        <v>30052</v>
      </c>
      <c r="G5710" t="s">
        <v>30058</v>
      </c>
      <c r="H5710" t="s">
        <v>15498</v>
      </c>
      <c r="I5710" t="s">
        <v>30113</v>
      </c>
      <c r="J5710" t="s">
        <v>33795</v>
      </c>
      <c r="K5710" t="s">
        <v>39019</v>
      </c>
      <c r="M5710" t="s">
        <v>39852</v>
      </c>
      <c r="N5710" t="s">
        <v>43166</v>
      </c>
      <c r="O5710" t="s">
        <v>43167</v>
      </c>
      <c r="P5710">
        <v>0</v>
      </c>
      <c r="Q5710">
        <v>3</v>
      </c>
      <c r="R5710" t="s">
        <v>43172</v>
      </c>
      <c r="S5710" t="s">
        <v>43334</v>
      </c>
      <c r="T5710" t="s">
        <v>45025</v>
      </c>
      <c r="U5710" t="s">
        <v>49863</v>
      </c>
      <c r="W5710" t="s">
        <v>39852</v>
      </c>
      <c r="X5710" t="s">
        <v>43173</v>
      </c>
    </row>
    <row r="5711" spans="1:24">
      <c r="A5711">
        <f>HYPERLINK("https://www.philgeps.gov.ph/GEPSNONPILOT/Tender/SplashBidNoticeAbstractUI.aspx?menuIndex=3&amp;refID=7080276&amp;Result=3","7080276")</f>
        <v>0</v>
      </c>
      <c r="B5711" t="s">
        <v>1799</v>
      </c>
      <c r="C5711" t="s">
        <v>8868</v>
      </c>
      <c r="D5711" t="s">
        <v>17494</v>
      </c>
      <c r="E5711" t="s">
        <v>18868</v>
      </c>
      <c r="F5711" t="s">
        <v>30052</v>
      </c>
      <c r="G5711" t="s">
        <v>30058</v>
      </c>
      <c r="H5711" t="s">
        <v>15498</v>
      </c>
      <c r="I5711" t="s">
        <v>3736</v>
      </c>
      <c r="J5711" t="s">
        <v>33796</v>
      </c>
      <c r="K5711" t="s">
        <v>39019</v>
      </c>
      <c r="M5711" t="s">
        <v>41222</v>
      </c>
      <c r="N5711" t="s">
        <v>43166</v>
      </c>
      <c r="O5711" t="s">
        <v>43167</v>
      </c>
      <c r="P5711">
        <v>0</v>
      </c>
      <c r="Q5711">
        <v>1</v>
      </c>
      <c r="R5711" t="s">
        <v>43172</v>
      </c>
      <c r="S5711" t="s">
        <v>43334</v>
      </c>
      <c r="T5711" t="s">
        <v>44708</v>
      </c>
      <c r="U5711" t="s">
        <v>49476</v>
      </c>
      <c r="W5711" t="s">
        <v>41222</v>
      </c>
      <c r="X5711" t="s">
        <v>43173</v>
      </c>
    </row>
    <row r="5712" spans="1:24">
      <c r="A5712">
        <f>HYPERLINK("https://www.philgeps.gov.ph/GEPSNONPILOT/Tender/SplashBidNoticeAbstractUI.aspx?menuIndex=3&amp;refID=7080275&amp;Result=3","7080275")</f>
        <v>0</v>
      </c>
      <c r="B5712" t="s">
        <v>1929</v>
      </c>
      <c r="C5712" t="s">
        <v>8869</v>
      </c>
      <c r="D5712" t="s">
        <v>17419</v>
      </c>
      <c r="E5712" t="s">
        <v>22437</v>
      </c>
      <c r="F5712" t="s">
        <v>30052</v>
      </c>
      <c r="G5712" t="s">
        <v>30058</v>
      </c>
      <c r="H5712" t="s">
        <v>15498</v>
      </c>
      <c r="I5712" t="s">
        <v>30070</v>
      </c>
      <c r="J5712" t="s">
        <v>33797</v>
      </c>
      <c r="K5712" t="s">
        <v>39025</v>
      </c>
      <c r="M5712" t="s">
        <v>41362</v>
      </c>
      <c r="N5712" t="s">
        <v>43166</v>
      </c>
      <c r="O5712" t="s">
        <v>43167</v>
      </c>
      <c r="P5712">
        <v>0</v>
      </c>
      <c r="Q5712">
        <v>0</v>
      </c>
      <c r="R5712" t="s">
        <v>43172</v>
      </c>
      <c r="S5712" t="s">
        <v>43334</v>
      </c>
      <c r="T5712" t="s">
        <v>44806</v>
      </c>
      <c r="U5712" t="s">
        <v>49864</v>
      </c>
      <c r="W5712" t="s">
        <v>41362</v>
      </c>
      <c r="X5712" t="s">
        <v>43173</v>
      </c>
    </row>
    <row r="5713" spans="1:24">
      <c r="A5713">
        <f>HYPERLINK("https://www.philgeps.gov.ph/GEPSNONPILOT/Tender/SplashBidNoticeAbstractUI.aspx?menuIndex=3&amp;refID=7080274&amp;Result=3","7080274")</f>
        <v>0</v>
      </c>
      <c r="B5713" t="s">
        <v>90</v>
      </c>
      <c r="C5713" t="s">
        <v>8870</v>
      </c>
      <c r="D5713" t="s">
        <v>17414</v>
      </c>
      <c r="E5713" t="s">
        <v>22438</v>
      </c>
      <c r="F5713" t="s">
        <v>30052</v>
      </c>
      <c r="G5713" t="s">
        <v>30061</v>
      </c>
      <c r="H5713" t="s">
        <v>15498</v>
      </c>
      <c r="I5713" t="s">
        <v>3736</v>
      </c>
      <c r="J5713" t="s">
        <v>33798</v>
      </c>
      <c r="K5713" t="s">
        <v>39029</v>
      </c>
      <c r="M5713" t="s">
        <v>39379</v>
      </c>
      <c r="N5713" t="s">
        <v>43166</v>
      </c>
      <c r="O5713" t="s">
        <v>43167</v>
      </c>
      <c r="P5713">
        <v>0</v>
      </c>
      <c r="Q5713">
        <v>0</v>
      </c>
      <c r="R5713" t="s">
        <v>43172</v>
      </c>
      <c r="S5713" t="s">
        <v>43334</v>
      </c>
      <c r="T5713" t="s">
        <v>44837</v>
      </c>
      <c r="U5713" t="s">
        <v>49865</v>
      </c>
      <c r="W5713" t="s">
        <v>39379</v>
      </c>
      <c r="X5713" t="s">
        <v>43173</v>
      </c>
    </row>
    <row r="5714" spans="1:24">
      <c r="A5714">
        <f>HYPERLINK("https://www.philgeps.gov.ph/GEPSNONPILOT/Tender/SplashBidNoticeAbstractUI.aspx?menuIndex=3&amp;refID=7080270&amp;Result=3","7080270")</f>
        <v>0</v>
      </c>
      <c r="B5714" t="s">
        <v>966</v>
      </c>
      <c r="C5714" t="s">
        <v>8871</v>
      </c>
      <c r="D5714" t="s">
        <v>17448</v>
      </c>
      <c r="E5714" t="s">
        <v>22439</v>
      </c>
      <c r="F5714" t="s">
        <v>30052</v>
      </c>
      <c r="G5714" t="s">
        <v>30061</v>
      </c>
      <c r="H5714" t="s">
        <v>15498</v>
      </c>
      <c r="I5714" t="s">
        <v>30081</v>
      </c>
      <c r="J5714" t="s">
        <v>33799</v>
      </c>
      <c r="K5714" t="s">
        <v>39017</v>
      </c>
      <c r="M5714" t="s">
        <v>40292</v>
      </c>
      <c r="N5714" t="s">
        <v>43166</v>
      </c>
      <c r="O5714" t="s">
        <v>43167</v>
      </c>
      <c r="P5714">
        <v>0</v>
      </c>
      <c r="Q5714">
        <v>0</v>
      </c>
      <c r="R5714" t="s">
        <v>43172</v>
      </c>
      <c r="S5714" t="s">
        <v>43334</v>
      </c>
      <c r="T5714" t="s">
        <v>44734</v>
      </c>
      <c r="U5714" t="s">
        <v>49866</v>
      </c>
      <c r="W5714" t="s">
        <v>40292</v>
      </c>
      <c r="X5714" t="s">
        <v>43173</v>
      </c>
    </row>
    <row r="5715" spans="1:24">
      <c r="A5715">
        <f>HYPERLINK("https://www.philgeps.gov.ph/GEPSNONPILOT/Tender/SplashBidNoticeAbstractUI.aspx?menuIndex=3&amp;refID=7080269&amp;Result=3","7080269")</f>
        <v>0</v>
      </c>
      <c r="B5715" t="s">
        <v>1930</v>
      </c>
      <c r="C5715" t="s">
        <v>8872</v>
      </c>
      <c r="D5715" t="s">
        <v>17442</v>
      </c>
      <c r="E5715" t="s">
        <v>22440</v>
      </c>
      <c r="F5715" t="s">
        <v>30052</v>
      </c>
      <c r="G5715" t="s">
        <v>30058</v>
      </c>
      <c r="H5715" t="s">
        <v>15498</v>
      </c>
      <c r="I5715" t="s">
        <v>30126</v>
      </c>
      <c r="J5715" t="s">
        <v>33348</v>
      </c>
      <c r="K5715" t="s">
        <v>39029</v>
      </c>
      <c r="M5715" t="s">
        <v>41363</v>
      </c>
      <c r="N5715" t="s">
        <v>43166</v>
      </c>
      <c r="O5715" t="s">
        <v>43167</v>
      </c>
      <c r="P5715">
        <v>0</v>
      </c>
      <c r="Q5715">
        <v>2</v>
      </c>
      <c r="R5715" t="s">
        <v>43172</v>
      </c>
      <c r="S5715" t="s">
        <v>43334</v>
      </c>
      <c r="T5715" t="s">
        <v>45026</v>
      </c>
      <c r="U5715" t="s">
        <v>49867</v>
      </c>
      <c r="V5715" t="s">
        <v>57443</v>
      </c>
      <c r="W5715" t="s">
        <v>41363</v>
      </c>
      <c r="X5715" t="s">
        <v>43173</v>
      </c>
    </row>
    <row r="5716" spans="1:24">
      <c r="A5716">
        <f>HYPERLINK("https://www.philgeps.gov.ph/GEPSNONPILOT/Tender/SplashBidNoticeAbstractUI.aspx?menuIndex=3&amp;refID=7080281&amp;Result=3","7080281")</f>
        <v>0</v>
      </c>
      <c r="B5716" t="s">
        <v>1727</v>
      </c>
      <c r="C5716" t="s">
        <v>8873</v>
      </c>
      <c r="D5716" t="s">
        <v>17436</v>
      </c>
      <c r="E5716" t="s">
        <v>22441</v>
      </c>
      <c r="F5716" t="s">
        <v>30052</v>
      </c>
      <c r="G5716" t="s">
        <v>30058</v>
      </c>
      <c r="H5716" t="s">
        <v>15498</v>
      </c>
      <c r="I5716" t="s">
        <v>30070</v>
      </c>
      <c r="J5716" t="s">
        <v>33800</v>
      </c>
      <c r="K5716" t="s">
        <v>39034</v>
      </c>
      <c r="M5716" t="s">
        <v>41144</v>
      </c>
      <c r="N5716" t="s">
        <v>43166</v>
      </c>
      <c r="O5716" t="s">
        <v>43167</v>
      </c>
      <c r="P5716">
        <v>0</v>
      </c>
      <c r="Q5716">
        <v>0</v>
      </c>
      <c r="R5716" t="s">
        <v>43172</v>
      </c>
      <c r="S5716" t="s">
        <v>43334</v>
      </c>
      <c r="T5716" t="s">
        <v>44818</v>
      </c>
      <c r="U5716" t="s">
        <v>49868</v>
      </c>
      <c r="W5716" t="s">
        <v>41144</v>
      </c>
      <c r="X5716" t="s">
        <v>43173</v>
      </c>
    </row>
    <row r="5717" spans="1:24">
      <c r="A5717">
        <f>HYPERLINK("https://www.philgeps.gov.ph/GEPSNONPILOT/Tender/SplashBidNoticeAbstractUI.aspx?menuIndex=3&amp;refID=7080251&amp;Result=3","7080251")</f>
        <v>0</v>
      </c>
      <c r="B5717" t="s">
        <v>1916</v>
      </c>
      <c r="C5717" t="s">
        <v>8874</v>
      </c>
      <c r="D5717" t="s">
        <v>17436</v>
      </c>
      <c r="E5717" t="s">
        <v>22442</v>
      </c>
      <c r="F5717" t="s">
        <v>30052</v>
      </c>
      <c r="G5717" t="s">
        <v>30059</v>
      </c>
      <c r="H5717" t="s">
        <v>15498</v>
      </c>
      <c r="I5717" t="s">
        <v>3736</v>
      </c>
      <c r="J5717" t="s">
        <v>33801</v>
      </c>
      <c r="K5717" t="s">
        <v>39019</v>
      </c>
      <c r="M5717" t="s">
        <v>41347</v>
      </c>
      <c r="N5717" t="s">
        <v>43166</v>
      </c>
      <c r="O5717" t="s">
        <v>43167</v>
      </c>
      <c r="P5717">
        <v>0</v>
      </c>
      <c r="Q5717">
        <v>0</v>
      </c>
      <c r="R5717" t="s">
        <v>43172</v>
      </c>
      <c r="S5717" t="s">
        <v>43334</v>
      </c>
      <c r="T5717" t="s">
        <v>44720</v>
      </c>
      <c r="U5717" t="s">
        <v>49869</v>
      </c>
      <c r="V5717" t="s">
        <v>57438</v>
      </c>
      <c r="W5717" t="s">
        <v>41347</v>
      </c>
      <c r="X5717" t="s">
        <v>43173</v>
      </c>
    </row>
    <row r="5718" spans="1:24">
      <c r="A5718">
        <f>HYPERLINK("https://www.philgeps.gov.ph/GEPSNONPILOT/Tender/SplashBidNoticeAbstractUI.aspx?menuIndex=3&amp;refID=7080258&amp;Result=3","7080258")</f>
        <v>0</v>
      </c>
      <c r="B5718" t="s">
        <v>964</v>
      </c>
      <c r="C5718" t="s">
        <v>8875</v>
      </c>
      <c r="D5718" t="s">
        <v>17415</v>
      </c>
      <c r="E5718" t="s">
        <v>22443</v>
      </c>
      <c r="F5718" t="s">
        <v>30052</v>
      </c>
      <c r="G5718" t="s">
        <v>30059</v>
      </c>
      <c r="H5718" t="s">
        <v>15498</v>
      </c>
      <c r="I5718" t="s">
        <v>9238</v>
      </c>
      <c r="J5718" t="s">
        <v>33802</v>
      </c>
      <c r="K5718" t="s">
        <v>39025</v>
      </c>
      <c r="M5718" t="s">
        <v>41142</v>
      </c>
      <c r="N5718" t="s">
        <v>43166</v>
      </c>
      <c r="O5718" t="s">
        <v>43167</v>
      </c>
      <c r="P5718">
        <v>0</v>
      </c>
      <c r="Q5718">
        <v>11</v>
      </c>
      <c r="R5718" t="s">
        <v>43172</v>
      </c>
      <c r="S5718" t="s">
        <v>43334</v>
      </c>
      <c r="T5718" t="s">
        <v>44823</v>
      </c>
      <c r="U5718" t="s">
        <v>49870</v>
      </c>
      <c r="W5718" t="s">
        <v>41142</v>
      </c>
      <c r="X5718" t="s">
        <v>43173</v>
      </c>
    </row>
    <row r="5719" spans="1:24">
      <c r="A5719">
        <f>HYPERLINK("https://www.philgeps.gov.ph/GEPSNONPILOT/Tender/SplashBidNoticeAbstractUI.aspx?menuIndex=3&amp;refID=7080260&amp;Result=3","7080260")</f>
        <v>0</v>
      </c>
      <c r="B5719" t="s">
        <v>1931</v>
      </c>
      <c r="C5719" t="s">
        <v>8876</v>
      </c>
      <c r="D5719" t="s">
        <v>17432</v>
      </c>
      <c r="E5719" t="s">
        <v>17856</v>
      </c>
      <c r="F5719" t="s">
        <v>30052</v>
      </c>
      <c r="G5719" t="s">
        <v>30058</v>
      </c>
      <c r="H5719" t="s">
        <v>30067</v>
      </c>
      <c r="I5719" t="s">
        <v>3693</v>
      </c>
      <c r="J5719" t="s">
        <v>33803</v>
      </c>
      <c r="K5719" t="s">
        <v>39023</v>
      </c>
      <c r="M5719" t="s">
        <v>41364</v>
      </c>
      <c r="N5719" t="s">
        <v>43166</v>
      </c>
      <c r="O5719" t="s">
        <v>43167</v>
      </c>
      <c r="P5719">
        <v>0</v>
      </c>
      <c r="Q5719">
        <v>0</v>
      </c>
      <c r="R5719" t="s">
        <v>43172</v>
      </c>
      <c r="S5719" t="s">
        <v>43334</v>
      </c>
      <c r="T5719" t="s">
        <v>44722</v>
      </c>
      <c r="U5719" t="s">
        <v>49871</v>
      </c>
      <c r="W5719" t="s">
        <v>41364</v>
      </c>
      <c r="X5719" t="s">
        <v>43173</v>
      </c>
    </row>
    <row r="5720" spans="1:24">
      <c r="A5720">
        <f>HYPERLINK("https://www.philgeps.gov.ph/GEPSNONPILOT/Tender/SplashBidNoticeAbstractUI.aspx?menuIndex=3&amp;refID=7080254&amp;Result=3","7080254")</f>
        <v>0</v>
      </c>
      <c r="B5720" t="s">
        <v>1512</v>
      </c>
      <c r="C5720" t="s">
        <v>8877</v>
      </c>
      <c r="D5720" t="s">
        <v>17465</v>
      </c>
      <c r="E5720" t="s">
        <v>22444</v>
      </c>
      <c r="F5720" t="s">
        <v>30052</v>
      </c>
      <c r="G5720" t="s">
        <v>30059</v>
      </c>
      <c r="H5720" t="s">
        <v>15498</v>
      </c>
      <c r="I5720" t="s">
        <v>30084</v>
      </c>
      <c r="J5720" t="s">
        <v>33804</v>
      </c>
      <c r="K5720" t="s">
        <v>39025</v>
      </c>
      <c r="M5720" t="s">
        <v>40897</v>
      </c>
      <c r="N5720" t="s">
        <v>43166</v>
      </c>
      <c r="O5720" t="s">
        <v>43167</v>
      </c>
      <c r="P5720">
        <v>0</v>
      </c>
      <c r="Q5720">
        <v>8</v>
      </c>
      <c r="R5720" t="s">
        <v>43172</v>
      </c>
      <c r="S5720" t="s">
        <v>43334</v>
      </c>
      <c r="T5720" t="s">
        <v>44696</v>
      </c>
      <c r="U5720" t="s">
        <v>49818</v>
      </c>
      <c r="W5720" t="s">
        <v>40897</v>
      </c>
      <c r="X5720" t="s">
        <v>43173</v>
      </c>
    </row>
    <row r="5721" spans="1:24">
      <c r="A5721">
        <f>HYPERLINK("https://www.philgeps.gov.ph/GEPSNONPILOT/Tender/SplashBidNoticeAbstractUI.aspx?menuIndex=3&amp;refID=7080266&amp;Result=3","7080266")</f>
        <v>0</v>
      </c>
      <c r="B5721" t="s">
        <v>1918</v>
      </c>
      <c r="C5721" t="s">
        <v>4978</v>
      </c>
      <c r="D5721" t="s">
        <v>17415</v>
      </c>
      <c r="E5721" t="s">
        <v>22445</v>
      </c>
      <c r="F5721" t="s">
        <v>30052</v>
      </c>
      <c r="G5721" t="s">
        <v>30058</v>
      </c>
      <c r="H5721" t="s">
        <v>15498</v>
      </c>
      <c r="I5721" t="s">
        <v>30168</v>
      </c>
      <c r="J5721" t="s">
        <v>30358</v>
      </c>
      <c r="K5721" t="s">
        <v>39036</v>
      </c>
      <c r="M5721" t="s">
        <v>41349</v>
      </c>
      <c r="N5721" t="s">
        <v>43166</v>
      </c>
      <c r="O5721" t="s">
        <v>43167</v>
      </c>
      <c r="P5721">
        <v>0</v>
      </c>
      <c r="Q5721">
        <v>6</v>
      </c>
      <c r="R5721" t="s">
        <v>43172</v>
      </c>
      <c r="S5721" t="s">
        <v>43334</v>
      </c>
      <c r="T5721" t="s">
        <v>44696</v>
      </c>
      <c r="U5721" t="s">
        <v>45464</v>
      </c>
      <c r="W5721" t="s">
        <v>41349</v>
      </c>
      <c r="X5721" t="s">
        <v>43173</v>
      </c>
    </row>
    <row r="5722" spans="1:24">
      <c r="A5722">
        <f>HYPERLINK("https://www.philgeps.gov.ph/GEPSNONPILOT/Tender/SplashBidNoticeAbstractUI.aspx?menuIndex=3&amp;refID=7080118&amp;Result=3","7080118")</f>
        <v>0</v>
      </c>
      <c r="B5722" t="s">
        <v>1901</v>
      </c>
      <c r="C5722" t="s">
        <v>8878</v>
      </c>
      <c r="D5722" t="s">
        <v>17459</v>
      </c>
      <c r="E5722" t="s">
        <v>22446</v>
      </c>
      <c r="F5722" t="s">
        <v>30052</v>
      </c>
      <c r="G5722" t="s">
        <v>30059</v>
      </c>
      <c r="H5722" t="s">
        <v>15498</v>
      </c>
      <c r="I5722" t="s">
        <v>30070</v>
      </c>
      <c r="J5722" t="s">
        <v>33805</v>
      </c>
      <c r="K5722" t="s">
        <v>39029</v>
      </c>
      <c r="L5722" t="s">
        <v>1901</v>
      </c>
      <c r="M5722" t="s">
        <v>41332</v>
      </c>
      <c r="N5722" t="s">
        <v>43166</v>
      </c>
      <c r="O5722" t="s">
        <v>43167</v>
      </c>
      <c r="P5722">
        <v>0</v>
      </c>
      <c r="Q5722">
        <v>0</v>
      </c>
      <c r="R5722" t="s">
        <v>43172</v>
      </c>
      <c r="S5722" t="s">
        <v>43334</v>
      </c>
      <c r="T5722" t="s">
        <v>44777</v>
      </c>
      <c r="U5722" t="s">
        <v>46522</v>
      </c>
      <c r="W5722" t="s">
        <v>41332</v>
      </c>
      <c r="X5722" t="s">
        <v>43173</v>
      </c>
    </row>
    <row r="5723" spans="1:24">
      <c r="A5723">
        <f>HYPERLINK("https://www.philgeps.gov.ph/GEPSNONPILOT/Tender/SplashBidNoticeAbstractUI.aspx?menuIndex=3&amp;refID=7080250&amp;Result=3","7080250")</f>
        <v>0</v>
      </c>
      <c r="B5723" t="s">
        <v>1799</v>
      </c>
      <c r="C5723" t="s">
        <v>8879</v>
      </c>
      <c r="D5723" t="s">
        <v>17494</v>
      </c>
      <c r="E5723" t="s">
        <v>20684</v>
      </c>
      <c r="F5723" t="s">
        <v>30052</v>
      </c>
      <c r="G5723" t="s">
        <v>30058</v>
      </c>
      <c r="H5723" t="s">
        <v>15498</v>
      </c>
      <c r="I5723" t="s">
        <v>30179</v>
      </c>
      <c r="J5723" t="s">
        <v>30338</v>
      </c>
      <c r="K5723" t="s">
        <v>39019</v>
      </c>
      <c r="M5723" t="s">
        <v>41222</v>
      </c>
      <c r="N5723" t="s">
        <v>43166</v>
      </c>
      <c r="O5723" t="s">
        <v>43167</v>
      </c>
      <c r="P5723">
        <v>0</v>
      </c>
      <c r="Q5723">
        <v>0</v>
      </c>
      <c r="R5723" t="s">
        <v>43172</v>
      </c>
      <c r="S5723" t="s">
        <v>43334</v>
      </c>
      <c r="T5723" t="s">
        <v>44708</v>
      </c>
      <c r="U5723" t="s">
        <v>49872</v>
      </c>
      <c r="W5723" t="s">
        <v>41222</v>
      </c>
      <c r="X5723" t="s">
        <v>43173</v>
      </c>
    </row>
    <row r="5724" spans="1:24">
      <c r="A5724">
        <f>HYPERLINK("https://www.philgeps.gov.ph/GEPSNONPILOT/Tender/SplashBidNoticeAbstractUI.aspx?menuIndex=3&amp;refID=7080249&amp;Result=3","7080249")</f>
        <v>0</v>
      </c>
      <c r="B5724" t="s">
        <v>765</v>
      </c>
      <c r="C5724" t="s">
        <v>8880</v>
      </c>
      <c r="D5724" t="s">
        <v>17468</v>
      </c>
      <c r="E5724" t="s">
        <v>22447</v>
      </c>
      <c r="F5724" t="s">
        <v>30052</v>
      </c>
      <c r="G5724" t="s">
        <v>30059</v>
      </c>
      <c r="H5724" t="s">
        <v>15498</v>
      </c>
      <c r="I5724" t="s">
        <v>6691</v>
      </c>
      <c r="J5724" t="s">
        <v>30497</v>
      </c>
      <c r="K5724" t="s">
        <v>39099</v>
      </c>
      <c r="M5724" t="s">
        <v>40079</v>
      </c>
      <c r="N5724" t="s">
        <v>43166</v>
      </c>
      <c r="O5724" t="s">
        <v>43167</v>
      </c>
      <c r="P5724">
        <v>0</v>
      </c>
      <c r="Q5724">
        <v>1</v>
      </c>
      <c r="R5724" t="s">
        <v>43172</v>
      </c>
      <c r="S5724" t="s">
        <v>43334</v>
      </c>
      <c r="T5724" t="s">
        <v>44696</v>
      </c>
      <c r="U5724" t="s">
        <v>49873</v>
      </c>
      <c r="W5724" t="s">
        <v>40079</v>
      </c>
      <c r="X5724" t="s">
        <v>43173</v>
      </c>
    </row>
    <row r="5725" spans="1:24">
      <c r="A5725">
        <f>HYPERLINK("https://www.philgeps.gov.ph/GEPSNONPILOT/Tender/SplashBidNoticeAbstractUI.aspx?menuIndex=3&amp;refID=7080223&amp;Result=3","7080223")</f>
        <v>0</v>
      </c>
      <c r="B5725" t="s">
        <v>1727</v>
      </c>
      <c r="C5725" t="s">
        <v>8881</v>
      </c>
      <c r="D5725" t="s">
        <v>17436</v>
      </c>
      <c r="E5725" t="s">
        <v>22448</v>
      </c>
      <c r="F5725" t="s">
        <v>30052</v>
      </c>
      <c r="G5725" t="s">
        <v>30058</v>
      </c>
      <c r="H5725" t="s">
        <v>15498</v>
      </c>
      <c r="I5725" t="s">
        <v>3736</v>
      </c>
      <c r="J5725" t="s">
        <v>33806</v>
      </c>
      <c r="K5725" t="s">
        <v>39034</v>
      </c>
      <c r="M5725" t="s">
        <v>41144</v>
      </c>
      <c r="N5725" t="s">
        <v>43166</v>
      </c>
      <c r="O5725" t="s">
        <v>43167</v>
      </c>
      <c r="P5725">
        <v>0</v>
      </c>
      <c r="Q5725">
        <v>1</v>
      </c>
      <c r="R5725" t="s">
        <v>43172</v>
      </c>
      <c r="S5725" t="s">
        <v>43334</v>
      </c>
      <c r="T5725" t="s">
        <v>44818</v>
      </c>
      <c r="U5725" t="s">
        <v>49874</v>
      </c>
      <c r="W5725" t="s">
        <v>41144</v>
      </c>
      <c r="X5725" t="s">
        <v>43173</v>
      </c>
    </row>
    <row r="5726" spans="1:24">
      <c r="A5726">
        <f>HYPERLINK("https://www.philgeps.gov.ph/GEPSNONPILOT/Tender/SplashBidNoticeAbstractUI.aspx?menuIndex=3&amp;refID=7080216&amp;Result=3","7080216")</f>
        <v>0</v>
      </c>
      <c r="B5726" t="s">
        <v>1932</v>
      </c>
      <c r="C5726" t="s">
        <v>8066</v>
      </c>
      <c r="D5726" t="s">
        <v>17441</v>
      </c>
      <c r="E5726" t="s">
        <v>18436</v>
      </c>
      <c r="F5726" t="s">
        <v>30052</v>
      </c>
      <c r="G5726" t="s">
        <v>30058</v>
      </c>
      <c r="H5726" t="s">
        <v>15498</v>
      </c>
      <c r="I5726" t="s">
        <v>3736</v>
      </c>
      <c r="J5726" t="s">
        <v>30277</v>
      </c>
      <c r="K5726" t="s">
        <v>39034</v>
      </c>
      <c r="L5726" t="s">
        <v>1932</v>
      </c>
      <c r="M5726" t="s">
        <v>41365</v>
      </c>
      <c r="N5726" t="s">
        <v>43166</v>
      </c>
      <c r="O5726" t="s">
        <v>43167</v>
      </c>
      <c r="P5726">
        <v>0</v>
      </c>
      <c r="Q5726">
        <v>4</v>
      </c>
      <c r="R5726" t="s">
        <v>43172</v>
      </c>
      <c r="S5726" t="s">
        <v>43334</v>
      </c>
      <c r="T5726" t="s">
        <v>44806</v>
      </c>
      <c r="U5726" t="s">
        <v>49875</v>
      </c>
      <c r="W5726" t="s">
        <v>41365</v>
      </c>
      <c r="X5726" t="s">
        <v>43173</v>
      </c>
    </row>
    <row r="5727" spans="1:24">
      <c r="A5727">
        <f>HYPERLINK("https://www.philgeps.gov.ph/GEPSNONPILOT/Tender/SplashBidNoticeAbstractUI.aspx?menuIndex=3&amp;refID=7080213&amp;Result=3","7080213")</f>
        <v>0</v>
      </c>
      <c r="B5727" t="s">
        <v>1417</v>
      </c>
      <c r="C5727" t="s">
        <v>8882</v>
      </c>
      <c r="D5727" t="s">
        <v>17441</v>
      </c>
      <c r="E5727" t="s">
        <v>22449</v>
      </c>
      <c r="F5727" t="s">
        <v>30052</v>
      </c>
      <c r="G5727" t="s">
        <v>30059</v>
      </c>
      <c r="H5727" t="s">
        <v>15498</v>
      </c>
      <c r="I5727" t="s">
        <v>30098</v>
      </c>
      <c r="J5727" t="s">
        <v>33807</v>
      </c>
      <c r="K5727" t="s">
        <v>39034</v>
      </c>
      <c r="M5727" t="s">
        <v>40795</v>
      </c>
      <c r="N5727" t="s">
        <v>43166</v>
      </c>
      <c r="O5727" t="s">
        <v>43167</v>
      </c>
      <c r="P5727">
        <v>0</v>
      </c>
      <c r="Q5727">
        <v>0</v>
      </c>
      <c r="R5727" t="s">
        <v>43172</v>
      </c>
      <c r="S5727" t="s">
        <v>43334</v>
      </c>
      <c r="T5727" t="s">
        <v>44773</v>
      </c>
      <c r="U5727" t="s">
        <v>49876</v>
      </c>
      <c r="W5727" t="s">
        <v>40795</v>
      </c>
      <c r="X5727" t="s">
        <v>43173</v>
      </c>
    </row>
    <row r="5728" spans="1:24">
      <c r="A5728">
        <f>HYPERLINK("https://www.philgeps.gov.ph/GEPSNONPILOT/Tender/SplashBidNoticeAbstractUI.aspx?menuIndex=3&amp;refID=7080191&amp;Result=3","7080191")</f>
        <v>0</v>
      </c>
      <c r="B5728" t="s">
        <v>1576</v>
      </c>
      <c r="C5728" t="s">
        <v>8883</v>
      </c>
      <c r="D5728" t="s">
        <v>17415</v>
      </c>
      <c r="E5728" t="s">
        <v>22450</v>
      </c>
      <c r="F5728" t="s">
        <v>30052</v>
      </c>
      <c r="G5728" t="s">
        <v>30059</v>
      </c>
      <c r="H5728" t="s">
        <v>15498</v>
      </c>
      <c r="I5728" t="s">
        <v>30096</v>
      </c>
      <c r="J5728" t="s">
        <v>33808</v>
      </c>
      <c r="K5728" t="s">
        <v>39025</v>
      </c>
      <c r="M5728" t="s">
        <v>40969</v>
      </c>
      <c r="N5728" t="s">
        <v>43166</v>
      </c>
      <c r="O5728" t="s">
        <v>43167</v>
      </c>
      <c r="P5728">
        <v>0</v>
      </c>
      <c r="Q5728">
        <v>12</v>
      </c>
      <c r="R5728" t="s">
        <v>43172</v>
      </c>
      <c r="S5728" t="s">
        <v>43334</v>
      </c>
      <c r="T5728" t="s">
        <v>44888</v>
      </c>
      <c r="U5728" t="s">
        <v>49877</v>
      </c>
      <c r="V5728" t="s">
        <v>56845</v>
      </c>
      <c r="W5728" t="s">
        <v>40969</v>
      </c>
      <c r="X5728" t="s">
        <v>43173</v>
      </c>
    </row>
    <row r="5729" spans="1:24">
      <c r="A5729">
        <f>HYPERLINK("https://www.philgeps.gov.ph/GEPSNONPILOT/Tender/SplashBidNoticeAbstractUI.aspx?menuIndex=3&amp;refID=7080263&amp;Result=3","7080263")</f>
        <v>0</v>
      </c>
      <c r="B5729" t="s">
        <v>1727</v>
      </c>
      <c r="C5729" t="s">
        <v>8884</v>
      </c>
      <c r="D5729" t="s">
        <v>17436</v>
      </c>
      <c r="E5729" t="s">
        <v>22451</v>
      </c>
      <c r="F5729" t="s">
        <v>30052</v>
      </c>
      <c r="G5729" t="s">
        <v>30058</v>
      </c>
      <c r="H5729" t="s">
        <v>15498</v>
      </c>
      <c r="I5729" t="s">
        <v>30070</v>
      </c>
      <c r="J5729" t="s">
        <v>33809</v>
      </c>
      <c r="K5729" t="s">
        <v>39034</v>
      </c>
      <c r="M5729" t="s">
        <v>41144</v>
      </c>
      <c r="N5729" t="s">
        <v>43166</v>
      </c>
      <c r="O5729" t="s">
        <v>43167</v>
      </c>
      <c r="P5729">
        <v>0</v>
      </c>
      <c r="Q5729">
        <v>0</v>
      </c>
      <c r="R5729" t="s">
        <v>43172</v>
      </c>
      <c r="S5729" t="s">
        <v>43334</v>
      </c>
      <c r="T5729" t="s">
        <v>44818</v>
      </c>
      <c r="U5729" t="s">
        <v>49878</v>
      </c>
      <c r="W5729" t="s">
        <v>41144</v>
      </c>
      <c r="X5729" t="s">
        <v>43173</v>
      </c>
    </row>
    <row r="5730" spans="1:24">
      <c r="A5730">
        <f>HYPERLINK("https://www.philgeps.gov.ph/GEPSNONPILOT/Tender/SplashBidNoticeAbstractUI.aspx?menuIndex=3&amp;refID=7080224&amp;Result=3","7080224")</f>
        <v>0</v>
      </c>
      <c r="B5730" t="s">
        <v>743</v>
      </c>
      <c r="C5730" t="s">
        <v>8885</v>
      </c>
      <c r="D5730" t="s">
        <v>17458</v>
      </c>
      <c r="E5730" t="s">
        <v>22452</v>
      </c>
      <c r="F5730" t="s">
        <v>30052</v>
      </c>
      <c r="G5730" t="s">
        <v>30061</v>
      </c>
      <c r="H5730" t="s">
        <v>15498</v>
      </c>
      <c r="I5730" t="s">
        <v>30097</v>
      </c>
      <c r="J5730" t="s">
        <v>33810</v>
      </c>
      <c r="K5730" t="s">
        <v>39029</v>
      </c>
      <c r="M5730" t="s">
        <v>40057</v>
      </c>
      <c r="N5730" t="s">
        <v>43166</v>
      </c>
      <c r="O5730" t="s">
        <v>43167</v>
      </c>
      <c r="Q5730">
        <v>6</v>
      </c>
      <c r="R5730" t="s">
        <v>43172</v>
      </c>
      <c r="S5730" t="s">
        <v>43347</v>
      </c>
      <c r="T5730" t="s">
        <v>44691</v>
      </c>
      <c r="U5730" t="s">
        <v>46613</v>
      </c>
      <c r="W5730" t="s">
        <v>40057</v>
      </c>
      <c r="X5730" t="s">
        <v>43173</v>
      </c>
    </row>
    <row r="5731" spans="1:24">
      <c r="A5731">
        <f>HYPERLINK("https://www.philgeps.gov.ph/GEPSNONPILOT/Tender/SplashBidNoticeAbstractUI.aspx?menuIndex=3&amp;refID=7080221&amp;Result=3","7080221")</f>
        <v>0</v>
      </c>
      <c r="B5731" t="s">
        <v>1313</v>
      </c>
      <c r="C5731" t="s">
        <v>8886</v>
      </c>
      <c r="D5731" t="s">
        <v>17415</v>
      </c>
      <c r="E5731" t="s">
        <v>22453</v>
      </c>
      <c r="F5731" t="s">
        <v>30052</v>
      </c>
      <c r="G5731" t="s">
        <v>30059</v>
      </c>
      <c r="H5731" t="s">
        <v>15498</v>
      </c>
      <c r="I5731" t="s">
        <v>30081</v>
      </c>
      <c r="J5731" t="s">
        <v>33811</v>
      </c>
      <c r="K5731" t="s">
        <v>39017</v>
      </c>
      <c r="M5731" t="s">
        <v>41366</v>
      </c>
      <c r="N5731" t="s">
        <v>43166</v>
      </c>
      <c r="O5731" t="s">
        <v>43167</v>
      </c>
      <c r="P5731">
        <v>0</v>
      </c>
      <c r="Q5731">
        <v>0</v>
      </c>
      <c r="R5731" t="s">
        <v>43172</v>
      </c>
      <c r="S5731" t="s">
        <v>43334</v>
      </c>
      <c r="T5731" t="s">
        <v>44717</v>
      </c>
      <c r="U5731" t="s">
        <v>49879</v>
      </c>
      <c r="W5731" t="s">
        <v>41366</v>
      </c>
      <c r="X5731" t="s">
        <v>43173</v>
      </c>
    </row>
    <row r="5732" spans="1:24">
      <c r="A5732">
        <f>HYPERLINK("https://www.philgeps.gov.ph/GEPSNONPILOT/Tender/SplashBidNoticeAbstractUI.aspx?menuIndex=3&amp;refID=7080163&amp;Result=3","7080163")</f>
        <v>0</v>
      </c>
      <c r="B5732" t="s">
        <v>1933</v>
      </c>
      <c r="C5732" t="s">
        <v>8887</v>
      </c>
      <c r="D5732" t="s">
        <v>17447</v>
      </c>
      <c r="E5732" t="s">
        <v>22454</v>
      </c>
      <c r="F5732" t="s">
        <v>30052</v>
      </c>
      <c r="G5732" t="s">
        <v>30059</v>
      </c>
      <c r="H5732" t="s">
        <v>15498</v>
      </c>
      <c r="I5732" t="s">
        <v>30106</v>
      </c>
      <c r="J5732" t="s">
        <v>33812</v>
      </c>
      <c r="K5732" t="s">
        <v>39019</v>
      </c>
      <c r="M5732" t="s">
        <v>41367</v>
      </c>
      <c r="N5732" t="s">
        <v>43166</v>
      </c>
      <c r="O5732" t="s">
        <v>43167</v>
      </c>
      <c r="P5732">
        <v>0</v>
      </c>
      <c r="Q5732">
        <v>2</v>
      </c>
      <c r="R5732" t="s">
        <v>43172</v>
      </c>
      <c r="S5732" t="s">
        <v>43334</v>
      </c>
      <c r="T5732" t="s">
        <v>44696</v>
      </c>
      <c r="U5732" t="s">
        <v>49880</v>
      </c>
      <c r="W5732" t="s">
        <v>41367</v>
      </c>
      <c r="X5732" t="s">
        <v>43173</v>
      </c>
    </row>
    <row r="5733" spans="1:24">
      <c r="A5733">
        <f>HYPERLINK("https://www.philgeps.gov.ph/GEPSNONPILOT/Tender/SplashBidNoticeAbstractUI.aspx?menuIndex=3&amp;refID=7080161&amp;Result=3","7080161")</f>
        <v>0</v>
      </c>
      <c r="B5733" t="s">
        <v>1487</v>
      </c>
      <c r="C5733" t="s">
        <v>8888</v>
      </c>
      <c r="D5733" t="s">
        <v>17455</v>
      </c>
      <c r="E5733" t="s">
        <v>22455</v>
      </c>
      <c r="F5733" t="s">
        <v>30052</v>
      </c>
      <c r="G5733" t="s">
        <v>30058</v>
      </c>
      <c r="H5733" t="s">
        <v>15498</v>
      </c>
      <c r="I5733" t="s">
        <v>4598</v>
      </c>
      <c r="J5733" t="s">
        <v>33813</v>
      </c>
      <c r="K5733" t="s">
        <v>39017</v>
      </c>
      <c r="M5733" t="s">
        <v>40871</v>
      </c>
      <c r="N5733" t="s">
        <v>43166</v>
      </c>
      <c r="O5733" t="s">
        <v>43167</v>
      </c>
      <c r="P5733">
        <v>0</v>
      </c>
      <c r="Q5733">
        <v>8</v>
      </c>
      <c r="R5733" t="s">
        <v>43172</v>
      </c>
      <c r="S5733" t="s">
        <v>43334</v>
      </c>
      <c r="T5733" t="s">
        <v>44700</v>
      </c>
      <c r="U5733" t="s">
        <v>49881</v>
      </c>
      <c r="W5733" t="s">
        <v>40871</v>
      </c>
      <c r="X5733" t="s">
        <v>43173</v>
      </c>
    </row>
    <row r="5734" spans="1:24">
      <c r="A5734">
        <f>HYPERLINK("https://www.philgeps.gov.ph/GEPSNONPILOT/Tender/SplashBidNoticeAbstractUI.aspx?menuIndex=3&amp;refID=7080295&amp;Result=3","7080295")</f>
        <v>0</v>
      </c>
      <c r="B5734" t="s">
        <v>1934</v>
      </c>
      <c r="C5734" t="s">
        <v>8889</v>
      </c>
      <c r="D5734" t="s">
        <v>17415</v>
      </c>
      <c r="E5734" t="s">
        <v>22456</v>
      </c>
      <c r="F5734" t="s">
        <v>30052</v>
      </c>
      <c r="G5734" t="s">
        <v>30059</v>
      </c>
      <c r="H5734" t="s">
        <v>15498</v>
      </c>
      <c r="I5734" t="s">
        <v>30084</v>
      </c>
      <c r="J5734" t="s">
        <v>33814</v>
      </c>
      <c r="K5734" t="s">
        <v>39034</v>
      </c>
      <c r="M5734" t="s">
        <v>41368</v>
      </c>
      <c r="N5734" t="s">
        <v>43166</v>
      </c>
      <c r="O5734" t="s">
        <v>43167</v>
      </c>
      <c r="P5734">
        <v>0</v>
      </c>
      <c r="Q5734">
        <v>2</v>
      </c>
      <c r="R5734" t="s">
        <v>43172</v>
      </c>
      <c r="S5734" t="s">
        <v>43334</v>
      </c>
      <c r="T5734" t="s">
        <v>44717</v>
      </c>
      <c r="U5734" t="s">
        <v>49882</v>
      </c>
      <c r="V5734" t="s">
        <v>57444</v>
      </c>
      <c r="W5734" t="s">
        <v>41368</v>
      </c>
      <c r="X5734" t="s">
        <v>43173</v>
      </c>
    </row>
    <row r="5735" spans="1:24">
      <c r="A5735">
        <f>HYPERLINK("https://www.philgeps.gov.ph/GEPSNONPILOT/Tender/SplashBidNoticeAbstractUI.aspx?menuIndex=3&amp;refID=7080188&amp;Result=3","7080188")</f>
        <v>0</v>
      </c>
      <c r="B5735" t="s">
        <v>1929</v>
      </c>
      <c r="C5735" t="s">
        <v>8890</v>
      </c>
      <c r="D5735" t="s">
        <v>17419</v>
      </c>
      <c r="E5735" t="s">
        <v>22457</v>
      </c>
      <c r="F5735" t="s">
        <v>30052</v>
      </c>
      <c r="G5735" t="s">
        <v>30058</v>
      </c>
      <c r="H5735" t="s">
        <v>15498</v>
      </c>
      <c r="I5735" t="s">
        <v>4650</v>
      </c>
      <c r="J5735" t="s">
        <v>30230</v>
      </c>
      <c r="K5735" t="s">
        <v>39025</v>
      </c>
      <c r="M5735" t="s">
        <v>41362</v>
      </c>
      <c r="N5735" t="s">
        <v>43166</v>
      </c>
      <c r="O5735" t="s">
        <v>43167</v>
      </c>
      <c r="P5735">
        <v>0</v>
      </c>
      <c r="Q5735">
        <v>2</v>
      </c>
      <c r="R5735" t="s">
        <v>43172</v>
      </c>
      <c r="S5735" t="s">
        <v>43334</v>
      </c>
      <c r="T5735" t="s">
        <v>44806</v>
      </c>
      <c r="U5735" t="s">
        <v>49864</v>
      </c>
      <c r="W5735" t="s">
        <v>41362</v>
      </c>
      <c r="X5735" t="s">
        <v>43173</v>
      </c>
    </row>
    <row r="5736" spans="1:24">
      <c r="A5736">
        <f>HYPERLINK("https://www.philgeps.gov.ph/GEPSNONPILOT/Tender/SplashBidNoticeAbstractUI.aspx?menuIndex=3&amp;refID=7080331&amp;Result=3","7080331")</f>
        <v>0</v>
      </c>
      <c r="B5736" t="s">
        <v>1696</v>
      </c>
      <c r="C5736" t="s">
        <v>8891</v>
      </c>
      <c r="D5736" t="s">
        <v>17422</v>
      </c>
      <c r="E5736" t="s">
        <v>18346</v>
      </c>
      <c r="F5736" t="s">
        <v>30052</v>
      </c>
      <c r="G5736" t="s">
        <v>30059</v>
      </c>
      <c r="H5736" t="s">
        <v>15498</v>
      </c>
      <c r="I5736" t="s">
        <v>30076</v>
      </c>
      <c r="J5736" t="s">
        <v>30384</v>
      </c>
      <c r="K5736" t="s">
        <v>39017</v>
      </c>
      <c r="M5736" t="s">
        <v>41105</v>
      </c>
      <c r="N5736" t="s">
        <v>43166</v>
      </c>
      <c r="O5736" t="s">
        <v>43167</v>
      </c>
      <c r="P5736">
        <v>0</v>
      </c>
      <c r="Q5736">
        <v>11</v>
      </c>
      <c r="R5736" t="s">
        <v>43172</v>
      </c>
      <c r="S5736" t="s">
        <v>43334</v>
      </c>
      <c r="T5736" t="s">
        <v>44715</v>
      </c>
      <c r="U5736" t="s">
        <v>49883</v>
      </c>
      <c r="W5736" t="s">
        <v>41105</v>
      </c>
      <c r="X5736" t="s">
        <v>43173</v>
      </c>
    </row>
    <row r="5737" spans="1:24">
      <c r="A5737">
        <f>HYPERLINK("https://www.philgeps.gov.ph/GEPSNONPILOT/Tender/SplashBidNoticeAbstractUI.aspx?menuIndex=3&amp;refID=7080187&amp;Result=3","7080187")</f>
        <v>0</v>
      </c>
      <c r="B5737" t="s">
        <v>1028</v>
      </c>
      <c r="C5737" t="s">
        <v>8892</v>
      </c>
      <c r="D5737" t="s">
        <v>17438</v>
      </c>
      <c r="E5737" t="s">
        <v>22458</v>
      </c>
      <c r="F5737" t="s">
        <v>30052</v>
      </c>
      <c r="G5737" t="s">
        <v>30059</v>
      </c>
      <c r="H5737" t="s">
        <v>15498</v>
      </c>
      <c r="I5737" t="s">
        <v>6691</v>
      </c>
      <c r="J5737" t="s">
        <v>33815</v>
      </c>
      <c r="K5737" t="s">
        <v>39035</v>
      </c>
      <c r="M5737" t="s">
        <v>40357</v>
      </c>
      <c r="N5737" t="s">
        <v>43166</v>
      </c>
      <c r="O5737" t="s">
        <v>43167</v>
      </c>
      <c r="P5737">
        <v>0</v>
      </c>
      <c r="Q5737">
        <v>0</v>
      </c>
      <c r="R5737" t="s">
        <v>43172</v>
      </c>
      <c r="S5737" t="s">
        <v>43334</v>
      </c>
      <c r="T5737" t="s">
        <v>44691</v>
      </c>
      <c r="U5737" t="s">
        <v>47341</v>
      </c>
      <c r="W5737" t="s">
        <v>40357</v>
      </c>
      <c r="X5737" t="s">
        <v>43173</v>
      </c>
    </row>
    <row r="5738" spans="1:24">
      <c r="A5738">
        <f>HYPERLINK("https://www.philgeps.gov.ph/GEPSNONPILOT/Tender/SplashBidNoticeAbstractUI.aspx?menuIndex=3&amp;refID=7080323&amp;Result=3","7080323")</f>
        <v>0</v>
      </c>
      <c r="B5738" t="s">
        <v>1908</v>
      </c>
      <c r="C5738" t="s">
        <v>8893</v>
      </c>
      <c r="D5738" t="s">
        <v>17468</v>
      </c>
      <c r="E5738" t="s">
        <v>22459</v>
      </c>
      <c r="F5738" t="s">
        <v>30052</v>
      </c>
      <c r="G5738" t="s">
        <v>30058</v>
      </c>
      <c r="H5738" t="s">
        <v>30067</v>
      </c>
      <c r="I5738" t="s">
        <v>3693</v>
      </c>
      <c r="J5738" t="s">
        <v>33816</v>
      </c>
      <c r="K5738" t="s">
        <v>39159</v>
      </c>
      <c r="M5738" t="s">
        <v>41339</v>
      </c>
      <c r="N5738" t="s">
        <v>43166</v>
      </c>
      <c r="O5738" t="s">
        <v>43167</v>
      </c>
      <c r="P5738">
        <v>0</v>
      </c>
      <c r="Q5738">
        <v>1</v>
      </c>
      <c r="R5738" t="s">
        <v>43172</v>
      </c>
      <c r="S5738" t="s">
        <v>43334</v>
      </c>
      <c r="T5738" t="s">
        <v>44716</v>
      </c>
      <c r="U5738" t="s">
        <v>49884</v>
      </c>
      <c r="W5738" t="s">
        <v>41339</v>
      </c>
      <c r="X5738" t="s">
        <v>43173</v>
      </c>
    </row>
    <row r="5739" spans="1:24">
      <c r="A5739">
        <f>HYPERLINK("https://www.philgeps.gov.ph/GEPSNONPILOT/Tender/SplashBidNoticeAbstractUI.aspx?menuIndex=3&amp;refID=7080257&amp;Result=3","7080257")</f>
        <v>0</v>
      </c>
      <c r="B5739" t="s">
        <v>1313</v>
      </c>
      <c r="C5739" t="s">
        <v>8894</v>
      </c>
      <c r="D5739" t="s">
        <v>17415</v>
      </c>
      <c r="E5739" t="s">
        <v>22460</v>
      </c>
      <c r="F5739" t="s">
        <v>30052</v>
      </c>
      <c r="G5739" t="s">
        <v>30059</v>
      </c>
      <c r="H5739" t="s">
        <v>15498</v>
      </c>
      <c r="I5739" t="s">
        <v>3852</v>
      </c>
      <c r="J5739" t="s">
        <v>32396</v>
      </c>
      <c r="K5739" t="s">
        <v>39017</v>
      </c>
      <c r="M5739" t="s">
        <v>41366</v>
      </c>
      <c r="N5739" t="s">
        <v>43166</v>
      </c>
      <c r="O5739" t="s">
        <v>43167</v>
      </c>
      <c r="P5739">
        <v>0</v>
      </c>
      <c r="Q5739">
        <v>1</v>
      </c>
      <c r="R5739" t="s">
        <v>43172</v>
      </c>
      <c r="S5739" t="s">
        <v>43334</v>
      </c>
      <c r="T5739" t="s">
        <v>44893</v>
      </c>
      <c r="U5739" t="s">
        <v>49885</v>
      </c>
      <c r="W5739" t="s">
        <v>41366</v>
      </c>
      <c r="X5739" t="s">
        <v>43173</v>
      </c>
    </row>
    <row r="5740" spans="1:24">
      <c r="A5740">
        <f>HYPERLINK("https://www.philgeps.gov.ph/GEPSNONPILOT/Tender/SplashBidNoticeAbstractUI.aspx?menuIndex=3&amp;refID=7080317&amp;Result=3","7080317")</f>
        <v>0</v>
      </c>
      <c r="B5740" t="s">
        <v>679</v>
      </c>
      <c r="C5740" t="s">
        <v>8895</v>
      </c>
      <c r="D5740" t="s">
        <v>17419</v>
      </c>
      <c r="E5740" t="s">
        <v>22461</v>
      </c>
      <c r="F5740" t="s">
        <v>30052</v>
      </c>
      <c r="G5740" t="s">
        <v>30058</v>
      </c>
      <c r="H5740" t="s">
        <v>15498</v>
      </c>
      <c r="I5740" t="s">
        <v>4650</v>
      </c>
      <c r="J5740" t="s">
        <v>33817</v>
      </c>
      <c r="K5740" t="s">
        <v>39034</v>
      </c>
      <c r="M5740" t="s">
        <v>39985</v>
      </c>
      <c r="N5740" t="s">
        <v>43166</v>
      </c>
      <c r="O5740" t="s">
        <v>43167</v>
      </c>
      <c r="P5740">
        <v>0</v>
      </c>
      <c r="Q5740">
        <v>0</v>
      </c>
      <c r="R5740" t="s">
        <v>43172</v>
      </c>
      <c r="S5740" t="s">
        <v>43334</v>
      </c>
      <c r="T5740" t="s">
        <v>44698</v>
      </c>
      <c r="U5740" t="s">
        <v>49886</v>
      </c>
      <c r="W5740" t="s">
        <v>39985</v>
      </c>
      <c r="X5740" t="s">
        <v>43173</v>
      </c>
    </row>
    <row r="5741" spans="1:24">
      <c r="A5741">
        <f>HYPERLINK("https://www.philgeps.gov.ph/GEPSNONPILOT/Tender/SplashBidNoticeAbstractUI.aspx?menuIndex=3&amp;refID=7080178&amp;Result=3","7080178")</f>
        <v>0</v>
      </c>
      <c r="B5741" t="s">
        <v>189</v>
      </c>
      <c r="C5741" t="s">
        <v>8896</v>
      </c>
      <c r="D5741" t="s">
        <v>17468</v>
      </c>
      <c r="E5741" t="s">
        <v>22462</v>
      </c>
      <c r="F5741" t="s">
        <v>30053</v>
      </c>
      <c r="G5741" t="s">
        <v>30059</v>
      </c>
      <c r="H5741" t="s">
        <v>15498</v>
      </c>
      <c r="I5741" t="s">
        <v>3852</v>
      </c>
      <c r="J5741" t="s">
        <v>33818</v>
      </c>
      <c r="K5741" t="s">
        <v>39019</v>
      </c>
      <c r="M5741" t="s">
        <v>39559</v>
      </c>
      <c r="N5741" t="s">
        <v>43166</v>
      </c>
      <c r="O5741" t="s">
        <v>43167</v>
      </c>
      <c r="P5741">
        <v>0</v>
      </c>
      <c r="Q5741">
        <v>1</v>
      </c>
      <c r="R5741" t="s">
        <v>43172</v>
      </c>
      <c r="S5741" t="s">
        <v>43334</v>
      </c>
      <c r="T5741" t="s">
        <v>44678</v>
      </c>
      <c r="U5741" t="s">
        <v>49887</v>
      </c>
      <c r="W5741" t="s">
        <v>39559</v>
      </c>
      <c r="X5741" t="s">
        <v>43173</v>
      </c>
    </row>
    <row r="5742" spans="1:24">
      <c r="A5742">
        <f>HYPERLINK("https://www.philgeps.gov.ph/GEPSNONPILOT/Tender/SplashBidNoticeAbstractUI.aspx?menuIndex=3&amp;refID=7080314&amp;Result=3","7080314")</f>
        <v>0</v>
      </c>
      <c r="B5742" t="s">
        <v>443</v>
      </c>
      <c r="C5742" t="s">
        <v>8897</v>
      </c>
      <c r="D5742" t="s">
        <v>17425</v>
      </c>
      <c r="E5742" t="s">
        <v>22463</v>
      </c>
      <c r="F5742" t="s">
        <v>30052</v>
      </c>
      <c r="G5742" t="s">
        <v>30059</v>
      </c>
      <c r="H5742" t="s">
        <v>15498</v>
      </c>
      <c r="I5742" t="s">
        <v>3736</v>
      </c>
      <c r="J5742" t="s">
        <v>33819</v>
      </c>
      <c r="K5742" t="s">
        <v>39017</v>
      </c>
      <c r="M5742" t="s">
        <v>39743</v>
      </c>
      <c r="N5742" t="s">
        <v>43166</v>
      </c>
      <c r="O5742" t="s">
        <v>43167</v>
      </c>
      <c r="P5742">
        <v>0</v>
      </c>
      <c r="Q5742">
        <v>0</v>
      </c>
      <c r="R5742" t="s">
        <v>43172</v>
      </c>
      <c r="S5742" t="s">
        <v>43334</v>
      </c>
      <c r="T5742" t="s">
        <v>44832</v>
      </c>
      <c r="U5742" t="s">
        <v>49888</v>
      </c>
      <c r="W5742" t="s">
        <v>39743</v>
      </c>
      <c r="X5742" t="s">
        <v>43173</v>
      </c>
    </row>
    <row r="5743" spans="1:24">
      <c r="A5743">
        <f>HYPERLINK("https://www.philgeps.gov.ph/GEPSNONPILOT/Tender/SplashBidNoticeAbstractUI.aspx?menuIndex=3&amp;refID=7080324&amp;Result=3","7080324")</f>
        <v>0</v>
      </c>
      <c r="B5743" t="s">
        <v>1935</v>
      </c>
      <c r="C5743" t="s">
        <v>8898</v>
      </c>
      <c r="D5743" t="s">
        <v>17418</v>
      </c>
      <c r="E5743" t="s">
        <v>22464</v>
      </c>
      <c r="F5743" t="s">
        <v>30052</v>
      </c>
      <c r="G5743" t="s">
        <v>30058</v>
      </c>
      <c r="H5743" t="s">
        <v>30067</v>
      </c>
      <c r="I5743" t="s">
        <v>3693</v>
      </c>
      <c r="J5743" t="s">
        <v>33820</v>
      </c>
      <c r="K5743" t="s">
        <v>39160</v>
      </c>
      <c r="M5743" t="s">
        <v>41369</v>
      </c>
      <c r="N5743" t="s">
        <v>43166</v>
      </c>
      <c r="O5743" t="s">
        <v>43167</v>
      </c>
      <c r="P5743">
        <v>0</v>
      </c>
      <c r="Q5743">
        <v>0</v>
      </c>
      <c r="R5743" t="s">
        <v>43172</v>
      </c>
      <c r="S5743" t="s">
        <v>43334</v>
      </c>
      <c r="T5743" t="s">
        <v>44691</v>
      </c>
      <c r="U5743" t="s">
        <v>49889</v>
      </c>
      <c r="W5743" t="s">
        <v>41369</v>
      </c>
      <c r="X5743" t="s">
        <v>43173</v>
      </c>
    </row>
    <row r="5744" spans="1:24">
      <c r="A5744">
        <f>HYPERLINK("https://www.philgeps.gov.ph/GEPSNONPILOT/Tender/SplashBidNoticeAbstractUI.aspx?menuIndex=3&amp;refID=7080190&amp;Result=3","7080190")</f>
        <v>0</v>
      </c>
      <c r="B5744" t="s">
        <v>1100</v>
      </c>
      <c r="C5744" t="s">
        <v>8899</v>
      </c>
      <c r="D5744" t="s">
        <v>17466</v>
      </c>
      <c r="E5744" t="s">
        <v>22465</v>
      </c>
      <c r="F5744" t="s">
        <v>30052</v>
      </c>
      <c r="G5744" t="s">
        <v>30059</v>
      </c>
      <c r="H5744" t="s">
        <v>15498</v>
      </c>
      <c r="I5744" t="s">
        <v>30094</v>
      </c>
      <c r="J5744" t="s">
        <v>33821</v>
      </c>
      <c r="K5744" t="s">
        <v>39025</v>
      </c>
      <c r="M5744" t="s">
        <v>40439</v>
      </c>
      <c r="N5744" t="s">
        <v>43166</v>
      </c>
      <c r="O5744" t="s">
        <v>43167</v>
      </c>
      <c r="P5744">
        <v>0</v>
      </c>
      <c r="Q5744">
        <v>0</v>
      </c>
      <c r="R5744" t="s">
        <v>43172</v>
      </c>
      <c r="S5744" t="s">
        <v>43334</v>
      </c>
      <c r="T5744" t="s">
        <v>44695</v>
      </c>
      <c r="U5744" t="s">
        <v>49541</v>
      </c>
      <c r="W5744" t="s">
        <v>40439</v>
      </c>
      <c r="X5744" t="s">
        <v>43173</v>
      </c>
    </row>
    <row r="5745" spans="1:24">
      <c r="A5745">
        <f>HYPERLINK("https://www.philgeps.gov.ph/GEPSNONPILOT/Tender/SplashBidNoticeAbstractUI.aspx?menuIndex=3&amp;refID=7080318&amp;Result=3","7080318")</f>
        <v>0</v>
      </c>
      <c r="B5745" t="s">
        <v>382</v>
      </c>
      <c r="C5745" t="s">
        <v>8900</v>
      </c>
      <c r="D5745" t="s">
        <v>17474</v>
      </c>
      <c r="E5745" t="s">
        <v>22466</v>
      </c>
      <c r="F5745" t="s">
        <v>30052</v>
      </c>
      <c r="G5745" t="s">
        <v>30059</v>
      </c>
      <c r="H5745" t="s">
        <v>15498</v>
      </c>
      <c r="I5745" t="s">
        <v>30070</v>
      </c>
      <c r="J5745" t="s">
        <v>33822</v>
      </c>
      <c r="K5745" t="s">
        <v>39025</v>
      </c>
      <c r="M5745" t="s">
        <v>39680</v>
      </c>
      <c r="N5745" t="s">
        <v>43166</v>
      </c>
      <c r="O5745" t="s">
        <v>43167</v>
      </c>
      <c r="P5745">
        <v>0</v>
      </c>
      <c r="Q5745">
        <v>0</v>
      </c>
      <c r="R5745" t="s">
        <v>43172</v>
      </c>
      <c r="S5745" t="s">
        <v>43334</v>
      </c>
      <c r="T5745" t="s">
        <v>44969</v>
      </c>
      <c r="U5745" t="s">
        <v>49890</v>
      </c>
      <c r="W5745" t="s">
        <v>39680</v>
      </c>
      <c r="X5745" t="s">
        <v>43173</v>
      </c>
    </row>
    <row r="5746" spans="1:24">
      <c r="A5746">
        <f>HYPERLINK("https://www.philgeps.gov.ph/GEPSNONPILOT/Tender/SplashBidNoticeAbstractUI.aspx?menuIndex=3&amp;refID=7080316&amp;Result=3","7080316")</f>
        <v>0</v>
      </c>
      <c r="B5746" t="s">
        <v>1936</v>
      </c>
      <c r="C5746" t="s">
        <v>8901</v>
      </c>
      <c r="D5746" t="s">
        <v>17448</v>
      </c>
      <c r="E5746" t="s">
        <v>17922</v>
      </c>
      <c r="F5746" t="s">
        <v>30052</v>
      </c>
      <c r="G5746" t="s">
        <v>30058</v>
      </c>
      <c r="H5746" t="s">
        <v>30067</v>
      </c>
      <c r="I5746" t="s">
        <v>3693</v>
      </c>
      <c r="J5746" t="s">
        <v>30281</v>
      </c>
      <c r="K5746" t="s">
        <v>39034</v>
      </c>
      <c r="M5746" t="s">
        <v>41370</v>
      </c>
      <c r="N5746" t="s">
        <v>43166</v>
      </c>
      <c r="O5746" t="s">
        <v>43167</v>
      </c>
      <c r="P5746">
        <v>0</v>
      </c>
      <c r="Q5746">
        <v>1</v>
      </c>
      <c r="R5746" t="s">
        <v>43172</v>
      </c>
      <c r="S5746" t="s">
        <v>43334</v>
      </c>
      <c r="T5746" t="s">
        <v>44737</v>
      </c>
      <c r="U5746" t="s">
        <v>49891</v>
      </c>
      <c r="W5746" t="s">
        <v>41370</v>
      </c>
      <c r="X5746" t="s">
        <v>43173</v>
      </c>
    </row>
    <row r="5747" spans="1:24">
      <c r="A5747">
        <f>HYPERLINK("https://www.philgeps.gov.ph/GEPSNONPILOT/Tender/SplashBidNoticeAbstractUI.aspx?menuIndex=3&amp;refID=7080313&amp;Result=3","7080313")</f>
        <v>0</v>
      </c>
      <c r="B5747" t="s">
        <v>90</v>
      </c>
      <c r="C5747" t="s">
        <v>8902</v>
      </c>
      <c r="D5747" t="s">
        <v>17414</v>
      </c>
      <c r="E5747" t="s">
        <v>22467</v>
      </c>
      <c r="F5747" t="s">
        <v>30052</v>
      </c>
      <c r="G5747" t="s">
        <v>30059</v>
      </c>
      <c r="H5747" t="s">
        <v>15498</v>
      </c>
      <c r="I5747" t="s">
        <v>3736</v>
      </c>
      <c r="J5747" t="s">
        <v>33823</v>
      </c>
      <c r="K5747" t="s">
        <v>39029</v>
      </c>
      <c r="M5747" t="s">
        <v>39379</v>
      </c>
      <c r="N5747" t="s">
        <v>43166</v>
      </c>
      <c r="O5747" t="s">
        <v>43167</v>
      </c>
      <c r="P5747">
        <v>0</v>
      </c>
      <c r="Q5747">
        <v>0</v>
      </c>
      <c r="R5747" t="s">
        <v>43172</v>
      </c>
      <c r="S5747" t="s">
        <v>43334</v>
      </c>
      <c r="T5747" t="s">
        <v>44721</v>
      </c>
      <c r="U5747" t="s">
        <v>49892</v>
      </c>
      <c r="W5747" t="s">
        <v>39379</v>
      </c>
      <c r="X5747" t="s">
        <v>43173</v>
      </c>
    </row>
    <row r="5748" spans="1:24">
      <c r="A5748">
        <f>HYPERLINK("https://www.philgeps.gov.ph/GEPSNONPILOT/Tender/SplashBidNoticeAbstractUI.aspx?menuIndex=3&amp;refID=7080336&amp;Result=3","7080336")</f>
        <v>0</v>
      </c>
      <c r="B5748" t="s">
        <v>443</v>
      </c>
      <c r="C5748" t="s">
        <v>8903</v>
      </c>
      <c r="D5748" t="s">
        <v>17425</v>
      </c>
      <c r="E5748" t="s">
        <v>22468</v>
      </c>
      <c r="F5748" t="s">
        <v>30052</v>
      </c>
      <c r="G5748" t="s">
        <v>30059</v>
      </c>
      <c r="H5748" t="s">
        <v>15498</v>
      </c>
      <c r="I5748" t="s">
        <v>3736</v>
      </c>
      <c r="J5748" t="s">
        <v>33824</v>
      </c>
      <c r="K5748" t="s">
        <v>39017</v>
      </c>
      <c r="M5748" t="s">
        <v>39743</v>
      </c>
      <c r="N5748" t="s">
        <v>43166</v>
      </c>
      <c r="O5748" t="s">
        <v>43167</v>
      </c>
      <c r="P5748">
        <v>0</v>
      </c>
      <c r="Q5748">
        <v>0</v>
      </c>
      <c r="R5748" t="s">
        <v>43172</v>
      </c>
      <c r="S5748" t="s">
        <v>43334</v>
      </c>
      <c r="T5748" t="s">
        <v>44832</v>
      </c>
      <c r="U5748" t="s">
        <v>49893</v>
      </c>
      <c r="W5748" t="s">
        <v>39743</v>
      </c>
      <c r="X5748" t="s">
        <v>43173</v>
      </c>
    </row>
    <row r="5749" spans="1:24">
      <c r="A5749">
        <f>HYPERLINK("https://www.philgeps.gov.ph/GEPSNONPILOT/Tender/SplashBidNoticeAbstractUI.aspx?menuIndex=3&amp;refID=7080304&amp;Result=3","7080304")</f>
        <v>0</v>
      </c>
      <c r="B5749" t="s">
        <v>1799</v>
      </c>
      <c r="C5749" t="s">
        <v>8904</v>
      </c>
      <c r="D5749" t="s">
        <v>17494</v>
      </c>
      <c r="E5749" t="s">
        <v>21262</v>
      </c>
      <c r="F5749" t="s">
        <v>30052</v>
      </c>
      <c r="G5749" t="s">
        <v>30058</v>
      </c>
      <c r="H5749" t="s">
        <v>15498</v>
      </c>
      <c r="I5749" t="s">
        <v>3736</v>
      </c>
      <c r="J5749" t="s">
        <v>33825</v>
      </c>
      <c r="K5749" t="s">
        <v>39019</v>
      </c>
      <c r="M5749" t="s">
        <v>41222</v>
      </c>
      <c r="N5749" t="s">
        <v>43166</v>
      </c>
      <c r="O5749" t="s">
        <v>43167</v>
      </c>
      <c r="P5749">
        <v>0</v>
      </c>
      <c r="Q5749">
        <v>0</v>
      </c>
      <c r="R5749" t="s">
        <v>43172</v>
      </c>
      <c r="S5749" t="s">
        <v>43334</v>
      </c>
      <c r="T5749" t="s">
        <v>44708</v>
      </c>
      <c r="U5749" t="s">
        <v>49894</v>
      </c>
      <c r="W5749" t="s">
        <v>41222</v>
      </c>
      <c r="X5749" t="s">
        <v>43173</v>
      </c>
    </row>
    <row r="5750" spans="1:24">
      <c r="A5750">
        <f>HYPERLINK("https://www.philgeps.gov.ph/GEPSNONPILOT/Tender/SplashBidNoticeAbstractUI.aspx?menuIndex=3&amp;refID=7080367&amp;Result=3","7080367")</f>
        <v>0</v>
      </c>
      <c r="B5750" t="s">
        <v>743</v>
      </c>
      <c r="C5750" t="s">
        <v>8905</v>
      </c>
      <c r="D5750" t="s">
        <v>17458</v>
      </c>
      <c r="E5750" t="s">
        <v>22469</v>
      </c>
      <c r="F5750" t="s">
        <v>30052</v>
      </c>
      <c r="G5750" t="s">
        <v>30061</v>
      </c>
      <c r="H5750" t="s">
        <v>15498</v>
      </c>
      <c r="I5750" t="s">
        <v>30125</v>
      </c>
      <c r="J5750" t="s">
        <v>30230</v>
      </c>
      <c r="K5750" t="s">
        <v>39029</v>
      </c>
      <c r="M5750" t="s">
        <v>40057</v>
      </c>
      <c r="N5750" t="s">
        <v>43166</v>
      </c>
      <c r="O5750" t="s">
        <v>43167</v>
      </c>
      <c r="Q5750">
        <v>7</v>
      </c>
      <c r="R5750" t="s">
        <v>43172</v>
      </c>
      <c r="S5750" t="s">
        <v>43348</v>
      </c>
      <c r="T5750" t="s">
        <v>44691</v>
      </c>
      <c r="U5750" t="s">
        <v>46613</v>
      </c>
      <c r="W5750" t="s">
        <v>40057</v>
      </c>
      <c r="X5750" t="s">
        <v>43173</v>
      </c>
    </row>
    <row r="5751" spans="1:24">
      <c r="A5751">
        <f>HYPERLINK("https://www.philgeps.gov.ph/GEPSNONPILOT/Tender/SplashBidNoticeAbstractUI.aspx?menuIndex=3&amp;refID=7080326&amp;Result=3","7080326")</f>
        <v>0</v>
      </c>
      <c r="B5751" t="s">
        <v>743</v>
      </c>
      <c r="C5751" t="s">
        <v>8906</v>
      </c>
      <c r="D5751" t="s">
        <v>17458</v>
      </c>
      <c r="E5751" t="s">
        <v>22470</v>
      </c>
      <c r="F5751" t="s">
        <v>30052</v>
      </c>
      <c r="G5751" t="s">
        <v>30061</v>
      </c>
      <c r="H5751" t="s">
        <v>15498</v>
      </c>
      <c r="I5751" t="s">
        <v>30097</v>
      </c>
      <c r="J5751" t="s">
        <v>30743</v>
      </c>
      <c r="K5751" t="s">
        <v>39029</v>
      </c>
      <c r="M5751" t="s">
        <v>40057</v>
      </c>
      <c r="N5751" t="s">
        <v>43166</v>
      </c>
      <c r="O5751" t="s">
        <v>43167</v>
      </c>
      <c r="Q5751">
        <v>6</v>
      </c>
      <c r="R5751" t="s">
        <v>43172</v>
      </c>
      <c r="S5751" t="s">
        <v>43349</v>
      </c>
      <c r="T5751" t="s">
        <v>44691</v>
      </c>
      <c r="U5751" t="s">
        <v>46613</v>
      </c>
      <c r="W5751" t="s">
        <v>40057</v>
      </c>
      <c r="X5751" t="s">
        <v>43173</v>
      </c>
    </row>
    <row r="5752" spans="1:24">
      <c r="A5752">
        <f>HYPERLINK("https://www.philgeps.gov.ph/GEPSNONPILOT/Tender/SplashBidNoticeAbstractUI.aspx?menuIndex=3&amp;refID=7080365&amp;Result=3","7080365")</f>
        <v>0</v>
      </c>
      <c r="B5752" t="s">
        <v>1937</v>
      </c>
      <c r="C5752" t="s">
        <v>8907</v>
      </c>
      <c r="D5752" t="s">
        <v>17413</v>
      </c>
      <c r="E5752" t="s">
        <v>22471</v>
      </c>
      <c r="F5752" t="s">
        <v>30052</v>
      </c>
      <c r="G5752" t="s">
        <v>30058</v>
      </c>
      <c r="H5752" t="s">
        <v>15498</v>
      </c>
      <c r="I5752" t="s">
        <v>4650</v>
      </c>
      <c r="J5752" t="s">
        <v>33826</v>
      </c>
      <c r="K5752" t="s">
        <v>39031</v>
      </c>
      <c r="M5752" t="s">
        <v>41371</v>
      </c>
      <c r="N5752" t="s">
        <v>43166</v>
      </c>
      <c r="O5752" t="s">
        <v>43167</v>
      </c>
      <c r="Q5752">
        <v>3</v>
      </c>
      <c r="R5752" t="s">
        <v>43172</v>
      </c>
      <c r="S5752" t="s">
        <v>43350</v>
      </c>
      <c r="T5752" t="s">
        <v>44806</v>
      </c>
      <c r="U5752" t="s">
        <v>49895</v>
      </c>
      <c r="W5752" t="s">
        <v>41371</v>
      </c>
      <c r="X5752" t="s">
        <v>43173</v>
      </c>
    </row>
    <row r="5753" spans="1:24">
      <c r="A5753">
        <f>HYPERLINK("https://www.philgeps.gov.ph/GEPSNONPILOT/Tender/SplashBidNoticeAbstractUI.aspx?menuIndex=3&amp;refID=7080284&amp;Result=3","7080284")</f>
        <v>0</v>
      </c>
      <c r="B5753" t="s">
        <v>1938</v>
      </c>
      <c r="C5753" t="s">
        <v>8908</v>
      </c>
      <c r="D5753" t="s">
        <v>17422</v>
      </c>
      <c r="E5753" t="s">
        <v>22472</v>
      </c>
      <c r="F5753" t="s">
        <v>30052</v>
      </c>
      <c r="G5753" t="s">
        <v>30059</v>
      </c>
      <c r="H5753" t="s">
        <v>15498</v>
      </c>
      <c r="I5753" t="s">
        <v>3736</v>
      </c>
      <c r="J5753" t="s">
        <v>33827</v>
      </c>
      <c r="K5753" t="s">
        <v>39034</v>
      </c>
      <c r="M5753" t="s">
        <v>41372</v>
      </c>
      <c r="N5753" t="s">
        <v>43166</v>
      </c>
      <c r="O5753" t="s">
        <v>43167</v>
      </c>
      <c r="P5753">
        <v>0</v>
      </c>
      <c r="Q5753">
        <v>1</v>
      </c>
      <c r="R5753" t="s">
        <v>43172</v>
      </c>
      <c r="S5753" t="s">
        <v>43334</v>
      </c>
      <c r="T5753" t="s">
        <v>44691</v>
      </c>
      <c r="U5753" t="s">
        <v>49896</v>
      </c>
      <c r="W5753" t="s">
        <v>41372</v>
      </c>
      <c r="X5753" t="s">
        <v>43173</v>
      </c>
    </row>
    <row r="5754" spans="1:24">
      <c r="A5754">
        <f>HYPERLINK("https://www.philgeps.gov.ph/GEPSNONPILOT/Tender/SplashBidNoticeAbstractUI.aspx?menuIndex=3&amp;refID=7080359&amp;Result=3","7080359")</f>
        <v>0</v>
      </c>
      <c r="B5754" t="s">
        <v>1862</v>
      </c>
      <c r="C5754" t="s">
        <v>8909</v>
      </c>
      <c r="D5754" t="s">
        <v>17471</v>
      </c>
      <c r="E5754" t="s">
        <v>22473</v>
      </c>
      <c r="F5754" t="s">
        <v>30052</v>
      </c>
      <c r="G5754" t="s">
        <v>30059</v>
      </c>
      <c r="H5754" t="s">
        <v>15498</v>
      </c>
      <c r="I5754" t="s">
        <v>3736</v>
      </c>
      <c r="J5754" t="s">
        <v>33828</v>
      </c>
      <c r="K5754" t="s">
        <v>39034</v>
      </c>
      <c r="M5754" t="s">
        <v>41290</v>
      </c>
      <c r="N5754" t="s">
        <v>43166</v>
      </c>
      <c r="O5754" t="s">
        <v>43167</v>
      </c>
      <c r="P5754">
        <v>0</v>
      </c>
      <c r="Q5754">
        <v>0</v>
      </c>
      <c r="R5754" t="s">
        <v>43172</v>
      </c>
      <c r="S5754" t="s">
        <v>43334</v>
      </c>
      <c r="T5754" t="s">
        <v>44843</v>
      </c>
      <c r="U5754" t="s">
        <v>49897</v>
      </c>
      <c r="W5754" t="s">
        <v>41290</v>
      </c>
      <c r="X5754" t="s">
        <v>43173</v>
      </c>
    </row>
    <row r="5755" spans="1:24">
      <c r="A5755">
        <f>HYPERLINK("https://www.philgeps.gov.ph/GEPSNONPILOT/Tender/SplashBidNoticeAbstractUI.aspx?menuIndex=3&amp;refID=7080306&amp;Result=3","7080306")</f>
        <v>0</v>
      </c>
      <c r="B5755" t="s">
        <v>1576</v>
      </c>
      <c r="C5755" t="s">
        <v>3852</v>
      </c>
      <c r="D5755" t="s">
        <v>17415</v>
      </c>
      <c r="E5755" t="s">
        <v>22474</v>
      </c>
      <c r="F5755" t="s">
        <v>30052</v>
      </c>
      <c r="G5755" t="s">
        <v>30059</v>
      </c>
      <c r="H5755" t="s">
        <v>15498</v>
      </c>
      <c r="I5755" t="s">
        <v>3852</v>
      </c>
      <c r="J5755" t="s">
        <v>33829</v>
      </c>
      <c r="K5755" t="s">
        <v>39025</v>
      </c>
      <c r="M5755" t="s">
        <v>40969</v>
      </c>
      <c r="N5755" t="s">
        <v>43166</v>
      </c>
      <c r="O5755" t="s">
        <v>43167</v>
      </c>
      <c r="P5755">
        <v>0</v>
      </c>
      <c r="Q5755">
        <v>5</v>
      </c>
      <c r="R5755" t="s">
        <v>43172</v>
      </c>
      <c r="S5755" t="s">
        <v>43334</v>
      </c>
      <c r="T5755" t="s">
        <v>44888</v>
      </c>
      <c r="U5755" t="s">
        <v>49898</v>
      </c>
      <c r="V5755" t="s">
        <v>56845</v>
      </c>
      <c r="W5755" t="s">
        <v>40969</v>
      </c>
      <c r="X5755" t="s">
        <v>43173</v>
      </c>
    </row>
    <row r="5756" spans="1:24">
      <c r="A5756">
        <f>HYPERLINK("https://www.philgeps.gov.ph/GEPSNONPILOT/Tender/SplashBidNoticeAbstractUI.aspx?menuIndex=3&amp;refID=7080310&amp;Result=3","7080310")</f>
        <v>0</v>
      </c>
      <c r="B5756" t="s">
        <v>1939</v>
      </c>
      <c r="C5756" t="s">
        <v>8910</v>
      </c>
      <c r="D5756" t="s">
        <v>17441</v>
      </c>
      <c r="E5756" t="s">
        <v>22475</v>
      </c>
      <c r="F5756" t="s">
        <v>30052</v>
      </c>
      <c r="G5756" t="s">
        <v>30058</v>
      </c>
      <c r="H5756" t="s">
        <v>30067</v>
      </c>
      <c r="I5756" t="s">
        <v>3693</v>
      </c>
      <c r="J5756" t="s">
        <v>33830</v>
      </c>
      <c r="K5756" t="s">
        <v>39025</v>
      </c>
      <c r="M5756" t="s">
        <v>41373</v>
      </c>
      <c r="N5756" t="s">
        <v>43166</v>
      </c>
      <c r="O5756" t="s">
        <v>43167</v>
      </c>
      <c r="P5756">
        <v>0</v>
      </c>
      <c r="Q5756">
        <v>2</v>
      </c>
      <c r="R5756" t="s">
        <v>43172</v>
      </c>
      <c r="S5756" t="s">
        <v>43334</v>
      </c>
      <c r="T5756" t="s">
        <v>44691</v>
      </c>
      <c r="U5756" t="s">
        <v>49899</v>
      </c>
      <c r="V5756" t="s">
        <v>57445</v>
      </c>
      <c r="W5756" t="s">
        <v>41373</v>
      </c>
      <c r="X5756" t="s">
        <v>43173</v>
      </c>
    </row>
    <row r="5757" spans="1:24">
      <c r="A5757">
        <f>HYPERLINK("https://www.philgeps.gov.ph/GEPSNONPILOT/Tender/SplashBidNoticeAbstractUI.aspx?menuIndex=3&amp;refID=7080358&amp;Result=3","7080358")</f>
        <v>0</v>
      </c>
      <c r="B5757" t="s">
        <v>443</v>
      </c>
      <c r="C5757" t="s">
        <v>8911</v>
      </c>
      <c r="D5757" t="s">
        <v>17425</v>
      </c>
      <c r="E5757" t="s">
        <v>22476</v>
      </c>
      <c r="F5757" t="s">
        <v>30052</v>
      </c>
      <c r="G5757" t="s">
        <v>30059</v>
      </c>
      <c r="H5757" t="s">
        <v>15498</v>
      </c>
      <c r="I5757" t="s">
        <v>3736</v>
      </c>
      <c r="J5757" t="s">
        <v>33831</v>
      </c>
      <c r="K5757" t="s">
        <v>39017</v>
      </c>
      <c r="M5757" t="s">
        <v>39743</v>
      </c>
      <c r="N5757" t="s">
        <v>43166</v>
      </c>
      <c r="O5757" t="s">
        <v>43167</v>
      </c>
      <c r="P5757">
        <v>0</v>
      </c>
      <c r="Q5757">
        <v>0</v>
      </c>
      <c r="R5757" t="s">
        <v>43172</v>
      </c>
      <c r="S5757" t="s">
        <v>43334</v>
      </c>
      <c r="T5757" t="s">
        <v>44832</v>
      </c>
      <c r="U5757" t="s">
        <v>49900</v>
      </c>
      <c r="W5757" t="s">
        <v>39743</v>
      </c>
      <c r="X5757" t="s">
        <v>43173</v>
      </c>
    </row>
    <row r="5758" spans="1:24">
      <c r="A5758">
        <f>HYPERLINK("https://www.philgeps.gov.ph/GEPSNONPILOT/Tender/SplashBidNoticeAbstractUI.aspx?menuIndex=3&amp;refID=7080362&amp;Result=3","7080362")</f>
        <v>0</v>
      </c>
      <c r="B5758" t="s">
        <v>1889</v>
      </c>
      <c r="C5758" t="s">
        <v>8709</v>
      </c>
      <c r="D5758" t="s">
        <v>17465</v>
      </c>
      <c r="E5758" t="s">
        <v>22477</v>
      </c>
      <c r="F5758" t="s">
        <v>30052</v>
      </c>
      <c r="G5758" t="s">
        <v>30061</v>
      </c>
      <c r="H5758" t="s">
        <v>15498</v>
      </c>
      <c r="I5758" t="s">
        <v>30070</v>
      </c>
      <c r="J5758" t="s">
        <v>33832</v>
      </c>
      <c r="K5758" t="s">
        <v>39025</v>
      </c>
      <c r="M5758" t="s">
        <v>41320</v>
      </c>
      <c r="N5758" t="s">
        <v>43166</v>
      </c>
      <c r="O5758" t="s">
        <v>43167</v>
      </c>
      <c r="P5758">
        <v>0</v>
      </c>
      <c r="Q5758">
        <v>2</v>
      </c>
      <c r="R5758" t="s">
        <v>43172</v>
      </c>
      <c r="S5758" t="s">
        <v>43334</v>
      </c>
      <c r="T5758" t="s">
        <v>44715</v>
      </c>
      <c r="U5758" t="s">
        <v>49901</v>
      </c>
      <c r="W5758" t="s">
        <v>41320</v>
      </c>
      <c r="X5758" t="s">
        <v>43173</v>
      </c>
    </row>
    <row r="5759" spans="1:24">
      <c r="A5759">
        <f>HYPERLINK("https://www.philgeps.gov.ph/GEPSNONPILOT/Tender/SplashBidNoticeAbstractUI.aspx?menuIndex=3&amp;refID=7080349&amp;Result=3","7080349")</f>
        <v>0</v>
      </c>
      <c r="B5759" t="s">
        <v>856</v>
      </c>
      <c r="C5759" t="s">
        <v>8912</v>
      </c>
      <c r="D5759" t="s">
        <v>17415</v>
      </c>
      <c r="E5759" t="s">
        <v>22478</v>
      </c>
      <c r="F5759" t="s">
        <v>30052</v>
      </c>
      <c r="G5759" t="s">
        <v>30058</v>
      </c>
      <c r="H5759" t="s">
        <v>30067</v>
      </c>
      <c r="I5759" t="s">
        <v>3693</v>
      </c>
      <c r="J5759" t="s">
        <v>33833</v>
      </c>
      <c r="K5759" t="s">
        <v>39022</v>
      </c>
      <c r="M5759" t="s">
        <v>41374</v>
      </c>
      <c r="N5759" t="s">
        <v>43166</v>
      </c>
      <c r="O5759" t="s">
        <v>43167</v>
      </c>
      <c r="P5759">
        <v>0</v>
      </c>
      <c r="Q5759">
        <v>1</v>
      </c>
      <c r="R5759" t="s">
        <v>43172</v>
      </c>
      <c r="S5759" t="s">
        <v>43334</v>
      </c>
      <c r="T5759" t="s">
        <v>44757</v>
      </c>
      <c r="U5759" t="s">
        <v>49902</v>
      </c>
      <c r="W5759" t="s">
        <v>41374</v>
      </c>
      <c r="X5759" t="s">
        <v>43173</v>
      </c>
    </row>
    <row r="5760" spans="1:24">
      <c r="A5760">
        <f>HYPERLINK("https://www.philgeps.gov.ph/GEPSNONPILOT/Tender/SplashBidNoticeAbstractUI.aspx?menuIndex=3&amp;refID=7080363&amp;Result=3","7080363")</f>
        <v>0</v>
      </c>
      <c r="B5760" t="s">
        <v>679</v>
      </c>
      <c r="C5760" t="s">
        <v>8913</v>
      </c>
      <c r="D5760" t="s">
        <v>17419</v>
      </c>
      <c r="E5760" t="s">
        <v>22479</v>
      </c>
      <c r="F5760" t="s">
        <v>30052</v>
      </c>
      <c r="G5760" t="s">
        <v>30058</v>
      </c>
      <c r="H5760" t="s">
        <v>15498</v>
      </c>
      <c r="I5760" t="s">
        <v>30083</v>
      </c>
      <c r="J5760" t="s">
        <v>33834</v>
      </c>
      <c r="K5760" t="s">
        <v>39034</v>
      </c>
      <c r="M5760" t="s">
        <v>39985</v>
      </c>
      <c r="N5760" t="s">
        <v>43166</v>
      </c>
      <c r="O5760" t="s">
        <v>43167</v>
      </c>
      <c r="P5760">
        <v>0</v>
      </c>
      <c r="Q5760">
        <v>0</v>
      </c>
      <c r="R5760" t="s">
        <v>43172</v>
      </c>
      <c r="S5760" t="s">
        <v>43334</v>
      </c>
      <c r="T5760" t="s">
        <v>44698</v>
      </c>
      <c r="U5760" t="s">
        <v>49903</v>
      </c>
      <c r="W5760" t="s">
        <v>39985</v>
      </c>
      <c r="X5760" t="s">
        <v>43173</v>
      </c>
    </row>
    <row r="5761" spans="1:24">
      <c r="A5761">
        <f>HYPERLINK("https://www.philgeps.gov.ph/GEPSNONPILOT/Tender/SplashBidNoticeAbstractUI.aspx?menuIndex=3&amp;refID=7080348&amp;Result=3","7080348")</f>
        <v>0</v>
      </c>
      <c r="B5761" t="s">
        <v>382</v>
      </c>
      <c r="C5761" t="s">
        <v>8914</v>
      </c>
      <c r="D5761" t="s">
        <v>17474</v>
      </c>
      <c r="E5761" t="s">
        <v>22480</v>
      </c>
      <c r="F5761" t="s">
        <v>30052</v>
      </c>
      <c r="G5761" t="s">
        <v>30059</v>
      </c>
      <c r="H5761" t="s">
        <v>15498</v>
      </c>
      <c r="I5761" t="s">
        <v>30076</v>
      </c>
      <c r="J5761" t="s">
        <v>33835</v>
      </c>
      <c r="K5761" t="s">
        <v>39025</v>
      </c>
      <c r="M5761" t="s">
        <v>39680</v>
      </c>
      <c r="N5761" t="s">
        <v>43166</v>
      </c>
      <c r="O5761" t="s">
        <v>43167</v>
      </c>
      <c r="P5761">
        <v>0</v>
      </c>
      <c r="Q5761">
        <v>0</v>
      </c>
      <c r="R5761" t="s">
        <v>43172</v>
      </c>
      <c r="S5761" t="s">
        <v>43334</v>
      </c>
      <c r="T5761" t="s">
        <v>44969</v>
      </c>
      <c r="U5761" t="s">
        <v>49890</v>
      </c>
      <c r="W5761" t="s">
        <v>39680</v>
      </c>
      <c r="X5761" t="s">
        <v>43173</v>
      </c>
    </row>
    <row r="5762" spans="1:24">
      <c r="A5762">
        <f>HYPERLINK("https://www.philgeps.gov.ph/GEPSNONPILOT/Tender/SplashBidNoticeAbstractUI.aspx?menuIndex=3&amp;refID=7080346&amp;Result=3","7080346")</f>
        <v>0</v>
      </c>
      <c r="B5762" t="s">
        <v>1898</v>
      </c>
      <c r="C5762" t="s">
        <v>8915</v>
      </c>
      <c r="D5762" t="s">
        <v>17415</v>
      </c>
      <c r="E5762" t="s">
        <v>22481</v>
      </c>
      <c r="F5762" t="s">
        <v>30052</v>
      </c>
      <c r="G5762" t="s">
        <v>30058</v>
      </c>
      <c r="H5762" t="s">
        <v>15498</v>
      </c>
      <c r="I5762" t="s">
        <v>6304</v>
      </c>
      <c r="J5762" t="s">
        <v>33836</v>
      </c>
      <c r="K5762" t="s">
        <v>39029</v>
      </c>
      <c r="M5762" t="s">
        <v>41329</v>
      </c>
      <c r="N5762" t="s">
        <v>43166</v>
      </c>
      <c r="O5762" t="s">
        <v>43167</v>
      </c>
      <c r="P5762">
        <v>0</v>
      </c>
      <c r="Q5762">
        <v>0</v>
      </c>
      <c r="R5762" t="s">
        <v>43172</v>
      </c>
      <c r="S5762" t="s">
        <v>43334</v>
      </c>
      <c r="T5762" t="s">
        <v>44710</v>
      </c>
      <c r="U5762" t="s">
        <v>49904</v>
      </c>
      <c r="W5762" t="s">
        <v>41329</v>
      </c>
      <c r="X5762" t="s">
        <v>43173</v>
      </c>
    </row>
    <row r="5763" spans="1:24">
      <c r="A5763">
        <f>HYPERLINK("https://www.philgeps.gov.ph/GEPSNONPILOT/Tender/SplashBidNoticeAbstractUI.aspx?menuIndex=3&amp;refID=7080353&amp;Result=3","7080353")</f>
        <v>0</v>
      </c>
      <c r="B5763" t="s">
        <v>743</v>
      </c>
      <c r="C5763" t="s">
        <v>8916</v>
      </c>
      <c r="D5763" t="s">
        <v>17458</v>
      </c>
      <c r="E5763" t="s">
        <v>22482</v>
      </c>
      <c r="F5763" t="s">
        <v>30052</v>
      </c>
      <c r="G5763" t="s">
        <v>30061</v>
      </c>
      <c r="H5763" t="s">
        <v>15498</v>
      </c>
      <c r="I5763" t="s">
        <v>30124</v>
      </c>
      <c r="J5763" t="s">
        <v>30439</v>
      </c>
      <c r="K5763" t="s">
        <v>39046</v>
      </c>
      <c r="M5763" t="s">
        <v>40057</v>
      </c>
      <c r="N5763" t="s">
        <v>43166</v>
      </c>
      <c r="O5763" t="s">
        <v>43167</v>
      </c>
      <c r="Q5763">
        <v>5</v>
      </c>
      <c r="R5763" t="s">
        <v>43172</v>
      </c>
      <c r="S5763" t="s">
        <v>43351</v>
      </c>
      <c r="T5763" t="s">
        <v>44691</v>
      </c>
      <c r="U5763" t="s">
        <v>46613</v>
      </c>
      <c r="W5763" t="s">
        <v>40057</v>
      </c>
      <c r="X5763" t="s">
        <v>43173</v>
      </c>
    </row>
    <row r="5764" spans="1:24">
      <c r="A5764">
        <f>HYPERLINK("https://www.philgeps.gov.ph/GEPSNONPILOT/Tender/SplashBidNoticeAbstractUI.aspx?menuIndex=3&amp;refID=7080340&amp;Result=3","7080340")</f>
        <v>0</v>
      </c>
      <c r="B5764" t="s">
        <v>1576</v>
      </c>
      <c r="C5764" t="s">
        <v>8917</v>
      </c>
      <c r="D5764" t="s">
        <v>17435</v>
      </c>
      <c r="E5764" t="s">
        <v>22483</v>
      </c>
      <c r="F5764" t="s">
        <v>30052</v>
      </c>
      <c r="G5764" t="s">
        <v>30059</v>
      </c>
      <c r="H5764" t="s">
        <v>15498</v>
      </c>
      <c r="I5764" t="s">
        <v>30094</v>
      </c>
      <c r="J5764" t="s">
        <v>30230</v>
      </c>
      <c r="K5764" t="s">
        <v>39025</v>
      </c>
      <c r="M5764" t="s">
        <v>41215</v>
      </c>
      <c r="N5764" t="s">
        <v>43166</v>
      </c>
      <c r="O5764" t="s">
        <v>43167</v>
      </c>
      <c r="Q5764">
        <v>1</v>
      </c>
      <c r="R5764" t="s">
        <v>43172</v>
      </c>
      <c r="S5764" t="s">
        <v>43352</v>
      </c>
      <c r="T5764" t="s">
        <v>44894</v>
      </c>
      <c r="U5764" t="s">
        <v>49905</v>
      </c>
      <c r="V5764" t="s">
        <v>57446</v>
      </c>
      <c r="W5764" t="s">
        <v>41215</v>
      </c>
      <c r="X5764" t="s">
        <v>43173</v>
      </c>
    </row>
    <row r="5765" spans="1:24">
      <c r="A5765">
        <f>HYPERLINK("https://www.philgeps.gov.ph/GEPSNONPILOT/Tender/SplashBidNoticeAbstractUI.aspx?menuIndex=3&amp;refID=7080337&amp;Result=3","7080337")</f>
        <v>0</v>
      </c>
      <c r="B5765" t="s">
        <v>1890</v>
      </c>
      <c r="C5765" t="s">
        <v>8918</v>
      </c>
      <c r="D5765" t="s">
        <v>17422</v>
      </c>
      <c r="E5765" t="s">
        <v>18200</v>
      </c>
      <c r="F5765" t="s">
        <v>30052</v>
      </c>
      <c r="G5765" t="s">
        <v>30058</v>
      </c>
      <c r="H5765" t="s">
        <v>15498</v>
      </c>
      <c r="I5765" t="s">
        <v>3736</v>
      </c>
      <c r="J5765" t="s">
        <v>30612</v>
      </c>
      <c r="K5765" t="s">
        <v>39034</v>
      </c>
      <c r="M5765" t="s">
        <v>41321</v>
      </c>
      <c r="N5765" t="s">
        <v>43166</v>
      </c>
      <c r="O5765" t="s">
        <v>43167</v>
      </c>
      <c r="P5765">
        <v>0</v>
      </c>
      <c r="Q5765">
        <v>0</v>
      </c>
      <c r="R5765" t="s">
        <v>43172</v>
      </c>
      <c r="S5765" t="s">
        <v>43334</v>
      </c>
      <c r="T5765" t="s">
        <v>44685</v>
      </c>
      <c r="U5765" t="s">
        <v>49906</v>
      </c>
      <c r="V5765" t="s">
        <v>57447</v>
      </c>
      <c r="W5765" t="s">
        <v>41321</v>
      </c>
      <c r="X5765" t="s">
        <v>43173</v>
      </c>
    </row>
    <row r="5766" spans="1:24">
      <c r="A5766">
        <f>HYPERLINK("https://www.philgeps.gov.ph/GEPSNONPILOT/Tender/SplashBidNoticeAbstractUI.aspx?menuIndex=3&amp;refID=7080351&amp;Result=3","7080351")</f>
        <v>0</v>
      </c>
      <c r="B5766" t="s">
        <v>1572</v>
      </c>
      <c r="C5766" t="s">
        <v>8818</v>
      </c>
      <c r="D5766" t="s">
        <v>17476</v>
      </c>
      <c r="E5766" t="s">
        <v>19555</v>
      </c>
      <c r="F5766" t="s">
        <v>30052</v>
      </c>
      <c r="G5766" t="s">
        <v>30061</v>
      </c>
      <c r="H5766" t="s">
        <v>15498</v>
      </c>
      <c r="I5766" t="s">
        <v>30076</v>
      </c>
      <c r="J5766" t="s">
        <v>30530</v>
      </c>
      <c r="K5766" t="s">
        <v>39036</v>
      </c>
      <c r="M5766" t="s">
        <v>40963</v>
      </c>
      <c r="N5766" t="s">
        <v>43166</v>
      </c>
      <c r="O5766" t="s">
        <v>43167</v>
      </c>
      <c r="P5766">
        <v>0</v>
      </c>
      <c r="Q5766">
        <v>1</v>
      </c>
      <c r="R5766" t="s">
        <v>43172</v>
      </c>
      <c r="S5766" t="s">
        <v>43334</v>
      </c>
      <c r="T5766" t="s">
        <v>44737</v>
      </c>
      <c r="U5766" t="s">
        <v>49820</v>
      </c>
      <c r="W5766" t="s">
        <v>40963</v>
      </c>
      <c r="X5766" t="s">
        <v>43173</v>
      </c>
    </row>
    <row r="5767" spans="1:24">
      <c r="A5767">
        <f>HYPERLINK("https://www.philgeps.gov.ph/GEPSNONPILOT/Tender/SplashBidNoticeAbstractUI.aspx?menuIndex=3&amp;refID=7080360&amp;Result=3","7080360")</f>
        <v>0</v>
      </c>
      <c r="B5767" t="s">
        <v>1900</v>
      </c>
      <c r="C5767" t="s">
        <v>8919</v>
      </c>
      <c r="D5767" t="s">
        <v>17486</v>
      </c>
      <c r="E5767" t="s">
        <v>22484</v>
      </c>
      <c r="F5767" t="s">
        <v>30052</v>
      </c>
      <c r="G5767" t="s">
        <v>30058</v>
      </c>
      <c r="H5767" t="s">
        <v>30069</v>
      </c>
      <c r="I5767" t="s">
        <v>7228</v>
      </c>
      <c r="J5767" t="s">
        <v>33837</v>
      </c>
      <c r="K5767" t="s">
        <v>39031</v>
      </c>
      <c r="M5767" t="s">
        <v>41331</v>
      </c>
      <c r="N5767" t="s">
        <v>43166</v>
      </c>
      <c r="O5767" t="s">
        <v>43167</v>
      </c>
      <c r="P5767">
        <v>0</v>
      </c>
      <c r="Q5767">
        <v>0</v>
      </c>
      <c r="R5767" t="s">
        <v>43172</v>
      </c>
      <c r="S5767" t="s">
        <v>43334</v>
      </c>
      <c r="T5767" t="s">
        <v>44703</v>
      </c>
      <c r="U5767" t="s">
        <v>49757</v>
      </c>
      <c r="W5767" t="s">
        <v>41331</v>
      </c>
      <c r="X5767" t="s">
        <v>43173</v>
      </c>
    </row>
    <row r="5768" spans="1:24">
      <c r="A5768">
        <f>HYPERLINK("https://www.philgeps.gov.ph/GEPSNONPILOT/Tender/SplashBidNoticeAbstractUI.aspx?menuIndex=3&amp;refID=7080397&amp;Result=3","7080397")</f>
        <v>0</v>
      </c>
      <c r="B5768" t="s">
        <v>1533</v>
      </c>
      <c r="C5768" t="s">
        <v>8920</v>
      </c>
      <c r="D5768" t="s">
        <v>17463</v>
      </c>
      <c r="E5768" t="s">
        <v>22485</v>
      </c>
      <c r="F5768" t="s">
        <v>30052</v>
      </c>
      <c r="G5768" t="s">
        <v>30059</v>
      </c>
      <c r="H5768" t="s">
        <v>15498</v>
      </c>
      <c r="I5768" t="s">
        <v>4650</v>
      </c>
      <c r="J5768" t="s">
        <v>33838</v>
      </c>
      <c r="K5768" t="s">
        <v>39017</v>
      </c>
      <c r="M5768" t="s">
        <v>40919</v>
      </c>
      <c r="N5768" t="s">
        <v>43166</v>
      </c>
      <c r="O5768" t="s">
        <v>43167</v>
      </c>
      <c r="P5768">
        <v>0</v>
      </c>
      <c r="Q5768">
        <v>1</v>
      </c>
      <c r="R5768" t="s">
        <v>43172</v>
      </c>
      <c r="S5768" t="s">
        <v>43334</v>
      </c>
      <c r="T5768" t="s">
        <v>44687</v>
      </c>
      <c r="U5768" t="s">
        <v>49907</v>
      </c>
      <c r="W5768" t="s">
        <v>40919</v>
      </c>
      <c r="X5768" t="s">
        <v>43173</v>
      </c>
    </row>
    <row r="5769" spans="1:24">
      <c r="A5769">
        <f>HYPERLINK("https://www.philgeps.gov.ph/GEPSNONPILOT/Tender/SplashBidNoticeAbstractUI.aspx?menuIndex=3&amp;refID=7080395&amp;Result=3","7080395")</f>
        <v>0</v>
      </c>
      <c r="B5769" t="s">
        <v>1940</v>
      </c>
      <c r="C5769" t="s">
        <v>8921</v>
      </c>
      <c r="D5769" t="s">
        <v>17427</v>
      </c>
      <c r="E5769" t="s">
        <v>22486</v>
      </c>
      <c r="F5769" t="s">
        <v>30052</v>
      </c>
      <c r="G5769" t="s">
        <v>30058</v>
      </c>
      <c r="H5769" t="s">
        <v>30067</v>
      </c>
      <c r="I5769" t="s">
        <v>3693</v>
      </c>
      <c r="J5769" t="s">
        <v>33839</v>
      </c>
      <c r="K5769" t="s">
        <v>39025</v>
      </c>
      <c r="M5769" t="s">
        <v>41375</v>
      </c>
      <c r="N5769" t="s">
        <v>43166</v>
      </c>
      <c r="O5769" t="s">
        <v>43167</v>
      </c>
      <c r="P5769">
        <v>0</v>
      </c>
      <c r="Q5769">
        <v>0</v>
      </c>
      <c r="R5769" t="s">
        <v>43172</v>
      </c>
      <c r="S5769" t="s">
        <v>43334</v>
      </c>
      <c r="T5769" t="s">
        <v>44752</v>
      </c>
      <c r="U5769" t="s">
        <v>49908</v>
      </c>
      <c r="W5769" t="s">
        <v>41375</v>
      </c>
      <c r="X5769" t="s">
        <v>43173</v>
      </c>
    </row>
    <row r="5770" spans="1:24">
      <c r="A5770">
        <f>HYPERLINK("https://www.philgeps.gov.ph/GEPSNONPILOT/Tender/SplashBidNoticeAbstractUI.aspx?menuIndex=3&amp;refID=7080393&amp;Result=3","7080393")</f>
        <v>0</v>
      </c>
      <c r="B5770" t="s">
        <v>1941</v>
      </c>
      <c r="C5770" t="s">
        <v>8922</v>
      </c>
      <c r="D5770" t="s">
        <v>17485</v>
      </c>
      <c r="E5770" t="s">
        <v>22487</v>
      </c>
      <c r="F5770" t="s">
        <v>30052</v>
      </c>
      <c r="G5770" t="s">
        <v>30058</v>
      </c>
      <c r="H5770" t="s">
        <v>15498</v>
      </c>
      <c r="I5770" t="s">
        <v>3736</v>
      </c>
      <c r="J5770" t="s">
        <v>33840</v>
      </c>
      <c r="K5770" t="s">
        <v>39029</v>
      </c>
      <c r="M5770" t="s">
        <v>41376</v>
      </c>
      <c r="N5770" t="s">
        <v>43166</v>
      </c>
      <c r="O5770" t="s">
        <v>43167</v>
      </c>
      <c r="P5770">
        <v>0</v>
      </c>
      <c r="Q5770">
        <v>0</v>
      </c>
      <c r="R5770" t="s">
        <v>43172</v>
      </c>
      <c r="S5770" t="s">
        <v>43334</v>
      </c>
      <c r="T5770" t="s">
        <v>44877</v>
      </c>
      <c r="U5770" t="s">
        <v>49909</v>
      </c>
      <c r="W5770" t="s">
        <v>41376</v>
      </c>
      <c r="X5770" t="s">
        <v>43173</v>
      </c>
    </row>
    <row r="5771" spans="1:24">
      <c r="A5771">
        <f>HYPERLINK("https://www.philgeps.gov.ph/GEPSNONPILOT/Tender/SplashBidNoticeAbstractUI.aspx?menuIndex=3&amp;refID=7080387&amp;Result=3","7080387")</f>
        <v>0</v>
      </c>
      <c r="B5771" t="s">
        <v>856</v>
      </c>
      <c r="C5771" t="s">
        <v>8923</v>
      </c>
      <c r="D5771" t="s">
        <v>17415</v>
      </c>
      <c r="E5771" t="s">
        <v>22488</v>
      </c>
      <c r="F5771" t="s">
        <v>30052</v>
      </c>
      <c r="G5771" t="s">
        <v>30058</v>
      </c>
      <c r="H5771" t="s">
        <v>15498</v>
      </c>
      <c r="I5771" t="s">
        <v>30100</v>
      </c>
      <c r="J5771" t="s">
        <v>33841</v>
      </c>
      <c r="K5771" t="s">
        <v>39025</v>
      </c>
      <c r="M5771" t="s">
        <v>41374</v>
      </c>
      <c r="N5771" t="s">
        <v>43166</v>
      </c>
      <c r="O5771" t="s">
        <v>43167</v>
      </c>
      <c r="P5771">
        <v>0</v>
      </c>
      <c r="Q5771">
        <v>14</v>
      </c>
      <c r="R5771" t="s">
        <v>43172</v>
      </c>
      <c r="S5771" t="s">
        <v>43334</v>
      </c>
      <c r="T5771" t="s">
        <v>44757</v>
      </c>
      <c r="U5771" t="s">
        <v>49910</v>
      </c>
      <c r="W5771" t="s">
        <v>41374</v>
      </c>
      <c r="X5771" t="s">
        <v>43173</v>
      </c>
    </row>
    <row r="5772" spans="1:24">
      <c r="A5772">
        <f>HYPERLINK("https://www.philgeps.gov.ph/GEPSNONPILOT/Tender/SplashBidNoticeAbstractUI.aspx?menuIndex=3&amp;refID=7080335&amp;Result=3","7080335")</f>
        <v>0</v>
      </c>
      <c r="B5772" t="s">
        <v>1906</v>
      </c>
      <c r="C5772" t="s">
        <v>8924</v>
      </c>
      <c r="D5772" t="s">
        <v>17442</v>
      </c>
      <c r="E5772" t="s">
        <v>21770</v>
      </c>
      <c r="F5772" t="s">
        <v>30052</v>
      </c>
      <c r="G5772" t="s">
        <v>30059</v>
      </c>
      <c r="H5772" t="s">
        <v>15498</v>
      </c>
      <c r="I5772" t="s">
        <v>9238</v>
      </c>
      <c r="J5772" t="s">
        <v>31146</v>
      </c>
      <c r="K5772" t="s">
        <v>39019</v>
      </c>
      <c r="M5772" t="s">
        <v>41337</v>
      </c>
      <c r="N5772" t="s">
        <v>43166</v>
      </c>
      <c r="O5772" t="s">
        <v>43167</v>
      </c>
      <c r="P5772">
        <v>0</v>
      </c>
      <c r="Q5772">
        <v>5</v>
      </c>
      <c r="R5772" t="s">
        <v>43172</v>
      </c>
      <c r="S5772" t="s">
        <v>43334</v>
      </c>
      <c r="T5772" t="s">
        <v>44717</v>
      </c>
      <c r="U5772" t="s">
        <v>49911</v>
      </c>
      <c r="V5772" t="s">
        <v>57436</v>
      </c>
      <c r="W5772" t="s">
        <v>41337</v>
      </c>
      <c r="X5772" t="s">
        <v>43173</v>
      </c>
    </row>
    <row r="5773" spans="1:24">
      <c r="A5773">
        <f>HYPERLINK("https://www.philgeps.gov.ph/GEPSNONPILOT/Tender/SplashBidNoticeAbstractUI.aspx?menuIndex=3&amp;refID=7080386&amp;Result=3","7080386")</f>
        <v>0</v>
      </c>
      <c r="B5773" t="s">
        <v>1936</v>
      </c>
      <c r="C5773" t="s">
        <v>8925</v>
      </c>
      <c r="D5773" t="s">
        <v>17448</v>
      </c>
      <c r="E5773" t="s">
        <v>22239</v>
      </c>
      <c r="F5773" t="s">
        <v>30052</v>
      </c>
      <c r="G5773" t="s">
        <v>30058</v>
      </c>
      <c r="H5773" t="s">
        <v>30067</v>
      </c>
      <c r="I5773" t="s">
        <v>3693</v>
      </c>
      <c r="J5773" t="s">
        <v>33842</v>
      </c>
      <c r="K5773" t="s">
        <v>39034</v>
      </c>
      <c r="M5773" t="s">
        <v>41370</v>
      </c>
      <c r="N5773" t="s">
        <v>43166</v>
      </c>
      <c r="O5773" t="s">
        <v>43167</v>
      </c>
      <c r="P5773">
        <v>0</v>
      </c>
      <c r="Q5773">
        <v>1</v>
      </c>
      <c r="R5773" t="s">
        <v>43172</v>
      </c>
      <c r="S5773" t="s">
        <v>43334</v>
      </c>
      <c r="T5773" t="s">
        <v>44737</v>
      </c>
      <c r="U5773" t="s">
        <v>49912</v>
      </c>
      <c r="W5773" t="s">
        <v>41370</v>
      </c>
      <c r="X5773" t="s">
        <v>43173</v>
      </c>
    </row>
    <row r="5774" spans="1:24">
      <c r="A5774">
        <f>HYPERLINK("https://www.philgeps.gov.ph/GEPSNONPILOT/Tender/SplashBidNoticeAbstractUI.aspx?menuIndex=3&amp;refID=7080383&amp;Result=3","7080383")</f>
        <v>0</v>
      </c>
      <c r="B5774" t="s">
        <v>1576</v>
      </c>
      <c r="C5774" t="s">
        <v>8926</v>
      </c>
      <c r="D5774" t="s">
        <v>17431</v>
      </c>
      <c r="E5774" t="s">
        <v>22489</v>
      </c>
      <c r="F5774" t="s">
        <v>30052</v>
      </c>
      <c r="G5774" t="s">
        <v>30059</v>
      </c>
      <c r="H5774" t="s">
        <v>15498</v>
      </c>
      <c r="I5774" t="s">
        <v>30144</v>
      </c>
      <c r="J5774" t="s">
        <v>30230</v>
      </c>
      <c r="K5774" t="s">
        <v>39025</v>
      </c>
      <c r="M5774" t="s">
        <v>40969</v>
      </c>
      <c r="N5774" t="s">
        <v>43166</v>
      </c>
      <c r="O5774" t="s">
        <v>43167</v>
      </c>
      <c r="P5774">
        <v>0</v>
      </c>
      <c r="Q5774">
        <v>0</v>
      </c>
      <c r="R5774" t="s">
        <v>43172</v>
      </c>
      <c r="S5774" t="s">
        <v>43334</v>
      </c>
      <c r="T5774" t="s">
        <v>44888</v>
      </c>
      <c r="U5774" t="s">
        <v>49913</v>
      </c>
      <c r="V5774" t="s">
        <v>56845</v>
      </c>
      <c r="W5774" t="s">
        <v>40969</v>
      </c>
      <c r="X5774" t="s">
        <v>43173</v>
      </c>
    </row>
    <row r="5775" spans="1:24">
      <c r="A5775">
        <f>HYPERLINK("https://www.philgeps.gov.ph/GEPSNONPILOT/Tender/SplashBidNoticeAbstractUI.aspx?menuIndex=3&amp;refID=7080396&amp;Result=3","7080396")</f>
        <v>0</v>
      </c>
      <c r="B5775" t="s">
        <v>1727</v>
      </c>
      <c r="C5775" t="s">
        <v>8927</v>
      </c>
      <c r="D5775" t="s">
        <v>17436</v>
      </c>
      <c r="E5775" t="s">
        <v>22490</v>
      </c>
      <c r="F5775" t="s">
        <v>30052</v>
      </c>
      <c r="G5775" t="s">
        <v>30058</v>
      </c>
      <c r="H5775" t="s">
        <v>15498</v>
      </c>
      <c r="I5775" t="s">
        <v>30070</v>
      </c>
      <c r="J5775" t="s">
        <v>30644</v>
      </c>
      <c r="K5775" t="s">
        <v>39034</v>
      </c>
      <c r="M5775" t="s">
        <v>41144</v>
      </c>
      <c r="N5775" t="s">
        <v>43166</v>
      </c>
      <c r="O5775" t="s">
        <v>43167</v>
      </c>
      <c r="P5775">
        <v>0</v>
      </c>
      <c r="Q5775">
        <v>0</v>
      </c>
      <c r="R5775" t="s">
        <v>43172</v>
      </c>
      <c r="S5775" t="s">
        <v>43334</v>
      </c>
      <c r="T5775" t="s">
        <v>44818</v>
      </c>
      <c r="U5775" t="s">
        <v>49914</v>
      </c>
      <c r="W5775" t="s">
        <v>41144</v>
      </c>
      <c r="X5775" t="s">
        <v>43173</v>
      </c>
    </row>
    <row r="5776" spans="1:24">
      <c r="A5776">
        <f>HYPERLINK("https://www.philgeps.gov.ph/GEPSNONPILOT/Tender/SplashBidNoticeAbstractUI.aspx?menuIndex=3&amp;refID=7080354&amp;Result=3","7080354")</f>
        <v>0</v>
      </c>
      <c r="B5776" t="s">
        <v>1930</v>
      </c>
      <c r="C5776" t="s">
        <v>8928</v>
      </c>
      <c r="D5776" t="s">
        <v>17442</v>
      </c>
      <c r="E5776" t="s">
        <v>22491</v>
      </c>
      <c r="F5776" t="s">
        <v>30052</v>
      </c>
      <c r="G5776" t="s">
        <v>30058</v>
      </c>
      <c r="H5776" t="s">
        <v>15498</v>
      </c>
      <c r="I5776" t="s">
        <v>30091</v>
      </c>
      <c r="J5776" t="s">
        <v>33843</v>
      </c>
      <c r="K5776" t="s">
        <v>39029</v>
      </c>
      <c r="M5776" t="s">
        <v>41363</v>
      </c>
      <c r="N5776" t="s">
        <v>43166</v>
      </c>
      <c r="O5776" t="s">
        <v>43167</v>
      </c>
      <c r="P5776">
        <v>0</v>
      </c>
      <c r="Q5776">
        <v>8</v>
      </c>
      <c r="R5776" t="s">
        <v>43172</v>
      </c>
      <c r="S5776" t="s">
        <v>43334</v>
      </c>
      <c r="T5776" t="s">
        <v>45027</v>
      </c>
      <c r="U5776" t="s">
        <v>49915</v>
      </c>
      <c r="V5776" t="s">
        <v>57443</v>
      </c>
      <c r="W5776" t="s">
        <v>41363</v>
      </c>
      <c r="X5776" t="s">
        <v>43173</v>
      </c>
    </row>
    <row r="5777" spans="1:24">
      <c r="A5777">
        <f>HYPERLINK("https://www.philgeps.gov.ph/GEPSNONPILOT/Tender/SplashBidNoticeAbstractUI.aspx?menuIndex=3&amp;refID=7080391&amp;Result=3","7080391")</f>
        <v>0</v>
      </c>
      <c r="B5777" t="s">
        <v>131</v>
      </c>
      <c r="C5777" t="s">
        <v>3971</v>
      </c>
      <c r="D5777" t="s">
        <v>17424</v>
      </c>
      <c r="E5777" t="s">
        <v>22492</v>
      </c>
      <c r="F5777" t="s">
        <v>30052</v>
      </c>
      <c r="G5777" t="s">
        <v>30062</v>
      </c>
      <c r="H5777" t="s">
        <v>15498</v>
      </c>
      <c r="I5777" t="s">
        <v>30070</v>
      </c>
      <c r="J5777" t="s">
        <v>33844</v>
      </c>
      <c r="K5777" t="s">
        <v>39025</v>
      </c>
      <c r="M5777" t="s">
        <v>39420</v>
      </c>
      <c r="N5777" t="s">
        <v>43166</v>
      </c>
      <c r="O5777" t="s">
        <v>43167</v>
      </c>
      <c r="P5777">
        <v>0</v>
      </c>
      <c r="Q5777">
        <v>1</v>
      </c>
      <c r="R5777" t="s">
        <v>43172</v>
      </c>
      <c r="S5777" t="s">
        <v>43334</v>
      </c>
      <c r="T5777" t="s">
        <v>44837</v>
      </c>
      <c r="U5777" t="s">
        <v>49916</v>
      </c>
      <c r="W5777" t="s">
        <v>39420</v>
      </c>
      <c r="X5777" t="s">
        <v>43173</v>
      </c>
    </row>
    <row r="5778" spans="1:24">
      <c r="A5778">
        <f>HYPERLINK("https://www.philgeps.gov.ph/GEPSNONPILOT/Tender/SplashBidNoticeAbstractUI.aspx?menuIndex=3&amp;refID=7080380&amp;Result=3","7080380")</f>
        <v>0</v>
      </c>
      <c r="B5778" t="s">
        <v>1524</v>
      </c>
      <c r="C5778" t="s">
        <v>8929</v>
      </c>
      <c r="D5778" t="s">
        <v>17443</v>
      </c>
      <c r="E5778" t="s">
        <v>22493</v>
      </c>
      <c r="F5778" t="s">
        <v>30052</v>
      </c>
      <c r="G5778" t="s">
        <v>30058</v>
      </c>
      <c r="H5778" t="s">
        <v>15498</v>
      </c>
      <c r="I5778" t="s">
        <v>3736</v>
      </c>
      <c r="J5778" t="s">
        <v>33845</v>
      </c>
      <c r="K5778" t="s">
        <v>39019</v>
      </c>
      <c r="M5778" t="s">
        <v>40910</v>
      </c>
      <c r="N5778" t="s">
        <v>43166</v>
      </c>
      <c r="O5778" t="s">
        <v>43167</v>
      </c>
      <c r="P5778">
        <v>0</v>
      </c>
      <c r="Q5778">
        <v>0</v>
      </c>
      <c r="R5778" t="s">
        <v>43172</v>
      </c>
      <c r="S5778" t="s">
        <v>43334</v>
      </c>
      <c r="T5778" t="s">
        <v>44806</v>
      </c>
      <c r="U5778" t="s">
        <v>49917</v>
      </c>
      <c r="W5778" t="s">
        <v>40910</v>
      </c>
      <c r="X5778" t="s">
        <v>43173</v>
      </c>
    </row>
    <row r="5779" spans="1:24">
      <c r="A5779">
        <f>HYPERLINK("https://www.philgeps.gov.ph/GEPSNONPILOT/Tender/SplashBidNoticeAbstractUI.aspx?menuIndex=3&amp;refID=7080379&amp;Result=3","7080379")</f>
        <v>0</v>
      </c>
      <c r="B5779" t="s">
        <v>1727</v>
      </c>
      <c r="C5779" t="s">
        <v>8930</v>
      </c>
      <c r="D5779" t="s">
        <v>17436</v>
      </c>
      <c r="E5779" t="s">
        <v>22494</v>
      </c>
      <c r="F5779" t="s">
        <v>30052</v>
      </c>
      <c r="G5779" t="s">
        <v>30058</v>
      </c>
      <c r="H5779" t="s">
        <v>15498</v>
      </c>
      <c r="I5779" t="s">
        <v>4650</v>
      </c>
      <c r="J5779" t="s">
        <v>30333</v>
      </c>
      <c r="K5779" t="s">
        <v>39034</v>
      </c>
      <c r="M5779" t="s">
        <v>41144</v>
      </c>
      <c r="N5779" t="s">
        <v>43166</v>
      </c>
      <c r="O5779" t="s">
        <v>43167</v>
      </c>
      <c r="P5779">
        <v>0</v>
      </c>
      <c r="Q5779">
        <v>0</v>
      </c>
      <c r="R5779" t="s">
        <v>43172</v>
      </c>
      <c r="S5779" t="s">
        <v>43334</v>
      </c>
      <c r="T5779" t="s">
        <v>44818</v>
      </c>
      <c r="U5779" t="s">
        <v>49918</v>
      </c>
      <c r="W5779" t="s">
        <v>41144</v>
      </c>
      <c r="X5779" t="s">
        <v>43173</v>
      </c>
    </row>
    <row r="5780" spans="1:24">
      <c r="A5780">
        <f>HYPERLINK("https://www.philgeps.gov.ph/GEPSNONPILOT/Tender/SplashBidNoticeAbstractUI.aspx?menuIndex=3&amp;refID=7080378&amp;Result=3","7080378")</f>
        <v>0</v>
      </c>
      <c r="B5780" t="s">
        <v>1898</v>
      </c>
      <c r="C5780" t="s">
        <v>8931</v>
      </c>
      <c r="D5780" t="s">
        <v>17415</v>
      </c>
      <c r="E5780" t="s">
        <v>22495</v>
      </c>
      <c r="F5780" t="s">
        <v>30052</v>
      </c>
      <c r="G5780" t="s">
        <v>30058</v>
      </c>
      <c r="H5780" t="s">
        <v>15498</v>
      </c>
      <c r="I5780" t="s">
        <v>6304</v>
      </c>
      <c r="J5780" t="s">
        <v>30694</v>
      </c>
      <c r="K5780" t="s">
        <v>39029</v>
      </c>
      <c r="M5780" t="s">
        <v>41329</v>
      </c>
      <c r="N5780" t="s">
        <v>43166</v>
      </c>
      <c r="O5780" t="s">
        <v>43167</v>
      </c>
      <c r="P5780">
        <v>0</v>
      </c>
      <c r="Q5780">
        <v>0</v>
      </c>
      <c r="R5780" t="s">
        <v>43172</v>
      </c>
      <c r="S5780" t="s">
        <v>43334</v>
      </c>
      <c r="T5780" t="s">
        <v>44710</v>
      </c>
      <c r="U5780" t="s">
        <v>49904</v>
      </c>
      <c r="W5780" t="s">
        <v>41329</v>
      </c>
      <c r="X5780" t="s">
        <v>43173</v>
      </c>
    </row>
    <row r="5781" spans="1:24">
      <c r="A5781">
        <f>HYPERLINK("https://www.philgeps.gov.ph/GEPSNONPILOT/Tender/SplashBidNoticeAbstractUI.aspx?menuIndex=3&amp;refID=7080429&amp;Result=3","7080429")</f>
        <v>0</v>
      </c>
      <c r="B5781" t="s">
        <v>1942</v>
      </c>
      <c r="C5781" t="s">
        <v>4118</v>
      </c>
      <c r="D5781" t="s">
        <v>17430</v>
      </c>
      <c r="E5781" t="s">
        <v>22496</v>
      </c>
      <c r="F5781" t="s">
        <v>30052</v>
      </c>
      <c r="G5781" t="s">
        <v>30061</v>
      </c>
      <c r="H5781" t="s">
        <v>15498</v>
      </c>
      <c r="I5781" t="s">
        <v>3736</v>
      </c>
      <c r="J5781" t="s">
        <v>33846</v>
      </c>
      <c r="K5781" t="s">
        <v>39019</v>
      </c>
      <c r="M5781" t="s">
        <v>41377</v>
      </c>
      <c r="N5781" t="s">
        <v>43166</v>
      </c>
      <c r="O5781" t="s">
        <v>43167</v>
      </c>
      <c r="P5781">
        <v>0</v>
      </c>
      <c r="Q5781">
        <v>0</v>
      </c>
      <c r="R5781" t="s">
        <v>43172</v>
      </c>
      <c r="S5781" t="s">
        <v>43334</v>
      </c>
      <c r="T5781" t="s">
        <v>44832</v>
      </c>
      <c r="U5781" t="s">
        <v>49919</v>
      </c>
      <c r="V5781" t="s">
        <v>57448</v>
      </c>
      <c r="W5781" t="s">
        <v>41377</v>
      </c>
      <c r="X5781" t="s">
        <v>43173</v>
      </c>
    </row>
    <row r="5782" spans="1:24">
      <c r="A5782">
        <f>HYPERLINK("https://www.philgeps.gov.ph/GEPSNONPILOT/Tender/SplashBidNoticeAbstractUI.aspx?menuIndex=3&amp;refID=7080384&amp;Result=3","7080384")</f>
        <v>0</v>
      </c>
      <c r="B5782" t="s">
        <v>1900</v>
      </c>
      <c r="C5782" t="s">
        <v>8932</v>
      </c>
      <c r="D5782" t="s">
        <v>17486</v>
      </c>
      <c r="E5782" t="s">
        <v>22497</v>
      </c>
      <c r="F5782" t="s">
        <v>30052</v>
      </c>
      <c r="G5782" t="s">
        <v>30058</v>
      </c>
      <c r="H5782" t="s">
        <v>30067</v>
      </c>
      <c r="I5782" t="s">
        <v>30140</v>
      </c>
      <c r="J5782" t="s">
        <v>33847</v>
      </c>
      <c r="K5782" t="s">
        <v>39031</v>
      </c>
      <c r="M5782" t="s">
        <v>41331</v>
      </c>
      <c r="N5782" t="s">
        <v>43166</v>
      </c>
      <c r="O5782" t="s">
        <v>43167</v>
      </c>
      <c r="P5782">
        <v>0</v>
      </c>
      <c r="Q5782">
        <v>5</v>
      </c>
      <c r="R5782" t="s">
        <v>43172</v>
      </c>
      <c r="S5782" t="s">
        <v>43334</v>
      </c>
      <c r="T5782" t="s">
        <v>44703</v>
      </c>
      <c r="U5782" t="s">
        <v>49920</v>
      </c>
      <c r="W5782" t="s">
        <v>41331</v>
      </c>
      <c r="X5782" t="s">
        <v>43173</v>
      </c>
    </row>
    <row r="5783" spans="1:24">
      <c r="A5783">
        <f>HYPERLINK("https://www.philgeps.gov.ph/GEPSNONPILOT/Tender/SplashBidNoticeAbstractUI.aspx?menuIndex=3&amp;refID=7080427&amp;Result=3","7080427")</f>
        <v>0</v>
      </c>
      <c r="B5783" t="s">
        <v>1261</v>
      </c>
      <c r="C5783" t="s">
        <v>8933</v>
      </c>
      <c r="D5783" t="s">
        <v>17425</v>
      </c>
      <c r="E5783" t="s">
        <v>18859</v>
      </c>
      <c r="F5783" t="s">
        <v>30052</v>
      </c>
      <c r="G5783" t="s">
        <v>30059</v>
      </c>
      <c r="H5783" t="s">
        <v>15498</v>
      </c>
      <c r="I5783" t="s">
        <v>30071</v>
      </c>
      <c r="J5783" t="s">
        <v>33848</v>
      </c>
      <c r="K5783" t="s">
        <v>39019</v>
      </c>
      <c r="M5783" t="s">
        <v>40619</v>
      </c>
      <c r="N5783" t="s">
        <v>43166</v>
      </c>
      <c r="O5783" t="s">
        <v>43167</v>
      </c>
      <c r="P5783">
        <v>0</v>
      </c>
      <c r="Q5783">
        <v>1</v>
      </c>
      <c r="R5783" t="s">
        <v>43172</v>
      </c>
      <c r="S5783" t="s">
        <v>43334</v>
      </c>
      <c r="T5783" t="s">
        <v>44773</v>
      </c>
      <c r="U5783" t="s">
        <v>49921</v>
      </c>
      <c r="W5783" t="s">
        <v>40619</v>
      </c>
      <c r="X5783" t="s">
        <v>43173</v>
      </c>
    </row>
    <row r="5784" spans="1:24">
      <c r="A5784">
        <f>HYPERLINK("https://www.philgeps.gov.ph/GEPSNONPILOT/Tender/SplashBidNoticeAbstractUI.aspx?menuIndex=3&amp;refID=7080426&amp;Result=3","7080426")</f>
        <v>0</v>
      </c>
      <c r="B5784" t="s">
        <v>1943</v>
      </c>
      <c r="C5784" t="s">
        <v>8934</v>
      </c>
      <c r="D5784" t="s">
        <v>17449</v>
      </c>
      <c r="E5784" t="s">
        <v>22498</v>
      </c>
      <c r="F5784" t="s">
        <v>30052</v>
      </c>
      <c r="G5784" t="s">
        <v>30058</v>
      </c>
      <c r="H5784" t="s">
        <v>30067</v>
      </c>
      <c r="I5784" t="s">
        <v>3693</v>
      </c>
      <c r="J5784" t="s">
        <v>33849</v>
      </c>
      <c r="K5784" t="s">
        <v>39031</v>
      </c>
      <c r="M5784" t="s">
        <v>41378</v>
      </c>
      <c r="N5784" t="s">
        <v>43166</v>
      </c>
      <c r="O5784" t="s">
        <v>43167</v>
      </c>
      <c r="P5784">
        <v>0</v>
      </c>
      <c r="Q5784">
        <v>0</v>
      </c>
      <c r="R5784" t="s">
        <v>43172</v>
      </c>
      <c r="S5784" t="s">
        <v>43334</v>
      </c>
      <c r="T5784" t="s">
        <v>44691</v>
      </c>
      <c r="U5784" t="s">
        <v>49135</v>
      </c>
      <c r="V5784" t="s">
        <v>57449</v>
      </c>
      <c r="W5784" t="s">
        <v>41378</v>
      </c>
      <c r="X5784" t="s">
        <v>43173</v>
      </c>
    </row>
    <row r="5785" spans="1:24">
      <c r="A5785">
        <f>HYPERLINK("https://www.philgeps.gov.ph/GEPSNONPILOT/Tender/SplashBidNoticeAbstractUI.aspx?menuIndex=3&amp;refID=7080425&amp;Result=3","7080425")</f>
        <v>0</v>
      </c>
      <c r="B5785" t="s">
        <v>1347</v>
      </c>
      <c r="C5785" t="s">
        <v>8935</v>
      </c>
      <c r="D5785" t="s">
        <v>17478</v>
      </c>
      <c r="E5785" t="s">
        <v>22499</v>
      </c>
      <c r="F5785" t="s">
        <v>30052</v>
      </c>
      <c r="G5785" t="s">
        <v>30058</v>
      </c>
      <c r="H5785" t="s">
        <v>15498</v>
      </c>
      <c r="I5785" t="s">
        <v>30139</v>
      </c>
      <c r="J5785" t="s">
        <v>30252</v>
      </c>
      <c r="K5785" t="s">
        <v>39019</v>
      </c>
      <c r="M5785" t="s">
        <v>40715</v>
      </c>
      <c r="N5785" t="s">
        <v>43166</v>
      </c>
      <c r="O5785" t="s">
        <v>43167</v>
      </c>
      <c r="P5785">
        <v>0</v>
      </c>
      <c r="Q5785">
        <v>0</v>
      </c>
      <c r="R5785" t="s">
        <v>43172</v>
      </c>
      <c r="S5785" t="s">
        <v>43334</v>
      </c>
      <c r="T5785" t="s">
        <v>44708</v>
      </c>
      <c r="U5785" t="s">
        <v>49922</v>
      </c>
      <c r="W5785" t="s">
        <v>40715</v>
      </c>
      <c r="X5785" t="s">
        <v>43173</v>
      </c>
    </row>
    <row r="5786" spans="1:24">
      <c r="A5786">
        <f>HYPERLINK("https://www.philgeps.gov.ph/GEPSNONPILOT/Tender/SplashBidNoticeAbstractUI.aspx?menuIndex=3&amp;refID=7080381&amp;Result=3","7080381")</f>
        <v>0</v>
      </c>
      <c r="B5786" t="s">
        <v>1935</v>
      </c>
      <c r="C5786" t="s">
        <v>8936</v>
      </c>
      <c r="D5786" t="s">
        <v>17418</v>
      </c>
      <c r="E5786" t="s">
        <v>22500</v>
      </c>
      <c r="F5786" t="s">
        <v>30052</v>
      </c>
      <c r="G5786" t="s">
        <v>30058</v>
      </c>
      <c r="H5786" t="s">
        <v>30067</v>
      </c>
      <c r="I5786" t="s">
        <v>3693</v>
      </c>
      <c r="J5786" t="s">
        <v>33850</v>
      </c>
      <c r="K5786" t="s">
        <v>39110</v>
      </c>
      <c r="M5786" t="s">
        <v>41369</v>
      </c>
      <c r="N5786" t="s">
        <v>43166</v>
      </c>
      <c r="O5786" t="s">
        <v>43167</v>
      </c>
      <c r="P5786">
        <v>0</v>
      </c>
      <c r="Q5786">
        <v>0</v>
      </c>
      <c r="R5786" t="s">
        <v>43172</v>
      </c>
      <c r="S5786" t="s">
        <v>43334</v>
      </c>
      <c r="T5786" t="s">
        <v>44810</v>
      </c>
      <c r="U5786" t="s">
        <v>49923</v>
      </c>
      <c r="W5786" t="s">
        <v>41369</v>
      </c>
      <c r="X5786" t="s">
        <v>43173</v>
      </c>
    </row>
    <row r="5787" spans="1:24">
      <c r="A5787">
        <f>HYPERLINK("https://www.philgeps.gov.ph/GEPSNONPILOT/Tender/SplashBidNoticeAbstractUI.aspx?menuIndex=3&amp;refID=7080423&amp;Result=3","7080423")</f>
        <v>0</v>
      </c>
      <c r="B5787" t="s">
        <v>743</v>
      </c>
      <c r="C5787" t="s">
        <v>8937</v>
      </c>
      <c r="D5787" t="s">
        <v>17458</v>
      </c>
      <c r="E5787" t="s">
        <v>22501</v>
      </c>
      <c r="F5787" t="s">
        <v>30052</v>
      </c>
      <c r="G5787" t="s">
        <v>30061</v>
      </c>
      <c r="H5787" t="s">
        <v>15498</v>
      </c>
      <c r="I5787" t="s">
        <v>30097</v>
      </c>
      <c r="J5787" t="s">
        <v>33851</v>
      </c>
      <c r="K5787" t="s">
        <v>39029</v>
      </c>
      <c r="M5787" t="s">
        <v>40057</v>
      </c>
      <c r="N5787" t="s">
        <v>43166</v>
      </c>
      <c r="O5787" t="s">
        <v>43167</v>
      </c>
      <c r="Q5787">
        <v>3</v>
      </c>
      <c r="R5787" t="s">
        <v>43172</v>
      </c>
      <c r="S5787" t="s">
        <v>43353</v>
      </c>
      <c r="T5787" t="s">
        <v>44691</v>
      </c>
      <c r="U5787" t="s">
        <v>46613</v>
      </c>
      <c r="W5787" t="s">
        <v>40057</v>
      </c>
      <c r="X5787" t="s">
        <v>43173</v>
      </c>
    </row>
    <row r="5788" spans="1:24">
      <c r="A5788">
        <f>HYPERLINK("https://www.philgeps.gov.ph/GEPSNONPILOT/Tender/SplashBidNoticeAbstractUI.aspx?menuIndex=3&amp;refID=7080422&amp;Result=3","7080422")</f>
        <v>0</v>
      </c>
      <c r="B5788" t="s">
        <v>617</v>
      </c>
      <c r="C5788" t="s">
        <v>8938</v>
      </c>
      <c r="D5788" t="s">
        <v>17415</v>
      </c>
      <c r="E5788" t="s">
        <v>22502</v>
      </c>
      <c r="F5788" t="s">
        <v>30052</v>
      </c>
      <c r="G5788" t="s">
        <v>30059</v>
      </c>
      <c r="H5788" t="s">
        <v>30067</v>
      </c>
      <c r="I5788" t="s">
        <v>30082</v>
      </c>
      <c r="J5788" t="s">
        <v>33852</v>
      </c>
      <c r="K5788" t="s">
        <v>39036</v>
      </c>
      <c r="M5788" t="s">
        <v>39919</v>
      </c>
      <c r="N5788" t="s">
        <v>43166</v>
      </c>
      <c r="O5788" t="s">
        <v>43167</v>
      </c>
      <c r="P5788">
        <v>0</v>
      </c>
      <c r="Q5788">
        <v>2</v>
      </c>
      <c r="R5788" t="s">
        <v>43172</v>
      </c>
      <c r="S5788" t="s">
        <v>43334</v>
      </c>
      <c r="T5788" t="s">
        <v>44737</v>
      </c>
      <c r="U5788" t="s">
        <v>49924</v>
      </c>
      <c r="W5788" t="s">
        <v>39919</v>
      </c>
      <c r="X5788" t="s">
        <v>43173</v>
      </c>
    </row>
    <row r="5789" spans="1:24">
      <c r="A5789">
        <f>HYPERLINK("https://www.philgeps.gov.ph/GEPSNONPILOT/Tender/SplashBidNoticeAbstractUI.aspx?menuIndex=3&amp;refID=7080421&amp;Result=3","7080421")</f>
        <v>0</v>
      </c>
      <c r="B5789" t="s">
        <v>1925</v>
      </c>
      <c r="C5789" t="s">
        <v>8939</v>
      </c>
      <c r="D5789" t="s">
        <v>17462</v>
      </c>
      <c r="E5789" t="s">
        <v>22503</v>
      </c>
      <c r="F5789" t="s">
        <v>30052</v>
      </c>
      <c r="G5789" t="s">
        <v>30060</v>
      </c>
      <c r="H5789" t="s">
        <v>30067</v>
      </c>
      <c r="I5789" t="s">
        <v>3693</v>
      </c>
      <c r="J5789" t="s">
        <v>33853</v>
      </c>
      <c r="K5789" t="s">
        <v>39023</v>
      </c>
      <c r="M5789" t="s">
        <v>41358</v>
      </c>
      <c r="N5789" t="s">
        <v>43166</v>
      </c>
      <c r="O5789" t="s">
        <v>43167</v>
      </c>
      <c r="P5789">
        <v>0</v>
      </c>
      <c r="Q5789">
        <v>2</v>
      </c>
      <c r="R5789" t="s">
        <v>43172</v>
      </c>
      <c r="S5789" t="s">
        <v>43334</v>
      </c>
      <c r="T5789" t="s">
        <v>45028</v>
      </c>
      <c r="U5789" t="s">
        <v>49925</v>
      </c>
      <c r="W5789" t="s">
        <v>41358</v>
      </c>
      <c r="X5789" t="s">
        <v>43173</v>
      </c>
    </row>
    <row r="5790" spans="1:24">
      <c r="A5790">
        <f>HYPERLINK("https://www.philgeps.gov.ph/GEPSNONPILOT/Tender/SplashBidNoticeAbstractUI.aspx?menuIndex=3&amp;refID=7080418&amp;Result=3","7080418")</f>
        <v>0</v>
      </c>
      <c r="B5790" t="s">
        <v>1727</v>
      </c>
      <c r="C5790" t="s">
        <v>8940</v>
      </c>
      <c r="D5790" t="s">
        <v>17436</v>
      </c>
      <c r="E5790" t="s">
        <v>22504</v>
      </c>
      <c r="F5790" t="s">
        <v>30052</v>
      </c>
      <c r="G5790" t="s">
        <v>30058</v>
      </c>
      <c r="H5790" t="s">
        <v>15498</v>
      </c>
      <c r="I5790" t="s">
        <v>30070</v>
      </c>
      <c r="J5790" t="s">
        <v>33854</v>
      </c>
      <c r="K5790" t="s">
        <v>39034</v>
      </c>
      <c r="M5790" t="s">
        <v>41144</v>
      </c>
      <c r="N5790" t="s">
        <v>43166</v>
      </c>
      <c r="O5790" t="s">
        <v>43167</v>
      </c>
      <c r="P5790">
        <v>0</v>
      </c>
      <c r="Q5790">
        <v>0</v>
      </c>
      <c r="R5790" t="s">
        <v>43172</v>
      </c>
      <c r="S5790" t="s">
        <v>43334</v>
      </c>
      <c r="T5790" t="s">
        <v>44818</v>
      </c>
      <c r="U5790" t="s">
        <v>49926</v>
      </c>
      <c r="W5790" t="s">
        <v>41144</v>
      </c>
      <c r="X5790" t="s">
        <v>43173</v>
      </c>
    </row>
    <row r="5791" spans="1:24">
      <c r="A5791">
        <f>HYPERLINK("https://www.philgeps.gov.ph/GEPSNONPILOT/Tender/SplashBidNoticeAbstractUI.aspx?menuIndex=3&amp;refID=7080414&amp;Result=3","7080414")</f>
        <v>0</v>
      </c>
      <c r="B5791" t="s">
        <v>1576</v>
      </c>
      <c r="C5791" t="s">
        <v>8941</v>
      </c>
      <c r="D5791" t="s">
        <v>17415</v>
      </c>
      <c r="E5791" t="s">
        <v>22505</v>
      </c>
      <c r="F5791" t="s">
        <v>30052</v>
      </c>
      <c r="G5791" t="s">
        <v>30059</v>
      </c>
      <c r="H5791" t="s">
        <v>15498</v>
      </c>
      <c r="I5791" t="s">
        <v>9238</v>
      </c>
      <c r="J5791" t="s">
        <v>30230</v>
      </c>
      <c r="K5791" t="s">
        <v>39025</v>
      </c>
      <c r="M5791" t="s">
        <v>41215</v>
      </c>
      <c r="N5791" t="s">
        <v>43166</v>
      </c>
      <c r="O5791" t="s">
        <v>43167</v>
      </c>
      <c r="P5791">
        <v>0</v>
      </c>
      <c r="Q5791">
        <v>5</v>
      </c>
      <c r="R5791" t="s">
        <v>43172</v>
      </c>
      <c r="S5791" t="s">
        <v>43334</v>
      </c>
      <c r="T5791" t="s">
        <v>44894</v>
      </c>
      <c r="U5791" t="s">
        <v>49927</v>
      </c>
      <c r="V5791" t="s">
        <v>57446</v>
      </c>
      <c r="W5791" t="s">
        <v>41215</v>
      </c>
      <c r="X5791" t="s">
        <v>43173</v>
      </c>
    </row>
    <row r="5792" spans="1:24">
      <c r="A5792">
        <f>HYPERLINK("https://www.philgeps.gov.ph/GEPSNONPILOT/Tender/SplashBidNoticeAbstractUI.aspx?menuIndex=3&amp;refID=7080409&amp;Result=3","7080409")</f>
        <v>0</v>
      </c>
      <c r="B5792" t="s">
        <v>935</v>
      </c>
      <c r="C5792" t="s">
        <v>8942</v>
      </c>
      <c r="D5792" t="s">
        <v>17441</v>
      </c>
      <c r="E5792" t="s">
        <v>22506</v>
      </c>
      <c r="F5792" t="s">
        <v>30052</v>
      </c>
      <c r="G5792" t="s">
        <v>30059</v>
      </c>
      <c r="H5792" t="s">
        <v>15498</v>
      </c>
      <c r="I5792" t="s">
        <v>30071</v>
      </c>
      <c r="J5792" t="s">
        <v>33855</v>
      </c>
      <c r="K5792" t="s">
        <v>39017</v>
      </c>
      <c r="M5792" t="s">
        <v>41379</v>
      </c>
      <c r="N5792" t="s">
        <v>43166</v>
      </c>
      <c r="O5792" t="s">
        <v>43167</v>
      </c>
      <c r="P5792">
        <v>0</v>
      </c>
      <c r="Q5792">
        <v>2</v>
      </c>
      <c r="R5792" t="s">
        <v>43172</v>
      </c>
      <c r="S5792" t="s">
        <v>43334</v>
      </c>
      <c r="T5792" t="s">
        <v>45029</v>
      </c>
      <c r="U5792" t="s">
        <v>49928</v>
      </c>
      <c r="W5792" t="s">
        <v>41379</v>
      </c>
      <c r="X5792" t="s">
        <v>43173</v>
      </c>
    </row>
    <row r="5793" spans="1:24">
      <c r="A5793">
        <f>HYPERLINK("https://www.philgeps.gov.ph/GEPSNONPILOT/Tender/SplashBidNoticeAbstractUI.aspx?menuIndex=3&amp;refID=7080408&amp;Result=3","7080408")</f>
        <v>0</v>
      </c>
      <c r="B5793" t="s">
        <v>1935</v>
      </c>
      <c r="C5793" t="s">
        <v>8936</v>
      </c>
      <c r="D5793" t="s">
        <v>17418</v>
      </c>
      <c r="E5793" t="s">
        <v>22507</v>
      </c>
      <c r="F5793" t="s">
        <v>30052</v>
      </c>
      <c r="G5793" t="s">
        <v>30058</v>
      </c>
      <c r="H5793" t="s">
        <v>30067</v>
      </c>
      <c r="I5793" t="s">
        <v>3693</v>
      </c>
      <c r="J5793" t="s">
        <v>33856</v>
      </c>
      <c r="K5793" t="s">
        <v>39161</v>
      </c>
      <c r="M5793" t="s">
        <v>41369</v>
      </c>
      <c r="N5793" t="s">
        <v>43166</v>
      </c>
      <c r="O5793" t="s">
        <v>43167</v>
      </c>
      <c r="P5793">
        <v>0</v>
      </c>
      <c r="Q5793">
        <v>0</v>
      </c>
      <c r="R5793" t="s">
        <v>43172</v>
      </c>
      <c r="S5793" t="s">
        <v>43334</v>
      </c>
      <c r="T5793" t="s">
        <v>44691</v>
      </c>
      <c r="U5793" t="s">
        <v>49929</v>
      </c>
      <c r="W5793" t="s">
        <v>41369</v>
      </c>
      <c r="X5793" t="s">
        <v>43173</v>
      </c>
    </row>
    <row r="5794" spans="1:24">
      <c r="A5794">
        <f>HYPERLINK("https://www.philgeps.gov.ph/GEPSNONPILOT/Tender/SplashBidNoticeAbstractUI.aspx?menuIndex=3&amp;refID=7080382&amp;Result=3","7080382")</f>
        <v>0</v>
      </c>
      <c r="B5794" t="s">
        <v>828</v>
      </c>
      <c r="C5794" t="s">
        <v>8943</v>
      </c>
      <c r="D5794" t="s">
        <v>17422</v>
      </c>
      <c r="E5794" t="s">
        <v>22508</v>
      </c>
      <c r="F5794" t="s">
        <v>30052</v>
      </c>
      <c r="G5794" t="s">
        <v>30058</v>
      </c>
      <c r="H5794" t="s">
        <v>15498</v>
      </c>
      <c r="I5794" t="s">
        <v>3736</v>
      </c>
      <c r="J5794" t="s">
        <v>33857</v>
      </c>
      <c r="K5794" t="s">
        <v>39029</v>
      </c>
      <c r="M5794" t="s">
        <v>41380</v>
      </c>
      <c r="N5794" t="s">
        <v>43166</v>
      </c>
      <c r="O5794" t="s">
        <v>43167</v>
      </c>
      <c r="P5794">
        <v>0</v>
      </c>
      <c r="Q5794">
        <v>0</v>
      </c>
      <c r="R5794" t="s">
        <v>43172</v>
      </c>
      <c r="S5794" t="s">
        <v>43334</v>
      </c>
      <c r="T5794" t="s">
        <v>44806</v>
      </c>
      <c r="U5794" t="s">
        <v>49930</v>
      </c>
      <c r="W5794" t="s">
        <v>40145</v>
      </c>
      <c r="X5794" t="s">
        <v>43173</v>
      </c>
    </row>
    <row r="5795" spans="1:24">
      <c r="A5795">
        <f>HYPERLINK("https://www.philgeps.gov.ph/GEPSNONPILOT/Tender/SplashBidNoticeAbstractUI.aspx?menuIndex=3&amp;refID=7080307&amp;Result=3","7080307")</f>
        <v>0</v>
      </c>
      <c r="B5795" t="s">
        <v>700</v>
      </c>
      <c r="C5795" t="s">
        <v>8944</v>
      </c>
      <c r="D5795" t="s">
        <v>17458</v>
      </c>
      <c r="E5795" t="s">
        <v>22509</v>
      </c>
      <c r="F5795" t="s">
        <v>30052</v>
      </c>
      <c r="G5795" t="s">
        <v>30059</v>
      </c>
      <c r="H5795" t="s">
        <v>15498</v>
      </c>
      <c r="I5795" t="s">
        <v>30084</v>
      </c>
      <c r="J5795" t="s">
        <v>30527</v>
      </c>
      <c r="K5795" t="s">
        <v>39019</v>
      </c>
      <c r="M5795" t="s">
        <v>40009</v>
      </c>
      <c r="N5795" t="s">
        <v>43166</v>
      </c>
      <c r="O5795" t="s">
        <v>43167</v>
      </c>
      <c r="P5795">
        <v>0</v>
      </c>
      <c r="Q5795">
        <v>4</v>
      </c>
      <c r="R5795" t="s">
        <v>43172</v>
      </c>
      <c r="S5795" t="s">
        <v>43334</v>
      </c>
      <c r="T5795" t="s">
        <v>44717</v>
      </c>
      <c r="U5795" t="s">
        <v>46535</v>
      </c>
      <c r="W5795" t="s">
        <v>40009</v>
      </c>
      <c r="X5795" t="s">
        <v>43173</v>
      </c>
    </row>
    <row r="5796" spans="1:24">
      <c r="A5796">
        <f>HYPERLINK("https://www.philgeps.gov.ph/GEPSNONPILOT/Tender/SplashBidNoticeAbstractUI.aspx?menuIndex=3&amp;refID=7080424&amp;Result=3","7080424")</f>
        <v>0</v>
      </c>
      <c r="B5796" t="s">
        <v>1939</v>
      </c>
      <c r="C5796" t="s">
        <v>8945</v>
      </c>
      <c r="D5796" t="s">
        <v>17441</v>
      </c>
      <c r="E5796" t="s">
        <v>22510</v>
      </c>
      <c r="F5796" t="s">
        <v>30052</v>
      </c>
      <c r="G5796" t="s">
        <v>30058</v>
      </c>
      <c r="H5796" t="s">
        <v>30067</v>
      </c>
      <c r="I5796" t="s">
        <v>3693</v>
      </c>
      <c r="J5796" t="s">
        <v>30308</v>
      </c>
      <c r="K5796" t="s">
        <v>39025</v>
      </c>
      <c r="M5796" t="s">
        <v>41373</v>
      </c>
      <c r="N5796" t="s">
        <v>43166</v>
      </c>
      <c r="O5796" t="s">
        <v>43167</v>
      </c>
      <c r="P5796">
        <v>0</v>
      </c>
      <c r="Q5796">
        <v>2</v>
      </c>
      <c r="R5796" t="s">
        <v>43172</v>
      </c>
      <c r="S5796" t="s">
        <v>43334</v>
      </c>
      <c r="T5796" t="s">
        <v>44691</v>
      </c>
      <c r="U5796" t="s">
        <v>49931</v>
      </c>
      <c r="V5796" t="s">
        <v>57445</v>
      </c>
      <c r="W5796" t="s">
        <v>41373</v>
      </c>
      <c r="X5796" t="s">
        <v>43173</v>
      </c>
    </row>
    <row r="5797" spans="1:24">
      <c r="A5797">
        <f>HYPERLINK("https://www.philgeps.gov.ph/GEPSNONPILOT/Tender/SplashBidNoticeAbstractUI.aspx?menuIndex=3&amp;refID=7080430&amp;Result=3","7080430")</f>
        <v>0</v>
      </c>
      <c r="B5797" t="s">
        <v>1889</v>
      </c>
      <c r="C5797" t="s">
        <v>8709</v>
      </c>
      <c r="D5797" t="s">
        <v>17465</v>
      </c>
      <c r="E5797" t="s">
        <v>22511</v>
      </c>
      <c r="F5797" t="s">
        <v>30052</v>
      </c>
      <c r="G5797" t="s">
        <v>30061</v>
      </c>
      <c r="H5797" t="s">
        <v>15498</v>
      </c>
      <c r="I5797" t="s">
        <v>30085</v>
      </c>
      <c r="J5797" t="s">
        <v>33858</v>
      </c>
      <c r="K5797" t="s">
        <v>39025</v>
      </c>
      <c r="M5797" t="s">
        <v>41320</v>
      </c>
      <c r="N5797" t="s">
        <v>43166</v>
      </c>
      <c r="O5797" t="s">
        <v>43167</v>
      </c>
      <c r="P5797">
        <v>0</v>
      </c>
      <c r="Q5797">
        <v>1</v>
      </c>
      <c r="R5797" t="s">
        <v>43172</v>
      </c>
      <c r="S5797" t="s">
        <v>43334</v>
      </c>
      <c r="T5797" t="s">
        <v>44715</v>
      </c>
      <c r="U5797" t="s">
        <v>49932</v>
      </c>
      <c r="W5797" t="s">
        <v>41320</v>
      </c>
      <c r="X5797" t="s">
        <v>43173</v>
      </c>
    </row>
    <row r="5798" spans="1:24">
      <c r="A5798">
        <f>HYPERLINK("https://www.philgeps.gov.ph/GEPSNONPILOT/Tender/SplashBidNoticeAbstractUI.aspx?menuIndex=3&amp;refID=7080462&amp;Result=3","7080462")</f>
        <v>0</v>
      </c>
      <c r="B5798" t="s">
        <v>1908</v>
      </c>
      <c r="C5798" t="s">
        <v>8946</v>
      </c>
      <c r="D5798" t="s">
        <v>17468</v>
      </c>
      <c r="E5798" t="s">
        <v>22512</v>
      </c>
      <c r="F5798" t="s">
        <v>30052</v>
      </c>
      <c r="G5798" t="s">
        <v>30058</v>
      </c>
      <c r="H5798" t="s">
        <v>15498</v>
      </c>
      <c r="I5798" t="s">
        <v>30080</v>
      </c>
      <c r="J5798" t="s">
        <v>33859</v>
      </c>
      <c r="K5798" t="s">
        <v>39029</v>
      </c>
      <c r="M5798" t="s">
        <v>41339</v>
      </c>
      <c r="N5798" t="s">
        <v>43166</v>
      </c>
      <c r="O5798" t="s">
        <v>43167</v>
      </c>
      <c r="P5798">
        <v>0</v>
      </c>
      <c r="Q5798">
        <v>11</v>
      </c>
      <c r="R5798" t="s">
        <v>43172</v>
      </c>
      <c r="S5798" t="s">
        <v>43334</v>
      </c>
      <c r="T5798" t="s">
        <v>44716</v>
      </c>
      <c r="U5798" t="s">
        <v>49933</v>
      </c>
      <c r="W5798" t="s">
        <v>41339</v>
      </c>
      <c r="X5798" t="s">
        <v>43173</v>
      </c>
    </row>
    <row r="5799" spans="1:24">
      <c r="A5799">
        <f>HYPERLINK("https://www.philgeps.gov.ph/GEPSNONPILOT/Tender/SplashBidNoticeAbstractUI.aspx?menuIndex=3&amp;refID=7080459&amp;Result=3","7080459")</f>
        <v>0</v>
      </c>
      <c r="B5799" t="s">
        <v>1505</v>
      </c>
      <c r="C5799" t="s">
        <v>8947</v>
      </c>
      <c r="D5799" t="s">
        <v>17462</v>
      </c>
      <c r="E5799" t="s">
        <v>22513</v>
      </c>
      <c r="F5799" t="s">
        <v>30052</v>
      </c>
      <c r="G5799" t="s">
        <v>30058</v>
      </c>
      <c r="H5799" t="s">
        <v>30067</v>
      </c>
      <c r="I5799" t="s">
        <v>3693</v>
      </c>
      <c r="J5799" t="s">
        <v>30281</v>
      </c>
      <c r="K5799" t="s">
        <v>39046</v>
      </c>
      <c r="M5799" t="s">
        <v>40889</v>
      </c>
      <c r="N5799" t="s">
        <v>43166</v>
      </c>
      <c r="O5799" t="s">
        <v>43167</v>
      </c>
      <c r="P5799">
        <v>0</v>
      </c>
      <c r="Q5799">
        <v>4</v>
      </c>
      <c r="R5799" t="s">
        <v>43172</v>
      </c>
      <c r="S5799" t="s">
        <v>43334</v>
      </c>
      <c r="T5799" t="s">
        <v>44842</v>
      </c>
      <c r="U5799" t="s">
        <v>49934</v>
      </c>
      <c r="W5799" t="s">
        <v>58641</v>
      </c>
      <c r="X5799" t="s">
        <v>43173</v>
      </c>
    </row>
    <row r="5800" spans="1:24">
      <c r="A5800">
        <f>HYPERLINK("https://www.philgeps.gov.ph/GEPSNONPILOT/Tender/SplashBidNoticeAbstractUI.aspx?menuIndex=3&amp;refID=7080457&amp;Result=3","7080457")</f>
        <v>0</v>
      </c>
      <c r="B5800" t="s">
        <v>1935</v>
      </c>
      <c r="C5800" t="s">
        <v>8898</v>
      </c>
      <c r="D5800" t="s">
        <v>17418</v>
      </c>
      <c r="E5800" t="s">
        <v>22514</v>
      </c>
      <c r="F5800" t="s">
        <v>30052</v>
      </c>
      <c r="G5800" t="s">
        <v>30058</v>
      </c>
      <c r="H5800" t="s">
        <v>30067</v>
      </c>
      <c r="I5800" t="s">
        <v>3693</v>
      </c>
      <c r="J5800" t="s">
        <v>33860</v>
      </c>
      <c r="K5800" t="s">
        <v>39065</v>
      </c>
      <c r="M5800" t="s">
        <v>41369</v>
      </c>
      <c r="N5800" t="s">
        <v>43166</v>
      </c>
      <c r="O5800" t="s">
        <v>43167</v>
      </c>
      <c r="P5800">
        <v>0</v>
      </c>
      <c r="Q5800">
        <v>0</v>
      </c>
      <c r="R5800" t="s">
        <v>43172</v>
      </c>
      <c r="S5800" t="s">
        <v>43334</v>
      </c>
      <c r="T5800" t="s">
        <v>44691</v>
      </c>
      <c r="U5800" t="s">
        <v>49935</v>
      </c>
      <c r="W5800" t="s">
        <v>41369</v>
      </c>
      <c r="X5800" t="s">
        <v>43173</v>
      </c>
    </row>
    <row r="5801" spans="1:24">
      <c r="A5801">
        <f>HYPERLINK("https://www.philgeps.gov.ph/GEPSNONPILOT/Tender/SplashBidNoticeAbstractUI.aspx?menuIndex=3&amp;refID=7080407&amp;Result=3","7080407")</f>
        <v>0</v>
      </c>
      <c r="B5801" t="s">
        <v>969</v>
      </c>
      <c r="C5801" t="s">
        <v>8948</v>
      </c>
      <c r="D5801" t="s">
        <v>17449</v>
      </c>
      <c r="E5801" t="s">
        <v>22515</v>
      </c>
      <c r="F5801" t="s">
        <v>30052</v>
      </c>
      <c r="G5801" t="s">
        <v>30058</v>
      </c>
      <c r="H5801" t="s">
        <v>30067</v>
      </c>
      <c r="I5801" t="s">
        <v>3693</v>
      </c>
      <c r="J5801" t="s">
        <v>30218</v>
      </c>
      <c r="K5801" t="s">
        <v>39029</v>
      </c>
      <c r="M5801" t="s">
        <v>40295</v>
      </c>
      <c r="N5801" t="s">
        <v>43166</v>
      </c>
      <c r="O5801" t="s">
        <v>43167</v>
      </c>
      <c r="P5801">
        <v>0</v>
      </c>
      <c r="Q5801">
        <v>2</v>
      </c>
      <c r="R5801" t="s">
        <v>43172</v>
      </c>
      <c r="S5801" t="s">
        <v>43334</v>
      </c>
      <c r="T5801" t="s">
        <v>44945</v>
      </c>
      <c r="U5801" t="s">
        <v>49936</v>
      </c>
      <c r="W5801" t="s">
        <v>40295</v>
      </c>
      <c r="X5801" t="s">
        <v>43173</v>
      </c>
    </row>
    <row r="5802" spans="1:24">
      <c r="A5802">
        <f>HYPERLINK("https://www.philgeps.gov.ph/GEPSNONPILOT/Tender/SplashBidNoticeAbstractUI.aspx?menuIndex=3&amp;refID=7080454&amp;Result=3","7080454")</f>
        <v>0</v>
      </c>
      <c r="B5802" t="s">
        <v>1533</v>
      </c>
      <c r="C5802" t="s">
        <v>8949</v>
      </c>
      <c r="D5802" t="s">
        <v>17463</v>
      </c>
      <c r="E5802" t="s">
        <v>22485</v>
      </c>
      <c r="F5802" t="s">
        <v>30052</v>
      </c>
      <c r="G5802" t="s">
        <v>30059</v>
      </c>
      <c r="H5802" t="s">
        <v>15498</v>
      </c>
      <c r="I5802" t="s">
        <v>6691</v>
      </c>
      <c r="J5802" t="s">
        <v>33861</v>
      </c>
      <c r="K5802" t="s">
        <v>39017</v>
      </c>
      <c r="M5802" t="s">
        <v>40919</v>
      </c>
      <c r="N5802" t="s">
        <v>43166</v>
      </c>
      <c r="O5802" t="s">
        <v>43167</v>
      </c>
      <c r="P5802">
        <v>0</v>
      </c>
      <c r="Q5802">
        <v>0</v>
      </c>
      <c r="R5802" t="s">
        <v>43172</v>
      </c>
      <c r="S5802" t="s">
        <v>43334</v>
      </c>
      <c r="T5802" t="s">
        <v>44687</v>
      </c>
      <c r="U5802" t="s">
        <v>49907</v>
      </c>
      <c r="W5802" t="s">
        <v>40919</v>
      </c>
      <c r="X5802" t="s">
        <v>43173</v>
      </c>
    </row>
    <row r="5803" spans="1:24">
      <c r="A5803">
        <f>HYPERLINK("https://www.philgeps.gov.ph/GEPSNONPILOT/Tender/SplashBidNoticeAbstractUI.aspx?menuIndex=3&amp;refID=7080453&amp;Result=3","7080453")</f>
        <v>0</v>
      </c>
      <c r="B5803" t="s">
        <v>1943</v>
      </c>
      <c r="C5803" t="s">
        <v>8950</v>
      </c>
      <c r="D5803" t="s">
        <v>17449</v>
      </c>
      <c r="E5803" t="s">
        <v>22516</v>
      </c>
      <c r="F5803" t="s">
        <v>30052</v>
      </c>
      <c r="G5803" t="s">
        <v>30058</v>
      </c>
      <c r="H5803" t="s">
        <v>30067</v>
      </c>
      <c r="I5803" t="s">
        <v>3693</v>
      </c>
      <c r="J5803" t="s">
        <v>33862</v>
      </c>
      <c r="K5803" t="s">
        <v>39162</v>
      </c>
      <c r="M5803" t="s">
        <v>41378</v>
      </c>
      <c r="N5803" t="s">
        <v>43166</v>
      </c>
      <c r="O5803" t="s">
        <v>43167</v>
      </c>
      <c r="P5803">
        <v>0</v>
      </c>
      <c r="Q5803">
        <v>0</v>
      </c>
      <c r="R5803" t="s">
        <v>43172</v>
      </c>
      <c r="S5803" t="s">
        <v>43334</v>
      </c>
      <c r="T5803" t="s">
        <v>44691</v>
      </c>
      <c r="U5803" t="s">
        <v>49135</v>
      </c>
      <c r="V5803" t="s">
        <v>57449</v>
      </c>
      <c r="W5803" t="s">
        <v>41378</v>
      </c>
      <c r="X5803" t="s">
        <v>43173</v>
      </c>
    </row>
    <row r="5804" spans="1:24">
      <c r="A5804">
        <f>HYPERLINK("https://www.philgeps.gov.ph/GEPSNONPILOT/Tender/SplashBidNoticeAbstractUI.aspx?menuIndex=3&amp;refID=7080452&amp;Result=3","7080452")</f>
        <v>0</v>
      </c>
      <c r="B5804" t="s">
        <v>1944</v>
      </c>
      <c r="C5804" t="s">
        <v>3459</v>
      </c>
      <c r="D5804" t="s">
        <v>17450</v>
      </c>
      <c r="E5804" t="s">
        <v>22517</v>
      </c>
      <c r="F5804" t="s">
        <v>30052</v>
      </c>
      <c r="G5804" t="s">
        <v>30058</v>
      </c>
      <c r="H5804" t="s">
        <v>15498</v>
      </c>
      <c r="I5804" t="s">
        <v>30070</v>
      </c>
      <c r="J5804" t="s">
        <v>33863</v>
      </c>
      <c r="K5804" t="s">
        <v>39025</v>
      </c>
      <c r="M5804" t="s">
        <v>41381</v>
      </c>
      <c r="N5804" t="s">
        <v>43166</v>
      </c>
      <c r="O5804" t="s">
        <v>43167</v>
      </c>
      <c r="P5804">
        <v>0</v>
      </c>
      <c r="Q5804">
        <v>2</v>
      </c>
      <c r="R5804" t="s">
        <v>43172</v>
      </c>
      <c r="S5804" t="s">
        <v>43334</v>
      </c>
      <c r="T5804" t="s">
        <v>44696</v>
      </c>
      <c r="U5804" t="s">
        <v>45217</v>
      </c>
      <c r="W5804" t="s">
        <v>41381</v>
      </c>
      <c r="X5804" t="s">
        <v>43173</v>
      </c>
    </row>
    <row r="5805" spans="1:24">
      <c r="A5805">
        <f>HYPERLINK("https://www.philgeps.gov.ph/GEPSNONPILOT/Tender/SplashBidNoticeAbstractUI.aspx?menuIndex=3&amp;refID=7080448&amp;Result=3","7080448")</f>
        <v>0</v>
      </c>
      <c r="B5805" t="s">
        <v>1727</v>
      </c>
      <c r="C5805" t="s">
        <v>8951</v>
      </c>
      <c r="D5805" t="s">
        <v>17436</v>
      </c>
      <c r="E5805" t="s">
        <v>22518</v>
      </c>
      <c r="F5805" t="s">
        <v>30052</v>
      </c>
      <c r="G5805" t="s">
        <v>30058</v>
      </c>
      <c r="H5805" t="s">
        <v>15498</v>
      </c>
      <c r="I5805" t="s">
        <v>30070</v>
      </c>
      <c r="J5805" t="s">
        <v>30905</v>
      </c>
      <c r="K5805" t="s">
        <v>39034</v>
      </c>
      <c r="M5805" t="s">
        <v>41144</v>
      </c>
      <c r="N5805" t="s">
        <v>43166</v>
      </c>
      <c r="O5805" t="s">
        <v>43167</v>
      </c>
      <c r="P5805">
        <v>0</v>
      </c>
      <c r="Q5805">
        <v>0</v>
      </c>
      <c r="R5805" t="s">
        <v>43172</v>
      </c>
      <c r="S5805" t="s">
        <v>43334</v>
      </c>
      <c r="T5805" t="s">
        <v>44818</v>
      </c>
      <c r="U5805" t="s">
        <v>49937</v>
      </c>
      <c r="W5805" t="s">
        <v>41144</v>
      </c>
      <c r="X5805" t="s">
        <v>43173</v>
      </c>
    </row>
    <row r="5806" spans="1:24">
      <c r="A5806">
        <f>HYPERLINK("https://www.philgeps.gov.ph/GEPSNONPILOT/Tender/SplashBidNoticeAbstractUI.aspx?menuIndex=3&amp;refID=7080458&amp;Result=3","7080458")</f>
        <v>0</v>
      </c>
      <c r="B5806" t="s">
        <v>1945</v>
      </c>
      <c r="C5806" t="s">
        <v>8952</v>
      </c>
      <c r="D5806" t="s">
        <v>17427</v>
      </c>
      <c r="E5806" t="s">
        <v>22519</v>
      </c>
      <c r="F5806" t="s">
        <v>30052</v>
      </c>
      <c r="G5806" t="s">
        <v>30059</v>
      </c>
      <c r="H5806" t="s">
        <v>15498</v>
      </c>
      <c r="I5806" t="s">
        <v>30189</v>
      </c>
      <c r="J5806" t="s">
        <v>30900</v>
      </c>
      <c r="K5806" t="s">
        <v>39029</v>
      </c>
      <c r="M5806" t="s">
        <v>41382</v>
      </c>
      <c r="N5806" t="s">
        <v>43166</v>
      </c>
      <c r="O5806" t="s">
        <v>43167</v>
      </c>
      <c r="P5806">
        <v>0</v>
      </c>
      <c r="Q5806">
        <v>1</v>
      </c>
      <c r="R5806" t="s">
        <v>43172</v>
      </c>
      <c r="S5806" t="s">
        <v>43334</v>
      </c>
      <c r="T5806" t="s">
        <v>44728</v>
      </c>
      <c r="U5806" t="s">
        <v>49938</v>
      </c>
      <c r="W5806" t="s">
        <v>41382</v>
      </c>
      <c r="X5806" t="s">
        <v>43173</v>
      </c>
    </row>
    <row r="5807" spans="1:24">
      <c r="A5807">
        <f>HYPERLINK("https://www.philgeps.gov.ph/GEPSNONPILOT/Tender/SplashBidNoticeAbstractUI.aspx?menuIndex=3&amp;refID=7080456&amp;Result=3","7080456")</f>
        <v>0</v>
      </c>
      <c r="B5807" t="s">
        <v>1853</v>
      </c>
      <c r="C5807" t="s">
        <v>8953</v>
      </c>
      <c r="D5807" t="s">
        <v>17464</v>
      </c>
      <c r="E5807" t="s">
        <v>18326</v>
      </c>
      <c r="F5807" t="s">
        <v>30052</v>
      </c>
      <c r="G5807" t="s">
        <v>30058</v>
      </c>
      <c r="H5807" t="s">
        <v>30067</v>
      </c>
      <c r="I5807" t="s">
        <v>3693</v>
      </c>
      <c r="J5807" t="s">
        <v>30277</v>
      </c>
      <c r="K5807" t="s">
        <v>39025</v>
      </c>
      <c r="M5807" t="s">
        <v>41281</v>
      </c>
      <c r="N5807" t="s">
        <v>43166</v>
      </c>
      <c r="O5807" t="s">
        <v>43167</v>
      </c>
      <c r="P5807">
        <v>0</v>
      </c>
      <c r="Q5807">
        <v>0</v>
      </c>
      <c r="R5807" t="s">
        <v>43172</v>
      </c>
      <c r="S5807" t="s">
        <v>43334</v>
      </c>
      <c r="T5807" t="s">
        <v>44806</v>
      </c>
      <c r="U5807" t="s">
        <v>49939</v>
      </c>
      <c r="W5807" t="s">
        <v>41281</v>
      </c>
      <c r="X5807" t="s">
        <v>43173</v>
      </c>
    </row>
    <row r="5808" spans="1:24">
      <c r="A5808">
        <f>HYPERLINK("https://www.philgeps.gov.ph/GEPSNONPILOT/Tender/SplashBidNoticeAbstractUI.aspx?menuIndex=3&amp;refID=7080443&amp;Result=3","7080443")</f>
        <v>0</v>
      </c>
      <c r="B5808" t="s">
        <v>1946</v>
      </c>
      <c r="C5808" t="s">
        <v>8954</v>
      </c>
      <c r="D5808" t="s">
        <v>17459</v>
      </c>
      <c r="E5808" t="s">
        <v>20231</v>
      </c>
      <c r="F5808" t="s">
        <v>30052</v>
      </c>
      <c r="G5808" t="s">
        <v>30058</v>
      </c>
      <c r="H5808" t="s">
        <v>30067</v>
      </c>
      <c r="I5808" t="s">
        <v>3693</v>
      </c>
      <c r="J5808" t="s">
        <v>31133</v>
      </c>
      <c r="K5808" t="s">
        <v>39032</v>
      </c>
      <c r="M5808" t="s">
        <v>41383</v>
      </c>
      <c r="N5808" t="s">
        <v>43166</v>
      </c>
      <c r="O5808" t="s">
        <v>43167</v>
      </c>
      <c r="P5808">
        <v>0</v>
      </c>
      <c r="Q5808">
        <v>0</v>
      </c>
      <c r="R5808" t="s">
        <v>43172</v>
      </c>
      <c r="S5808" t="s">
        <v>43334</v>
      </c>
      <c r="T5808" t="s">
        <v>44691</v>
      </c>
      <c r="U5808" t="s">
        <v>49940</v>
      </c>
      <c r="W5808" t="s">
        <v>41383</v>
      </c>
      <c r="X5808" t="s">
        <v>43173</v>
      </c>
    </row>
    <row r="5809" spans="1:24">
      <c r="A5809">
        <f>HYPERLINK("https://www.philgeps.gov.ph/GEPSNONPILOT/Tender/SplashBidNoticeAbstractUI.aspx?menuIndex=3&amp;refID=7080442&amp;Result=3","7080442")</f>
        <v>0</v>
      </c>
      <c r="B5809" t="s">
        <v>1935</v>
      </c>
      <c r="C5809" t="s">
        <v>8898</v>
      </c>
      <c r="D5809" t="s">
        <v>17418</v>
      </c>
      <c r="E5809" t="s">
        <v>22520</v>
      </c>
      <c r="F5809" t="s">
        <v>30052</v>
      </c>
      <c r="G5809" t="s">
        <v>30058</v>
      </c>
      <c r="H5809" t="s">
        <v>30067</v>
      </c>
      <c r="I5809" t="s">
        <v>3693</v>
      </c>
      <c r="J5809" t="s">
        <v>33864</v>
      </c>
      <c r="K5809" t="s">
        <v>39081</v>
      </c>
      <c r="M5809" t="s">
        <v>41369</v>
      </c>
      <c r="N5809" t="s">
        <v>43166</v>
      </c>
      <c r="O5809" t="s">
        <v>43167</v>
      </c>
      <c r="P5809">
        <v>0</v>
      </c>
      <c r="Q5809">
        <v>0</v>
      </c>
      <c r="R5809" t="s">
        <v>43172</v>
      </c>
      <c r="S5809" t="s">
        <v>43334</v>
      </c>
      <c r="T5809" t="s">
        <v>44691</v>
      </c>
      <c r="U5809" t="s">
        <v>49941</v>
      </c>
      <c r="W5809" t="s">
        <v>41369</v>
      </c>
      <c r="X5809" t="s">
        <v>43173</v>
      </c>
    </row>
    <row r="5810" spans="1:24">
      <c r="A5810">
        <f>HYPERLINK("https://www.philgeps.gov.ph/GEPSNONPILOT/Tender/SplashBidNoticeAbstractUI.aspx?menuIndex=3&amp;refID=7080413&amp;Result=3","7080413")</f>
        <v>0</v>
      </c>
      <c r="B5810" t="s">
        <v>1171</v>
      </c>
      <c r="C5810" t="s">
        <v>8955</v>
      </c>
      <c r="E5810" t="s">
        <v>20202</v>
      </c>
      <c r="F5810" t="s">
        <v>30054</v>
      </c>
      <c r="G5810" t="s">
        <v>30058</v>
      </c>
      <c r="H5810" t="s">
        <v>15498</v>
      </c>
      <c r="I5810" t="s">
        <v>3736</v>
      </c>
      <c r="J5810" t="s">
        <v>30358</v>
      </c>
      <c r="K5810" t="s">
        <v>39025</v>
      </c>
      <c r="M5810" t="s">
        <v>40519</v>
      </c>
      <c r="N5810" t="s">
        <v>43166</v>
      </c>
      <c r="O5810" t="s">
        <v>43167</v>
      </c>
      <c r="P5810">
        <v>0</v>
      </c>
      <c r="Q5810">
        <v>0</v>
      </c>
      <c r="R5810" t="s">
        <v>43172</v>
      </c>
      <c r="S5810" t="s">
        <v>43334</v>
      </c>
      <c r="T5810" t="s">
        <v>44877</v>
      </c>
      <c r="U5810" t="s">
        <v>47742</v>
      </c>
      <c r="W5810" t="s">
        <v>40519</v>
      </c>
      <c r="X5810" t="s">
        <v>43173</v>
      </c>
    </row>
    <row r="5811" spans="1:24">
      <c r="A5811">
        <f>HYPERLINK("https://www.philgeps.gov.ph/GEPSNONPILOT/Tender/SplashBidNoticeAbstractUI.aspx?menuIndex=3&amp;refID=7080439&amp;Result=3","7080439")</f>
        <v>0</v>
      </c>
      <c r="B5811" t="s">
        <v>1727</v>
      </c>
      <c r="C5811" t="s">
        <v>8956</v>
      </c>
      <c r="D5811" t="s">
        <v>17436</v>
      </c>
      <c r="E5811" t="s">
        <v>22521</v>
      </c>
      <c r="F5811" t="s">
        <v>30052</v>
      </c>
      <c r="G5811" t="s">
        <v>30058</v>
      </c>
      <c r="H5811" t="s">
        <v>15498</v>
      </c>
      <c r="I5811" t="s">
        <v>30070</v>
      </c>
      <c r="J5811" t="s">
        <v>33865</v>
      </c>
      <c r="K5811" t="s">
        <v>39034</v>
      </c>
      <c r="M5811" t="s">
        <v>41144</v>
      </c>
      <c r="N5811" t="s">
        <v>43166</v>
      </c>
      <c r="O5811" t="s">
        <v>43167</v>
      </c>
      <c r="P5811">
        <v>0</v>
      </c>
      <c r="Q5811">
        <v>0</v>
      </c>
      <c r="R5811" t="s">
        <v>43172</v>
      </c>
      <c r="S5811" t="s">
        <v>43334</v>
      </c>
      <c r="T5811" t="s">
        <v>44818</v>
      </c>
      <c r="U5811" t="s">
        <v>49942</v>
      </c>
      <c r="W5811" t="s">
        <v>41144</v>
      </c>
      <c r="X5811" t="s">
        <v>43173</v>
      </c>
    </row>
    <row r="5812" spans="1:24">
      <c r="A5812">
        <f>HYPERLINK("https://www.philgeps.gov.ph/GEPSNONPILOT/Tender/SplashBidNoticeAbstractUI.aspx?menuIndex=3&amp;refID=7080449&amp;Result=3","7080449")</f>
        <v>0</v>
      </c>
      <c r="B5812" t="s">
        <v>1325</v>
      </c>
      <c r="C5812" t="s">
        <v>8957</v>
      </c>
      <c r="D5812" t="s">
        <v>17413</v>
      </c>
      <c r="E5812" t="s">
        <v>22522</v>
      </c>
      <c r="F5812" t="s">
        <v>30052</v>
      </c>
      <c r="G5812" t="s">
        <v>30058</v>
      </c>
      <c r="H5812" t="s">
        <v>30067</v>
      </c>
      <c r="I5812" t="s">
        <v>3693</v>
      </c>
      <c r="J5812" t="s">
        <v>31157</v>
      </c>
      <c r="K5812" t="s">
        <v>39163</v>
      </c>
      <c r="M5812" t="s">
        <v>40692</v>
      </c>
      <c r="N5812" t="s">
        <v>43166</v>
      </c>
      <c r="O5812" t="s">
        <v>43167</v>
      </c>
      <c r="P5812">
        <v>0</v>
      </c>
      <c r="Q5812">
        <v>0</v>
      </c>
      <c r="R5812" t="s">
        <v>43172</v>
      </c>
      <c r="S5812" t="s">
        <v>43334</v>
      </c>
      <c r="T5812" t="s">
        <v>45009</v>
      </c>
      <c r="U5812" t="s">
        <v>49943</v>
      </c>
      <c r="W5812" t="s">
        <v>40692</v>
      </c>
      <c r="X5812" t="s">
        <v>43173</v>
      </c>
    </row>
    <row r="5813" spans="1:24">
      <c r="A5813">
        <f>HYPERLINK("https://www.philgeps.gov.ph/GEPSNONPILOT/Tender/SplashBidNoticeAbstractUI.aspx?menuIndex=3&amp;refID=7080491&amp;Result=3","7080491")</f>
        <v>0</v>
      </c>
      <c r="B5813" t="s">
        <v>1947</v>
      </c>
      <c r="C5813" t="s">
        <v>8958</v>
      </c>
      <c r="D5813" t="s">
        <v>17446</v>
      </c>
      <c r="E5813" t="s">
        <v>22523</v>
      </c>
      <c r="F5813" t="s">
        <v>30052</v>
      </c>
      <c r="G5813" t="s">
        <v>30061</v>
      </c>
      <c r="H5813" t="s">
        <v>15498</v>
      </c>
      <c r="I5813" t="s">
        <v>30142</v>
      </c>
      <c r="J5813" t="s">
        <v>33866</v>
      </c>
      <c r="K5813" t="s">
        <v>39025</v>
      </c>
      <c r="M5813" t="s">
        <v>41384</v>
      </c>
      <c r="N5813" t="s">
        <v>43166</v>
      </c>
      <c r="O5813" t="s">
        <v>43167</v>
      </c>
      <c r="P5813">
        <v>0</v>
      </c>
      <c r="Q5813">
        <v>2</v>
      </c>
      <c r="R5813" t="s">
        <v>43172</v>
      </c>
      <c r="S5813" t="s">
        <v>43334</v>
      </c>
      <c r="T5813" t="s">
        <v>44720</v>
      </c>
      <c r="U5813" t="s">
        <v>49944</v>
      </c>
      <c r="W5813" t="s">
        <v>41384</v>
      </c>
      <c r="X5813" t="s">
        <v>43173</v>
      </c>
    </row>
    <row r="5814" spans="1:24">
      <c r="A5814">
        <f>HYPERLINK("https://www.philgeps.gov.ph/GEPSNONPILOT/Tender/SplashBidNoticeAbstractUI.aspx?menuIndex=3&amp;refID=7080446&amp;Result=3","7080446")</f>
        <v>0</v>
      </c>
      <c r="B5814" t="s">
        <v>381</v>
      </c>
      <c r="C5814" t="s">
        <v>8959</v>
      </c>
      <c r="D5814" t="s">
        <v>17449</v>
      </c>
      <c r="E5814" t="s">
        <v>22524</v>
      </c>
      <c r="F5814" t="s">
        <v>30052</v>
      </c>
      <c r="G5814" t="s">
        <v>30058</v>
      </c>
      <c r="H5814" t="s">
        <v>30067</v>
      </c>
      <c r="I5814" t="s">
        <v>3693</v>
      </c>
      <c r="J5814" t="s">
        <v>33867</v>
      </c>
      <c r="K5814" t="s">
        <v>39029</v>
      </c>
      <c r="M5814" t="s">
        <v>39679</v>
      </c>
      <c r="N5814" t="s">
        <v>43166</v>
      </c>
      <c r="O5814" t="s">
        <v>43167</v>
      </c>
      <c r="P5814">
        <v>0</v>
      </c>
      <c r="Q5814">
        <v>0</v>
      </c>
      <c r="R5814" t="s">
        <v>43172</v>
      </c>
      <c r="S5814" t="s">
        <v>43334</v>
      </c>
      <c r="T5814" t="s">
        <v>44691</v>
      </c>
      <c r="U5814" t="s">
        <v>49945</v>
      </c>
      <c r="W5814" t="s">
        <v>39679</v>
      </c>
      <c r="X5814" t="s">
        <v>43173</v>
      </c>
    </row>
    <row r="5815" spans="1:24">
      <c r="A5815">
        <f>HYPERLINK("https://www.philgeps.gov.ph/GEPSNONPILOT/Tender/SplashBidNoticeAbstractUI.aspx?menuIndex=3&amp;refID=7080496&amp;Result=3","7080496")</f>
        <v>0</v>
      </c>
      <c r="B5815" t="s">
        <v>1235</v>
      </c>
      <c r="C5815" t="s">
        <v>8960</v>
      </c>
      <c r="D5815" t="s">
        <v>17415</v>
      </c>
      <c r="E5815" t="s">
        <v>22525</v>
      </c>
      <c r="F5815" t="s">
        <v>30052</v>
      </c>
      <c r="G5815" t="s">
        <v>30059</v>
      </c>
      <c r="H5815" t="s">
        <v>15498</v>
      </c>
      <c r="I5815" t="s">
        <v>30076</v>
      </c>
      <c r="J5815" t="s">
        <v>30248</v>
      </c>
      <c r="K5815" t="s">
        <v>39034</v>
      </c>
      <c r="M5815" t="s">
        <v>40589</v>
      </c>
      <c r="N5815" t="s">
        <v>43166</v>
      </c>
      <c r="O5815" t="s">
        <v>43167</v>
      </c>
      <c r="P5815">
        <v>0</v>
      </c>
      <c r="Q5815">
        <v>9</v>
      </c>
      <c r="R5815" t="s">
        <v>43172</v>
      </c>
      <c r="S5815" t="s">
        <v>43334</v>
      </c>
      <c r="T5815" t="s">
        <v>44717</v>
      </c>
      <c r="U5815" t="s">
        <v>49946</v>
      </c>
      <c r="W5815" t="s">
        <v>40589</v>
      </c>
      <c r="X5815" t="s">
        <v>43173</v>
      </c>
    </row>
    <row r="5816" spans="1:24">
      <c r="A5816">
        <f>HYPERLINK("https://www.philgeps.gov.ph/GEPSNONPILOT/Tender/SplashBidNoticeAbstractUI.aspx?menuIndex=3&amp;refID=7080492&amp;Result=3","7080492")</f>
        <v>0</v>
      </c>
      <c r="B5816" t="s">
        <v>102</v>
      </c>
      <c r="C5816" t="s">
        <v>3589</v>
      </c>
      <c r="D5816" t="s">
        <v>17433</v>
      </c>
      <c r="E5816" t="s">
        <v>17644</v>
      </c>
      <c r="F5816" t="s">
        <v>30052</v>
      </c>
      <c r="G5816" t="s">
        <v>30058</v>
      </c>
      <c r="H5816" t="s">
        <v>15498</v>
      </c>
      <c r="I5816" t="s">
        <v>3606</v>
      </c>
      <c r="J5816" t="s">
        <v>33868</v>
      </c>
      <c r="K5816" t="s">
        <v>39029</v>
      </c>
      <c r="M5816" t="s">
        <v>39391</v>
      </c>
      <c r="N5816" t="s">
        <v>43166</v>
      </c>
      <c r="O5816" t="s">
        <v>43167</v>
      </c>
      <c r="P5816">
        <v>0</v>
      </c>
      <c r="Q5816">
        <v>5</v>
      </c>
      <c r="R5816" t="s">
        <v>43172</v>
      </c>
      <c r="S5816" t="s">
        <v>43334</v>
      </c>
      <c r="T5816" t="s">
        <v>44789</v>
      </c>
      <c r="U5816" t="s">
        <v>49947</v>
      </c>
      <c r="W5816" t="s">
        <v>39391</v>
      </c>
      <c r="X5816" t="s">
        <v>43173</v>
      </c>
    </row>
    <row r="5817" spans="1:24">
      <c r="A5817">
        <f>HYPERLINK("https://www.philgeps.gov.ph/GEPSNONPILOT/Tender/SplashBidNoticeAbstractUI.aspx?menuIndex=3&amp;refID=7080485&amp;Result=3","7080485")</f>
        <v>0</v>
      </c>
      <c r="B5817" t="s">
        <v>1576</v>
      </c>
      <c r="C5817" t="s">
        <v>8961</v>
      </c>
      <c r="D5817" t="s">
        <v>17429</v>
      </c>
      <c r="E5817" t="s">
        <v>22526</v>
      </c>
      <c r="F5817" t="s">
        <v>30052</v>
      </c>
      <c r="G5817" t="s">
        <v>30059</v>
      </c>
      <c r="H5817" t="s">
        <v>15498</v>
      </c>
      <c r="I5817" t="s">
        <v>30144</v>
      </c>
      <c r="J5817" t="s">
        <v>30218</v>
      </c>
      <c r="K5817" t="s">
        <v>39025</v>
      </c>
      <c r="M5817" t="s">
        <v>40969</v>
      </c>
      <c r="N5817" t="s">
        <v>43166</v>
      </c>
      <c r="O5817" t="s">
        <v>43167</v>
      </c>
      <c r="P5817">
        <v>0</v>
      </c>
      <c r="Q5817">
        <v>2</v>
      </c>
      <c r="R5817" t="s">
        <v>43172</v>
      </c>
      <c r="S5817" t="s">
        <v>43334</v>
      </c>
      <c r="T5817" t="s">
        <v>44888</v>
      </c>
      <c r="U5817" t="s">
        <v>49948</v>
      </c>
      <c r="V5817" t="s">
        <v>56845</v>
      </c>
      <c r="W5817" t="s">
        <v>40969</v>
      </c>
      <c r="X5817" t="s">
        <v>43173</v>
      </c>
    </row>
    <row r="5818" spans="1:24">
      <c r="A5818">
        <f>HYPERLINK("https://www.philgeps.gov.ph/GEPSNONPILOT/Tender/SplashBidNoticeAbstractUI.aspx?menuIndex=3&amp;refID=7080343&amp;Result=3","7080343")</f>
        <v>0</v>
      </c>
      <c r="B5818" t="s">
        <v>1325</v>
      </c>
      <c r="C5818" t="s">
        <v>8962</v>
      </c>
      <c r="D5818" t="s">
        <v>17413</v>
      </c>
      <c r="E5818" t="s">
        <v>22527</v>
      </c>
      <c r="F5818" t="s">
        <v>30052</v>
      </c>
      <c r="G5818" t="s">
        <v>30058</v>
      </c>
      <c r="H5818" t="s">
        <v>30067</v>
      </c>
      <c r="I5818" t="s">
        <v>3693</v>
      </c>
      <c r="J5818" t="s">
        <v>30823</v>
      </c>
      <c r="K5818" t="s">
        <v>39163</v>
      </c>
      <c r="M5818" t="s">
        <v>40692</v>
      </c>
      <c r="N5818" t="s">
        <v>43166</v>
      </c>
      <c r="O5818" t="s">
        <v>43167</v>
      </c>
      <c r="P5818">
        <v>0</v>
      </c>
      <c r="Q5818">
        <v>0</v>
      </c>
      <c r="R5818" t="s">
        <v>43172</v>
      </c>
      <c r="S5818" t="s">
        <v>43334</v>
      </c>
      <c r="T5818" t="s">
        <v>45009</v>
      </c>
      <c r="U5818" t="s">
        <v>49949</v>
      </c>
      <c r="W5818" t="s">
        <v>40692</v>
      </c>
      <c r="X5818" t="s">
        <v>43173</v>
      </c>
    </row>
    <row r="5819" spans="1:24">
      <c r="A5819">
        <f>HYPERLINK("https://www.philgeps.gov.ph/GEPSNONPILOT/Tender/SplashBidNoticeAbstractUI.aspx?menuIndex=3&amp;refID=7080484&amp;Result=3","7080484")</f>
        <v>0</v>
      </c>
      <c r="B5819" t="s">
        <v>1171</v>
      </c>
      <c r="C5819" t="s">
        <v>8963</v>
      </c>
      <c r="E5819" t="s">
        <v>20202</v>
      </c>
      <c r="F5819" t="s">
        <v>30054</v>
      </c>
      <c r="G5819" t="s">
        <v>30058</v>
      </c>
      <c r="H5819" t="s">
        <v>15498</v>
      </c>
      <c r="I5819" t="s">
        <v>3736</v>
      </c>
      <c r="J5819" t="s">
        <v>33869</v>
      </c>
      <c r="K5819" t="s">
        <v>39025</v>
      </c>
      <c r="M5819" t="s">
        <v>40519</v>
      </c>
      <c r="N5819" t="s">
        <v>43166</v>
      </c>
      <c r="O5819" t="s">
        <v>43167</v>
      </c>
      <c r="P5819">
        <v>0</v>
      </c>
      <c r="Q5819">
        <v>0</v>
      </c>
      <c r="R5819" t="s">
        <v>43172</v>
      </c>
      <c r="S5819" t="s">
        <v>43334</v>
      </c>
      <c r="T5819" t="s">
        <v>44877</v>
      </c>
      <c r="U5819" t="s">
        <v>47742</v>
      </c>
      <c r="W5819" t="s">
        <v>40519</v>
      </c>
      <c r="X5819" t="s">
        <v>43173</v>
      </c>
    </row>
    <row r="5820" spans="1:24">
      <c r="A5820">
        <f>HYPERLINK("https://www.philgeps.gov.ph/GEPSNONPILOT/Tender/SplashBidNoticeAbstractUI.aspx?menuIndex=3&amp;refID=7080483&amp;Result=3","7080483")</f>
        <v>0</v>
      </c>
      <c r="B5820" t="s">
        <v>1727</v>
      </c>
      <c r="C5820" t="s">
        <v>8964</v>
      </c>
      <c r="D5820" t="s">
        <v>17436</v>
      </c>
      <c r="E5820" t="s">
        <v>22528</v>
      </c>
      <c r="F5820" t="s">
        <v>30052</v>
      </c>
      <c r="G5820" t="s">
        <v>30058</v>
      </c>
      <c r="H5820" t="s">
        <v>15498</v>
      </c>
      <c r="I5820" t="s">
        <v>30070</v>
      </c>
      <c r="J5820" t="s">
        <v>32106</v>
      </c>
      <c r="K5820" t="s">
        <v>39034</v>
      </c>
      <c r="M5820" t="s">
        <v>41144</v>
      </c>
      <c r="N5820" t="s">
        <v>43166</v>
      </c>
      <c r="O5820" t="s">
        <v>43167</v>
      </c>
      <c r="P5820">
        <v>0</v>
      </c>
      <c r="Q5820">
        <v>0</v>
      </c>
      <c r="R5820" t="s">
        <v>43172</v>
      </c>
      <c r="S5820" t="s">
        <v>43334</v>
      </c>
      <c r="T5820" t="s">
        <v>44818</v>
      </c>
      <c r="U5820" t="s">
        <v>49950</v>
      </c>
      <c r="W5820" t="s">
        <v>41144</v>
      </c>
      <c r="X5820" t="s">
        <v>43173</v>
      </c>
    </row>
    <row r="5821" spans="1:24">
      <c r="A5821">
        <f>HYPERLINK("https://www.philgeps.gov.ph/GEPSNONPILOT/Tender/SplashBidNoticeAbstractUI.aspx?menuIndex=3&amp;refID=7080482&amp;Result=3","7080482")</f>
        <v>0</v>
      </c>
      <c r="B5821" t="s">
        <v>1321</v>
      </c>
      <c r="C5821" t="s">
        <v>8965</v>
      </c>
      <c r="D5821" t="s">
        <v>17424</v>
      </c>
      <c r="E5821" t="s">
        <v>20004</v>
      </c>
      <c r="F5821" t="s">
        <v>30052</v>
      </c>
      <c r="G5821" t="s">
        <v>30059</v>
      </c>
      <c r="H5821" t="s">
        <v>15498</v>
      </c>
      <c r="I5821" t="s">
        <v>30070</v>
      </c>
      <c r="J5821" t="s">
        <v>33870</v>
      </c>
      <c r="K5821" t="s">
        <v>39017</v>
      </c>
      <c r="M5821" t="s">
        <v>40688</v>
      </c>
      <c r="N5821" t="s">
        <v>43166</v>
      </c>
      <c r="O5821" t="s">
        <v>43167</v>
      </c>
      <c r="P5821">
        <v>0</v>
      </c>
      <c r="Q5821">
        <v>2</v>
      </c>
      <c r="R5821" t="s">
        <v>43172</v>
      </c>
      <c r="S5821" t="s">
        <v>43334</v>
      </c>
      <c r="T5821" t="s">
        <v>44777</v>
      </c>
      <c r="U5821" t="s">
        <v>49951</v>
      </c>
      <c r="W5821" t="s">
        <v>40688</v>
      </c>
      <c r="X5821" t="s">
        <v>43173</v>
      </c>
    </row>
    <row r="5822" spans="1:24">
      <c r="A5822">
        <f>HYPERLINK("https://www.philgeps.gov.ph/GEPSNONPILOT/Tender/SplashBidNoticeAbstractUI.aspx?menuIndex=3&amp;refID=7080479&amp;Result=3","7080479")</f>
        <v>0</v>
      </c>
      <c r="B5822" t="s">
        <v>1935</v>
      </c>
      <c r="C5822" t="s">
        <v>8898</v>
      </c>
      <c r="D5822" t="s">
        <v>17418</v>
      </c>
      <c r="E5822" t="s">
        <v>22529</v>
      </c>
      <c r="F5822" t="s">
        <v>30052</v>
      </c>
      <c r="G5822" t="s">
        <v>30058</v>
      </c>
      <c r="H5822" t="s">
        <v>30067</v>
      </c>
      <c r="I5822" t="s">
        <v>3693</v>
      </c>
      <c r="J5822" t="s">
        <v>30321</v>
      </c>
      <c r="K5822" t="s">
        <v>39065</v>
      </c>
      <c r="M5822" t="s">
        <v>41369</v>
      </c>
      <c r="N5822" t="s">
        <v>43166</v>
      </c>
      <c r="O5822" t="s">
        <v>43167</v>
      </c>
      <c r="P5822">
        <v>0</v>
      </c>
      <c r="Q5822">
        <v>0</v>
      </c>
      <c r="R5822" t="s">
        <v>43172</v>
      </c>
      <c r="S5822" t="s">
        <v>43334</v>
      </c>
      <c r="T5822" t="s">
        <v>44691</v>
      </c>
      <c r="U5822" t="s">
        <v>49952</v>
      </c>
      <c r="W5822" t="s">
        <v>41369</v>
      </c>
      <c r="X5822" t="s">
        <v>43173</v>
      </c>
    </row>
    <row r="5823" spans="1:24">
      <c r="A5823">
        <f>HYPERLINK("https://www.philgeps.gov.ph/GEPSNONPILOT/Tender/SplashBidNoticeAbstractUI.aspx?menuIndex=3&amp;refID=7080478&amp;Result=3","7080478")</f>
        <v>0</v>
      </c>
      <c r="B5823" t="s">
        <v>1948</v>
      </c>
      <c r="C5823" t="s">
        <v>8966</v>
      </c>
      <c r="D5823" t="s">
        <v>17463</v>
      </c>
      <c r="E5823" t="s">
        <v>22530</v>
      </c>
      <c r="F5823" t="s">
        <v>30052</v>
      </c>
      <c r="G5823" t="s">
        <v>30058</v>
      </c>
      <c r="H5823" t="s">
        <v>30067</v>
      </c>
      <c r="I5823" t="s">
        <v>3693</v>
      </c>
      <c r="J5823" t="s">
        <v>30209</v>
      </c>
      <c r="K5823" t="s">
        <v>39062</v>
      </c>
      <c r="L5823" t="s">
        <v>1948</v>
      </c>
      <c r="M5823" t="s">
        <v>41385</v>
      </c>
      <c r="N5823" t="s">
        <v>43166</v>
      </c>
      <c r="O5823" t="s">
        <v>43167</v>
      </c>
      <c r="P5823">
        <v>0</v>
      </c>
      <c r="Q5823">
        <v>4</v>
      </c>
      <c r="R5823" t="s">
        <v>43172</v>
      </c>
      <c r="S5823" t="s">
        <v>43334</v>
      </c>
      <c r="T5823" t="s">
        <v>44720</v>
      </c>
      <c r="U5823" t="s">
        <v>49953</v>
      </c>
      <c r="W5823" t="s">
        <v>41385</v>
      </c>
      <c r="X5823" t="s">
        <v>43173</v>
      </c>
    </row>
    <row r="5824" spans="1:24">
      <c r="A5824">
        <f>HYPERLINK("https://www.philgeps.gov.ph/GEPSNONPILOT/Tender/SplashBidNoticeAbstractUI.aspx?menuIndex=3&amp;refID=7080476&amp;Result=3","7080476")</f>
        <v>0</v>
      </c>
      <c r="B5824" t="s">
        <v>1313</v>
      </c>
      <c r="C5824" t="s">
        <v>8967</v>
      </c>
      <c r="D5824" t="s">
        <v>17415</v>
      </c>
      <c r="E5824" t="s">
        <v>22531</v>
      </c>
      <c r="F5824" t="s">
        <v>30052</v>
      </c>
      <c r="G5824" t="s">
        <v>30059</v>
      </c>
      <c r="H5824" t="s">
        <v>15498</v>
      </c>
      <c r="I5824" t="s">
        <v>3693</v>
      </c>
      <c r="J5824" t="s">
        <v>33008</v>
      </c>
      <c r="K5824" t="s">
        <v>39017</v>
      </c>
      <c r="M5824" t="s">
        <v>41366</v>
      </c>
      <c r="N5824" t="s">
        <v>43166</v>
      </c>
      <c r="O5824" t="s">
        <v>43167</v>
      </c>
      <c r="P5824">
        <v>0</v>
      </c>
      <c r="Q5824">
        <v>0</v>
      </c>
      <c r="R5824" t="s">
        <v>43172</v>
      </c>
      <c r="S5824" t="s">
        <v>43334</v>
      </c>
      <c r="T5824" t="s">
        <v>44717</v>
      </c>
      <c r="U5824" t="s">
        <v>49954</v>
      </c>
      <c r="W5824" t="s">
        <v>41366</v>
      </c>
      <c r="X5824" t="s">
        <v>43173</v>
      </c>
    </row>
    <row r="5825" spans="1:24">
      <c r="A5825">
        <f>HYPERLINK("https://www.philgeps.gov.ph/GEPSNONPILOT/Tender/SplashBidNoticeAbstractUI.aspx?menuIndex=3&amp;refID=7080475&amp;Result=3","7080475")</f>
        <v>0</v>
      </c>
      <c r="B5825" t="s">
        <v>856</v>
      </c>
      <c r="C5825" t="s">
        <v>8968</v>
      </c>
      <c r="E5825" t="s">
        <v>22532</v>
      </c>
      <c r="F5825" t="s">
        <v>30052</v>
      </c>
      <c r="G5825" t="s">
        <v>30059</v>
      </c>
      <c r="H5825" t="s">
        <v>15498</v>
      </c>
      <c r="I5825" t="s">
        <v>30125</v>
      </c>
      <c r="J5825" t="s">
        <v>33871</v>
      </c>
      <c r="K5825" t="s">
        <v>39025</v>
      </c>
      <c r="M5825" t="s">
        <v>40173</v>
      </c>
      <c r="N5825" t="s">
        <v>43166</v>
      </c>
      <c r="O5825" t="s">
        <v>43167</v>
      </c>
      <c r="P5825">
        <v>0</v>
      </c>
      <c r="Q5825">
        <v>1</v>
      </c>
      <c r="R5825" t="s">
        <v>43172</v>
      </c>
      <c r="S5825" t="s">
        <v>43334</v>
      </c>
      <c r="T5825" t="s">
        <v>44734</v>
      </c>
      <c r="U5825" t="s">
        <v>49955</v>
      </c>
      <c r="W5825" t="s">
        <v>40173</v>
      </c>
      <c r="X5825" t="s">
        <v>43173</v>
      </c>
    </row>
    <row r="5826" spans="1:24">
      <c r="A5826">
        <f>HYPERLINK("https://www.philgeps.gov.ph/GEPSNONPILOT/Tender/SplashBidNoticeAbstractUI.aspx?menuIndex=3&amp;refID=7080473&amp;Result=3","7080473")</f>
        <v>0</v>
      </c>
      <c r="B5826" t="s">
        <v>1505</v>
      </c>
      <c r="C5826" t="s">
        <v>8969</v>
      </c>
      <c r="D5826" t="s">
        <v>17462</v>
      </c>
      <c r="E5826" t="s">
        <v>22533</v>
      </c>
      <c r="F5826" t="s">
        <v>30052</v>
      </c>
      <c r="G5826" t="s">
        <v>30058</v>
      </c>
      <c r="H5826" t="s">
        <v>30067</v>
      </c>
      <c r="I5826" t="s">
        <v>3693</v>
      </c>
      <c r="J5826" t="s">
        <v>33872</v>
      </c>
      <c r="K5826" t="s">
        <v>39026</v>
      </c>
      <c r="M5826" t="s">
        <v>40889</v>
      </c>
      <c r="N5826" t="s">
        <v>43166</v>
      </c>
      <c r="O5826" t="s">
        <v>43167</v>
      </c>
      <c r="P5826">
        <v>0</v>
      </c>
      <c r="Q5826">
        <v>6</v>
      </c>
      <c r="R5826" t="s">
        <v>43172</v>
      </c>
      <c r="S5826" t="s">
        <v>43334</v>
      </c>
      <c r="T5826" t="s">
        <v>44842</v>
      </c>
      <c r="U5826" t="s">
        <v>49934</v>
      </c>
      <c r="W5826" t="s">
        <v>58641</v>
      </c>
      <c r="X5826" t="s">
        <v>43173</v>
      </c>
    </row>
    <row r="5827" spans="1:24">
      <c r="A5827">
        <f>HYPERLINK("https://www.philgeps.gov.ph/GEPSNONPILOT/Tender/SplashBidNoticeAbstractUI.aspx?menuIndex=3&amp;refID=7080523&amp;Result=3","7080523")</f>
        <v>0</v>
      </c>
      <c r="B5827" t="s">
        <v>1935</v>
      </c>
      <c r="C5827" t="s">
        <v>8970</v>
      </c>
      <c r="D5827" t="s">
        <v>17418</v>
      </c>
      <c r="E5827" t="s">
        <v>22534</v>
      </c>
      <c r="F5827" t="s">
        <v>30052</v>
      </c>
      <c r="G5827" t="s">
        <v>30058</v>
      </c>
      <c r="H5827" t="s">
        <v>30067</v>
      </c>
      <c r="I5827" t="s">
        <v>3693</v>
      </c>
      <c r="J5827" t="s">
        <v>33873</v>
      </c>
      <c r="K5827" t="s">
        <v>39086</v>
      </c>
      <c r="M5827" t="s">
        <v>41369</v>
      </c>
      <c r="N5827" t="s">
        <v>43166</v>
      </c>
      <c r="O5827" t="s">
        <v>43167</v>
      </c>
      <c r="P5827">
        <v>0</v>
      </c>
      <c r="Q5827">
        <v>0</v>
      </c>
      <c r="R5827" t="s">
        <v>43172</v>
      </c>
      <c r="S5827" t="s">
        <v>43334</v>
      </c>
      <c r="T5827" t="s">
        <v>44691</v>
      </c>
      <c r="U5827" t="s">
        <v>49956</v>
      </c>
      <c r="W5827" t="s">
        <v>41369</v>
      </c>
      <c r="X5827" t="s">
        <v>43173</v>
      </c>
    </row>
    <row r="5828" spans="1:24">
      <c r="A5828">
        <f>HYPERLINK("https://www.philgeps.gov.ph/GEPSNONPILOT/Tender/SplashBidNoticeAbstractUI.aspx?menuIndex=3&amp;refID=7080535&amp;Result=3","7080535")</f>
        <v>0</v>
      </c>
      <c r="B5828" t="s">
        <v>1191</v>
      </c>
      <c r="C5828" t="s">
        <v>8971</v>
      </c>
      <c r="D5828" t="s">
        <v>17451</v>
      </c>
      <c r="E5828" t="s">
        <v>22535</v>
      </c>
      <c r="F5828" t="s">
        <v>30052</v>
      </c>
      <c r="G5828" t="s">
        <v>30058</v>
      </c>
      <c r="H5828" t="s">
        <v>30067</v>
      </c>
      <c r="I5828" t="s">
        <v>3693</v>
      </c>
      <c r="J5828" t="s">
        <v>30222</v>
      </c>
      <c r="K5828" t="s">
        <v>39127</v>
      </c>
      <c r="M5828" t="s">
        <v>40544</v>
      </c>
      <c r="N5828" t="s">
        <v>43166</v>
      </c>
      <c r="O5828" t="s">
        <v>43167</v>
      </c>
      <c r="P5828">
        <v>0</v>
      </c>
      <c r="Q5828">
        <v>0</v>
      </c>
      <c r="R5828" t="s">
        <v>43172</v>
      </c>
      <c r="S5828" t="s">
        <v>43334</v>
      </c>
      <c r="T5828" t="s">
        <v>45020</v>
      </c>
      <c r="U5828" t="s">
        <v>49957</v>
      </c>
      <c r="W5828" t="s">
        <v>40544</v>
      </c>
      <c r="X5828" t="s">
        <v>43173</v>
      </c>
    </row>
    <row r="5829" spans="1:24">
      <c r="A5829">
        <f>HYPERLINK("https://www.philgeps.gov.ph/GEPSNONPILOT/Tender/SplashBidNoticeAbstractUI.aspx?menuIndex=3&amp;refID=7080481&amp;Result=3","7080481")</f>
        <v>0</v>
      </c>
      <c r="B5829" t="s">
        <v>1949</v>
      </c>
      <c r="C5829" t="s">
        <v>8972</v>
      </c>
      <c r="D5829" t="s">
        <v>17432</v>
      </c>
      <c r="E5829" t="s">
        <v>18659</v>
      </c>
      <c r="F5829" t="s">
        <v>30052</v>
      </c>
      <c r="G5829" t="s">
        <v>30062</v>
      </c>
      <c r="H5829" t="s">
        <v>15498</v>
      </c>
      <c r="I5829" t="s">
        <v>3736</v>
      </c>
      <c r="J5829" t="s">
        <v>30306</v>
      </c>
      <c r="K5829" t="s">
        <v>39039</v>
      </c>
      <c r="M5829" t="s">
        <v>41386</v>
      </c>
      <c r="N5829" t="s">
        <v>43166</v>
      </c>
      <c r="O5829" t="s">
        <v>43167</v>
      </c>
      <c r="P5829">
        <v>0</v>
      </c>
      <c r="Q5829">
        <v>0</v>
      </c>
      <c r="R5829" t="s">
        <v>43172</v>
      </c>
      <c r="S5829" t="s">
        <v>43334</v>
      </c>
      <c r="T5829" t="s">
        <v>44872</v>
      </c>
      <c r="U5829" t="s">
        <v>49958</v>
      </c>
      <c r="W5829" t="s">
        <v>41386</v>
      </c>
      <c r="X5829" t="s">
        <v>43173</v>
      </c>
    </row>
    <row r="5830" spans="1:24">
      <c r="A5830">
        <f>HYPERLINK("https://www.philgeps.gov.ph/GEPSNONPILOT/Tender/SplashBidNoticeAbstractUI.aspx?menuIndex=3&amp;refID=7080534&amp;Result=3","7080534")</f>
        <v>0</v>
      </c>
      <c r="B5830" t="s">
        <v>679</v>
      </c>
      <c r="C5830" t="s">
        <v>8973</v>
      </c>
      <c r="D5830" t="s">
        <v>17419</v>
      </c>
      <c r="E5830" t="s">
        <v>22536</v>
      </c>
      <c r="F5830" t="s">
        <v>30052</v>
      </c>
      <c r="G5830" t="s">
        <v>30058</v>
      </c>
      <c r="H5830" t="s">
        <v>15498</v>
      </c>
      <c r="I5830" t="s">
        <v>6304</v>
      </c>
      <c r="J5830" t="s">
        <v>33874</v>
      </c>
      <c r="K5830" t="s">
        <v>39034</v>
      </c>
      <c r="M5830" t="s">
        <v>39985</v>
      </c>
      <c r="N5830" t="s">
        <v>43166</v>
      </c>
      <c r="O5830" t="s">
        <v>43167</v>
      </c>
      <c r="P5830">
        <v>0</v>
      </c>
      <c r="Q5830">
        <v>0</v>
      </c>
      <c r="R5830" t="s">
        <v>43172</v>
      </c>
      <c r="S5830" t="s">
        <v>43334</v>
      </c>
      <c r="T5830" t="s">
        <v>44698</v>
      </c>
      <c r="U5830" t="s">
        <v>49959</v>
      </c>
      <c r="W5830" t="s">
        <v>39985</v>
      </c>
      <c r="X5830" t="s">
        <v>43173</v>
      </c>
    </row>
    <row r="5831" spans="1:24">
      <c r="A5831">
        <f>HYPERLINK("https://www.philgeps.gov.ph/GEPSNONPILOT/Tender/SplashBidNoticeAbstractUI.aspx?menuIndex=3&amp;refID=7080530&amp;Result=3","7080530")</f>
        <v>0</v>
      </c>
      <c r="B5831" t="s">
        <v>1727</v>
      </c>
      <c r="C5831" t="s">
        <v>8974</v>
      </c>
      <c r="D5831" t="s">
        <v>17436</v>
      </c>
      <c r="E5831" t="s">
        <v>22537</v>
      </c>
      <c r="F5831" t="s">
        <v>30052</v>
      </c>
      <c r="G5831" t="s">
        <v>30060</v>
      </c>
      <c r="H5831" t="s">
        <v>15498</v>
      </c>
      <c r="I5831" t="s">
        <v>30070</v>
      </c>
      <c r="J5831" t="s">
        <v>33875</v>
      </c>
      <c r="K5831" t="s">
        <v>39034</v>
      </c>
      <c r="M5831" t="s">
        <v>41144</v>
      </c>
      <c r="N5831" t="s">
        <v>43166</v>
      </c>
      <c r="O5831" t="s">
        <v>43167</v>
      </c>
      <c r="P5831">
        <v>0</v>
      </c>
      <c r="Q5831">
        <v>0</v>
      </c>
      <c r="R5831" t="s">
        <v>43172</v>
      </c>
      <c r="S5831" t="s">
        <v>43334</v>
      </c>
      <c r="T5831" t="s">
        <v>44744</v>
      </c>
      <c r="U5831" t="s">
        <v>49960</v>
      </c>
      <c r="W5831" t="s">
        <v>41144</v>
      </c>
      <c r="X5831" t="s">
        <v>43173</v>
      </c>
    </row>
    <row r="5832" spans="1:24">
      <c r="A5832">
        <f>HYPERLINK("https://www.philgeps.gov.ph/GEPSNONPILOT/Tender/SplashBidNoticeAbstractUI.aspx?menuIndex=3&amp;refID=7080528&amp;Result=3","7080528")</f>
        <v>0</v>
      </c>
      <c r="B5832" t="s">
        <v>1498</v>
      </c>
      <c r="C5832" t="s">
        <v>8975</v>
      </c>
      <c r="D5832" t="s">
        <v>17415</v>
      </c>
      <c r="E5832" t="s">
        <v>22538</v>
      </c>
      <c r="F5832" t="s">
        <v>30052</v>
      </c>
      <c r="G5832" t="s">
        <v>30059</v>
      </c>
      <c r="H5832" t="s">
        <v>15498</v>
      </c>
      <c r="I5832" t="s">
        <v>30140</v>
      </c>
      <c r="J5832" t="s">
        <v>33876</v>
      </c>
      <c r="K5832" t="s">
        <v>39017</v>
      </c>
      <c r="M5832" t="s">
        <v>40882</v>
      </c>
      <c r="N5832" t="s">
        <v>43166</v>
      </c>
      <c r="O5832" t="s">
        <v>43167</v>
      </c>
      <c r="P5832">
        <v>0</v>
      </c>
      <c r="Q5832">
        <v>10</v>
      </c>
      <c r="R5832" t="s">
        <v>43172</v>
      </c>
      <c r="S5832" t="s">
        <v>43334</v>
      </c>
      <c r="T5832" t="s">
        <v>44803</v>
      </c>
      <c r="U5832" t="s">
        <v>49961</v>
      </c>
      <c r="W5832" t="s">
        <v>40882</v>
      </c>
      <c r="X5832" t="s">
        <v>43173</v>
      </c>
    </row>
    <row r="5833" spans="1:24">
      <c r="A5833">
        <f>HYPERLINK("https://www.philgeps.gov.ph/GEPSNONPILOT/Tender/SplashBidNoticeAbstractUI.aspx?menuIndex=3&amp;refID=7080527&amp;Result=3","7080527")</f>
        <v>0</v>
      </c>
      <c r="B5833" t="s">
        <v>1950</v>
      </c>
      <c r="C5833" t="s">
        <v>8976</v>
      </c>
      <c r="D5833" t="s">
        <v>17415</v>
      </c>
      <c r="E5833" t="s">
        <v>22539</v>
      </c>
      <c r="F5833" t="s">
        <v>30052</v>
      </c>
      <c r="G5833" t="s">
        <v>30061</v>
      </c>
      <c r="H5833" t="s">
        <v>15498</v>
      </c>
      <c r="I5833" t="s">
        <v>4119</v>
      </c>
      <c r="J5833" t="s">
        <v>33877</v>
      </c>
      <c r="K5833" t="s">
        <v>39019</v>
      </c>
      <c r="M5833" t="s">
        <v>41387</v>
      </c>
      <c r="N5833" t="s">
        <v>43166</v>
      </c>
      <c r="O5833" t="s">
        <v>43167</v>
      </c>
      <c r="P5833">
        <v>0</v>
      </c>
      <c r="Q5833">
        <v>18</v>
      </c>
      <c r="R5833" t="s">
        <v>43172</v>
      </c>
      <c r="S5833" t="s">
        <v>43334</v>
      </c>
      <c r="T5833" t="s">
        <v>44734</v>
      </c>
      <c r="U5833" t="s">
        <v>49962</v>
      </c>
      <c r="W5833" t="s">
        <v>41387</v>
      </c>
      <c r="X5833" t="s">
        <v>43173</v>
      </c>
    </row>
    <row r="5834" spans="1:24">
      <c r="A5834">
        <f>HYPERLINK("https://www.philgeps.gov.ph/GEPSNONPILOT/Tender/SplashBidNoticeAbstractUI.aspx?menuIndex=3&amp;refID=7080524&amp;Result=3","7080524")</f>
        <v>0</v>
      </c>
      <c r="B5834" t="s">
        <v>1505</v>
      </c>
      <c r="C5834" t="s">
        <v>8977</v>
      </c>
      <c r="D5834" t="s">
        <v>17462</v>
      </c>
      <c r="E5834" t="s">
        <v>22540</v>
      </c>
      <c r="F5834" t="s">
        <v>30052</v>
      </c>
      <c r="G5834" t="s">
        <v>30058</v>
      </c>
      <c r="H5834" t="s">
        <v>30067</v>
      </c>
      <c r="I5834" t="s">
        <v>3693</v>
      </c>
      <c r="J5834" t="s">
        <v>33878</v>
      </c>
      <c r="K5834" t="s">
        <v>39033</v>
      </c>
      <c r="M5834" t="s">
        <v>40889</v>
      </c>
      <c r="N5834" t="s">
        <v>43166</v>
      </c>
      <c r="O5834" t="s">
        <v>43167</v>
      </c>
      <c r="P5834">
        <v>0</v>
      </c>
      <c r="Q5834">
        <v>10</v>
      </c>
      <c r="R5834" t="s">
        <v>43172</v>
      </c>
      <c r="S5834" t="s">
        <v>43334</v>
      </c>
      <c r="T5834" t="s">
        <v>44842</v>
      </c>
      <c r="U5834" t="s">
        <v>49934</v>
      </c>
      <c r="W5834" t="s">
        <v>58641</v>
      </c>
      <c r="X5834" t="s">
        <v>43173</v>
      </c>
    </row>
    <row r="5835" spans="1:24">
      <c r="A5835">
        <f>HYPERLINK("https://www.philgeps.gov.ph/GEPSNONPILOT/Tender/SplashBidNoticeAbstractUI.aspx?menuIndex=3&amp;refID=7080517&amp;Result=3","7080517")</f>
        <v>0</v>
      </c>
      <c r="B5835" t="s">
        <v>1951</v>
      </c>
      <c r="C5835" t="s">
        <v>3459</v>
      </c>
      <c r="D5835" t="s">
        <v>17466</v>
      </c>
      <c r="E5835" t="s">
        <v>22541</v>
      </c>
      <c r="F5835" t="s">
        <v>30052</v>
      </c>
      <c r="G5835" t="s">
        <v>30062</v>
      </c>
      <c r="H5835" t="s">
        <v>15498</v>
      </c>
      <c r="I5835" t="s">
        <v>4119</v>
      </c>
      <c r="J5835" t="s">
        <v>33879</v>
      </c>
      <c r="K5835" t="s">
        <v>39025</v>
      </c>
      <c r="M5835" t="s">
        <v>41388</v>
      </c>
      <c r="N5835" t="s">
        <v>43166</v>
      </c>
      <c r="O5835" t="s">
        <v>43167</v>
      </c>
      <c r="P5835">
        <v>0</v>
      </c>
      <c r="Q5835">
        <v>0</v>
      </c>
      <c r="R5835" t="s">
        <v>43172</v>
      </c>
      <c r="S5835" t="s">
        <v>43334</v>
      </c>
      <c r="T5835" t="s">
        <v>44691</v>
      </c>
      <c r="U5835" t="s">
        <v>45217</v>
      </c>
      <c r="W5835" t="s">
        <v>41388</v>
      </c>
      <c r="X5835" t="s">
        <v>43173</v>
      </c>
    </row>
    <row r="5836" spans="1:24">
      <c r="A5836">
        <f>HYPERLINK("https://www.philgeps.gov.ph/GEPSNONPILOT/Tender/SplashBidNoticeAbstractUI.aspx?menuIndex=3&amp;refID=7080490&amp;Result=3","7080490")</f>
        <v>0</v>
      </c>
      <c r="B5836" t="s">
        <v>1505</v>
      </c>
      <c r="C5836" t="s">
        <v>8978</v>
      </c>
      <c r="D5836" t="s">
        <v>17462</v>
      </c>
      <c r="E5836" t="s">
        <v>22542</v>
      </c>
      <c r="F5836" t="s">
        <v>30052</v>
      </c>
      <c r="G5836" t="s">
        <v>30058</v>
      </c>
      <c r="H5836" t="s">
        <v>30067</v>
      </c>
      <c r="I5836" t="s">
        <v>3693</v>
      </c>
      <c r="J5836" t="s">
        <v>30823</v>
      </c>
      <c r="K5836" t="s">
        <v>39026</v>
      </c>
      <c r="M5836" t="s">
        <v>40889</v>
      </c>
      <c r="N5836" t="s">
        <v>43166</v>
      </c>
      <c r="O5836" t="s">
        <v>43167</v>
      </c>
      <c r="P5836">
        <v>0</v>
      </c>
      <c r="Q5836">
        <v>6</v>
      </c>
      <c r="R5836" t="s">
        <v>43172</v>
      </c>
      <c r="S5836" t="s">
        <v>43334</v>
      </c>
      <c r="T5836" t="s">
        <v>44842</v>
      </c>
      <c r="U5836" t="s">
        <v>49934</v>
      </c>
      <c r="W5836" t="s">
        <v>58641</v>
      </c>
      <c r="X5836" t="s">
        <v>43173</v>
      </c>
    </row>
    <row r="5837" spans="1:24">
      <c r="A5837">
        <f>HYPERLINK("https://www.philgeps.gov.ph/GEPSNONPILOT/Tender/SplashBidNoticeAbstractUI.aspx?menuIndex=3&amp;refID=7080516&amp;Result=3","7080516")</f>
        <v>0</v>
      </c>
      <c r="B5837" t="s">
        <v>1505</v>
      </c>
      <c r="C5837" t="s">
        <v>8979</v>
      </c>
      <c r="D5837" t="s">
        <v>17462</v>
      </c>
      <c r="E5837" t="s">
        <v>22543</v>
      </c>
      <c r="F5837" t="s">
        <v>30052</v>
      </c>
      <c r="G5837" t="s">
        <v>30058</v>
      </c>
      <c r="H5837" t="s">
        <v>30067</v>
      </c>
      <c r="I5837" t="s">
        <v>3693</v>
      </c>
      <c r="J5837" t="s">
        <v>30823</v>
      </c>
      <c r="K5837" t="s">
        <v>39026</v>
      </c>
      <c r="M5837" t="s">
        <v>40889</v>
      </c>
      <c r="N5837" t="s">
        <v>43166</v>
      </c>
      <c r="O5837" t="s">
        <v>43167</v>
      </c>
      <c r="P5837">
        <v>0</v>
      </c>
      <c r="Q5837">
        <v>7</v>
      </c>
      <c r="R5837" t="s">
        <v>43172</v>
      </c>
      <c r="S5837" t="s">
        <v>43334</v>
      </c>
      <c r="T5837" t="s">
        <v>44842</v>
      </c>
      <c r="U5837" t="s">
        <v>49934</v>
      </c>
      <c r="W5837" t="s">
        <v>58641</v>
      </c>
      <c r="X5837" t="s">
        <v>43173</v>
      </c>
    </row>
    <row r="5838" spans="1:24">
      <c r="A5838">
        <f>HYPERLINK("https://www.philgeps.gov.ph/GEPSNONPILOT/Tender/SplashBidNoticeAbstractUI.aspx?menuIndex=3&amp;refID=7080532&amp;Result=3","7080532")</f>
        <v>0</v>
      </c>
      <c r="B5838" t="s">
        <v>1952</v>
      </c>
      <c r="C5838" t="s">
        <v>8980</v>
      </c>
      <c r="D5838" t="s">
        <v>17442</v>
      </c>
      <c r="E5838" t="s">
        <v>22544</v>
      </c>
      <c r="F5838" t="s">
        <v>30052</v>
      </c>
      <c r="G5838" t="s">
        <v>30058</v>
      </c>
      <c r="H5838" t="s">
        <v>30067</v>
      </c>
      <c r="I5838" t="s">
        <v>3693</v>
      </c>
      <c r="J5838" t="s">
        <v>33880</v>
      </c>
      <c r="K5838" t="s">
        <v>39031</v>
      </c>
      <c r="M5838" t="s">
        <v>41389</v>
      </c>
      <c r="N5838" t="s">
        <v>43166</v>
      </c>
      <c r="O5838" t="s">
        <v>43167</v>
      </c>
      <c r="P5838">
        <v>0</v>
      </c>
      <c r="Q5838">
        <v>0</v>
      </c>
      <c r="R5838" t="s">
        <v>43172</v>
      </c>
      <c r="S5838" t="s">
        <v>43334</v>
      </c>
      <c r="T5838" t="s">
        <v>44758</v>
      </c>
      <c r="U5838" t="s">
        <v>49963</v>
      </c>
      <c r="W5838" t="s">
        <v>41389</v>
      </c>
      <c r="X5838" t="s">
        <v>43173</v>
      </c>
    </row>
    <row r="5839" spans="1:24">
      <c r="A5839">
        <f>HYPERLINK("https://www.philgeps.gov.ph/GEPSNONPILOT/Tender/SplashBidNoticeAbstractUI.aspx?menuIndex=3&amp;refID=7080514&amp;Result=3","7080514")</f>
        <v>0</v>
      </c>
      <c r="B5839" t="s">
        <v>1953</v>
      </c>
      <c r="C5839" t="s">
        <v>8981</v>
      </c>
      <c r="E5839" t="s">
        <v>22545</v>
      </c>
      <c r="F5839" t="s">
        <v>30052</v>
      </c>
      <c r="G5839" t="s">
        <v>30058</v>
      </c>
      <c r="H5839" t="s">
        <v>30067</v>
      </c>
      <c r="I5839" t="s">
        <v>6691</v>
      </c>
      <c r="J5839" t="s">
        <v>33881</v>
      </c>
      <c r="K5839" t="s">
        <v>39140</v>
      </c>
      <c r="M5839" t="s">
        <v>41390</v>
      </c>
      <c r="N5839" t="s">
        <v>43166</v>
      </c>
      <c r="O5839" t="s">
        <v>43167</v>
      </c>
      <c r="P5839">
        <v>0</v>
      </c>
      <c r="Q5839">
        <v>1</v>
      </c>
      <c r="R5839" t="s">
        <v>43172</v>
      </c>
      <c r="S5839" t="s">
        <v>43334</v>
      </c>
      <c r="T5839" t="s">
        <v>44703</v>
      </c>
      <c r="U5839" t="s">
        <v>49964</v>
      </c>
      <c r="W5839" t="s">
        <v>41390</v>
      </c>
      <c r="X5839" t="s">
        <v>43173</v>
      </c>
    </row>
    <row r="5840" spans="1:24">
      <c r="A5840">
        <f>HYPERLINK("https://www.philgeps.gov.ph/GEPSNONPILOT/Tender/SplashBidNoticeAbstractUI.aspx?menuIndex=3&amp;refID=7080347&amp;Result=3","7080347")</f>
        <v>0</v>
      </c>
      <c r="B5840" t="s">
        <v>856</v>
      </c>
      <c r="C5840" t="s">
        <v>8968</v>
      </c>
      <c r="E5840" t="s">
        <v>18955</v>
      </c>
      <c r="F5840" t="s">
        <v>30052</v>
      </c>
      <c r="G5840" t="s">
        <v>30059</v>
      </c>
      <c r="H5840" t="s">
        <v>15498</v>
      </c>
      <c r="I5840" t="s">
        <v>4650</v>
      </c>
      <c r="J5840" t="s">
        <v>31058</v>
      </c>
      <c r="K5840" t="s">
        <v>39025</v>
      </c>
      <c r="M5840" t="s">
        <v>40173</v>
      </c>
      <c r="N5840" t="s">
        <v>43166</v>
      </c>
      <c r="O5840" t="s">
        <v>43167</v>
      </c>
      <c r="P5840">
        <v>0</v>
      </c>
      <c r="Q5840">
        <v>0</v>
      </c>
      <c r="R5840" t="s">
        <v>43172</v>
      </c>
      <c r="S5840" t="s">
        <v>43334</v>
      </c>
      <c r="T5840" t="s">
        <v>44734</v>
      </c>
      <c r="U5840" t="s">
        <v>49965</v>
      </c>
      <c r="W5840" t="s">
        <v>40173</v>
      </c>
      <c r="X5840" t="s">
        <v>43173</v>
      </c>
    </row>
    <row r="5841" spans="1:24">
      <c r="A5841">
        <f>HYPERLINK("https://www.philgeps.gov.ph/GEPSNONPILOT/Tender/SplashBidNoticeAbstractUI.aspx?menuIndex=3&amp;refID=7080575&amp;Result=3","7080575")</f>
        <v>0</v>
      </c>
      <c r="B5841" t="s">
        <v>964</v>
      </c>
      <c r="C5841" t="s">
        <v>8982</v>
      </c>
      <c r="D5841" t="s">
        <v>17415</v>
      </c>
      <c r="E5841" t="s">
        <v>22546</v>
      </c>
      <c r="F5841" t="s">
        <v>30052</v>
      </c>
      <c r="G5841" t="s">
        <v>30059</v>
      </c>
      <c r="H5841" t="s">
        <v>15498</v>
      </c>
      <c r="I5841" t="s">
        <v>30156</v>
      </c>
      <c r="J5841" t="s">
        <v>30763</v>
      </c>
      <c r="K5841" t="s">
        <v>39025</v>
      </c>
      <c r="M5841" t="s">
        <v>41142</v>
      </c>
      <c r="N5841" t="s">
        <v>43166</v>
      </c>
      <c r="O5841" t="s">
        <v>43167</v>
      </c>
      <c r="P5841">
        <v>0</v>
      </c>
      <c r="Q5841">
        <v>6</v>
      </c>
      <c r="R5841" t="s">
        <v>43172</v>
      </c>
      <c r="S5841" t="s">
        <v>43334</v>
      </c>
      <c r="T5841" t="s">
        <v>44720</v>
      </c>
      <c r="U5841" t="s">
        <v>49966</v>
      </c>
      <c r="W5841" t="s">
        <v>41142</v>
      </c>
      <c r="X5841" t="s">
        <v>43173</v>
      </c>
    </row>
    <row r="5842" spans="1:24">
      <c r="A5842">
        <f>HYPERLINK("https://www.philgeps.gov.ph/GEPSNONPILOT/Tender/SplashBidNoticeAbstractUI.aspx?menuIndex=3&amp;refID=7080521&amp;Result=3","7080521")</f>
        <v>0</v>
      </c>
      <c r="B5842" t="s">
        <v>1766</v>
      </c>
      <c r="C5842" t="s">
        <v>8983</v>
      </c>
      <c r="D5842" t="s">
        <v>17466</v>
      </c>
      <c r="E5842" t="s">
        <v>22547</v>
      </c>
      <c r="F5842" t="s">
        <v>30052</v>
      </c>
      <c r="G5842" t="s">
        <v>30059</v>
      </c>
      <c r="H5842" t="s">
        <v>15498</v>
      </c>
      <c r="I5842" t="s">
        <v>30070</v>
      </c>
      <c r="J5842" t="s">
        <v>33882</v>
      </c>
      <c r="K5842" t="s">
        <v>39019</v>
      </c>
      <c r="M5842" t="s">
        <v>41186</v>
      </c>
      <c r="N5842" t="s">
        <v>43166</v>
      </c>
      <c r="O5842" t="s">
        <v>43167</v>
      </c>
      <c r="P5842">
        <v>0</v>
      </c>
      <c r="Q5842">
        <v>0</v>
      </c>
      <c r="R5842" t="s">
        <v>43172</v>
      </c>
      <c r="S5842" t="s">
        <v>43334</v>
      </c>
      <c r="T5842" t="s">
        <v>44880</v>
      </c>
      <c r="U5842" t="s">
        <v>49967</v>
      </c>
      <c r="W5842" t="s">
        <v>41186</v>
      </c>
      <c r="X5842" t="s">
        <v>43173</v>
      </c>
    </row>
    <row r="5843" spans="1:24">
      <c r="A5843">
        <f>HYPERLINK("https://www.philgeps.gov.ph/GEPSNONPILOT/Tender/SplashBidNoticeAbstractUI.aspx?menuIndex=3&amp;refID=7080568&amp;Result=3","7080568")</f>
        <v>0</v>
      </c>
      <c r="B5843" t="s">
        <v>1098</v>
      </c>
      <c r="C5843" t="s">
        <v>8984</v>
      </c>
      <c r="D5843" t="s">
        <v>17415</v>
      </c>
      <c r="E5843" t="s">
        <v>22548</v>
      </c>
      <c r="F5843" t="s">
        <v>30052</v>
      </c>
      <c r="G5843" t="s">
        <v>30059</v>
      </c>
      <c r="H5843" t="s">
        <v>15498</v>
      </c>
      <c r="I5843" t="s">
        <v>30088</v>
      </c>
      <c r="J5843" t="s">
        <v>33883</v>
      </c>
      <c r="K5843" t="s">
        <v>39017</v>
      </c>
      <c r="M5843" t="s">
        <v>40437</v>
      </c>
      <c r="N5843" t="s">
        <v>43166</v>
      </c>
      <c r="O5843" t="s">
        <v>43167</v>
      </c>
      <c r="P5843">
        <v>0</v>
      </c>
      <c r="Q5843">
        <v>6</v>
      </c>
      <c r="R5843" t="s">
        <v>43172</v>
      </c>
      <c r="S5843" t="s">
        <v>43334</v>
      </c>
      <c r="T5843" t="s">
        <v>44743</v>
      </c>
      <c r="U5843" t="s">
        <v>49968</v>
      </c>
      <c r="W5843" t="s">
        <v>40437</v>
      </c>
      <c r="X5843" t="s">
        <v>43173</v>
      </c>
    </row>
    <row r="5844" spans="1:24">
      <c r="A5844">
        <f>HYPERLINK("https://www.philgeps.gov.ph/GEPSNONPILOT/Tender/SplashBidNoticeAbstractUI.aspx?menuIndex=3&amp;refID=7080497&amp;Result=3","7080497")</f>
        <v>0</v>
      </c>
      <c r="B5844" t="s">
        <v>1954</v>
      </c>
      <c r="C5844" t="s">
        <v>8985</v>
      </c>
      <c r="D5844" t="s">
        <v>17449</v>
      </c>
      <c r="E5844" t="s">
        <v>22549</v>
      </c>
      <c r="F5844" t="s">
        <v>30054</v>
      </c>
      <c r="G5844" t="s">
        <v>30058</v>
      </c>
      <c r="H5844" t="s">
        <v>30067</v>
      </c>
      <c r="I5844" t="s">
        <v>3693</v>
      </c>
      <c r="J5844" t="s">
        <v>31553</v>
      </c>
      <c r="K5844" t="s">
        <v>39029</v>
      </c>
      <c r="M5844" t="s">
        <v>41391</v>
      </c>
      <c r="N5844" t="s">
        <v>43166</v>
      </c>
      <c r="O5844" t="s">
        <v>43167</v>
      </c>
      <c r="P5844">
        <v>0</v>
      </c>
      <c r="Q5844">
        <v>1</v>
      </c>
      <c r="R5844" t="s">
        <v>43172</v>
      </c>
      <c r="S5844" t="s">
        <v>43334</v>
      </c>
      <c r="T5844" t="s">
        <v>44680</v>
      </c>
      <c r="U5844" t="s">
        <v>49969</v>
      </c>
      <c r="W5844" t="s">
        <v>41391</v>
      </c>
      <c r="X5844" t="s">
        <v>43173</v>
      </c>
    </row>
    <row r="5845" spans="1:24">
      <c r="A5845">
        <f>HYPERLINK("https://www.philgeps.gov.ph/GEPSNONPILOT/Tender/SplashBidNoticeAbstractUI.aspx?menuIndex=3&amp;refID=7080565&amp;Result=3","7080565")</f>
        <v>0</v>
      </c>
      <c r="B5845" t="s">
        <v>1955</v>
      </c>
      <c r="C5845" t="s">
        <v>8986</v>
      </c>
      <c r="D5845" t="s">
        <v>17427</v>
      </c>
      <c r="E5845" t="s">
        <v>22550</v>
      </c>
      <c r="F5845" t="s">
        <v>30052</v>
      </c>
      <c r="G5845" t="s">
        <v>30058</v>
      </c>
      <c r="H5845" t="s">
        <v>30067</v>
      </c>
      <c r="I5845" t="s">
        <v>3693</v>
      </c>
      <c r="J5845" t="s">
        <v>33884</v>
      </c>
      <c r="K5845" t="s">
        <v>39023</v>
      </c>
      <c r="M5845" t="s">
        <v>41392</v>
      </c>
      <c r="N5845" t="s">
        <v>43166</v>
      </c>
      <c r="O5845" t="s">
        <v>43167</v>
      </c>
      <c r="P5845">
        <v>0</v>
      </c>
      <c r="Q5845">
        <v>0</v>
      </c>
      <c r="R5845" t="s">
        <v>43172</v>
      </c>
      <c r="S5845" t="s">
        <v>43334</v>
      </c>
      <c r="T5845" t="s">
        <v>44698</v>
      </c>
      <c r="U5845" t="s">
        <v>49970</v>
      </c>
      <c r="W5845" t="s">
        <v>41392</v>
      </c>
      <c r="X5845" t="s">
        <v>43173</v>
      </c>
    </row>
    <row r="5846" spans="1:24">
      <c r="A5846">
        <f>HYPERLINK("https://www.philgeps.gov.ph/GEPSNONPILOT/Tender/SplashBidNoticeAbstractUI.aspx?menuIndex=3&amp;refID=7080515&amp;Result=3","7080515")</f>
        <v>0</v>
      </c>
      <c r="B5846" t="s">
        <v>700</v>
      </c>
      <c r="C5846" t="s">
        <v>8987</v>
      </c>
      <c r="D5846" t="s">
        <v>17458</v>
      </c>
      <c r="E5846" t="s">
        <v>22551</v>
      </c>
      <c r="F5846" t="s">
        <v>30052</v>
      </c>
      <c r="G5846" t="s">
        <v>30059</v>
      </c>
      <c r="H5846" t="s">
        <v>15498</v>
      </c>
      <c r="I5846" t="s">
        <v>4650</v>
      </c>
      <c r="J5846" t="s">
        <v>30497</v>
      </c>
      <c r="K5846" t="s">
        <v>39019</v>
      </c>
      <c r="M5846" t="s">
        <v>40009</v>
      </c>
      <c r="N5846" t="s">
        <v>43166</v>
      </c>
      <c r="O5846" t="s">
        <v>43167</v>
      </c>
      <c r="P5846">
        <v>0</v>
      </c>
      <c r="Q5846">
        <v>0</v>
      </c>
      <c r="R5846" t="s">
        <v>43172</v>
      </c>
      <c r="S5846" t="s">
        <v>43334</v>
      </c>
      <c r="T5846" t="s">
        <v>44717</v>
      </c>
      <c r="U5846" t="s">
        <v>46535</v>
      </c>
      <c r="W5846" t="s">
        <v>40009</v>
      </c>
      <c r="X5846" t="s">
        <v>43173</v>
      </c>
    </row>
    <row r="5847" spans="1:24">
      <c r="A5847">
        <f>HYPERLINK("https://www.philgeps.gov.ph/GEPSNONPILOT/Tender/SplashBidNoticeAbstractUI.aspx?menuIndex=3&amp;refID=7080559&amp;Result=3","7080559")</f>
        <v>0</v>
      </c>
      <c r="B5847" t="s">
        <v>105</v>
      </c>
      <c r="C5847" t="s">
        <v>8988</v>
      </c>
      <c r="E5847" t="s">
        <v>22552</v>
      </c>
      <c r="F5847" t="s">
        <v>30052</v>
      </c>
      <c r="G5847" t="s">
        <v>30059</v>
      </c>
      <c r="H5847" t="s">
        <v>15498</v>
      </c>
      <c r="I5847" t="s">
        <v>6691</v>
      </c>
      <c r="J5847" t="s">
        <v>31049</v>
      </c>
      <c r="K5847" t="s">
        <v>39025</v>
      </c>
      <c r="M5847" t="s">
        <v>40651</v>
      </c>
      <c r="N5847" t="s">
        <v>43166</v>
      </c>
      <c r="O5847" t="s">
        <v>43167</v>
      </c>
      <c r="P5847">
        <v>0</v>
      </c>
      <c r="Q5847">
        <v>1</v>
      </c>
      <c r="R5847" t="s">
        <v>43172</v>
      </c>
      <c r="S5847" t="s">
        <v>43334</v>
      </c>
      <c r="T5847" t="s">
        <v>44844</v>
      </c>
      <c r="U5847" t="s">
        <v>49971</v>
      </c>
      <c r="W5847" t="s">
        <v>40651</v>
      </c>
      <c r="X5847" t="s">
        <v>43173</v>
      </c>
    </row>
    <row r="5848" spans="1:24">
      <c r="A5848">
        <f>HYPERLINK("https://www.philgeps.gov.ph/GEPSNONPILOT/Tender/SplashBidNoticeAbstractUI.aspx?menuIndex=3&amp;refID=7080571&amp;Result=3","7080571")</f>
        <v>0</v>
      </c>
      <c r="B5848" t="s">
        <v>1949</v>
      </c>
      <c r="C5848" t="s">
        <v>8989</v>
      </c>
      <c r="D5848" t="s">
        <v>17432</v>
      </c>
      <c r="E5848" t="s">
        <v>18627</v>
      </c>
      <c r="F5848" t="s">
        <v>30052</v>
      </c>
      <c r="G5848" t="s">
        <v>30062</v>
      </c>
      <c r="H5848" t="s">
        <v>15498</v>
      </c>
      <c r="I5848" t="s">
        <v>30085</v>
      </c>
      <c r="J5848" t="s">
        <v>30530</v>
      </c>
      <c r="K5848" t="s">
        <v>39039</v>
      </c>
      <c r="M5848" t="s">
        <v>41386</v>
      </c>
      <c r="N5848" t="s">
        <v>43166</v>
      </c>
      <c r="O5848" t="s">
        <v>43167</v>
      </c>
      <c r="P5848">
        <v>0</v>
      </c>
      <c r="Q5848">
        <v>0</v>
      </c>
      <c r="R5848" t="s">
        <v>43172</v>
      </c>
      <c r="S5848" t="s">
        <v>43334</v>
      </c>
      <c r="T5848" t="s">
        <v>44872</v>
      </c>
      <c r="U5848" t="s">
        <v>49972</v>
      </c>
      <c r="W5848" t="s">
        <v>41386</v>
      </c>
      <c r="X5848" t="s">
        <v>43173</v>
      </c>
    </row>
    <row r="5849" spans="1:24">
      <c r="A5849">
        <f>HYPERLINK("https://www.philgeps.gov.ph/GEPSNONPILOT/Tender/SplashBidNoticeAbstractUI.aspx?menuIndex=3&amp;refID=7080447&amp;Result=3","7080447")</f>
        <v>0</v>
      </c>
      <c r="B5849" t="s">
        <v>1576</v>
      </c>
      <c r="C5849" t="s">
        <v>8990</v>
      </c>
      <c r="D5849" t="s">
        <v>17429</v>
      </c>
      <c r="E5849" t="s">
        <v>22553</v>
      </c>
      <c r="F5849" t="s">
        <v>30052</v>
      </c>
      <c r="G5849" t="s">
        <v>30059</v>
      </c>
      <c r="H5849" t="s">
        <v>15498</v>
      </c>
      <c r="I5849" t="s">
        <v>30144</v>
      </c>
      <c r="J5849" t="s">
        <v>30358</v>
      </c>
      <c r="K5849" t="s">
        <v>39025</v>
      </c>
      <c r="M5849" t="s">
        <v>40969</v>
      </c>
      <c r="N5849" t="s">
        <v>43166</v>
      </c>
      <c r="O5849" t="s">
        <v>43167</v>
      </c>
      <c r="P5849">
        <v>0</v>
      </c>
      <c r="Q5849">
        <v>2</v>
      </c>
      <c r="R5849" t="s">
        <v>43172</v>
      </c>
      <c r="S5849" t="s">
        <v>43334</v>
      </c>
      <c r="T5849" t="s">
        <v>44735</v>
      </c>
      <c r="U5849" t="s">
        <v>49973</v>
      </c>
      <c r="V5849" t="s">
        <v>56845</v>
      </c>
      <c r="W5849" t="s">
        <v>40969</v>
      </c>
      <c r="X5849" t="s">
        <v>43173</v>
      </c>
    </row>
    <row r="5850" spans="1:24">
      <c r="A5850">
        <f>HYPERLINK("https://www.philgeps.gov.ph/GEPSNONPILOT/Tender/SplashBidNoticeAbstractUI.aspx?menuIndex=3&amp;refID=7080556&amp;Result=3","7080556")</f>
        <v>0</v>
      </c>
      <c r="B5850" t="s">
        <v>1956</v>
      </c>
      <c r="C5850" t="s">
        <v>8991</v>
      </c>
      <c r="D5850" t="s">
        <v>17439</v>
      </c>
      <c r="E5850" t="s">
        <v>22554</v>
      </c>
      <c r="F5850" t="s">
        <v>30052</v>
      </c>
      <c r="G5850" t="s">
        <v>30059</v>
      </c>
      <c r="H5850" t="s">
        <v>15498</v>
      </c>
      <c r="I5850" t="s">
        <v>30183</v>
      </c>
      <c r="J5850" t="s">
        <v>30248</v>
      </c>
      <c r="K5850" t="s">
        <v>39017</v>
      </c>
      <c r="M5850" t="s">
        <v>41393</v>
      </c>
      <c r="N5850" t="s">
        <v>43166</v>
      </c>
      <c r="O5850" t="s">
        <v>43167</v>
      </c>
      <c r="P5850">
        <v>0</v>
      </c>
      <c r="Q5850">
        <v>1</v>
      </c>
      <c r="R5850" t="s">
        <v>43172</v>
      </c>
      <c r="S5850" t="s">
        <v>43334</v>
      </c>
      <c r="T5850" t="s">
        <v>44837</v>
      </c>
      <c r="U5850" t="s">
        <v>49974</v>
      </c>
      <c r="W5850" t="s">
        <v>41393</v>
      </c>
      <c r="X5850" t="s">
        <v>43173</v>
      </c>
    </row>
    <row r="5851" spans="1:24">
      <c r="A5851">
        <f>HYPERLINK("https://www.philgeps.gov.ph/GEPSNONPILOT/Tender/SplashBidNoticeAbstractUI.aspx?menuIndex=3&amp;refID=7080552&amp;Result=3","7080552")</f>
        <v>0</v>
      </c>
      <c r="B5851" t="s">
        <v>969</v>
      </c>
      <c r="C5851" t="s">
        <v>8992</v>
      </c>
      <c r="D5851" t="s">
        <v>17449</v>
      </c>
      <c r="E5851" t="s">
        <v>22555</v>
      </c>
      <c r="F5851" t="s">
        <v>30052</v>
      </c>
      <c r="G5851" t="s">
        <v>30058</v>
      </c>
      <c r="H5851" t="s">
        <v>30067</v>
      </c>
      <c r="I5851" t="s">
        <v>3693</v>
      </c>
      <c r="J5851" t="s">
        <v>30605</v>
      </c>
      <c r="K5851" t="s">
        <v>39029</v>
      </c>
      <c r="M5851" t="s">
        <v>40295</v>
      </c>
      <c r="N5851" t="s">
        <v>43166</v>
      </c>
      <c r="O5851" t="s">
        <v>43167</v>
      </c>
      <c r="P5851">
        <v>0</v>
      </c>
      <c r="Q5851">
        <v>0</v>
      </c>
      <c r="R5851" t="s">
        <v>43172</v>
      </c>
      <c r="S5851" t="s">
        <v>43334</v>
      </c>
      <c r="T5851" t="s">
        <v>44945</v>
      </c>
      <c r="U5851" t="s">
        <v>49975</v>
      </c>
      <c r="W5851" t="s">
        <v>40295</v>
      </c>
      <c r="X5851" t="s">
        <v>43173</v>
      </c>
    </row>
    <row r="5852" spans="1:24">
      <c r="A5852">
        <f>HYPERLINK("https://www.philgeps.gov.ph/GEPSNONPILOT/Tender/SplashBidNoticeAbstractUI.aspx?menuIndex=3&amp;refID=7080564&amp;Result=3","7080564")</f>
        <v>0</v>
      </c>
      <c r="B5852" t="s">
        <v>1418</v>
      </c>
      <c r="C5852" t="s">
        <v>8993</v>
      </c>
      <c r="D5852" t="s">
        <v>17449</v>
      </c>
      <c r="E5852" t="s">
        <v>22556</v>
      </c>
      <c r="F5852" t="s">
        <v>30052</v>
      </c>
      <c r="G5852" t="s">
        <v>30058</v>
      </c>
      <c r="H5852" t="s">
        <v>30067</v>
      </c>
      <c r="I5852" t="s">
        <v>3693</v>
      </c>
      <c r="J5852" t="s">
        <v>30588</v>
      </c>
      <c r="K5852" t="s">
        <v>39023</v>
      </c>
      <c r="M5852" t="s">
        <v>40796</v>
      </c>
      <c r="N5852" t="s">
        <v>43166</v>
      </c>
      <c r="O5852" t="s">
        <v>43167</v>
      </c>
      <c r="P5852">
        <v>0</v>
      </c>
      <c r="Q5852">
        <v>3</v>
      </c>
      <c r="R5852" t="s">
        <v>43172</v>
      </c>
      <c r="S5852" t="s">
        <v>43334</v>
      </c>
      <c r="T5852" t="s">
        <v>44691</v>
      </c>
      <c r="U5852" t="s">
        <v>49976</v>
      </c>
      <c r="W5852" t="s">
        <v>40796</v>
      </c>
      <c r="X5852" t="s">
        <v>43173</v>
      </c>
    </row>
    <row r="5853" spans="1:24">
      <c r="A5853">
        <f>HYPERLINK("https://www.philgeps.gov.ph/GEPSNONPILOT/Tender/SplashBidNoticeAbstractUI.aspx?menuIndex=3&amp;refID=7080558&amp;Result=3","7080558")</f>
        <v>0</v>
      </c>
      <c r="B5853" t="s">
        <v>1576</v>
      </c>
      <c r="C5853" t="s">
        <v>8994</v>
      </c>
      <c r="D5853" t="s">
        <v>17435</v>
      </c>
      <c r="E5853" t="s">
        <v>22557</v>
      </c>
      <c r="F5853" t="s">
        <v>30052</v>
      </c>
      <c r="G5853" t="s">
        <v>30059</v>
      </c>
      <c r="H5853" t="s">
        <v>15498</v>
      </c>
      <c r="I5853" t="s">
        <v>30117</v>
      </c>
      <c r="J5853" t="s">
        <v>30256</v>
      </c>
      <c r="K5853" t="s">
        <v>39025</v>
      </c>
      <c r="M5853" t="s">
        <v>40969</v>
      </c>
      <c r="N5853" t="s">
        <v>43166</v>
      </c>
      <c r="O5853" t="s">
        <v>43167</v>
      </c>
      <c r="P5853">
        <v>0</v>
      </c>
      <c r="Q5853">
        <v>0</v>
      </c>
      <c r="R5853" t="s">
        <v>43172</v>
      </c>
      <c r="S5853" t="s">
        <v>43334</v>
      </c>
      <c r="T5853" t="s">
        <v>44888</v>
      </c>
      <c r="U5853" t="s">
        <v>49977</v>
      </c>
      <c r="V5853" t="s">
        <v>56845</v>
      </c>
      <c r="W5853" t="s">
        <v>40969</v>
      </c>
      <c r="X5853" t="s">
        <v>43173</v>
      </c>
    </row>
    <row r="5854" spans="1:24">
      <c r="A5854">
        <f>HYPERLINK("https://www.philgeps.gov.ph/GEPSNONPILOT/Tender/SplashBidNoticeAbstractUI.aspx?menuIndex=3&amp;refID=7080557&amp;Result=3","7080557")</f>
        <v>0</v>
      </c>
      <c r="B5854" t="s">
        <v>1270</v>
      </c>
      <c r="C5854" t="s">
        <v>8995</v>
      </c>
      <c r="D5854" t="s">
        <v>17465</v>
      </c>
      <c r="E5854" t="s">
        <v>22558</v>
      </c>
      <c r="F5854" t="s">
        <v>30052</v>
      </c>
      <c r="G5854" t="s">
        <v>30058</v>
      </c>
      <c r="H5854" t="s">
        <v>15498</v>
      </c>
      <c r="I5854" t="s">
        <v>3852</v>
      </c>
      <c r="J5854" t="s">
        <v>33885</v>
      </c>
      <c r="K5854" t="s">
        <v>39034</v>
      </c>
      <c r="M5854" t="s">
        <v>40629</v>
      </c>
      <c r="N5854" t="s">
        <v>43166</v>
      </c>
      <c r="O5854" t="s">
        <v>43167</v>
      </c>
      <c r="P5854">
        <v>0</v>
      </c>
      <c r="Q5854">
        <v>8</v>
      </c>
      <c r="R5854" t="s">
        <v>43172</v>
      </c>
      <c r="S5854" t="s">
        <v>43334</v>
      </c>
      <c r="T5854" t="s">
        <v>44879</v>
      </c>
      <c r="U5854" t="s">
        <v>49978</v>
      </c>
      <c r="W5854" t="s">
        <v>40629</v>
      </c>
      <c r="X5854" t="s">
        <v>43173</v>
      </c>
    </row>
    <row r="5855" spans="1:24">
      <c r="A5855">
        <f>HYPERLINK("https://www.philgeps.gov.ph/GEPSNONPILOT/Tender/SplashBidNoticeAbstractUI.aspx?menuIndex=3&amp;refID=7080573&amp;Result=3","7080573")</f>
        <v>0</v>
      </c>
      <c r="B5855" t="s">
        <v>136</v>
      </c>
      <c r="C5855" t="s">
        <v>8996</v>
      </c>
      <c r="D5855" t="s">
        <v>17466</v>
      </c>
      <c r="E5855" t="s">
        <v>22559</v>
      </c>
      <c r="F5855" t="s">
        <v>30052</v>
      </c>
      <c r="G5855" t="s">
        <v>30058</v>
      </c>
      <c r="H5855" t="s">
        <v>15498</v>
      </c>
      <c r="I5855" t="s">
        <v>4119</v>
      </c>
      <c r="J5855" t="s">
        <v>33886</v>
      </c>
      <c r="K5855" t="s">
        <v>39019</v>
      </c>
      <c r="M5855" t="s">
        <v>39425</v>
      </c>
      <c r="N5855" t="s">
        <v>43166</v>
      </c>
      <c r="O5855" t="s">
        <v>43167</v>
      </c>
      <c r="P5855">
        <v>0</v>
      </c>
      <c r="Q5855">
        <v>4</v>
      </c>
      <c r="R5855" t="s">
        <v>43172</v>
      </c>
      <c r="S5855" t="s">
        <v>43334</v>
      </c>
      <c r="T5855" t="s">
        <v>44698</v>
      </c>
      <c r="U5855" t="s">
        <v>49979</v>
      </c>
      <c r="W5855" t="s">
        <v>39425</v>
      </c>
      <c r="X5855" t="s">
        <v>43173</v>
      </c>
    </row>
    <row r="5856" spans="1:24">
      <c r="A5856">
        <f>HYPERLINK("https://www.philgeps.gov.ph/GEPSNONPILOT/Tender/SplashBidNoticeAbstractUI.aspx?menuIndex=3&amp;refID=7080546&amp;Result=3","7080546")</f>
        <v>0</v>
      </c>
      <c r="B5856" t="s">
        <v>121</v>
      </c>
      <c r="C5856" t="s">
        <v>8997</v>
      </c>
      <c r="D5856" t="s">
        <v>17440</v>
      </c>
      <c r="E5856" t="s">
        <v>22560</v>
      </c>
      <c r="F5856" t="s">
        <v>30052</v>
      </c>
      <c r="G5856" t="s">
        <v>30058</v>
      </c>
      <c r="H5856" t="s">
        <v>30067</v>
      </c>
      <c r="I5856" t="s">
        <v>3693</v>
      </c>
      <c r="J5856" t="s">
        <v>33887</v>
      </c>
      <c r="K5856" t="s">
        <v>39026</v>
      </c>
      <c r="M5856" t="s">
        <v>39410</v>
      </c>
      <c r="N5856" t="s">
        <v>43166</v>
      </c>
      <c r="O5856" t="s">
        <v>43167</v>
      </c>
      <c r="P5856">
        <v>0</v>
      </c>
      <c r="Q5856">
        <v>0</v>
      </c>
      <c r="R5856" t="s">
        <v>43172</v>
      </c>
      <c r="S5856" t="s">
        <v>43334</v>
      </c>
      <c r="T5856" t="s">
        <v>44730</v>
      </c>
      <c r="U5856" t="s">
        <v>49980</v>
      </c>
      <c r="W5856" t="s">
        <v>39410</v>
      </c>
      <c r="X5856" t="s">
        <v>43173</v>
      </c>
    </row>
    <row r="5857" spans="1:24">
      <c r="A5857">
        <f>HYPERLINK("https://www.philgeps.gov.ph/GEPSNONPILOT/Tender/SplashBidNoticeAbstractUI.aspx?menuIndex=3&amp;refID=7080590&amp;Result=3","7080590")</f>
        <v>0</v>
      </c>
      <c r="B5857" t="s">
        <v>827</v>
      </c>
      <c r="C5857" t="s">
        <v>8998</v>
      </c>
      <c r="D5857" t="s">
        <v>17456</v>
      </c>
      <c r="E5857" t="s">
        <v>22561</v>
      </c>
      <c r="F5857" t="s">
        <v>30052</v>
      </c>
      <c r="G5857" t="s">
        <v>30059</v>
      </c>
      <c r="H5857" t="s">
        <v>15498</v>
      </c>
      <c r="I5857" t="s">
        <v>30081</v>
      </c>
      <c r="J5857" t="s">
        <v>30292</v>
      </c>
      <c r="K5857" t="s">
        <v>39029</v>
      </c>
      <c r="M5857" t="s">
        <v>40144</v>
      </c>
      <c r="N5857" t="s">
        <v>43166</v>
      </c>
      <c r="O5857" t="s">
        <v>43167</v>
      </c>
      <c r="P5857">
        <v>0</v>
      </c>
      <c r="Q5857">
        <v>1</v>
      </c>
      <c r="R5857" t="s">
        <v>43172</v>
      </c>
      <c r="S5857" t="s">
        <v>43334</v>
      </c>
      <c r="T5857" t="s">
        <v>44720</v>
      </c>
      <c r="U5857" t="s">
        <v>49847</v>
      </c>
      <c r="W5857" t="s">
        <v>40144</v>
      </c>
      <c r="X5857" t="s">
        <v>43173</v>
      </c>
    </row>
    <row r="5858" spans="1:24">
      <c r="A5858">
        <f>HYPERLINK("https://www.philgeps.gov.ph/GEPSNONPILOT/Tender/SplashBidNoticeAbstractUI.aspx?menuIndex=3&amp;refID=7080554&amp;Result=3","7080554")</f>
        <v>0</v>
      </c>
      <c r="B5858" t="s">
        <v>700</v>
      </c>
      <c r="C5858" t="s">
        <v>8987</v>
      </c>
      <c r="D5858" t="s">
        <v>17458</v>
      </c>
      <c r="E5858" t="s">
        <v>22562</v>
      </c>
      <c r="F5858" t="s">
        <v>30052</v>
      </c>
      <c r="G5858" t="s">
        <v>30059</v>
      </c>
      <c r="H5858" t="s">
        <v>15498</v>
      </c>
      <c r="I5858" t="s">
        <v>4650</v>
      </c>
      <c r="J5858" t="s">
        <v>30248</v>
      </c>
      <c r="K5858" t="s">
        <v>39019</v>
      </c>
      <c r="M5858" t="s">
        <v>40009</v>
      </c>
      <c r="N5858" t="s">
        <v>43166</v>
      </c>
      <c r="O5858" t="s">
        <v>43167</v>
      </c>
      <c r="P5858">
        <v>0</v>
      </c>
      <c r="Q5858">
        <v>0</v>
      </c>
      <c r="R5858" t="s">
        <v>43172</v>
      </c>
      <c r="S5858" t="s">
        <v>43334</v>
      </c>
      <c r="T5858" t="s">
        <v>44773</v>
      </c>
      <c r="U5858" t="s">
        <v>46535</v>
      </c>
      <c r="W5858" t="s">
        <v>40009</v>
      </c>
      <c r="X5858" t="s">
        <v>43173</v>
      </c>
    </row>
    <row r="5859" spans="1:24">
      <c r="A5859">
        <f>HYPERLINK("https://www.philgeps.gov.ph/GEPSNONPILOT/Tender/SplashBidNoticeAbstractUI.aspx?menuIndex=3&amp;refID=7080614&amp;Result=3","7080614")</f>
        <v>0</v>
      </c>
      <c r="B5859" t="s">
        <v>1943</v>
      </c>
      <c r="C5859" t="s">
        <v>8999</v>
      </c>
      <c r="D5859" t="s">
        <v>17449</v>
      </c>
      <c r="E5859" t="s">
        <v>22563</v>
      </c>
      <c r="F5859" t="s">
        <v>30052</v>
      </c>
      <c r="G5859" t="s">
        <v>30059</v>
      </c>
      <c r="H5859" t="s">
        <v>15498</v>
      </c>
      <c r="I5859" t="s">
        <v>30106</v>
      </c>
      <c r="J5859" t="s">
        <v>30538</v>
      </c>
      <c r="K5859" t="s">
        <v>39039</v>
      </c>
      <c r="M5859" t="s">
        <v>41378</v>
      </c>
      <c r="N5859" t="s">
        <v>43166</v>
      </c>
      <c r="O5859" t="s">
        <v>43167</v>
      </c>
      <c r="P5859">
        <v>0</v>
      </c>
      <c r="Q5859">
        <v>3</v>
      </c>
      <c r="R5859" t="s">
        <v>43172</v>
      </c>
      <c r="S5859" t="s">
        <v>43334</v>
      </c>
      <c r="T5859" t="s">
        <v>44691</v>
      </c>
      <c r="U5859" t="s">
        <v>45564</v>
      </c>
      <c r="W5859" t="s">
        <v>41378</v>
      </c>
      <c r="X5859" t="s">
        <v>43173</v>
      </c>
    </row>
    <row r="5860" spans="1:24">
      <c r="A5860">
        <f>HYPERLINK("https://www.philgeps.gov.ph/GEPSNONPILOT/Tender/SplashBidNoticeAbstractUI.aspx?menuIndex=3&amp;refID=7080562&amp;Result=3","7080562")</f>
        <v>0</v>
      </c>
      <c r="B5860" t="s">
        <v>1957</v>
      </c>
      <c r="C5860" t="s">
        <v>9000</v>
      </c>
      <c r="D5860" t="s">
        <v>17463</v>
      </c>
      <c r="E5860" t="s">
        <v>22564</v>
      </c>
      <c r="F5860" t="s">
        <v>30052</v>
      </c>
      <c r="G5860" t="s">
        <v>30059</v>
      </c>
      <c r="H5860" t="s">
        <v>15498</v>
      </c>
      <c r="I5860" t="s">
        <v>3736</v>
      </c>
      <c r="J5860" t="s">
        <v>33888</v>
      </c>
      <c r="K5860" t="s">
        <v>39019</v>
      </c>
      <c r="M5860" t="s">
        <v>41394</v>
      </c>
      <c r="N5860" t="s">
        <v>43166</v>
      </c>
      <c r="O5860" t="s">
        <v>43167</v>
      </c>
      <c r="P5860">
        <v>0</v>
      </c>
      <c r="Q5860">
        <v>0</v>
      </c>
      <c r="R5860" t="s">
        <v>43172</v>
      </c>
      <c r="S5860" t="s">
        <v>43334</v>
      </c>
      <c r="T5860" t="s">
        <v>44685</v>
      </c>
      <c r="U5860" t="s">
        <v>49981</v>
      </c>
      <c r="W5860" t="s">
        <v>41394</v>
      </c>
      <c r="X5860" t="s">
        <v>43173</v>
      </c>
    </row>
    <row r="5861" spans="1:24">
      <c r="A5861">
        <f>HYPERLINK("https://www.philgeps.gov.ph/GEPSNONPILOT/Tender/SplashBidNoticeAbstractUI.aspx?menuIndex=3&amp;refID=7080610&amp;Result=3","7080610")</f>
        <v>0</v>
      </c>
      <c r="B5861" t="s">
        <v>946</v>
      </c>
      <c r="C5861" t="s">
        <v>5695</v>
      </c>
      <c r="D5861" t="s">
        <v>17456</v>
      </c>
      <c r="E5861" t="s">
        <v>22565</v>
      </c>
      <c r="F5861" t="s">
        <v>30052</v>
      </c>
      <c r="G5861" t="s">
        <v>30059</v>
      </c>
      <c r="H5861" t="s">
        <v>15498</v>
      </c>
      <c r="I5861" t="s">
        <v>9238</v>
      </c>
      <c r="J5861" t="s">
        <v>33510</v>
      </c>
      <c r="K5861" t="s">
        <v>39017</v>
      </c>
      <c r="M5861" t="s">
        <v>40270</v>
      </c>
      <c r="N5861" t="s">
        <v>43166</v>
      </c>
      <c r="O5861" t="s">
        <v>43167</v>
      </c>
      <c r="P5861">
        <v>0</v>
      </c>
      <c r="Q5861">
        <v>4</v>
      </c>
      <c r="R5861" t="s">
        <v>43172</v>
      </c>
      <c r="S5861" t="s">
        <v>43334</v>
      </c>
      <c r="T5861" t="s">
        <v>45030</v>
      </c>
      <c r="U5861" t="s">
        <v>49982</v>
      </c>
      <c r="W5861" t="s">
        <v>40270</v>
      </c>
      <c r="X5861" t="s">
        <v>43173</v>
      </c>
    </row>
    <row r="5862" spans="1:24">
      <c r="A5862">
        <f>HYPERLINK("https://www.philgeps.gov.ph/GEPSNONPILOT/Tender/SplashBidNoticeAbstractUI.aspx?menuIndex=3&amp;refID=7080551&amp;Result=3","7080551")</f>
        <v>0</v>
      </c>
      <c r="B5862" t="s">
        <v>1853</v>
      </c>
      <c r="C5862" t="s">
        <v>9001</v>
      </c>
      <c r="D5862" t="s">
        <v>17464</v>
      </c>
      <c r="E5862" t="s">
        <v>17671</v>
      </c>
      <c r="F5862" t="s">
        <v>30052</v>
      </c>
      <c r="G5862" t="s">
        <v>30058</v>
      </c>
      <c r="H5862" t="s">
        <v>30067</v>
      </c>
      <c r="I5862" t="s">
        <v>3693</v>
      </c>
      <c r="J5862" t="s">
        <v>30277</v>
      </c>
      <c r="K5862" t="s">
        <v>39025</v>
      </c>
      <c r="M5862" t="s">
        <v>41281</v>
      </c>
      <c r="N5862" t="s">
        <v>43166</v>
      </c>
      <c r="O5862" t="s">
        <v>43167</v>
      </c>
      <c r="P5862">
        <v>0</v>
      </c>
      <c r="Q5862">
        <v>0</v>
      </c>
      <c r="R5862" t="s">
        <v>43172</v>
      </c>
      <c r="S5862" t="s">
        <v>43334</v>
      </c>
      <c r="T5862" t="s">
        <v>44806</v>
      </c>
      <c r="U5862" t="s">
        <v>49983</v>
      </c>
      <c r="W5862" t="s">
        <v>41281</v>
      </c>
      <c r="X5862" t="s">
        <v>43173</v>
      </c>
    </row>
    <row r="5863" spans="1:24">
      <c r="A5863">
        <f>HYPERLINK("https://www.philgeps.gov.ph/GEPSNONPILOT/Tender/SplashBidNoticeAbstractUI.aspx?menuIndex=3&amp;refID=7080406&amp;Result=3","7080406")</f>
        <v>0</v>
      </c>
      <c r="B5863" t="s">
        <v>1930</v>
      </c>
      <c r="C5863" t="s">
        <v>9002</v>
      </c>
      <c r="D5863" t="s">
        <v>17442</v>
      </c>
      <c r="E5863" t="s">
        <v>22566</v>
      </c>
      <c r="F5863" t="s">
        <v>30052</v>
      </c>
      <c r="G5863" t="s">
        <v>30058</v>
      </c>
      <c r="H5863" t="s">
        <v>15498</v>
      </c>
      <c r="I5863" t="s">
        <v>30126</v>
      </c>
      <c r="J5863" t="s">
        <v>30962</v>
      </c>
      <c r="K5863" t="s">
        <v>39029</v>
      </c>
      <c r="M5863" t="s">
        <v>41363</v>
      </c>
      <c r="N5863" t="s">
        <v>43166</v>
      </c>
      <c r="O5863" t="s">
        <v>43167</v>
      </c>
      <c r="P5863">
        <v>0</v>
      </c>
      <c r="Q5863">
        <v>2</v>
      </c>
      <c r="R5863" t="s">
        <v>43172</v>
      </c>
      <c r="S5863" t="s">
        <v>43334</v>
      </c>
      <c r="T5863" t="s">
        <v>44952</v>
      </c>
      <c r="U5863" t="s">
        <v>49915</v>
      </c>
      <c r="V5863" t="s">
        <v>57443</v>
      </c>
      <c r="W5863" t="s">
        <v>41363</v>
      </c>
      <c r="X5863" t="s">
        <v>43173</v>
      </c>
    </row>
    <row r="5864" spans="1:24">
      <c r="A5864">
        <f>HYPERLINK("https://www.philgeps.gov.ph/GEPSNONPILOT/Tender/SplashBidNoticeAbstractUI.aspx?menuIndex=3&amp;refID=7080609&amp;Result=3","7080609")</f>
        <v>0</v>
      </c>
      <c r="B5864" t="s">
        <v>1958</v>
      </c>
      <c r="C5864" t="s">
        <v>9003</v>
      </c>
      <c r="D5864" t="s">
        <v>17415</v>
      </c>
      <c r="E5864" t="s">
        <v>22567</v>
      </c>
      <c r="F5864" t="s">
        <v>30052</v>
      </c>
      <c r="G5864" t="s">
        <v>30059</v>
      </c>
      <c r="H5864" t="s">
        <v>15498</v>
      </c>
      <c r="I5864" t="s">
        <v>3736</v>
      </c>
      <c r="J5864" t="s">
        <v>33889</v>
      </c>
      <c r="K5864" t="s">
        <v>39039</v>
      </c>
      <c r="M5864" t="s">
        <v>41395</v>
      </c>
      <c r="N5864" t="s">
        <v>43166</v>
      </c>
      <c r="O5864" t="s">
        <v>43167</v>
      </c>
      <c r="P5864">
        <v>0</v>
      </c>
      <c r="Q5864">
        <v>0</v>
      </c>
      <c r="R5864" t="s">
        <v>43172</v>
      </c>
      <c r="S5864" t="s">
        <v>43334</v>
      </c>
      <c r="T5864" t="s">
        <v>44717</v>
      </c>
      <c r="U5864" t="s">
        <v>49984</v>
      </c>
      <c r="W5864" t="s">
        <v>41395</v>
      </c>
      <c r="X5864" t="s">
        <v>43173</v>
      </c>
    </row>
    <row r="5865" spans="1:24">
      <c r="A5865">
        <f>HYPERLINK("https://www.philgeps.gov.ph/GEPSNONPILOT/Tender/SplashBidNoticeAbstractUI.aspx?menuIndex=3&amp;refID=7080608&amp;Result=3","7080608")</f>
        <v>0</v>
      </c>
      <c r="B5865" t="s">
        <v>935</v>
      </c>
      <c r="C5865" t="s">
        <v>9004</v>
      </c>
      <c r="D5865" t="s">
        <v>17441</v>
      </c>
      <c r="E5865" t="s">
        <v>22568</v>
      </c>
      <c r="F5865" t="s">
        <v>30052</v>
      </c>
      <c r="G5865" t="s">
        <v>30059</v>
      </c>
      <c r="H5865" t="s">
        <v>15498</v>
      </c>
      <c r="I5865" t="s">
        <v>9238</v>
      </c>
      <c r="J5865" t="s">
        <v>30216</v>
      </c>
      <c r="K5865" t="s">
        <v>39019</v>
      </c>
      <c r="M5865" t="s">
        <v>41379</v>
      </c>
      <c r="N5865" t="s">
        <v>43166</v>
      </c>
      <c r="O5865" t="s">
        <v>43167</v>
      </c>
      <c r="P5865">
        <v>0</v>
      </c>
      <c r="Q5865">
        <v>19</v>
      </c>
      <c r="R5865" t="s">
        <v>43172</v>
      </c>
      <c r="S5865" t="s">
        <v>43334</v>
      </c>
      <c r="T5865" t="s">
        <v>44728</v>
      </c>
      <c r="U5865" t="s">
        <v>49985</v>
      </c>
      <c r="W5865" t="s">
        <v>41379</v>
      </c>
      <c r="X5865" t="s">
        <v>43173</v>
      </c>
    </row>
    <row r="5866" spans="1:24">
      <c r="A5866">
        <f>HYPERLINK("https://www.philgeps.gov.ph/GEPSNONPILOT/Tender/SplashBidNoticeAbstractUI.aspx?menuIndex=3&amp;refID=7080605&amp;Result=3","7080605")</f>
        <v>0</v>
      </c>
      <c r="B5866" t="s">
        <v>1921</v>
      </c>
      <c r="C5866" t="s">
        <v>8833</v>
      </c>
      <c r="D5866" t="s">
        <v>17447</v>
      </c>
      <c r="E5866" t="s">
        <v>22569</v>
      </c>
      <c r="F5866" t="s">
        <v>30052</v>
      </c>
      <c r="G5866" t="s">
        <v>30058</v>
      </c>
      <c r="H5866" t="s">
        <v>15498</v>
      </c>
      <c r="I5866" t="s">
        <v>3736</v>
      </c>
      <c r="J5866" t="s">
        <v>30350</v>
      </c>
      <c r="K5866" t="s">
        <v>39025</v>
      </c>
      <c r="M5866" t="s">
        <v>41353</v>
      </c>
      <c r="N5866" t="s">
        <v>43166</v>
      </c>
      <c r="O5866" t="s">
        <v>43167</v>
      </c>
      <c r="P5866">
        <v>0</v>
      </c>
      <c r="Q5866">
        <v>0</v>
      </c>
      <c r="R5866" t="s">
        <v>43172</v>
      </c>
      <c r="S5866" t="s">
        <v>43334</v>
      </c>
      <c r="T5866" t="s">
        <v>44732</v>
      </c>
      <c r="U5866" t="s">
        <v>49986</v>
      </c>
      <c r="W5866" t="s">
        <v>41353</v>
      </c>
      <c r="X5866" t="s">
        <v>43173</v>
      </c>
    </row>
    <row r="5867" spans="1:24">
      <c r="A5867">
        <f>HYPERLINK("https://www.philgeps.gov.ph/GEPSNONPILOT/Tender/SplashBidNoticeAbstractUI.aspx?menuIndex=3&amp;refID=7080601&amp;Result=3","7080601")</f>
        <v>0</v>
      </c>
      <c r="B5867" t="s">
        <v>1261</v>
      </c>
      <c r="C5867" t="s">
        <v>9005</v>
      </c>
      <c r="D5867" t="s">
        <v>17425</v>
      </c>
      <c r="E5867" t="s">
        <v>22570</v>
      </c>
      <c r="F5867" t="s">
        <v>30052</v>
      </c>
      <c r="G5867" t="s">
        <v>30059</v>
      </c>
      <c r="H5867" t="s">
        <v>15498</v>
      </c>
      <c r="I5867" t="s">
        <v>3736</v>
      </c>
      <c r="J5867" t="s">
        <v>33890</v>
      </c>
      <c r="K5867" t="s">
        <v>39019</v>
      </c>
      <c r="M5867" t="s">
        <v>40619</v>
      </c>
      <c r="N5867" t="s">
        <v>43166</v>
      </c>
      <c r="O5867" t="s">
        <v>43167</v>
      </c>
      <c r="P5867">
        <v>0</v>
      </c>
      <c r="Q5867">
        <v>0</v>
      </c>
      <c r="R5867" t="s">
        <v>43172</v>
      </c>
      <c r="S5867" t="s">
        <v>43334</v>
      </c>
      <c r="T5867" t="s">
        <v>44773</v>
      </c>
      <c r="U5867" t="s">
        <v>49987</v>
      </c>
      <c r="W5867" t="s">
        <v>40619</v>
      </c>
      <c r="X5867" t="s">
        <v>43173</v>
      </c>
    </row>
    <row r="5868" spans="1:24">
      <c r="A5868">
        <f>HYPERLINK("https://www.philgeps.gov.ph/GEPSNONPILOT/Tender/SplashBidNoticeAbstractUI.aspx?menuIndex=3&amp;refID=7080597&amp;Result=3","7080597")</f>
        <v>0</v>
      </c>
      <c r="B5868" t="s">
        <v>1959</v>
      </c>
      <c r="C5868" t="s">
        <v>9006</v>
      </c>
      <c r="D5868" t="s">
        <v>17435</v>
      </c>
      <c r="E5868" t="s">
        <v>22571</v>
      </c>
      <c r="F5868" t="s">
        <v>30052</v>
      </c>
      <c r="G5868" t="s">
        <v>30062</v>
      </c>
      <c r="H5868" t="s">
        <v>15498</v>
      </c>
      <c r="I5868" t="s">
        <v>30096</v>
      </c>
      <c r="J5868" t="s">
        <v>31377</v>
      </c>
      <c r="K5868" t="s">
        <v>39025</v>
      </c>
      <c r="M5868" t="s">
        <v>41396</v>
      </c>
      <c r="N5868" t="s">
        <v>43166</v>
      </c>
      <c r="O5868" t="s">
        <v>43167</v>
      </c>
      <c r="P5868">
        <v>0</v>
      </c>
      <c r="Q5868">
        <v>5</v>
      </c>
      <c r="R5868" t="s">
        <v>43172</v>
      </c>
      <c r="S5868" t="s">
        <v>43334</v>
      </c>
      <c r="T5868" t="s">
        <v>44837</v>
      </c>
      <c r="U5868" t="s">
        <v>49988</v>
      </c>
      <c r="V5868" t="s">
        <v>57450</v>
      </c>
      <c r="W5868" t="s">
        <v>41396</v>
      </c>
      <c r="X5868" t="s">
        <v>43173</v>
      </c>
    </row>
    <row r="5869" spans="1:24">
      <c r="A5869">
        <f>HYPERLINK("https://www.philgeps.gov.ph/GEPSNONPILOT/Tender/SplashBidNoticeAbstractUI.aspx?menuIndex=3&amp;refID=7080618&amp;Result=3","7080618")</f>
        <v>0</v>
      </c>
      <c r="B5869" t="s">
        <v>1935</v>
      </c>
      <c r="C5869" t="s">
        <v>8970</v>
      </c>
      <c r="D5869" t="s">
        <v>17418</v>
      </c>
      <c r="E5869" t="s">
        <v>22572</v>
      </c>
      <c r="F5869" t="s">
        <v>30052</v>
      </c>
      <c r="G5869" t="s">
        <v>30058</v>
      </c>
      <c r="H5869" t="s">
        <v>30067</v>
      </c>
      <c r="I5869" t="s">
        <v>3693</v>
      </c>
      <c r="J5869" t="s">
        <v>33891</v>
      </c>
      <c r="K5869" t="s">
        <v>39106</v>
      </c>
      <c r="M5869" t="s">
        <v>41369</v>
      </c>
      <c r="N5869" t="s">
        <v>43166</v>
      </c>
      <c r="O5869" t="s">
        <v>43167</v>
      </c>
      <c r="P5869">
        <v>0</v>
      </c>
      <c r="Q5869">
        <v>0</v>
      </c>
      <c r="R5869" t="s">
        <v>43172</v>
      </c>
      <c r="S5869" t="s">
        <v>43334</v>
      </c>
      <c r="T5869" t="s">
        <v>44691</v>
      </c>
      <c r="U5869" t="s">
        <v>49989</v>
      </c>
      <c r="W5869" t="s">
        <v>41369</v>
      </c>
      <c r="X5869" t="s">
        <v>43173</v>
      </c>
    </row>
    <row r="5870" spans="1:24">
      <c r="A5870">
        <f>HYPERLINK("https://www.philgeps.gov.ph/GEPSNONPILOT/Tender/SplashBidNoticeAbstractUI.aspx?menuIndex=3&amp;refID=7080594&amp;Result=3","7080594")</f>
        <v>0</v>
      </c>
      <c r="B5870" t="s">
        <v>1935</v>
      </c>
      <c r="C5870" t="s">
        <v>8970</v>
      </c>
      <c r="D5870" t="s">
        <v>17418</v>
      </c>
      <c r="E5870" t="s">
        <v>22573</v>
      </c>
      <c r="F5870" t="s">
        <v>30052</v>
      </c>
      <c r="G5870" t="s">
        <v>30058</v>
      </c>
      <c r="H5870" t="s">
        <v>30067</v>
      </c>
      <c r="I5870" t="s">
        <v>3693</v>
      </c>
      <c r="J5870" t="s">
        <v>33892</v>
      </c>
      <c r="K5870" t="s">
        <v>39058</v>
      </c>
      <c r="M5870" t="s">
        <v>41369</v>
      </c>
      <c r="N5870" t="s">
        <v>43166</v>
      </c>
      <c r="O5870" t="s">
        <v>43167</v>
      </c>
      <c r="P5870">
        <v>0</v>
      </c>
      <c r="Q5870">
        <v>0</v>
      </c>
      <c r="R5870" t="s">
        <v>43172</v>
      </c>
      <c r="S5870" t="s">
        <v>43334</v>
      </c>
      <c r="T5870" t="s">
        <v>44691</v>
      </c>
      <c r="U5870" t="s">
        <v>49990</v>
      </c>
      <c r="W5870" t="s">
        <v>41369</v>
      </c>
      <c r="X5870" t="s">
        <v>43173</v>
      </c>
    </row>
    <row r="5871" spans="1:24">
      <c r="A5871">
        <f>HYPERLINK("https://www.philgeps.gov.ph/GEPSNONPILOT/Tender/SplashBidNoticeAbstractUI.aspx?menuIndex=3&amp;refID=7080613&amp;Result=3","7080613")</f>
        <v>0</v>
      </c>
      <c r="B5871" t="s">
        <v>1960</v>
      </c>
      <c r="C5871" t="s">
        <v>9007</v>
      </c>
      <c r="D5871" t="s">
        <v>17427</v>
      </c>
      <c r="E5871" t="s">
        <v>9007</v>
      </c>
      <c r="F5871" t="s">
        <v>30052</v>
      </c>
      <c r="G5871" t="s">
        <v>30060</v>
      </c>
      <c r="H5871" t="s">
        <v>15498</v>
      </c>
      <c r="I5871" t="s">
        <v>3606</v>
      </c>
      <c r="J5871" t="s">
        <v>33893</v>
      </c>
      <c r="K5871" t="s">
        <v>39025</v>
      </c>
      <c r="M5871" t="s">
        <v>41397</v>
      </c>
      <c r="N5871" t="s">
        <v>43166</v>
      </c>
      <c r="O5871" t="s">
        <v>43167</v>
      </c>
      <c r="P5871">
        <v>0</v>
      </c>
      <c r="Q5871">
        <v>3</v>
      </c>
      <c r="R5871" t="s">
        <v>43172</v>
      </c>
      <c r="S5871" t="s">
        <v>43334</v>
      </c>
      <c r="T5871" t="s">
        <v>44859</v>
      </c>
      <c r="U5871" t="s">
        <v>49991</v>
      </c>
      <c r="V5871" t="s">
        <v>57451</v>
      </c>
      <c r="W5871" t="s">
        <v>41397</v>
      </c>
      <c r="X5871" t="s">
        <v>43173</v>
      </c>
    </row>
    <row r="5872" spans="1:24">
      <c r="A5872">
        <f>HYPERLINK("https://www.philgeps.gov.ph/GEPSNONPILOT/Tender/SplashBidNoticeAbstractUI.aspx?menuIndex=3&amp;refID=7080592&amp;Result=3","7080592")</f>
        <v>0</v>
      </c>
      <c r="B5872" t="s">
        <v>1313</v>
      </c>
      <c r="C5872" t="s">
        <v>9008</v>
      </c>
      <c r="D5872" t="s">
        <v>17415</v>
      </c>
      <c r="E5872" t="s">
        <v>22574</v>
      </c>
      <c r="F5872" t="s">
        <v>30052</v>
      </c>
      <c r="G5872" t="s">
        <v>30059</v>
      </c>
      <c r="H5872" t="s">
        <v>15498</v>
      </c>
      <c r="I5872" t="s">
        <v>3736</v>
      </c>
      <c r="J5872" t="s">
        <v>33894</v>
      </c>
      <c r="K5872" t="s">
        <v>39017</v>
      </c>
      <c r="M5872" t="s">
        <v>41366</v>
      </c>
      <c r="N5872" t="s">
        <v>43166</v>
      </c>
      <c r="O5872" t="s">
        <v>43167</v>
      </c>
      <c r="P5872">
        <v>0</v>
      </c>
      <c r="Q5872">
        <v>1</v>
      </c>
      <c r="R5872" t="s">
        <v>43172</v>
      </c>
      <c r="S5872" t="s">
        <v>43334</v>
      </c>
      <c r="T5872" t="s">
        <v>44717</v>
      </c>
      <c r="U5872" t="s">
        <v>49954</v>
      </c>
      <c r="W5872" t="s">
        <v>41366</v>
      </c>
      <c r="X5872" t="s">
        <v>43173</v>
      </c>
    </row>
    <row r="5873" spans="1:24">
      <c r="A5873">
        <f>HYPERLINK("https://www.philgeps.gov.ph/GEPSNONPILOT/Tender/SplashBidNoticeAbstractUI.aspx?menuIndex=3&amp;refID=7080547&amp;Result=3","7080547")</f>
        <v>0</v>
      </c>
      <c r="B5873" t="s">
        <v>1505</v>
      </c>
      <c r="C5873" t="s">
        <v>9009</v>
      </c>
      <c r="D5873" t="s">
        <v>17462</v>
      </c>
      <c r="E5873" t="s">
        <v>22575</v>
      </c>
      <c r="F5873" t="s">
        <v>30052</v>
      </c>
      <c r="G5873" t="s">
        <v>30058</v>
      </c>
      <c r="H5873" t="s">
        <v>30067</v>
      </c>
      <c r="I5873" t="s">
        <v>3693</v>
      </c>
      <c r="J5873" t="s">
        <v>33895</v>
      </c>
      <c r="K5873" t="s">
        <v>39026</v>
      </c>
      <c r="M5873" t="s">
        <v>40889</v>
      </c>
      <c r="N5873" t="s">
        <v>43166</v>
      </c>
      <c r="O5873" t="s">
        <v>43167</v>
      </c>
      <c r="P5873">
        <v>0</v>
      </c>
      <c r="Q5873">
        <v>9</v>
      </c>
      <c r="R5873" t="s">
        <v>43172</v>
      </c>
      <c r="S5873" t="s">
        <v>43334</v>
      </c>
      <c r="T5873" t="s">
        <v>44842</v>
      </c>
      <c r="U5873" t="s">
        <v>49934</v>
      </c>
      <c r="W5873" t="s">
        <v>58641</v>
      </c>
      <c r="X5873" t="s">
        <v>43173</v>
      </c>
    </row>
    <row r="5874" spans="1:24">
      <c r="A5874">
        <f>HYPERLINK("https://www.philgeps.gov.ph/GEPSNONPILOT/Tender/SplashBidNoticeAbstractUI.aspx?menuIndex=3&amp;refID=7080607&amp;Result=3","7080607")</f>
        <v>0</v>
      </c>
      <c r="B5874" t="s">
        <v>1961</v>
      </c>
      <c r="C5874" t="s">
        <v>9010</v>
      </c>
      <c r="D5874" t="s">
        <v>17421</v>
      </c>
      <c r="E5874" t="s">
        <v>22576</v>
      </c>
      <c r="F5874" t="s">
        <v>30054</v>
      </c>
      <c r="G5874" t="s">
        <v>30059</v>
      </c>
      <c r="H5874" t="s">
        <v>15498</v>
      </c>
      <c r="I5874" t="s">
        <v>8323</v>
      </c>
      <c r="J5874" t="s">
        <v>30377</v>
      </c>
      <c r="K5874" t="s">
        <v>39017</v>
      </c>
      <c r="M5874" t="s">
        <v>41398</v>
      </c>
      <c r="N5874" t="s">
        <v>43166</v>
      </c>
      <c r="O5874" t="s">
        <v>43167</v>
      </c>
      <c r="P5874">
        <v>0</v>
      </c>
      <c r="Q5874">
        <v>2</v>
      </c>
      <c r="R5874" t="s">
        <v>43172</v>
      </c>
      <c r="S5874" t="s">
        <v>43334</v>
      </c>
      <c r="T5874" t="s">
        <v>44732</v>
      </c>
      <c r="U5874" t="s">
        <v>49992</v>
      </c>
      <c r="W5874" t="s">
        <v>41398</v>
      </c>
      <c r="X5874" t="s">
        <v>43173</v>
      </c>
    </row>
    <row r="5875" spans="1:24">
      <c r="A5875">
        <f>HYPERLINK("https://www.philgeps.gov.ph/GEPSNONPILOT/Tender/SplashBidNoticeAbstractUI.aspx?menuIndex=3&amp;refID=7080604&amp;Result=3","7080604")</f>
        <v>0</v>
      </c>
      <c r="B5875" t="s">
        <v>679</v>
      </c>
      <c r="C5875" t="s">
        <v>9011</v>
      </c>
      <c r="D5875" t="s">
        <v>17419</v>
      </c>
      <c r="E5875" t="s">
        <v>22577</v>
      </c>
      <c r="F5875" t="s">
        <v>30052</v>
      </c>
      <c r="G5875" t="s">
        <v>30058</v>
      </c>
      <c r="H5875" t="s">
        <v>15498</v>
      </c>
      <c r="I5875" t="s">
        <v>6304</v>
      </c>
      <c r="J5875" t="s">
        <v>33896</v>
      </c>
      <c r="K5875" t="s">
        <v>39034</v>
      </c>
      <c r="M5875" t="s">
        <v>39985</v>
      </c>
      <c r="N5875" t="s">
        <v>43166</v>
      </c>
      <c r="O5875" t="s">
        <v>43167</v>
      </c>
      <c r="P5875">
        <v>0</v>
      </c>
      <c r="Q5875">
        <v>0</v>
      </c>
      <c r="R5875" t="s">
        <v>43172</v>
      </c>
      <c r="S5875" t="s">
        <v>43334</v>
      </c>
      <c r="T5875" t="s">
        <v>44698</v>
      </c>
      <c r="U5875" t="s">
        <v>49993</v>
      </c>
      <c r="W5875" t="s">
        <v>39985</v>
      </c>
      <c r="X5875" t="s">
        <v>43173</v>
      </c>
    </row>
    <row r="5876" spans="1:24">
      <c r="A5876">
        <f>HYPERLINK("https://www.philgeps.gov.ph/GEPSNONPILOT/Tender/SplashBidNoticeAbstractUI.aspx?menuIndex=3&amp;refID=7080591&amp;Result=3","7080591")</f>
        <v>0</v>
      </c>
      <c r="B5876" t="s">
        <v>1576</v>
      </c>
      <c r="C5876" t="s">
        <v>9012</v>
      </c>
      <c r="D5876" t="s">
        <v>17435</v>
      </c>
      <c r="E5876" t="s">
        <v>22578</v>
      </c>
      <c r="F5876" t="s">
        <v>30052</v>
      </c>
      <c r="G5876" t="s">
        <v>30059</v>
      </c>
      <c r="H5876" t="s">
        <v>15498</v>
      </c>
      <c r="I5876" t="s">
        <v>30117</v>
      </c>
      <c r="J5876" t="s">
        <v>30398</v>
      </c>
      <c r="K5876" t="s">
        <v>39025</v>
      </c>
      <c r="M5876" t="s">
        <v>40969</v>
      </c>
      <c r="N5876" t="s">
        <v>43166</v>
      </c>
      <c r="O5876" t="s">
        <v>43167</v>
      </c>
      <c r="P5876">
        <v>0</v>
      </c>
      <c r="Q5876">
        <v>1</v>
      </c>
      <c r="R5876" t="s">
        <v>43172</v>
      </c>
      <c r="S5876" t="s">
        <v>43334</v>
      </c>
      <c r="T5876" t="s">
        <v>44888</v>
      </c>
      <c r="U5876" t="s">
        <v>49994</v>
      </c>
      <c r="V5876" t="s">
        <v>56845</v>
      </c>
      <c r="W5876" t="s">
        <v>40969</v>
      </c>
      <c r="X5876" t="s">
        <v>43173</v>
      </c>
    </row>
    <row r="5877" spans="1:24">
      <c r="A5877">
        <f>HYPERLINK("https://www.philgeps.gov.ph/GEPSNONPILOT/Tender/SplashBidNoticeAbstractUI.aspx?menuIndex=3&amp;refID=7080583&amp;Result=3","7080583")</f>
        <v>0</v>
      </c>
      <c r="B5877" t="s">
        <v>1962</v>
      </c>
      <c r="C5877" t="s">
        <v>8124</v>
      </c>
      <c r="D5877" t="s">
        <v>17415</v>
      </c>
      <c r="E5877" t="s">
        <v>22579</v>
      </c>
      <c r="F5877" t="s">
        <v>30052</v>
      </c>
      <c r="G5877" t="s">
        <v>30059</v>
      </c>
      <c r="H5877" t="s">
        <v>15498</v>
      </c>
      <c r="I5877" t="s">
        <v>30084</v>
      </c>
      <c r="J5877" t="s">
        <v>32024</v>
      </c>
      <c r="K5877" t="s">
        <v>39017</v>
      </c>
      <c r="M5877" t="s">
        <v>41399</v>
      </c>
      <c r="N5877" t="s">
        <v>43166</v>
      </c>
      <c r="O5877" t="s">
        <v>43167</v>
      </c>
      <c r="P5877">
        <v>0</v>
      </c>
      <c r="Q5877">
        <v>13</v>
      </c>
      <c r="R5877" t="s">
        <v>43172</v>
      </c>
      <c r="S5877" t="s">
        <v>43334</v>
      </c>
      <c r="T5877" t="s">
        <v>44777</v>
      </c>
      <c r="U5877" t="s">
        <v>49995</v>
      </c>
      <c r="W5877" t="s">
        <v>41399</v>
      </c>
      <c r="X5877" t="s">
        <v>43173</v>
      </c>
    </row>
    <row r="5878" spans="1:24">
      <c r="A5878">
        <f>HYPERLINK("https://www.philgeps.gov.ph/GEPSNONPILOT/Tender/SplashBidNoticeAbstractUI.aspx?menuIndex=3&amp;refID=7080542&amp;Result=3","7080542")</f>
        <v>0</v>
      </c>
      <c r="B5878" t="s">
        <v>1963</v>
      </c>
      <c r="C5878" t="s">
        <v>9013</v>
      </c>
      <c r="D5878" t="s">
        <v>17427</v>
      </c>
      <c r="E5878" t="s">
        <v>18952</v>
      </c>
      <c r="F5878" t="s">
        <v>30052</v>
      </c>
      <c r="G5878" t="s">
        <v>30058</v>
      </c>
      <c r="H5878" t="s">
        <v>30067</v>
      </c>
      <c r="I5878" t="s">
        <v>3736</v>
      </c>
      <c r="J5878" t="s">
        <v>30337</v>
      </c>
      <c r="K5878" t="s">
        <v>39029</v>
      </c>
      <c r="M5878" t="s">
        <v>41400</v>
      </c>
      <c r="N5878" t="s">
        <v>43166</v>
      </c>
      <c r="O5878" t="s">
        <v>43167</v>
      </c>
      <c r="P5878">
        <v>0</v>
      </c>
      <c r="Q5878">
        <v>0</v>
      </c>
      <c r="R5878" t="s">
        <v>43172</v>
      </c>
      <c r="S5878" t="s">
        <v>43334</v>
      </c>
      <c r="T5878" t="s">
        <v>45031</v>
      </c>
      <c r="U5878" t="s">
        <v>49996</v>
      </c>
      <c r="V5878" t="s">
        <v>49996</v>
      </c>
      <c r="W5878" t="s">
        <v>41400</v>
      </c>
      <c r="X5878" t="s">
        <v>43173</v>
      </c>
    </row>
    <row r="5879" spans="1:24">
      <c r="A5879">
        <f>HYPERLINK("https://www.philgeps.gov.ph/GEPSNONPILOT/Tender/SplashBidNoticeAbstractUI.aspx?menuIndex=3&amp;refID=7080581&amp;Result=3","7080581")</f>
        <v>0</v>
      </c>
      <c r="B5879" t="s">
        <v>1935</v>
      </c>
      <c r="C5879" t="s">
        <v>8970</v>
      </c>
      <c r="D5879" t="s">
        <v>17418</v>
      </c>
      <c r="E5879" t="s">
        <v>22580</v>
      </c>
      <c r="F5879" t="s">
        <v>30052</v>
      </c>
      <c r="G5879" t="s">
        <v>30058</v>
      </c>
      <c r="H5879" t="s">
        <v>30067</v>
      </c>
      <c r="I5879" t="s">
        <v>3693</v>
      </c>
      <c r="J5879" t="s">
        <v>33897</v>
      </c>
      <c r="K5879" t="s">
        <v>39032</v>
      </c>
      <c r="M5879" t="s">
        <v>41369</v>
      </c>
      <c r="N5879" t="s">
        <v>43166</v>
      </c>
      <c r="O5879" t="s">
        <v>43167</v>
      </c>
      <c r="P5879">
        <v>0</v>
      </c>
      <c r="Q5879">
        <v>0</v>
      </c>
      <c r="R5879" t="s">
        <v>43172</v>
      </c>
      <c r="S5879" t="s">
        <v>43334</v>
      </c>
      <c r="T5879" t="s">
        <v>44691</v>
      </c>
      <c r="U5879" t="s">
        <v>49997</v>
      </c>
      <c r="W5879" t="s">
        <v>41369</v>
      </c>
      <c r="X5879" t="s">
        <v>43173</v>
      </c>
    </row>
    <row r="5880" spans="1:24">
      <c r="A5880">
        <f>HYPERLINK("https://www.philgeps.gov.ph/GEPSNONPILOT/Tender/SplashBidNoticeAbstractUI.aspx?menuIndex=3&amp;refID=7080578&amp;Result=3","7080578")</f>
        <v>0</v>
      </c>
      <c r="B5880" t="s">
        <v>1576</v>
      </c>
      <c r="C5880" t="s">
        <v>9014</v>
      </c>
      <c r="D5880" t="s">
        <v>17415</v>
      </c>
      <c r="E5880" t="s">
        <v>22581</v>
      </c>
      <c r="F5880" t="s">
        <v>30052</v>
      </c>
      <c r="G5880" t="s">
        <v>30059</v>
      </c>
      <c r="H5880" t="s">
        <v>15498</v>
      </c>
      <c r="I5880" t="s">
        <v>9238</v>
      </c>
      <c r="J5880" t="s">
        <v>31944</v>
      </c>
      <c r="K5880" t="s">
        <v>39025</v>
      </c>
      <c r="M5880" t="s">
        <v>41215</v>
      </c>
      <c r="N5880" t="s">
        <v>43166</v>
      </c>
      <c r="O5880" t="s">
        <v>43167</v>
      </c>
      <c r="P5880">
        <v>0</v>
      </c>
      <c r="Q5880">
        <v>8</v>
      </c>
      <c r="R5880" t="s">
        <v>43172</v>
      </c>
      <c r="S5880" t="s">
        <v>43334</v>
      </c>
      <c r="T5880" t="s">
        <v>44894</v>
      </c>
      <c r="U5880" t="s">
        <v>49998</v>
      </c>
      <c r="V5880" t="s">
        <v>57446</v>
      </c>
      <c r="W5880" t="s">
        <v>41215</v>
      </c>
      <c r="X5880" t="s">
        <v>43173</v>
      </c>
    </row>
    <row r="5881" spans="1:24">
      <c r="A5881">
        <f>HYPERLINK("https://www.philgeps.gov.ph/GEPSNONPILOT/Tender/SplashBidNoticeAbstractUI.aspx?menuIndex=3&amp;refID=7080536&amp;Result=3","7080536")</f>
        <v>0</v>
      </c>
      <c r="B5881" t="s">
        <v>1905</v>
      </c>
      <c r="C5881" t="s">
        <v>9015</v>
      </c>
      <c r="D5881" t="s">
        <v>17424</v>
      </c>
      <c r="E5881" t="s">
        <v>22582</v>
      </c>
      <c r="F5881" t="s">
        <v>30052</v>
      </c>
      <c r="G5881" t="s">
        <v>30060</v>
      </c>
      <c r="H5881" t="s">
        <v>15498</v>
      </c>
      <c r="I5881" t="s">
        <v>3736</v>
      </c>
      <c r="J5881" t="s">
        <v>33898</v>
      </c>
      <c r="K5881" t="s">
        <v>39023</v>
      </c>
      <c r="M5881" t="s">
        <v>41336</v>
      </c>
      <c r="N5881" t="s">
        <v>43166</v>
      </c>
      <c r="O5881" t="s">
        <v>43167</v>
      </c>
      <c r="P5881">
        <v>0</v>
      </c>
      <c r="Q5881">
        <v>2</v>
      </c>
      <c r="R5881" t="s">
        <v>43172</v>
      </c>
      <c r="S5881" t="s">
        <v>43334</v>
      </c>
      <c r="T5881" t="s">
        <v>44716</v>
      </c>
      <c r="U5881" t="s">
        <v>49999</v>
      </c>
      <c r="V5881" t="s">
        <v>57452</v>
      </c>
      <c r="W5881" t="s">
        <v>41336</v>
      </c>
      <c r="X5881" t="s">
        <v>43173</v>
      </c>
    </row>
    <row r="5882" spans="1:24">
      <c r="A5882">
        <f>HYPERLINK("https://www.philgeps.gov.ph/GEPSNONPILOT/Tender/SplashBidNoticeAbstractUI.aspx?menuIndex=3&amp;refID=7080593&amp;Result=3","7080593")</f>
        <v>0</v>
      </c>
      <c r="B5882" t="s">
        <v>969</v>
      </c>
      <c r="C5882" t="s">
        <v>9016</v>
      </c>
      <c r="D5882" t="s">
        <v>17449</v>
      </c>
      <c r="E5882" t="s">
        <v>22583</v>
      </c>
      <c r="F5882" t="s">
        <v>30052</v>
      </c>
      <c r="G5882" t="s">
        <v>30058</v>
      </c>
      <c r="H5882" t="s">
        <v>30067</v>
      </c>
      <c r="I5882" t="s">
        <v>3693</v>
      </c>
      <c r="J5882" t="s">
        <v>30218</v>
      </c>
      <c r="K5882" t="s">
        <v>39032</v>
      </c>
      <c r="M5882" t="s">
        <v>40295</v>
      </c>
      <c r="N5882" t="s">
        <v>43166</v>
      </c>
      <c r="O5882" t="s">
        <v>43167</v>
      </c>
      <c r="P5882">
        <v>0</v>
      </c>
      <c r="Q5882">
        <v>0</v>
      </c>
      <c r="R5882" t="s">
        <v>43172</v>
      </c>
      <c r="S5882" t="s">
        <v>43334</v>
      </c>
      <c r="T5882" t="s">
        <v>44945</v>
      </c>
      <c r="U5882" t="s">
        <v>50000</v>
      </c>
      <c r="W5882" t="s">
        <v>40295</v>
      </c>
      <c r="X5882" t="s">
        <v>43173</v>
      </c>
    </row>
    <row r="5883" spans="1:24">
      <c r="A5883">
        <f>HYPERLINK("https://www.philgeps.gov.ph/GEPSNONPILOT/Tender/SplashBidNoticeAbstractUI.aspx?menuIndex=3&amp;refID=7080545&amp;Result=3","7080545")</f>
        <v>0</v>
      </c>
      <c r="B5883" t="s">
        <v>1233</v>
      </c>
      <c r="C5883" t="s">
        <v>9017</v>
      </c>
      <c r="D5883" t="s">
        <v>17442</v>
      </c>
      <c r="E5883" t="s">
        <v>22584</v>
      </c>
      <c r="F5883" t="s">
        <v>30052</v>
      </c>
      <c r="G5883" t="s">
        <v>30058</v>
      </c>
      <c r="H5883" t="s">
        <v>30069</v>
      </c>
      <c r="I5883" t="s">
        <v>30072</v>
      </c>
      <c r="J5883" t="s">
        <v>33899</v>
      </c>
      <c r="K5883" t="s">
        <v>39164</v>
      </c>
      <c r="M5883" t="s">
        <v>40593</v>
      </c>
      <c r="N5883" t="s">
        <v>43166</v>
      </c>
      <c r="O5883" t="s">
        <v>43167</v>
      </c>
      <c r="Q5883">
        <v>4</v>
      </c>
      <c r="R5883" t="s">
        <v>43172</v>
      </c>
      <c r="S5883" t="s">
        <v>43354</v>
      </c>
      <c r="T5883" t="s">
        <v>45032</v>
      </c>
      <c r="U5883" t="s">
        <v>50001</v>
      </c>
      <c r="W5883" t="s">
        <v>40593</v>
      </c>
      <c r="X5883" t="s">
        <v>43173</v>
      </c>
    </row>
    <row r="5884" spans="1:24">
      <c r="A5884">
        <f>HYPERLINK("https://www.philgeps.gov.ph/GEPSNONPILOT/Tender/SplashBidNoticeAbstractUI.aspx?menuIndex=3&amp;refID=7080543&amp;Result=3","7080543")</f>
        <v>0</v>
      </c>
      <c r="B5884" t="s">
        <v>1533</v>
      </c>
      <c r="C5884" t="s">
        <v>9018</v>
      </c>
      <c r="D5884" t="s">
        <v>17463</v>
      </c>
      <c r="E5884" t="s">
        <v>22485</v>
      </c>
      <c r="F5884" t="s">
        <v>30052</v>
      </c>
      <c r="G5884" t="s">
        <v>30058</v>
      </c>
      <c r="H5884" t="s">
        <v>15498</v>
      </c>
      <c r="I5884" t="s">
        <v>30169</v>
      </c>
      <c r="J5884" t="s">
        <v>30538</v>
      </c>
      <c r="K5884" t="s">
        <v>39017</v>
      </c>
      <c r="M5884" t="s">
        <v>40919</v>
      </c>
      <c r="N5884" t="s">
        <v>43166</v>
      </c>
      <c r="O5884" t="s">
        <v>43167</v>
      </c>
      <c r="P5884">
        <v>0</v>
      </c>
      <c r="Q5884">
        <v>0</v>
      </c>
      <c r="R5884" t="s">
        <v>43172</v>
      </c>
      <c r="S5884" t="s">
        <v>43334</v>
      </c>
      <c r="T5884" t="s">
        <v>44687</v>
      </c>
      <c r="U5884" t="s">
        <v>49907</v>
      </c>
      <c r="W5884" t="s">
        <v>40919</v>
      </c>
      <c r="X5884" t="s">
        <v>43173</v>
      </c>
    </row>
    <row r="5885" spans="1:24">
      <c r="A5885">
        <f>HYPERLINK("https://www.philgeps.gov.ph/GEPSNONPILOT/Tender/SplashBidNoticeAbstractUI.aspx?menuIndex=3&amp;refID=7080595&amp;Result=3","7080595")</f>
        <v>0</v>
      </c>
      <c r="B5885" t="s">
        <v>1964</v>
      </c>
      <c r="C5885" t="s">
        <v>9019</v>
      </c>
      <c r="D5885" t="s">
        <v>17467</v>
      </c>
      <c r="E5885" t="s">
        <v>22585</v>
      </c>
      <c r="F5885" t="s">
        <v>30052</v>
      </c>
      <c r="G5885" t="s">
        <v>30059</v>
      </c>
      <c r="H5885" t="s">
        <v>15498</v>
      </c>
      <c r="I5885" t="s">
        <v>3736</v>
      </c>
      <c r="J5885" t="s">
        <v>33900</v>
      </c>
      <c r="K5885" t="s">
        <v>39031</v>
      </c>
      <c r="M5885" t="s">
        <v>41401</v>
      </c>
      <c r="N5885" t="s">
        <v>43166</v>
      </c>
      <c r="O5885" t="s">
        <v>43167</v>
      </c>
      <c r="P5885">
        <v>0</v>
      </c>
      <c r="Q5885">
        <v>0</v>
      </c>
      <c r="R5885" t="s">
        <v>43172</v>
      </c>
      <c r="S5885" t="s">
        <v>43334</v>
      </c>
      <c r="T5885" t="s">
        <v>44708</v>
      </c>
      <c r="U5885" t="s">
        <v>50002</v>
      </c>
      <c r="W5885" t="s">
        <v>41401</v>
      </c>
      <c r="X5885" t="s">
        <v>43173</v>
      </c>
    </row>
    <row r="5886" spans="1:24">
      <c r="A5886">
        <f>HYPERLINK("https://www.philgeps.gov.ph/GEPSNONPILOT/Tender/SplashBidNoticeAbstractUI.aspx?menuIndex=3&amp;refID=7080498&amp;Result=3","7080498")</f>
        <v>0</v>
      </c>
      <c r="B5886" t="s">
        <v>297</v>
      </c>
      <c r="C5886" t="s">
        <v>9020</v>
      </c>
      <c r="D5886" t="s">
        <v>17449</v>
      </c>
      <c r="E5886" t="s">
        <v>18308</v>
      </c>
      <c r="F5886" t="s">
        <v>30052</v>
      </c>
      <c r="G5886" t="s">
        <v>30058</v>
      </c>
      <c r="H5886" t="s">
        <v>15498</v>
      </c>
      <c r="I5886" t="s">
        <v>3606</v>
      </c>
      <c r="J5886" t="s">
        <v>30218</v>
      </c>
      <c r="K5886" t="s">
        <v>39034</v>
      </c>
      <c r="M5886" t="s">
        <v>39592</v>
      </c>
      <c r="N5886" t="s">
        <v>43166</v>
      </c>
      <c r="O5886" t="s">
        <v>43167</v>
      </c>
      <c r="P5886">
        <v>0</v>
      </c>
      <c r="Q5886">
        <v>3</v>
      </c>
      <c r="R5886" t="s">
        <v>43172</v>
      </c>
      <c r="S5886" t="s">
        <v>43334</v>
      </c>
      <c r="T5886" t="s">
        <v>44970</v>
      </c>
      <c r="U5886" t="s">
        <v>50003</v>
      </c>
      <c r="V5886" t="s">
        <v>57453</v>
      </c>
      <c r="W5886" t="s">
        <v>39592</v>
      </c>
      <c r="X5886" t="s">
        <v>43173</v>
      </c>
    </row>
    <row r="5887" spans="1:24">
      <c r="A5887">
        <f>HYPERLINK("https://www.philgeps.gov.ph/GEPSNONPILOT/Tender/SplashBidNoticeAbstractUI.aspx?menuIndex=3&amp;refID=7080509&amp;Result=3","7080509")</f>
        <v>0</v>
      </c>
      <c r="B5887" t="s">
        <v>503</v>
      </c>
      <c r="C5887" t="s">
        <v>9021</v>
      </c>
      <c r="D5887" t="s">
        <v>17415</v>
      </c>
      <c r="E5887" t="s">
        <v>22586</v>
      </c>
      <c r="F5887" t="s">
        <v>30052</v>
      </c>
      <c r="G5887" t="s">
        <v>30059</v>
      </c>
      <c r="H5887" t="s">
        <v>15498</v>
      </c>
      <c r="I5887" t="s">
        <v>3606</v>
      </c>
      <c r="J5887" t="s">
        <v>33901</v>
      </c>
      <c r="K5887" t="s">
        <v>39019</v>
      </c>
      <c r="M5887" t="s">
        <v>41402</v>
      </c>
      <c r="N5887" t="s">
        <v>43166</v>
      </c>
      <c r="O5887" t="s">
        <v>43167</v>
      </c>
      <c r="P5887">
        <v>0</v>
      </c>
      <c r="Q5887">
        <v>7</v>
      </c>
      <c r="R5887" t="s">
        <v>43172</v>
      </c>
      <c r="S5887" t="s">
        <v>43334</v>
      </c>
      <c r="T5887" t="s">
        <v>44698</v>
      </c>
      <c r="U5887" t="s">
        <v>50004</v>
      </c>
      <c r="V5887" t="s">
        <v>57454</v>
      </c>
      <c r="W5887" t="s">
        <v>41402</v>
      </c>
      <c r="X5887" t="s">
        <v>43173</v>
      </c>
    </row>
    <row r="5888" spans="1:24">
      <c r="A5888">
        <f>HYPERLINK("https://www.philgeps.gov.ph/GEPSNONPILOT/Tender/SplashBidNoticeAbstractUI.aspx?menuIndex=3&amp;refID=7080472&amp;Result=3","7080472")</f>
        <v>0</v>
      </c>
      <c r="B5888" t="s">
        <v>236</v>
      </c>
      <c r="C5888" t="s">
        <v>9022</v>
      </c>
      <c r="D5888" t="s">
        <v>17427</v>
      </c>
      <c r="E5888" t="s">
        <v>22587</v>
      </c>
      <c r="F5888" t="s">
        <v>30052</v>
      </c>
      <c r="G5888" t="s">
        <v>30059</v>
      </c>
      <c r="H5888" t="s">
        <v>15498</v>
      </c>
      <c r="I5888" t="s">
        <v>3736</v>
      </c>
      <c r="J5888" t="s">
        <v>33902</v>
      </c>
      <c r="K5888" t="s">
        <v>39029</v>
      </c>
      <c r="M5888" t="s">
        <v>41403</v>
      </c>
      <c r="N5888" t="s">
        <v>43166</v>
      </c>
      <c r="O5888" t="s">
        <v>43167</v>
      </c>
      <c r="P5888">
        <v>0</v>
      </c>
      <c r="Q5888">
        <v>1</v>
      </c>
      <c r="R5888" t="s">
        <v>43172</v>
      </c>
      <c r="S5888" t="s">
        <v>43334</v>
      </c>
      <c r="T5888" t="s">
        <v>44728</v>
      </c>
      <c r="U5888" t="s">
        <v>50005</v>
      </c>
      <c r="W5888" t="s">
        <v>41403</v>
      </c>
      <c r="X5888" t="s">
        <v>43173</v>
      </c>
    </row>
    <row r="5889" spans="1:24">
      <c r="A5889">
        <f>HYPERLINK("https://www.philgeps.gov.ph/GEPSNONPILOT/Tender/SplashBidNoticeAbstractUI.aspx?menuIndex=3&amp;refID=7080470&amp;Result=3","7080470")</f>
        <v>0</v>
      </c>
      <c r="B5889" t="s">
        <v>654</v>
      </c>
      <c r="C5889" t="s">
        <v>9023</v>
      </c>
      <c r="D5889" t="s">
        <v>17453</v>
      </c>
      <c r="E5889" t="s">
        <v>22588</v>
      </c>
      <c r="F5889" t="s">
        <v>30052</v>
      </c>
      <c r="G5889" t="s">
        <v>30059</v>
      </c>
      <c r="H5889" t="s">
        <v>15498</v>
      </c>
      <c r="I5889" t="s">
        <v>30088</v>
      </c>
      <c r="J5889" t="s">
        <v>33903</v>
      </c>
      <c r="K5889" t="s">
        <v>39029</v>
      </c>
      <c r="M5889" t="s">
        <v>39958</v>
      </c>
      <c r="N5889" t="s">
        <v>43166</v>
      </c>
      <c r="O5889" t="s">
        <v>43167</v>
      </c>
      <c r="P5889">
        <v>0</v>
      </c>
      <c r="Q5889">
        <v>3</v>
      </c>
      <c r="R5889" t="s">
        <v>43172</v>
      </c>
      <c r="S5889" t="s">
        <v>43334</v>
      </c>
      <c r="T5889" t="s">
        <v>44837</v>
      </c>
      <c r="U5889" t="s">
        <v>50006</v>
      </c>
      <c r="W5889" t="s">
        <v>39958</v>
      </c>
      <c r="X5889" t="s">
        <v>43173</v>
      </c>
    </row>
    <row r="5890" spans="1:24">
      <c r="A5890">
        <f>HYPERLINK("https://www.philgeps.gov.ph/GEPSNONPILOT/Tender/SplashBidNoticeAbstractUI.aspx?menuIndex=3&amp;refID=7080507&amp;Result=3","7080507")</f>
        <v>0</v>
      </c>
      <c r="B5890" t="s">
        <v>1100</v>
      </c>
      <c r="C5890" t="s">
        <v>9024</v>
      </c>
      <c r="D5890" t="s">
        <v>17466</v>
      </c>
      <c r="E5890" t="s">
        <v>22589</v>
      </c>
      <c r="F5890" t="s">
        <v>30052</v>
      </c>
      <c r="G5890" t="s">
        <v>30064</v>
      </c>
      <c r="H5890" t="s">
        <v>15498</v>
      </c>
      <c r="I5890" t="s">
        <v>30081</v>
      </c>
      <c r="J5890" t="s">
        <v>33904</v>
      </c>
      <c r="K5890" t="s">
        <v>39025</v>
      </c>
      <c r="M5890" t="s">
        <v>40439</v>
      </c>
      <c r="N5890" t="s">
        <v>43166</v>
      </c>
      <c r="O5890" t="s">
        <v>43167</v>
      </c>
      <c r="P5890">
        <v>0</v>
      </c>
      <c r="Q5890">
        <v>0</v>
      </c>
      <c r="R5890" t="s">
        <v>43172</v>
      </c>
      <c r="S5890" t="s">
        <v>43334</v>
      </c>
      <c r="T5890" t="s">
        <v>44737</v>
      </c>
      <c r="U5890" t="s">
        <v>49541</v>
      </c>
      <c r="W5890" t="s">
        <v>40439</v>
      </c>
      <c r="X5890" t="s">
        <v>43173</v>
      </c>
    </row>
    <row r="5891" spans="1:24">
      <c r="A5891">
        <f>HYPERLINK("https://www.philgeps.gov.ph/GEPSNONPILOT/Tender/SplashBidNoticeAbstractUI.aspx?menuIndex=3&amp;refID=7080468&amp;Result=3","7080468")</f>
        <v>0</v>
      </c>
      <c r="B5891" t="s">
        <v>1965</v>
      </c>
      <c r="C5891" t="s">
        <v>9025</v>
      </c>
      <c r="D5891" t="s">
        <v>17443</v>
      </c>
      <c r="E5891" t="s">
        <v>22590</v>
      </c>
      <c r="F5891" t="s">
        <v>30052</v>
      </c>
      <c r="G5891" t="s">
        <v>30058</v>
      </c>
      <c r="H5891" t="s">
        <v>15498</v>
      </c>
      <c r="I5891" t="s">
        <v>3736</v>
      </c>
      <c r="J5891" t="s">
        <v>33905</v>
      </c>
      <c r="K5891" t="s">
        <v>39023</v>
      </c>
      <c r="L5891" t="s">
        <v>1965</v>
      </c>
      <c r="M5891" t="s">
        <v>41404</v>
      </c>
      <c r="N5891" t="s">
        <v>43166</v>
      </c>
      <c r="O5891" t="s">
        <v>43167</v>
      </c>
      <c r="P5891">
        <v>0</v>
      </c>
      <c r="Q5891">
        <v>0</v>
      </c>
      <c r="R5891" t="s">
        <v>43172</v>
      </c>
      <c r="S5891" t="s">
        <v>43334</v>
      </c>
      <c r="T5891" t="s">
        <v>44780</v>
      </c>
      <c r="U5891" t="s">
        <v>50007</v>
      </c>
      <c r="W5891" t="s">
        <v>41404</v>
      </c>
      <c r="X5891" t="s">
        <v>43173</v>
      </c>
    </row>
    <row r="5892" spans="1:24">
      <c r="A5892">
        <f>HYPERLINK("https://www.philgeps.gov.ph/GEPSNONPILOT/Tender/SplashBidNoticeAbstractUI.aspx?menuIndex=3&amp;refID=7080467&amp;Result=3","7080467")</f>
        <v>0</v>
      </c>
      <c r="B5892" t="s">
        <v>1966</v>
      </c>
      <c r="C5892" t="s">
        <v>9026</v>
      </c>
      <c r="D5892" t="s">
        <v>17419</v>
      </c>
      <c r="E5892" t="s">
        <v>22591</v>
      </c>
      <c r="F5892" t="s">
        <v>30052</v>
      </c>
      <c r="G5892" t="s">
        <v>30058</v>
      </c>
      <c r="H5892" t="s">
        <v>15498</v>
      </c>
      <c r="I5892" t="s">
        <v>30114</v>
      </c>
      <c r="J5892" t="s">
        <v>33906</v>
      </c>
      <c r="K5892" t="s">
        <v>39029</v>
      </c>
      <c r="M5892" t="s">
        <v>41405</v>
      </c>
      <c r="N5892" t="s">
        <v>43166</v>
      </c>
      <c r="O5892" t="s">
        <v>43167</v>
      </c>
      <c r="Q5892">
        <v>10</v>
      </c>
      <c r="R5892" t="s">
        <v>43172</v>
      </c>
      <c r="S5892" t="s">
        <v>43355</v>
      </c>
      <c r="T5892" t="s">
        <v>44798</v>
      </c>
      <c r="U5892" t="s">
        <v>50008</v>
      </c>
      <c r="W5892" t="s">
        <v>41405</v>
      </c>
      <c r="X5892" t="s">
        <v>43173</v>
      </c>
    </row>
    <row r="5893" spans="1:24">
      <c r="A5893">
        <f>HYPERLINK("https://www.philgeps.gov.ph/GEPSNONPILOT/Tender/SplashBidNoticeAbstractUI.aspx?menuIndex=3&amp;refID=7080437&amp;Result=3","7080437")</f>
        <v>0</v>
      </c>
      <c r="B5893" t="s">
        <v>1955</v>
      </c>
      <c r="C5893" t="s">
        <v>9027</v>
      </c>
      <c r="D5893" t="s">
        <v>17427</v>
      </c>
      <c r="E5893" t="s">
        <v>22592</v>
      </c>
      <c r="F5893" t="s">
        <v>30052</v>
      </c>
      <c r="G5893" t="s">
        <v>30058</v>
      </c>
      <c r="H5893" t="s">
        <v>30067</v>
      </c>
      <c r="I5893" t="s">
        <v>3693</v>
      </c>
      <c r="J5893" t="s">
        <v>32004</v>
      </c>
      <c r="K5893" t="s">
        <v>39023</v>
      </c>
      <c r="M5893" t="s">
        <v>41392</v>
      </c>
      <c r="N5893" t="s">
        <v>43166</v>
      </c>
      <c r="O5893" t="s">
        <v>43167</v>
      </c>
      <c r="P5893">
        <v>0</v>
      </c>
      <c r="Q5893">
        <v>0</v>
      </c>
      <c r="R5893" t="s">
        <v>43172</v>
      </c>
      <c r="S5893" t="s">
        <v>43334</v>
      </c>
      <c r="T5893" t="s">
        <v>44698</v>
      </c>
      <c r="U5893" t="s">
        <v>50009</v>
      </c>
      <c r="W5893" t="s">
        <v>41392</v>
      </c>
      <c r="X5893" t="s">
        <v>43173</v>
      </c>
    </row>
    <row r="5894" spans="1:24">
      <c r="A5894">
        <f>HYPERLINK("https://www.philgeps.gov.ph/GEPSNONPILOT/Tender/SplashBidNoticeAbstractUI.aspx?menuIndex=3&amp;refID=7080500&amp;Result=3","7080500")</f>
        <v>0</v>
      </c>
      <c r="B5894" t="s">
        <v>1967</v>
      </c>
      <c r="C5894" t="s">
        <v>9028</v>
      </c>
      <c r="D5894" t="s">
        <v>17424</v>
      </c>
      <c r="E5894" t="s">
        <v>22593</v>
      </c>
      <c r="F5894" t="s">
        <v>30052</v>
      </c>
      <c r="G5894" t="s">
        <v>30059</v>
      </c>
      <c r="H5894" t="s">
        <v>15498</v>
      </c>
      <c r="I5894" t="s">
        <v>30084</v>
      </c>
      <c r="J5894" t="s">
        <v>33907</v>
      </c>
      <c r="K5894" t="s">
        <v>39034</v>
      </c>
      <c r="M5894" t="s">
        <v>41406</v>
      </c>
      <c r="N5894" t="s">
        <v>43166</v>
      </c>
      <c r="O5894" t="s">
        <v>43167</v>
      </c>
      <c r="P5894">
        <v>0</v>
      </c>
      <c r="Q5894">
        <v>4</v>
      </c>
      <c r="R5894" t="s">
        <v>43172</v>
      </c>
      <c r="S5894" t="s">
        <v>43334</v>
      </c>
      <c r="T5894" t="s">
        <v>44837</v>
      </c>
      <c r="U5894" t="s">
        <v>50010</v>
      </c>
      <c r="W5894" t="s">
        <v>41406</v>
      </c>
      <c r="X5894" t="s">
        <v>43173</v>
      </c>
    </row>
    <row r="5895" spans="1:24">
      <c r="A5895">
        <f>HYPERLINK("https://www.philgeps.gov.ph/GEPSNONPILOT/Tender/SplashBidNoticeAbstractUI.aspx?menuIndex=3&amp;refID=7080436&amp;Result=3","7080436")</f>
        <v>0</v>
      </c>
      <c r="B5895" t="s">
        <v>696</v>
      </c>
      <c r="C5895" t="s">
        <v>9029</v>
      </c>
      <c r="D5895" t="s">
        <v>17432</v>
      </c>
      <c r="E5895" t="s">
        <v>22594</v>
      </c>
      <c r="F5895" t="s">
        <v>30052</v>
      </c>
      <c r="G5895" t="s">
        <v>30061</v>
      </c>
      <c r="H5895" t="s">
        <v>15498</v>
      </c>
      <c r="I5895" t="s">
        <v>4119</v>
      </c>
      <c r="J5895" t="s">
        <v>33908</v>
      </c>
      <c r="K5895" t="s">
        <v>39064</v>
      </c>
      <c r="M5895" t="s">
        <v>40004</v>
      </c>
      <c r="N5895" t="s">
        <v>43166</v>
      </c>
      <c r="O5895" t="s">
        <v>43167</v>
      </c>
      <c r="P5895">
        <v>0</v>
      </c>
      <c r="Q5895">
        <v>0</v>
      </c>
      <c r="R5895" t="s">
        <v>43172</v>
      </c>
      <c r="S5895" t="s">
        <v>43334</v>
      </c>
      <c r="T5895" t="s">
        <v>44832</v>
      </c>
      <c r="U5895" t="s">
        <v>50011</v>
      </c>
      <c r="W5895" t="s">
        <v>40004</v>
      </c>
      <c r="X5895" t="s">
        <v>43173</v>
      </c>
    </row>
    <row r="5896" spans="1:24">
      <c r="A5896">
        <f>HYPERLINK("https://www.philgeps.gov.ph/GEPSNONPILOT/Tender/SplashBidNoticeAbstractUI.aspx?menuIndex=3&amp;refID=7080405&amp;Result=3","7080405")</f>
        <v>0</v>
      </c>
      <c r="B5896" t="s">
        <v>1957</v>
      </c>
      <c r="C5896" t="s">
        <v>9030</v>
      </c>
      <c r="D5896" t="s">
        <v>17463</v>
      </c>
      <c r="E5896" t="s">
        <v>22595</v>
      </c>
      <c r="F5896" t="s">
        <v>30052</v>
      </c>
      <c r="G5896" t="s">
        <v>30059</v>
      </c>
      <c r="H5896" t="s">
        <v>15498</v>
      </c>
      <c r="I5896" t="s">
        <v>3736</v>
      </c>
      <c r="J5896" t="s">
        <v>33909</v>
      </c>
      <c r="K5896" t="s">
        <v>39019</v>
      </c>
      <c r="M5896" t="s">
        <v>41394</v>
      </c>
      <c r="N5896" t="s">
        <v>43166</v>
      </c>
      <c r="O5896" t="s">
        <v>43167</v>
      </c>
      <c r="P5896">
        <v>0</v>
      </c>
      <c r="Q5896">
        <v>0</v>
      </c>
      <c r="R5896" t="s">
        <v>43172</v>
      </c>
      <c r="S5896" t="s">
        <v>43334</v>
      </c>
      <c r="T5896" t="s">
        <v>44685</v>
      </c>
      <c r="U5896" t="s">
        <v>50012</v>
      </c>
      <c r="W5896" t="s">
        <v>41394</v>
      </c>
      <c r="X5896" t="s">
        <v>43173</v>
      </c>
    </row>
    <row r="5897" spans="1:24">
      <c r="A5897">
        <f>HYPERLINK("https://www.philgeps.gov.ph/GEPSNONPILOT/Tender/SplashBidNoticeAbstractUI.aspx?menuIndex=3&amp;refID=7080504&amp;Result=3","7080504")</f>
        <v>0</v>
      </c>
      <c r="B5897" t="s">
        <v>1968</v>
      </c>
      <c r="C5897" t="s">
        <v>9031</v>
      </c>
      <c r="D5897" t="s">
        <v>17443</v>
      </c>
      <c r="E5897" t="s">
        <v>17665</v>
      </c>
      <c r="F5897" t="s">
        <v>30052</v>
      </c>
      <c r="G5897" t="s">
        <v>30058</v>
      </c>
      <c r="H5897" t="s">
        <v>30067</v>
      </c>
      <c r="I5897" t="s">
        <v>3693</v>
      </c>
      <c r="J5897" t="s">
        <v>33910</v>
      </c>
      <c r="K5897" t="s">
        <v>39034</v>
      </c>
      <c r="M5897" t="s">
        <v>41407</v>
      </c>
      <c r="N5897" t="s">
        <v>43166</v>
      </c>
      <c r="O5897" t="s">
        <v>43167</v>
      </c>
      <c r="P5897">
        <v>0</v>
      </c>
      <c r="Q5897">
        <v>0</v>
      </c>
      <c r="R5897" t="s">
        <v>43172</v>
      </c>
      <c r="S5897" t="s">
        <v>43334</v>
      </c>
      <c r="T5897" t="s">
        <v>44708</v>
      </c>
      <c r="U5897" t="s">
        <v>50013</v>
      </c>
      <c r="W5897" t="s">
        <v>41407</v>
      </c>
      <c r="X5897" t="s">
        <v>43173</v>
      </c>
    </row>
    <row r="5898" spans="1:24">
      <c r="A5898">
        <f>HYPERLINK("https://www.philgeps.gov.ph/GEPSNONPILOT/Tender/SplashBidNoticeAbstractUI.aspx?menuIndex=3&amp;refID=7080401&amp;Result=3","7080401")</f>
        <v>0</v>
      </c>
      <c r="B5898" t="s">
        <v>1846</v>
      </c>
      <c r="C5898" t="s">
        <v>9032</v>
      </c>
      <c r="D5898" t="s">
        <v>17416</v>
      </c>
      <c r="E5898" t="s">
        <v>22596</v>
      </c>
      <c r="F5898" t="s">
        <v>30052</v>
      </c>
      <c r="G5898" t="s">
        <v>30061</v>
      </c>
      <c r="H5898" t="s">
        <v>15498</v>
      </c>
      <c r="I5898" t="s">
        <v>30078</v>
      </c>
      <c r="J5898" t="s">
        <v>33911</v>
      </c>
      <c r="K5898" t="s">
        <v>39019</v>
      </c>
      <c r="M5898" t="s">
        <v>41272</v>
      </c>
      <c r="N5898" t="s">
        <v>43166</v>
      </c>
      <c r="O5898" t="s">
        <v>43167</v>
      </c>
      <c r="P5898">
        <v>0</v>
      </c>
      <c r="Q5898">
        <v>0</v>
      </c>
      <c r="R5898" t="s">
        <v>43172</v>
      </c>
      <c r="S5898" t="s">
        <v>43334</v>
      </c>
      <c r="T5898" t="s">
        <v>44882</v>
      </c>
      <c r="U5898" t="s">
        <v>50014</v>
      </c>
      <c r="W5898" t="s">
        <v>41272</v>
      </c>
      <c r="X5898" t="s">
        <v>43173</v>
      </c>
    </row>
    <row r="5899" spans="1:24">
      <c r="A5899">
        <f>HYPERLINK("https://www.philgeps.gov.ph/GEPSNONPILOT/Tender/SplashBidNoticeAbstractUI.aspx?menuIndex=3&amp;refID=7080466&amp;Result=3","7080466")</f>
        <v>0</v>
      </c>
      <c r="B5899" t="s">
        <v>1969</v>
      </c>
      <c r="C5899" t="s">
        <v>7307</v>
      </c>
      <c r="D5899" t="s">
        <v>17437</v>
      </c>
      <c r="E5899" t="s">
        <v>20629</v>
      </c>
      <c r="F5899" t="s">
        <v>30052</v>
      </c>
      <c r="G5899" t="s">
        <v>30058</v>
      </c>
      <c r="H5899" t="s">
        <v>15498</v>
      </c>
      <c r="I5899" t="s">
        <v>3736</v>
      </c>
      <c r="J5899" t="s">
        <v>33912</v>
      </c>
      <c r="K5899" t="s">
        <v>39025</v>
      </c>
      <c r="M5899" t="s">
        <v>41408</v>
      </c>
      <c r="N5899" t="s">
        <v>43166</v>
      </c>
      <c r="O5899" t="s">
        <v>43167</v>
      </c>
      <c r="P5899">
        <v>0</v>
      </c>
      <c r="Q5899">
        <v>0</v>
      </c>
      <c r="R5899" t="s">
        <v>43172</v>
      </c>
      <c r="S5899" t="s">
        <v>43334</v>
      </c>
      <c r="T5899" t="s">
        <v>44722</v>
      </c>
      <c r="U5899" t="s">
        <v>50015</v>
      </c>
      <c r="W5899" t="s">
        <v>41408</v>
      </c>
      <c r="X5899" t="s">
        <v>43173</v>
      </c>
    </row>
    <row r="5900" spans="1:24">
      <c r="A5900">
        <f>HYPERLINK("https://www.philgeps.gov.ph/GEPSNONPILOT/Tender/SplashBidNoticeAbstractUI.aspx?menuIndex=3&amp;refID=7080502&amp;Result=3","7080502")</f>
        <v>0</v>
      </c>
      <c r="B5900" t="s">
        <v>1505</v>
      </c>
      <c r="C5900" t="s">
        <v>9033</v>
      </c>
      <c r="D5900" t="s">
        <v>17462</v>
      </c>
      <c r="E5900" t="s">
        <v>22597</v>
      </c>
      <c r="F5900" t="s">
        <v>30052</v>
      </c>
      <c r="G5900" t="s">
        <v>30058</v>
      </c>
      <c r="H5900" t="s">
        <v>30067</v>
      </c>
      <c r="I5900" t="s">
        <v>3693</v>
      </c>
      <c r="J5900" t="s">
        <v>31157</v>
      </c>
      <c r="K5900" t="s">
        <v>39031</v>
      </c>
      <c r="M5900" t="s">
        <v>40889</v>
      </c>
      <c r="N5900" t="s">
        <v>43166</v>
      </c>
      <c r="O5900" t="s">
        <v>43167</v>
      </c>
      <c r="P5900">
        <v>0</v>
      </c>
      <c r="Q5900">
        <v>7</v>
      </c>
      <c r="R5900" t="s">
        <v>43172</v>
      </c>
      <c r="S5900" t="s">
        <v>43334</v>
      </c>
      <c r="T5900" t="s">
        <v>44842</v>
      </c>
      <c r="U5900" t="s">
        <v>49934</v>
      </c>
      <c r="W5900" t="s">
        <v>58641</v>
      </c>
      <c r="X5900" t="s">
        <v>43173</v>
      </c>
    </row>
    <row r="5901" spans="1:24">
      <c r="A5901">
        <f>HYPERLINK("https://www.philgeps.gov.ph/GEPSNONPILOT/Tender/SplashBidNoticeAbstractUI.aspx?menuIndex=3&amp;refID=7080400&amp;Result=3","7080400")</f>
        <v>0</v>
      </c>
      <c r="B5901" t="s">
        <v>107</v>
      </c>
      <c r="C5901" t="s">
        <v>9034</v>
      </c>
      <c r="D5901" t="s">
        <v>17448</v>
      </c>
      <c r="E5901" t="s">
        <v>22598</v>
      </c>
      <c r="F5901" t="s">
        <v>30052</v>
      </c>
      <c r="G5901" t="s">
        <v>30059</v>
      </c>
      <c r="H5901" t="s">
        <v>15498</v>
      </c>
      <c r="I5901" t="s">
        <v>9238</v>
      </c>
      <c r="J5901" t="s">
        <v>30402</v>
      </c>
      <c r="K5901" t="s">
        <v>39025</v>
      </c>
      <c r="M5901" t="s">
        <v>39396</v>
      </c>
      <c r="N5901" t="s">
        <v>43166</v>
      </c>
      <c r="O5901" t="s">
        <v>43167</v>
      </c>
      <c r="P5901">
        <v>0</v>
      </c>
      <c r="Q5901">
        <v>11</v>
      </c>
      <c r="R5901" t="s">
        <v>43172</v>
      </c>
      <c r="S5901" t="s">
        <v>43334</v>
      </c>
      <c r="T5901" t="s">
        <v>44862</v>
      </c>
      <c r="U5901" t="s">
        <v>50016</v>
      </c>
      <c r="W5901" t="s">
        <v>39396</v>
      </c>
      <c r="X5901" t="s">
        <v>43173</v>
      </c>
    </row>
    <row r="5902" spans="1:24">
      <c r="A5902">
        <f>HYPERLINK("https://www.philgeps.gov.ph/GEPSNONPILOT/Tender/SplashBidNoticeAbstractUI.aspx?menuIndex=3&amp;refID=7080513&amp;Result=3","7080513")</f>
        <v>0</v>
      </c>
      <c r="B5902" t="s">
        <v>1727</v>
      </c>
      <c r="C5902" t="s">
        <v>9035</v>
      </c>
      <c r="D5902" t="s">
        <v>17436</v>
      </c>
      <c r="E5902" t="s">
        <v>22599</v>
      </c>
      <c r="F5902" t="s">
        <v>30052</v>
      </c>
      <c r="G5902" t="s">
        <v>30060</v>
      </c>
      <c r="H5902" t="s">
        <v>15498</v>
      </c>
      <c r="I5902" t="s">
        <v>30074</v>
      </c>
      <c r="J5902" t="s">
        <v>30221</v>
      </c>
      <c r="K5902" t="s">
        <v>39034</v>
      </c>
      <c r="M5902" t="s">
        <v>41144</v>
      </c>
      <c r="N5902" t="s">
        <v>43166</v>
      </c>
      <c r="O5902" t="s">
        <v>43167</v>
      </c>
      <c r="P5902">
        <v>0</v>
      </c>
      <c r="Q5902">
        <v>1</v>
      </c>
      <c r="R5902" t="s">
        <v>43172</v>
      </c>
      <c r="S5902" t="s">
        <v>43334</v>
      </c>
      <c r="T5902" t="s">
        <v>44744</v>
      </c>
      <c r="U5902" t="s">
        <v>50017</v>
      </c>
      <c r="W5902" t="s">
        <v>41144</v>
      </c>
      <c r="X5902" t="s">
        <v>43173</v>
      </c>
    </row>
    <row r="5903" spans="1:24">
      <c r="A5903">
        <f>HYPERLINK("https://www.philgeps.gov.ph/GEPSNONPILOT/Tender/SplashBidNoticeAbstractUI.aspx?menuIndex=3&amp;refID=7080434&amp;Result=3","7080434")</f>
        <v>0</v>
      </c>
      <c r="B5903" t="s">
        <v>1009</v>
      </c>
      <c r="C5903" t="s">
        <v>9036</v>
      </c>
      <c r="D5903" t="s">
        <v>17474</v>
      </c>
      <c r="E5903" t="s">
        <v>22600</v>
      </c>
      <c r="F5903" t="s">
        <v>30052</v>
      </c>
      <c r="G5903" t="s">
        <v>30058</v>
      </c>
      <c r="H5903" t="s">
        <v>30067</v>
      </c>
      <c r="I5903" t="s">
        <v>3693</v>
      </c>
      <c r="J5903" t="s">
        <v>30766</v>
      </c>
      <c r="K5903" t="s">
        <v>39023</v>
      </c>
      <c r="M5903" t="s">
        <v>40338</v>
      </c>
      <c r="N5903" t="s">
        <v>43166</v>
      </c>
      <c r="O5903" t="s">
        <v>43167</v>
      </c>
      <c r="P5903">
        <v>0</v>
      </c>
      <c r="Q5903">
        <v>2</v>
      </c>
      <c r="R5903" t="s">
        <v>43172</v>
      </c>
      <c r="S5903" t="s">
        <v>43334</v>
      </c>
      <c r="T5903" t="s">
        <v>45009</v>
      </c>
      <c r="U5903" t="s">
        <v>50018</v>
      </c>
      <c r="W5903" t="s">
        <v>40338</v>
      </c>
      <c r="X5903" t="s">
        <v>43173</v>
      </c>
    </row>
    <row r="5904" spans="1:24">
      <c r="A5904">
        <f>HYPERLINK("https://www.philgeps.gov.ph/GEPSNONPILOT/Tender/SplashBidNoticeAbstractUI.aspx?menuIndex=3&amp;refID=7080404&amp;Result=3","7080404")</f>
        <v>0</v>
      </c>
      <c r="B5904" t="s">
        <v>743</v>
      </c>
      <c r="C5904" t="s">
        <v>9037</v>
      </c>
      <c r="D5904" t="s">
        <v>17458</v>
      </c>
      <c r="E5904" t="s">
        <v>22601</v>
      </c>
      <c r="F5904" t="s">
        <v>30052</v>
      </c>
      <c r="G5904" t="s">
        <v>30061</v>
      </c>
      <c r="H5904" t="s">
        <v>15498</v>
      </c>
      <c r="I5904" t="s">
        <v>30097</v>
      </c>
      <c r="J5904" t="s">
        <v>33913</v>
      </c>
      <c r="K5904" t="s">
        <v>39029</v>
      </c>
      <c r="M5904" t="s">
        <v>40057</v>
      </c>
      <c r="N5904" t="s">
        <v>43166</v>
      </c>
      <c r="O5904" t="s">
        <v>43167</v>
      </c>
      <c r="Q5904">
        <v>3</v>
      </c>
      <c r="R5904" t="s">
        <v>43172</v>
      </c>
      <c r="S5904" t="s">
        <v>43356</v>
      </c>
      <c r="T5904" t="s">
        <v>44691</v>
      </c>
      <c r="U5904" t="s">
        <v>46613</v>
      </c>
      <c r="W5904" t="s">
        <v>40057</v>
      </c>
      <c r="X5904" t="s">
        <v>43173</v>
      </c>
    </row>
    <row r="5905" spans="1:24">
      <c r="A5905">
        <f>HYPERLINK("https://www.philgeps.gov.ph/GEPSNONPILOT/Tender/SplashBidNoticeAbstractUI.aspx?menuIndex=3&amp;refID=7080402&amp;Result=3","7080402")</f>
        <v>0</v>
      </c>
      <c r="B5905" t="s">
        <v>802</v>
      </c>
      <c r="C5905" t="s">
        <v>9038</v>
      </c>
      <c r="D5905" t="s">
        <v>17415</v>
      </c>
      <c r="E5905" t="s">
        <v>22602</v>
      </c>
      <c r="F5905" t="s">
        <v>30052</v>
      </c>
      <c r="G5905" t="s">
        <v>30059</v>
      </c>
      <c r="H5905" t="s">
        <v>15498</v>
      </c>
      <c r="I5905" t="s">
        <v>30084</v>
      </c>
      <c r="J5905" t="s">
        <v>30218</v>
      </c>
      <c r="K5905" t="s">
        <v>39017</v>
      </c>
      <c r="M5905" t="s">
        <v>40119</v>
      </c>
      <c r="N5905" t="s">
        <v>43166</v>
      </c>
      <c r="O5905" t="s">
        <v>43167</v>
      </c>
      <c r="P5905">
        <v>0</v>
      </c>
      <c r="Q5905">
        <v>7</v>
      </c>
      <c r="R5905" t="s">
        <v>43172</v>
      </c>
      <c r="S5905" t="s">
        <v>43334</v>
      </c>
      <c r="T5905" t="s">
        <v>44714</v>
      </c>
      <c r="U5905" t="s">
        <v>46770</v>
      </c>
      <c r="W5905" t="s">
        <v>40119</v>
      </c>
      <c r="X5905" t="s">
        <v>43173</v>
      </c>
    </row>
    <row r="5906" spans="1:24">
      <c r="A5906">
        <f>HYPERLINK("https://www.philgeps.gov.ph/GEPSNONPILOT/Tender/SplashBidNoticeAbstractUI.aspx?menuIndex=3&amp;refID=7080669&amp;Result=3","7080669")</f>
        <v>0</v>
      </c>
      <c r="B5906" t="s">
        <v>1970</v>
      </c>
      <c r="C5906" t="s">
        <v>9039</v>
      </c>
      <c r="D5906" t="s">
        <v>17462</v>
      </c>
      <c r="E5906" t="s">
        <v>22603</v>
      </c>
      <c r="F5906" t="s">
        <v>30052</v>
      </c>
      <c r="G5906" t="s">
        <v>30060</v>
      </c>
      <c r="H5906" t="s">
        <v>15498</v>
      </c>
      <c r="I5906" t="s">
        <v>8323</v>
      </c>
      <c r="J5906" t="s">
        <v>33914</v>
      </c>
      <c r="K5906" t="s">
        <v>39029</v>
      </c>
      <c r="M5906" t="s">
        <v>41409</v>
      </c>
      <c r="N5906" t="s">
        <v>43166</v>
      </c>
      <c r="O5906" t="s">
        <v>43167</v>
      </c>
      <c r="Q5906">
        <v>15</v>
      </c>
      <c r="R5906" t="s">
        <v>43172</v>
      </c>
      <c r="S5906" t="s">
        <v>43315</v>
      </c>
      <c r="T5906" t="s">
        <v>44719</v>
      </c>
      <c r="U5906" t="s">
        <v>50019</v>
      </c>
      <c r="V5906" t="s">
        <v>57455</v>
      </c>
      <c r="W5906" t="s">
        <v>41409</v>
      </c>
      <c r="X5906" t="s">
        <v>43173</v>
      </c>
    </row>
    <row r="5907" spans="1:24">
      <c r="A5907">
        <f>HYPERLINK("https://www.philgeps.gov.ph/GEPSNONPILOT/Tender/SplashBidNoticeAbstractUI.aspx?menuIndex=3&amp;refID=7080375&amp;Result=3","7080375")</f>
        <v>0</v>
      </c>
      <c r="B5907" t="s">
        <v>382</v>
      </c>
      <c r="C5907" t="s">
        <v>9040</v>
      </c>
      <c r="D5907" t="s">
        <v>17474</v>
      </c>
      <c r="E5907" t="s">
        <v>22604</v>
      </c>
      <c r="F5907" t="s">
        <v>30052</v>
      </c>
      <c r="G5907" t="s">
        <v>30059</v>
      </c>
      <c r="H5907" t="s">
        <v>15498</v>
      </c>
      <c r="I5907" t="s">
        <v>4650</v>
      </c>
      <c r="J5907" t="s">
        <v>30426</v>
      </c>
      <c r="K5907" t="s">
        <v>39025</v>
      </c>
      <c r="M5907" t="s">
        <v>39680</v>
      </c>
      <c r="N5907" t="s">
        <v>43166</v>
      </c>
      <c r="O5907" t="s">
        <v>43167</v>
      </c>
      <c r="P5907">
        <v>0</v>
      </c>
      <c r="Q5907">
        <v>0</v>
      </c>
      <c r="R5907" t="s">
        <v>43172</v>
      </c>
      <c r="S5907" t="s">
        <v>43334</v>
      </c>
      <c r="T5907" t="s">
        <v>44969</v>
      </c>
      <c r="U5907" t="s">
        <v>49890</v>
      </c>
      <c r="W5907" t="s">
        <v>39680</v>
      </c>
      <c r="X5907" t="s">
        <v>43173</v>
      </c>
    </row>
    <row r="5908" spans="1:24">
      <c r="A5908">
        <f>HYPERLINK("https://www.philgeps.gov.ph/GEPSNONPILOT/Tender/SplashBidNoticeAbstractUI.aspx?menuIndex=3&amp;refID=7080660&amp;Result=3","7080660")</f>
        <v>0</v>
      </c>
      <c r="B5908" t="s">
        <v>941</v>
      </c>
      <c r="C5908" t="s">
        <v>9041</v>
      </c>
      <c r="D5908" t="s">
        <v>17415</v>
      </c>
      <c r="E5908" t="s">
        <v>22605</v>
      </c>
      <c r="F5908" t="s">
        <v>30052</v>
      </c>
      <c r="G5908" t="s">
        <v>30059</v>
      </c>
      <c r="H5908" t="s">
        <v>15498</v>
      </c>
      <c r="I5908" t="s">
        <v>8323</v>
      </c>
      <c r="J5908" t="s">
        <v>33915</v>
      </c>
      <c r="K5908" t="s">
        <v>39025</v>
      </c>
      <c r="M5908" t="s">
        <v>40265</v>
      </c>
      <c r="N5908" t="s">
        <v>43166</v>
      </c>
      <c r="O5908" t="s">
        <v>43167</v>
      </c>
      <c r="P5908">
        <v>0</v>
      </c>
      <c r="Q5908">
        <v>27</v>
      </c>
      <c r="R5908" t="s">
        <v>43172</v>
      </c>
      <c r="S5908" t="s">
        <v>43334</v>
      </c>
      <c r="T5908" t="s">
        <v>44862</v>
      </c>
      <c r="U5908" t="s">
        <v>50020</v>
      </c>
      <c r="W5908" t="s">
        <v>40265</v>
      </c>
      <c r="X5908" t="s">
        <v>43173</v>
      </c>
    </row>
    <row r="5909" spans="1:24">
      <c r="A5909">
        <f>HYPERLINK("https://www.philgeps.gov.ph/GEPSNONPILOT/Tender/SplashBidNoticeAbstractUI.aspx?menuIndex=3&amp;refID=7080657&amp;Result=3","7080657")</f>
        <v>0</v>
      </c>
      <c r="B5909" t="s">
        <v>946</v>
      </c>
      <c r="C5909" t="s">
        <v>9042</v>
      </c>
      <c r="D5909" t="s">
        <v>17456</v>
      </c>
      <c r="E5909" t="s">
        <v>22606</v>
      </c>
      <c r="F5909" t="s">
        <v>30052</v>
      </c>
      <c r="G5909" t="s">
        <v>30059</v>
      </c>
      <c r="H5909" t="s">
        <v>15498</v>
      </c>
      <c r="I5909" t="s">
        <v>30098</v>
      </c>
      <c r="J5909" t="s">
        <v>30890</v>
      </c>
      <c r="K5909" t="s">
        <v>39017</v>
      </c>
      <c r="M5909" t="s">
        <v>40270</v>
      </c>
      <c r="N5909" t="s">
        <v>43166</v>
      </c>
      <c r="O5909" t="s">
        <v>43167</v>
      </c>
      <c r="P5909">
        <v>0</v>
      </c>
      <c r="Q5909">
        <v>1</v>
      </c>
      <c r="R5909" t="s">
        <v>43172</v>
      </c>
      <c r="S5909" t="s">
        <v>43334</v>
      </c>
      <c r="T5909" t="s">
        <v>44717</v>
      </c>
      <c r="U5909" t="s">
        <v>50021</v>
      </c>
      <c r="W5909" t="s">
        <v>40270</v>
      </c>
      <c r="X5909" t="s">
        <v>43173</v>
      </c>
    </row>
    <row r="5910" spans="1:24">
      <c r="A5910">
        <f>HYPERLINK("https://www.philgeps.gov.ph/GEPSNONPILOT/Tender/SplashBidNoticeAbstractUI.aspx?menuIndex=3&amp;refID=7080374&amp;Result=3","7080374")</f>
        <v>0</v>
      </c>
      <c r="B5910" t="s">
        <v>1943</v>
      </c>
      <c r="C5910" t="s">
        <v>9043</v>
      </c>
      <c r="D5910" t="s">
        <v>17449</v>
      </c>
      <c r="E5910" t="s">
        <v>22607</v>
      </c>
      <c r="F5910" t="s">
        <v>30052</v>
      </c>
      <c r="G5910" t="s">
        <v>30058</v>
      </c>
      <c r="H5910" t="s">
        <v>30067</v>
      </c>
      <c r="I5910" t="s">
        <v>3693</v>
      </c>
      <c r="J5910" t="s">
        <v>33916</v>
      </c>
      <c r="K5910" t="s">
        <v>39129</v>
      </c>
      <c r="M5910" t="s">
        <v>41378</v>
      </c>
      <c r="N5910" t="s">
        <v>43166</v>
      </c>
      <c r="O5910" t="s">
        <v>43167</v>
      </c>
      <c r="P5910">
        <v>0</v>
      </c>
      <c r="Q5910">
        <v>0</v>
      </c>
      <c r="R5910" t="s">
        <v>43172</v>
      </c>
      <c r="S5910" t="s">
        <v>43334</v>
      </c>
      <c r="T5910" t="s">
        <v>44691</v>
      </c>
      <c r="U5910" t="s">
        <v>49135</v>
      </c>
      <c r="V5910" t="s">
        <v>57449</v>
      </c>
      <c r="W5910" t="s">
        <v>41378</v>
      </c>
      <c r="X5910" t="s">
        <v>43173</v>
      </c>
    </row>
    <row r="5911" spans="1:24">
      <c r="A5911">
        <f>HYPERLINK("https://www.philgeps.gov.ph/GEPSNONPILOT/Tender/SplashBidNoticeAbstractUI.aspx?menuIndex=3&amp;refID=7080648&amp;Result=3","7080648")</f>
        <v>0</v>
      </c>
      <c r="B5911" t="s">
        <v>592</v>
      </c>
      <c r="C5911" t="s">
        <v>9044</v>
      </c>
      <c r="D5911" t="s">
        <v>17461</v>
      </c>
      <c r="E5911" t="s">
        <v>9044</v>
      </c>
      <c r="F5911" t="s">
        <v>30052</v>
      </c>
      <c r="G5911" t="s">
        <v>30058</v>
      </c>
      <c r="H5911" t="s">
        <v>15498</v>
      </c>
      <c r="I5911" t="s">
        <v>30073</v>
      </c>
      <c r="J5911" t="s">
        <v>33917</v>
      </c>
      <c r="K5911" t="s">
        <v>39025</v>
      </c>
      <c r="M5911" t="s">
        <v>41301</v>
      </c>
      <c r="N5911" t="s">
        <v>43166</v>
      </c>
      <c r="O5911" t="s">
        <v>43167</v>
      </c>
      <c r="P5911">
        <v>0</v>
      </c>
      <c r="Q5911">
        <v>0</v>
      </c>
      <c r="R5911" t="s">
        <v>43172</v>
      </c>
      <c r="S5911" t="s">
        <v>43334</v>
      </c>
      <c r="T5911" t="s">
        <v>44761</v>
      </c>
      <c r="U5911" t="s">
        <v>50022</v>
      </c>
      <c r="W5911" t="s">
        <v>41301</v>
      </c>
      <c r="X5911" t="s">
        <v>43173</v>
      </c>
    </row>
    <row r="5912" spans="1:24">
      <c r="A5912">
        <f>HYPERLINK("https://www.philgeps.gov.ph/GEPSNONPILOT/Tender/SplashBidNoticeAbstractUI.aspx?menuIndex=3&amp;refID=7080658&amp;Result=3","7080658")</f>
        <v>0</v>
      </c>
      <c r="B5912" t="s">
        <v>969</v>
      </c>
      <c r="C5912" t="s">
        <v>9045</v>
      </c>
      <c r="D5912" t="s">
        <v>17449</v>
      </c>
      <c r="E5912" t="s">
        <v>22608</v>
      </c>
      <c r="F5912" t="s">
        <v>30052</v>
      </c>
      <c r="G5912" t="s">
        <v>30058</v>
      </c>
      <c r="H5912" t="s">
        <v>30067</v>
      </c>
      <c r="I5912" t="s">
        <v>3693</v>
      </c>
      <c r="J5912" t="s">
        <v>30343</v>
      </c>
      <c r="K5912" t="s">
        <v>39037</v>
      </c>
      <c r="M5912" t="s">
        <v>40295</v>
      </c>
      <c r="N5912" t="s">
        <v>43166</v>
      </c>
      <c r="O5912" t="s">
        <v>43167</v>
      </c>
      <c r="P5912">
        <v>0</v>
      </c>
      <c r="Q5912">
        <v>0</v>
      </c>
      <c r="R5912" t="s">
        <v>43172</v>
      </c>
      <c r="S5912" t="s">
        <v>43334</v>
      </c>
      <c r="T5912" t="s">
        <v>44945</v>
      </c>
      <c r="U5912" t="s">
        <v>50023</v>
      </c>
      <c r="W5912" t="s">
        <v>40295</v>
      </c>
      <c r="X5912" t="s">
        <v>43173</v>
      </c>
    </row>
    <row r="5913" spans="1:24">
      <c r="A5913">
        <f>HYPERLINK("https://www.philgeps.gov.ph/GEPSNONPILOT/Tender/SplashBidNoticeAbstractUI.aspx?menuIndex=3&amp;refID=7080372&amp;Result=3","7080372")</f>
        <v>0</v>
      </c>
      <c r="B5913" t="s">
        <v>846</v>
      </c>
      <c r="C5913" t="s">
        <v>9046</v>
      </c>
      <c r="D5913" t="s">
        <v>17421</v>
      </c>
      <c r="E5913" t="s">
        <v>17540</v>
      </c>
      <c r="F5913" t="s">
        <v>30052</v>
      </c>
      <c r="G5913" t="s">
        <v>30058</v>
      </c>
      <c r="H5913" t="s">
        <v>15498</v>
      </c>
      <c r="I5913" t="s">
        <v>30103</v>
      </c>
      <c r="J5913" t="s">
        <v>33918</v>
      </c>
      <c r="K5913" t="s">
        <v>39019</v>
      </c>
      <c r="M5913" t="s">
        <v>40163</v>
      </c>
      <c r="N5913" t="s">
        <v>43166</v>
      </c>
      <c r="O5913" t="s">
        <v>43167</v>
      </c>
      <c r="P5913">
        <v>0</v>
      </c>
      <c r="Q5913">
        <v>1</v>
      </c>
      <c r="R5913" t="s">
        <v>43172</v>
      </c>
      <c r="S5913" t="s">
        <v>43334</v>
      </c>
      <c r="T5913" t="s">
        <v>44842</v>
      </c>
      <c r="U5913" t="s">
        <v>50024</v>
      </c>
      <c r="V5913" t="s">
        <v>57456</v>
      </c>
      <c r="W5913" t="s">
        <v>40163</v>
      </c>
      <c r="X5913" t="s">
        <v>43173</v>
      </c>
    </row>
    <row r="5914" spans="1:24">
      <c r="A5914">
        <f>HYPERLINK("https://www.philgeps.gov.ph/GEPSNONPILOT/Tender/SplashBidNoticeAbstractUI.aspx?menuIndex=3&amp;refID=7080646&amp;Result=3","7080646")</f>
        <v>0</v>
      </c>
      <c r="B5914" t="s">
        <v>1971</v>
      </c>
      <c r="C5914" t="s">
        <v>9047</v>
      </c>
      <c r="D5914" t="s">
        <v>17422</v>
      </c>
      <c r="E5914" t="s">
        <v>17602</v>
      </c>
      <c r="F5914" t="s">
        <v>30052</v>
      </c>
      <c r="G5914" t="s">
        <v>30061</v>
      </c>
      <c r="H5914" t="s">
        <v>15498</v>
      </c>
      <c r="I5914" t="s">
        <v>30076</v>
      </c>
      <c r="J5914" t="s">
        <v>33919</v>
      </c>
      <c r="K5914" t="s">
        <v>39017</v>
      </c>
      <c r="M5914" t="s">
        <v>41410</v>
      </c>
      <c r="N5914" t="s">
        <v>43166</v>
      </c>
      <c r="O5914" t="s">
        <v>43167</v>
      </c>
      <c r="P5914">
        <v>0</v>
      </c>
      <c r="Q5914">
        <v>3</v>
      </c>
      <c r="R5914" t="s">
        <v>43172</v>
      </c>
      <c r="S5914" t="s">
        <v>43334</v>
      </c>
      <c r="T5914" t="s">
        <v>44734</v>
      </c>
      <c r="U5914" t="s">
        <v>50025</v>
      </c>
      <c r="W5914" t="s">
        <v>41410</v>
      </c>
      <c r="X5914" t="s">
        <v>43173</v>
      </c>
    </row>
    <row r="5915" spans="1:24">
      <c r="A5915">
        <f>HYPERLINK("https://www.philgeps.gov.ph/GEPSNONPILOT/Tender/SplashBidNoticeAbstractUI.aspx?menuIndex=3&amp;refID=7080656&amp;Result=3","7080656")</f>
        <v>0</v>
      </c>
      <c r="B5915" t="s">
        <v>1935</v>
      </c>
      <c r="C5915" t="s">
        <v>8970</v>
      </c>
      <c r="D5915" t="s">
        <v>17418</v>
      </c>
      <c r="E5915" t="s">
        <v>22609</v>
      </c>
      <c r="F5915" t="s">
        <v>30052</v>
      </c>
      <c r="G5915" t="s">
        <v>30058</v>
      </c>
      <c r="H5915" t="s">
        <v>30067</v>
      </c>
      <c r="I5915" t="s">
        <v>3693</v>
      </c>
      <c r="J5915" t="s">
        <v>33920</v>
      </c>
      <c r="K5915" t="s">
        <v>39072</v>
      </c>
      <c r="M5915" t="s">
        <v>41369</v>
      </c>
      <c r="N5915" t="s">
        <v>43166</v>
      </c>
      <c r="O5915" t="s">
        <v>43167</v>
      </c>
      <c r="P5915">
        <v>0</v>
      </c>
      <c r="Q5915">
        <v>0</v>
      </c>
      <c r="R5915" t="s">
        <v>43172</v>
      </c>
      <c r="S5915" t="s">
        <v>43334</v>
      </c>
      <c r="T5915" t="s">
        <v>44691</v>
      </c>
      <c r="U5915" t="s">
        <v>50026</v>
      </c>
      <c r="W5915" t="s">
        <v>41369</v>
      </c>
      <c r="X5915" t="s">
        <v>43173</v>
      </c>
    </row>
    <row r="5916" spans="1:24">
      <c r="A5916">
        <f>HYPERLINK("https://www.philgeps.gov.ph/GEPSNONPILOT/Tender/SplashBidNoticeAbstractUI.aspx?menuIndex=3&amp;refID=7080641&amp;Result=3","7080641")</f>
        <v>0</v>
      </c>
      <c r="B5916" t="s">
        <v>1836</v>
      </c>
      <c r="C5916" t="s">
        <v>9048</v>
      </c>
      <c r="D5916" t="s">
        <v>17440</v>
      </c>
      <c r="E5916" t="s">
        <v>22610</v>
      </c>
      <c r="F5916" t="s">
        <v>30052</v>
      </c>
      <c r="G5916" t="s">
        <v>30058</v>
      </c>
      <c r="H5916" t="s">
        <v>30067</v>
      </c>
      <c r="I5916" t="s">
        <v>3693</v>
      </c>
      <c r="J5916" t="s">
        <v>33921</v>
      </c>
      <c r="K5916" t="s">
        <v>39023</v>
      </c>
      <c r="M5916" t="s">
        <v>41411</v>
      </c>
      <c r="N5916" t="s">
        <v>43166</v>
      </c>
      <c r="O5916" t="s">
        <v>43167</v>
      </c>
      <c r="P5916">
        <v>0</v>
      </c>
      <c r="Q5916">
        <v>0</v>
      </c>
      <c r="R5916" t="s">
        <v>43172</v>
      </c>
      <c r="S5916" t="s">
        <v>43334</v>
      </c>
      <c r="T5916" t="s">
        <v>45020</v>
      </c>
      <c r="U5916" t="s">
        <v>50027</v>
      </c>
      <c r="W5916" t="s">
        <v>41411</v>
      </c>
      <c r="X5916" t="s">
        <v>43173</v>
      </c>
    </row>
    <row r="5917" spans="1:24">
      <c r="A5917">
        <f>HYPERLINK("https://www.philgeps.gov.ph/GEPSNONPILOT/Tender/SplashBidNoticeAbstractUI.aspx?menuIndex=3&amp;refID=7080650&amp;Result=3","7080650")</f>
        <v>0</v>
      </c>
      <c r="B5917" t="s">
        <v>108</v>
      </c>
      <c r="C5917" t="s">
        <v>9049</v>
      </c>
      <c r="D5917" t="s">
        <v>17458</v>
      </c>
      <c r="E5917" t="s">
        <v>22611</v>
      </c>
      <c r="F5917" t="s">
        <v>30052</v>
      </c>
      <c r="G5917" t="s">
        <v>30058</v>
      </c>
      <c r="H5917" t="s">
        <v>30067</v>
      </c>
      <c r="I5917" t="s">
        <v>3693</v>
      </c>
      <c r="J5917" t="s">
        <v>33922</v>
      </c>
      <c r="K5917" t="s">
        <v>39023</v>
      </c>
      <c r="M5917" t="s">
        <v>41412</v>
      </c>
      <c r="N5917" t="s">
        <v>43166</v>
      </c>
      <c r="O5917" t="s">
        <v>43167</v>
      </c>
      <c r="P5917">
        <v>0</v>
      </c>
      <c r="Q5917">
        <v>0</v>
      </c>
      <c r="R5917" t="s">
        <v>43172</v>
      </c>
      <c r="S5917" t="s">
        <v>43334</v>
      </c>
      <c r="T5917" t="s">
        <v>44756</v>
      </c>
      <c r="U5917" t="s">
        <v>50028</v>
      </c>
      <c r="W5917" t="s">
        <v>39397</v>
      </c>
      <c r="X5917" t="s">
        <v>43173</v>
      </c>
    </row>
    <row r="5918" spans="1:24">
      <c r="A5918">
        <f>HYPERLINK("https://www.philgeps.gov.ph/GEPSNONPILOT/Tender/SplashBidNoticeAbstractUI.aspx?menuIndex=3&amp;refID=7080633&amp;Result=3","7080633")</f>
        <v>0</v>
      </c>
      <c r="B5918" t="s">
        <v>1313</v>
      </c>
      <c r="C5918" t="s">
        <v>9050</v>
      </c>
      <c r="D5918" t="s">
        <v>17415</v>
      </c>
      <c r="E5918" t="s">
        <v>22612</v>
      </c>
      <c r="F5918" t="s">
        <v>30052</v>
      </c>
      <c r="G5918" t="s">
        <v>30059</v>
      </c>
      <c r="H5918" t="s">
        <v>15498</v>
      </c>
      <c r="I5918" t="s">
        <v>3736</v>
      </c>
      <c r="J5918" t="s">
        <v>33923</v>
      </c>
      <c r="K5918" t="s">
        <v>39017</v>
      </c>
      <c r="M5918" t="s">
        <v>41366</v>
      </c>
      <c r="N5918" t="s">
        <v>43166</v>
      </c>
      <c r="O5918" t="s">
        <v>43167</v>
      </c>
      <c r="P5918">
        <v>0</v>
      </c>
      <c r="Q5918">
        <v>1</v>
      </c>
      <c r="R5918" t="s">
        <v>43172</v>
      </c>
      <c r="S5918" t="s">
        <v>43334</v>
      </c>
      <c r="T5918" t="s">
        <v>44717</v>
      </c>
      <c r="U5918" t="s">
        <v>50029</v>
      </c>
      <c r="W5918" t="s">
        <v>41366</v>
      </c>
      <c r="X5918" t="s">
        <v>43173</v>
      </c>
    </row>
    <row r="5919" spans="1:24">
      <c r="A5919">
        <f>HYPERLINK("https://www.philgeps.gov.ph/GEPSNONPILOT/Tender/SplashBidNoticeAbstractUI.aspx?menuIndex=3&amp;refID=7080647&amp;Result=3","7080647")</f>
        <v>0</v>
      </c>
      <c r="B5919" t="s">
        <v>1759</v>
      </c>
      <c r="C5919" t="s">
        <v>9051</v>
      </c>
      <c r="D5919" t="s">
        <v>17442</v>
      </c>
      <c r="E5919" t="s">
        <v>22613</v>
      </c>
      <c r="F5919" t="s">
        <v>30052</v>
      </c>
      <c r="G5919" t="s">
        <v>30061</v>
      </c>
      <c r="H5919" t="s">
        <v>30067</v>
      </c>
      <c r="I5919" t="s">
        <v>3693</v>
      </c>
      <c r="J5919" t="s">
        <v>33924</v>
      </c>
      <c r="K5919" t="s">
        <v>39029</v>
      </c>
      <c r="M5919" t="s">
        <v>41179</v>
      </c>
      <c r="N5919" t="s">
        <v>43166</v>
      </c>
      <c r="O5919" t="s">
        <v>43167</v>
      </c>
      <c r="P5919">
        <v>0</v>
      </c>
      <c r="Q5919">
        <v>0</v>
      </c>
      <c r="R5919" t="s">
        <v>43172</v>
      </c>
      <c r="S5919" t="s">
        <v>43334</v>
      </c>
      <c r="T5919" t="s">
        <v>44698</v>
      </c>
      <c r="U5919" t="s">
        <v>49340</v>
      </c>
      <c r="W5919" t="s">
        <v>41179</v>
      </c>
      <c r="X5919" t="s">
        <v>43173</v>
      </c>
    </row>
    <row r="5920" spans="1:24">
      <c r="A5920">
        <f>HYPERLINK("https://www.philgeps.gov.ph/GEPSNONPILOT/Tender/SplashBidNoticeAbstractUI.aspx?menuIndex=3&amp;refID=7080627&amp;Result=3","7080627")</f>
        <v>0</v>
      </c>
      <c r="B5920" t="s">
        <v>107</v>
      </c>
      <c r="C5920" t="s">
        <v>9052</v>
      </c>
      <c r="D5920" t="s">
        <v>17448</v>
      </c>
      <c r="E5920" t="s">
        <v>22614</v>
      </c>
      <c r="F5920" t="s">
        <v>30052</v>
      </c>
      <c r="G5920" t="s">
        <v>30059</v>
      </c>
      <c r="H5920" t="s">
        <v>15498</v>
      </c>
      <c r="I5920" t="s">
        <v>9238</v>
      </c>
      <c r="J5920" t="s">
        <v>33925</v>
      </c>
      <c r="K5920" t="s">
        <v>39025</v>
      </c>
      <c r="M5920" t="s">
        <v>39396</v>
      </c>
      <c r="N5920" t="s">
        <v>43166</v>
      </c>
      <c r="O5920" t="s">
        <v>43167</v>
      </c>
      <c r="P5920">
        <v>0</v>
      </c>
      <c r="Q5920">
        <v>14</v>
      </c>
      <c r="R5920" t="s">
        <v>43172</v>
      </c>
      <c r="S5920" t="s">
        <v>43334</v>
      </c>
      <c r="T5920" t="s">
        <v>44862</v>
      </c>
      <c r="U5920" t="s">
        <v>50030</v>
      </c>
      <c r="W5920" t="s">
        <v>39396</v>
      </c>
      <c r="X5920" t="s">
        <v>43173</v>
      </c>
    </row>
    <row r="5921" spans="1:24">
      <c r="A5921">
        <f>HYPERLINK("https://www.philgeps.gov.ph/GEPSNONPILOT/Tender/SplashBidNoticeAbstractUI.aspx?menuIndex=3&amp;refID=7080645&amp;Result=3","7080645")</f>
        <v>0</v>
      </c>
      <c r="B5921" t="s">
        <v>1276</v>
      </c>
      <c r="C5921" t="s">
        <v>9053</v>
      </c>
      <c r="D5921" t="s">
        <v>17427</v>
      </c>
      <c r="E5921" t="s">
        <v>19413</v>
      </c>
      <c r="F5921" t="s">
        <v>30052</v>
      </c>
      <c r="G5921" t="s">
        <v>30058</v>
      </c>
      <c r="H5921" t="s">
        <v>15498</v>
      </c>
      <c r="I5921" t="s">
        <v>30084</v>
      </c>
      <c r="J5921" t="s">
        <v>30222</v>
      </c>
      <c r="K5921" t="s">
        <v>39019</v>
      </c>
      <c r="M5921" t="s">
        <v>40637</v>
      </c>
      <c r="N5921" t="s">
        <v>43166</v>
      </c>
      <c r="O5921" t="s">
        <v>43167</v>
      </c>
      <c r="P5921">
        <v>0</v>
      </c>
      <c r="Q5921">
        <v>10</v>
      </c>
      <c r="R5921" t="s">
        <v>43172</v>
      </c>
      <c r="S5921" t="s">
        <v>43334</v>
      </c>
      <c r="T5921" t="s">
        <v>44729</v>
      </c>
      <c r="U5921" t="s">
        <v>48822</v>
      </c>
      <c r="W5921" t="s">
        <v>40637</v>
      </c>
      <c r="X5921" t="s">
        <v>43173</v>
      </c>
    </row>
    <row r="5922" spans="1:24">
      <c r="A5922">
        <f>HYPERLINK("https://www.philgeps.gov.ph/GEPSNONPILOT/Tender/SplashBidNoticeAbstractUI.aspx?menuIndex=3&amp;refID=7080643&amp;Result=3","7080643")</f>
        <v>0</v>
      </c>
      <c r="B5922" t="s">
        <v>1972</v>
      </c>
      <c r="C5922" t="s">
        <v>9054</v>
      </c>
      <c r="D5922" t="s">
        <v>17473</v>
      </c>
      <c r="E5922" t="s">
        <v>20056</v>
      </c>
      <c r="F5922" t="s">
        <v>30052</v>
      </c>
      <c r="G5922" t="s">
        <v>30062</v>
      </c>
      <c r="H5922" t="s">
        <v>15498</v>
      </c>
      <c r="I5922" t="s">
        <v>4650</v>
      </c>
      <c r="J5922" t="s">
        <v>31566</v>
      </c>
      <c r="K5922" t="s">
        <v>39017</v>
      </c>
      <c r="M5922" t="s">
        <v>41413</v>
      </c>
      <c r="N5922" t="s">
        <v>43166</v>
      </c>
      <c r="O5922" t="s">
        <v>43167</v>
      </c>
      <c r="P5922">
        <v>0</v>
      </c>
      <c r="Q5922">
        <v>4</v>
      </c>
      <c r="R5922" t="s">
        <v>43172</v>
      </c>
      <c r="S5922" t="s">
        <v>43334</v>
      </c>
      <c r="T5922" t="s">
        <v>44708</v>
      </c>
      <c r="U5922" t="s">
        <v>50031</v>
      </c>
      <c r="W5922" t="s">
        <v>41413</v>
      </c>
      <c r="X5922" t="s">
        <v>43173</v>
      </c>
    </row>
    <row r="5923" spans="1:24">
      <c r="A5923">
        <f>HYPERLINK("https://www.philgeps.gov.ph/GEPSNONPILOT/Tender/SplashBidNoticeAbstractUI.aspx?menuIndex=3&amp;refID=7080438&amp;Result=3","7080438")</f>
        <v>0</v>
      </c>
      <c r="B5923" t="s">
        <v>841</v>
      </c>
      <c r="C5923" t="s">
        <v>9055</v>
      </c>
      <c r="D5923" t="s">
        <v>17456</v>
      </c>
      <c r="E5923" t="s">
        <v>22615</v>
      </c>
      <c r="F5923" t="s">
        <v>30052</v>
      </c>
      <c r="G5923" t="s">
        <v>30059</v>
      </c>
      <c r="H5923" t="s">
        <v>30067</v>
      </c>
      <c r="I5923" t="s">
        <v>3693</v>
      </c>
      <c r="J5923" t="s">
        <v>33926</v>
      </c>
      <c r="K5923" t="s">
        <v>39111</v>
      </c>
      <c r="M5923" t="s">
        <v>40158</v>
      </c>
      <c r="N5923" t="s">
        <v>43166</v>
      </c>
      <c r="O5923" t="s">
        <v>43167</v>
      </c>
      <c r="P5923">
        <v>0</v>
      </c>
      <c r="Q5923">
        <v>0</v>
      </c>
      <c r="R5923" t="s">
        <v>43172</v>
      </c>
      <c r="S5923" t="s">
        <v>43334</v>
      </c>
      <c r="T5923" t="s">
        <v>44837</v>
      </c>
      <c r="U5923" t="s">
        <v>50032</v>
      </c>
      <c r="W5923" t="s">
        <v>40158</v>
      </c>
      <c r="X5923" t="s">
        <v>43173</v>
      </c>
    </row>
    <row r="5924" spans="1:24">
      <c r="A5924">
        <f>HYPERLINK("https://www.philgeps.gov.ph/GEPSNONPILOT/Tender/SplashBidNoticeAbstractUI.aspx?menuIndex=3&amp;refID=7080634&amp;Result=3","7080634")</f>
        <v>0</v>
      </c>
      <c r="B5924" t="s">
        <v>1935</v>
      </c>
      <c r="C5924" t="s">
        <v>8970</v>
      </c>
      <c r="D5924" t="s">
        <v>17418</v>
      </c>
      <c r="E5924" t="s">
        <v>22616</v>
      </c>
      <c r="F5924" t="s">
        <v>30052</v>
      </c>
      <c r="G5924" t="s">
        <v>30058</v>
      </c>
      <c r="H5924" t="s">
        <v>30067</v>
      </c>
      <c r="I5924" t="s">
        <v>3693</v>
      </c>
      <c r="J5924" t="s">
        <v>33927</v>
      </c>
      <c r="K5924" t="s">
        <v>39105</v>
      </c>
      <c r="M5924" t="s">
        <v>41369</v>
      </c>
      <c r="N5924" t="s">
        <v>43166</v>
      </c>
      <c r="O5924" t="s">
        <v>43167</v>
      </c>
      <c r="P5924">
        <v>0</v>
      </c>
      <c r="Q5924">
        <v>0</v>
      </c>
      <c r="R5924" t="s">
        <v>43172</v>
      </c>
      <c r="S5924" t="s">
        <v>43334</v>
      </c>
      <c r="T5924" t="s">
        <v>44691</v>
      </c>
      <c r="U5924" t="s">
        <v>50033</v>
      </c>
      <c r="W5924" t="s">
        <v>41369</v>
      </c>
      <c r="X5924" t="s">
        <v>43173</v>
      </c>
    </row>
    <row r="5925" spans="1:24">
      <c r="A5925">
        <f>HYPERLINK("https://www.philgeps.gov.ph/GEPSNONPILOT/Tender/SplashBidNoticeAbstractUI.aspx?menuIndex=3&amp;refID=7080624&amp;Result=3","7080624")</f>
        <v>0</v>
      </c>
      <c r="B5925" t="s">
        <v>946</v>
      </c>
      <c r="C5925" t="s">
        <v>9056</v>
      </c>
      <c r="D5925" t="s">
        <v>17456</v>
      </c>
      <c r="E5925" t="s">
        <v>22617</v>
      </c>
      <c r="F5925" t="s">
        <v>30052</v>
      </c>
      <c r="G5925" t="s">
        <v>30059</v>
      </c>
      <c r="H5925" t="s">
        <v>15498</v>
      </c>
      <c r="I5925" t="s">
        <v>6691</v>
      </c>
      <c r="J5925" t="s">
        <v>30306</v>
      </c>
      <c r="K5925" t="s">
        <v>39017</v>
      </c>
      <c r="M5925" t="s">
        <v>40270</v>
      </c>
      <c r="N5925" t="s">
        <v>43166</v>
      </c>
      <c r="O5925" t="s">
        <v>43167</v>
      </c>
      <c r="P5925">
        <v>0</v>
      </c>
      <c r="Q5925">
        <v>0</v>
      </c>
      <c r="R5925" t="s">
        <v>43172</v>
      </c>
      <c r="S5925" t="s">
        <v>43334</v>
      </c>
      <c r="T5925" t="s">
        <v>44844</v>
      </c>
      <c r="U5925" t="s">
        <v>50034</v>
      </c>
      <c r="W5925" t="s">
        <v>40270</v>
      </c>
      <c r="X5925" t="s">
        <v>43173</v>
      </c>
    </row>
    <row r="5926" spans="1:24">
      <c r="A5926">
        <f>HYPERLINK("https://www.philgeps.gov.ph/GEPSNONPILOT/Tender/SplashBidNoticeAbstractUI.aspx?menuIndex=3&amp;refID=7080376&amp;Result=3","7080376")</f>
        <v>0</v>
      </c>
      <c r="B5926" t="s">
        <v>1973</v>
      </c>
      <c r="C5926" t="s">
        <v>9057</v>
      </c>
      <c r="D5926" t="s">
        <v>17441</v>
      </c>
      <c r="E5926" t="s">
        <v>17938</v>
      </c>
      <c r="F5926" t="s">
        <v>30052</v>
      </c>
      <c r="G5926" t="s">
        <v>30061</v>
      </c>
      <c r="H5926" t="s">
        <v>30067</v>
      </c>
      <c r="I5926" t="s">
        <v>3693</v>
      </c>
      <c r="J5926" t="s">
        <v>33928</v>
      </c>
      <c r="K5926" t="s">
        <v>39036</v>
      </c>
      <c r="M5926" t="s">
        <v>41414</v>
      </c>
      <c r="N5926" t="s">
        <v>43166</v>
      </c>
      <c r="O5926" t="s">
        <v>43167</v>
      </c>
      <c r="P5926">
        <v>0</v>
      </c>
      <c r="Q5926">
        <v>1</v>
      </c>
      <c r="R5926" t="s">
        <v>43172</v>
      </c>
      <c r="S5926" t="s">
        <v>43334</v>
      </c>
      <c r="T5926" t="s">
        <v>44679</v>
      </c>
      <c r="U5926" t="s">
        <v>50035</v>
      </c>
      <c r="W5926" t="s">
        <v>41414</v>
      </c>
      <c r="X5926" t="s">
        <v>43173</v>
      </c>
    </row>
    <row r="5927" spans="1:24">
      <c r="A5927">
        <f>HYPERLINK("https://www.philgeps.gov.ph/GEPSNONPILOT/Tender/SplashBidNoticeAbstractUI.aspx?menuIndex=3&amp;refID=7080699&amp;Result=3","7080699")</f>
        <v>0</v>
      </c>
      <c r="B5927" t="s">
        <v>1853</v>
      </c>
      <c r="C5927" t="s">
        <v>9058</v>
      </c>
      <c r="D5927" t="s">
        <v>17464</v>
      </c>
      <c r="E5927" t="s">
        <v>22618</v>
      </c>
      <c r="F5927" t="s">
        <v>30052</v>
      </c>
      <c r="G5927" t="s">
        <v>30058</v>
      </c>
      <c r="H5927" t="s">
        <v>30067</v>
      </c>
      <c r="I5927" t="s">
        <v>3693</v>
      </c>
      <c r="J5927" t="s">
        <v>30252</v>
      </c>
      <c r="K5927" t="s">
        <v>39025</v>
      </c>
      <c r="M5927" t="s">
        <v>41281</v>
      </c>
      <c r="N5927" t="s">
        <v>43166</v>
      </c>
      <c r="O5927" t="s">
        <v>43167</v>
      </c>
      <c r="P5927">
        <v>0</v>
      </c>
      <c r="Q5927">
        <v>0</v>
      </c>
      <c r="R5927" t="s">
        <v>43172</v>
      </c>
      <c r="S5927" t="s">
        <v>43334</v>
      </c>
      <c r="T5927" t="s">
        <v>44806</v>
      </c>
      <c r="U5927" t="s">
        <v>50036</v>
      </c>
      <c r="W5927" t="s">
        <v>41281</v>
      </c>
      <c r="X5927" t="s">
        <v>43173</v>
      </c>
    </row>
    <row r="5928" spans="1:24">
      <c r="A5928">
        <f>HYPERLINK("https://www.philgeps.gov.ph/GEPSNONPILOT/Tender/SplashBidNoticeAbstractUI.aspx?menuIndex=3&amp;refID=7080710&amp;Result=3","7080710")</f>
        <v>0</v>
      </c>
      <c r="B5928" t="s">
        <v>985</v>
      </c>
      <c r="C5928" t="s">
        <v>9059</v>
      </c>
      <c r="D5928" t="s">
        <v>17456</v>
      </c>
      <c r="E5928" t="s">
        <v>22619</v>
      </c>
      <c r="F5928" t="s">
        <v>30052</v>
      </c>
      <c r="G5928" t="s">
        <v>30059</v>
      </c>
      <c r="H5928" t="s">
        <v>15498</v>
      </c>
      <c r="I5928" t="s">
        <v>6304</v>
      </c>
      <c r="J5928" t="s">
        <v>33929</v>
      </c>
      <c r="K5928" t="s">
        <v>39017</v>
      </c>
      <c r="M5928" t="s">
        <v>40312</v>
      </c>
      <c r="N5928" t="s">
        <v>43166</v>
      </c>
      <c r="O5928" t="s">
        <v>43167</v>
      </c>
      <c r="P5928">
        <v>0</v>
      </c>
      <c r="Q5928">
        <v>3</v>
      </c>
      <c r="R5928" t="s">
        <v>43172</v>
      </c>
      <c r="S5928" t="s">
        <v>43334</v>
      </c>
      <c r="T5928" t="s">
        <v>44862</v>
      </c>
      <c r="U5928" t="s">
        <v>47246</v>
      </c>
      <c r="W5928" t="s">
        <v>40312</v>
      </c>
      <c r="X5928" t="s">
        <v>43173</v>
      </c>
    </row>
    <row r="5929" spans="1:24">
      <c r="A5929">
        <f>HYPERLINK("https://www.philgeps.gov.ph/GEPSNONPILOT/Tender/SplashBidNoticeAbstractUI.aspx?menuIndex=3&amp;refID=7080706&amp;Result=3","7080706")</f>
        <v>0</v>
      </c>
      <c r="B5929" t="s">
        <v>1935</v>
      </c>
      <c r="C5929" t="s">
        <v>9060</v>
      </c>
      <c r="D5929" t="s">
        <v>17418</v>
      </c>
      <c r="E5929" t="s">
        <v>17760</v>
      </c>
      <c r="F5929" t="s">
        <v>30052</v>
      </c>
      <c r="G5929" t="s">
        <v>30058</v>
      </c>
      <c r="H5929" t="s">
        <v>30067</v>
      </c>
      <c r="I5929" t="s">
        <v>3693</v>
      </c>
      <c r="J5929" t="s">
        <v>33930</v>
      </c>
      <c r="K5929" t="s">
        <v>39017</v>
      </c>
      <c r="M5929" t="s">
        <v>41369</v>
      </c>
      <c r="N5929" t="s">
        <v>43166</v>
      </c>
      <c r="O5929" t="s">
        <v>43167</v>
      </c>
      <c r="P5929">
        <v>0</v>
      </c>
      <c r="Q5929">
        <v>0</v>
      </c>
      <c r="R5929" t="s">
        <v>43172</v>
      </c>
      <c r="S5929" t="s">
        <v>43334</v>
      </c>
      <c r="T5929" t="s">
        <v>44691</v>
      </c>
      <c r="U5929" t="s">
        <v>50037</v>
      </c>
      <c r="W5929" t="s">
        <v>41369</v>
      </c>
      <c r="X5929" t="s">
        <v>43173</v>
      </c>
    </row>
    <row r="5930" spans="1:24">
      <c r="A5930">
        <f>HYPERLINK("https://www.philgeps.gov.ph/GEPSNONPILOT/Tender/SplashBidNoticeAbstractUI.aspx?menuIndex=3&amp;refID=7080626&amp;Result=3","7080626")</f>
        <v>0</v>
      </c>
      <c r="B5930" t="s">
        <v>1191</v>
      </c>
      <c r="C5930" t="s">
        <v>9061</v>
      </c>
      <c r="D5930" t="s">
        <v>17451</v>
      </c>
      <c r="E5930" t="s">
        <v>22620</v>
      </c>
      <c r="F5930" t="s">
        <v>30052</v>
      </c>
      <c r="G5930" t="s">
        <v>30058</v>
      </c>
      <c r="H5930" t="s">
        <v>30067</v>
      </c>
      <c r="I5930" t="s">
        <v>3693</v>
      </c>
      <c r="J5930" t="s">
        <v>30222</v>
      </c>
      <c r="K5930" t="s">
        <v>39096</v>
      </c>
      <c r="M5930" t="s">
        <v>40544</v>
      </c>
      <c r="N5930" t="s">
        <v>43166</v>
      </c>
      <c r="O5930" t="s">
        <v>43167</v>
      </c>
      <c r="P5930">
        <v>0</v>
      </c>
      <c r="Q5930">
        <v>0</v>
      </c>
      <c r="R5930" t="s">
        <v>43172</v>
      </c>
      <c r="S5930" t="s">
        <v>43334</v>
      </c>
      <c r="T5930" t="s">
        <v>45009</v>
      </c>
      <c r="U5930" t="s">
        <v>50038</v>
      </c>
      <c r="W5930" t="s">
        <v>40544</v>
      </c>
      <c r="X5930" t="s">
        <v>43173</v>
      </c>
    </row>
    <row r="5931" spans="1:24">
      <c r="A5931">
        <f>HYPERLINK("https://www.philgeps.gov.ph/GEPSNONPILOT/Tender/SplashBidNoticeAbstractUI.aspx?menuIndex=3&amp;refID=7080698&amp;Result=3","7080698")</f>
        <v>0</v>
      </c>
      <c r="B5931" t="s">
        <v>1505</v>
      </c>
      <c r="C5931" t="s">
        <v>9062</v>
      </c>
      <c r="D5931" t="s">
        <v>17462</v>
      </c>
      <c r="E5931" t="s">
        <v>22621</v>
      </c>
      <c r="F5931" t="s">
        <v>30052</v>
      </c>
      <c r="G5931" t="s">
        <v>30058</v>
      </c>
      <c r="H5931" t="s">
        <v>30067</v>
      </c>
      <c r="I5931" t="s">
        <v>3693</v>
      </c>
      <c r="J5931" t="s">
        <v>33931</v>
      </c>
      <c r="K5931" t="s">
        <v>39033</v>
      </c>
      <c r="M5931" t="s">
        <v>40889</v>
      </c>
      <c r="N5931" t="s">
        <v>43166</v>
      </c>
      <c r="O5931" t="s">
        <v>43167</v>
      </c>
      <c r="P5931">
        <v>0</v>
      </c>
      <c r="Q5931">
        <v>8</v>
      </c>
      <c r="R5931" t="s">
        <v>43172</v>
      </c>
      <c r="S5931" t="s">
        <v>43334</v>
      </c>
      <c r="T5931" t="s">
        <v>44842</v>
      </c>
      <c r="U5931" t="s">
        <v>49934</v>
      </c>
      <c r="W5931" t="s">
        <v>58641</v>
      </c>
      <c r="X5931" t="s">
        <v>43173</v>
      </c>
    </row>
    <row r="5932" spans="1:24">
      <c r="A5932">
        <f>HYPERLINK("https://www.philgeps.gov.ph/GEPSNONPILOT/Tender/SplashBidNoticeAbstractUI.aspx?menuIndex=3&amp;refID=7080697&amp;Result=3","7080697")</f>
        <v>0</v>
      </c>
      <c r="B5932" t="s">
        <v>236</v>
      </c>
      <c r="C5932" t="s">
        <v>9063</v>
      </c>
      <c r="D5932" t="s">
        <v>17476</v>
      </c>
      <c r="E5932" t="s">
        <v>22622</v>
      </c>
      <c r="F5932" t="s">
        <v>30056</v>
      </c>
      <c r="G5932" t="s">
        <v>30059</v>
      </c>
      <c r="H5932" t="s">
        <v>30069</v>
      </c>
      <c r="I5932" t="s">
        <v>6691</v>
      </c>
      <c r="J5932" t="s">
        <v>32922</v>
      </c>
      <c r="K5932" t="s">
        <v>39017</v>
      </c>
      <c r="M5932" t="s">
        <v>39920</v>
      </c>
      <c r="N5932" t="s">
        <v>43166</v>
      </c>
      <c r="O5932" t="s">
        <v>43167</v>
      </c>
      <c r="P5932">
        <v>0</v>
      </c>
      <c r="Q5932">
        <v>0</v>
      </c>
      <c r="R5932" t="s">
        <v>43172</v>
      </c>
      <c r="S5932" t="s">
        <v>43334</v>
      </c>
      <c r="T5932" t="s">
        <v>44743</v>
      </c>
      <c r="U5932" t="s">
        <v>50039</v>
      </c>
      <c r="V5932" t="s">
        <v>45722</v>
      </c>
      <c r="W5932" t="s">
        <v>39920</v>
      </c>
      <c r="X5932" t="s">
        <v>43173</v>
      </c>
    </row>
    <row r="5933" spans="1:24">
      <c r="A5933">
        <f>HYPERLINK("https://www.philgeps.gov.ph/GEPSNONPILOT/Tender/SplashBidNoticeAbstractUI.aspx?menuIndex=3&amp;refID=7080696&amp;Result=3","7080696")</f>
        <v>0</v>
      </c>
      <c r="B5933" t="s">
        <v>1235</v>
      </c>
      <c r="C5933" t="s">
        <v>9064</v>
      </c>
      <c r="D5933" t="s">
        <v>17415</v>
      </c>
      <c r="E5933" t="s">
        <v>22623</v>
      </c>
      <c r="F5933" t="s">
        <v>30052</v>
      </c>
      <c r="G5933" t="s">
        <v>30059</v>
      </c>
      <c r="H5933" t="s">
        <v>15498</v>
      </c>
      <c r="I5933" t="s">
        <v>30070</v>
      </c>
      <c r="J5933" t="s">
        <v>30207</v>
      </c>
      <c r="K5933" t="s">
        <v>39034</v>
      </c>
      <c r="M5933" t="s">
        <v>40589</v>
      </c>
      <c r="N5933" t="s">
        <v>43166</v>
      </c>
      <c r="O5933" t="s">
        <v>43167</v>
      </c>
      <c r="P5933">
        <v>0</v>
      </c>
      <c r="Q5933">
        <v>7</v>
      </c>
      <c r="R5933" t="s">
        <v>43172</v>
      </c>
      <c r="S5933" t="s">
        <v>43334</v>
      </c>
      <c r="T5933" t="s">
        <v>44717</v>
      </c>
      <c r="U5933" t="s">
        <v>50040</v>
      </c>
      <c r="W5933" t="s">
        <v>40589</v>
      </c>
      <c r="X5933" t="s">
        <v>43173</v>
      </c>
    </row>
    <row r="5934" spans="1:24">
      <c r="A5934">
        <f>HYPERLINK("https://www.philgeps.gov.ph/GEPSNONPILOT/Tender/SplashBidNoticeAbstractUI.aspx?menuIndex=3&amp;refID=7080692&amp;Result=3","7080692")</f>
        <v>0</v>
      </c>
      <c r="B5934" t="s">
        <v>946</v>
      </c>
      <c r="C5934" t="s">
        <v>9065</v>
      </c>
      <c r="D5934" t="s">
        <v>17456</v>
      </c>
      <c r="E5934" t="s">
        <v>22624</v>
      </c>
      <c r="F5934" t="s">
        <v>30052</v>
      </c>
      <c r="G5934" t="s">
        <v>30059</v>
      </c>
      <c r="H5934" t="s">
        <v>15498</v>
      </c>
      <c r="I5934" t="s">
        <v>30073</v>
      </c>
      <c r="J5934" t="s">
        <v>30207</v>
      </c>
      <c r="K5934" t="s">
        <v>39017</v>
      </c>
      <c r="M5934" t="s">
        <v>40270</v>
      </c>
      <c r="N5934" t="s">
        <v>43166</v>
      </c>
      <c r="O5934" t="s">
        <v>43167</v>
      </c>
      <c r="P5934">
        <v>0</v>
      </c>
      <c r="Q5934">
        <v>0</v>
      </c>
      <c r="R5934" t="s">
        <v>43172</v>
      </c>
      <c r="S5934" t="s">
        <v>43334</v>
      </c>
      <c r="T5934" t="s">
        <v>44844</v>
      </c>
      <c r="U5934" t="s">
        <v>50041</v>
      </c>
      <c r="W5934" t="s">
        <v>40270</v>
      </c>
      <c r="X5934" t="s">
        <v>43173</v>
      </c>
    </row>
    <row r="5935" spans="1:24">
      <c r="A5935">
        <f>HYPERLINK("https://www.philgeps.gov.ph/GEPSNONPILOT/Tender/SplashBidNoticeAbstractUI.aspx?menuIndex=3&amp;refID=7080708&amp;Result=3","7080708")</f>
        <v>0</v>
      </c>
      <c r="B5935" t="s">
        <v>946</v>
      </c>
      <c r="C5935" t="s">
        <v>9066</v>
      </c>
      <c r="D5935" t="s">
        <v>17456</v>
      </c>
      <c r="E5935" t="s">
        <v>22625</v>
      </c>
      <c r="F5935" t="s">
        <v>30052</v>
      </c>
      <c r="G5935" t="s">
        <v>30059</v>
      </c>
      <c r="H5935" t="s">
        <v>15498</v>
      </c>
      <c r="I5935" t="s">
        <v>30073</v>
      </c>
      <c r="J5935" t="s">
        <v>30207</v>
      </c>
      <c r="K5935" t="s">
        <v>39017</v>
      </c>
      <c r="M5935" t="s">
        <v>40270</v>
      </c>
      <c r="N5935" t="s">
        <v>43166</v>
      </c>
      <c r="O5935" t="s">
        <v>43167</v>
      </c>
      <c r="P5935">
        <v>0</v>
      </c>
      <c r="Q5935">
        <v>0</v>
      </c>
      <c r="R5935" t="s">
        <v>43172</v>
      </c>
      <c r="S5935" t="s">
        <v>43334</v>
      </c>
      <c r="T5935" t="s">
        <v>44717</v>
      </c>
      <c r="U5935" t="s">
        <v>50042</v>
      </c>
      <c r="W5935" t="s">
        <v>40270</v>
      </c>
      <c r="X5935" t="s">
        <v>43173</v>
      </c>
    </row>
    <row r="5936" spans="1:24">
      <c r="A5936">
        <f>HYPERLINK("https://www.philgeps.gov.ph/GEPSNONPILOT/Tender/SplashBidNoticeAbstractUI.aspx?menuIndex=3&amp;refID=7080685&amp;Result=3","7080685")</f>
        <v>0</v>
      </c>
      <c r="B5936" t="s">
        <v>1974</v>
      </c>
      <c r="C5936" t="s">
        <v>9067</v>
      </c>
      <c r="D5936" t="s">
        <v>17435</v>
      </c>
      <c r="E5936" t="s">
        <v>22626</v>
      </c>
      <c r="F5936" t="s">
        <v>30052</v>
      </c>
      <c r="G5936" t="s">
        <v>30058</v>
      </c>
      <c r="H5936" t="s">
        <v>15498</v>
      </c>
      <c r="I5936" t="s">
        <v>30071</v>
      </c>
      <c r="J5936" t="s">
        <v>33932</v>
      </c>
      <c r="K5936" t="s">
        <v>39019</v>
      </c>
      <c r="M5936" t="s">
        <v>41415</v>
      </c>
      <c r="N5936" t="s">
        <v>43166</v>
      </c>
      <c r="O5936" t="s">
        <v>43167</v>
      </c>
      <c r="P5936">
        <v>0</v>
      </c>
      <c r="Q5936">
        <v>1</v>
      </c>
      <c r="R5936" t="s">
        <v>43172</v>
      </c>
      <c r="S5936" t="s">
        <v>43334</v>
      </c>
      <c r="T5936" t="s">
        <v>44710</v>
      </c>
      <c r="U5936" t="s">
        <v>50043</v>
      </c>
      <c r="V5936" t="s">
        <v>57457</v>
      </c>
      <c r="W5936" t="s">
        <v>41415</v>
      </c>
      <c r="X5936" t="s">
        <v>43173</v>
      </c>
    </row>
    <row r="5937" spans="1:24">
      <c r="A5937">
        <f>HYPERLINK("https://www.philgeps.gov.ph/GEPSNONPILOT/Tender/SplashBidNoticeAbstractUI.aspx?menuIndex=3&amp;refID=7080680&amp;Result=3","7080680")</f>
        <v>0</v>
      </c>
      <c r="B5937" t="s">
        <v>1975</v>
      </c>
      <c r="C5937" t="s">
        <v>9068</v>
      </c>
      <c r="D5937" t="s">
        <v>17476</v>
      </c>
      <c r="E5937" t="s">
        <v>22627</v>
      </c>
      <c r="F5937" t="s">
        <v>30052</v>
      </c>
      <c r="G5937" t="s">
        <v>30058</v>
      </c>
      <c r="H5937" t="s">
        <v>15498</v>
      </c>
      <c r="I5937" t="s">
        <v>3852</v>
      </c>
      <c r="J5937" t="s">
        <v>32865</v>
      </c>
      <c r="K5937" t="s">
        <v>39029</v>
      </c>
      <c r="M5937" t="s">
        <v>41416</v>
      </c>
      <c r="N5937" t="s">
        <v>43166</v>
      </c>
      <c r="O5937" t="s">
        <v>43167</v>
      </c>
      <c r="P5937">
        <v>0</v>
      </c>
      <c r="Q5937">
        <v>1</v>
      </c>
      <c r="R5937" t="s">
        <v>43172</v>
      </c>
      <c r="S5937" t="s">
        <v>43334</v>
      </c>
      <c r="T5937" t="s">
        <v>44796</v>
      </c>
      <c r="U5937" t="s">
        <v>50044</v>
      </c>
      <c r="W5937" t="s">
        <v>41416</v>
      </c>
      <c r="X5937" t="s">
        <v>43173</v>
      </c>
    </row>
    <row r="5938" spans="1:24">
      <c r="A5938">
        <f>HYPERLINK("https://www.philgeps.gov.ph/GEPSNONPILOT/Tender/SplashBidNoticeAbstractUI.aspx?menuIndex=3&amp;refID=7080678&amp;Result=3","7080678")</f>
        <v>0</v>
      </c>
      <c r="B5938" t="s">
        <v>1976</v>
      </c>
      <c r="C5938" t="s">
        <v>9069</v>
      </c>
      <c r="E5938" t="s">
        <v>21503</v>
      </c>
      <c r="F5938" t="s">
        <v>30052</v>
      </c>
      <c r="G5938" t="s">
        <v>30063</v>
      </c>
      <c r="H5938" t="s">
        <v>15498</v>
      </c>
      <c r="I5938" t="s">
        <v>30084</v>
      </c>
      <c r="J5938" t="s">
        <v>33933</v>
      </c>
      <c r="K5938" t="s">
        <v>39025</v>
      </c>
      <c r="M5938" t="s">
        <v>41417</v>
      </c>
      <c r="N5938" t="s">
        <v>43166</v>
      </c>
      <c r="O5938" t="s">
        <v>43167</v>
      </c>
      <c r="P5938">
        <v>0</v>
      </c>
      <c r="Q5938">
        <v>9</v>
      </c>
      <c r="R5938" t="s">
        <v>43172</v>
      </c>
      <c r="S5938" t="s">
        <v>43334</v>
      </c>
      <c r="T5938" t="s">
        <v>44815</v>
      </c>
      <c r="U5938" t="s">
        <v>50045</v>
      </c>
      <c r="W5938" t="s">
        <v>41417</v>
      </c>
      <c r="X5938" t="s">
        <v>43173</v>
      </c>
    </row>
    <row r="5939" spans="1:24">
      <c r="A5939">
        <f>HYPERLINK("https://www.philgeps.gov.ph/GEPSNONPILOT/Tender/SplashBidNoticeAbstractUI.aspx?menuIndex=3&amp;refID=7080695&amp;Result=3","7080695")</f>
        <v>0</v>
      </c>
      <c r="B5939" t="s">
        <v>1977</v>
      </c>
      <c r="C5939" t="s">
        <v>9070</v>
      </c>
      <c r="D5939" t="s">
        <v>17427</v>
      </c>
      <c r="E5939" t="s">
        <v>22628</v>
      </c>
      <c r="F5939" t="s">
        <v>30052</v>
      </c>
      <c r="G5939" t="s">
        <v>30058</v>
      </c>
      <c r="H5939" t="s">
        <v>30067</v>
      </c>
      <c r="I5939" t="s">
        <v>3693</v>
      </c>
      <c r="J5939" t="s">
        <v>33934</v>
      </c>
      <c r="K5939" t="s">
        <v>39046</v>
      </c>
      <c r="M5939" t="s">
        <v>41418</v>
      </c>
      <c r="N5939" t="s">
        <v>43166</v>
      </c>
      <c r="O5939" t="s">
        <v>43167</v>
      </c>
      <c r="P5939">
        <v>0</v>
      </c>
      <c r="Q5939">
        <v>0</v>
      </c>
      <c r="R5939" t="s">
        <v>43172</v>
      </c>
      <c r="S5939" t="s">
        <v>43334</v>
      </c>
      <c r="T5939" t="s">
        <v>44796</v>
      </c>
      <c r="U5939" t="s">
        <v>50046</v>
      </c>
      <c r="W5939" t="s">
        <v>41418</v>
      </c>
      <c r="X5939" t="s">
        <v>43173</v>
      </c>
    </row>
    <row r="5940" spans="1:24">
      <c r="A5940">
        <f>HYPERLINK("https://www.philgeps.gov.ph/GEPSNONPILOT/Tender/SplashBidNoticeAbstractUI.aspx?menuIndex=3&amp;refID=7080677&amp;Result=3","7080677")</f>
        <v>0</v>
      </c>
      <c r="B5940" t="s">
        <v>1505</v>
      </c>
      <c r="C5940" t="s">
        <v>9071</v>
      </c>
      <c r="D5940" t="s">
        <v>17462</v>
      </c>
      <c r="E5940" t="s">
        <v>22629</v>
      </c>
      <c r="F5940" t="s">
        <v>30052</v>
      </c>
      <c r="G5940" t="s">
        <v>30058</v>
      </c>
      <c r="H5940" t="s">
        <v>30067</v>
      </c>
      <c r="I5940" t="s">
        <v>3693</v>
      </c>
      <c r="J5940" t="s">
        <v>33935</v>
      </c>
      <c r="K5940" t="s">
        <v>39031</v>
      </c>
      <c r="M5940" t="s">
        <v>40889</v>
      </c>
      <c r="N5940" t="s">
        <v>43166</v>
      </c>
      <c r="O5940" t="s">
        <v>43167</v>
      </c>
      <c r="P5940">
        <v>0</v>
      </c>
      <c r="Q5940">
        <v>9</v>
      </c>
      <c r="R5940" t="s">
        <v>43172</v>
      </c>
      <c r="S5940" t="s">
        <v>43334</v>
      </c>
      <c r="T5940" t="s">
        <v>44842</v>
      </c>
      <c r="U5940" t="s">
        <v>49934</v>
      </c>
      <c r="W5940" t="s">
        <v>58641</v>
      </c>
      <c r="X5940" t="s">
        <v>43173</v>
      </c>
    </row>
    <row r="5941" spans="1:24">
      <c r="A5941">
        <f>HYPERLINK("https://www.philgeps.gov.ph/GEPSNONPILOT/Tender/SplashBidNoticeAbstractUI.aspx?menuIndex=3&amp;refID=7080687&amp;Result=3","7080687")</f>
        <v>0</v>
      </c>
      <c r="B5941" t="s">
        <v>1191</v>
      </c>
      <c r="C5941" t="s">
        <v>9072</v>
      </c>
      <c r="D5941" t="s">
        <v>17451</v>
      </c>
      <c r="E5941" t="s">
        <v>22630</v>
      </c>
      <c r="F5941" t="s">
        <v>30052</v>
      </c>
      <c r="G5941" t="s">
        <v>30058</v>
      </c>
      <c r="H5941" t="s">
        <v>30067</v>
      </c>
      <c r="I5941" t="s">
        <v>3693</v>
      </c>
      <c r="J5941" t="s">
        <v>30277</v>
      </c>
      <c r="K5941" t="s">
        <v>39029</v>
      </c>
      <c r="M5941" t="s">
        <v>40544</v>
      </c>
      <c r="N5941" t="s">
        <v>43166</v>
      </c>
      <c r="O5941" t="s">
        <v>43167</v>
      </c>
      <c r="P5941">
        <v>0</v>
      </c>
      <c r="Q5941">
        <v>0</v>
      </c>
      <c r="R5941" t="s">
        <v>43172</v>
      </c>
      <c r="S5941" t="s">
        <v>43334</v>
      </c>
      <c r="T5941" t="s">
        <v>44678</v>
      </c>
      <c r="U5941" t="s">
        <v>50047</v>
      </c>
      <c r="W5941" t="s">
        <v>40544</v>
      </c>
      <c r="X5941" t="s">
        <v>43173</v>
      </c>
    </row>
    <row r="5942" spans="1:24">
      <c r="A5942">
        <f>HYPERLINK("https://www.philgeps.gov.ph/GEPSNONPILOT/Tender/SplashBidNoticeAbstractUI.aspx?menuIndex=3&amp;refID=7080741&amp;Result=3","7080741")</f>
        <v>0</v>
      </c>
      <c r="B5942" t="s">
        <v>1978</v>
      </c>
      <c r="C5942" t="s">
        <v>9073</v>
      </c>
      <c r="E5942" t="s">
        <v>22631</v>
      </c>
      <c r="F5942" t="s">
        <v>30055</v>
      </c>
      <c r="G5942" t="s">
        <v>30058</v>
      </c>
      <c r="H5942" t="s">
        <v>15498</v>
      </c>
      <c r="I5942" t="s">
        <v>3736</v>
      </c>
      <c r="J5942" t="s">
        <v>33936</v>
      </c>
      <c r="K5942" t="s">
        <v>39017</v>
      </c>
      <c r="L5942" t="s">
        <v>1978</v>
      </c>
      <c r="M5942" t="s">
        <v>41419</v>
      </c>
      <c r="N5942" t="s">
        <v>43166</v>
      </c>
      <c r="O5942" t="s">
        <v>43167</v>
      </c>
      <c r="P5942">
        <v>0</v>
      </c>
      <c r="Q5942">
        <v>0</v>
      </c>
      <c r="R5942" t="s">
        <v>43172</v>
      </c>
      <c r="S5942" t="s">
        <v>43334</v>
      </c>
      <c r="T5942" t="s">
        <v>44781</v>
      </c>
      <c r="U5942" t="s">
        <v>50048</v>
      </c>
      <c r="W5942" t="s">
        <v>41419</v>
      </c>
      <c r="X5942" t="s">
        <v>43173</v>
      </c>
    </row>
    <row r="5943" spans="1:24">
      <c r="A5943">
        <f>HYPERLINK("https://www.philgeps.gov.ph/GEPSNONPILOT/Tender/SplashBidNoticeAbstractUI.aspx?menuIndex=3&amp;refID=7080679&amp;Result=3","7080679")</f>
        <v>0</v>
      </c>
      <c r="B5943" t="s">
        <v>1979</v>
      </c>
      <c r="C5943" t="s">
        <v>9074</v>
      </c>
      <c r="D5943" t="s">
        <v>17415</v>
      </c>
      <c r="E5943" t="s">
        <v>22632</v>
      </c>
      <c r="F5943" t="s">
        <v>30052</v>
      </c>
      <c r="G5943" t="s">
        <v>30059</v>
      </c>
      <c r="H5943" t="s">
        <v>15498</v>
      </c>
      <c r="I5943" t="s">
        <v>5961</v>
      </c>
      <c r="J5943" t="s">
        <v>30394</v>
      </c>
      <c r="K5943" t="s">
        <v>39025</v>
      </c>
      <c r="M5943" t="s">
        <v>41420</v>
      </c>
      <c r="N5943" t="s">
        <v>43166</v>
      </c>
      <c r="O5943" t="s">
        <v>43167</v>
      </c>
      <c r="P5943">
        <v>0</v>
      </c>
      <c r="Q5943">
        <v>12</v>
      </c>
      <c r="R5943" t="s">
        <v>43172</v>
      </c>
      <c r="S5943" t="s">
        <v>43334</v>
      </c>
      <c r="T5943" t="s">
        <v>44732</v>
      </c>
      <c r="U5943" t="s">
        <v>50049</v>
      </c>
      <c r="W5943" t="s">
        <v>41420</v>
      </c>
      <c r="X5943" t="s">
        <v>43173</v>
      </c>
    </row>
    <row r="5944" spans="1:24">
      <c r="A5944">
        <f>HYPERLINK("https://www.philgeps.gov.ph/GEPSNONPILOT/Tender/SplashBidNoticeAbstractUI.aspx?menuIndex=3&amp;refID=7080747&amp;Result=3","7080747")</f>
        <v>0</v>
      </c>
      <c r="B5944" t="s">
        <v>1974</v>
      </c>
      <c r="C5944" t="s">
        <v>9075</v>
      </c>
      <c r="D5944" t="s">
        <v>17435</v>
      </c>
      <c r="E5944" t="s">
        <v>22633</v>
      </c>
      <c r="F5944" t="s">
        <v>30052</v>
      </c>
      <c r="G5944" t="s">
        <v>30058</v>
      </c>
      <c r="H5944" t="s">
        <v>15498</v>
      </c>
      <c r="I5944" t="s">
        <v>3693</v>
      </c>
      <c r="J5944" t="s">
        <v>33937</v>
      </c>
      <c r="K5944" t="s">
        <v>39017</v>
      </c>
      <c r="M5944" t="s">
        <v>41415</v>
      </c>
      <c r="N5944" t="s">
        <v>43166</v>
      </c>
      <c r="O5944" t="s">
        <v>43167</v>
      </c>
      <c r="P5944">
        <v>0</v>
      </c>
      <c r="Q5944">
        <v>0</v>
      </c>
      <c r="R5944" t="s">
        <v>43172</v>
      </c>
      <c r="S5944" t="s">
        <v>43334</v>
      </c>
      <c r="T5944" t="s">
        <v>44710</v>
      </c>
      <c r="U5944" t="s">
        <v>50050</v>
      </c>
      <c r="V5944" t="s">
        <v>57457</v>
      </c>
      <c r="W5944" t="s">
        <v>41415</v>
      </c>
      <c r="X5944" t="s">
        <v>43173</v>
      </c>
    </row>
    <row r="5945" spans="1:24">
      <c r="A5945">
        <f>HYPERLINK("https://www.philgeps.gov.ph/GEPSNONPILOT/Tender/SplashBidNoticeAbstractUI.aspx?menuIndex=3&amp;refID=7080676&amp;Result=3","7080676")</f>
        <v>0</v>
      </c>
      <c r="B5945" t="s">
        <v>679</v>
      </c>
      <c r="C5945" t="s">
        <v>9076</v>
      </c>
      <c r="D5945" t="s">
        <v>17419</v>
      </c>
      <c r="E5945" t="s">
        <v>22634</v>
      </c>
      <c r="F5945" t="s">
        <v>30052</v>
      </c>
      <c r="G5945" t="s">
        <v>30058</v>
      </c>
      <c r="H5945" t="s">
        <v>15498</v>
      </c>
      <c r="I5945" t="s">
        <v>5961</v>
      </c>
      <c r="J5945" t="s">
        <v>30414</v>
      </c>
      <c r="K5945" t="s">
        <v>39034</v>
      </c>
      <c r="M5945" t="s">
        <v>39985</v>
      </c>
      <c r="N5945" t="s">
        <v>43166</v>
      </c>
      <c r="O5945" t="s">
        <v>43167</v>
      </c>
      <c r="P5945">
        <v>0</v>
      </c>
      <c r="Q5945">
        <v>0</v>
      </c>
      <c r="R5945" t="s">
        <v>43172</v>
      </c>
      <c r="S5945" t="s">
        <v>43334</v>
      </c>
      <c r="T5945" t="s">
        <v>44698</v>
      </c>
      <c r="U5945" t="s">
        <v>50051</v>
      </c>
      <c r="W5945" t="s">
        <v>39985</v>
      </c>
      <c r="X5945" t="s">
        <v>43173</v>
      </c>
    </row>
    <row r="5946" spans="1:24">
      <c r="A5946">
        <f>HYPERLINK("https://www.philgeps.gov.ph/GEPSNONPILOT/Tender/SplashBidNoticeAbstractUI.aspx?menuIndex=3&amp;refID=7080674&amp;Result=3","7080674")</f>
        <v>0</v>
      </c>
      <c r="B5946" t="s">
        <v>1980</v>
      </c>
      <c r="C5946" t="s">
        <v>9077</v>
      </c>
      <c r="D5946" t="s">
        <v>17435</v>
      </c>
      <c r="E5946" t="s">
        <v>22635</v>
      </c>
      <c r="F5946" t="s">
        <v>30052</v>
      </c>
      <c r="G5946" t="s">
        <v>30062</v>
      </c>
      <c r="H5946" t="s">
        <v>15498</v>
      </c>
      <c r="I5946" t="s">
        <v>30098</v>
      </c>
      <c r="J5946" t="s">
        <v>33938</v>
      </c>
      <c r="K5946" t="s">
        <v>39019</v>
      </c>
      <c r="M5946" t="s">
        <v>41421</v>
      </c>
      <c r="N5946" t="s">
        <v>43166</v>
      </c>
      <c r="O5946" t="s">
        <v>43167</v>
      </c>
      <c r="P5946">
        <v>0</v>
      </c>
      <c r="Q5946">
        <v>1</v>
      </c>
      <c r="R5946" t="s">
        <v>43172</v>
      </c>
      <c r="S5946" t="s">
        <v>43334</v>
      </c>
      <c r="T5946" t="s">
        <v>44705</v>
      </c>
      <c r="U5946" t="s">
        <v>50052</v>
      </c>
      <c r="W5946" t="s">
        <v>41421</v>
      </c>
      <c r="X5946" t="s">
        <v>43173</v>
      </c>
    </row>
    <row r="5947" spans="1:24">
      <c r="A5947">
        <f>HYPERLINK("https://www.philgeps.gov.ph/GEPSNONPILOT/Tender/SplashBidNoticeAbstractUI.aspx?menuIndex=3&amp;refID=7080745&amp;Result=3","7080745")</f>
        <v>0</v>
      </c>
      <c r="B5947" t="s">
        <v>1784</v>
      </c>
      <c r="C5947" t="s">
        <v>9078</v>
      </c>
      <c r="D5947" t="s">
        <v>17459</v>
      </c>
      <c r="E5947" t="s">
        <v>22636</v>
      </c>
      <c r="F5947" t="s">
        <v>30052</v>
      </c>
      <c r="G5947" t="s">
        <v>30058</v>
      </c>
      <c r="H5947" t="s">
        <v>30067</v>
      </c>
      <c r="I5947" t="s">
        <v>3693</v>
      </c>
      <c r="J5947" t="s">
        <v>33939</v>
      </c>
      <c r="K5947" t="s">
        <v>39092</v>
      </c>
      <c r="M5947" t="s">
        <v>41422</v>
      </c>
      <c r="N5947" t="s">
        <v>43166</v>
      </c>
      <c r="O5947" t="s">
        <v>43167</v>
      </c>
      <c r="P5947">
        <v>0</v>
      </c>
      <c r="Q5947">
        <v>0</v>
      </c>
      <c r="R5947" t="s">
        <v>43172</v>
      </c>
      <c r="S5947" t="s">
        <v>43334</v>
      </c>
      <c r="T5947" t="s">
        <v>44703</v>
      </c>
      <c r="U5947" t="s">
        <v>50053</v>
      </c>
      <c r="W5947" t="s">
        <v>41422</v>
      </c>
      <c r="X5947" t="s">
        <v>43173</v>
      </c>
    </row>
    <row r="5948" spans="1:24">
      <c r="A5948">
        <f>HYPERLINK("https://www.philgeps.gov.ph/GEPSNONPILOT/Tender/SplashBidNoticeAbstractUI.aspx?menuIndex=3&amp;refID=7080707&amp;Result=3","7080707")</f>
        <v>0</v>
      </c>
      <c r="B5948" t="s">
        <v>1974</v>
      </c>
      <c r="C5948" t="s">
        <v>9079</v>
      </c>
      <c r="D5948" t="s">
        <v>17435</v>
      </c>
      <c r="E5948" t="s">
        <v>22637</v>
      </c>
      <c r="F5948" t="s">
        <v>30052</v>
      </c>
      <c r="G5948" t="s">
        <v>30058</v>
      </c>
      <c r="H5948" t="s">
        <v>15498</v>
      </c>
      <c r="I5948" t="s">
        <v>4650</v>
      </c>
      <c r="J5948" t="s">
        <v>30218</v>
      </c>
      <c r="K5948" t="s">
        <v>39019</v>
      </c>
      <c r="M5948" t="s">
        <v>41415</v>
      </c>
      <c r="N5948" t="s">
        <v>43166</v>
      </c>
      <c r="O5948" t="s">
        <v>43167</v>
      </c>
      <c r="P5948">
        <v>0</v>
      </c>
      <c r="Q5948">
        <v>0</v>
      </c>
      <c r="R5948" t="s">
        <v>43172</v>
      </c>
      <c r="S5948" t="s">
        <v>43334</v>
      </c>
      <c r="T5948" t="s">
        <v>44710</v>
      </c>
      <c r="U5948" t="s">
        <v>50054</v>
      </c>
      <c r="V5948" t="s">
        <v>57457</v>
      </c>
      <c r="W5948" t="s">
        <v>41415</v>
      </c>
      <c r="X5948" t="s">
        <v>43173</v>
      </c>
    </row>
    <row r="5949" spans="1:24">
      <c r="A5949">
        <f>HYPERLINK("https://www.philgeps.gov.ph/GEPSNONPILOT/Tender/SplashBidNoticeAbstractUI.aspx?menuIndex=3&amp;refID=7080740&amp;Result=3","7080740")</f>
        <v>0</v>
      </c>
      <c r="B5949" t="s">
        <v>1960</v>
      </c>
      <c r="C5949" t="s">
        <v>9080</v>
      </c>
      <c r="D5949" t="s">
        <v>17427</v>
      </c>
      <c r="E5949" t="s">
        <v>9080</v>
      </c>
      <c r="F5949" t="s">
        <v>30052</v>
      </c>
      <c r="G5949" t="s">
        <v>30060</v>
      </c>
      <c r="H5949" t="s">
        <v>15498</v>
      </c>
      <c r="I5949" t="s">
        <v>30088</v>
      </c>
      <c r="J5949" t="s">
        <v>33940</v>
      </c>
      <c r="K5949" t="s">
        <v>39025</v>
      </c>
      <c r="M5949" t="s">
        <v>41397</v>
      </c>
      <c r="N5949" t="s">
        <v>43166</v>
      </c>
      <c r="O5949" t="s">
        <v>43167</v>
      </c>
      <c r="P5949">
        <v>0</v>
      </c>
      <c r="Q5949">
        <v>7</v>
      </c>
      <c r="R5949" t="s">
        <v>43172</v>
      </c>
      <c r="S5949" t="s">
        <v>43334</v>
      </c>
      <c r="T5949" t="s">
        <v>44859</v>
      </c>
      <c r="U5949" t="s">
        <v>49991</v>
      </c>
      <c r="V5949" t="s">
        <v>57451</v>
      </c>
      <c r="W5949" t="s">
        <v>41397</v>
      </c>
      <c r="X5949" t="s">
        <v>43173</v>
      </c>
    </row>
    <row r="5950" spans="1:24">
      <c r="A5950">
        <f>HYPERLINK("https://www.philgeps.gov.ph/GEPSNONPILOT/Tender/SplashBidNoticeAbstractUI.aspx?menuIndex=3&amp;refID=7080736&amp;Result=3","7080736")</f>
        <v>0</v>
      </c>
      <c r="B5950" t="s">
        <v>985</v>
      </c>
      <c r="C5950" t="s">
        <v>9081</v>
      </c>
      <c r="D5950" t="s">
        <v>17456</v>
      </c>
      <c r="E5950" t="s">
        <v>22638</v>
      </c>
      <c r="F5950" t="s">
        <v>30052</v>
      </c>
      <c r="G5950" t="s">
        <v>30059</v>
      </c>
      <c r="H5950" t="s">
        <v>15498</v>
      </c>
      <c r="I5950" t="s">
        <v>5961</v>
      </c>
      <c r="J5950" t="s">
        <v>33941</v>
      </c>
      <c r="K5950" t="s">
        <v>39017</v>
      </c>
      <c r="M5950" t="s">
        <v>40312</v>
      </c>
      <c r="N5950" t="s">
        <v>43166</v>
      </c>
      <c r="O5950" t="s">
        <v>43167</v>
      </c>
      <c r="P5950">
        <v>0</v>
      </c>
      <c r="Q5950">
        <v>3</v>
      </c>
      <c r="R5950" t="s">
        <v>43172</v>
      </c>
      <c r="S5950" t="s">
        <v>43334</v>
      </c>
      <c r="T5950" t="s">
        <v>44862</v>
      </c>
      <c r="U5950" t="s">
        <v>47246</v>
      </c>
      <c r="W5950" t="s">
        <v>40312</v>
      </c>
      <c r="X5950" t="s">
        <v>43173</v>
      </c>
    </row>
    <row r="5951" spans="1:24">
      <c r="A5951">
        <f>HYPERLINK("https://www.philgeps.gov.ph/GEPSNONPILOT/Tender/SplashBidNoticeAbstractUI.aspx?menuIndex=3&amp;refID=7080749&amp;Result=3","7080749")</f>
        <v>0</v>
      </c>
      <c r="B5951" t="s">
        <v>1981</v>
      </c>
      <c r="C5951" t="s">
        <v>9082</v>
      </c>
      <c r="D5951" t="s">
        <v>17456</v>
      </c>
      <c r="E5951" t="s">
        <v>22639</v>
      </c>
      <c r="F5951" t="s">
        <v>30052</v>
      </c>
      <c r="G5951" t="s">
        <v>30058</v>
      </c>
      <c r="H5951" t="s">
        <v>15498</v>
      </c>
      <c r="I5951" t="s">
        <v>30163</v>
      </c>
      <c r="J5951" t="s">
        <v>33942</v>
      </c>
      <c r="K5951" t="s">
        <v>39019</v>
      </c>
      <c r="M5951" t="s">
        <v>41423</v>
      </c>
      <c r="N5951" t="s">
        <v>43166</v>
      </c>
      <c r="O5951" t="s">
        <v>43167</v>
      </c>
      <c r="P5951">
        <v>0</v>
      </c>
      <c r="Q5951">
        <v>2</v>
      </c>
      <c r="R5951" t="s">
        <v>43172</v>
      </c>
      <c r="S5951" t="s">
        <v>43334</v>
      </c>
      <c r="T5951" t="s">
        <v>45033</v>
      </c>
      <c r="U5951" t="s">
        <v>50055</v>
      </c>
      <c r="W5951" t="s">
        <v>41423</v>
      </c>
      <c r="X5951" t="s">
        <v>43173</v>
      </c>
    </row>
    <row r="5952" spans="1:24">
      <c r="A5952">
        <f>HYPERLINK("https://www.philgeps.gov.ph/GEPSNONPILOT/Tender/SplashBidNoticeAbstractUI.aspx?menuIndex=3&amp;refID=7080735&amp;Result=3","7080735")</f>
        <v>0</v>
      </c>
      <c r="B5952" t="s">
        <v>1982</v>
      </c>
      <c r="C5952" t="s">
        <v>9083</v>
      </c>
      <c r="D5952" t="s">
        <v>17415</v>
      </c>
      <c r="E5952" t="s">
        <v>17540</v>
      </c>
      <c r="F5952" t="s">
        <v>30052</v>
      </c>
      <c r="G5952" t="s">
        <v>30058</v>
      </c>
      <c r="H5952" t="s">
        <v>15498</v>
      </c>
      <c r="I5952" t="s">
        <v>4119</v>
      </c>
      <c r="J5952" t="s">
        <v>33943</v>
      </c>
      <c r="K5952" t="s">
        <v>39031</v>
      </c>
      <c r="M5952" t="s">
        <v>41424</v>
      </c>
      <c r="N5952" t="s">
        <v>43166</v>
      </c>
      <c r="O5952" t="s">
        <v>43167</v>
      </c>
      <c r="P5952">
        <v>0</v>
      </c>
      <c r="Q5952">
        <v>2</v>
      </c>
      <c r="R5952" t="s">
        <v>43172</v>
      </c>
      <c r="S5952" t="s">
        <v>43334</v>
      </c>
      <c r="T5952" t="s">
        <v>44689</v>
      </c>
      <c r="U5952" t="s">
        <v>50056</v>
      </c>
      <c r="W5952" t="s">
        <v>41424</v>
      </c>
      <c r="X5952" t="s">
        <v>43173</v>
      </c>
    </row>
    <row r="5953" spans="1:24">
      <c r="A5953">
        <f>HYPERLINK("https://www.philgeps.gov.ph/GEPSNONPILOT/Tender/SplashBidNoticeAbstractUI.aspx?menuIndex=3&amp;refID=7080730&amp;Result=3","7080730")</f>
        <v>0</v>
      </c>
      <c r="B5953" t="s">
        <v>679</v>
      </c>
      <c r="C5953" t="s">
        <v>9084</v>
      </c>
      <c r="D5953" t="s">
        <v>17419</v>
      </c>
      <c r="E5953" t="s">
        <v>22640</v>
      </c>
      <c r="F5953" t="s">
        <v>30052</v>
      </c>
      <c r="G5953" t="s">
        <v>30058</v>
      </c>
      <c r="H5953" t="s">
        <v>15498</v>
      </c>
      <c r="I5953" t="s">
        <v>30083</v>
      </c>
      <c r="J5953" t="s">
        <v>33944</v>
      </c>
      <c r="K5953" t="s">
        <v>39034</v>
      </c>
      <c r="M5953" t="s">
        <v>39985</v>
      </c>
      <c r="N5953" t="s">
        <v>43166</v>
      </c>
      <c r="O5953" t="s">
        <v>43167</v>
      </c>
      <c r="P5953">
        <v>0</v>
      </c>
      <c r="Q5953">
        <v>0</v>
      </c>
      <c r="R5953" t="s">
        <v>43172</v>
      </c>
      <c r="S5953" t="s">
        <v>43334</v>
      </c>
      <c r="T5953" t="s">
        <v>44698</v>
      </c>
      <c r="U5953" t="s">
        <v>49903</v>
      </c>
      <c r="W5953" t="s">
        <v>39985</v>
      </c>
      <c r="X5953" t="s">
        <v>43173</v>
      </c>
    </row>
    <row r="5954" spans="1:24">
      <c r="A5954">
        <f>HYPERLINK("https://www.philgeps.gov.ph/GEPSNONPILOT/Tender/SplashBidNoticeAbstractUI.aspx?menuIndex=3&amp;refID=7080729&amp;Result=3","7080729")</f>
        <v>0</v>
      </c>
      <c r="B5954" t="s">
        <v>701</v>
      </c>
      <c r="C5954" t="s">
        <v>9085</v>
      </c>
      <c r="D5954" t="s">
        <v>17419</v>
      </c>
      <c r="E5954" t="s">
        <v>22641</v>
      </c>
      <c r="F5954" t="s">
        <v>30052</v>
      </c>
      <c r="G5954" t="s">
        <v>30061</v>
      </c>
      <c r="H5954" t="s">
        <v>15498</v>
      </c>
      <c r="I5954" t="s">
        <v>3606</v>
      </c>
      <c r="J5954" t="s">
        <v>33945</v>
      </c>
      <c r="K5954" t="s">
        <v>39025</v>
      </c>
      <c r="M5954" t="s">
        <v>40858</v>
      </c>
      <c r="N5954" t="s">
        <v>43166</v>
      </c>
      <c r="O5954" t="s">
        <v>43167</v>
      </c>
      <c r="P5954">
        <v>0</v>
      </c>
      <c r="Q5954">
        <v>1</v>
      </c>
      <c r="R5954" t="s">
        <v>43172</v>
      </c>
      <c r="S5954" t="s">
        <v>43334</v>
      </c>
      <c r="T5954" t="s">
        <v>44717</v>
      </c>
      <c r="U5954" t="s">
        <v>50057</v>
      </c>
      <c r="W5954" t="s">
        <v>40858</v>
      </c>
      <c r="X5954" t="s">
        <v>43173</v>
      </c>
    </row>
    <row r="5955" spans="1:24">
      <c r="A5955">
        <f>HYPERLINK("https://www.philgeps.gov.ph/GEPSNONPILOT/Tender/SplashBidNoticeAbstractUI.aspx?menuIndex=3&amp;refID=7080727&amp;Result=3","7080727")</f>
        <v>0</v>
      </c>
      <c r="B5955" t="s">
        <v>1916</v>
      </c>
      <c r="C5955" t="s">
        <v>9086</v>
      </c>
      <c r="D5955" t="s">
        <v>17436</v>
      </c>
      <c r="E5955" t="s">
        <v>22642</v>
      </c>
      <c r="F5955" t="s">
        <v>30052</v>
      </c>
      <c r="G5955" t="s">
        <v>30060</v>
      </c>
      <c r="H5955" t="s">
        <v>30067</v>
      </c>
      <c r="I5955" t="s">
        <v>3693</v>
      </c>
      <c r="J5955" t="s">
        <v>33946</v>
      </c>
      <c r="K5955" t="s">
        <v>39031</v>
      </c>
      <c r="M5955" t="s">
        <v>41347</v>
      </c>
      <c r="N5955" t="s">
        <v>43166</v>
      </c>
      <c r="O5955" t="s">
        <v>43167</v>
      </c>
      <c r="P5955">
        <v>0</v>
      </c>
      <c r="Q5955">
        <v>0</v>
      </c>
      <c r="R5955" t="s">
        <v>43172</v>
      </c>
      <c r="S5955" t="s">
        <v>43334</v>
      </c>
      <c r="T5955" t="s">
        <v>44691</v>
      </c>
      <c r="U5955" t="s">
        <v>50058</v>
      </c>
      <c r="V5955" t="s">
        <v>57438</v>
      </c>
      <c r="W5955" t="s">
        <v>41347</v>
      </c>
      <c r="X5955" t="s">
        <v>43173</v>
      </c>
    </row>
    <row r="5956" spans="1:24">
      <c r="A5956">
        <f>HYPERLINK("https://www.philgeps.gov.ph/GEPSNONPILOT/Tender/SplashBidNoticeAbstractUI.aspx?menuIndex=3&amp;refID=7080725&amp;Result=3","7080725")</f>
        <v>0</v>
      </c>
      <c r="B5956" t="s">
        <v>1974</v>
      </c>
      <c r="C5956" t="s">
        <v>9087</v>
      </c>
      <c r="D5956" t="s">
        <v>17435</v>
      </c>
      <c r="E5956" t="s">
        <v>22643</v>
      </c>
      <c r="F5956" t="s">
        <v>30052</v>
      </c>
      <c r="G5956" t="s">
        <v>30058</v>
      </c>
      <c r="H5956" t="s">
        <v>30067</v>
      </c>
      <c r="I5956" t="s">
        <v>3693</v>
      </c>
      <c r="J5956" t="s">
        <v>33937</v>
      </c>
      <c r="K5956" t="s">
        <v>39029</v>
      </c>
      <c r="M5956" t="s">
        <v>41415</v>
      </c>
      <c r="N5956" t="s">
        <v>43166</v>
      </c>
      <c r="O5956" t="s">
        <v>43167</v>
      </c>
      <c r="P5956">
        <v>0</v>
      </c>
      <c r="Q5956">
        <v>0</v>
      </c>
      <c r="R5956" t="s">
        <v>43172</v>
      </c>
      <c r="S5956" t="s">
        <v>43334</v>
      </c>
      <c r="T5956" t="s">
        <v>44710</v>
      </c>
      <c r="U5956" t="s">
        <v>50050</v>
      </c>
      <c r="V5956" t="s">
        <v>57457</v>
      </c>
      <c r="W5956" t="s">
        <v>41415</v>
      </c>
      <c r="X5956" t="s">
        <v>43173</v>
      </c>
    </row>
    <row r="5957" spans="1:24">
      <c r="A5957">
        <f>HYPERLINK("https://www.philgeps.gov.ph/GEPSNONPILOT/Tender/SplashBidNoticeAbstractUI.aspx?menuIndex=3&amp;refID=7080723&amp;Result=3","7080723")</f>
        <v>0</v>
      </c>
      <c r="B5957" t="s">
        <v>1983</v>
      </c>
      <c r="C5957" t="s">
        <v>9088</v>
      </c>
      <c r="D5957" t="s">
        <v>17443</v>
      </c>
      <c r="E5957" t="s">
        <v>22644</v>
      </c>
      <c r="F5957" t="s">
        <v>30052</v>
      </c>
      <c r="G5957" t="s">
        <v>30059</v>
      </c>
      <c r="H5957" t="s">
        <v>15498</v>
      </c>
      <c r="I5957" t="s">
        <v>30078</v>
      </c>
      <c r="J5957" t="s">
        <v>30292</v>
      </c>
      <c r="K5957" t="s">
        <v>39019</v>
      </c>
      <c r="M5957" t="s">
        <v>41425</v>
      </c>
      <c r="N5957" t="s">
        <v>43166</v>
      </c>
      <c r="O5957" t="s">
        <v>43167</v>
      </c>
      <c r="P5957">
        <v>0</v>
      </c>
      <c r="Q5957">
        <v>0</v>
      </c>
      <c r="R5957" t="s">
        <v>43172</v>
      </c>
      <c r="S5957" t="s">
        <v>43334</v>
      </c>
      <c r="T5957" t="s">
        <v>44870</v>
      </c>
      <c r="U5957" t="s">
        <v>50059</v>
      </c>
      <c r="W5957" t="s">
        <v>41425</v>
      </c>
      <c r="X5957" t="s">
        <v>43173</v>
      </c>
    </row>
    <row r="5958" spans="1:24">
      <c r="A5958">
        <f>HYPERLINK("https://www.philgeps.gov.ph/GEPSNONPILOT/Tender/SplashBidNoticeAbstractUI.aspx?menuIndex=3&amp;refID=7080720&amp;Result=3","7080720")</f>
        <v>0</v>
      </c>
      <c r="B5958" t="s">
        <v>1984</v>
      </c>
      <c r="C5958" t="s">
        <v>9089</v>
      </c>
      <c r="D5958" t="s">
        <v>17421</v>
      </c>
      <c r="E5958" t="s">
        <v>22645</v>
      </c>
      <c r="F5958" t="s">
        <v>30052</v>
      </c>
      <c r="G5958" t="s">
        <v>30062</v>
      </c>
      <c r="H5958" t="s">
        <v>15498</v>
      </c>
      <c r="I5958" t="s">
        <v>30070</v>
      </c>
      <c r="J5958" t="s">
        <v>33947</v>
      </c>
      <c r="K5958" t="s">
        <v>39019</v>
      </c>
      <c r="M5958" t="s">
        <v>41426</v>
      </c>
      <c r="N5958" t="s">
        <v>43166</v>
      </c>
      <c r="O5958" t="s">
        <v>43167</v>
      </c>
      <c r="P5958">
        <v>0</v>
      </c>
      <c r="Q5958">
        <v>2</v>
      </c>
      <c r="R5958" t="s">
        <v>43172</v>
      </c>
      <c r="S5958" t="s">
        <v>43334</v>
      </c>
      <c r="T5958" t="s">
        <v>44714</v>
      </c>
      <c r="U5958" t="s">
        <v>50060</v>
      </c>
      <c r="W5958" t="s">
        <v>41426</v>
      </c>
      <c r="X5958" t="s">
        <v>43173</v>
      </c>
    </row>
    <row r="5959" spans="1:24">
      <c r="A5959">
        <f>HYPERLINK("https://www.philgeps.gov.ph/GEPSNONPILOT/Tender/SplashBidNoticeAbstractUI.aspx?menuIndex=3&amp;refID=7080738&amp;Result=3","7080738")</f>
        <v>0</v>
      </c>
      <c r="B5959" t="s">
        <v>1985</v>
      </c>
      <c r="C5959" t="s">
        <v>9090</v>
      </c>
      <c r="E5959" t="s">
        <v>22646</v>
      </c>
      <c r="F5959" t="s">
        <v>30052</v>
      </c>
      <c r="G5959" t="s">
        <v>30061</v>
      </c>
      <c r="H5959" t="s">
        <v>15498</v>
      </c>
      <c r="I5959" t="s">
        <v>30190</v>
      </c>
      <c r="J5959" t="s">
        <v>33948</v>
      </c>
      <c r="K5959" t="s">
        <v>39017</v>
      </c>
      <c r="M5959" t="s">
        <v>41427</v>
      </c>
      <c r="N5959" t="s">
        <v>43166</v>
      </c>
      <c r="O5959" t="s">
        <v>43167</v>
      </c>
      <c r="P5959">
        <v>0</v>
      </c>
      <c r="Q5959">
        <v>1</v>
      </c>
      <c r="R5959" t="s">
        <v>43172</v>
      </c>
      <c r="S5959" t="s">
        <v>43334</v>
      </c>
      <c r="T5959" t="s">
        <v>44773</v>
      </c>
      <c r="U5959" t="s">
        <v>50061</v>
      </c>
      <c r="W5959" t="s">
        <v>41427</v>
      </c>
      <c r="X5959" t="s">
        <v>43173</v>
      </c>
    </row>
    <row r="5960" spans="1:24">
      <c r="A5960">
        <f>HYPERLINK("https://www.philgeps.gov.ph/GEPSNONPILOT/Tender/SplashBidNoticeAbstractUI.aspx?menuIndex=3&amp;refID=7080719&amp;Result=3","7080719")</f>
        <v>0</v>
      </c>
      <c r="B5960" t="s">
        <v>1975</v>
      </c>
      <c r="C5960" t="s">
        <v>9091</v>
      </c>
      <c r="D5960" t="s">
        <v>17476</v>
      </c>
      <c r="E5960" t="s">
        <v>22647</v>
      </c>
      <c r="F5960" t="s">
        <v>30052</v>
      </c>
      <c r="G5960" t="s">
        <v>30058</v>
      </c>
      <c r="H5960" t="s">
        <v>15498</v>
      </c>
      <c r="I5960" t="s">
        <v>3736</v>
      </c>
      <c r="J5960" t="s">
        <v>33181</v>
      </c>
      <c r="K5960" t="s">
        <v>39029</v>
      </c>
      <c r="M5960" t="s">
        <v>41416</v>
      </c>
      <c r="N5960" t="s">
        <v>43166</v>
      </c>
      <c r="O5960" t="s">
        <v>43167</v>
      </c>
      <c r="P5960">
        <v>0</v>
      </c>
      <c r="Q5960">
        <v>0</v>
      </c>
      <c r="R5960" t="s">
        <v>43172</v>
      </c>
      <c r="S5960" t="s">
        <v>43334</v>
      </c>
      <c r="T5960" t="s">
        <v>44796</v>
      </c>
      <c r="U5960" t="s">
        <v>50062</v>
      </c>
      <c r="W5960" t="s">
        <v>41416</v>
      </c>
      <c r="X5960" t="s">
        <v>43173</v>
      </c>
    </row>
    <row r="5961" spans="1:24">
      <c r="A5961">
        <f>HYPERLINK("https://www.philgeps.gov.ph/GEPSNONPILOT/Tender/SplashBidNoticeAbstractUI.aspx?menuIndex=3&amp;refID=7080731&amp;Result=3","7080731")</f>
        <v>0</v>
      </c>
      <c r="B5961" t="s">
        <v>946</v>
      </c>
      <c r="C5961" t="s">
        <v>9092</v>
      </c>
      <c r="D5961" t="s">
        <v>17456</v>
      </c>
      <c r="E5961" t="s">
        <v>22648</v>
      </c>
      <c r="F5961" t="s">
        <v>30052</v>
      </c>
      <c r="G5961" t="s">
        <v>30059</v>
      </c>
      <c r="H5961" t="s">
        <v>15498</v>
      </c>
      <c r="I5961" t="s">
        <v>30084</v>
      </c>
      <c r="J5961" t="s">
        <v>33949</v>
      </c>
      <c r="K5961" t="s">
        <v>39017</v>
      </c>
      <c r="M5961" t="s">
        <v>40270</v>
      </c>
      <c r="N5961" t="s">
        <v>43166</v>
      </c>
      <c r="O5961" t="s">
        <v>43167</v>
      </c>
      <c r="P5961">
        <v>0</v>
      </c>
      <c r="Q5961">
        <v>1</v>
      </c>
      <c r="R5961" t="s">
        <v>43172</v>
      </c>
      <c r="S5961" t="s">
        <v>43334</v>
      </c>
      <c r="T5961" t="s">
        <v>44844</v>
      </c>
      <c r="U5961" t="s">
        <v>50063</v>
      </c>
      <c r="W5961" t="s">
        <v>40270</v>
      </c>
      <c r="X5961" t="s">
        <v>43173</v>
      </c>
    </row>
    <row r="5962" spans="1:24">
      <c r="A5962">
        <f>HYPERLINK("https://www.philgeps.gov.ph/GEPSNONPILOT/Tender/SplashBidNoticeAbstractUI.aspx?menuIndex=3&amp;refID=7080711&amp;Result=3","7080711")</f>
        <v>0</v>
      </c>
      <c r="B5962" t="s">
        <v>1986</v>
      </c>
      <c r="C5962" t="s">
        <v>9093</v>
      </c>
      <c r="D5962" t="s">
        <v>17435</v>
      </c>
      <c r="E5962" t="s">
        <v>21642</v>
      </c>
      <c r="F5962" t="s">
        <v>30052</v>
      </c>
      <c r="G5962" t="s">
        <v>30058</v>
      </c>
      <c r="H5962" t="s">
        <v>30067</v>
      </c>
      <c r="I5962" t="s">
        <v>3693</v>
      </c>
      <c r="J5962" t="s">
        <v>33950</v>
      </c>
      <c r="K5962" t="s">
        <v>39037</v>
      </c>
      <c r="M5962" t="s">
        <v>41428</v>
      </c>
      <c r="N5962" t="s">
        <v>43166</v>
      </c>
      <c r="O5962" t="s">
        <v>43167</v>
      </c>
      <c r="P5962">
        <v>0</v>
      </c>
      <c r="Q5962">
        <v>0</v>
      </c>
      <c r="R5962" t="s">
        <v>43172</v>
      </c>
      <c r="S5962" t="s">
        <v>43334</v>
      </c>
      <c r="T5962" t="s">
        <v>44724</v>
      </c>
      <c r="U5962" t="s">
        <v>50064</v>
      </c>
      <c r="W5962" t="s">
        <v>41428</v>
      </c>
      <c r="X5962" t="s">
        <v>43173</v>
      </c>
    </row>
    <row r="5963" spans="1:24">
      <c r="A5963">
        <f>HYPERLINK("https://www.philgeps.gov.ph/GEPSNONPILOT/Tender/SplashBidNoticeAbstractUI.aspx?menuIndex=3&amp;refID=7080746&amp;Result=3","7080746")</f>
        <v>0</v>
      </c>
      <c r="B5963" t="s">
        <v>1417</v>
      </c>
      <c r="C5963" t="s">
        <v>9094</v>
      </c>
      <c r="D5963" t="s">
        <v>17441</v>
      </c>
      <c r="E5963" t="s">
        <v>22649</v>
      </c>
      <c r="F5963" t="s">
        <v>30052</v>
      </c>
      <c r="G5963" t="s">
        <v>30059</v>
      </c>
      <c r="H5963" t="s">
        <v>15498</v>
      </c>
      <c r="I5963" t="s">
        <v>30076</v>
      </c>
      <c r="J5963" t="s">
        <v>30230</v>
      </c>
      <c r="K5963" t="s">
        <v>39034</v>
      </c>
      <c r="M5963" t="s">
        <v>40795</v>
      </c>
      <c r="N5963" t="s">
        <v>43166</v>
      </c>
      <c r="O5963" t="s">
        <v>43167</v>
      </c>
      <c r="P5963">
        <v>0</v>
      </c>
      <c r="Q5963">
        <v>8</v>
      </c>
      <c r="R5963" t="s">
        <v>43172</v>
      </c>
      <c r="S5963" t="s">
        <v>43334</v>
      </c>
      <c r="T5963" t="s">
        <v>44773</v>
      </c>
      <c r="U5963" t="s">
        <v>50065</v>
      </c>
      <c r="W5963" t="s">
        <v>40795</v>
      </c>
      <c r="X5963" t="s">
        <v>43173</v>
      </c>
    </row>
    <row r="5964" spans="1:24">
      <c r="A5964">
        <f>HYPERLINK("https://www.philgeps.gov.ph/GEPSNONPILOT/Tender/SplashBidNoticeAbstractUI.aspx?menuIndex=3&amp;refID=7080619&amp;Result=3","7080619")</f>
        <v>0</v>
      </c>
      <c r="B5964" t="s">
        <v>969</v>
      </c>
      <c r="C5964" t="s">
        <v>9095</v>
      </c>
      <c r="D5964" t="s">
        <v>17449</v>
      </c>
      <c r="E5964" t="s">
        <v>22650</v>
      </c>
      <c r="F5964" t="s">
        <v>30052</v>
      </c>
      <c r="G5964" t="s">
        <v>30058</v>
      </c>
      <c r="H5964" t="s">
        <v>30067</v>
      </c>
      <c r="I5964" t="s">
        <v>3693</v>
      </c>
      <c r="J5964" t="s">
        <v>30252</v>
      </c>
      <c r="K5964" t="s">
        <v>39073</v>
      </c>
      <c r="M5964" t="s">
        <v>40295</v>
      </c>
      <c r="N5964" t="s">
        <v>43166</v>
      </c>
      <c r="O5964" t="s">
        <v>43167</v>
      </c>
      <c r="P5964">
        <v>0</v>
      </c>
      <c r="Q5964">
        <v>1</v>
      </c>
      <c r="R5964" t="s">
        <v>43172</v>
      </c>
      <c r="S5964" t="s">
        <v>43334</v>
      </c>
      <c r="T5964" t="s">
        <v>44945</v>
      </c>
      <c r="U5964" t="s">
        <v>50066</v>
      </c>
      <c r="W5964" t="s">
        <v>40295</v>
      </c>
      <c r="X5964" t="s">
        <v>43173</v>
      </c>
    </row>
    <row r="5965" spans="1:24">
      <c r="A5965">
        <f>HYPERLINK("https://www.philgeps.gov.ph/GEPSNONPILOT/Tender/SplashBidNoticeAbstractUI.aspx?menuIndex=3&amp;refID=7080724&amp;Result=3","7080724")</f>
        <v>0</v>
      </c>
      <c r="B5965" t="s">
        <v>1987</v>
      </c>
      <c r="C5965" t="s">
        <v>8066</v>
      </c>
      <c r="D5965" t="s">
        <v>17435</v>
      </c>
      <c r="E5965" t="s">
        <v>17882</v>
      </c>
      <c r="F5965" t="s">
        <v>30054</v>
      </c>
      <c r="G5965" t="s">
        <v>30058</v>
      </c>
      <c r="H5965" t="s">
        <v>30067</v>
      </c>
      <c r="I5965" t="s">
        <v>3693</v>
      </c>
      <c r="J5965" t="s">
        <v>33951</v>
      </c>
      <c r="K5965" t="s">
        <v>39029</v>
      </c>
      <c r="M5965" t="s">
        <v>41429</v>
      </c>
      <c r="N5965" t="s">
        <v>43166</v>
      </c>
      <c r="O5965" t="s">
        <v>43167</v>
      </c>
      <c r="P5965">
        <v>0</v>
      </c>
      <c r="Q5965">
        <v>0</v>
      </c>
      <c r="R5965" t="s">
        <v>43172</v>
      </c>
      <c r="S5965" t="s">
        <v>43334</v>
      </c>
      <c r="T5965" t="s">
        <v>44690</v>
      </c>
      <c r="U5965" t="s">
        <v>50067</v>
      </c>
      <c r="W5965" t="s">
        <v>41429</v>
      </c>
      <c r="X5965" t="s">
        <v>43173</v>
      </c>
    </row>
    <row r="5966" spans="1:24">
      <c r="A5966">
        <f>HYPERLINK("https://www.philgeps.gov.ph/GEPSNONPILOT/Tender/SplashBidNoticeAbstractUI.aspx?menuIndex=3&amp;refID=7080370&amp;Result=3","7080370")</f>
        <v>0</v>
      </c>
      <c r="B5966" t="s">
        <v>1948</v>
      </c>
      <c r="C5966" t="s">
        <v>9096</v>
      </c>
      <c r="D5966" t="s">
        <v>17463</v>
      </c>
      <c r="E5966" t="s">
        <v>22651</v>
      </c>
      <c r="F5966" t="s">
        <v>30052</v>
      </c>
      <c r="G5966" t="s">
        <v>30058</v>
      </c>
      <c r="H5966" t="s">
        <v>30067</v>
      </c>
      <c r="I5966" t="s">
        <v>3693</v>
      </c>
      <c r="J5966" t="s">
        <v>30397</v>
      </c>
      <c r="K5966" t="s">
        <v>39080</v>
      </c>
      <c r="L5966" t="s">
        <v>1948</v>
      </c>
      <c r="M5966" t="s">
        <v>41385</v>
      </c>
      <c r="N5966" t="s">
        <v>43166</v>
      </c>
      <c r="O5966" t="s">
        <v>43167</v>
      </c>
      <c r="P5966">
        <v>0</v>
      </c>
      <c r="Q5966">
        <v>4</v>
      </c>
      <c r="R5966" t="s">
        <v>43172</v>
      </c>
      <c r="S5966" t="s">
        <v>43334</v>
      </c>
      <c r="T5966" t="s">
        <v>44720</v>
      </c>
      <c r="U5966" t="s">
        <v>50068</v>
      </c>
      <c r="W5966" t="s">
        <v>41385</v>
      </c>
      <c r="X5966" t="s">
        <v>43173</v>
      </c>
    </row>
    <row r="5967" spans="1:24">
      <c r="A5967">
        <f>HYPERLINK("https://www.philgeps.gov.ph/GEPSNONPILOT/Tender/SplashBidNoticeAbstractUI.aspx?menuIndex=3&amp;refID=7080631&amp;Result=3","7080631")</f>
        <v>0</v>
      </c>
      <c r="B5967" t="s">
        <v>1963</v>
      </c>
      <c r="C5967" t="s">
        <v>9097</v>
      </c>
      <c r="D5967" t="s">
        <v>17427</v>
      </c>
      <c r="E5967" t="s">
        <v>21605</v>
      </c>
      <c r="F5967" t="s">
        <v>30052</v>
      </c>
      <c r="G5967" t="s">
        <v>30058</v>
      </c>
      <c r="H5967" t="s">
        <v>30067</v>
      </c>
      <c r="I5967" t="s">
        <v>3736</v>
      </c>
      <c r="J5967" t="s">
        <v>30402</v>
      </c>
      <c r="K5967" t="s">
        <v>39029</v>
      </c>
      <c r="M5967" t="s">
        <v>41400</v>
      </c>
      <c r="N5967" t="s">
        <v>43166</v>
      </c>
      <c r="O5967" t="s">
        <v>43167</v>
      </c>
      <c r="P5967">
        <v>0</v>
      </c>
      <c r="Q5967">
        <v>0</v>
      </c>
      <c r="R5967" t="s">
        <v>43172</v>
      </c>
      <c r="S5967" t="s">
        <v>43334</v>
      </c>
      <c r="T5967" t="s">
        <v>45031</v>
      </c>
      <c r="U5967" t="s">
        <v>50069</v>
      </c>
      <c r="V5967" t="s">
        <v>57458</v>
      </c>
      <c r="W5967" t="s">
        <v>41400</v>
      </c>
      <c r="X5967" t="s">
        <v>43173</v>
      </c>
    </row>
    <row r="5968" spans="1:24">
      <c r="A5968">
        <f>HYPERLINK("https://www.philgeps.gov.ph/GEPSNONPILOT/Tender/SplashBidNoticeAbstractUI.aspx?menuIndex=3&amp;refID=7080755&amp;Result=3","7080755")</f>
        <v>0</v>
      </c>
      <c r="B5968" t="s">
        <v>1505</v>
      </c>
      <c r="C5968" t="s">
        <v>9098</v>
      </c>
      <c r="D5968" t="s">
        <v>17462</v>
      </c>
      <c r="E5968" t="s">
        <v>22652</v>
      </c>
      <c r="F5968" t="s">
        <v>30052</v>
      </c>
      <c r="G5968" t="s">
        <v>30058</v>
      </c>
      <c r="H5968" t="s">
        <v>30067</v>
      </c>
      <c r="I5968" t="s">
        <v>3693</v>
      </c>
      <c r="J5968" t="s">
        <v>31160</v>
      </c>
      <c r="K5968" t="s">
        <v>39065</v>
      </c>
      <c r="M5968" t="s">
        <v>40889</v>
      </c>
      <c r="N5968" t="s">
        <v>43166</v>
      </c>
      <c r="O5968" t="s">
        <v>43167</v>
      </c>
      <c r="P5968">
        <v>0</v>
      </c>
      <c r="Q5968">
        <v>11</v>
      </c>
      <c r="R5968" t="s">
        <v>43172</v>
      </c>
      <c r="S5968" t="s">
        <v>43334</v>
      </c>
      <c r="T5968" t="s">
        <v>44842</v>
      </c>
      <c r="U5968" t="s">
        <v>49934</v>
      </c>
      <c r="W5968" t="s">
        <v>58641</v>
      </c>
      <c r="X5968" t="s">
        <v>43173</v>
      </c>
    </row>
    <row r="5969" spans="1:24">
      <c r="A5969">
        <f>HYPERLINK("https://www.philgeps.gov.ph/GEPSNONPILOT/Tender/SplashBidNoticeAbstractUI.aspx?menuIndex=3&amp;refID=7080672&amp;Result=3","7080672")</f>
        <v>0</v>
      </c>
      <c r="B5969" t="s">
        <v>1853</v>
      </c>
      <c r="C5969" t="s">
        <v>9099</v>
      </c>
      <c r="D5969" t="s">
        <v>17464</v>
      </c>
      <c r="E5969" t="s">
        <v>22653</v>
      </c>
      <c r="F5969" t="s">
        <v>30052</v>
      </c>
      <c r="G5969" t="s">
        <v>30058</v>
      </c>
      <c r="H5969" t="s">
        <v>30067</v>
      </c>
      <c r="I5969" t="s">
        <v>3693</v>
      </c>
      <c r="J5969" t="s">
        <v>30277</v>
      </c>
      <c r="K5969" t="s">
        <v>39025</v>
      </c>
      <c r="M5969" t="s">
        <v>41281</v>
      </c>
      <c r="N5969" t="s">
        <v>43166</v>
      </c>
      <c r="O5969" t="s">
        <v>43167</v>
      </c>
      <c r="P5969">
        <v>0</v>
      </c>
      <c r="Q5969">
        <v>0</v>
      </c>
      <c r="R5969" t="s">
        <v>43172</v>
      </c>
      <c r="S5969" t="s">
        <v>43334</v>
      </c>
      <c r="T5969" t="s">
        <v>44806</v>
      </c>
      <c r="U5969" t="s">
        <v>50070</v>
      </c>
      <c r="W5969" t="s">
        <v>41281</v>
      </c>
      <c r="X5969" t="s">
        <v>43173</v>
      </c>
    </row>
    <row r="5970" spans="1:24">
      <c r="A5970">
        <f>HYPERLINK("https://www.philgeps.gov.ph/GEPSNONPILOT/Tender/SplashBidNoticeAbstractUI.aspx?menuIndex=3&amp;refID=7080779&amp;Result=3","7080779")</f>
        <v>0</v>
      </c>
      <c r="B5970" t="s">
        <v>1963</v>
      </c>
      <c r="C5970" t="s">
        <v>9100</v>
      </c>
      <c r="D5970" t="s">
        <v>17427</v>
      </c>
      <c r="E5970" t="s">
        <v>22654</v>
      </c>
      <c r="F5970" t="s">
        <v>30052</v>
      </c>
      <c r="G5970" t="s">
        <v>30058</v>
      </c>
      <c r="H5970" t="s">
        <v>30067</v>
      </c>
      <c r="I5970" t="s">
        <v>3693</v>
      </c>
      <c r="J5970" t="s">
        <v>30743</v>
      </c>
      <c r="K5970" t="s">
        <v>39029</v>
      </c>
      <c r="M5970" t="s">
        <v>41400</v>
      </c>
      <c r="N5970" t="s">
        <v>43166</v>
      </c>
      <c r="O5970" t="s">
        <v>43167</v>
      </c>
      <c r="P5970">
        <v>0</v>
      </c>
      <c r="Q5970">
        <v>0</v>
      </c>
      <c r="R5970" t="s">
        <v>43172</v>
      </c>
      <c r="S5970" t="s">
        <v>43334</v>
      </c>
      <c r="T5970" t="s">
        <v>45031</v>
      </c>
      <c r="U5970" t="s">
        <v>50071</v>
      </c>
      <c r="V5970" t="s">
        <v>57459</v>
      </c>
      <c r="W5970" t="s">
        <v>41400</v>
      </c>
      <c r="X5970" t="s">
        <v>43173</v>
      </c>
    </row>
    <row r="5971" spans="1:24">
      <c r="A5971">
        <f>HYPERLINK("https://www.philgeps.gov.ph/GEPSNONPILOT/Tender/SplashBidNoticeAbstractUI.aspx?menuIndex=3&amp;refID=7080775&amp;Result=3","7080775")</f>
        <v>0</v>
      </c>
      <c r="B5971" t="s">
        <v>1313</v>
      </c>
      <c r="C5971" t="s">
        <v>9101</v>
      </c>
      <c r="D5971" t="s">
        <v>17415</v>
      </c>
      <c r="E5971" t="s">
        <v>22655</v>
      </c>
      <c r="F5971" t="s">
        <v>30052</v>
      </c>
      <c r="G5971" t="s">
        <v>30059</v>
      </c>
      <c r="H5971" t="s">
        <v>15498</v>
      </c>
      <c r="I5971" t="s">
        <v>3852</v>
      </c>
      <c r="J5971" t="s">
        <v>33952</v>
      </c>
      <c r="K5971" t="s">
        <v>39017</v>
      </c>
      <c r="M5971" t="s">
        <v>41366</v>
      </c>
      <c r="N5971" t="s">
        <v>43166</v>
      </c>
      <c r="O5971" t="s">
        <v>43167</v>
      </c>
      <c r="P5971">
        <v>0</v>
      </c>
      <c r="Q5971">
        <v>1</v>
      </c>
      <c r="R5971" t="s">
        <v>43172</v>
      </c>
      <c r="S5971" t="s">
        <v>43334</v>
      </c>
      <c r="T5971" t="s">
        <v>44717</v>
      </c>
      <c r="U5971" t="s">
        <v>50072</v>
      </c>
      <c r="W5971" t="s">
        <v>41366</v>
      </c>
      <c r="X5971" t="s">
        <v>43173</v>
      </c>
    </row>
    <row r="5972" spans="1:24">
      <c r="A5972">
        <f>HYPERLINK("https://www.philgeps.gov.ph/GEPSNONPILOT/Tender/SplashBidNoticeAbstractUI.aspx?menuIndex=3&amp;refID=7080773&amp;Result=3","7080773")</f>
        <v>0</v>
      </c>
      <c r="B5972" t="s">
        <v>107</v>
      </c>
      <c r="C5972" t="s">
        <v>9102</v>
      </c>
      <c r="D5972" t="s">
        <v>17448</v>
      </c>
      <c r="E5972" t="s">
        <v>22656</v>
      </c>
      <c r="F5972" t="s">
        <v>30052</v>
      </c>
      <c r="G5972" t="s">
        <v>30059</v>
      </c>
      <c r="H5972" t="s">
        <v>15498</v>
      </c>
      <c r="I5972" t="s">
        <v>9238</v>
      </c>
      <c r="J5972" t="s">
        <v>33953</v>
      </c>
      <c r="K5972" t="s">
        <v>39025</v>
      </c>
      <c r="M5972" t="s">
        <v>39396</v>
      </c>
      <c r="N5972" t="s">
        <v>43166</v>
      </c>
      <c r="O5972" t="s">
        <v>43167</v>
      </c>
      <c r="P5972">
        <v>0</v>
      </c>
      <c r="Q5972">
        <v>13</v>
      </c>
      <c r="R5972" t="s">
        <v>43172</v>
      </c>
      <c r="S5972" t="s">
        <v>43334</v>
      </c>
      <c r="T5972" t="s">
        <v>44862</v>
      </c>
      <c r="U5972" t="s">
        <v>50073</v>
      </c>
      <c r="W5972" t="s">
        <v>39396</v>
      </c>
      <c r="X5972" t="s">
        <v>43173</v>
      </c>
    </row>
    <row r="5973" spans="1:24">
      <c r="A5973">
        <f>HYPERLINK("https://www.philgeps.gov.ph/GEPSNONPILOT/Tender/SplashBidNoticeAbstractUI.aspx?menuIndex=3&amp;refID=7080771&amp;Result=3","7080771")</f>
        <v>0</v>
      </c>
      <c r="B5973" t="s">
        <v>846</v>
      </c>
      <c r="C5973" t="s">
        <v>9103</v>
      </c>
      <c r="D5973" t="s">
        <v>17421</v>
      </c>
      <c r="E5973" t="s">
        <v>18292</v>
      </c>
      <c r="F5973" t="s">
        <v>30052</v>
      </c>
      <c r="G5973" t="s">
        <v>30060</v>
      </c>
      <c r="H5973" t="s">
        <v>15498</v>
      </c>
      <c r="I5973" t="s">
        <v>30140</v>
      </c>
      <c r="J5973" t="s">
        <v>33954</v>
      </c>
      <c r="K5973" t="s">
        <v>39037</v>
      </c>
      <c r="M5973" t="s">
        <v>40163</v>
      </c>
      <c r="N5973" t="s">
        <v>43166</v>
      </c>
      <c r="O5973" t="s">
        <v>43167</v>
      </c>
      <c r="P5973">
        <v>0</v>
      </c>
      <c r="Q5973">
        <v>3</v>
      </c>
      <c r="R5973" t="s">
        <v>43172</v>
      </c>
      <c r="S5973" t="s">
        <v>43334</v>
      </c>
      <c r="T5973" t="s">
        <v>44733</v>
      </c>
      <c r="U5973" t="s">
        <v>50074</v>
      </c>
      <c r="V5973" t="s">
        <v>56845</v>
      </c>
      <c r="W5973" t="s">
        <v>40163</v>
      </c>
      <c r="X5973" t="s">
        <v>43173</v>
      </c>
    </row>
    <row r="5974" spans="1:24">
      <c r="A5974">
        <f>HYPERLINK("https://www.philgeps.gov.ph/GEPSNONPILOT/Tender/SplashBidNoticeAbstractUI.aspx?menuIndex=3&amp;refID=7080780&amp;Result=3","7080780")</f>
        <v>0</v>
      </c>
      <c r="B5974" t="s">
        <v>964</v>
      </c>
      <c r="C5974" t="s">
        <v>9104</v>
      </c>
      <c r="D5974" t="s">
        <v>17415</v>
      </c>
      <c r="E5974" t="s">
        <v>22657</v>
      </c>
      <c r="F5974" t="s">
        <v>30052</v>
      </c>
      <c r="G5974" t="s">
        <v>30059</v>
      </c>
      <c r="H5974" t="s">
        <v>15498</v>
      </c>
      <c r="I5974" t="s">
        <v>7228</v>
      </c>
      <c r="J5974" t="s">
        <v>30398</v>
      </c>
      <c r="K5974" t="s">
        <v>39025</v>
      </c>
      <c r="M5974" t="s">
        <v>41142</v>
      </c>
      <c r="N5974" t="s">
        <v>43166</v>
      </c>
      <c r="O5974" t="s">
        <v>43167</v>
      </c>
      <c r="P5974">
        <v>0</v>
      </c>
      <c r="Q5974">
        <v>0</v>
      </c>
      <c r="R5974" t="s">
        <v>43172</v>
      </c>
      <c r="S5974" t="s">
        <v>43334</v>
      </c>
      <c r="T5974" t="s">
        <v>44720</v>
      </c>
      <c r="U5974" t="s">
        <v>50075</v>
      </c>
      <c r="W5974" t="s">
        <v>41142</v>
      </c>
      <c r="X5974" t="s">
        <v>43173</v>
      </c>
    </row>
    <row r="5975" spans="1:24">
      <c r="A5975">
        <f>HYPERLINK("https://www.philgeps.gov.ph/GEPSNONPILOT/Tender/SplashBidNoticeAbstractUI.aspx?menuIndex=3&amp;refID=7080670&amp;Result=3","7080670")</f>
        <v>0</v>
      </c>
      <c r="B5975" t="s">
        <v>1988</v>
      </c>
      <c r="C5975" t="s">
        <v>9105</v>
      </c>
      <c r="D5975" t="s">
        <v>17448</v>
      </c>
      <c r="E5975" t="s">
        <v>22658</v>
      </c>
      <c r="F5975" t="s">
        <v>30052</v>
      </c>
      <c r="G5975" t="s">
        <v>30061</v>
      </c>
      <c r="H5975" t="s">
        <v>30069</v>
      </c>
      <c r="I5975" t="s">
        <v>6304</v>
      </c>
      <c r="J5975" t="s">
        <v>30644</v>
      </c>
      <c r="K5975" t="s">
        <v>39017</v>
      </c>
      <c r="M5975" t="s">
        <v>41430</v>
      </c>
      <c r="N5975" t="s">
        <v>43166</v>
      </c>
      <c r="O5975" t="s">
        <v>43167</v>
      </c>
      <c r="P5975">
        <v>0</v>
      </c>
      <c r="Q5975">
        <v>0</v>
      </c>
      <c r="R5975" t="s">
        <v>43172</v>
      </c>
      <c r="S5975" t="s">
        <v>43334</v>
      </c>
      <c r="T5975" t="s">
        <v>44870</v>
      </c>
      <c r="U5975" t="s">
        <v>50076</v>
      </c>
      <c r="W5975" t="s">
        <v>41430</v>
      </c>
      <c r="X5975" t="s">
        <v>43173</v>
      </c>
    </row>
    <row r="5976" spans="1:24">
      <c r="A5976">
        <f>HYPERLINK("https://www.philgeps.gov.ph/GEPSNONPILOT/Tender/SplashBidNoticeAbstractUI.aspx?menuIndex=3&amp;refID=7080770&amp;Result=3","7080770")</f>
        <v>0</v>
      </c>
      <c r="B5976" t="s">
        <v>679</v>
      </c>
      <c r="C5976" t="s">
        <v>9106</v>
      </c>
      <c r="D5976" t="s">
        <v>17419</v>
      </c>
      <c r="E5976" t="s">
        <v>22659</v>
      </c>
      <c r="F5976" t="s">
        <v>30052</v>
      </c>
      <c r="G5976" t="s">
        <v>30058</v>
      </c>
      <c r="H5976" t="s">
        <v>15498</v>
      </c>
      <c r="I5976" t="s">
        <v>3736</v>
      </c>
      <c r="J5976" t="s">
        <v>33955</v>
      </c>
      <c r="K5976" t="s">
        <v>39034</v>
      </c>
      <c r="M5976" t="s">
        <v>39985</v>
      </c>
      <c r="N5976" t="s">
        <v>43166</v>
      </c>
      <c r="O5976" t="s">
        <v>43167</v>
      </c>
      <c r="P5976">
        <v>0</v>
      </c>
      <c r="Q5976">
        <v>0</v>
      </c>
      <c r="R5976" t="s">
        <v>43172</v>
      </c>
      <c r="S5976" t="s">
        <v>43334</v>
      </c>
      <c r="T5976" t="s">
        <v>44698</v>
      </c>
      <c r="U5976" t="s">
        <v>50077</v>
      </c>
      <c r="W5976" t="s">
        <v>39985</v>
      </c>
      <c r="X5976" t="s">
        <v>43173</v>
      </c>
    </row>
    <row r="5977" spans="1:24">
      <c r="A5977">
        <f>HYPERLINK("https://www.philgeps.gov.ph/GEPSNONPILOT/Tender/SplashBidNoticeAbstractUI.aspx?menuIndex=3&amp;refID=7080767&amp;Result=3","7080767")</f>
        <v>0</v>
      </c>
      <c r="B5977" t="s">
        <v>1974</v>
      </c>
      <c r="C5977" t="s">
        <v>9107</v>
      </c>
      <c r="D5977" t="s">
        <v>17435</v>
      </c>
      <c r="E5977" t="s">
        <v>22660</v>
      </c>
      <c r="F5977" t="s">
        <v>30052</v>
      </c>
      <c r="G5977" t="s">
        <v>30058</v>
      </c>
      <c r="H5977" t="s">
        <v>30067</v>
      </c>
      <c r="I5977" t="s">
        <v>3693</v>
      </c>
      <c r="J5977" t="s">
        <v>33956</v>
      </c>
      <c r="K5977" t="s">
        <v>39031</v>
      </c>
      <c r="M5977" t="s">
        <v>41415</v>
      </c>
      <c r="N5977" t="s">
        <v>43166</v>
      </c>
      <c r="O5977" t="s">
        <v>43167</v>
      </c>
      <c r="P5977">
        <v>0</v>
      </c>
      <c r="Q5977">
        <v>0</v>
      </c>
      <c r="R5977" t="s">
        <v>43172</v>
      </c>
      <c r="S5977" t="s">
        <v>43334</v>
      </c>
      <c r="T5977" t="s">
        <v>44722</v>
      </c>
      <c r="U5977" t="s">
        <v>50078</v>
      </c>
      <c r="V5977" t="s">
        <v>57457</v>
      </c>
      <c r="W5977" t="s">
        <v>41415</v>
      </c>
      <c r="X5977" t="s">
        <v>43173</v>
      </c>
    </row>
    <row r="5978" spans="1:24">
      <c r="A5978">
        <f>HYPERLINK("https://www.philgeps.gov.ph/GEPSNONPILOT/Tender/SplashBidNoticeAbstractUI.aspx?menuIndex=3&amp;refID=7080717&amp;Result=3","7080717")</f>
        <v>0</v>
      </c>
      <c r="B5978" t="s">
        <v>969</v>
      </c>
      <c r="C5978" t="s">
        <v>9108</v>
      </c>
      <c r="D5978" t="s">
        <v>17449</v>
      </c>
      <c r="E5978" t="s">
        <v>22661</v>
      </c>
      <c r="F5978" t="s">
        <v>30052</v>
      </c>
      <c r="G5978" t="s">
        <v>30058</v>
      </c>
      <c r="H5978" t="s">
        <v>30067</v>
      </c>
      <c r="I5978" t="s">
        <v>3693</v>
      </c>
      <c r="J5978" t="s">
        <v>30252</v>
      </c>
      <c r="K5978" t="s">
        <v>39073</v>
      </c>
      <c r="M5978" t="s">
        <v>40295</v>
      </c>
      <c r="N5978" t="s">
        <v>43166</v>
      </c>
      <c r="O5978" t="s">
        <v>43167</v>
      </c>
      <c r="P5978">
        <v>0</v>
      </c>
      <c r="Q5978">
        <v>0</v>
      </c>
      <c r="R5978" t="s">
        <v>43172</v>
      </c>
      <c r="S5978" t="s">
        <v>43334</v>
      </c>
      <c r="T5978" t="s">
        <v>44945</v>
      </c>
      <c r="U5978" t="s">
        <v>50079</v>
      </c>
      <c r="W5978" t="s">
        <v>40295</v>
      </c>
      <c r="X5978" t="s">
        <v>43173</v>
      </c>
    </row>
    <row r="5979" spans="1:24">
      <c r="A5979">
        <f>HYPERLINK("https://www.philgeps.gov.ph/GEPSNONPILOT/Tender/SplashBidNoticeAbstractUI.aspx?menuIndex=3&amp;refID=7080764&amp;Result=3","7080764")</f>
        <v>0</v>
      </c>
      <c r="B5979" t="s">
        <v>964</v>
      </c>
      <c r="C5979" t="s">
        <v>9109</v>
      </c>
      <c r="D5979" t="s">
        <v>17415</v>
      </c>
      <c r="E5979" t="s">
        <v>22662</v>
      </c>
      <c r="F5979" t="s">
        <v>30052</v>
      </c>
      <c r="G5979" t="s">
        <v>30059</v>
      </c>
      <c r="H5979" t="s">
        <v>15498</v>
      </c>
      <c r="I5979" t="s">
        <v>9238</v>
      </c>
      <c r="J5979" t="s">
        <v>30377</v>
      </c>
      <c r="K5979" t="s">
        <v>39025</v>
      </c>
      <c r="M5979" t="s">
        <v>41142</v>
      </c>
      <c r="N5979" t="s">
        <v>43166</v>
      </c>
      <c r="O5979" t="s">
        <v>43167</v>
      </c>
      <c r="P5979">
        <v>0</v>
      </c>
      <c r="Q5979">
        <v>5</v>
      </c>
      <c r="R5979" t="s">
        <v>43172</v>
      </c>
      <c r="S5979" t="s">
        <v>43334</v>
      </c>
      <c r="T5979" t="s">
        <v>44823</v>
      </c>
      <c r="U5979" t="s">
        <v>50080</v>
      </c>
      <c r="W5979" t="s">
        <v>41142</v>
      </c>
      <c r="X5979" t="s">
        <v>43173</v>
      </c>
    </row>
    <row r="5980" spans="1:24">
      <c r="A5980">
        <f>HYPERLINK("https://www.philgeps.gov.ph/GEPSNONPILOT/Tender/SplashBidNoticeAbstractUI.aspx?menuIndex=3&amp;refID=7080763&amp;Result=3","7080763")</f>
        <v>0</v>
      </c>
      <c r="B5980" t="s">
        <v>1972</v>
      </c>
      <c r="C5980" t="s">
        <v>9110</v>
      </c>
      <c r="D5980" t="s">
        <v>17473</v>
      </c>
      <c r="E5980" t="s">
        <v>22663</v>
      </c>
      <c r="F5980" t="s">
        <v>30052</v>
      </c>
      <c r="G5980" t="s">
        <v>30062</v>
      </c>
      <c r="H5980" t="s">
        <v>15498</v>
      </c>
      <c r="I5980" t="s">
        <v>4650</v>
      </c>
      <c r="J5980" t="s">
        <v>33957</v>
      </c>
      <c r="K5980" t="s">
        <v>39017</v>
      </c>
      <c r="M5980" t="s">
        <v>41413</v>
      </c>
      <c r="N5980" t="s">
        <v>43166</v>
      </c>
      <c r="O5980" t="s">
        <v>43167</v>
      </c>
      <c r="P5980">
        <v>0</v>
      </c>
      <c r="Q5980">
        <v>0</v>
      </c>
      <c r="R5980" t="s">
        <v>43172</v>
      </c>
      <c r="S5980" t="s">
        <v>43334</v>
      </c>
      <c r="T5980" t="s">
        <v>44720</v>
      </c>
      <c r="U5980" t="s">
        <v>50081</v>
      </c>
      <c r="W5980" t="s">
        <v>41413</v>
      </c>
      <c r="X5980" t="s">
        <v>43173</v>
      </c>
    </row>
    <row r="5981" spans="1:24">
      <c r="A5981">
        <f>HYPERLINK("https://www.philgeps.gov.ph/GEPSNONPILOT/Tender/SplashBidNoticeAbstractUI.aspx?menuIndex=3&amp;refID=7080762&amp;Result=3","7080762")</f>
        <v>0</v>
      </c>
      <c r="B5981" t="s">
        <v>1867</v>
      </c>
      <c r="C5981" t="s">
        <v>9111</v>
      </c>
      <c r="D5981" t="s">
        <v>17459</v>
      </c>
      <c r="E5981" t="s">
        <v>22664</v>
      </c>
      <c r="F5981" t="s">
        <v>30052</v>
      </c>
      <c r="G5981" t="s">
        <v>30059</v>
      </c>
      <c r="H5981" t="s">
        <v>15498</v>
      </c>
      <c r="I5981" t="s">
        <v>5961</v>
      </c>
      <c r="J5981" t="s">
        <v>33958</v>
      </c>
      <c r="K5981" t="s">
        <v>39017</v>
      </c>
      <c r="M5981" t="s">
        <v>41296</v>
      </c>
      <c r="N5981" t="s">
        <v>43166</v>
      </c>
      <c r="O5981" t="s">
        <v>43167</v>
      </c>
      <c r="P5981">
        <v>0</v>
      </c>
      <c r="Q5981">
        <v>0</v>
      </c>
      <c r="R5981" t="s">
        <v>43172</v>
      </c>
      <c r="S5981" t="s">
        <v>43334</v>
      </c>
      <c r="T5981" t="s">
        <v>44710</v>
      </c>
      <c r="U5981" t="s">
        <v>50082</v>
      </c>
      <c r="W5981" t="s">
        <v>41296</v>
      </c>
      <c r="X5981" t="s">
        <v>43173</v>
      </c>
    </row>
    <row r="5982" spans="1:24">
      <c r="A5982">
        <f>HYPERLINK("https://www.philgeps.gov.ph/GEPSNONPILOT/Tender/SplashBidNoticeAbstractUI.aspx?menuIndex=3&amp;refID=7080628&amp;Result=3","7080628")</f>
        <v>0</v>
      </c>
      <c r="B5982" t="s">
        <v>1955</v>
      </c>
      <c r="C5982" t="s">
        <v>9112</v>
      </c>
      <c r="D5982" t="s">
        <v>17427</v>
      </c>
      <c r="E5982" t="s">
        <v>22665</v>
      </c>
      <c r="F5982" t="s">
        <v>30052</v>
      </c>
      <c r="G5982" t="s">
        <v>30058</v>
      </c>
      <c r="H5982" t="s">
        <v>30067</v>
      </c>
      <c r="I5982" t="s">
        <v>3693</v>
      </c>
      <c r="J5982" t="s">
        <v>30337</v>
      </c>
      <c r="K5982" t="s">
        <v>39025</v>
      </c>
      <c r="M5982" t="s">
        <v>41392</v>
      </c>
      <c r="N5982" t="s">
        <v>43166</v>
      </c>
      <c r="O5982" t="s">
        <v>43167</v>
      </c>
      <c r="P5982">
        <v>0</v>
      </c>
      <c r="Q5982">
        <v>0</v>
      </c>
      <c r="R5982" t="s">
        <v>43172</v>
      </c>
      <c r="S5982" t="s">
        <v>43334</v>
      </c>
      <c r="T5982" t="s">
        <v>44698</v>
      </c>
      <c r="U5982" t="s">
        <v>50083</v>
      </c>
      <c r="W5982" t="s">
        <v>41392</v>
      </c>
      <c r="X5982" t="s">
        <v>43173</v>
      </c>
    </row>
    <row r="5983" spans="1:24">
      <c r="A5983">
        <f>HYPERLINK("https://www.philgeps.gov.ph/GEPSNONPILOT/Tender/SplashBidNoticeAbstractUI.aspx?menuIndex=3&amp;refID=7080821&amp;Result=3","7080821")</f>
        <v>0</v>
      </c>
      <c r="B5983" t="s">
        <v>1313</v>
      </c>
      <c r="C5983" t="s">
        <v>9113</v>
      </c>
      <c r="D5983" t="s">
        <v>17415</v>
      </c>
      <c r="E5983" t="s">
        <v>22666</v>
      </c>
      <c r="F5983" t="s">
        <v>30052</v>
      </c>
      <c r="G5983" t="s">
        <v>30059</v>
      </c>
      <c r="H5983" t="s">
        <v>15498</v>
      </c>
      <c r="I5983" t="s">
        <v>30081</v>
      </c>
      <c r="J5983" t="s">
        <v>33959</v>
      </c>
      <c r="K5983" t="s">
        <v>39017</v>
      </c>
      <c r="M5983" t="s">
        <v>41366</v>
      </c>
      <c r="N5983" t="s">
        <v>43166</v>
      </c>
      <c r="O5983" t="s">
        <v>43167</v>
      </c>
      <c r="P5983">
        <v>0</v>
      </c>
      <c r="Q5983">
        <v>0</v>
      </c>
      <c r="R5983" t="s">
        <v>43172</v>
      </c>
      <c r="S5983" t="s">
        <v>43334</v>
      </c>
      <c r="T5983" t="s">
        <v>44717</v>
      </c>
      <c r="U5983" t="s">
        <v>48093</v>
      </c>
      <c r="W5983" t="s">
        <v>41366</v>
      </c>
      <c r="X5983" t="s">
        <v>43173</v>
      </c>
    </row>
    <row r="5984" spans="1:24">
      <c r="A5984">
        <f>HYPERLINK("https://www.philgeps.gov.ph/GEPSNONPILOT/Tender/SplashBidNoticeAbstractUI.aspx?menuIndex=3&amp;refID=7080769&amp;Result=3","7080769")</f>
        <v>0</v>
      </c>
      <c r="B5984" t="s">
        <v>1989</v>
      </c>
      <c r="C5984" t="s">
        <v>9114</v>
      </c>
      <c r="D5984" t="s">
        <v>17459</v>
      </c>
      <c r="E5984" t="s">
        <v>22667</v>
      </c>
      <c r="F5984" t="s">
        <v>30052</v>
      </c>
      <c r="G5984" t="s">
        <v>30062</v>
      </c>
      <c r="H5984" t="s">
        <v>15498</v>
      </c>
      <c r="I5984" t="s">
        <v>30070</v>
      </c>
      <c r="J5984" t="s">
        <v>33960</v>
      </c>
      <c r="K5984" t="s">
        <v>39019</v>
      </c>
      <c r="M5984" t="s">
        <v>41431</v>
      </c>
      <c r="N5984" t="s">
        <v>43166</v>
      </c>
      <c r="O5984" t="s">
        <v>43167</v>
      </c>
      <c r="P5984">
        <v>0</v>
      </c>
      <c r="Q5984">
        <v>1</v>
      </c>
      <c r="R5984" t="s">
        <v>43172</v>
      </c>
      <c r="S5984" t="s">
        <v>43334</v>
      </c>
      <c r="T5984" t="s">
        <v>44788</v>
      </c>
      <c r="U5984" t="s">
        <v>50084</v>
      </c>
      <c r="W5984" t="s">
        <v>41431</v>
      </c>
      <c r="X5984" t="s">
        <v>43173</v>
      </c>
    </row>
    <row r="5985" spans="1:24">
      <c r="A5985">
        <f>HYPERLINK("https://www.philgeps.gov.ph/GEPSNONPILOT/Tender/SplashBidNoticeAbstractUI.aspx?menuIndex=3&amp;refID=7080818&amp;Result=3","7080818")</f>
        <v>0</v>
      </c>
      <c r="B5985" t="s">
        <v>1974</v>
      </c>
      <c r="C5985" t="s">
        <v>9115</v>
      </c>
      <c r="D5985" t="s">
        <v>17435</v>
      </c>
      <c r="E5985" t="s">
        <v>22668</v>
      </c>
      <c r="F5985" t="s">
        <v>30052</v>
      </c>
      <c r="G5985" t="s">
        <v>30058</v>
      </c>
      <c r="H5985" t="s">
        <v>30067</v>
      </c>
      <c r="I5985" t="s">
        <v>3693</v>
      </c>
      <c r="J5985" t="s">
        <v>33961</v>
      </c>
      <c r="K5985" t="s">
        <v>39019</v>
      </c>
      <c r="M5985" t="s">
        <v>41415</v>
      </c>
      <c r="N5985" t="s">
        <v>43166</v>
      </c>
      <c r="O5985" t="s">
        <v>43167</v>
      </c>
      <c r="P5985">
        <v>0</v>
      </c>
      <c r="Q5985">
        <v>0</v>
      </c>
      <c r="R5985" t="s">
        <v>43172</v>
      </c>
      <c r="S5985" t="s">
        <v>43334</v>
      </c>
      <c r="T5985" t="s">
        <v>44710</v>
      </c>
      <c r="U5985" t="s">
        <v>50085</v>
      </c>
      <c r="V5985" t="s">
        <v>57457</v>
      </c>
      <c r="W5985" t="s">
        <v>41415</v>
      </c>
      <c r="X5985" t="s">
        <v>43173</v>
      </c>
    </row>
    <row r="5986" spans="1:24">
      <c r="A5986">
        <f>HYPERLINK("https://www.philgeps.gov.ph/GEPSNONPILOT/Tender/SplashBidNoticeAbstractUI.aspx?menuIndex=3&amp;refID=7080766&amp;Result=3","7080766")</f>
        <v>0</v>
      </c>
      <c r="B5986" t="s">
        <v>985</v>
      </c>
      <c r="C5986" t="s">
        <v>9116</v>
      </c>
      <c r="D5986" t="s">
        <v>17456</v>
      </c>
      <c r="E5986" t="s">
        <v>22669</v>
      </c>
      <c r="F5986" t="s">
        <v>30052</v>
      </c>
      <c r="G5986" t="s">
        <v>30059</v>
      </c>
      <c r="H5986" t="s">
        <v>15498</v>
      </c>
      <c r="I5986" t="s">
        <v>5961</v>
      </c>
      <c r="J5986" t="s">
        <v>33962</v>
      </c>
      <c r="K5986" t="s">
        <v>39017</v>
      </c>
      <c r="M5986" t="s">
        <v>40312</v>
      </c>
      <c r="N5986" t="s">
        <v>43166</v>
      </c>
      <c r="O5986" t="s">
        <v>43167</v>
      </c>
      <c r="P5986">
        <v>0</v>
      </c>
      <c r="Q5986">
        <v>3</v>
      </c>
      <c r="R5986" t="s">
        <v>43172</v>
      </c>
      <c r="S5986" t="s">
        <v>43334</v>
      </c>
      <c r="T5986" t="s">
        <v>44862</v>
      </c>
      <c r="U5986" t="s">
        <v>47246</v>
      </c>
      <c r="W5986" t="s">
        <v>40312</v>
      </c>
      <c r="X5986" t="s">
        <v>43173</v>
      </c>
    </row>
    <row r="5987" spans="1:24">
      <c r="A5987">
        <f>HYPERLINK("https://www.philgeps.gov.ph/GEPSNONPILOT/Tender/SplashBidNoticeAbstractUI.aspx?menuIndex=3&amp;refID=7080817&amp;Result=3","7080817")</f>
        <v>0</v>
      </c>
      <c r="B5987" t="s">
        <v>236</v>
      </c>
      <c r="C5987" t="s">
        <v>9117</v>
      </c>
      <c r="D5987" t="s">
        <v>17427</v>
      </c>
      <c r="E5987" t="s">
        <v>22670</v>
      </c>
      <c r="F5987" t="s">
        <v>30052</v>
      </c>
      <c r="G5987" t="s">
        <v>30059</v>
      </c>
      <c r="H5987" t="s">
        <v>30069</v>
      </c>
      <c r="I5987" t="s">
        <v>30094</v>
      </c>
      <c r="J5987" t="s">
        <v>30890</v>
      </c>
      <c r="K5987" t="s">
        <v>39019</v>
      </c>
      <c r="M5987" t="s">
        <v>39920</v>
      </c>
      <c r="N5987" t="s">
        <v>43166</v>
      </c>
      <c r="O5987" t="s">
        <v>43167</v>
      </c>
      <c r="P5987">
        <v>0</v>
      </c>
      <c r="Q5987">
        <v>0</v>
      </c>
      <c r="R5987" t="s">
        <v>43172</v>
      </c>
      <c r="S5987" t="s">
        <v>43334</v>
      </c>
      <c r="T5987" t="s">
        <v>44870</v>
      </c>
      <c r="U5987" t="s">
        <v>50086</v>
      </c>
      <c r="V5987" t="s">
        <v>45722</v>
      </c>
      <c r="W5987" t="s">
        <v>39920</v>
      </c>
      <c r="X5987" t="s">
        <v>43173</v>
      </c>
    </row>
    <row r="5988" spans="1:24">
      <c r="A5988">
        <f>HYPERLINK("https://www.philgeps.gov.ph/GEPSNONPILOT/Tender/SplashBidNoticeAbstractUI.aspx?menuIndex=3&amp;refID=7080816&amp;Result=3","7080816")</f>
        <v>0</v>
      </c>
      <c r="B5988" t="s">
        <v>1270</v>
      </c>
      <c r="C5988" t="s">
        <v>9118</v>
      </c>
      <c r="D5988" t="s">
        <v>17465</v>
      </c>
      <c r="E5988" t="s">
        <v>22671</v>
      </c>
      <c r="F5988" t="s">
        <v>30052</v>
      </c>
      <c r="G5988" t="s">
        <v>30058</v>
      </c>
      <c r="H5988" t="s">
        <v>15498</v>
      </c>
      <c r="I5988" t="s">
        <v>3852</v>
      </c>
      <c r="J5988" t="s">
        <v>33963</v>
      </c>
      <c r="K5988" t="s">
        <v>39019</v>
      </c>
      <c r="M5988" t="s">
        <v>40629</v>
      </c>
      <c r="N5988" t="s">
        <v>43166</v>
      </c>
      <c r="O5988" t="s">
        <v>43167</v>
      </c>
      <c r="P5988">
        <v>0</v>
      </c>
      <c r="Q5988">
        <v>10</v>
      </c>
      <c r="R5988" t="s">
        <v>43172</v>
      </c>
      <c r="S5988" t="s">
        <v>43334</v>
      </c>
      <c r="T5988" t="s">
        <v>44879</v>
      </c>
      <c r="U5988" t="s">
        <v>50087</v>
      </c>
      <c r="W5988" t="s">
        <v>40629</v>
      </c>
      <c r="X5988" t="s">
        <v>43173</v>
      </c>
    </row>
    <row r="5989" spans="1:24">
      <c r="A5989">
        <f>HYPERLINK("https://www.philgeps.gov.ph/GEPSNONPILOT/Tender/SplashBidNoticeAbstractUI.aspx?menuIndex=3&amp;refID=7080813&amp;Result=3","7080813")</f>
        <v>0</v>
      </c>
      <c r="B5989" t="s">
        <v>1990</v>
      </c>
      <c r="C5989" t="s">
        <v>9119</v>
      </c>
      <c r="D5989" t="s">
        <v>17473</v>
      </c>
      <c r="E5989" t="s">
        <v>22672</v>
      </c>
      <c r="F5989" t="s">
        <v>30052</v>
      </c>
      <c r="G5989" t="s">
        <v>30058</v>
      </c>
      <c r="H5989" t="s">
        <v>15498</v>
      </c>
      <c r="I5989" t="s">
        <v>30091</v>
      </c>
      <c r="J5989" t="s">
        <v>30247</v>
      </c>
      <c r="K5989" t="s">
        <v>39046</v>
      </c>
      <c r="M5989" t="s">
        <v>41432</v>
      </c>
      <c r="N5989" t="s">
        <v>43166</v>
      </c>
      <c r="O5989" t="s">
        <v>43167</v>
      </c>
      <c r="P5989">
        <v>0</v>
      </c>
      <c r="Q5989">
        <v>6</v>
      </c>
      <c r="R5989" t="s">
        <v>43172</v>
      </c>
      <c r="S5989" t="s">
        <v>43334</v>
      </c>
      <c r="T5989" t="s">
        <v>44904</v>
      </c>
      <c r="U5989" t="s">
        <v>50088</v>
      </c>
      <c r="W5989" t="s">
        <v>41432</v>
      </c>
      <c r="X5989" t="s">
        <v>43173</v>
      </c>
    </row>
    <row r="5990" spans="1:24">
      <c r="A5990">
        <f>HYPERLINK("https://www.philgeps.gov.ph/GEPSNONPILOT/Tender/SplashBidNoticeAbstractUI.aspx?menuIndex=3&amp;refID=7080812&amp;Result=3","7080812")</f>
        <v>0</v>
      </c>
      <c r="B5990" t="s">
        <v>1921</v>
      </c>
      <c r="C5990" t="s">
        <v>9120</v>
      </c>
      <c r="D5990" t="s">
        <v>17447</v>
      </c>
      <c r="E5990" t="s">
        <v>19222</v>
      </c>
      <c r="F5990" t="s">
        <v>30052</v>
      </c>
      <c r="G5990" t="s">
        <v>30058</v>
      </c>
      <c r="H5990" t="s">
        <v>15498</v>
      </c>
      <c r="I5990" t="s">
        <v>30074</v>
      </c>
      <c r="J5990" t="s">
        <v>30235</v>
      </c>
      <c r="K5990" t="s">
        <v>39025</v>
      </c>
      <c r="M5990" t="s">
        <v>41353</v>
      </c>
      <c r="N5990" t="s">
        <v>43166</v>
      </c>
      <c r="O5990" t="s">
        <v>43167</v>
      </c>
      <c r="P5990">
        <v>0</v>
      </c>
      <c r="Q5990">
        <v>0</v>
      </c>
      <c r="R5990" t="s">
        <v>43172</v>
      </c>
      <c r="S5990" t="s">
        <v>43334</v>
      </c>
      <c r="T5990" t="s">
        <v>44877</v>
      </c>
      <c r="U5990" t="s">
        <v>50089</v>
      </c>
      <c r="W5990" t="s">
        <v>41353</v>
      </c>
      <c r="X5990" t="s">
        <v>43173</v>
      </c>
    </row>
    <row r="5991" spans="1:24">
      <c r="A5991">
        <f>HYPERLINK("https://www.philgeps.gov.ph/GEPSNONPILOT/Tender/SplashBidNoticeAbstractUI.aspx?menuIndex=3&amp;refID=7080806&amp;Result=3","7080806")</f>
        <v>0</v>
      </c>
      <c r="B5991" t="s">
        <v>1959</v>
      </c>
      <c r="C5991" t="s">
        <v>9121</v>
      </c>
      <c r="D5991" t="s">
        <v>17435</v>
      </c>
      <c r="E5991" t="s">
        <v>22673</v>
      </c>
      <c r="F5991" t="s">
        <v>30052</v>
      </c>
      <c r="G5991" t="s">
        <v>30062</v>
      </c>
      <c r="H5991" t="s">
        <v>15498</v>
      </c>
      <c r="I5991" t="s">
        <v>4119</v>
      </c>
      <c r="J5991" t="s">
        <v>33964</v>
      </c>
      <c r="K5991" t="s">
        <v>39025</v>
      </c>
      <c r="M5991" t="s">
        <v>41396</v>
      </c>
      <c r="N5991" t="s">
        <v>43166</v>
      </c>
      <c r="O5991" t="s">
        <v>43167</v>
      </c>
      <c r="P5991">
        <v>0</v>
      </c>
      <c r="Q5991">
        <v>4</v>
      </c>
      <c r="R5991" t="s">
        <v>43172</v>
      </c>
      <c r="S5991" t="s">
        <v>43334</v>
      </c>
      <c r="T5991" t="s">
        <v>44837</v>
      </c>
      <c r="U5991" t="s">
        <v>50090</v>
      </c>
      <c r="V5991" t="s">
        <v>57450</v>
      </c>
      <c r="W5991" t="s">
        <v>41396</v>
      </c>
      <c r="X5991" t="s">
        <v>43173</v>
      </c>
    </row>
    <row r="5992" spans="1:24">
      <c r="A5992">
        <f>HYPERLINK("https://www.philgeps.gov.ph/GEPSNONPILOT/Tender/SplashBidNoticeAbstractUI.aspx?menuIndex=3&amp;refID=7080801&amp;Result=3","7080801")</f>
        <v>0</v>
      </c>
      <c r="B5992" t="s">
        <v>1991</v>
      </c>
      <c r="C5992" t="s">
        <v>9122</v>
      </c>
      <c r="E5992" t="s">
        <v>22674</v>
      </c>
      <c r="F5992" t="s">
        <v>30052</v>
      </c>
      <c r="G5992" t="s">
        <v>30058</v>
      </c>
      <c r="H5992" t="s">
        <v>30068</v>
      </c>
      <c r="I5992" t="s">
        <v>30068</v>
      </c>
      <c r="J5992" t="s">
        <v>33965</v>
      </c>
      <c r="K5992" t="s">
        <v>39165</v>
      </c>
      <c r="M5992" t="s">
        <v>41433</v>
      </c>
      <c r="N5992" t="s">
        <v>43166</v>
      </c>
      <c r="O5992" t="s">
        <v>43167</v>
      </c>
      <c r="Q5992">
        <v>4</v>
      </c>
      <c r="R5992" t="s">
        <v>43172</v>
      </c>
      <c r="S5992" t="s">
        <v>43357</v>
      </c>
      <c r="T5992" t="s">
        <v>44685</v>
      </c>
      <c r="U5992" t="s">
        <v>50091</v>
      </c>
      <c r="W5992" t="s">
        <v>41433</v>
      </c>
      <c r="X5992" t="s">
        <v>43173</v>
      </c>
    </row>
    <row r="5993" spans="1:24">
      <c r="A5993">
        <f>HYPERLINK("https://www.philgeps.gov.ph/GEPSNONPILOT/Tender/SplashBidNoticeAbstractUI.aspx?menuIndex=3&amp;refID=7080798&amp;Result=3","7080798")</f>
        <v>0</v>
      </c>
      <c r="B5993" t="s">
        <v>1977</v>
      </c>
      <c r="C5993" t="s">
        <v>9123</v>
      </c>
      <c r="D5993" t="s">
        <v>17427</v>
      </c>
      <c r="E5993" t="s">
        <v>22675</v>
      </c>
      <c r="F5993" t="s">
        <v>30052</v>
      </c>
      <c r="G5993" t="s">
        <v>30058</v>
      </c>
      <c r="H5993" t="s">
        <v>30067</v>
      </c>
      <c r="I5993" t="s">
        <v>3693</v>
      </c>
      <c r="J5993" t="s">
        <v>33966</v>
      </c>
      <c r="K5993" t="s">
        <v>39116</v>
      </c>
      <c r="M5993" t="s">
        <v>41418</v>
      </c>
      <c r="N5993" t="s">
        <v>43166</v>
      </c>
      <c r="O5993" t="s">
        <v>43167</v>
      </c>
      <c r="P5993">
        <v>0</v>
      </c>
      <c r="Q5993">
        <v>0</v>
      </c>
      <c r="R5993" t="s">
        <v>43172</v>
      </c>
      <c r="S5993" t="s">
        <v>43334</v>
      </c>
      <c r="T5993" t="s">
        <v>44796</v>
      </c>
      <c r="U5993" t="s">
        <v>50092</v>
      </c>
      <c r="W5993" t="s">
        <v>41418</v>
      </c>
      <c r="X5993" t="s">
        <v>43173</v>
      </c>
    </row>
    <row r="5994" spans="1:24">
      <c r="A5994">
        <f>HYPERLINK("https://www.philgeps.gov.ph/GEPSNONPILOT/Tender/SplashBidNoticeAbstractUI.aspx?menuIndex=3&amp;refID=7080792&amp;Result=3","7080792")</f>
        <v>0</v>
      </c>
      <c r="B5994" t="s">
        <v>1696</v>
      </c>
      <c r="C5994" t="s">
        <v>9124</v>
      </c>
      <c r="D5994" t="s">
        <v>17422</v>
      </c>
      <c r="E5994" t="s">
        <v>21049</v>
      </c>
      <c r="F5994" t="s">
        <v>30052</v>
      </c>
      <c r="G5994" t="s">
        <v>30058</v>
      </c>
      <c r="H5994" t="s">
        <v>15498</v>
      </c>
      <c r="I5994" t="s">
        <v>3852</v>
      </c>
      <c r="J5994" t="s">
        <v>30281</v>
      </c>
      <c r="K5994" t="s">
        <v>39017</v>
      </c>
      <c r="M5994" t="s">
        <v>41105</v>
      </c>
      <c r="N5994" t="s">
        <v>43166</v>
      </c>
      <c r="O5994" t="s">
        <v>43167</v>
      </c>
      <c r="P5994">
        <v>0</v>
      </c>
      <c r="Q5994">
        <v>3</v>
      </c>
      <c r="R5994" t="s">
        <v>43172</v>
      </c>
      <c r="S5994" t="s">
        <v>43334</v>
      </c>
      <c r="T5994" t="s">
        <v>44680</v>
      </c>
      <c r="U5994" t="s">
        <v>50093</v>
      </c>
      <c r="W5994" t="s">
        <v>41105</v>
      </c>
      <c r="X5994" t="s">
        <v>43173</v>
      </c>
    </row>
    <row r="5995" spans="1:24">
      <c r="A5995">
        <f>HYPERLINK("https://www.philgeps.gov.ph/GEPSNONPILOT/Tender/SplashBidNoticeAbstractUI.aspx?menuIndex=3&amp;refID=7080811&amp;Result=3","7080811")</f>
        <v>0</v>
      </c>
      <c r="B5995" t="s">
        <v>1992</v>
      </c>
      <c r="C5995" t="s">
        <v>9125</v>
      </c>
      <c r="D5995" t="s">
        <v>17459</v>
      </c>
      <c r="E5995" t="s">
        <v>22676</v>
      </c>
      <c r="F5995" t="s">
        <v>30052</v>
      </c>
      <c r="G5995" t="s">
        <v>30058</v>
      </c>
      <c r="H5995" t="s">
        <v>30067</v>
      </c>
      <c r="I5995" t="s">
        <v>3693</v>
      </c>
      <c r="J5995" t="s">
        <v>33967</v>
      </c>
      <c r="K5995" t="s">
        <v>39093</v>
      </c>
      <c r="M5995" t="s">
        <v>41434</v>
      </c>
      <c r="N5995" t="s">
        <v>43166</v>
      </c>
      <c r="O5995" t="s">
        <v>43167</v>
      </c>
      <c r="P5995">
        <v>0</v>
      </c>
      <c r="Q5995">
        <v>4</v>
      </c>
      <c r="R5995" t="s">
        <v>43172</v>
      </c>
      <c r="S5995" t="s">
        <v>43334</v>
      </c>
      <c r="T5995" t="s">
        <v>44752</v>
      </c>
      <c r="U5995" t="s">
        <v>50094</v>
      </c>
      <c r="W5995" t="s">
        <v>41434</v>
      </c>
      <c r="X5995" t="s">
        <v>43173</v>
      </c>
    </row>
    <row r="5996" spans="1:24">
      <c r="A5996">
        <f>HYPERLINK("https://www.philgeps.gov.ph/GEPSNONPILOT/Tender/SplashBidNoticeAbstractUI.aspx?menuIndex=3&amp;refID=7080822&amp;Result=3","7080822")</f>
        <v>0</v>
      </c>
      <c r="B5996" t="s">
        <v>1276</v>
      </c>
      <c r="C5996" t="s">
        <v>9126</v>
      </c>
      <c r="D5996" t="s">
        <v>17427</v>
      </c>
      <c r="E5996" t="s">
        <v>19430</v>
      </c>
      <c r="F5996" t="s">
        <v>30052</v>
      </c>
      <c r="G5996" t="s">
        <v>30059</v>
      </c>
      <c r="H5996" t="s">
        <v>15498</v>
      </c>
      <c r="I5996" t="s">
        <v>30084</v>
      </c>
      <c r="J5996" t="s">
        <v>30292</v>
      </c>
      <c r="K5996" t="s">
        <v>39017</v>
      </c>
      <c r="M5996" t="s">
        <v>40637</v>
      </c>
      <c r="N5996" t="s">
        <v>43166</v>
      </c>
      <c r="O5996" t="s">
        <v>43167</v>
      </c>
      <c r="P5996">
        <v>0</v>
      </c>
      <c r="Q5996">
        <v>1</v>
      </c>
      <c r="R5996" t="s">
        <v>43172</v>
      </c>
      <c r="S5996" t="s">
        <v>43334</v>
      </c>
      <c r="T5996" t="s">
        <v>44837</v>
      </c>
      <c r="U5996" t="s">
        <v>50095</v>
      </c>
      <c r="W5996" t="s">
        <v>40637</v>
      </c>
      <c r="X5996" t="s">
        <v>43173</v>
      </c>
    </row>
    <row r="5997" spans="1:24">
      <c r="A5997">
        <f>HYPERLINK("https://www.philgeps.gov.ph/GEPSNONPILOT/Tender/SplashBidNoticeAbstractUI.aspx?menuIndex=3&amp;refID=7080790&amp;Result=3","7080790")</f>
        <v>0</v>
      </c>
      <c r="B5997" t="s">
        <v>1273</v>
      </c>
      <c r="C5997" t="s">
        <v>9127</v>
      </c>
      <c r="D5997" t="s">
        <v>17434</v>
      </c>
      <c r="E5997" t="s">
        <v>22677</v>
      </c>
      <c r="F5997" t="s">
        <v>30052</v>
      </c>
      <c r="G5997" t="s">
        <v>30058</v>
      </c>
      <c r="H5997" t="s">
        <v>15498</v>
      </c>
      <c r="I5997" t="s">
        <v>30143</v>
      </c>
      <c r="J5997" t="s">
        <v>33968</v>
      </c>
      <c r="K5997" t="s">
        <v>39034</v>
      </c>
      <c r="M5997" t="s">
        <v>41435</v>
      </c>
      <c r="N5997" t="s">
        <v>43166</v>
      </c>
      <c r="O5997" t="s">
        <v>43167</v>
      </c>
      <c r="P5997">
        <v>0</v>
      </c>
      <c r="Q5997">
        <v>6</v>
      </c>
      <c r="R5997" t="s">
        <v>43172</v>
      </c>
      <c r="S5997" t="s">
        <v>43334</v>
      </c>
      <c r="T5997" t="s">
        <v>44948</v>
      </c>
      <c r="U5997" t="s">
        <v>50096</v>
      </c>
      <c r="W5997" t="s">
        <v>41435</v>
      </c>
      <c r="X5997" t="s">
        <v>43173</v>
      </c>
    </row>
    <row r="5998" spans="1:24">
      <c r="A5998">
        <f>HYPERLINK("https://www.philgeps.gov.ph/GEPSNONPILOT/Tender/SplashBidNoticeAbstractUI.aspx?menuIndex=3&amp;refID=7080795&amp;Result=3","7080795")</f>
        <v>0</v>
      </c>
      <c r="B5998" t="s">
        <v>813</v>
      </c>
      <c r="C5998" t="s">
        <v>9128</v>
      </c>
      <c r="D5998" t="s">
        <v>17426</v>
      </c>
      <c r="E5998" t="s">
        <v>22678</v>
      </c>
      <c r="F5998" t="s">
        <v>30052</v>
      </c>
      <c r="G5998" t="s">
        <v>30059</v>
      </c>
      <c r="H5998" t="s">
        <v>15498</v>
      </c>
      <c r="I5998" t="s">
        <v>3852</v>
      </c>
      <c r="J5998" t="s">
        <v>33969</v>
      </c>
      <c r="K5998" t="s">
        <v>39039</v>
      </c>
      <c r="M5998" t="s">
        <v>40130</v>
      </c>
      <c r="N5998" t="s">
        <v>43166</v>
      </c>
      <c r="O5998" t="s">
        <v>43167</v>
      </c>
      <c r="P5998">
        <v>0</v>
      </c>
      <c r="Q5998">
        <v>0</v>
      </c>
      <c r="R5998" t="s">
        <v>43172</v>
      </c>
      <c r="S5998" t="s">
        <v>43334</v>
      </c>
      <c r="T5998" t="s">
        <v>44894</v>
      </c>
      <c r="U5998" t="s">
        <v>46805</v>
      </c>
      <c r="W5998" t="s">
        <v>40130</v>
      </c>
      <c r="X5998" t="s">
        <v>43173</v>
      </c>
    </row>
    <row r="5999" spans="1:24">
      <c r="A5999">
        <f>HYPERLINK("https://www.philgeps.gov.ph/GEPSNONPILOT/Tender/SplashBidNoticeAbstractUI.aspx?menuIndex=3&amp;refID=7080862&amp;Result=3","7080862")</f>
        <v>0</v>
      </c>
      <c r="B5999" t="s">
        <v>1993</v>
      </c>
      <c r="C5999" t="s">
        <v>9129</v>
      </c>
      <c r="D5999" t="s">
        <v>17422</v>
      </c>
      <c r="E5999" t="s">
        <v>22679</v>
      </c>
      <c r="F5999" t="s">
        <v>30052</v>
      </c>
      <c r="G5999" t="s">
        <v>30058</v>
      </c>
      <c r="H5999" t="s">
        <v>30067</v>
      </c>
      <c r="I5999" t="s">
        <v>3693</v>
      </c>
      <c r="J5999" t="s">
        <v>30281</v>
      </c>
      <c r="K5999" t="s">
        <v>39046</v>
      </c>
      <c r="M5999" t="s">
        <v>41436</v>
      </c>
      <c r="N5999" t="s">
        <v>43166</v>
      </c>
      <c r="O5999" t="s">
        <v>43167</v>
      </c>
      <c r="P5999">
        <v>0</v>
      </c>
      <c r="Q5999">
        <v>4</v>
      </c>
      <c r="R5999" t="s">
        <v>43172</v>
      </c>
      <c r="S5999" t="s">
        <v>43334</v>
      </c>
      <c r="T5999" t="s">
        <v>44702</v>
      </c>
      <c r="U5999" t="s">
        <v>50097</v>
      </c>
      <c r="W5999" t="s">
        <v>58658</v>
      </c>
      <c r="X5999" t="s">
        <v>43173</v>
      </c>
    </row>
    <row r="6000" spans="1:24">
      <c r="A6000">
        <f>HYPERLINK("https://www.philgeps.gov.ph/GEPSNONPILOT/Tender/SplashBidNoticeAbstractUI.aspx?menuIndex=3&amp;refID=7080857&amp;Result=3","7080857")</f>
        <v>0</v>
      </c>
      <c r="B6000" t="s">
        <v>1276</v>
      </c>
      <c r="C6000" t="s">
        <v>9130</v>
      </c>
      <c r="D6000" t="s">
        <v>17427</v>
      </c>
      <c r="E6000" t="s">
        <v>22680</v>
      </c>
      <c r="F6000" t="s">
        <v>30052</v>
      </c>
      <c r="G6000" t="s">
        <v>30059</v>
      </c>
      <c r="H6000" t="s">
        <v>15498</v>
      </c>
      <c r="I6000" t="s">
        <v>30111</v>
      </c>
      <c r="J6000" t="s">
        <v>30377</v>
      </c>
      <c r="K6000" t="s">
        <v>39017</v>
      </c>
      <c r="M6000" t="s">
        <v>40637</v>
      </c>
      <c r="N6000" t="s">
        <v>43166</v>
      </c>
      <c r="O6000" t="s">
        <v>43167</v>
      </c>
      <c r="P6000">
        <v>0</v>
      </c>
      <c r="Q6000">
        <v>0</v>
      </c>
      <c r="R6000" t="s">
        <v>43172</v>
      </c>
      <c r="S6000" t="s">
        <v>43334</v>
      </c>
      <c r="T6000" t="s">
        <v>44837</v>
      </c>
      <c r="U6000" t="s">
        <v>50098</v>
      </c>
      <c r="W6000" t="s">
        <v>40637</v>
      </c>
      <c r="X6000" t="s">
        <v>43173</v>
      </c>
    </row>
    <row r="6001" spans="1:24">
      <c r="A6001">
        <f>HYPERLINK("https://www.philgeps.gov.ph/GEPSNONPILOT/Tender/SplashBidNoticeAbstractUI.aspx?menuIndex=3&amp;refID=7080802&amp;Result=3","7080802")</f>
        <v>0</v>
      </c>
      <c r="B6001" t="s">
        <v>1994</v>
      </c>
      <c r="C6001" t="s">
        <v>9131</v>
      </c>
      <c r="D6001" t="s">
        <v>17467</v>
      </c>
      <c r="E6001" t="s">
        <v>22681</v>
      </c>
      <c r="F6001" t="s">
        <v>30052</v>
      </c>
      <c r="G6001" t="s">
        <v>30061</v>
      </c>
      <c r="H6001" t="s">
        <v>15498</v>
      </c>
      <c r="I6001" t="s">
        <v>3693</v>
      </c>
      <c r="J6001" t="s">
        <v>33970</v>
      </c>
      <c r="K6001" t="s">
        <v>39018</v>
      </c>
      <c r="M6001" t="s">
        <v>41437</v>
      </c>
      <c r="N6001" t="s">
        <v>43166</v>
      </c>
      <c r="O6001" t="s">
        <v>43167</v>
      </c>
      <c r="P6001">
        <v>0</v>
      </c>
      <c r="Q6001">
        <v>0</v>
      </c>
      <c r="R6001" t="s">
        <v>43172</v>
      </c>
      <c r="S6001" t="s">
        <v>43334</v>
      </c>
      <c r="T6001" t="s">
        <v>44708</v>
      </c>
      <c r="U6001" t="s">
        <v>50099</v>
      </c>
      <c r="W6001" t="s">
        <v>41437</v>
      </c>
      <c r="X6001" t="s">
        <v>43173</v>
      </c>
    </row>
    <row r="6002" spans="1:24">
      <c r="A6002">
        <f>HYPERLINK("https://www.philgeps.gov.ph/GEPSNONPILOT/Tender/SplashBidNoticeAbstractUI.aspx?menuIndex=3&amp;refID=7080855&amp;Result=3","7080855")</f>
        <v>0</v>
      </c>
      <c r="B6002" t="s">
        <v>1308</v>
      </c>
      <c r="C6002" t="s">
        <v>9132</v>
      </c>
      <c r="D6002" t="s">
        <v>17446</v>
      </c>
      <c r="E6002" t="s">
        <v>22682</v>
      </c>
      <c r="F6002" t="s">
        <v>30052</v>
      </c>
      <c r="G6002" t="s">
        <v>30059</v>
      </c>
      <c r="H6002" t="s">
        <v>15498</v>
      </c>
      <c r="I6002" t="s">
        <v>30150</v>
      </c>
      <c r="J6002" t="s">
        <v>30947</v>
      </c>
      <c r="K6002" t="s">
        <v>39017</v>
      </c>
      <c r="M6002" t="s">
        <v>40675</v>
      </c>
      <c r="N6002" t="s">
        <v>43166</v>
      </c>
      <c r="O6002" t="s">
        <v>43167</v>
      </c>
      <c r="P6002">
        <v>0</v>
      </c>
      <c r="Q6002">
        <v>7</v>
      </c>
      <c r="R6002" t="s">
        <v>43172</v>
      </c>
      <c r="S6002" t="s">
        <v>43334</v>
      </c>
      <c r="T6002" t="s">
        <v>44844</v>
      </c>
      <c r="U6002" t="s">
        <v>50100</v>
      </c>
      <c r="W6002" t="s">
        <v>40675</v>
      </c>
      <c r="X6002" t="s">
        <v>43173</v>
      </c>
    </row>
    <row r="6003" spans="1:24">
      <c r="A6003">
        <f>HYPERLINK("https://www.philgeps.gov.ph/GEPSNONPILOT/Tender/SplashBidNoticeAbstractUI.aspx?menuIndex=3&amp;refID=7080854&amp;Result=3","7080854")</f>
        <v>0</v>
      </c>
      <c r="B6003" t="s">
        <v>1995</v>
      </c>
      <c r="C6003" t="s">
        <v>9133</v>
      </c>
      <c r="D6003" t="s">
        <v>17444</v>
      </c>
      <c r="E6003" t="s">
        <v>22683</v>
      </c>
      <c r="F6003" t="s">
        <v>30052</v>
      </c>
      <c r="G6003" t="s">
        <v>30059</v>
      </c>
      <c r="H6003" t="s">
        <v>15498</v>
      </c>
      <c r="I6003" t="s">
        <v>30070</v>
      </c>
      <c r="J6003" t="s">
        <v>33971</v>
      </c>
      <c r="K6003" t="s">
        <v>39017</v>
      </c>
      <c r="M6003" t="s">
        <v>41438</v>
      </c>
      <c r="N6003" t="s">
        <v>43166</v>
      </c>
      <c r="O6003" t="s">
        <v>43167</v>
      </c>
      <c r="P6003">
        <v>0</v>
      </c>
      <c r="Q6003">
        <v>0</v>
      </c>
      <c r="R6003" t="s">
        <v>43172</v>
      </c>
      <c r="S6003" t="s">
        <v>43334</v>
      </c>
      <c r="T6003" t="s">
        <v>44870</v>
      </c>
      <c r="U6003" t="s">
        <v>50101</v>
      </c>
      <c r="W6003" t="s">
        <v>41438</v>
      </c>
      <c r="X6003" t="s">
        <v>43173</v>
      </c>
    </row>
    <row r="6004" spans="1:24">
      <c r="A6004">
        <f>HYPERLINK("https://www.philgeps.gov.ph/GEPSNONPILOT/Tender/SplashBidNoticeAbstractUI.aspx?menuIndex=3&amp;refID=7080853&amp;Result=3","7080853")</f>
        <v>0</v>
      </c>
      <c r="B6004" t="s">
        <v>1960</v>
      </c>
      <c r="C6004" t="s">
        <v>9134</v>
      </c>
      <c r="D6004" t="s">
        <v>17427</v>
      </c>
      <c r="E6004" t="s">
        <v>22684</v>
      </c>
      <c r="F6004" t="s">
        <v>30052</v>
      </c>
      <c r="G6004" t="s">
        <v>30060</v>
      </c>
      <c r="H6004" t="s">
        <v>15498</v>
      </c>
      <c r="I6004" t="s">
        <v>30076</v>
      </c>
      <c r="J6004" t="s">
        <v>33972</v>
      </c>
      <c r="K6004" t="s">
        <v>39025</v>
      </c>
      <c r="M6004" t="s">
        <v>41397</v>
      </c>
      <c r="N6004" t="s">
        <v>43166</v>
      </c>
      <c r="O6004" t="s">
        <v>43167</v>
      </c>
      <c r="P6004">
        <v>0</v>
      </c>
      <c r="Q6004">
        <v>3</v>
      </c>
      <c r="R6004" t="s">
        <v>43172</v>
      </c>
      <c r="S6004" t="s">
        <v>43334</v>
      </c>
      <c r="T6004" t="s">
        <v>44844</v>
      </c>
      <c r="U6004" t="s">
        <v>49991</v>
      </c>
      <c r="V6004" t="s">
        <v>57451</v>
      </c>
      <c r="W6004" t="s">
        <v>41397</v>
      </c>
      <c r="X6004" t="s">
        <v>43173</v>
      </c>
    </row>
    <row r="6005" spans="1:24">
      <c r="A6005">
        <f>HYPERLINK("https://www.philgeps.gov.ph/GEPSNONPILOT/Tender/SplashBidNoticeAbstractUI.aspx?menuIndex=3&amp;refID=7080851&amp;Result=3","7080851")</f>
        <v>0</v>
      </c>
      <c r="B6005" t="s">
        <v>236</v>
      </c>
      <c r="C6005" t="s">
        <v>9135</v>
      </c>
      <c r="D6005" t="s">
        <v>17427</v>
      </c>
      <c r="E6005" t="s">
        <v>22685</v>
      </c>
      <c r="F6005" t="s">
        <v>30052</v>
      </c>
      <c r="G6005" t="s">
        <v>30058</v>
      </c>
      <c r="H6005" t="s">
        <v>15498</v>
      </c>
      <c r="I6005" t="s">
        <v>30144</v>
      </c>
      <c r="J6005" t="s">
        <v>33973</v>
      </c>
      <c r="K6005" t="s">
        <v>39099</v>
      </c>
      <c r="M6005" t="s">
        <v>40534</v>
      </c>
      <c r="N6005" t="s">
        <v>43166</v>
      </c>
      <c r="O6005" t="s">
        <v>43167</v>
      </c>
      <c r="P6005">
        <v>0</v>
      </c>
      <c r="Q6005">
        <v>0</v>
      </c>
      <c r="R6005" t="s">
        <v>43172</v>
      </c>
      <c r="S6005" t="s">
        <v>43334</v>
      </c>
      <c r="T6005" t="s">
        <v>44996</v>
      </c>
      <c r="U6005" t="s">
        <v>50102</v>
      </c>
      <c r="V6005" t="s">
        <v>57184</v>
      </c>
      <c r="W6005" t="s">
        <v>40534</v>
      </c>
      <c r="X6005" t="s">
        <v>43173</v>
      </c>
    </row>
    <row r="6006" spans="1:24">
      <c r="A6006">
        <f>HYPERLINK("https://www.philgeps.gov.ph/GEPSNONPILOT/Tender/SplashBidNoticeAbstractUI.aspx?menuIndex=3&amp;refID=7080847&amp;Result=3","7080847")</f>
        <v>0</v>
      </c>
      <c r="B6006" t="s">
        <v>1505</v>
      </c>
      <c r="C6006" t="s">
        <v>9136</v>
      </c>
      <c r="D6006" t="s">
        <v>17462</v>
      </c>
      <c r="E6006" t="s">
        <v>22686</v>
      </c>
      <c r="F6006" t="s">
        <v>30052</v>
      </c>
      <c r="G6006" t="s">
        <v>30058</v>
      </c>
      <c r="H6006" t="s">
        <v>30067</v>
      </c>
      <c r="I6006" t="s">
        <v>3693</v>
      </c>
      <c r="J6006" t="s">
        <v>31173</v>
      </c>
      <c r="K6006" t="s">
        <v>39026</v>
      </c>
      <c r="M6006" t="s">
        <v>40889</v>
      </c>
      <c r="N6006" t="s">
        <v>43166</v>
      </c>
      <c r="O6006" t="s">
        <v>43167</v>
      </c>
      <c r="P6006">
        <v>0</v>
      </c>
      <c r="Q6006">
        <v>9</v>
      </c>
      <c r="R6006" t="s">
        <v>43172</v>
      </c>
      <c r="S6006" t="s">
        <v>43334</v>
      </c>
      <c r="T6006" t="s">
        <v>44842</v>
      </c>
      <c r="U6006" t="s">
        <v>49934</v>
      </c>
      <c r="W6006" t="s">
        <v>58641</v>
      </c>
      <c r="X6006" t="s">
        <v>43173</v>
      </c>
    </row>
    <row r="6007" spans="1:24">
      <c r="A6007">
        <f>HYPERLINK("https://www.philgeps.gov.ph/GEPSNONPILOT/Tender/SplashBidNoticeAbstractUI.aspx?menuIndex=3&amp;refID=7080844&amp;Result=3","7080844")</f>
        <v>0</v>
      </c>
      <c r="B6007" t="s">
        <v>813</v>
      </c>
      <c r="C6007" t="s">
        <v>9137</v>
      </c>
      <c r="D6007" t="s">
        <v>17426</v>
      </c>
      <c r="E6007" t="s">
        <v>22687</v>
      </c>
      <c r="F6007" t="s">
        <v>30052</v>
      </c>
      <c r="G6007" t="s">
        <v>30059</v>
      </c>
      <c r="H6007" t="s">
        <v>15498</v>
      </c>
      <c r="I6007" t="s">
        <v>30094</v>
      </c>
      <c r="J6007" t="s">
        <v>33974</v>
      </c>
      <c r="K6007" t="s">
        <v>39039</v>
      </c>
      <c r="M6007" t="s">
        <v>40130</v>
      </c>
      <c r="N6007" t="s">
        <v>43166</v>
      </c>
      <c r="O6007" t="s">
        <v>43167</v>
      </c>
      <c r="P6007">
        <v>0</v>
      </c>
      <c r="Q6007">
        <v>0</v>
      </c>
      <c r="R6007" t="s">
        <v>43172</v>
      </c>
      <c r="S6007" t="s">
        <v>43334</v>
      </c>
      <c r="T6007" t="s">
        <v>44894</v>
      </c>
      <c r="U6007" t="s">
        <v>50103</v>
      </c>
      <c r="W6007" t="s">
        <v>40130</v>
      </c>
      <c r="X6007" t="s">
        <v>43173</v>
      </c>
    </row>
    <row r="6008" spans="1:24">
      <c r="A6008">
        <f>HYPERLINK("https://www.philgeps.gov.ph/GEPSNONPILOT/Tender/SplashBidNoticeAbstractUI.aspx?menuIndex=3&amp;refID=7080843&amp;Result=3","7080843")</f>
        <v>0</v>
      </c>
      <c r="B6008" t="s">
        <v>1313</v>
      </c>
      <c r="C6008" t="s">
        <v>9138</v>
      </c>
      <c r="D6008" t="s">
        <v>17415</v>
      </c>
      <c r="E6008" t="s">
        <v>22688</v>
      </c>
      <c r="F6008" t="s">
        <v>30052</v>
      </c>
      <c r="G6008" t="s">
        <v>30059</v>
      </c>
      <c r="H6008" t="s">
        <v>15498</v>
      </c>
      <c r="I6008" t="s">
        <v>30153</v>
      </c>
      <c r="J6008" t="s">
        <v>33975</v>
      </c>
      <c r="K6008" t="s">
        <v>39017</v>
      </c>
      <c r="M6008" t="s">
        <v>41366</v>
      </c>
      <c r="N6008" t="s">
        <v>43166</v>
      </c>
      <c r="O6008" t="s">
        <v>43167</v>
      </c>
      <c r="P6008">
        <v>0</v>
      </c>
      <c r="Q6008">
        <v>0</v>
      </c>
      <c r="R6008" t="s">
        <v>43172</v>
      </c>
      <c r="S6008" t="s">
        <v>43334</v>
      </c>
      <c r="T6008" t="s">
        <v>44717</v>
      </c>
      <c r="U6008" t="s">
        <v>50104</v>
      </c>
      <c r="W6008" t="s">
        <v>41366</v>
      </c>
      <c r="X6008" t="s">
        <v>43173</v>
      </c>
    </row>
    <row r="6009" spans="1:24">
      <c r="A6009">
        <f>HYPERLINK("https://www.philgeps.gov.ph/GEPSNONPILOT/Tender/SplashBidNoticeAbstractUI.aspx?menuIndex=3&amp;refID=7080842&amp;Result=3","7080842")</f>
        <v>0</v>
      </c>
      <c r="B6009" t="s">
        <v>1974</v>
      </c>
      <c r="C6009" t="s">
        <v>9139</v>
      </c>
      <c r="D6009" t="s">
        <v>17435</v>
      </c>
      <c r="E6009" t="s">
        <v>22689</v>
      </c>
      <c r="F6009" t="s">
        <v>30052</v>
      </c>
      <c r="G6009" t="s">
        <v>30058</v>
      </c>
      <c r="H6009" t="s">
        <v>30067</v>
      </c>
      <c r="I6009" t="s">
        <v>3693</v>
      </c>
      <c r="J6009" t="s">
        <v>33961</v>
      </c>
      <c r="K6009" t="s">
        <v>39019</v>
      </c>
      <c r="M6009" t="s">
        <v>41415</v>
      </c>
      <c r="N6009" t="s">
        <v>43166</v>
      </c>
      <c r="O6009" t="s">
        <v>43167</v>
      </c>
      <c r="P6009">
        <v>0</v>
      </c>
      <c r="Q6009">
        <v>0</v>
      </c>
      <c r="R6009" t="s">
        <v>43172</v>
      </c>
      <c r="S6009" t="s">
        <v>43334</v>
      </c>
      <c r="T6009" t="s">
        <v>44710</v>
      </c>
      <c r="U6009" t="s">
        <v>50085</v>
      </c>
      <c r="V6009" t="s">
        <v>57457</v>
      </c>
      <c r="W6009" t="s">
        <v>41415</v>
      </c>
      <c r="X6009" t="s">
        <v>43173</v>
      </c>
    </row>
    <row r="6010" spans="1:24">
      <c r="A6010">
        <f>HYPERLINK("https://www.philgeps.gov.ph/GEPSNONPILOT/Tender/SplashBidNoticeAbstractUI.aspx?menuIndex=3&amp;refID=7080870&amp;Result=3","7080870")</f>
        <v>0</v>
      </c>
      <c r="B6010" t="s">
        <v>1996</v>
      </c>
      <c r="C6010" t="s">
        <v>9140</v>
      </c>
      <c r="D6010" t="s">
        <v>17449</v>
      </c>
      <c r="E6010" t="s">
        <v>9140</v>
      </c>
      <c r="F6010" t="s">
        <v>30052</v>
      </c>
      <c r="G6010" t="s">
        <v>30059</v>
      </c>
      <c r="H6010" t="s">
        <v>15498</v>
      </c>
      <c r="I6010" t="s">
        <v>30073</v>
      </c>
      <c r="J6010" t="s">
        <v>30297</v>
      </c>
      <c r="K6010" t="s">
        <v>39034</v>
      </c>
      <c r="M6010" t="s">
        <v>41439</v>
      </c>
      <c r="N6010" t="s">
        <v>43166</v>
      </c>
      <c r="O6010" t="s">
        <v>43167</v>
      </c>
      <c r="P6010">
        <v>0</v>
      </c>
      <c r="Q6010">
        <v>0</v>
      </c>
      <c r="R6010" t="s">
        <v>43172</v>
      </c>
      <c r="S6010" t="s">
        <v>43334</v>
      </c>
      <c r="T6010" t="s">
        <v>44842</v>
      </c>
      <c r="U6010" t="s">
        <v>50105</v>
      </c>
      <c r="W6010" t="s">
        <v>41439</v>
      </c>
      <c r="X6010" t="s">
        <v>43173</v>
      </c>
    </row>
    <row r="6011" spans="1:24">
      <c r="A6011">
        <f>HYPERLINK("https://www.philgeps.gov.ph/GEPSNONPILOT/Tender/SplashBidNoticeAbstractUI.aspx?menuIndex=3&amp;refID=7080891&amp;Result=3","7080891")</f>
        <v>0</v>
      </c>
      <c r="B6011" t="s">
        <v>1505</v>
      </c>
      <c r="C6011" t="s">
        <v>9141</v>
      </c>
      <c r="D6011" t="s">
        <v>17462</v>
      </c>
      <c r="E6011" t="s">
        <v>22690</v>
      </c>
      <c r="F6011" t="s">
        <v>30052</v>
      </c>
      <c r="G6011" t="s">
        <v>30058</v>
      </c>
      <c r="H6011" t="s">
        <v>30067</v>
      </c>
      <c r="I6011" t="s">
        <v>3693</v>
      </c>
      <c r="J6011" t="s">
        <v>31728</v>
      </c>
      <c r="K6011" t="s">
        <v>39166</v>
      </c>
      <c r="M6011" t="s">
        <v>40889</v>
      </c>
      <c r="N6011" t="s">
        <v>43166</v>
      </c>
      <c r="O6011" t="s">
        <v>43167</v>
      </c>
      <c r="P6011">
        <v>0</v>
      </c>
      <c r="Q6011">
        <v>5</v>
      </c>
      <c r="R6011" t="s">
        <v>43172</v>
      </c>
      <c r="S6011" t="s">
        <v>43334</v>
      </c>
      <c r="T6011" t="s">
        <v>44842</v>
      </c>
      <c r="U6011" t="s">
        <v>49934</v>
      </c>
      <c r="W6011" t="s">
        <v>58641</v>
      </c>
      <c r="X6011" t="s">
        <v>43173</v>
      </c>
    </row>
    <row r="6012" spans="1:24">
      <c r="A6012">
        <f>HYPERLINK("https://www.philgeps.gov.ph/GEPSNONPILOT/Tender/SplashBidNoticeAbstractUI.aspx?menuIndex=3&amp;refID=7080861&amp;Result=3","7080861")</f>
        <v>0</v>
      </c>
      <c r="B6012" t="s">
        <v>1951</v>
      </c>
      <c r="C6012" t="s">
        <v>3459</v>
      </c>
      <c r="D6012" t="s">
        <v>17466</v>
      </c>
      <c r="E6012" t="s">
        <v>22691</v>
      </c>
      <c r="F6012" t="s">
        <v>30052</v>
      </c>
      <c r="G6012" t="s">
        <v>30062</v>
      </c>
      <c r="H6012" t="s">
        <v>15498</v>
      </c>
      <c r="I6012" t="s">
        <v>30070</v>
      </c>
      <c r="J6012" t="s">
        <v>33879</v>
      </c>
      <c r="K6012" t="s">
        <v>39025</v>
      </c>
      <c r="M6012" t="s">
        <v>41388</v>
      </c>
      <c r="N6012" t="s">
        <v>43166</v>
      </c>
      <c r="O6012" t="s">
        <v>43167</v>
      </c>
      <c r="P6012">
        <v>0</v>
      </c>
      <c r="Q6012">
        <v>0</v>
      </c>
      <c r="R6012" t="s">
        <v>43172</v>
      </c>
      <c r="S6012" t="s">
        <v>43334</v>
      </c>
      <c r="T6012" t="s">
        <v>44691</v>
      </c>
      <c r="U6012" t="s">
        <v>50106</v>
      </c>
      <c r="W6012" t="s">
        <v>41388</v>
      </c>
      <c r="X6012" t="s">
        <v>43173</v>
      </c>
    </row>
    <row r="6013" spans="1:24">
      <c r="A6013">
        <f>HYPERLINK("https://www.philgeps.gov.ph/GEPSNONPILOT/Tender/SplashBidNoticeAbstractUI.aspx?menuIndex=3&amp;refID=7080774&amp;Result=3","7080774")</f>
        <v>0</v>
      </c>
      <c r="B6013" t="s">
        <v>261</v>
      </c>
      <c r="C6013" t="s">
        <v>9142</v>
      </c>
      <c r="D6013" t="s">
        <v>17454</v>
      </c>
      <c r="E6013" t="s">
        <v>22692</v>
      </c>
      <c r="F6013" t="s">
        <v>30052</v>
      </c>
      <c r="G6013" t="s">
        <v>30061</v>
      </c>
      <c r="H6013" t="s">
        <v>15498</v>
      </c>
      <c r="I6013" t="s">
        <v>30073</v>
      </c>
      <c r="J6013" t="s">
        <v>33976</v>
      </c>
      <c r="K6013" t="s">
        <v>39019</v>
      </c>
      <c r="M6013" t="s">
        <v>39552</v>
      </c>
      <c r="N6013" t="s">
        <v>43166</v>
      </c>
      <c r="O6013" t="s">
        <v>43167</v>
      </c>
      <c r="P6013">
        <v>0</v>
      </c>
      <c r="Q6013">
        <v>0</v>
      </c>
      <c r="R6013" t="s">
        <v>43172</v>
      </c>
      <c r="S6013" t="s">
        <v>43334</v>
      </c>
      <c r="T6013" t="s">
        <v>44864</v>
      </c>
      <c r="U6013" t="s">
        <v>50107</v>
      </c>
      <c r="W6013" t="s">
        <v>39552</v>
      </c>
      <c r="X6013" t="s">
        <v>43173</v>
      </c>
    </row>
    <row r="6014" spans="1:24">
      <c r="A6014">
        <f>HYPERLINK("https://www.philgeps.gov.ph/GEPSNONPILOT/Tender/SplashBidNoticeAbstractUI.aspx?menuIndex=3&amp;refID=7080890&amp;Result=3","7080890")</f>
        <v>0</v>
      </c>
      <c r="B6014" t="s">
        <v>1840</v>
      </c>
      <c r="C6014" t="s">
        <v>9143</v>
      </c>
      <c r="D6014" t="s">
        <v>17449</v>
      </c>
      <c r="E6014" t="s">
        <v>22693</v>
      </c>
      <c r="F6014" t="s">
        <v>30052</v>
      </c>
      <c r="G6014" t="s">
        <v>30061</v>
      </c>
      <c r="H6014" t="s">
        <v>15498</v>
      </c>
      <c r="I6014" t="s">
        <v>3852</v>
      </c>
      <c r="J6014" t="s">
        <v>33977</v>
      </c>
      <c r="K6014" t="s">
        <v>39029</v>
      </c>
      <c r="M6014" t="s">
        <v>41265</v>
      </c>
      <c r="N6014" t="s">
        <v>43166</v>
      </c>
      <c r="O6014" t="s">
        <v>43167</v>
      </c>
      <c r="P6014">
        <v>0</v>
      </c>
      <c r="Q6014">
        <v>2</v>
      </c>
      <c r="R6014" t="s">
        <v>43172</v>
      </c>
      <c r="S6014" t="s">
        <v>43334</v>
      </c>
      <c r="T6014" t="s">
        <v>44717</v>
      </c>
      <c r="U6014" t="s">
        <v>49579</v>
      </c>
      <c r="V6014" t="s">
        <v>57421</v>
      </c>
      <c r="W6014" t="s">
        <v>41265</v>
      </c>
      <c r="X6014" t="s">
        <v>43173</v>
      </c>
    </row>
    <row r="6015" spans="1:24">
      <c r="A6015">
        <f>HYPERLINK("https://www.philgeps.gov.ph/GEPSNONPILOT/Tender/SplashBidNoticeAbstractUI.aspx?menuIndex=3&amp;refID=7080888&amp;Result=3","7080888")</f>
        <v>0</v>
      </c>
      <c r="B6015" t="s">
        <v>1997</v>
      </c>
      <c r="C6015" t="s">
        <v>9144</v>
      </c>
      <c r="D6015" t="s">
        <v>17422</v>
      </c>
      <c r="E6015" t="s">
        <v>22694</v>
      </c>
      <c r="F6015" t="s">
        <v>30052</v>
      </c>
      <c r="G6015" t="s">
        <v>30058</v>
      </c>
      <c r="H6015" t="s">
        <v>15498</v>
      </c>
      <c r="I6015" t="s">
        <v>3736</v>
      </c>
      <c r="J6015" t="s">
        <v>33978</v>
      </c>
      <c r="K6015" t="s">
        <v>39029</v>
      </c>
      <c r="M6015" t="s">
        <v>41440</v>
      </c>
      <c r="N6015" t="s">
        <v>43166</v>
      </c>
      <c r="O6015" t="s">
        <v>43167</v>
      </c>
      <c r="P6015">
        <v>0</v>
      </c>
      <c r="Q6015">
        <v>0</v>
      </c>
      <c r="R6015" t="s">
        <v>43172</v>
      </c>
      <c r="S6015" t="s">
        <v>43334</v>
      </c>
      <c r="T6015" t="s">
        <v>44691</v>
      </c>
      <c r="U6015" t="s">
        <v>50108</v>
      </c>
      <c r="W6015" t="s">
        <v>41440</v>
      </c>
      <c r="X6015" t="s">
        <v>43173</v>
      </c>
    </row>
    <row r="6016" spans="1:24">
      <c r="A6016">
        <f>HYPERLINK("https://www.philgeps.gov.ph/GEPSNONPILOT/Tender/SplashBidNoticeAbstractUI.aspx?menuIndex=3&amp;refID=7080886&amp;Result=3","7080886")</f>
        <v>0</v>
      </c>
      <c r="B6016" t="s">
        <v>1184</v>
      </c>
      <c r="C6016" t="s">
        <v>9145</v>
      </c>
      <c r="D6016" t="s">
        <v>17427</v>
      </c>
      <c r="E6016" t="s">
        <v>20290</v>
      </c>
      <c r="F6016" t="s">
        <v>30052</v>
      </c>
      <c r="G6016" t="s">
        <v>30058</v>
      </c>
      <c r="H6016" t="s">
        <v>30067</v>
      </c>
      <c r="I6016" t="s">
        <v>3693</v>
      </c>
      <c r="J6016" t="s">
        <v>33979</v>
      </c>
      <c r="K6016" t="s">
        <v>39065</v>
      </c>
      <c r="M6016" t="s">
        <v>40535</v>
      </c>
      <c r="N6016" t="s">
        <v>43166</v>
      </c>
      <c r="O6016" t="s">
        <v>43167</v>
      </c>
      <c r="P6016">
        <v>0</v>
      </c>
      <c r="Q6016">
        <v>0</v>
      </c>
      <c r="R6016" t="s">
        <v>43172</v>
      </c>
      <c r="S6016" t="s">
        <v>43334</v>
      </c>
      <c r="T6016" t="s">
        <v>44695</v>
      </c>
      <c r="U6016" t="s">
        <v>50109</v>
      </c>
      <c r="W6016" t="s">
        <v>40535</v>
      </c>
      <c r="X6016" t="s">
        <v>43173</v>
      </c>
    </row>
    <row r="6017" spans="1:24">
      <c r="A6017">
        <f>HYPERLINK("https://www.philgeps.gov.ph/GEPSNONPILOT/Tender/SplashBidNoticeAbstractUI.aspx?menuIndex=3&amp;refID=7080885&amp;Result=3","7080885")</f>
        <v>0</v>
      </c>
      <c r="B6017" t="s">
        <v>918</v>
      </c>
      <c r="C6017" t="s">
        <v>9146</v>
      </c>
      <c r="D6017" t="s">
        <v>17424</v>
      </c>
      <c r="E6017" t="s">
        <v>22695</v>
      </c>
      <c r="F6017" t="s">
        <v>30052</v>
      </c>
      <c r="G6017" t="s">
        <v>30063</v>
      </c>
      <c r="H6017" t="s">
        <v>30067</v>
      </c>
      <c r="I6017" t="s">
        <v>3693</v>
      </c>
      <c r="J6017" t="s">
        <v>33980</v>
      </c>
      <c r="K6017" t="s">
        <v>39020</v>
      </c>
      <c r="M6017" t="s">
        <v>40241</v>
      </c>
      <c r="N6017" t="s">
        <v>43166</v>
      </c>
      <c r="O6017" t="s">
        <v>43167</v>
      </c>
      <c r="P6017">
        <v>0</v>
      </c>
      <c r="Q6017">
        <v>6</v>
      </c>
      <c r="R6017" t="s">
        <v>43172</v>
      </c>
      <c r="S6017" t="s">
        <v>43334</v>
      </c>
      <c r="T6017" t="s">
        <v>44722</v>
      </c>
      <c r="U6017" t="s">
        <v>50110</v>
      </c>
      <c r="V6017" t="s">
        <v>57086</v>
      </c>
      <c r="W6017" t="s">
        <v>40241</v>
      </c>
      <c r="X6017" t="s">
        <v>43173</v>
      </c>
    </row>
    <row r="6018" spans="1:24">
      <c r="A6018">
        <f>HYPERLINK("https://www.philgeps.gov.ph/GEPSNONPILOT/Tender/SplashBidNoticeAbstractUI.aspx?menuIndex=3&amp;refID=7080883&amp;Result=3","7080883")</f>
        <v>0</v>
      </c>
      <c r="B6018" t="s">
        <v>701</v>
      </c>
      <c r="C6018" t="s">
        <v>9147</v>
      </c>
      <c r="D6018" t="s">
        <v>17419</v>
      </c>
      <c r="E6018" t="s">
        <v>22696</v>
      </c>
      <c r="F6018" t="s">
        <v>30052</v>
      </c>
      <c r="G6018" t="s">
        <v>30059</v>
      </c>
      <c r="H6018" t="s">
        <v>15498</v>
      </c>
      <c r="I6018" t="s">
        <v>30100</v>
      </c>
      <c r="J6018" t="s">
        <v>31258</v>
      </c>
      <c r="K6018" t="s">
        <v>39025</v>
      </c>
      <c r="M6018" t="s">
        <v>40858</v>
      </c>
      <c r="N6018" t="s">
        <v>43166</v>
      </c>
      <c r="O6018" t="s">
        <v>43167</v>
      </c>
      <c r="P6018">
        <v>0</v>
      </c>
      <c r="Q6018">
        <v>0</v>
      </c>
      <c r="R6018" t="s">
        <v>43172</v>
      </c>
      <c r="S6018" t="s">
        <v>43334</v>
      </c>
      <c r="T6018" t="s">
        <v>44717</v>
      </c>
      <c r="U6018" t="s">
        <v>50111</v>
      </c>
      <c r="W6018" t="s">
        <v>40858</v>
      </c>
      <c r="X6018" t="s">
        <v>43173</v>
      </c>
    </row>
    <row r="6019" spans="1:24">
      <c r="A6019">
        <f>HYPERLINK("https://www.philgeps.gov.ph/GEPSNONPILOT/Tender/SplashBidNoticeAbstractUI.aspx?menuIndex=3&amp;refID=7080776&amp;Result=3","7080776")</f>
        <v>0</v>
      </c>
      <c r="B6019" t="s">
        <v>1998</v>
      </c>
      <c r="C6019" t="s">
        <v>9148</v>
      </c>
      <c r="D6019" t="s">
        <v>17441</v>
      </c>
      <c r="E6019" t="s">
        <v>22697</v>
      </c>
      <c r="F6019" t="s">
        <v>30052</v>
      </c>
      <c r="G6019" t="s">
        <v>30059</v>
      </c>
      <c r="H6019" t="s">
        <v>30067</v>
      </c>
      <c r="I6019" t="s">
        <v>3693</v>
      </c>
      <c r="J6019" t="s">
        <v>30208</v>
      </c>
      <c r="K6019" t="s">
        <v>39029</v>
      </c>
      <c r="L6019" t="s">
        <v>1998</v>
      </c>
      <c r="M6019" t="s">
        <v>41441</v>
      </c>
      <c r="N6019" t="s">
        <v>43166</v>
      </c>
      <c r="O6019" t="s">
        <v>43167</v>
      </c>
      <c r="P6019">
        <v>0</v>
      </c>
      <c r="Q6019">
        <v>3</v>
      </c>
      <c r="R6019" t="s">
        <v>43172</v>
      </c>
      <c r="S6019" t="s">
        <v>43334</v>
      </c>
      <c r="T6019" t="s">
        <v>44787</v>
      </c>
      <c r="U6019" t="s">
        <v>50112</v>
      </c>
      <c r="W6019" t="s">
        <v>41441</v>
      </c>
      <c r="X6019" t="s">
        <v>43173</v>
      </c>
    </row>
    <row r="6020" spans="1:24">
      <c r="A6020">
        <f>HYPERLINK("https://www.philgeps.gov.ph/GEPSNONPILOT/Tender/SplashBidNoticeAbstractUI.aspx?menuIndex=3&amp;refID=7080889&amp;Result=3","7080889")</f>
        <v>0</v>
      </c>
      <c r="B6020" t="s">
        <v>1999</v>
      </c>
      <c r="C6020" t="s">
        <v>9149</v>
      </c>
      <c r="D6020" t="s">
        <v>17446</v>
      </c>
      <c r="E6020" t="s">
        <v>22698</v>
      </c>
      <c r="F6020" t="s">
        <v>30052</v>
      </c>
      <c r="G6020" t="s">
        <v>30058</v>
      </c>
      <c r="H6020" t="s">
        <v>15498</v>
      </c>
      <c r="I6020" t="s">
        <v>30126</v>
      </c>
      <c r="J6020" t="s">
        <v>32540</v>
      </c>
      <c r="K6020" t="s">
        <v>39029</v>
      </c>
      <c r="M6020" t="s">
        <v>41442</v>
      </c>
      <c r="N6020" t="s">
        <v>43166</v>
      </c>
      <c r="O6020" t="s">
        <v>43167</v>
      </c>
      <c r="P6020">
        <v>0</v>
      </c>
      <c r="Q6020">
        <v>2</v>
      </c>
      <c r="R6020" t="s">
        <v>43172</v>
      </c>
      <c r="S6020" t="s">
        <v>43334</v>
      </c>
      <c r="T6020" t="s">
        <v>44698</v>
      </c>
      <c r="U6020" t="s">
        <v>50113</v>
      </c>
      <c r="W6020" t="s">
        <v>41442</v>
      </c>
      <c r="X6020" t="s">
        <v>43173</v>
      </c>
    </row>
    <row r="6021" spans="1:24">
      <c r="A6021">
        <f>HYPERLINK("https://www.philgeps.gov.ph/GEPSNONPILOT/Tender/SplashBidNoticeAbstractUI.aspx?menuIndex=3&amp;refID=7080881&amp;Result=3","7080881")</f>
        <v>0</v>
      </c>
      <c r="B6021" t="s">
        <v>757</v>
      </c>
      <c r="C6021" t="s">
        <v>9150</v>
      </c>
      <c r="D6021" t="s">
        <v>17462</v>
      </c>
      <c r="E6021" t="s">
        <v>22699</v>
      </c>
      <c r="F6021" t="s">
        <v>30052</v>
      </c>
      <c r="G6021" t="s">
        <v>30058</v>
      </c>
      <c r="H6021" t="s">
        <v>15498</v>
      </c>
      <c r="I6021" t="s">
        <v>4598</v>
      </c>
      <c r="J6021" t="s">
        <v>33981</v>
      </c>
      <c r="K6021" t="s">
        <v>39025</v>
      </c>
      <c r="M6021" t="s">
        <v>40071</v>
      </c>
      <c r="N6021" t="s">
        <v>43166</v>
      </c>
      <c r="O6021" t="s">
        <v>43167</v>
      </c>
      <c r="P6021">
        <v>0</v>
      </c>
      <c r="Q6021">
        <v>8</v>
      </c>
      <c r="R6021" t="s">
        <v>43172</v>
      </c>
      <c r="S6021" t="s">
        <v>43334</v>
      </c>
      <c r="T6021" t="s">
        <v>44966</v>
      </c>
      <c r="U6021" t="s">
        <v>50114</v>
      </c>
      <c r="W6021" t="s">
        <v>40071</v>
      </c>
      <c r="X6021" t="s">
        <v>43173</v>
      </c>
    </row>
    <row r="6022" spans="1:24">
      <c r="A6022">
        <f>HYPERLINK("https://www.philgeps.gov.ph/GEPSNONPILOT/Tender/SplashBidNoticeAbstractUI.aspx?menuIndex=3&amp;refID=7080887&amp;Result=3","7080887")</f>
        <v>0</v>
      </c>
      <c r="B6022" t="s">
        <v>2000</v>
      </c>
      <c r="C6022" t="s">
        <v>9151</v>
      </c>
      <c r="D6022" t="s">
        <v>17471</v>
      </c>
      <c r="E6022" t="s">
        <v>18907</v>
      </c>
      <c r="F6022" t="s">
        <v>30052</v>
      </c>
      <c r="G6022" t="s">
        <v>30058</v>
      </c>
      <c r="H6022" t="s">
        <v>15498</v>
      </c>
      <c r="I6022" t="s">
        <v>3736</v>
      </c>
      <c r="J6022" t="s">
        <v>31499</v>
      </c>
      <c r="K6022" t="s">
        <v>39029</v>
      </c>
      <c r="M6022" t="s">
        <v>41443</v>
      </c>
      <c r="N6022" t="s">
        <v>43166</v>
      </c>
      <c r="O6022" t="s">
        <v>43167</v>
      </c>
      <c r="P6022">
        <v>0</v>
      </c>
      <c r="Q6022">
        <v>0</v>
      </c>
      <c r="R6022" t="s">
        <v>43172</v>
      </c>
      <c r="S6022" t="s">
        <v>43334</v>
      </c>
      <c r="T6022" t="s">
        <v>44710</v>
      </c>
      <c r="U6022" t="s">
        <v>50115</v>
      </c>
      <c r="W6022" t="s">
        <v>41443</v>
      </c>
      <c r="X6022" t="s">
        <v>43173</v>
      </c>
    </row>
    <row r="6023" spans="1:24">
      <c r="A6023">
        <f>HYPERLINK("https://www.philgeps.gov.ph/GEPSNONPILOT/Tender/SplashBidNoticeAbstractUI.aspx?menuIndex=3&amp;refID=7080880&amp;Result=3","7080880")</f>
        <v>0</v>
      </c>
      <c r="B6023" t="s">
        <v>1505</v>
      </c>
      <c r="C6023" t="s">
        <v>9152</v>
      </c>
      <c r="D6023" t="s">
        <v>17462</v>
      </c>
      <c r="E6023" t="s">
        <v>22700</v>
      </c>
      <c r="F6023" t="s">
        <v>30052</v>
      </c>
      <c r="G6023" t="s">
        <v>30058</v>
      </c>
      <c r="H6023" t="s">
        <v>30067</v>
      </c>
      <c r="I6023" t="s">
        <v>3693</v>
      </c>
      <c r="J6023" t="s">
        <v>31728</v>
      </c>
      <c r="K6023" t="s">
        <v>39022</v>
      </c>
      <c r="M6023" t="s">
        <v>40889</v>
      </c>
      <c r="N6023" t="s">
        <v>43166</v>
      </c>
      <c r="O6023" t="s">
        <v>43167</v>
      </c>
      <c r="P6023">
        <v>0</v>
      </c>
      <c r="Q6023">
        <v>5</v>
      </c>
      <c r="R6023" t="s">
        <v>43172</v>
      </c>
      <c r="S6023" t="s">
        <v>43334</v>
      </c>
      <c r="T6023" t="s">
        <v>44842</v>
      </c>
      <c r="U6023" t="s">
        <v>49934</v>
      </c>
      <c r="W6023" t="s">
        <v>58641</v>
      </c>
      <c r="X6023" t="s">
        <v>43173</v>
      </c>
    </row>
    <row r="6024" spans="1:24">
      <c r="A6024">
        <f>HYPERLINK("https://www.philgeps.gov.ph/GEPSNONPILOT/Tender/SplashBidNoticeAbstractUI.aspx?menuIndex=3&amp;refID=7080878&amp;Result=3","7080878")</f>
        <v>0</v>
      </c>
      <c r="B6024" t="s">
        <v>429</v>
      </c>
      <c r="C6024" t="s">
        <v>9153</v>
      </c>
      <c r="D6024" t="s">
        <v>17433</v>
      </c>
      <c r="E6024" t="s">
        <v>22701</v>
      </c>
      <c r="F6024" t="s">
        <v>30052</v>
      </c>
      <c r="G6024" t="s">
        <v>30058</v>
      </c>
      <c r="H6024" t="s">
        <v>15498</v>
      </c>
      <c r="I6024" t="s">
        <v>7228</v>
      </c>
      <c r="J6024" t="s">
        <v>30286</v>
      </c>
      <c r="K6024" t="s">
        <v>39034</v>
      </c>
      <c r="M6024" t="s">
        <v>39728</v>
      </c>
      <c r="N6024" t="s">
        <v>43166</v>
      </c>
      <c r="O6024" t="s">
        <v>43167</v>
      </c>
      <c r="P6024">
        <v>0</v>
      </c>
      <c r="Q6024">
        <v>0</v>
      </c>
      <c r="R6024" t="s">
        <v>43172</v>
      </c>
      <c r="S6024" t="s">
        <v>43334</v>
      </c>
      <c r="T6024" t="s">
        <v>44691</v>
      </c>
      <c r="U6024" t="s">
        <v>50116</v>
      </c>
      <c r="W6024" t="s">
        <v>39728</v>
      </c>
      <c r="X6024" t="s">
        <v>43173</v>
      </c>
    </row>
    <row r="6025" spans="1:24">
      <c r="A6025">
        <f>HYPERLINK("https://www.philgeps.gov.ph/GEPSNONPILOT/Tender/SplashBidNoticeAbstractUI.aspx?menuIndex=3&amp;refID=7080874&amp;Result=3","7080874")</f>
        <v>0</v>
      </c>
      <c r="B6025" t="s">
        <v>1992</v>
      </c>
      <c r="C6025" t="s">
        <v>9154</v>
      </c>
      <c r="D6025" t="s">
        <v>17459</v>
      </c>
      <c r="E6025" t="s">
        <v>22702</v>
      </c>
      <c r="F6025" t="s">
        <v>30052</v>
      </c>
      <c r="G6025" t="s">
        <v>30058</v>
      </c>
      <c r="H6025" t="s">
        <v>30067</v>
      </c>
      <c r="I6025" t="s">
        <v>3693</v>
      </c>
      <c r="J6025" t="s">
        <v>33982</v>
      </c>
      <c r="K6025" t="s">
        <v>39132</v>
      </c>
      <c r="M6025" t="s">
        <v>41434</v>
      </c>
      <c r="N6025" t="s">
        <v>43166</v>
      </c>
      <c r="O6025" t="s">
        <v>43167</v>
      </c>
      <c r="P6025">
        <v>0</v>
      </c>
      <c r="Q6025">
        <v>2</v>
      </c>
      <c r="R6025" t="s">
        <v>43172</v>
      </c>
      <c r="S6025" t="s">
        <v>43334</v>
      </c>
      <c r="T6025" t="s">
        <v>44752</v>
      </c>
      <c r="U6025" t="s">
        <v>50117</v>
      </c>
      <c r="W6025" t="s">
        <v>41434</v>
      </c>
      <c r="X6025" t="s">
        <v>43173</v>
      </c>
    </row>
    <row r="6026" spans="1:24">
      <c r="A6026">
        <f>HYPERLINK("https://www.philgeps.gov.ph/GEPSNONPILOT/Tender/SplashBidNoticeAbstractUI.aspx?menuIndex=3&amp;refID=7080872&amp;Result=3","7080872")</f>
        <v>0</v>
      </c>
      <c r="B6026" t="s">
        <v>1972</v>
      </c>
      <c r="C6026" t="s">
        <v>9155</v>
      </c>
      <c r="D6026" t="s">
        <v>17473</v>
      </c>
      <c r="E6026" t="s">
        <v>18238</v>
      </c>
      <c r="F6026" t="s">
        <v>30052</v>
      </c>
      <c r="G6026" t="s">
        <v>30062</v>
      </c>
      <c r="H6026" t="s">
        <v>15498</v>
      </c>
      <c r="I6026" t="s">
        <v>30070</v>
      </c>
      <c r="J6026" t="s">
        <v>33415</v>
      </c>
      <c r="K6026" t="s">
        <v>39017</v>
      </c>
      <c r="M6026" t="s">
        <v>41413</v>
      </c>
      <c r="N6026" t="s">
        <v>43166</v>
      </c>
      <c r="O6026" t="s">
        <v>43167</v>
      </c>
      <c r="P6026">
        <v>0</v>
      </c>
      <c r="Q6026">
        <v>0</v>
      </c>
      <c r="R6026" t="s">
        <v>43172</v>
      </c>
      <c r="S6026" t="s">
        <v>43334</v>
      </c>
      <c r="T6026" t="s">
        <v>44720</v>
      </c>
      <c r="U6026" t="s">
        <v>50118</v>
      </c>
      <c r="W6026" t="s">
        <v>41413</v>
      </c>
      <c r="X6026" t="s">
        <v>43173</v>
      </c>
    </row>
    <row r="6027" spans="1:24">
      <c r="A6027">
        <f>HYPERLINK("https://www.philgeps.gov.ph/GEPSNONPILOT/Tender/SplashBidNoticeAbstractUI.aspx?menuIndex=3&amp;refID=7080868&amp;Result=3","7080868")</f>
        <v>0</v>
      </c>
      <c r="B6027" t="s">
        <v>1009</v>
      </c>
      <c r="C6027" t="s">
        <v>9156</v>
      </c>
      <c r="D6027" t="s">
        <v>17474</v>
      </c>
      <c r="E6027" t="s">
        <v>22703</v>
      </c>
      <c r="F6027" t="s">
        <v>30052</v>
      </c>
      <c r="G6027" t="s">
        <v>30058</v>
      </c>
      <c r="H6027" t="s">
        <v>15498</v>
      </c>
      <c r="I6027" t="s">
        <v>3606</v>
      </c>
      <c r="J6027" t="s">
        <v>33983</v>
      </c>
      <c r="K6027" t="s">
        <v>39034</v>
      </c>
      <c r="M6027" t="s">
        <v>40338</v>
      </c>
      <c r="N6027" t="s">
        <v>43166</v>
      </c>
      <c r="O6027" t="s">
        <v>43167</v>
      </c>
      <c r="P6027">
        <v>0</v>
      </c>
      <c r="Q6027">
        <v>4</v>
      </c>
      <c r="R6027" t="s">
        <v>43172</v>
      </c>
      <c r="S6027" t="s">
        <v>43334</v>
      </c>
      <c r="T6027" t="s">
        <v>44807</v>
      </c>
      <c r="U6027" t="s">
        <v>50119</v>
      </c>
      <c r="W6027" t="s">
        <v>40338</v>
      </c>
      <c r="X6027" t="s">
        <v>43173</v>
      </c>
    </row>
    <row r="6028" spans="1:24">
      <c r="A6028">
        <f>HYPERLINK("https://www.philgeps.gov.ph/GEPSNONPILOT/Tender/SplashBidNoticeAbstractUI.aspx?menuIndex=3&amp;refID=7080858&amp;Result=3","7080858")</f>
        <v>0</v>
      </c>
      <c r="B6028" t="s">
        <v>1505</v>
      </c>
      <c r="C6028" t="s">
        <v>9157</v>
      </c>
      <c r="D6028" t="s">
        <v>17462</v>
      </c>
      <c r="E6028" t="s">
        <v>22704</v>
      </c>
      <c r="F6028" t="s">
        <v>30052</v>
      </c>
      <c r="G6028" t="s">
        <v>30058</v>
      </c>
      <c r="H6028" t="s">
        <v>30067</v>
      </c>
      <c r="I6028" t="s">
        <v>3693</v>
      </c>
      <c r="J6028" t="s">
        <v>33984</v>
      </c>
      <c r="K6028" t="s">
        <v>39057</v>
      </c>
      <c r="M6028" t="s">
        <v>40889</v>
      </c>
      <c r="N6028" t="s">
        <v>43166</v>
      </c>
      <c r="O6028" t="s">
        <v>43167</v>
      </c>
      <c r="P6028">
        <v>0</v>
      </c>
      <c r="Q6028">
        <v>10</v>
      </c>
      <c r="R6028" t="s">
        <v>43172</v>
      </c>
      <c r="S6028" t="s">
        <v>43334</v>
      </c>
      <c r="T6028" t="s">
        <v>44842</v>
      </c>
      <c r="U6028" t="s">
        <v>49934</v>
      </c>
      <c r="W6028" t="s">
        <v>58641</v>
      </c>
      <c r="X6028" t="s">
        <v>43173</v>
      </c>
    </row>
    <row r="6029" spans="1:24">
      <c r="A6029">
        <f>HYPERLINK("https://www.philgeps.gov.ph/GEPSNONPILOT/Tender/SplashBidNoticeAbstractUI.aspx?menuIndex=3&amp;refID=7080865&amp;Result=3","7080865")</f>
        <v>0</v>
      </c>
      <c r="B6029" t="s">
        <v>2001</v>
      </c>
      <c r="C6029" t="s">
        <v>9158</v>
      </c>
      <c r="D6029" t="s">
        <v>17437</v>
      </c>
      <c r="E6029" t="s">
        <v>17655</v>
      </c>
      <c r="F6029" t="s">
        <v>30052</v>
      </c>
      <c r="G6029" t="s">
        <v>30058</v>
      </c>
      <c r="H6029" t="s">
        <v>15498</v>
      </c>
      <c r="I6029" t="s">
        <v>30071</v>
      </c>
      <c r="J6029" t="s">
        <v>33985</v>
      </c>
      <c r="K6029" t="s">
        <v>39025</v>
      </c>
      <c r="M6029" t="s">
        <v>41444</v>
      </c>
      <c r="N6029" t="s">
        <v>43166</v>
      </c>
      <c r="O6029" t="s">
        <v>43167</v>
      </c>
      <c r="P6029">
        <v>0</v>
      </c>
      <c r="Q6029">
        <v>1</v>
      </c>
      <c r="R6029" t="s">
        <v>43172</v>
      </c>
      <c r="S6029" t="s">
        <v>43334</v>
      </c>
      <c r="T6029" t="s">
        <v>44722</v>
      </c>
      <c r="U6029" t="s">
        <v>50120</v>
      </c>
      <c r="W6029" t="s">
        <v>41444</v>
      </c>
      <c r="X6029" t="s">
        <v>43173</v>
      </c>
    </row>
    <row r="6030" spans="1:24">
      <c r="A6030">
        <f>HYPERLINK("https://www.philgeps.gov.ph/GEPSNONPILOT/Tender/SplashBidNoticeAbstractUI.aspx?menuIndex=3&amp;refID=7080896&amp;Result=3","7080896")</f>
        <v>0</v>
      </c>
      <c r="B6030" t="s">
        <v>1498</v>
      </c>
      <c r="C6030" t="s">
        <v>9159</v>
      </c>
      <c r="D6030" t="s">
        <v>17415</v>
      </c>
      <c r="E6030" t="s">
        <v>22705</v>
      </c>
      <c r="F6030" t="s">
        <v>30052</v>
      </c>
      <c r="G6030" t="s">
        <v>30059</v>
      </c>
      <c r="H6030" t="s">
        <v>15498</v>
      </c>
      <c r="I6030" t="s">
        <v>30140</v>
      </c>
      <c r="J6030" t="s">
        <v>33986</v>
      </c>
      <c r="K6030" t="s">
        <v>39017</v>
      </c>
      <c r="M6030" t="s">
        <v>40882</v>
      </c>
      <c r="N6030" t="s">
        <v>43166</v>
      </c>
      <c r="O6030" t="s">
        <v>43167</v>
      </c>
      <c r="P6030">
        <v>0</v>
      </c>
      <c r="Q6030">
        <v>8</v>
      </c>
      <c r="R6030" t="s">
        <v>43172</v>
      </c>
      <c r="S6030" t="s">
        <v>43334</v>
      </c>
      <c r="T6030" t="s">
        <v>44803</v>
      </c>
      <c r="U6030" t="s">
        <v>48559</v>
      </c>
      <c r="W6030" t="s">
        <v>40882</v>
      </c>
      <c r="X6030" t="s">
        <v>43173</v>
      </c>
    </row>
    <row r="6031" spans="1:24">
      <c r="A6031">
        <f>HYPERLINK("https://www.philgeps.gov.ph/GEPSNONPILOT/Tender/SplashBidNoticeAbstractUI.aspx?menuIndex=3&amp;refID=7080368&amp;Result=3","7080368")</f>
        <v>0</v>
      </c>
      <c r="B6031" t="s">
        <v>1278</v>
      </c>
      <c r="C6031" t="s">
        <v>9160</v>
      </c>
      <c r="D6031" t="s">
        <v>17449</v>
      </c>
      <c r="E6031" t="s">
        <v>22706</v>
      </c>
      <c r="F6031" t="s">
        <v>30052</v>
      </c>
      <c r="G6031" t="s">
        <v>30062</v>
      </c>
      <c r="H6031" t="s">
        <v>15498</v>
      </c>
      <c r="I6031" t="s">
        <v>4119</v>
      </c>
      <c r="J6031" t="s">
        <v>31272</v>
      </c>
      <c r="K6031" t="s">
        <v>39017</v>
      </c>
      <c r="M6031" t="s">
        <v>40642</v>
      </c>
      <c r="N6031" t="s">
        <v>43166</v>
      </c>
      <c r="O6031" t="s">
        <v>43167</v>
      </c>
      <c r="P6031">
        <v>0</v>
      </c>
      <c r="Q6031">
        <v>1</v>
      </c>
      <c r="R6031" t="s">
        <v>43172</v>
      </c>
      <c r="S6031" t="s">
        <v>43334</v>
      </c>
      <c r="T6031" t="s">
        <v>44837</v>
      </c>
      <c r="U6031" t="s">
        <v>50121</v>
      </c>
      <c r="W6031" t="s">
        <v>40642</v>
      </c>
      <c r="X6031" t="s">
        <v>43173</v>
      </c>
    </row>
    <row r="6032" spans="1:24">
      <c r="A6032">
        <f>HYPERLINK("https://www.philgeps.gov.ph/GEPSNONPILOT/Tender/SplashBidNoticeAbstractUI.aspx?menuIndex=3&amp;refID=7080893&amp;Result=3","7080893")</f>
        <v>0</v>
      </c>
      <c r="B6032" t="s">
        <v>1955</v>
      </c>
      <c r="C6032" t="s">
        <v>9161</v>
      </c>
      <c r="D6032" t="s">
        <v>17427</v>
      </c>
      <c r="E6032" t="s">
        <v>22707</v>
      </c>
      <c r="F6032" t="s">
        <v>30052</v>
      </c>
      <c r="G6032" t="s">
        <v>30058</v>
      </c>
      <c r="H6032" t="s">
        <v>30067</v>
      </c>
      <c r="I6032" t="s">
        <v>3693</v>
      </c>
      <c r="J6032" t="s">
        <v>30230</v>
      </c>
      <c r="K6032" t="s">
        <v>39023</v>
      </c>
      <c r="M6032" t="s">
        <v>41392</v>
      </c>
      <c r="N6032" t="s">
        <v>43166</v>
      </c>
      <c r="O6032" t="s">
        <v>43167</v>
      </c>
      <c r="P6032">
        <v>0</v>
      </c>
      <c r="Q6032">
        <v>0</v>
      </c>
      <c r="R6032" t="s">
        <v>43172</v>
      </c>
      <c r="S6032" t="s">
        <v>43334</v>
      </c>
      <c r="T6032" t="s">
        <v>44698</v>
      </c>
      <c r="U6032" t="s">
        <v>50122</v>
      </c>
      <c r="W6032" t="s">
        <v>41392</v>
      </c>
      <c r="X6032" t="s">
        <v>43173</v>
      </c>
    </row>
    <row r="6033" spans="1:24">
      <c r="A6033">
        <f>HYPERLINK("https://www.philgeps.gov.ph/GEPSNONPILOT/Tender/SplashBidNoticeAbstractUI.aspx?menuIndex=3&amp;refID=7080933&amp;Result=3","7080933")</f>
        <v>0</v>
      </c>
      <c r="B6033" t="s">
        <v>1994</v>
      </c>
      <c r="C6033" t="s">
        <v>9162</v>
      </c>
      <c r="D6033" t="s">
        <v>17467</v>
      </c>
      <c r="E6033" t="s">
        <v>22708</v>
      </c>
      <c r="F6033" t="s">
        <v>30052</v>
      </c>
      <c r="G6033" t="s">
        <v>30058</v>
      </c>
      <c r="H6033" t="s">
        <v>15498</v>
      </c>
      <c r="I6033" t="s">
        <v>30092</v>
      </c>
      <c r="J6033" t="s">
        <v>32634</v>
      </c>
      <c r="K6033" t="s">
        <v>39034</v>
      </c>
      <c r="M6033" t="s">
        <v>41437</v>
      </c>
      <c r="N6033" t="s">
        <v>43166</v>
      </c>
      <c r="O6033" t="s">
        <v>43167</v>
      </c>
      <c r="P6033">
        <v>0</v>
      </c>
      <c r="Q6033">
        <v>2</v>
      </c>
      <c r="R6033" t="s">
        <v>43172</v>
      </c>
      <c r="S6033" t="s">
        <v>43334</v>
      </c>
      <c r="T6033" t="s">
        <v>44696</v>
      </c>
      <c r="U6033" t="s">
        <v>50123</v>
      </c>
      <c r="V6033" t="s">
        <v>57460</v>
      </c>
      <c r="W6033" t="s">
        <v>41437</v>
      </c>
      <c r="X6033" t="s">
        <v>43173</v>
      </c>
    </row>
    <row r="6034" spans="1:24">
      <c r="A6034">
        <f>HYPERLINK("https://www.philgeps.gov.ph/GEPSNONPILOT/Tender/SplashBidNoticeAbstractUI.aspx?menuIndex=3&amp;refID=7080879&amp;Result=3","7080879")</f>
        <v>0</v>
      </c>
      <c r="B6034" t="s">
        <v>1190</v>
      </c>
      <c r="C6034" t="s">
        <v>9163</v>
      </c>
      <c r="D6034" t="s">
        <v>17415</v>
      </c>
      <c r="E6034" t="s">
        <v>22709</v>
      </c>
      <c r="F6034" t="s">
        <v>30052</v>
      </c>
      <c r="G6034" t="s">
        <v>30062</v>
      </c>
      <c r="H6034" t="s">
        <v>15498</v>
      </c>
      <c r="I6034" t="s">
        <v>30091</v>
      </c>
      <c r="J6034" t="s">
        <v>33987</v>
      </c>
      <c r="K6034" t="s">
        <v>39034</v>
      </c>
      <c r="M6034" t="s">
        <v>40543</v>
      </c>
      <c r="N6034" t="s">
        <v>43166</v>
      </c>
      <c r="O6034" t="s">
        <v>43167</v>
      </c>
      <c r="P6034">
        <v>0</v>
      </c>
      <c r="Q6034">
        <v>7</v>
      </c>
      <c r="R6034" t="s">
        <v>43172</v>
      </c>
      <c r="S6034" t="s">
        <v>43334</v>
      </c>
      <c r="T6034" t="s">
        <v>44691</v>
      </c>
      <c r="U6034" t="s">
        <v>50124</v>
      </c>
      <c r="W6034" t="s">
        <v>40543</v>
      </c>
      <c r="X6034" t="s">
        <v>43173</v>
      </c>
    </row>
    <row r="6035" spans="1:24">
      <c r="A6035">
        <f>HYPERLINK("https://www.philgeps.gov.ph/GEPSNONPILOT/Tender/SplashBidNoticeAbstractUI.aspx?menuIndex=3&amp;refID=7080791&amp;Result=3","7080791")</f>
        <v>0</v>
      </c>
      <c r="B6035" t="s">
        <v>1276</v>
      </c>
      <c r="C6035" t="s">
        <v>9164</v>
      </c>
      <c r="D6035" t="s">
        <v>17427</v>
      </c>
      <c r="E6035" t="s">
        <v>19431</v>
      </c>
      <c r="F6035" t="s">
        <v>30052</v>
      </c>
      <c r="G6035" t="s">
        <v>30059</v>
      </c>
      <c r="H6035" t="s">
        <v>15498</v>
      </c>
      <c r="I6035" t="s">
        <v>30111</v>
      </c>
      <c r="J6035" t="s">
        <v>30292</v>
      </c>
      <c r="K6035" t="s">
        <v>39017</v>
      </c>
      <c r="M6035" t="s">
        <v>40637</v>
      </c>
      <c r="N6035" t="s">
        <v>43166</v>
      </c>
      <c r="O6035" t="s">
        <v>43167</v>
      </c>
      <c r="P6035">
        <v>0</v>
      </c>
      <c r="Q6035">
        <v>0</v>
      </c>
      <c r="R6035" t="s">
        <v>43172</v>
      </c>
      <c r="S6035" t="s">
        <v>43334</v>
      </c>
      <c r="T6035" t="s">
        <v>44837</v>
      </c>
      <c r="U6035" t="s">
        <v>50125</v>
      </c>
      <c r="W6035" t="s">
        <v>40637</v>
      </c>
      <c r="X6035" t="s">
        <v>43173</v>
      </c>
    </row>
    <row r="6036" spans="1:24">
      <c r="A6036">
        <f>HYPERLINK("https://www.philgeps.gov.ph/GEPSNONPILOT/Tender/SplashBidNoticeAbstractUI.aspx?menuIndex=3&amp;refID=7080924&amp;Result=3","7080924")</f>
        <v>0</v>
      </c>
      <c r="B6036" t="s">
        <v>2002</v>
      </c>
      <c r="C6036" t="s">
        <v>9165</v>
      </c>
      <c r="D6036" t="s">
        <v>17456</v>
      </c>
      <c r="E6036" t="s">
        <v>22710</v>
      </c>
      <c r="F6036" t="s">
        <v>30052</v>
      </c>
      <c r="G6036" t="s">
        <v>30058</v>
      </c>
      <c r="H6036" t="s">
        <v>15498</v>
      </c>
      <c r="I6036" t="s">
        <v>30070</v>
      </c>
      <c r="J6036" t="s">
        <v>33988</v>
      </c>
      <c r="K6036" t="s">
        <v>39029</v>
      </c>
      <c r="M6036" t="s">
        <v>41445</v>
      </c>
      <c r="N6036" t="s">
        <v>43166</v>
      </c>
      <c r="O6036" t="s">
        <v>43167</v>
      </c>
      <c r="P6036">
        <v>0</v>
      </c>
      <c r="Q6036">
        <v>6</v>
      </c>
      <c r="R6036" t="s">
        <v>43172</v>
      </c>
      <c r="S6036" t="s">
        <v>43334</v>
      </c>
      <c r="T6036" t="s">
        <v>45034</v>
      </c>
      <c r="U6036" t="s">
        <v>50126</v>
      </c>
      <c r="W6036" t="s">
        <v>41445</v>
      </c>
      <c r="X6036" t="s">
        <v>43173</v>
      </c>
    </row>
    <row r="6037" spans="1:24">
      <c r="A6037">
        <f>HYPERLINK("https://www.philgeps.gov.ph/GEPSNONPILOT/Tender/SplashBidNoticeAbstractUI.aspx?menuIndex=3&amp;refID=7080869&amp;Result=3","7080869")</f>
        <v>0</v>
      </c>
      <c r="B6037" t="s">
        <v>1505</v>
      </c>
      <c r="C6037" t="s">
        <v>9166</v>
      </c>
      <c r="D6037" t="s">
        <v>17462</v>
      </c>
      <c r="E6037" t="s">
        <v>22711</v>
      </c>
      <c r="F6037" t="s">
        <v>30052</v>
      </c>
      <c r="G6037" t="s">
        <v>30058</v>
      </c>
      <c r="H6037" t="s">
        <v>30067</v>
      </c>
      <c r="I6037" t="s">
        <v>3693</v>
      </c>
      <c r="J6037" t="s">
        <v>33989</v>
      </c>
      <c r="K6037" t="s">
        <v>39022</v>
      </c>
      <c r="M6037" t="s">
        <v>40889</v>
      </c>
      <c r="N6037" t="s">
        <v>43166</v>
      </c>
      <c r="O6037" t="s">
        <v>43167</v>
      </c>
      <c r="P6037">
        <v>0</v>
      </c>
      <c r="Q6037">
        <v>7</v>
      </c>
      <c r="R6037" t="s">
        <v>43172</v>
      </c>
      <c r="S6037" t="s">
        <v>43334</v>
      </c>
      <c r="T6037" t="s">
        <v>44842</v>
      </c>
      <c r="U6037" t="s">
        <v>49934</v>
      </c>
      <c r="W6037" t="s">
        <v>58641</v>
      </c>
      <c r="X6037" t="s">
        <v>43173</v>
      </c>
    </row>
    <row r="6038" spans="1:24">
      <c r="A6038">
        <f>HYPERLINK("https://www.philgeps.gov.ph/GEPSNONPILOT/Tender/SplashBidNoticeAbstractUI.aspx?menuIndex=3&amp;refID=7080915&amp;Result=3","7080915")</f>
        <v>0</v>
      </c>
      <c r="B6038" t="s">
        <v>1906</v>
      </c>
      <c r="C6038" t="s">
        <v>9167</v>
      </c>
      <c r="D6038" t="s">
        <v>17457</v>
      </c>
      <c r="E6038" t="s">
        <v>21744</v>
      </c>
      <c r="F6038" t="s">
        <v>30052</v>
      </c>
      <c r="G6038" t="s">
        <v>30059</v>
      </c>
      <c r="H6038" t="s">
        <v>15498</v>
      </c>
      <c r="I6038" t="s">
        <v>30169</v>
      </c>
      <c r="J6038" t="s">
        <v>31509</v>
      </c>
      <c r="K6038" t="s">
        <v>39019</v>
      </c>
      <c r="M6038" t="s">
        <v>41337</v>
      </c>
      <c r="N6038" t="s">
        <v>43166</v>
      </c>
      <c r="O6038" t="s">
        <v>43167</v>
      </c>
      <c r="P6038">
        <v>0</v>
      </c>
      <c r="Q6038">
        <v>0</v>
      </c>
      <c r="R6038" t="s">
        <v>43172</v>
      </c>
      <c r="S6038" t="s">
        <v>43334</v>
      </c>
      <c r="T6038" t="s">
        <v>44717</v>
      </c>
      <c r="U6038" t="s">
        <v>50127</v>
      </c>
      <c r="V6038" t="s">
        <v>57436</v>
      </c>
      <c r="W6038" t="s">
        <v>41337</v>
      </c>
      <c r="X6038" t="s">
        <v>43173</v>
      </c>
    </row>
    <row r="6039" spans="1:24">
      <c r="A6039">
        <f>HYPERLINK("https://www.philgeps.gov.ph/GEPSNONPILOT/Tender/SplashBidNoticeAbstractUI.aspx?menuIndex=3&amp;refID=7080864&amp;Result=3","7080864")</f>
        <v>0</v>
      </c>
      <c r="B6039" t="s">
        <v>701</v>
      </c>
      <c r="C6039" t="s">
        <v>9168</v>
      </c>
      <c r="D6039" t="s">
        <v>17419</v>
      </c>
      <c r="E6039" t="s">
        <v>22712</v>
      </c>
      <c r="F6039" t="s">
        <v>30052</v>
      </c>
      <c r="G6039" t="s">
        <v>30059</v>
      </c>
      <c r="H6039" t="s">
        <v>15498</v>
      </c>
      <c r="I6039" t="s">
        <v>30076</v>
      </c>
      <c r="J6039" t="s">
        <v>33990</v>
      </c>
      <c r="K6039" t="s">
        <v>39025</v>
      </c>
      <c r="M6039" t="s">
        <v>40858</v>
      </c>
      <c r="N6039" t="s">
        <v>43166</v>
      </c>
      <c r="O6039" t="s">
        <v>43167</v>
      </c>
      <c r="P6039">
        <v>0</v>
      </c>
      <c r="Q6039">
        <v>1</v>
      </c>
      <c r="R6039" t="s">
        <v>43172</v>
      </c>
      <c r="S6039" t="s">
        <v>43334</v>
      </c>
      <c r="T6039" t="s">
        <v>44717</v>
      </c>
      <c r="U6039" t="s">
        <v>50128</v>
      </c>
      <c r="W6039" t="s">
        <v>40858</v>
      </c>
      <c r="X6039" t="s">
        <v>43173</v>
      </c>
    </row>
    <row r="6040" spans="1:24">
      <c r="A6040">
        <f>HYPERLINK("https://www.philgeps.gov.ph/GEPSNONPILOT/Tender/SplashBidNoticeAbstractUI.aspx?menuIndex=3&amp;refID=7080914&amp;Result=3","7080914")</f>
        <v>0</v>
      </c>
      <c r="B6040" t="s">
        <v>1505</v>
      </c>
      <c r="C6040" t="s">
        <v>9169</v>
      </c>
      <c r="D6040" t="s">
        <v>17462</v>
      </c>
      <c r="E6040" t="s">
        <v>22713</v>
      </c>
      <c r="F6040" t="s">
        <v>30052</v>
      </c>
      <c r="G6040" t="s">
        <v>30058</v>
      </c>
      <c r="H6040" t="s">
        <v>30067</v>
      </c>
      <c r="I6040" t="s">
        <v>3693</v>
      </c>
      <c r="J6040" t="s">
        <v>33991</v>
      </c>
      <c r="K6040" t="s">
        <v>39031</v>
      </c>
      <c r="M6040" t="s">
        <v>40889</v>
      </c>
      <c r="N6040" t="s">
        <v>43166</v>
      </c>
      <c r="O6040" t="s">
        <v>43167</v>
      </c>
      <c r="P6040">
        <v>0</v>
      </c>
      <c r="Q6040">
        <v>9</v>
      </c>
      <c r="R6040" t="s">
        <v>43172</v>
      </c>
      <c r="S6040" t="s">
        <v>43334</v>
      </c>
      <c r="T6040" t="s">
        <v>44842</v>
      </c>
      <c r="U6040" t="s">
        <v>49934</v>
      </c>
      <c r="W6040" t="s">
        <v>58641</v>
      </c>
      <c r="X6040" t="s">
        <v>43173</v>
      </c>
    </row>
    <row r="6041" spans="1:24">
      <c r="A6041">
        <f>HYPERLINK("https://www.philgeps.gov.ph/GEPSNONPILOT/Tender/SplashBidNoticeAbstractUI.aspx?menuIndex=3&amp;refID=7080909&amp;Result=3","7080909")</f>
        <v>0</v>
      </c>
      <c r="B6041" t="s">
        <v>2003</v>
      </c>
      <c r="C6041" t="s">
        <v>9170</v>
      </c>
      <c r="D6041" t="s">
        <v>17426</v>
      </c>
      <c r="E6041" t="s">
        <v>22714</v>
      </c>
      <c r="F6041" t="s">
        <v>30052</v>
      </c>
      <c r="G6041" t="s">
        <v>30059</v>
      </c>
      <c r="H6041" t="s">
        <v>15498</v>
      </c>
      <c r="I6041" t="s">
        <v>30097</v>
      </c>
      <c r="J6041" t="s">
        <v>33992</v>
      </c>
      <c r="K6041" t="s">
        <v>39019</v>
      </c>
      <c r="M6041" t="s">
        <v>41446</v>
      </c>
      <c r="N6041" t="s">
        <v>43166</v>
      </c>
      <c r="O6041" t="s">
        <v>43167</v>
      </c>
      <c r="P6041">
        <v>0</v>
      </c>
      <c r="Q6041">
        <v>1</v>
      </c>
      <c r="R6041" t="s">
        <v>43172</v>
      </c>
      <c r="S6041" t="s">
        <v>43334</v>
      </c>
      <c r="T6041" t="s">
        <v>45035</v>
      </c>
      <c r="U6041" t="s">
        <v>50129</v>
      </c>
      <c r="W6041" t="s">
        <v>41446</v>
      </c>
      <c r="X6041" t="s">
        <v>43173</v>
      </c>
    </row>
    <row r="6042" spans="1:24">
      <c r="A6042">
        <f>HYPERLINK("https://www.philgeps.gov.ph/GEPSNONPILOT/Tender/SplashBidNoticeAbstractUI.aspx?menuIndex=3&amp;refID=7080875&amp;Result=3","7080875")</f>
        <v>0</v>
      </c>
      <c r="B6042" t="s">
        <v>1417</v>
      </c>
      <c r="C6042" t="s">
        <v>9171</v>
      </c>
      <c r="D6042" t="s">
        <v>17441</v>
      </c>
      <c r="E6042" t="s">
        <v>22715</v>
      </c>
      <c r="F6042" t="s">
        <v>30052</v>
      </c>
      <c r="G6042" t="s">
        <v>30059</v>
      </c>
      <c r="H6042" t="s">
        <v>15498</v>
      </c>
      <c r="I6042" t="s">
        <v>30071</v>
      </c>
      <c r="J6042" t="s">
        <v>33993</v>
      </c>
      <c r="K6042" t="s">
        <v>39034</v>
      </c>
      <c r="M6042" t="s">
        <v>40795</v>
      </c>
      <c r="N6042" t="s">
        <v>43166</v>
      </c>
      <c r="O6042" t="s">
        <v>43167</v>
      </c>
      <c r="P6042">
        <v>0</v>
      </c>
      <c r="Q6042">
        <v>0</v>
      </c>
      <c r="R6042" t="s">
        <v>43172</v>
      </c>
      <c r="S6042" t="s">
        <v>43334</v>
      </c>
      <c r="T6042" t="s">
        <v>44773</v>
      </c>
      <c r="U6042" t="s">
        <v>50130</v>
      </c>
      <c r="W6042" t="s">
        <v>40795</v>
      </c>
      <c r="X6042" t="s">
        <v>43173</v>
      </c>
    </row>
    <row r="6043" spans="1:24">
      <c r="A6043">
        <f>HYPERLINK("https://www.philgeps.gov.ph/GEPSNONPILOT/Tender/SplashBidNoticeAbstractUI.aspx?menuIndex=3&amp;refID=7080930&amp;Result=3","7080930")</f>
        <v>0</v>
      </c>
      <c r="B6043" t="s">
        <v>918</v>
      </c>
      <c r="C6043" t="s">
        <v>9172</v>
      </c>
      <c r="D6043" t="s">
        <v>17424</v>
      </c>
      <c r="E6043" t="s">
        <v>22716</v>
      </c>
      <c r="F6043" t="s">
        <v>30052</v>
      </c>
      <c r="G6043" t="s">
        <v>30063</v>
      </c>
      <c r="H6043" t="s">
        <v>30067</v>
      </c>
      <c r="I6043" t="s">
        <v>3693</v>
      </c>
      <c r="J6043" t="s">
        <v>33994</v>
      </c>
      <c r="K6043" t="s">
        <v>39020</v>
      </c>
      <c r="M6043" t="s">
        <v>40241</v>
      </c>
      <c r="N6043" t="s">
        <v>43166</v>
      </c>
      <c r="O6043" t="s">
        <v>43167</v>
      </c>
      <c r="P6043">
        <v>0</v>
      </c>
      <c r="Q6043">
        <v>5</v>
      </c>
      <c r="R6043" t="s">
        <v>43172</v>
      </c>
      <c r="S6043" t="s">
        <v>43334</v>
      </c>
      <c r="T6043" t="s">
        <v>44722</v>
      </c>
      <c r="U6043" t="s">
        <v>50131</v>
      </c>
      <c r="V6043" t="s">
        <v>57086</v>
      </c>
      <c r="W6043" t="s">
        <v>40241</v>
      </c>
      <c r="X6043" t="s">
        <v>43173</v>
      </c>
    </row>
    <row r="6044" spans="1:24">
      <c r="A6044">
        <f>HYPERLINK("https://www.philgeps.gov.ph/GEPSNONPILOT/Tender/SplashBidNoticeAbstractUI.aspx?menuIndex=3&amp;refID=7080906&amp;Result=3","7080906")</f>
        <v>0</v>
      </c>
      <c r="B6044" t="s">
        <v>1313</v>
      </c>
      <c r="C6044" t="s">
        <v>9173</v>
      </c>
      <c r="D6044" t="s">
        <v>17415</v>
      </c>
      <c r="E6044" t="s">
        <v>22717</v>
      </c>
      <c r="F6044" t="s">
        <v>30052</v>
      </c>
      <c r="G6044" t="s">
        <v>30059</v>
      </c>
      <c r="H6044" t="s">
        <v>15498</v>
      </c>
      <c r="I6044" t="s">
        <v>7228</v>
      </c>
      <c r="J6044" t="s">
        <v>32555</v>
      </c>
      <c r="K6044" t="s">
        <v>39017</v>
      </c>
      <c r="M6044" t="s">
        <v>41366</v>
      </c>
      <c r="N6044" t="s">
        <v>43166</v>
      </c>
      <c r="O6044" t="s">
        <v>43167</v>
      </c>
      <c r="P6044">
        <v>0</v>
      </c>
      <c r="Q6044">
        <v>0</v>
      </c>
      <c r="R6044" t="s">
        <v>43172</v>
      </c>
      <c r="S6044" t="s">
        <v>43334</v>
      </c>
      <c r="T6044" t="s">
        <v>44717</v>
      </c>
      <c r="U6044" t="s">
        <v>50132</v>
      </c>
      <c r="W6044" t="s">
        <v>41366</v>
      </c>
      <c r="X6044" t="s">
        <v>43173</v>
      </c>
    </row>
    <row r="6045" spans="1:24">
      <c r="A6045">
        <f>HYPERLINK("https://www.philgeps.gov.ph/GEPSNONPILOT/Tender/SplashBidNoticeAbstractUI.aspx?menuIndex=3&amp;refID=7080905&amp;Result=3","7080905")</f>
        <v>0</v>
      </c>
      <c r="B6045" t="s">
        <v>1414</v>
      </c>
      <c r="C6045" t="s">
        <v>9174</v>
      </c>
      <c r="D6045" t="s">
        <v>17419</v>
      </c>
      <c r="E6045" t="s">
        <v>22718</v>
      </c>
      <c r="F6045" t="s">
        <v>30052</v>
      </c>
      <c r="G6045" t="s">
        <v>30059</v>
      </c>
      <c r="H6045" t="s">
        <v>15498</v>
      </c>
      <c r="I6045" t="s">
        <v>30142</v>
      </c>
      <c r="J6045" t="s">
        <v>33995</v>
      </c>
      <c r="K6045" t="s">
        <v>39019</v>
      </c>
      <c r="M6045" t="s">
        <v>41447</v>
      </c>
      <c r="N6045" t="s">
        <v>43166</v>
      </c>
      <c r="O6045" t="s">
        <v>43167</v>
      </c>
      <c r="P6045">
        <v>0</v>
      </c>
      <c r="Q6045">
        <v>3</v>
      </c>
      <c r="R6045" t="s">
        <v>43172</v>
      </c>
      <c r="S6045" t="s">
        <v>43334</v>
      </c>
      <c r="T6045" t="s">
        <v>44691</v>
      </c>
      <c r="U6045" t="s">
        <v>50133</v>
      </c>
      <c r="W6045" t="s">
        <v>41447</v>
      </c>
      <c r="X6045" t="s">
        <v>43173</v>
      </c>
    </row>
    <row r="6046" spans="1:24">
      <c r="A6046">
        <f>HYPERLINK("https://www.philgeps.gov.ph/GEPSNONPILOT/Tender/SplashBidNoticeAbstractUI.aspx?menuIndex=3&amp;refID=7080925&amp;Result=3","7080925")</f>
        <v>0</v>
      </c>
      <c r="B6046" t="s">
        <v>1505</v>
      </c>
      <c r="C6046" t="s">
        <v>9175</v>
      </c>
      <c r="D6046" t="s">
        <v>17462</v>
      </c>
      <c r="E6046" t="s">
        <v>22719</v>
      </c>
      <c r="F6046" t="s">
        <v>30052</v>
      </c>
      <c r="G6046" t="s">
        <v>30058</v>
      </c>
      <c r="H6046" t="s">
        <v>30067</v>
      </c>
      <c r="I6046" t="s">
        <v>3693</v>
      </c>
      <c r="J6046" t="s">
        <v>33996</v>
      </c>
      <c r="K6046" t="s">
        <v>39119</v>
      </c>
      <c r="M6046" t="s">
        <v>40889</v>
      </c>
      <c r="N6046" t="s">
        <v>43166</v>
      </c>
      <c r="O6046" t="s">
        <v>43167</v>
      </c>
      <c r="P6046">
        <v>0</v>
      </c>
      <c r="Q6046">
        <v>8</v>
      </c>
      <c r="R6046" t="s">
        <v>43172</v>
      </c>
      <c r="S6046" t="s">
        <v>43334</v>
      </c>
      <c r="T6046" t="s">
        <v>44842</v>
      </c>
      <c r="U6046" t="s">
        <v>49934</v>
      </c>
      <c r="W6046" t="s">
        <v>58641</v>
      </c>
      <c r="X6046" t="s">
        <v>43173</v>
      </c>
    </row>
    <row r="6047" spans="1:24">
      <c r="A6047">
        <f>HYPERLINK("https://www.philgeps.gov.ph/GEPSNONPILOT/Tender/SplashBidNoticeAbstractUI.aspx?menuIndex=3&amp;refID=7080899&amp;Result=3","7080899")</f>
        <v>0</v>
      </c>
      <c r="B6047" t="s">
        <v>1189</v>
      </c>
      <c r="C6047" t="s">
        <v>9176</v>
      </c>
      <c r="D6047" t="s">
        <v>17444</v>
      </c>
      <c r="E6047" t="s">
        <v>22720</v>
      </c>
      <c r="F6047" t="s">
        <v>30052</v>
      </c>
      <c r="G6047" t="s">
        <v>30058</v>
      </c>
      <c r="H6047" t="s">
        <v>15498</v>
      </c>
      <c r="I6047" t="s">
        <v>7228</v>
      </c>
      <c r="J6047" t="s">
        <v>32024</v>
      </c>
      <c r="K6047" t="s">
        <v>39046</v>
      </c>
      <c r="M6047" t="s">
        <v>40542</v>
      </c>
      <c r="N6047" t="s">
        <v>43166</v>
      </c>
      <c r="O6047" t="s">
        <v>43167</v>
      </c>
      <c r="P6047">
        <v>0</v>
      </c>
      <c r="Q6047">
        <v>0</v>
      </c>
      <c r="R6047" t="s">
        <v>43172</v>
      </c>
      <c r="S6047" t="s">
        <v>43334</v>
      </c>
      <c r="T6047" t="s">
        <v>44798</v>
      </c>
      <c r="U6047" t="s">
        <v>50134</v>
      </c>
      <c r="W6047" t="s">
        <v>40542</v>
      </c>
      <c r="X6047" t="s">
        <v>43173</v>
      </c>
    </row>
    <row r="6048" spans="1:24">
      <c r="A6048">
        <f>HYPERLINK("https://www.philgeps.gov.ph/GEPSNONPILOT/Tender/SplashBidNoticeAbstractUI.aspx?menuIndex=3&amp;refID=7080898&amp;Result=3","7080898")</f>
        <v>0</v>
      </c>
      <c r="B6048" t="s">
        <v>59</v>
      </c>
      <c r="C6048" t="s">
        <v>9177</v>
      </c>
      <c r="D6048" t="s">
        <v>17441</v>
      </c>
      <c r="E6048" t="s">
        <v>22721</v>
      </c>
      <c r="F6048" t="s">
        <v>30052</v>
      </c>
      <c r="G6048" t="s">
        <v>30058</v>
      </c>
      <c r="H6048" t="s">
        <v>15498</v>
      </c>
      <c r="I6048" t="s">
        <v>30080</v>
      </c>
      <c r="J6048" t="s">
        <v>33997</v>
      </c>
      <c r="K6048" t="s">
        <v>39029</v>
      </c>
      <c r="M6048" t="s">
        <v>39348</v>
      </c>
      <c r="N6048" t="s">
        <v>43166</v>
      </c>
      <c r="O6048" t="s">
        <v>43167</v>
      </c>
      <c r="P6048">
        <v>0</v>
      </c>
      <c r="Q6048">
        <v>9</v>
      </c>
      <c r="R6048" t="s">
        <v>43172</v>
      </c>
      <c r="S6048" t="s">
        <v>43334</v>
      </c>
      <c r="T6048" t="s">
        <v>44722</v>
      </c>
      <c r="U6048" t="s">
        <v>50135</v>
      </c>
      <c r="V6048" t="s">
        <v>56820</v>
      </c>
      <c r="W6048" t="s">
        <v>39348</v>
      </c>
      <c r="X6048" t="s">
        <v>43173</v>
      </c>
    </row>
    <row r="6049" spans="1:24">
      <c r="A6049">
        <f>HYPERLINK("https://www.philgeps.gov.ph/GEPSNONPILOT/Tender/SplashBidNoticeAbstractUI.aspx?menuIndex=3&amp;refID=7080919&amp;Result=3","7080919")</f>
        <v>0</v>
      </c>
      <c r="B6049" t="s">
        <v>1975</v>
      </c>
      <c r="C6049" t="s">
        <v>9178</v>
      </c>
      <c r="D6049" t="s">
        <v>17476</v>
      </c>
      <c r="E6049" t="s">
        <v>22722</v>
      </c>
      <c r="F6049" t="s">
        <v>30052</v>
      </c>
      <c r="G6049" t="s">
        <v>30058</v>
      </c>
      <c r="H6049" t="s">
        <v>15498</v>
      </c>
      <c r="I6049" t="s">
        <v>3736</v>
      </c>
      <c r="J6049" t="s">
        <v>33998</v>
      </c>
      <c r="K6049" t="s">
        <v>39029</v>
      </c>
      <c r="M6049" t="s">
        <v>41416</v>
      </c>
      <c r="N6049" t="s">
        <v>43166</v>
      </c>
      <c r="O6049" t="s">
        <v>43167</v>
      </c>
      <c r="P6049">
        <v>0</v>
      </c>
      <c r="Q6049">
        <v>0</v>
      </c>
      <c r="R6049" t="s">
        <v>43172</v>
      </c>
      <c r="S6049" t="s">
        <v>43334</v>
      </c>
      <c r="T6049" t="s">
        <v>44796</v>
      </c>
      <c r="U6049" t="s">
        <v>50136</v>
      </c>
      <c r="W6049" t="s">
        <v>41416</v>
      </c>
      <c r="X6049" t="s">
        <v>43173</v>
      </c>
    </row>
    <row r="6050" spans="1:24">
      <c r="A6050">
        <f>HYPERLINK("https://www.philgeps.gov.ph/GEPSNONPILOT/Tender/SplashBidNoticeAbstractUI.aspx?menuIndex=3&amp;refID=7080897&amp;Result=3","7080897")</f>
        <v>0</v>
      </c>
      <c r="B6050" t="s">
        <v>2004</v>
      </c>
      <c r="C6050" t="s">
        <v>9179</v>
      </c>
      <c r="D6050" t="s">
        <v>17453</v>
      </c>
      <c r="E6050" t="s">
        <v>22723</v>
      </c>
      <c r="F6050" t="s">
        <v>30052</v>
      </c>
      <c r="G6050" t="s">
        <v>30059</v>
      </c>
      <c r="H6050" t="s">
        <v>15498</v>
      </c>
      <c r="I6050" t="s">
        <v>30084</v>
      </c>
      <c r="J6050" t="s">
        <v>33999</v>
      </c>
      <c r="K6050" t="s">
        <v>39029</v>
      </c>
      <c r="M6050" t="s">
        <v>41448</v>
      </c>
      <c r="N6050" t="s">
        <v>43166</v>
      </c>
      <c r="O6050" t="s">
        <v>43167</v>
      </c>
      <c r="P6050">
        <v>0</v>
      </c>
      <c r="Q6050">
        <v>4</v>
      </c>
      <c r="R6050" t="s">
        <v>43172</v>
      </c>
      <c r="S6050" t="s">
        <v>43334</v>
      </c>
      <c r="T6050" t="s">
        <v>44843</v>
      </c>
      <c r="U6050" t="s">
        <v>50137</v>
      </c>
      <c r="W6050" t="s">
        <v>41448</v>
      </c>
      <c r="X6050" t="s">
        <v>43173</v>
      </c>
    </row>
    <row r="6051" spans="1:24">
      <c r="A6051">
        <f>HYPERLINK("https://www.philgeps.gov.ph/GEPSNONPILOT/Tender/SplashBidNoticeAbstractUI.aspx?menuIndex=3&amp;refID=7080907&amp;Result=3","7080907")</f>
        <v>0</v>
      </c>
      <c r="B6051" t="s">
        <v>813</v>
      </c>
      <c r="C6051" t="s">
        <v>9180</v>
      </c>
      <c r="D6051" t="s">
        <v>17426</v>
      </c>
      <c r="E6051" t="s">
        <v>22724</v>
      </c>
      <c r="F6051" t="s">
        <v>30052</v>
      </c>
      <c r="G6051" t="s">
        <v>30059</v>
      </c>
      <c r="H6051" t="s">
        <v>15498</v>
      </c>
      <c r="I6051" t="s">
        <v>30070</v>
      </c>
      <c r="J6051" t="s">
        <v>34000</v>
      </c>
      <c r="K6051" t="s">
        <v>39039</v>
      </c>
      <c r="M6051" t="s">
        <v>40130</v>
      </c>
      <c r="N6051" t="s">
        <v>43166</v>
      </c>
      <c r="O6051" t="s">
        <v>43167</v>
      </c>
      <c r="P6051">
        <v>0</v>
      </c>
      <c r="Q6051">
        <v>0</v>
      </c>
      <c r="R6051" t="s">
        <v>43172</v>
      </c>
      <c r="S6051" t="s">
        <v>43334</v>
      </c>
      <c r="T6051" t="s">
        <v>44894</v>
      </c>
      <c r="U6051" t="s">
        <v>50138</v>
      </c>
      <c r="W6051" t="s">
        <v>40130</v>
      </c>
      <c r="X6051" t="s">
        <v>43173</v>
      </c>
    </row>
    <row r="6052" spans="1:24">
      <c r="A6052">
        <f>HYPERLINK("https://www.philgeps.gov.ph/GEPSNONPILOT/Tender/SplashBidNoticeAbstractUI.aspx?menuIndex=3&amp;refID=7080837&amp;Result=3","7080837")</f>
        <v>0</v>
      </c>
      <c r="B6052" t="s">
        <v>1273</v>
      </c>
      <c r="C6052" t="s">
        <v>9181</v>
      </c>
      <c r="D6052" t="s">
        <v>17434</v>
      </c>
      <c r="E6052" t="s">
        <v>22725</v>
      </c>
      <c r="F6052" t="s">
        <v>30052</v>
      </c>
      <c r="G6052" t="s">
        <v>30058</v>
      </c>
      <c r="H6052" t="s">
        <v>15498</v>
      </c>
      <c r="I6052" t="s">
        <v>8323</v>
      </c>
      <c r="J6052" t="s">
        <v>32445</v>
      </c>
      <c r="K6052" t="s">
        <v>39034</v>
      </c>
      <c r="M6052" t="s">
        <v>41435</v>
      </c>
      <c r="N6052" t="s">
        <v>43166</v>
      </c>
      <c r="O6052" t="s">
        <v>43167</v>
      </c>
      <c r="P6052">
        <v>0</v>
      </c>
      <c r="Q6052">
        <v>12</v>
      </c>
      <c r="R6052" t="s">
        <v>43172</v>
      </c>
      <c r="S6052" t="s">
        <v>43334</v>
      </c>
      <c r="T6052" t="s">
        <v>44968</v>
      </c>
      <c r="U6052" t="s">
        <v>50139</v>
      </c>
      <c r="W6052" t="s">
        <v>41435</v>
      </c>
      <c r="X6052" t="s">
        <v>43173</v>
      </c>
    </row>
    <row r="6053" spans="1:24">
      <c r="A6053">
        <f>HYPERLINK("https://www.philgeps.gov.ph/GEPSNONPILOT/Tender/SplashBidNoticeAbstractUI.aspx?menuIndex=3&amp;refID=7080836&amp;Result=3","7080836")</f>
        <v>0</v>
      </c>
      <c r="B6053" t="s">
        <v>1959</v>
      </c>
      <c r="C6053" t="s">
        <v>9182</v>
      </c>
      <c r="D6053" t="s">
        <v>17435</v>
      </c>
      <c r="E6053" t="s">
        <v>22726</v>
      </c>
      <c r="F6053" t="s">
        <v>30052</v>
      </c>
      <c r="G6053" t="s">
        <v>30062</v>
      </c>
      <c r="H6053" t="s">
        <v>15498</v>
      </c>
      <c r="I6053" t="s">
        <v>30109</v>
      </c>
      <c r="J6053" t="s">
        <v>34001</v>
      </c>
      <c r="K6053" t="s">
        <v>39025</v>
      </c>
      <c r="M6053" t="s">
        <v>41396</v>
      </c>
      <c r="N6053" t="s">
        <v>43166</v>
      </c>
      <c r="O6053" t="s">
        <v>43167</v>
      </c>
      <c r="P6053">
        <v>0</v>
      </c>
      <c r="Q6053">
        <v>4</v>
      </c>
      <c r="R6053" t="s">
        <v>43172</v>
      </c>
      <c r="S6053" t="s">
        <v>43334</v>
      </c>
      <c r="T6053" t="s">
        <v>44837</v>
      </c>
      <c r="U6053" t="s">
        <v>50140</v>
      </c>
      <c r="V6053" t="s">
        <v>57450</v>
      </c>
      <c r="W6053" t="s">
        <v>41396</v>
      </c>
      <c r="X6053" t="s">
        <v>43173</v>
      </c>
    </row>
    <row r="6054" spans="1:24">
      <c r="A6054">
        <f>HYPERLINK("https://www.philgeps.gov.ph/GEPSNONPILOT/Tender/SplashBidNoticeAbstractUI.aspx?menuIndex=3&amp;refID=7080828&amp;Result=3","7080828")</f>
        <v>0</v>
      </c>
      <c r="B6054" t="s">
        <v>1890</v>
      </c>
      <c r="C6054" t="s">
        <v>9183</v>
      </c>
      <c r="D6054" t="s">
        <v>17422</v>
      </c>
      <c r="E6054" t="s">
        <v>19275</v>
      </c>
      <c r="F6054" t="s">
        <v>30052</v>
      </c>
      <c r="G6054" t="s">
        <v>30058</v>
      </c>
      <c r="H6054" t="s">
        <v>15498</v>
      </c>
      <c r="I6054" t="s">
        <v>3736</v>
      </c>
      <c r="J6054" t="s">
        <v>34002</v>
      </c>
      <c r="K6054" t="s">
        <v>39034</v>
      </c>
      <c r="M6054" t="s">
        <v>41321</v>
      </c>
      <c r="N6054" t="s">
        <v>43166</v>
      </c>
      <c r="O6054" t="s">
        <v>43167</v>
      </c>
      <c r="P6054">
        <v>0</v>
      </c>
      <c r="Q6054">
        <v>0</v>
      </c>
      <c r="R6054" t="s">
        <v>43172</v>
      </c>
      <c r="S6054" t="s">
        <v>43334</v>
      </c>
      <c r="T6054" t="s">
        <v>44719</v>
      </c>
      <c r="U6054" t="s">
        <v>50141</v>
      </c>
      <c r="V6054" t="s">
        <v>57430</v>
      </c>
      <c r="W6054" t="s">
        <v>41321</v>
      </c>
      <c r="X6054" t="s">
        <v>43173</v>
      </c>
    </row>
    <row r="6055" spans="1:24">
      <c r="A6055">
        <f>HYPERLINK("https://www.philgeps.gov.ph/GEPSNONPILOT/Tender/SplashBidNoticeAbstractUI.aspx?menuIndex=3&amp;refID=7080826&amp;Result=3","7080826")</f>
        <v>0</v>
      </c>
      <c r="B6055" t="s">
        <v>1699</v>
      </c>
      <c r="C6055" t="s">
        <v>9184</v>
      </c>
      <c r="D6055" t="s">
        <v>17421</v>
      </c>
      <c r="E6055" t="s">
        <v>22727</v>
      </c>
      <c r="F6055" t="s">
        <v>30055</v>
      </c>
      <c r="G6055" t="s">
        <v>30061</v>
      </c>
      <c r="H6055" t="s">
        <v>15498</v>
      </c>
      <c r="I6055" t="s">
        <v>30106</v>
      </c>
      <c r="J6055" t="s">
        <v>30306</v>
      </c>
      <c r="K6055" t="s">
        <v>39034</v>
      </c>
      <c r="M6055" t="s">
        <v>41109</v>
      </c>
      <c r="N6055" t="s">
        <v>43166</v>
      </c>
      <c r="O6055" t="s">
        <v>43167</v>
      </c>
      <c r="P6055">
        <v>0</v>
      </c>
      <c r="Q6055">
        <v>0</v>
      </c>
      <c r="R6055" t="s">
        <v>43172</v>
      </c>
      <c r="S6055" t="s">
        <v>43334</v>
      </c>
      <c r="T6055" t="s">
        <v>44791</v>
      </c>
      <c r="U6055" t="s">
        <v>50142</v>
      </c>
      <c r="W6055" t="s">
        <v>41109</v>
      </c>
      <c r="X6055" t="s">
        <v>43173</v>
      </c>
    </row>
    <row r="6056" spans="1:24">
      <c r="A6056">
        <f>HYPERLINK("https://www.philgeps.gov.ph/GEPSNONPILOT/Tender/SplashBidNoticeAbstractUI.aspx?menuIndex=3&amp;refID=7080911&amp;Result=3","7080911")</f>
        <v>0</v>
      </c>
      <c r="B6056" t="s">
        <v>2005</v>
      </c>
      <c r="C6056" t="s">
        <v>9185</v>
      </c>
      <c r="D6056" t="s">
        <v>17424</v>
      </c>
      <c r="E6056" t="s">
        <v>22728</v>
      </c>
      <c r="F6056" t="s">
        <v>30052</v>
      </c>
      <c r="G6056" t="s">
        <v>30058</v>
      </c>
      <c r="H6056" t="s">
        <v>15498</v>
      </c>
      <c r="I6056" t="s">
        <v>30096</v>
      </c>
      <c r="J6056" t="s">
        <v>34003</v>
      </c>
      <c r="K6056" t="s">
        <v>39029</v>
      </c>
      <c r="M6056" t="s">
        <v>41449</v>
      </c>
      <c r="N6056" t="s">
        <v>43166</v>
      </c>
      <c r="O6056" t="s">
        <v>43167</v>
      </c>
      <c r="P6056">
        <v>0</v>
      </c>
      <c r="Q6056">
        <v>4</v>
      </c>
      <c r="R6056" t="s">
        <v>43172</v>
      </c>
      <c r="S6056" t="s">
        <v>43334</v>
      </c>
      <c r="T6056" t="s">
        <v>44796</v>
      </c>
      <c r="U6056" t="s">
        <v>50143</v>
      </c>
      <c r="W6056" t="s">
        <v>58659</v>
      </c>
      <c r="X6056" t="s">
        <v>43173</v>
      </c>
    </row>
    <row r="6057" spans="1:24">
      <c r="A6057">
        <f>HYPERLINK("https://www.philgeps.gov.ph/GEPSNONPILOT/Tender/SplashBidNoticeAbstractUI.aspx?menuIndex=3&amp;refID=7080825&amp;Result=3","7080825")</f>
        <v>0</v>
      </c>
      <c r="B6057" t="s">
        <v>2006</v>
      </c>
      <c r="C6057" t="s">
        <v>9186</v>
      </c>
      <c r="D6057" t="s">
        <v>17473</v>
      </c>
      <c r="E6057" t="s">
        <v>22729</v>
      </c>
      <c r="F6057" t="s">
        <v>30052</v>
      </c>
      <c r="G6057" t="s">
        <v>30058</v>
      </c>
      <c r="H6057" t="s">
        <v>15498</v>
      </c>
      <c r="I6057" t="s">
        <v>30098</v>
      </c>
      <c r="J6057" t="s">
        <v>30586</v>
      </c>
      <c r="K6057" t="s">
        <v>39026</v>
      </c>
      <c r="M6057" t="s">
        <v>41450</v>
      </c>
      <c r="N6057" t="s">
        <v>43166</v>
      </c>
      <c r="O6057" t="s">
        <v>43167</v>
      </c>
      <c r="P6057">
        <v>0</v>
      </c>
      <c r="Q6057">
        <v>0</v>
      </c>
      <c r="R6057" t="s">
        <v>43172</v>
      </c>
      <c r="S6057" t="s">
        <v>43334</v>
      </c>
      <c r="T6057" t="s">
        <v>44698</v>
      </c>
      <c r="U6057" t="s">
        <v>50144</v>
      </c>
      <c r="W6057" t="s">
        <v>41450</v>
      </c>
      <c r="X6057" t="s">
        <v>43173</v>
      </c>
    </row>
    <row r="6058" spans="1:24">
      <c r="A6058">
        <f>HYPERLINK("https://www.philgeps.gov.ph/GEPSNONPILOT/Tender/SplashBidNoticeAbstractUI.aspx?menuIndex=3&amp;refID=7080789&amp;Result=3","7080789")</f>
        <v>0</v>
      </c>
      <c r="B6058" t="s">
        <v>1840</v>
      </c>
      <c r="C6058" t="s">
        <v>9143</v>
      </c>
      <c r="D6058" t="s">
        <v>17449</v>
      </c>
      <c r="E6058" t="s">
        <v>22730</v>
      </c>
      <c r="F6058" t="s">
        <v>30052</v>
      </c>
      <c r="G6058" t="s">
        <v>30061</v>
      </c>
      <c r="H6058" t="s">
        <v>15498</v>
      </c>
      <c r="I6058" t="s">
        <v>3852</v>
      </c>
      <c r="J6058" t="s">
        <v>34004</v>
      </c>
      <c r="K6058" t="s">
        <v>39029</v>
      </c>
      <c r="M6058" t="s">
        <v>41265</v>
      </c>
      <c r="N6058" t="s">
        <v>43166</v>
      </c>
      <c r="O6058" t="s">
        <v>43167</v>
      </c>
      <c r="P6058">
        <v>0</v>
      </c>
      <c r="Q6058">
        <v>2</v>
      </c>
      <c r="R6058" t="s">
        <v>43172</v>
      </c>
      <c r="S6058" t="s">
        <v>43334</v>
      </c>
      <c r="T6058" t="s">
        <v>44717</v>
      </c>
      <c r="U6058" t="s">
        <v>49579</v>
      </c>
      <c r="V6058" t="s">
        <v>57421</v>
      </c>
      <c r="W6058" t="s">
        <v>41265</v>
      </c>
      <c r="X6058" t="s">
        <v>43173</v>
      </c>
    </row>
    <row r="6059" spans="1:24">
      <c r="A6059">
        <f>HYPERLINK("https://www.philgeps.gov.ph/GEPSNONPILOT/Tender/SplashBidNoticeAbstractUI.aspx?menuIndex=3&amp;refID=7080835&amp;Result=3","7080835")</f>
        <v>0</v>
      </c>
      <c r="B6059" t="s">
        <v>1184</v>
      </c>
      <c r="C6059" t="s">
        <v>9187</v>
      </c>
      <c r="D6059" t="s">
        <v>17427</v>
      </c>
      <c r="E6059" t="s">
        <v>22731</v>
      </c>
      <c r="F6059" t="s">
        <v>30052</v>
      </c>
      <c r="G6059" t="s">
        <v>30058</v>
      </c>
      <c r="H6059" t="s">
        <v>30067</v>
      </c>
      <c r="I6059" t="s">
        <v>3693</v>
      </c>
      <c r="J6059" t="s">
        <v>34005</v>
      </c>
      <c r="K6059" t="s">
        <v>39023</v>
      </c>
      <c r="M6059" t="s">
        <v>40535</v>
      </c>
      <c r="N6059" t="s">
        <v>43166</v>
      </c>
      <c r="O6059" t="s">
        <v>43167</v>
      </c>
      <c r="P6059">
        <v>0</v>
      </c>
      <c r="Q6059">
        <v>0</v>
      </c>
      <c r="R6059" t="s">
        <v>43172</v>
      </c>
      <c r="S6059" t="s">
        <v>43334</v>
      </c>
      <c r="T6059" t="s">
        <v>44695</v>
      </c>
      <c r="U6059" t="s">
        <v>50145</v>
      </c>
      <c r="W6059" t="s">
        <v>40535</v>
      </c>
      <c r="X6059" t="s">
        <v>43173</v>
      </c>
    </row>
    <row r="6060" spans="1:24">
      <c r="A6060">
        <f>HYPERLINK("https://www.philgeps.gov.ph/GEPSNONPILOT/Tender/SplashBidNoticeAbstractUI.aspx?menuIndex=3&amp;refID=7080782&amp;Result=3","7080782")</f>
        <v>0</v>
      </c>
      <c r="B6060" t="s">
        <v>1535</v>
      </c>
      <c r="C6060" t="s">
        <v>9188</v>
      </c>
      <c r="D6060" t="s">
        <v>17450</v>
      </c>
      <c r="E6060" t="s">
        <v>22732</v>
      </c>
      <c r="F6060" t="s">
        <v>30052</v>
      </c>
      <c r="G6060" t="s">
        <v>30061</v>
      </c>
      <c r="H6060" t="s">
        <v>15498</v>
      </c>
      <c r="I6060" t="s">
        <v>30094</v>
      </c>
      <c r="J6060" t="s">
        <v>34006</v>
      </c>
      <c r="K6060" t="s">
        <v>39034</v>
      </c>
      <c r="M6060" t="s">
        <v>40921</v>
      </c>
      <c r="N6060" t="s">
        <v>43166</v>
      </c>
      <c r="O6060" t="s">
        <v>43167</v>
      </c>
      <c r="P6060">
        <v>0</v>
      </c>
      <c r="Q6060">
        <v>0</v>
      </c>
      <c r="R6060" t="s">
        <v>43172</v>
      </c>
      <c r="S6060" t="s">
        <v>43334</v>
      </c>
      <c r="T6060" t="s">
        <v>44870</v>
      </c>
      <c r="U6060" t="s">
        <v>50146</v>
      </c>
      <c r="W6060" t="s">
        <v>40921</v>
      </c>
      <c r="X6060" t="s">
        <v>43173</v>
      </c>
    </row>
    <row r="6061" spans="1:24">
      <c r="A6061">
        <f>HYPERLINK("https://www.philgeps.gov.ph/GEPSNONPILOT/Tender/SplashBidNoticeAbstractUI.aspx?menuIndex=3&amp;refID=7080823&amp;Result=3","7080823")</f>
        <v>0</v>
      </c>
      <c r="B6061" t="s">
        <v>1974</v>
      </c>
      <c r="C6061" t="s">
        <v>9189</v>
      </c>
      <c r="D6061" t="s">
        <v>17435</v>
      </c>
      <c r="E6061" t="s">
        <v>22733</v>
      </c>
      <c r="F6061" t="s">
        <v>30052</v>
      </c>
      <c r="G6061" t="s">
        <v>30058</v>
      </c>
      <c r="H6061" t="s">
        <v>30067</v>
      </c>
      <c r="I6061" t="s">
        <v>3693</v>
      </c>
      <c r="J6061" t="s">
        <v>33961</v>
      </c>
      <c r="K6061" t="s">
        <v>39019</v>
      </c>
      <c r="M6061" t="s">
        <v>41415</v>
      </c>
      <c r="N6061" t="s">
        <v>43166</v>
      </c>
      <c r="O6061" t="s">
        <v>43167</v>
      </c>
      <c r="P6061">
        <v>0</v>
      </c>
      <c r="Q6061">
        <v>0</v>
      </c>
      <c r="R6061" t="s">
        <v>43172</v>
      </c>
      <c r="S6061" t="s">
        <v>43334</v>
      </c>
      <c r="T6061" t="s">
        <v>44710</v>
      </c>
      <c r="U6061" t="s">
        <v>50085</v>
      </c>
      <c r="V6061" t="s">
        <v>57457</v>
      </c>
      <c r="W6061" t="s">
        <v>41415</v>
      </c>
      <c r="X6061" t="s">
        <v>43173</v>
      </c>
    </row>
    <row r="6062" spans="1:24">
      <c r="A6062">
        <f>HYPERLINK("https://www.philgeps.gov.ph/GEPSNONPILOT/Tender/SplashBidNoticeAbstractUI.aspx?menuIndex=3&amp;refID=7080761&amp;Result=3","7080761")</f>
        <v>0</v>
      </c>
      <c r="B6062" t="s">
        <v>1417</v>
      </c>
      <c r="C6062" t="s">
        <v>9190</v>
      </c>
      <c r="D6062" t="s">
        <v>17441</v>
      </c>
      <c r="E6062" t="s">
        <v>22734</v>
      </c>
      <c r="F6062" t="s">
        <v>30052</v>
      </c>
      <c r="G6062" t="s">
        <v>30059</v>
      </c>
      <c r="H6062" t="s">
        <v>15498</v>
      </c>
      <c r="I6062" t="s">
        <v>5961</v>
      </c>
      <c r="J6062" t="s">
        <v>31014</v>
      </c>
      <c r="K6062" t="s">
        <v>39034</v>
      </c>
      <c r="M6062" t="s">
        <v>40795</v>
      </c>
      <c r="N6062" t="s">
        <v>43166</v>
      </c>
      <c r="O6062" t="s">
        <v>43167</v>
      </c>
      <c r="P6062">
        <v>0</v>
      </c>
      <c r="Q6062">
        <v>0</v>
      </c>
      <c r="R6062" t="s">
        <v>43172</v>
      </c>
      <c r="S6062" t="s">
        <v>43334</v>
      </c>
      <c r="T6062" t="s">
        <v>44773</v>
      </c>
      <c r="U6062" t="s">
        <v>50147</v>
      </c>
      <c r="W6062" t="s">
        <v>40795</v>
      </c>
      <c r="X6062" t="s">
        <v>43173</v>
      </c>
    </row>
    <row r="6063" spans="1:24">
      <c r="A6063">
        <f>HYPERLINK("https://www.philgeps.gov.ph/GEPSNONPILOT/Tender/SplashBidNoticeAbstractUI.aspx?menuIndex=3&amp;refID=7080758&amp;Result=3","7080758")</f>
        <v>0</v>
      </c>
      <c r="B6063" t="s">
        <v>1955</v>
      </c>
      <c r="C6063" t="s">
        <v>9191</v>
      </c>
      <c r="D6063" t="s">
        <v>17427</v>
      </c>
      <c r="E6063" t="s">
        <v>22735</v>
      </c>
      <c r="F6063" t="s">
        <v>30052</v>
      </c>
      <c r="G6063" t="s">
        <v>30058</v>
      </c>
      <c r="H6063" t="s">
        <v>30067</v>
      </c>
      <c r="I6063" t="s">
        <v>3693</v>
      </c>
      <c r="J6063" t="s">
        <v>30745</v>
      </c>
      <c r="K6063" t="s">
        <v>39023</v>
      </c>
      <c r="M6063" t="s">
        <v>41392</v>
      </c>
      <c r="N6063" t="s">
        <v>43166</v>
      </c>
      <c r="O6063" t="s">
        <v>43167</v>
      </c>
      <c r="P6063">
        <v>0</v>
      </c>
      <c r="Q6063">
        <v>0</v>
      </c>
      <c r="R6063" t="s">
        <v>43172</v>
      </c>
      <c r="S6063" t="s">
        <v>43334</v>
      </c>
      <c r="T6063" t="s">
        <v>44698</v>
      </c>
      <c r="U6063" t="s">
        <v>50148</v>
      </c>
      <c r="W6063" t="s">
        <v>41392</v>
      </c>
      <c r="X6063" t="s">
        <v>43173</v>
      </c>
    </row>
    <row r="6064" spans="1:24">
      <c r="A6064">
        <f>HYPERLINK("https://www.philgeps.gov.ph/GEPSNONPILOT/Tender/SplashBidNoticeAbstractUI.aspx?menuIndex=3&amp;refID=7080940&amp;Result=3","7080940")</f>
        <v>0</v>
      </c>
      <c r="B6064" t="s">
        <v>1822</v>
      </c>
      <c r="C6064" t="s">
        <v>9192</v>
      </c>
      <c r="D6064" t="s">
        <v>17437</v>
      </c>
      <c r="E6064" t="s">
        <v>22736</v>
      </c>
      <c r="F6064" t="s">
        <v>30052</v>
      </c>
      <c r="G6064" t="s">
        <v>30059</v>
      </c>
      <c r="H6064" t="s">
        <v>15498</v>
      </c>
      <c r="I6064" t="s">
        <v>30155</v>
      </c>
      <c r="J6064" t="s">
        <v>34007</v>
      </c>
      <c r="K6064" t="s">
        <v>39091</v>
      </c>
      <c r="M6064" t="s">
        <v>41245</v>
      </c>
      <c r="N6064" t="s">
        <v>43166</v>
      </c>
      <c r="O6064" t="s">
        <v>43167</v>
      </c>
      <c r="P6064">
        <v>0</v>
      </c>
      <c r="Q6064">
        <v>1</v>
      </c>
      <c r="R6064" t="s">
        <v>43172</v>
      </c>
      <c r="S6064" t="s">
        <v>43334</v>
      </c>
      <c r="T6064" t="s">
        <v>44717</v>
      </c>
      <c r="U6064" t="s">
        <v>50149</v>
      </c>
      <c r="W6064" t="s">
        <v>41245</v>
      </c>
      <c r="X6064" t="s">
        <v>43173</v>
      </c>
    </row>
    <row r="6065" spans="1:24">
      <c r="A6065">
        <f>HYPERLINK("https://www.philgeps.gov.ph/GEPSNONPILOT/Tender/SplashBidNoticeAbstractUI.aspx?menuIndex=3&amp;refID=7080783&amp;Result=3","7080783")</f>
        <v>0</v>
      </c>
      <c r="B6065" t="s">
        <v>985</v>
      </c>
      <c r="C6065" t="s">
        <v>9193</v>
      </c>
      <c r="D6065" t="s">
        <v>17456</v>
      </c>
      <c r="E6065" t="s">
        <v>22737</v>
      </c>
      <c r="F6065" t="s">
        <v>30052</v>
      </c>
      <c r="G6065" t="s">
        <v>30059</v>
      </c>
      <c r="H6065" t="s">
        <v>15498</v>
      </c>
      <c r="I6065" t="s">
        <v>30084</v>
      </c>
      <c r="J6065" t="s">
        <v>32032</v>
      </c>
      <c r="K6065" t="s">
        <v>39017</v>
      </c>
      <c r="M6065" t="s">
        <v>40312</v>
      </c>
      <c r="N6065" t="s">
        <v>43166</v>
      </c>
      <c r="O6065" t="s">
        <v>43167</v>
      </c>
      <c r="P6065">
        <v>0</v>
      </c>
      <c r="Q6065">
        <v>5</v>
      </c>
      <c r="R6065" t="s">
        <v>43172</v>
      </c>
      <c r="S6065" t="s">
        <v>43334</v>
      </c>
      <c r="T6065" t="s">
        <v>44862</v>
      </c>
      <c r="U6065" t="s">
        <v>47246</v>
      </c>
      <c r="W6065" t="s">
        <v>40312</v>
      </c>
      <c r="X6065" t="s">
        <v>43173</v>
      </c>
    </row>
    <row r="6066" spans="1:24">
      <c r="A6066">
        <f>HYPERLINK("https://www.philgeps.gov.ph/GEPSNONPILOT/Tender/SplashBidNoticeAbstractUI.aspx?menuIndex=3&amp;refID=7080841&amp;Result=3","7080841")</f>
        <v>0</v>
      </c>
      <c r="B6066" t="s">
        <v>1840</v>
      </c>
      <c r="C6066" t="s">
        <v>9143</v>
      </c>
      <c r="D6066" t="s">
        <v>17449</v>
      </c>
      <c r="E6066" t="s">
        <v>22738</v>
      </c>
      <c r="F6066" t="s">
        <v>30052</v>
      </c>
      <c r="G6066" t="s">
        <v>30061</v>
      </c>
      <c r="H6066" t="s">
        <v>15498</v>
      </c>
      <c r="I6066" t="s">
        <v>3852</v>
      </c>
      <c r="J6066" t="s">
        <v>34008</v>
      </c>
      <c r="K6066" t="s">
        <v>39029</v>
      </c>
      <c r="M6066" t="s">
        <v>41265</v>
      </c>
      <c r="N6066" t="s">
        <v>43166</v>
      </c>
      <c r="O6066" t="s">
        <v>43167</v>
      </c>
      <c r="P6066">
        <v>0</v>
      </c>
      <c r="Q6066">
        <v>2</v>
      </c>
      <c r="R6066" t="s">
        <v>43172</v>
      </c>
      <c r="S6066" t="s">
        <v>43334</v>
      </c>
      <c r="T6066" t="s">
        <v>44717</v>
      </c>
      <c r="U6066" t="s">
        <v>49579</v>
      </c>
      <c r="V6066" t="s">
        <v>57421</v>
      </c>
      <c r="W6066" t="s">
        <v>41265</v>
      </c>
      <c r="X6066" t="s">
        <v>43173</v>
      </c>
    </row>
    <row r="6067" spans="1:24">
      <c r="A6067">
        <f>HYPERLINK("https://www.philgeps.gov.ph/GEPSNONPILOT/Tender/SplashBidNoticeAbstractUI.aspx?menuIndex=3&amp;refID=7080972&amp;Result=3","7080972")</f>
        <v>0</v>
      </c>
      <c r="B6067" t="s">
        <v>1424</v>
      </c>
      <c r="C6067" t="s">
        <v>9194</v>
      </c>
      <c r="D6067" t="s">
        <v>17413</v>
      </c>
      <c r="E6067" t="s">
        <v>22739</v>
      </c>
      <c r="F6067" t="s">
        <v>30052</v>
      </c>
      <c r="G6067" t="s">
        <v>30061</v>
      </c>
      <c r="H6067" t="s">
        <v>15498</v>
      </c>
      <c r="I6067" t="s">
        <v>3852</v>
      </c>
      <c r="J6067" t="s">
        <v>34009</v>
      </c>
      <c r="K6067" t="s">
        <v>39025</v>
      </c>
      <c r="L6067" t="s">
        <v>1424</v>
      </c>
      <c r="M6067" t="s">
        <v>40802</v>
      </c>
      <c r="N6067" t="s">
        <v>43166</v>
      </c>
      <c r="O6067" t="s">
        <v>43167</v>
      </c>
      <c r="P6067">
        <v>0</v>
      </c>
      <c r="Q6067">
        <v>3</v>
      </c>
      <c r="R6067" t="s">
        <v>43172</v>
      </c>
      <c r="S6067" t="s">
        <v>43334</v>
      </c>
      <c r="T6067" t="s">
        <v>44777</v>
      </c>
      <c r="U6067" t="s">
        <v>48391</v>
      </c>
      <c r="W6067" t="s">
        <v>40802</v>
      </c>
      <c r="X6067" t="s">
        <v>43173</v>
      </c>
    </row>
    <row r="6068" spans="1:24">
      <c r="A6068">
        <f>HYPERLINK("https://www.philgeps.gov.ph/GEPSNONPILOT/Tender/SplashBidNoticeAbstractUI.aspx?menuIndex=3&amp;refID=7080902&amp;Result=3","7080902")</f>
        <v>0</v>
      </c>
      <c r="B6068" t="s">
        <v>1240</v>
      </c>
      <c r="C6068" t="s">
        <v>9195</v>
      </c>
      <c r="D6068" t="s">
        <v>17424</v>
      </c>
      <c r="E6068" t="s">
        <v>19422</v>
      </c>
      <c r="F6068" t="s">
        <v>30052</v>
      </c>
      <c r="G6068" t="s">
        <v>30058</v>
      </c>
      <c r="H6068" t="s">
        <v>15498</v>
      </c>
      <c r="I6068" t="s">
        <v>30130</v>
      </c>
      <c r="J6068" t="s">
        <v>34010</v>
      </c>
      <c r="K6068" t="s">
        <v>39025</v>
      </c>
      <c r="M6068" t="s">
        <v>40596</v>
      </c>
      <c r="N6068" t="s">
        <v>43166</v>
      </c>
      <c r="O6068" t="s">
        <v>43167</v>
      </c>
      <c r="P6068">
        <v>0</v>
      </c>
      <c r="Q6068">
        <v>17</v>
      </c>
      <c r="R6068" t="s">
        <v>43172</v>
      </c>
      <c r="S6068" t="s">
        <v>43334</v>
      </c>
      <c r="T6068" t="s">
        <v>44945</v>
      </c>
      <c r="U6068" t="s">
        <v>50150</v>
      </c>
      <c r="V6068" t="s">
        <v>57461</v>
      </c>
      <c r="W6068" t="s">
        <v>40596</v>
      </c>
      <c r="X6068" t="s">
        <v>43173</v>
      </c>
    </row>
    <row r="6069" spans="1:24">
      <c r="A6069">
        <f>HYPERLINK("https://www.philgeps.gov.ph/GEPSNONPILOT/Tender/SplashBidNoticeAbstractUI.aspx?menuIndex=3&amp;refID=7080781&amp;Result=3","7080781")</f>
        <v>0</v>
      </c>
      <c r="B6069" t="s">
        <v>1417</v>
      </c>
      <c r="C6069" t="s">
        <v>6801</v>
      </c>
      <c r="D6069" t="s">
        <v>17441</v>
      </c>
      <c r="E6069" t="s">
        <v>22740</v>
      </c>
      <c r="F6069" t="s">
        <v>30052</v>
      </c>
      <c r="G6069" t="s">
        <v>30059</v>
      </c>
      <c r="H6069" t="s">
        <v>15498</v>
      </c>
      <c r="I6069" t="s">
        <v>4650</v>
      </c>
      <c r="J6069" t="s">
        <v>30359</v>
      </c>
      <c r="K6069" t="s">
        <v>39034</v>
      </c>
      <c r="M6069" t="s">
        <v>40795</v>
      </c>
      <c r="N6069" t="s">
        <v>43166</v>
      </c>
      <c r="O6069" t="s">
        <v>43167</v>
      </c>
      <c r="P6069">
        <v>0</v>
      </c>
      <c r="Q6069">
        <v>1</v>
      </c>
      <c r="R6069" t="s">
        <v>43172</v>
      </c>
      <c r="S6069" t="s">
        <v>43334</v>
      </c>
      <c r="T6069" t="s">
        <v>44773</v>
      </c>
      <c r="U6069" t="s">
        <v>50151</v>
      </c>
      <c r="W6069" t="s">
        <v>40795</v>
      </c>
      <c r="X6069" t="s">
        <v>43173</v>
      </c>
    </row>
    <row r="6070" spans="1:24">
      <c r="A6070">
        <f>HYPERLINK("https://www.philgeps.gov.ph/GEPSNONPILOT/Tender/SplashBidNoticeAbstractUI.aspx?menuIndex=3&amp;refID=7080962&amp;Result=3","7080962")</f>
        <v>0</v>
      </c>
      <c r="B6070" t="s">
        <v>1100</v>
      </c>
      <c r="C6070" t="s">
        <v>5902</v>
      </c>
      <c r="D6070" t="s">
        <v>17466</v>
      </c>
      <c r="E6070" t="s">
        <v>22741</v>
      </c>
      <c r="F6070" t="s">
        <v>30052</v>
      </c>
      <c r="G6070" t="s">
        <v>30059</v>
      </c>
      <c r="H6070" t="s">
        <v>15498</v>
      </c>
      <c r="I6070" t="s">
        <v>30073</v>
      </c>
      <c r="J6070" t="s">
        <v>34011</v>
      </c>
      <c r="K6070" t="s">
        <v>39025</v>
      </c>
      <c r="M6070" t="s">
        <v>40439</v>
      </c>
      <c r="N6070" t="s">
        <v>43166</v>
      </c>
      <c r="O6070" t="s">
        <v>43167</v>
      </c>
      <c r="P6070">
        <v>0</v>
      </c>
      <c r="Q6070">
        <v>0</v>
      </c>
      <c r="R6070" t="s">
        <v>43172</v>
      </c>
      <c r="S6070" t="s">
        <v>43334</v>
      </c>
      <c r="T6070" t="s">
        <v>44696</v>
      </c>
      <c r="U6070" t="s">
        <v>49541</v>
      </c>
      <c r="W6070" t="s">
        <v>40439</v>
      </c>
      <c r="X6070" t="s">
        <v>43173</v>
      </c>
    </row>
    <row r="6071" spans="1:24">
      <c r="A6071">
        <f>HYPERLINK("https://www.philgeps.gov.ph/GEPSNONPILOT/Tender/SplashBidNoticeAbstractUI.aspx?menuIndex=3&amp;refID=7080892&amp;Result=3","7080892")</f>
        <v>0</v>
      </c>
      <c r="B6071" t="s">
        <v>1699</v>
      </c>
      <c r="C6071" t="s">
        <v>9196</v>
      </c>
      <c r="D6071" t="s">
        <v>17421</v>
      </c>
      <c r="E6071" t="s">
        <v>22742</v>
      </c>
      <c r="F6071" t="s">
        <v>30055</v>
      </c>
      <c r="G6071" t="s">
        <v>30061</v>
      </c>
      <c r="H6071" t="s">
        <v>15498</v>
      </c>
      <c r="I6071" t="s">
        <v>30094</v>
      </c>
      <c r="J6071" t="s">
        <v>34012</v>
      </c>
      <c r="K6071" t="s">
        <v>39034</v>
      </c>
      <c r="M6071" t="s">
        <v>41109</v>
      </c>
      <c r="N6071" t="s">
        <v>43166</v>
      </c>
      <c r="O6071" t="s">
        <v>43167</v>
      </c>
      <c r="P6071">
        <v>0</v>
      </c>
      <c r="Q6071">
        <v>0</v>
      </c>
      <c r="R6071" t="s">
        <v>43172</v>
      </c>
      <c r="S6071" t="s">
        <v>43334</v>
      </c>
      <c r="T6071" t="s">
        <v>44791</v>
      </c>
      <c r="U6071" t="s">
        <v>50152</v>
      </c>
      <c r="W6071" t="s">
        <v>41109</v>
      </c>
      <c r="X6071" t="s">
        <v>43173</v>
      </c>
    </row>
    <row r="6072" spans="1:24">
      <c r="A6072">
        <f>HYPERLINK("https://www.philgeps.gov.ph/GEPSNONPILOT/Tender/SplashBidNoticeAbstractUI.aspx?menuIndex=3&amp;refID=7080957&amp;Result=3","7080957")</f>
        <v>0</v>
      </c>
      <c r="B6072" t="s">
        <v>1191</v>
      </c>
      <c r="C6072" t="s">
        <v>9197</v>
      </c>
      <c r="D6072" t="s">
        <v>17451</v>
      </c>
      <c r="E6072" t="s">
        <v>22743</v>
      </c>
      <c r="F6072" t="s">
        <v>30052</v>
      </c>
      <c r="G6072" t="s">
        <v>30058</v>
      </c>
      <c r="H6072" t="s">
        <v>30067</v>
      </c>
      <c r="I6072" t="s">
        <v>3693</v>
      </c>
      <c r="J6072" t="s">
        <v>30252</v>
      </c>
      <c r="K6072" t="s">
        <v>39023</v>
      </c>
      <c r="M6072" t="s">
        <v>40544</v>
      </c>
      <c r="N6072" t="s">
        <v>43166</v>
      </c>
      <c r="O6072" t="s">
        <v>43167</v>
      </c>
      <c r="P6072">
        <v>0</v>
      </c>
      <c r="Q6072">
        <v>0</v>
      </c>
      <c r="R6072" t="s">
        <v>43172</v>
      </c>
      <c r="S6072" t="s">
        <v>43334</v>
      </c>
      <c r="T6072" t="s">
        <v>44678</v>
      </c>
      <c r="U6072" t="s">
        <v>50153</v>
      </c>
      <c r="W6072" t="s">
        <v>40544</v>
      </c>
      <c r="X6072" t="s">
        <v>43173</v>
      </c>
    </row>
    <row r="6073" spans="1:24">
      <c r="A6073">
        <f>HYPERLINK("https://www.philgeps.gov.ph/GEPSNONPILOT/Tender/SplashBidNoticeAbstractUI.aspx?menuIndex=3&amp;refID=7080953&amp;Result=3","7080953")</f>
        <v>0</v>
      </c>
      <c r="B6073" t="s">
        <v>1498</v>
      </c>
      <c r="C6073" t="s">
        <v>9198</v>
      </c>
      <c r="D6073" t="s">
        <v>17415</v>
      </c>
      <c r="E6073" t="s">
        <v>22744</v>
      </c>
      <c r="F6073" t="s">
        <v>30052</v>
      </c>
      <c r="G6073" t="s">
        <v>30059</v>
      </c>
      <c r="H6073" t="s">
        <v>15498</v>
      </c>
      <c r="I6073" t="s">
        <v>4650</v>
      </c>
      <c r="J6073" t="s">
        <v>32524</v>
      </c>
      <c r="K6073" t="s">
        <v>39017</v>
      </c>
      <c r="M6073" t="s">
        <v>40882</v>
      </c>
      <c r="N6073" t="s">
        <v>43166</v>
      </c>
      <c r="O6073" t="s">
        <v>43167</v>
      </c>
      <c r="P6073">
        <v>0</v>
      </c>
      <c r="Q6073">
        <v>12</v>
      </c>
      <c r="R6073" t="s">
        <v>43172</v>
      </c>
      <c r="S6073" t="s">
        <v>43334</v>
      </c>
      <c r="T6073" t="s">
        <v>44803</v>
      </c>
      <c r="U6073" t="s">
        <v>49961</v>
      </c>
      <c r="W6073" t="s">
        <v>40882</v>
      </c>
      <c r="X6073" t="s">
        <v>43173</v>
      </c>
    </row>
    <row r="6074" spans="1:24">
      <c r="A6074">
        <f>HYPERLINK("https://www.philgeps.gov.ph/GEPSNONPILOT/Tender/SplashBidNoticeAbstractUI.aspx?menuIndex=3&amp;refID=7080970&amp;Result=3","7080970")</f>
        <v>0</v>
      </c>
      <c r="B6074" t="s">
        <v>1189</v>
      </c>
      <c r="C6074" t="s">
        <v>9199</v>
      </c>
      <c r="D6074" t="s">
        <v>17444</v>
      </c>
      <c r="E6074" t="s">
        <v>22745</v>
      </c>
      <c r="F6074" t="s">
        <v>30052</v>
      </c>
      <c r="G6074" t="s">
        <v>30058</v>
      </c>
      <c r="H6074" t="s">
        <v>15498</v>
      </c>
      <c r="I6074" t="s">
        <v>7228</v>
      </c>
      <c r="J6074" t="s">
        <v>34013</v>
      </c>
      <c r="K6074" t="s">
        <v>39046</v>
      </c>
      <c r="M6074" t="s">
        <v>40542</v>
      </c>
      <c r="N6074" t="s">
        <v>43166</v>
      </c>
      <c r="O6074" t="s">
        <v>43167</v>
      </c>
      <c r="P6074">
        <v>0</v>
      </c>
      <c r="Q6074">
        <v>0</v>
      </c>
      <c r="R6074" t="s">
        <v>43172</v>
      </c>
      <c r="S6074" t="s">
        <v>43334</v>
      </c>
      <c r="T6074" t="s">
        <v>44798</v>
      </c>
      <c r="U6074" t="s">
        <v>50154</v>
      </c>
      <c r="W6074" t="s">
        <v>40542</v>
      </c>
      <c r="X6074" t="s">
        <v>43173</v>
      </c>
    </row>
    <row r="6075" spans="1:24">
      <c r="A6075">
        <f>HYPERLINK("https://www.philgeps.gov.ph/GEPSNONPILOT/Tender/SplashBidNoticeAbstractUI.aspx?menuIndex=3&amp;refID=7080757&amp;Result=3","7080757")</f>
        <v>0</v>
      </c>
      <c r="B6075" t="s">
        <v>1970</v>
      </c>
      <c r="C6075" t="s">
        <v>9200</v>
      </c>
      <c r="D6075" t="s">
        <v>17462</v>
      </c>
      <c r="E6075" t="s">
        <v>22746</v>
      </c>
      <c r="F6075" t="s">
        <v>30052</v>
      </c>
      <c r="G6075" t="s">
        <v>30060</v>
      </c>
      <c r="H6075" t="s">
        <v>15498</v>
      </c>
      <c r="I6075" t="s">
        <v>30115</v>
      </c>
      <c r="J6075" t="s">
        <v>34014</v>
      </c>
      <c r="K6075" t="s">
        <v>39029</v>
      </c>
      <c r="M6075" t="s">
        <v>41409</v>
      </c>
      <c r="N6075" t="s">
        <v>43166</v>
      </c>
      <c r="O6075" t="s">
        <v>43167</v>
      </c>
      <c r="Q6075">
        <v>10</v>
      </c>
      <c r="R6075" t="s">
        <v>43172</v>
      </c>
      <c r="S6075" t="s">
        <v>43358</v>
      </c>
      <c r="T6075" t="s">
        <v>44719</v>
      </c>
      <c r="U6075" t="s">
        <v>50019</v>
      </c>
      <c r="V6075" t="s">
        <v>57462</v>
      </c>
      <c r="W6075" t="s">
        <v>41409</v>
      </c>
      <c r="X6075" t="s">
        <v>43173</v>
      </c>
    </row>
    <row r="6076" spans="1:24">
      <c r="A6076">
        <f>HYPERLINK("https://www.philgeps.gov.ph/GEPSNONPILOT/Tender/SplashBidNoticeAbstractUI.aspx?menuIndex=3&amp;refID=7080950&amp;Result=3","7080950")</f>
        <v>0</v>
      </c>
      <c r="B6076" t="s">
        <v>620</v>
      </c>
      <c r="C6076" t="s">
        <v>9201</v>
      </c>
      <c r="D6076" t="s">
        <v>17427</v>
      </c>
      <c r="E6076" t="s">
        <v>22079</v>
      </c>
      <c r="F6076" t="s">
        <v>30052</v>
      </c>
      <c r="G6076" t="s">
        <v>30062</v>
      </c>
      <c r="H6076" t="s">
        <v>15498</v>
      </c>
      <c r="I6076" t="s">
        <v>30105</v>
      </c>
      <c r="J6076" t="s">
        <v>34015</v>
      </c>
      <c r="K6076" t="s">
        <v>39025</v>
      </c>
      <c r="M6076" t="s">
        <v>39923</v>
      </c>
      <c r="N6076" t="s">
        <v>43166</v>
      </c>
      <c r="O6076" t="s">
        <v>43167</v>
      </c>
      <c r="P6076">
        <v>0</v>
      </c>
      <c r="Q6076">
        <v>9</v>
      </c>
      <c r="R6076" t="s">
        <v>43172</v>
      </c>
      <c r="S6076" t="s">
        <v>43334</v>
      </c>
      <c r="T6076" t="s">
        <v>44691</v>
      </c>
      <c r="U6076" t="s">
        <v>50155</v>
      </c>
      <c r="W6076" t="s">
        <v>39923</v>
      </c>
      <c r="X6076" t="s">
        <v>43173</v>
      </c>
    </row>
    <row r="6077" spans="1:24">
      <c r="A6077">
        <f>HYPERLINK("https://www.philgeps.gov.ph/GEPSNONPILOT/Tender/SplashBidNoticeAbstractUI.aspx?menuIndex=3&amp;refID=7081004&amp;Result=3","7081004")</f>
        <v>0</v>
      </c>
      <c r="B6077" t="s">
        <v>1100</v>
      </c>
      <c r="C6077" t="s">
        <v>5902</v>
      </c>
      <c r="D6077" t="s">
        <v>17466</v>
      </c>
      <c r="E6077" t="s">
        <v>22747</v>
      </c>
      <c r="F6077" t="s">
        <v>30052</v>
      </c>
      <c r="G6077" t="s">
        <v>30064</v>
      </c>
      <c r="H6077" t="s">
        <v>15498</v>
      </c>
      <c r="I6077" t="s">
        <v>30073</v>
      </c>
      <c r="J6077" t="s">
        <v>34016</v>
      </c>
      <c r="K6077" t="s">
        <v>39025</v>
      </c>
      <c r="M6077" t="s">
        <v>40439</v>
      </c>
      <c r="N6077" t="s">
        <v>43166</v>
      </c>
      <c r="O6077" t="s">
        <v>43167</v>
      </c>
      <c r="P6077">
        <v>0</v>
      </c>
      <c r="Q6077">
        <v>0</v>
      </c>
      <c r="R6077" t="s">
        <v>43172</v>
      </c>
      <c r="S6077" t="s">
        <v>43334</v>
      </c>
      <c r="T6077" t="s">
        <v>44743</v>
      </c>
      <c r="U6077" t="s">
        <v>49541</v>
      </c>
      <c r="W6077" t="s">
        <v>40439</v>
      </c>
      <c r="X6077" t="s">
        <v>43173</v>
      </c>
    </row>
    <row r="6078" spans="1:24">
      <c r="A6078">
        <f>HYPERLINK("https://www.philgeps.gov.ph/GEPSNONPILOT/Tender/SplashBidNoticeAbstractUI.aspx?menuIndex=3&amp;refID=7080954&amp;Result=3","7080954")</f>
        <v>0</v>
      </c>
      <c r="B6078" t="s">
        <v>1982</v>
      </c>
      <c r="C6078" t="s">
        <v>9202</v>
      </c>
      <c r="D6078" t="s">
        <v>17415</v>
      </c>
      <c r="E6078" t="s">
        <v>18292</v>
      </c>
      <c r="F6078" t="s">
        <v>30052</v>
      </c>
      <c r="G6078" t="s">
        <v>30058</v>
      </c>
      <c r="H6078" t="s">
        <v>15498</v>
      </c>
      <c r="I6078" t="s">
        <v>30074</v>
      </c>
      <c r="J6078" t="s">
        <v>34017</v>
      </c>
      <c r="K6078" t="s">
        <v>39026</v>
      </c>
      <c r="M6078" t="s">
        <v>41424</v>
      </c>
      <c r="N6078" t="s">
        <v>43166</v>
      </c>
      <c r="O6078" t="s">
        <v>43167</v>
      </c>
      <c r="P6078">
        <v>0</v>
      </c>
      <c r="Q6078">
        <v>5</v>
      </c>
      <c r="R6078" t="s">
        <v>43172</v>
      </c>
      <c r="S6078" t="s">
        <v>43334</v>
      </c>
      <c r="T6078" t="s">
        <v>44687</v>
      </c>
      <c r="U6078" t="s">
        <v>50156</v>
      </c>
      <c r="W6078" t="s">
        <v>41424</v>
      </c>
      <c r="X6078" t="s">
        <v>43173</v>
      </c>
    </row>
    <row r="6079" spans="1:24">
      <c r="A6079">
        <f>HYPERLINK("https://www.philgeps.gov.ph/GEPSNONPILOT/Tender/SplashBidNoticeAbstractUI.aspx?menuIndex=3&amp;refID=7081013&amp;Result=3","7081013")</f>
        <v>0</v>
      </c>
      <c r="B6079" t="s">
        <v>1189</v>
      </c>
      <c r="C6079" t="s">
        <v>9203</v>
      </c>
      <c r="D6079" t="s">
        <v>17444</v>
      </c>
      <c r="E6079" t="s">
        <v>22748</v>
      </c>
      <c r="F6079" t="s">
        <v>30052</v>
      </c>
      <c r="G6079" t="s">
        <v>30058</v>
      </c>
      <c r="H6079" t="s">
        <v>15498</v>
      </c>
      <c r="I6079" t="s">
        <v>30108</v>
      </c>
      <c r="J6079" t="s">
        <v>34018</v>
      </c>
      <c r="K6079" t="s">
        <v>39046</v>
      </c>
      <c r="M6079" t="s">
        <v>40542</v>
      </c>
      <c r="N6079" t="s">
        <v>43166</v>
      </c>
      <c r="O6079" t="s">
        <v>43167</v>
      </c>
      <c r="P6079">
        <v>0</v>
      </c>
      <c r="Q6079">
        <v>2</v>
      </c>
      <c r="R6079" t="s">
        <v>43172</v>
      </c>
      <c r="S6079" t="s">
        <v>43334</v>
      </c>
      <c r="T6079" t="s">
        <v>44798</v>
      </c>
      <c r="U6079" t="s">
        <v>50157</v>
      </c>
      <c r="W6079" t="s">
        <v>40542</v>
      </c>
      <c r="X6079" t="s">
        <v>43173</v>
      </c>
    </row>
    <row r="6080" spans="1:24">
      <c r="A6080">
        <f>HYPERLINK("https://www.philgeps.gov.ph/GEPSNONPILOT/Tender/SplashBidNoticeAbstractUI.aspx?menuIndex=3&amp;refID=7080967&amp;Result=3","7080967")</f>
        <v>0</v>
      </c>
      <c r="B6080" t="s">
        <v>677</v>
      </c>
      <c r="C6080" t="s">
        <v>9204</v>
      </c>
      <c r="D6080" t="s">
        <v>17415</v>
      </c>
      <c r="E6080" t="s">
        <v>22749</v>
      </c>
      <c r="F6080" t="s">
        <v>30052</v>
      </c>
      <c r="G6080" t="s">
        <v>30062</v>
      </c>
      <c r="H6080" t="s">
        <v>15498</v>
      </c>
      <c r="I6080" t="s">
        <v>30111</v>
      </c>
      <c r="J6080" t="s">
        <v>34019</v>
      </c>
      <c r="K6080" t="s">
        <v>39017</v>
      </c>
      <c r="M6080" t="s">
        <v>39983</v>
      </c>
      <c r="N6080" t="s">
        <v>43166</v>
      </c>
      <c r="O6080" t="s">
        <v>43167</v>
      </c>
      <c r="P6080">
        <v>0</v>
      </c>
      <c r="Q6080">
        <v>4</v>
      </c>
      <c r="R6080" t="s">
        <v>43172</v>
      </c>
      <c r="S6080" t="s">
        <v>43334</v>
      </c>
      <c r="T6080" t="s">
        <v>44832</v>
      </c>
      <c r="U6080" t="s">
        <v>50158</v>
      </c>
      <c r="W6080" t="s">
        <v>58607</v>
      </c>
      <c r="X6080" t="s">
        <v>43173</v>
      </c>
    </row>
    <row r="6081" spans="1:24">
      <c r="A6081">
        <f>HYPERLINK("https://www.philgeps.gov.ph/GEPSNONPILOT/Tender/SplashBidNoticeAbstractUI.aspx?menuIndex=3&amp;refID=7080908&amp;Result=3","7080908")</f>
        <v>0</v>
      </c>
      <c r="B6081" t="s">
        <v>1278</v>
      </c>
      <c r="C6081" t="s">
        <v>9205</v>
      </c>
      <c r="D6081" t="s">
        <v>17449</v>
      </c>
      <c r="E6081" t="s">
        <v>22750</v>
      </c>
      <c r="F6081" t="s">
        <v>30052</v>
      </c>
      <c r="G6081" t="s">
        <v>30059</v>
      </c>
      <c r="H6081" t="s">
        <v>15498</v>
      </c>
      <c r="I6081" t="s">
        <v>30094</v>
      </c>
      <c r="J6081" t="s">
        <v>34020</v>
      </c>
      <c r="K6081" t="s">
        <v>39017</v>
      </c>
      <c r="M6081" t="s">
        <v>40642</v>
      </c>
      <c r="N6081" t="s">
        <v>43166</v>
      </c>
      <c r="O6081" t="s">
        <v>43167</v>
      </c>
      <c r="P6081">
        <v>0</v>
      </c>
      <c r="Q6081">
        <v>0</v>
      </c>
      <c r="R6081" t="s">
        <v>43172</v>
      </c>
      <c r="S6081" t="s">
        <v>43334</v>
      </c>
      <c r="T6081" t="s">
        <v>44837</v>
      </c>
      <c r="U6081" t="s">
        <v>50159</v>
      </c>
      <c r="W6081" t="s">
        <v>40642</v>
      </c>
      <c r="X6081" t="s">
        <v>43173</v>
      </c>
    </row>
    <row r="6082" spans="1:24">
      <c r="A6082">
        <f>HYPERLINK("https://www.philgeps.gov.ph/GEPSNONPILOT/Tender/SplashBidNoticeAbstractUI.aspx?menuIndex=3&amp;refID=7080966&amp;Result=3","7080966")</f>
        <v>0</v>
      </c>
      <c r="B6082" t="s">
        <v>1015</v>
      </c>
      <c r="C6082" t="s">
        <v>9206</v>
      </c>
      <c r="D6082" t="s">
        <v>17415</v>
      </c>
      <c r="E6082" t="s">
        <v>22751</v>
      </c>
      <c r="F6082" t="s">
        <v>30052</v>
      </c>
      <c r="G6082" t="s">
        <v>30062</v>
      </c>
      <c r="H6082" t="s">
        <v>15498</v>
      </c>
      <c r="I6082" t="s">
        <v>5961</v>
      </c>
      <c r="J6082" t="s">
        <v>34021</v>
      </c>
      <c r="K6082" t="s">
        <v>39017</v>
      </c>
      <c r="M6082" t="s">
        <v>40344</v>
      </c>
      <c r="N6082" t="s">
        <v>43166</v>
      </c>
      <c r="O6082" t="s">
        <v>43167</v>
      </c>
      <c r="P6082">
        <v>0</v>
      </c>
      <c r="Q6082">
        <v>1</v>
      </c>
      <c r="R6082" t="s">
        <v>43172</v>
      </c>
      <c r="S6082" t="s">
        <v>43334</v>
      </c>
      <c r="T6082" t="s">
        <v>44832</v>
      </c>
      <c r="U6082" t="s">
        <v>50160</v>
      </c>
      <c r="V6082" t="s">
        <v>57123</v>
      </c>
      <c r="W6082" t="s">
        <v>40344</v>
      </c>
      <c r="X6082" t="s">
        <v>43173</v>
      </c>
    </row>
    <row r="6083" spans="1:24">
      <c r="A6083">
        <f>HYPERLINK("https://www.philgeps.gov.ph/GEPSNONPILOT/Tender/SplashBidNoticeAbstractUI.aspx?menuIndex=3&amp;refID=7081014&amp;Result=3","7081014")</f>
        <v>0</v>
      </c>
      <c r="B6083" t="s">
        <v>429</v>
      </c>
      <c r="C6083" t="s">
        <v>9207</v>
      </c>
      <c r="D6083" t="s">
        <v>17433</v>
      </c>
      <c r="E6083" t="s">
        <v>22752</v>
      </c>
      <c r="F6083" t="s">
        <v>30052</v>
      </c>
      <c r="G6083" t="s">
        <v>30058</v>
      </c>
      <c r="H6083" t="s">
        <v>15498</v>
      </c>
      <c r="I6083" t="s">
        <v>30097</v>
      </c>
      <c r="J6083" t="s">
        <v>34022</v>
      </c>
      <c r="K6083" t="s">
        <v>39034</v>
      </c>
      <c r="M6083" t="s">
        <v>39728</v>
      </c>
      <c r="N6083" t="s">
        <v>43166</v>
      </c>
      <c r="O6083" t="s">
        <v>43167</v>
      </c>
      <c r="P6083">
        <v>0</v>
      </c>
      <c r="Q6083">
        <v>1</v>
      </c>
      <c r="R6083" t="s">
        <v>43172</v>
      </c>
      <c r="S6083" t="s">
        <v>43334</v>
      </c>
      <c r="T6083" t="s">
        <v>44732</v>
      </c>
      <c r="U6083" t="s">
        <v>50161</v>
      </c>
      <c r="W6083" t="s">
        <v>39728</v>
      </c>
      <c r="X6083" t="s">
        <v>43173</v>
      </c>
    </row>
    <row r="6084" spans="1:24">
      <c r="A6084">
        <f>HYPERLINK("https://www.philgeps.gov.ph/GEPSNONPILOT/Tender/SplashBidNoticeAbstractUI.aspx?menuIndex=3&amp;refID=7081005&amp;Result=3","7081005")</f>
        <v>0</v>
      </c>
      <c r="B6084" t="s">
        <v>1840</v>
      </c>
      <c r="C6084" t="s">
        <v>9208</v>
      </c>
      <c r="D6084" t="s">
        <v>17449</v>
      </c>
      <c r="E6084" t="s">
        <v>22753</v>
      </c>
      <c r="F6084" t="s">
        <v>30052</v>
      </c>
      <c r="G6084" t="s">
        <v>30059</v>
      </c>
      <c r="H6084" t="s">
        <v>15498</v>
      </c>
      <c r="I6084" t="s">
        <v>30075</v>
      </c>
      <c r="J6084" t="s">
        <v>34023</v>
      </c>
      <c r="K6084" t="s">
        <v>39029</v>
      </c>
      <c r="M6084" t="s">
        <v>41265</v>
      </c>
      <c r="N6084" t="s">
        <v>43166</v>
      </c>
      <c r="O6084" t="s">
        <v>43167</v>
      </c>
      <c r="P6084">
        <v>0</v>
      </c>
      <c r="Q6084">
        <v>2</v>
      </c>
      <c r="R6084" t="s">
        <v>43172</v>
      </c>
      <c r="S6084" t="s">
        <v>43334</v>
      </c>
      <c r="T6084" t="s">
        <v>44717</v>
      </c>
      <c r="U6084" t="s">
        <v>49579</v>
      </c>
      <c r="V6084" t="s">
        <v>57421</v>
      </c>
      <c r="W6084" t="s">
        <v>41265</v>
      </c>
      <c r="X6084" t="s">
        <v>43173</v>
      </c>
    </row>
    <row r="6085" spans="1:24">
      <c r="A6085">
        <f>HYPERLINK("https://www.philgeps.gov.ph/GEPSNONPILOT/Tender/SplashBidNoticeAbstractUI.aspx?menuIndex=3&amp;refID=7081010&amp;Result=3","7081010")</f>
        <v>0</v>
      </c>
      <c r="B6085" t="s">
        <v>2007</v>
      </c>
      <c r="C6085" t="s">
        <v>9209</v>
      </c>
      <c r="E6085" t="s">
        <v>22754</v>
      </c>
      <c r="F6085" t="s">
        <v>30052</v>
      </c>
      <c r="G6085" t="s">
        <v>30058</v>
      </c>
      <c r="H6085" t="s">
        <v>15498</v>
      </c>
      <c r="I6085" t="s">
        <v>4650</v>
      </c>
      <c r="J6085" t="s">
        <v>30504</v>
      </c>
      <c r="K6085" t="s">
        <v>39029</v>
      </c>
      <c r="M6085" t="s">
        <v>41451</v>
      </c>
      <c r="N6085" t="s">
        <v>43166</v>
      </c>
      <c r="O6085" t="s">
        <v>43167</v>
      </c>
      <c r="P6085">
        <v>0</v>
      </c>
      <c r="Q6085">
        <v>6</v>
      </c>
      <c r="R6085" t="s">
        <v>43172</v>
      </c>
      <c r="S6085" t="s">
        <v>43334</v>
      </c>
      <c r="T6085" t="s">
        <v>44713</v>
      </c>
      <c r="U6085" t="s">
        <v>50162</v>
      </c>
      <c r="W6085" t="s">
        <v>41451</v>
      </c>
      <c r="X6085" t="s">
        <v>43173</v>
      </c>
    </row>
    <row r="6086" spans="1:24">
      <c r="A6086">
        <f>HYPERLINK("https://www.philgeps.gov.ph/GEPSNONPILOT/Tender/SplashBidNoticeAbstractUI.aspx?menuIndex=3&amp;refID=7081009&amp;Result=3","7081009")</f>
        <v>0</v>
      </c>
      <c r="B6086" t="s">
        <v>529</v>
      </c>
      <c r="C6086" t="s">
        <v>9210</v>
      </c>
      <c r="D6086" t="s">
        <v>17474</v>
      </c>
      <c r="E6086" t="s">
        <v>22755</v>
      </c>
      <c r="F6086" t="s">
        <v>30052</v>
      </c>
      <c r="G6086" t="s">
        <v>30058</v>
      </c>
      <c r="H6086" t="s">
        <v>15498</v>
      </c>
      <c r="I6086" t="s">
        <v>3736</v>
      </c>
      <c r="J6086" t="s">
        <v>34024</v>
      </c>
      <c r="K6086" t="s">
        <v>39034</v>
      </c>
      <c r="M6086" t="s">
        <v>39831</v>
      </c>
      <c r="N6086" t="s">
        <v>43166</v>
      </c>
      <c r="O6086" t="s">
        <v>43167</v>
      </c>
      <c r="P6086">
        <v>0</v>
      </c>
      <c r="Q6086">
        <v>0</v>
      </c>
      <c r="R6086" t="s">
        <v>43172</v>
      </c>
      <c r="S6086" t="s">
        <v>43334</v>
      </c>
      <c r="T6086" t="s">
        <v>44704</v>
      </c>
      <c r="U6086" t="s">
        <v>50163</v>
      </c>
      <c r="V6086" t="s">
        <v>57463</v>
      </c>
      <c r="W6086" t="s">
        <v>39831</v>
      </c>
      <c r="X6086" t="s">
        <v>43173</v>
      </c>
    </row>
    <row r="6087" spans="1:24">
      <c r="A6087">
        <f>HYPERLINK("https://www.philgeps.gov.ph/GEPSNONPILOT/Tender/SplashBidNoticeAbstractUI.aspx?menuIndex=3&amp;refID=7081001&amp;Result=3","7081001")</f>
        <v>0</v>
      </c>
      <c r="B6087" t="s">
        <v>918</v>
      </c>
      <c r="C6087" t="s">
        <v>9211</v>
      </c>
      <c r="D6087" t="s">
        <v>17424</v>
      </c>
      <c r="E6087" t="s">
        <v>22756</v>
      </c>
      <c r="F6087" t="s">
        <v>30052</v>
      </c>
      <c r="G6087" t="s">
        <v>30063</v>
      </c>
      <c r="H6087" t="s">
        <v>30067</v>
      </c>
      <c r="I6087" t="s">
        <v>3693</v>
      </c>
      <c r="J6087" t="s">
        <v>34025</v>
      </c>
      <c r="K6087" t="s">
        <v>39020</v>
      </c>
      <c r="M6087" t="s">
        <v>40241</v>
      </c>
      <c r="N6087" t="s">
        <v>43166</v>
      </c>
      <c r="O6087" t="s">
        <v>43167</v>
      </c>
      <c r="P6087">
        <v>0</v>
      </c>
      <c r="Q6087">
        <v>4</v>
      </c>
      <c r="R6087" t="s">
        <v>43172</v>
      </c>
      <c r="S6087" t="s">
        <v>43334</v>
      </c>
      <c r="T6087" t="s">
        <v>44722</v>
      </c>
      <c r="U6087" t="s">
        <v>50164</v>
      </c>
      <c r="V6087" t="s">
        <v>57086</v>
      </c>
      <c r="W6087" t="s">
        <v>40241</v>
      </c>
      <c r="X6087" t="s">
        <v>43173</v>
      </c>
    </row>
    <row r="6088" spans="1:24">
      <c r="A6088">
        <f>HYPERLINK("https://www.philgeps.gov.ph/GEPSNONPILOT/Tender/SplashBidNoticeAbstractUI.aspx?menuIndex=3&amp;refID=7080999&amp;Result=3","7080999")</f>
        <v>0</v>
      </c>
      <c r="B6088" t="s">
        <v>2008</v>
      </c>
      <c r="C6088" t="s">
        <v>9212</v>
      </c>
      <c r="D6088" t="s">
        <v>17459</v>
      </c>
      <c r="E6088" t="s">
        <v>17760</v>
      </c>
      <c r="F6088" t="s">
        <v>30052</v>
      </c>
      <c r="G6088" t="s">
        <v>30058</v>
      </c>
      <c r="H6088" t="s">
        <v>30067</v>
      </c>
      <c r="I6088" t="s">
        <v>3693</v>
      </c>
      <c r="J6088" t="s">
        <v>30321</v>
      </c>
      <c r="K6088" t="s">
        <v>39031</v>
      </c>
      <c r="M6088" t="s">
        <v>41452</v>
      </c>
      <c r="N6088" t="s">
        <v>43166</v>
      </c>
      <c r="O6088" t="s">
        <v>43167</v>
      </c>
      <c r="P6088">
        <v>0</v>
      </c>
      <c r="Q6088">
        <v>1</v>
      </c>
      <c r="R6088" t="s">
        <v>43172</v>
      </c>
      <c r="S6088" t="s">
        <v>43334</v>
      </c>
      <c r="T6088" t="s">
        <v>44796</v>
      </c>
      <c r="U6088" t="s">
        <v>50165</v>
      </c>
      <c r="W6088" t="s">
        <v>41452</v>
      </c>
      <c r="X6088" t="s">
        <v>43173</v>
      </c>
    </row>
    <row r="6089" spans="1:24">
      <c r="A6089">
        <f>HYPERLINK("https://www.philgeps.gov.ph/GEPSNONPILOT/Tender/SplashBidNoticeAbstractUI.aspx?menuIndex=3&amp;refID=7080997&amp;Result=3","7080997")</f>
        <v>0</v>
      </c>
      <c r="B6089" t="s">
        <v>2009</v>
      </c>
      <c r="C6089" t="s">
        <v>9213</v>
      </c>
      <c r="D6089" t="s">
        <v>17413</v>
      </c>
      <c r="E6089" t="s">
        <v>22757</v>
      </c>
      <c r="F6089" t="s">
        <v>30052</v>
      </c>
      <c r="G6089" t="s">
        <v>30059</v>
      </c>
      <c r="H6089" t="s">
        <v>15498</v>
      </c>
      <c r="I6089" t="s">
        <v>3852</v>
      </c>
      <c r="J6089" t="s">
        <v>30402</v>
      </c>
      <c r="K6089" t="s">
        <v>39017</v>
      </c>
      <c r="M6089" t="s">
        <v>41453</v>
      </c>
      <c r="N6089" t="s">
        <v>43166</v>
      </c>
      <c r="O6089" t="s">
        <v>43167</v>
      </c>
      <c r="P6089">
        <v>0</v>
      </c>
      <c r="Q6089">
        <v>0</v>
      </c>
      <c r="R6089" t="s">
        <v>43172</v>
      </c>
      <c r="S6089" t="s">
        <v>43334</v>
      </c>
      <c r="T6089" t="s">
        <v>44932</v>
      </c>
      <c r="U6089" t="s">
        <v>47816</v>
      </c>
      <c r="W6089" t="s">
        <v>41453</v>
      </c>
      <c r="X6089" t="s">
        <v>43173</v>
      </c>
    </row>
    <row r="6090" spans="1:24">
      <c r="A6090">
        <f>HYPERLINK("https://www.philgeps.gov.ph/GEPSNONPILOT/Tender/SplashBidNoticeAbstractUI.aspx?menuIndex=3&amp;refID=7080994&amp;Result=3","7080994")</f>
        <v>0</v>
      </c>
      <c r="B6090" t="s">
        <v>2010</v>
      </c>
      <c r="C6090" t="s">
        <v>9214</v>
      </c>
      <c r="D6090" t="s">
        <v>17446</v>
      </c>
      <c r="E6090" t="s">
        <v>18952</v>
      </c>
      <c r="F6090" t="s">
        <v>30052</v>
      </c>
      <c r="G6090" t="s">
        <v>30058</v>
      </c>
      <c r="H6090" t="s">
        <v>30067</v>
      </c>
      <c r="I6090" t="s">
        <v>3693</v>
      </c>
      <c r="J6090" t="s">
        <v>30574</v>
      </c>
      <c r="K6090" t="s">
        <v>39167</v>
      </c>
      <c r="M6090" t="s">
        <v>41454</v>
      </c>
      <c r="N6090" t="s">
        <v>43166</v>
      </c>
      <c r="O6090" t="s">
        <v>43167</v>
      </c>
      <c r="P6090">
        <v>0</v>
      </c>
      <c r="Q6090">
        <v>0</v>
      </c>
      <c r="R6090" t="s">
        <v>43172</v>
      </c>
      <c r="S6090" t="s">
        <v>43334</v>
      </c>
      <c r="T6090" t="s">
        <v>44715</v>
      </c>
      <c r="U6090" t="s">
        <v>50166</v>
      </c>
      <c r="V6090" t="s">
        <v>57464</v>
      </c>
      <c r="W6090" t="s">
        <v>41454</v>
      </c>
      <c r="X6090" t="s">
        <v>43173</v>
      </c>
    </row>
    <row r="6091" spans="1:24">
      <c r="A6091">
        <f>HYPERLINK("https://www.philgeps.gov.ph/GEPSNONPILOT/Tender/SplashBidNoticeAbstractUI.aspx?menuIndex=3&amp;refID=7081050&amp;Result=3","7081050")</f>
        <v>0</v>
      </c>
      <c r="B6091" t="s">
        <v>2009</v>
      </c>
      <c r="C6091" t="s">
        <v>9215</v>
      </c>
      <c r="D6091" t="s">
        <v>17413</v>
      </c>
      <c r="E6091" t="s">
        <v>22758</v>
      </c>
      <c r="F6091" t="s">
        <v>30052</v>
      </c>
      <c r="G6091" t="s">
        <v>30059</v>
      </c>
      <c r="H6091" t="s">
        <v>15498</v>
      </c>
      <c r="I6091" t="s">
        <v>6691</v>
      </c>
      <c r="J6091" t="s">
        <v>30440</v>
      </c>
      <c r="K6091" t="s">
        <v>39017</v>
      </c>
      <c r="M6091" t="s">
        <v>41453</v>
      </c>
      <c r="N6091" t="s">
        <v>43166</v>
      </c>
      <c r="O6091" t="s">
        <v>43167</v>
      </c>
      <c r="P6091">
        <v>0</v>
      </c>
      <c r="Q6091">
        <v>1</v>
      </c>
      <c r="R6091" t="s">
        <v>43172</v>
      </c>
      <c r="S6091" t="s">
        <v>43334</v>
      </c>
      <c r="T6091" t="s">
        <v>44932</v>
      </c>
      <c r="U6091" t="s">
        <v>47816</v>
      </c>
      <c r="W6091" t="s">
        <v>41453</v>
      </c>
      <c r="X6091" t="s">
        <v>43173</v>
      </c>
    </row>
    <row r="6092" spans="1:24">
      <c r="A6092">
        <f>HYPERLINK("https://www.philgeps.gov.ph/GEPSNONPILOT/Tender/SplashBidNoticeAbstractUI.aspx?menuIndex=3&amp;refID=7081002&amp;Result=3","7081002")</f>
        <v>0</v>
      </c>
      <c r="B6092" t="s">
        <v>344</v>
      </c>
      <c r="C6092" t="s">
        <v>9216</v>
      </c>
      <c r="D6092" t="s">
        <v>17461</v>
      </c>
      <c r="E6092" t="s">
        <v>22759</v>
      </c>
      <c r="F6092" t="s">
        <v>30052</v>
      </c>
      <c r="G6092" t="s">
        <v>30058</v>
      </c>
      <c r="H6092" t="s">
        <v>30067</v>
      </c>
      <c r="I6092" t="s">
        <v>3693</v>
      </c>
      <c r="J6092" t="s">
        <v>34026</v>
      </c>
      <c r="K6092" t="s">
        <v>39026</v>
      </c>
      <c r="M6092" t="s">
        <v>39641</v>
      </c>
      <c r="N6092" t="s">
        <v>43166</v>
      </c>
      <c r="O6092" t="s">
        <v>43167</v>
      </c>
      <c r="P6092">
        <v>0</v>
      </c>
      <c r="Q6092">
        <v>0</v>
      </c>
      <c r="R6092" t="s">
        <v>43172</v>
      </c>
      <c r="S6092" t="s">
        <v>43334</v>
      </c>
      <c r="T6092" t="s">
        <v>44711</v>
      </c>
      <c r="U6092" t="s">
        <v>50167</v>
      </c>
      <c r="V6092" t="s">
        <v>57465</v>
      </c>
      <c r="W6092" t="s">
        <v>39641</v>
      </c>
      <c r="X6092" t="s">
        <v>43173</v>
      </c>
    </row>
    <row r="6093" spans="1:24">
      <c r="A6093">
        <f>HYPERLINK("https://www.philgeps.gov.ph/GEPSNONPILOT/Tender/SplashBidNoticeAbstractUI.aspx?menuIndex=3&amp;refID=7081045&amp;Result=3","7081045")</f>
        <v>0</v>
      </c>
      <c r="B6093" t="s">
        <v>2010</v>
      </c>
      <c r="C6093" t="s">
        <v>9217</v>
      </c>
      <c r="D6093" t="s">
        <v>17446</v>
      </c>
      <c r="E6093" t="s">
        <v>21605</v>
      </c>
      <c r="F6093" t="s">
        <v>30052</v>
      </c>
      <c r="G6093" t="s">
        <v>30058</v>
      </c>
      <c r="H6093" t="s">
        <v>30067</v>
      </c>
      <c r="I6093" t="s">
        <v>3693</v>
      </c>
      <c r="J6093" t="s">
        <v>30397</v>
      </c>
      <c r="K6093" t="s">
        <v>39086</v>
      </c>
      <c r="M6093" t="s">
        <v>41454</v>
      </c>
      <c r="N6093" t="s">
        <v>43166</v>
      </c>
      <c r="O6093" t="s">
        <v>43167</v>
      </c>
      <c r="P6093">
        <v>0</v>
      </c>
      <c r="Q6093">
        <v>0</v>
      </c>
      <c r="R6093" t="s">
        <v>43172</v>
      </c>
      <c r="S6093" t="s">
        <v>43334</v>
      </c>
      <c r="T6093" t="s">
        <v>45036</v>
      </c>
      <c r="U6093" t="s">
        <v>50166</v>
      </c>
      <c r="V6093" t="s">
        <v>57466</v>
      </c>
      <c r="W6093" t="s">
        <v>41454</v>
      </c>
      <c r="X6093" t="s">
        <v>43173</v>
      </c>
    </row>
    <row r="6094" spans="1:24">
      <c r="A6094">
        <f>HYPERLINK("https://www.philgeps.gov.ph/GEPSNONPILOT/Tender/SplashBidNoticeAbstractUI.aspx?menuIndex=3&amp;refID=7081043&amp;Result=3","7081043")</f>
        <v>0</v>
      </c>
      <c r="B6094" t="s">
        <v>1424</v>
      </c>
      <c r="C6094" t="s">
        <v>9218</v>
      </c>
      <c r="D6094" t="s">
        <v>17413</v>
      </c>
      <c r="E6094" t="s">
        <v>22760</v>
      </c>
      <c r="F6094" t="s">
        <v>30052</v>
      </c>
      <c r="G6094" t="s">
        <v>30059</v>
      </c>
      <c r="H6094" t="s">
        <v>15498</v>
      </c>
      <c r="I6094" t="s">
        <v>30151</v>
      </c>
      <c r="J6094" t="s">
        <v>34027</v>
      </c>
      <c r="K6094" t="s">
        <v>39025</v>
      </c>
      <c r="L6094" t="s">
        <v>1424</v>
      </c>
      <c r="M6094" t="s">
        <v>40802</v>
      </c>
      <c r="N6094" t="s">
        <v>43166</v>
      </c>
      <c r="O6094" t="s">
        <v>43167</v>
      </c>
      <c r="P6094">
        <v>0</v>
      </c>
      <c r="Q6094">
        <v>5</v>
      </c>
      <c r="R6094" t="s">
        <v>43172</v>
      </c>
      <c r="S6094" t="s">
        <v>43334</v>
      </c>
      <c r="T6094" t="s">
        <v>44777</v>
      </c>
      <c r="U6094" t="s">
        <v>48391</v>
      </c>
      <c r="W6094" t="s">
        <v>40802</v>
      </c>
      <c r="X6094" t="s">
        <v>43173</v>
      </c>
    </row>
    <row r="6095" spans="1:24">
      <c r="A6095">
        <f>HYPERLINK("https://www.philgeps.gov.ph/GEPSNONPILOT/Tender/SplashBidNoticeAbstractUI.aspx?menuIndex=3&amp;refID=7080992&amp;Result=3","7080992")</f>
        <v>0</v>
      </c>
      <c r="B6095" t="s">
        <v>1424</v>
      </c>
      <c r="C6095" t="s">
        <v>9219</v>
      </c>
      <c r="D6095" t="s">
        <v>17413</v>
      </c>
      <c r="E6095" t="s">
        <v>22761</v>
      </c>
      <c r="F6095" t="s">
        <v>30052</v>
      </c>
      <c r="G6095" t="s">
        <v>30061</v>
      </c>
      <c r="H6095" t="s">
        <v>15498</v>
      </c>
      <c r="I6095" t="s">
        <v>4119</v>
      </c>
      <c r="J6095" t="s">
        <v>34028</v>
      </c>
      <c r="K6095" t="s">
        <v>39025</v>
      </c>
      <c r="L6095" t="s">
        <v>1424</v>
      </c>
      <c r="M6095" t="s">
        <v>40802</v>
      </c>
      <c r="N6095" t="s">
        <v>43166</v>
      </c>
      <c r="O6095" t="s">
        <v>43167</v>
      </c>
      <c r="P6095">
        <v>0</v>
      </c>
      <c r="Q6095">
        <v>6</v>
      </c>
      <c r="R6095" t="s">
        <v>43172</v>
      </c>
      <c r="S6095" t="s">
        <v>43334</v>
      </c>
      <c r="T6095" t="s">
        <v>44777</v>
      </c>
      <c r="U6095" t="s">
        <v>48391</v>
      </c>
      <c r="W6095" t="s">
        <v>40802</v>
      </c>
      <c r="X6095" t="s">
        <v>43173</v>
      </c>
    </row>
    <row r="6096" spans="1:24">
      <c r="A6096">
        <f>HYPERLINK("https://www.philgeps.gov.ph/GEPSNONPILOT/Tender/SplashBidNoticeAbstractUI.aspx?menuIndex=3&amp;refID=7081039&amp;Result=3","7081039")</f>
        <v>0</v>
      </c>
      <c r="B6096" t="s">
        <v>1840</v>
      </c>
      <c r="C6096" t="s">
        <v>9220</v>
      </c>
      <c r="D6096" t="s">
        <v>17449</v>
      </c>
      <c r="E6096" t="s">
        <v>22762</v>
      </c>
      <c r="F6096" t="s">
        <v>30052</v>
      </c>
      <c r="G6096" t="s">
        <v>30059</v>
      </c>
      <c r="H6096" t="s">
        <v>15498</v>
      </c>
      <c r="I6096" t="s">
        <v>4598</v>
      </c>
      <c r="J6096" t="s">
        <v>34029</v>
      </c>
      <c r="K6096" t="s">
        <v>39029</v>
      </c>
      <c r="M6096" t="s">
        <v>41265</v>
      </c>
      <c r="N6096" t="s">
        <v>43166</v>
      </c>
      <c r="O6096" t="s">
        <v>43167</v>
      </c>
      <c r="P6096">
        <v>0</v>
      </c>
      <c r="Q6096">
        <v>5</v>
      </c>
      <c r="R6096" t="s">
        <v>43172</v>
      </c>
      <c r="S6096" t="s">
        <v>43334</v>
      </c>
      <c r="T6096" t="s">
        <v>44717</v>
      </c>
      <c r="U6096" t="s">
        <v>49579</v>
      </c>
      <c r="V6096" t="s">
        <v>57421</v>
      </c>
      <c r="W6096" t="s">
        <v>41265</v>
      </c>
      <c r="X6096" t="s">
        <v>43173</v>
      </c>
    </row>
    <row r="6097" spans="1:24">
      <c r="A6097">
        <f>HYPERLINK("https://www.philgeps.gov.ph/GEPSNONPILOT/Tender/SplashBidNoticeAbstractUI.aspx?menuIndex=3&amp;refID=7081036&amp;Result=3","7081036")</f>
        <v>0</v>
      </c>
      <c r="B6097" t="s">
        <v>1828</v>
      </c>
      <c r="C6097" t="s">
        <v>9221</v>
      </c>
      <c r="D6097" t="s">
        <v>17488</v>
      </c>
      <c r="E6097" t="s">
        <v>22763</v>
      </c>
      <c r="F6097" t="s">
        <v>30052</v>
      </c>
      <c r="G6097" t="s">
        <v>30058</v>
      </c>
      <c r="H6097" t="s">
        <v>15498</v>
      </c>
      <c r="I6097" t="s">
        <v>3736</v>
      </c>
      <c r="J6097" t="s">
        <v>34030</v>
      </c>
      <c r="K6097" t="s">
        <v>39036</v>
      </c>
      <c r="L6097" t="s">
        <v>1828</v>
      </c>
      <c r="M6097" t="s">
        <v>41251</v>
      </c>
      <c r="N6097" t="s">
        <v>43166</v>
      </c>
      <c r="O6097" t="s">
        <v>43167</v>
      </c>
      <c r="P6097">
        <v>0</v>
      </c>
      <c r="Q6097">
        <v>0</v>
      </c>
      <c r="R6097" t="s">
        <v>43172</v>
      </c>
      <c r="S6097" t="s">
        <v>43334</v>
      </c>
      <c r="T6097" t="s">
        <v>44685</v>
      </c>
      <c r="U6097" t="s">
        <v>50168</v>
      </c>
      <c r="W6097" t="s">
        <v>41251</v>
      </c>
      <c r="X6097" t="s">
        <v>43173</v>
      </c>
    </row>
    <row r="6098" spans="1:24">
      <c r="A6098">
        <f>HYPERLINK("https://www.philgeps.gov.ph/GEPSNONPILOT/Tender/SplashBidNoticeAbstractUI.aspx?menuIndex=3&amp;refID=7081032&amp;Result=3","7081032")</f>
        <v>0</v>
      </c>
      <c r="B6098" t="s">
        <v>1184</v>
      </c>
      <c r="C6098" t="s">
        <v>9222</v>
      </c>
      <c r="D6098" t="s">
        <v>17427</v>
      </c>
      <c r="E6098" t="s">
        <v>22473</v>
      </c>
      <c r="F6098" t="s">
        <v>30052</v>
      </c>
      <c r="G6098" t="s">
        <v>30058</v>
      </c>
      <c r="H6098" t="s">
        <v>15498</v>
      </c>
      <c r="I6098" t="s">
        <v>3852</v>
      </c>
      <c r="J6098" t="s">
        <v>34031</v>
      </c>
      <c r="K6098" t="s">
        <v>39019</v>
      </c>
      <c r="M6098" t="s">
        <v>40535</v>
      </c>
      <c r="N6098" t="s">
        <v>43166</v>
      </c>
      <c r="O6098" t="s">
        <v>43167</v>
      </c>
      <c r="P6098">
        <v>0</v>
      </c>
      <c r="Q6098">
        <v>1</v>
      </c>
      <c r="R6098" t="s">
        <v>43172</v>
      </c>
      <c r="S6098" t="s">
        <v>43334</v>
      </c>
      <c r="T6098" t="s">
        <v>44695</v>
      </c>
      <c r="U6098" t="s">
        <v>50169</v>
      </c>
      <c r="W6098" t="s">
        <v>40535</v>
      </c>
      <c r="X6098" t="s">
        <v>43173</v>
      </c>
    </row>
    <row r="6099" spans="1:24">
      <c r="A6099">
        <f>HYPERLINK("https://www.philgeps.gov.ph/GEPSNONPILOT/Tender/SplashBidNoticeAbstractUI.aspx?menuIndex=3&amp;refID=7081006&amp;Result=3","7081006")</f>
        <v>0</v>
      </c>
      <c r="B6099" t="s">
        <v>1997</v>
      </c>
      <c r="C6099" t="s">
        <v>9223</v>
      </c>
      <c r="D6099" t="s">
        <v>17422</v>
      </c>
      <c r="E6099" t="s">
        <v>22764</v>
      </c>
      <c r="F6099" t="s">
        <v>30052</v>
      </c>
      <c r="G6099" t="s">
        <v>30058</v>
      </c>
      <c r="H6099" t="s">
        <v>15498</v>
      </c>
      <c r="I6099" t="s">
        <v>3736</v>
      </c>
      <c r="J6099" t="s">
        <v>34032</v>
      </c>
      <c r="K6099" t="s">
        <v>39029</v>
      </c>
      <c r="M6099" t="s">
        <v>41440</v>
      </c>
      <c r="N6099" t="s">
        <v>43166</v>
      </c>
      <c r="O6099" t="s">
        <v>43167</v>
      </c>
      <c r="P6099">
        <v>0</v>
      </c>
      <c r="Q6099">
        <v>0</v>
      </c>
      <c r="R6099" t="s">
        <v>43172</v>
      </c>
      <c r="S6099" t="s">
        <v>43334</v>
      </c>
      <c r="T6099" t="s">
        <v>44691</v>
      </c>
      <c r="U6099" t="s">
        <v>50170</v>
      </c>
      <c r="W6099" t="s">
        <v>41440</v>
      </c>
      <c r="X6099" t="s">
        <v>43173</v>
      </c>
    </row>
    <row r="6100" spans="1:24">
      <c r="A6100">
        <f>HYPERLINK("https://www.philgeps.gov.ph/GEPSNONPILOT/Tender/SplashBidNoticeAbstractUI.aspx?menuIndex=3&amp;refID=7081041&amp;Result=3","7081041")</f>
        <v>0</v>
      </c>
      <c r="B6100" t="s">
        <v>701</v>
      </c>
      <c r="C6100" t="s">
        <v>9224</v>
      </c>
      <c r="D6100" t="s">
        <v>17419</v>
      </c>
      <c r="E6100" t="s">
        <v>22765</v>
      </c>
      <c r="F6100" t="s">
        <v>30052</v>
      </c>
      <c r="G6100" t="s">
        <v>30059</v>
      </c>
      <c r="H6100" t="s">
        <v>15498</v>
      </c>
      <c r="I6100" t="s">
        <v>30084</v>
      </c>
      <c r="J6100" t="s">
        <v>30263</v>
      </c>
      <c r="K6100" t="s">
        <v>39025</v>
      </c>
      <c r="M6100" t="s">
        <v>40858</v>
      </c>
      <c r="N6100" t="s">
        <v>43166</v>
      </c>
      <c r="O6100" t="s">
        <v>43167</v>
      </c>
      <c r="P6100">
        <v>0</v>
      </c>
      <c r="Q6100">
        <v>2</v>
      </c>
      <c r="R6100" t="s">
        <v>43172</v>
      </c>
      <c r="S6100" t="s">
        <v>43334</v>
      </c>
      <c r="T6100" t="s">
        <v>44717</v>
      </c>
      <c r="U6100" t="s">
        <v>50171</v>
      </c>
      <c r="W6100" t="s">
        <v>40858</v>
      </c>
      <c r="X6100" t="s">
        <v>43173</v>
      </c>
    </row>
    <row r="6101" spans="1:24">
      <c r="A6101">
        <f>HYPERLINK("https://www.philgeps.gov.ph/GEPSNONPILOT/Tender/SplashBidNoticeAbstractUI.aspx?menuIndex=3&amp;refID=7081030&amp;Result=3","7081030")</f>
        <v>0</v>
      </c>
      <c r="B6101" t="s">
        <v>1191</v>
      </c>
      <c r="C6101" t="s">
        <v>9225</v>
      </c>
      <c r="D6101" t="s">
        <v>17451</v>
      </c>
      <c r="E6101" t="s">
        <v>22766</v>
      </c>
      <c r="F6101" t="s">
        <v>30052</v>
      </c>
      <c r="G6101" t="s">
        <v>30058</v>
      </c>
      <c r="H6101" t="s">
        <v>30067</v>
      </c>
      <c r="I6101" t="s">
        <v>3693</v>
      </c>
      <c r="J6101" t="s">
        <v>30227</v>
      </c>
      <c r="K6101" t="s">
        <v>39023</v>
      </c>
      <c r="M6101" t="s">
        <v>40544</v>
      </c>
      <c r="N6101" t="s">
        <v>43166</v>
      </c>
      <c r="O6101" t="s">
        <v>43167</v>
      </c>
      <c r="P6101">
        <v>0</v>
      </c>
      <c r="Q6101">
        <v>0</v>
      </c>
      <c r="R6101" t="s">
        <v>43172</v>
      </c>
      <c r="S6101" t="s">
        <v>43334</v>
      </c>
      <c r="T6101" t="s">
        <v>44678</v>
      </c>
      <c r="U6101" t="s">
        <v>50172</v>
      </c>
      <c r="W6101" t="s">
        <v>40544</v>
      </c>
      <c r="X6101" t="s">
        <v>43173</v>
      </c>
    </row>
    <row r="6102" spans="1:24">
      <c r="A6102">
        <f>HYPERLINK("https://www.philgeps.gov.ph/GEPSNONPILOT/Tender/SplashBidNoticeAbstractUI.aspx?menuIndex=3&amp;refID=7081029&amp;Result=3","7081029")</f>
        <v>0</v>
      </c>
      <c r="B6102" t="s">
        <v>2011</v>
      </c>
      <c r="C6102" t="s">
        <v>9226</v>
      </c>
      <c r="D6102" t="s">
        <v>17416</v>
      </c>
      <c r="E6102" t="s">
        <v>22767</v>
      </c>
      <c r="F6102" t="s">
        <v>30052</v>
      </c>
      <c r="G6102" t="s">
        <v>30058</v>
      </c>
      <c r="H6102" t="s">
        <v>30067</v>
      </c>
      <c r="I6102" t="s">
        <v>3693</v>
      </c>
      <c r="J6102" t="s">
        <v>34033</v>
      </c>
      <c r="K6102" t="s">
        <v>39140</v>
      </c>
      <c r="M6102" t="s">
        <v>41455</v>
      </c>
      <c r="N6102" t="s">
        <v>43166</v>
      </c>
      <c r="O6102" t="s">
        <v>43167</v>
      </c>
      <c r="P6102">
        <v>0</v>
      </c>
      <c r="Q6102">
        <v>1</v>
      </c>
      <c r="R6102" t="s">
        <v>43172</v>
      </c>
      <c r="S6102" t="s">
        <v>43334</v>
      </c>
      <c r="T6102" t="s">
        <v>44758</v>
      </c>
      <c r="U6102" t="s">
        <v>50173</v>
      </c>
      <c r="W6102" t="s">
        <v>41455</v>
      </c>
      <c r="X6102" t="s">
        <v>43173</v>
      </c>
    </row>
    <row r="6103" spans="1:24">
      <c r="A6103">
        <f>HYPERLINK("https://www.philgeps.gov.ph/GEPSNONPILOT/Tender/SplashBidNoticeAbstractUI.aspx?menuIndex=3&amp;refID=7081034&amp;Result=3","7081034")</f>
        <v>0</v>
      </c>
      <c r="B6103" t="s">
        <v>1405</v>
      </c>
      <c r="C6103" t="s">
        <v>9227</v>
      </c>
      <c r="D6103" t="s">
        <v>17415</v>
      </c>
      <c r="E6103" t="s">
        <v>22768</v>
      </c>
      <c r="F6103" t="s">
        <v>30052</v>
      </c>
      <c r="G6103" t="s">
        <v>30059</v>
      </c>
      <c r="H6103" t="s">
        <v>15498</v>
      </c>
      <c r="I6103" t="s">
        <v>30076</v>
      </c>
      <c r="J6103" t="s">
        <v>30377</v>
      </c>
      <c r="K6103" t="s">
        <v>39025</v>
      </c>
      <c r="M6103" t="s">
        <v>40782</v>
      </c>
      <c r="N6103" t="s">
        <v>43166</v>
      </c>
      <c r="O6103" t="s">
        <v>43167</v>
      </c>
      <c r="P6103">
        <v>0</v>
      </c>
      <c r="Q6103">
        <v>9</v>
      </c>
      <c r="R6103" t="s">
        <v>43172</v>
      </c>
      <c r="S6103" t="s">
        <v>43334</v>
      </c>
      <c r="T6103" t="s">
        <v>44870</v>
      </c>
      <c r="U6103" t="s">
        <v>48355</v>
      </c>
      <c r="W6103" t="s">
        <v>40782</v>
      </c>
      <c r="X6103" t="s">
        <v>43173</v>
      </c>
    </row>
    <row r="6104" spans="1:24">
      <c r="A6104">
        <f>HYPERLINK("https://www.philgeps.gov.ph/GEPSNONPILOT/Tender/SplashBidNoticeAbstractUI.aspx?menuIndex=3&amp;refID=7081080&amp;Result=3","7081080")</f>
        <v>0</v>
      </c>
      <c r="B6104" t="s">
        <v>2012</v>
      </c>
      <c r="C6104" t="s">
        <v>9228</v>
      </c>
      <c r="D6104" t="s">
        <v>17441</v>
      </c>
      <c r="E6104" t="s">
        <v>22769</v>
      </c>
      <c r="F6104" t="s">
        <v>30052</v>
      </c>
      <c r="G6104" t="s">
        <v>30058</v>
      </c>
      <c r="H6104" t="s">
        <v>30067</v>
      </c>
      <c r="I6104" t="s">
        <v>3693</v>
      </c>
      <c r="J6104" t="s">
        <v>34034</v>
      </c>
      <c r="K6104" t="s">
        <v>39037</v>
      </c>
      <c r="M6104" t="s">
        <v>41456</v>
      </c>
      <c r="N6104" t="s">
        <v>43166</v>
      </c>
      <c r="O6104" t="s">
        <v>43167</v>
      </c>
      <c r="P6104">
        <v>0</v>
      </c>
      <c r="Q6104">
        <v>3</v>
      </c>
      <c r="R6104" t="s">
        <v>43172</v>
      </c>
      <c r="S6104" t="s">
        <v>43334</v>
      </c>
      <c r="T6104" t="s">
        <v>44720</v>
      </c>
      <c r="U6104" t="s">
        <v>50174</v>
      </c>
      <c r="W6104" t="s">
        <v>41456</v>
      </c>
      <c r="X6104" t="s">
        <v>43173</v>
      </c>
    </row>
    <row r="6105" spans="1:24">
      <c r="A6105">
        <f>HYPERLINK("https://www.philgeps.gov.ph/GEPSNONPILOT/Tender/SplashBidNoticeAbstractUI.aspx?menuIndex=3&amp;refID=7081088&amp;Result=3","7081088")</f>
        <v>0</v>
      </c>
      <c r="B6105" t="s">
        <v>1854</v>
      </c>
      <c r="C6105" t="s">
        <v>9229</v>
      </c>
      <c r="E6105" t="s">
        <v>22770</v>
      </c>
      <c r="F6105" t="s">
        <v>30052</v>
      </c>
      <c r="G6105" t="s">
        <v>30059</v>
      </c>
      <c r="H6105" t="s">
        <v>30068</v>
      </c>
      <c r="I6105" t="s">
        <v>30068</v>
      </c>
      <c r="J6105" t="s">
        <v>30343</v>
      </c>
      <c r="K6105" t="s">
        <v>39031</v>
      </c>
      <c r="M6105" t="s">
        <v>41282</v>
      </c>
      <c r="N6105" t="s">
        <v>43166</v>
      </c>
      <c r="O6105" t="s">
        <v>43167</v>
      </c>
      <c r="P6105">
        <v>0</v>
      </c>
      <c r="Q6105">
        <v>3</v>
      </c>
      <c r="R6105" t="s">
        <v>43172</v>
      </c>
      <c r="S6105" t="s">
        <v>43334</v>
      </c>
      <c r="T6105" t="s">
        <v>44735</v>
      </c>
      <c r="U6105" t="s">
        <v>50175</v>
      </c>
      <c r="W6105" t="s">
        <v>41282</v>
      </c>
      <c r="X6105" t="s">
        <v>43173</v>
      </c>
    </row>
    <row r="6106" spans="1:24">
      <c r="A6106">
        <f>HYPERLINK("https://www.philgeps.gov.ph/GEPSNONPILOT/Tender/SplashBidNoticeAbstractUI.aspx?menuIndex=3&amp;refID=7080956&amp;Result=3","7080956")</f>
        <v>0</v>
      </c>
      <c r="B6106" t="s">
        <v>918</v>
      </c>
      <c r="C6106" t="s">
        <v>9230</v>
      </c>
      <c r="D6106" t="s">
        <v>17424</v>
      </c>
      <c r="E6106" t="s">
        <v>22771</v>
      </c>
      <c r="F6106" t="s">
        <v>30052</v>
      </c>
      <c r="G6106" t="s">
        <v>30063</v>
      </c>
      <c r="H6106" t="s">
        <v>30067</v>
      </c>
      <c r="I6106" t="s">
        <v>3693</v>
      </c>
      <c r="J6106" t="s">
        <v>31804</v>
      </c>
      <c r="K6106" t="s">
        <v>39020</v>
      </c>
      <c r="M6106" t="s">
        <v>40241</v>
      </c>
      <c r="N6106" t="s">
        <v>43166</v>
      </c>
      <c r="O6106" t="s">
        <v>43167</v>
      </c>
      <c r="P6106">
        <v>0</v>
      </c>
      <c r="Q6106">
        <v>5</v>
      </c>
      <c r="R6106" t="s">
        <v>43172</v>
      </c>
      <c r="S6106" t="s">
        <v>43334</v>
      </c>
      <c r="T6106" t="s">
        <v>44722</v>
      </c>
      <c r="U6106" t="s">
        <v>50176</v>
      </c>
      <c r="V6106" t="s">
        <v>57086</v>
      </c>
      <c r="W6106" t="s">
        <v>40241</v>
      </c>
      <c r="X6106" t="s">
        <v>43173</v>
      </c>
    </row>
    <row r="6107" spans="1:24">
      <c r="A6107">
        <f>HYPERLINK("https://www.philgeps.gov.ph/GEPSNONPILOT/Tender/SplashBidNoticeAbstractUI.aspx?menuIndex=3&amp;refID=7081087&amp;Result=3","7081087")</f>
        <v>0</v>
      </c>
      <c r="B6107" t="s">
        <v>701</v>
      </c>
      <c r="C6107" t="s">
        <v>9231</v>
      </c>
      <c r="D6107" t="s">
        <v>17419</v>
      </c>
      <c r="E6107" t="s">
        <v>22772</v>
      </c>
      <c r="F6107" t="s">
        <v>30052</v>
      </c>
      <c r="G6107" t="s">
        <v>30059</v>
      </c>
      <c r="H6107" t="s">
        <v>15498</v>
      </c>
      <c r="I6107" t="s">
        <v>30100</v>
      </c>
      <c r="J6107" t="s">
        <v>34035</v>
      </c>
      <c r="K6107" t="s">
        <v>39025</v>
      </c>
      <c r="M6107" t="s">
        <v>40858</v>
      </c>
      <c r="N6107" t="s">
        <v>43166</v>
      </c>
      <c r="O6107" t="s">
        <v>43167</v>
      </c>
      <c r="P6107">
        <v>0</v>
      </c>
      <c r="Q6107">
        <v>0</v>
      </c>
      <c r="R6107" t="s">
        <v>43172</v>
      </c>
      <c r="S6107" t="s">
        <v>43334</v>
      </c>
      <c r="T6107" t="s">
        <v>44717</v>
      </c>
      <c r="U6107" t="s">
        <v>50177</v>
      </c>
      <c r="W6107" t="s">
        <v>40858</v>
      </c>
      <c r="X6107" t="s">
        <v>43173</v>
      </c>
    </row>
    <row r="6108" spans="1:24">
      <c r="A6108">
        <f>HYPERLINK("https://www.philgeps.gov.ph/GEPSNONPILOT/Tender/SplashBidNoticeAbstractUI.aspx?menuIndex=3&amp;refID=7081085&amp;Result=3","7081085")</f>
        <v>0</v>
      </c>
      <c r="B6108" t="s">
        <v>2013</v>
      </c>
      <c r="C6108" t="s">
        <v>9232</v>
      </c>
      <c r="D6108" t="s">
        <v>17425</v>
      </c>
      <c r="E6108" t="s">
        <v>22773</v>
      </c>
      <c r="F6108" t="s">
        <v>30052</v>
      </c>
      <c r="G6108" t="s">
        <v>30058</v>
      </c>
      <c r="H6108" t="s">
        <v>30067</v>
      </c>
      <c r="I6108" t="s">
        <v>3693</v>
      </c>
      <c r="J6108" t="s">
        <v>34036</v>
      </c>
      <c r="K6108" t="s">
        <v>39168</v>
      </c>
      <c r="M6108" t="s">
        <v>41457</v>
      </c>
      <c r="N6108" t="s">
        <v>43166</v>
      </c>
      <c r="O6108" t="s">
        <v>43167</v>
      </c>
      <c r="P6108">
        <v>0</v>
      </c>
      <c r="Q6108">
        <v>0</v>
      </c>
      <c r="R6108" t="s">
        <v>43172</v>
      </c>
      <c r="S6108" t="s">
        <v>43334</v>
      </c>
      <c r="T6108" t="s">
        <v>44758</v>
      </c>
      <c r="U6108" t="s">
        <v>50178</v>
      </c>
      <c r="V6108" t="s">
        <v>57467</v>
      </c>
      <c r="W6108" t="s">
        <v>41457</v>
      </c>
      <c r="X6108" t="s">
        <v>43173</v>
      </c>
    </row>
    <row r="6109" spans="1:24">
      <c r="A6109">
        <f>HYPERLINK("https://www.philgeps.gov.ph/GEPSNONPILOT/Tender/SplashBidNoticeAbstractUI.aspx?menuIndex=3&amp;refID=7081027&amp;Result=3","7081027")</f>
        <v>0</v>
      </c>
      <c r="B6109" t="s">
        <v>918</v>
      </c>
      <c r="C6109" t="s">
        <v>9233</v>
      </c>
      <c r="D6109" t="s">
        <v>17424</v>
      </c>
      <c r="E6109" t="s">
        <v>22774</v>
      </c>
      <c r="F6109" t="s">
        <v>30052</v>
      </c>
      <c r="G6109" t="s">
        <v>30063</v>
      </c>
      <c r="H6109" t="s">
        <v>30067</v>
      </c>
      <c r="I6109" t="s">
        <v>3693</v>
      </c>
      <c r="J6109" t="s">
        <v>34037</v>
      </c>
      <c r="K6109" t="s">
        <v>39020</v>
      </c>
      <c r="M6109" t="s">
        <v>40241</v>
      </c>
      <c r="N6109" t="s">
        <v>43166</v>
      </c>
      <c r="O6109" t="s">
        <v>43167</v>
      </c>
      <c r="P6109">
        <v>0</v>
      </c>
      <c r="Q6109">
        <v>5</v>
      </c>
      <c r="R6109" t="s">
        <v>43172</v>
      </c>
      <c r="S6109" t="s">
        <v>43334</v>
      </c>
      <c r="T6109" t="s">
        <v>44722</v>
      </c>
      <c r="U6109" t="s">
        <v>50179</v>
      </c>
      <c r="V6109" t="s">
        <v>57086</v>
      </c>
      <c r="W6109" t="s">
        <v>40241</v>
      </c>
      <c r="X6109" t="s">
        <v>43173</v>
      </c>
    </row>
    <row r="6110" spans="1:24">
      <c r="A6110">
        <f>HYPERLINK("https://www.philgeps.gov.ph/GEPSNONPILOT/Tender/SplashBidNoticeAbstractUI.aspx?menuIndex=3&amp;refID=7081078&amp;Result=3","7081078")</f>
        <v>0</v>
      </c>
      <c r="B6110" t="s">
        <v>1414</v>
      </c>
      <c r="C6110" t="s">
        <v>9234</v>
      </c>
      <c r="D6110" t="s">
        <v>17419</v>
      </c>
      <c r="E6110" t="s">
        <v>22775</v>
      </c>
      <c r="F6110" t="s">
        <v>30052</v>
      </c>
      <c r="G6110" t="s">
        <v>30059</v>
      </c>
      <c r="H6110" t="s">
        <v>15498</v>
      </c>
      <c r="I6110" t="s">
        <v>6691</v>
      </c>
      <c r="J6110" t="s">
        <v>34038</v>
      </c>
      <c r="K6110" t="s">
        <v>39019</v>
      </c>
      <c r="M6110" t="s">
        <v>41458</v>
      </c>
      <c r="N6110" t="s">
        <v>43166</v>
      </c>
      <c r="O6110" t="s">
        <v>43167</v>
      </c>
      <c r="P6110">
        <v>0</v>
      </c>
      <c r="Q6110">
        <v>0</v>
      </c>
      <c r="R6110" t="s">
        <v>43172</v>
      </c>
      <c r="S6110" t="s">
        <v>43334</v>
      </c>
      <c r="T6110" t="s">
        <v>44691</v>
      </c>
      <c r="U6110" t="s">
        <v>50180</v>
      </c>
      <c r="W6110" t="s">
        <v>41458</v>
      </c>
      <c r="X6110" t="s">
        <v>43173</v>
      </c>
    </row>
    <row r="6111" spans="1:24">
      <c r="A6111">
        <f>HYPERLINK("https://www.philgeps.gov.ph/GEPSNONPILOT/Tender/SplashBidNoticeAbstractUI.aspx?menuIndex=3&amp;refID=7081076&amp;Result=3","7081076")</f>
        <v>0</v>
      </c>
      <c r="B6111" t="s">
        <v>2014</v>
      </c>
      <c r="C6111" t="s">
        <v>9235</v>
      </c>
      <c r="D6111" t="s">
        <v>17413</v>
      </c>
      <c r="E6111" t="s">
        <v>22776</v>
      </c>
      <c r="F6111" t="s">
        <v>30052</v>
      </c>
      <c r="G6111" t="s">
        <v>30058</v>
      </c>
      <c r="H6111" t="s">
        <v>30067</v>
      </c>
      <c r="I6111" t="s">
        <v>3693</v>
      </c>
      <c r="J6111" t="s">
        <v>34039</v>
      </c>
      <c r="K6111" t="s">
        <v>39029</v>
      </c>
      <c r="M6111" t="s">
        <v>41459</v>
      </c>
      <c r="N6111" t="s">
        <v>43166</v>
      </c>
      <c r="O6111" t="s">
        <v>43167</v>
      </c>
      <c r="P6111">
        <v>0</v>
      </c>
      <c r="Q6111">
        <v>0</v>
      </c>
      <c r="R6111" t="s">
        <v>43172</v>
      </c>
      <c r="S6111" t="s">
        <v>43334</v>
      </c>
      <c r="T6111" t="s">
        <v>44815</v>
      </c>
      <c r="U6111" t="s">
        <v>50181</v>
      </c>
      <c r="W6111" t="s">
        <v>41459</v>
      </c>
      <c r="X6111" t="s">
        <v>43173</v>
      </c>
    </row>
    <row r="6112" spans="1:24">
      <c r="A6112">
        <f>HYPERLINK("https://www.philgeps.gov.ph/GEPSNONPILOT/Tender/SplashBidNoticeAbstractUI.aspx?menuIndex=3&amp;refID=7081075&amp;Result=3","7081075")</f>
        <v>0</v>
      </c>
      <c r="B6112" t="s">
        <v>1191</v>
      </c>
      <c r="C6112" t="s">
        <v>9236</v>
      </c>
      <c r="D6112" t="s">
        <v>17451</v>
      </c>
      <c r="E6112" t="s">
        <v>22777</v>
      </c>
      <c r="F6112" t="s">
        <v>30052</v>
      </c>
      <c r="G6112" t="s">
        <v>30058</v>
      </c>
      <c r="H6112" t="s">
        <v>30067</v>
      </c>
      <c r="I6112" t="s">
        <v>3693</v>
      </c>
      <c r="J6112" t="s">
        <v>30559</v>
      </c>
      <c r="K6112" t="s">
        <v>39077</v>
      </c>
      <c r="M6112" t="s">
        <v>40544</v>
      </c>
      <c r="N6112" t="s">
        <v>43166</v>
      </c>
      <c r="O6112" t="s">
        <v>43167</v>
      </c>
      <c r="P6112">
        <v>0</v>
      </c>
      <c r="Q6112">
        <v>0</v>
      </c>
      <c r="R6112" t="s">
        <v>43172</v>
      </c>
      <c r="S6112" t="s">
        <v>43334</v>
      </c>
      <c r="T6112" t="s">
        <v>44678</v>
      </c>
      <c r="U6112" t="s">
        <v>50182</v>
      </c>
      <c r="W6112" t="s">
        <v>40544</v>
      </c>
      <c r="X6112" t="s">
        <v>43173</v>
      </c>
    </row>
    <row r="6113" spans="1:24">
      <c r="A6113">
        <f>HYPERLINK("https://www.philgeps.gov.ph/GEPSNONPILOT/Tender/SplashBidNoticeAbstractUI.aspx?menuIndex=3&amp;refID=7081069&amp;Result=3","7081069")</f>
        <v>0</v>
      </c>
      <c r="B6113" t="s">
        <v>870</v>
      </c>
      <c r="C6113" t="s">
        <v>9237</v>
      </c>
      <c r="E6113" t="s">
        <v>22778</v>
      </c>
      <c r="F6113" t="s">
        <v>30052</v>
      </c>
      <c r="G6113" t="s">
        <v>30059</v>
      </c>
      <c r="H6113" t="s">
        <v>15498</v>
      </c>
      <c r="I6113" t="s">
        <v>30081</v>
      </c>
      <c r="J6113" t="s">
        <v>30587</v>
      </c>
      <c r="K6113" t="s">
        <v>39025</v>
      </c>
      <c r="M6113" t="s">
        <v>40189</v>
      </c>
      <c r="N6113" t="s">
        <v>43166</v>
      </c>
      <c r="O6113" t="s">
        <v>43167</v>
      </c>
      <c r="P6113">
        <v>0</v>
      </c>
      <c r="Q6113">
        <v>2</v>
      </c>
      <c r="R6113" t="s">
        <v>43172</v>
      </c>
      <c r="S6113" t="s">
        <v>43334</v>
      </c>
      <c r="T6113" t="s">
        <v>44843</v>
      </c>
      <c r="U6113" t="s">
        <v>50183</v>
      </c>
      <c r="W6113" t="s">
        <v>40189</v>
      </c>
      <c r="X6113" t="s">
        <v>43173</v>
      </c>
    </row>
    <row r="6114" spans="1:24">
      <c r="A6114">
        <f>HYPERLINK("https://www.philgeps.gov.ph/GEPSNONPILOT/Tender/SplashBidNoticeAbstractUI.aspx?menuIndex=3&amp;refID=7081066&amp;Result=3","7081066")</f>
        <v>0</v>
      </c>
      <c r="B6114" t="s">
        <v>1576</v>
      </c>
      <c r="C6114" t="s">
        <v>9238</v>
      </c>
      <c r="D6114" t="s">
        <v>17415</v>
      </c>
      <c r="E6114" t="s">
        <v>22779</v>
      </c>
      <c r="F6114" t="s">
        <v>30052</v>
      </c>
      <c r="G6114" t="s">
        <v>30059</v>
      </c>
      <c r="H6114" t="s">
        <v>15498</v>
      </c>
      <c r="I6114" t="s">
        <v>9238</v>
      </c>
      <c r="J6114" t="s">
        <v>34040</v>
      </c>
      <c r="K6114" t="s">
        <v>39025</v>
      </c>
      <c r="M6114" t="s">
        <v>40969</v>
      </c>
      <c r="N6114" t="s">
        <v>43166</v>
      </c>
      <c r="O6114" t="s">
        <v>43167</v>
      </c>
      <c r="P6114">
        <v>0</v>
      </c>
      <c r="Q6114">
        <v>9</v>
      </c>
      <c r="R6114" t="s">
        <v>43172</v>
      </c>
      <c r="S6114" t="s">
        <v>43334</v>
      </c>
      <c r="T6114" t="s">
        <v>44888</v>
      </c>
      <c r="U6114" t="s">
        <v>50184</v>
      </c>
      <c r="V6114" t="s">
        <v>56845</v>
      </c>
      <c r="W6114" t="s">
        <v>40969</v>
      </c>
      <c r="X6114" t="s">
        <v>43173</v>
      </c>
    </row>
    <row r="6115" spans="1:24">
      <c r="A6115">
        <f>HYPERLINK("https://www.philgeps.gov.ph/GEPSNONPILOT/Tender/SplashBidNoticeAbstractUI.aspx?menuIndex=3&amp;refID=7081081&amp;Result=3","7081081")</f>
        <v>0</v>
      </c>
      <c r="B6115" t="s">
        <v>2009</v>
      </c>
      <c r="C6115" t="s">
        <v>9239</v>
      </c>
      <c r="D6115" t="s">
        <v>17413</v>
      </c>
      <c r="E6115" t="s">
        <v>22780</v>
      </c>
      <c r="F6115" t="s">
        <v>30052</v>
      </c>
      <c r="G6115" t="s">
        <v>30059</v>
      </c>
      <c r="H6115" t="s">
        <v>15498</v>
      </c>
      <c r="I6115" t="s">
        <v>3736</v>
      </c>
      <c r="J6115" t="s">
        <v>34041</v>
      </c>
      <c r="K6115" t="s">
        <v>39017</v>
      </c>
      <c r="M6115" t="s">
        <v>41453</v>
      </c>
      <c r="N6115" t="s">
        <v>43166</v>
      </c>
      <c r="O6115" t="s">
        <v>43167</v>
      </c>
      <c r="P6115">
        <v>0</v>
      </c>
      <c r="Q6115">
        <v>0</v>
      </c>
      <c r="R6115" t="s">
        <v>43172</v>
      </c>
      <c r="S6115" t="s">
        <v>43334</v>
      </c>
      <c r="T6115" t="s">
        <v>44932</v>
      </c>
      <c r="U6115" t="s">
        <v>47816</v>
      </c>
      <c r="W6115" t="s">
        <v>41453</v>
      </c>
      <c r="X6115" t="s">
        <v>43173</v>
      </c>
    </row>
    <row r="6116" spans="1:24">
      <c r="A6116">
        <f>HYPERLINK("https://www.philgeps.gov.ph/GEPSNONPILOT/Tender/SplashBidNoticeAbstractUI.aspx?menuIndex=3&amp;refID=7081063&amp;Result=3","7081063")</f>
        <v>0</v>
      </c>
      <c r="B6116" t="s">
        <v>677</v>
      </c>
      <c r="C6116" t="s">
        <v>9240</v>
      </c>
      <c r="D6116" t="s">
        <v>17415</v>
      </c>
      <c r="E6116" t="s">
        <v>22781</v>
      </c>
      <c r="F6116" t="s">
        <v>30052</v>
      </c>
      <c r="G6116" t="s">
        <v>30062</v>
      </c>
      <c r="H6116" t="s">
        <v>15498</v>
      </c>
      <c r="I6116" t="s">
        <v>30081</v>
      </c>
      <c r="J6116" t="s">
        <v>30358</v>
      </c>
      <c r="K6116" t="s">
        <v>39019</v>
      </c>
      <c r="M6116" t="s">
        <v>39983</v>
      </c>
      <c r="N6116" t="s">
        <v>43166</v>
      </c>
      <c r="O6116" t="s">
        <v>43167</v>
      </c>
      <c r="P6116">
        <v>0</v>
      </c>
      <c r="Q6116">
        <v>5</v>
      </c>
      <c r="R6116" t="s">
        <v>43172</v>
      </c>
      <c r="S6116" t="s">
        <v>43334</v>
      </c>
      <c r="T6116" t="s">
        <v>44832</v>
      </c>
      <c r="U6116" t="s">
        <v>50185</v>
      </c>
      <c r="W6116" t="s">
        <v>58607</v>
      </c>
      <c r="X6116" t="s">
        <v>43173</v>
      </c>
    </row>
    <row r="6117" spans="1:24">
      <c r="A6117">
        <f>HYPERLINK("https://www.philgeps.gov.ph/GEPSNONPILOT/Tender/SplashBidNoticeAbstractUI.aspx?menuIndex=3&amp;refID=7081062&amp;Result=3","7081062")</f>
        <v>0</v>
      </c>
      <c r="B6117" t="s">
        <v>2015</v>
      </c>
      <c r="C6117" t="s">
        <v>9241</v>
      </c>
      <c r="D6117" t="s">
        <v>17416</v>
      </c>
      <c r="E6117" t="s">
        <v>22782</v>
      </c>
      <c r="F6117" t="s">
        <v>30052</v>
      </c>
      <c r="G6117" t="s">
        <v>30058</v>
      </c>
      <c r="H6117" t="s">
        <v>30067</v>
      </c>
      <c r="I6117" t="s">
        <v>3693</v>
      </c>
      <c r="J6117" t="s">
        <v>34042</v>
      </c>
      <c r="K6117" t="s">
        <v>39085</v>
      </c>
      <c r="L6117" t="s">
        <v>2015</v>
      </c>
      <c r="M6117" t="s">
        <v>41460</v>
      </c>
      <c r="N6117" t="s">
        <v>43166</v>
      </c>
      <c r="O6117" t="s">
        <v>43167</v>
      </c>
      <c r="P6117">
        <v>0</v>
      </c>
      <c r="Q6117">
        <v>0</v>
      </c>
      <c r="R6117" t="s">
        <v>43172</v>
      </c>
      <c r="S6117" t="s">
        <v>43334</v>
      </c>
      <c r="T6117" t="s">
        <v>44758</v>
      </c>
      <c r="U6117" t="s">
        <v>50186</v>
      </c>
      <c r="V6117" t="s">
        <v>57468</v>
      </c>
      <c r="W6117" t="s">
        <v>41460</v>
      </c>
      <c r="X6117" t="s">
        <v>43173</v>
      </c>
    </row>
    <row r="6118" spans="1:24">
      <c r="A6118">
        <f>HYPERLINK("https://www.philgeps.gov.ph/GEPSNONPILOT/Tender/SplashBidNoticeAbstractUI.aspx?menuIndex=3&amp;refID=7081070&amp;Result=3","7081070")</f>
        <v>0</v>
      </c>
      <c r="B6118" t="s">
        <v>1313</v>
      </c>
      <c r="C6118" t="s">
        <v>9242</v>
      </c>
      <c r="D6118" t="s">
        <v>17415</v>
      </c>
      <c r="E6118" t="s">
        <v>22783</v>
      </c>
      <c r="F6118" t="s">
        <v>30052</v>
      </c>
      <c r="G6118" t="s">
        <v>30059</v>
      </c>
      <c r="H6118" t="s">
        <v>15498</v>
      </c>
      <c r="I6118" t="s">
        <v>30096</v>
      </c>
      <c r="J6118" t="s">
        <v>30230</v>
      </c>
      <c r="K6118" t="s">
        <v>39017</v>
      </c>
      <c r="M6118" t="s">
        <v>41366</v>
      </c>
      <c r="N6118" t="s">
        <v>43166</v>
      </c>
      <c r="O6118" t="s">
        <v>43167</v>
      </c>
      <c r="P6118">
        <v>0</v>
      </c>
      <c r="Q6118">
        <v>1</v>
      </c>
      <c r="R6118" t="s">
        <v>43172</v>
      </c>
      <c r="S6118" t="s">
        <v>43334</v>
      </c>
      <c r="T6118" t="s">
        <v>44717</v>
      </c>
      <c r="U6118" t="s">
        <v>50187</v>
      </c>
      <c r="W6118" t="s">
        <v>41366</v>
      </c>
      <c r="X6118" t="s">
        <v>43173</v>
      </c>
    </row>
    <row r="6119" spans="1:24">
      <c r="A6119">
        <f>HYPERLINK("https://www.philgeps.gov.ph/GEPSNONPILOT/Tender/SplashBidNoticeAbstractUI.aspx?menuIndex=3&amp;refID=7081057&amp;Result=3","7081057")</f>
        <v>0</v>
      </c>
      <c r="B6119" t="s">
        <v>2016</v>
      </c>
      <c r="C6119" t="s">
        <v>9243</v>
      </c>
      <c r="D6119" t="s">
        <v>17416</v>
      </c>
      <c r="E6119" t="s">
        <v>17892</v>
      </c>
      <c r="F6119" t="s">
        <v>30052</v>
      </c>
      <c r="G6119" t="s">
        <v>30058</v>
      </c>
      <c r="H6119" t="s">
        <v>15498</v>
      </c>
      <c r="I6119" t="s">
        <v>3736</v>
      </c>
      <c r="J6119" t="s">
        <v>34043</v>
      </c>
      <c r="K6119" t="s">
        <v>39017</v>
      </c>
      <c r="M6119" t="s">
        <v>41461</v>
      </c>
      <c r="N6119" t="s">
        <v>43166</v>
      </c>
      <c r="O6119" t="s">
        <v>43167</v>
      </c>
      <c r="P6119">
        <v>0</v>
      </c>
      <c r="Q6119">
        <v>0</v>
      </c>
      <c r="R6119" t="s">
        <v>43172</v>
      </c>
      <c r="S6119" t="s">
        <v>43334</v>
      </c>
      <c r="T6119" t="s">
        <v>44696</v>
      </c>
      <c r="U6119" t="s">
        <v>50188</v>
      </c>
      <c r="W6119" t="s">
        <v>41461</v>
      </c>
      <c r="X6119" t="s">
        <v>43173</v>
      </c>
    </row>
    <row r="6120" spans="1:24">
      <c r="A6120">
        <f>HYPERLINK("https://www.philgeps.gov.ph/GEPSNONPILOT/Tender/SplashBidNoticeAbstractUI.aspx?menuIndex=3&amp;refID=7081073&amp;Result=3","7081073")</f>
        <v>0</v>
      </c>
      <c r="B6120" t="s">
        <v>701</v>
      </c>
      <c r="C6120" t="s">
        <v>9244</v>
      </c>
      <c r="D6120" t="s">
        <v>17419</v>
      </c>
      <c r="E6120" t="s">
        <v>22784</v>
      </c>
      <c r="F6120" t="s">
        <v>30052</v>
      </c>
      <c r="G6120" t="s">
        <v>30061</v>
      </c>
      <c r="H6120" t="s">
        <v>15498</v>
      </c>
      <c r="I6120" t="s">
        <v>30076</v>
      </c>
      <c r="J6120" t="s">
        <v>34044</v>
      </c>
      <c r="K6120" t="s">
        <v>39025</v>
      </c>
      <c r="M6120" t="s">
        <v>40858</v>
      </c>
      <c r="N6120" t="s">
        <v>43166</v>
      </c>
      <c r="O6120" t="s">
        <v>43167</v>
      </c>
      <c r="P6120">
        <v>0</v>
      </c>
      <c r="Q6120">
        <v>2</v>
      </c>
      <c r="R6120" t="s">
        <v>43172</v>
      </c>
      <c r="S6120" t="s">
        <v>43334</v>
      </c>
      <c r="T6120" t="s">
        <v>44717</v>
      </c>
      <c r="U6120" t="s">
        <v>50189</v>
      </c>
      <c r="W6120" t="s">
        <v>40858</v>
      </c>
      <c r="X6120" t="s">
        <v>43173</v>
      </c>
    </row>
    <row r="6121" spans="1:24">
      <c r="A6121">
        <f>HYPERLINK("https://www.philgeps.gov.ph/GEPSNONPILOT/Tender/SplashBidNoticeAbstractUI.aspx?menuIndex=3&amp;refID=7081058&amp;Result=3","7081058")</f>
        <v>0</v>
      </c>
      <c r="B6121" t="s">
        <v>818</v>
      </c>
      <c r="C6121" t="s">
        <v>9245</v>
      </c>
      <c r="D6121" t="s">
        <v>17449</v>
      </c>
      <c r="E6121" t="s">
        <v>19208</v>
      </c>
      <c r="F6121" t="s">
        <v>30052</v>
      </c>
      <c r="G6121" t="s">
        <v>30059</v>
      </c>
      <c r="H6121" t="s">
        <v>15498</v>
      </c>
      <c r="I6121" t="s">
        <v>30102</v>
      </c>
      <c r="J6121" t="s">
        <v>30338</v>
      </c>
      <c r="K6121" t="s">
        <v>39017</v>
      </c>
      <c r="M6121" t="s">
        <v>40135</v>
      </c>
      <c r="N6121" t="s">
        <v>43166</v>
      </c>
      <c r="O6121" t="s">
        <v>43167</v>
      </c>
      <c r="P6121">
        <v>0</v>
      </c>
      <c r="Q6121">
        <v>5</v>
      </c>
      <c r="R6121" t="s">
        <v>43172</v>
      </c>
      <c r="S6121" t="s">
        <v>43334</v>
      </c>
      <c r="T6121" t="s">
        <v>44714</v>
      </c>
      <c r="U6121" t="s">
        <v>50190</v>
      </c>
      <c r="W6121" t="s">
        <v>40135</v>
      </c>
      <c r="X6121" t="s">
        <v>43173</v>
      </c>
    </row>
    <row r="6122" spans="1:24">
      <c r="A6122">
        <f>HYPERLINK("https://www.philgeps.gov.ph/GEPSNONPILOT/Tender/SplashBidNoticeAbstractUI.aspx?menuIndex=3&amp;refID=7081135&amp;Result=3","7081135")</f>
        <v>0</v>
      </c>
      <c r="B6122" t="s">
        <v>1982</v>
      </c>
      <c r="C6122" t="s">
        <v>9246</v>
      </c>
      <c r="D6122" t="s">
        <v>17415</v>
      </c>
      <c r="E6122" t="s">
        <v>17727</v>
      </c>
      <c r="F6122" t="s">
        <v>30052</v>
      </c>
      <c r="G6122" t="s">
        <v>30058</v>
      </c>
      <c r="H6122" t="s">
        <v>15498</v>
      </c>
      <c r="I6122" t="s">
        <v>30183</v>
      </c>
      <c r="J6122" t="s">
        <v>34045</v>
      </c>
      <c r="K6122" t="s">
        <v>39026</v>
      </c>
      <c r="M6122" t="s">
        <v>41424</v>
      </c>
      <c r="N6122" t="s">
        <v>43166</v>
      </c>
      <c r="O6122" t="s">
        <v>43167</v>
      </c>
      <c r="P6122">
        <v>0</v>
      </c>
      <c r="Q6122">
        <v>0</v>
      </c>
      <c r="R6122" t="s">
        <v>43172</v>
      </c>
      <c r="S6122" t="s">
        <v>43334</v>
      </c>
      <c r="T6122" t="s">
        <v>44793</v>
      </c>
      <c r="U6122" t="s">
        <v>50156</v>
      </c>
      <c r="W6122" t="s">
        <v>41424</v>
      </c>
      <c r="X6122" t="s">
        <v>43173</v>
      </c>
    </row>
    <row r="6123" spans="1:24">
      <c r="A6123">
        <f>HYPERLINK("https://www.philgeps.gov.ph/GEPSNONPILOT/Tender/SplashBidNoticeAbstractUI.aspx?menuIndex=3&amp;refID=7081131&amp;Result=3","7081131")</f>
        <v>0</v>
      </c>
      <c r="B6123" t="s">
        <v>2017</v>
      </c>
      <c r="C6123" t="s">
        <v>9247</v>
      </c>
      <c r="D6123" t="s">
        <v>17445</v>
      </c>
      <c r="E6123" t="s">
        <v>17892</v>
      </c>
      <c r="F6123" t="s">
        <v>30052</v>
      </c>
      <c r="G6123" t="s">
        <v>30058</v>
      </c>
      <c r="H6123" t="s">
        <v>30069</v>
      </c>
      <c r="I6123" t="s">
        <v>3693</v>
      </c>
      <c r="J6123" t="s">
        <v>34046</v>
      </c>
      <c r="K6123" t="s">
        <v>39032</v>
      </c>
      <c r="L6123" t="s">
        <v>2017</v>
      </c>
      <c r="M6123" t="s">
        <v>41462</v>
      </c>
      <c r="N6123" t="s">
        <v>43166</v>
      </c>
      <c r="O6123" t="s">
        <v>43167</v>
      </c>
      <c r="P6123">
        <v>0</v>
      </c>
      <c r="Q6123">
        <v>1</v>
      </c>
      <c r="R6123" t="s">
        <v>43172</v>
      </c>
      <c r="S6123" t="s">
        <v>43334</v>
      </c>
      <c r="T6123" t="s">
        <v>44737</v>
      </c>
      <c r="U6123" t="s">
        <v>50191</v>
      </c>
      <c r="W6123" t="s">
        <v>41462</v>
      </c>
      <c r="X6123" t="s">
        <v>43173</v>
      </c>
    </row>
    <row r="6124" spans="1:24">
      <c r="A6124">
        <f>HYPERLINK("https://www.philgeps.gov.ph/GEPSNONPILOT/Tender/SplashBidNoticeAbstractUI.aspx?menuIndex=3&amp;refID=7081049&amp;Result=3","7081049")</f>
        <v>0</v>
      </c>
      <c r="B6124" t="s">
        <v>1854</v>
      </c>
      <c r="C6124" t="s">
        <v>9248</v>
      </c>
      <c r="E6124" t="s">
        <v>22785</v>
      </c>
      <c r="F6124" t="s">
        <v>30052</v>
      </c>
      <c r="G6124" t="s">
        <v>30059</v>
      </c>
      <c r="H6124" t="s">
        <v>30068</v>
      </c>
      <c r="I6124" t="s">
        <v>30068</v>
      </c>
      <c r="J6124" t="s">
        <v>30343</v>
      </c>
      <c r="K6124" t="s">
        <v>39031</v>
      </c>
      <c r="M6124" t="s">
        <v>41282</v>
      </c>
      <c r="N6124" t="s">
        <v>43166</v>
      </c>
      <c r="O6124" t="s">
        <v>43167</v>
      </c>
      <c r="P6124">
        <v>0</v>
      </c>
      <c r="Q6124">
        <v>3</v>
      </c>
      <c r="R6124" t="s">
        <v>43172</v>
      </c>
      <c r="S6124" t="s">
        <v>43334</v>
      </c>
      <c r="T6124" t="s">
        <v>44735</v>
      </c>
      <c r="U6124" t="s">
        <v>50192</v>
      </c>
      <c r="W6124" t="s">
        <v>41282</v>
      </c>
      <c r="X6124" t="s">
        <v>43173</v>
      </c>
    </row>
    <row r="6125" spans="1:24">
      <c r="A6125">
        <f>HYPERLINK("https://www.philgeps.gov.ph/GEPSNONPILOT/Tender/SplashBidNoticeAbstractUI.aspx?menuIndex=3&amp;refID=7081128&amp;Result=3","7081128")</f>
        <v>0</v>
      </c>
      <c r="B6125" t="s">
        <v>2018</v>
      </c>
      <c r="C6125" t="s">
        <v>9249</v>
      </c>
      <c r="D6125" t="s">
        <v>17452</v>
      </c>
      <c r="E6125" t="s">
        <v>22786</v>
      </c>
      <c r="F6125" t="s">
        <v>30052</v>
      </c>
      <c r="G6125" t="s">
        <v>30058</v>
      </c>
      <c r="H6125" t="s">
        <v>15498</v>
      </c>
      <c r="I6125" t="s">
        <v>3852</v>
      </c>
      <c r="J6125" t="s">
        <v>30209</v>
      </c>
      <c r="K6125" t="s">
        <v>39019</v>
      </c>
      <c r="M6125" t="s">
        <v>41463</v>
      </c>
      <c r="N6125" t="s">
        <v>43166</v>
      </c>
      <c r="O6125" t="s">
        <v>43167</v>
      </c>
      <c r="P6125">
        <v>0</v>
      </c>
      <c r="Q6125">
        <v>4</v>
      </c>
      <c r="R6125" t="s">
        <v>43172</v>
      </c>
      <c r="S6125" t="s">
        <v>43334</v>
      </c>
      <c r="T6125" t="s">
        <v>44698</v>
      </c>
      <c r="U6125" t="s">
        <v>50193</v>
      </c>
      <c r="W6125" t="s">
        <v>41463</v>
      </c>
      <c r="X6125" t="s">
        <v>43173</v>
      </c>
    </row>
    <row r="6126" spans="1:24">
      <c r="A6126">
        <f>HYPERLINK("https://www.philgeps.gov.ph/GEPSNONPILOT/Tender/SplashBidNoticeAbstractUI.aspx?menuIndex=3&amp;refID=7081127&amp;Result=3","7081127")</f>
        <v>0</v>
      </c>
      <c r="B6126" t="s">
        <v>2019</v>
      </c>
      <c r="C6126" t="s">
        <v>9250</v>
      </c>
      <c r="D6126" t="s">
        <v>17415</v>
      </c>
      <c r="E6126" t="s">
        <v>22787</v>
      </c>
      <c r="F6126" t="s">
        <v>30052</v>
      </c>
      <c r="G6126" t="s">
        <v>30058</v>
      </c>
      <c r="H6126" t="s">
        <v>15498</v>
      </c>
      <c r="I6126" t="s">
        <v>30084</v>
      </c>
      <c r="J6126" t="s">
        <v>34047</v>
      </c>
      <c r="K6126" t="s">
        <v>39026</v>
      </c>
      <c r="M6126" t="s">
        <v>41464</v>
      </c>
      <c r="N6126" t="s">
        <v>43166</v>
      </c>
      <c r="O6126" t="s">
        <v>43167</v>
      </c>
      <c r="P6126">
        <v>0</v>
      </c>
      <c r="Q6126">
        <v>12</v>
      </c>
      <c r="R6126" t="s">
        <v>43172</v>
      </c>
      <c r="S6126" t="s">
        <v>43334</v>
      </c>
      <c r="T6126" t="s">
        <v>44842</v>
      </c>
      <c r="U6126" t="s">
        <v>50194</v>
      </c>
      <c r="W6126" t="s">
        <v>41464</v>
      </c>
      <c r="X6126" t="s">
        <v>43173</v>
      </c>
    </row>
    <row r="6127" spans="1:24">
      <c r="A6127">
        <f>HYPERLINK("https://www.philgeps.gov.ph/GEPSNONPILOT/Tender/SplashBidNoticeAbstractUI.aspx?menuIndex=3&amp;refID=7081126&amp;Result=3","7081126")</f>
        <v>0</v>
      </c>
      <c r="B6127" t="s">
        <v>1840</v>
      </c>
      <c r="C6127" t="s">
        <v>9251</v>
      </c>
      <c r="D6127" t="s">
        <v>17449</v>
      </c>
      <c r="E6127" t="s">
        <v>22788</v>
      </c>
      <c r="F6127" t="s">
        <v>30052</v>
      </c>
      <c r="G6127" t="s">
        <v>30059</v>
      </c>
      <c r="H6127" t="s">
        <v>15498</v>
      </c>
      <c r="I6127" t="s">
        <v>30076</v>
      </c>
      <c r="J6127" t="s">
        <v>34048</v>
      </c>
      <c r="K6127" t="s">
        <v>39029</v>
      </c>
      <c r="M6127" t="s">
        <v>41265</v>
      </c>
      <c r="N6127" t="s">
        <v>43166</v>
      </c>
      <c r="O6127" t="s">
        <v>43167</v>
      </c>
      <c r="P6127">
        <v>0</v>
      </c>
      <c r="Q6127">
        <v>3</v>
      </c>
      <c r="R6127" t="s">
        <v>43172</v>
      </c>
      <c r="S6127" t="s">
        <v>43334</v>
      </c>
      <c r="T6127" t="s">
        <v>44717</v>
      </c>
      <c r="U6127" t="s">
        <v>49579</v>
      </c>
      <c r="V6127" t="s">
        <v>57421</v>
      </c>
      <c r="W6127" t="s">
        <v>41265</v>
      </c>
      <c r="X6127" t="s">
        <v>43173</v>
      </c>
    </row>
    <row r="6128" spans="1:24">
      <c r="A6128">
        <f>HYPERLINK("https://www.philgeps.gov.ph/GEPSNONPILOT/Tender/SplashBidNoticeAbstractUI.aspx?menuIndex=3&amp;refID=7081122&amp;Result=3","7081122")</f>
        <v>0</v>
      </c>
      <c r="B6128" t="s">
        <v>2020</v>
      </c>
      <c r="C6128" t="s">
        <v>9252</v>
      </c>
      <c r="D6128" t="s">
        <v>17445</v>
      </c>
      <c r="E6128" t="s">
        <v>22789</v>
      </c>
      <c r="F6128" t="s">
        <v>30052</v>
      </c>
      <c r="G6128" t="s">
        <v>30061</v>
      </c>
      <c r="H6128" t="s">
        <v>15498</v>
      </c>
      <c r="I6128" t="s">
        <v>30070</v>
      </c>
      <c r="J6128" t="s">
        <v>34049</v>
      </c>
      <c r="K6128" t="s">
        <v>39018</v>
      </c>
      <c r="M6128" t="s">
        <v>41465</v>
      </c>
      <c r="N6128" t="s">
        <v>43166</v>
      </c>
      <c r="O6128" t="s">
        <v>43167</v>
      </c>
      <c r="P6128">
        <v>0</v>
      </c>
      <c r="Q6128">
        <v>5</v>
      </c>
      <c r="R6128" t="s">
        <v>43172</v>
      </c>
      <c r="S6128" t="s">
        <v>43334</v>
      </c>
      <c r="T6128" t="s">
        <v>44832</v>
      </c>
      <c r="U6128" t="s">
        <v>50195</v>
      </c>
      <c r="V6128" t="s">
        <v>57469</v>
      </c>
      <c r="W6128" t="s">
        <v>41465</v>
      </c>
      <c r="X6128" t="s">
        <v>43173</v>
      </c>
    </row>
    <row r="6129" spans="1:24">
      <c r="A6129">
        <f>HYPERLINK("https://www.philgeps.gov.ph/GEPSNONPILOT/Tender/SplashBidNoticeAbstractUI.aspx?menuIndex=3&amp;refID=7081121&amp;Result=3","7081121")</f>
        <v>0</v>
      </c>
      <c r="B6129" t="s">
        <v>2021</v>
      </c>
      <c r="C6129" t="s">
        <v>9253</v>
      </c>
      <c r="D6129" t="s">
        <v>17476</v>
      </c>
      <c r="E6129" t="s">
        <v>21400</v>
      </c>
      <c r="F6129" t="s">
        <v>30052</v>
      </c>
      <c r="G6129" t="s">
        <v>30058</v>
      </c>
      <c r="H6129" t="s">
        <v>15498</v>
      </c>
      <c r="I6129" t="s">
        <v>30145</v>
      </c>
      <c r="J6129" t="s">
        <v>34050</v>
      </c>
      <c r="K6129" t="s">
        <v>39029</v>
      </c>
      <c r="M6129" t="s">
        <v>41466</v>
      </c>
      <c r="N6129" t="s">
        <v>43166</v>
      </c>
      <c r="O6129" t="s">
        <v>43167</v>
      </c>
      <c r="P6129">
        <v>0</v>
      </c>
      <c r="Q6129">
        <v>2</v>
      </c>
      <c r="R6129" t="s">
        <v>43172</v>
      </c>
      <c r="S6129" t="s">
        <v>43334</v>
      </c>
      <c r="T6129" t="s">
        <v>44789</v>
      </c>
      <c r="U6129" t="s">
        <v>50196</v>
      </c>
      <c r="W6129" t="s">
        <v>41466</v>
      </c>
      <c r="X6129" t="s">
        <v>43173</v>
      </c>
    </row>
    <row r="6130" spans="1:24">
      <c r="A6130">
        <f>HYPERLINK("https://www.philgeps.gov.ph/GEPSNONPILOT/Tender/SplashBidNoticeAbstractUI.aspx?menuIndex=3&amp;refID=7081120&amp;Result=3","7081120")</f>
        <v>0</v>
      </c>
      <c r="B6130" t="s">
        <v>2022</v>
      </c>
      <c r="C6130" t="s">
        <v>9254</v>
      </c>
      <c r="D6130" t="s">
        <v>17415</v>
      </c>
      <c r="E6130" t="s">
        <v>17760</v>
      </c>
      <c r="F6130" t="s">
        <v>30052</v>
      </c>
      <c r="G6130" t="s">
        <v>30059</v>
      </c>
      <c r="H6130" t="s">
        <v>15498</v>
      </c>
      <c r="I6130" t="s">
        <v>9238</v>
      </c>
      <c r="J6130" t="s">
        <v>34051</v>
      </c>
      <c r="K6130" t="s">
        <v>39023</v>
      </c>
      <c r="M6130" t="s">
        <v>41467</v>
      </c>
      <c r="N6130" t="s">
        <v>43166</v>
      </c>
      <c r="O6130" t="s">
        <v>43167</v>
      </c>
      <c r="Q6130">
        <v>23</v>
      </c>
      <c r="R6130" t="s">
        <v>43172</v>
      </c>
      <c r="S6130" t="s">
        <v>43359</v>
      </c>
      <c r="T6130" t="s">
        <v>44859</v>
      </c>
      <c r="U6130" t="s">
        <v>50197</v>
      </c>
      <c r="W6130" t="s">
        <v>41467</v>
      </c>
      <c r="X6130" t="s">
        <v>43173</v>
      </c>
    </row>
    <row r="6131" spans="1:24">
      <c r="A6131">
        <f>HYPERLINK("https://www.philgeps.gov.ph/GEPSNONPILOT/Tender/SplashBidNoticeAbstractUI.aspx?menuIndex=3&amp;refID=7081007&amp;Result=3","7081007")</f>
        <v>0</v>
      </c>
      <c r="B6131" t="s">
        <v>2023</v>
      </c>
      <c r="C6131" t="s">
        <v>9255</v>
      </c>
      <c r="D6131" t="s">
        <v>17446</v>
      </c>
      <c r="E6131" t="s">
        <v>20668</v>
      </c>
      <c r="F6131" t="s">
        <v>30052</v>
      </c>
      <c r="G6131" t="s">
        <v>30058</v>
      </c>
      <c r="H6131" t="s">
        <v>30067</v>
      </c>
      <c r="I6131" t="s">
        <v>3693</v>
      </c>
      <c r="J6131" t="s">
        <v>30358</v>
      </c>
      <c r="K6131" t="s">
        <v>39034</v>
      </c>
      <c r="M6131" t="s">
        <v>41468</v>
      </c>
      <c r="N6131" t="s">
        <v>43166</v>
      </c>
      <c r="O6131" t="s">
        <v>43167</v>
      </c>
      <c r="P6131">
        <v>0</v>
      </c>
      <c r="Q6131">
        <v>0</v>
      </c>
      <c r="R6131" t="s">
        <v>43172</v>
      </c>
      <c r="S6131" t="s">
        <v>43334</v>
      </c>
      <c r="T6131" t="s">
        <v>44730</v>
      </c>
      <c r="U6131" t="s">
        <v>50198</v>
      </c>
      <c r="W6131" t="s">
        <v>41468</v>
      </c>
      <c r="X6131" t="s">
        <v>43173</v>
      </c>
    </row>
    <row r="6132" spans="1:24">
      <c r="A6132">
        <f>HYPERLINK("https://www.philgeps.gov.ph/GEPSNONPILOT/Tender/SplashBidNoticeAbstractUI.aspx?menuIndex=3&amp;refID=7081115&amp;Result=3","7081115")</f>
        <v>0</v>
      </c>
      <c r="B6132" t="s">
        <v>1191</v>
      </c>
      <c r="C6132" t="s">
        <v>9256</v>
      </c>
      <c r="D6132" t="s">
        <v>17451</v>
      </c>
      <c r="E6132" t="s">
        <v>22790</v>
      </c>
      <c r="F6132" t="s">
        <v>30052</v>
      </c>
      <c r="G6132" t="s">
        <v>30058</v>
      </c>
      <c r="H6132" t="s">
        <v>30067</v>
      </c>
      <c r="I6132" t="s">
        <v>3693</v>
      </c>
      <c r="J6132" t="s">
        <v>30343</v>
      </c>
      <c r="K6132" t="s">
        <v>39029</v>
      </c>
      <c r="M6132" t="s">
        <v>40544</v>
      </c>
      <c r="N6132" t="s">
        <v>43166</v>
      </c>
      <c r="O6132" t="s">
        <v>43167</v>
      </c>
      <c r="P6132">
        <v>0</v>
      </c>
      <c r="Q6132">
        <v>0</v>
      </c>
      <c r="R6132" t="s">
        <v>43172</v>
      </c>
      <c r="S6132" t="s">
        <v>43334</v>
      </c>
      <c r="T6132" t="s">
        <v>44678</v>
      </c>
      <c r="U6132" t="s">
        <v>50199</v>
      </c>
      <c r="W6132" t="s">
        <v>40544</v>
      </c>
      <c r="X6132" t="s">
        <v>43173</v>
      </c>
    </row>
    <row r="6133" spans="1:24">
      <c r="A6133">
        <f>HYPERLINK("https://www.philgeps.gov.ph/GEPSNONPILOT/Tender/SplashBidNoticeAbstractUI.aspx?menuIndex=3&amp;refID=7081123&amp;Result=3","7081123")</f>
        <v>0</v>
      </c>
      <c r="B6133" t="s">
        <v>550</v>
      </c>
      <c r="C6133" t="s">
        <v>9257</v>
      </c>
      <c r="D6133" t="s">
        <v>17453</v>
      </c>
      <c r="E6133" t="s">
        <v>22791</v>
      </c>
      <c r="F6133" t="s">
        <v>30052</v>
      </c>
      <c r="G6133" t="s">
        <v>30058</v>
      </c>
      <c r="H6133" t="s">
        <v>30067</v>
      </c>
      <c r="I6133" t="s">
        <v>3693</v>
      </c>
      <c r="J6133" t="s">
        <v>34052</v>
      </c>
      <c r="K6133" t="s">
        <v>39045</v>
      </c>
      <c r="M6133" t="s">
        <v>39852</v>
      </c>
      <c r="N6133" t="s">
        <v>43166</v>
      </c>
      <c r="O6133" t="s">
        <v>43167</v>
      </c>
      <c r="P6133">
        <v>0</v>
      </c>
      <c r="Q6133">
        <v>0</v>
      </c>
      <c r="R6133" t="s">
        <v>43172</v>
      </c>
      <c r="S6133" t="s">
        <v>43334</v>
      </c>
      <c r="T6133" t="s">
        <v>45037</v>
      </c>
      <c r="U6133" t="s">
        <v>50200</v>
      </c>
      <c r="W6133" t="s">
        <v>39852</v>
      </c>
      <c r="X6133" t="s">
        <v>43173</v>
      </c>
    </row>
    <row r="6134" spans="1:24">
      <c r="A6134">
        <f>HYPERLINK("https://www.philgeps.gov.ph/GEPSNONPILOT/Tender/SplashBidNoticeAbstractUI.aspx?menuIndex=3&amp;refID=7081111&amp;Result=3","7081111")</f>
        <v>0</v>
      </c>
      <c r="B6134" t="s">
        <v>1940</v>
      </c>
      <c r="C6134" t="s">
        <v>9258</v>
      </c>
      <c r="D6134" t="s">
        <v>17427</v>
      </c>
      <c r="E6134" t="s">
        <v>22792</v>
      </c>
      <c r="F6134" t="s">
        <v>30052</v>
      </c>
      <c r="G6134" t="s">
        <v>30059</v>
      </c>
      <c r="H6134" t="s">
        <v>15498</v>
      </c>
      <c r="I6134" t="s">
        <v>30094</v>
      </c>
      <c r="J6134" t="s">
        <v>34053</v>
      </c>
      <c r="K6134" t="s">
        <v>39025</v>
      </c>
      <c r="M6134" t="s">
        <v>41375</v>
      </c>
      <c r="N6134" t="s">
        <v>43166</v>
      </c>
      <c r="O6134" t="s">
        <v>43167</v>
      </c>
      <c r="P6134">
        <v>0</v>
      </c>
      <c r="Q6134">
        <v>0</v>
      </c>
      <c r="R6134" t="s">
        <v>43172</v>
      </c>
      <c r="S6134" t="s">
        <v>43334</v>
      </c>
      <c r="T6134" t="s">
        <v>44844</v>
      </c>
      <c r="U6134" t="s">
        <v>50201</v>
      </c>
      <c r="W6134" t="s">
        <v>41375</v>
      </c>
      <c r="X6134" t="s">
        <v>43173</v>
      </c>
    </row>
    <row r="6135" spans="1:24">
      <c r="A6135">
        <f>HYPERLINK("https://www.philgeps.gov.ph/GEPSNONPILOT/Tender/SplashBidNoticeAbstractUI.aspx?menuIndex=3&amp;refID=7081119&amp;Result=3","7081119")</f>
        <v>0</v>
      </c>
      <c r="B6135" t="s">
        <v>1996</v>
      </c>
      <c r="C6135" t="s">
        <v>9259</v>
      </c>
      <c r="D6135" t="s">
        <v>17449</v>
      </c>
      <c r="E6135" t="s">
        <v>9259</v>
      </c>
      <c r="F6135" t="s">
        <v>30052</v>
      </c>
      <c r="G6135" t="s">
        <v>30059</v>
      </c>
      <c r="H6135" t="s">
        <v>15498</v>
      </c>
      <c r="I6135" t="s">
        <v>30073</v>
      </c>
      <c r="J6135" t="s">
        <v>31058</v>
      </c>
      <c r="K6135" t="s">
        <v>39034</v>
      </c>
      <c r="M6135" t="s">
        <v>41439</v>
      </c>
      <c r="N6135" t="s">
        <v>43166</v>
      </c>
      <c r="O6135" t="s">
        <v>43167</v>
      </c>
      <c r="P6135">
        <v>0</v>
      </c>
      <c r="Q6135">
        <v>0</v>
      </c>
      <c r="R6135" t="s">
        <v>43172</v>
      </c>
      <c r="S6135" t="s">
        <v>43334</v>
      </c>
      <c r="T6135" t="s">
        <v>44842</v>
      </c>
      <c r="U6135" t="s">
        <v>50105</v>
      </c>
      <c r="W6135" t="s">
        <v>41439</v>
      </c>
      <c r="X6135" t="s">
        <v>43173</v>
      </c>
    </row>
    <row r="6136" spans="1:24">
      <c r="A6136">
        <f>HYPERLINK("https://www.philgeps.gov.ph/GEPSNONPILOT/Tender/SplashBidNoticeAbstractUI.aspx?menuIndex=3&amp;refID=7081110&amp;Result=3","7081110")</f>
        <v>0</v>
      </c>
      <c r="B6136" t="s">
        <v>1854</v>
      </c>
      <c r="C6136" t="s">
        <v>9260</v>
      </c>
      <c r="E6136" t="s">
        <v>22793</v>
      </c>
      <c r="F6136" t="s">
        <v>30052</v>
      </c>
      <c r="G6136" t="s">
        <v>30059</v>
      </c>
      <c r="H6136" t="s">
        <v>15498</v>
      </c>
      <c r="I6136" t="s">
        <v>30068</v>
      </c>
      <c r="J6136" t="s">
        <v>30343</v>
      </c>
      <c r="K6136" t="s">
        <v>39031</v>
      </c>
      <c r="M6136" t="s">
        <v>41282</v>
      </c>
      <c r="N6136" t="s">
        <v>43166</v>
      </c>
      <c r="O6136" t="s">
        <v>43167</v>
      </c>
      <c r="P6136">
        <v>0</v>
      </c>
      <c r="Q6136">
        <v>1</v>
      </c>
      <c r="R6136" t="s">
        <v>43172</v>
      </c>
      <c r="S6136" t="s">
        <v>43334</v>
      </c>
      <c r="T6136" t="s">
        <v>44735</v>
      </c>
      <c r="U6136" t="s">
        <v>50202</v>
      </c>
      <c r="W6136" t="s">
        <v>41282</v>
      </c>
      <c r="X6136" t="s">
        <v>43173</v>
      </c>
    </row>
    <row r="6137" spans="1:24">
      <c r="A6137">
        <f>HYPERLINK("https://www.philgeps.gov.ph/GEPSNONPILOT/Tender/SplashBidNoticeAbstractUI.aspx?menuIndex=3&amp;refID=7081116&amp;Result=3","7081116")</f>
        <v>0</v>
      </c>
      <c r="B6137" t="s">
        <v>2013</v>
      </c>
      <c r="C6137" t="s">
        <v>9261</v>
      </c>
      <c r="D6137" t="s">
        <v>17425</v>
      </c>
      <c r="E6137" t="s">
        <v>22794</v>
      </c>
      <c r="F6137" t="s">
        <v>30052</v>
      </c>
      <c r="G6137" t="s">
        <v>30058</v>
      </c>
      <c r="H6137" t="s">
        <v>30067</v>
      </c>
      <c r="I6137" t="s">
        <v>3693</v>
      </c>
      <c r="J6137" t="s">
        <v>34054</v>
      </c>
      <c r="K6137" t="s">
        <v>39168</v>
      </c>
      <c r="M6137" t="s">
        <v>41457</v>
      </c>
      <c r="N6137" t="s">
        <v>43166</v>
      </c>
      <c r="O6137" t="s">
        <v>43167</v>
      </c>
      <c r="P6137">
        <v>0</v>
      </c>
      <c r="Q6137">
        <v>1</v>
      </c>
      <c r="R6137" t="s">
        <v>43172</v>
      </c>
      <c r="S6137" t="s">
        <v>43334</v>
      </c>
      <c r="T6137" t="s">
        <v>44758</v>
      </c>
      <c r="U6137" t="s">
        <v>50178</v>
      </c>
      <c r="V6137" t="s">
        <v>57470</v>
      </c>
      <c r="W6137" t="s">
        <v>41457</v>
      </c>
      <c r="X6137" t="s">
        <v>43173</v>
      </c>
    </row>
    <row r="6138" spans="1:24">
      <c r="A6138">
        <f>HYPERLINK("https://www.philgeps.gov.ph/GEPSNONPILOT/Tender/SplashBidNoticeAbstractUI.aspx?menuIndex=3&amp;refID=7081107&amp;Result=3","7081107")</f>
        <v>0</v>
      </c>
      <c r="B6138" t="s">
        <v>509</v>
      </c>
      <c r="C6138" t="s">
        <v>9262</v>
      </c>
      <c r="D6138" t="s">
        <v>17415</v>
      </c>
      <c r="E6138" t="s">
        <v>22795</v>
      </c>
      <c r="F6138" t="s">
        <v>30052</v>
      </c>
      <c r="G6138" t="s">
        <v>30059</v>
      </c>
      <c r="H6138" t="s">
        <v>30068</v>
      </c>
      <c r="I6138" t="s">
        <v>30068</v>
      </c>
      <c r="J6138" t="s">
        <v>34055</v>
      </c>
      <c r="K6138" t="s">
        <v>39029</v>
      </c>
      <c r="M6138" t="s">
        <v>41469</v>
      </c>
      <c r="N6138" t="s">
        <v>43166</v>
      </c>
      <c r="O6138" t="s">
        <v>43167</v>
      </c>
      <c r="P6138">
        <v>0</v>
      </c>
      <c r="Q6138">
        <v>4</v>
      </c>
      <c r="R6138" t="s">
        <v>43172</v>
      </c>
      <c r="S6138" t="s">
        <v>43334</v>
      </c>
      <c r="T6138" t="s">
        <v>44773</v>
      </c>
      <c r="U6138" t="s">
        <v>50203</v>
      </c>
      <c r="W6138" t="s">
        <v>41469</v>
      </c>
      <c r="X6138" t="s">
        <v>43173</v>
      </c>
    </row>
    <row r="6139" spans="1:24">
      <c r="A6139">
        <f>HYPERLINK("https://www.philgeps.gov.ph/GEPSNONPILOT/Tender/SplashBidNoticeAbstractUI.aspx?menuIndex=3&amp;refID=7081100&amp;Result=3","7081100")</f>
        <v>0</v>
      </c>
      <c r="B6139" t="s">
        <v>344</v>
      </c>
      <c r="C6139" t="s">
        <v>9263</v>
      </c>
      <c r="D6139" t="s">
        <v>17461</v>
      </c>
      <c r="E6139" t="s">
        <v>22796</v>
      </c>
      <c r="F6139" t="s">
        <v>30052</v>
      </c>
      <c r="G6139" t="s">
        <v>30058</v>
      </c>
      <c r="H6139" t="s">
        <v>30067</v>
      </c>
      <c r="I6139" t="s">
        <v>3693</v>
      </c>
      <c r="J6139" t="s">
        <v>34056</v>
      </c>
      <c r="K6139" t="s">
        <v>39078</v>
      </c>
      <c r="M6139" t="s">
        <v>39641</v>
      </c>
      <c r="N6139" t="s">
        <v>43166</v>
      </c>
      <c r="O6139" t="s">
        <v>43167</v>
      </c>
      <c r="P6139">
        <v>0</v>
      </c>
      <c r="Q6139">
        <v>0</v>
      </c>
      <c r="R6139" t="s">
        <v>43172</v>
      </c>
      <c r="S6139" t="s">
        <v>43334</v>
      </c>
      <c r="T6139" t="s">
        <v>45020</v>
      </c>
      <c r="U6139" t="s">
        <v>50204</v>
      </c>
      <c r="W6139" t="s">
        <v>39641</v>
      </c>
      <c r="X6139" t="s">
        <v>43173</v>
      </c>
    </row>
    <row r="6140" spans="1:24">
      <c r="A6140">
        <f>HYPERLINK("https://www.philgeps.gov.ph/GEPSNONPILOT/Tender/SplashBidNoticeAbstractUI.aspx?menuIndex=3&amp;refID=7081098&amp;Result=3","7081098")</f>
        <v>0</v>
      </c>
      <c r="B6140" t="s">
        <v>1840</v>
      </c>
      <c r="C6140" t="s">
        <v>9264</v>
      </c>
      <c r="D6140" t="s">
        <v>17449</v>
      </c>
      <c r="E6140" t="s">
        <v>22797</v>
      </c>
      <c r="F6140" t="s">
        <v>30052</v>
      </c>
      <c r="G6140" t="s">
        <v>30059</v>
      </c>
      <c r="H6140" t="s">
        <v>15498</v>
      </c>
      <c r="I6140" t="s">
        <v>30152</v>
      </c>
      <c r="J6140" t="s">
        <v>34057</v>
      </c>
      <c r="K6140" t="s">
        <v>39029</v>
      </c>
      <c r="M6140" t="s">
        <v>41265</v>
      </c>
      <c r="N6140" t="s">
        <v>43166</v>
      </c>
      <c r="O6140" t="s">
        <v>43167</v>
      </c>
      <c r="P6140">
        <v>0</v>
      </c>
      <c r="Q6140">
        <v>3</v>
      </c>
      <c r="R6140" t="s">
        <v>43172</v>
      </c>
      <c r="S6140" t="s">
        <v>43334</v>
      </c>
      <c r="T6140" t="s">
        <v>44717</v>
      </c>
      <c r="U6140" t="s">
        <v>49579</v>
      </c>
      <c r="V6140" t="s">
        <v>57421</v>
      </c>
      <c r="W6140" t="s">
        <v>41265</v>
      </c>
      <c r="X6140" t="s">
        <v>43173</v>
      </c>
    </row>
    <row r="6141" spans="1:24">
      <c r="A6141">
        <f>HYPERLINK("https://www.philgeps.gov.ph/GEPSNONPILOT/Tender/SplashBidNoticeAbstractUI.aspx?menuIndex=3&amp;refID=7080949&amp;Result=3","7080949")</f>
        <v>0</v>
      </c>
      <c r="B6141" t="s">
        <v>1187</v>
      </c>
      <c r="C6141" t="s">
        <v>9265</v>
      </c>
      <c r="D6141" t="s">
        <v>17449</v>
      </c>
      <c r="E6141" t="s">
        <v>22798</v>
      </c>
      <c r="F6141" t="s">
        <v>30052</v>
      </c>
      <c r="G6141" t="s">
        <v>30059</v>
      </c>
      <c r="H6141" t="s">
        <v>15498</v>
      </c>
      <c r="I6141" t="s">
        <v>30103</v>
      </c>
      <c r="J6141" t="s">
        <v>34058</v>
      </c>
      <c r="K6141" t="s">
        <v>39025</v>
      </c>
      <c r="M6141" t="s">
        <v>40539</v>
      </c>
      <c r="N6141" t="s">
        <v>43166</v>
      </c>
      <c r="O6141" t="s">
        <v>43167</v>
      </c>
      <c r="P6141">
        <v>0</v>
      </c>
      <c r="Q6141">
        <v>0</v>
      </c>
      <c r="R6141" t="s">
        <v>43172</v>
      </c>
      <c r="S6141" t="s">
        <v>43334</v>
      </c>
      <c r="T6141" t="s">
        <v>44949</v>
      </c>
      <c r="U6141" t="s">
        <v>50205</v>
      </c>
      <c r="W6141" t="s">
        <v>40539</v>
      </c>
      <c r="X6141" t="s">
        <v>43173</v>
      </c>
    </row>
    <row r="6142" spans="1:24">
      <c r="A6142">
        <f>HYPERLINK("https://www.philgeps.gov.ph/GEPSNONPILOT/Tender/SplashBidNoticeAbstractUI.aspx?menuIndex=3&amp;refID=7081106&amp;Result=3","7081106")</f>
        <v>0</v>
      </c>
      <c r="B6142" t="s">
        <v>2024</v>
      </c>
      <c r="C6142" t="s">
        <v>9266</v>
      </c>
      <c r="D6142" t="s">
        <v>17441</v>
      </c>
      <c r="E6142" t="s">
        <v>22799</v>
      </c>
      <c r="F6142" t="s">
        <v>30052</v>
      </c>
      <c r="G6142" t="s">
        <v>30058</v>
      </c>
      <c r="H6142" t="s">
        <v>30067</v>
      </c>
      <c r="I6142" t="s">
        <v>3693</v>
      </c>
      <c r="J6142" t="s">
        <v>34059</v>
      </c>
      <c r="K6142" t="s">
        <v>39029</v>
      </c>
      <c r="M6142" t="s">
        <v>41470</v>
      </c>
      <c r="N6142" t="s">
        <v>43166</v>
      </c>
      <c r="O6142" t="s">
        <v>43167</v>
      </c>
      <c r="P6142">
        <v>0</v>
      </c>
      <c r="Q6142">
        <v>4</v>
      </c>
      <c r="R6142" t="s">
        <v>43172</v>
      </c>
      <c r="S6142" t="s">
        <v>43334</v>
      </c>
      <c r="T6142" t="s">
        <v>44720</v>
      </c>
      <c r="U6142" t="s">
        <v>50206</v>
      </c>
      <c r="W6142" t="s">
        <v>41470</v>
      </c>
      <c r="X6142" t="s">
        <v>43173</v>
      </c>
    </row>
    <row r="6143" spans="1:24">
      <c r="A6143">
        <f>HYPERLINK("https://www.philgeps.gov.ph/GEPSNONPILOT/Tender/SplashBidNoticeAbstractUI.aspx?menuIndex=3&amp;refID=7081061&amp;Result=3","7081061")</f>
        <v>0</v>
      </c>
      <c r="B6143" t="s">
        <v>654</v>
      </c>
      <c r="C6143" t="s">
        <v>5387</v>
      </c>
      <c r="D6143" t="s">
        <v>17453</v>
      </c>
      <c r="E6143" t="s">
        <v>22800</v>
      </c>
      <c r="F6143" t="s">
        <v>30052</v>
      </c>
      <c r="G6143" t="s">
        <v>30059</v>
      </c>
      <c r="H6143" t="s">
        <v>15498</v>
      </c>
      <c r="I6143" t="s">
        <v>3606</v>
      </c>
      <c r="J6143" t="s">
        <v>34060</v>
      </c>
      <c r="K6143" t="s">
        <v>39029</v>
      </c>
      <c r="M6143" t="s">
        <v>39958</v>
      </c>
      <c r="N6143" t="s">
        <v>43166</v>
      </c>
      <c r="O6143" t="s">
        <v>43167</v>
      </c>
      <c r="P6143">
        <v>0</v>
      </c>
      <c r="Q6143">
        <v>7</v>
      </c>
      <c r="R6143" t="s">
        <v>43172</v>
      </c>
      <c r="S6143" t="s">
        <v>43334</v>
      </c>
      <c r="T6143" t="s">
        <v>44837</v>
      </c>
      <c r="U6143" t="s">
        <v>50207</v>
      </c>
      <c r="W6143" t="s">
        <v>39958</v>
      </c>
      <c r="X6143" t="s">
        <v>43173</v>
      </c>
    </row>
    <row r="6144" spans="1:24">
      <c r="A6144">
        <f>HYPERLINK("https://www.philgeps.gov.ph/GEPSNONPILOT/Tender/SplashBidNoticeAbstractUI.aspx?menuIndex=3&amp;refID=7081166&amp;Result=3","7081166")</f>
        <v>0</v>
      </c>
      <c r="B6144" t="s">
        <v>856</v>
      </c>
      <c r="C6144" t="s">
        <v>8968</v>
      </c>
      <c r="E6144" t="s">
        <v>22801</v>
      </c>
      <c r="F6144" t="s">
        <v>30052</v>
      </c>
      <c r="G6144" t="s">
        <v>30059</v>
      </c>
      <c r="H6144" t="s">
        <v>15498</v>
      </c>
      <c r="I6144" t="s">
        <v>30084</v>
      </c>
      <c r="J6144" t="s">
        <v>34061</v>
      </c>
      <c r="K6144" t="s">
        <v>39025</v>
      </c>
      <c r="M6144" t="s">
        <v>40173</v>
      </c>
      <c r="N6144" t="s">
        <v>43166</v>
      </c>
      <c r="O6144" t="s">
        <v>43167</v>
      </c>
      <c r="P6144">
        <v>0</v>
      </c>
      <c r="Q6144">
        <v>6</v>
      </c>
      <c r="R6144" t="s">
        <v>43172</v>
      </c>
      <c r="S6144" t="s">
        <v>43334</v>
      </c>
      <c r="T6144" t="s">
        <v>44734</v>
      </c>
      <c r="U6144" t="s">
        <v>50208</v>
      </c>
      <c r="W6144" t="s">
        <v>40173</v>
      </c>
      <c r="X6144" t="s">
        <v>43173</v>
      </c>
    </row>
    <row r="6145" spans="1:24">
      <c r="A6145">
        <f>HYPERLINK("https://www.philgeps.gov.ph/GEPSNONPILOT/Tender/SplashBidNoticeAbstractUI.aspx?menuIndex=3&amp;refID=7081173&amp;Result=3","7081173")</f>
        <v>0</v>
      </c>
      <c r="B6145" t="s">
        <v>550</v>
      </c>
      <c r="C6145" t="s">
        <v>9267</v>
      </c>
      <c r="D6145" t="s">
        <v>17453</v>
      </c>
      <c r="E6145" t="s">
        <v>22802</v>
      </c>
      <c r="F6145" t="s">
        <v>30052</v>
      </c>
      <c r="G6145" t="s">
        <v>30058</v>
      </c>
      <c r="H6145" t="s">
        <v>30067</v>
      </c>
      <c r="I6145" t="s">
        <v>3693</v>
      </c>
      <c r="J6145" t="s">
        <v>34062</v>
      </c>
      <c r="K6145" t="s">
        <v>39032</v>
      </c>
      <c r="M6145" t="s">
        <v>39852</v>
      </c>
      <c r="N6145" t="s">
        <v>43166</v>
      </c>
      <c r="O6145" t="s">
        <v>43167</v>
      </c>
      <c r="P6145">
        <v>0</v>
      </c>
      <c r="Q6145">
        <v>0</v>
      </c>
      <c r="R6145" t="s">
        <v>43172</v>
      </c>
      <c r="S6145" t="s">
        <v>43334</v>
      </c>
      <c r="T6145" t="s">
        <v>45037</v>
      </c>
      <c r="U6145" t="s">
        <v>50209</v>
      </c>
      <c r="W6145" t="s">
        <v>39852</v>
      </c>
      <c r="X6145" t="s">
        <v>43173</v>
      </c>
    </row>
    <row r="6146" spans="1:24">
      <c r="A6146">
        <f>HYPERLINK("https://www.philgeps.gov.ph/GEPSNONPILOT/Tender/SplashBidNoticeAbstractUI.aspx?menuIndex=3&amp;refID=7081164&amp;Result=3","7081164")</f>
        <v>0</v>
      </c>
      <c r="B6146" t="s">
        <v>2025</v>
      </c>
      <c r="C6146" t="s">
        <v>9268</v>
      </c>
      <c r="D6146" t="s">
        <v>17462</v>
      </c>
      <c r="E6146" t="s">
        <v>22803</v>
      </c>
      <c r="F6146" t="s">
        <v>30052</v>
      </c>
      <c r="G6146" t="s">
        <v>30059</v>
      </c>
      <c r="H6146" t="s">
        <v>30068</v>
      </c>
      <c r="I6146" t="s">
        <v>30068</v>
      </c>
      <c r="J6146" t="s">
        <v>30218</v>
      </c>
      <c r="K6146" t="s">
        <v>39046</v>
      </c>
      <c r="M6146" t="s">
        <v>41471</v>
      </c>
      <c r="N6146" t="s">
        <v>43166</v>
      </c>
      <c r="O6146" t="s">
        <v>43167</v>
      </c>
      <c r="Q6146">
        <v>4</v>
      </c>
      <c r="R6146" t="s">
        <v>43172</v>
      </c>
      <c r="S6146" t="s">
        <v>43360</v>
      </c>
      <c r="T6146" t="s">
        <v>44773</v>
      </c>
      <c r="U6146" t="s">
        <v>50210</v>
      </c>
      <c r="W6146" t="s">
        <v>41471</v>
      </c>
      <c r="X6146" t="s">
        <v>43173</v>
      </c>
    </row>
    <row r="6147" spans="1:24">
      <c r="A6147">
        <f>HYPERLINK("https://www.philgeps.gov.ph/GEPSNONPILOT/Tender/SplashBidNoticeAbstractUI.aspx?menuIndex=3&amp;refID=7081114&amp;Result=3","7081114")</f>
        <v>0</v>
      </c>
      <c r="B6147" t="s">
        <v>677</v>
      </c>
      <c r="C6147" t="s">
        <v>9269</v>
      </c>
      <c r="D6147" t="s">
        <v>17415</v>
      </c>
      <c r="E6147" t="s">
        <v>22804</v>
      </c>
      <c r="F6147" t="s">
        <v>30052</v>
      </c>
      <c r="G6147" t="s">
        <v>30062</v>
      </c>
      <c r="H6147" t="s">
        <v>15498</v>
      </c>
      <c r="I6147" t="s">
        <v>30081</v>
      </c>
      <c r="J6147" t="s">
        <v>30514</v>
      </c>
      <c r="K6147" t="s">
        <v>39019</v>
      </c>
      <c r="M6147" t="s">
        <v>39983</v>
      </c>
      <c r="N6147" t="s">
        <v>43166</v>
      </c>
      <c r="O6147" t="s">
        <v>43167</v>
      </c>
      <c r="P6147">
        <v>0</v>
      </c>
      <c r="Q6147">
        <v>5</v>
      </c>
      <c r="R6147" t="s">
        <v>43172</v>
      </c>
      <c r="S6147" t="s">
        <v>43334</v>
      </c>
      <c r="T6147" t="s">
        <v>44832</v>
      </c>
      <c r="U6147" t="s">
        <v>50211</v>
      </c>
      <c r="W6147" t="s">
        <v>58607</v>
      </c>
      <c r="X6147" t="s">
        <v>43173</v>
      </c>
    </row>
    <row r="6148" spans="1:24">
      <c r="A6148">
        <f>HYPERLINK("https://www.philgeps.gov.ph/GEPSNONPILOT/Tender/SplashBidNoticeAbstractUI.aspx?menuIndex=3&amp;refID=7081160&amp;Result=3","7081160")</f>
        <v>0</v>
      </c>
      <c r="B6148" t="s">
        <v>268</v>
      </c>
      <c r="C6148" t="s">
        <v>9270</v>
      </c>
      <c r="D6148" t="s">
        <v>17459</v>
      </c>
      <c r="E6148" t="s">
        <v>22805</v>
      </c>
      <c r="F6148" t="s">
        <v>30052</v>
      </c>
      <c r="G6148" t="s">
        <v>30059</v>
      </c>
      <c r="H6148" t="s">
        <v>15498</v>
      </c>
      <c r="I6148" t="s">
        <v>30096</v>
      </c>
      <c r="J6148" t="s">
        <v>31423</v>
      </c>
      <c r="K6148" t="s">
        <v>39018</v>
      </c>
      <c r="M6148" t="s">
        <v>39561</v>
      </c>
      <c r="N6148" t="s">
        <v>43166</v>
      </c>
      <c r="O6148" t="s">
        <v>43167</v>
      </c>
      <c r="P6148">
        <v>0</v>
      </c>
      <c r="Q6148">
        <v>0</v>
      </c>
      <c r="R6148" t="s">
        <v>43172</v>
      </c>
      <c r="S6148" t="s">
        <v>43334</v>
      </c>
      <c r="T6148" t="s">
        <v>44837</v>
      </c>
      <c r="U6148" t="s">
        <v>50212</v>
      </c>
      <c r="W6148" t="s">
        <v>39561</v>
      </c>
      <c r="X6148" t="s">
        <v>43173</v>
      </c>
    </row>
    <row r="6149" spans="1:24">
      <c r="A6149">
        <f>HYPERLINK("https://www.philgeps.gov.ph/GEPSNONPILOT/Tender/SplashBidNoticeAbstractUI.aspx?menuIndex=3&amp;refID=7081170&amp;Result=3","7081170")</f>
        <v>0</v>
      </c>
      <c r="B6149" t="s">
        <v>2008</v>
      </c>
      <c r="C6149" t="s">
        <v>9271</v>
      </c>
      <c r="D6149" t="s">
        <v>17459</v>
      </c>
      <c r="E6149" t="s">
        <v>17706</v>
      </c>
      <c r="F6149" t="s">
        <v>30052</v>
      </c>
      <c r="G6149" t="s">
        <v>30058</v>
      </c>
      <c r="H6149" t="s">
        <v>30067</v>
      </c>
      <c r="I6149" t="s">
        <v>3693</v>
      </c>
      <c r="J6149" t="s">
        <v>34063</v>
      </c>
      <c r="K6149" t="s">
        <v>39031</v>
      </c>
      <c r="M6149" t="s">
        <v>41452</v>
      </c>
      <c r="N6149" t="s">
        <v>43166</v>
      </c>
      <c r="O6149" t="s">
        <v>43167</v>
      </c>
      <c r="P6149">
        <v>0</v>
      </c>
      <c r="Q6149">
        <v>0</v>
      </c>
      <c r="R6149" t="s">
        <v>43172</v>
      </c>
      <c r="S6149" t="s">
        <v>43334</v>
      </c>
      <c r="T6149" t="s">
        <v>44796</v>
      </c>
      <c r="U6149" t="s">
        <v>50213</v>
      </c>
      <c r="W6149" t="s">
        <v>41452</v>
      </c>
      <c r="X6149" t="s">
        <v>43173</v>
      </c>
    </row>
    <row r="6150" spans="1:24">
      <c r="A6150">
        <f>HYPERLINK("https://www.philgeps.gov.ph/GEPSNONPILOT/Tender/SplashBidNoticeAbstractUI.aspx?menuIndex=3&amp;refID=7081159&amp;Result=3","7081159")</f>
        <v>0</v>
      </c>
      <c r="B6150" t="s">
        <v>1424</v>
      </c>
      <c r="C6150" t="s">
        <v>9272</v>
      </c>
      <c r="D6150" t="s">
        <v>17413</v>
      </c>
      <c r="E6150" t="s">
        <v>22806</v>
      </c>
      <c r="F6150" t="s">
        <v>30052</v>
      </c>
      <c r="G6150" t="s">
        <v>30059</v>
      </c>
      <c r="H6150" t="s">
        <v>15498</v>
      </c>
      <c r="I6150" t="s">
        <v>30120</v>
      </c>
      <c r="J6150" t="s">
        <v>34064</v>
      </c>
      <c r="K6150" t="s">
        <v>39025</v>
      </c>
      <c r="L6150" t="s">
        <v>1424</v>
      </c>
      <c r="M6150" t="s">
        <v>40802</v>
      </c>
      <c r="N6150" t="s">
        <v>43166</v>
      </c>
      <c r="O6150" t="s">
        <v>43167</v>
      </c>
      <c r="P6150">
        <v>0</v>
      </c>
      <c r="Q6150">
        <v>4</v>
      </c>
      <c r="R6150" t="s">
        <v>43172</v>
      </c>
      <c r="S6150" t="s">
        <v>43334</v>
      </c>
      <c r="T6150" t="s">
        <v>44777</v>
      </c>
      <c r="U6150" t="s">
        <v>48391</v>
      </c>
      <c r="W6150" t="s">
        <v>40802</v>
      </c>
      <c r="X6150" t="s">
        <v>43173</v>
      </c>
    </row>
    <row r="6151" spans="1:24">
      <c r="A6151">
        <f>HYPERLINK("https://www.philgeps.gov.ph/GEPSNONPILOT/Tender/SplashBidNoticeAbstractUI.aspx?menuIndex=3&amp;refID=7081165&amp;Result=3","7081165")</f>
        <v>0</v>
      </c>
      <c r="B6151" t="s">
        <v>2026</v>
      </c>
      <c r="C6151" t="s">
        <v>9273</v>
      </c>
      <c r="D6151" t="s">
        <v>17455</v>
      </c>
      <c r="E6151" t="s">
        <v>22807</v>
      </c>
      <c r="F6151" t="s">
        <v>30052</v>
      </c>
      <c r="G6151" t="s">
        <v>30058</v>
      </c>
      <c r="H6151" t="s">
        <v>30067</v>
      </c>
      <c r="I6151" t="s">
        <v>3693</v>
      </c>
      <c r="J6151" t="s">
        <v>34065</v>
      </c>
      <c r="K6151" t="s">
        <v>39026</v>
      </c>
      <c r="M6151" t="s">
        <v>41472</v>
      </c>
      <c r="N6151" t="s">
        <v>43166</v>
      </c>
      <c r="O6151" t="s">
        <v>43167</v>
      </c>
      <c r="P6151">
        <v>0</v>
      </c>
      <c r="Q6151">
        <v>1</v>
      </c>
      <c r="R6151" t="s">
        <v>43172</v>
      </c>
      <c r="S6151" t="s">
        <v>43334</v>
      </c>
      <c r="T6151" t="s">
        <v>44720</v>
      </c>
      <c r="U6151" t="s">
        <v>50214</v>
      </c>
      <c r="W6151" t="s">
        <v>41472</v>
      </c>
      <c r="X6151" t="s">
        <v>43173</v>
      </c>
    </row>
    <row r="6152" spans="1:24">
      <c r="A6152">
        <f>HYPERLINK("https://www.philgeps.gov.ph/GEPSNONPILOT/Tender/SplashBidNoticeAbstractUI.aspx?menuIndex=3&amp;refID=7081151&amp;Result=3","7081151")</f>
        <v>0</v>
      </c>
      <c r="B6152" t="s">
        <v>509</v>
      </c>
      <c r="C6152" t="s">
        <v>9274</v>
      </c>
      <c r="D6152" t="s">
        <v>17415</v>
      </c>
      <c r="E6152" t="s">
        <v>22808</v>
      </c>
      <c r="F6152" t="s">
        <v>30052</v>
      </c>
      <c r="G6152" t="s">
        <v>30058</v>
      </c>
      <c r="H6152" t="s">
        <v>30068</v>
      </c>
      <c r="I6152" t="s">
        <v>30068</v>
      </c>
      <c r="J6152" t="s">
        <v>34066</v>
      </c>
      <c r="K6152" t="s">
        <v>39029</v>
      </c>
      <c r="M6152" t="s">
        <v>41469</v>
      </c>
      <c r="N6152" t="s">
        <v>43166</v>
      </c>
      <c r="O6152" t="s">
        <v>43167</v>
      </c>
      <c r="P6152">
        <v>0</v>
      </c>
      <c r="Q6152">
        <v>3</v>
      </c>
      <c r="R6152" t="s">
        <v>43172</v>
      </c>
      <c r="S6152" t="s">
        <v>43334</v>
      </c>
      <c r="T6152" t="s">
        <v>44722</v>
      </c>
      <c r="U6152" t="s">
        <v>50215</v>
      </c>
      <c r="W6152" t="s">
        <v>41469</v>
      </c>
      <c r="X6152" t="s">
        <v>43173</v>
      </c>
    </row>
    <row r="6153" spans="1:24">
      <c r="A6153">
        <f>HYPERLINK("https://www.philgeps.gov.ph/GEPSNONPILOT/Tender/SplashBidNoticeAbstractUI.aspx?menuIndex=3&amp;refID=7081150&amp;Result=3","7081150")</f>
        <v>0</v>
      </c>
      <c r="B6153" t="s">
        <v>2017</v>
      </c>
      <c r="C6153" t="s">
        <v>9275</v>
      </c>
      <c r="D6153" t="s">
        <v>17445</v>
      </c>
      <c r="E6153" t="s">
        <v>17779</v>
      </c>
      <c r="F6153" t="s">
        <v>30052</v>
      </c>
      <c r="G6153" t="s">
        <v>30058</v>
      </c>
      <c r="H6153" t="s">
        <v>30069</v>
      </c>
      <c r="I6153" t="s">
        <v>3693</v>
      </c>
      <c r="J6153" t="s">
        <v>34067</v>
      </c>
      <c r="K6153" t="s">
        <v>39029</v>
      </c>
      <c r="L6153" t="s">
        <v>2017</v>
      </c>
      <c r="M6153" t="s">
        <v>41462</v>
      </c>
      <c r="N6153" t="s">
        <v>43166</v>
      </c>
      <c r="O6153" t="s">
        <v>43167</v>
      </c>
      <c r="P6153">
        <v>0</v>
      </c>
      <c r="Q6153">
        <v>1</v>
      </c>
      <c r="R6153" t="s">
        <v>43172</v>
      </c>
      <c r="S6153" t="s">
        <v>43334</v>
      </c>
      <c r="T6153" t="s">
        <v>44743</v>
      </c>
      <c r="U6153" t="s">
        <v>50216</v>
      </c>
      <c r="W6153" t="s">
        <v>41462</v>
      </c>
      <c r="X6153" t="s">
        <v>43173</v>
      </c>
    </row>
    <row r="6154" spans="1:24">
      <c r="A6154">
        <f>HYPERLINK("https://www.philgeps.gov.ph/GEPSNONPILOT/Tender/SplashBidNoticeAbstractUI.aspx?menuIndex=3&amp;refID=7081148&amp;Result=3","7081148")</f>
        <v>0</v>
      </c>
      <c r="B6154" t="s">
        <v>993</v>
      </c>
      <c r="C6154" t="s">
        <v>9276</v>
      </c>
      <c r="D6154" t="s">
        <v>17425</v>
      </c>
      <c r="E6154" t="s">
        <v>22809</v>
      </c>
      <c r="F6154" t="s">
        <v>30052</v>
      </c>
      <c r="G6154" t="s">
        <v>30058</v>
      </c>
      <c r="H6154" t="s">
        <v>15498</v>
      </c>
      <c r="I6154" t="s">
        <v>30073</v>
      </c>
      <c r="J6154" t="s">
        <v>34068</v>
      </c>
      <c r="K6154" t="s">
        <v>39025</v>
      </c>
      <c r="L6154" t="s">
        <v>993</v>
      </c>
      <c r="M6154" t="s">
        <v>40320</v>
      </c>
      <c r="N6154" t="s">
        <v>43166</v>
      </c>
      <c r="O6154" t="s">
        <v>43167</v>
      </c>
      <c r="P6154">
        <v>0</v>
      </c>
      <c r="Q6154">
        <v>0</v>
      </c>
      <c r="R6154" t="s">
        <v>43172</v>
      </c>
      <c r="S6154" t="s">
        <v>43334</v>
      </c>
      <c r="T6154" t="s">
        <v>44691</v>
      </c>
      <c r="U6154" t="s">
        <v>50217</v>
      </c>
      <c r="W6154" t="s">
        <v>40320</v>
      </c>
      <c r="X6154" t="s">
        <v>43173</v>
      </c>
    </row>
    <row r="6155" spans="1:24">
      <c r="A6155">
        <f>HYPERLINK("https://www.philgeps.gov.ph/GEPSNONPILOT/Tender/SplashBidNoticeAbstractUI.aspx?menuIndex=3&amp;refID=7081113&amp;Result=3","7081113")</f>
        <v>0</v>
      </c>
      <c r="B6155" t="s">
        <v>1994</v>
      </c>
      <c r="C6155" t="s">
        <v>9277</v>
      </c>
      <c r="D6155" t="s">
        <v>17467</v>
      </c>
      <c r="E6155" t="s">
        <v>22810</v>
      </c>
      <c r="F6155" t="s">
        <v>30052</v>
      </c>
      <c r="G6155" t="s">
        <v>30058</v>
      </c>
      <c r="H6155" t="s">
        <v>30067</v>
      </c>
      <c r="I6155" t="s">
        <v>3693</v>
      </c>
      <c r="J6155" t="s">
        <v>34069</v>
      </c>
      <c r="K6155" t="s">
        <v>39042</v>
      </c>
      <c r="M6155" t="s">
        <v>41437</v>
      </c>
      <c r="N6155" t="s">
        <v>43166</v>
      </c>
      <c r="O6155" t="s">
        <v>43167</v>
      </c>
      <c r="P6155">
        <v>0</v>
      </c>
      <c r="Q6155">
        <v>0</v>
      </c>
      <c r="R6155" t="s">
        <v>43172</v>
      </c>
      <c r="S6155" t="s">
        <v>43334</v>
      </c>
      <c r="T6155" t="s">
        <v>44743</v>
      </c>
      <c r="U6155" t="s">
        <v>50123</v>
      </c>
      <c r="W6155" t="s">
        <v>41437</v>
      </c>
      <c r="X6155" t="s">
        <v>43173</v>
      </c>
    </row>
    <row r="6156" spans="1:24">
      <c r="A6156">
        <f>HYPERLINK("https://www.philgeps.gov.ph/GEPSNONPILOT/Tender/SplashBidNoticeAbstractUI.aspx?menuIndex=3&amp;refID=7081031&amp;Result=3","7081031")</f>
        <v>0</v>
      </c>
      <c r="B6156" t="s">
        <v>2013</v>
      </c>
      <c r="C6156" t="s">
        <v>9278</v>
      </c>
      <c r="D6156" t="s">
        <v>17425</v>
      </c>
      <c r="E6156" t="s">
        <v>22811</v>
      </c>
      <c r="F6156" t="s">
        <v>30052</v>
      </c>
      <c r="G6156" t="s">
        <v>30058</v>
      </c>
      <c r="H6156" t="s">
        <v>30067</v>
      </c>
      <c r="I6156" t="s">
        <v>3693</v>
      </c>
      <c r="J6156" t="s">
        <v>34070</v>
      </c>
      <c r="K6156" t="s">
        <v>39168</v>
      </c>
      <c r="M6156" t="s">
        <v>41457</v>
      </c>
      <c r="N6156" t="s">
        <v>43166</v>
      </c>
      <c r="O6156" t="s">
        <v>43167</v>
      </c>
      <c r="P6156">
        <v>0</v>
      </c>
      <c r="Q6156">
        <v>2</v>
      </c>
      <c r="R6156" t="s">
        <v>43172</v>
      </c>
      <c r="S6156" t="s">
        <v>43334</v>
      </c>
      <c r="T6156" t="s">
        <v>44758</v>
      </c>
      <c r="U6156" t="s">
        <v>50178</v>
      </c>
      <c r="V6156" t="s">
        <v>57471</v>
      </c>
      <c r="W6156" t="s">
        <v>41457</v>
      </c>
      <c r="X6156" t="s">
        <v>43173</v>
      </c>
    </row>
    <row r="6157" spans="1:24">
      <c r="A6157">
        <f>HYPERLINK("https://www.philgeps.gov.ph/GEPSNONPILOT/Tender/SplashBidNoticeAbstractUI.aspx?menuIndex=3&amp;refID=7081147&amp;Result=3","7081147")</f>
        <v>0</v>
      </c>
      <c r="B6157" t="s">
        <v>1933</v>
      </c>
      <c r="C6157" t="s">
        <v>9279</v>
      </c>
      <c r="D6157" t="s">
        <v>17447</v>
      </c>
      <c r="E6157" t="s">
        <v>22812</v>
      </c>
      <c r="F6157" t="s">
        <v>30052</v>
      </c>
      <c r="G6157" t="s">
        <v>30059</v>
      </c>
      <c r="H6157" t="s">
        <v>15498</v>
      </c>
      <c r="I6157" t="s">
        <v>30105</v>
      </c>
      <c r="J6157" t="s">
        <v>31058</v>
      </c>
      <c r="K6157" t="s">
        <v>39019</v>
      </c>
      <c r="M6157" t="s">
        <v>41367</v>
      </c>
      <c r="N6157" t="s">
        <v>43166</v>
      </c>
      <c r="O6157" t="s">
        <v>43167</v>
      </c>
      <c r="P6157">
        <v>0</v>
      </c>
      <c r="Q6157">
        <v>3</v>
      </c>
      <c r="R6157" t="s">
        <v>43172</v>
      </c>
      <c r="S6157" t="s">
        <v>43334</v>
      </c>
      <c r="T6157" t="s">
        <v>44832</v>
      </c>
      <c r="U6157" t="s">
        <v>49880</v>
      </c>
      <c r="W6157" t="s">
        <v>41367</v>
      </c>
      <c r="X6157" t="s">
        <v>43173</v>
      </c>
    </row>
    <row r="6158" spans="1:24">
      <c r="A6158">
        <f>HYPERLINK("https://www.philgeps.gov.ph/GEPSNONPILOT/Tender/SplashBidNoticeAbstractUI.aspx?menuIndex=3&amp;refID=7081146&amp;Result=3","7081146")</f>
        <v>0</v>
      </c>
      <c r="B6158" t="s">
        <v>268</v>
      </c>
      <c r="C6158" t="s">
        <v>9280</v>
      </c>
      <c r="D6158" t="s">
        <v>17459</v>
      </c>
      <c r="E6158" t="s">
        <v>22813</v>
      </c>
      <c r="F6158" t="s">
        <v>30052</v>
      </c>
      <c r="G6158" t="s">
        <v>30059</v>
      </c>
      <c r="H6158" t="s">
        <v>15498</v>
      </c>
      <c r="I6158" t="s">
        <v>30071</v>
      </c>
      <c r="J6158" t="s">
        <v>32032</v>
      </c>
      <c r="K6158" t="s">
        <v>39018</v>
      </c>
      <c r="M6158" t="s">
        <v>39561</v>
      </c>
      <c r="N6158" t="s">
        <v>43166</v>
      </c>
      <c r="O6158" t="s">
        <v>43167</v>
      </c>
      <c r="P6158">
        <v>0</v>
      </c>
      <c r="Q6158">
        <v>1</v>
      </c>
      <c r="R6158" t="s">
        <v>43172</v>
      </c>
      <c r="S6158" t="s">
        <v>43334</v>
      </c>
      <c r="T6158" t="s">
        <v>44735</v>
      </c>
      <c r="U6158" t="s">
        <v>50218</v>
      </c>
      <c r="W6158" t="s">
        <v>39561</v>
      </c>
      <c r="X6158" t="s">
        <v>43173</v>
      </c>
    </row>
    <row r="6159" spans="1:24">
      <c r="A6159">
        <f>HYPERLINK("https://www.philgeps.gov.ph/GEPSNONPILOT/Tender/SplashBidNoticeAbstractUI.aspx?menuIndex=3&amp;refID=7081158&amp;Result=3","7081158")</f>
        <v>0</v>
      </c>
      <c r="B6159" t="s">
        <v>1682</v>
      </c>
      <c r="C6159" t="s">
        <v>9281</v>
      </c>
      <c r="D6159" t="s">
        <v>17489</v>
      </c>
      <c r="E6159" t="s">
        <v>22814</v>
      </c>
      <c r="F6159" t="s">
        <v>30052</v>
      </c>
      <c r="G6159" t="s">
        <v>30059</v>
      </c>
      <c r="H6159" t="s">
        <v>15498</v>
      </c>
      <c r="I6159" t="s">
        <v>30134</v>
      </c>
      <c r="J6159" t="s">
        <v>34071</v>
      </c>
      <c r="K6159" t="s">
        <v>39019</v>
      </c>
      <c r="M6159" t="s">
        <v>41118</v>
      </c>
      <c r="N6159" t="s">
        <v>43166</v>
      </c>
      <c r="O6159" t="s">
        <v>43167</v>
      </c>
      <c r="P6159">
        <v>0</v>
      </c>
      <c r="Q6159">
        <v>1</v>
      </c>
      <c r="R6159" t="s">
        <v>43172</v>
      </c>
      <c r="S6159" t="s">
        <v>43334</v>
      </c>
      <c r="T6159" t="s">
        <v>44737</v>
      </c>
      <c r="U6159" t="s">
        <v>50219</v>
      </c>
      <c r="W6159" t="s">
        <v>41118</v>
      </c>
      <c r="X6159" t="s">
        <v>43173</v>
      </c>
    </row>
    <row r="6160" spans="1:24">
      <c r="A6160">
        <f>HYPERLINK("https://www.philgeps.gov.ph/GEPSNONPILOT/Tender/SplashBidNoticeAbstractUI.aspx?menuIndex=3&amp;refID=7081155&amp;Result=3","7081155")</f>
        <v>0</v>
      </c>
      <c r="B6160" t="s">
        <v>1028</v>
      </c>
      <c r="C6160" t="s">
        <v>9282</v>
      </c>
      <c r="D6160" t="s">
        <v>17450</v>
      </c>
      <c r="E6160" t="s">
        <v>22815</v>
      </c>
      <c r="F6160" t="s">
        <v>30052</v>
      </c>
      <c r="G6160" t="s">
        <v>30059</v>
      </c>
      <c r="H6160" t="s">
        <v>15498</v>
      </c>
      <c r="I6160" t="s">
        <v>6691</v>
      </c>
      <c r="J6160" t="s">
        <v>31177</v>
      </c>
      <c r="K6160" t="s">
        <v>39035</v>
      </c>
      <c r="M6160" t="s">
        <v>40357</v>
      </c>
      <c r="N6160" t="s">
        <v>43166</v>
      </c>
      <c r="O6160" t="s">
        <v>43167</v>
      </c>
      <c r="P6160">
        <v>0</v>
      </c>
      <c r="Q6160">
        <v>0</v>
      </c>
      <c r="R6160" t="s">
        <v>43172</v>
      </c>
      <c r="S6160" t="s">
        <v>43334</v>
      </c>
      <c r="T6160" t="s">
        <v>44691</v>
      </c>
      <c r="U6160" t="s">
        <v>47341</v>
      </c>
      <c r="W6160" t="s">
        <v>40357</v>
      </c>
      <c r="X6160" t="s">
        <v>43173</v>
      </c>
    </row>
    <row r="6161" spans="1:24">
      <c r="A6161">
        <f>HYPERLINK("https://www.philgeps.gov.ph/GEPSNONPILOT/Tender/SplashBidNoticeAbstractUI.aspx?menuIndex=3&amp;refID=7081144&amp;Result=3","7081144")</f>
        <v>0</v>
      </c>
      <c r="B6161" t="s">
        <v>2027</v>
      </c>
      <c r="C6161" t="s">
        <v>9283</v>
      </c>
      <c r="D6161" t="s">
        <v>17422</v>
      </c>
      <c r="E6161" t="s">
        <v>22816</v>
      </c>
      <c r="F6161" t="s">
        <v>30052</v>
      </c>
      <c r="G6161" t="s">
        <v>30058</v>
      </c>
      <c r="H6161" t="s">
        <v>30067</v>
      </c>
      <c r="I6161" t="s">
        <v>3693</v>
      </c>
      <c r="J6161" t="s">
        <v>34072</v>
      </c>
      <c r="K6161" t="s">
        <v>39029</v>
      </c>
      <c r="M6161" t="s">
        <v>41473</v>
      </c>
      <c r="N6161" t="s">
        <v>43166</v>
      </c>
      <c r="O6161" t="s">
        <v>43167</v>
      </c>
      <c r="P6161">
        <v>0</v>
      </c>
      <c r="Q6161">
        <v>0</v>
      </c>
      <c r="R6161" t="s">
        <v>43172</v>
      </c>
      <c r="S6161" t="s">
        <v>43334</v>
      </c>
      <c r="T6161" t="s">
        <v>44750</v>
      </c>
      <c r="U6161" t="s">
        <v>50220</v>
      </c>
      <c r="W6161" t="s">
        <v>41473</v>
      </c>
      <c r="X6161" t="s">
        <v>43173</v>
      </c>
    </row>
    <row r="6162" spans="1:24">
      <c r="A6162">
        <f>HYPERLINK("https://www.philgeps.gov.ph/GEPSNONPILOT/Tender/SplashBidNoticeAbstractUI.aspx?menuIndex=3&amp;refID=7081052&amp;Result=3","7081052")</f>
        <v>0</v>
      </c>
      <c r="B6162" t="s">
        <v>1822</v>
      </c>
      <c r="C6162" t="s">
        <v>9284</v>
      </c>
      <c r="D6162" t="s">
        <v>17437</v>
      </c>
      <c r="E6162" t="s">
        <v>22817</v>
      </c>
      <c r="F6162" t="s">
        <v>30052</v>
      </c>
      <c r="G6162" t="s">
        <v>30058</v>
      </c>
      <c r="H6162" t="s">
        <v>15498</v>
      </c>
      <c r="I6162" t="s">
        <v>3852</v>
      </c>
      <c r="J6162" t="s">
        <v>34073</v>
      </c>
      <c r="K6162" t="s">
        <v>39019</v>
      </c>
      <c r="M6162" t="s">
        <v>41474</v>
      </c>
      <c r="N6162" t="s">
        <v>43166</v>
      </c>
      <c r="O6162" t="s">
        <v>43167</v>
      </c>
      <c r="P6162">
        <v>0</v>
      </c>
      <c r="Q6162">
        <v>0</v>
      </c>
      <c r="R6162" t="s">
        <v>43172</v>
      </c>
      <c r="S6162" t="s">
        <v>43334</v>
      </c>
      <c r="T6162" t="s">
        <v>44703</v>
      </c>
      <c r="U6162" t="s">
        <v>50221</v>
      </c>
      <c r="W6162" t="s">
        <v>41474</v>
      </c>
      <c r="X6162" t="s">
        <v>43173</v>
      </c>
    </row>
    <row r="6163" spans="1:24">
      <c r="A6163">
        <f>HYPERLINK("https://www.philgeps.gov.ph/GEPSNONPILOT/Tender/SplashBidNoticeAbstractUI.aspx?menuIndex=3&amp;refID=7081162&amp;Result=3","7081162")</f>
        <v>0</v>
      </c>
      <c r="B6163" t="s">
        <v>199</v>
      </c>
      <c r="C6163" t="s">
        <v>9285</v>
      </c>
      <c r="D6163" t="s">
        <v>17415</v>
      </c>
      <c r="E6163" t="s">
        <v>22818</v>
      </c>
      <c r="F6163" t="s">
        <v>30052</v>
      </c>
      <c r="G6163" t="s">
        <v>30059</v>
      </c>
      <c r="H6163" t="s">
        <v>15498</v>
      </c>
      <c r="I6163" t="s">
        <v>30151</v>
      </c>
      <c r="J6163" t="s">
        <v>30922</v>
      </c>
      <c r="K6163" t="s">
        <v>39029</v>
      </c>
      <c r="M6163" t="s">
        <v>40618</v>
      </c>
      <c r="N6163" t="s">
        <v>43166</v>
      </c>
      <c r="O6163" t="s">
        <v>43167</v>
      </c>
      <c r="P6163">
        <v>0</v>
      </c>
      <c r="Q6163">
        <v>5</v>
      </c>
      <c r="R6163" t="s">
        <v>43172</v>
      </c>
      <c r="S6163" t="s">
        <v>43334</v>
      </c>
      <c r="T6163" t="s">
        <v>44728</v>
      </c>
      <c r="U6163" t="s">
        <v>50222</v>
      </c>
      <c r="W6163" t="s">
        <v>40618</v>
      </c>
      <c r="X6163" t="s">
        <v>43173</v>
      </c>
    </row>
    <row r="6164" spans="1:24">
      <c r="A6164">
        <f>HYPERLINK("https://www.philgeps.gov.ph/GEPSNONPILOT/Tender/SplashBidNoticeAbstractUI.aspx?menuIndex=3&amp;refID=7081177&amp;Result=3","7081177")</f>
        <v>0</v>
      </c>
      <c r="B6164" t="s">
        <v>1143</v>
      </c>
      <c r="C6164" t="s">
        <v>9286</v>
      </c>
      <c r="D6164" t="s">
        <v>17449</v>
      </c>
      <c r="E6164" t="s">
        <v>22819</v>
      </c>
      <c r="F6164" t="s">
        <v>30052</v>
      </c>
      <c r="G6164" t="s">
        <v>30059</v>
      </c>
      <c r="H6164" t="s">
        <v>15498</v>
      </c>
      <c r="I6164" t="s">
        <v>4119</v>
      </c>
      <c r="J6164" t="s">
        <v>34074</v>
      </c>
      <c r="K6164" t="s">
        <v>39017</v>
      </c>
      <c r="M6164" t="s">
        <v>40486</v>
      </c>
      <c r="N6164" t="s">
        <v>43166</v>
      </c>
      <c r="O6164" t="s">
        <v>43167</v>
      </c>
      <c r="P6164">
        <v>0</v>
      </c>
      <c r="Q6164">
        <v>3</v>
      </c>
      <c r="R6164" t="s">
        <v>43172</v>
      </c>
      <c r="S6164" t="s">
        <v>43334</v>
      </c>
      <c r="T6164" t="s">
        <v>44737</v>
      </c>
      <c r="U6164" t="s">
        <v>48877</v>
      </c>
      <c r="W6164" t="s">
        <v>40486</v>
      </c>
      <c r="X6164" t="s">
        <v>43173</v>
      </c>
    </row>
    <row r="6165" spans="1:24">
      <c r="A6165">
        <f>HYPERLINK("https://www.philgeps.gov.ph/GEPSNONPILOT/Tender/SplashBidNoticeAbstractUI.aspx?menuIndex=3&amp;refID=7081152&amp;Result=3","7081152")</f>
        <v>0</v>
      </c>
      <c r="B6165" t="s">
        <v>2022</v>
      </c>
      <c r="C6165" t="s">
        <v>9287</v>
      </c>
      <c r="D6165" t="s">
        <v>17415</v>
      </c>
      <c r="E6165" t="s">
        <v>17922</v>
      </c>
      <c r="F6165" t="s">
        <v>30052</v>
      </c>
      <c r="G6165" t="s">
        <v>30059</v>
      </c>
      <c r="H6165" t="s">
        <v>15498</v>
      </c>
      <c r="I6165" t="s">
        <v>9238</v>
      </c>
      <c r="J6165" t="s">
        <v>31189</v>
      </c>
      <c r="K6165" t="s">
        <v>39023</v>
      </c>
      <c r="M6165" t="s">
        <v>41467</v>
      </c>
      <c r="N6165" t="s">
        <v>43166</v>
      </c>
      <c r="O6165" t="s">
        <v>43167</v>
      </c>
      <c r="P6165">
        <v>0</v>
      </c>
      <c r="Q6165">
        <v>4</v>
      </c>
      <c r="R6165" t="s">
        <v>43172</v>
      </c>
      <c r="S6165" t="s">
        <v>43334</v>
      </c>
      <c r="T6165" t="s">
        <v>44859</v>
      </c>
      <c r="U6165" t="s">
        <v>50223</v>
      </c>
      <c r="W6165" t="s">
        <v>41467</v>
      </c>
      <c r="X6165" t="s">
        <v>43173</v>
      </c>
    </row>
    <row r="6166" spans="1:24">
      <c r="A6166">
        <f>HYPERLINK("https://www.philgeps.gov.ph/GEPSNONPILOT/Tender/SplashBidNoticeAbstractUI.aspx?menuIndex=3&amp;refID=7081140&amp;Result=3","7081140")</f>
        <v>0</v>
      </c>
      <c r="B6166" t="s">
        <v>1508</v>
      </c>
      <c r="C6166" t="s">
        <v>9288</v>
      </c>
      <c r="D6166" t="s">
        <v>17448</v>
      </c>
      <c r="E6166" t="s">
        <v>22820</v>
      </c>
      <c r="F6166" t="s">
        <v>30052</v>
      </c>
      <c r="G6166" t="s">
        <v>30058</v>
      </c>
      <c r="H6166" t="s">
        <v>15498</v>
      </c>
      <c r="I6166" t="s">
        <v>30084</v>
      </c>
      <c r="J6166" t="s">
        <v>34075</v>
      </c>
      <c r="K6166" t="s">
        <v>39029</v>
      </c>
      <c r="M6166" t="s">
        <v>40892</v>
      </c>
      <c r="N6166" t="s">
        <v>43166</v>
      </c>
      <c r="O6166" t="s">
        <v>43167</v>
      </c>
      <c r="P6166">
        <v>0</v>
      </c>
      <c r="Q6166">
        <v>3</v>
      </c>
      <c r="R6166" t="s">
        <v>43172</v>
      </c>
      <c r="S6166" t="s">
        <v>43334</v>
      </c>
      <c r="T6166" t="s">
        <v>44699</v>
      </c>
      <c r="U6166" t="s">
        <v>50224</v>
      </c>
      <c r="W6166" t="s">
        <v>40892</v>
      </c>
      <c r="X6166" t="s">
        <v>43173</v>
      </c>
    </row>
    <row r="6167" spans="1:24">
      <c r="A6167">
        <f>HYPERLINK("https://www.philgeps.gov.ph/GEPSNONPILOT/Tender/SplashBidNoticeAbstractUI.aspx?menuIndex=3&amp;refID=7081137&amp;Result=3","7081137")</f>
        <v>0</v>
      </c>
      <c r="B6167" t="s">
        <v>2022</v>
      </c>
      <c r="C6167" t="s">
        <v>9289</v>
      </c>
      <c r="D6167" t="s">
        <v>17415</v>
      </c>
      <c r="E6167" t="s">
        <v>17706</v>
      </c>
      <c r="F6167" t="s">
        <v>30052</v>
      </c>
      <c r="G6167" t="s">
        <v>30059</v>
      </c>
      <c r="H6167" t="s">
        <v>15498</v>
      </c>
      <c r="I6167" t="s">
        <v>9238</v>
      </c>
      <c r="J6167" t="s">
        <v>30230</v>
      </c>
      <c r="K6167" t="s">
        <v>39023</v>
      </c>
      <c r="M6167" t="s">
        <v>41467</v>
      </c>
      <c r="N6167" t="s">
        <v>43166</v>
      </c>
      <c r="O6167" t="s">
        <v>43167</v>
      </c>
      <c r="P6167">
        <v>0</v>
      </c>
      <c r="Q6167">
        <v>10</v>
      </c>
      <c r="R6167" t="s">
        <v>43172</v>
      </c>
      <c r="S6167" t="s">
        <v>43334</v>
      </c>
      <c r="T6167" t="s">
        <v>44859</v>
      </c>
      <c r="U6167" t="s">
        <v>50225</v>
      </c>
      <c r="W6167" t="s">
        <v>41467</v>
      </c>
      <c r="X6167" t="s">
        <v>43173</v>
      </c>
    </row>
    <row r="6168" spans="1:24">
      <c r="A6168">
        <f>HYPERLINK("https://www.philgeps.gov.ph/GEPSNONPILOT/Tender/SplashBidNoticeAbstractUI.aspx?menuIndex=3&amp;refID=7081056&amp;Result=3","7081056")</f>
        <v>0</v>
      </c>
      <c r="B6168" t="s">
        <v>529</v>
      </c>
      <c r="C6168" t="s">
        <v>4614</v>
      </c>
      <c r="D6168" t="s">
        <v>17474</v>
      </c>
      <c r="E6168" t="s">
        <v>22821</v>
      </c>
      <c r="F6168" t="s">
        <v>30052</v>
      </c>
      <c r="G6168" t="s">
        <v>30058</v>
      </c>
      <c r="H6168" t="s">
        <v>15498</v>
      </c>
      <c r="I6168" t="s">
        <v>3736</v>
      </c>
      <c r="J6168" t="s">
        <v>34076</v>
      </c>
      <c r="K6168" t="s">
        <v>39034</v>
      </c>
      <c r="M6168" t="s">
        <v>39831</v>
      </c>
      <c r="N6168" t="s">
        <v>43166</v>
      </c>
      <c r="O6168" t="s">
        <v>43167</v>
      </c>
      <c r="P6168">
        <v>0</v>
      </c>
      <c r="Q6168">
        <v>0</v>
      </c>
      <c r="R6168" t="s">
        <v>43172</v>
      </c>
      <c r="S6168" t="s">
        <v>43334</v>
      </c>
      <c r="T6168" t="s">
        <v>44704</v>
      </c>
      <c r="U6168" t="s">
        <v>50226</v>
      </c>
      <c r="V6168" t="s">
        <v>57463</v>
      </c>
      <c r="W6168" t="s">
        <v>39831</v>
      </c>
      <c r="X6168" t="s">
        <v>43173</v>
      </c>
    </row>
    <row r="6169" spans="1:24">
      <c r="A6169">
        <f>HYPERLINK("https://www.philgeps.gov.ph/GEPSNONPILOT/Tender/SplashBidNoticeAbstractUI.aspx?menuIndex=3&amp;refID=7081190&amp;Result=3","7081190")</f>
        <v>0</v>
      </c>
      <c r="B6169" t="s">
        <v>2028</v>
      </c>
      <c r="C6169" t="s">
        <v>9290</v>
      </c>
      <c r="D6169" t="s">
        <v>17445</v>
      </c>
      <c r="E6169" t="s">
        <v>22822</v>
      </c>
      <c r="F6169" t="s">
        <v>30052</v>
      </c>
      <c r="G6169" t="s">
        <v>30062</v>
      </c>
      <c r="H6169" t="s">
        <v>15498</v>
      </c>
      <c r="I6169" t="s">
        <v>30076</v>
      </c>
      <c r="J6169" t="s">
        <v>32336</v>
      </c>
      <c r="K6169" t="s">
        <v>39017</v>
      </c>
      <c r="M6169" t="s">
        <v>41475</v>
      </c>
      <c r="N6169" t="s">
        <v>43166</v>
      </c>
      <c r="O6169" t="s">
        <v>43167</v>
      </c>
      <c r="P6169">
        <v>0</v>
      </c>
      <c r="Q6169">
        <v>4</v>
      </c>
      <c r="R6169" t="s">
        <v>43172</v>
      </c>
      <c r="S6169" t="s">
        <v>43334</v>
      </c>
      <c r="T6169" t="s">
        <v>44735</v>
      </c>
      <c r="U6169" t="s">
        <v>50227</v>
      </c>
      <c r="V6169" t="s">
        <v>57472</v>
      </c>
      <c r="W6169" t="s">
        <v>41475</v>
      </c>
      <c r="X6169" t="s">
        <v>43173</v>
      </c>
    </row>
    <row r="6170" spans="1:24">
      <c r="A6170">
        <f>HYPERLINK("https://www.philgeps.gov.ph/GEPSNONPILOT/Tender/SplashBidNoticeAbstractUI.aspx?menuIndex=3&amp;refID=7081203&amp;Result=3","7081203")</f>
        <v>0</v>
      </c>
      <c r="B6170" t="s">
        <v>1988</v>
      </c>
      <c r="C6170" t="s">
        <v>9291</v>
      </c>
      <c r="D6170" t="s">
        <v>17448</v>
      </c>
      <c r="E6170" t="s">
        <v>22823</v>
      </c>
      <c r="F6170" t="s">
        <v>30052</v>
      </c>
      <c r="G6170" t="s">
        <v>30061</v>
      </c>
      <c r="H6170" t="s">
        <v>15498</v>
      </c>
      <c r="I6170" t="s">
        <v>4598</v>
      </c>
      <c r="J6170" t="s">
        <v>30472</v>
      </c>
      <c r="K6170" t="s">
        <v>39017</v>
      </c>
      <c r="M6170" t="s">
        <v>41430</v>
      </c>
      <c r="N6170" t="s">
        <v>43166</v>
      </c>
      <c r="O6170" t="s">
        <v>43167</v>
      </c>
      <c r="P6170">
        <v>0</v>
      </c>
      <c r="Q6170">
        <v>1</v>
      </c>
      <c r="R6170" t="s">
        <v>43172</v>
      </c>
      <c r="S6170" t="s">
        <v>43334</v>
      </c>
      <c r="T6170" t="s">
        <v>44870</v>
      </c>
      <c r="U6170" t="s">
        <v>50228</v>
      </c>
      <c r="W6170" t="s">
        <v>41430</v>
      </c>
      <c r="X6170" t="s">
        <v>43173</v>
      </c>
    </row>
    <row r="6171" spans="1:24">
      <c r="A6171">
        <f>HYPERLINK("https://www.philgeps.gov.ph/GEPSNONPILOT/Tender/SplashBidNoticeAbstractUI.aspx?menuIndex=3&amp;refID=7081191&amp;Result=3","7081191")</f>
        <v>0</v>
      </c>
      <c r="B6171" t="s">
        <v>268</v>
      </c>
      <c r="C6171" t="s">
        <v>9292</v>
      </c>
      <c r="D6171" t="s">
        <v>17459</v>
      </c>
      <c r="E6171" t="s">
        <v>22824</v>
      </c>
      <c r="F6171" t="s">
        <v>30052</v>
      </c>
      <c r="G6171" t="s">
        <v>30059</v>
      </c>
      <c r="H6171" t="s">
        <v>15498</v>
      </c>
      <c r="I6171" t="s">
        <v>30096</v>
      </c>
      <c r="J6171" t="s">
        <v>34077</v>
      </c>
      <c r="K6171" t="s">
        <v>39018</v>
      </c>
      <c r="M6171" t="s">
        <v>39561</v>
      </c>
      <c r="N6171" t="s">
        <v>43166</v>
      </c>
      <c r="O6171" t="s">
        <v>43167</v>
      </c>
      <c r="P6171">
        <v>0</v>
      </c>
      <c r="Q6171">
        <v>2</v>
      </c>
      <c r="R6171" t="s">
        <v>43172</v>
      </c>
      <c r="S6171" t="s">
        <v>43334</v>
      </c>
      <c r="T6171" t="s">
        <v>44837</v>
      </c>
      <c r="U6171" t="s">
        <v>50229</v>
      </c>
      <c r="W6171" t="s">
        <v>39561</v>
      </c>
      <c r="X6171" t="s">
        <v>43173</v>
      </c>
    </row>
    <row r="6172" spans="1:24">
      <c r="A6172">
        <f>HYPERLINK("https://www.philgeps.gov.ph/GEPSNONPILOT/Tender/SplashBidNoticeAbstractUI.aspx?menuIndex=3&amp;refID=7081197&amp;Result=3","7081197")</f>
        <v>0</v>
      </c>
      <c r="B6172" t="s">
        <v>1405</v>
      </c>
      <c r="C6172" t="s">
        <v>9293</v>
      </c>
      <c r="D6172" t="s">
        <v>17415</v>
      </c>
      <c r="E6172" t="s">
        <v>9293</v>
      </c>
      <c r="F6172" t="s">
        <v>30052</v>
      </c>
      <c r="G6172" t="s">
        <v>30059</v>
      </c>
      <c r="H6172" t="s">
        <v>15498</v>
      </c>
      <c r="I6172" t="s">
        <v>30088</v>
      </c>
      <c r="J6172" t="s">
        <v>30354</v>
      </c>
      <c r="K6172" t="s">
        <v>39025</v>
      </c>
      <c r="M6172" t="s">
        <v>41476</v>
      </c>
      <c r="N6172" t="s">
        <v>43166</v>
      </c>
      <c r="O6172" t="s">
        <v>43167</v>
      </c>
      <c r="P6172">
        <v>0</v>
      </c>
      <c r="Q6172">
        <v>6</v>
      </c>
      <c r="R6172" t="s">
        <v>43172</v>
      </c>
      <c r="S6172" t="s">
        <v>43334</v>
      </c>
      <c r="T6172" t="s">
        <v>44870</v>
      </c>
      <c r="U6172" t="s">
        <v>48355</v>
      </c>
      <c r="W6172" t="s">
        <v>41476</v>
      </c>
      <c r="X6172" t="s">
        <v>43173</v>
      </c>
    </row>
    <row r="6173" spans="1:24">
      <c r="A6173">
        <f>HYPERLINK("https://www.philgeps.gov.ph/GEPSNONPILOT/Tender/SplashBidNoticeAbstractUI.aspx?menuIndex=3&amp;refID=7081145&amp;Result=3","7081145")</f>
        <v>0</v>
      </c>
      <c r="B6173" t="s">
        <v>2013</v>
      </c>
      <c r="C6173" t="s">
        <v>9294</v>
      </c>
      <c r="D6173" t="s">
        <v>17425</v>
      </c>
      <c r="E6173" t="s">
        <v>22825</v>
      </c>
      <c r="F6173" t="s">
        <v>30052</v>
      </c>
      <c r="G6173" t="s">
        <v>30058</v>
      </c>
      <c r="H6173" t="s">
        <v>30067</v>
      </c>
      <c r="I6173" t="s">
        <v>3693</v>
      </c>
      <c r="J6173" t="s">
        <v>34078</v>
      </c>
      <c r="K6173" t="s">
        <v>39031</v>
      </c>
      <c r="M6173" t="s">
        <v>41457</v>
      </c>
      <c r="N6173" t="s">
        <v>43166</v>
      </c>
      <c r="O6173" t="s">
        <v>43167</v>
      </c>
      <c r="P6173">
        <v>0</v>
      </c>
      <c r="Q6173">
        <v>0</v>
      </c>
      <c r="R6173" t="s">
        <v>43172</v>
      </c>
      <c r="S6173" t="s">
        <v>43334</v>
      </c>
      <c r="T6173" t="s">
        <v>44758</v>
      </c>
      <c r="U6173" t="s">
        <v>50178</v>
      </c>
      <c r="V6173" t="s">
        <v>57473</v>
      </c>
      <c r="W6173" t="s">
        <v>41457</v>
      </c>
      <c r="X6173" t="s">
        <v>43173</v>
      </c>
    </row>
    <row r="6174" spans="1:24">
      <c r="A6174">
        <f>HYPERLINK("https://www.philgeps.gov.ph/GEPSNONPILOT/Tender/SplashBidNoticeAbstractUI.aspx?menuIndex=3&amp;refID=7081188&amp;Result=3","7081188")</f>
        <v>0</v>
      </c>
      <c r="B6174" t="s">
        <v>2029</v>
      </c>
      <c r="C6174" t="s">
        <v>9295</v>
      </c>
      <c r="D6174" t="s">
        <v>17492</v>
      </c>
      <c r="E6174" t="s">
        <v>22826</v>
      </c>
      <c r="F6174" t="s">
        <v>30052</v>
      </c>
      <c r="G6174" t="s">
        <v>30058</v>
      </c>
      <c r="H6174" t="s">
        <v>15498</v>
      </c>
      <c r="I6174" t="s">
        <v>4119</v>
      </c>
      <c r="J6174" t="s">
        <v>34079</v>
      </c>
      <c r="K6174" t="s">
        <v>39029</v>
      </c>
      <c r="M6174" t="s">
        <v>41477</v>
      </c>
      <c r="N6174" t="s">
        <v>43166</v>
      </c>
      <c r="O6174" t="s">
        <v>43167</v>
      </c>
      <c r="P6174">
        <v>0</v>
      </c>
      <c r="Q6174">
        <v>5</v>
      </c>
      <c r="R6174" t="s">
        <v>43172</v>
      </c>
      <c r="S6174" t="s">
        <v>43334</v>
      </c>
      <c r="T6174" t="s">
        <v>44722</v>
      </c>
      <c r="U6174" t="s">
        <v>50230</v>
      </c>
      <c r="W6174" t="s">
        <v>41477</v>
      </c>
      <c r="X6174" t="s">
        <v>43173</v>
      </c>
    </row>
    <row r="6175" spans="1:24">
      <c r="A6175">
        <f>HYPERLINK("https://www.philgeps.gov.ph/GEPSNONPILOT/Tender/SplashBidNoticeAbstractUI.aspx?menuIndex=3&amp;refID=7081187&amp;Result=3","7081187")</f>
        <v>0</v>
      </c>
      <c r="B6175" t="s">
        <v>1028</v>
      </c>
      <c r="C6175" t="s">
        <v>9296</v>
      </c>
      <c r="D6175" t="s">
        <v>17450</v>
      </c>
      <c r="E6175" t="s">
        <v>22827</v>
      </c>
      <c r="F6175" t="s">
        <v>30052</v>
      </c>
      <c r="G6175" t="s">
        <v>30059</v>
      </c>
      <c r="H6175" t="s">
        <v>15498</v>
      </c>
      <c r="I6175" t="s">
        <v>6691</v>
      </c>
      <c r="J6175" t="s">
        <v>32983</v>
      </c>
      <c r="K6175" t="s">
        <v>39035</v>
      </c>
      <c r="M6175" t="s">
        <v>40357</v>
      </c>
      <c r="N6175" t="s">
        <v>43166</v>
      </c>
      <c r="O6175" t="s">
        <v>43167</v>
      </c>
      <c r="P6175">
        <v>0</v>
      </c>
      <c r="Q6175">
        <v>0</v>
      </c>
      <c r="R6175" t="s">
        <v>43172</v>
      </c>
      <c r="S6175" t="s">
        <v>43334</v>
      </c>
      <c r="T6175" t="s">
        <v>44691</v>
      </c>
      <c r="U6175" t="s">
        <v>47341</v>
      </c>
      <c r="W6175" t="s">
        <v>40357</v>
      </c>
      <c r="X6175" t="s">
        <v>43173</v>
      </c>
    </row>
    <row r="6176" spans="1:24">
      <c r="A6176">
        <f>HYPERLINK("https://www.philgeps.gov.ph/GEPSNONPILOT/Tender/SplashBidNoticeAbstractUI.aspx?menuIndex=3&amp;refID=7081198&amp;Result=3","7081198")</f>
        <v>0</v>
      </c>
      <c r="B6176" t="s">
        <v>1405</v>
      </c>
      <c r="C6176" t="s">
        <v>9297</v>
      </c>
      <c r="D6176" t="s">
        <v>17415</v>
      </c>
      <c r="E6176" t="s">
        <v>22828</v>
      </c>
      <c r="F6176" t="s">
        <v>30052</v>
      </c>
      <c r="G6176" t="s">
        <v>30059</v>
      </c>
      <c r="H6176" t="s">
        <v>15498</v>
      </c>
      <c r="I6176" t="s">
        <v>30076</v>
      </c>
      <c r="J6176" t="s">
        <v>30343</v>
      </c>
      <c r="K6176" t="s">
        <v>39025</v>
      </c>
      <c r="M6176" t="s">
        <v>40782</v>
      </c>
      <c r="N6176" t="s">
        <v>43166</v>
      </c>
      <c r="O6176" t="s">
        <v>43167</v>
      </c>
      <c r="P6176">
        <v>0</v>
      </c>
      <c r="Q6176">
        <v>6</v>
      </c>
      <c r="R6176" t="s">
        <v>43172</v>
      </c>
      <c r="S6176" t="s">
        <v>43334</v>
      </c>
      <c r="T6176" t="s">
        <v>44870</v>
      </c>
      <c r="U6176" t="s">
        <v>48355</v>
      </c>
      <c r="W6176" t="s">
        <v>40782</v>
      </c>
      <c r="X6176" t="s">
        <v>43173</v>
      </c>
    </row>
    <row r="6177" spans="1:24">
      <c r="A6177">
        <f>HYPERLINK("https://www.philgeps.gov.ph/GEPSNONPILOT/Tender/SplashBidNoticeAbstractUI.aspx?menuIndex=3&amp;refID=7081184&amp;Result=3","7081184")</f>
        <v>0</v>
      </c>
      <c r="B6177" t="s">
        <v>1940</v>
      </c>
      <c r="C6177" t="s">
        <v>9298</v>
      </c>
      <c r="D6177" t="s">
        <v>17427</v>
      </c>
      <c r="E6177" t="s">
        <v>22829</v>
      </c>
      <c r="F6177" t="s">
        <v>30052</v>
      </c>
      <c r="G6177" t="s">
        <v>30059</v>
      </c>
      <c r="H6177" t="s">
        <v>15498</v>
      </c>
      <c r="I6177" t="s">
        <v>3736</v>
      </c>
      <c r="J6177" t="s">
        <v>34080</v>
      </c>
      <c r="K6177" t="s">
        <v>39025</v>
      </c>
      <c r="M6177" t="s">
        <v>41375</v>
      </c>
      <c r="N6177" t="s">
        <v>43166</v>
      </c>
      <c r="O6177" t="s">
        <v>43167</v>
      </c>
      <c r="P6177">
        <v>0</v>
      </c>
      <c r="Q6177">
        <v>0</v>
      </c>
      <c r="R6177" t="s">
        <v>43172</v>
      </c>
      <c r="S6177" t="s">
        <v>43334</v>
      </c>
      <c r="T6177" t="s">
        <v>44844</v>
      </c>
      <c r="U6177" t="s">
        <v>50231</v>
      </c>
      <c r="W6177" t="s">
        <v>41375</v>
      </c>
      <c r="X6177" t="s">
        <v>43173</v>
      </c>
    </row>
    <row r="6178" spans="1:24">
      <c r="A6178">
        <f>HYPERLINK("https://www.philgeps.gov.ph/GEPSNONPILOT/Tender/SplashBidNoticeAbstractUI.aspx?menuIndex=3&amp;refID=7081193&amp;Result=3","7081193")</f>
        <v>0</v>
      </c>
      <c r="B6178" t="s">
        <v>629</v>
      </c>
      <c r="C6178" t="s">
        <v>9299</v>
      </c>
      <c r="D6178" t="s">
        <v>17415</v>
      </c>
      <c r="E6178" t="s">
        <v>22830</v>
      </c>
      <c r="F6178" t="s">
        <v>30052</v>
      </c>
      <c r="G6178" t="s">
        <v>30062</v>
      </c>
      <c r="H6178" t="s">
        <v>15498</v>
      </c>
      <c r="I6178" t="s">
        <v>30084</v>
      </c>
      <c r="J6178" t="s">
        <v>33315</v>
      </c>
      <c r="K6178" t="s">
        <v>39019</v>
      </c>
      <c r="M6178" t="s">
        <v>40046</v>
      </c>
      <c r="N6178" t="s">
        <v>43166</v>
      </c>
      <c r="O6178" t="s">
        <v>43167</v>
      </c>
      <c r="P6178">
        <v>0</v>
      </c>
      <c r="Q6178">
        <v>15</v>
      </c>
      <c r="R6178" t="s">
        <v>43172</v>
      </c>
      <c r="S6178" t="s">
        <v>43334</v>
      </c>
      <c r="T6178" t="s">
        <v>44717</v>
      </c>
      <c r="U6178" t="s">
        <v>50232</v>
      </c>
      <c r="V6178" t="s">
        <v>57474</v>
      </c>
      <c r="W6178" t="s">
        <v>40046</v>
      </c>
      <c r="X6178" t="s">
        <v>43173</v>
      </c>
    </row>
    <row r="6179" spans="1:24">
      <c r="A6179">
        <f>HYPERLINK("https://www.philgeps.gov.ph/GEPSNONPILOT/Tender/SplashBidNoticeAbstractUI.aspx?menuIndex=3&amp;refID=7081183&amp;Result=3","7081183")</f>
        <v>0</v>
      </c>
      <c r="B6179" t="s">
        <v>1191</v>
      </c>
      <c r="C6179" t="s">
        <v>9300</v>
      </c>
      <c r="D6179" t="s">
        <v>17451</v>
      </c>
      <c r="E6179" t="s">
        <v>22831</v>
      </c>
      <c r="F6179" t="s">
        <v>30052</v>
      </c>
      <c r="G6179" t="s">
        <v>30058</v>
      </c>
      <c r="H6179" t="s">
        <v>30067</v>
      </c>
      <c r="I6179" t="s">
        <v>3693</v>
      </c>
      <c r="J6179" t="s">
        <v>30218</v>
      </c>
      <c r="K6179" t="s">
        <v>39023</v>
      </c>
      <c r="M6179" t="s">
        <v>40544</v>
      </c>
      <c r="N6179" t="s">
        <v>43166</v>
      </c>
      <c r="O6179" t="s">
        <v>43167</v>
      </c>
      <c r="P6179">
        <v>0</v>
      </c>
      <c r="Q6179">
        <v>0</v>
      </c>
      <c r="R6179" t="s">
        <v>43172</v>
      </c>
      <c r="S6179" t="s">
        <v>43334</v>
      </c>
      <c r="T6179" t="s">
        <v>44678</v>
      </c>
      <c r="U6179" t="s">
        <v>50233</v>
      </c>
      <c r="W6179" t="s">
        <v>40544</v>
      </c>
      <c r="X6179" t="s">
        <v>43173</v>
      </c>
    </row>
    <row r="6180" spans="1:24">
      <c r="A6180">
        <f>HYPERLINK("https://www.philgeps.gov.ph/GEPSNONPILOT/Tender/SplashBidNoticeAbstractUI.aspx?menuIndex=3&amp;refID=7081182&amp;Result=3","7081182")</f>
        <v>0</v>
      </c>
      <c r="B6180" t="s">
        <v>818</v>
      </c>
      <c r="C6180" t="s">
        <v>9301</v>
      </c>
      <c r="D6180" t="s">
        <v>17449</v>
      </c>
      <c r="E6180" t="s">
        <v>19208</v>
      </c>
      <c r="F6180" t="s">
        <v>30052</v>
      </c>
      <c r="G6180" t="s">
        <v>30059</v>
      </c>
      <c r="H6180" t="s">
        <v>15498</v>
      </c>
      <c r="I6180" t="s">
        <v>30134</v>
      </c>
      <c r="J6180" t="s">
        <v>31199</v>
      </c>
      <c r="K6180" t="s">
        <v>39017</v>
      </c>
      <c r="M6180" t="s">
        <v>40135</v>
      </c>
      <c r="N6180" t="s">
        <v>43166</v>
      </c>
      <c r="O6180" t="s">
        <v>43167</v>
      </c>
      <c r="P6180">
        <v>0</v>
      </c>
      <c r="Q6180">
        <v>1</v>
      </c>
      <c r="R6180" t="s">
        <v>43172</v>
      </c>
      <c r="S6180" t="s">
        <v>43334</v>
      </c>
      <c r="T6180" t="s">
        <v>44714</v>
      </c>
      <c r="U6180" t="s">
        <v>50234</v>
      </c>
      <c r="W6180" t="s">
        <v>40135</v>
      </c>
      <c r="X6180" t="s">
        <v>43173</v>
      </c>
    </row>
    <row r="6181" spans="1:24">
      <c r="A6181">
        <f>HYPERLINK("https://www.philgeps.gov.ph/GEPSNONPILOT/Tender/SplashBidNoticeAbstractUI.aspx?menuIndex=3&amp;refID=7081176&amp;Result=3","7081176")</f>
        <v>0</v>
      </c>
      <c r="B6181" t="s">
        <v>1318</v>
      </c>
      <c r="C6181" t="s">
        <v>9302</v>
      </c>
      <c r="D6181" t="s">
        <v>17452</v>
      </c>
      <c r="E6181" t="s">
        <v>22832</v>
      </c>
      <c r="F6181" t="s">
        <v>30052</v>
      </c>
      <c r="G6181" t="s">
        <v>30058</v>
      </c>
      <c r="H6181" t="s">
        <v>15498</v>
      </c>
      <c r="I6181" t="s">
        <v>30165</v>
      </c>
      <c r="J6181" t="s">
        <v>31825</v>
      </c>
      <c r="K6181" t="s">
        <v>39029</v>
      </c>
      <c r="M6181" t="s">
        <v>40685</v>
      </c>
      <c r="N6181" t="s">
        <v>43166</v>
      </c>
      <c r="O6181" t="s">
        <v>43167</v>
      </c>
      <c r="P6181">
        <v>0</v>
      </c>
      <c r="Q6181">
        <v>0</v>
      </c>
      <c r="R6181" t="s">
        <v>43172</v>
      </c>
      <c r="S6181" t="s">
        <v>43334</v>
      </c>
      <c r="T6181" t="s">
        <v>44703</v>
      </c>
      <c r="U6181" t="s">
        <v>50235</v>
      </c>
      <c r="W6181" t="s">
        <v>40685</v>
      </c>
      <c r="X6181" t="s">
        <v>43173</v>
      </c>
    </row>
    <row r="6182" spans="1:24">
      <c r="A6182">
        <f>HYPERLINK("https://www.philgeps.gov.ph/GEPSNONPILOT/Tender/SplashBidNoticeAbstractUI.aspx?menuIndex=3&amp;refID=7081195&amp;Result=3","7081195")</f>
        <v>0</v>
      </c>
      <c r="B6182" t="s">
        <v>550</v>
      </c>
      <c r="C6182" t="s">
        <v>9303</v>
      </c>
      <c r="D6182" t="s">
        <v>17453</v>
      </c>
      <c r="E6182" t="s">
        <v>22833</v>
      </c>
      <c r="F6182" t="s">
        <v>30052</v>
      </c>
      <c r="G6182" t="s">
        <v>30058</v>
      </c>
      <c r="H6182" t="s">
        <v>30067</v>
      </c>
      <c r="I6182" t="s">
        <v>3693</v>
      </c>
      <c r="J6182" t="s">
        <v>34081</v>
      </c>
      <c r="K6182" t="s">
        <v>39129</v>
      </c>
      <c r="M6182" t="s">
        <v>39852</v>
      </c>
      <c r="N6182" t="s">
        <v>43166</v>
      </c>
      <c r="O6182" t="s">
        <v>43167</v>
      </c>
      <c r="P6182">
        <v>0</v>
      </c>
      <c r="Q6182">
        <v>0</v>
      </c>
      <c r="R6182" t="s">
        <v>43172</v>
      </c>
      <c r="S6182" t="s">
        <v>43334</v>
      </c>
      <c r="T6182" t="s">
        <v>45037</v>
      </c>
      <c r="U6182" t="s">
        <v>50236</v>
      </c>
      <c r="W6182" t="s">
        <v>39852</v>
      </c>
      <c r="X6182" t="s">
        <v>43173</v>
      </c>
    </row>
    <row r="6183" spans="1:24">
      <c r="A6183">
        <f>HYPERLINK("https://www.philgeps.gov.ph/GEPSNONPILOT/Tender/SplashBidNoticeAbstractUI.aspx?menuIndex=3&amp;refID=7081239&amp;Result=3","7081239")</f>
        <v>0</v>
      </c>
      <c r="B6183" t="s">
        <v>2028</v>
      </c>
      <c r="C6183" t="s">
        <v>9304</v>
      </c>
      <c r="D6183" t="s">
        <v>17445</v>
      </c>
      <c r="E6183" t="s">
        <v>22834</v>
      </c>
      <c r="F6183" t="s">
        <v>30052</v>
      </c>
      <c r="G6183" t="s">
        <v>30062</v>
      </c>
      <c r="H6183" t="s">
        <v>15498</v>
      </c>
      <c r="I6183" t="s">
        <v>30076</v>
      </c>
      <c r="J6183" t="s">
        <v>30593</v>
      </c>
      <c r="K6183" t="s">
        <v>39017</v>
      </c>
      <c r="M6183" t="s">
        <v>41475</v>
      </c>
      <c r="N6183" t="s">
        <v>43166</v>
      </c>
      <c r="O6183" t="s">
        <v>43167</v>
      </c>
      <c r="P6183">
        <v>0</v>
      </c>
      <c r="Q6183">
        <v>4</v>
      </c>
      <c r="R6183" t="s">
        <v>43172</v>
      </c>
      <c r="S6183" t="s">
        <v>43334</v>
      </c>
      <c r="T6183" t="s">
        <v>44735</v>
      </c>
      <c r="U6183" t="s">
        <v>50227</v>
      </c>
      <c r="V6183" t="s">
        <v>57472</v>
      </c>
      <c r="W6183" t="s">
        <v>41475</v>
      </c>
      <c r="X6183" t="s">
        <v>43173</v>
      </c>
    </row>
    <row r="6184" spans="1:24">
      <c r="A6184">
        <f>HYPERLINK("https://www.philgeps.gov.ph/GEPSNONPILOT/Tender/SplashBidNoticeAbstractUI.aspx?menuIndex=3&amp;refID=7081237&amp;Result=3","7081237")</f>
        <v>0</v>
      </c>
      <c r="B6184" t="s">
        <v>141</v>
      </c>
      <c r="C6184" t="s">
        <v>9305</v>
      </c>
      <c r="D6184" t="s">
        <v>17447</v>
      </c>
      <c r="E6184" t="s">
        <v>22835</v>
      </c>
      <c r="F6184" t="s">
        <v>30052</v>
      </c>
      <c r="G6184" t="s">
        <v>30059</v>
      </c>
      <c r="H6184" t="s">
        <v>15498</v>
      </c>
      <c r="I6184" t="s">
        <v>30124</v>
      </c>
      <c r="J6184" t="s">
        <v>31057</v>
      </c>
      <c r="K6184" t="s">
        <v>39019</v>
      </c>
      <c r="M6184" t="s">
        <v>40098</v>
      </c>
      <c r="N6184" t="s">
        <v>43166</v>
      </c>
      <c r="O6184" t="s">
        <v>43167</v>
      </c>
      <c r="Q6184">
        <v>4</v>
      </c>
      <c r="R6184" t="s">
        <v>43172</v>
      </c>
      <c r="S6184" t="s">
        <v>43361</v>
      </c>
      <c r="T6184" t="s">
        <v>44785</v>
      </c>
      <c r="U6184" t="s">
        <v>50237</v>
      </c>
      <c r="V6184" t="s">
        <v>57475</v>
      </c>
      <c r="W6184" t="s">
        <v>40098</v>
      </c>
      <c r="X6184" t="s">
        <v>43173</v>
      </c>
    </row>
    <row r="6185" spans="1:24">
      <c r="A6185">
        <f>HYPERLINK("https://www.philgeps.gov.ph/GEPSNONPILOT/Tender/SplashBidNoticeAbstractUI.aspx?menuIndex=3&amp;refID=7081179&amp;Result=3","7081179")</f>
        <v>0</v>
      </c>
      <c r="B6185" t="s">
        <v>344</v>
      </c>
      <c r="C6185" t="s">
        <v>9306</v>
      </c>
      <c r="D6185" t="s">
        <v>17461</v>
      </c>
      <c r="E6185" t="s">
        <v>22836</v>
      </c>
      <c r="F6185" t="s">
        <v>30052</v>
      </c>
      <c r="G6185" t="s">
        <v>30058</v>
      </c>
      <c r="H6185" t="s">
        <v>15498</v>
      </c>
      <c r="I6185" t="s">
        <v>30071</v>
      </c>
      <c r="J6185" t="s">
        <v>34082</v>
      </c>
      <c r="K6185" t="s">
        <v>39023</v>
      </c>
      <c r="M6185" t="s">
        <v>39641</v>
      </c>
      <c r="N6185" t="s">
        <v>43166</v>
      </c>
      <c r="O6185" t="s">
        <v>43167</v>
      </c>
      <c r="P6185">
        <v>0</v>
      </c>
      <c r="Q6185">
        <v>1</v>
      </c>
      <c r="R6185" t="s">
        <v>43172</v>
      </c>
      <c r="S6185" t="s">
        <v>43334</v>
      </c>
      <c r="T6185" t="s">
        <v>45020</v>
      </c>
      <c r="U6185" t="s">
        <v>50238</v>
      </c>
      <c r="V6185" t="s">
        <v>57465</v>
      </c>
      <c r="W6185" t="s">
        <v>39641</v>
      </c>
      <c r="X6185" t="s">
        <v>43173</v>
      </c>
    </row>
    <row r="6186" spans="1:24">
      <c r="A6186">
        <f>HYPERLINK("https://www.philgeps.gov.ph/GEPSNONPILOT/Tender/SplashBidNoticeAbstractUI.aspx?menuIndex=3&amp;refID=7081210&amp;Result=3","7081210")</f>
        <v>0</v>
      </c>
      <c r="B6186" t="s">
        <v>1736</v>
      </c>
      <c r="C6186" t="s">
        <v>9307</v>
      </c>
      <c r="D6186" t="s">
        <v>17444</v>
      </c>
      <c r="E6186" t="s">
        <v>22837</v>
      </c>
      <c r="F6186" t="s">
        <v>30052</v>
      </c>
      <c r="G6186" t="s">
        <v>30061</v>
      </c>
      <c r="H6186" t="s">
        <v>15498</v>
      </c>
      <c r="I6186" t="s">
        <v>30081</v>
      </c>
      <c r="J6186" t="s">
        <v>30377</v>
      </c>
      <c r="K6186" t="s">
        <v>39034</v>
      </c>
      <c r="M6186" t="s">
        <v>41153</v>
      </c>
      <c r="N6186" t="s">
        <v>43166</v>
      </c>
      <c r="O6186" t="s">
        <v>43167</v>
      </c>
      <c r="P6186">
        <v>0</v>
      </c>
      <c r="Q6186">
        <v>0</v>
      </c>
      <c r="R6186" t="s">
        <v>43172</v>
      </c>
      <c r="S6186" t="s">
        <v>43334</v>
      </c>
      <c r="T6186" t="s">
        <v>44717</v>
      </c>
      <c r="U6186" t="s">
        <v>50239</v>
      </c>
      <c r="W6186" t="s">
        <v>41153</v>
      </c>
      <c r="X6186" t="s">
        <v>43173</v>
      </c>
    </row>
    <row r="6187" spans="1:24">
      <c r="A6187">
        <f>HYPERLINK("https://www.philgeps.gov.ph/GEPSNONPILOT/Tender/SplashBidNoticeAbstractUI.aspx?menuIndex=3&amp;refID=7081235&amp;Result=3","7081235")</f>
        <v>0</v>
      </c>
      <c r="B6187" t="s">
        <v>1475</v>
      </c>
      <c r="C6187" t="s">
        <v>9308</v>
      </c>
      <c r="D6187" t="s">
        <v>17466</v>
      </c>
      <c r="E6187" t="s">
        <v>19077</v>
      </c>
      <c r="F6187" t="s">
        <v>30052</v>
      </c>
      <c r="G6187" t="s">
        <v>30059</v>
      </c>
      <c r="H6187" t="s">
        <v>15498</v>
      </c>
      <c r="I6187" t="s">
        <v>5961</v>
      </c>
      <c r="J6187" t="s">
        <v>34083</v>
      </c>
      <c r="K6187" t="s">
        <v>39034</v>
      </c>
      <c r="M6187" t="s">
        <v>40857</v>
      </c>
      <c r="N6187" t="s">
        <v>43166</v>
      </c>
      <c r="O6187" t="s">
        <v>43167</v>
      </c>
      <c r="P6187">
        <v>0</v>
      </c>
      <c r="Q6187">
        <v>1</v>
      </c>
      <c r="R6187" t="s">
        <v>43172</v>
      </c>
      <c r="S6187" t="s">
        <v>43334</v>
      </c>
      <c r="T6187" t="s">
        <v>44844</v>
      </c>
      <c r="U6187" t="s">
        <v>50240</v>
      </c>
      <c r="W6187" t="s">
        <v>58640</v>
      </c>
      <c r="X6187" t="s">
        <v>43173</v>
      </c>
    </row>
    <row r="6188" spans="1:24">
      <c r="A6188">
        <f>HYPERLINK("https://www.philgeps.gov.ph/GEPSNONPILOT/Tender/SplashBidNoticeAbstractUI.aspx?menuIndex=3&amp;refID=7081231&amp;Result=3","7081231")</f>
        <v>0</v>
      </c>
      <c r="B6188" t="s">
        <v>1028</v>
      </c>
      <c r="C6188" t="s">
        <v>9309</v>
      </c>
      <c r="D6188" t="s">
        <v>17450</v>
      </c>
      <c r="E6188" t="s">
        <v>22838</v>
      </c>
      <c r="F6188" t="s">
        <v>30052</v>
      </c>
      <c r="G6188" t="s">
        <v>30059</v>
      </c>
      <c r="H6188" t="s">
        <v>15498</v>
      </c>
      <c r="I6188" t="s">
        <v>6691</v>
      </c>
      <c r="J6188" t="s">
        <v>33705</v>
      </c>
      <c r="K6188" t="s">
        <v>39035</v>
      </c>
      <c r="M6188" t="s">
        <v>40357</v>
      </c>
      <c r="N6188" t="s">
        <v>43166</v>
      </c>
      <c r="O6188" t="s">
        <v>43167</v>
      </c>
      <c r="P6188">
        <v>0</v>
      </c>
      <c r="Q6188">
        <v>0</v>
      </c>
      <c r="R6188" t="s">
        <v>43172</v>
      </c>
      <c r="S6188" t="s">
        <v>43334</v>
      </c>
      <c r="T6188" t="s">
        <v>44691</v>
      </c>
      <c r="U6188" t="s">
        <v>47341</v>
      </c>
      <c r="W6188" t="s">
        <v>40357</v>
      </c>
      <c r="X6188" t="s">
        <v>43173</v>
      </c>
    </row>
    <row r="6189" spans="1:24">
      <c r="A6189">
        <f>HYPERLINK("https://www.philgeps.gov.ph/GEPSNONPILOT/Tender/SplashBidNoticeAbstractUI.aspx?menuIndex=3&amp;refID=7081199&amp;Result=3","7081199")</f>
        <v>0</v>
      </c>
      <c r="B6189" t="s">
        <v>2030</v>
      </c>
      <c r="C6189" t="s">
        <v>9310</v>
      </c>
      <c r="D6189" t="s">
        <v>17444</v>
      </c>
      <c r="E6189" t="s">
        <v>22839</v>
      </c>
      <c r="F6189" t="s">
        <v>30052</v>
      </c>
      <c r="G6189" t="s">
        <v>30059</v>
      </c>
      <c r="H6189" t="s">
        <v>15498</v>
      </c>
      <c r="I6189" t="s">
        <v>30096</v>
      </c>
      <c r="J6189" t="s">
        <v>30612</v>
      </c>
      <c r="K6189" t="s">
        <v>39029</v>
      </c>
      <c r="M6189" t="s">
        <v>41478</v>
      </c>
      <c r="N6189" t="s">
        <v>43166</v>
      </c>
      <c r="O6189" t="s">
        <v>43167</v>
      </c>
      <c r="P6189">
        <v>0</v>
      </c>
      <c r="Q6189">
        <v>1</v>
      </c>
      <c r="R6189" t="s">
        <v>43172</v>
      </c>
      <c r="S6189" t="s">
        <v>43334</v>
      </c>
      <c r="T6189" t="s">
        <v>44943</v>
      </c>
      <c r="U6189" t="s">
        <v>50241</v>
      </c>
      <c r="W6189" t="s">
        <v>41478</v>
      </c>
      <c r="X6189" t="s">
        <v>43173</v>
      </c>
    </row>
    <row r="6190" spans="1:24">
      <c r="A6190">
        <f>HYPERLINK("https://www.philgeps.gov.ph/GEPSNONPILOT/Tender/SplashBidNoticeAbstractUI.aspx?menuIndex=3&amp;refID=7081180&amp;Result=3","7081180")</f>
        <v>0</v>
      </c>
      <c r="B6190" t="s">
        <v>1273</v>
      </c>
      <c r="C6190" t="s">
        <v>9311</v>
      </c>
      <c r="D6190" t="s">
        <v>17434</v>
      </c>
      <c r="E6190" t="s">
        <v>22840</v>
      </c>
      <c r="F6190" t="s">
        <v>30052</v>
      </c>
      <c r="G6190" t="s">
        <v>30058</v>
      </c>
      <c r="H6190" t="s">
        <v>15498</v>
      </c>
      <c r="I6190" t="s">
        <v>8323</v>
      </c>
      <c r="J6190" t="s">
        <v>30207</v>
      </c>
      <c r="K6190" t="s">
        <v>39029</v>
      </c>
      <c r="M6190" t="s">
        <v>40633</v>
      </c>
      <c r="N6190" t="s">
        <v>43166</v>
      </c>
      <c r="O6190" t="s">
        <v>43167</v>
      </c>
      <c r="P6190">
        <v>0</v>
      </c>
      <c r="Q6190">
        <v>9</v>
      </c>
      <c r="R6190" t="s">
        <v>43172</v>
      </c>
      <c r="S6190" t="s">
        <v>43334</v>
      </c>
      <c r="T6190" t="s">
        <v>44736</v>
      </c>
      <c r="U6190" t="s">
        <v>50242</v>
      </c>
      <c r="W6190" t="s">
        <v>40633</v>
      </c>
      <c r="X6190" t="s">
        <v>43173</v>
      </c>
    </row>
    <row r="6191" spans="1:24">
      <c r="A6191">
        <f>HYPERLINK("https://www.philgeps.gov.ph/GEPSNONPILOT/Tender/SplashBidNoticeAbstractUI.aspx?menuIndex=3&amp;refID=7081054&amp;Result=3","7081054")</f>
        <v>0</v>
      </c>
      <c r="B6191" t="s">
        <v>1963</v>
      </c>
      <c r="C6191" t="s">
        <v>9312</v>
      </c>
      <c r="D6191" t="s">
        <v>17427</v>
      </c>
      <c r="E6191" t="s">
        <v>18646</v>
      </c>
      <c r="F6191" t="s">
        <v>30052</v>
      </c>
      <c r="G6191" t="s">
        <v>30058</v>
      </c>
      <c r="H6191" t="s">
        <v>30067</v>
      </c>
      <c r="I6191" t="s">
        <v>3693</v>
      </c>
      <c r="J6191" t="s">
        <v>30337</v>
      </c>
      <c r="K6191" t="s">
        <v>39029</v>
      </c>
      <c r="M6191" t="s">
        <v>41400</v>
      </c>
      <c r="N6191" t="s">
        <v>43166</v>
      </c>
      <c r="O6191" t="s">
        <v>43167</v>
      </c>
      <c r="P6191">
        <v>0</v>
      </c>
      <c r="Q6191">
        <v>0</v>
      </c>
      <c r="R6191" t="s">
        <v>43172</v>
      </c>
      <c r="S6191" t="s">
        <v>43334</v>
      </c>
      <c r="T6191" t="s">
        <v>45031</v>
      </c>
      <c r="U6191" t="s">
        <v>50243</v>
      </c>
      <c r="V6191" t="s">
        <v>50243</v>
      </c>
      <c r="W6191" t="s">
        <v>41400</v>
      </c>
      <c r="X6191" t="s">
        <v>43173</v>
      </c>
    </row>
    <row r="6192" spans="1:24">
      <c r="A6192">
        <f>HYPERLINK("https://www.philgeps.gov.ph/GEPSNONPILOT/Tender/SplashBidNoticeAbstractUI.aspx?menuIndex=3&amp;refID=7081234&amp;Result=3","7081234")</f>
        <v>0</v>
      </c>
      <c r="B6192" t="s">
        <v>1190</v>
      </c>
      <c r="C6192" t="s">
        <v>9313</v>
      </c>
      <c r="D6192" t="s">
        <v>17415</v>
      </c>
      <c r="E6192" t="s">
        <v>22841</v>
      </c>
      <c r="F6192" t="s">
        <v>30052</v>
      </c>
      <c r="G6192" t="s">
        <v>30059</v>
      </c>
      <c r="H6192" t="s">
        <v>15498</v>
      </c>
      <c r="I6192" t="s">
        <v>30103</v>
      </c>
      <c r="J6192" t="s">
        <v>30359</v>
      </c>
      <c r="K6192" t="s">
        <v>39017</v>
      </c>
      <c r="M6192" t="s">
        <v>40543</v>
      </c>
      <c r="N6192" t="s">
        <v>43166</v>
      </c>
      <c r="O6192" t="s">
        <v>43167</v>
      </c>
      <c r="P6192">
        <v>0</v>
      </c>
      <c r="Q6192">
        <v>10</v>
      </c>
      <c r="R6192" t="s">
        <v>43172</v>
      </c>
      <c r="S6192" t="s">
        <v>43334</v>
      </c>
      <c r="T6192" t="s">
        <v>44691</v>
      </c>
      <c r="U6192" t="s">
        <v>50244</v>
      </c>
      <c r="W6192" t="s">
        <v>40543</v>
      </c>
      <c r="X6192" t="s">
        <v>43173</v>
      </c>
    </row>
    <row r="6193" spans="1:24">
      <c r="A6193">
        <f>HYPERLINK("https://www.philgeps.gov.ph/GEPSNONPILOT/Tender/SplashBidNoticeAbstractUI.aspx?menuIndex=3&amp;refID=7081232&amp;Result=3","7081232")</f>
        <v>0</v>
      </c>
      <c r="B6193" t="s">
        <v>1273</v>
      </c>
      <c r="C6193" t="s">
        <v>9314</v>
      </c>
      <c r="D6193" t="s">
        <v>17434</v>
      </c>
      <c r="E6193" t="s">
        <v>22842</v>
      </c>
      <c r="F6193" t="s">
        <v>30052</v>
      </c>
      <c r="G6193" t="s">
        <v>30058</v>
      </c>
      <c r="H6193" t="s">
        <v>15498</v>
      </c>
      <c r="I6193" t="s">
        <v>30105</v>
      </c>
      <c r="J6193" t="s">
        <v>31272</v>
      </c>
      <c r="K6193" t="s">
        <v>39029</v>
      </c>
      <c r="M6193" t="s">
        <v>40633</v>
      </c>
      <c r="N6193" t="s">
        <v>43166</v>
      </c>
      <c r="O6193" t="s">
        <v>43167</v>
      </c>
      <c r="P6193">
        <v>0</v>
      </c>
      <c r="Q6193">
        <v>7</v>
      </c>
      <c r="R6193" t="s">
        <v>43172</v>
      </c>
      <c r="S6193" t="s">
        <v>43334</v>
      </c>
      <c r="T6193" t="s">
        <v>44736</v>
      </c>
      <c r="U6193" t="s">
        <v>50245</v>
      </c>
      <c r="W6193" t="s">
        <v>40633</v>
      </c>
      <c r="X6193" t="s">
        <v>43173</v>
      </c>
    </row>
    <row r="6194" spans="1:24">
      <c r="A6194">
        <f>HYPERLINK("https://www.philgeps.gov.ph/GEPSNONPILOT/Tender/SplashBidNoticeAbstractUI.aspx?menuIndex=3&amp;refID=7081226&amp;Result=3","7081226")</f>
        <v>0</v>
      </c>
      <c r="B6194" t="s">
        <v>813</v>
      </c>
      <c r="C6194" t="s">
        <v>9315</v>
      </c>
      <c r="D6194" t="s">
        <v>17426</v>
      </c>
      <c r="E6194" t="s">
        <v>17650</v>
      </c>
      <c r="F6194" t="s">
        <v>30052</v>
      </c>
      <c r="G6194" t="s">
        <v>30059</v>
      </c>
      <c r="H6194" t="s">
        <v>15498</v>
      </c>
      <c r="I6194" t="s">
        <v>30070</v>
      </c>
      <c r="J6194" t="s">
        <v>34084</v>
      </c>
      <c r="K6194" t="s">
        <v>39039</v>
      </c>
      <c r="M6194" t="s">
        <v>40130</v>
      </c>
      <c r="N6194" t="s">
        <v>43166</v>
      </c>
      <c r="O6194" t="s">
        <v>43167</v>
      </c>
      <c r="P6194">
        <v>0</v>
      </c>
      <c r="Q6194">
        <v>1</v>
      </c>
      <c r="R6194" t="s">
        <v>43172</v>
      </c>
      <c r="S6194" t="s">
        <v>43334</v>
      </c>
      <c r="T6194" t="s">
        <v>44894</v>
      </c>
      <c r="U6194" t="s">
        <v>50138</v>
      </c>
      <c r="W6194" t="s">
        <v>40130</v>
      </c>
      <c r="X6194" t="s">
        <v>43173</v>
      </c>
    </row>
    <row r="6195" spans="1:24">
      <c r="A6195">
        <f>HYPERLINK("https://www.philgeps.gov.ph/GEPSNONPILOT/Tender/SplashBidNoticeAbstractUI.aspx?menuIndex=3&amp;refID=7081269&amp;Result=3","7081269")</f>
        <v>0</v>
      </c>
      <c r="B6195" t="s">
        <v>1682</v>
      </c>
      <c r="C6195" t="s">
        <v>9316</v>
      </c>
      <c r="D6195" t="s">
        <v>17453</v>
      </c>
      <c r="E6195" t="s">
        <v>22843</v>
      </c>
      <c r="F6195" t="s">
        <v>30052</v>
      </c>
      <c r="G6195" t="s">
        <v>30059</v>
      </c>
      <c r="H6195" t="s">
        <v>30067</v>
      </c>
      <c r="I6195" t="s">
        <v>3693</v>
      </c>
      <c r="J6195" t="s">
        <v>34085</v>
      </c>
      <c r="K6195" t="s">
        <v>39045</v>
      </c>
      <c r="M6195" t="s">
        <v>41479</v>
      </c>
      <c r="N6195" t="s">
        <v>43166</v>
      </c>
      <c r="O6195" t="s">
        <v>43167</v>
      </c>
      <c r="P6195">
        <v>0</v>
      </c>
      <c r="Q6195">
        <v>1</v>
      </c>
      <c r="R6195" t="s">
        <v>43172</v>
      </c>
      <c r="S6195" t="s">
        <v>43334</v>
      </c>
      <c r="T6195" t="s">
        <v>44691</v>
      </c>
      <c r="U6195" t="s">
        <v>50246</v>
      </c>
      <c r="W6195" t="s">
        <v>41479</v>
      </c>
      <c r="X6195" t="s">
        <v>43173</v>
      </c>
    </row>
    <row r="6196" spans="1:24">
      <c r="A6196">
        <f>HYPERLINK("https://www.philgeps.gov.ph/GEPSNONPILOT/Tender/SplashBidNoticeAbstractUI.aspx?menuIndex=3&amp;refID=7081266&amp;Result=3","7081266")</f>
        <v>0</v>
      </c>
      <c r="B6196" t="s">
        <v>2031</v>
      </c>
      <c r="C6196" t="s">
        <v>9317</v>
      </c>
      <c r="D6196" t="s">
        <v>17415</v>
      </c>
      <c r="E6196" t="s">
        <v>22844</v>
      </c>
      <c r="F6196" t="s">
        <v>30052</v>
      </c>
      <c r="G6196" t="s">
        <v>30059</v>
      </c>
      <c r="H6196" t="s">
        <v>15498</v>
      </c>
      <c r="I6196" t="s">
        <v>8323</v>
      </c>
      <c r="J6196" t="s">
        <v>30209</v>
      </c>
      <c r="K6196" t="s">
        <v>39019</v>
      </c>
      <c r="M6196" t="s">
        <v>41480</v>
      </c>
      <c r="N6196" t="s">
        <v>43166</v>
      </c>
      <c r="O6196" t="s">
        <v>43167</v>
      </c>
      <c r="P6196">
        <v>0</v>
      </c>
      <c r="Q6196">
        <v>20</v>
      </c>
      <c r="R6196" t="s">
        <v>43172</v>
      </c>
      <c r="S6196" t="s">
        <v>43334</v>
      </c>
      <c r="T6196" t="s">
        <v>44837</v>
      </c>
      <c r="U6196" t="s">
        <v>50247</v>
      </c>
      <c r="V6196" t="s">
        <v>57476</v>
      </c>
      <c r="W6196" t="s">
        <v>41480</v>
      </c>
      <c r="X6196" t="s">
        <v>43173</v>
      </c>
    </row>
    <row r="6197" spans="1:24">
      <c r="A6197">
        <f>HYPERLINK("https://www.philgeps.gov.ph/GEPSNONPILOT/Tender/SplashBidNoticeAbstractUI.aspx?menuIndex=3&amp;refID=7081264&amp;Result=3","7081264")</f>
        <v>0</v>
      </c>
      <c r="B6197" t="s">
        <v>400</v>
      </c>
      <c r="C6197" t="s">
        <v>9318</v>
      </c>
      <c r="D6197" t="s">
        <v>17422</v>
      </c>
      <c r="E6197" t="s">
        <v>22845</v>
      </c>
      <c r="F6197" t="s">
        <v>30052</v>
      </c>
      <c r="G6197" t="s">
        <v>30058</v>
      </c>
      <c r="H6197" t="s">
        <v>30067</v>
      </c>
      <c r="I6197" t="s">
        <v>3693</v>
      </c>
      <c r="J6197" t="s">
        <v>34086</v>
      </c>
      <c r="K6197" t="s">
        <v>39061</v>
      </c>
      <c r="M6197" t="s">
        <v>39699</v>
      </c>
      <c r="N6197" t="s">
        <v>43166</v>
      </c>
      <c r="O6197" t="s">
        <v>43167</v>
      </c>
      <c r="P6197">
        <v>0</v>
      </c>
      <c r="Q6197">
        <v>1</v>
      </c>
      <c r="R6197" t="s">
        <v>43172</v>
      </c>
      <c r="S6197" t="s">
        <v>43334</v>
      </c>
      <c r="T6197" t="s">
        <v>44787</v>
      </c>
      <c r="U6197" t="s">
        <v>50248</v>
      </c>
      <c r="W6197" t="s">
        <v>39699</v>
      </c>
      <c r="X6197" t="s">
        <v>43173</v>
      </c>
    </row>
    <row r="6198" spans="1:24">
      <c r="A6198">
        <f>HYPERLINK("https://www.philgeps.gov.ph/GEPSNONPILOT/Tender/SplashBidNoticeAbstractUI.aspx?menuIndex=3&amp;refID=7081263&amp;Result=3","7081263")</f>
        <v>0</v>
      </c>
      <c r="B6198" t="s">
        <v>2032</v>
      </c>
      <c r="C6198" t="s">
        <v>9319</v>
      </c>
      <c r="D6198" t="s">
        <v>17461</v>
      </c>
      <c r="E6198" t="s">
        <v>22846</v>
      </c>
      <c r="F6198" t="s">
        <v>30052</v>
      </c>
      <c r="G6198" t="s">
        <v>30058</v>
      </c>
      <c r="H6198" t="s">
        <v>15498</v>
      </c>
      <c r="I6198" t="s">
        <v>3736</v>
      </c>
      <c r="J6198" t="s">
        <v>34087</v>
      </c>
      <c r="K6198" t="s">
        <v>39037</v>
      </c>
      <c r="L6198" t="s">
        <v>2032</v>
      </c>
      <c r="M6198" t="s">
        <v>41481</v>
      </c>
      <c r="N6198" t="s">
        <v>43166</v>
      </c>
      <c r="O6198" t="s">
        <v>43167</v>
      </c>
      <c r="P6198">
        <v>0</v>
      </c>
      <c r="Q6198">
        <v>0</v>
      </c>
      <c r="R6198" t="s">
        <v>43172</v>
      </c>
      <c r="S6198" t="s">
        <v>43334</v>
      </c>
      <c r="T6198" t="s">
        <v>44678</v>
      </c>
      <c r="U6198" t="s">
        <v>50249</v>
      </c>
      <c r="W6198" t="s">
        <v>41481</v>
      </c>
      <c r="X6198" t="s">
        <v>43173</v>
      </c>
    </row>
    <row r="6199" spans="1:24">
      <c r="A6199">
        <f>HYPERLINK("https://www.philgeps.gov.ph/GEPSNONPILOT/Tender/SplashBidNoticeAbstractUI.aspx?menuIndex=3&amp;refID=7081202&amp;Result=3","7081202")</f>
        <v>0</v>
      </c>
      <c r="B6199" t="s">
        <v>268</v>
      </c>
      <c r="C6199" t="s">
        <v>9292</v>
      </c>
      <c r="D6199" t="s">
        <v>17459</v>
      </c>
      <c r="E6199" t="s">
        <v>22847</v>
      </c>
      <c r="F6199" t="s">
        <v>30052</v>
      </c>
      <c r="G6199" t="s">
        <v>30059</v>
      </c>
      <c r="H6199" t="s">
        <v>15498</v>
      </c>
      <c r="I6199" t="s">
        <v>30096</v>
      </c>
      <c r="J6199" t="s">
        <v>34088</v>
      </c>
      <c r="K6199" t="s">
        <v>39018</v>
      </c>
      <c r="M6199" t="s">
        <v>39561</v>
      </c>
      <c r="N6199" t="s">
        <v>43166</v>
      </c>
      <c r="O6199" t="s">
        <v>43167</v>
      </c>
      <c r="P6199">
        <v>0</v>
      </c>
      <c r="Q6199">
        <v>2</v>
      </c>
      <c r="R6199" t="s">
        <v>43172</v>
      </c>
      <c r="S6199" t="s">
        <v>43334</v>
      </c>
      <c r="T6199" t="s">
        <v>44837</v>
      </c>
      <c r="U6199" t="s">
        <v>50250</v>
      </c>
      <c r="W6199" t="s">
        <v>39561</v>
      </c>
      <c r="X6199" t="s">
        <v>43173</v>
      </c>
    </row>
    <row r="6200" spans="1:24">
      <c r="A6200">
        <f>HYPERLINK("https://www.philgeps.gov.ph/GEPSNONPILOT/Tender/SplashBidNoticeAbstractUI.aspx?menuIndex=3&amp;refID=7081262&amp;Result=3","7081262")</f>
        <v>0</v>
      </c>
      <c r="B6200" t="s">
        <v>1094</v>
      </c>
      <c r="C6200" t="s">
        <v>9320</v>
      </c>
      <c r="D6200" t="s">
        <v>17464</v>
      </c>
      <c r="E6200" t="s">
        <v>22848</v>
      </c>
      <c r="F6200" t="s">
        <v>30052</v>
      </c>
      <c r="G6200" t="s">
        <v>30059</v>
      </c>
      <c r="H6200" t="s">
        <v>15498</v>
      </c>
      <c r="I6200" t="s">
        <v>30070</v>
      </c>
      <c r="J6200" t="s">
        <v>30377</v>
      </c>
      <c r="K6200" t="s">
        <v>39017</v>
      </c>
      <c r="M6200" t="s">
        <v>40432</v>
      </c>
      <c r="N6200" t="s">
        <v>43166</v>
      </c>
      <c r="O6200" t="s">
        <v>43167</v>
      </c>
      <c r="P6200">
        <v>0</v>
      </c>
      <c r="Q6200">
        <v>7</v>
      </c>
      <c r="R6200" t="s">
        <v>43172</v>
      </c>
      <c r="S6200" t="s">
        <v>43334</v>
      </c>
      <c r="T6200" t="s">
        <v>44717</v>
      </c>
      <c r="U6200" t="s">
        <v>50251</v>
      </c>
      <c r="W6200" t="s">
        <v>40432</v>
      </c>
      <c r="X6200" t="s">
        <v>43173</v>
      </c>
    </row>
    <row r="6201" spans="1:24">
      <c r="A6201">
        <f>HYPERLINK("https://www.philgeps.gov.ph/GEPSNONPILOT/Tender/SplashBidNoticeAbstractUI.aspx?menuIndex=3&amp;refID=7081270&amp;Result=3","7081270")</f>
        <v>0</v>
      </c>
      <c r="B6201" t="s">
        <v>1028</v>
      </c>
      <c r="C6201" t="s">
        <v>9321</v>
      </c>
      <c r="D6201" t="s">
        <v>17450</v>
      </c>
      <c r="E6201" t="s">
        <v>22849</v>
      </c>
      <c r="F6201" t="s">
        <v>30052</v>
      </c>
      <c r="G6201" t="s">
        <v>30059</v>
      </c>
      <c r="H6201" t="s">
        <v>15498</v>
      </c>
      <c r="I6201" t="s">
        <v>6691</v>
      </c>
      <c r="J6201" t="s">
        <v>34089</v>
      </c>
      <c r="K6201" t="s">
        <v>39035</v>
      </c>
      <c r="M6201" t="s">
        <v>40357</v>
      </c>
      <c r="N6201" t="s">
        <v>43166</v>
      </c>
      <c r="O6201" t="s">
        <v>43167</v>
      </c>
      <c r="P6201">
        <v>0</v>
      </c>
      <c r="Q6201">
        <v>0</v>
      </c>
      <c r="R6201" t="s">
        <v>43172</v>
      </c>
      <c r="S6201" t="s">
        <v>43334</v>
      </c>
      <c r="T6201" t="s">
        <v>44691</v>
      </c>
      <c r="U6201" t="s">
        <v>47341</v>
      </c>
      <c r="W6201" t="s">
        <v>40357</v>
      </c>
      <c r="X6201" t="s">
        <v>43173</v>
      </c>
    </row>
    <row r="6202" spans="1:24">
      <c r="A6202">
        <f>HYPERLINK("https://www.philgeps.gov.ph/GEPSNONPILOT/Tender/SplashBidNoticeAbstractUI.aspx?menuIndex=3&amp;refID=7081257&amp;Result=3","7081257")</f>
        <v>0</v>
      </c>
      <c r="B6202" t="s">
        <v>2008</v>
      </c>
      <c r="C6202" t="s">
        <v>9322</v>
      </c>
      <c r="D6202" t="s">
        <v>17459</v>
      </c>
      <c r="E6202" t="s">
        <v>17922</v>
      </c>
      <c r="F6202" t="s">
        <v>30052</v>
      </c>
      <c r="G6202" t="s">
        <v>30058</v>
      </c>
      <c r="H6202" t="s">
        <v>30067</v>
      </c>
      <c r="I6202" t="s">
        <v>3693</v>
      </c>
      <c r="J6202" t="s">
        <v>30222</v>
      </c>
      <c r="K6202" t="s">
        <v>39065</v>
      </c>
      <c r="M6202" t="s">
        <v>41452</v>
      </c>
      <c r="N6202" t="s">
        <v>43166</v>
      </c>
      <c r="O6202" t="s">
        <v>43167</v>
      </c>
      <c r="P6202">
        <v>0</v>
      </c>
      <c r="Q6202">
        <v>0</v>
      </c>
      <c r="R6202" t="s">
        <v>43172</v>
      </c>
      <c r="S6202" t="s">
        <v>43334</v>
      </c>
      <c r="T6202" t="s">
        <v>44796</v>
      </c>
      <c r="U6202" t="s">
        <v>50252</v>
      </c>
      <c r="W6202" t="s">
        <v>41452</v>
      </c>
      <c r="X6202" t="s">
        <v>43173</v>
      </c>
    </row>
    <row r="6203" spans="1:24">
      <c r="A6203">
        <f>HYPERLINK("https://www.philgeps.gov.ph/GEPSNONPILOT/Tender/SplashBidNoticeAbstractUI.aspx?menuIndex=3&amp;refID=7081223&amp;Result=3","7081223")</f>
        <v>0</v>
      </c>
      <c r="B6203" t="s">
        <v>1454</v>
      </c>
      <c r="C6203" t="s">
        <v>9323</v>
      </c>
      <c r="D6203" t="s">
        <v>17460</v>
      </c>
      <c r="E6203" t="s">
        <v>20684</v>
      </c>
      <c r="F6203" t="s">
        <v>30052</v>
      </c>
      <c r="G6203" t="s">
        <v>30058</v>
      </c>
      <c r="H6203" t="s">
        <v>15498</v>
      </c>
      <c r="I6203" t="s">
        <v>3736</v>
      </c>
      <c r="J6203" t="s">
        <v>34090</v>
      </c>
      <c r="K6203" t="s">
        <v>39057</v>
      </c>
      <c r="M6203" t="s">
        <v>40833</v>
      </c>
      <c r="N6203" t="s">
        <v>43166</v>
      </c>
      <c r="O6203" t="s">
        <v>43167</v>
      </c>
      <c r="P6203">
        <v>0</v>
      </c>
      <c r="Q6203">
        <v>9</v>
      </c>
      <c r="R6203" t="s">
        <v>43172</v>
      </c>
      <c r="S6203" t="s">
        <v>43334</v>
      </c>
      <c r="T6203" t="s">
        <v>44767</v>
      </c>
      <c r="U6203" t="s">
        <v>50253</v>
      </c>
      <c r="W6203" t="s">
        <v>40833</v>
      </c>
      <c r="X6203" t="s">
        <v>43173</v>
      </c>
    </row>
    <row r="6204" spans="1:24">
      <c r="A6204">
        <f>HYPERLINK("https://www.philgeps.gov.ph/GEPSNONPILOT/Tender/SplashBidNoticeAbstractUI.aspx?menuIndex=3&amp;refID=7081260&amp;Result=3","7081260")</f>
        <v>0</v>
      </c>
      <c r="B6204" t="s">
        <v>2033</v>
      </c>
      <c r="C6204" t="s">
        <v>9324</v>
      </c>
      <c r="D6204" t="s">
        <v>17448</v>
      </c>
      <c r="E6204" t="s">
        <v>22850</v>
      </c>
      <c r="F6204" t="s">
        <v>30052</v>
      </c>
      <c r="G6204" t="s">
        <v>30058</v>
      </c>
      <c r="H6204" t="s">
        <v>30067</v>
      </c>
      <c r="I6204" t="s">
        <v>3693</v>
      </c>
      <c r="J6204" t="s">
        <v>30281</v>
      </c>
      <c r="K6204" t="s">
        <v>39031</v>
      </c>
      <c r="M6204" t="s">
        <v>41482</v>
      </c>
      <c r="N6204" t="s">
        <v>43166</v>
      </c>
      <c r="O6204" t="s">
        <v>43167</v>
      </c>
      <c r="P6204">
        <v>0</v>
      </c>
      <c r="Q6204">
        <v>1</v>
      </c>
      <c r="R6204" t="s">
        <v>43172</v>
      </c>
      <c r="S6204" t="s">
        <v>43334</v>
      </c>
      <c r="T6204" t="s">
        <v>44842</v>
      </c>
      <c r="U6204" t="s">
        <v>50254</v>
      </c>
      <c r="W6204" t="s">
        <v>41482</v>
      </c>
      <c r="X6204" t="s">
        <v>43173</v>
      </c>
    </row>
    <row r="6205" spans="1:24">
      <c r="A6205">
        <f>HYPERLINK("https://www.philgeps.gov.ph/GEPSNONPILOT/Tender/SplashBidNoticeAbstractUI.aspx?menuIndex=3&amp;refID=7081230&amp;Result=3","7081230")</f>
        <v>0</v>
      </c>
      <c r="B6205" t="s">
        <v>1475</v>
      </c>
      <c r="C6205" t="s">
        <v>9325</v>
      </c>
      <c r="D6205" t="s">
        <v>17466</v>
      </c>
      <c r="E6205" t="s">
        <v>18728</v>
      </c>
      <c r="F6205" t="s">
        <v>30052</v>
      </c>
      <c r="G6205" t="s">
        <v>30059</v>
      </c>
      <c r="H6205" t="s">
        <v>15498</v>
      </c>
      <c r="I6205" t="s">
        <v>30097</v>
      </c>
      <c r="J6205" t="s">
        <v>34091</v>
      </c>
      <c r="K6205" t="s">
        <v>39034</v>
      </c>
      <c r="M6205" t="s">
        <v>40857</v>
      </c>
      <c r="N6205" t="s">
        <v>43166</v>
      </c>
      <c r="O6205" t="s">
        <v>43167</v>
      </c>
      <c r="P6205">
        <v>0</v>
      </c>
      <c r="Q6205">
        <v>1</v>
      </c>
      <c r="R6205" t="s">
        <v>43172</v>
      </c>
      <c r="S6205" t="s">
        <v>43334</v>
      </c>
      <c r="T6205" t="s">
        <v>44844</v>
      </c>
      <c r="U6205" t="s">
        <v>50255</v>
      </c>
      <c r="W6205" t="s">
        <v>58640</v>
      </c>
      <c r="X6205" t="s">
        <v>43173</v>
      </c>
    </row>
    <row r="6206" spans="1:24">
      <c r="A6206">
        <f>HYPERLINK("https://www.philgeps.gov.ph/GEPSNONPILOT/Tender/SplashBidNoticeAbstractUI.aspx?menuIndex=3&amp;refID=7081279&amp;Result=3","7081279")</f>
        <v>0</v>
      </c>
      <c r="B6206" t="s">
        <v>940</v>
      </c>
      <c r="C6206" t="s">
        <v>9326</v>
      </c>
      <c r="D6206" t="s">
        <v>17449</v>
      </c>
      <c r="E6206" t="s">
        <v>22851</v>
      </c>
      <c r="F6206" t="s">
        <v>30052</v>
      </c>
      <c r="G6206" t="s">
        <v>30060</v>
      </c>
      <c r="H6206" t="s">
        <v>30067</v>
      </c>
      <c r="I6206" t="s">
        <v>3693</v>
      </c>
      <c r="J6206" t="s">
        <v>30227</v>
      </c>
      <c r="K6206" t="s">
        <v>39023</v>
      </c>
      <c r="M6206" t="s">
        <v>40264</v>
      </c>
      <c r="N6206" t="s">
        <v>43166</v>
      </c>
      <c r="O6206" t="s">
        <v>43167</v>
      </c>
      <c r="P6206">
        <v>0</v>
      </c>
      <c r="Q6206">
        <v>0</v>
      </c>
      <c r="R6206" t="s">
        <v>43172</v>
      </c>
      <c r="S6206" t="s">
        <v>43334</v>
      </c>
      <c r="T6206" t="s">
        <v>44737</v>
      </c>
      <c r="U6206" t="s">
        <v>50256</v>
      </c>
      <c r="W6206" t="s">
        <v>40264</v>
      </c>
      <c r="X6206" t="s">
        <v>43173</v>
      </c>
    </row>
    <row r="6207" spans="1:24">
      <c r="A6207">
        <f>HYPERLINK("https://www.philgeps.gov.ph/GEPSNONPILOT/Tender/SplashBidNoticeAbstractUI.aspx?menuIndex=3&amp;refID=7081224&amp;Result=3","7081224")</f>
        <v>0</v>
      </c>
      <c r="B6207" t="s">
        <v>1988</v>
      </c>
      <c r="C6207" t="s">
        <v>9327</v>
      </c>
      <c r="D6207" t="s">
        <v>17448</v>
      </c>
      <c r="E6207" t="s">
        <v>22852</v>
      </c>
      <c r="F6207" t="s">
        <v>30052</v>
      </c>
      <c r="G6207" t="s">
        <v>30061</v>
      </c>
      <c r="H6207" t="s">
        <v>15498</v>
      </c>
      <c r="I6207" t="s">
        <v>30088</v>
      </c>
      <c r="J6207" t="s">
        <v>30327</v>
      </c>
      <c r="K6207" t="s">
        <v>39017</v>
      </c>
      <c r="M6207" t="s">
        <v>41430</v>
      </c>
      <c r="N6207" t="s">
        <v>43166</v>
      </c>
      <c r="O6207" t="s">
        <v>43167</v>
      </c>
      <c r="P6207">
        <v>0</v>
      </c>
      <c r="Q6207">
        <v>2</v>
      </c>
      <c r="R6207" t="s">
        <v>43172</v>
      </c>
      <c r="S6207" t="s">
        <v>43334</v>
      </c>
      <c r="T6207" t="s">
        <v>44870</v>
      </c>
      <c r="U6207" t="s">
        <v>50257</v>
      </c>
      <c r="W6207" t="s">
        <v>41430</v>
      </c>
      <c r="X6207" t="s">
        <v>43173</v>
      </c>
    </row>
    <row r="6208" spans="1:24">
      <c r="A6208">
        <f>HYPERLINK("https://www.philgeps.gov.ph/GEPSNONPILOT/Tender/SplashBidNoticeAbstractUI.aspx?menuIndex=3&amp;refID=7081255&amp;Result=3","7081255")</f>
        <v>0</v>
      </c>
      <c r="B6208" t="s">
        <v>1273</v>
      </c>
      <c r="C6208" t="s">
        <v>9328</v>
      </c>
      <c r="D6208" t="s">
        <v>17434</v>
      </c>
      <c r="E6208" t="s">
        <v>22853</v>
      </c>
      <c r="F6208" t="s">
        <v>30052</v>
      </c>
      <c r="G6208" t="s">
        <v>30058</v>
      </c>
      <c r="H6208" t="s">
        <v>15498</v>
      </c>
      <c r="I6208" t="s">
        <v>4650</v>
      </c>
      <c r="J6208" t="s">
        <v>30230</v>
      </c>
      <c r="K6208" t="s">
        <v>39029</v>
      </c>
      <c r="M6208" t="s">
        <v>40633</v>
      </c>
      <c r="N6208" t="s">
        <v>43166</v>
      </c>
      <c r="O6208" t="s">
        <v>43167</v>
      </c>
      <c r="P6208">
        <v>0</v>
      </c>
      <c r="Q6208">
        <v>2</v>
      </c>
      <c r="R6208" t="s">
        <v>43172</v>
      </c>
      <c r="S6208" t="s">
        <v>43334</v>
      </c>
      <c r="T6208" t="s">
        <v>44736</v>
      </c>
      <c r="U6208" t="s">
        <v>50258</v>
      </c>
      <c r="W6208" t="s">
        <v>40633</v>
      </c>
      <c r="X6208" t="s">
        <v>43173</v>
      </c>
    </row>
    <row r="6209" spans="1:24">
      <c r="A6209">
        <f>HYPERLINK("https://www.philgeps.gov.ph/GEPSNONPILOT/Tender/SplashBidNoticeAbstractUI.aspx?menuIndex=3&amp;refID=7081303&amp;Result=3","7081303")</f>
        <v>0</v>
      </c>
      <c r="B6209" t="s">
        <v>940</v>
      </c>
      <c r="C6209" t="s">
        <v>9329</v>
      </c>
      <c r="D6209" t="s">
        <v>17449</v>
      </c>
      <c r="E6209" t="s">
        <v>22854</v>
      </c>
      <c r="F6209" t="s">
        <v>30052</v>
      </c>
      <c r="G6209" t="s">
        <v>30060</v>
      </c>
      <c r="H6209" t="s">
        <v>30067</v>
      </c>
      <c r="I6209" t="s">
        <v>3693</v>
      </c>
      <c r="J6209" t="s">
        <v>30222</v>
      </c>
      <c r="K6209" t="s">
        <v>39029</v>
      </c>
      <c r="M6209" t="s">
        <v>40264</v>
      </c>
      <c r="N6209" t="s">
        <v>43166</v>
      </c>
      <c r="O6209" t="s">
        <v>43167</v>
      </c>
      <c r="P6209">
        <v>0</v>
      </c>
      <c r="Q6209">
        <v>1</v>
      </c>
      <c r="R6209" t="s">
        <v>43172</v>
      </c>
      <c r="S6209" t="s">
        <v>43334</v>
      </c>
      <c r="T6209" t="s">
        <v>44737</v>
      </c>
      <c r="U6209" t="s">
        <v>50259</v>
      </c>
      <c r="W6209" t="s">
        <v>40264</v>
      </c>
      <c r="X6209" t="s">
        <v>43173</v>
      </c>
    </row>
    <row r="6210" spans="1:24">
      <c r="A6210">
        <f>HYPERLINK("https://www.philgeps.gov.ph/GEPSNONPILOT/Tender/SplashBidNoticeAbstractUI.aspx?menuIndex=3&amp;refID=7081238&amp;Result=3","7081238")</f>
        <v>0</v>
      </c>
      <c r="B6210" t="s">
        <v>1546</v>
      </c>
      <c r="C6210" t="s">
        <v>9330</v>
      </c>
      <c r="D6210" t="s">
        <v>17431</v>
      </c>
      <c r="E6210" t="s">
        <v>22855</v>
      </c>
      <c r="F6210" t="s">
        <v>30052</v>
      </c>
      <c r="G6210" t="s">
        <v>30059</v>
      </c>
      <c r="H6210" t="s">
        <v>15498</v>
      </c>
      <c r="I6210" t="s">
        <v>30108</v>
      </c>
      <c r="J6210" t="s">
        <v>32438</v>
      </c>
      <c r="K6210" t="s">
        <v>39017</v>
      </c>
      <c r="M6210" t="s">
        <v>40934</v>
      </c>
      <c r="N6210" t="s">
        <v>43166</v>
      </c>
      <c r="O6210" t="s">
        <v>43167</v>
      </c>
      <c r="P6210">
        <v>0</v>
      </c>
      <c r="Q6210">
        <v>2</v>
      </c>
      <c r="R6210" t="s">
        <v>43172</v>
      </c>
      <c r="S6210" t="s">
        <v>43334</v>
      </c>
      <c r="T6210" t="s">
        <v>44710</v>
      </c>
      <c r="U6210" t="s">
        <v>50260</v>
      </c>
      <c r="V6210" t="s">
        <v>57477</v>
      </c>
      <c r="W6210" t="s">
        <v>40934</v>
      </c>
      <c r="X6210" t="s">
        <v>43173</v>
      </c>
    </row>
    <row r="6211" spans="1:24">
      <c r="A6211">
        <f>HYPERLINK("https://www.philgeps.gov.ph/GEPSNONPILOT/Tender/SplashBidNoticeAbstractUI.aspx?menuIndex=3&amp;refID=7081301&amp;Result=3","7081301")</f>
        <v>0</v>
      </c>
      <c r="B6211" t="s">
        <v>344</v>
      </c>
      <c r="C6211" t="s">
        <v>9331</v>
      </c>
      <c r="D6211" t="s">
        <v>17461</v>
      </c>
      <c r="E6211" t="s">
        <v>22856</v>
      </c>
      <c r="F6211" t="s">
        <v>30052</v>
      </c>
      <c r="G6211" t="s">
        <v>30060</v>
      </c>
      <c r="H6211" t="s">
        <v>15498</v>
      </c>
      <c r="I6211" t="s">
        <v>30074</v>
      </c>
      <c r="J6211" t="s">
        <v>34092</v>
      </c>
      <c r="K6211" t="s">
        <v>39046</v>
      </c>
      <c r="M6211" t="s">
        <v>39641</v>
      </c>
      <c r="N6211" t="s">
        <v>43166</v>
      </c>
      <c r="O6211" t="s">
        <v>43167</v>
      </c>
      <c r="P6211">
        <v>0</v>
      </c>
      <c r="Q6211">
        <v>6</v>
      </c>
      <c r="R6211" t="s">
        <v>43172</v>
      </c>
      <c r="S6211" t="s">
        <v>43334</v>
      </c>
      <c r="T6211" t="s">
        <v>45020</v>
      </c>
      <c r="U6211" t="s">
        <v>50261</v>
      </c>
      <c r="V6211" t="s">
        <v>57465</v>
      </c>
      <c r="W6211" t="s">
        <v>39641</v>
      </c>
      <c r="X6211" t="s">
        <v>43173</v>
      </c>
    </row>
    <row r="6212" spans="1:24">
      <c r="A6212">
        <f>HYPERLINK("https://www.philgeps.gov.ph/GEPSNONPILOT/Tender/SplashBidNoticeAbstractUI.aspx?menuIndex=3&amp;refID=7081254&amp;Result=3","7081254")</f>
        <v>0</v>
      </c>
      <c r="B6212" t="s">
        <v>1710</v>
      </c>
      <c r="C6212" t="s">
        <v>9332</v>
      </c>
      <c r="D6212" t="s">
        <v>17414</v>
      </c>
      <c r="E6212" t="s">
        <v>22857</v>
      </c>
      <c r="F6212" t="s">
        <v>30052</v>
      </c>
      <c r="G6212" t="s">
        <v>30059</v>
      </c>
      <c r="H6212" t="s">
        <v>15498</v>
      </c>
      <c r="I6212" t="s">
        <v>30076</v>
      </c>
      <c r="J6212" t="s">
        <v>30942</v>
      </c>
      <c r="K6212" t="s">
        <v>39037</v>
      </c>
      <c r="M6212" t="s">
        <v>41125</v>
      </c>
      <c r="N6212" t="s">
        <v>43166</v>
      </c>
      <c r="O6212" t="s">
        <v>43167</v>
      </c>
      <c r="P6212">
        <v>0</v>
      </c>
      <c r="Q6212">
        <v>7</v>
      </c>
      <c r="R6212" t="s">
        <v>43172</v>
      </c>
      <c r="S6212" t="s">
        <v>43334</v>
      </c>
      <c r="T6212" t="s">
        <v>44864</v>
      </c>
      <c r="U6212" t="s">
        <v>48983</v>
      </c>
      <c r="W6212" t="s">
        <v>41125</v>
      </c>
      <c r="X6212" t="s">
        <v>43173</v>
      </c>
    </row>
    <row r="6213" spans="1:24">
      <c r="A6213">
        <f>HYPERLINK("https://www.philgeps.gov.ph/GEPSNONPILOT/Tender/SplashBidNoticeAbstractUI.aspx?menuIndex=3&amp;refID=7081298&amp;Result=3","7081298")</f>
        <v>0</v>
      </c>
      <c r="B6213" t="s">
        <v>2033</v>
      </c>
      <c r="C6213" t="s">
        <v>9333</v>
      </c>
      <c r="D6213" t="s">
        <v>17448</v>
      </c>
      <c r="E6213" t="s">
        <v>22858</v>
      </c>
      <c r="F6213" t="s">
        <v>30052</v>
      </c>
      <c r="G6213" t="s">
        <v>30058</v>
      </c>
      <c r="H6213" t="s">
        <v>30067</v>
      </c>
      <c r="I6213" t="s">
        <v>3693</v>
      </c>
      <c r="J6213" t="s">
        <v>30397</v>
      </c>
      <c r="K6213" t="s">
        <v>39026</v>
      </c>
      <c r="M6213" t="s">
        <v>41482</v>
      </c>
      <c r="N6213" t="s">
        <v>43166</v>
      </c>
      <c r="O6213" t="s">
        <v>43167</v>
      </c>
      <c r="P6213">
        <v>0</v>
      </c>
      <c r="Q6213">
        <v>1</v>
      </c>
      <c r="R6213" t="s">
        <v>43172</v>
      </c>
      <c r="S6213" t="s">
        <v>43334</v>
      </c>
      <c r="T6213" t="s">
        <v>44842</v>
      </c>
      <c r="U6213" t="s">
        <v>50262</v>
      </c>
      <c r="W6213" t="s">
        <v>41482</v>
      </c>
      <c r="X6213" t="s">
        <v>43173</v>
      </c>
    </row>
    <row r="6214" spans="1:24">
      <c r="A6214">
        <f>HYPERLINK("https://www.philgeps.gov.ph/GEPSNONPILOT/Tender/SplashBidNoticeAbstractUI.aspx?menuIndex=3&amp;refID=7081297&amp;Result=3","7081297")</f>
        <v>0</v>
      </c>
      <c r="B6214" t="s">
        <v>1900</v>
      </c>
      <c r="C6214" t="s">
        <v>9334</v>
      </c>
      <c r="D6214" t="s">
        <v>17486</v>
      </c>
      <c r="E6214" t="s">
        <v>22859</v>
      </c>
      <c r="F6214" t="s">
        <v>30052</v>
      </c>
      <c r="G6214" t="s">
        <v>30058</v>
      </c>
      <c r="H6214" t="s">
        <v>15498</v>
      </c>
      <c r="I6214" t="s">
        <v>3852</v>
      </c>
      <c r="J6214" t="s">
        <v>34093</v>
      </c>
      <c r="K6214" t="s">
        <v>39019</v>
      </c>
      <c r="M6214" t="s">
        <v>41331</v>
      </c>
      <c r="N6214" t="s">
        <v>43166</v>
      </c>
      <c r="O6214" t="s">
        <v>43167</v>
      </c>
      <c r="P6214">
        <v>0</v>
      </c>
      <c r="Q6214">
        <v>4</v>
      </c>
      <c r="R6214" t="s">
        <v>43172</v>
      </c>
      <c r="S6214" t="s">
        <v>43334</v>
      </c>
      <c r="T6214" t="s">
        <v>44703</v>
      </c>
      <c r="U6214" t="s">
        <v>49757</v>
      </c>
      <c r="W6214" t="s">
        <v>41331</v>
      </c>
      <c r="X6214" t="s">
        <v>43173</v>
      </c>
    </row>
    <row r="6215" spans="1:24">
      <c r="A6215">
        <f>HYPERLINK("https://www.philgeps.gov.ph/GEPSNONPILOT/Tender/SplashBidNoticeAbstractUI.aspx?menuIndex=3&amp;refID=7081256&amp;Result=3","7081256")</f>
        <v>0</v>
      </c>
      <c r="B6215" t="s">
        <v>1822</v>
      </c>
      <c r="C6215" t="s">
        <v>9335</v>
      </c>
      <c r="D6215" t="s">
        <v>17437</v>
      </c>
      <c r="E6215" t="s">
        <v>22860</v>
      </c>
      <c r="F6215" t="s">
        <v>30052</v>
      </c>
      <c r="G6215" t="s">
        <v>30059</v>
      </c>
      <c r="H6215" t="s">
        <v>15498</v>
      </c>
      <c r="I6215" t="s">
        <v>3852</v>
      </c>
      <c r="J6215" t="s">
        <v>30222</v>
      </c>
      <c r="K6215" t="s">
        <v>39034</v>
      </c>
      <c r="M6215" t="s">
        <v>41245</v>
      </c>
      <c r="N6215" t="s">
        <v>43166</v>
      </c>
      <c r="O6215" t="s">
        <v>43167</v>
      </c>
      <c r="P6215">
        <v>0</v>
      </c>
      <c r="Q6215">
        <v>0</v>
      </c>
      <c r="R6215" t="s">
        <v>43172</v>
      </c>
      <c r="S6215" t="s">
        <v>43334</v>
      </c>
      <c r="T6215" t="s">
        <v>44717</v>
      </c>
      <c r="U6215" t="s">
        <v>50263</v>
      </c>
      <c r="W6215" t="s">
        <v>41245</v>
      </c>
      <c r="X6215" t="s">
        <v>43173</v>
      </c>
    </row>
    <row r="6216" spans="1:24">
      <c r="A6216">
        <f>HYPERLINK("https://www.philgeps.gov.ph/GEPSNONPILOT/Tender/SplashBidNoticeAbstractUI.aspx?menuIndex=3&amp;refID=7081287&amp;Result=3","7081287")</f>
        <v>0</v>
      </c>
      <c r="B6216" t="s">
        <v>1682</v>
      </c>
      <c r="C6216" t="s">
        <v>9336</v>
      </c>
      <c r="D6216" t="s">
        <v>17489</v>
      </c>
      <c r="E6216" t="s">
        <v>22814</v>
      </c>
      <c r="F6216" t="s">
        <v>30052</v>
      </c>
      <c r="G6216" t="s">
        <v>30059</v>
      </c>
      <c r="H6216" t="s">
        <v>15498</v>
      </c>
      <c r="I6216" t="s">
        <v>30134</v>
      </c>
      <c r="J6216" t="s">
        <v>34071</v>
      </c>
      <c r="K6216" t="s">
        <v>39019</v>
      </c>
      <c r="M6216" t="s">
        <v>41118</v>
      </c>
      <c r="N6216" t="s">
        <v>43166</v>
      </c>
      <c r="O6216" t="s">
        <v>43167</v>
      </c>
      <c r="P6216">
        <v>0</v>
      </c>
      <c r="Q6216">
        <v>1</v>
      </c>
      <c r="R6216" t="s">
        <v>43172</v>
      </c>
      <c r="S6216" t="s">
        <v>43334</v>
      </c>
      <c r="T6216" t="s">
        <v>44737</v>
      </c>
      <c r="U6216" t="s">
        <v>50264</v>
      </c>
      <c r="W6216" t="s">
        <v>41118</v>
      </c>
      <c r="X6216" t="s">
        <v>43173</v>
      </c>
    </row>
    <row r="6217" spans="1:24">
      <c r="A6217">
        <f>HYPERLINK("https://www.philgeps.gov.ph/GEPSNONPILOT/Tender/SplashBidNoticeAbstractUI.aspx?menuIndex=3&amp;refID=7081286&amp;Result=3","7081286")</f>
        <v>0</v>
      </c>
      <c r="B6217" t="s">
        <v>1028</v>
      </c>
      <c r="C6217" t="s">
        <v>9337</v>
      </c>
      <c r="D6217" t="s">
        <v>17450</v>
      </c>
      <c r="E6217" t="s">
        <v>22861</v>
      </c>
      <c r="F6217" t="s">
        <v>30052</v>
      </c>
      <c r="G6217" t="s">
        <v>30059</v>
      </c>
      <c r="H6217" t="s">
        <v>15498</v>
      </c>
      <c r="I6217" t="s">
        <v>6691</v>
      </c>
      <c r="J6217" t="s">
        <v>34094</v>
      </c>
      <c r="K6217" t="s">
        <v>39035</v>
      </c>
      <c r="M6217" t="s">
        <v>40357</v>
      </c>
      <c r="N6217" t="s">
        <v>43166</v>
      </c>
      <c r="O6217" t="s">
        <v>43167</v>
      </c>
      <c r="P6217">
        <v>0</v>
      </c>
      <c r="Q6217">
        <v>0</v>
      </c>
      <c r="R6217" t="s">
        <v>43172</v>
      </c>
      <c r="S6217" t="s">
        <v>43334</v>
      </c>
      <c r="T6217" t="s">
        <v>44691</v>
      </c>
      <c r="U6217" t="s">
        <v>47341</v>
      </c>
      <c r="W6217" t="s">
        <v>40357</v>
      </c>
      <c r="X6217" t="s">
        <v>43173</v>
      </c>
    </row>
    <row r="6218" spans="1:24">
      <c r="A6218">
        <f>HYPERLINK("https://www.philgeps.gov.ph/GEPSNONPILOT/Tender/SplashBidNoticeAbstractUI.aspx?menuIndex=3&amp;refID=7081302&amp;Result=3","7081302")</f>
        <v>0</v>
      </c>
      <c r="B6218" t="s">
        <v>1028</v>
      </c>
      <c r="C6218" t="s">
        <v>9338</v>
      </c>
      <c r="D6218" t="s">
        <v>17450</v>
      </c>
      <c r="E6218" t="s">
        <v>22862</v>
      </c>
      <c r="F6218" t="s">
        <v>30052</v>
      </c>
      <c r="G6218" t="s">
        <v>30059</v>
      </c>
      <c r="H6218" t="s">
        <v>15498</v>
      </c>
      <c r="I6218" t="s">
        <v>6691</v>
      </c>
      <c r="J6218" t="s">
        <v>31435</v>
      </c>
      <c r="K6218" t="s">
        <v>39035</v>
      </c>
      <c r="M6218" t="s">
        <v>40357</v>
      </c>
      <c r="N6218" t="s">
        <v>43166</v>
      </c>
      <c r="O6218" t="s">
        <v>43167</v>
      </c>
      <c r="P6218">
        <v>0</v>
      </c>
      <c r="Q6218">
        <v>0</v>
      </c>
      <c r="R6218" t="s">
        <v>43172</v>
      </c>
      <c r="S6218" t="s">
        <v>43334</v>
      </c>
      <c r="T6218" t="s">
        <v>44691</v>
      </c>
      <c r="U6218" t="s">
        <v>47341</v>
      </c>
      <c r="W6218" t="s">
        <v>40357</v>
      </c>
      <c r="X6218" t="s">
        <v>43173</v>
      </c>
    </row>
    <row r="6219" spans="1:24">
      <c r="A6219">
        <f>HYPERLINK("https://www.philgeps.gov.ph/GEPSNONPILOT/Tender/SplashBidNoticeAbstractUI.aspx?menuIndex=3&amp;refID=7081284&amp;Result=3","7081284")</f>
        <v>0</v>
      </c>
      <c r="B6219" t="s">
        <v>2034</v>
      </c>
      <c r="C6219" t="s">
        <v>9339</v>
      </c>
      <c r="D6219" t="s">
        <v>17458</v>
      </c>
      <c r="E6219" t="s">
        <v>18907</v>
      </c>
      <c r="F6219" t="s">
        <v>30052</v>
      </c>
      <c r="G6219" t="s">
        <v>30061</v>
      </c>
      <c r="H6219" t="s">
        <v>15498</v>
      </c>
      <c r="I6219" t="s">
        <v>30070</v>
      </c>
      <c r="J6219" t="s">
        <v>34095</v>
      </c>
      <c r="K6219" t="s">
        <v>39036</v>
      </c>
      <c r="M6219" t="s">
        <v>41483</v>
      </c>
      <c r="N6219" t="s">
        <v>43166</v>
      </c>
      <c r="O6219" t="s">
        <v>43167</v>
      </c>
      <c r="P6219">
        <v>0</v>
      </c>
      <c r="Q6219">
        <v>2</v>
      </c>
      <c r="R6219" t="s">
        <v>43172</v>
      </c>
      <c r="S6219" t="s">
        <v>43334</v>
      </c>
      <c r="T6219" t="s">
        <v>44893</v>
      </c>
      <c r="U6219" t="s">
        <v>50265</v>
      </c>
      <c r="W6219" t="s">
        <v>41483</v>
      </c>
      <c r="X6219" t="s">
        <v>43173</v>
      </c>
    </row>
    <row r="6220" spans="1:24">
      <c r="A6220">
        <f>HYPERLINK("https://www.philgeps.gov.ph/GEPSNONPILOT/Tender/SplashBidNoticeAbstractUI.aspx?menuIndex=3&amp;refID=7081283&amp;Result=3","7081283")</f>
        <v>0</v>
      </c>
      <c r="B6220" t="s">
        <v>813</v>
      </c>
      <c r="C6220" t="s">
        <v>9340</v>
      </c>
      <c r="D6220" t="s">
        <v>17426</v>
      </c>
      <c r="E6220" t="s">
        <v>22863</v>
      </c>
      <c r="F6220" t="s">
        <v>30052</v>
      </c>
      <c r="G6220" t="s">
        <v>30059</v>
      </c>
      <c r="H6220" t="s">
        <v>15498</v>
      </c>
      <c r="I6220" t="s">
        <v>30070</v>
      </c>
      <c r="J6220" t="s">
        <v>34096</v>
      </c>
      <c r="K6220" t="s">
        <v>39039</v>
      </c>
      <c r="M6220" t="s">
        <v>40130</v>
      </c>
      <c r="N6220" t="s">
        <v>43166</v>
      </c>
      <c r="O6220" t="s">
        <v>43167</v>
      </c>
      <c r="P6220">
        <v>0</v>
      </c>
      <c r="Q6220">
        <v>0</v>
      </c>
      <c r="R6220" t="s">
        <v>43172</v>
      </c>
      <c r="S6220" t="s">
        <v>43334</v>
      </c>
      <c r="T6220" t="s">
        <v>44894</v>
      </c>
      <c r="U6220" t="s">
        <v>50138</v>
      </c>
      <c r="W6220" t="s">
        <v>40130</v>
      </c>
      <c r="X6220" t="s">
        <v>43173</v>
      </c>
    </row>
    <row r="6221" spans="1:24">
      <c r="A6221">
        <f>HYPERLINK("https://www.philgeps.gov.ph/GEPSNONPILOT/Tender/SplashBidNoticeAbstractUI.aspx?menuIndex=3&amp;refID=7081282&amp;Result=3","7081282")</f>
        <v>0</v>
      </c>
      <c r="B6221" t="s">
        <v>2035</v>
      </c>
      <c r="C6221" t="s">
        <v>9341</v>
      </c>
      <c r="E6221" t="s">
        <v>22864</v>
      </c>
      <c r="F6221" t="s">
        <v>30052</v>
      </c>
      <c r="G6221" t="s">
        <v>30058</v>
      </c>
      <c r="H6221" t="s">
        <v>30068</v>
      </c>
      <c r="I6221" t="s">
        <v>30068</v>
      </c>
      <c r="J6221" t="s">
        <v>34097</v>
      </c>
      <c r="K6221" t="s">
        <v>39092</v>
      </c>
      <c r="M6221" t="s">
        <v>41484</v>
      </c>
      <c r="N6221" t="s">
        <v>43166</v>
      </c>
      <c r="O6221" t="s">
        <v>43167</v>
      </c>
      <c r="P6221">
        <v>0</v>
      </c>
      <c r="Q6221">
        <v>3</v>
      </c>
      <c r="R6221" t="s">
        <v>43172</v>
      </c>
      <c r="S6221" t="s">
        <v>43334</v>
      </c>
      <c r="T6221" t="s">
        <v>44710</v>
      </c>
      <c r="U6221" t="s">
        <v>50266</v>
      </c>
      <c r="W6221" t="s">
        <v>41484</v>
      </c>
      <c r="X6221" t="s">
        <v>43173</v>
      </c>
    </row>
    <row r="6222" spans="1:24">
      <c r="A6222">
        <f>HYPERLINK("https://www.philgeps.gov.ph/GEPSNONPILOT/Tender/SplashBidNoticeAbstractUI.aspx?menuIndex=3&amp;refID=7081309&amp;Result=3","7081309")</f>
        <v>0</v>
      </c>
      <c r="B6222" t="s">
        <v>2035</v>
      </c>
      <c r="C6222" t="s">
        <v>9342</v>
      </c>
      <c r="E6222" t="s">
        <v>22865</v>
      </c>
      <c r="F6222" t="s">
        <v>30052</v>
      </c>
      <c r="G6222" t="s">
        <v>30058</v>
      </c>
      <c r="H6222" t="s">
        <v>30068</v>
      </c>
      <c r="I6222" t="s">
        <v>30068</v>
      </c>
      <c r="J6222" t="s">
        <v>34098</v>
      </c>
      <c r="K6222" t="s">
        <v>39043</v>
      </c>
      <c r="M6222" t="s">
        <v>41484</v>
      </c>
      <c r="N6222" t="s">
        <v>43166</v>
      </c>
      <c r="O6222" t="s">
        <v>43167</v>
      </c>
      <c r="P6222">
        <v>0</v>
      </c>
      <c r="Q6222">
        <v>2</v>
      </c>
      <c r="R6222" t="s">
        <v>43172</v>
      </c>
      <c r="S6222" t="s">
        <v>43334</v>
      </c>
      <c r="T6222" t="s">
        <v>44710</v>
      </c>
      <c r="U6222" t="s">
        <v>50267</v>
      </c>
      <c r="W6222" t="s">
        <v>41484</v>
      </c>
      <c r="X6222" t="s">
        <v>43173</v>
      </c>
    </row>
    <row r="6223" spans="1:24">
      <c r="A6223">
        <f>HYPERLINK("https://www.philgeps.gov.ph/GEPSNONPILOT/Tender/SplashBidNoticeAbstractUI.aspx?menuIndex=3&amp;refID=7081285&amp;Result=3","7081285")</f>
        <v>0</v>
      </c>
      <c r="B6223" t="s">
        <v>1273</v>
      </c>
      <c r="C6223" t="s">
        <v>9343</v>
      </c>
      <c r="D6223" t="s">
        <v>17434</v>
      </c>
      <c r="E6223" t="s">
        <v>22866</v>
      </c>
      <c r="F6223" t="s">
        <v>30052</v>
      </c>
      <c r="G6223" t="s">
        <v>30058</v>
      </c>
      <c r="H6223" t="s">
        <v>15498</v>
      </c>
      <c r="I6223" t="s">
        <v>30094</v>
      </c>
      <c r="J6223" t="s">
        <v>34099</v>
      </c>
      <c r="K6223" t="s">
        <v>39029</v>
      </c>
      <c r="M6223" t="s">
        <v>40633</v>
      </c>
      <c r="N6223" t="s">
        <v>43166</v>
      </c>
      <c r="O6223" t="s">
        <v>43167</v>
      </c>
      <c r="P6223">
        <v>0</v>
      </c>
      <c r="Q6223">
        <v>4</v>
      </c>
      <c r="R6223" t="s">
        <v>43172</v>
      </c>
      <c r="S6223" t="s">
        <v>43334</v>
      </c>
      <c r="T6223" t="s">
        <v>44736</v>
      </c>
      <c r="U6223" t="s">
        <v>50268</v>
      </c>
      <c r="W6223" t="s">
        <v>40633</v>
      </c>
      <c r="X6223" t="s">
        <v>43173</v>
      </c>
    </row>
    <row r="6224" spans="1:24">
      <c r="A6224">
        <f>HYPERLINK("https://www.philgeps.gov.ph/GEPSNONPILOT/Tender/SplashBidNoticeAbstractUI.aspx?menuIndex=3&amp;refID=7081295&amp;Result=3","7081295")</f>
        <v>0</v>
      </c>
      <c r="B6224" t="s">
        <v>202</v>
      </c>
      <c r="C6224" t="s">
        <v>9344</v>
      </c>
      <c r="D6224" t="s">
        <v>17461</v>
      </c>
      <c r="E6224" t="s">
        <v>22867</v>
      </c>
      <c r="F6224" t="s">
        <v>30052</v>
      </c>
      <c r="G6224" t="s">
        <v>30059</v>
      </c>
      <c r="H6224" t="s">
        <v>15498</v>
      </c>
      <c r="I6224" t="s">
        <v>30109</v>
      </c>
      <c r="J6224" t="s">
        <v>30358</v>
      </c>
      <c r="K6224" t="s">
        <v>39034</v>
      </c>
      <c r="L6224" t="s">
        <v>202</v>
      </c>
      <c r="M6224" t="s">
        <v>39492</v>
      </c>
      <c r="N6224" t="s">
        <v>43166</v>
      </c>
      <c r="O6224" t="s">
        <v>43167</v>
      </c>
      <c r="P6224">
        <v>0</v>
      </c>
      <c r="Q6224">
        <v>0</v>
      </c>
      <c r="R6224" t="s">
        <v>43172</v>
      </c>
      <c r="S6224" t="s">
        <v>43334</v>
      </c>
      <c r="T6224" t="s">
        <v>44862</v>
      </c>
      <c r="U6224" t="s">
        <v>45747</v>
      </c>
      <c r="W6224" t="s">
        <v>39492</v>
      </c>
      <c r="X6224" t="s">
        <v>43173</v>
      </c>
    </row>
    <row r="6225" spans="1:24">
      <c r="A6225">
        <f>HYPERLINK("https://www.philgeps.gov.ph/GEPSNONPILOT/Tender/SplashBidNoticeAbstractUI.aspx?menuIndex=3&amp;refID=7081292&amp;Result=3","7081292")</f>
        <v>0</v>
      </c>
      <c r="B6225" t="s">
        <v>635</v>
      </c>
      <c r="C6225" t="s">
        <v>9345</v>
      </c>
      <c r="D6225" t="s">
        <v>17427</v>
      </c>
      <c r="E6225" t="s">
        <v>22868</v>
      </c>
      <c r="F6225" t="s">
        <v>30052</v>
      </c>
      <c r="G6225" t="s">
        <v>30058</v>
      </c>
      <c r="H6225" t="s">
        <v>15498</v>
      </c>
      <c r="I6225" t="s">
        <v>4650</v>
      </c>
      <c r="J6225" t="s">
        <v>34100</v>
      </c>
      <c r="K6225" t="s">
        <v>39023</v>
      </c>
      <c r="M6225" t="s">
        <v>39938</v>
      </c>
      <c r="N6225" t="s">
        <v>43166</v>
      </c>
      <c r="O6225" t="s">
        <v>43167</v>
      </c>
      <c r="P6225">
        <v>0</v>
      </c>
      <c r="Q6225">
        <v>6</v>
      </c>
      <c r="R6225" t="s">
        <v>43172</v>
      </c>
      <c r="S6225" t="s">
        <v>43334</v>
      </c>
      <c r="T6225" t="s">
        <v>45038</v>
      </c>
      <c r="U6225" t="s">
        <v>50269</v>
      </c>
      <c r="W6225" t="s">
        <v>39938</v>
      </c>
      <c r="X6225" t="s">
        <v>43173</v>
      </c>
    </row>
    <row r="6226" spans="1:24">
      <c r="A6226">
        <f>HYPERLINK("https://www.philgeps.gov.ph/GEPSNONPILOT/Tender/SplashBidNoticeAbstractUI.aspx?menuIndex=3&amp;refID=7081342&amp;Result=3","7081342")</f>
        <v>0</v>
      </c>
      <c r="B6226" t="s">
        <v>202</v>
      </c>
      <c r="C6226" t="s">
        <v>9346</v>
      </c>
      <c r="D6226" t="s">
        <v>17461</v>
      </c>
      <c r="E6226" t="s">
        <v>22869</v>
      </c>
      <c r="F6226" t="s">
        <v>30052</v>
      </c>
      <c r="G6226" t="s">
        <v>30059</v>
      </c>
      <c r="H6226" t="s">
        <v>15498</v>
      </c>
      <c r="I6226" t="s">
        <v>30091</v>
      </c>
      <c r="J6226" t="s">
        <v>34101</v>
      </c>
      <c r="K6226" t="s">
        <v>39019</v>
      </c>
      <c r="L6226" t="s">
        <v>202</v>
      </c>
      <c r="M6226" t="s">
        <v>39492</v>
      </c>
      <c r="N6226" t="s">
        <v>43166</v>
      </c>
      <c r="O6226" t="s">
        <v>43167</v>
      </c>
      <c r="P6226">
        <v>0</v>
      </c>
      <c r="Q6226">
        <v>6</v>
      </c>
      <c r="R6226" t="s">
        <v>43172</v>
      </c>
      <c r="S6226" t="s">
        <v>43334</v>
      </c>
      <c r="T6226" t="s">
        <v>44862</v>
      </c>
      <c r="U6226" t="s">
        <v>45747</v>
      </c>
      <c r="W6226" t="s">
        <v>39492</v>
      </c>
      <c r="X6226" t="s">
        <v>43173</v>
      </c>
    </row>
    <row r="6227" spans="1:24">
      <c r="A6227">
        <f>HYPERLINK("https://www.philgeps.gov.ph/GEPSNONPILOT/Tender/SplashBidNoticeAbstractUI.aspx?menuIndex=3&amp;refID=7081335&amp;Result=3","7081335")</f>
        <v>0</v>
      </c>
      <c r="B6227" t="s">
        <v>1028</v>
      </c>
      <c r="C6227" t="s">
        <v>9347</v>
      </c>
      <c r="D6227" t="s">
        <v>17450</v>
      </c>
      <c r="E6227" t="s">
        <v>22870</v>
      </c>
      <c r="F6227" t="s">
        <v>30052</v>
      </c>
      <c r="G6227" t="s">
        <v>30059</v>
      </c>
      <c r="H6227" t="s">
        <v>15498</v>
      </c>
      <c r="I6227" t="s">
        <v>6691</v>
      </c>
      <c r="J6227" t="s">
        <v>32922</v>
      </c>
      <c r="K6227" t="s">
        <v>39035</v>
      </c>
      <c r="M6227" t="s">
        <v>40357</v>
      </c>
      <c r="N6227" t="s">
        <v>43166</v>
      </c>
      <c r="O6227" t="s">
        <v>43167</v>
      </c>
      <c r="P6227">
        <v>0</v>
      </c>
      <c r="Q6227">
        <v>0</v>
      </c>
      <c r="R6227" t="s">
        <v>43172</v>
      </c>
      <c r="S6227" t="s">
        <v>43334</v>
      </c>
      <c r="T6227" t="s">
        <v>45039</v>
      </c>
      <c r="U6227" t="s">
        <v>47341</v>
      </c>
      <c r="W6227" t="s">
        <v>40357</v>
      </c>
      <c r="X6227" t="s">
        <v>43173</v>
      </c>
    </row>
    <row r="6228" spans="1:24">
      <c r="A6228">
        <f>HYPERLINK("https://www.philgeps.gov.ph/GEPSNONPILOT/Tender/SplashBidNoticeAbstractUI.aspx?menuIndex=3&amp;refID=7081332&amp;Result=3","7081332")</f>
        <v>0</v>
      </c>
      <c r="B6228" t="s">
        <v>2035</v>
      </c>
      <c r="C6228" t="s">
        <v>9348</v>
      </c>
      <c r="E6228" t="s">
        <v>22871</v>
      </c>
      <c r="F6228" t="s">
        <v>30052</v>
      </c>
      <c r="G6228" t="s">
        <v>30058</v>
      </c>
      <c r="H6228" t="s">
        <v>30068</v>
      </c>
      <c r="I6228" t="s">
        <v>30068</v>
      </c>
      <c r="J6228" t="s">
        <v>34102</v>
      </c>
      <c r="K6228" t="s">
        <v>39043</v>
      </c>
      <c r="M6228" t="s">
        <v>41484</v>
      </c>
      <c r="N6228" t="s">
        <v>43166</v>
      </c>
      <c r="O6228" t="s">
        <v>43167</v>
      </c>
      <c r="P6228">
        <v>0</v>
      </c>
      <c r="Q6228">
        <v>2</v>
      </c>
      <c r="R6228" t="s">
        <v>43172</v>
      </c>
      <c r="S6228" t="s">
        <v>43334</v>
      </c>
      <c r="T6228" t="s">
        <v>44710</v>
      </c>
      <c r="U6228" t="s">
        <v>50270</v>
      </c>
      <c r="W6228" t="s">
        <v>41484</v>
      </c>
      <c r="X6228" t="s">
        <v>43173</v>
      </c>
    </row>
    <row r="6229" spans="1:24">
      <c r="A6229">
        <f>HYPERLINK("https://www.philgeps.gov.ph/GEPSNONPILOT/Tender/SplashBidNoticeAbstractUI.aspx?menuIndex=3&amp;refID=7081258&amp;Result=3","7081258")</f>
        <v>0</v>
      </c>
      <c r="B6229" t="s">
        <v>941</v>
      </c>
      <c r="C6229" t="s">
        <v>9349</v>
      </c>
      <c r="D6229" t="s">
        <v>17415</v>
      </c>
      <c r="E6229" t="s">
        <v>22872</v>
      </c>
      <c r="F6229" t="s">
        <v>30052</v>
      </c>
      <c r="G6229" t="s">
        <v>30061</v>
      </c>
      <c r="H6229" t="s">
        <v>15498</v>
      </c>
      <c r="I6229" t="s">
        <v>30096</v>
      </c>
      <c r="J6229" t="s">
        <v>30521</v>
      </c>
      <c r="K6229" t="s">
        <v>39025</v>
      </c>
      <c r="M6229" t="s">
        <v>40265</v>
      </c>
      <c r="N6229" t="s">
        <v>43166</v>
      </c>
      <c r="O6229" t="s">
        <v>43167</v>
      </c>
      <c r="P6229">
        <v>0</v>
      </c>
      <c r="Q6229">
        <v>15</v>
      </c>
      <c r="R6229" t="s">
        <v>43172</v>
      </c>
      <c r="S6229" t="s">
        <v>43334</v>
      </c>
      <c r="T6229" t="s">
        <v>44862</v>
      </c>
      <c r="U6229" t="s">
        <v>50271</v>
      </c>
      <c r="W6229" t="s">
        <v>40265</v>
      </c>
      <c r="X6229" t="s">
        <v>43173</v>
      </c>
    </row>
    <row r="6230" spans="1:24">
      <c r="A6230">
        <f>HYPERLINK("https://www.philgeps.gov.ph/GEPSNONPILOT/Tender/SplashBidNoticeAbstractUI.aspx?menuIndex=3&amp;refID=7081344&amp;Result=3","7081344")</f>
        <v>0</v>
      </c>
      <c r="B6230" t="s">
        <v>2036</v>
      </c>
      <c r="C6230" t="s">
        <v>4039</v>
      </c>
      <c r="D6230" t="s">
        <v>17415</v>
      </c>
      <c r="E6230" t="s">
        <v>22873</v>
      </c>
      <c r="F6230" t="s">
        <v>30052</v>
      </c>
      <c r="G6230" t="s">
        <v>30058</v>
      </c>
      <c r="H6230" t="s">
        <v>15498</v>
      </c>
      <c r="I6230" t="s">
        <v>3606</v>
      </c>
      <c r="J6230" t="s">
        <v>30247</v>
      </c>
      <c r="K6230" t="s">
        <v>39019</v>
      </c>
      <c r="M6230" t="s">
        <v>41485</v>
      </c>
      <c r="N6230" t="s">
        <v>43166</v>
      </c>
      <c r="O6230" t="s">
        <v>43167</v>
      </c>
      <c r="P6230">
        <v>0</v>
      </c>
      <c r="Q6230">
        <v>6</v>
      </c>
      <c r="R6230" t="s">
        <v>43172</v>
      </c>
      <c r="S6230" t="s">
        <v>43334</v>
      </c>
      <c r="T6230" t="s">
        <v>44789</v>
      </c>
      <c r="U6230" t="s">
        <v>50272</v>
      </c>
      <c r="W6230" t="s">
        <v>41485</v>
      </c>
      <c r="X6230" t="s">
        <v>43173</v>
      </c>
    </row>
    <row r="6231" spans="1:24">
      <c r="A6231">
        <f>HYPERLINK("https://www.philgeps.gov.ph/GEPSNONPILOT/Tender/SplashBidNoticeAbstractUI.aspx?menuIndex=3&amp;refID=7081325&amp;Result=3","7081325")</f>
        <v>0</v>
      </c>
      <c r="B6231" t="s">
        <v>1606</v>
      </c>
      <c r="C6231" t="s">
        <v>9350</v>
      </c>
      <c r="D6231" t="s">
        <v>17477</v>
      </c>
      <c r="E6231" t="s">
        <v>22874</v>
      </c>
      <c r="F6231" t="s">
        <v>30052</v>
      </c>
      <c r="G6231" t="s">
        <v>30058</v>
      </c>
      <c r="H6231" t="s">
        <v>30067</v>
      </c>
      <c r="I6231" t="s">
        <v>3693</v>
      </c>
      <c r="J6231" t="s">
        <v>33105</v>
      </c>
      <c r="K6231" t="s">
        <v>39054</v>
      </c>
      <c r="M6231" t="s">
        <v>41005</v>
      </c>
      <c r="N6231" t="s">
        <v>43166</v>
      </c>
      <c r="O6231" t="s">
        <v>43167</v>
      </c>
      <c r="P6231">
        <v>0</v>
      </c>
      <c r="Q6231">
        <v>0</v>
      </c>
      <c r="R6231" t="s">
        <v>43172</v>
      </c>
      <c r="S6231" t="s">
        <v>43334</v>
      </c>
      <c r="T6231" t="s">
        <v>44722</v>
      </c>
      <c r="U6231" t="s">
        <v>50273</v>
      </c>
      <c r="V6231" t="s">
        <v>57478</v>
      </c>
      <c r="W6231" t="s">
        <v>41005</v>
      </c>
      <c r="X6231" t="s">
        <v>43173</v>
      </c>
    </row>
    <row r="6232" spans="1:24">
      <c r="A6232">
        <f>HYPERLINK("https://www.philgeps.gov.ph/GEPSNONPILOT/Tender/SplashBidNoticeAbstractUI.aspx?menuIndex=3&amp;refID=7081322&amp;Result=3","7081322")</f>
        <v>0</v>
      </c>
      <c r="B6232" t="s">
        <v>1716</v>
      </c>
      <c r="C6232" t="s">
        <v>9351</v>
      </c>
      <c r="D6232" t="s">
        <v>17435</v>
      </c>
      <c r="E6232" t="s">
        <v>21262</v>
      </c>
      <c r="F6232" t="s">
        <v>30052</v>
      </c>
      <c r="G6232" t="s">
        <v>30061</v>
      </c>
      <c r="H6232" t="s">
        <v>15498</v>
      </c>
      <c r="I6232" t="s">
        <v>3736</v>
      </c>
      <c r="J6232" t="s">
        <v>34103</v>
      </c>
      <c r="K6232" t="s">
        <v>39017</v>
      </c>
      <c r="M6232" t="s">
        <v>41131</v>
      </c>
      <c r="N6232" t="s">
        <v>43166</v>
      </c>
      <c r="O6232" t="s">
        <v>43167</v>
      </c>
      <c r="P6232">
        <v>0</v>
      </c>
      <c r="Q6232">
        <v>0</v>
      </c>
      <c r="R6232" t="s">
        <v>43172</v>
      </c>
      <c r="S6232" t="s">
        <v>43334</v>
      </c>
      <c r="T6232" t="s">
        <v>44720</v>
      </c>
      <c r="U6232" t="s">
        <v>50274</v>
      </c>
      <c r="W6232" t="s">
        <v>41131</v>
      </c>
      <c r="X6232" t="s">
        <v>43173</v>
      </c>
    </row>
    <row r="6233" spans="1:24">
      <c r="A6233">
        <f>HYPERLINK("https://www.philgeps.gov.ph/GEPSNONPILOT/Tender/SplashBidNoticeAbstractUI.aspx?menuIndex=3&amp;refID=7081319&amp;Result=3","7081319")</f>
        <v>0</v>
      </c>
      <c r="B6233" t="s">
        <v>941</v>
      </c>
      <c r="C6233" t="s">
        <v>9352</v>
      </c>
      <c r="D6233" t="s">
        <v>17415</v>
      </c>
      <c r="E6233" t="s">
        <v>22875</v>
      </c>
      <c r="F6233" t="s">
        <v>30052</v>
      </c>
      <c r="G6233" t="s">
        <v>30059</v>
      </c>
      <c r="H6233" t="s">
        <v>15498</v>
      </c>
      <c r="I6233" t="s">
        <v>30084</v>
      </c>
      <c r="J6233" t="s">
        <v>30277</v>
      </c>
      <c r="K6233" t="s">
        <v>39025</v>
      </c>
      <c r="M6233" t="s">
        <v>40265</v>
      </c>
      <c r="N6233" t="s">
        <v>43166</v>
      </c>
      <c r="O6233" t="s">
        <v>43167</v>
      </c>
      <c r="P6233">
        <v>0</v>
      </c>
      <c r="Q6233">
        <v>14</v>
      </c>
      <c r="R6233" t="s">
        <v>43172</v>
      </c>
      <c r="S6233" t="s">
        <v>43334</v>
      </c>
      <c r="T6233" t="s">
        <v>44862</v>
      </c>
      <c r="U6233" t="s">
        <v>50275</v>
      </c>
      <c r="W6233" t="s">
        <v>40265</v>
      </c>
      <c r="X6233" t="s">
        <v>43173</v>
      </c>
    </row>
    <row r="6234" spans="1:24">
      <c r="A6234">
        <f>HYPERLINK("https://www.philgeps.gov.ph/GEPSNONPILOT/Tender/SplashBidNoticeAbstractUI.aspx?menuIndex=3&amp;refID=7081329&amp;Result=3","7081329")</f>
        <v>0</v>
      </c>
      <c r="B6234" t="s">
        <v>2037</v>
      </c>
      <c r="C6234" t="s">
        <v>9353</v>
      </c>
      <c r="D6234" t="s">
        <v>17435</v>
      </c>
      <c r="E6234" t="s">
        <v>22876</v>
      </c>
      <c r="F6234" t="s">
        <v>30052</v>
      </c>
      <c r="G6234" t="s">
        <v>30058</v>
      </c>
      <c r="H6234" t="s">
        <v>30067</v>
      </c>
      <c r="I6234" t="s">
        <v>3693</v>
      </c>
      <c r="J6234" t="s">
        <v>34104</v>
      </c>
      <c r="K6234" t="s">
        <v>39025</v>
      </c>
      <c r="M6234" t="s">
        <v>41486</v>
      </c>
      <c r="N6234" t="s">
        <v>43166</v>
      </c>
      <c r="O6234" t="s">
        <v>43167</v>
      </c>
      <c r="P6234">
        <v>0</v>
      </c>
      <c r="Q6234">
        <v>0</v>
      </c>
      <c r="R6234" t="s">
        <v>43172</v>
      </c>
      <c r="S6234" t="s">
        <v>43334</v>
      </c>
      <c r="T6234" t="s">
        <v>44796</v>
      </c>
      <c r="U6234" t="s">
        <v>50276</v>
      </c>
      <c r="W6234" t="s">
        <v>41486</v>
      </c>
      <c r="X6234" t="s">
        <v>43173</v>
      </c>
    </row>
    <row r="6235" spans="1:24">
      <c r="A6235">
        <f>HYPERLINK("https://www.philgeps.gov.ph/GEPSNONPILOT/Tender/SplashBidNoticeAbstractUI.aspx?menuIndex=3&amp;refID=7081293&amp;Result=3","7081293")</f>
        <v>0</v>
      </c>
      <c r="B6235" t="s">
        <v>2038</v>
      </c>
      <c r="C6235" t="s">
        <v>9354</v>
      </c>
      <c r="D6235" t="s">
        <v>17459</v>
      </c>
      <c r="E6235" t="s">
        <v>22877</v>
      </c>
      <c r="F6235" t="s">
        <v>30052</v>
      </c>
      <c r="G6235" t="s">
        <v>30059</v>
      </c>
      <c r="H6235" t="s">
        <v>15498</v>
      </c>
      <c r="I6235" t="s">
        <v>3606</v>
      </c>
      <c r="J6235" t="s">
        <v>30337</v>
      </c>
      <c r="K6235" t="s">
        <v>39039</v>
      </c>
      <c r="M6235" t="s">
        <v>41487</v>
      </c>
      <c r="N6235" t="s">
        <v>43166</v>
      </c>
      <c r="O6235" t="s">
        <v>43167</v>
      </c>
      <c r="P6235">
        <v>0</v>
      </c>
      <c r="Q6235">
        <v>0</v>
      </c>
      <c r="R6235" t="s">
        <v>43172</v>
      </c>
      <c r="S6235" t="s">
        <v>43334</v>
      </c>
      <c r="T6235" t="s">
        <v>44734</v>
      </c>
      <c r="U6235" t="s">
        <v>50277</v>
      </c>
      <c r="W6235" t="s">
        <v>41487</v>
      </c>
      <c r="X6235" t="s">
        <v>43173</v>
      </c>
    </row>
    <row r="6236" spans="1:24">
      <c r="A6236">
        <f>HYPERLINK("https://www.philgeps.gov.ph/GEPSNONPILOT/Tender/SplashBidNoticeAbstractUI.aspx?menuIndex=3&amp;refID=7081366&amp;Result=3","7081366")</f>
        <v>0</v>
      </c>
      <c r="B6236" t="s">
        <v>1682</v>
      </c>
      <c r="C6236" t="s">
        <v>9355</v>
      </c>
      <c r="D6236" t="s">
        <v>17453</v>
      </c>
      <c r="E6236" t="s">
        <v>22878</v>
      </c>
      <c r="F6236" t="s">
        <v>30052</v>
      </c>
      <c r="G6236" t="s">
        <v>30059</v>
      </c>
      <c r="H6236" t="s">
        <v>15498</v>
      </c>
      <c r="I6236" t="s">
        <v>4650</v>
      </c>
      <c r="J6236" t="s">
        <v>34105</v>
      </c>
      <c r="K6236" t="s">
        <v>39019</v>
      </c>
      <c r="M6236" t="s">
        <v>41118</v>
      </c>
      <c r="N6236" t="s">
        <v>43166</v>
      </c>
      <c r="O6236" t="s">
        <v>43167</v>
      </c>
      <c r="P6236">
        <v>0</v>
      </c>
      <c r="Q6236">
        <v>4</v>
      </c>
      <c r="R6236" t="s">
        <v>43172</v>
      </c>
      <c r="S6236" t="s">
        <v>43334</v>
      </c>
      <c r="T6236" t="s">
        <v>44737</v>
      </c>
      <c r="U6236" t="s">
        <v>50278</v>
      </c>
      <c r="W6236" t="s">
        <v>41118</v>
      </c>
      <c r="X6236" t="s">
        <v>43173</v>
      </c>
    </row>
    <row r="6237" spans="1:24">
      <c r="A6237">
        <f>HYPERLINK("https://www.philgeps.gov.ph/GEPSNONPILOT/Tender/SplashBidNoticeAbstractUI.aspx?menuIndex=3&amp;refID=7081323&amp;Result=3","7081323")</f>
        <v>0</v>
      </c>
      <c r="B6237" t="s">
        <v>202</v>
      </c>
      <c r="C6237" t="s">
        <v>9356</v>
      </c>
      <c r="D6237" t="s">
        <v>17461</v>
      </c>
      <c r="E6237" t="s">
        <v>22879</v>
      </c>
      <c r="F6237" t="s">
        <v>30052</v>
      </c>
      <c r="G6237" t="s">
        <v>30059</v>
      </c>
      <c r="H6237" t="s">
        <v>15498</v>
      </c>
      <c r="I6237" t="s">
        <v>30130</v>
      </c>
      <c r="J6237" t="s">
        <v>32865</v>
      </c>
      <c r="K6237" t="s">
        <v>39034</v>
      </c>
      <c r="L6237" t="s">
        <v>202</v>
      </c>
      <c r="M6237" t="s">
        <v>39492</v>
      </c>
      <c r="N6237" t="s">
        <v>43166</v>
      </c>
      <c r="O6237" t="s">
        <v>43167</v>
      </c>
      <c r="P6237">
        <v>0</v>
      </c>
      <c r="Q6237">
        <v>8</v>
      </c>
      <c r="R6237" t="s">
        <v>43172</v>
      </c>
      <c r="S6237" t="s">
        <v>43334</v>
      </c>
      <c r="T6237" t="s">
        <v>44862</v>
      </c>
      <c r="U6237" t="s">
        <v>45747</v>
      </c>
      <c r="W6237" t="s">
        <v>39492</v>
      </c>
      <c r="X6237" t="s">
        <v>43173</v>
      </c>
    </row>
    <row r="6238" spans="1:24">
      <c r="A6238">
        <f>HYPERLINK("https://www.philgeps.gov.ph/GEPSNONPILOT/Tender/SplashBidNoticeAbstractUI.aspx?menuIndex=3&amp;refID=7081376&amp;Result=3","7081376")</f>
        <v>0</v>
      </c>
      <c r="B6238" t="s">
        <v>2039</v>
      </c>
      <c r="C6238" t="s">
        <v>9357</v>
      </c>
      <c r="D6238" t="s">
        <v>17452</v>
      </c>
      <c r="E6238" t="s">
        <v>22880</v>
      </c>
      <c r="F6238" t="s">
        <v>30052</v>
      </c>
      <c r="G6238" t="s">
        <v>30058</v>
      </c>
      <c r="H6238" t="s">
        <v>30067</v>
      </c>
      <c r="I6238" t="s">
        <v>3693</v>
      </c>
      <c r="J6238" t="s">
        <v>34106</v>
      </c>
      <c r="K6238" t="s">
        <v>39130</v>
      </c>
      <c r="M6238" t="s">
        <v>41488</v>
      </c>
      <c r="N6238" t="s">
        <v>43166</v>
      </c>
      <c r="O6238" t="s">
        <v>43167</v>
      </c>
      <c r="P6238">
        <v>0</v>
      </c>
      <c r="Q6238">
        <v>1</v>
      </c>
      <c r="R6238" t="s">
        <v>43172</v>
      </c>
      <c r="S6238" t="s">
        <v>43334</v>
      </c>
      <c r="T6238" t="s">
        <v>44722</v>
      </c>
      <c r="U6238" t="s">
        <v>50279</v>
      </c>
      <c r="V6238" t="s">
        <v>57479</v>
      </c>
      <c r="W6238" t="s">
        <v>41488</v>
      </c>
      <c r="X6238" t="s">
        <v>43173</v>
      </c>
    </row>
    <row r="6239" spans="1:24">
      <c r="A6239">
        <f>HYPERLINK("https://www.philgeps.gov.ph/GEPSNONPILOT/Tender/SplashBidNoticeAbstractUI.aspx?menuIndex=3&amp;refID=7081320&amp;Result=3","7081320")</f>
        <v>0</v>
      </c>
      <c r="B6239" t="s">
        <v>1701</v>
      </c>
      <c r="C6239" t="s">
        <v>9358</v>
      </c>
      <c r="D6239" t="s">
        <v>17427</v>
      </c>
      <c r="E6239" t="s">
        <v>22881</v>
      </c>
      <c r="F6239" t="s">
        <v>30052</v>
      </c>
      <c r="G6239" t="s">
        <v>30062</v>
      </c>
      <c r="H6239" t="s">
        <v>15498</v>
      </c>
      <c r="I6239" t="s">
        <v>4650</v>
      </c>
      <c r="J6239" t="s">
        <v>30745</v>
      </c>
      <c r="K6239" t="s">
        <v>39025</v>
      </c>
      <c r="M6239" t="s">
        <v>41112</v>
      </c>
      <c r="N6239" t="s">
        <v>43166</v>
      </c>
      <c r="O6239" t="s">
        <v>43167</v>
      </c>
      <c r="P6239">
        <v>0</v>
      </c>
      <c r="Q6239">
        <v>7</v>
      </c>
      <c r="R6239" t="s">
        <v>43172</v>
      </c>
      <c r="S6239" t="s">
        <v>43334</v>
      </c>
      <c r="T6239" t="s">
        <v>44773</v>
      </c>
      <c r="U6239" t="s">
        <v>50280</v>
      </c>
      <c r="W6239" t="s">
        <v>41112</v>
      </c>
      <c r="X6239" t="s">
        <v>43173</v>
      </c>
    </row>
    <row r="6240" spans="1:24">
      <c r="A6240">
        <f>HYPERLINK("https://www.philgeps.gov.ph/GEPSNONPILOT/Tender/SplashBidNoticeAbstractUI.aspx?menuIndex=3&amp;refID=7081372&amp;Result=3","7081372")</f>
        <v>0</v>
      </c>
      <c r="B6240" t="s">
        <v>941</v>
      </c>
      <c r="C6240" t="s">
        <v>9359</v>
      </c>
      <c r="D6240" t="s">
        <v>17415</v>
      </c>
      <c r="E6240" t="s">
        <v>22882</v>
      </c>
      <c r="F6240" t="s">
        <v>30052</v>
      </c>
      <c r="G6240" t="s">
        <v>30059</v>
      </c>
      <c r="H6240" t="s">
        <v>15498</v>
      </c>
      <c r="I6240" t="s">
        <v>30086</v>
      </c>
      <c r="J6240" t="s">
        <v>30586</v>
      </c>
      <c r="K6240" t="s">
        <v>39025</v>
      </c>
      <c r="M6240" t="s">
        <v>40265</v>
      </c>
      <c r="N6240" t="s">
        <v>43166</v>
      </c>
      <c r="O6240" t="s">
        <v>43167</v>
      </c>
      <c r="Q6240">
        <v>8</v>
      </c>
      <c r="R6240" t="s">
        <v>43172</v>
      </c>
      <c r="S6240" t="s">
        <v>43362</v>
      </c>
      <c r="T6240" t="s">
        <v>44862</v>
      </c>
      <c r="U6240" t="s">
        <v>50281</v>
      </c>
      <c r="W6240" t="s">
        <v>40265</v>
      </c>
      <c r="X6240" t="s">
        <v>43173</v>
      </c>
    </row>
    <row r="6241" spans="1:24">
      <c r="A6241">
        <f>HYPERLINK("https://www.philgeps.gov.ph/GEPSNONPILOT/Tender/SplashBidNoticeAbstractUI.aspx?menuIndex=3&amp;refID=7081374&amp;Result=3","7081374")</f>
        <v>0</v>
      </c>
      <c r="B6241" t="s">
        <v>202</v>
      </c>
      <c r="C6241" t="s">
        <v>9360</v>
      </c>
      <c r="D6241" t="s">
        <v>17461</v>
      </c>
      <c r="E6241" t="s">
        <v>22883</v>
      </c>
      <c r="F6241" t="s">
        <v>30052</v>
      </c>
      <c r="G6241" t="s">
        <v>30059</v>
      </c>
      <c r="H6241" t="s">
        <v>15498</v>
      </c>
      <c r="I6241" t="s">
        <v>30094</v>
      </c>
      <c r="J6241" t="s">
        <v>34107</v>
      </c>
      <c r="K6241" t="s">
        <v>39029</v>
      </c>
      <c r="L6241" t="s">
        <v>202</v>
      </c>
      <c r="M6241" t="s">
        <v>39492</v>
      </c>
      <c r="N6241" t="s">
        <v>43166</v>
      </c>
      <c r="O6241" t="s">
        <v>43167</v>
      </c>
      <c r="P6241">
        <v>0</v>
      </c>
      <c r="Q6241">
        <v>0</v>
      </c>
      <c r="R6241" t="s">
        <v>43172</v>
      </c>
      <c r="S6241" t="s">
        <v>43334</v>
      </c>
      <c r="T6241" t="s">
        <v>44862</v>
      </c>
      <c r="U6241" t="s">
        <v>45747</v>
      </c>
      <c r="W6241" t="s">
        <v>39492</v>
      </c>
      <c r="X6241" t="s">
        <v>43173</v>
      </c>
    </row>
    <row r="6242" spans="1:24">
      <c r="A6242">
        <f>HYPERLINK("https://www.philgeps.gov.ph/GEPSNONPILOT/Tender/SplashBidNoticeAbstractUI.aspx?menuIndex=3&amp;refID=7081368&amp;Result=3","7081368")</f>
        <v>0</v>
      </c>
      <c r="B6242" t="s">
        <v>2036</v>
      </c>
      <c r="C6242" t="s">
        <v>9361</v>
      </c>
      <c r="D6242" t="s">
        <v>17415</v>
      </c>
      <c r="E6242" t="s">
        <v>22884</v>
      </c>
      <c r="F6242" t="s">
        <v>30052</v>
      </c>
      <c r="G6242" t="s">
        <v>30058</v>
      </c>
      <c r="H6242" t="s">
        <v>15498</v>
      </c>
      <c r="I6242" t="s">
        <v>30076</v>
      </c>
      <c r="J6242" t="s">
        <v>34108</v>
      </c>
      <c r="K6242" t="s">
        <v>39019</v>
      </c>
      <c r="M6242" t="s">
        <v>41485</v>
      </c>
      <c r="N6242" t="s">
        <v>43166</v>
      </c>
      <c r="O6242" t="s">
        <v>43167</v>
      </c>
      <c r="P6242">
        <v>0</v>
      </c>
      <c r="Q6242">
        <v>10</v>
      </c>
      <c r="R6242" t="s">
        <v>43172</v>
      </c>
      <c r="S6242" t="s">
        <v>43334</v>
      </c>
      <c r="T6242" t="s">
        <v>44789</v>
      </c>
      <c r="U6242" t="s">
        <v>50282</v>
      </c>
      <c r="W6242" t="s">
        <v>41485</v>
      </c>
      <c r="X6242" t="s">
        <v>43173</v>
      </c>
    </row>
    <row r="6243" spans="1:24">
      <c r="A6243">
        <f>HYPERLINK("https://www.philgeps.gov.ph/GEPSNONPILOT/Tender/SplashBidNoticeAbstractUI.aspx?menuIndex=3&amp;refID=7081276&amp;Result=3","7081276")</f>
        <v>0</v>
      </c>
      <c r="B6243" t="s">
        <v>629</v>
      </c>
      <c r="C6243" t="s">
        <v>9362</v>
      </c>
      <c r="D6243" t="s">
        <v>17415</v>
      </c>
      <c r="E6243" t="s">
        <v>22885</v>
      </c>
      <c r="F6243" t="s">
        <v>30052</v>
      </c>
      <c r="G6243" t="s">
        <v>30062</v>
      </c>
      <c r="H6243" t="s">
        <v>15498</v>
      </c>
      <c r="I6243" t="s">
        <v>4650</v>
      </c>
      <c r="J6243" t="s">
        <v>34109</v>
      </c>
      <c r="K6243" t="s">
        <v>39019</v>
      </c>
      <c r="M6243" t="s">
        <v>40046</v>
      </c>
      <c r="N6243" t="s">
        <v>43166</v>
      </c>
      <c r="O6243" t="s">
        <v>43167</v>
      </c>
      <c r="P6243">
        <v>0</v>
      </c>
      <c r="Q6243">
        <v>14</v>
      </c>
      <c r="R6243" t="s">
        <v>43172</v>
      </c>
      <c r="S6243" t="s">
        <v>43334</v>
      </c>
      <c r="T6243" t="s">
        <v>44717</v>
      </c>
      <c r="U6243" t="s">
        <v>50283</v>
      </c>
      <c r="V6243" t="s">
        <v>57301</v>
      </c>
      <c r="W6243" t="s">
        <v>40046</v>
      </c>
      <c r="X6243" t="s">
        <v>43173</v>
      </c>
    </row>
    <row r="6244" spans="1:24">
      <c r="A6244">
        <f>HYPERLINK("https://www.philgeps.gov.ph/GEPSNONPILOT/Tender/SplashBidNoticeAbstractUI.aspx?menuIndex=3&amp;refID=7081365&amp;Result=3","7081365")</f>
        <v>0</v>
      </c>
      <c r="B6244" t="s">
        <v>202</v>
      </c>
      <c r="C6244" t="s">
        <v>9363</v>
      </c>
      <c r="D6244" t="s">
        <v>17461</v>
      </c>
      <c r="E6244" t="s">
        <v>22886</v>
      </c>
      <c r="F6244" t="s">
        <v>30052</v>
      </c>
      <c r="G6244" t="s">
        <v>30059</v>
      </c>
      <c r="H6244" t="s">
        <v>15498</v>
      </c>
      <c r="I6244" t="s">
        <v>30109</v>
      </c>
      <c r="J6244" t="s">
        <v>34110</v>
      </c>
      <c r="K6244" t="s">
        <v>39034</v>
      </c>
      <c r="L6244" t="s">
        <v>202</v>
      </c>
      <c r="M6244" t="s">
        <v>39492</v>
      </c>
      <c r="N6244" t="s">
        <v>43166</v>
      </c>
      <c r="O6244" t="s">
        <v>43167</v>
      </c>
      <c r="P6244">
        <v>0</v>
      </c>
      <c r="Q6244">
        <v>0</v>
      </c>
      <c r="R6244" t="s">
        <v>43172</v>
      </c>
      <c r="S6244" t="s">
        <v>43334</v>
      </c>
      <c r="T6244" t="s">
        <v>44862</v>
      </c>
      <c r="U6244" t="s">
        <v>45747</v>
      </c>
      <c r="W6244" t="s">
        <v>39492</v>
      </c>
      <c r="X6244" t="s">
        <v>43173</v>
      </c>
    </row>
    <row r="6245" spans="1:24">
      <c r="A6245">
        <f>HYPERLINK("https://www.philgeps.gov.ph/GEPSNONPILOT/Tender/SplashBidNoticeAbstractUI.aspx?menuIndex=3&amp;refID=7081363&amp;Result=3","7081363")</f>
        <v>0</v>
      </c>
      <c r="B6245" t="s">
        <v>1313</v>
      </c>
      <c r="C6245" t="s">
        <v>9364</v>
      </c>
      <c r="D6245" t="s">
        <v>17415</v>
      </c>
      <c r="E6245" t="s">
        <v>22887</v>
      </c>
      <c r="F6245" t="s">
        <v>30052</v>
      </c>
      <c r="G6245" t="s">
        <v>30059</v>
      </c>
      <c r="H6245" t="s">
        <v>15498</v>
      </c>
      <c r="I6245" t="s">
        <v>3852</v>
      </c>
      <c r="J6245" t="s">
        <v>34111</v>
      </c>
      <c r="K6245" t="s">
        <v>39017</v>
      </c>
      <c r="M6245" t="s">
        <v>41489</v>
      </c>
      <c r="N6245" t="s">
        <v>43166</v>
      </c>
      <c r="O6245" t="s">
        <v>43167</v>
      </c>
      <c r="P6245">
        <v>0</v>
      </c>
      <c r="Q6245">
        <v>0</v>
      </c>
      <c r="R6245" t="s">
        <v>43172</v>
      </c>
      <c r="S6245" t="s">
        <v>43334</v>
      </c>
      <c r="T6245" t="s">
        <v>44717</v>
      </c>
      <c r="U6245" t="s">
        <v>48116</v>
      </c>
      <c r="W6245" t="s">
        <v>41489</v>
      </c>
      <c r="X6245" t="s">
        <v>43173</v>
      </c>
    </row>
    <row r="6246" spans="1:24">
      <c r="A6246">
        <f>HYPERLINK("https://www.philgeps.gov.ph/GEPSNONPILOT/Tender/SplashBidNoticeAbstractUI.aspx?menuIndex=3&amp;refID=7081360&amp;Result=3","7081360")</f>
        <v>0</v>
      </c>
      <c r="B6246" t="s">
        <v>102</v>
      </c>
      <c r="C6246" t="s">
        <v>9365</v>
      </c>
      <c r="D6246" t="s">
        <v>17433</v>
      </c>
      <c r="E6246" t="s">
        <v>22753</v>
      </c>
      <c r="F6246" t="s">
        <v>30052</v>
      </c>
      <c r="G6246" t="s">
        <v>30058</v>
      </c>
      <c r="H6246" t="s">
        <v>15498</v>
      </c>
      <c r="I6246" t="s">
        <v>30097</v>
      </c>
      <c r="J6246" t="s">
        <v>30252</v>
      </c>
      <c r="K6246" t="s">
        <v>39029</v>
      </c>
      <c r="M6246" t="s">
        <v>39391</v>
      </c>
      <c r="N6246" t="s">
        <v>43166</v>
      </c>
      <c r="O6246" t="s">
        <v>43167</v>
      </c>
      <c r="P6246">
        <v>0</v>
      </c>
      <c r="Q6246">
        <v>0</v>
      </c>
      <c r="R6246" t="s">
        <v>43172</v>
      </c>
      <c r="S6246" t="s">
        <v>43334</v>
      </c>
      <c r="T6246" t="s">
        <v>44789</v>
      </c>
      <c r="U6246" t="s">
        <v>50284</v>
      </c>
      <c r="W6246" t="s">
        <v>39391</v>
      </c>
      <c r="X6246" t="s">
        <v>43173</v>
      </c>
    </row>
    <row r="6247" spans="1:24">
      <c r="A6247">
        <f>HYPERLINK("https://www.philgeps.gov.ph/GEPSNONPILOT/Tender/SplashBidNoticeAbstractUI.aspx?menuIndex=3&amp;refID=7081371&amp;Result=3","7081371")</f>
        <v>0</v>
      </c>
      <c r="B6247" t="s">
        <v>1255</v>
      </c>
      <c r="C6247" t="s">
        <v>9366</v>
      </c>
      <c r="D6247" t="s">
        <v>17455</v>
      </c>
      <c r="E6247" t="s">
        <v>22888</v>
      </c>
      <c r="F6247" t="s">
        <v>30052</v>
      </c>
      <c r="G6247" t="s">
        <v>30061</v>
      </c>
      <c r="H6247" t="s">
        <v>15498</v>
      </c>
      <c r="I6247" t="s">
        <v>30084</v>
      </c>
      <c r="J6247" t="s">
        <v>30890</v>
      </c>
      <c r="K6247" t="s">
        <v>39029</v>
      </c>
      <c r="M6247" t="s">
        <v>41490</v>
      </c>
      <c r="N6247" t="s">
        <v>43166</v>
      </c>
      <c r="O6247" t="s">
        <v>43167</v>
      </c>
      <c r="P6247">
        <v>0</v>
      </c>
      <c r="Q6247">
        <v>7</v>
      </c>
      <c r="R6247" t="s">
        <v>43172</v>
      </c>
      <c r="S6247" t="s">
        <v>43334</v>
      </c>
      <c r="T6247" t="s">
        <v>44856</v>
      </c>
      <c r="U6247" t="s">
        <v>45625</v>
      </c>
      <c r="W6247" t="s">
        <v>41490</v>
      </c>
      <c r="X6247" t="s">
        <v>43173</v>
      </c>
    </row>
    <row r="6248" spans="1:24">
      <c r="A6248">
        <f>HYPERLINK("https://www.philgeps.gov.ph/GEPSNONPILOT/Tender/SplashBidNoticeAbstractUI.aspx?menuIndex=3&amp;refID=7081367&amp;Result=3","7081367")</f>
        <v>0</v>
      </c>
      <c r="B6248" t="s">
        <v>1067</v>
      </c>
      <c r="C6248" t="s">
        <v>9367</v>
      </c>
      <c r="D6248" t="s">
        <v>17422</v>
      </c>
      <c r="E6248" t="s">
        <v>22889</v>
      </c>
      <c r="F6248" t="s">
        <v>30052</v>
      </c>
      <c r="G6248" t="s">
        <v>30058</v>
      </c>
      <c r="H6248" t="s">
        <v>15498</v>
      </c>
      <c r="I6248" t="s">
        <v>3736</v>
      </c>
      <c r="J6248" t="s">
        <v>34112</v>
      </c>
      <c r="K6248" t="s">
        <v>39046</v>
      </c>
      <c r="M6248" t="s">
        <v>40402</v>
      </c>
      <c r="N6248" t="s">
        <v>43166</v>
      </c>
      <c r="O6248" t="s">
        <v>43167</v>
      </c>
      <c r="P6248">
        <v>0</v>
      </c>
      <c r="Q6248">
        <v>3</v>
      </c>
      <c r="R6248" t="s">
        <v>43172</v>
      </c>
      <c r="S6248" t="s">
        <v>43334</v>
      </c>
      <c r="T6248" t="s">
        <v>44722</v>
      </c>
      <c r="U6248" t="s">
        <v>50285</v>
      </c>
      <c r="V6248" t="s">
        <v>57480</v>
      </c>
      <c r="W6248" t="s">
        <v>40402</v>
      </c>
      <c r="X6248" t="s">
        <v>43173</v>
      </c>
    </row>
    <row r="6249" spans="1:24">
      <c r="A6249">
        <f>HYPERLINK("https://www.philgeps.gov.ph/GEPSNONPILOT/Tender/SplashBidNoticeAbstractUI.aspx?menuIndex=3&amp;refID=7081304&amp;Result=3","7081304")</f>
        <v>0</v>
      </c>
      <c r="B6249" t="s">
        <v>1255</v>
      </c>
      <c r="C6249" t="s">
        <v>9368</v>
      </c>
      <c r="E6249" t="s">
        <v>22890</v>
      </c>
      <c r="F6249" t="s">
        <v>30052</v>
      </c>
      <c r="G6249" t="s">
        <v>30061</v>
      </c>
      <c r="H6249" t="s">
        <v>15498</v>
      </c>
      <c r="I6249" t="s">
        <v>30084</v>
      </c>
      <c r="J6249" t="s">
        <v>30508</v>
      </c>
      <c r="K6249" t="s">
        <v>39029</v>
      </c>
      <c r="M6249" t="s">
        <v>41490</v>
      </c>
      <c r="N6249" t="s">
        <v>43166</v>
      </c>
      <c r="O6249" t="s">
        <v>43167</v>
      </c>
      <c r="P6249">
        <v>0</v>
      </c>
      <c r="Q6249">
        <v>6</v>
      </c>
      <c r="R6249" t="s">
        <v>43172</v>
      </c>
      <c r="S6249" t="s">
        <v>43334</v>
      </c>
      <c r="T6249" t="s">
        <v>44856</v>
      </c>
      <c r="U6249" t="s">
        <v>45625</v>
      </c>
      <c r="W6249" t="s">
        <v>41490</v>
      </c>
      <c r="X6249" t="s">
        <v>43173</v>
      </c>
    </row>
    <row r="6250" spans="1:24">
      <c r="A6250">
        <f>HYPERLINK("https://www.philgeps.gov.ph/GEPSNONPILOT/Tender/SplashBidNoticeAbstractUI.aspx?menuIndex=3&amp;refID=7081358&amp;Result=3","7081358")</f>
        <v>0</v>
      </c>
      <c r="B6250" t="s">
        <v>1028</v>
      </c>
      <c r="C6250" t="s">
        <v>9369</v>
      </c>
      <c r="D6250" t="s">
        <v>17450</v>
      </c>
      <c r="E6250" t="s">
        <v>22891</v>
      </c>
      <c r="F6250" t="s">
        <v>30052</v>
      </c>
      <c r="G6250" t="s">
        <v>30059</v>
      </c>
      <c r="H6250" t="s">
        <v>15498</v>
      </c>
      <c r="I6250" t="s">
        <v>6691</v>
      </c>
      <c r="J6250" t="s">
        <v>34113</v>
      </c>
      <c r="K6250" t="s">
        <v>39035</v>
      </c>
      <c r="M6250" t="s">
        <v>40357</v>
      </c>
      <c r="N6250" t="s">
        <v>43166</v>
      </c>
      <c r="O6250" t="s">
        <v>43167</v>
      </c>
      <c r="P6250">
        <v>0</v>
      </c>
      <c r="Q6250">
        <v>0</v>
      </c>
      <c r="R6250" t="s">
        <v>43172</v>
      </c>
      <c r="S6250" t="s">
        <v>43334</v>
      </c>
      <c r="T6250" t="s">
        <v>44691</v>
      </c>
      <c r="U6250" t="s">
        <v>47341</v>
      </c>
      <c r="W6250" t="s">
        <v>40357</v>
      </c>
      <c r="X6250" t="s">
        <v>43173</v>
      </c>
    </row>
    <row r="6251" spans="1:24">
      <c r="A6251">
        <f>HYPERLINK("https://www.philgeps.gov.ph/GEPSNONPILOT/Tender/SplashBidNoticeAbstractUI.aspx?menuIndex=3&amp;refID=7081353&amp;Result=3","7081353")</f>
        <v>0</v>
      </c>
      <c r="B6251" t="s">
        <v>1927</v>
      </c>
      <c r="C6251" t="s">
        <v>9370</v>
      </c>
      <c r="D6251" t="s">
        <v>17439</v>
      </c>
      <c r="E6251" t="s">
        <v>22892</v>
      </c>
      <c r="F6251" t="s">
        <v>30052</v>
      </c>
      <c r="G6251" t="s">
        <v>30058</v>
      </c>
      <c r="H6251" t="s">
        <v>30067</v>
      </c>
      <c r="I6251" t="s">
        <v>3693</v>
      </c>
      <c r="J6251" t="s">
        <v>34114</v>
      </c>
      <c r="K6251" t="s">
        <v>39054</v>
      </c>
      <c r="M6251" t="s">
        <v>41360</v>
      </c>
      <c r="N6251" t="s">
        <v>43166</v>
      </c>
      <c r="O6251" t="s">
        <v>43167</v>
      </c>
      <c r="P6251">
        <v>0</v>
      </c>
      <c r="Q6251">
        <v>2</v>
      </c>
      <c r="R6251" t="s">
        <v>43172</v>
      </c>
      <c r="S6251" t="s">
        <v>43334</v>
      </c>
      <c r="T6251" t="s">
        <v>44892</v>
      </c>
      <c r="U6251" t="s">
        <v>50286</v>
      </c>
      <c r="V6251" t="s">
        <v>57442</v>
      </c>
      <c r="W6251" t="s">
        <v>41360</v>
      </c>
      <c r="X6251" t="s">
        <v>43173</v>
      </c>
    </row>
    <row r="6252" spans="1:24">
      <c r="A6252">
        <f>HYPERLINK("https://www.philgeps.gov.ph/GEPSNONPILOT/Tender/SplashBidNoticeAbstractUI.aspx?menuIndex=3&amp;refID=7081362&amp;Result=3","7081362")</f>
        <v>0</v>
      </c>
      <c r="B6252" t="s">
        <v>2039</v>
      </c>
      <c r="C6252" t="s">
        <v>9371</v>
      </c>
      <c r="D6252" t="s">
        <v>17452</v>
      </c>
      <c r="E6252" t="s">
        <v>22893</v>
      </c>
      <c r="F6252" t="s">
        <v>30052</v>
      </c>
      <c r="G6252" t="s">
        <v>30058</v>
      </c>
      <c r="H6252" t="s">
        <v>30067</v>
      </c>
      <c r="I6252" t="s">
        <v>3693</v>
      </c>
      <c r="J6252" t="s">
        <v>34115</v>
      </c>
      <c r="K6252" t="s">
        <v>39130</v>
      </c>
      <c r="M6252" t="s">
        <v>41488</v>
      </c>
      <c r="N6252" t="s">
        <v>43166</v>
      </c>
      <c r="O6252" t="s">
        <v>43167</v>
      </c>
      <c r="P6252">
        <v>0</v>
      </c>
      <c r="Q6252">
        <v>1</v>
      </c>
      <c r="R6252" t="s">
        <v>43172</v>
      </c>
      <c r="S6252" t="s">
        <v>43334</v>
      </c>
      <c r="T6252" t="s">
        <v>44722</v>
      </c>
      <c r="U6252" t="s">
        <v>50287</v>
      </c>
      <c r="V6252" t="s">
        <v>57481</v>
      </c>
      <c r="W6252" t="s">
        <v>41488</v>
      </c>
      <c r="X6252" t="s">
        <v>43173</v>
      </c>
    </row>
    <row r="6253" spans="1:24">
      <c r="A6253">
        <f>HYPERLINK("https://www.philgeps.gov.ph/GEPSNONPILOT/Tender/SplashBidNoticeAbstractUI.aspx?menuIndex=3&amp;refID=7081339&amp;Result=3","7081339")</f>
        <v>0</v>
      </c>
      <c r="B6253" t="s">
        <v>344</v>
      </c>
      <c r="C6253" t="s">
        <v>9372</v>
      </c>
      <c r="D6253" t="s">
        <v>17461</v>
      </c>
      <c r="E6253" t="s">
        <v>22894</v>
      </c>
      <c r="F6253" t="s">
        <v>30052</v>
      </c>
      <c r="G6253" t="s">
        <v>30058</v>
      </c>
      <c r="H6253" t="s">
        <v>15498</v>
      </c>
      <c r="I6253" t="s">
        <v>30085</v>
      </c>
      <c r="J6253" t="s">
        <v>34116</v>
      </c>
      <c r="K6253" t="s">
        <v>39064</v>
      </c>
      <c r="M6253" t="s">
        <v>39641</v>
      </c>
      <c r="N6253" t="s">
        <v>43166</v>
      </c>
      <c r="O6253" t="s">
        <v>43167</v>
      </c>
      <c r="P6253">
        <v>0</v>
      </c>
      <c r="Q6253">
        <v>2</v>
      </c>
      <c r="R6253" t="s">
        <v>43172</v>
      </c>
      <c r="S6253" t="s">
        <v>43334</v>
      </c>
      <c r="T6253" t="s">
        <v>44678</v>
      </c>
      <c r="U6253" t="s">
        <v>50288</v>
      </c>
      <c r="V6253" t="s">
        <v>57465</v>
      </c>
      <c r="W6253" t="s">
        <v>39641</v>
      </c>
      <c r="X6253" t="s">
        <v>43173</v>
      </c>
    </row>
    <row r="6254" spans="1:24">
      <c r="A6254">
        <f>HYPERLINK("https://www.philgeps.gov.ph/GEPSNONPILOT/Tender/SplashBidNoticeAbstractUI.aspx?menuIndex=3&amp;refID=7081352&amp;Result=3","7081352")</f>
        <v>0</v>
      </c>
      <c r="B6254" t="s">
        <v>2040</v>
      </c>
      <c r="C6254" t="s">
        <v>9373</v>
      </c>
      <c r="D6254" t="s">
        <v>17496</v>
      </c>
      <c r="E6254" t="s">
        <v>22895</v>
      </c>
      <c r="F6254" t="s">
        <v>30052</v>
      </c>
      <c r="G6254" t="s">
        <v>30058</v>
      </c>
      <c r="H6254" t="s">
        <v>15498</v>
      </c>
      <c r="I6254" t="s">
        <v>3736</v>
      </c>
      <c r="J6254" t="s">
        <v>34117</v>
      </c>
      <c r="K6254" t="s">
        <v>39019</v>
      </c>
      <c r="M6254" t="s">
        <v>41491</v>
      </c>
      <c r="N6254" t="s">
        <v>43166</v>
      </c>
      <c r="O6254" t="s">
        <v>43167</v>
      </c>
      <c r="P6254">
        <v>0</v>
      </c>
      <c r="Q6254">
        <v>1</v>
      </c>
      <c r="R6254" t="s">
        <v>43172</v>
      </c>
      <c r="S6254" t="s">
        <v>43334</v>
      </c>
      <c r="T6254" t="s">
        <v>44828</v>
      </c>
      <c r="U6254" t="s">
        <v>50289</v>
      </c>
      <c r="W6254" t="s">
        <v>41491</v>
      </c>
      <c r="X6254" t="s">
        <v>43173</v>
      </c>
    </row>
    <row r="6255" spans="1:24">
      <c r="A6255">
        <f>HYPERLINK("https://www.philgeps.gov.ph/GEPSNONPILOT/Tender/SplashBidNoticeAbstractUI.aspx?menuIndex=3&amp;refID=7081351&amp;Result=3","7081351")</f>
        <v>0</v>
      </c>
      <c r="B6255" t="s">
        <v>202</v>
      </c>
      <c r="C6255" t="s">
        <v>9374</v>
      </c>
      <c r="D6255" t="s">
        <v>17461</v>
      </c>
      <c r="E6255" t="s">
        <v>22896</v>
      </c>
      <c r="F6255" t="s">
        <v>30052</v>
      </c>
      <c r="G6255" t="s">
        <v>30059</v>
      </c>
      <c r="H6255" t="s">
        <v>15498</v>
      </c>
      <c r="I6255" t="s">
        <v>30098</v>
      </c>
      <c r="J6255" t="s">
        <v>34118</v>
      </c>
      <c r="K6255" t="s">
        <v>39034</v>
      </c>
      <c r="L6255" t="s">
        <v>202</v>
      </c>
      <c r="M6255" t="s">
        <v>39492</v>
      </c>
      <c r="N6255" t="s">
        <v>43166</v>
      </c>
      <c r="O6255" t="s">
        <v>43167</v>
      </c>
      <c r="P6255">
        <v>0</v>
      </c>
      <c r="Q6255">
        <v>2</v>
      </c>
      <c r="R6255" t="s">
        <v>43172</v>
      </c>
      <c r="S6255" t="s">
        <v>43334</v>
      </c>
      <c r="T6255" t="s">
        <v>44862</v>
      </c>
      <c r="U6255" t="s">
        <v>45747</v>
      </c>
      <c r="W6255" t="s">
        <v>39492</v>
      </c>
      <c r="X6255" t="s">
        <v>43173</v>
      </c>
    </row>
    <row r="6256" spans="1:24">
      <c r="A6256">
        <f>HYPERLINK("https://www.philgeps.gov.ph/GEPSNONPILOT/Tender/SplashBidNoticeAbstractUI.aspx?menuIndex=3&amp;refID=7081350&amp;Result=3","7081350")</f>
        <v>0</v>
      </c>
      <c r="B6256" t="s">
        <v>2008</v>
      </c>
      <c r="C6256" t="s">
        <v>9322</v>
      </c>
      <c r="D6256" t="s">
        <v>17459</v>
      </c>
      <c r="E6256" t="s">
        <v>18885</v>
      </c>
      <c r="F6256" t="s">
        <v>30052</v>
      </c>
      <c r="G6256" t="s">
        <v>30058</v>
      </c>
      <c r="H6256" t="s">
        <v>30067</v>
      </c>
      <c r="I6256" t="s">
        <v>3693</v>
      </c>
      <c r="J6256" t="s">
        <v>30222</v>
      </c>
      <c r="K6256" t="s">
        <v>39065</v>
      </c>
      <c r="M6256" t="s">
        <v>41452</v>
      </c>
      <c r="N6256" t="s">
        <v>43166</v>
      </c>
      <c r="O6256" t="s">
        <v>43167</v>
      </c>
      <c r="P6256">
        <v>0</v>
      </c>
      <c r="Q6256">
        <v>0</v>
      </c>
      <c r="R6256" t="s">
        <v>43172</v>
      </c>
      <c r="S6256" t="s">
        <v>43334</v>
      </c>
      <c r="T6256" t="s">
        <v>44796</v>
      </c>
      <c r="U6256" t="s">
        <v>50290</v>
      </c>
      <c r="W6256" t="s">
        <v>41452</v>
      </c>
      <c r="X6256" t="s">
        <v>43173</v>
      </c>
    </row>
    <row r="6257" spans="1:24">
      <c r="A6257">
        <f>HYPERLINK("https://www.philgeps.gov.ph/GEPSNONPILOT/Tender/SplashBidNoticeAbstractUI.aspx?menuIndex=3&amp;refID=7081317&amp;Result=3","7081317")</f>
        <v>0</v>
      </c>
      <c r="B6257" t="s">
        <v>2041</v>
      </c>
      <c r="C6257" t="s">
        <v>9375</v>
      </c>
      <c r="D6257" t="s">
        <v>17449</v>
      </c>
      <c r="E6257" t="s">
        <v>22897</v>
      </c>
      <c r="F6257" t="s">
        <v>30052</v>
      </c>
      <c r="G6257" t="s">
        <v>30059</v>
      </c>
      <c r="H6257" t="s">
        <v>15498</v>
      </c>
      <c r="I6257" t="s">
        <v>3852</v>
      </c>
      <c r="J6257" t="s">
        <v>31184</v>
      </c>
      <c r="K6257" t="s">
        <v>39017</v>
      </c>
      <c r="M6257" t="s">
        <v>41492</v>
      </c>
      <c r="N6257" t="s">
        <v>43166</v>
      </c>
      <c r="O6257" t="s">
        <v>43167</v>
      </c>
      <c r="P6257">
        <v>0</v>
      </c>
      <c r="Q6257">
        <v>2</v>
      </c>
      <c r="R6257" t="s">
        <v>43172</v>
      </c>
      <c r="S6257" t="s">
        <v>43334</v>
      </c>
      <c r="T6257" t="s">
        <v>44773</v>
      </c>
      <c r="U6257" t="s">
        <v>50291</v>
      </c>
      <c r="W6257" t="s">
        <v>41492</v>
      </c>
      <c r="X6257" t="s">
        <v>43173</v>
      </c>
    </row>
    <row r="6258" spans="1:24">
      <c r="A6258">
        <f>HYPERLINK("https://www.philgeps.gov.ph/GEPSNONPILOT/Tender/SplashBidNoticeAbstractUI.aspx?menuIndex=3&amp;refID=7081359&amp;Result=3","7081359")</f>
        <v>0</v>
      </c>
      <c r="B6258" t="s">
        <v>344</v>
      </c>
      <c r="C6258" t="s">
        <v>9376</v>
      </c>
      <c r="D6258" t="s">
        <v>17461</v>
      </c>
      <c r="E6258" t="s">
        <v>22898</v>
      </c>
      <c r="F6258" t="s">
        <v>30052</v>
      </c>
      <c r="G6258" t="s">
        <v>30058</v>
      </c>
      <c r="H6258" t="s">
        <v>15498</v>
      </c>
      <c r="I6258" t="s">
        <v>30085</v>
      </c>
      <c r="J6258" t="s">
        <v>34119</v>
      </c>
      <c r="K6258" t="s">
        <v>39064</v>
      </c>
      <c r="M6258" t="s">
        <v>39641</v>
      </c>
      <c r="N6258" t="s">
        <v>43166</v>
      </c>
      <c r="O6258" t="s">
        <v>43167</v>
      </c>
      <c r="P6258">
        <v>0</v>
      </c>
      <c r="Q6258">
        <v>0</v>
      </c>
      <c r="R6258" t="s">
        <v>43172</v>
      </c>
      <c r="S6258" t="s">
        <v>43334</v>
      </c>
      <c r="T6258" t="s">
        <v>44678</v>
      </c>
      <c r="U6258" t="s">
        <v>50292</v>
      </c>
      <c r="V6258" t="s">
        <v>57465</v>
      </c>
      <c r="W6258" t="s">
        <v>39641</v>
      </c>
      <c r="X6258" t="s">
        <v>43173</v>
      </c>
    </row>
    <row r="6259" spans="1:24">
      <c r="A6259">
        <f>HYPERLINK("https://www.philgeps.gov.ph/GEPSNONPILOT/Tender/SplashBidNoticeAbstractUI.aspx?menuIndex=3&amp;refID=7081311&amp;Result=3","7081311")</f>
        <v>0</v>
      </c>
      <c r="B6259" t="s">
        <v>2042</v>
      </c>
      <c r="C6259" t="s">
        <v>9377</v>
      </c>
      <c r="D6259" t="s">
        <v>17455</v>
      </c>
      <c r="E6259" t="s">
        <v>22899</v>
      </c>
      <c r="F6259" t="s">
        <v>30052</v>
      </c>
      <c r="G6259" t="s">
        <v>30058</v>
      </c>
      <c r="H6259" t="s">
        <v>30067</v>
      </c>
      <c r="I6259" t="s">
        <v>3693</v>
      </c>
      <c r="J6259" t="s">
        <v>34120</v>
      </c>
      <c r="K6259" t="s">
        <v>39016</v>
      </c>
      <c r="M6259" t="s">
        <v>41493</v>
      </c>
      <c r="N6259" t="s">
        <v>43166</v>
      </c>
      <c r="O6259" t="s">
        <v>43167</v>
      </c>
      <c r="P6259">
        <v>0</v>
      </c>
      <c r="Q6259">
        <v>2</v>
      </c>
      <c r="R6259" t="s">
        <v>43172</v>
      </c>
      <c r="S6259" t="s">
        <v>43334</v>
      </c>
      <c r="T6259" t="s">
        <v>44873</v>
      </c>
      <c r="U6259" t="s">
        <v>50293</v>
      </c>
      <c r="W6259" t="s">
        <v>41493</v>
      </c>
      <c r="X6259" t="s">
        <v>43173</v>
      </c>
    </row>
    <row r="6260" spans="1:24">
      <c r="A6260">
        <f>HYPERLINK("https://www.philgeps.gov.ph/GEPSNONPILOT/Tender/SplashBidNoticeAbstractUI.aspx?menuIndex=3&amp;refID=7081306&amp;Result=3","7081306")</f>
        <v>0</v>
      </c>
      <c r="B6260" t="s">
        <v>1940</v>
      </c>
      <c r="C6260" t="s">
        <v>9378</v>
      </c>
      <c r="D6260" t="s">
        <v>17427</v>
      </c>
      <c r="E6260" t="s">
        <v>22900</v>
      </c>
      <c r="F6260" t="s">
        <v>30052</v>
      </c>
      <c r="G6260" t="s">
        <v>30059</v>
      </c>
      <c r="H6260" t="s">
        <v>15498</v>
      </c>
      <c r="I6260" t="s">
        <v>3736</v>
      </c>
      <c r="J6260" t="s">
        <v>34121</v>
      </c>
      <c r="K6260" t="s">
        <v>39025</v>
      </c>
      <c r="M6260" t="s">
        <v>41375</v>
      </c>
      <c r="N6260" t="s">
        <v>43166</v>
      </c>
      <c r="O6260" t="s">
        <v>43167</v>
      </c>
      <c r="P6260">
        <v>0</v>
      </c>
      <c r="Q6260">
        <v>0</v>
      </c>
      <c r="R6260" t="s">
        <v>43172</v>
      </c>
      <c r="S6260" t="s">
        <v>43334</v>
      </c>
      <c r="T6260" t="s">
        <v>44844</v>
      </c>
      <c r="U6260" t="s">
        <v>50294</v>
      </c>
      <c r="W6260" t="s">
        <v>41375</v>
      </c>
      <c r="X6260" t="s">
        <v>43173</v>
      </c>
    </row>
    <row r="6261" spans="1:24">
      <c r="A6261">
        <f>HYPERLINK("https://www.philgeps.gov.ph/GEPSNONPILOT/Tender/SplashBidNoticeAbstractUI.aspx?menuIndex=3&amp;refID=7081356&amp;Result=3","7081356")</f>
        <v>0</v>
      </c>
      <c r="B6261" t="s">
        <v>202</v>
      </c>
      <c r="C6261" t="s">
        <v>9379</v>
      </c>
      <c r="D6261" t="s">
        <v>17461</v>
      </c>
      <c r="E6261" t="s">
        <v>22901</v>
      </c>
      <c r="F6261" t="s">
        <v>30052</v>
      </c>
      <c r="G6261" t="s">
        <v>30059</v>
      </c>
      <c r="H6261" t="s">
        <v>15498</v>
      </c>
      <c r="I6261" t="s">
        <v>4650</v>
      </c>
      <c r="J6261" t="s">
        <v>30586</v>
      </c>
      <c r="K6261" t="s">
        <v>39037</v>
      </c>
      <c r="L6261" t="s">
        <v>202</v>
      </c>
      <c r="M6261" t="s">
        <v>39492</v>
      </c>
      <c r="N6261" t="s">
        <v>43166</v>
      </c>
      <c r="O6261" t="s">
        <v>43167</v>
      </c>
      <c r="P6261">
        <v>0</v>
      </c>
      <c r="Q6261">
        <v>9</v>
      </c>
      <c r="R6261" t="s">
        <v>43172</v>
      </c>
      <c r="S6261" t="s">
        <v>43334</v>
      </c>
      <c r="T6261" t="s">
        <v>44862</v>
      </c>
      <c r="U6261" t="s">
        <v>45747</v>
      </c>
      <c r="W6261" t="s">
        <v>39492</v>
      </c>
      <c r="X6261" t="s">
        <v>43173</v>
      </c>
    </row>
    <row r="6262" spans="1:24">
      <c r="A6262">
        <f>HYPERLINK("https://www.philgeps.gov.ph/GEPSNONPILOT/Tender/SplashBidNoticeAbstractUI.aspx?menuIndex=3&amp;refID=7081305&amp;Result=3","7081305")</f>
        <v>0</v>
      </c>
      <c r="B6262" t="s">
        <v>202</v>
      </c>
      <c r="C6262" t="s">
        <v>9380</v>
      </c>
      <c r="D6262" t="s">
        <v>17461</v>
      </c>
      <c r="E6262" t="s">
        <v>22902</v>
      </c>
      <c r="F6262" t="s">
        <v>30052</v>
      </c>
      <c r="G6262" t="s">
        <v>30059</v>
      </c>
      <c r="H6262" t="s">
        <v>15498</v>
      </c>
      <c r="I6262" t="s">
        <v>30172</v>
      </c>
      <c r="J6262" t="s">
        <v>34122</v>
      </c>
      <c r="K6262" t="s">
        <v>39034</v>
      </c>
      <c r="L6262" t="s">
        <v>202</v>
      </c>
      <c r="M6262" t="s">
        <v>39492</v>
      </c>
      <c r="N6262" t="s">
        <v>43166</v>
      </c>
      <c r="O6262" t="s">
        <v>43167</v>
      </c>
      <c r="P6262">
        <v>0</v>
      </c>
      <c r="Q6262">
        <v>0</v>
      </c>
      <c r="R6262" t="s">
        <v>43172</v>
      </c>
      <c r="S6262" t="s">
        <v>43334</v>
      </c>
      <c r="T6262" t="s">
        <v>44862</v>
      </c>
      <c r="U6262" t="s">
        <v>45747</v>
      </c>
      <c r="W6262" t="s">
        <v>39492</v>
      </c>
      <c r="X6262" t="s">
        <v>43173</v>
      </c>
    </row>
    <row r="6263" spans="1:24">
      <c r="A6263">
        <f>HYPERLINK("https://www.philgeps.gov.ph/GEPSNONPILOT/Tender/SplashBidNoticeAbstractUI.aspx?menuIndex=3&amp;refID=7081318&amp;Result=3","7081318")</f>
        <v>0</v>
      </c>
      <c r="B6263" t="s">
        <v>1028</v>
      </c>
      <c r="C6263" t="s">
        <v>9381</v>
      </c>
      <c r="D6263" t="s">
        <v>17450</v>
      </c>
      <c r="E6263" t="s">
        <v>22903</v>
      </c>
      <c r="F6263" t="s">
        <v>30052</v>
      </c>
      <c r="G6263" t="s">
        <v>30059</v>
      </c>
      <c r="H6263" t="s">
        <v>15498</v>
      </c>
      <c r="I6263" t="s">
        <v>6691</v>
      </c>
      <c r="J6263" t="s">
        <v>34123</v>
      </c>
      <c r="K6263" t="s">
        <v>39035</v>
      </c>
      <c r="M6263" t="s">
        <v>40357</v>
      </c>
      <c r="N6263" t="s">
        <v>43166</v>
      </c>
      <c r="O6263" t="s">
        <v>43167</v>
      </c>
      <c r="P6263">
        <v>0</v>
      </c>
      <c r="Q6263">
        <v>0</v>
      </c>
      <c r="R6263" t="s">
        <v>43172</v>
      </c>
      <c r="S6263" t="s">
        <v>43334</v>
      </c>
      <c r="T6263" t="s">
        <v>44691</v>
      </c>
      <c r="U6263" t="s">
        <v>47341</v>
      </c>
      <c r="W6263" t="s">
        <v>40357</v>
      </c>
      <c r="X6263" t="s">
        <v>43173</v>
      </c>
    </row>
    <row r="6264" spans="1:24">
      <c r="A6264">
        <f>HYPERLINK("https://www.philgeps.gov.ph/GEPSNONPILOT/Tender/SplashBidNoticeAbstractUI.aspx?menuIndex=3&amp;refID=7081349&amp;Result=3","7081349")</f>
        <v>0</v>
      </c>
      <c r="B6264" t="s">
        <v>2038</v>
      </c>
      <c r="C6264" t="s">
        <v>9382</v>
      </c>
      <c r="D6264" t="s">
        <v>17459</v>
      </c>
      <c r="E6264" t="s">
        <v>22904</v>
      </c>
      <c r="F6264" t="s">
        <v>30052</v>
      </c>
      <c r="G6264" t="s">
        <v>30059</v>
      </c>
      <c r="H6264" t="s">
        <v>15498</v>
      </c>
      <c r="I6264" t="s">
        <v>7228</v>
      </c>
      <c r="J6264" t="s">
        <v>34124</v>
      </c>
      <c r="K6264" t="s">
        <v>39018</v>
      </c>
      <c r="M6264" t="s">
        <v>41487</v>
      </c>
      <c r="N6264" t="s">
        <v>43166</v>
      </c>
      <c r="O6264" t="s">
        <v>43167</v>
      </c>
      <c r="P6264">
        <v>0</v>
      </c>
      <c r="Q6264">
        <v>1</v>
      </c>
      <c r="R6264" t="s">
        <v>43172</v>
      </c>
      <c r="S6264" t="s">
        <v>43334</v>
      </c>
      <c r="T6264" t="s">
        <v>44777</v>
      </c>
      <c r="U6264" t="s">
        <v>50295</v>
      </c>
      <c r="W6264" t="s">
        <v>41487</v>
      </c>
      <c r="X6264" t="s">
        <v>43173</v>
      </c>
    </row>
    <row r="6265" spans="1:24">
      <c r="A6265">
        <f>HYPERLINK("https://www.philgeps.gov.ph/GEPSNONPILOT/Tender/SplashBidNoticeAbstractUI.aspx?menuIndex=3&amp;refID=7081271&amp;Result=3","7081271")</f>
        <v>0</v>
      </c>
      <c r="B6265" t="s">
        <v>1273</v>
      </c>
      <c r="C6265" t="s">
        <v>9383</v>
      </c>
      <c r="D6265" t="s">
        <v>17434</v>
      </c>
      <c r="E6265" t="s">
        <v>22905</v>
      </c>
      <c r="F6265" t="s">
        <v>30052</v>
      </c>
      <c r="G6265" t="s">
        <v>30058</v>
      </c>
      <c r="H6265" t="s">
        <v>15498</v>
      </c>
      <c r="I6265" t="s">
        <v>30094</v>
      </c>
      <c r="J6265" t="s">
        <v>34125</v>
      </c>
      <c r="K6265" t="s">
        <v>39029</v>
      </c>
      <c r="M6265" t="s">
        <v>40633</v>
      </c>
      <c r="N6265" t="s">
        <v>43166</v>
      </c>
      <c r="O6265" t="s">
        <v>43167</v>
      </c>
      <c r="P6265">
        <v>0</v>
      </c>
      <c r="Q6265">
        <v>5</v>
      </c>
      <c r="R6265" t="s">
        <v>43172</v>
      </c>
      <c r="S6265" t="s">
        <v>43334</v>
      </c>
      <c r="T6265" t="s">
        <v>44736</v>
      </c>
      <c r="U6265" t="s">
        <v>50296</v>
      </c>
      <c r="W6265" t="s">
        <v>40633</v>
      </c>
      <c r="X6265" t="s">
        <v>43173</v>
      </c>
    </row>
    <row r="6266" spans="1:24">
      <c r="A6266">
        <f>HYPERLINK("https://www.philgeps.gov.ph/GEPSNONPILOT/Tender/SplashBidNoticeAbstractUI.aspx?menuIndex=3&amp;refID=7081315&amp;Result=3","7081315")</f>
        <v>0</v>
      </c>
      <c r="B6266" t="s">
        <v>2043</v>
      </c>
      <c r="C6266" t="s">
        <v>9384</v>
      </c>
      <c r="D6266" t="s">
        <v>17449</v>
      </c>
      <c r="E6266" t="s">
        <v>22906</v>
      </c>
      <c r="F6266" t="s">
        <v>30052</v>
      </c>
      <c r="G6266" t="s">
        <v>30058</v>
      </c>
      <c r="H6266" t="s">
        <v>30067</v>
      </c>
      <c r="I6266" t="s">
        <v>3693</v>
      </c>
      <c r="J6266" t="s">
        <v>34126</v>
      </c>
      <c r="K6266" t="s">
        <v>39169</v>
      </c>
      <c r="M6266" t="s">
        <v>41494</v>
      </c>
      <c r="N6266" t="s">
        <v>43166</v>
      </c>
      <c r="O6266" t="s">
        <v>43167</v>
      </c>
      <c r="P6266">
        <v>0</v>
      </c>
      <c r="Q6266">
        <v>0</v>
      </c>
      <c r="R6266" t="s">
        <v>43172</v>
      </c>
      <c r="S6266" t="s">
        <v>43334</v>
      </c>
      <c r="T6266" t="s">
        <v>44804</v>
      </c>
      <c r="U6266" t="s">
        <v>50297</v>
      </c>
      <c r="W6266" t="s">
        <v>41494</v>
      </c>
      <c r="X6266" t="s">
        <v>43173</v>
      </c>
    </row>
    <row r="6267" spans="1:24">
      <c r="A6267">
        <f>HYPERLINK("https://www.philgeps.gov.ph/GEPSNONPILOT/Tender/SplashBidNoticeAbstractUI.aspx?menuIndex=3&amp;refID=7081251&amp;Result=3","7081251")</f>
        <v>0</v>
      </c>
      <c r="B6267" t="s">
        <v>629</v>
      </c>
      <c r="C6267" t="s">
        <v>9385</v>
      </c>
      <c r="D6267" t="s">
        <v>17415</v>
      </c>
      <c r="E6267" t="s">
        <v>22907</v>
      </c>
      <c r="F6267" t="s">
        <v>30052</v>
      </c>
      <c r="G6267" t="s">
        <v>30062</v>
      </c>
      <c r="H6267" t="s">
        <v>15498</v>
      </c>
      <c r="I6267" t="s">
        <v>30070</v>
      </c>
      <c r="J6267" t="s">
        <v>34127</v>
      </c>
      <c r="K6267" t="s">
        <v>39019</v>
      </c>
      <c r="M6267" t="s">
        <v>40046</v>
      </c>
      <c r="N6267" t="s">
        <v>43166</v>
      </c>
      <c r="O6267" t="s">
        <v>43167</v>
      </c>
      <c r="P6267">
        <v>0</v>
      </c>
      <c r="Q6267">
        <v>6</v>
      </c>
      <c r="R6267" t="s">
        <v>43172</v>
      </c>
      <c r="S6267" t="s">
        <v>43334</v>
      </c>
      <c r="T6267" t="s">
        <v>44717</v>
      </c>
      <c r="U6267" t="s">
        <v>50298</v>
      </c>
      <c r="V6267" t="s">
        <v>57482</v>
      </c>
      <c r="W6267" t="s">
        <v>40046</v>
      </c>
      <c r="X6267" t="s">
        <v>43173</v>
      </c>
    </row>
    <row r="6268" spans="1:24">
      <c r="A6268">
        <f>HYPERLINK("https://www.philgeps.gov.ph/GEPSNONPILOT/Tender/SplashBidNoticeAbstractUI.aspx?menuIndex=3&amp;refID=7081307&amp;Result=3","7081307")</f>
        <v>0</v>
      </c>
      <c r="B6268" t="s">
        <v>297</v>
      </c>
      <c r="C6268" t="s">
        <v>9386</v>
      </c>
      <c r="D6268" t="s">
        <v>17449</v>
      </c>
      <c r="E6268" t="s">
        <v>20898</v>
      </c>
      <c r="F6268" t="s">
        <v>30052</v>
      </c>
      <c r="G6268" t="s">
        <v>30059</v>
      </c>
      <c r="H6268" t="s">
        <v>15498</v>
      </c>
      <c r="I6268" t="s">
        <v>30105</v>
      </c>
      <c r="J6268" t="s">
        <v>31358</v>
      </c>
      <c r="K6268" t="s">
        <v>39040</v>
      </c>
      <c r="M6268" t="s">
        <v>39592</v>
      </c>
      <c r="N6268" t="s">
        <v>43166</v>
      </c>
      <c r="O6268" t="s">
        <v>43167</v>
      </c>
      <c r="P6268">
        <v>0</v>
      </c>
      <c r="Q6268">
        <v>3</v>
      </c>
      <c r="R6268" t="s">
        <v>43172</v>
      </c>
      <c r="S6268" t="s">
        <v>43334</v>
      </c>
      <c r="T6268" t="s">
        <v>44717</v>
      </c>
      <c r="U6268" t="s">
        <v>50299</v>
      </c>
      <c r="W6268" t="s">
        <v>39592</v>
      </c>
      <c r="X6268" t="s">
        <v>43173</v>
      </c>
    </row>
    <row r="6269" spans="1:24">
      <c r="A6269">
        <f>HYPERLINK("https://www.philgeps.gov.ph/GEPSNONPILOT/Tender/SplashBidNoticeAbstractUI.aspx?menuIndex=3&amp;refID=7081248&amp;Result=3","7081248")</f>
        <v>0</v>
      </c>
      <c r="B6269" t="s">
        <v>1475</v>
      </c>
      <c r="C6269" t="s">
        <v>9387</v>
      </c>
      <c r="D6269" t="s">
        <v>17466</v>
      </c>
      <c r="E6269" t="s">
        <v>22839</v>
      </c>
      <c r="F6269" t="s">
        <v>30052</v>
      </c>
      <c r="G6269" t="s">
        <v>30059</v>
      </c>
      <c r="H6269" t="s">
        <v>15498</v>
      </c>
      <c r="I6269" t="s">
        <v>7228</v>
      </c>
      <c r="J6269" t="s">
        <v>30918</v>
      </c>
      <c r="K6269" t="s">
        <v>39034</v>
      </c>
      <c r="M6269" t="s">
        <v>40857</v>
      </c>
      <c r="N6269" t="s">
        <v>43166</v>
      </c>
      <c r="O6269" t="s">
        <v>43167</v>
      </c>
      <c r="P6269">
        <v>0</v>
      </c>
      <c r="Q6269">
        <v>0</v>
      </c>
      <c r="R6269" t="s">
        <v>43172</v>
      </c>
      <c r="S6269" t="s">
        <v>43334</v>
      </c>
      <c r="T6269" t="s">
        <v>44844</v>
      </c>
      <c r="U6269" t="s">
        <v>50300</v>
      </c>
      <c r="W6269" t="s">
        <v>58640</v>
      </c>
      <c r="X6269" t="s">
        <v>43173</v>
      </c>
    </row>
    <row r="6270" spans="1:24">
      <c r="A6270">
        <f>HYPERLINK("https://www.philgeps.gov.ph/GEPSNONPILOT/Tender/SplashBidNoticeAbstractUI.aspx?menuIndex=3&amp;refID=7081413&amp;Result=3","7081413")</f>
        <v>0</v>
      </c>
      <c r="B6270" t="s">
        <v>2037</v>
      </c>
      <c r="C6270" t="s">
        <v>9388</v>
      </c>
      <c r="D6270" t="s">
        <v>17435</v>
      </c>
      <c r="E6270" t="s">
        <v>22908</v>
      </c>
      <c r="F6270" t="s">
        <v>30052</v>
      </c>
      <c r="G6270" t="s">
        <v>30058</v>
      </c>
      <c r="H6270" t="s">
        <v>30067</v>
      </c>
      <c r="I6270" t="s">
        <v>3693</v>
      </c>
      <c r="J6270" t="s">
        <v>34128</v>
      </c>
      <c r="K6270" t="s">
        <v>39025</v>
      </c>
      <c r="M6270" t="s">
        <v>41486</v>
      </c>
      <c r="N6270" t="s">
        <v>43166</v>
      </c>
      <c r="O6270" t="s">
        <v>43167</v>
      </c>
      <c r="P6270">
        <v>0</v>
      </c>
      <c r="Q6270">
        <v>0</v>
      </c>
      <c r="R6270" t="s">
        <v>43172</v>
      </c>
      <c r="S6270" t="s">
        <v>43334</v>
      </c>
      <c r="T6270" t="s">
        <v>44796</v>
      </c>
      <c r="U6270" t="s">
        <v>50301</v>
      </c>
      <c r="W6270" t="s">
        <v>41486</v>
      </c>
      <c r="X6270" t="s">
        <v>43173</v>
      </c>
    </row>
    <row r="6271" spans="1:24">
      <c r="A6271">
        <f>HYPERLINK("https://www.philgeps.gov.ph/GEPSNONPILOT/Tender/SplashBidNoticeAbstractUI.aspx?menuIndex=3&amp;refID=7081272&amp;Result=3","7081272")</f>
        <v>0</v>
      </c>
      <c r="B6271" t="s">
        <v>2041</v>
      </c>
      <c r="C6271" t="s">
        <v>9389</v>
      </c>
      <c r="D6271" t="s">
        <v>17449</v>
      </c>
      <c r="E6271" t="s">
        <v>20035</v>
      </c>
      <c r="F6271" t="s">
        <v>30052</v>
      </c>
      <c r="G6271" t="s">
        <v>30059</v>
      </c>
      <c r="H6271" t="s">
        <v>15498</v>
      </c>
      <c r="I6271" t="s">
        <v>30109</v>
      </c>
      <c r="J6271" t="s">
        <v>34129</v>
      </c>
      <c r="K6271" t="s">
        <v>39017</v>
      </c>
      <c r="M6271" t="s">
        <v>41492</v>
      </c>
      <c r="N6271" t="s">
        <v>43166</v>
      </c>
      <c r="O6271" t="s">
        <v>43167</v>
      </c>
      <c r="P6271">
        <v>0</v>
      </c>
      <c r="Q6271">
        <v>3</v>
      </c>
      <c r="R6271" t="s">
        <v>43172</v>
      </c>
      <c r="S6271" t="s">
        <v>43334</v>
      </c>
      <c r="T6271" t="s">
        <v>44773</v>
      </c>
      <c r="U6271" t="s">
        <v>50302</v>
      </c>
      <c r="W6271" t="s">
        <v>41492</v>
      </c>
      <c r="X6271" t="s">
        <v>43173</v>
      </c>
    </row>
    <row r="6272" spans="1:24">
      <c r="A6272">
        <f>HYPERLINK("https://www.philgeps.gov.ph/GEPSNONPILOT/Tender/SplashBidNoticeAbstractUI.aspx?menuIndex=3&amp;refID=7081357&amp;Result=3","7081357")</f>
        <v>0</v>
      </c>
      <c r="B6272" t="s">
        <v>352</v>
      </c>
      <c r="C6272" t="s">
        <v>9390</v>
      </c>
      <c r="D6272" t="s">
        <v>17415</v>
      </c>
      <c r="E6272" t="s">
        <v>22909</v>
      </c>
      <c r="F6272" t="s">
        <v>30052</v>
      </c>
      <c r="G6272" t="s">
        <v>30059</v>
      </c>
      <c r="H6272" t="s">
        <v>15498</v>
      </c>
      <c r="I6272" t="s">
        <v>4650</v>
      </c>
      <c r="J6272" t="s">
        <v>30377</v>
      </c>
      <c r="K6272" t="s">
        <v>39029</v>
      </c>
      <c r="M6272" t="s">
        <v>41495</v>
      </c>
      <c r="N6272" t="s">
        <v>43166</v>
      </c>
      <c r="O6272" t="s">
        <v>43167</v>
      </c>
      <c r="P6272">
        <v>0</v>
      </c>
      <c r="Q6272">
        <v>12</v>
      </c>
      <c r="R6272" t="s">
        <v>43172</v>
      </c>
      <c r="S6272" t="s">
        <v>43334</v>
      </c>
      <c r="T6272" t="s">
        <v>44837</v>
      </c>
      <c r="U6272" t="s">
        <v>50303</v>
      </c>
      <c r="W6272" t="s">
        <v>41495</v>
      </c>
      <c r="X6272" t="s">
        <v>43173</v>
      </c>
    </row>
    <row r="6273" spans="1:24">
      <c r="A6273">
        <f>HYPERLINK("https://www.philgeps.gov.ph/GEPSNONPILOT/Tender/SplashBidNoticeAbstractUI.aspx?menuIndex=3&amp;refID=7081252&amp;Result=3","7081252")</f>
        <v>0</v>
      </c>
      <c r="B6273" t="s">
        <v>940</v>
      </c>
      <c r="C6273" t="s">
        <v>9391</v>
      </c>
      <c r="D6273" t="s">
        <v>17449</v>
      </c>
      <c r="E6273" t="s">
        <v>22910</v>
      </c>
      <c r="F6273" t="s">
        <v>30052</v>
      </c>
      <c r="G6273" t="s">
        <v>30060</v>
      </c>
      <c r="H6273" t="s">
        <v>15498</v>
      </c>
      <c r="I6273" t="s">
        <v>3606</v>
      </c>
      <c r="J6273" t="s">
        <v>31060</v>
      </c>
      <c r="K6273" t="s">
        <v>39029</v>
      </c>
      <c r="M6273" t="s">
        <v>40264</v>
      </c>
      <c r="N6273" t="s">
        <v>43166</v>
      </c>
      <c r="O6273" t="s">
        <v>43167</v>
      </c>
      <c r="P6273">
        <v>0</v>
      </c>
      <c r="Q6273">
        <v>5</v>
      </c>
      <c r="R6273" t="s">
        <v>43172</v>
      </c>
      <c r="S6273" t="s">
        <v>43334</v>
      </c>
      <c r="T6273" t="s">
        <v>44737</v>
      </c>
      <c r="U6273" t="s">
        <v>50304</v>
      </c>
      <c r="W6273" t="s">
        <v>40264</v>
      </c>
      <c r="X6273" t="s">
        <v>43173</v>
      </c>
    </row>
    <row r="6274" spans="1:24">
      <c r="A6274">
        <f>HYPERLINK("https://www.philgeps.gov.ph/GEPSNONPILOT/Tender/SplashBidNoticeAbstractUI.aspx?menuIndex=3&amp;refID=7081407&amp;Result=3","7081407")</f>
        <v>0</v>
      </c>
      <c r="B6274" t="s">
        <v>625</v>
      </c>
      <c r="C6274" t="s">
        <v>9392</v>
      </c>
      <c r="D6274" t="s">
        <v>17451</v>
      </c>
      <c r="E6274" t="s">
        <v>22911</v>
      </c>
      <c r="F6274" t="s">
        <v>30052</v>
      </c>
      <c r="G6274" t="s">
        <v>30058</v>
      </c>
      <c r="H6274" t="s">
        <v>30067</v>
      </c>
      <c r="I6274" t="s">
        <v>3693</v>
      </c>
      <c r="J6274" t="s">
        <v>34130</v>
      </c>
      <c r="K6274" t="s">
        <v>39170</v>
      </c>
      <c r="M6274" t="s">
        <v>39928</v>
      </c>
      <c r="N6274" t="s">
        <v>43166</v>
      </c>
      <c r="O6274" t="s">
        <v>43167</v>
      </c>
      <c r="P6274">
        <v>0</v>
      </c>
      <c r="Q6274">
        <v>2</v>
      </c>
      <c r="R6274" t="s">
        <v>43172</v>
      </c>
      <c r="S6274" t="s">
        <v>43334</v>
      </c>
      <c r="T6274" t="s">
        <v>44722</v>
      </c>
      <c r="U6274" t="s">
        <v>50305</v>
      </c>
      <c r="V6274" t="s">
        <v>57483</v>
      </c>
      <c r="W6274" t="s">
        <v>39928</v>
      </c>
      <c r="X6274" t="s">
        <v>43173</v>
      </c>
    </row>
    <row r="6275" spans="1:24">
      <c r="A6275">
        <f>HYPERLINK("https://www.philgeps.gov.ph/GEPSNONPILOT/Tender/SplashBidNoticeAbstractUI.aspx?menuIndex=3&amp;refID=7081405&amp;Result=3","7081405")</f>
        <v>0</v>
      </c>
      <c r="B6275" t="s">
        <v>2039</v>
      </c>
      <c r="C6275" t="s">
        <v>9393</v>
      </c>
      <c r="D6275" t="s">
        <v>17452</v>
      </c>
      <c r="E6275" t="s">
        <v>22912</v>
      </c>
      <c r="F6275" t="s">
        <v>30052</v>
      </c>
      <c r="G6275" t="s">
        <v>30058</v>
      </c>
      <c r="H6275" t="s">
        <v>30067</v>
      </c>
      <c r="I6275" t="s">
        <v>3693</v>
      </c>
      <c r="J6275" t="s">
        <v>34131</v>
      </c>
      <c r="K6275" t="s">
        <v>39130</v>
      </c>
      <c r="M6275" t="s">
        <v>41488</v>
      </c>
      <c r="N6275" t="s">
        <v>43166</v>
      </c>
      <c r="O6275" t="s">
        <v>43167</v>
      </c>
      <c r="P6275">
        <v>0</v>
      </c>
      <c r="Q6275">
        <v>1</v>
      </c>
      <c r="R6275" t="s">
        <v>43172</v>
      </c>
      <c r="S6275" t="s">
        <v>43334</v>
      </c>
      <c r="T6275" t="s">
        <v>44722</v>
      </c>
      <c r="U6275" t="s">
        <v>50306</v>
      </c>
      <c r="V6275" t="s">
        <v>57484</v>
      </c>
      <c r="W6275" t="s">
        <v>41488</v>
      </c>
      <c r="X6275" t="s">
        <v>43173</v>
      </c>
    </row>
    <row r="6276" spans="1:24">
      <c r="A6276">
        <f>HYPERLINK("https://www.philgeps.gov.ph/GEPSNONPILOT/Tender/SplashBidNoticeAbstractUI.aspx?menuIndex=3&amp;refID=7081310&amp;Result=3","7081310")</f>
        <v>0</v>
      </c>
      <c r="B6276" t="s">
        <v>2008</v>
      </c>
      <c r="C6276" t="s">
        <v>9322</v>
      </c>
      <c r="D6276" t="s">
        <v>17459</v>
      </c>
      <c r="E6276" t="s">
        <v>18410</v>
      </c>
      <c r="F6276" t="s">
        <v>30052</v>
      </c>
      <c r="G6276" t="s">
        <v>30058</v>
      </c>
      <c r="H6276" t="s">
        <v>30067</v>
      </c>
      <c r="I6276" t="s">
        <v>3693</v>
      </c>
      <c r="J6276" t="s">
        <v>30222</v>
      </c>
      <c r="K6276" t="s">
        <v>39065</v>
      </c>
      <c r="M6276" t="s">
        <v>41452</v>
      </c>
      <c r="N6276" t="s">
        <v>43166</v>
      </c>
      <c r="O6276" t="s">
        <v>43167</v>
      </c>
      <c r="P6276">
        <v>0</v>
      </c>
      <c r="Q6276">
        <v>0</v>
      </c>
      <c r="R6276" t="s">
        <v>43172</v>
      </c>
      <c r="S6276" t="s">
        <v>43334</v>
      </c>
      <c r="T6276" t="s">
        <v>44796</v>
      </c>
      <c r="U6276" t="s">
        <v>50307</v>
      </c>
      <c r="W6276" t="s">
        <v>41452</v>
      </c>
      <c r="X6276" t="s">
        <v>43173</v>
      </c>
    </row>
    <row r="6277" spans="1:24">
      <c r="A6277">
        <f>HYPERLINK("https://www.philgeps.gov.ph/GEPSNONPILOT/Tender/SplashBidNoticeAbstractUI.aspx?menuIndex=3&amp;refID=7081400&amp;Result=3","7081400")</f>
        <v>0</v>
      </c>
      <c r="B6277" t="s">
        <v>1906</v>
      </c>
      <c r="C6277" t="s">
        <v>9394</v>
      </c>
      <c r="D6277" t="s">
        <v>17442</v>
      </c>
      <c r="E6277" t="s">
        <v>22913</v>
      </c>
      <c r="F6277" t="s">
        <v>30052</v>
      </c>
      <c r="G6277" t="s">
        <v>30059</v>
      </c>
      <c r="H6277" t="s">
        <v>15498</v>
      </c>
      <c r="I6277" t="s">
        <v>30081</v>
      </c>
      <c r="J6277" t="s">
        <v>34132</v>
      </c>
      <c r="K6277" t="s">
        <v>39019</v>
      </c>
      <c r="M6277" t="s">
        <v>41337</v>
      </c>
      <c r="N6277" t="s">
        <v>43166</v>
      </c>
      <c r="O6277" t="s">
        <v>43167</v>
      </c>
      <c r="P6277">
        <v>0</v>
      </c>
      <c r="Q6277">
        <v>0</v>
      </c>
      <c r="R6277" t="s">
        <v>43172</v>
      </c>
      <c r="S6277" t="s">
        <v>43334</v>
      </c>
      <c r="T6277" t="s">
        <v>44717</v>
      </c>
      <c r="U6277" t="s">
        <v>50308</v>
      </c>
      <c r="V6277" t="s">
        <v>57485</v>
      </c>
      <c r="W6277" t="s">
        <v>41337</v>
      </c>
      <c r="X6277" t="s">
        <v>43173</v>
      </c>
    </row>
    <row r="6278" spans="1:24">
      <c r="A6278">
        <f>HYPERLINK("https://www.philgeps.gov.ph/GEPSNONPILOT/Tender/SplashBidNoticeAbstractUI.aspx?menuIndex=3&amp;refID=7081409&amp;Result=3","7081409")</f>
        <v>0</v>
      </c>
      <c r="B6278" t="s">
        <v>1028</v>
      </c>
      <c r="C6278" t="s">
        <v>9395</v>
      </c>
      <c r="D6278" t="s">
        <v>17450</v>
      </c>
      <c r="E6278" t="s">
        <v>22914</v>
      </c>
      <c r="F6278" t="s">
        <v>30052</v>
      </c>
      <c r="G6278" t="s">
        <v>30059</v>
      </c>
      <c r="H6278" t="s">
        <v>15498</v>
      </c>
      <c r="I6278" t="s">
        <v>6691</v>
      </c>
      <c r="J6278" t="s">
        <v>34133</v>
      </c>
      <c r="K6278" t="s">
        <v>39035</v>
      </c>
      <c r="M6278" t="s">
        <v>40357</v>
      </c>
      <c r="N6278" t="s">
        <v>43166</v>
      </c>
      <c r="O6278" t="s">
        <v>43167</v>
      </c>
      <c r="P6278">
        <v>0</v>
      </c>
      <c r="Q6278">
        <v>0</v>
      </c>
      <c r="R6278" t="s">
        <v>43172</v>
      </c>
      <c r="S6278" t="s">
        <v>43334</v>
      </c>
      <c r="T6278" t="s">
        <v>44691</v>
      </c>
      <c r="U6278" t="s">
        <v>47341</v>
      </c>
      <c r="W6278" t="s">
        <v>40357</v>
      </c>
      <c r="X6278" t="s">
        <v>43173</v>
      </c>
    </row>
    <row r="6279" spans="1:24">
      <c r="A6279">
        <f>HYPERLINK("https://www.philgeps.gov.ph/GEPSNONPILOT/Tender/SplashBidNoticeAbstractUI.aspx?menuIndex=3&amp;refID=7081395&amp;Result=3","7081395")</f>
        <v>0</v>
      </c>
      <c r="B6279" t="s">
        <v>2044</v>
      </c>
      <c r="C6279" t="s">
        <v>9396</v>
      </c>
      <c r="D6279" t="s">
        <v>17427</v>
      </c>
      <c r="E6279" t="s">
        <v>22915</v>
      </c>
      <c r="F6279" t="s">
        <v>30052</v>
      </c>
      <c r="G6279" t="s">
        <v>30059</v>
      </c>
      <c r="H6279" t="s">
        <v>15498</v>
      </c>
      <c r="I6279" t="s">
        <v>30070</v>
      </c>
      <c r="J6279" t="s">
        <v>30374</v>
      </c>
      <c r="K6279" t="s">
        <v>39019</v>
      </c>
      <c r="M6279" t="s">
        <v>41496</v>
      </c>
      <c r="N6279" t="s">
        <v>43166</v>
      </c>
      <c r="O6279" t="s">
        <v>43167</v>
      </c>
      <c r="P6279">
        <v>0</v>
      </c>
      <c r="Q6279">
        <v>0</v>
      </c>
      <c r="R6279" t="s">
        <v>43172</v>
      </c>
      <c r="S6279" t="s">
        <v>43334</v>
      </c>
      <c r="T6279" t="s">
        <v>44715</v>
      </c>
      <c r="U6279" t="s">
        <v>50309</v>
      </c>
      <c r="W6279" t="s">
        <v>58660</v>
      </c>
      <c r="X6279" t="s">
        <v>43173</v>
      </c>
    </row>
    <row r="6280" spans="1:24">
      <c r="A6280">
        <f>HYPERLINK("https://www.philgeps.gov.ph/GEPSNONPILOT/Tender/SplashBidNoticeAbstractUI.aspx?menuIndex=3&amp;refID=7081253&amp;Result=3","7081253")</f>
        <v>0</v>
      </c>
      <c r="B6280" t="s">
        <v>1028</v>
      </c>
      <c r="C6280" t="s">
        <v>9397</v>
      </c>
      <c r="D6280" t="s">
        <v>17450</v>
      </c>
      <c r="E6280" t="s">
        <v>22916</v>
      </c>
      <c r="F6280" t="s">
        <v>30052</v>
      </c>
      <c r="G6280" t="s">
        <v>30059</v>
      </c>
      <c r="H6280" t="s">
        <v>15498</v>
      </c>
      <c r="I6280" t="s">
        <v>6691</v>
      </c>
      <c r="J6280" t="s">
        <v>34113</v>
      </c>
      <c r="K6280" t="s">
        <v>39035</v>
      </c>
      <c r="M6280" t="s">
        <v>40357</v>
      </c>
      <c r="N6280" t="s">
        <v>43166</v>
      </c>
      <c r="O6280" t="s">
        <v>43167</v>
      </c>
      <c r="P6280">
        <v>0</v>
      </c>
      <c r="Q6280">
        <v>0</v>
      </c>
      <c r="R6280" t="s">
        <v>43172</v>
      </c>
      <c r="S6280" t="s">
        <v>43334</v>
      </c>
      <c r="T6280" t="s">
        <v>44691</v>
      </c>
      <c r="U6280" t="s">
        <v>47341</v>
      </c>
      <c r="W6280" t="s">
        <v>40357</v>
      </c>
      <c r="X6280" t="s">
        <v>43173</v>
      </c>
    </row>
    <row r="6281" spans="1:24">
      <c r="A6281">
        <f>HYPERLINK("https://www.philgeps.gov.ph/GEPSNONPILOT/Tender/SplashBidNoticeAbstractUI.aspx?menuIndex=3&amp;refID=7081390&amp;Result=3","7081390")</f>
        <v>0</v>
      </c>
      <c r="B6281" t="s">
        <v>2039</v>
      </c>
      <c r="C6281" t="s">
        <v>9398</v>
      </c>
      <c r="D6281" t="s">
        <v>17452</v>
      </c>
      <c r="E6281" t="s">
        <v>22917</v>
      </c>
      <c r="F6281" t="s">
        <v>30052</v>
      </c>
      <c r="G6281" t="s">
        <v>30058</v>
      </c>
      <c r="H6281" t="s">
        <v>30067</v>
      </c>
      <c r="I6281" t="s">
        <v>3693</v>
      </c>
      <c r="J6281" t="s">
        <v>34134</v>
      </c>
      <c r="K6281" t="s">
        <v>39130</v>
      </c>
      <c r="M6281" t="s">
        <v>41488</v>
      </c>
      <c r="N6281" t="s">
        <v>43166</v>
      </c>
      <c r="O6281" t="s">
        <v>43167</v>
      </c>
      <c r="P6281">
        <v>0</v>
      </c>
      <c r="Q6281">
        <v>1</v>
      </c>
      <c r="R6281" t="s">
        <v>43172</v>
      </c>
      <c r="S6281" t="s">
        <v>43334</v>
      </c>
      <c r="T6281" t="s">
        <v>44722</v>
      </c>
      <c r="U6281" t="s">
        <v>50310</v>
      </c>
      <c r="V6281" t="s">
        <v>57486</v>
      </c>
      <c r="W6281" t="s">
        <v>41488</v>
      </c>
      <c r="X6281" t="s">
        <v>43173</v>
      </c>
    </row>
    <row r="6282" spans="1:24">
      <c r="A6282">
        <f>HYPERLINK("https://www.philgeps.gov.ph/GEPSNONPILOT/Tender/SplashBidNoticeAbstractUI.aspx?menuIndex=3&amp;refID=7081406&amp;Result=3","7081406")</f>
        <v>0</v>
      </c>
      <c r="B6282" t="s">
        <v>1606</v>
      </c>
      <c r="C6282" t="s">
        <v>9399</v>
      </c>
      <c r="D6282" t="s">
        <v>17477</v>
      </c>
      <c r="E6282" t="s">
        <v>22918</v>
      </c>
      <c r="F6282" t="s">
        <v>30052</v>
      </c>
      <c r="G6282" t="s">
        <v>30058</v>
      </c>
      <c r="H6282" t="s">
        <v>30067</v>
      </c>
      <c r="I6282" t="s">
        <v>3693</v>
      </c>
      <c r="J6282" t="s">
        <v>32481</v>
      </c>
      <c r="K6282" t="s">
        <v>39073</v>
      </c>
      <c r="M6282" t="s">
        <v>41005</v>
      </c>
      <c r="N6282" t="s">
        <v>43166</v>
      </c>
      <c r="O6282" t="s">
        <v>43167</v>
      </c>
      <c r="P6282">
        <v>0</v>
      </c>
      <c r="Q6282">
        <v>0</v>
      </c>
      <c r="R6282" t="s">
        <v>43172</v>
      </c>
      <c r="S6282" t="s">
        <v>43334</v>
      </c>
      <c r="T6282" t="s">
        <v>44722</v>
      </c>
      <c r="U6282" t="s">
        <v>50311</v>
      </c>
      <c r="V6282" t="s">
        <v>57487</v>
      </c>
      <c r="W6282" t="s">
        <v>41005</v>
      </c>
      <c r="X6282" t="s">
        <v>43173</v>
      </c>
    </row>
    <row r="6283" spans="1:24">
      <c r="A6283">
        <f>HYPERLINK("https://www.philgeps.gov.ph/GEPSNONPILOT/Tender/SplashBidNoticeAbstractUI.aspx?menuIndex=3&amp;refID=7081388&amp;Result=3","7081388")</f>
        <v>0</v>
      </c>
      <c r="B6283" t="s">
        <v>1313</v>
      </c>
      <c r="C6283" t="s">
        <v>9400</v>
      </c>
      <c r="D6283" t="s">
        <v>17415</v>
      </c>
      <c r="E6283" t="s">
        <v>22919</v>
      </c>
      <c r="F6283" t="s">
        <v>30052</v>
      </c>
      <c r="G6283" t="s">
        <v>30059</v>
      </c>
      <c r="H6283" t="s">
        <v>15498</v>
      </c>
      <c r="I6283" t="s">
        <v>7228</v>
      </c>
      <c r="J6283" t="s">
        <v>34135</v>
      </c>
      <c r="K6283" t="s">
        <v>39017</v>
      </c>
      <c r="M6283" t="s">
        <v>41489</v>
      </c>
      <c r="N6283" t="s">
        <v>43166</v>
      </c>
      <c r="O6283" t="s">
        <v>43167</v>
      </c>
      <c r="P6283">
        <v>0</v>
      </c>
      <c r="Q6283">
        <v>0</v>
      </c>
      <c r="R6283" t="s">
        <v>43172</v>
      </c>
      <c r="S6283" t="s">
        <v>43334</v>
      </c>
      <c r="T6283" t="s">
        <v>44717</v>
      </c>
      <c r="U6283" t="s">
        <v>50312</v>
      </c>
      <c r="W6283" t="s">
        <v>41489</v>
      </c>
      <c r="X6283" t="s">
        <v>43173</v>
      </c>
    </row>
    <row r="6284" spans="1:24">
      <c r="A6284">
        <f>HYPERLINK("https://www.philgeps.gov.ph/GEPSNONPILOT/Tender/SplashBidNoticeAbstractUI.aspx?menuIndex=3&amp;refID=7081403&amp;Result=3","7081403")</f>
        <v>0</v>
      </c>
      <c r="B6284" t="s">
        <v>202</v>
      </c>
      <c r="C6284" t="s">
        <v>9401</v>
      </c>
      <c r="D6284" t="s">
        <v>17461</v>
      </c>
      <c r="E6284" t="s">
        <v>22920</v>
      </c>
      <c r="F6284" t="s">
        <v>30052</v>
      </c>
      <c r="G6284" t="s">
        <v>30059</v>
      </c>
      <c r="H6284" t="s">
        <v>15498</v>
      </c>
      <c r="I6284" t="s">
        <v>9238</v>
      </c>
      <c r="J6284" t="s">
        <v>34136</v>
      </c>
      <c r="K6284" t="s">
        <v>39019</v>
      </c>
      <c r="L6284" t="s">
        <v>202</v>
      </c>
      <c r="M6284" t="s">
        <v>39492</v>
      </c>
      <c r="N6284" t="s">
        <v>43166</v>
      </c>
      <c r="O6284" t="s">
        <v>43167</v>
      </c>
      <c r="P6284">
        <v>0</v>
      </c>
      <c r="Q6284">
        <v>3</v>
      </c>
      <c r="R6284" t="s">
        <v>43172</v>
      </c>
      <c r="S6284" t="s">
        <v>43334</v>
      </c>
      <c r="T6284" t="s">
        <v>44862</v>
      </c>
      <c r="U6284" t="s">
        <v>45747</v>
      </c>
      <c r="W6284" t="s">
        <v>39492</v>
      </c>
      <c r="X6284" t="s">
        <v>43173</v>
      </c>
    </row>
    <row r="6285" spans="1:24">
      <c r="A6285">
        <f>HYPERLINK("https://www.philgeps.gov.ph/GEPSNONPILOT/Tender/SplashBidNoticeAbstractUI.aspx?menuIndex=3&amp;refID=7081387&amp;Result=3","7081387")</f>
        <v>0</v>
      </c>
      <c r="B6285" t="s">
        <v>940</v>
      </c>
      <c r="C6285" t="s">
        <v>9402</v>
      </c>
      <c r="D6285" t="s">
        <v>17449</v>
      </c>
      <c r="E6285" t="s">
        <v>22921</v>
      </c>
      <c r="F6285" t="s">
        <v>30052</v>
      </c>
      <c r="G6285" t="s">
        <v>30058</v>
      </c>
      <c r="H6285" t="s">
        <v>30067</v>
      </c>
      <c r="I6285" t="s">
        <v>3693</v>
      </c>
      <c r="J6285" t="s">
        <v>34137</v>
      </c>
      <c r="K6285" t="s">
        <v>39023</v>
      </c>
      <c r="M6285" t="s">
        <v>40264</v>
      </c>
      <c r="N6285" t="s">
        <v>43166</v>
      </c>
      <c r="O6285" t="s">
        <v>43167</v>
      </c>
      <c r="P6285">
        <v>0</v>
      </c>
      <c r="Q6285">
        <v>1</v>
      </c>
      <c r="R6285" t="s">
        <v>43172</v>
      </c>
      <c r="S6285" t="s">
        <v>43334</v>
      </c>
      <c r="T6285" t="s">
        <v>44718</v>
      </c>
      <c r="U6285" t="s">
        <v>50313</v>
      </c>
      <c r="W6285" t="s">
        <v>40264</v>
      </c>
      <c r="X6285" t="s">
        <v>43173</v>
      </c>
    </row>
    <row r="6286" spans="1:24">
      <c r="A6286">
        <f>HYPERLINK("https://www.philgeps.gov.ph/GEPSNONPILOT/Tender/SplashBidNoticeAbstractUI.aspx?menuIndex=3&amp;refID=7081382&amp;Result=3","7081382")</f>
        <v>0</v>
      </c>
      <c r="B6286" t="s">
        <v>202</v>
      </c>
      <c r="C6286" t="s">
        <v>9403</v>
      </c>
      <c r="D6286" t="s">
        <v>17461</v>
      </c>
      <c r="E6286" t="s">
        <v>22922</v>
      </c>
      <c r="F6286" t="s">
        <v>30052</v>
      </c>
      <c r="G6286" t="s">
        <v>30059</v>
      </c>
      <c r="H6286" t="s">
        <v>15498</v>
      </c>
      <c r="I6286" t="s">
        <v>7228</v>
      </c>
      <c r="J6286" t="s">
        <v>34138</v>
      </c>
      <c r="K6286" t="s">
        <v>39019</v>
      </c>
      <c r="L6286" t="s">
        <v>202</v>
      </c>
      <c r="M6286" t="s">
        <v>39492</v>
      </c>
      <c r="N6286" t="s">
        <v>43166</v>
      </c>
      <c r="O6286" t="s">
        <v>43167</v>
      </c>
      <c r="P6286">
        <v>0</v>
      </c>
      <c r="Q6286">
        <v>0</v>
      </c>
      <c r="R6286" t="s">
        <v>43172</v>
      </c>
      <c r="S6286" t="s">
        <v>43334</v>
      </c>
      <c r="T6286" t="s">
        <v>44862</v>
      </c>
      <c r="U6286" t="s">
        <v>45747</v>
      </c>
      <c r="W6286" t="s">
        <v>39492</v>
      </c>
      <c r="X6286" t="s">
        <v>43173</v>
      </c>
    </row>
    <row r="6287" spans="1:24">
      <c r="A6287">
        <f>HYPERLINK("https://www.philgeps.gov.ph/GEPSNONPILOT/Tender/SplashBidNoticeAbstractUI.aspx?menuIndex=3&amp;refID=7081398&amp;Result=3","7081398")</f>
        <v>0</v>
      </c>
      <c r="B6287" t="s">
        <v>1255</v>
      </c>
      <c r="C6287" t="s">
        <v>9404</v>
      </c>
      <c r="D6287" t="s">
        <v>17455</v>
      </c>
      <c r="E6287" t="s">
        <v>22923</v>
      </c>
      <c r="F6287" t="s">
        <v>30052</v>
      </c>
      <c r="G6287" t="s">
        <v>30061</v>
      </c>
      <c r="H6287" t="s">
        <v>15498</v>
      </c>
      <c r="I6287" t="s">
        <v>30140</v>
      </c>
      <c r="J6287" t="s">
        <v>30207</v>
      </c>
      <c r="K6287" t="s">
        <v>39029</v>
      </c>
      <c r="M6287" t="s">
        <v>41490</v>
      </c>
      <c r="N6287" t="s">
        <v>43166</v>
      </c>
      <c r="O6287" t="s">
        <v>43167</v>
      </c>
      <c r="P6287">
        <v>0</v>
      </c>
      <c r="Q6287">
        <v>4</v>
      </c>
      <c r="R6287" t="s">
        <v>43172</v>
      </c>
      <c r="S6287" t="s">
        <v>43334</v>
      </c>
      <c r="T6287" t="s">
        <v>44856</v>
      </c>
      <c r="U6287" t="s">
        <v>45625</v>
      </c>
      <c r="W6287" t="s">
        <v>41490</v>
      </c>
      <c r="X6287" t="s">
        <v>43173</v>
      </c>
    </row>
    <row r="6288" spans="1:24">
      <c r="A6288">
        <f>HYPERLINK("https://www.philgeps.gov.ph/GEPSNONPILOT/Tender/SplashBidNoticeAbstractUI.aspx?menuIndex=3&amp;refID=7081380&amp;Result=3","7081380")</f>
        <v>0</v>
      </c>
      <c r="B6288" t="s">
        <v>2035</v>
      </c>
      <c r="C6288" t="s">
        <v>9405</v>
      </c>
      <c r="E6288" t="s">
        <v>22924</v>
      </c>
      <c r="F6288" t="s">
        <v>30052</v>
      </c>
      <c r="G6288" t="s">
        <v>30058</v>
      </c>
      <c r="H6288" t="s">
        <v>15498</v>
      </c>
      <c r="I6288" t="s">
        <v>6304</v>
      </c>
      <c r="J6288" t="s">
        <v>34139</v>
      </c>
      <c r="K6288" t="s">
        <v>39026</v>
      </c>
      <c r="M6288" t="s">
        <v>41484</v>
      </c>
      <c r="N6288" t="s">
        <v>43166</v>
      </c>
      <c r="O6288" t="s">
        <v>43167</v>
      </c>
      <c r="P6288">
        <v>0</v>
      </c>
      <c r="Q6288">
        <v>0</v>
      </c>
      <c r="R6288" t="s">
        <v>43172</v>
      </c>
      <c r="S6288" t="s">
        <v>43334</v>
      </c>
      <c r="T6288" t="s">
        <v>44722</v>
      </c>
      <c r="U6288" t="s">
        <v>50314</v>
      </c>
      <c r="W6288" t="s">
        <v>41484</v>
      </c>
      <c r="X6288" t="s">
        <v>43173</v>
      </c>
    </row>
    <row r="6289" spans="1:24">
      <c r="A6289">
        <f>HYPERLINK("https://www.philgeps.gov.ph/GEPSNONPILOT/Tender/SplashBidNoticeAbstractUI.aspx?menuIndex=3&amp;refID=7081379&amp;Result=3","7081379")</f>
        <v>0</v>
      </c>
      <c r="B6289" t="s">
        <v>1606</v>
      </c>
      <c r="C6289" t="s">
        <v>9406</v>
      </c>
      <c r="D6289" t="s">
        <v>17477</v>
      </c>
      <c r="E6289" t="s">
        <v>22925</v>
      </c>
      <c r="F6289" t="s">
        <v>30052</v>
      </c>
      <c r="G6289" t="s">
        <v>30058</v>
      </c>
      <c r="H6289" t="s">
        <v>30067</v>
      </c>
      <c r="I6289" t="s">
        <v>3693</v>
      </c>
      <c r="J6289" t="s">
        <v>33105</v>
      </c>
      <c r="K6289" t="s">
        <v>39046</v>
      </c>
      <c r="M6289" t="s">
        <v>41005</v>
      </c>
      <c r="N6289" t="s">
        <v>43166</v>
      </c>
      <c r="O6289" t="s">
        <v>43167</v>
      </c>
      <c r="P6289">
        <v>0</v>
      </c>
      <c r="Q6289">
        <v>0</v>
      </c>
      <c r="R6289" t="s">
        <v>43172</v>
      </c>
      <c r="S6289" t="s">
        <v>43334</v>
      </c>
      <c r="T6289" t="s">
        <v>44722</v>
      </c>
      <c r="U6289" t="s">
        <v>50315</v>
      </c>
      <c r="V6289" t="s">
        <v>57488</v>
      </c>
      <c r="W6289" t="s">
        <v>41005</v>
      </c>
      <c r="X6289" t="s">
        <v>43173</v>
      </c>
    </row>
    <row r="6290" spans="1:24">
      <c r="A6290">
        <f>HYPERLINK("https://www.philgeps.gov.ph/GEPSNONPILOT/Tender/SplashBidNoticeAbstractUI.aspx?menuIndex=3&amp;refID=7081391&amp;Result=3","7081391")</f>
        <v>0</v>
      </c>
      <c r="B6290" t="s">
        <v>1028</v>
      </c>
      <c r="C6290" t="s">
        <v>9407</v>
      </c>
      <c r="D6290" t="s">
        <v>17450</v>
      </c>
      <c r="E6290" t="s">
        <v>22926</v>
      </c>
      <c r="F6290" t="s">
        <v>30052</v>
      </c>
      <c r="G6290" t="s">
        <v>30059</v>
      </c>
      <c r="H6290" t="s">
        <v>15498</v>
      </c>
      <c r="I6290" t="s">
        <v>6691</v>
      </c>
      <c r="J6290" t="s">
        <v>32004</v>
      </c>
      <c r="K6290" t="s">
        <v>39035</v>
      </c>
      <c r="M6290" t="s">
        <v>40357</v>
      </c>
      <c r="N6290" t="s">
        <v>43166</v>
      </c>
      <c r="O6290" t="s">
        <v>43167</v>
      </c>
      <c r="P6290">
        <v>0</v>
      </c>
      <c r="Q6290">
        <v>0</v>
      </c>
      <c r="R6290" t="s">
        <v>43172</v>
      </c>
      <c r="S6290" t="s">
        <v>43334</v>
      </c>
      <c r="T6290" t="s">
        <v>44691</v>
      </c>
      <c r="U6290" t="s">
        <v>47341</v>
      </c>
      <c r="W6290" t="s">
        <v>40357</v>
      </c>
      <c r="X6290" t="s">
        <v>43173</v>
      </c>
    </row>
    <row r="6291" spans="1:24">
      <c r="A6291">
        <f>HYPERLINK("https://www.philgeps.gov.ph/GEPSNONPILOT/Tender/SplashBidNoticeAbstractUI.aspx?menuIndex=3&amp;refID=7081247&amp;Result=3","7081247")</f>
        <v>0</v>
      </c>
      <c r="B6291" t="s">
        <v>2045</v>
      </c>
      <c r="C6291" t="s">
        <v>9408</v>
      </c>
      <c r="D6291" t="s">
        <v>17422</v>
      </c>
      <c r="E6291" t="s">
        <v>22927</v>
      </c>
      <c r="F6291" t="s">
        <v>30052</v>
      </c>
      <c r="G6291" t="s">
        <v>30058</v>
      </c>
      <c r="H6291" t="s">
        <v>30067</v>
      </c>
      <c r="I6291" t="s">
        <v>3693</v>
      </c>
      <c r="J6291" t="s">
        <v>34140</v>
      </c>
      <c r="K6291" t="s">
        <v>39069</v>
      </c>
      <c r="M6291" t="s">
        <v>41497</v>
      </c>
      <c r="N6291" t="s">
        <v>43166</v>
      </c>
      <c r="O6291" t="s">
        <v>43167</v>
      </c>
      <c r="P6291">
        <v>0</v>
      </c>
      <c r="Q6291">
        <v>2</v>
      </c>
      <c r="R6291" t="s">
        <v>43172</v>
      </c>
      <c r="S6291" t="s">
        <v>43334</v>
      </c>
      <c r="T6291" t="s">
        <v>44796</v>
      </c>
      <c r="U6291" t="s">
        <v>50316</v>
      </c>
      <c r="W6291" t="s">
        <v>41497</v>
      </c>
      <c r="X6291" t="s">
        <v>43173</v>
      </c>
    </row>
    <row r="6292" spans="1:24">
      <c r="A6292">
        <f>HYPERLINK("https://www.philgeps.gov.ph/GEPSNONPILOT/Tender/SplashBidNoticeAbstractUI.aspx?menuIndex=3&amp;refID=7081243&amp;Result=3","7081243")</f>
        <v>0</v>
      </c>
      <c r="B6292" t="s">
        <v>1325</v>
      </c>
      <c r="C6292" t="s">
        <v>9409</v>
      </c>
      <c r="D6292" t="s">
        <v>17413</v>
      </c>
      <c r="E6292" t="s">
        <v>22928</v>
      </c>
      <c r="F6292" t="s">
        <v>30052</v>
      </c>
      <c r="G6292" t="s">
        <v>30058</v>
      </c>
      <c r="H6292" t="s">
        <v>30067</v>
      </c>
      <c r="I6292" t="s">
        <v>3693</v>
      </c>
      <c r="J6292" t="s">
        <v>30823</v>
      </c>
      <c r="K6292" t="s">
        <v>39171</v>
      </c>
      <c r="M6292" t="s">
        <v>40692</v>
      </c>
      <c r="N6292" t="s">
        <v>43166</v>
      </c>
      <c r="O6292" t="s">
        <v>43167</v>
      </c>
      <c r="P6292">
        <v>0</v>
      </c>
      <c r="Q6292">
        <v>0</v>
      </c>
      <c r="R6292" t="s">
        <v>43172</v>
      </c>
      <c r="S6292" t="s">
        <v>43334</v>
      </c>
      <c r="T6292" t="s">
        <v>44680</v>
      </c>
      <c r="U6292" t="s">
        <v>50317</v>
      </c>
      <c r="W6292" t="s">
        <v>40692</v>
      </c>
      <c r="X6292" t="s">
        <v>43173</v>
      </c>
    </row>
    <row r="6293" spans="1:24">
      <c r="A6293">
        <f>HYPERLINK("https://www.philgeps.gov.ph/GEPSNONPILOT/Tender/SplashBidNoticeAbstractUI.aspx?menuIndex=3&amp;refID=7081242&amp;Result=3","7081242")</f>
        <v>0</v>
      </c>
      <c r="B6293" t="s">
        <v>967</v>
      </c>
      <c r="C6293" t="s">
        <v>9410</v>
      </c>
      <c r="D6293" t="s">
        <v>17458</v>
      </c>
      <c r="E6293" t="s">
        <v>22929</v>
      </c>
      <c r="F6293" t="s">
        <v>30052</v>
      </c>
      <c r="G6293" t="s">
        <v>30059</v>
      </c>
      <c r="H6293" t="s">
        <v>30069</v>
      </c>
      <c r="I6293" t="s">
        <v>30094</v>
      </c>
      <c r="J6293" t="s">
        <v>30338</v>
      </c>
      <c r="K6293" t="s">
        <v>39040</v>
      </c>
      <c r="M6293" t="s">
        <v>40293</v>
      </c>
      <c r="N6293" t="s">
        <v>43166</v>
      </c>
      <c r="O6293" t="s">
        <v>43167</v>
      </c>
      <c r="P6293">
        <v>0</v>
      </c>
      <c r="Q6293">
        <v>1</v>
      </c>
      <c r="R6293" t="s">
        <v>43172</v>
      </c>
      <c r="S6293" t="s">
        <v>43334</v>
      </c>
      <c r="T6293" t="s">
        <v>44826</v>
      </c>
      <c r="U6293" t="s">
        <v>50318</v>
      </c>
      <c r="V6293" t="s">
        <v>57489</v>
      </c>
      <c r="W6293" t="s">
        <v>40293</v>
      </c>
      <c r="X6293" t="s">
        <v>43173</v>
      </c>
    </row>
    <row r="6294" spans="1:24">
      <c r="A6294">
        <f>HYPERLINK("https://www.philgeps.gov.ph/GEPSNONPILOT/Tender/SplashBidNoticeAbstractUI.aspx?menuIndex=3&amp;refID=7081220&amp;Result=3","7081220")</f>
        <v>0</v>
      </c>
      <c r="B6294" t="s">
        <v>2046</v>
      </c>
      <c r="C6294" t="s">
        <v>9411</v>
      </c>
      <c r="D6294" t="s">
        <v>17459</v>
      </c>
      <c r="E6294" t="s">
        <v>22930</v>
      </c>
      <c r="F6294" t="s">
        <v>30052</v>
      </c>
      <c r="G6294" t="s">
        <v>30058</v>
      </c>
      <c r="H6294" t="s">
        <v>30067</v>
      </c>
      <c r="I6294" t="s">
        <v>3693</v>
      </c>
      <c r="J6294" t="s">
        <v>34141</v>
      </c>
      <c r="K6294" t="s">
        <v>39032</v>
      </c>
      <c r="M6294" t="s">
        <v>41498</v>
      </c>
      <c r="N6294" t="s">
        <v>43166</v>
      </c>
      <c r="O6294" t="s">
        <v>43167</v>
      </c>
      <c r="P6294">
        <v>0</v>
      </c>
      <c r="Q6294">
        <v>0</v>
      </c>
      <c r="R6294" t="s">
        <v>43172</v>
      </c>
      <c r="S6294" t="s">
        <v>43334</v>
      </c>
      <c r="T6294" t="s">
        <v>44791</v>
      </c>
      <c r="U6294" t="s">
        <v>50319</v>
      </c>
      <c r="W6294" t="s">
        <v>41498</v>
      </c>
      <c r="X6294" t="s">
        <v>43173</v>
      </c>
    </row>
    <row r="6295" spans="1:24">
      <c r="A6295">
        <f>HYPERLINK("https://www.philgeps.gov.ph/GEPSNONPILOT/Tender/SplashBidNoticeAbstractUI.aspx?menuIndex=3&amp;refID=7081217&amp;Result=3","7081217")</f>
        <v>0</v>
      </c>
      <c r="B6295" t="s">
        <v>2047</v>
      </c>
      <c r="C6295" t="s">
        <v>9412</v>
      </c>
      <c r="D6295" t="s">
        <v>17468</v>
      </c>
      <c r="E6295" t="s">
        <v>22931</v>
      </c>
      <c r="F6295" t="s">
        <v>30052</v>
      </c>
      <c r="G6295" t="s">
        <v>30061</v>
      </c>
      <c r="H6295" t="s">
        <v>15498</v>
      </c>
      <c r="I6295" t="s">
        <v>30081</v>
      </c>
      <c r="J6295" t="s">
        <v>30292</v>
      </c>
      <c r="K6295" t="s">
        <v>39019</v>
      </c>
      <c r="M6295" t="s">
        <v>41499</v>
      </c>
      <c r="N6295" t="s">
        <v>43166</v>
      </c>
      <c r="O6295" t="s">
        <v>43167</v>
      </c>
      <c r="P6295">
        <v>0</v>
      </c>
      <c r="Q6295">
        <v>2</v>
      </c>
      <c r="R6295" t="s">
        <v>43172</v>
      </c>
      <c r="S6295" t="s">
        <v>43334</v>
      </c>
      <c r="T6295" t="s">
        <v>44806</v>
      </c>
      <c r="U6295" t="s">
        <v>50320</v>
      </c>
      <c r="W6295" t="s">
        <v>41499</v>
      </c>
      <c r="X6295" t="s">
        <v>43173</v>
      </c>
    </row>
    <row r="6296" spans="1:24">
      <c r="A6296">
        <f>HYPERLINK("https://www.philgeps.gov.ph/GEPSNONPILOT/Tender/SplashBidNoticeAbstractUI.aspx?menuIndex=3&amp;refID=7081215&amp;Result=3","7081215")</f>
        <v>0</v>
      </c>
      <c r="B6296" t="s">
        <v>550</v>
      </c>
      <c r="C6296" t="s">
        <v>9413</v>
      </c>
      <c r="D6296" t="s">
        <v>17453</v>
      </c>
      <c r="E6296" t="s">
        <v>22932</v>
      </c>
      <c r="F6296" t="s">
        <v>30052</v>
      </c>
      <c r="G6296" t="s">
        <v>30058</v>
      </c>
      <c r="H6296" t="s">
        <v>30067</v>
      </c>
      <c r="I6296" t="s">
        <v>3693</v>
      </c>
      <c r="J6296" t="s">
        <v>34142</v>
      </c>
      <c r="K6296" t="s">
        <v>39131</v>
      </c>
      <c r="M6296" t="s">
        <v>39852</v>
      </c>
      <c r="N6296" t="s">
        <v>43166</v>
      </c>
      <c r="O6296" t="s">
        <v>43167</v>
      </c>
      <c r="P6296">
        <v>0</v>
      </c>
      <c r="Q6296">
        <v>0</v>
      </c>
      <c r="R6296" t="s">
        <v>43172</v>
      </c>
      <c r="S6296" t="s">
        <v>43334</v>
      </c>
      <c r="T6296" t="s">
        <v>45037</v>
      </c>
      <c r="U6296" t="s">
        <v>50321</v>
      </c>
      <c r="W6296" t="s">
        <v>39852</v>
      </c>
      <c r="X6296" t="s">
        <v>43173</v>
      </c>
    </row>
    <row r="6297" spans="1:24">
      <c r="A6297">
        <f>HYPERLINK("https://www.philgeps.gov.ph/GEPSNONPILOT/Tender/SplashBidNoticeAbstractUI.aspx?menuIndex=3&amp;refID=7081416&amp;Result=3","7081416")</f>
        <v>0</v>
      </c>
      <c r="B6297" t="s">
        <v>1028</v>
      </c>
      <c r="C6297" t="s">
        <v>9414</v>
      </c>
      <c r="D6297" t="s">
        <v>17450</v>
      </c>
      <c r="E6297" t="s">
        <v>22933</v>
      </c>
      <c r="F6297" t="s">
        <v>30052</v>
      </c>
      <c r="G6297" t="s">
        <v>30059</v>
      </c>
      <c r="H6297" t="s">
        <v>15498</v>
      </c>
      <c r="I6297" t="s">
        <v>6691</v>
      </c>
      <c r="J6297" t="s">
        <v>34143</v>
      </c>
      <c r="K6297" t="s">
        <v>39035</v>
      </c>
      <c r="M6297" t="s">
        <v>40357</v>
      </c>
      <c r="N6297" t="s">
        <v>43166</v>
      </c>
      <c r="O6297" t="s">
        <v>43167</v>
      </c>
      <c r="P6297">
        <v>0</v>
      </c>
      <c r="Q6297">
        <v>0</v>
      </c>
      <c r="R6297" t="s">
        <v>43172</v>
      </c>
      <c r="S6297" t="s">
        <v>43334</v>
      </c>
      <c r="T6297" t="s">
        <v>44720</v>
      </c>
      <c r="U6297" t="s">
        <v>47341</v>
      </c>
      <c r="W6297" t="s">
        <v>40357</v>
      </c>
      <c r="X6297" t="s">
        <v>43173</v>
      </c>
    </row>
    <row r="6298" spans="1:24">
      <c r="A6298">
        <f>HYPERLINK("https://www.philgeps.gov.ph/GEPSNONPILOT/Tender/SplashBidNoticeAbstractUI.aspx?menuIndex=3&amp;refID=7081274&amp;Result=3","7081274")</f>
        <v>0</v>
      </c>
      <c r="B6298" t="s">
        <v>1405</v>
      </c>
      <c r="C6298" t="s">
        <v>9415</v>
      </c>
      <c r="D6298" t="s">
        <v>17415</v>
      </c>
      <c r="E6298" t="s">
        <v>22934</v>
      </c>
      <c r="F6298" t="s">
        <v>30052</v>
      </c>
      <c r="G6298" t="s">
        <v>30059</v>
      </c>
      <c r="H6298" t="s">
        <v>15498</v>
      </c>
      <c r="I6298" t="s">
        <v>30076</v>
      </c>
      <c r="J6298" t="s">
        <v>34144</v>
      </c>
      <c r="K6298" t="s">
        <v>39025</v>
      </c>
      <c r="M6298" t="s">
        <v>40782</v>
      </c>
      <c r="N6298" t="s">
        <v>43166</v>
      </c>
      <c r="O6298" t="s">
        <v>43167</v>
      </c>
      <c r="P6298">
        <v>0</v>
      </c>
      <c r="Q6298">
        <v>5</v>
      </c>
      <c r="R6298" t="s">
        <v>43172</v>
      </c>
      <c r="S6298" t="s">
        <v>43334</v>
      </c>
      <c r="T6298" t="s">
        <v>44870</v>
      </c>
      <c r="U6298" t="s">
        <v>48355</v>
      </c>
      <c r="W6298" t="s">
        <v>40782</v>
      </c>
      <c r="X6298" t="s">
        <v>43173</v>
      </c>
    </row>
    <row r="6299" spans="1:24">
      <c r="A6299">
        <f>HYPERLINK("https://www.philgeps.gov.ph/GEPSNONPILOT/Tender/SplashBidNoticeAbstractUI.aspx?menuIndex=3&amp;refID=7081245&amp;Result=3","7081245")</f>
        <v>0</v>
      </c>
      <c r="B6299" t="s">
        <v>344</v>
      </c>
      <c r="C6299" t="s">
        <v>9416</v>
      </c>
      <c r="D6299" t="s">
        <v>17461</v>
      </c>
      <c r="E6299" t="s">
        <v>22935</v>
      </c>
      <c r="F6299" t="s">
        <v>30052</v>
      </c>
      <c r="G6299" t="s">
        <v>30058</v>
      </c>
      <c r="H6299" t="s">
        <v>15498</v>
      </c>
      <c r="I6299" t="s">
        <v>30074</v>
      </c>
      <c r="J6299" t="s">
        <v>30222</v>
      </c>
      <c r="K6299" t="s">
        <v>39046</v>
      </c>
      <c r="M6299" t="s">
        <v>39641</v>
      </c>
      <c r="N6299" t="s">
        <v>43166</v>
      </c>
      <c r="O6299" t="s">
        <v>43167</v>
      </c>
      <c r="P6299">
        <v>0</v>
      </c>
      <c r="Q6299">
        <v>1</v>
      </c>
      <c r="R6299" t="s">
        <v>43172</v>
      </c>
      <c r="S6299" t="s">
        <v>43334</v>
      </c>
      <c r="T6299" t="s">
        <v>45020</v>
      </c>
      <c r="U6299" t="s">
        <v>50322</v>
      </c>
      <c r="V6299" t="s">
        <v>57465</v>
      </c>
      <c r="W6299" t="s">
        <v>39641</v>
      </c>
      <c r="X6299" t="s">
        <v>43173</v>
      </c>
    </row>
    <row r="6300" spans="1:24">
      <c r="A6300">
        <f>HYPERLINK("https://www.philgeps.gov.ph/GEPSNONPILOT/Tender/SplashBidNoticeAbstractUI.aspx?menuIndex=3&amp;refID=7081445&amp;Result=3","7081445")</f>
        <v>0</v>
      </c>
      <c r="B6300" t="s">
        <v>2037</v>
      </c>
      <c r="C6300" t="s">
        <v>9417</v>
      </c>
      <c r="D6300" t="s">
        <v>17435</v>
      </c>
      <c r="E6300" t="s">
        <v>22936</v>
      </c>
      <c r="F6300" t="s">
        <v>30052</v>
      </c>
      <c r="G6300" t="s">
        <v>30058</v>
      </c>
      <c r="H6300" t="s">
        <v>15498</v>
      </c>
      <c r="I6300" t="s">
        <v>30074</v>
      </c>
      <c r="J6300" t="s">
        <v>30218</v>
      </c>
      <c r="K6300" t="s">
        <v>39025</v>
      </c>
      <c r="M6300" t="s">
        <v>41486</v>
      </c>
      <c r="N6300" t="s">
        <v>43166</v>
      </c>
      <c r="O6300" t="s">
        <v>43167</v>
      </c>
      <c r="P6300">
        <v>0</v>
      </c>
      <c r="Q6300">
        <v>0</v>
      </c>
      <c r="R6300" t="s">
        <v>43172</v>
      </c>
      <c r="S6300" t="s">
        <v>43334</v>
      </c>
      <c r="T6300" t="s">
        <v>44796</v>
      </c>
      <c r="U6300" t="s">
        <v>50323</v>
      </c>
      <c r="W6300" t="s">
        <v>41486</v>
      </c>
      <c r="X6300" t="s">
        <v>43173</v>
      </c>
    </row>
    <row r="6301" spans="1:24">
      <c r="A6301">
        <f>HYPERLINK("https://www.philgeps.gov.ph/GEPSNONPILOT/Tender/SplashBidNoticeAbstractUI.aspx?menuIndex=3&amp;refID=7081408&amp;Result=3","7081408")</f>
        <v>0</v>
      </c>
      <c r="B6301" t="s">
        <v>2035</v>
      </c>
      <c r="C6301" t="s">
        <v>9418</v>
      </c>
      <c r="E6301" t="s">
        <v>22937</v>
      </c>
      <c r="F6301" t="s">
        <v>30052</v>
      </c>
      <c r="G6301" t="s">
        <v>30058</v>
      </c>
      <c r="H6301" t="s">
        <v>15498</v>
      </c>
      <c r="I6301" t="s">
        <v>30175</v>
      </c>
      <c r="J6301" t="s">
        <v>34145</v>
      </c>
      <c r="K6301" t="s">
        <v>39026</v>
      </c>
      <c r="M6301" t="s">
        <v>41484</v>
      </c>
      <c r="N6301" t="s">
        <v>43166</v>
      </c>
      <c r="O6301" t="s">
        <v>43167</v>
      </c>
      <c r="P6301">
        <v>0</v>
      </c>
      <c r="Q6301">
        <v>2</v>
      </c>
      <c r="R6301" t="s">
        <v>43172</v>
      </c>
      <c r="S6301" t="s">
        <v>43334</v>
      </c>
      <c r="T6301" t="s">
        <v>44722</v>
      </c>
      <c r="U6301" t="s">
        <v>50324</v>
      </c>
      <c r="W6301" t="s">
        <v>41484</v>
      </c>
      <c r="X6301" t="s">
        <v>43173</v>
      </c>
    </row>
    <row r="6302" spans="1:24">
      <c r="A6302">
        <f>HYPERLINK("https://www.philgeps.gov.ph/GEPSNONPILOT/Tender/SplashBidNoticeAbstractUI.aspx?menuIndex=3&amp;refID=7081386&amp;Result=3","7081386")</f>
        <v>0</v>
      </c>
      <c r="B6302" t="s">
        <v>2048</v>
      </c>
      <c r="C6302" t="s">
        <v>8234</v>
      </c>
      <c r="D6302" t="s">
        <v>17424</v>
      </c>
      <c r="E6302" t="s">
        <v>22938</v>
      </c>
      <c r="F6302" t="s">
        <v>30052</v>
      </c>
      <c r="G6302" t="s">
        <v>30058</v>
      </c>
      <c r="H6302" t="s">
        <v>30067</v>
      </c>
      <c r="I6302" t="s">
        <v>3693</v>
      </c>
      <c r="J6302" t="s">
        <v>30230</v>
      </c>
      <c r="K6302" t="s">
        <v>39029</v>
      </c>
      <c r="M6302" t="s">
        <v>41500</v>
      </c>
      <c r="N6302" t="s">
        <v>43166</v>
      </c>
      <c r="O6302" t="s">
        <v>43167</v>
      </c>
      <c r="Q6302">
        <v>0</v>
      </c>
      <c r="R6302" t="s">
        <v>43172</v>
      </c>
      <c r="S6302" t="s">
        <v>43363</v>
      </c>
      <c r="T6302" t="s">
        <v>44715</v>
      </c>
      <c r="U6302" t="s">
        <v>50325</v>
      </c>
      <c r="V6302" t="s">
        <v>57490</v>
      </c>
      <c r="W6302" t="s">
        <v>41500</v>
      </c>
      <c r="X6302" t="s">
        <v>43173</v>
      </c>
    </row>
    <row r="6303" spans="1:24">
      <c r="A6303">
        <f>HYPERLINK("https://www.philgeps.gov.ph/GEPSNONPILOT/Tender/SplashBidNoticeAbstractUI.aspx?menuIndex=3&amp;refID=7081439&amp;Result=3","7081439")</f>
        <v>0</v>
      </c>
      <c r="B6303" t="s">
        <v>489</v>
      </c>
      <c r="C6303" t="s">
        <v>9419</v>
      </c>
      <c r="D6303" t="s">
        <v>17425</v>
      </c>
      <c r="E6303" t="s">
        <v>22939</v>
      </c>
      <c r="F6303" t="s">
        <v>30052</v>
      </c>
      <c r="G6303" t="s">
        <v>30061</v>
      </c>
      <c r="H6303" t="s">
        <v>15498</v>
      </c>
      <c r="I6303" t="s">
        <v>30073</v>
      </c>
      <c r="J6303" t="s">
        <v>30292</v>
      </c>
      <c r="K6303" t="s">
        <v>39017</v>
      </c>
      <c r="M6303" t="s">
        <v>39790</v>
      </c>
      <c r="N6303" t="s">
        <v>43166</v>
      </c>
      <c r="O6303" t="s">
        <v>43167</v>
      </c>
      <c r="P6303">
        <v>0</v>
      </c>
      <c r="Q6303">
        <v>0</v>
      </c>
      <c r="R6303" t="s">
        <v>43172</v>
      </c>
      <c r="S6303" t="s">
        <v>43334</v>
      </c>
      <c r="T6303" t="s">
        <v>44844</v>
      </c>
      <c r="U6303" t="s">
        <v>50326</v>
      </c>
      <c r="V6303" t="s">
        <v>57138</v>
      </c>
      <c r="W6303" t="s">
        <v>39790</v>
      </c>
      <c r="X6303" t="s">
        <v>43173</v>
      </c>
    </row>
    <row r="6304" spans="1:24">
      <c r="A6304">
        <f>HYPERLINK("https://www.philgeps.gov.ph/GEPSNONPILOT/Tender/SplashBidNoticeAbstractUI.aspx?menuIndex=3&amp;refID=7081438&amp;Result=3","7081438")</f>
        <v>0</v>
      </c>
      <c r="B6304" t="s">
        <v>1038</v>
      </c>
      <c r="C6304" t="s">
        <v>9420</v>
      </c>
      <c r="D6304" t="s">
        <v>17436</v>
      </c>
      <c r="E6304" t="s">
        <v>22940</v>
      </c>
      <c r="F6304" t="s">
        <v>30052</v>
      </c>
      <c r="G6304" t="s">
        <v>30059</v>
      </c>
      <c r="H6304" t="s">
        <v>15498</v>
      </c>
      <c r="I6304" t="s">
        <v>30094</v>
      </c>
      <c r="J6304" t="s">
        <v>34146</v>
      </c>
      <c r="K6304" t="s">
        <v>39025</v>
      </c>
      <c r="M6304" t="s">
        <v>40369</v>
      </c>
      <c r="N6304" t="s">
        <v>43166</v>
      </c>
      <c r="O6304" t="s">
        <v>43167</v>
      </c>
      <c r="P6304">
        <v>0</v>
      </c>
      <c r="Q6304">
        <v>0</v>
      </c>
      <c r="R6304" t="s">
        <v>43172</v>
      </c>
      <c r="S6304" t="s">
        <v>43334</v>
      </c>
      <c r="T6304" t="s">
        <v>44777</v>
      </c>
      <c r="U6304" t="s">
        <v>50327</v>
      </c>
      <c r="W6304" t="s">
        <v>40369</v>
      </c>
      <c r="X6304" t="s">
        <v>43173</v>
      </c>
    </row>
    <row r="6305" spans="1:24">
      <c r="A6305">
        <f>HYPERLINK("https://www.philgeps.gov.ph/GEPSNONPILOT/Tender/SplashBidNoticeAbstractUI.aspx?menuIndex=3&amp;refID=7081435&amp;Result=3","7081435")</f>
        <v>0</v>
      </c>
      <c r="B6305" t="s">
        <v>2048</v>
      </c>
      <c r="C6305" t="s">
        <v>9421</v>
      </c>
      <c r="D6305" t="s">
        <v>17424</v>
      </c>
      <c r="E6305" t="s">
        <v>22941</v>
      </c>
      <c r="F6305" t="s">
        <v>30052</v>
      </c>
      <c r="G6305" t="s">
        <v>30058</v>
      </c>
      <c r="H6305" t="s">
        <v>30067</v>
      </c>
      <c r="I6305" t="s">
        <v>3693</v>
      </c>
      <c r="J6305" t="s">
        <v>30358</v>
      </c>
      <c r="K6305" t="s">
        <v>39029</v>
      </c>
      <c r="M6305" t="s">
        <v>41500</v>
      </c>
      <c r="N6305" t="s">
        <v>43166</v>
      </c>
      <c r="O6305" t="s">
        <v>43167</v>
      </c>
      <c r="P6305">
        <v>0</v>
      </c>
      <c r="Q6305">
        <v>0</v>
      </c>
      <c r="R6305" t="s">
        <v>43172</v>
      </c>
      <c r="S6305" t="s">
        <v>43334</v>
      </c>
      <c r="T6305" t="s">
        <v>44720</v>
      </c>
      <c r="U6305" t="s">
        <v>50328</v>
      </c>
      <c r="V6305" t="s">
        <v>57490</v>
      </c>
      <c r="W6305" t="s">
        <v>41500</v>
      </c>
      <c r="X6305" t="s">
        <v>43173</v>
      </c>
    </row>
    <row r="6306" spans="1:24">
      <c r="A6306">
        <f>HYPERLINK("https://www.philgeps.gov.ph/GEPSNONPILOT/Tender/SplashBidNoticeAbstractUI.aspx?menuIndex=3&amp;refID=7081433&amp;Result=3","7081433")</f>
        <v>0</v>
      </c>
      <c r="B6306" t="s">
        <v>1028</v>
      </c>
      <c r="C6306" t="s">
        <v>9422</v>
      </c>
      <c r="D6306" t="s">
        <v>17450</v>
      </c>
      <c r="E6306" t="s">
        <v>22942</v>
      </c>
      <c r="F6306" t="s">
        <v>30052</v>
      </c>
      <c r="G6306" t="s">
        <v>30059</v>
      </c>
      <c r="H6306" t="s">
        <v>15498</v>
      </c>
      <c r="I6306" t="s">
        <v>6691</v>
      </c>
      <c r="J6306" t="s">
        <v>34123</v>
      </c>
      <c r="K6306" t="s">
        <v>39035</v>
      </c>
      <c r="M6306" t="s">
        <v>40357</v>
      </c>
      <c r="N6306" t="s">
        <v>43166</v>
      </c>
      <c r="O6306" t="s">
        <v>43167</v>
      </c>
      <c r="P6306">
        <v>0</v>
      </c>
      <c r="Q6306">
        <v>0</v>
      </c>
      <c r="R6306" t="s">
        <v>43172</v>
      </c>
      <c r="S6306" t="s">
        <v>43334</v>
      </c>
      <c r="T6306" t="s">
        <v>44691</v>
      </c>
      <c r="U6306" t="s">
        <v>47341</v>
      </c>
      <c r="W6306" t="s">
        <v>40357</v>
      </c>
      <c r="X6306" t="s">
        <v>43173</v>
      </c>
    </row>
    <row r="6307" spans="1:24">
      <c r="A6307">
        <f>HYPERLINK("https://www.philgeps.gov.ph/GEPSNONPILOT/Tender/SplashBidNoticeAbstractUI.aspx?menuIndex=3&amp;refID=7081437&amp;Result=3","7081437")</f>
        <v>0</v>
      </c>
      <c r="B6307" t="s">
        <v>202</v>
      </c>
      <c r="C6307" t="s">
        <v>9423</v>
      </c>
      <c r="D6307" t="s">
        <v>17461</v>
      </c>
      <c r="E6307" t="s">
        <v>22943</v>
      </c>
      <c r="F6307" t="s">
        <v>30052</v>
      </c>
      <c r="G6307" t="s">
        <v>30059</v>
      </c>
      <c r="H6307" t="s">
        <v>15498</v>
      </c>
      <c r="I6307" t="s">
        <v>30070</v>
      </c>
      <c r="J6307" t="s">
        <v>30207</v>
      </c>
      <c r="K6307" t="s">
        <v>39025</v>
      </c>
      <c r="L6307" t="s">
        <v>202</v>
      </c>
      <c r="M6307" t="s">
        <v>39492</v>
      </c>
      <c r="N6307" t="s">
        <v>43166</v>
      </c>
      <c r="O6307" t="s">
        <v>43167</v>
      </c>
      <c r="P6307">
        <v>0</v>
      </c>
      <c r="Q6307">
        <v>1</v>
      </c>
      <c r="R6307" t="s">
        <v>43172</v>
      </c>
      <c r="S6307" t="s">
        <v>43334</v>
      </c>
      <c r="T6307" t="s">
        <v>44862</v>
      </c>
      <c r="U6307" t="s">
        <v>45747</v>
      </c>
      <c r="W6307" t="s">
        <v>39492</v>
      </c>
      <c r="X6307" t="s">
        <v>43173</v>
      </c>
    </row>
    <row r="6308" spans="1:24">
      <c r="A6308">
        <f>HYPERLINK("https://www.philgeps.gov.ph/GEPSNONPILOT/Tender/SplashBidNoticeAbstractUI.aspx?menuIndex=3&amp;refID=7081432&amp;Result=3","7081432")</f>
        <v>0</v>
      </c>
      <c r="B6308" t="s">
        <v>489</v>
      </c>
      <c r="C6308" t="s">
        <v>9424</v>
      </c>
      <c r="D6308" t="s">
        <v>17425</v>
      </c>
      <c r="E6308" t="s">
        <v>22944</v>
      </c>
      <c r="F6308" t="s">
        <v>30052</v>
      </c>
      <c r="G6308" t="s">
        <v>30061</v>
      </c>
      <c r="H6308" t="s">
        <v>15498</v>
      </c>
      <c r="I6308" t="s">
        <v>3852</v>
      </c>
      <c r="J6308" t="s">
        <v>32664</v>
      </c>
      <c r="K6308" t="s">
        <v>39017</v>
      </c>
      <c r="M6308" t="s">
        <v>39790</v>
      </c>
      <c r="N6308" t="s">
        <v>43166</v>
      </c>
      <c r="O6308" t="s">
        <v>43167</v>
      </c>
      <c r="P6308">
        <v>0</v>
      </c>
      <c r="Q6308">
        <v>1</v>
      </c>
      <c r="R6308" t="s">
        <v>43172</v>
      </c>
      <c r="S6308" t="s">
        <v>43334</v>
      </c>
      <c r="T6308" t="s">
        <v>44844</v>
      </c>
      <c r="U6308" t="s">
        <v>50329</v>
      </c>
      <c r="V6308" t="s">
        <v>57138</v>
      </c>
      <c r="W6308" t="s">
        <v>39790</v>
      </c>
      <c r="X6308" t="s">
        <v>43173</v>
      </c>
    </row>
    <row r="6309" spans="1:24">
      <c r="A6309">
        <f>HYPERLINK("https://www.philgeps.gov.ph/GEPSNONPILOT/Tender/SplashBidNoticeAbstractUI.aspx?menuIndex=3&amp;refID=7081430&amp;Result=3","7081430")</f>
        <v>0</v>
      </c>
      <c r="B6309" t="s">
        <v>2037</v>
      </c>
      <c r="C6309" t="s">
        <v>9425</v>
      </c>
      <c r="D6309" t="s">
        <v>17435</v>
      </c>
      <c r="E6309" t="s">
        <v>22945</v>
      </c>
      <c r="F6309" t="s">
        <v>30052</v>
      </c>
      <c r="G6309" t="s">
        <v>30058</v>
      </c>
      <c r="H6309" t="s">
        <v>15498</v>
      </c>
      <c r="I6309" t="s">
        <v>4650</v>
      </c>
      <c r="J6309" t="s">
        <v>30343</v>
      </c>
      <c r="K6309" t="s">
        <v>39025</v>
      </c>
      <c r="M6309" t="s">
        <v>41486</v>
      </c>
      <c r="N6309" t="s">
        <v>43166</v>
      </c>
      <c r="O6309" t="s">
        <v>43167</v>
      </c>
      <c r="P6309">
        <v>0</v>
      </c>
      <c r="Q6309">
        <v>1</v>
      </c>
      <c r="R6309" t="s">
        <v>43172</v>
      </c>
      <c r="S6309" t="s">
        <v>43334</v>
      </c>
      <c r="T6309" t="s">
        <v>44796</v>
      </c>
      <c r="U6309" t="s">
        <v>50330</v>
      </c>
      <c r="W6309" t="s">
        <v>41486</v>
      </c>
      <c r="X6309" t="s">
        <v>43173</v>
      </c>
    </row>
    <row r="6310" spans="1:24">
      <c r="A6310">
        <f>HYPERLINK("https://www.philgeps.gov.ph/GEPSNONPILOT/Tender/SplashBidNoticeAbstractUI.aspx?menuIndex=3&amp;refID=7081425&amp;Result=3","7081425")</f>
        <v>0</v>
      </c>
      <c r="B6310" t="s">
        <v>352</v>
      </c>
      <c r="C6310" t="s">
        <v>9426</v>
      </c>
      <c r="D6310" t="s">
        <v>17415</v>
      </c>
      <c r="E6310" t="s">
        <v>22946</v>
      </c>
      <c r="F6310" t="s">
        <v>30052</v>
      </c>
      <c r="G6310" t="s">
        <v>30059</v>
      </c>
      <c r="H6310" t="s">
        <v>15498</v>
      </c>
      <c r="I6310" t="s">
        <v>30165</v>
      </c>
      <c r="J6310" t="s">
        <v>31423</v>
      </c>
      <c r="K6310" t="s">
        <v>39029</v>
      </c>
      <c r="M6310" t="s">
        <v>41501</v>
      </c>
      <c r="N6310" t="s">
        <v>43166</v>
      </c>
      <c r="O6310" t="s">
        <v>43167</v>
      </c>
      <c r="P6310">
        <v>0</v>
      </c>
      <c r="Q6310">
        <v>2</v>
      </c>
      <c r="R6310" t="s">
        <v>43172</v>
      </c>
      <c r="S6310" t="s">
        <v>43334</v>
      </c>
      <c r="T6310" t="s">
        <v>44837</v>
      </c>
      <c r="U6310" t="s">
        <v>50331</v>
      </c>
      <c r="W6310" t="s">
        <v>41501</v>
      </c>
      <c r="X6310" t="s">
        <v>43173</v>
      </c>
    </row>
    <row r="6311" spans="1:24">
      <c r="A6311">
        <f>HYPERLINK("https://www.philgeps.gov.ph/GEPSNONPILOT/Tender/SplashBidNoticeAbstractUI.aspx?menuIndex=3&amp;refID=7081424&amp;Result=3","7081424")</f>
        <v>0</v>
      </c>
      <c r="B6311" t="s">
        <v>1028</v>
      </c>
      <c r="C6311" t="s">
        <v>9427</v>
      </c>
      <c r="D6311" t="s">
        <v>17450</v>
      </c>
      <c r="E6311" t="s">
        <v>22947</v>
      </c>
      <c r="F6311" t="s">
        <v>30052</v>
      </c>
      <c r="G6311" t="s">
        <v>30059</v>
      </c>
      <c r="H6311" t="s">
        <v>15498</v>
      </c>
      <c r="I6311" t="s">
        <v>6691</v>
      </c>
      <c r="J6311" t="s">
        <v>34147</v>
      </c>
      <c r="K6311" t="s">
        <v>39035</v>
      </c>
      <c r="M6311" t="s">
        <v>40357</v>
      </c>
      <c r="N6311" t="s">
        <v>43166</v>
      </c>
      <c r="O6311" t="s">
        <v>43167</v>
      </c>
      <c r="P6311">
        <v>0</v>
      </c>
      <c r="Q6311">
        <v>1</v>
      </c>
      <c r="R6311" t="s">
        <v>43172</v>
      </c>
      <c r="S6311" t="s">
        <v>43334</v>
      </c>
      <c r="T6311" t="s">
        <v>44691</v>
      </c>
      <c r="U6311" t="s">
        <v>47341</v>
      </c>
      <c r="W6311" t="s">
        <v>40357</v>
      </c>
      <c r="X6311" t="s">
        <v>43173</v>
      </c>
    </row>
    <row r="6312" spans="1:24">
      <c r="A6312">
        <f>HYPERLINK("https://www.philgeps.gov.ph/GEPSNONPILOT/Tender/SplashBidNoticeAbstractUI.aspx?menuIndex=3&amp;refID=7081381&amp;Result=3","7081381")</f>
        <v>0</v>
      </c>
      <c r="B6312" t="s">
        <v>201</v>
      </c>
      <c r="C6312" t="s">
        <v>9428</v>
      </c>
      <c r="D6312" t="s">
        <v>17415</v>
      </c>
      <c r="E6312" t="s">
        <v>22948</v>
      </c>
      <c r="F6312" t="s">
        <v>30052</v>
      </c>
      <c r="G6312" t="s">
        <v>30059</v>
      </c>
      <c r="H6312" t="s">
        <v>15498</v>
      </c>
      <c r="I6312" t="s">
        <v>3736</v>
      </c>
      <c r="J6312" t="s">
        <v>34148</v>
      </c>
      <c r="K6312" t="s">
        <v>39017</v>
      </c>
      <c r="M6312" t="s">
        <v>39491</v>
      </c>
      <c r="N6312" t="s">
        <v>43166</v>
      </c>
      <c r="O6312" t="s">
        <v>43167</v>
      </c>
      <c r="Q6312">
        <v>4</v>
      </c>
      <c r="R6312" t="s">
        <v>43172</v>
      </c>
      <c r="S6312" t="s">
        <v>43364</v>
      </c>
      <c r="T6312" t="s">
        <v>44843</v>
      </c>
      <c r="U6312" t="s">
        <v>49838</v>
      </c>
      <c r="W6312" t="s">
        <v>39491</v>
      </c>
      <c r="X6312" t="s">
        <v>43173</v>
      </c>
    </row>
    <row r="6313" spans="1:24">
      <c r="A6313">
        <f>HYPERLINK("https://www.philgeps.gov.ph/GEPSNONPILOT/Tender/SplashBidNoticeAbstractUI.aspx?menuIndex=3&amp;refID=7081420&amp;Result=3","7081420")</f>
        <v>0</v>
      </c>
      <c r="B6313" t="s">
        <v>1134</v>
      </c>
      <c r="C6313" t="s">
        <v>9429</v>
      </c>
      <c r="D6313" t="s">
        <v>17459</v>
      </c>
      <c r="E6313" t="s">
        <v>22949</v>
      </c>
      <c r="F6313" t="s">
        <v>30052</v>
      </c>
      <c r="G6313" t="s">
        <v>30059</v>
      </c>
      <c r="H6313" t="s">
        <v>15498</v>
      </c>
      <c r="I6313" t="s">
        <v>30081</v>
      </c>
      <c r="J6313" t="s">
        <v>31440</v>
      </c>
      <c r="K6313" t="s">
        <v>39037</v>
      </c>
      <c r="M6313" t="s">
        <v>40477</v>
      </c>
      <c r="N6313" t="s">
        <v>43166</v>
      </c>
      <c r="O6313" t="s">
        <v>43167</v>
      </c>
      <c r="P6313">
        <v>0</v>
      </c>
      <c r="Q6313">
        <v>2</v>
      </c>
      <c r="R6313" t="s">
        <v>43172</v>
      </c>
      <c r="S6313" t="s">
        <v>43334</v>
      </c>
      <c r="T6313" t="s">
        <v>44717</v>
      </c>
      <c r="U6313" t="s">
        <v>50332</v>
      </c>
      <c r="W6313" t="s">
        <v>40477</v>
      </c>
      <c r="X6313" t="s">
        <v>43173</v>
      </c>
    </row>
    <row r="6314" spans="1:24">
      <c r="A6314">
        <f>HYPERLINK("https://www.philgeps.gov.ph/GEPSNONPILOT/Tender/SplashBidNoticeAbstractUI.aspx?menuIndex=3&amp;refID=7081418&amp;Result=3","7081418")</f>
        <v>0</v>
      </c>
      <c r="B6314" t="s">
        <v>422</v>
      </c>
      <c r="C6314" t="s">
        <v>9430</v>
      </c>
      <c r="D6314" t="s">
        <v>17455</v>
      </c>
      <c r="E6314" t="s">
        <v>22950</v>
      </c>
      <c r="F6314" t="s">
        <v>30052</v>
      </c>
      <c r="G6314" t="s">
        <v>30058</v>
      </c>
      <c r="H6314" t="s">
        <v>15498</v>
      </c>
      <c r="I6314" t="s">
        <v>30081</v>
      </c>
      <c r="J6314" t="s">
        <v>34149</v>
      </c>
      <c r="K6314" t="s">
        <v>39025</v>
      </c>
      <c r="M6314" t="s">
        <v>41502</v>
      </c>
      <c r="N6314" t="s">
        <v>43166</v>
      </c>
      <c r="O6314" t="s">
        <v>43167</v>
      </c>
      <c r="P6314">
        <v>0</v>
      </c>
      <c r="Q6314">
        <v>6</v>
      </c>
      <c r="R6314" t="s">
        <v>43172</v>
      </c>
      <c r="S6314" t="s">
        <v>43334</v>
      </c>
      <c r="T6314" t="s">
        <v>45040</v>
      </c>
      <c r="U6314" t="s">
        <v>50333</v>
      </c>
      <c r="V6314" t="s">
        <v>57491</v>
      </c>
      <c r="W6314" t="s">
        <v>41502</v>
      </c>
      <c r="X6314" t="s">
        <v>43173</v>
      </c>
    </row>
    <row r="6315" spans="1:24">
      <c r="A6315">
        <f>HYPERLINK("https://www.philgeps.gov.ph/GEPSNONPILOT/Tender/SplashBidNoticeAbstractUI.aspx?menuIndex=3&amp;refID=7081378&amp;Result=3","7081378")</f>
        <v>0</v>
      </c>
      <c r="B6315" t="s">
        <v>202</v>
      </c>
      <c r="C6315" t="s">
        <v>9431</v>
      </c>
      <c r="D6315" t="s">
        <v>17461</v>
      </c>
      <c r="E6315" t="s">
        <v>22951</v>
      </c>
      <c r="F6315" t="s">
        <v>30052</v>
      </c>
      <c r="G6315" t="s">
        <v>30059</v>
      </c>
      <c r="H6315" t="s">
        <v>15498</v>
      </c>
      <c r="I6315" t="s">
        <v>30081</v>
      </c>
      <c r="J6315" t="s">
        <v>30402</v>
      </c>
      <c r="K6315" t="s">
        <v>39034</v>
      </c>
      <c r="L6315" t="s">
        <v>202</v>
      </c>
      <c r="M6315" t="s">
        <v>39492</v>
      </c>
      <c r="N6315" t="s">
        <v>43166</v>
      </c>
      <c r="O6315" t="s">
        <v>43167</v>
      </c>
      <c r="P6315">
        <v>0</v>
      </c>
      <c r="Q6315">
        <v>1</v>
      </c>
      <c r="R6315" t="s">
        <v>43172</v>
      </c>
      <c r="S6315" t="s">
        <v>43334</v>
      </c>
      <c r="T6315" t="s">
        <v>44862</v>
      </c>
      <c r="U6315" t="s">
        <v>45747</v>
      </c>
      <c r="W6315" t="s">
        <v>39492</v>
      </c>
      <c r="X6315" t="s">
        <v>43173</v>
      </c>
    </row>
    <row r="6316" spans="1:24">
      <c r="A6316">
        <f>HYPERLINK("https://www.philgeps.gov.ph/GEPSNONPILOT/Tender/SplashBidNoticeAbstractUI.aspx?menuIndex=3&amp;refID=7081475&amp;Result=3","7081475")</f>
        <v>0</v>
      </c>
      <c r="B6316" t="s">
        <v>2049</v>
      </c>
      <c r="C6316" t="s">
        <v>9432</v>
      </c>
      <c r="D6316" t="s">
        <v>17487</v>
      </c>
      <c r="E6316" t="s">
        <v>22952</v>
      </c>
      <c r="F6316" t="s">
        <v>30052</v>
      </c>
      <c r="G6316" t="s">
        <v>30058</v>
      </c>
      <c r="H6316" t="s">
        <v>15498</v>
      </c>
      <c r="I6316" t="s">
        <v>3736</v>
      </c>
      <c r="J6316" t="s">
        <v>30252</v>
      </c>
      <c r="K6316" t="s">
        <v>39025</v>
      </c>
      <c r="M6316" t="s">
        <v>41503</v>
      </c>
      <c r="N6316" t="s">
        <v>43166</v>
      </c>
      <c r="O6316" t="s">
        <v>43167</v>
      </c>
      <c r="P6316">
        <v>0</v>
      </c>
      <c r="Q6316">
        <v>0</v>
      </c>
      <c r="R6316" t="s">
        <v>43172</v>
      </c>
      <c r="S6316" t="s">
        <v>43334</v>
      </c>
      <c r="T6316" t="s">
        <v>44720</v>
      </c>
      <c r="U6316" t="s">
        <v>50334</v>
      </c>
      <c r="W6316" t="s">
        <v>41503</v>
      </c>
      <c r="X6316" t="s">
        <v>43173</v>
      </c>
    </row>
    <row r="6317" spans="1:24">
      <c r="A6317">
        <f>HYPERLINK("https://www.philgeps.gov.ph/GEPSNONPILOT/Tender/SplashBidNoticeAbstractUI.aspx?menuIndex=3&amp;refID=7081478&amp;Result=3","7081478")</f>
        <v>0</v>
      </c>
      <c r="B6317" t="s">
        <v>2050</v>
      </c>
      <c r="C6317" t="s">
        <v>9433</v>
      </c>
      <c r="D6317" t="s">
        <v>17421</v>
      </c>
      <c r="E6317" t="s">
        <v>22953</v>
      </c>
      <c r="F6317" t="s">
        <v>30052</v>
      </c>
      <c r="G6317" t="s">
        <v>30058</v>
      </c>
      <c r="H6317" t="s">
        <v>30067</v>
      </c>
      <c r="I6317" t="s">
        <v>3693</v>
      </c>
      <c r="J6317" t="s">
        <v>33078</v>
      </c>
      <c r="K6317" t="s">
        <v>39026</v>
      </c>
      <c r="M6317" t="s">
        <v>41504</v>
      </c>
      <c r="N6317" t="s">
        <v>43166</v>
      </c>
      <c r="O6317" t="s">
        <v>43167</v>
      </c>
      <c r="P6317">
        <v>0</v>
      </c>
      <c r="Q6317">
        <v>0</v>
      </c>
      <c r="R6317" t="s">
        <v>43172</v>
      </c>
      <c r="S6317" t="s">
        <v>43334</v>
      </c>
      <c r="T6317" t="s">
        <v>44842</v>
      </c>
      <c r="U6317" t="s">
        <v>50335</v>
      </c>
      <c r="V6317" t="s">
        <v>57492</v>
      </c>
      <c r="W6317" t="s">
        <v>41504</v>
      </c>
      <c r="X6317" t="s">
        <v>43173</v>
      </c>
    </row>
    <row r="6318" spans="1:24">
      <c r="A6318">
        <f>HYPERLINK("https://www.philgeps.gov.ph/GEPSNONPILOT/Tender/SplashBidNoticeAbstractUI.aspx?menuIndex=3&amp;refID=7081443&amp;Result=3","7081443")</f>
        <v>0</v>
      </c>
      <c r="B6318" t="s">
        <v>1134</v>
      </c>
      <c r="C6318" t="s">
        <v>9434</v>
      </c>
      <c r="D6318" t="s">
        <v>17459</v>
      </c>
      <c r="E6318" t="s">
        <v>22954</v>
      </c>
      <c r="F6318" t="s">
        <v>30052</v>
      </c>
      <c r="G6318" t="s">
        <v>30059</v>
      </c>
      <c r="H6318" t="s">
        <v>15498</v>
      </c>
      <c r="I6318" t="s">
        <v>3736</v>
      </c>
      <c r="J6318" t="s">
        <v>34150</v>
      </c>
      <c r="K6318" t="s">
        <v>39037</v>
      </c>
      <c r="M6318" t="s">
        <v>40477</v>
      </c>
      <c r="N6318" t="s">
        <v>43166</v>
      </c>
      <c r="O6318" t="s">
        <v>43167</v>
      </c>
      <c r="P6318">
        <v>0</v>
      </c>
      <c r="Q6318">
        <v>0</v>
      </c>
      <c r="R6318" t="s">
        <v>43172</v>
      </c>
      <c r="S6318" t="s">
        <v>43334</v>
      </c>
      <c r="T6318" t="s">
        <v>44717</v>
      </c>
      <c r="U6318" t="s">
        <v>50336</v>
      </c>
      <c r="W6318" t="s">
        <v>40477</v>
      </c>
      <c r="X6318" t="s">
        <v>43173</v>
      </c>
    </row>
    <row r="6319" spans="1:24">
      <c r="A6319">
        <f>HYPERLINK("https://www.philgeps.gov.ph/GEPSNONPILOT/Tender/SplashBidNoticeAbstractUI.aspx?menuIndex=3&amp;refID=7081476&amp;Result=3","7081476")</f>
        <v>0</v>
      </c>
      <c r="B6319" t="s">
        <v>1042</v>
      </c>
      <c r="C6319" t="s">
        <v>9435</v>
      </c>
      <c r="D6319" t="s">
        <v>17441</v>
      </c>
      <c r="E6319" t="s">
        <v>9435</v>
      </c>
      <c r="F6319" t="s">
        <v>30052</v>
      </c>
      <c r="G6319" t="s">
        <v>30058</v>
      </c>
      <c r="H6319" t="s">
        <v>30069</v>
      </c>
      <c r="I6319" t="s">
        <v>30155</v>
      </c>
      <c r="J6319" t="s">
        <v>34151</v>
      </c>
      <c r="K6319" t="s">
        <v>39034</v>
      </c>
      <c r="M6319" t="s">
        <v>40375</v>
      </c>
      <c r="N6319" t="s">
        <v>43166</v>
      </c>
      <c r="O6319" t="s">
        <v>43167</v>
      </c>
      <c r="P6319">
        <v>0</v>
      </c>
      <c r="Q6319">
        <v>2</v>
      </c>
      <c r="R6319" t="s">
        <v>43172</v>
      </c>
      <c r="S6319" t="s">
        <v>43334</v>
      </c>
      <c r="T6319" t="s">
        <v>44713</v>
      </c>
      <c r="U6319" t="s">
        <v>50337</v>
      </c>
      <c r="W6319" t="s">
        <v>40375</v>
      </c>
      <c r="X6319" t="s">
        <v>43173</v>
      </c>
    </row>
    <row r="6320" spans="1:24">
      <c r="A6320">
        <f>HYPERLINK("https://www.philgeps.gov.ph/GEPSNONPILOT/Tender/SplashBidNoticeAbstractUI.aspx?menuIndex=3&amp;refID=7081473&amp;Result=3","7081473")</f>
        <v>0</v>
      </c>
      <c r="B6320" t="s">
        <v>138</v>
      </c>
      <c r="C6320" t="s">
        <v>9436</v>
      </c>
      <c r="D6320" t="s">
        <v>17422</v>
      </c>
      <c r="E6320" t="s">
        <v>22955</v>
      </c>
      <c r="F6320" t="s">
        <v>30052</v>
      </c>
      <c r="G6320" t="s">
        <v>30059</v>
      </c>
      <c r="H6320" t="s">
        <v>15498</v>
      </c>
      <c r="I6320" t="s">
        <v>30087</v>
      </c>
      <c r="J6320" t="s">
        <v>30817</v>
      </c>
      <c r="K6320" t="s">
        <v>39023</v>
      </c>
      <c r="M6320" t="s">
        <v>39427</v>
      </c>
      <c r="N6320" t="s">
        <v>43166</v>
      </c>
      <c r="O6320" t="s">
        <v>43167</v>
      </c>
      <c r="P6320">
        <v>0</v>
      </c>
      <c r="Q6320">
        <v>2</v>
      </c>
      <c r="R6320" t="s">
        <v>43172</v>
      </c>
      <c r="S6320" t="s">
        <v>43334</v>
      </c>
      <c r="T6320" t="s">
        <v>44678</v>
      </c>
      <c r="U6320" t="s">
        <v>50338</v>
      </c>
      <c r="W6320" t="s">
        <v>39427</v>
      </c>
      <c r="X6320" t="s">
        <v>43173</v>
      </c>
    </row>
    <row r="6321" spans="1:24">
      <c r="A6321">
        <f>HYPERLINK("https://www.philgeps.gov.ph/GEPSNONPILOT/Tender/SplashBidNoticeAbstractUI.aspx?menuIndex=3&amp;refID=7081436&amp;Result=3","7081436")</f>
        <v>0</v>
      </c>
      <c r="B6321" t="s">
        <v>1839</v>
      </c>
      <c r="C6321" t="s">
        <v>9437</v>
      </c>
      <c r="D6321" t="s">
        <v>17415</v>
      </c>
      <c r="E6321" t="s">
        <v>22956</v>
      </c>
      <c r="F6321" t="s">
        <v>30052</v>
      </c>
      <c r="G6321" t="s">
        <v>30059</v>
      </c>
      <c r="H6321" t="s">
        <v>15498</v>
      </c>
      <c r="I6321" t="s">
        <v>4650</v>
      </c>
      <c r="J6321" t="s">
        <v>31592</v>
      </c>
      <c r="K6321" t="s">
        <v>39029</v>
      </c>
      <c r="M6321" t="s">
        <v>41264</v>
      </c>
      <c r="N6321" t="s">
        <v>43166</v>
      </c>
      <c r="O6321" t="s">
        <v>43167</v>
      </c>
      <c r="P6321">
        <v>0</v>
      </c>
      <c r="Q6321">
        <v>8</v>
      </c>
      <c r="R6321" t="s">
        <v>43172</v>
      </c>
      <c r="S6321" t="s">
        <v>43334</v>
      </c>
      <c r="T6321" t="s">
        <v>44777</v>
      </c>
      <c r="U6321" t="s">
        <v>50339</v>
      </c>
      <c r="W6321" t="s">
        <v>41264</v>
      </c>
      <c r="X6321" t="s">
        <v>43173</v>
      </c>
    </row>
    <row r="6322" spans="1:24">
      <c r="A6322">
        <f>HYPERLINK("https://www.philgeps.gov.ph/GEPSNONPILOT/Tender/SplashBidNoticeAbstractUI.aspx?menuIndex=3&amp;refID=7081471&amp;Result=3","7081471")</f>
        <v>0</v>
      </c>
      <c r="B6322" t="s">
        <v>2051</v>
      </c>
      <c r="C6322" t="s">
        <v>9438</v>
      </c>
      <c r="E6322" t="s">
        <v>22957</v>
      </c>
      <c r="F6322" t="s">
        <v>30052</v>
      </c>
      <c r="G6322" t="s">
        <v>30058</v>
      </c>
      <c r="H6322" t="s">
        <v>15498</v>
      </c>
      <c r="I6322" t="s">
        <v>30073</v>
      </c>
      <c r="J6322" t="s">
        <v>34152</v>
      </c>
      <c r="K6322" t="s">
        <v>39125</v>
      </c>
      <c r="M6322" t="s">
        <v>41505</v>
      </c>
      <c r="N6322" t="s">
        <v>43166</v>
      </c>
      <c r="O6322" t="s">
        <v>43167</v>
      </c>
      <c r="P6322">
        <v>0</v>
      </c>
      <c r="Q6322">
        <v>2</v>
      </c>
      <c r="R6322" t="s">
        <v>43172</v>
      </c>
      <c r="S6322" t="s">
        <v>43334</v>
      </c>
      <c r="T6322" t="s">
        <v>44842</v>
      </c>
      <c r="U6322" t="s">
        <v>50340</v>
      </c>
      <c r="W6322" t="s">
        <v>41505</v>
      </c>
      <c r="X6322" t="s">
        <v>43173</v>
      </c>
    </row>
    <row r="6323" spans="1:24">
      <c r="A6323">
        <f>HYPERLINK("https://www.philgeps.gov.ph/GEPSNONPILOT/Tender/SplashBidNoticeAbstractUI.aspx?menuIndex=3&amp;refID=7081467&amp;Result=3","7081467")</f>
        <v>0</v>
      </c>
      <c r="B6323" t="s">
        <v>1172</v>
      </c>
      <c r="C6323" t="s">
        <v>9439</v>
      </c>
      <c r="D6323" t="s">
        <v>17466</v>
      </c>
      <c r="E6323" t="s">
        <v>22958</v>
      </c>
      <c r="F6323" t="s">
        <v>30052</v>
      </c>
      <c r="G6323" t="s">
        <v>30058</v>
      </c>
      <c r="H6323" t="s">
        <v>15498</v>
      </c>
      <c r="I6323" t="s">
        <v>30094</v>
      </c>
      <c r="J6323" t="s">
        <v>34153</v>
      </c>
      <c r="K6323" t="s">
        <v>39037</v>
      </c>
      <c r="M6323" t="s">
        <v>40520</v>
      </c>
      <c r="N6323" t="s">
        <v>43166</v>
      </c>
      <c r="O6323" t="s">
        <v>43167</v>
      </c>
      <c r="P6323">
        <v>0</v>
      </c>
      <c r="Q6323">
        <v>0</v>
      </c>
      <c r="R6323" t="s">
        <v>43172</v>
      </c>
      <c r="S6323" t="s">
        <v>43334</v>
      </c>
      <c r="T6323" t="s">
        <v>44943</v>
      </c>
      <c r="U6323" t="s">
        <v>48176</v>
      </c>
      <c r="W6323" t="s">
        <v>58626</v>
      </c>
      <c r="X6323" t="s">
        <v>43173</v>
      </c>
    </row>
    <row r="6324" spans="1:24">
      <c r="A6324">
        <f>HYPERLINK("https://www.philgeps.gov.ph/GEPSNONPILOT/Tender/SplashBidNoticeAbstractUI.aspx?menuIndex=3&amp;refID=7081466&amp;Result=3","7081466")</f>
        <v>0</v>
      </c>
      <c r="B6324" t="s">
        <v>1042</v>
      </c>
      <c r="C6324" t="s">
        <v>9440</v>
      </c>
      <c r="D6324" t="s">
        <v>17441</v>
      </c>
      <c r="E6324" t="s">
        <v>9440</v>
      </c>
      <c r="F6324" t="s">
        <v>30052</v>
      </c>
      <c r="G6324" t="s">
        <v>30058</v>
      </c>
      <c r="H6324" t="s">
        <v>15498</v>
      </c>
      <c r="I6324" t="s">
        <v>3736</v>
      </c>
      <c r="J6324" t="s">
        <v>34154</v>
      </c>
      <c r="K6324" t="s">
        <v>39034</v>
      </c>
      <c r="M6324" t="s">
        <v>40375</v>
      </c>
      <c r="N6324" t="s">
        <v>43166</v>
      </c>
      <c r="O6324" t="s">
        <v>43167</v>
      </c>
      <c r="P6324">
        <v>0</v>
      </c>
      <c r="Q6324">
        <v>4</v>
      </c>
      <c r="R6324" t="s">
        <v>43172</v>
      </c>
      <c r="S6324" t="s">
        <v>43334</v>
      </c>
      <c r="T6324" t="s">
        <v>44713</v>
      </c>
      <c r="U6324" t="s">
        <v>50337</v>
      </c>
      <c r="W6324" t="s">
        <v>40375</v>
      </c>
      <c r="X6324" t="s">
        <v>43173</v>
      </c>
    </row>
    <row r="6325" spans="1:24">
      <c r="A6325">
        <f>HYPERLINK("https://www.philgeps.gov.ph/GEPSNONPILOT/Tender/SplashBidNoticeAbstractUI.aspx?menuIndex=3&amp;refID=7081477&amp;Result=3","7081477")</f>
        <v>0</v>
      </c>
      <c r="B6325" t="s">
        <v>1608</v>
      </c>
      <c r="C6325" t="s">
        <v>9441</v>
      </c>
      <c r="D6325" t="s">
        <v>17415</v>
      </c>
      <c r="E6325" t="s">
        <v>22959</v>
      </c>
      <c r="F6325" t="s">
        <v>30052</v>
      </c>
      <c r="G6325" t="s">
        <v>30058</v>
      </c>
      <c r="H6325" t="s">
        <v>15498</v>
      </c>
      <c r="I6325" t="s">
        <v>30070</v>
      </c>
      <c r="J6325" t="s">
        <v>34155</v>
      </c>
      <c r="K6325" t="s">
        <v>39019</v>
      </c>
      <c r="M6325" t="s">
        <v>41506</v>
      </c>
      <c r="N6325" t="s">
        <v>43166</v>
      </c>
      <c r="O6325" t="s">
        <v>43167</v>
      </c>
      <c r="P6325">
        <v>0</v>
      </c>
      <c r="Q6325">
        <v>0</v>
      </c>
      <c r="R6325" t="s">
        <v>43172</v>
      </c>
      <c r="S6325" t="s">
        <v>43334</v>
      </c>
      <c r="T6325" t="s">
        <v>44796</v>
      </c>
      <c r="U6325" t="s">
        <v>45217</v>
      </c>
      <c r="W6325" t="s">
        <v>41506</v>
      </c>
      <c r="X6325" t="s">
        <v>43173</v>
      </c>
    </row>
    <row r="6326" spans="1:24">
      <c r="A6326">
        <f>HYPERLINK("https://www.philgeps.gov.ph/GEPSNONPILOT/Tender/SplashBidNoticeAbstractUI.aspx?menuIndex=3&amp;refID=7081463&amp;Result=3","7081463")</f>
        <v>0</v>
      </c>
      <c r="B6326" t="s">
        <v>1067</v>
      </c>
      <c r="C6326" t="s">
        <v>9442</v>
      </c>
      <c r="D6326" t="s">
        <v>17422</v>
      </c>
      <c r="E6326" t="s">
        <v>22960</v>
      </c>
      <c r="F6326" t="s">
        <v>30052</v>
      </c>
      <c r="G6326" t="s">
        <v>30058</v>
      </c>
      <c r="H6326" t="s">
        <v>30067</v>
      </c>
      <c r="I6326" t="s">
        <v>3693</v>
      </c>
      <c r="J6326" t="s">
        <v>34156</v>
      </c>
      <c r="K6326" t="s">
        <v>39172</v>
      </c>
      <c r="M6326" t="s">
        <v>40402</v>
      </c>
      <c r="N6326" t="s">
        <v>43166</v>
      </c>
      <c r="O6326" t="s">
        <v>43167</v>
      </c>
      <c r="P6326">
        <v>0</v>
      </c>
      <c r="Q6326">
        <v>0</v>
      </c>
      <c r="R6326" t="s">
        <v>43172</v>
      </c>
      <c r="S6326" t="s">
        <v>43334</v>
      </c>
      <c r="T6326" t="s">
        <v>44758</v>
      </c>
      <c r="U6326" t="s">
        <v>47449</v>
      </c>
      <c r="V6326" t="s">
        <v>57493</v>
      </c>
      <c r="W6326" t="s">
        <v>40402</v>
      </c>
      <c r="X6326" t="s">
        <v>43173</v>
      </c>
    </row>
    <row r="6327" spans="1:24">
      <c r="A6327">
        <f>HYPERLINK("https://www.philgeps.gov.ph/GEPSNONPILOT/Tender/SplashBidNoticeAbstractUI.aspx?menuIndex=3&amp;refID=7081423&amp;Result=3","7081423")</f>
        <v>0</v>
      </c>
      <c r="B6327" t="s">
        <v>489</v>
      </c>
      <c r="C6327" t="s">
        <v>6488</v>
      </c>
      <c r="D6327" t="s">
        <v>17425</v>
      </c>
      <c r="E6327" t="s">
        <v>20305</v>
      </c>
      <c r="F6327" t="s">
        <v>30052</v>
      </c>
      <c r="G6327" t="s">
        <v>30061</v>
      </c>
      <c r="H6327" t="s">
        <v>15498</v>
      </c>
      <c r="I6327" t="s">
        <v>30084</v>
      </c>
      <c r="J6327" t="s">
        <v>31189</v>
      </c>
      <c r="K6327" t="s">
        <v>39017</v>
      </c>
      <c r="M6327" t="s">
        <v>39790</v>
      </c>
      <c r="N6327" t="s">
        <v>43166</v>
      </c>
      <c r="O6327" t="s">
        <v>43167</v>
      </c>
      <c r="P6327">
        <v>0</v>
      </c>
      <c r="Q6327">
        <v>3</v>
      </c>
      <c r="R6327" t="s">
        <v>43172</v>
      </c>
      <c r="S6327" t="s">
        <v>43334</v>
      </c>
      <c r="T6327" t="s">
        <v>44844</v>
      </c>
      <c r="U6327" t="s">
        <v>47836</v>
      </c>
      <c r="V6327" t="s">
        <v>57138</v>
      </c>
      <c r="W6327" t="s">
        <v>39790</v>
      </c>
      <c r="X6327" t="s">
        <v>43173</v>
      </c>
    </row>
    <row r="6328" spans="1:24">
      <c r="A6328">
        <f>HYPERLINK("https://www.philgeps.gov.ph/GEPSNONPILOT/Tender/SplashBidNoticeAbstractUI.aspx?menuIndex=3&amp;refID=7081474&amp;Result=3","7081474")</f>
        <v>0</v>
      </c>
      <c r="B6328" t="s">
        <v>747</v>
      </c>
      <c r="C6328" t="s">
        <v>9443</v>
      </c>
      <c r="E6328" t="s">
        <v>22961</v>
      </c>
      <c r="F6328" t="s">
        <v>30052</v>
      </c>
      <c r="G6328" t="s">
        <v>30058</v>
      </c>
      <c r="H6328" t="s">
        <v>15498</v>
      </c>
      <c r="I6328" t="s">
        <v>30091</v>
      </c>
      <c r="J6328" t="s">
        <v>34157</v>
      </c>
      <c r="K6328" t="s">
        <v>39031</v>
      </c>
      <c r="M6328" t="s">
        <v>40061</v>
      </c>
      <c r="N6328" t="s">
        <v>43166</v>
      </c>
      <c r="O6328" t="s">
        <v>43167</v>
      </c>
      <c r="P6328">
        <v>0</v>
      </c>
      <c r="Q6328">
        <v>10</v>
      </c>
      <c r="R6328" t="s">
        <v>43172</v>
      </c>
      <c r="S6328" t="s">
        <v>43334</v>
      </c>
      <c r="T6328" t="s">
        <v>44904</v>
      </c>
      <c r="U6328" t="s">
        <v>50341</v>
      </c>
      <c r="W6328" t="s">
        <v>40061</v>
      </c>
      <c r="X6328" t="s">
        <v>43173</v>
      </c>
    </row>
    <row r="6329" spans="1:24">
      <c r="A6329">
        <f>HYPERLINK("https://www.philgeps.gov.ph/GEPSNONPILOT/Tender/SplashBidNoticeAbstractUI.aspx?menuIndex=3&amp;refID=7081458&amp;Result=3","7081458")</f>
        <v>0</v>
      </c>
      <c r="B6329" t="s">
        <v>502</v>
      </c>
      <c r="C6329" t="s">
        <v>9444</v>
      </c>
      <c r="D6329" t="s">
        <v>17445</v>
      </c>
      <c r="E6329" t="s">
        <v>18547</v>
      </c>
      <c r="F6329" t="s">
        <v>30052</v>
      </c>
      <c r="G6329" t="s">
        <v>30058</v>
      </c>
      <c r="H6329" t="s">
        <v>30067</v>
      </c>
      <c r="I6329" t="s">
        <v>3693</v>
      </c>
      <c r="J6329" t="s">
        <v>30404</v>
      </c>
      <c r="K6329" t="s">
        <v>39046</v>
      </c>
      <c r="M6329" t="s">
        <v>39803</v>
      </c>
      <c r="N6329" t="s">
        <v>43166</v>
      </c>
      <c r="O6329" t="s">
        <v>43167</v>
      </c>
      <c r="P6329">
        <v>0</v>
      </c>
      <c r="Q6329">
        <v>1</v>
      </c>
      <c r="R6329" t="s">
        <v>43172</v>
      </c>
      <c r="S6329" t="s">
        <v>43334</v>
      </c>
      <c r="T6329" t="s">
        <v>44698</v>
      </c>
      <c r="U6329" t="s">
        <v>50342</v>
      </c>
      <c r="W6329" t="s">
        <v>39803</v>
      </c>
      <c r="X6329" t="s">
        <v>43173</v>
      </c>
    </row>
    <row r="6330" spans="1:24">
      <c r="A6330">
        <f>HYPERLINK("https://www.philgeps.gov.ph/GEPSNONPILOT/Tender/SplashBidNoticeAbstractUI.aspx?menuIndex=3&amp;refID=7081457&amp;Result=3","7081457")</f>
        <v>0</v>
      </c>
      <c r="B6330" t="s">
        <v>747</v>
      </c>
      <c r="C6330" t="s">
        <v>9445</v>
      </c>
      <c r="E6330" t="s">
        <v>22962</v>
      </c>
      <c r="F6330" t="s">
        <v>30052</v>
      </c>
      <c r="G6330" t="s">
        <v>30058</v>
      </c>
      <c r="H6330" t="s">
        <v>15498</v>
      </c>
      <c r="I6330" t="s">
        <v>30091</v>
      </c>
      <c r="J6330" t="s">
        <v>34158</v>
      </c>
      <c r="K6330" t="s">
        <v>39031</v>
      </c>
      <c r="M6330" t="s">
        <v>40061</v>
      </c>
      <c r="N6330" t="s">
        <v>43166</v>
      </c>
      <c r="O6330" t="s">
        <v>43167</v>
      </c>
      <c r="P6330">
        <v>0</v>
      </c>
      <c r="Q6330">
        <v>17</v>
      </c>
      <c r="R6330" t="s">
        <v>43172</v>
      </c>
      <c r="S6330" t="s">
        <v>43334</v>
      </c>
      <c r="T6330" t="s">
        <v>45041</v>
      </c>
      <c r="U6330" t="s">
        <v>50343</v>
      </c>
      <c r="W6330" t="s">
        <v>40061</v>
      </c>
      <c r="X6330" t="s">
        <v>43173</v>
      </c>
    </row>
    <row r="6331" spans="1:24">
      <c r="A6331">
        <f>HYPERLINK("https://www.philgeps.gov.ph/GEPSNONPILOT/Tender/SplashBidNoticeAbstractUI.aspx?menuIndex=3&amp;refID=7081456&amp;Result=3","7081456")</f>
        <v>0</v>
      </c>
      <c r="B6331" t="s">
        <v>1521</v>
      </c>
      <c r="C6331" t="s">
        <v>9446</v>
      </c>
      <c r="D6331" t="s">
        <v>17415</v>
      </c>
      <c r="E6331" t="s">
        <v>22963</v>
      </c>
      <c r="F6331" t="s">
        <v>30052</v>
      </c>
      <c r="G6331" t="s">
        <v>30061</v>
      </c>
      <c r="H6331" t="s">
        <v>15498</v>
      </c>
      <c r="I6331" t="s">
        <v>30111</v>
      </c>
      <c r="J6331" t="s">
        <v>30209</v>
      </c>
      <c r="K6331" t="s">
        <v>39017</v>
      </c>
      <c r="L6331" t="s">
        <v>1521</v>
      </c>
      <c r="M6331" t="s">
        <v>40907</v>
      </c>
      <c r="N6331" t="s">
        <v>43166</v>
      </c>
      <c r="O6331" t="s">
        <v>43167</v>
      </c>
      <c r="P6331">
        <v>0</v>
      </c>
      <c r="Q6331">
        <v>12</v>
      </c>
      <c r="R6331" t="s">
        <v>43172</v>
      </c>
      <c r="S6331" t="s">
        <v>43334</v>
      </c>
      <c r="T6331" t="s">
        <v>44695</v>
      </c>
      <c r="U6331" t="s">
        <v>50344</v>
      </c>
      <c r="W6331" t="s">
        <v>40907</v>
      </c>
      <c r="X6331" t="s">
        <v>43173</v>
      </c>
    </row>
    <row r="6332" spans="1:24">
      <c r="A6332">
        <f>HYPERLINK("https://www.philgeps.gov.ph/GEPSNONPILOT/Tender/SplashBidNoticeAbstractUI.aspx?menuIndex=3&amp;refID=7081454&amp;Result=3","7081454")</f>
        <v>0</v>
      </c>
      <c r="B6332" t="s">
        <v>502</v>
      </c>
      <c r="C6332" t="s">
        <v>9447</v>
      </c>
      <c r="D6332" t="s">
        <v>17445</v>
      </c>
      <c r="E6332" t="s">
        <v>22964</v>
      </c>
      <c r="F6332" t="s">
        <v>30052</v>
      </c>
      <c r="G6332" t="s">
        <v>30058</v>
      </c>
      <c r="H6332" t="s">
        <v>15498</v>
      </c>
      <c r="I6332" t="s">
        <v>3693</v>
      </c>
      <c r="J6332" t="s">
        <v>31062</v>
      </c>
      <c r="K6332" t="s">
        <v>39046</v>
      </c>
      <c r="M6332" t="s">
        <v>39803</v>
      </c>
      <c r="N6332" t="s">
        <v>43166</v>
      </c>
      <c r="O6332" t="s">
        <v>43167</v>
      </c>
      <c r="P6332">
        <v>0</v>
      </c>
      <c r="Q6332">
        <v>0</v>
      </c>
      <c r="R6332" t="s">
        <v>43172</v>
      </c>
      <c r="S6332" t="s">
        <v>43334</v>
      </c>
      <c r="T6332" t="s">
        <v>44698</v>
      </c>
      <c r="U6332" t="s">
        <v>50345</v>
      </c>
      <c r="W6332" t="s">
        <v>39803</v>
      </c>
      <c r="X6332" t="s">
        <v>43173</v>
      </c>
    </row>
    <row r="6333" spans="1:24">
      <c r="A6333">
        <f>HYPERLINK("https://www.philgeps.gov.ph/GEPSNONPILOT/Tender/SplashBidNoticeAbstractUI.aspx?menuIndex=3&amp;refID=7081461&amp;Result=3","7081461")</f>
        <v>0</v>
      </c>
      <c r="B6333" t="s">
        <v>2052</v>
      </c>
      <c r="C6333" t="s">
        <v>9448</v>
      </c>
      <c r="D6333" t="s">
        <v>17459</v>
      </c>
      <c r="E6333" t="s">
        <v>22965</v>
      </c>
      <c r="F6333" t="s">
        <v>30052</v>
      </c>
      <c r="G6333" t="s">
        <v>30058</v>
      </c>
      <c r="H6333" t="s">
        <v>15498</v>
      </c>
      <c r="I6333" t="s">
        <v>30089</v>
      </c>
      <c r="J6333" t="s">
        <v>34159</v>
      </c>
      <c r="K6333" t="s">
        <v>39029</v>
      </c>
      <c r="M6333" t="s">
        <v>41507</v>
      </c>
      <c r="N6333" t="s">
        <v>43166</v>
      </c>
      <c r="O6333" t="s">
        <v>43167</v>
      </c>
      <c r="P6333">
        <v>0</v>
      </c>
      <c r="Q6333">
        <v>3</v>
      </c>
      <c r="R6333" t="s">
        <v>43172</v>
      </c>
      <c r="S6333" t="s">
        <v>43334</v>
      </c>
      <c r="T6333" t="s">
        <v>44806</v>
      </c>
      <c r="U6333" t="s">
        <v>50346</v>
      </c>
      <c r="W6333" t="s">
        <v>41507</v>
      </c>
      <c r="X6333" t="s">
        <v>43173</v>
      </c>
    </row>
    <row r="6334" spans="1:24">
      <c r="A6334">
        <f>HYPERLINK("https://www.philgeps.gov.ph/GEPSNONPILOT/Tender/SplashBidNoticeAbstractUI.aspx?menuIndex=3&amp;refID=7081459&amp;Result=3","7081459")</f>
        <v>0</v>
      </c>
      <c r="B6334" t="s">
        <v>1172</v>
      </c>
      <c r="C6334" t="s">
        <v>9449</v>
      </c>
      <c r="D6334" t="s">
        <v>17466</v>
      </c>
      <c r="E6334" t="s">
        <v>22966</v>
      </c>
      <c r="F6334" t="s">
        <v>30052</v>
      </c>
      <c r="G6334" t="s">
        <v>30058</v>
      </c>
      <c r="H6334" t="s">
        <v>15498</v>
      </c>
      <c r="I6334" t="s">
        <v>4119</v>
      </c>
      <c r="J6334" t="s">
        <v>34160</v>
      </c>
      <c r="K6334" t="s">
        <v>39037</v>
      </c>
      <c r="M6334" t="s">
        <v>40520</v>
      </c>
      <c r="N6334" t="s">
        <v>43166</v>
      </c>
      <c r="O6334" t="s">
        <v>43167</v>
      </c>
      <c r="P6334">
        <v>0</v>
      </c>
      <c r="Q6334">
        <v>6</v>
      </c>
      <c r="R6334" t="s">
        <v>43172</v>
      </c>
      <c r="S6334" t="s">
        <v>43334</v>
      </c>
      <c r="T6334" t="s">
        <v>44943</v>
      </c>
      <c r="U6334" t="s">
        <v>48176</v>
      </c>
      <c r="W6334" t="s">
        <v>58626</v>
      </c>
      <c r="X6334" t="s">
        <v>43173</v>
      </c>
    </row>
    <row r="6335" spans="1:24">
      <c r="A6335">
        <f>HYPERLINK("https://www.philgeps.gov.ph/GEPSNONPILOT/Tender/SplashBidNoticeAbstractUI.aspx?menuIndex=3&amp;refID=7081448&amp;Result=3","7081448")</f>
        <v>0</v>
      </c>
      <c r="B6335" t="s">
        <v>390</v>
      </c>
      <c r="C6335" t="s">
        <v>9450</v>
      </c>
      <c r="D6335" t="s">
        <v>17415</v>
      </c>
      <c r="E6335" t="s">
        <v>22967</v>
      </c>
      <c r="F6335" t="s">
        <v>30052</v>
      </c>
      <c r="G6335" t="s">
        <v>30058</v>
      </c>
      <c r="H6335" t="s">
        <v>30069</v>
      </c>
      <c r="I6335" t="s">
        <v>30100</v>
      </c>
      <c r="J6335" t="s">
        <v>34161</v>
      </c>
      <c r="K6335" t="s">
        <v>39031</v>
      </c>
      <c r="M6335" t="s">
        <v>41508</v>
      </c>
      <c r="N6335" t="s">
        <v>43166</v>
      </c>
      <c r="O6335" t="s">
        <v>43167</v>
      </c>
      <c r="Q6335">
        <v>5</v>
      </c>
      <c r="R6335" t="s">
        <v>43172</v>
      </c>
      <c r="S6335" t="s">
        <v>43365</v>
      </c>
      <c r="T6335" t="s">
        <v>44905</v>
      </c>
      <c r="U6335" t="s">
        <v>50347</v>
      </c>
      <c r="W6335" t="s">
        <v>41508</v>
      </c>
      <c r="X6335" t="s">
        <v>43173</v>
      </c>
    </row>
    <row r="6336" spans="1:24">
      <c r="A6336">
        <f>HYPERLINK("https://www.philgeps.gov.ph/GEPSNONPILOT/Tender/SplashBidNoticeAbstractUI.aspx?menuIndex=3&amp;refID=7081417&amp;Result=3","7081417")</f>
        <v>0</v>
      </c>
      <c r="B6336" t="s">
        <v>2035</v>
      </c>
      <c r="C6336" t="s">
        <v>9451</v>
      </c>
      <c r="E6336" t="s">
        <v>22968</v>
      </c>
      <c r="F6336" t="s">
        <v>30052</v>
      </c>
      <c r="G6336" t="s">
        <v>30058</v>
      </c>
      <c r="H6336" t="s">
        <v>15498</v>
      </c>
      <c r="I6336" t="s">
        <v>30171</v>
      </c>
      <c r="J6336" t="s">
        <v>34162</v>
      </c>
      <c r="K6336" t="s">
        <v>39026</v>
      </c>
      <c r="M6336" t="s">
        <v>41484</v>
      </c>
      <c r="N6336" t="s">
        <v>43166</v>
      </c>
      <c r="O6336" t="s">
        <v>43167</v>
      </c>
      <c r="P6336">
        <v>0</v>
      </c>
      <c r="Q6336">
        <v>3</v>
      </c>
      <c r="R6336" t="s">
        <v>43172</v>
      </c>
      <c r="S6336" t="s">
        <v>43334</v>
      </c>
      <c r="T6336" t="s">
        <v>44722</v>
      </c>
      <c r="U6336" t="s">
        <v>50348</v>
      </c>
      <c r="W6336" t="s">
        <v>41484</v>
      </c>
      <c r="X6336" t="s">
        <v>43173</v>
      </c>
    </row>
    <row r="6337" spans="1:24">
      <c r="A6337">
        <f>HYPERLINK("https://www.philgeps.gov.ph/GEPSNONPILOT/Tender/SplashBidNoticeAbstractUI.aspx?menuIndex=3&amp;refID=7081414&amp;Result=3","7081414")</f>
        <v>0</v>
      </c>
      <c r="B6337" t="s">
        <v>2048</v>
      </c>
      <c r="C6337" t="s">
        <v>9452</v>
      </c>
      <c r="D6337" t="s">
        <v>17424</v>
      </c>
      <c r="E6337" t="s">
        <v>21647</v>
      </c>
      <c r="F6337" t="s">
        <v>30052</v>
      </c>
      <c r="G6337" t="s">
        <v>30058</v>
      </c>
      <c r="H6337" t="s">
        <v>30067</v>
      </c>
      <c r="I6337" t="s">
        <v>3693</v>
      </c>
      <c r="J6337" t="s">
        <v>30277</v>
      </c>
      <c r="K6337" t="s">
        <v>39029</v>
      </c>
      <c r="M6337" t="s">
        <v>41500</v>
      </c>
      <c r="N6337" t="s">
        <v>43166</v>
      </c>
      <c r="O6337" t="s">
        <v>43167</v>
      </c>
      <c r="Q6337">
        <v>0</v>
      </c>
      <c r="R6337" t="s">
        <v>43172</v>
      </c>
      <c r="S6337" t="s">
        <v>43366</v>
      </c>
      <c r="T6337" t="s">
        <v>44715</v>
      </c>
      <c r="U6337" t="s">
        <v>50349</v>
      </c>
      <c r="V6337" t="s">
        <v>57490</v>
      </c>
      <c r="W6337" t="s">
        <v>41500</v>
      </c>
      <c r="X6337" t="s">
        <v>43173</v>
      </c>
    </row>
    <row r="6338" spans="1:24">
      <c r="A6338">
        <f>HYPERLINK("https://www.philgeps.gov.ph/GEPSNONPILOT/Tender/SplashBidNoticeAbstractUI.aspx?menuIndex=3&amp;refID=7081213&amp;Result=3","7081213")</f>
        <v>0</v>
      </c>
      <c r="B6338" t="s">
        <v>1996</v>
      </c>
      <c r="C6338" t="s">
        <v>9453</v>
      </c>
      <c r="D6338" t="s">
        <v>17449</v>
      </c>
      <c r="E6338" t="s">
        <v>9453</v>
      </c>
      <c r="F6338" t="s">
        <v>30052</v>
      </c>
      <c r="G6338" t="s">
        <v>30059</v>
      </c>
      <c r="H6338" t="s">
        <v>15498</v>
      </c>
      <c r="I6338" t="s">
        <v>30073</v>
      </c>
      <c r="J6338" t="s">
        <v>34163</v>
      </c>
      <c r="K6338" t="s">
        <v>39034</v>
      </c>
      <c r="M6338" t="s">
        <v>41439</v>
      </c>
      <c r="N6338" t="s">
        <v>43166</v>
      </c>
      <c r="O6338" t="s">
        <v>43167</v>
      </c>
      <c r="P6338">
        <v>0</v>
      </c>
      <c r="Q6338">
        <v>0</v>
      </c>
      <c r="R6338" t="s">
        <v>43172</v>
      </c>
      <c r="S6338" t="s">
        <v>43334</v>
      </c>
      <c r="T6338" t="s">
        <v>44842</v>
      </c>
      <c r="U6338" t="s">
        <v>50105</v>
      </c>
      <c r="W6338" t="s">
        <v>41439</v>
      </c>
      <c r="X6338" t="s">
        <v>43173</v>
      </c>
    </row>
    <row r="6339" spans="1:24">
      <c r="A6339">
        <f>HYPERLINK("https://www.philgeps.gov.ph/GEPSNONPILOT/Tender/SplashBidNoticeAbstractUI.aspx?menuIndex=3&amp;refID=7081212&amp;Result=3","7081212")</f>
        <v>0</v>
      </c>
      <c r="B6339" t="s">
        <v>2053</v>
      </c>
      <c r="C6339" t="s">
        <v>9454</v>
      </c>
      <c r="D6339" t="s">
        <v>17425</v>
      </c>
      <c r="E6339" t="s">
        <v>22969</v>
      </c>
      <c r="F6339" t="s">
        <v>30052</v>
      </c>
      <c r="G6339" t="s">
        <v>30059</v>
      </c>
      <c r="H6339" t="s">
        <v>15498</v>
      </c>
      <c r="I6339" t="s">
        <v>30085</v>
      </c>
      <c r="J6339" t="s">
        <v>32301</v>
      </c>
      <c r="K6339" t="s">
        <v>39029</v>
      </c>
      <c r="M6339" t="s">
        <v>41509</v>
      </c>
      <c r="N6339" t="s">
        <v>43166</v>
      </c>
      <c r="O6339" t="s">
        <v>43167</v>
      </c>
      <c r="P6339">
        <v>0</v>
      </c>
      <c r="Q6339">
        <v>0</v>
      </c>
      <c r="R6339" t="s">
        <v>43172</v>
      </c>
      <c r="S6339" t="s">
        <v>43334</v>
      </c>
      <c r="T6339" t="s">
        <v>44717</v>
      </c>
      <c r="U6339" t="s">
        <v>50350</v>
      </c>
      <c r="W6339" t="s">
        <v>41509</v>
      </c>
      <c r="X6339" t="s">
        <v>43173</v>
      </c>
    </row>
    <row r="6340" spans="1:24">
      <c r="A6340">
        <f>HYPERLINK("https://www.philgeps.gov.ph/GEPSNONPILOT/Tender/SplashBidNoticeAbstractUI.aspx?menuIndex=3&amp;refID=7081211&amp;Result=3","7081211")</f>
        <v>0</v>
      </c>
      <c r="B6340" t="s">
        <v>422</v>
      </c>
      <c r="C6340" t="s">
        <v>9455</v>
      </c>
      <c r="D6340" t="s">
        <v>17455</v>
      </c>
      <c r="E6340" t="s">
        <v>22970</v>
      </c>
      <c r="F6340" t="s">
        <v>30052</v>
      </c>
      <c r="G6340" t="s">
        <v>30058</v>
      </c>
      <c r="H6340" t="s">
        <v>15498</v>
      </c>
      <c r="I6340" t="s">
        <v>30101</v>
      </c>
      <c r="J6340" t="s">
        <v>34164</v>
      </c>
      <c r="K6340" t="s">
        <v>39025</v>
      </c>
      <c r="M6340" t="s">
        <v>41502</v>
      </c>
      <c r="N6340" t="s">
        <v>43166</v>
      </c>
      <c r="O6340" t="s">
        <v>43167</v>
      </c>
      <c r="P6340">
        <v>0</v>
      </c>
      <c r="Q6340">
        <v>16</v>
      </c>
      <c r="R6340" t="s">
        <v>43172</v>
      </c>
      <c r="S6340" t="s">
        <v>43334</v>
      </c>
      <c r="T6340" t="s">
        <v>45040</v>
      </c>
      <c r="U6340" t="s">
        <v>50351</v>
      </c>
      <c r="V6340" t="s">
        <v>57494</v>
      </c>
      <c r="W6340" t="s">
        <v>41502</v>
      </c>
      <c r="X6340" t="s">
        <v>43173</v>
      </c>
    </row>
    <row r="6341" spans="1:24">
      <c r="A6341">
        <f>HYPERLINK("https://www.philgeps.gov.ph/GEPSNONPILOT/Tender/SplashBidNoticeAbstractUI.aspx?menuIndex=3&amp;refID=7081209&amp;Result=3","7081209")</f>
        <v>0</v>
      </c>
      <c r="B6341" t="s">
        <v>1273</v>
      </c>
      <c r="C6341" t="s">
        <v>9456</v>
      </c>
      <c r="D6341" t="s">
        <v>17434</v>
      </c>
      <c r="E6341" t="s">
        <v>22971</v>
      </c>
      <c r="F6341" t="s">
        <v>30052</v>
      </c>
      <c r="G6341" t="s">
        <v>30058</v>
      </c>
      <c r="H6341" t="s">
        <v>15498</v>
      </c>
      <c r="I6341" t="s">
        <v>30105</v>
      </c>
      <c r="J6341" t="s">
        <v>30277</v>
      </c>
      <c r="K6341" t="s">
        <v>39029</v>
      </c>
      <c r="M6341" t="s">
        <v>40633</v>
      </c>
      <c r="N6341" t="s">
        <v>43166</v>
      </c>
      <c r="O6341" t="s">
        <v>43167</v>
      </c>
      <c r="P6341">
        <v>0</v>
      </c>
      <c r="Q6341">
        <v>6</v>
      </c>
      <c r="R6341" t="s">
        <v>43172</v>
      </c>
      <c r="S6341" t="s">
        <v>43334</v>
      </c>
      <c r="T6341" t="s">
        <v>44736</v>
      </c>
      <c r="U6341" t="s">
        <v>50352</v>
      </c>
      <c r="W6341" t="s">
        <v>40633</v>
      </c>
      <c r="X6341" t="s">
        <v>43173</v>
      </c>
    </row>
    <row r="6342" spans="1:24">
      <c r="A6342">
        <f>HYPERLINK("https://www.philgeps.gov.ph/GEPSNONPILOT/Tender/SplashBidNoticeAbstractUI.aspx?menuIndex=3&amp;refID=7081208&amp;Result=3","7081208")</f>
        <v>0</v>
      </c>
      <c r="B6342" t="s">
        <v>1028</v>
      </c>
      <c r="C6342" t="s">
        <v>9457</v>
      </c>
      <c r="D6342" t="s">
        <v>17450</v>
      </c>
      <c r="E6342" t="s">
        <v>22972</v>
      </c>
      <c r="F6342" t="s">
        <v>30052</v>
      </c>
      <c r="G6342" t="s">
        <v>30059</v>
      </c>
      <c r="H6342" t="s">
        <v>15498</v>
      </c>
      <c r="I6342" t="s">
        <v>6691</v>
      </c>
      <c r="J6342" t="s">
        <v>30459</v>
      </c>
      <c r="K6342" t="s">
        <v>39035</v>
      </c>
      <c r="M6342" t="s">
        <v>40357</v>
      </c>
      <c r="N6342" t="s">
        <v>43166</v>
      </c>
      <c r="O6342" t="s">
        <v>43167</v>
      </c>
      <c r="P6342">
        <v>0</v>
      </c>
      <c r="Q6342">
        <v>0</v>
      </c>
      <c r="R6342" t="s">
        <v>43172</v>
      </c>
      <c r="S6342" t="s">
        <v>43334</v>
      </c>
      <c r="T6342" t="s">
        <v>44691</v>
      </c>
      <c r="U6342" t="s">
        <v>47341</v>
      </c>
      <c r="W6342" t="s">
        <v>40357</v>
      </c>
      <c r="X6342" t="s">
        <v>43173</v>
      </c>
    </row>
    <row r="6343" spans="1:24">
      <c r="A6343">
        <f>HYPERLINK("https://www.philgeps.gov.ph/GEPSNONPILOT/Tender/SplashBidNoticeAbstractUI.aspx?menuIndex=3&amp;refID=7081174&amp;Result=3","7081174")</f>
        <v>0</v>
      </c>
      <c r="B6343" t="s">
        <v>2054</v>
      </c>
      <c r="C6343" t="s">
        <v>9458</v>
      </c>
      <c r="D6343" t="s">
        <v>17471</v>
      </c>
      <c r="E6343" t="s">
        <v>18907</v>
      </c>
      <c r="F6343" t="s">
        <v>30052</v>
      </c>
      <c r="G6343" t="s">
        <v>30058</v>
      </c>
      <c r="H6343" t="s">
        <v>15498</v>
      </c>
      <c r="I6343" t="s">
        <v>3736</v>
      </c>
      <c r="J6343" t="s">
        <v>30612</v>
      </c>
      <c r="K6343" t="s">
        <v>39029</v>
      </c>
      <c r="M6343" t="s">
        <v>41510</v>
      </c>
      <c r="N6343" t="s">
        <v>43166</v>
      </c>
      <c r="O6343" t="s">
        <v>43167</v>
      </c>
      <c r="P6343">
        <v>0</v>
      </c>
      <c r="Q6343">
        <v>0</v>
      </c>
      <c r="R6343" t="s">
        <v>43172</v>
      </c>
      <c r="S6343" t="s">
        <v>43334</v>
      </c>
      <c r="T6343" t="s">
        <v>44715</v>
      </c>
      <c r="U6343" t="s">
        <v>50353</v>
      </c>
      <c r="W6343" t="s">
        <v>41510</v>
      </c>
      <c r="X6343" t="s">
        <v>43173</v>
      </c>
    </row>
    <row r="6344" spans="1:24">
      <c r="A6344">
        <f>HYPERLINK("https://www.philgeps.gov.ph/GEPSNONPILOT/Tender/SplashBidNoticeAbstractUI.aspx?menuIndex=3&amp;refID=7081024&amp;Result=3","7081024")</f>
        <v>0</v>
      </c>
      <c r="B6344" t="s">
        <v>1313</v>
      </c>
      <c r="C6344" t="s">
        <v>9459</v>
      </c>
      <c r="D6344" t="s">
        <v>17415</v>
      </c>
      <c r="E6344" t="s">
        <v>22973</v>
      </c>
      <c r="F6344" t="s">
        <v>30052</v>
      </c>
      <c r="G6344" t="s">
        <v>30062</v>
      </c>
      <c r="H6344" t="s">
        <v>15498</v>
      </c>
      <c r="I6344" t="s">
        <v>30070</v>
      </c>
      <c r="J6344" t="s">
        <v>34165</v>
      </c>
      <c r="K6344" t="s">
        <v>39017</v>
      </c>
      <c r="M6344" t="s">
        <v>41366</v>
      </c>
      <c r="N6344" t="s">
        <v>43166</v>
      </c>
      <c r="O6344" t="s">
        <v>43167</v>
      </c>
      <c r="P6344">
        <v>0</v>
      </c>
      <c r="Q6344">
        <v>1</v>
      </c>
      <c r="R6344" t="s">
        <v>43172</v>
      </c>
      <c r="S6344" t="s">
        <v>43334</v>
      </c>
      <c r="T6344" t="s">
        <v>44717</v>
      </c>
      <c r="U6344" t="s">
        <v>50354</v>
      </c>
      <c r="W6344" t="s">
        <v>41366</v>
      </c>
      <c r="X6344" t="s">
        <v>43173</v>
      </c>
    </row>
    <row r="6345" spans="1:24">
      <c r="A6345">
        <f>HYPERLINK("https://www.philgeps.gov.ph/GEPSNONPILOT/Tender/SplashBidNoticeAbstractUI.aspx?menuIndex=3&amp;refID=7081451&amp;Result=3","7081451")</f>
        <v>0</v>
      </c>
      <c r="B6345" t="s">
        <v>502</v>
      </c>
      <c r="C6345" t="s">
        <v>9460</v>
      </c>
      <c r="D6345" t="s">
        <v>17445</v>
      </c>
      <c r="E6345" t="s">
        <v>22974</v>
      </c>
      <c r="F6345" t="s">
        <v>30052</v>
      </c>
      <c r="G6345" t="s">
        <v>30058</v>
      </c>
      <c r="H6345" t="s">
        <v>30067</v>
      </c>
      <c r="I6345" t="s">
        <v>3693</v>
      </c>
      <c r="J6345" t="s">
        <v>30252</v>
      </c>
      <c r="K6345" t="s">
        <v>39029</v>
      </c>
      <c r="M6345" t="s">
        <v>39803</v>
      </c>
      <c r="N6345" t="s">
        <v>43166</v>
      </c>
      <c r="O6345" t="s">
        <v>43167</v>
      </c>
      <c r="P6345">
        <v>0</v>
      </c>
      <c r="Q6345">
        <v>1</v>
      </c>
      <c r="R6345" t="s">
        <v>43172</v>
      </c>
      <c r="S6345" t="s">
        <v>43334</v>
      </c>
      <c r="T6345" t="s">
        <v>44698</v>
      </c>
      <c r="U6345" t="s">
        <v>50355</v>
      </c>
      <c r="W6345" t="s">
        <v>39803</v>
      </c>
      <c r="X6345" t="s">
        <v>43173</v>
      </c>
    </row>
    <row r="6346" spans="1:24">
      <c r="A6346">
        <f>HYPERLINK("https://www.philgeps.gov.ph/GEPSNONPILOT/Tender/SplashBidNoticeAbstractUI.aspx?menuIndex=3&amp;refID=7081450&amp;Result=3","7081450")</f>
        <v>0</v>
      </c>
      <c r="B6346" t="s">
        <v>1521</v>
      </c>
      <c r="C6346" t="s">
        <v>9461</v>
      </c>
      <c r="D6346" t="s">
        <v>17415</v>
      </c>
      <c r="E6346" t="s">
        <v>22975</v>
      </c>
      <c r="F6346" t="s">
        <v>30052</v>
      </c>
      <c r="G6346" t="s">
        <v>30061</v>
      </c>
      <c r="H6346" t="s">
        <v>15498</v>
      </c>
      <c r="I6346" t="s">
        <v>30084</v>
      </c>
      <c r="J6346" t="s">
        <v>30929</v>
      </c>
      <c r="K6346" t="s">
        <v>39019</v>
      </c>
      <c r="L6346" t="s">
        <v>1521</v>
      </c>
      <c r="M6346" t="s">
        <v>40907</v>
      </c>
      <c r="N6346" t="s">
        <v>43166</v>
      </c>
      <c r="O6346" t="s">
        <v>43167</v>
      </c>
      <c r="P6346">
        <v>0</v>
      </c>
      <c r="Q6346">
        <v>12</v>
      </c>
      <c r="R6346" t="s">
        <v>43172</v>
      </c>
      <c r="S6346" t="s">
        <v>43334</v>
      </c>
      <c r="T6346" t="s">
        <v>44695</v>
      </c>
      <c r="U6346" t="s">
        <v>50356</v>
      </c>
      <c r="W6346" t="s">
        <v>40907</v>
      </c>
      <c r="X6346" t="s">
        <v>43173</v>
      </c>
    </row>
    <row r="6347" spans="1:24">
      <c r="A6347">
        <f>HYPERLINK("https://www.philgeps.gov.ph/GEPSNONPILOT/Tender/SplashBidNoticeAbstractUI.aspx?menuIndex=3&amp;refID=7081018&amp;Result=3","7081018")</f>
        <v>0</v>
      </c>
      <c r="B6347" t="s">
        <v>2055</v>
      </c>
      <c r="C6347" t="s">
        <v>9462</v>
      </c>
      <c r="D6347" t="s">
        <v>17419</v>
      </c>
      <c r="E6347" t="s">
        <v>22976</v>
      </c>
      <c r="F6347" t="s">
        <v>30052</v>
      </c>
      <c r="G6347" t="s">
        <v>30059</v>
      </c>
      <c r="H6347" t="s">
        <v>15498</v>
      </c>
      <c r="I6347" t="s">
        <v>30117</v>
      </c>
      <c r="J6347" t="s">
        <v>34166</v>
      </c>
      <c r="K6347" t="s">
        <v>39018</v>
      </c>
      <c r="M6347" t="s">
        <v>41511</v>
      </c>
      <c r="N6347" t="s">
        <v>43166</v>
      </c>
      <c r="O6347" t="s">
        <v>43167</v>
      </c>
      <c r="P6347">
        <v>0</v>
      </c>
      <c r="Q6347">
        <v>1</v>
      </c>
      <c r="R6347" t="s">
        <v>43172</v>
      </c>
      <c r="S6347" t="s">
        <v>43334</v>
      </c>
      <c r="T6347" t="s">
        <v>44735</v>
      </c>
      <c r="U6347" t="s">
        <v>50357</v>
      </c>
      <c r="W6347" t="s">
        <v>41511</v>
      </c>
      <c r="X6347" t="s">
        <v>43173</v>
      </c>
    </row>
    <row r="6348" spans="1:24">
      <c r="A6348">
        <f>HYPERLINK("https://www.philgeps.gov.ph/GEPSNONPILOT/Tender/SplashBidNoticeAbstractUI.aspx?menuIndex=3&amp;refID=7081175&amp;Result=3","7081175")</f>
        <v>0</v>
      </c>
      <c r="B6348" t="s">
        <v>268</v>
      </c>
      <c r="C6348" t="s">
        <v>9292</v>
      </c>
      <c r="D6348" t="s">
        <v>17459</v>
      </c>
      <c r="E6348" t="s">
        <v>22977</v>
      </c>
      <c r="F6348" t="s">
        <v>30052</v>
      </c>
      <c r="G6348" t="s">
        <v>30059</v>
      </c>
      <c r="H6348" t="s">
        <v>15498</v>
      </c>
      <c r="I6348" t="s">
        <v>30096</v>
      </c>
      <c r="J6348" t="s">
        <v>30533</v>
      </c>
      <c r="K6348" t="s">
        <v>39018</v>
      </c>
      <c r="M6348" t="s">
        <v>39561</v>
      </c>
      <c r="N6348" t="s">
        <v>43166</v>
      </c>
      <c r="O6348" t="s">
        <v>43167</v>
      </c>
      <c r="P6348">
        <v>0</v>
      </c>
      <c r="Q6348">
        <v>0</v>
      </c>
      <c r="R6348" t="s">
        <v>43172</v>
      </c>
      <c r="S6348" t="s">
        <v>43334</v>
      </c>
      <c r="T6348" t="s">
        <v>44837</v>
      </c>
      <c r="U6348" t="s">
        <v>50358</v>
      </c>
      <c r="W6348" t="s">
        <v>39561</v>
      </c>
      <c r="X6348" t="s">
        <v>43173</v>
      </c>
    </row>
    <row r="6349" spans="1:24">
      <c r="A6349">
        <f>HYPERLINK("https://www.philgeps.gov.ph/GEPSNONPILOT/Tender/SplashBidNoticeAbstractUI.aspx?menuIndex=3&amp;refID=7081017&amp;Result=3","7081017")</f>
        <v>0</v>
      </c>
      <c r="B6349" t="s">
        <v>797</v>
      </c>
      <c r="C6349" t="s">
        <v>9463</v>
      </c>
      <c r="D6349" t="s">
        <v>17459</v>
      </c>
      <c r="E6349" t="s">
        <v>22978</v>
      </c>
      <c r="F6349" t="s">
        <v>30052</v>
      </c>
      <c r="G6349" t="s">
        <v>30059</v>
      </c>
      <c r="H6349" t="s">
        <v>15498</v>
      </c>
      <c r="I6349" t="s">
        <v>30092</v>
      </c>
      <c r="J6349" t="s">
        <v>31710</v>
      </c>
      <c r="K6349" t="s">
        <v>39019</v>
      </c>
      <c r="M6349" t="s">
        <v>40114</v>
      </c>
      <c r="N6349" t="s">
        <v>43166</v>
      </c>
      <c r="O6349" t="s">
        <v>43167</v>
      </c>
      <c r="P6349">
        <v>0</v>
      </c>
      <c r="Q6349">
        <v>1</v>
      </c>
      <c r="R6349" t="s">
        <v>43172</v>
      </c>
      <c r="S6349" t="s">
        <v>43334</v>
      </c>
      <c r="T6349" t="s">
        <v>44777</v>
      </c>
      <c r="U6349" t="s">
        <v>50359</v>
      </c>
      <c r="W6349" t="s">
        <v>40114</v>
      </c>
      <c r="X6349" t="s">
        <v>43173</v>
      </c>
    </row>
    <row r="6350" spans="1:24">
      <c r="A6350">
        <f>HYPERLINK("https://www.philgeps.gov.ph/GEPSNONPILOT/Tender/SplashBidNoticeAbstractUI.aspx?menuIndex=3&amp;refID=7081015&amp;Result=3","7081015")</f>
        <v>0</v>
      </c>
      <c r="B6350" t="s">
        <v>2056</v>
      </c>
      <c r="C6350" t="s">
        <v>9464</v>
      </c>
      <c r="D6350" t="s">
        <v>17415</v>
      </c>
      <c r="E6350" t="s">
        <v>19405</v>
      </c>
      <c r="F6350" t="s">
        <v>30052</v>
      </c>
      <c r="G6350" t="s">
        <v>30061</v>
      </c>
      <c r="H6350" t="s">
        <v>15498</v>
      </c>
      <c r="I6350" t="s">
        <v>30084</v>
      </c>
      <c r="J6350" t="s">
        <v>30688</v>
      </c>
      <c r="K6350" t="s">
        <v>39025</v>
      </c>
      <c r="M6350" t="s">
        <v>41512</v>
      </c>
      <c r="N6350" t="s">
        <v>43166</v>
      </c>
      <c r="O6350" t="s">
        <v>43167</v>
      </c>
      <c r="P6350">
        <v>0</v>
      </c>
      <c r="Q6350">
        <v>2</v>
      </c>
      <c r="R6350" t="s">
        <v>43172</v>
      </c>
      <c r="S6350" t="s">
        <v>43334</v>
      </c>
      <c r="T6350" t="s">
        <v>44734</v>
      </c>
      <c r="U6350" t="s">
        <v>50360</v>
      </c>
      <c r="W6350" t="s">
        <v>41512</v>
      </c>
      <c r="X6350" t="s">
        <v>43173</v>
      </c>
    </row>
    <row r="6351" spans="1:24">
      <c r="A6351">
        <f>HYPERLINK("https://www.philgeps.gov.ph/GEPSNONPILOT/Tender/SplashBidNoticeAbstractUI.aspx?menuIndex=3&amp;refID=7081444&amp;Result=3","7081444")</f>
        <v>0</v>
      </c>
      <c r="B6351" t="s">
        <v>2057</v>
      </c>
      <c r="C6351" t="s">
        <v>9465</v>
      </c>
      <c r="D6351" t="s">
        <v>17476</v>
      </c>
      <c r="E6351" t="s">
        <v>22979</v>
      </c>
      <c r="F6351" t="s">
        <v>30052</v>
      </c>
      <c r="G6351" t="s">
        <v>30062</v>
      </c>
      <c r="H6351" t="s">
        <v>15498</v>
      </c>
      <c r="I6351" t="s">
        <v>4119</v>
      </c>
      <c r="J6351" t="s">
        <v>34167</v>
      </c>
      <c r="K6351" t="s">
        <v>39034</v>
      </c>
      <c r="M6351" t="s">
        <v>41513</v>
      </c>
      <c r="N6351" t="s">
        <v>43166</v>
      </c>
      <c r="O6351" t="s">
        <v>43167</v>
      </c>
      <c r="P6351">
        <v>0</v>
      </c>
      <c r="Q6351">
        <v>2</v>
      </c>
      <c r="R6351" t="s">
        <v>43172</v>
      </c>
      <c r="S6351" t="s">
        <v>43334</v>
      </c>
      <c r="T6351" t="s">
        <v>44757</v>
      </c>
      <c r="U6351" t="s">
        <v>50361</v>
      </c>
      <c r="W6351" t="s">
        <v>41513</v>
      </c>
      <c r="X6351" t="s">
        <v>43173</v>
      </c>
    </row>
    <row r="6352" spans="1:24">
      <c r="A6352">
        <f>HYPERLINK("https://www.philgeps.gov.ph/GEPSNONPILOT/Tender/SplashBidNoticeAbstractUI.aspx?menuIndex=3&amp;refID=7081429&amp;Result=3","7081429")</f>
        <v>0</v>
      </c>
      <c r="B6352" t="s">
        <v>1521</v>
      </c>
      <c r="C6352" t="s">
        <v>9466</v>
      </c>
      <c r="D6352" t="s">
        <v>17415</v>
      </c>
      <c r="E6352" t="s">
        <v>22980</v>
      </c>
      <c r="F6352" t="s">
        <v>30052</v>
      </c>
      <c r="G6352" t="s">
        <v>30061</v>
      </c>
      <c r="H6352" t="s">
        <v>15498</v>
      </c>
      <c r="I6352" t="s">
        <v>30084</v>
      </c>
      <c r="J6352" t="s">
        <v>32208</v>
      </c>
      <c r="K6352" t="s">
        <v>39064</v>
      </c>
      <c r="L6352" t="s">
        <v>1521</v>
      </c>
      <c r="M6352" t="s">
        <v>40907</v>
      </c>
      <c r="N6352" t="s">
        <v>43166</v>
      </c>
      <c r="O6352" t="s">
        <v>43167</v>
      </c>
      <c r="P6352">
        <v>0</v>
      </c>
      <c r="Q6352">
        <v>8</v>
      </c>
      <c r="R6352" t="s">
        <v>43172</v>
      </c>
      <c r="S6352" t="s">
        <v>43334</v>
      </c>
      <c r="T6352" t="s">
        <v>44695</v>
      </c>
      <c r="U6352" t="s">
        <v>50362</v>
      </c>
      <c r="W6352" t="s">
        <v>40907</v>
      </c>
      <c r="X6352" t="s">
        <v>43173</v>
      </c>
    </row>
    <row r="6353" spans="1:24">
      <c r="A6353">
        <f>HYPERLINK("https://www.philgeps.gov.ph/GEPSNONPILOT/Tender/SplashBidNoticeAbstractUI.aspx?menuIndex=3&amp;refID=7080979&amp;Result=3","7080979")</f>
        <v>0</v>
      </c>
      <c r="B6353" t="s">
        <v>141</v>
      </c>
      <c r="C6353" t="s">
        <v>9467</v>
      </c>
      <c r="D6353" t="s">
        <v>17447</v>
      </c>
      <c r="E6353" t="s">
        <v>22981</v>
      </c>
      <c r="F6353" t="s">
        <v>30052</v>
      </c>
      <c r="G6353" t="s">
        <v>30059</v>
      </c>
      <c r="H6353" t="s">
        <v>30067</v>
      </c>
      <c r="I6353" t="s">
        <v>6304</v>
      </c>
      <c r="J6353" t="s">
        <v>34168</v>
      </c>
      <c r="K6353" t="s">
        <v>39029</v>
      </c>
      <c r="M6353" t="s">
        <v>41514</v>
      </c>
      <c r="N6353" t="s">
        <v>43166</v>
      </c>
      <c r="O6353" t="s">
        <v>43167</v>
      </c>
      <c r="P6353">
        <v>0</v>
      </c>
      <c r="Q6353">
        <v>2</v>
      </c>
      <c r="R6353" t="s">
        <v>43172</v>
      </c>
      <c r="S6353" t="s">
        <v>43334</v>
      </c>
      <c r="T6353" t="s">
        <v>44732</v>
      </c>
      <c r="U6353" t="s">
        <v>50363</v>
      </c>
      <c r="W6353" t="s">
        <v>41514</v>
      </c>
      <c r="X6353" t="s">
        <v>43173</v>
      </c>
    </row>
    <row r="6354" spans="1:24">
      <c r="A6354">
        <f>HYPERLINK("https://www.philgeps.gov.ph/GEPSNONPILOT/Tender/SplashBidNoticeAbstractUI.aspx?menuIndex=3&amp;refID=7081460&amp;Result=3","7081460")</f>
        <v>0</v>
      </c>
      <c r="B6354" t="s">
        <v>1646</v>
      </c>
      <c r="C6354" t="s">
        <v>9468</v>
      </c>
      <c r="E6354" t="s">
        <v>22982</v>
      </c>
      <c r="F6354" t="s">
        <v>30052</v>
      </c>
      <c r="G6354" t="s">
        <v>30059</v>
      </c>
      <c r="H6354" t="s">
        <v>15498</v>
      </c>
      <c r="I6354" t="s">
        <v>30119</v>
      </c>
      <c r="J6354" t="s">
        <v>34169</v>
      </c>
      <c r="K6354" t="s">
        <v>39025</v>
      </c>
      <c r="M6354" t="s">
        <v>41107</v>
      </c>
      <c r="N6354" t="s">
        <v>43166</v>
      </c>
      <c r="O6354" t="s">
        <v>43167</v>
      </c>
      <c r="P6354">
        <v>0</v>
      </c>
      <c r="Q6354">
        <v>10</v>
      </c>
      <c r="R6354" t="s">
        <v>43172</v>
      </c>
      <c r="S6354" t="s">
        <v>43334</v>
      </c>
      <c r="T6354" t="s">
        <v>44862</v>
      </c>
      <c r="U6354" t="s">
        <v>46812</v>
      </c>
      <c r="W6354" t="s">
        <v>41107</v>
      </c>
      <c r="X6354" t="s">
        <v>43173</v>
      </c>
    </row>
    <row r="6355" spans="1:24">
      <c r="A6355">
        <f>HYPERLINK("https://www.philgeps.gov.ph/GEPSNONPILOT/Tender/SplashBidNoticeAbstractUI.aspx?menuIndex=3&amp;refID=7080975&amp;Result=3","7080975")</f>
        <v>0</v>
      </c>
      <c r="B6355" t="s">
        <v>1500</v>
      </c>
      <c r="C6355" t="s">
        <v>9469</v>
      </c>
      <c r="D6355" t="s">
        <v>17462</v>
      </c>
      <c r="E6355" t="s">
        <v>22983</v>
      </c>
      <c r="F6355" t="s">
        <v>30052</v>
      </c>
      <c r="G6355" t="s">
        <v>30061</v>
      </c>
      <c r="H6355" t="s">
        <v>30067</v>
      </c>
      <c r="I6355" t="s">
        <v>30074</v>
      </c>
      <c r="J6355" t="s">
        <v>34170</v>
      </c>
      <c r="K6355" t="s">
        <v>39017</v>
      </c>
      <c r="M6355" t="s">
        <v>40884</v>
      </c>
      <c r="N6355" t="s">
        <v>43166</v>
      </c>
      <c r="O6355" t="s">
        <v>43167</v>
      </c>
      <c r="P6355">
        <v>0</v>
      </c>
      <c r="Q6355">
        <v>0</v>
      </c>
      <c r="R6355" t="s">
        <v>43172</v>
      </c>
      <c r="S6355" t="s">
        <v>43334</v>
      </c>
      <c r="T6355" t="s">
        <v>44733</v>
      </c>
      <c r="U6355" t="s">
        <v>50364</v>
      </c>
      <c r="W6355" t="s">
        <v>40884</v>
      </c>
      <c r="X6355" t="s">
        <v>43173</v>
      </c>
    </row>
    <row r="6356" spans="1:24">
      <c r="A6356">
        <f>HYPERLINK("https://www.philgeps.gov.ph/GEPSNONPILOT/Tender/SplashBidNoticeAbstractUI.aspx?menuIndex=3&amp;refID=7080973&amp;Result=3","7080973")</f>
        <v>0</v>
      </c>
      <c r="B6356" t="s">
        <v>1840</v>
      </c>
      <c r="C6356" t="s">
        <v>9470</v>
      </c>
      <c r="D6356" t="s">
        <v>17449</v>
      </c>
      <c r="E6356" t="s">
        <v>22984</v>
      </c>
      <c r="F6356" t="s">
        <v>30052</v>
      </c>
      <c r="G6356" t="s">
        <v>30059</v>
      </c>
      <c r="H6356" t="s">
        <v>15498</v>
      </c>
      <c r="I6356" t="s">
        <v>3852</v>
      </c>
      <c r="J6356" t="s">
        <v>34171</v>
      </c>
      <c r="K6356" t="s">
        <v>39029</v>
      </c>
      <c r="M6356" t="s">
        <v>41265</v>
      </c>
      <c r="N6356" t="s">
        <v>43166</v>
      </c>
      <c r="O6356" t="s">
        <v>43167</v>
      </c>
      <c r="P6356">
        <v>0</v>
      </c>
      <c r="Q6356">
        <v>1</v>
      </c>
      <c r="R6356" t="s">
        <v>43172</v>
      </c>
      <c r="S6356" t="s">
        <v>43334</v>
      </c>
      <c r="T6356" t="s">
        <v>44717</v>
      </c>
      <c r="U6356" t="s">
        <v>49579</v>
      </c>
      <c r="V6356" t="s">
        <v>57421</v>
      </c>
      <c r="W6356" t="s">
        <v>41265</v>
      </c>
      <c r="X6356" t="s">
        <v>43173</v>
      </c>
    </row>
    <row r="6357" spans="1:24">
      <c r="A6357">
        <f>HYPERLINK("https://www.philgeps.gov.ph/GEPSNONPILOT/Tender/SplashBidNoticeAbstractUI.aspx?menuIndex=3&amp;refID=7081016&amp;Result=3","7081016")</f>
        <v>0</v>
      </c>
      <c r="B6357" t="s">
        <v>236</v>
      </c>
      <c r="C6357" t="s">
        <v>9471</v>
      </c>
      <c r="D6357" t="s">
        <v>17427</v>
      </c>
      <c r="E6357" t="s">
        <v>22985</v>
      </c>
      <c r="F6357" t="s">
        <v>30052</v>
      </c>
      <c r="G6357" t="s">
        <v>30059</v>
      </c>
      <c r="H6357" t="s">
        <v>30069</v>
      </c>
      <c r="I6357" t="s">
        <v>30094</v>
      </c>
      <c r="J6357" t="s">
        <v>30890</v>
      </c>
      <c r="K6357" t="s">
        <v>39019</v>
      </c>
      <c r="M6357" t="s">
        <v>39920</v>
      </c>
      <c r="N6357" t="s">
        <v>43166</v>
      </c>
      <c r="O6357" t="s">
        <v>43167</v>
      </c>
      <c r="P6357">
        <v>0</v>
      </c>
      <c r="Q6357">
        <v>0</v>
      </c>
      <c r="R6357" t="s">
        <v>43172</v>
      </c>
      <c r="S6357" t="s">
        <v>43334</v>
      </c>
      <c r="T6357" t="s">
        <v>44841</v>
      </c>
      <c r="U6357" t="s">
        <v>50365</v>
      </c>
      <c r="V6357" t="s">
        <v>45722</v>
      </c>
      <c r="W6357" t="s">
        <v>39920</v>
      </c>
      <c r="X6357" t="s">
        <v>43173</v>
      </c>
    </row>
    <row r="6358" spans="1:24">
      <c r="A6358">
        <f>HYPERLINK("https://www.philgeps.gov.ph/GEPSNONPILOT/Tender/SplashBidNoticeAbstractUI.aspx?menuIndex=3&amp;refID=7080984&amp;Result=3","7080984")</f>
        <v>0</v>
      </c>
      <c r="B6358" t="s">
        <v>1982</v>
      </c>
      <c r="C6358" t="s">
        <v>9472</v>
      </c>
      <c r="D6358" t="s">
        <v>17415</v>
      </c>
      <c r="E6358" t="s">
        <v>17979</v>
      </c>
      <c r="F6358" t="s">
        <v>30052</v>
      </c>
      <c r="G6358" t="s">
        <v>30058</v>
      </c>
      <c r="H6358" t="s">
        <v>15498</v>
      </c>
      <c r="I6358" t="s">
        <v>4650</v>
      </c>
      <c r="J6358" t="s">
        <v>31042</v>
      </c>
      <c r="K6358" t="s">
        <v>39031</v>
      </c>
      <c r="M6358" t="s">
        <v>41424</v>
      </c>
      <c r="N6358" t="s">
        <v>43166</v>
      </c>
      <c r="O6358" t="s">
        <v>43167</v>
      </c>
      <c r="P6358">
        <v>0</v>
      </c>
      <c r="Q6358">
        <v>4</v>
      </c>
      <c r="R6358" t="s">
        <v>43172</v>
      </c>
      <c r="S6358" t="s">
        <v>43334</v>
      </c>
      <c r="T6358" t="s">
        <v>44753</v>
      </c>
      <c r="U6358" t="s">
        <v>50156</v>
      </c>
      <c r="W6358" t="s">
        <v>41424</v>
      </c>
      <c r="X6358" t="s">
        <v>43173</v>
      </c>
    </row>
    <row r="6359" spans="1:24">
      <c r="A6359">
        <f>HYPERLINK("https://www.philgeps.gov.ph/GEPSNONPILOT/Tender/SplashBidNoticeAbstractUI.aspx?menuIndex=3&amp;refID=7081515&amp;Result=3","7081515")</f>
        <v>0</v>
      </c>
      <c r="B6359" t="s">
        <v>501</v>
      </c>
      <c r="C6359" t="s">
        <v>9473</v>
      </c>
      <c r="E6359" t="s">
        <v>22986</v>
      </c>
      <c r="F6359" t="s">
        <v>30052</v>
      </c>
      <c r="G6359" t="s">
        <v>30059</v>
      </c>
      <c r="H6359" t="s">
        <v>15498</v>
      </c>
      <c r="I6359" t="s">
        <v>4119</v>
      </c>
      <c r="J6359" t="s">
        <v>34172</v>
      </c>
      <c r="K6359" t="s">
        <v>39025</v>
      </c>
      <c r="M6359" t="s">
        <v>39802</v>
      </c>
      <c r="N6359" t="s">
        <v>43166</v>
      </c>
      <c r="O6359" t="s">
        <v>43167</v>
      </c>
      <c r="P6359">
        <v>0</v>
      </c>
      <c r="Q6359">
        <v>9</v>
      </c>
      <c r="R6359" t="s">
        <v>43172</v>
      </c>
      <c r="S6359" t="s">
        <v>43334</v>
      </c>
      <c r="T6359" t="s">
        <v>44826</v>
      </c>
      <c r="U6359" t="s">
        <v>50366</v>
      </c>
      <c r="V6359" t="s">
        <v>57495</v>
      </c>
      <c r="W6359" t="s">
        <v>39802</v>
      </c>
      <c r="X6359" t="s">
        <v>43173</v>
      </c>
    </row>
    <row r="6360" spans="1:24">
      <c r="A6360">
        <f>HYPERLINK("https://www.philgeps.gov.ph/GEPSNONPILOT/Tender/SplashBidNoticeAbstractUI.aspx?menuIndex=3&amp;refID=7080980&amp;Result=3","7080980")</f>
        <v>0</v>
      </c>
      <c r="B6360" t="s">
        <v>1854</v>
      </c>
      <c r="C6360" t="s">
        <v>9474</v>
      </c>
      <c r="E6360" t="s">
        <v>22987</v>
      </c>
      <c r="F6360" t="s">
        <v>30052</v>
      </c>
      <c r="G6360" t="s">
        <v>30059</v>
      </c>
      <c r="H6360" t="s">
        <v>30068</v>
      </c>
      <c r="I6360" t="s">
        <v>30068</v>
      </c>
      <c r="J6360" t="s">
        <v>30343</v>
      </c>
      <c r="K6360" t="s">
        <v>39031</v>
      </c>
      <c r="M6360" t="s">
        <v>41282</v>
      </c>
      <c r="N6360" t="s">
        <v>43166</v>
      </c>
      <c r="O6360" t="s">
        <v>43167</v>
      </c>
      <c r="P6360">
        <v>0</v>
      </c>
      <c r="Q6360">
        <v>2</v>
      </c>
      <c r="R6360" t="s">
        <v>43172</v>
      </c>
      <c r="S6360" t="s">
        <v>43334</v>
      </c>
      <c r="T6360" t="s">
        <v>44735</v>
      </c>
      <c r="U6360" t="s">
        <v>50367</v>
      </c>
      <c r="W6360" t="s">
        <v>41282</v>
      </c>
      <c r="X6360" t="s">
        <v>43173</v>
      </c>
    </row>
    <row r="6361" spans="1:24">
      <c r="A6361">
        <f>HYPERLINK("https://www.philgeps.gov.ph/GEPSNONPILOT/Tender/SplashBidNoticeAbstractUI.aspx?menuIndex=3&amp;refID=7081512&amp;Result=3","7081512")</f>
        <v>0</v>
      </c>
      <c r="B6361" t="s">
        <v>1172</v>
      </c>
      <c r="C6361" t="s">
        <v>9475</v>
      </c>
      <c r="D6361" t="s">
        <v>17466</v>
      </c>
      <c r="E6361" t="s">
        <v>22988</v>
      </c>
      <c r="F6361" t="s">
        <v>30052</v>
      </c>
      <c r="G6361" t="s">
        <v>30058</v>
      </c>
      <c r="H6361" t="s">
        <v>15498</v>
      </c>
      <c r="I6361" t="s">
        <v>4598</v>
      </c>
      <c r="J6361" t="s">
        <v>34173</v>
      </c>
      <c r="K6361" t="s">
        <v>39037</v>
      </c>
      <c r="M6361" t="s">
        <v>40520</v>
      </c>
      <c r="N6361" t="s">
        <v>43166</v>
      </c>
      <c r="O6361" t="s">
        <v>43167</v>
      </c>
      <c r="P6361">
        <v>0</v>
      </c>
      <c r="Q6361">
        <v>3</v>
      </c>
      <c r="R6361" t="s">
        <v>43172</v>
      </c>
      <c r="S6361" t="s">
        <v>43334</v>
      </c>
      <c r="T6361" t="s">
        <v>44943</v>
      </c>
      <c r="U6361" t="s">
        <v>48176</v>
      </c>
      <c r="W6361" t="s">
        <v>58626</v>
      </c>
      <c r="X6361" t="s">
        <v>43173</v>
      </c>
    </row>
    <row r="6362" spans="1:24">
      <c r="A6362">
        <f>HYPERLINK("https://www.philgeps.gov.ph/GEPSNONPILOT/Tender/SplashBidNoticeAbstractUI.aspx?menuIndex=3&amp;refID=7081507&amp;Result=3","7081507")</f>
        <v>0</v>
      </c>
      <c r="B6362" t="s">
        <v>1172</v>
      </c>
      <c r="C6362" t="s">
        <v>9476</v>
      </c>
      <c r="D6362" t="s">
        <v>17466</v>
      </c>
      <c r="E6362" t="s">
        <v>22989</v>
      </c>
      <c r="F6362" t="s">
        <v>30052</v>
      </c>
      <c r="G6362" t="s">
        <v>30058</v>
      </c>
      <c r="H6362" t="s">
        <v>15498</v>
      </c>
      <c r="I6362" t="s">
        <v>30084</v>
      </c>
      <c r="J6362" t="s">
        <v>30673</v>
      </c>
      <c r="K6362" t="s">
        <v>39037</v>
      </c>
      <c r="M6362" t="s">
        <v>40520</v>
      </c>
      <c r="N6362" t="s">
        <v>43166</v>
      </c>
      <c r="O6362" t="s">
        <v>43167</v>
      </c>
      <c r="P6362">
        <v>0</v>
      </c>
      <c r="Q6362">
        <v>6</v>
      </c>
      <c r="R6362" t="s">
        <v>43172</v>
      </c>
      <c r="S6362" t="s">
        <v>43334</v>
      </c>
      <c r="T6362" t="s">
        <v>44943</v>
      </c>
      <c r="U6362" t="s">
        <v>48176</v>
      </c>
      <c r="W6362" t="s">
        <v>58626</v>
      </c>
      <c r="X6362" t="s">
        <v>43173</v>
      </c>
    </row>
    <row r="6363" spans="1:24">
      <c r="A6363">
        <f>HYPERLINK("https://www.philgeps.gov.ph/GEPSNONPILOT/Tender/SplashBidNoticeAbstractUI.aspx?menuIndex=3&amp;refID=7081504&amp;Result=3","7081504")</f>
        <v>0</v>
      </c>
      <c r="B6363" t="s">
        <v>2058</v>
      </c>
      <c r="C6363" t="s">
        <v>9477</v>
      </c>
      <c r="D6363" t="s">
        <v>17448</v>
      </c>
      <c r="E6363" t="s">
        <v>22990</v>
      </c>
      <c r="F6363" t="s">
        <v>30052</v>
      </c>
      <c r="G6363" t="s">
        <v>30061</v>
      </c>
      <c r="H6363" t="s">
        <v>15498</v>
      </c>
      <c r="I6363" t="s">
        <v>30169</v>
      </c>
      <c r="J6363" t="s">
        <v>34174</v>
      </c>
      <c r="K6363" t="s">
        <v>39025</v>
      </c>
      <c r="M6363" t="s">
        <v>41515</v>
      </c>
      <c r="N6363" t="s">
        <v>43166</v>
      </c>
      <c r="O6363" t="s">
        <v>43167</v>
      </c>
      <c r="P6363">
        <v>0</v>
      </c>
      <c r="Q6363">
        <v>4</v>
      </c>
      <c r="R6363" t="s">
        <v>43172</v>
      </c>
      <c r="S6363" t="s">
        <v>43334</v>
      </c>
      <c r="T6363" t="s">
        <v>44717</v>
      </c>
      <c r="U6363" t="s">
        <v>50368</v>
      </c>
      <c r="W6363" t="s">
        <v>41515</v>
      </c>
      <c r="X6363" t="s">
        <v>43173</v>
      </c>
    </row>
    <row r="6364" spans="1:24">
      <c r="A6364">
        <f>HYPERLINK("https://www.philgeps.gov.ph/GEPSNONPILOT/Tender/SplashBidNoticeAbstractUI.aspx?menuIndex=3&amp;refID=7081500&amp;Result=3","7081500")</f>
        <v>0</v>
      </c>
      <c r="B6364" t="s">
        <v>1608</v>
      </c>
      <c r="C6364" t="s">
        <v>9478</v>
      </c>
      <c r="D6364" t="s">
        <v>17415</v>
      </c>
      <c r="E6364" t="s">
        <v>22991</v>
      </c>
      <c r="F6364" t="s">
        <v>30052</v>
      </c>
      <c r="G6364" t="s">
        <v>30058</v>
      </c>
      <c r="H6364" t="s">
        <v>15498</v>
      </c>
      <c r="I6364" t="s">
        <v>3852</v>
      </c>
      <c r="J6364" t="s">
        <v>34175</v>
      </c>
      <c r="K6364" t="s">
        <v>39019</v>
      </c>
      <c r="M6364" t="s">
        <v>41506</v>
      </c>
      <c r="N6364" t="s">
        <v>43166</v>
      </c>
      <c r="O6364" t="s">
        <v>43167</v>
      </c>
      <c r="P6364">
        <v>0</v>
      </c>
      <c r="Q6364">
        <v>0</v>
      </c>
      <c r="R6364" t="s">
        <v>43172</v>
      </c>
      <c r="S6364" t="s">
        <v>43334</v>
      </c>
      <c r="T6364" t="s">
        <v>44796</v>
      </c>
      <c r="U6364" t="s">
        <v>48908</v>
      </c>
      <c r="W6364" t="s">
        <v>41506</v>
      </c>
      <c r="X6364" t="s">
        <v>43173</v>
      </c>
    </row>
    <row r="6365" spans="1:24">
      <c r="A6365">
        <f>HYPERLINK("https://www.philgeps.gov.ph/GEPSNONPILOT/Tender/SplashBidNoticeAbstractUI.aspx?menuIndex=3&amp;refID=7081503&amp;Result=3","7081503")</f>
        <v>0</v>
      </c>
      <c r="B6365" t="s">
        <v>2059</v>
      </c>
      <c r="C6365" t="s">
        <v>9479</v>
      </c>
      <c r="D6365" t="s">
        <v>17432</v>
      </c>
      <c r="E6365" t="s">
        <v>22992</v>
      </c>
      <c r="F6365" t="s">
        <v>30052</v>
      </c>
      <c r="G6365" t="s">
        <v>30059</v>
      </c>
      <c r="H6365" t="s">
        <v>15498</v>
      </c>
      <c r="I6365" t="s">
        <v>30076</v>
      </c>
      <c r="J6365" t="s">
        <v>30441</v>
      </c>
      <c r="K6365" t="s">
        <v>39019</v>
      </c>
      <c r="M6365" t="s">
        <v>41516</v>
      </c>
      <c r="N6365" t="s">
        <v>43166</v>
      </c>
      <c r="O6365" t="s">
        <v>43167</v>
      </c>
      <c r="P6365">
        <v>0</v>
      </c>
      <c r="Q6365">
        <v>4</v>
      </c>
      <c r="R6365" t="s">
        <v>43172</v>
      </c>
      <c r="S6365" t="s">
        <v>43334</v>
      </c>
      <c r="T6365" t="s">
        <v>44737</v>
      </c>
      <c r="U6365" t="s">
        <v>50369</v>
      </c>
      <c r="V6365" t="s">
        <v>57496</v>
      </c>
      <c r="W6365" t="s">
        <v>41516</v>
      </c>
      <c r="X6365" t="s">
        <v>43173</v>
      </c>
    </row>
    <row r="6366" spans="1:24">
      <c r="A6366">
        <f>HYPERLINK("https://www.philgeps.gov.ph/GEPSNONPILOT/Tender/SplashBidNoticeAbstractUI.aspx?menuIndex=3&amp;refID=7081497&amp;Result=3","7081497")</f>
        <v>0</v>
      </c>
      <c r="B6366" t="s">
        <v>1172</v>
      </c>
      <c r="C6366" t="s">
        <v>9480</v>
      </c>
      <c r="D6366" t="s">
        <v>17466</v>
      </c>
      <c r="E6366" t="s">
        <v>22993</v>
      </c>
      <c r="F6366" t="s">
        <v>30052</v>
      </c>
      <c r="G6366" t="s">
        <v>30058</v>
      </c>
      <c r="H6366" t="s">
        <v>15498</v>
      </c>
      <c r="I6366" t="s">
        <v>30094</v>
      </c>
      <c r="J6366" t="s">
        <v>34176</v>
      </c>
      <c r="K6366" t="s">
        <v>39037</v>
      </c>
      <c r="M6366" t="s">
        <v>40520</v>
      </c>
      <c r="N6366" t="s">
        <v>43166</v>
      </c>
      <c r="O6366" t="s">
        <v>43167</v>
      </c>
      <c r="P6366">
        <v>0</v>
      </c>
      <c r="Q6366">
        <v>1</v>
      </c>
      <c r="R6366" t="s">
        <v>43172</v>
      </c>
      <c r="S6366" t="s">
        <v>43334</v>
      </c>
      <c r="T6366" t="s">
        <v>44943</v>
      </c>
      <c r="U6366" t="s">
        <v>48176</v>
      </c>
      <c r="W6366" t="s">
        <v>58626</v>
      </c>
      <c r="X6366" t="s">
        <v>43173</v>
      </c>
    </row>
    <row r="6367" spans="1:24">
      <c r="A6367">
        <f>HYPERLINK("https://www.philgeps.gov.ph/GEPSNONPILOT/Tender/SplashBidNoticeAbstractUI.aspx?menuIndex=3&amp;refID=7081496&amp;Result=3","7081496")</f>
        <v>0</v>
      </c>
      <c r="B6367" t="s">
        <v>1608</v>
      </c>
      <c r="C6367" t="s">
        <v>9481</v>
      </c>
      <c r="D6367" t="s">
        <v>17415</v>
      </c>
      <c r="E6367" t="s">
        <v>22994</v>
      </c>
      <c r="F6367" t="s">
        <v>30052</v>
      </c>
      <c r="G6367" t="s">
        <v>30058</v>
      </c>
      <c r="H6367" t="s">
        <v>15498</v>
      </c>
      <c r="I6367" t="s">
        <v>3852</v>
      </c>
      <c r="J6367" t="s">
        <v>34177</v>
      </c>
      <c r="K6367" t="s">
        <v>39019</v>
      </c>
      <c r="M6367" t="s">
        <v>41506</v>
      </c>
      <c r="N6367" t="s">
        <v>43166</v>
      </c>
      <c r="O6367" t="s">
        <v>43167</v>
      </c>
      <c r="P6367">
        <v>0</v>
      </c>
      <c r="Q6367">
        <v>0</v>
      </c>
      <c r="R6367" t="s">
        <v>43172</v>
      </c>
      <c r="S6367" t="s">
        <v>43334</v>
      </c>
      <c r="T6367" t="s">
        <v>44796</v>
      </c>
      <c r="U6367" t="s">
        <v>48908</v>
      </c>
      <c r="W6367" t="s">
        <v>41506</v>
      </c>
      <c r="X6367" t="s">
        <v>43173</v>
      </c>
    </row>
    <row r="6368" spans="1:24">
      <c r="A6368">
        <f>HYPERLINK("https://www.philgeps.gov.ph/GEPSNONPILOT/Tender/SplashBidNoticeAbstractUI.aspx?menuIndex=3&amp;refID=7081494&amp;Result=3","7081494")</f>
        <v>0</v>
      </c>
      <c r="B6368" t="s">
        <v>1608</v>
      </c>
      <c r="C6368" t="s">
        <v>9482</v>
      </c>
      <c r="D6368" t="s">
        <v>17415</v>
      </c>
      <c r="E6368" t="s">
        <v>22995</v>
      </c>
      <c r="F6368" t="s">
        <v>30052</v>
      </c>
      <c r="G6368" t="s">
        <v>30058</v>
      </c>
      <c r="H6368" t="s">
        <v>15498</v>
      </c>
      <c r="I6368" t="s">
        <v>7228</v>
      </c>
      <c r="J6368" t="s">
        <v>34178</v>
      </c>
      <c r="K6368" t="s">
        <v>39019</v>
      </c>
      <c r="M6368" t="s">
        <v>41506</v>
      </c>
      <c r="N6368" t="s">
        <v>43166</v>
      </c>
      <c r="O6368" t="s">
        <v>43167</v>
      </c>
      <c r="P6368">
        <v>0</v>
      </c>
      <c r="Q6368">
        <v>0</v>
      </c>
      <c r="R6368" t="s">
        <v>43172</v>
      </c>
      <c r="S6368" t="s">
        <v>43334</v>
      </c>
      <c r="T6368" t="s">
        <v>44796</v>
      </c>
      <c r="U6368" t="s">
        <v>48921</v>
      </c>
      <c r="W6368" t="s">
        <v>41506</v>
      </c>
      <c r="X6368" t="s">
        <v>43173</v>
      </c>
    </row>
    <row r="6369" spans="1:24">
      <c r="A6369">
        <f>HYPERLINK("https://www.philgeps.gov.ph/GEPSNONPILOT/Tender/SplashBidNoticeAbstractUI.aspx?menuIndex=3&amp;refID=7081489&amp;Result=3","7081489")</f>
        <v>0</v>
      </c>
      <c r="B6369" t="s">
        <v>501</v>
      </c>
      <c r="C6369" t="s">
        <v>9483</v>
      </c>
      <c r="E6369" t="s">
        <v>22996</v>
      </c>
      <c r="F6369" t="s">
        <v>30052</v>
      </c>
      <c r="G6369" t="s">
        <v>30059</v>
      </c>
      <c r="H6369" t="s">
        <v>15498</v>
      </c>
      <c r="I6369" t="s">
        <v>30098</v>
      </c>
      <c r="J6369" t="s">
        <v>34179</v>
      </c>
      <c r="K6369" t="s">
        <v>39025</v>
      </c>
      <c r="M6369" t="s">
        <v>41517</v>
      </c>
      <c r="N6369" t="s">
        <v>43166</v>
      </c>
      <c r="O6369" t="s">
        <v>43167</v>
      </c>
      <c r="P6369">
        <v>0</v>
      </c>
      <c r="Q6369">
        <v>9</v>
      </c>
      <c r="R6369" t="s">
        <v>43172</v>
      </c>
      <c r="S6369" t="s">
        <v>43334</v>
      </c>
      <c r="T6369" t="s">
        <v>45042</v>
      </c>
      <c r="U6369" t="s">
        <v>50370</v>
      </c>
      <c r="V6369" t="s">
        <v>57497</v>
      </c>
      <c r="W6369" t="s">
        <v>39802</v>
      </c>
      <c r="X6369" t="s">
        <v>43173</v>
      </c>
    </row>
    <row r="6370" spans="1:24">
      <c r="A6370">
        <f>HYPERLINK("https://www.philgeps.gov.ph/GEPSNONPILOT/Tender/SplashBidNoticeAbstractUI.aspx?menuIndex=3&amp;refID=7081023&amp;Result=3","7081023")</f>
        <v>0</v>
      </c>
      <c r="B6370" t="s">
        <v>1982</v>
      </c>
      <c r="C6370" t="s">
        <v>9484</v>
      </c>
      <c r="D6370" t="s">
        <v>17415</v>
      </c>
      <c r="E6370" t="s">
        <v>17617</v>
      </c>
      <c r="F6370" t="s">
        <v>30052</v>
      </c>
      <c r="G6370" t="s">
        <v>30058</v>
      </c>
      <c r="H6370" t="s">
        <v>15498</v>
      </c>
      <c r="I6370" t="s">
        <v>30140</v>
      </c>
      <c r="J6370" t="s">
        <v>30555</v>
      </c>
      <c r="K6370" t="s">
        <v>39026</v>
      </c>
      <c r="M6370" t="s">
        <v>41424</v>
      </c>
      <c r="N6370" t="s">
        <v>43166</v>
      </c>
      <c r="O6370" t="s">
        <v>43167</v>
      </c>
      <c r="P6370">
        <v>0</v>
      </c>
      <c r="Q6370">
        <v>5</v>
      </c>
      <c r="R6370" t="s">
        <v>43172</v>
      </c>
      <c r="S6370" t="s">
        <v>43334</v>
      </c>
      <c r="T6370" t="s">
        <v>45043</v>
      </c>
      <c r="U6370" t="s">
        <v>50156</v>
      </c>
      <c r="W6370" t="s">
        <v>41424</v>
      </c>
      <c r="X6370" t="s">
        <v>43173</v>
      </c>
    </row>
    <row r="6371" spans="1:24">
      <c r="A6371">
        <f>HYPERLINK("https://www.philgeps.gov.ph/GEPSNONPILOT/Tender/SplashBidNoticeAbstractUI.aspx?menuIndex=3&amp;refID=7081020&amp;Result=3","7081020")</f>
        <v>0</v>
      </c>
      <c r="B6371" t="s">
        <v>2009</v>
      </c>
      <c r="C6371" t="s">
        <v>9485</v>
      </c>
      <c r="D6371" t="s">
        <v>17413</v>
      </c>
      <c r="E6371" t="s">
        <v>22997</v>
      </c>
      <c r="F6371" t="s">
        <v>30052</v>
      </c>
      <c r="G6371" t="s">
        <v>30059</v>
      </c>
      <c r="H6371" t="s">
        <v>15498</v>
      </c>
      <c r="I6371" t="s">
        <v>4650</v>
      </c>
      <c r="J6371" t="s">
        <v>31849</v>
      </c>
      <c r="K6371" t="s">
        <v>39017</v>
      </c>
      <c r="M6371" t="s">
        <v>41453</v>
      </c>
      <c r="N6371" t="s">
        <v>43166</v>
      </c>
      <c r="O6371" t="s">
        <v>43167</v>
      </c>
      <c r="P6371">
        <v>0</v>
      </c>
      <c r="Q6371">
        <v>4</v>
      </c>
      <c r="R6371" t="s">
        <v>43172</v>
      </c>
      <c r="S6371" t="s">
        <v>43334</v>
      </c>
      <c r="T6371" t="s">
        <v>44932</v>
      </c>
      <c r="U6371" t="s">
        <v>47816</v>
      </c>
      <c r="W6371" t="s">
        <v>41453</v>
      </c>
      <c r="X6371" t="s">
        <v>43173</v>
      </c>
    </row>
    <row r="6372" spans="1:24">
      <c r="A6372">
        <f>HYPERLINK("https://www.philgeps.gov.ph/GEPSNONPILOT/Tender/SplashBidNoticeAbstractUI.aspx?menuIndex=3&amp;refID=7081492&amp;Result=3","7081492")</f>
        <v>0</v>
      </c>
      <c r="B6372" t="s">
        <v>1608</v>
      </c>
      <c r="C6372" t="s">
        <v>9486</v>
      </c>
      <c r="D6372" t="s">
        <v>17415</v>
      </c>
      <c r="E6372" t="s">
        <v>22998</v>
      </c>
      <c r="F6372" t="s">
        <v>30052</v>
      </c>
      <c r="G6372" t="s">
        <v>30058</v>
      </c>
      <c r="H6372" t="s">
        <v>15498</v>
      </c>
      <c r="I6372" t="s">
        <v>7228</v>
      </c>
      <c r="J6372" t="s">
        <v>30215</v>
      </c>
      <c r="K6372" t="s">
        <v>39019</v>
      </c>
      <c r="M6372" t="s">
        <v>41506</v>
      </c>
      <c r="N6372" t="s">
        <v>43166</v>
      </c>
      <c r="O6372" t="s">
        <v>43167</v>
      </c>
      <c r="P6372">
        <v>0</v>
      </c>
      <c r="Q6372">
        <v>0</v>
      </c>
      <c r="R6372" t="s">
        <v>43172</v>
      </c>
      <c r="S6372" t="s">
        <v>43334</v>
      </c>
      <c r="T6372" t="s">
        <v>44796</v>
      </c>
      <c r="U6372" t="s">
        <v>48921</v>
      </c>
      <c r="W6372" t="s">
        <v>41506</v>
      </c>
      <c r="X6372" t="s">
        <v>43173</v>
      </c>
    </row>
    <row r="6373" spans="1:24">
      <c r="A6373">
        <f>HYPERLINK("https://www.philgeps.gov.ph/GEPSNONPILOT/Tender/SplashBidNoticeAbstractUI.aspx?menuIndex=3&amp;refID=7081516&amp;Result=3","7081516")</f>
        <v>0</v>
      </c>
      <c r="B6373" t="s">
        <v>382</v>
      </c>
      <c r="C6373" t="s">
        <v>9487</v>
      </c>
      <c r="D6373" t="s">
        <v>17474</v>
      </c>
      <c r="E6373" t="s">
        <v>22999</v>
      </c>
      <c r="F6373" t="s">
        <v>30052</v>
      </c>
      <c r="G6373" t="s">
        <v>30059</v>
      </c>
      <c r="H6373" t="s">
        <v>15498</v>
      </c>
      <c r="I6373" t="s">
        <v>5961</v>
      </c>
      <c r="J6373" t="s">
        <v>34180</v>
      </c>
      <c r="K6373" t="s">
        <v>39025</v>
      </c>
      <c r="M6373" t="s">
        <v>39680</v>
      </c>
      <c r="N6373" t="s">
        <v>43166</v>
      </c>
      <c r="O6373" t="s">
        <v>43167</v>
      </c>
      <c r="P6373">
        <v>0</v>
      </c>
      <c r="Q6373">
        <v>1</v>
      </c>
      <c r="R6373" t="s">
        <v>43172</v>
      </c>
      <c r="S6373" t="s">
        <v>43334</v>
      </c>
      <c r="T6373" t="s">
        <v>44969</v>
      </c>
      <c r="U6373" t="s">
        <v>49890</v>
      </c>
      <c r="W6373" t="s">
        <v>39680</v>
      </c>
      <c r="X6373" t="s">
        <v>43173</v>
      </c>
    </row>
    <row r="6374" spans="1:24">
      <c r="A6374">
        <f>HYPERLINK("https://www.philgeps.gov.ph/GEPSNONPILOT/Tender/SplashBidNoticeAbstractUI.aspx?menuIndex=3&amp;refID=7081502&amp;Result=3","7081502")</f>
        <v>0</v>
      </c>
      <c r="B6374" t="s">
        <v>1677</v>
      </c>
      <c r="C6374" t="s">
        <v>9488</v>
      </c>
      <c r="D6374" t="s">
        <v>17415</v>
      </c>
      <c r="E6374" t="s">
        <v>23000</v>
      </c>
      <c r="F6374" t="s">
        <v>30055</v>
      </c>
      <c r="G6374" t="s">
        <v>30061</v>
      </c>
      <c r="H6374" t="s">
        <v>15498</v>
      </c>
      <c r="I6374" t="s">
        <v>8323</v>
      </c>
      <c r="J6374" t="s">
        <v>32397</v>
      </c>
      <c r="K6374" t="s">
        <v>39019</v>
      </c>
      <c r="M6374" t="s">
        <v>41084</v>
      </c>
      <c r="N6374" t="s">
        <v>43166</v>
      </c>
      <c r="O6374" t="s">
        <v>43167</v>
      </c>
      <c r="P6374">
        <v>0</v>
      </c>
      <c r="Q6374">
        <v>7</v>
      </c>
      <c r="R6374" t="s">
        <v>43172</v>
      </c>
      <c r="S6374" t="s">
        <v>43334</v>
      </c>
      <c r="T6374" t="s">
        <v>44720</v>
      </c>
      <c r="U6374" t="s">
        <v>50371</v>
      </c>
      <c r="V6374" t="s">
        <v>57498</v>
      </c>
      <c r="W6374" t="s">
        <v>41084</v>
      </c>
      <c r="X6374" t="s">
        <v>43173</v>
      </c>
    </row>
    <row r="6375" spans="1:24">
      <c r="A6375">
        <f>HYPERLINK("https://www.philgeps.gov.ph/GEPSNONPILOT/Tender/SplashBidNoticeAbstractUI.aspx?menuIndex=3&amp;refID=7081547&amp;Result=3","7081547")</f>
        <v>0</v>
      </c>
      <c r="B6375" t="s">
        <v>1608</v>
      </c>
      <c r="C6375" t="s">
        <v>9489</v>
      </c>
      <c r="D6375" t="s">
        <v>17415</v>
      </c>
      <c r="E6375" t="s">
        <v>23001</v>
      </c>
      <c r="F6375" t="s">
        <v>30052</v>
      </c>
      <c r="G6375" t="s">
        <v>30058</v>
      </c>
      <c r="H6375" t="s">
        <v>15498</v>
      </c>
      <c r="I6375" t="s">
        <v>3852</v>
      </c>
      <c r="J6375" t="s">
        <v>34181</v>
      </c>
      <c r="K6375" t="s">
        <v>39019</v>
      </c>
      <c r="M6375" t="s">
        <v>41506</v>
      </c>
      <c r="N6375" t="s">
        <v>43166</v>
      </c>
      <c r="O6375" t="s">
        <v>43167</v>
      </c>
      <c r="P6375">
        <v>0</v>
      </c>
      <c r="Q6375">
        <v>0</v>
      </c>
      <c r="R6375" t="s">
        <v>43172</v>
      </c>
      <c r="S6375" t="s">
        <v>43334</v>
      </c>
      <c r="T6375" t="s">
        <v>44796</v>
      </c>
      <c r="U6375" t="s">
        <v>48908</v>
      </c>
      <c r="W6375" t="s">
        <v>41506</v>
      </c>
      <c r="X6375" t="s">
        <v>43173</v>
      </c>
    </row>
    <row r="6376" spans="1:24">
      <c r="A6376">
        <f>HYPERLINK("https://www.philgeps.gov.ph/GEPSNONPILOT/Tender/SplashBidNoticeAbstractUI.aspx?menuIndex=3&amp;refID=7080976&amp;Result=3","7080976")</f>
        <v>0</v>
      </c>
      <c r="B6376" t="s">
        <v>1270</v>
      </c>
      <c r="C6376" t="s">
        <v>9490</v>
      </c>
      <c r="D6376" t="s">
        <v>17465</v>
      </c>
      <c r="E6376" t="s">
        <v>23002</v>
      </c>
      <c r="F6376" t="s">
        <v>30052</v>
      </c>
      <c r="G6376" t="s">
        <v>30058</v>
      </c>
      <c r="H6376" t="s">
        <v>15498</v>
      </c>
      <c r="I6376" t="s">
        <v>3852</v>
      </c>
      <c r="J6376" t="s">
        <v>34182</v>
      </c>
      <c r="K6376" t="s">
        <v>39034</v>
      </c>
      <c r="M6376" t="s">
        <v>40629</v>
      </c>
      <c r="N6376" t="s">
        <v>43166</v>
      </c>
      <c r="O6376" t="s">
        <v>43167</v>
      </c>
      <c r="P6376">
        <v>0</v>
      </c>
      <c r="Q6376">
        <v>8</v>
      </c>
      <c r="R6376" t="s">
        <v>43172</v>
      </c>
      <c r="S6376" t="s">
        <v>43334</v>
      </c>
      <c r="T6376" t="s">
        <v>44879</v>
      </c>
      <c r="U6376" t="s">
        <v>50372</v>
      </c>
      <c r="W6376" t="s">
        <v>40629</v>
      </c>
      <c r="X6376" t="s">
        <v>43173</v>
      </c>
    </row>
    <row r="6377" spans="1:24">
      <c r="A6377">
        <f>HYPERLINK("https://www.philgeps.gov.ph/GEPSNONPILOT/Tender/SplashBidNoticeAbstractUI.aspx?menuIndex=3&amp;refID=7081545&amp;Result=3","7081545")</f>
        <v>0</v>
      </c>
      <c r="B6377" t="s">
        <v>1836</v>
      </c>
      <c r="C6377" t="s">
        <v>9491</v>
      </c>
      <c r="D6377" t="s">
        <v>17440</v>
      </c>
      <c r="E6377" t="s">
        <v>23003</v>
      </c>
      <c r="F6377" t="s">
        <v>30052</v>
      </c>
      <c r="G6377" t="s">
        <v>30058</v>
      </c>
      <c r="H6377" t="s">
        <v>30067</v>
      </c>
      <c r="I6377" t="s">
        <v>3693</v>
      </c>
      <c r="J6377" t="s">
        <v>34183</v>
      </c>
      <c r="K6377" t="s">
        <v>39046</v>
      </c>
      <c r="M6377" t="s">
        <v>41411</v>
      </c>
      <c r="N6377" t="s">
        <v>43166</v>
      </c>
      <c r="O6377" t="s">
        <v>43167</v>
      </c>
      <c r="P6377">
        <v>0</v>
      </c>
      <c r="Q6377">
        <v>0</v>
      </c>
      <c r="R6377" t="s">
        <v>43172</v>
      </c>
      <c r="S6377" t="s">
        <v>43334</v>
      </c>
      <c r="T6377" t="s">
        <v>45020</v>
      </c>
      <c r="U6377" t="s">
        <v>50373</v>
      </c>
      <c r="W6377" t="s">
        <v>41411</v>
      </c>
      <c r="X6377" t="s">
        <v>43173</v>
      </c>
    </row>
    <row r="6378" spans="1:24">
      <c r="A6378">
        <f>HYPERLINK("https://www.philgeps.gov.ph/GEPSNONPILOT/Tender/SplashBidNoticeAbstractUI.aspx?menuIndex=3&amp;refID=7081522&amp;Result=3","7081522")</f>
        <v>0</v>
      </c>
      <c r="B6378" t="s">
        <v>1172</v>
      </c>
      <c r="C6378" t="s">
        <v>9492</v>
      </c>
      <c r="D6378" t="s">
        <v>17466</v>
      </c>
      <c r="E6378" t="s">
        <v>23004</v>
      </c>
      <c r="F6378" t="s">
        <v>30052</v>
      </c>
      <c r="G6378" t="s">
        <v>30058</v>
      </c>
      <c r="H6378" t="s">
        <v>15498</v>
      </c>
      <c r="I6378" t="s">
        <v>4650</v>
      </c>
      <c r="J6378" t="s">
        <v>30343</v>
      </c>
      <c r="K6378" t="s">
        <v>39037</v>
      </c>
      <c r="M6378" t="s">
        <v>40520</v>
      </c>
      <c r="N6378" t="s">
        <v>43166</v>
      </c>
      <c r="O6378" t="s">
        <v>43167</v>
      </c>
      <c r="P6378">
        <v>0</v>
      </c>
      <c r="Q6378">
        <v>7</v>
      </c>
      <c r="R6378" t="s">
        <v>43172</v>
      </c>
      <c r="S6378" t="s">
        <v>43334</v>
      </c>
      <c r="T6378" t="s">
        <v>44943</v>
      </c>
      <c r="U6378" t="s">
        <v>48176</v>
      </c>
      <c r="W6378" t="s">
        <v>58626</v>
      </c>
      <c r="X6378" t="s">
        <v>43173</v>
      </c>
    </row>
    <row r="6379" spans="1:24">
      <c r="A6379">
        <f>HYPERLINK("https://www.philgeps.gov.ph/GEPSNONPILOT/Tender/SplashBidNoticeAbstractUI.aspx?menuIndex=3&amp;refID=7081542&amp;Result=3","7081542")</f>
        <v>0</v>
      </c>
      <c r="B6379" t="s">
        <v>2051</v>
      </c>
      <c r="C6379" t="s">
        <v>9493</v>
      </c>
      <c r="E6379" t="s">
        <v>22957</v>
      </c>
      <c r="F6379" t="s">
        <v>30052</v>
      </c>
      <c r="G6379" t="s">
        <v>30058</v>
      </c>
      <c r="H6379" t="s">
        <v>15498</v>
      </c>
      <c r="I6379" t="s">
        <v>30073</v>
      </c>
      <c r="J6379" t="s">
        <v>34184</v>
      </c>
      <c r="K6379" t="s">
        <v>39125</v>
      </c>
      <c r="M6379" t="s">
        <v>41505</v>
      </c>
      <c r="N6379" t="s">
        <v>43166</v>
      </c>
      <c r="O6379" t="s">
        <v>43167</v>
      </c>
      <c r="P6379">
        <v>0</v>
      </c>
      <c r="Q6379">
        <v>4</v>
      </c>
      <c r="R6379" t="s">
        <v>43172</v>
      </c>
      <c r="S6379" t="s">
        <v>43334</v>
      </c>
      <c r="T6379" t="s">
        <v>44842</v>
      </c>
      <c r="U6379" t="s">
        <v>50374</v>
      </c>
      <c r="W6379" t="s">
        <v>41505</v>
      </c>
      <c r="X6379" t="s">
        <v>43173</v>
      </c>
    </row>
    <row r="6380" spans="1:24">
      <c r="A6380">
        <f>HYPERLINK("https://www.philgeps.gov.ph/GEPSNONPILOT/Tender/SplashBidNoticeAbstractUI.aspx?menuIndex=3&amp;refID=7081540&amp;Result=3","7081540")</f>
        <v>0</v>
      </c>
      <c r="B6380" t="s">
        <v>2052</v>
      </c>
      <c r="C6380" t="s">
        <v>9494</v>
      </c>
      <c r="D6380" t="s">
        <v>17459</v>
      </c>
      <c r="E6380" t="s">
        <v>23005</v>
      </c>
      <c r="F6380" t="s">
        <v>30052</v>
      </c>
      <c r="G6380" t="s">
        <v>30059</v>
      </c>
      <c r="H6380" t="s">
        <v>15498</v>
      </c>
      <c r="I6380" t="s">
        <v>5961</v>
      </c>
      <c r="J6380" t="s">
        <v>34185</v>
      </c>
      <c r="K6380" t="s">
        <v>39017</v>
      </c>
      <c r="M6380" t="s">
        <v>41507</v>
      </c>
      <c r="N6380" t="s">
        <v>43166</v>
      </c>
      <c r="O6380" t="s">
        <v>43167</v>
      </c>
      <c r="P6380">
        <v>0</v>
      </c>
      <c r="Q6380">
        <v>3</v>
      </c>
      <c r="R6380" t="s">
        <v>43172</v>
      </c>
      <c r="S6380" t="s">
        <v>43334</v>
      </c>
      <c r="T6380" t="s">
        <v>44806</v>
      </c>
      <c r="U6380" t="s">
        <v>50375</v>
      </c>
      <c r="W6380" t="s">
        <v>41507</v>
      </c>
      <c r="X6380" t="s">
        <v>43173</v>
      </c>
    </row>
    <row r="6381" spans="1:24">
      <c r="A6381">
        <f>HYPERLINK("https://www.philgeps.gov.ph/GEPSNONPILOT/Tender/SplashBidNoticeAbstractUI.aspx?menuIndex=3&amp;refID=7081539&amp;Result=3","7081539")</f>
        <v>0</v>
      </c>
      <c r="B6381" t="s">
        <v>2042</v>
      </c>
      <c r="C6381" t="s">
        <v>9495</v>
      </c>
      <c r="D6381" t="s">
        <v>17455</v>
      </c>
      <c r="E6381" t="s">
        <v>23006</v>
      </c>
      <c r="F6381" t="s">
        <v>30052</v>
      </c>
      <c r="G6381" t="s">
        <v>30058</v>
      </c>
      <c r="H6381" t="s">
        <v>15498</v>
      </c>
      <c r="I6381" t="s">
        <v>30091</v>
      </c>
      <c r="J6381" t="s">
        <v>30698</v>
      </c>
      <c r="K6381" t="s">
        <v>39023</v>
      </c>
      <c r="M6381" t="s">
        <v>41493</v>
      </c>
      <c r="N6381" t="s">
        <v>43166</v>
      </c>
      <c r="O6381" t="s">
        <v>43167</v>
      </c>
      <c r="P6381">
        <v>0</v>
      </c>
      <c r="Q6381">
        <v>8</v>
      </c>
      <c r="R6381" t="s">
        <v>43172</v>
      </c>
      <c r="S6381" t="s">
        <v>43334</v>
      </c>
      <c r="T6381" t="s">
        <v>44716</v>
      </c>
      <c r="U6381" t="s">
        <v>50376</v>
      </c>
      <c r="W6381" t="s">
        <v>41493</v>
      </c>
      <c r="X6381" t="s">
        <v>43173</v>
      </c>
    </row>
    <row r="6382" spans="1:24">
      <c r="A6382">
        <f>HYPERLINK("https://www.philgeps.gov.ph/GEPSNONPILOT/Tender/SplashBidNoticeAbstractUI.aspx?menuIndex=3&amp;refID=7081538&amp;Result=3","7081538")</f>
        <v>0</v>
      </c>
      <c r="B6382" t="s">
        <v>1172</v>
      </c>
      <c r="C6382" t="s">
        <v>9496</v>
      </c>
      <c r="D6382" t="s">
        <v>17466</v>
      </c>
      <c r="E6382" t="s">
        <v>23007</v>
      </c>
      <c r="F6382" t="s">
        <v>30052</v>
      </c>
      <c r="G6382" t="s">
        <v>30058</v>
      </c>
      <c r="H6382" t="s">
        <v>15498</v>
      </c>
      <c r="I6382" t="s">
        <v>30084</v>
      </c>
      <c r="J6382" t="s">
        <v>34186</v>
      </c>
      <c r="K6382" t="s">
        <v>39037</v>
      </c>
      <c r="M6382" t="s">
        <v>40520</v>
      </c>
      <c r="N6382" t="s">
        <v>43166</v>
      </c>
      <c r="O6382" t="s">
        <v>43167</v>
      </c>
      <c r="P6382">
        <v>0</v>
      </c>
      <c r="Q6382">
        <v>6</v>
      </c>
      <c r="R6382" t="s">
        <v>43172</v>
      </c>
      <c r="S6382" t="s">
        <v>43334</v>
      </c>
      <c r="T6382" t="s">
        <v>44943</v>
      </c>
      <c r="U6382" t="s">
        <v>48176</v>
      </c>
      <c r="W6382" t="s">
        <v>58626</v>
      </c>
      <c r="X6382" t="s">
        <v>43173</v>
      </c>
    </row>
    <row r="6383" spans="1:24">
      <c r="A6383">
        <f>HYPERLINK("https://www.philgeps.gov.ph/GEPSNONPILOT/Tender/SplashBidNoticeAbstractUI.aspx?menuIndex=3&amp;refID=7081536&amp;Result=3","7081536")</f>
        <v>0</v>
      </c>
      <c r="B6383" t="s">
        <v>1836</v>
      </c>
      <c r="C6383" t="s">
        <v>9497</v>
      </c>
      <c r="D6383" t="s">
        <v>17440</v>
      </c>
      <c r="E6383" t="s">
        <v>23008</v>
      </c>
      <c r="F6383" t="s">
        <v>30052</v>
      </c>
      <c r="G6383" t="s">
        <v>30058</v>
      </c>
      <c r="H6383" t="s">
        <v>30067</v>
      </c>
      <c r="I6383" t="s">
        <v>3693</v>
      </c>
      <c r="J6383" t="s">
        <v>34187</v>
      </c>
      <c r="K6383" t="s">
        <v>39065</v>
      </c>
      <c r="M6383" t="s">
        <v>41411</v>
      </c>
      <c r="N6383" t="s">
        <v>43166</v>
      </c>
      <c r="O6383" t="s">
        <v>43167</v>
      </c>
      <c r="P6383">
        <v>0</v>
      </c>
      <c r="Q6383">
        <v>0</v>
      </c>
      <c r="R6383" t="s">
        <v>43172</v>
      </c>
      <c r="S6383" t="s">
        <v>43334</v>
      </c>
      <c r="T6383" t="s">
        <v>45020</v>
      </c>
      <c r="U6383" t="s">
        <v>50377</v>
      </c>
      <c r="W6383" t="s">
        <v>41411</v>
      </c>
      <c r="X6383" t="s">
        <v>43173</v>
      </c>
    </row>
    <row r="6384" spans="1:24">
      <c r="A6384">
        <f>HYPERLINK("https://www.philgeps.gov.ph/GEPSNONPILOT/Tender/SplashBidNoticeAbstractUI.aspx?menuIndex=3&amp;refID=7081533&amp;Result=3","7081533")</f>
        <v>0</v>
      </c>
      <c r="B6384" t="s">
        <v>501</v>
      </c>
      <c r="C6384" t="s">
        <v>9498</v>
      </c>
      <c r="E6384" t="s">
        <v>23009</v>
      </c>
      <c r="F6384" t="s">
        <v>30052</v>
      </c>
      <c r="G6384" t="s">
        <v>30059</v>
      </c>
      <c r="H6384" t="s">
        <v>15498</v>
      </c>
      <c r="I6384" t="s">
        <v>30070</v>
      </c>
      <c r="J6384" t="s">
        <v>34174</v>
      </c>
      <c r="K6384" t="s">
        <v>39025</v>
      </c>
      <c r="M6384" t="s">
        <v>39802</v>
      </c>
      <c r="N6384" t="s">
        <v>43166</v>
      </c>
      <c r="O6384" t="s">
        <v>43167</v>
      </c>
      <c r="P6384">
        <v>0</v>
      </c>
      <c r="Q6384">
        <v>7</v>
      </c>
      <c r="R6384" t="s">
        <v>43172</v>
      </c>
      <c r="S6384" t="s">
        <v>43334</v>
      </c>
      <c r="T6384" t="s">
        <v>44826</v>
      </c>
      <c r="U6384" t="s">
        <v>50378</v>
      </c>
      <c r="W6384" t="s">
        <v>39802</v>
      </c>
      <c r="X6384" t="s">
        <v>43173</v>
      </c>
    </row>
    <row r="6385" spans="1:24">
      <c r="A6385">
        <f>HYPERLINK("https://www.philgeps.gov.ph/GEPSNONPILOT/Tender/SplashBidNoticeAbstractUI.aspx?menuIndex=3&amp;refID=7081530&amp;Result=3","7081530")</f>
        <v>0</v>
      </c>
      <c r="B6385" t="s">
        <v>1172</v>
      </c>
      <c r="C6385" t="s">
        <v>9499</v>
      </c>
      <c r="D6385" t="s">
        <v>17466</v>
      </c>
      <c r="E6385" t="s">
        <v>23010</v>
      </c>
      <c r="F6385" t="s">
        <v>30052</v>
      </c>
      <c r="G6385" t="s">
        <v>30058</v>
      </c>
      <c r="H6385" t="s">
        <v>15498</v>
      </c>
      <c r="I6385" t="s">
        <v>30106</v>
      </c>
      <c r="J6385" t="s">
        <v>30605</v>
      </c>
      <c r="K6385" t="s">
        <v>39037</v>
      </c>
      <c r="M6385" t="s">
        <v>40520</v>
      </c>
      <c r="N6385" t="s">
        <v>43166</v>
      </c>
      <c r="O6385" t="s">
        <v>43167</v>
      </c>
      <c r="P6385">
        <v>0</v>
      </c>
      <c r="Q6385">
        <v>3</v>
      </c>
      <c r="R6385" t="s">
        <v>43172</v>
      </c>
      <c r="S6385" t="s">
        <v>43334</v>
      </c>
      <c r="T6385" t="s">
        <v>44943</v>
      </c>
      <c r="U6385" t="s">
        <v>50379</v>
      </c>
      <c r="W6385" t="s">
        <v>58626</v>
      </c>
      <c r="X6385" t="s">
        <v>43173</v>
      </c>
    </row>
    <row r="6386" spans="1:24">
      <c r="A6386">
        <f>HYPERLINK("https://www.philgeps.gov.ph/GEPSNONPILOT/Tender/SplashBidNoticeAbstractUI.aspx?menuIndex=3&amp;refID=7081527&amp;Result=3","7081527")</f>
        <v>0</v>
      </c>
      <c r="B6386" t="s">
        <v>1836</v>
      </c>
      <c r="C6386" t="s">
        <v>9500</v>
      </c>
      <c r="D6386" t="s">
        <v>17440</v>
      </c>
      <c r="E6386" t="s">
        <v>23011</v>
      </c>
      <c r="F6386" t="s">
        <v>30052</v>
      </c>
      <c r="G6386" t="s">
        <v>30058</v>
      </c>
      <c r="H6386" t="s">
        <v>30067</v>
      </c>
      <c r="I6386" t="s">
        <v>3693</v>
      </c>
      <c r="J6386" t="s">
        <v>32340</v>
      </c>
      <c r="K6386" t="s">
        <v>39029</v>
      </c>
      <c r="M6386" t="s">
        <v>41411</v>
      </c>
      <c r="N6386" t="s">
        <v>43166</v>
      </c>
      <c r="O6386" t="s">
        <v>43167</v>
      </c>
      <c r="P6386">
        <v>0</v>
      </c>
      <c r="Q6386">
        <v>0</v>
      </c>
      <c r="R6386" t="s">
        <v>43172</v>
      </c>
      <c r="S6386" t="s">
        <v>43334</v>
      </c>
      <c r="T6386" t="s">
        <v>45020</v>
      </c>
      <c r="U6386" t="s">
        <v>50380</v>
      </c>
      <c r="W6386" t="s">
        <v>41411</v>
      </c>
      <c r="X6386" t="s">
        <v>43173</v>
      </c>
    </row>
    <row r="6387" spans="1:24">
      <c r="A6387">
        <f>HYPERLINK("https://www.philgeps.gov.ph/GEPSNONPILOT/Tender/SplashBidNoticeAbstractUI.aspx?menuIndex=3&amp;refID=7081526&amp;Result=3","7081526")</f>
        <v>0</v>
      </c>
      <c r="B6387" t="s">
        <v>2060</v>
      </c>
      <c r="C6387" t="s">
        <v>9501</v>
      </c>
      <c r="D6387" t="s">
        <v>17450</v>
      </c>
      <c r="E6387" t="s">
        <v>23012</v>
      </c>
      <c r="F6387" t="s">
        <v>30052</v>
      </c>
      <c r="G6387" t="s">
        <v>30059</v>
      </c>
      <c r="H6387" t="s">
        <v>15498</v>
      </c>
      <c r="I6387" t="s">
        <v>6691</v>
      </c>
      <c r="J6387" t="s">
        <v>33719</v>
      </c>
      <c r="K6387" t="s">
        <v>39053</v>
      </c>
      <c r="M6387" t="s">
        <v>41518</v>
      </c>
      <c r="N6387" t="s">
        <v>43166</v>
      </c>
      <c r="O6387" t="s">
        <v>43167</v>
      </c>
      <c r="P6387">
        <v>0</v>
      </c>
      <c r="Q6387">
        <v>1</v>
      </c>
      <c r="R6387" t="s">
        <v>43172</v>
      </c>
      <c r="S6387" t="s">
        <v>43334</v>
      </c>
      <c r="T6387" t="s">
        <v>44837</v>
      </c>
      <c r="U6387" t="s">
        <v>50381</v>
      </c>
      <c r="V6387" t="s">
        <v>57499</v>
      </c>
      <c r="W6387" t="s">
        <v>41518</v>
      </c>
      <c r="X6387" t="s">
        <v>43173</v>
      </c>
    </row>
    <row r="6388" spans="1:24">
      <c r="A6388">
        <f>HYPERLINK("https://www.philgeps.gov.ph/GEPSNONPILOT/Tender/SplashBidNoticeAbstractUI.aspx?menuIndex=3&amp;refID=7081525&amp;Result=3","7081525")</f>
        <v>0</v>
      </c>
      <c r="B6388" t="s">
        <v>1172</v>
      </c>
      <c r="C6388" t="s">
        <v>9502</v>
      </c>
      <c r="D6388" t="s">
        <v>17466</v>
      </c>
      <c r="E6388" t="s">
        <v>23013</v>
      </c>
      <c r="F6388" t="s">
        <v>30052</v>
      </c>
      <c r="G6388" t="s">
        <v>30058</v>
      </c>
      <c r="H6388" t="s">
        <v>15498</v>
      </c>
      <c r="I6388" t="s">
        <v>30146</v>
      </c>
      <c r="J6388" t="s">
        <v>34188</v>
      </c>
      <c r="K6388" t="s">
        <v>39037</v>
      </c>
      <c r="M6388" t="s">
        <v>40520</v>
      </c>
      <c r="N6388" t="s">
        <v>43166</v>
      </c>
      <c r="O6388" t="s">
        <v>43167</v>
      </c>
      <c r="P6388">
        <v>0</v>
      </c>
      <c r="Q6388">
        <v>5</v>
      </c>
      <c r="R6388" t="s">
        <v>43172</v>
      </c>
      <c r="S6388" t="s">
        <v>43334</v>
      </c>
      <c r="T6388" t="s">
        <v>44943</v>
      </c>
      <c r="U6388" t="s">
        <v>50379</v>
      </c>
      <c r="W6388" t="s">
        <v>58626</v>
      </c>
      <c r="X6388" t="s">
        <v>43173</v>
      </c>
    </row>
    <row r="6389" spans="1:24">
      <c r="A6389">
        <f>HYPERLINK("https://www.philgeps.gov.ph/GEPSNONPILOT/Tender/SplashBidNoticeAbstractUI.aspx?menuIndex=3&amp;refID=7081521&amp;Result=3","7081521")</f>
        <v>0</v>
      </c>
      <c r="B6389" t="s">
        <v>1836</v>
      </c>
      <c r="C6389" t="s">
        <v>9503</v>
      </c>
      <c r="D6389" t="s">
        <v>17440</v>
      </c>
      <c r="E6389" t="s">
        <v>23014</v>
      </c>
      <c r="F6389" t="s">
        <v>30052</v>
      </c>
      <c r="G6389" t="s">
        <v>30058</v>
      </c>
      <c r="H6389" t="s">
        <v>30067</v>
      </c>
      <c r="I6389" t="s">
        <v>3693</v>
      </c>
      <c r="J6389" t="s">
        <v>34189</v>
      </c>
      <c r="K6389" t="s">
        <v>39023</v>
      </c>
      <c r="M6389" t="s">
        <v>41411</v>
      </c>
      <c r="N6389" t="s">
        <v>43166</v>
      </c>
      <c r="O6389" t="s">
        <v>43167</v>
      </c>
      <c r="P6389">
        <v>0</v>
      </c>
      <c r="Q6389">
        <v>0</v>
      </c>
      <c r="R6389" t="s">
        <v>43172</v>
      </c>
      <c r="S6389" t="s">
        <v>43334</v>
      </c>
      <c r="T6389" t="s">
        <v>45020</v>
      </c>
      <c r="U6389" t="s">
        <v>50382</v>
      </c>
      <c r="W6389" t="s">
        <v>41411</v>
      </c>
      <c r="X6389" t="s">
        <v>43173</v>
      </c>
    </row>
    <row r="6390" spans="1:24">
      <c r="A6390">
        <f>HYPERLINK("https://www.philgeps.gov.ph/GEPSNONPILOT/Tender/SplashBidNoticeAbstractUI.aspx?menuIndex=3&amp;refID=7081519&amp;Result=3","7081519")</f>
        <v>0</v>
      </c>
      <c r="B6390" t="s">
        <v>1172</v>
      </c>
      <c r="C6390" t="s">
        <v>9504</v>
      </c>
      <c r="D6390" t="s">
        <v>17466</v>
      </c>
      <c r="E6390" t="s">
        <v>23015</v>
      </c>
      <c r="F6390" t="s">
        <v>30052</v>
      </c>
      <c r="G6390" t="s">
        <v>30058</v>
      </c>
      <c r="H6390" t="s">
        <v>15498</v>
      </c>
      <c r="I6390" t="s">
        <v>30084</v>
      </c>
      <c r="J6390" t="s">
        <v>31515</v>
      </c>
      <c r="K6390" t="s">
        <v>39037</v>
      </c>
      <c r="M6390" t="s">
        <v>40520</v>
      </c>
      <c r="N6390" t="s">
        <v>43166</v>
      </c>
      <c r="O6390" t="s">
        <v>43167</v>
      </c>
      <c r="P6390">
        <v>0</v>
      </c>
      <c r="Q6390">
        <v>6</v>
      </c>
      <c r="R6390" t="s">
        <v>43172</v>
      </c>
      <c r="S6390" t="s">
        <v>43334</v>
      </c>
      <c r="T6390" t="s">
        <v>44943</v>
      </c>
      <c r="U6390" t="s">
        <v>48176</v>
      </c>
      <c r="W6390" t="s">
        <v>58626</v>
      </c>
      <c r="X6390" t="s">
        <v>43173</v>
      </c>
    </row>
    <row r="6391" spans="1:24">
      <c r="A6391">
        <f>HYPERLINK("https://www.philgeps.gov.ph/GEPSNONPILOT/Tender/SplashBidNoticeAbstractUI.aspx?menuIndex=3&amp;refID=7081517&amp;Result=3","7081517")</f>
        <v>0</v>
      </c>
      <c r="B6391" t="s">
        <v>1836</v>
      </c>
      <c r="C6391" t="s">
        <v>9505</v>
      </c>
      <c r="D6391" t="s">
        <v>17440</v>
      </c>
      <c r="E6391" t="s">
        <v>23016</v>
      </c>
      <c r="F6391" t="s">
        <v>30052</v>
      </c>
      <c r="G6391" t="s">
        <v>30058</v>
      </c>
      <c r="H6391" t="s">
        <v>30067</v>
      </c>
      <c r="I6391" t="s">
        <v>3693</v>
      </c>
      <c r="J6391" t="s">
        <v>34189</v>
      </c>
      <c r="K6391" t="s">
        <v>39023</v>
      </c>
      <c r="M6391" t="s">
        <v>41411</v>
      </c>
      <c r="N6391" t="s">
        <v>43166</v>
      </c>
      <c r="O6391" t="s">
        <v>43167</v>
      </c>
      <c r="P6391">
        <v>0</v>
      </c>
      <c r="Q6391">
        <v>0</v>
      </c>
      <c r="R6391" t="s">
        <v>43172</v>
      </c>
      <c r="S6391" t="s">
        <v>43334</v>
      </c>
      <c r="T6391" t="s">
        <v>45020</v>
      </c>
      <c r="U6391" t="s">
        <v>50383</v>
      </c>
      <c r="W6391" t="s">
        <v>41411</v>
      </c>
      <c r="X6391" t="s">
        <v>43173</v>
      </c>
    </row>
    <row r="6392" spans="1:24">
      <c r="A6392">
        <f>HYPERLINK("https://www.philgeps.gov.ph/GEPSNONPILOT/Tender/SplashBidNoticeAbstractUI.aspx?menuIndex=3&amp;refID=7081485&amp;Result=3","7081485")</f>
        <v>0</v>
      </c>
      <c r="B6392" t="s">
        <v>801</v>
      </c>
      <c r="C6392" t="s">
        <v>9506</v>
      </c>
      <c r="D6392" t="s">
        <v>17459</v>
      </c>
      <c r="E6392" t="s">
        <v>23017</v>
      </c>
      <c r="F6392" t="s">
        <v>30052</v>
      </c>
      <c r="G6392" t="s">
        <v>30058</v>
      </c>
      <c r="H6392" t="s">
        <v>30067</v>
      </c>
      <c r="I6392" t="s">
        <v>3693</v>
      </c>
      <c r="J6392" t="s">
        <v>34190</v>
      </c>
      <c r="K6392" t="s">
        <v>39046</v>
      </c>
      <c r="M6392" t="s">
        <v>40118</v>
      </c>
      <c r="N6392" t="s">
        <v>43166</v>
      </c>
      <c r="O6392" t="s">
        <v>43167</v>
      </c>
      <c r="P6392">
        <v>0</v>
      </c>
      <c r="Q6392">
        <v>1</v>
      </c>
      <c r="R6392" t="s">
        <v>43172</v>
      </c>
      <c r="S6392" t="s">
        <v>43334</v>
      </c>
      <c r="T6392" t="s">
        <v>44953</v>
      </c>
      <c r="U6392" t="s">
        <v>50384</v>
      </c>
      <c r="V6392" t="s">
        <v>57413</v>
      </c>
      <c r="W6392" t="s">
        <v>40118</v>
      </c>
      <c r="X6392" t="s">
        <v>43173</v>
      </c>
    </row>
    <row r="6393" spans="1:24">
      <c r="A6393">
        <f>HYPERLINK("https://www.philgeps.gov.ph/GEPSNONPILOT/Tender/SplashBidNoticeAbstractUI.aspx?menuIndex=3&amp;refID=7081481&amp;Result=3","7081481")</f>
        <v>0</v>
      </c>
      <c r="B6393" t="s">
        <v>439</v>
      </c>
      <c r="C6393" t="s">
        <v>9507</v>
      </c>
      <c r="D6393" t="s">
        <v>17415</v>
      </c>
      <c r="E6393" t="s">
        <v>23018</v>
      </c>
      <c r="F6393" t="s">
        <v>30052</v>
      </c>
      <c r="G6393" t="s">
        <v>30058</v>
      </c>
      <c r="H6393" t="s">
        <v>30069</v>
      </c>
      <c r="I6393" t="s">
        <v>30100</v>
      </c>
      <c r="J6393" t="s">
        <v>34191</v>
      </c>
      <c r="K6393" t="s">
        <v>39146</v>
      </c>
      <c r="M6393" t="s">
        <v>41519</v>
      </c>
      <c r="N6393" t="s">
        <v>43166</v>
      </c>
      <c r="O6393" t="s">
        <v>43167</v>
      </c>
      <c r="P6393">
        <v>0</v>
      </c>
      <c r="Q6393">
        <v>2</v>
      </c>
      <c r="R6393" t="s">
        <v>43172</v>
      </c>
      <c r="S6393" t="s">
        <v>43334</v>
      </c>
      <c r="T6393" t="s">
        <v>44684</v>
      </c>
      <c r="U6393" t="s">
        <v>50385</v>
      </c>
      <c r="V6393" t="s">
        <v>57500</v>
      </c>
      <c r="W6393" t="s">
        <v>41519</v>
      </c>
      <c r="X6393" t="s">
        <v>43173</v>
      </c>
    </row>
    <row r="6394" spans="1:24">
      <c r="A6394">
        <f>HYPERLINK("https://www.philgeps.gov.ph/GEPSNONPILOT/Tender/SplashBidNoticeAbstractUI.aspx?menuIndex=3&amp;refID=7081546&amp;Result=3","7081546")</f>
        <v>0</v>
      </c>
      <c r="B6394" t="s">
        <v>1172</v>
      </c>
      <c r="C6394" t="s">
        <v>9508</v>
      </c>
      <c r="D6394" t="s">
        <v>17466</v>
      </c>
      <c r="E6394" t="s">
        <v>23019</v>
      </c>
      <c r="F6394" t="s">
        <v>30052</v>
      </c>
      <c r="G6394" t="s">
        <v>30058</v>
      </c>
      <c r="H6394" t="s">
        <v>15498</v>
      </c>
      <c r="I6394" t="s">
        <v>30139</v>
      </c>
      <c r="J6394" t="s">
        <v>31271</v>
      </c>
      <c r="K6394" t="s">
        <v>39037</v>
      </c>
      <c r="M6394" t="s">
        <v>40520</v>
      </c>
      <c r="N6394" t="s">
        <v>43166</v>
      </c>
      <c r="O6394" t="s">
        <v>43167</v>
      </c>
      <c r="P6394">
        <v>0</v>
      </c>
      <c r="Q6394">
        <v>1</v>
      </c>
      <c r="R6394" t="s">
        <v>43172</v>
      </c>
      <c r="S6394" t="s">
        <v>43334</v>
      </c>
      <c r="T6394" t="s">
        <v>44943</v>
      </c>
      <c r="U6394" t="s">
        <v>48176</v>
      </c>
      <c r="W6394" t="s">
        <v>58626</v>
      </c>
      <c r="X6394" t="s">
        <v>43173</v>
      </c>
    </row>
    <row r="6395" spans="1:24">
      <c r="A6395">
        <f>HYPERLINK("https://www.philgeps.gov.ph/GEPSNONPILOT/Tender/SplashBidNoticeAbstractUI.aspx?menuIndex=3&amp;refID=7081523&amp;Result=3","7081523")</f>
        <v>0</v>
      </c>
      <c r="B6395" t="s">
        <v>2060</v>
      </c>
      <c r="C6395" t="s">
        <v>9509</v>
      </c>
      <c r="D6395" t="s">
        <v>17450</v>
      </c>
      <c r="E6395" t="s">
        <v>23020</v>
      </c>
      <c r="F6395" t="s">
        <v>30052</v>
      </c>
      <c r="G6395" t="s">
        <v>30059</v>
      </c>
      <c r="H6395" t="s">
        <v>15498</v>
      </c>
      <c r="I6395" t="s">
        <v>6691</v>
      </c>
      <c r="J6395" t="s">
        <v>34192</v>
      </c>
      <c r="K6395" t="s">
        <v>39035</v>
      </c>
      <c r="M6395" t="s">
        <v>41518</v>
      </c>
      <c r="N6395" t="s">
        <v>43166</v>
      </c>
      <c r="O6395" t="s">
        <v>43167</v>
      </c>
      <c r="P6395">
        <v>0</v>
      </c>
      <c r="Q6395">
        <v>0</v>
      </c>
      <c r="R6395" t="s">
        <v>43172</v>
      </c>
      <c r="S6395" t="s">
        <v>43334</v>
      </c>
      <c r="T6395" t="s">
        <v>44837</v>
      </c>
      <c r="U6395" t="s">
        <v>50386</v>
      </c>
      <c r="V6395" t="s">
        <v>57501</v>
      </c>
      <c r="W6395" t="s">
        <v>41518</v>
      </c>
      <c r="X6395" t="s">
        <v>43173</v>
      </c>
    </row>
    <row r="6396" spans="1:24">
      <c r="A6396">
        <f>HYPERLINK("https://www.philgeps.gov.ph/GEPSNONPILOT/Tender/SplashBidNoticeAbstractUI.aspx?menuIndex=3&amp;refID=7081479&amp;Result=3","7081479")</f>
        <v>0</v>
      </c>
      <c r="B6396" t="s">
        <v>138</v>
      </c>
      <c r="C6396" t="s">
        <v>9510</v>
      </c>
      <c r="D6396" t="s">
        <v>17422</v>
      </c>
      <c r="E6396" t="s">
        <v>23021</v>
      </c>
      <c r="F6396" t="s">
        <v>30052</v>
      </c>
      <c r="G6396" t="s">
        <v>30059</v>
      </c>
      <c r="H6396" t="s">
        <v>15498</v>
      </c>
      <c r="I6396" t="s">
        <v>30096</v>
      </c>
      <c r="J6396" t="s">
        <v>32780</v>
      </c>
      <c r="K6396" t="s">
        <v>39019</v>
      </c>
      <c r="M6396" t="s">
        <v>39427</v>
      </c>
      <c r="N6396" t="s">
        <v>43166</v>
      </c>
      <c r="O6396" t="s">
        <v>43167</v>
      </c>
      <c r="P6396">
        <v>0</v>
      </c>
      <c r="Q6396">
        <v>0</v>
      </c>
      <c r="R6396" t="s">
        <v>43172</v>
      </c>
      <c r="S6396" t="s">
        <v>43334</v>
      </c>
      <c r="T6396" t="s">
        <v>44678</v>
      </c>
      <c r="U6396" t="s">
        <v>50387</v>
      </c>
      <c r="W6396" t="s">
        <v>39427</v>
      </c>
      <c r="X6396" t="s">
        <v>43173</v>
      </c>
    </row>
    <row r="6397" spans="1:24">
      <c r="A6397">
        <f>HYPERLINK("https://www.philgeps.gov.ph/GEPSNONPILOT/Tender/SplashBidNoticeAbstractUI.aspx?menuIndex=3&amp;refID=7080947&amp;Result=3","7080947")</f>
        <v>0</v>
      </c>
      <c r="B6397" t="s">
        <v>1500</v>
      </c>
      <c r="C6397" t="s">
        <v>9511</v>
      </c>
      <c r="D6397" t="s">
        <v>17462</v>
      </c>
      <c r="E6397" t="s">
        <v>23022</v>
      </c>
      <c r="F6397" t="s">
        <v>30052</v>
      </c>
      <c r="G6397" t="s">
        <v>30061</v>
      </c>
      <c r="H6397" t="s">
        <v>15498</v>
      </c>
      <c r="I6397" t="s">
        <v>30171</v>
      </c>
      <c r="J6397" t="s">
        <v>34193</v>
      </c>
      <c r="K6397" t="s">
        <v>39017</v>
      </c>
      <c r="M6397" t="s">
        <v>40884</v>
      </c>
      <c r="N6397" t="s">
        <v>43166</v>
      </c>
      <c r="O6397" t="s">
        <v>43167</v>
      </c>
      <c r="P6397">
        <v>0</v>
      </c>
      <c r="Q6397">
        <v>0</v>
      </c>
      <c r="R6397" t="s">
        <v>43172</v>
      </c>
      <c r="S6397" t="s">
        <v>43334</v>
      </c>
      <c r="T6397" t="s">
        <v>44733</v>
      </c>
      <c r="U6397" t="s">
        <v>50388</v>
      </c>
      <c r="W6397" t="s">
        <v>40884</v>
      </c>
      <c r="X6397" t="s">
        <v>43173</v>
      </c>
    </row>
    <row r="6398" spans="1:24">
      <c r="A6398">
        <f>HYPERLINK("https://www.philgeps.gov.ph/GEPSNONPILOT/Tender/SplashBidNoticeAbstractUI.aspx?menuIndex=3&amp;refID=7081537&amp;Result=3","7081537")</f>
        <v>0</v>
      </c>
      <c r="B6398" t="s">
        <v>501</v>
      </c>
      <c r="C6398" t="s">
        <v>9512</v>
      </c>
      <c r="E6398" t="s">
        <v>23023</v>
      </c>
      <c r="F6398" t="s">
        <v>30052</v>
      </c>
      <c r="G6398" t="s">
        <v>30059</v>
      </c>
      <c r="H6398" t="s">
        <v>15498</v>
      </c>
      <c r="I6398" t="s">
        <v>4650</v>
      </c>
      <c r="J6398" t="s">
        <v>34194</v>
      </c>
      <c r="K6398" t="s">
        <v>39025</v>
      </c>
      <c r="M6398" t="s">
        <v>39802</v>
      </c>
      <c r="N6398" t="s">
        <v>43166</v>
      </c>
      <c r="O6398" t="s">
        <v>43167</v>
      </c>
      <c r="P6398">
        <v>0</v>
      </c>
      <c r="Q6398">
        <v>11</v>
      </c>
      <c r="R6398" t="s">
        <v>43172</v>
      </c>
      <c r="S6398" t="s">
        <v>43334</v>
      </c>
      <c r="T6398" t="s">
        <v>44826</v>
      </c>
      <c r="U6398" t="s">
        <v>50389</v>
      </c>
      <c r="V6398" t="s">
        <v>57495</v>
      </c>
      <c r="W6398" t="s">
        <v>39802</v>
      </c>
      <c r="X6398" t="s">
        <v>43173</v>
      </c>
    </row>
    <row r="6399" spans="1:24">
      <c r="A6399">
        <f>HYPERLINK("https://www.philgeps.gov.ph/GEPSNONPILOT/Tender/SplashBidNoticeAbstractUI.aspx?menuIndex=3&amp;refID=7081482&amp;Result=3","7081482")</f>
        <v>0</v>
      </c>
      <c r="B6399" t="s">
        <v>1042</v>
      </c>
      <c r="C6399" t="s">
        <v>9513</v>
      </c>
      <c r="D6399" t="s">
        <v>17441</v>
      </c>
      <c r="E6399" t="s">
        <v>9513</v>
      </c>
      <c r="F6399" t="s">
        <v>30052</v>
      </c>
      <c r="G6399" t="s">
        <v>30058</v>
      </c>
      <c r="H6399" t="s">
        <v>15498</v>
      </c>
      <c r="I6399" t="s">
        <v>3736</v>
      </c>
      <c r="J6399" t="s">
        <v>34195</v>
      </c>
      <c r="K6399" t="s">
        <v>39034</v>
      </c>
      <c r="M6399" t="s">
        <v>40375</v>
      </c>
      <c r="N6399" t="s">
        <v>43166</v>
      </c>
      <c r="O6399" t="s">
        <v>43167</v>
      </c>
      <c r="P6399">
        <v>0</v>
      </c>
      <c r="Q6399">
        <v>1</v>
      </c>
      <c r="R6399" t="s">
        <v>43172</v>
      </c>
      <c r="S6399" t="s">
        <v>43334</v>
      </c>
      <c r="T6399" t="s">
        <v>44713</v>
      </c>
      <c r="U6399" t="s">
        <v>50337</v>
      </c>
      <c r="W6399" t="s">
        <v>40375</v>
      </c>
      <c r="X6399" t="s">
        <v>43173</v>
      </c>
    </row>
    <row r="6400" spans="1:24">
      <c r="A6400">
        <f>HYPERLINK("https://www.philgeps.gov.ph/GEPSNONPILOT/Tender/SplashBidNoticeAbstractUI.aspx?menuIndex=3&amp;refID=7081577&amp;Result=3","7081577")</f>
        <v>0</v>
      </c>
      <c r="B6400" t="s">
        <v>2061</v>
      </c>
      <c r="C6400" t="s">
        <v>9514</v>
      </c>
      <c r="D6400" t="s">
        <v>17473</v>
      </c>
      <c r="E6400" t="s">
        <v>23024</v>
      </c>
      <c r="F6400" t="s">
        <v>30052</v>
      </c>
      <c r="G6400" t="s">
        <v>30058</v>
      </c>
      <c r="H6400" t="s">
        <v>30067</v>
      </c>
      <c r="I6400" t="s">
        <v>3693</v>
      </c>
      <c r="J6400" t="s">
        <v>30222</v>
      </c>
      <c r="K6400" t="s">
        <v>39104</v>
      </c>
      <c r="M6400" t="s">
        <v>41520</v>
      </c>
      <c r="N6400" t="s">
        <v>43166</v>
      </c>
      <c r="O6400" t="s">
        <v>43167</v>
      </c>
      <c r="P6400">
        <v>0</v>
      </c>
      <c r="Q6400">
        <v>2</v>
      </c>
      <c r="R6400" t="s">
        <v>43172</v>
      </c>
      <c r="S6400" t="s">
        <v>43334</v>
      </c>
      <c r="T6400" t="s">
        <v>44905</v>
      </c>
      <c r="U6400" t="s">
        <v>50390</v>
      </c>
      <c r="V6400" t="s">
        <v>57502</v>
      </c>
      <c r="W6400" t="s">
        <v>41520</v>
      </c>
      <c r="X6400" t="s">
        <v>43173</v>
      </c>
    </row>
    <row r="6401" spans="1:24">
      <c r="A6401">
        <f>HYPERLINK("https://www.philgeps.gov.ph/GEPSNONPILOT/Tender/SplashBidNoticeAbstractUI.aspx?menuIndex=3&amp;refID=7081573&amp;Result=3","7081573")</f>
        <v>0</v>
      </c>
      <c r="B6401" t="s">
        <v>2062</v>
      </c>
      <c r="C6401" t="s">
        <v>9515</v>
      </c>
      <c r="D6401" t="s">
        <v>17426</v>
      </c>
      <c r="E6401" t="s">
        <v>23025</v>
      </c>
      <c r="F6401" t="s">
        <v>30052</v>
      </c>
      <c r="G6401" t="s">
        <v>30059</v>
      </c>
      <c r="H6401" t="s">
        <v>30067</v>
      </c>
      <c r="I6401" t="s">
        <v>3693</v>
      </c>
      <c r="J6401" t="s">
        <v>34196</v>
      </c>
      <c r="K6401" t="s">
        <v>39031</v>
      </c>
      <c r="M6401" t="s">
        <v>41521</v>
      </c>
      <c r="N6401" t="s">
        <v>43166</v>
      </c>
      <c r="O6401" t="s">
        <v>43167</v>
      </c>
      <c r="Q6401">
        <v>1</v>
      </c>
      <c r="R6401" t="s">
        <v>43172</v>
      </c>
      <c r="S6401" t="s">
        <v>43367</v>
      </c>
      <c r="T6401" t="s">
        <v>44777</v>
      </c>
      <c r="U6401" t="s">
        <v>50391</v>
      </c>
      <c r="W6401" t="s">
        <v>41521</v>
      </c>
      <c r="X6401" t="s">
        <v>43173</v>
      </c>
    </row>
    <row r="6402" spans="1:24">
      <c r="A6402">
        <f>HYPERLINK("https://www.philgeps.gov.ph/GEPSNONPILOT/Tender/SplashBidNoticeAbstractUI.aspx?menuIndex=3&amp;refID=7081548&amp;Result=3","7081548")</f>
        <v>0</v>
      </c>
      <c r="B6402" t="s">
        <v>2063</v>
      </c>
      <c r="C6402" t="s">
        <v>9516</v>
      </c>
      <c r="D6402" t="s">
        <v>17425</v>
      </c>
      <c r="E6402" t="s">
        <v>17919</v>
      </c>
      <c r="F6402" t="s">
        <v>30055</v>
      </c>
      <c r="G6402" t="s">
        <v>30058</v>
      </c>
      <c r="H6402" t="s">
        <v>15498</v>
      </c>
      <c r="I6402" t="s">
        <v>3736</v>
      </c>
      <c r="J6402" t="s">
        <v>34197</v>
      </c>
      <c r="K6402" t="s">
        <v>39026</v>
      </c>
      <c r="M6402" t="s">
        <v>41522</v>
      </c>
      <c r="N6402" t="s">
        <v>43166</v>
      </c>
      <c r="O6402" t="s">
        <v>43167</v>
      </c>
      <c r="P6402">
        <v>0</v>
      </c>
      <c r="Q6402">
        <v>2</v>
      </c>
      <c r="R6402" t="s">
        <v>43172</v>
      </c>
      <c r="S6402" t="s">
        <v>43334</v>
      </c>
      <c r="T6402" t="s">
        <v>44703</v>
      </c>
      <c r="U6402" t="s">
        <v>50392</v>
      </c>
      <c r="W6402" t="s">
        <v>41522</v>
      </c>
      <c r="X6402" t="s">
        <v>43173</v>
      </c>
    </row>
    <row r="6403" spans="1:24">
      <c r="A6403">
        <f>HYPERLINK("https://www.philgeps.gov.ph/GEPSNONPILOT/Tender/SplashBidNoticeAbstractUI.aspx?menuIndex=3&amp;refID=7081572&amp;Result=3","7081572")</f>
        <v>0</v>
      </c>
      <c r="B6403" t="s">
        <v>2064</v>
      </c>
      <c r="C6403" t="s">
        <v>9517</v>
      </c>
      <c r="D6403" t="s">
        <v>17465</v>
      </c>
      <c r="E6403" t="s">
        <v>23026</v>
      </c>
      <c r="F6403" t="s">
        <v>30052</v>
      </c>
      <c r="G6403" t="s">
        <v>30062</v>
      </c>
      <c r="H6403" t="s">
        <v>15498</v>
      </c>
      <c r="I6403" t="s">
        <v>30081</v>
      </c>
      <c r="J6403" t="s">
        <v>34198</v>
      </c>
      <c r="K6403" t="s">
        <v>39017</v>
      </c>
      <c r="M6403" t="s">
        <v>41523</v>
      </c>
      <c r="N6403" t="s">
        <v>43166</v>
      </c>
      <c r="O6403" t="s">
        <v>43167</v>
      </c>
      <c r="P6403">
        <v>0</v>
      </c>
      <c r="Q6403">
        <v>0</v>
      </c>
      <c r="R6403" t="s">
        <v>43172</v>
      </c>
      <c r="S6403" t="s">
        <v>43334</v>
      </c>
      <c r="T6403" t="s">
        <v>44708</v>
      </c>
      <c r="U6403" t="s">
        <v>50393</v>
      </c>
      <c r="W6403" t="s">
        <v>41523</v>
      </c>
      <c r="X6403" t="s">
        <v>43173</v>
      </c>
    </row>
    <row r="6404" spans="1:24">
      <c r="A6404">
        <f>HYPERLINK("https://www.philgeps.gov.ph/GEPSNONPILOT/Tender/SplashBidNoticeAbstractUI.aspx?menuIndex=3&amp;refID=7081576&amp;Result=3","7081576")</f>
        <v>0</v>
      </c>
      <c r="B6404" t="s">
        <v>1608</v>
      </c>
      <c r="C6404" t="s">
        <v>9518</v>
      </c>
      <c r="D6404" t="s">
        <v>17415</v>
      </c>
      <c r="E6404" t="s">
        <v>23027</v>
      </c>
      <c r="F6404" t="s">
        <v>30052</v>
      </c>
      <c r="G6404" t="s">
        <v>30058</v>
      </c>
      <c r="H6404" t="s">
        <v>15498</v>
      </c>
      <c r="I6404" t="s">
        <v>30070</v>
      </c>
      <c r="J6404" t="s">
        <v>34199</v>
      </c>
      <c r="K6404" t="s">
        <v>39019</v>
      </c>
      <c r="M6404" t="s">
        <v>41506</v>
      </c>
      <c r="N6404" t="s">
        <v>43166</v>
      </c>
      <c r="O6404" t="s">
        <v>43167</v>
      </c>
      <c r="P6404">
        <v>0</v>
      </c>
      <c r="Q6404">
        <v>1</v>
      </c>
      <c r="R6404" t="s">
        <v>43172</v>
      </c>
      <c r="S6404" t="s">
        <v>43334</v>
      </c>
      <c r="T6404" t="s">
        <v>44796</v>
      </c>
      <c r="U6404" t="s">
        <v>45217</v>
      </c>
      <c r="W6404" t="s">
        <v>41506</v>
      </c>
      <c r="X6404" t="s">
        <v>43173</v>
      </c>
    </row>
    <row r="6405" spans="1:24">
      <c r="A6405">
        <f>HYPERLINK("https://www.philgeps.gov.ph/GEPSNONPILOT/Tender/SplashBidNoticeAbstractUI.aspx?menuIndex=3&amp;refID=7081571&amp;Result=3","7081571")</f>
        <v>0</v>
      </c>
      <c r="B6405" t="s">
        <v>1608</v>
      </c>
      <c r="C6405" t="s">
        <v>9519</v>
      </c>
      <c r="D6405" t="s">
        <v>17415</v>
      </c>
      <c r="E6405" t="s">
        <v>23028</v>
      </c>
      <c r="F6405" t="s">
        <v>30052</v>
      </c>
      <c r="G6405" t="s">
        <v>30058</v>
      </c>
      <c r="H6405" t="s">
        <v>15498</v>
      </c>
      <c r="I6405" t="s">
        <v>30070</v>
      </c>
      <c r="J6405" t="s">
        <v>34200</v>
      </c>
      <c r="K6405" t="s">
        <v>39019</v>
      </c>
      <c r="M6405" t="s">
        <v>41506</v>
      </c>
      <c r="N6405" t="s">
        <v>43166</v>
      </c>
      <c r="O6405" t="s">
        <v>43167</v>
      </c>
      <c r="P6405">
        <v>0</v>
      </c>
      <c r="Q6405">
        <v>0</v>
      </c>
      <c r="R6405" t="s">
        <v>43172</v>
      </c>
      <c r="S6405" t="s">
        <v>43334</v>
      </c>
      <c r="T6405" t="s">
        <v>44796</v>
      </c>
      <c r="U6405" t="s">
        <v>45217</v>
      </c>
      <c r="W6405" t="s">
        <v>41506</v>
      </c>
      <c r="X6405" t="s">
        <v>43173</v>
      </c>
    </row>
    <row r="6406" spans="1:24">
      <c r="A6406">
        <f>HYPERLINK("https://www.philgeps.gov.ph/GEPSNONPILOT/Tender/SplashBidNoticeAbstractUI.aspx?menuIndex=3&amp;refID=7081570&amp;Result=3","7081570")</f>
        <v>0</v>
      </c>
      <c r="B6406" t="s">
        <v>1504</v>
      </c>
      <c r="C6406" t="s">
        <v>9520</v>
      </c>
      <c r="D6406" t="s">
        <v>17415</v>
      </c>
      <c r="E6406" t="s">
        <v>23029</v>
      </c>
      <c r="F6406" t="s">
        <v>30052</v>
      </c>
      <c r="G6406" t="s">
        <v>30062</v>
      </c>
      <c r="H6406" t="s">
        <v>15498</v>
      </c>
      <c r="I6406" t="s">
        <v>4119</v>
      </c>
      <c r="J6406" t="s">
        <v>34201</v>
      </c>
      <c r="K6406" t="s">
        <v>39034</v>
      </c>
      <c r="M6406" t="s">
        <v>41524</v>
      </c>
      <c r="N6406" t="s">
        <v>43166</v>
      </c>
      <c r="O6406" t="s">
        <v>43167</v>
      </c>
      <c r="P6406">
        <v>0</v>
      </c>
      <c r="Q6406">
        <v>11</v>
      </c>
      <c r="R6406" t="s">
        <v>43172</v>
      </c>
      <c r="S6406" t="s">
        <v>43334</v>
      </c>
      <c r="T6406" t="s">
        <v>44696</v>
      </c>
      <c r="U6406" t="s">
        <v>50394</v>
      </c>
      <c r="W6406" t="s">
        <v>41524</v>
      </c>
      <c r="X6406" t="s">
        <v>43173</v>
      </c>
    </row>
    <row r="6407" spans="1:24">
      <c r="A6407">
        <f>HYPERLINK("https://www.philgeps.gov.ph/GEPSNONPILOT/Tender/SplashBidNoticeAbstractUI.aspx?menuIndex=3&amp;refID=7081566&amp;Result=3","7081566")</f>
        <v>0</v>
      </c>
      <c r="B6407" t="s">
        <v>1994</v>
      </c>
      <c r="C6407" t="s">
        <v>9521</v>
      </c>
      <c r="D6407" t="s">
        <v>17467</v>
      </c>
      <c r="E6407" t="s">
        <v>23030</v>
      </c>
      <c r="F6407" t="s">
        <v>30052</v>
      </c>
      <c r="G6407" t="s">
        <v>30061</v>
      </c>
      <c r="H6407" t="s">
        <v>30067</v>
      </c>
      <c r="I6407" t="s">
        <v>3693</v>
      </c>
      <c r="J6407" t="s">
        <v>34202</v>
      </c>
      <c r="K6407" t="s">
        <v>39017</v>
      </c>
      <c r="M6407" t="s">
        <v>41437</v>
      </c>
      <c r="N6407" t="s">
        <v>43166</v>
      </c>
      <c r="O6407" t="s">
        <v>43167</v>
      </c>
      <c r="P6407">
        <v>0</v>
      </c>
      <c r="Q6407">
        <v>0</v>
      </c>
      <c r="R6407" t="s">
        <v>43172</v>
      </c>
      <c r="S6407" t="s">
        <v>43334</v>
      </c>
      <c r="T6407" t="s">
        <v>44708</v>
      </c>
      <c r="U6407" t="s">
        <v>50395</v>
      </c>
      <c r="V6407" t="s">
        <v>57503</v>
      </c>
      <c r="W6407" t="s">
        <v>41437</v>
      </c>
      <c r="X6407" t="s">
        <v>43173</v>
      </c>
    </row>
    <row r="6408" spans="1:24">
      <c r="A6408">
        <f>HYPERLINK("https://www.philgeps.gov.ph/GEPSNONPILOT/Tender/SplashBidNoticeAbstractUI.aspx?menuIndex=3&amp;refID=7081480&amp;Result=3","7081480")</f>
        <v>0</v>
      </c>
      <c r="B6408" t="s">
        <v>1172</v>
      </c>
      <c r="C6408" t="s">
        <v>9522</v>
      </c>
      <c r="D6408" t="s">
        <v>17466</v>
      </c>
      <c r="E6408" t="s">
        <v>23031</v>
      </c>
      <c r="F6408" t="s">
        <v>30052</v>
      </c>
      <c r="G6408" t="s">
        <v>30058</v>
      </c>
      <c r="H6408" t="s">
        <v>15498</v>
      </c>
      <c r="I6408" t="s">
        <v>30094</v>
      </c>
      <c r="J6408" t="s">
        <v>34203</v>
      </c>
      <c r="K6408" t="s">
        <v>39037</v>
      </c>
      <c r="M6408" t="s">
        <v>40520</v>
      </c>
      <c r="N6408" t="s">
        <v>43166</v>
      </c>
      <c r="O6408" t="s">
        <v>43167</v>
      </c>
      <c r="P6408">
        <v>0</v>
      </c>
      <c r="Q6408">
        <v>0</v>
      </c>
      <c r="R6408" t="s">
        <v>43172</v>
      </c>
      <c r="S6408" t="s">
        <v>43334</v>
      </c>
      <c r="T6408" t="s">
        <v>44943</v>
      </c>
      <c r="U6408" t="s">
        <v>48176</v>
      </c>
      <c r="W6408" t="s">
        <v>58626</v>
      </c>
      <c r="X6408" t="s">
        <v>43173</v>
      </c>
    </row>
    <row r="6409" spans="1:24">
      <c r="A6409">
        <f>HYPERLINK("https://www.philgeps.gov.ph/GEPSNONPILOT/Tender/SplashBidNoticeAbstractUI.aspx?menuIndex=3&amp;refID=7081575&amp;Result=3","7081575")</f>
        <v>0</v>
      </c>
      <c r="B6409" t="s">
        <v>1172</v>
      </c>
      <c r="C6409" t="s">
        <v>9523</v>
      </c>
      <c r="D6409" t="s">
        <v>17466</v>
      </c>
      <c r="E6409" t="s">
        <v>23032</v>
      </c>
      <c r="F6409" t="s">
        <v>30052</v>
      </c>
      <c r="G6409" t="s">
        <v>30058</v>
      </c>
      <c r="H6409" t="s">
        <v>15498</v>
      </c>
      <c r="I6409" t="s">
        <v>30087</v>
      </c>
      <c r="J6409" t="s">
        <v>30252</v>
      </c>
      <c r="K6409" t="s">
        <v>39037</v>
      </c>
      <c r="M6409" t="s">
        <v>40520</v>
      </c>
      <c r="N6409" t="s">
        <v>43166</v>
      </c>
      <c r="O6409" t="s">
        <v>43167</v>
      </c>
      <c r="P6409">
        <v>0</v>
      </c>
      <c r="Q6409">
        <v>1</v>
      </c>
      <c r="R6409" t="s">
        <v>43172</v>
      </c>
      <c r="S6409" t="s">
        <v>43334</v>
      </c>
      <c r="T6409" t="s">
        <v>44943</v>
      </c>
      <c r="U6409" t="s">
        <v>48176</v>
      </c>
      <c r="W6409" t="s">
        <v>58626</v>
      </c>
      <c r="X6409" t="s">
        <v>43173</v>
      </c>
    </row>
    <row r="6410" spans="1:24">
      <c r="A6410">
        <f>HYPERLINK("https://www.philgeps.gov.ph/GEPSNONPILOT/Tender/SplashBidNoticeAbstractUI.aspx?menuIndex=3&amp;refID=7081560&amp;Result=3","7081560")</f>
        <v>0</v>
      </c>
      <c r="B6410" t="s">
        <v>2051</v>
      </c>
      <c r="C6410" t="s">
        <v>9524</v>
      </c>
      <c r="E6410" t="s">
        <v>22957</v>
      </c>
      <c r="F6410" t="s">
        <v>30052</v>
      </c>
      <c r="G6410" t="s">
        <v>30058</v>
      </c>
      <c r="H6410" t="s">
        <v>15498</v>
      </c>
      <c r="I6410" t="s">
        <v>30073</v>
      </c>
      <c r="J6410" t="s">
        <v>34204</v>
      </c>
      <c r="K6410" t="s">
        <v>39125</v>
      </c>
      <c r="M6410" t="s">
        <v>41505</v>
      </c>
      <c r="N6410" t="s">
        <v>43166</v>
      </c>
      <c r="O6410" t="s">
        <v>43167</v>
      </c>
      <c r="P6410">
        <v>0</v>
      </c>
      <c r="Q6410">
        <v>2</v>
      </c>
      <c r="R6410" t="s">
        <v>43172</v>
      </c>
      <c r="S6410" t="s">
        <v>43334</v>
      </c>
      <c r="T6410" t="s">
        <v>44842</v>
      </c>
      <c r="U6410" t="s">
        <v>50396</v>
      </c>
      <c r="W6410" t="s">
        <v>41505</v>
      </c>
      <c r="X6410" t="s">
        <v>43173</v>
      </c>
    </row>
    <row r="6411" spans="1:24">
      <c r="A6411">
        <f>HYPERLINK("https://www.philgeps.gov.ph/GEPSNONPILOT/Tender/SplashBidNoticeAbstractUI.aspx?menuIndex=3&amp;refID=7081559&amp;Result=3","7081559")</f>
        <v>0</v>
      </c>
      <c r="B6411" t="s">
        <v>1836</v>
      </c>
      <c r="C6411" t="s">
        <v>9525</v>
      </c>
      <c r="D6411" t="s">
        <v>17440</v>
      </c>
      <c r="E6411" t="s">
        <v>23033</v>
      </c>
      <c r="F6411" t="s">
        <v>30052</v>
      </c>
      <c r="G6411" t="s">
        <v>30058</v>
      </c>
      <c r="H6411" t="s">
        <v>30067</v>
      </c>
      <c r="I6411" t="s">
        <v>3693</v>
      </c>
      <c r="J6411" t="s">
        <v>34205</v>
      </c>
      <c r="K6411" t="s">
        <v>39023</v>
      </c>
      <c r="M6411" t="s">
        <v>41411</v>
      </c>
      <c r="N6411" t="s">
        <v>43166</v>
      </c>
      <c r="O6411" t="s">
        <v>43167</v>
      </c>
      <c r="P6411">
        <v>0</v>
      </c>
      <c r="Q6411">
        <v>1</v>
      </c>
      <c r="R6411" t="s">
        <v>43172</v>
      </c>
      <c r="S6411" t="s">
        <v>43334</v>
      </c>
      <c r="T6411" t="s">
        <v>45020</v>
      </c>
      <c r="U6411" t="s">
        <v>50397</v>
      </c>
      <c r="W6411" t="s">
        <v>41411</v>
      </c>
      <c r="X6411" t="s">
        <v>43173</v>
      </c>
    </row>
    <row r="6412" spans="1:24">
      <c r="A6412">
        <f>HYPERLINK("https://www.philgeps.gov.ph/GEPSNONPILOT/Tender/SplashBidNoticeAbstractUI.aspx?menuIndex=3&amp;refID=7081613&amp;Result=3","7081613")</f>
        <v>0</v>
      </c>
      <c r="B6412" t="s">
        <v>498</v>
      </c>
      <c r="C6412" t="s">
        <v>9526</v>
      </c>
      <c r="D6412" t="s">
        <v>17431</v>
      </c>
      <c r="E6412" t="s">
        <v>23034</v>
      </c>
      <c r="F6412" t="s">
        <v>30052</v>
      </c>
      <c r="G6412" t="s">
        <v>30063</v>
      </c>
      <c r="H6412" t="s">
        <v>30067</v>
      </c>
      <c r="I6412" t="s">
        <v>3693</v>
      </c>
      <c r="J6412" t="s">
        <v>34206</v>
      </c>
      <c r="K6412" t="s">
        <v>39026</v>
      </c>
      <c r="M6412" t="s">
        <v>39799</v>
      </c>
      <c r="N6412" t="s">
        <v>43166</v>
      </c>
      <c r="O6412" t="s">
        <v>43167</v>
      </c>
      <c r="P6412">
        <v>0</v>
      </c>
      <c r="Q6412">
        <v>1</v>
      </c>
      <c r="R6412" t="s">
        <v>43172</v>
      </c>
      <c r="S6412" t="s">
        <v>43334</v>
      </c>
      <c r="T6412" t="s">
        <v>44842</v>
      </c>
      <c r="U6412" t="s">
        <v>50398</v>
      </c>
      <c r="W6412" t="s">
        <v>39799</v>
      </c>
      <c r="X6412" t="s">
        <v>43173</v>
      </c>
    </row>
    <row r="6413" spans="1:24">
      <c r="A6413">
        <f>HYPERLINK("https://www.philgeps.gov.ph/GEPSNONPILOT/Tender/SplashBidNoticeAbstractUI.aspx?menuIndex=3&amp;refID=7081618&amp;Result=3","7081618")</f>
        <v>0</v>
      </c>
      <c r="B6413" t="s">
        <v>1622</v>
      </c>
      <c r="C6413" t="s">
        <v>9527</v>
      </c>
      <c r="D6413" t="s">
        <v>17415</v>
      </c>
      <c r="E6413" t="s">
        <v>23035</v>
      </c>
      <c r="F6413" t="s">
        <v>30052</v>
      </c>
      <c r="G6413" t="s">
        <v>30059</v>
      </c>
      <c r="H6413" t="s">
        <v>15498</v>
      </c>
      <c r="I6413" t="s">
        <v>9238</v>
      </c>
      <c r="J6413" t="s">
        <v>34207</v>
      </c>
      <c r="K6413" t="s">
        <v>39025</v>
      </c>
      <c r="M6413" t="s">
        <v>41022</v>
      </c>
      <c r="N6413" t="s">
        <v>43166</v>
      </c>
      <c r="O6413" t="s">
        <v>43167</v>
      </c>
      <c r="P6413">
        <v>0</v>
      </c>
      <c r="Q6413">
        <v>11</v>
      </c>
      <c r="R6413" t="s">
        <v>43172</v>
      </c>
      <c r="S6413" t="s">
        <v>43334</v>
      </c>
      <c r="T6413" t="s">
        <v>44717</v>
      </c>
      <c r="U6413" t="s">
        <v>50399</v>
      </c>
      <c r="W6413" t="s">
        <v>41022</v>
      </c>
      <c r="X6413" t="s">
        <v>43173</v>
      </c>
    </row>
    <row r="6414" spans="1:24">
      <c r="A6414">
        <f>HYPERLINK("https://www.philgeps.gov.ph/GEPSNONPILOT/Tender/SplashBidNoticeAbstractUI.aspx?menuIndex=3&amp;refID=7081578&amp;Result=3","7081578")</f>
        <v>0</v>
      </c>
      <c r="B6414" t="s">
        <v>2065</v>
      </c>
      <c r="C6414" t="s">
        <v>9528</v>
      </c>
      <c r="D6414" t="s">
        <v>17422</v>
      </c>
      <c r="E6414" t="s">
        <v>23036</v>
      </c>
      <c r="F6414" t="s">
        <v>30052</v>
      </c>
      <c r="G6414" t="s">
        <v>30058</v>
      </c>
      <c r="H6414" t="s">
        <v>15498</v>
      </c>
      <c r="I6414" t="s">
        <v>4119</v>
      </c>
      <c r="J6414" t="s">
        <v>31361</v>
      </c>
      <c r="K6414" t="s">
        <v>39034</v>
      </c>
      <c r="M6414" t="s">
        <v>41525</v>
      </c>
      <c r="N6414" t="s">
        <v>43166</v>
      </c>
      <c r="O6414" t="s">
        <v>43167</v>
      </c>
      <c r="P6414">
        <v>0</v>
      </c>
      <c r="Q6414">
        <v>4</v>
      </c>
      <c r="R6414" t="s">
        <v>43172</v>
      </c>
      <c r="S6414" t="s">
        <v>43334</v>
      </c>
      <c r="T6414" t="s">
        <v>44698</v>
      </c>
      <c r="U6414" t="s">
        <v>50400</v>
      </c>
      <c r="V6414" t="s">
        <v>57504</v>
      </c>
      <c r="W6414" t="s">
        <v>41525</v>
      </c>
      <c r="X6414" t="s">
        <v>43173</v>
      </c>
    </row>
    <row r="6415" spans="1:24">
      <c r="A6415">
        <f>HYPERLINK("https://www.philgeps.gov.ph/GEPSNONPILOT/Tender/SplashBidNoticeAbstractUI.aspx?menuIndex=3&amp;refID=7081616&amp;Result=3","7081616")</f>
        <v>0</v>
      </c>
      <c r="B6415" t="s">
        <v>498</v>
      </c>
      <c r="C6415" t="s">
        <v>9529</v>
      </c>
      <c r="D6415" t="s">
        <v>17431</v>
      </c>
      <c r="E6415" t="s">
        <v>23037</v>
      </c>
      <c r="F6415" t="s">
        <v>30052</v>
      </c>
      <c r="G6415" t="s">
        <v>30063</v>
      </c>
      <c r="H6415" t="s">
        <v>30067</v>
      </c>
      <c r="I6415" t="s">
        <v>3693</v>
      </c>
      <c r="J6415" t="s">
        <v>34208</v>
      </c>
      <c r="K6415" t="s">
        <v>39026</v>
      </c>
      <c r="M6415" t="s">
        <v>39799</v>
      </c>
      <c r="N6415" t="s">
        <v>43166</v>
      </c>
      <c r="O6415" t="s">
        <v>43167</v>
      </c>
      <c r="P6415">
        <v>0</v>
      </c>
      <c r="Q6415">
        <v>1</v>
      </c>
      <c r="R6415" t="s">
        <v>43172</v>
      </c>
      <c r="S6415" t="s">
        <v>43334</v>
      </c>
      <c r="T6415" t="s">
        <v>44842</v>
      </c>
      <c r="U6415" t="s">
        <v>50401</v>
      </c>
      <c r="W6415" t="s">
        <v>39799</v>
      </c>
      <c r="X6415" t="s">
        <v>43173</v>
      </c>
    </row>
    <row r="6416" spans="1:24">
      <c r="A6416">
        <f>HYPERLINK("https://www.philgeps.gov.ph/GEPSNONPILOT/Tender/SplashBidNoticeAbstractUI.aspx?menuIndex=3&amp;refID=7081611&amp;Result=3","7081611")</f>
        <v>0</v>
      </c>
      <c r="B6416" t="s">
        <v>1622</v>
      </c>
      <c r="C6416" t="s">
        <v>9530</v>
      </c>
      <c r="D6416" t="s">
        <v>17415</v>
      </c>
      <c r="E6416" t="s">
        <v>23038</v>
      </c>
      <c r="F6416" t="s">
        <v>30052</v>
      </c>
      <c r="G6416" t="s">
        <v>30059</v>
      </c>
      <c r="H6416" t="s">
        <v>30069</v>
      </c>
      <c r="I6416" t="s">
        <v>6691</v>
      </c>
      <c r="J6416" t="s">
        <v>30209</v>
      </c>
      <c r="K6416" t="s">
        <v>39035</v>
      </c>
      <c r="M6416" t="s">
        <v>41022</v>
      </c>
      <c r="N6416" t="s">
        <v>43166</v>
      </c>
      <c r="O6416" t="s">
        <v>43167</v>
      </c>
      <c r="P6416">
        <v>0</v>
      </c>
      <c r="Q6416">
        <v>3</v>
      </c>
      <c r="R6416" t="s">
        <v>43172</v>
      </c>
      <c r="S6416" t="s">
        <v>43334</v>
      </c>
      <c r="T6416" t="s">
        <v>44717</v>
      </c>
      <c r="U6416" t="s">
        <v>50399</v>
      </c>
      <c r="W6416" t="s">
        <v>41022</v>
      </c>
      <c r="X6416" t="s">
        <v>43173</v>
      </c>
    </row>
    <row r="6417" spans="1:24">
      <c r="A6417">
        <f>HYPERLINK("https://www.philgeps.gov.ph/GEPSNONPILOT/Tender/SplashBidNoticeAbstractUI.aspx?menuIndex=3&amp;refID=7081567&amp;Result=3","7081567")</f>
        <v>0</v>
      </c>
      <c r="B6417" t="s">
        <v>1608</v>
      </c>
      <c r="C6417" t="s">
        <v>9531</v>
      </c>
      <c r="D6417" t="s">
        <v>17415</v>
      </c>
      <c r="E6417" t="s">
        <v>23039</v>
      </c>
      <c r="F6417" t="s">
        <v>30052</v>
      </c>
      <c r="G6417" t="s">
        <v>30058</v>
      </c>
      <c r="H6417" t="s">
        <v>15498</v>
      </c>
      <c r="I6417" t="s">
        <v>3852</v>
      </c>
      <c r="J6417" t="s">
        <v>34209</v>
      </c>
      <c r="K6417" t="s">
        <v>39019</v>
      </c>
      <c r="M6417" t="s">
        <v>41506</v>
      </c>
      <c r="N6417" t="s">
        <v>43166</v>
      </c>
      <c r="O6417" t="s">
        <v>43167</v>
      </c>
      <c r="P6417">
        <v>0</v>
      </c>
      <c r="Q6417">
        <v>0</v>
      </c>
      <c r="R6417" t="s">
        <v>43172</v>
      </c>
      <c r="S6417" t="s">
        <v>43334</v>
      </c>
      <c r="T6417" t="s">
        <v>44796</v>
      </c>
      <c r="U6417" t="s">
        <v>48908</v>
      </c>
      <c r="W6417" t="s">
        <v>41506</v>
      </c>
      <c r="X6417" t="s">
        <v>43173</v>
      </c>
    </row>
    <row r="6418" spans="1:24">
      <c r="A6418">
        <f>HYPERLINK("https://www.philgeps.gov.ph/GEPSNONPILOT/Tender/SplashBidNoticeAbstractUI.aspx?menuIndex=3&amp;refID=7081602&amp;Result=3","7081602")</f>
        <v>0</v>
      </c>
      <c r="B6418" t="s">
        <v>2066</v>
      </c>
      <c r="C6418" t="s">
        <v>9532</v>
      </c>
      <c r="D6418" t="s">
        <v>17444</v>
      </c>
      <c r="E6418" t="s">
        <v>23040</v>
      </c>
      <c r="F6418" t="s">
        <v>30052</v>
      </c>
      <c r="G6418" t="s">
        <v>30058</v>
      </c>
      <c r="H6418" t="s">
        <v>30067</v>
      </c>
      <c r="I6418" t="s">
        <v>3693</v>
      </c>
      <c r="J6418" t="s">
        <v>34210</v>
      </c>
      <c r="K6418" t="s">
        <v>39053</v>
      </c>
      <c r="M6418" t="s">
        <v>41526</v>
      </c>
      <c r="N6418" t="s">
        <v>43166</v>
      </c>
      <c r="O6418" t="s">
        <v>43167</v>
      </c>
      <c r="P6418">
        <v>0</v>
      </c>
      <c r="Q6418">
        <v>0</v>
      </c>
      <c r="R6418" t="s">
        <v>43172</v>
      </c>
      <c r="S6418" t="s">
        <v>43334</v>
      </c>
      <c r="T6418" t="s">
        <v>44698</v>
      </c>
      <c r="U6418" t="s">
        <v>50402</v>
      </c>
      <c r="W6418" t="s">
        <v>41526</v>
      </c>
      <c r="X6418" t="s">
        <v>43173</v>
      </c>
    </row>
    <row r="6419" spans="1:24">
      <c r="A6419">
        <f>HYPERLINK("https://www.philgeps.gov.ph/GEPSNONPILOT/Tender/SplashBidNoticeAbstractUI.aspx?menuIndex=3&amp;refID=7081493&amp;Result=3","7081493")</f>
        <v>0</v>
      </c>
      <c r="B6419" t="s">
        <v>2052</v>
      </c>
      <c r="C6419" t="s">
        <v>9533</v>
      </c>
      <c r="D6419" t="s">
        <v>17459</v>
      </c>
      <c r="E6419" t="s">
        <v>23041</v>
      </c>
      <c r="F6419" t="s">
        <v>30052</v>
      </c>
      <c r="G6419" t="s">
        <v>30059</v>
      </c>
      <c r="H6419" t="s">
        <v>15498</v>
      </c>
      <c r="I6419" t="s">
        <v>30109</v>
      </c>
      <c r="J6419" t="s">
        <v>30330</v>
      </c>
      <c r="K6419" t="s">
        <v>39017</v>
      </c>
      <c r="M6419" t="s">
        <v>41507</v>
      </c>
      <c r="N6419" t="s">
        <v>43166</v>
      </c>
      <c r="O6419" t="s">
        <v>43167</v>
      </c>
      <c r="P6419">
        <v>0</v>
      </c>
      <c r="Q6419">
        <v>1</v>
      </c>
      <c r="R6419" t="s">
        <v>43172</v>
      </c>
      <c r="S6419" t="s">
        <v>43334</v>
      </c>
      <c r="T6419" t="s">
        <v>44806</v>
      </c>
      <c r="U6419" t="s">
        <v>50403</v>
      </c>
      <c r="W6419" t="s">
        <v>41507</v>
      </c>
      <c r="X6419" t="s">
        <v>43173</v>
      </c>
    </row>
    <row r="6420" spans="1:24">
      <c r="A6420">
        <f>HYPERLINK("https://www.philgeps.gov.ph/GEPSNONPILOT/Tender/SplashBidNoticeAbstractUI.aspx?menuIndex=3&amp;refID=7081594&amp;Result=3","7081594")</f>
        <v>0</v>
      </c>
      <c r="B6420" t="s">
        <v>1608</v>
      </c>
      <c r="C6420" t="s">
        <v>9534</v>
      </c>
      <c r="D6420" t="s">
        <v>17415</v>
      </c>
      <c r="E6420" t="s">
        <v>23042</v>
      </c>
      <c r="F6420" t="s">
        <v>30052</v>
      </c>
      <c r="G6420" t="s">
        <v>30058</v>
      </c>
      <c r="H6420" t="s">
        <v>15498</v>
      </c>
      <c r="I6420" t="s">
        <v>30115</v>
      </c>
      <c r="J6420" t="s">
        <v>30222</v>
      </c>
      <c r="K6420" t="s">
        <v>39019</v>
      </c>
      <c r="M6420" t="s">
        <v>41506</v>
      </c>
      <c r="N6420" t="s">
        <v>43166</v>
      </c>
      <c r="O6420" t="s">
        <v>43167</v>
      </c>
      <c r="P6420">
        <v>0</v>
      </c>
      <c r="Q6420">
        <v>5</v>
      </c>
      <c r="R6420" t="s">
        <v>43172</v>
      </c>
      <c r="S6420" t="s">
        <v>43334</v>
      </c>
      <c r="T6420" t="s">
        <v>44796</v>
      </c>
      <c r="U6420" t="s">
        <v>50404</v>
      </c>
      <c r="W6420" t="s">
        <v>41506</v>
      </c>
      <c r="X6420" t="s">
        <v>43173</v>
      </c>
    </row>
    <row r="6421" spans="1:24">
      <c r="A6421">
        <f>HYPERLINK("https://www.philgeps.gov.ph/GEPSNONPILOT/Tender/SplashBidNoticeAbstractUI.aspx?menuIndex=3&amp;refID=7081591&amp;Result=3","7081591")</f>
        <v>0</v>
      </c>
      <c r="B6421" t="s">
        <v>1608</v>
      </c>
      <c r="C6421" t="s">
        <v>9535</v>
      </c>
      <c r="D6421" t="s">
        <v>17415</v>
      </c>
      <c r="E6421" t="s">
        <v>23043</v>
      </c>
      <c r="F6421" t="s">
        <v>30052</v>
      </c>
      <c r="G6421" t="s">
        <v>30058</v>
      </c>
      <c r="H6421" t="s">
        <v>15498</v>
      </c>
      <c r="I6421" t="s">
        <v>3852</v>
      </c>
      <c r="J6421" t="s">
        <v>34211</v>
      </c>
      <c r="K6421" t="s">
        <v>39019</v>
      </c>
      <c r="M6421" t="s">
        <v>41506</v>
      </c>
      <c r="N6421" t="s">
        <v>43166</v>
      </c>
      <c r="O6421" t="s">
        <v>43167</v>
      </c>
      <c r="P6421">
        <v>0</v>
      </c>
      <c r="Q6421">
        <v>0</v>
      </c>
      <c r="R6421" t="s">
        <v>43172</v>
      </c>
      <c r="S6421" t="s">
        <v>43334</v>
      </c>
      <c r="T6421" t="s">
        <v>44796</v>
      </c>
      <c r="U6421" t="s">
        <v>48908</v>
      </c>
      <c r="W6421" t="s">
        <v>41506</v>
      </c>
      <c r="X6421" t="s">
        <v>43173</v>
      </c>
    </row>
    <row r="6422" spans="1:24">
      <c r="A6422">
        <f>HYPERLINK("https://www.philgeps.gov.ph/GEPSNONPILOT/Tender/SplashBidNoticeAbstractUI.aspx?menuIndex=3&amp;refID=7081590&amp;Result=3","7081590")</f>
        <v>0</v>
      </c>
      <c r="B6422" t="s">
        <v>548</v>
      </c>
      <c r="C6422" t="s">
        <v>9536</v>
      </c>
      <c r="D6422" t="s">
        <v>17425</v>
      </c>
      <c r="E6422" t="s">
        <v>23044</v>
      </c>
      <c r="F6422" t="s">
        <v>30052</v>
      </c>
      <c r="G6422" t="s">
        <v>30060</v>
      </c>
      <c r="H6422" t="s">
        <v>15498</v>
      </c>
      <c r="I6422" t="s">
        <v>30074</v>
      </c>
      <c r="J6422" t="s">
        <v>30711</v>
      </c>
      <c r="K6422" t="s">
        <v>39023</v>
      </c>
      <c r="L6422" t="s">
        <v>548</v>
      </c>
      <c r="M6422" t="s">
        <v>39850</v>
      </c>
      <c r="N6422" t="s">
        <v>43166</v>
      </c>
      <c r="O6422" t="s">
        <v>43167</v>
      </c>
      <c r="P6422">
        <v>0</v>
      </c>
      <c r="Q6422">
        <v>2</v>
      </c>
      <c r="R6422" t="s">
        <v>43172</v>
      </c>
      <c r="S6422" t="s">
        <v>43334</v>
      </c>
      <c r="T6422" t="s">
        <v>45044</v>
      </c>
      <c r="U6422" t="s">
        <v>50405</v>
      </c>
      <c r="V6422" t="s">
        <v>57242</v>
      </c>
      <c r="W6422" t="s">
        <v>39850</v>
      </c>
      <c r="X6422" t="s">
        <v>43173</v>
      </c>
    </row>
    <row r="6423" spans="1:24">
      <c r="A6423">
        <f>HYPERLINK("https://www.philgeps.gov.ph/GEPSNONPILOT/Tender/SplashBidNoticeAbstractUI.aspx?menuIndex=3&amp;refID=7081589&amp;Result=3","7081589")</f>
        <v>0</v>
      </c>
      <c r="B6423" t="s">
        <v>1608</v>
      </c>
      <c r="C6423" t="s">
        <v>9537</v>
      </c>
      <c r="D6423" t="s">
        <v>17415</v>
      </c>
      <c r="E6423" t="s">
        <v>23045</v>
      </c>
      <c r="F6423" t="s">
        <v>30052</v>
      </c>
      <c r="G6423" t="s">
        <v>30058</v>
      </c>
      <c r="H6423" t="s">
        <v>15498</v>
      </c>
      <c r="I6423" t="s">
        <v>3852</v>
      </c>
      <c r="J6423" t="s">
        <v>34212</v>
      </c>
      <c r="K6423" t="s">
        <v>39019</v>
      </c>
      <c r="M6423" t="s">
        <v>41506</v>
      </c>
      <c r="N6423" t="s">
        <v>43166</v>
      </c>
      <c r="O6423" t="s">
        <v>43167</v>
      </c>
      <c r="P6423">
        <v>0</v>
      </c>
      <c r="Q6423">
        <v>0</v>
      </c>
      <c r="R6423" t="s">
        <v>43172</v>
      </c>
      <c r="S6423" t="s">
        <v>43334</v>
      </c>
      <c r="T6423" t="s">
        <v>44796</v>
      </c>
      <c r="U6423" t="s">
        <v>48908</v>
      </c>
      <c r="W6423" t="s">
        <v>41506</v>
      </c>
      <c r="X6423" t="s">
        <v>43173</v>
      </c>
    </row>
    <row r="6424" spans="1:24">
      <c r="A6424">
        <f>HYPERLINK("https://www.philgeps.gov.ph/GEPSNONPILOT/Tender/SplashBidNoticeAbstractUI.aspx?menuIndex=3&amp;refID=7081569&amp;Result=3","7081569")</f>
        <v>0</v>
      </c>
      <c r="B6424" t="s">
        <v>1836</v>
      </c>
      <c r="C6424" t="s">
        <v>9538</v>
      </c>
      <c r="D6424" t="s">
        <v>17440</v>
      </c>
      <c r="E6424" t="s">
        <v>23046</v>
      </c>
      <c r="F6424" t="s">
        <v>30052</v>
      </c>
      <c r="G6424" t="s">
        <v>30058</v>
      </c>
      <c r="H6424" t="s">
        <v>30067</v>
      </c>
      <c r="I6424" t="s">
        <v>3693</v>
      </c>
      <c r="J6424" t="s">
        <v>34213</v>
      </c>
      <c r="K6424" t="s">
        <v>39023</v>
      </c>
      <c r="M6424" t="s">
        <v>41411</v>
      </c>
      <c r="N6424" t="s">
        <v>43166</v>
      </c>
      <c r="O6424" t="s">
        <v>43167</v>
      </c>
      <c r="P6424">
        <v>0</v>
      </c>
      <c r="Q6424">
        <v>0</v>
      </c>
      <c r="R6424" t="s">
        <v>43172</v>
      </c>
      <c r="S6424" t="s">
        <v>43334</v>
      </c>
      <c r="T6424" t="s">
        <v>45020</v>
      </c>
      <c r="U6424" t="s">
        <v>50406</v>
      </c>
      <c r="W6424" t="s">
        <v>41411</v>
      </c>
      <c r="X6424" t="s">
        <v>43173</v>
      </c>
    </row>
    <row r="6425" spans="1:24">
      <c r="A6425">
        <f>HYPERLINK("https://www.philgeps.gov.ph/GEPSNONPILOT/Tender/SplashBidNoticeAbstractUI.aspx?menuIndex=3&amp;refID=7081586&amp;Result=3","7081586")</f>
        <v>0</v>
      </c>
      <c r="B6425" t="s">
        <v>1608</v>
      </c>
      <c r="C6425" t="s">
        <v>9539</v>
      </c>
      <c r="D6425" t="s">
        <v>17415</v>
      </c>
      <c r="E6425" t="s">
        <v>23047</v>
      </c>
      <c r="F6425" t="s">
        <v>30052</v>
      </c>
      <c r="G6425" t="s">
        <v>30058</v>
      </c>
      <c r="H6425" t="s">
        <v>15498</v>
      </c>
      <c r="I6425" t="s">
        <v>3852</v>
      </c>
      <c r="J6425" t="s">
        <v>30711</v>
      </c>
      <c r="K6425" t="s">
        <v>39019</v>
      </c>
      <c r="M6425" t="s">
        <v>41506</v>
      </c>
      <c r="N6425" t="s">
        <v>43166</v>
      </c>
      <c r="O6425" t="s">
        <v>43167</v>
      </c>
      <c r="P6425">
        <v>0</v>
      </c>
      <c r="Q6425">
        <v>0</v>
      </c>
      <c r="R6425" t="s">
        <v>43172</v>
      </c>
      <c r="S6425" t="s">
        <v>43334</v>
      </c>
      <c r="T6425" t="s">
        <v>44796</v>
      </c>
      <c r="U6425" t="s">
        <v>48908</v>
      </c>
      <c r="W6425" t="s">
        <v>41506</v>
      </c>
      <c r="X6425" t="s">
        <v>43173</v>
      </c>
    </row>
    <row r="6426" spans="1:24">
      <c r="A6426">
        <f>HYPERLINK("https://www.philgeps.gov.ph/GEPSNONPILOT/Tender/SplashBidNoticeAbstractUI.aspx?menuIndex=3&amp;refID=7081615&amp;Result=3","7081615")</f>
        <v>0</v>
      </c>
      <c r="B6426" t="s">
        <v>1734</v>
      </c>
      <c r="C6426" t="s">
        <v>9540</v>
      </c>
      <c r="D6426" t="s">
        <v>17459</v>
      </c>
      <c r="E6426" t="s">
        <v>23048</v>
      </c>
      <c r="F6426" t="s">
        <v>30052</v>
      </c>
      <c r="G6426" t="s">
        <v>30059</v>
      </c>
      <c r="H6426" t="s">
        <v>15498</v>
      </c>
      <c r="I6426" t="s">
        <v>3852</v>
      </c>
      <c r="J6426" t="s">
        <v>30277</v>
      </c>
      <c r="K6426" t="s">
        <v>39036</v>
      </c>
      <c r="M6426" t="s">
        <v>41151</v>
      </c>
      <c r="N6426" t="s">
        <v>43166</v>
      </c>
      <c r="O6426" t="s">
        <v>43167</v>
      </c>
      <c r="P6426">
        <v>0</v>
      </c>
      <c r="Q6426">
        <v>0</v>
      </c>
      <c r="R6426" t="s">
        <v>43172</v>
      </c>
      <c r="S6426" t="s">
        <v>43334</v>
      </c>
      <c r="T6426" t="s">
        <v>44844</v>
      </c>
      <c r="U6426" t="s">
        <v>50407</v>
      </c>
      <c r="W6426" t="s">
        <v>41151</v>
      </c>
      <c r="X6426" t="s">
        <v>43173</v>
      </c>
    </row>
    <row r="6427" spans="1:24">
      <c r="A6427">
        <f>HYPERLINK("https://www.philgeps.gov.ph/GEPSNONPILOT/Tender/SplashBidNoticeAbstractUI.aspx?menuIndex=3&amp;refID=7081610&amp;Result=3","7081610")</f>
        <v>0</v>
      </c>
      <c r="B6427" t="s">
        <v>498</v>
      </c>
      <c r="C6427" t="s">
        <v>9541</v>
      </c>
      <c r="D6427" t="s">
        <v>17431</v>
      </c>
      <c r="E6427" t="s">
        <v>23049</v>
      </c>
      <c r="F6427" t="s">
        <v>30052</v>
      </c>
      <c r="G6427" t="s">
        <v>30063</v>
      </c>
      <c r="H6427" t="s">
        <v>30067</v>
      </c>
      <c r="I6427" t="s">
        <v>3693</v>
      </c>
      <c r="J6427" t="s">
        <v>34208</v>
      </c>
      <c r="K6427" t="s">
        <v>39026</v>
      </c>
      <c r="M6427" t="s">
        <v>39799</v>
      </c>
      <c r="N6427" t="s">
        <v>43166</v>
      </c>
      <c r="O6427" t="s">
        <v>43167</v>
      </c>
      <c r="P6427">
        <v>0</v>
      </c>
      <c r="Q6427">
        <v>2</v>
      </c>
      <c r="R6427" t="s">
        <v>43172</v>
      </c>
      <c r="S6427" t="s">
        <v>43334</v>
      </c>
      <c r="T6427" t="s">
        <v>44842</v>
      </c>
      <c r="U6427" t="s">
        <v>50408</v>
      </c>
      <c r="W6427" t="s">
        <v>39799</v>
      </c>
      <c r="X6427" t="s">
        <v>43173</v>
      </c>
    </row>
    <row r="6428" spans="1:24">
      <c r="A6428">
        <f>HYPERLINK("https://www.philgeps.gov.ph/GEPSNONPILOT/Tender/SplashBidNoticeAbstractUI.aspx?menuIndex=3&amp;refID=7081583&amp;Result=3","7081583")</f>
        <v>0</v>
      </c>
      <c r="B6428" t="s">
        <v>1608</v>
      </c>
      <c r="C6428" t="s">
        <v>9542</v>
      </c>
      <c r="D6428" t="s">
        <v>17415</v>
      </c>
      <c r="E6428" t="s">
        <v>23050</v>
      </c>
      <c r="F6428" t="s">
        <v>30052</v>
      </c>
      <c r="G6428" t="s">
        <v>30058</v>
      </c>
      <c r="H6428" t="s">
        <v>15498</v>
      </c>
      <c r="I6428" t="s">
        <v>3852</v>
      </c>
      <c r="J6428" t="s">
        <v>34214</v>
      </c>
      <c r="K6428" t="s">
        <v>39019</v>
      </c>
      <c r="M6428" t="s">
        <v>41506</v>
      </c>
      <c r="N6428" t="s">
        <v>43166</v>
      </c>
      <c r="O6428" t="s">
        <v>43167</v>
      </c>
      <c r="P6428">
        <v>0</v>
      </c>
      <c r="Q6428">
        <v>0</v>
      </c>
      <c r="R6428" t="s">
        <v>43172</v>
      </c>
      <c r="S6428" t="s">
        <v>43334</v>
      </c>
      <c r="T6428" t="s">
        <v>44796</v>
      </c>
      <c r="U6428" t="s">
        <v>48908</v>
      </c>
      <c r="W6428" t="s">
        <v>41506</v>
      </c>
      <c r="X6428" t="s">
        <v>43173</v>
      </c>
    </row>
    <row r="6429" spans="1:24">
      <c r="A6429">
        <f>HYPERLINK("https://www.philgeps.gov.ph/GEPSNONPILOT/Tender/SplashBidNoticeAbstractUI.aspx?menuIndex=3&amp;refID=7081582&amp;Result=3","7081582")</f>
        <v>0</v>
      </c>
      <c r="B6429" t="s">
        <v>2061</v>
      </c>
      <c r="C6429" t="s">
        <v>9543</v>
      </c>
      <c r="D6429" t="s">
        <v>17473</v>
      </c>
      <c r="E6429" t="s">
        <v>23051</v>
      </c>
      <c r="F6429" t="s">
        <v>30052</v>
      </c>
      <c r="G6429" t="s">
        <v>30058</v>
      </c>
      <c r="H6429" t="s">
        <v>30067</v>
      </c>
      <c r="I6429" t="s">
        <v>3693</v>
      </c>
      <c r="J6429" t="s">
        <v>30222</v>
      </c>
      <c r="K6429" t="s">
        <v>39173</v>
      </c>
      <c r="M6429" t="s">
        <v>41520</v>
      </c>
      <c r="N6429" t="s">
        <v>43166</v>
      </c>
      <c r="O6429" t="s">
        <v>43167</v>
      </c>
      <c r="P6429">
        <v>0</v>
      </c>
      <c r="Q6429">
        <v>2</v>
      </c>
      <c r="R6429" t="s">
        <v>43172</v>
      </c>
      <c r="S6429" t="s">
        <v>43334</v>
      </c>
      <c r="T6429" t="s">
        <v>44905</v>
      </c>
      <c r="U6429" t="s">
        <v>50409</v>
      </c>
      <c r="V6429" t="s">
        <v>57502</v>
      </c>
      <c r="W6429" t="s">
        <v>41520</v>
      </c>
      <c r="X6429" t="s">
        <v>43173</v>
      </c>
    </row>
    <row r="6430" spans="1:24">
      <c r="A6430">
        <f>HYPERLINK("https://www.philgeps.gov.ph/GEPSNONPILOT/Tender/SplashBidNoticeAbstractUI.aspx?menuIndex=3&amp;refID=7081597&amp;Result=3","7081597")</f>
        <v>0</v>
      </c>
      <c r="B6430" t="s">
        <v>2067</v>
      </c>
      <c r="C6430" t="s">
        <v>9544</v>
      </c>
      <c r="D6430" t="s">
        <v>17465</v>
      </c>
      <c r="E6430" t="s">
        <v>17760</v>
      </c>
      <c r="F6430" t="s">
        <v>30052</v>
      </c>
      <c r="G6430" t="s">
        <v>30058</v>
      </c>
      <c r="H6430" t="s">
        <v>15498</v>
      </c>
      <c r="I6430" t="s">
        <v>30114</v>
      </c>
      <c r="J6430" t="s">
        <v>34215</v>
      </c>
      <c r="K6430" t="s">
        <v>39039</v>
      </c>
      <c r="M6430" t="s">
        <v>41527</v>
      </c>
      <c r="N6430" t="s">
        <v>43166</v>
      </c>
      <c r="O6430" t="s">
        <v>43167</v>
      </c>
      <c r="P6430">
        <v>0</v>
      </c>
      <c r="Q6430">
        <v>1</v>
      </c>
      <c r="R6430" t="s">
        <v>43172</v>
      </c>
      <c r="S6430" t="s">
        <v>43334</v>
      </c>
      <c r="T6430" t="s">
        <v>44708</v>
      </c>
      <c r="U6430" t="s">
        <v>50410</v>
      </c>
      <c r="W6430" t="s">
        <v>41527</v>
      </c>
      <c r="X6430" t="s">
        <v>43173</v>
      </c>
    </row>
    <row r="6431" spans="1:24">
      <c r="A6431">
        <f>HYPERLINK("https://www.philgeps.gov.ph/GEPSNONPILOT/Tender/SplashBidNoticeAbstractUI.aspx?menuIndex=3&amp;refID=7081580&amp;Result=3","7081580")</f>
        <v>0</v>
      </c>
      <c r="B6431" t="s">
        <v>2068</v>
      </c>
      <c r="C6431" t="s">
        <v>9545</v>
      </c>
      <c r="D6431" t="s">
        <v>17448</v>
      </c>
      <c r="E6431" t="s">
        <v>23052</v>
      </c>
      <c r="F6431" t="s">
        <v>30052</v>
      </c>
      <c r="G6431" t="s">
        <v>30058</v>
      </c>
      <c r="H6431" t="s">
        <v>15498</v>
      </c>
      <c r="I6431" t="s">
        <v>3606</v>
      </c>
      <c r="J6431" t="s">
        <v>30218</v>
      </c>
      <c r="K6431" t="s">
        <v>39034</v>
      </c>
      <c r="M6431" t="s">
        <v>41528</v>
      </c>
      <c r="N6431" t="s">
        <v>43166</v>
      </c>
      <c r="O6431" t="s">
        <v>43167</v>
      </c>
      <c r="P6431">
        <v>0</v>
      </c>
      <c r="Q6431">
        <v>1</v>
      </c>
      <c r="R6431" t="s">
        <v>43172</v>
      </c>
      <c r="S6431" t="s">
        <v>43334</v>
      </c>
      <c r="T6431" t="s">
        <v>44737</v>
      </c>
      <c r="U6431" t="s">
        <v>50411</v>
      </c>
      <c r="W6431" t="s">
        <v>41528</v>
      </c>
      <c r="X6431" t="s">
        <v>43173</v>
      </c>
    </row>
    <row r="6432" spans="1:24">
      <c r="A6432">
        <f>HYPERLINK("https://www.philgeps.gov.ph/GEPSNONPILOT/Tender/SplashBidNoticeAbstractUI.aspx?menuIndex=3&amp;refID=7081558&amp;Result=3","7081558")</f>
        <v>0</v>
      </c>
      <c r="B6432" t="s">
        <v>1172</v>
      </c>
      <c r="C6432" t="s">
        <v>9546</v>
      </c>
      <c r="D6432" t="s">
        <v>17466</v>
      </c>
      <c r="E6432" t="s">
        <v>23053</v>
      </c>
      <c r="F6432" t="s">
        <v>30052</v>
      </c>
      <c r="G6432" t="s">
        <v>30058</v>
      </c>
      <c r="H6432" t="s">
        <v>15498</v>
      </c>
      <c r="I6432" t="s">
        <v>30144</v>
      </c>
      <c r="J6432" t="s">
        <v>31814</v>
      </c>
      <c r="K6432" t="s">
        <v>39037</v>
      </c>
      <c r="M6432" t="s">
        <v>40520</v>
      </c>
      <c r="N6432" t="s">
        <v>43166</v>
      </c>
      <c r="O6432" t="s">
        <v>43167</v>
      </c>
      <c r="P6432">
        <v>0</v>
      </c>
      <c r="Q6432">
        <v>0</v>
      </c>
      <c r="R6432" t="s">
        <v>43172</v>
      </c>
      <c r="S6432" t="s">
        <v>43334</v>
      </c>
      <c r="T6432" t="s">
        <v>44943</v>
      </c>
      <c r="U6432" t="s">
        <v>48176</v>
      </c>
      <c r="W6432" t="s">
        <v>58626</v>
      </c>
      <c r="X6432" t="s">
        <v>43173</v>
      </c>
    </row>
    <row r="6433" spans="1:24">
      <c r="A6433">
        <f>HYPERLINK("https://www.philgeps.gov.ph/GEPSNONPILOT/Tender/SplashBidNoticeAbstractUI.aspx?menuIndex=3&amp;refID=7081488&amp;Result=3","7081488")</f>
        <v>0</v>
      </c>
      <c r="B6433" t="s">
        <v>1608</v>
      </c>
      <c r="C6433" t="s">
        <v>9547</v>
      </c>
      <c r="D6433" t="s">
        <v>17415</v>
      </c>
      <c r="E6433" t="s">
        <v>23054</v>
      </c>
      <c r="F6433" t="s">
        <v>30052</v>
      </c>
      <c r="G6433" t="s">
        <v>30058</v>
      </c>
      <c r="H6433" t="s">
        <v>15498</v>
      </c>
      <c r="I6433" t="s">
        <v>30070</v>
      </c>
      <c r="J6433" t="s">
        <v>34216</v>
      </c>
      <c r="K6433" t="s">
        <v>39019</v>
      </c>
      <c r="M6433" t="s">
        <v>41506</v>
      </c>
      <c r="N6433" t="s">
        <v>43166</v>
      </c>
      <c r="O6433" t="s">
        <v>43167</v>
      </c>
      <c r="P6433">
        <v>0</v>
      </c>
      <c r="Q6433">
        <v>1</v>
      </c>
      <c r="R6433" t="s">
        <v>43172</v>
      </c>
      <c r="S6433" t="s">
        <v>43334</v>
      </c>
      <c r="T6433" t="s">
        <v>44796</v>
      </c>
      <c r="U6433" t="s">
        <v>45217</v>
      </c>
      <c r="W6433" t="s">
        <v>41506</v>
      </c>
      <c r="X6433" t="s">
        <v>43173</v>
      </c>
    </row>
    <row r="6434" spans="1:24">
      <c r="A6434">
        <f>HYPERLINK("https://www.philgeps.gov.ph/GEPSNONPILOT/Tender/SplashBidNoticeAbstractUI.aspx?menuIndex=3&amp;refID=7081555&amp;Result=3","7081555")</f>
        <v>0</v>
      </c>
      <c r="B6434" t="s">
        <v>1172</v>
      </c>
      <c r="C6434" t="s">
        <v>9548</v>
      </c>
      <c r="D6434" t="s">
        <v>17466</v>
      </c>
      <c r="E6434" t="s">
        <v>23055</v>
      </c>
      <c r="F6434" t="s">
        <v>30052</v>
      </c>
      <c r="G6434" t="s">
        <v>30058</v>
      </c>
      <c r="H6434" t="s">
        <v>15498</v>
      </c>
      <c r="I6434" t="s">
        <v>30130</v>
      </c>
      <c r="J6434" t="s">
        <v>31852</v>
      </c>
      <c r="K6434" t="s">
        <v>39037</v>
      </c>
      <c r="M6434" t="s">
        <v>40520</v>
      </c>
      <c r="N6434" t="s">
        <v>43166</v>
      </c>
      <c r="O6434" t="s">
        <v>43167</v>
      </c>
      <c r="P6434">
        <v>0</v>
      </c>
      <c r="Q6434">
        <v>3</v>
      </c>
      <c r="R6434" t="s">
        <v>43172</v>
      </c>
      <c r="S6434" t="s">
        <v>43334</v>
      </c>
      <c r="T6434" t="s">
        <v>44943</v>
      </c>
      <c r="U6434" t="s">
        <v>48176</v>
      </c>
      <c r="W6434" t="s">
        <v>58626</v>
      </c>
      <c r="X6434" t="s">
        <v>43173</v>
      </c>
    </row>
    <row r="6435" spans="1:24">
      <c r="A6435">
        <f>HYPERLINK("https://www.philgeps.gov.ph/GEPSNONPILOT/Tender/SplashBidNoticeAbstractUI.aspx?menuIndex=3&amp;refID=7081554&amp;Result=3","7081554")</f>
        <v>0</v>
      </c>
      <c r="B6435" t="s">
        <v>1836</v>
      </c>
      <c r="C6435" t="s">
        <v>9549</v>
      </c>
      <c r="D6435" t="s">
        <v>17440</v>
      </c>
      <c r="E6435" t="s">
        <v>23056</v>
      </c>
      <c r="F6435" t="s">
        <v>30052</v>
      </c>
      <c r="G6435" t="s">
        <v>30058</v>
      </c>
      <c r="H6435" t="s">
        <v>30067</v>
      </c>
      <c r="I6435" t="s">
        <v>3693</v>
      </c>
      <c r="J6435" t="s">
        <v>33921</v>
      </c>
      <c r="K6435" t="s">
        <v>39065</v>
      </c>
      <c r="M6435" t="s">
        <v>41411</v>
      </c>
      <c r="N6435" t="s">
        <v>43166</v>
      </c>
      <c r="O6435" t="s">
        <v>43167</v>
      </c>
      <c r="P6435">
        <v>0</v>
      </c>
      <c r="Q6435">
        <v>1</v>
      </c>
      <c r="R6435" t="s">
        <v>43172</v>
      </c>
      <c r="S6435" t="s">
        <v>43334</v>
      </c>
      <c r="T6435" t="s">
        <v>45020</v>
      </c>
      <c r="U6435" t="s">
        <v>50412</v>
      </c>
      <c r="W6435" t="s">
        <v>41411</v>
      </c>
      <c r="X6435" t="s">
        <v>43173</v>
      </c>
    </row>
    <row r="6436" spans="1:24">
      <c r="A6436">
        <f>HYPERLINK("https://www.philgeps.gov.ph/GEPSNONPILOT/Tender/SplashBidNoticeAbstractUI.aspx?menuIndex=3&amp;refID=7081588&amp;Result=3","7081588")</f>
        <v>0</v>
      </c>
      <c r="B6436" t="s">
        <v>2061</v>
      </c>
      <c r="C6436" t="s">
        <v>9550</v>
      </c>
      <c r="D6436" t="s">
        <v>17473</v>
      </c>
      <c r="E6436" t="s">
        <v>23057</v>
      </c>
      <c r="F6436" t="s">
        <v>30052</v>
      </c>
      <c r="G6436" t="s">
        <v>30058</v>
      </c>
      <c r="H6436" t="s">
        <v>30067</v>
      </c>
      <c r="I6436" t="s">
        <v>3693</v>
      </c>
      <c r="J6436" t="s">
        <v>30397</v>
      </c>
      <c r="K6436" t="s">
        <v>39038</v>
      </c>
      <c r="M6436" t="s">
        <v>41520</v>
      </c>
      <c r="N6436" t="s">
        <v>43166</v>
      </c>
      <c r="O6436" t="s">
        <v>43167</v>
      </c>
      <c r="P6436">
        <v>0</v>
      </c>
      <c r="Q6436">
        <v>4</v>
      </c>
      <c r="R6436" t="s">
        <v>43172</v>
      </c>
      <c r="S6436" t="s">
        <v>43334</v>
      </c>
      <c r="T6436" t="s">
        <v>44905</v>
      </c>
      <c r="U6436" t="s">
        <v>50413</v>
      </c>
      <c r="V6436" t="s">
        <v>57502</v>
      </c>
      <c r="W6436" t="s">
        <v>41520</v>
      </c>
      <c r="X6436" t="s">
        <v>43173</v>
      </c>
    </row>
    <row r="6437" spans="1:24">
      <c r="A6437">
        <f>HYPERLINK("https://www.philgeps.gov.ph/GEPSNONPILOT/Tender/SplashBidNoticeAbstractUI.aspx?menuIndex=3&amp;refID=7081585&amp;Result=3","7081585")</f>
        <v>0</v>
      </c>
      <c r="B6437" t="s">
        <v>2068</v>
      </c>
      <c r="C6437" t="s">
        <v>5351</v>
      </c>
      <c r="D6437" t="s">
        <v>17448</v>
      </c>
      <c r="E6437" t="s">
        <v>23058</v>
      </c>
      <c r="F6437" t="s">
        <v>30052</v>
      </c>
      <c r="G6437" t="s">
        <v>30058</v>
      </c>
      <c r="H6437" t="s">
        <v>15498</v>
      </c>
      <c r="I6437" t="s">
        <v>30076</v>
      </c>
      <c r="J6437" t="s">
        <v>30277</v>
      </c>
      <c r="K6437" t="s">
        <v>39034</v>
      </c>
      <c r="M6437" t="s">
        <v>41528</v>
      </c>
      <c r="N6437" t="s">
        <v>43166</v>
      </c>
      <c r="O6437" t="s">
        <v>43167</v>
      </c>
      <c r="P6437">
        <v>0</v>
      </c>
      <c r="Q6437">
        <v>1</v>
      </c>
      <c r="R6437" t="s">
        <v>43172</v>
      </c>
      <c r="S6437" t="s">
        <v>43334</v>
      </c>
      <c r="T6437" t="s">
        <v>44696</v>
      </c>
      <c r="U6437" t="s">
        <v>50414</v>
      </c>
      <c r="W6437" t="s">
        <v>41528</v>
      </c>
      <c r="X6437" t="s">
        <v>43173</v>
      </c>
    </row>
    <row r="6438" spans="1:24">
      <c r="A6438">
        <f>HYPERLINK("https://www.philgeps.gov.ph/GEPSNONPILOT/Tender/SplashBidNoticeAbstractUI.aspx?menuIndex=3&amp;refID=7081653&amp;Result=3","7081653")</f>
        <v>0</v>
      </c>
      <c r="B6438" t="s">
        <v>509</v>
      </c>
      <c r="C6438" t="s">
        <v>9551</v>
      </c>
      <c r="D6438" t="s">
        <v>17415</v>
      </c>
      <c r="E6438" t="s">
        <v>23059</v>
      </c>
      <c r="F6438" t="s">
        <v>30052</v>
      </c>
      <c r="G6438" t="s">
        <v>30058</v>
      </c>
      <c r="H6438" t="s">
        <v>30067</v>
      </c>
      <c r="I6438" t="s">
        <v>3693</v>
      </c>
      <c r="J6438" t="s">
        <v>34217</v>
      </c>
      <c r="K6438" t="s">
        <v>39023</v>
      </c>
      <c r="M6438" t="s">
        <v>39810</v>
      </c>
      <c r="N6438" t="s">
        <v>43166</v>
      </c>
      <c r="O6438" t="s">
        <v>43167</v>
      </c>
      <c r="Q6438">
        <v>8</v>
      </c>
      <c r="R6438" t="s">
        <v>43172</v>
      </c>
      <c r="S6438" t="s">
        <v>43368</v>
      </c>
      <c r="T6438" t="s">
        <v>44758</v>
      </c>
      <c r="U6438" t="s">
        <v>50415</v>
      </c>
      <c r="W6438" t="s">
        <v>39810</v>
      </c>
      <c r="X6438" t="s">
        <v>43173</v>
      </c>
    </row>
    <row r="6439" spans="1:24">
      <c r="A6439">
        <f>HYPERLINK("https://www.philgeps.gov.ph/GEPSNONPILOT/Tender/SplashBidNoticeAbstractUI.aspx?menuIndex=3&amp;refID=7081581&amp;Result=3","7081581")</f>
        <v>0</v>
      </c>
      <c r="B6439" t="s">
        <v>1504</v>
      </c>
      <c r="C6439" t="s">
        <v>9552</v>
      </c>
      <c r="D6439" t="s">
        <v>17415</v>
      </c>
      <c r="E6439" t="s">
        <v>23060</v>
      </c>
      <c r="F6439" t="s">
        <v>30052</v>
      </c>
      <c r="G6439" t="s">
        <v>30062</v>
      </c>
      <c r="H6439" t="s">
        <v>15498</v>
      </c>
      <c r="I6439" t="s">
        <v>4119</v>
      </c>
      <c r="J6439" t="s">
        <v>34218</v>
      </c>
      <c r="K6439" t="s">
        <v>39034</v>
      </c>
      <c r="M6439" t="s">
        <v>41524</v>
      </c>
      <c r="N6439" t="s">
        <v>43166</v>
      </c>
      <c r="O6439" t="s">
        <v>43167</v>
      </c>
      <c r="P6439">
        <v>0</v>
      </c>
      <c r="Q6439">
        <v>5</v>
      </c>
      <c r="R6439" t="s">
        <v>43172</v>
      </c>
      <c r="S6439" t="s">
        <v>43334</v>
      </c>
      <c r="T6439" t="s">
        <v>44696</v>
      </c>
      <c r="U6439" t="s">
        <v>50416</v>
      </c>
      <c r="W6439" t="s">
        <v>41524</v>
      </c>
      <c r="X6439" t="s">
        <v>43173</v>
      </c>
    </row>
    <row r="6440" spans="1:24">
      <c r="A6440">
        <f>HYPERLINK("https://www.philgeps.gov.ph/GEPSNONPILOT/Tender/SplashBidNoticeAbstractUI.aspx?menuIndex=3&amp;refID=7081654&amp;Result=3","7081654")</f>
        <v>0</v>
      </c>
      <c r="B6440" t="s">
        <v>483</v>
      </c>
      <c r="C6440" t="s">
        <v>9553</v>
      </c>
      <c r="D6440" t="s">
        <v>17489</v>
      </c>
      <c r="E6440" t="s">
        <v>23061</v>
      </c>
      <c r="F6440" t="s">
        <v>30052</v>
      </c>
      <c r="G6440" t="s">
        <v>30058</v>
      </c>
      <c r="H6440" t="s">
        <v>30067</v>
      </c>
      <c r="I6440" t="s">
        <v>3693</v>
      </c>
      <c r="J6440" t="s">
        <v>34219</v>
      </c>
      <c r="K6440" t="s">
        <v>39153</v>
      </c>
      <c r="M6440" t="s">
        <v>39784</v>
      </c>
      <c r="N6440" t="s">
        <v>43166</v>
      </c>
      <c r="O6440" t="s">
        <v>43167</v>
      </c>
      <c r="P6440">
        <v>0</v>
      </c>
      <c r="Q6440">
        <v>0</v>
      </c>
      <c r="R6440" t="s">
        <v>43172</v>
      </c>
      <c r="S6440" t="s">
        <v>43334</v>
      </c>
      <c r="T6440" t="s">
        <v>44758</v>
      </c>
      <c r="U6440" t="s">
        <v>50417</v>
      </c>
      <c r="W6440" t="s">
        <v>39784</v>
      </c>
      <c r="X6440" t="s">
        <v>43173</v>
      </c>
    </row>
    <row r="6441" spans="1:24">
      <c r="A6441">
        <f>HYPERLINK("https://www.philgeps.gov.ph/GEPSNONPILOT/Tender/SplashBidNoticeAbstractUI.aspx?menuIndex=3&amp;refID=7081556&amp;Result=3","7081556")</f>
        <v>0</v>
      </c>
      <c r="B6441" t="s">
        <v>2048</v>
      </c>
      <c r="C6441" t="s">
        <v>9554</v>
      </c>
      <c r="D6441" t="s">
        <v>17424</v>
      </c>
      <c r="E6441" t="s">
        <v>23062</v>
      </c>
      <c r="F6441" t="s">
        <v>30052</v>
      </c>
      <c r="G6441" t="s">
        <v>30058</v>
      </c>
      <c r="H6441" t="s">
        <v>15498</v>
      </c>
      <c r="I6441" t="s">
        <v>30084</v>
      </c>
      <c r="J6441" t="s">
        <v>30256</v>
      </c>
      <c r="K6441" t="s">
        <v>39017</v>
      </c>
      <c r="M6441" t="s">
        <v>41500</v>
      </c>
      <c r="N6441" t="s">
        <v>43166</v>
      </c>
      <c r="O6441" t="s">
        <v>43167</v>
      </c>
      <c r="Q6441">
        <v>0</v>
      </c>
      <c r="R6441" t="s">
        <v>43172</v>
      </c>
      <c r="S6441" t="s">
        <v>43369</v>
      </c>
      <c r="T6441" t="s">
        <v>44715</v>
      </c>
      <c r="U6441" t="s">
        <v>50418</v>
      </c>
      <c r="V6441" t="s">
        <v>57490</v>
      </c>
      <c r="W6441" t="s">
        <v>41500</v>
      </c>
      <c r="X6441" t="s">
        <v>43173</v>
      </c>
    </row>
    <row r="6442" spans="1:24">
      <c r="A6442">
        <f>HYPERLINK("https://www.philgeps.gov.ph/GEPSNONPILOT/Tender/SplashBidNoticeAbstractUI.aspx?menuIndex=3&amp;refID=7081646&amp;Result=3","7081646")</f>
        <v>0</v>
      </c>
      <c r="B6442" t="s">
        <v>1734</v>
      </c>
      <c r="C6442" t="s">
        <v>9555</v>
      </c>
      <c r="D6442" t="s">
        <v>17459</v>
      </c>
      <c r="E6442" t="s">
        <v>23063</v>
      </c>
      <c r="F6442" t="s">
        <v>30052</v>
      </c>
      <c r="G6442" t="s">
        <v>30059</v>
      </c>
      <c r="H6442" t="s">
        <v>15498</v>
      </c>
      <c r="I6442" t="s">
        <v>6304</v>
      </c>
      <c r="J6442" t="s">
        <v>30292</v>
      </c>
      <c r="K6442" t="s">
        <v>39036</v>
      </c>
      <c r="M6442" t="s">
        <v>41151</v>
      </c>
      <c r="N6442" t="s">
        <v>43166</v>
      </c>
      <c r="O6442" t="s">
        <v>43167</v>
      </c>
      <c r="P6442">
        <v>0</v>
      </c>
      <c r="Q6442">
        <v>0</v>
      </c>
      <c r="R6442" t="s">
        <v>43172</v>
      </c>
      <c r="S6442" t="s">
        <v>43334</v>
      </c>
      <c r="T6442" t="s">
        <v>44844</v>
      </c>
      <c r="U6442" t="s">
        <v>50419</v>
      </c>
      <c r="W6442" t="s">
        <v>41151</v>
      </c>
      <c r="X6442" t="s">
        <v>43173</v>
      </c>
    </row>
    <row r="6443" spans="1:24">
      <c r="A6443">
        <f>HYPERLINK("https://www.philgeps.gov.ph/GEPSNONPILOT/Tender/SplashBidNoticeAbstractUI.aspx?menuIndex=3&amp;refID=7081652&amp;Result=3","7081652")</f>
        <v>0</v>
      </c>
      <c r="B6443" t="s">
        <v>2069</v>
      </c>
      <c r="C6443" t="s">
        <v>4662</v>
      </c>
      <c r="D6443" t="s">
        <v>17465</v>
      </c>
      <c r="E6443" t="s">
        <v>23064</v>
      </c>
      <c r="F6443" t="s">
        <v>30052</v>
      </c>
      <c r="G6443" t="s">
        <v>30061</v>
      </c>
      <c r="H6443" t="s">
        <v>15498</v>
      </c>
      <c r="I6443" t="s">
        <v>4119</v>
      </c>
      <c r="J6443" t="s">
        <v>34220</v>
      </c>
      <c r="K6443" t="s">
        <v>39039</v>
      </c>
      <c r="M6443" t="s">
        <v>41529</v>
      </c>
      <c r="N6443" t="s">
        <v>43166</v>
      </c>
      <c r="O6443" t="s">
        <v>43167</v>
      </c>
      <c r="P6443">
        <v>0</v>
      </c>
      <c r="Q6443">
        <v>1</v>
      </c>
      <c r="R6443" t="s">
        <v>43172</v>
      </c>
      <c r="S6443" t="s">
        <v>43334</v>
      </c>
      <c r="T6443" t="s">
        <v>44715</v>
      </c>
      <c r="U6443" t="s">
        <v>50420</v>
      </c>
      <c r="W6443" t="s">
        <v>41529</v>
      </c>
      <c r="X6443" t="s">
        <v>43173</v>
      </c>
    </row>
    <row r="6444" spans="1:24">
      <c r="A6444">
        <f>HYPERLINK("https://www.philgeps.gov.ph/GEPSNONPILOT/Tender/SplashBidNoticeAbstractUI.aspx?menuIndex=3&amp;refID=7081645&amp;Result=3","7081645")</f>
        <v>0</v>
      </c>
      <c r="B6444" t="s">
        <v>509</v>
      </c>
      <c r="C6444" t="s">
        <v>9556</v>
      </c>
      <c r="D6444" t="s">
        <v>17415</v>
      </c>
      <c r="E6444" t="s">
        <v>23065</v>
      </c>
      <c r="F6444" t="s">
        <v>30052</v>
      </c>
      <c r="G6444" t="s">
        <v>30058</v>
      </c>
      <c r="H6444" t="s">
        <v>30067</v>
      </c>
      <c r="I6444" t="s">
        <v>3693</v>
      </c>
      <c r="J6444" t="s">
        <v>34221</v>
      </c>
      <c r="K6444" t="s">
        <v>39022</v>
      </c>
      <c r="M6444" t="s">
        <v>39810</v>
      </c>
      <c r="N6444" t="s">
        <v>43166</v>
      </c>
      <c r="O6444" t="s">
        <v>43167</v>
      </c>
      <c r="Q6444">
        <v>9</v>
      </c>
      <c r="R6444" t="s">
        <v>43172</v>
      </c>
      <c r="S6444" t="s">
        <v>43308</v>
      </c>
      <c r="T6444" t="s">
        <v>44758</v>
      </c>
      <c r="U6444" t="s">
        <v>50415</v>
      </c>
      <c r="W6444" t="s">
        <v>39810</v>
      </c>
      <c r="X6444" t="s">
        <v>43173</v>
      </c>
    </row>
    <row r="6445" spans="1:24">
      <c r="A6445">
        <f>HYPERLINK("https://www.philgeps.gov.ph/GEPSNONPILOT/Tender/SplashBidNoticeAbstractUI.aspx?menuIndex=3&amp;refID=7081644&amp;Result=3","7081644")</f>
        <v>0</v>
      </c>
      <c r="B6445" t="s">
        <v>483</v>
      </c>
      <c r="C6445" t="s">
        <v>9557</v>
      </c>
      <c r="D6445" t="s">
        <v>17489</v>
      </c>
      <c r="E6445" t="s">
        <v>23066</v>
      </c>
      <c r="F6445" t="s">
        <v>30052</v>
      </c>
      <c r="G6445" t="s">
        <v>30058</v>
      </c>
      <c r="H6445" t="s">
        <v>30067</v>
      </c>
      <c r="I6445" t="s">
        <v>3693</v>
      </c>
      <c r="J6445" t="s">
        <v>34222</v>
      </c>
      <c r="K6445" t="s">
        <v>39174</v>
      </c>
      <c r="M6445" t="s">
        <v>39784</v>
      </c>
      <c r="N6445" t="s">
        <v>43166</v>
      </c>
      <c r="O6445" t="s">
        <v>43167</v>
      </c>
      <c r="P6445">
        <v>0</v>
      </c>
      <c r="Q6445">
        <v>0</v>
      </c>
      <c r="R6445" t="s">
        <v>43172</v>
      </c>
      <c r="S6445" t="s">
        <v>43334</v>
      </c>
      <c r="T6445" t="s">
        <v>44758</v>
      </c>
      <c r="U6445" t="s">
        <v>50421</v>
      </c>
      <c r="W6445" t="s">
        <v>39784</v>
      </c>
      <c r="X6445" t="s">
        <v>43173</v>
      </c>
    </row>
    <row r="6446" spans="1:24">
      <c r="A6446">
        <f>HYPERLINK("https://www.philgeps.gov.ph/GEPSNONPILOT/Tender/SplashBidNoticeAbstractUI.aspx?menuIndex=3&amp;refID=7081579&amp;Result=3","7081579")</f>
        <v>0</v>
      </c>
      <c r="B6446" t="s">
        <v>1608</v>
      </c>
      <c r="C6446" t="s">
        <v>9558</v>
      </c>
      <c r="D6446" t="s">
        <v>17415</v>
      </c>
      <c r="E6446" t="s">
        <v>23067</v>
      </c>
      <c r="F6446" t="s">
        <v>30052</v>
      </c>
      <c r="G6446" t="s">
        <v>30058</v>
      </c>
      <c r="H6446" t="s">
        <v>15498</v>
      </c>
      <c r="I6446" t="s">
        <v>30070</v>
      </c>
      <c r="J6446" t="s">
        <v>34223</v>
      </c>
      <c r="K6446" t="s">
        <v>39019</v>
      </c>
      <c r="M6446" t="s">
        <v>41506</v>
      </c>
      <c r="N6446" t="s">
        <v>43166</v>
      </c>
      <c r="O6446" t="s">
        <v>43167</v>
      </c>
      <c r="P6446">
        <v>0</v>
      </c>
      <c r="Q6446">
        <v>1</v>
      </c>
      <c r="R6446" t="s">
        <v>43172</v>
      </c>
      <c r="S6446" t="s">
        <v>43334</v>
      </c>
      <c r="T6446" t="s">
        <v>44796</v>
      </c>
      <c r="U6446" t="s">
        <v>45217</v>
      </c>
      <c r="W6446" t="s">
        <v>41506</v>
      </c>
      <c r="X6446" t="s">
        <v>43173</v>
      </c>
    </row>
    <row r="6447" spans="1:24">
      <c r="A6447">
        <f>HYPERLINK("https://www.philgeps.gov.ph/GEPSNONPILOT/Tender/SplashBidNoticeAbstractUI.aspx?menuIndex=3&amp;refID=7081638&amp;Result=3","7081638")</f>
        <v>0</v>
      </c>
      <c r="B6447" t="s">
        <v>509</v>
      </c>
      <c r="C6447" t="s">
        <v>9559</v>
      </c>
      <c r="D6447" t="s">
        <v>17415</v>
      </c>
      <c r="E6447" t="s">
        <v>23068</v>
      </c>
      <c r="F6447" t="s">
        <v>30052</v>
      </c>
      <c r="G6447" t="s">
        <v>30058</v>
      </c>
      <c r="H6447" t="s">
        <v>30067</v>
      </c>
      <c r="I6447" t="s">
        <v>3693</v>
      </c>
      <c r="J6447" t="s">
        <v>34224</v>
      </c>
      <c r="K6447" t="s">
        <v>39033</v>
      </c>
      <c r="M6447" t="s">
        <v>39810</v>
      </c>
      <c r="N6447" t="s">
        <v>43166</v>
      </c>
      <c r="O6447" t="s">
        <v>43167</v>
      </c>
      <c r="Q6447">
        <v>14</v>
      </c>
      <c r="R6447" t="s">
        <v>43172</v>
      </c>
      <c r="S6447" t="s">
        <v>43307</v>
      </c>
      <c r="T6447" t="s">
        <v>44758</v>
      </c>
      <c r="U6447" t="s">
        <v>50415</v>
      </c>
      <c r="W6447" t="s">
        <v>39810</v>
      </c>
      <c r="X6447" t="s">
        <v>43173</v>
      </c>
    </row>
    <row r="6448" spans="1:24">
      <c r="A6448">
        <f>HYPERLINK("https://www.philgeps.gov.ph/GEPSNONPILOT/Tender/SplashBidNoticeAbstractUI.aspx?menuIndex=3&amp;refID=7081637&amp;Result=3","7081637")</f>
        <v>0</v>
      </c>
      <c r="B6448" t="s">
        <v>2069</v>
      </c>
      <c r="C6448" t="s">
        <v>9560</v>
      </c>
      <c r="D6448" t="s">
        <v>17465</v>
      </c>
      <c r="E6448" t="s">
        <v>23069</v>
      </c>
      <c r="F6448" t="s">
        <v>30052</v>
      </c>
      <c r="G6448" t="s">
        <v>30061</v>
      </c>
      <c r="H6448" t="s">
        <v>15498</v>
      </c>
      <c r="I6448" t="s">
        <v>3736</v>
      </c>
      <c r="J6448" t="s">
        <v>34225</v>
      </c>
      <c r="K6448" t="s">
        <v>39039</v>
      </c>
      <c r="M6448" t="s">
        <v>41529</v>
      </c>
      <c r="N6448" t="s">
        <v>43166</v>
      </c>
      <c r="O6448" t="s">
        <v>43167</v>
      </c>
      <c r="P6448">
        <v>0</v>
      </c>
      <c r="Q6448">
        <v>2</v>
      </c>
      <c r="R6448" t="s">
        <v>43172</v>
      </c>
      <c r="S6448" t="s">
        <v>43334</v>
      </c>
      <c r="T6448" t="s">
        <v>44715</v>
      </c>
      <c r="U6448" t="s">
        <v>50422</v>
      </c>
      <c r="W6448" t="s">
        <v>41529</v>
      </c>
      <c r="X6448" t="s">
        <v>43173</v>
      </c>
    </row>
    <row r="6449" spans="1:24">
      <c r="A6449">
        <f>HYPERLINK("https://www.philgeps.gov.ph/GEPSNONPILOT/Tender/SplashBidNoticeAbstractUI.aspx?menuIndex=3&amp;refID=7081633&amp;Result=3","7081633")</f>
        <v>0</v>
      </c>
      <c r="B6449" t="s">
        <v>509</v>
      </c>
      <c r="C6449" t="s">
        <v>9561</v>
      </c>
      <c r="D6449" t="s">
        <v>17415</v>
      </c>
      <c r="E6449" t="s">
        <v>23070</v>
      </c>
      <c r="F6449" t="s">
        <v>30052</v>
      </c>
      <c r="G6449" t="s">
        <v>30058</v>
      </c>
      <c r="H6449" t="s">
        <v>30067</v>
      </c>
      <c r="I6449" t="s">
        <v>3693</v>
      </c>
      <c r="J6449" t="s">
        <v>34226</v>
      </c>
      <c r="K6449" t="s">
        <v>39057</v>
      </c>
      <c r="M6449" t="s">
        <v>39810</v>
      </c>
      <c r="N6449" t="s">
        <v>43166</v>
      </c>
      <c r="O6449" t="s">
        <v>43167</v>
      </c>
      <c r="Q6449">
        <v>10</v>
      </c>
      <c r="R6449" t="s">
        <v>43172</v>
      </c>
      <c r="S6449" t="s">
        <v>43370</v>
      </c>
      <c r="T6449" t="s">
        <v>44758</v>
      </c>
      <c r="U6449" t="s">
        <v>50415</v>
      </c>
      <c r="W6449" t="s">
        <v>39810</v>
      </c>
      <c r="X6449" t="s">
        <v>43173</v>
      </c>
    </row>
    <row r="6450" spans="1:24">
      <c r="A6450">
        <f>HYPERLINK("https://www.philgeps.gov.ph/GEPSNONPILOT/Tender/SplashBidNoticeAbstractUI.aspx?menuIndex=3&amp;refID=7081648&amp;Result=3","7081648")</f>
        <v>0</v>
      </c>
      <c r="B6450" t="s">
        <v>2069</v>
      </c>
      <c r="C6450" t="s">
        <v>4662</v>
      </c>
      <c r="D6450" t="s">
        <v>17465</v>
      </c>
      <c r="E6450" t="s">
        <v>23071</v>
      </c>
      <c r="F6450" t="s">
        <v>30052</v>
      </c>
      <c r="G6450" t="s">
        <v>30061</v>
      </c>
      <c r="H6450" t="s">
        <v>15498</v>
      </c>
      <c r="I6450" t="s">
        <v>4119</v>
      </c>
      <c r="J6450" t="s">
        <v>34227</v>
      </c>
      <c r="K6450" t="s">
        <v>39039</v>
      </c>
      <c r="M6450" t="s">
        <v>41529</v>
      </c>
      <c r="N6450" t="s">
        <v>43166</v>
      </c>
      <c r="O6450" t="s">
        <v>43167</v>
      </c>
      <c r="P6450">
        <v>0</v>
      </c>
      <c r="Q6450">
        <v>1</v>
      </c>
      <c r="R6450" t="s">
        <v>43172</v>
      </c>
      <c r="S6450" t="s">
        <v>43334</v>
      </c>
      <c r="T6450" t="s">
        <v>44715</v>
      </c>
      <c r="U6450" t="s">
        <v>50423</v>
      </c>
      <c r="W6450" t="s">
        <v>41529</v>
      </c>
      <c r="X6450" t="s">
        <v>43173</v>
      </c>
    </row>
    <row r="6451" spans="1:24">
      <c r="A6451">
        <f>HYPERLINK("https://www.philgeps.gov.ph/GEPSNONPILOT/Tender/SplashBidNoticeAbstractUI.aspx?menuIndex=3&amp;refID=7081632&amp;Result=3","7081632")</f>
        <v>0</v>
      </c>
      <c r="B6451" t="s">
        <v>1734</v>
      </c>
      <c r="C6451" t="s">
        <v>9562</v>
      </c>
      <c r="D6451" t="s">
        <v>17429</v>
      </c>
      <c r="E6451" t="s">
        <v>23072</v>
      </c>
      <c r="F6451" t="s">
        <v>30052</v>
      </c>
      <c r="G6451" t="s">
        <v>30059</v>
      </c>
      <c r="H6451" t="s">
        <v>15498</v>
      </c>
      <c r="I6451" t="s">
        <v>30096</v>
      </c>
      <c r="J6451" t="s">
        <v>30256</v>
      </c>
      <c r="K6451" t="s">
        <v>39036</v>
      </c>
      <c r="M6451" t="s">
        <v>41151</v>
      </c>
      <c r="N6451" t="s">
        <v>43166</v>
      </c>
      <c r="O6451" t="s">
        <v>43167</v>
      </c>
      <c r="P6451">
        <v>0</v>
      </c>
      <c r="Q6451">
        <v>1</v>
      </c>
      <c r="R6451" t="s">
        <v>43172</v>
      </c>
      <c r="S6451" t="s">
        <v>43334</v>
      </c>
      <c r="T6451" t="s">
        <v>44844</v>
      </c>
      <c r="U6451" t="s">
        <v>50424</v>
      </c>
      <c r="W6451" t="s">
        <v>41151</v>
      </c>
      <c r="X6451" t="s">
        <v>43173</v>
      </c>
    </row>
    <row r="6452" spans="1:24">
      <c r="A6452">
        <f>HYPERLINK("https://www.philgeps.gov.ph/GEPSNONPILOT/Tender/SplashBidNoticeAbstractUI.aspx?menuIndex=3&amp;refID=7081627&amp;Result=3","7081627")</f>
        <v>0</v>
      </c>
      <c r="B6452" t="s">
        <v>1048</v>
      </c>
      <c r="C6452" t="s">
        <v>9563</v>
      </c>
      <c r="D6452" t="s">
        <v>17415</v>
      </c>
      <c r="E6452" t="s">
        <v>23073</v>
      </c>
      <c r="F6452" t="s">
        <v>30052</v>
      </c>
      <c r="G6452" t="s">
        <v>30059</v>
      </c>
      <c r="H6452" t="s">
        <v>15498</v>
      </c>
      <c r="I6452" t="s">
        <v>8323</v>
      </c>
      <c r="J6452" t="s">
        <v>30377</v>
      </c>
      <c r="K6452" t="s">
        <v>39019</v>
      </c>
      <c r="M6452" t="s">
        <v>40381</v>
      </c>
      <c r="N6452" t="s">
        <v>43166</v>
      </c>
      <c r="O6452" t="s">
        <v>43167</v>
      </c>
      <c r="P6452">
        <v>0</v>
      </c>
      <c r="Q6452">
        <v>17</v>
      </c>
      <c r="R6452" t="s">
        <v>43172</v>
      </c>
      <c r="S6452" t="s">
        <v>43334</v>
      </c>
      <c r="T6452" t="s">
        <v>44837</v>
      </c>
      <c r="U6452" t="s">
        <v>50425</v>
      </c>
      <c r="W6452" t="s">
        <v>40381</v>
      </c>
      <c r="X6452" t="s">
        <v>43173</v>
      </c>
    </row>
    <row r="6453" spans="1:24">
      <c r="A6453">
        <f>HYPERLINK("https://www.philgeps.gov.ph/GEPSNONPILOT/Tender/SplashBidNoticeAbstractUI.aspx?menuIndex=3&amp;refID=7081625&amp;Result=3","7081625")</f>
        <v>0</v>
      </c>
      <c r="B6453" t="s">
        <v>1733</v>
      </c>
      <c r="C6453" t="s">
        <v>9564</v>
      </c>
      <c r="D6453" t="s">
        <v>17467</v>
      </c>
      <c r="E6453" t="s">
        <v>23074</v>
      </c>
      <c r="F6453" t="s">
        <v>30052</v>
      </c>
      <c r="G6453" t="s">
        <v>30058</v>
      </c>
      <c r="H6453" t="s">
        <v>15498</v>
      </c>
      <c r="I6453" t="s">
        <v>30108</v>
      </c>
      <c r="J6453" t="s">
        <v>34228</v>
      </c>
      <c r="K6453" t="s">
        <v>39029</v>
      </c>
      <c r="L6453" t="s">
        <v>1733</v>
      </c>
      <c r="M6453" t="s">
        <v>41150</v>
      </c>
      <c r="N6453" t="s">
        <v>43166</v>
      </c>
      <c r="O6453" t="s">
        <v>43167</v>
      </c>
      <c r="P6453">
        <v>0</v>
      </c>
      <c r="Q6453">
        <v>5</v>
      </c>
      <c r="R6453" t="s">
        <v>43172</v>
      </c>
      <c r="S6453" t="s">
        <v>43334</v>
      </c>
      <c r="T6453" t="s">
        <v>44758</v>
      </c>
      <c r="U6453" t="s">
        <v>50426</v>
      </c>
      <c r="W6453" t="s">
        <v>41150</v>
      </c>
      <c r="X6453" t="s">
        <v>43173</v>
      </c>
    </row>
    <row r="6454" spans="1:24">
      <c r="A6454">
        <f>HYPERLINK("https://www.philgeps.gov.ph/GEPSNONPILOT/Tender/SplashBidNoticeAbstractUI.aspx?menuIndex=3&amp;refID=7081621&amp;Result=3","7081621")</f>
        <v>0</v>
      </c>
      <c r="B6454" t="s">
        <v>1048</v>
      </c>
      <c r="C6454" t="s">
        <v>9565</v>
      </c>
      <c r="D6454" t="s">
        <v>17415</v>
      </c>
      <c r="E6454" t="s">
        <v>19832</v>
      </c>
      <c r="F6454" t="s">
        <v>30052</v>
      </c>
      <c r="G6454" t="s">
        <v>30059</v>
      </c>
      <c r="H6454" t="s">
        <v>15498</v>
      </c>
      <c r="I6454" t="s">
        <v>30137</v>
      </c>
      <c r="J6454" t="s">
        <v>30559</v>
      </c>
      <c r="K6454" t="s">
        <v>39036</v>
      </c>
      <c r="M6454" t="s">
        <v>40381</v>
      </c>
      <c r="N6454" t="s">
        <v>43166</v>
      </c>
      <c r="O6454" t="s">
        <v>43167</v>
      </c>
      <c r="P6454">
        <v>0</v>
      </c>
      <c r="Q6454">
        <v>4</v>
      </c>
      <c r="R6454" t="s">
        <v>43172</v>
      </c>
      <c r="S6454" t="s">
        <v>43334</v>
      </c>
      <c r="T6454" t="s">
        <v>44837</v>
      </c>
      <c r="U6454" t="s">
        <v>50427</v>
      </c>
      <c r="W6454" t="s">
        <v>40381</v>
      </c>
      <c r="X6454" t="s">
        <v>43173</v>
      </c>
    </row>
    <row r="6455" spans="1:24">
      <c r="A6455">
        <f>HYPERLINK("https://www.philgeps.gov.ph/GEPSNONPILOT/Tender/SplashBidNoticeAbstractUI.aspx?menuIndex=3&amp;refID=7081641&amp;Result=3","7081641")</f>
        <v>0</v>
      </c>
      <c r="B6455" t="s">
        <v>509</v>
      </c>
      <c r="C6455" t="s">
        <v>9566</v>
      </c>
      <c r="D6455" t="s">
        <v>17415</v>
      </c>
      <c r="E6455" t="s">
        <v>23075</v>
      </c>
      <c r="F6455" t="s">
        <v>30052</v>
      </c>
      <c r="G6455" t="s">
        <v>30058</v>
      </c>
      <c r="H6455" t="s">
        <v>30067</v>
      </c>
      <c r="I6455" t="s">
        <v>3693</v>
      </c>
      <c r="J6455" t="s">
        <v>34229</v>
      </c>
      <c r="K6455" t="s">
        <v>39033</v>
      </c>
      <c r="M6455" t="s">
        <v>39810</v>
      </c>
      <c r="N6455" t="s">
        <v>43166</v>
      </c>
      <c r="O6455" t="s">
        <v>43167</v>
      </c>
      <c r="P6455">
        <v>0</v>
      </c>
      <c r="Q6455">
        <v>14</v>
      </c>
      <c r="R6455" t="s">
        <v>43172</v>
      </c>
      <c r="S6455" t="s">
        <v>43334</v>
      </c>
      <c r="T6455" t="s">
        <v>44758</v>
      </c>
      <c r="U6455" t="s">
        <v>50415</v>
      </c>
      <c r="W6455" t="s">
        <v>39810</v>
      </c>
      <c r="X6455" t="s">
        <v>43173</v>
      </c>
    </row>
    <row r="6456" spans="1:24">
      <c r="A6456">
        <f>HYPERLINK("https://www.philgeps.gov.ph/GEPSNONPILOT/Tender/SplashBidNoticeAbstractUI.aspx?menuIndex=3&amp;refID=7081550&amp;Result=3","7081550")</f>
        <v>0</v>
      </c>
      <c r="B6456" t="s">
        <v>501</v>
      </c>
      <c r="C6456" t="s">
        <v>9567</v>
      </c>
      <c r="E6456" t="s">
        <v>23076</v>
      </c>
      <c r="F6456" t="s">
        <v>30052</v>
      </c>
      <c r="G6456" t="s">
        <v>30059</v>
      </c>
      <c r="H6456" t="s">
        <v>15498</v>
      </c>
      <c r="I6456" t="s">
        <v>30103</v>
      </c>
      <c r="J6456" t="s">
        <v>34230</v>
      </c>
      <c r="K6456" t="s">
        <v>39025</v>
      </c>
      <c r="M6456" t="s">
        <v>40997</v>
      </c>
      <c r="N6456" t="s">
        <v>43166</v>
      </c>
      <c r="O6456" t="s">
        <v>43167</v>
      </c>
      <c r="P6456">
        <v>0</v>
      </c>
      <c r="Q6456">
        <v>12</v>
      </c>
      <c r="R6456" t="s">
        <v>43172</v>
      </c>
      <c r="S6456" t="s">
        <v>43334</v>
      </c>
      <c r="T6456" t="s">
        <v>44826</v>
      </c>
      <c r="U6456" t="s">
        <v>50428</v>
      </c>
      <c r="V6456" t="s">
        <v>57495</v>
      </c>
      <c r="W6456" t="s">
        <v>39802</v>
      </c>
      <c r="X6456" t="s">
        <v>43173</v>
      </c>
    </row>
    <row r="6457" spans="1:24">
      <c r="A6457">
        <f>HYPERLINK("https://www.philgeps.gov.ph/GEPSNONPILOT/Tender/SplashBidNoticeAbstractUI.aspx?menuIndex=3&amp;refID=7081650&amp;Result=3","7081650")</f>
        <v>0</v>
      </c>
      <c r="B6457" t="s">
        <v>509</v>
      </c>
      <c r="C6457" t="s">
        <v>9568</v>
      </c>
      <c r="D6457" t="s">
        <v>17415</v>
      </c>
      <c r="E6457" t="s">
        <v>23077</v>
      </c>
      <c r="F6457" t="s">
        <v>30052</v>
      </c>
      <c r="G6457" t="s">
        <v>30058</v>
      </c>
      <c r="H6457" t="s">
        <v>30067</v>
      </c>
      <c r="I6457" t="s">
        <v>3693</v>
      </c>
      <c r="J6457" t="s">
        <v>34231</v>
      </c>
      <c r="K6457" t="s">
        <v>39022</v>
      </c>
      <c r="M6457" t="s">
        <v>39810</v>
      </c>
      <c r="N6457" t="s">
        <v>43166</v>
      </c>
      <c r="O6457" t="s">
        <v>43167</v>
      </c>
      <c r="Q6457">
        <v>8</v>
      </c>
      <c r="R6457" t="s">
        <v>43172</v>
      </c>
      <c r="S6457" t="s">
        <v>43347</v>
      </c>
      <c r="T6457" t="s">
        <v>44758</v>
      </c>
      <c r="U6457" t="s">
        <v>50415</v>
      </c>
      <c r="W6457" t="s">
        <v>39810</v>
      </c>
      <c r="X6457" t="s">
        <v>43173</v>
      </c>
    </row>
    <row r="6458" spans="1:24">
      <c r="A6458">
        <f>HYPERLINK("https://www.philgeps.gov.ph/GEPSNONPILOT/Tender/SplashBidNoticeAbstractUI.aspx?menuIndex=3&amp;refID=7080946&amp;Result=3","7080946")</f>
        <v>0</v>
      </c>
      <c r="B6458" t="s">
        <v>2009</v>
      </c>
      <c r="C6458" t="s">
        <v>9569</v>
      </c>
      <c r="D6458" t="s">
        <v>17413</v>
      </c>
      <c r="E6458" t="s">
        <v>23078</v>
      </c>
      <c r="F6458" t="s">
        <v>30052</v>
      </c>
      <c r="G6458" t="s">
        <v>30059</v>
      </c>
      <c r="H6458" t="s">
        <v>15498</v>
      </c>
      <c r="I6458" t="s">
        <v>30084</v>
      </c>
      <c r="J6458" t="s">
        <v>34232</v>
      </c>
      <c r="K6458" t="s">
        <v>39017</v>
      </c>
      <c r="M6458" t="s">
        <v>41453</v>
      </c>
      <c r="N6458" t="s">
        <v>43166</v>
      </c>
      <c r="O6458" t="s">
        <v>43167</v>
      </c>
      <c r="P6458">
        <v>0</v>
      </c>
      <c r="Q6458">
        <v>5</v>
      </c>
      <c r="R6458" t="s">
        <v>43172</v>
      </c>
      <c r="S6458" t="s">
        <v>43334</v>
      </c>
      <c r="T6458" t="s">
        <v>44932</v>
      </c>
      <c r="U6458" t="s">
        <v>47816</v>
      </c>
      <c r="W6458" t="s">
        <v>41453</v>
      </c>
      <c r="X6458" t="s">
        <v>43173</v>
      </c>
    </row>
    <row r="6459" spans="1:24">
      <c r="A6459">
        <f>HYPERLINK("https://www.philgeps.gov.ph/GEPSNONPILOT/Tender/SplashBidNoticeAbstractUI.aspx?menuIndex=3&amp;refID=7081655&amp;Result=3","7081655")</f>
        <v>0</v>
      </c>
      <c r="B6459" t="s">
        <v>1680</v>
      </c>
      <c r="C6459" t="s">
        <v>9570</v>
      </c>
      <c r="D6459" t="s">
        <v>17449</v>
      </c>
      <c r="E6459" t="s">
        <v>17650</v>
      </c>
      <c r="F6459" t="s">
        <v>30052</v>
      </c>
      <c r="G6459" t="s">
        <v>30058</v>
      </c>
      <c r="H6459" t="s">
        <v>30067</v>
      </c>
      <c r="I6459" t="s">
        <v>3693</v>
      </c>
      <c r="J6459" t="s">
        <v>34233</v>
      </c>
      <c r="K6459" t="s">
        <v>39037</v>
      </c>
      <c r="M6459" t="s">
        <v>41087</v>
      </c>
      <c r="N6459" t="s">
        <v>43166</v>
      </c>
      <c r="O6459" t="s">
        <v>43167</v>
      </c>
      <c r="P6459">
        <v>0</v>
      </c>
      <c r="Q6459">
        <v>0</v>
      </c>
      <c r="R6459" t="s">
        <v>43172</v>
      </c>
      <c r="S6459" t="s">
        <v>43334</v>
      </c>
      <c r="T6459" t="s">
        <v>44757</v>
      </c>
      <c r="U6459" t="s">
        <v>50429</v>
      </c>
      <c r="V6459" t="s">
        <v>57505</v>
      </c>
      <c r="W6459" t="s">
        <v>41087</v>
      </c>
      <c r="X6459" t="s">
        <v>43173</v>
      </c>
    </row>
    <row r="6460" spans="1:24">
      <c r="A6460">
        <f>HYPERLINK("https://www.philgeps.gov.ph/GEPSNONPILOT/Tender/SplashBidNoticeAbstractUI.aspx?menuIndex=3&amp;refID=7081678&amp;Result=3","7081678")</f>
        <v>0</v>
      </c>
      <c r="B6460" t="s">
        <v>1804</v>
      </c>
      <c r="C6460" t="s">
        <v>9571</v>
      </c>
      <c r="E6460" t="s">
        <v>23079</v>
      </c>
      <c r="F6460" t="s">
        <v>30052</v>
      </c>
      <c r="G6460" t="s">
        <v>30058</v>
      </c>
      <c r="H6460" t="s">
        <v>30067</v>
      </c>
      <c r="I6460" t="s">
        <v>3693</v>
      </c>
      <c r="J6460" t="s">
        <v>34234</v>
      </c>
      <c r="K6460" t="s">
        <v>39025</v>
      </c>
      <c r="M6460" t="s">
        <v>41227</v>
      </c>
      <c r="N6460" t="s">
        <v>43166</v>
      </c>
      <c r="O6460" t="s">
        <v>43167</v>
      </c>
      <c r="P6460">
        <v>0</v>
      </c>
      <c r="Q6460">
        <v>0</v>
      </c>
      <c r="R6460" t="s">
        <v>43172</v>
      </c>
      <c r="S6460" t="s">
        <v>43334</v>
      </c>
      <c r="T6460" t="s">
        <v>44693</v>
      </c>
      <c r="U6460" t="s">
        <v>50430</v>
      </c>
      <c r="W6460" t="s">
        <v>41227</v>
      </c>
      <c r="X6460" t="s">
        <v>43173</v>
      </c>
    </row>
    <row r="6461" spans="1:24">
      <c r="A6461">
        <f>HYPERLINK("https://www.philgeps.gov.ph/GEPSNONPILOT/Tender/SplashBidNoticeAbstractUI.aspx?menuIndex=3&amp;refID=7081642&amp;Result=3","7081642")</f>
        <v>0</v>
      </c>
      <c r="B6461" t="s">
        <v>2069</v>
      </c>
      <c r="C6461" t="s">
        <v>9572</v>
      </c>
      <c r="D6461" t="s">
        <v>17465</v>
      </c>
      <c r="E6461" t="s">
        <v>23080</v>
      </c>
      <c r="F6461" t="s">
        <v>30052</v>
      </c>
      <c r="G6461" t="s">
        <v>30061</v>
      </c>
      <c r="H6461" t="s">
        <v>15498</v>
      </c>
      <c r="I6461" t="s">
        <v>3736</v>
      </c>
      <c r="J6461" t="s">
        <v>34235</v>
      </c>
      <c r="K6461" t="s">
        <v>39039</v>
      </c>
      <c r="M6461" t="s">
        <v>41529</v>
      </c>
      <c r="N6461" t="s">
        <v>43166</v>
      </c>
      <c r="O6461" t="s">
        <v>43167</v>
      </c>
      <c r="P6461">
        <v>0</v>
      </c>
      <c r="Q6461">
        <v>2</v>
      </c>
      <c r="R6461" t="s">
        <v>43172</v>
      </c>
      <c r="S6461" t="s">
        <v>43334</v>
      </c>
      <c r="T6461" t="s">
        <v>44715</v>
      </c>
      <c r="U6461" t="s">
        <v>50431</v>
      </c>
      <c r="W6461" t="s">
        <v>41529</v>
      </c>
      <c r="X6461" t="s">
        <v>43173</v>
      </c>
    </row>
    <row r="6462" spans="1:24">
      <c r="A6462">
        <f>HYPERLINK("https://www.philgeps.gov.ph/GEPSNONPILOT/Tender/SplashBidNoticeAbstractUI.aspx?menuIndex=3&amp;refID=7081684&amp;Result=3","7081684")</f>
        <v>0</v>
      </c>
      <c r="B6462" t="s">
        <v>2070</v>
      </c>
      <c r="C6462" t="s">
        <v>9573</v>
      </c>
      <c r="D6462" t="s">
        <v>17413</v>
      </c>
      <c r="E6462" t="s">
        <v>23081</v>
      </c>
      <c r="F6462" t="s">
        <v>30052</v>
      </c>
      <c r="G6462" t="s">
        <v>30058</v>
      </c>
      <c r="H6462" t="s">
        <v>30067</v>
      </c>
      <c r="I6462" t="s">
        <v>30106</v>
      </c>
      <c r="J6462" t="s">
        <v>34236</v>
      </c>
      <c r="K6462" t="s">
        <v>39120</v>
      </c>
      <c r="L6462" t="s">
        <v>2070</v>
      </c>
      <c r="M6462" t="s">
        <v>41530</v>
      </c>
      <c r="N6462" t="s">
        <v>43166</v>
      </c>
      <c r="O6462" t="s">
        <v>43167</v>
      </c>
      <c r="P6462">
        <v>0</v>
      </c>
      <c r="Q6462">
        <v>3</v>
      </c>
      <c r="R6462" t="s">
        <v>43172</v>
      </c>
      <c r="S6462" t="s">
        <v>43334</v>
      </c>
      <c r="T6462" t="s">
        <v>45021</v>
      </c>
      <c r="U6462" t="s">
        <v>50432</v>
      </c>
      <c r="W6462" t="s">
        <v>41530</v>
      </c>
      <c r="X6462" t="s">
        <v>43173</v>
      </c>
    </row>
    <row r="6463" spans="1:24">
      <c r="A6463">
        <f>HYPERLINK("https://www.philgeps.gov.ph/GEPSNONPILOT/Tender/SplashBidNoticeAbstractUI.aspx?menuIndex=3&amp;refID=7081683&amp;Result=3","7081683")</f>
        <v>0</v>
      </c>
      <c r="B6463" t="s">
        <v>2071</v>
      </c>
      <c r="C6463" t="s">
        <v>9574</v>
      </c>
      <c r="D6463" t="s">
        <v>17415</v>
      </c>
      <c r="E6463" t="s">
        <v>23082</v>
      </c>
      <c r="F6463" t="s">
        <v>30052</v>
      </c>
      <c r="G6463" t="s">
        <v>30059</v>
      </c>
      <c r="H6463" t="s">
        <v>30067</v>
      </c>
      <c r="I6463" t="s">
        <v>3693</v>
      </c>
      <c r="J6463" t="s">
        <v>30350</v>
      </c>
      <c r="K6463" t="s">
        <v>39019</v>
      </c>
      <c r="M6463" t="s">
        <v>41531</v>
      </c>
      <c r="N6463" t="s">
        <v>43166</v>
      </c>
      <c r="O6463" t="s">
        <v>43167</v>
      </c>
      <c r="P6463">
        <v>0</v>
      </c>
      <c r="Q6463">
        <v>1</v>
      </c>
      <c r="R6463" t="s">
        <v>43172</v>
      </c>
      <c r="S6463" t="s">
        <v>43334</v>
      </c>
      <c r="T6463" t="s">
        <v>44773</v>
      </c>
      <c r="U6463" t="s">
        <v>50433</v>
      </c>
      <c r="W6463" t="s">
        <v>41531</v>
      </c>
      <c r="X6463" t="s">
        <v>43173</v>
      </c>
    </row>
    <row r="6464" spans="1:24">
      <c r="A6464">
        <f>HYPERLINK("https://www.philgeps.gov.ph/GEPSNONPILOT/Tender/SplashBidNoticeAbstractUI.aspx?menuIndex=3&amp;refID=7081651&amp;Result=3","7081651")</f>
        <v>0</v>
      </c>
      <c r="B6464" t="s">
        <v>2072</v>
      </c>
      <c r="C6464" t="s">
        <v>9575</v>
      </c>
      <c r="D6464" t="s">
        <v>17442</v>
      </c>
      <c r="E6464" t="s">
        <v>23083</v>
      </c>
      <c r="F6464" t="s">
        <v>30052</v>
      </c>
      <c r="G6464" t="s">
        <v>30058</v>
      </c>
      <c r="H6464" t="s">
        <v>30067</v>
      </c>
      <c r="I6464" t="s">
        <v>30127</v>
      </c>
      <c r="J6464" t="s">
        <v>31583</v>
      </c>
      <c r="K6464" t="s">
        <v>39025</v>
      </c>
      <c r="M6464" t="s">
        <v>41532</v>
      </c>
      <c r="N6464" t="s">
        <v>43166</v>
      </c>
      <c r="O6464" t="s">
        <v>43167</v>
      </c>
      <c r="P6464">
        <v>0</v>
      </c>
      <c r="Q6464">
        <v>0</v>
      </c>
      <c r="R6464" t="s">
        <v>43172</v>
      </c>
      <c r="S6464" t="s">
        <v>43334</v>
      </c>
      <c r="T6464" t="s">
        <v>44708</v>
      </c>
      <c r="U6464" t="s">
        <v>50434</v>
      </c>
      <c r="W6464" t="s">
        <v>41532</v>
      </c>
      <c r="X6464" t="s">
        <v>43173</v>
      </c>
    </row>
    <row r="6465" spans="1:24">
      <c r="A6465">
        <f>HYPERLINK("https://www.philgeps.gov.ph/GEPSNONPILOT/Tender/SplashBidNoticeAbstractUI.aspx?menuIndex=3&amp;refID=7081682&amp;Result=3","7081682")</f>
        <v>0</v>
      </c>
      <c r="B6465" t="s">
        <v>2073</v>
      </c>
      <c r="C6465" t="s">
        <v>9576</v>
      </c>
      <c r="D6465" t="s">
        <v>17465</v>
      </c>
      <c r="E6465" t="s">
        <v>11577</v>
      </c>
      <c r="F6465" t="s">
        <v>30052</v>
      </c>
      <c r="G6465" t="s">
        <v>30062</v>
      </c>
      <c r="H6465" t="s">
        <v>15498</v>
      </c>
      <c r="I6465" t="s">
        <v>4119</v>
      </c>
      <c r="J6465" t="s">
        <v>30444</v>
      </c>
      <c r="K6465" t="s">
        <v>39034</v>
      </c>
      <c r="M6465" t="s">
        <v>41533</v>
      </c>
      <c r="N6465" t="s">
        <v>43166</v>
      </c>
      <c r="O6465" t="s">
        <v>43167</v>
      </c>
      <c r="P6465">
        <v>0</v>
      </c>
      <c r="Q6465">
        <v>2</v>
      </c>
      <c r="R6465" t="s">
        <v>43172</v>
      </c>
      <c r="S6465" t="s">
        <v>43334</v>
      </c>
      <c r="T6465" t="s">
        <v>44737</v>
      </c>
      <c r="U6465" t="s">
        <v>50435</v>
      </c>
      <c r="W6465" t="s">
        <v>41533</v>
      </c>
      <c r="X6465" t="s">
        <v>43173</v>
      </c>
    </row>
    <row r="6466" spans="1:24">
      <c r="A6466">
        <f>HYPERLINK("https://www.philgeps.gov.ph/GEPSNONPILOT/Tender/SplashBidNoticeAbstractUI.aspx?menuIndex=3&amp;refID=7081680&amp;Result=3","7081680")</f>
        <v>0</v>
      </c>
      <c r="B6466" t="s">
        <v>2074</v>
      </c>
      <c r="C6466" t="s">
        <v>9577</v>
      </c>
      <c r="D6466" t="s">
        <v>17466</v>
      </c>
      <c r="E6466" t="s">
        <v>23084</v>
      </c>
      <c r="F6466" t="s">
        <v>30052</v>
      </c>
      <c r="G6466" t="s">
        <v>30058</v>
      </c>
      <c r="H6466" t="s">
        <v>30067</v>
      </c>
      <c r="I6466" t="s">
        <v>3736</v>
      </c>
      <c r="J6466" t="s">
        <v>30426</v>
      </c>
      <c r="K6466" t="s">
        <v>39039</v>
      </c>
      <c r="M6466" t="s">
        <v>41534</v>
      </c>
      <c r="N6466" t="s">
        <v>43166</v>
      </c>
      <c r="O6466" t="s">
        <v>43167</v>
      </c>
      <c r="P6466">
        <v>0</v>
      </c>
      <c r="Q6466">
        <v>0</v>
      </c>
      <c r="R6466" t="s">
        <v>43172</v>
      </c>
      <c r="S6466" t="s">
        <v>43334</v>
      </c>
      <c r="T6466" t="s">
        <v>44705</v>
      </c>
      <c r="U6466" t="s">
        <v>50436</v>
      </c>
      <c r="W6466" t="s">
        <v>41534</v>
      </c>
      <c r="X6466" t="s">
        <v>43173</v>
      </c>
    </row>
    <row r="6467" spans="1:24">
      <c r="A6467">
        <f>HYPERLINK("https://www.philgeps.gov.ph/GEPSNONPILOT/Tender/SplashBidNoticeAbstractUI.aspx?menuIndex=3&amp;refID=7081679&amp;Result=3","7081679")</f>
        <v>0</v>
      </c>
      <c r="B6467" t="s">
        <v>2075</v>
      </c>
      <c r="C6467" t="s">
        <v>9578</v>
      </c>
      <c r="D6467" t="s">
        <v>17486</v>
      </c>
      <c r="E6467" t="s">
        <v>23085</v>
      </c>
      <c r="F6467" t="s">
        <v>30052</v>
      </c>
      <c r="G6467" t="s">
        <v>30058</v>
      </c>
      <c r="H6467" t="s">
        <v>15498</v>
      </c>
      <c r="I6467" t="s">
        <v>30073</v>
      </c>
      <c r="J6467" t="s">
        <v>34237</v>
      </c>
      <c r="K6467" t="s">
        <v>39067</v>
      </c>
      <c r="M6467" t="s">
        <v>41535</v>
      </c>
      <c r="N6467" t="s">
        <v>43166</v>
      </c>
      <c r="O6467" t="s">
        <v>43167</v>
      </c>
      <c r="P6467">
        <v>0</v>
      </c>
      <c r="Q6467">
        <v>3</v>
      </c>
      <c r="R6467" t="s">
        <v>43172</v>
      </c>
      <c r="S6467" t="s">
        <v>43334</v>
      </c>
      <c r="T6467" t="s">
        <v>44955</v>
      </c>
      <c r="U6467" t="s">
        <v>50437</v>
      </c>
      <c r="W6467" t="s">
        <v>41535</v>
      </c>
      <c r="X6467" t="s">
        <v>43173</v>
      </c>
    </row>
    <row r="6468" spans="1:24">
      <c r="A6468">
        <f>HYPERLINK("https://www.philgeps.gov.ph/GEPSNONPILOT/Tender/SplashBidNoticeAbstractUI.aspx?menuIndex=3&amp;refID=7081675&amp;Result=3","7081675")</f>
        <v>0</v>
      </c>
      <c r="B6468" t="s">
        <v>2070</v>
      </c>
      <c r="C6468" t="s">
        <v>9579</v>
      </c>
      <c r="D6468" t="s">
        <v>17413</v>
      </c>
      <c r="E6468" t="s">
        <v>18002</v>
      </c>
      <c r="F6468" t="s">
        <v>30052</v>
      </c>
      <c r="G6468" t="s">
        <v>30058</v>
      </c>
      <c r="H6468" t="s">
        <v>15498</v>
      </c>
      <c r="I6468" t="s">
        <v>30114</v>
      </c>
      <c r="J6468" t="s">
        <v>34238</v>
      </c>
      <c r="K6468" t="s">
        <v>39017</v>
      </c>
      <c r="L6468" t="s">
        <v>2070</v>
      </c>
      <c r="M6468" t="s">
        <v>41530</v>
      </c>
      <c r="N6468" t="s">
        <v>43166</v>
      </c>
      <c r="O6468" t="s">
        <v>43167</v>
      </c>
      <c r="P6468">
        <v>0</v>
      </c>
      <c r="Q6468">
        <v>4</v>
      </c>
      <c r="R6468" t="s">
        <v>43172</v>
      </c>
      <c r="S6468" t="s">
        <v>43334</v>
      </c>
      <c r="T6468" t="s">
        <v>45021</v>
      </c>
      <c r="U6468" t="s">
        <v>50438</v>
      </c>
      <c r="W6468" t="s">
        <v>41530</v>
      </c>
      <c r="X6468" t="s">
        <v>43173</v>
      </c>
    </row>
    <row r="6469" spans="1:24">
      <c r="A6469">
        <f>HYPERLINK("https://www.philgeps.gov.ph/GEPSNONPILOT/Tender/SplashBidNoticeAbstractUI.aspx?menuIndex=3&amp;refID=7081673&amp;Result=3","7081673")</f>
        <v>0</v>
      </c>
      <c r="B6469" t="s">
        <v>2073</v>
      </c>
      <c r="C6469" t="s">
        <v>6305</v>
      </c>
      <c r="D6469" t="s">
        <v>17465</v>
      </c>
      <c r="E6469" t="s">
        <v>11486</v>
      </c>
      <c r="F6469" t="s">
        <v>30052</v>
      </c>
      <c r="G6469" t="s">
        <v>30062</v>
      </c>
      <c r="H6469" t="s">
        <v>15498</v>
      </c>
      <c r="I6469" t="s">
        <v>30105</v>
      </c>
      <c r="J6469" t="s">
        <v>31117</v>
      </c>
      <c r="K6469" t="s">
        <v>39034</v>
      </c>
      <c r="M6469" t="s">
        <v>41533</v>
      </c>
      <c r="N6469" t="s">
        <v>43166</v>
      </c>
      <c r="O6469" t="s">
        <v>43167</v>
      </c>
      <c r="P6469">
        <v>0</v>
      </c>
      <c r="Q6469">
        <v>4</v>
      </c>
      <c r="R6469" t="s">
        <v>43172</v>
      </c>
      <c r="S6469" t="s">
        <v>43334</v>
      </c>
      <c r="T6469" t="s">
        <v>44737</v>
      </c>
      <c r="U6469" t="s">
        <v>50435</v>
      </c>
      <c r="W6469" t="s">
        <v>41533</v>
      </c>
      <c r="X6469" t="s">
        <v>43173</v>
      </c>
    </row>
    <row r="6470" spans="1:24">
      <c r="A6470">
        <f>HYPERLINK("https://www.philgeps.gov.ph/GEPSNONPILOT/Tender/SplashBidNoticeAbstractUI.aspx?menuIndex=3&amp;refID=7081671&amp;Result=3","7081671")</f>
        <v>0</v>
      </c>
      <c r="B6470" t="s">
        <v>583</v>
      </c>
      <c r="C6470" t="s">
        <v>9580</v>
      </c>
      <c r="D6470" t="s">
        <v>17442</v>
      </c>
      <c r="E6470" t="s">
        <v>23086</v>
      </c>
      <c r="F6470" t="s">
        <v>30052</v>
      </c>
      <c r="G6470" t="s">
        <v>30059</v>
      </c>
      <c r="H6470" t="s">
        <v>30067</v>
      </c>
      <c r="I6470" t="s">
        <v>30191</v>
      </c>
      <c r="J6470" t="s">
        <v>30586</v>
      </c>
      <c r="K6470" t="s">
        <v>39029</v>
      </c>
      <c r="M6470" t="s">
        <v>39885</v>
      </c>
      <c r="N6470" t="s">
        <v>43166</v>
      </c>
      <c r="O6470" t="s">
        <v>43167</v>
      </c>
      <c r="P6470">
        <v>0</v>
      </c>
      <c r="Q6470">
        <v>3</v>
      </c>
      <c r="R6470" t="s">
        <v>43172</v>
      </c>
      <c r="S6470" t="s">
        <v>43334</v>
      </c>
      <c r="T6470" t="s">
        <v>44714</v>
      </c>
      <c r="U6470" t="s">
        <v>50439</v>
      </c>
      <c r="W6470" t="s">
        <v>39885</v>
      </c>
      <c r="X6470" t="s">
        <v>43173</v>
      </c>
    </row>
    <row r="6471" spans="1:24">
      <c r="A6471">
        <f>HYPERLINK("https://www.philgeps.gov.ph/GEPSNONPILOT/Tender/SplashBidNoticeAbstractUI.aspx?menuIndex=3&amp;refID=7081553&amp;Result=3","7081553")</f>
        <v>0</v>
      </c>
      <c r="B6471" t="s">
        <v>2065</v>
      </c>
      <c r="C6471" t="s">
        <v>9581</v>
      </c>
      <c r="D6471" t="s">
        <v>17422</v>
      </c>
      <c r="E6471" t="s">
        <v>23087</v>
      </c>
      <c r="F6471" t="s">
        <v>30052</v>
      </c>
      <c r="G6471" t="s">
        <v>30058</v>
      </c>
      <c r="H6471" t="s">
        <v>15498</v>
      </c>
      <c r="I6471" t="s">
        <v>30151</v>
      </c>
      <c r="J6471" t="s">
        <v>34239</v>
      </c>
      <c r="K6471" t="s">
        <v>39037</v>
      </c>
      <c r="M6471" t="s">
        <v>41525</v>
      </c>
      <c r="N6471" t="s">
        <v>43166</v>
      </c>
      <c r="O6471" t="s">
        <v>43167</v>
      </c>
      <c r="P6471">
        <v>0</v>
      </c>
      <c r="Q6471">
        <v>1</v>
      </c>
      <c r="R6471" t="s">
        <v>43172</v>
      </c>
      <c r="S6471" t="s">
        <v>43334</v>
      </c>
      <c r="T6471" t="s">
        <v>44750</v>
      </c>
      <c r="U6471" t="s">
        <v>50440</v>
      </c>
      <c r="V6471" t="s">
        <v>57506</v>
      </c>
      <c r="W6471" t="s">
        <v>41525</v>
      </c>
      <c r="X6471" t="s">
        <v>43173</v>
      </c>
    </row>
    <row r="6472" spans="1:24">
      <c r="A6472">
        <f>HYPERLINK("https://www.philgeps.gov.ph/GEPSNONPILOT/Tender/SplashBidNoticeAbstractUI.aspx?menuIndex=3&amp;refID=7081670&amp;Result=3","7081670")</f>
        <v>0</v>
      </c>
      <c r="B6472" t="s">
        <v>2076</v>
      </c>
      <c r="C6472" t="s">
        <v>9582</v>
      </c>
      <c r="D6472" t="s">
        <v>17479</v>
      </c>
      <c r="E6472" t="s">
        <v>23088</v>
      </c>
      <c r="F6472" t="s">
        <v>30052</v>
      </c>
      <c r="G6472" t="s">
        <v>30058</v>
      </c>
      <c r="H6472" t="s">
        <v>15498</v>
      </c>
      <c r="I6472" t="s">
        <v>3736</v>
      </c>
      <c r="J6472" t="s">
        <v>34240</v>
      </c>
      <c r="K6472" t="s">
        <v>39019</v>
      </c>
      <c r="M6472" t="s">
        <v>41536</v>
      </c>
      <c r="N6472" t="s">
        <v>43166</v>
      </c>
      <c r="O6472" t="s">
        <v>43167</v>
      </c>
      <c r="P6472">
        <v>0</v>
      </c>
      <c r="Q6472">
        <v>1</v>
      </c>
      <c r="R6472" t="s">
        <v>43172</v>
      </c>
      <c r="S6472" t="s">
        <v>43334</v>
      </c>
      <c r="T6472" t="s">
        <v>44807</v>
      </c>
      <c r="U6472" t="s">
        <v>50441</v>
      </c>
      <c r="W6472" t="s">
        <v>41536</v>
      </c>
      <c r="X6472" t="s">
        <v>43173</v>
      </c>
    </row>
    <row r="6473" spans="1:24">
      <c r="A6473">
        <f>HYPERLINK("https://www.philgeps.gov.ph/GEPSNONPILOT/Tender/SplashBidNoticeAbstractUI.aspx?menuIndex=3&amp;refID=7081549&amp;Result=3","7081549")</f>
        <v>0</v>
      </c>
      <c r="B6473" t="s">
        <v>1172</v>
      </c>
      <c r="C6473" t="s">
        <v>9583</v>
      </c>
      <c r="D6473" t="s">
        <v>17466</v>
      </c>
      <c r="E6473" t="s">
        <v>23089</v>
      </c>
      <c r="F6473" t="s">
        <v>30052</v>
      </c>
      <c r="G6473" t="s">
        <v>30058</v>
      </c>
      <c r="H6473" t="s">
        <v>15498</v>
      </c>
      <c r="I6473" t="s">
        <v>30084</v>
      </c>
      <c r="J6473" t="s">
        <v>34241</v>
      </c>
      <c r="K6473" t="s">
        <v>39037</v>
      </c>
      <c r="M6473" t="s">
        <v>40520</v>
      </c>
      <c r="N6473" t="s">
        <v>43166</v>
      </c>
      <c r="O6473" t="s">
        <v>43167</v>
      </c>
      <c r="P6473">
        <v>0</v>
      </c>
      <c r="Q6473">
        <v>4</v>
      </c>
      <c r="R6473" t="s">
        <v>43172</v>
      </c>
      <c r="S6473" t="s">
        <v>43334</v>
      </c>
      <c r="T6473" t="s">
        <v>44943</v>
      </c>
      <c r="U6473" t="s">
        <v>48176</v>
      </c>
      <c r="W6473" t="s">
        <v>58626</v>
      </c>
      <c r="X6473" t="s">
        <v>43173</v>
      </c>
    </row>
    <row r="6474" spans="1:24">
      <c r="A6474">
        <f>HYPERLINK("https://www.philgeps.gov.ph/GEPSNONPILOT/Tender/SplashBidNoticeAbstractUI.aspx?menuIndex=3&amp;refID=7081662&amp;Result=3","7081662")</f>
        <v>0</v>
      </c>
      <c r="B6474" t="s">
        <v>483</v>
      </c>
      <c r="C6474" t="s">
        <v>9584</v>
      </c>
      <c r="D6474" t="s">
        <v>17489</v>
      </c>
      <c r="E6474" t="s">
        <v>23090</v>
      </c>
      <c r="F6474" t="s">
        <v>30052</v>
      </c>
      <c r="G6474" t="s">
        <v>30058</v>
      </c>
      <c r="H6474" t="s">
        <v>30067</v>
      </c>
      <c r="I6474" t="s">
        <v>3693</v>
      </c>
      <c r="J6474" t="s">
        <v>34242</v>
      </c>
      <c r="K6474" t="s">
        <v>39077</v>
      </c>
      <c r="M6474" t="s">
        <v>39784</v>
      </c>
      <c r="N6474" t="s">
        <v>43166</v>
      </c>
      <c r="O6474" t="s">
        <v>43167</v>
      </c>
      <c r="P6474">
        <v>0</v>
      </c>
      <c r="Q6474">
        <v>0</v>
      </c>
      <c r="R6474" t="s">
        <v>43172</v>
      </c>
      <c r="S6474" t="s">
        <v>43334</v>
      </c>
      <c r="T6474" t="s">
        <v>44758</v>
      </c>
      <c r="U6474" t="s">
        <v>50442</v>
      </c>
      <c r="W6474" t="s">
        <v>39784</v>
      </c>
      <c r="X6474" t="s">
        <v>43173</v>
      </c>
    </row>
    <row r="6475" spans="1:24">
      <c r="A6475">
        <f>HYPERLINK("https://www.philgeps.gov.ph/GEPSNONPILOT/Tender/SplashBidNoticeAbstractUI.aspx?menuIndex=3&amp;refID=7081677&amp;Result=3","7081677")</f>
        <v>0</v>
      </c>
      <c r="B6475" t="s">
        <v>483</v>
      </c>
      <c r="C6475" t="s">
        <v>9585</v>
      </c>
      <c r="D6475" t="s">
        <v>17489</v>
      </c>
      <c r="E6475" t="s">
        <v>23091</v>
      </c>
      <c r="F6475" t="s">
        <v>30052</v>
      </c>
      <c r="G6475" t="s">
        <v>30058</v>
      </c>
      <c r="H6475" t="s">
        <v>30067</v>
      </c>
      <c r="I6475" t="s">
        <v>3693</v>
      </c>
      <c r="J6475" t="s">
        <v>34243</v>
      </c>
      <c r="K6475" t="s">
        <v>39139</v>
      </c>
      <c r="M6475" t="s">
        <v>39784</v>
      </c>
      <c r="N6475" t="s">
        <v>43166</v>
      </c>
      <c r="O6475" t="s">
        <v>43167</v>
      </c>
      <c r="P6475">
        <v>0</v>
      </c>
      <c r="Q6475">
        <v>0</v>
      </c>
      <c r="R6475" t="s">
        <v>43172</v>
      </c>
      <c r="S6475" t="s">
        <v>43334</v>
      </c>
      <c r="T6475" t="s">
        <v>44758</v>
      </c>
      <c r="U6475" t="s">
        <v>50443</v>
      </c>
      <c r="W6475" t="s">
        <v>39784</v>
      </c>
      <c r="X6475" t="s">
        <v>43173</v>
      </c>
    </row>
    <row r="6476" spans="1:24">
      <c r="A6476">
        <f>HYPERLINK("https://www.philgeps.gov.ph/GEPSNONPILOT/Tender/SplashBidNoticeAbstractUI.aspx?menuIndex=3&amp;refID=7081661&amp;Result=3","7081661")</f>
        <v>0</v>
      </c>
      <c r="B6476" t="s">
        <v>2074</v>
      </c>
      <c r="C6476" t="s">
        <v>9190</v>
      </c>
      <c r="D6476" t="s">
        <v>17466</v>
      </c>
      <c r="E6476" t="s">
        <v>23092</v>
      </c>
      <c r="F6476" t="s">
        <v>30052</v>
      </c>
      <c r="G6476" t="s">
        <v>30058</v>
      </c>
      <c r="H6476" t="s">
        <v>30067</v>
      </c>
      <c r="I6476" t="s">
        <v>5961</v>
      </c>
      <c r="J6476" t="s">
        <v>30771</v>
      </c>
      <c r="K6476" t="s">
        <v>39039</v>
      </c>
      <c r="M6476" t="s">
        <v>41534</v>
      </c>
      <c r="N6476" t="s">
        <v>43166</v>
      </c>
      <c r="O6476" t="s">
        <v>43167</v>
      </c>
      <c r="P6476">
        <v>0</v>
      </c>
      <c r="Q6476">
        <v>0</v>
      </c>
      <c r="R6476" t="s">
        <v>43172</v>
      </c>
      <c r="S6476" t="s">
        <v>43334</v>
      </c>
      <c r="T6476" t="s">
        <v>44705</v>
      </c>
      <c r="U6476" t="s">
        <v>50444</v>
      </c>
      <c r="W6476" t="s">
        <v>41534</v>
      </c>
      <c r="X6476" t="s">
        <v>43173</v>
      </c>
    </row>
    <row r="6477" spans="1:24">
      <c r="A6477">
        <f>HYPERLINK("https://www.philgeps.gov.ph/GEPSNONPILOT/Tender/SplashBidNoticeAbstractUI.aspx?menuIndex=3&amp;refID=7081669&amp;Result=3","7081669")</f>
        <v>0</v>
      </c>
      <c r="B6477" t="s">
        <v>2077</v>
      </c>
      <c r="C6477" t="s">
        <v>9586</v>
      </c>
      <c r="D6477" t="s">
        <v>17415</v>
      </c>
      <c r="E6477" t="s">
        <v>23093</v>
      </c>
      <c r="F6477" t="s">
        <v>30052</v>
      </c>
      <c r="G6477" t="s">
        <v>30058</v>
      </c>
      <c r="H6477" t="s">
        <v>15498</v>
      </c>
      <c r="I6477" t="s">
        <v>30083</v>
      </c>
      <c r="J6477" t="s">
        <v>34145</v>
      </c>
      <c r="K6477" t="s">
        <v>39023</v>
      </c>
      <c r="M6477" t="s">
        <v>41537</v>
      </c>
      <c r="N6477" t="s">
        <v>43166</v>
      </c>
      <c r="O6477" t="s">
        <v>43167</v>
      </c>
      <c r="P6477">
        <v>0</v>
      </c>
      <c r="Q6477">
        <v>7</v>
      </c>
      <c r="R6477" t="s">
        <v>43172</v>
      </c>
      <c r="S6477" t="s">
        <v>43334</v>
      </c>
      <c r="T6477" t="s">
        <v>44828</v>
      </c>
      <c r="U6477" t="s">
        <v>50445</v>
      </c>
      <c r="W6477" t="s">
        <v>41537</v>
      </c>
      <c r="X6477" t="s">
        <v>43173</v>
      </c>
    </row>
    <row r="6478" spans="1:24">
      <c r="A6478">
        <f>HYPERLINK("https://www.philgeps.gov.ph/GEPSNONPILOT/Tender/SplashBidNoticeAbstractUI.aspx?menuIndex=3&amp;refID=7081635&amp;Result=3","7081635")</f>
        <v>0</v>
      </c>
      <c r="B6478" t="s">
        <v>2074</v>
      </c>
      <c r="C6478" t="s">
        <v>9587</v>
      </c>
      <c r="D6478" t="s">
        <v>17466</v>
      </c>
      <c r="E6478" t="s">
        <v>23094</v>
      </c>
      <c r="F6478" t="s">
        <v>30052</v>
      </c>
      <c r="G6478" t="s">
        <v>30058</v>
      </c>
      <c r="H6478" t="s">
        <v>30067</v>
      </c>
      <c r="I6478" t="s">
        <v>3736</v>
      </c>
      <c r="J6478" t="s">
        <v>34244</v>
      </c>
      <c r="K6478" t="s">
        <v>39039</v>
      </c>
      <c r="M6478" t="s">
        <v>41534</v>
      </c>
      <c r="N6478" t="s">
        <v>43166</v>
      </c>
      <c r="O6478" t="s">
        <v>43167</v>
      </c>
      <c r="P6478">
        <v>0</v>
      </c>
      <c r="Q6478">
        <v>0</v>
      </c>
      <c r="R6478" t="s">
        <v>43172</v>
      </c>
      <c r="S6478" t="s">
        <v>43334</v>
      </c>
      <c r="T6478" t="s">
        <v>44705</v>
      </c>
      <c r="U6478" t="s">
        <v>50446</v>
      </c>
      <c r="W6478" t="s">
        <v>41534</v>
      </c>
      <c r="X6478" t="s">
        <v>43173</v>
      </c>
    </row>
    <row r="6479" spans="1:24">
      <c r="A6479">
        <f>HYPERLINK("https://www.philgeps.gov.ph/GEPSNONPILOT/Tender/SplashBidNoticeAbstractUI.aspx?menuIndex=3&amp;refID=7081681&amp;Result=3","7081681")</f>
        <v>0</v>
      </c>
      <c r="B6479" t="s">
        <v>1804</v>
      </c>
      <c r="C6479" t="s">
        <v>4971</v>
      </c>
      <c r="E6479" t="s">
        <v>23095</v>
      </c>
      <c r="F6479" t="s">
        <v>30052</v>
      </c>
      <c r="G6479" t="s">
        <v>30058</v>
      </c>
      <c r="H6479" t="s">
        <v>30067</v>
      </c>
      <c r="I6479" t="s">
        <v>3693</v>
      </c>
      <c r="J6479" t="s">
        <v>30222</v>
      </c>
      <c r="K6479" t="s">
        <v>39025</v>
      </c>
      <c r="M6479" t="s">
        <v>41227</v>
      </c>
      <c r="N6479" t="s">
        <v>43166</v>
      </c>
      <c r="O6479" t="s">
        <v>43167</v>
      </c>
      <c r="P6479">
        <v>0</v>
      </c>
      <c r="Q6479">
        <v>0</v>
      </c>
      <c r="R6479" t="s">
        <v>43172</v>
      </c>
      <c r="S6479" t="s">
        <v>43334</v>
      </c>
      <c r="T6479" t="s">
        <v>44693</v>
      </c>
      <c r="U6479" t="s">
        <v>50430</v>
      </c>
      <c r="W6479" t="s">
        <v>41227</v>
      </c>
      <c r="X6479" t="s">
        <v>43173</v>
      </c>
    </row>
    <row r="6480" spans="1:24">
      <c r="A6480">
        <f>HYPERLINK("https://www.philgeps.gov.ph/GEPSNONPILOT/Tender/SplashBidNoticeAbstractUI.aspx?menuIndex=3&amp;refID=7081718&amp;Result=3","7081718")</f>
        <v>0</v>
      </c>
      <c r="B6480" t="s">
        <v>1804</v>
      </c>
      <c r="C6480" t="s">
        <v>9588</v>
      </c>
      <c r="E6480" t="s">
        <v>23096</v>
      </c>
      <c r="F6480" t="s">
        <v>30052</v>
      </c>
      <c r="G6480" t="s">
        <v>30058</v>
      </c>
      <c r="H6480" t="s">
        <v>30067</v>
      </c>
      <c r="I6480" t="s">
        <v>3693</v>
      </c>
      <c r="J6480" t="s">
        <v>34245</v>
      </c>
      <c r="K6480" t="s">
        <v>39025</v>
      </c>
      <c r="M6480" t="s">
        <v>41227</v>
      </c>
      <c r="N6480" t="s">
        <v>43166</v>
      </c>
      <c r="O6480" t="s">
        <v>43167</v>
      </c>
      <c r="P6480">
        <v>0</v>
      </c>
      <c r="Q6480">
        <v>0</v>
      </c>
      <c r="R6480" t="s">
        <v>43172</v>
      </c>
      <c r="S6480" t="s">
        <v>43334</v>
      </c>
      <c r="T6480" t="s">
        <v>44693</v>
      </c>
      <c r="U6480" t="s">
        <v>50430</v>
      </c>
      <c r="W6480" t="s">
        <v>41227</v>
      </c>
      <c r="X6480" t="s">
        <v>43173</v>
      </c>
    </row>
    <row r="6481" spans="1:24">
      <c r="A6481">
        <f>HYPERLINK("https://www.philgeps.gov.ph/GEPSNONPILOT/Tender/SplashBidNoticeAbstractUI.aspx?menuIndex=3&amp;refID=7081716&amp;Result=3","7081716")</f>
        <v>0</v>
      </c>
      <c r="B6481" t="s">
        <v>390</v>
      </c>
      <c r="C6481" t="s">
        <v>9589</v>
      </c>
      <c r="D6481" t="s">
        <v>17415</v>
      </c>
      <c r="E6481" t="s">
        <v>23097</v>
      </c>
      <c r="F6481" t="s">
        <v>30052</v>
      </c>
      <c r="G6481" t="s">
        <v>30059</v>
      </c>
      <c r="H6481" t="s">
        <v>15498</v>
      </c>
      <c r="I6481" t="s">
        <v>30100</v>
      </c>
      <c r="J6481" t="s">
        <v>34246</v>
      </c>
      <c r="K6481" t="s">
        <v>39025</v>
      </c>
      <c r="M6481" t="s">
        <v>41538</v>
      </c>
      <c r="N6481" t="s">
        <v>43166</v>
      </c>
      <c r="O6481" t="s">
        <v>43167</v>
      </c>
      <c r="P6481">
        <v>0</v>
      </c>
      <c r="Q6481">
        <v>3</v>
      </c>
      <c r="R6481" t="s">
        <v>43172</v>
      </c>
      <c r="S6481" t="s">
        <v>43334</v>
      </c>
      <c r="T6481" t="s">
        <v>44862</v>
      </c>
      <c r="U6481" t="s">
        <v>50447</v>
      </c>
      <c r="W6481" t="s">
        <v>41538</v>
      </c>
      <c r="X6481" t="s">
        <v>43173</v>
      </c>
    </row>
    <row r="6482" spans="1:24">
      <c r="A6482">
        <f>HYPERLINK("https://www.philgeps.gov.ph/GEPSNONPILOT/Tender/SplashBidNoticeAbstractUI.aspx?menuIndex=3&amp;refID=7081715&amp;Result=3","7081715")</f>
        <v>0</v>
      </c>
      <c r="B6482" t="s">
        <v>409</v>
      </c>
      <c r="C6482" t="s">
        <v>9590</v>
      </c>
      <c r="D6482" t="s">
        <v>17473</v>
      </c>
      <c r="E6482" t="s">
        <v>23098</v>
      </c>
      <c r="F6482" t="s">
        <v>30052</v>
      </c>
      <c r="G6482" t="s">
        <v>30059</v>
      </c>
      <c r="H6482" t="s">
        <v>15498</v>
      </c>
      <c r="I6482" t="s">
        <v>5961</v>
      </c>
      <c r="J6482" t="s">
        <v>34247</v>
      </c>
      <c r="K6482" t="s">
        <v>39034</v>
      </c>
      <c r="M6482" t="s">
        <v>39708</v>
      </c>
      <c r="N6482" t="s">
        <v>43166</v>
      </c>
      <c r="O6482" t="s">
        <v>43167</v>
      </c>
      <c r="P6482">
        <v>0</v>
      </c>
      <c r="Q6482">
        <v>1</v>
      </c>
      <c r="R6482" t="s">
        <v>43172</v>
      </c>
      <c r="S6482" t="s">
        <v>43334</v>
      </c>
      <c r="T6482" t="s">
        <v>44870</v>
      </c>
      <c r="U6482" t="s">
        <v>50448</v>
      </c>
      <c r="W6482" t="s">
        <v>39708</v>
      </c>
      <c r="X6482" t="s">
        <v>43173</v>
      </c>
    </row>
    <row r="6483" spans="1:24">
      <c r="A6483">
        <f>HYPERLINK("https://www.philgeps.gov.ph/GEPSNONPILOT/Tender/SplashBidNoticeAbstractUI.aspx?menuIndex=3&amp;refID=7081714&amp;Result=3","7081714")</f>
        <v>0</v>
      </c>
      <c r="B6483" t="s">
        <v>1804</v>
      </c>
      <c r="C6483" t="s">
        <v>9591</v>
      </c>
      <c r="E6483" t="s">
        <v>23099</v>
      </c>
      <c r="F6483" t="s">
        <v>30052</v>
      </c>
      <c r="G6483" t="s">
        <v>30058</v>
      </c>
      <c r="H6483" t="s">
        <v>30067</v>
      </c>
      <c r="I6483" t="s">
        <v>3693</v>
      </c>
      <c r="J6483" t="s">
        <v>31276</v>
      </c>
      <c r="K6483" t="s">
        <v>39025</v>
      </c>
      <c r="M6483" t="s">
        <v>41227</v>
      </c>
      <c r="N6483" t="s">
        <v>43166</v>
      </c>
      <c r="O6483" t="s">
        <v>43167</v>
      </c>
      <c r="P6483">
        <v>0</v>
      </c>
      <c r="Q6483">
        <v>0</v>
      </c>
      <c r="R6483" t="s">
        <v>43172</v>
      </c>
      <c r="S6483" t="s">
        <v>43334</v>
      </c>
      <c r="T6483" t="s">
        <v>44693</v>
      </c>
      <c r="U6483" t="s">
        <v>50430</v>
      </c>
      <c r="W6483" t="s">
        <v>41227</v>
      </c>
      <c r="X6483" t="s">
        <v>43173</v>
      </c>
    </row>
    <row r="6484" spans="1:24">
      <c r="A6484">
        <f>HYPERLINK("https://www.philgeps.gov.ph/GEPSNONPILOT/Tender/SplashBidNoticeAbstractUI.aspx?menuIndex=3&amp;refID=7081712&amp;Result=3","7081712")</f>
        <v>0</v>
      </c>
      <c r="B6484" t="s">
        <v>2075</v>
      </c>
      <c r="C6484" t="s">
        <v>9592</v>
      </c>
      <c r="D6484" t="s">
        <v>17486</v>
      </c>
      <c r="E6484" t="s">
        <v>23100</v>
      </c>
      <c r="F6484" t="s">
        <v>30052</v>
      </c>
      <c r="G6484" t="s">
        <v>30058</v>
      </c>
      <c r="H6484" t="s">
        <v>15498</v>
      </c>
      <c r="I6484" t="s">
        <v>30073</v>
      </c>
      <c r="J6484" t="s">
        <v>34248</v>
      </c>
      <c r="K6484" t="s">
        <v>39067</v>
      </c>
      <c r="M6484" t="s">
        <v>41535</v>
      </c>
      <c r="N6484" t="s">
        <v>43166</v>
      </c>
      <c r="O6484" t="s">
        <v>43167</v>
      </c>
      <c r="P6484">
        <v>0</v>
      </c>
      <c r="Q6484">
        <v>2</v>
      </c>
      <c r="R6484" t="s">
        <v>43172</v>
      </c>
      <c r="S6484" t="s">
        <v>43334</v>
      </c>
      <c r="T6484" t="s">
        <v>44979</v>
      </c>
      <c r="U6484" t="s">
        <v>50449</v>
      </c>
      <c r="W6484" t="s">
        <v>41535</v>
      </c>
      <c r="X6484" t="s">
        <v>43173</v>
      </c>
    </row>
    <row r="6485" spans="1:24">
      <c r="A6485">
        <f>HYPERLINK("https://www.philgeps.gov.ph/GEPSNONPILOT/Tender/SplashBidNoticeAbstractUI.aspx?menuIndex=3&amp;refID=7081710&amp;Result=3","7081710")</f>
        <v>0</v>
      </c>
      <c r="B6485" t="s">
        <v>2078</v>
      </c>
      <c r="C6485" t="s">
        <v>9593</v>
      </c>
      <c r="D6485" t="s">
        <v>17445</v>
      </c>
      <c r="E6485" t="s">
        <v>23101</v>
      </c>
      <c r="F6485" t="s">
        <v>30052</v>
      </c>
      <c r="G6485" t="s">
        <v>30058</v>
      </c>
      <c r="H6485" t="s">
        <v>15498</v>
      </c>
      <c r="I6485" t="s">
        <v>30149</v>
      </c>
      <c r="J6485" t="s">
        <v>32173</v>
      </c>
      <c r="K6485" t="s">
        <v>39064</v>
      </c>
      <c r="M6485" t="s">
        <v>41539</v>
      </c>
      <c r="N6485" t="s">
        <v>43166</v>
      </c>
      <c r="O6485" t="s">
        <v>43167</v>
      </c>
      <c r="P6485">
        <v>0</v>
      </c>
      <c r="Q6485">
        <v>6</v>
      </c>
      <c r="R6485" t="s">
        <v>43172</v>
      </c>
      <c r="S6485" t="s">
        <v>43334</v>
      </c>
      <c r="T6485" t="s">
        <v>44877</v>
      </c>
      <c r="U6485" t="s">
        <v>50450</v>
      </c>
      <c r="V6485" t="s">
        <v>57507</v>
      </c>
      <c r="W6485" t="s">
        <v>41539</v>
      </c>
      <c r="X6485" t="s">
        <v>43173</v>
      </c>
    </row>
    <row r="6486" spans="1:24">
      <c r="A6486">
        <f>HYPERLINK("https://www.philgeps.gov.ph/GEPSNONPILOT/Tender/SplashBidNoticeAbstractUI.aspx?menuIndex=3&amp;refID=7081708&amp;Result=3","7081708")</f>
        <v>0</v>
      </c>
      <c r="B6486" t="s">
        <v>2073</v>
      </c>
      <c r="C6486" t="s">
        <v>9576</v>
      </c>
      <c r="D6486" t="s">
        <v>17465</v>
      </c>
      <c r="E6486" t="s">
        <v>17760</v>
      </c>
      <c r="F6486" t="s">
        <v>30052</v>
      </c>
      <c r="G6486" t="s">
        <v>30062</v>
      </c>
      <c r="H6486" t="s">
        <v>15498</v>
      </c>
      <c r="I6486" t="s">
        <v>4119</v>
      </c>
      <c r="J6486" t="s">
        <v>34249</v>
      </c>
      <c r="K6486" t="s">
        <v>39034</v>
      </c>
      <c r="M6486" t="s">
        <v>41533</v>
      </c>
      <c r="N6486" t="s">
        <v>43166</v>
      </c>
      <c r="O6486" t="s">
        <v>43167</v>
      </c>
      <c r="P6486">
        <v>0</v>
      </c>
      <c r="Q6486">
        <v>4</v>
      </c>
      <c r="R6486" t="s">
        <v>43172</v>
      </c>
      <c r="S6486" t="s">
        <v>43334</v>
      </c>
      <c r="T6486" t="s">
        <v>44737</v>
      </c>
      <c r="U6486" t="s">
        <v>50435</v>
      </c>
      <c r="W6486" t="s">
        <v>41533</v>
      </c>
      <c r="X6486" t="s">
        <v>43173</v>
      </c>
    </row>
    <row r="6487" spans="1:24">
      <c r="A6487">
        <f>HYPERLINK("https://www.philgeps.gov.ph/GEPSNONPILOT/Tender/SplashBidNoticeAbstractUI.aspx?menuIndex=3&amp;refID=7081706&amp;Result=3","7081706")</f>
        <v>0</v>
      </c>
      <c r="B6487" t="s">
        <v>1804</v>
      </c>
      <c r="C6487" t="s">
        <v>9594</v>
      </c>
      <c r="E6487" t="s">
        <v>23102</v>
      </c>
      <c r="F6487" t="s">
        <v>30052</v>
      </c>
      <c r="G6487" t="s">
        <v>30058</v>
      </c>
      <c r="H6487" t="s">
        <v>30067</v>
      </c>
      <c r="I6487" t="s">
        <v>3693</v>
      </c>
      <c r="J6487" t="s">
        <v>30557</v>
      </c>
      <c r="K6487" t="s">
        <v>39025</v>
      </c>
      <c r="M6487" t="s">
        <v>41227</v>
      </c>
      <c r="N6487" t="s">
        <v>43166</v>
      </c>
      <c r="O6487" t="s">
        <v>43167</v>
      </c>
      <c r="P6487">
        <v>0</v>
      </c>
      <c r="Q6487">
        <v>0</v>
      </c>
      <c r="R6487" t="s">
        <v>43172</v>
      </c>
      <c r="S6487" t="s">
        <v>43334</v>
      </c>
      <c r="T6487" t="s">
        <v>44693</v>
      </c>
      <c r="U6487" t="s">
        <v>50430</v>
      </c>
      <c r="W6487" t="s">
        <v>41227</v>
      </c>
      <c r="X6487" t="s">
        <v>43173</v>
      </c>
    </row>
    <row r="6488" spans="1:24">
      <c r="A6488">
        <f>HYPERLINK("https://www.philgeps.gov.ph/GEPSNONPILOT/Tender/SplashBidNoticeAbstractUI.aspx?menuIndex=3&amp;refID=7081719&amp;Result=3","7081719")</f>
        <v>0</v>
      </c>
      <c r="B6488" t="s">
        <v>2079</v>
      </c>
      <c r="C6488" t="s">
        <v>9595</v>
      </c>
      <c r="D6488" t="s">
        <v>17451</v>
      </c>
      <c r="E6488" t="s">
        <v>23103</v>
      </c>
      <c r="F6488" t="s">
        <v>30052</v>
      </c>
      <c r="G6488" t="s">
        <v>30058</v>
      </c>
      <c r="H6488" t="s">
        <v>30067</v>
      </c>
      <c r="I6488" t="s">
        <v>3693</v>
      </c>
      <c r="J6488" t="s">
        <v>34250</v>
      </c>
      <c r="K6488" t="s">
        <v>39022</v>
      </c>
      <c r="M6488" t="s">
        <v>41540</v>
      </c>
      <c r="N6488" t="s">
        <v>43166</v>
      </c>
      <c r="O6488" t="s">
        <v>43167</v>
      </c>
      <c r="P6488">
        <v>0</v>
      </c>
      <c r="Q6488">
        <v>0</v>
      </c>
      <c r="R6488" t="s">
        <v>43172</v>
      </c>
      <c r="S6488" t="s">
        <v>43334</v>
      </c>
      <c r="T6488" t="s">
        <v>44763</v>
      </c>
      <c r="U6488" t="s">
        <v>50451</v>
      </c>
      <c r="W6488" t="s">
        <v>41540</v>
      </c>
      <c r="X6488" t="s">
        <v>43173</v>
      </c>
    </row>
    <row r="6489" spans="1:24">
      <c r="A6489">
        <f>HYPERLINK("https://www.philgeps.gov.ph/GEPSNONPILOT/Tender/SplashBidNoticeAbstractUI.aspx?menuIndex=3&amp;refID=7081701&amp;Result=3","7081701")</f>
        <v>0</v>
      </c>
      <c r="B6489" t="s">
        <v>296</v>
      </c>
      <c r="C6489" t="s">
        <v>9596</v>
      </c>
      <c r="E6489" t="s">
        <v>23104</v>
      </c>
      <c r="F6489" t="s">
        <v>30052</v>
      </c>
      <c r="G6489" t="s">
        <v>30058</v>
      </c>
      <c r="H6489" t="s">
        <v>15498</v>
      </c>
      <c r="I6489" t="s">
        <v>30074</v>
      </c>
      <c r="J6489" t="s">
        <v>30397</v>
      </c>
      <c r="K6489" t="s">
        <v>39025</v>
      </c>
      <c r="M6489" t="s">
        <v>41050</v>
      </c>
      <c r="N6489" t="s">
        <v>43166</v>
      </c>
      <c r="O6489" t="s">
        <v>43167</v>
      </c>
      <c r="P6489">
        <v>0</v>
      </c>
      <c r="Q6489">
        <v>3</v>
      </c>
      <c r="R6489" t="s">
        <v>43172</v>
      </c>
      <c r="S6489" t="s">
        <v>43334</v>
      </c>
      <c r="T6489" t="s">
        <v>44752</v>
      </c>
      <c r="U6489" t="s">
        <v>50452</v>
      </c>
      <c r="V6489" t="s">
        <v>57341</v>
      </c>
      <c r="W6489" t="s">
        <v>41050</v>
      </c>
      <c r="X6489" t="s">
        <v>43173</v>
      </c>
    </row>
    <row r="6490" spans="1:24">
      <c r="A6490">
        <f>HYPERLINK("https://www.philgeps.gov.ph/GEPSNONPILOT/Tender/SplashBidNoticeAbstractUI.aspx?menuIndex=3&amp;refID=7081700&amp;Result=3","7081700")</f>
        <v>0</v>
      </c>
      <c r="B6490" t="s">
        <v>1804</v>
      </c>
      <c r="C6490" t="s">
        <v>9597</v>
      </c>
      <c r="E6490" t="s">
        <v>23105</v>
      </c>
      <c r="F6490" t="s">
        <v>30052</v>
      </c>
      <c r="G6490" t="s">
        <v>30058</v>
      </c>
      <c r="H6490" t="s">
        <v>30067</v>
      </c>
      <c r="I6490" t="s">
        <v>3693</v>
      </c>
      <c r="J6490" t="s">
        <v>34251</v>
      </c>
      <c r="K6490" t="s">
        <v>39025</v>
      </c>
      <c r="M6490" t="s">
        <v>41227</v>
      </c>
      <c r="N6490" t="s">
        <v>43166</v>
      </c>
      <c r="O6490" t="s">
        <v>43167</v>
      </c>
      <c r="P6490">
        <v>0</v>
      </c>
      <c r="Q6490">
        <v>0</v>
      </c>
      <c r="R6490" t="s">
        <v>43172</v>
      </c>
      <c r="S6490" t="s">
        <v>43334</v>
      </c>
      <c r="T6490" t="s">
        <v>44693</v>
      </c>
      <c r="U6490" t="s">
        <v>50430</v>
      </c>
      <c r="W6490" t="s">
        <v>41227</v>
      </c>
      <c r="X6490" t="s">
        <v>43173</v>
      </c>
    </row>
    <row r="6491" spans="1:24">
      <c r="A6491">
        <f>HYPERLINK("https://www.philgeps.gov.ph/GEPSNONPILOT/Tender/SplashBidNoticeAbstractUI.aspx?menuIndex=3&amp;refID=7081699&amp;Result=3","7081699")</f>
        <v>0</v>
      </c>
      <c r="B6491" t="s">
        <v>2080</v>
      </c>
      <c r="C6491" t="s">
        <v>9598</v>
      </c>
      <c r="D6491" t="s">
        <v>17415</v>
      </c>
      <c r="E6491" t="s">
        <v>23106</v>
      </c>
      <c r="F6491" t="s">
        <v>30052</v>
      </c>
      <c r="G6491" t="s">
        <v>30058</v>
      </c>
      <c r="H6491" t="s">
        <v>15498</v>
      </c>
      <c r="I6491" t="s">
        <v>7228</v>
      </c>
      <c r="J6491" t="s">
        <v>34252</v>
      </c>
      <c r="K6491" t="s">
        <v>39040</v>
      </c>
      <c r="M6491" t="s">
        <v>41541</v>
      </c>
      <c r="N6491" t="s">
        <v>43166</v>
      </c>
      <c r="O6491" t="s">
        <v>43167</v>
      </c>
      <c r="P6491">
        <v>0</v>
      </c>
      <c r="Q6491">
        <v>2</v>
      </c>
      <c r="R6491" t="s">
        <v>43172</v>
      </c>
      <c r="S6491" t="s">
        <v>43334</v>
      </c>
      <c r="T6491" t="s">
        <v>44720</v>
      </c>
      <c r="U6491" t="s">
        <v>50453</v>
      </c>
      <c r="W6491" t="s">
        <v>41541</v>
      </c>
      <c r="X6491" t="s">
        <v>43173</v>
      </c>
    </row>
    <row r="6492" spans="1:24">
      <c r="A6492">
        <f>HYPERLINK("https://www.philgeps.gov.ph/GEPSNONPILOT/Tender/SplashBidNoticeAbstractUI.aspx?menuIndex=3&amp;refID=7081724&amp;Result=3","7081724")</f>
        <v>0</v>
      </c>
      <c r="B6492" t="s">
        <v>2073</v>
      </c>
      <c r="C6492" t="s">
        <v>9599</v>
      </c>
      <c r="D6492" t="s">
        <v>17465</v>
      </c>
      <c r="E6492" t="s">
        <v>17706</v>
      </c>
      <c r="F6492" t="s">
        <v>30052</v>
      </c>
      <c r="G6492" t="s">
        <v>30062</v>
      </c>
      <c r="H6492" t="s">
        <v>15498</v>
      </c>
      <c r="I6492" t="s">
        <v>30096</v>
      </c>
      <c r="J6492" t="s">
        <v>34253</v>
      </c>
      <c r="K6492" t="s">
        <v>39034</v>
      </c>
      <c r="M6492" t="s">
        <v>41533</v>
      </c>
      <c r="N6492" t="s">
        <v>43166</v>
      </c>
      <c r="O6492" t="s">
        <v>43167</v>
      </c>
      <c r="P6492">
        <v>0</v>
      </c>
      <c r="Q6492">
        <v>1</v>
      </c>
      <c r="R6492" t="s">
        <v>43172</v>
      </c>
      <c r="S6492" t="s">
        <v>43334</v>
      </c>
      <c r="T6492" t="s">
        <v>44737</v>
      </c>
      <c r="U6492" t="s">
        <v>50435</v>
      </c>
      <c r="W6492" t="s">
        <v>41533</v>
      </c>
      <c r="X6492" t="s">
        <v>43173</v>
      </c>
    </row>
    <row r="6493" spans="1:24">
      <c r="A6493">
        <f>HYPERLINK("https://www.philgeps.gov.ph/GEPSNONPILOT/Tender/SplashBidNoticeAbstractUI.aspx?menuIndex=3&amp;refID=7081755&amp;Result=3","7081755")</f>
        <v>0</v>
      </c>
      <c r="B6493" t="s">
        <v>2081</v>
      </c>
      <c r="C6493" t="s">
        <v>9600</v>
      </c>
      <c r="D6493" t="s">
        <v>17432</v>
      </c>
      <c r="E6493" t="s">
        <v>21857</v>
      </c>
      <c r="F6493" t="s">
        <v>30052</v>
      </c>
      <c r="G6493" t="s">
        <v>30059</v>
      </c>
      <c r="H6493" t="s">
        <v>15498</v>
      </c>
      <c r="I6493" t="s">
        <v>30070</v>
      </c>
      <c r="J6493" t="s">
        <v>34254</v>
      </c>
      <c r="K6493" t="s">
        <v>39039</v>
      </c>
      <c r="M6493" t="s">
        <v>41542</v>
      </c>
      <c r="N6493" t="s">
        <v>43166</v>
      </c>
      <c r="O6493" t="s">
        <v>43167</v>
      </c>
      <c r="P6493">
        <v>0</v>
      </c>
      <c r="Q6493">
        <v>0</v>
      </c>
      <c r="R6493" t="s">
        <v>43172</v>
      </c>
      <c r="S6493" t="s">
        <v>43334</v>
      </c>
      <c r="T6493" t="s">
        <v>44764</v>
      </c>
      <c r="U6493" t="s">
        <v>50454</v>
      </c>
      <c r="W6493" t="s">
        <v>41542</v>
      </c>
      <c r="X6493" t="s">
        <v>43173</v>
      </c>
    </row>
    <row r="6494" spans="1:24">
      <c r="A6494">
        <f>HYPERLINK("https://www.philgeps.gov.ph/GEPSNONPILOT/Tender/SplashBidNoticeAbstractUI.aspx?menuIndex=3&amp;refID=7081660&amp;Result=3","7081660")</f>
        <v>0</v>
      </c>
      <c r="B6494" t="s">
        <v>2082</v>
      </c>
      <c r="C6494" t="s">
        <v>9601</v>
      </c>
      <c r="D6494" t="s">
        <v>17442</v>
      </c>
      <c r="E6494" t="s">
        <v>23107</v>
      </c>
      <c r="F6494" t="s">
        <v>30052</v>
      </c>
      <c r="G6494" t="s">
        <v>30058</v>
      </c>
      <c r="H6494" t="s">
        <v>30067</v>
      </c>
      <c r="I6494" t="s">
        <v>3736</v>
      </c>
      <c r="J6494" t="s">
        <v>34255</v>
      </c>
      <c r="K6494" t="s">
        <v>39025</v>
      </c>
      <c r="M6494" t="s">
        <v>41543</v>
      </c>
      <c r="N6494" t="s">
        <v>43166</v>
      </c>
      <c r="O6494" t="s">
        <v>43167</v>
      </c>
      <c r="P6494">
        <v>0</v>
      </c>
      <c r="Q6494">
        <v>0</v>
      </c>
      <c r="R6494" t="s">
        <v>43172</v>
      </c>
      <c r="S6494" t="s">
        <v>43334</v>
      </c>
      <c r="T6494" t="s">
        <v>44708</v>
      </c>
      <c r="U6494" t="s">
        <v>50455</v>
      </c>
      <c r="W6494" t="s">
        <v>41543</v>
      </c>
      <c r="X6494" t="s">
        <v>43173</v>
      </c>
    </row>
    <row r="6495" spans="1:24">
      <c r="A6495">
        <f>HYPERLINK("https://www.philgeps.gov.ph/GEPSNONPILOT/Tender/SplashBidNoticeAbstractUI.aspx?menuIndex=3&amp;refID=7081754&amp;Result=3","7081754")</f>
        <v>0</v>
      </c>
      <c r="B6495" t="s">
        <v>390</v>
      </c>
      <c r="C6495" t="s">
        <v>9602</v>
      </c>
      <c r="D6495" t="s">
        <v>17415</v>
      </c>
      <c r="E6495" t="s">
        <v>23108</v>
      </c>
      <c r="F6495" t="s">
        <v>30052</v>
      </c>
      <c r="G6495" t="s">
        <v>30059</v>
      </c>
      <c r="H6495" t="s">
        <v>15498</v>
      </c>
      <c r="I6495" t="s">
        <v>30112</v>
      </c>
      <c r="J6495" t="s">
        <v>31861</v>
      </c>
      <c r="K6495" t="s">
        <v>39025</v>
      </c>
      <c r="M6495" t="s">
        <v>41538</v>
      </c>
      <c r="N6495" t="s">
        <v>43166</v>
      </c>
      <c r="O6495" t="s">
        <v>43167</v>
      </c>
      <c r="P6495">
        <v>0</v>
      </c>
      <c r="Q6495">
        <v>3</v>
      </c>
      <c r="R6495" t="s">
        <v>43172</v>
      </c>
      <c r="S6495" t="s">
        <v>43334</v>
      </c>
      <c r="T6495" t="s">
        <v>44862</v>
      </c>
      <c r="U6495" t="s">
        <v>50456</v>
      </c>
      <c r="W6495" t="s">
        <v>41538</v>
      </c>
      <c r="X6495" t="s">
        <v>43173</v>
      </c>
    </row>
    <row r="6496" spans="1:24">
      <c r="A6496">
        <f>HYPERLINK("https://www.philgeps.gov.ph/GEPSNONPILOT/Tender/SplashBidNoticeAbstractUI.aspx?menuIndex=3&amp;refID=7081751&amp;Result=3","7081751")</f>
        <v>0</v>
      </c>
      <c r="B6496" t="s">
        <v>1839</v>
      </c>
      <c r="C6496" t="s">
        <v>9603</v>
      </c>
      <c r="D6496" t="s">
        <v>17415</v>
      </c>
      <c r="E6496" t="s">
        <v>23109</v>
      </c>
      <c r="F6496" t="s">
        <v>30052</v>
      </c>
      <c r="G6496" t="s">
        <v>30059</v>
      </c>
      <c r="H6496" t="s">
        <v>15498</v>
      </c>
      <c r="I6496" t="s">
        <v>30081</v>
      </c>
      <c r="J6496" t="s">
        <v>34023</v>
      </c>
      <c r="K6496" t="s">
        <v>39029</v>
      </c>
      <c r="M6496" t="s">
        <v>41264</v>
      </c>
      <c r="N6496" t="s">
        <v>43166</v>
      </c>
      <c r="O6496" t="s">
        <v>43167</v>
      </c>
      <c r="P6496">
        <v>0</v>
      </c>
      <c r="Q6496">
        <v>1</v>
      </c>
      <c r="R6496" t="s">
        <v>43172</v>
      </c>
      <c r="S6496" t="s">
        <v>43334</v>
      </c>
      <c r="T6496" t="s">
        <v>44777</v>
      </c>
      <c r="U6496" t="s">
        <v>50457</v>
      </c>
      <c r="W6496" t="s">
        <v>41264</v>
      </c>
      <c r="X6496" t="s">
        <v>43173</v>
      </c>
    </row>
    <row r="6497" spans="1:24">
      <c r="A6497">
        <f>HYPERLINK("https://www.philgeps.gov.ph/GEPSNONPILOT/Tender/SplashBidNoticeAbstractUI.aspx?menuIndex=3&amp;refID=7081750&amp;Result=3","7081750")</f>
        <v>0</v>
      </c>
      <c r="B6497" t="s">
        <v>2083</v>
      </c>
      <c r="C6497" t="s">
        <v>9604</v>
      </c>
      <c r="D6497" t="s">
        <v>17415</v>
      </c>
      <c r="E6497" t="s">
        <v>23110</v>
      </c>
      <c r="F6497" t="s">
        <v>30052</v>
      </c>
      <c r="G6497" t="s">
        <v>30058</v>
      </c>
      <c r="H6497" t="s">
        <v>15498</v>
      </c>
      <c r="I6497" t="s">
        <v>30084</v>
      </c>
      <c r="J6497" t="s">
        <v>34256</v>
      </c>
      <c r="K6497" t="s">
        <v>39029</v>
      </c>
      <c r="M6497" t="s">
        <v>41544</v>
      </c>
      <c r="N6497" t="s">
        <v>43166</v>
      </c>
      <c r="O6497" t="s">
        <v>43167</v>
      </c>
      <c r="Q6497">
        <v>13</v>
      </c>
      <c r="R6497" t="s">
        <v>43172</v>
      </c>
      <c r="S6497" t="s">
        <v>43371</v>
      </c>
      <c r="T6497" t="s">
        <v>45007</v>
      </c>
      <c r="U6497" t="s">
        <v>50458</v>
      </c>
      <c r="W6497" t="s">
        <v>41544</v>
      </c>
      <c r="X6497" t="s">
        <v>43173</v>
      </c>
    </row>
    <row r="6498" spans="1:24">
      <c r="A6498">
        <f>HYPERLINK("https://www.philgeps.gov.ph/GEPSNONPILOT/Tender/SplashBidNoticeAbstractUI.aspx?menuIndex=3&amp;refID=7081747&amp;Result=3","7081747")</f>
        <v>0</v>
      </c>
      <c r="B6498" t="s">
        <v>2084</v>
      </c>
      <c r="C6498" t="s">
        <v>9212</v>
      </c>
      <c r="D6498" t="s">
        <v>17417</v>
      </c>
      <c r="E6498" t="s">
        <v>22639</v>
      </c>
      <c r="F6498" t="s">
        <v>30052</v>
      </c>
      <c r="G6498" t="s">
        <v>30058</v>
      </c>
      <c r="H6498" t="s">
        <v>30067</v>
      </c>
      <c r="I6498" t="s">
        <v>3693</v>
      </c>
      <c r="J6498" t="s">
        <v>34257</v>
      </c>
      <c r="K6498" t="s">
        <v>39065</v>
      </c>
      <c r="M6498" t="s">
        <v>41545</v>
      </c>
      <c r="N6498" t="s">
        <v>43166</v>
      </c>
      <c r="O6498" t="s">
        <v>43167</v>
      </c>
      <c r="P6498">
        <v>0</v>
      </c>
      <c r="Q6498">
        <v>3</v>
      </c>
      <c r="R6498" t="s">
        <v>43172</v>
      </c>
      <c r="S6498" t="s">
        <v>43334</v>
      </c>
      <c r="T6498" t="s">
        <v>44698</v>
      </c>
      <c r="U6498" t="s">
        <v>50459</v>
      </c>
      <c r="W6498" t="s">
        <v>41545</v>
      </c>
      <c r="X6498" t="s">
        <v>43173</v>
      </c>
    </row>
    <row r="6499" spans="1:24">
      <c r="A6499">
        <f>HYPERLINK("https://www.philgeps.gov.ph/GEPSNONPILOT/Tender/SplashBidNoticeAbstractUI.aspx?menuIndex=3&amp;refID=7081694&amp;Result=3","7081694")</f>
        <v>0</v>
      </c>
      <c r="B6499" t="s">
        <v>1804</v>
      </c>
      <c r="C6499" t="s">
        <v>9605</v>
      </c>
      <c r="E6499" t="s">
        <v>23111</v>
      </c>
      <c r="F6499" t="s">
        <v>30052</v>
      </c>
      <c r="G6499" t="s">
        <v>30058</v>
      </c>
      <c r="H6499" t="s">
        <v>30067</v>
      </c>
      <c r="I6499" t="s">
        <v>3693</v>
      </c>
      <c r="J6499" t="s">
        <v>34258</v>
      </c>
      <c r="K6499" t="s">
        <v>39025</v>
      </c>
      <c r="M6499" t="s">
        <v>41227</v>
      </c>
      <c r="N6499" t="s">
        <v>43166</v>
      </c>
      <c r="O6499" t="s">
        <v>43167</v>
      </c>
      <c r="P6499">
        <v>0</v>
      </c>
      <c r="Q6499">
        <v>0</v>
      </c>
      <c r="R6499" t="s">
        <v>43172</v>
      </c>
      <c r="S6499" t="s">
        <v>43334</v>
      </c>
      <c r="T6499" t="s">
        <v>44693</v>
      </c>
      <c r="U6499" t="s">
        <v>50430</v>
      </c>
      <c r="W6499" t="s">
        <v>41227</v>
      </c>
      <c r="X6499" t="s">
        <v>43173</v>
      </c>
    </row>
    <row r="6500" spans="1:24">
      <c r="A6500">
        <f>HYPERLINK("https://www.philgeps.gov.ph/GEPSNONPILOT/Tender/SplashBidNoticeAbstractUI.aspx?menuIndex=3&amp;refID=7081745&amp;Result=3","7081745")</f>
        <v>0</v>
      </c>
      <c r="B6500" t="s">
        <v>422</v>
      </c>
      <c r="C6500" t="s">
        <v>9606</v>
      </c>
      <c r="D6500" t="s">
        <v>17455</v>
      </c>
      <c r="E6500" t="s">
        <v>23112</v>
      </c>
      <c r="F6500" t="s">
        <v>30052</v>
      </c>
      <c r="G6500" t="s">
        <v>30058</v>
      </c>
      <c r="H6500" t="s">
        <v>15498</v>
      </c>
      <c r="I6500" t="s">
        <v>30135</v>
      </c>
      <c r="J6500" t="s">
        <v>30397</v>
      </c>
      <c r="K6500" t="s">
        <v>39029</v>
      </c>
      <c r="M6500" t="s">
        <v>39762</v>
      </c>
      <c r="N6500" t="s">
        <v>43166</v>
      </c>
      <c r="O6500" t="s">
        <v>43167</v>
      </c>
      <c r="P6500">
        <v>0</v>
      </c>
      <c r="Q6500">
        <v>9</v>
      </c>
      <c r="R6500" t="s">
        <v>43172</v>
      </c>
      <c r="S6500" t="s">
        <v>43334</v>
      </c>
      <c r="T6500" t="s">
        <v>44726</v>
      </c>
      <c r="U6500" t="s">
        <v>50460</v>
      </c>
      <c r="W6500" t="s">
        <v>39762</v>
      </c>
      <c r="X6500" t="s">
        <v>43173</v>
      </c>
    </row>
    <row r="6501" spans="1:24">
      <c r="A6501">
        <f>HYPERLINK("https://www.philgeps.gov.ph/GEPSNONPILOT/Tender/SplashBidNoticeAbstractUI.aspx?menuIndex=3&amp;refID=7081739&amp;Result=3","7081739")</f>
        <v>0</v>
      </c>
      <c r="B6501" t="s">
        <v>2085</v>
      </c>
      <c r="C6501" t="s">
        <v>9607</v>
      </c>
      <c r="D6501" t="s">
        <v>17415</v>
      </c>
      <c r="E6501" t="s">
        <v>23113</v>
      </c>
      <c r="F6501" t="s">
        <v>30052</v>
      </c>
      <c r="G6501" t="s">
        <v>30058</v>
      </c>
      <c r="H6501" t="s">
        <v>30067</v>
      </c>
      <c r="I6501" t="s">
        <v>3693</v>
      </c>
      <c r="J6501" t="s">
        <v>34259</v>
      </c>
      <c r="K6501" t="s">
        <v>39175</v>
      </c>
      <c r="M6501" t="s">
        <v>41546</v>
      </c>
      <c r="N6501" t="s">
        <v>43166</v>
      </c>
      <c r="O6501" t="s">
        <v>43167</v>
      </c>
      <c r="P6501">
        <v>0</v>
      </c>
      <c r="Q6501">
        <v>6</v>
      </c>
      <c r="R6501" t="s">
        <v>43172</v>
      </c>
      <c r="S6501" t="s">
        <v>43334</v>
      </c>
      <c r="T6501" t="s">
        <v>44828</v>
      </c>
      <c r="U6501" t="s">
        <v>50461</v>
      </c>
      <c r="W6501" t="s">
        <v>41546</v>
      </c>
      <c r="X6501" t="s">
        <v>43173</v>
      </c>
    </row>
    <row r="6502" spans="1:24">
      <c r="A6502">
        <f>HYPERLINK("https://www.philgeps.gov.ph/GEPSNONPILOT/Tender/SplashBidNoticeAbstractUI.aspx?menuIndex=3&amp;refID=7081672&amp;Result=3","7081672")</f>
        <v>0</v>
      </c>
      <c r="B6502" t="s">
        <v>2086</v>
      </c>
      <c r="C6502" t="s">
        <v>9608</v>
      </c>
      <c r="D6502" t="s">
        <v>17455</v>
      </c>
      <c r="E6502" t="s">
        <v>23114</v>
      </c>
      <c r="F6502" t="s">
        <v>30052</v>
      </c>
      <c r="G6502" t="s">
        <v>30059</v>
      </c>
      <c r="H6502" t="s">
        <v>15498</v>
      </c>
      <c r="I6502" t="s">
        <v>30087</v>
      </c>
      <c r="J6502" t="s">
        <v>34260</v>
      </c>
      <c r="K6502" t="s">
        <v>39019</v>
      </c>
      <c r="M6502" t="s">
        <v>41547</v>
      </c>
      <c r="N6502" t="s">
        <v>43166</v>
      </c>
      <c r="O6502" t="s">
        <v>43167</v>
      </c>
      <c r="P6502">
        <v>0</v>
      </c>
      <c r="Q6502">
        <v>0</v>
      </c>
      <c r="R6502" t="s">
        <v>43172</v>
      </c>
      <c r="S6502" t="s">
        <v>43334</v>
      </c>
      <c r="T6502" t="s">
        <v>44734</v>
      </c>
      <c r="U6502" t="s">
        <v>50462</v>
      </c>
      <c r="W6502" t="s">
        <v>41547</v>
      </c>
      <c r="X6502" t="s">
        <v>43173</v>
      </c>
    </row>
    <row r="6503" spans="1:24">
      <c r="A6503">
        <f>HYPERLINK("https://www.philgeps.gov.ph/GEPSNONPILOT/Tender/SplashBidNoticeAbstractUI.aspx?menuIndex=3&amp;refID=7081734&amp;Result=3","7081734")</f>
        <v>0</v>
      </c>
      <c r="B6503" t="s">
        <v>509</v>
      </c>
      <c r="C6503" t="s">
        <v>9609</v>
      </c>
      <c r="D6503" t="s">
        <v>17415</v>
      </c>
      <c r="E6503" t="s">
        <v>23115</v>
      </c>
      <c r="F6503" t="s">
        <v>30052</v>
      </c>
      <c r="G6503" t="s">
        <v>30058</v>
      </c>
      <c r="H6503" t="s">
        <v>30067</v>
      </c>
      <c r="I6503" t="s">
        <v>3693</v>
      </c>
      <c r="J6503" t="s">
        <v>34261</v>
      </c>
      <c r="K6503" t="s">
        <v>39033</v>
      </c>
      <c r="M6503" t="s">
        <v>39810</v>
      </c>
      <c r="N6503" t="s">
        <v>43166</v>
      </c>
      <c r="O6503" t="s">
        <v>43167</v>
      </c>
      <c r="Q6503">
        <v>13</v>
      </c>
      <c r="R6503" t="s">
        <v>43172</v>
      </c>
      <c r="S6503" t="s">
        <v>43372</v>
      </c>
      <c r="T6503" t="s">
        <v>44758</v>
      </c>
      <c r="U6503" t="s">
        <v>50415</v>
      </c>
      <c r="W6503" t="s">
        <v>39810</v>
      </c>
      <c r="X6503" t="s">
        <v>43173</v>
      </c>
    </row>
    <row r="6504" spans="1:24">
      <c r="A6504">
        <f>HYPERLINK("https://www.philgeps.gov.ph/GEPSNONPILOT/Tender/SplashBidNoticeAbstractUI.aspx?menuIndex=3&amp;refID=7081731&amp;Result=3","7081731")</f>
        <v>0</v>
      </c>
      <c r="B6504" t="s">
        <v>2079</v>
      </c>
      <c r="C6504" t="s">
        <v>9610</v>
      </c>
      <c r="D6504" t="s">
        <v>17451</v>
      </c>
      <c r="E6504" t="s">
        <v>23116</v>
      </c>
      <c r="F6504" t="s">
        <v>30052</v>
      </c>
      <c r="G6504" t="s">
        <v>30058</v>
      </c>
      <c r="H6504" t="s">
        <v>30067</v>
      </c>
      <c r="I6504" t="s">
        <v>3693</v>
      </c>
      <c r="J6504" t="s">
        <v>34262</v>
      </c>
      <c r="K6504" t="s">
        <v>39038</v>
      </c>
      <c r="M6504" t="s">
        <v>41540</v>
      </c>
      <c r="N6504" t="s">
        <v>43166</v>
      </c>
      <c r="O6504" t="s">
        <v>43167</v>
      </c>
      <c r="P6504">
        <v>0</v>
      </c>
      <c r="Q6504">
        <v>1</v>
      </c>
      <c r="R6504" t="s">
        <v>43172</v>
      </c>
      <c r="S6504" t="s">
        <v>43334</v>
      </c>
      <c r="T6504" t="s">
        <v>44685</v>
      </c>
      <c r="U6504" t="s">
        <v>50463</v>
      </c>
      <c r="W6504" t="s">
        <v>41540</v>
      </c>
      <c r="X6504" t="s">
        <v>43173</v>
      </c>
    </row>
    <row r="6505" spans="1:24">
      <c r="A6505">
        <f>HYPERLINK("https://www.philgeps.gov.ph/GEPSNONPILOT/Tender/SplashBidNoticeAbstractUI.aspx?menuIndex=3&amp;refID=7081729&amp;Result=3","7081729")</f>
        <v>0</v>
      </c>
      <c r="B6505" t="s">
        <v>1804</v>
      </c>
      <c r="C6505" t="s">
        <v>9611</v>
      </c>
      <c r="E6505" t="s">
        <v>23117</v>
      </c>
      <c r="F6505" t="s">
        <v>30052</v>
      </c>
      <c r="G6505" t="s">
        <v>30058</v>
      </c>
      <c r="H6505" t="s">
        <v>30067</v>
      </c>
      <c r="I6505" t="s">
        <v>3693</v>
      </c>
      <c r="J6505" t="s">
        <v>34263</v>
      </c>
      <c r="K6505" t="s">
        <v>39025</v>
      </c>
      <c r="M6505" t="s">
        <v>41227</v>
      </c>
      <c r="N6505" t="s">
        <v>43166</v>
      </c>
      <c r="O6505" t="s">
        <v>43167</v>
      </c>
      <c r="P6505">
        <v>0</v>
      </c>
      <c r="Q6505">
        <v>0</v>
      </c>
      <c r="R6505" t="s">
        <v>43172</v>
      </c>
      <c r="S6505" t="s">
        <v>43334</v>
      </c>
      <c r="T6505" t="s">
        <v>44693</v>
      </c>
      <c r="U6505" t="s">
        <v>50430</v>
      </c>
      <c r="W6505" t="s">
        <v>41227</v>
      </c>
      <c r="X6505" t="s">
        <v>43173</v>
      </c>
    </row>
    <row r="6506" spans="1:24">
      <c r="A6506">
        <f>HYPERLINK("https://www.philgeps.gov.ph/GEPSNONPILOT/Tender/SplashBidNoticeAbstractUI.aspx?menuIndex=3&amp;refID=7081728&amp;Result=3","7081728")</f>
        <v>0</v>
      </c>
      <c r="B6506" t="s">
        <v>1213</v>
      </c>
      <c r="C6506" t="s">
        <v>9612</v>
      </c>
      <c r="D6506" t="s">
        <v>17448</v>
      </c>
      <c r="E6506" t="s">
        <v>23118</v>
      </c>
      <c r="F6506" t="s">
        <v>30052</v>
      </c>
      <c r="G6506" t="s">
        <v>30058</v>
      </c>
      <c r="H6506" t="s">
        <v>30067</v>
      </c>
      <c r="I6506" t="s">
        <v>3693</v>
      </c>
      <c r="J6506" t="s">
        <v>34264</v>
      </c>
      <c r="K6506" t="s">
        <v>39037</v>
      </c>
      <c r="M6506" t="s">
        <v>40567</v>
      </c>
      <c r="N6506" t="s">
        <v>43166</v>
      </c>
      <c r="O6506" t="s">
        <v>43167</v>
      </c>
      <c r="P6506">
        <v>0</v>
      </c>
      <c r="Q6506">
        <v>0</v>
      </c>
      <c r="R6506" t="s">
        <v>43172</v>
      </c>
      <c r="S6506" t="s">
        <v>43334</v>
      </c>
      <c r="T6506" t="s">
        <v>44756</v>
      </c>
      <c r="U6506" t="s">
        <v>47856</v>
      </c>
      <c r="W6506" t="s">
        <v>40567</v>
      </c>
      <c r="X6506" t="s">
        <v>43173</v>
      </c>
    </row>
    <row r="6507" spans="1:24">
      <c r="A6507">
        <f>HYPERLINK("https://www.philgeps.gov.ph/GEPSNONPILOT/Tender/SplashBidNoticeAbstractUI.aspx?menuIndex=3&amp;refID=7081705&amp;Result=3","7081705")</f>
        <v>0</v>
      </c>
      <c r="B6507" t="s">
        <v>1839</v>
      </c>
      <c r="C6507" t="s">
        <v>9613</v>
      </c>
      <c r="D6507" t="s">
        <v>17415</v>
      </c>
      <c r="E6507" t="s">
        <v>23119</v>
      </c>
      <c r="F6507" t="s">
        <v>30052</v>
      </c>
      <c r="G6507" t="s">
        <v>30059</v>
      </c>
      <c r="H6507" t="s">
        <v>15498</v>
      </c>
      <c r="I6507" t="s">
        <v>30115</v>
      </c>
      <c r="J6507" t="s">
        <v>34265</v>
      </c>
      <c r="K6507" t="s">
        <v>39029</v>
      </c>
      <c r="M6507" t="s">
        <v>41264</v>
      </c>
      <c r="N6507" t="s">
        <v>43166</v>
      </c>
      <c r="O6507" t="s">
        <v>43167</v>
      </c>
      <c r="P6507">
        <v>0</v>
      </c>
      <c r="Q6507">
        <v>16</v>
      </c>
      <c r="R6507" t="s">
        <v>43172</v>
      </c>
      <c r="S6507" t="s">
        <v>43334</v>
      </c>
      <c r="T6507" t="s">
        <v>44777</v>
      </c>
      <c r="U6507" t="s">
        <v>50464</v>
      </c>
      <c r="W6507" t="s">
        <v>41264</v>
      </c>
      <c r="X6507" t="s">
        <v>43173</v>
      </c>
    </row>
    <row r="6508" spans="1:24">
      <c r="A6508">
        <f>HYPERLINK("https://www.philgeps.gov.ph/GEPSNONPILOT/Tender/SplashBidNoticeAbstractUI.aspx?menuIndex=3&amp;refID=7081727&amp;Result=3","7081727")</f>
        <v>0</v>
      </c>
      <c r="B6508" t="s">
        <v>409</v>
      </c>
      <c r="C6508" t="s">
        <v>9614</v>
      </c>
      <c r="D6508" t="s">
        <v>17473</v>
      </c>
      <c r="E6508" t="s">
        <v>23120</v>
      </c>
      <c r="F6508" t="s">
        <v>30052</v>
      </c>
      <c r="G6508" t="s">
        <v>30059</v>
      </c>
      <c r="H6508" t="s">
        <v>15498</v>
      </c>
      <c r="I6508" t="s">
        <v>30076</v>
      </c>
      <c r="J6508" t="s">
        <v>34266</v>
      </c>
      <c r="K6508" t="s">
        <v>39034</v>
      </c>
      <c r="M6508" t="s">
        <v>39708</v>
      </c>
      <c r="N6508" t="s">
        <v>43166</v>
      </c>
      <c r="O6508" t="s">
        <v>43167</v>
      </c>
      <c r="P6508">
        <v>0</v>
      </c>
      <c r="Q6508">
        <v>1</v>
      </c>
      <c r="R6508" t="s">
        <v>43172</v>
      </c>
      <c r="S6508" t="s">
        <v>43334</v>
      </c>
      <c r="T6508" t="s">
        <v>44735</v>
      </c>
      <c r="U6508" t="s">
        <v>50465</v>
      </c>
      <c r="W6508" t="s">
        <v>39708</v>
      </c>
      <c r="X6508" t="s">
        <v>43173</v>
      </c>
    </row>
    <row r="6509" spans="1:24">
      <c r="A6509">
        <f>HYPERLINK("https://www.philgeps.gov.ph/GEPSNONPILOT/Tender/SplashBidNoticeAbstractUI.aspx?menuIndex=3&amp;refID=7081783&amp;Result=3","7081783")</f>
        <v>0</v>
      </c>
      <c r="B6509" t="s">
        <v>2087</v>
      </c>
      <c r="C6509" t="s">
        <v>9615</v>
      </c>
      <c r="D6509" t="s">
        <v>17458</v>
      </c>
      <c r="E6509" t="s">
        <v>23121</v>
      </c>
      <c r="F6509" t="s">
        <v>30052</v>
      </c>
      <c r="G6509" t="s">
        <v>30058</v>
      </c>
      <c r="H6509" t="s">
        <v>30067</v>
      </c>
      <c r="I6509" t="s">
        <v>3693</v>
      </c>
      <c r="J6509" t="s">
        <v>34267</v>
      </c>
      <c r="K6509" t="s">
        <v>39031</v>
      </c>
      <c r="M6509" t="s">
        <v>41548</v>
      </c>
      <c r="N6509" t="s">
        <v>43166</v>
      </c>
      <c r="O6509" t="s">
        <v>43167</v>
      </c>
      <c r="P6509">
        <v>0</v>
      </c>
      <c r="Q6509">
        <v>0</v>
      </c>
      <c r="R6509" t="s">
        <v>43172</v>
      </c>
      <c r="S6509" t="s">
        <v>43334</v>
      </c>
      <c r="T6509" t="s">
        <v>44842</v>
      </c>
      <c r="U6509" t="s">
        <v>50466</v>
      </c>
      <c r="W6509" t="s">
        <v>41548</v>
      </c>
      <c r="X6509" t="s">
        <v>43173</v>
      </c>
    </row>
    <row r="6510" spans="1:24">
      <c r="A6510">
        <f>HYPERLINK("https://www.philgeps.gov.ph/GEPSNONPILOT/Tender/SplashBidNoticeAbstractUI.aspx?menuIndex=3&amp;refID=7081782&amp;Result=3","7081782")</f>
        <v>0</v>
      </c>
      <c r="B6510" t="s">
        <v>2088</v>
      </c>
      <c r="C6510" t="s">
        <v>9616</v>
      </c>
      <c r="D6510" t="s">
        <v>17415</v>
      </c>
      <c r="E6510" t="s">
        <v>23122</v>
      </c>
      <c r="F6510" t="s">
        <v>30052</v>
      </c>
      <c r="G6510" t="s">
        <v>30058</v>
      </c>
      <c r="H6510" t="s">
        <v>15498</v>
      </c>
      <c r="I6510" t="s">
        <v>30094</v>
      </c>
      <c r="J6510" t="s">
        <v>30591</v>
      </c>
      <c r="K6510" t="s">
        <v>39019</v>
      </c>
      <c r="M6510" t="s">
        <v>41549</v>
      </c>
      <c r="N6510" t="s">
        <v>43166</v>
      </c>
      <c r="O6510" t="s">
        <v>43167</v>
      </c>
      <c r="P6510">
        <v>0</v>
      </c>
      <c r="Q6510">
        <v>0</v>
      </c>
      <c r="R6510" t="s">
        <v>43172</v>
      </c>
      <c r="S6510" t="s">
        <v>43334</v>
      </c>
      <c r="T6510" t="s">
        <v>44743</v>
      </c>
      <c r="U6510" t="s">
        <v>50467</v>
      </c>
      <c r="W6510" t="s">
        <v>58661</v>
      </c>
      <c r="X6510" t="s">
        <v>43173</v>
      </c>
    </row>
    <row r="6511" spans="1:24">
      <c r="A6511">
        <f>HYPERLINK("https://www.philgeps.gov.ph/GEPSNONPILOT/Tender/SplashBidNoticeAbstractUI.aspx?menuIndex=3&amp;refID=7081781&amp;Result=3","7081781")</f>
        <v>0</v>
      </c>
      <c r="B6511" t="s">
        <v>2087</v>
      </c>
      <c r="C6511" t="s">
        <v>9617</v>
      </c>
      <c r="D6511" t="s">
        <v>17458</v>
      </c>
      <c r="E6511" t="s">
        <v>23123</v>
      </c>
      <c r="F6511" t="s">
        <v>30052</v>
      </c>
      <c r="G6511" t="s">
        <v>30058</v>
      </c>
      <c r="H6511" t="s">
        <v>30067</v>
      </c>
      <c r="I6511" t="s">
        <v>3693</v>
      </c>
      <c r="J6511" t="s">
        <v>34268</v>
      </c>
      <c r="K6511" t="s">
        <v>39023</v>
      </c>
      <c r="M6511" t="s">
        <v>41548</v>
      </c>
      <c r="N6511" t="s">
        <v>43166</v>
      </c>
      <c r="O6511" t="s">
        <v>43167</v>
      </c>
      <c r="P6511">
        <v>0</v>
      </c>
      <c r="Q6511">
        <v>0</v>
      </c>
      <c r="R6511" t="s">
        <v>43172</v>
      </c>
      <c r="S6511" t="s">
        <v>43334</v>
      </c>
      <c r="T6511" t="s">
        <v>44842</v>
      </c>
      <c r="U6511" t="s">
        <v>50468</v>
      </c>
      <c r="W6511" t="s">
        <v>41548</v>
      </c>
      <c r="X6511" t="s">
        <v>43173</v>
      </c>
    </row>
    <row r="6512" spans="1:24">
      <c r="A6512">
        <f>HYPERLINK("https://www.philgeps.gov.ph/GEPSNONPILOT/Tender/SplashBidNoticeAbstractUI.aspx?menuIndex=3&amp;refID=7081774&amp;Result=3","7081774")</f>
        <v>0</v>
      </c>
      <c r="B6512" t="s">
        <v>2087</v>
      </c>
      <c r="C6512" t="s">
        <v>9618</v>
      </c>
      <c r="D6512" t="s">
        <v>17458</v>
      </c>
      <c r="E6512" t="s">
        <v>23124</v>
      </c>
      <c r="F6512" t="s">
        <v>30052</v>
      </c>
      <c r="G6512" t="s">
        <v>30058</v>
      </c>
      <c r="H6512" t="s">
        <v>30067</v>
      </c>
      <c r="I6512" t="s">
        <v>30068</v>
      </c>
      <c r="J6512" t="s">
        <v>34267</v>
      </c>
      <c r="K6512" t="s">
        <v>39031</v>
      </c>
      <c r="M6512" t="s">
        <v>41548</v>
      </c>
      <c r="N6512" t="s">
        <v>43166</v>
      </c>
      <c r="O6512" t="s">
        <v>43167</v>
      </c>
      <c r="P6512">
        <v>0</v>
      </c>
      <c r="Q6512">
        <v>0</v>
      </c>
      <c r="R6512" t="s">
        <v>43172</v>
      </c>
      <c r="S6512" t="s">
        <v>43334</v>
      </c>
      <c r="T6512" t="s">
        <v>44842</v>
      </c>
      <c r="U6512" t="s">
        <v>50466</v>
      </c>
      <c r="W6512" t="s">
        <v>41548</v>
      </c>
      <c r="X6512" t="s">
        <v>43173</v>
      </c>
    </row>
    <row r="6513" spans="1:24">
      <c r="A6513">
        <f>HYPERLINK("https://www.philgeps.gov.ph/GEPSNONPILOT/Tender/SplashBidNoticeAbstractUI.aspx?menuIndex=3&amp;refID=7081730&amp;Result=3","7081730")</f>
        <v>0</v>
      </c>
      <c r="B6513" t="s">
        <v>509</v>
      </c>
      <c r="C6513" t="s">
        <v>9619</v>
      </c>
      <c r="D6513" t="s">
        <v>17415</v>
      </c>
      <c r="E6513" t="s">
        <v>23125</v>
      </c>
      <c r="F6513" t="s">
        <v>30052</v>
      </c>
      <c r="G6513" t="s">
        <v>30058</v>
      </c>
      <c r="H6513" t="s">
        <v>30067</v>
      </c>
      <c r="I6513" t="s">
        <v>3693</v>
      </c>
      <c r="J6513" t="s">
        <v>34269</v>
      </c>
      <c r="K6513" t="s">
        <v>39119</v>
      </c>
      <c r="M6513" t="s">
        <v>39810</v>
      </c>
      <c r="N6513" t="s">
        <v>43166</v>
      </c>
      <c r="O6513" t="s">
        <v>43167</v>
      </c>
      <c r="Q6513">
        <v>14</v>
      </c>
      <c r="R6513" t="s">
        <v>43172</v>
      </c>
      <c r="S6513" t="s">
        <v>43351</v>
      </c>
      <c r="T6513" t="s">
        <v>44758</v>
      </c>
      <c r="U6513" t="s">
        <v>50415</v>
      </c>
      <c r="W6513" t="s">
        <v>39810</v>
      </c>
      <c r="X6513" t="s">
        <v>43173</v>
      </c>
    </row>
    <row r="6514" spans="1:24">
      <c r="A6514">
        <f>HYPERLINK("https://www.philgeps.gov.ph/GEPSNONPILOT/Tender/SplashBidNoticeAbstractUI.aspx?menuIndex=3&amp;refID=7081749&amp;Result=3","7081749")</f>
        <v>0</v>
      </c>
      <c r="B6514" t="s">
        <v>409</v>
      </c>
      <c r="C6514" t="s">
        <v>9620</v>
      </c>
      <c r="D6514" t="s">
        <v>17473</v>
      </c>
      <c r="E6514" t="s">
        <v>23126</v>
      </c>
      <c r="F6514" t="s">
        <v>30052</v>
      </c>
      <c r="G6514" t="s">
        <v>30059</v>
      </c>
      <c r="H6514" t="s">
        <v>15498</v>
      </c>
      <c r="I6514" t="s">
        <v>30076</v>
      </c>
      <c r="J6514" t="s">
        <v>34270</v>
      </c>
      <c r="K6514" t="s">
        <v>39034</v>
      </c>
      <c r="M6514" t="s">
        <v>39708</v>
      </c>
      <c r="N6514" t="s">
        <v>43166</v>
      </c>
      <c r="O6514" t="s">
        <v>43167</v>
      </c>
      <c r="P6514">
        <v>0</v>
      </c>
      <c r="Q6514">
        <v>1</v>
      </c>
      <c r="R6514" t="s">
        <v>43172</v>
      </c>
      <c r="S6514" t="s">
        <v>43334</v>
      </c>
      <c r="T6514" t="s">
        <v>44870</v>
      </c>
      <c r="U6514" t="s">
        <v>50469</v>
      </c>
      <c r="W6514" t="s">
        <v>39708</v>
      </c>
      <c r="X6514" t="s">
        <v>43173</v>
      </c>
    </row>
    <row r="6515" spans="1:24">
      <c r="A6515">
        <f>HYPERLINK("https://www.philgeps.gov.ph/GEPSNONPILOT/Tender/SplashBidNoticeAbstractUI.aspx?menuIndex=3&amp;refID=7081771&amp;Result=3","7081771")</f>
        <v>0</v>
      </c>
      <c r="B6515" t="s">
        <v>2087</v>
      </c>
      <c r="C6515" t="s">
        <v>9621</v>
      </c>
      <c r="D6515" t="s">
        <v>17458</v>
      </c>
      <c r="E6515" t="s">
        <v>23127</v>
      </c>
      <c r="F6515" t="s">
        <v>30052</v>
      </c>
      <c r="G6515" t="s">
        <v>30058</v>
      </c>
      <c r="H6515" t="s">
        <v>30067</v>
      </c>
      <c r="I6515" t="s">
        <v>3693</v>
      </c>
      <c r="J6515" t="s">
        <v>34267</v>
      </c>
      <c r="K6515" t="s">
        <v>39031</v>
      </c>
      <c r="M6515" t="s">
        <v>41548</v>
      </c>
      <c r="N6515" t="s">
        <v>43166</v>
      </c>
      <c r="O6515" t="s">
        <v>43167</v>
      </c>
      <c r="P6515">
        <v>0</v>
      </c>
      <c r="Q6515">
        <v>0</v>
      </c>
      <c r="R6515" t="s">
        <v>43172</v>
      </c>
      <c r="S6515" t="s">
        <v>43334</v>
      </c>
      <c r="T6515" t="s">
        <v>44842</v>
      </c>
      <c r="U6515" t="s">
        <v>50466</v>
      </c>
      <c r="W6515" t="s">
        <v>41548</v>
      </c>
      <c r="X6515" t="s">
        <v>43173</v>
      </c>
    </row>
    <row r="6516" spans="1:24">
      <c r="A6516">
        <f>HYPERLINK("https://www.philgeps.gov.ph/GEPSNONPILOT/Tender/SplashBidNoticeAbstractUI.aspx?menuIndex=3&amp;refID=7081769&amp;Result=3","7081769")</f>
        <v>0</v>
      </c>
      <c r="B6516" t="s">
        <v>1643</v>
      </c>
      <c r="C6516" t="s">
        <v>9622</v>
      </c>
      <c r="D6516" t="s">
        <v>17449</v>
      </c>
      <c r="E6516" t="s">
        <v>23128</v>
      </c>
      <c r="F6516" t="s">
        <v>30052</v>
      </c>
      <c r="G6516" t="s">
        <v>30059</v>
      </c>
      <c r="H6516" t="s">
        <v>15498</v>
      </c>
      <c r="I6516" t="s">
        <v>3852</v>
      </c>
      <c r="J6516" t="s">
        <v>30377</v>
      </c>
      <c r="K6516" t="s">
        <v>39025</v>
      </c>
      <c r="M6516" t="s">
        <v>41047</v>
      </c>
      <c r="N6516" t="s">
        <v>43166</v>
      </c>
      <c r="O6516" t="s">
        <v>43167</v>
      </c>
      <c r="P6516">
        <v>0</v>
      </c>
      <c r="Q6516">
        <v>5</v>
      </c>
      <c r="R6516" t="s">
        <v>43172</v>
      </c>
      <c r="S6516" t="s">
        <v>43334</v>
      </c>
      <c r="T6516" t="s">
        <v>44735</v>
      </c>
      <c r="U6516" t="s">
        <v>50470</v>
      </c>
      <c r="W6516" t="s">
        <v>41047</v>
      </c>
      <c r="X6516" t="s">
        <v>43173</v>
      </c>
    </row>
    <row r="6517" spans="1:24">
      <c r="A6517">
        <f>HYPERLINK("https://www.philgeps.gov.ph/GEPSNONPILOT/Tender/SplashBidNoticeAbstractUI.aspx?menuIndex=3&amp;refID=7081738&amp;Result=3","7081738")</f>
        <v>0</v>
      </c>
      <c r="B6517" t="s">
        <v>296</v>
      </c>
      <c r="C6517" t="s">
        <v>9623</v>
      </c>
      <c r="D6517" t="s">
        <v>17462</v>
      </c>
      <c r="E6517" t="s">
        <v>23129</v>
      </c>
      <c r="F6517" t="s">
        <v>30052</v>
      </c>
      <c r="G6517" t="s">
        <v>30059</v>
      </c>
      <c r="H6517" t="s">
        <v>15498</v>
      </c>
      <c r="I6517" t="s">
        <v>30070</v>
      </c>
      <c r="J6517" t="s">
        <v>34271</v>
      </c>
      <c r="K6517" t="s">
        <v>39019</v>
      </c>
      <c r="M6517" t="s">
        <v>39696</v>
      </c>
      <c r="N6517" t="s">
        <v>43166</v>
      </c>
      <c r="O6517" t="s">
        <v>43167</v>
      </c>
      <c r="P6517">
        <v>0</v>
      </c>
      <c r="Q6517">
        <v>6</v>
      </c>
      <c r="R6517" t="s">
        <v>43172</v>
      </c>
      <c r="S6517" t="s">
        <v>43334</v>
      </c>
      <c r="T6517" t="s">
        <v>44837</v>
      </c>
      <c r="U6517" t="s">
        <v>50471</v>
      </c>
      <c r="V6517" t="s">
        <v>56925</v>
      </c>
      <c r="W6517" t="s">
        <v>39696</v>
      </c>
      <c r="X6517" t="s">
        <v>43173</v>
      </c>
    </row>
    <row r="6518" spans="1:24">
      <c r="A6518">
        <f>HYPERLINK("https://www.philgeps.gov.ph/GEPSNONPILOT/Tender/SplashBidNoticeAbstractUI.aspx?menuIndex=3&amp;refID=7081768&amp;Result=3","7081768")</f>
        <v>0</v>
      </c>
      <c r="B6518" t="s">
        <v>1217</v>
      </c>
      <c r="C6518" t="s">
        <v>9624</v>
      </c>
      <c r="D6518" t="s">
        <v>17415</v>
      </c>
      <c r="E6518" t="s">
        <v>23130</v>
      </c>
      <c r="F6518" t="s">
        <v>30052</v>
      </c>
      <c r="G6518" t="s">
        <v>30059</v>
      </c>
      <c r="H6518" t="s">
        <v>30068</v>
      </c>
      <c r="I6518" t="s">
        <v>30068</v>
      </c>
      <c r="J6518" t="s">
        <v>30277</v>
      </c>
      <c r="K6518" t="s">
        <v>39025</v>
      </c>
      <c r="M6518" t="s">
        <v>40571</v>
      </c>
      <c r="N6518" t="s">
        <v>43166</v>
      </c>
      <c r="O6518" t="s">
        <v>43167</v>
      </c>
      <c r="Q6518">
        <v>1</v>
      </c>
      <c r="R6518" t="s">
        <v>43172</v>
      </c>
      <c r="S6518" t="s">
        <v>43373</v>
      </c>
      <c r="T6518" t="s">
        <v>44708</v>
      </c>
      <c r="U6518" t="s">
        <v>50472</v>
      </c>
      <c r="W6518" t="s">
        <v>40571</v>
      </c>
      <c r="X6518" t="s">
        <v>43173</v>
      </c>
    </row>
    <row r="6519" spans="1:24">
      <c r="A6519">
        <f>HYPERLINK("https://www.philgeps.gov.ph/GEPSNONPILOT/Tender/SplashBidNoticeAbstractUI.aspx?menuIndex=3&amp;refID=7081775&amp;Result=3","7081775")</f>
        <v>0</v>
      </c>
      <c r="B6519" t="s">
        <v>2087</v>
      </c>
      <c r="C6519" t="s">
        <v>9625</v>
      </c>
      <c r="D6519" t="s">
        <v>17458</v>
      </c>
      <c r="E6519" t="s">
        <v>23131</v>
      </c>
      <c r="F6519" t="s">
        <v>30052</v>
      </c>
      <c r="G6519" t="s">
        <v>30058</v>
      </c>
      <c r="H6519" t="s">
        <v>30067</v>
      </c>
      <c r="I6519" t="s">
        <v>3693</v>
      </c>
      <c r="J6519" t="s">
        <v>34268</v>
      </c>
      <c r="K6519" t="s">
        <v>39023</v>
      </c>
      <c r="M6519" t="s">
        <v>41548</v>
      </c>
      <c r="N6519" t="s">
        <v>43166</v>
      </c>
      <c r="O6519" t="s">
        <v>43167</v>
      </c>
      <c r="P6519">
        <v>0</v>
      </c>
      <c r="Q6519">
        <v>0</v>
      </c>
      <c r="R6519" t="s">
        <v>43172</v>
      </c>
      <c r="S6519" t="s">
        <v>43334</v>
      </c>
      <c r="T6519" t="s">
        <v>44842</v>
      </c>
      <c r="U6519" t="s">
        <v>50468</v>
      </c>
      <c r="W6519" t="s">
        <v>41548</v>
      </c>
      <c r="X6519" t="s">
        <v>43173</v>
      </c>
    </row>
    <row r="6520" spans="1:24">
      <c r="A6520">
        <f>HYPERLINK("https://www.philgeps.gov.ph/GEPSNONPILOT/Tender/SplashBidNoticeAbstractUI.aspx?menuIndex=3&amp;refID=7081764&amp;Result=3","7081764")</f>
        <v>0</v>
      </c>
      <c r="B6520" t="s">
        <v>2087</v>
      </c>
      <c r="C6520" t="s">
        <v>9626</v>
      </c>
      <c r="D6520" t="s">
        <v>17458</v>
      </c>
      <c r="E6520" t="s">
        <v>23132</v>
      </c>
      <c r="F6520" t="s">
        <v>30052</v>
      </c>
      <c r="G6520" t="s">
        <v>30058</v>
      </c>
      <c r="H6520" t="s">
        <v>30067</v>
      </c>
      <c r="I6520" t="s">
        <v>3693</v>
      </c>
      <c r="J6520" t="s">
        <v>34268</v>
      </c>
      <c r="K6520" t="s">
        <v>39023</v>
      </c>
      <c r="M6520" t="s">
        <v>41548</v>
      </c>
      <c r="N6520" t="s">
        <v>43166</v>
      </c>
      <c r="O6520" t="s">
        <v>43167</v>
      </c>
      <c r="P6520">
        <v>0</v>
      </c>
      <c r="Q6520">
        <v>0</v>
      </c>
      <c r="R6520" t="s">
        <v>43172</v>
      </c>
      <c r="S6520" t="s">
        <v>43334</v>
      </c>
      <c r="T6520" t="s">
        <v>44842</v>
      </c>
      <c r="U6520" t="s">
        <v>50468</v>
      </c>
      <c r="W6520" t="s">
        <v>41548</v>
      </c>
      <c r="X6520" t="s">
        <v>43173</v>
      </c>
    </row>
    <row r="6521" spans="1:24">
      <c r="A6521">
        <f>HYPERLINK("https://www.philgeps.gov.ph/GEPSNONPILOT/Tender/SplashBidNoticeAbstractUI.aspx?menuIndex=3&amp;refID=7081622&amp;Result=3","7081622")</f>
        <v>0</v>
      </c>
      <c r="B6521" t="s">
        <v>1622</v>
      </c>
      <c r="C6521" t="s">
        <v>9627</v>
      </c>
      <c r="D6521" t="s">
        <v>17415</v>
      </c>
      <c r="E6521" t="s">
        <v>23133</v>
      </c>
      <c r="F6521" t="s">
        <v>30052</v>
      </c>
      <c r="G6521" t="s">
        <v>30059</v>
      </c>
      <c r="H6521" t="s">
        <v>15498</v>
      </c>
      <c r="I6521" t="s">
        <v>4650</v>
      </c>
      <c r="J6521" t="s">
        <v>34272</v>
      </c>
      <c r="K6521" t="s">
        <v>39025</v>
      </c>
      <c r="M6521" t="s">
        <v>41022</v>
      </c>
      <c r="N6521" t="s">
        <v>43166</v>
      </c>
      <c r="O6521" t="s">
        <v>43167</v>
      </c>
      <c r="P6521">
        <v>0</v>
      </c>
      <c r="Q6521">
        <v>6</v>
      </c>
      <c r="R6521" t="s">
        <v>43172</v>
      </c>
      <c r="S6521" t="s">
        <v>43334</v>
      </c>
      <c r="T6521" t="s">
        <v>44717</v>
      </c>
      <c r="U6521" t="s">
        <v>50399</v>
      </c>
      <c r="W6521" t="s">
        <v>41022</v>
      </c>
      <c r="X6521" t="s">
        <v>43173</v>
      </c>
    </row>
    <row r="6522" spans="1:24">
      <c r="A6522">
        <f>HYPERLINK("https://www.philgeps.gov.ph/GEPSNONPILOT/Tender/SplashBidNoticeAbstractUI.aspx?menuIndex=3&amp;refID=7081770&amp;Result=3","7081770")</f>
        <v>0</v>
      </c>
      <c r="B6522" t="s">
        <v>2087</v>
      </c>
      <c r="C6522" t="s">
        <v>9628</v>
      </c>
      <c r="D6522" t="s">
        <v>17458</v>
      </c>
      <c r="E6522" t="s">
        <v>23134</v>
      </c>
      <c r="F6522" t="s">
        <v>30052</v>
      </c>
      <c r="G6522" t="s">
        <v>30058</v>
      </c>
      <c r="H6522" t="s">
        <v>30067</v>
      </c>
      <c r="I6522" t="s">
        <v>3693</v>
      </c>
      <c r="J6522" t="s">
        <v>34268</v>
      </c>
      <c r="K6522" t="s">
        <v>39023</v>
      </c>
      <c r="M6522" t="s">
        <v>41548</v>
      </c>
      <c r="N6522" t="s">
        <v>43166</v>
      </c>
      <c r="O6522" t="s">
        <v>43167</v>
      </c>
      <c r="P6522">
        <v>0</v>
      </c>
      <c r="Q6522">
        <v>0</v>
      </c>
      <c r="R6522" t="s">
        <v>43172</v>
      </c>
      <c r="S6522" t="s">
        <v>43334</v>
      </c>
      <c r="T6522" t="s">
        <v>44842</v>
      </c>
      <c r="U6522" t="s">
        <v>50468</v>
      </c>
      <c r="W6522" t="s">
        <v>41548</v>
      </c>
      <c r="X6522" t="s">
        <v>43173</v>
      </c>
    </row>
    <row r="6523" spans="1:24">
      <c r="A6523">
        <f>HYPERLINK("https://www.philgeps.gov.ph/GEPSNONPILOT/Tender/SplashBidNoticeAbstractUI.aspx?menuIndex=3&amp;refID=7081780&amp;Result=3","7081780")</f>
        <v>0</v>
      </c>
      <c r="B6523" t="s">
        <v>483</v>
      </c>
      <c r="C6523" t="s">
        <v>9629</v>
      </c>
      <c r="D6523" t="s">
        <v>17489</v>
      </c>
      <c r="E6523" t="s">
        <v>23135</v>
      </c>
      <c r="F6523" t="s">
        <v>30052</v>
      </c>
      <c r="G6523" t="s">
        <v>30058</v>
      </c>
      <c r="H6523" t="s">
        <v>15498</v>
      </c>
      <c r="I6523" t="s">
        <v>8758</v>
      </c>
      <c r="J6523" t="s">
        <v>30402</v>
      </c>
      <c r="K6523" t="s">
        <v>39019</v>
      </c>
      <c r="M6523" t="s">
        <v>39784</v>
      </c>
      <c r="N6523" t="s">
        <v>43166</v>
      </c>
      <c r="O6523" t="s">
        <v>43167</v>
      </c>
      <c r="P6523">
        <v>0</v>
      </c>
      <c r="Q6523">
        <v>1</v>
      </c>
      <c r="R6523" t="s">
        <v>43172</v>
      </c>
      <c r="S6523" t="s">
        <v>43334</v>
      </c>
      <c r="T6523" t="s">
        <v>44758</v>
      </c>
      <c r="U6523" t="s">
        <v>50473</v>
      </c>
      <c r="W6523" t="s">
        <v>39784</v>
      </c>
      <c r="X6523" t="s">
        <v>43173</v>
      </c>
    </row>
    <row r="6524" spans="1:24">
      <c r="A6524">
        <f>HYPERLINK("https://www.philgeps.gov.ph/GEPSNONPILOT/Tender/SplashBidNoticeAbstractUI.aspx?menuIndex=3&amp;refID=7058708&amp;Result=3","7058708")</f>
        <v>0</v>
      </c>
      <c r="B6524" t="s">
        <v>423</v>
      </c>
      <c r="C6524" t="s">
        <v>9630</v>
      </c>
      <c r="D6524" t="s">
        <v>17424</v>
      </c>
      <c r="E6524" t="s">
        <v>23136</v>
      </c>
      <c r="F6524" t="s">
        <v>30052</v>
      </c>
      <c r="G6524" t="s">
        <v>30058</v>
      </c>
      <c r="H6524" t="s">
        <v>30067</v>
      </c>
      <c r="I6524" t="s">
        <v>3693</v>
      </c>
      <c r="J6524" t="s">
        <v>30256</v>
      </c>
      <c r="K6524" t="s">
        <v>39029</v>
      </c>
      <c r="M6524" t="s">
        <v>39722</v>
      </c>
      <c r="N6524" t="s">
        <v>43166</v>
      </c>
      <c r="O6524" t="s">
        <v>43167</v>
      </c>
      <c r="P6524">
        <v>0</v>
      </c>
      <c r="Q6524">
        <v>2</v>
      </c>
      <c r="R6524" t="s">
        <v>43173</v>
      </c>
      <c r="S6524" t="s">
        <v>43374</v>
      </c>
      <c r="T6524" t="s">
        <v>44708</v>
      </c>
      <c r="U6524" t="s">
        <v>50474</v>
      </c>
      <c r="W6524" t="s">
        <v>39722</v>
      </c>
      <c r="X6524" t="s">
        <v>43183</v>
      </c>
    </row>
    <row r="6525" spans="1:24">
      <c r="A6525">
        <f>HYPERLINK("https://www.philgeps.gov.ph/GEPSNONPILOT/Tender/SplashBidNoticeAbstractUI.aspx?menuIndex=3&amp;refID=7053810&amp;Result=3","7053810")</f>
        <v>0</v>
      </c>
      <c r="B6525" t="s">
        <v>2089</v>
      </c>
      <c r="C6525" t="s">
        <v>9631</v>
      </c>
      <c r="D6525" t="s">
        <v>17427</v>
      </c>
      <c r="E6525" t="s">
        <v>18038</v>
      </c>
      <c r="F6525" t="s">
        <v>30052</v>
      </c>
      <c r="G6525" t="s">
        <v>30058</v>
      </c>
      <c r="H6525" t="s">
        <v>30067</v>
      </c>
      <c r="I6525" t="s">
        <v>3693</v>
      </c>
      <c r="J6525" t="s">
        <v>30275</v>
      </c>
      <c r="K6525" t="s">
        <v>39046</v>
      </c>
      <c r="M6525" t="s">
        <v>41550</v>
      </c>
      <c r="N6525" t="s">
        <v>43166</v>
      </c>
      <c r="O6525" t="s">
        <v>43167</v>
      </c>
      <c r="P6525">
        <v>0</v>
      </c>
      <c r="Q6525">
        <v>0</v>
      </c>
      <c r="R6525" t="s">
        <v>43173</v>
      </c>
      <c r="S6525" t="s">
        <v>43374</v>
      </c>
      <c r="T6525" t="s">
        <v>44719</v>
      </c>
      <c r="U6525" t="s">
        <v>50475</v>
      </c>
      <c r="V6525" t="s">
        <v>57508</v>
      </c>
      <c r="W6525" t="s">
        <v>41550</v>
      </c>
      <c r="X6525" t="s">
        <v>43186</v>
      </c>
    </row>
    <row r="6526" spans="1:24">
      <c r="A6526">
        <f>HYPERLINK("https://www.philgeps.gov.ph/GEPSNONPILOT/Tender/SplashBidNoticeAbstractUI.aspx?menuIndex=3&amp;refID=7081668&amp;Result=3","7081668")</f>
        <v>0</v>
      </c>
      <c r="B6526" t="s">
        <v>1691</v>
      </c>
      <c r="C6526" t="s">
        <v>9632</v>
      </c>
      <c r="D6526" t="s">
        <v>17459</v>
      </c>
      <c r="E6526" t="s">
        <v>23137</v>
      </c>
      <c r="F6526" t="s">
        <v>30052</v>
      </c>
      <c r="G6526" t="s">
        <v>30058</v>
      </c>
      <c r="H6526" t="s">
        <v>15498</v>
      </c>
      <c r="I6526" t="s">
        <v>30074</v>
      </c>
      <c r="J6526" t="s">
        <v>34273</v>
      </c>
      <c r="K6526" t="s">
        <v>39019</v>
      </c>
      <c r="M6526" t="s">
        <v>41100</v>
      </c>
      <c r="N6526" t="s">
        <v>43166</v>
      </c>
      <c r="O6526" t="s">
        <v>43167</v>
      </c>
      <c r="P6526">
        <v>0</v>
      </c>
      <c r="Q6526">
        <v>0</v>
      </c>
      <c r="R6526" t="s">
        <v>43172</v>
      </c>
      <c r="S6526" t="s">
        <v>43334</v>
      </c>
      <c r="T6526" t="s">
        <v>44985</v>
      </c>
      <c r="U6526" t="s">
        <v>50476</v>
      </c>
      <c r="W6526" t="s">
        <v>41100</v>
      </c>
      <c r="X6526" t="s">
        <v>43173</v>
      </c>
    </row>
    <row r="6527" spans="1:24">
      <c r="A6527">
        <f>HYPERLINK("https://www.philgeps.gov.ph/GEPSNONPILOT/Tender/SplashBidNoticeAbstractUI.aspx?menuIndex=3&amp;refID=7048500&amp;Result=3","7048500")</f>
        <v>0</v>
      </c>
      <c r="B6527" t="s">
        <v>1670</v>
      </c>
      <c r="C6527" t="s">
        <v>9633</v>
      </c>
      <c r="D6527" t="s">
        <v>17452</v>
      </c>
      <c r="E6527" t="s">
        <v>23138</v>
      </c>
      <c r="F6527" t="s">
        <v>30052</v>
      </c>
      <c r="G6527" t="s">
        <v>30059</v>
      </c>
      <c r="H6527" t="s">
        <v>15498</v>
      </c>
      <c r="I6527" t="s">
        <v>30084</v>
      </c>
      <c r="J6527" t="s">
        <v>31383</v>
      </c>
      <c r="K6527" t="s">
        <v>39017</v>
      </c>
      <c r="M6527" t="s">
        <v>41077</v>
      </c>
      <c r="N6527" t="s">
        <v>43166</v>
      </c>
      <c r="O6527" t="s">
        <v>43167</v>
      </c>
      <c r="P6527">
        <v>0</v>
      </c>
      <c r="Q6527">
        <v>1</v>
      </c>
      <c r="R6527" t="s">
        <v>43173</v>
      </c>
      <c r="S6527" t="s">
        <v>43374</v>
      </c>
      <c r="T6527" t="s">
        <v>44773</v>
      </c>
      <c r="U6527" t="s">
        <v>50477</v>
      </c>
      <c r="W6527" t="s">
        <v>41077</v>
      </c>
      <c r="X6527" t="s">
        <v>43188</v>
      </c>
    </row>
    <row r="6528" spans="1:24">
      <c r="A6528">
        <f>HYPERLINK("https://www.philgeps.gov.ph/GEPSNONPILOT/Tender/SplashBidNoticeAbstractUI.aspx?menuIndex=3&amp;refID=7047380&amp;Result=3","7047380")</f>
        <v>0</v>
      </c>
      <c r="B6528" t="s">
        <v>1655</v>
      </c>
      <c r="C6528" t="s">
        <v>9634</v>
      </c>
      <c r="D6528" t="s">
        <v>17481</v>
      </c>
      <c r="E6528" t="s">
        <v>23139</v>
      </c>
      <c r="F6528" t="s">
        <v>30052</v>
      </c>
      <c r="G6528" t="s">
        <v>30058</v>
      </c>
      <c r="H6528" t="s">
        <v>15498</v>
      </c>
      <c r="I6528" t="s">
        <v>4650</v>
      </c>
      <c r="J6528" t="s">
        <v>30277</v>
      </c>
      <c r="K6528" t="s">
        <v>39034</v>
      </c>
      <c r="M6528" t="s">
        <v>41060</v>
      </c>
      <c r="N6528" t="s">
        <v>43166</v>
      </c>
      <c r="O6528" t="s">
        <v>43167</v>
      </c>
      <c r="P6528">
        <v>0</v>
      </c>
      <c r="Q6528">
        <v>6</v>
      </c>
      <c r="R6528" t="s">
        <v>43173</v>
      </c>
      <c r="S6528" t="s">
        <v>43374</v>
      </c>
      <c r="T6528" t="s">
        <v>44685</v>
      </c>
      <c r="U6528" t="s">
        <v>50478</v>
      </c>
      <c r="W6528" t="s">
        <v>41060</v>
      </c>
      <c r="X6528" t="s">
        <v>43188</v>
      </c>
    </row>
    <row r="6529" spans="1:24">
      <c r="A6529">
        <f>HYPERLINK("https://www.philgeps.gov.ph/GEPSNONPILOT/Tender/SplashBidNoticeAbstractUI.aspx?menuIndex=3&amp;refID=7040955&amp;Result=3","7040955")</f>
        <v>0</v>
      </c>
      <c r="B6529" t="s">
        <v>2090</v>
      </c>
      <c r="C6529" t="s">
        <v>9635</v>
      </c>
      <c r="D6529" t="s">
        <v>17415</v>
      </c>
      <c r="E6529" t="s">
        <v>17650</v>
      </c>
      <c r="F6529" t="s">
        <v>30052</v>
      </c>
      <c r="G6529" t="s">
        <v>30058</v>
      </c>
      <c r="H6529" t="s">
        <v>30069</v>
      </c>
      <c r="I6529" t="s">
        <v>4650</v>
      </c>
      <c r="J6529" t="s">
        <v>30410</v>
      </c>
      <c r="K6529" t="s">
        <v>39019</v>
      </c>
      <c r="M6529" t="s">
        <v>41551</v>
      </c>
      <c r="N6529" t="s">
        <v>43166</v>
      </c>
      <c r="O6529" t="s">
        <v>43167</v>
      </c>
      <c r="P6529">
        <v>0</v>
      </c>
      <c r="Q6529">
        <v>0</v>
      </c>
      <c r="R6529" t="s">
        <v>43173</v>
      </c>
      <c r="S6529" t="s">
        <v>43374</v>
      </c>
      <c r="T6529" t="s">
        <v>44777</v>
      </c>
      <c r="U6529" t="s">
        <v>50479</v>
      </c>
      <c r="W6529" t="s">
        <v>41551</v>
      </c>
      <c r="X6529" t="s">
        <v>43193</v>
      </c>
    </row>
    <row r="6530" spans="1:24">
      <c r="A6530">
        <f>HYPERLINK("https://www.philgeps.gov.ph/GEPSNONPILOT/Tender/SplashBidNoticeAbstractUI.aspx?menuIndex=3&amp;refID=7081765&amp;Result=3","7081765")</f>
        <v>0</v>
      </c>
      <c r="B6530" t="s">
        <v>1292</v>
      </c>
      <c r="C6530" t="s">
        <v>9636</v>
      </c>
      <c r="D6530" t="s">
        <v>17424</v>
      </c>
      <c r="E6530" t="s">
        <v>23140</v>
      </c>
      <c r="F6530" t="s">
        <v>30052</v>
      </c>
      <c r="G6530" t="s">
        <v>30058</v>
      </c>
      <c r="H6530" t="s">
        <v>15498</v>
      </c>
      <c r="I6530" t="s">
        <v>4119</v>
      </c>
      <c r="J6530" t="s">
        <v>34274</v>
      </c>
      <c r="K6530" t="s">
        <v>39046</v>
      </c>
      <c r="M6530" t="s">
        <v>41552</v>
      </c>
      <c r="N6530" t="s">
        <v>43166</v>
      </c>
      <c r="O6530" t="s">
        <v>43167</v>
      </c>
      <c r="P6530">
        <v>0</v>
      </c>
      <c r="Q6530">
        <v>4</v>
      </c>
      <c r="R6530" t="s">
        <v>43172</v>
      </c>
      <c r="S6530" t="s">
        <v>43334</v>
      </c>
      <c r="T6530" t="s">
        <v>45021</v>
      </c>
      <c r="U6530" t="s">
        <v>50480</v>
      </c>
      <c r="W6530" t="s">
        <v>41552</v>
      </c>
      <c r="X6530" t="s">
        <v>43173</v>
      </c>
    </row>
    <row r="6531" spans="1:24">
      <c r="A6531">
        <f>HYPERLINK("https://www.philgeps.gov.ph/GEPSNONPILOT/Tender/SplashBidNoticeAbstractUI.aspx?menuIndex=3&amp;refID=7040943&amp;Result=3","7040943")</f>
        <v>0</v>
      </c>
      <c r="B6531" t="s">
        <v>2090</v>
      </c>
      <c r="C6531" t="s">
        <v>9637</v>
      </c>
      <c r="D6531" t="s">
        <v>17415</v>
      </c>
      <c r="E6531" t="s">
        <v>19699</v>
      </c>
      <c r="F6531" t="s">
        <v>30052</v>
      </c>
      <c r="G6531" t="s">
        <v>30058</v>
      </c>
      <c r="H6531" t="s">
        <v>30069</v>
      </c>
      <c r="I6531" t="s">
        <v>4119</v>
      </c>
      <c r="J6531" t="s">
        <v>31299</v>
      </c>
      <c r="K6531" t="s">
        <v>39019</v>
      </c>
      <c r="M6531" t="s">
        <v>41551</v>
      </c>
      <c r="N6531" t="s">
        <v>43166</v>
      </c>
      <c r="O6531" t="s">
        <v>43167</v>
      </c>
      <c r="P6531">
        <v>0</v>
      </c>
      <c r="Q6531">
        <v>1</v>
      </c>
      <c r="R6531" t="s">
        <v>43173</v>
      </c>
      <c r="S6531" t="s">
        <v>43374</v>
      </c>
      <c r="T6531" t="s">
        <v>44763</v>
      </c>
      <c r="U6531" t="s">
        <v>50481</v>
      </c>
      <c r="W6531" t="s">
        <v>41551</v>
      </c>
      <c r="X6531" t="s">
        <v>43193</v>
      </c>
    </row>
    <row r="6532" spans="1:24">
      <c r="A6532">
        <f>HYPERLINK("https://www.philgeps.gov.ph/GEPSNONPILOT/Tender/SplashBidNoticeAbstractUI.aspx?menuIndex=3&amp;refID=7031382-2&amp;Result=3","7031382-2")</f>
        <v>0</v>
      </c>
      <c r="B6532" t="s">
        <v>1306</v>
      </c>
      <c r="C6532" t="s">
        <v>9638</v>
      </c>
      <c r="D6532" t="s">
        <v>17431</v>
      </c>
      <c r="E6532" t="s">
        <v>23141</v>
      </c>
      <c r="F6532" t="s">
        <v>30052</v>
      </c>
      <c r="G6532" t="s">
        <v>30058</v>
      </c>
      <c r="H6532" t="s">
        <v>30068</v>
      </c>
      <c r="I6532" t="s">
        <v>30068</v>
      </c>
      <c r="J6532" t="s">
        <v>34275</v>
      </c>
      <c r="K6532" t="s">
        <v>39017</v>
      </c>
      <c r="M6532" t="s">
        <v>40673</v>
      </c>
      <c r="N6532" t="s">
        <v>43166</v>
      </c>
      <c r="O6532" t="s">
        <v>43167</v>
      </c>
      <c r="P6532">
        <v>0</v>
      </c>
      <c r="Q6532">
        <v>1</v>
      </c>
      <c r="R6532" t="s">
        <v>43173</v>
      </c>
      <c r="S6532" t="s">
        <v>43374</v>
      </c>
      <c r="T6532" t="s">
        <v>44722</v>
      </c>
      <c r="U6532" t="s">
        <v>50482</v>
      </c>
      <c r="W6532" t="s">
        <v>40673</v>
      </c>
      <c r="X6532" t="s">
        <v>43174</v>
      </c>
    </row>
    <row r="6533" spans="1:24">
      <c r="A6533">
        <f>HYPERLINK("https://www.philgeps.gov.ph/GEPSNONPILOT/Tender/SplashBidNoticeAbstractUI.aspx?menuIndex=3&amp;refID=7081784&amp;Result=3","7081784")</f>
        <v>0</v>
      </c>
      <c r="B6533" t="s">
        <v>667</v>
      </c>
      <c r="C6533" t="s">
        <v>9639</v>
      </c>
      <c r="E6533" t="s">
        <v>23142</v>
      </c>
      <c r="F6533" t="s">
        <v>30052</v>
      </c>
      <c r="G6533" t="s">
        <v>30059</v>
      </c>
      <c r="H6533" t="s">
        <v>15498</v>
      </c>
      <c r="I6533" t="s">
        <v>30084</v>
      </c>
      <c r="J6533" t="s">
        <v>34276</v>
      </c>
      <c r="K6533" t="s">
        <v>39025</v>
      </c>
      <c r="M6533" t="s">
        <v>39973</v>
      </c>
      <c r="N6533" t="s">
        <v>43166</v>
      </c>
      <c r="O6533" t="s">
        <v>43167</v>
      </c>
      <c r="P6533">
        <v>0</v>
      </c>
      <c r="Q6533">
        <v>17</v>
      </c>
      <c r="R6533" t="s">
        <v>43172</v>
      </c>
      <c r="S6533" t="s">
        <v>43334</v>
      </c>
      <c r="T6533" t="s">
        <v>44862</v>
      </c>
      <c r="U6533" t="s">
        <v>46812</v>
      </c>
      <c r="W6533" t="s">
        <v>39973</v>
      </c>
      <c r="X6533" t="s">
        <v>43173</v>
      </c>
    </row>
    <row r="6534" spans="1:24">
      <c r="A6534">
        <f>HYPERLINK("https://www.philgeps.gov.ph/GEPSNONPILOT/Tender/SplashBidNoticeAbstractUI.aspx?menuIndex=3&amp;refID=6963762&amp;Result=3","6963762")</f>
        <v>0</v>
      </c>
      <c r="B6534" t="s">
        <v>1181</v>
      </c>
      <c r="C6534" t="s">
        <v>9640</v>
      </c>
      <c r="D6534" t="s">
        <v>17444</v>
      </c>
      <c r="E6534" t="s">
        <v>23143</v>
      </c>
      <c r="F6534" t="s">
        <v>30052</v>
      </c>
      <c r="G6534" t="s">
        <v>30061</v>
      </c>
      <c r="H6534" t="s">
        <v>15498</v>
      </c>
      <c r="I6534" t="s">
        <v>4119</v>
      </c>
      <c r="J6534" t="s">
        <v>34277</v>
      </c>
      <c r="K6534" t="s">
        <v>39025</v>
      </c>
      <c r="M6534" t="s">
        <v>41300</v>
      </c>
      <c r="N6534" t="s">
        <v>43166</v>
      </c>
      <c r="O6534" t="s">
        <v>43167</v>
      </c>
      <c r="P6534">
        <v>0</v>
      </c>
      <c r="Q6534">
        <v>0</v>
      </c>
      <c r="R6534" t="s">
        <v>43173</v>
      </c>
      <c r="S6534" t="s">
        <v>43374</v>
      </c>
      <c r="T6534" t="s">
        <v>44715</v>
      </c>
      <c r="U6534" t="s">
        <v>50483</v>
      </c>
      <c r="W6534" t="s">
        <v>41300</v>
      </c>
      <c r="X6534" t="s">
        <v>58731</v>
      </c>
    </row>
    <row r="6535" spans="1:24">
      <c r="A6535">
        <f>HYPERLINK("https://www.philgeps.gov.ph/GEPSNONPILOT/Tender/SplashBidNoticeAbstractUI.aspx?menuIndex=3&amp;refID=7081799&amp;Result=3","7081799")</f>
        <v>0</v>
      </c>
      <c r="B6535" t="s">
        <v>2091</v>
      </c>
      <c r="C6535" t="s">
        <v>9641</v>
      </c>
      <c r="D6535" t="s">
        <v>17414</v>
      </c>
      <c r="E6535" t="s">
        <v>23144</v>
      </c>
      <c r="F6535" t="s">
        <v>30052</v>
      </c>
      <c r="G6535" t="s">
        <v>30058</v>
      </c>
      <c r="H6535" t="s">
        <v>30067</v>
      </c>
      <c r="I6535" t="s">
        <v>3693</v>
      </c>
      <c r="J6535" t="s">
        <v>34278</v>
      </c>
      <c r="K6535" t="s">
        <v>39033</v>
      </c>
      <c r="M6535" t="s">
        <v>41553</v>
      </c>
      <c r="N6535" t="s">
        <v>43166</v>
      </c>
      <c r="O6535" t="s">
        <v>43167</v>
      </c>
      <c r="P6535">
        <v>0</v>
      </c>
      <c r="Q6535">
        <v>1</v>
      </c>
      <c r="R6535" t="s">
        <v>43172</v>
      </c>
      <c r="S6535" t="s">
        <v>43334</v>
      </c>
      <c r="T6535" t="s">
        <v>44892</v>
      </c>
      <c r="U6535" t="s">
        <v>50484</v>
      </c>
      <c r="W6535" t="s">
        <v>42702</v>
      </c>
      <c r="X6535" t="s">
        <v>43173</v>
      </c>
    </row>
    <row r="6536" spans="1:24">
      <c r="A6536">
        <f>HYPERLINK("https://www.philgeps.gov.ph/GEPSNONPILOT/Tender/SplashBidNoticeAbstractUI.aspx?menuIndex=3&amp;refID=7081796&amp;Result=3","7081796")</f>
        <v>0</v>
      </c>
      <c r="B6536" t="s">
        <v>2091</v>
      </c>
      <c r="C6536" t="s">
        <v>9642</v>
      </c>
      <c r="D6536" t="s">
        <v>17414</v>
      </c>
      <c r="E6536" t="s">
        <v>23145</v>
      </c>
      <c r="F6536" t="s">
        <v>30052</v>
      </c>
      <c r="G6536" t="s">
        <v>30058</v>
      </c>
      <c r="H6536" t="s">
        <v>30067</v>
      </c>
      <c r="I6536" t="s">
        <v>3693</v>
      </c>
      <c r="J6536" t="s">
        <v>34279</v>
      </c>
      <c r="K6536" t="s">
        <v>39125</v>
      </c>
      <c r="M6536" t="s">
        <v>41553</v>
      </c>
      <c r="N6536" t="s">
        <v>43166</v>
      </c>
      <c r="O6536" t="s">
        <v>43167</v>
      </c>
      <c r="P6536">
        <v>0</v>
      </c>
      <c r="Q6536">
        <v>0</v>
      </c>
      <c r="R6536" t="s">
        <v>43172</v>
      </c>
      <c r="S6536" t="s">
        <v>43334</v>
      </c>
      <c r="T6536" t="s">
        <v>44892</v>
      </c>
      <c r="U6536" t="s">
        <v>50484</v>
      </c>
      <c r="W6536" t="s">
        <v>42702</v>
      </c>
      <c r="X6536" t="s">
        <v>43173</v>
      </c>
    </row>
    <row r="6537" spans="1:24">
      <c r="A6537">
        <f>HYPERLINK("https://www.philgeps.gov.ph/GEPSNONPILOT/Tender/SplashBidNoticeAbstractUI.aspx?menuIndex=3&amp;refID=7081763&amp;Result=3","7081763")</f>
        <v>0</v>
      </c>
      <c r="B6537" t="s">
        <v>1213</v>
      </c>
      <c r="C6537" t="s">
        <v>9643</v>
      </c>
      <c r="D6537" t="s">
        <v>17448</v>
      </c>
      <c r="E6537" t="s">
        <v>23146</v>
      </c>
      <c r="F6537" t="s">
        <v>30052</v>
      </c>
      <c r="G6537" t="s">
        <v>30058</v>
      </c>
      <c r="H6537" t="s">
        <v>30067</v>
      </c>
      <c r="I6537" t="s">
        <v>3693</v>
      </c>
      <c r="J6537" t="s">
        <v>34264</v>
      </c>
      <c r="K6537" t="s">
        <v>39037</v>
      </c>
      <c r="M6537" t="s">
        <v>40567</v>
      </c>
      <c r="N6537" t="s">
        <v>43166</v>
      </c>
      <c r="O6537" t="s">
        <v>43167</v>
      </c>
      <c r="P6537">
        <v>0</v>
      </c>
      <c r="Q6537">
        <v>0</v>
      </c>
      <c r="R6537" t="s">
        <v>43172</v>
      </c>
      <c r="S6537" t="s">
        <v>43334</v>
      </c>
      <c r="T6537" t="s">
        <v>44756</v>
      </c>
      <c r="U6537" t="s">
        <v>47856</v>
      </c>
      <c r="W6537" t="s">
        <v>40567</v>
      </c>
      <c r="X6537" t="s">
        <v>43173</v>
      </c>
    </row>
    <row r="6538" spans="1:24">
      <c r="A6538">
        <f>HYPERLINK("https://www.philgeps.gov.ph/GEPSNONPILOT/Tender/SplashBidNoticeAbstractUI.aspx?menuIndex=3&amp;refID=7040951&amp;Result=3","7040951")</f>
        <v>0</v>
      </c>
      <c r="B6538" t="s">
        <v>2090</v>
      </c>
      <c r="C6538" t="s">
        <v>9644</v>
      </c>
      <c r="D6538" t="s">
        <v>17415</v>
      </c>
      <c r="E6538" t="s">
        <v>18191</v>
      </c>
      <c r="F6538" t="s">
        <v>30052</v>
      </c>
      <c r="G6538" t="s">
        <v>30058</v>
      </c>
      <c r="H6538" t="s">
        <v>30069</v>
      </c>
      <c r="I6538" t="s">
        <v>30074</v>
      </c>
      <c r="J6538" t="s">
        <v>30588</v>
      </c>
      <c r="K6538" t="s">
        <v>39019</v>
      </c>
      <c r="M6538" t="s">
        <v>41551</v>
      </c>
      <c r="N6538" t="s">
        <v>43166</v>
      </c>
      <c r="O6538" t="s">
        <v>43167</v>
      </c>
      <c r="P6538">
        <v>0</v>
      </c>
      <c r="Q6538">
        <v>3</v>
      </c>
      <c r="R6538" t="s">
        <v>43173</v>
      </c>
      <c r="S6538" t="s">
        <v>43374</v>
      </c>
      <c r="T6538" t="s">
        <v>44724</v>
      </c>
      <c r="U6538" t="s">
        <v>50485</v>
      </c>
      <c r="W6538" t="s">
        <v>41551</v>
      </c>
      <c r="X6538" t="s">
        <v>43193</v>
      </c>
    </row>
    <row r="6539" spans="1:24">
      <c r="A6539">
        <f>HYPERLINK("https://www.philgeps.gov.ph/GEPSNONPILOT/Tender/SplashBidNoticeAbstractUI.aspx?menuIndex=3&amp;refID=7081791&amp;Result=3","7081791")</f>
        <v>0</v>
      </c>
      <c r="B6539" t="s">
        <v>2087</v>
      </c>
      <c r="C6539" t="s">
        <v>9645</v>
      </c>
      <c r="D6539" t="s">
        <v>17458</v>
      </c>
      <c r="E6539" t="s">
        <v>23147</v>
      </c>
      <c r="F6539" t="s">
        <v>30052</v>
      </c>
      <c r="G6539" t="s">
        <v>30058</v>
      </c>
      <c r="H6539" t="s">
        <v>30067</v>
      </c>
      <c r="I6539" t="s">
        <v>3693</v>
      </c>
      <c r="J6539" t="s">
        <v>34267</v>
      </c>
      <c r="K6539" t="s">
        <v>39031</v>
      </c>
      <c r="M6539" t="s">
        <v>41548</v>
      </c>
      <c r="N6539" t="s">
        <v>43166</v>
      </c>
      <c r="O6539" t="s">
        <v>43167</v>
      </c>
      <c r="P6539">
        <v>0</v>
      </c>
      <c r="Q6539">
        <v>1</v>
      </c>
      <c r="R6539" t="s">
        <v>43172</v>
      </c>
      <c r="S6539" t="s">
        <v>43334</v>
      </c>
      <c r="T6539" t="s">
        <v>44842</v>
      </c>
      <c r="U6539" t="s">
        <v>50466</v>
      </c>
      <c r="W6539" t="s">
        <v>41548</v>
      </c>
      <c r="X6539" t="s">
        <v>43173</v>
      </c>
    </row>
    <row r="6540" spans="1:24">
      <c r="A6540">
        <f>HYPERLINK("https://www.philgeps.gov.ph/GEPSNONPILOT/Tender/SplashBidNoticeAbstractUI.aspx?menuIndex=3&amp;refID=7081789&amp;Result=3","7081789")</f>
        <v>0</v>
      </c>
      <c r="B6540" t="s">
        <v>2087</v>
      </c>
      <c r="C6540" t="s">
        <v>9646</v>
      </c>
      <c r="D6540" t="s">
        <v>17458</v>
      </c>
      <c r="E6540" t="s">
        <v>23148</v>
      </c>
      <c r="F6540" t="s">
        <v>30052</v>
      </c>
      <c r="G6540" t="s">
        <v>30058</v>
      </c>
      <c r="H6540" t="s">
        <v>30067</v>
      </c>
      <c r="I6540" t="s">
        <v>3693</v>
      </c>
      <c r="J6540" t="s">
        <v>34267</v>
      </c>
      <c r="K6540" t="s">
        <v>39031</v>
      </c>
      <c r="M6540" t="s">
        <v>41548</v>
      </c>
      <c r="N6540" t="s">
        <v>43166</v>
      </c>
      <c r="O6540" t="s">
        <v>43167</v>
      </c>
      <c r="P6540">
        <v>0</v>
      </c>
      <c r="Q6540">
        <v>0</v>
      </c>
      <c r="R6540" t="s">
        <v>43172</v>
      </c>
      <c r="S6540" t="s">
        <v>43334</v>
      </c>
      <c r="T6540" t="s">
        <v>44842</v>
      </c>
      <c r="U6540" t="s">
        <v>50466</v>
      </c>
      <c r="W6540" t="s">
        <v>41548</v>
      </c>
      <c r="X6540" t="s">
        <v>43173</v>
      </c>
    </row>
    <row r="6541" spans="1:24">
      <c r="A6541">
        <f>HYPERLINK("https://www.philgeps.gov.ph/GEPSNONPILOT/Tender/SplashBidNoticeAbstractUI.aspx?menuIndex=3&amp;refID=7081787&amp;Result=3","7081787")</f>
        <v>0</v>
      </c>
      <c r="B6541" t="s">
        <v>2087</v>
      </c>
      <c r="C6541" t="s">
        <v>9647</v>
      </c>
      <c r="D6541" t="s">
        <v>17458</v>
      </c>
      <c r="E6541" t="s">
        <v>23149</v>
      </c>
      <c r="F6541" t="s">
        <v>30052</v>
      </c>
      <c r="G6541" t="s">
        <v>30058</v>
      </c>
      <c r="H6541" t="s">
        <v>30067</v>
      </c>
      <c r="I6541" t="s">
        <v>3693</v>
      </c>
      <c r="J6541" t="s">
        <v>34267</v>
      </c>
      <c r="K6541" t="s">
        <v>39031</v>
      </c>
      <c r="M6541" t="s">
        <v>41548</v>
      </c>
      <c r="N6541" t="s">
        <v>43166</v>
      </c>
      <c r="O6541" t="s">
        <v>43167</v>
      </c>
      <c r="P6541">
        <v>0</v>
      </c>
      <c r="Q6541">
        <v>0</v>
      </c>
      <c r="R6541" t="s">
        <v>43172</v>
      </c>
      <c r="S6541" t="s">
        <v>43334</v>
      </c>
      <c r="T6541" t="s">
        <v>44842</v>
      </c>
      <c r="U6541" t="s">
        <v>50466</v>
      </c>
      <c r="W6541" t="s">
        <v>41548</v>
      </c>
      <c r="X6541" t="s">
        <v>43173</v>
      </c>
    </row>
    <row r="6542" spans="1:24">
      <c r="A6542">
        <f>HYPERLINK("https://www.philgeps.gov.ph/GEPSNONPILOT/Tender/SplashBidNoticeAbstractUI.aspx?menuIndex=3&amp;refID=7031348-2&amp;Result=3","7031348-2")</f>
        <v>0</v>
      </c>
      <c r="B6542" t="s">
        <v>1306</v>
      </c>
      <c r="C6542" t="s">
        <v>9648</v>
      </c>
      <c r="D6542" t="s">
        <v>17431</v>
      </c>
      <c r="E6542" t="s">
        <v>23150</v>
      </c>
      <c r="F6542" t="s">
        <v>30052</v>
      </c>
      <c r="G6542" t="s">
        <v>30058</v>
      </c>
      <c r="H6542" t="s">
        <v>30068</v>
      </c>
      <c r="I6542" t="s">
        <v>30068</v>
      </c>
      <c r="J6542" t="s">
        <v>34280</v>
      </c>
      <c r="K6542" t="s">
        <v>39038</v>
      </c>
      <c r="M6542" t="s">
        <v>40673</v>
      </c>
      <c r="N6542" t="s">
        <v>43166</v>
      </c>
      <c r="O6542" t="s">
        <v>43167</v>
      </c>
      <c r="P6542">
        <v>0</v>
      </c>
      <c r="Q6542">
        <v>1</v>
      </c>
      <c r="R6542" t="s">
        <v>43173</v>
      </c>
      <c r="S6542" t="s">
        <v>43374</v>
      </c>
      <c r="T6542" t="s">
        <v>44722</v>
      </c>
      <c r="U6542" t="s">
        <v>50482</v>
      </c>
      <c r="W6542" t="s">
        <v>40673</v>
      </c>
      <c r="X6542" t="s">
        <v>43174</v>
      </c>
    </row>
    <row r="6543" spans="1:24">
      <c r="A6543">
        <f>HYPERLINK("https://www.philgeps.gov.ph/GEPSNONPILOT/Tender/SplashBidNoticeAbstractUI.aspx?menuIndex=3&amp;refID=6637649&amp;Result=3","6637649")</f>
        <v>0</v>
      </c>
      <c r="B6543" t="s">
        <v>2092</v>
      </c>
      <c r="C6543" t="s">
        <v>9649</v>
      </c>
      <c r="D6543" t="s">
        <v>17460</v>
      </c>
      <c r="E6543" t="s">
        <v>18749</v>
      </c>
      <c r="F6543" t="s">
        <v>30052</v>
      </c>
      <c r="G6543" t="s">
        <v>30058</v>
      </c>
      <c r="H6543" t="s">
        <v>15498</v>
      </c>
      <c r="I6543" t="s">
        <v>3736</v>
      </c>
      <c r="J6543" t="s">
        <v>34281</v>
      </c>
      <c r="K6543" t="s">
        <v>39017</v>
      </c>
      <c r="M6543" t="s">
        <v>41554</v>
      </c>
      <c r="N6543" t="s">
        <v>43166</v>
      </c>
      <c r="O6543" t="s">
        <v>43167</v>
      </c>
      <c r="P6543">
        <v>0</v>
      </c>
      <c r="Q6543">
        <v>3</v>
      </c>
      <c r="R6543" t="s">
        <v>43173</v>
      </c>
      <c r="S6543" t="s">
        <v>43374</v>
      </c>
      <c r="T6543" t="s">
        <v>44689</v>
      </c>
      <c r="U6543" t="s">
        <v>50486</v>
      </c>
      <c r="W6543" t="s">
        <v>41554</v>
      </c>
      <c r="X6543" t="s">
        <v>58732</v>
      </c>
    </row>
    <row r="6544" spans="1:24">
      <c r="A6544">
        <f>HYPERLINK("https://www.philgeps.gov.ph/GEPSNONPILOT/Tender/SplashBidNoticeAbstractUI.aspx?menuIndex=3&amp;refID=7081759&amp;Result=3","7081759")</f>
        <v>0</v>
      </c>
      <c r="B6544" t="s">
        <v>1643</v>
      </c>
      <c r="C6544" t="s">
        <v>9650</v>
      </c>
      <c r="D6544" t="s">
        <v>17449</v>
      </c>
      <c r="E6544" t="s">
        <v>23151</v>
      </c>
      <c r="F6544" t="s">
        <v>30052</v>
      </c>
      <c r="G6544" t="s">
        <v>30059</v>
      </c>
      <c r="H6544" t="s">
        <v>15498</v>
      </c>
      <c r="I6544" t="s">
        <v>3852</v>
      </c>
      <c r="J6544" t="s">
        <v>31307</v>
      </c>
      <c r="K6544" t="s">
        <v>39025</v>
      </c>
      <c r="M6544" t="s">
        <v>41047</v>
      </c>
      <c r="N6544" t="s">
        <v>43166</v>
      </c>
      <c r="O6544" t="s">
        <v>43167</v>
      </c>
      <c r="P6544">
        <v>0</v>
      </c>
      <c r="Q6544">
        <v>1</v>
      </c>
      <c r="R6544" t="s">
        <v>43172</v>
      </c>
      <c r="S6544" t="s">
        <v>43334</v>
      </c>
      <c r="T6544" t="s">
        <v>44735</v>
      </c>
      <c r="U6544" t="s">
        <v>50487</v>
      </c>
      <c r="W6544" t="s">
        <v>41047</v>
      </c>
      <c r="X6544" t="s">
        <v>43173</v>
      </c>
    </row>
    <row r="6545" spans="1:24">
      <c r="A6545">
        <f>HYPERLINK("https://www.philgeps.gov.ph/GEPSNONPILOT/Tender/SplashBidNoticeAbstractUI.aspx?menuIndex=3&amp;refID=7081797&amp;Result=3","7081797")</f>
        <v>0</v>
      </c>
      <c r="B6545" t="s">
        <v>2091</v>
      </c>
      <c r="C6545" t="s">
        <v>9651</v>
      </c>
      <c r="D6545" t="s">
        <v>17414</v>
      </c>
      <c r="E6545" t="s">
        <v>23152</v>
      </c>
      <c r="F6545" t="s">
        <v>30052</v>
      </c>
      <c r="G6545" t="s">
        <v>30058</v>
      </c>
      <c r="H6545" t="s">
        <v>30067</v>
      </c>
      <c r="I6545" t="s">
        <v>3693</v>
      </c>
      <c r="J6545" t="s">
        <v>34282</v>
      </c>
      <c r="K6545" t="s">
        <v>39140</v>
      </c>
      <c r="M6545" t="s">
        <v>41553</v>
      </c>
      <c r="N6545" t="s">
        <v>43166</v>
      </c>
      <c r="O6545" t="s">
        <v>43167</v>
      </c>
      <c r="P6545">
        <v>0</v>
      </c>
      <c r="Q6545">
        <v>1</v>
      </c>
      <c r="R6545" t="s">
        <v>43172</v>
      </c>
      <c r="S6545" t="s">
        <v>43334</v>
      </c>
      <c r="T6545" t="s">
        <v>44892</v>
      </c>
      <c r="U6545" t="s">
        <v>50484</v>
      </c>
      <c r="W6545" t="s">
        <v>42702</v>
      </c>
      <c r="X6545" t="s">
        <v>43173</v>
      </c>
    </row>
    <row r="6546" spans="1:24">
      <c r="A6546">
        <f>HYPERLINK("https://www.philgeps.gov.ph/GEPSNONPILOT/Tender/SplashBidNoticeAbstractUI.aspx?menuIndex=3&amp;refID=7081758&amp;Result=3","7081758")</f>
        <v>0</v>
      </c>
      <c r="B6546" t="s">
        <v>1839</v>
      </c>
      <c r="C6546" t="s">
        <v>9652</v>
      </c>
      <c r="D6546" t="s">
        <v>17415</v>
      </c>
      <c r="E6546" t="s">
        <v>23153</v>
      </c>
      <c r="F6546" t="s">
        <v>30052</v>
      </c>
      <c r="G6546" t="s">
        <v>30059</v>
      </c>
      <c r="H6546" t="s">
        <v>15498</v>
      </c>
      <c r="I6546" t="s">
        <v>30081</v>
      </c>
      <c r="J6546" t="s">
        <v>32564</v>
      </c>
      <c r="K6546" t="s">
        <v>39029</v>
      </c>
      <c r="M6546" t="s">
        <v>41264</v>
      </c>
      <c r="N6546" t="s">
        <v>43166</v>
      </c>
      <c r="O6546" t="s">
        <v>43167</v>
      </c>
      <c r="P6546">
        <v>0</v>
      </c>
      <c r="Q6546">
        <v>1</v>
      </c>
      <c r="R6546" t="s">
        <v>43172</v>
      </c>
      <c r="S6546" t="s">
        <v>43334</v>
      </c>
      <c r="T6546" t="s">
        <v>44777</v>
      </c>
      <c r="U6546" t="s">
        <v>50488</v>
      </c>
      <c r="W6546" t="s">
        <v>41264</v>
      </c>
      <c r="X6546" t="s">
        <v>43173</v>
      </c>
    </row>
    <row r="6547" spans="1:24">
      <c r="A6547">
        <f>HYPERLINK("https://www.philgeps.gov.ph/GEPSNONPILOT/Tender/SplashBidNoticeAbstractUI.aspx?menuIndex=3&amp;refID=7081773&amp;Result=3","7081773")</f>
        <v>0</v>
      </c>
      <c r="B6547" t="s">
        <v>483</v>
      </c>
      <c r="C6547" t="s">
        <v>9653</v>
      </c>
      <c r="D6547" t="s">
        <v>17489</v>
      </c>
      <c r="E6547" t="s">
        <v>23154</v>
      </c>
      <c r="F6547" t="s">
        <v>30052</v>
      </c>
      <c r="G6547" t="s">
        <v>30058</v>
      </c>
      <c r="H6547" t="s">
        <v>15498</v>
      </c>
      <c r="I6547" t="s">
        <v>30081</v>
      </c>
      <c r="J6547" t="s">
        <v>30218</v>
      </c>
      <c r="K6547" t="s">
        <v>39019</v>
      </c>
      <c r="M6547" t="s">
        <v>39784</v>
      </c>
      <c r="N6547" t="s">
        <v>43166</v>
      </c>
      <c r="O6547" t="s">
        <v>43167</v>
      </c>
      <c r="P6547">
        <v>0</v>
      </c>
      <c r="Q6547">
        <v>0</v>
      </c>
      <c r="R6547" t="s">
        <v>43172</v>
      </c>
      <c r="S6547" t="s">
        <v>43334</v>
      </c>
      <c r="T6547" t="s">
        <v>44758</v>
      </c>
      <c r="U6547" t="s">
        <v>50489</v>
      </c>
      <c r="W6547" t="s">
        <v>39784</v>
      </c>
      <c r="X6547" t="s">
        <v>43173</v>
      </c>
    </row>
    <row r="6548" spans="1:24">
      <c r="A6548">
        <f>HYPERLINK("https://www.philgeps.gov.ph/GEPSNONPILOT/Tender/SplashBidNoticeAbstractUI.aspx?menuIndex=3&amp;refID=7065623&amp;Result=3","7065623")</f>
        <v>0</v>
      </c>
      <c r="B6548" t="s">
        <v>1009</v>
      </c>
      <c r="C6548" t="s">
        <v>9654</v>
      </c>
      <c r="D6548" t="s">
        <v>17474</v>
      </c>
      <c r="E6548" t="s">
        <v>23155</v>
      </c>
      <c r="F6548" t="s">
        <v>30052</v>
      </c>
      <c r="G6548" t="s">
        <v>30058</v>
      </c>
      <c r="H6548" t="s">
        <v>30067</v>
      </c>
      <c r="I6548" t="s">
        <v>3693</v>
      </c>
      <c r="J6548" t="s">
        <v>30247</v>
      </c>
      <c r="K6548" t="s">
        <v>39062</v>
      </c>
      <c r="M6548" t="s">
        <v>40338</v>
      </c>
      <c r="N6548" t="s">
        <v>43166</v>
      </c>
      <c r="O6548" t="s">
        <v>43167</v>
      </c>
      <c r="P6548">
        <v>0</v>
      </c>
      <c r="Q6548">
        <v>7</v>
      </c>
      <c r="R6548" t="s">
        <v>43173</v>
      </c>
      <c r="S6548" t="s">
        <v>43374</v>
      </c>
      <c r="T6548" t="s">
        <v>44807</v>
      </c>
      <c r="U6548" t="s">
        <v>50490</v>
      </c>
      <c r="W6548" t="s">
        <v>40338</v>
      </c>
      <c r="X6548" t="s">
        <v>43180</v>
      </c>
    </row>
    <row r="6549" spans="1:24">
      <c r="A6549">
        <f>HYPERLINK("https://www.philgeps.gov.ph/GEPSNONPILOT/Tender/SplashBidNoticeAbstractUI.aspx?menuIndex=3&amp;refID=7081793&amp;Result=3","7081793")</f>
        <v>0</v>
      </c>
      <c r="B6549" t="s">
        <v>2091</v>
      </c>
      <c r="C6549" t="s">
        <v>9655</v>
      </c>
      <c r="D6549" t="s">
        <v>17414</v>
      </c>
      <c r="E6549" t="s">
        <v>23156</v>
      </c>
      <c r="F6549" t="s">
        <v>30052</v>
      </c>
      <c r="G6549" t="s">
        <v>30058</v>
      </c>
      <c r="H6549" t="s">
        <v>30067</v>
      </c>
      <c r="I6549" t="s">
        <v>3693</v>
      </c>
      <c r="J6549" t="s">
        <v>34279</v>
      </c>
      <c r="K6549" t="s">
        <v>39125</v>
      </c>
      <c r="M6549" t="s">
        <v>41553</v>
      </c>
      <c r="N6549" t="s">
        <v>43166</v>
      </c>
      <c r="O6549" t="s">
        <v>43167</v>
      </c>
      <c r="P6549">
        <v>0</v>
      </c>
      <c r="Q6549">
        <v>1</v>
      </c>
      <c r="R6549" t="s">
        <v>43172</v>
      </c>
      <c r="S6549" t="s">
        <v>43334</v>
      </c>
      <c r="T6549" t="s">
        <v>44892</v>
      </c>
      <c r="U6549" t="s">
        <v>50484</v>
      </c>
      <c r="W6549" t="s">
        <v>42702</v>
      </c>
      <c r="X6549" t="s">
        <v>43173</v>
      </c>
    </row>
    <row r="6550" spans="1:24">
      <c r="A6550">
        <f>HYPERLINK("https://www.philgeps.gov.ph/GEPSNONPILOT/Tender/SplashBidNoticeAbstractUI.aspx?menuIndex=3&amp;refID=7066251&amp;Result=3","7066251")</f>
        <v>0</v>
      </c>
      <c r="B6550" t="s">
        <v>2093</v>
      </c>
      <c r="C6550" t="s">
        <v>9656</v>
      </c>
      <c r="D6550" t="s">
        <v>17434</v>
      </c>
      <c r="E6550" t="s">
        <v>23157</v>
      </c>
      <c r="F6550" t="s">
        <v>30052</v>
      </c>
      <c r="G6550" t="s">
        <v>30058</v>
      </c>
      <c r="H6550" t="s">
        <v>15498</v>
      </c>
      <c r="I6550" t="s">
        <v>30077</v>
      </c>
      <c r="J6550" t="s">
        <v>34283</v>
      </c>
      <c r="K6550" t="s">
        <v>39025</v>
      </c>
      <c r="M6550" t="s">
        <v>41555</v>
      </c>
      <c r="N6550" t="s">
        <v>43166</v>
      </c>
      <c r="O6550" t="s">
        <v>43167</v>
      </c>
      <c r="P6550">
        <v>0</v>
      </c>
      <c r="Q6550">
        <v>6</v>
      </c>
      <c r="R6550" t="s">
        <v>43173</v>
      </c>
      <c r="S6550" t="s">
        <v>43374</v>
      </c>
      <c r="T6550" t="s">
        <v>44696</v>
      </c>
      <c r="U6550" t="s">
        <v>50491</v>
      </c>
      <c r="W6550" t="s">
        <v>41555</v>
      </c>
      <c r="X6550" t="s">
        <v>43180</v>
      </c>
    </row>
    <row r="6551" spans="1:24">
      <c r="A6551">
        <f>HYPERLINK("https://www.philgeps.gov.ph/GEPSNONPILOT/Tender/SplashBidNoticeAbstractUI.aspx?menuIndex=3&amp;refID=7081760&amp;Result=3","7081760")</f>
        <v>0</v>
      </c>
      <c r="B6551" t="s">
        <v>2087</v>
      </c>
      <c r="C6551" t="s">
        <v>9657</v>
      </c>
      <c r="D6551" t="s">
        <v>17458</v>
      </c>
      <c r="E6551" t="s">
        <v>23158</v>
      </c>
      <c r="F6551" t="s">
        <v>30052</v>
      </c>
      <c r="G6551" t="s">
        <v>30058</v>
      </c>
      <c r="H6551" t="s">
        <v>30067</v>
      </c>
      <c r="I6551" t="s">
        <v>3693</v>
      </c>
      <c r="J6551" t="s">
        <v>34267</v>
      </c>
      <c r="K6551" t="s">
        <v>39031</v>
      </c>
      <c r="M6551" t="s">
        <v>41548</v>
      </c>
      <c r="N6551" t="s">
        <v>43166</v>
      </c>
      <c r="O6551" t="s">
        <v>43167</v>
      </c>
      <c r="P6551">
        <v>0</v>
      </c>
      <c r="Q6551">
        <v>1</v>
      </c>
      <c r="R6551" t="s">
        <v>43172</v>
      </c>
      <c r="S6551" t="s">
        <v>43334</v>
      </c>
      <c r="T6551" t="s">
        <v>44842</v>
      </c>
      <c r="U6551" t="s">
        <v>50466</v>
      </c>
      <c r="W6551" t="s">
        <v>41548</v>
      </c>
      <c r="X6551" t="s">
        <v>43173</v>
      </c>
    </row>
    <row r="6552" spans="1:24">
      <c r="A6552">
        <f>HYPERLINK("https://www.philgeps.gov.ph/GEPSNONPILOT/Tender/SplashBidNoticeAbstractUI.aspx?menuIndex=3&amp;refID=7081786&amp;Result=3","7081786")</f>
        <v>0</v>
      </c>
      <c r="B6552" t="s">
        <v>1217</v>
      </c>
      <c r="C6552" t="s">
        <v>9658</v>
      </c>
      <c r="D6552" t="s">
        <v>17415</v>
      </c>
      <c r="E6552" t="s">
        <v>23159</v>
      </c>
      <c r="F6552" t="s">
        <v>30052</v>
      </c>
      <c r="G6552" t="s">
        <v>30059</v>
      </c>
      <c r="H6552" t="s">
        <v>30068</v>
      </c>
      <c r="I6552" t="s">
        <v>30068</v>
      </c>
      <c r="J6552" t="s">
        <v>30277</v>
      </c>
      <c r="K6552" t="s">
        <v>39025</v>
      </c>
      <c r="M6552" t="s">
        <v>40571</v>
      </c>
      <c r="N6552" t="s">
        <v>43166</v>
      </c>
      <c r="O6552" t="s">
        <v>43167</v>
      </c>
      <c r="Q6552">
        <v>2</v>
      </c>
      <c r="R6552" t="s">
        <v>43172</v>
      </c>
      <c r="S6552" t="s">
        <v>43375</v>
      </c>
      <c r="T6552" t="s">
        <v>44708</v>
      </c>
      <c r="U6552" t="s">
        <v>50492</v>
      </c>
      <c r="W6552" t="s">
        <v>40571</v>
      </c>
      <c r="X6552" t="s">
        <v>43173</v>
      </c>
    </row>
    <row r="6553" spans="1:24">
      <c r="A6553">
        <f>HYPERLINK("https://www.philgeps.gov.ph/GEPSNONPILOT/Tender/SplashBidNoticeAbstractUI.aspx?menuIndex=3&amp;refID=7081757&amp;Result=3","7081757")</f>
        <v>0</v>
      </c>
      <c r="B6553" t="s">
        <v>1292</v>
      </c>
      <c r="C6553" t="s">
        <v>9659</v>
      </c>
      <c r="D6553" t="s">
        <v>17424</v>
      </c>
      <c r="E6553" t="s">
        <v>23160</v>
      </c>
      <c r="F6553" t="s">
        <v>30052</v>
      </c>
      <c r="G6553" t="s">
        <v>30058</v>
      </c>
      <c r="H6553" t="s">
        <v>15498</v>
      </c>
      <c r="I6553" t="s">
        <v>30084</v>
      </c>
      <c r="J6553" t="s">
        <v>34284</v>
      </c>
      <c r="K6553" t="s">
        <v>39031</v>
      </c>
      <c r="M6553" t="s">
        <v>41552</v>
      </c>
      <c r="N6553" t="s">
        <v>43166</v>
      </c>
      <c r="O6553" t="s">
        <v>43167</v>
      </c>
      <c r="P6553">
        <v>0</v>
      </c>
      <c r="Q6553">
        <v>9</v>
      </c>
      <c r="R6553" t="s">
        <v>43172</v>
      </c>
      <c r="S6553" t="s">
        <v>43334</v>
      </c>
      <c r="T6553" t="s">
        <v>44828</v>
      </c>
      <c r="U6553" t="s">
        <v>50493</v>
      </c>
      <c r="W6553" t="s">
        <v>41552</v>
      </c>
      <c r="X6553" t="s">
        <v>43173</v>
      </c>
    </row>
    <row r="6554" spans="1:24">
      <c r="A6554">
        <f>HYPERLINK("https://www.philgeps.gov.ph/GEPSNONPILOT/Tender/SplashBidNoticeAbstractUI.aspx?menuIndex=3&amp;refID=7081756&amp;Result=3","7081756")</f>
        <v>0</v>
      </c>
      <c r="B6554" t="s">
        <v>30</v>
      </c>
      <c r="C6554" t="s">
        <v>9660</v>
      </c>
      <c r="E6554" t="s">
        <v>23161</v>
      </c>
      <c r="F6554" t="s">
        <v>30055</v>
      </c>
      <c r="G6554" t="s">
        <v>30066</v>
      </c>
      <c r="H6554" t="s">
        <v>30068</v>
      </c>
      <c r="I6554" t="s">
        <v>30068</v>
      </c>
      <c r="J6554" t="s">
        <v>32397</v>
      </c>
      <c r="K6554" t="s">
        <v>39176</v>
      </c>
      <c r="M6554" t="s">
        <v>39320</v>
      </c>
      <c r="N6554" t="s">
        <v>43166</v>
      </c>
      <c r="O6554" t="s">
        <v>43167</v>
      </c>
      <c r="P6554">
        <v>0</v>
      </c>
      <c r="Q6554">
        <v>1</v>
      </c>
      <c r="R6554" t="s">
        <v>43172</v>
      </c>
      <c r="S6554" t="s">
        <v>43334</v>
      </c>
      <c r="T6554" t="s">
        <v>45045</v>
      </c>
      <c r="U6554" t="s">
        <v>50494</v>
      </c>
      <c r="V6554" t="s">
        <v>57509</v>
      </c>
      <c r="W6554" t="s">
        <v>39320</v>
      </c>
      <c r="X6554" t="s">
        <v>43173</v>
      </c>
    </row>
    <row r="6555" spans="1:24">
      <c r="A6555">
        <f>HYPERLINK("https://www.philgeps.gov.ph/GEPSNONPILOT/Tender/SplashBidNoticeAbstractUI.aspx?menuIndex=3&amp;refID=7065286&amp;Result=3","7065286")</f>
        <v>0</v>
      </c>
      <c r="B6555" t="s">
        <v>2094</v>
      </c>
      <c r="C6555" t="s">
        <v>9661</v>
      </c>
      <c r="D6555" t="s">
        <v>17422</v>
      </c>
      <c r="E6555" t="s">
        <v>23162</v>
      </c>
      <c r="F6555" t="s">
        <v>30052</v>
      </c>
      <c r="G6555" t="s">
        <v>30058</v>
      </c>
      <c r="H6555" t="s">
        <v>15498</v>
      </c>
      <c r="I6555" t="s">
        <v>4650</v>
      </c>
      <c r="J6555" t="s">
        <v>34018</v>
      </c>
      <c r="K6555" t="s">
        <v>39017</v>
      </c>
      <c r="M6555" t="s">
        <v>41556</v>
      </c>
      <c r="N6555" t="s">
        <v>43166</v>
      </c>
      <c r="O6555" t="s">
        <v>43167</v>
      </c>
      <c r="P6555">
        <v>0</v>
      </c>
      <c r="Q6555">
        <v>1</v>
      </c>
      <c r="R6555" t="s">
        <v>43173</v>
      </c>
      <c r="S6555" t="s">
        <v>43374</v>
      </c>
      <c r="T6555" t="s">
        <v>45007</v>
      </c>
      <c r="U6555" t="s">
        <v>50495</v>
      </c>
      <c r="V6555" t="s">
        <v>57510</v>
      </c>
      <c r="W6555" t="s">
        <v>41556</v>
      </c>
      <c r="X6555" t="s">
        <v>43180</v>
      </c>
    </row>
    <row r="6556" spans="1:24">
      <c r="A6556">
        <f>HYPERLINK("https://www.philgeps.gov.ph/GEPSNONPILOT/Tender/SplashBidNoticeAbstractUI.aspx?menuIndex=3&amp;refID=7081726&amp;Result=3","7081726")</f>
        <v>0</v>
      </c>
      <c r="B6556" t="s">
        <v>2079</v>
      </c>
      <c r="C6556" t="s">
        <v>9662</v>
      </c>
      <c r="D6556" t="s">
        <v>17451</v>
      </c>
      <c r="E6556" t="s">
        <v>23163</v>
      </c>
      <c r="F6556" t="s">
        <v>30052</v>
      </c>
      <c r="G6556" t="s">
        <v>30058</v>
      </c>
      <c r="H6556" t="s">
        <v>30067</v>
      </c>
      <c r="I6556" t="s">
        <v>3693</v>
      </c>
      <c r="J6556" t="s">
        <v>34285</v>
      </c>
      <c r="K6556" t="s">
        <v>39065</v>
      </c>
      <c r="M6556" t="s">
        <v>41540</v>
      </c>
      <c r="N6556" t="s">
        <v>43166</v>
      </c>
      <c r="O6556" t="s">
        <v>43167</v>
      </c>
      <c r="P6556">
        <v>0</v>
      </c>
      <c r="Q6556">
        <v>0</v>
      </c>
      <c r="R6556" t="s">
        <v>43172</v>
      </c>
      <c r="S6556" t="s">
        <v>43334</v>
      </c>
      <c r="T6556" t="s">
        <v>44763</v>
      </c>
      <c r="U6556" t="s">
        <v>50496</v>
      </c>
      <c r="W6556" t="s">
        <v>41540</v>
      </c>
      <c r="X6556" t="s">
        <v>43173</v>
      </c>
    </row>
    <row r="6557" spans="1:24">
      <c r="A6557">
        <f>HYPERLINK("https://www.philgeps.gov.ph/GEPSNONPILOT/Tender/SplashBidNoticeAbstractUI.aspx?menuIndex=3&amp;refID=7065667&amp;Result=3","7065667")</f>
        <v>0</v>
      </c>
      <c r="B6557" t="s">
        <v>1009</v>
      </c>
      <c r="C6557" t="s">
        <v>9663</v>
      </c>
      <c r="D6557" t="s">
        <v>17474</v>
      </c>
      <c r="E6557" t="s">
        <v>23164</v>
      </c>
      <c r="F6557" t="s">
        <v>30052</v>
      </c>
      <c r="G6557" t="s">
        <v>30058</v>
      </c>
      <c r="H6557" t="s">
        <v>30067</v>
      </c>
      <c r="I6557" t="s">
        <v>3693</v>
      </c>
      <c r="J6557" t="s">
        <v>33069</v>
      </c>
      <c r="K6557" t="s">
        <v>39031</v>
      </c>
      <c r="M6557" t="s">
        <v>40338</v>
      </c>
      <c r="N6557" t="s">
        <v>43166</v>
      </c>
      <c r="O6557" t="s">
        <v>43167</v>
      </c>
      <c r="P6557">
        <v>0</v>
      </c>
      <c r="Q6557">
        <v>7</v>
      </c>
      <c r="R6557" t="s">
        <v>43173</v>
      </c>
      <c r="S6557" t="s">
        <v>43374</v>
      </c>
      <c r="T6557" t="s">
        <v>44807</v>
      </c>
      <c r="U6557" t="s">
        <v>50497</v>
      </c>
      <c r="W6557" t="s">
        <v>40338</v>
      </c>
      <c r="X6557" t="s">
        <v>43180</v>
      </c>
    </row>
    <row r="6558" spans="1:24">
      <c r="A6558">
        <f>HYPERLINK("https://www.philgeps.gov.ph/GEPSNONPILOT/Tender/SplashBidNoticeAbstractUI.aspx?menuIndex=3&amp;refID=7081762&amp;Result=3","7081762")</f>
        <v>0</v>
      </c>
      <c r="B6558" t="s">
        <v>2087</v>
      </c>
      <c r="C6558" t="s">
        <v>9664</v>
      </c>
      <c r="D6558" t="s">
        <v>17458</v>
      </c>
      <c r="E6558" t="s">
        <v>23165</v>
      </c>
      <c r="F6558" t="s">
        <v>30052</v>
      </c>
      <c r="G6558" t="s">
        <v>30058</v>
      </c>
      <c r="H6558" t="s">
        <v>30067</v>
      </c>
      <c r="I6558" t="s">
        <v>3693</v>
      </c>
      <c r="J6558" t="s">
        <v>34267</v>
      </c>
      <c r="K6558" t="s">
        <v>39031</v>
      </c>
      <c r="M6558" t="s">
        <v>41548</v>
      </c>
      <c r="N6558" t="s">
        <v>43166</v>
      </c>
      <c r="O6558" t="s">
        <v>43167</v>
      </c>
      <c r="P6558">
        <v>0</v>
      </c>
      <c r="Q6558">
        <v>0</v>
      </c>
      <c r="R6558" t="s">
        <v>43172</v>
      </c>
      <c r="S6558" t="s">
        <v>43334</v>
      </c>
      <c r="T6558" t="s">
        <v>44842</v>
      </c>
      <c r="U6558" t="s">
        <v>50466</v>
      </c>
      <c r="W6558" t="s">
        <v>41548</v>
      </c>
      <c r="X6558" t="s">
        <v>43173</v>
      </c>
    </row>
    <row r="6559" spans="1:24">
      <c r="A6559">
        <f>HYPERLINK("https://www.philgeps.gov.ph/GEPSNONPILOT/Tender/SplashBidNoticeAbstractUI.aspx?menuIndex=3&amp;refID=7066213&amp;Result=3","7066213")</f>
        <v>0</v>
      </c>
      <c r="B6559" t="s">
        <v>2093</v>
      </c>
      <c r="C6559" t="s">
        <v>9665</v>
      </c>
      <c r="D6559" t="s">
        <v>17434</v>
      </c>
      <c r="E6559" t="s">
        <v>23166</v>
      </c>
      <c r="F6559" t="s">
        <v>30052</v>
      </c>
      <c r="G6559" t="s">
        <v>30058</v>
      </c>
      <c r="H6559" t="s">
        <v>15498</v>
      </c>
      <c r="I6559" t="s">
        <v>3606</v>
      </c>
      <c r="J6559" t="s">
        <v>34286</v>
      </c>
      <c r="K6559" t="s">
        <v>39025</v>
      </c>
      <c r="M6559" t="s">
        <v>41555</v>
      </c>
      <c r="N6559" t="s">
        <v>43166</v>
      </c>
      <c r="O6559" t="s">
        <v>43167</v>
      </c>
      <c r="P6559">
        <v>0</v>
      </c>
      <c r="Q6559">
        <v>12</v>
      </c>
      <c r="R6559" t="s">
        <v>43173</v>
      </c>
      <c r="S6559" t="s">
        <v>43374</v>
      </c>
      <c r="T6559" t="s">
        <v>44807</v>
      </c>
      <c r="U6559" t="s">
        <v>50498</v>
      </c>
      <c r="W6559" t="s">
        <v>41555</v>
      </c>
      <c r="X6559" t="s">
        <v>43180</v>
      </c>
    </row>
    <row r="6560" spans="1:24">
      <c r="A6560">
        <f>HYPERLINK("https://www.philgeps.gov.ph/GEPSNONPILOT/Tender/SplashBidNoticeAbstractUI.aspx?menuIndex=3&amp;refID=7061738&amp;Result=3","7061738")</f>
        <v>0</v>
      </c>
      <c r="B6560" t="s">
        <v>1000</v>
      </c>
      <c r="C6560" t="s">
        <v>9666</v>
      </c>
      <c r="D6560" t="s">
        <v>17422</v>
      </c>
      <c r="E6560" t="s">
        <v>9666</v>
      </c>
      <c r="F6560" t="s">
        <v>30052</v>
      </c>
      <c r="G6560" t="s">
        <v>30058</v>
      </c>
      <c r="H6560" t="s">
        <v>15498</v>
      </c>
      <c r="I6560" t="s">
        <v>4650</v>
      </c>
      <c r="J6560" t="s">
        <v>32351</v>
      </c>
      <c r="K6560" t="s">
        <v>39017</v>
      </c>
      <c r="M6560" t="s">
        <v>40329</v>
      </c>
      <c r="N6560" t="s">
        <v>43166</v>
      </c>
      <c r="O6560" t="s">
        <v>43167</v>
      </c>
      <c r="P6560">
        <v>0</v>
      </c>
      <c r="Q6560">
        <v>2</v>
      </c>
      <c r="R6560" t="s">
        <v>43173</v>
      </c>
      <c r="S6560" t="s">
        <v>43374</v>
      </c>
      <c r="T6560" t="s">
        <v>44828</v>
      </c>
      <c r="U6560" t="s">
        <v>50499</v>
      </c>
      <c r="V6560" t="s">
        <v>57200</v>
      </c>
      <c r="W6560" t="s">
        <v>40329</v>
      </c>
      <c r="X6560" t="s">
        <v>43181</v>
      </c>
    </row>
    <row r="6561" spans="1:24">
      <c r="A6561">
        <f>HYPERLINK("https://www.philgeps.gov.ph/GEPSNONPILOT/Tender/SplashBidNoticeAbstractUI.aspx?menuIndex=3&amp;refID=7060460&amp;Result=3","7060460")</f>
        <v>0</v>
      </c>
      <c r="B6561" t="s">
        <v>1196</v>
      </c>
      <c r="C6561" t="s">
        <v>9667</v>
      </c>
      <c r="E6561" t="s">
        <v>23167</v>
      </c>
      <c r="F6561" t="s">
        <v>30052</v>
      </c>
      <c r="G6561" t="s">
        <v>30058</v>
      </c>
      <c r="H6561" t="s">
        <v>30067</v>
      </c>
      <c r="I6561" t="s">
        <v>3693</v>
      </c>
      <c r="J6561" t="s">
        <v>34287</v>
      </c>
      <c r="K6561" t="s">
        <v>39022</v>
      </c>
      <c r="M6561" t="s">
        <v>40549</v>
      </c>
      <c r="N6561" t="s">
        <v>43166</v>
      </c>
      <c r="O6561" t="s">
        <v>43167</v>
      </c>
      <c r="P6561">
        <v>0</v>
      </c>
      <c r="Q6561">
        <v>12</v>
      </c>
      <c r="R6561" t="s">
        <v>43173</v>
      </c>
      <c r="S6561" t="s">
        <v>43374</v>
      </c>
      <c r="T6561" t="s">
        <v>45038</v>
      </c>
      <c r="U6561" t="s">
        <v>50500</v>
      </c>
      <c r="W6561" t="s">
        <v>40549</v>
      </c>
      <c r="X6561" t="s">
        <v>43182</v>
      </c>
    </row>
    <row r="6562" spans="1:24">
      <c r="A6562">
        <f>HYPERLINK("https://www.philgeps.gov.ph/GEPSNONPILOT/Tender/SplashBidNoticeAbstractUI.aspx?menuIndex=3&amp;refID=7060417&amp;Result=3","7060417")</f>
        <v>0</v>
      </c>
      <c r="B6562" t="s">
        <v>1196</v>
      </c>
      <c r="C6562" t="s">
        <v>9668</v>
      </c>
      <c r="E6562" t="s">
        <v>23168</v>
      </c>
      <c r="F6562" t="s">
        <v>30052</v>
      </c>
      <c r="G6562" t="s">
        <v>30058</v>
      </c>
      <c r="H6562" t="s">
        <v>30067</v>
      </c>
      <c r="I6562" t="s">
        <v>3693</v>
      </c>
      <c r="J6562" t="s">
        <v>34288</v>
      </c>
      <c r="K6562" t="s">
        <v>39026</v>
      </c>
      <c r="M6562" t="s">
        <v>40549</v>
      </c>
      <c r="N6562" t="s">
        <v>43166</v>
      </c>
      <c r="O6562" t="s">
        <v>43167</v>
      </c>
      <c r="P6562">
        <v>0</v>
      </c>
      <c r="Q6562">
        <v>12</v>
      </c>
      <c r="R6562" t="s">
        <v>43173</v>
      </c>
      <c r="S6562" t="s">
        <v>43374</v>
      </c>
      <c r="T6562" t="s">
        <v>45038</v>
      </c>
      <c r="U6562" t="s">
        <v>50501</v>
      </c>
      <c r="W6562" t="s">
        <v>40549</v>
      </c>
      <c r="X6562" t="s">
        <v>43182</v>
      </c>
    </row>
    <row r="6563" spans="1:24">
      <c r="A6563">
        <f>HYPERLINK("https://www.philgeps.gov.ph/GEPSNONPILOT/Tender/SplashBidNoticeAbstractUI.aspx?menuIndex=3&amp;refID=7060376&amp;Result=3","7060376")</f>
        <v>0</v>
      </c>
      <c r="B6563" t="s">
        <v>1196</v>
      </c>
      <c r="C6563" t="s">
        <v>9669</v>
      </c>
      <c r="D6563" t="s">
        <v>17418</v>
      </c>
      <c r="E6563" t="s">
        <v>23169</v>
      </c>
      <c r="F6563" t="s">
        <v>30052</v>
      </c>
      <c r="G6563" t="s">
        <v>30058</v>
      </c>
      <c r="H6563" t="s">
        <v>30067</v>
      </c>
      <c r="I6563" t="s">
        <v>3693</v>
      </c>
      <c r="J6563" t="s">
        <v>34289</v>
      </c>
      <c r="K6563" t="s">
        <v>39022</v>
      </c>
      <c r="M6563" t="s">
        <v>40549</v>
      </c>
      <c r="N6563" t="s">
        <v>43166</v>
      </c>
      <c r="O6563" t="s">
        <v>43167</v>
      </c>
      <c r="P6563">
        <v>0</v>
      </c>
      <c r="Q6563">
        <v>8</v>
      </c>
      <c r="R6563" t="s">
        <v>43173</v>
      </c>
      <c r="S6563" t="s">
        <v>43374</v>
      </c>
      <c r="T6563" t="s">
        <v>45046</v>
      </c>
      <c r="U6563" t="s">
        <v>50502</v>
      </c>
      <c r="W6563" t="s">
        <v>40549</v>
      </c>
      <c r="X6563" t="s">
        <v>43182</v>
      </c>
    </row>
    <row r="6564" spans="1:24">
      <c r="A6564">
        <f>HYPERLINK("https://www.philgeps.gov.ph/GEPSNONPILOT/Tender/SplashBidNoticeAbstractUI.aspx?menuIndex=3&amp;refID=7070361&amp;Result=3","7070361")</f>
        <v>0</v>
      </c>
      <c r="B6564" t="s">
        <v>2095</v>
      </c>
      <c r="C6564" t="s">
        <v>9670</v>
      </c>
      <c r="D6564" t="s">
        <v>17482</v>
      </c>
      <c r="E6564" t="s">
        <v>20668</v>
      </c>
      <c r="F6564" t="s">
        <v>30052</v>
      </c>
      <c r="G6564" t="s">
        <v>30058</v>
      </c>
      <c r="H6564" t="s">
        <v>15498</v>
      </c>
      <c r="I6564" t="s">
        <v>30071</v>
      </c>
      <c r="J6564" t="s">
        <v>34290</v>
      </c>
      <c r="K6564" t="s">
        <v>39046</v>
      </c>
      <c r="M6564" t="s">
        <v>41557</v>
      </c>
      <c r="N6564" t="s">
        <v>43166</v>
      </c>
      <c r="O6564" t="s">
        <v>43167</v>
      </c>
      <c r="P6564">
        <v>0</v>
      </c>
      <c r="Q6564">
        <v>0</v>
      </c>
      <c r="R6564" t="s">
        <v>43173</v>
      </c>
      <c r="S6564" t="s">
        <v>43374</v>
      </c>
      <c r="T6564" t="s">
        <v>44789</v>
      </c>
      <c r="U6564" t="s">
        <v>50503</v>
      </c>
      <c r="W6564" t="s">
        <v>41557</v>
      </c>
      <c r="X6564" t="s">
        <v>43178</v>
      </c>
    </row>
    <row r="6565" spans="1:24">
      <c r="A6565">
        <f>HYPERLINK("https://www.philgeps.gov.ph/GEPSNONPILOT/Tender/SplashBidNoticeAbstractUI.aspx?menuIndex=3&amp;refID=7063122&amp;Result=3","7063122")</f>
        <v>0</v>
      </c>
      <c r="B6565" t="s">
        <v>366</v>
      </c>
      <c r="C6565" t="s">
        <v>9671</v>
      </c>
      <c r="E6565" t="s">
        <v>23170</v>
      </c>
      <c r="F6565" t="s">
        <v>30052</v>
      </c>
      <c r="G6565" t="s">
        <v>30058</v>
      </c>
      <c r="H6565" t="s">
        <v>30067</v>
      </c>
      <c r="I6565" t="s">
        <v>3693</v>
      </c>
      <c r="J6565" t="s">
        <v>30297</v>
      </c>
      <c r="K6565" t="s">
        <v>39025</v>
      </c>
      <c r="M6565" t="s">
        <v>39664</v>
      </c>
      <c r="N6565" t="s">
        <v>43166</v>
      </c>
      <c r="O6565" t="s">
        <v>43167</v>
      </c>
      <c r="P6565">
        <v>0</v>
      </c>
      <c r="Q6565">
        <v>0</v>
      </c>
      <c r="R6565" t="s">
        <v>43173</v>
      </c>
      <c r="S6565" t="s">
        <v>43374</v>
      </c>
      <c r="T6565" t="s">
        <v>44732</v>
      </c>
      <c r="U6565" t="s">
        <v>50504</v>
      </c>
      <c r="W6565" t="s">
        <v>39664</v>
      </c>
      <c r="X6565" t="s">
        <v>43181</v>
      </c>
    </row>
    <row r="6566" spans="1:24">
      <c r="A6566">
        <f>HYPERLINK("https://www.philgeps.gov.ph/GEPSNONPILOT/Tender/SplashBidNoticeAbstractUI.aspx?menuIndex=3&amp;refID=7065708&amp;Result=3","7065708")</f>
        <v>0</v>
      </c>
      <c r="B6566" t="s">
        <v>1009</v>
      </c>
      <c r="C6566" t="s">
        <v>9672</v>
      </c>
      <c r="D6566" t="s">
        <v>17474</v>
      </c>
      <c r="E6566" t="s">
        <v>23171</v>
      </c>
      <c r="F6566" t="s">
        <v>30052</v>
      </c>
      <c r="G6566" t="s">
        <v>30058</v>
      </c>
      <c r="H6566" t="s">
        <v>30067</v>
      </c>
      <c r="I6566" t="s">
        <v>3693</v>
      </c>
      <c r="J6566" t="s">
        <v>30605</v>
      </c>
      <c r="K6566" t="s">
        <v>39029</v>
      </c>
      <c r="M6566" t="s">
        <v>40338</v>
      </c>
      <c r="N6566" t="s">
        <v>43166</v>
      </c>
      <c r="O6566" t="s">
        <v>43167</v>
      </c>
      <c r="P6566">
        <v>0</v>
      </c>
      <c r="Q6566">
        <v>2</v>
      </c>
      <c r="R6566" t="s">
        <v>43173</v>
      </c>
      <c r="S6566" t="s">
        <v>43374</v>
      </c>
      <c r="T6566" t="s">
        <v>44807</v>
      </c>
      <c r="U6566" t="s">
        <v>50505</v>
      </c>
      <c r="W6566" t="s">
        <v>40338</v>
      </c>
      <c r="X6566" t="s">
        <v>43180</v>
      </c>
    </row>
    <row r="6567" spans="1:24">
      <c r="A6567">
        <f>HYPERLINK("https://www.philgeps.gov.ph/GEPSNONPILOT/Tender/SplashBidNoticeAbstractUI.aspx?menuIndex=3&amp;refID=7065582&amp;Result=3","7065582")</f>
        <v>0</v>
      </c>
      <c r="B6567" t="s">
        <v>1009</v>
      </c>
      <c r="C6567" t="s">
        <v>9673</v>
      </c>
      <c r="D6567" t="s">
        <v>17474</v>
      </c>
      <c r="E6567" t="s">
        <v>23172</v>
      </c>
      <c r="F6567" t="s">
        <v>30052</v>
      </c>
      <c r="G6567" t="s">
        <v>30058</v>
      </c>
      <c r="H6567" t="s">
        <v>30067</v>
      </c>
      <c r="I6567" t="s">
        <v>3693</v>
      </c>
      <c r="J6567" t="s">
        <v>31207</v>
      </c>
      <c r="K6567" t="s">
        <v>39118</v>
      </c>
      <c r="M6567" t="s">
        <v>40338</v>
      </c>
      <c r="N6567" t="s">
        <v>43166</v>
      </c>
      <c r="O6567" t="s">
        <v>43167</v>
      </c>
      <c r="P6567">
        <v>0</v>
      </c>
      <c r="Q6567">
        <v>10</v>
      </c>
      <c r="R6567" t="s">
        <v>43173</v>
      </c>
      <c r="S6567" t="s">
        <v>43374</v>
      </c>
      <c r="T6567" t="s">
        <v>44807</v>
      </c>
      <c r="U6567" t="s">
        <v>50506</v>
      </c>
      <c r="W6567" t="s">
        <v>40338</v>
      </c>
      <c r="X6567" t="s">
        <v>43180</v>
      </c>
    </row>
    <row r="6568" spans="1:24">
      <c r="A6568">
        <f>HYPERLINK("https://www.philgeps.gov.ph/GEPSNONPILOT/Tender/SplashBidNoticeAbstractUI.aspx?menuIndex=3&amp;refID=7069817&amp;Result=3","7069817")</f>
        <v>0</v>
      </c>
      <c r="B6568" t="s">
        <v>34</v>
      </c>
      <c r="C6568" t="s">
        <v>9674</v>
      </c>
      <c r="D6568" t="s">
        <v>17420</v>
      </c>
      <c r="E6568" t="s">
        <v>23173</v>
      </c>
      <c r="F6568" t="s">
        <v>30052</v>
      </c>
      <c r="G6568" t="s">
        <v>30058</v>
      </c>
      <c r="H6568" t="s">
        <v>30067</v>
      </c>
      <c r="I6568" t="s">
        <v>3693</v>
      </c>
      <c r="J6568" t="s">
        <v>34291</v>
      </c>
      <c r="K6568" t="s">
        <v>39135</v>
      </c>
      <c r="M6568" t="s">
        <v>39324</v>
      </c>
      <c r="N6568" t="s">
        <v>43166</v>
      </c>
      <c r="O6568" t="s">
        <v>43167</v>
      </c>
      <c r="P6568">
        <v>0</v>
      </c>
      <c r="Q6568">
        <v>0</v>
      </c>
      <c r="R6568" t="s">
        <v>43173</v>
      </c>
      <c r="S6568" t="s">
        <v>43374</v>
      </c>
      <c r="T6568" t="s">
        <v>44715</v>
      </c>
      <c r="U6568" t="s">
        <v>50507</v>
      </c>
      <c r="W6568" t="s">
        <v>39324</v>
      </c>
      <c r="X6568" t="s">
        <v>43179</v>
      </c>
    </row>
    <row r="6569" spans="1:24">
      <c r="A6569">
        <f>HYPERLINK("https://www.philgeps.gov.ph/GEPSNONPILOT/Tender/SplashBidNoticeAbstractUI.aspx?menuIndex=3&amp;refID=7069533&amp;Result=3","7069533")</f>
        <v>0</v>
      </c>
      <c r="B6569" t="s">
        <v>34</v>
      </c>
      <c r="C6569" t="s">
        <v>9675</v>
      </c>
      <c r="D6569" t="s">
        <v>17420</v>
      </c>
      <c r="E6569" t="s">
        <v>23174</v>
      </c>
      <c r="F6569" t="s">
        <v>30052</v>
      </c>
      <c r="G6569" t="s">
        <v>30058</v>
      </c>
      <c r="H6569" t="s">
        <v>30067</v>
      </c>
      <c r="I6569" t="s">
        <v>3693</v>
      </c>
      <c r="J6569" t="s">
        <v>34292</v>
      </c>
      <c r="K6569" t="s">
        <v>39158</v>
      </c>
      <c r="M6569" t="s">
        <v>39324</v>
      </c>
      <c r="N6569" t="s">
        <v>43166</v>
      </c>
      <c r="O6569" t="s">
        <v>43167</v>
      </c>
      <c r="P6569">
        <v>0</v>
      </c>
      <c r="Q6569">
        <v>0</v>
      </c>
      <c r="R6569" t="s">
        <v>43173</v>
      </c>
      <c r="S6569" t="s">
        <v>43374</v>
      </c>
      <c r="T6569" t="s">
        <v>44715</v>
      </c>
      <c r="U6569" t="s">
        <v>50508</v>
      </c>
      <c r="W6569" t="s">
        <v>39324</v>
      </c>
      <c r="X6569" t="s">
        <v>43179</v>
      </c>
    </row>
    <row r="6570" spans="1:24">
      <c r="A6570">
        <f>HYPERLINK("https://www.philgeps.gov.ph/GEPSNONPILOT/Tender/SplashBidNoticeAbstractUI.aspx?menuIndex=3&amp;refID=7069963&amp;Result=3","7069963")</f>
        <v>0</v>
      </c>
      <c r="B6570" t="s">
        <v>396</v>
      </c>
      <c r="C6570" t="s">
        <v>9676</v>
      </c>
      <c r="D6570" t="s">
        <v>17444</v>
      </c>
      <c r="E6570" t="s">
        <v>23175</v>
      </c>
      <c r="F6570" t="s">
        <v>30052</v>
      </c>
      <c r="G6570" t="s">
        <v>30058</v>
      </c>
      <c r="H6570" t="s">
        <v>30067</v>
      </c>
      <c r="I6570" t="s">
        <v>3693</v>
      </c>
      <c r="J6570" t="s">
        <v>34293</v>
      </c>
      <c r="K6570" t="s">
        <v>39023</v>
      </c>
      <c r="M6570" t="s">
        <v>39694</v>
      </c>
      <c r="N6570" t="s">
        <v>43166</v>
      </c>
      <c r="O6570" t="s">
        <v>43167</v>
      </c>
      <c r="P6570">
        <v>0</v>
      </c>
      <c r="Q6570">
        <v>1</v>
      </c>
      <c r="R6570" t="s">
        <v>43173</v>
      </c>
      <c r="S6570" t="s">
        <v>43374</v>
      </c>
      <c r="T6570" t="s">
        <v>44714</v>
      </c>
      <c r="U6570" t="s">
        <v>50509</v>
      </c>
      <c r="W6570" t="s">
        <v>39694</v>
      </c>
      <c r="X6570" t="s">
        <v>43179</v>
      </c>
    </row>
    <row r="6571" spans="1:24">
      <c r="A6571">
        <f>HYPERLINK("https://www.philgeps.gov.ph/GEPSNONPILOT/Tender/SplashBidNoticeAbstractUI.aspx?menuIndex=3&amp;refID=7061783&amp;Result=3","7061783")</f>
        <v>0</v>
      </c>
      <c r="B6571" t="s">
        <v>1000</v>
      </c>
      <c r="C6571" t="s">
        <v>9677</v>
      </c>
      <c r="E6571" t="s">
        <v>23176</v>
      </c>
      <c r="F6571" t="s">
        <v>30052</v>
      </c>
      <c r="G6571" t="s">
        <v>30058</v>
      </c>
      <c r="H6571" t="s">
        <v>15498</v>
      </c>
      <c r="I6571" t="s">
        <v>7228</v>
      </c>
      <c r="J6571" t="s">
        <v>34294</v>
      </c>
      <c r="K6571" t="s">
        <v>39064</v>
      </c>
      <c r="M6571" t="s">
        <v>40541</v>
      </c>
      <c r="N6571" t="s">
        <v>43166</v>
      </c>
      <c r="O6571" t="s">
        <v>43167</v>
      </c>
      <c r="P6571">
        <v>0</v>
      </c>
      <c r="Q6571">
        <v>2</v>
      </c>
      <c r="R6571" t="s">
        <v>43173</v>
      </c>
      <c r="S6571" t="s">
        <v>43374</v>
      </c>
      <c r="T6571" t="s">
        <v>44705</v>
      </c>
      <c r="U6571" t="s">
        <v>50510</v>
      </c>
      <c r="W6571" t="s">
        <v>40541</v>
      </c>
      <c r="X6571" t="s">
        <v>43181</v>
      </c>
    </row>
    <row r="6572" spans="1:24">
      <c r="A6572">
        <f>HYPERLINK("https://www.philgeps.gov.ph/GEPSNONPILOT/Tender/SplashBidNoticeAbstractUI.aspx?menuIndex=3&amp;refID=7069342&amp;Result=3","7069342")</f>
        <v>0</v>
      </c>
      <c r="B6572" t="s">
        <v>34</v>
      </c>
      <c r="C6572" t="s">
        <v>9678</v>
      </c>
      <c r="D6572" t="s">
        <v>17420</v>
      </c>
      <c r="E6572" t="s">
        <v>23177</v>
      </c>
      <c r="F6572" t="s">
        <v>30052</v>
      </c>
      <c r="G6572" t="s">
        <v>30058</v>
      </c>
      <c r="H6572" t="s">
        <v>30067</v>
      </c>
      <c r="I6572" t="s">
        <v>3693</v>
      </c>
      <c r="J6572" t="s">
        <v>34295</v>
      </c>
      <c r="K6572" t="s">
        <v>39027</v>
      </c>
      <c r="M6572" t="s">
        <v>39324</v>
      </c>
      <c r="N6572" t="s">
        <v>43166</v>
      </c>
      <c r="O6572" t="s">
        <v>43167</v>
      </c>
      <c r="P6572">
        <v>0</v>
      </c>
      <c r="Q6572">
        <v>0</v>
      </c>
      <c r="R6572" t="s">
        <v>43173</v>
      </c>
      <c r="S6572" t="s">
        <v>43374</v>
      </c>
      <c r="T6572" t="s">
        <v>44715</v>
      </c>
      <c r="U6572" t="s">
        <v>50511</v>
      </c>
      <c r="W6572" t="s">
        <v>39324</v>
      </c>
      <c r="X6572" t="s">
        <v>43179</v>
      </c>
    </row>
    <row r="6573" spans="1:24">
      <c r="A6573">
        <f>HYPERLINK("https://www.philgeps.gov.ph/GEPSNONPILOT/Tender/SplashBidNoticeAbstractUI.aspx?menuIndex=3&amp;refID=7069283&amp;Result=3","7069283")</f>
        <v>0</v>
      </c>
      <c r="B6573" t="s">
        <v>1655</v>
      </c>
      <c r="C6573" t="s">
        <v>8134</v>
      </c>
      <c r="D6573" t="s">
        <v>17481</v>
      </c>
      <c r="E6573" t="s">
        <v>23178</v>
      </c>
      <c r="F6573" t="s">
        <v>30052</v>
      </c>
      <c r="G6573" t="s">
        <v>30058</v>
      </c>
      <c r="H6573" t="s">
        <v>15498</v>
      </c>
      <c r="I6573" t="s">
        <v>9238</v>
      </c>
      <c r="J6573" t="s">
        <v>34296</v>
      </c>
      <c r="K6573" t="s">
        <v>39034</v>
      </c>
      <c r="M6573" t="s">
        <v>41060</v>
      </c>
      <c r="N6573" t="s">
        <v>43166</v>
      </c>
      <c r="O6573" t="s">
        <v>43167</v>
      </c>
      <c r="P6573">
        <v>0</v>
      </c>
      <c r="Q6573">
        <v>15</v>
      </c>
      <c r="R6573" t="s">
        <v>43173</v>
      </c>
      <c r="S6573" t="s">
        <v>43374</v>
      </c>
      <c r="T6573" t="s">
        <v>44685</v>
      </c>
      <c r="U6573" t="s">
        <v>50512</v>
      </c>
      <c r="W6573" t="s">
        <v>41060</v>
      </c>
      <c r="X6573" t="s">
        <v>43179</v>
      </c>
    </row>
    <row r="6574" spans="1:24">
      <c r="A6574">
        <f>HYPERLINK("https://www.philgeps.gov.ph/GEPSNONPILOT/Tender/SplashBidNoticeAbstractUI.aspx?menuIndex=3&amp;refID=7063147&amp;Result=3","7063147")</f>
        <v>0</v>
      </c>
      <c r="B6574" t="s">
        <v>366</v>
      </c>
      <c r="C6574" t="s">
        <v>9679</v>
      </c>
      <c r="E6574" t="s">
        <v>23179</v>
      </c>
      <c r="F6574" t="s">
        <v>30052</v>
      </c>
      <c r="G6574" t="s">
        <v>30058</v>
      </c>
      <c r="H6574" t="s">
        <v>30067</v>
      </c>
      <c r="I6574" t="s">
        <v>3693</v>
      </c>
      <c r="J6574" t="s">
        <v>34297</v>
      </c>
      <c r="K6574" t="s">
        <v>39025</v>
      </c>
      <c r="M6574" t="s">
        <v>39664</v>
      </c>
      <c r="N6574" t="s">
        <v>43166</v>
      </c>
      <c r="O6574" t="s">
        <v>43167</v>
      </c>
      <c r="P6574">
        <v>0</v>
      </c>
      <c r="Q6574">
        <v>0</v>
      </c>
      <c r="R6574" t="s">
        <v>43173</v>
      </c>
      <c r="S6574" t="s">
        <v>43374</v>
      </c>
      <c r="T6574" t="s">
        <v>44732</v>
      </c>
      <c r="U6574" t="s">
        <v>50513</v>
      </c>
      <c r="W6574" t="s">
        <v>39664</v>
      </c>
      <c r="X6574" t="s">
        <v>43181</v>
      </c>
    </row>
    <row r="6575" spans="1:24">
      <c r="A6575">
        <f>HYPERLINK("https://www.philgeps.gov.ph/GEPSNONPILOT/Tender/SplashBidNoticeAbstractUI.aspx?menuIndex=3&amp;refID=7070297&amp;Result=3","7070297")</f>
        <v>0</v>
      </c>
      <c r="B6575" t="s">
        <v>2096</v>
      </c>
      <c r="C6575" t="s">
        <v>9680</v>
      </c>
      <c r="D6575" t="s">
        <v>17416</v>
      </c>
      <c r="E6575" t="s">
        <v>23180</v>
      </c>
      <c r="F6575" t="s">
        <v>30052</v>
      </c>
      <c r="G6575" t="s">
        <v>30059</v>
      </c>
      <c r="H6575" t="s">
        <v>15498</v>
      </c>
      <c r="I6575" t="s">
        <v>3852</v>
      </c>
      <c r="J6575" t="s">
        <v>34298</v>
      </c>
      <c r="K6575" t="s">
        <v>39029</v>
      </c>
      <c r="M6575" t="s">
        <v>41558</v>
      </c>
      <c r="N6575" t="s">
        <v>43166</v>
      </c>
      <c r="O6575" t="s">
        <v>43167</v>
      </c>
      <c r="P6575">
        <v>0</v>
      </c>
      <c r="Q6575">
        <v>7</v>
      </c>
      <c r="R6575" t="s">
        <v>43173</v>
      </c>
      <c r="S6575" t="s">
        <v>43374</v>
      </c>
      <c r="T6575" t="s">
        <v>44870</v>
      </c>
      <c r="U6575" t="s">
        <v>50514</v>
      </c>
      <c r="W6575" t="s">
        <v>58662</v>
      </c>
      <c r="X6575" t="s">
        <v>43178</v>
      </c>
    </row>
    <row r="6576" spans="1:24">
      <c r="A6576">
        <f>HYPERLINK("https://www.philgeps.gov.ph/GEPSNONPILOT/Tender/SplashBidNoticeAbstractUI.aspx?menuIndex=3&amp;refID=7069319&amp;Result=3","7069319")</f>
        <v>0</v>
      </c>
      <c r="B6576" t="s">
        <v>2097</v>
      </c>
      <c r="C6576" t="s">
        <v>9681</v>
      </c>
      <c r="D6576" t="s">
        <v>17466</v>
      </c>
      <c r="E6576" t="s">
        <v>23181</v>
      </c>
      <c r="F6576" t="s">
        <v>30052</v>
      </c>
      <c r="G6576" t="s">
        <v>30059</v>
      </c>
      <c r="H6576" t="s">
        <v>30069</v>
      </c>
      <c r="I6576" t="s">
        <v>30106</v>
      </c>
      <c r="J6576" t="s">
        <v>34299</v>
      </c>
      <c r="K6576" t="s">
        <v>39019</v>
      </c>
      <c r="M6576" t="s">
        <v>41559</v>
      </c>
      <c r="N6576" t="s">
        <v>43166</v>
      </c>
      <c r="O6576" t="s">
        <v>43167</v>
      </c>
      <c r="P6576">
        <v>0</v>
      </c>
      <c r="Q6576">
        <v>1</v>
      </c>
      <c r="R6576" t="s">
        <v>43173</v>
      </c>
      <c r="S6576" t="s">
        <v>43374</v>
      </c>
      <c r="T6576" t="s">
        <v>44734</v>
      </c>
      <c r="U6576" t="s">
        <v>50515</v>
      </c>
      <c r="W6576" t="s">
        <v>41559</v>
      </c>
      <c r="X6576" t="s">
        <v>43179</v>
      </c>
    </row>
    <row r="6577" spans="1:24">
      <c r="A6577">
        <f>HYPERLINK("https://www.philgeps.gov.ph/GEPSNONPILOT/Tender/SplashBidNoticeAbstractUI.aspx?menuIndex=3&amp;refID=7071557&amp;Result=3","7071557")</f>
        <v>0</v>
      </c>
      <c r="B6577" t="s">
        <v>1655</v>
      </c>
      <c r="C6577" t="s">
        <v>9682</v>
      </c>
      <c r="D6577" t="s">
        <v>17481</v>
      </c>
      <c r="E6577" t="s">
        <v>23182</v>
      </c>
      <c r="F6577" t="s">
        <v>30052</v>
      </c>
      <c r="G6577" t="s">
        <v>30058</v>
      </c>
      <c r="H6577" t="s">
        <v>15498</v>
      </c>
      <c r="I6577" t="s">
        <v>30073</v>
      </c>
      <c r="J6577" t="s">
        <v>34300</v>
      </c>
      <c r="K6577" t="s">
        <v>39034</v>
      </c>
      <c r="M6577" t="s">
        <v>41060</v>
      </c>
      <c r="N6577" t="s">
        <v>43166</v>
      </c>
      <c r="O6577" t="s">
        <v>43167</v>
      </c>
      <c r="P6577">
        <v>0</v>
      </c>
      <c r="Q6577">
        <v>0</v>
      </c>
      <c r="R6577" t="s">
        <v>43173</v>
      </c>
      <c r="S6577" t="s">
        <v>43374</v>
      </c>
      <c r="T6577" t="s">
        <v>44685</v>
      </c>
      <c r="U6577" t="s">
        <v>50516</v>
      </c>
      <c r="W6577" t="s">
        <v>41060</v>
      </c>
      <c r="X6577" t="s">
        <v>43178</v>
      </c>
    </row>
    <row r="6578" spans="1:24">
      <c r="A6578">
        <f>HYPERLINK("https://www.philgeps.gov.ph/GEPSNONPILOT/Tender/SplashBidNoticeAbstractUI.aspx?menuIndex=3&amp;refID=7071546&amp;Result=3","7071546")</f>
        <v>0</v>
      </c>
      <c r="B6578" t="s">
        <v>2098</v>
      </c>
      <c r="C6578" t="s">
        <v>5387</v>
      </c>
      <c r="D6578" t="s">
        <v>17414</v>
      </c>
      <c r="E6578" t="s">
        <v>23183</v>
      </c>
      <c r="F6578" t="s">
        <v>30052</v>
      </c>
      <c r="G6578" t="s">
        <v>30058</v>
      </c>
      <c r="H6578" t="s">
        <v>15498</v>
      </c>
      <c r="I6578" t="s">
        <v>3606</v>
      </c>
      <c r="J6578" t="s">
        <v>34301</v>
      </c>
      <c r="K6578" t="s">
        <v>39017</v>
      </c>
      <c r="M6578" t="s">
        <v>41560</v>
      </c>
      <c r="N6578" t="s">
        <v>43166</v>
      </c>
      <c r="O6578" t="s">
        <v>43167</v>
      </c>
      <c r="P6578">
        <v>0</v>
      </c>
      <c r="Q6578">
        <v>2</v>
      </c>
      <c r="R6578" t="s">
        <v>43173</v>
      </c>
      <c r="S6578" t="s">
        <v>43374</v>
      </c>
      <c r="T6578" t="s">
        <v>45047</v>
      </c>
      <c r="U6578" t="s">
        <v>50517</v>
      </c>
      <c r="V6578" t="s">
        <v>57511</v>
      </c>
      <c r="W6578" t="s">
        <v>41560</v>
      </c>
      <c r="X6578" t="s">
        <v>43178</v>
      </c>
    </row>
    <row r="6579" spans="1:24">
      <c r="A6579">
        <f>HYPERLINK("https://www.philgeps.gov.ph/GEPSNONPILOT/Tender/SplashBidNoticeAbstractUI.aspx?menuIndex=3&amp;refID=7071492&amp;Result=3","7071492")</f>
        <v>0</v>
      </c>
      <c r="B6579" t="s">
        <v>1520</v>
      </c>
      <c r="C6579" t="s">
        <v>9683</v>
      </c>
      <c r="D6579" t="s">
        <v>17423</v>
      </c>
      <c r="E6579" t="s">
        <v>23184</v>
      </c>
      <c r="F6579" t="s">
        <v>30056</v>
      </c>
      <c r="G6579" t="s">
        <v>30058</v>
      </c>
      <c r="H6579" t="s">
        <v>30067</v>
      </c>
      <c r="I6579" t="s">
        <v>3693</v>
      </c>
      <c r="J6579" t="s">
        <v>34302</v>
      </c>
      <c r="K6579" t="s">
        <v>39029</v>
      </c>
      <c r="M6579" t="s">
        <v>40906</v>
      </c>
      <c r="N6579" t="s">
        <v>43166</v>
      </c>
      <c r="O6579" t="s">
        <v>43167</v>
      </c>
      <c r="P6579">
        <v>0</v>
      </c>
      <c r="Q6579">
        <v>0</v>
      </c>
      <c r="R6579" t="s">
        <v>43173</v>
      </c>
      <c r="S6579" t="s">
        <v>43374</v>
      </c>
      <c r="T6579" t="s">
        <v>44758</v>
      </c>
      <c r="U6579" t="s">
        <v>50518</v>
      </c>
      <c r="W6579" t="s">
        <v>40906</v>
      </c>
      <c r="X6579" t="s">
        <v>43178</v>
      </c>
    </row>
    <row r="6580" spans="1:24">
      <c r="A6580">
        <f>HYPERLINK("https://www.philgeps.gov.ph/GEPSNONPILOT/Tender/SplashBidNoticeAbstractUI.aspx?menuIndex=3&amp;refID=7069232&amp;Result=3","7069232")</f>
        <v>0</v>
      </c>
      <c r="B6580" t="s">
        <v>2099</v>
      </c>
      <c r="C6580" t="s">
        <v>9684</v>
      </c>
      <c r="D6580" t="s">
        <v>17422</v>
      </c>
      <c r="E6580" t="s">
        <v>23185</v>
      </c>
      <c r="F6580" t="s">
        <v>30052</v>
      </c>
      <c r="G6580" t="s">
        <v>30058</v>
      </c>
      <c r="H6580" t="s">
        <v>30067</v>
      </c>
      <c r="I6580" t="s">
        <v>3693</v>
      </c>
      <c r="J6580" t="s">
        <v>30230</v>
      </c>
      <c r="K6580" t="s">
        <v>39029</v>
      </c>
      <c r="M6580" t="s">
        <v>41561</v>
      </c>
      <c r="N6580" t="s">
        <v>43166</v>
      </c>
      <c r="O6580" t="s">
        <v>43167</v>
      </c>
      <c r="P6580">
        <v>0</v>
      </c>
      <c r="Q6580">
        <v>0</v>
      </c>
      <c r="R6580" t="s">
        <v>43173</v>
      </c>
      <c r="S6580" t="s">
        <v>43374</v>
      </c>
      <c r="T6580" t="s">
        <v>45038</v>
      </c>
      <c r="U6580" t="s">
        <v>50519</v>
      </c>
      <c r="W6580" t="s">
        <v>41561</v>
      </c>
      <c r="X6580" t="s">
        <v>43179</v>
      </c>
    </row>
    <row r="6581" spans="1:24">
      <c r="A6581">
        <f>HYPERLINK("https://www.philgeps.gov.ph/GEPSNONPILOT/Tender/SplashBidNoticeAbstractUI.aspx?menuIndex=3&amp;refID=7071474&amp;Result=3","7071474")</f>
        <v>0</v>
      </c>
      <c r="B6581" t="s">
        <v>2098</v>
      </c>
      <c r="C6581" t="s">
        <v>9685</v>
      </c>
      <c r="D6581" t="s">
        <v>17414</v>
      </c>
      <c r="E6581" t="s">
        <v>23186</v>
      </c>
      <c r="F6581" t="s">
        <v>30052</v>
      </c>
      <c r="G6581" t="s">
        <v>30058</v>
      </c>
      <c r="H6581" t="s">
        <v>15498</v>
      </c>
      <c r="I6581" t="s">
        <v>30076</v>
      </c>
      <c r="J6581" t="s">
        <v>34303</v>
      </c>
      <c r="K6581" t="s">
        <v>39017</v>
      </c>
      <c r="M6581" t="s">
        <v>41560</v>
      </c>
      <c r="N6581" t="s">
        <v>43166</v>
      </c>
      <c r="O6581" t="s">
        <v>43167</v>
      </c>
      <c r="P6581">
        <v>0</v>
      </c>
      <c r="Q6581">
        <v>2</v>
      </c>
      <c r="R6581" t="s">
        <v>43173</v>
      </c>
      <c r="S6581" t="s">
        <v>43374</v>
      </c>
      <c r="T6581" t="s">
        <v>45047</v>
      </c>
      <c r="U6581" t="s">
        <v>50520</v>
      </c>
      <c r="V6581" t="s">
        <v>57512</v>
      </c>
      <c r="W6581" t="s">
        <v>41560</v>
      </c>
      <c r="X6581" t="s">
        <v>43178</v>
      </c>
    </row>
    <row r="6582" spans="1:24">
      <c r="A6582">
        <f>HYPERLINK("https://www.philgeps.gov.ph/GEPSNONPILOT/Tender/SplashBidNoticeAbstractUI.aspx?menuIndex=3&amp;refID=7069181&amp;Result=3","7069181")</f>
        <v>0</v>
      </c>
      <c r="B6582" t="s">
        <v>1655</v>
      </c>
      <c r="C6582" t="s">
        <v>5232</v>
      </c>
      <c r="D6582" t="s">
        <v>17481</v>
      </c>
      <c r="E6582" t="s">
        <v>23187</v>
      </c>
      <c r="F6582" t="s">
        <v>30052</v>
      </c>
      <c r="G6582" t="s">
        <v>30058</v>
      </c>
      <c r="H6582" t="s">
        <v>15498</v>
      </c>
      <c r="I6582" t="s">
        <v>30081</v>
      </c>
      <c r="J6582" t="s">
        <v>34304</v>
      </c>
      <c r="K6582" t="s">
        <v>39029</v>
      </c>
      <c r="M6582" t="s">
        <v>41060</v>
      </c>
      <c r="N6582" t="s">
        <v>43166</v>
      </c>
      <c r="O6582" t="s">
        <v>43167</v>
      </c>
      <c r="P6582">
        <v>0</v>
      </c>
      <c r="Q6582">
        <v>0</v>
      </c>
      <c r="R6582" t="s">
        <v>43173</v>
      </c>
      <c r="S6582" t="s">
        <v>43374</v>
      </c>
      <c r="T6582" t="s">
        <v>44685</v>
      </c>
      <c r="U6582" t="s">
        <v>50521</v>
      </c>
      <c r="W6582" t="s">
        <v>41060</v>
      </c>
      <c r="X6582" t="s">
        <v>43179</v>
      </c>
    </row>
    <row r="6583" spans="1:24">
      <c r="A6583">
        <f>HYPERLINK("https://www.philgeps.gov.ph/GEPSNONPILOT/Tender/SplashBidNoticeAbstractUI.aspx?menuIndex=3&amp;refID=7071342&amp;Result=3","7071342")</f>
        <v>0</v>
      </c>
      <c r="B6583" t="s">
        <v>1655</v>
      </c>
      <c r="C6583" t="s">
        <v>9276</v>
      </c>
      <c r="D6583" t="s">
        <v>17481</v>
      </c>
      <c r="E6583" t="s">
        <v>23188</v>
      </c>
      <c r="F6583" t="s">
        <v>30052</v>
      </c>
      <c r="G6583" t="s">
        <v>30058</v>
      </c>
      <c r="H6583" t="s">
        <v>15498</v>
      </c>
      <c r="I6583" t="s">
        <v>30073</v>
      </c>
      <c r="J6583" t="s">
        <v>34305</v>
      </c>
      <c r="K6583" t="s">
        <v>39025</v>
      </c>
      <c r="M6583" t="s">
        <v>41060</v>
      </c>
      <c r="N6583" t="s">
        <v>43166</v>
      </c>
      <c r="O6583" t="s">
        <v>43167</v>
      </c>
      <c r="P6583">
        <v>0</v>
      </c>
      <c r="Q6583">
        <v>0</v>
      </c>
      <c r="R6583" t="s">
        <v>43173</v>
      </c>
      <c r="S6583" t="s">
        <v>43374</v>
      </c>
      <c r="T6583" t="s">
        <v>44685</v>
      </c>
      <c r="U6583" t="s">
        <v>50522</v>
      </c>
      <c r="W6583" t="s">
        <v>41060</v>
      </c>
      <c r="X6583" t="s">
        <v>43178</v>
      </c>
    </row>
    <row r="6584" spans="1:24">
      <c r="A6584">
        <f>HYPERLINK("https://www.philgeps.gov.ph/GEPSNONPILOT/Tender/SplashBidNoticeAbstractUI.aspx?menuIndex=3&amp;refID=7071341&amp;Result=3","7071341")</f>
        <v>0</v>
      </c>
      <c r="B6584" t="s">
        <v>2100</v>
      </c>
      <c r="C6584" t="s">
        <v>9686</v>
      </c>
      <c r="D6584" t="s">
        <v>17445</v>
      </c>
      <c r="E6584" t="s">
        <v>23189</v>
      </c>
      <c r="F6584" t="s">
        <v>30052</v>
      </c>
      <c r="G6584" t="s">
        <v>30058</v>
      </c>
      <c r="H6584" t="s">
        <v>15498</v>
      </c>
      <c r="I6584" t="s">
        <v>4650</v>
      </c>
      <c r="J6584" t="s">
        <v>34306</v>
      </c>
      <c r="K6584" t="s">
        <v>39025</v>
      </c>
      <c r="M6584" t="s">
        <v>41562</v>
      </c>
      <c r="N6584" t="s">
        <v>43166</v>
      </c>
      <c r="O6584" t="s">
        <v>43167</v>
      </c>
      <c r="P6584">
        <v>0</v>
      </c>
      <c r="Q6584">
        <v>2</v>
      </c>
      <c r="R6584" t="s">
        <v>43173</v>
      </c>
      <c r="S6584" t="s">
        <v>43374</v>
      </c>
      <c r="T6584" t="s">
        <v>44789</v>
      </c>
      <c r="U6584" t="s">
        <v>50523</v>
      </c>
      <c r="W6584" t="s">
        <v>58663</v>
      </c>
      <c r="X6584" t="s">
        <v>43178</v>
      </c>
    </row>
    <row r="6585" spans="1:24">
      <c r="A6585">
        <f>HYPERLINK("https://www.philgeps.gov.ph/GEPSNONPILOT/Tender/SplashBidNoticeAbstractUI.aspx?menuIndex=3&amp;refID=7071298&amp;Result=3","7071298")</f>
        <v>0</v>
      </c>
      <c r="B6585" t="s">
        <v>2100</v>
      </c>
      <c r="C6585" t="s">
        <v>9687</v>
      </c>
      <c r="D6585" t="s">
        <v>17445</v>
      </c>
      <c r="E6585" t="s">
        <v>23190</v>
      </c>
      <c r="F6585" t="s">
        <v>30052</v>
      </c>
      <c r="G6585" t="s">
        <v>30058</v>
      </c>
      <c r="H6585" t="s">
        <v>15498</v>
      </c>
      <c r="I6585" t="s">
        <v>3736</v>
      </c>
      <c r="J6585" t="s">
        <v>34307</v>
      </c>
      <c r="K6585" t="s">
        <v>39025</v>
      </c>
      <c r="M6585" t="s">
        <v>41562</v>
      </c>
      <c r="N6585" t="s">
        <v>43166</v>
      </c>
      <c r="O6585" t="s">
        <v>43167</v>
      </c>
      <c r="P6585">
        <v>0</v>
      </c>
      <c r="Q6585">
        <v>2</v>
      </c>
      <c r="R6585" t="s">
        <v>43173</v>
      </c>
      <c r="S6585" t="s">
        <v>43374</v>
      </c>
      <c r="T6585" t="s">
        <v>44789</v>
      </c>
      <c r="U6585" t="s">
        <v>50523</v>
      </c>
      <c r="W6585" t="s">
        <v>58663</v>
      </c>
      <c r="X6585" t="s">
        <v>43178</v>
      </c>
    </row>
    <row r="6586" spans="1:24">
      <c r="A6586">
        <f>HYPERLINK("https://www.philgeps.gov.ph/GEPSNONPILOT/Tender/SplashBidNoticeAbstractUI.aspx?menuIndex=3&amp;refID=7071259&amp;Result=3","7071259")</f>
        <v>0</v>
      </c>
      <c r="B6586" t="s">
        <v>2100</v>
      </c>
      <c r="C6586" t="s">
        <v>9688</v>
      </c>
      <c r="D6586" t="s">
        <v>17445</v>
      </c>
      <c r="E6586" t="s">
        <v>23191</v>
      </c>
      <c r="F6586" t="s">
        <v>30052</v>
      </c>
      <c r="G6586" t="s">
        <v>30058</v>
      </c>
      <c r="H6586" t="s">
        <v>15498</v>
      </c>
      <c r="I6586" t="s">
        <v>3736</v>
      </c>
      <c r="J6586" t="s">
        <v>34308</v>
      </c>
      <c r="K6586" t="s">
        <v>39025</v>
      </c>
      <c r="M6586" t="s">
        <v>41562</v>
      </c>
      <c r="N6586" t="s">
        <v>43166</v>
      </c>
      <c r="O6586" t="s">
        <v>43167</v>
      </c>
      <c r="P6586">
        <v>0</v>
      </c>
      <c r="Q6586">
        <v>2</v>
      </c>
      <c r="R6586" t="s">
        <v>43173</v>
      </c>
      <c r="S6586" t="s">
        <v>43374</v>
      </c>
      <c r="T6586" t="s">
        <v>44789</v>
      </c>
      <c r="U6586" t="s">
        <v>50523</v>
      </c>
      <c r="W6586" t="s">
        <v>58663</v>
      </c>
      <c r="X6586" t="s">
        <v>43178</v>
      </c>
    </row>
    <row r="6587" spans="1:24">
      <c r="A6587">
        <f>HYPERLINK("https://www.philgeps.gov.ph/GEPSNONPILOT/Tender/SplashBidNoticeAbstractUI.aspx?menuIndex=3&amp;refID=7071241&amp;Result=3","7071241")</f>
        <v>0</v>
      </c>
      <c r="B6587" t="s">
        <v>2100</v>
      </c>
      <c r="C6587" t="s">
        <v>9689</v>
      </c>
      <c r="D6587" t="s">
        <v>17445</v>
      </c>
      <c r="E6587" t="s">
        <v>23192</v>
      </c>
      <c r="F6587" t="s">
        <v>30052</v>
      </c>
      <c r="G6587" t="s">
        <v>30058</v>
      </c>
      <c r="H6587" t="s">
        <v>15498</v>
      </c>
      <c r="I6587" t="s">
        <v>3736</v>
      </c>
      <c r="J6587" t="s">
        <v>34309</v>
      </c>
      <c r="K6587" t="s">
        <v>39025</v>
      </c>
      <c r="M6587" t="s">
        <v>41562</v>
      </c>
      <c r="N6587" t="s">
        <v>43166</v>
      </c>
      <c r="O6587" t="s">
        <v>43167</v>
      </c>
      <c r="P6587">
        <v>0</v>
      </c>
      <c r="Q6587">
        <v>2</v>
      </c>
      <c r="R6587" t="s">
        <v>43173</v>
      </c>
      <c r="S6587" t="s">
        <v>43374</v>
      </c>
      <c r="T6587" t="s">
        <v>44789</v>
      </c>
      <c r="U6587" t="s">
        <v>50523</v>
      </c>
      <c r="W6587" t="s">
        <v>58663</v>
      </c>
      <c r="X6587" t="s">
        <v>43178</v>
      </c>
    </row>
    <row r="6588" spans="1:24">
      <c r="A6588">
        <f>HYPERLINK("https://www.philgeps.gov.ph/GEPSNONPILOT/Tender/SplashBidNoticeAbstractUI.aspx?menuIndex=3&amp;refID=7071224&amp;Result=3","7071224")</f>
        <v>0</v>
      </c>
      <c r="B6588" t="s">
        <v>2100</v>
      </c>
      <c r="C6588" t="s">
        <v>9690</v>
      </c>
      <c r="D6588" t="s">
        <v>17445</v>
      </c>
      <c r="E6588" t="s">
        <v>23193</v>
      </c>
      <c r="F6588" t="s">
        <v>30052</v>
      </c>
      <c r="G6588" t="s">
        <v>30058</v>
      </c>
      <c r="H6588" t="s">
        <v>15498</v>
      </c>
      <c r="I6588" t="s">
        <v>30106</v>
      </c>
      <c r="J6588" t="s">
        <v>34310</v>
      </c>
      <c r="K6588" t="s">
        <v>39025</v>
      </c>
      <c r="M6588" t="s">
        <v>41562</v>
      </c>
      <c r="N6588" t="s">
        <v>43166</v>
      </c>
      <c r="O6588" t="s">
        <v>43167</v>
      </c>
      <c r="P6588">
        <v>0</v>
      </c>
      <c r="Q6588">
        <v>3</v>
      </c>
      <c r="R6588" t="s">
        <v>43173</v>
      </c>
      <c r="S6588" t="s">
        <v>43374</v>
      </c>
      <c r="T6588" t="s">
        <v>44789</v>
      </c>
      <c r="U6588" t="s">
        <v>50523</v>
      </c>
      <c r="W6588" t="s">
        <v>58663</v>
      </c>
      <c r="X6588" t="s">
        <v>43178</v>
      </c>
    </row>
    <row r="6589" spans="1:24">
      <c r="A6589">
        <f>HYPERLINK("https://www.philgeps.gov.ph/GEPSNONPILOT/Tender/SplashBidNoticeAbstractUI.aspx?menuIndex=3&amp;refID=7071208&amp;Result=3","7071208")</f>
        <v>0</v>
      </c>
      <c r="B6589" t="s">
        <v>2100</v>
      </c>
      <c r="C6589" t="s">
        <v>9691</v>
      </c>
      <c r="D6589" t="s">
        <v>17445</v>
      </c>
      <c r="E6589" t="s">
        <v>23194</v>
      </c>
      <c r="F6589" t="s">
        <v>30052</v>
      </c>
      <c r="G6589" t="s">
        <v>30058</v>
      </c>
      <c r="H6589" t="s">
        <v>15498</v>
      </c>
      <c r="I6589" t="s">
        <v>3736</v>
      </c>
      <c r="J6589" t="s">
        <v>34311</v>
      </c>
      <c r="K6589" t="s">
        <v>39025</v>
      </c>
      <c r="M6589" t="s">
        <v>41562</v>
      </c>
      <c r="N6589" t="s">
        <v>43166</v>
      </c>
      <c r="O6589" t="s">
        <v>43167</v>
      </c>
      <c r="P6589">
        <v>0</v>
      </c>
      <c r="Q6589">
        <v>3</v>
      </c>
      <c r="R6589" t="s">
        <v>43173</v>
      </c>
      <c r="S6589" t="s">
        <v>43374</v>
      </c>
      <c r="T6589" t="s">
        <v>44789</v>
      </c>
      <c r="U6589" t="s">
        <v>50523</v>
      </c>
      <c r="W6589" t="s">
        <v>58663</v>
      </c>
      <c r="X6589" t="s">
        <v>43178</v>
      </c>
    </row>
    <row r="6590" spans="1:24">
      <c r="A6590">
        <f>HYPERLINK("https://www.philgeps.gov.ph/GEPSNONPILOT/Tender/SplashBidNoticeAbstractUI.aspx?menuIndex=3&amp;refID=7071174&amp;Result=3","7071174")</f>
        <v>0</v>
      </c>
      <c r="B6590" t="s">
        <v>2101</v>
      </c>
      <c r="C6590" t="s">
        <v>9692</v>
      </c>
      <c r="D6590" t="s">
        <v>17442</v>
      </c>
      <c r="E6590" t="s">
        <v>18583</v>
      </c>
      <c r="F6590" t="s">
        <v>30055</v>
      </c>
      <c r="G6590" t="s">
        <v>30058</v>
      </c>
      <c r="H6590" t="s">
        <v>15498</v>
      </c>
      <c r="I6590" t="s">
        <v>30073</v>
      </c>
      <c r="J6590" t="s">
        <v>30277</v>
      </c>
      <c r="K6590" t="s">
        <v>39025</v>
      </c>
      <c r="M6590" t="s">
        <v>41563</v>
      </c>
      <c r="N6590" t="s">
        <v>43166</v>
      </c>
      <c r="O6590" t="s">
        <v>43167</v>
      </c>
      <c r="P6590">
        <v>0</v>
      </c>
      <c r="Q6590">
        <v>1</v>
      </c>
      <c r="R6590" t="s">
        <v>43173</v>
      </c>
      <c r="S6590" t="s">
        <v>43374</v>
      </c>
      <c r="T6590" t="s">
        <v>44768</v>
      </c>
      <c r="U6590" t="s">
        <v>50524</v>
      </c>
      <c r="V6590" t="s">
        <v>57513</v>
      </c>
      <c r="W6590" t="s">
        <v>41563</v>
      </c>
      <c r="X6590" t="s">
        <v>43178</v>
      </c>
    </row>
    <row r="6591" spans="1:24">
      <c r="A6591">
        <f>HYPERLINK("https://www.philgeps.gov.ph/GEPSNONPILOT/Tender/SplashBidNoticeAbstractUI.aspx?menuIndex=3&amp;refID=7071074&amp;Result=3","7071074")</f>
        <v>0</v>
      </c>
      <c r="B6591" t="s">
        <v>2100</v>
      </c>
      <c r="C6591" t="s">
        <v>9693</v>
      </c>
      <c r="D6591" t="s">
        <v>17445</v>
      </c>
      <c r="E6591" t="s">
        <v>23195</v>
      </c>
      <c r="F6591" t="s">
        <v>30052</v>
      </c>
      <c r="G6591" t="s">
        <v>30058</v>
      </c>
      <c r="H6591" t="s">
        <v>15498</v>
      </c>
      <c r="I6591" t="s">
        <v>4642</v>
      </c>
      <c r="J6591" t="s">
        <v>34312</v>
      </c>
      <c r="K6591" t="s">
        <v>39025</v>
      </c>
      <c r="M6591" t="s">
        <v>41562</v>
      </c>
      <c r="N6591" t="s">
        <v>43166</v>
      </c>
      <c r="O6591" t="s">
        <v>43167</v>
      </c>
      <c r="P6591">
        <v>0</v>
      </c>
      <c r="Q6591">
        <v>7</v>
      </c>
      <c r="R6591" t="s">
        <v>43173</v>
      </c>
      <c r="S6591" t="s">
        <v>43374</v>
      </c>
      <c r="T6591" t="s">
        <v>44789</v>
      </c>
      <c r="U6591" t="s">
        <v>50523</v>
      </c>
      <c r="W6591" t="s">
        <v>58663</v>
      </c>
      <c r="X6591" t="s">
        <v>43178</v>
      </c>
    </row>
    <row r="6592" spans="1:24">
      <c r="A6592">
        <f>HYPERLINK("https://www.philgeps.gov.ph/GEPSNONPILOT/Tender/SplashBidNoticeAbstractUI.aspx?menuIndex=3&amp;refID=7069970&amp;Result=3","7069970")</f>
        <v>0</v>
      </c>
      <c r="B6592" t="s">
        <v>1602</v>
      </c>
      <c r="C6592" t="s">
        <v>9694</v>
      </c>
      <c r="D6592" t="s">
        <v>17445</v>
      </c>
      <c r="E6592" t="s">
        <v>23196</v>
      </c>
      <c r="F6592" t="s">
        <v>30052</v>
      </c>
      <c r="G6592" t="s">
        <v>30058</v>
      </c>
      <c r="H6592" t="s">
        <v>15498</v>
      </c>
      <c r="I6592" t="s">
        <v>3736</v>
      </c>
      <c r="J6592" t="s">
        <v>34313</v>
      </c>
      <c r="K6592" t="s">
        <v>39025</v>
      </c>
      <c r="M6592" t="s">
        <v>41000</v>
      </c>
      <c r="N6592" t="s">
        <v>43166</v>
      </c>
      <c r="O6592" t="s">
        <v>43167</v>
      </c>
      <c r="P6592">
        <v>0</v>
      </c>
      <c r="Q6592">
        <v>0</v>
      </c>
      <c r="R6592" t="s">
        <v>43173</v>
      </c>
      <c r="S6592" t="s">
        <v>43374</v>
      </c>
      <c r="T6592" t="s">
        <v>44732</v>
      </c>
      <c r="U6592" t="s">
        <v>50525</v>
      </c>
      <c r="W6592" t="s">
        <v>41000</v>
      </c>
      <c r="X6592" t="s">
        <v>43179</v>
      </c>
    </row>
    <row r="6593" spans="1:24">
      <c r="A6593">
        <f>HYPERLINK("https://www.philgeps.gov.ph/GEPSNONPILOT/Tender/SplashBidNoticeAbstractUI.aspx?menuIndex=3&amp;refID=7073280&amp;Result=3","7073280")</f>
        <v>0</v>
      </c>
      <c r="B6593" t="s">
        <v>2102</v>
      </c>
      <c r="C6593" t="s">
        <v>9695</v>
      </c>
      <c r="D6593" t="s">
        <v>17483</v>
      </c>
      <c r="E6593" t="s">
        <v>23197</v>
      </c>
      <c r="F6593" t="s">
        <v>30052</v>
      </c>
      <c r="G6593" t="s">
        <v>30058</v>
      </c>
      <c r="H6593" t="s">
        <v>15498</v>
      </c>
      <c r="I6593" t="s">
        <v>3736</v>
      </c>
      <c r="J6593" t="s">
        <v>34314</v>
      </c>
      <c r="K6593" t="s">
        <v>39046</v>
      </c>
      <c r="M6593" t="s">
        <v>41564</v>
      </c>
      <c r="N6593" t="s">
        <v>43166</v>
      </c>
      <c r="O6593" t="s">
        <v>43167</v>
      </c>
      <c r="P6593">
        <v>0</v>
      </c>
      <c r="Q6593">
        <v>0</v>
      </c>
      <c r="R6593" t="s">
        <v>43173</v>
      </c>
      <c r="S6593" t="s">
        <v>43374</v>
      </c>
      <c r="T6593" t="s">
        <v>44832</v>
      </c>
      <c r="U6593" t="s">
        <v>50526</v>
      </c>
      <c r="W6593" t="s">
        <v>41564</v>
      </c>
      <c r="X6593" t="s">
        <v>43175</v>
      </c>
    </row>
    <row r="6594" spans="1:24">
      <c r="A6594">
        <f>HYPERLINK("https://www.philgeps.gov.ph/GEPSNONPILOT/Tender/SplashBidNoticeAbstractUI.aspx?menuIndex=3&amp;refID=7073547&amp;Result=3","7073547")</f>
        <v>0</v>
      </c>
      <c r="B6594" t="s">
        <v>2103</v>
      </c>
      <c r="C6594" t="s">
        <v>9696</v>
      </c>
      <c r="D6594" t="s">
        <v>17453</v>
      </c>
      <c r="E6594" t="s">
        <v>23198</v>
      </c>
      <c r="F6594" t="s">
        <v>30052</v>
      </c>
      <c r="G6594" t="s">
        <v>30058</v>
      </c>
      <c r="H6594" t="s">
        <v>15498</v>
      </c>
      <c r="I6594" t="s">
        <v>30103</v>
      </c>
      <c r="J6594" t="s">
        <v>34315</v>
      </c>
      <c r="K6594" t="s">
        <v>39023</v>
      </c>
      <c r="M6594" t="s">
        <v>41565</v>
      </c>
      <c r="N6594" t="s">
        <v>43166</v>
      </c>
      <c r="O6594" t="s">
        <v>43167</v>
      </c>
      <c r="P6594">
        <v>0</v>
      </c>
      <c r="Q6594">
        <v>11</v>
      </c>
      <c r="R6594" t="s">
        <v>43173</v>
      </c>
      <c r="S6594" t="s">
        <v>43374</v>
      </c>
      <c r="T6594" t="s">
        <v>44758</v>
      </c>
      <c r="U6594" t="s">
        <v>50527</v>
      </c>
      <c r="W6594" t="s">
        <v>41565</v>
      </c>
      <c r="X6594" t="s">
        <v>43175</v>
      </c>
    </row>
    <row r="6595" spans="1:24">
      <c r="A6595">
        <f>HYPERLINK("https://www.philgeps.gov.ph/GEPSNONPILOT/Tender/SplashBidNoticeAbstractUI.aspx?menuIndex=3&amp;refID=7073459&amp;Result=3","7073459")</f>
        <v>0</v>
      </c>
      <c r="B6595" t="s">
        <v>1655</v>
      </c>
      <c r="C6595" t="s">
        <v>9697</v>
      </c>
      <c r="D6595" t="s">
        <v>17481</v>
      </c>
      <c r="E6595" t="s">
        <v>23199</v>
      </c>
      <c r="F6595" t="s">
        <v>30052</v>
      </c>
      <c r="G6595" t="s">
        <v>30058</v>
      </c>
      <c r="H6595" t="s">
        <v>15498</v>
      </c>
      <c r="I6595" t="s">
        <v>30117</v>
      </c>
      <c r="J6595" t="s">
        <v>34316</v>
      </c>
      <c r="K6595" t="s">
        <v>39034</v>
      </c>
      <c r="M6595" t="s">
        <v>41060</v>
      </c>
      <c r="N6595" t="s">
        <v>43166</v>
      </c>
      <c r="O6595" t="s">
        <v>43167</v>
      </c>
      <c r="P6595">
        <v>0</v>
      </c>
      <c r="Q6595">
        <v>1</v>
      </c>
      <c r="R6595" t="s">
        <v>43173</v>
      </c>
      <c r="S6595" t="s">
        <v>43374</v>
      </c>
      <c r="T6595" t="s">
        <v>44685</v>
      </c>
      <c r="U6595" t="s">
        <v>50528</v>
      </c>
      <c r="W6595" t="s">
        <v>41060</v>
      </c>
      <c r="X6595" t="s">
        <v>43175</v>
      </c>
    </row>
    <row r="6596" spans="1:24">
      <c r="A6596">
        <f>HYPERLINK("https://www.philgeps.gov.ph/GEPSNONPILOT/Tender/SplashBidNoticeAbstractUI.aspx?menuIndex=3&amp;refID=7073371&amp;Result=3","7073371")</f>
        <v>0</v>
      </c>
      <c r="B6596" t="s">
        <v>1164</v>
      </c>
      <c r="C6596" t="s">
        <v>9698</v>
      </c>
      <c r="D6596" t="s">
        <v>17434</v>
      </c>
      <c r="E6596" t="s">
        <v>23200</v>
      </c>
      <c r="F6596" t="s">
        <v>30052</v>
      </c>
      <c r="G6596" t="s">
        <v>30058</v>
      </c>
      <c r="H6596" t="s">
        <v>30067</v>
      </c>
      <c r="I6596" t="s">
        <v>3693</v>
      </c>
      <c r="J6596" t="s">
        <v>34317</v>
      </c>
      <c r="K6596" t="s">
        <v>39177</v>
      </c>
      <c r="M6596" t="s">
        <v>40510</v>
      </c>
      <c r="N6596" t="s">
        <v>43166</v>
      </c>
      <c r="O6596" t="s">
        <v>43167</v>
      </c>
      <c r="P6596">
        <v>0</v>
      </c>
      <c r="Q6596">
        <v>1</v>
      </c>
      <c r="R6596" t="s">
        <v>43173</v>
      </c>
      <c r="S6596" t="s">
        <v>43374</v>
      </c>
      <c r="T6596" t="s">
        <v>44714</v>
      </c>
      <c r="U6596" t="s">
        <v>50529</v>
      </c>
      <c r="W6596" t="s">
        <v>40510</v>
      </c>
      <c r="X6596" t="s">
        <v>43175</v>
      </c>
    </row>
    <row r="6597" spans="1:24">
      <c r="A6597">
        <f>HYPERLINK("https://www.philgeps.gov.ph/GEPSNONPILOT/Tender/SplashBidNoticeAbstractUI.aspx?menuIndex=3&amp;refID=7072965&amp;Result=3","7072965")</f>
        <v>0</v>
      </c>
      <c r="B6597" t="s">
        <v>34</v>
      </c>
      <c r="C6597" t="s">
        <v>9699</v>
      </c>
      <c r="D6597" t="s">
        <v>17420</v>
      </c>
      <c r="E6597" t="s">
        <v>23201</v>
      </c>
      <c r="F6597" t="s">
        <v>30052</v>
      </c>
      <c r="G6597" t="s">
        <v>30058</v>
      </c>
      <c r="H6597" t="s">
        <v>15498</v>
      </c>
      <c r="I6597" t="s">
        <v>3736</v>
      </c>
      <c r="J6597" t="s">
        <v>34318</v>
      </c>
      <c r="K6597" t="s">
        <v>39029</v>
      </c>
      <c r="M6597" t="s">
        <v>39324</v>
      </c>
      <c r="N6597" t="s">
        <v>43166</v>
      </c>
      <c r="O6597" t="s">
        <v>43167</v>
      </c>
      <c r="P6597">
        <v>0</v>
      </c>
      <c r="Q6597">
        <v>0</v>
      </c>
      <c r="R6597" t="s">
        <v>43173</v>
      </c>
      <c r="S6597" t="s">
        <v>43374</v>
      </c>
      <c r="T6597" t="s">
        <v>44715</v>
      </c>
      <c r="U6597" t="s">
        <v>50530</v>
      </c>
      <c r="W6597" t="s">
        <v>39324</v>
      </c>
      <c r="X6597" t="s">
        <v>43176</v>
      </c>
    </row>
    <row r="6598" spans="1:24">
      <c r="A6598">
        <f>HYPERLINK("https://www.philgeps.gov.ph/GEPSNONPILOT/Tender/SplashBidNoticeAbstractUI.aspx?menuIndex=3&amp;refID=7072949&amp;Result=3","7072949")</f>
        <v>0</v>
      </c>
      <c r="B6598" t="s">
        <v>34</v>
      </c>
      <c r="C6598" t="s">
        <v>9700</v>
      </c>
      <c r="D6598" t="s">
        <v>17420</v>
      </c>
      <c r="E6598" t="s">
        <v>23202</v>
      </c>
      <c r="F6598" t="s">
        <v>30052</v>
      </c>
      <c r="G6598" t="s">
        <v>30058</v>
      </c>
      <c r="H6598" t="s">
        <v>15498</v>
      </c>
      <c r="I6598" t="s">
        <v>3736</v>
      </c>
      <c r="J6598" t="s">
        <v>34319</v>
      </c>
      <c r="K6598" t="s">
        <v>39029</v>
      </c>
      <c r="M6598" t="s">
        <v>39324</v>
      </c>
      <c r="N6598" t="s">
        <v>43166</v>
      </c>
      <c r="O6598" t="s">
        <v>43167</v>
      </c>
      <c r="P6598">
        <v>0</v>
      </c>
      <c r="Q6598">
        <v>0</v>
      </c>
      <c r="R6598" t="s">
        <v>43173</v>
      </c>
      <c r="S6598" t="s">
        <v>43374</v>
      </c>
      <c r="T6598" t="s">
        <v>44715</v>
      </c>
      <c r="U6598" t="s">
        <v>50531</v>
      </c>
      <c r="W6598" t="s">
        <v>39324</v>
      </c>
      <c r="X6598" t="s">
        <v>43176</v>
      </c>
    </row>
    <row r="6599" spans="1:24">
      <c r="A6599">
        <f>HYPERLINK("https://www.philgeps.gov.ph/GEPSNONPILOT/Tender/SplashBidNoticeAbstractUI.aspx?menuIndex=3&amp;refID=7072944&amp;Result=3","7072944")</f>
        <v>0</v>
      </c>
      <c r="B6599" t="s">
        <v>34</v>
      </c>
      <c r="C6599" t="s">
        <v>9701</v>
      </c>
      <c r="D6599" t="s">
        <v>17420</v>
      </c>
      <c r="E6599" t="s">
        <v>23203</v>
      </c>
      <c r="F6599" t="s">
        <v>30052</v>
      </c>
      <c r="G6599" t="s">
        <v>30058</v>
      </c>
      <c r="H6599" t="s">
        <v>30067</v>
      </c>
      <c r="I6599" t="s">
        <v>3693</v>
      </c>
      <c r="J6599" t="s">
        <v>30218</v>
      </c>
      <c r="K6599" t="s">
        <v>39178</v>
      </c>
      <c r="M6599" t="s">
        <v>39324</v>
      </c>
      <c r="N6599" t="s">
        <v>43166</v>
      </c>
      <c r="O6599" t="s">
        <v>43167</v>
      </c>
      <c r="P6599">
        <v>0</v>
      </c>
      <c r="Q6599">
        <v>0</v>
      </c>
      <c r="R6599" t="s">
        <v>43173</v>
      </c>
      <c r="S6599" t="s">
        <v>43374</v>
      </c>
      <c r="T6599" t="s">
        <v>44715</v>
      </c>
      <c r="U6599" t="s">
        <v>50532</v>
      </c>
      <c r="W6599" t="s">
        <v>39324</v>
      </c>
      <c r="X6599" t="s">
        <v>43176</v>
      </c>
    </row>
    <row r="6600" spans="1:24">
      <c r="A6600">
        <f>HYPERLINK("https://www.philgeps.gov.ph/GEPSNONPILOT/Tender/SplashBidNoticeAbstractUI.aspx?menuIndex=3&amp;refID=7072943&amp;Result=3","7072943")</f>
        <v>0</v>
      </c>
      <c r="B6600" t="s">
        <v>34</v>
      </c>
      <c r="C6600" t="s">
        <v>9702</v>
      </c>
      <c r="D6600" t="s">
        <v>17420</v>
      </c>
      <c r="E6600" t="s">
        <v>23204</v>
      </c>
      <c r="F6600" t="s">
        <v>30052</v>
      </c>
      <c r="G6600" t="s">
        <v>30058</v>
      </c>
      <c r="H6600" t="s">
        <v>30067</v>
      </c>
      <c r="I6600" t="s">
        <v>3693</v>
      </c>
      <c r="J6600" t="s">
        <v>30343</v>
      </c>
      <c r="K6600" t="s">
        <v>39073</v>
      </c>
      <c r="M6600" t="s">
        <v>39324</v>
      </c>
      <c r="N6600" t="s">
        <v>43166</v>
      </c>
      <c r="O6600" t="s">
        <v>43167</v>
      </c>
      <c r="P6600">
        <v>0</v>
      </c>
      <c r="Q6600">
        <v>0</v>
      </c>
      <c r="R6600" t="s">
        <v>43173</v>
      </c>
      <c r="S6600" t="s">
        <v>43374</v>
      </c>
      <c r="T6600" t="s">
        <v>44715</v>
      </c>
      <c r="U6600" t="s">
        <v>50533</v>
      </c>
      <c r="W6600" t="s">
        <v>39324</v>
      </c>
      <c r="X6600" t="s">
        <v>43176</v>
      </c>
    </row>
    <row r="6601" spans="1:24">
      <c r="A6601">
        <f>HYPERLINK("https://www.philgeps.gov.ph/GEPSNONPILOT/Tender/SplashBidNoticeAbstractUI.aspx?menuIndex=3&amp;refID=7072942&amp;Result=3","7072942")</f>
        <v>0</v>
      </c>
      <c r="B6601" t="s">
        <v>34</v>
      </c>
      <c r="C6601" t="s">
        <v>9703</v>
      </c>
      <c r="D6601" t="s">
        <v>17420</v>
      </c>
      <c r="E6601" t="s">
        <v>23205</v>
      </c>
      <c r="F6601" t="s">
        <v>30052</v>
      </c>
      <c r="G6601" t="s">
        <v>30058</v>
      </c>
      <c r="H6601" t="s">
        <v>30067</v>
      </c>
      <c r="I6601" t="s">
        <v>3693</v>
      </c>
      <c r="J6601" t="s">
        <v>30218</v>
      </c>
      <c r="K6601" t="s">
        <v>39076</v>
      </c>
      <c r="M6601" t="s">
        <v>39324</v>
      </c>
      <c r="N6601" t="s">
        <v>43166</v>
      </c>
      <c r="O6601" t="s">
        <v>43167</v>
      </c>
      <c r="P6601">
        <v>0</v>
      </c>
      <c r="Q6601">
        <v>0</v>
      </c>
      <c r="R6601" t="s">
        <v>43173</v>
      </c>
      <c r="S6601" t="s">
        <v>43374</v>
      </c>
      <c r="T6601" t="s">
        <v>44715</v>
      </c>
      <c r="U6601" t="s">
        <v>50534</v>
      </c>
      <c r="W6601" t="s">
        <v>39324</v>
      </c>
      <c r="X6601" t="s">
        <v>43176</v>
      </c>
    </row>
    <row r="6602" spans="1:24">
      <c r="A6602">
        <f>HYPERLINK("https://www.philgeps.gov.ph/GEPSNONPILOT/Tender/SplashBidNoticeAbstractUI.aspx?menuIndex=3&amp;refID=7073544&amp;Result=3","7073544")</f>
        <v>0</v>
      </c>
      <c r="B6602" t="s">
        <v>1172</v>
      </c>
      <c r="C6602" t="s">
        <v>9704</v>
      </c>
      <c r="D6602" t="s">
        <v>17466</v>
      </c>
      <c r="E6602" t="s">
        <v>23206</v>
      </c>
      <c r="F6602" t="s">
        <v>30052</v>
      </c>
      <c r="G6602" t="s">
        <v>30059</v>
      </c>
      <c r="H6602" t="s">
        <v>15498</v>
      </c>
      <c r="I6602" t="s">
        <v>30094</v>
      </c>
      <c r="J6602" t="s">
        <v>34320</v>
      </c>
      <c r="K6602" t="s">
        <v>39037</v>
      </c>
      <c r="M6602" t="s">
        <v>40520</v>
      </c>
      <c r="N6602" t="s">
        <v>43166</v>
      </c>
      <c r="O6602" t="s">
        <v>43167</v>
      </c>
      <c r="P6602">
        <v>0</v>
      </c>
      <c r="Q6602">
        <v>0</v>
      </c>
      <c r="R6602" t="s">
        <v>43173</v>
      </c>
      <c r="S6602" t="s">
        <v>43374</v>
      </c>
      <c r="T6602" t="s">
        <v>44943</v>
      </c>
      <c r="U6602" t="s">
        <v>47744</v>
      </c>
      <c r="W6602" t="s">
        <v>58626</v>
      </c>
      <c r="X6602" t="s">
        <v>43175</v>
      </c>
    </row>
    <row r="6603" spans="1:24">
      <c r="A6603">
        <f>HYPERLINK("https://www.philgeps.gov.ph/GEPSNONPILOT/Tender/SplashBidNoticeAbstractUI.aspx?menuIndex=3&amp;refID=7069367&amp;Result=3","7069367")</f>
        <v>0</v>
      </c>
      <c r="B6603" t="s">
        <v>2097</v>
      </c>
      <c r="C6603" t="s">
        <v>9705</v>
      </c>
      <c r="D6603" t="s">
        <v>17466</v>
      </c>
      <c r="E6603" t="s">
        <v>23207</v>
      </c>
      <c r="F6603" t="s">
        <v>30052</v>
      </c>
      <c r="G6603" t="s">
        <v>30059</v>
      </c>
      <c r="H6603" t="s">
        <v>30069</v>
      </c>
      <c r="I6603" t="s">
        <v>30097</v>
      </c>
      <c r="J6603" t="s">
        <v>30323</v>
      </c>
      <c r="K6603" t="s">
        <v>39029</v>
      </c>
      <c r="M6603" t="s">
        <v>41559</v>
      </c>
      <c r="N6603" t="s">
        <v>43166</v>
      </c>
      <c r="O6603" t="s">
        <v>43167</v>
      </c>
      <c r="P6603">
        <v>0</v>
      </c>
      <c r="Q6603">
        <v>1</v>
      </c>
      <c r="R6603" t="s">
        <v>43173</v>
      </c>
      <c r="S6603" t="s">
        <v>43374</v>
      </c>
      <c r="T6603" t="s">
        <v>44734</v>
      </c>
      <c r="U6603" t="s">
        <v>50535</v>
      </c>
      <c r="W6603" t="s">
        <v>41559</v>
      </c>
      <c r="X6603" t="s">
        <v>43179</v>
      </c>
    </row>
    <row r="6604" spans="1:24">
      <c r="A6604">
        <f>HYPERLINK("https://www.philgeps.gov.ph/GEPSNONPILOT/Tender/SplashBidNoticeAbstractUI.aspx?menuIndex=3&amp;refID=7072771&amp;Result=3","7072771")</f>
        <v>0</v>
      </c>
      <c r="B6604" t="s">
        <v>104</v>
      </c>
      <c r="C6604" t="s">
        <v>9706</v>
      </c>
      <c r="D6604" t="s">
        <v>17457</v>
      </c>
      <c r="E6604" t="s">
        <v>23208</v>
      </c>
      <c r="F6604" t="s">
        <v>30052</v>
      </c>
      <c r="G6604" t="s">
        <v>30058</v>
      </c>
      <c r="H6604" t="s">
        <v>15498</v>
      </c>
      <c r="I6604" t="s">
        <v>30097</v>
      </c>
      <c r="J6604" t="s">
        <v>31464</v>
      </c>
      <c r="K6604" t="s">
        <v>39025</v>
      </c>
      <c r="M6604" t="s">
        <v>39393</v>
      </c>
      <c r="N6604" t="s">
        <v>43166</v>
      </c>
      <c r="O6604" t="s">
        <v>43167</v>
      </c>
      <c r="P6604">
        <v>0</v>
      </c>
      <c r="Q6604">
        <v>0</v>
      </c>
      <c r="R6604" t="s">
        <v>43173</v>
      </c>
      <c r="S6604" t="s">
        <v>43374</v>
      </c>
      <c r="T6604" t="s">
        <v>44796</v>
      </c>
      <c r="U6604" t="s">
        <v>50536</v>
      </c>
      <c r="V6604" t="s">
        <v>57514</v>
      </c>
      <c r="W6604" t="s">
        <v>39393</v>
      </c>
      <c r="X6604" t="s">
        <v>43177</v>
      </c>
    </row>
    <row r="6605" spans="1:24">
      <c r="A6605">
        <f>HYPERLINK("https://www.philgeps.gov.ph/GEPSNONPILOT/Tender/SplashBidNoticeAbstractUI.aspx?menuIndex=3&amp;refID=7072759&amp;Result=3","7072759")</f>
        <v>0</v>
      </c>
      <c r="B6605" t="s">
        <v>104</v>
      </c>
      <c r="C6605" t="s">
        <v>9707</v>
      </c>
      <c r="D6605" t="s">
        <v>17457</v>
      </c>
      <c r="E6605" t="s">
        <v>23209</v>
      </c>
      <c r="F6605" t="s">
        <v>30052</v>
      </c>
      <c r="G6605" t="s">
        <v>30058</v>
      </c>
      <c r="H6605" t="s">
        <v>30067</v>
      </c>
      <c r="I6605" t="s">
        <v>3693</v>
      </c>
      <c r="J6605" t="s">
        <v>30321</v>
      </c>
      <c r="K6605" t="s">
        <v>39025</v>
      </c>
      <c r="M6605" t="s">
        <v>39393</v>
      </c>
      <c r="N6605" t="s">
        <v>43166</v>
      </c>
      <c r="O6605" t="s">
        <v>43167</v>
      </c>
      <c r="P6605">
        <v>0</v>
      </c>
      <c r="Q6605">
        <v>0</v>
      </c>
      <c r="R6605" t="s">
        <v>43173</v>
      </c>
      <c r="S6605" t="s">
        <v>43374</v>
      </c>
      <c r="T6605" t="s">
        <v>44796</v>
      </c>
      <c r="U6605" t="s">
        <v>50537</v>
      </c>
      <c r="V6605" t="s">
        <v>57515</v>
      </c>
      <c r="W6605" t="s">
        <v>39393</v>
      </c>
      <c r="X6605" t="s">
        <v>43177</v>
      </c>
    </row>
    <row r="6606" spans="1:24">
      <c r="A6606">
        <f>HYPERLINK("https://www.philgeps.gov.ph/GEPSNONPILOT/Tender/SplashBidNoticeAbstractUI.aspx?menuIndex=3&amp;refID=7072724&amp;Result=3","7072724")</f>
        <v>0</v>
      </c>
      <c r="B6606" t="s">
        <v>2104</v>
      </c>
      <c r="C6606" t="s">
        <v>9708</v>
      </c>
      <c r="D6606" t="s">
        <v>17474</v>
      </c>
      <c r="E6606" t="s">
        <v>23210</v>
      </c>
      <c r="F6606" t="s">
        <v>30052</v>
      </c>
      <c r="G6606" t="s">
        <v>30058</v>
      </c>
      <c r="H6606" t="s">
        <v>30067</v>
      </c>
      <c r="I6606" t="s">
        <v>3736</v>
      </c>
      <c r="J6606" t="s">
        <v>34321</v>
      </c>
      <c r="K6606" t="s">
        <v>39034</v>
      </c>
      <c r="M6606" t="s">
        <v>41566</v>
      </c>
      <c r="N6606" t="s">
        <v>43166</v>
      </c>
      <c r="O6606" t="s">
        <v>43167</v>
      </c>
      <c r="P6606">
        <v>0</v>
      </c>
      <c r="Q6606">
        <v>0</v>
      </c>
      <c r="R6606" t="s">
        <v>43173</v>
      </c>
      <c r="S6606" t="s">
        <v>43374</v>
      </c>
      <c r="T6606" t="s">
        <v>44725</v>
      </c>
      <c r="U6606" t="s">
        <v>50538</v>
      </c>
      <c r="W6606" t="s">
        <v>41566</v>
      </c>
      <c r="X6606" t="s">
        <v>43177</v>
      </c>
    </row>
    <row r="6607" spans="1:24">
      <c r="A6607">
        <f>HYPERLINK("https://www.philgeps.gov.ph/GEPSNONPILOT/Tender/SplashBidNoticeAbstractUI.aspx?menuIndex=3&amp;refID=7072731&amp;Result=3","7072731")</f>
        <v>0</v>
      </c>
      <c r="B6607" t="s">
        <v>104</v>
      </c>
      <c r="C6607" t="s">
        <v>9709</v>
      </c>
      <c r="D6607" t="s">
        <v>17457</v>
      </c>
      <c r="E6607" t="s">
        <v>23211</v>
      </c>
      <c r="F6607" t="s">
        <v>30052</v>
      </c>
      <c r="G6607" t="s">
        <v>30058</v>
      </c>
      <c r="H6607" t="s">
        <v>30067</v>
      </c>
      <c r="I6607" t="s">
        <v>3693</v>
      </c>
      <c r="J6607" t="s">
        <v>30321</v>
      </c>
      <c r="K6607" t="s">
        <v>39025</v>
      </c>
      <c r="M6607" t="s">
        <v>39393</v>
      </c>
      <c r="N6607" t="s">
        <v>43166</v>
      </c>
      <c r="O6607" t="s">
        <v>43167</v>
      </c>
      <c r="P6607">
        <v>0</v>
      </c>
      <c r="Q6607">
        <v>0</v>
      </c>
      <c r="R6607" t="s">
        <v>43173</v>
      </c>
      <c r="S6607" t="s">
        <v>43374</v>
      </c>
      <c r="T6607" t="s">
        <v>44796</v>
      </c>
      <c r="U6607" t="s">
        <v>50539</v>
      </c>
      <c r="V6607" t="s">
        <v>57514</v>
      </c>
      <c r="W6607" t="s">
        <v>39393</v>
      </c>
      <c r="X6607" t="s">
        <v>43177</v>
      </c>
    </row>
    <row r="6608" spans="1:24">
      <c r="A6608">
        <f>HYPERLINK("https://www.philgeps.gov.ph/GEPSNONPILOT/Tender/SplashBidNoticeAbstractUI.aspx?menuIndex=3&amp;refID=7072719&amp;Result=3","7072719")</f>
        <v>0</v>
      </c>
      <c r="B6608" t="s">
        <v>2104</v>
      </c>
      <c r="C6608" t="s">
        <v>9710</v>
      </c>
      <c r="D6608" t="s">
        <v>17474</v>
      </c>
      <c r="E6608" t="s">
        <v>23212</v>
      </c>
      <c r="F6608" t="s">
        <v>30052</v>
      </c>
      <c r="G6608" t="s">
        <v>30058</v>
      </c>
      <c r="H6608" t="s">
        <v>15498</v>
      </c>
      <c r="I6608" t="s">
        <v>3736</v>
      </c>
      <c r="J6608" t="s">
        <v>34322</v>
      </c>
      <c r="K6608" t="s">
        <v>39034</v>
      </c>
      <c r="M6608" t="s">
        <v>41566</v>
      </c>
      <c r="N6608" t="s">
        <v>43166</v>
      </c>
      <c r="O6608" t="s">
        <v>43167</v>
      </c>
      <c r="P6608">
        <v>0</v>
      </c>
      <c r="Q6608">
        <v>0</v>
      </c>
      <c r="R6608" t="s">
        <v>43173</v>
      </c>
      <c r="S6608" t="s">
        <v>43374</v>
      </c>
      <c r="T6608" t="s">
        <v>44725</v>
      </c>
      <c r="U6608" t="s">
        <v>50540</v>
      </c>
      <c r="W6608" t="s">
        <v>41566</v>
      </c>
      <c r="X6608" t="s">
        <v>43177</v>
      </c>
    </row>
    <row r="6609" spans="1:24">
      <c r="A6609">
        <f>HYPERLINK("https://www.philgeps.gov.ph/GEPSNONPILOT/Tender/SplashBidNoticeAbstractUI.aspx?menuIndex=3&amp;refID=7071698&amp;Result=3","7071698")</f>
        <v>0</v>
      </c>
      <c r="B6609" t="s">
        <v>1655</v>
      </c>
      <c r="C6609" t="s">
        <v>9711</v>
      </c>
      <c r="D6609" t="s">
        <v>17481</v>
      </c>
      <c r="E6609" t="s">
        <v>23213</v>
      </c>
      <c r="F6609" t="s">
        <v>30052</v>
      </c>
      <c r="G6609" t="s">
        <v>30058</v>
      </c>
      <c r="H6609" t="s">
        <v>15498</v>
      </c>
      <c r="I6609" t="s">
        <v>30073</v>
      </c>
      <c r="J6609" t="s">
        <v>34323</v>
      </c>
      <c r="K6609" t="s">
        <v>39034</v>
      </c>
      <c r="M6609" t="s">
        <v>41060</v>
      </c>
      <c r="N6609" t="s">
        <v>43166</v>
      </c>
      <c r="O6609" t="s">
        <v>43167</v>
      </c>
      <c r="P6609">
        <v>0</v>
      </c>
      <c r="Q6609">
        <v>0</v>
      </c>
      <c r="R6609" t="s">
        <v>43173</v>
      </c>
      <c r="S6609" t="s">
        <v>43374</v>
      </c>
      <c r="T6609" t="s">
        <v>44685</v>
      </c>
      <c r="U6609" t="s">
        <v>50541</v>
      </c>
      <c r="W6609" t="s">
        <v>41060</v>
      </c>
      <c r="X6609" t="s">
        <v>43178</v>
      </c>
    </row>
    <row r="6610" spans="1:24">
      <c r="A6610">
        <f>HYPERLINK("https://www.philgeps.gov.ph/GEPSNONPILOT/Tender/SplashBidNoticeAbstractUI.aspx?menuIndex=3&amp;refID=7071640&amp;Result=3","7071640")</f>
        <v>0</v>
      </c>
      <c r="B6610" t="s">
        <v>1655</v>
      </c>
      <c r="C6610" t="s">
        <v>9276</v>
      </c>
      <c r="D6610" t="s">
        <v>17481</v>
      </c>
      <c r="E6610" t="s">
        <v>23214</v>
      </c>
      <c r="F6610" t="s">
        <v>30052</v>
      </c>
      <c r="G6610" t="s">
        <v>30058</v>
      </c>
      <c r="H6610" t="s">
        <v>15498</v>
      </c>
      <c r="I6610" t="s">
        <v>30073</v>
      </c>
      <c r="J6610" t="s">
        <v>31944</v>
      </c>
      <c r="K6610" t="s">
        <v>39034</v>
      </c>
      <c r="M6610" t="s">
        <v>41060</v>
      </c>
      <c r="N6610" t="s">
        <v>43166</v>
      </c>
      <c r="O6610" t="s">
        <v>43167</v>
      </c>
      <c r="P6610">
        <v>0</v>
      </c>
      <c r="Q6610">
        <v>0</v>
      </c>
      <c r="R6610" t="s">
        <v>43173</v>
      </c>
      <c r="S6610" t="s">
        <v>43374</v>
      </c>
      <c r="T6610" t="s">
        <v>44685</v>
      </c>
      <c r="U6610" t="s">
        <v>50542</v>
      </c>
      <c r="W6610" t="s">
        <v>41060</v>
      </c>
      <c r="X6610" t="s">
        <v>43178</v>
      </c>
    </row>
    <row r="6611" spans="1:24">
      <c r="A6611">
        <f>HYPERLINK("https://www.philgeps.gov.ph/GEPSNONPILOT/Tender/SplashBidNoticeAbstractUI.aspx?menuIndex=3&amp;refID=7070556&amp;Result=3","7070556")</f>
        <v>0</v>
      </c>
      <c r="B6611" t="s">
        <v>1655</v>
      </c>
      <c r="C6611" t="s">
        <v>9712</v>
      </c>
      <c r="D6611" t="s">
        <v>17481</v>
      </c>
      <c r="E6611" t="s">
        <v>23215</v>
      </c>
      <c r="F6611" t="s">
        <v>30052</v>
      </c>
      <c r="G6611" t="s">
        <v>30058</v>
      </c>
      <c r="H6611" t="s">
        <v>15498</v>
      </c>
      <c r="I6611" t="s">
        <v>30088</v>
      </c>
      <c r="J6611" t="s">
        <v>30720</v>
      </c>
      <c r="K6611" t="s">
        <v>39034</v>
      </c>
      <c r="M6611" t="s">
        <v>41060</v>
      </c>
      <c r="N6611" t="s">
        <v>43166</v>
      </c>
      <c r="O6611" t="s">
        <v>43167</v>
      </c>
      <c r="P6611">
        <v>0</v>
      </c>
      <c r="Q6611">
        <v>2</v>
      </c>
      <c r="R6611" t="s">
        <v>43173</v>
      </c>
      <c r="S6611" t="s">
        <v>43374</v>
      </c>
      <c r="T6611" t="s">
        <v>44685</v>
      </c>
      <c r="U6611" t="s">
        <v>50543</v>
      </c>
      <c r="W6611" t="s">
        <v>41060</v>
      </c>
      <c r="X6611" t="s">
        <v>43178</v>
      </c>
    </row>
    <row r="6612" spans="1:24">
      <c r="A6612">
        <f>HYPERLINK("https://www.philgeps.gov.ph/GEPSNONPILOT/Tender/SplashBidNoticeAbstractUI.aspx?menuIndex=3&amp;refID=7069586&amp;Result=3","7069586")</f>
        <v>0</v>
      </c>
      <c r="B6612" t="s">
        <v>2105</v>
      </c>
      <c r="C6612" t="s">
        <v>9713</v>
      </c>
      <c r="D6612" t="s">
        <v>17423</v>
      </c>
      <c r="E6612" t="s">
        <v>23216</v>
      </c>
      <c r="F6612" t="s">
        <v>30052</v>
      </c>
      <c r="G6612" t="s">
        <v>30058</v>
      </c>
      <c r="H6612" t="s">
        <v>30067</v>
      </c>
      <c r="I6612" t="s">
        <v>3693</v>
      </c>
      <c r="J6612" t="s">
        <v>30890</v>
      </c>
      <c r="K6612" t="s">
        <v>39019</v>
      </c>
      <c r="M6612" t="s">
        <v>41567</v>
      </c>
      <c r="N6612" t="s">
        <v>43166</v>
      </c>
      <c r="O6612" t="s">
        <v>43167</v>
      </c>
      <c r="P6612">
        <v>0</v>
      </c>
      <c r="Q6612">
        <v>0</v>
      </c>
      <c r="R6612" t="s">
        <v>43173</v>
      </c>
      <c r="S6612" t="s">
        <v>43374</v>
      </c>
      <c r="T6612" t="s">
        <v>44823</v>
      </c>
      <c r="U6612" t="s">
        <v>50544</v>
      </c>
      <c r="W6612" t="s">
        <v>41567</v>
      </c>
      <c r="X6612" t="s">
        <v>43179</v>
      </c>
    </row>
    <row r="6613" spans="1:24">
      <c r="A6613">
        <f>HYPERLINK("https://www.philgeps.gov.ph/GEPSNONPILOT/Tender/SplashBidNoticeAbstractUI.aspx?menuIndex=3&amp;refID=7060506&amp;Result=3","7060506")</f>
        <v>0</v>
      </c>
      <c r="B6613" t="s">
        <v>1196</v>
      </c>
      <c r="C6613" t="s">
        <v>9714</v>
      </c>
      <c r="E6613" t="s">
        <v>23217</v>
      </c>
      <c r="F6613" t="s">
        <v>30052</v>
      </c>
      <c r="G6613" t="s">
        <v>30058</v>
      </c>
      <c r="H6613" t="s">
        <v>30067</v>
      </c>
      <c r="I6613" t="s">
        <v>3693</v>
      </c>
      <c r="J6613" t="s">
        <v>34324</v>
      </c>
      <c r="K6613" t="s">
        <v>39033</v>
      </c>
      <c r="M6613" t="s">
        <v>40549</v>
      </c>
      <c r="N6613" t="s">
        <v>43166</v>
      </c>
      <c r="O6613" t="s">
        <v>43167</v>
      </c>
      <c r="P6613">
        <v>0</v>
      </c>
      <c r="Q6613">
        <v>12</v>
      </c>
      <c r="R6613" t="s">
        <v>43173</v>
      </c>
      <c r="S6613" t="s">
        <v>43374</v>
      </c>
      <c r="T6613" t="s">
        <v>45038</v>
      </c>
      <c r="U6613" t="s">
        <v>50545</v>
      </c>
      <c r="W6613" t="s">
        <v>40549</v>
      </c>
      <c r="X6613" t="s">
        <v>43182</v>
      </c>
    </row>
    <row r="6614" spans="1:24">
      <c r="A6614">
        <f>HYPERLINK("https://www.philgeps.gov.ph/GEPSNONPILOT/Tender/SplashBidNoticeAbstractUI.aspx?menuIndex=3&amp;refID=7070430&amp;Result=3","7070430")</f>
        <v>0</v>
      </c>
      <c r="B6614" t="s">
        <v>1655</v>
      </c>
      <c r="C6614" t="s">
        <v>9715</v>
      </c>
      <c r="D6614" t="s">
        <v>17481</v>
      </c>
      <c r="E6614" t="s">
        <v>23218</v>
      </c>
      <c r="F6614" t="s">
        <v>30052</v>
      </c>
      <c r="G6614" t="s">
        <v>30058</v>
      </c>
      <c r="H6614" t="s">
        <v>15498</v>
      </c>
      <c r="I6614" t="s">
        <v>9238</v>
      </c>
      <c r="J6614" t="s">
        <v>30538</v>
      </c>
      <c r="K6614" t="s">
        <v>39034</v>
      </c>
      <c r="M6614" t="s">
        <v>41060</v>
      </c>
      <c r="N6614" t="s">
        <v>43166</v>
      </c>
      <c r="O6614" t="s">
        <v>43167</v>
      </c>
      <c r="P6614">
        <v>0</v>
      </c>
      <c r="Q6614">
        <v>11</v>
      </c>
      <c r="R6614" t="s">
        <v>43173</v>
      </c>
      <c r="S6614" t="s">
        <v>43374</v>
      </c>
      <c r="T6614" t="s">
        <v>44685</v>
      </c>
      <c r="U6614" t="s">
        <v>50546</v>
      </c>
      <c r="W6614" t="s">
        <v>41060</v>
      </c>
      <c r="X6614" t="s">
        <v>43178</v>
      </c>
    </row>
    <row r="6615" spans="1:24">
      <c r="A6615">
        <f>HYPERLINK("https://www.philgeps.gov.ph/GEPSNONPILOT/Tender/SplashBidNoticeAbstractUI.aspx?menuIndex=3&amp;refID=7072841&amp;Result=3","7072841")</f>
        <v>0</v>
      </c>
      <c r="B6615" t="s">
        <v>423</v>
      </c>
      <c r="C6615" t="s">
        <v>9716</v>
      </c>
      <c r="D6615" t="s">
        <v>17424</v>
      </c>
      <c r="E6615" t="s">
        <v>23219</v>
      </c>
      <c r="F6615" t="s">
        <v>30052</v>
      </c>
      <c r="G6615" t="s">
        <v>30058</v>
      </c>
      <c r="H6615" t="s">
        <v>30069</v>
      </c>
      <c r="I6615" t="s">
        <v>30074</v>
      </c>
      <c r="J6615" t="s">
        <v>30207</v>
      </c>
      <c r="K6615" t="s">
        <v>39029</v>
      </c>
      <c r="M6615" t="s">
        <v>39722</v>
      </c>
      <c r="N6615" t="s">
        <v>43166</v>
      </c>
      <c r="O6615" t="s">
        <v>43167</v>
      </c>
      <c r="P6615">
        <v>0</v>
      </c>
      <c r="Q6615">
        <v>1</v>
      </c>
      <c r="R6615" t="s">
        <v>43173</v>
      </c>
      <c r="S6615" t="s">
        <v>43374</v>
      </c>
      <c r="T6615" t="s">
        <v>44708</v>
      </c>
      <c r="U6615" t="s">
        <v>50547</v>
      </c>
      <c r="W6615" t="s">
        <v>39722</v>
      </c>
      <c r="X6615" t="s">
        <v>43176</v>
      </c>
    </row>
    <row r="6616" spans="1:24">
      <c r="A6616">
        <f>HYPERLINK("https://www.philgeps.gov.ph/GEPSNONPILOT/Tender/SplashBidNoticeAbstractUI.aspx?menuIndex=3&amp;refID=7072941&amp;Result=3","7072941")</f>
        <v>0</v>
      </c>
      <c r="B6616" t="s">
        <v>34</v>
      </c>
      <c r="C6616" t="s">
        <v>9717</v>
      </c>
      <c r="D6616" t="s">
        <v>17420</v>
      </c>
      <c r="E6616" t="s">
        <v>23220</v>
      </c>
      <c r="F6616" t="s">
        <v>30052</v>
      </c>
      <c r="G6616" t="s">
        <v>30058</v>
      </c>
      <c r="H6616" t="s">
        <v>30067</v>
      </c>
      <c r="I6616" t="s">
        <v>3693</v>
      </c>
      <c r="J6616" t="s">
        <v>30605</v>
      </c>
      <c r="K6616" t="s">
        <v>39179</v>
      </c>
      <c r="M6616" t="s">
        <v>39324</v>
      </c>
      <c r="N6616" t="s">
        <v>43166</v>
      </c>
      <c r="O6616" t="s">
        <v>43167</v>
      </c>
      <c r="P6616">
        <v>0</v>
      </c>
      <c r="Q6616">
        <v>0</v>
      </c>
      <c r="R6616" t="s">
        <v>43173</v>
      </c>
      <c r="S6616" t="s">
        <v>43374</v>
      </c>
      <c r="T6616" t="s">
        <v>44715</v>
      </c>
      <c r="U6616" t="s">
        <v>50548</v>
      </c>
      <c r="W6616" t="s">
        <v>39324</v>
      </c>
      <c r="X6616" t="s">
        <v>43176</v>
      </c>
    </row>
    <row r="6617" spans="1:24">
      <c r="A6617">
        <f>HYPERLINK("https://www.philgeps.gov.ph/GEPSNONPILOT/Tender/SplashBidNoticeAbstractUI.aspx?menuIndex=3&amp;refID=7071565&amp;Result=3","7071565")</f>
        <v>0</v>
      </c>
      <c r="B6617" t="s">
        <v>2098</v>
      </c>
      <c r="C6617" t="s">
        <v>9718</v>
      </c>
      <c r="D6617" t="s">
        <v>17414</v>
      </c>
      <c r="E6617" t="s">
        <v>23221</v>
      </c>
      <c r="F6617" t="s">
        <v>30052</v>
      </c>
      <c r="G6617" t="s">
        <v>30060</v>
      </c>
      <c r="H6617" t="s">
        <v>15498</v>
      </c>
      <c r="I6617" t="s">
        <v>30074</v>
      </c>
      <c r="J6617" t="s">
        <v>33184</v>
      </c>
      <c r="K6617" t="s">
        <v>39029</v>
      </c>
      <c r="M6617" t="s">
        <v>41560</v>
      </c>
      <c r="N6617" t="s">
        <v>43166</v>
      </c>
      <c r="O6617" t="s">
        <v>43167</v>
      </c>
      <c r="P6617">
        <v>0</v>
      </c>
      <c r="Q6617">
        <v>2</v>
      </c>
      <c r="R6617" t="s">
        <v>43173</v>
      </c>
      <c r="S6617" t="s">
        <v>43374</v>
      </c>
      <c r="T6617" t="s">
        <v>45047</v>
      </c>
      <c r="U6617" t="s">
        <v>50549</v>
      </c>
      <c r="W6617" t="s">
        <v>41560</v>
      </c>
      <c r="X6617" t="s">
        <v>43178</v>
      </c>
    </row>
    <row r="6618" spans="1:24">
      <c r="A6618">
        <f>HYPERLINK("https://www.philgeps.gov.ph/GEPSNONPILOT/Tender/SplashBidNoticeAbstractUI.aspx?menuIndex=3&amp;refID=7071020&amp;Result=3","7071020")</f>
        <v>0</v>
      </c>
      <c r="B6618" t="s">
        <v>2100</v>
      </c>
      <c r="C6618" t="s">
        <v>9719</v>
      </c>
      <c r="D6618" t="s">
        <v>17445</v>
      </c>
      <c r="E6618" t="s">
        <v>23222</v>
      </c>
      <c r="F6618" t="s">
        <v>30052</v>
      </c>
      <c r="G6618" t="s">
        <v>30058</v>
      </c>
      <c r="H6618" t="s">
        <v>15498</v>
      </c>
      <c r="I6618" t="s">
        <v>30074</v>
      </c>
      <c r="J6618" t="s">
        <v>30343</v>
      </c>
      <c r="K6618" t="s">
        <v>39025</v>
      </c>
      <c r="M6618" t="s">
        <v>41562</v>
      </c>
      <c r="N6618" t="s">
        <v>43166</v>
      </c>
      <c r="O6618" t="s">
        <v>43167</v>
      </c>
      <c r="P6618">
        <v>0</v>
      </c>
      <c r="Q6618">
        <v>2</v>
      </c>
      <c r="R6618" t="s">
        <v>43173</v>
      </c>
      <c r="S6618" t="s">
        <v>43374</v>
      </c>
      <c r="T6618" t="s">
        <v>44789</v>
      </c>
      <c r="U6618" t="s">
        <v>50523</v>
      </c>
      <c r="W6618" t="s">
        <v>58663</v>
      </c>
      <c r="X6618" t="s">
        <v>43178</v>
      </c>
    </row>
    <row r="6619" spans="1:24">
      <c r="A6619">
        <f>HYPERLINK("https://www.philgeps.gov.ph/GEPSNONPILOT/Tender/SplashBidNoticeAbstractUI.aspx?menuIndex=3&amp;refID=7074176&amp;Result=3","7074176")</f>
        <v>0</v>
      </c>
      <c r="B6619" t="s">
        <v>134</v>
      </c>
      <c r="C6619" t="s">
        <v>9720</v>
      </c>
      <c r="D6619" t="s">
        <v>17456</v>
      </c>
      <c r="E6619" t="s">
        <v>23223</v>
      </c>
      <c r="F6619" t="s">
        <v>30052</v>
      </c>
      <c r="G6619" t="s">
        <v>30059</v>
      </c>
      <c r="H6619" t="s">
        <v>15498</v>
      </c>
      <c r="I6619" t="s">
        <v>4650</v>
      </c>
      <c r="J6619" t="s">
        <v>30292</v>
      </c>
      <c r="K6619" t="s">
        <v>39029</v>
      </c>
      <c r="M6619" t="s">
        <v>39423</v>
      </c>
      <c r="N6619" t="s">
        <v>43166</v>
      </c>
      <c r="O6619" t="s">
        <v>43167</v>
      </c>
      <c r="P6619">
        <v>0</v>
      </c>
      <c r="Q6619">
        <v>7</v>
      </c>
      <c r="R6619" t="s">
        <v>43173</v>
      </c>
      <c r="S6619" t="s">
        <v>43374</v>
      </c>
      <c r="T6619" t="s">
        <v>44882</v>
      </c>
      <c r="U6619" t="s">
        <v>45388</v>
      </c>
      <c r="W6619" t="s">
        <v>39423</v>
      </c>
      <c r="X6619" t="s">
        <v>43175</v>
      </c>
    </row>
    <row r="6620" spans="1:24">
      <c r="A6620">
        <f>HYPERLINK("https://www.philgeps.gov.ph/GEPSNONPILOT/Tender/SplashBidNoticeAbstractUI.aspx?menuIndex=3&amp;refID=7071439&amp;Result=3","7071439")</f>
        <v>0</v>
      </c>
      <c r="B6620" t="s">
        <v>1520</v>
      </c>
      <c r="C6620" t="s">
        <v>9721</v>
      </c>
      <c r="D6620" t="s">
        <v>17423</v>
      </c>
      <c r="E6620" t="s">
        <v>23224</v>
      </c>
      <c r="F6620" t="s">
        <v>30056</v>
      </c>
      <c r="G6620" t="s">
        <v>30058</v>
      </c>
      <c r="H6620" t="s">
        <v>30067</v>
      </c>
      <c r="I6620" t="s">
        <v>3693</v>
      </c>
      <c r="J6620" t="s">
        <v>34325</v>
      </c>
      <c r="K6620" t="s">
        <v>39046</v>
      </c>
      <c r="M6620" t="s">
        <v>40906</v>
      </c>
      <c r="N6620" t="s">
        <v>43166</v>
      </c>
      <c r="O6620" t="s">
        <v>43167</v>
      </c>
      <c r="P6620">
        <v>0</v>
      </c>
      <c r="Q6620">
        <v>0</v>
      </c>
      <c r="R6620" t="s">
        <v>43173</v>
      </c>
      <c r="S6620" t="s">
        <v>43374</v>
      </c>
      <c r="T6620" t="s">
        <v>45048</v>
      </c>
      <c r="U6620" t="s">
        <v>50550</v>
      </c>
      <c r="W6620" t="s">
        <v>40906</v>
      </c>
      <c r="X6620" t="s">
        <v>43178</v>
      </c>
    </row>
    <row r="6621" spans="1:24">
      <c r="A6621">
        <f>HYPERLINK("https://www.philgeps.gov.ph/GEPSNONPILOT/Tender/SplashBidNoticeAbstractUI.aspx?menuIndex=3&amp;refID=7074178&amp;Result=3","7074178")</f>
        <v>0</v>
      </c>
      <c r="B6621" t="s">
        <v>2106</v>
      </c>
      <c r="C6621" t="s">
        <v>9722</v>
      </c>
      <c r="D6621" t="s">
        <v>17437</v>
      </c>
      <c r="E6621" t="s">
        <v>23225</v>
      </c>
      <c r="F6621" t="s">
        <v>30052</v>
      </c>
      <c r="G6621" t="s">
        <v>30058</v>
      </c>
      <c r="H6621" t="s">
        <v>30067</v>
      </c>
      <c r="I6621" t="s">
        <v>3693</v>
      </c>
      <c r="J6621" t="s">
        <v>34326</v>
      </c>
      <c r="K6621" t="s">
        <v>39026</v>
      </c>
      <c r="M6621" t="s">
        <v>41568</v>
      </c>
      <c r="N6621" t="s">
        <v>43166</v>
      </c>
      <c r="O6621" t="s">
        <v>43167</v>
      </c>
      <c r="P6621">
        <v>0</v>
      </c>
      <c r="Q6621">
        <v>0</v>
      </c>
      <c r="R6621" t="s">
        <v>43173</v>
      </c>
      <c r="S6621" t="s">
        <v>43374</v>
      </c>
      <c r="T6621" t="s">
        <v>44710</v>
      </c>
      <c r="U6621" t="s">
        <v>50551</v>
      </c>
      <c r="V6621" t="s">
        <v>57516</v>
      </c>
      <c r="W6621" t="s">
        <v>41568</v>
      </c>
      <c r="X6621" t="s">
        <v>43175</v>
      </c>
    </row>
    <row r="6622" spans="1:24">
      <c r="A6622">
        <f>HYPERLINK("https://www.philgeps.gov.ph/GEPSNONPILOT/Tender/SplashBidNoticeAbstractUI.aspx?menuIndex=3&amp;refID=7073997&amp;Result=3","7073997")</f>
        <v>0</v>
      </c>
      <c r="B6622" t="s">
        <v>1655</v>
      </c>
      <c r="C6622" t="s">
        <v>8175</v>
      </c>
      <c r="D6622" t="s">
        <v>17481</v>
      </c>
      <c r="E6622" t="s">
        <v>23226</v>
      </c>
      <c r="F6622" t="s">
        <v>30052</v>
      </c>
      <c r="G6622" t="s">
        <v>30058</v>
      </c>
      <c r="H6622" t="s">
        <v>15498</v>
      </c>
      <c r="I6622" t="s">
        <v>3606</v>
      </c>
      <c r="J6622" t="s">
        <v>34327</v>
      </c>
      <c r="K6622" t="s">
        <v>39034</v>
      </c>
      <c r="M6622" t="s">
        <v>41060</v>
      </c>
      <c r="N6622" t="s">
        <v>43166</v>
      </c>
      <c r="O6622" t="s">
        <v>43167</v>
      </c>
      <c r="P6622">
        <v>0</v>
      </c>
      <c r="Q6622">
        <v>4</v>
      </c>
      <c r="R6622" t="s">
        <v>43173</v>
      </c>
      <c r="S6622" t="s">
        <v>43374</v>
      </c>
      <c r="T6622" t="s">
        <v>44685</v>
      </c>
      <c r="U6622" t="s">
        <v>50552</v>
      </c>
      <c r="W6622" t="s">
        <v>41060</v>
      </c>
      <c r="X6622" t="s">
        <v>43175</v>
      </c>
    </row>
    <row r="6623" spans="1:24">
      <c r="A6623">
        <f>HYPERLINK("https://www.philgeps.gov.ph/GEPSNONPILOT/Tender/SplashBidNoticeAbstractUI.aspx?menuIndex=3&amp;refID=7074140&amp;Result=3","7074140")</f>
        <v>0</v>
      </c>
      <c r="B6623" t="s">
        <v>2106</v>
      </c>
      <c r="C6623" t="s">
        <v>9723</v>
      </c>
      <c r="D6623" t="s">
        <v>17437</v>
      </c>
      <c r="E6623" t="s">
        <v>23227</v>
      </c>
      <c r="F6623" t="s">
        <v>30052</v>
      </c>
      <c r="G6623" t="s">
        <v>30058</v>
      </c>
      <c r="H6623" t="s">
        <v>30067</v>
      </c>
      <c r="I6623" t="s">
        <v>3693</v>
      </c>
      <c r="J6623" t="s">
        <v>34328</v>
      </c>
      <c r="K6623" t="s">
        <v>39023</v>
      </c>
      <c r="M6623" t="s">
        <v>41568</v>
      </c>
      <c r="N6623" t="s">
        <v>43166</v>
      </c>
      <c r="O6623" t="s">
        <v>43167</v>
      </c>
      <c r="P6623">
        <v>0</v>
      </c>
      <c r="Q6623">
        <v>0</v>
      </c>
      <c r="R6623" t="s">
        <v>43173</v>
      </c>
      <c r="S6623" t="s">
        <v>43374</v>
      </c>
      <c r="T6623" t="s">
        <v>44710</v>
      </c>
      <c r="U6623" t="s">
        <v>50553</v>
      </c>
      <c r="V6623" t="s">
        <v>57517</v>
      </c>
      <c r="W6623" t="s">
        <v>41568</v>
      </c>
      <c r="X6623" t="s">
        <v>43175</v>
      </c>
    </row>
    <row r="6624" spans="1:24">
      <c r="A6624">
        <f>HYPERLINK("https://www.philgeps.gov.ph/GEPSNONPILOT/Tender/SplashBidNoticeAbstractUI.aspx?menuIndex=3&amp;refID=7073900&amp;Result=3","7073900")</f>
        <v>0</v>
      </c>
      <c r="B6624" t="s">
        <v>2107</v>
      </c>
      <c r="C6624" t="s">
        <v>9724</v>
      </c>
      <c r="E6624" t="s">
        <v>23228</v>
      </c>
      <c r="F6624" t="s">
        <v>30052</v>
      </c>
      <c r="G6624" t="s">
        <v>30059</v>
      </c>
      <c r="H6624" t="s">
        <v>30067</v>
      </c>
      <c r="I6624" t="s">
        <v>3693</v>
      </c>
      <c r="J6624" t="s">
        <v>34329</v>
      </c>
      <c r="K6624" t="s">
        <v>39025</v>
      </c>
      <c r="M6624" t="s">
        <v>41569</v>
      </c>
      <c r="N6624" t="s">
        <v>43166</v>
      </c>
      <c r="O6624" t="s">
        <v>43167</v>
      </c>
      <c r="P6624">
        <v>0</v>
      </c>
      <c r="Q6624">
        <v>2</v>
      </c>
      <c r="R6624" t="s">
        <v>43173</v>
      </c>
      <c r="S6624" t="s">
        <v>43374</v>
      </c>
      <c r="T6624" t="s">
        <v>44729</v>
      </c>
      <c r="U6624" t="s">
        <v>50554</v>
      </c>
      <c r="W6624" t="s">
        <v>41569</v>
      </c>
      <c r="X6624" t="s">
        <v>43175</v>
      </c>
    </row>
    <row r="6625" spans="1:24">
      <c r="A6625">
        <f>HYPERLINK("https://www.philgeps.gov.ph/GEPSNONPILOT/Tender/SplashBidNoticeAbstractUI.aspx?menuIndex=3&amp;refID=7073868&amp;Result=3","7073868")</f>
        <v>0</v>
      </c>
      <c r="B6625" t="s">
        <v>161</v>
      </c>
      <c r="C6625" t="s">
        <v>9725</v>
      </c>
      <c r="D6625" t="s">
        <v>17459</v>
      </c>
      <c r="E6625" t="s">
        <v>23229</v>
      </c>
      <c r="F6625" t="s">
        <v>30052</v>
      </c>
      <c r="G6625" t="s">
        <v>30059</v>
      </c>
      <c r="H6625" t="s">
        <v>15498</v>
      </c>
      <c r="I6625" t="s">
        <v>30076</v>
      </c>
      <c r="J6625" t="s">
        <v>30358</v>
      </c>
      <c r="K6625" t="s">
        <v>39029</v>
      </c>
      <c r="M6625" t="s">
        <v>39450</v>
      </c>
      <c r="N6625" t="s">
        <v>43166</v>
      </c>
      <c r="O6625" t="s">
        <v>43167</v>
      </c>
      <c r="P6625">
        <v>0</v>
      </c>
      <c r="Q6625">
        <v>4</v>
      </c>
      <c r="R6625" t="s">
        <v>43173</v>
      </c>
      <c r="S6625" t="s">
        <v>43374</v>
      </c>
      <c r="T6625" t="s">
        <v>44717</v>
      </c>
      <c r="U6625" t="s">
        <v>50555</v>
      </c>
      <c r="W6625" t="s">
        <v>39450</v>
      </c>
      <c r="X6625" t="s">
        <v>43175</v>
      </c>
    </row>
    <row r="6626" spans="1:24">
      <c r="A6626">
        <f>HYPERLINK("https://www.philgeps.gov.ph/GEPSNONPILOT/Tender/SplashBidNoticeAbstractUI.aspx?menuIndex=3&amp;refID=7074020&amp;Result=3","7074020")</f>
        <v>0</v>
      </c>
      <c r="B6626" t="s">
        <v>2106</v>
      </c>
      <c r="C6626" t="s">
        <v>9726</v>
      </c>
      <c r="D6626" t="s">
        <v>17437</v>
      </c>
      <c r="E6626" t="s">
        <v>23230</v>
      </c>
      <c r="F6626" t="s">
        <v>30052</v>
      </c>
      <c r="G6626" t="s">
        <v>30058</v>
      </c>
      <c r="H6626" t="s">
        <v>30067</v>
      </c>
      <c r="I6626" t="s">
        <v>3693</v>
      </c>
      <c r="J6626" t="s">
        <v>34330</v>
      </c>
      <c r="K6626" t="s">
        <v>39023</v>
      </c>
      <c r="M6626" t="s">
        <v>41568</v>
      </c>
      <c r="N6626" t="s">
        <v>43166</v>
      </c>
      <c r="O6626" t="s">
        <v>43167</v>
      </c>
      <c r="P6626">
        <v>0</v>
      </c>
      <c r="Q6626">
        <v>1</v>
      </c>
      <c r="R6626" t="s">
        <v>43173</v>
      </c>
      <c r="S6626" t="s">
        <v>43374</v>
      </c>
      <c r="T6626" t="s">
        <v>44710</v>
      </c>
      <c r="U6626" t="s">
        <v>50556</v>
      </c>
      <c r="V6626" t="s">
        <v>57518</v>
      </c>
      <c r="W6626" t="s">
        <v>41568</v>
      </c>
      <c r="X6626" t="s">
        <v>43175</v>
      </c>
    </row>
    <row r="6627" spans="1:24">
      <c r="A6627">
        <f>HYPERLINK("https://www.philgeps.gov.ph/GEPSNONPILOT/Tender/SplashBidNoticeAbstractUI.aspx?menuIndex=3&amp;refID=7073847&amp;Result=3","7073847")</f>
        <v>0</v>
      </c>
      <c r="B6627" t="s">
        <v>2108</v>
      </c>
      <c r="C6627" t="s">
        <v>9727</v>
      </c>
      <c r="D6627" t="s">
        <v>17439</v>
      </c>
      <c r="E6627" t="s">
        <v>23231</v>
      </c>
      <c r="F6627" t="s">
        <v>30052</v>
      </c>
      <c r="G6627" t="s">
        <v>30058</v>
      </c>
      <c r="H6627" t="s">
        <v>30067</v>
      </c>
      <c r="I6627" t="s">
        <v>3693</v>
      </c>
      <c r="J6627" t="s">
        <v>30532</v>
      </c>
      <c r="K6627" t="s">
        <v>39031</v>
      </c>
      <c r="M6627" t="s">
        <v>41570</v>
      </c>
      <c r="N6627" t="s">
        <v>43166</v>
      </c>
      <c r="O6627" t="s">
        <v>43167</v>
      </c>
      <c r="P6627">
        <v>0</v>
      </c>
      <c r="Q6627">
        <v>1</v>
      </c>
      <c r="R6627" t="s">
        <v>43173</v>
      </c>
      <c r="S6627" t="s">
        <v>43374</v>
      </c>
      <c r="T6627" t="s">
        <v>44758</v>
      </c>
      <c r="U6627" t="s">
        <v>50557</v>
      </c>
      <c r="V6627" t="s">
        <v>57519</v>
      </c>
      <c r="W6627" t="s">
        <v>58664</v>
      </c>
      <c r="X6627" t="s">
        <v>43175</v>
      </c>
    </row>
    <row r="6628" spans="1:24">
      <c r="A6628">
        <f>HYPERLINK("https://www.philgeps.gov.ph/GEPSNONPILOT/Tender/SplashBidNoticeAbstractUI.aspx?menuIndex=3&amp;refID=7073960&amp;Result=3","7073960")</f>
        <v>0</v>
      </c>
      <c r="B6628" t="s">
        <v>2109</v>
      </c>
      <c r="C6628" t="s">
        <v>9728</v>
      </c>
      <c r="D6628" t="s">
        <v>17447</v>
      </c>
      <c r="E6628" t="s">
        <v>23232</v>
      </c>
      <c r="F6628" t="s">
        <v>30052</v>
      </c>
      <c r="G6628" t="s">
        <v>30058</v>
      </c>
      <c r="H6628" t="s">
        <v>15498</v>
      </c>
      <c r="I6628" t="s">
        <v>30072</v>
      </c>
      <c r="J6628" t="s">
        <v>34331</v>
      </c>
      <c r="K6628" t="s">
        <v>39164</v>
      </c>
      <c r="M6628" t="s">
        <v>41571</v>
      </c>
      <c r="N6628" t="s">
        <v>43166</v>
      </c>
      <c r="O6628" t="s">
        <v>43167</v>
      </c>
      <c r="P6628">
        <v>0</v>
      </c>
      <c r="Q6628">
        <v>5</v>
      </c>
      <c r="R6628" t="s">
        <v>43173</v>
      </c>
      <c r="S6628" t="s">
        <v>43374</v>
      </c>
      <c r="T6628" t="s">
        <v>44758</v>
      </c>
      <c r="U6628" t="s">
        <v>50558</v>
      </c>
      <c r="W6628" t="s">
        <v>58665</v>
      </c>
      <c r="X6628" t="s">
        <v>43175</v>
      </c>
    </row>
    <row r="6629" spans="1:24">
      <c r="A6629">
        <f>HYPERLINK("https://www.philgeps.gov.ph/GEPSNONPILOT/Tender/SplashBidNoticeAbstractUI.aspx?menuIndex=3&amp;refID=7074169&amp;Result=3","7074169")</f>
        <v>0</v>
      </c>
      <c r="B6629" t="s">
        <v>2106</v>
      </c>
      <c r="C6629" t="s">
        <v>9729</v>
      </c>
      <c r="D6629" t="s">
        <v>17437</v>
      </c>
      <c r="E6629" t="s">
        <v>23233</v>
      </c>
      <c r="F6629" t="s">
        <v>30052</v>
      </c>
      <c r="G6629" t="s">
        <v>30058</v>
      </c>
      <c r="H6629" t="s">
        <v>30067</v>
      </c>
      <c r="I6629" t="s">
        <v>3693</v>
      </c>
      <c r="J6629" t="s">
        <v>34330</v>
      </c>
      <c r="K6629" t="s">
        <v>39023</v>
      </c>
      <c r="M6629" t="s">
        <v>41568</v>
      </c>
      <c r="N6629" t="s">
        <v>43166</v>
      </c>
      <c r="O6629" t="s">
        <v>43167</v>
      </c>
      <c r="P6629">
        <v>0</v>
      </c>
      <c r="Q6629">
        <v>0</v>
      </c>
      <c r="R6629" t="s">
        <v>43173</v>
      </c>
      <c r="S6629" t="s">
        <v>43374</v>
      </c>
      <c r="T6629" t="s">
        <v>44710</v>
      </c>
      <c r="U6629" t="s">
        <v>50559</v>
      </c>
      <c r="V6629" t="s">
        <v>57518</v>
      </c>
      <c r="W6629" t="s">
        <v>41568</v>
      </c>
      <c r="X6629" t="s">
        <v>43175</v>
      </c>
    </row>
    <row r="6630" spans="1:24">
      <c r="A6630">
        <f>HYPERLINK("https://www.philgeps.gov.ph/GEPSNONPILOT/Tender/SplashBidNoticeAbstractUI.aspx?menuIndex=3&amp;refID=7074110&amp;Result=3","7074110")</f>
        <v>0</v>
      </c>
      <c r="B6630" t="s">
        <v>2106</v>
      </c>
      <c r="C6630" t="s">
        <v>9730</v>
      </c>
      <c r="D6630" t="s">
        <v>17437</v>
      </c>
      <c r="E6630" t="s">
        <v>23234</v>
      </c>
      <c r="F6630" t="s">
        <v>30052</v>
      </c>
      <c r="G6630" t="s">
        <v>30058</v>
      </c>
      <c r="H6630" t="s">
        <v>30067</v>
      </c>
      <c r="I6630" t="s">
        <v>3693</v>
      </c>
      <c r="J6630" t="s">
        <v>34332</v>
      </c>
      <c r="K6630" t="s">
        <v>39023</v>
      </c>
      <c r="M6630" t="s">
        <v>41568</v>
      </c>
      <c r="N6630" t="s">
        <v>43166</v>
      </c>
      <c r="O6630" t="s">
        <v>43167</v>
      </c>
      <c r="P6630">
        <v>0</v>
      </c>
      <c r="Q6630">
        <v>0</v>
      </c>
      <c r="R6630" t="s">
        <v>43173</v>
      </c>
      <c r="S6630" t="s">
        <v>43374</v>
      </c>
      <c r="T6630" t="s">
        <v>44710</v>
      </c>
      <c r="U6630" t="s">
        <v>50560</v>
      </c>
      <c r="V6630" t="s">
        <v>57518</v>
      </c>
      <c r="W6630" t="s">
        <v>41568</v>
      </c>
      <c r="X6630" t="s">
        <v>43175</v>
      </c>
    </row>
    <row r="6631" spans="1:24">
      <c r="A6631">
        <f>HYPERLINK("https://www.philgeps.gov.ph/GEPSNONPILOT/Tender/SplashBidNoticeAbstractUI.aspx?menuIndex=3&amp;refID=7074680&amp;Result=3","7074680")</f>
        <v>0</v>
      </c>
      <c r="B6631" t="s">
        <v>2106</v>
      </c>
      <c r="C6631" t="s">
        <v>9731</v>
      </c>
      <c r="D6631" t="s">
        <v>17437</v>
      </c>
      <c r="E6631" t="s">
        <v>23235</v>
      </c>
      <c r="F6631" t="s">
        <v>30052</v>
      </c>
      <c r="G6631" t="s">
        <v>30058</v>
      </c>
      <c r="H6631" t="s">
        <v>30067</v>
      </c>
      <c r="I6631" t="s">
        <v>3693</v>
      </c>
      <c r="J6631" t="s">
        <v>30281</v>
      </c>
      <c r="K6631" t="s">
        <v>39026</v>
      </c>
      <c r="M6631" t="s">
        <v>41568</v>
      </c>
      <c r="N6631" t="s">
        <v>43166</v>
      </c>
      <c r="O6631" t="s">
        <v>43167</v>
      </c>
      <c r="P6631">
        <v>0</v>
      </c>
      <c r="Q6631">
        <v>0</v>
      </c>
      <c r="R6631" t="s">
        <v>43173</v>
      </c>
      <c r="S6631" t="s">
        <v>43374</v>
      </c>
      <c r="T6631" t="s">
        <v>44710</v>
      </c>
      <c r="U6631" t="s">
        <v>50561</v>
      </c>
      <c r="V6631" t="s">
        <v>57517</v>
      </c>
      <c r="W6631" t="s">
        <v>41568</v>
      </c>
      <c r="X6631" t="s">
        <v>43175</v>
      </c>
    </row>
    <row r="6632" spans="1:24">
      <c r="A6632">
        <f>HYPERLINK("https://www.philgeps.gov.ph/GEPSNONPILOT/Tender/SplashBidNoticeAbstractUI.aspx?menuIndex=3&amp;refID=7073884&amp;Result=3","7073884")</f>
        <v>0</v>
      </c>
      <c r="B6632" t="s">
        <v>1655</v>
      </c>
      <c r="C6632" t="s">
        <v>9732</v>
      </c>
      <c r="D6632" t="s">
        <v>17481</v>
      </c>
      <c r="E6632" t="s">
        <v>23236</v>
      </c>
      <c r="F6632" t="s">
        <v>30052</v>
      </c>
      <c r="G6632" t="s">
        <v>30058</v>
      </c>
      <c r="H6632" t="s">
        <v>15498</v>
      </c>
      <c r="I6632" t="s">
        <v>4650</v>
      </c>
      <c r="J6632" t="s">
        <v>34333</v>
      </c>
      <c r="K6632" t="s">
        <v>39034</v>
      </c>
      <c r="M6632" t="s">
        <v>41060</v>
      </c>
      <c r="N6632" t="s">
        <v>43166</v>
      </c>
      <c r="O6632" t="s">
        <v>43167</v>
      </c>
      <c r="P6632">
        <v>0</v>
      </c>
      <c r="Q6632">
        <v>1</v>
      </c>
      <c r="R6632" t="s">
        <v>43173</v>
      </c>
      <c r="S6632" t="s">
        <v>43374</v>
      </c>
      <c r="T6632" t="s">
        <v>44685</v>
      </c>
      <c r="U6632" t="s">
        <v>50562</v>
      </c>
      <c r="W6632" t="s">
        <v>41060</v>
      </c>
      <c r="X6632" t="s">
        <v>43175</v>
      </c>
    </row>
    <row r="6633" spans="1:24">
      <c r="A6633">
        <f>HYPERLINK("https://www.philgeps.gov.ph/GEPSNONPILOT/Tender/SplashBidNoticeAbstractUI.aspx?menuIndex=3&amp;refID=7074670&amp;Result=3","7074670")</f>
        <v>0</v>
      </c>
      <c r="B6633" t="s">
        <v>1655</v>
      </c>
      <c r="C6633" t="s">
        <v>9733</v>
      </c>
      <c r="D6633" t="s">
        <v>17481</v>
      </c>
      <c r="E6633" t="s">
        <v>23237</v>
      </c>
      <c r="F6633" t="s">
        <v>30052</v>
      </c>
      <c r="G6633" t="s">
        <v>30058</v>
      </c>
      <c r="H6633" t="s">
        <v>15498</v>
      </c>
      <c r="I6633" t="s">
        <v>30081</v>
      </c>
      <c r="J6633" t="s">
        <v>34334</v>
      </c>
      <c r="K6633" t="s">
        <v>39034</v>
      </c>
      <c r="M6633" t="s">
        <v>41060</v>
      </c>
      <c r="N6633" t="s">
        <v>43166</v>
      </c>
      <c r="O6633" t="s">
        <v>43167</v>
      </c>
      <c r="P6633">
        <v>0</v>
      </c>
      <c r="Q6633">
        <v>1</v>
      </c>
      <c r="R6633" t="s">
        <v>43173</v>
      </c>
      <c r="S6633" t="s">
        <v>43374</v>
      </c>
      <c r="T6633" t="s">
        <v>44685</v>
      </c>
      <c r="U6633" t="s">
        <v>50563</v>
      </c>
      <c r="W6633" t="s">
        <v>41060</v>
      </c>
      <c r="X6633" t="s">
        <v>43175</v>
      </c>
    </row>
    <row r="6634" spans="1:24">
      <c r="A6634">
        <f>HYPERLINK("https://www.philgeps.gov.ph/GEPSNONPILOT/Tender/SplashBidNoticeAbstractUI.aspx?menuIndex=3&amp;refID=7074641&amp;Result=3","7074641")</f>
        <v>0</v>
      </c>
      <c r="B6634" t="s">
        <v>2106</v>
      </c>
      <c r="C6634" t="s">
        <v>9734</v>
      </c>
      <c r="D6634" t="s">
        <v>17437</v>
      </c>
      <c r="E6634" t="s">
        <v>23238</v>
      </c>
      <c r="F6634" t="s">
        <v>30052</v>
      </c>
      <c r="G6634" t="s">
        <v>30058</v>
      </c>
      <c r="H6634" t="s">
        <v>30067</v>
      </c>
      <c r="I6634" t="s">
        <v>3693</v>
      </c>
      <c r="J6634" t="s">
        <v>34335</v>
      </c>
      <c r="K6634" t="s">
        <v>39023</v>
      </c>
      <c r="M6634" t="s">
        <v>41568</v>
      </c>
      <c r="N6634" t="s">
        <v>43166</v>
      </c>
      <c r="O6634" t="s">
        <v>43167</v>
      </c>
      <c r="P6634">
        <v>0</v>
      </c>
      <c r="Q6634">
        <v>0</v>
      </c>
      <c r="R6634" t="s">
        <v>43173</v>
      </c>
      <c r="S6634" t="s">
        <v>43374</v>
      </c>
      <c r="T6634" t="s">
        <v>44710</v>
      </c>
      <c r="U6634" t="s">
        <v>50564</v>
      </c>
      <c r="V6634" t="s">
        <v>57517</v>
      </c>
      <c r="W6634" t="s">
        <v>41568</v>
      </c>
      <c r="X6634" t="s">
        <v>43175</v>
      </c>
    </row>
    <row r="6635" spans="1:24">
      <c r="A6635">
        <f>HYPERLINK("https://www.philgeps.gov.ph/GEPSNONPILOT/Tender/SplashBidNoticeAbstractUI.aspx?menuIndex=3&amp;refID=7074637&amp;Result=3","7074637")</f>
        <v>0</v>
      </c>
      <c r="B6635" t="s">
        <v>2110</v>
      </c>
      <c r="C6635" t="s">
        <v>9735</v>
      </c>
      <c r="D6635" t="s">
        <v>17463</v>
      </c>
      <c r="E6635" t="s">
        <v>23239</v>
      </c>
      <c r="F6635" t="s">
        <v>30052</v>
      </c>
      <c r="G6635" t="s">
        <v>30059</v>
      </c>
      <c r="H6635" t="s">
        <v>15498</v>
      </c>
      <c r="I6635" t="s">
        <v>3693</v>
      </c>
      <c r="J6635" t="s">
        <v>34336</v>
      </c>
      <c r="K6635" t="s">
        <v>39025</v>
      </c>
      <c r="M6635" t="s">
        <v>41572</v>
      </c>
      <c r="N6635" t="s">
        <v>43166</v>
      </c>
      <c r="O6635" t="s">
        <v>43167</v>
      </c>
      <c r="P6635">
        <v>0</v>
      </c>
      <c r="Q6635">
        <v>0</v>
      </c>
      <c r="R6635" t="s">
        <v>43173</v>
      </c>
      <c r="S6635" t="s">
        <v>43374</v>
      </c>
      <c r="T6635" t="s">
        <v>44844</v>
      </c>
      <c r="U6635" t="s">
        <v>50565</v>
      </c>
      <c r="W6635" t="s">
        <v>41572</v>
      </c>
      <c r="X6635" t="s">
        <v>43175</v>
      </c>
    </row>
    <row r="6636" spans="1:24">
      <c r="A6636">
        <f>HYPERLINK("https://www.philgeps.gov.ph/GEPSNONPILOT/Tender/SplashBidNoticeAbstractUI.aspx?menuIndex=3&amp;refID=7074611&amp;Result=3","7074611")</f>
        <v>0</v>
      </c>
      <c r="B6636" t="s">
        <v>2111</v>
      </c>
      <c r="C6636" t="s">
        <v>9736</v>
      </c>
      <c r="D6636" t="s">
        <v>17415</v>
      </c>
      <c r="E6636" t="s">
        <v>23240</v>
      </c>
      <c r="F6636" t="s">
        <v>30052</v>
      </c>
      <c r="G6636" t="s">
        <v>30058</v>
      </c>
      <c r="H6636" t="s">
        <v>15498</v>
      </c>
      <c r="I6636" t="s">
        <v>30192</v>
      </c>
      <c r="J6636" t="s">
        <v>32052</v>
      </c>
      <c r="K6636" t="s">
        <v>39029</v>
      </c>
      <c r="M6636" t="s">
        <v>41573</v>
      </c>
      <c r="N6636" t="s">
        <v>43166</v>
      </c>
      <c r="O6636" t="s">
        <v>43167</v>
      </c>
      <c r="P6636">
        <v>0</v>
      </c>
      <c r="Q6636">
        <v>0</v>
      </c>
      <c r="R6636" t="s">
        <v>43173</v>
      </c>
      <c r="S6636" t="s">
        <v>43374</v>
      </c>
      <c r="T6636" t="s">
        <v>44720</v>
      </c>
      <c r="U6636" t="s">
        <v>50566</v>
      </c>
      <c r="W6636" t="s">
        <v>41573</v>
      </c>
      <c r="X6636" t="s">
        <v>43175</v>
      </c>
    </row>
    <row r="6637" spans="1:24">
      <c r="A6637">
        <f>HYPERLINK("https://www.philgeps.gov.ph/GEPSNONPILOT/Tender/SplashBidNoticeAbstractUI.aspx?menuIndex=3&amp;refID=7074598&amp;Result=3","7074598")</f>
        <v>0</v>
      </c>
      <c r="B6637" t="s">
        <v>2106</v>
      </c>
      <c r="C6637" t="s">
        <v>9737</v>
      </c>
      <c r="D6637" t="s">
        <v>17437</v>
      </c>
      <c r="E6637" t="s">
        <v>23241</v>
      </c>
      <c r="F6637" t="s">
        <v>30052</v>
      </c>
      <c r="G6637" t="s">
        <v>30058</v>
      </c>
      <c r="H6637" t="s">
        <v>30067</v>
      </c>
      <c r="I6637" t="s">
        <v>3693</v>
      </c>
      <c r="J6637" t="s">
        <v>34337</v>
      </c>
      <c r="K6637" t="s">
        <v>39023</v>
      </c>
      <c r="M6637" t="s">
        <v>41568</v>
      </c>
      <c r="N6637" t="s">
        <v>43166</v>
      </c>
      <c r="O6637" t="s">
        <v>43167</v>
      </c>
      <c r="P6637">
        <v>0</v>
      </c>
      <c r="Q6637">
        <v>0</v>
      </c>
      <c r="R6637" t="s">
        <v>43173</v>
      </c>
      <c r="S6637" t="s">
        <v>43374</v>
      </c>
      <c r="T6637" t="s">
        <v>44710</v>
      </c>
      <c r="U6637" t="s">
        <v>50567</v>
      </c>
      <c r="V6637" t="s">
        <v>57516</v>
      </c>
      <c r="W6637" t="s">
        <v>41568</v>
      </c>
      <c r="X6637" t="s">
        <v>43175</v>
      </c>
    </row>
    <row r="6638" spans="1:24">
      <c r="A6638">
        <f>HYPERLINK("https://www.philgeps.gov.ph/GEPSNONPILOT/Tender/SplashBidNoticeAbstractUI.aspx?menuIndex=3&amp;refID=7070489&amp;Result=3","7070489")</f>
        <v>0</v>
      </c>
      <c r="B6638" t="s">
        <v>1655</v>
      </c>
      <c r="C6638" t="s">
        <v>9738</v>
      </c>
      <c r="D6638" t="s">
        <v>17481</v>
      </c>
      <c r="E6638" t="s">
        <v>23242</v>
      </c>
      <c r="F6638" t="s">
        <v>30052</v>
      </c>
      <c r="G6638" t="s">
        <v>30058</v>
      </c>
      <c r="H6638" t="s">
        <v>15498</v>
      </c>
      <c r="I6638" t="s">
        <v>3606</v>
      </c>
      <c r="J6638" t="s">
        <v>34338</v>
      </c>
      <c r="K6638" t="s">
        <v>39034</v>
      </c>
      <c r="M6638" t="s">
        <v>41060</v>
      </c>
      <c r="N6638" t="s">
        <v>43166</v>
      </c>
      <c r="O6638" t="s">
        <v>43167</v>
      </c>
      <c r="P6638">
        <v>0</v>
      </c>
      <c r="Q6638">
        <v>6</v>
      </c>
      <c r="R6638" t="s">
        <v>43173</v>
      </c>
      <c r="S6638" t="s">
        <v>43374</v>
      </c>
      <c r="T6638" t="s">
        <v>44685</v>
      </c>
      <c r="U6638" t="s">
        <v>50568</v>
      </c>
      <c r="W6638" t="s">
        <v>41060</v>
      </c>
      <c r="X6638" t="s">
        <v>43178</v>
      </c>
    </row>
    <row r="6639" spans="1:24">
      <c r="A6639">
        <f>HYPERLINK("https://www.philgeps.gov.ph/GEPSNONPILOT/Tender/SplashBidNoticeAbstractUI.aspx?menuIndex=3&amp;refID=7074537&amp;Result=3","7074537")</f>
        <v>0</v>
      </c>
      <c r="B6639" t="s">
        <v>2106</v>
      </c>
      <c r="C6639" t="s">
        <v>9739</v>
      </c>
      <c r="D6639" t="s">
        <v>17437</v>
      </c>
      <c r="E6639" t="s">
        <v>23243</v>
      </c>
      <c r="F6639" t="s">
        <v>30052</v>
      </c>
      <c r="G6639" t="s">
        <v>30058</v>
      </c>
      <c r="H6639" t="s">
        <v>30067</v>
      </c>
      <c r="I6639" t="s">
        <v>3693</v>
      </c>
      <c r="J6639" t="s">
        <v>34339</v>
      </c>
      <c r="K6639" t="s">
        <v>39023</v>
      </c>
      <c r="M6639" t="s">
        <v>41568</v>
      </c>
      <c r="N6639" t="s">
        <v>43166</v>
      </c>
      <c r="O6639" t="s">
        <v>43167</v>
      </c>
      <c r="P6639">
        <v>0</v>
      </c>
      <c r="Q6639">
        <v>0</v>
      </c>
      <c r="R6639" t="s">
        <v>43173</v>
      </c>
      <c r="S6639" t="s">
        <v>43374</v>
      </c>
      <c r="T6639" t="s">
        <v>44710</v>
      </c>
      <c r="U6639" t="s">
        <v>50569</v>
      </c>
      <c r="V6639" t="s">
        <v>57517</v>
      </c>
      <c r="W6639" t="s">
        <v>41568</v>
      </c>
      <c r="X6639" t="s">
        <v>43175</v>
      </c>
    </row>
    <row r="6640" spans="1:24">
      <c r="A6640">
        <f>HYPERLINK("https://www.philgeps.gov.ph/GEPSNONPILOT/Tender/SplashBidNoticeAbstractUI.aspx?menuIndex=3&amp;refID=7074681&amp;Result=3","7074681")</f>
        <v>0</v>
      </c>
      <c r="B6640" t="s">
        <v>2112</v>
      </c>
      <c r="C6640" t="s">
        <v>9740</v>
      </c>
      <c r="D6640" t="s">
        <v>17439</v>
      </c>
      <c r="E6640" t="s">
        <v>23244</v>
      </c>
      <c r="F6640" t="s">
        <v>30052</v>
      </c>
      <c r="G6640" t="s">
        <v>30058</v>
      </c>
      <c r="H6640" t="s">
        <v>15498</v>
      </c>
      <c r="I6640" t="s">
        <v>9238</v>
      </c>
      <c r="J6640" t="s">
        <v>34340</v>
      </c>
      <c r="K6640" t="s">
        <v>39019</v>
      </c>
      <c r="M6640" t="s">
        <v>41574</v>
      </c>
      <c r="N6640" t="s">
        <v>43166</v>
      </c>
      <c r="O6640" t="s">
        <v>43167</v>
      </c>
      <c r="P6640">
        <v>0</v>
      </c>
      <c r="Q6640">
        <v>13</v>
      </c>
      <c r="R6640" t="s">
        <v>43173</v>
      </c>
      <c r="S6640" t="s">
        <v>43374</v>
      </c>
      <c r="T6640" t="s">
        <v>45049</v>
      </c>
      <c r="U6640" t="s">
        <v>50570</v>
      </c>
      <c r="W6640" t="s">
        <v>41574</v>
      </c>
      <c r="X6640" t="s">
        <v>43175</v>
      </c>
    </row>
    <row r="6641" spans="1:24">
      <c r="A6641">
        <f>HYPERLINK("https://www.philgeps.gov.ph/GEPSNONPILOT/Tender/SplashBidNoticeAbstractUI.aspx?menuIndex=3&amp;refID=7074388&amp;Result=3","7074388")</f>
        <v>0</v>
      </c>
      <c r="B6641" t="s">
        <v>2113</v>
      </c>
      <c r="C6641" t="s">
        <v>9741</v>
      </c>
      <c r="D6641" t="s">
        <v>17442</v>
      </c>
      <c r="E6641" t="s">
        <v>23245</v>
      </c>
      <c r="F6641" t="s">
        <v>30052</v>
      </c>
      <c r="G6641" t="s">
        <v>30061</v>
      </c>
      <c r="H6641" t="s">
        <v>15498</v>
      </c>
      <c r="I6641" t="s">
        <v>30097</v>
      </c>
      <c r="J6641" t="s">
        <v>30538</v>
      </c>
      <c r="K6641" t="s">
        <v>39029</v>
      </c>
      <c r="M6641" t="s">
        <v>41575</v>
      </c>
      <c r="N6641" t="s">
        <v>43166</v>
      </c>
      <c r="O6641" t="s">
        <v>43167</v>
      </c>
      <c r="P6641">
        <v>0</v>
      </c>
      <c r="Q6641">
        <v>12</v>
      </c>
      <c r="R6641" t="s">
        <v>43173</v>
      </c>
      <c r="S6641" t="s">
        <v>43374</v>
      </c>
      <c r="T6641" t="s">
        <v>44717</v>
      </c>
      <c r="U6641" t="s">
        <v>50571</v>
      </c>
      <c r="W6641" t="s">
        <v>41575</v>
      </c>
      <c r="X6641" t="s">
        <v>43175</v>
      </c>
    </row>
    <row r="6642" spans="1:24">
      <c r="A6642">
        <f>HYPERLINK("https://www.philgeps.gov.ph/GEPSNONPILOT/Tender/SplashBidNoticeAbstractUI.aspx?menuIndex=3&amp;refID=7074355&amp;Result=3","7074355")</f>
        <v>0</v>
      </c>
      <c r="B6642" t="s">
        <v>2106</v>
      </c>
      <c r="C6642" t="s">
        <v>9742</v>
      </c>
      <c r="D6642" t="s">
        <v>17437</v>
      </c>
      <c r="E6642" t="s">
        <v>23246</v>
      </c>
      <c r="F6642" t="s">
        <v>30052</v>
      </c>
      <c r="G6642" t="s">
        <v>30058</v>
      </c>
      <c r="H6642" t="s">
        <v>30067</v>
      </c>
      <c r="I6642" t="s">
        <v>3693</v>
      </c>
      <c r="J6642" t="s">
        <v>34341</v>
      </c>
      <c r="K6642" t="s">
        <v>39023</v>
      </c>
      <c r="M6642" t="s">
        <v>41568</v>
      </c>
      <c r="N6642" t="s">
        <v>43166</v>
      </c>
      <c r="O6642" t="s">
        <v>43167</v>
      </c>
      <c r="P6642">
        <v>0</v>
      </c>
      <c r="Q6642">
        <v>1</v>
      </c>
      <c r="R6642" t="s">
        <v>43173</v>
      </c>
      <c r="S6642" t="s">
        <v>43374</v>
      </c>
      <c r="T6642" t="s">
        <v>44710</v>
      </c>
      <c r="U6642" t="s">
        <v>50572</v>
      </c>
      <c r="V6642" t="s">
        <v>57516</v>
      </c>
      <c r="W6642" t="s">
        <v>41568</v>
      </c>
      <c r="X6642" t="s">
        <v>43175</v>
      </c>
    </row>
    <row r="6643" spans="1:24">
      <c r="A6643">
        <f>HYPERLINK("https://www.philgeps.gov.ph/GEPSNONPILOT/Tender/SplashBidNoticeAbstractUI.aspx?menuIndex=3&amp;refID=7074308&amp;Result=3","7074308")</f>
        <v>0</v>
      </c>
      <c r="B6643" t="s">
        <v>2106</v>
      </c>
      <c r="C6643" t="s">
        <v>9743</v>
      </c>
      <c r="D6643" t="s">
        <v>17437</v>
      </c>
      <c r="E6643" t="s">
        <v>23247</v>
      </c>
      <c r="F6643" t="s">
        <v>30052</v>
      </c>
      <c r="G6643" t="s">
        <v>30058</v>
      </c>
      <c r="H6643" t="s">
        <v>30067</v>
      </c>
      <c r="I6643" t="s">
        <v>3693</v>
      </c>
      <c r="J6643" t="s">
        <v>34341</v>
      </c>
      <c r="K6643" t="s">
        <v>39023</v>
      </c>
      <c r="M6643" t="s">
        <v>41568</v>
      </c>
      <c r="N6643" t="s">
        <v>43166</v>
      </c>
      <c r="O6643" t="s">
        <v>43167</v>
      </c>
      <c r="P6643">
        <v>0</v>
      </c>
      <c r="Q6643">
        <v>1</v>
      </c>
      <c r="R6643" t="s">
        <v>43173</v>
      </c>
      <c r="S6643" t="s">
        <v>43374</v>
      </c>
      <c r="T6643" t="s">
        <v>44710</v>
      </c>
      <c r="U6643" t="s">
        <v>50573</v>
      </c>
      <c r="V6643" t="s">
        <v>57516</v>
      </c>
      <c r="W6643" t="s">
        <v>41568</v>
      </c>
      <c r="X6643" t="s">
        <v>43175</v>
      </c>
    </row>
    <row r="6644" spans="1:24">
      <c r="A6644">
        <f>HYPERLINK("https://www.philgeps.gov.ph/GEPSNONPILOT/Tender/SplashBidNoticeAbstractUI.aspx?menuIndex=3&amp;refID=7074262&amp;Result=3","7074262")</f>
        <v>0</v>
      </c>
      <c r="B6644" t="s">
        <v>2106</v>
      </c>
      <c r="C6644" t="s">
        <v>9744</v>
      </c>
      <c r="D6644" t="s">
        <v>17437</v>
      </c>
      <c r="E6644" t="s">
        <v>23248</v>
      </c>
      <c r="F6644" t="s">
        <v>30052</v>
      </c>
      <c r="G6644" t="s">
        <v>30058</v>
      </c>
      <c r="H6644" t="s">
        <v>30067</v>
      </c>
      <c r="I6644" t="s">
        <v>3693</v>
      </c>
      <c r="J6644" t="s">
        <v>34342</v>
      </c>
      <c r="K6644" t="s">
        <v>39023</v>
      </c>
      <c r="M6644" t="s">
        <v>41568</v>
      </c>
      <c r="N6644" t="s">
        <v>43166</v>
      </c>
      <c r="O6644" t="s">
        <v>43167</v>
      </c>
      <c r="P6644">
        <v>0</v>
      </c>
      <c r="Q6644">
        <v>0</v>
      </c>
      <c r="R6644" t="s">
        <v>43173</v>
      </c>
      <c r="S6644" t="s">
        <v>43374</v>
      </c>
      <c r="T6644" t="s">
        <v>44710</v>
      </c>
      <c r="U6644" t="s">
        <v>50574</v>
      </c>
      <c r="V6644" t="s">
        <v>57516</v>
      </c>
      <c r="W6644" t="s">
        <v>41568</v>
      </c>
      <c r="X6644" t="s">
        <v>43175</v>
      </c>
    </row>
    <row r="6645" spans="1:24">
      <c r="A6645">
        <f>HYPERLINK("https://www.philgeps.gov.ph/GEPSNONPILOT/Tender/SplashBidNoticeAbstractUI.aspx?menuIndex=3&amp;refID=7073815&amp;Result=3","7073815")</f>
        <v>0</v>
      </c>
      <c r="B6645" t="s">
        <v>161</v>
      </c>
      <c r="C6645" t="s">
        <v>9745</v>
      </c>
      <c r="D6645" t="s">
        <v>17459</v>
      </c>
      <c r="E6645" t="s">
        <v>23249</v>
      </c>
      <c r="F6645" t="s">
        <v>30052</v>
      </c>
      <c r="G6645" t="s">
        <v>30059</v>
      </c>
      <c r="H6645" t="s">
        <v>15498</v>
      </c>
      <c r="I6645" t="s">
        <v>30076</v>
      </c>
      <c r="J6645" t="s">
        <v>30230</v>
      </c>
      <c r="K6645" t="s">
        <v>39029</v>
      </c>
      <c r="M6645" t="s">
        <v>39450</v>
      </c>
      <c r="N6645" t="s">
        <v>43166</v>
      </c>
      <c r="O6645" t="s">
        <v>43167</v>
      </c>
      <c r="P6645">
        <v>0</v>
      </c>
      <c r="Q6645">
        <v>9</v>
      </c>
      <c r="R6645" t="s">
        <v>43173</v>
      </c>
      <c r="S6645" t="s">
        <v>43374</v>
      </c>
      <c r="T6645" t="s">
        <v>44717</v>
      </c>
      <c r="U6645" t="s">
        <v>50575</v>
      </c>
      <c r="W6645" t="s">
        <v>39450</v>
      </c>
      <c r="X6645" t="s">
        <v>43175</v>
      </c>
    </row>
    <row r="6646" spans="1:24">
      <c r="A6646">
        <f>HYPERLINK("https://www.philgeps.gov.ph/GEPSNONPILOT/Tender/SplashBidNoticeAbstractUI.aspx?menuIndex=3&amp;refID=7075397&amp;Result=3","7075397")</f>
        <v>0</v>
      </c>
      <c r="B6646" t="s">
        <v>624</v>
      </c>
      <c r="C6646" t="s">
        <v>9746</v>
      </c>
      <c r="D6646" t="s">
        <v>17442</v>
      </c>
      <c r="E6646" t="s">
        <v>23250</v>
      </c>
      <c r="F6646" t="s">
        <v>30052</v>
      </c>
      <c r="G6646" t="s">
        <v>30059</v>
      </c>
      <c r="H6646" t="s">
        <v>15498</v>
      </c>
      <c r="I6646" t="s">
        <v>30073</v>
      </c>
      <c r="J6646" t="s">
        <v>34343</v>
      </c>
      <c r="K6646" t="s">
        <v>39031</v>
      </c>
      <c r="M6646" t="s">
        <v>39927</v>
      </c>
      <c r="N6646" t="s">
        <v>43166</v>
      </c>
      <c r="O6646" t="s">
        <v>43167</v>
      </c>
      <c r="P6646">
        <v>0</v>
      </c>
      <c r="Q6646">
        <v>0</v>
      </c>
      <c r="R6646" t="s">
        <v>43173</v>
      </c>
      <c r="S6646" t="s">
        <v>43374</v>
      </c>
      <c r="T6646" t="s">
        <v>44788</v>
      </c>
      <c r="U6646" t="s">
        <v>50576</v>
      </c>
      <c r="V6646" t="s">
        <v>56989</v>
      </c>
      <c r="W6646" t="s">
        <v>39927</v>
      </c>
      <c r="X6646" t="s">
        <v>43175</v>
      </c>
    </row>
    <row r="6647" spans="1:24">
      <c r="A6647">
        <f>HYPERLINK("https://www.philgeps.gov.ph/GEPSNONPILOT/Tender/SplashBidNoticeAbstractUI.aspx?menuIndex=3&amp;refID=7074617&amp;Result=3","7074617")</f>
        <v>0</v>
      </c>
      <c r="B6647" t="s">
        <v>2106</v>
      </c>
      <c r="C6647" t="s">
        <v>9747</v>
      </c>
      <c r="D6647" t="s">
        <v>17437</v>
      </c>
      <c r="E6647" t="s">
        <v>23251</v>
      </c>
      <c r="F6647" t="s">
        <v>30052</v>
      </c>
      <c r="G6647" t="s">
        <v>30058</v>
      </c>
      <c r="H6647" t="s">
        <v>30067</v>
      </c>
      <c r="I6647" t="s">
        <v>3693</v>
      </c>
      <c r="J6647" t="s">
        <v>34344</v>
      </c>
      <c r="K6647" t="s">
        <v>39023</v>
      </c>
      <c r="M6647" t="s">
        <v>41568</v>
      </c>
      <c r="N6647" t="s">
        <v>43166</v>
      </c>
      <c r="O6647" t="s">
        <v>43167</v>
      </c>
      <c r="P6647">
        <v>0</v>
      </c>
      <c r="Q6647">
        <v>1</v>
      </c>
      <c r="R6647" t="s">
        <v>43173</v>
      </c>
      <c r="S6647" t="s">
        <v>43374</v>
      </c>
      <c r="T6647" t="s">
        <v>44710</v>
      </c>
      <c r="U6647" t="s">
        <v>50577</v>
      </c>
      <c r="V6647" t="s">
        <v>57516</v>
      </c>
      <c r="W6647" t="s">
        <v>41568</v>
      </c>
      <c r="X6647" t="s">
        <v>43175</v>
      </c>
    </row>
    <row r="6648" spans="1:24">
      <c r="A6648">
        <f>HYPERLINK("https://www.philgeps.gov.ph/GEPSNONPILOT/Tender/SplashBidNoticeAbstractUI.aspx?menuIndex=3&amp;refID=7075667&amp;Result=3","7075667")</f>
        <v>0</v>
      </c>
      <c r="B6648" t="s">
        <v>2114</v>
      </c>
      <c r="C6648" t="s">
        <v>9748</v>
      </c>
      <c r="D6648" t="s">
        <v>17431</v>
      </c>
      <c r="E6648" t="s">
        <v>23252</v>
      </c>
      <c r="F6648" t="s">
        <v>30052</v>
      </c>
      <c r="G6648" t="s">
        <v>30058</v>
      </c>
      <c r="H6648" t="s">
        <v>15498</v>
      </c>
      <c r="I6648" t="s">
        <v>30074</v>
      </c>
      <c r="J6648" t="s">
        <v>30532</v>
      </c>
      <c r="K6648" t="s">
        <v>39029</v>
      </c>
      <c r="M6648" t="s">
        <v>41576</v>
      </c>
      <c r="N6648" t="s">
        <v>43166</v>
      </c>
      <c r="O6648" t="s">
        <v>43167</v>
      </c>
      <c r="P6648">
        <v>0</v>
      </c>
      <c r="Q6648">
        <v>7</v>
      </c>
      <c r="R6648" t="s">
        <v>43173</v>
      </c>
      <c r="S6648" t="s">
        <v>43374</v>
      </c>
      <c r="T6648" t="s">
        <v>44716</v>
      </c>
      <c r="U6648" t="s">
        <v>50578</v>
      </c>
      <c r="W6648" t="s">
        <v>41576</v>
      </c>
      <c r="X6648" t="s">
        <v>43175</v>
      </c>
    </row>
    <row r="6649" spans="1:24">
      <c r="A6649">
        <f>HYPERLINK("https://www.philgeps.gov.ph/GEPSNONPILOT/Tender/SplashBidNoticeAbstractUI.aspx?menuIndex=3&amp;refID=7073816&amp;Result=3","7073816")</f>
        <v>0</v>
      </c>
      <c r="B6649" t="s">
        <v>2115</v>
      </c>
      <c r="C6649" t="s">
        <v>9749</v>
      </c>
      <c r="D6649" t="s">
        <v>17415</v>
      </c>
      <c r="E6649" t="s">
        <v>23253</v>
      </c>
      <c r="F6649" t="s">
        <v>30052</v>
      </c>
      <c r="G6649" t="s">
        <v>30058</v>
      </c>
      <c r="H6649" t="s">
        <v>15498</v>
      </c>
      <c r="I6649" t="s">
        <v>4119</v>
      </c>
      <c r="J6649" t="s">
        <v>30235</v>
      </c>
      <c r="K6649" t="s">
        <v>39029</v>
      </c>
      <c r="M6649" t="s">
        <v>41577</v>
      </c>
      <c r="N6649" t="s">
        <v>43166</v>
      </c>
      <c r="O6649" t="s">
        <v>43167</v>
      </c>
      <c r="P6649">
        <v>0</v>
      </c>
      <c r="Q6649">
        <v>2</v>
      </c>
      <c r="R6649" t="s">
        <v>43173</v>
      </c>
      <c r="S6649" t="s">
        <v>43374</v>
      </c>
      <c r="T6649" t="s">
        <v>44705</v>
      </c>
      <c r="U6649" t="s">
        <v>50579</v>
      </c>
      <c r="W6649" t="s">
        <v>41577</v>
      </c>
      <c r="X6649" t="s">
        <v>43175</v>
      </c>
    </row>
    <row r="6650" spans="1:24">
      <c r="A6650">
        <f>HYPERLINK("https://www.philgeps.gov.ph/GEPSNONPILOT/Tender/SplashBidNoticeAbstractUI.aspx?menuIndex=3&amp;refID=7074285&amp;Result=3","7074285")</f>
        <v>0</v>
      </c>
      <c r="B6650" t="s">
        <v>2106</v>
      </c>
      <c r="C6650" t="s">
        <v>9750</v>
      </c>
      <c r="D6650" t="s">
        <v>17437</v>
      </c>
      <c r="E6650" t="s">
        <v>23254</v>
      </c>
      <c r="F6650" t="s">
        <v>30052</v>
      </c>
      <c r="G6650" t="s">
        <v>30058</v>
      </c>
      <c r="H6650" t="s">
        <v>30067</v>
      </c>
      <c r="I6650" t="s">
        <v>3693</v>
      </c>
      <c r="J6650" t="s">
        <v>34345</v>
      </c>
      <c r="K6650" t="s">
        <v>39023</v>
      </c>
      <c r="M6650" t="s">
        <v>41568</v>
      </c>
      <c r="N6650" t="s">
        <v>43166</v>
      </c>
      <c r="O6650" t="s">
        <v>43167</v>
      </c>
      <c r="P6650">
        <v>0</v>
      </c>
      <c r="Q6650">
        <v>0</v>
      </c>
      <c r="R6650" t="s">
        <v>43173</v>
      </c>
      <c r="S6650" t="s">
        <v>43374</v>
      </c>
      <c r="T6650" t="s">
        <v>44710</v>
      </c>
      <c r="U6650" t="s">
        <v>50580</v>
      </c>
      <c r="V6650" t="s">
        <v>57518</v>
      </c>
      <c r="W6650" t="s">
        <v>41568</v>
      </c>
      <c r="X6650" t="s">
        <v>43175</v>
      </c>
    </row>
    <row r="6651" spans="1:24">
      <c r="A6651">
        <f>HYPERLINK("https://www.philgeps.gov.ph/GEPSNONPILOT/Tender/SplashBidNoticeAbstractUI.aspx?menuIndex=3&amp;refID=7075607&amp;Result=3","7075607")</f>
        <v>0</v>
      </c>
      <c r="B6651" t="s">
        <v>2116</v>
      </c>
      <c r="C6651" t="s">
        <v>9751</v>
      </c>
      <c r="E6651" t="s">
        <v>23255</v>
      </c>
      <c r="F6651" t="s">
        <v>30052</v>
      </c>
      <c r="G6651" t="s">
        <v>30058</v>
      </c>
      <c r="H6651" t="s">
        <v>15498</v>
      </c>
      <c r="I6651" t="s">
        <v>30073</v>
      </c>
      <c r="J6651" t="s">
        <v>30277</v>
      </c>
      <c r="K6651" t="s">
        <v>39025</v>
      </c>
      <c r="M6651" t="s">
        <v>41578</v>
      </c>
      <c r="N6651" t="s">
        <v>43166</v>
      </c>
      <c r="O6651" t="s">
        <v>43167</v>
      </c>
      <c r="P6651">
        <v>0</v>
      </c>
      <c r="Q6651">
        <v>0</v>
      </c>
      <c r="R6651" t="s">
        <v>43173</v>
      </c>
      <c r="S6651" t="s">
        <v>43374</v>
      </c>
      <c r="T6651" t="s">
        <v>44679</v>
      </c>
      <c r="U6651" t="s">
        <v>50581</v>
      </c>
      <c r="W6651" t="s">
        <v>41578</v>
      </c>
      <c r="X6651" t="s">
        <v>43175</v>
      </c>
    </row>
    <row r="6652" spans="1:24">
      <c r="A6652">
        <f>HYPERLINK("https://www.philgeps.gov.ph/GEPSNONPILOT/Tender/SplashBidNoticeAbstractUI.aspx?menuIndex=3&amp;refID=7074273&amp;Result=3","7074273")</f>
        <v>0</v>
      </c>
      <c r="B6652" t="s">
        <v>2113</v>
      </c>
      <c r="C6652" t="s">
        <v>9752</v>
      </c>
      <c r="D6652" t="s">
        <v>17442</v>
      </c>
      <c r="E6652" t="s">
        <v>23256</v>
      </c>
      <c r="F6652" t="s">
        <v>30052</v>
      </c>
      <c r="G6652" t="s">
        <v>30058</v>
      </c>
      <c r="H6652" t="s">
        <v>15498</v>
      </c>
      <c r="I6652" t="s">
        <v>30097</v>
      </c>
      <c r="J6652" t="s">
        <v>34346</v>
      </c>
      <c r="K6652" t="s">
        <v>39029</v>
      </c>
      <c r="M6652" t="s">
        <v>41575</v>
      </c>
      <c r="N6652" t="s">
        <v>43166</v>
      </c>
      <c r="O6652" t="s">
        <v>43167</v>
      </c>
      <c r="P6652">
        <v>0</v>
      </c>
      <c r="Q6652">
        <v>9</v>
      </c>
      <c r="R6652" t="s">
        <v>43173</v>
      </c>
      <c r="S6652" t="s">
        <v>43374</v>
      </c>
      <c r="T6652" t="s">
        <v>44796</v>
      </c>
      <c r="U6652" t="s">
        <v>50582</v>
      </c>
      <c r="W6652" t="s">
        <v>41575</v>
      </c>
      <c r="X6652" t="s">
        <v>43175</v>
      </c>
    </row>
    <row r="6653" spans="1:24">
      <c r="A6653">
        <f>HYPERLINK("https://www.philgeps.gov.ph/GEPSNONPILOT/Tender/SplashBidNoticeAbstractUI.aspx?menuIndex=3&amp;refID=7075583&amp;Result=3","7075583")</f>
        <v>0</v>
      </c>
      <c r="B6653" t="s">
        <v>1560</v>
      </c>
      <c r="C6653" t="s">
        <v>9753</v>
      </c>
      <c r="D6653" t="s">
        <v>17482</v>
      </c>
      <c r="E6653" t="s">
        <v>23257</v>
      </c>
      <c r="F6653" t="s">
        <v>30052</v>
      </c>
      <c r="G6653" t="s">
        <v>30058</v>
      </c>
      <c r="H6653" t="s">
        <v>15498</v>
      </c>
      <c r="I6653" t="s">
        <v>3693</v>
      </c>
      <c r="J6653" t="s">
        <v>33226</v>
      </c>
      <c r="K6653" t="s">
        <v>39061</v>
      </c>
      <c r="M6653" t="s">
        <v>40949</v>
      </c>
      <c r="N6653" t="s">
        <v>43166</v>
      </c>
      <c r="O6653" t="s">
        <v>43167</v>
      </c>
      <c r="P6653">
        <v>0</v>
      </c>
      <c r="Q6653">
        <v>4</v>
      </c>
      <c r="R6653" t="s">
        <v>43173</v>
      </c>
      <c r="S6653" t="s">
        <v>43374</v>
      </c>
      <c r="T6653" t="s">
        <v>45000</v>
      </c>
      <c r="U6653" t="s">
        <v>50583</v>
      </c>
      <c r="W6653" t="s">
        <v>40949</v>
      </c>
      <c r="X6653" t="s">
        <v>43175</v>
      </c>
    </row>
    <row r="6654" spans="1:24">
      <c r="A6654">
        <f>HYPERLINK("https://www.philgeps.gov.ph/GEPSNONPILOT/Tender/SplashBidNoticeAbstractUI.aspx?menuIndex=3&amp;refID=7075390&amp;Result=3","7075390")</f>
        <v>0</v>
      </c>
      <c r="B6654" t="s">
        <v>2003</v>
      </c>
      <c r="C6654" t="s">
        <v>9754</v>
      </c>
      <c r="D6654" t="s">
        <v>17426</v>
      </c>
      <c r="E6654" t="s">
        <v>23258</v>
      </c>
      <c r="F6654" t="s">
        <v>30052</v>
      </c>
      <c r="G6654" t="s">
        <v>30059</v>
      </c>
      <c r="H6654" t="s">
        <v>15498</v>
      </c>
      <c r="I6654" t="s">
        <v>30135</v>
      </c>
      <c r="J6654" t="s">
        <v>31137</v>
      </c>
      <c r="K6654" t="s">
        <v>39029</v>
      </c>
      <c r="M6654" t="s">
        <v>41446</v>
      </c>
      <c r="N6654" t="s">
        <v>43166</v>
      </c>
      <c r="O6654" t="s">
        <v>43167</v>
      </c>
      <c r="P6654">
        <v>0</v>
      </c>
      <c r="Q6654">
        <v>7</v>
      </c>
      <c r="R6654" t="s">
        <v>43173</v>
      </c>
      <c r="S6654" t="s">
        <v>43374</v>
      </c>
      <c r="T6654" t="s">
        <v>44864</v>
      </c>
      <c r="U6654" t="s">
        <v>50584</v>
      </c>
      <c r="W6654" t="s">
        <v>41446</v>
      </c>
      <c r="X6654" t="s">
        <v>43175</v>
      </c>
    </row>
    <row r="6655" spans="1:24">
      <c r="A6655">
        <f>HYPERLINK("https://www.philgeps.gov.ph/GEPSNONPILOT/Tender/SplashBidNoticeAbstractUI.aspx?menuIndex=3&amp;refID=7075345&amp;Result=3","7075345")</f>
        <v>0</v>
      </c>
      <c r="B6655" t="s">
        <v>624</v>
      </c>
      <c r="C6655" t="s">
        <v>9755</v>
      </c>
      <c r="D6655" t="s">
        <v>17442</v>
      </c>
      <c r="E6655" t="s">
        <v>23259</v>
      </c>
      <c r="F6655" t="s">
        <v>30052</v>
      </c>
      <c r="G6655" t="s">
        <v>30059</v>
      </c>
      <c r="H6655" t="s">
        <v>15498</v>
      </c>
      <c r="I6655" t="s">
        <v>3736</v>
      </c>
      <c r="J6655" t="s">
        <v>34347</v>
      </c>
      <c r="K6655" t="s">
        <v>39019</v>
      </c>
      <c r="M6655" t="s">
        <v>39927</v>
      </c>
      <c r="N6655" t="s">
        <v>43166</v>
      </c>
      <c r="O6655" t="s">
        <v>43167</v>
      </c>
      <c r="P6655">
        <v>0</v>
      </c>
      <c r="Q6655">
        <v>0</v>
      </c>
      <c r="R6655" t="s">
        <v>43173</v>
      </c>
      <c r="S6655" t="s">
        <v>43374</v>
      </c>
      <c r="T6655" t="s">
        <v>44773</v>
      </c>
      <c r="U6655" t="s">
        <v>50585</v>
      </c>
      <c r="V6655" t="s">
        <v>56989</v>
      </c>
      <c r="W6655" t="s">
        <v>39927</v>
      </c>
      <c r="X6655" t="s">
        <v>43175</v>
      </c>
    </row>
    <row r="6656" spans="1:24">
      <c r="A6656">
        <f>HYPERLINK("https://www.philgeps.gov.ph/GEPSNONPILOT/Tender/SplashBidNoticeAbstractUI.aspx?menuIndex=3&amp;refID=7075173&amp;Result=3","7075173")</f>
        <v>0</v>
      </c>
      <c r="B6656" t="s">
        <v>2117</v>
      </c>
      <c r="C6656" t="s">
        <v>9756</v>
      </c>
      <c r="D6656" t="s">
        <v>17449</v>
      </c>
      <c r="E6656" t="s">
        <v>23260</v>
      </c>
      <c r="F6656" t="s">
        <v>30052</v>
      </c>
      <c r="G6656" t="s">
        <v>30058</v>
      </c>
      <c r="H6656" t="s">
        <v>15498</v>
      </c>
      <c r="I6656" t="s">
        <v>30096</v>
      </c>
      <c r="J6656" t="s">
        <v>34348</v>
      </c>
      <c r="K6656" t="s">
        <v>39029</v>
      </c>
      <c r="M6656" t="s">
        <v>41579</v>
      </c>
      <c r="N6656" t="s">
        <v>43166</v>
      </c>
      <c r="O6656" t="s">
        <v>43167</v>
      </c>
      <c r="P6656">
        <v>0</v>
      </c>
      <c r="Q6656">
        <v>4</v>
      </c>
      <c r="R6656" t="s">
        <v>43173</v>
      </c>
      <c r="S6656" t="s">
        <v>43374</v>
      </c>
      <c r="T6656" t="s">
        <v>45000</v>
      </c>
      <c r="U6656" t="s">
        <v>50586</v>
      </c>
      <c r="W6656" t="s">
        <v>41579</v>
      </c>
      <c r="X6656" t="s">
        <v>43175</v>
      </c>
    </row>
    <row r="6657" spans="1:24">
      <c r="A6657">
        <f>HYPERLINK("https://www.philgeps.gov.ph/GEPSNONPILOT/Tender/SplashBidNoticeAbstractUI.aspx?menuIndex=3&amp;refID=7075372&amp;Result=3","7075372")</f>
        <v>0</v>
      </c>
      <c r="B6657" t="s">
        <v>624</v>
      </c>
      <c r="C6657" t="s">
        <v>9757</v>
      </c>
      <c r="D6657" t="s">
        <v>17442</v>
      </c>
      <c r="E6657" t="s">
        <v>23261</v>
      </c>
      <c r="F6657" t="s">
        <v>30052</v>
      </c>
      <c r="G6657" t="s">
        <v>30059</v>
      </c>
      <c r="H6657" t="s">
        <v>15498</v>
      </c>
      <c r="I6657" t="s">
        <v>3736</v>
      </c>
      <c r="J6657" t="s">
        <v>34349</v>
      </c>
      <c r="K6657" t="s">
        <v>39019</v>
      </c>
      <c r="M6657" t="s">
        <v>39927</v>
      </c>
      <c r="N6657" t="s">
        <v>43166</v>
      </c>
      <c r="O6657" t="s">
        <v>43167</v>
      </c>
      <c r="P6657">
        <v>0</v>
      </c>
      <c r="Q6657">
        <v>0</v>
      </c>
      <c r="R6657" t="s">
        <v>43173</v>
      </c>
      <c r="S6657" t="s">
        <v>43374</v>
      </c>
      <c r="T6657" t="s">
        <v>44773</v>
      </c>
      <c r="U6657" t="s">
        <v>50587</v>
      </c>
      <c r="V6657" t="s">
        <v>56989</v>
      </c>
      <c r="W6657" t="s">
        <v>39927</v>
      </c>
      <c r="X6657" t="s">
        <v>43175</v>
      </c>
    </row>
    <row r="6658" spans="1:24">
      <c r="A6658">
        <f>HYPERLINK("https://www.philgeps.gov.ph/GEPSNONPILOT/Tender/SplashBidNoticeAbstractUI.aspx?menuIndex=3&amp;refID=7075312&amp;Result=3","7075312")</f>
        <v>0</v>
      </c>
      <c r="B6658" t="s">
        <v>624</v>
      </c>
      <c r="C6658" t="s">
        <v>9758</v>
      </c>
      <c r="D6658" t="s">
        <v>17442</v>
      </c>
      <c r="E6658" t="s">
        <v>23262</v>
      </c>
      <c r="F6658" t="s">
        <v>30052</v>
      </c>
      <c r="G6658" t="s">
        <v>30059</v>
      </c>
      <c r="H6658" t="s">
        <v>15498</v>
      </c>
      <c r="I6658" t="s">
        <v>3736</v>
      </c>
      <c r="J6658" t="s">
        <v>34350</v>
      </c>
      <c r="K6658" t="s">
        <v>39019</v>
      </c>
      <c r="M6658" t="s">
        <v>39927</v>
      </c>
      <c r="N6658" t="s">
        <v>43166</v>
      </c>
      <c r="O6658" t="s">
        <v>43167</v>
      </c>
      <c r="P6658">
        <v>0</v>
      </c>
      <c r="Q6658">
        <v>0</v>
      </c>
      <c r="R6658" t="s">
        <v>43173</v>
      </c>
      <c r="S6658" t="s">
        <v>43374</v>
      </c>
      <c r="T6658" t="s">
        <v>44788</v>
      </c>
      <c r="U6658" t="s">
        <v>50588</v>
      </c>
      <c r="V6658" t="s">
        <v>57520</v>
      </c>
      <c r="W6658" t="s">
        <v>39927</v>
      </c>
      <c r="X6658" t="s">
        <v>43175</v>
      </c>
    </row>
    <row r="6659" spans="1:24">
      <c r="A6659">
        <f>HYPERLINK("https://www.philgeps.gov.ph/GEPSNONPILOT/Tender/SplashBidNoticeAbstractUI.aspx?menuIndex=3&amp;refID=7075237&amp;Result=3","7075237")</f>
        <v>0</v>
      </c>
      <c r="B6659" t="s">
        <v>624</v>
      </c>
      <c r="C6659" t="s">
        <v>9759</v>
      </c>
      <c r="D6659" t="s">
        <v>17442</v>
      </c>
      <c r="E6659" t="s">
        <v>23263</v>
      </c>
      <c r="F6659" t="s">
        <v>30052</v>
      </c>
      <c r="G6659" t="s">
        <v>30059</v>
      </c>
      <c r="H6659" t="s">
        <v>15498</v>
      </c>
      <c r="I6659" t="s">
        <v>30073</v>
      </c>
      <c r="J6659" t="s">
        <v>30343</v>
      </c>
      <c r="K6659" t="s">
        <v>39029</v>
      </c>
      <c r="M6659" t="s">
        <v>39927</v>
      </c>
      <c r="N6659" t="s">
        <v>43166</v>
      </c>
      <c r="O6659" t="s">
        <v>43167</v>
      </c>
      <c r="P6659">
        <v>0</v>
      </c>
      <c r="Q6659">
        <v>0</v>
      </c>
      <c r="R6659" t="s">
        <v>43173</v>
      </c>
      <c r="S6659" t="s">
        <v>43374</v>
      </c>
      <c r="T6659" t="s">
        <v>44773</v>
      </c>
      <c r="U6659" t="s">
        <v>50589</v>
      </c>
      <c r="V6659" t="s">
        <v>56989</v>
      </c>
      <c r="W6659" t="s">
        <v>39927</v>
      </c>
      <c r="X6659" t="s">
        <v>43175</v>
      </c>
    </row>
    <row r="6660" spans="1:24">
      <c r="A6660">
        <f>HYPERLINK("https://www.philgeps.gov.ph/GEPSNONPILOT/Tender/SplashBidNoticeAbstractUI.aspx?menuIndex=3&amp;refID=7074962&amp;Result=3","7074962")</f>
        <v>0</v>
      </c>
      <c r="B6660" t="s">
        <v>2090</v>
      </c>
      <c r="C6660" t="s">
        <v>9760</v>
      </c>
      <c r="D6660" t="s">
        <v>17415</v>
      </c>
      <c r="E6660" t="s">
        <v>17620</v>
      </c>
      <c r="F6660" t="s">
        <v>30052</v>
      </c>
      <c r="G6660" t="s">
        <v>30058</v>
      </c>
      <c r="H6660" t="s">
        <v>30069</v>
      </c>
      <c r="I6660" t="s">
        <v>3852</v>
      </c>
      <c r="J6660" t="s">
        <v>30218</v>
      </c>
      <c r="K6660" t="s">
        <v>39019</v>
      </c>
      <c r="M6660" t="s">
        <v>41551</v>
      </c>
      <c r="N6660" t="s">
        <v>43166</v>
      </c>
      <c r="O6660" t="s">
        <v>43167</v>
      </c>
      <c r="P6660">
        <v>0</v>
      </c>
      <c r="Q6660">
        <v>0</v>
      </c>
      <c r="R6660" t="s">
        <v>43173</v>
      </c>
      <c r="S6660" t="s">
        <v>43374</v>
      </c>
      <c r="T6660" t="s">
        <v>44762</v>
      </c>
      <c r="U6660" t="s">
        <v>50590</v>
      </c>
      <c r="W6660" t="s">
        <v>41551</v>
      </c>
      <c r="X6660" t="s">
        <v>43175</v>
      </c>
    </row>
    <row r="6661" spans="1:24">
      <c r="A6661">
        <f>HYPERLINK("https://www.philgeps.gov.ph/GEPSNONPILOT/Tender/SplashBidNoticeAbstractUI.aspx?menuIndex=3&amp;refID=7075793&amp;Result=3","7075793")</f>
        <v>0</v>
      </c>
      <c r="B6661" t="s">
        <v>2118</v>
      </c>
      <c r="C6661" t="s">
        <v>9761</v>
      </c>
      <c r="D6661" t="s">
        <v>17424</v>
      </c>
      <c r="E6661" t="s">
        <v>23264</v>
      </c>
      <c r="F6661" t="s">
        <v>30052</v>
      </c>
      <c r="G6661" t="s">
        <v>30058</v>
      </c>
      <c r="H6661" t="s">
        <v>15498</v>
      </c>
      <c r="I6661" t="s">
        <v>3736</v>
      </c>
      <c r="J6661" t="s">
        <v>34351</v>
      </c>
      <c r="K6661" t="s">
        <v>39029</v>
      </c>
      <c r="M6661" t="s">
        <v>41580</v>
      </c>
      <c r="N6661" t="s">
        <v>43166</v>
      </c>
      <c r="O6661" t="s">
        <v>43167</v>
      </c>
      <c r="P6661">
        <v>0</v>
      </c>
      <c r="Q6661">
        <v>0</v>
      </c>
      <c r="R6661" t="s">
        <v>43173</v>
      </c>
      <c r="S6661" t="s">
        <v>43374</v>
      </c>
      <c r="T6661" t="s">
        <v>45050</v>
      </c>
      <c r="U6661" t="s">
        <v>50591</v>
      </c>
      <c r="W6661" t="s">
        <v>41580</v>
      </c>
      <c r="X6661" t="s">
        <v>43175</v>
      </c>
    </row>
    <row r="6662" spans="1:24">
      <c r="A6662">
        <f>HYPERLINK("https://www.philgeps.gov.ph/GEPSNONPILOT/Tender/SplashBidNoticeAbstractUI.aspx?menuIndex=3&amp;refID=7074900&amp;Result=3","7074900")</f>
        <v>0</v>
      </c>
      <c r="B6662" t="s">
        <v>1585</v>
      </c>
      <c r="C6662" t="s">
        <v>9762</v>
      </c>
      <c r="D6662" t="s">
        <v>17476</v>
      </c>
      <c r="E6662" t="s">
        <v>23265</v>
      </c>
      <c r="F6662" t="s">
        <v>30052</v>
      </c>
      <c r="G6662" t="s">
        <v>30058</v>
      </c>
      <c r="H6662" t="s">
        <v>15498</v>
      </c>
      <c r="I6662" t="s">
        <v>30091</v>
      </c>
      <c r="J6662" t="s">
        <v>30281</v>
      </c>
      <c r="K6662" t="s">
        <v>39023</v>
      </c>
      <c r="M6662" t="s">
        <v>40978</v>
      </c>
      <c r="N6662" t="s">
        <v>43166</v>
      </c>
      <c r="O6662" t="s">
        <v>43167</v>
      </c>
      <c r="P6662">
        <v>0</v>
      </c>
      <c r="Q6662">
        <v>3</v>
      </c>
      <c r="R6662" t="s">
        <v>43173</v>
      </c>
      <c r="S6662" t="s">
        <v>43374</v>
      </c>
      <c r="T6662" t="s">
        <v>44901</v>
      </c>
      <c r="U6662" t="s">
        <v>50592</v>
      </c>
      <c r="W6662" t="s">
        <v>40978</v>
      </c>
      <c r="X6662" t="s">
        <v>43175</v>
      </c>
    </row>
    <row r="6663" spans="1:24">
      <c r="A6663">
        <f>HYPERLINK("https://www.philgeps.gov.ph/GEPSNONPILOT/Tender/SplashBidNoticeAbstractUI.aspx?menuIndex=3&amp;refID=7074833&amp;Result=3","7074833")</f>
        <v>0</v>
      </c>
      <c r="B6663" t="s">
        <v>2119</v>
      </c>
      <c r="C6663" t="s">
        <v>9763</v>
      </c>
      <c r="D6663" t="s">
        <v>17419</v>
      </c>
      <c r="E6663" t="s">
        <v>23266</v>
      </c>
      <c r="F6663" t="s">
        <v>30052</v>
      </c>
      <c r="G6663" t="s">
        <v>30058</v>
      </c>
      <c r="H6663" t="s">
        <v>30068</v>
      </c>
      <c r="I6663" t="s">
        <v>30166</v>
      </c>
      <c r="J6663" t="s">
        <v>34352</v>
      </c>
      <c r="K6663" t="s">
        <v>39029</v>
      </c>
      <c r="M6663" t="s">
        <v>41581</v>
      </c>
      <c r="N6663" t="s">
        <v>43166</v>
      </c>
      <c r="O6663" t="s">
        <v>43167</v>
      </c>
      <c r="P6663">
        <v>0</v>
      </c>
      <c r="Q6663">
        <v>9</v>
      </c>
      <c r="R6663" t="s">
        <v>43173</v>
      </c>
      <c r="S6663" t="s">
        <v>43374</v>
      </c>
      <c r="T6663" t="s">
        <v>44842</v>
      </c>
      <c r="U6663" t="s">
        <v>50593</v>
      </c>
      <c r="V6663" t="s">
        <v>57521</v>
      </c>
      <c r="W6663" t="s">
        <v>41581</v>
      </c>
      <c r="X6663" t="s">
        <v>43175</v>
      </c>
    </row>
    <row r="6664" spans="1:24">
      <c r="A6664">
        <f>HYPERLINK("https://www.philgeps.gov.ph/GEPSNONPILOT/Tender/SplashBidNoticeAbstractUI.aspx?menuIndex=3&amp;refID=7074777&amp;Result=3","7074777")</f>
        <v>0</v>
      </c>
      <c r="B6664" t="s">
        <v>2106</v>
      </c>
      <c r="C6664" t="s">
        <v>9764</v>
      </c>
      <c r="D6664" t="s">
        <v>17437</v>
      </c>
      <c r="E6664" t="s">
        <v>23267</v>
      </c>
      <c r="F6664" t="s">
        <v>30052</v>
      </c>
      <c r="G6664" t="s">
        <v>30058</v>
      </c>
      <c r="H6664" t="s">
        <v>30067</v>
      </c>
      <c r="I6664" t="s">
        <v>3693</v>
      </c>
      <c r="J6664" t="s">
        <v>34353</v>
      </c>
      <c r="K6664" t="s">
        <v>39023</v>
      </c>
      <c r="M6664" t="s">
        <v>41568</v>
      </c>
      <c r="N6664" t="s">
        <v>43166</v>
      </c>
      <c r="O6664" t="s">
        <v>43167</v>
      </c>
      <c r="P6664">
        <v>0</v>
      </c>
      <c r="Q6664">
        <v>0</v>
      </c>
      <c r="R6664" t="s">
        <v>43173</v>
      </c>
      <c r="S6664" t="s">
        <v>43374</v>
      </c>
      <c r="T6664" t="s">
        <v>44710</v>
      </c>
      <c r="U6664" t="s">
        <v>50594</v>
      </c>
      <c r="V6664" t="s">
        <v>57518</v>
      </c>
      <c r="W6664" t="s">
        <v>41568</v>
      </c>
      <c r="X6664" t="s">
        <v>43175</v>
      </c>
    </row>
    <row r="6665" spans="1:24">
      <c r="A6665">
        <f>HYPERLINK("https://www.philgeps.gov.ph/GEPSNONPILOT/Tender/SplashBidNoticeAbstractUI.aspx?menuIndex=3&amp;refID=7074748&amp;Result=3","7074748")</f>
        <v>0</v>
      </c>
      <c r="B6665" t="s">
        <v>2120</v>
      </c>
      <c r="C6665" t="s">
        <v>9765</v>
      </c>
      <c r="D6665" t="s">
        <v>17474</v>
      </c>
      <c r="E6665" t="s">
        <v>17892</v>
      </c>
      <c r="F6665" t="s">
        <v>30052</v>
      </c>
      <c r="G6665" t="s">
        <v>30058</v>
      </c>
      <c r="H6665" t="s">
        <v>15498</v>
      </c>
      <c r="I6665" t="s">
        <v>30106</v>
      </c>
      <c r="J6665" t="s">
        <v>34354</v>
      </c>
      <c r="K6665" t="s">
        <v>39029</v>
      </c>
      <c r="M6665" t="s">
        <v>41582</v>
      </c>
      <c r="N6665" t="s">
        <v>43166</v>
      </c>
      <c r="O6665" t="s">
        <v>43167</v>
      </c>
      <c r="P6665">
        <v>0</v>
      </c>
      <c r="Q6665">
        <v>0</v>
      </c>
      <c r="R6665" t="s">
        <v>43173</v>
      </c>
      <c r="S6665" t="s">
        <v>43374</v>
      </c>
      <c r="T6665" t="s">
        <v>44758</v>
      </c>
      <c r="U6665" t="s">
        <v>50595</v>
      </c>
      <c r="V6665" t="s">
        <v>56856</v>
      </c>
      <c r="W6665" t="s">
        <v>41582</v>
      </c>
      <c r="X6665" t="s">
        <v>43175</v>
      </c>
    </row>
    <row r="6666" spans="1:24">
      <c r="A6666">
        <f>HYPERLINK("https://www.philgeps.gov.ph/GEPSNONPILOT/Tender/SplashBidNoticeAbstractUI.aspx?menuIndex=3&amp;refID=7074249&amp;Result=3","7074249")</f>
        <v>0</v>
      </c>
      <c r="B6666" t="s">
        <v>2106</v>
      </c>
      <c r="C6666" t="s">
        <v>9766</v>
      </c>
      <c r="D6666" t="s">
        <v>17437</v>
      </c>
      <c r="E6666" t="s">
        <v>23268</v>
      </c>
      <c r="F6666" t="s">
        <v>30052</v>
      </c>
      <c r="G6666" t="s">
        <v>30058</v>
      </c>
      <c r="H6666" t="s">
        <v>30067</v>
      </c>
      <c r="I6666" t="s">
        <v>3693</v>
      </c>
      <c r="J6666" t="s">
        <v>34353</v>
      </c>
      <c r="K6666" t="s">
        <v>39023</v>
      </c>
      <c r="M6666" t="s">
        <v>41568</v>
      </c>
      <c r="N6666" t="s">
        <v>43166</v>
      </c>
      <c r="O6666" t="s">
        <v>43167</v>
      </c>
      <c r="P6666">
        <v>0</v>
      </c>
      <c r="Q6666">
        <v>1</v>
      </c>
      <c r="R6666" t="s">
        <v>43173</v>
      </c>
      <c r="S6666" t="s">
        <v>43374</v>
      </c>
      <c r="T6666" t="s">
        <v>44710</v>
      </c>
      <c r="U6666" t="s">
        <v>50594</v>
      </c>
      <c r="V6666" t="s">
        <v>57518</v>
      </c>
      <c r="W6666" t="s">
        <v>41568</v>
      </c>
      <c r="X6666" t="s">
        <v>43175</v>
      </c>
    </row>
    <row r="6667" spans="1:24">
      <c r="A6667">
        <f>HYPERLINK("https://www.philgeps.gov.ph/GEPSNONPILOT/Tender/SplashBidNoticeAbstractUI.aspx?menuIndex=3&amp;refID=7075050&amp;Result=3","7075050")</f>
        <v>0</v>
      </c>
      <c r="B6667" t="s">
        <v>2090</v>
      </c>
      <c r="C6667" t="s">
        <v>9767</v>
      </c>
      <c r="D6667" t="s">
        <v>17415</v>
      </c>
      <c r="E6667" t="s">
        <v>18184</v>
      </c>
      <c r="F6667" t="s">
        <v>30052</v>
      </c>
      <c r="G6667" t="s">
        <v>30058</v>
      </c>
      <c r="H6667" t="s">
        <v>30069</v>
      </c>
      <c r="I6667" t="s">
        <v>3852</v>
      </c>
      <c r="J6667" t="s">
        <v>34355</v>
      </c>
      <c r="K6667" t="s">
        <v>39019</v>
      </c>
      <c r="M6667" t="s">
        <v>41551</v>
      </c>
      <c r="N6667" t="s">
        <v>43166</v>
      </c>
      <c r="O6667" t="s">
        <v>43167</v>
      </c>
      <c r="P6667">
        <v>0</v>
      </c>
      <c r="Q6667">
        <v>1</v>
      </c>
      <c r="R6667" t="s">
        <v>43173</v>
      </c>
      <c r="S6667" t="s">
        <v>43374</v>
      </c>
      <c r="T6667" t="s">
        <v>44788</v>
      </c>
      <c r="U6667" t="s">
        <v>50596</v>
      </c>
      <c r="W6667" t="s">
        <v>41551</v>
      </c>
      <c r="X6667" t="s">
        <v>43175</v>
      </c>
    </row>
    <row r="6668" spans="1:24">
      <c r="A6668">
        <f>HYPERLINK("https://www.philgeps.gov.ph/GEPSNONPILOT/Tender/SplashBidNoticeAbstractUI.aspx?menuIndex=3&amp;refID=7076102&amp;Result=3","7076102")</f>
        <v>0</v>
      </c>
      <c r="B6668" t="s">
        <v>1615</v>
      </c>
      <c r="C6668" t="s">
        <v>3971</v>
      </c>
      <c r="E6668" t="s">
        <v>23269</v>
      </c>
      <c r="F6668" t="s">
        <v>30052</v>
      </c>
      <c r="G6668" t="s">
        <v>30064</v>
      </c>
      <c r="H6668" t="s">
        <v>15498</v>
      </c>
      <c r="I6668" t="s">
        <v>30070</v>
      </c>
      <c r="J6668" t="s">
        <v>31997</v>
      </c>
      <c r="K6668" t="s">
        <v>39034</v>
      </c>
      <c r="M6668" t="s">
        <v>41015</v>
      </c>
      <c r="N6668" t="s">
        <v>43166</v>
      </c>
      <c r="O6668" t="s">
        <v>43167</v>
      </c>
      <c r="P6668">
        <v>0</v>
      </c>
      <c r="Q6668">
        <v>0</v>
      </c>
      <c r="R6668" t="s">
        <v>43173</v>
      </c>
      <c r="S6668" t="s">
        <v>43374</v>
      </c>
      <c r="T6668" t="s">
        <v>44735</v>
      </c>
      <c r="U6668" t="s">
        <v>50597</v>
      </c>
      <c r="W6668" t="s">
        <v>41015</v>
      </c>
      <c r="X6668" t="s">
        <v>43174</v>
      </c>
    </row>
    <row r="6669" spans="1:24">
      <c r="A6669">
        <f>HYPERLINK("https://www.philgeps.gov.ph/GEPSNONPILOT/Tender/SplashBidNoticeAbstractUI.aspx?menuIndex=3&amp;refID=7074327&amp;Result=3","7074327")</f>
        <v>0</v>
      </c>
      <c r="B6669" t="s">
        <v>2106</v>
      </c>
      <c r="C6669" t="s">
        <v>9768</v>
      </c>
      <c r="D6669" t="s">
        <v>17437</v>
      </c>
      <c r="E6669" t="s">
        <v>23270</v>
      </c>
      <c r="F6669" t="s">
        <v>30052</v>
      </c>
      <c r="G6669" t="s">
        <v>30058</v>
      </c>
      <c r="H6669" t="s">
        <v>30067</v>
      </c>
      <c r="I6669" t="s">
        <v>3693</v>
      </c>
      <c r="J6669" t="s">
        <v>34326</v>
      </c>
      <c r="K6669" t="s">
        <v>39026</v>
      </c>
      <c r="M6669" t="s">
        <v>41568</v>
      </c>
      <c r="N6669" t="s">
        <v>43166</v>
      </c>
      <c r="O6669" t="s">
        <v>43167</v>
      </c>
      <c r="P6669">
        <v>0</v>
      </c>
      <c r="Q6669">
        <v>0</v>
      </c>
      <c r="R6669" t="s">
        <v>43173</v>
      </c>
      <c r="S6669" t="s">
        <v>43374</v>
      </c>
      <c r="T6669" t="s">
        <v>44710</v>
      </c>
      <c r="U6669" t="s">
        <v>50598</v>
      </c>
      <c r="V6669" t="s">
        <v>57516</v>
      </c>
      <c r="W6669" t="s">
        <v>41568</v>
      </c>
      <c r="X6669" t="s">
        <v>43175</v>
      </c>
    </row>
    <row r="6670" spans="1:24">
      <c r="A6670">
        <f>HYPERLINK("https://www.philgeps.gov.ph/GEPSNONPILOT/Tender/SplashBidNoticeAbstractUI.aspx?menuIndex=3&amp;refID=7074999&amp;Result=3","7074999")</f>
        <v>0</v>
      </c>
      <c r="B6670" t="s">
        <v>2119</v>
      </c>
      <c r="C6670" t="s">
        <v>9769</v>
      </c>
      <c r="D6670" t="s">
        <v>17419</v>
      </c>
      <c r="E6670" t="s">
        <v>23271</v>
      </c>
      <c r="F6670" t="s">
        <v>30052</v>
      </c>
      <c r="G6670" t="s">
        <v>30058</v>
      </c>
      <c r="H6670" t="s">
        <v>30068</v>
      </c>
      <c r="I6670" t="s">
        <v>30068</v>
      </c>
      <c r="J6670" t="s">
        <v>34356</v>
      </c>
      <c r="K6670" t="s">
        <v>39029</v>
      </c>
      <c r="M6670" t="s">
        <v>41581</v>
      </c>
      <c r="N6670" t="s">
        <v>43166</v>
      </c>
      <c r="O6670" t="s">
        <v>43167</v>
      </c>
      <c r="P6670">
        <v>0</v>
      </c>
      <c r="Q6670">
        <v>4</v>
      </c>
      <c r="R6670" t="s">
        <v>43173</v>
      </c>
      <c r="S6670" t="s">
        <v>43374</v>
      </c>
      <c r="T6670" t="s">
        <v>44842</v>
      </c>
      <c r="U6670" t="s">
        <v>50599</v>
      </c>
      <c r="V6670" t="s">
        <v>57522</v>
      </c>
      <c r="W6670" t="s">
        <v>41581</v>
      </c>
      <c r="X6670" t="s">
        <v>43175</v>
      </c>
    </row>
    <row r="6671" spans="1:24">
      <c r="A6671">
        <f>HYPERLINK("https://www.philgeps.gov.ph/GEPSNONPILOT/Tender/SplashBidNoticeAbstractUI.aspx?menuIndex=3&amp;refID=7076099&amp;Result=3","7076099")</f>
        <v>0</v>
      </c>
      <c r="B6671" t="s">
        <v>2079</v>
      </c>
      <c r="C6671" t="s">
        <v>9770</v>
      </c>
      <c r="D6671" t="s">
        <v>17451</v>
      </c>
      <c r="E6671" t="s">
        <v>23272</v>
      </c>
      <c r="F6671" t="s">
        <v>30052</v>
      </c>
      <c r="G6671" t="s">
        <v>30061</v>
      </c>
      <c r="H6671" t="s">
        <v>15498</v>
      </c>
      <c r="I6671" t="s">
        <v>30096</v>
      </c>
      <c r="J6671" t="s">
        <v>32713</v>
      </c>
      <c r="K6671" t="s">
        <v>39017</v>
      </c>
      <c r="M6671" t="s">
        <v>41583</v>
      </c>
      <c r="N6671" t="s">
        <v>43166</v>
      </c>
      <c r="O6671" t="s">
        <v>43167</v>
      </c>
      <c r="P6671">
        <v>0</v>
      </c>
      <c r="Q6671">
        <v>7</v>
      </c>
      <c r="R6671" t="s">
        <v>43173</v>
      </c>
      <c r="S6671" t="s">
        <v>43374</v>
      </c>
      <c r="T6671" t="s">
        <v>44777</v>
      </c>
      <c r="U6671" t="s">
        <v>50600</v>
      </c>
      <c r="W6671" t="s">
        <v>41583</v>
      </c>
      <c r="X6671" t="s">
        <v>43174</v>
      </c>
    </row>
    <row r="6672" spans="1:24">
      <c r="A6672">
        <f>HYPERLINK("https://www.philgeps.gov.ph/GEPSNONPILOT/Tender/SplashBidNoticeAbstractUI.aspx?menuIndex=3&amp;refID=7074813&amp;Result=3","7074813")</f>
        <v>0</v>
      </c>
      <c r="B6672" t="s">
        <v>2110</v>
      </c>
      <c r="C6672" t="s">
        <v>9771</v>
      </c>
      <c r="D6672" t="s">
        <v>17463</v>
      </c>
      <c r="E6672" t="s">
        <v>23273</v>
      </c>
      <c r="F6672" t="s">
        <v>30052</v>
      </c>
      <c r="G6672" t="s">
        <v>30059</v>
      </c>
      <c r="H6672" t="s">
        <v>15498</v>
      </c>
      <c r="I6672" t="s">
        <v>3736</v>
      </c>
      <c r="J6672" t="s">
        <v>30337</v>
      </c>
      <c r="K6672" t="s">
        <v>39025</v>
      </c>
      <c r="M6672" t="s">
        <v>41572</v>
      </c>
      <c r="N6672" t="s">
        <v>43166</v>
      </c>
      <c r="O6672" t="s">
        <v>43167</v>
      </c>
      <c r="P6672">
        <v>0</v>
      </c>
      <c r="Q6672">
        <v>0</v>
      </c>
      <c r="R6672" t="s">
        <v>43173</v>
      </c>
      <c r="S6672" t="s">
        <v>43374</v>
      </c>
      <c r="T6672" t="s">
        <v>44844</v>
      </c>
      <c r="U6672" t="s">
        <v>50601</v>
      </c>
      <c r="W6672" t="s">
        <v>41572</v>
      </c>
      <c r="X6672" t="s">
        <v>43175</v>
      </c>
    </row>
    <row r="6673" spans="1:24">
      <c r="A6673">
        <f>HYPERLINK("https://www.philgeps.gov.ph/GEPSNONPILOT/Tender/SplashBidNoticeAbstractUI.aspx?menuIndex=3&amp;refID=7076098&amp;Result=3","7076098")</f>
        <v>0</v>
      </c>
      <c r="B6673" t="s">
        <v>2079</v>
      </c>
      <c r="C6673" t="s">
        <v>9772</v>
      </c>
      <c r="D6673" t="s">
        <v>17451</v>
      </c>
      <c r="E6673" t="s">
        <v>23274</v>
      </c>
      <c r="F6673" t="s">
        <v>30052</v>
      </c>
      <c r="G6673" t="s">
        <v>30058</v>
      </c>
      <c r="H6673" t="s">
        <v>30067</v>
      </c>
      <c r="I6673" t="s">
        <v>3693</v>
      </c>
      <c r="J6673" t="s">
        <v>34357</v>
      </c>
      <c r="K6673" t="s">
        <v>39038</v>
      </c>
      <c r="M6673" t="s">
        <v>41583</v>
      </c>
      <c r="N6673" t="s">
        <v>43166</v>
      </c>
      <c r="O6673" t="s">
        <v>43167</v>
      </c>
      <c r="P6673">
        <v>0</v>
      </c>
      <c r="Q6673">
        <v>0</v>
      </c>
      <c r="R6673" t="s">
        <v>43173</v>
      </c>
      <c r="S6673" t="s">
        <v>43374</v>
      </c>
      <c r="T6673" t="s">
        <v>44773</v>
      </c>
      <c r="U6673" t="s">
        <v>50602</v>
      </c>
      <c r="W6673" t="s">
        <v>41583</v>
      </c>
      <c r="X6673" t="s">
        <v>43174</v>
      </c>
    </row>
    <row r="6674" spans="1:24">
      <c r="A6674">
        <f>HYPERLINK("https://www.philgeps.gov.ph/GEPSNONPILOT/Tender/SplashBidNoticeAbstractUI.aspx?menuIndex=3&amp;refID=7076094&amp;Result=3","7076094")</f>
        <v>0</v>
      </c>
      <c r="B6674" t="s">
        <v>560</v>
      </c>
      <c r="C6674" t="s">
        <v>9773</v>
      </c>
      <c r="D6674" t="s">
        <v>17443</v>
      </c>
      <c r="E6674" t="s">
        <v>21156</v>
      </c>
      <c r="F6674" t="s">
        <v>30052</v>
      </c>
      <c r="G6674" t="s">
        <v>30058</v>
      </c>
      <c r="H6674" t="s">
        <v>15498</v>
      </c>
      <c r="I6674" t="s">
        <v>30103</v>
      </c>
      <c r="J6674" t="s">
        <v>34358</v>
      </c>
      <c r="K6674" t="s">
        <v>39029</v>
      </c>
      <c r="M6674" t="s">
        <v>39862</v>
      </c>
      <c r="N6674" t="s">
        <v>43166</v>
      </c>
      <c r="O6674" t="s">
        <v>43167</v>
      </c>
      <c r="P6674">
        <v>0</v>
      </c>
      <c r="Q6674">
        <v>3</v>
      </c>
      <c r="R6674" t="s">
        <v>43173</v>
      </c>
      <c r="S6674" t="s">
        <v>43374</v>
      </c>
      <c r="T6674" t="s">
        <v>44832</v>
      </c>
      <c r="U6674" t="s">
        <v>50603</v>
      </c>
      <c r="V6674" t="s">
        <v>57523</v>
      </c>
      <c r="W6674" t="s">
        <v>39862</v>
      </c>
      <c r="X6674" t="s">
        <v>43174</v>
      </c>
    </row>
    <row r="6675" spans="1:24">
      <c r="A6675">
        <f>HYPERLINK("https://www.philgeps.gov.ph/GEPSNONPILOT/Tender/SplashBidNoticeAbstractUI.aspx?menuIndex=3&amp;refID=7076091&amp;Result=3","7076091")</f>
        <v>0</v>
      </c>
      <c r="B6675" t="s">
        <v>1874</v>
      </c>
      <c r="C6675" t="s">
        <v>9774</v>
      </c>
      <c r="D6675" t="s">
        <v>17441</v>
      </c>
      <c r="E6675" t="s">
        <v>23275</v>
      </c>
      <c r="F6675" t="s">
        <v>30052</v>
      </c>
      <c r="G6675" t="s">
        <v>30058</v>
      </c>
      <c r="H6675" t="s">
        <v>30067</v>
      </c>
      <c r="I6675" t="s">
        <v>3693</v>
      </c>
      <c r="J6675" t="s">
        <v>34359</v>
      </c>
      <c r="K6675" t="s">
        <v>39180</v>
      </c>
      <c r="M6675" t="s">
        <v>41305</v>
      </c>
      <c r="N6675" t="s">
        <v>43166</v>
      </c>
      <c r="O6675" t="s">
        <v>43167</v>
      </c>
      <c r="P6675">
        <v>0</v>
      </c>
      <c r="Q6675">
        <v>10</v>
      </c>
      <c r="R6675" t="s">
        <v>43173</v>
      </c>
      <c r="S6675" t="s">
        <v>43374</v>
      </c>
      <c r="T6675" t="s">
        <v>44758</v>
      </c>
      <c r="U6675" t="s">
        <v>50604</v>
      </c>
      <c r="V6675" t="s">
        <v>57428</v>
      </c>
      <c r="W6675" t="s">
        <v>41305</v>
      </c>
      <c r="X6675" t="s">
        <v>43174</v>
      </c>
    </row>
    <row r="6676" spans="1:24">
      <c r="A6676">
        <f>HYPERLINK("https://www.philgeps.gov.ph/GEPSNONPILOT/Tender/SplashBidNoticeAbstractUI.aspx?menuIndex=3&amp;refID=7075088&amp;Result=3","7075088")</f>
        <v>0</v>
      </c>
      <c r="B6676" t="s">
        <v>390</v>
      </c>
      <c r="C6676" t="s">
        <v>9775</v>
      </c>
      <c r="D6676" t="s">
        <v>17415</v>
      </c>
      <c r="E6676" t="s">
        <v>23276</v>
      </c>
      <c r="F6676" t="s">
        <v>30052</v>
      </c>
      <c r="G6676" t="s">
        <v>30058</v>
      </c>
      <c r="H6676" t="s">
        <v>15498</v>
      </c>
      <c r="I6676" t="s">
        <v>30084</v>
      </c>
      <c r="J6676" t="s">
        <v>34360</v>
      </c>
      <c r="K6676" t="s">
        <v>39146</v>
      </c>
      <c r="M6676" t="s">
        <v>41584</v>
      </c>
      <c r="N6676" t="s">
        <v>43166</v>
      </c>
      <c r="O6676" t="s">
        <v>43167</v>
      </c>
      <c r="P6676">
        <v>0</v>
      </c>
      <c r="Q6676">
        <v>7</v>
      </c>
      <c r="R6676" t="s">
        <v>43173</v>
      </c>
      <c r="S6676" t="s">
        <v>43374</v>
      </c>
      <c r="T6676" t="s">
        <v>44725</v>
      </c>
      <c r="U6676" t="s">
        <v>50605</v>
      </c>
      <c r="V6676" t="s">
        <v>57524</v>
      </c>
      <c r="W6676" t="s">
        <v>41584</v>
      </c>
      <c r="X6676" t="s">
        <v>43175</v>
      </c>
    </row>
    <row r="6677" spans="1:24">
      <c r="A6677">
        <f>HYPERLINK("https://www.philgeps.gov.ph/GEPSNONPILOT/Tender/SplashBidNoticeAbstractUI.aspx?menuIndex=3&amp;refID=7076090&amp;Result=3","7076090")</f>
        <v>0</v>
      </c>
      <c r="B6677" t="s">
        <v>2121</v>
      </c>
      <c r="C6677" t="s">
        <v>9776</v>
      </c>
      <c r="D6677" t="s">
        <v>17415</v>
      </c>
      <c r="E6677" t="s">
        <v>17779</v>
      </c>
      <c r="F6677" t="s">
        <v>30052</v>
      </c>
      <c r="G6677" t="s">
        <v>30058</v>
      </c>
      <c r="H6677" t="s">
        <v>30069</v>
      </c>
      <c r="I6677" t="s">
        <v>30074</v>
      </c>
      <c r="J6677" t="s">
        <v>34361</v>
      </c>
      <c r="K6677" t="s">
        <v>39034</v>
      </c>
      <c r="M6677" t="s">
        <v>41585</v>
      </c>
      <c r="N6677" t="s">
        <v>43166</v>
      </c>
      <c r="O6677" t="s">
        <v>43167</v>
      </c>
      <c r="P6677">
        <v>0</v>
      </c>
      <c r="Q6677">
        <v>5</v>
      </c>
      <c r="R6677" t="s">
        <v>43173</v>
      </c>
      <c r="S6677" t="s">
        <v>43374</v>
      </c>
      <c r="T6677" t="s">
        <v>44764</v>
      </c>
      <c r="U6677" t="s">
        <v>50606</v>
      </c>
      <c r="W6677" t="s">
        <v>41585</v>
      </c>
      <c r="X6677" t="s">
        <v>43174</v>
      </c>
    </row>
    <row r="6678" spans="1:24">
      <c r="A6678">
        <f>HYPERLINK("https://www.philgeps.gov.ph/GEPSNONPILOT/Tender/SplashBidNoticeAbstractUI.aspx?menuIndex=3&amp;refID=7076089&amp;Result=3","7076089")</f>
        <v>0</v>
      </c>
      <c r="B6678" t="s">
        <v>2122</v>
      </c>
      <c r="C6678" t="s">
        <v>9777</v>
      </c>
      <c r="D6678" t="s">
        <v>17459</v>
      </c>
      <c r="E6678" t="s">
        <v>23277</v>
      </c>
      <c r="F6678" t="s">
        <v>30052</v>
      </c>
      <c r="G6678" t="s">
        <v>30058</v>
      </c>
      <c r="H6678" t="s">
        <v>30067</v>
      </c>
      <c r="I6678" t="s">
        <v>3693</v>
      </c>
      <c r="J6678" t="s">
        <v>34362</v>
      </c>
      <c r="K6678" t="s">
        <v>39032</v>
      </c>
      <c r="M6678" t="s">
        <v>41586</v>
      </c>
      <c r="N6678" t="s">
        <v>43166</v>
      </c>
      <c r="O6678" t="s">
        <v>43167</v>
      </c>
      <c r="P6678">
        <v>0</v>
      </c>
      <c r="Q6678">
        <v>0</v>
      </c>
      <c r="R6678" t="s">
        <v>43173</v>
      </c>
      <c r="S6678" t="s">
        <v>43374</v>
      </c>
      <c r="T6678" t="s">
        <v>44705</v>
      </c>
      <c r="U6678" t="s">
        <v>50607</v>
      </c>
      <c r="W6678" t="s">
        <v>41586</v>
      </c>
      <c r="X6678" t="s">
        <v>43174</v>
      </c>
    </row>
    <row r="6679" spans="1:24">
      <c r="A6679">
        <f>HYPERLINK("https://www.philgeps.gov.ph/GEPSNONPILOT/Tender/SplashBidNoticeAbstractUI.aspx?menuIndex=3&amp;refID=7076087&amp;Result=3","7076087")</f>
        <v>0</v>
      </c>
      <c r="B6679" t="s">
        <v>2123</v>
      </c>
      <c r="C6679" t="s">
        <v>9778</v>
      </c>
      <c r="D6679" t="s">
        <v>17414</v>
      </c>
      <c r="E6679" t="s">
        <v>23278</v>
      </c>
      <c r="F6679" t="s">
        <v>30052</v>
      </c>
      <c r="G6679" t="s">
        <v>30059</v>
      </c>
      <c r="H6679" t="s">
        <v>15498</v>
      </c>
      <c r="I6679" t="s">
        <v>30081</v>
      </c>
      <c r="J6679" t="s">
        <v>34363</v>
      </c>
      <c r="K6679" t="s">
        <v>39029</v>
      </c>
      <c r="M6679" t="s">
        <v>41587</v>
      </c>
      <c r="N6679" t="s">
        <v>43166</v>
      </c>
      <c r="O6679" t="s">
        <v>43167</v>
      </c>
      <c r="P6679">
        <v>0</v>
      </c>
      <c r="Q6679">
        <v>2</v>
      </c>
      <c r="R6679" t="s">
        <v>43173</v>
      </c>
      <c r="S6679" t="s">
        <v>43374</v>
      </c>
      <c r="T6679" t="s">
        <v>44717</v>
      </c>
      <c r="U6679" t="s">
        <v>50608</v>
      </c>
      <c r="V6679" t="s">
        <v>57525</v>
      </c>
      <c r="W6679" t="s">
        <v>41587</v>
      </c>
      <c r="X6679" t="s">
        <v>43174</v>
      </c>
    </row>
    <row r="6680" spans="1:24">
      <c r="A6680">
        <f>HYPERLINK("https://www.philgeps.gov.ph/GEPSNONPILOT/Tender/SplashBidNoticeAbstractUI.aspx?menuIndex=3&amp;refID=7076086&amp;Result=3","7076086")</f>
        <v>0</v>
      </c>
      <c r="B6680" t="s">
        <v>2123</v>
      </c>
      <c r="C6680" t="s">
        <v>9779</v>
      </c>
      <c r="D6680" t="s">
        <v>17414</v>
      </c>
      <c r="E6680" t="s">
        <v>23279</v>
      </c>
      <c r="F6680" t="s">
        <v>30052</v>
      </c>
      <c r="G6680" t="s">
        <v>30059</v>
      </c>
      <c r="H6680" t="s">
        <v>15498</v>
      </c>
      <c r="I6680" t="s">
        <v>3736</v>
      </c>
      <c r="J6680" t="s">
        <v>34364</v>
      </c>
      <c r="K6680" t="s">
        <v>39029</v>
      </c>
      <c r="M6680" t="s">
        <v>41587</v>
      </c>
      <c r="N6680" t="s">
        <v>43166</v>
      </c>
      <c r="O6680" t="s">
        <v>43167</v>
      </c>
      <c r="P6680">
        <v>0</v>
      </c>
      <c r="Q6680">
        <v>1</v>
      </c>
      <c r="R6680" t="s">
        <v>43173</v>
      </c>
      <c r="S6680" t="s">
        <v>43374</v>
      </c>
      <c r="T6680" t="s">
        <v>44717</v>
      </c>
      <c r="U6680" t="s">
        <v>50609</v>
      </c>
      <c r="V6680" t="s">
        <v>57525</v>
      </c>
      <c r="W6680" t="s">
        <v>41587</v>
      </c>
      <c r="X6680" t="s">
        <v>43175</v>
      </c>
    </row>
    <row r="6681" spans="1:24">
      <c r="A6681">
        <f>HYPERLINK("https://www.philgeps.gov.ph/GEPSNONPILOT/Tender/SplashBidNoticeAbstractUI.aspx?menuIndex=3&amp;refID=7076084&amp;Result=3","7076084")</f>
        <v>0</v>
      </c>
      <c r="B6681" t="s">
        <v>2123</v>
      </c>
      <c r="C6681" t="s">
        <v>9780</v>
      </c>
      <c r="D6681" t="s">
        <v>17414</v>
      </c>
      <c r="E6681" t="s">
        <v>23280</v>
      </c>
      <c r="F6681" t="s">
        <v>30052</v>
      </c>
      <c r="G6681" t="s">
        <v>30059</v>
      </c>
      <c r="H6681" t="s">
        <v>15498</v>
      </c>
      <c r="I6681" t="s">
        <v>3736</v>
      </c>
      <c r="J6681" t="s">
        <v>34365</v>
      </c>
      <c r="K6681" t="s">
        <v>39029</v>
      </c>
      <c r="M6681" t="s">
        <v>41587</v>
      </c>
      <c r="N6681" t="s">
        <v>43166</v>
      </c>
      <c r="O6681" t="s">
        <v>43167</v>
      </c>
      <c r="P6681">
        <v>0</v>
      </c>
      <c r="Q6681">
        <v>1</v>
      </c>
      <c r="R6681" t="s">
        <v>43173</v>
      </c>
      <c r="S6681" t="s">
        <v>43374</v>
      </c>
      <c r="T6681" t="s">
        <v>44717</v>
      </c>
      <c r="U6681" t="s">
        <v>50610</v>
      </c>
      <c r="V6681" t="s">
        <v>57525</v>
      </c>
      <c r="W6681" t="s">
        <v>41587</v>
      </c>
      <c r="X6681" t="s">
        <v>43175</v>
      </c>
    </row>
    <row r="6682" spans="1:24">
      <c r="A6682">
        <f>HYPERLINK("https://www.philgeps.gov.ph/GEPSNONPILOT/Tender/SplashBidNoticeAbstractUI.aspx?menuIndex=3&amp;refID=7076092&amp;Result=3","7076092")</f>
        <v>0</v>
      </c>
      <c r="B6682" t="s">
        <v>2123</v>
      </c>
      <c r="C6682" t="s">
        <v>9781</v>
      </c>
      <c r="D6682" t="s">
        <v>17414</v>
      </c>
      <c r="E6682" t="s">
        <v>23281</v>
      </c>
      <c r="F6682" t="s">
        <v>30052</v>
      </c>
      <c r="G6682" t="s">
        <v>30058</v>
      </c>
      <c r="H6682" t="s">
        <v>15498</v>
      </c>
      <c r="I6682" t="s">
        <v>3736</v>
      </c>
      <c r="J6682" t="s">
        <v>34366</v>
      </c>
      <c r="K6682" t="s">
        <v>39029</v>
      </c>
      <c r="M6682" t="s">
        <v>41587</v>
      </c>
      <c r="N6682" t="s">
        <v>43166</v>
      </c>
      <c r="O6682" t="s">
        <v>43167</v>
      </c>
      <c r="P6682">
        <v>0</v>
      </c>
      <c r="Q6682">
        <v>1</v>
      </c>
      <c r="R6682" t="s">
        <v>43173</v>
      </c>
      <c r="S6682" t="s">
        <v>43374</v>
      </c>
      <c r="T6682" t="s">
        <v>44716</v>
      </c>
      <c r="U6682" t="s">
        <v>50611</v>
      </c>
      <c r="V6682" t="s">
        <v>56838</v>
      </c>
      <c r="W6682" t="s">
        <v>41587</v>
      </c>
      <c r="X6682" t="s">
        <v>43174</v>
      </c>
    </row>
    <row r="6683" spans="1:24">
      <c r="A6683">
        <f>HYPERLINK("https://www.philgeps.gov.ph/GEPSNONPILOT/Tender/SplashBidNoticeAbstractUI.aspx?menuIndex=3&amp;refID=7076103&amp;Result=3","7076103")</f>
        <v>0</v>
      </c>
      <c r="B6683" t="s">
        <v>2124</v>
      </c>
      <c r="C6683" t="s">
        <v>9782</v>
      </c>
      <c r="D6683" t="s">
        <v>17458</v>
      </c>
      <c r="E6683" t="s">
        <v>18907</v>
      </c>
      <c r="F6683" t="s">
        <v>30052</v>
      </c>
      <c r="G6683" t="s">
        <v>30061</v>
      </c>
      <c r="H6683" t="s">
        <v>15498</v>
      </c>
      <c r="I6683" t="s">
        <v>30085</v>
      </c>
      <c r="J6683" t="s">
        <v>34367</v>
      </c>
      <c r="K6683" t="s">
        <v>39017</v>
      </c>
      <c r="M6683" t="s">
        <v>41588</v>
      </c>
      <c r="N6683" t="s">
        <v>43166</v>
      </c>
      <c r="O6683" t="s">
        <v>43167</v>
      </c>
      <c r="P6683">
        <v>0</v>
      </c>
      <c r="Q6683">
        <v>0</v>
      </c>
      <c r="R6683" t="s">
        <v>43173</v>
      </c>
      <c r="S6683" t="s">
        <v>43374</v>
      </c>
      <c r="T6683" t="s">
        <v>44734</v>
      </c>
      <c r="U6683" t="s">
        <v>45987</v>
      </c>
      <c r="W6683" t="s">
        <v>41588</v>
      </c>
      <c r="X6683" t="s">
        <v>43174</v>
      </c>
    </row>
    <row r="6684" spans="1:24">
      <c r="A6684">
        <f>HYPERLINK("https://www.philgeps.gov.ph/GEPSNONPILOT/Tender/SplashBidNoticeAbstractUI.aspx?menuIndex=3&amp;refID=7076088&amp;Result=3","7076088")</f>
        <v>0</v>
      </c>
      <c r="B6684" t="s">
        <v>2125</v>
      </c>
      <c r="C6684" t="s">
        <v>9783</v>
      </c>
      <c r="D6684" t="s">
        <v>17491</v>
      </c>
      <c r="E6684" t="s">
        <v>18233</v>
      </c>
      <c r="F6684" t="s">
        <v>30052</v>
      </c>
      <c r="G6684" t="s">
        <v>30058</v>
      </c>
      <c r="H6684" t="s">
        <v>30067</v>
      </c>
      <c r="I6684" t="s">
        <v>3693</v>
      </c>
      <c r="J6684" t="s">
        <v>34368</v>
      </c>
      <c r="K6684" t="s">
        <v>39026</v>
      </c>
      <c r="M6684" t="s">
        <v>41589</v>
      </c>
      <c r="N6684" t="s">
        <v>43166</v>
      </c>
      <c r="O6684" t="s">
        <v>43167</v>
      </c>
      <c r="P6684">
        <v>0</v>
      </c>
      <c r="Q6684">
        <v>1</v>
      </c>
      <c r="R6684" t="s">
        <v>43173</v>
      </c>
      <c r="S6684" t="s">
        <v>43374</v>
      </c>
      <c r="T6684" t="s">
        <v>44905</v>
      </c>
      <c r="U6684" t="s">
        <v>50612</v>
      </c>
      <c r="W6684" t="s">
        <v>41589</v>
      </c>
      <c r="X6684" t="s">
        <v>43174</v>
      </c>
    </row>
    <row r="6685" spans="1:24">
      <c r="A6685">
        <f>HYPERLINK("https://www.philgeps.gov.ph/GEPSNONPILOT/Tender/SplashBidNoticeAbstractUI.aspx?menuIndex=3&amp;refID=7076069&amp;Result=3","7076069")</f>
        <v>0</v>
      </c>
      <c r="B6685" t="s">
        <v>2123</v>
      </c>
      <c r="C6685" t="s">
        <v>9784</v>
      </c>
      <c r="D6685" t="s">
        <v>17414</v>
      </c>
      <c r="E6685" t="s">
        <v>23282</v>
      </c>
      <c r="F6685" t="s">
        <v>30052</v>
      </c>
      <c r="G6685" t="s">
        <v>30059</v>
      </c>
      <c r="H6685" t="s">
        <v>15498</v>
      </c>
      <c r="I6685" t="s">
        <v>30070</v>
      </c>
      <c r="J6685" t="s">
        <v>34369</v>
      </c>
      <c r="K6685" t="s">
        <v>39029</v>
      </c>
      <c r="M6685" t="s">
        <v>41587</v>
      </c>
      <c r="N6685" t="s">
        <v>43166</v>
      </c>
      <c r="O6685" t="s">
        <v>43167</v>
      </c>
      <c r="P6685">
        <v>0</v>
      </c>
      <c r="Q6685">
        <v>1</v>
      </c>
      <c r="R6685" t="s">
        <v>43173</v>
      </c>
      <c r="S6685" t="s">
        <v>43374</v>
      </c>
      <c r="T6685" t="s">
        <v>44717</v>
      </c>
      <c r="U6685" t="s">
        <v>50613</v>
      </c>
      <c r="V6685" t="s">
        <v>56838</v>
      </c>
      <c r="W6685" t="s">
        <v>41587</v>
      </c>
      <c r="X6685" t="s">
        <v>43175</v>
      </c>
    </row>
    <row r="6686" spans="1:24">
      <c r="A6686">
        <f>HYPERLINK("https://www.philgeps.gov.ph/GEPSNONPILOT/Tender/SplashBidNoticeAbstractUI.aspx?menuIndex=3&amp;refID=7076029&amp;Result=3","7076029")</f>
        <v>0</v>
      </c>
      <c r="B6686" t="s">
        <v>2126</v>
      </c>
      <c r="C6686" t="s">
        <v>9785</v>
      </c>
      <c r="D6686" t="s">
        <v>17432</v>
      </c>
      <c r="E6686" t="s">
        <v>23283</v>
      </c>
      <c r="F6686" t="s">
        <v>30052</v>
      </c>
      <c r="G6686" t="s">
        <v>30058</v>
      </c>
      <c r="H6686" t="s">
        <v>15498</v>
      </c>
      <c r="I6686" t="s">
        <v>4650</v>
      </c>
      <c r="J6686" t="s">
        <v>34370</v>
      </c>
      <c r="K6686" t="s">
        <v>39029</v>
      </c>
      <c r="M6686" t="s">
        <v>41590</v>
      </c>
      <c r="N6686" t="s">
        <v>43166</v>
      </c>
      <c r="O6686" t="s">
        <v>43167</v>
      </c>
      <c r="P6686">
        <v>0</v>
      </c>
      <c r="Q6686">
        <v>1</v>
      </c>
      <c r="R6686" t="s">
        <v>43173</v>
      </c>
      <c r="S6686" t="s">
        <v>43374</v>
      </c>
      <c r="T6686" t="s">
        <v>44991</v>
      </c>
      <c r="U6686" t="s">
        <v>50614</v>
      </c>
      <c r="V6686" t="s">
        <v>57526</v>
      </c>
      <c r="W6686" t="s">
        <v>41590</v>
      </c>
      <c r="X6686" t="s">
        <v>43175</v>
      </c>
    </row>
    <row r="6687" spans="1:24">
      <c r="A6687">
        <f>HYPERLINK("https://www.philgeps.gov.ph/GEPSNONPILOT/Tender/SplashBidNoticeAbstractUI.aspx?menuIndex=3&amp;refID=7076079&amp;Result=3","7076079")</f>
        <v>0</v>
      </c>
      <c r="B6687" t="s">
        <v>2123</v>
      </c>
      <c r="C6687" t="s">
        <v>9786</v>
      </c>
      <c r="D6687" t="s">
        <v>17414</v>
      </c>
      <c r="E6687" t="s">
        <v>23284</v>
      </c>
      <c r="F6687" t="s">
        <v>30052</v>
      </c>
      <c r="G6687" t="s">
        <v>30059</v>
      </c>
      <c r="H6687" t="s">
        <v>15498</v>
      </c>
      <c r="I6687" t="s">
        <v>30083</v>
      </c>
      <c r="J6687" t="s">
        <v>34371</v>
      </c>
      <c r="K6687" t="s">
        <v>39029</v>
      </c>
      <c r="M6687" t="s">
        <v>41587</v>
      </c>
      <c r="N6687" t="s">
        <v>43166</v>
      </c>
      <c r="O6687" t="s">
        <v>43167</v>
      </c>
      <c r="P6687">
        <v>0</v>
      </c>
      <c r="Q6687">
        <v>1</v>
      </c>
      <c r="R6687" t="s">
        <v>43173</v>
      </c>
      <c r="S6687" t="s">
        <v>43374</v>
      </c>
      <c r="T6687" t="s">
        <v>44717</v>
      </c>
      <c r="U6687" t="s">
        <v>50615</v>
      </c>
      <c r="V6687" t="s">
        <v>56838</v>
      </c>
      <c r="W6687" t="s">
        <v>41587</v>
      </c>
      <c r="X6687" t="s">
        <v>43175</v>
      </c>
    </row>
    <row r="6688" spans="1:24">
      <c r="A6688">
        <f>HYPERLINK("https://www.philgeps.gov.ph/GEPSNONPILOT/Tender/SplashBidNoticeAbstractUI.aspx?menuIndex=3&amp;refID=7074235&amp;Result=3","7074235")</f>
        <v>0</v>
      </c>
      <c r="B6688" t="s">
        <v>2090</v>
      </c>
      <c r="C6688" t="s">
        <v>9787</v>
      </c>
      <c r="D6688" t="s">
        <v>17415</v>
      </c>
      <c r="E6688" t="s">
        <v>18233</v>
      </c>
      <c r="F6688" t="s">
        <v>30052</v>
      </c>
      <c r="G6688" t="s">
        <v>30058</v>
      </c>
      <c r="H6688" t="s">
        <v>30069</v>
      </c>
      <c r="I6688" t="s">
        <v>3852</v>
      </c>
      <c r="J6688" t="s">
        <v>33322</v>
      </c>
      <c r="K6688" t="s">
        <v>39019</v>
      </c>
      <c r="M6688" t="s">
        <v>41551</v>
      </c>
      <c r="N6688" t="s">
        <v>43166</v>
      </c>
      <c r="O6688" t="s">
        <v>43167</v>
      </c>
      <c r="P6688">
        <v>0</v>
      </c>
      <c r="Q6688">
        <v>0</v>
      </c>
      <c r="R6688" t="s">
        <v>43173</v>
      </c>
      <c r="S6688" t="s">
        <v>43374</v>
      </c>
      <c r="T6688" t="s">
        <v>44763</v>
      </c>
      <c r="U6688" t="s">
        <v>50616</v>
      </c>
      <c r="W6688" t="s">
        <v>41551</v>
      </c>
      <c r="X6688" t="s">
        <v>43175</v>
      </c>
    </row>
    <row r="6689" spans="1:24">
      <c r="A6689">
        <f>HYPERLINK("https://www.philgeps.gov.ph/GEPSNONPILOT/Tender/SplashBidNoticeAbstractUI.aspx?menuIndex=3&amp;refID=7076076&amp;Result=3","7076076")</f>
        <v>0</v>
      </c>
      <c r="B6689" t="s">
        <v>2123</v>
      </c>
      <c r="C6689" t="s">
        <v>9788</v>
      </c>
      <c r="D6689" t="s">
        <v>17414</v>
      </c>
      <c r="E6689" t="s">
        <v>23285</v>
      </c>
      <c r="F6689" t="s">
        <v>30052</v>
      </c>
      <c r="G6689" t="s">
        <v>30059</v>
      </c>
      <c r="H6689" t="s">
        <v>15498</v>
      </c>
      <c r="I6689" t="s">
        <v>30073</v>
      </c>
      <c r="J6689" t="s">
        <v>34372</v>
      </c>
      <c r="K6689" t="s">
        <v>39029</v>
      </c>
      <c r="M6689" t="s">
        <v>41587</v>
      </c>
      <c r="N6689" t="s">
        <v>43166</v>
      </c>
      <c r="O6689" t="s">
        <v>43167</v>
      </c>
      <c r="P6689">
        <v>0</v>
      </c>
      <c r="Q6689">
        <v>2</v>
      </c>
      <c r="R6689" t="s">
        <v>43173</v>
      </c>
      <c r="S6689" t="s">
        <v>43374</v>
      </c>
      <c r="T6689" t="s">
        <v>44717</v>
      </c>
      <c r="U6689" t="s">
        <v>50617</v>
      </c>
      <c r="V6689" t="s">
        <v>56838</v>
      </c>
      <c r="W6689" t="s">
        <v>41587</v>
      </c>
      <c r="X6689" t="s">
        <v>43175</v>
      </c>
    </row>
    <row r="6690" spans="1:24">
      <c r="A6690">
        <f>HYPERLINK("https://www.philgeps.gov.ph/GEPSNONPILOT/Tender/SplashBidNoticeAbstractUI.aspx?menuIndex=3&amp;refID=7074233&amp;Result=3","7074233")</f>
        <v>0</v>
      </c>
      <c r="B6690" t="s">
        <v>2127</v>
      </c>
      <c r="C6690" t="s">
        <v>9789</v>
      </c>
      <c r="D6690" t="s">
        <v>17477</v>
      </c>
      <c r="E6690" t="s">
        <v>23286</v>
      </c>
      <c r="F6690" t="s">
        <v>30052</v>
      </c>
      <c r="G6690" t="s">
        <v>30058</v>
      </c>
      <c r="H6690" t="s">
        <v>30067</v>
      </c>
      <c r="I6690" t="s">
        <v>30093</v>
      </c>
      <c r="J6690" t="s">
        <v>30209</v>
      </c>
      <c r="K6690" t="s">
        <v>39052</v>
      </c>
      <c r="M6690" t="s">
        <v>41591</v>
      </c>
      <c r="N6690" t="s">
        <v>43166</v>
      </c>
      <c r="O6690" t="s">
        <v>43167</v>
      </c>
      <c r="P6690">
        <v>0</v>
      </c>
      <c r="Q6690">
        <v>7</v>
      </c>
      <c r="R6690" t="s">
        <v>43173</v>
      </c>
      <c r="S6690" t="s">
        <v>43374</v>
      </c>
      <c r="T6690" t="s">
        <v>44718</v>
      </c>
      <c r="U6690" t="s">
        <v>50618</v>
      </c>
      <c r="W6690" t="s">
        <v>41591</v>
      </c>
      <c r="X6690" t="s">
        <v>43175</v>
      </c>
    </row>
    <row r="6691" spans="1:24">
      <c r="A6691">
        <f>HYPERLINK("https://www.philgeps.gov.ph/GEPSNONPILOT/Tender/SplashBidNoticeAbstractUI.aspx?menuIndex=3&amp;refID=7073778&amp;Result=3","7073778")</f>
        <v>0</v>
      </c>
      <c r="B6691" t="s">
        <v>2128</v>
      </c>
      <c r="C6691" t="s">
        <v>9790</v>
      </c>
      <c r="D6691" t="s">
        <v>17438</v>
      </c>
      <c r="E6691" t="s">
        <v>17933</v>
      </c>
      <c r="F6691" t="s">
        <v>30052</v>
      </c>
      <c r="G6691" t="s">
        <v>30058</v>
      </c>
      <c r="H6691" t="s">
        <v>15498</v>
      </c>
      <c r="I6691" t="s">
        <v>3736</v>
      </c>
      <c r="J6691" t="s">
        <v>30230</v>
      </c>
      <c r="K6691" t="s">
        <v>39025</v>
      </c>
      <c r="M6691" t="s">
        <v>41592</v>
      </c>
      <c r="N6691" t="s">
        <v>43166</v>
      </c>
      <c r="O6691" t="s">
        <v>43167</v>
      </c>
      <c r="P6691">
        <v>0</v>
      </c>
      <c r="Q6691">
        <v>0</v>
      </c>
      <c r="R6691" t="s">
        <v>43173</v>
      </c>
      <c r="S6691" t="s">
        <v>43374</v>
      </c>
      <c r="T6691" t="s">
        <v>44773</v>
      </c>
      <c r="U6691" t="s">
        <v>50619</v>
      </c>
      <c r="W6691" t="s">
        <v>41592</v>
      </c>
      <c r="X6691" t="s">
        <v>43175</v>
      </c>
    </row>
    <row r="6692" spans="1:24">
      <c r="A6692">
        <f>HYPERLINK("https://www.philgeps.gov.ph/GEPSNONPILOT/Tender/SplashBidNoticeAbstractUI.aspx?menuIndex=3&amp;refID=7073720&amp;Result=3","7073720")</f>
        <v>0</v>
      </c>
      <c r="B6692" t="s">
        <v>1886</v>
      </c>
      <c r="C6692" t="s">
        <v>9791</v>
      </c>
      <c r="D6692" t="s">
        <v>17455</v>
      </c>
      <c r="E6692" t="s">
        <v>23287</v>
      </c>
      <c r="F6692" t="s">
        <v>30052</v>
      </c>
      <c r="G6692" t="s">
        <v>30058</v>
      </c>
      <c r="H6692" t="s">
        <v>15498</v>
      </c>
      <c r="I6692" t="s">
        <v>4119</v>
      </c>
      <c r="J6692" t="s">
        <v>34373</v>
      </c>
      <c r="K6692" t="s">
        <v>39017</v>
      </c>
      <c r="M6692" t="s">
        <v>41317</v>
      </c>
      <c r="N6692" t="s">
        <v>43166</v>
      </c>
      <c r="O6692" t="s">
        <v>43167</v>
      </c>
      <c r="P6692">
        <v>0</v>
      </c>
      <c r="Q6692">
        <v>0</v>
      </c>
      <c r="R6692" t="s">
        <v>43173</v>
      </c>
      <c r="S6692" t="s">
        <v>43374</v>
      </c>
      <c r="T6692" t="s">
        <v>44773</v>
      </c>
      <c r="U6692" t="s">
        <v>50620</v>
      </c>
      <c r="V6692" t="s">
        <v>57527</v>
      </c>
      <c r="W6692" t="s">
        <v>41317</v>
      </c>
      <c r="X6692" t="s">
        <v>43175</v>
      </c>
    </row>
    <row r="6693" spans="1:24">
      <c r="A6693">
        <f>HYPERLINK("https://www.philgeps.gov.ph/GEPSNONPILOT/Tender/SplashBidNoticeAbstractUI.aspx?menuIndex=3&amp;refID=7073632&amp;Result=3","7073632")</f>
        <v>0</v>
      </c>
      <c r="B6693" t="s">
        <v>1172</v>
      </c>
      <c r="C6693" t="s">
        <v>9792</v>
      </c>
      <c r="D6693" t="s">
        <v>17466</v>
      </c>
      <c r="E6693" t="s">
        <v>23288</v>
      </c>
      <c r="F6693" t="s">
        <v>30052</v>
      </c>
      <c r="G6693" t="s">
        <v>30062</v>
      </c>
      <c r="H6693" t="s">
        <v>15498</v>
      </c>
      <c r="I6693" t="s">
        <v>30098</v>
      </c>
      <c r="J6693" t="s">
        <v>30337</v>
      </c>
      <c r="K6693" t="s">
        <v>39037</v>
      </c>
      <c r="M6693" t="s">
        <v>40520</v>
      </c>
      <c r="N6693" t="s">
        <v>43166</v>
      </c>
      <c r="O6693" t="s">
        <v>43167</v>
      </c>
      <c r="P6693">
        <v>0</v>
      </c>
      <c r="Q6693">
        <v>1</v>
      </c>
      <c r="R6693" t="s">
        <v>43173</v>
      </c>
      <c r="S6693" t="s">
        <v>43374</v>
      </c>
      <c r="T6693" t="s">
        <v>44943</v>
      </c>
      <c r="U6693" t="s">
        <v>47744</v>
      </c>
      <c r="W6693" t="s">
        <v>58626</v>
      </c>
      <c r="X6693" t="s">
        <v>43175</v>
      </c>
    </row>
    <row r="6694" spans="1:24">
      <c r="A6694">
        <f>HYPERLINK("https://www.philgeps.gov.ph/GEPSNONPILOT/Tender/SplashBidNoticeAbstractUI.aspx?menuIndex=3&amp;refID=7073600&amp;Result=3","7073600")</f>
        <v>0</v>
      </c>
      <c r="B6694" t="s">
        <v>1172</v>
      </c>
      <c r="C6694" t="s">
        <v>9793</v>
      </c>
      <c r="D6694" t="s">
        <v>17466</v>
      </c>
      <c r="E6694" t="s">
        <v>23289</v>
      </c>
      <c r="F6694" t="s">
        <v>30052</v>
      </c>
      <c r="G6694" t="s">
        <v>30059</v>
      </c>
      <c r="H6694" t="s">
        <v>15498</v>
      </c>
      <c r="I6694" t="s">
        <v>30094</v>
      </c>
      <c r="J6694" t="s">
        <v>30527</v>
      </c>
      <c r="K6694" t="s">
        <v>39037</v>
      </c>
      <c r="M6694" t="s">
        <v>40520</v>
      </c>
      <c r="N6694" t="s">
        <v>43166</v>
      </c>
      <c r="O6694" t="s">
        <v>43167</v>
      </c>
      <c r="P6694">
        <v>0</v>
      </c>
      <c r="Q6694">
        <v>0</v>
      </c>
      <c r="R6694" t="s">
        <v>43173</v>
      </c>
      <c r="S6694" t="s">
        <v>43374</v>
      </c>
      <c r="T6694" t="s">
        <v>44943</v>
      </c>
      <c r="U6694" t="s">
        <v>47744</v>
      </c>
      <c r="W6694" t="s">
        <v>58626</v>
      </c>
      <c r="X6694" t="s">
        <v>43175</v>
      </c>
    </row>
    <row r="6695" spans="1:24">
      <c r="A6695">
        <f>HYPERLINK("https://www.philgeps.gov.ph/GEPSNONPILOT/Tender/SplashBidNoticeAbstractUI.aspx?menuIndex=3&amp;refID=7075803&amp;Result=3","7075803")</f>
        <v>0</v>
      </c>
      <c r="B6695" t="s">
        <v>2118</v>
      </c>
      <c r="C6695" t="s">
        <v>9794</v>
      </c>
      <c r="D6695" t="s">
        <v>17424</v>
      </c>
      <c r="E6695" t="s">
        <v>23290</v>
      </c>
      <c r="F6695" t="s">
        <v>30052</v>
      </c>
      <c r="G6695" t="s">
        <v>30058</v>
      </c>
      <c r="H6695" t="s">
        <v>15498</v>
      </c>
      <c r="I6695" t="s">
        <v>3736</v>
      </c>
      <c r="J6695" t="s">
        <v>34374</v>
      </c>
      <c r="K6695" t="s">
        <v>39029</v>
      </c>
      <c r="M6695" t="s">
        <v>41580</v>
      </c>
      <c r="N6695" t="s">
        <v>43166</v>
      </c>
      <c r="O6695" t="s">
        <v>43167</v>
      </c>
      <c r="P6695">
        <v>0</v>
      </c>
      <c r="Q6695">
        <v>0</v>
      </c>
      <c r="R6695" t="s">
        <v>43173</v>
      </c>
      <c r="S6695" t="s">
        <v>43374</v>
      </c>
      <c r="T6695" t="s">
        <v>44714</v>
      </c>
      <c r="U6695" t="s">
        <v>50621</v>
      </c>
      <c r="W6695" t="s">
        <v>41580</v>
      </c>
      <c r="X6695" t="s">
        <v>43175</v>
      </c>
    </row>
    <row r="6696" spans="1:24">
      <c r="A6696">
        <f>HYPERLINK("https://www.philgeps.gov.ph/GEPSNONPILOT/Tender/SplashBidNoticeAbstractUI.aspx?menuIndex=3&amp;refID=7070396&amp;Result=3","7070396")</f>
        <v>0</v>
      </c>
      <c r="B6696" t="s">
        <v>2129</v>
      </c>
      <c r="C6696" t="s">
        <v>9795</v>
      </c>
      <c r="D6696" t="s">
        <v>17442</v>
      </c>
      <c r="E6696" t="s">
        <v>23291</v>
      </c>
      <c r="F6696" t="s">
        <v>30052</v>
      </c>
      <c r="G6696" t="s">
        <v>30058</v>
      </c>
      <c r="H6696" t="s">
        <v>30067</v>
      </c>
      <c r="I6696" t="s">
        <v>3693</v>
      </c>
      <c r="J6696" t="s">
        <v>34375</v>
      </c>
      <c r="K6696" t="s">
        <v>39065</v>
      </c>
      <c r="M6696" t="s">
        <v>41593</v>
      </c>
      <c r="N6696" t="s">
        <v>43166</v>
      </c>
      <c r="O6696" t="s">
        <v>43167</v>
      </c>
      <c r="P6696">
        <v>0</v>
      </c>
      <c r="Q6696">
        <v>0</v>
      </c>
      <c r="R6696" t="s">
        <v>43173</v>
      </c>
      <c r="S6696" t="s">
        <v>43374</v>
      </c>
      <c r="T6696" t="s">
        <v>44934</v>
      </c>
      <c r="U6696" t="s">
        <v>50622</v>
      </c>
      <c r="V6696" t="s">
        <v>57528</v>
      </c>
      <c r="W6696" t="s">
        <v>41593</v>
      </c>
      <c r="X6696" t="s">
        <v>43178</v>
      </c>
    </row>
    <row r="6697" spans="1:24">
      <c r="A6697">
        <f>HYPERLINK("https://www.philgeps.gov.ph/GEPSNONPILOT/Tender/SplashBidNoticeAbstractUI.aspx?menuIndex=3&amp;refID=7074217&amp;Result=3","7074217")</f>
        <v>0</v>
      </c>
      <c r="B6697" t="s">
        <v>2038</v>
      </c>
      <c r="C6697" t="s">
        <v>9796</v>
      </c>
      <c r="D6697" t="s">
        <v>17459</v>
      </c>
      <c r="E6697" t="s">
        <v>23292</v>
      </c>
      <c r="F6697" t="s">
        <v>30052</v>
      </c>
      <c r="G6697" t="s">
        <v>30059</v>
      </c>
      <c r="H6697" t="s">
        <v>15498</v>
      </c>
      <c r="I6697" t="s">
        <v>3736</v>
      </c>
      <c r="J6697" t="s">
        <v>34376</v>
      </c>
      <c r="K6697" t="s">
        <v>39018</v>
      </c>
      <c r="M6697" t="s">
        <v>41487</v>
      </c>
      <c r="N6697" t="s">
        <v>43166</v>
      </c>
      <c r="O6697" t="s">
        <v>43167</v>
      </c>
      <c r="P6697">
        <v>0</v>
      </c>
      <c r="Q6697">
        <v>0</v>
      </c>
      <c r="R6697" t="s">
        <v>43173</v>
      </c>
      <c r="S6697" t="s">
        <v>43374</v>
      </c>
      <c r="T6697" t="s">
        <v>44788</v>
      </c>
      <c r="U6697" t="s">
        <v>50623</v>
      </c>
      <c r="W6697" t="s">
        <v>41487</v>
      </c>
      <c r="X6697" t="s">
        <v>43175</v>
      </c>
    </row>
    <row r="6698" spans="1:24">
      <c r="A6698">
        <f>HYPERLINK("https://www.philgeps.gov.ph/GEPSNONPILOT/Tender/SplashBidNoticeAbstractUI.aspx?menuIndex=3&amp;refID=7069056&amp;Result=3","7069056")</f>
        <v>0</v>
      </c>
      <c r="B6698" t="s">
        <v>1655</v>
      </c>
      <c r="C6698" t="s">
        <v>9797</v>
      </c>
      <c r="D6698" t="s">
        <v>17481</v>
      </c>
      <c r="E6698" t="s">
        <v>23293</v>
      </c>
      <c r="F6698" t="s">
        <v>30052</v>
      </c>
      <c r="G6698" t="s">
        <v>30058</v>
      </c>
      <c r="H6698" t="s">
        <v>15498</v>
      </c>
      <c r="I6698" t="s">
        <v>30076</v>
      </c>
      <c r="J6698" t="s">
        <v>34377</v>
      </c>
      <c r="K6698" t="s">
        <v>39034</v>
      </c>
      <c r="M6698" t="s">
        <v>41060</v>
      </c>
      <c r="N6698" t="s">
        <v>43166</v>
      </c>
      <c r="O6698" t="s">
        <v>43167</v>
      </c>
      <c r="P6698">
        <v>0</v>
      </c>
      <c r="Q6698">
        <v>9</v>
      </c>
      <c r="R6698" t="s">
        <v>43173</v>
      </c>
      <c r="S6698" t="s">
        <v>43374</v>
      </c>
      <c r="T6698" t="s">
        <v>44685</v>
      </c>
      <c r="U6698" t="s">
        <v>50624</v>
      </c>
      <c r="W6698" t="s">
        <v>41060</v>
      </c>
      <c r="X6698" t="s">
        <v>43179</v>
      </c>
    </row>
    <row r="6699" spans="1:24">
      <c r="A6699">
        <f>HYPERLINK("https://www.philgeps.gov.ph/GEPSNONPILOT/Tender/SplashBidNoticeAbstractUI.aspx?menuIndex=3&amp;refID=7074055&amp;Result=3","7074055")</f>
        <v>0</v>
      </c>
      <c r="B6699" t="s">
        <v>2130</v>
      </c>
      <c r="C6699" t="s">
        <v>9798</v>
      </c>
      <c r="D6699" t="s">
        <v>17458</v>
      </c>
      <c r="E6699" t="s">
        <v>17650</v>
      </c>
      <c r="F6699" t="s">
        <v>30052</v>
      </c>
      <c r="G6699" t="s">
        <v>30058</v>
      </c>
      <c r="H6699" t="s">
        <v>15498</v>
      </c>
      <c r="I6699" t="s">
        <v>30074</v>
      </c>
      <c r="J6699" t="s">
        <v>34378</v>
      </c>
      <c r="K6699" t="s">
        <v>39031</v>
      </c>
      <c r="M6699" t="s">
        <v>41594</v>
      </c>
      <c r="N6699" t="s">
        <v>43166</v>
      </c>
      <c r="O6699" t="s">
        <v>43167</v>
      </c>
      <c r="P6699">
        <v>0</v>
      </c>
      <c r="Q6699">
        <v>6</v>
      </c>
      <c r="R6699" t="s">
        <v>43173</v>
      </c>
      <c r="S6699" t="s">
        <v>43374</v>
      </c>
      <c r="T6699" t="s">
        <v>44754</v>
      </c>
      <c r="U6699" t="s">
        <v>50625</v>
      </c>
      <c r="W6699" t="s">
        <v>41594</v>
      </c>
      <c r="X6699" t="s">
        <v>43175</v>
      </c>
    </row>
    <row r="6700" spans="1:24">
      <c r="A6700">
        <f>HYPERLINK("https://www.philgeps.gov.ph/GEPSNONPILOT/Tender/SplashBidNoticeAbstractUI.aspx?menuIndex=3&amp;refID=7070403&amp;Result=3","7070403")</f>
        <v>0</v>
      </c>
      <c r="B6700" t="s">
        <v>2131</v>
      </c>
      <c r="C6700" t="s">
        <v>9799</v>
      </c>
      <c r="D6700" t="s">
        <v>17476</v>
      </c>
      <c r="E6700" t="s">
        <v>23294</v>
      </c>
      <c r="F6700" t="s">
        <v>30052</v>
      </c>
      <c r="G6700" t="s">
        <v>30059</v>
      </c>
      <c r="H6700" t="s">
        <v>30067</v>
      </c>
      <c r="I6700" t="s">
        <v>3693</v>
      </c>
      <c r="J6700" t="s">
        <v>34379</v>
      </c>
      <c r="K6700" t="s">
        <v>39029</v>
      </c>
      <c r="M6700" t="s">
        <v>41595</v>
      </c>
      <c r="N6700" t="s">
        <v>43166</v>
      </c>
      <c r="O6700" t="s">
        <v>43167</v>
      </c>
      <c r="Q6700">
        <v>0</v>
      </c>
      <c r="R6700" t="s">
        <v>43173</v>
      </c>
      <c r="S6700" t="s">
        <v>43376</v>
      </c>
      <c r="T6700" t="s">
        <v>44717</v>
      </c>
      <c r="U6700" t="s">
        <v>50626</v>
      </c>
      <c r="W6700" t="s">
        <v>41595</v>
      </c>
      <c r="X6700" t="s">
        <v>43178</v>
      </c>
    </row>
    <row r="6701" spans="1:24">
      <c r="A6701">
        <f>HYPERLINK("https://www.philgeps.gov.ph/GEPSNONPILOT/Tender/SplashBidNoticeAbstractUI.aspx?menuIndex=3&amp;refID=7068455&amp;Result=3","7068455")</f>
        <v>0</v>
      </c>
      <c r="B6701" t="s">
        <v>2097</v>
      </c>
      <c r="C6701" t="s">
        <v>9800</v>
      </c>
      <c r="D6701" t="s">
        <v>17466</v>
      </c>
      <c r="E6701" t="s">
        <v>23295</v>
      </c>
      <c r="F6701" t="s">
        <v>30052</v>
      </c>
      <c r="G6701" t="s">
        <v>30059</v>
      </c>
      <c r="H6701" t="s">
        <v>15498</v>
      </c>
      <c r="I6701" t="s">
        <v>4650</v>
      </c>
      <c r="J6701" t="s">
        <v>30287</v>
      </c>
      <c r="K6701" t="s">
        <v>39029</v>
      </c>
      <c r="M6701" t="s">
        <v>41559</v>
      </c>
      <c r="N6701" t="s">
        <v>43166</v>
      </c>
      <c r="O6701" t="s">
        <v>43167</v>
      </c>
      <c r="P6701">
        <v>0</v>
      </c>
      <c r="Q6701">
        <v>4</v>
      </c>
      <c r="R6701" t="s">
        <v>43173</v>
      </c>
      <c r="S6701" t="s">
        <v>43374</v>
      </c>
      <c r="T6701" t="s">
        <v>44734</v>
      </c>
      <c r="U6701" t="s">
        <v>50627</v>
      </c>
      <c r="W6701" t="s">
        <v>41559</v>
      </c>
      <c r="X6701" t="s">
        <v>43179</v>
      </c>
    </row>
    <row r="6702" spans="1:24">
      <c r="A6702">
        <f>HYPERLINK("https://www.philgeps.gov.ph/GEPSNONPILOT/Tender/SplashBidNoticeAbstractUI.aspx?menuIndex=3&amp;refID=7067929&amp;Result=3","7067929")</f>
        <v>0</v>
      </c>
      <c r="B6702" t="s">
        <v>1000</v>
      </c>
      <c r="C6702" t="s">
        <v>9801</v>
      </c>
      <c r="D6702" t="s">
        <v>17422</v>
      </c>
      <c r="E6702" t="s">
        <v>23296</v>
      </c>
      <c r="F6702" t="s">
        <v>30052</v>
      </c>
      <c r="G6702" t="s">
        <v>30058</v>
      </c>
      <c r="H6702" t="s">
        <v>15498</v>
      </c>
      <c r="I6702" t="s">
        <v>30109</v>
      </c>
      <c r="J6702" t="s">
        <v>34380</v>
      </c>
      <c r="K6702" t="s">
        <v>39064</v>
      </c>
      <c r="M6702" t="s">
        <v>40329</v>
      </c>
      <c r="N6702" t="s">
        <v>43166</v>
      </c>
      <c r="O6702" t="s">
        <v>43167</v>
      </c>
      <c r="P6702">
        <v>0</v>
      </c>
      <c r="Q6702">
        <v>0</v>
      </c>
      <c r="R6702" t="s">
        <v>43173</v>
      </c>
      <c r="S6702" t="s">
        <v>43374</v>
      </c>
      <c r="T6702" t="s">
        <v>44777</v>
      </c>
      <c r="U6702" t="s">
        <v>50628</v>
      </c>
      <c r="V6702" t="s">
        <v>56838</v>
      </c>
      <c r="W6702" t="s">
        <v>40329</v>
      </c>
      <c r="X6702" t="s">
        <v>43179</v>
      </c>
    </row>
    <row r="6703" spans="1:24">
      <c r="A6703">
        <f>HYPERLINK("https://www.philgeps.gov.ph/GEPSNONPILOT/Tender/SplashBidNoticeAbstractUI.aspx?menuIndex=3&amp;refID=7069087&amp;Result=3","7069087")</f>
        <v>0</v>
      </c>
      <c r="B6703" t="s">
        <v>34</v>
      </c>
      <c r="C6703" t="s">
        <v>9802</v>
      </c>
      <c r="D6703" t="s">
        <v>17420</v>
      </c>
      <c r="E6703" t="s">
        <v>23297</v>
      </c>
      <c r="F6703" t="s">
        <v>30052</v>
      </c>
      <c r="G6703" t="s">
        <v>30058</v>
      </c>
      <c r="H6703" t="s">
        <v>30067</v>
      </c>
      <c r="I6703" t="s">
        <v>3693</v>
      </c>
      <c r="J6703" t="s">
        <v>34381</v>
      </c>
      <c r="K6703" t="s">
        <v>39153</v>
      </c>
      <c r="M6703" t="s">
        <v>39324</v>
      </c>
      <c r="N6703" t="s">
        <v>43166</v>
      </c>
      <c r="O6703" t="s">
        <v>43167</v>
      </c>
      <c r="P6703">
        <v>0</v>
      </c>
      <c r="Q6703">
        <v>0</v>
      </c>
      <c r="R6703" t="s">
        <v>43173</v>
      </c>
      <c r="S6703" t="s">
        <v>43374</v>
      </c>
      <c r="T6703" t="s">
        <v>44715</v>
      </c>
      <c r="U6703" t="s">
        <v>50629</v>
      </c>
      <c r="W6703" t="s">
        <v>39324</v>
      </c>
      <c r="X6703" t="s">
        <v>43179</v>
      </c>
    </row>
    <row r="6704" spans="1:24">
      <c r="A6704">
        <f>HYPERLINK("https://www.philgeps.gov.ph/GEPSNONPILOT/Tender/SplashBidNoticeAbstractUI.aspx?menuIndex=3&amp;refID=7060328&amp;Result=3","7060328")</f>
        <v>0</v>
      </c>
      <c r="B6704" t="s">
        <v>1196</v>
      </c>
      <c r="C6704" t="s">
        <v>9803</v>
      </c>
      <c r="E6704" t="s">
        <v>23298</v>
      </c>
      <c r="F6704" t="s">
        <v>30052</v>
      </c>
      <c r="G6704" t="s">
        <v>30058</v>
      </c>
      <c r="H6704" t="s">
        <v>30067</v>
      </c>
      <c r="I6704" t="s">
        <v>3693</v>
      </c>
      <c r="J6704" t="s">
        <v>34382</v>
      </c>
      <c r="K6704" t="s">
        <v>39057</v>
      </c>
      <c r="M6704" t="s">
        <v>40549</v>
      </c>
      <c r="N6704" t="s">
        <v>43166</v>
      </c>
      <c r="O6704" t="s">
        <v>43167</v>
      </c>
      <c r="P6704">
        <v>0</v>
      </c>
      <c r="Q6704">
        <v>12</v>
      </c>
      <c r="R6704" t="s">
        <v>43173</v>
      </c>
      <c r="S6704" t="s">
        <v>43374</v>
      </c>
      <c r="T6704" t="s">
        <v>45038</v>
      </c>
      <c r="U6704" t="s">
        <v>50630</v>
      </c>
      <c r="W6704" t="s">
        <v>40549</v>
      </c>
      <c r="X6704" t="s">
        <v>43182</v>
      </c>
    </row>
    <row r="6705" spans="1:24">
      <c r="A6705">
        <f>HYPERLINK("https://www.philgeps.gov.ph/GEPSNONPILOT/Tender/SplashBidNoticeAbstractUI.aspx?menuIndex=3&amp;refID=7076030&amp;Result=3","7076030")</f>
        <v>0</v>
      </c>
      <c r="B6705" t="s">
        <v>2132</v>
      </c>
      <c r="C6705" t="s">
        <v>9804</v>
      </c>
      <c r="D6705" t="s">
        <v>17435</v>
      </c>
      <c r="E6705" t="s">
        <v>21883</v>
      </c>
      <c r="F6705" t="s">
        <v>30052</v>
      </c>
      <c r="G6705" t="s">
        <v>30058</v>
      </c>
      <c r="H6705" t="s">
        <v>30067</v>
      </c>
      <c r="I6705" t="s">
        <v>3693</v>
      </c>
      <c r="J6705" t="s">
        <v>34383</v>
      </c>
      <c r="K6705" t="s">
        <v>39131</v>
      </c>
      <c r="M6705" t="s">
        <v>41596</v>
      </c>
      <c r="N6705" t="s">
        <v>43166</v>
      </c>
      <c r="O6705" t="s">
        <v>43167</v>
      </c>
      <c r="P6705">
        <v>0</v>
      </c>
      <c r="Q6705">
        <v>2</v>
      </c>
      <c r="R6705" t="s">
        <v>43173</v>
      </c>
      <c r="S6705" t="s">
        <v>43374</v>
      </c>
      <c r="T6705" t="s">
        <v>44873</v>
      </c>
      <c r="U6705" t="s">
        <v>49311</v>
      </c>
      <c r="W6705" t="s">
        <v>41596</v>
      </c>
      <c r="X6705" t="s">
        <v>43175</v>
      </c>
    </row>
    <row r="6706" spans="1:24">
      <c r="A6706">
        <f>HYPERLINK("https://www.philgeps.gov.ph/GEPSNONPILOT/Tender/SplashBidNoticeAbstractUI.aspx?menuIndex=3&amp;refID=7073591&amp;Result=3","7073591")</f>
        <v>0</v>
      </c>
      <c r="B6706" t="s">
        <v>34</v>
      </c>
      <c r="C6706" t="s">
        <v>9805</v>
      </c>
      <c r="D6706" t="s">
        <v>17420</v>
      </c>
      <c r="E6706" t="s">
        <v>23299</v>
      </c>
      <c r="F6706" t="s">
        <v>30052</v>
      </c>
      <c r="G6706" t="s">
        <v>30058</v>
      </c>
      <c r="H6706" t="s">
        <v>30067</v>
      </c>
      <c r="I6706" t="s">
        <v>3693</v>
      </c>
      <c r="J6706" t="s">
        <v>34384</v>
      </c>
      <c r="K6706" t="s">
        <v>39160</v>
      </c>
      <c r="M6706" t="s">
        <v>39324</v>
      </c>
      <c r="N6706" t="s">
        <v>43166</v>
      </c>
      <c r="O6706" t="s">
        <v>43167</v>
      </c>
      <c r="P6706">
        <v>0</v>
      </c>
      <c r="Q6706">
        <v>0</v>
      </c>
      <c r="R6706" t="s">
        <v>43173</v>
      </c>
      <c r="S6706" t="s">
        <v>43374</v>
      </c>
      <c r="T6706" t="s">
        <v>44715</v>
      </c>
      <c r="U6706" t="s">
        <v>50631</v>
      </c>
      <c r="W6706" t="s">
        <v>39324</v>
      </c>
      <c r="X6706" t="s">
        <v>43175</v>
      </c>
    </row>
    <row r="6707" spans="1:24">
      <c r="A6707">
        <f>HYPERLINK("https://www.philgeps.gov.ph/GEPSNONPILOT/Tender/SplashBidNoticeAbstractUI.aspx?menuIndex=3&amp;refID=7068126&amp;Result=3","7068126")</f>
        <v>0</v>
      </c>
      <c r="B6707" t="s">
        <v>2133</v>
      </c>
      <c r="C6707" t="s">
        <v>9806</v>
      </c>
      <c r="D6707" t="s">
        <v>17432</v>
      </c>
      <c r="E6707" t="s">
        <v>23300</v>
      </c>
      <c r="F6707" t="s">
        <v>30052</v>
      </c>
      <c r="G6707" t="s">
        <v>30059</v>
      </c>
      <c r="H6707" t="s">
        <v>15498</v>
      </c>
      <c r="I6707" t="s">
        <v>7228</v>
      </c>
      <c r="J6707" t="s">
        <v>34385</v>
      </c>
      <c r="K6707" t="s">
        <v>39034</v>
      </c>
      <c r="M6707" t="s">
        <v>41597</v>
      </c>
      <c r="N6707" t="s">
        <v>43166</v>
      </c>
      <c r="O6707" t="s">
        <v>43167</v>
      </c>
      <c r="P6707">
        <v>0</v>
      </c>
      <c r="Q6707">
        <v>0</v>
      </c>
      <c r="R6707" t="s">
        <v>43173</v>
      </c>
      <c r="S6707" t="s">
        <v>43374</v>
      </c>
      <c r="T6707" t="s">
        <v>44949</v>
      </c>
      <c r="U6707" t="s">
        <v>50632</v>
      </c>
      <c r="V6707" t="s">
        <v>57529</v>
      </c>
      <c r="W6707" t="s">
        <v>41597</v>
      </c>
      <c r="X6707" t="s">
        <v>43179</v>
      </c>
    </row>
    <row r="6708" spans="1:24">
      <c r="A6708">
        <f>HYPERLINK("https://www.philgeps.gov.ph/GEPSNONPILOT/Tender/SplashBidNoticeAbstractUI.aspx?menuIndex=3&amp;refID=7076157&amp;Result=3","7076157")</f>
        <v>0</v>
      </c>
      <c r="B6708" t="s">
        <v>2134</v>
      </c>
      <c r="C6708" t="s">
        <v>9807</v>
      </c>
      <c r="D6708" t="s">
        <v>17470</v>
      </c>
      <c r="E6708" t="s">
        <v>17952</v>
      </c>
      <c r="F6708" t="s">
        <v>30052</v>
      </c>
      <c r="G6708" t="s">
        <v>30058</v>
      </c>
      <c r="H6708" t="s">
        <v>15498</v>
      </c>
      <c r="I6708" t="s">
        <v>30097</v>
      </c>
      <c r="J6708" t="s">
        <v>30308</v>
      </c>
      <c r="K6708" t="s">
        <v>39034</v>
      </c>
      <c r="L6708" t="s">
        <v>2134</v>
      </c>
      <c r="M6708" t="s">
        <v>41598</v>
      </c>
      <c r="N6708" t="s">
        <v>43166</v>
      </c>
      <c r="O6708" t="s">
        <v>43167</v>
      </c>
      <c r="P6708">
        <v>0</v>
      </c>
      <c r="Q6708">
        <v>0</v>
      </c>
      <c r="R6708" t="s">
        <v>43173</v>
      </c>
      <c r="S6708" t="s">
        <v>43374</v>
      </c>
      <c r="T6708" t="s">
        <v>44722</v>
      </c>
      <c r="U6708" t="s">
        <v>50633</v>
      </c>
      <c r="W6708" t="s">
        <v>41598</v>
      </c>
      <c r="X6708" t="s">
        <v>43174</v>
      </c>
    </row>
    <row r="6709" spans="1:24">
      <c r="A6709">
        <f>HYPERLINK("https://www.philgeps.gov.ph/GEPSNONPILOT/Tender/SplashBidNoticeAbstractUI.aspx?menuIndex=3&amp;refID=7059625&amp;Result=3","7059625")</f>
        <v>0</v>
      </c>
      <c r="B6709" t="s">
        <v>2102</v>
      </c>
      <c r="C6709" t="s">
        <v>9808</v>
      </c>
      <c r="D6709" t="s">
        <v>17483</v>
      </c>
      <c r="E6709" t="s">
        <v>23301</v>
      </c>
      <c r="F6709" t="s">
        <v>30052</v>
      </c>
      <c r="G6709" t="s">
        <v>30058</v>
      </c>
      <c r="H6709" t="s">
        <v>15498</v>
      </c>
      <c r="I6709" t="s">
        <v>30152</v>
      </c>
      <c r="J6709" t="s">
        <v>30222</v>
      </c>
      <c r="K6709" t="s">
        <v>39065</v>
      </c>
      <c r="M6709" t="s">
        <v>41564</v>
      </c>
      <c r="N6709" t="s">
        <v>43166</v>
      </c>
      <c r="O6709" t="s">
        <v>43167</v>
      </c>
      <c r="P6709">
        <v>0</v>
      </c>
      <c r="Q6709">
        <v>0</v>
      </c>
      <c r="R6709" t="s">
        <v>43173</v>
      </c>
      <c r="S6709" t="s">
        <v>43374</v>
      </c>
      <c r="T6709" t="s">
        <v>44754</v>
      </c>
      <c r="U6709" t="s">
        <v>50634</v>
      </c>
      <c r="W6709" t="s">
        <v>41564</v>
      </c>
      <c r="X6709" t="s">
        <v>43182</v>
      </c>
    </row>
    <row r="6710" spans="1:24">
      <c r="A6710">
        <f>HYPERLINK("https://www.philgeps.gov.ph/GEPSNONPILOT/Tender/SplashBidNoticeAbstractUI.aspx?menuIndex=3&amp;refID=7076162&amp;Result=3","7076162")</f>
        <v>0</v>
      </c>
      <c r="B6710" t="s">
        <v>1945</v>
      </c>
      <c r="C6710" t="s">
        <v>9809</v>
      </c>
      <c r="D6710" t="s">
        <v>17427</v>
      </c>
      <c r="E6710" t="s">
        <v>23302</v>
      </c>
      <c r="F6710" t="s">
        <v>30052</v>
      </c>
      <c r="G6710" t="s">
        <v>30059</v>
      </c>
      <c r="H6710" t="s">
        <v>15498</v>
      </c>
      <c r="I6710" t="s">
        <v>30070</v>
      </c>
      <c r="J6710" t="s">
        <v>34386</v>
      </c>
      <c r="K6710" t="s">
        <v>39037</v>
      </c>
      <c r="M6710" t="s">
        <v>41382</v>
      </c>
      <c r="N6710" t="s">
        <v>43166</v>
      </c>
      <c r="O6710" t="s">
        <v>43167</v>
      </c>
      <c r="P6710">
        <v>0</v>
      </c>
      <c r="Q6710">
        <v>3</v>
      </c>
      <c r="R6710" t="s">
        <v>43173</v>
      </c>
      <c r="S6710" t="s">
        <v>43374</v>
      </c>
      <c r="T6710" t="s">
        <v>44862</v>
      </c>
      <c r="U6710" t="s">
        <v>50635</v>
      </c>
      <c r="W6710" t="s">
        <v>41382</v>
      </c>
      <c r="X6710" t="s">
        <v>43174</v>
      </c>
    </row>
    <row r="6711" spans="1:24">
      <c r="A6711">
        <f>HYPERLINK("https://www.philgeps.gov.ph/GEPSNONPILOT/Tender/SplashBidNoticeAbstractUI.aspx?menuIndex=3&amp;refID=7076101&amp;Result=3","7076101")</f>
        <v>0</v>
      </c>
      <c r="B6711" t="s">
        <v>2079</v>
      </c>
      <c r="C6711" t="s">
        <v>9810</v>
      </c>
      <c r="D6711" t="s">
        <v>17451</v>
      </c>
      <c r="E6711" t="s">
        <v>23303</v>
      </c>
      <c r="F6711" t="s">
        <v>30052</v>
      </c>
      <c r="G6711" t="s">
        <v>30058</v>
      </c>
      <c r="H6711" t="s">
        <v>30067</v>
      </c>
      <c r="I6711" t="s">
        <v>3693</v>
      </c>
      <c r="J6711" t="s">
        <v>30252</v>
      </c>
      <c r="K6711" t="s">
        <v>39029</v>
      </c>
      <c r="M6711" t="s">
        <v>41583</v>
      </c>
      <c r="N6711" t="s">
        <v>43166</v>
      </c>
      <c r="O6711" t="s">
        <v>43167</v>
      </c>
      <c r="P6711">
        <v>0</v>
      </c>
      <c r="Q6711">
        <v>0</v>
      </c>
      <c r="R6711" t="s">
        <v>43173</v>
      </c>
      <c r="S6711" t="s">
        <v>43374</v>
      </c>
      <c r="T6711" t="s">
        <v>44699</v>
      </c>
      <c r="U6711" t="s">
        <v>50636</v>
      </c>
      <c r="W6711" t="s">
        <v>41583</v>
      </c>
      <c r="X6711" t="s">
        <v>43174</v>
      </c>
    </row>
    <row r="6712" spans="1:24">
      <c r="A6712">
        <f>HYPERLINK("https://www.philgeps.gov.ph/GEPSNONPILOT/Tender/SplashBidNoticeAbstractUI.aspx?menuIndex=3&amp;refID=7076143&amp;Result=3","7076143")</f>
        <v>0</v>
      </c>
      <c r="B6712" t="s">
        <v>2135</v>
      </c>
      <c r="C6712" t="s">
        <v>9811</v>
      </c>
      <c r="D6712" t="s">
        <v>17455</v>
      </c>
      <c r="E6712" t="s">
        <v>23304</v>
      </c>
      <c r="F6712" t="s">
        <v>30052</v>
      </c>
      <c r="G6712" t="s">
        <v>30058</v>
      </c>
      <c r="H6712" t="s">
        <v>15498</v>
      </c>
      <c r="I6712" t="s">
        <v>30074</v>
      </c>
      <c r="J6712" t="s">
        <v>34387</v>
      </c>
      <c r="K6712" t="s">
        <v>39017</v>
      </c>
      <c r="M6712" t="s">
        <v>41599</v>
      </c>
      <c r="N6712" t="s">
        <v>43166</v>
      </c>
      <c r="O6712" t="s">
        <v>43167</v>
      </c>
      <c r="Q6712">
        <v>4</v>
      </c>
      <c r="R6712" t="s">
        <v>43173</v>
      </c>
      <c r="S6712" t="s">
        <v>43377</v>
      </c>
      <c r="T6712" t="s">
        <v>44880</v>
      </c>
      <c r="U6712" t="s">
        <v>50637</v>
      </c>
      <c r="W6712" t="s">
        <v>41599</v>
      </c>
      <c r="X6712" t="s">
        <v>43174</v>
      </c>
    </row>
    <row r="6713" spans="1:24">
      <c r="A6713">
        <f>HYPERLINK("https://www.philgeps.gov.ph/GEPSNONPILOT/Tender/SplashBidNoticeAbstractUI.aspx?menuIndex=3&amp;refID=7076139&amp;Result=3","7076139")</f>
        <v>0</v>
      </c>
      <c r="B6713" t="s">
        <v>368</v>
      </c>
      <c r="C6713" t="s">
        <v>9812</v>
      </c>
      <c r="D6713" t="s">
        <v>17448</v>
      </c>
      <c r="E6713" t="s">
        <v>23305</v>
      </c>
      <c r="F6713" t="s">
        <v>30052</v>
      </c>
      <c r="G6713" t="s">
        <v>30058</v>
      </c>
      <c r="H6713" t="s">
        <v>30067</v>
      </c>
      <c r="I6713" t="s">
        <v>3693</v>
      </c>
      <c r="J6713" t="s">
        <v>33141</v>
      </c>
      <c r="K6713" t="s">
        <v>39065</v>
      </c>
      <c r="M6713" t="s">
        <v>39666</v>
      </c>
      <c r="N6713" t="s">
        <v>43166</v>
      </c>
      <c r="O6713" t="s">
        <v>43167</v>
      </c>
      <c r="P6713">
        <v>0</v>
      </c>
      <c r="Q6713">
        <v>1</v>
      </c>
      <c r="R6713" t="s">
        <v>43173</v>
      </c>
      <c r="S6713" t="s">
        <v>43374</v>
      </c>
      <c r="T6713" t="s">
        <v>44788</v>
      </c>
      <c r="U6713" t="s">
        <v>50638</v>
      </c>
      <c r="V6713" t="s">
        <v>57530</v>
      </c>
      <c r="W6713" t="s">
        <v>39666</v>
      </c>
      <c r="X6713" t="s">
        <v>43174</v>
      </c>
    </row>
    <row r="6714" spans="1:24">
      <c r="A6714">
        <f>HYPERLINK("https://www.philgeps.gov.ph/GEPSNONPILOT/Tender/SplashBidNoticeAbstractUI.aspx?menuIndex=3&amp;refID=7068709&amp;Result=3","7068709")</f>
        <v>0</v>
      </c>
      <c r="B6714" t="s">
        <v>1000</v>
      </c>
      <c r="C6714" t="s">
        <v>4790</v>
      </c>
      <c r="D6714" t="s">
        <v>17422</v>
      </c>
      <c r="E6714" t="s">
        <v>23306</v>
      </c>
      <c r="F6714" t="s">
        <v>30052</v>
      </c>
      <c r="G6714" t="s">
        <v>30058</v>
      </c>
      <c r="H6714" t="s">
        <v>15498</v>
      </c>
      <c r="I6714" t="s">
        <v>30070</v>
      </c>
      <c r="J6714" t="s">
        <v>34388</v>
      </c>
      <c r="K6714" t="s">
        <v>39064</v>
      </c>
      <c r="M6714" t="s">
        <v>40329</v>
      </c>
      <c r="N6714" t="s">
        <v>43166</v>
      </c>
      <c r="O6714" t="s">
        <v>43167</v>
      </c>
      <c r="P6714">
        <v>0</v>
      </c>
      <c r="Q6714">
        <v>1</v>
      </c>
      <c r="R6714" t="s">
        <v>43173</v>
      </c>
      <c r="S6714" t="s">
        <v>43374</v>
      </c>
      <c r="T6714" t="s">
        <v>44777</v>
      </c>
      <c r="U6714" t="s">
        <v>50639</v>
      </c>
      <c r="V6714" t="s">
        <v>56838</v>
      </c>
      <c r="W6714" t="s">
        <v>40329</v>
      </c>
      <c r="X6714" t="s">
        <v>43179</v>
      </c>
    </row>
    <row r="6715" spans="1:24">
      <c r="A6715">
        <f>HYPERLINK("https://www.philgeps.gov.ph/GEPSNONPILOT/Tender/SplashBidNoticeAbstractUI.aspx?menuIndex=3&amp;refID=7076138&amp;Result=3","7076138")</f>
        <v>0</v>
      </c>
      <c r="B6715" t="s">
        <v>2136</v>
      </c>
      <c r="C6715" t="s">
        <v>9813</v>
      </c>
      <c r="D6715" t="s">
        <v>17453</v>
      </c>
      <c r="E6715" t="s">
        <v>23307</v>
      </c>
      <c r="F6715" t="s">
        <v>30052</v>
      </c>
      <c r="G6715" t="s">
        <v>30058</v>
      </c>
      <c r="H6715" t="s">
        <v>30067</v>
      </c>
      <c r="I6715" t="s">
        <v>3693</v>
      </c>
      <c r="J6715" t="s">
        <v>30252</v>
      </c>
      <c r="K6715" t="s">
        <v>39084</v>
      </c>
      <c r="M6715" t="s">
        <v>41600</v>
      </c>
      <c r="N6715" t="s">
        <v>43166</v>
      </c>
      <c r="O6715" t="s">
        <v>43167</v>
      </c>
      <c r="P6715">
        <v>0</v>
      </c>
      <c r="Q6715">
        <v>0</v>
      </c>
      <c r="R6715" t="s">
        <v>43173</v>
      </c>
      <c r="S6715" t="s">
        <v>43374</v>
      </c>
      <c r="T6715" t="s">
        <v>44773</v>
      </c>
      <c r="U6715" t="s">
        <v>50640</v>
      </c>
      <c r="W6715" t="s">
        <v>41600</v>
      </c>
      <c r="X6715" t="s">
        <v>43174</v>
      </c>
    </row>
    <row r="6716" spans="1:24">
      <c r="A6716">
        <f>HYPERLINK("https://www.philgeps.gov.ph/GEPSNONPILOT/Tender/SplashBidNoticeAbstractUI.aspx?menuIndex=3&amp;refID=7076136&amp;Result=3","7076136")</f>
        <v>0</v>
      </c>
      <c r="B6716" t="s">
        <v>368</v>
      </c>
      <c r="C6716" t="s">
        <v>9814</v>
      </c>
      <c r="D6716" t="s">
        <v>17448</v>
      </c>
      <c r="E6716" t="s">
        <v>23308</v>
      </c>
      <c r="F6716" t="s">
        <v>30052</v>
      </c>
      <c r="G6716" t="s">
        <v>30058</v>
      </c>
      <c r="H6716" t="s">
        <v>30067</v>
      </c>
      <c r="I6716" t="s">
        <v>3693</v>
      </c>
      <c r="J6716" t="s">
        <v>31664</v>
      </c>
      <c r="K6716" t="s">
        <v>39065</v>
      </c>
      <c r="M6716" t="s">
        <v>39666</v>
      </c>
      <c r="N6716" t="s">
        <v>43166</v>
      </c>
      <c r="O6716" t="s">
        <v>43167</v>
      </c>
      <c r="P6716">
        <v>0</v>
      </c>
      <c r="Q6716">
        <v>1</v>
      </c>
      <c r="R6716" t="s">
        <v>43173</v>
      </c>
      <c r="S6716" t="s">
        <v>43374</v>
      </c>
      <c r="T6716" t="s">
        <v>44788</v>
      </c>
      <c r="U6716" t="s">
        <v>50641</v>
      </c>
      <c r="V6716" t="s">
        <v>57531</v>
      </c>
      <c r="W6716" t="s">
        <v>39666</v>
      </c>
      <c r="X6716" t="s">
        <v>43174</v>
      </c>
    </row>
    <row r="6717" spans="1:24">
      <c r="A6717">
        <f>HYPERLINK("https://www.philgeps.gov.ph/GEPSNONPILOT/Tender/SplashBidNoticeAbstractUI.aspx?menuIndex=3&amp;refID=7076125&amp;Result=3","7076125")</f>
        <v>0</v>
      </c>
      <c r="B6717" t="s">
        <v>2137</v>
      </c>
      <c r="C6717" t="s">
        <v>9815</v>
      </c>
      <c r="D6717" t="s">
        <v>17417</v>
      </c>
      <c r="E6717" t="s">
        <v>23309</v>
      </c>
      <c r="F6717" t="s">
        <v>30052</v>
      </c>
      <c r="G6717" t="s">
        <v>30058</v>
      </c>
      <c r="H6717" t="s">
        <v>15498</v>
      </c>
      <c r="I6717" t="s">
        <v>30083</v>
      </c>
      <c r="J6717" t="s">
        <v>30212</v>
      </c>
      <c r="K6717" t="s">
        <v>39029</v>
      </c>
      <c r="M6717" t="s">
        <v>41601</v>
      </c>
      <c r="N6717" t="s">
        <v>43166</v>
      </c>
      <c r="O6717" t="s">
        <v>43167</v>
      </c>
      <c r="P6717">
        <v>0</v>
      </c>
      <c r="Q6717">
        <v>1</v>
      </c>
      <c r="R6717" t="s">
        <v>43173</v>
      </c>
      <c r="S6717" t="s">
        <v>43374</v>
      </c>
      <c r="T6717" t="s">
        <v>44842</v>
      </c>
      <c r="U6717" t="s">
        <v>50642</v>
      </c>
      <c r="W6717" t="s">
        <v>41601</v>
      </c>
      <c r="X6717" t="s">
        <v>43174</v>
      </c>
    </row>
    <row r="6718" spans="1:24">
      <c r="A6718">
        <f>HYPERLINK("https://www.philgeps.gov.ph/GEPSNONPILOT/Tender/SplashBidNoticeAbstractUI.aspx?menuIndex=3&amp;refID=7076149&amp;Result=3","7076149")</f>
        <v>0</v>
      </c>
      <c r="B6718" t="s">
        <v>2138</v>
      </c>
      <c r="C6718" t="s">
        <v>9816</v>
      </c>
      <c r="D6718" t="s">
        <v>17452</v>
      </c>
      <c r="E6718" t="s">
        <v>23310</v>
      </c>
      <c r="F6718" t="s">
        <v>30052</v>
      </c>
      <c r="G6718" t="s">
        <v>30059</v>
      </c>
      <c r="H6718" t="s">
        <v>15498</v>
      </c>
      <c r="I6718" t="s">
        <v>4119</v>
      </c>
      <c r="J6718" t="s">
        <v>34389</v>
      </c>
      <c r="K6718" t="s">
        <v>39029</v>
      </c>
      <c r="M6718" t="s">
        <v>41602</v>
      </c>
      <c r="N6718" t="s">
        <v>43166</v>
      </c>
      <c r="O6718" t="s">
        <v>43167</v>
      </c>
      <c r="P6718">
        <v>0</v>
      </c>
      <c r="Q6718">
        <v>5</v>
      </c>
      <c r="R6718" t="s">
        <v>43173</v>
      </c>
      <c r="S6718" t="s">
        <v>43374</v>
      </c>
      <c r="T6718" t="s">
        <v>44888</v>
      </c>
      <c r="U6718" t="s">
        <v>50643</v>
      </c>
      <c r="W6718" t="s">
        <v>41602</v>
      </c>
      <c r="X6718" t="s">
        <v>43174</v>
      </c>
    </row>
    <row r="6719" spans="1:24">
      <c r="A6719">
        <f>HYPERLINK("https://www.philgeps.gov.ph/GEPSNONPILOT/Tender/SplashBidNoticeAbstractUI.aspx?menuIndex=3&amp;refID=7076120&amp;Result=3","7076120")</f>
        <v>0</v>
      </c>
      <c r="B6719" t="s">
        <v>2139</v>
      </c>
      <c r="C6719" t="s">
        <v>9817</v>
      </c>
      <c r="D6719" t="s">
        <v>17448</v>
      </c>
      <c r="E6719" t="s">
        <v>23311</v>
      </c>
      <c r="F6719" t="s">
        <v>30052</v>
      </c>
      <c r="G6719" t="s">
        <v>30058</v>
      </c>
      <c r="H6719" t="s">
        <v>30069</v>
      </c>
      <c r="I6719" t="s">
        <v>30094</v>
      </c>
      <c r="J6719" t="s">
        <v>30292</v>
      </c>
      <c r="K6719" t="s">
        <v>39019</v>
      </c>
      <c r="M6719" t="s">
        <v>41603</v>
      </c>
      <c r="N6719" t="s">
        <v>43166</v>
      </c>
      <c r="O6719" t="s">
        <v>43167</v>
      </c>
      <c r="P6719">
        <v>0</v>
      </c>
      <c r="Q6719">
        <v>0</v>
      </c>
      <c r="R6719" t="s">
        <v>43173</v>
      </c>
      <c r="S6719" t="s">
        <v>43374</v>
      </c>
      <c r="T6719" t="s">
        <v>44734</v>
      </c>
      <c r="U6719" t="s">
        <v>47077</v>
      </c>
      <c r="W6719" t="s">
        <v>41603</v>
      </c>
      <c r="X6719" t="s">
        <v>43174</v>
      </c>
    </row>
    <row r="6720" spans="1:24">
      <c r="A6720">
        <f>HYPERLINK("https://www.philgeps.gov.ph/GEPSNONPILOT/Tender/SplashBidNoticeAbstractUI.aspx?menuIndex=3&amp;refID=7076145&amp;Result=3","7076145")</f>
        <v>0</v>
      </c>
      <c r="B6720" t="s">
        <v>2138</v>
      </c>
      <c r="C6720" t="s">
        <v>9818</v>
      </c>
      <c r="D6720" t="s">
        <v>17452</v>
      </c>
      <c r="E6720" t="s">
        <v>23312</v>
      </c>
      <c r="F6720" t="s">
        <v>30052</v>
      </c>
      <c r="G6720" t="s">
        <v>30059</v>
      </c>
      <c r="H6720" t="s">
        <v>15498</v>
      </c>
      <c r="I6720" t="s">
        <v>30094</v>
      </c>
      <c r="J6720" t="s">
        <v>34390</v>
      </c>
      <c r="K6720" t="s">
        <v>39029</v>
      </c>
      <c r="M6720" t="s">
        <v>41602</v>
      </c>
      <c r="N6720" t="s">
        <v>43166</v>
      </c>
      <c r="O6720" t="s">
        <v>43167</v>
      </c>
      <c r="P6720">
        <v>0</v>
      </c>
      <c r="Q6720">
        <v>0</v>
      </c>
      <c r="R6720" t="s">
        <v>43173</v>
      </c>
      <c r="S6720" t="s">
        <v>43374</v>
      </c>
      <c r="T6720" t="s">
        <v>44888</v>
      </c>
      <c r="U6720" t="s">
        <v>50643</v>
      </c>
      <c r="W6720" t="s">
        <v>41602</v>
      </c>
      <c r="X6720" t="s">
        <v>43174</v>
      </c>
    </row>
    <row r="6721" spans="1:24">
      <c r="A6721">
        <f>HYPERLINK("https://www.philgeps.gov.ph/GEPSNONPILOT/Tender/SplashBidNoticeAbstractUI.aspx?menuIndex=3&amp;refID=7076117&amp;Result=3","7076117")</f>
        <v>0</v>
      </c>
      <c r="B6721" t="s">
        <v>2140</v>
      </c>
      <c r="C6721" t="s">
        <v>9819</v>
      </c>
      <c r="D6721" t="s">
        <v>17448</v>
      </c>
      <c r="E6721" t="s">
        <v>19101</v>
      </c>
      <c r="F6721" t="s">
        <v>30052</v>
      </c>
      <c r="G6721" t="s">
        <v>30058</v>
      </c>
      <c r="H6721" t="s">
        <v>30067</v>
      </c>
      <c r="I6721" t="s">
        <v>3693</v>
      </c>
      <c r="J6721" t="s">
        <v>31290</v>
      </c>
      <c r="K6721" t="s">
        <v>39023</v>
      </c>
      <c r="M6721" t="s">
        <v>41604</v>
      </c>
      <c r="N6721" t="s">
        <v>43166</v>
      </c>
      <c r="O6721" t="s">
        <v>43167</v>
      </c>
      <c r="P6721">
        <v>0</v>
      </c>
      <c r="Q6721">
        <v>0</v>
      </c>
      <c r="R6721" t="s">
        <v>43173</v>
      </c>
      <c r="S6721" t="s">
        <v>43374</v>
      </c>
      <c r="T6721" t="s">
        <v>44841</v>
      </c>
      <c r="U6721" t="s">
        <v>50644</v>
      </c>
      <c r="W6721" t="s">
        <v>41604</v>
      </c>
      <c r="X6721" t="s">
        <v>43174</v>
      </c>
    </row>
    <row r="6722" spans="1:24">
      <c r="A6722">
        <f>HYPERLINK("https://www.philgeps.gov.ph/GEPSNONPILOT/Tender/SplashBidNoticeAbstractUI.aspx?menuIndex=3&amp;refID=7076166&amp;Result=3","7076166")</f>
        <v>0</v>
      </c>
      <c r="B6722" t="s">
        <v>820</v>
      </c>
      <c r="C6722" t="s">
        <v>9820</v>
      </c>
      <c r="D6722" t="s">
        <v>17472</v>
      </c>
      <c r="E6722" t="s">
        <v>23313</v>
      </c>
      <c r="F6722" t="s">
        <v>30052</v>
      </c>
      <c r="G6722" t="s">
        <v>30059</v>
      </c>
      <c r="H6722" t="s">
        <v>15498</v>
      </c>
      <c r="I6722" t="s">
        <v>30097</v>
      </c>
      <c r="J6722" t="s">
        <v>34391</v>
      </c>
      <c r="K6722" t="s">
        <v>39017</v>
      </c>
      <c r="M6722" t="s">
        <v>40137</v>
      </c>
      <c r="N6722" t="s">
        <v>43166</v>
      </c>
      <c r="O6722" t="s">
        <v>43167</v>
      </c>
      <c r="P6722">
        <v>0</v>
      </c>
      <c r="Q6722">
        <v>3</v>
      </c>
      <c r="R6722" t="s">
        <v>43173</v>
      </c>
      <c r="S6722" t="s">
        <v>43374</v>
      </c>
      <c r="T6722" t="s">
        <v>44798</v>
      </c>
      <c r="U6722" t="s">
        <v>50645</v>
      </c>
      <c r="V6722" t="s">
        <v>57047</v>
      </c>
      <c r="W6722" t="s">
        <v>40137</v>
      </c>
      <c r="X6722" t="s">
        <v>43174</v>
      </c>
    </row>
    <row r="6723" spans="1:24">
      <c r="A6723">
        <f>HYPERLINK("https://www.philgeps.gov.ph/GEPSNONPILOT/Tender/SplashBidNoticeAbstractUI.aspx?menuIndex=3&amp;refID=7068722&amp;Result=3","7068722")</f>
        <v>0</v>
      </c>
      <c r="B6723" t="s">
        <v>104</v>
      </c>
      <c r="C6723" t="s">
        <v>9821</v>
      </c>
      <c r="D6723" t="s">
        <v>17457</v>
      </c>
      <c r="E6723" t="s">
        <v>23314</v>
      </c>
      <c r="F6723" t="s">
        <v>30052</v>
      </c>
      <c r="G6723" t="s">
        <v>30058</v>
      </c>
      <c r="H6723" t="s">
        <v>15498</v>
      </c>
      <c r="I6723" t="s">
        <v>30094</v>
      </c>
      <c r="J6723" t="s">
        <v>34392</v>
      </c>
      <c r="K6723" t="s">
        <v>39029</v>
      </c>
      <c r="M6723" t="s">
        <v>39393</v>
      </c>
      <c r="N6723" t="s">
        <v>43166</v>
      </c>
      <c r="O6723" t="s">
        <v>43167</v>
      </c>
      <c r="P6723">
        <v>0</v>
      </c>
      <c r="Q6723">
        <v>0</v>
      </c>
      <c r="R6723" t="s">
        <v>43173</v>
      </c>
      <c r="S6723" t="s">
        <v>43374</v>
      </c>
      <c r="T6723" t="s">
        <v>44796</v>
      </c>
      <c r="U6723" t="s">
        <v>50646</v>
      </c>
      <c r="V6723" t="s">
        <v>57514</v>
      </c>
      <c r="W6723" t="s">
        <v>39393</v>
      </c>
      <c r="X6723" t="s">
        <v>43179</v>
      </c>
    </row>
    <row r="6724" spans="1:24">
      <c r="A6724">
        <f>HYPERLINK("https://www.philgeps.gov.ph/GEPSNONPILOT/Tender/SplashBidNoticeAbstractUI.aspx?menuIndex=3&amp;refID=7076217&amp;Result=3","7076217")</f>
        <v>0</v>
      </c>
      <c r="B6724" t="s">
        <v>2141</v>
      </c>
      <c r="C6724" t="s">
        <v>9822</v>
      </c>
      <c r="D6724" t="s">
        <v>17454</v>
      </c>
      <c r="E6724" t="s">
        <v>23315</v>
      </c>
      <c r="F6724" t="s">
        <v>30052</v>
      </c>
      <c r="G6724" t="s">
        <v>30058</v>
      </c>
      <c r="H6724" t="s">
        <v>30067</v>
      </c>
      <c r="I6724" t="s">
        <v>3693</v>
      </c>
      <c r="J6724" t="s">
        <v>31207</v>
      </c>
      <c r="K6724" t="s">
        <v>39026</v>
      </c>
      <c r="M6724" t="s">
        <v>41605</v>
      </c>
      <c r="N6724" t="s">
        <v>43166</v>
      </c>
      <c r="O6724" t="s">
        <v>43167</v>
      </c>
      <c r="P6724">
        <v>0</v>
      </c>
      <c r="Q6724">
        <v>0</v>
      </c>
      <c r="R6724" t="s">
        <v>43173</v>
      </c>
      <c r="S6724" t="s">
        <v>43374</v>
      </c>
      <c r="T6724" t="s">
        <v>44772</v>
      </c>
      <c r="U6724" t="s">
        <v>50647</v>
      </c>
      <c r="W6724" t="s">
        <v>41605</v>
      </c>
      <c r="X6724" t="s">
        <v>43174</v>
      </c>
    </row>
    <row r="6725" spans="1:24">
      <c r="A6725">
        <f>HYPERLINK("https://www.philgeps.gov.ph/GEPSNONPILOT/Tender/SplashBidNoticeAbstractUI.aspx?menuIndex=3&amp;refID=7076208&amp;Result=3","7076208")</f>
        <v>0</v>
      </c>
      <c r="B6725" t="s">
        <v>2142</v>
      </c>
      <c r="C6725" t="s">
        <v>9823</v>
      </c>
      <c r="D6725" t="s">
        <v>17446</v>
      </c>
      <c r="E6725" t="s">
        <v>17774</v>
      </c>
      <c r="F6725" t="s">
        <v>30052</v>
      </c>
      <c r="G6725" t="s">
        <v>30059</v>
      </c>
      <c r="H6725" t="s">
        <v>30067</v>
      </c>
      <c r="I6725" t="s">
        <v>30093</v>
      </c>
      <c r="J6725" t="s">
        <v>34393</v>
      </c>
      <c r="K6725" t="s">
        <v>39060</v>
      </c>
      <c r="M6725" t="s">
        <v>41606</v>
      </c>
      <c r="N6725" t="s">
        <v>43166</v>
      </c>
      <c r="O6725" t="s">
        <v>43167</v>
      </c>
      <c r="P6725">
        <v>0</v>
      </c>
      <c r="Q6725">
        <v>0</v>
      </c>
      <c r="R6725" t="s">
        <v>43173</v>
      </c>
      <c r="S6725" t="s">
        <v>43374</v>
      </c>
      <c r="T6725" t="s">
        <v>45051</v>
      </c>
      <c r="U6725" t="s">
        <v>50648</v>
      </c>
      <c r="W6725" t="s">
        <v>41606</v>
      </c>
      <c r="X6725" t="s">
        <v>43174</v>
      </c>
    </row>
    <row r="6726" spans="1:24">
      <c r="A6726">
        <f>HYPERLINK("https://www.philgeps.gov.ph/GEPSNONPILOT/Tender/SplashBidNoticeAbstractUI.aspx?menuIndex=3&amp;refID=7076115&amp;Result=3","7076115")</f>
        <v>0</v>
      </c>
      <c r="B6726" t="s">
        <v>2143</v>
      </c>
      <c r="C6726" t="s">
        <v>9817</v>
      </c>
      <c r="D6726" t="s">
        <v>17448</v>
      </c>
      <c r="E6726" t="s">
        <v>23311</v>
      </c>
      <c r="F6726" t="s">
        <v>30052</v>
      </c>
      <c r="G6726" t="s">
        <v>30058</v>
      </c>
      <c r="H6726" t="s">
        <v>30069</v>
      </c>
      <c r="I6726" t="s">
        <v>30094</v>
      </c>
      <c r="J6726" t="s">
        <v>30230</v>
      </c>
      <c r="K6726" t="s">
        <v>39019</v>
      </c>
      <c r="M6726" t="s">
        <v>41607</v>
      </c>
      <c r="N6726" t="s">
        <v>43166</v>
      </c>
      <c r="O6726" t="s">
        <v>43167</v>
      </c>
      <c r="P6726">
        <v>0</v>
      </c>
      <c r="Q6726">
        <v>0</v>
      </c>
      <c r="R6726" t="s">
        <v>43173</v>
      </c>
      <c r="S6726" t="s">
        <v>43374</v>
      </c>
      <c r="T6726" t="s">
        <v>44734</v>
      </c>
      <c r="U6726" t="s">
        <v>47077</v>
      </c>
      <c r="W6726" t="s">
        <v>41607</v>
      </c>
      <c r="X6726" t="s">
        <v>43174</v>
      </c>
    </row>
    <row r="6727" spans="1:24">
      <c r="A6727">
        <f>HYPERLINK("https://www.philgeps.gov.ph/GEPSNONPILOT/Tender/SplashBidNoticeAbstractUI.aspx?menuIndex=3&amp;refID=7076203&amp;Result=3","7076203")</f>
        <v>0</v>
      </c>
      <c r="B6727" t="s">
        <v>813</v>
      </c>
      <c r="C6727" t="s">
        <v>9824</v>
      </c>
      <c r="D6727" t="s">
        <v>17426</v>
      </c>
      <c r="E6727" t="s">
        <v>23316</v>
      </c>
      <c r="F6727" t="s">
        <v>30052</v>
      </c>
      <c r="G6727" t="s">
        <v>30058</v>
      </c>
      <c r="H6727" t="s">
        <v>15498</v>
      </c>
      <c r="I6727" t="s">
        <v>30071</v>
      </c>
      <c r="J6727" t="s">
        <v>31258</v>
      </c>
      <c r="K6727" t="s">
        <v>39052</v>
      </c>
      <c r="M6727" t="s">
        <v>40130</v>
      </c>
      <c r="N6727" t="s">
        <v>43166</v>
      </c>
      <c r="O6727" t="s">
        <v>43167</v>
      </c>
      <c r="P6727">
        <v>0</v>
      </c>
      <c r="Q6727">
        <v>0</v>
      </c>
      <c r="R6727" t="s">
        <v>43173</v>
      </c>
      <c r="S6727" t="s">
        <v>43374</v>
      </c>
      <c r="T6727" t="s">
        <v>44988</v>
      </c>
      <c r="U6727" t="s">
        <v>50649</v>
      </c>
      <c r="W6727" t="s">
        <v>40130</v>
      </c>
      <c r="X6727" t="s">
        <v>43174</v>
      </c>
    </row>
    <row r="6728" spans="1:24">
      <c r="A6728">
        <f>HYPERLINK("https://www.philgeps.gov.ph/GEPSNONPILOT/Tender/SplashBidNoticeAbstractUI.aspx?menuIndex=3&amp;refID=7076153&amp;Result=3","7076153")</f>
        <v>0</v>
      </c>
      <c r="B6728" t="s">
        <v>2136</v>
      </c>
      <c r="C6728" t="s">
        <v>9825</v>
      </c>
      <c r="D6728" t="s">
        <v>17453</v>
      </c>
      <c r="E6728" t="s">
        <v>23317</v>
      </c>
      <c r="F6728" t="s">
        <v>30052</v>
      </c>
      <c r="G6728" t="s">
        <v>30058</v>
      </c>
      <c r="H6728" t="s">
        <v>30067</v>
      </c>
      <c r="I6728" t="s">
        <v>3693</v>
      </c>
      <c r="J6728" t="s">
        <v>30277</v>
      </c>
      <c r="K6728" t="s">
        <v>39046</v>
      </c>
      <c r="M6728" t="s">
        <v>41600</v>
      </c>
      <c r="N6728" t="s">
        <v>43166</v>
      </c>
      <c r="O6728" t="s">
        <v>43167</v>
      </c>
      <c r="Q6728">
        <v>0</v>
      </c>
      <c r="R6728" t="s">
        <v>43173</v>
      </c>
      <c r="S6728" t="s">
        <v>43378</v>
      </c>
      <c r="T6728" t="s">
        <v>44773</v>
      </c>
      <c r="U6728" t="s">
        <v>50650</v>
      </c>
      <c r="W6728" t="s">
        <v>41600</v>
      </c>
      <c r="X6728" t="s">
        <v>43174</v>
      </c>
    </row>
    <row r="6729" spans="1:24">
      <c r="A6729">
        <f>HYPERLINK("https://www.philgeps.gov.ph/GEPSNONPILOT/Tender/SplashBidNoticeAbstractUI.aspx?menuIndex=3&amp;refID=7076191&amp;Result=3","7076191")</f>
        <v>0</v>
      </c>
      <c r="B6729" t="s">
        <v>2144</v>
      </c>
      <c r="C6729" t="s">
        <v>9826</v>
      </c>
      <c r="D6729" t="s">
        <v>17441</v>
      </c>
      <c r="E6729" t="s">
        <v>23318</v>
      </c>
      <c r="F6729" t="s">
        <v>30052</v>
      </c>
      <c r="G6729" t="s">
        <v>30059</v>
      </c>
      <c r="H6729" t="s">
        <v>15498</v>
      </c>
      <c r="I6729" t="s">
        <v>4650</v>
      </c>
      <c r="J6729" t="s">
        <v>34394</v>
      </c>
      <c r="K6729" t="s">
        <v>39025</v>
      </c>
      <c r="M6729" t="s">
        <v>41608</v>
      </c>
      <c r="N6729" t="s">
        <v>43166</v>
      </c>
      <c r="O6729" t="s">
        <v>43167</v>
      </c>
      <c r="P6729">
        <v>0</v>
      </c>
      <c r="Q6729">
        <v>2</v>
      </c>
      <c r="R6729" t="s">
        <v>43173</v>
      </c>
      <c r="S6729" t="s">
        <v>43374</v>
      </c>
      <c r="T6729" t="s">
        <v>44735</v>
      </c>
      <c r="U6729" t="s">
        <v>50651</v>
      </c>
      <c r="W6729" t="s">
        <v>41608</v>
      </c>
      <c r="X6729" t="s">
        <v>43174</v>
      </c>
    </row>
    <row r="6730" spans="1:24">
      <c r="A6730">
        <f>HYPERLINK("https://www.philgeps.gov.ph/GEPSNONPILOT/Tender/SplashBidNoticeAbstractUI.aspx?menuIndex=3&amp;refID=7076188&amp;Result=3","7076188")</f>
        <v>0</v>
      </c>
      <c r="B6730" t="s">
        <v>2145</v>
      </c>
      <c r="C6730" t="s">
        <v>9827</v>
      </c>
      <c r="D6730" t="s">
        <v>17414</v>
      </c>
      <c r="E6730" t="s">
        <v>23319</v>
      </c>
      <c r="F6730" t="s">
        <v>30052</v>
      </c>
      <c r="G6730" t="s">
        <v>30059</v>
      </c>
      <c r="H6730" t="s">
        <v>15498</v>
      </c>
      <c r="I6730" t="s">
        <v>30073</v>
      </c>
      <c r="J6730" t="s">
        <v>30277</v>
      </c>
      <c r="K6730" t="s">
        <v>39057</v>
      </c>
      <c r="M6730" t="s">
        <v>41609</v>
      </c>
      <c r="N6730" t="s">
        <v>43166</v>
      </c>
      <c r="O6730" t="s">
        <v>43167</v>
      </c>
      <c r="P6730">
        <v>0</v>
      </c>
      <c r="Q6730">
        <v>0</v>
      </c>
      <c r="R6730" t="s">
        <v>43173</v>
      </c>
      <c r="S6730" t="s">
        <v>43374</v>
      </c>
      <c r="T6730" t="s">
        <v>44832</v>
      </c>
      <c r="U6730" t="s">
        <v>50652</v>
      </c>
      <c r="W6730" t="s">
        <v>41609</v>
      </c>
      <c r="X6730" t="s">
        <v>43174</v>
      </c>
    </row>
    <row r="6731" spans="1:24">
      <c r="A6731">
        <f>HYPERLINK("https://www.philgeps.gov.ph/GEPSNONPILOT/Tender/SplashBidNoticeAbstractUI.aspx?menuIndex=3&amp;refID=7076118&amp;Result=3","7076118")</f>
        <v>0</v>
      </c>
      <c r="B6731" t="s">
        <v>2140</v>
      </c>
      <c r="C6731" t="s">
        <v>9828</v>
      </c>
      <c r="D6731" t="s">
        <v>17448</v>
      </c>
      <c r="E6731" t="s">
        <v>23320</v>
      </c>
      <c r="F6731" t="s">
        <v>30052</v>
      </c>
      <c r="G6731" t="s">
        <v>30058</v>
      </c>
      <c r="H6731" t="s">
        <v>30067</v>
      </c>
      <c r="I6731" t="s">
        <v>3693</v>
      </c>
      <c r="J6731" t="s">
        <v>30235</v>
      </c>
      <c r="K6731" t="s">
        <v>39023</v>
      </c>
      <c r="M6731" t="s">
        <v>41604</v>
      </c>
      <c r="N6731" t="s">
        <v>43166</v>
      </c>
      <c r="O6731" t="s">
        <v>43167</v>
      </c>
      <c r="P6731">
        <v>0</v>
      </c>
      <c r="Q6731">
        <v>0</v>
      </c>
      <c r="R6731" t="s">
        <v>43173</v>
      </c>
      <c r="S6731" t="s">
        <v>43374</v>
      </c>
      <c r="T6731" t="s">
        <v>44841</v>
      </c>
      <c r="U6731" t="s">
        <v>50644</v>
      </c>
      <c r="W6731" t="s">
        <v>41604</v>
      </c>
      <c r="X6731" t="s">
        <v>43174</v>
      </c>
    </row>
    <row r="6732" spans="1:24">
      <c r="A6732">
        <f>HYPERLINK("https://www.philgeps.gov.ph/GEPSNONPILOT/Tender/SplashBidNoticeAbstractUI.aspx?menuIndex=3&amp;refID=7076155&amp;Result=3","7076155")</f>
        <v>0</v>
      </c>
      <c r="B6732" t="s">
        <v>145</v>
      </c>
      <c r="C6732" t="s">
        <v>9829</v>
      </c>
      <c r="E6732" t="s">
        <v>23321</v>
      </c>
      <c r="F6732" t="s">
        <v>30052</v>
      </c>
      <c r="G6732" t="s">
        <v>30060</v>
      </c>
      <c r="H6732" t="s">
        <v>15498</v>
      </c>
      <c r="I6732" t="s">
        <v>30074</v>
      </c>
      <c r="J6732" t="s">
        <v>33141</v>
      </c>
      <c r="K6732" t="s">
        <v>39046</v>
      </c>
      <c r="M6732" t="s">
        <v>39434</v>
      </c>
      <c r="N6732" t="s">
        <v>43166</v>
      </c>
      <c r="O6732" t="s">
        <v>43167</v>
      </c>
      <c r="P6732">
        <v>0</v>
      </c>
      <c r="Q6732">
        <v>3</v>
      </c>
      <c r="R6732" t="s">
        <v>43173</v>
      </c>
      <c r="S6732" t="s">
        <v>43374</v>
      </c>
      <c r="T6732" t="s">
        <v>44993</v>
      </c>
      <c r="U6732" t="s">
        <v>50653</v>
      </c>
      <c r="W6732" t="s">
        <v>40626</v>
      </c>
      <c r="X6732" t="s">
        <v>43174</v>
      </c>
    </row>
    <row r="6733" spans="1:24">
      <c r="A6733">
        <f>HYPERLINK("https://www.philgeps.gov.ph/GEPSNONPILOT/Tender/SplashBidNoticeAbstractUI.aspx?menuIndex=3&amp;refID=7076180&amp;Result=3","7076180")</f>
        <v>0</v>
      </c>
      <c r="B6733" t="s">
        <v>2146</v>
      </c>
      <c r="C6733" t="s">
        <v>9830</v>
      </c>
      <c r="D6733" t="s">
        <v>17422</v>
      </c>
      <c r="E6733" t="s">
        <v>23322</v>
      </c>
      <c r="F6733" t="s">
        <v>30052</v>
      </c>
      <c r="G6733" t="s">
        <v>30058</v>
      </c>
      <c r="H6733" t="s">
        <v>30067</v>
      </c>
      <c r="I6733" t="s">
        <v>30093</v>
      </c>
      <c r="J6733" t="s">
        <v>34395</v>
      </c>
      <c r="K6733" t="s">
        <v>39031</v>
      </c>
      <c r="M6733" t="s">
        <v>41610</v>
      </c>
      <c r="N6733" t="s">
        <v>43166</v>
      </c>
      <c r="O6733" t="s">
        <v>43167</v>
      </c>
      <c r="P6733">
        <v>0</v>
      </c>
      <c r="Q6733">
        <v>0</v>
      </c>
      <c r="R6733" t="s">
        <v>43173</v>
      </c>
      <c r="S6733" t="s">
        <v>43374</v>
      </c>
      <c r="T6733" t="s">
        <v>44681</v>
      </c>
      <c r="U6733" t="s">
        <v>50654</v>
      </c>
      <c r="W6733" t="s">
        <v>41610</v>
      </c>
      <c r="X6733" t="s">
        <v>43174</v>
      </c>
    </row>
    <row r="6734" spans="1:24">
      <c r="A6734">
        <f>HYPERLINK("https://www.philgeps.gov.ph/GEPSNONPILOT/Tender/SplashBidNoticeAbstractUI.aspx?menuIndex=3&amp;refID=7076178&amp;Result=3","7076178")</f>
        <v>0</v>
      </c>
      <c r="B6734" t="s">
        <v>2147</v>
      </c>
      <c r="C6734" t="s">
        <v>9831</v>
      </c>
      <c r="E6734" t="s">
        <v>23323</v>
      </c>
      <c r="F6734" t="s">
        <v>30052</v>
      </c>
      <c r="G6734" t="s">
        <v>30058</v>
      </c>
      <c r="H6734" t="s">
        <v>30067</v>
      </c>
      <c r="I6734" t="s">
        <v>3693</v>
      </c>
      <c r="J6734" t="s">
        <v>31207</v>
      </c>
      <c r="K6734" t="s">
        <v>39137</v>
      </c>
      <c r="M6734" t="s">
        <v>41611</v>
      </c>
      <c r="N6734" t="s">
        <v>43166</v>
      </c>
      <c r="O6734" t="s">
        <v>43167</v>
      </c>
      <c r="P6734">
        <v>0</v>
      </c>
      <c r="Q6734">
        <v>0</v>
      </c>
      <c r="R6734" t="s">
        <v>43173</v>
      </c>
      <c r="S6734" t="s">
        <v>43374</v>
      </c>
      <c r="T6734" t="s">
        <v>45009</v>
      </c>
      <c r="U6734" t="s">
        <v>50655</v>
      </c>
      <c r="W6734" t="s">
        <v>41611</v>
      </c>
      <c r="X6734" t="s">
        <v>43174</v>
      </c>
    </row>
    <row r="6735" spans="1:24">
      <c r="A6735">
        <f>HYPERLINK("https://www.philgeps.gov.ph/GEPSNONPILOT/Tender/SplashBidNoticeAbstractUI.aspx?menuIndex=3&amp;refID=7076189&amp;Result=3","7076189")</f>
        <v>0</v>
      </c>
      <c r="B6735" t="s">
        <v>820</v>
      </c>
      <c r="C6735" t="s">
        <v>9832</v>
      </c>
      <c r="D6735" t="s">
        <v>17472</v>
      </c>
      <c r="E6735" t="s">
        <v>23324</v>
      </c>
      <c r="F6735" t="s">
        <v>30052</v>
      </c>
      <c r="G6735" t="s">
        <v>30059</v>
      </c>
      <c r="H6735" t="s">
        <v>30067</v>
      </c>
      <c r="I6735" t="s">
        <v>3693</v>
      </c>
      <c r="J6735" t="s">
        <v>34396</v>
      </c>
      <c r="K6735" t="s">
        <v>39046</v>
      </c>
      <c r="M6735" t="s">
        <v>40137</v>
      </c>
      <c r="N6735" t="s">
        <v>43166</v>
      </c>
      <c r="O6735" t="s">
        <v>43167</v>
      </c>
      <c r="P6735">
        <v>0</v>
      </c>
      <c r="Q6735">
        <v>0</v>
      </c>
      <c r="R6735" t="s">
        <v>43173</v>
      </c>
      <c r="S6735" t="s">
        <v>43374</v>
      </c>
      <c r="T6735" t="s">
        <v>44798</v>
      </c>
      <c r="U6735" t="s">
        <v>50656</v>
      </c>
      <c r="V6735" t="s">
        <v>57047</v>
      </c>
      <c r="W6735" t="s">
        <v>40137</v>
      </c>
      <c r="X6735" t="s">
        <v>43174</v>
      </c>
    </row>
    <row r="6736" spans="1:24">
      <c r="A6736">
        <f>HYPERLINK("https://www.philgeps.gov.ph/GEPSNONPILOT/Tender/SplashBidNoticeAbstractUI.aspx?menuIndex=3&amp;refID=7076186&amp;Result=3","7076186")</f>
        <v>0</v>
      </c>
      <c r="B6736" t="s">
        <v>621</v>
      </c>
      <c r="C6736" t="s">
        <v>9833</v>
      </c>
      <c r="D6736" t="s">
        <v>17474</v>
      </c>
      <c r="E6736" t="s">
        <v>23325</v>
      </c>
      <c r="F6736" t="s">
        <v>30052</v>
      </c>
      <c r="G6736" t="s">
        <v>30059</v>
      </c>
      <c r="H6736" t="s">
        <v>15498</v>
      </c>
      <c r="I6736" t="s">
        <v>30084</v>
      </c>
      <c r="J6736" t="s">
        <v>30587</v>
      </c>
      <c r="K6736" t="s">
        <v>39029</v>
      </c>
      <c r="L6736" t="s">
        <v>621</v>
      </c>
      <c r="M6736" t="s">
        <v>39924</v>
      </c>
      <c r="N6736" t="s">
        <v>43166</v>
      </c>
      <c r="O6736" t="s">
        <v>43167</v>
      </c>
      <c r="P6736">
        <v>0</v>
      </c>
      <c r="Q6736">
        <v>0</v>
      </c>
      <c r="R6736" t="s">
        <v>43173</v>
      </c>
      <c r="S6736" t="s">
        <v>43374</v>
      </c>
      <c r="T6736" t="s">
        <v>44888</v>
      </c>
      <c r="U6736" t="s">
        <v>50657</v>
      </c>
      <c r="V6736" t="s">
        <v>57532</v>
      </c>
      <c r="W6736" t="s">
        <v>39924</v>
      </c>
      <c r="X6736" t="s">
        <v>43174</v>
      </c>
    </row>
    <row r="6737" spans="1:24">
      <c r="A6737">
        <f>HYPERLINK("https://www.philgeps.gov.ph/GEPSNONPILOT/Tender/SplashBidNoticeAbstractUI.aspx?menuIndex=3&amp;refID=7076184&amp;Result=3","7076184")</f>
        <v>0</v>
      </c>
      <c r="B6737" t="s">
        <v>820</v>
      </c>
      <c r="C6737" t="s">
        <v>9834</v>
      </c>
      <c r="D6737" t="s">
        <v>17472</v>
      </c>
      <c r="E6737" t="s">
        <v>23326</v>
      </c>
      <c r="F6737" t="s">
        <v>30052</v>
      </c>
      <c r="G6737" t="s">
        <v>30059</v>
      </c>
      <c r="H6737" t="s">
        <v>30067</v>
      </c>
      <c r="I6737" t="s">
        <v>3693</v>
      </c>
      <c r="J6737" t="s">
        <v>34397</v>
      </c>
      <c r="K6737" t="s">
        <v>39029</v>
      </c>
      <c r="M6737" t="s">
        <v>40137</v>
      </c>
      <c r="N6737" t="s">
        <v>43166</v>
      </c>
      <c r="O6737" t="s">
        <v>43167</v>
      </c>
      <c r="P6737">
        <v>0</v>
      </c>
      <c r="Q6737">
        <v>0</v>
      </c>
      <c r="R6737" t="s">
        <v>43173</v>
      </c>
      <c r="S6737" t="s">
        <v>43374</v>
      </c>
      <c r="T6737" t="s">
        <v>44798</v>
      </c>
      <c r="U6737" t="s">
        <v>50658</v>
      </c>
      <c r="V6737" t="s">
        <v>57047</v>
      </c>
      <c r="W6737" t="s">
        <v>40137</v>
      </c>
      <c r="X6737" t="s">
        <v>43174</v>
      </c>
    </row>
    <row r="6738" spans="1:24">
      <c r="A6738">
        <f>HYPERLINK("https://www.philgeps.gov.ph/GEPSNONPILOT/Tender/SplashBidNoticeAbstractUI.aspx?menuIndex=3&amp;refID=7076213&amp;Result=3","7076213")</f>
        <v>0</v>
      </c>
      <c r="B6738" t="s">
        <v>112</v>
      </c>
      <c r="C6738" t="s">
        <v>9835</v>
      </c>
      <c r="D6738" t="s">
        <v>17435</v>
      </c>
      <c r="E6738" t="s">
        <v>23327</v>
      </c>
      <c r="F6738" t="s">
        <v>30052</v>
      </c>
      <c r="G6738" t="s">
        <v>30058</v>
      </c>
      <c r="H6738" t="s">
        <v>15498</v>
      </c>
      <c r="I6738" t="s">
        <v>4650</v>
      </c>
      <c r="J6738" t="s">
        <v>31592</v>
      </c>
      <c r="K6738" t="s">
        <v>39025</v>
      </c>
      <c r="M6738" t="s">
        <v>39401</v>
      </c>
      <c r="N6738" t="s">
        <v>43166</v>
      </c>
      <c r="O6738" t="s">
        <v>43167</v>
      </c>
      <c r="P6738">
        <v>0</v>
      </c>
      <c r="Q6738">
        <v>0</v>
      </c>
      <c r="R6738" t="s">
        <v>43173</v>
      </c>
      <c r="S6738" t="s">
        <v>43374</v>
      </c>
      <c r="T6738" t="s">
        <v>44685</v>
      </c>
      <c r="U6738" t="s">
        <v>50659</v>
      </c>
      <c r="V6738" t="s">
        <v>56838</v>
      </c>
      <c r="W6738" t="s">
        <v>39401</v>
      </c>
      <c r="X6738" t="s">
        <v>43174</v>
      </c>
    </row>
    <row r="6739" spans="1:24">
      <c r="A6739">
        <f>HYPERLINK("https://www.philgeps.gov.ph/GEPSNONPILOT/Tender/SplashBidNoticeAbstractUI.aspx?menuIndex=3&amp;refID=7076171&amp;Result=3","7076171")</f>
        <v>0</v>
      </c>
      <c r="B6739" t="s">
        <v>2148</v>
      </c>
      <c r="C6739" t="s">
        <v>9836</v>
      </c>
      <c r="D6739" t="s">
        <v>17452</v>
      </c>
      <c r="E6739" t="s">
        <v>22786</v>
      </c>
      <c r="F6739" t="s">
        <v>30052</v>
      </c>
      <c r="G6739" t="s">
        <v>30058</v>
      </c>
      <c r="H6739" t="s">
        <v>15498</v>
      </c>
      <c r="I6739" t="s">
        <v>3736</v>
      </c>
      <c r="J6739" t="s">
        <v>34398</v>
      </c>
      <c r="K6739" t="s">
        <v>39019</v>
      </c>
      <c r="M6739" t="s">
        <v>41612</v>
      </c>
      <c r="N6739" t="s">
        <v>43166</v>
      </c>
      <c r="O6739" t="s">
        <v>43167</v>
      </c>
      <c r="P6739">
        <v>0</v>
      </c>
      <c r="Q6739">
        <v>0</v>
      </c>
      <c r="R6739" t="s">
        <v>43173</v>
      </c>
      <c r="S6739" t="s">
        <v>43374</v>
      </c>
      <c r="T6739" t="s">
        <v>44773</v>
      </c>
      <c r="U6739" t="s">
        <v>48866</v>
      </c>
      <c r="W6739" t="s">
        <v>41612</v>
      </c>
      <c r="X6739" t="s">
        <v>43174</v>
      </c>
    </row>
    <row r="6740" spans="1:24">
      <c r="A6740">
        <f>HYPERLINK("https://www.philgeps.gov.ph/GEPSNONPILOT/Tender/SplashBidNoticeAbstractUI.aspx?menuIndex=3&amp;refID=7076170&amp;Result=3","7076170")</f>
        <v>0</v>
      </c>
      <c r="B6740" t="s">
        <v>2136</v>
      </c>
      <c r="C6740" t="s">
        <v>9837</v>
      </c>
      <c r="D6740" t="s">
        <v>17453</v>
      </c>
      <c r="E6740" t="s">
        <v>23328</v>
      </c>
      <c r="F6740" t="s">
        <v>30052</v>
      </c>
      <c r="G6740" t="s">
        <v>30058</v>
      </c>
      <c r="H6740" t="s">
        <v>30067</v>
      </c>
      <c r="I6740" t="s">
        <v>3693</v>
      </c>
      <c r="J6740" t="s">
        <v>30252</v>
      </c>
      <c r="K6740" t="s">
        <v>39046</v>
      </c>
      <c r="M6740" t="s">
        <v>41600</v>
      </c>
      <c r="N6740" t="s">
        <v>43166</v>
      </c>
      <c r="O6740" t="s">
        <v>43167</v>
      </c>
      <c r="P6740">
        <v>0</v>
      </c>
      <c r="Q6740">
        <v>0</v>
      </c>
      <c r="R6740" t="s">
        <v>43173</v>
      </c>
      <c r="S6740" t="s">
        <v>43374</v>
      </c>
      <c r="T6740" t="s">
        <v>44773</v>
      </c>
      <c r="U6740" t="s">
        <v>50660</v>
      </c>
      <c r="W6740" t="s">
        <v>41600</v>
      </c>
      <c r="X6740" t="s">
        <v>43174</v>
      </c>
    </row>
    <row r="6741" spans="1:24">
      <c r="A6741">
        <f>HYPERLINK("https://www.philgeps.gov.ph/GEPSNONPILOT/Tender/SplashBidNoticeAbstractUI.aspx?menuIndex=3&amp;refID=7076176&amp;Result=3","7076176")</f>
        <v>0</v>
      </c>
      <c r="B6741" t="s">
        <v>820</v>
      </c>
      <c r="C6741" t="s">
        <v>9838</v>
      </c>
      <c r="E6741" t="s">
        <v>23329</v>
      </c>
      <c r="F6741" t="s">
        <v>30052</v>
      </c>
      <c r="G6741" t="s">
        <v>30059</v>
      </c>
      <c r="H6741" t="s">
        <v>30067</v>
      </c>
      <c r="I6741" t="s">
        <v>3693</v>
      </c>
      <c r="J6741" t="s">
        <v>34399</v>
      </c>
      <c r="K6741" t="s">
        <v>39017</v>
      </c>
      <c r="M6741" t="s">
        <v>40137</v>
      </c>
      <c r="N6741" t="s">
        <v>43166</v>
      </c>
      <c r="O6741" t="s">
        <v>43167</v>
      </c>
      <c r="P6741">
        <v>0</v>
      </c>
      <c r="Q6741">
        <v>0</v>
      </c>
      <c r="R6741" t="s">
        <v>43173</v>
      </c>
      <c r="S6741" t="s">
        <v>43374</v>
      </c>
      <c r="T6741" t="s">
        <v>44798</v>
      </c>
      <c r="U6741" t="s">
        <v>50661</v>
      </c>
      <c r="V6741" t="s">
        <v>57047</v>
      </c>
      <c r="W6741" t="s">
        <v>40137</v>
      </c>
      <c r="X6741" t="s">
        <v>43174</v>
      </c>
    </row>
    <row r="6742" spans="1:24">
      <c r="A6742">
        <f>HYPERLINK("https://www.philgeps.gov.ph/GEPSNONPILOT/Tender/SplashBidNoticeAbstractUI.aspx?menuIndex=3&amp;refID=7076131&amp;Result=3","7076131")</f>
        <v>0</v>
      </c>
      <c r="B6742" t="s">
        <v>2137</v>
      </c>
      <c r="C6742" t="s">
        <v>9839</v>
      </c>
      <c r="D6742" t="s">
        <v>17417</v>
      </c>
      <c r="E6742" t="s">
        <v>23330</v>
      </c>
      <c r="F6742" t="s">
        <v>30052</v>
      </c>
      <c r="G6742" t="s">
        <v>30058</v>
      </c>
      <c r="H6742" t="s">
        <v>15498</v>
      </c>
      <c r="I6742" t="s">
        <v>30083</v>
      </c>
      <c r="J6742" t="s">
        <v>30215</v>
      </c>
      <c r="K6742" t="s">
        <v>39029</v>
      </c>
      <c r="M6742" t="s">
        <v>41601</v>
      </c>
      <c r="N6742" t="s">
        <v>43166</v>
      </c>
      <c r="O6742" t="s">
        <v>43167</v>
      </c>
      <c r="P6742">
        <v>0</v>
      </c>
      <c r="Q6742">
        <v>4</v>
      </c>
      <c r="R6742" t="s">
        <v>43173</v>
      </c>
      <c r="S6742" t="s">
        <v>43374</v>
      </c>
      <c r="T6742" t="s">
        <v>44842</v>
      </c>
      <c r="U6742" t="s">
        <v>50662</v>
      </c>
      <c r="W6742" t="s">
        <v>41601</v>
      </c>
      <c r="X6742" t="s">
        <v>43174</v>
      </c>
    </row>
    <row r="6743" spans="1:24">
      <c r="A6743">
        <f>HYPERLINK("https://www.philgeps.gov.ph/GEPSNONPILOT/Tender/SplashBidNoticeAbstractUI.aspx?menuIndex=3&amp;refID=7076278&amp;Result=3","7076278")</f>
        <v>0</v>
      </c>
      <c r="B6743" t="s">
        <v>2149</v>
      </c>
      <c r="C6743" t="s">
        <v>9840</v>
      </c>
      <c r="D6743" t="s">
        <v>17449</v>
      </c>
      <c r="E6743" t="s">
        <v>23331</v>
      </c>
      <c r="F6743" t="s">
        <v>30052</v>
      </c>
      <c r="G6743" t="s">
        <v>30061</v>
      </c>
      <c r="H6743" t="s">
        <v>15498</v>
      </c>
      <c r="I6743" t="s">
        <v>3736</v>
      </c>
      <c r="J6743" t="s">
        <v>34400</v>
      </c>
      <c r="K6743" t="s">
        <v>39017</v>
      </c>
      <c r="M6743" t="s">
        <v>41613</v>
      </c>
      <c r="N6743" t="s">
        <v>43166</v>
      </c>
      <c r="O6743" t="s">
        <v>43167</v>
      </c>
      <c r="P6743">
        <v>0</v>
      </c>
      <c r="Q6743">
        <v>0</v>
      </c>
      <c r="R6743" t="s">
        <v>43173</v>
      </c>
      <c r="S6743" t="s">
        <v>43374</v>
      </c>
      <c r="T6743" t="s">
        <v>44691</v>
      </c>
      <c r="U6743" t="s">
        <v>50663</v>
      </c>
      <c r="W6743" t="s">
        <v>41613</v>
      </c>
      <c r="X6743" t="s">
        <v>43174</v>
      </c>
    </row>
    <row r="6744" spans="1:24">
      <c r="A6744">
        <f>HYPERLINK("https://www.philgeps.gov.ph/GEPSNONPILOT/Tender/SplashBidNoticeAbstractUI.aspx?menuIndex=3&amp;refID=7076270&amp;Result=3","7076270")</f>
        <v>0</v>
      </c>
      <c r="B6744" t="s">
        <v>1517</v>
      </c>
      <c r="C6744" t="s">
        <v>9841</v>
      </c>
      <c r="D6744" t="s">
        <v>17421</v>
      </c>
      <c r="E6744" t="s">
        <v>23332</v>
      </c>
      <c r="F6744" t="s">
        <v>30052</v>
      </c>
      <c r="G6744" t="s">
        <v>30060</v>
      </c>
      <c r="H6744" t="s">
        <v>15498</v>
      </c>
      <c r="I6744" t="s">
        <v>30084</v>
      </c>
      <c r="J6744" t="s">
        <v>34401</v>
      </c>
      <c r="K6744" t="s">
        <v>39039</v>
      </c>
      <c r="M6744" t="s">
        <v>41614</v>
      </c>
      <c r="N6744" t="s">
        <v>43166</v>
      </c>
      <c r="O6744" t="s">
        <v>43167</v>
      </c>
      <c r="P6744">
        <v>0</v>
      </c>
      <c r="Q6744">
        <v>4</v>
      </c>
      <c r="R6744" t="s">
        <v>43173</v>
      </c>
      <c r="S6744" t="s">
        <v>43374</v>
      </c>
      <c r="T6744" t="s">
        <v>44844</v>
      </c>
      <c r="U6744" t="s">
        <v>50664</v>
      </c>
      <c r="W6744" t="s">
        <v>41614</v>
      </c>
      <c r="X6744" t="s">
        <v>43174</v>
      </c>
    </row>
    <row r="6745" spans="1:24">
      <c r="A6745">
        <f>HYPERLINK("https://www.philgeps.gov.ph/GEPSNONPILOT/Tender/SplashBidNoticeAbstractUI.aspx?menuIndex=3&amp;refID=7076179&amp;Result=3","7076179")</f>
        <v>0</v>
      </c>
      <c r="B6745" t="s">
        <v>2150</v>
      </c>
      <c r="C6745" t="s">
        <v>9817</v>
      </c>
      <c r="D6745" t="s">
        <v>17448</v>
      </c>
      <c r="E6745" t="s">
        <v>23333</v>
      </c>
      <c r="F6745" t="s">
        <v>30052</v>
      </c>
      <c r="G6745" t="s">
        <v>30059</v>
      </c>
      <c r="H6745" t="s">
        <v>30069</v>
      </c>
      <c r="I6745" t="s">
        <v>30094</v>
      </c>
      <c r="J6745" t="s">
        <v>30337</v>
      </c>
      <c r="K6745" t="s">
        <v>39019</v>
      </c>
      <c r="M6745" t="s">
        <v>41615</v>
      </c>
      <c r="N6745" t="s">
        <v>43166</v>
      </c>
      <c r="O6745" t="s">
        <v>43167</v>
      </c>
      <c r="P6745">
        <v>0</v>
      </c>
      <c r="Q6745">
        <v>0</v>
      </c>
      <c r="R6745" t="s">
        <v>43173</v>
      </c>
      <c r="S6745" t="s">
        <v>43374</v>
      </c>
      <c r="T6745" t="s">
        <v>44734</v>
      </c>
      <c r="U6745" t="s">
        <v>47077</v>
      </c>
      <c r="W6745" t="s">
        <v>41615</v>
      </c>
      <c r="X6745" t="s">
        <v>43174</v>
      </c>
    </row>
    <row r="6746" spans="1:24">
      <c r="A6746">
        <f>HYPERLINK("https://www.philgeps.gov.ph/GEPSNONPILOT/Tender/SplashBidNoticeAbstractUI.aspx?menuIndex=3&amp;refID=7076165&amp;Result=3","7076165")</f>
        <v>0</v>
      </c>
      <c r="B6746" t="s">
        <v>2151</v>
      </c>
      <c r="C6746" t="s">
        <v>9842</v>
      </c>
      <c r="D6746" t="s">
        <v>17466</v>
      </c>
      <c r="E6746" t="s">
        <v>23334</v>
      </c>
      <c r="F6746" t="s">
        <v>30052</v>
      </c>
      <c r="G6746" t="s">
        <v>30058</v>
      </c>
      <c r="H6746" t="s">
        <v>15498</v>
      </c>
      <c r="I6746" t="s">
        <v>3736</v>
      </c>
      <c r="J6746" t="s">
        <v>34402</v>
      </c>
      <c r="K6746" t="s">
        <v>39037</v>
      </c>
      <c r="M6746" t="s">
        <v>41616</v>
      </c>
      <c r="N6746" t="s">
        <v>43166</v>
      </c>
      <c r="O6746" t="s">
        <v>43167</v>
      </c>
      <c r="P6746">
        <v>0</v>
      </c>
      <c r="Q6746">
        <v>0</v>
      </c>
      <c r="R6746" t="s">
        <v>43173</v>
      </c>
      <c r="S6746" t="s">
        <v>43374</v>
      </c>
      <c r="T6746" t="s">
        <v>44773</v>
      </c>
      <c r="U6746" t="s">
        <v>50665</v>
      </c>
      <c r="W6746" t="s">
        <v>41616</v>
      </c>
      <c r="X6746" t="s">
        <v>43174</v>
      </c>
    </row>
    <row r="6747" spans="1:24">
      <c r="A6747">
        <f>HYPERLINK("https://www.philgeps.gov.ph/GEPSNONPILOT/Tender/SplashBidNoticeAbstractUI.aspx?menuIndex=3&amp;refID=7076173&amp;Result=3","7076173")</f>
        <v>0</v>
      </c>
      <c r="B6747" t="s">
        <v>1975</v>
      </c>
      <c r="C6747" t="s">
        <v>9843</v>
      </c>
      <c r="D6747" t="s">
        <v>17476</v>
      </c>
      <c r="E6747" t="s">
        <v>23335</v>
      </c>
      <c r="F6747" t="s">
        <v>30052</v>
      </c>
      <c r="G6747" t="s">
        <v>30058</v>
      </c>
      <c r="H6747" t="s">
        <v>15498</v>
      </c>
      <c r="I6747" t="s">
        <v>3736</v>
      </c>
      <c r="J6747" t="s">
        <v>34403</v>
      </c>
      <c r="K6747" t="s">
        <v>39019</v>
      </c>
      <c r="M6747" t="s">
        <v>41416</v>
      </c>
      <c r="N6747" t="s">
        <v>43166</v>
      </c>
      <c r="O6747" t="s">
        <v>43167</v>
      </c>
      <c r="P6747">
        <v>0</v>
      </c>
      <c r="Q6747">
        <v>0</v>
      </c>
      <c r="R6747" t="s">
        <v>43173</v>
      </c>
      <c r="S6747" t="s">
        <v>43374</v>
      </c>
      <c r="T6747" t="s">
        <v>44796</v>
      </c>
      <c r="U6747" t="s">
        <v>50666</v>
      </c>
      <c r="W6747" t="s">
        <v>41416</v>
      </c>
      <c r="X6747" t="s">
        <v>43174</v>
      </c>
    </row>
    <row r="6748" spans="1:24">
      <c r="A6748">
        <f>HYPERLINK("https://www.philgeps.gov.ph/GEPSNONPILOT/Tender/SplashBidNoticeAbstractUI.aspx?menuIndex=3&amp;refID=7076256&amp;Result=3","7076256")</f>
        <v>0</v>
      </c>
      <c r="B6748" t="s">
        <v>2142</v>
      </c>
      <c r="C6748" t="s">
        <v>9844</v>
      </c>
      <c r="D6748" t="s">
        <v>17446</v>
      </c>
      <c r="E6748" t="s">
        <v>17774</v>
      </c>
      <c r="F6748" t="s">
        <v>30052</v>
      </c>
      <c r="G6748" t="s">
        <v>30058</v>
      </c>
      <c r="H6748" t="s">
        <v>30067</v>
      </c>
      <c r="I6748" t="s">
        <v>30093</v>
      </c>
      <c r="J6748" t="s">
        <v>30248</v>
      </c>
      <c r="K6748" t="s">
        <v>39017</v>
      </c>
      <c r="M6748" t="s">
        <v>41606</v>
      </c>
      <c r="N6748" t="s">
        <v>43166</v>
      </c>
      <c r="O6748" t="s">
        <v>43167</v>
      </c>
      <c r="P6748">
        <v>0</v>
      </c>
      <c r="Q6748">
        <v>0</v>
      </c>
      <c r="R6748" t="s">
        <v>43173</v>
      </c>
      <c r="S6748" t="s">
        <v>43374</v>
      </c>
      <c r="T6748" t="s">
        <v>45051</v>
      </c>
      <c r="U6748" t="s">
        <v>50667</v>
      </c>
      <c r="W6748" t="s">
        <v>41606</v>
      </c>
      <c r="X6748" t="s">
        <v>43174</v>
      </c>
    </row>
    <row r="6749" spans="1:24">
      <c r="A6749">
        <f>HYPERLINK("https://www.philgeps.gov.ph/GEPSNONPILOT/Tender/SplashBidNoticeAbstractUI.aspx?menuIndex=3&amp;refID=7076260&amp;Result=3","7076260")</f>
        <v>0</v>
      </c>
      <c r="B6749" t="s">
        <v>2152</v>
      </c>
      <c r="C6749" t="s">
        <v>9845</v>
      </c>
      <c r="D6749" t="s">
        <v>17456</v>
      </c>
      <c r="E6749" t="s">
        <v>23336</v>
      </c>
      <c r="F6749" t="s">
        <v>30052</v>
      </c>
      <c r="G6749" t="s">
        <v>30058</v>
      </c>
      <c r="H6749" t="s">
        <v>30067</v>
      </c>
      <c r="I6749" t="s">
        <v>3693</v>
      </c>
      <c r="J6749" t="s">
        <v>30212</v>
      </c>
      <c r="K6749" t="s">
        <v>39027</v>
      </c>
      <c r="M6749" t="s">
        <v>41617</v>
      </c>
      <c r="N6749" t="s">
        <v>43166</v>
      </c>
      <c r="O6749" t="s">
        <v>43167</v>
      </c>
      <c r="P6749">
        <v>0</v>
      </c>
      <c r="Q6749">
        <v>2</v>
      </c>
      <c r="R6749" t="s">
        <v>43173</v>
      </c>
      <c r="S6749" t="s">
        <v>43374</v>
      </c>
      <c r="T6749" t="s">
        <v>44796</v>
      </c>
      <c r="U6749" t="s">
        <v>50668</v>
      </c>
      <c r="V6749" t="s">
        <v>57533</v>
      </c>
      <c r="W6749" t="s">
        <v>41617</v>
      </c>
      <c r="X6749" t="s">
        <v>43174</v>
      </c>
    </row>
    <row r="6750" spans="1:24">
      <c r="A6750">
        <f>HYPERLINK("https://www.philgeps.gov.ph/GEPSNONPILOT/Tender/SplashBidNoticeAbstractUI.aspx?menuIndex=3&amp;refID=7076272&amp;Result=3","7076272")</f>
        <v>0</v>
      </c>
      <c r="B6750" t="s">
        <v>2147</v>
      </c>
      <c r="C6750" t="s">
        <v>9846</v>
      </c>
      <c r="E6750" t="s">
        <v>23337</v>
      </c>
      <c r="F6750" t="s">
        <v>30052</v>
      </c>
      <c r="G6750" t="s">
        <v>30058</v>
      </c>
      <c r="H6750" t="s">
        <v>15498</v>
      </c>
      <c r="I6750" t="s">
        <v>3693</v>
      </c>
      <c r="J6750" t="s">
        <v>34404</v>
      </c>
      <c r="K6750" t="s">
        <v>39023</v>
      </c>
      <c r="M6750" t="s">
        <v>41611</v>
      </c>
      <c r="N6750" t="s">
        <v>43166</v>
      </c>
      <c r="O6750" t="s">
        <v>43167</v>
      </c>
      <c r="P6750">
        <v>0</v>
      </c>
      <c r="Q6750">
        <v>0</v>
      </c>
      <c r="R6750" t="s">
        <v>43173</v>
      </c>
      <c r="S6750" t="s">
        <v>43374</v>
      </c>
      <c r="T6750" t="s">
        <v>44758</v>
      </c>
      <c r="U6750" t="s">
        <v>50669</v>
      </c>
      <c r="W6750" t="s">
        <v>41611</v>
      </c>
      <c r="X6750" t="s">
        <v>43174</v>
      </c>
    </row>
    <row r="6751" spans="1:24">
      <c r="A6751">
        <f>HYPERLINK("https://www.philgeps.gov.ph/GEPSNONPILOT/Tender/SplashBidNoticeAbstractUI.aspx?menuIndex=3&amp;refID=7076268&amp;Result=3","7076268")</f>
        <v>0</v>
      </c>
      <c r="B6751" t="s">
        <v>2153</v>
      </c>
      <c r="C6751" t="s">
        <v>9847</v>
      </c>
      <c r="D6751" t="s">
        <v>17427</v>
      </c>
      <c r="E6751" t="s">
        <v>18907</v>
      </c>
      <c r="F6751" t="s">
        <v>30052</v>
      </c>
      <c r="G6751" t="s">
        <v>30060</v>
      </c>
      <c r="H6751" t="s">
        <v>15498</v>
      </c>
      <c r="I6751" t="s">
        <v>3736</v>
      </c>
      <c r="J6751" t="s">
        <v>34405</v>
      </c>
      <c r="K6751" t="s">
        <v>39029</v>
      </c>
      <c r="M6751" t="s">
        <v>41618</v>
      </c>
      <c r="N6751" t="s">
        <v>43166</v>
      </c>
      <c r="O6751" t="s">
        <v>43167</v>
      </c>
      <c r="P6751">
        <v>0</v>
      </c>
      <c r="Q6751">
        <v>0</v>
      </c>
      <c r="R6751" t="s">
        <v>43173</v>
      </c>
      <c r="S6751" t="s">
        <v>43374</v>
      </c>
      <c r="T6751" t="s">
        <v>44704</v>
      </c>
      <c r="U6751" t="s">
        <v>50670</v>
      </c>
      <c r="W6751" t="s">
        <v>41618</v>
      </c>
      <c r="X6751" t="s">
        <v>43174</v>
      </c>
    </row>
    <row r="6752" spans="1:24">
      <c r="A6752">
        <f>HYPERLINK("https://www.philgeps.gov.ph/GEPSNONPILOT/Tender/SplashBidNoticeAbstractUI.aspx?menuIndex=3&amp;refID=7076242&amp;Result=3","7076242")</f>
        <v>0</v>
      </c>
      <c r="B6752" t="s">
        <v>2154</v>
      </c>
      <c r="C6752" t="s">
        <v>9848</v>
      </c>
      <c r="D6752" t="s">
        <v>17451</v>
      </c>
      <c r="E6752" t="s">
        <v>23338</v>
      </c>
      <c r="F6752" t="s">
        <v>30052</v>
      </c>
      <c r="G6752" t="s">
        <v>30058</v>
      </c>
      <c r="H6752" t="s">
        <v>30067</v>
      </c>
      <c r="I6752" t="s">
        <v>3693</v>
      </c>
      <c r="J6752" t="s">
        <v>34406</v>
      </c>
      <c r="K6752" t="s">
        <v>39026</v>
      </c>
      <c r="M6752" t="s">
        <v>41619</v>
      </c>
      <c r="N6752" t="s">
        <v>43166</v>
      </c>
      <c r="O6752" t="s">
        <v>43167</v>
      </c>
      <c r="P6752">
        <v>0</v>
      </c>
      <c r="Q6752">
        <v>0</v>
      </c>
      <c r="R6752" t="s">
        <v>43173</v>
      </c>
      <c r="S6752" t="s">
        <v>43374</v>
      </c>
      <c r="T6752" t="s">
        <v>45052</v>
      </c>
      <c r="U6752" t="s">
        <v>50671</v>
      </c>
      <c r="W6752" t="s">
        <v>41619</v>
      </c>
      <c r="X6752" t="s">
        <v>43174</v>
      </c>
    </row>
    <row r="6753" spans="1:24">
      <c r="A6753">
        <f>HYPERLINK("https://www.philgeps.gov.ph/GEPSNONPILOT/Tender/SplashBidNoticeAbstractUI.aspx?menuIndex=3&amp;refID=7076167&amp;Result=3","7076167")</f>
        <v>0</v>
      </c>
      <c r="B6753" t="s">
        <v>1874</v>
      </c>
      <c r="C6753" t="s">
        <v>9849</v>
      </c>
      <c r="E6753" t="s">
        <v>23339</v>
      </c>
      <c r="F6753" t="s">
        <v>30052</v>
      </c>
      <c r="G6753" t="s">
        <v>30058</v>
      </c>
      <c r="H6753" t="s">
        <v>15498</v>
      </c>
      <c r="I6753" t="s">
        <v>3736</v>
      </c>
      <c r="J6753" t="s">
        <v>34407</v>
      </c>
      <c r="K6753" t="s">
        <v>39019</v>
      </c>
      <c r="M6753" t="s">
        <v>41620</v>
      </c>
      <c r="N6753" t="s">
        <v>43166</v>
      </c>
      <c r="O6753" t="s">
        <v>43167</v>
      </c>
      <c r="P6753">
        <v>0</v>
      </c>
      <c r="Q6753">
        <v>4</v>
      </c>
      <c r="R6753" t="s">
        <v>43173</v>
      </c>
      <c r="S6753" t="s">
        <v>43374</v>
      </c>
      <c r="T6753" t="s">
        <v>44754</v>
      </c>
      <c r="U6753" t="s">
        <v>50672</v>
      </c>
      <c r="W6753" t="s">
        <v>41620</v>
      </c>
      <c r="X6753" t="s">
        <v>43174</v>
      </c>
    </row>
    <row r="6754" spans="1:24">
      <c r="A6754">
        <f>HYPERLINK("https://www.philgeps.gov.ph/GEPSNONPILOT/Tender/SplashBidNoticeAbstractUI.aspx?menuIndex=3&amp;refID=7076261&amp;Result=3","7076261")</f>
        <v>0</v>
      </c>
      <c r="B6754" t="s">
        <v>1779</v>
      </c>
      <c r="C6754" t="s">
        <v>9850</v>
      </c>
      <c r="D6754" t="s">
        <v>17444</v>
      </c>
      <c r="E6754" t="s">
        <v>23340</v>
      </c>
      <c r="F6754" t="s">
        <v>30052</v>
      </c>
      <c r="G6754" t="s">
        <v>30058</v>
      </c>
      <c r="H6754" t="s">
        <v>15498</v>
      </c>
      <c r="I6754" t="s">
        <v>30074</v>
      </c>
      <c r="J6754" t="s">
        <v>33141</v>
      </c>
      <c r="K6754" t="s">
        <v>39029</v>
      </c>
      <c r="M6754" t="s">
        <v>41621</v>
      </c>
      <c r="N6754" t="s">
        <v>43166</v>
      </c>
      <c r="O6754" t="s">
        <v>43167</v>
      </c>
      <c r="P6754">
        <v>0</v>
      </c>
      <c r="Q6754">
        <v>4</v>
      </c>
      <c r="R6754" t="s">
        <v>43173</v>
      </c>
      <c r="S6754" t="s">
        <v>43374</v>
      </c>
      <c r="T6754" t="s">
        <v>44758</v>
      </c>
      <c r="U6754" t="s">
        <v>50673</v>
      </c>
      <c r="V6754" t="s">
        <v>57534</v>
      </c>
      <c r="W6754" t="s">
        <v>41621</v>
      </c>
      <c r="X6754" t="s">
        <v>43174</v>
      </c>
    </row>
    <row r="6755" spans="1:24">
      <c r="A6755">
        <f>HYPERLINK("https://www.philgeps.gov.ph/GEPSNONPILOT/Tender/SplashBidNoticeAbstractUI.aspx?menuIndex=3&amp;refID=7076324&amp;Result=3","7076324")</f>
        <v>0</v>
      </c>
      <c r="B6755" t="s">
        <v>498</v>
      </c>
      <c r="C6755" t="s">
        <v>9851</v>
      </c>
      <c r="D6755" t="s">
        <v>17431</v>
      </c>
      <c r="E6755" t="s">
        <v>23341</v>
      </c>
      <c r="F6755" t="s">
        <v>30052</v>
      </c>
      <c r="G6755" t="s">
        <v>30059</v>
      </c>
      <c r="H6755" t="s">
        <v>15498</v>
      </c>
      <c r="I6755" t="s">
        <v>3736</v>
      </c>
      <c r="J6755" t="s">
        <v>34408</v>
      </c>
      <c r="K6755" t="s">
        <v>39046</v>
      </c>
      <c r="M6755" t="s">
        <v>39799</v>
      </c>
      <c r="N6755" t="s">
        <v>43166</v>
      </c>
      <c r="O6755" t="s">
        <v>43167</v>
      </c>
      <c r="P6755">
        <v>0</v>
      </c>
      <c r="Q6755">
        <v>0</v>
      </c>
      <c r="R6755" t="s">
        <v>43173</v>
      </c>
      <c r="S6755" t="s">
        <v>43374</v>
      </c>
      <c r="T6755" t="s">
        <v>44717</v>
      </c>
      <c r="U6755" t="s">
        <v>50674</v>
      </c>
      <c r="W6755" t="s">
        <v>39799</v>
      </c>
      <c r="X6755" t="s">
        <v>43174</v>
      </c>
    </row>
    <row r="6756" spans="1:24">
      <c r="A6756">
        <f>HYPERLINK("https://www.philgeps.gov.ph/GEPSNONPILOT/Tender/SplashBidNoticeAbstractUI.aspx?menuIndex=3&amp;refID=7076244&amp;Result=3","7076244")</f>
        <v>0</v>
      </c>
      <c r="B6756" t="s">
        <v>1572</v>
      </c>
      <c r="C6756" t="s">
        <v>9852</v>
      </c>
      <c r="D6756" t="s">
        <v>17476</v>
      </c>
      <c r="E6756" t="s">
        <v>19932</v>
      </c>
      <c r="F6756" t="s">
        <v>30052</v>
      </c>
      <c r="G6756" t="s">
        <v>30061</v>
      </c>
      <c r="H6756" t="s">
        <v>15498</v>
      </c>
      <c r="I6756" t="s">
        <v>30076</v>
      </c>
      <c r="J6756" t="s">
        <v>30256</v>
      </c>
      <c r="K6756" t="s">
        <v>39036</v>
      </c>
      <c r="M6756" t="s">
        <v>40963</v>
      </c>
      <c r="N6756" t="s">
        <v>43166</v>
      </c>
      <c r="O6756" t="s">
        <v>43167</v>
      </c>
      <c r="P6756">
        <v>0</v>
      </c>
      <c r="Q6756">
        <v>1</v>
      </c>
      <c r="R6756" t="s">
        <v>43173</v>
      </c>
      <c r="S6756" t="s">
        <v>43374</v>
      </c>
      <c r="T6756" t="s">
        <v>44841</v>
      </c>
      <c r="U6756" t="s">
        <v>50675</v>
      </c>
      <c r="W6756" t="s">
        <v>40963</v>
      </c>
      <c r="X6756" t="s">
        <v>43174</v>
      </c>
    </row>
    <row r="6757" spans="1:24">
      <c r="A6757">
        <f>HYPERLINK("https://www.philgeps.gov.ph/GEPSNONPILOT/Tender/SplashBidNoticeAbstractUI.aspx?menuIndex=3&amp;refID=7076322&amp;Result=3","7076322")</f>
        <v>0</v>
      </c>
      <c r="B6757" t="s">
        <v>2142</v>
      </c>
      <c r="C6757" t="s">
        <v>9853</v>
      </c>
      <c r="D6757" t="s">
        <v>17446</v>
      </c>
      <c r="E6757" t="s">
        <v>17774</v>
      </c>
      <c r="F6757" t="s">
        <v>30052</v>
      </c>
      <c r="G6757" t="s">
        <v>30058</v>
      </c>
      <c r="H6757" t="s">
        <v>30067</v>
      </c>
      <c r="I6757" t="s">
        <v>30093</v>
      </c>
      <c r="J6757" t="s">
        <v>30230</v>
      </c>
      <c r="K6757" t="s">
        <v>39045</v>
      </c>
      <c r="M6757" t="s">
        <v>41606</v>
      </c>
      <c r="N6757" t="s">
        <v>43166</v>
      </c>
      <c r="O6757" t="s">
        <v>43167</v>
      </c>
      <c r="P6757">
        <v>0</v>
      </c>
      <c r="Q6757">
        <v>0</v>
      </c>
      <c r="R6757" t="s">
        <v>43173</v>
      </c>
      <c r="S6757" t="s">
        <v>43374</v>
      </c>
      <c r="T6757" t="s">
        <v>45051</v>
      </c>
      <c r="U6757" t="s">
        <v>50676</v>
      </c>
      <c r="W6757" t="s">
        <v>41606</v>
      </c>
      <c r="X6757" t="s">
        <v>43174</v>
      </c>
    </row>
    <row r="6758" spans="1:24">
      <c r="A6758">
        <f>HYPERLINK("https://www.philgeps.gov.ph/GEPSNONPILOT/Tender/SplashBidNoticeAbstractUI.aspx?menuIndex=3&amp;refID=7076262&amp;Result=3","7076262")</f>
        <v>0</v>
      </c>
      <c r="B6758" t="s">
        <v>2155</v>
      </c>
      <c r="C6758" t="s">
        <v>9854</v>
      </c>
      <c r="E6758" t="s">
        <v>18038</v>
      </c>
      <c r="F6758" t="s">
        <v>30055</v>
      </c>
      <c r="G6758" t="s">
        <v>30058</v>
      </c>
      <c r="H6758" t="s">
        <v>30067</v>
      </c>
      <c r="I6758" t="s">
        <v>3693</v>
      </c>
      <c r="J6758" t="s">
        <v>34409</v>
      </c>
      <c r="K6758" t="s">
        <v>39019</v>
      </c>
      <c r="M6758" t="s">
        <v>41622</v>
      </c>
      <c r="N6758" t="s">
        <v>43166</v>
      </c>
      <c r="O6758" t="s">
        <v>43167</v>
      </c>
      <c r="P6758">
        <v>0</v>
      </c>
      <c r="Q6758">
        <v>1</v>
      </c>
      <c r="R6758" t="s">
        <v>43173</v>
      </c>
      <c r="S6758" t="s">
        <v>43374</v>
      </c>
      <c r="T6758" t="s">
        <v>44820</v>
      </c>
      <c r="U6758" t="s">
        <v>50677</v>
      </c>
      <c r="W6758" t="s">
        <v>41622</v>
      </c>
      <c r="X6758" t="s">
        <v>43174</v>
      </c>
    </row>
    <row r="6759" spans="1:24">
      <c r="A6759">
        <f>HYPERLINK("https://www.philgeps.gov.ph/GEPSNONPILOT/Tender/SplashBidNoticeAbstractUI.aspx?menuIndex=3&amp;refID=7076319&amp;Result=3","7076319")</f>
        <v>0</v>
      </c>
      <c r="B6759" t="s">
        <v>901</v>
      </c>
      <c r="C6759" t="s">
        <v>9855</v>
      </c>
      <c r="D6759" t="s">
        <v>17414</v>
      </c>
      <c r="E6759" t="s">
        <v>19296</v>
      </c>
      <c r="F6759" t="s">
        <v>30052</v>
      </c>
      <c r="G6759" t="s">
        <v>30058</v>
      </c>
      <c r="H6759" t="s">
        <v>30067</v>
      </c>
      <c r="I6759" t="s">
        <v>3693</v>
      </c>
      <c r="J6759" t="s">
        <v>30252</v>
      </c>
      <c r="K6759" t="s">
        <v>39023</v>
      </c>
      <c r="M6759" t="s">
        <v>40220</v>
      </c>
      <c r="N6759" t="s">
        <v>43166</v>
      </c>
      <c r="O6759" t="s">
        <v>43167</v>
      </c>
      <c r="P6759">
        <v>0</v>
      </c>
      <c r="Q6759">
        <v>0</v>
      </c>
      <c r="R6759" t="s">
        <v>43173</v>
      </c>
      <c r="S6759" t="s">
        <v>43374</v>
      </c>
      <c r="T6759" t="s">
        <v>44777</v>
      </c>
      <c r="U6759" t="s">
        <v>50678</v>
      </c>
      <c r="W6759" t="s">
        <v>40220</v>
      </c>
      <c r="X6759" t="s">
        <v>43174</v>
      </c>
    </row>
    <row r="6760" spans="1:24">
      <c r="A6760">
        <f>HYPERLINK("https://www.philgeps.gov.ph/GEPSNONPILOT/Tender/SplashBidNoticeAbstractUI.aspx?menuIndex=3&amp;refID=7076284&amp;Result=3","7076284")</f>
        <v>0</v>
      </c>
      <c r="B6760" t="s">
        <v>1779</v>
      </c>
      <c r="C6760" t="s">
        <v>9850</v>
      </c>
      <c r="D6760" t="s">
        <v>17444</v>
      </c>
      <c r="E6760" t="s">
        <v>23342</v>
      </c>
      <c r="F6760" t="s">
        <v>30052</v>
      </c>
      <c r="G6760" t="s">
        <v>30058</v>
      </c>
      <c r="H6760" t="s">
        <v>15498</v>
      </c>
      <c r="I6760" t="s">
        <v>30074</v>
      </c>
      <c r="J6760" t="s">
        <v>33141</v>
      </c>
      <c r="K6760" t="s">
        <v>39034</v>
      </c>
      <c r="M6760" t="s">
        <v>41621</v>
      </c>
      <c r="N6760" t="s">
        <v>43166</v>
      </c>
      <c r="O6760" t="s">
        <v>43167</v>
      </c>
      <c r="P6760">
        <v>0</v>
      </c>
      <c r="Q6760">
        <v>4</v>
      </c>
      <c r="R6760" t="s">
        <v>43173</v>
      </c>
      <c r="S6760" t="s">
        <v>43374</v>
      </c>
      <c r="T6760" t="s">
        <v>44758</v>
      </c>
      <c r="U6760" t="s">
        <v>50673</v>
      </c>
      <c r="V6760" t="s">
        <v>57534</v>
      </c>
      <c r="W6760" t="s">
        <v>41621</v>
      </c>
      <c r="X6760" t="s">
        <v>43174</v>
      </c>
    </row>
    <row r="6761" spans="1:24">
      <c r="A6761">
        <f>HYPERLINK("https://www.philgeps.gov.ph/GEPSNONPILOT/Tender/SplashBidNoticeAbstractUI.aspx?menuIndex=3&amp;refID=7076315&amp;Result=3","7076315")</f>
        <v>0</v>
      </c>
      <c r="B6761" t="s">
        <v>367</v>
      </c>
      <c r="C6761" t="s">
        <v>9856</v>
      </c>
      <c r="D6761" t="s">
        <v>17431</v>
      </c>
      <c r="E6761" t="s">
        <v>17540</v>
      </c>
      <c r="F6761" t="s">
        <v>30052</v>
      </c>
      <c r="G6761" t="s">
        <v>30058</v>
      </c>
      <c r="H6761" t="s">
        <v>30067</v>
      </c>
      <c r="I6761" t="s">
        <v>3693</v>
      </c>
      <c r="J6761" t="s">
        <v>30297</v>
      </c>
      <c r="K6761" t="s">
        <v>39026</v>
      </c>
      <c r="M6761" t="s">
        <v>39665</v>
      </c>
      <c r="N6761" t="s">
        <v>43166</v>
      </c>
      <c r="O6761" t="s">
        <v>43167</v>
      </c>
      <c r="P6761">
        <v>0</v>
      </c>
      <c r="Q6761">
        <v>0</v>
      </c>
      <c r="R6761" t="s">
        <v>43173</v>
      </c>
      <c r="S6761" t="s">
        <v>43374</v>
      </c>
      <c r="T6761" t="s">
        <v>44777</v>
      </c>
      <c r="U6761" t="s">
        <v>50679</v>
      </c>
      <c r="W6761" t="s">
        <v>39665</v>
      </c>
      <c r="X6761" t="s">
        <v>43174</v>
      </c>
    </row>
    <row r="6762" spans="1:24">
      <c r="A6762">
        <f>HYPERLINK("https://www.philgeps.gov.ph/GEPSNONPILOT/Tender/SplashBidNoticeAbstractUI.aspx?menuIndex=3&amp;refID=7076187&amp;Result=3","7076187")</f>
        <v>0</v>
      </c>
      <c r="B6762" t="s">
        <v>2156</v>
      </c>
      <c r="C6762" t="s">
        <v>9857</v>
      </c>
      <c r="D6762" t="s">
        <v>17437</v>
      </c>
      <c r="E6762" t="s">
        <v>23343</v>
      </c>
      <c r="F6762" t="s">
        <v>30052</v>
      </c>
      <c r="G6762" t="s">
        <v>30059</v>
      </c>
      <c r="H6762" t="s">
        <v>15498</v>
      </c>
      <c r="I6762" t="s">
        <v>30092</v>
      </c>
      <c r="J6762" t="s">
        <v>34410</v>
      </c>
      <c r="K6762" t="s">
        <v>39029</v>
      </c>
      <c r="M6762" t="s">
        <v>41623</v>
      </c>
      <c r="N6762" t="s">
        <v>43166</v>
      </c>
      <c r="O6762" t="s">
        <v>43167</v>
      </c>
      <c r="P6762">
        <v>0</v>
      </c>
      <c r="Q6762">
        <v>5</v>
      </c>
      <c r="R6762" t="s">
        <v>43173</v>
      </c>
      <c r="S6762" t="s">
        <v>43374</v>
      </c>
      <c r="T6762" t="s">
        <v>44714</v>
      </c>
      <c r="U6762" t="s">
        <v>50680</v>
      </c>
      <c r="W6762" t="s">
        <v>41623</v>
      </c>
      <c r="X6762" t="s">
        <v>43174</v>
      </c>
    </row>
    <row r="6763" spans="1:24">
      <c r="A6763">
        <f>HYPERLINK("https://www.philgeps.gov.ph/GEPSNONPILOT/Tender/SplashBidNoticeAbstractUI.aspx?menuIndex=3&amp;refID=7076251&amp;Result=3","7076251")</f>
        <v>0</v>
      </c>
      <c r="B6763" t="s">
        <v>2157</v>
      </c>
      <c r="C6763" t="s">
        <v>9858</v>
      </c>
      <c r="D6763" t="s">
        <v>17463</v>
      </c>
      <c r="E6763" t="s">
        <v>23344</v>
      </c>
      <c r="F6763" t="s">
        <v>30052</v>
      </c>
      <c r="G6763" t="s">
        <v>30058</v>
      </c>
      <c r="H6763" t="s">
        <v>15498</v>
      </c>
      <c r="I6763" t="s">
        <v>4642</v>
      </c>
      <c r="J6763" t="s">
        <v>31660</v>
      </c>
      <c r="K6763" t="s">
        <v>39019</v>
      </c>
      <c r="M6763" t="s">
        <v>41624</v>
      </c>
      <c r="N6763" t="s">
        <v>43166</v>
      </c>
      <c r="O6763" t="s">
        <v>43167</v>
      </c>
      <c r="P6763">
        <v>0</v>
      </c>
      <c r="Q6763">
        <v>2</v>
      </c>
      <c r="R6763" t="s">
        <v>43173</v>
      </c>
      <c r="S6763" t="s">
        <v>43374</v>
      </c>
      <c r="T6763" t="s">
        <v>44758</v>
      </c>
      <c r="U6763" t="s">
        <v>50681</v>
      </c>
      <c r="W6763" t="s">
        <v>41624</v>
      </c>
      <c r="X6763" t="s">
        <v>43174</v>
      </c>
    </row>
    <row r="6764" spans="1:24">
      <c r="A6764">
        <f>HYPERLINK("https://www.philgeps.gov.ph/GEPSNONPILOT/Tender/SplashBidNoticeAbstractUI.aspx?menuIndex=3&amp;refID=7076321&amp;Result=3","7076321")</f>
        <v>0</v>
      </c>
      <c r="B6764" t="s">
        <v>1779</v>
      </c>
      <c r="C6764" t="s">
        <v>9850</v>
      </c>
      <c r="D6764" t="s">
        <v>17444</v>
      </c>
      <c r="E6764" t="s">
        <v>23345</v>
      </c>
      <c r="F6764" t="s">
        <v>30052</v>
      </c>
      <c r="G6764" t="s">
        <v>30058</v>
      </c>
      <c r="H6764" t="s">
        <v>15498</v>
      </c>
      <c r="I6764" t="s">
        <v>30074</v>
      </c>
      <c r="J6764" t="s">
        <v>30397</v>
      </c>
      <c r="K6764" t="s">
        <v>39029</v>
      </c>
      <c r="M6764" t="s">
        <v>41621</v>
      </c>
      <c r="N6764" t="s">
        <v>43166</v>
      </c>
      <c r="O6764" t="s">
        <v>43167</v>
      </c>
      <c r="P6764">
        <v>0</v>
      </c>
      <c r="Q6764">
        <v>4</v>
      </c>
      <c r="R6764" t="s">
        <v>43173</v>
      </c>
      <c r="S6764" t="s">
        <v>43374</v>
      </c>
      <c r="T6764" t="s">
        <v>44758</v>
      </c>
      <c r="U6764" t="s">
        <v>50682</v>
      </c>
      <c r="V6764" t="s">
        <v>57534</v>
      </c>
      <c r="W6764" t="s">
        <v>41621</v>
      </c>
      <c r="X6764" t="s">
        <v>43174</v>
      </c>
    </row>
    <row r="6765" spans="1:24">
      <c r="A6765">
        <f>HYPERLINK("https://www.philgeps.gov.ph/GEPSNONPILOT/Tender/SplashBidNoticeAbstractUI.aspx?menuIndex=3&amp;refID=7076302&amp;Result=3","7076302")</f>
        <v>0</v>
      </c>
      <c r="B6765" t="s">
        <v>539</v>
      </c>
      <c r="C6765" t="s">
        <v>9859</v>
      </c>
      <c r="D6765" t="s">
        <v>17427</v>
      </c>
      <c r="E6765" t="s">
        <v>23346</v>
      </c>
      <c r="F6765" t="s">
        <v>30052</v>
      </c>
      <c r="G6765" t="s">
        <v>30065</v>
      </c>
      <c r="H6765" t="s">
        <v>15498</v>
      </c>
      <c r="I6765" t="s">
        <v>30105</v>
      </c>
      <c r="J6765" t="s">
        <v>34411</v>
      </c>
      <c r="K6765" t="s">
        <v>39017</v>
      </c>
      <c r="M6765" t="s">
        <v>39841</v>
      </c>
      <c r="N6765" t="s">
        <v>43166</v>
      </c>
      <c r="O6765" t="s">
        <v>43167</v>
      </c>
      <c r="P6765">
        <v>0</v>
      </c>
      <c r="Q6765">
        <v>15</v>
      </c>
      <c r="R6765" t="s">
        <v>43173</v>
      </c>
      <c r="S6765" t="s">
        <v>43374</v>
      </c>
      <c r="T6765" t="s">
        <v>44773</v>
      </c>
      <c r="U6765" t="s">
        <v>50683</v>
      </c>
      <c r="W6765" t="s">
        <v>39841</v>
      </c>
      <c r="X6765" t="s">
        <v>43174</v>
      </c>
    </row>
    <row r="6766" spans="1:24">
      <c r="A6766">
        <f>HYPERLINK("https://www.philgeps.gov.ph/GEPSNONPILOT/Tender/SplashBidNoticeAbstractUI.aspx?menuIndex=3&amp;refID=7076317&amp;Result=3","7076317")</f>
        <v>0</v>
      </c>
      <c r="B6766" t="s">
        <v>2158</v>
      </c>
      <c r="C6766" t="s">
        <v>9860</v>
      </c>
      <c r="D6766" t="s">
        <v>17483</v>
      </c>
      <c r="E6766" t="s">
        <v>23347</v>
      </c>
      <c r="F6766" t="s">
        <v>30052</v>
      </c>
      <c r="G6766" t="s">
        <v>30060</v>
      </c>
      <c r="H6766" t="s">
        <v>15498</v>
      </c>
      <c r="I6766" t="s">
        <v>30106</v>
      </c>
      <c r="J6766" t="s">
        <v>30252</v>
      </c>
      <c r="K6766" t="s">
        <v>39023</v>
      </c>
      <c r="M6766" t="s">
        <v>41625</v>
      </c>
      <c r="N6766" t="s">
        <v>43166</v>
      </c>
      <c r="O6766" t="s">
        <v>43167</v>
      </c>
      <c r="P6766">
        <v>0</v>
      </c>
      <c r="Q6766">
        <v>3</v>
      </c>
      <c r="R6766" t="s">
        <v>43173</v>
      </c>
      <c r="S6766" t="s">
        <v>43374</v>
      </c>
      <c r="T6766" t="s">
        <v>44865</v>
      </c>
      <c r="U6766" t="s">
        <v>50684</v>
      </c>
      <c r="W6766" t="s">
        <v>41625</v>
      </c>
      <c r="X6766" t="s">
        <v>43174</v>
      </c>
    </row>
    <row r="6767" spans="1:24">
      <c r="A6767">
        <f>HYPERLINK("https://www.philgeps.gov.ph/GEPSNONPILOT/Tender/SplashBidNoticeAbstractUI.aspx?menuIndex=3&amp;refID=7076241&amp;Result=3","7076241")</f>
        <v>0</v>
      </c>
      <c r="B6767" t="s">
        <v>201</v>
      </c>
      <c r="C6767" t="s">
        <v>9861</v>
      </c>
      <c r="D6767" t="s">
        <v>17415</v>
      </c>
      <c r="E6767" t="s">
        <v>23348</v>
      </c>
      <c r="F6767" t="s">
        <v>30052</v>
      </c>
      <c r="G6767" t="s">
        <v>30058</v>
      </c>
      <c r="H6767" t="s">
        <v>15498</v>
      </c>
      <c r="I6767" t="s">
        <v>30110</v>
      </c>
      <c r="J6767" t="s">
        <v>34412</v>
      </c>
      <c r="K6767" t="s">
        <v>39031</v>
      </c>
      <c r="M6767" t="s">
        <v>39822</v>
      </c>
      <c r="N6767" t="s">
        <v>43166</v>
      </c>
      <c r="O6767" t="s">
        <v>43167</v>
      </c>
      <c r="P6767">
        <v>0</v>
      </c>
      <c r="Q6767">
        <v>4</v>
      </c>
      <c r="R6767" t="s">
        <v>43173</v>
      </c>
      <c r="S6767" t="s">
        <v>43374</v>
      </c>
      <c r="T6767" t="s">
        <v>44828</v>
      </c>
      <c r="U6767" t="s">
        <v>50685</v>
      </c>
      <c r="W6767" t="s">
        <v>39822</v>
      </c>
      <c r="X6767" t="s">
        <v>43174</v>
      </c>
    </row>
    <row r="6768" spans="1:24">
      <c r="A6768">
        <f>HYPERLINK("https://www.philgeps.gov.ph/GEPSNONPILOT/Tender/SplashBidNoticeAbstractUI.aspx?menuIndex=3&amp;refID=7076332&amp;Result=3","7076332")</f>
        <v>0</v>
      </c>
      <c r="B6768" t="s">
        <v>2157</v>
      </c>
      <c r="C6768" t="s">
        <v>9862</v>
      </c>
      <c r="D6768" t="s">
        <v>17463</v>
      </c>
      <c r="E6768" t="s">
        <v>23349</v>
      </c>
      <c r="F6768" t="s">
        <v>30052</v>
      </c>
      <c r="G6768" t="s">
        <v>30058</v>
      </c>
      <c r="H6768" t="s">
        <v>15498</v>
      </c>
      <c r="I6768" t="s">
        <v>3852</v>
      </c>
      <c r="J6768" t="s">
        <v>34413</v>
      </c>
      <c r="K6768" t="s">
        <v>39019</v>
      </c>
      <c r="M6768" t="s">
        <v>41624</v>
      </c>
      <c r="N6768" t="s">
        <v>43166</v>
      </c>
      <c r="O6768" t="s">
        <v>43167</v>
      </c>
      <c r="P6768">
        <v>0</v>
      </c>
      <c r="Q6768">
        <v>3</v>
      </c>
      <c r="R6768" t="s">
        <v>43173</v>
      </c>
      <c r="S6768" t="s">
        <v>43374</v>
      </c>
      <c r="T6768" t="s">
        <v>44758</v>
      </c>
      <c r="U6768" t="s">
        <v>50686</v>
      </c>
      <c r="W6768" t="s">
        <v>41624</v>
      </c>
      <c r="X6768" t="s">
        <v>43174</v>
      </c>
    </row>
    <row r="6769" spans="1:24">
      <c r="A6769">
        <f>HYPERLINK("https://www.philgeps.gov.ph/GEPSNONPILOT/Tender/SplashBidNoticeAbstractUI.aspx?menuIndex=3&amp;refID=7076313&amp;Result=3","7076313")</f>
        <v>0</v>
      </c>
      <c r="B6769" t="s">
        <v>1428</v>
      </c>
      <c r="C6769" t="s">
        <v>9863</v>
      </c>
      <c r="D6769" t="s">
        <v>17463</v>
      </c>
      <c r="E6769" t="s">
        <v>23350</v>
      </c>
      <c r="F6769" t="s">
        <v>30052</v>
      </c>
      <c r="G6769" t="s">
        <v>30058</v>
      </c>
      <c r="H6769" t="s">
        <v>15498</v>
      </c>
      <c r="I6769" t="s">
        <v>30096</v>
      </c>
      <c r="J6769" t="s">
        <v>30248</v>
      </c>
      <c r="K6769" t="s">
        <v>39034</v>
      </c>
      <c r="M6769" t="s">
        <v>40806</v>
      </c>
      <c r="N6769" t="s">
        <v>43166</v>
      </c>
      <c r="O6769" t="s">
        <v>43167</v>
      </c>
      <c r="P6769">
        <v>0</v>
      </c>
      <c r="Q6769">
        <v>2</v>
      </c>
      <c r="R6769" t="s">
        <v>43173</v>
      </c>
      <c r="S6769" t="s">
        <v>43374</v>
      </c>
      <c r="T6769" t="s">
        <v>44695</v>
      </c>
      <c r="U6769" t="s">
        <v>46715</v>
      </c>
      <c r="W6769" t="s">
        <v>40806</v>
      </c>
      <c r="X6769" t="s">
        <v>43174</v>
      </c>
    </row>
    <row r="6770" spans="1:24">
      <c r="A6770">
        <f>HYPERLINK("https://www.philgeps.gov.ph/GEPSNONPILOT/Tender/SplashBidNoticeAbstractUI.aspx?menuIndex=3&amp;refID=7076311&amp;Result=3","7076311")</f>
        <v>0</v>
      </c>
      <c r="B6770" t="s">
        <v>2159</v>
      </c>
      <c r="C6770" t="s">
        <v>9864</v>
      </c>
      <c r="D6770" t="s">
        <v>17442</v>
      </c>
      <c r="E6770" t="s">
        <v>23351</v>
      </c>
      <c r="F6770" t="s">
        <v>30052</v>
      </c>
      <c r="G6770" t="s">
        <v>30058</v>
      </c>
      <c r="H6770" t="s">
        <v>30067</v>
      </c>
      <c r="I6770" t="s">
        <v>3693</v>
      </c>
      <c r="J6770" t="s">
        <v>30215</v>
      </c>
      <c r="K6770" t="s">
        <v>39025</v>
      </c>
      <c r="M6770" t="s">
        <v>41626</v>
      </c>
      <c r="N6770" t="s">
        <v>43166</v>
      </c>
      <c r="O6770" t="s">
        <v>43167</v>
      </c>
      <c r="P6770">
        <v>0</v>
      </c>
      <c r="Q6770">
        <v>0</v>
      </c>
      <c r="R6770" t="s">
        <v>43173</v>
      </c>
      <c r="S6770" t="s">
        <v>43374</v>
      </c>
      <c r="T6770" t="s">
        <v>45048</v>
      </c>
      <c r="U6770" t="s">
        <v>50687</v>
      </c>
      <c r="W6770" t="s">
        <v>41626</v>
      </c>
      <c r="X6770" t="s">
        <v>43174</v>
      </c>
    </row>
    <row r="6771" spans="1:24">
      <c r="A6771">
        <f>HYPERLINK("https://www.philgeps.gov.ph/GEPSNONPILOT/Tender/SplashBidNoticeAbstractUI.aspx?menuIndex=3&amp;refID=7076372&amp;Result=3","7076372")</f>
        <v>0</v>
      </c>
      <c r="B6771" t="s">
        <v>891</v>
      </c>
      <c r="C6771" t="s">
        <v>9865</v>
      </c>
      <c r="D6771" t="s">
        <v>17468</v>
      </c>
      <c r="E6771" t="s">
        <v>19393</v>
      </c>
      <c r="F6771" t="s">
        <v>30052</v>
      </c>
      <c r="G6771" t="s">
        <v>30058</v>
      </c>
      <c r="H6771" t="s">
        <v>15498</v>
      </c>
      <c r="I6771" t="s">
        <v>30078</v>
      </c>
      <c r="J6771" t="s">
        <v>34414</v>
      </c>
      <c r="K6771" t="s">
        <v>39029</v>
      </c>
      <c r="M6771" t="s">
        <v>40210</v>
      </c>
      <c r="N6771" t="s">
        <v>43166</v>
      </c>
      <c r="O6771" t="s">
        <v>43167</v>
      </c>
      <c r="P6771">
        <v>0</v>
      </c>
      <c r="Q6771">
        <v>1</v>
      </c>
      <c r="R6771" t="s">
        <v>43173</v>
      </c>
      <c r="S6771" t="s">
        <v>43374</v>
      </c>
      <c r="T6771" t="s">
        <v>44685</v>
      </c>
      <c r="U6771" t="s">
        <v>50688</v>
      </c>
      <c r="W6771" t="s">
        <v>40210</v>
      </c>
      <c r="X6771" t="s">
        <v>43174</v>
      </c>
    </row>
    <row r="6772" spans="1:24">
      <c r="A6772">
        <f>HYPERLINK("https://www.philgeps.gov.ph/GEPSNONPILOT/Tender/SplashBidNoticeAbstractUI.aspx?menuIndex=3&amp;refID=7076365&amp;Result=3","7076365")</f>
        <v>0</v>
      </c>
      <c r="B6772" t="s">
        <v>539</v>
      </c>
      <c r="C6772" t="s">
        <v>9866</v>
      </c>
      <c r="D6772" t="s">
        <v>17427</v>
      </c>
      <c r="E6772" t="s">
        <v>23352</v>
      </c>
      <c r="F6772" t="s">
        <v>30052</v>
      </c>
      <c r="G6772" t="s">
        <v>30061</v>
      </c>
      <c r="H6772" t="s">
        <v>15498</v>
      </c>
      <c r="I6772" t="s">
        <v>30073</v>
      </c>
      <c r="J6772" t="s">
        <v>30308</v>
      </c>
      <c r="K6772" t="s">
        <v>39017</v>
      </c>
      <c r="M6772" t="s">
        <v>39841</v>
      </c>
      <c r="N6772" t="s">
        <v>43166</v>
      </c>
      <c r="O6772" t="s">
        <v>43167</v>
      </c>
      <c r="P6772">
        <v>0</v>
      </c>
      <c r="Q6772">
        <v>0</v>
      </c>
      <c r="R6772" t="s">
        <v>43173</v>
      </c>
      <c r="S6772" t="s">
        <v>43374</v>
      </c>
      <c r="T6772" t="s">
        <v>44735</v>
      </c>
      <c r="U6772" t="s">
        <v>50689</v>
      </c>
      <c r="W6772" t="s">
        <v>39841</v>
      </c>
      <c r="X6772" t="s">
        <v>43174</v>
      </c>
    </row>
    <row r="6773" spans="1:24">
      <c r="A6773">
        <f>HYPERLINK("https://www.philgeps.gov.ph/GEPSNONPILOT/Tender/SplashBidNoticeAbstractUI.aspx?menuIndex=3&amp;refID=7076363&amp;Result=3","7076363")</f>
        <v>0</v>
      </c>
      <c r="B6773" t="s">
        <v>1517</v>
      </c>
      <c r="C6773" t="s">
        <v>9867</v>
      </c>
      <c r="D6773" t="s">
        <v>17421</v>
      </c>
      <c r="E6773" t="s">
        <v>23353</v>
      </c>
      <c r="F6773" t="s">
        <v>30052</v>
      </c>
      <c r="G6773" t="s">
        <v>30060</v>
      </c>
      <c r="H6773" t="s">
        <v>15498</v>
      </c>
      <c r="I6773" t="s">
        <v>3736</v>
      </c>
      <c r="J6773" t="s">
        <v>30559</v>
      </c>
      <c r="K6773" t="s">
        <v>39025</v>
      </c>
      <c r="M6773" t="s">
        <v>41614</v>
      </c>
      <c r="N6773" t="s">
        <v>43166</v>
      </c>
      <c r="O6773" t="s">
        <v>43167</v>
      </c>
      <c r="P6773">
        <v>0</v>
      </c>
      <c r="Q6773">
        <v>0</v>
      </c>
      <c r="R6773" t="s">
        <v>43173</v>
      </c>
      <c r="S6773" t="s">
        <v>43374</v>
      </c>
      <c r="T6773" t="s">
        <v>44844</v>
      </c>
      <c r="U6773" t="s">
        <v>50690</v>
      </c>
      <c r="W6773" t="s">
        <v>41614</v>
      </c>
      <c r="X6773" t="s">
        <v>43174</v>
      </c>
    </row>
    <row r="6774" spans="1:24">
      <c r="A6774">
        <f>HYPERLINK("https://www.philgeps.gov.ph/GEPSNONPILOT/Tender/SplashBidNoticeAbstractUI.aspx?menuIndex=3&amp;refID=7076357&amp;Result=3","7076357")</f>
        <v>0</v>
      </c>
      <c r="B6774" t="s">
        <v>1154</v>
      </c>
      <c r="C6774" t="s">
        <v>9868</v>
      </c>
      <c r="D6774" t="s">
        <v>17424</v>
      </c>
      <c r="E6774" t="s">
        <v>23354</v>
      </c>
      <c r="F6774" t="s">
        <v>30052</v>
      </c>
      <c r="G6774" t="s">
        <v>30061</v>
      </c>
      <c r="H6774" t="s">
        <v>15498</v>
      </c>
      <c r="I6774" t="s">
        <v>3736</v>
      </c>
      <c r="J6774" t="s">
        <v>34415</v>
      </c>
      <c r="K6774" t="s">
        <v>39029</v>
      </c>
      <c r="M6774" t="s">
        <v>40498</v>
      </c>
      <c r="N6774" t="s">
        <v>43166</v>
      </c>
      <c r="O6774" t="s">
        <v>43167</v>
      </c>
      <c r="P6774">
        <v>0</v>
      </c>
      <c r="Q6774">
        <v>2</v>
      </c>
      <c r="R6774" t="s">
        <v>43173</v>
      </c>
      <c r="S6774" t="s">
        <v>43374</v>
      </c>
      <c r="T6774" t="s">
        <v>44837</v>
      </c>
      <c r="U6774" t="s">
        <v>50691</v>
      </c>
      <c r="W6774" t="s">
        <v>40498</v>
      </c>
      <c r="X6774" t="s">
        <v>43174</v>
      </c>
    </row>
    <row r="6775" spans="1:24">
      <c r="A6775">
        <f>HYPERLINK("https://www.philgeps.gov.ph/GEPSNONPILOT/Tender/SplashBidNoticeAbstractUI.aspx?menuIndex=3&amp;refID=7076309&amp;Result=3","7076309")</f>
        <v>0</v>
      </c>
      <c r="B6775" t="s">
        <v>1779</v>
      </c>
      <c r="C6775" t="s">
        <v>9869</v>
      </c>
      <c r="D6775" t="s">
        <v>17444</v>
      </c>
      <c r="E6775" t="s">
        <v>23355</v>
      </c>
      <c r="F6775" t="s">
        <v>30052</v>
      </c>
      <c r="G6775" t="s">
        <v>30058</v>
      </c>
      <c r="H6775" t="s">
        <v>15498</v>
      </c>
      <c r="I6775" t="s">
        <v>30096</v>
      </c>
      <c r="J6775" t="s">
        <v>34416</v>
      </c>
      <c r="K6775" t="s">
        <v>39034</v>
      </c>
      <c r="M6775" t="s">
        <v>41621</v>
      </c>
      <c r="N6775" t="s">
        <v>43166</v>
      </c>
      <c r="O6775" t="s">
        <v>43167</v>
      </c>
      <c r="P6775">
        <v>0</v>
      </c>
      <c r="Q6775">
        <v>3</v>
      </c>
      <c r="R6775" t="s">
        <v>43173</v>
      </c>
      <c r="S6775" t="s">
        <v>43374</v>
      </c>
      <c r="T6775" t="s">
        <v>44758</v>
      </c>
      <c r="U6775" t="s">
        <v>50692</v>
      </c>
      <c r="V6775" t="s">
        <v>57534</v>
      </c>
      <c r="W6775" t="s">
        <v>41621</v>
      </c>
      <c r="X6775" t="s">
        <v>43174</v>
      </c>
    </row>
    <row r="6776" spans="1:24">
      <c r="A6776">
        <f>HYPERLINK("https://www.philgeps.gov.ph/GEPSNONPILOT/Tender/SplashBidNoticeAbstractUI.aspx?menuIndex=3&amp;refID=7076360&amp;Result=3","7076360")</f>
        <v>0</v>
      </c>
      <c r="B6776" t="s">
        <v>901</v>
      </c>
      <c r="C6776" t="s">
        <v>9870</v>
      </c>
      <c r="D6776" t="s">
        <v>17414</v>
      </c>
      <c r="E6776" t="s">
        <v>23356</v>
      </c>
      <c r="F6776" t="s">
        <v>30052</v>
      </c>
      <c r="G6776" t="s">
        <v>30058</v>
      </c>
      <c r="H6776" t="s">
        <v>30067</v>
      </c>
      <c r="I6776" t="s">
        <v>3693</v>
      </c>
      <c r="J6776" t="s">
        <v>30252</v>
      </c>
      <c r="K6776" t="s">
        <v>39031</v>
      </c>
      <c r="M6776" t="s">
        <v>40220</v>
      </c>
      <c r="N6776" t="s">
        <v>43166</v>
      </c>
      <c r="O6776" t="s">
        <v>43167</v>
      </c>
      <c r="P6776">
        <v>0</v>
      </c>
      <c r="Q6776">
        <v>0</v>
      </c>
      <c r="R6776" t="s">
        <v>43173</v>
      </c>
      <c r="S6776" t="s">
        <v>43374</v>
      </c>
      <c r="T6776" t="s">
        <v>45047</v>
      </c>
      <c r="U6776" t="s">
        <v>50693</v>
      </c>
      <c r="W6776" t="s">
        <v>40220</v>
      </c>
      <c r="X6776" t="s">
        <v>43174</v>
      </c>
    </row>
    <row r="6777" spans="1:24">
      <c r="A6777">
        <f>HYPERLINK("https://www.philgeps.gov.ph/GEPSNONPILOT/Tender/SplashBidNoticeAbstractUI.aspx?menuIndex=3&amp;refID=7076352&amp;Result=3","7076352")</f>
        <v>0</v>
      </c>
      <c r="B6777" t="s">
        <v>2160</v>
      </c>
      <c r="C6777" t="s">
        <v>9871</v>
      </c>
      <c r="D6777" t="s">
        <v>17496</v>
      </c>
      <c r="E6777" t="s">
        <v>23351</v>
      </c>
      <c r="F6777" t="s">
        <v>30052</v>
      </c>
      <c r="G6777" t="s">
        <v>30058</v>
      </c>
      <c r="H6777" t="s">
        <v>30067</v>
      </c>
      <c r="I6777" t="s">
        <v>3693</v>
      </c>
      <c r="J6777" t="s">
        <v>34417</v>
      </c>
      <c r="K6777" t="s">
        <v>39031</v>
      </c>
      <c r="M6777" t="s">
        <v>41627</v>
      </c>
      <c r="N6777" t="s">
        <v>43166</v>
      </c>
      <c r="O6777" t="s">
        <v>43167</v>
      </c>
      <c r="P6777">
        <v>0</v>
      </c>
      <c r="Q6777">
        <v>1</v>
      </c>
      <c r="R6777" t="s">
        <v>43173</v>
      </c>
      <c r="S6777" t="s">
        <v>43374</v>
      </c>
      <c r="T6777" t="s">
        <v>44916</v>
      </c>
      <c r="U6777" t="s">
        <v>50694</v>
      </c>
      <c r="W6777" t="s">
        <v>41627</v>
      </c>
      <c r="X6777" t="s">
        <v>43174</v>
      </c>
    </row>
    <row r="6778" spans="1:24">
      <c r="A6778">
        <f>HYPERLINK("https://www.philgeps.gov.ph/GEPSNONPILOT/Tender/SplashBidNoticeAbstractUI.aspx?menuIndex=3&amp;refID=7076308&amp;Result=3","7076308")</f>
        <v>0</v>
      </c>
      <c r="B6778" t="s">
        <v>860</v>
      </c>
      <c r="C6778" t="s">
        <v>9872</v>
      </c>
      <c r="D6778" t="s">
        <v>17484</v>
      </c>
      <c r="E6778" t="s">
        <v>23357</v>
      </c>
      <c r="F6778" t="s">
        <v>30052</v>
      </c>
      <c r="G6778" t="s">
        <v>30058</v>
      </c>
      <c r="H6778" t="s">
        <v>15498</v>
      </c>
      <c r="I6778" t="s">
        <v>3736</v>
      </c>
      <c r="J6778" t="s">
        <v>34418</v>
      </c>
      <c r="K6778" t="s">
        <v>39029</v>
      </c>
      <c r="M6778" t="s">
        <v>40177</v>
      </c>
      <c r="N6778" t="s">
        <v>43166</v>
      </c>
      <c r="O6778" t="s">
        <v>43167</v>
      </c>
      <c r="P6778">
        <v>0</v>
      </c>
      <c r="Q6778">
        <v>1</v>
      </c>
      <c r="R6778" t="s">
        <v>43173</v>
      </c>
      <c r="S6778" t="s">
        <v>43374</v>
      </c>
      <c r="T6778" t="s">
        <v>44716</v>
      </c>
      <c r="U6778" t="s">
        <v>46900</v>
      </c>
      <c r="W6778" t="s">
        <v>40177</v>
      </c>
      <c r="X6778" t="s">
        <v>43174</v>
      </c>
    </row>
    <row r="6779" spans="1:24">
      <c r="A6779">
        <f>HYPERLINK("https://www.philgeps.gov.ph/GEPSNONPILOT/Tender/SplashBidNoticeAbstractUI.aspx?menuIndex=3&amp;refID=7076353&amp;Result=3","7076353")</f>
        <v>0</v>
      </c>
      <c r="B6779" t="s">
        <v>2158</v>
      </c>
      <c r="C6779" t="s">
        <v>9873</v>
      </c>
      <c r="D6779" t="s">
        <v>17483</v>
      </c>
      <c r="E6779" t="s">
        <v>23358</v>
      </c>
      <c r="F6779" t="s">
        <v>30052</v>
      </c>
      <c r="G6779" t="s">
        <v>30060</v>
      </c>
      <c r="H6779" t="s">
        <v>15498</v>
      </c>
      <c r="I6779" t="s">
        <v>30070</v>
      </c>
      <c r="J6779" t="s">
        <v>34419</v>
      </c>
      <c r="K6779" t="s">
        <v>39023</v>
      </c>
      <c r="M6779" t="s">
        <v>41625</v>
      </c>
      <c r="N6779" t="s">
        <v>43166</v>
      </c>
      <c r="O6779" t="s">
        <v>43167</v>
      </c>
      <c r="P6779">
        <v>0</v>
      </c>
      <c r="Q6779">
        <v>4</v>
      </c>
      <c r="R6779" t="s">
        <v>43173</v>
      </c>
      <c r="S6779" t="s">
        <v>43374</v>
      </c>
      <c r="T6779" t="s">
        <v>44865</v>
      </c>
      <c r="U6779" t="s">
        <v>50695</v>
      </c>
      <c r="W6779" t="s">
        <v>41625</v>
      </c>
      <c r="X6779" t="s">
        <v>43174</v>
      </c>
    </row>
    <row r="6780" spans="1:24">
      <c r="A6780">
        <f>HYPERLINK("https://www.philgeps.gov.ph/GEPSNONPILOT/Tender/SplashBidNoticeAbstractUI.aspx?menuIndex=3&amp;refID=7076339&amp;Result=3","7076339")</f>
        <v>0</v>
      </c>
      <c r="B6780" t="s">
        <v>2161</v>
      </c>
      <c r="C6780" t="s">
        <v>9874</v>
      </c>
      <c r="D6780" t="s">
        <v>17444</v>
      </c>
      <c r="E6780" t="s">
        <v>18372</v>
      </c>
      <c r="F6780" t="s">
        <v>30052</v>
      </c>
      <c r="G6780" t="s">
        <v>30062</v>
      </c>
      <c r="H6780" t="s">
        <v>15498</v>
      </c>
      <c r="I6780" t="s">
        <v>3736</v>
      </c>
      <c r="J6780" t="s">
        <v>34420</v>
      </c>
      <c r="K6780" t="s">
        <v>39039</v>
      </c>
      <c r="M6780" t="s">
        <v>41628</v>
      </c>
      <c r="N6780" t="s">
        <v>43166</v>
      </c>
      <c r="O6780" t="s">
        <v>43167</v>
      </c>
      <c r="P6780">
        <v>0</v>
      </c>
      <c r="Q6780">
        <v>0</v>
      </c>
      <c r="R6780" t="s">
        <v>43173</v>
      </c>
      <c r="S6780" t="s">
        <v>43374</v>
      </c>
      <c r="T6780" t="s">
        <v>44870</v>
      </c>
      <c r="U6780" t="s">
        <v>50696</v>
      </c>
      <c r="W6780" t="s">
        <v>41628</v>
      </c>
      <c r="X6780" t="s">
        <v>43174</v>
      </c>
    </row>
    <row r="6781" spans="1:24">
      <c r="A6781">
        <f>HYPERLINK("https://www.philgeps.gov.ph/GEPSNONPILOT/Tender/SplashBidNoticeAbstractUI.aspx?menuIndex=3&amp;refID=7076351&amp;Result=3","7076351")</f>
        <v>0</v>
      </c>
      <c r="B6781" t="s">
        <v>539</v>
      </c>
      <c r="C6781" t="s">
        <v>9866</v>
      </c>
      <c r="D6781" t="s">
        <v>17427</v>
      </c>
      <c r="E6781" t="s">
        <v>23359</v>
      </c>
      <c r="F6781" t="s">
        <v>30052</v>
      </c>
      <c r="G6781" t="s">
        <v>30061</v>
      </c>
      <c r="H6781" t="s">
        <v>15498</v>
      </c>
      <c r="I6781" t="s">
        <v>30073</v>
      </c>
      <c r="J6781" t="s">
        <v>33375</v>
      </c>
      <c r="K6781" t="s">
        <v>39017</v>
      </c>
      <c r="M6781" t="s">
        <v>39841</v>
      </c>
      <c r="N6781" t="s">
        <v>43166</v>
      </c>
      <c r="O6781" t="s">
        <v>43167</v>
      </c>
      <c r="P6781">
        <v>0</v>
      </c>
      <c r="Q6781">
        <v>0</v>
      </c>
      <c r="R6781" t="s">
        <v>43173</v>
      </c>
      <c r="S6781" t="s">
        <v>43374</v>
      </c>
      <c r="T6781" t="s">
        <v>44735</v>
      </c>
      <c r="U6781" t="s">
        <v>50689</v>
      </c>
      <c r="W6781" t="s">
        <v>39841</v>
      </c>
      <c r="X6781" t="s">
        <v>43174</v>
      </c>
    </row>
    <row r="6782" spans="1:24">
      <c r="A6782">
        <f>HYPERLINK("https://www.philgeps.gov.ph/GEPSNONPILOT/Tender/SplashBidNoticeAbstractUI.aspx?menuIndex=3&amp;refID=7076350&amp;Result=3","7076350")</f>
        <v>0</v>
      </c>
      <c r="B6782" t="s">
        <v>498</v>
      </c>
      <c r="C6782" t="s">
        <v>9875</v>
      </c>
      <c r="D6782" t="s">
        <v>17431</v>
      </c>
      <c r="E6782" t="s">
        <v>23360</v>
      </c>
      <c r="F6782" t="s">
        <v>30052</v>
      </c>
      <c r="G6782" t="s">
        <v>30059</v>
      </c>
      <c r="H6782" t="s">
        <v>15498</v>
      </c>
      <c r="I6782" t="s">
        <v>3736</v>
      </c>
      <c r="J6782" t="s">
        <v>34421</v>
      </c>
      <c r="K6782" t="s">
        <v>39046</v>
      </c>
      <c r="M6782" t="s">
        <v>39799</v>
      </c>
      <c r="N6782" t="s">
        <v>43166</v>
      </c>
      <c r="O6782" t="s">
        <v>43167</v>
      </c>
      <c r="P6782">
        <v>0</v>
      </c>
      <c r="Q6782">
        <v>1</v>
      </c>
      <c r="R6782" t="s">
        <v>43173</v>
      </c>
      <c r="S6782" t="s">
        <v>43374</v>
      </c>
      <c r="T6782" t="s">
        <v>44717</v>
      </c>
      <c r="U6782" t="s">
        <v>50674</v>
      </c>
      <c r="W6782" t="s">
        <v>39799</v>
      </c>
      <c r="X6782" t="s">
        <v>43174</v>
      </c>
    </row>
    <row r="6783" spans="1:24">
      <c r="A6783">
        <f>HYPERLINK("https://www.philgeps.gov.ph/GEPSNONPILOT/Tender/SplashBidNoticeAbstractUI.aspx?menuIndex=3&amp;refID=7076335&amp;Result=3","7076335")</f>
        <v>0</v>
      </c>
      <c r="B6783" t="s">
        <v>1428</v>
      </c>
      <c r="C6783" t="s">
        <v>9876</v>
      </c>
      <c r="D6783" t="s">
        <v>17463</v>
      </c>
      <c r="E6783" t="s">
        <v>23361</v>
      </c>
      <c r="F6783" t="s">
        <v>30052</v>
      </c>
      <c r="G6783" t="s">
        <v>30058</v>
      </c>
      <c r="H6783" t="s">
        <v>15498</v>
      </c>
      <c r="I6783" t="s">
        <v>30096</v>
      </c>
      <c r="J6783" t="s">
        <v>31276</v>
      </c>
      <c r="K6783" t="s">
        <v>39034</v>
      </c>
      <c r="M6783" t="s">
        <v>40806</v>
      </c>
      <c r="N6783" t="s">
        <v>43166</v>
      </c>
      <c r="O6783" t="s">
        <v>43167</v>
      </c>
      <c r="P6783">
        <v>0</v>
      </c>
      <c r="Q6783">
        <v>1</v>
      </c>
      <c r="R6783" t="s">
        <v>43173</v>
      </c>
      <c r="S6783" t="s">
        <v>43374</v>
      </c>
      <c r="T6783" t="s">
        <v>44695</v>
      </c>
      <c r="U6783" t="s">
        <v>46715</v>
      </c>
      <c r="W6783" t="s">
        <v>40806</v>
      </c>
      <c r="X6783" t="s">
        <v>43174</v>
      </c>
    </row>
    <row r="6784" spans="1:24">
      <c r="A6784">
        <f>HYPERLINK("https://www.philgeps.gov.ph/GEPSNONPILOT/Tender/SplashBidNoticeAbstractUI.aspx?menuIndex=3&amp;refID=7076342&amp;Result=3","7076342")</f>
        <v>0</v>
      </c>
      <c r="B6784" t="s">
        <v>1517</v>
      </c>
      <c r="C6784" t="s">
        <v>9877</v>
      </c>
      <c r="D6784" t="s">
        <v>17421</v>
      </c>
      <c r="E6784" t="s">
        <v>23362</v>
      </c>
      <c r="F6784" t="s">
        <v>30052</v>
      </c>
      <c r="G6784" t="s">
        <v>30060</v>
      </c>
      <c r="H6784" t="s">
        <v>15498</v>
      </c>
      <c r="I6784" t="s">
        <v>30097</v>
      </c>
      <c r="J6784" t="s">
        <v>34422</v>
      </c>
      <c r="K6784" t="s">
        <v>39023</v>
      </c>
      <c r="M6784" t="s">
        <v>41614</v>
      </c>
      <c r="N6784" t="s">
        <v>43166</v>
      </c>
      <c r="O6784" t="s">
        <v>43167</v>
      </c>
      <c r="P6784">
        <v>0</v>
      </c>
      <c r="Q6784">
        <v>1</v>
      </c>
      <c r="R6784" t="s">
        <v>43173</v>
      </c>
      <c r="S6784" t="s">
        <v>43374</v>
      </c>
      <c r="T6784" t="s">
        <v>44844</v>
      </c>
      <c r="U6784" t="s">
        <v>50697</v>
      </c>
      <c r="W6784" t="s">
        <v>41614</v>
      </c>
      <c r="X6784" t="s">
        <v>43174</v>
      </c>
    </row>
    <row r="6785" spans="1:24">
      <c r="A6785">
        <f>HYPERLINK("https://www.philgeps.gov.ph/GEPSNONPILOT/Tender/SplashBidNoticeAbstractUI.aspx?menuIndex=3&amp;refID=7076328&amp;Result=3","7076328")</f>
        <v>0</v>
      </c>
      <c r="B6785" t="s">
        <v>2160</v>
      </c>
      <c r="C6785" t="s">
        <v>9878</v>
      </c>
      <c r="D6785" t="s">
        <v>17496</v>
      </c>
      <c r="E6785" t="s">
        <v>23363</v>
      </c>
      <c r="F6785" t="s">
        <v>30052</v>
      </c>
      <c r="G6785" t="s">
        <v>30058</v>
      </c>
      <c r="H6785" t="s">
        <v>30067</v>
      </c>
      <c r="I6785" t="s">
        <v>3693</v>
      </c>
      <c r="J6785" t="s">
        <v>34423</v>
      </c>
      <c r="K6785" t="s">
        <v>39181</v>
      </c>
      <c r="M6785" t="s">
        <v>41627</v>
      </c>
      <c r="N6785" t="s">
        <v>43166</v>
      </c>
      <c r="O6785" t="s">
        <v>43167</v>
      </c>
      <c r="P6785">
        <v>0</v>
      </c>
      <c r="Q6785">
        <v>0</v>
      </c>
      <c r="R6785" t="s">
        <v>43173</v>
      </c>
      <c r="S6785" t="s">
        <v>43374</v>
      </c>
      <c r="T6785" t="s">
        <v>44916</v>
      </c>
      <c r="U6785" t="s">
        <v>50694</v>
      </c>
      <c r="W6785" t="s">
        <v>41627</v>
      </c>
      <c r="X6785" t="s">
        <v>43174</v>
      </c>
    </row>
    <row r="6786" spans="1:24">
      <c r="A6786">
        <f>HYPERLINK("https://www.philgeps.gov.ph/GEPSNONPILOT/Tender/SplashBidNoticeAbstractUI.aspx?menuIndex=3&amp;refID=7076340&amp;Result=3","7076340")</f>
        <v>0</v>
      </c>
      <c r="B6786" t="s">
        <v>621</v>
      </c>
      <c r="C6786" t="s">
        <v>9879</v>
      </c>
      <c r="D6786" t="s">
        <v>17474</v>
      </c>
      <c r="E6786" t="s">
        <v>23364</v>
      </c>
      <c r="F6786" t="s">
        <v>30052</v>
      </c>
      <c r="G6786" t="s">
        <v>30059</v>
      </c>
      <c r="H6786" t="s">
        <v>15498</v>
      </c>
      <c r="I6786" t="s">
        <v>3606</v>
      </c>
      <c r="J6786" t="s">
        <v>30350</v>
      </c>
      <c r="K6786" t="s">
        <v>39019</v>
      </c>
      <c r="L6786" t="s">
        <v>621</v>
      </c>
      <c r="M6786" t="s">
        <v>39924</v>
      </c>
      <c r="N6786" t="s">
        <v>43166</v>
      </c>
      <c r="O6786" t="s">
        <v>43167</v>
      </c>
      <c r="P6786">
        <v>0</v>
      </c>
      <c r="Q6786">
        <v>2</v>
      </c>
      <c r="R6786" t="s">
        <v>43173</v>
      </c>
      <c r="S6786" t="s">
        <v>43374</v>
      </c>
      <c r="T6786" t="s">
        <v>44888</v>
      </c>
      <c r="U6786" t="s">
        <v>50698</v>
      </c>
      <c r="V6786" t="s">
        <v>57535</v>
      </c>
      <c r="W6786" t="s">
        <v>39924</v>
      </c>
      <c r="X6786" t="s">
        <v>43174</v>
      </c>
    </row>
    <row r="6787" spans="1:24">
      <c r="A6787">
        <f>HYPERLINK("https://www.philgeps.gov.ph/GEPSNONPILOT/Tender/SplashBidNoticeAbstractUI.aspx?menuIndex=3&amp;refID=7076296&amp;Result=3","7076296")</f>
        <v>0</v>
      </c>
      <c r="B6787" t="s">
        <v>2112</v>
      </c>
      <c r="C6787" t="s">
        <v>9880</v>
      </c>
      <c r="D6787" t="s">
        <v>17439</v>
      </c>
      <c r="E6787" t="s">
        <v>23365</v>
      </c>
      <c r="F6787" t="s">
        <v>30052</v>
      </c>
      <c r="G6787" t="s">
        <v>30061</v>
      </c>
      <c r="H6787" t="s">
        <v>15498</v>
      </c>
      <c r="I6787" t="s">
        <v>30076</v>
      </c>
      <c r="J6787" t="s">
        <v>31727</v>
      </c>
      <c r="K6787" t="s">
        <v>39019</v>
      </c>
      <c r="M6787" t="s">
        <v>41574</v>
      </c>
      <c r="N6787" t="s">
        <v>43166</v>
      </c>
      <c r="O6787" t="s">
        <v>43167</v>
      </c>
      <c r="P6787">
        <v>0</v>
      </c>
      <c r="Q6787">
        <v>0</v>
      </c>
      <c r="R6787" t="s">
        <v>43173</v>
      </c>
      <c r="S6787" t="s">
        <v>43374</v>
      </c>
      <c r="T6787" t="s">
        <v>44841</v>
      </c>
      <c r="U6787" t="s">
        <v>50699</v>
      </c>
      <c r="W6787" t="s">
        <v>41574</v>
      </c>
      <c r="X6787" t="s">
        <v>43174</v>
      </c>
    </row>
    <row r="6788" spans="1:24">
      <c r="A6788">
        <f>HYPERLINK("https://www.philgeps.gov.ph/GEPSNONPILOT/Tender/SplashBidNoticeAbstractUI.aspx?menuIndex=3&amp;refID=7076338&amp;Result=3","7076338")</f>
        <v>0</v>
      </c>
      <c r="B6788" t="s">
        <v>1779</v>
      </c>
      <c r="C6788" t="s">
        <v>9881</v>
      </c>
      <c r="D6788" t="s">
        <v>17444</v>
      </c>
      <c r="E6788" t="s">
        <v>23366</v>
      </c>
      <c r="F6788" t="s">
        <v>30052</v>
      </c>
      <c r="G6788" t="s">
        <v>30058</v>
      </c>
      <c r="H6788" t="s">
        <v>15498</v>
      </c>
      <c r="I6788" t="s">
        <v>30081</v>
      </c>
      <c r="J6788" t="s">
        <v>34424</v>
      </c>
      <c r="K6788" t="s">
        <v>39037</v>
      </c>
      <c r="M6788" t="s">
        <v>41621</v>
      </c>
      <c r="N6788" t="s">
        <v>43166</v>
      </c>
      <c r="O6788" t="s">
        <v>43167</v>
      </c>
      <c r="P6788">
        <v>0</v>
      </c>
      <c r="Q6788">
        <v>3</v>
      </c>
      <c r="R6788" t="s">
        <v>43173</v>
      </c>
      <c r="S6788" t="s">
        <v>43374</v>
      </c>
      <c r="T6788" t="s">
        <v>44758</v>
      </c>
      <c r="U6788" t="s">
        <v>50700</v>
      </c>
      <c r="V6788" t="s">
        <v>57534</v>
      </c>
      <c r="W6788" t="s">
        <v>41621</v>
      </c>
      <c r="X6788" t="s">
        <v>43174</v>
      </c>
    </row>
    <row r="6789" spans="1:24">
      <c r="A6789">
        <f>HYPERLINK("https://www.philgeps.gov.ph/GEPSNONPILOT/Tender/SplashBidNoticeAbstractUI.aspx?menuIndex=3&amp;refID=7076369&amp;Result=3","7076369")</f>
        <v>0</v>
      </c>
      <c r="B6789" t="s">
        <v>2160</v>
      </c>
      <c r="C6789" t="s">
        <v>9882</v>
      </c>
      <c r="D6789" t="s">
        <v>17496</v>
      </c>
      <c r="E6789" t="s">
        <v>21872</v>
      </c>
      <c r="F6789" t="s">
        <v>30052</v>
      </c>
      <c r="G6789" t="s">
        <v>30058</v>
      </c>
      <c r="H6789" t="s">
        <v>15498</v>
      </c>
      <c r="I6789" t="s">
        <v>3736</v>
      </c>
      <c r="J6789" t="s">
        <v>34425</v>
      </c>
      <c r="K6789" t="s">
        <v>39029</v>
      </c>
      <c r="M6789" t="s">
        <v>41627</v>
      </c>
      <c r="N6789" t="s">
        <v>43166</v>
      </c>
      <c r="O6789" t="s">
        <v>43167</v>
      </c>
      <c r="P6789">
        <v>0</v>
      </c>
      <c r="Q6789">
        <v>0</v>
      </c>
      <c r="R6789" t="s">
        <v>43173</v>
      </c>
      <c r="S6789" t="s">
        <v>43374</v>
      </c>
      <c r="T6789" t="s">
        <v>44916</v>
      </c>
      <c r="U6789" t="s">
        <v>50694</v>
      </c>
      <c r="W6789" t="s">
        <v>41627</v>
      </c>
      <c r="X6789" t="s">
        <v>43174</v>
      </c>
    </row>
    <row r="6790" spans="1:24">
      <c r="A6790">
        <f>HYPERLINK("https://www.philgeps.gov.ph/GEPSNONPILOT/Tender/SplashBidNoticeAbstractUI.aspx?menuIndex=3&amp;refID=7076295&amp;Result=3","7076295")</f>
        <v>0</v>
      </c>
      <c r="B6790" t="s">
        <v>498</v>
      </c>
      <c r="C6790" t="s">
        <v>9883</v>
      </c>
      <c r="D6790" t="s">
        <v>17431</v>
      </c>
      <c r="E6790" t="s">
        <v>23367</v>
      </c>
      <c r="F6790" t="s">
        <v>30052</v>
      </c>
      <c r="G6790" t="s">
        <v>30059</v>
      </c>
      <c r="H6790" t="s">
        <v>15498</v>
      </c>
      <c r="I6790" t="s">
        <v>3736</v>
      </c>
      <c r="J6790" t="s">
        <v>34426</v>
      </c>
      <c r="K6790" t="s">
        <v>39046</v>
      </c>
      <c r="M6790" t="s">
        <v>39799</v>
      </c>
      <c r="N6790" t="s">
        <v>43166</v>
      </c>
      <c r="O6790" t="s">
        <v>43167</v>
      </c>
      <c r="P6790">
        <v>0</v>
      </c>
      <c r="Q6790">
        <v>2</v>
      </c>
      <c r="R6790" t="s">
        <v>43173</v>
      </c>
      <c r="S6790" t="s">
        <v>43374</v>
      </c>
      <c r="T6790" t="s">
        <v>44717</v>
      </c>
      <c r="U6790" t="s">
        <v>50674</v>
      </c>
      <c r="W6790" t="s">
        <v>39799</v>
      </c>
      <c r="X6790" t="s">
        <v>43174</v>
      </c>
    </row>
    <row r="6791" spans="1:24">
      <c r="A6791">
        <f>HYPERLINK("https://www.philgeps.gov.ph/GEPSNONPILOT/Tender/SplashBidNoticeAbstractUI.aspx?menuIndex=3&amp;refID=7076291&amp;Result=3","7076291")</f>
        <v>0</v>
      </c>
      <c r="B6791" t="s">
        <v>796</v>
      </c>
      <c r="C6791" t="s">
        <v>9884</v>
      </c>
      <c r="D6791" t="s">
        <v>17476</v>
      </c>
      <c r="E6791" t="s">
        <v>23368</v>
      </c>
      <c r="F6791" t="s">
        <v>30052</v>
      </c>
      <c r="G6791" t="s">
        <v>30059</v>
      </c>
      <c r="H6791" t="s">
        <v>30069</v>
      </c>
      <c r="I6791" t="s">
        <v>30109</v>
      </c>
      <c r="J6791" t="s">
        <v>34427</v>
      </c>
      <c r="K6791" t="s">
        <v>39034</v>
      </c>
      <c r="M6791" t="s">
        <v>40741</v>
      </c>
      <c r="N6791" t="s">
        <v>43166</v>
      </c>
      <c r="O6791" t="s">
        <v>43167</v>
      </c>
      <c r="P6791">
        <v>0</v>
      </c>
      <c r="Q6791">
        <v>1</v>
      </c>
      <c r="R6791" t="s">
        <v>43173</v>
      </c>
      <c r="S6791" t="s">
        <v>43374</v>
      </c>
      <c r="T6791" t="s">
        <v>44714</v>
      </c>
      <c r="U6791" t="s">
        <v>50701</v>
      </c>
      <c r="W6791" t="s">
        <v>40741</v>
      </c>
      <c r="X6791" t="s">
        <v>43174</v>
      </c>
    </row>
    <row r="6792" spans="1:24">
      <c r="A6792">
        <f>HYPERLINK("https://www.philgeps.gov.ph/GEPSNONPILOT/Tender/SplashBidNoticeAbstractUI.aspx?menuIndex=3&amp;refID=7076290&amp;Result=3","7076290")</f>
        <v>0</v>
      </c>
      <c r="B6792" t="s">
        <v>2153</v>
      </c>
      <c r="C6792" t="s">
        <v>9885</v>
      </c>
      <c r="D6792" t="s">
        <v>17427</v>
      </c>
      <c r="E6792" t="s">
        <v>18342</v>
      </c>
      <c r="F6792" t="s">
        <v>30052</v>
      </c>
      <c r="G6792" t="s">
        <v>30060</v>
      </c>
      <c r="H6792" t="s">
        <v>15498</v>
      </c>
      <c r="I6792" t="s">
        <v>3736</v>
      </c>
      <c r="J6792" t="s">
        <v>34428</v>
      </c>
      <c r="K6792" t="s">
        <v>39029</v>
      </c>
      <c r="M6792" t="s">
        <v>41618</v>
      </c>
      <c r="N6792" t="s">
        <v>43166</v>
      </c>
      <c r="O6792" t="s">
        <v>43167</v>
      </c>
      <c r="P6792">
        <v>0</v>
      </c>
      <c r="Q6792">
        <v>1</v>
      </c>
      <c r="R6792" t="s">
        <v>43173</v>
      </c>
      <c r="S6792" t="s">
        <v>43374</v>
      </c>
      <c r="T6792" t="s">
        <v>44704</v>
      </c>
      <c r="U6792" t="s">
        <v>50702</v>
      </c>
      <c r="W6792" t="s">
        <v>41618</v>
      </c>
      <c r="X6792" t="s">
        <v>43174</v>
      </c>
    </row>
    <row r="6793" spans="1:24">
      <c r="A6793">
        <f>HYPERLINK("https://www.philgeps.gov.ph/GEPSNONPILOT/Tender/SplashBidNoticeAbstractUI.aspx?menuIndex=3&amp;refID=7076387&amp;Result=3","7076387")</f>
        <v>0</v>
      </c>
      <c r="B6793" t="s">
        <v>503</v>
      </c>
      <c r="C6793" t="s">
        <v>9886</v>
      </c>
      <c r="D6793" t="s">
        <v>17415</v>
      </c>
      <c r="E6793" t="s">
        <v>23369</v>
      </c>
      <c r="F6793" t="s">
        <v>30052</v>
      </c>
      <c r="G6793" t="s">
        <v>30059</v>
      </c>
      <c r="H6793" t="s">
        <v>15498</v>
      </c>
      <c r="I6793" t="s">
        <v>30076</v>
      </c>
      <c r="J6793" t="s">
        <v>30248</v>
      </c>
      <c r="K6793" t="s">
        <v>39019</v>
      </c>
      <c r="M6793" t="s">
        <v>41402</v>
      </c>
      <c r="N6793" t="s">
        <v>43166</v>
      </c>
      <c r="O6793" t="s">
        <v>43167</v>
      </c>
      <c r="P6793">
        <v>0</v>
      </c>
      <c r="Q6793">
        <v>13</v>
      </c>
      <c r="R6793" t="s">
        <v>43173</v>
      </c>
      <c r="S6793" t="s">
        <v>43374</v>
      </c>
      <c r="T6793" t="s">
        <v>44717</v>
      </c>
      <c r="U6793" t="s">
        <v>50703</v>
      </c>
      <c r="V6793" t="s">
        <v>57536</v>
      </c>
      <c r="W6793" t="s">
        <v>41402</v>
      </c>
      <c r="X6793" t="s">
        <v>43174</v>
      </c>
    </row>
    <row r="6794" spans="1:24">
      <c r="A6794">
        <f>HYPERLINK("https://www.philgeps.gov.ph/GEPSNONPILOT/Tender/SplashBidNoticeAbstractUI.aspx?menuIndex=3&amp;refID=7076336&amp;Result=3","7076336")</f>
        <v>0</v>
      </c>
      <c r="B6794" t="s">
        <v>539</v>
      </c>
      <c r="C6794" t="s">
        <v>9887</v>
      </c>
      <c r="D6794" t="s">
        <v>17427</v>
      </c>
      <c r="E6794" t="s">
        <v>23370</v>
      </c>
      <c r="F6794" t="s">
        <v>30052</v>
      </c>
      <c r="G6794" t="s">
        <v>30061</v>
      </c>
      <c r="H6794" t="s">
        <v>15498</v>
      </c>
      <c r="I6794" t="s">
        <v>30081</v>
      </c>
      <c r="J6794" t="s">
        <v>34429</v>
      </c>
      <c r="K6794" t="s">
        <v>39017</v>
      </c>
      <c r="M6794" t="s">
        <v>39841</v>
      </c>
      <c r="N6794" t="s">
        <v>43166</v>
      </c>
      <c r="O6794" t="s">
        <v>43167</v>
      </c>
      <c r="P6794">
        <v>0</v>
      </c>
      <c r="Q6794">
        <v>0</v>
      </c>
      <c r="R6794" t="s">
        <v>43173</v>
      </c>
      <c r="S6794" t="s">
        <v>43374</v>
      </c>
      <c r="T6794" t="s">
        <v>44735</v>
      </c>
      <c r="U6794" t="s">
        <v>50704</v>
      </c>
      <c r="W6794" t="s">
        <v>39841</v>
      </c>
      <c r="X6794" t="s">
        <v>43174</v>
      </c>
    </row>
    <row r="6795" spans="1:24">
      <c r="A6795">
        <f>HYPERLINK("https://www.philgeps.gov.ph/GEPSNONPILOT/Tender/SplashBidNoticeAbstractUI.aspx?menuIndex=3&amp;refID=7076418&amp;Result=3","7076418")</f>
        <v>0</v>
      </c>
      <c r="B6795" t="s">
        <v>2162</v>
      </c>
      <c r="C6795" t="s">
        <v>9888</v>
      </c>
      <c r="D6795" t="s">
        <v>17450</v>
      </c>
      <c r="E6795" t="s">
        <v>23371</v>
      </c>
      <c r="F6795" t="s">
        <v>30052</v>
      </c>
      <c r="G6795" t="s">
        <v>30058</v>
      </c>
      <c r="H6795" t="s">
        <v>30067</v>
      </c>
      <c r="I6795" t="s">
        <v>3736</v>
      </c>
      <c r="J6795" t="s">
        <v>34430</v>
      </c>
      <c r="K6795" t="s">
        <v>39025</v>
      </c>
      <c r="M6795" t="s">
        <v>41629</v>
      </c>
      <c r="N6795" t="s">
        <v>43166</v>
      </c>
      <c r="O6795" t="s">
        <v>43167</v>
      </c>
      <c r="P6795">
        <v>0</v>
      </c>
      <c r="Q6795">
        <v>0</v>
      </c>
      <c r="R6795" t="s">
        <v>43173</v>
      </c>
      <c r="S6795" t="s">
        <v>43374</v>
      </c>
      <c r="T6795" t="s">
        <v>44715</v>
      </c>
      <c r="U6795" t="s">
        <v>50705</v>
      </c>
      <c r="V6795" t="s">
        <v>57537</v>
      </c>
      <c r="W6795" t="s">
        <v>41629</v>
      </c>
      <c r="X6795" t="s">
        <v>43174</v>
      </c>
    </row>
    <row r="6796" spans="1:24">
      <c r="A6796">
        <f>HYPERLINK("https://www.philgeps.gov.ph/GEPSNONPILOT/Tender/SplashBidNoticeAbstractUI.aspx?menuIndex=3&amp;refID=7076325&amp;Result=3","7076325")</f>
        <v>0</v>
      </c>
      <c r="B6796" t="s">
        <v>1517</v>
      </c>
      <c r="C6796" t="s">
        <v>9889</v>
      </c>
      <c r="D6796" t="s">
        <v>17421</v>
      </c>
      <c r="E6796" t="s">
        <v>23372</v>
      </c>
      <c r="F6796" t="s">
        <v>30052</v>
      </c>
      <c r="G6796" t="s">
        <v>30060</v>
      </c>
      <c r="H6796" t="s">
        <v>15498</v>
      </c>
      <c r="I6796" t="s">
        <v>3736</v>
      </c>
      <c r="J6796" t="s">
        <v>30574</v>
      </c>
      <c r="K6796" t="s">
        <v>39025</v>
      </c>
      <c r="M6796" t="s">
        <v>41614</v>
      </c>
      <c r="N6796" t="s">
        <v>43166</v>
      </c>
      <c r="O6796" t="s">
        <v>43167</v>
      </c>
      <c r="P6796">
        <v>0</v>
      </c>
      <c r="Q6796">
        <v>0</v>
      </c>
      <c r="R6796" t="s">
        <v>43173</v>
      </c>
      <c r="S6796" t="s">
        <v>43374</v>
      </c>
      <c r="T6796" t="s">
        <v>44844</v>
      </c>
      <c r="U6796" t="s">
        <v>50706</v>
      </c>
      <c r="W6796" t="s">
        <v>41614</v>
      </c>
      <c r="X6796" t="s">
        <v>43174</v>
      </c>
    </row>
    <row r="6797" spans="1:24">
      <c r="A6797">
        <f>HYPERLINK("https://www.philgeps.gov.ph/GEPSNONPILOT/Tender/SplashBidNoticeAbstractUI.aspx?menuIndex=3&amp;refID=7076421&amp;Result=3","7076421")</f>
        <v>0</v>
      </c>
      <c r="B6797" t="s">
        <v>2163</v>
      </c>
      <c r="C6797" t="s">
        <v>9890</v>
      </c>
      <c r="D6797" t="s">
        <v>17438</v>
      </c>
      <c r="E6797" t="s">
        <v>23373</v>
      </c>
      <c r="F6797" t="s">
        <v>30052</v>
      </c>
      <c r="G6797" t="s">
        <v>30058</v>
      </c>
      <c r="H6797" t="s">
        <v>15498</v>
      </c>
      <c r="I6797" t="s">
        <v>3736</v>
      </c>
      <c r="J6797" t="s">
        <v>34431</v>
      </c>
      <c r="K6797" t="s">
        <v>39034</v>
      </c>
      <c r="M6797" t="s">
        <v>41630</v>
      </c>
      <c r="N6797" t="s">
        <v>43166</v>
      </c>
      <c r="O6797" t="s">
        <v>43167</v>
      </c>
      <c r="P6797">
        <v>0</v>
      </c>
      <c r="Q6797">
        <v>1</v>
      </c>
      <c r="R6797" t="s">
        <v>43173</v>
      </c>
      <c r="S6797" t="s">
        <v>43374</v>
      </c>
      <c r="T6797" t="s">
        <v>44780</v>
      </c>
      <c r="U6797" t="s">
        <v>50707</v>
      </c>
      <c r="W6797" t="s">
        <v>41630</v>
      </c>
      <c r="X6797" t="s">
        <v>43174</v>
      </c>
    </row>
    <row r="6798" spans="1:24">
      <c r="A6798">
        <f>HYPERLINK("https://www.philgeps.gov.ph/GEPSNONPILOT/Tender/SplashBidNoticeAbstractUI.aspx?menuIndex=3&amp;refID=7076283&amp;Result=3","7076283")</f>
        <v>0</v>
      </c>
      <c r="B6798" t="s">
        <v>917</v>
      </c>
      <c r="C6798" t="s">
        <v>9891</v>
      </c>
      <c r="D6798" t="s">
        <v>17415</v>
      </c>
      <c r="E6798" t="s">
        <v>23374</v>
      </c>
      <c r="F6798" t="s">
        <v>30052</v>
      </c>
      <c r="G6798" t="s">
        <v>30058</v>
      </c>
      <c r="H6798" t="s">
        <v>15498</v>
      </c>
      <c r="I6798" t="s">
        <v>30084</v>
      </c>
      <c r="J6798" t="s">
        <v>34432</v>
      </c>
      <c r="K6798" t="s">
        <v>39025</v>
      </c>
      <c r="M6798" t="s">
        <v>41631</v>
      </c>
      <c r="N6798" t="s">
        <v>43166</v>
      </c>
      <c r="O6798" t="s">
        <v>43167</v>
      </c>
      <c r="P6798">
        <v>0</v>
      </c>
      <c r="Q6798">
        <v>13</v>
      </c>
      <c r="R6798" t="s">
        <v>43173</v>
      </c>
      <c r="S6798" t="s">
        <v>43374</v>
      </c>
      <c r="T6798" t="s">
        <v>44828</v>
      </c>
      <c r="U6798" t="s">
        <v>50708</v>
      </c>
      <c r="V6798" t="s">
        <v>57538</v>
      </c>
      <c r="W6798" t="s">
        <v>41631</v>
      </c>
      <c r="X6798" t="s">
        <v>43174</v>
      </c>
    </row>
    <row r="6799" spans="1:24">
      <c r="A6799">
        <f>HYPERLINK("https://www.philgeps.gov.ph/GEPSNONPILOT/Tender/SplashBidNoticeAbstractUI.aspx?menuIndex=3&amp;refID=7076285&amp;Result=3","7076285")</f>
        <v>0</v>
      </c>
      <c r="B6799" t="s">
        <v>746</v>
      </c>
      <c r="C6799" t="s">
        <v>9892</v>
      </c>
      <c r="D6799" t="s">
        <v>17421</v>
      </c>
      <c r="E6799" t="s">
        <v>23375</v>
      </c>
      <c r="F6799" t="s">
        <v>30052</v>
      </c>
      <c r="G6799" t="s">
        <v>30058</v>
      </c>
      <c r="H6799" t="s">
        <v>15498</v>
      </c>
      <c r="I6799" t="s">
        <v>3606</v>
      </c>
      <c r="J6799" t="s">
        <v>34433</v>
      </c>
      <c r="K6799" t="s">
        <v>39029</v>
      </c>
      <c r="M6799" t="s">
        <v>40060</v>
      </c>
      <c r="N6799" t="s">
        <v>43166</v>
      </c>
      <c r="O6799" t="s">
        <v>43167</v>
      </c>
      <c r="P6799">
        <v>0</v>
      </c>
      <c r="Q6799">
        <v>4</v>
      </c>
      <c r="R6799" t="s">
        <v>43173</v>
      </c>
      <c r="S6799" t="s">
        <v>43374</v>
      </c>
      <c r="T6799" t="s">
        <v>44696</v>
      </c>
      <c r="U6799" t="s">
        <v>50709</v>
      </c>
      <c r="W6799" t="s">
        <v>40060</v>
      </c>
      <c r="X6799" t="s">
        <v>43174</v>
      </c>
    </row>
    <row r="6800" spans="1:24">
      <c r="A6800">
        <f>HYPERLINK("https://www.philgeps.gov.ph/GEPSNONPILOT/Tender/SplashBidNoticeAbstractUI.aspx?menuIndex=3&amp;refID=7076408&amp;Result=3","7076408")</f>
        <v>0</v>
      </c>
      <c r="B6800" t="s">
        <v>901</v>
      </c>
      <c r="C6800" t="s">
        <v>9893</v>
      </c>
      <c r="D6800" t="s">
        <v>17414</v>
      </c>
      <c r="E6800" t="s">
        <v>23376</v>
      </c>
      <c r="F6800" t="s">
        <v>30052</v>
      </c>
      <c r="G6800" t="s">
        <v>30058</v>
      </c>
      <c r="H6800" t="s">
        <v>30067</v>
      </c>
      <c r="I6800" t="s">
        <v>3693</v>
      </c>
      <c r="J6800" t="s">
        <v>30252</v>
      </c>
      <c r="K6800" t="s">
        <v>39023</v>
      </c>
      <c r="M6800" t="s">
        <v>40220</v>
      </c>
      <c r="N6800" t="s">
        <v>43166</v>
      </c>
      <c r="O6800" t="s">
        <v>43167</v>
      </c>
      <c r="P6800">
        <v>0</v>
      </c>
      <c r="Q6800">
        <v>0</v>
      </c>
      <c r="R6800" t="s">
        <v>43173</v>
      </c>
      <c r="S6800" t="s">
        <v>43374</v>
      </c>
      <c r="T6800" t="s">
        <v>44861</v>
      </c>
      <c r="U6800" t="s">
        <v>50693</v>
      </c>
      <c r="W6800" t="s">
        <v>40220</v>
      </c>
      <c r="X6800" t="s">
        <v>43174</v>
      </c>
    </row>
    <row r="6801" spans="1:24">
      <c r="A6801">
        <f>HYPERLINK("https://www.philgeps.gov.ph/GEPSNONPILOT/Tender/SplashBidNoticeAbstractUI.aspx?menuIndex=3&amp;refID=7076403&amp;Result=3","7076403")</f>
        <v>0</v>
      </c>
      <c r="B6801" t="s">
        <v>2164</v>
      </c>
      <c r="C6801" t="s">
        <v>9894</v>
      </c>
      <c r="D6801" t="s">
        <v>17435</v>
      </c>
      <c r="E6801" t="s">
        <v>23377</v>
      </c>
      <c r="F6801" t="s">
        <v>30052</v>
      </c>
      <c r="G6801" t="s">
        <v>30058</v>
      </c>
      <c r="H6801" t="s">
        <v>15498</v>
      </c>
      <c r="I6801" t="s">
        <v>3736</v>
      </c>
      <c r="J6801" t="s">
        <v>30207</v>
      </c>
      <c r="K6801" t="s">
        <v>39017</v>
      </c>
      <c r="M6801" t="s">
        <v>41632</v>
      </c>
      <c r="N6801" t="s">
        <v>43166</v>
      </c>
      <c r="O6801" t="s">
        <v>43167</v>
      </c>
      <c r="P6801">
        <v>0</v>
      </c>
      <c r="Q6801">
        <v>2</v>
      </c>
      <c r="R6801" t="s">
        <v>43173</v>
      </c>
      <c r="S6801" t="s">
        <v>43374</v>
      </c>
      <c r="T6801" t="s">
        <v>44832</v>
      </c>
      <c r="U6801" t="s">
        <v>50710</v>
      </c>
      <c r="W6801" t="s">
        <v>41632</v>
      </c>
      <c r="X6801" t="s">
        <v>43174</v>
      </c>
    </row>
    <row r="6802" spans="1:24">
      <c r="A6802">
        <f>HYPERLINK("https://www.philgeps.gov.ph/GEPSNONPILOT/Tender/SplashBidNoticeAbstractUI.aspx?menuIndex=3&amp;refID=7076401&amp;Result=3","7076401")</f>
        <v>0</v>
      </c>
      <c r="B6802" t="s">
        <v>777</v>
      </c>
      <c r="C6802" t="s">
        <v>9895</v>
      </c>
      <c r="E6802" t="s">
        <v>23378</v>
      </c>
      <c r="F6802" t="s">
        <v>30052</v>
      </c>
      <c r="G6802" t="s">
        <v>30059</v>
      </c>
      <c r="H6802" t="s">
        <v>15498</v>
      </c>
      <c r="I6802" t="s">
        <v>30117</v>
      </c>
      <c r="J6802" t="s">
        <v>30556</v>
      </c>
      <c r="K6802" t="s">
        <v>39025</v>
      </c>
      <c r="M6802" t="s">
        <v>40092</v>
      </c>
      <c r="N6802" t="s">
        <v>43166</v>
      </c>
      <c r="O6802" t="s">
        <v>43167</v>
      </c>
      <c r="P6802">
        <v>0</v>
      </c>
      <c r="Q6802">
        <v>0</v>
      </c>
      <c r="R6802" t="s">
        <v>43173</v>
      </c>
      <c r="S6802" t="s">
        <v>43374</v>
      </c>
      <c r="T6802" t="s">
        <v>44856</v>
      </c>
      <c r="U6802" t="s">
        <v>50711</v>
      </c>
      <c r="W6802" t="s">
        <v>40092</v>
      </c>
      <c r="X6802" t="s">
        <v>43174</v>
      </c>
    </row>
    <row r="6803" spans="1:24">
      <c r="A6803">
        <f>HYPERLINK("https://www.philgeps.gov.ph/GEPSNONPILOT/Tender/SplashBidNoticeAbstractUI.aspx?menuIndex=3&amp;refID=7076396&amp;Result=3","7076396")</f>
        <v>0</v>
      </c>
      <c r="B6803" t="s">
        <v>2163</v>
      </c>
      <c r="C6803" t="s">
        <v>9896</v>
      </c>
      <c r="D6803" t="s">
        <v>17438</v>
      </c>
      <c r="E6803" t="s">
        <v>23379</v>
      </c>
      <c r="F6803" t="s">
        <v>30052</v>
      </c>
      <c r="G6803" t="s">
        <v>30058</v>
      </c>
      <c r="H6803" t="s">
        <v>15498</v>
      </c>
      <c r="I6803" t="s">
        <v>3736</v>
      </c>
      <c r="J6803" t="s">
        <v>34434</v>
      </c>
      <c r="K6803" t="s">
        <v>39034</v>
      </c>
      <c r="M6803" t="s">
        <v>41630</v>
      </c>
      <c r="N6803" t="s">
        <v>43166</v>
      </c>
      <c r="O6803" t="s">
        <v>43167</v>
      </c>
      <c r="P6803">
        <v>0</v>
      </c>
      <c r="Q6803">
        <v>0</v>
      </c>
      <c r="R6803" t="s">
        <v>43173</v>
      </c>
      <c r="S6803" t="s">
        <v>43374</v>
      </c>
      <c r="T6803" t="s">
        <v>44780</v>
      </c>
      <c r="U6803" t="s">
        <v>50712</v>
      </c>
      <c r="W6803" t="s">
        <v>41630</v>
      </c>
      <c r="X6803" t="s">
        <v>43174</v>
      </c>
    </row>
    <row r="6804" spans="1:24">
      <c r="A6804">
        <f>HYPERLINK("https://www.philgeps.gov.ph/GEPSNONPILOT/Tender/SplashBidNoticeAbstractUI.aspx?menuIndex=3&amp;refID=7076417&amp;Result=3","7076417")</f>
        <v>0</v>
      </c>
      <c r="B6804" t="s">
        <v>592</v>
      </c>
      <c r="C6804" t="s">
        <v>9897</v>
      </c>
      <c r="D6804" t="s">
        <v>17461</v>
      </c>
      <c r="E6804" t="s">
        <v>23380</v>
      </c>
      <c r="F6804" t="s">
        <v>30052</v>
      </c>
      <c r="G6804" t="s">
        <v>30058</v>
      </c>
      <c r="H6804" t="s">
        <v>15498</v>
      </c>
      <c r="I6804" t="s">
        <v>30086</v>
      </c>
      <c r="J6804" t="s">
        <v>34435</v>
      </c>
      <c r="K6804" t="s">
        <v>39029</v>
      </c>
      <c r="M6804" t="s">
        <v>41301</v>
      </c>
      <c r="N6804" t="s">
        <v>43166</v>
      </c>
      <c r="O6804" t="s">
        <v>43167</v>
      </c>
      <c r="P6804">
        <v>0</v>
      </c>
      <c r="Q6804">
        <v>0</v>
      </c>
      <c r="R6804" t="s">
        <v>43173</v>
      </c>
      <c r="S6804" t="s">
        <v>43374</v>
      </c>
      <c r="T6804" t="s">
        <v>44678</v>
      </c>
      <c r="U6804" t="s">
        <v>50713</v>
      </c>
      <c r="W6804" t="s">
        <v>41301</v>
      </c>
      <c r="X6804" t="s">
        <v>43174</v>
      </c>
    </row>
    <row r="6805" spans="1:24">
      <c r="A6805">
        <f>HYPERLINK("https://www.philgeps.gov.ph/GEPSNONPILOT/Tender/SplashBidNoticeAbstractUI.aspx?menuIndex=3&amp;refID=7076395&amp;Result=3","7076395")</f>
        <v>0</v>
      </c>
      <c r="B6805" t="s">
        <v>2165</v>
      </c>
      <c r="C6805" t="s">
        <v>9898</v>
      </c>
      <c r="D6805" t="s">
        <v>17468</v>
      </c>
      <c r="E6805" t="s">
        <v>23381</v>
      </c>
      <c r="F6805" t="s">
        <v>30052</v>
      </c>
      <c r="G6805" t="s">
        <v>30059</v>
      </c>
      <c r="H6805" t="s">
        <v>15498</v>
      </c>
      <c r="I6805" t="s">
        <v>30071</v>
      </c>
      <c r="J6805" t="s">
        <v>30337</v>
      </c>
      <c r="K6805" t="s">
        <v>39029</v>
      </c>
      <c r="M6805" t="s">
        <v>41633</v>
      </c>
      <c r="N6805" t="s">
        <v>43166</v>
      </c>
      <c r="O6805" t="s">
        <v>43167</v>
      </c>
      <c r="P6805">
        <v>0</v>
      </c>
      <c r="Q6805">
        <v>0</v>
      </c>
      <c r="R6805" t="s">
        <v>43173</v>
      </c>
      <c r="S6805" t="s">
        <v>43374</v>
      </c>
      <c r="T6805" t="s">
        <v>44788</v>
      </c>
      <c r="U6805" t="s">
        <v>50714</v>
      </c>
      <c r="W6805" t="s">
        <v>41633</v>
      </c>
      <c r="X6805" t="s">
        <v>43174</v>
      </c>
    </row>
    <row r="6806" spans="1:24">
      <c r="A6806">
        <f>HYPERLINK("https://www.philgeps.gov.ph/GEPSNONPILOT/Tender/SplashBidNoticeAbstractUI.aspx?menuIndex=3&amp;refID=7076394&amp;Result=3","7076394")</f>
        <v>0</v>
      </c>
      <c r="B6806" t="s">
        <v>777</v>
      </c>
      <c r="C6806" t="s">
        <v>9899</v>
      </c>
      <c r="E6806" t="s">
        <v>23382</v>
      </c>
      <c r="F6806" t="s">
        <v>30052</v>
      </c>
      <c r="G6806" t="s">
        <v>30059</v>
      </c>
      <c r="H6806" t="s">
        <v>15498</v>
      </c>
      <c r="I6806" t="s">
        <v>3736</v>
      </c>
      <c r="J6806" t="s">
        <v>34436</v>
      </c>
      <c r="K6806" t="s">
        <v>39025</v>
      </c>
      <c r="M6806" t="s">
        <v>40092</v>
      </c>
      <c r="N6806" t="s">
        <v>43166</v>
      </c>
      <c r="O6806" t="s">
        <v>43167</v>
      </c>
      <c r="P6806">
        <v>0</v>
      </c>
      <c r="Q6806">
        <v>0</v>
      </c>
      <c r="R6806" t="s">
        <v>43173</v>
      </c>
      <c r="S6806" t="s">
        <v>43374</v>
      </c>
      <c r="T6806" t="s">
        <v>44856</v>
      </c>
      <c r="U6806" t="s">
        <v>50715</v>
      </c>
      <c r="W6806" t="s">
        <v>40092</v>
      </c>
      <c r="X6806" t="s">
        <v>43174</v>
      </c>
    </row>
    <row r="6807" spans="1:24">
      <c r="A6807">
        <f>HYPERLINK("https://www.philgeps.gov.ph/GEPSNONPILOT/Tender/SplashBidNoticeAbstractUI.aspx?menuIndex=3&amp;refID=7076393&amp;Result=3","7076393")</f>
        <v>0</v>
      </c>
      <c r="B6807" t="s">
        <v>1899</v>
      </c>
      <c r="C6807" t="s">
        <v>9900</v>
      </c>
      <c r="D6807" t="s">
        <v>17422</v>
      </c>
      <c r="E6807" t="s">
        <v>23383</v>
      </c>
      <c r="F6807" t="s">
        <v>30052</v>
      </c>
      <c r="G6807" t="s">
        <v>30059</v>
      </c>
      <c r="H6807" t="s">
        <v>15498</v>
      </c>
      <c r="I6807" t="s">
        <v>30098</v>
      </c>
      <c r="J6807" t="s">
        <v>34437</v>
      </c>
      <c r="K6807" t="s">
        <v>39017</v>
      </c>
      <c r="M6807" t="s">
        <v>41330</v>
      </c>
      <c r="N6807" t="s">
        <v>43166</v>
      </c>
      <c r="O6807" t="s">
        <v>43167</v>
      </c>
      <c r="P6807">
        <v>0</v>
      </c>
      <c r="Q6807">
        <v>0</v>
      </c>
      <c r="R6807" t="s">
        <v>43173</v>
      </c>
      <c r="S6807" t="s">
        <v>43374</v>
      </c>
      <c r="T6807" t="s">
        <v>44714</v>
      </c>
      <c r="U6807" t="s">
        <v>49754</v>
      </c>
      <c r="W6807" t="s">
        <v>41330</v>
      </c>
      <c r="X6807" t="s">
        <v>43174</v>
      </c>
    </row>
    <row r="6808" spans="1:24">
      <c r="A6808">
        <f>HYPERLINK("https://www.philgeps.gov.ph/GEPSNONPILOT/Tender/SplashBidNoticeAbstractUI.aspx?menuIndex=3&amp;refID=7076415&amp;Result=3","7076415")</f>
        <v>0</v>
      </c>
      <c r="B6808" t="s">
        <v>736</v>
      </c>
      <c r="C6808" t="s">
        <v>9901</v>
      </c>
      <c r="D6808" t="s">
        <v>17455</v>
      </c>
      <c r="E6808" t="s">
        <v>23384</v>
      </c>
      <c r="F6808" t="s">
        <v>30052</v>
      </c>
      <c r="G6808" t="s">
        <v>30058</v>
      </c>
      <c r="H6808" t="s">
        <v>15498</v>
      </c>
      <c r="I6808" t="s">
        <v>30076</v>
      </c>
      <c r="J6808" t="s">
        <v>34438</v>
      </c>
      <c r="K6808" t="s">
        <v>39025</v>
      </c>
      <c r="M6808" t="s">
        <v>40049</v>
      </c>
      <c r="N6808" t="s">
        <v>43166</v>
      </c>
      <c r="O6808" t="s">
        <v>43167</v>
      </c>
      <c r="P6808">
        <v>0</v>
      </c>
      <c r="Q6808">
        <v>1</v>
      </c>
      <c r="R6808" t="s">
        <v>43173</v>
      </c>
      <c r="S6808" t="s">
        <v>43374</v>
      </c>
      <c r="T6808" t="s">
        <v>44722</v>
      </c>
      <c r="U6808" t="s">
        <v>50716</v>
      </c>
      <c r="W6808" t="s">
        <v>40049</v>
      </c>
      <c r="X6808" t="s">
        <v>43174</v>
      </c>
    </row>
    <row r="6809" spans="1:24">
      <c r="A6809">
        <f>HYPERLINK("https://www.philgeps.gov.ph/GEPSNONPILOT/Tender/SplashBidNoticeAbstractUI.aspx?menuIndex=3&amp;refID=7076390&amp;Result=3","7076390")</f>
        <v>0</v>
      </c>
      <c r="B6809" t="s">
        <v>65</v>
      </c>
      <c r="C6809" t="s">
        <v>9902</v>
      </c>
      <c r="D6809" t="s">
        <v>17445</v>
      </c>
      <c r="E6809" t="s">
        <v>23385</v>
      </c>
      <c r="F6809" t="s">
        <v>30052</v>
      </c>
      <c r="G6809" t="s">
        <v>30062</v>
      </c>
      <c r="H6809" t="s">
        <v>15498</v>
      </c>
      <c r="I6809" t="s">
        <v>3736</v>
      </c>
      <c r="J6809" t="s">
        <v>34439</v>
      </c>
      <c r="K6809" t="s">
        <v>39029</v>
      </c>
      <c r="M6809" t="s">
        <v>40786</v>
      </c>
      <c r="N6809" t="s">
        <v>43166</v>
      </c>
      <c r="O6809" t="s">
        <v>43167</v>
      </c>
      <c r="P6809">
        <v>0</v>
      </c>
      <c r="Q6809">
        <v>1</v>
      </c>
      <c r="R6809" t="s">
        <v>43173</v>
      </c>
      <c r="S6809" t="s">
        <v>43374</v>
      </c>
      <c r="T6809" t="s">
        <v>44717</v>
      </c>
      <c r="U6809" t="s">
        <v>48337</v>
      </c>
      <c r="W6809" t="s">
        <v>40786</v>
      </c>
      <c r="X6809" t="s">
        <v>43174</v>
      </c>
    </row>
    <row r="6810" spans="1:24">
      <c r="A6810">
        <f>HYPERLINK("https://www.philgeps.gov.ph/GEPSNONPILOT/Tender/SplashBidNoticeAbstractUI.aspx?menuIndex=3&amp;refID=7076422&amp;Result=3","7076422")</f>
        <v>0</v>
      </c>
      <c r="B6810" t="s">
        <v>2166</v>
      </c>
      <c r="C6810" t="s">
        <v>9903</v>
      </c>
      <c r="D6810" t="s">
        <v>17459</v>
      </c>
      <c r="E6810" t="s">
        <v>23386</v>
      </c>
      <c r="F6810" t="s">
        <v>30052</v>
      </c>
      <c r="G6810" t="s">
        <v>30059</v>
      </c>
      <c r="H6810" t="s">
        <v>15498</v>
      </c>
      <c r="I6810" t="s">
        <v>30092</v>
      </c>
      <c r="J6810" t="s">
        <v>34440</v>
      </c>
      <c r="K6810" t="s">
        <v>39017</v>
      </c>
      <c r="M6810" t="s">
        <v>41634</v>
      </c>
      <c r="N6810" t="s">
        <v>43166</v>
      </c>
      <c r="O6810" t="s">
        <v>43167</v>
      </c>
      <c r="P6810">
        <v>0</v>
      </c>
      <c r="Q6810">
        <v>1</v>
      </c>
      <c r="R6810" t="s">
        <v>43173</v>
      </c>
      <c r="S6810" t="s">
        <v>43374</v>
      </c>
      <c r="T6810" t="s">
        <v>44844</v>
      </c>
      <c r="U6810" t="s">
        <v>50717</v>
      </c>
      <c r="W6810" t="s">
        <v>41634</v>
      </c>
      <c r="X6810" t="s">
        <v>43174</v>
      </c>
    </row>
    <row r="6811" spans="1:24">
      <c r="A6811">
        <f>HYPERLINK("https://www.philgeps.gov.ph/GEPSNONPILOT/Tender/SplashBidNoticeAbstractUI.aspx?menuIndex=3&amp;refID=7076486&amp;Result=3","7076486")</f>
        <v>0</v>
      </c>
      <c r="B6811" t="s">
        <v>1517</v>
      </c>
      <c r="C6811" t="s">
        <v>9904</v>
      </c>
      <c r="D6811" t="s">
        <v>17421</v>
      </c>
      <c r="E6811" t="s">
        <v>23387</v>
      </c>
      <c r="F6811" t="s">
        <v>30052</v>
      </c>
      <c r="G6811" t="s">
        <v>30058</v>
      </c>
      <c r="H6811" t="s">
        <v>15498</v>
      </c>
      <c r="I6811" t="s">
        <v>4598</v>
      </c>
      <c r="J6811" t="s">
        <v>34441</v>
      </c>
      <c r="K6811" t="s">
        <v>39023</v>
      </c>
      <c r="M6811" t="s">
        <v>41614</v>
      </c>
      <c r="N6811" t="s">
        <v>43166</v>
      </c>
      <c r="O6811" t="s">
        <v>43167</v>
      </c>
      <c r="P6811">
        <v>0</v>
      </c>
      <c r="Q6811">
        <v>13</v>
      </c>
      <c r="R6811" t="s">
        <v>43173</v>
      </c>
      <c r="S6811" t="s">
        <v>43374</v>
      </c>
      <c r="T6811" t="s">
        <v>44945</v>
      </c>
      <c r="U6811" t="s">
        <v>50718</v>
      </c>
      <c r="W6811" t="s">
        <v>41614</v>
      </c>
      <c r="X6811" t="s">
        <v>43174</v>
      </c>
    </row>
    <row r="6812" spans="1:24">
      <c r="A6812">
        <f>HYPERLINK("https://www.philgeps.gov.ph/GEPSNONPILOT/Tender/SplashBidNoticeAbstractUI.aspx?menuIndex=3&amp;refID=7076402&amp;Result=3","7076402")</f>
        <v>0</v>
      </c>
      <c r="B6812" t="s">
        <v>2167</v>
      </c>
      <c r="C6812" t="s">
        <v>9905</v>
      </c>
      <c r="D6812" t="s">
        <v>17448</v>
      </c>
      <c r="E6812" t="s">
        <v>23388</v>
      </c>
      <c r="F6812" t="s">
        <v>30052</v>
      </c>
      <c r="G6812" t="s">
        <v>30058</v>
      </c>
      <c r="H6812" t="s">
        <v>30067</v>
      </c>
      <c r="I6812" t="s">
        <v>3693</v>
      </c>
      <c r="J6812" t="s">
        <v>34442</v>
      </c>
      <c r="K6812" t="s">
        <v>39023</v>
      </c>
      <c r="M6812" t="s">
        <v>41635</v>
      </c>
      <c r="N6812" t="s">
        <v>43166</v>
      </c>
      <c r="O6812" t="s">
        <v>43167</v>
      </c>
      <c r="P6812">
        <v>0</v>
      </c>
      <c r="Q6812">
        <v>2</v>
      </c>
      <c r="R6812" t="s">
        <v>43173</v>
      </c>
      <c r="S6812" t="s">
        <v>43374</v>
      </c>
      <c r="T6812" t="s">
        <v>44724</v>
      </c>
      <c r="U6812" t="s">
        <v>50719</v>
      </c>
      <c r="W6812" t="s">
        <v>41635</v>
      </c>
      <c r="X6812" t="s">
        <v>43174</v>
      </c>
    </row>
    <row r="6813" spans="1:24">
      <c r="A6813">
        <f>HYPERLINK("https://www.philgeps.gov.ph/GEPSNONPILOT/Tender/SplashBidNoticeAbstractUI.aspx?menuIndex=3&amp;refID=7076485&amp;Result=3","7076485")</f>
        <v>0</v>
      </c>
      <c r="B6813" t="s">
        <v>2157</v>
      </c>
      <c r="C6813" t="s">
        <v>9906</v>
      </c>
      <c r="D6813" t="s">
        <v>17463</v>
      </c>
      <c r="E6813" t="s">
        <v>23389</v>
      </c>
      <c r="F6813" t="s">
        <v>30052</v>
      </c>
      <c r="G6813" t="s">
        <v>30058</v>
      </c>
      <c r="H6813" t="s">
        <v>30067</v>
      </c>
      <c r="I6813" t="s">
        <v>3693</v>
      </c>
      <c r="J6813" t="s">
        <v>34443</v>
      </c>
      <c r="K6813" t="s">
        <v>39019</v>
      </c>
      <c r="M6813" t="s">
        <v>41624</v>
      </c>
      <c r="N6813" t="s">
        <v>43166</v>
      </c>
      <c r="O6813" t="s">
        <v>43167</v>
      </c>
      <c r="P6813">
        <v>0</v>
      </c>
      <c r="Q6813">
        <v>8</v>
      </c>
      <c r="R6813" t="s">
        <v>43173</v>
      </c>
      <c r="S6813" t="s">
        <v>43374</v>
      </c>
      <c r="T6813" t="s">
        <v>44758</v>
      </c>
      <c r="U6813" t="s">
        <v>50720</v>
      </c>
      <c r="W6813" t="s">
        <v>41624</v>
      </c>
      <c r="X6813" t="s">
        <v>43174</v>
      </c>
    </row>
    <row r="6814" spans="1:24">
      <c r="A6814">
        <f>HYPERLINK("https://www.philgeps.gov.ph/GEPSNONPILOT/Tender/SplashBidNoticeAbstractUI.aspx?menuIndex=3&amp;refID=7076479&amp;Result=3","7076479")</f>
        <v>0</v>
      </c>
      <c r="B6814" t="s">
        <v>952</v>
      </c>
      <c r="C6814" t="s">
        <v>9907</v>
      </c>
      <c r="D6814" t="s">
        <v>17476</v>
      </c>
      <c r="E6814" t="s">
        <v>21432</v>
      </c>
      <c r="F6814" t="s">
        <v>30052</v>
      </c>
      <c r="G6814" t="s">
        <v>30059</v>
      </c>
      <c r="H6814" t="s">
        <v>15498</v>
      </c>
      <c r="I6814" t="s">
        <v>30084</v>
      </c>
      <c r="J6814" t="s">
        <v>32002</v>
      </c>
      <c r="K6814" t="s">
        <v>39037</v>
      </c>
      <c r="M6814" t="s">
        <v>40276</v>
      </c>
      <c r="N6814" t="s">
        <v>43166</v>
      </c>
      <c r="O6814" t="s">
        <v>43167</v>
      </c>
      <c r="P6814">
        <v>0</v>
      </c>
      <c r="Q6814">
        <v>5</v>
      </c>
      <c r="R6814" t="s">
        <v>43173</v>
      </c>
      <c r="S6814" t="s">
        <v>43374</v>
      </c>
      <c r="T6814" t="s">
        <v>44843</v>
      </c>
      <c r="U6814" t="s">
        <v>47143</v>
      </c>
      <c r="W6814" t="s">
        <v>40276</v>
      </c>
      <c r="X6814" t="s">
        <v>43174</v>
      </c>
    </row>
    <row r="6815" spans="1:24">
      <c r="A6815">
        <f>HYPERLINK("https://www.philgeps.gov.ph/GEPSNONPILOT/Tender/SplashBidNoticeAbstractUI.aspx?menuIndex=3&amp;refID=7076392&amp;Result=3","7076392")</f>
        <v>0</v>
      </c>
      <c r="B6815" t="s">
        <v>901</v>
      </c>
      <c r="C6815" t="s">
        <v>9908</v>
      </c>
      <c r="D6815" t="s">
        <v>17414</v>
      </c>
      <c r="E6815" t="s">
        <v>23390</v>
      </c>
      <c r="F6815" t="s">
        <v>30052</v>
      </c>
      <c r="G6815" t="s">
        <v>30058</v>
      </c>
      <c r="H6815" t="s">
        <v>30067</v>
      </c>
      <c r="I6815" t="s">
        <v>3693</v>
      </c>
      <c r="J6815" t="s">
        <v>30252</v>
      </c>
      <c r="K6815" t="s">
        <v>39031</v>
      </c>
      <c r="M6815" t="s">
        <v>40220</v>
      </c>
      <c r="N6815" t="s">
        <v>43166</v>
      </c>
      <c r="O6815" t="s">
        <v>43167</v>
      </c>
      <c r="P6815">
        <v>0</v>
      </c>
      <c r="Q6815">
        <v>0</v>
      </c>
      <c r="R6815" t="s">
        <v>43173</v>
      </c>
      <c r="S6815" t="s">
        <v>43374</v>
      </c>
      <c r="T6815" t="s">
        <v>44773</v>
      </c>
      <c r="U6815" t="s">
        <v>50693</v>
      </c>
      <c r="W6815" t="s">
        <v>40220</v>
      </c>
      <c r="X6815" t="s">
        <v>43174</v>
      </c>
    </row>
    <row r="6816" spans="1:24">
      <c r="A6816">
        <f>HYPERLINK("https://www.philgeps.gov.ph/GEPSNONPILOT/Tender/SplashBidNoticeAbstractUI.aspx?menuIndex=3&amp;refID=7076469&amp;Result=3","7076469")</f>
        <v>0</v>
      </c>
      <c r="B6816" t="s">
        <v>1311</v>
      </c>
      <c r="C6816" t="s">
        <v>9909</v>
      </c>
      <c r="D6816" t="s">
        <v>17424</v>
      </c>
      <c r="E6816" t="s">
        <v>23391</v>
      </c>
      <c r="F6816" t="s">
        <v>30052</v>
      </c>
      <c r="G6816" t="s">
        <v>30059</v>
      </c>
      <c r="H6816" t="s">
        <v>15498</v>
      </c>
      <c r="I6816" t="s">
        <v>30091</v>
      </c>
      <c r="J6816" t="s">
        <v>30402</v>
      </c>
      <c r="K6816" t="s">
        <v>39019</v>
      </c>
      <c r="M6816" t="s">
        <v>40678</v>
      </c>
      <c r="N6816" t="s">
        <v>43166</v>
      </c>
      <c r="O6816" t="s">
        <v>43167</v>
      </c>
      <c r="P6816">
        <v>0</v>
      </c>
      <c r="Q6816">
        <v>0</v>
      </c>
      <c r="R6816" t="s">
        <v>43173</v>
      </c>
      <c r="S6816" t="s">
        <v>43374</v>
      </c>
      <c r="T6816" t="s">
        <v>44788</v>
      </c>
      <c r="U6816" t="s">
        <v>50721</v>
      </c>
      <c r="W6816" t="s">
        <v>40678</v>
      </c>
      <c r="X6816" t="s">
        <v>43174</v>
      </c>
    </row>
    <row r="6817" spans="1:24">
      <c r="A6817">
        <f>HYPERLINK("https://www.philgeps.gov.ph/GEPSNONPILOT/Tender/SplashBidNoticeAbstractUI.aspx?menuIndex=3&amp;refID=7076466&amp;Result=3","7076466")</f>
        <v>0</v>
      </c>
      <c r="B6817" t="s">
        <v>2168</v>
      </c>
      <c r="C6817" t="s">
        <v>9910</v>
      </c>
      <c r="E6817" t="s">
        <v>17760</v>
      </c>
      <c r="F6817" t="s">
        <v>30052</v>
      </c>
      <c r="G6817" t="s">
        <v>30058</v>
      </c>
      <c r="H6817" t="s">
        <v>15498</v>
      </c>
      <c r="I6817" t="s">
        <v>3693</v>
      </c>
      <c r="J6817" t="s">
        <v>31412</v>
      </c>
      <c r="K6817" t="s">
        <v>39025</v>
      </c>
      <c r="M6817" t="s">
        <v>41636</v>
      </c>
      <c r="N6817" t="s">
        <v>43166</v>
      </c>
      <c r="O6817" t="s">
        <v>43167</v>
      </c>
      <c r="P6817">
        <v>0</v>
      </c>
      <c r="Q6817">
        <v>0</v>
      </c>
      <c r="R6817" t="s">
        <v>43173</v>
      </c>
      <c r="S6817" t="s">
        <v>43374</v>
      </c>
      <c r="T6817" t="s">
        <v>44681</v>
      </c>
      <c r="U6817" t="s">
        <v>50722</v>
      </c>
      <c r="W6817" t="s">
        <v>41636</v>
      </c>
      <c r="X6817" t="s">
        <v>43174</v>
      </c>
    </row>
    <row r="6818" spans="1:24">
      <c r="A6818">
        <f>HYPERLINK("https://www.philgeps.gov.ph/GEPSNONPILOT/Tender/SplashBidNoticeAbstractUI.aspx?menuIndex=3&amp;refID=7076423&amp;Result=3","7076423")</f>
        <v>0</v>
      </c>
      <c r="B6818" t="s">
        <v>65</v>
      </c>
      <c r="C6818" t="s">
        <v>9911</v>
      </c>
      <c r="D6818" t="s">
        <v>17445</v>
      </c>
      <c r="E6818" t="s">
        <v>23392</v>
      </c>
      <c r="F6818" t="s">
        <v>30052</v>
      </c>
      <c r="G6818" t="s">
        <v>30062</v>
      </c>
      <c r="H6818" t="s">
        <v>15498</v>
      </c>
      <c r="I6818" t="s">
        <v>5961</v>
      </c>
      <c r="J6818" t="s">
        <v>34444</v>
      </c>
      <c r="K6818" t="s">
        <v>39029</v>
      </c>
      <c r="M6818" t="s">
        <v>40786</v>
      </c>
      <c r="N6818" t="s">
        <v>43166</v>
      </c>
      <c r="O6818" t="s">
        <v>43167</v>
      </c>
      <c r="P6818">
        <v>0</v>
      </c>
      <c r="Q6818">
        <v>8</v>
      </c>
      <c r="R6818" t="s">
        <v>43173</v>
      </c>
      <c r="S6818" t="s">
        <v>43374</v>
      </c>
      <c r="T6818" t="s">
        <v>44717</v>
      </c>
      <c r="U6818" t="s">
        <v>48337</v>
      </c>
      <c r="W6818" t="s">
        <v>40786</v>
      </c>
      <c r="X6818" t="s">
        <v>43174</v>
      </c>
    </row>
    <row r="6819" spans="1:24">
      <c r="A6819">
        <f>HYPERLINK("https://www.philgeps.gov.ph/GEPSNONPILOT/Tender/SplashBidNoticeAbstractUI.aspx?menuIndex=3&amp;refID=7076459&amp;Result=3","7076459")</f>
        <v>0</v>
      </c>
      <c r="B6819" t="s">
        <v>2157</v>
      </c>
      <c r="C6819" t="s">
        <v>9912</v>
      </c>
      <c r="D6819" t="s">
        <v>17463</v>
      </c>
      <c r="E6819" t="s">
        <v>23393</v>
      </c>
      <c r="F6819" t="s">
        <v>30052</v>
      </c>
      <c r="G6819" t="s">
        <v>30058</v>
      </c>
      <c r="H6819" t="s">
        <v>15498</v>
      </c>
      <c r="I6819" t="s">
        <v>30085</v>
      </c>
      <c r="J6819" t="s">
        <v>30218</v>
      </c>
      <c r="K6819" t="s">
        <v>39019</v>
      </c>
      <c r="M6819" t="s">
        <v>41624</v>
      </c>
      <c r="N6819" t="s">
        <v>43166</v>
      </c>
      <c r="O6819" t="s">
        <v>43167</v>
      </c>
      <c r="P6819">
        <v>0</v>
      </c>
      <c r="Q6819">
        <v>2</v>
      </c>
      <c r="R6819" t="s">
        <v>43173</v>
      </c>
      <c r="S6819" t="s">
        <v>43374</v>
      </c>
      <c r="T6819" t="s">
        <v>44758</v>
      </c>
      <c r="U6819" t="s">
        <v>50723</v>
      </c>
      <c r="W6819" t="s">
        <v>41624</v>
      </c>
      <c r="X6819" t="s">
        <v>43174</v>
      </c>
    </row>
    <row r="6820" spans="1:24">
      <c r="A6820">
        <f>HYPERLINK("https://www.philgeps.gov.ph/GEPSNONPILOT/Tender/SplashBidNoticeAbstractUI.aspx?menuIndex=3&amp;refID=7076337&amp;Result=3","7076337")</f>
        <v>0</v>
      </c>
      <c r="B6820" t="s">
        <v>2039</v>
      </c>
      <c r="C6820" t="s">
        <v>9913</v>
      </c>
      <c r="D6820" t="s">
        <v>17452</v>
      </c>
      <c r="E6820" t="s">
        <v>23394</v>
      </c>
      <c r="F6820" t="s">
        <v>30052</v>
      </c>
      <c r="G6820" t="s">
        <v>30059</v>
      </c>
      <c r="H6820" t="s">
        <v>15498</v>
      </c>
      <c r="I6820" t="s">
        <v>30073</v>
      </c>
      <c r="J6820" t="s">
        <v>34445</v>
      </c>
      <c r="K6820" t="s">
        <v>39019</v>
      </c>
      <c r="M6820" t="s">
        <v>41488</v>
      </c>
      <c r="N6820" t="s">
        <v>43166</v>
      </c>
      <c r="O6820" t="s">
        <v>43167</v>
      </c>
      <c r="P6820">
        <v>0</v>
      </c>
      <c r="Q6820">
        <v>0</v>
      </c>
      <c r="R6820" t="s">
        <v>43173</v>
      </c>
      <c r="S6820" t="s">
        <v>43374</v>
      </c>
      <c r="T6820" t="s">
        <v>44773</v>
      </c>
      <c r="U6820" t="s">
        <v>50724</v>
      </c>
      <c r="W6820" t="s">
        <v>41488</v>
      </c>
      <c r="X6820" t="s">
        <v>43174</v>
      </c>
    </row>
    <row r="6821" spans="1:24">
      <c r="A6821">
        <f>HYPERLINK("https://www.philgeps.gov.ph/GEPSNONPILOT/Tender/SplashBidNoticeAbstractUI.aspx?menuIndex=3&amp;refID=7076445&amp;Result=3","7076445")</f>
        <v>0</v>
      </c>
      <c r="B6821" t="s">
        <v>2152</v>
      </c>
      <c r="C6821" t="s">
        <v>9914</v>
      </c>
      <c r="D6821" t="s">
        <v>17456</v>
      </c>
      <c r="E6821" t="s">
        <v>23395</v>
      </c>
      <c r="F6821" t="s">
        <v>30052</v>
      </c>
      <c r="G6821" t="s">
        <v>30058</v>
      </c>
      <c r="H6821" t="s">
        <v>30067</v>
      </c>
      <c r="I6821" t="s">
        <v>3693</v>
      </c>
      <c r="J6821" t="s">
        <v>34446</v>
      </c>
      <c r="K6821" t="s">
        <v>39167</v>
      </c>
      <c r="M6821" t="s">
        <v>41617</v>
      </c>
      <c r="N6821" t="s">
        <v>43166</v>
      </c>
      <c r="O6821" t="s">
        <v>43167</v>
      </c>
      <c r="P6821">
        <v>0</v>
      </c>
      <c r="Q6821">
        <v>0</v>
      </c>
      <c r="R6821" t="s">
        <v>43173</v>
      </c>
      <c r="S6821" t="s">
        <v>43374</v>
      </c>
      <c r="T6821" t="s">
        <v>44796</v>
      </c>
      <c r="U6821" t="s">
        <v>50725</v>
      </c>
      <c r="V6821" t="s">
        <v>57533</v>
      </c>
      <c r="W6821" t="s">
        <v>41617</v>
      </c>
      <c r="X6821" t="s">
        <v>43174</v>
      </c>
    </row>
    <row r="6822" spans="1:24">
      <c r="A6822">
        <f>HYPERLINK("https://www.philgeps.gov.ph/GEPSNONPILOT/Tender/SplashBidNoticeAbstractUI.aspx?menuIndex=3&amp;refID=7076484&amp;Result=3","7076484")</f>
        <v>0</v>
      </c>
      <c r="B6822" t="s">
        <v>736</v>
      </c>
      <c r="C6822" t="s">
        <v>9915</v>
      </c>
      <c r="D6822" t="s">
        <v>17455</v>
      </c>
      <c r="E6822" t="s">
        <v>23396</v>
      </c>
      <c r="F6822" t="s">
        <v>30052</v>
      </c>
      <c r="G6822" t="s">
        <v>30058</v>
      </c>
      <c r="H6822" t="s">
        <v>30067</v>
      </c>
      <c r="I6822" t="s">
        <v>3693</v>
      </c>
      <c r="J6822" t="s">
        <v>30222</v>
      </c>
      <c r="K6822" t="s">
        <v>39084</v>
      </c>
      <c r="M6822" t="s">
        <v>40049</v>
      </c>
      <c r="N6822" t="s">
        <v>43166</v>
      </c>
      <c r="O6822" t="s">
        <v>43167</v>
      </c>
      <c r="P6822">
        <v>0</v>
      </c>
      <c r="Q6822">
        <v>1</v>
      </c>
      <c r="R6822" t="s">
        <v>43173</v>
      </c>
      <c r="S6822" t="s">
        <v>43374</v>
      </c>
      <c r="T6822" t="s">
        <v>44905</v>
      </c>
      <c r="U6822" t="s">
        <v>50726</v>
      </c>
      <c r="W6822" t="s">
        <v>40049</v>
      </c>
      <c r="X6822" t="s">
        <v>43174</v>
      </c>
    </row>
    <row r="6823" spans="1:24">
      <c r="A6823">
        <f>HYPERLINK("https://www.philgeps.gov.ph/GEPSNONPILOT/Tender/SplashBidNoticeAbstractUI.aspx?menuIndex=3&amp;refID=7076410&amp;Result=3","7076410")</f>
        <v>0</v>
      </c>
      <c r="B6823" t="s">
        <v>1779</v>
      </c>
      <c r="C6823" t="s">
        <v>8309</v>
      </c>
      <c r="D6823" t="s">
        <v>17444</v>
      </c>
      <c r="E6823" t="s">
        <v>23397</v>
      </c>
      <c r="F6823" t="s">
        <v>30052</v>
      </c>
      <c r="G6823" t="s">
        <v>30058</v>
      </c>
      <c r="H6823" t="s">
        <v>15498</v>
      </c>
      <c r="I6823" t="s">
        <v>30073</v>
      </c>
      <c r="J6823" t="s">
        <v>33456</v>
      </c>
      <c r="K6823" t="s">
        <v>39048</v>
      </c>
      <c r="M6823" t="s">
        <v>41621</v>
      </c>
      <c r="N6823" t="s">
        <v>43166</v>
      </c>
      <c r="O6823" t="s">
        <v>43167</v>
      </c>
      <c r="P6823">
        <v>0</v>
      </c>
      <c r="Q6823">
        <v>0</v>
      </c>
      <c r="R6823" t="s">
        <v>43173</v>
      </c>
      <c r="S6823" t="s">
        <v>43374</v>
      </c>
      <c r="T6823" t="s">
        <v>44758</v>
      </c>
      <c r="U6823" t="s">
        <v>50727</v>
      </c>
      <c r="V6823" t="s">
        <v>57534</v>
      </c>
      <c r="W6823" t="s">
        <v>41621</v>
      </c>
      <c r="X6823" t="s">
        <v>43174</v>
      </c>
    </row>
    <row r="6824" spans="1:24">
      <c r="A6824">
        <f>HYPERLINK("https://www.philgeps.gov.ph/GEPSNONPILOT/Tender/SplashBidNoticeAbstractUI.aspx?menuIndex=3&amp;refID=7076473&amp;Result=3","7076473")</f>
        <v>0</v>
      </c>
      <c r="B6824" t="s">
        <v>1094</v>
      </c>
      <c r="C6824" t="s">
        <v>9916</v>
      </c>
      <c r="D6824" t="s">
        <v>17464</v>
      </c>
      <c r="E6824" t="s">
        <v>23398</v>
      </c>
      <c r="F6824" t="s">
        <v>30052</v>
      </c>
      <c r="G6824" t="s">
        <v>30059</v>
      </c>
      <c r="H6824" t="s">
        <v>15498</v>
      </c>
      <c r="I6824" t="s">
        <v>30084</v>
      </c>
      <c r="J6824" t="s">
        <v>30248</v>
      </c>
      <c r="K6824" t="s">
        <v>39017</v>
      </c>
      <c r="M6824" t="s">
        <v>40432</v>
      </c>
      <c r="N6824" t="s">
        <v>43166</v>
      </c>
      <c r="O6824" t="s">
        <v>43167</v>
      </c>
      <c r="P6824">
        <v>0</v>
      </c>
      <c r="Q6824">
        <v>5</v>
      </c>
      <c r="R6824" t="s">
        <v>43173</v>
      </c>
      <c r="S6824" t="s">
        <v>43374</v>
      </c>
      <c r="T6824" t="s">
        <v>44717</v>
      </c>
      <c r="U6824" t="s">
        <v>50728</v>
      </c>
      <c r="W6824" t="s">
        <v>40432</v>
      </c>
      <c r="X6824" t="s">
        <v>43174</v>
      </c>
    </row>
    <row r="6825" spans="1:24">
      <c r="A6825">
        <f>HYPERLINK("https://www.philgeps.gov.ph/GEPSNONPILOT/Tender/SplashBidNoticeAbstractUI.aspx?menuIndex=3&amp;refID=7076438&amp;Result=3","7076438")</f>
        <v>0</v>
      </c>
      <c r="B6825" t="s">
        <v>121</v>
      </c>
      <c r="C6825" t="s">
        <v>9917</v>
      </c>
      <c r="D6825" t="s">
        <v>17440</v>
      </c>
      <c r="E6825" t="s">
        <v>23399</v>
      </c>
      <c r="F6825" t="s">
        <v>30052</v>
      </c>
      <c r="G6825" t="s">
        <v>30058</v>
      </c>
      <c r="H6825" t="s">
        <v>30067</v>
      </c>
      <c r="I6825" t="s">
        <v>3693</v>
      </c>
      <c r="J6825" t="s">
        <v>34447</v>
      </c>
      <c r="K6825" t="s">
        <v>39026</v>
      </c>
      <c r="M6825" t="s">
        <v>39410</v>
      </c>
      <c r="N6825" t="s">
        <v>43166</v>
      </c>
      <c r="O6825" t="s">
        <v>43167</v>
      </c>
      <c r="P6825">
        <v>0</v>
      </c>
      <c r="Q6825">
        <v>0</v>
      </c>
      <c r="R6825" t="s">
        <v>43173</v>
      </c>
      <c r="S6825" t="s">
        <v>43374</v>
      </c>
      <c r="T6825" t="s">
        <v>44925</v>
      </c>
      <c r="U6825" t="s">
        <v>50729</v>
      </c>
      <c r="W6825" t="s">
        <v>39410</v>
      </c>
      <c r="X6825" t="s">
        <v>43174</v>
      </c>
    </row>
    <row r="6826" spans="1:24">
      <c r="A6826">
        <f>HYPERLINK("https://www.philgeps.gov.ph/GEPSNONPILOT/Tender/SplashBidNoticeAbstractUI.aspx?menuIndex=3&amp;refID=7076494&amp;Result=3","7076494")</f>
        <v>0</v>
      </c>
      <c r="B6826" t="s">
        <v>2169</v>
      </c>
      <c r="C6826" t="s">
        <v>9918</v>
      </c>
      <c r="D6826" t="s">
        <v>17418</v>
      </c>
      <c r="E6826" t="s">
        <v>21262</v>
      </c>
      <c r="F6826" t="s">
        <v>30052</v>
      </c>
      <c r="G6826" t="s">
        <v>30058</v>
      </c>
      <c r="H6826" t="s">
        <v>30067</v>
      </c>
      <c r="I6826" t="s">
        <v>3693</v>
      </c>
      <c r="J6826" t="s">
        <v>34448</v>
      </c>
      <c r="K6826" t="s">
        <v>39025</v>
      </c>
      <c r="M6826" t="s">
        <v>41637</v>
      </c>
      <c r="N6826" t="s">
        <v>43166</v>
      </c>
      <c r="O6826" t="s">
        <v>43167</v>
      </c>
      <c r="P6826">
        <v>0</v>
      </c>
      <c r="Q6826">
        <v>0</v>
      </c>
      <c r="R6826" t="s">
        <v>43173</v>
      </c>
      <c r="S6826" t="s">
        <v>43374</v>
      </c>
      <c r="T6826" t="s">
        <v>44696</v>
      </c>
      <c r="U6826" t="s">
        <v>50730</v>
      </c>
      <c r="W6826" t="s">
        <v>58666</v>
      </c>
      <c r="X6826" t="s">
        <v>43174</v>
      </c>
    </row>
    <row r="6827" spans="1:24">
      <c r="A6827">
        <f>HYPERLINK("https://www.philgeps.gov.ph/GEPSNONPILOT/Tender/SplashBidNoticeAbstractUI.aspx?menuIndex=3&amp;refID=7076536&amp;Result=3","7076536")</f>
        <v>0</v>
      </c>
      <c r="B6827" t="s">
        <v>2170</v>
      </c>
      <c r="C6827" t="s">
        <v>9919</v>
      </c>
      <c r="D6827" t="s">
        <v>17438</v>
      </c>
      <c r="E6827" t="s">
        <v>21316</v>
      </c>
      <c r="F6827" t="s">
        <v>30052</v>
      </c>
      <c r="G6827" t="s">
        <v>30058</v>
      </c>
      <c r="H6827" t="s">
        <v>15498</v>
      </c>
      <c r="I6827" t="s">
        <v>3736</v>
      </c>
      <c r="J6827" t="s">
        <v>34449</v>
      </c>
      <c r="K6827" t="s">
        <v>39029</v>
      </c>
      <c r="M6827" t="s">
        <v>41638</v>
      </c>
      <c r="N6827" t="s">
        <v>43166</v>
      </c>
      <c r="O6827" t="s">
        <v>43167</v>
      </c>
      <c r="P6827">
        <v>0</v>
      </c>
      <c r="Q6827">
        <v>0</v>
      </c>
      <c r="R6827" t="s">
        <v>43173</v>
      </c>
      <c r="S6827" t="s">
        <v>43374</v>
      </c>
      <c r="T6827" t="s">
        <v>44841</v>
      </c>
      <c r="U6827" t="s">
        <v>50731</v>
      </c>
      <c r="V6827" t="s">
        <v>57308</v>
      </c>
      <c r="W6827" t="s">
        <v>41638</v>
      </c>
      <c r="X6827" t="s">
        <v>43174</v>
      </c>
    </row>
    <row r="6828" spans="1:24">
      <c r="A6828">
        <f>HYPERLINK("https://www.philgeps.gov.ph/GEPSNONPILOT/Tender/SplashBidNoticeAbstractUI.aspx?menuIndex=3&amp;refID=7076533&amp;Result=3","7076533")</f>
        <v>0</v>
      </c>
      <c r="B6828" t="s">
        <v>201</v>
      </c>
      <c r="C6828" t="s">
        <v>9920</v>
      </c>
      <c r="D6828" t="s">
        <v>17415</v>
      </c>
      <c r="E6828" t="s">
        <v>23400</v>
      </c>
      <c r="F6828" t="s">
        <v>30052</v>
      </c>
      <c r="G6828" t="s">
        <v>30058</v>
      </c>
      <c r="H6828" t="s">
        <v>15498</v>
      </c>
      <c r="I6828" t="s">
        <v>30128</v>
      </c>
      <c r="J6828" t="s">
        <v>34450</v>
      </c>
      <c r="K6828" t="s">
        <v>39046</v>
      </c>
      <c r="M6828" t="s">
        <v>39822</v>
      </c>
      <c r="N6828" t="s">
        <v>43166</v>
      </c>
      <c r="O6828" t="s">
        <v>43167</v>
      </c>
      <c r="P6828">
        <v>0</v>
      </c>
      <c r="Q6828">
        <v>11</v>
      </c>
      <c r="R6828" t="s">
        <v>43173</v>
      </c>
      <c r="S6828" t="s">
        <v>43374</v>
      </c>
      <c r="T6828" t="s">
        <v>44828</v>
      </c>
      <c r="U6828" t="s">
        <v>50732</v>
      </c>
      <c r="W6828" t="s">
        <v>39822</v>
      </c>
      <c r="X6828" t="s">
        <v>43174</v>
      </c>
    </row>
    <row r="6829" spans="1:24">
      <c r="A6829">
        <f>HYPERLINK("https://www.philgeps.gov.ph/GEPSNONPILOT/Tender/SplashBidNoticeAbstractUI.aspx?menuIndex=3&amp;refID=7076530&amp;Result=3","7076530")</f>
        <v>0</v>
      </c>
      <c r="B6829" t="s">
        <v>2171</v>
      </c>
      <c r="C6829" t="s">
        <v>9921</v>
      </c>
      <c r="D6829" t="s">
        <v>17426</v>
      </c>
      <c r="E6829" t="s">
        <v>23401</v>
      </c>
      <c r="F6829" t="s">
        <v>30052</v>
      </c>
      <c r="G6829" t="s">
        <v>30058</v>
      </c>
      <c r="H6829" t="s">
        <v>30067</v>
      </c>
      <c r="I6829" t="s">
        <v>3693</v>
      </c>
      <c r="J6829" t="s">
        <v>34414</v>
      </c>
      <c r="K6829" t="s">
        <v>39118</v>
      </c>
      <c r="M6829" t="s">
        <v>41639</v>
      </c>
      <c r="N6829" t="s">
        <v>43166</v>
      </c>
      <c r="O6829" t="s">
        <v>43167</v>
      </c>
      <c r="P6829">
        <v>0</v>
      </c>
      <c r="Q6829">
        <v>1</v>
      </c>
      <c r="R6829" t="s">
        <v>43173</v>
      </c>
      <c r="S6829" t="s">
        <v>43374</v>
      </c>
      <c r="T6829" t="s">
        <v>44758</v>
      </c>
      <c r="U6829" t="s">
        <v>50733</v>
      </c>
      <c r="W6829" t="s">
        <v>41639</v>
      </c>
      <c r="X6829" t="s">
        <v>43174</v>
      </c>
    </row>
    <row r="6830" spans="1:24">
      <c r="A6830">
        <f>HYPERLINK("https://www.philgeps.gov.ph/GEPSNONPILOT/Tender/SplashBidNoticeAbstractUI.aspx?menuIndex=3&amp;refID=7076527&amp;Result=3","7076527")</f>
        <v>0</v>
      </c>
      <c r="B6830" t="s">
        <v>2172</v>
      </c>
      <c r="C6830" t="s">
        <v>9922</v>
      </c>
      <c r="D6830" t="s">
        <v>17476</v>
      </c>
      <c r="E6830" t="s">
        <v>23402</v>
      </c>
      <c r="F6830" t="s">
        <v>30052</v>
      </c>
      <c r="G6830" t="s">
        <v>30058</v>
      </c>
      <c r="H6830" t="s">
        <v>15498</v>
      </c>
      <c r="I6830" t="s">
        <v>3852</v>
      </c>
      <c r="J6830" t="s">
        <v>34451</v>
      </c>
      <c r="K6830" t="s">
        <v>39019</v>
      </c>
      <c r="M6830" t="s">
        <v>41640</v>
      </c>
      <c r="N6830" t="s">
        <v>43166</v>
      </c>
      <c r="O6830" t="s">
        <v>43167</v>
      </c>
      <c r="P6830">
        <v>0</v>
      </c>
      <c r="Q6830">
        <v>1</v>
      </c>
      <c r="R6830" t="s">
        <v>43173</v>
      </c>
      <c r="S6830" t="s">
        <v>43374</v>
      </c>
      <c r="T6830" t="s">
        <v>44758</v>
      </c>
      <c r="U6830" t="s">
        <v>50734</v>
      </c>
      <c r="W6830" t="s">
        <v>41640</v>
      </c>
      <c r="X6830" t="s">
        <v>43174</v>
      </c>
    </row>
    <row r="6831" spans="1:24">
      <c r="A6831">
        <f>HYPERLINK("https://www.philgeps.gov.ph/GEPSNONPILOT/Tender/SplashBidNoticeAbstractUI.aspx?menuIndex=3&amp;refID=7076435&amp;Result=3","7076435")</f>
        <v>0</v>
      </c>
      <c r="B6831" t="s">
        <v>1428</v>
      </c>
      <c r="C6831" t="s">
        <v>9923</v>
      </c>
      <c r="D6831" t="s">
        <v>17463</v>
      </c>
      <c r="E6831" t="s">
        <v>17585</v>
      </c>
      <c r="F6831" t="s">
        <v>30052</v>
      </c>
      <c r="G6831" t="s">
        <v>30058</v>
      </c>
      <c r="H6831" t="s">
        <v>30067</v>
      </c>
      <c r="I6831" t="s">
        <v>3693</v>
      </c>
      <c r="J6831" t="s">
        <v>30230</v>
      </c>
      <c r="K6831" t="s">
        <v>39023</v>
      </c>
      <c r="M6831" t="s">
        <v>40806</v>
      </c>
      <c r="N6831" t="s">
        <v>43166</v>
      </c>
      <c r="O6831" t="s">
        <v>43167</v>
      </c>
      <c r="P6831">
        <v>0</v>
      </c>
      <c r="Q6831">
        <v>2</v>
      </c>
      <c r="R6831" t="s">
        <v>43173</v>
      </c>
      <c r="S6831" t="s">
        <v>43374</v>
      </c>
      <c r="T6831" t="s">
        <v>44944</v>
      </c>
      <c r="U6831" t="s">
        <v>50735</v>
      </c>
      <c r="W6831" t="s">
        <v>40806</v>
      </c>
      <c r="X6831" t="s">
        <v>43174</v>
      </c>
    </row>
    <row r="6832" spans="1:24">
      <c r="A6832">
        <f>HYPERLINK("https://www.philgeps.gov.ph/GEPSNONPILOT/Tender/SplashBidNoticeAbstractUI.aspx?menuIndex=3&amp;refID=7076439&amp;Result=3","7076439")</f>
        <v>0</v>
      </c>
      <c r="B6832" t="s">
        <v>1779</v>
      </c>
      <c r="C6832" t="s">
        <v>9924</v>
      </c>
      <c r="D6832" t="s">
        <v>17444</v>
      </c>
      <c r="E6832" t="s">
        <v>23403</v>
      </c>
      <c r="F6832" t="s">
        <v>30052</v>
      </c>
      <c r="G6832" t="s">
        <v>30058</v>
      </c>
      <c r="H6832" t="s">
        <v>15498</v>
      </c>
      <c r="I6832" t="s">
        <v>30073</v>
      </c>
      <c r="J6832" t="s">
        <v>34452</v>
      </c>
      <c r="K6832" t="s">
        <v>39025</v>
      </c>
      <c r="M6832" t="s">
        <v>41621</v>
      </c>
      <c r="N6832" t="s">
        <v>43166</v>
      </c>
      <c r="O6832" t="s">
        <v>43167</v>
      </c>
      <c r="P6832">
        <v>0</v>
      </c>
      <c r="Q6832">
        <v>0</v>
      </c>
      <c r="R6832" t="s">
        <v>43173</v>
      </c>
      <c r="S6832" t="s">
        <v>43374</v>
      </c>
      <c r="T6832" t="s">
        <v>44758</v>
      </c>
      <c r="U6832" t="s">
        <v>50736</v>
      </c>
      <c r="V6832" t="s">
        <v>57534</v>
      </c>
      <c r="W6832" t="s">
        <v>41621</v>
      </c>
      <c r="X6832" t="s">
        <v>43174</v>
      </c>
    </row>
    <row r="6833" spans="1:24">
      <c r="A6833">
        <f>HYPERLINK("https://www.philgeps.gov.ph/GEPSNONPILOT/Tender/SplashBidNoticeAbstractUI.aspx?menuIndex=3&amp;refID=7076520&amp;Result=3","7076520")</f>
        <v>0</v>
      </c>
      <c r="B6833" t="s">
        <v>2173</v>
      </c>
      <c r="C6833" t="s">
        <v>9925</v>
      </c>
      <c r="D6833" t="s">
        <v>17440</v>
      </c>
      <c r="E6833" t="s">
        <v>23404</v>
      </c>
      <c r="F6833" t="s">
        <v>30052</v>
      </c>
      <c r="G6833" t="s">
        <v>30061</v>
      </c>
      <c r="H6833" t="s">
        <v>15498</v>
      </c>
      <c r="I6833" t="s">
        <v>30103</v>
      </c>
      <c r="J6833" t="s">
        <v>30890</v>
      </c>
      <c r="K6833" t="s">
        <v>39018</v>
      </c>
      <c r="M6833" t="s">
        <v>41641</v>
      </c>
      <c r="N6833" t="s">
        <v>43166</v>
      </c>
      <c r="O6833" t="s">
        <v>43167</v>
      </c>
      <c r="P6833">
        <v>0</v>
      </c>
      <c r="Q6833">
        <v>2</v>
      </c>
      <c r="R6833" t="s">
        <v>43173</v>
      </c>
      <c r="S6833" t="s">
        <v>43374</v>
      </c>
      <c r="T6833" t="s">
        <v>44773</v>
      </c>
      <c r="U6833" t="s">
        <v>50737</v>
      </c>
      <c r="W6833" t="s">
        <v>41641</v>
      </c>
      <c r="X6833" t="s">
        <v>43174</v>
      </c>
    </row>
    <row r="6834" spans="1:24">
      <c r="A6834">
        <f>HYPERLINK("https://www.philgeps.gov.ph/GEPSNONPILOT/Tender/SplashBidNoticeAbstractUI.aspx?menuIndex=3&amp;refID=7076535&amp;Result=3","7076535")</f>
        <v>0</v>
      </c>
      <c r="B6834" t="s">
        <v>2174</v>
      </c>
      <c r="C6834" t="s">
        <v>9926</v>
      </c>
      <c r="D6834" t="s">
        <v>17467</v>
      </c>
      <c r="E6834" t="s">
        <v>23405</v>
      </c>
      <c r="F6834" t="s">
        <v>30052</v>
      </c>
      <c r="G6834" t="s">
        <v>30058</v>
      </c>
      <c r="H6834" t="s">
        <v>15498</v>
      </c>
      <c r="I6834" t="s">
        <v>4119</v>
      </c>
      <c r="J6834" t="s">
        <v>34453</v>
      </c>
      <c r="K6834" t="s">
        <v>39046</v>
      </c>
      <c r="M6834" t="s">
        <v>41642</v>
      </c>
      <c r="N6834" t="s">
        <v>43166</v>
      </c>
      <c r="O6834" t="s">
        <v>43167</v>
      </c>
      <c r="P6834">
        <v>0</v>
      </c>
      <c r="Q6834">
        <v>8</v>
      </c>
      <c r="R6834" t="s">
        <v>43173</v>
      </c>
      <c r="S6834" t="s">
        <v>43374</v>
      </c>
      <c r="T6834" t="s">
        <v>44789</v>
      </c>
      <c r="U6834" t="s">
        <v>50738</v>
      </c>
      <c r="W6834" t="s">
        <v>41642</v>
      </c>
      <c r="X6834" t="s">
        <v>43174</v>
      </c>
    </row>
    <row r="6835" spans="1:24">
      <c r="A6835">
        <f>HYPERLINK("https://www.philgeps.gov.ph/GEPSNONPILOT/Tender/SplashBidNoticeAbstractUI.aspx?menuIndex=3&amp;refID=7076518&amp;Result=3","7076518")</f>
        <v>0</v>
      </c>
      <c r="B6835" t="s">
        <v>2175</v>
      </c>
      <c r="C6835" t="s">
        <v>9927</v>
      </c>
      <c r="D6835" t="s">
        <v>17415</v>
      </c>
      <c r="E6835" t="s">
        <v>23406</v>
      </c>
      <c r="F6835" t="s">
        <v>30052</v>
      </c>
      <c r="G6835" t="s">
        <v>30059</v>
      </c>
      <c r="H6835" t="s">
        <v>15498</v>
      </c>
      <c r="I6835" t="s">
        <v>30100</v>
      </c>
      <c r="J6835" t="s">
        <v>34454</v>
      </c>
      <c r="K6835" t="s">
        <v>39025</v>
      </c>
      <c r="M6835" t="s">
        <v>41643</v>
      </c>
      <c r="N6835" t="s">
        <v>43166</v>
      </c>
      <c r="O6835" t="s">
        <v>43167</v>
      </c>
      <c r="P6835">
        <v>0</v>
      </c>
      <c r="Q6835">
        <v>0</v>
      </c>
      <c r="R6835" t="s">
        <v>43173</v>
      </c>
      <c r="S6835" t="s">
        <v>43374</v>
      </c>
      <c r="T6835" t="s">
        <v>44888</v>
      </c>
      <c r="U6835" t="s">
        <v>50739</v>
      </c>
      <c r="W6835" t="s">
        <v>41643</v>
      </c>
      <c r="X6835" t="s">
        <v>43174</v>
      </c>
    </row>
    <row r="6836" spans="1:24">
      <c r="A6836">
        <f>HYPERLINK("https://www.philgeps.gov.ph/GEPSNONPILOT/Tender/SplashBidNoticeAbstractUI.aspx?menuIndex=3&amp;refID=7076529&amp;Result=3","7076529")</f>
        <v>0</v>
      </c>
      <c r="B6836" t="s">
        <v>2176</v>
      </c>
      <c r="C6836" t="s">
        <v>9928</v>
      </c>
      <c r="D6836" t="s">
        <v>17437</v>
      </c>
      <c r="E6836" t="s">
        <v>23407</v>
      </c>
      <c r="F6836" t="s">
        <v>30052</v>
      </c>
      <c r="G6836" t="s">
        <v>30058</v>
      </c>
      <c r="H6836" t="s">
        <v>15498</v>
      </c>
      <c r="I6836" t="s">
        <v>30071</v>
      </c>
      <c r="J6836" t="s">
        <v>34455</v>
      </c>
      <c r="K6836" t="s">
        <v>39025</v>
      </c>
      <c r="M6836" t="s">
        <v>41644</v>
      </c>
      <c r="N6836" t="s">
        <v>43166</v>
      </c>
      <c r="O6836" t="s">
        <v>43167</v>
      </c>
      <c r="P6836">
        <v>0</v>
      </c>
      <c r="Q6836">
        <v>1</v>
      </c>
      <c r="R6836" t="s">
        <v>43173</v>
      </c>
      <c r="S6836" t="s">
        <v>43374</v>
      </c>
      <c r="T6836" t="s">
        <v>44758</v>
      </c>
      <c r="U6836" t="s">
        <v>50740</v>
      </c>
      <c r="W6836" t="s">
        <v>41644</v>
      </c>
      <c r="X6836" t="s">
        <v>43174</v>
      </c>
    </row>
    <row r="6837" spans="1:24">
      <c r="A6837">
        <f>HYPERLINK("https://www.philgeps.gov.ph/GEPSNONPILOT/Tender/SplashBidNoticeAbstractUI.aspx?menuIndex=3&amp;refID=7076514&amp;Result=3","7076514")</f>
        <v>0</v>
      </c>
      <c r="B6837" t="s">
        <v>2177</v>
      </c>
      <c r="C6837" t="s">
        <v>9929</v>
      </c>
      <c r="E6837" t="s">
        <v>23408</v>
      </c>
      <c r="F6837" t="s">
        <v>30052</v>
      </c>
      <c r="G6837" t="s">
        <v>30058</v>
      </c>
      <c r="H6837" t="s">
        <v>15498</v>
      </c>
      <c r="I6837" t="s">
        <v>4650</v>
      </c>
      <c r="J6837" t="s">
        <v>34456</v>
      </c>
      <c r="K6837" t="s">
        <v>39025</v>
      </c>
      <c r="M6837" t="s">
        <v>41645</v>
      </c>
      <c r="N6837" t="s">
        <v>43166</v>
      </c>
      <c r="O6837" t="s">
        <v>43167</v>
      </c>
      <c r="P6837">
        <v>0</v>
      </c>
      <c r="Q6837">
        <v>0</v>
      </c>
      <c r="R6837" t="s">
        <v>43173</v>
      </c>
      <c r="S6837" t="s">
        <v>43374</v>
      </c>
      <c r="T6837" t="s">
        <v>44698</v>
      </c>
      <c r="U6837" t="s">
        <v>50741</v>
      </c>
      <c r="V6837" t="s">
        <v>57539</v>
      </c>
      <c r="W6837" t="s">
        <v>41645</v>
      </c>
      <c r="X6837" t="s">
        <v>43174</v>
      </c>
    </row>
    <row r="6838" spans="1:24">
      <c r="A6838">
        <f>HYPERLINK("https://www.philgeps.gov.ph/GEPSNONPILOT/Tender/SplashBidNoticeAbstractUI.aspx?menuIndex=3&amp;refID=7076510&amp;Result=3","7076510")</f>
        <v>0</v>
      </c>
      <c r="B6838" t="s">
        <v>1779</v>
      </c>
      <c r="C6838" t="s">
        <v>9930</v>
      </c>
      <c r="D6838" t="s">
        <v>17444</v>
      </c>
      <c r="E6838" t="s">
        <v>23409</v>
      </c>
      <c r="F6838" t="s">
        <v>30052</v>
      </c>
      <c r="G6838" t="s">
        <v>30058</v>
      </c>
      <c r="H6838" t="s">
        <v>15498</v>
      </c>
      <c r="I6838" t="s">
        <v>3606</v>
      </c>
      <c r="J6838" t="s">
        <v>34457</v>
      </c>
      <c r="K6838" t="s">
        <v>39037</v>
      </c>
      <c r="M6838" t="s">
        <v>41621</v>
      </c>
      <c r="N6838" t="s">
        <v>43166</v>
      </c>
      <c r="O6838" t="s">
        <v>43167</v>
      </c>
      <c r="P6838">
        <v>0</v>
      </c>
      <c r="Q6838">
        <v>5</v>
      </c>
      <c r="R6838" t="s">
        <v>43173</v>
      </c>
      <c r="S6838" t="s">
        <v>43374</v>
      </c>
      <c r="T6838" t="s">
        <v>45009</v>
      </c>
      <c r="U6838" t="s">
        <v>50742</v>
      </c>
      <c r="V6838" t="s">
        <v>57534</v>
      </c>
      <c r="W6838" t="s">
        <v>41621</v>
      </c>
      <c r="X6838" t="s">
        <v>43174</v>
      </c>
    </row>
    <row r="6839" spans="1:24">
      <c r="A6839">
        <f>HYPERLINK("https://www.philgeps.gov.ph/GEPSNONPILOT/Tender/SplashBidNoticeAbstractUI.aspx?menuIndex=3&amp;refID=7076526&amp;Result=3","7076526")</f>
        <v>0</v>
      </c>
      <c r="B6839" t="s">
        <v>2178</v>
      </c>
      <c r="C6839" t="s">
        <v>9931</v>
      </c>
      <c r="D6839" t="s">
        <v>17450</v>
      </c>
      <c r="E6839" t="s">
        <v>23410</v>
      </c>
      <c r="F6839" t="s">
        <v>30052</v>
      </c>
      <c r="G6839" t="s">
        <v>30059</v>
      </c>
      <c r="H6839" t="s">
        <v>15498</v>
      </c>
      <c r="I6839" t="s">
        <v>30085</v>
      </c>
      <c r="J6839" t="s">
        <v>34458</v>
      </c>
      <c r="K6839" t="s">
        <v>39017</v>
      </c>
      <c r="M6839" t="s">
        <v>41646</v>
      </c>
      <c r="N6839" t="s">
        <v>43166</v>
      </c>
      <c r="O6839" t="s">
        <v>43167</v>
      </c>
      <c r="P6839">
        <v>0</v>
      </c>
      <c r="Q6839">
        <v>1</v>
      </c>
      <c r="R6839" t="s">
        <v>43173</v>
      </c>
      <c r="S6839" t="s">
        <v>43374</v>
      </c>
      <c r="T6839" t="s">
        <v>44720</v>
      </c>
      <c r="U6839" t="s">
        <v>50743</v>
      </c>
      <c r="V6839" t="s">
        <v>57183</v>
      </c>
      <c r="W6839" t="s">
        <v>41646</v>
      </c>
      <c r="X6839" t="s">
        <v>43174</v>
      </c>
    </row>
    <row r="6840" spans="1:24">
      <c r="A6840">
        <f>HYPERLINK("https://www.philgeps.gov.ph/GEPSNONPILOT/Tender/SplashBidNoticeAbstractUI.aspx?menuIndex=3&amp;refID=7076454&amp;Result=3","7076454")</f>
        <v>0</v>
      </c>
      <c r="B6840" t="s">
        <v>2179</v>
      </c>
      <c r="C6840" t="s">
        <v>9932</v>
      </c>
      <c r="D6840" t="s">
        <v>17461</v>
      </c>
      <c r="E6840" t="s">
        <v>23411</v>
      </c>
      <c r="F6840" t="s">
        <v>30052</v>
      </c>
      <c r="G6840" t="s">
        <v>30059</v>
      </c>
      <c r="H6840" t="s">
        <v>15498</v>
      </c>
      <c r="I6840" t="s">
        <v>8323</v>
      </c>
      <c r="J6840" t="s">
        <v>31388</v>
      </c>
      <c r="K6840" t="s">
        <v>39029</v>
      </c>
      <c r="M6840" t="s">
        <v>41647</v>
      </c>
      <c r="N6840" t="s">
        <v>43166</v>
      </c>
      <c r="O6840" t="s">
        <v>43167</v>
      </c>
      <c r="P6840">
        <v>0</v>
      </c>
      <c r="Q6840">
        <v>4</v>
      </c>
      <c r="R6840" t="s">
        <v>43173</v>
      </c>
      <c r="S6840" t="s">
        <v>43374</v>
      </c>
      <c r="T6840" t="s">
        <v>44710</v>
      </c>
      <c r="U6840" t="s">
        <v>50744</v>
      </c>
      <c r="W6840" t="s">
        <v>41647</v>
      </c>
      <c r="X6840" t="s">
        <v>43174</v>
      </c>
    </row>
    <row r="6841" spans="1:24">
      <c r="A6841">
        <f>HYPERLINK("https://www.philgeps.gov.ph/GEPSNONPILOT/Tender/SplashBidNoticeAbstractUI.aspx?menuIndex=3&amp;refID=7076516&amp;Result=3","7076516")</f>
        <v>0</v>
      </c>
      <c r="B6841" t="s">
        <v>2180</v>
      </c>
      <c r="C6841" t="s">
        <v>9933</v>
      </c>
      <c r="D6841" t="s">
        <v>17458</v>
      </c>
      <c r="E6841" t="s">
        <v>23412</v>
      </c>
      <c r="F6841" t="s">
        <v>30052</v>
      </c>
      <c r="G6841" t="s">
        <v>30058</v>
      </c>
      <c r="H6841" t="s">
        <v>15498</v>
      </c>
      <c r="I6841" t="s">
        <v>30074</v>
      </c>
      <c r="J6841" t="s">
        <v>34459</v>
      </c>
      <c r="K6841" t="s">
        <v>39029</v>
      </c>
      <c r="M6841" t="s">
        <v>41648</v>
      </c>
      <c r="N6841" t="s">
        <v>43166</v>
      </c>
      <c r="O6841" t="s">
        <v>43167</v>
      </c>
      <c r="P6841">
        <v>0</v>
      </c>
      <c r="Q6841">
        <v>0</v>
      </c>
      <c r="R6841" t="s">
        <v>43173</v>
      </c>
      <c r="S6841" t="s">
        <v>43374</v>
      </c>
      <c r="T6841" t="s">
        <v>44832</v>
      </c>
      <c r="U6841" t="s">
        <v>50745</v>
      </c>
      <c r="V6841" t="s">
        <v>57540</v>
      </c>
      <c r="W6841" t="s">
        <v>41648</v>
      </c>
      <c r="X6841" t="s">
        <v>43174</v>
      </c>
    </row>
    <row r="6842" spans="1:24">
      <c r="A6842">
        <f>HYPERLINK("https://www.philgeps.gov.ph/GEPSNONPILOT/Tender/SplashBidNoticeAbstractUI.aspx?menuIndex=3&amp;refID=7076578&amp;Result=3","7076578")</f>
        <v>0</v>
      </c>
      <c r="B6842" t="s">
        <v>2181</v>
      </c>
      <c r="C6842" t="s">
        <v>9934</v>
      </c>
      <c r="E6842" t="s">
        <v>23413</v>
      </c>
      <c r="F6842" t="s">
        <v>30052</v>
      </c>
      <c r="G6842" t="s">
        <v>30059</v>
      </c>
      <c r="H6842" t="s">
        <v>15498</v>
      </c>
      <c r="I6842" t="s">
        <v>30085</v>
      </c>
      <c r="J6842" t="s">
        <v>34460</v>
      </c>
      <c r="K6842" t="s">
        <v>39025</v>
      </c>
      <c r="M6842" t="s">
        <v>41649</v>
      </c>
      <c r="N6842" t="s">
        <v>43166</v>
      </c>
      <c r="O6842" t="s">
        <v>43167</v>
      </c>
      <c r="P6842">
        <v>0</v>
      </c>
      <c r="Q6842">
        <v>1</v>
      </c>
      <c r="R6842" t="s">
        <v>43173</v>
      </c>
      <c r="S6842" t="s">
        <v>43374</v>
      </c>
      <c r="T6842" t="s">
        <v>44708</v>
      </c>
      <c r="U6842" t="s">
        <v>50746</v>
      </c>
      <c r="W6842" t="s">
        <v>41649</v>
      </c>
      <c r="X6842" t="s">
        <v>43174</v>
      </c>
    </row>
    <row r="6843" spans="1:24">
      <c r="A6843">
        <f>HYPERLINK("https://www.philgeps.gov.ph/GEPSNONPILOT/Tender/SplashBidNoticeAbstractUI.aspx?menuIndex=3&amp;refID=7076523&amp;Result=3","7076523")</f>
        <v>0</v>
      </c>
      <c r="B6843" t="s">
        <v>856</v>
      </c>
      <c r="C6843" t="s">
        <v>9935</v>
      </c>
      <c r="E6843" t="s">
        <v>19936</v>
      </c>
      <c r="F6843" t="s">
        <v>30055</v>
      </c>
      <c r="G6843" t="s">
        <v>30059</v>
      </c>
      <c r="H6843" t="s">
        <v>15498</v>
      </c>
      <c r="I6843" t="s">
        <v>3852</v>
      </c>
      <c r="J6843" t="s">
        <v>30235</v>
      </c>
      <c r="K6843" t="s">
        <v>39025</v>
      </c>
      <c r="M6843" t="s">
        <v>41650</v>
      </c>
      <c r="N6843" t="s">
        <v>43166</v>
      </c>
      <c r="O6843" t="s">
        <v>43167</v>
      </c>
      <c r="P6843">
        <v>0</v>
      </c>
      <c r="Q6843">
        <v>1</v>
      </c>
      <c r="R6843" t="s">
        <v>43173</v>
      </c>
      <c r="S6843" t="s">
        <v>43374</v>
      </c>
      <c r="T6843" t="s">
        <v>44734</v>
      </c>
      <c r="U6843" t="s">
        <v>50747</v>
      </c>
      <c r="W6843" t="s">
        <v>41650</v>
      </c>
      <c r="X6843" t="s">
        <v>43174</v>
      </c>
    </row>
    <row r="6844" spans="1:24">
      <c r="A6844">
        <f>HYPERLINK("https://www.philgeps.gov.ph/GEPSNONPILOT/Tender/SplashBidNoticeAbstractUI.aspx?menuIndex=3&amp;refID=7076458&amp;Result=3","7076458")</f>
        <v>0</v>
      </c>
      <c r="B6844" t="s">
        <v>2182</v>
      </c>
      <c r="C6844" t="s">
        <v>9936</v>
      </c>
      <c r="E6844" t="s">
        <v>23414</v>
      </c>
      <c r="F6844" t="s">
        <v>30056</v>
      </c>
      <c r="G6844" t="s">
        <v>30061</v>
      </c>
      <c r="H6844" t="s">
        <v>15498</v>
      </c>
      <c r="I6844" t="s">
        <v>4119</v>
      </c>
      <c r="J6844" t="s">
        <v>34461</v>
      </c>
      <c r="K6844" t="s">
        <v>39025</v>
      </c>
      <c r="M6844" t="s">
        <v>41651</v>
      </c>
      <c r="N6844" t="s">
        <v>43166</v>
      </c>
      <c r="O6844" t="s">
        <v>43167</v>
      </c>
      <c r="P6844">
        <v>0</v>
      </c>
      <c r="Q6844">
        <v>24</v>
      </c>
      <c r="R6844" t="s">
        <v>43173</v>
      </c>
      <c r="S6844" t="s">
        <v>43374</v>
      </c>
      <c r="T6844" t="s">
        <v>44841</v>
      </c>
      <c r="U6844" t="s">
        <v>50748</v>
      </c>
      <c r="W6844" t="s">
        <v>41651</v>
      </c>
      <c r="X6844" t="s">
        <v>43174</v>
      </c>
    </row>
    <row r="6845" spans="1:24">
      <c r="A6845">
        <f>HYPERLINK("https://www.philgeps.gov.ph/GEPSNONPILOT/Tender/SplashBidNoticeAbstractUI.aspx?menuIndex=3&amp;refID=7076569&amp;Result=3","7076569")</f>
        <v>0</v>
      </c>
      <c r="B6845" t="s">
        <v>2183</v>
      </c>
      <c r="C6845" t="s">
        <v>5729</v>
      </c>
      <c r="D6845" t="s">
        <v>17482</v>
      </c>
      <c r="E6845" t="s">
        <v>23415</v>
      </c>
      <c r="F6845" t="s">
        <v>30052</v>
      </c>
      <c r="G6845" t="s">
        <v>30059</v>
      </c>
      <c r="H6845" t="s">
        <v>15498</v>
      </c>
      <c r="I6845" t="s">
        <v>30070</v>
      </c>
      <c r="J6845" t="s">
        <v>34462</v>
      </c>
      <c r="K6845" t="s">
        <v>39017</v>
      </c>
      <c r="M6845" t="s">
        <v>41652</v>
      </c>
      <c r="N6845" t="s">
        <v>43166</v>
      </c>
      <c r="O6845" t="s">
        <v>43167</v>
      </c>
      <c r="P6845">
        <v>0</v>
      </c>
      <c r="Q6845">
        <v>2</v>
      </c>
      <c r="R6845" t="s">
        <v>43173</v>
      </c>
      <c r="S6845" t="s">
        <v>43374</v>
      </c>
      <c r="T6845" t="s">
        <v>44841</v>
      </c>
      <c r="U6845" t="s">
        <v>50749</v>
      </c>
      <c r="W6845" t="s">
        <v>41652</v>
      </c>
      <c r="X6845" t="s">
        <v>43174</v>
      </c>
    </row>
    <row r="6846" spans="1:24">
      <c r="A6846">
        <f>HYPERLINK("https://www.philgeps.gov.ph/GEPSNONPILOT/Tender/SplashBidNoticeAbstractUI.aspx?menuIndex=3&amp;refID=7076565&amp;Result=3","7076565")</f>
        <v>0</v>
      </c>
      <c r="B6846" t="s">
        <v>503</v>
      </c>
      <c r="C6846" t="s">
        <v>9937</v>
      </c>
      <c r="D6846" t="s">
        <v>17415</v>
      </c>
      <c r="E6846" t="s">
        <v>23416</v>
      </c>
      <c r="F6846" t="s">
        <v>30052</v>
      </c>
      <c r="G6846" t="s">
        <v>30062</v>
      </c>
      <c r="H6846" t="s">
        <v>15498</v>
      </c>
      <c r="I6846" t="s">
        <v>30070</v>
      </c>
      <c r="J6846" t="s">
        <v>32932</v>
      </c>
      <c r="K6846" t="s">
        <v>39019</v>
      </c>
      <c r="M6846" t="s">
        <v>41402</v>
      </c>
      <c r="N6846" t="s">
        <v>43166</v>
      </c>
      <c r="O6846" t="s">
        <v>43167</v>
      </c>
      <c r="P6846">
        <v>0</v>
      </c>
      <c r="Q6846">
        <v>11</v>
      </c>
      <c r="R6846" t="s">
        <v>43173</v>
      </c>
      <c r="S6846" t="s">
        <v>43374</v>
      </c>
      <c r="T6846" t="s">
        <v>44773</v>
      </c>
      <c r="U6846" t="s">
        <v>50750</v>
      </c>
      <c r="V6846" t="s">
        <v>57541</v>
      </c>
      <c r="W6846" t="s">
        <v>41402</v>
      </c>
      <c r="X6846" t="s">
        <v>43174</v>
      </c>
    </row>
    <row r="6847" spans="1:24">
      <c r="A6847">
        <f>HYPERLINK("https://www.philgeps.gov.ph/GEPSNONPILOT/Tender/SplashBidNoticeAbstractUI.aspx?menuIndex=3&amp;refID=7076580&amp;Result=3","7076580")</f>
        <v>0</v>
      </c>
      <c r="B6847" t="s">
        <v>841</v>
      </c>
      <c r="C6847" t="s">
        <v>9938</v>
      </c>
      <c r="D6847" t="s">
        <v>17456</v>
      </c>
      <c r="E6847" t="s">
        <v>23417</v>
      </c>
      <c r="F6847" t="s">
        <v>30052</v>
      </c>
      <c r="G6847" t="s">
        <v>30059</v>
      </c>
      <c r="H6847" t="s">
        <v>15498</v>
      </c>
      <c r="I6847" t="s">
        <v>30092</v>
      </c>
      <c r="J6847" t="s">
        <v>30661</v>
      </c>
      <c r="K6847" t="s">
        <v>39019</v>
      </c>
      <c r="M6847" t="s">
        <v>40158</v>
      </c>
      <c r="N6847" t="s">
        <v>43166</v>
      </c>
      <c r="O6847" t="s">
        <v>43167</v>
      </c>
      <c r="P6847">
        <v>0</v>
      </c>
      <c r="Q6847">
        <v>1</v>
      </c>
      <c r="R6847" t="s">
        <v>43173</v>
      </c>
      <c r="S6847" t="s">
        <v>43374</v>
      </c>
      <c r="T6847" t="s">
        <v>44888</v>
      </c>
      <c r="U6847" t="s">
        <v>50751</v>
      </c>
      <c r="W6847" t="s">
        <v>40158</v>
      </c>
      <c r="X6847" t="s">
        <v>43174</v>
      </c>
    </row>
    <row r="6848" spans="1:24">
      <c r="A6848">
        <f>HYPERLINK("https://www.philgeps.gov.ph/GEPSNONPILOT/Tender/SplashBidNoticeAbstractUI.aspx?menuIndex=3&amp;refID=7076571&amp;Result=3","7076571")</f>
        <v>0</v>
      </c>
      <c r="B6848" t="s">
        <v>2184</v>
      </c>
      <c r="C6848" t="s">
        <v>9939</v>
      </c>
      <c r="D6848" t="s">
        <v>17476</v>
      </c>
      <c r="E6848" t="s">
        <v>23418</v>
      </c>
      <c r="F6848" t="s">
        <v>30052</v>
      </c>
      <c r="G6848" t="s">
        <v>30058</v>
      </c>
      <c r="H6848" t="s">
        <v>15498</v>
      </c>
      <c r="I6848" t="s">
        <v>30144</v>
      </c>
      <c r="J6848" t="s">
        <v>30872</v>
      </c>
      <c r="K6848" t="s">
        <v>39029</v>
      </c>
      <c r="M6848" t="s">
        <v>41653</v>
      </c>
      <c r="N6848" t="s">
        <v>43166</v>
      </c>
      <c r="O6848" t="s">
        <v>43167</v>
      </c>
      <c r="P6848">
        <v>0</v>
      </c>
      <c r="Q6848">
        <v>0</v>
      </c>
      <c r="R6848" t="s">
        <v>43173</v>
      </c>
      <c r="S6848" t="s">
        <v>43374</v>
      </c>
      <c r="T6848" t="s">
        <v>44825</v>
      </c>
      <c r="U6848" t="s">
        <v>50752</v>
      </c>
      <c r="W6848" t="s">
        <v>41653</v>
      </c>
      <c r="X6848" t="s">
        <v>43174</v>
      </c>
    </row>
    <row r="6849" spans="1:24">
      <c r="A6849">
        <f>HYPERLINK("https://www.philgeps.gov.ph/GEPSNONPILOT/Tender/SplashBidNoticeAbstractUI.aspx?menuIndex=3&amp;refID=7076320&amp;Result=3","7076320")</f>
        <v>0</v>
      </c>
      <c r="B6849" t="s">
        <v>539</v>
      </c>
      <c r="C6849" t="s">
        <v>9940</v>
      </c>
      <c r="D6849" t="s">
        <v>17427</v>
      </c>
      <c r="E6849" t="s">
        <v>23419</v>
      </c>
      <c r="F6849" t="s">
        <v>30052</v>
      </c>
      <c r="G6849" t="s">
        <v>30061</v>
      </c>
      <c r="H6849" t="s">
        <v>15498</v>
      </c>
      <c r="I6849" t="s">
        <v>30073</v>
      </c>
      <c r="J6849" t="s">
        <v>30447</v>
      </c>
      <c r="K6849" t="s">
        <v>39017</v>
      </c>
      <c r="M6849" t="s">
        <v>39841</v>
      </c>
      <c r="N6849" t="s">
        <v>43166</v>
      </c>
      <c r="O6849" t="s">
        <v>43167</v>
      </c>
      <c r="P6849">
        <v>0</v>
      </c>
      <c r="Q6849">
        <v>0</v>
      </c>
      <c r="R6849" t="s">
        <v>43173</v>
      </c>
      <c r="S6849" t="s">
        <v>43374</v>
      </c>
      <c r="T6849" t="s">
        <v>44735</v>
      </c>
      <c r="U6849" t="s">
        <v>50753</v>
      </c>
      <c r="W6849" t="s">
        <v>39841</v>
      </c>
      <c r="X6849" t="s">
        <v>43174</v>
      </c>
    </row>
    <row r="6850" spans="1:24">
      <c r="A6850">
        <f>HYPERLINK("https://www.philgeps.gov.ph/GEPSNONPILOT/Tender/SplashBidNoticeAbstractUI.aspx?menuIndex=3&amp;refID=7076570&amp;Result=3","7076570")</f>
        <v>0</v>
      </c>
      <c r="B6850" t="s">
        <v>2185</v>
      </c>
      <c r="C6850" t="s">
        <v>9941</v>
      </c>
      <c r="E6850" t="s">
        <v>23420</v>
      </c>
      <c r="F6850" t="s">
        <v>30052</v>
      </c>
      <c r="G6850" t="s">
        <v>30058</v>
      </c>
      <c r="H6850" t="s">
        <v>15498</v>
      </c>
      <c r="I6850" t="s">
        <v>3736</v>
      </c>
      <c r="J6850" t="s">
        <v>34463</v>
      </c>
      <c r="K6850" t="s">
        <v>39019</v>
      </c>
      <c r="M6850" t="s">
        <v>41654</v>
      </c>
      <c r="N6850" t="s">
        <v>43166</v>
      </c>
      <c r="O6850" t="s">
        <v>43167</v>
      </c>
      <c r="P6850">
        <v>0</v>
      </c>
      <c r="Q6850">
        <v>1</v>
      </c>
      <c r="R6850" t="s">
        <v>43173</v>
      </c>
      <c r="S6850" t="s">
        <v>43374</v>
      </c>
      <c r="T6850" t="s">
        <v>44807</v>
      </c>
      <c r="U6850" t="s">
        <v>50754</v>
      </c>
      <c r="V6850" t="s">
        <v>57542</v>
      </c>
      <c r="W6850" t="s">
        <v>41654</v>
      </c>
      <c r="X6850" t="s">
        <v>43174</v>
      </c>
    </row>
    <row r="6851" spans="1:24">
      <c r="A6851">
        <f>HYPERLINK("https://www.philgeps.gov.ph/GEPSNONPILOT/Tender/SplashBidNoticeAbstractUI.aspx?menuIndex=3&amp;refID=7076558&amp;Result=3","7076558")</f>
        <v>0</v>
      </c>
      <c r="B6851" t="s">
        <v>2186</v>
      </c>
      <c r="C6851" t="s">
        <v>9942</v>
      </c>
      <c r="D6851" t="s">
        <v>17446</v>
      </c>
      <c r="E6851" t="s">
        <v>23421</v>
      </c>
      <c r="F6851" t="s">
        <v>30052</v>
      </c>
      <c r="G6851" t="s">
        <v>30058</v>
      </c>
      <c r="H6851" t="s">
        <v>15498</v>
      </c>
      <c r="I6851" t="s">
        <v>30098</v>
      </c>
      <c r="J6851" t="s">
        <v>34464</v>
      </c>
      <c r="K6851" t="s">
        <v>39052</v>
      </c>
      <c r="M6851" t="s">
        <v>41655</v>
      </c>
      <c r="N6851" t="s">
        <v>43166</v>
      </c>
      <c r="O6851" t="s">
        <v>43167</v>
      </c>
      <c r="P6851">
        <v>0</v>
      </c>
      <c r="Q6851">
        <v>3</v>
      </c>
      <c r="R6851" t="s">
        <v>43173</v>
      </c>
      <c r="S6851" t="s">
        <v>43374</v>
      </c>
      <c r="T6851" t="s">
        <v>44732</v>
      </c>
      <c r="U6851" t="s">
        <v>50755</v>
      </c>
      <c r="W6851" t="s">
        <v>41655</v>
      </c>
      <c r="X6851" t="s">
        <v>43174</v>
      </c>
    </row>
    <row r="6852" spans="1:24">
      <c r="A6852">
        <f>HYPERLINK("https://www.philgeps.gov.ph/GEPSNONPILOT/Tender/SplashBidNoticeAbstractUI.aspx?menuIndex=3&amp;refID=7076557&amp;Result=3","7076557")</f>
        <v>0</v>
      </c>
      <c r="B6852" t="s">
        <v>861</v>
      </c>
      <c r="C6852" t="s">
        <v>9943</v>
      </c>
      <c r="D6852" t="s">
        <v>17413</v>
      </c>
      <c r="E6852" t="s">
        <v>23422</v>
      </c>
      <c r="F6852" t="s">
        <v>30052</v>
      </c>
      <c r="G6852" t="s">
        <v>30058</v>
      </c>
      <c r="H6852" t="s">
        <v>30067</v>
      </c>
      <c r="I6852" t="s">
        <v>3693</v>
      </c>
      <c r="J6852" t="s">
        <v>34465</v>
      </c>
      <c r="K6852" t="s">
        <v>39026</v>
      </c>
      <c r="M6852" t="s">
        <v>40178</v>
      </c>
      <c r="N6852" t="s">
        <v>43166</v>
      </c>
      <c r="O6852" t="s">
        <v>43167</v>
      </c>
      <c r="P6852">
        <v>0</v>
      </c>
      <c r="Q6852">
        <v>3</v>
      </c>
      <c r="R6852" t="s">
        <v>43173</v>
      </c>
      <c r="S6852" t="s">
        <v>43374</v>
      </c>
      <c r="T6852" t="s">
        <v>44679</v>
      </c>
      <c r="U6852" t="s">
        <v>50756</v>
      </c>
      <c r="W6852" t="s">
        <v>40178</v>
      </c>
      <c r="X6852" t="s">
        <v>43174</v>
      </c>
    </row>
    <row r="6853" spans="1:24">
      <c r="A6853">
        <f>HYPERLINK("https://www.philgeps.gov.ph/GEPSNONPILOT/Tender/SplashBidNoticeAbstractUI.aspx?menuIndex=3&amp;refID=7076616&amp;Result=3","7076616")</f>
        <v>0</v>
      </c>
      <c r="B6853" t="s">
        <v>2187</v>
      </c>
      <c r="C6853" t="s">
        <v>9944</v>
      </c>
      <c r="D6853" t="s">
        <v>17425</v>
      </c>
      <c r="E6853" t="s">
        <v>23423</v>
      </c>
      <c r="F6853" t="s">
        <v>30052</v>
      </c>
      <c r="G6853" t="s">
        <v>30058</v>
      </c>
      <c r="H6853" t="s">
        <v>15498</v>
      </c>
      <c r="I6853" t="s">
        <v>3736</v>
      </c>
      <c r="J6853" t="s">
        <v>32640</v>
      </c>
      <c r="K6853" t="s">
        <v>39019</v>
      </c>
      <c r="M6853" t="s">
        <v>41656</v>
      </c>
      <c r="N6853" t="s">
        <v>43166</v>
      </c>
      <c r="O6853" t="s">
        <v>43167</v>
      </c>
      <c r="P6853">
        <v>0</v>
      </c>
      <c r="Q6853">
        <v>0</v>
      </c>
      <c r="R6853" t="s">
        <v>43173</v>
      </c>
      <c r="S6853" t="s">
        <v>43374</v>
      </c>
      <c r="T6853" t="s">
        <v>44832</v>
      </c>
      <c r="U6853" t="s">
        <v>50757</v>
      </c>
      <c r="W6853" t="s">
        <v>41656</v>
      </c>
      <c r="X6853" t="s">
        <v>43174</v>
      </c>
    </row>
    <row r="6854" spans="1:24">
      <c r="A6854">
        <f>HYPERLINK("https://www.philgeps.gov.ph/GEPSNONPILOT/Tender/SplashBidNoticeAbstractUI.aspx?menuIndex=3&amp;refID=7076566&amp;Result=3","7076566")</f>
        <v>0</v>
      </c>
      <c r="B6854" t="s">
        <v>1779</v>
      </c>
      <c r="C6854" t="s">
        <v>9945</v>
      </c>
      <c r="D6854" t="s">
        <v>17444</v>
      </c>
      <c r="E6854" t="s">
        <v>23424</v>
      </c>
      <c r="F6854" t="s">
        <v>30052</v>
      </c>
      <c r="G6854" t="s">
        <v>30058</v>
      </c>
      <c r="H6854" t="s">
        <v>15498</v>
      </c>
      <c r="I6854" t="s">
        <v>30096</v>
      </c>
      <c r="J6854" t="s">
        <v>34466</v>
      </c>
      <c r="K6854" t="s">
        <v>39037</v>
      </c>
      <c r="M6854" t="s">
        <v>41621</v>
      </c>
      <c r="N6854" t="s">
        <v>43166</v>
      </c>
      <c r="O6854" t="s">
        <v>43167</v>
      </c>
      <c r="P6854">
        <v>0</v>
      </c>
      <c r="Q6854">
        <v>3</v>
      </c>
      <c r="R6854" t="s">
        <v>43173</v>
      </c>
      <c r="S6854" t="s">
        <v>43374</v>
      </c>
      <c r="T6854" t="s">
        <v>44758</v>
      </c>
      <c r="U6854" t="s">
        <v>50758</v>
      </c>
      <c r="V6854" t="s">
        <v>57534</v>
      </c>
      <c r="W6854" t="s">
        <v>41621</v>
      </c>
      <c r="X6854" t="s">
        <v>43174</v>
      </c>
    </row>
    <row r="6855" spans="1:24">
      <c r="A6855">
        <f>HYPERLINK("https://www.philgeps.gov.ph/GEPSNONPILOT/Tender/SplashBidNoticeAbstractUI.aspx?menuIndex=3&amp;refID=7076560&amp;Result=3","7076560")</f>
        <v>0</v>
      </c>
      <c r="B6855" t="s">
        <v>1648</v>
      </c>
      <c r="C6855" t="s">
        <v>9946</v>
      </c>
      <c r="D6855" t="s">
        <v>17444</v>
      </c>
      <c r="E6855" t="s">
        <v>23425</v>
      </c>
      <c r="F6855" t="s">
        <v>30052</v>
      </c>
      <c r="G6855" t="s">
        <v>30058</v>
      </c>
      <c r="H6855" t="s">
        <v>15498</v>
      </c>
      <c r="I6855" t="s">
        <v>30098</v>
      </c>
      <c r="J6855" t="s">
        <v>31977</v>
      </c>
      <c r="K6855" t="s">
        <v>39036</v>
      </c>
      <c r="M6855" t="s">
        <v>41053</v>
      </c>
      <c r="N6855" t="s">
        <v>43166</v>
      </c>
      <c r="O6855" t="s">
        <v>43167</v>
      </c>
      <c r="P6855">
        <v>0</v>
      </c>
      <c r="Q6855">
        <v>1</v>
      </c>
      <c r="R6855" t="s">
        <v>43173</v>
      </c>
      <c r="S6855" t="s">
        <v>43374</v>
      </c>
      <c r="T6855" t="s">
        <v>44698</v>
      </c>
      <c r="U6855" t="s">
        <v>50759</v>
      </c>
      <c r="W6855" t="s">
        <v>41053</v>
      </c>
      <c r="X6855" t="s">
        <v>43174</v>
      </c>
    </row>
    <row r="6856" spans="1:24">
      <c r="A6856">
        <f>HYPERLINK("https://www.philgeps.gov.ph/GEPSNONPILOT/Tender/SplashBidNoticeAbstractUI.aspx?menuIndex=3&amp;refID=7076612&amp;Result=3","7076612")</f>
        <v>0</v>
      </c>
      <c r="B6856" t="s">
        <v>2183</v>
      </c>
      <c r="C6856" t="s">
        <v>9947</v>
      </c>
      <c r="D6856" t="s">
        <v>17482</v>
      </c>
      <c r="E6856" t="s">
        <v>23426</v>
      </c>
      <c r="F6856" t="s">
        <v>30052</v>
      </c>
      <c r="G6856" t="s">
        <v>30059</v>
      </c>
      <c r="H6856" t="s">
        <v>15498</v>
      </c>
      <c r="I6856" t="s">
        <v>30108</v>
      </c>
      <c r="J6856" t="s">
        <v>30905</v>
      </c>
      <c r="K6856" t="s">
        <v>39017</v>
      </c>
      <c r="M6856" t="s">
        <v>41652</v>
      </c>
      <c r="N6856" t="s">
        <v>43166</v>
      </c>
      <c r="O6856" t="s">
        <v>43167</v>
      </c>
      <c r="P6856">
        <v>0</v>
      </c>
      <c r="Q6856">
        <v>0</v>
      </c>
      <c r="R6856" t="s">
        <v>43173</v>
      </c>
      <c r="S6856" t="s">
        <v>43374</v>
      </c>
      <c r="T6856" t="s">
        <v>44841</v>
      </c>
      <c r="U6856" t="s">
        <v>50749</v>
      </c>
      <c r="W6856" t="s">
        <v>41652</v>
      </c>
      <c r="X6856" t="s">
        <v>43174</v>
      </c>
    </row>
    <row r="6857" spans="1:24">
      <c r="A6857">
        <f>HYPERLINK("https://www.philgeps.gov.ph/GEPSNONPILOT/Tender/SplashBidNoticeAbstractUI.aspx?menuIndex=3&amp;refID=7076611&amp;Result=3","7076611")</f>
        <v>0</v>
      </c>
      <c r="B6857" t="s">
        <v>2188</v>
      </c>
      <c r="C6857" t="s">
        <v>9948</v>
      </c>
      <c r="D6857" t="s">
        <v>17459</v>
      </c>
      <c r="E6857" t="s">
        <v>23427</v>
      </c>
      <c r="F6857" t="s">
        <v>30052</v>
      </c>
      <c r="G6857" t="s">
        <v>30061</v>
      </c>
      <c r="H6857" t="s">
        <v>30067</v>
      </c>
      <c r="I6857" t="s">
        <v>3736</v>
      </c>
      <c r="J6857" t="s">
        <v>34467</v>
      </c>
      <c r="K6857" t="s">
        <v>39017</v>
      </c>
      <c r="M6857" t="s">
        <v>41657</v>
      </c>
      <c r="N6857" t="s">
        <v>43166</v>
      </c>
      <c r="O6857" t="s">
        <v>43167</v>
      </c>
      <c r="P6857">
        <v>0</v>
      </c>
      <c r="Q6857">
        <v>0</v>
      </c>
      <c r="R6857" t="s">
        <v>43173</v>
      </c>
      <c r="S6857" t="s">
        <v>43374</v>
      </c>
      <c r="T6857" t="s">
        <v>44870</v>
      </c>
      <c r="U6857" t="s">
        <v>50760</v>
      </c>
      <c r="W6857" t="s">
        <v>41657</v>
      </c>
      <c r="X6857" t="s">
        <v>43174</v>
      </c>
    </row>
    <row r="6858" spans="1:24">
      <c r="A6858">
        <f>HYPERLINK("https://www.philgeps.gov.ph/GEPSNONPILOT/Tender/SplashBidNoticeAbstractUI.aspx?menuIndex=3&amp;refID=7076581&amp;Result=3","7076581")</f>
        <v>0</v>
      </c>
      <c r="B6858" t="s">
        <v>2157</v>
      </c>
      <c r="C6858" t="s">
        <v>9949</v>
      </c>
      <c r="D6858" t="s">
        <v>17463</v>
      </c>
      <c r="E6858" t="s">
        <v>23428</v>
      </c>
      <c r="F6858" t="s">
        <v>30052</v>
      </c>
      <c r="G6858" t="s">
        <v>30058</v>
      </c>
      <c r="H6858" t="s">
        <v>30067</v>
      </c>
      <c r="I6858" t="s">
        <v>3693</v>
      </c>
      <c r="J6858" t="s">
        <v>30227</v>
      </c>
      <c r="K6858" t="s">
        <v>39019</v>
      </c>
      <c r="M6858" t="s">
        <v>41624</v>
      </c>
      <c r="N6858" t="s">
        <v>43166</v>
      </c>
      <c r="O6858" t="s">
        <v>43167</v>
      </c>
      <c r="P6858">
        <v>0</v>
      </c>
      <c r="Q6858">
        <v>5</v>
      </c>
      <c r="R6858" t="s">
        <v>43173</v>
      </c>
      <c r="S6858" t="s">
        <v>43374</v>
      </c>
      <c r="T6858" t="s">
        <v>44758</v>
      </c>
      <c r="U6858" t="s">
        <v>50761</v>
      </c>
      <c r="W6858" t="s">
        <v>41624</v>
      </c>
      <c r="X6858" t="s">
        <v>43174</v>
      </c>
    </row>
    <row r="6859" spans="1:24">
      <c r="A6859">
        <f>HYPERLINK("https://www.philgeps.gov.ph/GEPSNONPILOT/Tender/SplashBidNoticeAbstractUI.aspx?menuIndex=3&amp;refID=7076605&amp;Result=3","7076605")</f>
        <v>0</v>
      </c>
      <c r="B6859" t="s">
        <v>2189</v>
      </c>
      <c r="C6859" t="s">
        <v>3532</v>
      </c>
      <c r="D6859" t="s">
        <v>17482</v>
      </c>
      <c r="E6859" t="s">
        <v>23429</v>
      </c>
      <c r="F6859" t="s">
        <v>30054</v>
      </c>
      <c r="G6859" t="s">
        <v>30061</v>
      </c>
      <c r="H6859" t="s">
        <v>15498</v>
      </c>
      <c r="I6859" t="s">
        <v>4119</v>
      </c>
      <c r="J6859" t="s">
        <v>34468</v>
      </c>
      <c r="K6859" t="s">
        <v>39017</v>
      </c>
      <c r="M6859" t="s">
        <v>41658</v>
      </c>
      <c r="N6859" t="s">
        <v>43166</v>
      </c>
      <c r="O6859" t="s">
        <v>43167</v>
      </c>
      <c r="P6859">
        <v>0</v>
      </c>
      <c r="Q6859">
        <v>0</v>
      </c>
      <c r="R6859" t="s">
        <v>43173</v>
      </c>
      <c r="S6859" t="s">
        <v>43374</v>
      </c>
      <c r="T6859" t="s">
        <v>44734</v>
      </c>
      <c r="U6859" t="s">
        <v>50762</v>
      </c>
      <c r="W6859" t="s">
        <v>41658</v>
      </c>
      <c r="X6859" t="s">
        <v>43174</v>
      </c>
    </row>
    <row r="6860" spans="1:24">
      <c r="A6860">
        <f>HYPERLINK("https://www.philgeps.gov.ph/GEPSNONPILOT/Tender/SplashBidNoticeAbstractUI.aspx?menuIndex=3&amp;refID=7076596&amp;Result=3","7076596")</f>
        <v>0</v>
      </c>
      <c r="B6860" t="s">
        <v>2190</v>
      </c>
      <c r="C6860" t="s">
        <v>9950</v>
      </c>
      <c r="D6860" t="s">
        <v>17441</v>
      </c>
      <c r="E6860" t="s">
        <v>23430</v>
      </c>
      <c r="F6860" t="s">
        <v>30052</v>
      </c>
      <c r="G6860" t="s">
        <v>30058</v>
      </c>
      <c r="H6860" t="s">
        <v>15498</v>
      </c>
      <c r="I6860" t="s">
        <v>3736</v>
      </c>
      <c r="J6860" t="s">
        <v>30230</v>
      </c>
      <c r="K6860" t="s">
        <v>39034</v>
      </c>
      <c r="L6860" t="s">
        <v>2190</v>
      </c>
      <c r="M6860" t="s">
        <v>41659</v>
      </c>
      <c r="N6860" t="s">
        <v>43166</v>
      </c>
      <c r="O6860" t="s">
        <v>43167</v>
      </c>
      <c r="P6860">
        <v>0</v>
      </c>
      <c r="Q6860">
        <v>4</v>
      </c>
      <c r="R6860" t="s">
        <v>43173</v>
      </c>
      <c r="S6860" t="s">
        <v>43374</v>
      </c>
      <c r="T6860" t="s">
        <v>44696</v>
      </c>
      <c r="U6860" t="s">
        <v>50763</v>
      </c>
      <c r="W6860" t="s">
        <v>41659</v>
      </c>
      <c r="X6860" t="s">
        <v>43174</v>
      </c>
    </row>
    <row r="6861" spans="1:24">
      <c r="A6861">
        <f>HYPERLINK("https://www.philgeps.gov.ph/GEPSNONPILOT/Tender/SplashBidNoticeAbstractUI.aspx?menuIndex=3&amp;refID=7076609&amp;Result=3","7076609")</f>
        <v>0</v>
      </c>
      <c r="B6861" t="s">
        <v>1517</v>
      </c>
      <c r="C6861" t="s">
        <v>9951</v>
      </c>
      <c r="D6861" t="s">
        <v>17421</v>
      </c>
      <c r="E6861" t="s">
        <v>23431</v>
      </c>
      <c r="F6861" t="s">
        <v>30052</v>
      </c>
      <c r="G6861" t="s">
        <v>30059</v>
      </c>
      <c r="H6861" t="s">
        <v>15498</v>
      </c>
      <c r="I6861" t="s">
        <v>6691</v>
      </c>
      <c r="J6861" t="s">
        <v>30570</v>
      </c>
      <c r="K6861" t="s">
        <v>39025</v>
      </c>
      <c r="M6861" t="s">
        <v>41614</v>
      </c>
      <c r="N6861" t="s">
        <v>43166</v>
      </c>
      <c r="O6861" t="s">
        <v>43167</v>
      </c>
      <c r="P6861">
        <v>0</v>
      </c>
      <c r="Q6861">
        <v>0</v>
      </c>
      <c r="R6861" t="s">
        <v>43173</v>
      </c>
      <c r="S6861" t="s">
        <v>43374</v>
      </c>
      <c r="T6861" t="s">
        <v>44844</v>
      </c>
      <c r="U6861" t="s">
        <v>50764</v>
      </c>
      <c r="W6861" t="s">
        <v>41614</v>
      </c>
      <c r="X6861" t="s">
        <v>43174</v>
      </c>
    </row>
    <row r="6862" spans="1:24">
      <c r="A6862">
        <f>HYPERLINK("https://www.philgeps.gov.ph/GEPSNONPILOT/Tender/SplashBidNoticeAbstractUI.aspx?menuIndex=3&amp;refID=7076606&amp;Result=3","7076606")</f>
        <v>0</v>
      </c>
      <c r="B6862" t="s">
        <v>2186</v>
      </c>
      <c r="C6862" t="s">
        <v>9952</v>
      </c>
      <c r="D6862" t="s">
        <v>17446</v>
      </c>
      <c r="E6862" t="s">
        <v>23432</v>
      </c>
      <c r="F6862" t="s">
        <v>30052</v>
      </c>
      <c r="G6862" t="s">
        <v>30058</v>
      </c>
      <c r="H6862" t="s">
        <v>15498</v>
      </c>
      <c r="I6862" t="s">
        <v>4650</v>
      </c>
      <c r="J6862" t="s">
        <v>30358</v>
      </c>
      <c r="K6862" t="s">
        <v>39052</v>
      </c>
      <c r="M6862" t="s">
        <v>41655</v>
      </c>
      <c r="N6862" t="s">
        <v>43166</v>
      </c>
      <c r="O6862" t="s">
        <v>43167</v>
      </c>
      <c r="P6862">
        <v>0</v>
      </c>
      <c r="Q6862">
        <v>5</v>
      </c>
      <c r="R6862" t="s">
        <v>43173</v>
      </c>
      <c r="S6862" t="s">
        <v>43374</v>
      </c>
      <c r="T6862" t="s">
        <v>44732</v>
      </c>
      <c r="U6862" t="s">
        <v>50765</v>
      </c>
      <c r="W6862" t="s">
        <v>41655</v>
      </c>
      <c r="X6862" t="s">
        <v>43174</v>
      </c>
    </row>
    <row r="6863" spans="1:24">
      <c r="A6863">
        <f>HYPERLINK("https://www.philgeps.gov.ph/GEPSNONPILOT/Tender/SplashBidNoticeAbstractUI.aspx?menuIndex=3&amp;refID=7076595&amp;Result=3","7076595")</f>
        <v>0</v>
      </c>
      <c r="B6863" t="s">
        <v>1892</v>
      </c>
      <c r="C6863" t="s">
        <v>9953</v>
      </c>
      <c r="D6863" t="s">
        <v>17444</v>
      </c>
      <c r="E6863" t="s">
        <v>23433</v>
      </c>
      <c r="F6863" t="s">
        <v>30052</v>
      </c>
      <c r="G6863" t="s">
        <v>30059</v>
      </c>
      <c r="H6863" t="s">
        <v>15498</v>
      </c>
      <c r="I6863" t="s">
        <v>30092</v>
      </c>
      <c r="J6863" t="s">
        <v>34469</v>
      </c>
      <c r="K6863" t="s">
        <v>39017</v>
      </c>
      <c r="M6863" t="s">
        <v>41323</v>
      </c>
      <c r="N6863" t="s">
        <v>43166</v>
      </c>
      <c r="O6863" t="s">
        <v>43167</v>
      </c>
      <c r="P6863">
        <v>0</v>
      </c>
      <c r="Q6863">
        <v>1</v>
      </c>
      <c r="R6863" t="s">
        <v>43173</v>
      </c>
      <c r="S6863" t="s">
        <v>43374</v>
      </c>
      <c r="T6863" t="s">
        <v>44856</v>
      </c>
      <c r="U6863" t="s">
        <v>50766</v>
      </c>
      <c r="V6863" t="s">
        <v>57543</v>
      </c>
      <c r="W6863" t="s">
        <v>41323</v>
      </c>
      <c r="X6863" t="s">
        <v>43174</v>
      </c>
    </row>
    <row r="6864" spans="1:24">
      <c r="A6864">
        <f>HYPERLINK("https://www.philgeps.gov.ph/GEPSNONPILOT/Tender/SplashBidNoticeAbstractUI.aspx?menuIndex=3&amp;refID=7076594&amp;Result=3","7076594")</f>
        <v>0</v>
      </c>
      <c r="B6864" t="s">
        <v>1428</v>
      </c>
      <c r="C6864" t="s">
        <v>9954</v>
      </c>
      <c r="D6864" t="s">
        <v>17463</v>
      </c>
      <c r="E6864" t="s">
        <v>17843</v>
      </c>
      <c r="F6864" t="s">
        <v>30052</v>
      </c>
      <c r="G6864" t="s">
        <v>30058</v>
      </c>
      <c r="H6864" t="s">
        <v>30067</v>
      </c>
      <c r="I6864" t="s">
        <v>3693</v>
      </c>
      <c r="J6864" t="s">
        <v>30230</v>
      </c>
      <c r="K6864" t="s">
        <v>39023</v>
      </c>
      <c r="M6864" t="s">
        <v>40806</v>
      </c>
      <c r="N6864" t="s">
        <v>43166</v>
      </c>
      <c r="O6864" t="s">
        <v>43167</v>
      </c>
      <c r="P6864">
        <v>0</v>
      </c>
      <c r="Q6864">
        <v>2</v>
      </c>
      <c r="R6864" t="s">
        <v>43173</v>
      </c>
      <c r="S6864" t="s">
        <v>43374</v>
      </c>
      <c r="T6864" t="s">
        <v>44944</v>
      </c>
      <c r="U6864" t="s">
        <v>50767</v>
      </c>
      <c r="W6864" t="s">
        <v>40806</v>
      </c>
      <c r="X6864" t="s">
        <v>43174</v>
      </c>
    </row>
    <row r="6865" spans="1:24">
      <c r="A6865">
        <f>HYPERLINK("https://www.philgeps.gov.ph/GEPSNONPILOT/Tender/SplashBidNoticeAbstractUI.aspx?menuIndex=3&amp;refID=7076603&amp;Result=3","7076603")</f>
        <v>0</v>
      </c>
      <c r="B6865" t="s">
        <v>2183</v>
      </c>
      <c r="C6865" t="s">
        <v>9955</v>
      </c>
      <c r="D6865" t="s">
        <v>17482</v>
      </c>
      <c r="E6865" t="s">
        <v>23434</v>
      </c>
      <c r="F6865" t="s">
        <v>30052</v>
      </c>
      <c r="G6865" t="s">
        <v>30059</v>
      </c>
      <c r="H6865" t="s">
        <v>15498</v>
      </c>
      <c r="I6865" t="s">
        <v>4650</v>
      </c>
      <c r="J6865" t="s">
        <v>32255</v>
      </c>
      <c r="K6865" t="s">
        <v>39017</v>
      </c>
      <c r="M6865" t="s">
        <v>41652</v>
      </c>
      <c r="N6865" t="s">
        <v>43166</v>
      </c>
      <c r="O6865" t="s">
        <v>43167</v>
      </c>
      <c r="P6865">
        <v>0</v>
      </c>
      <c r="Q6865">
        <v>1</v>
      </c>
      <c r="R6865" t="s">
        <v>43173</v>
      </c>
      <c r="S6865" t="s">
        <v>43374</v>
      </c>
      <c r="T6865" t="s">
        <v>44841</v>
      </c>
      <c r="U6865" t="s">
        <v>50749</v>
      </c>
      <c r="W6865" t="s">
        <v>41652</v>
      </c>
      <c r="X6865" t="s">
        <v>43174</v>
      </c>
    </row>
    <row r="6866" spans="1:24">
      <c r="A6866">
        <f>HYPERLINK("https://www.philgeps.gov.ph/GEPSNONPILOT/Tender/SplashBidNoticeAbstractUI.aspx?menuIndex=3&amp;refID=7076590&amp;Result=3","7076590")</f>
        <v>0</v>
      </c>
      <c r="B6866" t="s">
        <v>1313</v>
      </c>
      <c r="C6866" t="s">
        <v>9956</v>
      </c>
      <c r="D6866" t="s">
        <v>17415</v>
      </c>
      <c r="E6866" t="s">
        <v>23435</v>
      </c>
      <c r="F6866" t="s">
        <v>30052</v>
      </c>
      <c r="G6866" t="s">
        <v>30059</v>
      </c>
      <c r="H6866" t="s">
        <v>15498</v>
      </c>
      <c r="I6866" t="s">
        <v>7228</v>
      </c>
      <c r="J6866" t="s">
        <v>30337</v>
      </c>
      <c r="K6866" t="s">
        <v>39017</v>
      </c>
      <c r="M6866" t="s">
        <v>41489</v>
      </c>
      <c r="N6866" t="s">
        <v>43166</v>
      </c>
      <c r="O6866" t="s">
        <v>43167</v>
      </c>
      <c r="P6866">
        <v>0</v>
      </c>
      <c r="Q6866">
        <v>0</v>
      </c>
      <c r="R6866" t="s">
        <v>43173</v>
      </c>
      <c r="S6866" t="s">
        <v>43374</v>
      </c>
      <c r="T6866" t="s">
        <v>44717</v>
      </c>
      <c r="U6866" t="s">
        <v>50768</v>
      </c>
      <c r="W6866" t="s">
        <v>41489</v>
      </c>
      <c r="X6866" t="s">
        <v>43174</v>
      </c>
    </row>
    <row r="6867" spans="1:24">
      <c r="A6867">
        <f>HYPERLINK("https://www.philgeps.gov.ph/GEPSNONPILOT/Tender/SplashBidNoticeAbstractUI.aspx?menuIndex=3&amp;refID=7076589&amp;Result=3","7076589")</f>
        <v>0</v>
      </c>
      <c r="B6867" t="s">
        <v>2183</v>
      </c>
      <c r="C6867" t="s">
        <v>9957</v>
      </c>
      <c r="D6867" t="s">
        <v>17482</v>
      </c>
      <c r="E6867" t="s">
        <v>23436</v>
      </c>
      <c r="F6867" t="s">
        <v>30052</v>
      </c>
      <c r="G6867" t="s">
        <v>30059</v>
      </c>
      <c r="H6867" t="s">
        <v>15498</v>
      </c>
      <c r="I6867" t="s">
        <v>6691</v>
      </c>
      <c r="J6867" t="s">
        <v>34470</v>
      </c>
      <c r="K6867" t="s">
        <v>39017</v>
      </c>
      <c r="M6867" t="s">
        <v>41652</v>
      </c>
      <c r="N6867" t="s">
        <v>43166</v>
      </c>
      <c r="O6867" t="s">
        <v>43167</v>
      </c>
      <c r="P6867">
        <v>0</v>
      </c>
      <c r="Q6867">
        <v>0</v>
      </c>
      <c r="R6867" t="s">
        <v>43173</v>
      </c>
      <c r="S6867" t="s">
        <v>43374</v>
      </c>
      <c r="T6867" t="s">
        <v>44841</v>
      </c>
      <c r="U6867" t="s">
        <v>50749</v>
      </c>
      <c r="W6867" t="s">
        <v>41652</v>
      </c>
      <c r="X6867" t="s">
        <v>43174</v>
      </c>
    </row>
    <row r="6868" spans="1:24">
      <c r="A6868">
        <f>HYPERLINK("https://www.philgeps.gov.ph/GEPSNONPILOT/Tender/SplashBidNoticeAbstractUI.aspx?menuIndex=3&amp;refID=7076588&amp;Result=3","7076588")</f>
        <v>0</v>
      </c>
      <c r="B6868" t="s">
        <v>2191</v>
      </c>
      <c r="C6868" t="s">
        <v>9958</v>
      </c>
      <c r="D6868" t="s">
        <v>17441</v>
      </c>
      <c r="E6868" t="s">
        <v>23437</v>
      </c>
      <c r="F6868" t="s">
        <v>30052</v>
      </c>
      <c r="G6868" t="s">
        <v>30058</v>
      </c>
      <c r="H6868" t="s">
        <v>15498</v>
      </c>
      <c r="I6868" t="s">
        <v>3736</v>
      </c>
      <c r="J6868" t="s">
        <v>34471</v>
      </c>
      <c r="K6868" t="s">
        <v>39064</v>
      </c>
      <c r="M6868" t="s">
        <v>41660</v>
      </c>
      <c r="N6868" t="s">
        <v>43166</v>
      </c>
      <c r="O6868" t="s">
        <v>43167</v>
      </c>
      <c r="P6868">
        <v>0</v>
      </c>
      <c r="Q6868">
        <v>3</v>
      </c>
      <c r="R6868" t="s">
        <v>43173</v>
      </c>
      <c r="S6868" t="s">
        <v>43374</v>
      </c>
      <c r="T6868" t="s">
        <v>44734</v>
      </c>
      <c r="U6868" t="s">
        <v>49638</v>
      </c>
      <c r="W6868" t="s">
        <v>41660</v>
      </c>
      <c r="X6868" t="s">
        <v>43174</v>
      </c>
    </row>
    <row r="6869" spans="1:24">
      <c r="A6869">
        <f>HYPERLINK("https://www.philgeps.gov.ph/GEPSNONPILOT/Tender/SplashBidNoticeAbstractUI.aspx?menuIndex=3&amp;refID=7076586&amp;Result=3","7076586")</f>
        <v>0</v>
      </c>
      <c r="B6869" t="s">
        <v>2192</v>
      </c>
      <c r="C6869" t="s">
        <v>9959</v>
      </c>
      <c r="D6869" t="s">
        <v>17445</v>
      </c>
      <c r="E6869" t="s">
        <v>23438</v>
      </c>
      <c r="F6869" t="s">
        <v>30052</v>
      </c>
      <c r="G6869" t="s">
        <v>30058</v>
      </c>
      <c r="H6869" t="s">
        <v>15498</v>
      </c>
      <c r="I6869" t="s">
        <v>3736</v>
      </c>
      <c r="J6869" t="s">
        <v>30216</v>
      </c>
      <c r="K6869" t="s">
        <v>39017</v>
      </c>
      <c r="M6869" t="s">
        <v>41661</v>
      </c>
      <c r="N6869" t="s">
        <v>43166</v>
      </c>
      <c r="O6869" t="s">
        <v>43167</v>
      </c>
      <c r="P6869">
        <v>0</v>
      </c>
      <c r="Q6869">
        <v>0</v>
      </c>
      <c r="R6869" t="s">
        <v>43173</v>
      </c>
      <c r="S6869" t="s">
        <v>43374</v>
      </c>
      <c r="T6869" t="s">
        <v>44714</v>
      </c>
      <c r="U6869" t="s">
        <v>50769</v>
      </c>
      <c r="W6869" t="s">
        <v>41661</v>
      </c>
      <c r="X6869" t="s">
        <v>43174</v>
      </c>
    </row>
    <row r="6870" spans="1:24">
      <c r="A6870">
        <f>HYPERLINK("https://www.philgeps.gov.ph/GEPSNONPILOT/Tender/SplashBidNoticeAbstractUI.aspx?menuIndex=3&amp;refID=7076622&amp;Result=3","7076622")</f>
        <v>0</v>
      </c>
      <c r="B6870" t="s">
        <v>1699</v>
      </c>
      <c r="C6870" t="s">
        <v>9960</v>
      </c>
      <c r="D6870" t="s">
        <v>17421</v>
      </c>
      <c r="E6870" t="s">
        <v>23439</v>
      </c>
      <c r="F6870" t="s">
        <v>30055</v>
      </c>
      <c r="G6870" t="s">
        <v>30061</v>
      </c>
      <c r="H6870" t="s">
        <v>15498</v>
      </c>
      <c r="I6870" t="s">
        <v>7228</v>
      </c>
      <c r="J6870" t="s">
        <v>34472</v>
      </c>
      <c r="K6870" t="s">
        <v>39034</v>
      </c>
      <c r="M6870" t="s">
        <v>41109</v>
      </c>
      <c r="N6870" t="s">
        <v>43166</v>
      </c>
      <c r="O6870" t="s">
        <v>43167</v>
      </c>
      <c r="P6870">
        <v>0</v>
      </c>
      <c r="Q6870">
        <v>0</v>
      </c>
      <c r="R6870" t="s">
        <v>43173</v>
      </c>
      <c r="S6870" t="s">
        <v>43374</v>
      </c>
      <c r="T6870" t="s">
        <v>44750</v>
      </c>
      <c r="U6870" t="s">
        <v>50770</v>
      </c>
      <c r="W6870" t="s">
        <v>41109</v>
      </c>
      <c r="X6870" t="s">
        <v>43174</v>
      </c>
    </row>
    <row r="6871" spans="1:24">
      <c r="A6871">
        <f>HYPERLINK("https://www.philgeps.gov.ph/GEPSNONPILOT/Tender/SplashBidNoticeAbstractUI.aspx?menuIndex=3&amp;refID=7076669&amp;Result=3","7076669")</f>
        <v>0</v>
      </c>
      <c r="B6871" t="s">
        <v>781</v>
      </c>
      <c r="C6871" t="s">
        <v>9961</v>
      </c>
      <c r="D6871" t="s">
        <v>17425</v>
      </c>
      <c r="E6871" t="s">
        <v>23440</v>
      </c>
      <c r="F6871" t="s">
        <v>30052</v>
      </c>
      <c r="G6871" t="s">
        <v>30059</v>
      </c>
      <c r="H6871" t="s">
        <v>15498</v>
      </c>
      <c r="I6871" t="s">
        <v>6691</v>
      </c>
      <c r="J6871" t="s">
        <v>30587</v>
      </c>
      <c r="K6871" t="s">
        <v>39036</v>
      </c>
      <c r="M6871" t="s">
        <v>40096</v>
      </c>
      <c r="N6871" t="s">
        <v>43166</v>
      </c>
      <c r="O6871" t="s">
        <v>43167</v>
      </c>
      <c r="P6871">
        <v>0</v>
      </c>
      <c r="Q6871">
        <v>0</v>
      </c>
      <c r="R6871" t="s">
        <v>43173</v>
      </c>
      <c r="S6871" t="s">
        <v>43374</v>
      </c>
      <c r="T6871" t="s">
        <v>44696</v>
      </c>
      <c r="U6871" t="s">
        <v>50771</v>
      </c>
      <c r="W6871" t="s">
        <v>40096</v>
      </c>
      <c r="X6871" t="s">
        <v>43174</v>
      </c>
    </row>
    <row r="6872" spans="1:24">
      <c r="A6872">
        <f>HYPERLINK("https://www.philgeps.gov.ph/GEPSNONPILOT/Tender/SplashBidNoticeAbstractUI.aspx?menuIndex=3&amp;refID=7076667&amp;Result=3","7076667")</f>
        <v>0</v>
      </c>
      <c r="B6872" t="s">
        <v>1863</v>
      </c>
      <c r="C6872" t="s">
        <v>9962</v>
      </c>
      <c r="D6872" t="s">
        <v>17451</v>
      </c>
      <c r="E6872" t="s">
        <v>23441</v>
      </c>
      <c r="F6872" t="s">
        <v>30052</v>
      </c>
      <c r="G6872" t="s">
        <v>30058</v>
      </c>
      <c r="H6872" t="s">
        <v>30067</v>
      </c>
      <c r="I6872" t="s">
        <v>3693</v>
      </c>
      <c r="J6872" t="s">
        <v>30277</v>
      </c>
      <c r="K6872" t="s">
        <v>39029</v>
      </c>
      <c r="M6872" t="s">
        <v>41291</v>
      </c>
      <c r="N6872" t="s">
        <v>43166</v>
      </c>
      <c r="O6872" t="s">
        <v>43167</v>
      </c>
      <c r="P6872">
        <v>0</v>
      </c>
      <c r="Q6872">
        <v>0</v>
      </c>
      <c r="R6872" t="s">
        <v>43173</v>
      </c>
      <c r="S6872" t="s">
        <v>43374</v>
      </c>
      <c r="T6872" t="s">
        <v>44828</v>
      </c>
      <c r="U6872" t="s">
        <v>50772</v>
      </c>
      <c r="W6872" t="s">
        <v>41291</v>
      </c>
      <c r="X6872" t="s">
        <v>43174</v>
      </c>
    </row>
    <row r="6873" spans="1:24">
      <c r="A6873">
        <f>HYPERLINK("https://www.philgeps.gov.ph/GEPSNONPILOT/Tender/SplashBidNoticeAbstractUI.aspx?menuIndex=3&amp;refID=7076614&amp;Result=3","7076614")</f>
        <v>0</v>
      </c>
      <c r="B6873" t="s">
        <v>77</v>
      </c>
      <c r="C6873" t="s">
        <v>9963</v>
      </c>
      <c r="D6873" t="s">
        <v>17419</v>
      </c>
      <c r="E6873" t="s">
        <v>23442</v>
      </c>
      <c r="F6873" t="s">
        <v>30052</v>
      </c>
      <c r="G6873" t="s">
        <v>30058</v>
      </c>
      <c r="H6873" t="s">
        <v>30067</v>
      </c>
      <c r="I6873" t="s">
        <v>3693</v>
      </c>
      <c r="J6873" t="s">
        <v>34473</v>
      </c>
      <c r="K6873" t="s">
        <v>39057</v>
      </c>
      <c r="L6873" t="s">
        <v>77</v>
      </c>
      <c r="M6873" t="s">
        <v>39366</v>
      </c>
      <c r="N6873" t="s">
        <v>43166</v>
      </c>
      <c r="O6873" t="s">
        <v>43167</v>
      </c>
      <c r="P6873">
        <v>0</v>
      </c>
      <c r="Q6873">
        <v>0</v>
      </c>
      <c r="R6873" t="s">
        <v>43173</v>
      </c>
      <c r="S6873" t="s">
        <v>43374</v>
      </c>
      <c r="T6873" t="s">
        <v>44796</v>
      </c>
      <c r="U6873" t="s">
        <v>50773</v>
      </c>
      <c r="V6873" t="s">
        <v>57544</v>
      </c>
      <c r="W6873" t="s">
        <v>39366</v>
      </c>
      <c r="X6873" t="s">
        <v>43174</v>
      </c>
    </row>
    <row r="6874" spans="1:24">
      <c r="A6874">
        <f>HYPERLINK("https://www.philgeps.gov.ph/GEPSNONPILOT/Tender/SplashBidNoticeAbstractUI.aspx?menuIndex=3&amp;refID=7076661&amp;Result=3","7076661")</f>
        <v>0</v>
      </c>
      <c r="B6874" t="s">
        <v>1863</v>
      </c>
      <c r="C6874" t="s">
        <v>9964</v>
      </c>
      <c r="D6874" t="s">
        <v>17451</v>
      </c>
      <c r="E6874" t="s">
        <v>23443</v>
      </c>
      <c r="F6874" t="s">
        <v>30052</v>
      </c>
      <c r="G6874" t="s">
        <v>30058</v>
      </c>
      <c r="H6874" t="s">
        <v>30067</v>
      </c>
      <c r="I6874" t="s">
        <v>3693</v>
      </c>
      <c r="J6874" t="s">
        <v>30209</v>
      </c>
      <c r="K6874" t="s">
        <v>39046</v>
      </c>
      <c r="M6874" t="s">
        <v>41291</v>
      </c>
      <c r="N6874" t="s">
        <v>43166</v>
      </c>
      <c r="O6874" t="s">
        <v>43167</v>
      </c>
      <c r="P6874">
        <v>0</v>
      </c>
      <c r="Q6874">
        <v>0</v>
      </c>
      <c r="R6874" t="s">
        <v>43173</v>
      </c>
      <c r="S6874" t="s">
        <v>43374</v>
      </c>
      <c r="T6874" t="s">
        <v>44828</v>
      </c>
      <c r="U6874" t="s">
        <v>50772</v>
      </c>
      <c r="W6874" t="s">
        <v>41291</v>
      </c>
      <c r="X6874" t="s">
        <v>43174</v>
      </c>
    </row>
    <row r="6875" spans="1:24">
      <c r="A6875">
        <f>HYPERLINK("https://www.philgeps.gov.ph/GEPSNONPILOT/Tender/SplashBidNoticeAbstractUI.aspx?menuIndex=3&amp;refID=7076658&amp;Result=3","7076658")</f>
        <v>0</v>
      </c>
      <c r="B6875" t="s">
        <v>2193</v>
      </c>
      <c r="C6875" t="s">
        <v>9965</v>
      </c>
      <c r="D6875" t="s">
        <v>17435</v>
      </c>
      <c r="E6875" t="s">
        <v>23444</v>
      </c>
      <c r="F6875" t="s">
        <v>30052</v>
      </c>
      <c r="G6875" t="s">
        <v>30058</v>
      </c>
      <c r="H6875" t="s">
        <v>30067</v>
      </c>
      <c r="I6875" t="s">
        <v>3693</v>
      </c>
      <c r="J6875" t="s">
        <v>34474</v>
      </c>
      <c r="K6875" t="s">
        <v>39037</v>
      </c>
      <c r="M6875" t="s">
        <v>41662</v>
      </c>
      <c r="N6875" t="s">
        <v>43166</v>
      </c>
      <c r="O6875" t="s">
        <v>43167</v>
      </c>
      <c r="P6875">
        <v>0</v>
      </c>
      <c r="Q6875">
        <v>0</v>
      </c>
      <c r="R6875" t="s">
        <v>43173</v>
      </c>
      <c r="S6875" t="s">
        <v>43374</v>
      </c>
      <c r="T6875" t="s">
        <v>44943</v>
      </c>
      <c r="U6875" t="s">
        <v>50774</v>
      </c>
      <c r="W6875" t="s">
        <v>41662</v>
      </c>
      <c r="X6875" t="s">
        <v>43174</v>
      </c>
    </row>
    <row r="6876" spans="1:24">
      <c r="A6876">
        <f>HYPERLINK("https://www.philgeps.gov.ph/GEPSNONPILOT/Tender/SplashBidNoticeAbstractUI.aspx?menuIndex=3&amp;refID=7076655&amp;Result=3","7076655")</f>
        <v>0</v>
      </c>
      <c r="B6876" t="s">
        <v>1863</v>
      </c>
      <c r="C6876" t="s">
        <v>9966</v>
      </c>
      <c r="D6876" t="s">
        <v>17451</v>
      </c>
      <c r="E6876" t="s">
        <v>23445</v>
      </c>
      <c r="F6876" t="s">
        <v>30052</v>
      </c>
      <c r="G6876" t="s">
        <v>30058</v>
      </c>
      <c r="H6876" t="s">
        <v>30067</v>
      </c>
      <c r="I6876" t="s">
        <v>3693</v>
      </c>
      <c r="J6876" t="s">
        <v>30277</v>
      </c>
      <c r="K6876" t="s">
        <v>39029</v>
      </c>
      <c r="M6876" t="s">
        <v>41291</v>
      </c>
      <c r="N6876" t="s">
        <v>43166</v>
      </c>
      <c r="O6876" t="s">
        <v>43167</v>
      </c>
      <c r="P6876">
        <v>0</v>
      </c>
      <c r="Q6876">
        <v>0</v>
      </c>
      <c r="R6876" t="s">
        <v>43173</v>
      </c>
      <c r="S6876" t="s">
        <v>43374</v>
      </c>
      <c r="T6876" t="s">
        <v>44828</v>
      </c>
      <c r="U6876" t="s">
        <v>50772</v>
      </c>
      <c r="W6876" t="s">
        <v>41291</v>
      </c>
      <c r="X6876" t="s">
        <v>43174</v>
      </c>
    </row>
    <row r="6877" spans="1:24">
      <c r="A6877">
        <f>HYPERLINK("https://www.philgeps.gov.ph/GEPSNONPILOT/Tender/SplashBidNoticeAbstractUI.aspx?menuIndex=3&amp;refID=7076563&amp;Result=3","7076563")</f>
        <v>0</v>
      </c>
      <c r="B6877" t="s">
        <v>1311</v>
      </c>
      <c r="C6877" t="s">
        <v>9967</v>
      </c>
      <c r="D6877" t="s">
        <v>17424</v>
      </c>
      <c r="E6877" t="s">
        <v>23446</v>
      </c>
      <c r="F6877" t="s">
        <v>30052</v>
      </c>
      <c r="G6877" t="s">
        <v>30059</v>
      </c>
      <c r="H6877" t="s">
        <v>15498</v>
      </c>
      <c r="I6877" t="s">
        <v>30070</v>
      </c>
      <c r="J6877" t="s">
        <v>34475</v>
      </c>
      <c r="K6877" t="s">
        <v>39019</v>
      </c>
      <c r="M6877" t="s">
        <v>40678</v>
      </c>
      <c r="N6877" t="s">
        <v>43166</v>
      </c>
      <c r="O6877" t="s">
        <v>43167</v>
      </c>
      <c r="P6877">
        <v>0</v>
      </c>
      <c r="Q6877">
        <v>0</v>
      </c>
      <c r="R6877" t="s">
        <v>43173</v>
      </c>
      <c r="S6877" t="s">
        <v>43374</v>
      </c>
      <c r="T6877" t="s">
        <v>44734</v>
      </c>
      <c r="U6877" t="s">
        <v>50775</v>
      </c>
      <c r="W6877" t="s">
        <v>40678</v>
      </c>
      <c r="X6877" t="s">
        <v>43174</v>
      </c>
    </row>
    <row r="6878" spans="1:24">
      <c r="A6878">
        <f>HYPERLINK("https://www.philgeps.gov.ph/GEPSNONPILOT/Tender/SplashBidNoticeAbstractUI.aspx?menuIndex=3&amp;refID=7076654&amp;Result=3","7076654")</f>
        <v>0</v>
      </c>
      <c r="B6878" t="s">
        <v>1899</v>
      </c>
      <c r="C6878" t="s">
        <v>9968</v>
      </c>
      <c r="D6878" t="s">
        <v>17422</v>
      </c>
      <c r="E6878" t="s">
        <v>23447</v>
      </c>
      <c r="F6878" t="s">
        <v>30052</v>
      </c>
      <c r="G6878" t="s">
        <v>30059</v>
      </c>
      <c r="H6878" t="s">
        <v>15498</v>
      </c>
      <c r="I6878" t="s">
        <v>30084</v>
      </c>
      <c r="J6878" t="s">
        <v>30594</v>
      </c>
      <c r="K6878" t="s">
        <v>39017</v>
      </c>
      <c r="M6878" t="s">
        <v>41330</v>
      </c>
      <c r="N6878" t="s">
        <v>43166</v>
      </c>
      <c r="O6878" t="s">
        <v>43167</v>
      </c>
      <c r="P6878">
        <v>0</v>
      </c>
      <c r="Q6878">
        <v>2</v>
      </c>
      <c r="R6878" t="s">
        <v>43173</v>
      </c>
      <c r="S6878" t="s">
        <v>43374</v>
      </c>
      <c r="T6878" t="s">
        <v>44714</v>
      </c>
      <c r="U6878" t="s">
        <v>49754</v>
      </c>
      <c r="W6878" t="s">
        <v>41330</v>
      </c>
      <c r="X6878" t="s">
        <v>43174</v>
      </c>
    </row>
    <row r="6879" spans="1:24">
      <c r="A6879">
        <f>HYPERLINK("https://www.philgeps.gov.ph/GEPSNONPILOT/Tender/SplashBidNoticeAbstractUI.aspx?menuIndex=3&amp;refID=7076660&amp;Result=3","7076660")</f>
        <v>0</v>
      </c>
      <c r="B6879" t="s">
        <v>1760</v>
      </c>
      <c r="C6879" t="s">
        <v>9969</v>
      </c>
      <c r="D6879" t="s">
        <v>17418</v>
      </c>
      <c r="E6879" t="s">
        <v>23448</v>
      </c>
      <c r="F6879" t="s">
        <v>30052</v>
      </c>
      <c r="G6879" t="s">
        <v>30065</v>
      </c>
      <c r="H6879" t="s">
        <v>30068</v>
      </c>
      <c r="I6879" t="s">
        <v>30068</v>
      </c>
      <c r="J6879" t="s">
        <v>34476</v>
      </c>
      <c r="K6879" t="s">
        <v>39023</v>
      </c>
      <c r="M6879" t="s">
        <v>41180</v>
      </c>
      <c r="N6879" t="s">
        <v>43166</v>
      </c>
      <c r="O6879" t="s">
        <v>43167</v>
      </c>
      <c r="P6879">
        <v>0</v>
      </c>
      <c r="Q6879">
        <v>6</v>
      </c>
      <c r="R6879" t="s">
        <v>43173</v>
      </c>
      <c r="S6879" t="s">
        <v>43374</v>
      </c>
      <c r="T6879" t="s">
        <v>44773</v>
      </c>
      <c r="U6879" t="s">
        <v>50776</v>
      </c>
      <c r="V6879" t="s">
        <v>57545</v>
      </c>
      <c r="W6879" t="s">
        <v>41180</v>
      </c>
      <c r="X6879" t="s">
        <v>43174</v>
      </c>
    </row>
    <row r="6880" spans="1:24">
      <c r="A6880">
        <f>HYPERLINK("https://www.philgeps.gov.ph/GEPSNONPILOT/Tender/SplashBidNoticeAbstractUI.aspx?menuIndex=3&amp;refID=7076648&amp;Result=3","7076648")</f>
        <v>0</v>
      </c>
      <c r="B6880" t="s">
        <v>409</v>
      </c>
      <c r="C6880" t="s">
        <v>9970</v>
      </c>
      <c r="D6880" t="s">
        <v>17473</v>
      </c>
      <c r="E6880" t="s">
        <v>23449</v>
      </c>
      <c r="F6880" t="s">
        <v>30052</v>
      </c>
      <c r="G6880" t="s">
        <v>30062</v>
      </c>
      <c r="H6880" t="s">
        <v>15498</v>
      </c>
      <c r="I6880" t="s">
        <v>4119</v>
      </c>
      <c r="J6880" t="s">
        <v>33674</v>
      </c>
      <c r="K6880" t="s">
        <v>39025</v>
      </c>
      <c r="M6880" t="s">
        <v>40032</v>
      </c>
      <c r="N6880" t="s">
        <v>43166</v>
      </c>
      <c r="O6880" t="s">
        <v>43167</v>
      </c>
      <c r="P6880">
        <v>0</v>
      </c>
      <c r="Q6880">
        <v>4</v>
      </c>
      <c r="R6880" t="s">
        <v>43173</v>
      </c>
      <c r="S6880" t="s">
        <v>43374</v>
      </c>
      <c r="T6880" t="s">
        <v>44870</v>
      </c>
      <c r="U6880" t="s">
        <v>50777</v>
      </c>
      <c r="W6880" t="s">
        <v>40032</v>
      </c>
      <c r="X6880" t="s">
        <v>43174</v>
      </c>
    </row>
    <row r="6881" spans="1:24">
      <c r="A6881">
        <f>HYPERLINK("https://www.philgeps.gov.ph/GEPSNONPILOT/Tender/SplashBidNoticeAbstractUI.aspx?menuIndex=3&amp;refID=7076642&amp;Result=3","7076642")</f>
        <v>0</v>
      </c>
      <c r="B6881" t="s">
        <v>611</v>
      </c>
      <c r="C6881" t="s">
        <v>9971</v>
      </c>
      <c r="D6881" t="s">
        <v>17415</v>
      </c>
      <c r="E6881" t="s">
        <v>23450</v>
      </c>
      <c r="F6881" t="s">
        <v>30052</v>
      </c>
      <c r="G6881" t="s">
        <v>30061</v>
      </c>
      <c r="H6881" t="s">
        <v>15498</v>
      </c>
      <c r="I6881" t="s">
        <v>30070</v>
      </c>
      <c r="J6881" t="s">
        <v>30587</v>
      </c>
      <c r="K6881" t="s">
        <v>39019</v>
      </c>
      <c r="M6881" t="s">
        <v>39913</v>
      </c>
      <c r="N6881" t="s">
        <v>43166</v>
      </c>
      <c r="O6881" t="s">
        <v>43167</v>
      </c>
      <c r="P6881">
        <v>0</v>
      </c>
      <c r="Q6881">
        <v>5</v>
      </c>
      <c r="R6881" t="s">
        <v>43173</v>
      </c>
      <c r="S6881" t="s">
        <v>43374</v>
      </c>
      <c r="T6881" t="s">
        <v>44734</v>
      </c>
      <c r="U6881" t="s">
        <v>50778</v>
      </c>
      <c r="W6881" t="s">
        <v>39913</v>
      </c>
      <c r="X6881" t="s">
        <v>43174</v>
      </c>
    </row>
    <row r="6882" spans="1:24">
      <c r="A6882">
        <f>HYPERLINK("https://www.philgeps.gov.ph/GEPSNONPILOT/Tender/SplashBidNoticeAbstractUI.aspx?menuIndex=3&amp;refID=7076508&amp;Result=3","7076508")</f>
        <v>0</v>
      </c>
      <c r="B6882" t="s">
        <v>1428</v>
      </c>
      <c r="C6882" t="s">
        <v>9972</v>
      </c>
      <c r="D6882" t="s">
        <v>17463</v>
      </c>
      <c r="E6882" t="s">
        <v>23451</v>
      </c>
      <c r="F6882" t="s">
        <v>30052</v>
      </c>
      <c r="G6882" t="s">
        <v>30058</v>
      </c>
      <c r="H6882" t="s">
        <v>30067</v>
      </c>
      <c r="I6882" t="s">
        <v>3693</v>
      </c>
      <c r="J6882" t="s">
        <v>30230</v>
      </c>
      <c r="K6882" t="s">
        <v>39023</v>
      </c>
      <c r="M6882" t="s">
        <v>40806</v>
      </c>
      <c r="N6882" t="s">
        <v>43166</v>
      </c>
      <c r="O6882" t="s">
        <v>43167</v>
      </c>
      <c r="P6882">
        <v>0</v>
      </c>
      <c r="Q6882">
        <v>2</v>
      </c>
      <c r="R6882" t="s">
        <v>43173</v>
      </c>
      <c r="S6882" t="s">
        <v>43374</v>
      </c>
      <c r="T6882" t="s">
        <v>44944</v>
      </c>
      <c r="U6882" t="s">
        <v>50779</v>
      </c>
      <c r="W6882" t="s">
        <v>40806</v>
      </c>
      <c r="X6882" t="s">
        <v>43174</v>
      </c>
    </row>
    <row r="6883" spans="1:24">
      <c r="A6883">
        <f>HYPERLINK("https://www.philgeps.gov.ph/GEPSNONPILOT/Tender/SplashBidNoticeAbstractUI.aspx?menuIndex=3&amp;refID=7076634&amp;Result=3","7076634")</f>
        <v>0</v>
      </c>
      <c r="B6883" t="s">
        <v>1779</v>
      </c>
      <c r="C6883" t="s">
        <v>9973</v>
      </c>
      <c r="D6883" t="s">
        <v>17444</v>
      </c>
      <c r="E6883" t="s">
        <v>23452</v>
      </c>
      <c r="F6883" t="s">
        <v>30052</v>
      </c>
      <c r="G6883" t="s">
        <v>30058</v>
      </c>
      <c r="H6883" t="s">
        <v>15498</v>
      </c>
      <c r="I6883" t="s">
        <v>30088</v>
      </c>
      <c r="J6883" t="s">
        <v>31447</v>
      </c>
      <c r="K6883" t="s">
        <v>39034</v>
      </c>
      <c r="M6883" t="s">
        <v>41621</v>
      </c>
      <c r="N6883" t="s">
        <v>43166</v>
      </c>
      <c r="O6883" t="s">
        <v>43167</v>
      </c>
      <c r="P6883">
        <v>0</v>
      </c>
      <c r="Q6883">
        <v>4</v>
      </c>
      <c r="R6883" t="s">
        <v>43173</v>
      </c>
      <c r="S6883" t="s">
        <v>43374</v>
      </c>
      <c r="T6883" t="s">
        <v>44758</v>
      </c>
      <c r="U6883" t="s">
        <v>50780</v>
      </c>
      <c r="V6883" t="s">
        <v>57534</v>
      </c>
      <c r="W6883" t="s">
        <v>41621</v>
      </c>
      <c r="X6883" t="s">
        <v>43174</v>
      </c>
    </row>
    <row r="6884" spans="1:24">
      <c r="A6884">
        <f>HYPERLINK("https://www.philgeps.gov.ph/GEPSNONPILOT/Tender/SplashBidNoticeAbstractUI.aspx?menuIndex=3&amp;refID=7076591&amp;Result=3","7076591")</f>
        <v>0</v>
      </c>
      <c r="B6884" t="s">
        <v>861</v>
      </c>
      <c r="C6884" t="s">
        <v>9974</v>
      </c>
      <c r="D6884" t="s">
        <v>17413</v>
      </c>
      <c r="E6884" t="s">
        <v>23453</v>
      </c>
      <c r="F6884" t="s">
        <v>30052</v>
      </c>
      <c r="G6884" t="s">
        <v>30058</v>
      </c>
      <c r="H6884" t="s">
        <v>30068</v>
      </c>
      <c r="I6884" t="s">
        <v>3693</v>
      </c>
      <c r="J6884" t="s">
        <v>34477</v>
      </c>
      <c r="K6884" t="s">
        <v>39026</v>
      </c>
      <c r="M6884" t="s">
        <v>40178</v>
      </c>
      <c r="N6884" t="s">
        <v>43166</v>
      </c>
      <c r="O6884" t="s">
        <v>43167</v>
      </c>
      <c r="P6884">
        <v>0</v>
      </c>
      <c r="Q6884">
        <v>2</v>
      </c>
      <c r="R6884" t="s">
        <v>43173</v>
      </c>
      <c r="S6884" t="s">
        <v>43374</v>
      </c>
      <c r="T6884" t="s">
        <v>44679</v>
      </c>
      <c r="U6884" t="s">
        <v>50781</v>
      </c>
      <c r="W6884" t="s">
        <v>40178</v>
      </c>
      <c r="X6884" t="s">
        <v>43174</v>
      </c>
    </row>
    <row r="6885" spans="1:24">
      <c r="A6885">
        <f>HYPERLINK("https://www.philgeps.gov.ph/GEPSNONPILOT/Tender/SplashBidNoticeAbstractUI.aspx?menuIndex=3&amp;refID=7076641&amp;Result=3","7076641")</f>
        <v>0</v>
      </c>
      <c r="B6885" t="s">
        <v>2039</v>
      </c>
      <c r="C6885" t="s">
        <v>9975</v>
      </c>
      <c r="D6885" t="s">
        <v>17452</v>
      </c>
      <c r="E6885" t="s">
        <v>23454</v>
      </c>
      <c r="F6885" t="s">
        <v>30052</v>
      </c>
      <c r="G6885" t="s">
        <v>30058</v>
      </c>
      <c r="H6885" t="s">
        <v>30068</v>
      </c>
      <c r="I6885" t="s">
        <v>30068</v>
      </c>
      <c r="J6885" t="s">
        <v>34478</v>
      </c>
      <c r="K6885" t="s">
        <v>39026</v>
      </c>
      <c r="M6885" t="s">
        <v>41488</v>
      </c>
      <c r="N6885" t="s">
        <v>43166</v>
      </c>
      <c r="O6885" t="s">
        <v>43167</v>
      </c>
      <c r="P6885">
        <v>0</v>
      </c>
      <c r="Q6885">
        <v>2</v>
      </c>
      <c r="R6885" t="s">
        <v>43173</v>
      </c>
      <c r="S6885" t="s">
        <v>43374</v>
      </c>
      <c r="T6885" t="s">
        <v>44773</v>
      </c>
      <c r="U6885" t="s">
        <v>50782</v>
      </c>
      <c r="W6885" t="s">
        <v>41488</v>
      </c>
      <c r="X6885" t="s">
        <v>43174</v>
      </c>
    </row>
    <row r="6886" spans="1:24">
      <c r="A6886">
        <f>HYPERLINK("https://www.philgeps.gov.ph/GEPSNONPILOT/Tender/SplashBidNoticeAbstractUI.aspx?menuIndex=3&amp;refID=7076651&amp;Result=3","7076651")</f>
        <v>0</v>
      </c>
      <c r="B6886" t="s">
        <v>777</v>
      </c>
      <c r="C6886" t="s">
        <v>9976</v>
      </c>
      <c r="E6886" t="s">
        <v>23455</v>
      </c>
      <c r="F6886" t="s">
        <v>30052</v>
      </c>
      <c r="G6886" t="s">
        <v>30058</v>
      </c>
      <c r="H6886" t="s">
        <v>30067</v>
      </c>
      <c r="I6886" t="s">
        <v>3693</v>
      </c>
      <c r="J6886" t="s">
        <v>34479</v>
      </c>
      <c r="K6886" t="s">
        <v>39025</v>
      </c>
      <c r="M6886" t="s">
        <v>40092</v>
      </c>
      <c r="N6886" t="s">
        <v>43166</v>
      </c>
      <c r="O6886" t="s">
        <v>43167</v>
      </c>
      <c r="P6886">
        <v>0</v>
      </c>
      <c r="Q6886">
        <v>0</v>
      </c>
      <c r="R6886" t="s">
        <v>43173</v>
      </c>
      <c r="S6886" t="s">
        <v>43374</v>
      </c>
      <c r="T6886" t="s">
        <v>44807</v>
      </c>
      <c r="U6886" t="s">
        <v>50783</v>
      </c>
      <c r="W6886" t="s">
        <v>40092</v>
      </c>
      <c r="X6886" t="s">
        <v>43174</v>
      </c>
    </row>
    <row r="6887" spans="1:24">
      <c r="A6887">
        <f>HYPERLINK("https://www.philgeps.gov.ph/GEPSNONPILOT/Tender/SplashBidNoticeAbstractUI.aspx?menuIndex=3&amp;refID=7076593&amp;Result=3","7076593")</f>
        <v>0</v>
      </c>
      <c r="B6887" t="s">
        <v>1779</v>
      </c>
      <c r="C6887" t="s">
        <v>9977</v>
      </c>
      <c r="D6887" t="s">
        <v>17444</v>
      </c>
      <c r="E6887" t="s">
        <v>23456</v>
      </c>
      <c r="F6887" t="s">
        <v>30052</v>
      </c>
      <c r="G6887" t="s">
        <v>30058</v>
      </c>
      <c r="H6887" t="s">
        <v>15498</v>
      </c>
      <c r="I6887" t="s">
        <v>30084</v>
      </c>
      <c r="J6887" t="s">
        <v>34480</v>
      </c>
      <c r="K6887" t="s">
        <v>39037</v>
      </c>
      <c r="M6887" t="s">
        <v>41621</v>
      </c>
      <c r="N6887" t="s">
        <v>43166</v>
      </c>
      <c r="O6887" t="s">
        <v>43167</v>
      </c>
      <c r="P6887">
        <v>0</v>
      </c>
      <c r="Q6887">
        <v>9</v>
      </c>
      <c r="R6887" t="s">
        <v>43173</v>
      </c>
      <c r="S6887" t="s">
        <v>43374</v>
      </c>
      <c r="T6887" t="s">
        <v>44758</v>
      </c>
      <c r="U6887" t="s">
        <v>50784</v>
      </c>
      <c r="V6887" t="s">
        <v>57534</v>
      </c>
      <c r="W6887" t="s">
        <v>41621</v>
      </c>
      <c r="X6887" t="s">
        <v>43174</v>
      </c>
    </row>
    <row r="6888" spans="1:24">
      <c r="A6888">
        <f>HYPERLINK("https://www.philgeps.gov.ph/GEPSNONPILOT/Tender/SplashBidNoticeAbstractUI.aspx?menuIndex=3&amp;refID=7076720&amp;Result=3","7076720")</f>
        <v>0</v>
      </c>
      <c r="B6888" t="s">
        <v>2183</v>
      </c>
      <c r="C6888" t="s">
        <v>9978</v>
      </c>
      <c r="D6888" t="s">
        <v>17482</v>
      </c>
      <c r="E6888" t="s">
        <v>23457</v>
      </c>
      <c r="F6888" t="s">
        <v>30052</v>
      </c>
      <c r="G6888" t="s">
        <v>30059</v>
      </c>
      <c r="H6888" t="s">
        <v>15498</v>
      </c>
      <c r="I6888" t="s">
        <v>3852</v>
      </c>
      <c r="J6888" t="s">
        <v>34481</v>
      </c>
      <c r="K6888" t="s">
        <v>39017</v>
      </c>
      <c r="M6888" t="s">
        <v>41652</v>
      </c>
      <c r="N6888" t="s">
        <v>43166</v>
      </c>
      <c r="O6888" t="s">
        <v>43167</v>
      </c>
      <c r="P6888">
        <v>0</v>
      </c>
      <c r="Q6888">
        <v>2</v>
      </c>
      <c r="R6888" t="s">
        <v>43173</v>
      </c>
      <c r="S6888" t="s">
        <v>43374</v>
      </c>
      <c r="T6888" t="s">
        <v>44841</v>
      </c>
      <c r="U6888" t="s">
        <v>50749</v>
      </c>
      <c r="W6888" t="s">
        <v>41652</v>
      </c>
      <c r="X6888" t="s">
        <v>43174</v>
      </c>
    </row>
    <row r="6889" spans="1:24">
      <c r="A6889">
        <f>HYPERLINK("https://www.philgeps.gov.ph/GEPSNONPILOT/Tender/SplashBidNoticeAbstractUI.aspx?menuIndex=3&amp;refID=7076711&amp;Result=3","7076711")</f>
        <v>0</v>
      </c>
      <c r="B6889" t="s">
        <v>1863</v>
      </c>
      <c r="C6889" t="s">
        <v>9979</v>
      </c>
      <c r="D6889" t="s">
        <v>17451</v>
      </c>
      <c r="E6889" t="s">
        <v>23458</v>
      </c>
      <c r="F6889" t="s">
        <v>30052</v>
      </c>
      <c r="G6889" t="s">
        <v>30058</v>
      </c>
      <c r="H6889" t="s">
        <v>30067</v>
      </c>
      <c r="I6889" t="s">
        <v>3693</v>
      </c>
      <c r="J6889" t="s">
        <v>30277</v>
      </c>
      <c r="K6889" t="s">
        <v>39029</v>
      </c>
      <c r="M6889" t="s">
        <v>41291</v>
      </c>
      <c r="N6889" t="s">
        <v>43166</v>
      </c>
      <c r="O6889" t="s">
        <v>43167</v>
      </c>
      <c r="P6889">
        <v>0</v>
      </c>
      <c r="Q6889">
        <v>0</v>
      </c>
      <c r="R6889" t="s">
        <v>43173</v>
      </c>
      <c r="S6889" t="s">
        <v>43374</v>
      </c>
      <c r="T6889" t="s">
        <v>44828</v>
      </c>
      <c r="U6889" t="s">
        <v>50772</v>
      </c>
      <c r="W6889" t="s">
        <v>41291</v>
      </c>
      <c r="X6889" t="s">
        <v>43174</v>
      </c>
    </row>
    <row r="6890" spans="1:24">
      <c r="A6890">
        <f>HYPERLINK("https://www.philgeps.gov.ph/GEPSNONPILOT/Tender/SplashBidNoticeAbstractUI.aspx?menuIndex=3&amp;refID=7076633&amp;Result=3","7076633")</f>
        <v>0</v>
      </c>
      <c r="B6890" t="s">
        <v>2194</v>
      </c>
      <c r="C6890" t="s">
        <v>9980</v>
      </c>
      <c r="D6890" t="s">
        <v>17450</v>
      </c>
      <c r="E6890" t="s">
        <v>23459</v>
      </c>
      <c r="F6890" t="s">
        <v>30052</v>
      </c>
      <c r="G6890" t="s">
        <v>30059</v>
      </c>
      <c r="H6890" t="s">
        <v>15498</v>
      </c>
      <c r="I6890" t="s">
        <v>3736</v>
      </c>
      <c r="J6890" t="s">
        <v>34482</v>
      </c>
      <c r="K6890" t="s">
        <v>39019</v>
      </c>
      <c r="M6890" t="s">
        <v>41663</v>
      </c>
      <c r="N6890" t="s">
        <v>43166</v>
      </c>
      <c r="O6890" t="s">
        <v>43167</v>
      </c>
      <c r="P6890">
        <v>0</v>
      </c>
      <c r="Q6890">
        <v>0</v>
      </c>
      <c r="R6890" t="s">
        <v>43173</v>
      </c>
      <c r="S6890" t="s">
        <v>43374</v>
      </c>
      <c r="T6890" t="s">
        <v>44734</v>
      </c>
      <c r="U6890" t="s">
        <v>50785</v>
      </c>
      <c r="V6890" t="s">
        <v>57546</v>
      </c>
      <c r="W6890" t="s">
        <v>41663</v>
      </c>
      <c r="X6890" t="s">
        <v>43174</v>
      </c>
    </row>
    <row r="6891" spans="1:24">
      <c r="A6891">
        <f>HYPERLINK("https://www.philgeps.gov.ph/GEPSNONPILOT/Tender/SplashBidNoticeAbstractUI.aspx?menuIndex=3&amp;refID=7076599&amp;Result=3","7076599")</f>
        <v>0</v>
      </c>
      <c r="B6891" t="s">
        <v>409</v>
      </c>
      <c r="C6891" t="s">
        <v>7299</v>
      </c>
      <c r="D6891" t="s">
        <v>17473</v>
      </c>
      <c r="E6891" t="s">
        <v>23460</v>
      </c>
      <c r="F6891" t="s">
        <v>30052</v>
      </c>
      <c r="G6891" t="s">
        <v>30059</v>
      </c>
      <c r="H6891" t="s">
        <v>15498</v>
      </c>
      <c r="I6891" t="s">
        <v>30081</v>
      </c>
      <c r="J6891" t="s">
        <v>30350</v>
      </c>
      <c r="K6891" t="s">
        <v>39025</v>
      </c>
      <c r="M6891" t="s">
        <v>40032</v>
      </c>
      <c r="N6891" t="s">
        <v>43166</v>
      </c>
      <c r="O6891" t="s">
        <v>43167</v>
      </c>
      <c r="P6891">
        <v>0</v>
      </c>
      <c r="Q6891">
        <v>0</v>
      </c>
      <c r="R6891" t="s">
        <v>43173</v>
      </c>
      <c r="S6891" t="s">
        <v>43374</v>
      </c>
      <c r="T6891" t="s">
        <v>44870</v>
      </c>
      <c r="U6891" t="s">
        <v>50786</v>
      </c>
      <c r="W6891" t="s">
        <v>40032</v>
      </c>
      <c r="X6891" t="s">
        <v>43174</v>
      </c>
    </row>
    <row r="6892" spans="1:24">
      <c r="A6892">
        <f>HYPERLINK("https://www.philgeps.gov.ph/GEPSNONPILOT/Tender/SplashBidNoticeAbstractUI.aspx?menuIndex=3&amp;refID=7076697&amp;Result=3","7076697")</f>
        <v>0</v>
      </c>
      <c r="B6892" t="s">
        <v>2195</v>
      </c>
      <c r="C6892" t="s">
        <v>9981</v>
      </c>
      <c r="D6892" t="s">
        <v>17470</v>
      </c>
      <c r="E6892" t="s">
        <v>23461</v>
      </c>
      <c r="F6892" t="s">
        <v>30052</v>
      </c>
      <c r="G6892" t="s">
        <v>30058</v>
      </c>
      <c r="H6892" t="s">
        <v>30067</v>
      </c>
      <c r="I6892" t="s">
        <v>3693</v>
      </c>
      <c r="J6892" t="s">
        <v>30308</v>
      </c>
      <c r="K6892" t="s">
        <v>39029</v>
      </c>
      <c r="L6892" t="s">
        <v>2195</v>
      </c>
      <c r="M6892" t="s">
        <v>41664</v>
      </c>
      <c r="N6892" t="s">
        <v>43166</v>
      </c>
      <c r="O6892" t="s">
        <v>43167</v>
      </c>
      <c r="P6892">
        <v>0</v>
      </c>
      <c r="Q6892">
        <v>0</v>
      </c>
      <c r="R6892" t="s">
        <v>43173</v>
      </c>
      <c r="S6892" t="s">
        <v>43374</v>
      </c>
      <c r="T6892" t="s">
        <v>44777</v>
      </c>
      <c r="U6892" t="s">
        <v>50787</v>
      </c>
      <c r="W6892" t="s">
        <v>41664</v>
      </c>
      <c r="X6892" t="s">
        <v>43174</v>
      </c>
    </row>
    <row r="6893" spans="1:24">
      <c r="A6893">
        <f>HYPERLINK("https://www.philgeps.gov.ph/GEPSNONPILOT/Tender/SplashBidNoticeAbstractUI.aspx?menuIndex=3&amp;refID=7076695&amp;Result=3","7076695")</f>
        <v>0</v>
      </c>
      <c r="B6893" t="s">
        <v>2126</v>
      </c>
      <c r="C6893" t="s">
        <v>9982</v>
      </c>
      <c r="D6893" t="s">
        <v>17432</v>
      </c>
      <c r="E6893" t="s">
        <v>23462</v>
      </c>
      <c r="F6893" t="s">
        <v>30052</v>
      </c>
      <c r="G6893" t="s">
        <v>30058</v>
      </c>
      <c r="H6893" t="s">
        <v>15498</v>
      </c>
      <c r="I6893" t="s">
        <v>30074</v>
      </c>
      <c r="J6893" t="s">
        <v>34483</v>
      </c>
      <c r="K6893" t="s">
        <v>39029</v>
      </c>
      <c r="M6893" t="s">
        <v>41590</v>
      </c>
      <c r="N6893" t="s">
        <v>43166</v>
      </c>
      <c r="O6893" t="s">
        <v>43167</v>
      </c>
      <c r="P6893">
        <v>0</v>
      </c>
      <c r="Q6893">
        <v>0</v>
      </c>
      <c r="R6893" t="s">
        <v>43173</v>
      </c>
      <c r="S6893" t="s">
        <v>43374</v>
      </c>
      <c r="T6893" t="s">
        <v>44991</v>
      </c>
      <c r="U6893" t="s">
        <v>50788</v>
      </c>
      <c r="V6893" t="s">
        <v>57526</v>
      </c>
      <c r="W6893" t="s">
        <v>41590</v>
      </c>
      <c r="X6893" t="s">
        <v>43174</v>
      </c>
    </row>
    <row r="6894" spans="1:24">
      <c r="A6894">
        <f>HYPERLINK("https://www.philgeps.gov.ph/GEPSNONPILOT/Tender/SplashBidNoticeAbstractUI.aspx?menuIndex=3&amp;refID=7076693&amp;Result=3","7076693")</f>
        <v>0</v>
      </c>
      <c r="B6894" t="s">
        <v>1863</v>
      </c>
      <c r="C6894" t="s">
        <v>9983</v>
      </c>
      <c r="D6894" t="s">
        <v>17451</v>
      </c>
      <c r="E6894" t="s">
        <v>23463</v>
      </c>
      <c r="F6894" t="s">
        <v>30052</v>
      </c>
      <c r="G6894" t="s">
        <v>30058</v>
      </c>
      <c r="H6894" t="s">
        <v>30067</v>
      </c>
      <c r="I6894" t="s">
        <v>3693</v>
      </c>
      <c r="J6894" t="s">
        <v>30277</v>
      </c>
      <c r="K6894" t="s">
        <v>39029</v>
      </c>
      <c r="M6894" t="s">
        <v>41291</v>
      </c>
      <c r="N6894" t="s">
        <v>43166</v>
      </c>
      <c r="O6894" t="s">
        <v>43167</v>
      </c>
      <c r="P6894">
        <v>0</v>
      </c>
      <c r="Q6894">
        <v>0</v>
      </c>
      <c r="R6894" t="s">
        <v>43173</v>
      </c>
      <c r="S6894" t="s">
        <v>43374</v>
      </c>
      <c r="T6894" t="s">
        <v>44828</v>
      </c>
      <c r="U6894" t="s">
        <v>50772</v>
      </c>
      <c r="W6894" t="s">
        <v>41291</v>
      </c>
      <c r="X6894" t="s">
        <v>43174</v>
      </c>
    </row>
    <row r="6895" spans="1:24">
      <c r="A6895">
        <f>HYPERLINK("https://www.philgeps.gov.ph/GEPSNONPILOT/Tender/SplashBidNoticeAbstractUI.aspx?menuIndex=3&amp;refID=7076690&amp;Result=3","7076690")</f>
        <v>0</v>
      </c>
      <c r="B6895" t="s">
        <v>1863</v>
      </c>
      <c r="C6895" t="s">
        <v>9984</v>
      </c>
      <c r="D6895" t="s">
        <v>17451</v>
      </c>
      <c r="E6895" t="s">
        <v>23464</v>
      </c>
      <c r="F6895" t="s">
        <v>30052</v>
      </c>
      <c r="G6895" t="s">
        <v>30058</v>
      </c>
      <c r="H6895" t="s">
        <v>30067</v>
      </c>
      <c r="I6895" t="s">
        <v>3693</v>
      </c>
      <c r="J6895" t="s">
        <v>30277</v>
      </c>
      <c r="K6895" t="s">
        <v>39029</v>
      </c>
      <c r="M6895" t="s">
        <v>41291</v>
      </c>
      <c r="N6895" t="s">
        <v>43166</v>
      </c>
      <c r="O6895" t="s">
        <v>43167</v>
      </c>
      <c r="P6895">
        <v>0</v>
      </c>
      <c r="Q6895">
        <v>0</v>
      </c>
      <c r="R6895" t="s">
        <v>43173</v>
      </c>
      <c r="S6895" t="s">
        <v>43374</v>
      </c>
      <c r="T6895" t="s">
        <v>44828</v>
      </c>
      <c r="U6895" t="s">
        <v>50772</v>
      </c>
      <c r="W6895" t="s">
        <v>41291</v>
      </c>
      <c r="X6895" t="s">
        <v>43174</v>
      </c>
    </row>
    <row r="6896" spans="1:24">
      <c r="A6896">
        <f>HYPERLINK("https://www.philgeps.gov.ph/GEPSNONPILOT/Tender/SplashBidNoticeAbstractUI.aspx?menuIndex=3&amp;refID=7076703&amp;Result=3","7076703")</f>
        <v>0</v>
      </c>
      <c r="B6896" t="s">
        <v>2196</v>
      </c>
      <c r="C6896" t="s">
        <v>9985</v>
      </c>
      <c r="D6896" t="s">
        <v>17470</v>
      </c>
      <c r="E6896" t="s">
        <v>18659</v>
      </c>
      <c r="F6896" t="s">
        <v>30052</v>
      </c>
      <c r="G6896" t="s">
        <v>30058</v>
      </c>
      <c r="H6896" t="s">
        <v>15498</v>
      </c>
      <c r="I6896" t="s">
        <v>30074</v>
      </c>
      <c r="J6896" t="s">
        <v>30263</v>
      </c>
      <c r="K6896" t="s">
        <v>39025</v>
      </c>
      <c r="M6896" t="s">
        <v>41665</v>
      </c>
      <c r="N6896" t="s">
        <v>43166</v>
      </c>
      <c r="O6896" t="s">
        <v>43167</v>
      </c>
      <c r="P6896">
        <v>0</v>
      </c>
      <c r="Q6896">
        <v>0</v>
      </c>
      <c r="R6896" t="s">
        <v>43173</v>
      </c>
      <c r="S6896" t="s">
        <v>43374</v>
      </c>
      <c r="T6896" t="s">
        <v>44714</v>
      </c>
      <c r="U6896" t="s">
        <v>50789</v>
      </c>
      <c r="W6896" t="s">
        <v>41665</v>
      </c>
      <c r="X6896" t="s">
        <v>43174</v>
      </c>
    </row>
    <row r="6897" spans="1:24">
      <c r="A6897">
        <f>HYPERLINK("https://www.philgeps.gov.ph/GEPSNONPILOT/Tender/SplashBidNoticeAbstractUI.aspx?menuIndex=3&amp;refID=7076688&amp;Result=3","7076688")</f>
        <v>0</v>
      </c>
      <c r="B6897" t="s">
        <v>2197</v>
      </c>
      <c r="C6897" t="s">
        <v>9986</v>
      </c>
      <c r="D6897" t="s">
        <v>17444</v>
      </c>
      <c r="E6897" t="s">
        <v>23465</v>
      </c>
      <c r="F6897" t="s">
        <v>30055</v>
      </c>
      <c r="G6897" t="s">
        <v>30059</v>
      </c>
      <c r="H6897" t="s">
        <v>15498</v>
      </c>
      <c r="I6897" t="s">
        <v>30081</v>
      </c>
      <c r="J6897" t="s">
        <v>34484</v>
      </c>
      <c r="K6897" t="s">
        <v>39029</v>
      </c>
      <c r="M6897" t="s">
        <v>41666</v>
      </c>
      <c r="N6897" t="s">
        <v>43166</v>
      </c>
      <c r="O6897" t="s">
        <v>43167</v>
      </c>
      <c r="P6897">
        <v>0</v>
      </c>
      <c r="Q6897">
        <v>0</v>
      </c>
      <c r="R6897" t="s">
        <v>43173</v>
      </c>
      <c r="S6897" t="s">
        <v>43374</v>
      </c>
      <c r="T6897" t="s">
        <v>44737</v>
      </c>
      <c r="U6897" t="s">
        <v>50790</v>
      </c>
      <c r="W6897" t="s">
        <v>41666</v>
      </c>
      <c r="X6897" t="s">
        <v>43174</v>
      </c>
    </row>
    <row r="6898" spans="1:24">
      <c r="A6898">
        <f>HYPERLINK("https://www.philgeps.gov.ph/GEPSNONPILOT/Tender/SplashBidNoticeAbstractUI.aspx?menuIndex=3&amp;refID=7076686&amp;Result=3","7076686")</f>
        <v>0</v>
      </c>
      <c r="B6898" t="s">
        <v>2198</v>
      </c>
      <c r="C6898" t="s">
        <v>9987</v>
      </c>
      <c r="D6898" t="s">
        <v>17446</v>
      </c>
      <c r="E6898" t="s">
        <v>17774</v>
      </c>
      <c r="F6898" t="s">
        <v>30052</v>
      </c>
      <c r="G6898" t="s">
        <v>30058</v>
      </c>
      <c r="H6898" t="s">
        <v>30067</v>
      </c>
      <c r="I6898" t="s">
        <v>30093</v>
      </c>
      <c r="J6898" t="s">
        <v>34485</v>
      </c>
      <c r="K6898" t="s">
        <v>39029</v>
      </c>
      <c r="M6898" t="s">
        <v>41667</v>
      </c>
      <c r="N6898" t="s">
        <v>43166</v>
      </c>
      <c r="O6898" t="s">
        <v>43167</v>
      </c>
      <c r="P6898">
        <v>0</v>
      </c>
      <c r="Q6898">
        <v>0</v>
      </c>
      <c r="R6898" t="s">
        <v>43173</v>
      </c>
      <c r="S6898" t="s">
        <v>43374</v>
      </c>
      <c r="T6898" t="s">
        <v>45051</v>
      </c>
      <c r="U6898" t="s">
        <v>50791</v>
      </c>
      <c r="W6898" t="s">
        <v>41667</v>
      </c>
      <c r="X6898" t="s">
        <v>43174</v>
      </c>
    </row>
    <row r="6899" spans="1:24">
      <c r="A6899">
        <f>HYPERLINK("https://www.philgeps.gov.ph/GEPSNONPILOT/Tender/SplashBidNoticeAbstractUI.aspx?menuIndex=3&amp;refID=7076704&amp;Result=3","7076704")</f>
        <v>0</v>
      </c>
      <c r="B6899" t="s">
        <v>2199</v>
      </c>
      <c r="C6899" t="s">
        <v>9988</v>
      </c>
      <c r="D6899" t="s">
        <v>17441</v>
      </c>
      <c r="E6899" t="s">
        <v>23466</v>
      </c>
      <c r="F6899" t="s">
        <v>30052</v>
      </c>
      <c r="G6899" t="s">
        <v>30058</v>
      </c>
      <c r="H6899" t="s">
        <v>30068</v>
      </c>
      <c r="I6899" t="s">
        <v>30166</v>
      </c>
      <c r="J6899" t="s">
        <v>34486</v>
      </c>
      <c r="K6899" t="s">
        <v>39031</v>
      </c>
      <c r="M6899" t="s">
        <v>41668</v>
      </c>
      <c r="N6899" t="s">
        <v>43166</v>
      </c>
      <c r="O6899" t="s">
        <v>43167</v>
      </c>
      <c r="P6899">
        <v>0</v>
      </c>
      <c r="Q6899">
        <v>2</v>
      </c>
      <c r="R6899" t="s">
        <v>43173</v>
      </c>
      <c r="S6899" t="s">
        <v>43374</v>
      </c>
      <c r="T6899" t="s">
        <v>44677</v>
      </c>
      <c r="U6899" t="s">
        <v>50792</v>
      </c>
      <c r="V6899" t="s">
        <v>57547</v>
      </c>
      <c r="W6899" t="s">
        <v>41668</v>
      </c>
      <c r="X6899" t="s">
        <v>43174</v>
      </c>
    </row>
    <row r="6900" spans="1:24">
      <c r="A6900">
        <f>HYPERLINK("https://www.philgeps.gov.ph/GEPSNONPILOT/Tender/SplashBidNoticeAbstractUI.aspx?menuIndex=3&amp;refID=7076683&amp;Result=3","7076683")</f>
        <v>0</v>
      </c>
      <c r="B6900" t="s">
        <v>611</v>
      </c>
      <c r="C6900" t="s">
        <v>9989</v>
      </c>
      <c r="D6900" t="s">
        <v>17415</v>
      </c>
      <c r="E6900" t="s">
        <v>23467</v>
      </c>
      <c r="F6900" t="s">
        <v>30052</v>
      </c>
      <c r="G6900" t="s">
        <v>30059</v>
      </c>
      <c r="H6900" t="s">
        <v>15498</v>
      </c>
      <c r="I6900" t="s">
        <v>30100</v>
      </c>
      <c r="J6900" t="s">
        <v>30248</v>
      </c>
      <c r="K6900" t="s">
        <v>39019</v>
      </c>
      <c r="M6900" t="s">
        <v>39913</v>
      </c>
      <c r="N6900" t="s">
        <v>43166</v>
      </c>
      <c r="O6900" t="s">
        <v>43167</v>
      </c>
      <c r="P6900">
        <v>0</v>
      </c>
      <c r="Q6900">
        <v>1</v>
      </c>
      <c r="R6900" t="s">
        <v>43173</v>
      </c>
      <c r="S6900" t="s">
        <v>43374</v>
      </c>
      <c r="T6900" t="s">
        <v>44728</v>
      </c>
      <c r="U6900" t="s">
        <v>50793</v>
      </c>
      <c r="W6900" t="s">
        <v>39913</v>
      </c>
      <c r="X6900" t="s">
        <v>43174</v>
      </c>
    </row>
    <row r="6901" spans="1:24">
      <c r="A6901">
        <f>HYPERLINK("https://www.philgeps.gov.ph/GEPSNONPILOT/Tender/SplashBidNoticeAbstractUI.aspx?menuIndex=3&amp;refID=7076713&amp;Result=3","7076713")</f>
        <v>0</v>
      </c>
      <c r="B6901" t="s">
        <v>1899</v>
      </c>
      <c r="C6901" t="s">
        <v>9990</v>
      </c>
      <c r="D6901" t="s">
        <v>17422</v>
      </c>
      <c r="E6901" t="s">
        <v>23468</v>
      </c>
      <c r="F6901" t="s">
        <v>30052</v>
      </c>
      <c r="G6901" t="s">
        <v>30059</v>
      </c>
      <c r="H6901" t="s">
        <v>15498</v>
      </c>
      <c r="I6901" t="s">
        <v>30084</v>
      </c>
      <c r="J6901" t="s">
        <v>30538</v>
      </c>
      <c r="K6901" t="s">
        <v>39017</v>
      </c>
      <c r="M6901" t="s">
        <v>41330</v>
      </c>
      <c r="N6901" t="s">
        <v>43166</v>
      </c>
      <c r="O6901" t="s">
        <v>43167</v>
      </c>
      <c r="P6901">
        <v>0</v>
      </c>
      <c r="Q6901">
        <v>0</v>
      </c>
      <c r="R6901" t="s">
        <v>43173</v>
      </c>
      <c r="S6901" t="s">
        <v>43374</v>
      </c>
      <c r="T6901" t="s">
        <v>44714</v>
      </c>
      <c r="U6901" t="s">
        <v>49754</v>
      </c>
      <c r="W6901" t="s">
        <v>41330</v>
      </c>
      <c r="X6901" t="s">
        <v>43174</v>
      </c>
    </row>
    <row r="6902" spans="1:24">
      <c r="A6902">
        <f>HYPERLINK("https://www.philgeps.gov.ph/GEPSNONPILOT/Tender/SplashBidNoticeAbstractUI.aspx?menuIndex=3&amp;refID=7076691&amp;Result=3","7076691")</f>
        <v>0</v>
      </c>
      <c r="B6902" t="s">
        <v>2039</v>
      </c>
      <c r="C6902" t="s">
        <v>9991</v>
      </c>
      <c r="D6902" t="s">
        <v>17452</v>
      </c>
      <c r="E6902" t="s">
        <v>23469</v>
      </c>
      <c r="F6902" t="s">
        <v>30052</v>
      </c>
      <c r="G6902" t="s">
        <v>30058</v>
      </c>
      <c r="H6902" t="s">
        <v>30068</v>
      </c>
      <c r="I6902" t="s">
        <v>30068</v>
      </c>
      <c r="J6902" t="s">
        <v>34487</v>
      </c>
      <c r="K6902" t="s">
        <v>39054</v>
      </c>
      <c r="M6902" t="s">
        <v>41488</v>
      </c>
      <c r="N6902" t="s">
        <v>43166</v>
      </c>
      <c r="O6902" t="s">
        <v>43167</v>
      </c>
      <c r="P6902">
        <v>0</v>
      </c>
      <c r="Q6902">
        <v>2</v>
      </c>
      <c r="R6902" t="s">
        <v>43173</v>
      </c>
      <c r="S6902" t="s">
        <v>43374</v>
      </c>
      <c r="T6902" t="s">
        <v>44773</v>
      </c>
      <c r="U6902" t="s">
        <v>50794</v>
      </c>
      <c r="W6902" t="s">
        <v>41488</v>
      </c>
      <c r="X6902" t="s">
        <v>43174</v>
      </c>
    </row>
    <row r="6903" spans="1:24">
      <c r="A6903">
        <f>HYPERLINK("https://www.philgeps.gov.ph/GEPSNONPILOT/Tender/SplashBidNoticeAbstractUI.aspx?menuIndex=3&amp;refID=7076701&amp;Result=3","7076701")</f>
        <v>0</v>
      </c>
      <c r="B6903" t="s">
        <v>687</v>
      </c>
      <c r="C6903" t="s">
        <v>9992</v>
      </c>
      <c r="D6903" t="s">
        <v>17435</v>
      </c>
      <c r="E6903" t="s">
        <v>23470</v>
      </c>
      <c r="F6903" t="s">
        <v>30052</v>
      </c>
      <c r="G6903" t="s">
        <v>30058</v>
      </c>
      <c r="H6903" t="s">
        <v>30067</v>
      </c>
      <c r="I6903" t="s">
        <v>3693</v>
      </c>
      <c r="J6903" t="s">
        <v>33872</v>
      </c>
      <c r="K6903" t="s">
        <v>39031</v>
      </c>
      <c r="M6903" t="s">
        <v>40222</v>
      </c>
      <c r="N6903" t="s">
        <v>43166</v>
      </c>
      <c r="O6903" t="s">
        <v>43167</v>
      </c>
      <c r="P6903">
        <v>0</v>
      </c>
      <c r="Q6903">
        <v>0</v>
      </c>
      <c r="R6903" t="s">
        <v>43173</v>
      </c>
      <c r="S6903" t="s">
        <v>43374</v>
      </c>
      <c r="T6903" t="s">
        <v>44716</v>
      </c>
      <c r="U6903" t="s">
        <v>50795</v>
      </c>
      <c r="W6903" t="s">
        <v>40222</v>
      </c>
      <c r="X6903" t="s">
        <v>43174</v>
      </c>
    </row>
    <row r="6904" spans="1:24">
      <c r="A6904">
        <f>HYPERLINK("https://www.philgeps.gov.ph/GEPSNONPILOT/Tender/SplashBidNoticeAbstractUI.aspx?menuIndex=3&amp;refID=7076753&amp;Result=3","7076753")</f>
        <v>0</v>
      </c>
      <c r="B6904" t="s">
        <v>2200</v>
      </c>
      <c r="C6904" t="s">
        <v>9993</v>
      </c>
      <c r="D6904" t="s">
        <v>17463</v>
      </c>
      <c r="E6904" t="s">
        <v>23471</v>
      </c>
      <c r="F6904" t="s">
        <v>30052</v>
      </c>
      <c r="G6904" t="s">
        <v>30058</v>
      </c>
      <c r="H6904" t="s">
        <v>30067</v>
      </c>
      <c r="I6904" t="s">
        <v>3693</v>
      </c>
      <c r="J6904" t="s">
        <v>34488</v>
      </c>
      <c r="K6904" t="s">
        <v>39022</v>
      </c>
      <c r="M6904" t="s">
        <v>41669</v>
      </c>
      <c r="N6904" t="s">
        <v>43166</v>
      </c>
      <c r="O6904" t="s">
        <v>43167</v>
      </c>
      <c r="P6904">
        <v>0</v>
      </c>
      <c r="Q6904">
        <v>4</v>
      </c>
      <c r="R6904" t="s">
        <v>43173</v>
      </c>
      <c r="S6904" t="s">
        <v>43374</v>
      </c>
      <c r="T6904" t="s">
        <v>44716</v>
      </c>
      <c r="U6904" t="s">
        <v>50796</v>
      </c>
      <c r="W6904" t="s">
        <v>41669</v>
      </c>
      <c r="X6904" t="s">
        <v>43174</v>
      </c>
    </row>
    <row r="6905" spans="1:24">
      <c r="A6905">
        <f>HYPERLINK("https://www.philgeps.gov.ph/GEPSNONPILOT/Tender/SplashBidNoticeAbstractUI.aspx?menuIndex=3&amp;refID=7076752&amp;Result=3","7076752")</f>
        <v>0</v>
      </c>
      <c r="B6905" t="s">
        <v>737</v>
      </c>
      <c r="C6905" t="s">
        <v>9994</v>
      </c>
      <c r="D6905" t="s">
        <v>17460</v>
      </c>
      <c r="E6905" t="s">
        <v>21621</v>
      </c>
      <c r="F6905" t="s">
        <v>30052</v>
      </c>
      <c r="G6905" t="s">
        <v>30059</v>
      </c>
      <c r="H6905" t="s">
        <v>15498</v>
      </c>
      <c r="I6905" t="s">
        <v>3736</v>
      </c>
      <c r="J6905" t="s">
        <v>30248</v>
      </c>
      <c r="K6905" t="s">
        <v>39019</v>
      </c>
      <c r="M6905" t="s">
        <v>40050</v>
      </c>
      <c r="N6905" t="s">
        <v>43166</v>
      </c>
      <c r="O6905" t="s">
        <v>43167</v>
      </c>
      <c r="P6905">
        <v>0</v>
      </c>
      <c r="Q6905">
        <v>1</v>
      </c>
      <c r="R6905" t="s">
        <v>43173</v>
      </c>
      <c r="S6905" t="s">
        <v>43374</v>
      </c>
      <c r="T6905" t="s">
        <v>44777</v>
      </c>
      <c r="U6905" t="s">
        <v>50797</v>
      </c>
      <c r="V6905" t="s">
        <v>57548</v>
      </c>
      <c r="W6905" t="s">
        <v>40050</v>
      </c>
      <c r="X6905" t="s">
        <v>43174</v>
      </c>
    </row>
    <row r="6906" spans="1:24">
      <c r="A6906">
        <f>HYPERLINK("https://www.philgeps.gov.ph/GEPSNONPILOT/Tender/SplashBidNoticeAbstractUI.aspx?menuIndex=3&amp;refID=7076749&amp;Result=3","7076749")</f>
        <v>0</v>
      </c>
      <c r="B6906" t="s">
        <v>1863</v>
      </c>
      <c r="C6906" t="s">
        <v>9995</v>
      </c>
      <c r="D6906" t="s">
        <v>17451</v>
      </c>
      <c r="E6906" t="s">
        <v>23472</v>
      </c>
      <c r="F6906" t="s">
        <v>30052</v>
      </c>
      <c r="G6906" t="s">
        <v>30058</v>
      </c>
      <c r="H6906" t="s">
        <v>30067</v>
      </c>
      <c r="I6906" t="s">
        <v>3693</v>
      </c>
      <c r="J6906" t="s">
        <v>30277</v>
      </c>
      <c r="K6906" t="s">
        <v>39029</v>
      </c>
      <c r="M6906" t="s">
        <v>41291</v>
      </c>
      <c r="N6906" t="s">
        <v>43166</v>
      </c>
      <c r="O6906" t="s">
        <v>43167</v>
      </c>
      <c r="P6906">
        <v>0</v>
      </c>
      <c r="Q6906">
        <v>0</v>
      </c>
      <c r="R6906" t="s">
        <v>43173</v>
      </c>
      <c r="S6906" t="s">
        <v>43374</v>
      </c>
      <c r="T6906" t="s">
        <v>44828</v>
      </c>
      <c r="U6906" t="s">
        <v>50772</v>
      </c>
      <c r="W6906" t="s">
        <v>41291</v>
      </c>
      <c r="X6906" t="s">
        <v>43174</v>
      </c>
    </row>
    <row r="6907" spans="1:24">
      <c r="A6907">
        <f>HYPERLINK("https://www.philgeps.gov.ph/GEPSNONPILOT/Tender/SplashBidNoticeAbstractUI.aspx?menuIndex=3&amp;refID=7076679&amp;Result=3","7076679")</f>
        <v>0</v>
      </c>
      <c r="B6907" t="s">
        <v>1899</v>
      </c>
      <c r="C6907" t="s">
        <v>9996</v>
      </c>
      <c r="D6907" t="s">
        <v>17422</v>
      </c>
      <c r="E6907" t="s">
        <v>23473</v>
      </c>
      <c r="F6907" t="s">
        <v>30052</v>
      </c>
      <c r="G6907" t="s">
        <v>30059</v>
      </c>
      <c r="H6907" t="s">
        <v>30069</v>
      </c>
      <c r="I6907" t="s">
        <v>30148</v>
      </c>
      <c r="J6907" t="s">
        <v>34489</v>
      </c>
      <c r="K6907" t="s">
        <v>39017</v>
      </c>
      <c r="M6907" t="s">
        <v>41330</v>
      </c>
      <c r="N6907" t="s">
        <v>43166</v>
      </c>
      <c r="O6907" t="s">
        <v>43167</v>
      </c>
      <c r="P6907">
        <v>0</v>
      </c>
      <c r="Q6907">
        <v>0</v>
      </c>
      <c r="R6907" t="s">
        <v>43173</v>
      </c>
      <c r="S6907" t="s">
        <v>43374</v>
      </c>
      <c r="T6907" t="s">
        <v>44714</v>
      </c>
      <c r="U6907" t="s">
        <v>50798</v>
      </c>
      <c r="W6907" t="s">
        <v>41330</v>
      </c>
      <c r="X6907" t="s">
        <v>43174</v>
      </c>
    </row>
    <row r="6908" spans="1:24">
      <c r="A6908">
        <f>HYPERLINK("https://www.philgeps.gov.ph/GEPSNONPILOT/Tender/SplashBidNoticeAbstractUI.aspx?menuIndex=3&amp;refID=7076747&amp;Result=3","7076747")</f>
        <v>0</v>
      </c>
      <c r="B6908" t="s">
        <v>2201</v>
      </c>
      <c r="C6908" t="s">
        <v>9997</v>
      </c>
      <c r="D6908" t="s">
        <v>17449</v>
      </c>
      <c r="E6908" t="s">
        <v>17689</v>
      </c>
      <c r="F6908" t="s">
        <v>30052</v>
      </c>
      <c r="G6908" t="s">
        <v>30058</v>
      </c>
      <c r="H6908" t="s">
        <v>30067</v>
      </c>
      <c r="I6908" t="s">
        <v>3736</v>
      </c>
      <c r="J6908" t="s">
        <v>30230</v>
      </c>
      <c r="K6908" t="s">
        <v>39017</v>
      </c>
      <c r="M6908" t="s">
        <v>41670</v>
      </c>
      <c r="N6908" t="s">
        <v>43166</v>
      </c>
      <c r="O6908" t="s">
        <v>43167</v>
      </c>
      <c r="P6908">
        <v>0</v>
      </c>
      <c r="Q6908">
        <v>0</v>
      </c>
      <c r="R6908" t="s">
        <v>43173</v>
      </c>
      <c r="S6908" t="s">
        <v>43374</v>
      </c>
      <c r="T6908" t="s">
        <v>44714</v>
      </c>
      <c r="U6908" t="s">
        <v>50799</v>
      </c>
      <c r="W6908" t="s">
        <v>41670</v>
      </c>
      <c r="X6908" t="s">
        <v>43174</v>
      </c>
    </row>
    <row r="6909" spans="1:24">
      <c r="A6909">
        <f>HYPERLINK("https://www.philgeps.gov.ph/GEPSNONPILOT/Tender/SplashBidNoticeAbstractUI.aspx?menuIndex=3&amp;refID=7076755&amp;Result=3","7076755")</f>
        <v>0</v>
      </c>
      <c r="B6909" t="s">
        <v>912</v>
      </c>
      <c r="C6909" t="s">
        <v>9998</v>
      </c>
      <c r="D6909" t="s">
        <v>17440</v>
      </c>
      <c r="E6909" t="s">
        <v>23474</v>
      </c>
      <c r="F6909" t="s">
        <v>30052</v>
      </c>
      <c r="G6909" t="s">
        <v>30058</v>
      </c>
      <c r="H6909" t="s">
        <v>15498</v>
      </c>
      <c r="I6909" t="s">
        <v>30076</v>
      </c>
      <c r="J6909" t="s">
        <v>34490</v>
      </c>
      <c r="K6909" t="s">
        <v>39034</v>
      </c>
      <c r="M6909" t="s">
        <v>41293</v>
      </c>
      <c r="N6909" t="s">
        <v>43166</v>
      </c>
      <c r="O6909" t="s">
        <v>43167</v>
      </c>
      <c r="P6909">
        <v>0</v>
      </c>
      <c r="Q6909">
        <v>3</v>
      </c>
      <c r="R6909" t="s">
        <v>43173</v>
      </c>
      <c r="S6909" t="s">
        <v>43374</v>
      </c>
      <c r="T6909" t="s">
        <v>45007</v>
      </c>
      <c r="U6909" t="s">
        <v>50800</v>
      </c>
      <c r="W6909" t="s">
        <v>41293</v>
      </c>
      <c r="X6909" t="s">
        <v>43174</v>
      </c>
    </row>
    <row r="6910" spans="1:24">
      <c r="A6910">
        <f>HYPERLINK("https://www.philgeps.gov.ph/GEPSNONPILOT/Tender/SplashBidNoticeAbstractUI.aspx?menuIndex=3&amp;refID=7076744&amp;Result=3","7076744")</f>
        <v>0</v>
      </c>
      <c r="B6910" t="s">
        <v>2039</v>
      </c>
      <c r="C6910" t="s">
        <v>9999</v>
      </c>
      <c r="D6910" t="s">
        <v>17452</v>
      </c>
      <c r="E6910" t="s">
        <v>23475</v>
      </c>
      <c r="F6910" t="s">
        <v>30052</v>
      </c>
      <c r="G6910" t="s">
        <v>30058</v>
      </c>
      <c r="H6910" t="s">
        <v>30068</v>
      </c>
      <c r="I6910" t="s">
        <v>30068</v>
      </c>
      <c r="J6910" t="s">
        <v>34491</v>
      </c>
      <c r="K6910" t="s">
        <v>39086</v>
      </c>
      <c r="M6910" t="s">
        <v>41488</v>
      </c>
      <c r="N6910" t="s">
        <v>43166</v>
      </c>
      <c r="O6910" t="s">
        <v>43167</v>
      </c>
      <c r="P6910">
        <v>0</v>
      </c>
      <c r="Q6910">
        <v>2</v>
      </c>
      <c r="R6910" t="s">
        <v>43173</v>
      </c>
      <c r="S6910" t="s">
        <v>43374</v>
      </c>
      <c r="T6910" t="s">
        <v>44773</v>
      </c>
      <c r="U6910" t="s">
        <v>50801</v>
      </c>
      <c r="W6910" t="s">
        <v>41488</v>
      </c>
      <c r="X6910" t="s">
        <v>43174</v>
      </c>
    </row>
    <row r="6911" spans="1:24">
      <c r="A6911">
        <f>HYPERLINK("https://www.philgeps.gov.ph/GEPSNONPILOT/Tender/SplashBidNoticeAbstractUI.aspx?menuIndex=3&amp;refID=7076743&amp;Result=3","7076743")</f>
        <v>0</v>
      </c>
      <c r="B6911" t="s">
        <v>1773</v>
      </c>
      <c r="C6911" t="s">
        <v>10000</v>
      </c>
      <c r="D6911" t="s">
        <v>17486</v>
      </c>
      <c r="E6911" t="s">
        <v>23476</v>
      </c>
      <c r="F6911" t="s">
        <v>30052</v>
      </c>
      <c r="G6911" t="s">
        <v>30058</v>
      </c>
      <c r="H6911" t="s">
        <v>15498</v>
      </c>
      <c r="I6911" t="s">
        <v>30070</v>
      </c>
      <c r="J6911" t="s">
        <v>34492</v>
      </c>
      <c r="K6911" t="s">
        <v>39019</v>
      </c>
      <c r="M6911" t="s">
        <v>41193</v>
      </c>
      <c r="N6911" t="s">
        <v>43166</v>
      </c>
      <c r="O6911" t="s">
        <v>43167</v>
      </c>
      <c r="P6911">
        <v>0</v>
      </c>
      <c r="Q6911">
        <v>2</v>
      </c>
      <c r="R6911" t="s">
        <v>43173</v>
      </c>
      <c r="S6911" t="s">
        <v>43374</v>
      </c>
      <c r="T6911" t="s">
        <v>44728</v>
      </c>
      <c r="U6911" t="s">
        <v>45217</v>
      </c>
      <c r="W6911" t="s">
        <v>41193</v>
      </c>
      <c r="X6911" t="s">
        <v>43174</v>
      </c>
    </row>
    <row r="6912" spans="1:24">
      <c r="A6912">
        <f>HYPERLINK("https://www.philgeps.gov.ph/GEPSNONPILOT/Tender/SplashBidNoticeAbstractUI.aspx?menuIndex=3&amp;refID=7076740&amp;Result=3","7076740")</f>
        <v>0</v>
      </c>
      <c r="B6912" t="s">
        <v>1863</v>
      </c>
      <c r="C6912" t="s">
        <v>10001</v>
      </c>
      <c r="D6912" t="s">
        <v>17451</v>
      </c>
      <c r="E6912" t="s">
        <v>23477</v>
      </c>
      <c r="F6912" t="s">
        <v>30052</v>
      </c>
      <c r="G6912" t="s">
        <v>30058</v>
      </c>
      <c r="H6912" t="s">
        <v>30067</v>
      </c>
      <c r="I6912" t="s">
        <v>3693</v>
      </c>
      <c r="J6912" t="s">
        <v>30209</v>
      </c>
      <c r="K6912" t="s">
        <v>39029</v>
      </c>
      <c r="M6912" t="s">
        <v>41291</v>
      </c>
      <c r="N6912" t="s">
        <v>43166</v>
      </c>
      <c r="O6912" t="s">
        <v>43167</v>
      </c>
      <c r="P6912">
        <v>0</v>
      </c>
      <c r="Q6912">
        <v>0</v>
      </c>
      <c r="R6912" t="s">
        <v>43173</v>
      </c>
      <c r="S6912" t="s">
        <v>43374</v>
      </c>
      <c r="T6912" t="s">
        <v>44828</v>
      </c>
      <c r="U6912" t="s">
        <v>50772</v>
      </c>
      <c r="W6912" t="s">
        <v>41291</v>
      </c>
      <c r="X6912" t="s">
        <v>43174</v>
      </c>
    </row>
    <row r="6913" spans="1:24">
      <c r="A6913">
        <f>HYPERLINK("https://www.philgeps.gov.ph/GEPSNONPILOT/Tender/SplashBidNoticeAbstractUI.aspx?menuIndex=3&amp;refID=7076738&amp;Result=3","7076738")</f>
        <v>0</v>
      </c>
      <c r="B6913" t="s">
        <v>2183</v>
      </c>
      <c r="C6913" t="s">
        <v>10002</v>
      </c>
      <c r="D6913" t="s">
        <v>17482</v>
      </c>
      <c r="E6913" t="s">
        <v>23478</v>
      </c>
      <c r="F6913" t="s">
        <v>30052</v>
      </c>
      <c r="G6913" t="s">
        <v>30059</v>
      </c>
      <c r="H6913" t="s">
        <v>15498</v>
      </c>
      <c r="I6913" t="s">
        <v>30071</v>
      </c>
      <c r="J6913" t="s">
        <v>34493</v>
      </c>
      <c r="K6913" t="s">
        <v>39017</v>
      </c>
      <c r="M6913" t="s">
        <v>41652</v>
      </c>
      <c r="N6913" t="s">
        <v>43166</v>
      </c>
      <c r="O6913" t="s">
        <v>43167</v>
      </c>
      <c r="P6913">
        <v>0</v>
      </c>
      <c r="Q6913">
        <v>0</v>
      </c>
      <c r="R6913" t="s">
        <v>43173</v>
      </c>
      <c r="S6913" t="s">
        <v>43374</v>
      </c>
      <c r="T6913" t="s">
        <v>44841</v>
      </c>
      <c r="U6913" t="s">
        <v>50749</v>
      </c>
      <c r="W6913" t="s">
        <v>41652</v>
      </c>
      <c r="X6913" t="s">
        <v>43174</v>
      </c>
    </row>
    <row r="6914" spans="1:24">
      <c r="A6914">
        <f>HYPERLINK("https://www.philgeps.gov.ph/GEPSNONPILOT/Tender/SplashBidNoticeAbstractUI.aspx?menuIndex=3&amp;refID=7076736&amp;Result=3","7076736")</f>
        <v>0</v>
      </c>
      <c r="B6914" t="s">
        <v>2202</v>
      </c>
      <c r="C6914" t="s">
        <v>10003</v>
      </c>
      <c r="D6914" t="s">
        <v>17449</v>
      </c>
      <c r="E6914" t="s">
        <v>23479</v>
      </c>
      <c r="F6914" t="s">
        <v>30052</v>
      </c>
      <c r="G6914" t="s">
        <v>30058</v>
      </c>
      <c r="H6914" t="s">
        <v>15498</v>
      </c>
      <c r="I6914" t="s">
        <v>30074</v>
      </c>
      <c r="J6914" t="s">
        <v>30358</v>
      </c>
      <c r="K6914" t="s">
        <v>39017</v>
      </c>
      <c r="M6914" t="s">
        <v>41671</v>
      </c>
      <c r="N6914" t="s">
        <v>43166</v>
      </c>
      <c r="O6914" t="s">
        <v>43167</v>
      </c>
      <c r="P6914">
        <v>0</v>
      </c>
      <c r="Q6914">
        <v>0</v>
      </c>
      <c r="R6914" t="s">
        <v>43173</v>
      </c>
      <c r="S6914" t="s">
        <v>43374</v>
      </c>
      <c r="T6914" t="s">
        <v>44714</v>
      </c>
      <c r="U6914" t="s">
        <v>50802</v>
      </c>
      <c r="W6914" t="s">
        <v>41671</v>
      </c>
      <c r="X6914" t="s">
        <v>43174</v>
      </c>
    </row>
    <row r="6915" spans="1:24">
      <c r="A6915">
        <f>HYPERLINK("https://www.philgeps.gov.ph/GEPSNONPILOT/Tender/SplashBidNoticeAbstractUI.aspx?menuIndex=3&amp;refID=7076751&amp;Result=3","7076751")</f>
        <v>0</v>
      </c>
      <c r="B6915" t="s">
        <v>1792</v>
      </c>
      <c r="C6915" t="s">
        <v>10004</v>
      </c>
      <c r="D6915" t="s">
        <v>17432</v>
      </c>
      <c r="E6915" t="s">
        <v>23480</v>
      </c>
      <c r="F6915" t="s">
        <v>30052</v>
      </c>
      <c r="G6915" t="s">
        <v>30059</v>
      </c>
      <c r="H6915" t="s">
        <v>15498</v>
      </c>
      <c r="I6915" t="s">
        <v>3736</v>
      </c>
      <c r="J6915" t="s">
        <v>33464</v>
      </c>
      <c r="K6915" t="s">
        <v>39034</v>
      </c>
      <c r="M6915" t="s">
        <v>41214</v>
      </c>
      <c r="N6915" t="s">
        <v>43166</v>
      </c>
      <c r="O6915" t="s">
        <v>43167</v>
      </c>
      <c r="P6915">
        <v>0</v>
      </c>
      <c r="Q6915">
        <v>0</v>
      </c>
      <c r="R6915" t="s">
        <v>43173</v>
      </c>
      <c r="S6915" t="s">
        <v>43374</v>
      </c>
      <c r="T6915" t="s">
        <v>44837</v>
      </c>
      <c r="U6915" t="s">
        <v>50803</v>
      </c>
      <c r="W6915" t="s">
        <v>41214</v>
      </c>
      <c r="X6915" t="s">
        <v>43174</v>
      </c>
    </row>
    <row r="6916" spans="1:24">
      <c r="A6916">
        <f>HYPERLINK("https://www.philgeps.gov.ph/GEPSNONPILOT/Tender/SplashBidNoticeAbstractUI.aspx?menuIndex=3&amp;refID=7076733&amp;Result=3","7076733")</f>
        <v>0</v>
      </c>
      <c r="B6916" t="s">
        <v>765</v>
      </c>
      <c r="C6916" t="s">
        <v>10005</v>
      </c>
      <c r="D6916" t="s">
        <v>17468</v>
      </c>
      <c r="E6916" t="s">
        <v>23481</v>
      </c>
      <c r="F6916" t="s">
        <v>30052</v>
      </c>
      <c r="G6916" t="s">
        <v>30059</v>
      </c>
      <c r="H6916" t="s">
        <v>15498</v>
      </c>
      <c r="I6916" t="s">
        <v>30100</v>
      </c>
      <c r="J6916" t="s">
        <v>30230</v>
      </c>
      <c r="K6916" t="s">
        <v>39046</v>
      </c>
      <c r="M6916" t="s">
        <v>40079</v>
      </c>
      <c r="N6916" t="s">
        <v>43166</v>
      </c>
      <c r="O6916" t="s">
        <v>43167</v>
      </c>
      <c r="P6916">
        <v>0</v>
      </c>
      <c r="Q6916">
        <v>2</v>
      </c>
      <c r="R6916" t="s">
        <v>43173</v>
      </c>
      <c r="S6916" t="s">
        <v>43374</v>
      </c>
      <c r="T6916" t="s">
        <v>44690</v>
      </c>
      <c r="U6916" t="s">
        <v>50804</v>
      </c>
      <c r="W6916" t="s">
        <v>40079</v>
      </c>
      <c r="X6916" t="s">
        <v>43174</v>
      </c>
    </row>
    <row r="6917" spans="1:24">
      <c r="A6917">
        <f>HYPERLINK("https://www.philgeps.gov.ph/GEPSNONPILOT/Tender/SplashBidNoticeAbstractUI.aspx?menuIndex=3&amp;refID=7076731&amp;Result=3","7076731")</f>
        <v>0</v>
      </c>
      <c r="B6917" t="s">
        <v>2203</v>
      </c>
      <c r="C6917" t="s">
        <v>10006</v>
      </c>
      <c r="D6917" t="s">
        <v>17476</v>
      </c>
      <c r="E6917" t="s">
        <v>23482</v>
      </c>
      <c r="F6917" t="s">
        <v>30052</v>
      </c>
      <c r="G6917" t="s">
        <v>30061</v>
      </c>
      <c r="H6917" t="s">
        <v>15498</v>
      </c>
      <c r="I6917" t="s">
        <v>4650</v>
      </c>
      <c r="J6917" t="s">
        <v>30207</v>
      </c>
      <c r="K6917" t="s">
        <v>39019</v>
      </c>
      <c r="M6917" t="s">
        <v>41672</v>
      </c>
      <c r="N6917" t="s">
        <v>43166</v>
      </c>
      <c r="O6917" t="s">
        <v>43167</v>
      </c>
      <c r="P6917">
        <v>0</v>
      </c>
      <c r="Q6917">
        <v>1</v>
      </c>
      <c r="R6917" t="s">
        <v>43173</v>
      </c>
      <c r="S6917" t="s">
        <v>43374</v>
      </c>
      <c r="T6917" t="s">
        <v>44777</v>
      </c>
      <c r="U6917" t="s">
        <v>50805</v>
      </c>
      <c r="W6917" t="s">
        <v>41672</v>
      </c>
      <c r="X6917" t="s">
        <v>43174</v>
      </c>
    </row>
    <row r="6918" spans="1:24">
      <c r="A6918">
        <f>HYPERLINK("https://www.philgeps.gov.ph/GEPSNONPILOT/Tender/SplashBidNoticeAbstractUI.aspx?menuIndex=3&amp;refID=7076727&amp;Result=3","7076727")</f>
        <v>0</v>
      </c>
      <c r="B6918" t="s">
        <v>687</v>
      </c>
      <c r="C6918" t="s">
        <v>10007</v>
      </c>
      <c r="D6918" t="s">
        <v>17435</v>
      </c>
      <c r="E6918" t="s">
        <v>23483</v>
      </c>
      <c r="F6918" t="s">
        <v>30052</v>
      </c>
      <c r="G6918" t="s">
        <v>30058</v>
      </c>
      <c r="H6918" t="s">
        <v>30067</v>
      </c>
      <c r="I6918" t="s">
        <v>3693</v>
      </c>
      <c r="J6918" t="s">
        <v>33872</v>
      </c>
      <c r="K6918" t="s">
        <v>39031</v>
      </c>
      <c r="M6918" t="s">
        <v>40222</v>
      </c>
      <c r="N6918" t="s">
        <v>43166</v>
      </c>
      <c r="O6918" t="s">
        <v>43167</v>
      </c>
      <c r="P6918">
        <v>0</v>
      </c>
      <c r="Q6918">
        <v>0</v>
      </c>
      <c r="R6918" t="s">
        <v>43173</v>
      </c>
      <c r="S6918" t="s">
        <v>43374</v>
      </c>
      <c r="T6918" t="s">
        <v>44716</v>
      </c>
      <c r="U6918" t="s">
        <v>50806</v>
      </c>
      <c r="W6918" t="s">
        <v>40222</v>
      </c>
      <c r="X6918" t="s">
        <v>43174</v>
      </c>
    </row>
    <row r="6919" spans="1:24">
      <c r="A6919">
        <f>HYPERLINK("https://www.philgeps.gov.ph/GEPSNONPILOT/Tender/SplashBidNoticeAbstractUI.aspx?menuIndex=3&amp;refID=7076681&amp;Result=3","7076681")</f>
        <v>0</v>
      </c>
      <c r="B6919" t="s">
        <v>1863</v>
      </c>
      <c r="C6919" t="s">
        <v>10008</v>
      </c>
      <c r="D6919" t="s">
        <v>17451</v>
      </c>
      <c r="E6919" t="s">
        <v>23484</v>
      </c>
      <c r="F6919" t="s">
        <v>30052</v>
      </c>
      <c r="G6919" t="s">
        <v>30058</v>
      </c>
      <c r="H6919" t="s">
        <v>30067</v>
      </c>
      <c r="I6919" t="s">
        <v>3693</v>
      </c>
      <c r="J6919" t="s">
        <v>30235</v>
      </c>
      <c r="K6919" t="s">
        <v>39023</v>
      </c>
      <c r="M6919" t="s">
        <v>41291</v>
      </c>
      <c r="N6919" t="s">
        <v>43166</v>
      </c>
      <c r="O6919" t="s">
        <v>43167</v>
      </c>
      <c r="P6919">
        <v>0</v>
      </c>
      <c r="Q6919">
        <v>0</v>
      </c>
      <c r="R6919" t="s">
        <v>43173</v>
      </c>
      <c r="S6919" t="s">
        <v>43374</v>
      </c>
      <c r="T6919" t="s">
        <v>44828</v>
      </c>
      <c r="U6919" t="s">
        <v>50772</v>
      </c>
      <c r="W6919" t="s">
        <v>41291</v>
      </c>
      <c r="X6919" t="s">
        <v>43174</v>
      </c>
    </row>
    <row r="6920" spans="1:24">
      <c r="A6920">
        <f>HYPERLINK("https://www.philgeps.gov.ph/GEPSNONPILOT/Tender/SplashBidNoticeAbstractUI.aspx?menuIndex=3&amp;refID=7076724&amp;Result=3","7076724")</f>
        <v>0</v>
      </c>
      <c r="B6920" t="s">
        <v>1863</v>
      </c>
      <c r="C6920" t="s">
        <v>10009</v>
      </c>
      <c r="D6920" t="s">
        <v>17451</v>
      </c>
      <c r="E6920" t="s">
        <v>23485</v>
      </c>
      <c r="F6920" t="s">
        <v>30052</v>
      </c>
      <c r="G6920" t="s">
        <v>30058</v>
      </c>
      <c r="H6920" t="s">
        <v>30067</v>
      </c>
      <c r="I6920" t="s">
        <v>3693</v>
      </c>
      <c r="J6920" t="s">
        <v>30227</v>
      </c>
      <c r="K6920" t="s">
        <v>39058</v>
      </c>
      <c r="M6920" t="s">
        <v>41291</v>
      </c>
      <c r="N6920" t="s">
        <v>43166</v>
      </c>
      <c r="O6920" t="s">
        <v>43167</v>
      </c>
      <c r="P6920">
        <v>0</v>
      </c>
      <c r="Q6920">
        <v>0</v>
      </c>
      <c r="R6920" t="s">
        <v>43173</v>
      </c>
      <c r="S6920" t="s">
        <v>43374</v>
      </c>
      <c r="T6920" t="s">
        <v>44828</v>
      </c>
      <c r="U6920" t="s">
        <v>50772</v>
      </c>
      <c r="W6920" t="s">
        <v>41291</v>
      </c>
      <c r="X6920" t="s">
        <v>43174</v>
      </c>
    </row>
    <row r="6921" spans="1:24">
      <c r="A6921">
        <f>HYPERLINK("https://www.philgeps.gov.ph/GEPSNONPILOT/Tender/SplashBidNoticeAbstractUI.aspx?menuIndex=3&amp;refID=7076729&amp;Result=3","7076729")</f>
        <v>0</v>
      </c>
      <c r="B6921" t="s">
        <v>952</v>
      </c>
      <c r="C6921" t="s">
        <v>10010</v>
      </c>
      <c r="D6921" t="s">
        <v>17476</v>
      </c>
      <c r="E6921" t="s">
        <v>19987</v>
      </c>
      <c r="F6921" t="s">
        <v>30052</v>
      </c>
      <c r="G6921" t="s">
        <v>30059</v>
      </c>
      <c r="H6921" t="s">
        <v>15498</v>
      </c>
      <c r="I6921" t="s">
        <v>30096</v>
      </c>
      <c r="J6921" t="s">
        <v>34494</v>
      </c>
      <c r="K6921" t="s">
        <v>39037</v>
      </c>
      <c r="M6921" t="s">
        <v>40276</v>
      </c>
      <c r="N6921" t="s">
        <v>43166</v>
      </c>
      <c r="O6921" t="s">
        <v>43167</v>
      </c>
      <c r="P6921">
        <v>0</v>
      </c>
      <c r="Q6921">
        <v>4</v>
      </c>
      <c r="R6921" t="s">
        <v>43173</v>
      </c>
      <c r="S6921" t="s">
        <v>43374</v>
      </c>
      <c r="T6921" t="s">
        <v>44788</v>
      </c>
      <c r="U6921" t="s">
        <v>47143</v>
      </c>
      <c r="W6921" t="s">
        <v>40276</v>
      </c>
      <c r="X6921" t="s">
        <v>43174</v>
      </c>
    </row>
    <row r="6922" spans="1:24">
      <c r="A6922">
        <f>HYPERLINK("https://www.philgeps.gov.ph/GEPSNONPILOT/Tender/SplashBidNoticeAbstractUI.aspx?menuIndex=3&amp;refID=7076674&amp;Result=3","7076674")</f>
        <v>0</v>
      </c>
      <c r="B6922" t="s">
        <v>1863</v>
      </c>
      <c r="C6922" t="s">
        <v>10011</v>
      </c>
      <c r="D6922" t="s">
        <v>17451</v>
      </c>
      <c r="E6922" t="s">
        <v>23486</v>
      </c>
      <c r="F6922" t="s">
        <v>30052</v>
      </c>
      <c r="G6922" t="s">
        <v>30058</v>
      </c>
      <c r="H6922" t="s">
        <v>30067</v>
      </c>
      <c r="I6922" t="s">
        <v>3693</v>
      </c>
      <c r="J6922" t="s">
        <v>30218</v>
      </c>
      <c r="K6922" t="s">
        <v>39029</v>
      </c>
      <c r="M6922" t="s">
        <v>41291</v>
      </c>
      <c r="N6922" t="s">
        <v>43166</v>
      </c>
      <c r="O6922" t="s">
        <v>43167</v>
      </c>
      <c r="P6922">
        <v>0</v>
      </c>
      <c r="Q6922">
        <v>0</v>
      </c>
      <c r="R6922" t="s">
        <v>43173</v>
      </c>
      <c r="S6922" t="s">
        <v>43374</v>
      </c>
      <c r="T6922" t="s">
        <v>44828</v>
      </c>
      <c r="U6922" t="s">
        <v>50772</v>
      </c>
      <c r="W6922" t="s">
        <v>41291</v>
      </c>
      <c r="X6922" t="s">
        <v>43174</v>
      </c>
    </row>
    <row r="6923" spans="1:24">
      <c r="A6923">
        <f>HYPERLINK("https://www.philgeps.gov.ph/GEPSNONPILOT/Tender/SplashBidNoticeAbstractUI.aspx?menuIndex=3&amp;refID=7076726&amp;Result=3","7076726")</f>
        <v>0</v>
      </c>
      <c r="B6923" t="s">
        <v>1098</v>
      </c>
      <c r="C6923" t="s">
        <v>10012</v>
      </c>
      <c r="D6923" t="s">
        <v>17415</v>
      </c>
      <c r="E6923" t="s">
        <v>23487</v>
      </c>
      <c r="F6923" t="s">
        <v>30052</v>
      </c>
      <c r="G6923" t="s">
        <v>30059</v>
      </c>
      <c r="H6923" t="s">
        <v>15498</v>
      </c>
      <c r="I6923" t="s">
        <v>30130</v>
      </c>
      <c r="J6923" t="s">
        <v>30360</v>
      </c>
      <c r="K6923" t="s">
        <v>39017</v>
      </c>
      <c r="M6923" t="s">
        <v>40437</v>
      </c>
      <c r="N6923" t="s">
        <v>43166</v>
      </c>
      <c r="O6923" t="s">
        <v>43167</v>
      </c>
      <c r="P6923">
        <v>0</v>
      </c>
      <c r="Q6923">
        <v>2</v>
      </c>
      <c r="R6923" t="s">
        <v>43173</v>
      </c>
      <c r="S6923" t="s">
        <v>43374</v>
      </c>
      <c r="T6923" t="s">
        <v>44864</v>
      </c>
      <c r="U6923" t="s">
        <v>50807</v>
      </c>
      <c r="W6923" t="s">
        <v>40437</v>
      </c>
      <c r="X6923" t="s">
        <v>43174</v>
      </c>
    </row>
    <row r="6924" spans="1:24">
      <c r="A6924">
        <f>HYPERLINK("https://www.philgeps.gov.ph/GEPSNONPILOT/Tender/SplashBidNoticeAbstractUI.aspx?menuIndex=3&amp;refID=7076672&amp;Result=3","7076672")</f>
        <v>0</v>
      </c>
      <c r="B6924" t="s">
        <v>1098</v>
      </c>
      <c r="C6924" t="s">
        <v>10013</v>
      </c>
      <c r="D6924" t="s">
        <v>17415</v>
      </c>
      <c r="E6924" t="s">
        <v>23488</v>
      </c>
      <c r="F6924" t="s">
        <v>30052</v>
      </c>
      <c r="G6924" t="s">
        <v>30059</v>
      </c>
      <c r="H6924" t="s">
        <v>15498</v>
      </c>
      <c r="I6924" t="s">
        <v>30130</v>
      </c>
      <c r="J6924" t="s">
        <v>34495</v>
      </c>
      <c r="K6924" t="s">
        <v>39017</v>
      </c>
      <c r="M6924" t="s">
        <v>40437</v>
      </c>
      <c r="N6924" t="s">
        <v>43166</v>
      </c>
      <c r="O6924" t="s">
        <v>43167</v>
      </c>
      <c r="P6924">
        <v>0</v>
      </c>
      <c r="Q6924">
        <v>5</v>
      </c>
      <c r="R6924" t="s">
        <v>43173</v>
      </c>
      <c r="S6924" t="s">
        <v>43374</v>
      </c>
      <c r="T6924" t="s">
        <v>44864</v>
      </c>
      <c r="U6924" t="s">
        <v>50808</v>
      </c>
      <c r="W6924" t="s">
        <v>40437</v>
      </c>
      <c r="X6924" t="s">
        <v>43174</v>
      </c>
    </row>
    <row r="6925" spans="1:24">
      <c r="A6925">
        <f>HYPERLINK("https://www.philgeps.gov.ph/GEPSNONPILOT/Tender/SplashBidNoticeAbstractUI.aspx?menuIndex=3&amp;refID=7076723&amp;Result=3","7076723")</f>
        <v>0</v>
      </c>
      <c r="B6925" t="s">
        <v>1773</v>
      </c>
      <c r="C6925" t="s">
        <v>10014</v>
      </c>
      <c r="D6925" t="s">
        <v>17486</v>
      </c>
      <c r="E6925" t="s">
        <v>23489</v>
      </c>
      <c r="F6925" t="s">
        <v>30052</v>
      </c>
      <c r="G6925" t="s">
        <v>30058</v>
      </c>
      <c r="H6925" t="s">
        <v>15498</v>
      </c>
      <c r="I6925" t="s">
        <v>4119</v>
      </c>
      <c r="J6925" t="s">
        <v>34496</v>
      </c>
      <c r="K6925" t="s">
        <v>39019</v>
      </c>
      <c r="M6925" t="s">
        <v>41193</v>
      </c>
      <c r="N6925" t="s">
        <v>43166</v>
      </c>
      <c r="O6925" t="s">
        <v>43167</v>
      </c>
      <c r="P6925">
        <v>0</v>
      </c>
      <c r="Q6925">
        <v>5</v>
      </c>
      <c r="R6925" t="s">
        <v>43173</v>
      </c>
      <c r="S6925" t="s">
        <v>43374</v>
      </c>
      <c r="T6925" t="s">
        <v>44728</v>
      </c>
      <c r="U6925" t="s">
        <v>50809</v>
      </c>
      <c r="W6925" t="s">
        <v>41193</v>
      </c>
      <c r="X6925" t="s">
        <v>43174</v>
      </c>
    </row>
    <row r="6926" spans="1:24">
      <c r="A6926">
        <f>HYPERLINK("https://www.philgeps.gov.ph/GEPSNONPILOT/Tender/SplashBidNoticeAbstractUI.aspx?menuIndex=3&amp;refID=7076629&amp;Result=3","7076629")</f>
        <v>0</v>
      </c>
      <c r="B6926" t="s">
        <v>2204</v>
      </c>
      <c r="C6926" t="s">
        <v>10015</v>
      </c>
      <c r="D6926" t="s">
        <v>17432</v>
      </c>
      <c r="E6926" t="s">
        <v>17715</v>
      </c>
      <c r="F6926" t="s">
        <v>30052</v>
      </c>
      <c r="G6926" t="s">
        <v>30058</v>
      </c>
      <c r="H6926" t="s">
        <v>15498</v>
      </c>
      <c r="I6926" t="s">
        <v>3736</v>
      </c>
      <c r="J6926" t="s">
        <v>34497</v>
      </c>
      <c r="K6926" t="s">
        <v>39034</v>
      </c>
      <c r="M6926" t="s">
        <v>41673</v>
      </c>
      <c r="N6926" t="s">
        <v>43166</v>
      </c>
      <c r="O6926" t="s">
        <v>43167</v>
      </c>
      <c r="P6926">
        <v>0</v>
      </c>
      <c r="Q6926">
        <v>1</v>
      </c>
      <c r="R6926" t="s">
        <v>43173</v>
      </c>
      <c r="S6926" t="s">
        <v>43374</v>
      </c>
      <c r="T6926" t="s">
        <v>44705</v>
      </c>
      <c r="U6926" t="s">
        <v>50810</v>
      </c>
      <c r="W6926" t="s">
        <v>41673</v>
      </c>
      <c r="X6926" t="s">
        <v>43174</v>
      </c>
    </row>
    <row r="6927" spans="1:24">
      <c r="A6927">
        <f>HYPERLINK("https://www.philgeps.gov.ph/GEPSNONPILOT/Tender/SplashBidNoticeAbstractUI.aspx?menuIndex=3&amp;refID=7076728&amp;Result=3","7076728")</f>
        <v>0</v>
      </c>
      <c r="B6927" t="s">
        <v>1863</v>
      </c>
      <c r="C6927" t="s">
        <v>10016</v>
      </c>
      <c r="D6927" t="s">
        <v>17451</v>
      </c>
      <c r="E6927" t="s">
        <v>23490</v>
      </c>
      <c r="F6927" t="s">
        <v>30052</v>
      </c>
      <c r="G6927" t="s">
        <v>30058</v>
      </c>
      <c r="H6927" t="s">
        <v>30067</v>
      </c>
      <c r="I6927" t="s">
        <v>3693</v>
      </c>
      <c r="J6927" t="s">
        <v>30277</v>
      </c>
      <c r="K6927" t="s">
        <v>39029</v>
      </c>
      <c r="M6927" t="s">
        <v>41291</v>
      </c>
      <c r="N6927" t="s">
        <v>43166</v>
      </c>
      <c r="O6927" t="s">
        <v>43167</v>
      </c>
      <c r="P6927">
        <v>0</v>
      </c>
      <c r="Q6927">
        <v>0</v>
      </c>
      <c r="R6927" t="s">
        <v>43173</v>
      </c>
      <c r="S6927" t="s">
        <v>43374</v>
      </c>
      <c r="T6927" t="s">
        <v>44828</v>
      </c>
      <c r="U6927" t="s">
        <v>50772</v>
      </c>
      <c r="W6927" t="s">
        <v>41291</v>
      </c>
      <c r="X6927" t="s">
        <v>43174</v>
      </c>
    </row>
    <row r="6928" spans="1:24">
      <c r="A6928">
        <f>HYPERLINK("https://www.philgeps.gov.ph/GEPSNONPILOT/Tender/SplashBidNoticeAbstractUI.aspx?menuIndex=3&amp;refID=7076676&amp;Result=3","7076676")</f>
        <v>0</v>
      </c>
      <c r="B6928" t="s">
        <v>2183</v>
      </c>
      <c r="C6928" t="s">
        <v>10017</v>
      </c>
      <c r="D6928" t="s">
        <v>17482</v>
      </c>
      <c r="E6928" t="s">
        <v>23491</v>
      </c>
      <c r="F6928" t="s">
        <v>30052</v>
      </c>
      <c r="G6928" t="s">
        <v>30059</v>
      </c>
      <c r="H6928" t="s">
        <v>15498</v>
      </c>
      <c r="I6928" t="s">
        <v>30086</v>
      </c>
      <c r="J6928" t="s">
        <v>34498</v>
      </c>
      <c r="K6928" t="s">
        <v>39017</v>
      </c>
      <c r="M6928" t="s">
        <v>41652</v>
      </c>
      <c r="N6928" t="s">
        <v>43166</v>
      </c>
      <c r="O6928" t="s">
        <v>43167</v>
      </c>
      <c r="P6928">
        <v>0</v>
      </c>
      <c r="Q6928">
        <v>0</v>
      </c>
      <c r="R6928" t="s">
        <v>43173</v>
      </c>
      <c r="S6928" t="s">
        <v>43374</v>
      </c>
      <c r="T6928" t="s">
        <v>44841</v>
      </c>
      <c r="U6928" t="s">
        <v>50749</v>
      </c>
      <c r="W6928" t="s">
        <v>41652</v>
      </c>
      <c r="X6928" t="s">
        <v>43174</v>
      </c>
    </row>
    <row r="6929" spans="1:24">
      <c r="A6929">
        <f>HYPERLINK("https://www.philgeps.gov.ph/GEPSNONPILOT/Tender/SplashBidNoticeAbstractUI.aspx?menuIndex=3&amp;refID=7076621&amp;Result=3","7076621")</f>
        <v>0</v>
      </c>
      <c r="B6929" t="s">
        <v>2205</v>
      </c>
      <c r="C6929" t="s">
        <v>10018</v>
      </c>
      <c r="D6929" t="s">
        <v>17492</v>
      </c>
      <c r="E6929" t="s">
        <v>18173</v>
      </c>
      <c r="F6929" t="s">
        <v>30052</v>
      </c>
      <c r="G6929" t="s">
        <v>30058</v>
      </c>
      <c r="H6929" t="s">
        <v>15498</v>
      </c>
      <c r="I6929" t="s">
        <v>3736</v>
      </c>
      <c r="J6929" t="s">
        <v>34499</v>
      </c>
      <c r="K6929" t="s">
        <v>39038</v>
      </c>
      <c r="M6929" t="s">
        <v>41674</v>
      </c>
      <c r="N6929" t="s">
        <v>43166</v>
      </c>
      <c r="O6929" t="s">
        <v>43167</v>
      </c>
      <c r="P6929">
        <v>0</v>
      </c>
      <c r="Q6929">
        <v>0</v>
      </c>
      <c r="R6929" t="s">
        <v>43173</v>
      </c>
      <c r="S6929" t="s">
        <v>43374</v>
      </c>
      <c r="T6929" t="s">
        <v>44773</v>
      </c>
      <c r="U6929" t="s">
        <v>50811</v>
      </c>
      <c r="W6929" t="s">
        <v>41674</v>
      </c>
      <c r="X6929" t="s">
        <v>43174</v>
      </c>
    </row>
    <row r="6930" spans="1:24">
      <c r="A6930">
        <f>HYPERLINK("https://www.philgeps.gov.ph/GEPSNONPILOT/Tender/SplashBidNoticeAbstractUI.aspx?menuIndex=3&amp;refID=7076630&amp;Result=3","7076630")</f>
        <v>0</v>
      </c>
      <c r="B6930" t="s">
        <v>2183</v>
      </c>
      <c r="C6930" t="s">
        <v>10019</v>
      </c>
      <c r="D6930" t="s">
        <v>17482</v>
      </c>
      <c r="E6930" t="s">
        <v>23492</v>
      </c>
      <c r="F6930" t="s">
        <v>30052</v>
      </c>
      <c r="G6930" t="s">
        <v>30059</v>
      </c>
      <c r="H6930" t="s">
        <v>15498</v>
      </c>
      <c r="I6930" t="s">
        <v>30100</v>
      </c>
      <c r="J6930" t="s">
        <v>30916</v>
      </c>
      <c r="K6930" t="s">
        <v>39017</v>
      </c>
      <c r="M6930" t="s">
        <v>41652</v>
      </c>
      <c r="N6930" t="s">
        <v>43166</v>
      </c>
      <c r="O6930" t="s">
        <v>43167</v>
      </c>
      <c r="P6930">
        <v>0</v>
      </c>
      <c r="Q6930">
        <v>1</v>
      </c>
      <c r="R6930" t="s">
        <v>43173</v>
      </c>
      <c r="S6930" t="s">
        <v>43374</v>
      </c>
      <c r="T6930" t="s">
        <v>44841</v>
      </c>
      <c r="U6930" t="s">
        <v>50749</v>
      </c>
      <c r="W6930" t="s">
        <v>41652</v>
      </c>
      <c r="X6930" t="s">
        <v>43174</v>
      </c>
    </row>
    <row r="6931" spans="1:24">
      <c r="A6931">
        <f>HYPERLINK("https://www.philgeps.gov.ph/GEPSNONPILOT/Tender/SplashBidNoticeAbstractUI.aspx?menuIndex=3&amp;refID=7076796&amp;Result=3","7076796")</f>
        <v>0</v>
      </c>
      <c r="B6931" t="s">
        <v>1863</v>
      </c>
      <c r="C6931" t="s">
        <v>10020</v>
      </c>
      <c r="D6931" t="s">
        <v>17451</v>
      </c>
      <c r="E6931" t="s">
        <v>23493</v>
      </c>
      <c r="F6931" t="s">
        <v>30052</v>
      </c>
      <c r="G6931" t="s">
        <v>30058</v>
      </c>
      <c r="H6931" t="s">
        <v>30067</v>
      </c>
      <c r="I6931" t="s">
        <v>3693</v>
      </c>
      <c r="J6931" t="s">
        <v>30252</v>
      </c>
      <c r="K6931" t="s">
        <v>39038</v>
      </c>
      <c r="M6931" t="s">
        <v>41291</v>
      </c>
      <c r="N6931" t="s">
        <v>43166</v>
      </c>
      <c r="O6931" t="s">
        <v>43167</v>
      </c>
      <c r="P6931">
        <v>0</v>
      </c>
      <c r="Q6931">
        <v>0</v>
      </c>
      <c r="R6931" t="s">
        <v>43173</v>
      </c>
      <c r="S6931" t="s">
        <v>43374</v>
      </c>
      <c r="T6931" t="s">
        <v>44828</v>
      </c>
      <c r="U6931" t="s">
        <v>50772</v>
      </c>
      <c r="W6931" t="s">
        <v>41291</v>
      </c>
      <c r="X6931" t="s">
        <v>43174</v>
      </c>
    </row>
    <row r="6932" spans="1:24">
      <c r="A6932">
        <f>HYPERLINK("https://www.philgeps.gov.ph/GEPSNONPILOT/Tender/SplashBidNoticeAbstractUI.aspx?menuIndex=3&amp;refID=7076624&amp;Result=3","7076624")</f>
        <v>0</v>
      </c>
      <c r="B6932" t="s">
        <v>1098</v>
      </c>
      <c r="C6932" t="s">
        <v>10021</v>
      </c>
      <c r="D6932" t="s">
        <v>17415</v>
      </c>
      <c r="E6932" t="s">
        <v>23494</v>
      </c>
      <c r="F6932" t="s">
        <v>30052</v>
      </c>
      <c r="G6932" t="s">
        <v>30059</v>
      </c>
      <c r="H6932" t="s">
        <v>15498</v>
      </c>
      <c r="I6932" t="s">
        <v>30111</v>
      </c>
      <c r="J6932" t="s">
        <v>30235</v>
      </c>
      <c r="K6932" t="s">
        <v>39017</v>
      </c>
      <c r="M6932" t="s">
        <v>40437</v>
      </c>
      <c r="N6932" t="s">
        <v>43166</v>
      </c>
      <c r="O6932" t="s">
        <v>43167</v>
      </c>
      <c r="P6932">
        <v>0</v>
      </c>
      <c r="Q6932">
        <v>24</v>
      </c>
      <c r="R6932" t="s">
        <v>43173</v>
      </c>
      <c r="S6932" t="s">
        <v>43374</v>
      </c>
      <c r="T6932" t="s">
        <v>44864</v>
      </c>
      <c r="U6932" t="s">
        <v>50812</v>
      </c>
      <c r="W6932" t="s">
        <v>40437</v>
      </c>
      <c r="X6932" t="s">
        <v>43174</v>
      </c>
    </row>
    <row r="6933" spans="1:24">
      <c r="A6933">
        <f>HYPERLINK("https://www.philgeps.gov.ph/GEPSNONPILOT/Tender/SplashBidNoticeAbstractUI.aspx?menuIndex=3&amp;refID=7076793&amp;Result=3","7076793")</f>
        <v>0</v>
      </c>
      <c r="B6933" t="s">
        <v>2201</v>
      </c>
      <c r="C6933" t="s">
        <v>10022</v>
      </c>
      <c r="D6933" t="s">
        <v>17449</v>
      </c>
      <c r="E6933" t="s">
        <v>23495</v>
      </c>
      <c r="F6933" t="s">
        <v>30052</v>
      </c>
      <c r="G6933" t="s">
        <v>30058</v>
      </c>
      <c r="H6933" t="s">
        <v>30067</v>
      </c>
      <c r="I6933" t="s">
        <v>3736</v>
      </c>
      <c r="J6933" t="s">
        <v>30216</v>
      </c>
      <c r="K6933" t="s">
        <v>39019</v>
      </c>
      <c r="M6933" t="s">
        <v>41670</v>
      </c>
      <c r="N6933" t="s">
        <v>43166</v>
      </c>
      <c r="O6933" t="s">
        <v>43167</v>
      </c>
      <c r="P6933">
        <v>0</v>
      </c>
      <c r="Q6933">
        <v>0</v>
      </c>
      <c r="R6933" t="s">
        <v>43173</v>
      </c>
      <c r="S6933" t="s">
        <v>43374</v>
      </c>
      <c r="T6933" t="s">
        <v>44714</v>
      </c>
      <c r="U6933" t="s">
        <v>50813</v>
      </c>
      <c r="W6933" t="s">
        <v>41670</v>
      </c>
      <c r="X6933" t="s">
        <v>43174</v>
      </c>
    </row>
    <row r="6934" spans="1:24">
      <c r="A6934">
        <f>HYPERLINK("https://www.philgeps.gov.ph/GEPSNONPILOT/Tender/SplashBidNoticeAbstractUI.aspx?menuIndex=3&amp;refID=7076792&amp;Result=3","7076792")</f>
        <v>0</v>
      </c>
      <c r="B6934" t="s">
        <v>1311</v>
      </c>
      <c r="C6934" t="s">
        <v>9967</v>
      </c>
      <c r="D6934" t="s">
        <v>17424</v>
      </c>
      <c r="E6934" t="s">
        <v>23496</v>
      </c>
      <c r="F6934" t="s">
        <v>30052</v>
      </c>
      <c r="G6934" t="s">
        <v>30059</v>
      </c>
      <c r="H6934" t="s">
        <v>15498</v>
      </c>
      <c r="I6934" t="s">
        <v>30070</v>
      </c>
      <c r="J6934" t="s">
        <v>34500</v>
      </c>
      <c r="K6934" t="s">
        <v>39019</v>
      </c>
      <c r="M6934" t="s">
        <v>40678</v>
      </c>
      <c r="N6934" t="s">
        <v>43166</v>
      </c>
      <c r="O6934" t="s">
        <v>43167</v>
      </c>
      <c r="P6934">
        <v>0</v>
      </c>
      <c r="Q6934">
        <v>0</v>
      </c>
      <c r="R6934" t="s">
        <v>43173</v>
      </c>
      <c r="S6934" t="s">
        <v>43374</v>
      </c>
      <c r="T6934" t="s">
        <v>44734</v>
      </c>
      <c r="U6934" t="s">
        <v>50814</v>
      </c>
      <c r="W6934" t="s">
        <v>40678</v>
      </c>
      <c r="X6934" t="s">
        <v>43174</v>
      </c>
    </row>
    <row r="6935" spans="1:24">
      <c r="A6935">
        <f>HYPERLINK("https://www.philgeps.gov.ph/GEPSNONPILOT/Tender/SplashBidNoticeAbstractUI.aspx?menuIndex=3&amp;refID=7076785&amp;Result=3","7076785")</f>
        <v>0</v>
      </c>
      <c r="B6935" t="s">
        <v>1863</v>
      </c>
      <c r="C6935" t="s">
        <v>10023</v>
      </c>
      <c r="D6935" t="s">
        <v>17451</v>
      </c>
      <c r="E6935" t="s">
        <v>23497</v>
      </c>
      <c r="F6935" t="s">
        <v>30052</v>
      </c>
      <c r="G6935" t="s">
        <v>30058</v>
      </c>
      <c r="H6935" t="s">
        <v>30067</v>
      </c>
      <c r="I6935" t="s">
        <v>3693</v>
      </c>
      <c r="J6935" t="s">
        <v>30277</v>
      </c>
      <c r="K6935" t="s">
        <v>39029</v>
      </c>
      <c r="M6935" t="s">
        <v>41291</v>
      </c>
      <c r="N6935" t="s">
        <v>43166</v>
      </c>
      <c r="O6935" t="s">
        <v>43167</v>
      </c>
      <c r="P6935">
        <v>0</v>
      </c>
      <c r="Q6935">
        <v>0</v>
      </c>
      <c r="R6935" t="s">
        <v>43173</v>
      </c>
      <c r="S6935" t="s">
        <v>43374</v>
      </c>
      <c r="T6935" t="s">
        <v>44828</v>
      </c>
      <c r="U6935" t="s">
        <v>50772</v>
      </c>
      <c r="W6935" t="s">
        <v>41291</v>
      </c>
      <c r="X6935" t="s">
        <v>43174</v>
      </c>
    </row>
    <row r="6936" spans="1:24">
      <c r="A6936">
        <f>HYPERLINK("https://www.philgeps.gov.ph/GEPSNONPILOT/Tender/SplashBidNoticeAbstractUI.aspx?menuIndex=3&amp;refID=7076783&amp;Result=3","7076783")</f>
        <v>0</v>
      </c>
      <c r="B6936" t="s">
        <v>2183</v>
      </c>
      <c r="C6936" t="s">
        <v>10024</v>
      </c>
      <c r="D6936" t="s">
        <v>17482</v>
      </c>
      <c r="E6936" t="s">
        <v>23498</v>
      </c>
      <c r="F6936" t="s">
        <v>30052</v>
      </c>
      <c r="G6936" t="s">
        <v>30059</v>
      </c>
      <c r="H6936" t="s">
        <v>15498</v>
      </c>
      <c r="I6936" t="s">
        <v>30077</v>
      </c>
      <c r="J6936" t="s">
        <v>32336</v>
      </c>
      <c r="K6936" t="s">
        <v>39017</v>
      </c>
      <c r="M6936" t="s">
        <v>41652</v>
      </c>
      <c r="N6936" t="s">
        <v>43166</v>
      </c>
      <c r="O6936" t="s">
        <v>43167</v>
      </c>
      <c r="P6936">
        <v>0</v>
      </c>
      <c r="Q6936">
        <v>1</v>
      </c>
      <c r="R6936" t="s">
        <v>43173</v>
      </c>
      <c r="S6936" t="s">
        <v>43374</v>
      </c>
      <c r="T6936" t="s">
        <v>44841</v>
      </c>
      <c r="U6936" t="s">
        <v>50749</v>
      </c>
      <c r="W6936" t="s">
        <v>41652</v>
      </c>
      <c r="X6936" t="s">
        <v>43174</v>
      </c>
    </row>
    <row r="6937" spans="1:24">
      <c r="A6937">
        <f>HYPERLINK("https://www.philgeps.gov.ph/GEPSNONPILOT/Tender/SplashBidNoticeAbstractUI.aspx?menuIndex=3&amp;refID=7076781&amp;Result=3","7076781")</f>
        <v>0</v>
      </c>
      <c r="B6937" t="s">
        <v>2206</v>
      </c>
      <c r="C6937" t="s">
        <v>10025</v>
      </c>
      <c r="D6937" t="s">
        <v>17457</v>
      </c>
      <c r="E6937" t="s">
        <v>23499</v>
      </c>
      <c r="F6937" t="s">
        <v>30055</v>
      </c>
      <c r="G6937" t="s">
        <v>30062</v>
      </c>
      <c r="H6937" t="s">
        <v>30069</v>
      </c>
      <c r="I6937" t="s">
        <v>30111</v>
      </c>
      <c r="J6937" t="s">
        <v>34501</v>
      </c>
      <c r="K6937" t="s">
        <v>39017</v>
      </c>
      <c r="M6937" t="s">
        <v>41675</v>
      </c>
      <c r="N6937" t="s">
        <v>43166</v>
      </c>
      <c r="O6937" t="s">
        <v>43167</v>
      </c>
      <c r="P6937">
        <v>0</v>
      </c>
      <c r="Q6937">
        <v>1</v>
      </c>
      <c r="R6937" t="s">
        <v>43173</v>
      </c>
      <c r="S6937" t="s">
        <v>43374</v>
      </c>
      <c r="T6937" t="s">
        <v>44734</v>
      </c>
      <c r="U6937" t="s">
        <v>50815</v>
      </c>
      <c r="W6937" t="s">
        <v>41675</v>
      </c>
      <c r="X6937" t="s">
        <v>43174</v>
      </c>
    </row>
    <row r="6938" spans="1:24">
      <c r="A6938">
        <f>HYPERLINK("https://www.philgeps.gov.ph/GEPSNONPILOT/Tender/SplashBidNoticeAbstractUI.aspx?menuIndex=3&amp;refID=7076780&amp;Result=3","7076780")</f>
        <v>0</v>
      </c>
      <c r="B6938" t="s">
        <v>1863</v>
      </c>
      <c r="C6938" t="s">
        <v>10026</v>
      </c>
      <c r="D6938" t="s">
        <v>17451</v>
      </c>
      <c r="E6938" t="s">
        <v>23500</v>
      </c>
      <c r="F6938" t="s">
        <v>30052</v>
      </c>
      <c r="G6938" t="s">
        <v>30058</v>
      </c>
      <c r="H6938" t="s">
        <v>30067</v>
      </c>
      <c r="I6938" t="s">
        <v>3693</v>
      </c>
      <c r="J6938" t="s">
        <v>30277</v>
      </c>
      <c r="K6938" t="s">
        <v>39029</v>
      </c>
      <c r="M6938" t="s">
        <v>41291</v>
      </c>
      <c r="N6938" t="s">
        <v>43166</v>
      </c>
      <c r="O6938" t="s">
        <v>43167</v>
      </c>
      <c r="P6938">
        <v>0</v>
      </c>
      <c r="Q6938">
        <v>0</v>
      </c>
      <c r="R6938" t="s">
        <v>43173</v>
      </c>
      <c r="S6938" t="s">
        <v>43374</v>
      </c>
      <c r="T6938" t="s">
        <v>44828</v>
      </c>
      <c r="U6938" t="s">
        <v>50772</v>
      </c>
      <c r="W6938" t="s">
        <v>41291</v>
      </c>
      <c r="X6938" t="s">
        <v>43174</v>
      </c>
    </row>
    <row r="6939" spans="1:24">
      <c r="A6939">
        <f>HYPERLINK("https://www.philgeps.gov.ph/GEPSNONPILOT/Tender/SplashBidNoticeAbstractUI.aspx?menuIndex=3&amp;refID=7076779&amp;Result=3","7076779")</f>
        <v>0</v>
      </c>
      <c r="B6939" t="s">
        <v>611</v>
      </c>
      <c r="C6939" t="s">
        <v>10027</v>
      </c>
      <c r="D6939" t="s">
        <v>17415</v>
      </c>
      <c r="E6939" t="s">
        <v>23501</v>
      </c>
      <c r="F6939" t="s">
        <v>30052</v>
      </c>
      <c r="G6939" t="s">
        <v>30059</v>
      </c>
      <c r="H6939" t="s">
        <v>15498</v>
      </c>
      <c r="I6939" t="s">
        <v>30092</v>
      </c>
      <c r="J6939" t="s">
        <v>34502</v>
      </c>
      <c r="K6939" t="s">
        <v>39019</v>
      </c>
      <c r="M6939" t="s">
        <v>39913</v>
      </c>
      <c r="N6939" t="s">
        <v>43166</v>
      </c>
      <c r="O6939" t="s">
        <v>43167</v>
      </c>
      <c r="P6939">
        <v>0</v>
      </c>
      <c r="Q6939">
        <v>5</v>
      </c>
      <c r="R6939" t="s">
        <v>43173</v>
      </c>
      <c r="S6939" t="s">
        <v>43374</v>
      </c>
      <c r="T6939" t="s">
        <v>44728</v>
      </c>
      <c r="U6939" t="s">
        <v>50816</v>
      </c>
      <c r="W6939" t="s">
        <v>39913</v>
      </c>
      <c r="X6939" t="s">
        <v>43174</v>
      </c>
    </row>
    <row r="6940" spans="1:24">
      <c r="A6940">
        <f>HYPERLINK("https://www.philgeps.gov.ph/GEPSNONPILOT/Tender/SplashBidNoticeAbstractUI.aspx?menuIndex=3&amp;refID=7076778&amp;Result=3","7076778")</f>
        <v>0</v>
      </c>
      <c r="B6940" t="s">
        <v>813</v>
      </c>
      <c r="C6940" t="s">
        <v>10028</v>
      </c>
      <c r="D6940" t="s">
        <v>17426</v>
      </c>
      <c r="E6940" t="s">
        <v>23502</v>
      </c>
      <c r="F6940" t="s">
        <v>30052</v>
      </c>
      <c r="G6940" t="s">
        <v>30059</v>
      </c>
      <c r="H6940" t="s">
        <v>15498</v>
      </c>
      <c r="I6940" t="s">
        <v>30070</v>
      </c>
      <c r="J6940" t="s">
        <v>34503</v>
      </c>
      <c r="K6940" t="s">
        <v>39039</v>
      </c>
      <c r="M6940" t="s">
        <v>40130</v>
      </c>
      <c r="N6940" t="s">
        <v>43166</v>
      </c>
      <c r="O6940" t="s">
        <v>43167</v>
      </c>
      <c r="P6940">
        <v>0</v>
      </c>
      <c r="Q6940">
        <v>0</v>
      </c>
      <c r="R6940" t="s">
        <v>43173</v>
      </c>
      <c r="S6940" t="s">
        <v>43374</v>
      </c>
      <c r="T6940" t="s">
        <v>44894</v>
      </c>
      <c r="U6940" t="s">
        <v>50138</v>
      </c>
      <c r="W6940" t="s">
        <v>40130</v>
      </c>
      <c r="X6940" t="s">
        <v>43174</v>
      </c>
    </row>
    <row r="6941" spans="1:24">
      <c r="A6941">
        <f>HYPERLINK("https://www.philgeps.gov.ph/GEPSNONPILOT/Tender/SplashBidNoticeAbstractUI.aspx?menuIndex=3&amp;refID=7076774&amp;Result=3","7076774")</f>
        <v>0</v>
      </c>
      <c r="B6941" t="s">
        <v>1863</v>
      </c>
      <c r="C6941" t="s">
        <v>10029</v>
      </c>
      <c r="D6941" t="s">
        <v>17451</v>
      </c>
      <c r="E6941" t="s">
        <v>23503</v>
      </c>
      <c r="F6941" t="s">
        <v>30052</v>
      </c>
      <c r="G6941" t="s">
        <v>30058</v>
      </c>
      <c r="H6941" t="s">
        <v>30067</v>
      </c>
      <c r="I6941" t="s">
        <v>3693</v>
      </c>
      <c r="J6941" t="s">
        <v>30277</v>
      </c>
      <c r="K6941" t="s">
        <v>39029</v>
      </c>
      <c r="M6941" t="s">
        <v>41291</v>
      </c>
      <c r="N6941" t="s">
        <v>43166</v>
      </c>
      <c r="O6941" t="s">
        <v>43167</v>
      </c>
      <c r="P6941">
        <v>0</v>
      </c>
      <c r="Q6941">
        <v>0</v>
      </c>
      <c r="R6941" t="s">
        <v>43173</v>
      </c>
      <c r="S6941" t="s">
        <v>43374</v>
      </c>
      <c r="T6941" t="s">
        <v>44828</v>
      </c>
      <c r="U6941" t="s">
        <v>50772</v>
      </c>
      <c r="W6941" t="s">
        <v>41291</v>
      </c>
      <c r="X6941" t="s">
        <v>43174</v>
      </c>
    </row>
    <row r="6942" spans="1:24">
      <c r="A6942">
        <f>HYPERLINK("https://www.philgeps.gov.ph/GEPSNONPILOT/Tender/SplashBidNoticeAbstractUI.aspx?menuIndex=3&amp;refID=7076803&amp;Result=3","7076803")</f>
        <v>0</v>
      </c>
      <c r="B6942" t="s">
        <v>2157</v>
      </c>
      <c r="C6942" t="s">
        <v>10030</v>
      </c>
      <c r="D6942" t="s">
        <v>17463</v>
      </c>
      <c r="E6942" t="s">
        <v>23504</v>
      </c>
      <c r="F6942" t="s">
        <v>30052</v>
      </c>
      <c r="G6942" t="s">
        <v>30058</v>
      </c>
      <c r="H6942" t="s">
        <v>15498</v>
      </c>
      <c r="I6942" t="s">
        <v>30128</v>
      </c>
      <c r="J6942" t="s">
        <v>30556</v>
      </c>
      <c r="K6942" t="s">
        <v>39019</v>
      </c>
      <c r="M6942" t="s">
        <v>41624</v>
      </c>
      <c r="N6942" t="s">
        <v>43166</v>
      </c>
      <c r="O6942" t="s">
        <v>43167</v>
      </c>
      <c r="P6942">
        <v>0</v>
      </c>
      <c r="Q6942">
        <v>2</v>
      </c>
      <c r="R6942" t="s">
        <v>43173</v>
      </c>
      <c r="S6942" t="s">
        <v>43374</v>
      </c>
      <c r="T6942" t="s">
        <v>44758</v>
      </c>
      <c r="U6942" t="s">
        <v>50817</v>
      </c>
      <c r="W6942" t="s">
        <v>41624</v>
      </c>
      <c r="X6942" t="s">
        <v>43174</v>
      </c>
    </row>
    <row r="6943" spans="1:24">
      <c r="A6943">
        <f>HYPERLINK("https://www.philgeps.gov.ph/GEPSNONPILOT/Tender/SplashBidNoticeAbstractUI.aspx?menuIndex=3&amp;refID=7076820&amp;Result=3","7076820")</f>
        <v>0</v>
      </c>
      <c r="B6943" t="s">
        <v>271</v>
      </c>
      <c r="C6943" t="s">
        <v>10031</v>
      </c>
      <c r="D6943" t="s">
        <v>17461</v>
      </c>
      <c r="E6943" t="s">
        <v>23505</v>
      </c>
      <c r="F6943" t="s">
        <v>30052</v>
      </c>
      <c r="G6943" t="s">
        <v>30058</v>
      </c>
      <c r="H6943" t="s">
        <v>30067</v>
      </c>
      <c r="I6943" t="s">
        <v>3693</v>
      </c>
      <c r="J6943" t="s">
        <v>34504</v>
      </c>
      <c r="K6943" t="s">
        <v>39114</v>
      </c>
      <c r="M6943" t="s">
        <v>39565</v>
      </c>
      <c r="N6943" t="s">
        <v>43166</v>
      </c>
      <c r="O6943" t="s">
        <v>43167</v>
      </c>
      <c r="P6943">
        <v>0</v>
      </c>
      <c r="Q6943">
        <v>0</v>
      </c>
      <c r="R6943" t="s">
        <v>43173</v>
      </c>
      <c r="S6943" t="s">
        <v>43374</v>
      </c>
      <c r="T6943" t="s">
        <v>44758</v>
      </c>
      <c r="U6943" t="s">
        <v>50818</v>
      </c>
      <c r="W6943" t="s">
        <v>39565</v>
      </c>
      <c r="X6943" t="s">
        <v>43174</v>
      </c>
    </row>
    <row r="6944" spans="1:24">
      <c r="A6944">
        <f>HYPERLINK("https://www.philgeps.gov.ph/GEPSNONPILOT/Tender/SplashBidNoticeAbstractUI.aspx?menuIndex=3&amp;refID=7076834&amp;Result=3","7076834")</f>
        <v>0</v>
      </c>
      <c r="B6944" t="s">
        <v>611</v>
      </c>
      <c r="C6944" t="s">
        <v>10032</v>
      </c>
      <c r="D6944" t="s">
        <v>17464</v>
      </c>
      <c r="E6944" t="s">
        <v>23506</v>
      </c>
      <c r="F6944" t="s">
        <v>30052</v>
      </c>
      <c r="G6944" t="s">
        <v>30059</v>
      </c>
      <c r="H6944" t="s">
        <v>15498</v>
      </c>
      <c r="I6944" t="s">
        <v>30071</v>
      </c>
      <c r="J6944" t="s">
        <v>34505</v>
      </c>
      <c r="K6944" t="s">
        <v>39019</v>
      </c>
      <c r="M6944" t="s">
        <v>39913</v>
      </c>
      <c r="N6944" t="s">
        <v>43166</v>
      </c>
      <c r="O6944" t="s">
        <v>43167</v>
      </c>
      <c r="P6944">
        <v>0</v>
      </c>
      <c r="Q6944">
        <v>6</v>
      </c>
      <c r="R6944" t="s">
        <v>43173</v>
      </c>
      <c r="S6944" t="s">
        <v>43374</v>
      </c>
      <c r="T6944" t="s">
        <v>44728</v>
      </c>
      <c r="U6944" t="s">
        <v>50819</v>
      </c>
      <c r="W6944" t="s">
        <v>39913</v>
      </c>
      <c r="X6944" t="s">
        <v>43174</v>
      </c>
    </row>
    <row r="6945" spans="1:24">
      <c r="A6945">
        <f>HYPERLINK("https://www.philgeps.gov.ph/GEPSNONPILOT/Tender/SplashBidNoticeAbstractUI.aspx?menuIndex=3&amp;refID=7076828&amp;Result=3","7076828")</f>
        <v>0</v>
      </c>
      <c r="B6945" t="s">
        <v>271</v>
      </c>
      <c r="C6945" t="s">
        <v>10033</v>
      </c>
      <c r="D6945" t="s">
        <v>17461</v>
      </c>
      <c r="E6945" t="s">
        <v>23507</v>
      </c>
      <c r="F6945" t="s">
        <v>30052</v>
      </c>
      <c r="G6945" t="s">
        <v>30058</v>
      </c>
      <c r="H6945" t="s">
        <v>30067</v>
      </c>
      <c r="I6945" t="s">
        <v>3693</v>
      </c>
      <c r="J6945" t="s">
        <v>34506</v>
      </c>
      <c r="K6945" t="s">
        <v>39020</v>
      </c>
      <c r="M6945" t="s">
        <v>39565</v>
      </c>
      <c r="N6945" t="s">
        <v>43166</v>
      </c>
      <c r="O6945" t="s">
        <v>43167</v>
      </c>
      <c r="P6945">
        <v>0</v>
      </c>
      <c r="Q6945">
        <v>1</v>
      </c>
      <c r="R6945" t="s">
        <v>43173</v>
      </c>
      <c r="S6945" t="s">
        <v>43374</v>
      </c>
      <c r="T6945" t="s">
        <v>44758</v>
      </c>
      <c r="U6945" t="s">
        <v>50820</v>
      </c>
      <c r="W6945" t="s">
        <v>39565</v>
      </c>
      <c r="X6945" t="s">
        <v>43174</v>
      </c>
    </row>
    <row r="6946" spans="1:24">
      <c r="A6946">
        <f>HYPERLINK("https://www.philgeps.gov.ph/GEPSNONPILOT/Tender/SplashBidNoticeAbstractUI.aspx?menuIndex=3&amp;refID=7076762&amp;Result=3","7076762")</f>
        <v>0</v>
      </c>
      <c r="B6946" t="s">
        <v>1863</v>
      </c>
      <c r="C6946" t="s">
        <v>10034</v>
      </c>
      <c r="D6946" t="s">
        <v>17451</v>
      </c>
      <c r="E6946" t="s">
        <v>23508</v>
      </c>
      <c r="F6946" t="s">
        <v>30052</v>
      </c>
      <c r="G6946" t="s">
        <v>30058</v>
      </c>
      <c r="H6946" t="s">
        <v>30067</v>
      </c>
      <c r="I6946" t="s">
        <v>3693</v>
      </c>
      <c r="J6946" t="s">
        <v>30218</v>
      </c>
      <c r="K6946" t="s">
        <v>39029</v>
      </c>
      <c r="M6946" t="s">
        <v>41291</v>
      </c>
      <c r="N6946" t="s">
        <v>43166</v>
      </c>
      <c r="O6946" t="s">
        <v>43167</v>
      </c>
      <c r="P6946">
        <v>0</v>
      </c>
      <c r="Q6946">
        <v>0</v>
      </c>
      <c r="R6946" t="s">
        <v>43173</v>
      </c>
      <c r="S6946" t="s">
        <v>43374</v>
      </c>
      <c r="T6946" t="s">
        <v>44828</v>
      </c>
      <c r="U6946" t="s">
        <v>50772</v>
      </c>
      <c r="W6946" t="s">
        <v>41291</v>
      </c>
      <c r="X6946" t="s">
        <v>43174</v>
      </c>
    </row>
    <row r="6947" spans="1:24">
      <c r="A6947">
        <f>HYPERLINK("https://www.philgeps.gov.ph/GEPSNONPILOT/Tender/SplashBidNoticeAbstractUI.aspx?menuIndex=3&amp;refID=7076784&amp;Result=3","7076784")</f>
        <v>0</v>
      </c>
      <c r="B6947" t="s">
        <v>911</v>
      </c>
      <c r="C6947" t="s">
        <v>10035</v>
      </c>
      <c r="D6947" t="s">
        <v>17484</v>
      </c>
      <c r="E6947" t="s">
        <v>23509</v>
      </c>
      <c r="F6947" t="s">
        <v>30052</v>
      </c>
      <c r="G6947" t="s">
        <v>30058</v>
      </c>
      <c r="H6947" t="s">
        <v>30067</v>
      </c>
      <c r="I6947" t="s">
        <v>3693</v>
      </c>
      <c r="J6947" t="s">
        <v>34507</v>
      </c>
      <c r="K6947" t="s">
        <v>39023</v>
      </c>
      <c r="M6947" t="s">
        <v>40234</v>
      </c>
      <c r="N6947" t="s">
        <v>43166</v>
      </c>
      <c r="O6947" t="s">
        <v>43167</v>
      </c>
      <c r="P6947">
        <v>0</v>
      </c>
      <c r="Q6947">
        <v>0</v>
      </c>
      <c r="R6947" t="s">
        <v>43173</v>
      </c>
      <c r="S6947" t="s">
        <v>43374</v>
      </c>
      <c r="T6947" t="s">
        <v>44905</v>
      </c>
      <c r="U6947" t="s">
        <v>50821</v>
      </c>
      <c r="W6947" t="s">
        <v>40234</v>
      </c>
      <c r="X6947" t="s">
        <v>43174</v>
      </c>
    </row>
    <row r="6948" spans="1:24">
      <c r="A6948">
        <f>HYPERLINK("https://www.philgeps.gov.ph/GEPSNONPILOT/Tender/SplashBidNoticeAbstractUI.aspx?menuIndex=3&amp;refID=7076619&amp;Result=3","7076619")</f>
        <v>0</v>
      </c>
      <c r="B6948" t="s">
        <v>2183</v>
      </c>
      <c r="C6948" t="s">
        <v>10036</v>
      </c>
      <c r="D6948" t="s">
        <v>17482</v>
      </c>
      <c r="E6948" t="s">
        <v>23510</v>
      </c>
      <c r="F6948" t="s">
        <v>30052</v>
      </c>
      <c r="G6948" t="s">
        <v>30059</v>
      </c>
      <c r="H6948" t="s">
        <v>15498</v>
      </c>
      <c r="I6948" t="s">
        <v>3852</v>
      </c>
      <c r="J6948" t="s">
        <v>34508</v>
      </c>
      <c r="K6948" t="s">
        <v>39017</v>
      </c>
      <c r="M6948" t="s">
        <v>41652</v>
      </c>
      <c r="N6948" t="s">
        <v>43166</v>
      </c>
      <c r="O6948" t="s">
        <v>43167</v>
      </c>
      <c r="P6948">
        <v>0</v>
      </c>
      <c r="Q6948">
        <v>0</v>
      </c>
      <c r="R6948" t="s">
        <v>43173</v>
      </c>
      <c r="S6948" t="s">
        <v>43374</v>
      </c>
      <c r="T6948" t="s">
        <v>44841</v>
      </c>
      <c r="U6948" t="s">
        <v>50749</v>
      </c>
      <c r="W6948" t="s">
        <v>41652</v>
      </c>
      <c r="X6948" t="s">
        <v>43174</v>
      </c>
    </row>
    <row r="6949" spans="1:24">
      <c r="A6949">
        <f>HYPERLINK("https://www.philgeps.gov.ph/GEPSNONPILOT/Tender/SplashBidNoticeAbstractUI.aspx?menuIndex=3&amp;refID=7076818&amp;Result=3","7076818")</f>
        <v>0</v>
      </c>
      <c r="B6949" t="s">
        <v>611</v>
      </c>
      <c r="C6949" t="s">
        <v>9971</v>
      </c>
      <c r="D6949" t="s">
        <v>17415</v>
      </c>
      <c r="E6949" t="s">
        <v>23511</v>
      </c>
      <c r="F6949" t="s">
        <v>30052</v>
      </c>
      <c r="G6949" t="s">
        <v>30061</v>
      </c>
      <c r="H6949" t="s">
        <v>15498</v>
      </c>
      <c r="I6949" t="s">
        <v>30070</v>
      </c>
      <c r="J6949" t="s">
        <v>34509</v>
      </c>
      <c r="K6949" t="s">
        <v>39019</v>
      </c>
      <c r="M6949" t="s">
        <v>39913</v>
      </c>
      <c r="N6949" t="s">
        <v>43166</v>
      </c>
      <c r="O6949" t="s">
        <v>43167</v>
      </c>
      <c r="P6949">
        <v>0</v>
      </c>
      <c r="Q6949">
        <v>5</v>
      </c>
      <c r="R6949" t="s">
        <v>43173</v>
      </c>
      <c r="S6949" t="s">
        <v>43374</v>
      </c>
      <c r="T6949" t="s">
        <v>44728</v>
      </c>
      <c r="U6949" t="s">
        <v>50822</v>
      </c>
      <c r="W6949" t="s">
        <v>39913</v>
      </c>
      <c r="X6949" t="s">
        <v>43174</v>
      </c>
    </row>
    <row r="6950" spans="1:24">
      <c r="A6950">
        <f>HYPERLINK("https://www.philgeps.gov.ph/GEPSNONPILOT/Tender/SplashBidNoticeAbstractUI.aspx?menuIndex=3&amp;refID=7076816&amp;Result=3","7076816")</f>
        <v>0</v>
      </c>
      <c r="B6950" t="s">
        <v>2207</v>
      </c>
      <c r="C6950" t="s">
        <v>10037</v>
      </c>
      <c r="D6950" t="s">
        <v>17432</v>
      </c>
      <c r="E6950" t="s">
        <v>18583</v>
      </c>
      <c r="F6950" t="s">
        <v>30052</v>
      </c>
      <c r="G6950" t="s">
        <v>30062</v>
      </c>
      <c r="H6950" t="s">
        <v>15498</v>
      </c>
      <c r="I6950" t="s">
        <v>30085</v>
      </c>
      <c r="J6950" t="s">
        <v>34510</v>
      </c>
      <c r="K6950" t="s">
        <v>39039</v>
      </c>
      <c r="M6950" t="s">
        <v>41676</v>
      </c>
      <c r="N6950" t="s">
        <v>43166</v>
      </c>
      <c r="O6950" t="s">
        <v>43167</v>
      </c>
      <c r="P6950">
        <v>0</v>
      </c>
      <c r="Q6950">
        <v>1</v>
      </c>
      <c r="R6950" t="s">
        <v>43173</v>
      </c>
      <c r="S6950" t="s">
        <v>43374</v>
      </c>
      <c r="T6950" t="s">
        <v>44720</v>
      </c>
      <c r="U6950" t="s">
        <v>50823</v>
      </c>
      <c r="W6950" t="s">
        <v>41676</v>
      </c>
      <c r="X6950" t="s">
        <v>43174</v>
      </c>
    </row>
    <row r="6951" spans="1:24">
      <c r="A6951">
        <f>HYPERLINK("https://www.philgeps.gov.ph/GEPSNONPILOT/Tender/SplashBidNoticeAbstractUI.aspx?menuIndex=3&amp;refID=7076821&amp;Result=3","7076821")</f>
        <v>0</v>
      </c>
      <c r="B6951" t="s">
        <v>553</v>
      </c>
      <c r="C6951" t="s">
        <v>10038</v>
      </c>
      <c r="D6951" t="s">
        <v>17419</v>
      </c>
      <c r="E6951" t="s">
        <v>23512</v>
      </c>
      <c r="F6951" t="s">
        <v>30052</v>
      </c>
      <c r="G6951" t="s">
        <v>30058</v>
      </c>
      <c r="H6951" t="s">
        <v>15498</v>
      </c>
      <c r="I6951" t="s">
        <v>30070</v>
      </c>
      <c r="J6951" t="s">
        <v>34511</v>
      </c>
      <c r="K6951" t="s">
        <v>39029</v>
      </c>
      <c r="M6951" t="s">
        <v>39855</v>
      </c>
      <c r="N6951" t="s">
        <v>43166</v>
      </c>
      <c r="O6951" t="s">
        <v>43167</v>
      </c>
      <c r="P6951">
        <v>0</v>
      </c>
      <c r="Q6951">
        <v>1</v>
      </c>
      <c r="R6951" t="s">
        <v>43173</v>
      </c>
      <c r="S6951" t="s">
        <v>43374</v>
      </c>
      <c r="T6951" t="s">
        <v>45010</v>
      </c>
      <c r="U6951" t="s">
        <v>50824</v>
      </c>
      <c r="V6951" t="s">
        <v>57549</v>
      </c>
      <c r="W6951" t="s">
        <v>39855</v>
      </c>
      <c r="X6951" t="s">
        <v>43174</v>
      </c>
    </row>
    <row r="6952" spans="1:24">
      <c r="A6952">
        <f>HYPERLINK("https://www.philgeps.gov.ph/GEPSNONPILOT/Tender/SplashBidNoticeAbstractUI.aspx?menuIndex=3&amp;refID=7076832&amp;Result=3","7076832")</f>
        <v>0</v>
      </c>
      <c r="B6952" t="s">
        <v>1800</v>
      </c>
      <c r="C6952" t="s">
        <v>10039</v>
      </c>
      <c r="D6952" t="s">
        <v>17474</v>
      </c>
      <c r="E6952" t="s">
        <v>23513</v>
      </c>
      <c r="F6952" t="s">
        <v>30052</v>
      </c>
      <c r="G6952" t="s">
        <v>30059</v>
      </c>
      <c r="H6952" t="s">
        <v>15498</v>
      </c>
      <c r="I6952" t="s">
        <v>30117</v>
      </c>
      <c r="J6952" t="s">
        <v>34512</v>
      </c>
      <c r="K6952" t="s">
        <v>39038</v>
      </c>
      <c r="M6952" t="s">
        <v>41223</v>
      </c>
      <c r="N6952" t="s">
        <v>43166</v>
      </c>
      <c r="O6952" t="s">
        <v>43167</v>
      </c>
      <c r="P6952">
        <v>0</v>
      </c>
      <c r="Q6952">
        <v>0</v>
      </c>
      <c r="R6952" t="s">
        <v>43173</v>
      </c>
      <c r="S6952" t="s">
        <v>43374</v>
      </c>
      <c r="T6952" t="s">
        <v>44865</v>
      </c>
      <c r="U6952" t="s">
        <v>50825</v>
      </c>
      <c r="W6952" t="s">
        <v>41223</v>
      </c>
      <c r="X6952" t="s">
        <v>43174</v>
      </c>
    </row>
    <row r="6953" spans="1:24">
      <c r="A6953">
        <f>HYPERLINK("https://www.philgeps.gov.ph/GEPSNONPILOT/Tender/SplashBidNoticeAbstractUI.aspx?menuIndex=3&amp;refID=7076812&amp;Result=3","7076812")</f>
        <v>0</v>
      </c>
      <c r="B6953" t="s">
        <v>2208</v>
      </c>
      <c r="C6953" t="s">
        <v>10040</v>
      </c>
      <c r="D6953" t="s">
        <v>17466</v>
      </c>
      <c r="E6953" t="s">
        <v>23514</v>
      </c>
      <c r="F6953" t="s">
        <v>30052</v>
      </c>
      <c r="G6953" t="s">
        <v>30058</v>
      </c>
      <c r="H6953" t="s">
        <v>30069</v>
      </c>
      <c r="I6953" t="s">
        <v>30074</v>
      </c>
      <c r="J6953" t="s">
        <v>30555</v>
      </c>
      <c r="K6953" t="s">
        <v>39029</v>
      </c>
      <c r="M6953" t="s">
        <v>41677</v>
      </c>
      <c r="N6953" t="s">
        <v>43166</v>
      </c>
      <c r="O6953" t="s">
        <v>43167</v>
      </c>
      <c r="P6953">
        <v>0</v>
      </c>
      <c r="Q6953">
        <v>2</v>
      </c>
      <c r="R6953" t="s">
        <v>43173</v>
      </c>
      <c r="S6953" t="s">
        <v>43374</v>
      </c>
      <c r="T6953" t="s">
        <v>44789</v>
      </c>
      <c r="U6953" t="s">
        <v>50826</v>
      </c>
      <c r="W6953" t="s">
        <v>41677</v>
      </c>
      <c r="X6953" t="s">
        <v>43174</v>
      </c>
    </row>
    <row r="6954" spans="1:24">
      <c r="A6954">
        <f>HYPERLINK("https://www.philgeps.gov.ph/GEPSNONPILOT/Tender/SplashBidNoticeAbstractUI.aspx?menuIndex=3&amp;refID=7076737&amp;Result=3","7076737")</f>
        <v>0</v>
      </c>
      <c r="B6954" t="s">
        <v>1181</v>
      </c>
      <c r="C6954" t="s">
        <v>10041</v>
      </c>
      <c r="D6954" t="s">
        <v>17444</v>
      </c>
      <c r="E6954" t="s">
        <v>23515</v>
      </c>
      <c r="F6954" t="s">
        <v>30052</v>
      </c>
      <c r="G6954" t="s">
        <v>30058</v>
      </c>
      <c r="H6954" t="s">
        <v>30067</v>
      </c>
      <c r="I6954" t="s">
        <v>3693</v>
      </c>
      <c r="J6954" t="s">
        <v>34513</v>
      </c>
      <c r="K6954" t="s">
        <v>39025</v>
      </c>
      <c r="M6954" t="s">
        <v>41300</v>
      </c>
      <c r="N6954" t="s">
        <v>43166</v>
      </c>
      <c r="O6954" t="s">
        <v>43167</v>
      </c>
      <c r="P6954">
        <v>0</v>
      </c>
      <c r="Q6954">
        <v>7</v>
      </c>
      <c r="R6954" t="s">
        <v>43173</v>
      </c>
      <c r="S6954" t="s">
        <v>43374</v>
      </c>
      <c r="T6954" t="s">
        <v>44813</v>
      </c>
      <c r="U6954" t="s">
        <v>50827</v>
      </c>
      <c r="W6954" t="s">
        <v>41300</v>
      </c>
      <c r="X6954" t="s">
        <v>43174</v>
      </c>
    </row>
    <row r="6955" spans="1:24">
      <c r="A6955">
        <f>HYPERLINK("https://www.philgeps.gov.ph/GEPSNONPILOT/Tender/SplashBidNoticeAbstractUI.aspx?menuIndex=3&amp;refID=7076862&amp;Result=3","7076862")</f>
        <v>0</v>
      </c>
      <c r="B6955" t="s">
        <v>2209</v>
      </c>
      <c r="C6955" t="s">
        <v>10042</v>
      </c>
      <c r="D6955" t="s">
        <v>17465</v>
      </c>
      <c r="E6955" t="s">
        <v>23516</v>
      </c>
      <c r="F6955" t="s">
        <v>30052</v>
      </c>
      <c r="G6955" t="s">
        <v>30059</v>
      </c>
      <c r="H6955" t="s">
        <v>30067</v>
      </c>
      <c r="I6955" t="s">
        <v>3693</v>
      </c>
      <c r="J6955" t="s">
        <v>34514</v>
      </c>
      <c r="K6955" t="s">
        <v>39037</v>
      </c>
      <c r="M6955" t="s">
        <v>41678</v>
      </c>
      <c r="N6955" t="s">
        <v>43166</v>
      </c>
      <c r="O6955" t="s">
        <v>43167</v>
      </c>
      <c r="P6955">
        <v>0</v>
      </c>
      <c r="Q6955">
        <v>1</v>
      </c>
      <c r="R6955" t="s">
        <v>43173</v>
      </c>
      <c r="S6955" t="s">
        <v>43374</v>
      </c>
      <c r="T6955" t="s">
        <v>44773</v>
      </c>
      <c r="U6955" t="s">
        <v>50828</v>
      </c>
      <c r="W6955" t="s">
        <v>41678</v>
      </c>
      <c r="X6955" t="s">
        <v>43174</v>
      </c>
    </row>
    <row r="6956" spans="1:24">
      <c r="A6956">
        <f>HYPERLINK("https://www.philgeps.gov.ph/GEPSNONPILOT/Tender/SplashBidNoticeAbstractUI.aspx?menuIndex=3&amp;refID=7076819&amp;Result=3","7076819")</f>
        <v>0</v>
      </c>
      <c r="B6956" t="s">
        <v>2210</v>
      </c>
      <c r="C6956" t="s">
        <v>10043</v>
      </c>
      <c r="D6956" t="s">
        <v>17460</v>
      </c>
      <c r="E6956" t="s">
        <v>23315</v>
      </c>
      <c r="F6956" t="s">
        <v>30052</v>
      </c>
      <c r="G6956" t="s">
        <v>30058</v>
      </c>
      <c r="H6956" t="s">
        <v>30067</v>
      </c>
      <c r="I6956" t="s">
        <v>3693</v>
      </c>
      <c r="J6956" t="s">
        <v>32017</v>
      </c>
      <c r="K6956" t="s">
        <v>39029</v>
      </c>
      <c r="M6956" t="s">
        <v>41679</v>
      </c>
      <c r="N6956" t="s">
        <v>43166</v>
      </c>
      <c r="O6956" t="s">
        <v>43167</v>
      </c>
      <c r="P6956">
        <v>0</v>
      </c>
      <c r="Q6956">
        <v>4</v>
      </c>
      <c r="R6956" t="s">
        <v>43173</v>
      </c>
      <c r="S6956" t="s">
        <v>43374</v>
      </c>
      <c r="T6956" t="s">
        <v>44699</v>
      </c>
      <c r="U6956" t="s">
        <v>50829</v>
      </c>
      <c r="W6956" t="s">
        <v>41679</v>
      </c>
      <c r="X6956" t="s">
        <v>43174</v>
      </c>
    </row>
    <row r="6957" spans="1:24">
      <c r="A6957">
        <f>HYPERLINK("https://www.philgeps.gov.ph/GEPSNONPILOT/Tender/SplashBidNoticeAbstractUI.aspx?menuIndex=3&amp;refID=7076817&amp;Result=3","7076817")</f>
        <v>0</v>
      </c>
      <c r="B6957" t="s">
        <v>2211</v>
      </c>
      <c r="C6957" t="s">
        <v>3461</v>
      </c>
      <c r="D6957" t="s">
        <v>17456</v>
      </c>
      <c r="E6957" t="s">
        <v>23517</v>
      </c>
      <c r="F6957" t="s">
        <v>30052</v>
      </c>
      <c r="G6957" t="s">
        <v>30058</v>
      </c>
      <c r="H6957" t="s">
        <v>15498</v>
      </c>
      <c r="I6957" t="s">
        <v>30072</v>
      </c>
      <c r="J6957" t="s">
        <v>30555</v>
      </c>
      <c r="K6957" t="s">
        <v>39025</v>
      </c>
      <c r="M6957" t="s">
        <v>41680</v>
      </c>
      <c r="N6957" t="s">
        <v>43166</v>
      </c>
      <c r="O6957" t="s">
        <v>43167</v>
      </c>
      <c r="P6957">
        <v>0</v>
      </c>
      <c r="Q6957">
        <v>3</v>
      </c>
      <c r="R6957" t="s">
        <v>43173</v>
      </c>
      <c r="S6957" t="s">
        <v>43374</v>
      </c>
      <c r="T6957" t="s">
        <v>44953</v>
      </c>
      <c r="U6957" t="s">
        <v>50830</v>
      </c>
      <c r="V6957" t="s">
        <v>56830</v>
      </c>
      <c r="W6957" t="s">
        <v>41680</v>
      </c>
      <c r="X6957" t="s">
        <v>43174</v>
      </c>
    </row>
    <row r="6958" spans="1:24">
      <c r="A6958">
        <f>HYPERLINK("https://www.philgeps.gov.ph/GEPSNONPILOT/Tender/SplashBidNoticeAbstractUI.aspx?menuIndex=3&amp;refID=7076883&amp;Result=3","7076883")</f>
        <v>0</v>
      </c>
      <c r="B6958" t="s">
        <v>1428</v>
      </c>
      <c r="C6958" t="s">
        <v>10044</v>
      </c>
      <c r="D6958" t="s">
        <v>17463</v>
      </c>
      <c r="E6958" t="s">
        <v>17799</v>
      </c>
      <c r="F6958" t="s">
        <v>30052</v>
      </c>
      <c r="G6958" t="s">
        <v>30058</v>
      </c>
      <c r="H6958" t="s">
        <v>30067</v>
      </c>
      <c r="I6958" t="s">
        <v>3693</v>
      </c>
      <c r="J6958" t="s">
        <v>30230</v>
      </c>
      <c r="K6958" t="s">
        <v>39034</v>
      </c>
      <c r="M6958" t="s">
        <v>40806</v>
      </c>
      <c r="N6958" t="s">
        <v>43166</v>
      </c>
      <c r="O6958" t="s">
        <v>43167</v>
      </c>
      <c r="P6958">
        <v>0</v>
      </c>
      <c r="Q6958">
        <v>2</v>
      </c>
      <c r="R6958" t="s">
        <v>43173</v>
      </c>
      <c r="S6958" t="s">
        <v>43374</v>
      </c>
      <c r="T6958" t="s">
        <v>44944</v>
      </c>
      <c r="U6958" t="s">
        <v>50831</v>
      </c>
      <c r="W6958" t="s">
        <v>40806</v>
      </c>
      <c r="X6958" t="s">
        <v>43174</v>
      </c>
    </row>
    <row r="6959" spans="1:24">
      <c r="A6959">
        <f>HYPERLINK("https://www.philgeps.gov.ph/GEPSNONPILOT/Tender/SplashBidNoticeAbstractUI.aspx?menuIndex=3&amp;refID=7076882&amp;Result=3","7076882")</f>
        <v>0</v>
      </c>
      <c r="B6959" t="s">
        <v>1667</v>
      </c>
      <c r="C6959" t="s">
        <v>10045</v>
      </c>
      <c r="D6959" t="s">
        <v>17416</v>
      </c>
      <c r="E6959" t="s">
        <v>23518</v>
      </c>
      <c r="F6959" t="s">
        <v>30052</v>
      </c>
      <c r="G6959" t="s">
        <v>30058</v>
      </c>
      <c r="H6959" t="s">
        <v>30067</v>
      </c>
      <c r="I6959" t="s">
        <v>3693</v>
      </c>
      <c r="J6959" t="s">
        <v>34515</v>
      </c>
      <c r="K6959" t="s">
        <v>39075</v>
      </c>
      <c r="M6959" t="s">
        <v>41681</v>
      </c>
      <c r="N6959" t="s">
        <v>43166</v>
      </c>
      <c r="O6959" t="s">
        <v>43167</v>
      </c>
      <c r="P6959">
        <v>0</v>
      </c>
      <c r="Q6959">
        <v>0</v>
      </c>
      <c r="R6959" t="s">
        <v>43173</v>
      </c>
      <c r="S6959" t="s">
        <v>43374</v>
      </c>
      <c r="T6959" t="s">
        <v>44993</v>
      </c>
      <c r="U6959" t="s">
        <v>50832</v>
      </c>
      <c r="W6959" t="s">
        <v>41681</v>
      </c>
      <c r="X6959" t="s">
        <v>43174</v>
      </c>
    </row>
    <row r="6960" spans="1:24">
      <c r="A6960">
        <f>HYPERLINK("https://www.philgeps.gov.ph/GEPSNONPILOT/Tender/SplashBidNoticeAbstractUI.aspx?menuIndex=3&amp;refID=7076814&amp;Result=3","7076814")</f>
        <v>0</v>
      </c>
      <c r="B6960" t="s">
        <v>2212</v>
      </c>
      <c r="C6960" t="s">
        <v>10046</v>
      </c>
      <c r="D6960" t="s">
        <v>17478</v>
      </c>
      <c r="E6960" t="s">
        <v>23519</v>
      </c>
      <c r="F6960" t="s">
        <v>30052</v>
      </c>
      <c r="G6960" t="s">
        <v>30058</v>
      </c>
      <c r="H6960" t="s">
        <v>15498</v>
      </c>
      <c r="I6960" t="s">
        <v>4650</v>
      </c>
      <c r="J6960" t="s">
        <v>30747</v>
      </c>
      <c r="K6960" t="s">
        <v>39025</v>
      </c>
      <c r="L6960" t="s">
        <v>2212</v>
      </c>
      <c r="M6960" t="s">
        <v>41682</v>
      </c>
      <c r="N6960" t="s">
        <v>43166</v>
      </c>
      <c r="O6960" t="s">
        <v>43167</v>
      </c>
      <c r="P6960">
        <v>0</v>
      </c>
      <c r="Q6960">
        <v>2</v>
      </c>
      <c r="R6960" t="s">
        <v>43173</v>
      </c>
      <c r="S6960" t="s">
        <v>43374</v>
      </c>
      <c r="T6960" t="s">
        <v>44769</v>
      </c>
      <c r="U6960" t="s">
        <v>50833</v>
      </c>
      <c r="W6960" t="s">
        <v>41682</v>
      </c>
      <c r="X6960" t="s">
        <v>43174</v>
      </c>
    </row>
    <row r="6961" spans="1:24">
      <c r="A6961">
        <f>HYPERLINK("https://www.philgeps.gov.ph/GEPSNONPILOT/Tender/SplashBidNoticeAbstractUI.aspx?menuIndex=3&amp;refID=7076878&amp;Result=3","7076878")</f>
        <v>0</v>
      </c>
      <c r="B6961" t="s">
        <v>1467</v>
      </c>
      <c r="C6961" t="s">
        <v>10047</v>
      </c>
      <c r="D6961" t="s">
        <v>17464</v>
      </c>
      <c r="E6961" t="s">
        <v>23520</v>
      </c>
      <c r="F6961" t="s">
        <v>30052</v>
      </c>
      <c r="G6961" t="s">
        <v>30059</v>
      </c>
      <c r="H6961" t="s">
        <v>15498</v>
      </c>
      <c r="I6961" t="s">
        <v>30076</v>
      </c>
      <c r="J6961" t="s">
        <v>34516</v>
      </c>
      <c r="K6961" t="s">
        <v>39029</v>
      </c>
      <c r="M6961" t="s">
        <v>40849</v>
      </c>
      <c r="N6961" t="s">
        <v>43166</v>
      </c>
      <c r="O6961" t="s">
        <v>43167</v>
      </c>
      <c r="P6961">
        <v>0</v>
      </c>
      <c r="Q6961">
        <v>15</v>
      </c>
      <c r="R6961" t="s">
        <v>43173</v>
      </c>
      <c r="S6961" t="s">
        <v>43374</v>
      </c>
      <c r="T6961" t="s">
        <v>44862</v>
      </c>
      <c r="U6961" t="s">
        <v>50834</v>
      </c>
      <c r="W6961" t="s">
        <v>40849</v>
      </c>
      <c r="X6961" t="s">
        <v>43174</v>
      </c>
    </row>
    <row r="6962" spans="1:24">
      <c r="A6962">
        <f>HYPERLINK("https://www.philgeps.gov.ph/GEPSNONPILOT/Tender/SplashBidNoticeAbstractUI.aspx?menuIndex=3&amp;refID=7076721&amp;Result=3","7076721")</f>
        <v>0</v>
      </c>
      <c r="B6962" t="s">
        <v>611</v>
      </c>
      <c r="C6962" t="s">
        <v>4823</v>
      </c>
      <c r="D6962" t="s">
        <v>17415</v>
      </c>
      <c r="E6962" t="s">
        <v>23521</v>
      </c>
      <c r="F6962" t="s">
        <v>30052</v>
      </c>
      <c r="G6962" t="s">
        <v>30059</v>
      </c>
      <c r="H6962" t="s">
        <v>15498</v>
      </c>
      <c r="I6962" t="s">
        <v>30092</v>
      </c>
      <c r="J6962" t="s">
        <v>34517</v>
      </c>
      <c r="K6962" t="s">
        <v>39019</v>
      </c>
      <c r="M6962" t="s">
        <v>39913</v>
      </c>
      <c r="N6962" t="s">
        <v>43166</v>
      </c>
      <c r="O6962" t="s">
        <v>43167</v>
      </c>
      <c r="P6962">
        <v>0</v>
      </c>
      <c r="Q6962">
        <v>5</v>
      </c>
      <c r="R6962" t="s">
        <v>43173</v>
      </c>
      <c r="S6962" t="s">
        <v>43374</v>
      </c>
      <c r="T6962" t="s">
        <v>44728</v>
      </c>
      <c r="U6962" t="s">
        <v>50835</v>
      </c>
      <c r="W6962" t="s">
        <v>39913</v>
      </c>
      <c r="X6962" t="s">
        <v>43174</v>
      </c>
    </row>
    <row r="6963" spans="1:24">
      <c r="A6963">
        <f>HYPERLINK("https://www.philgeps.gov.ph/GEPSNONPILOT/Tender/SplashBidNoticeAbstractUI.aspx?menuIndex=3&amp;refID=7076874&amp;Result=3","7076874")</f>
        <v>0</v>
      </c>
      <c r="B6963" t="s">
        <v>2213</v>
      </c>
      <c r="C6963" t="s">
        <v>10048</v>
      </c>
      <c r="D6963" t="s">
        <v>17462</v>
      </c>
      <c r="E6963" t="s">
        <v>23315</v>
      </c>
      <c r="F6963" t="s">
        <v>30052</v>
      </c>
      <c r="G6963" t="s">
        <v>30059</v>
      </c>
      <c r="H6963" t="s">
        <v>15498</v>
      </c>
      <c r="I6963" t="s">
        <v>6304</v>
      </c>
      <c r="J6963" t="s">
        <v>30743</v>
      </c>
      <c r="K6963" t="s">
        <v>39029</v>
      </c>
      <c r="M6963" t="s">
        <v>41683</v>
      </c>
      <c r="N6963" t="s">
        <v>43166</v>
      </c>
      <c r="O6963" t="s">
        <v>43167</v>
      </c>
      <c r="P6963">
        <v>0</v>
      </c>
      <c r="Q6963">
        <v>3</v>
      </c>
      <c r="R6963" t="s">
        <v>43173</v>
      </c>
      <c r="S6963" t="s">
        <v>43374</v>
      </c>
      <c r="T6963" t="s">
        <v>44841</v>
      </c>
      <c r="U6963" t="s">
        <v>50836</v>
      </c>
      <c r="W6963" t="s">
        <v>41683</v>
      </c>
      <c r="X6963" t="s">
        <v>43174</v>
      </c>
    </row>
    <row r="6964" spans="1:24">
      <c r="A6964">
        <f>HYPERLINK("https://www.philgeps.gov.ph/GEPSNONPILOT/Tender/SplashBidNoticeAbstractUI.aspx?menuIndex=3&amp;refID=7076866&amp;Result=3","7076866")</f>
        <v>0</v>
      </c>
      <c r="B6964" t="s">
        <v>1429</v>
      </c>
      <c r="C6964" t="s">
        <v>10049</v>
      </c>
      <c r="D6964" t="s">
        <v>17432</v>
      </c>
      <c r="E6964" t="s">
        <v>23522</v>
      </c>
      <c r="F6964" t="s">
        <v>30052</v>
      </c>
      <c r="G6964" t="s">
        <v>30059</v>
      </c>
      <c r="H6964" t="s">
        <v>15498</v>
      </c>
      <c r="I6964" t="s">
        <v>3736</v>
      </c>
      <c r="J6964" t="s">
        <v>34518</v>
      </c>
      <c r="K6964" t="s">
        <v>39017</v>
      </c>
      <c r="M6964" t="s">
        <v>40807</v>
      </c>
      <c r="N6964" t="s">
        <v>43166</v>
      </c>
      <c r="O6964" t="s">
        <v>43167</v>
      </c>
      <c r="P6964">
        <v>0</v>
      </c>
      <c r="Q6964">
        <v>0</v>
      </c>
      <c r="R6964" t="s">
        <v>43173</v>
      </c>
      <c r="S6964" t="s">
        <v>43374</v>
      </c>
      <c r="T6964" t="s">
        <v>44717</v>
      </c>
      <c r="U6964" t="s">
        <v>48399</v>
      </c>
      <c r="W6964" t="s">
        <v>40807</v>
      </c>
      <c r="X6964" t="s">
        <v>43174</v>
      </c>
    </row>
    <row r="6965" spans="1:24">
      <c r="A6965">
        <f>HYPERLINK("https://www.philgeps.gov.ph/GEPSNONPILOT/Tender/SplashBidNoticeAbstractUI.aspx?menuIndex=3&amp;refID=7076815&amp;Result=3","7076815")</f>
        <v>0</v>
      </c>
      <c r="B6965" t="s">
        <v>1863</v>
      </c>
      <c r="C6965" t="s">
        <v>10050</v>
      </c>
      <c r="D6965" t="s">
        <v>17451</v>
      </c>
      <c r="E6965" t="s">
        <v>23523</v>
      </c>
      <c r="F6965" t="s">
        <v>30052</v>
      </c>
      <c r="G6965" t="s">
        <v>30058</v>
      </c>
      <c r="H6965" t="s">
        <v>30067</v>
      </c>
      <c r="I6965" t="s">
        <v>3693</v>
      </c>
      <c r="J6965" t="s">
        <v>30252</v>
      </c>
      <c r="K6965" t="s">
        <v>39086</v>
      </c>
      <c r="M6965" t="s">
        <v>41291</v>
      </c>
      <c r="N6965" t="s">
        <v>43166</v>
      </c>
      <c r="O6965" t="s">
        <v>43167</v>
      </c>
      <c r="P6965">
        <v>0</v>
      </c>
      <c r="Q6965">
        <v>0</v>
      </c>
      <c r="R6965" t="s">
        <v>43173</v>
      </c>
      <c r="S6965" t="s">
        <v>43374</v>
      </c>
      <c r="T6965" t="s">
        <v>44828</v>
      </c>
      <c r="U6965" t="s">
        <v>50772</v>
      </c>
      <c r="W6965" t="s">
        <v>41291</v>
      </c>
      <c r="X6965" t="s">
        <v>43174</v>
      </c>
    </row>
    <row r="6966" spans="1:24">
      <c r="A6966">
        <f>HYPERLINK("https://www.philgeps.gov.ph/GEPSNONPILOT/Tender/SplashBidNoticeAbstractUI.aspx?menuIndex=3&amp;refID=7076881&amp;Result=3","7076881")</f>
        <v>0</v>
      </c>
      <c r="B6966" t="s">
        <v>2214</v>
      </c>
      <c r="C6966" t="s">
        <v>10051</v>
      </c>
      <c r="D6966" t="s">
        <v>17415</v>
      </c>
      <c r="E6966" t="s">
        <v>23524</v>
      </c>
      <c r="F6966" t="s">
        <v>30052</v>
      </c>
      <c r="G6966" t="s">
        <v>30058</v>
      </c>
      <c r="H6966" t="s">
        <v>15498</v>
      </c>
      <c r="I6966" t="s">
        <v>4642</v>
      </c>
      <c r="J6966" t="s">
        <v>30402</v>
      </c>
      <c r="K6966" t="s">
        <v>39017</v>
      </c>
      <c r="M6966" t="s">
        <v>41684</v>
      </c>
      <c r="N6966" t="s">
        <v>43166</v>
      </c>
      <c r="O6966" t="s">
        <v>43167</v>
      </c>
      <c r="P6966">
        <v>0</v>
      </c>
      <c r="Q6966">
        <v>0</v>
      </c>
      <c r="R6966" t="s">
        <v>43173</v>
      </c>
      <c r="S6966" t="s">
        <v>43374</v>
      </c>
      <c r="T6966" t="s">
        <v>44807</v>
      </c>
      <c r="U6966" t="s">
        <v>50837</v>
      </c>
      <c r="W6966" t="s">
        <v>41684</v>
      </c>
      <c r="X6966" t="s">
        <v>43174</v>
      </c>
    </row>
    <row r="6967" spans="1:24">
      <c r="A6967">
        <f>HYPERLINK("https://www.philgeps.gov.ph/GEPSNONPILOT/Tender/SplashBidNoticeAbstractUI.aspx?menuIndex=3&amp;refID=7076857&amp;Result=3","7076857")</f>
        <v>0</v>
      </c>
      <c r="B6967" t="s">
        <v>2215</v>
      </c>
      <c r="C6967" t="s">
        <v>10052</v>
      </c>
      <c r="E6967" t="s">
        <v>11577</v>
      </c>
      <c r="F6967" t="s">
        <v>30052</v>
      </c>
      <c r="G6967" t="s">
        <v>30058</v>
      </c>
      <c r="H6967" t="s">
        <v>30067</v>
      </c>
      <c r="I6967" t="s">
        <v>30082</v>
      </c>
      <c r="J6967" t="s">
        <v>33875</v>
      </c>
      <c r="K6967" t="s">
        <v>39025</v>
      </c>
      <c r="M6967" t="s">
        <v>41685</v>
      </c>
      <c r="N6967" t="s">
        <v>43166</v>
      </c>
      <c r="O6967" t="s">
        <v>43167</v>
      </c>
      <c r="P6967">
        <v>0</v>
      </c>
      <c r="Q6967">
        <v>0</v>
      </c>
      <c r="R6967" t="s">
        <v>43173</v>
      </c>
      <c r="S6967" t="s">
        <v>43374</v>
      </c>
      <c r="T6967" t="s">
        <v>44773</v>
      </c>
      <c r="U6967" t="s">
        <v>50838</v>
      </c>
      <c r="W6967" t="s">
        <v>41685</v>
      </c>
      <c r="X6967" t="s">
        <v>43174</v>
      </c>
    </row>
    <row r="6968" spans="1:24">
      <c r="A6968">
        <f>HYPERLINK("https://www.philgeps.gov.ph/GEPSNONPILOT/Tender/SplashBidNoticeAbstractUI.aspx?menuIndex=3&amp;refID=7076666&amp;Result=3","7076666")</f>
        <v>0</v>
      </c>
      <c r="B6968" t="s">
        <v>1655</v>
      </c>
      <c r="C6968" t="s">
        <v>5662</v>
      </c>
      <c r="D6968" t="s">
        <v>17481</v>
      </c>
      <c r="E6968" t="s">
        <v>23525</v>
      </c>
      <c r="F6968" t="s">
        <v>30052</v>
      </c>
      <c r="G6968" t="s">
        <v>30058</v>
      </c>
      <c r="H6968" t="s">
        <v>15498</v>
      </c>
      <c r="I6968" t="s">
        <v>4650</v>
      </c>
      <c r="J6968" t="s">
        <v>33175</v>
      </c>
      <c r="K6968" t="s">
        <v>39034</v>
      </c>
      <c r="M6968" t="s">
        <v>41060</v>
      </c>
      <c r="N6968" t="s">
        <v>43166</v>
      </c>
      <c r="O6968" t="s">
        <v>43167</v>
      </c>
      <c r="P6968">
        <v>0</v>
      </c>
      <c r="Q6968">
        <v>2</v>
      </c>
      <c r="R6968" t="s">
        <v>43173</v>
      </c>
      <c r="S6968" t="s">
        <v>43374</v>
      </c>
      <c r="T6968" t="s">
        <v>44685</v>
      </c>
      <c r="U6968" t="s">
        <v>50839</v>
      </c>
      <c r="W6968" t="s">
        <v>41060</v>
      </c>
      <c r="X6968" t="s">
        <v>43174</v>
      </c>
    </row>
    <row r="6969" spans="1:24">
      <c r="A6969">
        <f>HYPERLINK("https://www.philgeps.gov.ph/GEPSNONPILOT/Tender/SplashBidNoticeAbstractUI.aspx?menuIndex=3&amp;refID=7076854&amp;Result=3","7076854")</f>
        <v>0</v>
      </c>
      <c r="B6969" t="s">
        <v>611</v>
      </c>
      <c r="C6969" t="s">
        <v>10032</v>
      </c>
      <c r="D6969" t="s">
        <v>17464</v>
      </c>
      <c r="E6969" t="s">
        <v>23526</v>
      </c>
      <c r="F6969" t="s">
        <v>30052</v>
      </c>
      <c r="G6969" t="s">
        <v>30059</v>
      </c>
      <c r="H6969" t="s">
        <v>15498</v>
      </c>
      <c r="I6969" t="s">
        <v>30071</v>
      </c>
      <c r="J6969" t="s">
        <v>34519</v>
      </c>
      <c r="K6969" t="s">
        <v>39019</v>
      </c>
      <c r="M6969" t="s">
        <v>39913</v>
      </c>
      <c r="N6969" t="s">
        <v>43166</v>
      </c>
      <c r="O6969" t="s">
        <v>43167</v>
      </c>
      <c r="P6969">
        <v>0</v>
      </c>
      <c r="Q6969">
        <v>3</v>
      </c>
      <c r="R6969" t="s">
        <v>43173</v>
      </c>
      <c r="S6969" t="s">
        <v>43374</v>
      </c>
      <c r="T6969" t="s">
        <v>44728</v>
      </c>
      <c r="U6969" t="s">
        <v>50840</v>
      </c>
      <c r="W6969" t="s">
        <v>39913</v>
      </c>
      <c r="X6969" t="s">
        <v>43174</v>
      </c>
    </row>
    <row r="6970" spans="1:24">
      <c r="A6970">
        <f>HYPERLINK("https://www.philgeps.gov.ph/GEPSNONPILOT/Tender/SplashBidNoticeAbstractUI.aspx?menuIndex=3&amp;refID=7076844&amp;Result=3","7076844")</f>
        <v>0</v>
      </c>
      <c r="B6970" t="s">
        <v>2216</v>
      </c>
      <c r="C6970" t="s">
        <v>10053</v>
      </c>
      <c r="D6970" t="s">
        <v>17441</v>
      </c>
      <c r="E6970" t="s">
        <v>23527</v>
      </c>
      <c r="F6970" t="s">
        <v>30052</v>
      </c>
      <c r="G6970" t="s">
        <v>30058</v>
      </c>
      <c r="H6970" t="s">
        <v>15498</v>
      </c>
      <c r="I6970" t="s">
        <v>30098</v>
      </c>
      <c r="J6970" t="s">
        <v>30440</v>
      </c>
      <c r="K6970" t="s">
        <v>39019</v>
      </c>
      <c r="M6970" t="s">
        <v>41686</v>
      </c>
      <c r="N6970" t="s">
        <v>43166</v>
      </c>
      <c r="O6970" t="s">
        <v>43167</v>
      </c>
      <c r="P6970">
        <v>0</v>
      </c>
      <c r="Q6970">
        <v>1</v>
      </c>
      <c r="R6970" t="s">
        <v>43173</v>
      </c>
      <c r="S6970" t="s">
        <v>43374</v>
      </c>
      <c r="T6970" t="s">
        <v>44894</v>
      </c>
      <c r="U6970" t="s">
        <v>50841</v>
      </c>
      <c r="W6970" t="s">
        <v>41686</v>
      </c>
      <c r="X6970" t="s">
        <v>43174</v>
      </c>
    </row>
    <row r="6971" spans="1:24">
      <c r="A6971">
        <f>HYPERLINK("https://www.philgeps.gov.ph/GEPSNONPILOT/Tender/SplashBidNoticeAbstractUI.aspx?menuIndex=3&amp;refID=7076843&amp;Result=3","7076843")</f>
        <v>0</v>
      </c>
      <c r="B6971" t="s">
        <v>144</v>
      </c>
      <c r="C6971" t="s">
        <v>10054</v>
      </c>
      <c r="D6971" t="s">
        <v>17449</v>
      </c>
      <c r="E6971" t="s">
        <v>23528</v>
      </c>
      <c r="F6971" t="s">
        <v>30052</v>
      </c>
      <c r="G6971" t="s">
        <v>30058</v>
      </c>
      <c r="H6971" t="s">
        <v>30067</v>
      </c>
      <c r="I6971" t="s">
        <v>3693</v>
      </c>
      <c r="J6971" t="s">
        <v>34520</v>
      </c>
      <c r="K6971" t="s">
        <v>39025</v>
      </c>
      <c r="M6971" t="s">
        <v>39433</v>
      </c>
      <c r="N6971" t="s">
        <v>43166</v>
      </c>
      <c r="O6971" t="s">
        <v>43167</v>
      </c>
      <c r="P6971">
        <v>0</v>
      </c>
      <c r="Q6971">
        <v>0</v>
      </c>
      <c r="R6971" t="s">
        <v>43173</v>
      </c>
      <c r="S6971" t="s">
        <v>43374</v>
      </c>
      <c r="T6971" t="s">
        <v>44716</v>
      </c>
      <c r="U6971" t="s">
        <v>50842</v>
      </c>
      <c r="W6971" t="s">
        <v>39433</v>
      </c>
      <c r="X6971" t="s">
        <v>43174</v>
      </c>
    </row>
    <row r="6972" spans="1:24">
      <c r="A6972">
        <f>HYPERLINK("https://www.philgeps.gov.ph/GEPSNONPILOT/Tender/SplashBidNoticeAbstractUI.aspx?menuIndex=3&amp;refID=7076842&amp;Result=3","7076842")</f>
        <v>0</v>
      </c>
      <c r="B6972" t="s">
        <v>2217</v>
      </c>
      <c r="C6972" t="s">
        <v>10055</v>
      </c>
      <c r="D6972" t="s">
        <v>17475</v>
      </c>
      <c r="E6972" t="s">
        <v>17585</v>
      </c>
      <c r="F6972" t="s">
        <v>30052</v>
      </c>
      <c r="G6972" t="s">
        <v>30058</v>
      </c>
      <c r="H6972" t="s">
        <v>15498</v>
      </c>
      <c r="I6972" t="s">
        <v>3736</v>
      </c>
      <c r="J6972" t="s">
        <v>34521</v>
      </c>
      <c r="K6972" t="s">
        <v>39034</v>
      </c>
      <c r="M6972" t="s">
        <v>41687</v>
      </c>
      <c r="N6972" t="s">
        <v>43166</v>
      </c>
      <c r="O6972" t="s">
        <v>43167</v>
      </c>
      <c r="P6972">
        <v>0</v>
      </c>
      <c r="Q6972">
        <v>1</v>
      </c>
      <c r="R6972" t="s">
        <v>43173</v>
      </c>
      <c r="S6972" t="s">
        <v>43374</v>
      </c>
      <c r="T6972" t="s">
        <v>44773</v>
      </c>
      <c r="U6972" t="s">
        <v>50843</v>
      </c>
      <c r="W6972" t="s">
        <v>41687</v>
      </c>
      <c r="X6972" t="s">
        <v>43174</v>
      </c>
    </row>
    <row r="6973" spans="1:24">
      <c r="A6973">
        <f>HYPERLINK("https://www.philgeps.gov.ph/GEPSNONPILOT/Tender/SplashBidNoticeAbstractUI.aspx?menuIndex=3&amp;refID=7076840&amp;Result=3","7076840")</f>
        <v>0</v>
      </c>
      <c r="B6973" t="s">
        <v>637</v>
      </c>
      <c r="C6973" t="s">
        <v>10056</v>
      </c>
      <c r="D6973" t="s">
        <v>17468</v>
      </c>
      <c r="E6973" t="s">
        <v>23529</v>
      </c>
      <c r="F6973" t="s">
        <v>30052</v>
      </c>
      <c r="G6973" t="s">
        <v>30059</v>
      </c>
      <c r="H6973" t="s">
        <v>15498</v>
      </c>
      <c r="I6973" t="s">
        <v>3736</v>
      </c>
      <c r="J6973" t="s">
        <v>34522</v>
      </c>
      <c r="K6973" t="s">
        <v>39025</v>
      </c>
      <c r="M6973" t="s">
        <v>39941</v>
      </c>
      <c r="N6973" t="s">
        <v>43166</v>
      </c>
      <c r="O6973" t="s">
        <v>43167</v>
      </c>
      <c r="P6973">
        <v>0</v>
      </c>
      <c r="Q6973">
        <v>0</v>
      </c>
      <c r="R6973" t="s">
        <v>43173</v>
      </c>
      <c r="S6973" t="s">
        <v>43374</v>
      </c>
      <c r="T6973" t="s">
        <v>44837</v>
      </c>
      <c r="U6973" t="s">
        <v>50844</v>
      </c>
      <c r="W6973" t="s">
        <v>39941</v>
      </c>
      <c r="X6973" t="s">
        <v>43174</v>
      </c>
    </row>
    <row r="6974" spans="1:24">
      <c r="A6974">
        <f>HYPERLINK("https://www.philgeps.gov.ph/GEPSNONPILOT/Tender/SplashBidNoticeAbstractUI.aspx?menuIndex=3&amp;refID=7076865&amp;Result=3","7076865")</f>
        <v>0</v>
      </c>
      <c r="B6974" t="s">
        <v>637</v>
      </c>
      <c r="C6974" t="s">
        <v>10057</v>
      </c>
      <c r="D6974" t="s">
        <v>17468</v>
      </c>
      <c r="E6974" t="s">
        <v>21681</v>
      </c>
      <c r="F6974" t="s">
        <v>30052</v>
      </c>
      <c r="G6974" t="s">
        <v>30062</v>
      </c>
      <c r="H6974" t="s">
        <v>15498</v>
      </c>
      <c r="I6974" t="s">
        <v>30070</v>
      </c>
      <c r="J6974" t="s">
        <v>34523</v>
      </c>
      <c r="K6974" t="s">
        <v>39025</v>
      </c>
      <c r="M6974" t="s">
        <v>39941</v>
      </c>
      <c r="N6974" t="s">
        <v>43166</v>
      </c>
      <c r="O6974" t="s">
        <v>43167</v>
      </c>
      <c r="P6974">
        <v>0</v>
      </c>
      <c r="Q6974">
        <v>9</v>
      </c>
      <c r="R6974" t="s">
        <v>43173</v>
      </c>
      <c r="S6974" t="s">
        <v>43374</v>
      </c>
      <c r="T6974" t="s">
        <v>44837</v>
      </c>
      <c r="U6974" t="s">
        <v>50845</v>
      </c>
      <c r="W6974" t="s">
        <v>39941</v>
      </c>
      <c r="X6974" t="s">
        <v>43174</v>
      </c>
    </row>
    <row r="6975" spans="1:24">
      <c r="A6975">
        <f>HYPERLINK("https://www.philgeps.gov.ph/GEPSNONPILOT/Tender/SplashBidNoticeAbstractUI.aspx?menuIndex=3&amp;refID=7076877&amp;Result=3","7076877")</f>
        <v>0</v>
      </c>
      <c r="B6975" t="s">
        <v>2215</v>
      </c>
      <c r="C6975" t="s">
        <v>10058</v>
      </c>
      <c r="E6975" t="s">
        <v>23530</v>
      </c>
      <c r="F6975" t="s">
        <v>30052</v>
      </c>
      <c r="G6975" t="s">
        <v>30058</v>
      </c>
      <c r="H6975" t="s">
        <v>15498</v>
      </c>
      <c r="I6975" t="s">
        <v>30108</v>
      </c>
      <c r="J6975" t="s">
        <v>30890</v>
      </c>
      <c r="K6975" t="s">
        <v>39025</v>
      </c>
      <c r="M6975" t="s">
        <v>41685</v>
      </c>
      <c r="N6975" t="s">
        <v>43166</v>
      </c>
      <c r="O6975" t="s">
        <v>43167</v>
      </c>
      <c r="P6975">
        <v>0</v>
      </c>
      <c r="Q6975">
        <v>1</v>
      </c>
      <c r="R6975" t="s">
        <v>43173</v>
      </c>
      <c r="S6975" t="s">
        <v>43374</v>
      </c>
      <c r="T6975" t="s">
        <v>44773</v>
      </c>
      <c r="U6975" t="s">
        <v>50846</v>
      </c>
      <c r="W6975" t="s">
        <v>41685</v>
      </c>
      <c r="X6975" t="s">
        <v>43174</v>
      </c>
    </row>
    <row r="6976" spans="1:24">
      <c r="A6976">
        <f>HYPERLINK("https://www.philgeps.gov.ph/GEPSNONPILOT/Tender/SplashBidNoticeAbstractUI.aspx?menuIndex=3&amp;refID=7076853&amp;Result=3","7076853")</f>
        <v>0</v>
      </c>
      <c r="B6976" t="s">
        <v>2218</v>
      </c>
      <c r="C6976" t="s">
        <v>10059</v>
      </c>
      <c r="D6976" t="s">
        <v>17455</v>
      </c>
      <c r="E6976" t="s">
        <v>23531</v>
      </c>
      <c r="F6976" t="s">
        <v>30052</v>
      </c>
      <c r="G6976" t="s">
        <v>30058</v>
      </c>
      <c r="H6976" t="s">
        <v>15498</v>
      </c>
      <c r="I6976" t="s">
        <v>7228</v>
      </c>
      <c r="J6976" t="s">
        <v>34524</v>
      </c>
      <c r="K6976" t="s">
        <v>39019</v>
      </c>
      <c r="M6976" t="s">
        <v>41688</v>
      </c>
      <c r="N6976" t="s">
        <v>43166</v>
      </c>
      <c r="O6976" t="s">
        <v>43167</v>
      </c>
      <c r="P6976">
        <v>0</v>
      </c>
      <c r="Q6976">
        <v>1</v>
      </c>
      <c r="R6976" t="s">
        <v>43173</v>
      </c>
      <c r="S6976" t="s">
        <v>43374</v>
      </c>
      <c r="T6976" t="s">
        <v>44777</v>
      </c>
      <c r="U6976" t="s">
        <v>49759</v>
      </c>
      <c r="W6976" t="s">
        <v>41688</v>
      </c>
      <c r="X6976" t="s">
        <v>43174</v>
      </c>
    </row>
    <row r="6977" spans="1:24">
      <c r="A6977">
        <f>HYPERLINK("https://www.philgeps.gov.ph/GEPSNONPILOT/Tender/SplashBidNoticeAbstractUI.aspx?menuIndex=3&amp;refID=7076873&amp;Result=3","7076873")</f>
        <v>0</v>
      </c>
      <c r="B6977" t="s">
        <v>2219</v>
      </c>
      <c r="C6977" t="s">
        <v>10060</v>
      </c>
      <c r="D6977" t="s">
        <v>17445</v>
      </c>
      <c r="E6977" t="s">
        <v>23532</v>
      </c>
      <c r="F6977" t="s">
        <v>30052</v>
      </c>
      <c r="G6977" t="s">
        <v>30061</v>
      </c>
      <c r="H6977" t="s">
        <v>15498</v>
      </c>
      <c r="I6977" t="s">
        <v>30105</v>
      </c>
      <c r="J6977" t="s">
        <v>32874</v>
      </c>
      <c r="K6977" t="s">
        <v>39017</v>
      </c>
      <c r="M6977" t="s">
        <v>41689</v>
      </c>
      <c r="N6977" t="s">
        <v>43166</v>
      </c>
      <c r="O6977" t="s">
        <v>43167</v>
      </c>
      <c r="P6977">
        <v>0</v>
      </c>
      <c r="Q6977">
        <v>4</v>
      </c>
      <c r="R6977" t="s">
        <v>43173</v>
      </c>
      <c r="S6977" t="s">
        <v>43374</v>
      </c>
      <c r="T6977" t="s">
        <v>44678</v>
      </c>
      <c r="U6977" t="s">
        <v>50847</v>
      </c>
      <c r="W6977" t="s">
        <v>41689</v>
      </c>
      <c r="X6977" t="s">
        <v>43174</v>
      </c>
    </row>
    <row r="6978" spans="1:24">
      <c r="A6978">
        <f>HYPERLINK("https://www.philgeps.gov.ph/GEPSNONPILOT/Tender/SplashBidNoticeAbstractUI.aspx?menuIndex=3&amp;refID=7076810&amp;Result=3","7076810")</f>
        <v>0</v>
      </c>
      <c r="B6978" t="s">
        <v>2183</v>
      </c>
      <c r="C6978" t="s">
        <v>10061</v>
      </c>
      <c r="D6978" t="s">
        <v>17482</v>
      </c>
      <c r="E6978" t="s">
        <v>23533</v>
      </c>
      <c r="F6978" t="s">
        <v>30052</v>
      </c>
      <c r="G6978" t="s">
        <v>30059</v>
      </c>
      <c r="H6978" t="s">
        <v>15498</v>
      </c>
      <c r="I6978" t="s">
        <v>8323</v>
      </c>
      <c r="J6978" t="s">
        <v>30916</v>
      </c>
      <c r="K6978" t="s">
        <v>39017</v>
      </c>
      <c r="M6978" t="s">
        <v>41652</v>
      </c>
      <c r="N6978" t="s">
        <v>43166</v>
      </c>
      <c r="O6978" t="s">
        <v>43167</v>
      </c>
      <c r="P6978">
        <v>0</v>
      </c>
      <c r="Q6978">
        <v>1</v>
      </c>
      <c r="R6978" t="s">
        <v>43173</v>
      </c>
      <c r="S6978" t="s">
        <v>43374</v>
      </c>
      <c r="T6978" t="s">
        <v>44841</v>
      </c>
      <c r="U6978" t="s">
        <v>50749</v>
      </c>
      <c r="W6978" t="s">
        <v>41652</v>
      </c>
      <c r="X6978" t="s">
        <v>43174</v>
      </c>
    </row>
    <row r="6979" spans="1:24">
      <c r="A6979">
        <f>HYPERLINK("https://www.philgeps.gov.ph/GEPSNONPILOT/Tender/SplashBidNoticeAbstractUI.aspx?menuIndex=3&amp;refID=7076805&amp;Result=3","7076805")</f>
        <v>0</v>
      </c>
      <c r="B6979" t="s">
        <v>1323</v>
      </c>
      <c r="C6979" t="s">
        <v>10062</v>
      </c>
      <c r="D6979" t="s">
        <v>17426</v>
      </c>
      <c r="E6979" t="s">
        <v>23215</v>
      </c>
      <c r="F6979" t="s">
        <v>30052</v>
      </c>
      <c r="G6979" t="s">
        <v>30059</v>
      </c>
      <c r="H6979" t="s">
        <v>15498</v>
      </c>
      <c r="I6979" t="s">
        <v>3852</v>
      </c>
      <c r="J6979" t="s">
        <v>34525</v>
      </c>
      <c r="K6979" t="s">
        <v>39017</v>
      </c>
      <c r="M6979" t="s">
        <v>40690</v>
      </c>
      <c r="N6979" t="s">
        <v>43166</v>
      </c>
      <c r="O6979" t="s">
        <v>43167</v>
      </c>
      <c r="P6979">
        <v>0</v>
      </c>
      <c r="Q6979">
        <v>0</v>
      </c>
      <c r="R6979" t="s">
        <v>43173</v>
      </c>
      <c r="S6979" t="s">
        <v>43374</v>
      </c>
      <c r="T6979" t="s">
        <v>44844</v>
      </c>
      <c r="U6979" t="s">
        <v>50848</v>
      </c>
      <c r="W6979" t="s">
        <v>40690</v>
      </c>
      <c r="X6979" t="s">
        <v>43174</v>
      </c>
    </row>
    <row r="6980" spans="1:24">
      <c r="A6980">
        <f>HYPERLINK("https://www.philgeps.gov.ph/GEPSNONPILOT/Tender/SplashBidNoticeAbstractUI.aspx?menuIndex=3&amp;refID=7076811&amp;Result=3","7076811")</f>
        <v>0</v>
      </c>
      <c r="B6980" t="s">
        <v>2218</v>
      </c>
      <c r="C6980" t="s">
        <v>10063</v>
      </c>
      <c r="D6980" t="s">
        <v>17455</v>
      </c>
      <c r="E6980" t="s">
        <v>23534</v>
      </c>
      <c r="F6980" t="s">
        <v>30052</v>
      </c>
      <c r="G6980" t="s">
        <v>30058</v>
      </c>
      <c r="H6980" t="s">
        <v>30067</v>
      </c>
      <c r="I6980" t="s">
        <v>3693</v>
      </c>
      <c r="J6980" t="s">
        <v>34526</v>
      </c>
      <c r="K6980" t="s">
        <v>39023</v>
      </c>
      <c r="M6980" t="s">
        <v>41688</v>
      </c>
      <c r="N6980" t="s">
        <v>43166</v>
      </c>
      <c r="O6980" t="s">
        <v>43167</v>
      </c>
      <c r="P6980">
        <v>0</v>
      </c>
      <c r="Q6980">
        <v>2</v>
      </c>
      <c r="R6980" t="s">
        <v>43173</v>
      </c>
      <c r="S6980" t="s">
        <v>43374</v>
      </c>
      <c r="T6980" t="s">
        <v>44777</v>
      </c>
      <c r="U6980" t="s">
        <v>50849</v>
      </c>
      <c r="W6980" t="s">
        <v>41688</v>
      </c>
      <c r="X6980" t="s">
        <v>43174</v>
      </c>
    </row>
    <row r="6981" spans="1:24">
      <c r="A6981">
        <f>HYPERLINK("https://www.philgeps.gov.ph/GEPSNONPILOT/Tender/SplashBidNoticeAbstractUI.aspx?menuIndex=3&amp;refID=7076797&amp;Result=3","7076797")</f>
        <v>0</v>
      </c>
      <c r="B6981" t="s">
        <v>1429</v>
      </c>
      <c r="C6981" t="s">
        <v>10064</v>
      </c>
      <c r="D6981" t="s">
        <v>17432</v>
      </c>
      <c r="E6981" t="s">
        <v>23535</v>
      </c>
      <c r="F6981" t="s">
        <v>30052</v>
      </c>
      <c r="G6981" t="s">
        <v>30058</v>
      </c>
      <c r="H6981" t="s">
        <v>15498</v>
      </c>
      <c r="I6981" t="s">
        <v>30084</v>
      </c>
      <c r="J6981" t="s">
        <v>34527</v>
      </c>
      <c r="K6981" t="s">
        <v>39029</v>
      </c>
      <c r="M6981" t="s">
        <v>41690</v>
      </c>
      <c r="N6981" t="s">
        <v>43166</v>
      </c>
      <c r="O6981" t="s">
        <v>43167</v>
      </c>
      <c r="P6981">
        <v>0</v>
      </c>
      <c r="Q6981">
        <v>10</v>
      </c>
      <c r="R6981" t="s">
        <v>43173</v>
      </c>
      <c r="S6981" t="s">
        <v>43374</v>
      </c>
      <c r="T6981" t="s">
        <v>44758</v>
      </c>
      <c r="U6981" t="s">
        <v>50850</v>
      </c>
      <c r="W6981" t="s">
        <v>41690</v>
      </c>
      <c r="X6981" t="s">
        <v>43174</v>
      </c>
    </row>
    <row r="6982" spans="1:24">
      <c r="A6982">
        <f>HYPERLINK("https://www.philgeps.gov.ph/GEPSNONPILOT/Tender/SplashBidNoticeAbstractUI.aspx?menuIndex=3&amp;refID=7076876&amp;Result=3","7076876")</f>
        <v>0</v>
      </c>
      <c r="B6982" t="s">
        <v>2206</v>
      </c>
      <c r="C6982" t="s">
        <v>10065</v>
      </c>
      <c r="D6982" t="s">
        <v>17457</v>
      </c>
      <c r="E6982" t="s">
        <v>23536</v>
      </c>
      <c r="F6982" t="s">
        <v>30055</v>
      </c>
      <c r="G6982" t="s">
        <v>30059</v>
      </c>
      <c r="H6982" t="s">
        <v>30069</v>
      </c>
      <c r="I6982" t="s">
        <v>30084</v>
      </c>
      <c r="J6982" t="s">
        <v>30218</v>
      </c>
      <c r="K6982" t="s">
        <v>39017</v>
      </c>
      <c r="M6982" t="s">
        <v>41675</v>
      </c>
      <c r="N6982" t="s">
        <v>43166</v>
      </c>
      <c r="O6982" t="s">
        <v>43167</v>
      </c>
      <c r="P6982">
        <v>0</v>
      </c>
      <c r="Q6982">
        <v>1</v>
      </c>
      <c r="R6982" t="s">
        <v>43173</v>
      </c>
      <c r="S6982" t="s">
        <v>43374</v>
      </c>
      <c r="T6982" t="s">
        <v>44734</v>
      </c>
      <c r="U6982" t="s">
        <v>50851</v>
      </c>
      <c r="W6982" t="s">
        <v>41675</v>
      </c>
      <c r="X6982" t="s">
        <v>43174</v>
      </c>
    </row>
    <row r="6983" spans="1:24">
      <c r="A6983">
        <f>HYPERLINK("https://www.philgeps.gov.ph/GEPSNONPILOT/Tender/SplashBidNoticeAbstractUI.aspx?menuIndex=3&amp;refID=7076837&amp;Result=3","7076837")</f>
        <v>0</v>
      </c>
      <c r="B6983" t="s">
        <v>271</v>
      </c>
      <c r="C6983" t="s">
        <v>10066</v>
      </c>
      <c r="D6983" t="s">
        <v>17461</v>
      </c>
      <c r="E6983" t="s">
        <v>23537</v>
      </c>
      <c r="F6983" t="s">
        <v>30052</v>
      </c>
      <c r="G6983" t="s">
        <v>30058</v>
      </c>
      <c r="H6983" t="s">
        <v>30067</v>
      </c>
      <c r="I6983" t="s">
        <v>3693</v>
      </c>
      <c r="J6983" t="s">
        <v>31835</v>
      </c>
      <c r="K6983" t="s">
        <v>39078</v>
      </c>
      <c r="M6983" t="s">
        <v>39565</v>
      </c>
      <c r="N6983" t="s">
        <v>43166</v>
      </c>
      <c r="O6983" t="s">
        <v>43167</v>
      </c>
      <c r="P6983">
        <v>0</v>
      </c>
      <c r="Q6983">
        <v>1</v>
      </c>
      <c r="R6983" t="s">
        <v>43173</v>
      </c>
      <c r="S6983" t="s">
        <v>43374</v>
      </c>
      <c r="T6983" t="s">
        <v>44758</v>
      </c>
      <c r="U6983" t="s">
        <v>50820</v>
      </c>
      <c r="W6983" t="s">
        <v>39565</v>
      </c>
      <c r="X6983" t="s">
        <v>43174</v>
      </c>
    </row>
    <row r="6984" spans="1:24">
      <c r="A6984">
        <f>HYPERLINK("https://www.philgeps.gov.ph/GEPSNONPILOT/Tender/SplashBidNoticeAbstractUI.aspx?menuIndex=3&amp;refID=7076771&amp;Result=3","7076771")</f>
        <v>0</v>
      </c>
      <c r="B6984" t="s">
        <v>2157</v>
      </c>
      <c r="C6984" t="s">
        <v>10067</v>
      </c>
      <c r="D6984" t="s">
        <v>17463</v>
      </c>
      <c r="E6984" t="s">
        <v>23538</v>
      </c>
      <c r="F6984" t="s">
        <v>30052</v>
      </c>
      <c r="G6984" t="s">
        <v>30058</v>
      </c>
      <c r="H6984" t="s">
        <v>30067</v>
      </c>
      <c r="I6984" t="s">
        <v>3693</v>
      </c>
      <c r="J6984" t="s">
        <v>34528</v>
      </c>
      <c r="K6984" t="s">
        <v>39019</v>
      </c>
      <c r="M6984" t="s">
        <v>41624</v>
      </c>
      <c r="N6984" t="s">
        <v>43166</v>
      </c>
      <c r="O6984" t="s">
        <v>43167</v>
      </c>
      <c r="P6984">
        <v>0</v>
      </c>
      <c r="Q6984">
        <v>2</v>
      </c>
      <c r="R6984" t="s">
        <v>43173</v>
      </c>
      <c r="S6984" t="s">
        <v>43374</v>
      </c>
      <c r="T6984" t="s">
        <v>44758</v>
      </c>
      <c r="U6984" t="s">
        <v>50852</v>
      </c>
      <c r="W6984" t="s">
        <v>41624</v>
      </c>
      <c r="X6984" t="s">
        <v>43174</v>
      </c>
    </row>
    <row r="6985" spans="1:24">
      <c r="A6985">
        <f>HYPERLINK("https://www.philgeps.gov.ph/GEPSNONPILOT/Tender/SplashBidNoticeAbstractUI.aspx?menuIndex=3&amp;refID=7076807&amp;Result=3","7076807")</f>
        <v>0</v>
      </c>
      <c r="B6985" t="s">
        <v>637</v>
      </c>
      <c r="C6985" t="s">
        <v>10068</v>
      </c>
      <c r="D6985" t="s">
        <v>17468</v>
      </c>
      <c r="E6985" t="s">
        <v>23539</v>
      </c>
      <c r="F6985" t="s">
        <v>30052</v>
      </c>
      <c r="G6985" t="s">
        <v>30059</v>
      </c>
      <c r="H6985" t="s">
        <v>15498</v>
      </c>
      <c r="I6985" t="s">
        <v>30169</v>
      </c>
      <c r="J6985" t="s">
        <v>30330</v>
      </c>
      <c r="K6985" t="s">
        <v>39025</v>
      </c>
      <c r="M6985" t="s">
        <v>39941</v>
      </c>
      <c r="N6985" t="s">
        <v>43166</v>
      </c>
      <c r="O6985" t="s">
        <v>43167</v>
      </c>
      <c r="P6985">
        <v>0</v>
      </c>
      <c r="Q6985">
        <v>3</v>
      </c>
      <c r="R6985" t="s">
        <v>43173</v>
      </c>
      <c r="S6985" t="s">
        <v>43374</v>
      </c>
      <c r="T6985" t="s">
        <v>44837</v>
      </c>
      <c r="U6985" t="s">
        <v>50853</v>
      </c>
      <c r="W6985" t="s">
        <v>39941</v>
      </c>
      <c r="X6985" t="s">
        <v>43174</v>
      </c>
    </row>
    <row r="6986" spans="1:24">
      <c r="A6986">
        <f>HYPERLINK("https://www.philgeps.gov.ph/GEPSNONPILOT/Tender/SplashBidNoticeAbstractUI.aspx?menuIndex=3&amp;refID=7076806&amp;Result=3","7076806")</f>
        <v>0</v>
      </c>
      <c r="B6986" t="s">
        <v>1863</v>
      </c>
      <c r="C6986" t="s">
        <v>10069</v>
      </c>
      <c r="D6986" t="s">
        <v>17451</v>
      </c>
      <c r="E6986" t="s">
        <v>23540</v>
      </c>
      <c r="F6986" t="s">
        <v>30052</v>
      </c>
      <c r="G6986" t="s">
        <v>30058</v>
      </c>
      <c r="H6986" t="s">
        <v>30067</v>
      </c>
      <c r="I6986" t="s">
        <v>3693</v>
      </c>
      <c r="J6986" t="s">
        <v>30252</v>
      </c>
      <c r="K6986" t="s">
        <v>39029</v>
      </c>
      <c r="M6986" t="s">
        <v>41291</v>
      </c>
      <c r="N6986" t="s">
        <v>43166</v>
      </c>
      <c r="O6986" t="s">
        <v>43167</v>
      </c>
      <c r="P6986">
        <v>0</v>
      </c>
      <c r="Q6986">
        <v>0</v>
      </c>
      <c r="R6986" t="s">
        <v>43173</v>
      </c>
      <c r="S6986" t="s">
        <v>43374</v>
      </c>
      <c r="T6986" t="s">
        <v>44828</v>
      </c>
      <c r="U6986" t="s">
        <v>50772</v>
      </c>
      <c r="W6986" t="s">
        <v>41291</v>
      </c>
      <c r="X6986" t="s">
        <v>43174</v>
      </c>
    </row>
    <row r="6987" spans="1:24">
      <c r="A6987">
        <f>HYPERLINK("https://www.philgeps.gov.ph/GEPSNONPILOT/Tender/SplashBidNoticeAbstractUI.aspx?menuIndex=3&amp;refID=7076841&amp;Result=3","7076841")</f>
        <v>0</v>
      </c>
      <c r="B6987" t="s">
        <v>2220</v>
      </c>
      <c r="C6987" t="s">
        <v>10070</v>
      </c>
      <c r="D6987" t="s">
        <v>17427</v>
      </c>
      <c r="E6987" t="s">
        <v>23541</v>
      </c>
      <c r="F6987" t="s">
        <v>30052</v>
      </c>
      <c r="G6987" t="s">
        <v>30058</v>
      </c>
      <c r="H6987" t="s">
        <v>30067</v>
      </c>
      <c r="I6987" t="s">
        <v>3693</v>
      </c>
      <c r="J6987" t="s">
        <v>34529</v>
      </c>
      <c r="K6987" t="s">
        <v>39023</v>
      </c>
      <c r="M6987" t="s">
        <v>41691</v>
      </c>
      <c r="N6987" t="s">
        <v>43166</v>
      </c>
      <c r="O6987" t="s">
        <v>43167</v>
      </c>
      <c r="P6987">
        <v>0</v>
      </c>
      <c r="Q6987">
        <v>0</v>
      </c>
      <c r="R6987" t="s">
        <v>43173</v>
      </c>
      <c r="S6987" t="s">
        <v>43374</v>
      </c>
      <c r="T6987" t="s">
        <v>44750</v>
      </c>
      <c r="U6987" t="s">
        <v>50854</v>
      </c>
      <c r="W6987" t="s">
        <v>41691</v>
      </c>
      <c r="X6987" t="s">
        <v>43174</v>
      </c>
    </row>
    <row r="6988" spans="1:24">
      <c r="A6988">
        <f>HYPERLINK("https://www.philgeps.gov.ph/GEPSNONPILOT/Tender/SplashBidNoticeAbstractUI.aspx?menuIndex=3&amp;refID=7076764&amp;Result=3","7076764")</f>
        <v>0</v>
      </c>
      <c r="B6988" t="s">
        <v>201</v>
      </c>
      <c r="C6988" t="s">
        <v>10071</v>
      </c>
      <c r="E6988" t="s">
        <v>23542</v>
      </c>
      <c r="F6988" t="s">
        <v>30052</v>
      </c>
      <c r="G6988" t="s">
        <v>30059</v>
      </c>
      <c r="H6988" t="s">
        <v>15498</v>
      </c>
      <c r="I6988" t="s">
        <v>9238</v>
      </c>
      <c r="J6988" t="s">
        <v>31248</v>
      </c>
      <c r="K6988" t="s">
        <v>39025</v>
      </c>
      <c r="M6988" t="s">
        <v>41692</v>
      </c>
      <c r="N6988" t="s">
        <v>43166</v>
      </c>
      <c r="O6988" t="s">
        <v>43167</v>
      </c>
      <c r="P6988">
        <v>0</v>
      </c>
      <c r="Q6988">
        <v>7</v>
      </c>
      <c r="R6988" t="s">
        <v>43173</v>
      </c>
      <c r="S6988" t="s">
        <v>43374</v>
      </c>
      <c r="T6988" t="s">
        <v>44837</v>
      </c>
      <c r="U6988" t="s">
        <v>45637</v>
      </c>
      <c r="W6988" t="s">
        <v>41692</v>
      </c>
      <c r="X6988" t="s">
        <v>43174</v>
      </c>
    </row>
    <row r="6989" spans="1:24">
      <c r="A6989">
        <f>HYPERLINK("https://www.philgeps.gov.ph/GEPSNONPILOT/Tender/SplashBidNoticeAbstractUI.aspx?menuIndex=3&amp;refID=7076758&amp;Result=3","7076758")</f>
        <v>0</v>
      </c>
      <c r="B6989" t="s">
        <v>1484</v>
      </c>
      <c r="C6989" t="s">
        <v>10072</v>
      </c>
      <c r="D6989" t="s">
        <v>17415</v>
      </c>
      <c r="E6989" t="s">
        <v>23543</v>
      </c>
      <c r="F6989" t="s">
        <v>30052</v>
      </c>
      <c r="G6989" t="s">
        <v>30059</v>
      </c>
      <c r="H6989" t="s">
        <v>15498</v>
      </c>
      <c r="I6989" t="s">
        <v>30105</v>
      </c>
      <c r="J6989" t="s">
        <v>30230</v>
      </c>
      <c r="K6989" t="s">
        <v>39019</v>
      </c>
      <c r="M6989" t="s">
        <v>40868</v>
      </c>
      <c r="N6989" t="s">
        <v>43166</v>
      </c>
      <c r="O6989" t="s">
        <v>43167</v>
      </c>
      <c r="P6989">
        <v>0</v>
      </c>
      <c r="Q6989">
        <v>4</v>
      </c>
      <c r="R6989" t="s">
        <v>43173</v>
      </c>
      <c r="S6989" t="s">
        <v>43374</v>
      </c>
      <c r="T6989" t="s">
        <v>44837</v>
      </c>
      <c r="U6989" t="s">
        <v>50855</v>
      </c>
      <c r="W6989" t="s">
        <v>40868</v>
      </c>
      <c r="X6989" t="s">
        <v>43174</v>
      </c>
    </row>
    <row r="6990" spans="1:24">
      <c r="A6990">
        <f>HYPERLINK("https://www.philgeps.gov.ph/GEPSNONPILOT/Tender/SplashBidNoticeAbstractUI.aspx?menuIndex=3&amp;refID=7076756&amp;Result=3","7076756")</f>
        <v>0</v>
      </c>
      <c r="B6990" t="s">
        <v>687</v>
      </c>
      <c r="C6990" t="s">
        <v>10073</v>
      </c>
      <c r="D6990" t="s">
        <v>17435</v>
      </c>
      <c r="E6990" t="s">
        <v>23544</v>
      </c>
      <c r="F6990" t="s">
        <v>30052</v>
      </c>
      <c r="G6990" t="s">
        <v>30058</v>
      </c>
      <c r="H6990" t="s">
        <v>30067</v>
      </c>
      <c r="I6990" t="s">
        <v>3693</v>
      </c>
      <c r="J6990" t="s">
        <v>31173</v>
      </c>
      <c r="K6990" t="s">
        <v>39057</v>
      </c>
      <c r="M6990" t="s">
        <v>40222</v>
      </c>
      <c r="N6990" t="s">
        <v>43166</v>
      </c>
      <c r="O6990" t="s">
        <v>43167</v>
      </c>
      <c r="P6990">
        <v>0</v>
      </c>
      <c r="Q6990">
        <v>0</v>
      </c>
      <c r="R6990" t="s">
        <v>43173</v>
      </c>
      <c r="S6990" t="s">
        <v>43374</v>
      </c>
      <c r="T6990" t="s">
        <v>44716</v>
      </c>
      <c r="U6990" t="s">
        <v>50856</v>
      </c>
      <c r="W6990" t="s">
        <v>40222</v>
      </c>
      <c r="X6990" t="s">
        <v>43174</v>
      </c>
    </row>
    <row r="6991" spans="1:24">
      <c r="A6991">
        <f>HYPERLINK("https://www.philgeps.gov.ph/GEPSNONPILOT/Tender/SplashBidNoticeAbstractUI.aspx?menuIndex=3&amp;refID=7076585&amp;Result=3","7076585")</f>
        <v>0</v>
      </c>
      <c r="B6991" t="s">
        <v>2221</v>
      </c>
      <c r="C6991" t="s">
        <v>10074</v>
      </c>
      <c r="D6991" t="s">
        <v>17476</v>
      </c>
      <c r="E6991" t="s">
        <v>23545</v>
      </c>
      <c r="F6991" t="s">
        <v>30052</v>
      </c>
      <c r="G6991" t="s">
        <v>30061</v>
      </c>
      <c r="H6991" t="s">
        <v>15498</v>
      </c>
      <c r="I6991" t="s">
        <v>4650</v>
      </c>
      <c r="J6991" t="s">
        <v>34530</v>
      </c>
      <c r="K6991" t="s">
        <v>39029</v>
      </c>
      <c r="M6991" t="s">
        <v>41693</v>
      </c>
      <c r="N6991" t="s">
        <v>43166</v>
      </c>
      <c r="O6991" t="s">
        <v>43167</v>
      </c>
      <c r="P6991">
        <v>0</v>
      </c>
      <c r="Q6991">
        <v>2</v>
      </c>
      <c r="R6991" t="s">
        <v>43173</v>
      </c>
      <c r="S6991" t="s">
        <v>43374</v>
      </c>
      <c r="T6991" t="s">
        <v>44773</v>
      </c>
      <c r="U6991" t="s">
        <v>50857</v>
      </c>
      <c r="W6991" t="s">
        <v>41693</v>
      </c>
      <c r="X6991" t="s">
        <v>43174</v>
      </c>
    </row>
    <row r="6992" spans="1:24">
      <c r="A6992">
        <f>HYPERLINK("https://www.philgeps.gov.ph/GEPSNONPILOT/Tender/SplashBidNoticeAbstractUI.aspx?menuIndex=3&amp;refID=7076584&amp;Result=3","7076584")</f>
        <v>0</v>
      </c>
      <c r="B6992" t="s">
        <v>611</v>
      </c>
      <c r="C6992" t="s">
        <v>4823</v>
      </c>
      <c r="D6992" t="s">
        <v>17415</v>
      </c>
      <c r="E6992" t="s">
        <v>23546</v>
      </c>
      <c r="F6992" t="s">
        <v>30052</v>
      </c>
      <c r="G6992" t="s">
        <v>30059</v>
      </c>
      <c r="H6992" t="s">
        <v>15498</v>
      </c>
      <c r="I6992" t="s">
        <v>30092</v>
      </c>
      <c r="J6992" t="s">
        <v>31282</v>
      </c>
      <c r="K6992" t="s">
        <v>39019</v>
      </c>
      <c r="M6992" t="s">
        <v>39913</v>
      </c>
      <c r="N6992" t="s">
        <v>43166</v>
      </c>
      <c r="O6992" t="s">
        <v>43167</v>
      </c>
      <c r="P6992">
        <v>0</v>
      </c>
      <c r="Q6992">
        <v>5</v>
      </c>
      <c r="R6992" t="s">
        <v>43173</v>
      </c>
      <c r="S6992" t="s">
        <v>43374</v>
      </c>
      <c r="T6992" t="s">
        <v>44728</v>
      </c>
      <c r="U6992" t="s">
        <v>50858</v>
      </c>
      <c r="W6992" t="s">
        <v>39913</v>
      </c>
      <c r="X6992" t="s">
        <v>43174</v>
      </c>
    </row>
    <row r="6993" spans="1:24">
      <c r="A6993">
        <f>HYPERLINK("https://www.philgeps.gov.ph/GEPSNONPILOT/Tender/SplashBidNoticeAbstractUI.aspx?menuIndex=3&amp;refID=7076552&amp;Result=3","7076552")</f>
        <v>0</v>
      </c>
      <c r="B6993" t="s">
        <v>2188</v>
      </c>
      <c r="C6993" t="s">
        <v>10075</v>
      </c>
      <c r="D6993" t="s">
        <v>17459</v>
      </c>
      <c r="E6993" t="s">
        <v>23547</v>
      </c>
      <c r="F6993" t="s">
        <v>30052</v>
      </c>
      <c r="G6993" t="s">
        <v>30061</v>
      </c>
      <c r="H6993" t="s">
        <v>30067</v>
      </c>
      <c r="I6993" t="s">
        <v>30083</v>
      </c>
      <c r="J6993" t="s">
        <v>34531</v>
      </c>
      <c r="K6993" t="s">
        <v>39017</v>
      </c>
      <c r="M6993" t="s">
        <v>41657</v>
      </c>
      <c r="N6993" t="s">
        <v>43166</v>
      </c>
      <c r="O6993" t="s">
        <v>43167</v>
      </c>
      <c r="P6993">
        <v>0</v>
      </c>
      <c r="Q6993">
        <v>0</v>
      </c>
      <c r="R6993" t="s">
        <v>43173</v>
      </c>
      <c r="S6993" t="s">
        <v>43374</v>
      </c>
      <c r="T6993" t="s">
        <v>44717</v>
      </c>
      <c r="U6993" t="s">
        <v>50859</v>
      </c>
      <c r="W6993" t="s">
        <v>41657</v>
      </c>
      <c r="X6993" t="s">
        <v>43174</v>
      </c>
    </row>
    <row r="6994" spans="1:24">
      <c r="A6994">
        <f>HYPERLINK("https://www.philgeps.gov.ph/GEPSNONPILOT/Tender/SplashBidNoticeAbstractUI.aspx?menuIndex=3&amp;refID=7076548&amp;Result=3","7076548")</f>
        <v>0</v>
      </c>
      <c r="B6994" t="s">
        <v>2222</v>
      </c>
      <c r="C6994" t="s">
        <v>10076</v>
      </c>
      <c r="D6994" t="s">
        <v>17471</v>
      </c>
      <c r="E6994" t="s">
        <v>23548</v>
      </c>
      <c r="F6994" t="s">
        <v>30052</v>
      </c>
      <c r="G6994" t="s">
        <v>30059</v>
      </c>
      <c r="H6994" t="s">
        <v>30067</v>
      </c>
      <c r="I6994" t="s">
        <v>30071</v>
      </c>
      <c r="J6994" t="s">
        <v>34532</v>
      </c>
      <c r="K6994" t="s">
        <v>39017</v>
      </c>
      <c r="M6994" t="s">
        <v>41694</v>
      </c>
      <c r="N6994" t="s">
        <v>43166</v>
      </c>
      <c r="O6994" t="s">
        <v>43167</v>
      </c>
      <c r="P6994">
        <v>0</v>
      </c>
      <c r="Q6994">
        <v>0</v>
      </c>
      <c r="R6994" t="s">
        <v>43173</v>
      </c>
      <c r="S6994" t="s">
        <v>43374</v>
      </c>
      <c r="T6994" t="s">
        <v>44870</v>
      </c>
      <c r="U6994" t="s">
        <v>50860</v>
      </c>
      <c r="W6994" t="s">
        <v>41694</v>
      </c>
      <c r="X6994" t="s">
        <v>43174</v>
      </c>
    </row>
    <row r="6995" spans="1:24">
      <c r="A6995">
        <f>HYPERLINK("https://www.philgeps.gov.ph/GEPSNONPILOT/Tender/SplashBidNoticeAbstractUI.aspx?menuIndex=3&amp;refID=7076768&amp;Result=3","7076768")</f>
        <v>0</v>
      </c>
      <c r="B6995" t="s">
        <v>2126</v>
      </c>
      <c r="C6995" t="s">
        <v>10077</v>
      </c>
      <c r="D6995" t="s">
        <v>17432</v>
      </c>
      <c r="E6995" t="s">
        <v>23549</v>
      </c>
      <c r="F6995" t="s">
        <v>30052</v>
      </c>
      <c r="G6995" t="s">
        <v>30058</v>
      </c>
      <c r="H6995" t="s">
        <v>15498</v>
      </c>
      <c r="I6995" t="s">
        <v>30071</v>
      </c>
      <c r="J6995" t="s">
        <v>34533</v>
      </c>
      <c r="K6995" t="s">
        <v>39037</v>
      </c>
      <c r="M6995" t="s">
        <v>41590</v>
      </c>
      <c r="N6995" t="s">
        <v>43166</v>
      </c>
      <c r="O6995" t="s">
        <v>43167</v>
      </c>
      <c r="P6995">
        <v>0</v>
      </c>
      <c r="Q6995">
        <v>0</v>
      </c>
      <c r="R6995" t="s">
        <v>43173</v>
      </c>
      <c r="S6995" t="s">
        <v>43374</v>
      </c>
      <c r="T6995" t="s">
        <v>44991</v>
      </c>
      <c r="U6995" t="s">
        <v>50861</v>
      </c>
      <c r="V6995" t="s">
        <v>57526</v>
      </c>
      <c r="W6995" t="s">
        <v>41590</v>
      </c>
      <c r="X6995" t="s">
        <v>43174</v>
      </c>
    </row>
    <row r="6996" spans="1:24">
      <c r="A6996">
        <f>HYPERLINK("https://www.philgeps.gov.ph/GEPSNONPILOT/Tender/SplashBidNoticeAbstractUI.aspx?menuIndex=3&amp;refID=7076547&amp;Result=3","7076547")</f>
        <v>0</v>
      </c>
      <c r="B6996" t="s">
        <v>539</v>
      </c>
      <c r="C6996" t="s">
        <v>10078</v>
      </c>
      <c r="D6996" t="s">
        <v>17427</v>
      </c>
      <c r="E6996" t="s">
        <v>23550</v>
      </c>
      <c r="F6996" t="s">
        <v>30052</v>
      </c>
      <c r="G6996" t="s">
        <v>30061</v>
      </c>
      <c r="H6996" t="s">
        <v>15498</v>
      </c>
      <c r="I6996" t="s">
        <v>30080</v>
      </c>
      <c r="J6996" t="s">
        <v>31042</v>
      </c>
      <c r="K6996" t="s">
        <v>39017</v>
      </c>
      <c r="M6996" t="s">
        <v>39841</v>
      </c>
      <c r="N6996" t="s">
        <v>43166</v>
      </c>
      <c r="O6996" t="s">
        <v>43167</v>
      </c>
      <c r="P6996">
        <v>0</v>
      </c>
      <c r="Q6996">
        <v>12</v>
      </c>
      <c r="R6996" t="s">
        <v>43173</v>
      </c>
      <c r="S6996" t="s">
        <v>43374</v>
      </c>
      <c r="T6996" t="s">
        <v>44735</v>
      </c>
      <c r="U6996" t="s">
        <v>50862</v>
      </c>
      <c r="W6996" t="s">
        <v>39841</v>
      </c>
      <c r="X6996" t="s">
        <v>43174</v>
      </c>
    </row>
    <row r="6997" spans="1:24">
      <c r="A6997">
        <f>HYPERLINK("https://www.philgeps.gov.ph/GEPSNONPILOT/Tender/SplashBidNoticeAbstractUI.aspx?menuIndex=3&amp;refID=7076763&amp;Result=3","7076763")</f>
        <v>0</v>
      </c>
      <c r="B6997" t="s">
        <v>1311</v>
      </c>
      <c r="C6997" t="s">
        <v>10079</v>
      </c>
      <c r="D6997" t="s">
        <v>17424</v>
      </c>
      <c r="E6997" t="s">
        <v>23551</v>
      </c>
      <c r="F6997" t="s">
        <v>30052</v>
      </c>
      <c r="G6997" t="s">
        <v>30059</v>
      </c>
      <c r="H6997" t="s">
        <v>15498</v>
      </c>
      <c r="I6997" t="s">
        <v>3736</v>
      </c>
      <c r="J6997" t="s">
        <v>30337</v>
      </c>
      <c r="K6997" t="s">
        <v>39019</v>
      </c>
      <c r="M6997" t="s">
        <v>40678</v>
      </c>
      <c r="N6997" t="s">
        <v>43166</v>
      </c>
      <c r="O6997" t="s">
        <v>43167</v>
      </c>
      <c r="P6997">
        <v>0</v>
      </c>
      <c r="Q6997">
        <v>0</v>
      </c>
      <c r="R6997" t="s">
        <v>43173</v>
      </c>
      <c r="S6997" t="s">
        <v>43374</v>
      </c>
      <c r="T6997" t="s">
        <v>44788</v>
      </c>
      <c r="U6997" t="s">
        <v>50863</v>
      </c>
      <c r="W6997" t="s">
        <v>40678</v>
      </c>
      <c r="X6997" t="s">
        <v>43174</v>
      </c>
    </row>
    <row r="6998" spans="1:24">
      <c r="A6998">
        <f>HYPERLINK("https://www.philgeps.gov.ph/GEPSNONPILOT/Tender/SplashBidNoticeAbstractUI.aspx?menuIndex=3&amp;refID=7076546&amp;Result=3","7076546")</f>
        <v>0</v>
      </c>
      <c r="B6998" t="s">
        <v>2223</v>
      </c>
      <c r="C6998" t="s">
        <v>10080</v>
      </c>
      <c r="D6998" t="s">
        <v>17455</v>
      </c>
      <c r="E6998" t="s">
        <v>23552</v>
      </c>
      <c r="F6998" t="s">
        <v>30052</v>
      </c>
      <c r="G6998" t="s">
        <v>30061</v>
      </c>
      <c r="H6998" t="s">
        <v>15498</v>
      </c>
      <c r="I6998" t="s">
        <v>4119</v>
      </c>
      <c r="J6998" t="s">
        <v>34534</v>
      </c>
      <c r="K6998" t="s">
        <v>39029</v>
      </c>
      <c r="M6998" t="s">
        <v>41695</v>
      </c>
      <c r="N6998" t="s">
        <v>43166</v>
      </c>
      <c r="O6998" t="s">
        <v>43167</v>
      </c>
      <c r="P6998">
        <v>0</v>
      </c>
      <c r="Q6998">
        <v>9</v>
      </c>
      <c r="R6998" t="s">
        <v>43173</v>
      </c>
      <c r="S6998" t="s">
        <v>43374</v>
      </c>
      <c r="T6998" t="s">
        <v>44856</v>
      </c>
      <c r="U6998" t="s">
        <v>50864</v>
      </c>
      <c r="W6998" t="s">
        <v>41695</v>
      </c>
      <c r="X6998" t="s">
        <v>43174</v>
      </c>
    </row>
    <row r="6999" spans="1:24">
      <c r="A6999">
        <f>HYPERLINK("https://www.philgeps.gov.ph/GEPSNONPILOT/Tender/SplashBidNoticeAbstractUI.aspx?menuIndex=3&amp;refID=7076542&amp;Result=3","7076542")</f>
        <v>0</v>
      </c>
      <c r="B6999" t="s">
        <v>2157</v>
      </c>
      <c r="C6999" t="s">
        <v>10081</v>
      </c>
      <c r="D6999" t="s">
        <v>17463</v>
      </c>
      <c r="E6999" t="s">
        <v>23553</v>
      </c>
      <c r="F6999" t="s">
        <v>30052</v>
      </c>
      <c r="G6999" t="s">
        <v>30058</v>
      </c>
      <c r="H6999" t="s">
        <v>30067</v>
      </c>
      <c r="I6999" t="s">
        <v>3693</v>
      </c>
      <c r="J6999" t="s">
        <v>30222</v>
      </c>
      <c r="K6999" t="s">
        <v>39019</v>
      </c>
      <c r="M6999" t="s">
        <v>41624</v>
      </c>
      <c r="N6999" t="s">
        <v>43166</v>
      </c>
      <c r="O6999" t="s">
        <v>43167</v>
      </c>
      <c r="P6999">
        <v>0</v>
      </c>
      <c r="Q6999">
        <v>6</v>
      </c>
      <c r="R6999" t="s">
        <v>43173</v>
      </c>
      <c r="S6999" t="s">
        <v>43374</v>
      </c>
      <c r="T6999" t="s">
        <v>44758</v>
      </c>
      <c r="U6999" t="s">
        <v>50865</v>
      </c>
      <c r="W6999" t="s">
        <v>41624</v>
      </c>
      <c r="X6999" t="s">
        <v>43174</v>
      </c>
    </row>
    <row r="7000" spans="1:24">
      <c r="A7000">
        <f>HYPERLINK("https://www.philgeps.gov.ph/GEPSNONPILOT/Tender/SplashBidNoticeAbstractUI.aspx?menuIndex=3&amp;refID=7076769&amp;Result=3","7076769")</f>
        <v>0</v>
      </c>
      <c r="B7000" t="s">
        <v>1808</v>
      </c>
      <c r="C7000" t="s">
        <v>10082</v>
      </c>
      <c r="D7000" t="s">
        <v>17485</v>
      </c>
      <c r="E7000" t="s">
        <v>23554</v>
      </c>
      <c r="F7000" t="s">
        <v>30052</v>
      </c>
      <c r="G7000" t="s">
        <v>30059</v>
      </c>
      <c r="H7000" t="s">
        <v>15498</v>
      </c>
      <c r="I7000" t="s">
        <v>3736</v>
      </c>
      <c r="J7000" t="s">
        <v>34535</v>
      </c>
      <c r="K7000" t="s">
        <v>39017</v>
      </c>
      <c r="M7000" t="s">
        <v>41231</v>
      </c>
      <c r="N7000" t="s">
        <v>43166</v>
      </c>
      <c r="O7000" t="s">
        <v>43167</v>
      </c>
      <c r="P7000">
        <v>0</v>
      </c>
      <c r="Q7000">
        <v>0</v>
      </c>
      <c r="R7000" t="s">
        <v>43173</v>
      </c>
      <c r="S7000" t="s">
        <v>43374</v>
      </c>
      <c r="T7000" t="s">
        <v>44714</v>
      </c>
      <c r="U7000" t="s">
        <v>50866</v>
      </c>
      <c r="W7000" t="s">
        <v>41231</v>
      </c>
      <c r="X7000" t="s">
        <v>43174</v>
      </c>
    </row>
    <row r="7001" spans="1:24">
      <c r="A7001">
        <f>HYPERLINK("https://www.philgeps.gov.ph/GEPSNONPILOT/Tender/SplashBidNoticeAbstractUI.aspx?menuIndex=3&amp;refID=7076765&amp;Result=3","7076765")</f>
        <v>0</v>
      </c>
      <c r="B7001" t="s">
        <v>2183</v>
      </c>
      <c r="C7001" t="s">
        <v>10083</v>
      </c>
      <c r="D7001" t="s">
        <v>17482</v>
      </c>
      <c r="E7001" t="s">
        <v>23555</v>
      </c>
      <c r="F7001" t="s">
        <v>30052</v>
      </c>
      <c r="G7001" t="s">
        <v>30059</v>
      </c>
      <c r="H7001" t="s">
        <v>15498</v>
      </c>
      <c r="I7001" t="s">
        <v>3852</v>
      </c>
      <c r="J7001" t="s">
        <v>32651</v>
      </c>
      <c r="K7001" t="s">
        <v>39017</v>
      </c>
      <c r="M7001" t="s">
        <v>41652</v>
      </c>
      <c r="N7001" t="s">
        <v>43166</v>
      </c>
      <c r="O7001" t="s">
        <v>43167</v>
      </c>
      <c r="P7001">
        <v>0</v>
      </c>
      <c r="Q7001">
        <v>0</v>
      </c>
      <c r="R7001" t="s">
        <v>43173</v>
      </c>
      <c r="S7001" t="s">
        <v>43374</v>
      </c>
      <c r="T7001" t="s">
        <v>44841</v>
      </c>
      <c r="U7001" t="s">
        <v>50749</v>
      </c>
      <c r="W7001" t="s">
        <v>41652</v>
      </c>
      <c r="X7001" t="s">
        <v>43174</v>
      </c>
    </row>
    <row r="7002" spans="1:24">
      <c r="A7002">
        <f>HYPERLINK("https://www.philgeps.gov.ph/GEPSNONPILOT/Tender/SplashBidNoticeAbstractUI.aspx?menuIndex=3&amp;refID=7076506&amp;Result=3","7076506")</f>
        <v>0</v>
      </c>
      <c r="B7002" t="s">
        <v>1311</v>
      </c>
      <c r="C7002" t="s">
        <v>10084</v>
      </c>
      <c r="D7002" t="s">
        <v>17424</v>
      </c>
      <c r="E7002" t="s">
        <v>23556</v>
      </c>
      <c r="F7002" t="s">
        <v>30052</v>
      </c>
      <c r="G7002" t="s">
        <v>30059</v>
      </c>
      <c r="H7002" t="s">
        <v>15498</v>
      </c>
      <c r="I7002" t="s">
        <v>30091</v>
      </c>
      <c r="J7002" t="s">
        <v>30230</v>
      </c>
      <c r="K7002" t="s">
        <v>39019</v>
      </c>
      <c r="M7002" t="s">
        <v>40678</v>
      </c>
      <c r="N7002" t="s">
        <v>43166</v>
      </c>
      <c r="O7002" t="s">
        <v>43167</v>
      </c>
      <c r="P7002">
        <v>0</v>
      </c>
      <c r="Q7002">
        <v>0</v>
      </c>
      <c r="R7002" t="s">
        <v>43173</v>
      </c>
      <c r="S7002" t="s">
        <v>43374</v>
      </c>
      <c r="T7002" t="s">
        <v>44788</v>
      </c>
      <c r="U7002" t="s">
        <v>50867</v>
      </c>
      <c r="W7002" t="s">
        <v>40678</v>
      </c>
      <c r="X7002" t="s">
        <v>43174</v>
      </c>
    </row>
    <row r="7003" spans="1:24">
      <c r="A7003">
        <f>HYPERLINK("https://www.philgeps.gov.ph/GEPSNONPILOT/Tender/SplashBidNoticeAbstractUI.aspx?menuIndex=3&amp;refID=7076551&amp;Result=3","7076551")</f>
        <v>0</v>
      </c>
      <c r="B7003" t="s">
        <v>77</v>
      </c>
      <c r="C7003" t="s">
        <v>10085</v>
      </c>
      <c r="D7003" t="s">
        <v>17419</v>
      </c>
      <c r="E7003" t="s">
        <v>23557</v>
      </c>
      <c r="F7003" t="s">
        <v>30052</v>
      </c>
      <c r="G7003" t="s">
        <v>30058</v>
      </c>
      <c r="H7003" t="s">
        <v>30067</v>
      </c>
      <c r="I7003" t="s">
        <v>3693</v>
      </c>
      <c r="J7003" t="s">
        <v>34536</v>
      </c>
      <c r="K7003" t="s">
        <v>39057</v>
      </c>
      <c r="L7003" t="s">
        <v>77</v>
      </c>
      <c r="M7003" t="s">
        <v>39366</v>
      </c>
      <c r="N7003" t="s">
        <v>43166</v>
      </c>
      <c r="O7003" t="s">
        <v>43167</v>
      </c>
      <c r="P7003">
        <v>0</v>
      </c>
      <c r="Q7003">
        <v>0</v>
      </c>
      <c r="R7003" t="s">
        <v>43173</v>
      </c>
      <c r="S7003" t="s">
        <v>43374</v>
      </c>
      <c r="T7003" t="s">
        <v>44796</v>
      </c>
      <c r="U7003" t="s">
        <v>50868</v>
      </c>
      <c r="V7003" t="s">
        <v>57550</v>
      </c>
      <c r="W7003" t="s">
        <v>39366</v>
      </c>
      <c r="X7003" t="s">
        <v>43174</v>
      </c>
    </row>
    <row r="7004" spans="1:24">
      <c r="A7004">
        <f>HYPERLINK("https://www.philgeps.gov.ph/GEPSNONPILOT/Tender/SplashBidNoticeAbstractUI.aspx?menuIndex=3&amp;refID=7076490&amp;Result=3","7076490")</f>
        <v>0</v>
      </c>
      <c r="B7004" t="s">
        <v>2186</v>
      </c>
      <c r="C7004" t="s">
        <v>10086</v>
      </c>
      <c r="D7004" t="s">
        <v>17446</v>
      </c>
      <c r="E7004" t="s">
        <v>23558</v>
      </c>
      <c r="F7004" t="s">
        <v>30052</v>
      </c>
      <c r="G7004" t="s">
        <v>30058</v>
      </c>
      <c r="H7004" t="s">
        <v>15498</v>
      </c>
      <c r="I7004" t="s">
        <v>30084</v>
      </c>
      <c r="J7004" t="s">
        <v>34537</v>
      </c>
      <c r="K7004" t="s">
        <v>39052</v>
      </c>
      <c r="M7004" t="s">
        <v>41655</v>
      </c>
      <c r="N7004" t="s">
        <v>43166</v>
      </c>
      <c r="O7004" t="s">
        <v>43167</v>
      </c>
      <c r="P7004">
        <v>0</v>
      </c>
      <c r="Q7004">
        <v>13</v>
      </c>
      <c r="R7004" t="s">
        <v>43173</v>
      </c>
      <c r="S7004" t="s">
        <v>43374</v>
      </c>
      <c r="T7004" t="s">
        <v>44770</v>
      </c>
      <c r="U7004" t="s">
        <v>50869</v>
      </c>
      <c r="W7004" t="s">
        <v>41655</v>
      </c>
      <c r="X7004" t="s">
        <v>43174</v>
      </c>
    </row>
    <row r="7005" spans="1:24">
      <c r="A7005">
        <f>HYPERLINK("https://www.philgeps.gov.ph/GEPSNONPILOT/Tender/SplashBidNoticeAbstractUI.aspx?menuIndex=3&amp;refID=7076799&amp;Result=3","7076799")</f>
        <v>0</v>
      </c>
      <c r="B7005" t="s">
        <v>1863</v>
      </c>
      <c r="C7005" t="s">
        <v>10087</v>
      </c>
      <c r="D7005" t="s">
        <v>17451</v>
      </c>
      <c r="E7005" t="s">
        <v>23559</v>
      </c>
      <c r="F7005" t="s">
        <v>30052</v>
      </c>
      <c r="G7005" t="s">
        <v>30058</v>
      </c>
      <c r="H7005" t="s">
        <v>30067</v>
      </c>
      <c r="I7005" t="s">
        <v>3693</v>
      </c>
      <c r="J7005" t="s">
        <v>30277</v>
      </c>
      <c r="K7005" t="s">
        <v>39029</v>
      </c>
      <c r="M7005" t="s">
        <v>41291</v>
      </c>
      <c r="N7005" t="s">
        <v>43166</v>
      </c>
      <c r="O7005" t="s">
        <v>43167</v>
      </c>
      <c r="P7005">
        <v>0</v>
      </c>
      <c r="Q7005">
        <v>0</v>
      </c>
      <c r="R7005" t="s">
        <v>43173</v>
      </c>
      <c r="S7005" t="s">
        <v>43374</v>
      </c>
      <c r="T7005" t="s">
        <v>44828</v>
      </c>
      <c r="U7005" t="s">
        <v>50772</v>
      </c>
      <c r="W7005" t="s">
        <v>41291</v>
      </c>
      <c r="X7005" t="s">
        <v>43174</v>
      </c>
    </row>
    <row r="7006" spans="1:24">
      <c r="A7006">
        <f>HYPERLINK("https://www.philgeps.gov.ph/GEPSNONPILOT/Tender/SplashBidNoticeAbstractUI.aspx?menuIndex=3&amp;refID=7076433&amp;Result=3","7076433")</f>
        <v>0</v>
      </c>
      <c r="B7006" t="s">
        <v>2157</v>
      </c>
      <c r="C7006" t="s">
        <v>10088</v>
      </c>
      <c r="D7006" t="s">
        <v>17463</v>
      </c>
      <c r="E7006" t="s">
        <v>23560</v>
      </c>
      <c r="F7006" t="s">
        <v>30052</v>
      </c>
      <c r="G7006" t="s">
        <v>30058</v>
      </c>
      <c r="H7006" t="s">
        <v>15498</v>
      </c>
      <c r="I7006" t="s">
        <v>4650</v>
      </c>
      <c r="J7006" t="s">
        <v>31133</v>
      </c>
      <c r="K7006" t="s">
        <v>39019</v>
      </c>
      <c r="M7006" t="s">
        <v>41624</v>
      </c>
      <c r="N7006" t="s">
        <v>43166</v>
      </c>
      <c r="O7006" t="s">
        <v>43167</v>
      </c>
      <c r="P7006">
        <v>0</v>
      </c>
      <c r="Q7006">
        <v>1</v>
      </c>
      <c r="R7006" t="s">
        <v>43173</v>
      </c>
      <c r="S7006" t="s">
        <v>43374</v>
      </c>
      <c r="T7006" t="s">
        <v>44758</v>
      </c>
      <c r="U7006" t="s">
        <v>50870</v>
      </c>
      <c r="W7006" t="s">
        <v>41624</v>
      </c>
      <c r="X7006" t="s">
        <v>43174</v>
      </c>
    </row>
    <row r="7007" spans="1:24">
      <c r="A7007">
        <f>HYPERLINK("https://www.philgeps.gov.ph/GEPSNONPILOT/Tender/SplashBidNoticeAbstractUI.aspx?menuIndex=3&amp;refID=7076430&amp;Result=3","7076430")</f>
        <v>0</v>
      </c>
      <c r="B7007" t="s">
        <v>777</v>
      </c>
      <c r="C7007" t="s">
        <v>10089</v>
      </c>
      <c r="E7007" t="s">
        <v>23561</v>
      </c>
      <c r="F7007" t="s">
        <v>30052</v>
      </c>
      <c r="G7007" t="s">
        <v>30059</v>
      </c>
      <c r="H7007" t="s">
        <v>15498</v>
      </c>
      <c r="I7007" t="s">
        <v>7228</v>
      </c>
      <c r="J7007" t="s">
        <v>30275</v>
      </c>
      <c r="K7007" t="s">
        <v>39025</v>
      </c>
      <c r="M7007" t="s">
        <v>40092</v>
      </c>
      <c r="N7007" t="s">
        <v>43166</v>
      </c>
      <c r="O7007" t="s">
        <v>43167</v>
      </c>
      <c r="P7007">
        <v>0</v>
      </c>
      <c r="Q7007">
        <v>0</v>
      </c>
      <c r="R7007" t="s">
        <v>43173</v>
      </c>
      <c r="S7007" t="s">
        <v>43374</v>
      </c>
      <c r="T7007" t="s">
        <v>44856</v>
      </c>
      <c r="U7007" t="s">
        <v>50871</v>
      </c>
      <c r="W7007" t="s">
        <v>40092</v>
      </c>
      <c r="X7007" t="s">
        <v>43174</v>
      </c>
    </row>
    <row r="7008" spans="1:24">
      <c r="A7008">
        <f>HYPERLINK("https://www.philgeps.gov.ph/GEPSNONPILOT/Tender/SplashBidNoticeAbstractUI.aspx?menuIndex=3&amp;refID=7076428&amp;Result=3","7076428")</f>
        <v>0</v>
      </c>
      <c r="B7008" t="s">
        <v>1352</v>
      </c>
      <c r="C7008" t="s">
        <v>10090</v>
      </c>
      <c r="D7008" t="s">
        <v>17451</v>
      </c>
      <c r="E7008" t="s">
        <v>17692</v>
      </c>
      <c r="F7008" t="s">
        <v>30052</v>
      </c>
      <c r="G7008" t="s">
        <v>30059</v>
      </c>
      <c r="H7008" t="s">
        <v>15498</v>
      </c>
      <c r="I7008" t="s">
        <v>30073</v>
      </c>
      <c r="J7008" t="s">
        <v>30308</v>
      </c>
      <c r="K7008" t="s">
        <v>39034</v>
      </c>
      <c r="M7008" t="s">
        <v>40721</v>
      </c>
      <c r="N7008" t="s">
        <v>43166</v>
      </c>
      <c r="O7008" t="s">
        <v>43167</v>
      </c>
      <c r="P7008">
        <v>0</v>
      </c>
      <c r="Q7008">
        <v>0</v>
      </c>
      <c r="R7008" t="s">
        <v>43173</v>
      </c>
      <c r="S7008" t="s">
        <v>43374</v>
      </c>
      <c r="T7008" t="s">
        <v>44717</v>
      </c>
      <c r="U7008" t="s">
        <v>48210</v>
      </c>
      <c r="W7008" t="s">
        <v>40721</v>
      </c>
      <c r="X7008" t="s">
        <v>43174</v>
      </c>
    </row>
    <row r="7009" spans="1:24">
      <c r="A7009">
        <f>HYPERLINK("https://www.philgeps.gov.ph/GEPSNONPILOT/Tender/SplashBidNoticeAbstractUI.aspx?menuIndex=3&amp;refID=7076507&amp;Result=3","7076507")</f>
        <v>0</v>
      </c>
      <c r="B7009" t="s">
        <v>199</v>
      </c>
      <c r="C7009" t="s">
        <v>10091</v>
      </c>
      <c r="D7009" t="s">
        <v>17415</v>
      </c>
      <c r="E7009" t="s">
        <v>23562</v>
      </c>
      <c r="F7009" t="s">
        <v>30052</v>
      </c>
      <c r="G7009" t="s">
        <v>30059</v>
      </c>
      <c r="H7009" t="s">
        <v>15498</v>
      </c>
      <c r="I7009" t="s">
        <v>30071</v>
      </c>
      <c r="J7009" t="s">
        <v>31226</v>
      </c>
      <c r="K7009" t="s">
        <v>39019</v>
      </c>
      <c r="M7009" t="s">
        <v>40618</v>
      </c>
      <c r="N7009" t="s">
        <v>43166</v>
      </c>
      <c r="O7009" t="s">
        <v>43167</v>
      </c>
      <c r="P7009">
        <v>0</v>
      </c>
      <c r="Q7009">
        <v>9</v>
      </c>
      <c r="R7009" t="s">
        <v>43173</v>
      </c>
      <c r="S7009" t="s">
        <v>43374</v>
      </c>
      <c r="T7009" t="s">
        <v>44862</v>
      </c>
      <c r="U7009" t="s">
        <v>50872</v>
      </c>
      <c r="W7009" t="s">
        <v>40618</v>
      </c>
      <c r="X7009" t="s">
        <v>43174</v>
      </c>
    </row>
    <row r="7010" spans="1:24">
      <c r="A7010">
        <f>HYPERLINK("https://www.philgeps.gov.ph/GEPSNONPILOT/Tender/SplashBidNoticeAbstractUI.aspx?menuIndex=3&amp;refID=7076924&amp;Result=3","7076924")</f>
        <v>0</v>
      </c>
      <c r="B7010" t="s">
        <v>1428</v>
      </c>
      <c r="C7010" t="s">
        <v>10092</v>
      </c>
      <c r="D7010" t="s">
        <v>17463</v>
      </c>
      <c r="E7010" t="s">
        <v>17719</v>
      </c>
      <c r="F7010" t="s">
        <v>30052</v>
      </c>
      <c r="G7010" t="s">
        <v>30058</v>
      </c>
      <c r="H7010" t="s">
        <v>30067</v>
      </c>
      <c r="I7010" t="s">
        <v>3693</v>
      </c>
      <c r="J7010" t="s">
        <v>30230</v>
      </c>
      <c r="K7010" t="s">
        <v>39034</v>
      </c>
      <c r="M7010" t="s">
        <v>40806</v>
      </c>
      <c r="N7010" t="s">
        <v>43166</v>
      </c>
      <c r="O7010" t="s">
        <v>43167</v>
      </c>
      <c r="P7010">
        <v>0</v>
      </c>
      <c r="Q7010">
        <v>2</v>
      </c>
      <c r="R7010" t="s">
        <v>43173</v>
      </c>
      <c r="S7010" t="s">
        <v>43374</v>
      </c>
      <c r="T7010" t="s">
        <v>44944</v>
      </c>
      <c r="U7010" t="s">
        <v>50873</v>
      </c>
      <c r="W7010" t="s">
        <v>40806</v>
      </c>
      <c r="X7010" t="s">
        <v>43174</v>
      </c>
    </row>
    <row r="7011" spans="1:24">
      <c r="A7011">
        <f>HYPERLINK("https://www.philgeps.gov.ph/GEPSNONPILOT/Tender/SplashBidNoticeAbstractUI.aspx?menuIndex=3&amp;refID=7076920&amp;Result=3","7076920")</f>
        <v>0</v>
      </c>
      <c r="B7011" t="s">
        <v>2224</v>
      </c>
      <c r="C7011" t="s">
        <v>10093</v>
      </c>
      <c r="D7011" t="s">
        <v>17415</v>
      </c>
      <c r="E7011" t="s">
        <v>23563</v>
      </c>
      <c r="F7011" t="s">
        <v>30052</v>
      </c>
      <c r="G7011" t="s">
        <v>30058</v>
      </c>
      <c r="H7011" t="s">
        <v>30069</v>
      </c>
      <c r="I7011" t="s">
        <v>3852</v>
      </c>
      <c r="J7011" t="s">
        <v>34538</v>
      </c>
      <c r="K7011" t="s">
        <v>39036</v>
      </c>
      <c r="M7011" t="s">
        <v>41696</v>
      </c>
      <c r="N7011" t="s">
        <v>43166</v>
      </c>
      <c r="O7011" t="s">
        <v>43167</v>
      </c>
      <c r="P7011">
        <v>0</v>
      </c>
      <c r="Q7011">
        <v>1</v>
      </c>
      <c r="R7011" t="s">
        <v>43173</v>
      </c>
      <c r="S7011" t="s">
        <v>43374</v>
      </c>
      <c r="T7011" t="s">
        <v>44769</v>
      </c>
      <c r="U7011" t="s">
        <v>50874</v>
      </c>
      <c r="W7011" t="s">
        <v>41696</v>
      </c>
      <c r="X7011" t="s">
        <v>43174</v>
      </c>
    </row>
    <row r="7012" spans="1:24">
      <c r="A7012">
        <f>HYPERLINK("https://www.philgeps.gov.ph/GEPSNONPILOT/Tender/SplashBidNoticeAbstractUI.aspx?menuIndex=3&amp;refID=7076917&amp;Result=3","7076917")</f>
        <v>0</v>
      </c>
      <c r="B7012" t="s">
        <v>2225</v>
      </c>
      <c r="C7012" t="s">
        <v>10094</v>
      </c>
      <c r="D7012" t="s">
        <v>17461</v>
      </c>
      <c r="E7012" t="s">
        <v>18734</v>
      </c>
      <c r="F7012" t="s">
        <v>30052</v>
      </c>
      <c r="G7012" t="s">
        <v>30058</v>
      </c>
      <c r="H7012" t="s">
        <v>15498</v>
      </c>
      <c r="I7012" t="s">
        <v>3736</v>
      </c>
      <c r="J7012" t="s">
        <v>34539</v>
      </c>
      <c r="K7012" t="s">
        <v>39037</v>
      </c>
      <c r="M7012" t="s">
        <v>41697</v>
      </c>
      <c r="N7012" t="s">
        <v>43166</v>
      </c>
      <c r="O7012" t="s">
        <v>43167</v>
      </c>
      <c r="P7012">
        <v>0</v>
      </c>
      <c r="Q7012">
        <v>0</v>
      </c>
      <c r="R7012" t="s">
        <v>43173</v>
      </c>
      <c r="S7012" t="s">
        <v>43374</v>
      </c>
      <c r="T7012" t="s">
        <v>44996</v>
      </c>
      <c r="U7012" t="s">
        <v>50875</v>
      </c>
      <c r="V7012" t="s">
        <v>56984</v>
      </c>
      <c r="W7012" t="s">
        <v>41697</v>
      </c>
      <c r="X7012" t="s">
        <v>43174</v>
      </c>
    </row>
    <row r="7013" spans="1:24">
      <c r="A7013">
        <f>HYPERLINK("https://www.philgeps.gov.ph/GEPSNONPILOT/Tender/SplashBidNoticeAbstractUI.aspx?menuIndex=3&amp;refID=7076489&amp;Result=3","7076489")</f>
        <v>0</v>
      </c>
      <c r="B7013" t="s">
        <v>1995</v>
      </c>
      <c r="C7013" t="s">
        <v>10095</v>
      </c>
      <c r="D7013" t="s">
        <v>17444</v>
      </c>
      <c r="E7013" t="s">
        <v>23564</v>
      </c>
      <c r="F7013" t="s">
        <v>30052</v>
      </c>
      <c r="G7013" t="s">
        <v>30059</v>
      </c>
      <c r="H7013" t="s">
        <v>15498</v>
      </c>
      <c r="I7013" t="s">
        <v>30070</v>
      </c>
      <c r="J7013" t="s">
        <v>30230</v>
      </c>
      <c r="K7013" t="s">
        <v>39017</v>
      </c>
      <c r="M7013" t="s">
        <v>41438</v>
      </c>
      <c r="N7013" t="s">
        <v>43166</v>
      </c>
      <c r="O7013" t="s">
        <v>43167</v>
      </c>
      <c r="P7013">
        <v>0</v>
      </c>
      <c r="Q7013">
        <v>0</v>
      </c>
      <c r="R7013" t="s">
        <v>43173</v>
      </c>
      <c r="S7013" t="s">
        <v>43374</v>
      </c>
      <c r="T7013" t="s">
        <v>44773</v>
      </c>
      <c r="U7013" t="s">
        <v>50876</v>
      </c>
      <c r="W7013" t="s">
        <v>41438</v>
      </c>
      <c r="X7013" t="s">
        <v>43174</v>
      </c>
    </row>
    <row r="7014" spans="1:24">
      <c r="A7014">
        <f>HYPERLINK("https://www.philgeps.gov.ph/GEPSNONPILOT/Tender/SplashBidNoticeAbstractUI.aspx?menuIndex=3&amp;refID=7076916&amp;Result=3","7076916")</f>
        <v>0</v>
      </c>
      <c r="B7014" t="s">
        <v>2218</v>
      </c>
      <c r="C7014" t="s">
        <v>10096</v>
      </c>
      <c r="D7014" t="s">
        <v>17455</v>
      </c>
      <c r="E7014" t="s">
        <v>23565</v>
      </c>
      <c r="F7014" t="s">
        <v>30052</v>
      </c>
      <c r="G7014" t="s">
        <v>30058</v>
      </c>
      <c r="H7014" t="s">
        <v>30067</v>
      </c>
      <c r="I7014" t="s">
        <v>3693</v>
      </c>
      <c r="J7014" t="s">
        <v>30277</v>
      </c>
      <c r="K7014" t="s">
        <v>39029</v>
      </c>
      <c r="M7014" t="s">
        <v>41688</v>
      </c>
      <c r="N7014" t="s">
        <v>43166</v>
      </c>
      <c r="O7014" t="s">
        <v>43167</v>
      </c>
      <c r="P7014">
        <v>0</v>
      </c>
      <c r="Q7014">
        <v>0</v>
      </c>
      <c r="R7014" t="s">
        <v>43173</v>
      </c>
      <c r="S7014" t="s">
        <v>43374</v>
      </c>
      <c r="T7014" t="s">
        <v>44777</v>
      </c>
      <c r="U7014" t="s">
        <v>49759</v>
      </c>
      <c r="W7014" t="s">
        <v>41688</v>
      </c>
      <c r="X7014" t="s">
        <v>43174</v>
      </c>
    </row>
    <row r="7015" spans="1:24">
      <c r="A7015">
        <f>HYPERLINK("https://www.philgeps.gov.ph/GEPSNONPILOT/Tender/SplashBidNoticeAbstractUI.aspx?menuIndex=3&amp;refID=7076913&amp;Result=3","7076913")</f>
        <v>0</v>
      </c>
      <c r="B7015" t="s">
        <v>2215</v>
      </c>
      <c r="C7015" t="s">
        <v>10097</v>
      </c>
      <c r="E7015" t="s">
        <v>21377</v>
      </c>
      <c r="F7015" t="s">
        <v>30052</v>
      </c>
      <c r="G7015" t="s">
        <v>30058</v>
      </c>
      <c r="H7015" t="s">
        <v>15498</v>
      </c>
      <c r="I7015" t="s">
        <v>6691</v>
      </c>
      <c r="J7015" t="s">
        <v>34540</v>
      </c>
      <c r="K7015" t="s">
        <v>39025</v>
      </c>
      <c r="M7015" t="s">
        <v>41685</v>
      </c>
      <c r="N7015" t="s">
        <v>43166</v>
      </c>
      <c r="O7015" t="s">
        <v>43167</v>
      </c>
      <c r="P7015">
        <v>0</v>
      </c>
      <c r="Q7015">
        <v>0</v>
      </c>
      <c r="R7015" t="s">
        <v>43173</v>
      </c>
      <c r="S7015" t="s">
        <v>43374</v>
      </c>
      <c r="T7015" t="s">
        <v>44734</v>
      </c>
      <c r="U7015" t="s">
        <v>50846</v>
      </c>
      <c r="W7015" t="s">
        <v>41685</v>
      </c>
      <c r="X7015" t="s">
        <v>43174</v>
      </c>
    </row>
    <row r="7016" spans="1:24">
      <c r="A7016">
        <f>HYPERLINK("https://www.philgeps.gov.ph/GEPSNONPILOT/Tender/SplashBidNoticeAbstractUI.aspx?menuIndex=3&amp;refID=7076910&amp;Result=3","7076910")</f>
        <v>0</v>
      </c>
      <c r="B7016" t="s">
        <v>1446</v>
      </c>
      <c r="C7016" t="s">
        <v>10098</v>
      </c>
      <c r="D7016" t="s">
        <v>17447</v>
      </c>
      <c r="E7016" t="s">
        <v>23566</v>
      </c>
      <c r="F7016" t="s">
        <v>30052</v>
      </c>
      <c r="G7016" t="s">
        <v>30058</v>
      </c>
      <c r="H7016" t="s">
        <v>15498</v>
      </c>
      <c r="I7016" t="s">
        <v>3736</v>
      </c>
      <c r="J7016" t="s">
        <v>34541</v>
      </c>
      <c r="K7016" t="s">
        <v>39023</v>
      </c>
      <c r="M7016" t="s">
        <v>40824</v>
      </c>
      <c r="N7016" t="s">
        <v>43166</v>
      </c>
      <c r="O7016" t="s">
        <v>43167</v>
      </c>
      <c r="P7016">
        <v>0</v>
      </c>
      <c r="Q7016">
        <v>2</v>
      </c>
      <c r="R7016" t="s">
        <v>43173</v>
      </c>
      <c r="S7016" t="s">
        <v>43374</v>
      </c>
      <c r="T7016" t="s">
        <v>44716</v>
      </c>
      <c r="U7016" t="s">
        <v>50877</v>
      </c>
      <c r="W7016" t="s">
        <v>40824</v>
      </c>
      <c r="X7016" t="s">
        <v>43174</v>
      </c>
    </row>
    <row r="7017" spans="1:24">
      <c r="A7017">
        <f>HYPERLINK("https://www.philgeps.gov.ph/GEPSNONPILOT/Tender/SplashBidNoticeAbstractUI.aspx?menuIndex=3&amp;refID=7076919&amp;Result=3","7076919")</f>
        <v>0</v>
      </c>
      <c r="B7017" t="s">
        <v>2226</v>
      </c>
      <c r="C7017" t="s">
        <v>10099</v>
      </c>
      <c r="D7017" t="s">
        <v>17452</v>
      </c>
      <c r="E7017" t="s">
        <v>23567</v>
      </c>
      <c r="F7017" t="s">
        <v>30052</v>
      </c>
      <c r="G7017" t="s">
        <v>30058</v>
      </c>
      <c r="H7017" t="s">
        <v>15498</v>
      </c>
      <c r="I7017" t="s">
        <v>30103</v>
      </c>
      <c r="J7017" t="s">
        <v>34542</v>
      </c>
      <c r="K7017" t="s">
        <v>39037</v>
      </c>
      <c r="M7017" t="s">
        <v>41698</v>
      </c>
      <c r="N7017" t="s">
        <v>43166</v>
      </c>
      <c r="O7017" t="s">
        <v>43167</v>
      </c>
      <c r="P7017">
        <v>0</v>
      </c>
      <c r="Q7017">
        <v>7</v>
      </c>
      <c r="R7017" t="s">
        <v>43173</v>
      </c>
      <c r="S7017" t="s">
        <v>43374</v>
      </c>
      <c r="T7017" t="s">
        <v>44720</v>
      </c>
      <c r="U7017" t="s">
        <v>50878</v>
      </c>
      <c r="W7017" t="s">
        <v>41698</v>
      </c>
      <c r="X7017" t="s">
        <v>43174</v>
      </c>
    </row>
    <row r="7018" spans="1:24">
      <c r="A7018">
        <f>HYPERLINK("https://www.philgeps.gov.ph/GEPSNONPILOT/Tender/SplashBidNoticeAbstractUI.aspx?menuIndex=3&amp;refID=7076906&amp;Result=3","7076906")</f>
        <v>0</v>
      </c>
      <c r="B7018" t="s">
        <v>2227</v>
      </c>
      <c r="C7018" t="s">
        <v>10100</v>
      </c>
      <c r="D7018" t="s">
        <v>17464</v>
      </c>
      <c r="E7018" t="s">
        <v>23568</v>
      </c>
      <c r="F7018" t="s">
        <v>30052</v>
      </c>
      <c r="G7018" t="s">
        <v>30058</v>
      </c>
      <c r="H7018" t="s">
        <v>15498</v>
      </c>
      <c r="I7018" t="s">
        <v>4650</v>
      </c>
      <c r="J7018" t="s">
        <v>34543</v>
      </c>
      <c r="K7018" t="s">
        <v>39025</v>
      </c>
      <c r="M7018" t="s">
        <v>41699</v>
      </c>
      <c r="N7018" t="s">
        <v>43166</v>
      </c>
      <c r="O7018" t="s">
        <v>43167</v>
      </c>
      <c r="P7018">
        <v>0</v>
      </c>
      <c r="Q7018">
        <v>8</v>
      </c>
      <c r="R7018" t="s">
        <v>43173</v>
      </c>
      <c r="S7018" t="s">
        <v>43374</v>
      </c>
      <c r="T7018" t="s">
        <v>44758</v>
      </c>
      <c r="U7018" t="s">
        <v>50879</v>
      </c>
      <c r="V7018" t="s">
        <v>57551</v>
      </c>
      <c r="W7018" t="s">
        <v>41699</v>
      </c>
      <c r="X7018" t="s">
        <v>43174</v>
      </c>
    </row>
    <row r="7019" spans="1:24">
      <c r="A7019">
        <f>HYPERLINK("https://www.philgeps.gov.ph/GEPSNONPILOT/Tender/SplashBidNoticeAbstractUI.aspx?menuIndex=3&amp;refID=7076915&amp;Result=3","7076915")</f>
        <v>0</v>
      </c>
      <c r="B7019" t="s">
        <v>2228</v>
      </c>
      <c r="C7019" t="s">
        <v>10101</v>
      </c>
      <c r="D7019" t="s">
        <v>17414</v>
      </c>
      <c r="E7019" t="s">
        <v>23569</v>
      </c>
      <c r="F7019" t="s">
        <v>30052</v>
      </c>
      <c r="G7019" t="s">
        <v>30058</v>
      </c>
      <c r="H7019" t="s">
        <v>30067</v>
      </c>
      <c r="I7019" t="s">
        <v>3693</v>
      </c>
      <c r="J7019" t="s">
        <v>30252</v>
      </c>
      <c r="K7019" t="s">
        <v>39037</v>
      </c>
      <c r="M7019" t="s">
        <v>41700</v>
      </c>
      <c r="N7019" t="s">
        <v>43166</v>
      </c>
      <c r="O7019" t="s">
        <v>43167</v>
      </c>
      <c r="P7019">
        <v>0</v>
      </c>
      <c r="Q7019">
        <v>0</v>
      </c>
      <c r="R7019" t="s">
        <v>43173</v>
      </c>
      <c r="S7019" t="s">
        <v>43374</v>
      </c>
      <c r="T7019" t="s">
        <v>44760</v>
      </c>
      <c r="U7019" t="s">
        <v>50880</v>
      </c>
      <c r="V7019" t="s">
        <v>49135</v>
      </c>
      <c r="W7019" t="s">
        <v>41700</v>
      </c>
      <c r="X7019" t="s">
        <v>43174</v>
      </c>
    </row>
    <row r="7020" spans="1:24">
      <c r="A7020">
        <f>HYPERLINK("https://www.philgeps.gov.ph/GEPSNONPILOT/Tender/SplashBidNoticeAbstractUI.aspx?menuIndex=3&amp;refID=7076902&amp;Result=3","7076902")</f>
        <v>0</v>
      </c>
      <c r="B7020" t="s">
        <v>813</v>
      </c>
      <c r="C7020" t="s">
        <v>10102</v>
      </c>
      <c r="D7020" t="s">
        <v>17426</v>
      </c>
      <c r="E7020" t="s">
        <v>23570</v>
      </c>
      <c r="F7020" t="s">
        <v>30052</v>
      </c>
      <c r="G7020" t="s">
        <v>30059</v>
      </c>
      <c r="H7020" t="s">
        <v>15498</v>
      </c>
      <c r="I7020" t="s">
        <v>30070</v>
      </c>
      <c r="J7020" t="s">
        <v>34544</v>
      </c>
      <c r="K7020" t="s">
        <v>39039</v>
      </c>
      <c r="M7020" t="s">
        <v>40130</v>
      </c>
      <c r="N7020" t="s">
        <v>43166</v>
      </c>
      <c r="O7020" t="s">
        <v>43167</v>
      </c>
      <c r="P7020">
        <v>0</v>
      </c>
      <c r="Q7020">
        <v>2</v>
      </c>
      <c r="R7020" t="s">
        <v>43173</v>
      </c>
      <c r="S7020" t="s">
        <v>43374</v>
      </c>
      <c r="T7020" t="s">
        <v>44894</v>
      </c>
      <c r="U7020" t="s">
        <v>50138</v>
      </c>
      <c r="W7020" t="s">
        <v>40130</v>
      </c>
      <c r="X7020" t="s">
        <v>43174</v>
      </c>
    </row>
    <row r="7021" spans="1:24">
      <c r="A7021">
        <f>HYPERLINK("https://www.philgeps.gov.ph/GEPSNONPILOT/Tender/SplashBidNoticeAbstractUI.aspx?menuIndex=3&amp;refID=7076898&amp;Result=3","7076898")</f>
        <v>0</v>
      </c>
      <c r="B7021" t="s">
        <v>2229</v>
      </c>
      <c r="C7021" t="s">
        <v>10103</v>
      </c>
      <c r="D7021" t="s">
        <v>17413</v>
      </c>
      <c r="E7021" t="s">
        <v>23571</v>
      </c>
      <c r="F7021" t="s">
        <v>30052</v>
      </c>
      <c r="G7021" t="s">
        <v>30058</v>
      </c>
      <c r="H7021" t="s">
        <v>30067</v>
      </c>
      <c r="I7021" t="s">
        <v>3693</v>
      </c>
      <c r="J7021" t="s">
        <v>34545</v>
      </c>
      <c r="K7021" t="s">
        <v>39057</v>
      </c>
      <c r="M7021" t="s">
        <v>41701</v>
      </c>
      <c r="N7021" t="s">
        <v>43166</v>
      </c>
      <c r="O7021" t="s">
        <v>43167</v>
      </c>
      <c r="P7021">
        <v>0</v>
      </c>
      <c r="Q7021">
        <v>0</v>
      </c>
      <c r="R7021" t="s">
        <v>43173</v>
      </c>
      <c r="S7021" t="s">
        <v>43374</v>
      </c>
      <c r="T7021" t="s">
        <v>44680</v>
      </c>
      <c r="U7021" t="s">
        <v>50881</v>
      </c>
      <c r="V7021" t="s">
        <v>57552</v>
      </c>
      <c r="W7021" t="s">
        <v>41701</v>
      </c>
      <c r="X7021" t="s">
        <v>43174</v>
      </c>
    </row>
    <row r="7022" spans="1:24">
      <c r="A7022">
        <f>HYPERLINK("https://www.philgeps.gov.ph/GEPSNONPILOT/Tender/SplashBidNoticeAbstractUI.aspx?menuIndex=3&amp;refID=7076894&amp;Result=3","7076894")</f>
        <v>0</v>
      </c>
      <c r="B7022" t="s">
        <v>2230</v>
      </c>
      <c r="C7022" t="s">
        <v>10104</v>
      </c>
      <c r="D7022" t="s">
        <v>17435</v>
      </c>
      <c r="E7022" t="s">
        <v>18583</v>
      </c>
      <c r="F7022" t="s">
        <v>30052</v>
      </c>
      <c r="G7022" t="s">
        <v>30058</v>
      </c>
      <c r="H7022" t="s">
        <v>15498</v>
      </c>
      <c r="I7022" t="s">
        <v>3736</v>
      </c>
      <c r="J7022" t="s">
        <v>34546</v>
      </c>
      <c r="K7022" t="s">
        <v>39019</v>
      </c>
      <c r="M7022" t="s">
        <v>41702</v>
      </c>
      <c r="N7022" t="s">
        <v>43166</v>
      </c>
      <c r="O7022" t="s">
        <v>43167</v>
      </c>
      <c r="P7022">
        <v>0</v>
      </c>
      <c r="Q7022">
        <v>1</v>
      </c>
      <c r="R7022" t="s">
        <v>43173</v>
      </c>
      <c r="S7022" t="s">
        <v>43374</v>
      </c>
      <c r="T7022" t="s">
        <v>44871</v>
      </c>
      <c r="U7022" t="s">
        <v>50882</v>
      </c>
      <c r="W7022" t="s">
        <v>41702</v>
      </c>
      <c r="X7022" t="s">
        <v>43174</v>
      </c>
    </row>
    <row r="7023" spans="1:24">
      <c r="A7023">
        <f>HYPERLINK("https://www.philgeps.gov.ph/GEPSNONPILOT/Tender/SplashBidNoticeAbstractUI.aspx?menuIndex=3&amp;refID=7076504&amp;Result=3","7076504")</f>
        <v>0</v>
      </c>
      <c r="B7023" t="s">
        <v>1181</v>
      </c>
      <c r="C7023" t="s">
        <v>10105</v>
      </c>
      <c r="D7023" t="s">
        <v>17444</v>
      </c>
      <c r="E7023" t="s">
        <v>23572</v>
      </c>
      <c r="F7023" t="s">
        <v>30052</v>
      </c>
      <c r="G7023" t="s">
        <v>30058</v>
      </c>
      <c r="H7023" t="s">
        <v>30067</v>
      </c>
      <c r="I7023" t="s">
        <v>3693</v>
      </c>
      <c r="J7023" t="s">
        <v>34547</v>
      </c>
      <c r="K7023" t="s">
        <v>39025</v>
      </c>
      <c r="M7023" t="s">
        <v>41300</v>
      </c>
      <c r="N7023" t="s">
        <v>43166</v>
      </c>
      <c r="O7023" t="s">
        <v>43167</v>
      </c>
      <c r="P7023">
        <v>0</v>
      </c>
      <c r="Q7023">
        <v>7</v>
      </c>
      <c r="R7023" t="s">
        <v>43173</v>
      </c>
      <c r="S7023" t="s">
        <v>43374</v>
      </c>
      <c r="T7023" t="s">
        <v>44813</v>
      </c>
      <c r="U7023" t="s">
        <v>50883</v>
      </c>
      <c r="W7023" t="s">
        <v>41300</v>
      </c>
      <c r="X7023" t="s">
        <v>43174</v>
      </c>
    </row>
    <row r="7024" spans="1:24">
      <c r="A7024">
        <f>HYPERLINK("https://www.philgeps.gov.ph/GEPSNONPILOT/Tender/SplashBidNoticeAbstractUI.aspx?menuIndex=3&amp;refID=7076985&amp;Result=3","7076985")</f>
        <v>0</v>
      </c>
      <c r="B7024" t="s">
        <v>2231</v>
      </c>
      <c r="C7024" t="s">
        <v>10106</v>
      </c>
      <c r="E7024" t="s">
        <v>23573</v>
      </c>
      <c r="F7024" t="s">
        <v>30052</v>
      </c>
      <c r="G7024" t="s">
        <v>30058</v>
      </c>
      <c r="H7024" t="s">
        <v>30067</v>
      </c>
      <c r="I7024" t="s">
        <v>3693</v>
      </c>
      <c r="J7024" t="s">
        <v>30230</v>
      </c>
      <c r="K7024" t="s">
        <v>39025</v>
      </c>
      <c r="M7024" t="s">
        <v>41703</v>
      </c>
      <c r="N7024" t="s">
        <v>43166</v>
      </c>
      <c r="O7024" t="s">
        <v>43167</v>
      </c>
      <c r="P7024">
        <v>0</v>
      </c>
      <c r="Q7024">
        <v>0</v>
      </c>
      <c r="R7024" t="s">
        <v>43173</v>
      </c>
      <c r="S7024" t="s">
        <v>43374</v>
      </c>
      <c r="T7024" t="s">
        <v>44810</v>
      </c>
      <c r="U7024" t="s">
        <v>50884</v>
      </c>
      <c r="W7024" t="s">
        <v>41703</v>
      </c>
      <c r="X7024" t="s">
        <v>43174</v>
      </c>
    </row>
    <row r="7025" spans="1:24">
      <c r="A7025">
        <f>HYPERLINK("https://www.philgeps.gov.ph/GEPSNONPILOT/Tender/SplashBidNoticeAbstractUI.aspx?menuIndex=3&amp;refID=7076905&amp;Result=3","7076905")</f>
        <v>0</v>
      </c>
      <c r="B7025" t="s">
        <v>1313</v>
      </c>
      <c r="C7025" t="s">
        <v>10107</v>
      </c>
      <c r="D7025" t="s">
        <v>17415</v>
      </c>
      <c r="E7025" t="s">
        <v>23574</v>
      </c>
      <c r="F7025" t="s">
        <v>30052</v>
      </c>
      <c r="G7025" t="s">
        <v>30059</v>
      </c>
      <c r="H7025" t="s">
        <v>15498</v>
      </c>
      <c r="I7025" t="s">
        <v>3693</v>
      </c>
      <c r="J7025" t="s">
        <v>34548</v>
      </c>
      <c r="K7025" t="s">
        <v>39029</v>
      </c>
      <c r="M7025" t="s">
        <v>41489</v>
      </c>
      <c r="N7025" t="s">
        <v>43166</v>
      </c>
      <c r="O7025" t="s">
        <v>43167</v>
      </c>
      <c r="P7025">
        <v>0</v>
      </c>
      <c r="Q7025">
        <v>0</v>
      </c>
      <c r="R7025" t="s">
        <v>43173</v>
      </c>
      <c r="S7025" t="s">
        <v>43374</v>
      </c>
      <c r="T7025" t="s">
        <v>44717</v>
      </c>
      <c r="U7025" t="s">
        <v>50885</v>
      </c>
      <c r="W7025" t="s">
        <v>41489</v>
      </c>
      <c r="X7025" t="s">
        <v>43174</v>
      </c>
    </row>
    <row r="7026" spans="1:24">
      <c r="A7026">
        <f>HYPERLINK("https://www.philgeps.gov.ph/GEPSNONPILOT/Tender/SplashBidNoticeAbstractUI.aspx?menuIndex=3&amp;refID=7076914&amp;Result=3","7076914")</f>
        <v>0</v>
      </c>
      <c r="B7026" t="s">
        <v>1988</v>
      </c>
      <c r="C7026" t="s">
        <v>10108</v>
      </c>
      <c r="D7026" t="s">
        <v>17448</v>
      </c>
      <c r="E7026" t="s">
        <v>23575</v>
      </c>
      <c r="F7026" t="s">
        <v>30052</v>
      </c>
      <c r="G7026" t="s">
        <v>30061</v>
      </c>
      <c r="H7026" t="s">
        <v>15498</v>
      </c>
      <c r="I7026" t="s">
        <v>6304</v>
      </c>
      <c r="J7026" t="s">
        <v>32451</v>
      </c>
      <c r="K7026" t="s">
        <v>39017</v>
      </c>
      <c r="M7026" t="s">
        <v>41430</v>
      </c>
      <c r="N7026" t="s">
        <v>43166</v>
      </c>
      <c r="O7026" t="s">
        <v>43167</v>
      </c>
      <c r="P7026">
        <v>0</v>
      </c>
      <c r="Q7026">
        <v>0</v>
      </c>
      <c r="R7026" t="s">
        <v>43173</v>
      </c>
      <c r="S7026" t="s">
        <v>43374</v>
      </c>
      <c r="T7026" t="s">
        <v>44870</v>
      </c>
      <c r="U7026" t="s">
        <v>50886</v>
      </c>
      <c r="W7026" t="s">
        <v>41430</v>
      </c>
      <c r="X7026" t="s">
        <v>43174</v>
      </c>
    </row>
    <row r="7027" spans="1:24">
      <c r="A7027">
        <f>HYPERLINK("https://www.philgeps.gov.ph/GEPSNONPILOT/Tender/SplashBidNoticeAbstractUI.aspx?menuIndex=3&amp;refID=7077002&amp;Result=3","7077002")</f>
        <v>0</v>
      </c>
      <c r="B7027" t="s">
        <v>1517</v>
      </c>
      <c r="C7027" t="s">
        <v>10109</v>
      </c>
      <c r="D7027" t="s">
        <v>17421</v>
      </c>
      <c r="E7027" t="s">
        <v>23576</v>
      </c>
      <c r="F7027" t="s">
        <v>30052</v>
      </c>
      <c r="G7027" t="s">
        <v>30061</v>
      </c>
      <c r="H7027" t="s">
        <v>15498</v>
      </c>
      <c r="I7027" t="s">
        <v>30076</v>
      </c>
      <c r="J7027" t="s">
        <v>34549</v>
      </c>
      <c r="K7027" t="s">
        <v>39034</v>
      </c>
      <c r="M7027" t="s">
        <v>41614</v>
      </c>
      <c r="N7027" t="s">
        <v>43166</v>
      </c>
      <c r="O7027" t="s">
        <v>43167</v>
      </c>
      <c r="P7027">
        <v>0</v>
      </c>
      <c r="Q7027">
        <v>2</v>
      </c>
      <c r="R7027" t="s">
        <v>43173</v>
      </c>
      <c r="S7027" t="s">
        <v>43374</v>
      </c>
      <c r="T7027" t="s">
        <v>44844</v>
      </c>
      <c r="U7027" t="s">
        <v>50887</v>
      </c>
      <c r="W7027" t="s">
        <v>41614</v>
      </c>
      <c r="X7027" t="s">
        <v>43174</v>
      </c>
    </row>
    <row r="7028" spans="1:24">
      <c r="A7028">
        <f>HYPERLINK("https://www.philgeps.gov.ph/GEPSNONPILOT/Tender/SplashBidNoticeAbstractUI.aspx?menuIndex=3&amp;refID=7076999&amp;Result=3","7076999")</f>
        <v>0</v>
      </c>
      <c r="B7028" t="s">
        <v>687</v>
      </c>
      <c r="C7028" t="s">
        <v>10110</v>
      </c>
      <c r="D7028" t="s">
        <v>17435</v>
      </c>
      <c r="E7028" t="s">
        <v>23577</v>
      </c>
      <c r="F7028" t="s">
        <v>30052</v>
      </c>
      <c r="G7028" t="s">
        <v>30058</v>
      </c>
      <c r="H7028" t="s">
        <v>30067</v>
      </c>
      <c r="I7028" t="s">
        <v>3693</v>
      </c>
      <c r="J7028" t="s">
        <v>34550</v>
      </c>
      <c r="K7028" t="s">
        <v>39022</v>
      </c>
      <c r="M7028" t="s">
        <v>40222</v>
      </c>
      <c r="N7028" t="s">
        <v>43166</v>
      </c>
      <c r="O7028" t="s">
        <v>43167</v>
      </c>
      <c r="P7028">
        <v>0</v>
      </c>
      <c r="Q7028">
        <v>0</v>
      </c>
      <c r="R7028" t="s">
        <v>43173</v>
      </c>
      <c r="S7028" t="s">
        <v>43374</v>
      </c>
      <c r="T7028" t="s">
        <v>44716</v>
      </c>
      <c r="U7028" t="s">
        <v>50888</v>
      </c>
      <c r="W7028" t="s">
        <v>40222</v>
      </c>
      <c r="X7028" t="s">
        <v>43174</v>
      </c>
    </row>
    <row r="7029" spans="1:24">
      <c r="A7029">
        <f>HYPERLINK("https://www.philgeps.gov.ph/GEPSNONPILOT/Tender/SplashBidNoticeAbstractUI.aspx?menuIndex=3&amp;refID=7076899&amp;Result=3","7076899")</f>
        <v>0</v>
      </c>
      <c r="B7029" t="s">
        <v>1467</v>
      </c>
      <c r="C7029" t="s">
        <v>10111</v>
      </c>
      <c r="D7029" t="s">
        <v>17464</v>
      </c>
      <c r="E7029" t="s">
        <v>23578</v>
      </c>
      <c r="F7029" t="s">
        <v>30052</v>
      </c>
      <c r="G7029" t="s">
        <v>30059</v>
      </c>
      <c r="H7029" t="s">
        <v>15498</v>
      </c>
      <c r="I7029" t="s">
        <v>30105</v>
      </c>
      <c r="J7029" t="s">
        <v>34551</v>
      </c>
      <c r="K7029" t="s">
        <v>39029</v>
      </c>
      <c r="M7029" t="s">
        <v>40849</v>
      </c>
      <c r="N7029" t="s">
        <v>43166</v>
      </c>
      <c r="O7029" t="s">
        <v>43167</v>
      </c>
      <c r="P7029">
        <v>0</v>
      </c>
      <c r="Q7029">
        <v>2</v>
      </c>
      <c r="R7029" t="s">
        <v>43173</v>
      </c>
      <c r="S7029" t="s">
        <v>43374</v>
      </c>
      <c r="T7029" t="s">
        <v>44862</v>
      </c>
      <c r="U7029" t="s">
        <v>50889</v>
      </c>
      <c r="W7029" t="s">
        <v>40849</v>
      </c>
      <c r="X7029" t="s">
        <v>43174</v>
      </c>
    </row>
    <row r="7030" spans="1:24">
      <c r="A7030">
        <f>HYPERLINK("https://www.philgeps.gov.ph/GEPSNONPILOT/Tender/SplashBidNoticeAbstractUI.aspx?menuIndex=3&amp;refID=7076992&amp;Result=3","7076992")</f>
        <v>0</v>
      </c>
      <c r="B7030" t="s">
        <v>2232</v>
      </c>
      <c r="C7030" t="s">
        <v>10112</v>
      </c>
      <c r="D7030" t="s">
        <v>17455</v>
      </c>
      <c r="E7030" t="s">
        <v>18205</v>
      </c>
      <c r="F7030" t="s">
        <v>30052</v>
      </c>
      <c r="G7030" t="s">
        <v>30065</v>
      </c>
      <c r="H7030" t="s">
        <v>15498</v>
      </c>
      <c r="I7030" t="s">
        <v>5961</v>
      </c>
      <c r="J7030" t="s">
        <v>34552</v>
      </c>
      <c r="K7030" t="s">
        <v>39039</v>
      </c>
      <c r="M7030" t="s">
        <v>41704</v>
      </c>
      <c r="N7030" t="s">
        <v>43166</v>
      </c>
      <c r="O7030" t="s">
        <v>43167</v>
      </c>
      <c r="P7030">
        <v>0</v>
      </c>
      <c r="Q7030">
        <v>0</v>
      </c>
      <c r="R7030" t="s">
        <v>43173</v>
      </c>
      <c r="S7030" t="s">
        <v>43374</v>
      </c>
      <c r="T7030" t="s">
        <v>45051</v>
      </c>
      <c r="U7030" t="s">
        <v>50890</v>
      </c>
      <c r="W7030" t="s">
        <v>41704</v>
      </c>
      <c r="X7030" t="s">
        <v>43174</v>
      </c>
    </row>
    <row r="7031" spans="1:24">
      <c r="A7031">
        <f>HYPERLINK("https://www.philgeps.gov.ph/GEPSNONPILOT/Tender/SplashBidNoticeAbstractUI.aspx?menuIndex=3&amp;refID=7076987&amp;Result=3","7076987")</f>
        <v>0</v>
      </c>
      <c r="B7031" t="s">
        <v>2233</v>
      </c>
      <c r="C7031" t="s">
        <v>10113</v>
      </c>
      <c r="D7031" t="s">
        <v>17465</v>
      </c>
      <c r="E7031" t="s">
        <v>22673</v>
      </c>
      <c r="F7031" t="s">
        <v>30052</v>
      </c>
      <c r="G7031" t="s">
        <v>30062</v>
      </c>
      <c r="H7031" t="s">
        <v>15498</v>
      </c>
      <c r="I7031" t="s">
        <v>3736</v>
      </c>
      <c r="J7031" t="s">
        <v>34553</v>
      </c>
      <c r="K7031" t="s">
        <v>39017</v>
      </c>
      <c r="M7031" t="s">
        <v>41705</v>
      </c>
      <c r="N7031" t="s">
        <v>43166</v>
      </c>
      <c r="O7031" t="s">
        <v>43167</v>
      </c>
      <c r="P7031">
        <v>0</v>
      </c>
      <c r="Q7031">
        <v>3</v>
      </c>
      <c r="R7031" t="s">
        <v>43173</v>
      </c>
      <c r="S7031" t="s">
        <v>43374</v>
      </c>
      <c r="T7031" t="s">
        <v>44843</v>
      </c>
      <c r="U7031" t="s">
        <v>50891</v>
      </c>
      <c r="W7031" t="s">
        <v>41705</v>
      </c>
      <c r="X7031" t="s">
        <v>43174</v>
      </c>
    </row>
    <row r="7032" spans="1:24">
      <c r="A7032">
        <f>HYPERLINK("https://www.philgeps.gov.ph/GEPSNONPILOT/Tender/SplashBidNoticeAbstractUI.aspx?menuIndex=3&amp;refID=7076973&amp;Result=3","7076973")</f>
        <v>0</v>
      </c>
      <c r="B7032" t="s">
        <v>687</v>
      </c>
      <c r="C7032" t="s">
        <v>10114</v>
      </c>
      <c r="D7032" t="s">
        <v>17435</v>
      </c>
      <c r="E7032" t="s">
        <v>23579</v>
      </c>
      <c r="F7032" t="s">
        <v>30052</v>
      </c>
      <c r="G7032" t="s">
        <v>30058</v>
      </c>
      <c r="H7032" t="s">
        <v>30067</v>
      </c>
      <c r="I7032" t="s">
        <v>3693</v>
      </c>
      <c r="J7032" t="s">
        <v>34554</v>
      </c>
      <c r="K7032" t="s">
        <v>39022</v>
      </c>
      <c r="M7032" t="s">
        <v>40222</v>
      </c>
      <c r="N7032" t="s">
        <v>43166</v>
      </c>
      <c r="O7032" t="s">
        <v>43167</v>
      </c>
      <c r="P7032">
        <v>0</v>
      </c>
      <c r="Q7032">
        <v>1</v>
      </c>
      <c r="R7032" t="s">
        <v>43173</v>
      </c>
      <c r="S7032" t="s">
        <v>43374</v>
      </c>
      <c r="T7032" t="s">
        <v>44716</v>
      </c>
      <c r="U7032" t="s">
        <v>50892</v>
      </c>
      <c r="W7032" t="s">
        <v>40222</v>
      </c>
      <c r="X7032" t="s">
        <v>43174</v>
      </c>
    </row>
    <row r="7033" spans="1:24">
      <c r="A7033">
        <f>HYPERLINK("https://www.philgeps.gov.ph/GEPSNONPILOT/Tender/SplashBidNoticeAbstractUI.aspx?menuIndex=3&amp;refID=7076972&amp;Result=3","7076972")</f>
        <v>0</v>
      </c>
      <c r="B7033" t="s">
        <v>1462</v>
      </c>
      <c r="C7033" t="s">
        <v>10115</v>
      </c>
      <c r="E7033" t="s">
        <v>23580</v>
      </c>
      <c r="F7033" t="s">
        <v>30052</v>
      </c>
      <c r="G7033" t="s">
        <v>30059</v>
      </c>
      <c r="H7033" t="s">
        <v>15498</v>
      </c>
      <c r="I7033" t="s">
        <v>30073</v>
      </c>
      <c r="J7033" t="s">
        <v>34555</v>
      </c>
      <c r="K7033" t="s">
        <v>39029</v>
      </c>
      <c r="M7033" t="s">
        <v>40843</v>
      </c>
      <c r="N7033" t="s">
        <v>43166</v>
      </c>
      <c r="O7033" t="s">
        <v>43167</v>
      </c>
      <c r="P7033">
        <v>0</v>
      </c>
      <c r="Q7033">
        <v>0</v>
      </c>
      <c r="R7033" t="s">
        <v>43173</v>
      </c>
      <c r="S7033" t="s">
        <v>43374</v>
      </c>
      <c r="T7033" t="s">
        <v>44843</v>
      </c>
      <c r="U7033" t="s">
        <v>48461</v>
      </c>
      <c r="W7033" t="s">
        <v>40843</v>
      </c>
      <c r="X7033" t="s">
        <v>43174</v>
      </c>
    </row>
    <row r="7034" spans="1:24">
      <c r="A7034">
        <f>HYPERLINK("https://www.philgeps.gov.ph/GEPSNONPILOT/Tender/SplashBidNoticeAbstractUI.aspx?menuIndex=3&amp;refID=7076427&amp;Result=3","7076427")</f>
        <v>0</v>
      </c>
      <c r="B7034" t="s">
        <v>1289</v>
      </c>
      <c r="C7034" t="s">
        <v>6709</v>
      </c>
      <c r="D7034" t="s">
        <v>17489</v>
      </c>
      <c r="E7034" t="s">
        <v>20489</v>
      </c>
      <c r="F7034" t="s">
        <v>30052</v>
      </c>
      <c r="G7034" t="s">
        <v>30058</v>
      </c>
      <c r="H7034" t="s">
        <v>15498</v>
      </c>
      <c r="I7034" t="s">
        <v>30074</v>
      </c>
      <c r="J7034" t="s">
        <v>30281</v>
      </c>
      <c r="K7034" t="s">
        <v>39032</v>
      </c>
      <c r="M7034" t="s">
        <v>40655</v>
      </c>
      <c r="N7034" t="s">
        <v>43166</v>
      </c>
      <c r="O7034" t="s">
        <v>43167</v>
      </c>
      <c r="P7034">
        <v>0</v>
      </c>
      <c r="Q7034">
        <v>6</v>
      </c>
      <c r="R7034" t="s">
        <v>43173</v>
      </c>
      <c r="S7034" t="s">
        <v>43374</v>
      </c>
      <c r="T7034" t="s">
        <v>44832</v>
      </c>
      <c r="U7034" t="s">
        <v>48037</v>
      </c>
      <c r="W7034" t="s">
        <v>40655</v>
      </c>
      <c r="X7034" t="s">
        <v>43174</v>
      </c>
    </row>
    <row r="7035" spans="1:24">
      <c r="A7035">
        <f>HYPERLINK("https://www.philgeps.gov.ph/GEPSNONPILOT/Tender/SplashBidNoticeAbstractUI.aspx?menuIndex=3&amp;refID=7076967&amp;Result=3","7076967")</f>
        <v>0</v>
      </c>
      <c r="B7035" t="s">
        <v>2234</v>
      </c>
      <c r="C7035" t="s">
        <v>3620</v>
      </c>
      <c r="D7035" t="s">
        <v>17455</v>
      </c>
      <c r="E7035" t="s">
        <v>18749</v>
      </c>
      <c r="F7035" t="s">
        <v>30052</v>
      </c>
      <c r="G7035" t="s">
        <v>30058</v>
      </c>
      <c r="H7035" t="s">
        <v>30067</v>
      </c>
      <c r="I7035" t="s">
        <v>3693</v>
      </c>
      <c r="J7035" t="s">
        <v>34556</v>
      </c>
      <c r="K7035" t="s">
        <v>39029</v>
      </c>
      <c r="M7035" t="s">
        <v>41706</v>
      </c>
      <c r="N7035" t="s">
        <v>43166</v>
      </c>
      <c r="O7035" t="s">
        <v>43167</v>
      </c>
      <c r="P7035">
        <v>0</v>
      </c>
      <c r="Q7035">
        <v>1</v>
      </c>
      <c r="R7035" t="s">
        <v>43173</v>
      </c>
      <c r="S7035" t="s">
        <v>43374</v>
      </c>
      <c r="T7035" t="s">
        <v>45053</v>
      </c>
      <c r="U7035" t="s">
        <v>50893</v>
      </c>
      <c r="W7035" t="s">
        <v>41706</v>
      </c>
      <c r="X7035" t="s">
        <v>43174</v>
      </c>
    </row>
    <row r="7036" spans="1:24">
      <c r="A7036">
        <f>HYPERLINK("https://www.philgeps.gov.ph/GEPSNONPILOT/Tender/SplashBidNoticeAbstractUI.aspx?menuIndex=3&amp;refID=7076950&amp;Result=3","7076950")</f>
        <v>0</v>
      </c>
      <c r="B7036" t="s">
        <v>138</v>
      </c>
      <c r="C7036" t="s">
        <v>10116</v>
      </c>
      <c r="D7036" t="s">
        <v>17505</v>
      </c>
      <c r="E7036" t="s">
        <v>23581</v>
      </c>
      <c r="F7036" t="s">
        <v>30052</v>
      </c>
      <c r="G7036" t="s">
        <v>30058</v>
      </c>
      <c r="H7036" t="s">
        <v>15498</v>
      </c>
      <c r="I7036" t="s">
        <v>30092</v>
      </c>
      <c r="J7036" t="s">
        <v>34557</v>
      </c>
      <c r="K7036" t="s">
        <v>39023</v>
      </c>
      <c r="M7036" t="s">
        <v>41707</v>
      </c>
      <c r="N7036" t="s">
        <v>43166</v>
      </c>
      <c r="O7036" t="s">
        <v>43167</v>
      </c>
      <c r="P7036">
        <v>0</v>
      </c>
      <c r="Q7036">
        <v>3</v>
      </c>
      <c r="R7036" t="s">
        <v>43173</v>
      </c>
      <c r="S7036" t="s">
        <v>43374</v>
      </c>
      <c r="T7036" t="s">
        <v>44905</v>
      </c>
      <c r="U7036" t="s">
        <v>50894</v>
      </c>
      <c r="W7036" t="s">
        <v>41707</v>
      </c>
      <c r="X7036" t="s">
        <v>43174</v>
      </c>
    </row>
    <row r="7037" spans="1:24">
      <c r="A7037">
        <f>HYPERLINK("https://www.philgeps.gov.ph/GEPSNONPILOT/Tender/SplashBidNoticeAbstractUI.aspx?menuIndex=3&amp;refID=7076949&amp;Result=3","7076949")</f>
        <v>0</v>
      </c>
      <c r="B7037" t="s">
        <v>2218</v>
      </c>
      <c r="C7037" t="s">
        <v>10117</v>
      </c>
      <c r="D7037" t="s">
        <v>17455</v>
      </c>
      <c r="E7037" t="s">
        <v>23582</v>
      </c>
      <c r="F7037" t="s">
        <v>30052</v>
      </c>
      <c r="G7037" t="s">
        <v>30058</v>
      </c>
      <c r="H7037" t="s">
        <v>30067</v>
      </c>
      <c r="I7037" t="s">
        <v>3693</v>
      </c>
      <c r="J7037" t="s">
        <v>30222</v>
      </c>
      <c r="K7037" t="s">
        <v>39031</v>
      </c>
      <c r="M7037" t="s">
        <v>41688</v>
      </c>
      <c r="N7037" t="s">
        <v>43166</v>
      </c>
      <c r="O7037" t="s">
        <v>43167</v>
      </c>
      <c r="P7037">
        <v>0</v>
      </c>
      <c r="Q7037">
        <v>1</v>
      </c>
      <c r="R7037" t="s">
        <v>43173</v>
      </c>
      <c r="S7037" t="s">
        <v>43374</v>
      </c>
      <c r="T7037" t="s">
        <v>44828</v>
      </c>
      <c r="U7037" t="s">
        <v>50895</v>
      </c>
      <c r="W7037" t="s">
        <v>41688</v>
      </c>
      <c r="X7037" t="s">
        <v>43174</v>
      </c>
    </row>
    <row r="7038" spans="1:24">
      <c r="A7038">
        <f>HYPERLINK("https://www.philgeps.gov.ph/GEPSNONPILOT/Tender/SplashBidNoticeAbstractUI.aspx?menuIndex=3&amp;refID=7076946&amp;Result=3","7076946")</f>
        <v>0</v>
      </c>
      <c r="B7038" t="s">
        <v>2235</v>
      </c>
      <c r="C7038" t="s">
        <v>10118</v>
      </c>
      <c r="D7038" t="s">
        <v>17415</v>
      </c>
      <c r="E7038" t="s">
        <v>23583</v>
      </c>
      <c r="F7038" t="s">
        <v>30052</v>
      </c>
      <c r="G7038" t="s">
        <v>30059</v>
      </c>
      <c r="H7038" t="s">
        <v>15498</v>
      </c>
      <c r="I7038" t="s">
        <v>30096</v>
      </c>
      <c r="J7038" t="s">
        <v>34558</v>
      </c>
      <c r="K7038" t="s">
        <v>39017</v>
      </c>
      <c r="M7038" t="s">
        <v>41708</v>
      </c>
      <c r="N7038" t="s">
        <v>43166</v>
      </c>
      <c r="O7038" t="s">
        <v>43167</v>
      </c>
      <c r="P7038">
        <v>0</v>
      </c>
      <c r="Q7038">
        <v>3</v>
      </c>
      <c r="R7038" t="s">
        <v>43173</v>
      </c>
      <c r="S7038" t="s">
        <v>43374</v>
      </c>
      <c r="T7038" t="s">
        <v>44870</v>
      </c>
      <c r="U7038" t="s">
        <v>50896</v>
      </c>
      <c r="V7038" t="s">
        <v>57553</v>
      </c>
      <c r="W7038" t="s">
        <v>58667</v>
      </c>
      <c r="X7038" t="s">
        <v>43174</v>
      </c>
    </row>
    <row r="7039" spans="1:24">
      <c r="A7039">
        <f>HYPERLINK("https://www.philgeps.gov.ph/GEPSNONPILOT/Tender/SplashBidNoticeAbstractUI.aspx?menuIndex=3&amp;refID=7076940&amp;Result=3","7076940")</f>
        <v>0</v>
      </c>
      <c r="B7039" t="s">
        <v>1800</v>
      </c>
      <c r="C7039" t="s">
        <v>5552</v>
      </c>
      <c r="D7039" t="s">
        <v>17474</v>
      </c>
      <c r="E7039" t="s">
        <v>23584</v>
      </c>
      <c r="F7039" t="s">
        <v>30052</v>
      </c>
      <c r="G7039" t="s">
        <v>30059</v>
      </c>
      <c r="H7039" t="s">
        <v>15498</v>
      </c>
      <c r="I7039" t="s">
        <v>4650</v>
      </c>
      <c r="J7039" t="s">
        <v>30402</v>
      </c>
      <c r="K7039" t="s">
        <v>39029</v>
      </c>
      <c r="M7039" t="s">
        <v>41223</v>
      </c>
      <c r="N7039" t="s">
        <v>43166</v>
      </c>
      <c r="O7039" t="s">
        <v>43167</v>
      </c>
      <c r="P7039">
        <v>0</v>
      </c>
      <c r="Q7039">
        <v>1</v>
      </c>
      <c r="R7039" t="s">
        <v>43173</v>
      </c>
      <c r="S7039" t="s">
        <v>43374</v>
      </c>
      <c r="T7039" t="s">
        <v>44865</v>
      </c>
      <c r="U7039" t="s">
        <v>50897</v>
      </c>
      <c r="W7039" t="s">
        <v>41223</v>
      </c>
      <c r="X7039" t="s">
        <v>43174</v>
      </c>
    </row>
    <row r="7040" spans="1:24">
      <c r="A7040">
        <f>HYPERLINK("https://www.philgeps.gov.ph/GEPSNONPILOT/Tender/SplashBidNoticeAbstractUI.aspx?menuIndex=3&amp;refID=7076970&amp;Result=3","7076970")</f>
        <v>0</v>
      </c>
      <c r="B7040" t="s">
        <v>1181</v>
      </c>
      <c r="C7040" t="s">
        <v>10119</v>
      </c>
      <c r="D7040" t="s">
        <v>17474</v>
      </c>
      <c r="E7040" t="s">
        <v>23585</v>
      </c>
      <c r="F7040" t="s">
        <v>30052</v>
      </c>
      <c r="G7040" t="s">
        <v>30059</v>
      </c>
      <c r="H7040" t="s">
        <v>15498</v>
      </c>
      <c r="I7040" t="s">
        <v>30155</v>
      </c>
      <c r="J7040" t="s">
        <v>34559</v>
      </c>
      <c r="K7040" t="s">
        <v>39025</v>
      </c>
      <c r="M7040" t="s">
        <v>41300</v>
      </c>
      <c r="N7040" t="s">
        <v>43166</v>
      </c>
      <c r="O7040" t="s">
        <v>43167</v>
      </c>
      <c r="P7040">
        <v>0</v>
      </c>
      <c r="Q7040">
        <v>0</v>
      </c>
      <c r="R7040" t="s">
        <v>43173</v>
      </c>
      <c r="S7040" t="s">
        <v>43374</v>
      </c>
      <c r="T7040" t="s">
        <v>44870</v>
      </c>
      <c r="U7040" t="s">
        <v>50898</v>
      </c>
      <c r="W7040" t="s">
        <v>41300</v>
      </c>
      <c r="X7040" t="s">
        <v>43174</v>
      </c>
    </row>
    <row r="7041" spans="1:24">
      <c r="A7041">
        <f>HYPERLINK("https://www.philgeps.gov.ph/GEPSNONPILOT/Tender/SplashBidNoticeAbstractUI.aspx?menuIndex=3&amp;refID=7076938&amp;Result=3","7076938")</f>
        <v>0</v>
      </c>
      <c r="B7041" t="s">
        <v>2236</v>
      </c>
      <c r="C7041" t="s">
        <v>10120</v>
      </c>
      <c r="D7041" t="s">
        <v>17415</v>
      </c>
      <c r="E7041" t="s">
        <v>23586</v>
      </c>
      <c r="F7041" t="s">
        <v>30052</v>
      </c>
      <c r="G7041" t="s">
        <v>30059</v>
      </c>
      <c r="H7041" t="s">
        <v>15498</v>
      </c>
      <c r="I7041" t="s">
        <v>30163</v>
      </c>
      <c r="J7041" t="s">
        <v>34560</v>
      </c>
      <c r="K7041" t="s">
        <v>39017</v>
      </c>
      <c r="M7041" t="s">
        <v>41709</v>
      </c>
      <c r="N7041" t="s">
        <v>43166</v>
      </c>
      <c r="O7041" t="s">
        <v>43167</v>
      </c>
      <c r="P7041">
        <v>0</v>
      </c>
      <c r="Q7041">
        <v>1</v>
      </c>
      <c r="R7041" t="s">
        <v>43173</v>
      </c>
      <c r="S7041" t="s">
        <v>43374</v>
      </c>
      <c r="T7041" t="s">
        <v>44882</v>
      </c>
      <c r="U7041" t="s">
        <v>50899</v>
      </c>
      <c r="W7041" t="s">
        <v>41709</v>
      </c>
      <c r="X7041" t="s">
        <v>43174</v>
      </c>
    </row>
    <row r="7042" spans="1:24">
      <c r="A7042">
        <f>HYPERLINK("https://www.philgeps.gov.ph/GEPSNONPILOT/Tender/SplashBidNoticeAbstractUI.aspx?menuIndex=3&amp;refID=7076931&amp;Result=3","7076931")</f>
        <v>0</v>
      </c>
      <c r="B7042" t="s">
        <v>2230</v>
      </c>
      <c r="C7042" t="s">
        <v>10121</v>
      </c>
      <c r="D7042" t="s">
        <v>17435</v>
      </c>
      <c r="E7042" t="s">
        <v>17745</v>
      </c>
      <c r="F7042" t="s">
        <v>30052</v>
      </c>
      <c r="G7042" t="s">
        <v>30058</v>
      </c>
      <c r="H7042" t="s">
        <v>15498</v>
      </c>
      <c r="I7042" t="s">
        <v>3736</v>
      </c>
      <c r="J7042" t="s">
        <v>34561</v>
      </c>
      <c r="K7042" t="s">
        <v>39019</v>
      </c>
      <c r="M7042" t="s">
        <v>41702</v>
      </c>
      <c r="N7042" t="s">
        <v>43166</v>
      </c>
      <c r="O7042" t="s">
        <v>43167</v>
      </c>
      <c r="P7042">
        <v>0</v>
      </c>
      <c r="Q7042">
        <v>3</v>
      </c>
      <c r="R7042" t="s">
        <v>43173</v>
      </c>
      <c r="S7042" t="s">
        <v>43374</v>
      </c>
      <c r="T7042" t="s">
        <v>44871</v>
      </c>
      <c r="U7042" t="s">
        <v>50900</v>
      </c>
      <c r="W7042" t="s">
        <v>41702</v>
      </c>
      <c r="X7042" t="s">
        <v>43174</v>
      </c>
    </row>
    <row r="7043" spans="1:24">
      <c r="A7043">
        <f>HYPERLINK("https://www.philgeps.gov.ph/GEPSNONPILOT/Tender/SplashBidNoticeAbstractUI.aspx?menuIndex=3&amp;refID=7076988&amp;Result=3","7076988")</f>
        <v>0</v>
      </c>
      <c r="B7043" t="s">
        <v>1464</v>
      </c>
      <c r="C7043" t="s">
        <v>10122</v>
      </c>
      <c r="D7043" t="s">
        <v>17415</v>
      </c>
      <c r="E7043" t="s">
        <v>23587</v>
      </c>
      <c r="F7043" t="s">
        <v>30052</v>
      </c>
      <c r="G7043" t="s">
        <v>30060</v>
      </c>
      <c r="H7043" t="s">
        <v>15498</v>
      </c>
      <c r="I7043" t="s">
        <v>30193</v>
      </c>
      <c r="J7043" t="s">
        <v>34562</v>
      </c>
      <c r="K7043" t="s">
        <v>39029</v>
      </c>
      <c r="M7043" t="s">
        <v>41710</v>
      </c>
      <c r="N7043" t="s">
        <v>43166</v>
      </c>
      <c r="O7043" t="s">
        <v>43167</v>
      </c>
      <c r="P7043">
        <v>0</v>
      </c>
      <c r="Q7043">
        <v>16</v>
      </c>
      <c r="R7043" t="s">
        <v>43173</v>
      </c>
      <c r="S7043" t="s">
        <v>43374</v>
      </c>
      <c r="T7043" t="s">
        <v>44714</v>
      </c>
      <c r="U7043" t="s">
        <v>50901</v>
      </c>
      <c r="W7043" t="s">
        <v>41710</v>
      </c>
      <c r="X7043" t="s">
        <v>43174</v>
      </c>
    </row>
    <row r="7044" spans="1:24">
      <c r="A7044">
        <f>HYPERLINK("https://www.philgeps.gov.ph/GEPSNONPILOT/Tender/SplashBidNoticeAbstractUI.aspx?menuIndex=3&amp;refID=7076890&amp;Result=3","7076890")</f>
        <v>0</v>
      </c>
      <c r="B7044" t="s">
        <v>1462</v>
      </c>
      <c r="C7044" t="s">
        <v>10123</v>
      </c>
      <c r="D7044" t="s">
        <v>17431</v>
      </c>
      <c r="E7044" t="s">
        <v>23588</v>
      </c>
      <c r="F7044" t="s">
        <v>30052</v>
      </c>
      <c r="G7044" t="s">
        <v>30059</v>
      </c>
      <c r="H7044" t="s">
        <v>15498</v>
      </c>
      <c r="I7044" t="s">
        <v>30096</v>
      </c>
      <c r="J7044" t="s">
        <v>34563</v>
      </c>
      <c r="K7044" t="s">
        <v>39029</v>
      </c>
      <c r="M7044" t="s">
        <v>40843</v>
      </c>
      <c r="N7044" t="s">
        <v>43166</v>
      </c>
      <c r="O7044" t="s">
        <v>43167</v>
      </c>
      <c r="P7044">
        <v>0</v>
      </c>
      <c r="Q7044">
        <v>1</v>
      </c>
      <c r="R7044" t="s">
        <v>43173</v>
      </c>
      <c r="S7044" t="s">
        <v>43374</v>
      </c>
      <c r="T7044" t="s">
        <v>44843</v>
      </c>
      <c r="U7044" t="s">
        <v>48461</v>
      </c>
      <c r="W7044" t="s">
        <v>40843</v>
      </c>
      <c r="X7044" t="s">
        <v>43174</v>
      </c>
    </row>
    <row r="7045" spans="1:24">
      <c r="A7045">
        <f>HYPERLINK("https://www.philgeps.gov.ph/GEPSNONPILOT/Tender/SplashBidNoticeAbstractUI.aspx?menuIndex=3&amp;refID=7076889&amp;Result=3","7076889")</f>
        <v>0</v>
      </c>
      <c r="B7045" t="s">
        <v>1662</v>
      </c>
      <c r="C7045" t="s">
        <v>10124</v>
      </c>
      <c r="D7045" t="s">
        <v>17416</v>
      </c>
      <c r="E7045" t="s">
        <v>21618</v>
      </c>
      <c r="F7045" t="s">
        <v>30052</v>
      </c>
      <c r="G7045" t="s">
        <v>30058</v>
      </c>
      <c r="H7045" t="s">
        <v>15498</v>
      </c>
      <c r="I7045" t="s">
        <v>3736</v>
      </c>
      <c r="J7045" t="s">
        <v>30277</v>
      </c>
      <c r="K7045" t="s">
        <v>39019</v>
      </c>
      <c r="M7045" t="s">
        <v>41711</v>
      </c>
      <c r="N7045" t="s">
        <v>43166</v>
      </c>
      <c r="O7045" t="s">
        <v>43167</v>
      </c>
      <c r="P7045">
        <v>0</v>
      </c>
      <c r="Q7045">
        <v>1</v>
      </c>
      <c r="R7045" t="s">
        <v>43173</v>
      </c>
      <c r="S7045" t="s">
        <v>43374</v>
      </c>
      <c r="T7045" t="s">
        <v>44716</v>
      </c>
      <c r="U7045" t="s">
        <v>50902</v>
      </c>
      <c r="V7045" t="s">
        <v>57554</v>
      </c>
      <c r="W7045" t="s">
        <v>58649</v>
      </c>
      <c r="X7045" t="s">
        <v>43174</v>
      </c>
    </row>
    <row r="7046" spans="1:24">
      <c r="A7046">
        <f>HYPERLINK("https://www.philgeps.gov.ph/GEPSNONPILOT/Tender/SplashBidNoticeAbstractUI.aspx?menuIndex=3&amp;refID=7077008&amp;Result=3","7077008")</f>
        <v>0</v>
      </c>
      <c r="B7046" t="s">
        <v>1517</v>
      </c>
      <c r="C7046" t="s">
        <v>10125</v>
      </c>
      <c r="D7046" t="s">
        <v>17421</v>
      </c>
      <c r="E7046" t="s">
        <v>23589</v>
      </c>
      <c r="F7046" t="s">
        <v>30052</v>
      </c>
      <c r="G7046" t="s">
        <v>30061</v>
      </c>
      <c r="H7046" t="s">
        <v>15498</v>
      </c>
      <c r="I7046" t="s">
        <v>30076</v>
      </c>
      <c r="J7046" t="s">
        <v>32204</v>
      </c>
      <c r="K7046" t="s">
        <v>39034</v>
      </c>
      <c r="M7046" t="s">
        <v>41614</v>
      </c>
      <c r="N7046" t="s">
        <v>43166</v>
      </c>
      <c r="O7046" t="s">
        <v>43167</v>
      </c>
      <c r="P7046">
        <v>0</v>
      </c>
      <c r="Q7046">
        <v>1</v>
      </c>
      <c r="R7046" t="s">
        <v>43173</v>
      </c>
      <c r="S7046" t="s">
        <v>43374</v>
      </c>
      <c r="T7046" t="s">
        <v>44844</v>
      </c>
      <c r="U7046" t="s">
        <v>50903</v>
      </c>
      <c r="W7046" t="s">
        <v>41614</v>
      </c>
      <c r="X7046" t="s">
        <v>43174</v>
      </c>
    </row>
    <row r="7047" spans="1:24">
      <c r="A7047">
        <f>HYPERLINK("https://www.philgeps.gov.ph/GEPSNONPILOT/Tender/SplashBidNoticeAbstractUI.aspx?menuIndex=3&amp;refID=7076925&amp;Result=3","7076925")</f>
        <v>0</v>
      </c>
      <c r="B7047" t="s">
        <v>1313</v>
      </c>
      <c r="C7047" t="s">
        <v>10126</v>
      </c>
      <c r="D7047" t="s">
        <v>17415</v>
      </c>
      <c r="E7047" t="s">
        <v>23590</v>
      </c>
      <c r="F7047" t="s">
        <v>30052</v>
      </c>
      <c r="G7047" t="s">
        <v>30059</v>
      </c>
      <c r="H7047" t="s">
        <v>15498</v>
      </c>
      <c r="I7047" t="s">
        <v>3693</v>
      </c>
      <c r="J7047" t="s">
        <v>34564</v>
      </c>
      <c r="K7047" t="s">
        <v>39029</v>
      </c>
      <c r="M7047" t="s">
        <v>41489</v>
      </c>
      <c r="N7047" t="s">
        <v>43166</v>
      </c>
      <c r="O7047" t="s">
        <v>43167</v>
      </c>
      <c r="P7047">
        <v>0</v>
      </c>
      <c r="Q7047">
        <v>0</v>
      </c>
      <c r="R7047" t="s">
        <v>43173</v>
      </c>
      <c r="S7047" t="s">
        <v>43374</v>
      </c>
      <c r="T7047" t="s">
        <v>44717</v>
      </c>
      <c r="U7047" t="s">
        <v>50885</v>
      </c>
      <c r="W7047" t="s">
        <v>41489</v>
      </c>
      <c r="X7047" t="s">
        <v>43174</v>
      </c>
    </row>
    <row r="7048" spans="1:24">
      <c r="A7048">
        <f>HYPERLINK("https://www.philgeps.gov.ph/GEPSNONPILOT/Tender/SplashBidNoticeAbstractUI.aspx?menuIndex=3&amp;refID=7076928&amp;Result=3","7076928")</f>
        <v>0</v>
      </c>
      <c r="B7048" t="s">
        <v>77</v>
      </c>
      <c r="C7048" t="s">
        <v>10127</v>
      </c>
      <c r="D7048" t="s">
        <v>17421</v>
      </c>
      <c r="E7048" t="s">
        <v>23591</v>
      </c>
      <c r="F7048" t="s">
        <v>30052</v>
      </c>
      <c r="G7048" t="s">
        <v>30058</v>
      </c>
      <c r="H7048" t="s">
        <v>15498</v>
      </c>
      <c r="I7048" t="s">
        <v>3736</v>
      </c>
      <c r="J7048" t="s">
        <v>34565</v>
      </c>
      <c r="K7048" t="s">
        <v>39029</v>
      </c>
      <c r="M7048" t="s">
        <v>39366</v>
      </c>
      <c r="N7048" t="s">
        <v>43166</v>
      </c>
      <c r="O7048" t="s">
        <v>43167</v>
      </c>
      <c r="P7048">
        <v>0</v>
      </c>
      <c r="Q7048">
        <v>3</v>
      </c>
      <c r="R7048" t="s">
        <v>43173</v>
      </c>
      <c r="S7048" t="s">
        <v>43374</v>
      </c>
      <c r="T7048" t="s">
        <v>44807</v>
      </c>
      <c r="U7048" t="s">
        <v>50904</v>
      </c>
      <c r="V7048" t="s">
        <v>57555</v>
      </c>
      <c r="W7048" t="s">
        <v>39366</v>
      </c>
      <c r="X7048" t="s">
        <v>43174</v>
      </c>
    </row>
    <row r="7049" spans="1:24">
      <c r="A7049">
        <f>HYPERLINK("https://www.philgeps.gov.ph/GEPSNONPILOT/Tender/SplashBidNoticeAbstractUI.aspx?menuIndex=3&amp;refID=7077043&amp;Result=3","7077043")</f>
        <v>0</v>
      </c>
      <c r="B7049" t="s">
        <v>2233</v>
      </c>
      <c r="C7049" t="s">
        <v>10113</v>
      </c>
      <c r="D7049" t="s">
        <v>17465</v>
      </c>
      <c r="E7049" t="s">
        <v>23592</v>
      </c>
      <c r="F7049" t="s">
        <v>30052</v>
      </c>
      <c r="G7049" t="s">
        <v>30062</v>
      </c>
      <c r="H7049" t="s">
        <v>15498</v>
      </c>
      <c r="I7049" t="s">
        <v>30133</v>
      </c>
      <c r="J7049" t="s">
        <v>33688</v>
      </c>
      <c r="K7049" t="s">
        <v>39017</v>
      </c>
      <c r="M7049" t="s">
        <v>41705</v>
      </c>
      <c r="N7049" t="s">
        <v>43166</v>
      </c>
      <c r="O7049" t="s">
        <v>43167</v>
      </c>
      <c r="P7049">
        <v>0</v>
      </c>
      <c r="Q7049">
        <v>3</v>
      </c>
      <c r="R7049" t="s">
        <v>43173</v>
      </c>
      <c r="S7049" t="s">
        <v>43374</v>
      </c>
      <c r="T7049" t="s">
        <v>44843</v>
      </c>
      <c r="U7049" t="s">
        <v>50905</v>
      </c>
      <c r="W7049" t="s">
        <v>41705</v>
      </c>
      <c r="X7049" t="s">
        <v>43174</v>
      </c>
    </row>
    <row r="7050" spans="1:24">
      <c r="A7050">
        <f>HYPERLINK("https://www.philgeps.gov.ph/GEPSNONPILOT/Tender/SplashBidNoticeAbstractUI.aspx?menuIndex=3&amp;refID=7077042&amp;Result=3","7077042")</f>
        <v>0</v>
      </c>
      <c r="B7050" t="s">
        <v>2237</v>
      </c>
      <c r="C7050" t="s">
        <v>10128</v>
      </c>
      <c r="D7050" t="s">
        <v>17471</v>
      </c>
      <c r="E7050" t="s">
        <v>23315</v>
      </c>
      <c r="F7050" t="s">
        <v>30052</v>
      </c>
      <c r="G7050" t="s">
        <v>30058</v>
      </c>
      <c r="H7050" t="s">
        <v>15498</v>
      </c>
      <c r="I7050" t="s">
        <v>30071</v>
      </c>
      <c r="J7050" t="s">
        <v>31553</v>
      </c>
      <c r="K7050" t="s">
        <v>39019</v>
      </c>
      <c r="M7050" t="s">
        <v>41712</v>
      </c>
      <c r="N7050" t="s">
        <v>43166</v>
      </c>
      <c r="O7050" t="s">
        <v>43167</v>
      </c>
      <c r="P7050">
        <v>0</v>
      </c>
      <c r="Q7050">
        <v>1</v>
      </c>
      <c r="R7050" t="s">
        <v>43173</v>
      </c>
      <c r="S7050" t="s">
        <v>43374</v>
      </c>
      <c r="T7050" t="s">
        <v>44704</v>
      </c>
      <c r="U7050" t="s">
        <v>50906</v>
      </c>
      <c r="W7050" t="s">
        <v>41712</v>
      </c>
      <c r="X7050" t="s">
        <v>43174</v>
      </c>
    </row>
    <row r="7051" spans="1:24">
      <c r="A7051">
        <f>HYPERLINK("https://www.philgeps.gov.ph/GEPSNONPILOT/Tender/SplashBidNoticeAbstractUI.aspx?menuIndex=3&amp;refID=7077038&amp;Result=3","7077038")</f>
        <v>0</v>
      </c>
      <c r="B7051" t="s">
        <v>208</v>
      </c>
      <c r="C7051" t="s">
        <v>10129</v>
      </c>
      <c r="E7051" t="s">
        <v>23593</v>
      </c>
      <c r="F7051" t="s">
        <v>30052</v>
      </c>
      <c r="G7051" t="s">
        <v>30061</v>
      </c>
      <c r="H7051" t="s">
        <v>15498</v>
      </c>
      <c r="I7051" t="s">
        <v>30070</v>
      </c>
      <c r="J7051" t="s">
        <v>34566</v>
      </c>
      <c r="K7051" t="s">
        <v>39025</v>
      </c>
      <c r="M7051" t="s">
        <v>41713</v>
      </c>
      <c r="N7051" t="s">
        <v>43166</v>
      </c>
      <c r="O7051" t="s">
        <v>43167</v>
      </c>
      <c r="P7051">
        <v>0</v>
      </c>
      <c r="Q7051">
        <v>1</v>
      </c>
      <c r="R7051" t="s">
        <v>43173</v>
      </c>
      <c r="S7051" t="s">
        <v>43374</v>
      </c>
      <c r="T7051" t="s">
        <v>44777</v>
      </c>
      <c r="U7051" t="s">
        <v>50907</v>
      </c>
      <c r="W7051" t="s">
        <v>41713</v>
      </c>
      <c r="X7051" t="s">
        <v>43174</v>
      </c>
    </row>
    <row r="7052" spans="1:24">
      <c r="A7052">
        <f>HYPERLINK("https://www.philgeps.gov.ph/GEPSNONPILOT/Tender/SplashBidNoticeAbstractUI.aspx?menuIndex=3&amp;refID=7077031&amp;Result=3","7077031")</f>
        <v>0</v>
      </c>
      <c r="B7052" t="s">
        <v>1734</v>
      </c>
      <c r="C7052" t="s">
        <v>10130</v>
      </c>
      <c r="D7052" t="s">
        <v>17459</v>
      </c>
      <c r="E7052" t="s">
        <v>23594</v>
      </c>
      <c r="F7052" t="s">
        <v>30052</v>
      </c>
      <c r="G7052" t="s">
        <v>30058</v>
      </c>
      <c r="H7052" t="s">
        <v>30067</v>
      </c>
      <c r="I7052" t="s">
        <v>3693</v>
      </c>
      <c r="J7052" t="s">
        <v>30297</v>
      </c>
      <c r="K7052" t="s">
        <v>39182</v>
      </c>
      <c r="M7052" t="s">
        <v>41151</v>
      </c>
      <c r="N7052" t="s">
        <v>43166</v>
      </c>
      <c r="O7052" t="s">
        <v>43167</v>
      </c>
      <c r="P7052">
        <v>0</v>
      </c>
      <c r="Q7052">
        <v>0</v>
      </c>
      <c r="R7052" t="s">
        <v>43173</v>
      </c>
      <c r="S7052" t="s">
        <v>43374</v>
      </c>
      <c r="T7052" t="s">
        <v>44773</v>
      </c>
      <c r="U7052" t="s">
        <v>50908</v>
      </c>
      <c r="W7052" t="s">
        <v>41151</v>
      </c>
      <c r="X7052" t="s">
        <v>43174</v>
      </c>
    </row>
    <row r="7053" spans="1:24">
      <c r="A7053">
        <f>HYPERLINK("https://www.philgeps.gov.ph/GEPSNONPILOT/Tender/SplashBidNoticeAbstractUI.aspx?menuIndex=3&amp;refID=7076969&amp;Result=3","7076969")</f>
        <v>0</v>
      </c>
      <c r="B7053" t="s">
        <v>2218</v>
      </c>
      <c r="C7053" t="s">
        <v>10131</v>
      </c>
      <c r="D7053" t="s">
        <v>17455</v>
      </c>
      <c r="E7053" t="s">
        <v>23595</v>
      </c>
      <c r="F7053" t="s">
        <v>30052</v>
      </c>
      <c r="G7053" t="s">
        <v>30058</v>
      </c>
      <c r="H7053" t="s">
        <v>30067</v>
      </c>
      <c r="I7053" t="s">
        <v>3693</v>
      </c>
      <c r="J7053" t="s">
        <v>30222</v>
      </c>
      <c r="K7053" t="s">
        <v>39031</v>
      </c>
      <c r="M7053" t="s">
        <v>41688</v>
      </c>
      <c r="N7053" t="s">
        <v>43166</v>
      </c>
      <c r="O7053" t="s">
        <v>43167</v>
      </c>
      <c r="P7053">
        <v>0</v>
      </c>
      <c r="Q7053">
        <v>1</v>
      </c>
      <c r="R7053" t="s">
        <v>43173</v>
      </c>
      <c r="S7053" t="s">
        <v>43374</v>
      </c>
      <c r="T7053" t="s">
        <v>44828</v>
      </c>
      <c r="U7053" t="s">
        <v>50895</v>
      </c>
      <c r="W7053" t="s">
        <v>41688</v>
      </c>
      <c r="X7053" t="s">
        <v>43174</v>
      </c>
    </row>
    <row r="7054" spans="1:24">
      <c r="A7054">
        <f>HYPERLINK("https://www.philgeps.gov.ph/GEPSNONPILOT/Tender/SplashBidNoticeAbstractUI.aspx?menuIndex=3&amp;refID=7076991&amp;Result=3","7076991")</f>
        <v>0</v>
      </c>
      <c r="B7054" t="s">
        <v>2238</v>
      </c>
      <c r="C7054" t="s">
        <v>10132</v>
      </c>
      <c r="D7054" t="s">
        <v>17436</v>
      </c>
      <c r="E7054" t="s">
        <v>23596</v>
      </c>
      <c r="F7054" t="s">
        <v>30052</v>
      </c>
      <c r="G7054" t="s">
        <v>30058</v>
      </c>
      <c r="H7054" t="s">
        <v>15498</v>
      </c>
      <c r="I7054" t="s">
        <v>30097</v>
      </c>
      <c r="J7054" t="s">
        <v>30256</v>
      </c>
      <c r="K7054" t="s">
        <v>39019</v>
      </c>
      <c r="M7054" t="s">
        <v>41714</v>
      </c>
      <c r="N7054" t="s">
        <v>43166</v>
      </c>
      <c r="O7054" t="s">
        <v>43167</v>
      </c>
      <c r="P7054">
        <v>0</v>
      </c>
      <c r="Q7054">
        <v>2</v>
      </c>
      <c r="R7054" t="s">
        <v>43173</v>
      </c>
      <c r="S7054" t="s">
        <v>43374</v>
      </c>
      <c r="T7054" t="s">
        <v>44832</v>
      </c>
      <c r="U7054" t="s">
        <v>50909</v>
      </c>
      <c r="W7054" t="s">
        <v>41714</v>
      </c>
      <c r="X7054" t="s">
        <v>43174</v>
      </c>
    </row>
    <row r="7055" spans="1:24">
      <c r="A7055">
        <f>HYPERLINK("https://www.philgeps.gov.ph/GEPSNONPILOT/Tender/SplashBidNoticeAbstractUI.aspx?menuIndex=3&amp;refID=7077029&amp;Result=3","7077029")</f>
        <v>0</v>
      </c>
      <c r="B7055" t="s">
        <v>1517</v>
      </c>
      <c r="C7055" t="s">
        <v>10133</v>
      </c>
      <c r="D7055" t="s">
        <v>17421</v>
      </c>
      <c r="E7055" t="s">
        <v>23597</v>
      </c>
      <c r="F7055" t="s">
        <v>30052</v>
      </c>
      <c r="G7055" t="s">
        <v>30059</v>
      </c>
      <c r="H7055" t="s">
        <v>15498</v>
      </c>
      <c r="I7055" t="s">
        <v>30070</v>
      </c>
      <c r="J7055" t="s">
        <v>34567</v>
      </c>
      <c r="K7055" t="s">
        <v>39036</v>
      </c>
      <c r="M7055" t="s">
        <v>41614</v>
      </c>
      <c r="N7055" t="s">
        <v>43166</v>
      </c>
      <c r="O7055" t="s">
        <v>43167</v>
      </c>
      <c r="P7055">
        <v>0</v>
      </c>
      <c r="Q7055">
        <v>3</v>
      </c>
      <c r="R7055" t="s">
        <v>43173</v>
      </c>
      <c r="S7055" t="s">
        <v>43374</v>
      </c>
      <c r="T7055" t="s">
        <v>44844</v>
      </c>
      <c r="U7055" t="s">
        <v>50910</v>
      </c>
      <c r="W7055" t="s">
        <v>41614</v>
      </c>
      <c r="X7055" t="s">
        <v>43174</v>
      </c>
    </row>
    <row r="7056" spans="1:24">
      <c r="A7056">
        <f>HYPERLINK("https://www.philgeps.gov.ph/GEPSNONPILOT/Tender/SplashBidNoticeAbstractUI.aspx?menuIndex=3&amp;refID=7077028&amp;Result=3","7077028")</f>
        <v>0</v>
      </c>
      <c r="B7056" t="s">
        <v>1636</v>
      </c>
      <c r="C7056" t="s">
        <v>10134</v>
      </c>
      <c r="D7056" t="s">
        <v>17466</v>
      </c>
      <c r="E7056" t="s">
        <v>23598</v>
      </c>
      <c r="F7056" t="s">
        <v>30052</v>
      </c>
      <c r="G7056" t="s">
        <v>30058</v>
      </c>
      <c r="H7056" t="s">
        <v>15498</v>
      </c>
      <c r="I7056" t="s">
        <v>4119</v>
      </c>
      <c r="J7056" t="s">
        <v>34568</v>
      </c>
      <c r="K7056" t="s">
        <v>39019</v>
      </c>
      <c r="M7056" t="s">
        <v>41038</v>
      </c>
      <c r="N7056" t="s">
        <v>43166</v>
      </c>
      <c r="O7056" t="s">
        <v>43167</v>
      </c>
      <c r="P7056">
        <v>0</v>
      </c>
      <c r="Q7056">
        <v>4</v>
      </c>
      <c r="R7056" t="s">
        <v>43173</v>
      </c>
      <c r="S7056" t="s">
        <v>43374</v>
      </c>
      <c r="T7056" t="s">
        <v>44730</v>
      </c>
      <c r="U7056" t="s">
        <v>50911</v>
      </c>
      <c r="W7056" t="s">
        <v>41038</v>
      </c>
      <c r="X7056" t="s">
        <v>43174</v>
      </c>
    </row>
    <row r="7057" spans="1:24">
      <c r="A7057">
        <f>HYPERLINK("https://www.philgeps.gov.ph/GEPSNONPILOT/Tender/SplashBidNoticeAbstractUI.aspx?menuIndex=3&amp;refID=7077025&amp;Result=3","7077025")</f>
        <v>0</v>
      </c>
      <c r="B7057" t="s">
        <v>2239</v>
      </c>
      <c r="C7057" t="s">
        <v>10135</v>
      </c>
      <c r="D7057" t="s">
        <v>17471</v>
      </c>
      <c r="E7057" t="s">
        <v>23599</v>
      </c>
      <c r="F7057" t="s">
        <v>30052</v>
      </c>
      <c r="G7057" t="s">
        <v>30058</v>
      </c>
      <c r="H7057" t="s">
        <v>15498</v>
      </c>
      <c r="I7057" t="s">
        <v>3736</v>
      </c>
      <c r="J7057" t="s">
        <v>34569</v>
      </c>
      <c r="K7057" t="s">
        <v>39025</v>
      </c>
      <c r="M7057" t="s">
        <v>41715</v>
      </c>
      <c r="N7057" t="s">
        <v>43166</v>
      </c>
      <c r="O7057" t="s">
        <v>43167</v>
      </c>
      <c r="P7057">
        <v>0</v>
      </c>
      <c r="Q7057">
        <v>0</v>
      </c>
      <c r="R7057" t="s">
        <v>43173</v>
      </c>
      <c r="S7057" t="s">
        <v>43374</v>
      </c>
      <c r="T7057" t="s">
        <v>44756</v>
      </c>
      <c r="U7057" t="s">
        <v>50912</v>
      </c>
      <c r="W7057" t="s">
        <v>41715</v>
      </c>
      <c r="X7057" t="s">
        <v>43174</v>
      </c>
    </row>
    <row r="7058" spans="1:24">
      <c r="A7058">
        <f>HYPERLINK("https://www.philgeps.gov.ph/GEPSNONPILOT/Tender/SplashBidNoticeAbstractUI.aspx?menuIndex=3&amp;refID=7076888&amp;Result=3","7076888")</f>
        <v>0</v>
      </c>
      <c r="B7058" t="s">
        <v>1800</v>
      </c>
      <c r="C7058" t="s">
        <v>10136</v>
      </c>
      <c r="D7058" t="s">
        <v>17474</v>
      </c>
      <c r="E7058" t="s">
        <v>23600</v>
      </c>
      <c r="F7058" t="s">
        <v>30052</v>
      </c>
      <c r="G7058" t="s">
        <v>30059</v>
      </c>
      <c r="H7058" t="s">
        <v>15498</v>
      </c>
      <c r="I7058" t="s">
        <v>30126</v>
      </c>
      <c r="J7058" t="s">
        <v>34570</v>
      </c>
      <c r="K7058" t="s">
        <v>39038</v>
      </c>
      <c r="M7058" t="s">
        <v>41223</v>
      </c>
      <c r="N7058" t="s">
        <v>43166</v>
      </c>
      <c r="O7058" t="s">
        <v>43167</v>
      </c>
      <c r="P7058">
        <v>0</v>
      </c>
      <c r="Q7058">
        <v>0</v>
      </c>
      <c r="R7058" t="s">
        <v>43173</v>
      </c>
      <c r="S7058" t="s">
        <v>43374</v>
      </c>
      <c r="T7058" t="s">
        <v>44865</v>
      </c>
      <c r="U7058" t="s">
        <v>50913</v>
      </c>
      <c r="W7058" t="s">
        <v>41223</v>
      </c>
      <c r="X7058" t="s">
        <v>43174</v>
      </c>
    </row>
    <row r="7059" spans="1:24">
      <c r="A7059">
        <f>HYPERLINK("https://www.philgeps.gov.ph/GEPSNONPILOT/Tender/SplashBidNoticeAbstractUI.aspx?menuIndex=3&amp;refID=7077022&amp;Result=3","7077022")</f>
        <v>0</v>
      </c>
      <c r="B7059" t="s">
        <v>856</v>
      </c>
      <c r="C7059" t="s">
        <v>10137</v>
      </c>
      <c r="D7059" t="s">
        <v>17415</v>
      </c>
      <c r="E7059" t="s">
        <v>23601</v>
      </c>
      <c r="F7059" t="s">
        <v>30052</v>
      </c>
      <c r="G7059" t="s">
        <v>30059</v>
      </c>
      <c r="H7059" t="s">
        <v>15498</v>
      </c>
      <c r="I7059" t="s">
        <v>30131</v>
      </c>
      <c r="J7059" t="s">
        <v>34571</v>
      </c>
      <c r="K7059" t="s">
        <v>39025</v>
      </c>
      <c r="M7059" t="s">
        <v>41716</v>
      </c>
      <c r="N7059" t="s">
        <v>43166</v>
      </c>
      <c r="O7059" t="s">
        <v>43167</v>
      </c>
      <c r="P7059">
        <v>0</v>
      </c>
      <c r="Q7059">
        <v>0</v>
      </c>
      <c r="R7059" t="s">
        <v>43173</v>
      </c>
      <c r="S7059" t="s">
        <v>43374</v>
      </c>
      <c r="T7059" t="s">
        <v>44734</v>
      </c>
      <c r="U7059" t="s">
        <v>50914</v>
      </c>
      <c r="W7059" t="s">
        <v>41716</v>
      </c>
      <c r="X7059" t="s">
        <v>43174</v>
      </c>
    </row>
    <row r="7060" spans="1:24">
      <c r="A7060">
        <f>HYPERLINK("https://www.philgeps.gov.ph/GEPSNONPILOT/Tender/SplashBidNoticeAbstractUI.aspx?menuIndex=3&amp;refID=7077036&amp;Result=3","7077036")</f>
        <v>0</v>
      </c>
      <c r="B7060" t="s">
        <v>2240</v>
      </c>
      <c r="C7060" t="s">
        <v>10138</v>
      </c>
      <c r="D7060" t="s">
        <v>17420</v>
      </c>
      <c r="E7060" t="s">
        <v>23602</v>
      </c>
      <c r="F7060" t="s">
        <v>30052</v>
      </c>
      <c r="G7060" t="s">
        <v>30058</v>
      </c>
      <c r="H7060" t="s">
        <v>30067</v>
      </c>
      <c r="I7060" t="s">
        <v>3693</v>
      </c>
      <c r="J7060" t="s">
        <v>31207</v>
      </c>
      <c r="K7060" t="s">
        <v>39026</v>
      </c>
      <c r="M7060" t="s">
        <v>41717</v>
      </c>
      <c r="N7060" t="s">
        <v>43166</v>
      </c>
      <c r="O7060" t="s">
        <v>43167</v>
      </c>
      <c r="P7060">
        <v>0</v>
      </c>
      <c r="Q7060">
        <v>0</v>
      </c>
      <c r="R7060" t="s">
        <v>43173</v>
      </c>
      <c r="S7060" t="s">
        <v>43374</v>
      </c>
      <c r="T7060" t="s">
        <v>44758</v>
      </c>
      <c r="U7060" t="s">
        <v>50915</v>
      </c>
      <c r="W7060" t="s">
        <v>41717</v>
      </c>
      <c r="X7060" t="s">
        <v>43174</v>
      </c>
    </row>
    <row r="7061" spans="1:24">
      <c r="A7061">
        <f>HYPERLINK("https://www.philgeps.gov.ph/GEPSNONPILOT/Tender/SplashBidNoticeAbstractUI.aspx?menuIndex=3&amp;refID=7077019&amp;Result=3","7077019")</f>
        <v>0</v>
      </c>
      <c r="B7061" t="s">
        <v>1517</v>
      </c>
      <c r="C7061" t="s">
        <v>10139</v>
      </c>
      <c r="D7061" t="s">
        <v>17421</v>
      </c>
      <c r="E7061" t="s">
        <v>23603</v>
      </c>
      <c r="F7061" t="s">
        <v>30052</v>
      </c>
      <c r="G7061" t="s">
        <v>30061</v>
      </c>
      <c r="H7061" t="s">
        <v>15498</v>
      </c>
      <c r="I7061" t="s">
        <v>3606</v>
      </c>
      <c r="J7061" t="s">
        <v>34572</v>
      </c>
      <c r="K7061" t="s">
        <v>39034</v>
      </c>
      <c r="M7061" t="s">
        <v>41614</v>
      </c>
      <c r="N7061" t="s">
        <v>43166</v>
      </c>
      <c r="O7061" t="s">
        <v>43167</v>
      </c>
      <c r="P7061">
        <v>0</v>
      </c>
      <c r="Q7061">
        <v>2</v>
      </c>
      <c r="R7061" t="s">
        <v>43173</v>
      </c>
      <c r="S7061" t="s">
        <v>43374</v>
      </c>
      <c r="T7061" t="s">
        <v>44844</v>
      </c>
      <c r="U7061" t="s">
        <v>50916</v>
      </c>
      <c r="W7061" t="s">
        <v>41614</v>
      </c>
      <c r="X7061" t="s">
        <v>43174</v>
      </c>
    </row>
    <row r="7062" spans="1:24">
      <c r="A7062">
        <f>HYPERLINK("https://www.philgeps.gov.ph/GEPSNONPILOT/Tender/SplashBidNoticeAbstractUI.aspx?menuIndex=3&amp;refID=7077016&amp;Result=3","7077016")</f>
        <v>0</v>
      </c>
      <c r="B7062" t="s">
        <v>2241</v>
      </c>
      <c r="C7062" t="s">
        <v>10140</v>
      </c>
      <c r="D7062" t="s">
        <v>17422</v>
      </c>
      <c r="E7062" t="s">
        <v>23604</v>
      </c>
      <c r="F7062" t="s">
        <v>30052</v>
      </c>
      <c r="G7062" t="s">
        <v>30059</v>
      </c>
      <c r="H7062" t="s">
        <v>15498</v>
      </c>
      <c r="I7062" t="s">
        <v>30137</v>
      </c>
      <c r="J7062" t="s">
        <v>30440</v>
      </c>
      <c r="K7062" t="s">
        <v>39029</v>
      </c>
      <c r="M7062" t="s">
        <v>41718</v>
      </c>
      <c r="N7062" t="s">
        <v>43166</v>
      </c>
      <c r="O7062" t="s">
        <v>43167</v>
      </c>
      <c r="P7062">
        <v>0</v>
      </c>
      <c r="Q7062">
        <v>0</v>
      </c>
      <c r="R7062" t="s">
        <v>43173</v>
      </c>
      <c r="S7062" t="s">
        <v>43374</v>
      </c>
      <c r="T7062" t="s">
        <v>44717</v>
      </c>
      <c r="U7062" t="s">
        <v>50917</v>
      </c>
      <c r="W7062" t="s">
        <v>41718</v>
      </c>
      <c r="X7062" t="s">
        <v>43174</v>
      </c>
    </row>
    <row r="7063" spans="1:24">
      <c r="A7063">
        <f>HYPERLINK("https://www.philgeps.gov.ph/GEPSNONPILOT/Tender/SplashBidNoticeAbstractUI.aspx?menuIndex=3&amp;refID=7077089&amp;Result=3","7077089")</f>
        <v>0</v>
      </c>
      <c r="B7063" t="s">
        <v>1425</v>
      </c>
      <c r="C7063" t="s">
        <v>10141</v>
      </c>
      <c r="D7063" t="s">
        <v>17463</v>
      </c>
      <c r="E7063" t="s">
        <v>23605</v>
      </c>
      <c r="F7063" t="s">
        <v>30052</v>
      </c>
      <c r="G7063" t="s">
        <v>30058</v>
      </c>
      <c r="H7063" t="s">
        <v>15498</v>
      </c>
      <c r="I7063" t="s">
        <v>30073</v>
      </c>
      <c r="J7063" t="s">
        <v>34573</v>
      </c>
      <c r="K7063" t="s">
        <v>39031</v>
      </c>
      <c r="M7063" t="s">
        <v>40803</v>
      </c>
      <c r="N7063" t="s">
        <v>43166</v>
      </c>
      <c r="O7063" t="s">
        <v>43167</v>
      </c>
      <c r="P7063">
        <v>0</v>
      </c>
      <c r="Q7063">
        <v>0</v>
      </c>
      <c r="R7063" t="s">
        <v>43173</v>
      </c>
      <c r="S7063" t="s">
        <v>43374</v>
      </c>
      <c r="T7063" t="s">
        <v>44773</v>
      </c>
      <c r="U7063" t="s">
        <v>50918</v>
      </c>
      <c r="W7063" t="s">
        <v>40803</v>
      </c>
      <c r="X7063" t="s">
        <v>43174</v>
      </c>
    </row>
    <row r="7064" spans="1:24">
      <c r="A7064">
        <f>HYPERLINK("https://www.philgeps.gov.ph/GEPSNONPILOT/Tender/SplashBidNoticeAbstractUI.aspx?menuIndex=3&amp;refID=7077087&amp;Result=3","7077087")</f>
        <v>0</v>
      </c>
      <c r="B7064" t="s">
        <v>2242</v>
      </c>
      <c r="C7064" t="s">
        <v>10142</v>
      </c>
      <c r="E7064" t="s">
        <v>23495</v>
      </c>
      <c r="F7064" t="s">
        <v>30055</v>
      </c>
      <c r="G7064" t="s">
        <v>30058</v>
      </c>
      <c r="H7064" t="s">
        <v>15498</v>
      </c>
      <c r="I7064" t="s">
        <v>30085</v>
      </c>
      <c r="J7064" t="s">
        <v>34574</v>
      </c>
      <c r="K7064" t="s">
        <v>39039</v>
      </c>
      <c r="M7064" t="s">
        <v>41719</v>
      </c>
      <c r="N7064" t="s">
        <v>43166</v>
      </c>
      <c r="O7064" t="s">
        <v>43167</v>
      </c>
      <c r="P7064">
        <v>0</v>
      </c>
      <c r="Q7064">
        <v>2</v>
      </c>
      <c r="R7064" t="s">
        <v>43173</v>
      </c>
      <c r="S7064" t="s">
        <v>43374</v>
      </c>
      <c r="T7064" t="s">
        <v>44820</v>
      </c>
      <c r="U7064" t="s">
        <v>50919</v>
      </c>
      <c r="W7064" t="s">
        <v>41719</v>
      </c>
      <c r="X7064" t="s">
        <v>43174</v>
      </c>
    </row>
    <row r="7065" spans="1:24">
      <c r="A7065">
        <f>HYPERLINK("https://www.philgeps.gov.ph/GEPSNONPILOT/Tender/SplashBidNoticeAbstractUI.aspx?menuIndex=3&amp;refID=7077027&amp;Result=3","7077027")</f>
        <v>0</v>
      </c>
      <c r="B7065" t="s">
        <v>1009</v>
      </c>
      <c r="C7065" t="s">
        <v>10143</v>
      </c>
      <c r="D7065" t="s">
        <v>17474</v>
      </c>
      <c r="E7065" t="s">
        <v>23606</v>
      </c>
      <c r="F7065" t="s">
        <v>30052</v>
      </c>
      <c r="G7065" t="s">
        <v>30058</v>
      </c>
      <c r="H7065" t="s">
        <v>30067</v>
      </c>
      <c r="I7065" t="s">
        <v>3693</v>
      </c>
      <c r="J7065" t="s">
        <v>30218</v>
      </c>
      <c r="K7065" t="s">
        <v>39029</v>
      </c>
      <c r="M7065" t="s">
        <v>40338</v>
      </c>
      <c r="N7065" t="s">
        <v>43166</v>
      </c>
      <c r="O7065" t="s">
        <v>43167</v>
      </c>
      <c r="P7065">
        <v>0</v>
      </c>
      <c r="Q7065">
        <v>3</v>
      </c>
      <c r="R7065" t="s">
        <v>43173</v>
      </c>
      <c r="S7065" t="s">
        <v>43374</v>
      </c>
      <c r="T7065" t="s">
        <v>44807</v>
      </c>
      <c r="U7065" t="s">
        <v>50920</v>
      </c>
      <c r="W7065" t="s">
        <v>40338</v>
      </c>
      <c r="X7065" t="s">
        <v>43174</v>
      </c>
    </row>
    <row r="7066" spans="1:24">
      <c r="A7066">
        <f>HYPERLINK("https://www.philgeps.gov.ph/GEPSNONPILOT/Tender/SplashBidNoticeAbstractUI.aspx?menuIndex=3&amp;refID=7077086&amp;Result=3","7077086")</f>
        <v>0</v>
      </c>
      <c r="B7066" t="s">
        <v>1424</v>
      </c>
      <c r="C7066" t="s">
        <v>10144</v>
      </c>
      <c r="D7066" t="s">
        <v>17413</v>
      </c>
      <c r="E7066" t="s">
        <v>23607</v>
      </c>
      <c r="F7066" t="s">
        <v>30052</v>
      </c>
      <c r="G7066" t="s">
        <v>30059</v>
      </c>
      <c r="H7066" t="s">
        <v>15498</v>
      </c>
      <c r="I7066" t="s">
        <v>30094</v>
      </c>
      <c r="J7066" t="s">
        <v>34575</v>
      </c>
      <c r="K7066" t="s">
        <v>39025</v>
      </c>
      <c r="L7066" t="s">
        <v>1424</v>
      </c>
      <c r="M7066" t="s">
        <v>40802</v>
      </c>
      <c r="N7066" t="s">
        <v>43166</v>
      </c>
      <c r="O7066" t="s">
        <v>43167</v>
      </c>
      <c r="P7066">
        <v>0</v>
      </c>
      <c r="Q7066">
        <v>1</v>
      </c>
      <c r="R7066" t="s">
        <v>43173</v>
      </c>
      <c r="S7066" t="s">
        <v>43374</v>
      </c>
      <c r="T7066" t="s">
        <v>44844</v>
      </c>
      <c r="U7066" t="s">
        <v>48391</v>
      </c>
      <c r="W7066" t="s">
        <v>40802</v>
      </c>
      <c r="X7066" t="s">
        <v>43174</v>
      </c>
    </row>
    <row r="7067" spans="1:24">
      <c r="A7067">
        <f>HYPERLINK("https://www.philgeps.gov.ph/GEPSNONPILOT/Tender/SplashBidNoticeAbstractUI.aspx?menuIndex=3&amp;refID=7077082&amp;Result=3","7077082")</f>
        <v>0</v>
      </c>
      <c r="B7067" t="s">
        <v>1779</v>
      </c>
      <c r="C7067" t="s">
        <v>10145</v>
      </c>
      <c r="D7067" t="s">
        <v>17444</v>
      </c>
      <c r="E7067" t="s">
        <v>23608</v>
      </c>
      <c r="F7067" t="s">
        <v>30052</v>
      </c>
      <c r="G7067" t="s">
        <v>30058</v>
      </c>
      <c r="H7067" t="s">
        <v>30067</v>
      </c>
      <c r="I7067" t="s">
        <v>3693</v>
      </c>
      <c r="J7067" t="s">
        <v>30321</v>
      </c>
      <c r="K7067" t="s">
        <v>39183</v>
      </c>
      <c r="M7067" t="s">
        <v>41720</v>
      </c>
      <c r="N7067" t="s">
        <v>43166</v>
      </c>
      <c r="O7067" t="s">
        <v>43167</v>
      </c>
      <c r="P7067">
        <v>0</v>
      </c>
      <c r="Q7067">
        <v>1</v>
      </c>
      <c r="R7067" t="s">
        <v>43173</v>
      </c>
      <c r="S7067" t="s">
        <v>43374</v>
      </c>
      <c r="T7067" t="s">
        <v>44758</v>
      </c>
      <c r="U7067" t="s">
        <v>50921</v>
      </c>
      <c r="W7067" t="s">
        <v>41720</v>
      </c>
      <c r="X7067" t="s">
        <v>43174</v>
      </c>
    </row>
    <row r="7068" spans="1:24">
      <c r="A7068">
        <f>HYPERLINK("https://www.philgeps.gov.ph/GEPSNONPILOT/Tender/SplashBidNoticeAbstractUI.aspx?menuIndex=3&amp;refID=7077033&amp;Result=3","7077033")</f>
        <v>0</v>
      </c>
      <c r="B7068" t="s">
        <v>123</v>
      </c>
      <c r="C7068" t="s">
        <v>10146</v>
      </c>
      <c r="D7068" t="s">
        <v>17472</v>
      </c>
      <c r="E7068" t="s">
        <v>23609</v>
      </c>
      <c r="F7068" t="s">
        <v>30052</v>
      </c>
      <c r="G7068" t="s">
        <v>30059</v>
      </c>
      <c r="H7068" t="s">
        <v>15498</v>
      </c>
      <c r="I7068" t="s">
        <v>6691</v>
      </c>
      <c r="J7068" t="s">
        <v>34576</v>
      </c>
      <c r="K7068" t="s">
        <v>39025</v>
      </c>
      <c r="M7068" t="s">
        <v>39412</v>
      </c>
      <c r="N7068" t="s">
        <v>43166</v>
      </c>
      <c r="O7068" t="s">
        <v>43167</v>
      </c>
      <c r="P7068">
        <v>0</v>
      </c>
      <c r="Q7068">
        <v>0</v>
      </c>
      <c r="R7068" t="s">
        <v>43173</v>
      </c>
      <c r="S7068" t="s">
        <v>43374</v>
      </c>
      <c r="T7068" t="s">
        <v>44956</v>
      </c>
      <c r="U7068" t="s">
        <v>50922</v>
      </c>
      <c r="W7068" t="s">
        <v>39412</v>
      </c>
      <c r="X7068" t="s">
        <v>43174</v>
      </c>
    </row>
    <row r="7069" spans="1:24">
      <c r="A7069">
        <f>HYPERLINK("https://www.philgeps.gov.ph/GEPSNONPILOT/Tender/SplashBidNoticeAbstractUI.aspx?menuIndex=3&amp;refID=7077077&amp;Result=3","7077077")</f>
        <v>0</v>
      </c>
      <c r="B7069" t="s">
        <v>1424</v>
      </c>
      <c r="C7069" t="s">
        <v>10147</v>
      </c>
      <c r="D7069" t="s">
        <v>17413</v>
      </c>
      <c r="E7069" t="s">
        <v>23610</v>
      </c>
      <c r="F7069" t="s">
        <v>30052</v>
      </c>
      <c r="G7069" t="s">
        <v>30059</v>
      </c>
      <c r="H7069" t="s">
        <v>15498</v>
      </c>
      <c r="I7069" t="s">
        <v>3852</v>
      </c>
      <c r="J7069" t="s">
        <v>34577</v>
      </c>
      <c r="K7069" t="s">
        <v>39025</v>
      </c>
      <c r="L7069" t="s">
        <v>1424</v>
      </c>
      <c r="M7069" t="s">
        <v>40802</v>
      </c>
      <c r="N7069" t="s">
        <v>43166</v>
      </c>
      <c r="O7069" t="s">
        <v>43167</v>
      </c>
      <c r="P7069">
        <v>0</v>
      </c>
      <c r="Q7069">
        <v>4</v>
      </c>
      <c r="R7069" t="s">
        <v>43173</v>
      </c>
      <c r="S7069" t="s">
        <v>43374</v>
      </c>
      <c r="T7069" t="s">
        <v>44844</v>
      </c>
      <c r="U7069" t="s">
        <v>48391</v>
      </c>
      <c r="W7069" t="s">
        <v>40802</v>
      </c>
      <c r="X7069" t="s">
        <v>43174</v>
      </c>
    </row>
    <row r="7070" spans="1:24">
      <c r="A7070">
        <f>HYPERLINK("https://www.philgeps.gov.ph/GEPSNONPILOT/Tender/SplashBidNoticeAbstractUI.aspx?menuIndex=3&amp;refID=7077076&amp;Result=3","7077076")</f>
        <v>0</v>
      </c>
      <c r="B7070" t="s">
        <v>813</v>
      </c>
      <c r="C7070" t="s">
        <v>10148</v>
      </c>
      <c r="D7070" t="s">
        <v>17426</v>
      </c>
      <c r="E7070" t="s">
        <v>23611</v>
      </c>
      <c r="F7070" t="s">
        <v>30052</v>
      </c>
      <c r="G7070" t="s">
        <v>30059</v>
      </c>
      <c r="H7070" t="s">
        <v>15498</v>
      </c>
      <c r="I7070" t="s">
        <v>30096</v>
      </c>
      <c r="J7070" t="s">
        <v>30337</v>
      </c>
      <c r="K7070" t="s">
        <v>39039</v>
      </c>
      <c r="M7070" t="s">
        <v>40130</v>
      </c>
      <c r="N7070" t="s">
        <v>43166</v>
      </c>
      <c r="O7070" t="s">
        <v>43167</v>
      </c>
      <c r="P7070">
        <v>0</v>
      </c>
      <c r="Q7070">
        <v>1</v>
      </c>
      <c r="R7070" t="s">
        <v>43173</v>
      </c>
      <c r="S7070" t="s">
        <v>43374</v>
      </c>
      <c r="T7070" t="s">
        <v>44894</v>
      </c>
      <c r="U7070" t="s">
        <v>50923</v>
      </c>
      <c r="W7070" t="s">
        <v>40130</v>
      </c>
      <c r="X7070" t="s">
        <v>43174</v>
      </c>
    </row>
    <row r="7071" spans="1:24">
      <c r="A7071">
        <f>HYPERLINK("https://www.philgeps.gov.ph/GEPSNONPILOT/Tender/SplashBidNoticeAbstractUI.aspx?menuIndex=3&amp;refID=7077074&amp;Result=3","7077074")</f>
        <v>0</v>
      </c>
      <c r="B7071" t="s">
        <v>2243</v>
      </c>
      <c r="C7071" t="s">
        <v>10149</v>
      </c>
      <c r="D7071" t="s">
        <v>17424</v>
      </c>
      <c r="E7071" t="s">
        <v>23612</v>
      </c>
      <c r="F7071" t="s">
        <v>30052</v>
      </c>
      <c r="G7071" t="s">
        <v>30058</v>
      </c>
      <c r="H7071" t="s">
        <v>30068</v>
      </c>
      <c r="I7071" t="s">
        <v>30068</v>
      </c>
      <c r="J7071" t="s">
        <v>30230</v>
      </c>
      <c r="K7071" t="s">
        <v>39019</v>
      </c>
      <c r="M7071" t="s">
        <v>41721</v>
      </c>
      <c r="N7071" t="s">
        <v>43166</v>
      </c>
      <c r="O7071" t="s">
        <v>43167</v>
      </c>
      <c r="P7071">
        <v>0</v>
      </c>
      <c r="Q7071">
        <v>1</v>
      </c>
      <c r="R7071" t="s">
        <v>43173</v>
      </c>
      <c r="S7071" t="s">
        <v>43374</v>
      </c>
      <c r="T7071" t="s">
        <v>44685</v>
      </c>
      <c r="U7071" t="s">
        <v>50924</v>
      </c>
      <c r="W7071" t="s">
        <v>41721</v>
      </c>
      <c r="X7071" t="s">
        <v>43174</v>
      </c>
    </row>
    <row r="7072" spans="1:24">
      <c r="A7072">
        <f>HYPERLINK("https://www.philgeps.gov.ph/GEPSNONPILOT/Tender/SplashBidNoticeAbstractUI.aspx?menuIndex=3&amp;refID=7077073&amp;Result=3","7077073")</f>
        <v>0</v>
      </c>
      <c r="B7072" t="s">
        <v>2239</v>
      </c>
      <c r="C7072" t="s">
        <v>10150</v>
      </c>
      <c r="D7072" t="s">
        <v>17471</v>
      </c>
      <c r="E7072" t="s">
        <v>23613</v>
      </c>
      <c r="F7072" t="s">
        <v>30052</v>
      </c>
      <c r="G7072" t="s">
        <v>30058</v>
      </c>
      <c r="H7072" t="s">
        <v>15498</v>
      </c>
      <c r="I7072" t="s">
        <v>3736</v>
      </c>
      <c r="J7072" t="s">
        <v>34578</v>
      </c>
      <c r="K7072" t="s">
        <v>39025</v>
      </c>
      <c r="M7072" t="s">
        <v>41715</v>
      </c>
      <c r="N7072" t="s">
        <v>43166</v>
      </c>
      <c r="O7072" t="s">
        <v>43167</v>
      </c>
      <c r="P7072">
        <v>0</v>
      </c>
      <c r="Q7072">
        <v>0</v>
      </c>
      <c r="R7072" t="s">
        <v>43173</v>
      </c>
      <c r="S7072" t="s">
        <v>43374</v>
      </c>
      <c r="T7072" t="s">
        <v>45054</v>
      </c>
      <c r="U7072" t="s">
        <v>50925</v>
      </c>
      <c r="W7072" t="s">
        <v>41715</v>
      </c>
      <c r="X7072" t="s">
        <v>43174</v>
      </c>
    </row>
    <row r="7073" spans="1:24">
      <c r="A7073">
        <f>HYPERLINK("https://www.philgeps.gov.ph/GEPSNONPILOT/Tender/SplashBidNoticeAbstractUI.aspx?menuIndex=3&amp;refID=7077072&amp;Result=3","7077072")</f>
        <v>0</v>
      </c>
      <c r="B7073" t="s">
        <v>801</v>
      </c>
      <c r="C7073" t="s">
        <v>10151</v>
      </c>
      <c r="D7073" t="s">
        <v>17459</v>
      </c>
      <c r="E7073" t="s">
        <v>23614</v>
      </c>
      <c r="F7073" t="s">
        <v>30052</v>
      </c>
      <c r="G7073" t="s">
        <v>30058</v>
      </c>
      <c r="H7073" t="s">
        <v>30067</v>
      </c>
      <c r="I7073" t="s">
        <v>3693</v>
      </c>
      <c r="J7073" t="s">
        <v>34579</v>
      </c>
      <c r="K7073" t="s">
        <v>39026</v>
      </c>
      <c r="M7073" t="s">
        <v>40118</v>
      </c>
      <c r="N7073" t="s">
        <v>43166</v>
      </c>
      <c r="O7073" t="s">
        <v>43167</v>
      </c>
      <c r="P7073">
        <v>0</v>
      </c>
      <c r="Q7073">
        <v>13</v>
      </c>
      <c r="R7073" t="s">
        <v>43173</v>
      </c>
      <c r="S7073" t="s">
        <v>43374</v>
      </c>
      <c r="T7073" t="s">
        <v>44716</v>
      </c>
      <c r="U7073" t="s">
        <v>50926</v>
      </c>
      <c r="V7073" t="s">
        <v>57413</v>
      </c>
      <c r="W7073" t="s">
        <v>40118</v>
      </c>
      <c r="X7073" t="s">
        <v>43174</v>
      </c>
    </row>
    <row r="7074" spans="1:24">
      <c r="A7074">
        <f>HYPERLINK("https://www.philgeps.gov.ph/GEPSNONPILOT/Tender/SplashBidNoticeAbstractUI.aspx?menuIndex=3&amp;refID=7077083&amp;Result=3","7077083")</f>
        <v>0</v>
      </c>
      <c r="B7074" t="s">
        <v>123</v>
      </c>
      <c r="C7074" t="s">
        <v>10152</v>
      </c>
      <c r="D7074" t="s">
        <v>17472</v>
      </c>
      <c r="E7074" t="s">
        <v>23615</v>
      </c>
      <c r="F7074" t="s">
        <v>30052</v>
      </c>
      <c r="G7074" t="s">
        <v>30059</v>
      </c>
      <c r="H7074" t="s">
        <v>15498</v>
      </c>
      <c r="I7074" t="s">
        <v>6691</v>
      </c>
      <c r="J7074" t="s">
        <v>34580</v>
      </c>
      <c r="K7074" t="s">
        <v>39025</v>
      </c>
      <c r="M7074" t="s">
        <v>39412</v>
      </c>
      <c r="N7074" t="s">
        <v>43166</v>
      </c>
      <c r="O7074" t="s">
        <v>43167</v>
      </c>
      <c r="P7074">
        <v>0</v>
      </c>
      <c r="Q7074">
        <v>0</v>
      </c>
      <c r="R7074" t="s">
        <v>43173</v>
      </c>
      <c r="S7074" t="s">
        <v>43374</v>
      </c>
      <c r="T7074" t="s">
        <v>44956</v>
      </c>
      <c r="U7074" t="s">
        <v>50927</v>
      </c>
      <c r="W7074" t="s">
        <v>39412</v>
      </c>
      <c r="X7074" t="s">
        <v>43174</v>
      </c>
    </row>
    <row r="7075" spans="1:24">
      <c r="A7075">
        <f>HYPERLINK("https://www.philgeps.gov.ph/GEPSNONPILOT/Tender/SplashBidNoticeAbstractUI.aspx?menuIndex=3&amp;refID=7077071&amp;Result=3","7077071")</f>
        <v>0</v>
      </c>
      <c r="B7075" t="s">
        <v>1779</v>
      </c>
      <c r="C7075" t="s">
        <v>10153</v>
      </c>
      <c r="D7075" t="s">
        <v>17444</v>
      </c>
      <c r="E7075" t="s">
        <v>23616</v>
      </c>
      <c r="F7075" t="s">
        <v>30052</v>
      </c>
      <c r="G7075" t="s">
        <v>30058</v>
      </c>
      <c r="H7075" t="s">
        <v>30067</v>
      </c>
      <c r="I7075" t="s">
        <v>3693</v>
      </c>
      <c r="J7075" t="s">
        <v>34581</v>
      </c>
      <c r="K7075" t="s">
        <v>39184</v>
      </c>
      <c r="M7075" t="s">
        <v>41720</v>
      </c>
      <c r="N7075" t="s">
        <v>43166</v>
      </c>
      <c r="O7075" t="s">
        <v>43167</v>
      </c>
      <c r="P7075">
        <v>0</v>
      </c>
      <c r="Q7075">
        <v>3</v>
      </c>
      <c r="R7075" t="s">
        <v>43173</v>
      </c>
      <c r="S7075" t="s">
        <v>43374</v>
      </c>
      <c r="T7075" t="s">
        <v>44758</v>
      </c>
      <c r="U7075" t="s">
        <v>50928</v>
      </c>
      <c r="W7075" t="s">
        <v>41720</v>
      </c>
      <c r="X7075" t="s">
        <v>43174</v>
      </c>
    </row>
    <row r="7076" spans="1:24">
      <c r="A7076">
        <f>HYPERLINK("https://www.philgeps.gov.ph/GEPSNONPILOT/Tender/SplashBidNoticeAbstractUI.aspx?menuIndex=3&amp;refID=7077075&amp;Result=3","7077075")</f>
        <v>0</v>
      </c>
      <c r="B7076" t="s">
        <v>1467</v>
      </c>
      <c r="C7076" t="s">
        <v>10154</v>
      </c>
      <c r="D7076" t="s">
        <v>17464</v>
      </c>
      <c r="E7076" t="s">
        <v>23617</v>
      </c>
      <c r="F7076" t="s">
        <v>30052</v>
      </c>
      <c r="G7076" t="s">
        <v>30058</v>
      </c>
      <c r="H7076" t="s">
        <v>15498</v>
      </c>
      <c r="I7076" t="s">
        <v>3852</v>
      </c>
      <c r="J7076" t="s">
        <v>34582</v>
      </c>
      <c r="K7076" t="s">
        <v>39029</v>
      </c>
      <c r="M7076" t="s">
        <v>40849</v>
      </c>
      <c r="N7076" t="s">
        <v>43166</v>
      </c>
      <c r="O7076" t="s">
        <v>43167</v>
      </c>
      <c r="P7076">
        <v>0</v>
      </c>
      <c r="Q7076">
        <v>2</v>
      </c>
      <c r="R7076" t="s">
        <v>43173</v>
      </c>
      <c r="S7076" t="s">
        <v>43374</v>
      </c>
      <c r="T7076" t="s">
        <v>45049</v>
      </c>
      <c r="U7076" t="s">
        <v>50929</v>
      </c>
      <c r="W7076" t="s">
        <v>40849</v>
      </c>
      <c r="X7076" t="s">
        <v>43174</v>
      </c>
    </row>
    <row r="7077" spans="1:24">
      <c r="A7077">
        <f>HYPERLINK("https://www.philgeps.gov.ph/GEPSNONPILOT/Tender/SplashBidNoticeAbstractUI.aspx?menuIndex=3&amp;refID=7077060&amp;Result=3","7077060")</f>
        <v>0</v>
      </c>
      <c r="B7077" t="s">
        <v>2244</v>
      </c>
      <c r="C7077" t="s">
        <v>10155</v>
      </c>
      <c r="D7077" t="s">
        <v>17422</v>
      </c>
      <c r="E7077" t="s">
        <v>23618</v>
      </c>
      <c r="F7077" t="s">
        <v>30052</v>
      </c>
      <c r="G7077" t="s">
        <v>30058</v>
      </c>
      <c r="H7077" t="s">
        <v>15498</v>
      </c>
      <c r="I7077" t="s">
        <v>3736</v>
      </c>
      <c r="J7077" t="s">
        <v>34583</v>
      </c>
      <c r="K7077" t="s">
        <v>39034</v>
      </c>
      <c r="M7077" t="s">
        <v>41722</v>
      </c>
      <c r="N7077" t="s">
        <v>43166</v>
      </c>
      <c r="O7077" t="s">
        <v>43167</v>
      </c>
      <c r="P7077">
        <v>0</v>
      </c>
      <c r="Q7077">
        <v>0</v>
      </c>
      <c r="R7077" t="s">
        <v>43173</v>
      </c>
      <c r="S7077" t="s">
        <v>43374</v>
      </c>
      <c r="T7077" t="s">
        <v>44814</v>
      </c>
      <c r="U7077" t="s">
        <v>50930</v>
      </c>
      <c r="W7077" t="s">
        <v>41722</v>
      </c>
      <c r="X7077" t="s">
        <v>43174</v>
      </c>
    </row>
    <row r="7078" spans="1:24">
      <c r="A7078">
        <f>HYPERLINK("https://www.philgeps.gov.ph/GEPSNONPILOT/Tender/SplashBidNoticeAbstractUI.aspx?menuIndex=3&amp;refID=7077069&amp;Result=3","7077069")</f>
        <v>0</v>
      </c>
      <c r="B7078" t="s">
        <v>2233</v>
      </c>
      <c r="C7078" t="s">
        <v>10113</v>
      </c>
      <c r="D7078" t="s">
        <v>17465</v>
      </c>
      <c r="E7078" t="s">
        <v>23619</v>
      </c>
      <c r="F7078" t="s">
        <v>30052</v>
      </c>
      <c r="G7078" t="s">
        <v>30062</v>
      </c>
      <c r="H7078" t="s">
        <v>15498</v>
      </c>
      <c r="I7078" t="s">
        <v>4119</v>
      </c>
      <c r="J7078" t="s">
        <v>34584</v>
      </c>
      <c r="K7078" t="s">
        <v>39017</v>
      </c>
      <c r="M7078" t="s">
        <v>41705</v>
      </c>
      <c r="N7078" t="s">
        <v>43166</v>
      </c>
      <c r="O7078" t="s">
        <v>43167</v>
      </c>
      <c r="P7078">
        <v>0</v>
      </c>
      <c r="Q7078">
        <v>3</v>
      </c>
      <c r="R7078" t="s">
        <v>43173</v>
      </c>
      <c r="S7078" t="s">
        <v>43374</v>
      </c>
      <c r="T7078" t="s">
        <v>44843</v>
      </c>
      <c r="U7078" t="s">
        <v>50905</v>
      </c>
      <c r="W7078" t="s">
        <v>41705</v>
      </c>
      <c r="X7078" t="s">
        <v>43174</v>
      </c>
    </row>
    <row r="7079" spans="1:24">
      <c r="A7079">
        <f>HYPERLINK("https://www.philgeps.gov.ph/GEPSNONPILOT/Tender/SplashBidNoticeAbstractUI.aspx?menuIndex=3&amp;refID=7077057&amp;Result=3","7077057")</f>
        <v>0</v>
      </c>
      <c r="B7079" t="s">
        <v>1779</v>
      </c>
      <c r="C7079" t="s">
        <v>10156</v>
      </c>
      <c r="D7079" t="s">
        <v>17444</v>
      </c>
      <c r="E7079" t="s">
        <v>23620</v>
      </c>
      <c r="F7079" t="s">
        <v>30052</v>
      </c>
      <c r="G7079" t="s">
        <v>30058</v>
      </c>
      <c r="H7079" t="s">
        <v>30067</v>
      </c>
      <c r="I7079" t="s">
        <v>3693</v>
      </c>
      <c r="J7079" t="s">
        <v>32690</v>
      </c>
      <c r="K7079" t="s">
        <v>39185</v>
      </c>
      <c r="M7079" t="s">
        <v>41720</v>
      </c>
      <c r="N7079" t="s">
        <v>43166</v>
      </c>
      <c r="O7079" t="s">
        <v>43167</v>
      </c>
      <c r="P7079">
        <v>0</v>
      </c>
      <c r="Q7079">
        <v>2</v>
      </c>
      <c r="R7079" t="s">
        <v>43173</v>
      </c>
      <c r="S7079" t="s">
        <v>43374</v>
      </c>
      <c r="T7079" t="s">
        <v>44758</v>
      </c>
      <c r="U7079" t="s">
        <v>50931</v>
      </c>
      <c r="W7079" t="s">
        <v>41720</v>
      </c>
      <c r="X7079" t="s">
        <v>43174</v>
      </c>
    </row>
    <row r="7080" spans="1:24">
      <c r="A7080">
        <f>HYPERLINK("https://www.philgeps.gov.ph/GEPSNONPILOT/Tender/SplashBidNoticeAbstractUI.aspx?menuIndex=3&amp;refID=7077044&amp;Result=3","7077044")</f>
        <v>0</v>
      </c>
      <c r="B7080" t="s">
        <v>1181</v>
      </c>
      <c r="C7080" t="s">
        <v>10157</v>
      </c>
      <c r="D7080" t="s">
        <v>17444</v>
      </c>
      <c r="E7080" t="s">
        <v>23621</v>
      </c>
      <c r="F7080" t="s">
        <v>30052</v>
      </c>
      <c r="G7080" t="s">
        <v>30061</v>
      </c>
      <c r="H7080" t="s">
        <v>15498</v>
      </c>
      <c r="I7080" t="s">
        <v>30081</v>
      </c>
      <c r="J7080" t="s">
        <v>30521</v>
      </c>
      <c r="K7080" t="s">
        <v>39025</v>
      </c>
      <c r="M7080" t="s">
        <v>40531</v>
      </c>
      <c r="N7080" t="s">
        <v>43166</v>
      </c>
      <c r="O7080" t="s">
        <v>43167</v>
      </c>
      <c r="P7080">
        <v>0</v>
      </c>
      <c r="Q7080">
        <v>3</v>
      </c>
      <c r="R7080" t="s">
        <v>43173</v>
      </c>
      <c r="S7080" t="s">
        <v>43374</v>
      </c>
      <c r="T7080" t="s">
        <v>44870</v>
      </c>
      <c r="U7080" t="s">
        <v>50932</v>
      </c>
      <c r="W7080" t="s">
        <v>40531</v>
      </c>
      <c r="X7080" t="s">
        <v>43174</v>
      </c>
    </row>
    <row r="7081" spans="1:24">
      <c r="A7081">
        <f>HYPERLINK("https://www.philgeps.gov.ph/GEPSNONPILOT/Tender/SplashBidNoticeAbstractUI.aspx?menuIndex=3&amp;refID=7077062&amp;Result=3","7077062")</f>
        <v>0</v>
      </c>
      <c r="B7081" t="s">
        <v>123</v>
      </c>
      <c r="C7081" t="s">
        <v>10158</v>
      </c>
      <c r="D7081" t="s">
        <v>17472</v>
      </c>
      <c r="E7081" t="s">
        <v>23622</v>
      </c>
      <c r="F7081" t="s">
        <v>30052</v>
      </c>
      <c r="G7081" t="s">
        <v>30059</v>
      </c>
      <c r="H7081" t="s">
        <v>15498</v>
      </c>
      <c r="I7081" t="s">
        <v>6691</v>
      </c>
      <c r="J7081" t="s">
        <v>34585</v>
      </c>
      <c r="K7081" t="s">
        <v>39025</v>
      </c>
      <c r="M7081" t="s">
        <v>39412</v>
      </c>
      <c r="N7081" t="s">
        <v>43166</v>
      </c>
      <c r="O7081" t="s">
        <v>43167</v>
      </c>
      <c r="P7081">
        <v>0</v>
      </c>
      <c r="Q7081">
        <v>0</v>
      </c>
      <c r="R7081" t="s">
        <v>43173</v>
      </c>
      <c r="S7081" t="s">
        <v>43374</v>
      </c>
      <c r="T7081" t="s">
        <v>44956</v>
      </c>
      <c r="U7081" t="s">
        <v>50933</v>
      </c>
      <c r="W7081" t="s">
        <v>39412</v>
      </c>
      <c r="X7081" t="s">
        <v>43174</v>
      </c>
    </row>
    <row r="7082" spans="1:24">
      <c r="A7082">
        <f>HYPERLINK("https://www.philgeps.gov.ph/GEPSNONPILOT/Tender/SplashBidNoticeAbstractUI.aspx?menuIndex=3&amp;refID=7077014&amp;Result=3","7077014")</f>
        <v>0</v>
      </c>
      <c r="B7082" t="s">
        <v>2245</v>
      </c>
      <c r="C7082" t="s">
        <v>10159</v>
      </c>
      <c r="D7082" t="s">
        <v>17415</v>
      </c>
      <c r="E7082" t="s">
        <v>23623</v>
      </c>
      <c r="F7082" t="s">
        <v>30052</v>
      </c>
      <c r="G7082" t="s">
        <v>30058</v>
      </c>
      <c r="H7082" t="s">
        <v>30067</v>
      </c>
      <c r="I7082" t="s">
        <v>3693</v>
      </c>
      <c r="J7082" t="s">
        <v>34586</v>
      </c>
      <c r="K7082" t="s">
        <v>39023</v>
      </c>
      <c r="M7082" t="s">
        <v>41723</v>
      </c>
      <c r="N7082" t="s">
        <v>43166</v>
      </c>
      <c r="O7082" t="s">
        <v>43167</v>
      </c>
      <c r="Q7082">
        <v>8</v>
      </c>
      <c r="R7082" t="s">
        <v>43173</v>
      </c>
      <c r="S7082" t="s">
        <v>43379</v>
      </c>
      <c r="T7082" t="s">
        <v>44722</v>
      </c>
      <c r="U7082" t="s">
        <v>50934</v>
      </c>
      <c r="W7082" t="s">
        <v>41723</v>
      </c>
      <c r="X7082" t="s">
        <v>43174</v>
      </c>
    </row>
    <row r="7083" spans="1:24">
      <c r="A7083">
        <f>HYPERLINK("https://www.philgeps.gov.ph/GEPSNONPILOT/Tender/SplashBidNoticeAbstractUI.aspx?menuIndex=3&amp;refID=7077013&amp;Result=3","7077013")</f>
        <v>0</v>
      </c>
      <c r="B7083" t="s">
        <v>1517</v>
      </c>
      <c r="C7083" t="s">
        <v>10160</v>
      </c>
      <c r="D7083" t="s">
        <v>17421</v>
      </c>
      <c r="E7083" t="s">
        <v>23624</v>
      </c>
      <c r="F7083" t="s">
        <v>30052</v>
      </c>
      <c r="G7083" t="s">
        <v>30059</v>
      </c>
      <c r="H7083" t="s">
        <v>15498</v>
      </c>
      <c r="I7083" t="s">
        <v>3606</v>
      </c>
      <c r="J7083" t="s">
        <v>34587</v>
      </c>
      <c r="K7083" t="s">
        <v>39034</v>
      </c>
      <c r="M7083" t="s">
        <v>41614</v>
      </c>
      <c r="N7083" t="s">
        <v>43166</v>
      </c>
      <c r="O7083" t="s">
        <v>43167</v>
      </c>
      <c r="P7083">
        <v>0</v>
      </c>
      <c r="Q7083">
        <v>3</v>
      </c>
      <c r="R7083" t="s">
        <v>43173</v>
      </c>
      <c r="S7083" t="s">
        <v>43374</v>
      </c>
      <c r="T7083" t="s">
        <v>44844</v>
      </c>
      <c r="U7083" t="s">
        <v>50935</v>
      </c>
      <c r="W7083" t="s">
        <v>41614</v>
      </c>
      <c r="X7083" t="s">
        <v>43174</v>
      </c>
    </row>
    <row r="7084" spans="1:24">
      <c r="A7084">
        <f>HYPERLINK("https://www.philgeps.gov.ph/GEPSNONPILOT/Tender/SplashBidNoticeAbstractUI.aspx?menuIndex=3&amp;refID=7077056&amp;Result=3","7077056")</f>
        <v>0</v>
      </c>
      <c r="B7084" t="s">
        <v>1602</v>
      </c>
      <c r="C7084" t="s">
        <v>10161</v>
      </c>
      <c r="D7084" t="s">
        <v>17445</v>
      </c>
      <c r="E7084" t="s">
        <v>23625</v>
      </c>
      <c r="F7084" t="s">
        <v>30052</v>
      </c>
      <c r="G7084" t="s">
        <v>30058</v>
      </c>
      <c r="H7084" t="s">
        <v>15498</v>
      </c>
      <c r="I7084" t="s">
        <v>3736</v>
      </c>
      <c r="J7084" t="s">
        <v>32167</v>
      </c>
      <c r="K7084" t="s">
        <v>39025</v>
      </c>
      <c r="M7084" t="s">
        <v>41000</v>
      </c>
      <c r="N7084" t="s">
        <v>43166</v>
      </c>
      <c r="O7084" t="s">
        <v>43167</v>
      </c>
      <c r="P7084">
        <v>0</v>
      </c>
      <c r="Q7084">
        <v>1</v>
      </c>
      <c r="R7084" t="s">
        <v>43173</v>
      </c>
      <c r="S7084" t="s">
        <v>43374</v>
      </c>
      <c r="T7084" t="s">
        <v>44732</v>
      </c>
      <c r="U7084" t="s">
        <v>50936</v>
      </c>
      <c r="W7084" t="s">
        <v>41000</v>
      </c>
      <c r="X7084" t="s">
        <v>43174</v>
      </c>
    </row>
    <row r="7085" spans="1:24">
      <c r="A7085">
        <f>HYPERLINK("https://www.philgeps.gov.ph/GEPSNONPILOT/Tender/SplashBidNoticeAbstractUI.aspx?menuIndex=3&amp;refID=7077045&amp;Result=3","7077045")</f>
        <v>0</v>
      </c>
      <c r="B7085" t="s">
        <v>1779</v>
      </c>
      <c r="C7085" t="s">
        <v>10162</v>
      </c>
      <c r="D7085" t="s">
        <v>17444</v>
      </c>
      <c r="E7085" t="s">
        <v>23626</v>
      </c>
      <c r="F7085" t="s">
        <v>30052</v>
      </c>
      <c r="G7085" t="s">
        <v>30058</v>
      </c>
      <c r="H7085" t="s">
        <v>30067</v>
      </c>
      <c r="I7085" t="s">
        <v>3693</v>
      </c>
      <c r="J7085" t="s">
        <v>30397</v>
      </c>
      <c r="K7085" t="s">
        <v>39186</v>
      </c>
      <c r="M7085" t="s">
        <v>41720</v>
      </c>
      <c r="N7085" t="s">
        <v>43166</v>
      </c>
      <c r="O7085" t="s">
        <v>43167</v>
      </c>
      <c r="P7085">
        <v>0</v>
      </c>
      <c r="Q7085">
        <v>3</v>
      </c>
      <c r="R7085" t="s">
        <v>43173</v>
      </c>
      <c r="S7085" t="s">
        <v>43374</v>
      </c>
      <c r="T7085" t="s">
        <v>44758</v>
      </c>
      <c r="U7085" t="s">
        <v>50937</v>
      </c>
      <c r="W7085" t="s">
        <v>41720</v>
      </c>
      <c r="X7085" t="s">
        <v>43174</v>
      </c>
    </row>
    <row r="7086" spans="1:24">
      <c r="A7086">
        <f>HYPERLINK("https://www.philgeps.gov.ph/GEPSNONPILOT/Tender/SplashBidNoticeAbstractUI.aspx?menuIndex=3&amp;refID=7077005&amp;Result=3","7077005")</f>
        <v>0</v>
      </c>
      <c r="B7086" t="s">
        <v>2246</v>
      </c>
      <c r="C7086" t="s">
        <v>10163</v>
      </c>
      <c r="D7086" t="s">
        <v>17463</v>
      </c>
      <c r="E7086" t="s">
        <v>17779</v>
      </c>
      <c r="F7086" t="s">
        <v>30055</v>
      </c>
      <c r="G7086" t="s">
        <v>30058</v>
      </c>
      <c r="H7086" t="s">
        <v>30067</v>
      </c>
      <c r="I7086" t="s">
        <v>3736</v>
      </c>
      <c r="J7086" t="s">
        <v>30207</v>
      </c>
      <c r="K7086" t="s">
        <v>39017</v>
      </c>
      <c r="M7086" t="s">
        <v>41724</v>
      </c>
      <c r="N7086" t="s">
        <v>43166</v>
      </c>
      <c r="O7086" t="s">
        <v>43167</v>
      </c>
      <c r="P7086">
        <v>0</v>
      </c>
      <c r="Q7086">
        <v>1</v>
      </c>
      <c r="R7086" t="s">
        <v>43173</v>
      </c>
      <c r="S7086" t="s">
        <v>43374</v>
      </c>
      <c r="T7086" t="s">
        <v>44725</v>
      </c>
      <c r="U7086" t="s">
        <v>50938</v>
      </c>
      <c r="W7086" t="s">
        <v>41724</v>
      </c>
      <c r="X7086" t="s">
        <v>43174</v>
      </c>
    </row>
    <row r="7087" spans="1:24">
      <c r="A7087">
        <f>HYPERLINK("https://www.philgeps.gov.ph/GEPSNONPILOT/Tender/SplashBidNoticeAbstractUI.aspx?menuIndex=3&amp;refID=7076887&amp;Result=3","7076887")</f>
        <v>0</v>
      </c>
      <c r="B7087" t="s">
        <v>2188</v>
      </c>
      <c r="C7087" t="s">
        <v>10164</v>
      </c>
      <c r="D7087" t="s">
        <v>17459</v>
      </c>
      <c r="E7087" t="s">
        <v>23627</v>
      </c>
      <c r="F7087" t="s">
        <v>30052</v>
      </c>
      <c r="G7087" t="s">
        <v>30061</v>
      </c>
      <c r="H7087" t="s">
        <v>15498</v>
      </c>
      <c r="I7087" t="s">
        <v>30097</v>
      </c>
      <c r="J7087" t="s">
        <v>34588</v>
      </c>
      <c r="K7087" t="s">
        <v>39017</v>
      </c>
      <c r="M7087" t="s">
        <v>41657</v>
      </c>
      <c r="N7087" t="s">
        <v>43166</v>
      </c>
      <c r="O7087" t="s">
        <v>43167</v>
      </c>
      <c r="P7087">
        <v>0</v>
      </c>
      <c r="Q7087">
        <v>1</v>
      </c>
      <c r="R7087" t="s">
        <v>43173</v>
      </c>
      <c r="S7087" t="s">
        <v>43374</v>
      </c>
      <c r="T7087" t="s">
        <v>44773</v>
      </c>
      <c r="U7087" t="s">
        <v>50939</v>
      </c>
      <c r="W7087" t="s">
        <v>41657</v>
      </c>
      <c r="X7087" t="s">
        <v>43174</v>
      </c>
    </row>
    <row r="7088" spans="1:24">
      <c r="A7088">
        <f>HYPERLINK("https://www.philgeps.gov.ph/GEPSNONPILOT/Tender/SplashBidNoticeAbstractUI.aspx?menuIndex=3&amp;refID=7076884&amp;Result=3","7076884")</f>
        <v>0</v>
      </c>
      <c r="B7088" t="s">
        <v>201</v>
      </c>
      <c r="C7088" t="s">
        <v>10165</v>
      </c>
      <c r="E7088" t="s">
        <v>23628</v>
      </c>
      <c r="F7088" t="s">
        <v>30052</v>
      </c>
      <c r="G7088" t="s">
        <v>30059</v>
      </c>
      <c r="H7088" t="s">
        <v>15498</v>
      </c>
      <c r="I7088" t="s">
        <v>9238</v>
      </c>
      <c r="J7088" t="s">
        <v>34589</v>
      </c>
      <c r="K7088" t="s">
        <v>39025</v>
      </c>
      <c r="M7088" t="s">
        <v>41692</v>
      </c>
      <c r="N7088" t="s">
        <v>43166</v>
      </c>
      <c r="O7088" t="s">
        <v>43167</v>
      </c>
      <c r="P7088">
        <v>0</v>
      </c>
      <c r="Q7088">
        <v>9</v>
      </c>
      <c r="R7088" t="s">
        <v>43173</v>
      </c>
      <c r="S7088" t="s">
        <v>43374</v>
      </c>
      <c r="T7088" t="s">
        <v>44837</v>
      </c>
      <c r="U7088" t="s">
        <v>45637</v>
      </c>
      <c r="W7088" t="s">
        <v>41692</v>
      </c>
      <c r="X7088" t="s">
        <v>43174</v>
      </c>
    </row>
    <row r="7089" spans="1:24">
      <c r="A7089">
        <f>HYPERLINK("https://www.philgeps.gov.ph/GEPSNONPILOT/Tender/SplashBidNoticeAbstractUI.aspx?menuIndex=3&amp;refID=7076388&amp;Result=3","7076388")</f>
        <v>0</v>
      </c>
      <c r="B7089" t="s">
        <v>1517</v>
      </c>
      <c r="C7089" t="s">
        <v>10166</v>
      </c>
      <c r="D7089" t="s">
        <v>17421</v>
      </c>
      <c r="E7089" t="s">
        <v>23629</v>
      </c>
      <c r="F7089" t="s">
        <v>30052</v>
      </c>
      <c r="G7089" t="s">
        <v>30060</v>
      </c>
      <c r="H7089" t="s">
        <v>30067</v>
      </c>
      <c r="I7089" t="s">
        <v>3693</v>
      </c>
      <c r="J7089" t="s">
        <v>34590</v>
      </c>
      <c r="K7089" t="s">
        <v>39023</v>
      </c>
      <c r="M7089" t="s">
        <v>41614</v>
      </c>
      <c r="N7089" t="s">
        <v>43166</v>
      </c>
      <c r="O7089" t="s">
        <v>43167</v>
      </c>
      <c r="P7089">
        <v>0</v>
      </c>
      <c r="Q7089">
        <v>2</v>
      </c>
      <c r="R7089" t="s">
        <v>43173</v>
      </c>
      <c r="S7089" t="s">
        <v>43374</v>
      </c>
      <c r="T7089" t="s">
        <v>44844</v>
      </c>
      <c r="U7089" t="s">
        <v>50940</v>
      </c>
      <c r="W7089" t="s">
        <v>41614</v>
      </c>
      <c r="X7089" t="s">
        <v>43174</v>
      </c>
    </row>
    <row r="7090" spans="1:24">
      <c r="A7090">
        <f>HYPERLINK("https://www.philgeps.gov.ph/GEPSNONPILOT/Tender/SplashBidNoticeAbstractUI.aspx?menuIndex=3&amp;refID=7077009&amp;Result=3","7077009")</f>
        <v>0</v>
      </c>
      <c r="B7090" t="s">
        <v>2233</v>
      </c>
      <c r="C7090" t="s">
        <v>10113</v>
      </c>
      <c r="D7090" t="s">
        <v>17465</v>
      </c>
      <c r="E7090" t="s">
        <v>22726</v>
      </c>
      <c r="F7090" t="s">
        <v>30052</v>
      </c>
      <c r="G7090" t="s">
        <v>30062</v>
      </c>
      <c r="H7090" t="s">
        <v>15498</v>
      </c>
      <c r="I7090" t="s">
        <v>3736</v>
      </c>
      <c r="J7090" t="s">
        <v>34591</v>
      </c>
      <c r="K7090" t="s">
        <v>39017</v>
      </c>
      <c r="M7090" t="s">
        <v>41705</v>
      </c>
      <c r="N7090" t="s">
        <v>43166</v>
      </c>
      <c r="O7090" t="s">
        <v>43167</v>
      </c>
      <c r="P7090">
        <v>0</v>
      </c>
      <c r="Q7090">
        <v>3</v>
      </c>
      <c r="R7090" t="s">
        <v>43173</v>
      </c>
      <c r="S7090" t="s">
        <v>43374</v>
      </c>
      <c r="T7090" t="s">
        <v>44843</v>
      </c>
      <c r="U7090" t="s">
        <v>50891</v>
      </c>
      <c r="W7090" t="s">
        <v>41705</v>
      </c>
      <c r="X7090" t="s">
        <v>43174</v>
      </c>
    </row>
    <row r="7091" spans="1:24">
      <c r="A7091">
        <f>HYPERLINK("https://www.philgeps.gov.ph/GEPSNONPILOT/Tender/SplashBidNoticeAbstractUI.aspx?menuIndex=3&amp;refID=7077147&amp;Result=3","7077147")</f>
        <v>0</v>
      </c>
      <c r="B7091" t="s">
        <v>2157</v>
      </c>
      <c r="C7091" t="s">
        <v>10167</v>
      </c>
      <c r="D7091" t="s">
        <v>17463</v>
      </c>
      <c r="E7091" t="s">
        <v>23630</v>
      </c>
      <c r="F7091" t="s">
        <v>30052</v>
      </c>
      <c r="G7091" t="s">
        <v>30058</v>
      </c>
      <c r="H7091" t="s">
        <v>30067</v>
      </c>
      <c r="I7091" t="s">
        <v>3693</v>
      </c>
      <c r="J7091" t="s">
        <v>30605</v>
      </c>
      <c r="K7091" t="s">
        <v>39019</v>
      </c>
      <c r="M7091" t="s">
        <v>41624</v>
      </c>
      <c r="N7091" t="s">
        <v>43166</v>
      </c>
      <c r="O7091" t="s">
        <v>43167</v>
      </c>
      <c r="P7091">
        <v>0</v>
      </c>
      <c r="Q7091">
        <v>4</v>
      </c>
      <c r="R7091" t="s">
        <v>43173</v>
      </c>
      <c r="S7091" t="s">
        <v>43374</v>
      </c>
      <c r="T7091" t="s">
        <v>44758</v>
      </c>
      <c r="U7091" t="s">
        <v>50941</v>
      </c>
      <c r="W7091" t="s">
        <v>41624</v>
      </c>
      <c r="X7091" t="s">
        <v>43174</v>
      </c>
    </row>
    <row r="7092" spans="1:24">
      <c r="A7092">
        <f>HYPERLINK("https://www.philgeps.gov.ph/GEPSNONPILOT/Tender/SplashBidNoticeAbstractUI.aspx?menuIndex=3&amp;refID=7077006&amp;Result=3","7077006")</f>
        <v>0</v>
      </c>
      <c r="B7092" t="s">
        <v>828</v>
      </c>
      <c r="C7092" t="s">
        <v>10168</v>
      </c>
      <c r="D7092" t="s">
        <v>17422</v>
      </c>
      <c r="E7092" t="s">
        <v>23631</v>
      </c>
      <c r="F7092" t="s">
        <v>30052</v>
      </c>
      <c r="G7092" t="s">
        <v>30058</v>
      </c>
      <c r="H7092" t="s">
        <v>15498</v>
      </c>
      <c r="I7092" t="s">
        <v>30091</v>
      </c>
      <c r="J7092" t="s">
        <v>30218</v>
      </c>
      <c r="K7092" t="s">
        <v>39029</v>
      </c>
      <c r="M7092" t="s">
        <v>40145</v>
      </c>
      <c r="N7092" t="s">
        <v>43166</v>
      </c>
      <c r="O7092" t="s">
        <v>43167</v>
      </c>
      <c r="P7092">
        <v>0</v>
      </c>
      <c r="Q7092">
        <v>4</v>
      </c>
      <c r="R7092" t="s">
        <v>43173</v>
      </c>
      <c r="S7092" t="s">
        <v>43374</v>
      </c>
      <c r="T7092" t="s">
        <v>44832</v>
      </c>
      <c r="U7092" t="s">
        <v>50942</v>
      </c>
      <c r="W7092" t="s">
        <v>40145</v>
      </c>
      <c r="X7092" t="s">
        <v>43174</v>
      </c>
    </row>
    <row r="7093" spans="1:24">
      <c r="A7093">
        <f>HYPERLINK("https://www.philgeps.gov.ph/GEPSNONPILOT/Tender/SplashBidNoticeAbstractUI.aspx?menuIndex=3&amp;refID=7077146&amp;Result=3","7077146")</f>
        <v>0</v>
      </c>
      <c r="B7093" t="s">
        <v>144</v>
      </c>
      <c r="C7093" t="s">
        <v>6829</v>
      </c>
      <c r="D7093" t="s">
        <v>17449</v>
      </c>
      <c r="E7093" t="s">
        <v>23632</v>
      </c>
      <c r="F7093" t="s">
        <v>30052</v>
      </c>
      <c r="G7093" t="s">
        <v>30059</v>
      </c>
      <c r="H7093" t="s">
        <v>30067</v>
      </c>
      <c r="I7093" t="s">
        <v>30106</v>
      </c>
      <c r="J7093" t="s">
        <v>32539</v>
      </c>
      <c r="K7093" t="s">
        <v>39025</v>
      </c>
      <c r="M7093" t="s">
        <v>39433</v>
      </c>
      <c r="N7093" t="s">
        <v>43166</v>
      </c>
      <c r="O7093" t="s">
        <v>43167</v>
      </c>
      <c r="P7093">
        <v>0</v>
      </c>
      <c r="Q7093">
        <v>2</v>
      </c>
      <c r="R7093" t="s">
        <v>43173</v>
      </c>
      <c r="S7093" t="s">
        <v>43374</v>
      </c>
      <c r="T7093" t="s">
        <v>44716</v>
      </c>
      <c r="U7093" t="s">
        <v>48149</v>
      </c>
      <c r="W7093" t="s">
        <v>39433</v>
      </c>
      <c r="X7093" t="s">
        <v>43174</v>
      </c>
    </row>
    <row r="7094" spans="1:24">
      <c r="A7094">
        <f>HYPERLINK("https://www.philgeps.gov.ph/GEPSNONPILOT/Tender/SplashBidNoticeAbstractUI.aspx?menuIndex=3&amp;refID=7077137&amp;Result=3","7077137")</f>
        <v>0</v>
      </c>
      <c r="B7094" t="s">
        <v>2244</v>
      </c>
      <c r="C7094" t="s">
        <v>10169</v>
      </c>
      <c r="D7094" t="s">
        <v>17422</v>
      </c>
      <c r="E7094" t="s">
        <v>23633</v>
      </c>
      <c r="F7094" t="s">
        <v>30052</v>
      </c>
      <c r="G7094" t="s">
        <v>30058</v>
      </c>
      <c r="H7094" t="s">
        <v>15498</v>
      </c>
      <c r="I7094" t="s">
        <v>3736</v>
      </c>
      <c r="J7094" t="s">
        <v>34592</v>
      </c>
      <c r="K7094" t="s">
        <v>39034</v>
      </c>
      <c r="M7094" t="s">
        <v>41722</v>
      </c>
      <c r="N7094" t="s">
        <v>43166</v>
      </c>
      <c r="O7094" t="s">
        <v>43167</v>
      </c>
      <c r="P7094">
        <v>0</v>
      </c>
      <c r="Q7094">
        <v>0</v>
      </c>
      <c r="R7094" t="s">
        <v>43173</v>
      </c>
      <c r="S7094" t="s">
        <v>43374</v>
      </c>
      <c r="T7094" t="s">
        <v>44814</v>
      </c>
      <c r="U7094" t="s">
        <v>50943</v>
      </c>
      <c r="W7094" t="s">
        <v>41722</v>
      </c>
      <c r="X7094" t="s">
        <v>43174</v>
      </c>
    </row>
    <row r="7095" spans="1:24">
      <c r="A7095">
        <f>HYPERLINK("https://www.philgeps.gov.ph/GEPSNONPILOT/Tender/SplashBidNoticeAbstractUI.aspx?menuIndex=3&amp;refID=7077026&amp;Result=3","7077026")</f>
        <v>0</v>
      </c>
      <c r="B7095" t="s">
        <v>2233</v>
      </c>
      <c r="C7095" t="s">
        <v>10113</v>
      </c>
      <c r="D7095" t="s">
        <v>17465</v>
      </c>
      <c r="E7095" t="s">
        <v>23592</v>
      </c>
      <c r="F7095" t="s">
        <v>30052</v>
      </c>
      <c r="G7095" t="s">
        <v>30062</v>
      </c>
      <c r="H7095" t="s">
        <v>15498</v>
      </c>
      <c r="I7095" t="s">
        <v>4119</v>
      </c>
      <c r="J7095" t="s">
        <v>30644</v>
      </c>
      <c r="K7095" t="s">
        <v>39017</v>
      </c>
      <c r="M7095" t="s">
        <v>41705</v>
      </c>
      <c r="N7095" t="s">
        <v>43166</v>
      </c>
      <c r="O7095" t="s">
        <v>43167</v>
      </c>
      <c r="P7095">
        <v>0</v>
      </c>
      <c r="Q7095">
        <v>3</v>
      </c>
      <c r="R7095" t="s">
        <v>43173</v>
      </c>
      <c r="S7095" t="s">
        <v>43374</v>
      </c>
      <c r="T7095" t="s">
        <v>44735</v>
      </c>
      <c r="U7095" t="s">
        <v>50891</v>
      </c>
      <c r="W7095" t="s">
        <v>41705</v>
      </c>
      <c r="X7095" t="s">
        <v>43174</v>
      </c>
    </row>
    <row r="7096" spans="1:24">
      <c r="A7096">
        <f>HYPERLINK("https://www.philgeps.gov.ph/GEPSNONPILOT/Tender/SplashBidNoticeAbstractUI.aspx?menuIndex=3&amp;refID=7077130&amp;Result=3","7077130")</f>
        <v>0</v>
      </c>
      <c r="B7096" t="s">
        <v>1425</v>
      </c>
      <c r="C7096" t="s">
        <v>10170</v>
      </c>
      <c r="D7096" t="s">
        <v>17463</v>
      </c>
      <c r="E7096" t="s">
        <v>23634</v>
      </c>
      <c r="F7096" t="s">
        <v>30052</v>
      </c>
      <c r="G7096" t="s">
        <v>30058</v>
      </c>
      <c r="H7096" t="s">
        <v>15498</v>
      </c>
      <c r="I7096" t="s">
        <v>30073</v>
      </c>
      <c r="J7096" t="s">
        <v>34593</v>
      </c>
      <c r="K7096" t="s">
        <v>39031</v>
      </c>
      <c r="M7096" t="s">
        <v>40803</v>
      </c>
      <c r="N7096" t="s">
        <v>43166</v>
      </c>
      <c r="O7096" t="s">
        <v>43167</v>
      </c>
      <c r="P7096">
        <v>0</v>
      </c>
      <c r="Q7096">
        <v>0</v>
      </c>
      <c r="R7096" t="s">
        <v>43173</v>
      </c>
      <c r="S7096" t="s">
        <v>43374</v>
      </c>
      <c r="T7096" t="s">
        <v>44773</v>
      </c>
      <c r="U7096" t="s">
        <v>50944</v>
      </c>
      <c r="W7096" t="s">
        <v>40803</v>
      </c>
      <c r="X7096" t="s">
        <v>43174</v>
      </c>
    </row>
    <row r="7097" spans="1:24">
      <c r="A7097">
        <f>HYPERLINK("https://www.philgeps.gov.ph/GEPSNONPILOT/Tender/SplashBidNoticeAbstractUI.aspx?menuIndex=3&amp;refID=7077122&amp;Result=3","7077122")</f>
        <v>0</v>
      </c>
      <c r="B7097" t="s">
        <v>2229</v>
      </c>
      <c r="C7097" t="s">
        <v>10171</v>
      </c>
      <c r="D7097" t="s">
        <v>17413</v>
      </c>
      <c r="E7097" t="s">
        <v>23635</v>
      </c>
      <c r="F7097" t="s">
        <v>30052</v>
      </c>
      <c r="G7097" t="s">
        <v>30058</v>
      </c>
      <c r="H7097" t="s">
        <v>30067</v>
      </c>
      <c r="I7097" t="s">
        <v>3693</v>
      </c>
      <c r="J7097" t="s">
        <v>30252</v>
      </c>
      <c r="K7097" t="s">
        <v>39029</v>
      </c>
      <c r="M7097" t="s">
        <v>41701</v>
      </c>
      <c r="N7097" t="s">
        <v>43166</v>
      </c>
      <c r="O7097" t="s">
        <v>43167</v>
      </c>
      <c r="P7097">
        <v>0</v>
      </c>
      <c r="Q7097">
        <v>0</v>
      </c>
      <c r="R7097" t="s">
        <v>43173</v>
      </c>
      <c r="S7097" t="s">
        <v>43374</v>
      </c>
      <c r="T7097" t="s">
        <v>44680</v>
      </c>
      <c r="U7097" t="s">
        <v>50945</v>
      </c>
      <c r="V7097" t="s">
        <v>57556</v>
      </c>
      <c r="W7097" t="s">
        <v>41701</v>
      </c>
      <c r="X7097" t="s">
        <v>43174</v>
      </c>
    </row>
    <row r="7098" spans="1:24">
      <c r="A7098">
        <f>HYPERLINK("https://www.philgeps.gov.ph/GEPSNONPILOT/Tender/SplashBidNoticeAbstractUI.aspx?menuIndex=3&amp;refID=7077066&amp;Result=3","7077066")</f>
        <v>0</v>
      </c>
      <c r="B7098" t="s">
        <v>2247</v>
      </c>
      <c r="C7098" t="s">
        <v>10172</v>
      </c>
      <c r="D7098" t="s">
        <v>17459</v>
      </c>
      <c r="E7098" t="s">
        <v>23636</v>
      </c>
      <c r="F7098" t="s">
        <v>30054</v>
      </c>
      <c r="G7098" t="s">
        <v>30059</v>
      </c>
      <c r="H7098" t="s">
        <v>15498</v>
      </c>
      <c r="I7098" t="s">
        <v>3736</v>
      </c>
      <c r="J7098" t="s">
        <v>30315</v>
      </c>
      <c r="K7098" t="s">
        <v>39017</v>
      </c>
      <c r="M7098" t="s">
        <v>41725</v>
      </c>
      <c r="N7098" t="s">
        <v>43166</v>
      </c>
      <c r="O7098" t="s">
        <v>43167</v>
      </c>
      <c r="P7098">
        <v>0</v>
      </c>
      <c r="Q7098">
        <v>1</v>
      </c>
      <c r="R7098" t="s">
        <v>43173</v>
      </c>
      <c r="S7098" t="s">
        <v>43374</v>
      </c>
      <c r="T7098" t="s">
        <v>44705</v>
      </c>
      <c r="U7098" t="s">
        <v>50946</v>
      </c>
      <c r="W7098" t="s">
        <v>41725</v>
      </c>
      <c r="X7098" t="s">
        <v>43174</v>
      </c>
    </row>
    <row r="7099" spans="1:24">
      <c r="A7099">
        <f>HYPERLINK("https://www.philgeps.gov.ph/GEPSNONPILOT/Tender/SplashBidNoticeAbstractUI.aspx?menuIndex=3&amp;refID=7077121&amp;Result=3","7077121")</f>
        <v>0</v>
      </c>
      <c r="B7099" t="s">
        <v>1467</v>
      </c>
      <c r="C7099" t="s">
        <v>10173</v>
      </c>
      <c r="D7099" t="s">
        <v>17464</v>
      </c>
      <c r="E7099" t="s">
        <v>23637</v>
      </c>
      <c r="F7099" t="s">
        <v>30052</v>
      </c>
      <c r="G7099" t="s">
        <v>30058</v>
      </c>
      <c r="H7099" t="s">
        <v>15498</v>
      </c>
      <c r="I7099" t="s">
        <v>30074</v>
      </c>
      <c r="J7099" t="s">
        <v>31207</v>
      </c>
      <c r="K7099" t="s">
        <v>39029</v>
      </c>
      <c r="M7099" t="s">
        <v>40849</v>
      </c>
      <c r="N7099" t="s">
        <v>43166</v>
      </c>
      <c r="O7099" t="s">
        <v>43167</v>
      </c>
      <c r="P7099">
        <v>0</v>
      </c>
      <c r="Q7099">
        <v>11</v>
      </c>
      <c r="R7099" t="s">
        <v>43173</v>
      </c>
      <c r="S7099" t="s">
        <v>43374</v>
      </c>
      <c r="T7099" t="s">
        <v>45049</v>
      </c>
      <c r="U7099" t="s">
        <v>50947</v>
      </c>
      <c r="W7099" t="s">
        <v>40849</v>
      </c>
      <c r="X7099" t="s">
        <v>43174</v>
      </c>
    </row>
    <row r="7100" spans="1:24">
      <c r="A7100">
        <f>HYPERLINK("https://www.philgeps.gov.ph/GEPSNONPILOT/Tender/SplashBidNoticeAbstractUI.aspx?menuIndex=3&amp;refID=7077141&amp;Result=3","7077141")</f>
        <v>0</v>
      </c>
      <c r="B7100" t="s">
        <v>1779</v>
      </c>
      <c r="C7100" t="s">
        <v>10174</v>
      </c>
      <c r="D7100" t="s">
        <v>17444</v>
      </c>
      <c r="E7100" t="s">
        <v>23638</v>
      </c>
      <c r="F7100" t="s">
        <v>30052</v>
      </c>
      <c r="G7100" t="s">
        <v>30058</v>
      </c>
      <c r="H7100" t="s">
        <v>30067</v>
      </c>
      <c r="I7100" t="s">
        <v>3693</v>
      </c>
      <c r="J7100" t="s">
        <v>34594</v>
      </c>
      <c r="K7100" t="s">
        <v>39180</v>
      </c>
      <c r="M7100" t="s">
        <v>41720</v>
      </c>
      <c r="N7100" t="s">
        <v>43166</v>
      </c>
      <c r="O7100" t="s">
        <v>43167</v>
      </c>
      <c r="P7100">
        <v>0</v>
      </c>
      <c r="Q7100">
        <v>2</v>
      </c>
      <c r="R7100" t="s">
        <v>43173</v>
      </c>
      <c r="S7100" t="s">
        <v>43374</v>
      </c>
      <c r="T7100" t="s">
        <v>44758</v>
      </c>
      <c r="U7100" t="s">
        <v>50948</v>
      </c>
      <c r="W7100" t="s">
        <v>41720</v>
      </c>
      <c r="X7100" t="s">
        <v>43174</v>
      </c>
    </row>
    <row r="7101" spans="1:24">
      <c r="A7101">
        <f>HYPERLINK("https://www.philgeps.gov.ph/GEPSNONPILOT/Tender/SplashBidNoticeAbstractUI.aspx?menuIndex=3&amp;refID=7077134&amp;Result=3","7077134")</f>
        <v>0</v>
      </c>
      <c r="B7101" t="s">
        <v>178</v>
      </c>
      <c r="C7101" t="s">
        <v>10175</v>
      </c>
      <c r="D7101" t="s">
        <v>17416</v>
      </c>
      <c r="E7101" t="s">
        <v>23639</v>
      </c>
      <c r="F7101" t="s">
        <v>30052</v>
      </c>
      <c r="G7101" t="s">
        <v>30059</v>
      </c>
      <c r="H7101" t="s">
        <v>15498</v>
      </c>
      <c r="I7101" t="s">
        <v>30096</v>
      </c>
      <c r="J7101" t="s">
        <v>30857</v>
      </c>
      <c r="K7101" t="s">
        <v>39029</v>
      </c>
      <c r="M7101" t="s">
        <v>39467</v>
      </c>
      <c r="N7101" t="s">
        <v>43166</v>
      </c>
      <c r="O7101" t="s">
        <v>43167</v>
      </c>
      <c r="P7101">
        <v>0</v>
      </c>
      <c r="Q7101">
        <v>4</v>
      </c>
      <c r="R7101" t="s">
        <v>43173</v>
      </c>
      <c r="S7101" t="s">
        <v>43374</v>
      </c>
      <c r="T7101" t="s">
        <v>44837</v>
      </c>
      <c r="U7101" t="s">
        <v>45512</v>
      </c>
      <c r="W7101" t="s">
        <v>39467</v>
      </c>
      <c r="X7101" t="s">
        <v>43174</v>
      </c>
    </row>
    <row r="7102" spans="1:24">
      <c r="A7102">
        <f>HYPERLINK("https://www.philgeps.gov.ph/GEPSNONPILOT/Tender/SplashBidNoticeAbstractUI.aspx?menuIndex=3&amp;refID=7077117&amp;Result=3","7077117")</f>
        <v>0</v>
      </c>
      <c r="B7102" t="s">
        <v>1779</v>
      </c>
      <c r="C7102" t="s">
        <v>10176</v>
      </c>
      <c r="D7102" t="s">
        <v>17444</v>
      </c>
      <c r="E7102" t="s">
        <v>23640</v>
      </c>
      <c r="F7102" t="s">
        <v>30052</v>
      </c>
      <c r="G7102" t="s">
        <v>30058</v>
      </c>
      <c r="H7102" t="s">
        <v>30067</v>
      </c>
      <c r="I7102" t="s">
        <v>3693</v>
      </c>
      <c r="J7102" t="s">
        <v>30671</v>
      </c>
      <c r="K7102" t="s">
        <v>39128</v>
      </c>
      <c r="M7102" t="s">
        <v>41720</v>
      </c>
      <c r="N7102" t="s">
        <v>43166</v>
      </c>
      <c r="O7102" t="s">
        <v>43167</v>
      </c>
      <c r="P7102">
        <v>0</v>
      </c>
      <c r="Q7102">
        <v>3</v>
      </c>
      <c r="R7102" t="s">
        <v>43173</v>
      </c>
      <c r="S7102" t="s">
        <v>43374</v>
      </c>
      <c r="T7102" t="s">
        <v>44758</v>
      </c>
      <c r="U7102" t="s">
        <v>50949</v>
      </c>
      <c r="W7102" t="s">
        <v>41720</v>
      </c>
      <c r="X7102" t="s">
        <v>43174</v>
      </c>
    </row>
    <row r="7103" spans="1:24">
      <c r="A7103">
        <f>HYPERLINK("https://www.philgeps.gov.ph/GEPSNONPILOT/Tender/SplashBidNoticeAbstractUI.aspx?menuIndex=3&amp;refID=7077140&amp;Result=3","7077140")</f>
        <v>0</v>
      </c>
      <c r="B7103" t="s">
        <v>723</v>
      </c>
      <c r="C7103" t="s">
        <v>10177</v>
      </c>
      <c r="D7103" t="s">
        <v>17459</v>
      </c>
      <c r="E7103" t="s">
        <v>23641</v>
      </c>
      <c r="F7103" t="s">
        <v>30052</v>
      </c>
      <c r="G7103" t="s">
        <v>30058</v>
      </c>
      <c r="H7103" t="s">
        <v>15498</v>
      </c>
      <c r="I7103" t="s">
        <v>30111</v>
      </c>
      <c r="J7103" t="s">
        <v>31236</v>
      </c>
      <c r="K7103" t="s">
        <v>39032</v>
      </c>
      <c r="M7103" t="s">
        <v>40034</v>
      </c>
      <c r="N7103" t="s">
        <v>43166</v>
      </c>
      <c r="O7103" t="s">
        <v>43167</v>
      </c>
      <c r="P7103">
        <v>0</v>
      </c>
      <c r="Q7103">
        <v>2</v>
      </c>
      <c r="R7103" t="s">
        <v>43173</v>
      </c>
      <c r="S7103" t="s">
        <v>43374</v>
      </c>
      <c r="T7103" t="s">
        <v>44807</v>
      </c>
      <c r="U7103" t="s">
        <v>50950</v>
      </c>
      <c r="W7103" t="s">
        <v>40034</v>
      </c>
      <c r="X7103" t="s">
        <v>43174</v>
      </c>
    </row>
    <row r="7104" spans="1:24">
      <c r="A7104">
        <f>HYPERLINK("https://www.philgeps.gov.ph/GEPSNONPILOT/Tender/SplashBidNoticeAbstractUI.aspx?menuIndex=3&amp;refID=7077128&amp;Result=3","7077128")</f>
        <v>0</v>
      </c>
      <c r="B7104" t="s">
        <v>2248</v>
      </c>
      <c r="C7104" t="s">
        <v>10178</v>
      </c>
      <c r="D7104" t="s">
        <v>17424</v>
      </c>
      <c r="E7104" t="s">
        <v>23642</v>
      </c>
      <c r="F7104" t="s">
        <v>30052</v>
      </c>
      <c r="G7104" t="s">
        <v>30065</v>
      </c>
      <c r="H7104" t="s">
        <v>30068</v>
      </c>
      <c r="I7104" t="s">
        <v>30068</v>
      </c>
      <c r="J7104" t="s">
        <v>34595</v>
      </c>
      <c r="K7104" t="s">
        <v>39031</v>
      </c>
      <c r="M7104" t="s">
        <v>41726</v>
      </c>
      <c r="N7104" t="s">
        <v>43166</v>
      </c>
      <c r="O7104" t="s">
        <v>43167</v>
      </c>
      <c r="P7104">
        <v>0</v>
      </c>
      <c r="Q7104">
        <v>9</v>
      </c>
      <c r="R7104" t="s">
        <v>43173</v>
      </c>
      <c r="S7104" t="s">
        <v>43374</v>
      </c>
      <c r="T7104" t="s">
        <v>44734</v>
      </c>
      <c r="U7104" t="s">
        <v>50951</v>
      </c>
      <c r="W7104" t="s">
        <v>41726</v>
      </c>
      <c r="X7104" t="s">
        <v>43174</v>
      </c>
    </row>
    <row r="7105" spans="1:24">
      <c r="A7105">
        <f>HYPERLINK("https://www.philgeps.gov.ph/GEPSNONPILOT/Tender/SplashBidNoticeAbstractUI.aspx?menuIndex=3&amp;refID=7077150&amp;Result=3","7077150")</f>
        <v>0</v>
      </c>
      <c r="B7105" t="s">
        <v>1840</v>
      </c>
      <c r="C7105" t="s">
        <v>10179</v>
      </c>
      <c r="D7105" t="s">
        <v>17449</v>
      </c>
      <c r="E7105" t="s">
        <v>23643</v>
      </c>
      <c r="F7105" t="s">
        <v>30052</v>
      </c>
      <c r="G7105" t="s">
        <v>30058</v>
      </c>
      <c r="H7105" t="s">
        <v>15498</v>
      </c>
      <c r="I7105" t="s">
        <v>30125</v>
      </c>
      <c r="J7105" t="s">
        <v>34596</v>
      </c>
      <c r="K7105" t="s">
        <v>39029</v>
      </c>
      <c r="M7105" t="s">
        <v>41265</v>
      </c>
      <c r="N7105" t="s">
        <v>43166</v>
      </c>
      <c r="O7105" t="s">
        <v>43167</v>
      </c>
      <c r="P7105">
        <v>0</v>
      </c>
      <c r="Q7105">
        <v>4</v>
      </c>
      <c r="R7105" t="s">
        <v>43173</v>
      </c>
      <c r="S7105" t="s">
        <v>43374</v>
      </c>
      <c r="T7105" t="s">
        <v>44796</v>
      </c>
      <c r="U7105" t="s">
        <v>50952</v>
      </c>
      <c r="V7105" t="s">
        <v>57557</v>
      </c>
      <c r="W7105" t="s">
        <v>41265</v>
      </c>
      <c r="X7105" t="s">
        <v>43174</v>
      </c>
    </row>
    <row r="7106" spans="1:24">
      <c r="A7106">
        <f>HYPERLINK("https://www.philgeps.gov.ph/GEPSNONPILOT/Tender/SplashBidNoticeAbstractUI.aspx?menuIndex=3&amp;refID=7077107&amp;Result=3","7077107")</f>
        <v>0</v>
      </c>
      <c r="B7106" t="s">
        <v>2249</v>
      </c>
      <c r="C7106" t="s">
        <v>10180</v>
      </c>
      <c r="E7106" t="s">
        <v>23644</v>
      </c>
      <c r="F7106" t="s">
        <v>30052</v>
      </c>
      <c r="G7106" t="s">
        <v>30058</v>
      </c>
      <c r="H7106" t="s">
        <v>30067</v>
      </c>
      <c r="I7106" t="s">
        <v>3693</v>
      </c>
      <c r="J7106" t="s">
        <v>34597</v>
      </c>
      <c r="K7106" t="s">
        <v>39025</v>
      </c>
      <c r="M7106" t="s">
        <v>41727</v>
      </c>
      <c r="N7106" t="s">
        <v>43166</v>
      </c>
      <c r="O7106" t="s">
        <v>43167</v>
      </c>
      <c r="P7106">
        <v>0</v>
      </c>
      <c r="Q7106">
        <v>10</v>
      </c>
      <c r="R7106" t="s">
        <v>43173</v>
      </c>
      <c r="S7106" t="s">
        <v>43374</v>
      </c>
      <c r="T7106" t="s">
        <v>45048</v>
      </c>
      <c r="U7106" t="s">
        <v>50953</v>
      </c>
      <c r="V7106" t="s">
        <v>57558</v>
      </c>
      <c r="W7106" t="s">
        <v>41727</v>
      </c>
      <c r="X7106" t="s">
        <v>43174</v>
      </c>
    </row>
    <row r="7107" spans="1:24">
      <c r="A7107">
        <f>HYPERLINK("https://www.philgeps.gov.ph/GEPSNONPILOT/Tender/SplashBidNoticeAbstractUI.aspx?menuIndex=3&amp;refID=7077207&amp;Result=3","7077207")</f>
        <v>0</v>
      </c>
      <c r="B7107" t="s">
        <v>123</v>
      </c>
      <c r="C7107" t="s">
        <v>10181</v>
      </c>
      <c r="D7107" t="s">
        <v>17472</v>
      </c>
      <c r="E7107" t="s">
        <v>23645</v>
      </c>
      <c r="F7107" t="s">
        <v>30052</v>
      </c>
      <c r="G7107" t="s">
        <v>30059</v>
      </c>
      <c r="H7107" t="s">
        <v>15498</v>
      </c>
      <c r="I7107" t="s">
        <v>6691</v>
      </c>
      <c r="J7107" t="s">
        <v>32002</v>
      </c>
      <c r="K7107" t="s">
        <v>39025</v>
      </c>
      <c r="M7107" t="s">
        <v>39412</v>
      </c>
      <c r="N7107" t="s">
        <v>43166</v>
      </c>
      <c r="O7107" t="s">
        <v>43167</v>
      </c>
      <c r="P7107">
        <v>0</v>
      </c>
      <c r="Q7107">
        <v>0</v>
      </c>
      <c r="R7107" t="s">
        <v>43173</v>
      </c>
      <c r="S7107" t="s">
        <v>43374</v>
      </c>
      <c r="T7107" t="s">
        <v>44956</v>
      </c>
      <c r="U7107" t="s">
        <v>50954</v>
      </c>
      <c r="W7107" t="s">
        <v>39412</v>
      </c>
      <c r="X7107" t="s">
        <v>43174</v>
      </c>
    </row>
    <row r="7108" spans="1:24">
      <c r="A7108">
        <f>HYPERLINK("https://www.philgeps.gov.ph/GEPSNONPILOT/Tender/SplashBidNoticeAbstractUI.aspx?menuIndex=3&amp;refID=7077108&amp;Result=3","7077108")</f>
        <v>0</v>
      </c>
      <c r="B7108" t="s">
        <v>2239</v>
      </c>
      <c r="C7108" t="s">
        <v>10182</v>
      </c>
      <c r="D7108" t="s">
        <v>17471</v>
      </c>
      <c r="E7108" t="s">
        <v>23646</v>
      </c>
      <c r="F7108" t="s">
        <v>30052</v>
      </c>
      <c r="G7108" t="s">
        <v>30058</v>
      </c>
      <c r="H7108" t="s">
        <v>15498</v>
      </c>
      <c r="I7108" t="s">
        <v>3736</v>
      </c>
      <c r="J7108" t="s">
        <v>34598</v>
      </c>
      <c r="K7108" t="s">
        <v>39025</v>
      </c>
      <c r="M7108" t="s">
        <v>41715</v>
      </c>
      <c r="N7108" t="s">
        <v>43166</v>
      </c>
      <c r="O7108" t="s">
        <v>43167</v>
      </c>
      <c r="P7108">
        <v>0</v>
      </c>
      <c r="Q7108">
        <v>0</v>
      </c>
      <c r="R7108" t="s">
        <v>43173</v>
      </c>
      <c r="S7108" t="s">
        <v>43374</v>
      </c>
      <c r="T7108" t="s">
        <v>44713</v>
      </c>
      <c r="U7108" t="s">
        <v>50955</v>
      </c>
      <c r="W7108" t="s">
        <v>41715</v>
      </c>
      <c r="X7108" t="s">
        <v>43174</v>
      </c>
    </row>
    <row r="7109" spans="1:24">
      <c r="A7109">
        <f>HYPERLINK("https://www.philgeps.gov.ph/GEPSNONPILOT/Tender/SplashBidNoticeAbstractUI.aspx?menuIndex=3&amp;refID=7077206&amp;Result=3","7077206")</f>
        <v>0</v>
      </c>
      <c r="B7109" t="s">
        <v>1467</v>
      </c>
      <c r="C7109" t="s">
        <v>10183</v>
      </c>
      <c r="D7109" t="s">
        <v>17464</v>
      </c>
      <c r="E7109" t="s">
        <v>23647</v>
      </c>
      <c r="F7109" t="s">
        <v>30052</v>
      </c>
      <c r="G7109" t="s">
        <v>30058</v>
      </c>
      <c r="H7109" t="s">
        <v>30067</v>
      </c>
      <c r="I7109" t="s">
        <v>3693</v>
      </c>
      <c r="J7109" t="s">
        <v>30532</v>
      </c>
      <c r="K7109" t="s">
        <v>39187</v>
      </c>
      <c r="M7109" t="s">
        <v>40849</v>
      </c>
      <c r="N7109" t="s">
        <v>43166</v>
      </c>
      <c r="O7109" t="s">
        <v>43167</v>
      </c>
      <c r="P7109">
        <v>0</v>
      </c>
      <c r="Q7109">
        <v>0</v>
      </c>
      <c r="R7109" t="s">
        <v>43173</v>
      </c>
      <c r="S7109" t="s">
        <v>43374</v>
      </c>
      <c r="T7109" t="s">
        <v>45049</v>
      </c>
      <c r="U7109" t="s">
        <v>50956</v>
      </c>
      <c r="W7109" t="s">
        <v>40849</v>
      </c>
      <c r="X7109" t="s">
        <v>43174</v>
      </c>
    </row>
    <row r="7110" spans="1:24">
      <c r="A7110">
        <f>HYPERLINK("https://www.philgeps.gov.ph/GEPSNONPILOT/Tender/SplashBidNoticeAbstractUI.aspx?menuIndex=3&amp;refID=7077204&amp;Result=3","7077204")</f>
        <v>0</v>
      </c>
      <c r="B7110" t="s">
        <v>2250</v>
      </c>
      <c r="C7110" t="s">
        <v>10184</v>
      </c>
      <c r="D7110" t="s">
        <v>17442</v>
      </c>
      <c r="E7110" t="s">
        <v>23648</v>
      </c>
      <c r="F7110" t="s">
        <v>30052</v>
      </c>
      <c r="G7110" t="s">
        <v>30058</v>
      </c>
      <c r="H7110" t="s">
        <v>15498</v>
      </c>
      <c r="I7110" t="s">
        <v>9238</v>
      </c>
      <c r="J7110" t="s">
        <v>34599</v>
      </c>
      <c r="K7110" t="s">
        <v>39023</v>
      </c>
      <c r="M7110" t="s">
        <v>41728</v>
      </c>
      <c r="N7110" t="s">
        <v>43166</v>
      </c>
      <c r="O7110" t="s">
        <v>43167</v>
      </c>
      <c r="P7110">
        <v>0</v>
      </c>
      <c r="Q7110">
        <v>33</v>
      </c>
      <c r="R7110" t="s">
        <v>43173</v>
      </c>
      <c r="S7110" t="s">
        <v>43374</v>
      </c>
      <c r="T7110" t="s">
        <v>44725</v>
      </c>
      <c r="U7110" t="s">
        <v>50957</v>
      </c>
      <c r="V7110" t="s">
        <v>57559</v>
      </c>
      <c r="W7110" t="s">
        <v>41728</v>
      </c>
      <c r="X7110" t="s">
        <v>43174</v>
      </c>
    </row>
    <row r="7111" spans="1:24">
      <c r="A7111">
        <f>HYPERLINK("https://www.philgeps.gov.ph/GEPSNONPILOT/Tender/SplashBidNoticeAbstractUI.aspx?menuIndex=3&amp;refID=7077202&amp;Result=3","7077202")</f>
        <v>0</v>
      </c>
      <c r="B7111" t="s">
        <v>2251</v>
      </c>
      <c r="C7111" t="s">
        <v>10185</v>
      </c>
      <c r="D7111" t="s">
        <v>17468</v>
      </c>
      <c r="E7111" t="s">
        <v>17892</v>
      </c>
      <c r="F7111" t="s">
        <v>30052</v>
      </c>
      <c r="G7111" t="s">
        <v>30059</v>
      </c>
      <c r="H7111" t="s">
        <v>15498</v>
      </c>
      <c r="I7111" t="s">
        <v>30096</v>
      </c>
      <c r="J7111" t="s">
        <v>34600</v>
      </c>
      <c r="K7111" t="s">
        <v>39036</v>
      </c>
      <c r="M7111" t="s">
        <v>41729</v>
      </c>
      <c r="N7111" t="s">
        <v>43166</v>
      </c>
      <c r="O7111" t="s">
        <v>43167</v>
      </c>
      <c r="P7111">
        <v>0</v>
      </c>
      <c r="Q7111">
        <v>1</v>
      </c>
      <c r="R7111" t="s">
        <v>43173</v>
      </c>
      <c r="S7111" t="s">
        <v>43374</v>
      </c>
      <c r="T7111" t="s">
        <v>44715</v>
      </c>
      <c r="U7111" t="s">
        <v>50958</v>
      </c>
      <c r="W7111" t="s">
        <v>41729</v>
      </c>
      <c r="X7111" t="s">
        <v>43174</v>
      </c>
    </row>
    <row r="7112" spans="1:24">
      <c r="A7112">
        <f>HYPERLINK("https://www.philgeps.gov.ph/GEPSNONPILOT/Tender/SplashBidNoticeAbstractUI.aspx?menuIndex=3&amp;refID=7077205&amp;Result=3","7077205")</f>
        <v>0</v>
      </c>
      <c r="B7112" t="s">
        <v>2244</v>
      </c>
      <c r="C7112" t="s">
        <v>10186</v>
      </c>
      <c r="D7112" t="s">
        <v>17422</v>
      </c>
      <c r="E7112" t="s">
        <v>23633</v>
      </c>
      <c r="F7112" t="s">
        <v>30052</v>
      </c>
      <c r="G7112" t="s">
        <v>30058</v>
      </c>
      <c r="H7112" t="s">
        <v>15498</v>
      </c>
      <c r="I7112" t="s">
        <v>3736</v>
      </c>
      <c r="J7112" t="s">
        <v>34601</v>
      </c>
      <c r="K7112" t="s">
        <v>39034</v>
      </c>
      <c r="M7112" t="s">
        <v>41722</v>
      </c>
      <c r="N7112" t="s">
        <v>43166</v>
      </c>
      <c r="O7112" t="s">
        <v>43167</v>
      </c>
      <c r="P7112">
        <v>0</v>
      </c>
      <c r="Q7112">
        <v>0</v>
      </c>
      <c r="R7112" t="s">
        <v>43173</v>
      </c>
      <c r="S7112" t="s">
        <v>43374</v>
      </c>
      <c r="T7112" t="s">
        <v>45055</v>
      </c>
      <c r="U7112" t="s">
        <v>50959</v>
      </c>
      <c r="W7112" t="s">
        <v>41722</v>
      </c>
      <c r="X7112" t="s">
        <v>43174</v>
      </c>
    </row>
    <row r="7113" spans="1:24">
      <c r="A7113">
        <f>HYPERLINK("https://www.philgeps.gov.ph/GEPSNONPILOT/Tender/SplashBidNoticeAbstractUI.aspx?menuIndex=3&amp;refID=7077203&amp;Result=3","7077203")</f>
        <v>0</v>
      </c>
      <c r="B7113" t="s">
        <v>2247</v>
      </c>
      <c r="C7113" t="s">
        <v>10187</v>
      </c>
      <c r="D7113" t="s">
        <v>17459</v>
      </c>
      <c r="E7113" t="s">
        <v>23649</v>
      </c>
      <c r="F7113" t="s">
        <v>30054</v>
      </c>
      <c r="G7113" t="s">
        <v>30059</v>
      </c>
      <c r="H7113" t="s">
        <v>15498</v>
      </c>
      <c r="I7113" t="s">
        <v>4650</v>
      </c>
      <c r="J7113" t="s">
        <v>34602</v>
      </c>
      <c r="K7113" t="s">
        <v>39017</v>
      </c>
      <c r="M7113" t="s">
        <v>41725</v>
      </c>
      <c r="N7113" t="s">
        <v>43166</v>
      </c>
      <c r="O7113" t="s">
        <v>43167</v>
      </c>
      <c r="P7113">
        <v>0</v>
      </c>
      <c r="Q7113">
        <v>3</v>
      </c>
      <c r="R7113" t="s">
        <v>43173</v>
      </c>
      <c r="S7113" t="s">
        <v>43374</v>
      </c>
      <c r="T7113" t="s">
        <v>44705</v>
      </c>
      <c r="U7113" t="s">
        <v>50960</v>
      </c>
      <c r="W7113" t="s">
        <v>41725</v>
      </c>
      <c r="X7113" t="s">
        <v>43174</v>
      </c>
    </row>
    <row r="7114" spans="1:24">
      <c r="A7114">
        <f>HYPERLINK("https://www.philgeps.gov.ph/GEPSNONPILOT/Tender/SplashBidNoticeAbstractUI.aspx?menuIndex=3&amp;refID=7077190&amp;Result=3","7077190")</f>
        <v>0</v>
      </c>
      <c r="B7114" t="s">
        <v>1181</v>
      </c>
      <c r="C7114" t="s">
        <v>10188</v>
      </c>
      <c r="D7114" t="s">
        <v>17444</v>
      </c>
      <c r="E7114" t="s">
        <v>23650</v>
      </c>
      <c r="F7114" t="s">
        <v>30052</v>
      </c>
      <c r="G7114" t="s">
        <v>30058</v>
      </c>
      <c r="H7114" t="s">
        <v>30067</v>
      </c>
      <c r="I7114" t="s">
        <v>3693</v>
      </c>
      <c r="J7114" t="s">
        <v>34603</v>
      </c>
      <c r="K7114" t="s">
        <v>39025</v>
      </c>
      <c r="M7114" t="s">
        <v>41300</v>
      </c>
      <c r="N7114" t="s">
        <v>43166</v>
      </c>
      <c r="O7114" t="s">
        <v>43167</v>
      </c>
      <c r="P7114">
        <v>0</v>
      </c>
      <c r="Q7114">
        <v>5</v>
      </c>
      <c r="R7114" t="s">
        <v>43173</v>
      </c>
      <c r="S7114" t="s">
        <v>43374</v>
      </c>
      <c r="T7114" t="s">
        <v>44813</v>
      </c>
      <c r="U7114" t="s">
        <v>50961</v>
      </c>
      <c r="W7114" t="s">
        <v>41300</v>
      </c>
      <c r="X7114" t="s">
        <v>43174</v>
      </c>
    </row>
    <row r="7115" spans="1:24">
      <c r="A7115">
        <f>HYPERLINK("https://www.philgeps.gov.ph/GEPSNONPILOT/Tender/SplashBidNoticeAbstractUI.aspx?menuIndex=3&amp;refID=7077194&amp;Result=3","7077194")</f>
        <v>0</v>
      </c>
      <c r="B7115" t="s">
        <v>1467</v>
      </c>
      <c r="C7115" t="s">
        <v>10189</v>
      </c>
      <c r="D7115" t="s">
        <v>17464</v>
      </c>
      <c r="E7115" t="s">
        <v>23651</v>
      </c>
      <c r="F7115" t="s">
        <v>30052</v>
      </c>
      <c r="G7115" t="s">
        <v>30058</v>
      </c>
      <c r="H7115" t="s">
        <v>15498</v>
      </c>
      <c r="I7115" t="s">
        <v>3852</v>
      </c>
      <c r="J7115" t="s">
        <v>34604</v>
      </c>
      <c r="K7115" t="s">
        <v>39029</v>
      </c>
      <c r="M7115" t="s">
        <v>40849</v>
      </c>
      <c r="N7115" t="s">
        <v>43166</v>
      </c>
      <c r="O7115" t="s">
        <v>43167</v>
      </c>
      <c r="P7115">
        <v>0</v>
      </c>
      <c r="Q7115">
        <v>2</v>
      </c>
      <c r="R7115" t="s">
        <v>43173</v>
      </c>
      <c r="S7115" t="s">
        <v>43374</v>
      </c>
      <c r="T7115" t="s">
        <v>45049</v>
      </c>
      <c r="U7115" t="s">
        <v>50962</v>
      </c>
      <c r="W7115" t="s">
        <v>40849</v>
      </c>
      <c r="X7115" t="s">
        <v>43174</v>
      </c>
    </row>
    <row r="7116" spans="1:24">
      <c r="A7116">
        <f>HYPERLINK("https://www.philgeps.gov.ph/GEPSNONPILOT/Tender/SplashBidNoticeAbstractUI.aspx?menuIndex=3&amp;refID=7077173&amp;Result=3","7077173")</f>
        <v>0</v>
      </c>
      <c r="B7116" t="s">
        <v>1779</v>
      </c>
      <c r="C7116" t="s">
        <v>10190</v>
      </c>
      <c r="D7116" t="s">
        <v>17444</v>
      </c>
      <c r="E7116" t="s">
        <v>23652</v>
      </c>
      <c r="F7116" t="s">
        <v>30052</v>
      </c>
      <c r="G7116" t="s">
        <v>30059</v>
      </c>
      <c r="H7116" t="s">
        <v>30067</v>
      </c>
      <c r="I7116" t="s">
        <v>3693</v>
      </c>
      <c r="J7116" t="s">
        <v>30504</v>
      </c>
      <c r="K7116" t="s">
        <v>39179</v>
      </c>
      <c r="M7116" t="s">
        <v>41720</v>
      </c>
      <c r="N7116" t="s">
        <v>43166</v>
      </c>
      <c r="O7116" t="s">
        <v>43167</v>
      </c>
      <c r="P7116">
        <v>0</v>
      </c>
      <c r="Q7116">
        <v>0</v>
      </c>
      <c r="R7116" t="s">
        <v>43173</v>
      </c>
      <c r="S7116" t="s">
        <v>43374</v>
      </c>
      <c r="T7116" t="s">
        <v>44698</v>
      </c>
      <c r="U7116" t="s">
        <v>50963</v>
      </c>
      <c r="W7116" t="s">
        <v>41720</v>
      </c>
      <c r="X7116" t="s">
        <v>43174</v>
      </c>
    </row>
    <row r="7117" spans="1:24">
      <c r="A7117">
        <f>HYPERLINK("https://www.philgeps.gov.ph/GEPSNONPILOT/Tender/SplashBidNoticeAbstractUI.aspx?menuIndex=3&amp;refID=7077118&amp;Result=3","7077118")</f>
        <v>0</v>
      </c>
      <c r="B7117" t="s">
        <v>2252</v>
      </c>
      <c r="C7117" t="s">
        <v>10191</v>
      </c>
      <c r="D7117" t="s">
        <v>17443</v>
      </c>
      <c r="E7117" t="s">
        <v>23653</v>
      </c>
      <c r="F7117" t="s">
        <v>30052</v>
      </c>
      <c r="G7117" t="s">
        <v>30059</v>
      </c>
      <c r="H7117" t="s">
        <v>15498</v>
      </c>
      <c r="I7117" t="s">
        <v>30084</v>
      </c>
      <c r="J7117" t="s">
        <v>34605</v>
      </c>
      <c r="K7117" t="s">
        <v>39019</v>
      </c>
      <c r="M7117" t="s">
        <v>41730</v>
      </c>
      <c r="N7117" t="s">
        <v>43166</v>
      </c>
      <c r="O7117" t="s">
        <v>43167</v>
      </c>
      <c r="P7117">
        <v>0</v>
      </c>
      <c r="Q7117">
        <v>4</v>
      </c>
      <c r="R7117" t="s">
        <v>43173</v>
      </c>
      <c r="S7117" t="s">
        <v>43374</v>
      </c>
      <c r="T7117" t="s">
        <v>44837</v>
      </c>
      <c r="U7117" t="s">
        <v>50964</v>
      </c>
      <c r="W7117" t="s">
        <v>41730</v>
      </c>
      <c r="X7117" t="s">
        <v>43174</v>
      </c>
    </row>
    <row r="7118" spans="1:24">
      <c r="A7118">
        <f>HYPERLINK("https://www.philgeps.gov.ph/GEPSNONPILOT/Tender/SplashBidNoticeAbstractUI.aspx?menuIndex=3&amp;refID=7077110&amp;Result=3","7077110")</f>
        <v>0</v>
      </c>
      <c r="B7118" t="s">
        <v>123</v>
      </c>
      <c r="C7118" t="s">
        <v>10192</v>
      </c>
      <c r="D7118" t="s">
        <v>17472</v>
      </c>
      <c r="E7118" t="s">
        <v>23654</v>
      </c>
      <c r="F7118" t="s">
        <v>30052</v>
      </c>
      <c r="G7118" t="s">
        <v>30059</v>
      </c>
      <c r="H7118" t="s">
        <v>15498</v>
      </c>
      <c r="I7118" t="s">
        <v>6691</v>
      </c>
      <c r="J7118" t="s">
        <v>34606</v>
      </c>
      <c r="K7118" t="s">
        <v>39025</v>
      </c>
      <c r="M7118" t="s">
        <v>39412</v>
      </c>
      <c r="N7118" t="s">
        <v>43166</v>
      </c>
      <c r="O7118" t="s">
        <v>43167</v>
      </c>
      <c r="P7118">
        <v>0</v>
      </c>
      <c r="Q7118">
        <v>0</v>
      </c>
      <c r="R7118" t="s">
        <v>43173</v>
      </c>
      <c r="S7118" t="s">
        <v>43374</v>
      </c>
      <c r="T7118" t="s">
        <v>44956</v>
      </c>
      <c r="U7118" t="s">
        <v>50965</v>
      </c>
      <c r="W7118" t="s">
        <v>39412</v>
      </c>
      <c r="X7118" t="s">
        <v>43174</v>
      </c>
    </row>
    <row r="7119" spans="1:24">
      <c r="A7119">
        <f>HYPERLINK("https://www.philgeps.gov.ph/GEPSNONPILOT/Tender/SplashBidNoticeAbstractUI.aspx?menuIndex=3&amp;refID=7077171&amp;Result=3","7077171")</f>
        <v>0</v>
      </c>
      <c r="B7119" t="s">
        <v>2253</v>
      </c>
      <c r="C7119" t="s">
        <v>10193</v>
      </c>
      <c r="D7119" t="s">
        <v>17470</v>
      </c>
      <c r="E7119" t="s">
        <v>23655</v>
      </c>
      <c r="F7119" t="s">
        <v>30052</v>
      </c>
      <c r="G7119" t="s">
        <v>30058</v>
      </c>
      <c r="H7119" t="s">
        <v>30067</v>
      </c>
      <c r="I7119" t="s">
        <v>3693</v>
      </c>
      <c r="J7119" t="s">
        <v>30555</v>
      </c>
      <c r="K7119" t="s">
        <v>39157</v>
      </c>
      <c r="M7119" t="s">
        <v>41731</v>
      </c>
      <c r="N7119" t="s">
        <v>43166</v>
      </c>
      <c r="O7119" t="s">
        <v>43167</v>
      </c>
      <c r="P7119">
        <v>0</v>
      </c>
      <c r="Q7119">
        <v>2</v>
      </c>
      <c r="R7119" t="s">
        <v>43173</v>
      </c>
      <c r="S7119" t="s">
        <v>43374</v>
      </c>
      <c r="T7119" t="s">
        <v>44758</v>
      </c>
      <c r="U7119" t="s">
        <v>50966</v>
      </c>
      <c r="V7119" t="s">
        <v>56838</v>
      </c>
      <c r="W7119" t="s">
        <v>41731</v>
      </c>
      <c r="X7119" t="s">
        <v>43174</v>
      </c>
    </row>
    <row r="7120" spans="1:24">
      <c r="A7120">
        <f>HYPERLINK("https://www.philgeps.gov.ph/GEPSNONPILOT/Tender/SplashBidNoticeAbstractUI.aspx?menuIndex=3&amp;refID=7077162&amp;Result=3","7077162")</f>
        <v>0</v>
      </c>
      <c r="B7120" t="s">
        <v>2250</v>
      </c>
      <c r="C7120" t="s">
        <v>10194</v>
      </c>
      <c r="D7120" t="s">
        <v>17442</v>
      </c>
      <c r="E7120" t="s">
        <v>23656</v>
      </c>
      <c r="F7120" t="s">
        <v>30052</v>
      </c>
      <c r="G7120" t="s">
        <v>30058</v>
      </c>
      <c r="H7120" t="s">
        <v>15498</v>
      </c>
      <c r="I7120" t="s">
        <v>4598</v>
      </c>
      <c r="J7120" t="s">
        <v>34607</v>
      </c>
      <c r="K7120" t="s">
        <v>39023</v>
      </c>
      <c r="M7120" t="s">
        <v>41728</v>
      </c>
      <c r="N7120" t="s">
        <v>43166</v>
      </c>
      <c r="O7120" t="s">
        <v>43167</v>
      </c>
      <c r="P7120">
        <v>0</v>
      </c>
      <c r="Q7120">
        <v>14</v>
      </c>
      <c r="R7120" t="s">
        <v>43173</v>
      </c>
      <c r="S7120" t="s">
        <v>43374</v>
      </c>
      <c r="T7120" t="s">
        <v>44725</v>
      </c>
      <c r="U7120" t="s">
        <v>50967</v>
      </c>
      <c r="V7120" t="s">
        <v>57560</v>
      </c>
      <c r="W7120" t="s">
        <v>41728</v>
      </c>
      <c r="X7120" t="s">
        <v>43174</v>
      </c>
    </row>
    <row r="7121" spans="1:24">
      <c r="A7121">
        <f>HYPERLINK("https://www.philgeps.gov.ph/GEPSNONPILOT/Tender/SplashBidNoticeAbstractUI.aspx?menuIndex=3&amp;refID=7076544&amp;Result=3","7076544")</f>
        <v>0</v>
      </c>
      <c r="B7121" t="s">
        <v>2254</v>
      </c>
      <c r="C7121" t="s">
        <v>10195</v>
      </c>
      <c r="D7121" t="s">
        <v>17437</v>
      </c>
      <c r="E7121" t="s">
        <v>23657</v>
      </c>
      <c r="F7121" t="s">
        <v>30052</v>
      </c>
      <c r="G7121" t="s">
        <v>30058</v>
      </c>
      <c r="H7121" t="s">
        <v>30068</v>
      </c>
      <c r="I7121" t="s">
        <v>30166</v>
      </c>
      <c r="J7121" t="s">
        <v>34608</v>
      </c>
      <c r="K7121" t="s">
        <v>39031</v>
      </c>
      <c r="M7121" t="s">
        <v>41732</v>
      </c>
      <c r="N7121" t="s">
        <v>43166</v>
      </c>
      <c r="O7121" t="s">
        <v>43167</v>
      </c>
      <c r="P7121">
        <v>0</v>
      </c>
      <c r="Q7121">
        <v>6</v>
      </c>
      <c r="R7121" t="s">
        <v>43173</v>
      </c>
      <c r="S7121" t="s">
        <v>43374</v>
      </c>
      <c r="T7121" t="s">
        <v>44805</v>
      </c>
      <c r="U7121" t="s">
        <v>50968</v>
      </c>
      <c r="W7121" t="s">
        <v>58668</v>
      </c>
      <c r="X7121" t="s">
        <v>43174</v>
      </c>
    </row>
    <row r="7122" spans="1:24">
      <c r="A7122">
        <f>HYPERLINK("https://www.philgeps.gov.ph/GEPSNONPILOT/Tender/SplashBidNoticeAbstractUI.aspx?menuIndex=3&amp;refID=7077185&amp;Result=3","7077185")</f>
        <v>0</v>
      </c>
      <c r="B7122" t="s">
        <v>123</v>
      </c>
      <c r="C7122" t="s">
        <v>10196</v>
      </c>
      <c r="D7122" t="s">
        <v>17472</v>
      </c>
      <c r="E7122" t="s">
        <v>23658</v>
      </c>
      <c r="F7122" t="s">
        <v>30052</v>
      </c>
      <c r="G7122" t="s">
        <v>30059</v>
      </c>
      <c r="H7122" t="s">
        <v>15498</v>
      </c>
      <c r="I7122" t="s">
        <v>6691</v>
      </c>
      <c r="J7122" t="s">
        <v>34609</v>
      </c>
      <c r="K7122" t="s">
        <v>39025</v>
      </c>
      <c r="M7122" t="s">
        <v>39412</v>
      </c>
      <c r="N7122" t="s">
        <v>43166</v>
      </c>
      <c r="O7122" t="s">
        <v>43167</v>
      </c>
      <c r="P7122">
        <v>0</v>
      </c>
      <c r="Q7122">
        <v>0</v>
      </c>
      <c r="R7122" t="s">
        <v>43173</v>
      </c>
      <c r="S7122" t="s">
        <v>43374</v>
      </c>
      <c r="T7122" t="s">
        <v>44956</v>
      </c>
      <c r="U7122" t="s">
        <v>50969</v>
      </c>
      <c r="W7122" t="s">
        <v>39412</v>
      </c>
      <c r="X7122" t="s">
        <v>43174</v>
      </c>
    </row>
    <row r="7123" spans="1:24">
      <c r="A7123">
        <f>HYPERLINK("https://www.philgeps.gov.ph/GEPSNONPILOT/Tender/SplashBidNoticeAbstractUI.aspx?menuIndex=3&amp;refID=7077158&amp;Result=3","7077158")</f>
        <v>0</v>
      </c>
      <c r="B7123" t="s">
        <v>1424</v>
      </c>
      <c r="C7123" t="s">
        <v>10197</v>
      </c>
      <c r="D7123" t="s">
        <v>17413</v>
      </c>
      <c r="E7123" t="s">
        <v>23659</v>
      </c>
      <c r="F7123" t="s">
        <v>30052</v>
      </c>
      <c r="G7123" t="s">
        <v>30059</v>
      </c>
      <c r="H7123" t="s">
        <v>15498</v>
      </c>
      <c r="I7123" t="s">
        <v>30094</v>
      </c>
      <c r="J7123" t="s">
        <v>34610</v>
      </c>
      <c r="K7123" t="s">
        <v>39025</v>
      </c>
      <c r="L7123" t="s">
        <v>1424</v>
      </c>
      <c r="M7123" t="s">
        <v>40802</v>
      </c>
      <c r="N7123" t="s">
        <v>43166</v>
      </c>
      <c r="O7123" t="s">
        <v>43167</v>
      </c>
      <c r="P7123">
        <v>0</v>
      </c>
      <c r="Q7123">
        <v>1</v>
      </c>
      <c r="R7123" t="s">
        <v>43173</v>
      </c>
      <c r="S7123" t="s">
        <v>43374</v>
      </c>
      <c r="T7123" t="s">
        <v>44844</v>
      </c>
      <c r="U7123" t="s">
        <v>48391</v>
      </c>
      <c r="W7123" t="s">
        <v>40802</v>
      </c>
      <c r="X7123" t="s">
        <v>43174</v>
      </c>
    </row>
    <row r="7124" spans="1:24">
      <c r="A7124">
        <f>HYPERLINK("https://www.philgeps.gov.ph/GEPSNONPILOT/Tender/SplashBidNoticeAbstractUI.aspx?menuIndex=3&amp;refID=7076543&amp;Result=3","7076543")</f>
        <v>0</v>
      </c>
      <c r="B7124" t="s">
        <v>1779</v>
      </c>
      <c r="C7124" t="s">
        <v>10198</v>
      </c>
      <c r="D7124" t="s">
        <v>17444</v>
      </c>
      <c r="E7124" t="s">
        <v>23660</v>
      </c>
      <c r="F7124" t="s">
        <v>30052</v>
      </c>
      <c r="G7124" t="s">
        <v>30058</v>
      </c>
      <c r="H7124" t="s">
        <v>15498</v>
      </c>
      <c r="I7124" t="s">
        <v>30106</v>
      </c>
      <c r="J7124" t="s">
        <v>34611</v>
      </c>
      <c r="K7124" t="s">
        <v>39034</v>
      </c>
      <c r="M7124" t="s">
        <v>41621</v>
      </c>
      <c r="N7124" t="s">
        <v>43166</v>
      </c>
      <c r="O7124" t="s">
        <v>43167</v>
      </c>
      <c r="P7124">
        <v>0</v>
      </c>
      <c r="Q7124">
        <v>0</v>
      </c>
      <c r="R7124" t="s">
        <v>43173</v>
      </c>
      <c r="S7124" t="s">
        <v>43374</v>
      </c>
      <c r="T7124" t="s">
        <v>44758</v>
      </c>
      <c r="U7124" t="s">
        <v>50970</v>
      </c>
      <c r="V7124" t="s">
        <v>57534</v>
      </c>
      <c r="W7124" t="s">
        <v>41621</v>
      </c>
      <c r="X7124" t="s">
        <v>43174</v>
      </c>
    </row>
    <row r="7125" spans="1:24">
      <c r="A7125">
        <f>HYPERLINK("https://www.philgeps.gov.ph/GEPSNONPILOT/Tender/SplashBidNoticeAbstractUI.aspx?menuIndex=3&amp;refID=7077254&amp;Result=3","7077254")</f>
        <v>0</v>
      </c>
      <c r="B7125" t="s">
        <v>1710</v>
      </c>
      <c r="C7125" t="s">
        <v>10199</v>
      </c>
      <c r="D7125" t="s">
        <v>17414</v>
      </c>
      <c r="E7125" t="s">
        <v>19271</v>
      </c>
      <c r="F7125" t="s">
        <v>30052</v>
      </c>
      <c r="G7125" t="s">
        <v>30059</v>
      </c>
      <c r="H7125" t="s">
        <v>15498</v>
      </c>
      <c r="I7125" t="s">
        <v>30084</v>
      </c>
      <c r="J7125" t="s">
        <v>30405</v>
      </c>
      <c r="K7125" t="s">
        <v>39037</v>
      </c>
      <c r="M7125" t="s">
        <v>41125</v>
      </c>
      <c r="N7125" t="s">
        <v>43166</v>
      </c>
      <c r="O7125" t="s">
        <v>43167</v>
      </c>
      <c r="P7125">
        <v>0</v>
      </c>
      <c r="Q7125">
        <v>1</v>
      </c>
      <c r="R7125" t="s">
        <v>43173</v>
      </c>
      <c r="S7125" t="s">
        <v>43374</v>
      </c>
      <c r="T7125" t="s">
        <v>44864</v>
      </c>
      <c r="U7125" t="s">
        <v>48983</v>
      </c>
      <c r="W7125" t="s">
        <v>41125</v>
      </c>
      <c r="X7125" t="s">
        <v>43174</v>
      </c>
    </row>
    <row r="7126" spans="1:24">
      <c r="A7126">
        <f>HYPERLINK("https://www.philgeps.gov.ph/GEPSNONPILOT/Tender/SplashBidNoticeAbstractUI.aspx?menuIndex=3&amp;refID=7077253&amp;Result=3","7077253")</f>
        <v>0</v>
      </c>
      <c r="B7126" t="s">
        <v>2255</v>
      </c>
      <c r="C7126" t="s">
        <v>10200</v>
      </c>
      <c r="E7126" t="s">
        <v>23661</v>
      </c>
      <c r="F7126" t="s">
        <v>30052</v>
      </c>
      <c r="G7126" t="s">
        <v>30058</v>
      </c>
      <c r="H7126" t="s">
        <v>30067</v>
      </c>
      <c r="I7126" t="s">
        <v>3693</v>
      </c>
      <c r="J7126" t="s">
        <v>34612</v>
      </c>
      <c r="K7126" t="s">
        <v>39188</v>
      </c>
      <c r="M7126" t="s">
        <v>41733</v>
      </c>
      <c r="N7126" t="s">
        <v>43166</v>
      </c>
      <c r="O7126" t="s">
        <v>43167</v>
      </c>
      <c r="P7126">
        <v>0</v>
      </c>
      <c r="Q7126">
        <v>17</v>
      </c>
      <c r="R7126" t="s">
        <v>43173</v>
      </c>
      <c r="S7126" t="s">
        <v>43374</v>
      </c>
      <c r="T7126" t="s">
        <v>44873</v>
      </c>
      <c r="U7126" t="s">
        <v>50971</v>
      </c>
      <c r="V7126" t="s">
        <v>57561</v>
      </c>
      <c r="W7126" t="s">
        <v>41733</v>
      </c>
      <c r="X7126" t="s">
        <v>43174</v>
      </c>
    </row>
    <row r="7127" spans="1:24">
      <c r="A7127">
        <f>HYPERLINK("https://www.philgeps.gov.ph/GEPSNONPILOT/Tender/SplashBidNoticeAbstractUI.aspx?menuIndex=3&amp;refID=7077235&amp;Result=3","7077235")</f>
        <v>0</v>
      </c>
      <c r="B7127" t="s">
        <v>264</v>
      </c>
      <c r="C7127" t="s">
        <v>10201</v>
      </c>
      <c r="D7127" t="s">
        <v>17449</v>
      </c>
      <c r="E7127" t="s">
        <v>17958</v>
      </c>
      <c r="F7127" t="s">
        <v>30052</v>
      </c>
      <c r="G7127" t="s">
        <v>30058</v>
      </c>
      <c r="H7127" t="s">
        <v>15498</v>
      </c>
      <c r="I7127" t="s">
        <v>30106</v>
      </c>
      <c r="J7127" t="s">
        <v>34613</v>
      </c>
      <c r="K7127" t="s">
        <v>39029</v>
      </c>
      <c r="M7127" t="s">
        <v>39556</v>
      </c>
      <c r="N7127" t="s">
        <v>43166</v>
      </c>
      <c r="O7127" t="s">
        <v>43167</v>
      </c>
      <c r="P7127">
        <v>0</v>
      </c>
      <c r="Q7127">
        <v>1</v>
      </c>
      <c r="R7127" t="s">
        <v>43173</v>
      </c>
      <c r="S7127" t="s">
        <v>43374</v>
      </c>
      <c r="T7127" t="s">
        <v>44832</v>
      </c>
      <c r="U7127" t="s">
        <v>50972</v>
      </c>
      <c r="W7127" t="s">
        <v>39556</v>
      </c>
      <c r="X7127" t="s">
        <v>43174</v>
      </c>
    </row>
    <row r="7128" spans="1:24">
      <c r="A7128">
        <f>HYPERLINK("https://www.philgeps.gov.ph/GEPSNONPILOT/Tender/SplashBidNoticeAbstractUI.aspx?menuIndex=3&amp;refID=7077163&amp;Result=3","7077163")</f>
        <v>0</v>
      </c>
      <c r="B7128" t="s">
        <v>264</v>
      </c>
      <c r="C7128" t="s">
        <v>10202</v>
      </c>
      <c r="D7128" t="s">
        <v>17449</v>
      </c>
      <c r="E7128" t="s">
        <v>17958</v>
      </c>
      <c r="F7128" t="s">
        <v>30052</v>
      </c>
      <c r="G7128" t="s">
        <v>30058</v>
      </c>
      <c r="H7128" t="s">
        <v>15498</v>
      </c>
      <c r="I7128" t="s">
        <v>4650</v>
      </c>
      <c r="J7128" t="s">
        <v>30315</v>
      </c>
      <c r="K7128" t="s">
        <v>39017</v>
      </c>
      <c r="M7128" t="s">
        <v>39556</v>
      </c>
      <c r="N7128" t="s">
        <v>43166</v>
      </c>
      <c r="O7128" t="s">
        <v>43167</v>
      </c>
      <c r="P7128">
        <v>0</v>
      </c>
      <c r="Q7128">
        <v>1</v>
      </c>
      <c r="R7128" t="s">
        <v>43173</v>
      </c>
      <c r="S7128" t="s">
        <v>43374</v>
      </c>
      <c r="T7128" t="s">
        <v>44777</v>
      </c>
      <c r="U7128" t="s">
        <v>50973</v>
      </c>
      <c r="W7128" t="s">
        <v>39556</v>
      </c>
      <c r="X7128" t="s">
        <v>43174</v>
      </c>
    </row>
    <row r="7129" spans="1:24">
      <c r="A7129">
        <f>HYPERLINK("https://www.philgeps.gov.ph/GEPSNONPILOT/Tender/SplashBidNoticeAbstractUI.aspx?menuIndex=3&amp;refID=7077252&amp;Result=3","7077252")</f>
        <v>0</v>
      </c>
      <c r="B7129" t="s">
        <v>1467</v>
      </c>
      <c r="C7129" t="s">
        <v>10203</v>
      </c>
      <c r="D7129" t="s">
        <v>17464</v>
      </c>
      <c r="E7129" t="s">
        <v>23662</v>
      </c>
      <c r="F7129" t="s">
        <v>30052</v>
      </c>
      <c r="G7129" t="s">
        <v>30058</v>
      </c>
      <c r="H7129" t="s">
        <v>15498</v>
      </c>
      <c r="I7129" t="s">
        <v>30076</v>
      </c>
      <c r="J7129" t="s">
        <v>34414</v>
      </c>
      <c r="K7129" t="s">
        <v>39029</v>
      </c>
      <c r="M7129" t="s">
        <v>40849</v>
      </c>
      <c r="N7129" t="s">
        <v>43166</v>
      </c>
      <c r="O7129" t="s">
        <v>43167</v>
      </c>
      <c r="P7129">
        <v>0</v>
      </c>
      <c r="Q7129">
        <v>3</v>
      </c>
      <c r="R7129" t="s">
        <v>43173</v>
      </c>
      <c r="S7129" t="s">
        <v>43374</v>
      </c>
      <c r="T7129" t="s">
        <v>45049</v>
      </c>
      <c r="U7129" t="s">
        <v>50974</v>
      </c>
      <c r="W7129" t="s">
        <v>40849</v>
      </c>
      <c r="X7129" t="s">
        <v>43174</v>
      </c>
    </row>
    <row r="7130" spans="1:24">
      <c r="A7130">
        <f>HYPERLINK("https://www.philgeps.gov.ph/GEPSNONPILOT/Tender/SplashBidNoticeAbstractUI.aspx?menuIndex=3&amp;refID=7077178&amp;Result=3","7077178")</f>
        <v>0</v>
      </c>
      <c r="B7130" t="s">
        <v>1424</v>
      </c>
      <c r="C7130" t="s">
        <v>10204</v>
      </c>
      <c r="D7130" t="s">
        <v>17413</v>
      </c>
      <c r="E7130" t="s">
        <v>23663</v>
      </c>
      <c r="F7130" t="s">
        <v>30052</v>
      </c>
      <c r="G7130" t="s">
        <v>30059</v>
      </c>
      <c r="H7130" t="s">
        <v>15498</v>
      </c>
      <c r="I7130" t="s">
        <v>30094</v>
      </c>
      <c r="J7130" t="s">
        <v>34614</v>
      </c>
      <c r="K7130" t="s">
        <v>39025</v>
      </c>
      <c r="L7130" t="s">
        <v>1424</v>
      </c>
      <c r="M7130" t="s">
        <v>40802</v>
      </c>
      <c r="N7130" t="s">
        <v>43166</v>
      </c>
      <c r="O7130" t="s">
        <v>43167</v>
      </c>
      <c r="P7130">
        <v>0</v>
      </c>
      <c r="Q7130">
        <v>1</v>
      </c>
      <c r="R7130" t="s">
        <v>43173</v>
      </c>
      <c r="S7130" t="s">
        <v>43374</v>
      </c>
      <c r="T7130" t="s">
        <v>44844</v>
      </c>
      <c r="U7130" t="s">
        <v>48391</v>
      </c>
      <c r="W7130" t="s">
        <v>40802</v>
      </c>
      <c r="X7130" t="s">
        <v>43174</v>
      </c>
    </row>
    <row r="7131" spans="1:24">
      <c r="A7131">
        <f>HYPERLINK("https://www.philgeps.gov.ph/GEPSNONPILOT/Tender/SplashBidNoticeAbstractUI.aspx?menuIndex=3&amp;refID=7077245&amp;Result=3","7077245")</f>
        <v>0</v>
      </c>
      <c r="B7131" t="s">
        <v>1779</v>
      </c>
      <c r="C7131" t="s">
        <v>10205</v>
      </c>
      <c r="D7131" t="s">
        <v>17444</v>
      </c>
      <c r="E7131" t="s">
        <v>23664</v>
      </c>
      <c r="F7131" t="s">
        <v>30052</v>
      </c>
      <c r="G7131" t="s">
        <v>30059</v>
      </c>
      <c r="H7131" t="s">
        <v>30067</v>
      </c>
      <c r="I7131" t="s">
        <v>3693</v>
      </c>
      <c r="J7131" t="s">
        <v>30235</v>
      </c>
      <c r="K7131" t="s">
        <v>39088</v>
      </c>
      <c r="M7131" t="s">
        <v>41720</v>
      </c>
      <c r="N7131" t="s">
        <v>43166</v>
      </c>
      <c r="O7131" t="s">
        <v>43167</v>
      </c>
      <c r="P7131">
        <v>0</v>
      </c>
      <c r="Q7131">
        <v>0</v>
      </c>
      <c r="R7131" t="s">
        <v>43173</v>
      </c>
      <c r="S7131" t="s">
        <v>43374</v>
      </c>
      <c r="T7131" t="s">
        <v>44698</v>
      </c>
      <c r="U7131" t="s">
        <v>50975</v>
      </c>
      <c r="W7131" t="s">
        <v>41720</v>
      </c>
      <c r="X7131" t="s">
        <v>43174</v>
      </c>
    </row>
    <row r="7132" spans="1:24">
      <c r="A7132">
        <f>HYPERLINK("https://www.philgeps.gov.ph/GEPSNONPILOT/Tender/SplashBidNoticeAbstractUI.aspx?menuIndex=3&amp;refID=7077239&amp;Result=3","7077239")</f>
        <v>0</v>
      </c>
      <c r="B7132" t="s">
        <v>920</v>
      </c>
      <c r="C7132" t="s">
        <v>10206</v>
      </c>
      <c r="D7132" t="s">
        <v>17415</v>
      </c>
      <c r="E7132" t="s">
        <v>23665</v>
      </c>
      <c r="F7132" t="s">
        <v>30052</v>
      </c>
      <c r="G7132" t="s">
        <v>30058</v>
      </c>
      <c r="H7132" t="s">
        <v>15498</v>
      </c>
      <c r="I7132" t="s">
        <v>3852</v>
      </c>
      <c r="J7132" t="s">
        <v>31481</v>
      </c>
      <c r="K7132" t="s">
        <v>39017</v>
      </c>
      <c r="M7132" t="s">
        <v>40243</v>
      </c>
      <c r="N7132" t="s">
        <v>43166</v>
      </c>
      <c r="O7132" t="s">
        <v>43167</v>
      </c>
      <c r="P7132">
        <v>0</v>
      </c>
      <c r="Q7132">
        <v>0</v>
      </c>
      <c r="R7132" t="s">
        <v>43173</v>
      </c>
      <c r="S7132" t="s">
        <v>43374</v>
      </c>
      <c r="T7132" t="s">
        <v>44832</v>
      </c>
      <c r="U7132" t="s">
        <v>50976</v>
      </c>
      <c r="W7132" t="s">
        <v>40243</v>
      </c>
      <c r="X7132" t="s">
        <v>43174</v>
      </c>
    </row>
    <row r="7133" spans="1:24">
      <c r="A7133">
        <f>HYPERLINK("https://www.philgeps.gov.ph/GEPSNONPILOT/Tender/SplashBidNoticeAbstractUI.aspx?menuIndex=3&amp;refID=7077237&amp;Result=3","7077237")</f>
        <v>0</v>
      </c>
      <c r="B7133" t="s">
        <v>2250</v>
      </c>
      <c r="C7133" t="s">
        <v>10207</v>
      </c>
      <c r="D7133" t="s">
        <v>17442</v>
      </c>
      <c r="E7133" t="s">
        <v>23666</v>
      </c>
      <c r="F7133" t="s">
        <v>30052</v>
      </c>
      <c r="G7133" t="s">
        <v>30058</v>
      </c>
      <c r="H7133" t="s">
        <v>30069</v>
      </c>
      <c r="I7133" t="s">
        <v>4598</v>
      </c>
      <c r="J7133" t="s">
        <v>34615</v>
      </c>
      <c r="K7133" t="s">
        <v>39031</v>
      </c>
      <c r="M7133" t="s">
        <v>41728</v>
      </c>
      <c r="N7133" t="s">
        <v>43166</v>
      </c>
      <c r="O7133" t="s">
        <v>43167</v>
      </c>
      <c r="P7133">
        <v>0</v>
      </c>
      <c r="Q7133">
        <v>14</v>
      </c>
      <c r="R7133" t="s">
        <v>43173</v>
      </c>
      <c r="S7133" t="s">
        <v>43374</v>
      </c>
      <c r="T7133" t="s">
        <v>44725</v>
      </c>
      <c r="U7133" t="s">
        <v>50967</v>
      </c>
      <c r="V7133" t="s">
        <v>57562</v>
      </c>
      <c r="W7133" t="s">
        <v>41728</v>
      </c>
      <c r="X7133" t="s">
        <v>43174</v>
      </c>
    </row>
    <row r="7134" spans="1:24">
      <c r="A7134">
        <f>HYPERLINK("https://www.philgeps.gov.ph/GEPSNONPILOT/Tender/SplashBidNoticeAbstractUI.aspx?menuIndex=3&amp;refID=7077234&amp;Result=3","7077234")</f>
        <v>0</v>
      </c>
      <c r="B7134" t="s">
        <v>2256</v>
      </c>
      <c r="C7134" t="s">
        <v>10208</v>
      </c>
      <c r="D7134" t="s">
        <v>17449</v>
      </c>
      <c r="E7134" t="s">
        <v>23667</v>
      </c>
      <c r="F7134" t="s">
        <v>30052</v>
      </c>
      <c r="G7134" t="s">
        <v>30058</v>
      </c>
      <c r="H7134" t="s">
        <v>30067</v>
      </c>
      <c r="I7134" t="s">
        <v>3693</v>
      </c>
      <c r="J7134" t="s">
        <v>30559</v>
      </c>
      <c r="K7134" t="s">
        <v>39046</v>
      </c>
      <c r="M7134" t="s">
        <v>41734</v>
      </c>
      <c r="N7134" t="s">
        <v>43166</v>
      </c>
      <c r="O7134" t="s">
        <v>43167</v>
      </c>
      <c r="P7134">
        <v>0</v>
      </c>
      <c r="Q7134">
        <v>1</v>
      </c>
      <c r="R7134" t="s">
        <v>43173</v>
      </c>
      <c r="S7134" t="s">
        <v>43374</v>
      </c>
      <c r="T7134" t="s">
        <v>44704</v>
      </c>
      <c r="U7134" t="s">
        <v>50977</v>
      </c>
      <c r="W7134" t="s">
        <v>41734</v>
      </c>
      <c r="X7134" t="s">
        <v>43174</v>
      </c>
    </row>
    <row r="7135" spans="1:24">
      <c r="A7135">
        <f>HYPERLINK("https://www.philgeps.gov.ph/GEPSNONPILOT/Tender/SplashBidNoticeAbstractUI.aspx?menuIndex=3&amp;refID=7077231&amp;Result=3","7077231")</f>
        <v>0</v>
      </c>
      <c r="B7135" t="s">
        <v>1467</v>
      </c>
      <c r="C7135" t="s">
        <v>10209</v>
      </c>
      <c r="D7135" t="s">
        <v>17464</v>
      </c>
      <c r="E7135" t="s">
        <v>23668</v>
      </c>
      <c r="F7135" t="s">
        <v>30052</v>
      </c>
      <c r="G7135" t="s">
        <v>30058</v>
      </c>
      <c r="H7135" t="s">
        <v>15498</v>
      </c>
      <c r="I7135" t="s">
        <v>30074</v>
      </c>
      <c r="J7135" t="s">
        <v>30215</v>
      </c>
      <c r="K7135" t="s">
        <v>39029</v>
      </c>
      <c r="M7135" t="s">
        <v>40849</v>
      </c>
      <c r="N7135" t="s">
        <v>43166</v>
      </c>
      <c r="O7135" t="s">
        <v>43167</v>
      </c>
      <c r="P7135">
        <v>0</v>
      </c>
      <c r="Q7135">
        <v>7</v>
      </c>
      <c r="R7135" t="s">
        <v>43173</v>
      </c>
      <c r="S7135" t="s">
        <v>43374</v>
      </c>
      <c r="T7135" t="s">
        <v>45049</v>
      </c>
      <c r="U7135" t="s">
        <v>50978</v>
      </c>
      <c r="W7135" t="s">
        <v>40849</v>
      </c>
      <c r="X7135" t="s">
        <v>43174</v>
      </c>
    </row>
    <row r="7136" spans="1:24">
      <c r="A7136">
        <f>HYPERLINK("https://www.philgeps.gov.ph/GEPSNONPILOT/Tender/SplashBidNoticeAbstractUI.aspx?menuIndex=3&amp;refID=7077289&amp;Result=3","7077289")</f>
        <v>0</v>
      </c>
      <c r="B7136" t="s">
        <v>1305</v>
      </c>
      <c r="C7136" t="s">
        <v>10210</v>
      </c>
      <c r="D7136" t="s">
        <v>17449</v>
      </c>
      <c r="E7136" t="s">
        <v>23669</v>
      </c>
      <c r="F7136" t="s">
        <v>30052</v>
      </c>
      <c r="G7136" t="s">
        <v>30059</v>
      </c>
      <c r="H7136" t="s">
        <v>15498</v>
      </c>
      <c r="I7136" t="s">
        <v>30088</v>
      </c>
      <c r="J7136" t="s">
        <v>30299</v>
      </c>
      <c r="K7136" t="s">
        <v>39025</v>
      </c>
      <c r="M7136" t="s">
        <v>40672</v>
      </c>
      <c r="N7136" t="s">
        <v>43166</v>
      </c>
      <c r="O7136" t="s">
        <v>43167</v>
      </c>
      <c r="P7136">
        <v>0</v>
      </c>
      <c r="Q7136">
        <v>16</v>
      </c>
      <c r="R7136" t="s">
        <v>43173</v>
      </c>
      <c r="S7136" t="s">
        <v>43374</v>
      </c>
      <c r="T7136" t="s">
        <v>44773</v>
      </c>
      <c r="U7136" t="s">
        <v>50979</v>
      </c>
      <c r="W7136" t="s">
        <v>40672</v>
      </c>
      <c r="X7136" t="s">
        <v>43174</v>
      </c>
    </row>
    <row r="7137" spans="1:24">
      <c r="A7137">
        <f>HYPERLINK("https://www.philgeps.gov.ph/GEPSNONPILOT/Tender/SplashBidNoticeAbstractUI.aspx?menuIndex=3&amp;refID=7077296&amp;Result=3","7077296")</f>
        <v>0</v>
      </c>
      <c r="B7137" t="s">
        <v>1779</v>
      </c>
      <c r="C7137" t="s">
        <v>10211</v>
      </c>
      <c r="D7137" t="s">
        <v>17444</v>
      </c>
      <c r="E7137" t="s">
        <v>23670</v>
      </c>
      <c r="F7137" t="s">
        <v>30052</v>
      </c>
      <c r="G7137" t="s">
        <v>30059</v>
      </c>
      <c r="H7137" t="s">
        <v>30067</v>
      </c>
      <c r="I7137" t="s">
        <v>3693</v>
      </c>
      <c r="J7137" t="s">
        <v>32121</v>
      </c>
      <c r="K7137" t="s">
        <v>39027</v>
      </c>
      <c r="M7137" t="s">
        <v>41720</v>
      </c>
      <c r="N7137" t="s">
        <v>43166</v>
      </c>
      <c r="O7137" t="s">
        <v>43167</v>
      </c>
      <c r="P7137">
        <v>0</v>
      </c>
      <c r="Q7137">
        <v>1</v>
      </c>
      <c r="R7137" t="s">
        <v>43173</v>
      </c>
      <c r="S7137" t="s">
        <v>43374</v>
      </c>
      <c r="T7137" t="s">
        <v>44698</v>
      </c>
      <c r="U7137" t="s">
        <v>50980</v>
      </c>
      <c r="W7137" t="s">
        <v>41720</v>
      </c>
      <c r="X7137" t="s">
        <v>43174</v>
      </c>
    </row>
    <row r="7138" spans="1:24">
      <c r="A7138">
        <f>HYPERLINK("https://www.philgeps.gov.ph/GEPSNONPILOT/Tender/SplashBidNoticeAbstractUI.aspx?menuIndex=3&amp;refID=7077183&amp;Result=3","7077183")</f>
        <v>0</v>
      </c>
      <c r="B7138" t="s">
        <v>1467</v>
      </c>
      <c r="C7138" t="s">
        <v>10212</v>
      </c>
      <c r="D7138" t="s">
        <v>17464</v>
      </c>
      <c r="E7138" t="s">
        <v>23671</v>
      </c>
      <c r="F7138" t="s">
        <v>30052</v>
      </c>
      <c r="G7138" t="s">
        <v>30058</v>
      </c>
      <c r="H7138" t="s">
        <v>15498</v>
      </c>
      <c r="I7138" t="s">
        <v>30076</v>
      </c>
      <c r="J7138" t="s">
        <v>34616</v>
      </c>
      <c r="K7138" t="s">
        <v>39029</v>
      </c>
      <c r="M7138" t="s">
        <v>40849</v>
      </c>
      <c r="N7138" t="s">
        <v>43166</v>
      </c>
      <c r="O7138" t="s">
        <v>43167</v>
      </c>
      <c r="P7138">
        <v>0</v>
      </c>
      <c r="Q7138">
        <v>5</v>
      </c>
      <c r="R7138" t="s">
        <v>43173</v>
      </c>
      <c r="S7138" t="s">
        <v>43374</v>
      </c>
      <c r="T7138" t="s">
        <v>45049</v>
      </c>
      <c r="U7138" t="s">
        <v>50981</v>
      </c>
      <c r="W7138" t="s">
        <v>40849</v>
      </c>
      <c r="X7138" t="s">
        <v>43174</v>
      </c>
    </row>
    <row r="7139" spans="1:24">
      <c r="A7139">
        <f>HYPERLINK("https://www.philgeps.gov.ph/GEPSNONPILOT/Tender/SplashBidNoticeAbstractUI.aspx?menuIndex=3&amp;refID=7077246&amp;Result=3","7077246")</f>
        <v>0</v>
      </c>
      <c r="B7139" t="s">
        <v>311</v>
      </c>
      <c r="C7139" t="s">
        <v>10213</v>
      </c>
      <c r="D7139" t="s">
        <v>17429</v>
      </c>
      <c r="E7139" t="s">
        <v>23672</v>
      </c>
      <c r="F7139" t="s">
        <v>30052</v>
      </c>
      <c r="G7139" t="s">
        <v>30058</v>
      </c>
      <c r="H7139" t="s">
        <v>15498</v>
      </c>
      <c r="I7139" t="s">
        <v>30088</v>
      </c>
      <c r="J7139" t="s">
        <v>34617</v>
      </c>
      <c r="K7139" t="s">
        <v>39029</v>
      </c>
      <c r="M7139" t="s">
        <v>39607</v>
      </c>
      <c r="N7139" t="s">
        <v>43166</v>
      </c>
      <c r="O7139" t="s">
        <v>43167</v>
      </c>
      <c r="P7139">
        <v>0</v>
      </c>
      <c r="Q7139">
        <v>9</v>
      </c>
      <c r="R7139" t="s">
        <v>43173</v>
      </c>
      <c r="S7139" t="s">
        <v>43374</v>
      </c>
      <c r="T7139" t="s">
        <v>45009</v>
      </c>
      <c r="U7139" t="s">
        <v>50982</v>
      </c>
      <c r="W7139" t="s">
        <v>39607</v>
      </c>
      <c r="X7139" t="s">
        <v>43174</v>
      </c>
    </row>
    <row r="7140" spans="1:24">
      <c r="A7140">
        <f>HYPERLINK("https://www.philgeps.gov.ph/GEPSNONPILOT/Tender/SplashBidNoticeAbstractUI.aspx?menuIndex=3&amp;refID=7077293&amp;Result=3","7077293")</f>
        <v>0</v>
      </c>
      <c r="B7140" t="s">
        <v>311</v>
      </c>
      <c r="C7140" t="s">
        <v>10214</v>
      </c>
      <c r="D7140" t="s">
        <v>17429</v>
      </c>
      <c r="E7140" t="s">
        <v>23673</v>
      </c>
      <c r="F7140" t="s">
        <v>30052</v>
      </c>
      <c r="G7140" t="s">
        <v>30058</v>
      </c>
      <c r="H7140" t="s">
        <v>15498</v>
      </c>
      <c r="I7140" t="s">
        <v>30088</v>
      </c>
      <c r="J7140" t="s">
        <v>34618</v>
      </c>
      <c r="K7140" t="s">
        <v>39029</v>
      </c>
      <c r="M7140" t="s">
        <v>39607</v>
      </c>
      <c r="N7140" t="s">
        <v>43166</v>
      </c>
      <c r="O7140" t="s">
        <v>43167</v>
      </c>
      <c r="P7140">
        <v>0</v>
      </c>
      <c r="Q7140">
        <v>9</v>
      </c>
      <c r="R7140" t="s">
        <v>43173</v>
      </c>
      <c r="S7140" t="s">
        <v>43374</v>
      </c>
      <c r="T7140" t="s">
        <v>45009</v>
      </c>
      <c r="U7140" t="s">
        <v>50983</v>
      </c>
      <c r="W7140" t="s">
        <v>39607</v>
      </c>
      <c r="X7140" t="s">
        <v>43174</v>
      </c>
    </row>
    <row r="7141" spans="1:24">
      <c r="A7141">
        <f>HYPERLINK("https://www.philgeps.gov.ph/GEPSNONPILOT/Tender/SplashBidNoticeAbstractUI.aspx?menuIndex=3&amp;refID=7077244&amp;Result=3","7077244")</f>
        <v>0</v>
      </c>
      <c r="B7141" t="s">
        <v>123</v>
      </c>
      <c r="C7141" t="s">
        <v>10215</v>
      </c>
      <c r="D7141" t="s">
        <v>17472</v>
      </c>
      <c r="E7141" t="s">
        <v>23674</v>
      </c>
      <c r="F7141" t="s">
        <v>30052</v>
      </c>
      <c r="G7141" t="s">
        <v>30059</v>
      </c>
      <c r="H7141" t="s">
        <v>15498</v>
      </c>
      <c r="I7141" t="s">
        <v>6691</v>
      </c>
      <c r="J7141" t="s">
        <v>34619</v>
      </c>
      <c r="K7141" t="s">
        <v>39025</v>
      </c>
      <c r="M7141" t="s">
        <v>39412</v>
      </c>
      <c r="N7141" t="s">
        <v>43166</v>
      </c>
      <c r="O7141" t="s">
        <v>43167</v>
      </c>
      <c r="P7141">
        <v>0</v>
      </c>
      <c r="Q7141">
        <v>0</v>
      </c>
      <c r="R7141" t="s">
        <v>43173</v>
      </c>
      <c r="S7141" t="s">
        <v>43374</v>
      </c>
      <c r="T7141" t="s">
        <v>44956</v>
      </c>
      <c r="U7141" t="s">
        <v>50984</v>
      </c>
      <c r="W7141" t="s">
        <v>39412</v>
      </c>
      <c r="X7141" t="s">
        <v>43174</v>
      </c>
    </row>
    <row r="7142" spans="1:24">
      <c r="A7142">
        <f>HYPERLINK("https://www.philgeps.gov.ph/GEPSNONPILOT/Tender/SplashBidNoticeAbstractUI.aspx?menuIndex=3&amp;refID=7077292&amp;Result=3","7077292")</f>
        <v>0</v>
      </c>
      <c r="B7142" t="s">
        <v>1023</v>
      </c>
      <c r="C7142" t="s">
        <v>10216</v>
      </c>
      <c r="D7142" t="s">
        <v>17456</v>
      </c>
      <c r="E7142" t="s">
        <v>23675</v>
      </c>
      <c r="F7142" t="s">
        <v>30052</v>
      </c>
      <c r="G7142" t="s">
        <v>30058</v>
      </c>
      <c r="H7142" t="s">
        <v>30067</v>
      </c>
      <c r="I7142" t="s">
        <v>3693</v>
      </c>
      <c r="J7142" t="s">
        <v>34620</v>
      </c>
      <c r="K7142" t="s">
        <v>39046</v>
      </c>
      <c r="M7142" t="s">
        <v>40352</v>
      </c>
      <c r="N7142" t="s">
        <v>43166</v>
      </c>
      <c r="O7142" t="s">
        <v>43167</v>
      </c>
      <c r="P7142">
        <v>0</v>
      </c>
      <c r="Q7142">
        <v>0</v>
      </c>
      <c r="R7142" t="s">
        <v>43173</v>
      </c>
      <c r="S7142" t="s">
        <v>43374</v>
      </c>
      <c r="T7142" t="s">
        <v>44807</v>
      </c>
      <c r="U7142" t="s">
        <v>50985</v>
      </c>
      <c r="W7142" t="s">
        <v>40352</v>
      </c>
      <c r="X7142" t="s">
        <v>43174</v>
      </c>
    </row>
    <row r="7143" spans="1:24">
      <c r="A7143">
        <f>HYPERLINK("https://www.philgeps.gov.ph/GEPSNONPILOT/Tender/SplashBidNoticeAbstractUI.aspx?menuIndex=3&amp;refID=7077288&amp;Result=3","7077288")</f>
        <v>0</v>
      </c>
      <c r="B7143" t="s">
        <v>2250</v>
      </c>
      <c r="C7143" t="s">
        <v>10217</v>
      </c>
      <c r="D7143" t="s">
        <v>17442</v>
      </c>
      <c r="E7143" t="s">
        <v>23676</v>
      </c>
      <c r="F7143" t="s">
        <v>30052</v>
      </c>
      <c r="G7143" t="s">
        <v>30058</v>
      </c>
      <c r="H7143" t="s">
        <v>15498</v>
      </c>
      <c r="I7143" t="s">
        <v>4650</v>
      </c>
      <c r="J7143" t="s">
        <v>34621</v>
      </c>
      <c r="K7143" t="s">
        <v>39023</v>
      </c>
      <c r="M7143" t="s">
        <v>41728</v>
      </c>
      <c r="N7143" t="s">
        <v>43166</v>
      </c>
      <c r="O7143" t="s">
        <v>43167</v>
      </c>
      <c r="P7143">
        <v>0</v>
      </c>
      <c r="Q7143">
        <v>9</v>
      </c>
      <c r="R7143" t="s">
        <v>43173</v>
      </c>
      <c r="S7143" t="s">
        <v>43374</v>
      </c>
      <c r="T7143" t="s">
        <v>44725</v>
      </c>
      <c r="U7143" t="s">
        <v>50967</v>
      </c>
      <c r="V7143" t="s">
        <v>57559</v>
      </c>
      <c r="W7143" t="s">
        <v>41728</v>
      </c>
      <c r="X7143" t="s">
        <v>43174</v>
      </c>
    </row>
    <row r="7144" spans="1:24">
      <c r="A7144">
        <f>HYPERLINK("https://www.philgeps.gov.ph/GEPSNONPILOT/Tender/SplashBidNoticeAbstractUI.aspx?menuIndex=3&amp;refID=7077236&amp;Result=3","7077236")</f>
        <v>0</v>
      </c>
      <c r="B7144" t="s">
        <v>1255</v>
      </c>
      <c r="C7144" t="s">
        <v>10218</v>
      </c>
      <c r="D7144" t="s">
        <v>17435</v>
      </c>
      <c r="E7144" t="s">
        <v>23677</v>
      </c>
      <c r="F7144" t="s">
        <v>30052</v>
      </c>
      <c r="G7144" t="s">
        <v>30058</v>
      </c>
      <c r="H7144" t="s">
        <v>30067</v>
      </c>
      <c r="I7144" t="s">
        <v>30093</v>
      </c>
      <c r="J7144" t="s">
        <v>34622</v>
      </c>
      <c r="K7144" t="s">
        <v>39119</v>
      </c>
      <c r="M7144" t="s">
        <v>40612</v>
      </c>
      <c r="N7144" t="s">
        <v>43166</v>
      </c>
      <c r="O7144" t="s">
        <v>43167</v>
      </c>
      <c r="Q7144">
        <v>5</v>
      </c>
      <c r="R7144" t="s">
        <v>43173</v>
      </c>
      <c r="S7144" t="s">
        <v>43380</v>
      </c>
      <c r="T7144" t="s">
        <v>44789</v>
      </c>
      <c r="U7144" t="s">
        <v>47955</v>
      </c>
      <c r="V7144" t="s">
        <v>57563</v>
      </c>
      <c r="W7144" t="s">
        <v>40612</v>
      </c>
      <c r="X7144" t="s">
        <v>43174</v>
      </c>
    </row>
    <row r="7145" spans="1:24">
      <c r="A7145">
        <f>HYPERLINK("https://www.philgeps.gov.ph/GEPSNONPILOT/Tender/SplashBidNoticeAbstractUI.aspx?menuIndex=3&amp;refID=7077281&amp;Result=3","7077281")</f>
        <v>0</v>
      </c>
      <c r="B7145" t="s">
        <v>1467</v>
      </c>
      <c r="C7145" t="s">
        <v>10219</v>
      </c>
      <c r="D7145" t="s">
        <v>17464</v>
      </c>
      <c r="E7145" t="s">
        <v>23678</v>
      </c>
      <c r="F7145" t="s">
        <v>30052</v>
      </c>
      <c r="G7145" t="s">
        <v>30058</v>
      </c>
      <c r="H7145" t="s">
        <v>15498</v>
      </c>
      <c r="I7145" t="s">
        <v>30076</v>
      </c>
      <c r="J7145" t="s">
        <v>34623</v>
      </c>
      <c r="K7145" t="s">
        <v>39029</v>
      </c>
      <c r="M7145" t="s">
        <v>40849</v>
      </c>
      <c r="N7145" t="s">
        <v>43166</v>
      </c>
      <c r="O7145" t="s">
        <v>43167</v>
      </c>
      <c r="P7145">
        <v>0</v>
      </c>
      <c r="Q7145">
        <v>2</v>
      </c>
      <c r="R7145" t="s">
        <v>43173</v>
      </c>
      <c r="S7145" t="s">
        <v>43374</v>
      </c>
      <c r="T7145" t="s">
        <v>45049</v>
      </c>
      <c r="U7145" t="s">
        <v>50986</v>
      </c>
      <c r="W7145" t="s">
        <v>40849</v>
      </c>
      <c r="X7145" t="s">
        <v>43174</v>
      </c>
    </row>
    <row r="7146" spans="1:24">
      <c r="A7146">
        <f>HYPERLINK("https://www.philgeps.gov.ph/GEPSNONPILOT/Tender/SplashBidNoticeAbstractUI.aspx?menuIndex=3&amp;refID=7077278&amp;Result=3","7077278")</f>
        <v>0</v>
      </c>
      <c r="B7146" t="s">
        <v>2021</v>
      </c>
      <c r="C7146" t="s">
        <v>10220</v>
      </c>
      <c r="D7146" t="s">
        <v>17476</v>
      </c>
      <c r="E7146" t="s">
        <v>23679</v>
      </c>
      <c r="F7146" t="s">
        <v>30052</v>
      </c>
      <c r="G7146" t="s">
        <v>30058</v>
      </c>
      <c r="H7146" t="s">
        <v>15498</v>
      </c>
      <c r="I7146" t="s">
        <v>30070</v>
      </c>
      <c r="J7146" t="s">
        <v>34624</v>
      </c>
      <c r="K7146" t="s">
        <v>39029</v>
      </c>
      <c r="M7146" t="s">
        <v>41466</v>
      </c>
      <c r="N7146" t="s">
        <v>43166</v>
      </c>
      <c r="O7146" t="s">
        <v>43167</v>
      </c>
      <c r="P7146">
        <v>0</v>
      </c>
      <c r="Q7146">
        <v>2</v>
      </c>
      <c r="R7146" t="s">
        <v>43173</v>
      </c>
      <c r="S7146" t="s">
        <v>43374</v>
      </c>
      <c r="T7146" t="s">
        <v>44832</v>
      </c>
      <c r="U7146" t="s">
        <v>50987</v>
      </c>
      <c r="W7146" t="s">
        <v>41466</v>
      </c>
      <c r="X7146" t="s">
        <v>43174</v>
      </c>
    </row>
    <row r="7147" spans="1:24">
      <c r="A7147">
        <f>HYPERLINK("https://www.philgeps.gov.ph/GEPSNONPILOT/Tender/SplashBidNoticeAbstractUI.aspx?menuIndex=3&amp;refID=7077275&amp;Result=3","7077275")</f>
        <v>0</v>
      </c>
      <c r="B7147" t="s">
        <v>123</v>
      </c>
      <c r="C7147" t="s">
        <v>10221</v>
      </c>
      <c r="D7147" t="s">
        <v>17472</v>
      </c>
      <c r="E7147" t="s">
        <v>23680</v>
      </c>
      <c r="F7147" t="s">
        <v>30052</v>
      </c>
      <c r="G7147" t="s">
        <v>30059</v>
      </c>
      <c r="H7147" t="s">
        <v>15498</v>
      </c>
      <c r="I7147" t="s">
        <v>6691</v>
      </c>
      <c r="J7147" t="s">
        <v>34625</v>
      </c>
      <c r="K7147" t="s">
        <v>39025</v>
      </c>
      <c r="M7147" t="s">
        <v>39412</v>
      </c>
      <c r="N7147" t="s">
        <v>43166</v>
      </c>
      <c r="O7147" t="s">
        <v>43167</v>
      </c>
      <c r="P7147">
        <v>0</v>
      </c>
      <c r="Q7147">
        <v>0</v>
      </c>
      <c r="R7147" t="s">
        <v>43173</v>
      </c>
      <c r="S7147" t="s">
        <v>43374</v>
      </c>
      <c r="T7147" t="s">
        <v>44956</v>
      </c>
      <c r="U7147" t="s">
        <v>50988</v>
      </c>
      <c r="W7147" t="s">
        <v>39412</v>
      </c>
      <c r="X7147" t="s">
        <v>43174</v>
      </c>
    </row>
    <row r="7148" spans="1:24">
      <c r="A7148">
        <f>HYPERLINK("https://www.philgeps.gov.ph/GEPSNONPILOT/Tender/SplashBidNoticeAbstractUI.aspx?menuIndex=3&amp;refID=7077274&amp;Result=3","7077274")</f>
        <v>0</v>
      </c>
      <c r="B7148" t="s">
        <v>1255</v>
      </c>
      <c r="C7148" t="s">
        <v>10222</v>
      </c>
      <c r="D7148" t="s">
        <v>17435</v>
      </c>
      <c r="E7148" t="s">
        <v>23681</v>
      </c>
      <c r="F7148" t="s">
        <v>30052</v>
      </c>
      <c r="G7148" t="s">
        <v>30058</v>
      </c>
      <c r="H7148" t="s">
        <v>30067</v>
      </c>
      <c r="I7148" t="s">
        <v>30093</v>
      </c>
      <c r="J7148" t="s">
        <v>34626</v>
      </c>
      <c r="K7148" t="s">
        <v>39033</v>
      </c>
      <c r="M7148" t="s">
        <v>40612</v>
      </c>
      <c r="N7148" t="s">
        <v>43166</v>
      </c>
      <c r="O7148" t="s">
        <v>43167</v>
      </c>
      <c r="Q7148">
        <v>7</v>
      </c>
      <c r="R7148" t="s">
        <v>43173</v>
      </c>
      <c r="S7148" t="s">
        <v>43381</v>
      </c>
      <c r="T7148" t="s">
        <v>45056</v>
      </c>
      <c r="U7148" t="s">
        <v>47955</v>
      </c>
      <c r="V7148" t="s">
        <v>57564</v>
      </c>
      <c r="W7148" t="s">
        <v>40612</v>
      </c>
      <c r="X7148" t="s">
        <v>43174</v>
      </c>
    </row>
    <row r="7149" spans="1:24">
      <c r="A7149">
        <f>HYPERLINK("https://www.philgeps.gov.ph/GEPSNONPILOT/Tender/SplashBidNoticeAbstractUI.aspx?menuIndex=3&amp;refID=7077273&amp;Result=3","7077273")</f>
        <v>0</v>
      </c>
      <c r="B7149" t="s">
        <v>2257</v>
      </c>
      <c r="C7149" t="s">
        <v>10223</v>
      </c>
      <c r="D7149" t="s">
        <v>17458</v>
      </c>
      <c r="E7149" t="s">
        <v>18907</v>
      </c>
      <c r="F7149" t="s">
        <v>30052</v>
      </c>
      <c r="G7149" t="s">
        <v>30061</v>
      </c>
      <c r="H7149" t="s">
        <v>15498</v>
      </c>
      <c r="I7149" t="s">
        <v>30070</v>
      </c>
      <c r="J7149" t="s">
        <v>34627</v>
      </c>
      <c r="K7149" t="s">
        <v>39018</v>
      </c>
      <c r="M7149" t="s">
        <v>41735</v>
      </c>
      <c r="N7149" t="s">
        <v>43166</v>
      </c>
      <c r="O7149" t="s">
        <v>43167</v>
      </c>
      <c r="P7149">
        <v>0</v>
      </c>
      <c r="Q7149">
        <v>0</v>
      </c>
      <c r="R7149" t="s">
        <v>43173</v>
      </c>
      <c r="S7149" t="s">
        <v>43374</v>
      </c>
      <c r="T7149" t="s">
        <v>44841</v>
      </c>
      <c r="U7149" t="s">
        <v>50989</v>
      </c>
      <c r="W7149" t="s">
        <v>41735</v>
      </c>
      <c r="X7149" t="s">
        <v>43174</v>
      </c>
    </row>
    <row r="7150" spans="1:24">
      <c r="A7150">
        <f>HYPERLINK("https://www.philgeps.gov.ph/GEPSNONPILOT/Tender/SplashBidNoticeAbstractUI.aspx?menuIndex=3&amp;refID=7077271&amp;Result=3","7077271")</f>
        <v>0</v>
      </c>
      <c r="B7150" t="s">
        <v>723</v>
      </c>
      <c r="C7150" t="s">
        <v>10224</v>
      </c>
      <c r="D7150" t="s">
        <v>17459</v>
      </c>
      <c r="E7150" t="s">
        <v>23682</v>
      </c>
      <c r="F7150" t="s">
        <v>30052</v>
      </c>
      <c r="G7150" t="s">
        <v>30058</v>
      </c>
      <c r="H7150" t="s">
        <v>15498</v>
      </c>
      <c r="I7150" t="s">
        <v>4650</v>
      </c>
      <c r="J7150" t="s">
        <v>30327</v>
      </c>
      <c r="K7150" t="s">
        <v>39034</v>
      </c>
      <c r="M7150" t="s">
        <v>40034</v>
      </c>
      <c r="N7150" t="s">
        <v>43166</v>
      </c>
      <c r="O7150" t="s">
        <v>43167</v>
      </c>
      <c r="P7150">
        <v>0</v>
      </c>
      <c r="Q7150">
        <v>1</v>
      </c>
      <c r="R7150" t="s">
        <v>43173</v>
      </c>
      <c r="S7150" t="s">
        <v>43374</v>
      </c>
      <c r="T7150" t="s">
        <v>44807</v>
      </c>
      <c r="U7150" t="s">
        <v>50990</v>
      </c>
      <c r="W7150" t="s">
        <v>40034</v>
      </c>
      <c r="X7150" t="s">
        <v>43174</v>
      </c>
    </row>
    <row r="7151" spans="1:24">
      <c r="A7151">
        <f>HYPERLINK("https://www.philgeps.gov.ph/GEPSNONPILOT/Tender/SplashBidNoticeAbstractUI.aspx?menuIndex=3&amp;refID=7077270&amp;Result=3","7077270")</f>
        <v>0</v>
      </c>
      <c r="B7151" t="s">
        <v>2258</v>
      </c>
      <c r="C7151" t="s">
        <v>10225</v>
      </c>
      <c r="D7151" t="s">
        <v>17454</v>
      </c>
      <c r="E7151" t="s">
        <v>23683</v>
      </c>
      <c r="F7151" t="s">
        <v>30052</v>
      </c>
      <c r="G7151" t="s">
        <v>30058</v>
      </c>
      <c r="H7151" t="s">
        <v>30067</v>
      </c>
      <c r="I7151" t="s">
        <v>3693</v>
      </c>
      <c r="J7151" t="s">
        <v>30454</v>
      </c>
      <c r="K7151" t="s">
        <v>39056</v>
      </c>
      <c r="M7151" t="s">
        <v>41736</v>
      </c>
      <c r="N7151" t="s">
        <v>43166</v>
      </c>
      <c r="O7151" t="s">
        <v>43167</v>
      </c>
      <c r="P7151">
        <v>0</v>
      </c>
      <c r="Q7151">
        <v>1</v>
      </c>
      <c r="R7151" t="s">
        <v>43173</v>
      </c>
      <c r="S7151" t="s">
        <v>43374</v>
      </c>
      <c r="T7151" t="s">
        <v>44720</v>
      </c>
      <c r="U7151" t="s">
        <v>50991</v>
      </c>
      <c r="V7151" t="s">
        <v>57565</v>
      </c>
      <c r="W7151" t="s">
        <v>41736</v>
      </c>
      <c r="X7151" t="s">
        <v>43174</v>
      </c>
    </row>
    <row r="7152" spans="1:24">
      <c r="A7152">
        <f>HYPERLINK("https://www.philgeps.gov.ph/GEPSNONPILOT/Tender/SplashBidNoticeAbstractUI.aspx?menuIndex=3&amp;refID=7077265&amp;Result=3","7077265")</f>
        <v>0</v>
      </c>
      <c r="B7152" t="s">
        <v>1467</v>
      </c>
      <c r="C7152" t="s">
        <v>10226</v>
      </c>
      <c r="D7152" t="s">
        <v>17464</v>
      </c>
      <c r="E7152" t="s">
        <v>23684</v>
      </c>
      <c r="F7152" t="s">
        <v>30052</v>
      </c>
      <c r="G7152" t="s">
        <v>30058</v>
      </c>
      <c r="H7152" t="s">
        <v>15498</v>
      </c>
      <c r="I7152" t="s">
        <v>9238</v>
      </c>
      <c r="J7152" t="s">
        <v>34628</v>
      </c>
      <c r="K7152" t="s">
        <v>39029</v>
      </c>
      <c r="M7152" t="s">
        <v>40849</v>
      </c>
      <c r="N7152" t="s">
        <v>43166</v>
      </c>
      <c r="O7152" t="s">
        <v>43167</v>
      </c>
      <c r="P7152">
        <v>0</v>
      </c>
      <c r="Q7152">
        <v>14</v>
      </c>
      <c r="R7152" t="s">
        <v>43173</v>
      </c>
      <c r="S7152" t="s">
        <v>43374</v>
      </c>
      <c r="T7152" t="s">
        <v>45049</v>
      </c>
      <c r="U7152" t="s">
        <v>50992</v>
      </c>
      <c r="W7152" t="s">
        <v>40849</v>
      </c>
      <c r="X7152" t="s">
        <v>43174</v>
      </c>
    </row>
    <row r="7153" spans="1:24">
      <c r="A7153">
        <f>HYPERLINK("https://www.philgeps.gov.ph/GEPSNONPILOT/Tender/SplashBidNoticeAbstractUI.aspx?menuIndex=3&amp;refID=7077264&amp;Result=3","7077264")</f>
        <v>0</v>
      </c>
      <c r="B7153" t="s">
        <v>928</v>
      </c>
      <c r="C7153" t="s">
        <v>6680</v>
      </c>
      <c r="D7153" t="s">
        <v>17462</v>
      </c>
      <c r="E7153" t="s">
        <v>23685</v>
      </c>
      <c r="F7153" t="s">
        <v>30052</v>
      </c>
      <c r="G7153" t="s">
        <v>30058</v>
      </c>
      <c r="H7153" t="s">
        <v>15498</v>
      </c>
      <c r="I7153" t="s">
        <v>3606</v>
      </c>
      <c r="J7153" t="s">
        <v>34629</v>
      </c>
      <c r="K7153" t="s">
        <v>39034</v>
      </c>
      <c r="M7153" t="s">
        <v>40251</v>
      </c>
      <c r="N7153" t="s">
        <v>43166</v>
      </c>
      <c r="O7153" t="s">
        <v>43167</v>
      </c>
      <c r="P7153">
        <v>0</v>
      </c>
      <c r="Q7153">
        <v>7</v>
      </c>
      <c r="R7153" t="s">
        <v>43173</v>
      </c>
      <c r="S7153" t="s">
        <v>43374</v>
      </c>
      <c r="T7153" t="s">
        <v>44758</v>
      </c>
      <c r="U7153" t="s">
        <v>50993</v>
      </c>
      <c r="V7153" t="s">
        <v>57566</v>
      </c>
      <c r="W7153" t="s">
        <v>40251</v>
      </c>
      <c r="X7153" t="s">
        <v>43174</v>
      </c>
    </row>
    <row r="7154" spans="1:24">
      <c r="A7154">
        <f>HYPERLINK("https://www.philgeps.gov.ph/GEPSNONPILOT/Tender/SplashBidNoticeAbstractUI.aspx?menuIndex=3&amp;refID=7077261&amp;Result=3","7077261")</f>
        <v>0</v>
      </c>
      <c r="B7154" t="s">
        <v>1736</v>
      </c>
      <c r="C7154" t="s">
        <v>10227</v>
      </c>
      <c r="D7154" t="s">
        <v>17444</v>
      </c>
      <c r="E7154" t="s">
        <v>23686</v>
      </c>
      <c r="F7154" t="s">
        <v>30052</v>
      </c>
      <c r="G7154" t="s">
        <v>30061</v>
      </c>
      <c r="H7154" t="s">
        <v>15498</v>
      </c>
      <c r="I7154" t="s">
        <v>7228</v>
      </c>
      <c r="J7154" t="s">
        <v>34630</v>
      </c>
      <c r="K7154" t="s">
        <v>39034</v>
      </c>
      <c r="M7154" t="s">
        <v>41153</v>
      </c>
      <c r="N7154" t="s">
        <v>43166</v>
      </c>
      <c r="O7154" t="s">
        <v>43167</v>
      </c>
      <c r="P7154">
        <v>0</v>
      </c>
      <c r="Q7154">
        <v>0</v>
      </c>
      <c r="R7154" t="s">
        <v>43173</v>
      </c>
      <c r="S7154" t="s">
        <v>43374</v>
      </c>
      <c r="T7154" t="s">
        <v>44717</v>
      </c>
      <c r="U7154" t="s">
        <v>50994</v>
      </c>
      <c r="W7154" t="s">
        <v>41153</v>
      </c>
      <c r="X7154" t="s">
        <v>43174</v>
      </c>
    </row>
    <row r="7155" spans="1:24">
      <c r="A7155">
        <f>HYPERLINK("https://www.philgeps.gov.ph/GEPSNONPILOT/Tender/SplashBidNoticeAbstractUI.aspx?menuIndex=3&amp;refID=7077260&amp;Result=3","7077260")</f>
        <v>0</v>
      </c>
      <c r="B7155" t="s">
        <v>298</v>
      </c>
      <c r="C7155" t="s">
        <v>10228</v>
      </c>
      <c r="D7155" t="s">
        <v>17468</v>
      </c>
      <c r="E7155" t="s">
        <v>23687</v>
      </c>
      <c r="F7155" t="s">
        <v>30052</v>
      </c>
      <c r="G7155" t="s">
        <v>30058</v>
      </c>
      <c r="H7155" t="s">
        <v>15498</v>
      </c>
      <c r="I7155" t="s">
        <v>30073</v>
      </c>
      <c r="J7155" t="s">
        <v>34631</v>
      </c>
      <c r="K7155" t="s">
        <v>39019</v>
      </c>
      <c r="M7155" t="s">
        <v>39593</v>
      </c>
      <c r="N7155" t="s">
        <v>43166</v>
      </c>
      <c r="O7155" t="s">
        <v>43167</v>
      </c>
      <c r="P7155">
        <v>0</v>
      </c>
      <c r="Q7155">
        <v>0</v>
      </c>
      <c r="R7155" t="s">
        <v>43173</v>
      </c>
      <c r="S7155" t="s">
        <v>43374</v>
      </c>
      <c r="T7155" t="s">
        <v>44832</v>
      </c>
      <c r="U7155" t="s">
        <v>50995</v>
      </c>
      <c r="W7155" t="s">
        <v>39593</v>
      </c>
      <c r="X7155" t="s">
        <v>43174</v>
      </c>
    </row>
    <row r="7156" spans="1:24">
      <c r="A7156">
        <f>HYPERLINK("https://www.philgeps.gov.ph/GEPSNONPILOT/Tender/SplashBidNoticeAbstractUI.aspx?menuIndex=3&amp;refID=7077228&amp;Result=3","7077228")</f>
        <v>0</v>
      </c>
      <c r="B7156" t="s">
        <v>1738</v>
      </c>
      <c r="C7156" t="s">
        <v>10229</v>
      </c>
      <c r="D7156" t="s">
        <v>17445</v>
      </c>
      <c r="E7156" t="s">
        <v>20712</v>
      </c>
      <c r="F7156" t="s">
        <v>30052</v>
      </c>
      <c r="G7156" t="s">
        <v>30058</v>
      </c>
      <c r="H7156" t="s">
        <v>15498</v>
      </c>
      <c r="I7156" t="s">
        <v>30088</v>
      </c>
      <c r="J7156" t="s">
        <v>31872</v>
      </c>
      <c r="K7156" t="s">
        <v>39017</v>
      </c>
      <c r="M7156" t="s">
        <v>41155</v>
      </c>
      <c r="N7156" t="s">
        <v>43166</v>
      </c>
      <c r="O7156" t="s">
        <v>43167</v>
      </c>
      <c r="P7156">
        <v>0</v>
      </c>
      <c r="Q7156">
        <v>3</v>
      </c>
      <c r="R7156" t="s">
        <v>43173</v>
      </c>
      <c r="S7156" t="s">
        <v>43374</v>
      </c>
      <c r="T7156" t="s">
        <v>44714</v>
      </c>
      <c r="U7156" t="s">
        <v>49289</v>
      </c>
      <c r="W7156" t="s">
        <v>41155</v>
      </c>
      <c r="X7156" t="s">
        <v>43174</v>
      </c>
    </row>
    <row r="7157" spans="1:24">
      <c r="A7157">
        <f>HYPERLINK("https://www.philgeps.gov.ph/GEPSNONPILOT/Tender/SplashBidNoticeAbstractUI.aspx?menuIndex=3&amp;refID=7077226&amp;Result=3","7077226")</f>
        <v>0</v>
      </c>
      <c r="B7157" t="s">
        <v>123</v>
      </c>
      <c r="C7157" t="s">
        <v>10230</v>
      </c>
      <c r="D7157" t="s">
        <v>17472</v>
      </c>
      <c r="E7157" t="s">
        <v>23688</v>
      </c>
      <c r="F7157" t="s">
        <v>30052</v>
      </c>
      <c r="G7157" t="s">
        <v>30059</v>
      </c>
      <c r="H7157" t="s">
        <v>15498</v>
      </c>
      <c r="I7157" t="s">
        <v>6691</v>
      </c>
      <c r="J7157" t="s">
        <v>34632</v>
      </c>
      <c r="K7157" t="s">
        <v>39025</v>
      </c>
      <c r="M7157" t="s">
        <v>39412</v>
      </c>
      <c r="N7157" t="s">
        <v>43166</v>
      </c>
      <c r="O7157" t="s">
        <v>43167</v>
      </c>
      <c r="P7157">
        <v>0</v>
      </c>
      <c r="Q7157">
        <v>0</v>
      </c>
      <c r="R7157" t="s">
        <v>43173</v>
      </c>
      <c r="S7157" t="s">
        <v>43374</v>
      </c>
      <c r="T7157" t="s">
        <v>44956</v>
      </c>
      <c r="U7157" t="s">
        <v>50996</v>
      </c>
      <c r="W7157" t="s">
        <v>39412</v>
      </c>
      <c r="X7157" t="s">
        <v>43174</v>
      </c>
    </row>
    <row r="7158" spans="1:24">
      <c r="A7158">
        <f>HYPERLINK("https://www.philgeps.gov.ph/GEPSNONPILOT/Tender/SplashBidNoticeAbstractUI.aspx?menuIndex=3&amp;refID=7077259&amp;Result=3","7077259")</f>
        <v>0</v>
      </c>
      <c r="B7158" t="s">
        <v>2259</v>
      </c>
      <c r="C7158" t="s">
        <v>10231</v>
      </c>
      <c r="D7158" t="s">
        <v>17475</v>
      </c>
      <c r="E7158" t="s">
        <v>23689</v>
      </c>
      <c r="F7158" t="s">
        <v>30052</v>
      </c>
      <c r="G7158" t="s">
        <v>30058</v>
      </c>
      <c r="H7158" t="s">
        <v>15498</v>
      </c>
      <c r="I7158" t="s">
        <v>30114</v>
      </c>
      <c r="J7158" t="s">
        <v>34633</v>
      </c>
      <c r="K7158" t="s">
        <v>39017</v>
      </c>
      <c r="M7158" t="s">
        <v>41737</v>
      </c>
      <c r="N7158" t="s">
        <v>43166</v>
      </c>
      <c r="O7158" t="s">
        <v>43167</v>
      </c>
      <c r="P7158">
        <v>0</v>
      </c>
      <c r="Q7158">
        <v>3</v>
      </c>
      <c r="R7158" t="s">
        <v>43173</v>
      </c>
      <c r="S7158" t="s">
        <v>43374</v>
      </c>
      <c r="T7158" t="s">
        <v>44695</v>
      </c>
      <c r="U7158" t="s">
        <v>50997</v>
      </c>
      <c r="W7158" t="s">
        <v>41737</v>
      </c>
      <c r="X7158" t="s">
        <v>43174</v>
      </c>
    </row>
    <row r="7159" spans="1:24">
      <c r="A7159">
        <f>HYPERLINK("https://www.philgeps.gov.ph/GEPSNONPILOT/Tender/SplashBidNoticeAbstractUI.aspx?menuIndex=3&amp;refID=7077221&amp;Result=3","7077221")</f>
        <v>0</v>
      </c>
      <c r="B7159" t="s">
        <v>1779</v>
      </c>
      <c r="C7159" t="s">
        <v>10232</v>
      </c>
      <c r="D7159" t="s">
        <v>17444</v>
      </c>
      <c r="E7159" t="s">
        <v>23690</v>
      </c>
      <c r="F7159" t="s">
        <v>30052</v>
      </c>
      <c r="G7159" t="s">
        <v>30059</v>
      </c>
      <c r="H7159" t="s">
        <v>30067</v>
      </c>
      <c r="I7159" t="s">
        <v>3693</v>
      </c>
      <c r="J7159" t="s">
        <v>30222</v>
      </c>
      <c r="K7159" t="s">
        <v>39189</v>
      </c>
      <c r="M7159" t="s">
        <v>41720</v>
      </c>
      <c r="N7159" t="s">
        <v>43166</v>
      </c>
      <c r="O7159" t="s">
        <v>43167</v>
      </c>
      <c r="P7159">
        <v>0</v>
      </c>
      <c r="Q7159">
        <v>0</v>
      </c>
      <c r="R7159" t="s">
        <v>43173</v>
      </c>
      <c r="S7159" t="s">
        <v>43374</v>
      </c>
      <c r="T7159" t="s">
        <v>44698</v>
      </c>
      <c r="U7159" t="s">
        <v>50998</v>
      </c>
      <c r="W7159" t="s">
        <v>41720</v>
      </c>
      <c r="X7159" t="s">
        <v>43174</v>
      </c>
    </row>
    <row r="7160" spans="1:24">
      <c r="A7160">
        <f>HYPERLINK("https://www.philgeps.gov.ph/GEPSNONPILOT/Tender/SplashBidNoticeAbstractUI.aspx?menuIndex=3&amp;refID=7077216&amp;Result=3","7077216")</f>
        <v>0</v>
      </c>
      <c r="B7160" t="s">
        <v>2260</v>
      </c>
      <c r="C7160" t="s">
        <v>3586</v>
      </c>
      <c r="D7160" t="s">
        <v>17463</v>
      </c>
      <c r="E7160" t="s">
        <v>23691</v>
      </c>
      <c r="F7160" t="s">
        <v>30052</v>
      </c>
      <c r="G7160" t="s">
        <v>30058</v>
      </c>
      <c r="H7160" t="s">
        <v>30067</v>
      </c>
      <c r="I7160" t="s">
        <v>3693</v>
      </c>
      <c r="J7160" t="s">
        <v>30277</v>
      </c>
      <c r="K7160" t="s">
        <v>39046</v>
      </c>
      <c r="L7160" t="s">
        <v>2260</v>
      </c>
      <c r="M7160" t="s">
        <v>41738</v>
      </c>
      <c r="N7160" t="s">
        <v>43166</v>
      </c>
      <c r="O7160" t="s">
        <v>43167</v>
      </c>
      <c r="P7160">
        <v>0</v>
      </c>
      <c r="Q7160">
        <v>2</v>
      </c>
      <c r="R7160" t="s">
        <v>43173</v>
      </c>
      <c r="S7160" t="s">
        <v>43374</v>
      </c>
      <c r="T7160" t="s">
        <v>44734</v>
      </c>
      <c r="U7160" t="s">
        <v>50999</v>
      </c>
      <c r="W7160" t="s">
        <v>41738</v>
      </c>
      <c r="X7160" t="s">
        <v>43174</v>
      </c>
    </row>
    <row r="7161" spans="1:24">
      <c r="A7161">
        <f>HYPERLINK("https://www.philgeps.gov.ph/GEPSNONPILOT/Tender/SplashBidNoticeAbstractUI.aspx?menuIndex=3&amp;refID=7077285&amp;Result=3","7077285")</f>
        <v>0</v>
      </c>
      <c r="B7161" t="s">
        <v>1710</v>
      </c>
      <c r="C7161" t="s">
        <v>10233</v>
      </c>
      <c r="D7161" t="s">
        <v>17414</v>
      </c>
      <c r="E7161" t="s">
        <v>19301</v>
      </c>
      <c r="F7161" t="s">
        <v>30052</v>
      </c>
      <c r="G7161" t="s">
        <v>30059</v>
      </c>
      <c r="H7161" t="s">
        <v>15498</v>
      </c>
      <c r="I7161" t="s">
        <v>30109</v>
      </c>
      <c r="J7161" t="s">
        <v>34634</v>
      </c>
      <c r="K7161" t="s">
        <v>39037</v>
      </c>
      <c r="M7161" t="s">
        <v>41125</v>
      </c>
      <c r="N7161" t="s">
        <v>43166</v>
      </c>
      <c r="O7161" t="s">
        <v>43167</v>
      </c>
      <c r="P7161">
        <v>0</v>
      </c>
      <c r="Q7161">
        <v>1</v>
      </c>
      <c r="R7161" t="s">
        <v>43173</v>
      </c>
      <c r="S7161" t="s">
        <v>43374</v>
      </c>
      <c r="T7161" t="s">
        <v>44864</v>
      </c>
      <c r="U7161" t="s">
        <v>48983</v>
      </c>
      <c r="W7161" t="s">
        <v>41125</v>
      </c>
      <c r="X7161" t="s">
        <v>43174</v>
      </c>
    </row>
    <row r="7162" spans="1:24">
      <c r="A7162">
        <f>HYPERLINK("https://www.philgeps.gov.ph/GEPSNONPILOT/Tender/SplashBidNoticeAbstractUI.aspx?menuIndex=3&amp;refID=7077262&amp;Result=3","7077262")</f>
        <v>0</v>
      </c>
      <c r="B7162" t="s">
        <v>2250</v>
      </c>
      <c r="C7162" t="s">
        <v>10234</v>
      </c>
      <c r="D7162" t="s">
        <v>17442</v>
      </c>
      <c r="E7162" t="s">
        <v>23692</v>
      </c>
      <c r="F7162" t="s">
        <v>30052</v>
      </c>
      <c r="G7162" t="s">
        <v>30058</v>
      </c>
      <c r="H7162" t="s">
        <v>15498</v>
      </c>
      <c r="I7162" t="s">
        <v>30084</v>
      </c>
      <c r="J7162" t="s">
        <v>30247</v>
      </c>
      <c r="K7162" t="s">
        <v>39029</v>
      </c>
      <c r="M7162" t="s">
        <v>41728</v>
      </c>
      <c r="N7162" t="s">
        <v>43166</v>
      </c>
      <c r="O7162" t="s">
        <v>43167</v>
      </c>
      <c r="P7162">
        <v>0</v>
      </c>
      <c r="Q7162">
        <v>8</v>
      </c>
      <c r="R7162" t="s">
        <v>43173</v>
      </c>
      <c r="S7162" t="s">
        <v>43374</v>
      </c>
      <c r="T7162" t="s">
        <v>44725</v>
      </c>
      <c r="U7162" t="s">
        <v>50967</v>
      </c>
      <c r="V7162" t="s">
        <v>57562</v>
      </c>
      <c r="W7162" t="s">
        <v>41728</v>
      </c>
      <c r="X7162" t="s">
        <v>43174</v>
      </c>
    </row>
    <row r="7163" spans="1:24">
      <c r="A7163">
        <f>HYPERLINK("https://www.philgeps.gov.ph/GEPSNONPILOT/Tender/SplashBidNoticeAbstractUI.aspx?menuIndex=3&amp;refID=7077209&amp;Result=3","7077209")</f>
        <v>0</v>
      </c>
      <c r="B7163" t="s">
        <v>1636</v>
      </c>
      <c r="C7163" t="s">
        <v>10235</v>
      </c>
      <c r="D7163" t="s">
        <v>17466</v>
      </c>
      <c r="E7163" t="s">
        <v>23693</v>
      </c>
      <c r="F7163" t="s">
        <v>30052</v>
      </c>
      <c r="G7163" t="s">
        <v>30059</v>
      </c>
      <c r="H7163" t="s">
        <v>15498</v>
      </c>
      <c r="I7163" t="s">
        <v>5961</v>
      </c>
      <c r="J7163" t="s">
        <v>34635</v>
      </c>
      <c r="K7163" t="s">
        <v>39037</v>
      </c>
      <c r="M7163" t="s">
        <v>41038</v>
      </c>
      <c r="N7163" t="s">
        <v>43166</v>
      </c>
      <c r="O7163" t="s">
        <v>43167</v>
      </c>
      <c r="P7163">
        <v>0</v>
      </c>
      <c r="Q7163">
        <v>1</v>
      </c>
      <c r="R7163" t="s">
        <v>43173</v>
      </c>
      <c r="S7163" t="s">
        <v>43374</v>
      </c>
      <c r="T7163" t="s">
        <v>44841</v>
      </c>
      <c r="U7163" t="s">
        <v>51000</v>
      </c>
      <c r="W7163" t="s">
        <v>41038</v>
      </c>
      <c r="X7163" t="s">
        <v>43174</v>
      </c>
    </row>
    <row r="7164" spans="1:24">
      <c r="A7164">
        <f>HYPERLINK("https://www.philgeps.gov.ph/GEPSNONPILOT/Tender/SplashBidNoticeAbstractUI.aspx?menuIndex=3&amp;refID=7077279&amp;Result=3","7077279")</f>
        <v>0</v>
      </c>
      <c r="B7164" t="s">
        <v>2256</v>
      </c>
      <c r="C7164" t="s">
        <v>10236</v>
      </c>
      <c r="D7164" t="s">
        <v>17449</v>
      </c>
      <c r="E7164" t="s">
        <v>23694</v>
      </c>
      <c r="F7164" t="s">
        <v>30052</v>
      </c>
      <c r="G7164" t="s">
        <v>30058</v>
      </c>
      <c r="H7164" t="s">
        <v>15498</v>
      </c>
      <c r="I7164" t="s">
        <v>3693</v>
      </c>
      <c r="J7164" t="s">
        <v>30256</v>
      </c>
      <c r="K7164" t="s">
        <v>39046</v>
      </c>
      <c r="M7164" t="s">
        <v>41734</v>
      </c>
      <c r="N7164" t="s">
        <v>43166</v>
      </c>
      <c r="O7164" t="s">
        <v>43167</v>
      </c>
      <c r="P7164">
        <v>0</v>
      </c>
      <c r="Q7164">
        <v>0</v>
      </c>
      <c r="R7164" t="s">
        <v>43173</v>
      </c>
      <c r="S7164" t="s">
        <v>43374</v>
      </c>
      <c r="T7164" t="s">
        <v>44764</v>
      </c>
      <c r="U7164" t="s">
        <v>51001</v>
      </c>
      <c r="W7164" t="s">
        <v>41734</v>
      </c>
      <c r="X7164" t="s">
        <v>43174</v>
      </c>
    </row>
    <row r="7165" spans="1:24">
      <c r="A7165">
        <f>HYPERLINK("https://www.philgeps.gov.ph/GEPSNONPILOT/Tender/SplashBidNoticeAbstractUI.aspx?menuIndex=3&amp;refID=7077333&amp;Result=3","7077333")</f>
        <v>0</v>
      </c>
      <c r="B7165" t="s">
        <v>1609</v>
      </c>
      <c r="C7165" t="s">
        <v>10237</v>
      </c>
      <c r="D7165" t="s">
        <v>17415</v>
      </c>
      <c r="E7165" t="s">
        <v>23695</v>
      </c>
      <c r="F7165" t="s">
        <v>30052</v>
      </c>
      <c r="G7165" t="s">
        <v>30059</v>
      </c>
      <c r="H7165" t="s">
        <v>15498</v>
      </c>
      <c r="I7165" t="s">
        <v>30076</v>
      </c>
      <c r="J7165" t="s">
        <v>34636</v>
      </c>
      <c r="K7165" t="s">
        <v>39017</v>
      </c>
      <c r="M7165" t="s">
        <v>41201</v>
      </c>
      <c r="N7165" t="s">
        <v>43166</v>
      </c>
      <c r="O7165" t="s">
        <v>43167</v>
      </c>
      <c r="P7165">
        <v>0</v>
      </c>
      <c r="Q7165">
        <v>2</v>
      </c>
      <c r="R7165" t="s">
        <v>43173</v>
      </c>
      <c r="S7165" t="s">
        <v>43374</v>
      </c>
      <c r="T7165" t="s">
        <v>44735</v>
      </c>
      <c r="U7165" t="s">
        <v>51002</v>
      </c>
      <c r="V7165" t="s">
        <v>57406</v>
      </c>
      <c r="W7165" t="s">
        <v>41201</v>
      </c>
      <c r="X7165" t="s">
        <v>43174</v>
      </c>
    </row>
    <row r="7166" spans="1:24">
      <c r="A7166">
        <f>HYPERLINK("https://www.philgeps.gov.ph/GEPSNONPILOT/Tender/SplashBidNoticeAbstractUI.aspx?menuIndex=3&amp;refID=7077331&amp;Result=3","7077331")</f>
        <v>0</v>
      </c>
      <c r="B7166" t="s">
        <v>1305</v>
      </c>
      <c r="C7166" t="s">
        <v>10238</v>
      </c>
      <c r="D7166" t="s">
        <v>17449</v>
      </c>
      <c r="E7166" t="s">
        <v>23696</v>
      </c>
      <c r="F7166" t="s">
        <v>30052</v>
      </c>
      <c r="G7166" t="s">
        <v>30059</v>
      </c>
      <c r="H7166" t="s">
        <v>15498</v>
      </c>
      <c r="I7166" t="s">
        <v>30091</v>
      </c>
      <c r="J7166" t="s">
        <v>31423</v>
      </c>
      <c r="K7166" t="s">
        <v>39025</v>
      </c>
      <c r="M7166" t="s">
        <v>40672</v>
      </c>
      <c r="N7166" t="s">
        <v>43166</v>
      </c>
      <c r="O7166" t="s">
        <v>43167</v>
      </c>
      <c r="P7166">
        <v>0</v>
      </c>
      <c r="Q7166">
        <v>3</v>
      </c>
      <c r="R7166" t="s">
        <v>43173</v>
      </c>
      <c r="S7166" t="s">
        <v>43374</v>
      </c>
      <c r="T7166" t="s">
        <v>44773</v>
      </c>
      <c r="U7166" t="s">
        <v>51003</v>
      </c>
      <c r="W7166" t="s">
        <v>40672</v>
      </c>
      <c r="X7166" t="s">
        <v>43174</v>
      </c>
    </row>
    <row r="7167" spans="1:24">
      <c r="A7167">
        <f>HYPERLINK("https://www.philgeps.gov.ph/GEPSNONPILOT/Tender/SplashBidNoticeAbstractUI.aspx?menuIndex=3&amp;refID=7077326&amp;Result=3","7077326")</f>
        <v>0</v>
      </c>
      <c r="B7167" t="s">
        <v>2255</v>
      </c>
      <c r="C7167" t="s">
        <v>10239</v>
      </c>
      <c r="E7167" t="s">
        <v>23697</v>
      </c>
      <c r="F7167" t="s">
        <v>30052</v>
      </c>
      <c r="G7167" t="s">
        <v>30058</v>
      </c>
      <c r="H7167" t="s">
        <v>30067</v>
      </c>
      <c r="I7167" t="s">
        <v>3693</v>
      </c>
      <c r="J7167" t="s">
        <v>34637</v>
      </c>
      <c r="K7167" t="s">
        <v>39188</v>
      </c>
      <c r="M7167" t="s">
        <v>41733</v>
      </c>
      <c r="N7167" t="s">
        <v>43166</v>
      </c>
      <c r="O7167" t="s">
        <v>43167</v>
      </c>
      <c r="P7167">
        <v>0</v>
      </c>
      <c r="Q7167">
        <v>17</v>
      </c>
      <c r="R7167" t="s">
        <v>43173</v>
      </c>
      <c r="S7167" t="s">
        <v>43374</v>
      </c>
      <c r="T7167" t="s">
        <v>44873</v>
      </c>
      <c r="U7167" t="s">
        <v>50971</v>
      </c>
      <c r="V7167" t="s">
        <v>57561</v>
      </c>
      <c r="W7167" t="s">
        <v>41733</v>
      </c>
      <c r="X7167" t="s">
        <v>43174</v>
      </c>
    </row>
    <row r="7168" spans="1:24">
      <c r="A7168">
        <f>HYPERLINK("https://www.philgeps.gov.ph/GEPSNONPILOT/Tender/SplashBidNoticeAbstractUI.aspx?menuIndex=3&amp;refID=7077321&amp;Result=3","7077321")</f>
        <v>0</v>
      </c>
      <c r="B7168" t="s">
        <v>1467</v>
      </c>
      <c r="C7168" t="s">
        <v>10240</v>
      </c>
      <c r="D7168" t="s">
        <v>17464</v>
      </c>
      <c r="E7168" t="s">
        <v>23698</v>
      </c>
      <c r="F7168" t="s">
        <v>30052</v>
      </c>
      <c r="G7168" t="s">
        <v>30058</v>
      </c>
      <c r="H7168" t="s">
        <v>15498</v>
      </c>
      <c r="I7168" t="s">
        <v>3606</v>
      </c>
      <c r="J7168" t="s">
        <v>34638</v>
      </c>
      <c r="K7168" t="s">
        <v>39029</v>
      </c>
      <c r="M7168" t="s">
        <v>40849</v>
      </c>
      <c r="N7168" t="s">
        <v>43166</v>
      </c>
      <c r="O7168" t="s">
        <v>43167</v>
      </c>
      <c r="P7168">
        <v>0</v>
      </c>
      <c r="Q7168">
        <v>9</v>
      </c>
      <c r="R7168" t="s">
        <v>43173</v>
      </c>
      <c r="S7168" t="s">
        <v>43374</v>
      </c>
      <c r="T7168" t="s">
        <v>45049</v>
      </c>
      <c r="U7168" t="s">
        <v>51004</v>
      </c>
      <c r="W7168" t="s">
        <v>40849</v>
      </c>
      <c r="X7168" t="s">
        <v>43174</v>
      </c>
    </row>
    <row r="7169" spans="1:24">
      <c r="A7169">
        <f>HYPERLINK("https://www.philgeps.gov.ph/GEPSNONPILOT/Tender/SplashBidNoticeAbstractUI.aspx?menuIndex=3&amp;refID=7077282&amp;Result=3","7077282")</f>
        <v>0</v>
      </c>
      <c r="B7169" t="s">
        <v>2261</v>
      </c>
      <c r="C7169" t="s">
        <v>10241</v>
      </c>
      <c r="D7169" t="s">
        <v>17422</v>
      </c>
      <c r="E7169" t="s">
        <v>23699</v>
      </c>
      <c r="F7169" t="s">
        <v>30052</v>
      </c>
      <c r="G7169" t="s">
        <v>30061</v>
      </c>
      <c r="H7169" t="s">
        <v>15498</v>
      </c>
      <c r="I7169" t="s">
        <v>3606</v>
      </c>
      <c r="J7169" t="s">
        <v>34639</v>
      </c>
      <c r="K7169" t="s">
        <v>39017</v>
      </c>
      <c r="M7169" t="s">
        <v>41739</v>
      </c>
      <c r="N7169" t="s">
        <v>43166</v>
      </c>
      <c r="O7169" t="s">
        <v>43167</v>
      </c>
      <c r="P7169">
        <v>0</v>
      </c>
      <c r="Q7169">
        <v>2</v>
      </c>
      <c r="R7169" t="s">
        <v>43173</v>
      </c>
      <c r="S7169" t="s">
        <v>43374</v>
      </c>
      <c r="T7169" t="s">
        <v>44862</v>
      </c>
      <c r="U7169" t="s">
        <v>51005</v>
      </c>
      <c r="W7169" t="s">
        <v>41739</v>
      </c>
      <c r="X7169" t="s">
        <v>43174</v>
      </c>
    </row>
    <row r="7170" spans="1:24">
      <c r="A7170">
        <f>HYPERLINK("https://www.philgeps.gov.ph/GEPSNONPILOT/Tender/SplashBidNoticeAbstractUI.aspx?menuIndex=3&amp;refID=7077218&amp;Result=3","7077218")</f>
        <v>0</v>
      </c>
      <c r="B7170" t="s">
        <v>1467</v>
      </c>
      <c r="C7170" t="s">
        <v>10242</v>
      </c>
      <c r="D7170" t="s">
        <v>17464</v>
      </c>
      <c r="E7170" t="s">
        <v>23700</v>
      </c>
      <c r="F7170" t="s">
        <v>30052</v>
      </c>
      <c r="G7170" t="s">
        <v>30058</v>
      </c>
      <c r="H7170" t="s">
        <v>30067</v>
      </c>
      <c r="I7170" t="s">
        <v>3693</v>
      </c>
      <c r="J7170" t="s">
        <v>30532</v>
      </c>
      <c r="K7170" t="s">
        <v>39187</v>
      </c>
      <c r="M7170" t="s">
        <v>40849</v>
      </c>
      <c r="N7170" t="s">
        <v>43166</v>
      </c>
      <c r="O7170" t="s">
        <v>43167</v>
      </c>
      <c r="P7170">
        <v>0</v>
      </c>
      <c r="Q7170">
        <v>0</v>
      </c>
      <c r="R7170" t="s">
        <v>43173</v>
      </c>
      <c r="S7170" t="s">
        <v>43374</v>
      </c>
      <c r="T7170" t="s">
        <v>45049</v>
      </c>
      <c r="U7170" t="s">
        <v>51006</v>
      </c>
      <c r="W7170" t="s">
        <v>40849</v>
      </c>
      <c r="X7170" t="s">
        <v>43174</v>
      </c>
    </row>
    <row r="7171" spans="1:24">
      <c r="A7171">
        <f>HYPERLINK("https://www.philgeps.gov.ph/GEPSNONPILOT/Tender/SplashBidNoticeAbstractUI.aspx?menuIndex=3&amp;refID=7077320&amp;Result=3","7077320")</f>
        <v>0</v>
      </c>
      <c r="B7171" t="s">
        <v>123</v>
      </c>
      <c r="C7171" t="s">
        <v>10243</v>
      </c>
      <c r="D7171" t="s">
        <v>17472</v>
      </c>
      <c r="E7171" t="s">
        <v>23701</v>
      </c>
      <c r="F7171" t="s">
        <v>30052</v>
      </c>
      <c r="G7171" t="s">
        <v>30059</v>
      </c>
      <c r="H7171" t="s">
        <v>15498</v>
      </c>
      <c r="I7171" t="s">
        <v>6691</v>
      </c>
      <c r="J7171" t="s">
        <v>34640</v>
      </c>
      <c r="K7171" t="s">
        <v>39025</v>
      </c>
      <c r="M7171" t="s">
        <v>39412</v>
      </c>
      <c r="N7171" t="s">
        <v>43166</v>
      </c>
      <c r="O7171" t="s">
        <v>43167</v>
      </c>
      <c r="P7171">
        <v>0</v>
      </c>
      <c r="Q7171">
        <v>0</v>
      </c>
      <c r="R7171" t="s">
        <v>43173</v>
      </c>
      <c r="S7171" t="s">
        <v>43374</v>
      </c>
      <c r="T7171" t="s">
        <v>44956</v>
      </c>
      <c r="U7171" t="s">
        <v>51007</v>
      </c>
      <c r="W7171" t="s">
        <v>39412</v>
      </c>
      <c r="X7171" t="s">
        <v>43174</v>
      </c>
    </row>
    <row r="7172" spans="1:24">
      <c r="A7172">
        <f>HYPERLINK("https://www.philgeps.gov.ph/GEPSNONPILOT/Tender/SplashBidNoticeAbstractUI.aspx?menuIndex=3&amp;refID=7077319&amp;Result=3","7077319")</f>
        <v>0</v>
      </c>
      <c r="B7172" t="s">
        <v>1459</v>
      </c>
      <c r="C7172" t="s">
        <v>10244</v>
      </c>
      <c r="D7172" t="s">
        <v>17448</v>
      </c>
      <c r="E7172" t="s">
        <v>23702</v>
      </c>
      <c r="F7172" t="s">
        <v>30052</v>
      </c>
      <c r="G7172" t="s">
        <v>30058</v>
      </c>
      <c r="H7172" t="s">
        <v>15498</v>
      </c>
      <c r="I7172" t="s">
        <v>3606</v>
      </c>
      <c r="J7172" t="s">
        <v>31172</v>
      </c>
      <c r="K7172" t="s">
        <v>39034</v>
      </c>
      <c r="M7172" t="s">
        <v>40840</v>
      </c>
      <c r="N7172" t="s">
        <v>43166</v>
      </c>
      <c r="O7172" t="s">
        <v>43167</v>
      </c>
      <c r="P7172">
        <v>0</v>
      </c>
      <c r="Q7172">
        <v>1</v>
      </c>
      <c r="R7172" t="s">
        <v>43173</v>
      </c>
      <c r="S7172" t="s">
        <v>43374</v>
      </c>
      <c r="T7172" t="s">
        <v>44832</v>
      </c>
      <c r="U7172" t="s">
        <v>51008</v>
      </c>
      <c r="W7172" t="s">
        <v>40840</v>
      </c>
      <c r="X7172" t="s">
        <v>43174</v>
      </c>
    </row>
    <row r="7173" spans="1:24">
      <c r="A7173">
        <f>HYPERLINK("https://www.philgeps.gov.ph/GEPSNONPILOT/Tender/SplashBidNoticeAbstractUI.aspx?menuIndex=3&amp;refID=7077157&amp;Result=3","7077157")</f>
        <v>0</v>
      </c>
      <c r="B7173" t="s">
        <v>2262</v>
      </c>
      <c r="C7173" t="s">
        <v>10245</v>
      </c>
      <c r="D7173" t="s">
        <v>17415</v>
      </c>
      <c r="E7173" t="s">
        <v>23703</v>
      </c>
      <c r="F7173" t="s">
        <v>30052</v>
      </c>
      <c r="G7173" t="s">
        <v>30061</v>
      </c>
      <c r="H7173" t="s">
        <v>15498</v>
      </c>
      <c r="I7173" t="s">
        <v>30094</v>
      </c>
      <c r="J7173" t="s">
        <v>30763</v>
      </c>
      <c r="K7173" t="s">
        <v>39036</v>
      </c>
      <c r="M7173" t="s">
        <v>41740</v>
      </c>
      <c r="N7173" t="s">
        <v>43166</v>
      </c>
      <c r="O7173" t="s">
        <v>43167</v>
      </c>
      <c r="P7173">
        <v>0</v>
      </c>
      <c r="Q7173">
        <v>1</v>
      </c>
      <c r="R7173" t="s">
        <v>43173</v>
      </c>
      <c r="S7173" t="s">
        <v>43374</v>
      </c>
      <c r="T7173" t="s">
        <v>44691</v>
      </c>
      <c r="U7173" t="s">
        <v>51009</v>
      </c>
      <c r="W7173" t="s">
        <v>41740</v>
      </c>
      <c r="X7173" t="s">
        <v>43174</v>
      </c>
    </row>
    <row r="7174" spans="1:24">
      <c r="A7174">
        <f>HYPERLINK("https://www.philgeps.gov.ph/GEPSNONPILOT/Tender/SplashBidNoticeAbstractUI.aspx?menuIndex=3&amp;refID=7077315&amp;Result=3","7077315")</f>
        <v>0</v>
      </c>
      <c r="B7174" t="s">
        <v>2250</v>
      </c>
      <c r="C7174" t="s">
        <v>10246</v>
      </c>
      <c r="D7174" t="s">
        <v>17442</v>
      </c>
      <c r="E7174" t="s">
        <v>23704</v>
      </c>
      <c r="F7174" t="s">
        <v>30052</v>
      </c>
      <c r="G7174" t="s">
        <v>30058</v>
      </c>
      <c r="H7174" t="s">
        <v>15498</v>
      </c>
      <c r="I7174" t="s">
        <v>9238</v>
      </c>
      <c r="J7174" t="s">
        <v>34641</v>
      </c>
      <c r="K7174" t="s">
        <v>39023</v>
      </c>
      <c r="M7174" t="s">
        <v>41728</v>
      </c>
      <c r="N7174" t="s">
        <v>43166</v>
      </c>
      <c r="O7174" t="s">
        <v>43167</v>
      </c>
      <c r="P7174">
        <v>0</v>
      </c>
      <c r="Q7174">
        <v>32</v>
      </c>
      <c r="R7174" t="s">
        <v>43173</v>
      </c>
      <c r="S7174" t="s">
        <v>43374</v>
      </c>
      <c r="T7174" t="s">
        <v>44725</v>
      </c>
      <c r="U7174" t="s">
        <v>51010</v>
      </c>
      <c r="V7174" t="s">
        <v>57559</v>
      </c>
      <c r="W7174" t="s">
        <v>41728</v>
      </c>
      <c r="X7174" t="s">
        <v>43174</v>
      </c>
    </row>
    <row r="7175" spans="1:24">
      <c r="A7175">
        <f>HYPERLINK("https://www.philgeps.gov.ph/GEPSNONPILOT/Tender/SplashBidNoticeAbstractUI.aspx?menuIndex=3&amp;refID=7077314&amp;Result=3","7077314")</f>
        <v>0</v>
      </c>
      <c r="B7175" t="s">
        <v>2175</v>
      </c>
      <c r="C7175" t="s">
        <v>10247</v>
      </c>
      <c r="D7175" t="s">
        <v>17415</v>
      </c>
      <c r="E7175" t="s">
        <v>23705</v>
      </c>
      <c r="F7175" t="s">
        <v>30052</v>
      </c>
      <c r="G7175" t="s">
        <v>30059</v>
      </c>
      <c r="H7175" t="s">
        <v>15498</v>
      </c>
      <c r="I7175" t="s">
        <v>30100</v>
      </c>
      <c r="J7175" t="s">
        <v>30377</v>
      </c>
      <c r="K7175" t="s">
        <v>39025</v>
      </c>
      <c r="M7175" t="s">
        <v>41643</v>
      </c>
      <c r="N7175" t="s">
        <v>43166</v>
      </c>
      <c r="O7175" t="s">
        <v>43167</v>
      </c>
      <c r="P7175">
        <v>0</v>
      </c>
      <c r="Q7175">
        <v>2</v>
      </c>
      <c r="R7175" t="s">
        <v>43173</v>
      </c>
      <c r="S7175" t="s">
        <v>43374</v>
      </c>
      <c r="T7175" t="s">
        <v>44888</v>
      </c>
      <c r="U7175" t="s">
        <v>51011</v>
      </c>
      <c r="W7175" t="s">
        <v>41643</v>
      </c>
      <c r="X7175" t="s">
        <v>43174</v>
      </c>
    </row>
    <row r="7176" spans="1:24">
      <c r="A7176">
        <f>HYPERLINK("https://www.philgeps.gov.ph/GEPSNONPILOT/Tender/SplashBidNoticeAbstractUI.aspx?menuIndex=3&amp;refID=7077324&amp;Result=3","7077324")</f>
        <v>0</v>
      </c>
      <c r="B7176" t="s">
        <v>1301</v>
      </c>
      <c r="C7176" t="s">
        <v>10248</v>
      </c>
      <c r="D7176" t="s">
        <v>17445</v>
      </c>
      <c r="E7176" t="s">
        <v>23706</v>
      </c>
      <c r="F7176" t="s">
        <v>30052</v>
      </c>
      <c r="G7176" t="s">
        <v>30058</v>
      </c>
      <c r="H7176" t="s">
        <v>15498</v>
      </c>
      <c r="I7176" t="s">
        <v>30081</v>
      </c>
      <c r="J7176" t="s">
        <v>34642</v>
      </c>
      <c r="K7176" t="s">
        <v>39029</v>
      </c>
      <c r="M7176" t="s">
        <v>40668</v>
      </c>
      <c r="N7176" t="s">
        <v>43166</v>
      </c>
      <c r="O7176" t="s">
        <v>43167</v>
      </c>
      <c r="P7176">
        <v>0</v>
      </c>
      <c r="Q7176">
        <v>0</v>
      </c>
      <c r="R7176" t="s">
        <v>43173</v>
      </c>
      <c r="S7176" t="s">
        <v>43374</v>
      </c>
      <c r="T7176" t="s">
        <v>44698</v>
      </c>
      <c r="U7176" t="s">
        <v>51012</v>
      </c>
      <c r="V7176" t="s">
        <v>57567</v>
      </c>
      <c r="W7176" t="s">
        <v>40668</v>
      </c>
      <c r="X7176" t="s">
        <v>43174</v>
      </c>
    </row>
    <row r="7177" spans="1:24">
      <c r="A7177">
        <f>HYPERLINK("https://www.philgeps.gov.ph/GEPSNONPILOT/Tender/SplashBidNoticeAbstractUI.aspx?menuIndex=3&amp;refID=7077308&amp;Result=3","7077308")</f>
        <v>0</v>
      </c>
      <c r="B7177" t="s">
        <v>2263</v>
      </c>
      <c r="C7177" t="s">
        <v>10249</v>
      </c>
      <c r="D7177" t="s">
        <v>17423</v>
      </c>
      <c r="E7177" t="s">
        <v>21176</v>
      </c>
      <c r="F7177" t="s">
        <v>30052</v>
      </c>
      <c r="G7177" t="s">
        <v>30058</v>
      </c>
      <c r="H7177" t="s">
        <v>15498</v>
      </c>
      <c r="I7177" t="s">
        <v>3736</v>
      </c>
      <c r="J7177" t="s">
        <v>34643</v>
      </c>
      <c r="K7177" t="s">
        <v>39037</v>
      </c>
      <c r="M7177" t="s">
        <v>41741</v>
      </c>
      <c r="N7177" t="s">
        <v>43166</v>
      </c>
      <c r="O7177" t="s">
        <v>43167</v>
      </c>
      <c r="P7177">
        <v>0</v>
      </c>
      <c r="Q7177">
        <v>0</v>
      </c>
      <c r="R7177" t="s">
        <v>43173</v>
      </c>
      <c r="S7177" t="s">
        <v>43374</v>
      </c>
      <c r="T7177" t="s">
        <v>44780</v>
      </c>
      <c r="U7177" t="s">
        <v>51013</v>
      </c>
      <c r="W7177" t="s">
        <v>41741</v>
      </c>
      <c r="X7177" t="s">
        <v>43174</v>
      </c>
    </row>
    <row r="7178" spans="1:24">
      <c r="A7178">
        <f>HYPERLINK("https://www.philgeps.gov.ph/GEPSNONPILOT/Tender/SplashBidNoticeAbstractUI.aspx?menuIndex=3&amp;refID=7077302&amp;Result=3","7077302")</f>
        <v>0</v>
      </c>
      <c r="B7178" t="s">
        <v>1602</v>
      </c>
      <c r="C7178" t="s">
        <v>10250</v>
      </c>
      <c r="D7178" t="s">
        <v>17445</v>
      </c>
      <c r="E7178" t="s">
        <v>23707</v>
      </c>
      <c r="F7178" t="s">
        <v>30052</v>
      </c>
      <c r="G7178" t="s">
        <v>30058</v>
      </c>
      <c r="H7178" t="s">
        <v>30067</v>
      </c>
      <c r="I7178" t="s">
        <v>3693</v>
      </c>
      <c r="J7178" t="s">
        <v>30207</v>
      </c>
      <c r="K7178" t="s">
        <v>39025</v>
      </c>
      <c r="M7178" t="s">
        <v>41000</v>
      </c>
      <c r="N7178" t="s">
        <v>43166</v>
      </c>
      <c r="O7178" t="s">
        <v>43167</v>
      </c>
      <c r="P7178">
        <v>0</v>
      </c>
      <c r="Q7178">
        <v>0</v>
      </c>
      <c r="R7178" t="s">
        <v>43173</v>
      </c>
      <c r="S7178" t="s">
        <v>43374</v>
      </c>
      <c r="T7178" t="s">
        <v>44729</v>
      </c>
      <c r="U7178" t="s">
        <v>51014</v>
      </c>
      <c r="W7178" t="s">
        <v>41000</v>
      </c>
      <c r="X7178" t="s">
        <v>43174</v>
      </c>
    </row>
    <row r="7179" spans="1:24">
      <c r="A7179">
        <f>HYPERLINK("https://www.philgeps.gov.ph/GEPSNONPILOT/Tender/SplashBidNoticeAbstractUI.aspx?menuIndex=3&amp;refID=7077301&amp;Result=3","7077301")</f>
        <v>0</v>
      </c>
      <c r="B7179" t="s">
        <v>298</v>
      </c>
      <c r="C7179" t="s">
        <v>10251</v>
      </c>
      <c r="D7179" t="s">
        <v>17468</v>
      </c>
      <c r="E7179" t="s">
        <v>23708</v>
      </c>
      <c r="F7179" t="s">
        <v>30052</v>
      </c>
      <c r="G7179" t="s">
        <v>30058</v>
      </c>
      <c r="H7179" t="s">
        <v>15498</v>
      </c>
      <c r="I7179" t="s">
        <v>30092</v>
      </c>
      <c r="J7179" t="s">
        <v>34644</v>
      </c>
      <c r="K7179" t="s">
        <v>39019</v>
      </c>
      <c r="M7179" t="s">
        <v>39593</v>
      </c>
      <c r="N7179" t="s">
        <v>43166</v>
      </c>
      <c r="O7179" t="s">
        <v>43167</v>
      </c>
      <c r="P7179">
        <v>0</v>
      </c>
      <c r="Q7179">
        <v>4</v>
      </c>
      <c r="R7179" t="s">
        <v>43173</v>
      </c>
      <c r="S7179" t="s">
        <v>43374</v>
      </c>
      <c r="T7179" t="s">
        <v>44806</v>
      </c>
      <c r="U7179" t="s">
        <v>51015</v>
      </c>
      <c r="W7179" t="s">
        <v>39593</v>
      </c>
      <c r="X7179" t="s">
        <v>43174</v>
      </c>
    </row>
    <row r="7180" spans="1:24">
      <c r="A7180">
        <f>HYPERLINK("https://www.philgeps.gov.ph/GEPSNONPILOT/Tender/SplashBidNoticeAbstractUI.aspx?menuIndex=3&amp;refID=7077316&amp;Result=3","7077316")</f>
        <v>0</v>
      </c>
      <c r="B7180" t="s">
        <v>208</v>
      </c>
      <c r="C7180" t="s">
        <v>10252</v>
      </c>
      <c r="D7180" t="s">
        <v>17415</v>
      </c>
      <c r="E7180" t="s">
        <v>23709</v>
      </c>
      <c r="F7180" t="s">
        <v>30052</v>
      </c>
      <c r="G7180" t="s">
        <v>30059</v>
      </c>
      <c r="H7180" t="s">
        <v>15498</v>
      </c>
      <c r="I7180" t="s">
        <v>4650</v>
      </c>
      <c r="J7180" t="s">
        <v>34645</v>
      </c>
      <c r="K7180" t="s">
        <v>39025</v>
      </c>
      <c r="M7180" t="s">
        <v>41713</v>
      </c>
      <c r="N7180" t="s">
        <v>43166</v>
      </c>
      <c r="O7180" t="s">
        <v>43167</v>
      </c>
      <c r="P7180">
        <v>0</v>
      </c>
      <c r="Q7180">
        <v>3</v>
      </c>
      <c r="R7180" t="s">
        <v>43173</v>
      </c>
      <c r="S7180" t="s">
        <v>43374</v>
      </c>
      <c r="T7180" t="s">
        <v>44777</v>
      </c>
      <c r="U7180" t="s">
        <v>51016</v>
      </c>
      <c r="W7180" t="s">
        <v>41713</v>
      </c>
      <c r="X7180" t="s">
        <v>43174</v>
      </c>
    </row>
    <row r="7181" spans="1:24">
      <c r="A7181">
        <f>HYPERLINK("https://www.philgeps.gov.ph/GEPSNONPILOT/Tender/SplashBidNoticeAbstractUI.aspx?menuIndex=3&amp;refID=7077297&amp;Result=3","7077297")</f>
        <v>0</v>
      </c>
      <c r="B7181" t="s">
        <v>1467</v>
      </c>
      <c r="C7181" t="s">
        <v>10253</v>
      </c>
      <c r="D7181" t="s">
        <v>17464</v>
      </c>
      <c r="E7181" t="s">
        <v>23710</v>
      </c>
      <c r="F7181" t="s">
        <v>30052</v>
      </c>
      <c r="G7181" t="s">
        <v>30058</v>
      </c>
      <c r="H7181" t="s">
        <v>15498</v>
      </c>
      <c r="I7181" t="s">
        <v>3606</v>
      </c>
      <c r="J7181" t="s">
        <v>34646</v>
      </c>
      <c r="K7181" t="s">
        <v>39029</v>
      </c>
      <c r="M7181" t="s">
        <v>40849</v>
      </c>
      <c r="N7181" t="s">
        <v>43166</v>
      </c>
      <c r="O7181" t="s">
        <v>43167</v>
      </c>
      <c r="P7181">
        <v>0</v>
      </c>
      <c r="Q7181">
        <v>8</v>
      </c>
      <c r="R7181" t="s">
        <v>43173</v>
      </c>
      <c r="S7181" t="s">
        <v>43374</v>
      </c>
      <c r="T7181" t="s">
        <v>45049</v>
      </c>
      <c r="U7181" t="s">
        <v>51017</v>
      </c>
      <c r="W7181" t="s">
        <v>40849</v>
      </c>
      <c r="X7181" t="s">
        <v>43174</v>
      </c>
    </row>
    <row r="7182" spans="1:24">
      <c r="A7182">
        <f>HYPERLINK("https://www.philgeps.gov.ph/GEPSNONPILOT/Tender/SplashBidNoticeAbstractUI.aspx?menuIndex=3&amp;refID=7077311&amp;Result=3","7077311")</f>
        <v>0</v>
      </c>
      <c r="B7182" t="s">
        <v>1568</v>
      </c>
      <c r="C7182" t="s">
        <v>10254</v>
      </c>
      <c r="D7182" t="s">
        <v>17456</v>
      </c>
      <c r="E7182" t="s">
        <v>23711</v>
      </c>
      <c r="F7182" t="s">
        <v>30052</v>
      </c>
      <c r="G7182" t="s">
        <v>30059</v>
      </c>
      <c r="H7182" t="s">
        <v>15498</v>
      </c>
      <c r="I7182" t="s">
        <v>30097</v>
      </c>
      <c r="J7182" t="s">
        <v>34647</v>
      </c>
      <c r="K7182" t="s">
        <v>39019</v>
      </c>
      <c r="M7182" t="s">
        <v>40958</v>
      </c>
      <c r="N7182" t="s">
        <v>43166</v>
      </c>
      <c r="O7182" t="s">
        <v>43167</v>
      </c>
      <c r="P7182">
        <v>0</v>
      </c>
      <c r="Q7182">
        <v>5</v>
      </c>
      <c r="R7182" t="s">
        <v>43173</v>
      </c>
      <c r="S7182" t="s">
        <v>43374</v>
      </c>
      <c r="T7182" t="s">
        <v>44837</v>
      </c>
      <c r="U7182" t="s">
        <v>51018</v>
      </c>
      <c r="V7182" t="s">
        <v>57305</v>
      </c>
      <c r="W7182" t="s">
        <v>40958</v>
      </c>
      <c r="X7182" t="s">
        <v>43174</v>
      </c>
    </row>
    <row r="7183" spans="1:24">
      <c r="A7183">
        <f>HYPERLINK("https://www.philgeps.gov.ph/GEPSNONPILOT/Tender/SplashBidNoticeAbstractUI.aspx?menuIndex=3&amp;refID=7077219&amp;Result=3","7077219")</f>
        <v>0</v>
      </c>
      <c r="B7183" t="s">
        <v>2264</v>
      </c>
      <c r="C7183" t="s">
        <v>10255</v>
      </c>
      <c r="D7183" t="s">
        <v>17479</v>
      </c>
      <c r="E7183" t="s">
        <v>23712</v>
      </c>
      <c r="F7183" t="s">
        <v>30052</v>
      </c>
      <c r="G7183" t="s">
        <v>30061</v>
      </c>
      <c r="H7183" t="s">
        <v>15498</v>
      </c>
      <c r="I7183" t="s">
        <v>4650</v>
      </c>
      <c r="J7183" t="s">
        <v>30755</v>
      </c>
      <c r="K7183" t="s">
        <v>39025</v>
      </c>
      <c r="M7183" t="s">
        <v>41742</v>
      </c>
      <c r="N7183" t="s">
        <v>43166</v>
      </c>
      <c r="O7183" t="s">
        <v>43167</v>
      </c>
      <c r="P7183">
        <v>0</v>
      </c>
      <c r="Q7183">
        <v>0</v>
      </c>
      <c r="R7183" t="s">
        <v>43173</v>
      </c>
      <c r="S7183" t="s">
        <v>43374</v>
      </c>
      <c r="T7183" t="s">
        <v>44843</v>
      </c>
      <c r="U7183" t="s">
        <v>51019</v>
      </c>
      <c r="W7183" t="s">
        <v>41742</v>
      </c>
      <c r="X7183" t="s">
        <v>43174</v>
      </c>
    </row>
    <row r="7184" spans="1:24">
      <c r="A7184">
        <f>HYPERLINK("https://www.philgeps.gov.ph/GEPSNONPILOT/Tender/SplashBidNoticeAbstractUI.aspx?menuIndex=3&amp;refID=7077307&amp;Result=3","7077307")</f>
        <v>0</v>
      </c>
      <c r="B7184" t="s">
        <v>1561</v>
      </c>
      <c r="C7184" t="s">
        <v>10256</v>
      </c>
      <c r="D7184" t="s">
        <v>17445</v>
      </c>
      <c r="E7184" t="s">
        <v>23713</v>
      </c>
      <c r="F7184" t="s">
        <v>30052</v>
      </c>
      <c r="G7184" t="s">
        <v>30059</v>
      </c>
      <c r="H7184" t="s">
        <v>15498</v>
      </c>
      <c r="I7184" t="s">
        <v>6691</v>
      </c>
      <c r="J7184" t="s">
        <v>32555</v>
      </c>
      <c r="K7184" t="s">
        <v>39036</v>
      </c>
      <c r="M7184" t="s">
        <v>40950</v>
      </c>
      <c r="N7184" t="s">
        <v>43166</v>
      </c>
      <c r="O7184" t="s">
        <v>43167</v>
      </c>
      <c r="P7184">
        <v>0</v>
      </c>
      <c r="Q7184">
        <v>0</v>
      </c>
      <c r="R7184" t="s">
        <v>43173</v>
      </c>
      <c r="S7184" t="s">
        <v>43374</v>
      </c>
      <c r="T7184" t="s">
        <v>44698</v>
      </c>
      <c r="U7184" t="s">
        <v>51020</v>
      </c>
      <c r="W7184" t="s">
        <v>40950</v>
      </c>
      <c r="X7184" t="s">
        <v>43174</v>
      </c>
    </row>
    <row r="7185" spans="1:24">
      <c r="A7185">
        <f>HYPERLINK("https://www.philgeps.gov.ph/GEPSNONPILOT/Tender/SplashBidNoticeAbstractUI.aspx?menuIndex=3&amp;refID=7077152&amp;Result=3","7077152")</f>
        <v>0</v>
      </c>
      <c r="B7185" t="s">
        <v>311</v>
      </c>
      <c r="C7185" t="s">
        <v>10257</v>
      </c>
      <c r="D7185" t="s">
        <v>17429</v>
      </c>
      <c r="E7185" t="s">
        <v>23714</v>
      </c>
      <c r="F7185" t="s">
        <v>30052</v>
      </c>
      <c r="G7185" t="s">
        <v>30058</v>
      </c>
      <c r="H7185" t="s">
        <v>15498</v>
      </c>
      <c r="I7185" t="s">
        <v>30088</v>
      </c>
      <c r="J7185" t="s">
        <v>34648</v>
      </c>
      <c r="K7185" t="s">
        <v>39029</v>
      </c>
      <c r="M7185" t="s">
        <v>39607</v>
      </c>
      <c r="N7185" t="s">
        <v>43166</v>
      </c>
      <c r="O7185" t="s">
        <v>43167</v>
      </c>
      <c r="P7185">
        <v>0</v>
      </c>
      <c r="Q7185">
        <v>10</v>
      </c>
      <c r="R7185" t="s">
        <v>43173</v>
      </c>
      <c r="S7185" t="s">
        <v>43374</v>
      </c>
      <c r="T7185" t="s">
        <v>45009</v>
      </c>
      <c r="U7185" t="s">
        <v>51021</v>
      </c>
      <c r="W7185" t="s">
        <v>39607</v>
      </c>
      <c r="X7185" t="s">
        <v>43174</v>
      </c>
    </row>
    <row r="7186" spans="1:24">
      <c r="A7186">
        <f>HYPERLINK("https://www.philgeps.gov.ph/GEPSNONPILOT/Tender/SplashBidNoticeAbstractUI.aspx?menuIndex=3&amp;refID=7077303&amp;Result=3","7077303")</f>
        <v>0</v>
      </c>
      <c r="B7186" t="s">
        <v>1320</v>
      </c>
      <c r="C7186" t="s">
        <v>10258</v>
      </c>
      <c r="D7186" t="s">
        <v>17440</v>
      </c>
      <c r="E7186" t="s">
        <v>23715</v>
      </c>
      <c r="F7186" t="s">
        <v>30052</v>
      </c>
      <c r="G7186" t="s">
        <v>30058</v>
      </c>
      <c r="H7186" t="s">
        <v>15498</v>
      </c>
      <c r="I7186" t="s">
        <v>30072</v>
      </c>
      <c r="J7186" t="s">
        <v>34649</v>
      </c>
      <c r="K7186" t="s">
        <v>39091</v>
      </c>
      <c r="M7186" t="s">
        <v>40687</v>
      </c>
      <c r="N7186" t="s">
        <v>43166</v>
      </c>
      <c r="O7186" t="s">
        <v>43167</v>
      </c>
      <c r="P7186">
        <v>0</v>
      </c>
      <c r="Q7186">
        <v>3</v>
      </c>
      <c r="R7186" t="s">
        <v>43173</v>
      </c>
      <c r="S7186" t="s">
        <v>43374</v>
      </c>
      <c r="T7186" t="s">
        <v>44815</v>
      </c>
      <c r="U7186" t="s">
        <v>51022</v>
      </c>
      <c r="V7186" t="s">
        <v>57568</v>
      </c>
      <c r="W7186" t="s">
        <v>40687</v>
      </c>
      <c r="X7186" t="s">
        <v>43174</v>
      </c>
    </row>
    <row r="7187" spans="1:24">
      <c r="A7187">
        <f>HYPERLINK("https://www.philgeps.gov.ph/GEPSNONPILOT/Tender/SplashBidNoticeAbstractUI.aspx?menuIndex=3&amp;refID=7077328&amp;Result=3","7077328")</f>
        <v>0</v>
      </c>
      <c r="B7187" t="s">
        <v>2265</v>
      </c>
      <c r="C7187" t="s">
        <v>10259</v>
      </c>
      <c r="E7187" t="s">
        <v>23716</v>
      </c>
      <c r="F7187" t="s">
        <v>30052</v>
      </c>
      <c r="G7187" t="s">
        <v>30061</v>
      </c>
      <c r="H7187" t="s">
        <v>15498</v>
      </c>
      <c r="I7187" t="s">
        <v>30076</v>
      </c>
      <c r="J7187" t="s">
        <v>31423</v>
      </c>
      <c r="K7187" t="s">
        <v>39025</v>
      </c>
      <c r="M7187" t="s">
        <v>41743</v>
      </c>
      <c r="N7187" t="s">
        <v>43166</v>
      </c>
      <c r="O7187" t="s">
        <v>43167</v>
      </c>
      <c r="P7187">
        <v>0</v>
      </c>
      <c r="Q7187">
        <v>9</v>
      </c>
      <c r="R7187" t="s">
        <v>43173</v>
      </c>
      <c r="S7187" t="s">
        <v>43374</v>
      </c>
      <c r="T7187" t="s">
        <v>44843</v>
      </c>
      <c r="U7187" t="s">
        <v>51023</v>
      </c>
      <c r="W7187" t="s">
        <v>41743</v>
      </c>
      <c r="X7187" t="s">
        <v>43174</v>
      </c>
    </row>
    <row r="7188" spans="1:24">
      <c r="A7188">
        <f>HYPERLINK("https://www.philgeps.gov.ph/GEPSNONPILOT/Tender/SplashBidNoticeAbstractUI.aspx?menuIndex=3&amp;refID=7077318&amp;Result=3","7077318")</f>
        <v>0</v>
      </c>
      <c r="B7188" t="s">
        <v>2266</v>
      </c>
      <c r="C7188" t="s">
        <v>10260</v>
      </c>
      <c r="D7188" t="s">
        <v>17425</v>
      </c>
      <c r="E7188" t="s">
        <v>23717</v>
      </c>
      <c r="F7188" t="s">
        <v>30052</v>
      </c>
      <c r="G7188" t="s">
        <v>30059</v>
      </c>
      <c r="H7188" t="s">
        <v>15498</v>
      </c>
      <c r="I7188" t="s">
        <v>30097</v>
      </c>
      <c r="J7188" t="s">
        <v>34650</v>
      </c>
      <c r="K7188" t="s">
        <v>39019</v>
      </c>
      <c r="M7188" t="s">
        <v>41744</v>
      </c>
      <c r="N7188" t="s">
        <v>43166</v>
      </c>
      <c r="O7188" t="s">
        <v>43167</v>
      </c>
      <c r="P7188">
        <v>0</v>
      </c>
      <c r="Q7188">
        <v>10</v>
      </c>
      <c r="R7188" t="s">
        <v>43173</v>
      </c>
      <c r="S7188" t="s">
        <v>43374</v>
      </c>
      <c r="T7188" t="s">
        <v>44837</v>
      </c>
      <c r="U7188" t="s">
        <v>51024</v>
      </c>
      <c r="V7188" t="s">
        <v>57569</v>
      </c>
      <c r="W7188" t="s">
        <v>41744</v>
      </c>
      <c r="X7188" t="s">
        <v>43174</v>
      </c>
    </row>
    <row r="7189" spans="1:24">
      <c r="A7189">
        <f>HYPERLINK("https://www.philgeps.gov.ph/GEPSNONPILOT/Tender/SplashBidNoticeAbstractUI.aspx?menuIndex=3&amp;refID=7077298&amp;Result=3","7077298")</f>
        <v>0</v>
      </c>
      <c r="B7189" t="s">
        <v>2267</v>
      </c>
      <c r="C7189" t="s">
        <v>10261</v>
      </c>
      <c r="D7189" t="s">
        <v>17446</v>
      </c>
      <c r="E7189" t="s">
        <v>20586</v>
      </c>
      <c r="F7189" t="s">
        <v>30052</v>
      </c>
      <c r="G7189" t="s">
        <v>30059</v>
      </c>
      <c r="H7189" t="s">
        <v>15498</v>
      </c>
      <c r="I7189" t="s">
        <v>30114</v>
      </c>
      <c r="J7189" t="s">
        <v>34651</v>
      </c>
      <c r="K7189" t="s">
        <v>39018</v>
      </c>
      <c r="M7189" t="s">
        <v>41745</v>
      </c>
      <c r="N7189" t="s">
        <v>43166</v>
      </c>
      <c r="O7189" t="s">
        <v>43167</v>
      </c>
      <c r="P7189">
        <v>0</v>
      </c>
      <c r="Q7189">
        <v>0</v>
      </c>
      <c r="R7189" t="s">
        <v>43173</v>
      </c>
      <c r="S7189" t="s">
        <v>43374</v>
      </c>
      <c r="T7189" t="s">
        <v>44735</v>
      </c>
      <c r="U7189" t="s">
        <v>51025</v>
      </c>
      <c r="W7189" t="s">
        <v>41745</v>
      </c>
      <c r="X7189" t="s">
        <v>43174</v>
      </c>
    </row>
    <row r="7190" spans="1:24">
      <c r="A7190">
        <f>HYPERLINK("https://www.philgeps.gov.ph/GEPSNONPILOT/Tender/SplashBidNoticeAbstractUI.aspx?menuIndex=3&amp;refID=7077379&amp;Result=3","7077379")</f>
        <v>0</v>
      </c>
      <c r="B7190" t="s">
        <v>2245</v>
      </c>
      <c r="C7190" t="s">
        <v>10262</v>
      </c>
      <c r="D7190" t="s">
        <v>17415</v>
      </c>
      <c r="E7190" t="s">
        <v>23718</v>
      </c>
      <c r="F7190" t="s">
        <v>30052</v>
      </c>
      <c r="G7190" t="s">
        <v>30059</v>
      </c>
      <c r="H7190" t="s">
        <v>15498</v>
      </c>
      <c r="I7190" t="s">
        <v>3736</v>
      </c>
      <c r="J7190" t="s">
        <v>31356</v>
      </c>
      <c r="K7190" t="s">
        <v>39023</v>
      </c>
      <c r="M7190" t="s">
        <v>41723</v>
      </c>
      <c r="N7190" t="s">
        <v>43166</v>
      </c>
      <c r="O7190" t="s">
        <v>43167</v>
      </c>
      <c r="P7190">
        <v>0</v>
      </c>
      <c r="Q7190">
        <v>1</v>
      </c>
      <c r="R7190" t="s">
        <v>43173</v>
      </c>
      <c r="S7190" t="s">
        <v>43374</v>
      </c>
      <c r="T7190" t="s">
        <v>44773</v>
      </c>
      <c r="U7190" t="s">
        <v>51026</v>
      </c>
      <c r="W7190" t="s">
        <v>41723</v>
      </c>
      <c r="X7190" t="s">
        <v>43174</v>
      </c>
    </row>
    <row r="7191" spans="1:24">
      <c r="A7191">
        <f>HYPERLINK("https://www.philgeps.gov.ph/GEPSNONPILOT/Tender/SplashBidNoticeAbstractUI.aspx?menuIndex=3&amp;refID=7077106&amp;Result=3","7077106")</f>
        <v>0</v>
      </c>
      <c r="B7191" t="s">
        <v>1779</v>
      </c>
      <c r="C7191" t="s">
        <v>10263</v>
      </c>
      <c r="D7191" t="s">
        <v>17444</v>
      </c>
      <c r="E7191" t="s">
        <v>23719</v>
      </c>
      <c r="F7191" t="s">
        <v>30052</v>
      </c>
      <c r="G7191" t="s">
        <v>30058</v>
      </c>
      <c r="H7191" t="s">
        <v>30067</v>
      </c>
      <c r="I7191" t="s">
        <v>3693</v>
      </c>
      <c r="J7191" t="s">
        <v>30281</v>
      </c>
      <c r="K7191" t="s">
        <v>39104</v>
      </c>
      <c r="M7191" t="s">
        <v>41720</v>
      </c>
      <c r="N7191" t="s">
        <v>43166</v>
      </c>
      <c r="O7191" t="s">
        <v>43167</v>
      </c>
      <c r="P7191">
        <v>0</v>
      </c>
      <c r="Q7191">
        <v>1</v>
      </c>
      <c r="R7191" t="s">
        <v>43173</v>
      </c>
      <c r="S7191" t="s">
        <v>43374</v>
      </c>
      <c r="T7191" t="s">
        <v>44758</v>
      </c>
      <c r="U7191" t="s">
        <v>51027</v>
      </c>
      <c r="W7191" t="s">
        <v>41720</v>
      </c>
      <c r="X7191" t="s">
        <v>43174</v>
      </c>
    </row>
    <row r="7192" spans="1:24">
      <c r="A7192">
        <f>HYPERLINK("https://www.philgeps.gov.ph/GEPSNONPILOT/Tender/SplashBidNoticeAbstractUI.aspx?menuIndex=3&amp;refID=7077377&amp;Result=3","7077377")</f>
        <v>0</v>
      </c>
      <c r="B7192" t="s">
        <v>298</v>
      </c>
      <c r="C7192" t="s">
        <v>10264</v>
      </c>
      <c r="D7192" t="s">
        <v>17468</v>
      </c>
      <c r="E7192" t="s">
        <v>23720</v>
      </c>
      <c r="F7192" t="s">
        <v>30052</v>
      </c>
      <c r="G7192" t="s">
        <v>30058</v>
      </c>
      <c r="H7192" t="s">
        <v>15498</v>
      </c>
      <c r="I7192" t="s">
        <v>30096</v>
      </c>
      <c r="J7192" t="s">
        <v>34652</v>
      </c>
      <c r="K7192" t="s">
        <v>39019</v>
      </c>
      <c r="M7192" t="s">
        <v>39593</v>
      </c>
      <c r="N7192" t="s">
        <v>43166</v>
      </c>
      <c r="O7192" t="s">
        <v>43167</v>
      </c>
      <c r="P7192">
        <v>0</v>
      </c>
      <c r="Q7192">
        <v>3</v>
      </c>
      <c r="R7192" t="s">
        <v>43173</v>
      </c>
      <c r="S7192" t="s">
        <v>43374</v>
      </c>
      <c r="T7192" t="s">
        <v>44806</v>
      </c>
      <c r="U7192" t="s">
        <v>51028</v>
      </c>
      <c r="W7192" t="s">
        <v>39593</v>
      </c>
      <c r="X7192" t="s">
        <v>43174</v>
      </c>
    </row>
    <row r="7193" spans="1:24">
      <c r="A7193">
        <f>HYPERLINK("https://www.philgeps.gov.ph/GEPSNONPILOT/Tender/SplashBidNoticeAbstractUI.aspx?menuIndex=3&amp;refID=7077368&amp;Result=3","7077368")</f>
        <v>0</v>
      </c>
      <c r="B7193" t="s">
        <v>911</v>
      </c>
      <c r="C7193" t="s">
        <v>10265</v>
      </c>
      <c r="D7193" t="s">
        <v>17484</v>
      </c>
      <c r="E7193" t="s">
        <v>23721</v>
      </c>
      <c r="F7193" t="s">
        <v>30052</v>
      </c>
      <c r="G7193" t="s">
        <v>30058</v>
      </c>
      <c r="H7193" t="s">
        <v>30067</v>
      </c>
      <c r="I7193" t="s">
        <v>3693</v>
      </c>
      <c r="J7193" t="s">
        <v>32231</v>
      </c>
      <c r="K7193" t="s">
        <v>39026</v>
      </c>
      <c r="M7193" t="s">
        <v>40234</v>
      </c>
      <c r="N7193" t="s">
        <v>43166</v>
      </c>
      <c r="O7193" t="s">
        <v>43167</v>
      </c>
      <c r="P7193">
        <v>0</v>
      </c>
      <c r="Q7193">
        <v>0</v>
      </c>
      <c r="R7193" t="s">
        <v>43173</v>
      </c>
      <c r="S7193" t="s">
        <v>43374</v>
      </c>
      <c r="T7193" t="s">
        <v>44905</v>
      </c>
      <c r="U7193" t="s">
        <v>51029</v>
      </c>
      <c r="W7193" t="s">
        <v>40234</v>
      </c>
      <c r="X7193" t="s">
        <v>43174</v>
      </c>
    </row>
    <row r="7194" spans="1:24">
      <c r="A7194">
        <f>HYPERLINK("https://www.philgeps.gov.ph/GEPSNONPILOT/Tender/SplashBidNoticeAbstractUI.aspx?menuIndex=3&amp;refID=7077367&amp;Result=3","7077367")</f>
        <v>0</v>
      </c>
      <c r="B7194" t="s">
        <v>1018</v>
      </c>
      <c r="C7194" t="s">
        <v>10266</v>
      </c>
      <c r="E7194" t="s">
        <v>23722</v>
      </c>
      <c r="F7194" t="s">
        <v>30052</v>
      </c>
      <c r="G7194" t="s">
        <v>30058</v>
      </c>
      <c r="H7194" t="s">
        <v>15498</v>
      </c>
      <c r="I7194" t="s">
        <v>9238</v>
      </c>
      <c r="J7194" t="s">
        <v>32317</v>
      </c>
      <c r="K7194" t="s">
        <v>39025</v>
      </c>
      <c r="M7194" t="s">
        <v>40347</v>
      </c>
      <c r="N7194" t="s">
        <v>43166</v>
      </c>
      <c r="O7194" t="s">
        <v>43167</v>
      </c>
      <c r="P7194">
        <v>0</v>
      </c>
      <c r="Q7194">
        <v>6</v>
      </c>
      <c r="R7194" t="s">
        <v>43173</v>
      </c>
      <c r="S7194" t="s">
        <v>43374</v>
      </c>
      <c r="T7194" t="s">
        <v>44921</v>
      </c>
      <c r="U7194" t="s">
        <v>51030</v>
      </c>
      <c r="W7194" t="s">
        <v>40347</v>
      </c>
      <c r="X7194" t="s">
        <v>43174</v>
      </c>
    </row>
    <row r="7195" spans="1:24">
      <c r="A7195">
        <f>HYPERLINK("https://www.philgeps.gov.ph/GEPSNONPILOT/Tender/SplashBidNoticeAbstractUI.aspx?menuIndex=3&amp;refID=7077380&amp;Result=3","7077380")</f>
        <v>0</v>
      </c>
      <c r="B7195" t="s">
        <v>2268</v>
      </c>
      <c r="C7195" t="s">
        <v>10267</v>
      </c>
      <c r="D7195" t="s">
        <v>17485</v>
      </c>
      <c r="E7195" t="s">
        <v>19891</v>
      </c>
      <c r="F7195" t="s">
        <v>30052</v>
      </c>
      <c r="G7195" t="s">
        <v>30058</v>
      </c>
      <c r="H7195" t="s">
        <v>30067</v>
      </c>
      <c r="I7195" t="s">
        <v>3693</v>
      </c>
      <c r="J7195" t="s">
        <v>30343</v>
      </c>
      <c r="K7195" t="s">
        <v>39061</v>
      </c>
      <c r="M7195" t="s">
        <v>41746</v>
      </c>
      <c r="N7195" t="s">
        <v>43166</v>
      </c>
      <c r="O7195" t="s">
        <v>43167</v>
      </c>
      <c r="P7195">
        <v>0</v>
      </c>
      <c r="Q7195">
        <v>0</v>
      </c>
      <c r="R7195" t="s">
        <v>43173</v>
      </c>
      <c r="S7195" t="s">
        <v>43374</v>
      </c>
      <c r="T7195" t="s">
        <v>44796</v>
      </c>
      <c r="U7195" t="s">
        <v>51031</v>
      </c>
      <c r="W7195" t="s">
        <v>41746</v>
      </c>
      <c r="X7195" t="s">
        <v>43174</v>
      </c>
    </row>
    <row r="7196" spans="1:24">
      <c r="A7196">
        <f>HYPERLINK("https://www.philgeps.gov.ph/GEPSNONPILOT/Tender/SplashBidNoticeAbstractUI.aspx?menuIndex=3&amp;refID=7077153&amp;Result=3","7077153")</f>
        <v>0</v>
      </c>
      <c r="B7196" t="s">
        <v>123</v>
      </c>
      <c r="C7196" t="s">
        <v>10268</v>
      </c>
      <c r="D7196" t="s">
        <v>17472</v>
      </c>
      <c r="E7196" t="s">
        <v>23723</v>
      </c>
      <c r="F7196" t="s">
        <v>30052</v>
      </c>
      <c r="G7196" t="s">
        <v>30059</v>
      </c>
      <c r="H7196" t="s">
        <v>15498</v>
      </c>
      <c r="I7196" t="s">
        <v>6691</v>
      </c>
      <c r="J7196" t="s">
        <v>34653</v>
      </c>
      <c r="K7196" t="s">
        <v>39025</v>
      </c>
      <c r="M7196" t="s">
        <v>39412</v>
      </c>
      <c r="N7196" t="s">
        <v>43166</v>
      </c>
      <c r="O7196" t="s">
        <v>43167</v>
      </c>
      <c r="P7196">
        <v>0</v>
      </c>
      <c r="Q7196">
        <v>0</v>
      </c>
      <c r="R7196" t="s">
        <v>43173</v>
      </c>
      <c r="S7196" t="s">
        <v>43374</v>
      </c>
      <c r="T7196" t="s">
        <v>44679</v>
      </c>
      <c r="U7196" t="s">
        <v>51032</v>
      </c>
      <c r="W7196" t="s">
        <v>39412</v>
      </c>
      <c r="X7196" t="s">
        <v>43174</v>
      </c>
    </row>
    <row r="7197" spans="1:24">
      <c r="A7197">
        <f>HYPERLINK("https://www.philgeps.gov.ph/GEPSNONPILOT/Tender/SplashBidNoticeAbstractUI.aspx?menuIndex=3&amp;refID=7077366&amp;Result=3","7077366")</f>
        <v>0</v>
      </c>
      <c r="B7197" t="s">
        <v>2269</v>
      </c>
      <c r="C7197" t="s">
        <v>10269</v>
      </c>
      <c r="D7197" t="s">
        <v>17446</v>
      </c>
      <c r="E7197" t="s">
        <v>20586</v>
      </c>
      <c r="F7197" t="s">
        <v>30052</v>
      </c>
      <c r="G7197" t="s">
        <v>30059</v>
      </c>
      <c r="H7197" t="s">
        <v>15498</v>
      </c>
      <c r="I7197" t="s">
        <v>4650</v>
      </c>
      <c r="J7197" t="s">
        <v>30448</v>
      </c>
      <c r="K7197" t="s">
        <v>39018</v>
      </c>
      <c r="M7197" t="s">
        <v>41747</v>
      </c>
      <c r="N7197" t="s">
        <v>43166</v>
      </c>
      <c r="O7197" t="s">
        <v>43167</v>
      </c>
      <c r="P7197">
        <v>0</v>
      </c>
      <c r="Q7197">
        <v>1</v>
      </c>
      <c r="R7197" t="s">
        <v>43173</v>
      </c>
      <c r="S7197" t="s">
        <v>43374</v>
      </c>
      <c r="T7197" t="s">
        <v>44735</v>
      </c>
      <c r="U7197" t="s">
        <v>51033</v>
      </c>
      <c r="W7197" t="s">
        <v>41747</v>
      </c>
      <c r="X7197" t="s">
        <v>43174</v>
      </c>
    </row>
    <row r="7198" spans="1:24">
      <c r="A7198">
        <f>HYPERLINK("https://www.philgeps.gov.ph/GEPSNONPILOT/Tender/SplashBidNoticeAbstractUI.aspx?menuIndex=3&amp;refID=7077365&amp;Result=3","7077365")</f>
        <v>0</v>
      </c>
      <c r="B7198" t="s">
        <v>1467</v>
      </c>
      <c r="C7198" t="s">
        <v>10270</v>
      </c>
      <c r="D7198" t="s">
        <v>17464</v>
      </c>
      <c r="E7198" t="s">
        <v>19974</v>
      </c>
      <c r="F7198" t="s">
        <v>30052</v>
      </c>
      <c r="G7198" t="s">
        <v>30058</v>
      </c>
      <c r="H7198" t="s">
        <v>15498</v>
      </c>
      <c r="I7198" t="s">
        <v>30074</v>
      </c>
      <c r="J7198" t="s">
        <v>30290</v>
      </c>
      <c r="K7198" t="s">
        <v>39029</v>
      </c>
      <c r="M7198" t="s">
        <v>40849</v>
      </c>
      <c r="N7198" t="s">
        <v>43166</v>
      </c>
      <c r="O7198" t="s">
        <v>43167</v>
      </c>
      <c r="P7198">
        <v>0</v>
      </c>
      <c r="Q7198">
        <v>8</v>
      </c>
      <c r="R7198" t="s">
        <v>43173</v>
      </c>
      <c r="S7198" t="s">
        <v>43374</v>
      </c>
      <c r="T7198" t="s">
        <v>45049</v>
      </c>
      <c r="U7198" t="s">
        <v>51034</v>
      </c>
      <c r="W7198" t="s">
        <v>40849</v>
      </c>
      <c r="X7198" t="s">
        <v>43174</v>
      </c>
    </row>
    <row r="7199" spans="1:24">
      <c r="A7199">
        <f>HYPERLINK("https://www.philgeps.gov.ph/GEPSNONPILOT/Tender/SplashBidNoticeAbstractUI.aspx?menuIndex=3&amp;refID=7077374&amp;Result=3","7077374")</f>
        <v>0</v>
      </c>
      <c r="B7199" t="s">
        <v>123</v>
      </c>
      <c r="C7199" t="s">
        <v>10271</v>
      </c>
      <c r="D7199" t="s">
        <v>17472</v>
      </c>
      <c r="E7199" t="s">
        <v>23724</v>
      </c>
      <c r="F7199" t="s">
        <v>30052</v>
      </c>
      <c r="G7199" t="s">
        <v>30059</v>
      </c>
      <c r="H7199" t="s">
        <v>15498</v>
      </c>
      <c r="I7199" t="s">
        <v>6691</v>
      </c>
      <c r="J7199" t="s">
        <v>34654</v>
      </c>
      <c r="K7199" t="s">
        <v>39025</v>
      </c>
      <c r="M7199" t="s">
        <v>39412</v>
      </c>
      <c r="N7199" t="s">
        <v>43166</v>
      </c>
      <c r="O7199" t="s">
        <v>43167</v>
      </c>
      <c r="P7199">
        <v>0</v>
      </c>
      <c r="Q7199">
        <v>0</v>
      </c>
      <c r="R7199" t="s">
        <v>43173</v>
      </c>
      <c r="S7199" t="s">
        <v>43374</v>
      </c>
      <c r="T7199" t="s">
        <v>44956</v>
      </c>
      <c r="U7199" t="s">
        <v>51035</v>
      </c>
      <c r="W7199" t="s">
        <v>39412</v>
      </c>
      <c r="X7199" t="s">
        <v>43174</v>
      </c>
    </row>
    <row r="7200" spans="1:24">
      <c r="A7200">
        <f>HYPERLINK("https://www.philgeps.gov.ph/GEPSNONPILOT/Tender/SplashBidNoticeAbstractUI.aspx?menuIndex=3&amp;refID=7077355&amp;Result=3","7077355")</f>
        <v>0</v>
      </c>
      <c r="B7200" t="s">
        <v>1018</v>
      </c>
      <c r="C7200" t="s">
        <v>5463</v>
      </c>
      <c r="E7200" t="s">
        <v>23725</v>
      </c>
      <c r="F7200" t="s">
        <v>30052</v>
      </c>
      <c r="G7200" t="s">
        <v>30058</v>
      </c>
      <c r="H7200" t="s">
        <v>15498</v>
      </c>
      <c r="I7200" t="s">
        <v>30076</v>
      </c>
      <c r="J7200" t="s">
        <v>34253</v>
      </c>
      <c r="K7200" t="s">
        <v>39025</v>
      </c>
      <c r="M7200" t="s">
        <v>40347</v>
      </c>
      <c r="N7200" t="s">
        <v>43166</v>
      </c>
      <c r="O7200" t="s">
        <v>43167</v>
      </c>
      <c r="P7200">
        <v>0</v>
      </c>
      <c r="Q7200">
        <v>1</v>
      </c>
      <c r="R7200" t="s">
        <v>43173</v>
      </c>
      <c r="S7200" t="s">
        <v>43374</v>
      </c>
      <c r="T7200" t="s">
        <v>44921</v>
      </c>
      <c r="U7200" t="s">
        <v>46681</v>
      </c>
      <c r="W7200" t="s">
        <v>40347</v>
      </c>
      <c r="X7200" t="s">
        <v>43174</v>
      </c>
    </row>
    <row r="7201" spans="1:24">
      <c r="A7201">
        <f>HYPERLINK("https://www.philgeps.gov.ph/GEPSNONPILOT/Tender/SplashBidNoticeAbstractUI.aspx?menuIndex=3&amp;refID=7077349&amp;Result=3","7077349")</f>
        <v>0</v>
      </c>
      <c r="B7201" t="s">
        <v>123</v>
      </c>
      <c r="C7201" t="s">
        <v>10272</v>
      </c>
      <c r="D7201" t="s">
        <v>17472</v>
      </c>
      <c r="E7201" t="s">
        <v>23701</v>
      </c>
      <c r="F7201" t="s">
        <v>30052</v>
      </c>
      <c r="G7201" t="s">
        <v>30059</v>
      </c>
      <c r="H7201" t="s">
        <v>15498</v>
      </c>
      <c r="I7201" t="s">
        <v>6691</v>
      </c>
      <c r="J7201" t="s">
        <v>34655</v>
      </c>
      <c r="K7201" t="s">
        <v>39025</v>
      </c>
      <c r="M7201" t="s">
        <v>39412</v>
      </c>
      <c r="N7201" t="s">
        <v>43166</v>
      </c>
      <c r="O7201" t="s">
        <v>43167</v>
      </c>
      <c r="P7201">
        <v>0</v>
      </c>
      <c r="Q7201">
        <v>0</v>
      </c>
      <c r="R7201" t="s">
        <v>43173</v>
      </c>
      <c r="S7201" t="s">
        <v>43374</v>
      </c>
      <c r="T7201" t="s">
        <v>44956</v>
      </c>
      <c r="U7201" t="s">
        <v>51036</v>
      </c>
      <c r="W7201" t="s">
        <v>39412</v>
      </c>
      <c r="X7201" t="s">
        <v>43174</v>
      </c>
    </row>
    <row r="7202" spans="1:24">
      <c r="A7202">
        <f>HYPERLINK("https://www.philgeps.gov.ph/GEPSNONPILOT/Tender/SplashBidNoticeAbstractUI.aspx?menuIndex=3&amp;refID=7077384&amp;Result=3","7077384")</f>
        <v>0</v>
      </c>
      <c r="B7202" t="s">
        <v>1779</v>
      </c>
      <c r="C7202" t="s">
        <v>10273</v>
      </c>
      <c r="D7202" t="s">
        <v>17444</v>
      </c>
      <c r="E7202" t="s">
        <v>23726</v>
      </c>
      <c r="F7202" t="s">
        <v>30052</v>
      </c>
      <c r="G7202" t="s">
        <v>30059</v>
      </c>
      <c r="H7202" t="s">
        <v>30067</v>
      </c>
      <c r="I7202" t="s">
        <v>3693</v>
      </c>
      <c r="J7202" t="s">
        <v>30297</v>
      </c>
      <c r="K7202" t="s">
        <v>39054</v>
      </c>
      <c r="M7202" t="s">
        <v>41720</v>
      </c>
      <c r="N7202" t="s">
        <v>43166</v>
      </c>
      <c r="O7202" t="s">
        <v>43167</v>
      </c>
      <c r="P7202">
        <v>0</v>
      </c>
      <c r="Q7202">
        <v>0</v>
      </c>
      <c r="R7202" t="s">
        <v>43173</v>
      </c>
      <c r="S7202" t="s">
        <v>43374</v>
      </c>
      <c r="T7202" t="s">
        <v>44698</v>
      </c>
      <c r="U7202" t="s">
        <v>51037</v>
      </c>
      <c r="W7202" t="s">
        <v>41720</v>
      </c>
      <c r="X7202" t="s">
        <v>43174</v>
      </c>
    </row>
    <row r="7203" spans="1:24">
      <c r="A7203">
        <f>HYPERLINK("https://www.philgeps.gov.ph/GEPSNONPILOT/Tender/SplashBidNoticeAbstractUI.aspx?menuIndex=3&amp;refID=7077343&amp;Result=3","7077343")</f>
        <v>0</v>
      </c>
      <c r="B7203" t="s">
        <v>604</v>
      </c>
      <c r="C7203" t="s">
        <v>10274</v>
      </c>
      <c r="E7203" t="s">
        <v>23727</v>
      </c>
      <c r="F7203" t="s">
        <v>30052</v>
      </c>
      <c r="G7203" t="s">
        <v>30058</v>
      </c>
      <c r="H7203" t="s">
        <v>15498</v>
      </c>
      <c r="I7203" t="s">
        <v>4598</v>
      </c>
      <c r="J7203" t="s">
        <v>30557</v>
      </c>
      <c r="K7203" t="s">
        <v>39025</v>
      </c>
      <c r="M7203" t="s">
        <v>41748</v>
      </c>
      <c r="N7203" t="s">
        <v>43166</v>
      </c>
      <c r="O7203" t="s">
        <v>43167</v>
      </c>
      <c r="P7203">
        <v>0</v>
      </c>
      <c r="Q7203">
        <v>18</v>
      </c>
      <c r="R7203" t="s">
        <v>43173</v>
      </c>
      <c r="S7203" t="s">
        <v>43374</v>
      </c>
      <c r="T7203" t="s">
        <v>44773</v>
      </c>
      <c r="U7203" t="s">
        <v>51038</v>
      </c>
      <c r="V7203" t="s">
        <v>57570</v>
      </c>
      <c r="W7203" t="s">
        <v>41748</v>
      </c>
      <c r="X7203" t="s">
        <v>43174</v>
      </c>
    </row>
    <row r="7204" spans="1:24">
      <c r="A7204">
        <f>HYPERLINK("https://www.philgeps.gov.ph/GEPSNONPILOT/Tender/SplashBidNoticeAbstractUI.aspx?menuIndex=3&amp;refID=7077364&amp;Result=3","7077364")</f>
        <v>0</v>
      </c>
      <c r="B7204" t="s">
        <v>1602</v>
      </c>
      <c r="C7204" t="s">
        <v>10275</v>
      </c>
      <c r="D7204" t="s">
        <v>17445</v>
      </c>
      <c r="E7204" t="s">
        <v>23728</v>
      </c>
      <c r="F7204" t="s">
        <v>30052</v>
      </c>
      <c r="G7204" t="s">
        <v>30058</v>
      </c>
      <c r="H7204" t="s">
        <v>30067</v>
      </c>
      <c r="I7204" t="s">
        <v>3693</v>
      </c>
      <c r="J7204" t="s">
        <v>30207</v>
      </c>
      <c r="K7204" t="s">
        <v>39025</v>
      </c>
      <c r="M7204" t="s">
        <v>41000</v>
      </c>
      <c r="N7204" t="s">
        <v>43166</v>
      </c>
      <c r="O7204" t="s">
        <v>43167</v>
      </c>
      <c r="P7204">
        <v>0</v>
      </c>
      <c r="Q7204">
        <v>0</v>
      </c>
      <c r="R7204" t="s">
        <v>43173</v>
      </c>
      <c r="S7204" t="s">
        <v>43374</v>
      </c>
      <c r="T7204" t="s">
        <v>44729</v>
      </c>
      <c r="U7204" t="s">
        <v>51039</v>
      </c>
      <c r="W7204" t="s">
        <v>41000</v>
      </c>
      <c r="X7204" t="s">
        <v>43174</v>
      </c>
    </row>
    <row r="7205" spans="1:24">
      <c r="A7205">
        <f>HYPERLINK("https://www.philgeps.gov.ph/GEPSNONPILOT/Tender/SplashBidNoticeAbstractUI.aspx?menuIndex=3&amp;refID=7077338&amp;Result=3","7077338")</f>
        <v>0</v>
      </c>
      <c r="B7205" t="s">
        <v>2269</v>
      </c>
      <c r="C7205" t="s">
        <v>10276</v>
      </c>
      <c r="D7205" t="s">
        <v>17446</v>
      </c>
      <c r="E7205" t="s">
        <v>20586</v>
      </c>
      <c r="F7205" t="s">
        <v>30052</v>
      </c>
      <c r="G7205" t="s">
        <v>30059</v>
      </c>
      <c r="H7205" t="s">
        <v>15498</v>
      </c>
      <c r="I7205" t="s">
        <v>30098</v>
      </c>
      <c r="J7205" t="s">
        <v>30398</v>
      </c>
      <c r="K7205" t="s">
        <v>39060</v>
      </c>
      <c r="M7205" t="s">
        <v>41747</v>
      </c>
      <c r="N7205" t="s">
        <v>43166</v>
      </c>
      <c r="O7205" t="s">
        <v>43167</v>
      </c>
      <c r="P7205">
        <v>0</v>
      </c>
      <c r="Q7205">
        <v>0</v>
      </c>
      <c r="R7205" t="s">
        <v>43173</v>
      </c>
      <c r="S7205" t="s">
        <v>43374</v>
      </c>
      <c r="T7205" t="s">
        <v>44735</v>
      </c>
      <c r="U7205" t="s">
        <v>51040</v>
      </c>
      <c r="W7205" t="s">
        <v>41747</v>
      </c>
      <c r="X7205" t="s">
        <v>43174</v>
      </c>
    </row>
    <row r="7206" spans="1:24">
      <c r="A7206">
        <f>HYPERLINK("https://www.philgeps.gov.ph/GEPSNONPILOT/Tender/SplashBidNoticeAbstractUI.aspx?menuIndex=3&amp;refID=7077337&amp;Result=3","7077337")</f>
        <v>0</v>
      </c>
      <c r="B7206" t="s">
        <v>1779</v>
      </c>
      <c r="C7206" t="s">
        <v>10277</v>
      </c>
      <c r="D7206" t="s">
        <v>17444</v>
      </c>
      <c r="E7206" t="s">
        <v>23729</v>
      </c>
      <c r="F7206" t="s">
        <v>30052</v>
      </c>
      <c r="G7206" t="s">
        <v>30059</v>
      </c>
      <c r="H7206" t="s">
        <v>30067</v>
      </c>
      <c r="I7206" t="s">
        <v>3693</v>
      </c>
      <c r="J7206" t="s">
        <v>30222</v>
      </c>
      <c r="K7206" t="s">
        <v>39096</v>
      </c>
      <c r="M7206" t="s">
        <v>41720</v>
      </c>
      <c r="N7206" t="s">
        <v>43166</v>
      </c>
      <c r="O7206" t="s">
        <v>43167</v>
      </c>
      <c r="P7206">
        <v>0</v>
      </c>
      <c r="Q7206">
        <v>2</v>
      </c>
      <c r="R7206" t="s">
        <v>43173</v>
      </c>
      <c r="S7206" t="s">
        <v>43374</v>
      </c>
      <c r="T7206" t="s">
        <v>44698</v>
      </c>
      <c r="U7206" t="s">
        <v>51041</v>
      </c>
      <c r="W7206" t="s">
        <v>41720</v>
      </c>
      <c r="X7206" t="s">
        <v>43174</v>
      </c>
    </row>
    <row r="7207" spans="1:24">
      <c r="A7207">
        <f>HYPERLINK("https://www.philgeps.gov.ph/GEPSNONPILOT/Tender/SplashBidNoticeAbstractUI.aspx?menuIndex=3&amp;refID=7077335&amp;Result=3","7077335")</f>
        <v>0</v>
      </c>
      <c r="B7207" t="s">
        <v>2270</v>
      </c>
      <c r="C7207" t="s">
        <v>10278</v>
      </c>
      <c r="D7207" t="s">
        <v>17466</v>
      </c>
      <c r="E7207" t="s">
        <v>23730</v>
      </c>
      <c r="F7207" t="s">
        <v>30052</v>
      </c>
      <c r="G7207" t="s">
        <v>30059</v>
      </c>
      <c r="H7207" t="s">
        <v>15498</v>
      </c>
      <c r="I7207" t="s">
        <v>3736</v>
      </c>
      <c r="J7207" t="s">
        <v>34656</v>
      </c>
      <c r="K7207" t="s">
        <v>39017</v>
      </c>
      <c r="M7207" t="s">
        <v>41749</v>
      </c>
      <c r="N7207" t="s">
        <v>43166</v>
      </c>
      <c r="O7207" t="s">
        <v>43167</v>
      </c>
      <c r="P7207">
        <v>0</v>
      </c>
      <c r="Q7207">
        <v>0</v>
      </c>
      <c r="R7207" t="s">
        <v>43173</v>
      </c>
      <c r="S7207" t="s">
        <v>43374</v>
      </c>
      <c r="T7207" t="s">
        <v>44870</v>
      </c>
      <c r="U7207" t="s">
        <v>51042</v>
      </c>
      <c r="W7207" t="s">
        <v>41749</v>
      </c>
      <c r="X7207" t="s">
        <v>43174</v>
      </c>
    </row>
    <row r="7208" spans="1:24">
      <c r="A7208">
        <f>HYPERLINK("https://www.philgeps.gov.ph/GEPSNONPILOT/Tender/SplashBidNoticeAbstractUI.aspx?menuIndex=3&amp;refID=7077092&amp;Result=3","7077092")</f>
        <v>0</v>
      </c>
      <c r="B7208" t="s">
        <v>1779</v>
      </c>
      <c r="C7208" t="s">
        <v>10279</v>
      </c>
      <c r="D7208" t="s">
        <v>17444</v>
      </c>
      <c r="E7208" t="s">
        <v>23731</v>
      </c>
      <c r="F7208" t="s">
        <v>30052</v>
      </c>
      <c r="G7208" t="s">
        <v>30058</v>
      </c>
      <c r="H7208" t="s">
        <v>30067</v>
      </c>
      <c r="I7208" t="s">
        <v>3693</v>
      </c>
      <c r="J7208" t="s">
        <v>31071</v>
      </c>
      <c r="K7208" t="s">
        <v>39023</v>
      </c>
      <c r="M7208" t="s">
        <v>41720</v>
      </c>
      <c r="N7208" t="s">
        <v>43166</v>
      </c>
      <c r="O7208" t="s">
        <v>43167</v>
      </c>
      <c r="P7208">
        <v>0</v>
      </c>
      <c r="Q7208">
        <v>1</v>
      </c>
      <c r="R7208" t="s">
        <v>43173</v>
      </c>
      <c r="S7208" t="s">
        <v>43374</v>
      </c>
      <c r="T7208" t="s">
        <v>44758</v>
      </c>
      <c r="U7208" t="s">
        <v>51043</v>
      </c>
      <c r="W7208" t="s">
        <v>41720</v>
      </c>
      <c r="X7208" t="s">
        <v>43174</v>
      </c>
    </row>
    <row r="7209" spans="1:24">
      <c r="A7209">
        <f>HYPERLINK("https://www.philgeps.gov.ph/GEPSNONPILOT/Tender/SplashBidNoticeAbstractUI.aspx?menuIndex=3&amp;refID=7077091&amp;Result=3","7077091")</f>
        <v>0</v>
      </c>
      <c r="B7209" t="s">
        <v>1602</v>
      </c>
      <c r="C7209" t="s">
        <v>10280</v>
      </c>
      <c r="D7209" t="s">
        <v>17445</v>
      </c>
      <c r="E7209" t="s">
        <v>23732</v>
      </c>
      <c r="F7209" t="s">
        <v>30052</v>
      </c>
      <c r="G7209" t="s">
        <v>30058</v>
      </c>
      <c r="H7209" t="s">
        <v>30067</v>
      </c>
      <c r="I7209" t="s">
        <v>3693</v>
      </c>
      <c r="J7209" t="s">
        <v>30207</v>
      </c>
      <c r="K7209" t="s">
        <v>39025</v>
      </c>
      <c r="M7209" t="s">
        <v>41000</v>
      </c>
      <c r="N7209" t="s">
        <v>43166</v>
      </c>
      <c r="O7209" t="s">
        <v>43167</v>
      </c>
      <c r="P7209">
        <v>0</v>
      </c>
      <c r="Q7209">
        <v>0</v>
      </c>
      <c r="R7209" t="s">
        <v>43173</v>
      </c>
      <c r="S7209" t="s">
        <v>43374</v>
      </c>
      <c r="T7209" t="s">
        <v>44729</v>
      </c>
      <c r="U7209" t="s">
        <v>51044</v>
      </c>
      <c r="W7209" t="s">
        <v>41000</v>
      </c>
      <c r="X7209" t="s">
        <v>43174</v>
      </c>
    </row>
    <row r="7210" spans="1:24">
      <c r="A7210">
        <f>HYPERLINK("https://www.philgeps.gov.ph/GEPSNONPILOT/Tender/SplashBidNoticeAbstractUI.aspx?menuIndex=3&amp;refID=7077345&amp;Result=3","7077345")</f>
        <v>0</v>
      </c>
      <c r="B7210" t="s">
        <v>298</v>
      </c>
      <c r="C7210" t="s">
        <v>10281</v>
      </c>
      <c r="D7210" t="s">
        <v>17468</v>
      </c>
      <c r="E7210" t="s">
        <v>23733</v>
      </c>
      <c r="F7210" t="s">
        <v>30052</v>
      </c>
      <c r="G7210" t="s">
        <v>30058</v>
      </c>
      <c r="H7210" t="s">
        <v>15498</v>
      </c>
      <c r="I7210" t="s">
        <v>30081</v>
      </c>
      <c r="J7210" t="s">
        <v>30600</v>
      </c>
      <c r="K7210" t="s">
        <v>39019</v>
      </c>
      <c r="M7210" t="s">
        <v>39593</v>
      </c>
      <c r="N7210" t="s">
        <v>43166</v>
      </c>
      <c r="O7210" t="s">
        <v>43167</v>
      </c>
      <c r="P7210">
        <v>0</v>
      </c>
      <c r="Q7210">
        <v>0</v>
      </c>
      <c r="R7210" t="s">
        <v>43173</v>
      </c>
      <c r="S7210" t="s">
        <v>43374</v>
      </c>
      <c r="T7210" t="s">
        <v>44806</v>
      </c>
      <c r="U7210" t="s">
        <v>51045</v>
      </c>
      <c r="W7210" t="s">
        <v>39593</v>
      </c>
      <c r="X7210" t="s">
        <v>43174</v>
      </c>
    </row>
    <row r="7211" spans="1:24">
      <c r="A7211">
        <f>HYPERLINK("https://www.philgeps.gov.ph/GEPSNONPILOT/Tender/SplashBidNoticeAbstractUI.aspx?menuIndex=3&amp;refID=7077342&amp;Result=3","7077342")</f>
        <v>0</v>
      </c>
      <c r="B7211" t="s">
        <v>1736</v>
      </c>
      <c r="C7211" t="s">
        <v>10282</v>
      </c>
      <c r="D7211" t="s">
        <v>17444</v>
      </c>
      <c r="E7211" t="s">
        <v>23734</v>
      </c>
      <c r="F7211" t="s">
        <v>30052</v>
      </c>
      <c r="G7211" t="s">
        <v>30061</v>
      </c>
      <c r="H7211" t="s">
        <v>15498</v>
      </c>
      <c r="I7211" t="s">
        <v>30084</v>
      </c>
      <c r="J7211" t="s">
        <v>30358</v>
      </c>
      <c r="K7211" t="s">
        <v>39034</v>
      </c>
      <c r="M7211" t="s">
        <v>41153</v>
      </c>
      <c r="N7211" t="s">
        <v>43166</v>
      </c>
      <c r="O7211" t="s">
        <v>43167</v>
      </c>
      <c r="P7211">
        <v>0</v>
      </c>
      <c r="Q7211">
        <v>1</v>
      </c>
      <c r="R7211" t="s">
        <v>43173</v>
      </c>
      <c r="S7211" t="s">
        <v>43374</v>
      </c>
      <c r="T7211" t="s">
        <v>44717</v>
      </c>
      <c r="U7211" t="s">
        <v>51046</v>
      </c>
      <c r="W7211" t="s">
        <v>41153</v>
      </c>
      <c r="X7211" t="s">
        <v>43174</v>
      </c>
    </row>
    <row r="7212" spans="1:24">
      <c r="A7212">
        <f>HYPERLINK("https://www.philgeps.gov.ph/GEPSNONPILOT/Tender/SplashBidNoticeAbstractUI.aspx?menuIndex=3&amp;refID=7076379&amp;Result=3","7076379")</f>
        <v>0</v>
      </c>
      <c r="B7212" t="s">
        <v>498</v>
      </c>
      <c r="C7212" t="s">
        <v>10283</v>
      </c>
      <c r="D7212" t="s">
        <v>17431</v>
      </c>
      <c r="E7212" t="s">
        <v>23735</v>
      </c>
      <c r="F7212" t="s">
        <v>30052</v>
      </c>
      <c r="G7212" t="s">
        <v>30059</v>
      </c>
      <c r="H7212" t="s">
        <v>15498</v>
      </c>
      <c r="I7212" t="s">
        <v>30118</v>
      </c>
      <c r="J7212" t="s">
        <v>34657</v>
      </c>
      <c r="K7212" t="s">
        <v>39029</v>
      </c>
      <c r="M7212" t="s">
        <v>39799</v>
      </c>
      <c r="N7212" t="s">
        <v>43166</v>
      </c>
      <c r="O7212" t="s">
        <v>43167</v>
      </c>
      <c r="P7212">
        <v>0</v>
      </c>
      <c r="Q7212">
        <v>1</v>
      </c>
      <c r="R7212" t="s">
        <v>43173</v>
      </c>
      <c r="S7212" t="s">
        <v>43374</v>
      </c>
      <c r="T7212" t="s">
        <v>44717</v>
      </c>
      <c r="U7212" t="s">
        <v>50674</v>
      </c>
      <c r="W7212" t="s">
        <v>39799</v>
      </c>
      <c r="X7212" t="s">
        <v>43174</v>
      </c>
    </row>
    <row r="7213" spans="1:24">
      <c r="A7213">
        <f>HYPERLINK("https://www.philgeps.gov.ph/GEPSNONPILOT/Tender/SplashBidNoticeAbstractUI.aspx?menuIndex=3&amp;refID=7077341&amp;Result=3","7077341")</f>
        <v>0</v>
      </c>
      <c r="B7213" t="s">
        <v>2247</v>
      </c>
      <c r="C7213" t="s">
        <v>10284</v>
      </c>
      <c r="D7213" t="s">
        <v>17459</v>
      </c>
      <c r="E7213" t="s">
        <v>23736</v>
      </c>
      <c r="F7213" t="s">
        <v>30054</v>
      </c>
      <c r="G7213" t="s">
        <v>30059</v>
      </c>
      <c r="H7213" t="s">
        <v>15498</v>
      </c>
      <c r="I7213" t="s">
        <v>30111</v>
      </c>
      <c r="J7213" t="s">
        <v>34658</v>
      </c>
      <c r="K7213" t="s">
        <v>39017</v>
      </c>
      <c r="M7213" t="s">
        <v>41725</v>
      </c>
      <c r="N7213" t="s">
        <v>43166</v>
      </c>
      <c r="O7213" t="s">
        <v>43167</v>
      </c>
      <c r="P7213">
        <v>0</v>
      </c>
      <c r="Q7213">
        <v>0</v>
      </c>
      <c r="R7213" t="s">
        <v>43173</v>
      </c>
      <c r="S7213" t="s">
        <v>43374</v>
      </c>
      <c r="T7213" t="s">
        <v>44705</v>
      </c>
      <c r="U7213" t="s">
        <v>51047</v>
      </c>
      <c r="W7213" t="s">
        <v>41725</v>
      </c>
      <c r="X7213" t="s">
        <v>43174</v>
      </c>
    </row>
    <row r="7214" spans="1:24">
      <c r="A7214">
        <f>HYPERLINK("https://www.philgeps.gov.ph/GEPSNONPILOT/Tender/SplashBidNoticeAbstractUI.aspx?menuIndex=3&amp;refID=7076381&amp;Result=3","7076381")</f>
        <v>0</v>
      </c>
      <c r="B7214" t="s">
        <v>2271</v>
      </c>
      <c r="C7214" t="s">
        <v>10285</v>
      </c>
      <c r="D7214" t="s">
        <v>17442</v>
      </c>
      <c r="E7214" t="s">
        <v>23737</v>
      </c>
      <c r="F7214" t="s">
        <v>30052</v>
      </c>
      <c r="G7214" t="s">
        <v>30059</v>
      </c>
      <c r="H7214" t="s">
        <v>15498</v>
      </c>
      <c r="I7214" t="s">
        <v>30087</v>
      </c>
      <c r="J7214" t="s">
        <v>31501</v>
      </c>
      <c r="K7214" t="s">
        <v>39017</v>
      </c>
      <c r="M7214" t="s">
        <v>41750</v>
      </c>
      <c r="N7214" t="s">
        <v>43166</v>
      </c>
      <c r="O7214" t="s">
        <v>43167</v>
      </c>
      <c r="Q7214">
        <v>0</v>
      </c>
      <c r="R7214" t="s">
        <v>43173</v>
      </c>
      <c r="S7214" t="s">
        <v>43382</v>
      </c>
      <c r="T7214" t="s">
        <v>44698</v>
      </c>
      <c r="U7214" t="s">
        <v>51048</v>
      </c>
      <c r="W7214" t="s">
        <v>41750</v>
      </c>
      <c r="X7214" t="s">
        <v>43174</v>
      </c>
    </row>
    <row r="7215" spans="1:24">
      <c r="A7215">
        <f>HYPERLINK("https://www.philgeps.gov.ph/GEPSNONPILOT/Tender/SplashBidNoticeAbstractUI.aspx?menuIndex=3&amp;refID=7076239&amp;Result=3","7076239")</f>
        <v>0</v>
      </c>
      <c r="B7215" t="s">
        <v>2147</v>
      </c>
      <c r="C7215" t="s">
        <v>10286</v>
      </c>
      <c r="E7215" t="s">
        <v>23738</v>
      </c>
      <c r="F7215" t="s">
        <v>30052</v>
      </c>
      <c r="G7215" t="s">
        <v>30058</v>
      </c>
      <c r="H7215" t="s">
        <v>15498</v>
      </c>
      <c r="I7215" t="s">
        <v>30076</v>
      </c>
      <c r="J7215" t="s">
        <v>34659</v>
      </c>
      <c r="K7215" t="s">
        <v>39023</v>
      </c>
      <c r="M7215" t="s">
        <v>41611</v>
      </c>
      <c r="N7215" t="s">
        <v>43166</v>
      </c>
      <c r="O7215" t="s">
        <v>43167</v>
      </c>
      <c r="P7215">
        <v>0</v>
      </c>
      <c r="Q7215">
        <v>9</v>
      </c>
      <c r="R7215" t="s">
        <v>43173</v>
      </c>
      <c r="S7215" t="s">
        <v>43374</v>
      </c>
      <c r="T7215" t="s">
        <v>44758</v>
      </c>
      <c r="U7215" t="s">
        <v>51049</v>
      </c>
      <c r="W7215" t="s">
        <v>41611</v>
      </c>
      <c r="X7215" t="s">
        <v>43174</v>
      </c>
    </row>
    <row r="7216" spans="1:24">
      <c r="A7216">
        <f>HYPERLINK("https://www.philgeps.gov.ph/GEPSNONPILOT/Tender/SplashBidNoticeAbstractUI.aspx?menuIndex=3&amp;refID=7076230&amp;Result=3","7076230")</f>
        <v>0</v>
      </c>
      <c r="B7216" t="s">
        <v>2144</v>
      </c>
      <c r="C7216" t="s">
        <v>9826</v>
      </c>
      <c r="D7216" t="s">
        <v>17441</v>
      </c>
      <c r="E7216" t="s">
        <v>23739</v>
      </c>
      <c r="F7216" t="s">
        <v>30052</v>
      </c>
      <c r="G7216" t="s">
        <v>30059</v>
      </c>
      <c r="H7216" t="s">
        <v>15498</v>
      </c>
      <c r="I7216" t="s">
        <v>4650</v>
      </c>
      <c r="J7216" t="s">
        <v>34660</v>
      </c>
      <c r="K7216" t="s">
        <v>39025</v>
      </c>
      <c r="M7216" t="s">
        <v>41608</v>
      </c>
      <c r="N7216" t="s">
        <v>43166</v>
      </c>
      <c r="O7216" t="s">
        <v>43167</v>
      </c>
      <c r="P7216">
        <v>0</v>
      </c>
      <c r="Q7216">
        <v>2</v>
      </c>
      <c r="R7216" t="s">
        <v>43173</v>
      </c>
      <c r="S7216" t="s">
        <v>43374</v>
      </c>
      <c r="T7216" t="s">
        <v>44735</v>
      </c>
      <c r="U7216" t="s">
        <v>51050</v>
      </c>
      <c r="W7216" t="s">
        <v>41608</v>
      </c>
      <c r="X7216" t="s">
        <v>43174</v>
      </c>
    </row>
    <row r="7217" spans="1:24">
      <c r="A7217">
        <f>HYPERLINK("https://www.philgeps.gov.ph/GEPSNONPILOT/Tender/SplashBidNoticeAbstractUI.aspx?menuIndex=3&amp;refID=7077386&amp;Result=3","7077386")</f>
        <v>0</v>
      </c>
      <c r="B7217" t="s">
        <v>1018</v>
      </c>
      <c r="C7217" t="s">
        <v>4650</v>
      </c>
      <c r="E7217" t="s">
        <v>23740</v>
      </c>
      <c r="F7217" t="s">
        <v>30052</v>
      </c>
      <c r="G7217" t="s">
        <v>30058</v>
      </c>
      <c r="H7217" t="s">
        <v>15498</v>
      </c>
      <c r="I7217" t="s">
        <v>4650</v>
      </c>
      <c r="J7217" t="s">
        <v>32336</v>
      </c>
      <c r="K7217" t="s">
        <v>39025</v>
      </c>
      <c r="M7217" t="s">
        <v>40347</v>
      </c>
      <c r="N7217" t="s">
        <v>43166</v>
      </c>
      <c r="O7217" t="s">
        <v>43167</v>
      </c>
      <c r="P7217">
        <v>0</v>
      </c>
      <c r="Q7217">
        <v>0</v>
      </c>
      <c r="R7217" t="s">
        <v>43173</v>
      </c>
      <c r="S7217" t="s">
        <v>43374</v>
      </c>
      <c r="T7217" t="s">
        <v>44921</v>
      </c>
      <c r="U7217" t="s">
        <v>51051</v>
      </c>
      <c r="W7217" t="s">
        <v>40347</v>
      </c>
      <c r="X7217" t="s">
        <v>43174</v>
      </c>
    </row>
    <row r="7218" spans="1:24">
      <c r="A7218">
        <f>HYPERLINK("https://www.philgeps.gov.ph/GEPSNONPILOT/Tender/SplashBidNoticeAbstractUI.aspx?menuIndex=3&amp;refID=7076282&amp;Result=3","7076282")</f>
        <v>0</v>
      </c>
      <c r="B7218" t="s">
        <v>1428</v>
      </c>
      <c r="C7218" t="s">
        <v>10287</v>
      </c>
      <c r="D7218" t="s">
        <v>17463</v>
      </c>
      <c r="E7218" t="s">
        <v>23741</v>
      </c>
      <c r="F7218" t="s">
        <v>30052</v>
      </c>
      <c r="G7218" t="s">
        <v>30058</v>
      </c>
      <c r="H7218" t="s">
        <v>15498</v>
      </c>
      <c r="I7218" t="s">
        <v>30147</v>
      </c>
      <c r="J7218" t="s">
        <v>30605</v>
      </c>
      <c r="K7218" t="s">
        <v>39034</v>
      </c>
      <c r="M7218" t="s">
        <v>40806</v>
      </c>
      <c r="N7218" t="s">
        <v>43166</v>
      </c>
      <c r="O7218" t="s">
        <v>43167</v>
      </c>
      <c r="P7218">
        <v>0</v>
      </c>
      <c r="Q7218">
        <v>0</v>
      </c>
      <c r="R7218" t="s">
        <v>43173</v>
      </c>
      <c r="S7218" t="s">
        <v>43374</v>
      </c>
      <c r="T7218" t="s">
        <v>44695</v>
      </c>
      <c r="U7218" t="s">
        <v>51052</v>
      </c>
      <c r="W7218" t="s">
        <v>40806</v>
      </c>
      <c r="X7218" t="s">
        <v>43174</v>
      </c>
    </row>
    <row r="7219" spans="1:24">
      <c r="A7219">
        <f>HYPERLINK("https://www.philgeps.gov.ph/GEPSNONPILOT/Tender/SplashBidNoticeAbstractUI.aspx?menuIndex=3&amp;refID=7077424&amp;Result=3","7077424")</f>
        <v>0</v>
      </c>
      <c r="B7219" t="s">
        <v>1323</v>
      </c>
      <c r="C7219" t="s">
        <v>6801</v>
      </c>
      <c r="D7219" t="s">
        <v>17426</v>
      </c>
      <c r="E7219" t="s">
        <v>23742</v>
      </c>
      <c r="F7219" t="s">
        <v>30052</v>
      </c>
      <c r="G7219" t="s">
        <v>30059</v>
      </c>
      <c r="H7219" t="s">
        <v>15498</v>
      </c>
      <c r="I7219" t="s">
        <v>4650</v>
      </c>
      <c r="J7219" t="s">
        <v>30921</v>
      </c>
      <c r="K7219" t="s">
        <v>39017</v>
      </c>
      <c r="M7219" t="s">
        <v>40690</v>
      </c>
      <c r="N7219" t="s">
        <v>43166</v>
      </c>
      <c r="O7219" t="s">
        <v>43167</v>
      </c>
      <c r="P7219">
        <v>0</v>
      </c>
      <c r="Q7219">
        <v>0</v>
      </c>
      <c r="R7219" t="s">
        <v>43173</v>
      </c>
      <c r="S7219" t="s">
        <v>43374</v>
      </c>
      <c r="T7219" t="s">
        <v>44844</v>
      </c>
      <c r="U7219" t="s">
        <v>51053</v>
      </c>
      <c r="W7219" t="s">
        <v>40690</v>
      </c>
      <c r="X7219" t="s">
        <v>43174</v>
      </c>
    </row>
    <row r="7220" spans="1:24">
      <c r="A7220">
        <f>HYPERLINK("https://www.philgeps.gov.ph/GEPSNONPILOT/Tender/SplashBidNoticeAbstractUI.aspx?menuIndex=3&amp;refID=7076380&amp;Result=3","7076380")</f>
        <v>0</v>
      </c>
      <c r="B7220" t="s">
        <v>145</v>
      </c>
      <c r="C7220" t="s">
        <v>10288</v>
      </c>
      <c r="D7220" t="s">
        <v>17453</v>
      </c>
      <c r="E7220" t="s">
        <v>23743</v>
      </c>
      <c r="F7220" t="s">
        <v>30052</v>
      </c>
      <c r="G7220" t="s">
        <v>30059</v>
      </c>
      <c r="H7220" t="s">
        <v>15498</v>
      </c>
      <c r="I7220" t="s">
        <v>30130</v>
      </c>
      <c r="J7220" t="s">
        <v>31196</v>
      </c>
      <c r="K7220" t="s">
        <v>39029</v>
      </c>
      <c r="M7220" t="s">
        <v>39434</v>
      </c>
      <c r="N7220" t="s">
        <v>43166</v>
      </c>
      <c r="O7220" t="s">
        <v>43167</v>
      </c>
      <c r="P7220">
        <v>0</v>
      </c>
      <c r="Q7220">
        <v>4</v>
      </c>
      <c r="R7220" t="s">
        <v>43173</v>
      </c>
      <c r="S7220" t="s">
        <v>43374</v>
      </c>
      <c r="T7220" t="s">
        <v>44993</v>
      </c>
      <c r="U7220" t="s">
        <v>51054</v>
      </c>
      <c r="V7220" t="s">
        <v>57204</v>
      </c>
      <c r="W7220" t="s">
        <v>58630</v>
      </c>
      <c r="X7220" t="s">
        <v>43174</v>
      </c>
    </row>
    <row r="7221" spans="1:24">
      <c r="A7221">
        <f>HYPERLINK("https://www.philgeps.gov.ph/GEPSNONPILOT/Tender/SplashBidNoticeAbstractUI.aspx?menuIndex=3&amp;refID=7076233&amp;Result=3","7076233")</f>
        <v>0</v>
      </c>
      <c r="B7221" t="s">
        <v>1314</v>
      </c>
      <c r="C7221" t="s">
        <v>10289</v>
      </c>
      <c r="D7221" t="s">
        <v>17420</v>
      </c>
      <c r="E7221" t="s">
        <v>23744</v>
      </c>
      <c r="F7221" t="s">
        <v>30052</v>
      </c>
      <c r="G7221" t="s">
        <v>30058</v>
      </c>
      <c r="H7221" t="s">
        <v>15498</v>
      </c>
      <c r="I7221" t="s">
        <v>30074</v>
      </c>
      <c r="J7221" t="s">
        <v>32337</v>
      </c>
      <c r="K7221" t="s">
        <v>39026</v>
      </c>
      <c r="M7221" t="s">
        <v>40681</v>
      </c>
      <c r="N7221" t="s">
        <v>43166</v>
      </c>
      <c r="O7221" t="s">
        <v>43167</v>
      </c>
      <c r="P7221">
        <v>0</v>
      </c>
      <c r="Q7221">
        <v>3</v>
      </c>
      <c r="R7221" t="s">
        <v>43173</v>
      </c>
      <c r="S7221" t="s">
        <v>43374</v>
      </c>
      <c r="T7221" t="s">
        <v>45020</v>
      </c>
      <c r="U7221" t="s">
        <v>51055</v>
      </c>
      <c r="W7221" t="s">
        <v>58632</v>
      </c>
      <c r="X7221" t="s">
        <v>43174</v>
      </c>
    </row>
    <row r="7222" spans="1:24">
      <c r="A7222">
        <f>HYPERLINK("https://www.philgeps.gov.ph/GEPSNONPILOT/Tender/SplashBidNoticeAbstractUI.aspx?menuIndex=3&amp;refID=7077423&amp;Result=3","7077423")</f>
        <v>0</v>
      </c>
      <c r="B7222" t="s">
        <v>2272</v>
      </c>
      <c r="C7222" t="s">
        <v>10290</v>
      </c>
      <c r="D7222" t="s">
        <v>17416</v>
      </c>
      <c r="E7222" t="s">
        <v>23745</v>
      </c>
      <c r="F7222" t="s">
        <v>30052</v>
      </c>
      <c r="G7222" t="s">
        <v>30058</v>
      </c>
      <c r="H7222" t="s">
        <v>15498</v>
      </c>
      <c r="I7222" t="s">
        <v>30071</v>
      </c>
      <c r="J7222" t="s">
        <v>34661</v>
      </c>
      <c r="K7222" t="s">
        <v>39029</v>
      </c>
      <c r="M7222" t="s">
        <v>41751</v>
      </c>
      <c r="N7222" t="s">
        <v>43166</v>
      </c>
      <c r="O7222" t="s">
        <v>43167</v>
      </c>
      <c r="P7222">
        <v>0</v>
      </c>
      <c r="Q7222">
        <v>1</v>
      </c>
      <c r="R7222" t="s">
        <v>43173</v>
      </c>
      <c r="S7222" t="s">
        <v>43374</v>
      </c>
      <c r="T7222" t="s">
        <v>44773</v>
      </c>
      <c r="U7222" t="s">
        <v>51056</v>
      </c>
      <c r="W7222" t="s">
        <v>41751</v>
      </c>
      <c r="X7222" t="s">
        <v>43174</v>
      </c>
    </row>
    <row r="7223" spans="1:24">
      <c r="A7223">
        <f>HYPERLINK("https://www.philgeps.gov.ph/GEPSNONPILOT/Tender/SplashBidNoticeAbstractUI.aspx?menuIndex=3&amp;refID=7077422&amp;Result=3","7077422")</f>
        <v>0</v>
      </c>
      <c r="B7223" t="s">
        <v>856</v>
      </c>
      <c r="C7223" t="s">
        <v>10291</v>
      </c>
      <c r="E7223" t="s">
        <v>23746</v>
      </c>
      <c r="F7223" t="s">
        <v>30052</v>
      </c>
      <c r="G7223" t="s">
        <v>30059</v>
      </c>
      <c r="H7223" t="s">
        <v>15498</v>
      </c>
      <c r="I7223" t="s">
        <v>30100</v>
      </c>
      <c r="J7223" t="s">
        <v>34662</v>
      </c>
      <c r="K7223" t="s">
        <v>39025</v>
      </c>
      <c r="M7223" t="s">
        <v>41752</v>
      </c>
      <c r="N7223" t="s">
        <v>43166</v>
      </c>
      <c r="O7223" t="s">
        <v>43167</v>
      </c>
      <c r="P7223">
        <v>0</v>
      </c>
      <c r="Q7223">
        <v>1</v>
      </c>
      <c r="R7223" t="s">
        <v>43173</v>
      </c>
      <c r="S7223" t="s">
        <v>43374</v>
      </c>
      <c r="T7223" t="s">
        <v>44735</v>
      </c>
      <c r="U7223" t="s">
        <v>51057</v>
      </c>
      <c r="W7223" t="s">
        <v>41752</v>
      </c>
      <c r="X7223" t="s">
        <v>43174</v>
      </c>
    </row>
    <row r="7224" spans="1:24">
      <c r="A7224">
        <f>HYPERLINK("https://www.philgeps.gov.ph/GEPSNONPILOT/Tender/SplashBidNoticeAbstractUI.aspx?menuIndex=3&amp;refID=7076231&amp;Result=3","7076231")</f>
        <v>0</v>
      </c>
      <c r="B7224" t="s">
        <v>2273</v>
      </c>
      <c r="C7224" t="s">
        <v>10292</v>
      </c>
      <c r="D7224" t="s">
        <v>17459</v>
      </c>
      <c r="E7224" t="s">
        <v>23747</v>
      </c>
      <c r="F7224" t="s">
        <v>30052</v>
      </c>
      <c r="G7224" t="s">
        <v>30058</v>
      </c>
      <c r="H7224" t="s">
        <v>30067</v>
      </c>
      <c r="I7224" t="s">
        <v>3693</v>
      </c>
      <c r="J7224" t="s">
        <v>30813</v>
      </c>
      <c r="K7224" t="s">
        <v>39031</v>
      </c>
      <c r="L7224" t="s">
        <v>2273</v>
      </c>
      <c r="M7224" t="s">
        <v>41753</v>
      </c>
      <c r="N7224" t="s">
        <v>43166</v>
      </c>
      <c r="O7224" t="s">
        <v>43167</v>
      </c>
      <c r="P7224">
        <v>0</v>
      </c>
      <c r="Q7224">
        <v>15</v>
      </c>
      <c r="R7224" t="s">
        <v>43173</v>
      </c>
      <c r="S7224" t="s">
        <v>43374</v>
      </c>
      <c r="T7224" t="s">
        <v>44905</v>
      </c>
      <c r="U7224" t="s">
        <v>45490</v>
      </c>
      <c r="W7224" t="s">
        <v>41753</v>
      </c>
      <c r="X7224" t="s">
        <v>43174</v>
      </c>
    </row>
    <row r="7225" spans="1:24">
      <c r="A7225">
        <f>HYPERLINK("https://www.philgeps.gov.ph/GEPSNONPILOT/Tender/SplashBidNoticeAbstractUI.aspx?menuIndex=3&amp;refID=7077420&amp;Result=3","7077420")</f>
        <v>0</v>
      </c>
      <c r="B7225" t="s">
        <v>1744</v>
      </c>
      <c r="C7225" t="s">
        <v>10293</v>
      </c>
      <c r="D7225" t="s">
        <v>17457</v>
      </c>
      <c r="E7225" t="s">
        <v>23748</v>
      </c>
      <c r="F7225" t="s">
        <v>30052</v>
      </c>
      <c r="G7225" t="s">
        <v>30058</v>
      </c>
      <c r="H7225" t="s">
        <v>15498</v>
      </c>
      <c r="I7225" t="s">
        <v>30155</v>
      </c>
      <c r="J7225" t="s">
        <v>34663</v>
      </c>
      <c r="K7225" t="s">
        <v>39105</v>
      </c>
      <c r="M7225" t="s">
        <v>41163</v>
      </c>
      <c r="N7225" t="s">
        <v>43166</v>
      </c>
      <c r="O7225" t="s">
        <v>43167</v>
      </c>
      <c r="P7225">
        <v>0</v>
      </c>
      <c r="Q7225">
        <v>0</v>
      </c>
      <c r="R7225" t="s">
        <v>43173</v>
      </c>
      <c r="S7225" t="s">
        <v>43374</v>
      </c>
      <c r="T7225" t="s">
        <v>44773</v>
      </c>
      <c r="U7225" t="s">
        <v>51058</v>
      </c>
      <c r="V7225" t="s">
        <v>57571</v>
      </c>
      <c r="W7225" t="s">
        <v>41163</v>
      </c>
      <c r="X7225" t="s">
        <v>43174</v>
      </c>
    </row>
    <row r="7226" spans="1:24">
      <c r="A7226">
        <f>HYPERLINK("https://www.philgeps.gov.ph/GEPSNONPILOT/Tender/SplashBidNoticeAbstractUI.aspx?menuIndex=3&amp;refID=7077416&amp;Result=3","7077416")</f>
        <v>0</v>
      </c>
      <c r="B7226" t="s">
        <v>1320</v>
      </c>
      <c r="C7226" t="s">
        <v>10294</v>
      </c>
      <c r="D7226" t="s">
        <v>17440</v>
      </c>
      <c r="E7226" t="s">
        <v>23749</v>
      </c>
      <c r="F7226" t="s">
        <v>30052</v>
      </c>
      <c r="G7226" t="s">
        <v>30058</v>
      </c>
      <c r="H7226" t="s">
        <v>15498</v>
      </c>
      <c r="I7226" t="s">
        <v>30072</v>
      </c>
      <c r="J7226" t="s">
        <v>34664</v>
      </c>
      <c r="K7226" t="s">
        <v>39091</v>
      </c>
      <c r="M7226" t="s">
        <v>40687</v>
      </c>
      <c r="N7226" t="s">
        <v>43166</v>
      </c>
      <c r="O7226" t="s">
        <v>43167</v>
      </c>
      <c r="P7226">
        <v>0</v>
      </c>
      <c r="Q7226">
        <v>3</v>
      </c>
      <c r="R7226" t="s">
        <v>43173</v>
      </c>
      <c r="S7226" t="s">
        <v>43374</v>
      </c>
      <c r="T7226" t="s">
        <v>44815</v>
      </c>
      <c r="U7226" t="s">
        <v>51022</v>
      </c>
      <c r="V7226" t="s">
        <v>57568</v>
      </c>
      <c r="W7226" t="s">
        <v>40687</v>
      </c>
      <c r="X7226" t="s">
        <v>43174</v>
      </c>
    </row>
    <row r="7227" spans="1:24">
      <c r="A7227">
        <f>HYPERLINK("https://www.philgeps.gov.ph/GEPSNONPILOT/Tender/SplashBidNoticeAbstractUI.aspx?menuIndex=3&amp;refID=7077103&amp;Result=3","7077103")</f>
        <v>0</v>
      </c>
      <c r="B7227" t="s">
        <v>503</v>
      </c>
      <c r="C7227" t="s">
        <v>10295</v>
      </c>
      <c r="D7227" t="s">
        <v>17415</v>
      </c>
      <c r="E7227" t="s">
        <v>23750</v>
      </c>
      <c r="F7227" t="s">
        <v>30052</v>
      </c>
      <c r="G7227" t="s">
        <v>30062</v>
      </c>
      <c r="H7227" t="s">
        <v>15498</v>
      </c>
      <c r="I7227" t="s">
        <v>4119</v>
      </c>
      <c r="J7227" t="s">
        <v>30207</v>
      </c>
      <c r="K7227" t="s">
        <v>39019</v>
      </c>
      <c r="M7227" t="s">
        <v>41402</v>
      </c>
      <c r="N7227" t="s">
        <v>43166</v>
      </c>
      <c r="O7227" t="s">
        <v>43167</v>
      </c>
      <c r="P7227">
        <v>0</v>
      </c>
      <c r="Q7227">
        <v>15</v>
      </c>
      <c r="R7227" t="s">
        <v>43173</v>
      </c>
      <c r="S7227" t="s">
        <v>43374</v>
      </c>
      <c r="T7227" t="s">
        <v>44773</v>
      </c>
      <c r="U7227" t="s">
        <v>51059</v>
      </c>
      <c r="V7227" t="s">
        <v>57572</v>
      </c>
      <c r="W7227" t="s">
        <v>41402</v>
      </c>
      <c r="X7227" t="s">
        <v>43174</v>
      </c>
    </row>
    <row r="7228" spans="1:24">
      <c r="A7228">
        <f>HYPERLINK("https://www.philgeps.gov.ph/GEPSNONPILOT/Tender/SplashBidNoticeAbstractUI.aspx?menuIndex=3&amp;refID=7077409&amp;Result=3","7077409")</f>
        <v>0</v>
      </c>
      <c r="B7228" t="s">
        <v>1467</v>
      </c>
      <c r="C7228" t="s">
        <v>10296</v>
      </c>
      <c r="D7228" t="s">
        <v>17464</v>
      </c>
      <c r="E7228" t="s">
        <v>23751</v>
      </c>
      <c r="F7228" t="s">
        <v>30052</v>
      </c>
      <c r="G7228" t="s">
        <v>30058</v>
      </c>
      <c r="H7228" t="s">
        <v>15498</v>
      </c>
      <c r="I7228" t="s">
        <v>3852</v>
      </c>
      <c r="J7228" t="s">
        <v>34665</v>
      </c>
      <c r="K7228" t="s">
        <v>39029</v>
      </c>
      <c r="M7228" t="s">
        <v>40849</v>
      </c>
      <c r="N7228" t="s">
        <v>43166</v>
      </c>
      <c r="O7228" t="s">
        <v>43167</v>
      </c>
      <c r="P7228">
        <v>0</v>
      </c>
      <c r="Q7228">
        <v>0</v>
      </c>
      <c r="R7228" t="s">
        <v>43173</v>
      </c>
      <c r="S7228" t="s">
        <v>43374</v>
      </c>
      <c r="T7228" t="s">
        <v>45049</v>
      </c>
      <c r="U7228" t="s">
        <v>51060</v>
      </c>
      <c r="W7228" t="s">
        <v>40849</v>
      </c>
      <c r="X7228" t="s">
        <v>43174</v>
      </c>
    </row>
    <row r="7229" spans="1:24">
      <c r="A7229">
        <f>HYPERLINK("https://www.philgeps.gov.ph/GEPSNONPILOT/Tender/SplashBidNoticeAbstractUI.aspx?menuIndex=3&amp;refID=7077401&amp;Result=3","7077401")</f>
        <v>0</v>
      </c>
      <c r="B7229" t="s">
        <v>298</v>
      </c>
      <c r="C7229" t="s">
        <v>10297</v>
      </c>
      <c r="D7229" t="s">
        <v>17468</v>
      </c>
      <c r="E7229" t="s">
        <v>21100</v>
      </c>
      <c r="F7229" t="s">
        <v>30052</v>
      </c>
      <c r="G7229" t="s">
        <v>30058</v>
      </c>
      <c r="H7229" t="s">
        <v>15498</v>
      </c>
      <c r="I7229" t="s">
        <v>30098</v>
      </c>
      <c r="J7229" t="s">
        <v>32185</v>
      </c>
      <c r="K7229" t="s">
        <v>39019</v>
      </c>
      <c r="M7229" t="s">
        <v>39593</v>
      </c>
      <c r="N7229" t="s">
        <v>43166</v>
      </c>
      <c r="O7229" t="s">
        <v>43167</v>
      </c>
      <c r="P7229">
        <v>0</v>
      </c>
      <c r="Q7229">
        <v>1</v>
      </c>
      <c r="R7229" t="s">
        <v>43173</v>
      </c>
      <c r="S7229" t="s">
        <v>43374</v>
      </c>
      <c r="T7229" t="s">
        <v>44806</v>
      </c>
      <c r="U7229" t="s">
        <v>51061</v>
      </c>
      <c r="W7229" t="s">
        <v>39593</v>
      </c>
      <c r="X7229" t="s">
        <v>43174</v>
      </c>
    </row>
    <row r="7230" spans="1:24">
      <c r="A7230">
        <f>HYPERLINK("https://www.philgeps.gov.ph/GEPSNONPILOT/Tender/SplashBidNoticeAbstractUI.aspx?menuIndex=3&amp;refID=7077418&amp;Result=3","7077418")</f>
        <v>0</v>
      </c>
      <c r="B7230" t="s">
        <v>1516</v>
      </c>
      <c r="C7230" t="s">
        <v>10298</v>
      </c>
      <c r="D7230" t="s">
        <v>17415</v>
      </c>
      <c r="E7230" t="s">
        <v>23752</v>
      </c>
      <c r="F7230" t="s">
        <v>30052</v>
      </c>
      <c r="G7230" t="s">
        <v>30058</v>
      </c>
      <c r="H7230" t="s">
        <v>15498</v>
      </c>
      <c r="I7230" t="s">
        <v>30084</v>
      </c>
      <c r="J7230" t="s">
        <v>34666</v>
      </c>
      <c r="K7230" t="s">
        <v>39046</v>
      </c>
      <c r="M7230" t="s">
        <v>40902</v>
      </c>
      <c r="N7230" t="s">
        <v>43166</v>
      </c>
      <c r="O7230" t="s">
        <v>43167</v>
      </c>
      <c r="P7230">
        <v>0</v>
      </c>
      <c r="Q7230">
        <v>20</v>
      </c>
      <c r="R7230" t="s">
        <v>43173</v>
      </c>
      <c r="S7230" t="s">
        <v>43374</v>
      </c>
      <c r="T7230" t="s">
        <v>44711</v>
      </c>
      <c r="U7230" t="s">
        <v>48599</v>
      </c>
      <c r="W7230" t="s">
        <v>40902</v>
      </c>
      <c r="X7230" t="s">
        <v>43174</v>
      </c>
    </row>
    <row r="7231" spans="1:24">
      <c r="A7231">
        <f>HYPERLINK("https://www.philgeps.gov.ph/GEPSNONPILOT/Tender/SplashBidNoticeAbstractUI.aspx?menuIndex=3&amp;refID=7077412&amp;Result=3","7077412")</f>
        <v>0</v>
      </c>
      <c r="B7231" t="s">
        <v>2177</v>
      </c>
      <c r="C7231" t="s">
        <v>10299</v>
      </c>
      <c r="E7231" t="s">
        <v>20193</v>
      </c>
      <c r="F7231" t="s">
        <v>30052</v>
      </c>
      <c r="G7231" t="s">
        <v>30058</v>
      </c>
      <c r="H7231" t="s">
        <v>15498</v>
      </c>
      <c r="I7231" t="s">
        <v>4650</v>
      </c>
      <c r="J7231" t="s">
        <v>30559</v>
      </c>
      <c r="K7231" t="s">
        <v>39025</v>
      </c>
      <c r="M7231" t="s">
        <v>41645</v>
      </c>
      <c r="N7231" t="s">
        <v>43166</v>
      </c>
      <c r="O7231" t="s">
        <v>43167</v>
      </c>
      <c r="P7231">
        <v>0</v>
      </c>
      <c r="Q7231">
        <v>5</v>
      </c>
      <c r="R7231" t="s">
        <v>43173</v>
      </c>
      <c r="S7231" t="s">
        <v>43374</v>
      </c>
      <c r="T7231" t="s">
        <v>44710</v>
      </c>
      <c r="U7231" t="s">
        <v>51062</v>
      </c>
      <c r="W7231" t="s">
        <v>41645</v>
      </c>
      <c r="X7231" t="s">
        <v>43174</v>
      </c>
    </row>
    <row r="7232" spans="1:24">
      <c r="A7232">
        <f>HYPERLINK("https://www.philgeps.gov.ph/GEPSNONPILOT/Tender/SplashBidNoticeAbstractUI.aspx?menuIndex=3&amp;refID=7077399&amp;Result=3","7077399")</f>
        <v>0</v>
      </c>
      <c r="B7232" t="s">
        <v>494</v>
      </c>
      <c r="C7232" t="s">
        <v>10300</v>
      </c>
      <c r="D7232" t="s">
        <v>17458</v>
      </c>
      <c r="E7232" t="s">
        <v>23753</v>
      </c>
      <c r="F7232" t="s">
        <v>30056</v>
      </c>
      <c r="G7232" t="s">
        <v>30061</v>
      </c>
      <c r="H7232" t="s">
        <v>30068</v>
      </c>
      <c r="I7232" t="s">
        <v>30100</v>
      </c>
      <c r="J7232" t="s">
        <v>33015</v>
      </c>
      <c r="K7232" t="s">
        <v>39048</v>
      </c>
      <c r="M7232" t="s">
        <v>41754</v>
      </c>
      <c r="N7232" t="s">
        <v>43166</v>
      </c>
      <c r="O7232" t="s">
        <v>43167</v>
      </c>
      <c r="Q7232">
        <v>0</v>
      </c>
      <c r="R7232" t="s">
        <v>43173</v>
      </c>
      <c r="S7232" t="s">
        <v>43383</v>
      </c>
      <c r="T7232" t="s">
        <v>44965</v>
      </c>
      <c r="U7232" t="s">
        <v>51063</v>
      </c>
      <c r="W7232" t="s">
        <v>39795</v>
      </c>
      <c r="X7232" t="s">
        <v>43174</v>
      </c>
    </row>
    <row r="7233" spans="1:24">
      <c r="A7233">
        <f>HYPERLINK("https://www.philgeps.gov.ph/GEPSNONPILOT/Tender/SplashBidNoticeAbstractUI.aspx?menuIndex=3&amp;refID=7077398&amp;Result=3","7077398")</f>
        <v>0</v>
      </c>
      <c r="B7233" t="s">
        <v>1602</v>
      </c>
      <c r="C7233" t="s">
        <v>10301</v>
      </c>
      <c r="D7233" t="s">
        <v>17445</v>
      </c>
      <c r="E7233" t="s">
        <v>23354</v>
      </c>
      <c r="F7233" t="s">
        <v>30052</v>
      </c>
      <c r="G7233" t="s">
        <v>30058</v>
      </c>
      <c r="H7233" t="s">
        <v>30067</v>
      </c>
      <c r="I7233" t="s">
        <v>3693</v>
      </c>
      <c r="J7233" t="s">
        <v>30207</v>
      </c>
      <c r="K7233" t="s">
        <v>39025</v>
      </c>
      <c r="M7233" t="s">
        <v>41000</v>
      </c>
      <c r="N7233" t="s">
        <v>43166</v>
      </c>
      <c r="O7233" t="s">
        <v>43167</v>
      </c>
      <c r="P7233">
        <v>0</v>
      </c>
      <c r="Q7233">
        <v>0</v>
      </c>
      <c r="R7233" t="s">
        <v>43173</v>
      </c>
      <c r="S7233" t="s">
        <v>43374</v>
      </c>
      <c r="T7233" t="s">
        <v>44729</v>
      </c>
      <c r="U7233" t="s">
        <v>51064</v>
      </c>
      <c r="W7233" t="s">
        <v>41000</v>
      </c>
      <c r="X7233" t="s">
        <v>43174</v>
      </c>
    </row>
    <row r="7234" spans="1:24">
      <c r="A7234">
        <f>HYPERLINK("https://www.philgeps.gov.ph/GEPSNONPILOT/Tender/SplashBidNoticeAbstractUI.aspx?menuIndex=3&amp;refID=7077397&amp;Result=3","7077397")</f>
        <v>0</v>
      </c>
      <c r="B7234" t="s">
        <v>920</v>
      </c>
      <c r="C7234" t="s">
        <v>10302</v>
      </c>
      <c r="D7234" t="s">
        <v>17415</v>
      </c>
      <c r="E7234" t="s">
        <v>23754</v>
      </c>
      <c r="F7234" t="s">
        <v>30052</v>
      </c>
      <c r="G7234" t="s">
        <v>30058</v>
      </c>
      <c r="H7234" t="s">
        <v>15498</v>
      </c>
      <c r="I7234" t="s">
        <v>30070</v>
      </c>
      <c r="J7234" t="s">
        <v>34667</v>
      </c>
      <c r="K7234" t="s">
        <v>39017</v>
      </c>
      <c r="M7234" t="s">
        <v>40243</v>
      </c>
      <c r="N7234" t="s">
        <v>43166</v>
      </c>
      <c r="O7234" t="s">
        <v>43167</v>
      </c>
      <c r="P7234">
        <v>0</v>
      </c>
      <c r="Q7234">
        <v>4</v>
      </c>
      <c r="R7234" t="s">
        <v>43173</v>
      </c>
      <c r="S7234" t="s">
        <v>43374</v>
      </c>
      <c r="T7234" t="s">
        <v>45057</v>
      </c>
      <c r="U7234" t="s">
        <v>50976</v>
      </c>
      <c r="W7234" t="s">
        <v>40243</v>
      </c>
      <c r="X7234" t="s">
        <v>43174</v>
      </c>
    </row>
    <row r="7235" spans="1:24">
      <c r="A7235">
        <f>HYPERLINK("https://www.philgeps.gov.ph/GEPSNONPILOT/Tender/SplashBidNoticeAbstractUI.aspx?menuIndex=3&amp;refID=7077396&amp;Result=3","7077396")</f>
        <v>0</v>
      </c>
      <c r="B7235" t="s">
        <v>123</v>
      </c>
      <c r="C7235" t="s">
        <v>10303</v>
      </c>
      <c r="D7235" t="s">
        <v>17472</v>
      </c>
      <c r="E7235" t="s">
        <v>23755</v>
      </c>
      <c r="F7235" t="s">
        <v>30052</v>
      </c>
      <c r="G7235" t="s">
        <v>30059</v>
      </c>
      <c r="H7235" t="s">
        <v>15498</v>
      </c>
      <c r="I7235" t="s">
        <v>6691</v>
      </c>
      <c r="J7235" t="s">
        <v>34654</v>
      </c>
      <c r="K7235" t="s">
        <v>39025</v>
      </c>
      <c r="M7235" t="s">
        <v>39412</v>
      </c>
      <c r="N7235" t="s">
        <v>43166</v>
      </c>
      <c r="O7235" t="s">
        <v>43167</v>
      </c>
      <c r="P7235">
        <v>0</v>
      </c>
      <c r="Q7235">
        <v>0</v>
      </c>
      <c r="R7235" t="s">
        <v>43173</v>
      </c>
      <c r="S7235" t="s">
        <v>43374</v>
      </c>
      <c r="T7235" t="s">
        <v>44956</v>
      </c>
      <c r="U7235" t="s">
        <v>51065</v>
      </c>
      <c r="W7235" t="s">
        <v>39412</v>
      </c>
      <c r="X7235" t="s">
        <v>43174</v>
      </c>
    </row>
    <row r="7236" spans="1:24">
      <c r="A7236">
        <f>HYPERLINK("https://www.philgeps.gov.ph/GEPSNONPILOT/Tender/SplashBidNoticeAbstractUI.aspx?menuIndex=3&amp;refID=7077394&amp;Result=3","7077394")</f>
        <v>0</v>
      </c>
      <c r="B7236" t="s">
        <v>2274</v>
      </c>
      <c r="C7236" t="s">
        <v>10304</v>
      </c>
      <c r="D7236" t="s">
        <v>17419</v>
      </c>
      <c r="E7236" t="s">
        <v>23756</v>
      </c>
      <c r="F7236" t="s">
        <v>30055</v>
      </c>
      <c r="G7236" t="s">
        <v>30058</v>
      </c>
      <c r="H7236" t="s">
        <v>30067</v>
      </c>
      <c r="I7236" t="s">
        <v>3693</v>
      </c>
      <c r="J7236" t="s">
        <v>30222</v>
      </c>
      <c r="K7236" t="s">
        <v>39046</v>
      </c>
      <c r="M7236" t="s">
        <v>41755</v>
      </c>
      <c r="N7236" t="s">
        <v>43166</v>
      </c>
      <c r="O7236" t="s">
        <v>43167</v>
      </c>
      <c r="P7236">
        <v>0</v>
      </c>
      <c r="Q7236">
        <v>0</v>
      </c>
      <c r="R7236" t="s">
        <v>43173</v>
      </c>
      <c r="S7236" t="s">
        <v>43374</v>
      </c>
      <c r="T7236" t="s">
        <v>44780</v>
      </c>
      <c r="U7236" t="s">
        <v>51066</v>
      </c>
      <c r="W7236" t="s">
        <v>41755</v>
      </c>
      <c r="X7236" t="s">
        <v>43174</v>
      </c>
    </row>
    <row r="7237" spans="1:24">
      <c r="A7237">
        <f>HYPERLINK("https://www.philgeps.gov.ph/GEPSNONPILOT/Tender/SplashBidNoticeAbstractUI.aspx?menuIndex=3&amp;refID=7077388&amp;Result=3","7077388")</f>
        <v>0</v>
      </c>
      <c r="B7237" t="s">
        <v>2145</v>
      </c>
      <c r="C7237" t="s">
        <v>10305</v>
      </c>
      <c r="D7237" t="s">
        <v>17414</v>
      </c>
      <c r="E7237" t="s">
        <v>23757</v>
      </c>
      <c r="F7237" t="s">
        <v>30052</v>
      </c>
      <c r="G7237" t="s">
        <v>30059</v>
      </c>
      <c r="H7237" t="s">
        <v>15498</v>
      </c>
      <c r="I7237" t="s">
        <v>3736</v>
      </c>
      <c r="J7237" t="s">
        <v>34668</v>
      </c>
      <c r="K7237" t="s">
        <v>39019</v>
      </c>
      <c r="M7237" t="s">
        <v>41609</v>
      </c>
      <c r="N7237" t="s">
        <v>43166</v>
      </c>
      <c r="O7237" t="s">
        <v>43167</v>
      </c>
      <c r="P7237">
        <v>0</v>
      </c>
      <c r="Q7237">
        <v>0</v>
      </c>
      <c r="R7237" t="s">
        <v>43173</v>
      </c>
      <c r="S7237" t="s">
        <v>43374</v>
      </c>
      <c r="T7237" t="s">
        <v>44832</v>
      </c>
      <c r="U7237" t="s">
        <v>51067</v>
      </c>
      <c r="W7237" t="s">
        <v>41609</v>
      </c>
      <c r="X7237" t="s">
        <v>43174</v>
      </c>
    </row>
    <row r="7238" spans="1:24">
      <c r="A7238">
        <f>HYPERLINK("https://www.philgeps.gov.ph/GEPSNONPILOT/Tender/SplashBidNoticeAbstractUI.aspx?menuIndex=3&amp;refID=7077387&amp;Result=3","7077387")</f>
        <v>0</v>
      </c>
      <c r="B7238" t="s">
        <v>2275</v>
      </c>
      <c r="C7238" t="s">
        <v>9209</v>
      </c>
      <c r="D7238" t="s">
        <v>17422</v>
      </c>
      <c r="E7238" t="s">
        <v>23758</v>
      </c>
      <c r="F7238" t="s">
        <v>30052</v>
      </c>
      <c r="G7238" t="s">
        <v>30059</v>
      </c>
      <c r="H7238" t="s">
        <v>15498</v>
      </c>
      <c r="I7238" t="s">
        <v>4650</v>
      </c>
      <c r="J7238" t="s">
        <v>31660</v>
      </c>
      <c r="K7238" t="s">
        <v>39029</v>
      </c>
      <c r="M7238" t="s">
        <v>41756</v>
      </c>
      <c r="N7238" t="s">
        <v>43166</v>
      </c>
      <c r="O7238" t="s">
        <v>43167</v>
      </c>
      <c r="P7238">
        <v>0</v>
      </c>
      <c r="Q7238">
        <v>7</v>
      </c>
      <c r="R7238" t="s">
        <v>43173</v>
      </c>
      <c r="S7238" t="s">
        <v>43374</v>
      </c>
      <c r="T7238" t="s">
        <v>45058</v>
      </c>
      <c r="U7238" t="s">
        <v>51068</v>
      </c>
      <c r="W7238" t="s">
        <v>41756</v>
      </c>
      <c r="X7238" t="s">
        <v>43174</v>
      </c>
    </row>
    <row r="7239" spans="1:24">
      <c r="A7239">
        <f>HYPERLINK("https://www.philgeps.gov.ph/GEPSNONPILOT/Tender/SplashBidNoticeAbstractUI.aspx?menuIndex=3&amp;refID=7076229&amp;Result=3","7076229")</f>
        <v>0</v>
      </c>
      <c r="B7239" t="s">
        <v>2276</v>
      </c>
      <c r="C7239" t="s">
        <v>10306</v>
      </c>
      <c r="D7239" t="s">
        <v>17459</v>
      </c>
      <c r="E7239" t="s">
        <v>23759</v>
      </c>
      <c r="F7239" t="s">
        <v>30052</v>
      </c>
      <c r="G7239" t="s">
        <v>30058</v>
      </c>
      <c r="H7239" t="s">
        <v>30067</v>
      </c>
      <c r="I7239" t="s">
        <v>3693</v>
      </c>
      <c r="J7239" t="s">
        <v>30605</v>
      </c>
      <c r="K7239" t="s">
        <v>39029</v>
      </c>
      <c r="M7239" t="s">
        <v>41757</v>
      </c>
      <c r="N7239" t="s">
        <v>43166</v>
      </c>
      <c r="O7239" t="s">
        <v>43167</v>
      </c>
      <c r="P7239">
        <v>0</v>
      </c>
      <c r="Q7239">
        <v>0</v>
      </c>
      <c r="R7239" t="s">
        <v>43173</v>
      </c>
      <c r="S7239" t="s">
        <v>43374</v>
      </c>
      <c r="T7239" t="s">
        <v>44807</v>
      </c>
      <c r="U7239" t="s">
        <v>51069</v>
      </c>
      <c r="W7239" t="s">
        <v>41757</v>
      </c>
      <c r="X7239" t="s">
        <v>43174</v>
      </c>
    </row>
    <row r="7240" spans="1:24">
      <c r="A7240">
        <f>HYPERLINK("https://www.philgeps.gov.ph/GEPSNONPILOT/Tender/SplashBidNoticeAbstractUI.aspx?menuIndex=3&amp;refID=7077400&amp;Result=3","7077400")</f>
        <v>0</v>
      </c>
      <c r="B7240" t="s">
        <v>1162</v>
      </c>
      <c r="C7240" t="s">
        <v>10307</v>
      </c>
      <c r="D7240" t="s">
        <v>17472</v>
      </c>
      <c r="E7240" t="s">
        <v>23760</v>
      </c>
      <c r="F7240" t="s">
        <v>30052</v>
      </c>
      <c r="G7240" t="s">
        <v>30059</v>
      </c>
      <c r="H7240" t="s">
        <v>15498</v>
      </c>
      <c r="I7240" t="s">
        <v>30091</v>
      </c>
      <c r="J7240" t="s">
        <v>34669</v>
      </c>
      <c r="K7240" t="s">
        <v>39017</v>
      </c>
      <c r="M7240" t="s">
        <v>41758</v>
      </c>
      <c r="N7240" t="s">
        <v>43166</v>
      </c>
      <c r="O7240" t="s">
        <v>43167</v>
      </c>
      <c r="P7240">
        <v>0</v>
      </c>
      <c r="Q7240">
        <v>1</v>
      </c>
      <c r="R7240" t="s">
        <v>43173</v>
      </c>
      <c r="S7240" t="s">
        <v>43374</v>
      </c>
      <c r="T7240" t="s">
        <v>44837</v>
      </c>
      <c r="U7240" t="s">
        <v>51070</v>
      </c>
      <c r="W7240" t="s">
        <v>41758</v>
      </c>
      <c r="X7240" t="s">
        <v>43174</v>
      </c>
    </row>
    <row r="7241" spans="1:24">
      <c r="A7241">
        <f>HYPERLINK("https://www.philgeps.gov.ph/GEPSNONPILOT/Tender/SplashBidNoticeAbstractUI.aspx?menuIndex=3&amp;refID=7076226&amp;Result=3","7076226")</f>
        <v>0</v>
      </c>
      <c r="B7241" t="s">
        <v>1572</v>
      </c>
      <c r="C7241" t="s">
        <v>9852</v>
      </c>
      <c r="D7241" t="s">
        <v>17476</v>
      </c>
      <c r="E7241" t="s">
        <v>17662</v>
      </c>
      <c r="F7241" t="s">
        <v>30052</v>
      </c>
      <c r="G7241" t="s">
        <v>30061</v>
      </c>
      <c r="H7241" t="s">
        <v>15498</v>
      </c>
      <c r="I7241" t="s">
        <v>30076</v>
      </c>
      <c r="J7241" t="s">
        <v>31785</v>
      </c>
      <c r="K7241" t="s">
        <v>39036</v>
      </c>
      <c r="M7241" t="s">
        <v>40963</v>
      </c>
      <c r="N7241" t="s">
        <v>43166</v>
      </c>
      <c r="O7241" t="s">
        <v>43167</v>
      </c>
      <c r="P7241">
        <v>0</v>
      </c>
      <c r="Q7241">
        <v>1</v>
      </c>
      <c r="R7241" t="s">
        <v>43173</v>
      </c>
      <c r="S7241" t="s">
        <v>43374</v>
      </c>
      <c r="T7241" t="s">
        <v>44841</v>
      </c>
      <c r="U7241" t="s">
        <v>50675</v>
      </c>
      <c r="W7241" t="s">
        <v>40963</v>
      </c>
      <c r="X7241" t="s">
        <v>43174</v>
      </c>
    </row>
    <row r="7242" spans="1:24">
      <c r="A7242">
        <f>HYPERLINK("https://www.philgeps.gov.ph/GEPSNONPILOT/Tender/SplashBidNoticeAbstractUI.aspx?menuIndex=3&amp;refID=7076219&amp;Result=3","7076219")</f>
        <v>0</v>
      </c>
      <c r="B7242" t="s">
        <v>621</v>
      </c>
      <c r="C7242" t="s">
        <v>9833</v>
      </c>
      <c r="D7242" t="s">
        <v>17474</v>
      </c>
      <c r="E7242" t="s">
        <v>23761</v>
      </c>
      <c r="F7242" t="s">
        <v>30052</v>
      </c>
      <c r="G7242" t="s">
        <v>30059</v>
      </c>
      <c r="H7242" t="s">
        <v>15498</v>
      </c>
      <c r="I7242" t="s">
        <v>30084</v>
      </c>
      <c r="J7242" t="s">
        <v>30528</v>
      </c>
      <c r="K7242" t="s">
        <v>39029</v>
      </c>
      <c r="L7242" t="s">
        <v>621</v>
      </c>
      <c r="M7242" t="s">
        <v>39924</v>
      </c>
      <c r="N7242" t="s">
        <v>43166</v>
      </c>
      <c r="O7242" t="s">
        <v>43167</v>
      </c>
      <c r="P7242">
        <v>0</v>
      </c>
      <c r="Q7242">
        <v>0</v>
      </c>
      <c r="R7242" t="s">
        <v>43173</v>
      </c>
      <c r="S7242" t="s">
        <v>43374</v>
      </c>
      <c r="T7242" t="s">
        <v>44888</v>
      </c>
      <c r="U7242" t="s">
        <v>50657</v>
      </c>
      <c r="V7242" t="s">
        <v>57573</v>
      </c>
      <c r="W7242" t="s">
        <v>39924</v>
      </c>
      <c r="X7242" t="s">
        <v>43174</v>
      </c>
    </row>
    <row r="7243" spans="1:24">
      <c r="A7243">
        <f>HYPERLINK("https://www.philgeps.gov.ph/GEPSNONPILOT/Tender/SplashBidNoticeAbstractUI.aspx?menuIndex=3&amp;refID=7076107&amp;Result=3","7076107")</f>
        <v>0</v>
      </c>
      <c r="B7243" t="s">
        <v>2277</v>
      </c>
      <c r="C7243" t="s">
        <v>10308</v>
      </c>
      <c r="D7243" t="s">
        <v>17459</v>
      </c>
      <c r="E7243" t="s">
        <v>23762</v>
      </c>
      <c r="F7243" t="s">
        <v>30052</v>
      </c>
      <c r="G7243" t="s">
        <v>30064</v>
      </c>
      <c r="H7243" t="s">
        <v>15498</v>
      </c>
      <c r="I7243" t="s">
        <v>4650</v>
      </c>
      <c r="J7243" t="s">
        <v>30327</v>
      </c>
      <c r="K7243" t="s">
        <v>39034</v>
      </c>
      <c r="M7243" t="s">
        <v>41759</v>
      </c>
      <c r="N7243" t="s">
        <v>43166</v>
      </c>
      <c r="O7243" t="s">
        <v>43167</v>
      </c>
      <c r="P7243">
        <v>0</v>
      </c>
      <c r="Q7243">
        <v>0</v>
      </c>
      <c r="R7243" t="s">
        <v>43173</v>
      </c>
      <c r="S7243" t="s">
        <v>43374</v>
      </c>
      <c r="T7243" t="s">
        <v>44870</v>
      </c>
      <c r="U7243" t="s">
        <v>51071</v>
      </c>
      <c r="W7243" t="s">
        <v>41759</v>
      </c>
      <c r="X7243" t="s">
        <v>43174</v>
      </c>
    </row>
    <row r="7244" spans="1:24">
      <c r="A7244">
        <f>HYPERLINK("https://www.philgeps.gov.ph/GEPSNONPILOT/Tender/SplashBidNoticeAbstractUI.aspx?menuIndex=3&amp;refID=7077404&amp;Result=3","7077404")</f>
        <v>0</v>
      </c>
      <c r="B7244" t="s">
        <v>2251</v>
      </c>
      <c r="C7244" t="s">
        <v>10309</v>
      </c>
      <c r="D7244" t="s">
        <v>17468</v>
      </c>
      <c r="E7244" t="s">
        <v>17779</v>
      </c>
      <c r="F7244" t="s">
        <v>30052</v>
      </c>
      <c r="G7244" t="s">
        <v>30059</v>
      </c>
      <c r="H7244" t="s">
        <v>15498</v>
      </c>
      <c r="I7244" t="s">
        <v>30076</v>
      </c>
      <c r="J7244" t="s">
        <v>32113</v>
      </c>
      <c r="K7244" t="s">
        <v>39036</v>
      </c>
      <c r="M7244" t="s">
        <v>41729</v>
      </c>
      <c r="N7244" t="s">
        <v>43166</v>
      </c>
      <c r="O7244" t="s">
        <v>43167</v>
      </c>
      <c r="P7244">
        <v>0</v>
      </c>
      <c r="Q7244">
        <v>3</v>
      </c>
      <c r="R7244" t="s">
        <v>43173</v>
      </c>
      <c r="S7244" t="s">
        <v>43374</v>
      </c>
      <c r="T7244" t="s">
        <v>44715</v>
      </c>
      <c r="U7244" t="s">
        <v>51072</v>
      </c>
      <c r="W7244" t="s">
        <v>41729</v>
      </c>
      <c r="X7244" t="s">
        <v>43174</v>
      </c>
    </row>
    <row r="7245" spans="1:24">
      <c r="A7245">
        <f>HYPERLINK("https://www.philgeps.gov.ph/GEPSNONPILOT/Tender/SplashBidNoticeAbstractUI.aspx?menuIndex=3&amp;refID=7076106&amp;Result=3","7076106")</f>
        <v>0</v>
      </c>
      <c r="B7245" t="s">
        <v>2278</v>
      </c>
      <c r="C7245" t="s">
        <v>10310</v>
      </c>
      <c r="D7245" t="s">
        <v>17423</v>
      </c>
      <c r="E7245" t="s">
        <v>23763</v>
      </c>
      <c r="F7245" t="s">
        <v>30052</v>
      </c>
      <c r="G7245" t="s">
        <v>30058</v>
      </c>
      <c r="H7245" t="s">
        <v>15498</v>
      </c>
      <c r="I7245" t="s">
        <v>30075</v>
      </c>
      <c r="J7245" t="s">
        <v>34670</v>
      </c>
      <c r="K7245" t="s">
        <v>39032</v>
      </c>
      <c r="M7245" t="s">
        <v>41760</v>
      </c>
      <c r="N7245" t="s">
        <v>43166</v>
      </c>
      <c r="O7245" t="s">
        <v>43167</v>
      </c>
      <c r="P7245">
        <v>0</v>
      </c>
      <c r="Q7245">
        <v>3</v>
      </c>
      <c r="R7245" t="s">
        <v>43173</v>
      </c>
      <c r="S7245" t="s">
        <v>43374</v>
      </c>
      <c r="T7245" t="s">
        <v>44773</v>
      </c>
      <c r="U7245" t="s">
        <v>51073</v>
      </c>
      <c r="W7245" t="s">
        <v>41760</v>
      </c>
      <c r="X7245" t="s">
        <v>43174</v>
      </c>
    </row>
    <row r="7246" spans="1:24">
      <c r="A7246">
        <f>HYPERLINK("https://www.philgeps.gov.ph/GEPSNONPILOT/Tender/SplashBidNoticeAbstractUI.aspx?menuIndex=3&amp;refID=7076105&amp;Result=3","7076105")</f>
        <v>0</v>
      </c>
      <c r="B7246" t="s">
        <v>2277</v>
      </c>
      <c r="C7246" t="s">
        <v>10311</v>
      </c>
      <c r="D7246" t="s">
        <v>17459</v>
      </c>
      <c r="E7246" t="s">
        <v>23764</v>
      </c>
      <c r="F7246" t="s">
        <v>30052</v>
      </c>
      <c r="G7246" t="s">
        <v>30064</v>
      </c>
      <c r="H7246" t="s">
        <v>15498</v>
      </c>
      <c r="I7246" t="s">
        <v>4598</v>
      </c>
      <c r="J7246" t="s">
        <v>34253</v>
      </c>
      <c r="K7246" t="s">
        <v>39034</v>
      </c>
      <c r="M7246" t="s">
        <v>41759</v>
      </c>
      <c r="N7246" t="s">
        <v>43166</v>
      </c>
      <c r="O7246" t="s">
        <v>43167</v>
      </c>
      <c r="P7246">
        <v>0</v>
      </c>
      <c r="Q7246">
        <v>1</v>
      </c>
      <c r="R7246" t="s">
        <v>43173</v>
      </c>
      <c r="S7246" t="s">
        <v>43374</v>
      </c>
      <c r="T7246" t="s">
        <v>44870</v>
      </c>
      <c r="U7246" t="s">
        <v>51071</v>
      </c>
      <c r="W7246" t="s">
        <v>41759</v>
      </c>
      <c r="X7246" t="s">
        <v>43174</v>
      </c>
    </row>
    <row r="7247" spans="1:24">
      <c r="A7247">
        <f>HYPERLINK("https://www.philgeps.gov.ph/GEPSNONPILOT/Tender/SplashBidNoticeAbstractUI.aspx?menuIndex=3&amp;refID=7058721&amp;Result=3","7058721")</f>
        <v>0</v>
      </c>
      <c r="B7247" t="s">
        <v>423</v>
      </c>
      <c r="C7247" t="s">
        <v>10312</v>
      </c>
      <c r="D7247" t="s">
        <v>17424</v>
      </c>
      <c r="E7247" t="s">
        <v>23765</v>
      </c>
      <c r="F7247" t="s">
        <v>30052</v>
      </c>
      <c r="G7247" t="s">
        <v>30058</v>
      </c>
      <c r="H7247" t="s">
        <v>30067</v>
      </c>
      <c r="I7247" t="s">
        <v>3693</v>
      </c>
      <c r="J7247" t="s">
        <v>30358</v>
      </c>
      <c r="K7247" t="s">
        <v>39029</v>
      </c>
      <c r="M7247" t="s">
        <v>39722</v>
      </c>
      <c r="N7247" t="s">
        <v>43166</v>
      </c>
      <c r="O7247" t="s">
        <v>43167</v>
      </c>
      <c r="P7247">
        <v>0</v>
      </c>
      <c r="Q7247">
        <v>1</v>
      </c>
      <c r="R7247" t="s">
        <v>43173</v>
      </c>
      <c r="S7247" t="s">
        <v>43374</v>
      </c>
      <c r="T7247" t="s">
        <v>44708</v>
      </c>
      <c r="U7247" t="s">
        <v>51074</v>
      </c>
      <c r="W7247" t="s">
        <v>39722</v>
      </c>
      <c r="X7247" t="s">
        <v>43183</v>
      </c>
    </row>
    <row r="7248" spans="1:24">
      <c r="A7248">
        <f>HYPERLINK("https://www.philgeps.gov.ph/GEPSNONPILOT/Tender/SplashBidNoticeAbstractUI.aspx?menuIndex=3&amp;refID=7077362&amp;Result=3","7077362")</f>
        <v>0</v>
      </c>
      <c r="B7248" t="s">
        <v>1320</v>
      </c>
      <c r="C7248" t="s">
        <v>10313</v>
      </c>
      <c r="D7248" t="s">
        <v>17440</v>
      </c>
      <c r="E7248" t="s">
        <v>23766</v>
      </c>
      <c r="F7248" t="s">
        <v>30052</v>
      </c>
      <c r="G7248" t="s">
        <v>30058</v>
      </c>
      <c r="H7248" t="s">
        <v>15498</v>
      </c>
      <c r="I7248" t="s">
        <v>30072</v>
      </c>
      <c r="J7248" t="s">
        <v>34671</v>
      </c>
      <c r="K7248" t="s">
        <v>39091</v>
      </c>
      <c r="M7248" t="s">
        <v>40687</v>
      </c>
      <c r="N7248" t="s">
        <v>43166</v>
      </c>
      <c r="O7248" t="s">
        <v>43167</v>
      </c>
      <c r="P7248">
        <v>0</v>
      </c>
      <c r="Q7248">
        <v>3</v>
      </c>
      <c r="R7248" t="s">
        <v>43173</v>
      </c>
      <c r="S7248" t="s">
        <v>43374</v>
      </c>
      <c r="T7248" t="s">
        <v>44815</v>
      </c>
      <c r="U7248" t="s">
        <v>51022</v>
      </c>
      <c r="V7248" t="s">
        <v>57568</v>
      </c>
      <c r="W7248" t="s">
        <v>40687</v>
      </c>
      <c r="X7248" t="s">
        <v>43174</v>
      </c>
    </row>
    <row r="7249" spans="1:24">
      <c r="A7249">
        <f>HYPERLINK("https://www.philgeps.gov.ph/GEPSNONPILOT/Tender/SplashBidNoticeAbstractUI.aspx?menuIndex=3&amp;refID=7076220&amp;Result=3","7076220")</f>
        <v>0</v>
      </c>
      <c r="B7249" t="s">
        <v>746</v>
      </c>
      <c r="C7249" t="s">
        <v>10314</v>
      </c>
      <c r="D7249" t="s">
        <v>17421</v>
      </c>
      <c r="E7249" t="s">
        <v>23767</v>
      </c>
      <c r="F7249" t="s">
        <v>30052</v>
      </c>
      <c r="G7249" t="s">
        <v>30058</v>
      </c>
      <c r="H7249" t="s">
        <v>15498</v>
      </c>
      <c r="I7249" t="s">
        <v>30183</v>
      </c>
      <c r="J7249" t="s">
        <v>34672</v>
      </c>
      <c r="K7249" t="s">
        <v>39023</v>
      </c>
      <c r="M7249" t="s">
        <v>40060</v>
      </c>
      <c r="N7249" t="s">
        <v>43166</v>
      </c>
      <c r="O7249" t="s">
        <v>43167</v>
      </c>
      <c r="P7249">
        <v>0</v>
      </c>
      <c r="Q7249">
        <v>1</v>
      </c>
      <c r="R7249" t="s">
        <v>43173</v>
      </c>
      <c r="S7249" t="s">
        <v>43374</v>
      </c>
      <c r="T7249" t="s">
        <v>44703</v>
      </c>
      <c r="U7249" t="s">
        <v>51075</v>
      </c>
      <c r="W7249" t="s">
        <v>40060</v>
      </c>
      <c r="X7249" t="s">
        <v>43174</v>
      </c>
    </row>
    <row r="7250" spans="1:24">
      <c r="A7250">
        <f>HYPERLINK("https://www.philgeps.gov.ph/GEPSNONPILOT/Tender/SplashBidNoticeAbstractUI.aspx?menuIndex=3&amp;refID=7077407&amp;Result=3","7077407")</f>
        <v>0</v>
      </c>
      <c r="B7250" t="s">
        <v>2279</v>
      </c>
      <c r="C7250" t="s">
        <v>10315</v>
      </c>
      <c r="D7250" t="s">
        <v>17472</v>
      </c>
      <c r="E7250" t="s">
        <v>23768</v>
      </c>
      <c r="F7250" t="s">
        <v>30052</v>
      </c>
      <c r="G7250" t="s">
        <v>30058</v>
      </c>
      <c r="H7250" t="s">
        <v>15498</v>
      </c>
      <c r="I7250" t="s">
        <v>3736</v>
      </c>
      <c r="J7250" t="s">
        <v>34673</v>
      </c>
      <c r="K7250" t="s">
        <v>39017</v>
      </c>
      <c r="M7250" t="s">
        <v>41761</v>
      </c>
      <c r="N7250" t="s">
        <v>43166</v>
      </c>
      <c r="O7250" t="s">
        <v>43167</v>
      </c>
      <c r="P7250">
        <v>0</v>
      </c>
      <c r="Q7250">
        <v>1</v>
      </c>
      <c r="R7250" t="s">
        <v>43173</v>
      </c>
      <c r="S7250" t="s">
        <v>43374</v>
      </c>
      <c r="T7250" t="s">
        <v>44732</v>
      </c>
      <c r="U7250" t="s">
        <v>51076</v>
      </c>
      <c r="W7250" t="s">
        <v>41761</v>
      </c>
      <c r="X7250" t="s">
        <v>43174</v>
      </c>
    </row>
    <row r="7251" spans="1:24">
      <c r="A7251">
        <f>HYPERLINK("https://www.philgeps.gov.ph/GEPSNONPILOT/Tender/SplashBidNoticeAbstractUI.aspx?menuIndex=3&amp;refID=7081723&amp;Result=3","7081723")</f>
        <v>0</v>
      </c>
      <c r="B7251" t="s">
        <v>2280</v>
      </c>
      <c r="C7251" t="s">
        <v>10316</v>
      </c>
      <c r="D7251" t="s">
        <v>17442</v>
      </c>
      <c r="E7251" t="s">
        <v>18370</v>
      </c>
      <c r="F7251" t="s">
        <v>30055</v>
      </c>
      <c r="G7251" t="s">
        <v>30058</v>
      </c>
      <c r="H7251" t="s">
        <v>15498</v>
      </c>
      <c r="I7251" t="s">
        <v>30084</v>
      </c>
      <c r="J7251" t="s">
        <v>34674</v>
      </c>
      <c r="K7251" t="s">
        <v>39023</v>
      </c>
      <c r="M7251" t="s">
        <v>41762</v>
      </c>
      <c r="N7251" t="s">
        <v>43166</v>
      </c>
      <c r="O7251" t="s">
        <v>43167</v>
      </c>
      <c r="P7251">
        <v>0</v>
      </c>
      <c r="Q7251">
        <v>3</v>
      </c>
      <c r="R7251" t="s">
        <v>43172</v>
      </c>
      <c r="S7251" t="s">
        <v>43334</v>
      </c>
      <c r="T7251" t="s">
        <v>44905</v>
      </c>
      <c r="U7251" t="s">
        <v>51077</v>
      </c>
      <c r="W7251" t="s">
        <v>41762</v>
      </c>
      <c r="X7251" t="s">
        <v>43173</v>
      </c>
    </row>
    <row r="7252" spans="1:24">
      <c r="A7252">
        <f>HYPERLINK("https://www.philgeps.gov.ph/GEPSNONPILOT/Tender/SplashBidNoticeAbstractUI.aspx?menuIndex=3&amp;refID=7077102&amp;Result=3","7077102")</f>
        <v>0</v>
      </c>
      <c r="B7252" t="s">
        <v>2233</v>
      </c>
      <c r="C7252" t="s">
        <v>10113</v>
      </c>
      <c r="D7252" t="s">
        <v>17465</v>
      </c>
      <c r="E7252" t="s">
        <v>23619</v>
      </c>
      <c r="F7252" t="s">
        <v>30052</v>
      </c>
      <c r="G7252" t="s">
        <v>30062</v>
      </c>
      <c r="H7252" t="s">
        <v>15498</v>
      </c>
      <c r="I7252" t="s">
        <v>30085</v>
      </c>
      <c r="J7252" t="s">
        <v>34675</v>
      </c>
      <c r="K7252" t="s">
        <v>39017</v>
      </c>
      <c r="M7252" t="s">
        <v>41705</v>
      </c>
      <c r="N7252" t="s">
        <v>43166</v>
      </c>
      <c r="O7252" t="s">
        <v>43167</v>
      </c>
      <c r="P7252">
        <v>0</v>
      </c>
      <c r="Q7252">
        <v>3</v>
      </c>
      <c r="R7252" t="s">
        <v>43173</v>
      </c>
      <c r="S7252" t="s">
        <v>43374</v>
      </c>
      <c r="T7252" t="s">
        <v>44843</v>
      </c>
      <c r="U7252" t="s">
        <v>50905</v>
      </c>
      <c r="W7252" t="s">
        <v>41705</v>
      </c>
      <c r="X7252" t="s">
        <v>43174</v>
      </c>
    </row>
    <row r="7253" spans="1:24">
      <c r="A7253">
        <f>HYPERLINK("https://www.philgeps.gov.ph/GEPSNONPILOT/Tender/SplashBidNoticeAbstractUI.aspx?menuIndex=3&amp;refID=7081692&amp;Result=3","7081692")</f>
        <v>0</v>
      </c>
      <c r="B7253" t="s">
        <v>2070</v>
      </c>
      <c r="C7253" t="s">
        <v>10317</v>
      </c>
      <c r="D7253" t="s">
        <v>17413</v>
      </c>
      <c r="E7253" t="s">
        <v>23769</v>
      </c>
      <c r="F7253" t="s">
        <v>30052</v>
      </c>
      <c r="G7253" t="s">
        <v>30058</v>
      </c>
      <c r="H7253" t="s">
        <v>30067</v>
      </c>
      <c r="I7253" t="s">
        <v>3693</v>
      </c>
      <c r="J7253" t="s">
        <v>34676</v>
      </c>
      <c r="K7253" t="s">
        <v>39047</v>
      </c>
      <c r="L7253" t="s">
        <v>2070</v>
      </c>
      <c r="M7253" t="s">
        <v>41530</v>
      </c>
      <c r="N7253" t="s">
        <v>43166</v>
      </c>
      <c r="O7253" t="s">
        <v>43167</v>
      </c>
      <c r="P7253">
        <v>0</v>
      </c>
      <c r="Q7253">
        <v>0</v>
      </c>
      <c r="R7253" t="s">
        <v>43172</v>
      </c>
      <c r="S7253" t="s">
        <v>43334</v>
      </c>
      <c r="T7253" t="s">
        <v>45021</v>
      </c>
      <c r="U7253" t="s">
        <v>51078</v>
      </c>
      <c r="W7253" t="s">
        <v>41530</v>
      </c>
      <c r="X7253" t="s">
        <v>43173</v>
      </c>
    </row>
    <row r="7254" spans="1:24">
      <c r="A7254">
        <f>HYPERLINK("https://www.philgeps.gov.ph/GEPSNONPILOT/Tender/SplashBidNoticeAbstractUI.aspx?menuIndex=3&amp;refID=7081691&amp;Result=3","7081691")</f>
        <v>0</v>
      </c>
      <c r="B7254" t="s">
        <v>1691</v>
      </c>
      <c r="C7254" t="s">
        <v>10318</v>
      </c>
      <c r="D7254" t="s">
        <v>17459</v>
      </c>
      <c r="E7254" t="s">
        <v>23770</v>
      </c>
      <c r="F7254" t="s">
        <v>30052</v>
      </c>
      <c r="G7254" t="s">
        <v>30058</v>
      </c>
      <c r="H7254" t="s">
        <v>15498</v>
      </c>
      <c r="I7254" t="s">
        <v>30084</v>
      </c>
      <c r="J7254" t="s">
        <v>34677</v>
      </c>
      <c r="K7254" t="s">
        <v>39019</v>
      </c>
      <c r="M7254" t="s">
        <v>41100</v>
      </c>
      <c r="N7254" t="s">
        <v>43166</v>
      </c>
      <c r="O7254" t="s">
        <v>43167</v>
      </c>
      <c r="P7254">
        <v>0</v>
      </c>
      <c r="Q7254">
        <v>6</v>
      </c>
      <c r="R7254" t="s">
        <v>43172</v>
      </c>
      <c r="S7254" t="s">
        <v>43334</v>
      </c>
      <c r="T7254" t="s">
        <v>44985</v>
      </c>
      <c r="U7254" t="s">
        <v>51079</v>
      </c>
      <c r="W7254" t="s">
        <v>41100</v>
      </c>
      <c r="X7254" t="s">
        <v>43173</v>
      </c>
    </row>
    <row r="7255" spans="1:24">
      <c r="A7255">
        <f>HYPERLINK("https://www.philgeps.gov.ph/GEPSNONPILOT/Tender/SplashBidNoticeAbstractUI.aspx?menuIndex=3&amp;refID=7081689&amp;Result=3","7081689")</f>
        <v>0</v>
      </c>
      <c r="B7255" t="s">
        <v>2281</v>
      </c>
      <c r="C7255" t="s">
        <v>8601</v>
      </c>
      <c r="D7255" t="s">
        <v>17459</v>
      </c>
      <c r="E7255" t="s">
        <v>23771</v>
      </c>
      <c r="F7255" t="s">
        <v>30052</v>
      </c>
      <c r="G7255" t="s">
        <v>30058</v>
      </c>
      <c r="H7255" t="s">
        <v>30067</v>
      </c>
      <c r="I7255" t="s">
        <v>3693</v>
      </c>
      <c r="J7255" t="s">
        <v>30277</v>
      </c>
      <c r="K7255" t="s">
        <v>39037</v>
      </c>
      <c r="M7255" t="s">
        <v>41763</v>
      </c>
      <c r="N7255" t="s">
        <v>43166</v>
      </c>
      <c r="O7255" t="s">
        <v>43167</v>
      </c>
      <c r="P7255">
        <v>0</v>
      </c>
      <c r="Q7255">
        <v>0</v>
      </c>
      <c r="R7255" t="s">
        <v>43172</v>
      </c>
      <c r="S7255" t="s">
        <v>43334</v>
      </c>
      <c r="T7255" t="s">
        <v>44892</v>
      </c>
      <c r="U7255" t="s">
        <v>51080</v>
      </c>
      <c r="W7255" t="s">
        <v>41763</v>
      </c>
      <c r="X7255" t="s">
        <v>43173</v>
      </c>
    </row>
    <row r="7256" spans="1:24">
      <c r="A7256">
        <f>HYPERLINK("https://www.philgeps.gov.ph/GEPSNONPILOT/Tender/SplashBidNoticeAbstractUI.aspx?menuIndex=3&amp;refID=7076104&amp;Result=3","7076104")</f>
        <v>0</v>
      </c>
      <c r="B7256" t="s">
        <v>2282</v>
      </c>
      <c r="C7256" t="s">
        <v>10319</v>
      </c>
      <c r="D7256" t="s">
        <v>17464</v>
      </c>
      <c r="E7256" t="s">
        <v>23772</v>
      </c>
      <c r="F7256" t="s">
        <v>30052</v>
      </c>
      <c r="G7256" t="s">
        <v>30058</v>
      </c>
      <c r="H7256" t="s">
        <v>30067</v>
      </c>
      <c r="I7256" t="s">
        <v>3693</v>
      </c>
      <c r="J7256" t="s">
        <v>34678</v>
      </c>
      <c r="K7256" t="s">
        <v>39025</v>
      </c>
      <c r="M7256" t="s">
        <v>41764</v>
      </c>
      <c r="N7256" t="s">
        <v>43166</v>
      </c>
      <c r="O7256" t="s">
        <v>43167</v>
      </c>
      <c r="P7256">
        <v>0</v>
      </c>
      <c r="Q7256">
        <v>0</v>
      </c>
      <c r="R7256" t="s">
        <v>43173</v>
      </c>
      <c r="S7256" t="s">
        <v>43374</v>
      </c>
      <c r="T7256" t="s">
        <v>44841</v>
      </c>
      <c r="U7256" t="s">
        <v>51081</v>
      </c>
      <c r="W7256" t="s">
        <v>41764</v>
      </c>
      <c r="X7256" t="s">
        <v>43174</v>
      </c>
    </row>
    <row r="7257" spans="1:24">
      <c r="A7257">
        <f>HYPERLINK("https://www.philgeps.gov.ph/GEPSNONPILOT/Tender/SplashBidNoticeAbstractUI.aspx?menuIndex=3&amp;refID=7081688&amp;Result=3","7081688")</f>
        <v>0</v>
      </c>
      <c r="B7257" t="s">
        <v>1804</v>
      </c>
      <c r="C7257" t="s">
        <v>10320</v>
      </c>
      <c r="E7257" t="s">
        <v>23773</v>
      </c>
      <c r="F7257" t="s">
        <v>30052</v>
      </c>
      <c r="G7257" t="s">
        <v>30058</v>
      </c>
      <c r="H7257" t="s">
        <v>30067</v>
      </c>
      <c r="I7257" t="s">
        <v>3693</v>
      </c>
      <c r="J7257" t="s">
        <v>34679</v>
      </c>
      <c r="K7257" t="s">
        <v>39025</v>
      </c>
      <c r="M7257" t="s">
        <v>41227</v>
      </c>
      <c r="N7257" t="s">
        <v>43166</v>
      </c>
      <c r="O7257" t="s">
        <v>43167</v>
      </c>
      <c r="P7257">
        <v>0</v>
      </c>
      <c r="Q7257">
        <v>0</v>
      </c>
      <c r="R7257" t="s">
        <v>43172</v>
      </c>
      <c r="S7257" t="s">
        <v>43334</v>
      </c>
      <c r="T7257" t="s">
        <v>44693</v>
      </c>
      <c r="U7257" t="s">
        <v>50430</v>
      </c>
      <c r="W7257" t="s">
        <v>41227</v>
      </c>
      <c r="X7257" t="s">
        <v>43173</v>
      </c>
    </row>
    <row r="7258" spans="1:24">
      <c r="A7258">
        <f>HYPERLINK("https://www.philgeps.gov.ph/GEPSNONPILOT/Tender/SplashBidNoticeAbstractUI.aspx?menuIndex=3&amp;refID=7059432&amp;Result=3","7059432")</f>
        <v>0</v>
      </c>
      <c r="B7258" t="s">
        <v>2102</v>
      </c>
      <c r="C7258" t="s">
        <v>10321</v>
      </c>
      <c r="D7258" t="s">
        <v>17483</v>
      </c>
      <c r="E7258" t="s">
        <v>23774</v>
      </c>
      <c r="F7258" t="s">
        <v>30052</v>
      </c>
      <c r="G7258" t="s">
        <v>30058</v>
      </c>
      <c r="H7258" t="s">
        <v>15498</v>
      </c>
      <c r="I7258" t="s">
        <v>30074</v>
      </c>
      <c r="J7258" t="s">
        <v>34680</v>
      </c>
      <c r="K7258" t="s">
        <v>39031</v>
      </c>
      <c r="M7258" t="s">
        <v>41564</v>
      </c>
      <c r="N7258" t="s">
        <v>43166</v>
      </c>
      <c r="O7258" t="s">
        <v>43167</v>
      </c>
      <c r="P7258">
        <v>0</v>
      </c>
      <c r="Q7258">
        <v>5</v>
      </c>
      <c r="R7258" t="s">
        <v>43173</v>
      </c>
      <c r="S7258" t="s">
        <v>43374</v>
      </c>
      <c r="T7258" t="s">
        <v>44754</v>
      </c>
      <c r="U7258" t="s">
        <v>51082</v>
      </c>
      <c r="W7258" t="s">
        <v>41564</v>
      </c>
      <c r="X7258" t="s">
        <v>43182</v>
      </c>
    </row>
    <row r="7259" spans="1:24">
      <c r="A7259">
        <f>HYPERLINK("https://www.philgeps.gov.ph/GEPSNONPILOT/Tender/SplashBidNoticeAbstractUI.aspx?menuIndex=3&amp;refID=7081659&amp;Result=3","7081659")</f>
        <v>0</v>
      </c>
      <c r="B7259" t="s">
        <v>1691</v>
      </c>
      <c r="C7259" t="s">
        <v>10322</v>
      </c>
      <c r="D7259" t="s">
        <v>17459</v>
      </c>
      <c r="E7259" t="s">
        <v>23775</v>
      </c>
      <c r="F7259" t="s">
        <v>30052</v>
      </c>
      <c r="G7259" t="s">
        <v>30058</v>
      </c>
      <c r="H7259" t="s">
        <v>15498</v>
      </c>
      <c r="I7259" t="s">
        <v>3606</v>
      </c>
      <c r="J7259" t="s">
        <v>34681</v>
      </c>
      <c r="K7259" t="s">
        <v>39019</v>
      </c>
      <c r="M7259" t="s">
        <v>41100</v>
      </c>
      <c r="N7259" t="s">
        <v>43166</v>
      </c>
      <c r="O7259" t="s">
        <v>43167</v>
      </c>
      <c r="P7259">
        <v>0</v>
      </c>
      <c r="Q7259">
        <v>3</v>
      </c>
      <c r="R7259" t="s">
        <v>43172</v>
      </c>
      <c r="S7259" t="s">
        <v>43334</v>
      </c>
      <c r="T7259" t="s">
        <v>44985</v>
      </c>
      <c r="U7259" t="s">
        <v>51083</v>
      </c>
      <c r="W7259" t="s">
        <v>41100</v>
      </c>
      <c r="X7259" t="s">
        <v>43173</v>
      </c>
    </row>
    <row r="7260" spans="1:24">
      <c r="A7260">
        <f>HYPERLINK("https://www.philgeps.gov.ph/GEPSNONPILOT/Tender/SplashBidNoticeAbstractUI.aspx?menuIndex=3&amp;refID=7081686&amp;Result=3","7081686")</f>
        <v>0</v>
      </c>
      <c r="B7260" t="s">
        <v>296</v>
      </c>
      <c r="C7260" t="s">
        <v>10323</v>
      </c>
      <c r="E7260" t="s">
        <v>23776</v>
      </c>
      <c r="F7260" t="s">
        <v>30052</v>
      </c>
      <c r="G7260" t="s">
        <v>30058</v>
      </c>
      <c r="H7260" t="s">
        <v>15498</v>
      </c>
      <c r="I7260" t="s">
        <v>30074</v>
      </c>
      <c r="J7260" t="s">
        <v>30247</v>
      </c>
      <c r="K7260" t="s">
        <v>39025</v>
      </c>
      <c r="M7260" t="s">
        <v>41050</v>
      </c>
      <c r="N7260" t="s">
        <v>43166</v>
      </c>
      <c r="O7260" t="s">
        <v>43167</v>
      </c>
      <c r="P7260">
        <v>0</v>
      </c>
      <c r="Q7260">
        <v>4</v>
      </c>
      <c r="R7260" t="s">
        <v>43172</v>
      </c>
      <c r="S7260" t="s">
        <v>43334</v>
      </c>
      <c r="T7260" t="s">
        <v>44752</v>
      </c>
      <c r="U7260" t="s">
        <v>51084</v>
      </c>
      <c r="V7260" t="s">
        <v>57341</v>
      </c>
      <c r="W7260" t="s">
        <v>41050</v>
      </c>
      <c r="X7260" t="s">
        <v>43173</v>
      </c>
    </row>
    <row r="7261" spans="1:24">
      <c r="A7261">
        <f>HYPERLINK("https://www.philgeps.gov.ph/GEPSNONPILOT/Tender/SplashBidNoticeAbstractUI.aspx?menuIndex=3&amp;refID=7080945&amp;Result=3","7080945")</f>
        <v>0</v>
      </c>
      <c r="B7261" t="s">
        <v>1576</v>
      </c>
      <c r="C7261" t="s">
        <v>10324</v>
      </c>
      <c r="D7261" t="s">
        <v>17415</v>
      </c>
      <c r="E7261" t="s">
        <v>23777</v>
      </c>
      <c r="F7261" t="s">
        <v>30052</v>
      </c>
      <c r="G7261" t="s">
        <v>30059</v>
      </c>
      <c r="H7261" t="s">
        <v>15498</v>
      </c>
      <c r="I7261" t="s">
        <v>9238</v>
      </c>
      <c r="J7261" t="s">
        <v>34682</v>
      </c>
      <c r="K7261" t="s">
        <v>39025</v>
      </c>
      <c r="M7261" t="s">
        <v>41215</v>
      </c>
      <c r="N7261" t="s">
        <v>43166</v>
      </c>
      <c r="O7261" t="s">
        <v>43167</v>
      </c>
      <c r="P7261">
        <v>0</v>
      </c>
      <c r="Q7261">
        <v>12</v>
      </c>
      <c r="R7261" t="s">
        <v>43172</v>
      </c>
      <c r="S7261" t="s">
        <v>43334</v>
      </c>
      <c r="T7261" t="s">
        <v>44894</v>
      </c>
      <c r="U7261" t="s">
        <v>51085</v>
      </c>
      <c r="V7261" t="s">
        <v>57446</v>
      </c>
      <c r="W7261" t="s">
        <v>41215</v>
      </c>
      <c r="X7261" t="s">
        <v>43173</v>
      </c>
    </row>
    <row r="7262" spans="1:24">
      <c r="A7262">
        <f>HYPERLINK("https://www.philgeps.gov.ph/GEPSNONPILOT/Tender/SplashBidNoticeAbstractUI.aspx?menuIndex=3&amp;refID=7081725&amp;Result=3","7081725")</f>
        <v>0</v>
      </c>
      <c r="B7262" t="s">
        <v>483</v>
      </c>
      <c r="C7262" t="s">
        <v>10325</v>
      </c>
      <c r="D7262" t="s">
        <v>17489</v>
      </c>
      <c r="E7262" t="s">
        <v>23778</v>
      </c>
      <c r="F7262" t="s">
        <v>30052</v>
      </c>
      <c r="G7262" t="s">
        <v>30058</v>
      </c>
      <c r="H7262" t="s">
        <v>15498</v>
      </c>
      <c r="I7262" t="s">
        <v>7228</v>
      </c>
      <c r="J7262" t="s">
        <v>34683</v>
      </c>
      <c r="K7262" t="s">
        <v>39017</v>
      </c>
      <c r="M7262" t="s">
        <v>39784</v>
      </c>
      <c r="N7262" t="s">
        <v>43166</v>
      </c>
      <c r="O7262" t="s">
        <v>43167</v>
      </c>
      <c r="P7262">
        <v>0</v>
      </c>
      <c r="Q7262">
        <v>0</v>
      </c>
      <c r="R7262" t="s">
        <v>43172</v>
      </c>
      <c r="S7262" t="s">
        <v>43334</v>
      </c>
      <c r="T7262" t="s">
        <v>44699</v>
      </c>
      <c r="U7262" t="s">
        <v>51086</v>
      </c>
      <c r="W7262" t="s">
        <v>39784</v>
      </c>
      <c r="X7262" t="s">
        <v>43173</v>
      </c>
    </row>
    <row r="7263" spans="1:24">
      <c r="A7263">
        <f>HYPERLINK("https://www.philgeps.gov.ph/GEPSNONPILOT/Tender/SplashBidNoticeAbstractUI.aspx?menuIndex=3&amp;refID=7080943&amp;Result=3","7080943")</f>
        <v>0</v>
      </c>
      <c r="B7263" t="s">
        <v>1963</v>
      </c>
      <c r="C7263" t="s">
        <v>10326</v>
      </c>
      <c r="D7263" t="s">
        <v>17427</v>
      </c>
      <c r="E7263" t="s">
        <v>20087</v>
      </c>
      <c r="F7263" t="s">
        <v>30052</v>
      </c>
      <c r="G7263" t="s">
        <v>30058</v>
      </c>
      <c r="H7263" t="s">
        <v>30067</v>
      </c>
      <c r="I7263" t="s">
        <v>3693</v>
      </c>
      <c r="J7263" t="s">
        <v>30354</v>
      </c>
      <c r="K7263" t="s">
        <v>39029</v>
      </c>
      <c r="M7263" t="s">
        <v>41400</v>
      </c>
      <c r="N7263" t="s">
        <v>43166</v>
      </c>
      <c r="O7263" t="s">
        <v>43167</v>
      </c>
      <c r="P7263">
        <v>0</v>
      </c>
      <c r="Q7263">
        <v>0</v>
      </c>
      <c r="R7263" t="s">
        <v>43172</v>
      </c>
      <c r="S7263" t="s">
        <v>43334</v>
      </c>
      <c r="T7263" t="s">
        <v>45031</v>
      </c>
      <c r="U7263" t="s">
        <v>51087</v>
      </c>
      <c r="V7263" t="s">
        <v>51087</v>
      </c>
      <c r="W7263" t="s">
        <v>41400</v>
      </c>
      <c r="X7263" t="s">
        <v>43173</v>
      </c>
    </row>
    <row r="7264" spans="1:24">
      <c r="A7264">
        <f>HYPERLINK("https://www.philgeps.gov.ph/GEPSNONPILOT/Tender/SplashBidNoticeAbstractUI.aspx?menuIndex=3&amp;refID=7080941&amp;Result=3","7080941")</f>
        <v>0</v>
      </c>
      <c r="B7264" t="s">
        <v>1424</v>
      </c>
      <c r="C7264" t="s">
        <v>10327</v>
      </c>
      <c r="D7264" t="s">
        <v>17413</v>
      </c>
      <c r="E7264" t="s">
        <v>23779</v>
      </c>
      <c r="F7264" t="s">
        <v>30052</v>
      </c>
      <c r="G7264" t="s">
        <v>30061</v>
      </c>
      <c r="H7264" t="s">
        <v>15498</v>
      </c>
      <c r="I7264" t="s">
        <v>4119</v>
      </c>
      <c r="J7264" t="s">
        <v>34684</v>
      </c>
      <c r="K7264" t="s">
        <v>39025</v>
      </c>
      <c r="L7264" t="s">
        <v>1424</v>
      </c>
      <c r="M7264" t="s">
        <v>40802</v>
      </c>
      <c r="N7264" t="s">
        <v>43166</v>
      </c>
      <c r="O7264" t="s">
        <v>43167</v>
      </c>
      <c r="P7264">
        <v>0</v>
      </c>
      <c r="Q7264">
        <v>6</v>
      </c>
      <c r="R7264" t="s">
        <v>43172</v>
      </c>
      <c r="S7264" t="s">
        <v>43334</v>
      </c>
      <c r="T7264" t="s">
        <v>44777</v>
      </c>
      <c r="U7264" t="s">
        <v>48391</v>
      </c>
      <c r="W7264" t="s">
        <v>40802</v>
      </c>
      <c r="X7264" t="s">
        <v>43173</v>
      </c>
    </row>
    <row r="7265" spans="1:24">
      <c r="A7265">
        <f>HYPERLINK("https://www.philgeps.gov.ph/GEPSNONPILOT/Tender/SplashBidNoticeAbstractUI.aspx?menuIndex=3&amp;refID=7080752&amp;Result=3","7080752")</f>
        <v>0</v>
      </c>
      <c r="B7265" t="s">
        <v>1991</v>
      </c>
      <c r="C7265" t="s">
        <v>10328</v>
      </c>
      <c r="E7265" t="s">
        <v>23780</v>
      </c>
      <c r="F7265" t="s">
        <v>30052</v>
      </c>
      <c r="G7265" t="s">
        <v>30058</v>
      </c>
      <c r="H7265" t="s">
        <v>30068</v>
      </c>
      <c r="I7265" t="s">
        <v>30068</v>
      </c>
      <c r="J7265" t="s">
        <v>34685</v>
      </c>
      <c r="K7265" t="s">
        <v>39154</v>
      </c>
      <c r="M7265" t="s">
        <v>41433</v>
      </c>
      <c r="N7265" t="s">
        <v>43166</v>
      </c>
      <c r="O7265" t="s">
        <v>43167</v>
      </c>
      <c r="Q7265">
        <v>3</v>
      </c>
      <c r="R7265" t="s">
        <v>43172</v>
      </c>
      <c r="S7265" t="s">
        <v>43384</v>
      </c>
      <c r="T7265" t="s">
        <v>44685</v>
      </c>
      <c r="U7265" t="s">
        <v>51088</v>
      </c>
      <c r="W7265" t="s">
        <v>41433</v>
      </c>
      <c r="X7265" t="s">
        <v>43173</v>
      </c>
    </row>
    <row r="7266" spans="1:24">
      <c r="A7266">
        <f>HYPERLINK("https://www.philgeps.gov.ph/GEPSNONPILOT/Tender/SplashBidNoticeAbstractUI.aspx?menuIndex=3&amp;refID=7081720&amp;Result=3","7081720")</f>
        <v>0</v>
      </c>
      <c r="B7266" t="s">
        <v>792</v>
      </c>
      <c r="C7266" t="s">
        <v>10329</v>
      </c>
      <c r="E7266" t="s">
        <v>23781</v>
      </c>
      <c r="F7266" t="s">
        <v>30052</v>
      </c>
      <c r="G7266" t="s">
        <v>30059</v>
      </c>
      <c r="H7266" t="s">
        <v>15498</v>
      </c>
      <c r="I7266" t="s">
        <v>30154</v>
      </c>
      <c r="J7266" t="s">
        <v>30222</v>
      </c>
      <c r="K7266" t="s">
        <v>39025</v>
      </c>
      <c r="M7266" t="s">
        <v>41765</v>
      </c>
      <c r="N7266" t="s">
        <v>43166</v>
      </c>
      <c r="O7266" t="s">
        <v>43167</v>
      </c>
      <c r="P7266">
        <v>0</v>
      </c>
      <c r="Q7266">
        <v>2</v>
      </c>
      <c r="R7266" t="s">
        <v>43172</v>
      </c>
      <c r="S7266" t="s">
        <v>43334</v>
      </c>
      <c r="T7266" t="s">
        <v>44837</v>
      </c>
      <c r="U7266" t="s">
        <v>51089</v>
      </c>
      <c r="V7266" t="s">
        <v>57574</v>
      </c>
      <c r="W7266" t="s">
        <v>41765</v>
      </c>
      <c r="X7266" t="s">
        <v>43173</v>
      </c>
    </row>
    <row r="7267" spans="1:24">
      <c r="A7267">
        <f>HYPERLINK("https://www.philgeps.gov.ph/GEPSNONPILOT/Tender/SplashBidNoticeAbstractUI.aspx?menuIndex=3&amp;refID=7080334&amp;Result=3","7080334")</f>
        <v>0</v>
      </c>
      <c r="B7267" t="s">
        <v>2283</v>
      </c>
      <c r="C7267" t="s">
        <v>10330</v>
      </c>
      <c r="D7267" t="s">
        <v>17415</v>
      </c>
      <c r="E7267" t="s">
        <v>23782</v>
      </c>
      <c r="F7267" t="s">
        <v>30052</v>
      </c>
      <c r="G7267" t="s">
        <v>30059</v>
      </c>
      <c r="H7267" t="s">
        <v>15498</v>
      </c>
      <c r="I7267" t="s">
        <v>30116</v>
      </c>
      <c r="J7267" t="s">
        <v>31456</v>
      </c>
      <c r="K7267" t="s">
        <v>39067</v>
      </c>
      <c r="M7267" t="s">
        <v>41766</v>
      </c>
      <c r="N7267" t="s">
        <v>43166</v>
      </c>
      <c r="O7267" t="s">
        <v>43167</v>
      </c>
      <c r="P7267">
        <v>0</v>
      </c>
      <c r="Q7267">
        <v>2</v>
      </c>
      <c r="R7267" t="s">
        <v>43172</v>
      </c>
      <c r="S7267" t="s">
        <v>43334</v>
      </c>
      <c r="T7267" t="s">
        <v>44803</v>
      </c>
      <c r="U7267" t="s">
        <v>51090</v>
      </c>
      <c r="W7267" t="s">
        <v>41766</v>
      </c>
      <c r="X7267" t="s">
        <v>43173</v>
      </c>
    </row>
    <row r="7268" spans="1:24">
      <c r="A7268">
        <f>HYPERLINK("https://www.philgeps.gov.ph/GEPSNONPILOT/Tender/SplashBidNoticeAbstractUI.aspx?menuIndex=3&amp;refID=7081690&amp;Result=3","7081690")</f>
        <v>0</v>
      </c>
      <c r="B7268" t="s">
        <v>1733</v>
      </c>
      <c r="C7268" t="s">
        <v>10331</v>
      </c>
      <c r="D7268" t="s">
        <v>17467</v>
      </c>
      <c r="E7268" t="s">
        <v>23783</v>
      </c>
      <c r="F7268" t="s">
        <v>30052</v>
      </c>
      <c r="G7268" t="s">
        <v>30058</v>
      </c>
      <c r="H7268" t="s">
        <v>15498</v>
      </c>
      <c r="I7268" t="s">
        <v>30081</v>
      </c>
      <c r="J7268" t="s">
        <v>31207</v>
      </c>
      <c r="K7268" t="s">
        <v>39029</v>
      </c>
      <c r="L7268" t="s">
        <v>1733</v>
      </c>
      <c r="M7268" t="s">
        <v>41150</v>
      </c>
      <c r="N7268" t="s">
        <v>43166</v>
      </c>
      <c r="O7268" t="s">
        <v>43167</v>
      </c>
      <c r="P7268">
        <v>0</v>
      </c>
      <c r="Q7268">
        <v>1</v>
      </c>
      <c r="R7268" t="s">
        <v>43172</v>
      </c>
      <c r="S7268" t="s">
        <v>43334</v>
      </c>
      <c r="T7268" t="s">
        <v>44758</v>
      </c>
      <c r="U7268" t="s">
        <v>51091</v>
      </c>
      <c r="W7268" t="s">
        <v>41150</v>
      </c>
      <c r="X7268" t="s">
        <v>43173</v>
      </c>
    </row>
    <row r="7269" spans="1:24">
      <c r="A7269">
        <f>HYPERLINK("https://www.philgeps.gov.ph/GEPSNONPILOT/Tender/SplashBidNoticeAbstractUI.aspx?menuIndex=3&amp;refID=7080944&amp;Result=3","7080944")</f>
        <v>0</v>
      </c>
      <c r="B7269" t="s">
        <v>2284</v>
      </c>
      <c r="C7269" t="s">
        <v>10332</v>
      </c>
      <c r="D7269" t="s">
        <v>17444</v>
      </c>
      <c r="E7269" t="s">
        <v>23784</v>
      </c>
      <c r="F7269" t="s">
        <v>30052</v>
      </c>
      <c r="G7269" t="s">
        <v>30061</v>
      </c>
      <c r="H7269" t="s">
        <v>15498</v>
      </c>
      <c r="I7269" t="s">
        <v>30081</v>
      </c>
      <c r="J7269" t="s">
        <v>34686</v>
      </c>
      <c r="K7269" t="s">
        <v>39023</v>
      </c>
      <c r="M7269" t="s">
        <v>41767</v>
      </c>
      <c r="N7269" t="s">
        <v>43166</v>
      </c>
      <c r="O7269" t="s">
        <v>43167</v>
      </c>
      <c r="P7269">
        <v>0</v>
      </c>
      <c r="Q7269">
        <v>0</v>
      </c>
      <c r="R7269" t="s">
        <v>43172</v>
      </c>
      <c r="S7269" t="s">
        <v>43334</v>
      </c>
      <c r="T7269" t="s">
        <v>44698</v>
      </c>
      <c r="U7269" t="s">
        <v>51092</v>
      </c>
      <c r="W7269" t="s">
        <v>41767</v>
      </c>
      <c r="X7269" t="s">
        <v>43173</v>
      </c>
    </row>
    <row r="7270" spans="1:24">
      <c r="A7270">
        <f>HYPERLINK("https://www.philgeps.gov.ph/GEPSNONPILOT/Tender/SplashBidNoticeAbstractUI.aspx?menuIndex=3&amp;refID=7080302&amp;Result=3","7080302")</f>
        <v>0</v>
      </c>
      <c r="B7270" t="s">
        <v>107</v>
      </c>
      <c r="C7270" t="s">
        <v>10333</v>
      </c>
      <c r="D7270" t="s">
        <v>17448</v>
      </c>
      <c r="E7270" t="s">
        <v>23785</v>
      </c>
      <c r="F7270" t="s">
        <v>30052</v>
      </c>
      <c r="G7270" t="s">
        <v>30059</v>
      </c>
      <c r="H7270" t="s">
        <v>15498</v>
      </c>
      <c r="I7270" t="s">
        <v>9238</v>
      </c>
      <c r="J7270" t="s">
        <v>31639</v>
      </c>
      <c r="K7270" t="s">
        <v>39025</v>
      </c>
      <c r="M7270" t="s">
        <v>39396</v>
      </c>
      <c r="N7270" t="s">
        <v>43166</v>
      </c>
      <c r="O7270" t="s">
        <v>43167</v>
      </c>
      <c r="P7270">
        <v>0</v>
      </c>
      <c r="Q7270">
        <v>13</v>
      </c>
      <c r="R7270" t="s">
        <v>43172</v>
      </c>
      <c r="S7270" t="s">
        <v>43334</v>
      </c>
      <c r="T7270" t="s">
        <v>44862</v>
      </c>
      <c r="U7270" t="s">
        <v>51093</v>
      </c>
      <c r="W7270" t="s">
        <v>39396</v>
      </c>
      <c r="X7270" t="s">
        <v>43173</v>
      </c>
    </row>
    <row r="7271" spans="1:24">
      <c r="A7271">
        <f>HYPERLINK("https://www.philgeps.gov.ph/GEPSNONPILOT/Tender/SplashBidNoticeAbstractUI.aspx?menuIndex=3&amp;refID=7080299&amp;Result=3","7080299")</f>
        <v>0</v>
      </c>
      <c r="B7271" t="s">
        <v>1900</v>
      </c>
      <c r="C7271" t="s">
        <v>10334</v>
      </c>
      <c r="D7271" t="s">
        <v>17486</v>
      </c>
      <c r="E7271" t="s">
        <v>23786</v>
      </c>
      <c r="F7271" t="s">
        <v>30052</v>
      </c>
      <c r="G7271" t="s">
        <v>30058</v>
      </c>
      <c r="H7271" t="s">
        <v>15498</v>
      </c>
      <c r="I7271" t="s">
        <v>8323</v>
      </c>
      <c r="J7271" t="s">
        <v>34687</v>
      </c>
      <c r="K7271" t="s">
        <v>39019</v>
      </c>
      <c r="M7271" t="s">
        <v>41331</v>
      </c>
      <c r="N7271" t="s">
        <v>43166</v>
      </c>
      <c r="O7271" t="s">
        <v>43167</v>
      </c>
      <c r="P7271">
        <v>0</v>
      </c>
      <c r="Q7271">
        <v>7</v>
      </c>
      <c r="R7271" t="s">
        <v>43172</v>
      </c>
      <c r="S7271" t="s">
        <v>43334</v>
      </c>
      <c r="T7271" t="s">
        <v>44703</v>
      </c>
      <c r="U7271" t="s">
        <v>49757</v>
      </c>
      <c r="W7271" t="s">
        <v>41331</v>
      </c>
      <c r="X7271" t="s">
        <v>43173</v>
      </c>
    </row>
    <row r="7272" spans="1:24">
      <c r="A7272">
        <f>HYPERLINK("https://www.philgeps.gov.ph/GEPSNONPILOT/Tender/SplashBidNoticeAbstractUI.aspx?menuIndex=3&amp;refID=7080939&amp;Result=3","7080939")</f>
        <v>0</v>
      </c>
      <c r="B7272" t="s">
        <v>1840</v>
      </c>
      <c r="C7272" t="s">
        <v>10335</v>
      </c>
      <c r="D7272" t="s">
        <v>17449</v>
      </c>
      <c r="E7272" t="s">
        <v>23787</v>
      </c>
      <c r="F7272" t="s">
        <v>30052</v>
      </c>
      <c r="G7272" t="s">
        <v>30059</v>
      </c>
      <c r="H7272" t="s">
        <v>15498</v>
      </c>
      <c r="I7272" t="s">
        <v>30074</v>
      </c>
      <c r="J7272" t="s">
        <v>34688</v>
      </c>
      <c r="K7272" t="s">
        <v>39029</v>
      </c>
      <c r="M7272" t="s">
        <v>41265</v>
      </c>
      <c r="N7272" t="s">
        <v>43166</v>
      </c>
      <c r="O7272" t="s">
        <v>43167</v>
      </c>
      <c r="P7272">
        <v>0</v>
      </c>
      <c r="Q7272">
        <v>1</v>
      </c>
      <c r="R7272" t="s">
        <v>43172</v>
      </c>
      <c r="S7272" t="s">
        <v>43334</v>
      </c>
      <c r="T7272" t="s">
        <v>44717</v>
      </c>
      <c r="U7272" t="s">
        <v>49579</v>
      </c>
      <c r="V7272" t="s">
        <v>57421</v>
      </c>
      <c r="W7272" t="s">
        <v>41265</v>
      </c>
      <c r="X7272" t="s">
        <v>43173</v>
      </c>
    </row>
    <row r="7273" spans="1:24">
      <c r="A7273">
        <f>HYPERLINK("https://www.philgeps.gov.ph/GEPSNONPILOT/Tender/SplashBidNoticeAbstractUI.aspx?menuIndex=3&amp;refID=7080289&amp;Result=3","7080289")</f>
        <v>0</v>
      </c>
      <c r="B7273" t="s">
        <v>1898</v>
      </c>
      <c r="C7273" t="s">
        <v>10336</v>
      </c>
      <c r="D7273" t="s">
        <v>17415</v>
      </c>
      <c r="E7273" t="s">
        <v>23788</v>
      </c>
      <c r="F7273" t="s">
        <v>30052</v>
      </c>
      <c r="G7273" t="s">
        <v>30058</v>
      </c>
      <c r="H7273" t="s">
        <v>15498</v>
      </c>
      <c r="I7273" t="s">
        <v>3852</v>
      </c>
      <c r="J7273" t="s">
        <v>34689</v>
      </c>
      <c r="K7273" t="s">
        <v>39029</v>
      </c>
      <c r="M7273" t="s">
        <v>41329</v>
      </c>
      <c r="N7273" t="s">
        <v>43166</v>
      </c>
      <c r="O7273" t="s">
        <v>43167</v>
      </c>
      <c r="P7273">
        <v>0</v>
      </c>
      <c r="Q7273">
        <v>0</v>
      </c>
      <c r="R7273" t="s">
        <v>43172</v>
      </c>
      <c r="S7273" t="s">
        <v>43334</v>
      </c>
      <c r="T7273" t="s">
        <v>44710</v>
      </c>
      <c r="U7273" t="s">
        <v>51094</v>
      </c>
      <c r="W7273" t="s">
        <v>41329</v>
      </c>
      <c r="X7273" t="s">
        <v>43173</v>
      </c>
    </row>
    <row r="7274" spans="1:24">
      <c r="A7274">
        <f>HYPERLINK("https://www.philgeps.gov.ph/GEPSNONPILOT/Tender/SplashBidNoticeAbstractUI.aspx?menuIndex=3&amp;refID=7080750&amp;Result=3","7080750")</f>
        <v>0</v>
      </c>
      <c r="B7274" t="s">
        <v>2285</v>
      </c>
      <c r="C7274" t="s">
        <v>10337</v>
      </c>
      <c r="D7274" t="s">
        <v>17450</v>
      </c>
      <c r="E7274" t="s">
        <v>23789</v>
      </c>
      <c r="F7274" t="s">
        <v>30052</v>
      </c>
      <c r="G7274" t="s">
        <v>30058</v>
      </c>
      <c r="H7274" t="s">
        <v>30067</v>
      </c>
      <c r="I7274" t="s">
        <v>3693</v>
      </c>
      <c r="J7274" t="s">
        <v>34690</v>
      </c>
      <c r="K7274" t="s">
        <v>39106</v>
      </c>
      <c r="M7274" t="s">
        <v>41768</v>
      </c>
      <c r="N7274" t="s">
        <v>43166</v>
      </c>
      <c r="O7274" t="s">
        <v>43167</v>
      </c>
      <c r="P7274">
        <v>0</v>
      </c>
      <c r="Q7274">
        <v>0</v>
      </c>
      <c r="R7274" t="s">
        <v>43172</v>
      </c>
      <c r="S7274" t="s">
        <v>43334</v>
      </c>
      <c r="T7274" t="s">
        <v>44696</v>
      </c>
      <c r="U7274" t="s">
        <v>51095</v>
      </c>
      <c r="W7274" t="s">
        <v>41768</v>
      </c>
      <c r="X7274" t="s">
        <v>43173</v>
      </c>
    </row>
    <row r="7275" spans="1:24">
      <c r="A7275">
        <f>HYPERLINK("https://www.philgeps.gov.ph/GEPSNONPILOT/Tender/SplashBidNoticeAbstractUI.aspx?menuIndex=3&amp;refID=7080160&amp;Result=3","7080160")</f>
        <v>0</v>
      </c>
      <c r="B7275" t="s">
        <v>2286</v>
      </c>
      <c r="C7275" t="s">
        <v>10290</v>
      </c>
      <c r="D7275" t="s">
        <v>17416</v>
      </c>
      <c r="E7275" t="s">
        <v>23745</v>
      </c>
      <c r="F7275" t="s">
        <v>30052</v>
      </c>
      <c r="G7275" t="s">
        <v>30058</v>
      </c>
      <c r="H7275" t="s">
        <v>15498</v>
      </c>
      <c r="I7275" t="s">
        <v>30071</v>
      </c>
      <c r="J7275" t="s">
        <v>32528</v>
      </c>
      <c r="K7275" t="s">
        <v>39046</v>
      </c>
      <c r="M7275" t="s">
        <v>41769</v>
      </c>
      <c r="N7275" t="s">
        <v>43166</v>
      </c>
      <c r="O7275" t="s">
        <v>43167</v>
      </c>
      <c r="P7275">
        <v>0</v>
      </c>
      <c r="Q7275">
        <v>0</v>
      </c>
      <c r="R7275" t="s">
        <v>43172</v>
      </c>
      <c r="S7275" t="s">
        <v>43334</v>
      </c>
      <c r="T7275" t="s">
        <v>45059</v>
      </c>
      <c r="U7275" t="s">
        <v>51096</v>
      </c>
      <c r="W7275" t="s">
        <v>41769</v>
      </c>
      <c r="X7275" t="s">
        <v>43173</v>
      </c>
    </row>
    <row r="7276" spans="1:24">
      <c r="A7276">
        <f>HYPERLINK("https://www.philgeps.gov.ph/GEPSNONPILOT/Tender/SplashBidNoticeAbstractUI.aspx?menuIndex=3&amp;refID=7058713&amp;Result=3","7058713")</f>
        <v>0</v>
      </c>
      <c r="B7276" t="s">
        <v>423</v>
      </c>
      <c r="C7276" t="s">
        <v>10338</v>
      </c>
      <c r="E7276" t="s">
        <v>23790</v>
      </c>
      <c r="F7276" t="s">
        <v>30052</v>
      </c>
      <c r="G7276" t="s">
        <v>30058</v>
      </c>
      <c r="H7276" t="s">
        <v>30067</v>
      </c>
      <c r="I7276" t="s">
        <v>3693</v>
      </c>
      <c r="J7276" t="s">
        <v>30230</v>
      </c>
      <c r="K7276" t="s">
        <v>39029</v>
      </c>
      <c r="M7276" t="s">
        <v>39722</v>
      </c>
      <c r="N7276" t="s">
        <v>43166</v>
      </c>
      <c r="O7276" t="s">
        <v>43167</v>
      </c>
      <c r="P7276">
        <v>0</v>
      </c>
      <c r="Q7276">
        <v>2</v>
      </c>
      <c r="R7276" t="s">
        <v>43173</v>
      </c>
      <c r="S7276" t="s">
        <v>43374</v>
      </c>
      <c r="T7276" t="s">
        <v>44708</v>
      </c>
      <c r="U7276" t="s">
        <v>51097</v>
      </c>
      <c r="W7276" t="s">
        <v>39722</v>
      </c>
      <c r="X7276" t="s">
        <v>43183</v>
      </c>
    </row>
    <row r="7277" spans="1:24">
      <c r="A7277">
        <f>HYPERLINK("https://www.philgeps.gov.ph/GEPSNONPILOT/Tender/SplashBidNoticeAbstractUI.aspx?menuIndex=3&amp;refID=7080157&amp;Result=3","7080157")</f>
        <v>0</v>
      </c>
      <c r="B7277" t="s">
        <v>2287</v>
      </c>
      <c r="C7277" t="s">
        <v>10339</v>
      </c>
      <c r="D7277" t="s">
        <v>17455</v>
      </c>
      <c r="E7277" t="s">
        <v>18728</v>
      </c>
      <c r="F7277" t="s">
        <v>30052</v>
      </c>
      <c r="G7277" t="s">
        <v>30059</v>
      </c>
      <c r="H7277" t="s">
        <v>15498</v>
      </c>
      <c r="I7277" t="s">
        <v>30085</v>
      </c>
      <c r="J7277" t="s">
        <v>30299</v>
      </c>
      <c r="K7277" t="s">
        <v>39017</v>
      </c>
      <c r="M7277" t="s">
        <v>41770</v>
      </c>
      <c r="N7277" t="s">
        <v>43166</v>
      </c>
      <c r="O7277" t="s">
        <v>43167</v>
      </c>
      <c r="P7277">
        <v>0</v>
      </c>
      <c r="Q7277">
        <v>4</v>
      </c>
      <c r="R7277" t="s">
        <v>43172</v>
      </c>
      <c r="S7277" t="s">
        <v>43334</v>
      </c>
      <c r="T7277" t="s">
        <v>44720</v>
      </c>
      <c r="U7277" t="s">
        <v>51098</v>
      </c>
      <c r="W7277" t="s">
        <v>41770</v>
      </c>
      <c r="X7277" t="s">
        <v>43173</v>
      </c>
    </row>
    <row r="7278" spans="1:24">
      <c r="A7278">
        <f>HYPERLINK("https://www.philgeps.gov.ph/GEPSNONPILOT/Tender/SplashBidNoticeAbstractUI.aspx?menuIndex=3&amp;refID=7080300&amp;Result=3","7080300")</f>
        <v>0</v>
      </c>
      <c r="B7278" t="s">
        <v>121</v>
      </c>
      <c r="C7278" t="s">
        <v>10340</v>
      </c>
      <c r="D7278" t="s">
        <v>17440</v>
      </c>
      <c r="E7278" t="s">
        <v>23791</v>
      </c>
      <c r="F7278" t="s">
        <v>30052</v>
      </c>
      <c r="G7278" t="s">
        <v>30058</v>
      </c>
      <c r="H7278" t="s">
        <v>30067</v>
      </c>
      <c r="I7278" t="s">
        <v>3693</v>
      </c>
      <c r="J7278" t="s">
        <v>34691</v>
      </c>
      <c r="K7278" t="s">
        <v>39065</v>
      </c>
      <c r="M7278" t="s">
        <v>39410</v>
      </c>
      <c r="N7278" t="s">
        <v>43166</v>
      </c>
      <c r="O7278" t="s">
        <v>43167</v>
      </c>
      <c r="P7278">
        <v>0</v>
      </c>
      <c r="Q7278">
        <v>0</v>
      </c>
      <c r="R7278" t="s">
        <v>43172</v>
      </c>
      <c r="S7278" t="s">
        <v>43334</v>
      </c>
      <c r="T7278" t="s">
        <v>44689</v>
      </c>
      <c r="U7278" t="s">
        <v>51099</v>
      </c>
      <c r="W7278" t="s">
        <v>39410</v>
      </c>
      <c r="X7278" t="s">
        <v>43173</v>
      </c>
    </row>
    <row r="7279" spans="1:24">
      <c r="A7279">
        <f>HYPERLINK("https://www.philgeps.gov.ph/GEPSNONPILOT/Tender/SplashBidNoticeAbstractUI.aspx?menuIndex=3&amp;refID=7080292&amp;Result=3","7080292")</f>
        <v>0</v>
      </c>
      <c r="B7279" t="s">
        <v>2288</v>
      </c>
      <c r="C7279" t="s">
        <v>10341</v>
      </c>
      <c r="D7279" t="s">
        <v>17435</v>
      </c>
      <c r="E7279" t="s">
        <v>23423</v>
      </c>
      <c r="F7279" t="s">
        <v>30052</v>
      </c>
      <c r="G7279" t="s">
        <v>30058</v>
      </c>
      <c r="H7279" t="s">
        <v>15498</v>
      </c>
      <c r="I7279" t="s">
        <v>3736</v>
      </c>
      <c r="J7279" t="s">
        <v>34692</v>
      </c>
      <c r="K7279" t="s">
        <v>39034</v>
      </c>
      <c r="M7279" t="s">
        <v>41771</v>
      </c>
      <c r="N7279" t="s">
        <v>43166</v>
      </c>
      <c r="O7279" t="s">
        <v>43167</v>
      </c>
      <c r="P7279">
        <v>0</v>
      </c>
      <c r="Q7279">
        <v>0</v>
      </c>
      <c r="R7279" t="s">
        <v>43172</v>
      </c>
      <c r="S7279" t="s">
        <v>43334</v>
      </c>
      <c r="T7279" t="s">
        <v>44696</v>
      </c>
      <c r="U7279" t="s">
        <v>51100</v>
      </c>
      <c r="W7279" t="s">
        <v>41771</v>
      </c>
      <c r="X7279" t="s">
        <v>43173</v>
      </c>
    </row>
    <row r="7280" spans="1:24">
      <c r="A7280">
        <f>HYPERLINK("https://www.philgeps.gov.ph/GEPSNONPILOT/Tender/SplashBidNoticeAbstractUI.aspx?menuIndex=3&amp;refID=7080291&amp;Result=3","7080291")</f>
        <v>0</v>
      </c>
      <c r="B7280" t="s">
        <v>1955</v>
      </c>
      <c r="C7280" t="s">
        <v>10342</v>
      </c>
      <c r="D7280" t="s">
        <v>17427</v>
      </c>
      <c r="E7280" t="s">
        <v>23792</v>
      </c>
      <c r="F7280" t="s">
        <v>30052</v>
      </c>
      <c r="G7280" t="s">
        <v>30058</v>
      </c>
      <c r="H7280" t="s">
        <v>30067</v>
      </c>
      <c r="I7280" t="s">
        <v>3693</v>
      </c>
      <c r="J7280" t="s">
        <v>30538</v>
      </c>
      <c r="K7280" t="s">
        <v>39023</v>
      </c>
      <c r="M7280" t="s">
        <v>41392</v>
      </c>
      <c r="N7280" t="s">
        <v>43166</v>
      </c>
      <c r="O7280" t="s">
        <v>43167</v>
      </c>
      <c r="P7280">
        <v>0</v>
      </c>
      <c r="Q7280">
        <v>0</v>
      </c>
      <c r="R7280" t="s">
        <v>43172</v>
      </c>
      <c r="S7280" t="s">
        <v>43334</v>
      </c>
      <c r="T7280" t="s">
        <v>44698</v>
      </c>
      <c r="U7280" t="s">
        <v>51101</v>
      </c>
      <c r="W7280" t="s">
        <v>41392</v>
      </c>
      <c r="X7280" t="s">
        <v>43173</v>
      </c>
    </row>
    <row r="7281" spans="1:24">
      <c r="A7281">
        <f>HYPERLINK("https://www.philgeps.gov.ph/GEPSNONPILOT/Tender/SplashBidNoticeAbstractUI.aspx?menuIndex=3&amp;refID=7080938&amp;Result=3","7080938")</f>
        <v>0</v>
      </c>
      <c r="B7281" t="s">
        <v>429</v>
      </c>
      <c r="C7281" t="s">
        <v>10343</v>
      </c>
      <c r="D7281" t="s">
        <v>17433</v>
      </c>
      <c r="E7281" t="s">
        <v>23793</v>
      </c>
      <c r="F7281" t="s">
        <v>30052</v>
      </c>
      <c r="G7281" t="s">
        <v>30058</v>
      </c>
      <c r="H7281" t="s">
        <v>15498</v>
      </c>
      <c r="I7281" t="s">
        <v>3736</v>
      </c>
      <c r="J7281" t="s">
        <v>34693</v>
      </c>
      <c r="K7281" t="s">
        <v>39034</v>
      </c>
      <c r="M7281" t="s">
        <v>39728</v>
      </c>
      <c r="N7281" t="s">
        <v>43166</v>
      </c>
      <c r="O7281" t="s">
        <v>43167</v>
      </c>
      <c r="P7281">
        <v>0</v>
      </c>
      <c r="Q7281">
        <v>0</v>
      </c>
      <c r="R7281" t="s">
        <v>43172</v>
      </c>
      <c r="S7281" t="s">
        <v>43334</v>
      </c>
      <c r="T7281" t="s">
        <v>44806</v>
      </c>
      <c r="U7281" t="s">
        <v>51102</v>
      </c>
      <c r="W7281" t="s">
        <v>39728</v>
      </c>
      <c r="X7281" t="s">
        <v>43173</v>
      </c>
    </row>
    <row r="7282" spans="1:24">
      <c r="A7282">
        <f>HYPERLINK("https://www.philgeps.gov.ph/GEPSNONPILOT/Tender/SplashBidNoticeAbstractUI.aspx?menuIndex=3&amp;refID=7077425&amp;Result=3","7077425")</f>
        <v>0</v>
      </c>
      <c r="B7282" t="s">
        <v>2289</v>
      </c>
      <c r="C7282" t="s">
        <v>9970</v>
      </c>
      <c r="D7282" t="s">
        <v>17474</v>
      </c>
      <c r="E7282" t="s">
        <v>23794</v>
      </c>
      <c r="F7282" t="s">
        <v>30055</v>
      </c>
      <c r="G7282" t="s">
        <v>30058</v>
      </c>
      <c r="H7282" t="s">
        <v>30069</v>
      </c>
      <c r="I7282" t="s">
        <v>4119</v>
      </c>
      <c r="J7282" t="s">
        <v>34694</v>
      </c>
      <c r="K7282" t="s">
        <v>39019</v>
      </c>
      <c r="M7282" t="s">
        <v>41772</v>
      </c>
      <c r="N7282" t="s">
        <v>43166</v>
      </c>
      <c r="O7282" t="s">
        <v>43167</v>
      </c>
      <c r="P7282">
        <v>0</v>
      </c>
      <c r="Q7282">
        <v>5</v>
      </c>
      <c r="R7282" t="s">
        <v>43173</v>
      </c>
      <c r="S7282" t="s">
        <v>43374</v>
      </c>
      <c r="T7282" t="s">
        <v>44684</v>
      </c>
      <c r="U7282" t="s">
        <v>51103</v>
      </c>
      <c r="V7282" t="s">
        <v>57575</v>
      </c>
      <c r="W7282" t="s">
        <v>41772</v>
      </c>
      <c r="X7282" t="s">
        <v>43174</v>
      </c>
    </row>
    <row r="7283" spans="1:24">
      <c r="A7283">
        <f>HYPERLINK("https://www.philgeps.gov.ph/GEPSNONPILOT/Tender/SplashBidNoticeAbstractUI.aspx?menuIndex=3&amp;refID=7077455&amp;Result=3","7077455")</f>
        <v>0</v>
      </c>
      <c r="B7283" t="s">
        <v>1512</v>
      </c>
      <c r="C7283" t="s">
        <v>10344</v>
      </c>
      <c r="D7283" t="s">
        <v>17465</v>
      </c>
      <c r="E7283" t="s">
        <v>23795</v>
      </c>
      <c r="F7283" t="s">
        <v>30052</v>
      </c>
      <c r="G7283" t="s">
        <v>30059</v>
      </c>
      <c r="H7283" t="s">
        <v>15498</v>
      </c>
      <c r="I7283" t="s">
        <v>4650</v>
      </c>
      <c r="J7283" t="s">
        <v>30256</v>
      </c>
      <c r="K7283" t="s">
        <v>39025</v>
      </c>
      <c r="M7283" t="s">
        <v>40897</v>
      </c>
      <c r="N7283" t="s">
        <v>43166</v>
      </c>
      <c r="O7283" t="s">
        <v>43167</v>
      </c>
      <c r="P7283">
        <v>0</v>
      </c>
      <c r="Q7283">
        <v>8</v>
      </c>
      <c r="R7283" t="s">
        <v>43173</v>
      </c>
      <c r="S7283" t="s">
        <v>43374</v>
      </c>
      <c r="T7283" t="s">
        <v>44696</v>
      </c>
      <c r="U7283" t="s">
        <v>49818</v>
      </c>
      <c r="W7283" t="s">
        <v>40897</v>
      </c>
      <c r="X7283" t="s">
        <v>43174</v>
      </c>
    </row>
    <row r="7284" spans="1:24">
      <c r="A7284">
        <f>HYPERLINK("https://www.philgeps.gov.ph/GEPSNONPILOT/Tender/SplashBidNoticeAbstractUI.aspx?menuIndex=3&amp;refID=7077453&amp;Result=3","7077453")</f>
        <v>0</v>
      </c>
      <c r="B7284" t="s">
        <v>1744</v>
      </c>
      <c r="C7284" t="s">
        <v>10345</v>
      </c>
      <c r="D7284" t="s">
        <v>17457</v>
      </c>
      <c r="E7284" t="s">
        <v>23796</v>
      </c>
      <c r="F7284" t="s">
        <v>30052</v>
      </c>
      <c r="G7284" t="s">
        <v>30058</v>
      </c>
      <c r="H7284" t="s">
        <v>15498</v>
      </c>
      <c r="I7284" t="s">
        <v>30155</v>
      </c>
      <c r="J7284" t="s">
        <v>34695</v>
      </c>
      <c r="K7284" t="s">
        <v>39041</v>
      </c>
      <c r="M7284" t="s">
        <v>41163</v>
      </c>
      <c r="N7284" t="s">
        <v>43166</v>
      </c>
      <c r="O7284" t="s">
        <v>43167</v>
      </c>
      <c r="P7284">
        <v>0</v>
      </c>
      <c r="Q7284">
        <v>0</v>
      </c>
      <c r="R7284" t="s">
        <v>43173</v>
      </c>
      <c r="S7284" t="s">
        <v>43374</v>
      </c>
      <c r="T7284" t="s">
        <v>44773</v>
      </c>
      <c r="U7284" t="s">
        <v>51058</v>
      </c>
      <c r="V7284" t="s">
        <v>57576</v>
      </c>
      <c r="W7284" t="s">
        <v>41163</v>
      </c>
      <c r="X7284" t="s">
        <v>43174</v>
      </c>
    </row>
    <row r="7285" spans="1:24">
      <c r="A7285">
        <f>HYPERLINK("https://www.philgeps.gov.ph/GEPSNONPILOT/Tender/SplashBidNoticeAbstractUI.aspx?menuIndex=3&amp;refID=7077447&amp;Result=3","7077447")</f>
        <v>0</v>
      </c>
      <c r="B7285" t="s">
        <v>2290</v>
      </c>
      <c r="C7285" t="s">
        <v>10346</v>
      </c>
      <c r="D7285" t="s">
        <v>17453</v>
      </c>
      <c r="E7285" t="s">
        <v>23797</v>
      </c>
      <c r="F7285" t="s">
        <v>30052</v>
      </c>
      <c r="G7285" t="s">
        <v>30058</v>
      </c>
      <c r="H7285" t="s">
        <v>15498</v>
      </c>
      <c r="I7285" t="s">
        <v>3852</v>
      </c>
      <c r="J7285" t="s">
        <v>34696</v>
      </c>
      <c r="K7285" t="s">
        <v>39037</v>
      </c>
      <c r="M7285" t="s">
        <v>41773</v>
      </c>
      <c r="N7285" t="s">
        <v>43166</v>
      </c>
      <c r="O7285" t="s">
        <v>43167</v>
      </c>
      <c r="P7285">
        <v>0</v>
      </c>
      <c r="Q7285">
        <v>1</v>
      </c>
      <c r="R7285" t="s">
        <v>43173</v>
      </c>
      <c r="S7285" t="s">
        <v>43374</v>
      </c>
      <c r="T7285" t="s">
        <v>44758</v>
      </c>
      <c r="U7285" t="s">
        <v>51104</v>
      </c>
      <c r="W7285" t="s">
        <v>41773</v>
      </c>
      <c r="X7285" t="s">
        <v>43174</v>
      </c>
    </row>
    <row r="7286" spans="1:24">
      <c r="A7286">
        <f>HYPERLINK("https://www.philgeps.gov.ph/GEPSNONPILOT/Tender/SplashBidNoticeAbstractUI.aspx?menuIndex=3&amp;refID=7077442&amp;Result=3","7077442")</f>
        <v>0</v>
      </c>
      <c r="B7286" t="s">
        <v>266</v>
      </c>
      <c r="C7286" t="s">
        <v>10347</v>
      </c>
      <c r="D7286" t="s">
        <v>17466</v>
      </c>
      <c r="E7286" t="s">
        <v>23798</v>
      </c>
      <c r="F7286" t="s">
        <v>30052</v>
      </c>
      <c r="G7286" t="s">
        <v>30058</v>
      </c>
      <c r="H7286" t="s">
        <v>15498</v>
      </c>
      <c r="I7286" t="s">
        <v>4119</v>
      </c>
      <c r="J7286" t="s">
        <v>34697</v>
      </c>
      <c r="K7286" t="s">
        <v>39029</v>
      </c>
      <c r="M7286" t="s">
        <v>41774</v>
      </c>
      <c r="N7286" t="s">
        <v>43166</v>
      </c>
      <c r="O7286" t="s">
        <v>43167</v>
      </c>
      <c r="P7286">
        <v>0</v>
      </c>
      <c r="Q7286">
        <v>5</v>
      </c>
      <c r="R7286" t="s">
        <v>43173</v>
      </c>
      <c r="S7286" t="s">
        <v>43374</v>
      </c>
      <c r="T7286" t="s">
        <v>44832</v>
      </c>
      <c r="U7286" t="s">
        <v>51105</v>
      </c>
      <c r="W7286" t="s">
        <v>41774</v>
      </c>
      <c r="X7286" t="s">
        <v>43174</v>
      </c>
    </row>
    <row r="7287" spans="1:24">
      <c r="A7287">
        <f>HYPERLINK("https://www.philgeps.gov.ph/GEPSNONPILOT/Tender/SplashBidNoticeAbstractUI.aspx?menuIndex=3&amp;refID=7077459&amp;Result=3","7077459")</f>
        <v>0</v>
      </c>
      <c r="B7287" t="s">
        <v>2291</v>
      </c>
      <c r="C7287" t="s">
        <v>10348</v>
      </c>
      <c r="D7287" t="s">
        <v>17447</v>
      </c>
      <c r="E7287" t="s">
        <v>23799</v>
      </c>
      <c r="F7287" t="s">
        <v>30052</v>
      </c>
      <c r="G7287" t="s">
        <v>30061</v>
      </c>
      <c r="H7287" t="s">
        <v>15498</v>
      </c>
      <c r="I7287" t="s">
        <v>30081</v>
      </c>
      <c r="J7287" t="s">
        <v>34698</v>
      </c>
      <c r="K7287" t="s">
        <v>39017</v>
      </c>
      <c r="M7287" t="s">
        <v>41775</v>
      </c>
      <c r="N7287" t="s">
        <v>43166</v>
      </c>
      <c r="O7287" t="s">
        <v>43167</v>
      </c>
      <c r="P7287">
        <v>0</v>
      </c>
      <c r="Q7287">
        <v>4</v>
      </c>
      <c r="R7287" t="s">
        <v>43173</v>
      </c>
      <c r="S7287" t="s">
        <v>43374</v>
      </c>
      <c r="T7287" t="s">
        <v>44870</v>
      </c>
      <c r="U7287" t="s">
        <v>51106</v>
      </c>
      <c r="V7287" t="s">
        <v>57577</v>
      </c>
      <c r="W7287" t="s">
        <v>41775</v>
      </c>
      <c r="X7287" t="s">
        <v>43174</v>
      </c>
    </row>
    <row r="7288" spans="1:24">
      <c r="A7288">
        <f>HYPERLINK("https://www.philgeps.gov.ph/GEPSNONPILOT/Tender/SplashBidNoticeAbstractUI.aspx?menuIndex=3&amp;refID=7077440&amp;Result=3","7077440")</f>
        <v>0</v>
      </c>
      <c r="B7288" t="s">
        <v>2292</v>
      </c>
      <c r="C7288" t="s">
        <v>10349</v>
      </c>
      <c r="D7288" t="s">
        <v>17416</v>
      </c>
      <c r="E7288" t="s">
        <v>23800</v>
      </c>
      <c r="F7288" t="s">
        <v>30052</v>
      </c>
      <c r="G7288" t="s">
        <v>30058</v>
      </c>
      <c r="H7288" t="s">
        <v>15498</v>
      </c>
      <c r="I7288" t="s">
        <v>4119</v>
      </c>
      <c r="J7288" t="s">
        <v>34699</v>
      </c>
      <c r="K7288" t="s">
        <v>39017</v>
      </c>
      <c r="M7288" t="s">
        <v>41776</v>
      </c>
      <c r="N7288" t="s">
        <v>43166</v>
      </c>
      <c r="O7288" t="s">
        <v>43167</v>
      </c>
      <c r="P7288">
        <v>0</v>
      </c>
      <c r="Q7288">
        <v>5</v>
      </c>
      <c r="R7288" t="s">
        <v>43173</v>
      </c>
      <c r="S7288" t="s">
        <v>43374</v>
      </c>
      <c r="T7288" t="s">
        <v>44943</v>
      </c>
      <c r="U7288" t="s">
        <v>51107</v>
      </c>
      <c r="W7288" t="s">
        <v>41776</v>
      </c>
      <c r="X7288" t="s">
        <v>43174</v>
      </c>
    </row>
    <row r="7289" spans="1:24">
      <c r="A7289">
        <f>HYPERLINK("https://www.philgeps.gov.ph/GEPSNONPILOT/Tender/SplashBidNoticeAbstractUI.aspx?menuIndex=3&amp;refID=7077434&amp;Result=3","7077434")</f>
        <v>0</v>
      </c>
      <c r="B7289" t="s">
        <v>201</v>
      </c>
      <c r="C7289" t="s">
        <v>10350</v>
      </c>
      <c r="D7289" t="s">
        <v>17415</v>
      </c>
      <c r="E7289" t="s">
        <v>23801</v>
      </c>
      <c r="F7289" t="s">
        <v>30052</v>
      </c>
      <c r="G7289" t="s">
        <v>30058</v>
      </c>
      <c r="H7289" t="s">
        <v>15498</v>
      </c>
      <c r="I7289" t="s">
        <v>30101</v>
      </c>
      <c r="J7289" t="s">
        <v>34700</v>
      </c>
      <c r="K7289" t="s">
        <v>39023</v>
      </c>
      <c r="M7289" t="s">
        <v>39822</v>
      </c>
      <c r="N7289" t="s">
        <v>43166</v>
      </c>
      <c r="O7289" t="s">
        <v>43167</v>
      </c>
      <c r="P7289">
        <v>0</v>
      </c>
      <c r="Q7289">
        <v>3</v>
      </c>
      <c r="R7289" t="s">
        <v>43173</v>
      </c>
      <c r="S7289" t="s">
        <v>43374</v>
      </c>
      <c r="T7289" t="s">
        <v>44828</v>
      </c>
      <c r="U7289" t="s">
        <v>51108</v>
      </c>
      <c r="W7289" t="s">
        <v>39822</v>
      </c>
      <c r="X7289" t="s">
        <v>43174</v>
      </c>
    </row>
    <row r="7290" spans="1:24">
      <c r="A7290">
        <f>HYPERLINK("https://www.philgeps.gov.ph/GEPSNONPILOT/Tender/SplashBidNoticeAbstractUI.aspx?menuIndex=3&amp;refID=7077457&amp;Result=3","7077457")</f>
        <v>0</v>
      </c>
      <c r="B7290" t="s">
        <v>1779</v>
      </c>
      <c r="C7290" t="s">
        <v>10351</v>
      </c>
      <c r="D7290" t="s">
        <v>17444</v>
      </c>
      <c r="E7290" t="s">
        <v>23802</v>
      </c>
      <c r="F7290" t="s">
        <v>30052</v>
      </c>
      <c r="G7290" t="s">
        <v>30059</v>
      </c>
      <c r="H7290" t="s">
        <v>30067</v>
      </c>
      <c r="I7290" t="s">
        <v>3693</v>
      </c>
      <c r="J7290" t="s">
        <v>30222</v>
      </c>
      <c r="K7290" t="s">
        <v>39026</v>
      </c>
      <c r="M7290" t="s">
        <v>41720</v>
      </c>
      <c r="N7290" t="s">
        <v>43166</v>
      </c>
      <c r="O7290" t="s">
        <v>43167</v>
      </c>
      <c r="P7290">
        <v>0</v>
      </c>
      <c r="Q7290">
        <v>0</v>
      </c>
      <c r="R7290" t="s">
        <v>43173</v>
      </c>
      <c r="S7290" t="s">
        <v>43374</v>
      </c>
      <c r="T7290" t="s">
        <v>44698</v>
      </c>
      <c r="U7290" t="s">
        <v>51109</v>
      </c>
      <c r="W7290" t="s">
        <v>41720</v>
      </c>
      <c r="X7290" t="s">
        <v>43174</v>
      </c>
    </row>
    <row r="7291" spans="1:24">
      <c r="A7291">
        <f>HYPERLINK("https://www.philgeps.gov.ph/GEPSNONPILOT/Tender/SplashBidNoticeAbstractUI.aspx?menuIndex=3&amp;refID=7077433&amp;Result=3","7077433")</f>
        <v>0</v>
      </c>
      <c r="B7291" t="s">
        <v>704</v>
      </c>
      <c r="C7291" t="s">
        <v>5018</v>
      </c>
      <c r="D7291" t="s">
        <v>17422</v>
      </c>
      <c r="E7291" t="s">
        <v>23803</v>
      </c>
      <c r="F7291" t="s">
        <v>30052</v>
      </c>
      <c r="G7291" t="s">
        <v>30061</v>
      </c>
      <c r="H7291" t="s">
        <v>15498</v>
      </c>
      <c r="I7291" t="s">
        <v>6691</v>
      </c>
      <c r="J7291" t="s">
        <v>30308</v>
      </c>
      <c r="K7291" t="s">
        <v>39018</v>
      </c>
      <c r="M7291" t="s">
        <v>40013</v>
      </c>
      <c r="N7291" t="s">
        <v>43166</v>
      </c>
      <c r="O7291" t="s">
        <v>43167</v>
      </c>
      <c r="P7291">
        <v>0</v>
      </c>
      <c r="Q7291">
        <v>0</v>
      </c>
      <c r="R7291" t="s">
        <v>43173</v>
      </c>
      <c r="S7291" t="s">
        <v>43374</v>
      </c>
      <c r="T7291" t="s">
        <v>44734</v>
      </c>
      <c r="U7291" t="s">
        <v>51110</v>
      </c>
      <c r="W7291" t="s">
        <v>40013</v>
      </c>
      <c r="X7291" t="s">
        <v>43174</v>
      </c>
    </row>
    <row r="7292" spans="1:24">
      <c r="A7292">
        <f>HYPERLINK("https://www.philgeps.gov.ph/GEPSNONPILOT/Tender/SplashBidNoticeAbstractUI.aspx?menuIndex=3&amp;refID=7077464&amp;Result=3","7077464")</f>
        <v>0</v>
      </c>
      <c r="B7292" t="s">
        <v>2293</v>
      </c>
      <c r="C7292" t="s">
        <v>10352</v>
      </c>
      <c r="D7292" t="s">
        <v>17444</v>
      </c>
      <c r="E7292" t="s">
        <v>23495</v>
      </c>
      <c r="F7292" t="s">
        <v>30052</v>
      </c>
      <c r="G7292" t="s">
        <v>30062</v>
      </c>
      <c r="H7292" t="s">
        <v>15498</v>
      </c>
      <c r="I7292" t="s">
        <v>30070</v>
      </c>
      <c r="J7292" t="s">
        <v>30967</v>
      </c>
      <c r="K7292" t="s">
        <v>39017</v>
      </c>
      <c r="M7292" t="s">
        <v>41777</v>
      </c>
      <c r="N7292" t="s">
        <v>43166</v>
      </c>
      <c r="O7292" t="s">
        <v>43167</v>
      </c>
      <c r="P7292">
        <v>0</v>
      </c>
      <c r="Q7292">
        <v>4</v>
      </c>
      <c r="R7292" t="s">
        <v>43173</v>
      </c>
      <c r="S7292" t="s">
        <v>43374</v>
      </c>
      <c r="T7292" t="s">
        <v>44734</v>
      </c>
      <c r="U7292" t="s">
        <v>51111</v>
      </c>
      <c r="W7292" t="s">
        <v>41777</v>
      </c>
      <c r="X7292" t="s">
        <v>43174</v>
      </c>
    </row>
    <row r="7293" spans="1:24">
      <c r="A7293">
        <f>HYPERLINK("https://www.philgeps.gov.ph/GEPSNONPILOT/Tender/SplashBidNoticeAbstractUI.aspx?menuIndex=3&amp;refID=7077463&amp;Result=3","7077463")</f>
        <v>0</v>
      </c>
      <c r="B7293" t="s">
        <v>2294</v>
      </c>
      <c r="C7293" t="s">
        <v>10353</v>
      </c>
      <c r="D7293" t="s">
        <v>17455</v>
      </c>
      <c r="E7293" t="s">
        <v>18312</v>
      </c>
      <c r="F7293" t="s">
        <v>30052</v>
      </c>
      <c r="G7293" t="s">
        <v>30058</v>
      </c>
      <c r="H7293" t="s">
        <v>30067</v>
      </c>
      <c r="I7293" t="s">
        <v>3736</v>
      </c>
      <c r="J7293" t="s">
        <v>34701</v>
      </c>
      <c r="K7293" t="s">
        <v>39019</v>
      </c>
      <c r="M7293" t="s">
        <v>41778</v>
      </c>
      <c r="N7293" t="s">
        <v>43166</v>
      </c>
      <c r="O7293" t="s">
        <v>43167</v>
      </c>
      <c r="P7293">
        <v>0</v>
      </c>
      <c r="Q7293">
        <v>1</v>
      </c>
      <c r="R7293" t="s">
        <v>43173</v>
      </c>
      <c r="S7293" t="s">
        <v>43374</v>
      </c>
      <c r="T7293" t="s">
        <v>44832</v>
      </c>
      <c r="U7293" t="s">
        <v>51112</v>
      </c>
      <c r="V7293" t="s">
        <v>57578</v>
      </c>
      <c r="W7293" t="s">
        <v>41778</v>
      </c>
      <c r="X7293" t="s">
        <v>43174</v>
      </c>
    </row>
    <row r="7294" spans="1:24">
      <c r="A7294">
        <f>HYPERLINK("https://www.philgeps.gov.ph/GEPSNONPILOT/Tender/SplashBidNoticeAbstractUI.aspx?menuIndex=3&amp;refID=7077426&amp;Result=3","7077426")</f>
        <v>0</v>
      </c>
      <c r="B7294" t="s">
        <v>1321</v>
      </c>
      <c r="C7294" t="s">
        <v>10354</v>
      </c>
      <c r="D7294" t="s">
        <v>17424</v>
      </c>
      <c r="E7294" t="s">
        <v>23804</v>
      </c>
      <c r="F7294" t="s">
        <v>30052</v>
      </c>
      <c r="G7294" t="s">
        <v>30059</v>
      </c>
      <c r="H7294" t="s">
        <v>15498</v>
      </c>
      <c r="I7294" t="s">
        <v>30098</v>
      </c>
      <c r="J7294" t="s">
        <v>30402</v>
      </c>
      <c r="K7294" t="s">
        <v>39017</v>
      </c>
      <c r="M7294" t="s">
        <v>41779</v>
      </c>
      <c r="N7294" t="s">
        <v>43166</v>
      </c>
      <c r="O7294" t="s">
        <v>43167</v>
      </c>
      <c r="P7294">
        <v>0</v>
      </c>
      <c r="Q7294">
        <v>1</v>
      </c>
      <c r="R7294" t="s">
        <v>43173</v>
      </c>
      <c r="S7294" t="s">
        <v>43374</v>
      </c>
      <c r="T7294" t="s">
        <v>44777</v>
      </c>
      <c r="U7294" t="s">
        <v>51113</v>
      </c>
      <c r="W7294" t="s">
        <v>41779</v>
      </c>
      <c r="X7294" t="s">
        <v>43174</v>
      </c>
    </row>
    <row r="7295" spans="1:24">
      <c r="A7295">
        <f>HYPERLINK("https://www.philgeps.gov.ph/GEPSNONPILOT/Tender/SplashBidNoticeAbstractUI.aspx?menuIndex=3&amp;refID=7077460&amp;Result=3","7077460")</f>
        <v>0</v>
      </c>
      <c r="B7295" t="s">
        <v>1321</v>
      </c>
      <c r="C7295" t="s">
        <v>10355</v>
      </c>
      <c r="D7295" t="s">
        <v>17424</v>
      </c>
      <c r="E7295" t="s">
        <v>23805</v>
      </c>
      <c r="F7295" t="s">
        <v>30052</v>
      </c>
      <c r="G7295" t="s">
        <v>30059</v>
      </c>
      <c r="H7295" t="s">
        <v>15498</v>
      </c>
      <c r="I7295" t="s">
        <v>8323</v>
      </c>
      <c r="J7295" t="s">
        <v>31710</v>
      </c>
      <c r="K7295" t="s">
        <v>39017</v>
      </c>
      <c r="M7295" t="s">
        <v>41779</v>
      </c>
      <c r="N7295" t="s">
        <v>43166</v>
      </c>
      <c r="O7295" t="s">
        <v>43167</v>
      </c>
      <c r="P7295">
        <v>0</v>
      </c>
      <c r="Q7295">
        <v>11</v>
      </c>
      <c r="R7295" t="s">
        <v>43173</v>
      </c>
      <c r="S7295" t="s">
        <v>43374</v>
      </c>
      <c r="T7295" t="s">
        <v>44777</v>
      </c>
      <c r="U7295" t="s">
        <v>51114</v>
      </c>
      <c r="W7295" t="s">
        <v>41779</v>
      </c>
      <c r="X7295" t="s">
        <v>43174</v>
      </c>
    </row>
    <row r="7296" spans="1:24">
      <c r="A7296">
        <f>HYPERLINK("https://www.philgeps.gov.ph/GEPSNONPILOT/Tender/SplashBidNoticeAbstractUI.aspx?menuIndex=3&amp;refID=7077454&amp;Result=3","7077454")</f>
        <v>0</v>
      </c>
      <c r="B7296" t="s">
        <v>972</v>
      </c>
      <c r="C7296" t="s">
        <v>10356</v>
      </c>
      <c r="D7296" t="s">
        <v>17454</v>
      </c>
      <c r="E7296" t="s">
        <v>23806</v>
      </c>
      <c r="F7296" t="s">
        <v>30052</v>
      </c>
      <c r="G7296" t="s">
        <v>30058</v>
      </c>
      <c r="H7296" t="s">
        <v>30067</v>
      </c>
      <c r="I7296" t="s">
        <v>3693</v>
      </c>
      <c r="J7296" t="s">
        <v>34702</v>
      </c>
      <c r="K7296" t="s">
        <v>39033</v>
      </c>
      <c r="M7296" t="s">
        <v>40299</v>
      </c>
      <c r="N7296" t="s">
        <v>43166</v>
      </c>
      <c r="O7296" t="s">
        <v>43167</v>
      </c>
      <c r="P7296">
        <v>0</v>
      </c>
      <c r="Q7296">
        <v>0</v>
      </c>
      <c r="R7296" t="s">
        <v>43173</v>
      </c>
      <c r="S7296" t="s">
        <v>43374</v>
      </c>
      <c r="T7296" t="s">
        <v>44815</v>
      </c>
      <c r="U7296" t="s">
        <v>51115</v>
      </c>
      <c r="W7296" t="s">
        <v>40299</v>
      </c>
      <c r="X7296" t="s">
        <v>43174</v>
      </c>
    </row>
    <row r="7297" spans="1:24">
      <c r="A7297">
        <f>HYPERLINK("https://www.philgeps.gov.ph/GEPSNONPILOT/Tender/SplashBidNoticeAbstractUI.aspx?menuIndex=3&amp;refID=7077437&amp;Result=3","7077437")</f>
        <v>0</v>
      </c>
      <c r="B7297" t="s">
        <v>2295</v>
      </c>
      <c r="C7297" t="s">
        <v>10357</v>
      </c>
      <c r="D7297" t="s">
        <v>17421</v>
      </c>
      <c r="E7297" t="s">
        <v>19891</v>
      </c>
      <c r="F7297" t="s">
        <v>30052</v>
      </c>
      <c r="G7297" t="s">
        <v>30059</v>
      </c>
      <c r="H7297" t="s">
        <v>30067</v>
      </c>
      <c r="I7297" t="s">
        <v>3693</v>
      </c>
      <c r="J7297" t="s">
        <v>30230</v>
      </c>
      <c r="K7297" t="s">
        <v>39037</v>
      </c>
      <c r="M7297" t="s">
        <v>41780</v>
      </c>
      <c r="N7297" t="s">
        <v>43166</v>
      </c>
      <c r="O7297" t="s">
        <v>43167</v>
      </c>
      <c r="P7297">
        <v>0</v>
      </c>
      <c r="Q7297">
        <v>0</v>
      </c>
      <c r="R7297" t="s">
        <v>43173</v>
      </c>
      <c r="S7297" t="s">
        <v>43374</v>
      </c>
      <c r="T7297" t="s">
        <v>44773</v>
      </c>
      <c r="U7297" t="s">
        <v>51116</v>
      </c>
      <c r="W7297" t="s">
        <v>41780</v>
      </c>
      <c r="X7297" t="s">
        <v>43174</v>
      </c>
    </row>
    <row r="7298" spans="1:24">
      <c r="A7298">
        <f>HYPERLINK("https://www.philgeps.gov.ph/GEPSNONPILOT/Tender/SplashBidNoticeAbstractUI.aspx?menuIndex=3&amp;refID=7077430&amp;Result=3","7077430")</f>
        <v>0</v>
      </c>
      <c r="B7298" t="s">
        <v>1779</v>
      </c>
      <c r="C7298" t="s">
        <v>10358</v>
      </c>
      <c r="D7298" t="s">
        <v>17444</v>
      </c>
      <c r="E7298" t="s">
        <v>23807</v>
      </c>
      <c r="F7298" t="s">
        <v>30052</v>
      </c>
      <c r="G7298" t="s">
        <v>30059</v>
      </c>
      <c r="H7298" t="s">
        <v>30067</v>
      </c>
      <c r="I7298" t="s">
        <v>3693</v>
      </c>
      <c r="J7298" t="s">
        <v>30222</v>
      </c>
      <c r="K7298" t="s">
        <v>39082</v>
      </c>
      <c r="M7298" t="s">
        <v>41720</v>
      </c>
      <c r="N7298" t="s">
        <v>43166</v>
      </c>
      <c r="O7298" t="s">
        <v>43167</v>
      </c>
      <c r="P7298">
        <v>0</v>
      </c>
      <c r="Q7298">
        <v>0</v>
      </c>
      <c r="R7298" t="s">
        <v>43173</v>
      </c>
      <c r="S7298" t="s">
        <v>43374</v>
      </c>
      <c r="T7298" t="s">
        <v>44698</v>
      </c>
      <c r="U7298" t="s">
        <v>51117</v>
      </c>
      <c r="W7298" t="s">
        <v>41720</v>
      </c>
      <c r="X7298" t="s">
        <v>43174</v>
      </c>
    </row>
    <row r="7299" spans="1:24">
      <c r="A7299">
        <f>HYPERLINK("https://www.philgeps.gov.ph/GEPSNONPILOT/Tender/SplashBidNoticeAbstractUI.aspx?menuIndex=3&amp;refID=7077458&amp;Result=3","7077458")</f>
        <v>0</v>
      </c>
      <c r="B7299" t="s">
        <v>1940</v>
      </c>
      <c r="C7299" t="s">
        <v>10359</v>
      </c>
      <c r="D7299" t="s">
        <v>17427</v>
      </c>
      <c r="E7299" t="s">
        <v>23808</v>
      </c>
      <c r="F7299" t="s">
        <v>30052</v>
      </c>
      <c r="G7299" t="s">
        <v>30058</v>
      </c>
      <c r="H7299" t="s">
        <v>15498</v>
      </c>
      <c r="I7299" t="s">
        <v>30073</v>
      </c>
      <c r="J7299" t="s">
        <v>34703</v>
      </c>
      <c r="K7299" t="s">
        <v>39025</v>
      </c>
      <c r="M7299" t="s">
        <v>41375</v>
      </c>
      <c r="N7299" t="s">
        <v>43166</v>
      </c>
      <c r="O7299" t="s">
        <v>43167</v>
      </c>
      <c r="P7299">
        <v>0</v>
      </c>
      <c r="Q7299">
        <v>1</v>
      </c>
      <c r="R7299" t="s">
        <v>43173</v>
      </c>
      <c r="S7299" t="s">
        <v>43374</v>
      </c>
      <c r="T7299" t="s">
        <v>44752</v>
      </c>
      <c r="U7299" t="s">
        <v>51118</v>
      </c>
      <c r="W7299" t="s">
        <v>41375</v>
      </c>
      <c r="X7299" t="s">
        <v>43174</v>
      </c>
    </row>
    <row r="7300" spans="1:24">
      <c r="A7300">
        <f>HYPERLINK("https://www.philgeps.gov.ph/GEPSNONPILOT/Tender/SplashBidNoticeAbstractUI.aspx?menuIndex=3&amp;refID=7077452&amp;Result=3","7077452")</f>
        <v>0</v>
      </c>
      <c r="B7300" t="s">
        <v>2245</v>
      </c>
      <c r="C7300" t="s">
        <v>10360</v>
      </c>
      <c r="D7300" t="s">
        <v>17415</v>
      </c>
      <c r="E7300" t="s">
        <v>23809</v>
      </c>
      <c r="F7300" t="s">
        <v>30052</v>
      </c>
      <c r="G7300" t="s">
        <v>30059</v>
      </c>
      <c r="H7300" t="s">
        <v>15498</v>
      </c>
      <c r="I7300" t="s">
        <v>3736</v>
      </c>
      <c r="J7300" t="s">
        <v>34704</v>
      </c>
      <c r="K7300" t="s">
        <v>39023</v>
      </c>
      <c r="M7300" t="s">
        <v>41723</v>
      </c>
      <c r="N7300" t="s">
        <v>43166</v>
      </c>
      <c r="O7300" t="s">
        <v>43167</v>
      </c>
      <c r="P7300">
        <v>0</v>
      </c>
      <c r="Q7300">
        <v>1</v>
      </c>
      <c r="R7300" t="s">
        <v>43173</v>
      </c>
      <c r="S7300" t="s">
        <v>43374</v>
      </c>
      <c r="T7300" t="s">
        <v>44773</v>
      </c>
      <c r="U7300" t="s">
        <v>51026</v>
      </c>
      <c r="W7300" t="s">
        <v>41723</v>
      </c>
      <c r="X7300" t="s">
        <v>43174</v>
      </c>
    </row>
    <row r="7301" spans="1:24">
      <c r="A7301">
        <f>HYPERLINK("https://www.philgeps.gov.ph/GEPSNONPILOT/Tender/SplashBidNoticeAbstractUI.aspx?menuIndex=3&amp;refID=7077468&amp;Result=3","7077468")</f>
        <v>0</v>
      </c>
      <c r="B7301" t="s">
        <v>1602</v>
      </c>
      <c r="C7301" t="s">
        <v>10361</v>
      </c>
      <c r="D7301" t="s">
        <v>17445</v>
      </c>
      <c r="E7301" t="s">
        <v>23810</v>
      </c>
      <c r="F7301" t="s">
        <v>30052</v>
      </c>
      <c r="G7301" t="s">
        <v>30058</v>
      </c>
      <c r="H7301" t="s">
        <v>30067</v>
      </c>
      <c r="I7301" t="s">
        <v>3693</v>
      </c>
      <c r="J7301" t="s">
        <v>30207</v>
      </c>
      <c r="K7301" t="s">
        <v>39025</v>
      </c>
      <c r="M7301" t="s">
        <v>41000</v>
      </c>
      <c r="N7301" t="s">
        <v>43166</v>
      </c>
      <c r="O7301" t="s">
        <v>43167</v>
      </c>
      <c r="P7301">
        <v>0</v>
      </c>
      <c r="Q7301">
        <v>0</v>
      </c>
      <c r="R7301" t="s">
        <v>43173</v>
      </c>
      <c r="S7301" t="s">
        <v>43374</v>
      </c>
      <c r="T7301" t="s">
        <v>44729</v>
      </c>
      <c r="U7301" t="s">
        <v>51039</v>
      </c>
      <c r="W7301" t="s">
        <v>41000</v>
      </c>
      <c r="X7301" t="s">
        <v>43174</v>
      </c>
    </row>
    <row r="7302" spans="1:24">
      <c r="A7302">
        <f>HYPERLINK("https://www.philgeps.gov.ph/GEPSNONPILOT/Tender/SplashBidNoticeAbstractUI.aspx?menuIndex=3&amp;refID=7077500&amp;Result=3","7077500")</f>
        <v>0</v>
      </c>
      <c r="B7302" t="s">
        <v>2296</v>
      </c>
      <c r="C7302" t="s">
        <v>10362</v>
      </c>
      <c r="E7302" t="s">
        <v>23811</v>
      </c>
      <c r="F7302" t="s">
        <v>30052</v>
      </c>
      <c r="G7302" t="s">
        <v>30058</v>
      </c>
      <c r="H7302" t="s">
        <v>15498</v>
      </c>
      <c r="I7302" t="s">
        <v>30073</v>
      </c>
      <c r="J7302" t="s">
        <v>30683</v>
      </c>
      <c r="K7302" t="s">
        <v>39029</v>
      </c>
      <c r="M7302" t="s">
        <v>41781</v>
      </c>
      <c r="N7302" t="s">
        <v>43166</v>
      </c>
      <c r="O7302" t="s">
        <v>43167</v>
      </c>
      <c r="Q7302">
        <v>0</v>
      </c>
      <c r="R7302" t="s">
        <v>43173</v>
      </c>
      <c r="S7302" t="s">
        <v>43385</v>
      </c>
      <c r="T7302" t="s">
        <v>44722</v>
      </c>
      <c r="U7302" t="s">
        <v>51119</v>
      </c>
      <c r="W7302" t="s">
        <v>41781</v>
      </c>
      <c r="X7302" t="s">
        <v>43174</v>
      </c>
    </row>
    <row r="7303" spans="1:24">
      <c r="A7303">
        <f>HYPERLINK("https://www.philgeps.gov.ph/GEPSNONPILOT/Tender/SplashBidNoticeAbstractUI.aspx?menuIndex=3&amp;refID=7077493&amp;Result=3","7077493")</f>
        <v>0</v>
      </c>
      <c r="B7303" t="s">
        <v>2279</v>
      </c>
      <c r="C7303" t="s">
        <v>10363</v>
      </c>
      <c r="D7303" t="s">
        <v>17472</v>
      </c>
      <c r="E7303" t="s">
        <v>23812</v>
      </c>
      <c r="F7303" t="s">
        <v>30052</v>
      </c>
      <c r="G7303" t="s">
        <v>30058</v>
      </c>
      <c r="H7303" t="s">
        <v>15498</v>
      </c>
      <c r="I7303" t="s">
        <v>3736</v>
      </c>
      <c r="J7303" t="s">
        <v>34705</v>
      </c>
      <c r="K7303" t="s">
        <v>39017</v>
      </c>
      <c r="M7303" t="s">
        <v>41761</v>
      </c>
      <c r="N7303" t="s">
        <v>43166</v>
      </c>
      <c r="O7303" t="s">
        <v>43167</v>
      </c>
      <c r="P7303">
        <v>0</v>
      </c>
      <c r="Q7303">
        <v>0</v>
      </c>
      <c r="R7303" t="s">
        <v>43173</v>
      </c>
      <c r="S7303" t="s">
        <v>43374</v>
      </c>
      <c r="T7303" t="s">
        <v>44732</v>
      </c>
      <c r="U7303" t="s">
        <v>51120</v>
      </c>
      <c r="W7303" t="s">
        <v>41761</v>
      </c>
      <c r="X7303" t="s">
        <v>43174</v>
      </c>
    </row>
    <row r="7304" spans="1:24">
      <c r="A7304">
        <f>HYPERLINK("https://www.philgeps.gov.ph/GEPSNONPILOT/Tender/SplashBidNoticeAbstractUI.aspx?menuIndex=3&amp;refID=7077488&amp;Result=3","7077488")</f>
        <v>0</v>
      </c>
      <c r="B7304" t="s">
        <v>2297</v>
      </c>
      <c r="C7304" t="s">
        <v>10364</v>
      </c>
      <c r="D7304" t="s">
        <v>17415</v>
      </c>
      <c r="E7304" t="s">
        <v>19475</v>
      </c>
      <c r="F7304" t="s">
        <v>30052</v>
      </c>
      <c r="G7304" t="s">
        <v>30059</v>
      </c>
      <c r="H7304" t="s">
        <v>30067</v>
      </c>
      <c r="I7304" t="s">
        <v>3693</v>
      </c>
      <c r="J7304" t="s">
        <v>30747</v>
      </c>
      <c r="K7304" t="s">
        <v>39019</v>
      </c>
      <c r="M7304" t="s">
        <v>41782</v>
      </c>
      <c r="N7304" t="s">
        <v>43166</v>
      </c>
      <c r="O7304" t="s">
        <v>43167</v>
      </c>
      <c r="P7304">
        <v>0</v>
      </c>
      <c r="Q7304">
        <v>3</v>
      </c>
      <c r="R7304" t="s">
        <v>43173</v>
      </c>
      <c r="S7304" t="s">
        <v>43374</v>
      </c>
      <c r="T7304" t="s">
        <v>44717</v>
      </c>
      <c r="U7304" t="s">
        <v>51121</v>
      </c>
      <c r="V7304" t="s">
        <v>57579</v>
      </c>
      <c r="W7304" t="s">
        <v>41782</v>
      </c>
      <c r="X7304" t="s">
        <v>43174</v>
      </c>
    </row>
    <row r="7305" spans="1:24">
      <c r="A7305">
        <f>HYPERLINK("https://www.philgeps.gov.ph/GEPSNONPILOT/Tender/SplashBidNoticeAbstractUI.aspx?menuIndex=3&amp;refID=7077486&amp;Result=3","7077486")</f>
        <v>0</v>
      </c>
      <c r="B7305" t="s">
        <v>920</v>
      </c>
      <c r="C7305" t="s">
        <v>10365</v>
      </c>
      <c r="D7305" t="s">
        <v>17415</v>
      </c>
      <c r="E7305" t="s">
        <v>23813</v>
      </c>
      <c r="F7305" t="s">
        <v>30052</v>
      </c>
      <c r="G7305" t="s">
        <v>30059</v>
      </c>
      <c r="H7305" t="s">
        <v>15498</v>
      </c>
      <c r="I7305" t="s">
        <v>3852</v>
      </c>
      <c r="J7305" t="s">
        <v>34706</v>
      </c>
      <c r="K7305" t="s">
        <v>39018</v>
      </c>
      <c r="M7305" t="s">
        <v>40243</v>
      </c>
      <c r="N7305" t="s">
        <v>43166</v>
      </c>
      <c r="O7305" t="s">
        <v>43167</v>
      </c>
      <c r="P7305">
        <v>0</v>
      </c>
      <c r="Q7305">
        <v>2</v>
      </c>
      <c r="R7305" t="s">
        <v>43173</v>
      </c>
      <c r="S7305" t="s">
        <v>43374</v>
      </c>
      <c r="T7305" t="s">
        <v>44788</v>
      </c>
      <c r="U7305" t="s">
        <v>50976</v>
      </c>
      <c r="W7305" t="s">
        <v>40243</v>
      </c>
      <c r="X7305" t="s">
        <v>43174</v>
      </c>
    </row>
    <row r="7306" spans="1:24">
      <c r="A7306">
        <f>HYPERLINK("https://www.philgeps.gov.ph/GEPSNONPILOT/Tender/SplashBidNoticeAbstractUI.aspx?menuIndex=3&amp;refID=7077485&amp;Result=3","7077485")</f>
        <v>0</v>
      </c>
      <c r="B7306" t="s">
        <v>1744</v>
      </c>
      <c r="C7306" t="s">
        <v>10366</v>
      </c>
      <c r="D7306" t="s">
        <v>17457</v>
      </c>
      <c r="E7306" t="s">
        <v>23814</v>
      </c>
      <c r="F7306" t="s">
        <v>30052</v>
      </c>
      <c r="G7306" t="s">
        <v>30058</v>
      </c>
      <c r="H7306" t="s">
        <v>15498</v>
      </c>
      <c r="I7306" t="s">
        <v>30155</v>
      </c>
      <c r="J7306" t="s">
        <v>34663</v>
      </c>
      <c r="K7306" t="s">
        <v>39105</v>
      </c>
      <c r="M7306" t="s">
        <v>41163</v>
      </c>
      <c r="N7306" t="s">
        <v>43166</v>
      </c>
      <c r="O7306" t="s">
        <v>43167</v>
      </c>
      <c r="P7306">
        <v>0</v>
      </c>
      <c r="Q7306">
        <v>0</v>
      </c>
      <c r="R7306" t="s">
        <v>43173</v>
      </c>
      <c r="S7306" t="s">
        <v>43374</v>
      </c>
      <c r="T7306" t="s">
        <v>44773</v>
      </c>
      <c r="U7306" t="s">
        <v>51058</v>
      </c>
      <c r="V7306" t="s">
        <v>57580</v>
      </c>
      <c r="W7306" t="s">
        <v>41163</v>
      </c>
      <c r="X7306" t="s">
        <v>43174</v>
      </c>
    </row>
    <row r="7307" spans="1:24">
      <c r="A7307">
        <f>HYPERLINK("https://www.philgeps.gov.ph/GEPSNONPILOT/Tender/SplashBidNoticeAbstractUI.aspx?menuIndex=3&amp;refID=7077484&amp;Result=3","7077484")</f>
        <v>0</v>
      </c>
      <c r="B7307" t="s">
        <v>1701</v>
      </c>
      <c r="C7307" t="s">
        <v>10367</v>
      </c>
      <c r="D7307" t="s">
        <v>17427</v>
      </c>
      <c r="E7307" t="s">
        <v>23815</v>
      </c>
      <c r="F7307" t="s">
        <v>30052</v>
      </c>
      <c r="G7307" t="s">
        <v>30059</v>
      </c>
      <c r="H7307" t="s">
        <v>15498</v>
      </c>
      <c r="I7307" t="s">
        <v>4650</v>
      </c>
      <c r="J7307" t="s">
        <v>32524</v>
      </c>
      <c r="K7307" t="s">
        <v>39025</v>
      </c>
      <c r="M7307" t="s">
        <v>41112</v>
      </c>
      <c r="N7307" t="s">
        <v>43166</v>
      </c>
      <c r="O7307" t="s">
        <v>43167</v>
      </c>
      <c r="P7307">
        <v>0</v>
      </c>
      <c r="Q7307">
        <v>2</v>
      </c>
      <c r="R7307" t="s">
        <v>43173</v>
      </c>
      <c r="S7307" t="s">
        <v>43374</v>
      </c>
      <c r="T7307" t="s">
        <v>44841</v>
      </c>
      <c r="U7307" t="s">
        <v>49142</v>
      </c>
      <c r="W7307" t="s">
        <v>41112</v>
      </c>
      <c r="X7307" t="s">
        <v>43174</v>
      </c>
    </row>
    <row r="7308" spans="1:24">
      <c r="A7308">
        <f>HYPERLINK("https://www.philgeps.gov.ph/GEPSNONPILOT/Tender/SplashBidNoticeAbstractUI.aspx?menuIndex=3&amp;refID=7077479&amp;Result=3","7077479")</f>
        <v>0</v>
      </c>
      <c r="B7308" t="s">
        <v>2298</v>
      </c>
      <c r="C7308" t="s">
        <v>10368</v>
      </c>
      <c r="D7308" t="s">
        <v>17444</v>
      </c>
      <c r="E7308" t="s">
        <v>23816</v>
      </c>
      <c r="F7308" t="s">
        <v>30055</v>
      </c>
      <c r="G7308" t="s">
        <v>30059</v>
      </c>
      <c r="H7308" t="s">
        <v>15498</v>
      </c>
      <c r="I7308" t="s">
        <v>30096</v>
      </c>
      <c r="J7308" t="s">
        <v>34707</v>
      </c>
      <c r="K7308" t="s">
        <v>39025</v>
      </c>
      <c r="M7308" t="s">
        <v>41783</v>
      </c>
      <c r="N7308" t="s">
        <v>43166</v>
      </c>
      <c r="O7308" t="s">
        <v>43167</v>
      </c>
      <c r="P7308">
        <v>0</v>
      </c>
      <c r="Q7308">
        <v>4</v>
      </c>
      <c r="R7308" t="s">
        <v>43173</v>
      </c>
      <c r="S7308" t="s">
        <v>43374</v>
      </c>
      <c r="T7308" t="s">
        <v>44734</v>
      </c>
      <c r="U7308" t="s">
        <v>51122</v>
      </c>
      <c r="W7308" t="s">
        <v>41783</v>
      </c>
      <c r="X7308" t="s">
        <v>43174</v>
      </c>
    </row>
    <row r="7309" spans="1:24">
      <c r="A7309">
        <f>HYPERLINK("https://www.philgeps.gov.ph/GEPSNONPILOT/Tender/SplashBidNoticeAbstractUI.aspx?menuIndex=3&amp;refID=7077469&amp;Result=3","7077469")</f>
        <v>0</v>
      </c>
      <c r="B7309" t="s">
        <v>2299</v>
      </c>
      <c r="C7309" t="s">
        <v>10369</v>
      </c>
      <c r="D7309" t="s">
        <v>17415</v>
      </c>
      <c r="E7309" t="s">
        <v>23817</v>
      </c>
      <c r="F7309" t="s">
        <v>30052</v>
      </c>
      <c r="G7309" t="s">
        <v>30058</v>
      </c>
      <c r="H7309" t="s">
        <v>15498</v>
      </c>
      <c r="I7309" t="s">
        <v>30096</v>
      </c>
      <c r="J7309" t="s">
        <v>34708</v>
      </c>
      <c r="K7309" t="s">
        <v>39046</v>
      </c>
      <c r="M7309" t="s">
        <v>41784</v>
      </c>
      <c r="N7309" t="s">
        <v>43166</v>
      </c>
      <c r="O7309" t="s">
        <v>43167</v>
      </c>
      <c r="P7309">
        <v>0</v>
      </c>
      <c r="Q7309">
        <v>18</v>
      </c>
      <c r="R7309" t="s">
        <v>43173</v>
      </c>
      <c r="S7309" t="s">
        <v>43374</v>
      </c>
      <c r="T7309" t="s">
        <v>44680</v>
      </c>
      <c r="U7309" t="s">
        <v>51123</v>
      </c>
      <c r="W7309" t="s">
        <v>41784</v>
      </c>
      <c r="X7309" t="s">
        <v>43174</v>
      </c>
    </row>
    <row r="7310" spans="1:24">
      <c r="A7310">
        <f>HYPERLINK("https://www.philgeps.gov.ph/GEPSNONPILOT/Tender/SplashBidNoticeAbstractUI.aspx?menuIndex=3&amp;refID=7077501&amp;Result=3","7077501")</f>
        <v>0</v>
      </c>
      <c r="B7310" t="s">
        <v>2245</v>
      </c>
      <c r="C7310" t="s">
        <v>10370</v>
      </c>
      <c r="D7310" t="s">
        <v>17415</v>
      </c>
      <c r="E7310" t="s">
        <v>23818</v>
      </c>
      <c r="F7310" t="s">
        <v>30052</v>
      </c>
      <c r="G7310" t="s">
        <v>30059</v>
      </c>
      <c r="H7310" t="s">
        <v>15498</v>
      </c>
      <c r="I7310" t="s">
        <v>3736</v>
      </c>
      <c r="J7310" t="s">
        <v>34709</v>
      </c>
      <c r="K7310" t="s">
        <v>39023</v>
      </c>
      <c r="M7310" t="s">
        <v>41723</v>
      </c>
      <c r="N7310" t="s">
        <v>43166</v>
      </c>
      <c r="O7310" t="s">
        <v>43167</v>
      </c>
      <c r="P7310">
        <v>0</v>
      </c>
      <c r="Q7310">
        <v>1</v>
      </c>
      <c r="R7310" t="s">
        <v>43173</v>
      </c>
      <c r="S7310" t="s">
        <v>43374</v>
      </c>
      <c r="T7310" t="s">
        <v>44773</v>
      </c>
      <c r="U7310" t="s">
        <v>51026</v>
      </c>
      <c r="W7310" t="s">
        <v>41723</v>
      </c>
      <c r="X7310" t="s">
        <v>43174</v>
      </c>
    </row>
    <row r="7311" spans="1:24">
      <c r="A7311">
        <f>HYPERLINK("https://www.philgeps.gov.ph/GEPSNONPILOT/Tender/SplashBidNoticeAbstractUI.aspx?menuIndex=3&amp;refID=7077532&amp;Result=3","7077532")</f>
        <v>0</v>
      </c>
      <c r="B7311" t="s">
        <v>2300</v>
      </c>
      <c r="C7311" t="s">
        <v>10371</v>
      </c>
      <c r="D7311" t="s">
        <v>17434</v>
      </c>
      <c r="E7311" t="s">
        <v>23819</v>
      </c>
      <c r="F7311" t="s">
        <v>30052</v>
      </c>
      <c r="G7311" t="s">
        <v>30058</v>
      </c>
      <c r="H7311" t="s">
        <v>30067</v>
      </c>
      <c r="I7311" t="s">
        <v>3693</v>
      </c>
      <c r="J7311" t="s">
        <v>34710</v>
      </c>
      <c r="K7311" t="s">
        <v>39190</v>
      </c>
      <c r="M7311" t="s">
        <v>41785</v>
      </c>
      <c r="N7311" t="s">
        <v>43166</v>
      </c>
      <c r="O7311" t="s">
        <v>43167</v>
      </c>
      <c r="P7311">
        <v>0</v>
      </c>
      <c r="Q7311">
        <v>14</v>
      </c>
      <c r="R7311" t="s">
        <v>43173</v>
      </c>
      <c r="S7311" t="s">
        <v>43374</v>
      </c>
      <c r="T7311" t="s">
        <v>44758</v>
      </c>
      <c r="U7311" t="s">
        <v>51124</v>
      </c>
      <c r="V7311" t="s">
        <v>57428</v>
      </c>
      <c r="W7311" t="s">
        <v>41785</v>
      </c>
      <c r="X7311" t="s">
        <v>43174</v>
      </c>
    </row>
    <row r="7312" spans="1:24">
      <c r="A7312">
        <f>HYPERLINK("https://www.philgeps.gov.ph/GEPSNONPILOT/Tender/SplashBidNoticeAbstractUI.aspx?menuIndex=3&amp;refID=7077518&amp;Result=3","7077518")</f>
        <v>0</v>
      </c>
      <c r="B7312" t="s">
        <v>2188</v>
      </c>
      <c r="C7312" t="s">
        <v>3458</v>
      </c>
      <c r="D7312" t="s">
        <v>17459</v>
      </c>
      <c r="E7312" t="s">
        <v>23820</v>
      </c>
      <c r="F7312" t="s">
        <v>30052</v>
      </c>
      <c r="G7312" t="s">
        <v>30062</v>
      </c>
      <c r="H7312" t="s">
        <v>15498</v>
      </c>
      <c r="I7312" t="s">
        <v>30070</v>
      </c>
      <c r="J7312" t="s">
        <v>30292</v>
      </c>
      <c r="K7312" t="s">
        <v>39017</v>
      </c>
      <c r="M7312" t="s">
        <v>41657</v>
      </c>
      <c r="N7312" t="s">
        <v>43166</v>
      </c>
      <c r="O7312" t="s">
        <v>43167</v>
      </c>
      <c r="P7312">
        <v>0</v>
      </c>
      <c r="Q7312">
        <v>4</v>
      </c>
      <c r="R7312" t="s">
        <v>43173</v>
      </c>
      <c r="S7312" t="s">
        <v>43374</v>
      </c>
      <c r="T7312" t="s">
        <v>44844</v>
      </c>
      <c r="U7312" t="s">
        <v>51125</v>
      </c>
      <c r="W7312" t="s">
        <v>41657</v>
      </c>
      <c r="X7312" t="s">
        <v>43174</v>
      </c>
    </row>
    <row r="7313" spans="1:24">
      <c r="A7313">
        <f>HYPERLINK("https://www.philgeps.gov.ph/GEPSNONPILOT/Tender/SplashBidNoticeAbstractUI.aspx?menuIndex=3&amp;refID=7077499&amp;Result=3","7077499")</f>
        <v>0</v>
      </c>
      <c r="B7313" t="s">
        <v>1520</v>
      </c>
      <c r="C7313" t="s">
        <v>10372</v>
      </c>
      <c r="D7313" t="s">
        <v>17423</v>
      </c>
      <c r="E7313" t="s">
        <v>21672</v>
      </c>
      <c r="F7313" t="s">
        <v>30056</v>
      </c>
      <c r="G7313" t="s">
        <v>30059</v>
      </c>
      <c r="H7313" t="s">
        <v>30067</v>
      </c>
      <c r="I7313" t="s">
        <v>30081</v>
      </c>
      <c r="J7313" t="s">
        <v>30248</v>
      </c>
      <c r="K7313" t="s">
        <v>39017</v>
      </c>
      <c r="M7313" t="s">
        <v>40906</v>
      </c>
      <c r="N7313" t="s">
        <v>43166</v>
      </c>
      <c r="O7313" t="s">
        <v>43167</v>
      </c>
      <c r="P7313">
        <v>0</v>
      </c>
      <c r="Q7313">
        <v>1</v>
      </c>
      <c r="R7313" t="s">
        <v>43173</v>
      </c>
      <c r="S7313" t="s">
        <v>43374</v>
      </c>
      <c r="T7313" t="s">
        <v>44832</v>
      </c>
      <c r="U7313" t="s">
        <v>51126</v>
      </c>
      <c r="W7313" t="s">
        <v>40906</v>
      </c>
      <c r="X7313" t="s">
        <v>43174</v>
      </c>
    </row>
    <row r="7314" spans="1:24">
      <c r="A7314">
        <f>HYPERLINK("https://www.philgeps.gov.ph/GEPSNONPILOT/Tender/SplashBidNoticeAbstractUI.aspx?menuIndex=3&amp;refID=7077511&amp;Result=3","7077511")</f>
        <v>0</v>
      </c>
      <c r="B7314" t="s">
        <v>1334</v>
      </c>
      <c r="C7314" t="s">
        <v>10373</v>
      </c>
      <c r="D7314" t="s">
        <v>17441</v>
      </c>
      <c r="E7314" t="s">
        <v>23821</v>
      </c>
      <c r="F7314" t="s">
        <v>30052</v>
      </c>
      <c r="G7314" t="s">
        <v>30058</v>
      </c>
      <c r="H7314" t="s">
        <v>15498</v>
      </c>
      <c r="I7314" t="s">
        <v>30130</v>
      </c>
      <c r="J7314" t="s">
        <v>34711</v>
      </c>
      <c r="K7314" t="s">
        <v>39029</v>
      </c>
      <c r="M7314" t="s">
        <v>41110</v>
      </c>
      <c r="N7314" t="s">
        <v>43166</v>
      </c>
      <c r="O7314" t="s">
        <v>43167</v>
      </c>
      <c r="P7314">
        <v>0</v>
      </c>
      <c r="Q7314">
        <v>17</v>
      </c>
      <c r="R7314" t="s">
        <v>43173</v>
      </c>
      <c r="S7314" t="s">
        <v>43374</v>
      </c>
      <c r="T7314" t="s">
        <v>44796</v>
      </c>
      <c r="U7314" t="s">
        <v>51127</v>
      </c>
      <c r="W7314" t="s">
        <v>41110</v>
      </c>
      <c r="X7314" t="s">
        <v>43174</v>
      </c>
    </row>
    <row r="7315" spans="1:24">
      <c r="A7315">
        <f>HYPERLINK("https://www.philgeps.gov.ph/GEPSNONPILOT/Tender/SplashBidNoticeAbstractUI.aspx?menuIndex=3&amp;refID=7077431&amp;Result=3","7077431")</f>
        <v>0</v>
      </c>
      <c r="B7315" t="s">
        <v>1744</v>
      </c>
      <c r="C7315" t="s">
        <v>10374</v>
      </c>
      <c r="D7315" t="s">
        <v>17457</v>
      </c>
      <c r="E7315" t="s">
        <v>23822</v>
      </c>
      <c r="F7315" t="s">
        <v>30052</v>
      </c>
      <c r="G7315" t="s">
        <v>30058</v>
      </c>
      <c r="H7315" t="s">
        <v>15498</v>
      </c>
      <c r="I7315" t="s">
        <v>30155</v>
      </c>
      <c r="J7315" t="s">
        <v>34712</v>
      </c>
      <c r="K7315" t="s">
        <v>39034</v>
      </c>
      <c r="M7315" t="s">
        <v>41163</v>
      </c>
      <c r="N7315" t="s">
        <v>43166</v>
      </c>
      <c r="O7315" t="s">
        <v>43167</v>
      </c>
      <c r="P7315">
        <v>0</v>
      </c>
      <c r="Q7315">
        <v>0</v>
      </c>
      <c r="R7315" t="s">
        <v>43173</v>
      </c>
      <c r="S7315" t="s">
        <v>43374</v>
      </c>
      <c r="T7315" t="s">
        <v>44773</v>
      </c>
      <c r="U7315" t="s">
        <v>51058</v>
      </c>
      <c r="V7315" t="s">
        <v>57581</v>
      </c>
      <c r="W7315" t="s">
        <v>41163</v>
      </c>
      <c r="X7315" t="s">
        <v>43174</v>
      </c>
    </row>
    <row r="7316" spans="1:24">
      <c r="A7316">
        <f>HYPERLINK("https://www.philgeps.gov.ph/GEPSNONPILOT/Tender/SplashBidNoticeAbstractUI.aspx?menuIndex=3&amp;refID=7077503&amp;Result=3","7077503")</f>
        <v>0</v>
      </c>
      <c r="B7316" t="s">
        <v>2301</v>
      </c>
      <c r="C7316" t="s">
        <v>10375</v>
      </c>
      <c r="D7316" t="s">
        <v>17445</v>
      </c>
      <c r="E7316" t="s">
        <v>17715</v>
      </c>
      <c r="F7316" t="s">
        <v>30052</v>
      </c>
      <c r="G7316" t="s">
        <v>30058</v>
      </c>
      <c r="H7316" t="s">
        <v>15498</v>
      </c>
      <c r="I7316" t="s">
        <v>3736</v>
      </c>
      <c r="J7316" t="s">
        <v>34713</v>
      </c>
      <c r="K7316" t="s">
        <v>39029</v>
      </c>
      <c r="M7316" t="s">
        <v>41786</v>
      </c>
      <c r="N7316" t="s">
        <v>43166</v>
      </c>
      <c r="O7316" t="s">
        <v>43167</v>
      </c>
      <c r="P7316">
        <v>0</v>
      </c>
      <c r="Q7316">
        <v>0</v>
      </c>
      <c r="R7316" t="s">
        <v>43173</v>
      </c>
      <c r="S7316" t="s">
        <v>43374</v>
      </c>
      <c r="T7316" t="s">
        <v>44737</v>
      </c>
      <c r="U7316" t="s">
        <v>51128</v>
      </c>
      <c r="W7316" t="s">
        <v>41786</v>
      </c>
      <c r="X7316" t="s">
        <v>43174</v>
      </c>
    </row>
    <row r="7317" spans="1:24">
      <c r="A7317">
        <f>HYPERLINK("https://www.philgeps.gov.ph/GEPSNONPILOT/Tender/SplashBidNoticeAbstractUI.aspx?menuIndex=3&amp;refID=7077543&amp;Result=3","7077543")</f>
        <v>0</v>
      </c>
      <c r="B7317" t="s">
        <v>2302</v>
      </c>
      <c r="C7317" t="s">
        <v>10376</v>
      </c>
      <c r="D7317" t="s">
        <v>17464</v>
      </c>
      <c r="E7317" t="s">
        <v>23823</v>
      </c>
      <c r="F7317" t="s">
        <v>30055</v>
      </c>
      <c r="G7317" t="s">
        <v>30061</v>
      </c>
      <c r="H7317" t="s">
        <v>15498</v>
      </c>
      <c r="I7317" t="s">
        <v>6304</v>
      </c>
      <c r="J7317" t="s">
        <v>34714</v>
      </c>
      <c r="K7317" t="s">
        <v>39036</v>
      </c>
      <c r="M7317" t="s">
        <v>41787</v>
      </c>
      <c r="N7317" t="s">
        <v>43166</v>
      </c>
      <c r="O7317" t="s">
        <v>43167</v>
      </c>
      <c r="P7317">
        <v>0</v>
      </c>
      <c r="Q7317">
        <v>2</v>
      </c>
      <c r="R7317" t="s">
        <v>43173</v>
      </c>
      <c r="S7317" t="s">
        <v>43374</v>
      </c>
      <c r="T7317" t="s">
        <v>44735</v>
      </c>
      <c r="U7317" t="s">
        <v>51129</v>
      </c>
      <c r="W7317" t="s">
        <v>41787</v>
      </c>
      <c r="X7317" t="s">
        <v>43174</v>
      </c>
    </row>
    <row r="7318" spans="1:24">
      <c r="A7318">
        <f>HYPERLINK("https://www.philgeps.gov.ph/GEPSNONPILOT/Tender/SplashBidNoticeAbstractUI.aspx?menuIndex=3&amp;refID=7077467&amp;Result=3","7077467")</f>
        <v>0</v>
      </c>
      <c r="B7318" t="s">
        <v>1655</v>
      </c>
      <c r="C7318" t="s">
        <v>10377</v>
      </c>
      <c r="D7318" t="s">
        <v>17481</v>
      </c>
      <c r="E7318" t="s">
        <v>23824</v>
      </c>
      <c r="F7318" t="s">
        <v>30052</v>
      </c>
      <c r="G7318" t="s">
        <v>30058</v>
      </c>
      <c r="H7318" t="s">
        <v>15498</v>
      </c>
      <c r="I7318" t="s">
        <v>30109</v>
      </c>
      <c r="J7318" t="s">
        <v>34715</v>
      </c>
      <c r="K7318" t="s">
        <v>39034</v>
      </c>
      <c r="M7318" t="s">
        <v>41060</v>
      </c>
      <c r="N7318" t="s">
        <v>43166</v>
      </c>
      <c r="O7318" t="s">
        <v>43167</v>
      </c>
      <c r="P7318">
        <v>0</v>
      </c>
      <c r="Q7318">
        <v>0</v>
      </c>
      <c r="R7318" t="s">
        <v>43173</v>
      </c>
      <c r="S7318" t="s">
        <v>43374</v>
      </c>
      <c r="T7318" t="s">
        <v>44685</v>
      </c>
      <c r="U7318" t="s">
        <v>51130</v>
      </c>
      <c r="W7318" t="s">
        <v>41060</v>
      </c>
      <c r="X7318" t="s">
        <v>43174</v>
      </c>
    </row>
    <row r="7319" spans="1:24">
      <c r="A7319">
        <f>HYPERLINK("https://www.philgeps.gov.ph/GEPSNONPILOT/Tender/SplashBidNoticeAbstractUI.aspx?menuIndex=3&amp;refID=7077494&amp;Result=3","7077494")</f>
        <v>0</v>
      </c>
      <c r="B7319" t="s">
        <v>2274</v>
      </c>
      <c r="C7319" t="s">
        <v>10378</v>
      </c>
      <c r="D7319" t="s">
        <v>17419</v>
      </c>
      <c r="E7319" t="s">
        <v>23825</v>
      </c>
      <c r="F7319" t="s">
        <v>30055</v>
      </c>
      <c r="G7319" t="s">
        <v>30058</v>
      </c>
      <c r="H7319" t="s">
        <v>30067</v>
      </c>
      <c r="I7319" t="s">
        <v>3693</v>
      </c>
      <c r="J7319" t="s">
        <v>30252</v>
      </c>
      <c r="K7319" t="s">
        <v>39032</v>
      </c>
      <c r="M7319" t="s">
        <v>41755</v>
      </c>
      <c r="N7319" t="s">
        <v>43166</v>
      </c>
      <c r="O7319" t="s">
        <v>43167</v>
      </c>
      <c r="P7319">
        <v>0</v>
      </c>
      <c r="Q7319">
        <v>0</v>
      </c>
      <c r="R7319" t="s">
        <v>43173</v>
      </c>
      <c r="S7319" t="s">
        <v>43374</v>
      </c>
      <c r="T7319" t="s">
        <v>44750</v>
      </c>
      <c r="U7319" t="s">
        <v>51131</v>
      </c>
      <c r="W7319" t="s">
        <v>41755</v>
      </c>
      <c r="X7319" t="s">
        <v>43174</v>
      </c>
    </row>
    <row r="7320" spans="1:24">
      <c r="A7320">
        <f>HYPERLINK("https://www.philgeps.gov.ph/GEPSNONPILOT/Tender/SplashBidNoticeAbstractUI.aspx?menuIndex=3&amp;refID=7077540&amp;Result=3","7077540")</f>
        <v>0</v>
      </c>
      <c r="B7320" t="s">
        <v>816</v>
      </c>
      <c r="C7320" t="s">
        <v>10379</v>
      </c>
      <c r="D7320" t="s">
        <v>17449</v>
      </c>
      <c r="E7320" t="s">
        <v>23826</v>
      </c>
      <c r="F7320" t="s">
        <v>30052</v>
      </c>
      <c r="G7320" t="s">
        <v>30058</v>
      </c>
      <c r="H7320" t="s">
        <v>30067</v>
      </c>
      <c r="I7320" t="s">
        <v>3693</v>
      </c>
      <c r="J7320" t="s">
        <v>34716</v>
      </c>
      <c r="K7320" t="s">
        <v>39191</v>
      </c>
      <c r="M7320" t="s">
        <v>40133</v>
      </c>
      <c r="N7320" t="s">
        <v>43166</v>
      </c>
      <c r="O7320" t="s">
        <v>43167</v>
      </c>
      <c r="P7320">
        <v>0</v>
      </c>
      <c r="Q7320">
        <v>2</v>
      </c>
      <c r="R7320" t="s">
        <v>43173</v>
      </c>
      <c r="S7320" t="s">
        <v>43374</v>
      </c>
      <c r="T7320" t="s">
        <v>44807</v>
      </c>
      <c r="U7320" t="s">
        <v>51132</v>
      </c>
      <c r="W7320" t="s">
        <v>40133</v>
      </c>
      <c r="X7320" t="s">
        <v>43174</v>
      </c>
    </row>
    <row r="7321" spans="1:24">
      <c r="A7321">
        <f>HYPERLINK("https://www.philgeps.gov.ph/GEPSNONPILOT/Tender/SplashBidNoticeAbstractUI.aspx?menuIndex=3&amp;refID=7077570&amp;Result=3","7077570")</f>
        <v>0</v>
      </c>
      <c r="B7321" t="s">
        <v>920</v>
      </c>
      <c r="C7321" t="s">
        <v>10380</v>
      </c>
      <c r="D7321" t="s">
        <v>17415</v>
      </c>
      <c r="E7321" t="s">
        <v>23827</v>
      </c>
      <c r="F7321" t="s">
        <v>30052</v>
      </c>
      <c r="G7321" t="s">
        <v>30058</v>
      </c>
      <c r="H7321" t="s">
        <v>15498</v>
      </c>
      <c r="I7321" t="s">
        <v>4650</v>
      </c>
      <c r="J7321" t="s">
        <v>34717</v>
      </c>
      <c r="K7321" t="s">
        <v>39017</v>
      </c>
      <c r="M7321" t="s">
        <v>40243</v>
      </c>
      <c r="N7321" t="s">
        <v>43166</v>
      </c>
      <c r="O7321" t="s">
        <v>43167</v>
      </c>
      <c r="P7321">
        <v>0</v>
      </c>
      <c r="Q7321">
        <v>1</v>
      </c>
      <c r="R7321" t="s">
        <v>43173</v>
      </c>
      <c r="S7321" t="s">
        <v>43374</v>
      </c>
      <c r="T7321" t="s">
        <v>44826</v>
      </c>
      <c r="U7321" t="s">
        <v>50976</v>
      </c>
      <c r="W7321" t="s">
        <v>40243</v>
      </c>
      <c r="X7321" t="s">
        <v>43174</v>
      </c>
    </row>
    <row r="7322" spans="1:24">
      <c r="A7322">
        <f>HYPERLINK("https://www.philgeps.gov.ph/GEPSNONPILOT/Tender/SplashBidNoticeAbstractUI.aspx?menuIndex=3&amp;refID=7077522&amp;Result=3","7077522")</f>
        <v>0</v>
      </c>
      <c r="B7322" t="s">
        <v>1940</v>
      </c>
      <c r="C7322" t="s">
        <v>10381</v>
      </c>
      <c r="D7322" t="s">
        <v>17427</v>
      </c>
      <c r="E7322" t="s">
        <v>23828</v>
      </c>
      <c r="F7322" t="s">
        <v>30052</v>
      </c>
      <c r="G7322" t="s">
        <v>30058</v>
      </c>
      <c r="H7322" t="s">
        <v>15498</v>
      </c>
      <c r="I7322" t="s">
        <v>30076</v>
      </c>
      <c r="J7322" t="s">
        <v>34718</v>
      </c>
      <c r="K7322" t="s">
        <v>39025</v>
      </c>
      <c r="M7322" t="s">
        <v>41375</v>
      </c>
      <c r="N7322" t="s">
        <v>43166</v>
      </c>
      <c r="O7322" t="s">
        <v>43167</v>
      </c>
      <c r="P7322">
        <v>0</v>
      </c>
      <c r="Q7322">
        <v>10</v>
      </c>
      <c r="R7322" t="s">
        <v>43173</v>
      </c>
      <c r="S7322" t="s">
        <v>43374</v>
      </c>
      <c r="T7322" t="s">
        <v>44752</v>
      </c>
      <c r="U7322" t="s">
        <v>51133</v>
      </c>
      <c r="W7322" t="s">
        <v>41375</v>
      </c>
      <c r="X7322" t="s">
        <v>43174</v>
      </c>
    </row>
    <row r="7323" spans="1:24">
      <c r="A7323">
        <f>HYPERLINK("https://www.philgeps.gov.ph/GEPSNONPILOT/Tender/SplashBidNoticeAbstractUI.aspx?menuIndex=3&amp;refID=7077563&amp;Result=3","7077563")</f>
        <v>0</v>
      </c>
      <c r="B7323" t="s">
        <v>1655</v>
      </c>
      <c r="C7323" t="s">
        <v>9733</v>
      </c>
      <c r="D7323" t="s">
        <v>17481</v>
      </c>
      <c r="E7323" t="s">
        <v>20602</v>
      </c>
      <c r="F7323" t="s">
        <v>30052</v>
      </c>
      <c r="G7323" t="s">
        <v>30058</v>
      </c>
      <c r="H7323" t="s">
        <v>15498</v>
      </c>
      <c r="I7323" t="s">
        <v>30081</v>
      </c>
      <c r="J7323" t="s">
        <v>34719</v>
      </c>
      <c r="K7323" t="s">
        <v>39034</v>
      </c>
      <c r="M7323" t="s">
        <v>41060</v>
      </c>
      <c r="N7323" t="s">
        <v>43166</v>
      </c>
      <c r="O7323" t="s">
        <v>43167</v>
      </c>
      <c r="P7323">
        <v>0</v>
      </c>
      <c r="Q7323">
        <v>0</v>
      </c>
      <c r="R7323" t="s">
        <v>43173</v>
      </c>
      <c r="S7323" t="s">
        <v>43374</v>
      </c>
      <c r="T7323" t="s">
        <v>44685</v>
      </c>
      <c r="U7323" t="s">
        <v>51134</v>
      </c>
      <c r="W7323" t="s">
        <v>41060</v>
      </c>
      <c r="X7323" t="s">
        <v>43174</v>
      </c>
    </row>
    <row r="7324" spans="1:24">
      <c r="A7324">
        <f>HYPERLINK("https://www.philgeps.gov.ph/GEPSNONPILOT/Tender/SplashBidNoticeAbstractUI.aspx?menuIndex=3&amp;refID=7077565&amp;Result=3","7077565")</f>
        <v>0</v>
      </c>
      <c r="B7324" t="s">
        <v>1744</v>
      </c>
      <c r="C7324" t="s">
        <v>10382</v>
      </c>
      <c r="D7324" t="s">
        <v>17457</v>
      </c>
      <c r="E7324" t="s">
        <v>23829</v>
      </c>
      <c r="F7324" t="s">
        <v>30052</v>
      </c>
      <c r="G7324" t="s">
        <v>30058</v>
      </c>
      <c r="H7324" t="s">
        <v>15498</v>
      </c>
      <c r="I7324" t="s">
        <v>30155</v>
      </c>
      <c r="J7324" t="s">
        <v>34663</v>
      </c>
      <c r="K7324" t="s">
        <v>39105</v>
      </c>
      <c r="M7324" t="s">
        <v>41163</v>
      </c>
      <c r="N7324" t="s">
        <v>43166</v>
      </c>
      <c r="O7324" t="s">
        <v>43167</v>
      </c>
      <c r="P7324">
        <v>0</v>
      </c>
      <c r="Q7324">
        <v>0</v>
      </c>
      <c r="R7324" t="s">
        <v>43173</v>
      </c>
      <c r="S7324" t="s">
        <v>43374</v>
      </c>
      <c r="T7324" t="s">
        <v>44773</v>
      </c>
      <c r="U7324" t="s">
        <v>51058</v>
      </c>
      <c r="V7324" t="s">
        <v>57582</v>
      </c>
      <c r="W7324" t="s">
        <v>41163</v>
      </c>
      <c r="X7324" t="s">
        <v>43174</v>
      </c>
    </row>
    <row r="7325" spans="1:24">
      <c r="A7325">
        <f>HYPERLINK("https://www.philgeps.gov.ph/GEPSNONPILOT/Tender/SplashBidNoticeAbstractUI.aspx?menuIndex=3&amp;refID=7077507&amp;Result=3","7077507")</f>
        <v>0</v>
      </c>
      <c r="B7325" t="s">
        <v>1255</v>
      </c>
      <c r="C7325" t="s">
        <v>10383</v>
      </c>
      <c r="D7325" t="s">
        <v>17435</v>
      </c>
      <c r="E7325" t="s">
        <v>23830</v>
      </c>
      <c r="F7325" t="s">
        <v>30052</v>
      </c>
      <c r="G7325" t="s">
        <v>30058</v>
      </c>
      <c r="H7325" t="s">
        <v>30067</v>
      </c>
      <c r="I7325" t="s">
        <v>30093</v>
      </c>
      <c r="J7325" t="s">
        <v>34720</v>
      </c>
      <c r="K7325" t="s">
        <v>39092</v>
      </c>
      <c r="M7325" t="s">
        <v>40612</v>
      </c>
      <c r="N7325" t="s">
        <v>43166</v>
      </c>
      <c r="O7325" t="s">
        <v>43167</v>
      </c>
      <c r="Q7325">
        <v>7</v>
      </c>
      <c r="R7325" t="s">
        <v>43173</v>
      </c>
      <c r="S7325" t="s">
        <v>43386</v>
      </c>
      <c r="T7325" t="s">
        <v>45060</v>
      </c>
      <c r="U7325" t="s">
        <v>47955</v>
      </c>
      <c r="V7325" t="s">
        <v>57564</v>
      </c>
      <c r="W7325" t="s">
        <v>40612</v>
      </c>
      <c r="X7325" t="s">
        <v>43174</v>
      </c>
    </row>
    <row r="7326" spans="1:24">
      <c r="A7326">
        <f>HYPERLINK("https://www.philgeps.gov.ph/GEPSNONPILOT/Tender/SplashBidNoticeAbstractUI.aspx?menuIndex=3&amp;refID=7077573&amp;Result=3","7077573")</f>
        <v>0</v>
      </c>
      <c r="B7326" t="s">
        <v>972</v>
      </c>
      <c r="C7326" t="s">
        <v>10384</v>
      </c>
      <c r="D7326" t="s">
        <v>17454</v>
      </c>
      <c r="E7326" t="s">
        <v>23831</v>
      </c>
      <c r="F7326" t="s">
        <v>30052</v>
      </c>
      <c r="G7326" t="s">
        <v>30058</v>
      </c>
      <c r="H7326" t="s">
        <v>30067</v>
      </c>
      <c r="I7326" t="s">
        <v>3693</v>
      </c>
      <c r="J7326" t="s">
        <v>34721</v>
      </c>
      <c r="K7326" t="s">
        <v>39057</v>
      </c>
      <c r="M7326" t="s">
        <v>40299</v>
      </c>
      <c r="N7326" t="s">
        <v>43166</v>
      </c>
      <c r="O7326" t="s">
        <v>43167</v>
      </c>
      <c r="P7326">
        <v>0</v>
      </c>
      <c r="Q7326">
        <v>0</v>
      </c>
      <c r="R7326" t="s">
        <v>43173</v>
      </c>
      <c r="S7326" t="s">
        <v>43374</v>
      </c>
      <c r="T7326" t="s">
        <v>44815</v>
      </c>
      <c r="U7326" t="s">
        <v>51135</v>
      </c>
      <c r="W7326" t="s">
        <v>40299</v>
      </c>
      <c r="X7326" t="s">
        <v>43174</v>
      </c>
    </row>
    <row r="7327" spans="1:24">
      <c r="A7327">
        <f>HYPERLINK("https://www.philgeps.gov.ph/GEPSNONPILOT/Tender/SplashBidNoticeAbstractUI.aspx?menuIndex=3&amp;refID=7077575&amp;Result=3","7077575")</f>
        <v>0</v>
      </c>
      <c r="B7327" t="s">
        <v>1744</v>
      </c>
      <c r="C7327" t="s">
        <v>10385</v>
      </c>
      <c r="D7327" t="s">
        <v>17457</v>
      </c>
      <c r="E7327" t="s">
        <v>23832</v>
      </c>
      <c r="F7327" t="s">
        <v>30052</v>
      </c>
      <c r="G7327" t="s">
        <v>30058</v>
      </c>
      <c r="H7327" t="s">
        <v>15498</v>
      </c>
      <c r="I7327" t="s">
        <v>30155</v>
      </c>
      <c r="J7327" t="s">
        <v>34695</v>
      </c>
      <c r="K7327" t="s">
        <v>39041</v>
      </c>
      <c r="M7327" t="s">
        <v>41163</v>
      </c>
      <c r="N7327" t="s">
        <v>43166</v>
      </c>
      <c r="O7327" t="s">
        <v>43167</v>
      </c>
      <c r="P7327">
        <v>0</v>
      </c>
      <c r="Q7327">
        <v>0</v>
      </c>
      <c r="R7327" t="s">
        <v>43173</v>
      </c>
      <c r="S7327" t="s">
        <v>43374</v>
      </c>
      <c r="T7327" t="s">
        <v>44773</v>
      </c>
      <c r="U7327" t="s">
        <v>51058</v>
      </c>
      <c r="V7327" t="s">
        <v>57583</v>
      </c>
      <c r="W7327" t="s">
        <v>41163</v>
      </c>
      <c r="X7327" t="s">
        <v>43174</v>
      </c>
    </row>
    <row r="7328" spans="1:24">
      <c r="A7328">
        <f>HYPERLINK("https://www.philgeps.gov.ph/GEPSNONPILOT/Tender/SplashBidNoticeAbstractUI.aspx?menuIndex=3&amp;refID=7077560&amp;Result=3","7077560")</f>
        <v>0</v>
      </c>
      <c r="B7328" t="s">
        <v>2296</v>
      </c>
      <c r="C7328" t="s">
        <v>10386</v>
      </c>
      <c r="E7328" t="s">
        <v>23833</v>
      </c>
      <c r="F7328" t="s">
        <v>30052</v>
      </c>
      <c r="G7328" t="s">
        <v>30058</v>
      </c>
      <c r="H7328" t="s">
        <v>15498</v>
      </c>
      <c r="I7328" t="s">
        <v>30080</v>
      </c>
      <c r="J7328" t="s">
        <v>34722</v>
      </c>
      <c r="K7328" t="s">
        <v>39046</v>
      </c>
      <c r="M7328" t="s">
        <v>41781</v>
      </c>
      <c r="N7328" t="s">
        <v>43166</v>
      </c>
      <c r="O7328" t="s">
        <v>43167</v>
      </c>
      <c r="Q7328">
        <v>8</v>
      </c>
      <c r="R7328" t="s">
        <v>43173</v>
      </c>
      <c r="S7328" t="s">
        <v>43387</v>
      </c>
      <c r="T7328" t="s">
        <v>44722</v>
      </c>
      <c r="U7328" t="s">
        <v>51119</v>
      </c>
      <c r="W7328" t="s">
        <v>41781</v>
      </c>
      <c r="X7328" t="s">
        <v>43174</v>
      </c>
    </row>
    <row r="7329" spans="1:24">
      <c r="A7329">
        <f>HYPERLINK("https://www.philgeps.gov.ph/GEPSNONPILOT/Tender/SplashBidNoticeAbstractUI.aspx?menuIndex=3&amp;refID=7077571&amp;Result=3","7077571")</f>
        <v>0</v>
      </c>
      <c r="B7329" t="s">
        <v>792</v>
      </c>
      <c r="C7329" t="s">
        <v>10387</v>
      </c>
      <c r="E7329" t="s">
        <v>23834</v>
      </c>
      <c r="F7329" t="s">
        <v>30052</v>
      </c>
      <c r="G7329" t="s">
        <v>30059</v>
      </c>
      <c r="H7329" t="s">
        <v>15498</v>
      </c>
      <c r="I7329" t="s">
        <v>30176</v>
      </c>
      <c r="J7329" t="s">
        <v>30297</v>
      </c>
      <c r="K7329" t="s">
        <v>39025</v>
      </c>
      <c r="M7329" t="s">
        <v>41788</v>
      </c>
      <c r="N7329" t="s">
        <v>43166</v>
      </c>
      <c r="O7329" t="s">
        <v>43167</v>
      </c>
      <c r="P7329">
        <v>0</v>
      </c>
      <c r="Q7329">
        <v>1</v>
      </c>
      <c r="R7329" t="s">
        <v>43173</v>
      </c>
      <c r="S7329" t="s">
        <v>43374</v>
      </c>
      <c r="T7329" t="s">
        <v>44735</v>
      </c>
      <c r="U7329" t="s">
        <v>51136</v>
      </c>
      <c r="V7329" t="s">
        <v>57584</v>
      </c>
      <c r="W7329" t="s">
        <v>41788</v>
      </c>
      <c r="X7329" t="s">
        <v>43174</v>
      </c>
    </row>
    <row r="7330" spans="1:24">
      <c r="A7330">
        <f>HYPERLINK("https://www.philgeps.gov.ph/GEPSNONPILOT/Tender/SplashBidNoticeAbstractUI.aspx?menuIndex=3&amp;refID=7077539&amp;Result=3","7077539")</f>
        <v>0</v>
      </c>
      <c r="B7330" t="s">
        <v>1744</v>
      </c>
      <c r="C7330" t="s">
        <v>10388</v>
      </c>
      <c r="D7330" t="s">
        <v>17457</v>
      </c>
      <c r="E7330" t="s">
        <v>23835</v>
      </c>
      <c r="F7330" t="s">
        <v>30052</v>
      </c>
      <c r="G7330" t="s">
        <v>30058</v>
      </c>
      <c r="H7330" t="s">
        <v>15498</v>
      </c>
      <c r="I7330" t="s">
        <v>30155</v>
      </c>
      <c r="J7330" t="s">
        <v>34663</v>
      </c>
      <c r="K7330" t="s">
        <v>39105</v>
      </c>
      <c r="M7330" t="s">
        <v>41163</v>
      </c>
      <c r="N7330" t="s">
        <v>43166</v>
      </c>
      <c r="O7330" t="s">
        <v>43167</v>
      </c>
      <c r="P7330">
        <v>0</v>
      </c>
      <c r="Q7330">
        <v>0</v>
      </c>
      <c r="R7330" t="s">
        <v>43173</v>
      </c>
      <c r="S7330" t="s">
        <v>43374</v>
      </c>
      <c r="T7330" t="s">
        <v>44773</v>
      </c>
      <c r="U7330" t="s">
        <v>51058</v>
      </c>
      <c r="V7330" t="s">
        <v>57585</v>
      </c>
      <c r="W7330" t="s">
        <v>41163</v>
      </c>
      <c r="X7330" t="s">
        <v>43174</v>
      </c>
    </row>
    <row r="7331" spans="1:24">
      <c r="A7331">
        <f>HYPERLINK("https://www.philgeps.gov.ph/GEPSNONPILOT/Tender/SplashBidNoticeAbstractUI.aspx?menuIndex=3&amp;refID=7077558&amp;Result=3","7077558")</f>
        <v>0</v>
      </c>
      <c r="B7331" t="s">
        <v>2303</v>
      </c>
      <c r="C7331" t="s">
        <v>10389</v>
      </c>
      <c r="D7331" t="s">
        <v>17472</v>
      </c>
      <c r="E7331" t="s">
        <v>23836</v>
      </c>
      <c r="F7331" t="s">
        <v>30052</v>
      </c>
      <c r="G7331" t="s">
        <v>30058</v>
      </c>
      <c r="H7331" t="s">
        <v>30067</v>
      </c>
      <c r="I7331" t="s">
        <v>3693</v>
      </c>
      <c r="J7331" t="s">
        <v>30218</v>
      </c>
      <c r="K7331" t="s">
        <v>39023</v>
      </c>
      <c r="M7331" t="s">
        <v>41789</v>
      </c>
      <c r="N7331" t="s">
        <v>43166</v>
      </c>
      <c r="O7331" t="s">
        <v>43167</v>
      </c>
      <c r="P7331">
        <v>0</v>
      </c>
      <c r="Q7331">
        <v>0</v>
      </c>
      <c r="R7331" t="s">
        <v>43173</v>
      </c>
      <c r="S7331" t="s">
        <v>43374</v>
      </c>
      <c r="T7331" t="s">
        <v>44714</v>
      </c>
      <c r="U7331" t="s">
        <v>51137</v>
      </c>
      <c r="W7331" t="s">
        <v>41789</v>
      </c>
      <c r="X7331" t="s">
        <v>43174</v>
      </c>
    </row>
    <row r="7332" spans="1:24">
      <c r="A7332">
        <f>HYPERLINK("https://www.philgeps.gov.ph/GEPSNONPILOT/Tender/SplashBidNoticeAbstractUI.aspx?menuIndex=3&amp;refID=7077567&amp;Result=3","7077567")</f>
        <v>0</v>
      </c>
      <c r="B7332" t="s">
        <v>1576</v>
      </c>
      <c r="C7332" t="s">
        <v>10390</v>
      </c>
      <c r="D7332" t="s">
        <v>17415</v>
      </c>
      <c r="E7332" t="s">
        <v>23837</v>
      </c>
      <c r="F7332" t="s">
        <v>30052</v>
      </c>
      <c r="G7332" t="s">
        <v>30058</v>
      </c>
      <c r="H7332" t="s">
        <v>30067</v>
      </c>
      <c r="I7332" t="s">
        <v>3693</v>
      </c>
      <c r="J7332" t="s">
        <v>30557</v>
      </c>
      <c r="K7332" t="s">
        <v>39025</v>
      </c>
      <c r="M7332" t="s">
        <v>41215</v>
      </c>
      <c r="N7332" t="s">
        <v>43166</v>
      </c>
      <c r="O7332" t="s">
        <v>43167</v>
      </c>
      <c r="P7332">
        <v>0</v>
      </c>
      <c r="Q7332">
        <v>3</v>
      </c>
      <c r="R7332" t="s">
        <v>43173</v>
      </c>
      <c r="S7332" t="s">
        <v>43374</v>
      </c>
      <c r="T7332" t="s">
        <v>44873</v>
      </c>
      <c r="U7332" t="s">
        <v>51138</v>
      </c>
      <c r="V7332" t="s">
        <v>57586</v>
      </c>
      <c r="W7332" t="s">
        <v>41215</v>
      </c>
      <c r="X7332" t="s">
        <v>43174</v>
      </c>
    </row>
    <row r="7333" spans="1:24">
      <c r="A7333">
        <f>HYPERLINK("https://www.philgeps.gov.ph/GEPSNONPILOT/Tender/SplashBidNoticeAbstractUI.aspx?menuIndex=3&amp;refID=7077556&amp;Result=3","7077556")</f>
        <v>0</v>
      </c>
      <c r="B7333" t="s">
        <v>1779</v>
      </c>
      <c r="C7333" t="s">
        <v>10391</v>
      </c>
      <c r="D7333" t="s">
        <v>17444</v>
      </c>
      <c r="E7333" t="s">
        <v>23838</v>
      </c>
      <c r="F7333" t="s">
        <v>30052</v>
      </c>
      <c r="G7333" t="s">
        <v>30059</v>
      </c>
      <c r="H7333" t="s">
        <v>30067</v>
      </c>
      <c r="I7333" t="s">
        <v>3693</v>
      </c>
      <c r="J7333" t="s">
        <v>30222</v>
      </c>
      <c r="K7333" t="s">
        <v>39192</v>
      </c>
      <c r="M7333" t="s">
        <v>41720</v>
      </c>
      <c r="N7333" t="s">
        <v>43166</v>
      </c>
      <c r="O7333" t="s">
        <v>43167</v>
      </c>
      <c r="P7333">
        <v>0</v>
      </c>
      <c r="Q7333">
        <v>0</v>
      </c>
      <c r="R7333" t="s">
        <v>43173</v>
      </c>
      <c r="S7333" t="s">
        <v>43374</v>
      </c>
      <c r="T7333" t="s">
        <v>44698</v>
      </c>
      <c r="U7333" t="s">
        <v>51139</v>
      </c>
      <c r="W7333" t="s">
        <v>41720</v>
      </c>
      <c r="X7333" t="s">
        <v>43174</v>
      </c>
    </row>
    <row r="7334" spans="1:24">
      <c r="A7334">
        <f>HYPERLINK("https://www.philgeps.gov.ph/GEPSNONPILOT/Tender/SplashBidNoticeAbstractUI.aspx?menuIndex=3&amp;refID=7077553&amp;Result=3","7077553")</f>
        <v>0</v>
      </c>
      <c r="B7334" t="s">
        <v>2255</v>
      </c>
      <c r="C7334" t="s">
        <v>10392</v>
      </c>
      <c r="E7334" t="s">
        <v>23839</v>
      </c>
      <c r="F7334" t="s">
        <v>30052</v>
      </c>
      <c r="G7334" t="s">
        <v>30058</v>
      </c>
      <c r="H7334" t="s">
        <v>30067</v>
      </c>
      <c r="I7334" t="s">
        <v>3693</v>
      </c>
      <c r="J7334" t="s">
        <v>34723</v>
      </c>
      <c r="K7334" t="s">
        <v>39188</v>
      </c>
      <c r="M7334" t="s">
        <v>41733</v>
      </c>
      <c r="N7334" t="s">
        <v>43166</v>
      </c>
      <c r="O7334" t="s">
        <v>43167</v>
      </c>
      <c r="P7334">
        <v>0</v>
      </c>
      <c r="Q7334">
        <v>15</v>
      </c>
      <c r="R7334" t="s">
        <v>43173</v>
      </c>
      <c r="S7334" t="s">
        <v>43374</v>
      </c>
      <c r="T7334" t="s">
        <v>44873</v>
      </c>
      <c r="U7334" t="s">
        <v>50971</v>
      </c>
      <c r="V7334" t="s">
        <v>57561</v>
      </c>
      <c r="W7334" t="s">
        <v>41733</v>
      </c>
      <c r="X7334" t="s">
        <v>43174</v>
      </c>
    </row>
    <row r="7335" spans="1:24">
      <c r="A7335">
        <f>HYPERLINK("https://www.philgeps.gov.ph/GEPSNONPILOT/Tender/SplashBidNoticeAbstractUI.aspx?menuIndex=3&amp;refID=7077554&amp;Result=3","7077554")</f>
        <v>0</v>
      </c>
      <c r="B7335" t="s">
        <v>1744</v>
      </c>
      <c r="C7335" t="s">
        <v>10393</v>
      </c>
      <c r="D7335" t="s">
        <v>17457</v>
      </c>
      <c r="E7335" t="s">
        <v>23840</v>
      </c>
      <c r="F7335" t="s">
        <v>30052</v>
      </c>
      <c r="G7335" t="s">
        <v>30058</v>
      </c>
      <c r="H7335" t="s">
        <v>15498</v>
      </c>
      <c r="I7335" t="s">
        <v>30155</v>
      </c>
      <c r="J7335" t="s">
        <v>34663</v>
      </c>
      <c r="K7335" t="s">
        <v>39105</v>
      </c>
      <c r="M7335" t="s">
        <v>41163</v>
      </c>
      <c r="N7335" t="s">
        <v>43166</v>
      </c>
      <c r="O7335" t="s">
        <v>43167</v>
      </c>
      <c r="P7335">
        <v>0</v>
      </c>
      <c r="Q7335">
        <v>0</v>
      </c>
      <c r="R7335" t="s">
        <v>43173</v>
      </c>
      <c r="S7335" t="s">
        <v>43374</v>
      </c>
      <c r="T7335" t="s">
        <v>44773</v>
      </c>
      <c r="U7335" t="s">
        <v>51058</v>
      </c>
      <c r="V7335" t="s">
        <v>57587</v>
      </c>
      <c r="W7335" t="s">
        <v>41163</v>
      </c>
      <c r="X7335" t="s">
        <v>43174</v>
      </c>
    </row>
    <row r="7336" spans="1:24">
      <c r="A7336">
        <f>HYPERLINK("https://www.philgeps.gov.ph/GEPSNONPILOT/Tender/SplashBidNoticeAbstractUI.aspx?menuIndex=3&amp;refID=7077583&amp;Result=3","7077583")</f>
        <v>0</v>
      </c>
      <c r="B7336" t="s">
        <v>1512</v>
      </c>
      <c r="C7336" t="s">
        <v>10394</v>
      </c>
      <c r="D7336" t="s">
        <v>17465</v>
      </c>
      <c r="E7336" t="s">
        <v>23841</v>
      </c>
      <c r="F7336" t="s">
        <v>30052</v>
      </c>
      <c r="G7336" t="s">
        <v>30059</v>
      </c>
      <c r="H7336" t="s">
        <v>15498</v>
      </c>
      <c r="I7336" t="s">
        <v>30100</v>
      </c>
      <c r="J7336" t="s">
        <v>30337</v>
      </c>
      <c r="K7336" t="s">
        <v>39025</v>
      </c>
      <c r="M7336" t="s">
        <v>40897</v>
      </c>
      <c r="N7336" t="s">
        <v>43166</v>
      </c>
      <c r="O7336" t="s">
        <v>43167</v>
      </c>
      <c r="P7336">
        <v>0</v>
      </c>
      <c r="Q7336">
        <v>0</v>
      </c>
      <c r="R7336" t="s">
        <v>43173</v>
      </c>
      <c r="S7336" t="s">
        <v>43374</v>
      </c>
      <c r="T7336" t="s">
        <v>44696</v>
      </c>
      <c r="U7336" t="s">
        <v>49133</v>
      </c>
      <c r="W7336" t="s">
        <v>40897</v>
      </c>
      <c r="X7336" t="s">
        <v>43174</v>
      </c>
    </row>
    <row r="7337" spans="1:24">
      <c r="A7337">
        <f>HYPERLINK("https://www.philgeps.gov.ph/GEPSNONPILOT/Tender/SplashBidNoticeAbstractUI.aspx?menuIndex=3&amp;refID=7077606&amp;Result=3","7077606")</f>
        <v>0</v>
      </c>
      <c r="B7337" t="s">
        <v>2299</v>
      </c>
      <c r="C7337" t="s">
        <v>10395</v>
      </c>
      <c r="D7337" t="s">
        <v>17415</v>
      </c>
      <c r="E7337" t="s">
        <v>23842</v>
      </c>
      <c r="F7337" t="s">
        <v>30052</v>
      </c>
      <c r="G7337" t="s">
        <v>30058</v>
      </c>
      <c r="H7337" t="s">
        <v>15498</v>
      </c>
      <c r="I7337" t="s">
        <v>30084</v>
      </c>
      <c r="J7337" t="s">
        <v>30397</v>
      </c>
      <c r="K7337" t="s">
        <v>39029</v>
      </c>
      <c r="M7337" t="s">
        <v>41784</v>
      </c>
      <c r="N7337" t="s">
        <v>43166</v>
      </c>
      <c r="O7337" t="s">
        <v>43167</v>
      </c>
      <c r="P7337">
        <v>0</v>
      </c>
      <c r="Q7337">
        <v>13</v>
      </c>
      <c r="R7337" t="s">
        <v>43173</v>
      </c>
      <c r="S7337" t="s">
        <v>43374</v>
      </c>
      <c r="T7337" t="s">
        <v>44722</v>
      </c>
      <c r="U7337" t="s">
        <v>51140</v>
      </c>
      <c r="W7337" t="s">
        <v>41784</v>
      </c>
      <c r="X7337" t="s">
        <v>43174</v>
      </c>
    </row>
    <row r="7338" spans="1:24">
      <c r="A7338">
        <f>HYPERLINK("https://www.philgeps.gov.ph/GEPSNONPILOT/Tender/SplashBidNoticeAbstractUI.aspx?menuIndex=3&amp;refID=7077576&amp;Result=3","7077576")</f>
        <v>0</v>
      </c>
      <c r="B7338" t="s">
        <v>1520</v>
      </c>
      <c r="C7338" t="s">
        <v>10396</v>
      </c>
      <c r="D7338" t="s">
        <v>17423</v>
      </c>
      <c r="E7338" t="s">
        <v>23843</v>
      </c>
      <c r="F7338" t="s">
        <v>30056</v>
      </c>
      <c r="G7338" t="s">
        <v>30059</v>
      </c>
      <c r="H7338" t="s">
        <v>15498</v>
      </c>
      <c r="I7338" t="s">
        <v>30139</v>
      </c>
      <c r="J7338" t="s">
        <v>30256</v>
      </c>
      <c r="K7338" t="s">
        <v>39017</v>
      </c>
      <c r="M7338" t="s">
        <v>40906</v>
      </c>
      <c r="N7338" t="s">
        <v>43166</v>
      </c>
      <c r="O7338" t="s">
        <v>43167</v>
      </c>
      <c r="P7338">
        <v>0</v>
      </c>
      <c r="Q7338">
        <v>3</v>
      </c>
      <c r="R7338" t="s">
        <v>43173</v>
      </c>
      <c r="S7338" t="s">
        <v>43374</v>
      </c>
      <c r="T7338" t="s">
        <v>44832</v>
      </c>
      <c r="U7338" t="s">
        <v>51141</v>
      </c>
      <c r="W7338" t="s">
        <v>40906</v>
      </c>
      <c r="X7338" t="s">
        <v>43174</v>
      </c>
    </row>
    <row r="7339" spans="1:24">
      <c r="A7339">
        <f>HYPERLINK("https://www.philgeps.gov.ph/GEPSNONPILOT/Tender/SplashBidNoticeAbstractUI.aspx?menuIndex=3&amp;refID=7077545&amp;Result=3","7077545")</f>
        <v>0</v>
      </c>
      <c r="B7339" t="s">
        <v>2304</v>
      </c>
      <c r="C7339" t="s">
        <v>10397</v>
      </c>
      <c r="E7339" t="s">
        <v>20202</v>
      </c>
      <c r="F7339" t="s">
        <v>30054</v>
      </c>
      <c r="G7339" t="s">
        <v>30058</v>
      </c>
      <c r="H7339" t="s">
        <v>15498</v>
      </c>
      <c r="I7339" t="s">
        <v>30144</v>
      </c>
      <c r="J7339" t="s">
        <v>30330</v>
      </c>
      <c r="K7339" t="s">
        <v>39025</v>
      </c>
      <c r="M7339" t="s">
        <v>41790</v>
      </c>
      <c r="N7339" t="s">
        <v>43166</v>
      </c>
      <c r="O7339" t="s">
        <v>43167</v>
      </c>
      <c r="P7339">
        <v>0</v>
      </c>
      <c r="Q7339">
        <v>1</v>
      </c>
      <c r="R7339" t="s">
        <v>43173</v>
      </c>
      <c r="S7339" t="s">
        <v>43374</v>
      </c>
      <c r="T7339" t="s">
        <v>44853</v>
      </c>
      <c r="U7339" t="s">
        <v>47742</v>
      </c>
      <c r="W7339" t="s">
        <v>41790</v>
      </c>
      <c r="X7339" t="s">
        <v>43174</v>
      </c>
    </row>
    <row r="7340" spans="1:24">
      <c r="A7340">
        <f>HYPERLINK("https://www.philgeps.gov.ph/GEPSNONPILOT/Tender/SplashBidNoticeAbstractUI.aspx?menuIndex=3&amp;refID=7077607&amp;Result=3","7077607")</f>
        <v>0</v>
      </c>
      <c r="B7340" t="s">
        <v>33</v>
      </c>
      <c r="C7340" t="s">
        <v>10398</v>
      </c>
      <c r="D7340" t="s">
        <v>17419</v>
      </c>
      <c r="E7340" t="s">
        <v>23844</v>
      </c>
      <c r="F7340" t="s">
        <v>30052</v>
      </c>
      <c r="G7340" t="s">
        <v>30058</v>
      </c>
      <c r="H7340" t="s">
        <v>15498</v>
      </c>
      <c r="I7340" t="s">
        <v>9238</v>
      </c>
      <c r="J7340" t="s">
        <v>34724</v>
      </c>
      <c r="K7340" t="s">
        <v>39025</v>
      </c>
      <c r="M7340" t="s">
        <v>39323</v>
      </c>
      <c r="N7340" t="s">
        <v>43166</v>
      </c>
      <c r="O7340" t="s">
        <v>43167</v>
      </c>
      <c r="P7340">
        <v>0</v>
      </c>
      <c r="Q7340">
        <v>3</v>
      </c>
      <c r="R7340" t="s">
        <v>43173</v>
      </c>
      <c r="S7340" t="s">
        <v>43374</v>
      </c>
      <c r="T7340" t="s">
        <v>44949</v>
      </c>
      <c r="U7340" t="s">
        <v>51142</v>
      </c>
      <c r="W7340" t="s">
        <v>39323</v>
      </c>
      <c r="X7340" t="s">
        <v>43174</v>
      </c>
    </row>
    <row r="7341" spans="1:24">
      <c r="A7341">
        <f>HYPERLINK("https://www.philgeps.gov.ph/GEPSNONPILOT/Tender/SplashBidNoticeAbstractUI.aspx?menuIndex=3&amp;refID=7077617&amp;Result=3","7077617")</f>
        <v>0</v>
      </c>
      <c r="B7341" t="s">
        <v>2305</v>
      </c>
      <c r="C7341" t="s">
        <v>10399</v>
      </c>
      <c r="D7341" t="s">
        <v>17459</v>
      </c>
      <c r="E7341" t="s">
        <v>23845</v>
      </c>
      <c r="F7341" t="s">
        <v>30052</v>
      </c>
      <c r="G7341" t="s">
        <v>30064</v>
      </c>
      <c r="H7341" t="s">
        <v>15498</v>
      </c>
      <c r="I7341" t="s">
        <v>30194</v>
      </c>
      <c r="J7341" t="s">
        <v>30252</v>
      </c>
      <c r="K7341" t="s">
        <v>39034</v>
      </c>
      <c r="M7341" t="s">
        <v>41791</v>
      </c>
      <c r="N7341" t="s">
        <v>43166</v>
      </c>
      <c r="O7341" t="s">
        <v>43167</v>
      </c>
      <c r="P7341">
        <v>0</v>
      </c>
      <c r="Q7341">
        <v>1</v>
      </c>
      <c r="R7341" t="s">
        <v>43173</v>
      </c>
      <c r="S7341" t="s">
        <v>43374</v>
      </c>
      <c r="T7341" t="s">
        <v>44841</v>
      </c>
      <c r="U7341" t="s">
        <v>51143</v>
      </c>
      <c r="W7341" t="s">
        <v>41791</v>
      </c>
      <c r="X7341" t="s">
        <v>43174</v>
      </c>
    </row>
    <row r="7342" spans="1:24">
      <c r="A7342">
        <f>HYPERLINK("https://www.philgeps.gov.ph/GEPSNONPILOT/Tender/SplashBidNoticeAbstractUI.aspx?menuIndex=3&amp;refID=7077614&amp;Result=3","7077614")</f>
        <v>0</v>
      </c>
      <c r="B7342" t="s">
        <v>2306</v>
      </c>
      <c r="C7342" t="s">
        <v>10400</v>
      </c>
      <c r="D7342" t="s">
        <v>17415</v>
      </c>
      <c r="E7342" t="s">
        <v>23846</v>
      </c>
      <c r="F7342" t="s">
        <v>30052</v>
      </c>
      <c r="G7342" t="s">
        <v>30058</v>
      </c>
      <c r="H7342" t="s">
        <v>15498</v>
      </c>
      <c r="I7342" t="s">
        <v>3606</v>
      </c>
      <c r="J7342" t="s">
        <v>34725</v>
      </c>
      <c r="K7342" t="s">
        <v>39023</v>
      </c>
      <c r="M7342" t="s">
        <v>41792</v>
      </c>
      <c r="N7342" t="s">
        <v>43166</v>
      </c>
      <c r="O7342" t="s">
        <v>43167</v>
      </c>
      <c r="P7342">
        <v>0</v>
      </c>
      <c r="Q7342">
        <v>14</v>
      </c>
      <c r="R7342" t="s">
        <v>43173</v>
      </c>
      <c r="S7342" t="s">
        <v>43374</v>
      </c>
      <c r="T7342" t="s">
        <v>45000</v>
      </c>
      <c r="U7342" t="s">
        <v>51144</v>
      </c>
      <c r="W7342" t="s">
        <v>41792</v>
      </c>
      <c r="X7342" t="s">
        <v>43174</v>
      </c>
    </row>
    <row r="7343" spans="1:24">
      <c r="A7343">
        <f>HYPERLINK("https://www.philgeps.gov.ph/GEPSNONPILOT/Tender/SplashBidNoticeAbstractUI.aspx?menuIndex=3&amp;refID=7077611&amp;Result=3","7077611")</f>
        <v>0</v>
      </c>
      <c r="B7343" t="s">
        <v>2268</v>
      </c>
      <c r="C7343" t="s">
        <v>10401</v>
      </c>
      <c r="D7343" t="s">
        <v>17485</v>
      </c>
      <c r="E7343" t="s">
        <v>19907</v>
      </c>
      <c r="F7343" t="s">
        <v>30052</v>
      </c>
      <c r="G7343" t="s">
        <v>30058</v>
      </c>
      <c r="H7343" t="s">
        <v>30067</v>
      </c>
      <c r="I7343" t="s">
        <v>3693</v>
      </c>
      <c r="J7343" t="s">
        <v>30227</v>
      </c>
      <c r="K7343" t="s">
        <v>39023</v>
      </c>
      <c r="M7343" t="s">
        <v>41746</v>
      </c>
      <c r="N7343" t="s">
        <v>43166</v>
      </c>
      <c r="O7343" t="s">
        <v>43167</v>
      </c>
      <c r="P7343">
        <v>0</v>
      </c>
      <c r="Q7343">
        <v>1</v>
      </c>
      <c r="R7343" t="s">
        <v>43173</v>
      </c>
      <c r="S7343" t="s">
        <v>43374</v>
      </c>
      <c r="T7343" t="s">
        <v>44758</v>
      </c>
      <c r="U7343" t="s">
        <v>51145</v>
      </c>
      <c r="W7343" t="s">
        <v>41746</v>
      </c>
      <c r="X7343" t="s">
        <v>43174</v>
      </c>
    </row>
    <row r="7344" spans="1:24">
      <c r="A7344">
        <f>HYPERLINK("https://www.philgeps.gov.ph/GEPSNONPILOT/Tender/SplashBidNoticeAbstractUI.aspx?menuIndex=3&amp;refID=7077559&amp;Result=3","7077559")</f>
        <v>0</v>
      </c>
      <c r="B7344" t="s">
        <v>2307</v>
      </c>
      <c r="C7344" t="s">
        <v>5150</v>
      </c>
      <c r="D7344" t="s">
        <v>17466</v>
      </c>
      <c r="E7344" t="s">
        <v>23847</v>
      </c>
      <c r="F7344" t="s">
        <v>30052</v>
      </c>
      <c r="G7344" t="s">
        <v>30058</v>
      </c>
      <c r="H7344" t="s">
        <v>15498</v>
      </c>
      <c r="I7344" t="s">
        <v>30076</v>
      </c>
      <c r="J7344" t="s">
        <v>34726</v>
      </c>
      <c r="K7344" t="s">
        <v>39056</v>
      </c>
      <c r="M7344" t="s">
        <v>41793</v>
      </c>
      <c r="N7344" t="s">
        <v>43166</v>
      </c>
      <c r="O7344" t="s">
        <v>43167</v>
      </c>
      <c r="P7344">
        <v>0</v>
      </c>
      <c r="Q7344">
        <v>7</v>
      </c>
      <c r="R7344" t="s">
        <v>43173</v>
      </c>
      <c r="S7344" t="s">
        <v>43374</v>
      </c>
      <c r="T7344" t="s">
        <v>44861</v>
      </c>
      <c r="U7344" t="s">
        <v>51146</v>
      </c>
      <c r="W7344" t="s">
        <v>41793</v>
      </c>
      <c r="X7344" t="s">
        <v>43174</v>
      </c>
    </row>
    <row r="7345" spans="1:24">
      <c r="A7345">
        <f>HYPERLINK("https://www.philgeps.gov.ph/GEPSNONPILOT/Tender/SplashBidNoticeAbstractUI.aspx?menuIndex=3&amp;refID=7077547&amp;Result=3","7077547")</f>
        <v>0</v>
      </c>
      <c r="B7345" t="s">
        <v>1516</v>
      </c>
      <c r="C7345" t="s">
        <v>10402</v>
      </c>
      <c r="D7345" t="s">
        <v>17415</v>
      </c>
      <c r="E7345" t="s">
        <v>23848</v>
      </c>
      <c r="F7345" t="s">
        <v>30052</v>
      </c>
      <c r="G7345" t="s">
        <v>30058</v>
      </c>
      <c r="H7345" t="s">
        <v>15498</v>
      </c>
      <c r="I7345" t="s">
        <v>30084</v>
      </c>
      <c r="J7345" t="s">
        <v>34727</v>
      </c>
      <c r="K7345" t="s">
        <v>39046</v>
      </c>
      <c r="M7345" t="s">
        <v>40902</v>
      </c>
      <c r="N7345" t="s">
        <v>43166</v>
      </c>
      <c r="O7345" t="s">
        <v>43167</v>
      </c>
      <c r="P7345">
        <v>0</v>
      </c>
      <c r="Q7345">
        <v>20</v>
      </c>
      <c r="R7345" t="s">
        <v>43173</v>
      </c>
      <c r="S7345" t="s">
        <v>43374</v>
      </c>
      <c r="T7345" t="s">
        <v>44711</v>
      </c>
      <c r="U7345" t="s">
        <v>48599</v>
      </c>
      <c r="W7345" t="s">
        <v>40902</v>
      </c>
      <c r="X7345" t="s">
        <v>43174</v>
      </c>
    </row>
    <row r="7346" spans="1:24">
      <c r="A7346">
        <f>HYPERLINK("https://www.philgeps.gov.ph/GEPSNONPILOT/Tender/SplashBidNoticeAbstractUI.aspx?menuIndex=3&amp;refID=7077609&amp;Result=3","7077609")</f>
        <v>0</v>
      </c>
      <c r="B7346" t="s">
        <v>2303</v>
      </c>
      <c r="C7346" t="s">
        <v>10403</v>
      </c>
      <c r="D7346" t="s">
        <v>17472</v>
      </c>
      <c r="E7346" t="s">
        <v>23849</v>
      </c>
      <c r="F7346" t="s">
        <v>30052</v>
      </c>
      <c r="G7346" t="s">
        <v>30058</v>
      </c>
      <c r="H7346" t="s">
        <v>30067</v>
      </c>
      <c r="I7346" t="s">
        <v>3693</v>
      </c>
      <c r="J7346" t="s">
        <v>30230</v>
      </c>
      <c r="K7346" t="s">
        <v>39023</v>
      </c>
      <c r="M7346" t="s">
        <v>41789</v>
      </c>
      <c r="N7346" t="s">
        <v>43166</v>
      </c>
      <c r="O7346" t="s">
        <v>43167</v>
      </c>
      <c r="P7346">
        <v>0</v>
      </c>
      <c r="Q7346">
        <v>0</v>
      </c>
      <c r="R7346" t="s">
        <v>43173</v>
      </c>
      <c r="S7346" t="s">
        <v>43374</v>
      </c>
      <c r="T7346" t="s">
        <v>44714</v>
      </c>
      <c r="U7346" t="s">
        <v>51147</v>
      </c>
      <c r="W7346" t="s">
        <v>41789</v>
      </c>
      <c r="X7346" t="s">
        <v>43174</v>
      </c>
    </row>
    <row r="7347" spans="1:24">
      <c r="A7347">
        <f>HYPERLINK("https://www.philgeps.gov.ph/GEPSNONPILOT/Tender/SplashBidNoticeAbstractUI.aspx?menuIndex=3&amp;refID=7077618&amp;Result=3","7077618")</f>
        <v>0</v>
      </c>
      <c r="B7347" t="s">
        <v>1779</v>
      </c>
      <c r="C7347" t="s">
        <v>10404</v>
      </c>
      <c r="D7347" t="s">
        <v>17444</v>
      </c>
      <c r="E7347" t="s">
        <v>23850</v>
      </c>
      <c r="F7347" t="s">
        <v>30052</v>
      </c>
      <c r="G7347" t="s">
        <v>30059</v>
      </c>
      <c r="H7347" t="s">
        <v>30067</v>
      </c>
      <c r="I7347" t="s">
        <v>3693</v>
      </c>
      <c r="J7347" t="s">
        <v>30222</v>
      </c>
      <c r="K7347" t="s">
        <v>39096</v>
      </c>
      <c r="M7347" t="s">
        <v>41720</v>
      </c>
      <c r="N7347" t="s">
        <v>43166</v>
      </c>
      <c r="O7347" t="s">
        <v>43167</v>
      </c>
      <c r="P7347">
        <v>0</v>
      </c>
      <c r="Q7347">
        <v>0</v>
      </c>
      <c r="R7347" t="s">
        <v>43173</v>
      </c>
      <c r="S7347" t="s">
        <v>43374</v>
      </c>
      <c r="T7347" t="s">
        <v>44698</v>
      </c>
      <c r="U7347" t="s">
        <v>51148</v>
      </c>
      <c r="W7347" t="s">
        <v>41720</v>
      </c>
      <c r="X7347" t="s">
        <v>43174</v>
      </c>
    </row>
    <row r="7348" spans="1:24">
      <c r="A7348">
        <f>HYPERLINK("https://www.philgeps.gov.ph/GEPSNONPILOT/Tender/SplashBidNoticeAbstractUI.aspx?menuIndex=3&amp;refID=7077600&amp;Result=3","7077600")</f>
        <v>0</v>
      </c>
      <c r="B7348" t="s">
        <v>2308</v>
      </c>
      <c r="C7348" t="s">
        <v>10405</v>
      </c>
      <c r="D7348" t="s">
        <v>17458</v>
      </c>
      <c r="E7348" t="s">
        <v>23851</v>
      </c>
      <c r="F7348" t="s">
        <v>30052</v>
      </c>
      <c r="G7348" t="s">
        <v>30058</v>
      </c>
      <c r="H7348" t="s">
        <v>15498</v>
      </c>
      <c r="I7348" t="s">
        <v>30097</v>
      </c>
      <c r="J7348" t="s">
        <v>30321</v>
      </c>
      <c r="K7348" t="s">
        <v>39046</v>
      </c>
      <c r="M7348" t="s">
        <v>41794</v>
      </c>
      <c r="N7348" t="s">
        <v>43166</v>
      </c>
      <c r="O7348" t="s">
        <v>43167</v>
      </c>
      <c r="P7348">
        <v>0</v>
      </c>
      <c r="Q7348">
        <v>8</v>
      </c>
      <c r="R7348" t="s">
        <v>43173</v>
      </c>
      <c r="S7348" t="s">
        <v>43374</v>
      </c>
      <c r="T7348" t="s">
        <v>44828</v>
      </c>
      <c r="U7348" t="s">
        <v>51149</v>
      </c>
      <c r="W7348" t="s">
        <v>41794</v>
      </c>
      <c r="X7348" t="s">
        <v>43174</v>
      </c>
    </row>
    <row r="7349" spans="1:24">
      <c r="A7349">
        <f>HYPERLINK("https://www.philgeps.gov.ph/GEPSNONPILOT/Tender/SplashBidNoticeAbstractUI.aspx?menuIndex=3&amp;refID=7077597&amp;Result=3","7077597")</f>
        <v>0</v>
      </c>
      <c r="B7349" t="s">
        <v>2309</v>
      </c>
      <c r="C7349" t="s">
        <v>10406</v>
      </c>
      <c r="D7349" t="s">
        <v>17419</v>
      </c>
      <c r="E7349" t="s">
        <v>23852</v>
      </c>
      <c r="F7349" t="s">
        <v>30052</v>
      </c>
      <c r="G7349" t="s">
        <v>30061</v>
      </c>
      <c r="H7349" t="s">
        <v>15498</v>
      </c>
      <c r="I7349" t="s">
        <v>7228</v>
      </c>
      <c r="J7349" t="s">
        <v>34728</v>
      </c>
      <c r="K7349" t="s">
        <v>39017</v>
      </c>
      <c r="M7349" t="s">
        <v>41795</v>
      </c>
      <c r="N7349" t="s">
        <v>43166</v>
      </c>
      <c r="O7349" t="s">
        <v>43167</v>
      </c>
      <c r="P7349">
        <v>0</v>
      </c>
      <c r="Q7349">
        <v>0</v>
      </c>
      <c r="R7349" t="s">
        <v>43173</v>
      </c>
      <c r="S7349" t="s">
        <v>43374</v>
      </c>
      <c r="T7349" t="s">
        <v>44717</v>
      </c>
      <c r="U7349" t="s">
        <v>51150</v>
      </c>
      <c r="W7349" t="s">
        <v>41795</v>
      </c>
      <c r="X7349" t="s">
        <v>43174</v>
      </c>
    </row>
    <row r="7350" spans="1:24">
      <c r="A7350">
        <f>HYPERLINK("https://www.philgeps.gov.ph/GEPSNONPILOT/Tender/SplashBidNoticeAbstractUI.aspx?menuIndex=3&amp;refID=7077599&amp;Result=3","7077599")</f>
        <v>0</v>
      </c>
      <c r="B7350" t="s">
        <v>1744</v>
      </c>
      <c r="C7350" t="s">
        <v>10407</v>
      </c>
      <c r="D7350" t="s">
        <v>17457</v>
      </c>
      <c r="E7350" t="s">
        <v>23853</v>
      </c>
      <c r="F7350" t="s">
        <v>30052</v>
      </c>
      <c r="G7350" t="s">
        <v>30058</v>
      </c>
      <c r="H7350" t="s">
        <v>15498</v>
      </c>
      <c r="I7350" t="s">
        <v>30155</v>
      </c>
      <c r="J7350" t="s">
        <v>34712</v>
      </c>
      <c r="K7350" t="s">
        <v>39034</v>
      </c>
      <c r="M7350" t="s">
        <v>41163</v>
      </c>
      <c r="N7350" t="s">
        <v>43166</v>
      </c>
      <c r="O7350" t="s">
        <v>43167</v>
      </c>
      <c r="P7350">
        <v>0</v>
      </c>
      <c r="Q7350">
        <v>0</v>
      </c>
      <c r="R7350" t="s">
        <v>43173</v>
      </c>
      <c r="S7350" t="s">
        <v>43374</v>
      </c>
      <c r="T7350" t="s">
        <v>44773</v>
      </c>
      <c r="U7350" t="s">
        <v>51058</v>
      </c>
      <c r="V7350" t="s">
        <v>57588</v>
      </c>
      <c r="W7350" t="s">
        <v>41163</v>
      </c>
      <c r="X7350" t="s">
        <v>43174</v>
      </c>
    </row>
    <row r="7351" spans="1:24">
      <c r="A7351">
        <f>HYPERLINK("https://www.philgeps.gov.ph/GEPSNONPILOT/Tender/SplashBidNoticeAbstractUI.aspx?menuIndex=3&amp;refID=7077544&amp;Result=3","7077544")</f>
        <v>0</v>
      </c>
      <c r="B7351" t="s">
        <v>1736</v>
      </c>
      <c r="C7351" t="s">
        <v>10408</v>
      </c>
      <c r="D7351" t="s">
        <v>17444</v>
      </c>
      <c r="E7351" t="s">
        <v>23854</v>
      </c>
      <c r="F7351" t="s">
        <v>30052</v>
      </c>
      <c r="G7351" t="s">
        <v>30061</v>
      </c>
      <c r="H7351" t="s">
        <v>15498</v>
      </c>
      <c r="I7351" t="s">
        <v>4119</v>
      </c>
      <c r="J7351" t="s">
        <v>34729</v>
      </c>
      <c r="K7351" t="s">
        <v>39034</v>
      </c>
      <c r="M7351" t="s">
        <v>41153</v>
      </c>
      <c r="N7351" t="s">
        <v>43166</v>
      </c>
      <c r="O7351" t="s">
        <v>43167</v>
      </c>
      <c r="P7351">
        <v>0</v>
      </c>
      <c r="Q7351">
        <v>0</v>
      </c>
      <c r="R7351" t="s">
        <v>43173</v>
      </c>
      <c r="S7351" t="s">
        <v>43374</v>
      </c>
      <c r="T7351" t="s">
        <v>44717</v>
      </c>
      <c r="U7351" t="s">
        <v>51151</v>
      </c>
      <c r="W7351" t="s">
        <v>41153</v>
      </c>
      <c r="X7351" t="s">
        <v>43174</v>
      </c>
    </row>
    <row r="7352" spans="1:24">
      <c r="A7352">
        <f>HYPERLINK("https://www.philgeps.gov.ph/GEPSNONPILOT/Tender/SplashBidNoticeAbstractUI.aspx?menuIndex=3&amp;refID=7077610&amp;Result=3","7077610")</f>
        <v>0</v>
      </c>
      <c r="B7352" t="s">
        <v>1744</v>
      </c>
      <c r="C7352" t="s">
        <v>10409</v>
      </c>
      <c r="D7352" t="s">
        <v>17457</v>
      </c>
      <c r="E7352" t="s">
        <v>23855</v>
      </c>
      <c r="F7352" t="s">
        <v>30052</v>
      </c>
      <c r="G7352" t="s">
        <v>30058</v>
      </c>
      <c r="H7352" t="s">
        <v>15498</v>
      </c>
      <c r="I7352" t="s">
        <v>30155</v>
      </c>
      <c r="J7352" t="s">
        <v>34695</v>
      </c>
      <c r="K7352" t="s">
        <v>39041</v>
      </c>
      <c r="M7352" t="s">
        <v>41163</v>
      </c>
      <c r="N7352" t="s">
        <v>43166</v>
      </c>
      <c r="O7352" t="s">
        <v>43167</v>
      </c>
      <c r="P7352">
        <v>0</v>
      </c>
      <c r="Q7352">
        <v>0</v>
      </c>
      <c r="R7352" t="s">
        <v>43173</v>
      </c>
      <c r="S7352" t="s">
        <v>43374</v>
      </c>
      <c r="T7352" t="s">
        <v>44773</v>
      </c>
      <c r="U7352" t="s">
        <v>51058</v>
      </c>
      <c r="V7352" t="s">
        <v>57589</v>
      </c>
      <c r="W7352" t="s">
        <v>41163</v>
      </c>
      <c r="X7352" t="s">
        <v>43174</v>
      </c>
    </row>
    <row r="7353" spans="1:24">
      <c r="A7353">
        <f>HYPERLINK("https://www.philgeps.gov.ph/GEPSNONPILOT/Tender/SplashBidNoticeAbstractUI.aspx?menuIndex=3&amp;refID=7077619&amp;Result=3","7077619")</f>
        <v>0</v>
      </c>
      <c r="B7353" t="s">
        <v>986</v>
      </c>
      <c r="C7353" t="s">
        <v>10410</v>
      </c>
      <c r="D7353" t="s">
        <v>17435</v>
      </c>
      <c r="E7353" t="s">
        <v>23856</v>
      </c>
      <c r="F7353" t="s">
        <v>30052</v>
      </c>
      <c r="G7353" t="s">
        <v>30058</v>
      </c>
      <c r="H7353" t="s">
        <v>15498</v>
      </c>
      <c r="I7353" t="s">
        <v>30098</v>
      </c>
      <c r="J7353" t="s">
        <v>30230</v>
      </c>
      <c r="K7353" t="s">
        <v>39017</v>
      </c>
      <c r="M7353" t="s">
        <v>40313</v>
      </c>
      <c r="N7353" t="s">
        <v>43166</v>
      </c>
      <c r="O7353" t="s">
        <v>43167</v>
      </c>
      <c r="P7353">
        <v>0</v>
      </c>
      <c r="Q7353">
        <v>0</v>
      </c>
      <c r="R7353" t="s">
        <v>43173</v>
      </c>
      <c r="S7353" t="s">
        <v>43374</v>
      </c>
      <c r="T7353" t="s">
        <v>44832</v>
      </c>
      <c r="U7353" t="s">
        <v>51152</v>
      </c>
      <c r="W7353" t="s">
        <v>40313</v>
      </c>
      <c r="X7353" t="s">
        <v>43174</v>
      </c>
    </row>
    <row r="7354" spans="1:24">
      <c r="A7354">
        <f>HYPERLINK("https://www.philgeps.gov.ph/GEPSNONPILOT/Tender/SplashBidNoticeAbstractUI.aspx?menuIndex=3&amp;refID=7077669&amp;Result=3","7077669")</f>
        <v>0</v>
      </c>
      <c r="B7354" t="s">
        <v>541</v>
      </c>
      <c r="C7354" t="s">
        <v>4638</v>
      </c>
      <c r="D7354" t="s">
        <v>17458</v>
      </c>
      <c r="E7354" t="s">
        <v>23857</v>
      </c>
      <c r="F7354" t="s">
        <v>30052</v>
      </c>
      <c r="G7354" t="s">
        <v>30058</v>
      </c>
      <c r="H7354" t="s">
        <v>15498</v>
      </c>
      <c r="I7354" t="s">
        <v>6691</v>
      </c>
      <c r="J7354" t="s">
        <v>31236</v>
      </c>
      <c r="K7354" t="s">
        <v>39017</v>
      </c>
      <c r="M7354" t="s">
        <v>39843</v>
      </c>
      <c r="N7354" t="s">
        <v>43166</v>
      </c>
      <c r="O7354" t="s">
        <v>43167</v>
      </c>
      <c r="P7354">
        <v>0</v>
      </c>
      <c r="Q7354">
        <v>0</v>
      </c>
      <c r="R7354" t="s">
        <v>43173</v>
      </c>
      <c r="S7354" t="s">
        <v>43374</v>
      </c>
      <c r="T7354" t="s">
        <v>44773</v>
      </c>
      <c r="U7354" t="s">
        <v>51153</v>
      </c>
      <c r="W7354" t="s">
        <v>58604</v>
      </c>
      <c r="X7354" t="s">
        <v>43174</v>
      </c>
    </row>
    <row r="7355" spans="1:24">
      <c r="A7355">
        <f>HYPERLINK("https://www.philgeps.gov.ph/GEPSNONPILOT/Tender/SplashBidNoticeAbstractUI.aspx?menuIndex=3&amp;refID=7077608&amp;Result=3","7077608")</f>
        <v>0</v>
      </c>
      <c r="B7355" t="s">
        <v>2302</v>
      </c>
      <c r="C7355" t="s">
        <v>10411</v>
      </c>
      <c r="D7355" t="s">
        <v>17464</v>
      </c>
      <c r="E7355" t="s">
        <v>23823</v>
      </c>
      <c r="F7355" t="s">
        <v>30055</v>
      </c>
      <c r="G7355" t="s">
        <v>30061</v>
      </c>
      <c r="H7355" t="s">
        <v>15498</v>
      </c>
      <c r="I7355" t="s">
        <v>6304</v>
      </c>
      <c r="J7355" t="s">
        <v>34730</v>
      </c>
      <c r="K7355" t="s">
        <v>39036</v>
      </c>
      <c r="M7355" t="s">
        <v>41787</v>
      </c>
      <c r="N7355" t="s">
        <v>43166</v>
      </c>
      <c r="O7355" t="s">
        <v>43167</v>
      </c>
      <c r="P7355">
        <v>0</v>
      </c>
      <c r="Q7355">
        <v>3</v>
      </c>
      <c r="R7355" t="s">
        <v>43173</v>
      </c>
      <c r="S7355" t="s">
        <v>43374</v>
      </c>
      <c r="T7355" t="s">
        <v>44735</v>
      </c>
      <c r="U7355" t="s">
        <v>51154</v>
      </c>
      <c r="W7355" t="s">
        <v>41787</v>
      </c>
      <c r="X7355" t="s">
        <v>43174</v>
      </c>
    </row>
    <row r="7356" spans="1:24">
      <c r="A7356">
        <f>HYPERLINK("https://www.philgeps.gov.ph/GEPSNONPILOT/Tender/SplashBidNoticeAbstractUI.aspx?menuIndex=3&amp;refID=7077655&amp;Result=3","7077655")</f>
        <v>0</v>
      </c>
      <c r="B7356" t="s">
        <v>1736</v>
      </c>
      <c r="C7356" t="s">
        <v>10412</v>
      </c>
      <c r="D7356" t="s">
        <v>17444</v>
      </c>
      <c r="E7356" t="s">
        <v>23858</v>
      </c>
      <c r="F7356" t="s">
        <v>30052</v>
      </c>
      <c r="G7356" t="s">
        <v>30061</v>
      </c>
      <c r="H7356" t="s">
        <v>15498</v>
      </c>
      <c r="I7356" t="s">
        <v>30088</v>
      </c>
      <c r="J7356" t="s">
        <v>30230</v>
      </c>
      <c r="K7356" t="s">
        <v>39034</v>
      </c>
      <c r="M7356" t="s">
        <v>41153</v>
      </c>
      <c r="N7356" t="s">
        <v>43166</v>
      </c>
      <c r="O7356" t="s">
        <v>43167</v>
      </c>
      <c r="P7356">
        <v>0</v>
      </c>
      <c r="Q7356">
        <v>1</v>
      </c>
      <c r="R7356" t="s">
        <v>43173</v>
      </c>
      <c r="S7356" t="s">
        <v>43374</v>
      </c>
      <c r="T7356" t="s">
        <v>44717</v>
      </c>
      <c r="U7356" t="s">
        <v>51155</v>
      </c>
      <c r="W7356" t="s">
        <v>41153</v>
      </c>
      <c r="X7356" t="s">
        <v>43174</v>
      </c>
    </row>
    <row r="7357" spans="1:24">
      <c r="A7357">
        <f>HYPERLINK("https://www.philgeps.gov.ph/GEPSNONPILOT/Tender/SplashBidNoticeAbstractUI.aspx?menuIndex=3&amp;refID=7077652&amp;Result=3","7077652")</f>
        <v>0</v>
      </c>
      <c r="B7357" t="s">
        <v>1779</v>
      </c>
      <c r="C7357" t="s">
        <v>10413</v>
      </c>
      <c r="D7357" t="s">
        <v>17444</v>
      </c>
      <c r="E7357" t="s">
        <v>23859</v>
      </c>
      <c r="F7357" t="s">
        <v>30052</v>
      </c>
      <c r="G7357" t="s">
        <v>30059</v>
      </c>
      <c r="H7357" t="s">
        <v>30067</v>
      </c>
      <c r="I7357" t="s">
        <v>3693</v>
      </c>
      <c r="J7357" t="s">
        <v>30222</v>
      </c>
      <c r="K7357" t="s">
        <v>39078</v>
      </c>
      <c r="M7357" t="s">
        <v>41720</v>
      </c>
      <c r="N7357" t="s">
        <v>43166</v>
      </c>
      <c r="O7357" t="s">
        <v>43167</v>
      </c>
      <c r="P7357">
        <v>0</v>
      </c>
      <c r="Q7357">
        <v>0</v>
      </c>
      <c r="R7357" t="s">
        <v>43173</v>
      </c>
      <c r="S7357" t="s">
        <v>43374</v>
      </c>
      <c r="T7357" t="s">
        <v>44698</v>
      </c>
      <c r="U7357" t="s">
        <v>51156</v>
      </c>
      <c r="W7357" t="s">
        <v>41720</v>
      </c>
      <c r="X7357" t="s">
        <v>43174</v>
      </c>
    </row>
    <row r="7358" spans="1:24">
      <c r="A7358">
        <f>HYPERLINK("https://www.philgeps.gov.ph/GEPSNONPILOT/Tender/SplashBidNoticeAbstractUI.aspx?menuIndex=3&amp;refID=7077661&amp;Result=3","7077661")</f>
        <v>0</v>
      </c>
      <c r="B7358" t="s">
        <v>2310</v>
      </c>
      <c r="C7358" t="s">
        <v>10414</v>
      </c>
      <c r="D7358" t="s">
        <v>17435</v>
      </c>
      <c r="E7358" t="s">
        <v>23860</v>
      </c>
      <c r="F7358" t="s">
        <v>30052</v>
      </c>
      <c r="G7358" t="s">
        <v>30058</v>
      </c>
      <c r="H7358" t="s">
        <v>30067</v>
      </c>
      <c r="I7358" t="s">
        <v>3736</v>
      </c>
      <c r="J7358" t="s">
        <v>34731</v>
      </c>
      <c r="K7358" t="s">
        <v>39019</v>
      </c>
      <c r="M7358" t="s">
        <v>41796</v>
      </c>
      <c r="N7358" t="s">
        <v>43166</v>
      </c>
      <c r="O7358" t="s">
        <v>43167</v>
      </c>
      <c r="P7358">
        <v>0</v>
      </c>
      <c r="Q7358">
        <v>1</v>
      </c>
      <c r="R7358" t="s">
        <v>43173</v>
      </c>
      <c r="S7358" t="s">
        <v>43374</v>
      </c>
      <c r="T7358" t="s">
        <v>44754</v>
      </c>
      <c r="U7358" t="s">
        <v>51157</v>
      </c>
      <c r="W7358" t="s">
        <v>41796</v>
      </c>
      <c r="X7358" t="s">
        <v>43174</v>
      </c>
    </row>
    <row r="7359" spans="1:24">
      <c r="A7359">
        <f>HYPERLINK("https://www.philgeps.gov.ph/GEPSNONPILOT/Tender/SplashBidNoticeAbstractUI.aspx?menuIndex=3&amp;refID=7077650&amp;Result=3","7077650")</f>
        <v>0</v>
      </c>
      <c r="B7359" t="s">
        <v>2268</v>
      </c>
      <c r="C7359" t="s">
        <v>10415</v>
      </c>
      <c r="D7359" t="s">
        <v>17485</v>
      </c>
      <c r="E7359" t="s">
        <v>19158</v>
      </c>
      <c r="F7359" t="s">
        <v>30052</v>
      </c>
      <c r="G7359" t="s">
        <v>30058</v>
      </c>
      <c r="H7359" t="s">
        <v>15498</v>
      </c>
      <c r="I7359" t="s">
        <v>30076</v>
      </c>
      <c r="J7359" t="s">
        <v>30343</v>
      </c>
      <c r="K7359" t="s">
        <v>39037</v>
      </c>
      <c r="M7359" t="s">
        <v>41746</v>
      </c>
      <c r="N7359" t="s">
        <v>43166</v>
      </c>
      <c r="O7359" t="s">
        <v>43167</v>
      </c>
      <c r="P7359">
        <v>0</v>
      </c>
      <c r="Q7359">
        <v>0</v>
      </c>
      <c r="R7359" t="s">
        <v>43173</v>
      </c>
      <c r="S7359" t="s">
        <v>43374</v>
      </c>
      <c r="T7359" t="s">
        <v>45007</v>
      </c>
      <c r="U7359" t="s">
        <v>51158</v>
      </c>
      <c r="W7359" t="s">
        <v>41746</v>
      </c>
      <c r="X7359" t="s">
        <v>43174</v>
      </c>
    </row>
    <row r="7360" spans="1:24">
      <c r="A7360">
        <f>HYPERLINK("https://www.philgeps.gov.ph/GEPSNONPILOT/Tender/SplashBidNoticeAbstractUI.aspx?menuIndex=3&amp;refID=7077647&amp;Result=3","7077647")</f>
        <v>0</v>
      </c>
      <c r="B7360" t="s">
        <v>2303</v>
      </c>
      <c r="C7360" t="s">
        <v>10416</v>
      </c>
      <c r="D7360" t="s">
        <v>17472</v>
      </c>
      <c r="E7360" t="s">
        <v>23861</v>
      </c>
      <c r="F7360" t="s">
        <v>30052</v>
      </c>
      <c r="G7360" t="s">
        <v>30058</v>
      </c>
      <c r="H7360" t="s">
        <v>15498</v>
      </c>
      <c r="I7360" t="s">
        <v>3736</v>
      </c>
      <c r="J7360" t="s">
        <v>30747</v>
      </c>
      <c r="K7360" t="s">
        <v>39017</v>
      </c>
      <c r="M7360" t="s">
        <v>41789</v>
      </c>
      <c r="N7360" t="s">
        <v>43166</v>
      </c>
      <c r="O7360" t="s">
        <v>43167</v>
      </c>
      <c r="P7360">
        <v>0</v>
      </c>
      <c r="Q7360">
        <v>1</v>
      </c>
      <c r="R7360" t="s">
        <v>43173</v>
      </c>
      <c r="S7360" t="s">
        <v>43374</v>
      </c>
      <c r="T7360" t="s">
        <v>44714</v>
      </c>
      <c r="U7360" t="s">
        <v>51159</v>
      </c>
      <c r="W7360" t="s">
        <v>41789</v>
      </c>
      <c r="X7360" t="s">
        <v>43174</v>
      </c>
    </row>
    <row r="7361" spans="1:24">
      <c r="A7361">
        <f>HYPERLINK("https://www.philgeps.gov.ph/GEPSNONPILOT/Tender/SplashBidNoticeAbstractUI.aspx?menuIndex=3&amp;refID=7077668&amp;Result=3","7077668")</f>
        <v>0</v>
      </c>
      <c r="B7361" t="s">
        <v>2299</v>
      </c>
      <c r="C7361" t="s">
        <v>10417</v>
      </c>
      <c r="D7361" t="s">
        <v>17415</v>
      </c>
      <c r="E7361" t="s">
        <v>23862</v>
      </c>
      <c r="F7361" t="s">
        <v>30052</v>
      </c>
      <c r="G7361" t="s">
        <v>30058</v>
      </c>
      <c r="H7361" t="s">
        <v>15498</v>
      </c>
      <c r="I7361" t="s">
        <v>30137</v>
      </c>
      <c r="J7361" t="s">
        <v>33141</v>
      </c>
      <c r="K7361" t="s">
        <v>39067</v>
      </c>
      <c r="M7361" t="s">
        <v>41784</v>
      </c>
      <c r="N7361" t="s">
        <v>43166</v>
      </c>
      <c r="O7361" t="s">
        <v>43167</v>
      </c>
      <c r="P7361">
        <v>0</v>
      </c>
      <c r="Q7361">
        <v>2</v>
      </c>
      <c r="R7361" t="s">
        <v>43173</v>
      </c>
      <c r="S7361" t="s">
        <v>43374</v>
      </c>
      <c r="T7361" t="s">
        <v>44722</v>
      </c>
      <c r="U7361" t="s">
        <v>51160</v>
      </c>
      <c r="W7361" t="s">
        <v>41784</v>
      </c>
      <c r="X7361" t="s">
        <v>43174</v>
      </c>
    </row>
    <row r="7362" spans="1:24">
      <c r="A7362">
        <f>HYPERLINK("https://www.philgeps.gov.ph/GEPSNONPILOT/Tender/SplashBidNoticeAbstractUI.aspx?menuIndex=3&amp;refID=7077654&amp;Result=3","7077654")</f>
        <v>0</v>
      </c>
      <c r="B7362" t="s">
        <v>2311</v>
      </c>
      <c r="C7362" t="s">
        <v>10418</v>
      </c>
      <c r="D7362" t="s">
        <v>17462</v>
      </c>
      <c r="E7362" t="s">
        <v>23863</v>
      </c>
      <c r="F7362" t="s">
        <v>30052</v>
      </c>
      <c r="G7362" t="s">
        <v>30058</v>
      </c>
      <c r="H7362" t="s">
        <v>15498</v>
      </c>
      <c r="I7362" t="s">
        <v>4650</v>
      </c>
      <c r="J7362" t="s">
        <v>34732</v>
      </c>
      <c r="K7362" t="s">
        <v>39029</v>
      </c>
      <c r="M7362" t="s">
        <v>41797</v>
      </c>
      <c r="N7362" t="s">
        <v>43166</v>
      </c>
      <c r="O7362" t="s">
        <v>43167</v>
      </c>
      <c r="P7362">
        <v>0</v>
      </c>
      <c r="Q7362">
        <v>8</v>
      </c>
      <c r="R7362" t="s">
        <v>43173</v>
      </c>
      <c r="S7362" t="s">
        <v>43374</v>
      </c>
      <c r="T7362" t="s">
        <v>44813</v>
      </c>
      <c r="U7362" t="s">
        <v>51161</v>
      </c>
      <c r="W7362" t="s">
        <v>41797</v>
      </c>
      <c r="X7362" t="s">
        <v>43174</v>
      </c>
    </row>
    <row r="7363" spans="1:24">
      <c r="A7363">
        <f>HYPERLINK("https://www.philgeps.gov.ph/GEPSNONPILOT/Tender/SplashBidNoticeAbstractUI.aspx?menuIndex=3&amp;refID=7077643&amp;Result=3","7077643")</f>
        <v>0</v>
      </c>
      <c r="B7363" t="s">
        <v>1744</v>
      </c>
      <c r="C7363" t="s">
        <v>10419</v>
      </c>
      <c r="D7363" t="s">
        <v>17457</v>
      </c>
      <c r="E7363" t="s">
        <v>23864</v>
      </c>
      <c r="F7363" t="s">
        <v>30052</v>
      </c>
      <c r="G7363" t="s">
        <v>30061</v>
      </c>
      <c r="H7363" t="s">
        <v>15498</v>
      </c>
      <c r="I7363" t="s">
        <v>30081</v>
      </c>
      <c r="J7363" t="s">
        <v>34733</v>
      </c>
      <c r="K7363" t="s">
        <v>39034</v>
      </c>
      <c r="M7363" t="s">
        <v>41163</v>
      </c>
      <c r="N7363" t="s">
        <v>43166</v>
      </c>
      <c r="O7363" t="s">
        <v>43167</v>
      </c>
      <c r="P7363">
        <v>0</v>
      </c>
      <c r="Q7363">
        <v>0</v>
      </c>
      <c r="R7363" t="s">
        <v>43173</v>
      </c>
      <c r="S7363" t="s">
        <v>43374</v>
      </c>
      <c r="T7363" t="s">
        <v>44773</v>
      </c>
      <c r="U7363" t="s">
        <v>51162</v>
      </c>
      <c r="V7363" t="s">
        <v>57590</v>
      </c>
      <c r="W7363" t="s">
        <v>41163</v>
      </c>
      <c r="X7363" t="s">
        <v>43174</v>
      </c>
    </row>
    <row r="7364" spans="1:24">
      <c r="A7364">
        <f>HYPERLINK("https://www.philgeps.gov.ph/GEPSNONPILOT/Tender/SplashBidNoticeAbstractUI.aspx?menuIndex=3&amp;refID=7077642&amp;Result=3","7077642")</f>
        <v>0</v>
      </c>
      <c r="B7364" t="s">
        <v>2245</v>
      </c>
      <c r="C7364" t="s">
        <v>10420</v>
      </c>
      <c r="D7364" t="s">
        <v>17415</v>
      </c>
      <c r="E7364" t="s">
        <v>23865</v>
      </c>
      <c r="F7364" t="s">
        <v>30052</v>
      </c>
      <c r="G7364" t="s">
        <v>30059</v>
      </c>
      <c r="H7364" t="s">
        <v>15498</v>
      </c>
      <c r="I7364" t="s">
        <v>3736</v>
      </c>
      <c r="J7364" t="s">
        <v>34734</v>
      </c>
      <c r="K7364" t="s">
        <v>39023</v>
      </c>
      <c r="M7364" t="s">
        <v>41723</v>
      </c>
      <c r="N7364" t="s">
        <v>43166</v>
      </c>
      <c r="O7364" t="s">
        <v>43167</v>
      </c>
      <c r="P7364">
        <v>0</v>
      </c>
      <c r="Q7364">
        <v>1</v>
      </c>
      <c r="R7364" t="s">
        <v>43173</v>
      </c>
      <c r="S7364" t="s">
        <v>43374</v>
      </c>
      <c r="T7364" t="s">
        <v>44773</v>
      </c>
      <c r="U7364" t="s">
        <v>51026</v>
      </c>
      <c r="W7364" t="s">
        <v>41723</v>
      </c>
      <c r="X7364" t="s">
        <v>43174</v>
      </c>
    </row>
    <row r="7365" spans="1:24">
      <c r="A7365">
        <f>HYPERLINK("https://www.philgeps.gov.ph/GEPSNONPILOT/Tender/SplashBidNoticeAbstractUI.aspx?menuIndex=3&amp;refID=7077636&amp;Result=3","7077636")</f>
        <v>0</v>
      </c>
      <c r="B7365" t="s">
        <v>268</v>
      </c>
      <c r="C7365" t="s">
        <v>10421</v>
      </c>
      <c r="D7365" t="s">
        <v>17459</v>
      </c>
      <c r="E7365" t="s">
        <v>23866</v>
      </c>
      <c r="F7365" t="s">
        <v>30052</v>
      </c>
      <c r="G7365" t="s">
        <v>30058</v>
      </c>
      <c r="H7365" t="s">
        <v>15498</v>
      </c>
      <c r="I7365" t="s">
        <v>30076</v>
      </c>
      <c r="J7365" t="s">
        <v>34735</v>
      </c>
      <c r="K7365" t="s">
        <v>39019</v>
      </c>
      <c r="M7365" t="s">
        <v>39561</v>
      </c>
      <c r="N7365" t="s">
        <v>43166</v>
      </c>
      <c r="O7365" t="s">
        <v>43167</v>
      </c>
      <c r="P7365">
        <v>0</v>
      </c>
      <c r="Q7365">
        <v>4</v>
      </c>
      <c r="R7365" t="s">
        <v>43173</v>
      </c>
      <c r="S7365" t="s">
        <v>43374</v>
      </c>
      <c r="T7365" t="s">
        <v>44711</v>
      </c>
      <c r="U7365" t="s">
        <v>51163</v>
      </c>
      <c r="V7365" t="s">
        <v>56837</v>
      </c>
      <c r="W7365" t="s">
        <v>39561</v>
      </c>
      <c r="X7365" t="s">
        <v>43174</v>
      </c>
    </row>
    <row r="7366" spans="1:24">
      <c r="A7366">
        <f>HYPERLINK("https://www.philgeps.gov.ph/GEPSNONPILOT/Tender/SplashBidNoticeAbstractUI.aspx?menuIndex=3&amp;refID=7077711&amp;Result=3","7077711")</f>
        <v>0</v>
      </c>
      <c r="B7366" t="s">
        <v>2312</v>
      </c>
      <c r="C7366" t="s">
        <v>10422</v>
      </c>
      <c r="D7366" t="s">
        <v>17463</v>
      </c>
      <c r="E7366" t="s">
        <v>23867</v>
      </c>
      <c r="F7366" t="s">
        <v>30052</v>
      </c>
      <c r="G7366" t="s">
        <v>30061</v>
      </c>
      <c r="H7366" t="s">
        <v>15498</v>
      </c>
      <c r="I7366" t="s">
        <v>30097</v>
      </c>
      <c r="J7366" t="s">
        <v>34736</v>
      </c>
      <c r="K7366" t="s">
        <v>39019</v>
      </c>
      <c r="M7366" t="s">
        <v>41798</v>
      </c>
      <c r="N7366" t="s">
        <v>43166</v>
      </c>
      <c r="O7366" t="s">
        <v>43167</v>
      </c>
      <c r="P7366">
        <v>0</v>
      </c>
      <c r="Q7366">
        <v>0</v>
      </c>
      <c r="R7366" t="s">
        <v>43173</v>
      </c>
      <c r="S7366" t="s">
        <v>43374</v>
      </c>
      <c r="T7366" t="s">
        <v>44837</v>
      </c>
      <c r="U7366" t="s">
        <v>51164</v>
      </c>
      <c r="V7366" t="s">
        <v>57591</v>
      </c>
      <c r="W7366" t="s">
        <v>41798</v>
      </c>
      <c r="X7366" t="s">
        <v>43174</v>
      </c>
    </row>
    <row r="7367" spans="1:24">
      <c r="A7367">
        <f>HYPERLINK("https://www.philgeps.gov.ph/GEPSNONPILOT/Tender/SplashBidNoticeAbstractUI.aspx?menuIndex=3&amp;refID=7077645&amp;Result=3","7077645")</f>
        <v>0</v>
      </c>
      <c r="B7367" t="s">
        <v>1655</v>
      </c>
      <c r="C7367" t="s">
        <v>6284</v>
      </c>
      <c r="D7367" t="s">
        <v>17481</v>
      </c>
      <c r="E7367" t="s">
        <v>19858</v>
      </c>
      <c r="F7367" t="s">
        <v>30052</v>
      </c>
      <c r="G7367" t="s">
        <v>30058</v>
      </c>
      <c r="H7367" t="s">
        <v>15498</v>
      </c>
      <c r="I7367" t="s">
        <v>3852</v>
      </c>
      <c r="J7367" t="s">
        <v>34737</v>
      </c>
      <c r="K7367" t="s">
        <v>39034</v>
      </c>
      <c r="M7367" t="s">
        <v>41060</v>
      </c>
      <c r="N7367" t="s">
        <v>43166</v>
      </c>
      <c r="O7367" t="s">
        <v>43167</v>
      </c>
      <c r="P7367">
        <v>0</v>
      </c>
      <c r="Q7367">
        <v>0</v>
      </c>
      <c r="R7367" t="s">
        <v>43173</v>
      </c>
      <c r="S7367" t="s">
        <v>43374</v>
      </c>
      <c r="T7367" t="s">
        <v>44685</v>
      </c>
      <c r="U7367" t="s">
        <v>51165</v>
      </c>
      <c r="W7367" t="s">
        <v>41060</v>
      </c>
      <c r="X7367" t="s">
        <v>43174</v>
      </c>
    </row>
    <row r="7368" spans="1:24">
      <c r="A7368">
        <f>HYPERLINK("https://www.philgeps.gov.ph/GEPSNONPILOT/Tender/SplashBidNoticeAbstractUI.aspx?menuIndex=3&amp;refID=7077724&amp;Result=3","7077724")</f>
        <v>0</v>
      </c>
      <c r="B7368" t="s">
        <v>1499</v>
      </c>
      <c r="C7368" t="s">
        <v>10423</v>
      </c>
      <c r="D7368" t="s">
        <v>17460</v>
      </c>
      <c r="E7368" t="s">
        <v>23868</v>
      </c>
      <c r="F7368" t="s">
        <v>30052</v>
      </c>
      <c r="G7368" t="s">
        <v>30059</v>
      </c>
      <c r="H7368" t="s">
        <v>30067</v>
      </c>
      <c r="I7368" t="s">
        <v>6304</v>
      </c>
      <c r="J7368" t="s">
        <v>34738</v>
      </c>
      <c r="K7368" t="s">
        <v>39071</v>
      </c>
      <c r="M7368" t="s">
        <v>40883</v>
      </c>
      <c r="N7368" t="s">
        <v>43166</v>
      </c>
      <c r="O7368" t="s">
        <v>43167</v>
      </c>
      <c r="P7368">
        <v>0</v>
      </c>
      <c r="Q7368">
        <v>2</v>
      </c>
      <c r="R7368" t="s">
        <v>43173</v>
      </c>
      <c r="S7368" t="s">
        <v>43374</v>
      </c>
      <c r="T7368" t="s">
        <v>44696</v>
      </c>
      <c r="U7368" t="s">
        <v>51166</v>
      </c>
      <c r="W7368" t="s">
        <v>40883</v>
      </c>
      <c r="X7368" t="s">
        <v>43174</v>
      </c>
    </row>
    <row r="7369" spans="1:24">
      <c r="A7369">
        <f>HYPERLINK("https://www.philgeps.gov.ph/GEPSNONPILOT/Tender/SplashBidNoticeAbstractUI.aspx?menuIndex=3&amp;refID=7077714&amp;Result=3","7077714")</f>
        <v>0</v>
      </c>
      <c r="B7369" t="s">
        <v>1744</v>
      </c>
      <c r="C7369" t="s">
        <v>10424</v>
      </c>
      <c r="D7369" t="s">
        <v>17457</v>
      </c>
      <c r="E7369" t="s">
        <v>23869</v>
      </c>
      <c r="F7369" t="s">
        <v>30052</v>
      </c>
      <c r="G7369" t="s">
        <v>30059</v>
      </c>
      <c r="H7369" t="s">
        <v>15498</v>
      </c>
      <c r="I7369" t="s">
        <v>4119</v>
      </c>
      <c r="J7369" t="s">
        <v>34739</v>
      </c>
      <c r="K7369" t="s">
        <v>39034</v>
      </c>
      <c r="M7369" t="s">
        <v>41163</v>
      </c>
      <c r="N7369" t="s">
        <v>43166</v>
      </c>
      <c r="O7369" t="s">
        <v>43167</v>
      </c>
      <c r="P7369">
        <v>0</v>
      </c>
      <c r="Q7369">
        <v>0</v>
      </c>
      <c r="R7369" t="s">
        <v>43173</v>
      </c>
      <c r="S7369" t="s">
        <v>43374</v>
      </c>
      <c r="T7369" t="s">
        <v>44773</v>
      </c>
      <c r="U7369" t="s">
        <v>51167</v>
      </c>
      <c r="V7369" t="s">
        <v>57592</v>
      </c>
      <c r="W7369" t="s">
        <v>41163</v>
      </c>
      <c r="X7369" t="s">
        <v>43174</v>
      </c>
    </row>
    <row r="7370" spans="1:24">
      <c r="A7370">
        <f>HYPERLINK("https://www.philgeps.gov.ph/GEPSNONPILOT/Tender/SplashBidNoticeAbstractUI.aspx?menuIndex=3&amp;refID=7077712&amp;Result=3","7077712")</f>
        <v>0</v>
      </c>
      <c r="B7370" t="s">
        <v>1682</v>
      </c>
      <c r="C7370" t="s">
        <v>10425</v>
      </c>
      <c r="D7370" t="s">
        <v>17453</v>
      </c>
      <c r="E7370" t="s">
        <v>23870</v>
      </c>
      <c r="F7370" t="s">
        <v>30052</v>
      </c>
      <c r="G7370" t="s">
        <v>30059</v>
      </c>
      <c r="H7370" t="s">
        <v>15498</v>
      </c>
      <c r="I7370" t="s">
        <v>30144</v>
      </c>
      <c r="J7370" t="s">
        <v>30559</v>
      </c>
      <c r="K7370" t="s">
        <v>39019</v>
      </c>
      <c r="M7370" t="s">
        <v>41118</v>
      </c>
      <c r="N7370" t="s">
        <v>43166</v>
      </c>
      <c r="O7370" t="s">
        <v>43167</v>
      </c>
      <c r="P7370">
        <v>0</v>
      </c>
      <c r="Q7370">
        <v>2</v>
      </c>
      <c r="R7370" t="s">
        <v>43173</v>
      </c>
      <c r="S7370" t="s">
        <v>43374</v>
      </c>
      <c r="T7370" t="s">
        <v>44841</v>
      </c>
      <c r="U7370" t="s">
        <v>51168</v>
      </c>
      <c r="W7370" t="s">
        <v>41118</v>
      </c>
      <c r="X7370" t="s">
        <v>43174</v>
      </c>
    </row>
    <row r="7371" spans="1:24">
      <c r="A7371">
        <f>HYPERLINK("https://www.philgeps.gov.ph/GEPSNONPILOT/Tender/SplashBidNoticeAbstractUI.aspx?menuIndex=3&amp;refID=7077656&amp;Result=3","7077656")</f>
        <v>0</v>
      </c>
      <c r="B7371" t="s">
        <v>266</v>
      </c>
      <c r="C7371" t="s">
        <v>10426</v>
      </c>
      <c r="D7371" t="s">
        <v>17466</v>
      </c>
      <c r="E7371" t="s">
        <v>23871</v>
      </c>
      <c r="F7371" t="s">
        <v>30052</v>
      </c>
      <c r="G7371" t="s">
        <v>30058</v>
      </c>
      <c r="H7371" t="s">
        <v>15498</v>
      </c>
      <c r="I7371" t="s">
        <v>30096</v>
      </c>
      <c r="J7371" t="s">
        <v>30538</v>
      </c>
      <c r="K7371" t="s">
        <v>39029</v>
      </c>
      <c r="M7371" t="s">
        <v>41774</v>
      </c>
      <c r="N7371" t="s">
        <v>43166</v>
      </c>
      <c r="O7371" t="s">
        <v>43167</v>
      </c>
      <c r="P7371">
        <v>0</v>
      </c>
      <c r="Q7371">
        <v>2</v>
      </c>
      <c r="R7371" t="s">
        <v>43173</v>
      </c>
      <c r="S7371" t="s">
        <v>43374</v>
      </c>
      <c r="T7371" t="s">
        <v>44832</v>
      </c>
      <c r="U7371" t="s">
        <v>51169</v>
      </c>
      <c r="W7371" t="s">
        <v>41774</v>
      </c>
      <c r="X7371" t="s">
        <v>43174</v>
      </c>
    </row>
    <row r="7372" spans="1:24">
      <c r="A7372">
        <f>HYPERLINK("https://www.philgeps.gov.ph/GEPSNONPILOT/Tender/SplashBidNoticeAbstractUI.aspx?menuIndex=3&amp;refID=7077707&amp;Result=3","7077707")</f>
        <v>0</v>
      </c>
      <c r="B7372" t="s">
        <v>1333</v>
      </c>
      <c r="C7372" t="s">
        <v>10427</v>
      </c>
      <c r="D7372" t="s">
        <v>17474</v>
      </c>
      <c r="E7372" t="s">
        <v>23872</v>
      </c>
      <c r="F7372" t="s">
        <v>30052</v>
      </c>
      <c r="G7372" t="s">
        <v>30058</v>
      </c>
      <c r="H7372" t="s">
        <v>15498</v>
      </c>
      <c r="I7372" t="s">
        <v>3693</v>
      </c>
      <c r="J7372" t="s">
        <v>30281</v>
      </c>
      <c r="K7372" t="s">
        <v>39031</v>
      </c>
      <c r="M7372" t="s">
        <v>40700</v>
      </c>
      <c r="N7372" t="s">
        <v>43166</v>
      </c>
      <c r="O7372" t="s">
        <v>43167</v>
      </c>
      <c r="P7372">
        <v>0</v>
      </c>
      <c r="Q7372">
        <v>1</v>
      </c>
      <c r="R7372" t="s">
        <v>43173</v>
      </c>
      <c r="S7372" t="s">
        <v>43374</v>
      </c>
      <c r="T7372" t="s">
        <v>44754</v>
      </c>
      <c r="U7372" t="s">
        <v>51170</v>
      </c>
      <c r="W7372" t="s">
        <v>40700</v>
      </c>
      <c r="X7372" t="s">
        <v>43174</v>
      </c>
    </row>
    <row r="7373" spans="1:24">
      <c r="A7373">
        <f>HYPERLINK("https://www.philgeps.gov.ph/GEPSNONPILOT/Tender/SplashBidNoticeAbstractUI.aspx?menuIndex=3&amp;refID=7077604&amp;Result=3","7077604")</f>
        <v>0</v>
      </c>
      <c r="B7373" t="s">
        <v>2313</v>
      </c>
      <c r="C7373" t="s">
        <v>10428</v>
      </c>
      <c r="E7373" t="s">
        <v>23873</v>
      </c>
      <c r="F7373" t="s">
        <v>30052</v>
      </c>
      <c r="G7373" t="s">
        <v>30061</v>
      </c>
      <c r="H7373" t="s">
        <v>15498</v>
      </c>
      <c r="I7373" t="s">
        <v>30142</v>
      </c>
      <c r="J7373" t="s">
        <v>30337</v>
      </c>
      <c r="K7373" t="s">
        <v>39025</v>
      </c>
      <c r="M7373" t="s">
        <v>41799</v>
      </c>
      <c r="N7373" t="s">
        <v>43166</v>
      </c>
      <c r="O7373" t="s">
        <v>43167</v>
      </c>
      <c r="P7373">
        <v>0</v>
      </c>
      <c r="Q7373">
        <v>1</v>
      </c>
      <c r="R7373" t="s">
        <v>43173</v>
      </c>
      <c r="S7373" t="s">
        <v>43374</v>
      </c>
      <c r="T7373" t="s">
        <v>44734</v>
      </c>
      <c r="U7373" t="s">
        <v>51171</v>
      </c>
      <c r="W7373" t="s">
        <v>41799</v>
      </c>
      <c r="X7373" t="s">
        <v>43174</v>
      </c>
    </row>
    <row r="7374" spans="1:24">
      <c r="A7374">
        <f>HYPERLINK("https://www.philgeps.gov.ph/GEPSNONPILOT/Tender/SplashBidNoticeAbstractUI.aspx?menuIndex=3&amp;refID=7077705&amp;Result=3","7077705")</f>
        <v>0</v>
      </c>
      <c r="B7374" t="s">
        <v>2314</v>
      </c>
      <c r="C7374" t="s">
        <v>7879</v>
      </c>
      <c r="D7374" t="s">
        <v>17449</v>
      </c>
      <c r="E7374" t="s">
        <v>23874</v>
      </c>
      <c r="F7374" t="s">
        <v>30052</v>
      </c>
      <c r="G7374" t="s">
        <v>30058</v>
      </c>
      <c r="H7374" t="s">
        <v>30067</v>
      </c>
      <c r="I7374" t="s">
        <v>3693</v>
      </c>
      <c r="J7374" t="s">
        <v>34740</v>
      </c>
      <c r="K7374" t="s">
        <v>39019</v>
      </c>
      <c r="M7374" t="s">
        <v>41800</v>
      </c>
      <c r="N7374" t="s">
        <v>43166</v>
      </c>
      <c r="O7374" t="s">
        <v>43167</v>
      </c>
      <c r="P7374">
        <v>0</v>
      </c>
      <c r="Q7374">
        <v>1</v>
      </c>
      <c r="R7374" t="s">
        <v>43173</v>
      </c>
      <c r="S7374" t="s">
        <v>43374</v>
      </c>
      <c r="T7374" t="s">
        <v>44698</v>
      </c>
      <c r="U7374" t="s">
        <v>46519</v>
      </c>
      <c r="W7374" t="s">
        <v>41800</v>
      </c>
      <c r="X7374" t="s">
        <v>43174</v>
      </c>
    </row>
    <row r="7375" spans="1:24">
      <c r="A7375">
        <f>HYPERLINK("https://www.philgeps.gov.ph/GEPSNONPILOT/Tender/SplashBidNoticeAbstractUI.aspx?menuIndex=3&amp;refID=7077702&amp;Result=3","7077702")</f>
        <v>0</v>
      </c>
      <c r="B7375" t="s">
        <v>1974</v>
      </c>
      <c r="C7375" t="s">
        <v>10429</v>
      </c>
      <c r="D7375" t="s">
        <v>17435</v>
      </c>
      <c r="E7375" t="s">
        <v>23875</v>
      </c>
      <c r="F7375" t="s">
        <v>30052</v>
      </c>
      <c r="G7375" t="s">
        <v>30059</v>
      </c>
      <c r="H7375" t="s">
        <v>30067</v>
      </c>
      <c r="I7375" t="s">
        <v>3693</v>
      </c>
      <c r="J7375" t="s">
        <v>34741</v>
      </c>
      <c r="K7375" t="s">
        <v>39017</v>
      </c>
      <c r="M7375" t="s">
        <v>41415</v>
      </c>
      <c r="N7375" t="s">
        <v>43166</v>
      </c>
      <c r="O7375" t="s">
        <v>43167</v>
      </c>
      <c r="P7375">
        <v>0</v>
      </c>
      <c r="Q7375">
        <v>0</v>
      </c>
      <c r="R7375" t="s">
        <v>43173</v>
      </c>
      <c r="S7375" t="s">
        <v>43374</v>
      </c>
      <c r="T7375" t="s">
        <v>44698</v>
      </c>
      <c r="U7375" t="s">
        <v>51172</v>
      </c>
      <c r="W7375" t="s">
        <v>41415</v>
      </c>
      <c r="X7375" t="s">
        <v>43174</v>
      </c>
    </row>
    <row r="7376" spans="1:24">
      <c r="A7376">
        <f>HYPERLINK("https://www.philgeps.gov.ph/GEPSNONPILOT/Tender/SplashBidNoticeAbstractUI.aspx?menuIndex=3&amp;refID=7077697&amp;Result=3","7077697")</f>
        <v>0</v>
      </c>
      <c r="B7376" t="s">
        <v>902</v>
      </c>
      <c r="C7376" t="s">
        <v>10430</v>
      </c>
      <c r="D7376" t="s">
        <v>17444</v>
      </c>
      <c r="E7376" t="s">
        <v>23876</v>
      </c>
      <c r="F7376" t="s">
        <v>30052</v>
      </c>
      <c r="G7376" t="s">
        <v>30059</v>
      </c>
      <c r="H7376" t="s">
        <v>15498</v>
      </c>
      <c r="I7376" t="s">
        <v>3852</v>
      </c>
      <c r="J7376" t="s">
        <v>34742</v>
      </c>
      <c r="K7376" t="s">
        <v>39017</v>
      </c>
      <c r="M7376" t="s">
        <v>40221</v>
      </c>
      <c r="N7376" t="s">
        <v>43166</v>
      </c>
      <c r="O7376" t="s">
        <v>43167</v>
      </c>
      <c r="P7376">
        <v>0</v>
      </c>
      <c r="Q7376">
        <v>0</v>
      </c>
      <c r="R7376" t="s">
        <v>43173</v>
      </c>
      <c r="S7376" t="s">
        <v>43374</v>
      </c>
      <c r="T7376" t="s">
        <v>44844</v>
      </c>
      <c r="U7376" t="s">
        <v>51173</v>
      </c>
      <c r="W7376" t="s">
        <v>40221</v>
      </c>
      <c r="X7376" t="s">
        <v>43174</v>
      </c>
    </row>
    <row r="7377" spans="1:24">
      <c r="A7377">
        <f>HYPERLINK("https://www.philgeps.gov.ph/GEPSNONPILOT/Tender/SplashBidNoticeAbstractUI.aspx?menuIndex=3&amp;refID=7077721&amp;Result=3","7077721")</f>
        <v>0</v>
      </c>
      <c r="B7377" t="s">
        <v>2268</v>
      </c>
      <c r="C7377" t="s">
        <v>10431</v>
      </c>
      <c r="D7377" t="s">
        <v>17485</v>
      </c>
      <c r="E7377" t="s">
        <v>19196</v>
      </c>
      <c r="F7377" t="s">
        <v>30052</v>
      </c>
      <c r="G7377" t="s">
        <v>30058</v>
      </c>
      <c r="H7377" t="s">
        <v>15498</v>
      </c>
      <c r="I7377" t="s">
        <v>30075</v>
      </c>
      <c r="J7377" t="s">
        <v>30343</v>
      </c>
      <c r="K7377" t="s">
        <v>39037</v>
      </c>
      <c r="M7377" t="s">
        <v>41746</v>
      </c>
      <c r="N7377" t="s">
        <v>43166</v>
      </c>
      <c r="O7377" t="s">
        <v>43167</v>
      </c>
      <c r="P7377">
        <v>0</v>
      </c>
      <c r="Q7377">
        <v>2</v>
      </c>
      <c r="R7377" t="s">
        <v>43173</v>
      </c>
      <c r="S7377" t="s">
        <v>43374</v>
      </c>
      <c r="T7377" t="s">
        <v>44807</v>
      </c>
      <c r="U7377" t="s">
        <v>51174</v>
      </c>
      <c r="W7377" t="s">
        <v>41746</v>
      </c>
      <c r="X7377" t="s">
        <v>43174</v>
      </c>
    </row>
    <row r="7378" spans="1:24">
      <c r="A7378">
        <f>HYPERLINK("https://www.philgeps.gov.ph/GEPSNONPILOT/Tender/SplashBidNoticeAbstractUI.aspx?menuIndex=3&amp;refID=7077694&amp;Result=3","7077694")</f>
        <v>0</v>
      </c>
      <c r="B7378" t="s">
        <v>679</v>
      </c>
      <c r="C7378" t="s">
        <v>10432</v>
      </c>
      <c r="D7378" t="s">
        <v>17419</v>
      </c>
      <c r="E7378" t="s">
        <v>23877</v>
      </c>
      <c r="F7378" t="s">
        <v>30052</v>
      </c>
      <c r="G7378" t="s">
        <v>30059</v>
      </c>
      <c r="H7378" t="s">
        <v>15498</v>
      </c>
      <c r="I7378" t="s">
        <v>4650</v>
      </c>
      <c r="J7378" t="s">
        <v>34743</v>
      </c>
      <c r="K7378" t="s">
        <v>39017</v>
      </c>
      <c r="M7378" t="s">
        <v>39985</v>
      </c>
      <c r="N7378" t="s">
        <v>43166</v>
      </c>
      <c r="O7378" t="s">
        <v>43167</v>
      </c>
      <c r="P7378">
        <v>0</v>
      </c>
      <c r="Q7378">
        <v>3</v>
      </c>
      <c r="R7378" t="s">
        <v>43173</v>
      </c>
      <c r="S7378" t="s">
        <v>43374</v>
      </c>
      <c r="T7378" t="s">
        <v>44717</v>
      </c>
      <c r="U7378" t="s">
        <v>51175</v>
      </c>
      <c r="W7378" t="s">
        <v>39985</v>
      </c>
      <c r="X7378" t="s">
        <v>43174</v>
      </c>
    </row>
    <row r="7379" spans="1:24">
      <c r="A7379">
        <f>HYPERLINK("https://www.philgeps.gov.ph/GEPSNONPILOT/Tender/SplashBidNoticeAbstractUI.aspx?menuIndex=3&amp;refID=7077709&amp;Result=3","7077709")</f>
        <v>0</v>
      </c>
      <c r="B7379" t="s">
        <v>2245</v>
      </c>
      <c r="C7379" t="s">
        <v>10433</v>
      </c>
      <c r="D7379" t="s">
        <v>17415</v>
      </c>
      <c r="E7379" t="s">
        <v>23878</v>
      </c>
      <c r="F7379" t="s">
        <v>30052</v>
      </c>
      <c r="G7379" t="s">
        <v>30059</v>
      </c>
      <c r="H7379" t="s">
        <v>15498</v>
      </c>
      <c r="I7379" t="s">
        <v>3736</v>
      </c>
      <c r="J7379" t="s">
        <v>34744</v>
      </c>
      <c r="K7379" t="s">
        <v>39023</v>
      </c>
      <c r="M7379" t="s">
        <v>41723</v>
      </c>
      <c r="N7379" t="s">
        <v>43166</v>
      </c>
      <c r="O7379" t="s">
        <v>43167</v>
      </c>
      <c r="P7379">
        <v>0</v>
      </c>
      <c r="Q7379">
        <v>0</v>
      </c>
      <c r="R7379" t="s">
        <v>43173</v>
      </c>
      <c r="S7379" t="s">
        <v>43374</v>
      </c>
      <c r="T7379" t="s">
        <v>44773</v>
      </c>
      <c r="U7379" t="s">
        <v>51026</v>
      </c>
      <c r="W7379" t="s">
        <v>41723</v>
      </c>
      <c r="X7379" t="s">
        <v>43174</v>
      </c>
    </row>
    <row r="7380" spans="1:24">
      <c r="A7380">
        <f>HYPERLINK("https://www.philgeps.gov.ph/GEPSNONPILOT/Tender/SplashBidNoticeAbstractUI.aspx?menuIndex=3&amp;refID=7077752&amp;Result=3","7077752")</f>
        <v>0</v>
      </c>
      <c r="B7380" t="s">
        <v>2315</v>
      </c>
      <c r="C7380" t="s">
        <v>10434</v>
      </c>
      <c r="D7380" t="s">
        <v>17458</v>
      </c>
      <c r="E7380" t="s">
        <v>23879</v>
      </c>
      <c r="F7380" t="s">
        <v>30052</v>
      </c>
      <c r="G7380" t="s">
        <v>30058</v>
      </c>
      <c r="H7380" t="s">
        <v>30067</v>
      </c>
      <c r="I7380" t="s">
        <v>3693</v>
      </c>
      <c r="J7380" t="s">
        <v>34745</v>
      </c>
      <c r="K7380" t="s">
        <v>39031</v>
      </c>
      <c r="M7380" t="s">
        <v>41801</v>
      </c>
      <c r="N7380" t="s">
        <v>43166</v>
      </c>
      <c r="O7380" t="s">
        <v>43167</v>
      </c>
      <c r="P7380">
        <v>0</v>
      </c>
      <c r="Q7380">
        <v>0</v>
      </c>
      <c r="R7380" t="s">
        <v>43173</v>
      </c>
      <c r="S7380" t="s">
        <v>43374</v>
      </c>
      <c r="T7380" t="s">
        <v>45020</v>
      </c>
      <c r="U7380" t="s">
        <v>51176</v>
      </c>
      <c r="W7380" t="s">
        <v>41801</v>
      </c>
      <c r="X7380" t="s">
        <v>43174</v>
      </c>
    </row>
    <row r="7381" spans="1:24">
      <c r="A7381">
        <f>HYPERLINK("https://www.philgeps.gov.ph/GEPSNONPILOT/Tender/SplashBidNoticeAbstractUI.aspx?menuIndex=3&amp;refID=7077703&amp;Result=3","7077703")</f>
        <v>0</v>
      </c>
      <c r="B7381" t="s">
        <v>1106</v>
      </c>
      <c r="C7381" t="s">
        <v>10435</v>
      </c>
      <c r="D7381" t="s">
        <v>17455</v>
      </c>
      <c r="E7381" t="s">
        <v>18205</v>
      </c>
      <c r="F7381" t="s">
        <v>30052</v>
      </c>
      <c r="G7381" t="s">
        <v>30058</v>
      </c>
      <c r="H7381" t="s">
        <v>15498</v>
      </c>
      <c r="I7381" t="s">
        <v>30097</v>
      </c>
      <c r="J7381" t="s">
        <v>34746</v>
      </c>
      <c r="K7381" t="s">
        <v>39018</v>
      </c>
      <c r="M7381" t="s">
        <v>40446</v>
      </c>
      <c r="N7381" t="s">
        <v>43166</v>
      </c>
      <c r="O7381" t="s">
        <v>43167</v>
      </c>
      <c r="P7381">
        <v>0</v>
      </c>
      <c r="Q7381">
        <v>0</v>
      </c>
      <c r="R7381" t="s">
        <v>43173</v>
      </c>
      <c r="S7381" t="s">
        <v>43374</v>
      </c>
      <c r="T7381" t="s">
        <v>44720</v>
      </c>
      <c r="U7381" t="s">
        <v>51177</v>
      </c>
      <c r="W7381" t="s">
        <v>40446</v>
      </c>
      <c r="X7381" t="s">
        <v>43174</v>
      </c>
    </row>
    <row r="7382" spans="1:24">
      <c r="A7382">
        <f>HYPERLINK("https://www.philgeps.gov.ph/GEPSNONPILOT/Tender/SplashBidNoticeAbstractUI.aspx?menuIndex=3&amp;refID=7077777&amp;Result=3","7077777")</f>
        <v>0</v>
      </c>
      <c r="B7382" t="s">
        <v>607</v>
      </c>
      <c r="C7382" t="s">
        <v>10436</v>
      </c>
      <c r="D7382" t="s">
        <v>17459</v>
      </c>
      <c r="E7382" t="s">
        <v>23880</v>
      </c>
      <c r="F7382" t="s">
        <v>30052</v>
      </c>
      <c r="G7382" t="s">
        <v>30058</v>
      </c>
      <c r="H7382" t="s">
        <v>15498</v>
      </c>
      <c r="I7382" t="s">
        <v>3852</v>
      </c>
      <c r="J7382" t="s">
        <v>34747</v>
      </c>
      <c r="K7382" t="s">
        <v>39019</v>
      </c>
      <c r="M7382" t="s">
        <v>39909</v>
      </c>
      <c r="N7382" t="s">
        <v>43166</v>
      </c>
      <c r="O7382" t="s">
        <v>43167</v>
      </c>
      <c r="P7382">
        <v>0</v>
      </c>
      <c r="Q7382">
        <v>1</v>
      </c>
      <c r="R7382" t="s">
        <v>43173</v>
      </c>
      <c r="S7382" t="s">
        <v>43374</v>
      </c>
      <c r="T7382" t="s">
        <v>45000</v>
      </c>
      <c r="U7382" t="s">
        <v>51178</v>
      </c>
      <c r="W7382" t="s">
        <v>39909</v>
      </c>
      <c r="X7382" t="s">
        <v>43174</v>
      </c>
    </row>
    <row r="7383" spans="1:24">
      <c r="A7383">
        <f>HYPERLINK("https://www.philgeps.gov.ph/GEPSNONPILOT/Tender/SplashBidNoticeAbstractUI.aspx?menuIndex=3&amp;refID=7077772&amp;Result=3","7077772")</f>
        <v>0</v>
      </c>
      <c r="B7383" t="s">
        <v>759</v>
      </c>
      <c r="C7383" t="s">
        <v>10437</v>
      </c>
      <c r="D7383" t="s">
        <v>17416</v>
      </c>
      <c r="E7383" t="s">
        <v>23881</v>
      </c>
      <c r="F7383" t="s">
        <v>30052</v>
      </c>
      <c r="G7383" t="s">
        <v>30059</v>
      </c>
      <c r="H7383" t="s">
        <v>15498</v>
      </c>
      <c r="I7383" t="s">
        <v>3852</v>
      </c>
      <c r="J7383" t="s">
        <v>30208</v>
      </c>
      <c r="K7383" t="s">
        <v>39017</v>
      </c>
      <c r="M7383" t="s">
        <v>40073</v>
      </c>
      <c r="N7383" t="s">
        <v>43166</v>
      </c>
      <c r="O7383" t="s">
        <v>43167</v>
      </c>
      <c r="P7383">
        <v>0</v>
      </c>
      <c r="Q7383">
        <v>13</v>
      </c>
      <c r="R7383" t="s">
        <v>43173</v>
      </c>
      <c r="S7383" t="s">
        <v>43374</v>
      </c>
      <c r="T7383" t="s">
        <v>44735</v>
      </c>
      <c r="U7383" t="s">
        <v>51179</v>
      </c>
      <c r="W7383" t="s">
        <v>40073</v>
      </c>
      <c r="X7383" t="s">
        <v>43174</v>
      </c>
    </row>
    <row r="7384" spans="1:24">
      <c r="A7384">
        <f>HYPERLINK("https://www.philgeps.gov.ph/GEPSNONPILOT/Tender/SplashBidNoticeAbstractUI.aspx?menuIndex=3&amp;refID=7077693&amp;Result=3","7077693")</f>
        <v>0</v>
      </c>
      <c r="B7384" t="s">
        <v>2245</v>
      </c>
      <c r="C7384" t="s">
        <v>10438</v>
      </c>
      <c r="D7384" t="s">
        <v>17415</v>
      </c>
      <c r="E7384" t="s">
        <v>23882</v>
      </c>
      <c r="F7384" t="s">
        <v>30052</v>
      </c>
      <c r="G7384" t="s">
        <v>30059</v>
      </c>
      <c r="H7384" t="s">
        <v>15498</v>
      </c>
      <c r="I7384" t="s">
        <v>3736</v>
      </c>
      <c r="J7384" t="s">
        <v>34748</v>
      </c>
      <c r="K7384" t="s">
        <v>39023</v>
      </c>
      <c r="M7384" t="s">
        <v>41723</v>
      </c>
      <c r="N7384" t="s">
        <v>43166</v>
      </c>
      <c r="O7384" t="s">
        <v>43167</v>
      </c>
      <c r="P7384">
        <v>0</v>
      </c>
      <c r="Q7384">
        <v>1</v>
      </c>
      <c r="R7384" t="s">
        <v>43173</v>
      </c>
      <c r="S7384" t="s">
        <v>43374</v>
      </c>
      <c r="T7384" t="s">
        <v>44773</v>
      </c>
      <c r="U7384" t="s">
        <v>51026</v>
      </c>
      <c r="W7384" t="s">
        <v>41723</v>
      </c>
      <c r="X7384" t="s">
        <v>43174</v>
      </c>
    </row>
    <row r="7385" spans="1:24">
      <c r="A7385">
        <f>HYPERLINK("https://www.philgeps.gov.ph/GEPSNONPILOT/Tender/SplashBidNoticeAbstractUI.aspx?menuIndex=3&amp;refID=7077769&amp;Result=3","7077769")</f>
        <v>0</v>
      </c>
      <c r="B7385" t="s">
        <v>498</v>
      </c>
      <c r="C7385" t="s">
        <v>10439</v>
      </c>
      <c r="D7385" t="s">
        <v>17431</v>
      </c>
      <c r="E7385" t="s">
        <v>23883</v>
      </c>
      <c r="F7385" t="s">
        <v>30052</v>
      </c>
      <c r="G7385" t="s">
        <v>30063</v>
      </c>
      <c r="H7385" t="s">
        <v>30067</v>
      </c>
      <c r="I7385" t="s">
        <v>3693</v>
      </c>
      <c r="J7385" t="s">
        <v>34749</v>
      </c>
      <c r="K7385" t="s">
        <v>39065</v>
      </c>
      <c r="M7385" t="s">
        <v>39799</v>
      </c>
      <c r="N7385" t="s">
        <v>43166</v>
      </c>
      <c r="O7385" t="s">
        <v>43167</v>
      </c>
      <c r="P7385">
        <v>0</v>
      </c>
      <c r="Q7385">
        <v>1</v>
      </c>
      <c r="R7385" t="s">
        <v>43173</v>
      </c>
      <c r="S7385" t="s">
        <v>43374</v>
      </c>
      <c r="T7385" t="s">
        <v>44758</v>
      </c>
      <c r="U7385" t="s">
        <v>51180</v>
      </c>
      <c r="W7385" t="s">
        <v>39799</v>
      </c>
      <c r="X7385" t="s">
        <v>43174</v>
      </c>
    </row>
    <row r="7386" spans="1:24">
      <c r="A7386">
        <f>HYPERLINK("https://www.philgeps.gov.ph/GEPSNONPILOT/Tender/SplashBidNoticeAbstractUI.aspx?menuIndex=3&amp;refID=7077761&amp;Result=3","7077761")</f>
        <v>0</v>
      </c>
      <c r="B7386" t="s">
        <v>1779</v>
      </c>
      <c r="C7386" t="s">
        <v>10440</v>
      </c>
      <c r="D7386" t="s">
        <v>17444</v>
      </c>
      <c r="E7386" t="s">
        <v>23884</v>
      </c>
      <c r="F7386" t="s">
        <v>30052</v>
      </c>
      <c r="G7386" t="s">
        <v>30059</v>
      </c>
      <c r="H7386" t="s">
        <v>30067</v>
      </c>
      <c r="I7386" t="s">
        <v>3693</v>
      </c>
      <c r="J7386" t="s">
        <v>30252</v>
      </c>
      <c r="K7386" t="s">
        <v>39023</v>
      </c>
      <c r="M7386" t="s">
        <v>41720</v>
      </c>
      <c r="N7386" t="s">
        <v>43166</v>
      </c>
      <c r="O7386" t="s">
        <v>43167</v>
      </c>
      <c r="P7386">
        <v>0</v>
      </c>
      <c r="Q7386">
        <v>0</v>
      </c>
      <c r="R7386" t="s">
        <v>43173</v>
      </c>
      <c r="S7386" t="s">
        <v>43374</v>
      </c>
      <c r="T7386" t="s">
        <v>44698</v>
      </c>
      <c r="U7386" t="s">
        <v>51181</v>
      </c>
      <c r="W7386" t="s">
        <v>41720</v>
      </c>
      <c r="X7386" t="s">
        <v>43174</v>
      </c>
    </row>
    <row r="7387" spans="1:24">
      <c r="A7387">
        <f>HYPERLINK("https://www.philgeps.gov.ph/GEPSNONPILOT/Tender/SplashBidNoticeAbstractUI.aspx?menuIndex=3&amp;refID=7077748&amp;Result=3","7077748")</f>
        <v>0</v>
      </c>
      <c r="B7387" t="s">
        <v>2316</v>
      </c>
      <c r="C7387" t="s">
        <v>10441</v>
      </c>
      <c r="D7387" t="s">
        <v>17445</v>
      </c>
      <c r="E7387" t="s">
        <v>23885</v>
      </c>
      <c r="F7387" t="s">
        <v>30052</v>
      </c>
      <c r="G7387" t="s">
        <v>30058</v>
      </c>
      <c r="H7387" t="s">
        <v>15498</v>
      </c>
      <c r="I7387" t="s">
        <v>30081</v>
      </c>
      <c r="J7387" t="s">
        <v>34750</v>
      </c>
      <c r="K7387" t="s">
        <v>39029</v>
      </c>
      <c r="M7387" t="s">
        <v>41802</v>
      </c>
      <c r="N7387" t="s">
        <v>43166</v>
      </c>
      <c r="O7387" t="s">
        <v>43167</v>
      </c>
      <c r="P7387">
        <v>0</v>
      </c>
      <c r="Q7387">
        <v>1</v>
      </c>
      <c r="R7387" t="s">
        <v>43173</v>
      </c>
      <c r="S7387" t="s">
        <v>43374</v>
      </c>
      <c r="T7387" t="s">
        <v>44842</v>
      </c>
      <c r="U7387" t="s">
        <v>51182</v>
      </c>
      <c r="V7387" t="s">
        <v>57593</v>
      </c>
      <c r="W7387" t="s">
        <v>41802</v>
      </c>
      <c r="X7387" t="s">
        <v>43174</v>
      </c>
    </row>
    <row r="7388" spans="1:24">
      <c r="A7388">
        <f>HYPERLINK("https://www.philgeps.gov.ph/GEPSNONPILOT/Tender/SplashBidNoticeAbstractUI.aspx?menuIndex=3&amp;refID=7077775&amp;Result=3","7077775")</f>
        <v>0</v>
      </c>
      <c r="B7388" t="s">
        <v>2245</v>
      </c>
      <c r="C7388" t="s">
        <v>10442</v>
      </c>
      <c r="D7388" t="s">
        <v>17415</v>
      </c>
      <c r="E7388" t="s">
        <v>23886</v>
      </c>
      <c r="F7388" t="s">
        <v>30052</v>
      </c>
      <c r="G7388" t="s">
        <v>30058</v>
      </c>
      <c r="H7388" t="s">
        <v>15498</v>
      </c>
      <c r="I7388" t="s">
        <v>3736</v>
      </c>
      <c r="J7388" t="s">
        <v>34751</v>
      </c>
      <c r="K7388" t="s">
        <v>39023</v>
      </c>
      <c r="M7388" t="s">
        <v>41723</v>
      </c>
      <c r="N7388" t="s">
        <v>43166</v>
      </c>
      <c r="O7388" t="s">
        <v>43167</v>
      </c>
      <c r="P7388">
        <v>0</v>
      </c>
      <c r="Q7388">
        <v>3</v>
      </c>
      <c r="R7388" t="s">
        <v>43173</v>
      </c>
      <c r="S7388" t="s">
        <v>43374</v>
      </c>
      <c r="T7388" t="s">
        <v>44722</v>
      </c>
      <c r="U7388" t="s">
        <v>51183</v>
      </c>
      <c r="W7388" t="s">
        <v>41723</v>
      </c>
      <c r="X7388" t="s">
        <v>43174</v>
      </c>
    </row>
    <row r="7389" spans="1:24">
      <c r="A7389">
        <f>HYPERLINK("https://www.philgeps.gov.ph/GEPSNONPILOT/Tender/SplashBidNoticeAbstractUI.aspx?menuIndex=3&amp;refID=7077746&amp;Result=3","7077746")</f>
        <v>0</v>
      </c>
      <c r="B7389" t="s">
        <v>620</v>
      </c>
      <c r="C7389" t="s">
        <v>10443</v>
      </c>
      <c r="D7389" t="s">
        <v>17427</v>
      </c>
      <c r="E7389" t="s">
        <v>23887</v>
      </c>
      <c r="F7389" t="s">
        <v>30052</v>
      </c>
      <c r="G7389" t="s">
        <v>30059</v>
      </c>
      <c r="H7389" t="s">
        <v>15498</v>
      </c>
      <c r="I7389" t="s">
        <v>30089</v>
      </c>
      <c r="J7389" t="s">
        <v>30605</v>
      </c>
      <c r="K7389" t="s">
        <v>39025</v>
      </c>
      <c r="M7389" t="s">
        <v>39923</v>
      </c>
      <c r="N7389" t="s">
        <v>43166</v>
      </c>
      <c r="O7389" t="s">
        <v>43167</v>
      </c>
      <c r="P7389">
        <v>0</v>
      </c>
      <c r="Q7389">
        <v>4</v>
      </c>
      <c r="R7389" t="s">
        <v>43173</v>
      </c>
      <c r="S7389" t="s">
        <v>43374</v>
      </c>
      <c r="T7389" t="s">
        <v>44837</v>
      </c>
      <c r="U7389" t="s">
        <v>51184</v>
      </c>
      <c r="W7389" t="s">
        <v>39923</v>
      </c>
      <c r="X7389" t="s">
        <v>43174</v>
      </c>
    </row>
    <row r="7390" spans="1:24">
      <c r="A7390">
        <f>HYPERLINK("https://www.philgeps.gov.ph/GEPSNONPILOT/Tender/SplashBidNoticeAbstractUI.aspx?menuIndex=3&amp;refID=7077744&amp;Result=3","7077744")</f>
        <v>0</v>
      </c>
      <c r="B7390" t="s">
        <v>2317</v>
      </c>
      <c r="C7390" t="s">
        <v>10444</v>
      </c>
      <c r="D7390" t="s">
        <v>17466</v>
      </c>
      <c r="E7390" t="s">
        <v>23888</v>
      </c>
      <c r="F7390" t="s">
        <v>30052</v>
      </c>
      <c r="G7390" t="s">
        <v>30059</v>
      </c>
      <c r="H7390" t="s">
        <v>15498</v>
      </c>
      <c r="I7390" t="s">
        <v>3736</v>
      </c>
      <c r="J7390" t="s">
        <v>32565</v>
      </c>
      <c r="K7390" t="s">
        <v>39029</v>
      </c>
      <c r="M7390" t="s">
        <v>41803</v>
      </c>
      <c r="N7390" t="s">
        <v>43166</v>
      </c>
      <c r="O7390" t="s">
        <v>43167</v>
      </c>
      <c r="P7390">
        <v>0</v>
      </c>
      <c r="Q7390">
        <v>0</v>
      </c>
      <c r="R7390" t="s">
        <v>43173</v>
      </c>
      <c r="S7390" t="s">
        <v>43374</v>
      </c>
      <c r="T7390" t="s">
        <v>44714</v>
      </c>
      <c r="U7390" t="s">
        <v>51185</v>
      </c>
      <c r="V7390" t="s">
        <v>57594</v>
      </c>
      <c r="W7390" t="s">
        <v>41803</v>
      </c>
      <c r="X7390" t="s">
        <v>43174</v>
      </c>
    </row>
    <row r="7391" spans="1:24">
      <c r="A7391">
        <f>HYPERLINK("https://www.philgeps.gov.ph/GEPSNONPILOT/Tender/SplashBidNoticeAbstractUI.aspx?menuIndex=3&amp;refID=7077749&amp;Result=3","7077749")</f>
        <v>0</v>
      </c>
      <c r="B7391" t="s">
        <v>2318</v>
      </c>
      <c r="C7391" t="s">
        <v>10445</v>
      </c>
      <c r="D7391" t="s">
        <v>17473</v>
      </c>
      <c r="E7391" t="s">
        <v>23889</v>
      </c>
      <c r="F7391" t="s">
        <v>30052</v>
      </c>
      <c r="G7391" t="s">
        <v>30059</v>
      </c>
      <c r="H7391" t="s">
        <v>15498</v>
      </c>
      <c r="I7391" t="s">
        <v>30084</v>
      </c>
      <c r="J7391" t="s">
        <v>30358</v>
      </c>
      <c r="K7391" t="s">
        <v>39029</v>
      </c>
      <c r="M7391" t="s">
        <v>41804</v>
      </c>
      <c r="N7391" t="s">
        <v>43166</v>
      </c>
      <c r="O7391" t="s">
        <v>43167</v>
      </c>
      <c r="P7391">
        <v>0</v>
      </c>
      <c r="Q7391">
        <v>1</v>
      </c>
      <c r="R7391" t="s">
        <v>43173</v>
      </c>
      <c r="S7391" t="s">
        <v>43374</v>
      </c>
      <c r="T7391" t="s">
        <v>44856</v>
      </c>
      <c r="U7391" t="s">
        <v>51186</v>
      </c>
      <c r="W7391" t="s">
        <v>41804</v>
      </c>
      <c r="X7391" t="s">
        <v>43174</v>
      </c>
    </row>
    <row r="7392" spans="1:24">
      <c r="A7392">
        <f>HYPERLINK("https://www.philgeps.gov.ph/GEPSNONPILOT/Tender/SplashBidNoticeAbstractUI.aspx?menuIndex=3&amp;refID=7077701&amp;Result=3","7077701")</f>
        <v>0</v>
      </c>
      <c r="B7392" t="s">
        <v>2319</v>
      </c>
      <c r="C7392" t="s">
        <v>10446</v>
      </c>
      <c r="D7392" t="s">
        <v>17476</v>
      </c>
      <c r="E7392" t="s">
        <v>23890</v>
      </c>
      <c r="F7392" t="s">
        <v>30052</v>
      </c>
      <c r="G7392" t="s">
        <v>30058</v>
      </c>
      <c r="H7392" t="s">
        <v>15498</v>
      </c>
      <c r="I7392" t="s">
        <v>30125</v>
      </c>
      <c r="J7392" t="s">
        <v>30252</v>
      </c>
      <c r="K7392" t="s">
        <v>39029</v>
      </c>
      <c r="M7392" t="s">
        <v>41805</v>
      </c>
      <c r="N7392" t="s">
        <v>43166</v>
      </c>
      <c r="O7392" t="s">
        <v>43167</v>
      </c>
      <c r="P7392">
        <v>0</v>
      </c>
      <c r="Q7392">
        <v>1</v>
      </c>
      <c r="R7392" t="s">
        <v>43173</v>
      </c>
      <c r="S7392" t="s">
        <v>43374</v>
      </c>
      <c r="T7392" t="s">
        <v>45061</v>
      </c>
      <c r="U7392" t="s">
        <v>51187</v>
      </c>
      <c r="W7392" t="s">
        <v>41805</v>
      </c>
      <c r="X7392" t="s">
        <v>43174</v>
      </c>
    </row>
    <row r="7393" spans="1:24">
      <c r="A7393">
        <f>HYPERLINK("https://www.philgeps.gov.ph/GEPSNONPILOT/Tender/SplashBidNoticeAbstractUI.aspx?menuIndex=3&amp;refID=7077742&amp;Result=3","7077742")</f>
        <v>0</v>
      </c>
      <c r="B7393" t="s">
        <v>2245</v>
      </c>
      <c r="C7393" t="s">
        <v>10447</v>
      </c>
      <c r="D7393" t="s">
        <v>17415</v>
      </c>
      <c r="E7393" t="s">
        <v>23891</v>
      </c>
      <c r="F7393" t="s">
        <v>30052</v>
      </c>
      <c r="G7393" t="s">
        <v>30058</v>
      </c>
      <c r="H7393" t="s">
        <v>15498</v>
      </c>
      <c r="I7393" t="s">
        <v>3736</v>
      </c>
      <c r="J7393" t="s">
        <v>34752</v>
      </c>
      <c r="K7393" t="s">
        <v>39023</v>
      </c>
      <c r="M7393" t="s">
        <v>41723</v>
      </c>
      <c r="N7393" t="s">
        <v>43166</v>
      </c>
      <c r="O7393" t="s">
        <v>43167</v>
      </c>
      <c r="P7393">
        <v>0</v>
      </c>
      <c r="Q7393">
        <v>1</v>
      </c>
      <c r="R7393" t="s">
        <v>43173</v>
      </c>
      <c r="S7393" t="s">
        <v>43374</v>
      </c>
      <c r="T7393" t="s">
        <v>44722</v>
      </c>
      <c r="U7393" t="s">
        <v>51188</v>
      </c>
      <c r="W7393" t="s">
        <v>41723</v>
      </c>
      <c r="X7393" t="s">
        <v>43174</v>
      </c>
    </row>
    <row r="7394" spans="1:24">
      <c r="A7394">
        <f>HYPERLINK("https://www.philgeps.gov.ph/GEPSNONPILOT/Tender/SplashBidNoticeAbstractUI.aspx?menuIndex=3&amp;refID=7077813&amp;Result=3","7077813")</f>
        <v>0</v>
      </c>
      <c r="B7394" t="s">
        <v>1499</v>
      </c>
      <c r="C7394" t="s">
        <v>10448</v>
      </c>
      <c r="D7394" t="s">
        <v>17460</v>
      </c>
      <c r="E7394" t="s">
        <v>23892</v>
      </c>
      <c r="F7394" t="s">
        <v>30052</v>
      </c>
      <c r="G7394" t="s">
        <v>30059</v>
      </c>
      <c r="H7394" t="s">
        <v>30067</v>
      </c>
      <c r="I7394" t="s">
        <v>6304</v>
      </c>
      <c r="J7394" t="s">
        <v>34753</v>
      </c>
      <c r="K7394" t="s">
        <v>39155</v>
      </c>
      <c r="M7394" t="s">
        <v>40883</v>
      </c>
      <c r="N7394" t="s">
        <v>43166</v>
      </c>
      <c r="O7394" t="s">
        <v>43167</v>
      </c>
      <c r="P7394">
        <v>0</v>
      </c>
      <c r="Q7394">
        <v>2</v>
      </c>
      <c r="R7394" t="s">
        <v>43173</v>
      </c>
      <c r="S7394" t="s">
        <v>43374</v>
      </c>
      <c r="T7394" t="s">
        <v>44696</v>
      </c>
      <c r="U7394" t="s">
        <v>51189</v>
      </c>
      <c r="W7394" t="s">
        <v>40883</v>
      </c>
      <c r="X7394" t="s">
        <v>43174</v>
      </c>
    </row>
    <row r="7395" spans="1:24">
      <c r="A7395">
        <f>HYPERLINK("https://www.philgeps.gov.ph/GEPSNONPILOT/Tender/SplashBidNoticeAbstractUI.aspx?menuIndex=3&amp;refID=7077822&amp;Result=3","7077822")</f>
        <v>0</v>
      </c>
      <c r="B7395" t="s">
        <v>1024</v>
      </c>
      <c r="C7395" t="s">
        <v>10449</v>
      </c>
      <c r="D7395" t="s">
        <v>17432</v>
      </c>
      <c r="E7395" t="s">
        <v>23893</v>
      </c>
      <c r="F7395" t="s">
        <v>30052</v>
      </c>
      <c r="G7395" t="s">
        <v>30059</v>
      </c>
      <c r="H7395" t="s">
        <v>15498</v>
      </c>
      <c r="I7395" t="s">
        <v>30071</v>
      </c>
      <c r="J7395" t="s">
        <v>34754</v>
      </c>
      <c r="K7395" t="s">
        <v>39029</v>
      </c>
      <c r="M7395" t="s">
        <v>41806</v>
      </c>
      <c r="N7395" t="s">
        <v>43166</v>
      </c>
      <c r="O7395" t="s">
        <v>43167</v>
      </c>
      <c r="P7395">
        <v>0</v>
      </c>
      <c r="Q7395">
        <v>5</v>
      </c>
      <c r="R7395" t="s">
        <v>43173</v>
      </c>
      <c r="S7395" t="s">
        <v>43374</v>
      </c>
      <c r="T7395" t="s">
        <v>44717</v>
      </c>
      <c r="U7395" t="s">
        <v>51190</v>
      </c>
      <c r="W7395" t="s">
        <v>41806</v>
      </c>
      <c r="X7395" t="s">
        <v>43174</v>
      </c>
    </row>
    <row r="7396" spans="1:24">
      <c r="A7396">
        <f>HYPERLINK("https://www.philgeps.gov.ph/GEPSNONPILOT/Tender/SplashBidNoticeAbstractUI.aspx?menuIndex=3&amp;refID=7077743&amp;Result=3","7077743")</f>
        <v>0</v>
      </c>
      <c r="B7396" t="s">
        <v>268</v>
      </c>
      <c r="C7396" t="s">
        <v>10450</v>
      </c>
      <c r="D7396" t="s">
        <v>17459</v>
      </c>
      <c r="E7396" t="s">
        <v>23894</v>
      </c>
      <c r="F7396" t="s">
        <v>30052</v>
      </c>
      <c r="G7396" t="s">
        <v>30058</v>
      </c>
      <c r="H7396" t="s">
        <v>15498</v>
      </c>
      <c r="I7396" t="s">
        <v>4650</v>
      </c>
      <c r="J7396" t="s">
        <v>30235</v>
      </c>
      <c r="K7396" t="s">
        <v>39029</v>
      </c>
      <c r="M7396" t="s">
        <v>39561</v>
      </c>
      <c r="N7396" t="s">
        <v>43166</v>
      </c>
      <c r="O7396" t="s">
        <v>43167</v>
      </c>
      <c r="P7396">
        <v>0</v>
      </c>
      <c r="Q7396">
        <v>6</v>
      </c>
      <c r="R7396" t="s">
        <v>43173</v>
      </c>
      <c r="S7396" t="s">
        <v>43374</v>
      </c>
      <c r="T7396" t="s">
        <v>44711</v>
      </c>
      <c r="U7396" t="s">
        <v>51191</v>
      </c>
      <c r="V7396" t="s">
        <v>56837</v>
      </c>
      <c r="W7396" t="s">
        <v>39561</v>
      </c>
      <c r="X7396" t="s">
        <v>43174</v>
      </c>
    </row>
    <row r="7397" spans="1:24">
      <c r="A7397">
        <f>HYPERLINK("https://www.philgeps.gov.ph/GEPSNONPILOT/Tender/SplashBidNoticeAbstractUI.aspx?menuIndex=3&amp;refID=7077819&amp;Result=3","7077819")</f>
        <v>0</v>
      </c>
      <c r="B7397" t="s">
        <v>189</v>
      </c>
      <c r="C7397" t="s">
        <v>10451</v>
      </c>
      <c r="D7397" t="s">
        <v>17468</v>
      </c>
      <c r="E7397" t="s">
        <v>23895</v>
      </c>
      <c r="F7397" t="s">
        <v>30052</v>
      </c>
      <c r="G7397" t="s">
        <v>30059</v>
      </c>
      <c r="H7397" t="s">
        <v>15498</v>
      </c>
      <c r="I7397" t="s">
        <v>3852</v>
      </c>
      <c r="J7397" t="s">
        <v>34755</v>
      </c>
      <c r="K7397" t="s">
        <v>39029</v>
      </c>
      <c r="M7397" t="s">
        <v>39478</v>
      </c>
      <c r="N7397" t="s">
        <v>43166</v>
      </c>
      <c r="O7397" t="s">
        <v>43167</v>
      </c>
      <c r="P7397">
        <v>0</v>
      </c>
      <c r="Q7397">
        <v>0</v>
      </c>
      <c r="R7397" t="s">
        <v>43173</v>
      </c>
      <c r="S7397" t="s">
        <v>43374</v>
      </c>
      <c r="T7397" t="s">
        <v>45062</v>
      </c>
      <c r="U7397" t="s">
        <v>51192</v>
      </c>
      <c r="W7397" t="s">
        <v>39478</v>
      </c>
      <c r="X7397" t="s">
        <v>43174</v>
      </c>
    </row>
    <row r="7398" spans="1:24">
      <c r="A7398">
        <f>HYPERLINK("https://www.philgeps.gov.ph/GEPSNONPILOT/Tender/SplashBidNoticeAbstractUI.aspx?menuIndex=3&amp;refID=7077745&amp;Result=3","7077745")</f>
        <v>0</v>
      </c>
      <c r="B7398" t="s">
        <v>2320</v>
      </c>
      <c r="C7398" t="s">
        <v>10452</v>
      </c>
      <c r="D7398" t="s">
        <v>17462</v>
      </c>
      <c r="E7398" t="s">
        <v>23896</v>
      </c>
      <c r="F7398" t="s">
        <v>30052</v>
      </c>
      <c r="G7398" t="s">
        <v>30058</v>
      </c>
      <c r="H7398" t="s">
        <v>30067</v>
      </c>
      <c r="I7398" t="s">
        <v>3693</v>
      </c>
      <c r="J7398" t="s">
        <v>34756</v>
      </c>
      <c r="K7398" t="s">
        <v>39023</v>
      </c>
      <c r="M7398" t="s">
        <v>41807</v>
      </c>
      <c r="N7398" t="s">
        <v>43166</v>
      </c>
      <c r="O7398" t="s">
        <v>43167</v>
      </c>
      <c r="P7398">
        <v>0</v>
      </c>
      <c r="Q7398">
        <v>5</v>
      </c>
      <c r="R7398" t="s">
        <v>43173</v>
      </c>
      <c r="S7398" t="s">
        <v>43374</v>
      </c>
      <c r="T7398" t="s">
        <v>44737</v>
      </c>
      <c r="U7398" t="s">
        <v>51193</v>
      </c>
      <c r="V7398" t="s">
        <v>57595</v>
      </c>
      <c r="W7398" t="s">
        <v>58669</v>
      </c>
      <c r="X7398" t="s">
        <v>43174</v>
      </c>
    </row>
    <row r="7399" spans="1:24">
      <c r="A7399">
        <f>HYPERLINK("https://www.philgeps.gov.ph/GEPSNONPILOT/Tender/SplashBidNoticeAbstractUI.aspx?menuIndex=3&amp;refID=7077816&amp;Result=3","7077816")</f>
        <v>0</v>
      </c>
      <c r="B7399" t="s">
        <v>915</v>
      </c>
      <c r="C7399" t="s">
        <v>10453</v>
      </c>
      <c r="D7399" t="s">
        <v>17457</v>
      </c>
      <c r="E7399" t="s">
        <v>23897</v>
      </c>
      <c r="F7399" t="s">
        <v>30052</v>
      </c>
      <c r="G7399" t="s">
        <v>30058</v>
      </c>
      <c r="H7399" t="s">
        <v>15498</v>
      </c>
      <c r="I7399" t="s">
        <v>30076</v>
      </c>
      <c r="J7399" t="s">
        <v>34757</v>
      </c>
      <c r="K7399" t="s">
        <v>39019</v>
      </c>
      <c r="M7399" t="s">
        <v>40238</v>
      </c>
      <c r="N7399" t="s">
        <v>43166</v>
      </c>
      <c r="O7399" t="s">
        <v>43167</v>
      </c>
      <c r="P7399">
        <v>0</v>
      </c>
      <c r="Q7399">
        <v>5</v>
      </c>
      <c r="R7399" t="s">
        <v>43173</v>
      </c>
      <c r="S7399" t="s">
        <v>43374</v>
      </c>
      <c r="T7399" t="s">
        <v>44796</v>
      </c>
      <c r="U7399" t="s">
        <v>51194</v>
      </c>
      <c r="W7399" t="s">
        <v>40238</v>
      </c>
      <c r="X7399" t="s">
        <v>43174</v>
      </c>
    </row>
    <row r="7400" spans="1:24">
      <c r="A7400">
        <f>HYPERLINK("https://www.philgeps.gov.ph/GEPSNONPILOT/Tender/SplashBidNoticeAbstractUI.aspx?menuIndex=3&amp;refID=7077815&amp;Result=3","7077815")</f>
        <v>0</v>
      </c>
      <c r="B7400" t="s">
        <v>1403</v>
      </c>
      <c r="C7400" t="s">
        <v>10454</v>
      </c>
      <c r="D7400" t="s">
        <v>17441</v>
      </c>
      <c r="E7400" t="s">
        <v>23898</v>
      </c>
      <c r="F7400" t="s">
        <v>30052</v>
      </c>
      <c r="G7400" t="s">
        <v>30058</v>
      </c>
      <c r="H7400" t="s">
        <v>30067</v>
      </c>
      <c r="I7400" t="s">
        <v>3693</v>
      </c>
      <c r="J7400" t="s">
        <v>34758</v>
      </c>
      <c r="K7400" t="s">
        <v>39025</v>
      </c>
      <c r="M7400" t="s">
        <v>40780</v>
      </c>
      <c r="N7400" t="s">
        <v>43166</v>
      </c>
      <c r="O7400" t="s">
        <v>43167</v>
      </c>
      <c r="P7400">
        <v>0</v>
      </c>
      <c r="Q7400">
        <v>69</v>
      </c>
      <c r="R7400" t="s">
        <v>43173</v>
      </c>
      <c r="S7400" t="s">
        <v>43374</v>
      </c>
      <c r="T7400" t="s">
        <v>44710</v>
      </c>
      <c r="U7400" t="s">
        <v>51195</v>
      </c>
      <c r="W7400" t="s">
        <v>40780</v>
      </c>
      <c r="X7400" t="s">
        <v>43174</v>
      </c>
    </row>
    <row r="7401" spans="1:24">
      <c r="A7401">
        <f>HYPERLINK("https://www.philgeps.gov.ph/GEPSNONPILOT/Tender/SplashBidNoticeAbstractUI.aspx?menuIndex=3&amp;refID=7077809&amp;Result=3","7077809")</f>
        <v>0</v>
      </c>
      <c r="B7401" t="s">
        <v>498</v>
      </c>
      <c r="C7401" t="s">
        <v>10455</v>
      </c>
      <c r="D7401" t="s">
        <v>17431</v>
      </c>
      <c r="E7401" t="s">
        <v>23899</v>
      </c>
      <c r="F7401" t="s">
        <v>30052</v>
      </c>
      <c r="G7401" t="s">
        <v>30063</v>
      </c>
      <c r="H7401" t="s">
        <v>30067</v>
      </c>
      <c r="I7401" t="s">
        <v>3693</v>
      </c>
      <c r="J7401" t="s">
        <v>34749</v>
      </c>
      <c r="K7401" t="s">
        <v>39065</v>
      </c>
      <c r="M7401" t="s">
        <v>39799</v>
      </c>
      <c r="N7401" t="s">
        <v>43166</v>
      </c>
      <c r="O7401" t="s">
        <v>43167</v>
      </c>
      <c r="P7401">
        <v>0</v>
      </c>
      <c r="Q7401">
        <v>1</v>
      </c>
      <c r="R7401" t="s">
        <v>43173</v>
      </c>
      <c r="S7401" t="s">
        <v>43374</v>
      </c>
      <c r="T7401" t="s">
        <v>44758</v>
      </c>
      <c r="U7401" t="s">
        <v>51196</v>
      </c>
      <c r="W7401" t="s">
        <v>39799</v>
      </c>
      <c r="X7401" t="s">
        <v>43174</v>
      </c>
    </row>
    <row r="7402" spans="1:24">
      <c r="A7402">
        <f>HYPERLINK("https://www.philgeps.gov.ph/GEPSNONPILOT/Tender/SplashBidNoticeAbstractUI.aspx?menuIndex=3&amp;refID=7077648&amp;Result=3","7077648")</f>
        <v>0</v>
      </c>
      <c r="B7402" t="s">
        <v>1333</v>
      </c>
      <c r="C7402" t="s">
        <v>10456</v>
      </c>
      <c r="D7402" t="s">
        <v>17474</v>
      </c>
      <c r="E7402" t="s">
        <v>23900</v>
      </c>
      <c r="F7402" t="s">
        <v>30052</v>
      </c>
      <c r="G7402" t="s">
        <v>30058</v>
      </c>
      <c r="H7402" t="s">
        <v>30067</v>
      </c>
      <c r="I7402" t="s">
        <v>3693</v>
      </c>
      <c r="J7402" t="s">
        <v>30222</v>
      </c>
      <c r="K7402" t="s">
        <v>39031</v>
      </c>
      <c r="M7402" t="s">
        <v>40700</v>
      </c>
      <c r="N7402" t="s">
        <v>43166</v>
      </c>
      <c r="O7402" t="s">
        <v>43167</v>
      </c>
      <c r="P7402">
        <v>0</v>
      </c>
      <c r="Q7402">
        <v>1</v>
      </c>
      <c r="R7402" t="s">
        <v>43173</v>
      </c>
      <c r="S7402" t="s">
        <v>43374</v>
      </c>
      <c r="T7402" t="s">
        <v>44754</v>
      </c>
      <c r="U7402" t="s">
        <v>51197</v>
      </c>
      <c r="W7402" t="s">
        <v>40700</v>
      </c>
      <c r="X7402" t="s">
        <v>43174</v>
      </c>
    </row>
    <row r="7403" spans="1:24">
      <c r="A7403">
        <f>HYPERLINK("https://www.philgeps.gov.ph/GEPSNONPILOT/Tender/SplashBidNoticeAbstractUI.aspx?menuIndex=3&amp;refID=7077808&amp;Result=3","7077808")</f>
        <v>0</v>
      </c>
      <c r="B7403" t="s">
        <v>827</v>
      </c>
      <c r="C7403" t="s">
        <v>10457</v>
      </c>
      <c r="D7403" t="s">
        <v>17456</v>
      </c>
      <c r="E7403" t="s">
        <v>23901</v>
      </c>
      <c r="F7403" t="s">
        <v>30052</v>
      </c>
      <c r="G7403" t="s">
        <v>30059</v>
      </c>
      <c r="H7403" t="s">
        <v>30067</v>
      </c>
      <c r="I7403" t="s">
        <v>6304</v>
      </c>
      <c r="J7403" t="s">
        <v>34759</v>
      </c>
      <c r="K7403" t="s">
        <v>39029</v>
      </c>
      <c r="M7403" t="s">
        <v>40144</v>
      </c>
      <c r="N7403" t="s">
        <v>43166</v>
      </c>
      <c r="O7403" t="s">
        <v>43167</v>
      </c>
      <c r="P7403">
        <v>0</v>
      </c>
      <c r="Q7403">
        <v>0</v>
      </c>
      <c r="R7403" t="s">
        <v>43173</v>
      </c>
      <c r="S7403" t="s">
        <v>43374</v>
      </c>
      <c r="T7403" t="s">
        <v>44735</v>
      </c>
      <c r="U7403" t="s">
        <v>49847</v>
      </c>
      <c r="W7403" t="s">
        <v>40144</v>
      </c>
      <c r="X7403" t="s">
        <v>43174</v>
      </c>
    </row>
    <row r="7404" spans="1:24">
      <c r="A7404">
        <f>HYPERLINK("https://www.philgeps.gov.ph/GEPSNONPILOT/Tender/SplashBidNoticeAbstractUI.aspx?menuIndex=3&amp;refID=7077799&amp;Result=3","7077799")</f>
        <v>0</v>
      </c>
      <c r="B7404" t="s">
        <v>2318</v>
      </c>
      <c r="C7404" t="s">
        <v>10458</v>
      </c>
      <c r="D7404" t="s">
        <v>17473</v>
      </c>
      <c r="E7404" t="s">
        <v>23902</v>
      </c>
      <c r="F7404" t="s">
        <v>30052</v>
      </c>
      <c r="G7404" t="s">
        <v>30059</v>
      </c>
      <c r="H7404" t="s">
        <v>30068</v>
      </c>
      <c r="I7404" t="s">
        <v>30100</v>
      </c>
      <c r="J7404" t="s">
        <v>30900</v>
      </c>
      <c r="K7404" t="s">
        <v>39023</v>
      </c>
      <c r="M7404" t="s">
        <v>41804</v>
      </c>
      <c r="N7404" t="s">
        <v>43166</v>
      </c>
      <c r="O7404" t="s">
        <v>43167</v>
      </c>
      <c r="P7404">
        <v>0</v>
      </c>
      <c r="Q7404">
        <v>0</v>
      </c>
      <c r="R7404" t="s">
        <v>43173</v>
      </c>
      <c r="S7404" t="s">
        <v>43374</v>
      </c>
      <c r="T7404" t="s">
        <v>44806</v>
      </c>
      <c r="U7404" t="s">
        <v>51198</v>
      </c>
      <c r="W7404" t="s">
        <v>41804</v>
      </c>
      <c r="X7404" t="s">
        <v>43174</v>
      </c>
    </row>
    <row r="7405" spans="1:24">
      <c r="A7405">
        <f>HYPERLINK("https://www.philgeps.gov.ph/GEPSNONPILOT/Tender/SplashBidNoticeAbstractUI.aspx?menuIndex=3&amp;refID=7077810&amp;Result=3","7077810")</f>
        <v>0</v>
      </c>
      <c r="B7405" t="s">
        <v>102</v>
      </c>
      <c r="C7405" t="s">
        <v>10459</v>
      </c>
      <c r="D7405" t="s">
        <v>17433</v>
      </c>
      <c r="E7405" t="s">
        <v>23903</v>
      </c>
      <c r="F7405" t="s">
        <v>30052</v>
      </c>
      <c r="G7405" t="s">
        <v>30058</v>
      </c>
      <c r="H7405" t="s">
        <v>15498</v>
      </c>
      <c r="I7405" t="s">
        <v>30074</v>
      </c>
      <c r="J7405" t="s">
        <v>30281</v>
      </c>
      <c r="K7405" t="s">
        <v>39025</v>
      </c>
      <c r="M7405" t="s">
        <v>39391</v>
      </c>
      <c r="N7405" t="s">
        <v>43166</v>
      </c>
      <c r="O7405" t="s">
        <v>43167</v>
      </c>
      <c r="P7405">
        <v>0</v>
      </c>
      <c r="Q7405">
        <v>2</v>
      </c>
      <c r="R7405" t="s">
        <v>43173</v>
      </c>
      <c r="S7405" t="s">
        <v>43374</v>
      </c>
      <c r="T7405" t="s">
        <v>44789</v>
      </c>
      <c r="U7405" t="s">
        <v>51199</v>
      </c>
      <c r="W7405" t="s">
        <v>39391</v>
      </c>
      <c r="X7405" t="s">
        <v>43174</v>
      </c>
    </row>
    <row r="7406" spans="1:24">
      <c r="A7406">
        <f>HYPERLINK("https://www.philgeps.gov.ph/GEPSNONPILOT/Tender/SplashBidNoticeAbstractUI.aspx?menuIndex=3&amp;refID=7077874&amp;Result=3","7077874")</f>
        <v>0</v>
      </c>
      <c r="B7406" t="s">
        <v>2321</v>
      </c>
      <c r="C7406" t="s">
        <v>10460</v>
      </c>
      <c r="D7406" t="s">
        <v>17466</v>
      </c>
      <c r="E7406" t="s">
        <v>23904</v>
      </c>
      <c r="F7406" t="s">
        <v>30052</v>
      </c>
      <c r="G7406" t="s">
        <v>30058</v>
      </c>
      <c r="H7406" t="s">
        <v>15498</v>
      </c>
      <c r="I7406" t="s">
        <v>30084</v>
      </c>
      <c r="J7406" t="s">
        <v>34760</v>
      </c>
      <c r="K7406" t="s">
        <v>39039</v>
      </c>
      <c r="M7406" t="s">
        <v>41808</v>
      </c>
      <c r="N7406" t="s">
        <v>43166</v>
      </c>
      <c r="O7406" t="s">
        <v>43167</v>
      </c>
      <c r="P7406">
        <v>0</v>
      </c>
      <c r="Q7406">
        <v>4</v>
      </c>
      <c r="R7406" t="s">
        <v>43173</v>
      </c>
      <c r="S7406" t="s">
        <v>43374</v>
      </c>
      <c r="T7406" t="s">
        <v>44777</v>
      </c>
      <c r="U7406" t="s">
        <v>46500</v>
      </c>
      <c r="W7406" t="s">
        <v>41808</v>
      </c>
      <c r="X7406" t="s">
        <v>43174</v>
      </c>
    </row>
    <row r="7407" spans="1:24">
      <c r="A7407">
        <f>HYPERLINK("https://www.philgeps.gov.ph/GEPSNONPILOT/Tender/SplashBidNoticeAbstractUI.aspx?menuIndex=3&amp;refID=7077670&amp;Result=3","7077670")</f>
        <v>0</v>
      </c>
      <c r="B7407" t="s">
        <v>2306</v>
      </c>
      <c r="C7407" t="s">
        <v>10461</v>
      </c>
      <c r="D7407" t="s">
        <v>17415</v>
      </c>
      <c r="E7407" t="s">
        <v>23905</v>
      </c>
      <c r="F7407" t="s">
        <v>30052</v>
      </c>
      <c r="G7407" t="s">
        <v>30058</v>
      </c>
      <c r="H7407" t="s">
        <v>15498</v>
      </c>
      <c r="I7407" t="s">
        <v>30088</v>
      </c>
      <c r="J7407" t="s">
        <v>34761</v>
      </c>
      <c r="K7407" t="s">
        <v>39023</v>
      </c>
      <c r="M7407" t="s">
        <v>41792</v>
      </c>
      <c r="N7407" t="s">
        <v>43166</v>
      </c>
      <c r="O7407" t="s">
        <v>43167</v>
      </c>
      <c r="P7407">
        <v>0</v>
      </c>
      <c r="Q7407">
        <v>6</v>
      </c>
      <c r="R7407" t="s">
        <v>43173</v>
      </c>
      <c r="S7407" t="s">
        <v>43374</v>
      </c>
      <c r="T7407" t="s">
        <v>45000</v>
      </c>
      <c r="U7407" t="s">
        <v>51200</v>
      </c>
      <c r="W7407" t="s">
        <v>41792</v>
      </c>
      <c r="X7407" t="s">
        <v>43174</v>
      </c>
    </row>
    <row r="7408" spans="1:24">
      <c r="A7408">
        <f>HYPERLINK("https://www.philgeps.gov.ph/GEPSNONPILOT/Tender/SplashBidNoticeAbstractUI.aspx?menuIndex=3&amp;refID=7077879&amp;Result=3","7077879")</f>
        <v>0</v>
      </c>
      <c r="B7408" t="s">
        <v>1974</v>
      </c>
      <c r="C7408" t="s">
        <v>10462</v>
      </c>
      <c r="D7408" t="s">
        <v>17435</v>
      </c>
      <c r="E7408" t="s">
        <v>23906</v>
      </c>
      <c r="F7408" t="s">
        <v>30052</v>
      </c>
      <c r="G7408" t="s">
        <v>30060</v>
      </c>
      <c r="H7408" t="s">
        <v>30067</v>
      </c>
      <c r="I7408" t="s">
        <v>3693</v>
      </c>
      <c r="J7408" t="s">
        <v>34762</v>
      </c>
      <c r="K7408" t="s">
        <v>39017</v>
      </c>
      <c r="M7408" t="s">
        <v>41415</v>
      </c>
      <c r="N7408" t="s">
        <v>43166</v>
      </c>
      <c r="O7408" t="s">
        <v>43167</v>
      </c>
      <c r="P7408">
        <v>0</v>
      </c>
      <c r="Q7408">
        <v>0</v>
      </c>
      <c r="R7408" t="s">
        <v>43173</v>
      </c>
      <c r="S7408" t="s">
        <v>43374</v>
      </c>
      <c r="T7408" t="s">
        <v>44698</v>
      </c>
      <c r="U7408" t="s">
        <v>51201</v>
      </c>
      <c r="W7408" t="s">
        <v>41415</v>
      </c>
      <c r="X7408" t="s">
        <v>43174</v>
      </c>
    </row>
    <row r="7409" spans="1:24">
      <c r="A7409">
        <f>HYPERLINK("https://www.philgeps.gov.ph/GEPSNONPILOT/Tender/SplashBidNoticeAbstractUI.aspx?menuIndex=3&amp;refID=7077801&amp;Result=3","7077801")</f>
        <v>0</v>
      </c>
      <c r="B7409" t="s">
        <v>610</v>
      </c>
      <c r="C7409" t="s">
        <v>10463</v>
      </c>
      <c r="D7409" t="s">
        <v>17474</v>
      </c>
      <c r="E7409" t="s">
        <v>23907</v>
      </c>
      <c r="F7409" t="s">
        <v>30052</v>
      </c>
      <c r="G7409" t="s">
        <v>30059</v>
      </c>
      <c r="H7409" t="s">
        <v>15498</v>
      </c>
      <c r="I7409" t="s">
        <v>4119</v>
      </c>
      <c r="J7409" t="s">
        <v>31923</v>
      </c>
      <c r="K7409" t="s">
        <v>39029</v>
      </c>
      <c r="M7409" t="s">
        <v>39912</v>
      </c>
      <c r="N7409" t="s">
        <v>43166</v>
      </c>
      <c r="O7409" t="s">
        <v>43167</v>
      </c>
      <c r="P7409">
        <v>0</v>
      </c>
      <c r="Q7409">
        <v>4</v>
      </c>
      <c r="R7409" t="s">
        <v>43173</v>
      </c>
      <c r="S7409" t="s">
        <v>43374</v>
      </c>
      <c r="T7409" t="s">
        <v>44685</v>
      </c>
      <c r="U7409" t="s">
        <v>51202</v>
      </c>
      <c r="W7409" t="s">
        <v>39912</v>
      </c>
      <c r="X7409" t="s">
        <v>43174</v>
      </c>
    </row>
    <row r="7410" spans="1:24">
      <c r="A7410">
        <f>HYPERLINK("https://www.philgeps.gov.ph/GEPSNONPILOT/Tender/SplashBidNoticeAbstractUI.aspx?menuIndex=3&amp;refID=7077876&amp;Result=3","7077876")</f>
        <v>0</v>
      </c>
      <c r="B7410" t="s">
        <v>1682</v>
      </c>
      <c r="C7410" t="s">
        <v>10464</v>
      </c>
      <c r="D7410" t="s">
        <v>17453</v>
      </c>
      <c r="E7410" t="s">
        <v>23908</v>
      </c>
      <c r="F7410" t="s">
        <v>30052</v>
      </c>
      <c r="G7410" t="s">
        <v>30059</v>
      </c>
      <c r="H7410" t="s">
        <v>15498</v>
      </c>
      <c r="I7410" t="s">
        <v>4119</v>
      </c>
      <c r="J7410" t="s">
        <v>34763</v>
      </c>
      <c r="K7410" t="s">
        <v>39019</v>
      </c>
      <c r="M7410" t="s">
        <v>41118</v>
      </c>
      <c r="N7410" t="s">
        <v>43166</v>
      </c>
      <c r="O7410" t="s">
        <v>43167</v>
      </c>
      <c r="P7410">
        <v>0</v>
      </c>
      <c r="Q7410">
        <v>6</v>
      </c>
      <c r="R7410" t="s">
        <v>43173</v>
      </c>
      <c r="S7410" t="s">
        <v>43374</v>
      </c>
      <c r="T7410" t="s">
        <v>44841</v>
      </c>
      <c r="U7410" t="s">
        <v>51203</v>
      </c>
      <c r="W7410" t="s">
        <v>41118</v>
      </c>
      <c r="X7410" t="s">
        <v>43174</v>
      </c>
    </row>
    <row r="7411" spans="1:24">
      <c r="A7411">
        <f>HYPERLINK("https://www.philgeps.gov.ph/GEPSNONPILOT/Tender/SplashBidNoticeAbstractUI.aspx?menuIndex=3&amp;refID=7077798&amp;Result=3","7077798")</f>
        <v>0</v>
      </c>
      <c r="B7411" t="s">
        <v>2306</v>
      </c>
      <c r="C7411" t="s">
        <v>10465</v>
      </c>
      <c r="D7411" t="s">
        <v>17415</v>
      </c>
      <c r="E7411" t="s">
        <v>23909</v>
      </c>
      <c r="F7411" t="s">
        <v>30052</v>
      </c>
      <c r="G7411" t="s">
        <v>30058</v>
      </c>
      <c r="H7411" t="s">
        <v>15498</v>
      </c>
      <c r="I7411" t="s">
        <v>4650</v>
      </c>
      <c r="J7411" t="s">
        <v>34764</v>
      </c>
      <c r="K7411" t="s">
        <v>39023</v>
      </c>
      <c r="M7411" t="s">
        <v>41792</v>
      </c>
      <c r="N7411" t="s">
        <v>43166</v>
      </c>
      <c r="O7411" t="s">
        <v>43167</v>
      </c>
      <c r="P7411">
        <v>0</v>
      </c>
      <c r="Q7411">
        <v>5</v>
      </c>
      <c r="R7411" t="s">
        <v>43173</v>
      </c>
      <c r="S7411" t="s">
        <v>43374</v>
      </c>
      <c r="T7411" t="s">
        <v>45000</v>
      </c>
      <c r="U7411" t="s">
        <v>51204</v>
      </c>
      <c r="W7411" t="s">
        <v>41792</v>
      </c>
      <c r="X7411" t="s">
        <v>43174</v>
      </c>
    </row>
    <row r="7412" spans="1:24">
      <c r="A7412">
        <f>HYPERLINK("https://www.philgeps.gov.ph/GEPSNONPILOT/Tender/SplashBidNoticeAbstractUI.aspx?menuIndex=3&amp;refID=7077863&amp;Result=3","7077863")</f>
        <v>0</v>
      </c>
      <c r="B7412" t="s">
        <v>759</v>
      </c>
      <c r="C7412" t="s">
        <v>10466</v>
      </c>
      <c r="D7412" t="s">
        <v>17416</v>
      </c>
      <c r="E7412" t="s">
        <v>23910</v>
      </c>
      <c r="F7412" t="s">
        <v>30052</v>
      </c>
      <c r="G7412" t="s">
        <v>30059</v>
      </c>
      <c r="H7412" t="s">
        <v>15498</v>
      </c>
      <c r="I7412" t="s">
        <v>3852</v>
      </c>
      <c r="J7412" t="s">
        <v>34765</v>
      </c>
      <c r="K7412" t="s">
        <v>39017</v>
      </c>
      <c r="M7412" t="s">
        <v>40073</v>
      </c>
      <c r="N7412" t="s">
        <v>43166</v>
      </c>
      <c r="O7412" t="s">
        <v>43167</v>
      </c>
      <c r="P7412">
        <v>0</v>
      </c>
      <c r="Q7412">
        <v>0</v>
      </c>
      <c r="R7412" t="s">
        <v>43173</v>
      </c>
      <c r="S7412" t="s">
        <v>43374</v>
      </c>
      <c r="T7412" t="s">
        <v>44856</v>
      </c>
      <c r="U7412" t="s">
        <v>51205</v>
      </c>
      <c r="W7412" t="s">
        <v>40073</v>
      </c>
      <c r="X7412" t="s">
        <v>43174</v>
      </c>
    </row>
    <row r="7413" spans="1:24">
      <c r="A7413">
        <f>HYPERLINK("https://www.philgeps.gov.ph/GEPSNONPILOT/Tender/SplashBidNoticeAbstractUI.aspx?menuIndex=3&amp;refID=7077502&amp;Result=3","7077502")</f>
        <v>0</v>
      </c>
      <c r="B7413" t="s">
        <v>503</v>
      </c>
      <c r="C7413" t="s">
        <v>10467</v>
      </c>
      <c r="D7413" t="s">
        <v>17415</v>
      </c>
      <c r="E7413" t="s">
        <v>23911</v>
      </c>
      <c r="F7413" t="s">
        <v>30052</v>
      </c>
      <c r="G7413" t="s">
        <v>30059</v>
      </c>
      <c r="H7413" t="s">
        <v>15498</v>
      </c>
      <c r="I7413" t="s">
        <v>6304</v>
      </c>
      <c r="J7413" t="s">
        <v>34766</v>
      </c>
      <c r="K7413" t="s">
        <v>39019</v>
      </c>
      <c r="M7413" t="s">
        <v>41402</v>
      </c>
      <c r="N7413" t="s">
        <v>43166</v>
      </c>
      <c r="O7413" t="s">
        <v>43167</v>
      </c>
      <c r="P7413">
        <v>0</v>
      </c>
      <c r="Q7413">
        <v>0</v>
      </c>
      <c r="R7413" t="s">
        <v>43173</v>
      </c>
      <c r="S7413" t="s">
        <v>43374</v>
      </c>
      <c r="T7413" t="s">
        <v>44773</v>
      </c>
      <c r="U7413" t="s">
        <v>51206</v>
      </c>
      <c r="V7413" t="s">
        <v>57596</v>
      </c>
      <c r="W7413" t="s">
        <v>41402</v>
      </c>
      <c r="X7413" t="s">
        <v>43174</v>
      </c>
    </row>
    <row r="7414" spans="1:24">
      <c r="A7414">
        <f>HYPERLINK("https://www.philgeps.gov.ph/GEPSNONPILOT/Tender/SplashBidNoticeAbstractUI.aspx?menuIndex=3&amp;refID=7077860&amp;Result=3","7077860")</f>
        <v>0</v>
      </c>
      <c r="B7414" t="s">
        <v>268</v>
      </c>
      <c r="C7414" t="s">
        <v>10468</v>
      </c>
      <c r="D7414" t="s">
        <v>17459</v>
      </c>
      <c r="E7414" t="s">
        <v>23912</v>
      </c>
      <c r="F7414" t="s">
        <v>30052</v>
      </c>
      <c r="G7414" t="s">
        <v>30058</v>
      </c>
      <c r="H7414" t="s">
        <v>15498</v>
      </c>
      <c r="I7414" t="s">
        <v>30092</v>
      </c>
      <c r="J7414" t="s">
        <v>34767</v>
      </c>
      <c r="K7414" t="s">
        <v>39019</v>
      </c>
      <c r="M7414" t="s">
        <v>39561</v>
      </c>
      <c r="N7414" t="s">
        <v>43166</v>
      </c>
      <c r="O7414" t="s">
        <v>43167</v>
      </c>
      <c r="P7414">
        <v>0</v>
      </c>
      <c r="Q7414">
        <v>3</v>
      </c>
      <c r="R7414" t="s">
        <v>43173</v>
      </c>
      <c r="S7414" t="s">
        <v>43374</v>
      </c>
      <c r="T7414" t="s">
        <v>44711</v>
      </c>
      <c r="U7414" t="s">
        <v>51207</v>
      </c>
      <c r="V7414" t="s">
        <v>56837</v>
      </c>
      <c r="W7414" t="s">
        <v>39561</v>
      </c>
      <c r="X7414" t="s">
        <v>43174</v>
      </c>
    </row>
    <row r="7415" spans="1:24">
      <c r="A7415">
        <f>HYPERLINK("https://www.philgeps.gov.ph/GEPSNONPILOT/Tender/SplashBidNoticeAbstractUI.aspx?menuIndex=3&amp;refID=7077817&amp;Result=3","7077817")</f>
        <v>0</v>
      </c>
      <c r="B7415" t="s">
        <v>700</v>
      </c>
      <c r="C7415" t="s">
        <v>10469</v>
      </c>
      <c r="D7415" t="s">
        <v>17458</v>
      </c>
      <c r="E7415" t="s">
        <v>23913</v>
      </c>
      <c r="F7415" t="s">
        <v>30052</v>
      </c>
      <c r="G7415" t="s">
        <v>30061</v>
      </c>
      <c r="H7415" t="s">
        <v>15498</v>
      </c>
      <c r="I7415" t="s">
        <v>4119</v>
      </c>
      <c r="J7415" t="s">
        <v>33487</v>
      </c>
      <c r="K7415" t="s">
        <v>39019</v>
      </c>
      <c r="M7415" t="s">
        <v>40009</v>
      </c>
      <c r="N7415" t="s">
        <v>43166</v>
      </c>
      <c r="O7415" t="s">
        <v>43167</v>
      </c>
      <c r="P7415">
        <v>0</v>
      </c>
      <c r="Q7415">
        <v>1</v>
      </c>
      <c r="R7415" t="s">
        <v>43173</v>
      </c>
      <c r="S7415" t="s">
        <v>43374</v>
      </c>
      <c r="T7415" t="s">
        <v>44717</v>
      </c>
      <c r="U7415" t="s">
        <v>46535</v>
      </c>
      <c r="W7415" t="s">
        <v>40009</v>
      </c>
      <c r="X7415" t="s">
        <v>43174</v>
      </c>
    </row>
    <row r="7416" spans="1:24">
      <c r="A7416">
        <f>HYPERLINK("https://www.philgeps.gov.ph/GEPSNONPILOT/Tender/SplashBidNoticeAbstractUI.aspx?menuIndex=3&amp;refID=7077853&amp;Result=3","7077853")</f>
        <v>0</v>
      </c>
      <c r="B7416" t="s">
        <v>1974</v>
      </c>
      <c r="C7416" t="s">
        <v>10470</v>
      </c>
      <c r="D7416" t="s">
        <v>17435</v>
      </c>
      <c r="E7416" t="s">
        <v>23914</v>
      </c>
      <c r="F7416" t="s">
        <v>30052</v>
      </c>
      <c r="G7416" t="s">
        <v>30058</v>
      </c>
      <c r="H7416" t="s">
        <v>30067</v>
      </c>
      <c r="I7416" t="s">
        <v>3693</v>
      </c>
      <c r="J7416" t="s">
        <v>33956</v>
      </c>
      <c r="K7416" t="s">
        <v>39031</v>
      </c>
      <c r="M7416" t="s">
        <v>41415</v>
      </c>
      <c r="N7416" t="s">
        <v>43166</v>
      </c>
      <c r="O7416" t="s">
        <v>43167</v>
      </c>
      <c r="P7416">
        <v>0</v>
      </c>
      <c r="Q7416">
        <v>0</v>
      </c>
      <c r="R7416" t="s">
        <v>43173</v>
      </c>
      <c r="S7416" t="s">
        <v>43374</v>
      </c>
      <c r="T7416" t="s">
        <v>44758</v>
      </c>
      <c r="U7416" t="s">
        <v>51208</v>
      </c>
      <c r="V7416" t="s">
        <v>57457</v>
      </c>
      <c r="W7416" t="s">
        <v>41415</v>
      </c>
      <c r="X7416" t="s">
        <v>43174</v>
      </c>
    </row>
    <row r="7417" spans="1:24">
      <c r="A7417">
        <f>HYPERLINK("https://www.philgeps.gov.ph/GEPSNONPILOT/Tender/SplashBidNoticeAbstractUI.aspx?menuIndex=3&amp;refID=7077872&amp;Result=3","7077872")</f>
        <v>0</v>
      </c>
      <c r="B7417" t="s">
        <v>2322</v>
      </c>
      <c r="C7417" t="s">
        <v>10471</v>
      </c>
      <c r="D7417" t="s">
        <v>17422</v>
      </c>
      <c r="E7417" t="s">
        <v>23915</v>
      </c>
      <c r="F7417" t="s">
        <v>30052</v>
      </c>
      <c r="G7417" t="s">
        <v>30058</v>
      </c>
      <c r="H7417" t="s">
        <v>15498</v>
      </c>
      <c r="I7417" t="s">
        <v>3736</v>
      </c>
      <c r="J7417" t="s">
        <v>34470</v>
      </c>
      <c r="K7417" t="s">
        <v>39019</v>
      </c>
      <c r="M7417" t="s">
        <v>41809</v>
      </c>
      <c r="N7417" t="s">
        <v>43166</v>
      </c>
      <c r="O7417" t="s">
        <v>43167</v>
      </c>
      <c r="P7417">
        <v>0</v>
      </c>
      <c r="Q7417">
        <v>0</v>
      </c>
      <c r="R7417" t="s">
        <v>43173</v>
      </c>
      <c r="S7417" t="s">
        <v>43374</v>
      </c>
      <c r="T7417" t="s">
        <v>44734</v>
      </c>
      <c r="U7417" t="s">
        <v>51209</v>
      </c>
      <c r="V7417" t="s">
        <v>57597</v>
      </c>
      <c r="W7417" t="s">
        <v>41809</v>
      </c>
      <c r="X7417" t="s">
        <v>43174</v>
      </c>
    </row>
    <row r="7418" spans="1:24">
      <c r="A7418">
        <f>HYPERLINK("https://www.philgeps.gov.ph/GEPSNONPILOT/Tender/SplashBidNoticeAbstractUI.aspx?menuIndex=3&amp;refID=7077871&amp;Result=3","7077871")</f>
        <v>0</v>
      </c>
      <c r="B7418" t="s">
        <v>2323</v>
      </c>
      <c r="C7418" t="s">
        <v>10472</v>
      </c>
      <c r="D7418" t="s">
        <v>17422</v>
      </c>
      <c r="E7418" t="s">
        <v>23916</v>
      </c>
      <c r="F7418" t="s">
        <v>30055</v>
      </c>
      <c r="G7418" t="s">
        <v>30059</v>
      </c>
      <c r="H7418" t="s">
        <v>30067</v>
      </c>
      <c r="I7418" t="s">
        <v>3693</v>
      </c>
      <c r="J7418" t="s">
        <v>34768</v>
      </c>
      <c r="K7418" t="s">
        <v>39029</v>
      </c>
      <c r="M7418" t="s">
        <v>41810</v>
      </c>
      <c r="N7418" t="s">
        <v>43166</v>
      </c>
      <c r="O7418" t="s">
        <v>43167</v>
      </c>
      <c r="P7418">
        <v>0</v>
      </c>
      <c r="Q7418">
        <v>0</v>
      </c>
      <c r="R7418" t="s">
        <v>43173</v>
      </c>
      <c r="S7418" t="s">
        <v>43374</v>
      </c>
      <c r="T7418" t="s">
        <v>44773</v>
      </c>
      <c r="U7418" t="s">
        <v>51210</v>
      </c>
      <c r="V7418" t="s">
        <v>57598</v>
      </c>
      <c r="W7418" t="s">
        <v>41810</v>
      </c>
      <c r="X7418" t="s">
        <v>43174</v>
      </c>
    </row>
    <row r="7419" spans="1:24">
      <c r="A7419">
        <f>HYPERLINK("https://www.philgeps.gov.ph/GEPSNONPILOT/Tender/SplashBidNoticeAbstractUI.aspx?menuIndex=3&amp;refID=7077846&amp;Result=3","7077846")</f>
        <v>0</v>
      </c>
      <c r="B7419" t="s">
        <v>2324</v>
      </c>
      <c r="C7419" t="s">
        <v>10473</v>
      </c>
      <c r="D7419" t="s">
        <v>17425</v>
      </c>
      <c r="E7419" t="s">
        <v>23917</v>
      </c>
      <c r="F7419" t="s">
        <v>30052</v>
      </c>
      <c r="G7419" t="s">
        <v>30058</v>
      </c>
      <c r="H7419" t="s">
        <v>30067</v>
      </c>
      <c r="I7419" t="s">
        <v>3693</v>
      </c>
      <c r="J7419" t="s">
        <v>34769</v>
      </c>
      <c r="K7419" t="s">
        <v>39031</v>
      </c>
      <c r="M7419" t="s">
        <v>41811</v>
      </c>
      <c r="N7419" t="s">
        <v>43166</v>
      </c>
      <c r="O7419" t="s">
        <v>43167</v>
      </c>
      <c r="P7419">
        <v>0</v>
      </c>
      <c r="Q7419">
        <v>0</v>
      </c>
      <c r="R7419" t="s">
        <v>43173</v>
      </c>
      <c r="S7419" t="s">
        <v>43374</v>
      </c>
      <c r="T7419" t="s">
        <v>44711</v>
      </c>
      <c r="U7419" t="s">
        <v>51211</v>
      </c>
      <c r="W7419" t="s">
        <v>41811</v>
      </c>
      <c r="X7419" t="s">
        <v>43174</v>
      </c>
    </row>
    <row r="7420" spans="1:24">
      <c r="A7420">
        <f>HYPERLINK("https://www.philgeps.gov.ph/GEPSNONPILOT/Tender/SplashBidNoticeAbstractUI.aspx?menuIndex=3&amp;refID=7077841&amp;Result=3","7077841")</f>
        <v>0</v>
      </c>
      <c r="B7420" t="s">
        <v>2325</v>
      </c>
      <c r="C7420" t="s">
        <v>10435</v>
      </c>
      <c r="D7420" t="s">
        <v>17455</v>
      </c>
      <c r="E7420" t="s">
        <v>18205</v>
      </c>
      <c r="F7420" t="s">
        <v>30052</v>
      </c>
      <c r="G7420" t="s">
        <v>30058</v>
      </c>
      <c r="H7420" t="s">
        <v>15498</v>
      </c>
      <c r="I7420" t="s">
        <v>30097</v>
      </c>
      <c r="J7420" t="s">
        <v>34071</v>
      </c>
      <c r="K7420" t="s">
        <v>39018</v>
      </c>
      <c r="M7420" t="s">
        <v>41812</v>
      </c>
      <c r="N7420" t="s">
        <v>43166</v>
      </c>
      <c r="O7420" t="s">
        <v>43167</v>
      </c>
      <c r="P7420">
        <v>0</v>
      </c>
      <c r="Q7420">
        <v>0</v>
      </c>
      <c r="R7420" t="s">
        <v>43173</v>
      </c>
      <c r="S7420" t="s">
        <v>43374</v>
      </c>
      <c r="T7420" t="s">
        <v>44720</v>
      </c>
      <c r="U7420" t="s">
        <v>51177</v>
      </c>
      <c r="W7420" t="s">
        <v>41812</v>
      </c>
      <c r="X7420" t="s">
        <v>43174</v>
      </c>
    </row>
    <row r="7421" spans="1:24">
      <c r="A7421">
        <f>HYPERLINK("https://www.philgeps.gov.ph/GEPSNONPILOT/Tender/SplashBidNoticeAbstractUI.aspx?menuIndex=3&amp;refID=7077771&amp;Result=3","7077771")</f>
        <v>0</v>
      </c>
      <c r="B7421" t="s">
        <v>1197</v>
      </c>
      <c r="C7421" t="s">
        <v>10474</v>
      </c>
      <c r="D7421" t="s">
        <v>17463</v>
      </c>
      <c r="E7421" t="s">
        <v>23918</v>
      </c>
      <c r="F7421" t="s">
        <v>30052</v>
      </c>
      <c r="G7421" t="s">
        <v>30059</v>
      </c>
      <c r="H7421" t="s">
        <v>15498</v>
      </c>
      <c r="I7421" t="s">
        <v>30070</v>
      </c>
      <c r="J7421" t="s">
        <v>32318</v>
      </c>
      <c r="K7421" t="s">
        <v>39031</v>
      </c>
      <c r="M7421" t="s">
        <v>40550</v>
      </c>
      <c r="N7421" t="s">
        <v>43166</v>
      </c>
      <c r="O7421" t="s">
        <v>43167</v>
      </c>
      <c r="P7421">
        <v>0</v>
      </c>
      <c r="Q7421">
        <v>0</v>
      </c>
      <c r="R7421" t="s">
        <v>43173</v>
      </c>
      <c r="S7421" t="s">
        <v>43374</v>
      </c>
      <c r="T7421" t="s">
        <v>44716</v>
      </c>
      <c r="U7421" t="s">
        <v>47813</v>
      </c>
      <c r="W7421" t="s">
        <v>40550</v>
      </c>
      <c r="X7421" t="s">
        <v>43174</v>
      </c>
    </row>
    <row r="7422" spans="1:24">
      <c r="A7422">
        <f>HYPERLINK("https://www.philgeps.gov.ph/GEPSNONPILOT/Tender/SplashBidNoticeAbstractUI.aspx?menuIndex=3&amp;refID=7077837&amp;Result=3","7077837")</f>
        <v>0</v>
      </c>
      <c r="B7422" t="s">
        <v>2326</v>
      </c>
      <c r="C7422" t="s">
        <v>10475</v>
      </c>
      <c r="D7422" t="s">
        <v>17415</v>
      </c>
      <c r="E7422" t="s">
        <v>23919</v>
      </c>
      <c r="F7422" t="s">
        <v>30052</v>
      </c>
      <c r="G7422" t="s">
        <v>30058</v>
      </c>
      <c r="H7422" t="s">
        <v>30069</v>
      </c>
      <c r="I7422" t="s">
        <v>30072</v>
      </c>
      <c r="J7422" t="s">
        <v>34770</v>
      </c>
      <c r="K7422" t="s">
        <v>39164</v>
      </c>
      <c r="M7422" t="s">
        <v>41813</v>
      </c>
      <c r="N7422" t="s">
        <v>43166</v>
      </c>
      <c r="O7422" t="s">
        <v>43167</v>
      </c>
      <c r="P7422">
        <v>0</v>
      </c>
      <c r="Q7422">
        <v>9</v>
      </c>
      <c r="R7422" t="s">
        <v>43173</v>
      </c>
      <c r="S7422" t="s">
        <v>43374</v>
      </c>
      <c r="T7422" t="s">
        <v>45063</v>
      </c>
      <c r="U7422" t="s">
        <v>51212</v>
      </c>
      <c r="W7422" t="s">
        <v>41813</v>
      </c>
      <c r="X7422" t="s">
        <v>43174</v>
      </c>
    </row>
    <row r="7423" spans="1:24">
      <c r="A7423">
        <f>HYPERLINK("https://www.philgeps.gov.ph/GEPSNONPILOT/Tender/SplashBidNoticeAbstractUI.aspx?menuIndex=3&amp;refID=7077859&amp;Result=3","7077859")</f>
        <v>0</v>
      </c>
      <c r="B7423" t="s">
        <v>915</v>
      </c>
      <c r="C7423" t="s">
        <v>10476</v>
      </c>
      <c r="D7423" t="s">
        <v>17457</v>
      </c>
      <c r="E7423" t="s">
        <v>23920</v>
      </c>
      <c r="F7423" t="s">
        <v>30052</v>
      </c>
      <c r="G7423" t="s">
        <v>30058</v>
      </c>
      <c r="H7423" t="s">
        <v>15498</v>
      </c>
      <c r="I7423" t="s">
        <v>30076</v>
      </c>
      <c r="J7423" t="s">
        <v>34771</v>
      </c>
      <c r="K7423" t="s">
        <v>39019</v>
      </c>
      <c r="M7423" t="s">
        <v>40238</v>
      </c>
      <c r="N7423" t="s">
        <v>43166</v>
      </c>
      <c r="O7423" t="s">
        <v>43167</v>
      </c>
      <c r="P7423">
        <v>0</v>
      </c>
      <c r="Q7423">
        <v>5</v>
      </c>
      <c r="R7423" t="s">
        <v>43173</v>
      </c>
      <c r="S7423" t="s">
        <v>43374</v>
      </c>
      <c r="T7423" t="s">
        <v>44796</v>
      </c>
      <c r="U7423" t="s">
        <v>51213</v>
      </c>
      <c r="W7423" t="s">
        <v>40238</v>
      </c>
      <c r="X7423" t="s">
        <v>43174</v>
      </c>
    </row>
    <row r="7424" spans="1:24">
      <c r="A7424">
        <f>HYPERLINK("https://www.philgeps.gov.ph/GEPSNONPILOT/Tender/SplashBidNoticeAbstractUI.aspx?menuIndex=3&amp;refID=7077831&amp;Result=3","7077831")</f>
        <v>0</v>
      </c>
      <c r="B7424" t="s">
        <v>741</v>
      </c>
      <c r="C7424" t="s">
        <v>10477</v>
      </c>
      <c r="D7424" t="s">
        <v>17425</v>
      </c>
      <c r="E7424" t="s">
        <v>23921</v>
      </c>
      <c r="F7424" t="s">
        <v>30052</v>
      </c>
      <c r="G7424" t="s">
        <v>30058</v>
      </c>
      <c r="H7424" t="s">
        <v>15498</v>
      </c>
      <c r="I7424" t="s">
        <v>30074</v>
      </c>
      <c r="J7424" t="s">
        <v>34772</v>
      </c>
      <c r="K7424" t="s">
        <v>39029</v>
      </c>
      <c r="M7424" t="s">
        <v>40055</v>
      </c>
      <c r="N7424" t="s">
        <v>43166</v>
      </c>
      <c r="O7424" t="s">
        <v>43167</v>
      </c>
      <c r="P7424">
        <v>0</v>
      </c>
      <c r="Q7424">
        <v>2</v>
      </c>
      <c r="R7424" t="s">
        <v>43173</v>
      </c>
      <c r="S7424" t="s">
        <v>43374</v>
      </c>
      <c r="T7424" t="s">
        <v>44754</v>
      </c>
      <c r="U7424" t="s">
        <v>51214</v>
      </c>
      <c r="W7424" t="s">
        <v>40055</v>
      </c>
      <c r="X7424" t="s">
        <v>43174</v>
      </c>
    </row>
    <row r="7425" spans="1:24">
      <c r="A7425">
        <f>HYPERLINK("https://www.philgeps.gov.ph/GEPSNONPILOT/Tender/SplashBidNoticeAbstractUI.aspx?menuIndex=3&amp;refID=7077826&amp;Result=3","7077826")</f>
        <v>0</v>
      </c>
      <c r="B7425" t="s">
        <v>759</v>
      </c>
      <c r="C7425" t="s">
        <v>10478</v>
      </c>
      <c r="D7425" t="s">
        <v>17416</v>
      </c>
      <c r="E7425" t="s">
        <v>23922</v>
      </c>
      <c r="F7425" t="s">
        <v>30052</v>
      </c>
      <c r="G7425" t="s">
        <v>30058</v>
      </c>
      <c r="H7425" t="s">
        <v>15498</v>
      </c>
      <c r="I7425" t="s">
        <v>30074</v>
      </c>
      <c r="J7425" t="s">
        <v>30215</v>
      </c>
      <c r="K7425" t="s">
        <v>39031</v>
      </c>
      <c r="M7425" t="s">
        <v>40073</v>
      </c>
      <c r="N7425" t="s">
        <v>43166</v>
      </c>
      <c r="O7425" t="s">
        <v>43167</v>
      </c>
      <c r="P7425">
        <v>0</v>
      </c>
      <c r="Q7425">
        <v>6</v>
      </c>
      <c r="R7425" t="s">
        <v>43173</v>
      </c>
      <c r="S7425" t="s">
        <v>43374</v>
      </c>
      <c r="T7425" t="s">
        <v>44815</v>
      </c>
      <c r="U7425" t="s">
        <v>51215</v>
      </c>
      <c r="W7425" t="s">
        <v>40073</v>
      </c>
      <c r="X7425" t="s">
        <v>43174</v>
      </c>
    </row>
    <row r="7426" spans="1:24">
      <c r="A7426">
        <f>HYPERLINK("https://www.philgeps.gov.ph/GEPSNONPILOT/Tender/SplashBidNoticeAbstractUI.aspx?menuIndex=3&amp;refID=7077825&amp;Result=3","7077825")</f>
        <v>0</v>
      </c>
      <c r="B7426" t="s">
        <v>620</v>
      </c>
      <c r="C7426" t="s">
        <v>10479</v>
      </c>
      <c r="D7426" t="s">
        <v>17427</v>
      </c>
      <c r="E7426" t="s">
        <v>23923</v>
      </c>
      <c r="F7426" t="s">
        <v>30052</v>
      </c>
      <c r="G7426" t="s">
        <v>30059</v>
      </c>
      <c r="H7426" t="s">
        <v>15498</v>
      </c>
      <c r="I7426" t="s">
        <v>30111</v>
      </c>
      <c r="J7426" t="s">
        <v>30404</v>
      </c>
      <c r="K7426" t="s">
        <v>39025</v>
      </c>
      <c r="M7426" t="s">
        <v>39923</v>
      </c>
      <c r="N7426" t="s">
        <v>43166</v>
      </c>
      <c r="O7426" t="s">
        <v>43167</v>
      </c>
      <c r="P7426">
        <v>0</v>
      </c>
      <c r="Q7426">
        <v>5</v>
      </c>
      <c r="R7426" t="s">
        <v>43173</v>
      </c>
      <c r="S7426" t="s">
        <v>43374</v>
      </c>
      <c r="T7426" t="s">
        <v>44837</v>
      </c>
      <c r="U7426" t="s">
        <v>51216</v>
      </c>
      <c r="W7426" t="s">
        <v>39923</v>
      </c>
      <c r="X7426" t="s">
        <v>43174</v>
      </c>
    </row>
    <row r="7427" spans="1:24">
      <c r="A7427">
        <f>HYPERLINK("https://www.philgeps.gov.ph/GEPSNONPILOT/Tender/SplashBidNoticeAbstractUI.aspx?menuIndex=3&amp;refID=7077823&amp;Result=3","7077823")</f>
        <v>0</v>
      </c>
      <c r="B7427" t="s">
        <v>498</v>
      </c>
      <c r="C7427" t="s">
        <v>10480</v>
      </c>
      <c r="D7427" t="s">
        <v>17431</v>
      </c>
      <c r="E7427" t="s">
        <v>23924</v>
      </c>
      <c r="F7427" t="s">
        <v>30052</v>
      </c>
      <c r="G7427" t="s">
        <v>30063</v>
      </c>
      <c r="H7427" t="s">
        <v>30067</v>
      </c>
      <c r="I7427" t="s">
        <v>3693</v>
      </c>
      <c r="J7427" t="s">
        <v>34749</v>
      </c>
      <c r="K7427" t="s">
        <v>39065</v>
      </c>
      <c r="M7427" t="s">
        <v>39799</v>
      </c>
      <c r="N7427" t="s">
        <v>43166</v>
      </c>
      <c r="O7427" t="s">
        <v>43167</v>
      </c>
      <c r="P7427">
        <v>0</v>
      </c>
      <c r="Q7427">
        <v>1</v>
      </c>
      <c r="R7427" t="s">
        <v>43173</v>
      </c>
      <c r="S7427" t="s">
        <v>43374</v>
      </c>
      <c r="T7427" t="s">
        <v>44758</v>
      </c>
      <c r="U7427" t="s">
        <v>51217</v>
      </c>
      <c r="W7427" t="s">
        <v>39799</v>
      </c>
      <c r="X7427" t="s">
        <v>43174</v>
      </c>
    </row>
    <row r="7428" spans="1:24">
      <c r="A7428">
        <f>HYPERLINK("https://www.philgeps.gov.ph/GEPSNONPILOT/Tender/SplashBidNoticeAbstractUI.aspx?menuIndex=3&amp;refID=7077796&amp;Result=3","7077796")</f>
        <v>0</v>
      </c>
      <c r="B7428" t="s">
        <v>902</v>
      </c>
      <c r="C7428" t="s">
        <v>10481</v>
      </c>
      <c r="D7428" t="s">
        <v>17444</v>
      </c>
      <c r="E7428" t="s">
        <v>23925</v>
      </c>
      <c r="F7428" t="s">
        <v>30052</v>
      </c>
      <c r="G7428" t="s">
        <v>30059</v>
      </c>
      <c r="H7428" t="s">
        <v>15498</v>
      </c>
      <c r="I7428" t="s">
        <v>3852</v>
      </c>
      <c r="J7428" t="s">
        <v>34773</v>
      </c>
      <c r="K7428" t="s">
        <v>39017</v>
      </c>
      <c r="M7428" t="s">
        <v>40221</v>
      </c>
      <c r="N7428" t="s">
        <v>43166</v>
      </c>
      <c r="O7428" t="s">
        <v>43167</v>
      </c>
      <c r="P7428">
        <v>0</v>
      </c>
      <c r="Q7428">
        <v>0</v>
      </c>
      <c r="R7428" t="s">
        <v>43173</v>
      </c>
      <c r="S7428" t="s">
        <v>43374</v>
      </c>
      <c r="T7428" t="s">
        <v>44844</v>
      </c>
      <c r="U7428" t="s">
        <v>51218</v>
      </c>
      <c r="W7428" t="s">
        <v>40221</v>
      </c>
      <c r="X7428" t="s">
        <v>43174</v>
      </c>
    </row>
    <row r="7429" spans="1:24">
      <c r="A7429">
        <f>HYPERLINK("https://www.philgeps.gov.ph/GEPSNONPILOT/Tender/SplashBidNoticeAbstractUI.aspx?menuIndex=3&amp;refID=7077795&amp;Result=3","7077795")</f>
        <v>0</v>
      </c>
      <c r="B7429" t="s">
        <v>1403</v>
      </c>
      <c r="C7429" t="s">
        <v>10482</v>
      </c>
      <c r="D7429" t="s">
        <v>17441</v>
      </c>
      <c r="E7429" t="s">
        <v>23926</v>
      </c>
      <c r="F7429" t="s">
        <v>30052</v>
      </c>
      <c r="G7429" t="s">
        <v>30058</v>
      </c>
      <c r="H7429" t="s">
        <v>30067</v>
      </c>
      <c r="I7429" t="s">
        <v>3693</v>
      </c>
      <c r="J7429" t="s">
        <v>34774</v>
      </c>
      <c r="K7429" t="s">
        <v>39025</v>
      </c>
      <c r="M7429" t="s">
        <v>40780</v>
      </c>
      <c r="N7429" t="s">
        <v>43166</v>
      </c>
      <c r="O7429" t="s">
        <v>43167</v>
      </c>
      <c r="P7429">
        <v>0</v>
      </c>
      <c r="Q7429">
        <v>71</v>
      </c>
      <c r="R7429" t="s">
        <v>43173</v>
      </c>
      <c r="S7429" t="s">
        <v>43374</v>
      </c>
      <c r="T7429" t="s">
        <v>44710</v>
      </c>
      <c r="U7429" t="s">
        <v>51219</v>
      </c>
      <c r="W7429" t="s">
        <v>40780</v>
      </c>
      <c r="X7429" t="s">
        <v>43174</v>
      </c>
    </row>
    <row r="7430" spans="1:24">
      <c r="A7430">
        <f>HYPERLINK("https://www.philgeps.gov.ph/GEPSNONPILOT/Tender/SplashBidNoticeAbstractUI.aspx?menuIndex=3&amp;refID=7077842&amp;Result=3","7077842")</f>
        <v>0</v>
      </c>
      <c r="B7430" t="s">
        <v>607</v>
      </c>
      <c r="C7430" t="s">
        <v>10483</v>
      </c>
      <c r="D7430" t="s">
        <v>17459</v>
      </c>
      <c r="E7430" t="s">
        <v>23927</v>
      </c>
      <c r="F7430" t="s">
        <v>30052</v>
      </c>
      <c r="G7430" t="s">
        <v>30058</v>
      </c>
      <c r="H7430" t="s">
        <v>15498</v>
      </c>
      <c r="I7430" t="s">
        <v>3693</v>
      </c>
      <c r="J7430" t="s">
        <v>34775</v>
      </c>
      <c r="K7430" t="s">
        <v>39046</v>
      </c>
      <c r="M7430" t="s">
        <v>39909</v>
      </c>
      <c r="N7430" t="s">
        <v>43166</v>
      </c>
      <c r="O7430" t="s">
        <v>43167</v>
      </c>
      <c r="P7430">
        <v>0</v>
      </c>
      <c r="Q7430">
        <v>3</v>
      </c>
      <c r="R7430" t="s">
        <v>43173</v>
      </c>
      <c r="S7430" t="s">
        <v>43374</v>
      </c>
      <c r="T7430" t="s">
        <v>45000</v>
      </c>
      <c r="U7430" t="s">
        <v>51178</v>
      </c>
      <c r="W7430" t="s">
        <v>39909</v>
      </c>
      <c r="X7430" t="s">
        <v>43174</v>
      </c>
    </row>
    <row r="7431" spans="1:24">
      <c r="A7431">
        <f>HYPERLINK("https://www.philgeps.gov.ph/GEPSNONPILOT/Tender/SplashBidNoticeAbstractUI.aspx?menuIndex=3&amp;refID=7077792&amp;Result=3","7077792")</f>
        <v>0</v>
      </c>
      <c r="B7431" t="s">
        <v>2327</v>
      </c>
      <c r="C7431" t="s">
        <v>10484</v>
      </c>
      <c r="E7431" t="s">
        <v>23928</v>
      </c>
      <c r="F7431" t="s">
        <v>30052</v>
      </c>
      <c r="G7431" t="s">
        <v>30058</v>
      </c>
      <c r="H7431" t="s">
        <v>15498</v>
      </c>
      <c r="I7431" t="s">
        <v>30081</v>
      </c>
      <c r="J7431" t="s">
        <v>34776</v>
      </c>
      <c r="K7431" t="s">
        <v>39025</v>
      </c>
      <c r="M7431" t="s">
        <v>41814</v>
      </c>
      <c r="N7431" t="s">
        <v>43166</v>
      </c>
      <c r="O7431" t="s">
        <v>43167</v>
      </c>
      <c r="P7431">
        <v>0</v>
      </c>
      <c r="Q7431">
        <v>0</v>
      </c>
      <c r="R7431" t="s">
        <v>43173</v>
      </c>
      <c r="S7431" t="s">
        <v>43374</v>
      </c>
      <c r="T7431" t="s">
        <v>44714</v>
      </c>
      <c r="U7431" t="s">
        <v>51220</v>
      </c>
      <c r="W7431" t="s">
        <v>41814</v>
      </c>
      <c r="X7431" t="s">
        <v>43174</v>
      </c>
    </row>
    <row r="7432" spans="1:24">
      <c r="A7432">
        <f>HYPERLINK("https://www.philgeps.gov.ph/GEPSNONPILOT/Tender/SplashBidNoticeAbstractUI.aspx?menuIndex=3&amp;refID=7077830&amp;Result=3","7077830")</f>
        <v>0</v>
      </c>
      <c r="B7432" t="s">
        <v>2268</v>
      </c>
      <c r="C7432" t="s">
        <v>10485</v>
      </c>
      <c r="D7432" t="s">
        <v>17485</v>
      </c>
      <c r="E7432" t="s">
        <v>20306</v>
      </c>
      <c r="F7432" t="s">
        <v>30052</v>
      </c>
      <c r="G7432" t="s">
        <v>30058</v>
      </c>
      <c r="H7432" t="s">
        <v>15498</v>
      </c>
      <c r="I7432" t="s">
        <v>30074</v>
      </c>
      <c r="J7432" t="s">
        <v>33184</v>
      </c>
      <c r="K7432" t="s">
        <v>39046</v>
      </c>
      <c r="M7432" t="s">
        <v>41746</v>
      </c>
      <c r="N7432" t="s">
        <v>43166</v>
      </c>
      <c r="O7432" t="s">
        <v>43167</v>
      </c>
      <c r="P7432">
        <v>0</v>
      </c>
      <c r="Q7432">
        <v>4</v>
      </c>
      <c r="R7432" t="s">
        <v>43173</v>
      </c>
      <c r="S7432" t="s">
        <v>43374</v>
      </c>
      <c r="T7432" t="s">
        <v>45064</v>
      </c>
      <c r="U7432" t="s">
        <v>51221</v>
      </c>
      <c r="W7432" t="s">
        <v>41746</v>
      </c>
      <c r="X7432" t="s">
        <v>43174</v>
      </c>
    </row>
    <row r="7433" spans="1:24">
      <c r="A7433">
        <f>HYPERLINK("https://www.philgeps.gov.ph/GEPSNONPILOT/Tender/SplashBidNoticeAbstractUI.aspx?menuIndex=3&amp;refID=7077784&amp;Result=3","7077784")</f>
        <v>0</v>
      </c>
      <c r="B7433" t="s">
        <v>2328</v>
      </c>
      <c r="C7433" t="s">
        <v>10486</v>
      </c>
      <c r="D7433" t="s">
        <v>17437</v>
      </c>
      <c r="E7433" t="s">
        <v>23929</v>
      </c>
      <c r="F7433" t="s">
        <v>30052</v>
      </c>
      <c r="G7433" t="s">
        <v>30058</v>
      </c>
      <c r="H7433" t="s">
        <v>30067</v>
      </c>
      <c r="I7433" t="s">
        <v>3693</v>
      </c>
      <c r="J7433" t="s">
        <v>30281</v>
      </c>
      <c r="K7433" t="s">
        <v>39031</v>
      </c>
      <c r="M7433" t="s">
        <v>41815</v>
      </c>
      <c r="N7433" t="s">
        <v>43166</v>
      </c>
      <c r="O7433" t="s">
        <v>43167</v>
      </c>
      <c r="P7433">
        <v>0</v>
      </c>
      <c r="Q7433">
        <v>0</v>
      </c>
      <c r="R7433" t="s">
        <v>43173</v>
      </c>
      <c r="S7433" t="s">
        <v>43374</v>
      </c>
      <c r="T7433" t="s">
        <v>44815</v>
      </c>
      <c r="U7433" t="s">
        <v>51222</v>
      </c>
      <c r="W7433" t="s">
        <v>41815</v>
      </c>
      <c r="X7433" t="s">
        <v>43174</v>
      </c>
    </row>
    <row r="7434" spans="1:24">
      <c r="A7434">
        <f>HYPERLINK("https://www.philgeps.gov.ph/GEPSNONPILOT/Tender/SplashBidNoticeAbstractUI.aspx?menuIndex=3&amp;refID=7077848&amp;Result=3","7077848")</f>
        <v>0</v>
      </c>
      <c r="B7434" t="s">
        <v>759</v>
      </c>
      <c r="C7434" t="s">
        <v>10487</v>
      </c>
      <c r="D7434" t="s">
        <v>17416</v>
      </c>
      <c r="E7434" t="s">
        <v>23930</v>
      </c>
      <c r="F7434" t="s">
        <v>30052</v>
      </c>
      <c r="G7434" t="s">
        <v>30059</v>
      </c>
      <c r="H7434" t="s">
        <v>15498</v>
      </c>
      <c r="I7434" t="s">
        <v>3852</v>
      </c>
      <c r="J7434" t="s">
        <v>34777</v>
      </c>
      <c r="K7434" t="s">
        <v>39017</v>
      </c>
      <c r="M7434" t="s">
        <v>40073</v>
      </c>
      <c r="N7434" t="s">
        <v>43166</v>
      </c>
      <c r="O7434" t="s">
        <v>43167</v>
      </c>
      <c r="P7434">
        <v>0</v>
      </c>
      <c r="Q7434">
        <v>1</v>
      </c>
      <c r="R7434" t="s">
        <v>43173</v>
      </c>
      <c r="S7434" t="s">
        <v>43374</v>
      </c>
      <c r="T7434" t="s">
        <v>44856</v>
      </c>
      <c r="U7434" t="s">
        <v>51223</v>
      </c>
      <c r="W7434" t="s">
        <v>40073</v>
      </c>
      <c r="X7434" t="s">
        <v>43174</v>
      </c>
    </row>
    <row r="7435" spans="1:24">
      <c r="A7435">
        <f>HYPERLINK("https://www.philgeps.gov.ph/GEPSNONPILOT/Tender/SplashBidNoticeAbstractUI.aspx?menuIndex=3&amp;refID=7077738&amp;Result=3","7077738")</f>
        <v>0</v>
      </c>
      <c r="B7435" t="s">
        <v>2329</v>
      </c>
      <c r="C7435" t="s">
        <v>10488</v>
      </c>
      <c r="D7435" t="s">
        <v>17422</v>
      </c>
      <c r="E7435" t="s">
        <v>17540</v>
      </c>
      <c r="F7435" t="s">
        <v>30052</v>
      </c>
      <c r="G7435" t="s">
        <v>30058</v>
      </c>
      <c r="H7435" t="s">
        <v>15498</v>
      </c>
      <c r="I7435" t="s">
        <v>3736</v>
      </c>
      <c r="J7435" t="s">
        <v>34778</v>
      </c>
      <c r="K7435" t="s">
        <v>39023</v>
      </c>
      <c r="M7435" t="s">
        <v>41816</v>
      </c>
      <c r="N7435" t="s">
        <v>43166</v>
      </c>
      <c r="O7435" t="s">
        <v>43167</v>
      </c>
      <c r="P7435">
        <v>0</v>
      </c>
      <c r="Q7435">
        <v>1</v>
      </c>
      <c r="R7435" t="s">
        <v>43173</v>
      </c>
      <c r="S7435" t="s">
        <v>43374</v>
      </c>
      <c r="T7435" t="s">
        <v>44841</v>
      </c>
      <c r="U7435" t="s">
        <v>51224</v>
      </c>
      <c r="W7435" t="s">
        <v>41816</v>
      </c>
      <c r="X7435" t="s">
        <v>43174</v>
      </c>
    </row>
    <row r="7436" spans="1:24">
      <c r="A7436">
        <f>HYPERLINK("https://www.philgeps.gov.ph/GEPSNONPILOT/Tender/SplashBidNoticeAbstractUI.aspx?menuIndex=3&amp;refID=7077734&amp;Result=3","7077734")</f>
        <v>0</v>
      </c>
      <c r="B7436" t="s">
        <v>102</v>
      </c>
      <c r="C7436" t="s">
        <v>10489</v>
      </c>
      <c r="D7436" t="s">
        <v>17433</v>
      </c>
      <c r="E7436" t="s">
        <v>23931</v>
      </c>
      <c r="F7436" t="s">
        <v>30052</v>
      </c>
      <c r="G7436" t="s">
        <v>30058</v>
      </c>
      <c r="H7436" t="s">
        <v>15498</v>
      </c>
      <c r="I7436" t="s">
        <v>30074</v>
      </c>
      <c r="J7436" t="s">
        <v>30212</v>
      </c>
      <c r="K7436" t="s">
        <v>39025</v>
      </c>
      <c r="M7436" t="s">
        <v>39391</v>
      </c>
      <c r="N7436" t="s">
        <v>43166</v>
      </c>
      <c r="O7436" t="s">
        <v>43167</v>
      </c>
      <c r="P7436">
        <v>0</v>
      </c>
      <c r="Q7436">
        <v>4</v>
      </c>
      <c r="R7436" t="s">
        <v>43173</v>
      </c>
      <c r="S7436" t="s">
        <v>43374</v>
      </c>
      <c r="T7436" t="s">
        <v>44807</v>
      </c>
      <c r="U7436" t="s">
        <v>51225</v>
      </c>
      <c r="W7436" t="s">
        <v>39391</v>
      </c>
      <c r="X7436" t="s">
        <v>43174</v>
      </c>
    </row>
    <row r="7437" spans="1:24">
      <c r="A7437">
        <f>HYPERLINK("https://www.philgeps.gov.ph/GEPSNONPILOT/Tender/SplashBidNoticeAbstractUI.aspx?menuIndex=3&amp;refID=7077726&amp;Result=3","7077726")</f>
        <v>0</v>
      </c>
      <c r="B7437" t="s">
        <v>2330</v>
      </c>
      <c r="C7437" t="s">
        <v>10490</v>
      </c>
      <c r="E7437" t="s">
        <v>23932</v>
      </c>
      <c r="F7437" t="s">
        <v>30052</v>
      </c>
      <c r="G7437" t="s">
        <v>30058</v>
      </c>
      <c r="H7437" t="s">
        <v>15498</v>
      </c>
      <c r="I7437" t="s">
        <v>30124</v>
      </c>
      <c r="J7437" t="s">
        <v>30813</v>
      </c>
      <c r="K7437" t="s">
        <v>39025</v>
      </c>
      <c r="M7437" t="s">
        <v>41817</v>
      </c>
      <c r="N7437" t="s">
        <v>43166</v>
      </c>
      <c r="O7437" t="s">
        <v>43167</v>
      </c>
      <c r="P7437">
        <v>0</v>
      </c>
      <c r="Q7437">
        <v>0</v>
      </c>
      <c r="R7437" t="s">
        <v>43173</v>
      </c>
      <c r="S7437" t="s">
        <v>43374</v>
      </c>
      <c r="T7437" t="s">
        <v>44722</v>
      </c>
      <c r="U7437" t="s">
        <v>51226</v>
      </c>
      <c r="V7437" t="s">
        <v>56824</v>
      </c>
      <c r="W7437" t="s">
        <v>41817</v>
      </c>
      <c r="X7437" t="s">
        <v>43174</v>
      </c>
    </row>
    <row r="7438" spans="1:24">
      <c r="A7438">
        <f>HYPERLINK("https://www.philgeps.gov.ph/GEPSNONPILOT/Tender/SplashBidNoticeAbstractUI.aspx?menuIndex=3&amp;refID=7077793&amp;Result=3","7077793")</f>
        <v>0</v>
      </c>
      <c r="B7438" t="s">
        <v>2330</v>
      </c>
      <c r="C7438" t="s">
        <v>10491</v>
      </c>
      <c r="E7438" t="s">
        <v>23933</v>
      </c>
      <c r="F7438" t="s">
        <v>30053</v>
      </c>
      <c r="G7438" t="s">
        <v>30058</v>
      </c>
      <c r="H7438" t="s">
        <v>15498</v>
      </c>
      <c r="I7438" t="s">
        <v>30124</v>
      </c>
      <c r="J7438" t="s">
        <v>34779</v>
      </c>
      <c r="K7438" t="s">
        <v>39025</v>
      </c>
      <c r="M7438" t="s">
        <v>41817</v>
      </c>
      <c r="N7438" t="s">
        <v>43166</v>
      </c>
      <c r="O7438" t="s">
        <v>43167</v>
      </c>
      <c r="P7438">
        <v>0</v>
      </c>
      <c r="Q7438">
        <v>1</v>
      </c>
      <c r="R7438" t="s">
        <v>43173</v>
      </c>
      <c r="S7438" t="s">
        <v>43374</v>
      </c>
      <c r="T7438" t="s">
        <v>45021</v>
      </c>
      <c r="U7438" t="s">
        <v>51227</v>
      </c>
      <c r="V7438" t="s">
        <v>56824</v>
      </c>
      <c r="W7438" t="s">
        <v>41817</v>
      </c>
      <c r="X7438" t="s">
        <v>43174</v>
      </c>
    </row>
    <row r="7439" spans="1:24">
      <c r="A7439">
        <f>HYPERLINK("https://www.philgeps.gov.ph/GEPSNONPILOT/Tender/SplashBidNoticeAbstractUI.aspx?menuIndex=3&amp;refID=7077725&amp;Result=3","7077725")</f>
        <v>0</v>
      </c>
      <c r="B7439" t="s">
        <v>2294</v>
      </c>
      <c r="C7439" t="s">
        <v>10492</v>
      </c>
      <c r="D7439" t="s">
        <v>17455</v>
      </c>
      <c r="E7439" t="s">
        <v>18317</v>
      </c>
      <c r="F7439" t="s">
        <v>30052</v>
      </c>
      <c r="G7439" t="s">
        <v>30058</v>
      </c>
      <c r="H7439" t="s">
        <v>30067</v>
      </c>
      <c r="I7439" t="s">
        <v>3736</v>
      </c>
      <c r="J7439" t="s">
        <v>34780</v>
      </c>
      <c r="K7439" t="s">
        <v>39019</v>
      </c>
      <c r="M7439" t="s">
        <v>41778</v>
      </c>
      <c r="N7439" t="s">
        <v>43166</v>
      </c>
      <c r="O7439" t="s">
        <v>43167</v>
      </c>
      <c r="P7439">
        <v>0</v>
      </c>
      <c r="Q7439">
        <v>1</v>
      </c>
      <c r="R7439" t="s">
        <v>43173</v>
      </c>
      <c r="S7439" t="s">
        <v>43374</v>
      </c>
      <c r="T7439" t="s">
        <v>44832</v>
      </c>
      <c r="U7439" t="s">
        <v>51228</v>
      </c>
      <c r="V7439" t="s">
        <v>57599</v>
      </c>
      <c r="W7439" t="s">
        <v>41778</v>
      </c>
      <c r="X7439" t="s">
        <v>43174</v>
      </c>
    </row>
    <row r="7440" spans="1:24">
      <c r="A7440">
        <f>HYPERLINK("https://www.philgeps.gov.ph/GEPSNONPILOT/Tender/SplashBidNoticeAbstractUI.aspx?menuIndex=3&amp;refID=7077690&amp;Result=3","7077690")</f>
        <v>0</v>
      </c>
      <c r="B7440" t="s">
        <v>1744</v>
      </c>
      <c r="C7440" t="s">
        <v>10493</v>
      </c>
      <c r="D7440" t="s">
        <v>17457</v>
      </c>
      <c r="E7440" t="s">
        <v>23934</v>
      </c>
      <c r="F7440" t="s">
        <v>30052</v>
      </c>
      <c r="G7440" t="s">
        <v>30059</v>
      </c>
      <c r="H7440" t="s">
        <v>15498</v>
      </c>
      <c r="I7440" t="s">
        <v>4119</v>
      </c>
      <c r="J7440" t="s">
        <v>32983</v>
      </c>
      <c r="K7440" t="s">
        <v>39019</v>
      </c>
      <c r="M7440" t="s">
        <v>41163</v>
      </c>
      <c r="N7440" t="s">
        <v>43166</v>
      </c>
      <c r="O7440" t="s">
        <v>43167</v>
      </c>
      <c r="P7440">
        <v>0</v>
      </c>
      <c r="Q7440">
        <v>3</v>
      </c>
      <c r="R7440" t="s">
        <v>43173</v>
      </c>
      <c r="S7440" t="s">
        <v>43374</v>
      </c>
      <c r="T7440" t="s">
        <v>44773</v>
      </c>
      <c r="U7440" t="s">
        <v>51167</v>
      </c>
      <c r="V7440" t="s">
        <v>57600</v>
      </c>
      <c r="W7440" t="s">
        <v>41163</v>
      </c>
      <c r="X7440" t="s">
        <v>43174</v>
      </c>
    </row>
    <row r="7441" spans="1:24">
      <c r="A7441">
        <f>HYPERLINK("https://www.philgeps.gov.ph/GEPSNONPILOT/Tender/SplashBidNoticeAbstractUI.aspx?menuIndex=3&amp;refID=7077686&amp;Result=3","7077686")</f>
        <v>0</v>
      </c>
      <c r="B7441" t="s">
        <v>1311</v>
      </c>
      <c r="C7441" t="s">
        <v>5473</v>
      </c>
      <c r="D7441" t="s">
        <v>17424</v>
      </c>
      <c r="E7441" t="s">
        <v>23935</v>
      </c>
      <c r="F7441" t="s">
        <v>30052</v>
      </c>
      <c r="G7441" t="s">
        <v>30059</v>
      </c>
      <c r="H7441" t="s">
        <v>15498</v>
      </c>
      <c r="I7441" t="s">
        <v>4650</v>
      </c>
      <c r="J7441" t="s">
        <v>30508</v>
      </c>
      <c r="K7441" t="s">
        <v>39019</v>
      </c>
      <c r="M7441" t="s">
        <v>40678</v>
      </c>
      <c r="N7441" t="s">
        <v>43166</v>
      </c>
      <c r="O7441" t="s">
        <v>43167</v>
      </c>
      <c r="P7441">
        <v>0</v>
      </c>
      <c r="Q7441">
        <v>0</v>
      </c>
      <c r="R7441" t="s">
        <v>43173</v>
      </c>
      <c r="S7441" t="s">
        <v>43374</v>
      </c>
      <c r="T7441" t="s">
        <v>44788</v>
      </c>
      <c r="U7441" t="s">
        <v>51229</v>
      </c>
      <c r="W7441" t="s">
        <v>40678</v>
      </c>
      <c r="X7441" t="s">
        <v>43174</v>
      </c>
    </row>
    <row r="7442" spans="1:24">
      <c r="A7442">
        <f>HYPERLINK("https://www.philgeps.gov.ph/GEPSNONPILOT/Tender/SplashBidNoticeAbstractUI.aspx?menuIndex=3&amp;refID=7077684&amp;Result=3","7077684")</f>
        <v>0</v>
      </c>
      <c r="B7442" t="s">
        <v>1197</v>
      </c>
      <c r="C7442" t="s">
        <v>10494</v>
      </c>
      <c r="D7442" t="s">
        <v>17463</v>
      </c>
      <c r="E7442" t="s">
        <v>23936</v>
      </c>
      <c r="F7442" t="s">
        <v>30052</v>
      </c>
      <c r="G7442" t="s">
        <v>30059</v>
      </c>
      <c r="H7442" t="s">
        <v>15498</v>
      </c>
      <c r="I7442" t="s">
        <v>30108</v>
      </c>
      <c r="J7442" t="s">
        <v>30472</v>
      </c>
      <c r="K7442" t="s">
        <v>39031</v>
      </c>
      <c r="M7442" t="s">
        <v>40550</v>
      </c>
      <c r="N7442" t="s">
        <v>43166</v>
      </c>
      <c r="O7442" t="s">
        <v>43167</v>
      </c>
      <c r="P7442">
        <v>0</v>
      </c>
      <c r="Q7442">
        <v>0</v>
      </c>
      <c r="R7442" t="s">
        <v>43173</v>
      </c>
      <c r="S7442" t="s">
        <v>43374</v>
      </c>
      <c r="T7442" t="s">
        <v>44716</v>
      </c>
      <c r="U7442" t="s">
        <v>47813</v>
      </c>
      <c r="W7442" t="s">
        <v>40550</v>
      </c>
      <c r="X7442" t="s">
        <v>43174</v>
      </c>
    </row>
    <row r="7443" spans="1:24">
      <c r="A7443">
        <f>HYPERLINK("https://www.philgeps.gov.ph/GEPSNONPILOT/Tender/SplashBidNoticeAbstractUI.aspx?menuIndex=3&amp;refID=7077680&amp;Result=3","7077680")</f>
        <v>0</v>
      </c>
      <c r="B7443" t="s">
        <v>2245</v>
      </c>
      <c r="C7443" t="s">
        <v>10495</v>
      </c>
      <c r="D7443" t="s">
        <v>17415</v>
      </c>
      <c r="E7443" t="s">
        <v>23937</v>
      </c>
      <c r="F7443" t="s">
        <v>30052</v>
      </c>
      <c r="G7443" t="s">
        <v>30059</v>
      </c>
      <c r="H7443" t="s">
        <v>15498</v>
      </c>
      <c r="I7443" t="s">
        <v>3736</v>
      </c>
      <c r="J7443" t="s">
        <v>34781</v>
      </c>
      <c r="K7443" t="s">
        <v>39023</v>
      </c>
      <c r="M7443" t="s">
        <v>41723</v>
      </c>
      <c r="N7443" t="s">
        <v>43166</v>
      </c>
      <c r="O7443" t="s">
        <v>43167</v>
      </c>
      <c r="P7443">
        <v>0</v>
      </c>
      <c r="Q7443">
        <v>1</v>
      </c>
      <c r="R7443" t="s">
        <v>43173</v>
      </c>
      <c r="S7443" t="s">
        <v>43374</v>
      </c>
      <c r="T7443" t="s">
        <v>44773</v>
      </c>
      <c r="U7443" t="s">
        <v>51026</v>
      </c>
      <c r="W7443" t="s">
        <v>41723</v>
      </c>
      <c r="X7443" t="s">
        <v>43174</v>
      </c>
    </row>
    <row r="7444" spans="1:24">
      <c r="A7444">
        <f>HYPERLINK("https://www.philgeps.gov.ph/GEPSNONPILOT/Tender/SplashBidNoticeAbstractUI.aspx?menuIndex=3&amp;refID=7077679&amp;Result=3","7077679")</f>
        <v>0</v>
      </c>
      <c r="B7444" t="s">
        <v>2331</v>
      </c>
      <c r="C7444" t="s">
        <v>10496</v>
      </c>
      <c r="D7444" t="s">
        <v>17415</v>
      </c>
      <c r="E7444" t="s">
        <v>23938</v>
      </c>
      <c r="F7444" t="s">
        <v>30052</v>
      </c>
      <c r="G7444" t="s">
        <v>30058</v>
      </c>
      <c r="H7444" t="s">
        <v>15498</v>
      </c>
      <c r="I7444" t="s">
        <v>30084</v>
      </c>
      <c r="J7444" t="s">
        <v>30281</v>
      </c>
      <c r="K7444" t="s">
        <v>39025</v>
      </c>
      <c r="M7444" t="s">
        <v>41818</v>
      </c>
      <c r="N7444" t="s">
        <v>43166</v>
      </c>
      <c r="O7444" t="s">
        <v>43167</v>
      </c>
      <c r="P7444">
        <v>0</v>
      </c>
      <c r="Q7444">
        <v>13</v>
      </c>
      <c r="R7444" t="s">
        <v>43173</v>
      </c>
      <c r="S7444" t="s">
        <v>43374</v>
      </c>
      <c r="T7444" t="s">
        <v>44807</v>
      </c>
      <c r="U7444" t="s">
        <v>51230</v>
      </c>
      <c r="V7444" t="s">
        <v>57601</v>
      </c>
      <c r="W7444" t="s">
        <v>41818</v>
      </c>
      <c r="X7444" t="s">
        <v>43174</v>
      </c>
    </row>
    <row r="7445" spans="1:24">
      <c r="A7445">
        <f>HYPERLINK("https://www.philgeps.gov.ph/GEPSNONPILOT/Tender/SplashBidNoticeAbstractUI.aspx?menuIndex=3&amp;refID=7077673&amp;Result=3","7077673")</f>
        <v>0</v>
      </c>
      <c r="B7445" t="s">
        <v>1712</v>
      </c>
      <c r="C7445" t="s">
        <v>10497</v>
      </c>
      <c r="D7445" t="s">
        <v>17421</v>
      </c>
      <c r="E7445" t="s">
        <v>23939</v>
      </c>
      <c r="F7445" t="s">
        <v>30052</v>
      </c>
      <c r="G7445" t="s">
        <v>30058</v>
      </c>
      <c r="H7445" t="s">
        <v>30067</v>
      </c>
      <c r="I7445" t="s">
        <v>3693</v>
      </c>
      <c r="J7445" t="s">
        <v>30212</v>
      </c>
      <c r="K7445" t="s">
        <v>39026</v>
      </c>
      <c r="M7445" t="s">
        <v>41127</v>
      </c>
      <c r="N7445" t="s">
        <v>43166</v>
      </c>
      <c r="O7445" t="s">
        <v>43167</v>
      </c>
      <c r="P7445">
        <v>0</v>
      </c>
      <c r="Q7445">
        <v>0</v>
      </c>
      <c r="R7445" t="s">
        <v>43173</v>
      </c>
      <c r="S7445" t="s">
        <v>43374</v>
      </c>
      <c r="T7445" t="s">
        <v>44873</v>
      </c>
      <c r="U7445" t="s">
        <v>51231</v>
      </c>
      <c r="W7445" t="s">
        <v>41127</v>
      </c>
      <c r="X7445" t="s">
        <v>43174</v>
      </c>
    </row>
    <row r="7446" spans="1:24">
      <c r="A7446">
        <f>HYPERLINK("https://www.philgeps.gov.ph/GEPSNONPILOT/Tender/SplashBidNoticeAbstractUI.aspx?menuIndex=3&amp;refID=7077634&amp;Result=3","7077634")</f>
        <v>0</v>
      </c>
      <c r="B7446" t="s">
        <v>2320</v>
      </c>
      <c r="C7446" t="s">
        <v>10498</v>
      </c>
      <c r="D7446" t="s">
        <v>17462</v>
      </c>
      <c r="E7446" t="s">
        <v>23940</v>
      </c>
      <c r="F7446" t="s">
        <v>30052</v>
      </c>
      <c r="G7446" t="s">
        <v>30058</v>
      </c>
      <c r="H7446" t="s">
        <v>30067</v>
      </c>
      <c r="I7446" t="s">
        <v>3693</v>
      </c>
      <c r="J7446" t="s">
        <v>34756</v>
      </c>
      <c r="K7446" t="s">
        <v>39023</v>
      </c>
      <c r="M7446" t="s">
        <v>41819</v>
      </c>
      <c r="N7446" t="s">
        <v>43166</v>
      </c>
      <c r="O7446" t="s">
        <v>43167</v>
      </c>
      <c r="P7446">
        <v>0</v>
      </c>
      <c r="Q7446">
        <v>5</v>
      </c>
      <c r="R7446" t="s">
        <v>43173</v>
      </c>
      <c r="S7446" t="s">
        <v>43374</v>
      </c>
      <c r="T7446" t="s">
        <v>44737</v>
      </c>
      <c r="U7446" t="s">
        <v>51193</v>
      </c>
      <c r="V7446" t="s">
        <v>57595</v>
      </c>
      <c r="W7446" t="s">
        <v>58669</v>
      </c>
      <c r="X7446" t="s">
        <v>43174</v>
      </c>
    </row>
    <row r="7447" spans="1:24">
      <c r="A7447">
        <f>HYPERLINK("https://www.philgeps.gov.ph/GEPSNONPILOT/Tender/SplashBidNoticeAbstractUI.aspx?menuIndex=3&amp;refID=7077852&amp;Result=3","7077852")</f>
        <v>0</v>
      </c>
      <c r="B7447" t="s">
        <v>1957</v>
      </c>
      <c r="C7447" t="s">
        <v>10499</v>
      </c>
      <c r="D7447" t="s">
        <v>17463</v>
      </c>
      <c r="E7447" t="s">
        <v>23941</v>
      </c>
      <c r="F7447" t="s">
        <v>30052</v>
      </c>
      <c r="G7447" t="s">
        <v>30059</v>
      </c>
      <c r="H7447" t="s">
        <v>15498</v>
      </c>
      <c r="I7447" t="s">
        <v>30081</v>
      </c>
      <c r="J7447" t="s">
        <v>30292</v>
      </c>
      <c r="K7447" t="s">
        <v>39017</v>
      </c>
      <c r="M7447" t="s">
        <v>41394</v>
      </c>
      <c r="N7447" t="s">
        <v>43166</v>
      </c>
      <c r="O7447" t="s">
        <v>43167</v>
      </c>
      <c r="P7447">
        <v>0</v>
      </c>
      <c r="Q7447">
        <v>0</v>
      </c>
      <c r="R7447" t="s">
        <v>43173</v>
      </c>
      <c r="S7447" t="s">
        <v>43374</v>
      </c>
      <c r="T7447" t="s">
        <v>44777</v>
      </c>
      <c r="U7447" t="s">
        <v>51232</v>
      </c>
      <c r="W7447" t="s">
        <v>41394</v>
      </c>
      <c r="X7447" t="s">
        <v>43174</v>
      </c>
    </row>
    <row r="7448" spans="1:24">
      <c r="A7448">
        <f>HYPERLINK("https://www.philgeps.gov.ph/GEPSNONPILOT/Tender/SplashBidNoticeAbstractUI.aspx?menuIndex=3&amp;refID=7077932&amp;Result=3","7077932")</f>
        <v>0</v>
      </c>
      <c r="B7448" t="s">
        <v>1024</v>
      </c>
      <c r="C7448" t="s">
        <v>10500</v>
      </c>
      <c r="D7448" t="s">
        <v>17432</v>
      </c>
      <c r="E7448" t="s">
        <v>23942</v>
      </c>
      <c r="F7448" t="s">
        <v>30052</v>
      </c>
      <c r="G7448" t="s">
        <v>30059</v>
      </c>
      <c r="H7448" t="s">
        <v>15498</v>
      </c>
      <c r="I7448" t="s">
        <v>4119</v>
      </c>
      <c r="J7448" t="s">
        <v>30407</v>
      </c>
      <c r="K7448" t="s">
        <v>39029</v>
      </c>
      <c r="M7448" t="s">
        <v>41806</v>
      </c>
      <c r="N7448" t="s">
        <v>43166</v>
      </c>
      <c r="O7448" t="s">
        <v>43167</v>
      </c>
      <c r="P7448">
        <v>0</v>
      </c>
      <c r="Q7448">
        <v>4</v>
      </c>
      <c r="R7448" t="s">
        <v>43173</v>
      </c>
      <c r="S7448" t="s">
        <v>43374</v>
      </c>
      <c r="T7448" t="s">
        <v>44717</v>
      </c>
      <c r="U7448" t="s">
        <v>51190</v>
      </c>
      <c r="W7448" t="s">
        <v>41806</v>
      </c>
      <c r="X7448" t="s">
        <v>43174</v>
      </c>
    </row>
    <row r="7449" spans="1:24">
      <c r="A7449">
        <f>HYPERLINK("https://www.philgeps.gov.ph/GEPSNONPILOT/Tender/SplashBidNoticeAbstractUI.aspx?menuIndex=3&amp;refID=7077779&amp;Result=3","7077779")</f>
        <v>0</v>
      </c>
      <c r="B7449" t="s">
        <v>2332</v>
      </c>
      <c r="C7449" t="s">
        <v>10501</v>
      </c>
      <c r="D7449" t="s">
        <v>17424</v>
      </c>
      <c r="E7449" t="s">
        <v>23943</v>
      </c>
      <c r="F7449" t="s">
        <v>30052</v>
      </c>
      <c r="G7449" t="s">
        <v>30058</v>
      </c>
      <c r="H7449" t="s">
        <v>15498</v>
      </c>
      <c r="I7449" t="s">
        <v>3736</v>
      </c>
      <c r="J7449" t="s">
        <v>34782</v>
      </c>
      <c r="K7449" t="s">
        <v>39029</v>
      </c>
      <c r="L7449" t="s">
        <v>2332</v>
      </c>
      <c r="M7449" t="s">
        <v>41820</v>
      </c>
      <c r="N7449" t="s">
        <v>43166</v>
      </c>
      <c r="O7449" t="s">
        <v>43167</v>
      </c>
      <c r="P7449">
        <v>0</v>
      </c>
      <c r="Q7449">
        <v>1</v>
      </c>
      <c r="R7449" t="s">
        <v>43173</v>
      </c>
      <c r="S7449" t="s">
        <v>43374</v>
      </c>
      <c r="T7449" t="s">
        <v>44873</v>
      </c>
      <c r="U7449" t="s">
        <v>51233</v>
      </c>
      <c r="W7449" t="s">
        <v>41820</v>
      </c>
      <c r="X7449" t="s">
        <v>43174</v>
      </c>
    </row>
    <row r="7450" spans="1:24">
      <c r="A7450">
        <f>HYPERLINK("https://www.philgeps.gov.ph/GEPSNONPILOT/Tender/SplashBidNoticeAbstractUI.aspx?menuIndex=3&amp;refID=7077736&amp;Result=3","7077736")</f>
        <v>0</v>
      </c>
      <c r="B7450" t="s">
        <v>2333</v>
      </c>
      <c r="C7450" t="s">
        <v>10502</v>
      </c>
      <c r="D7450" t="s">
        <v>17462</v>
      </c>
      <c r="E7450" t="s">
        <v>23944</v>
      </c>
      <c r="F7450" t="s">
        <v>30052</v>
      </c>
      <c r="G7450" t="s">
        <v>30058</v>
      </c>
      <c r="H7450" t="s">
        <v>30067</v>
      </c>
      <c r="I7450" t="s">
        <v>3693</v>
      </c>
      <c r="J7450" t="s">
        <v>34783</v>
      </c>
      <c r="K7450" t="s">
        <v>39016</v>
      </c>
      <c r="M7450" t="s">
        <v>41821</v>
      </c>
      <c r="N7450" t="s">
        <v>43166</v>
      </c>
      <c r="O7450" t="s">
        <v>43167</v>
      </c>
      <c r="P7450">
        <v>0</v>
      </c>
      <c r="Q7450">
        <v>5</v>
      </c>
      <c r="R7450" t="s">
        <v>43173</v>
      </c>
      <c r="S7450" t="s">
        <v>43374</v>
      </c>
      <c r="T7450" t="s">
        <v>44796</v>
      </c>
      <c r="U7450" t="s">
        <v>51234</v>
      </c>
      <c r="W7450" t="s">
        <v>41821</v>
      </c>
      <c r="X7450" t="s">
        <v>43174</v>
      </c>
    </row>
    <row r="7451" spans="1:24">
      <c r="A7451">
        <f>HYPERLINK("https://www.philgeps.gov.ph/GEPSNONPILOT/Tender/SplashBidNoticeAbstractUI.aspx?menuIndex=3&amp;refID=7077790&amp;Result=3","7077790")</f>
        <v>0</v>
      </c>
      <c r="B7451" t="s">
        <v>2334</v>
      </c>
      <c r="C7451" t="s">
        <v>10503</v>
      </c>
      <c r="D7451" t="s">
        <v>17441</v>
      </c>
      <c r="E7451" t="s">
        <v>23945</v>
      </c>
      <c r="F7451" t="s">
        <v>30052</v>
      </c>
      <c r="G7451" t="s">
        <v>30058</v>
      </c>
      <c r="H7451" t="s">
        <v>15498</v>
      </c>
      <c r="I7451" t="s">
        <v>3606</v>
      </c>
      <c r="J7451" t="s">
        <v>34784</v>
      </c>
      <c r="K7451" t="s">
        <v>39019</v>
      </c>
      <c r="M7451" t="s">
        <v>41822</v>
      </c>
      <c r="N7451" t="s">
        <v>43166</v>
      </c>
      <c r="O7451" t="s">
        <v>43167</v>
      </c>
      <c r="P7451">
        <v>0</v>
      </c>
      <c r="Q7451">
        <v>3</v>
      </c>
      <c r="R7451" t="s">
        <v>43173</v>
      </c>
      <c r="S7451" t="s">
        <v>43374</v>
      </c>
      <c r="T7451" t="s">
        <v>44734</v>
      </c>
      <c r="U7451" t="s">
        <v>51235</v>
      </c>
      <c r="V7451" t="s">
        <v>57602</v>
      </c>
      <c r="W7451" t="s">
        <v>41822</v>
      </c>
      <c r="X7451" t="s">
        <v>43174</v>
      </c>
    </row>
    <row r="7452" spans="1:24">
      <c r="A7452">
        <f>HYPERLINK("https://www.philgeps.gov.ph/GEPSNONPILOT/Tender/SplashBidNoticeAbstractUI.aspx?menuIndex=3&amp;refID=7077924&amp;Result=3","7077924")</f>
        <v>0</v>
      </c>
      <c r="B7452" t="s">
        <v>925</v>
      </c>
      <c r="C7452" t="s">
        <v>10504</v>
      </c>
      <c r="D7452" t="s">
        <v>17474</v>
      </c>
      <c r="E7452" t="s">
        <v>23946</v>
      </c>
      <c r="F7452" t="s">
        <v>30052</v>
      </c>
      <c r="G7452" t="s">
        <v>30059</v>
      </c>
      <c r="H7452" t="s">
        <v>15498</v>
      </c>
      <c r="I7452" t="s">
        <v>30083</v>
      </c>
      <c r="J7452" t="s">
        <v>34785</v>
      </c>
      <c r="K7452" t="s">
        <v>39028</v>
      </c>
      <c r="M7452" t="s">
        <v>40984</v>
      </c>
      <c r="N7452" t="s">
        <v>43166</v>
      </c>
      <c r="O7452" t="s">
        <v>43167</v>
      </c>
      <c r="P7452">
        <v>0</v>
      </c>
      <c r="Q7452">
        <v>0</v>
      </c>
      <c r="R7452" t="s">
        <v>43173</v>
      </c>
      <c r="S7452" t="s">
        <v>43374</v>
      </c>
      <c r="T7452" t="s">
        <v>44856</v>
      </c>
      <c r="U7452" t="s">
        <v>51236</v>
      </c>
      <c r="W7452" t="s">
        <v>40984</v>
      </c>
      <c r="X7452" t="s">
        <v>43174</v>
      </c>
    </row>
    <row r="7453" spans="1:24">
      <c r="A7453">
        <f>HYPERLINK("https://www.philgeps.gov.ph/GEPSNONPILOT/Tender/SplashBidNoticeAbstractUI.aspx?menuIndex=3&amp;refID=7077917&amp;Result=3","7077917")</f>
        <v>0</v>
      </c>
      <c r="B7453" t="s">
        <v>759</v>
      </c>
      <c r="C7453" t="s">
        <v>10505</v>
      </c>
      <c r="D7453" t="s">
        <v>17416</v>
      </c>
      <c r="E7453" t="s">
        <v>23947</v>
      </c>
      <c r="F7453" t="s">
        <v>30052</v>
      </c>
      <c r="G7453" t="s">
        <v>30059</v>
      </c>
      <c r="H7453" t="s">
        <v>15498</v>
      </c>
      <c r="I7453" t="s">
        <v>30109</v>
      </c>
      <c r="J7453" t="s">
        <v>34786</v>
      </c>
      <c r="K7453" t="s">
        <v>39017</v>
      </c>
      <c r="M7453" t="s">
        <v>40073</v>
      </c>
      <c r="N7453" t="s">
        <v>43166</v>
      </c>
      <c r="O7453" t="s">
        <v>43167</v>
      </c>
      <c r="P7453">
        <v>0</v>
      </c>
      <c r="Q7453">
        <v>2</v>
      </c>
      <c r="R7453" t="s">
        <v>43173</v>
      </c>
      <c r="S7453" t="s">
        <v>43374</v>
      </c>
      <c r="T7453" t="s">
        <v>44856</v>
      </c>
      <c r="U7453" t="s">
        <v>51237</v>
      </c>
      <c r="W7453" t="s">
        <v>40073</v>
      </c>
      <c r="X7453" t="s">
        <v>43174</v>
      </c>
    </row>
    <row r="7454" spans="1:24">
      <c r="A7454">
        <f>HYPERLINK("https://www.philgeps.gov.ph/GEPSNONPILOT/Tender/SplashBidNoticeAbstractUI.aspx?menuIndex=3&amp;refID=7077930&amp;Result=3","7077930")</f>
        <v>0</v>
      </c>
      <c r="B7454" t="s">
        <v>759</v>
      </c>
      <c r="C7454" t="s">
        <v>10506</v>
      </c>
      <c r="D7454" t="s">
        <v>17416</v>
      </c>
      <c r="E7454" t="s">
        <v>23948</v>
      </c>
      <c r="F7454" t="s">
        <v>30052</v>
      </c>
      <c r="G7454" t="s">
        <v>30059</v>
      </c>
      <c r="H7454" t="s">
        <v>15498</v>
      </c>
      <c r="I7454" t="s">
        <v>3736</v>
      </c>
      <c r="J7454" t="s">
        <v>34787</v>
      </c>
      <c r="K7454" t="s">
        <v>39017</v>
      </c>
      <c r="M7454" t="s">
        <v>40073</v>
      </c>
      <c r="N7454" t="s">
        <v>43166</v>
      </c>
      <c r="O7454" t="s">
        <v>43167</v>
      </c>
      <c r="P7454">
        <v>0</v>
      </c>
      <c r="Q7454">
        <v>0</v>
      </c>
      <c r="R7454" t="s">
        <v>43173</v>
      </c>
      <c r="S7454" t="s">
        <v>43374</v>
      </c>
      <c r="T7454" t="s">
        <v>44856</v>
      </c>
      <c r="U7454" t="s">
        <v>51238</v>
      </c>
      <c r="W7454" t="s">
        <v>40073</v>
      </c>
      <c r="X7454" t="s">
        <v>43174</v>
      </c>
    </row>
    <row r="7455" spans="1:24">
      <c r="A7455">
        <f>HYPERLINK("https://www.philgeps.gov.ph/GEPSNONPILOT/Tender/SplashBidNoticeAbstractUI.aspx?menuIndex=3&amp;refID=7077911&amp;Result=3","7077911")</f>
        <v>0</v>
      </c>
      <c r="B7455" t="s">
        <v>1974</v>
      </c>
      <c r="C7455" t="s">
        <v>10507</v>
      </c>
      <c r="D7455" t="s">
        <v>17435</v>
      </c>
      <c r="E7455" t="s">
        <v>23949</v>
      </c>
      <c r="F7455" t="s">
        <v>30052</v>
      </c>
      <c r="G7455" t="s">
        <v>30058</v>
      </c>
      <c r="H7455" t="s">
        <v>15498</v>
      </c>
      <c r="I7455" t="s">
        <v>30074</v>
      </c>
      <c r="J7455" t="s">
        <v>30212</v>
      </c>
      <c r="K7455" t="s">
        <v>39029</v>
      </c>
      <c r="M7455" t="s">
        <v>41415</v>
      </c>
      <c r="N7455" t="s">
        <v>43166</v>
      </c>
      <c r="O7455" t="s">
        <v>43167</v>
      </c>
      <c r="P7455">
        <v>0</v>
      </c>
      <c r="Q7455">
        <v>4</v>
      </c>
      <c r="R7455" t="s">
        <v>43173</v>
      </c>
      <c r="S7455" t="s">
        <v>43374</v>
      </c>
      <c r="T7455" t="s">
        <v>44758</v>
      </c>
      <c r="U7455" t="s">
        <v>51239</v>
      </c>
      <c r="V7455" t="s">
        <v>57457</v>
      </c>
      <c r="W7455" t="s">
        <v>41415</v>
      </c>
      <c r="X7455" t="s">
        <v>43174</v>
      </c>
    </row>
    <row r="7456" spans="1:24">
      <c r="A7456">
        <f>HYPERLINK("https://www.philgeps.gov.ph/GEPSNONPILOT/Tender/SplashBidNoticeAbstractUI.aspx?menuIndex=3&amp;refID=7077910&amp;Result=3","7077910")</f>
        <v>0</v>
      </c>
      <c r="B7456" t="s">
        <v>1499</v>
      </c>
      <c r="C7456" t="s">
        <v>10508</v>
      </c>
      <c r="D7456" t="s">
        <v>17441</v>
      </c>
      <c r="E7456" t="s">
        <v>23950</v>
      </c>
      <c r="F7456" t="s">
        <v>30052</v>
      </c>
      <c r="G7456" t="s">
        <v>30059</v>
      </c>
      <c r="H7456" t="s">
        <v>15498</v>
      </c>
      <c r="I7456" t="s">
        <v>30098</v>
      </c>
      <c r="J7456" t="s">
        <v>30720</v>
      </c>
      <c r="K7456" t="s">
        <v>39019</v>
      </c>
      <c r="M7456" t="s">
        <v>40883</v>
      </c>
      <c r="N7456" t="s">
        <v>43166</v>
      </c>
      <c r="O7456" t="s">
        <v>43167</v>
      </c>
      <c r="P7456">
        <v>0</v>
      </c>
      <c r="Q7456">
        <v>4</v>
      </c>
      <c r="R7456" t="s">
        <v>43173</v>
      </c>
      <c r="S7456" t="s">
        <v>43374</v>
      </c>
      <c r="T7456" t="s">
        <v>44696</v>
      </c>
      <c r="U7456" t="s">
        <v>51240</v>
      </c>
      <c r="W7456" t="s">
        <v>40883</v>
      </c>
      <c r="X7456" t="s">
        <v>43174</v>
      </c>
    </row>
    <row r="7457" spans="1:24">
      <c r="A7457">
        <f>HYPERLINK("https://www.philgeps.gov.ph/GEPSNONPILOT/Tender/SplashBidNoticeAbstractUI.aspx?menuIndex=3&amp;refID=7077909&amp;Result=3","7077909")</f>
        <v>0</v>
      </c>
      <c r="B7457" t="s">
        <v>915</v>
      </c>
      <c r="C7457" t="s">
        <v>10509</v>
      </c>
      <c r="D7457" t="s">
        <v>17457</v>
      </c>
      <c r="E7457" t="s">
        <v>23951</v>
      </c>
      <c r="F7457" t="s">
        <v>30052</v>
      </c>
      <c r="G7457" t="s">
        <v>30058</v>
      </c>
      <c r="H7457" t="s">
        <v>15498</v>
      </c>
      <c r="I7457" t="s">
        <v>30074</v>
      </c>
      <c r="J7457" t="s">
        <v>30397</v>
      </c>
      <c r="K7457" t="s">
        <v>39029</v>
      </c>
      <c r="M7457" t="s">
        <v>40238</v>
      </c>
      <c r="N7457" t="s">
        <v>43166</v>
      </c>
      <c r="O7457" t="s">
        <v>43167</v>
      </c>
      <c r="P7457">
        <v>0</v>
      </c>
      <c r="Q7457">
        <v>3</v>
      </c>
      <c r="R7457" t="s">
        <v>43173</v>
      </c>
      <c r="S7457" t="s">
        <v>43374</v>
      </c>
      <c r="T7457" t="s">
        <v>44796</v>
      </c>
      <c r="U7457" t="s">
        <v>51241</v>
      </c>
      <c r="W7457" t="s">
        <v>40238</v>
      </c>
      <c r="X7457" t="s">
        <v>43174</v>
      </c>
    </row>
    <row r="7458" spans="1:24">
      <c r="A7458">
        <f>HYPERLINK("https://www.philgeps.gov.ph/GEPSNONPILOT/Tender/SplashBidNoticeAbstractUI.aspx?menuIndex=3&amp;refID=7077727&amp;Result=3","7077727")</f>
        <v>0</v>
      </c>
      <c r="B7458" t="s">
        <v>813</v>
      </c>
      <c r="C7458" t="s">
        <v>10510</v>
      </c>
      <c r="D7458" t="s">
        <v>17426</v>
      </c>
      <c r="E7458" t="s">
        <v>23952</v>
      </c>
      <c r="F7458" t="s">
        <v>30052</v>
      </c>
      <c r="G7458" t="s">
        <v>30059</v>
      </c>
      <c r="H7458" t="s">
        <v>15498</v>
      </c>
      <c r="I7458" t="s">
        <v>30100</v>
      </c>
      <c r="J7458" t="s">
        <v>30606</v>
      </c>
      <c r="K7458" t="s">
        <v>39039</v>
      </c>
      <c r="M7458" t="s">
        <v>40130</v>
      </c>
      <c r="N7458" t="s">
        <v>43166</v>
      </c>
      <c r="O7458" t="s">
        <v>43167</v>
      </c>
      <c r="P7458">
        <v>0</v>
      </c>
      <c r="Q7458">
        <v>0</v>
      </c>
      <c r="R7458" t="s">
        <v>43173</v>
      </c>
      <c r="S7458" t="s">
        <v>43374</v>
      </c>
      <c r="T7458" t="s">
        <v>44894</v>
      </c>
      <c r="U7458" t="s">
        <v>51242</v>
      </c>
      <c r="W7458" t="s">
        <v>40130</v>
      </c>
      <c r="X7458" t="s">
        <v>43174</v>
      </c>
    </row>
    <row r="7459" spans="1:24">
      <c r="A7459">
        <f>HYPERLINK("https://www.philgeps.gov.ph/GEPSNONPILOT/Tender/SplashBidNoticeAbstractUI.aspx?menuIndex=3&amp;refID=7077919&amp;Result=3","7077919")</f>
        <v>0</v>
      </c>
      <c r="B7459" t="s">
        <v>1710</v>
      </c>
      <c r="C7459" t="s">
        <v>10511</v>
      </c>
      <c r="D7459" t="s">
        <v>17414</v>
      </c>
      <c r="E7459" t="s">
        <v>23356</v>
      </c>
      <c r="F7459" t="s">
        <v>30052</v>
      </c>
      <c r="G7459" t="s">
        <v>30059</v>
      </c>
      <c r="H7459" t="s">
        <v>15498</v>
      </c>
      <c r="I7459" t="s">
        <v>30071</v>
      </c>
      <c r="J7459" t="s">
        <v>34788</v>
      </c>
      <c r="K7459" t="s">
        <v>39037</v>
      </c>
      <c r="M7459" t="s">
        <v>41125</v>
      </c>
      <c r="N7459" t="s">
        <v>43166</v>
      </c>
      <c r="O7459" t="s">
        <v>43167</v>
      </c>
      <c r="P7459">
        <v>0</v>
      </c>
      <c r="Q7459">
        <v>0</v>
      </c>
      <c r="R7459" t="s">
        <v>43173</v>
      </c>
      <c r="S7459" t="s">
        <v>43374</v>
      </c>
      <c r="T7459" t="s">
        <v>44864</v>
      </c>
      <c r="U7459" t="s">
        <v>48983</v>
      </c>
      <c r="W7459" t="s">
        <v>41125</v>
      </c>
      <c r="X7459" t="s">
        <v>43174</v>
      </c>
    </row>
    <row r="7460" spans="1:24">
      <c r="A7460">
        <f>HYPERLINK("https://www.philgeps.gov.ph/GEPSNONPILOT/Tender/SplashBidNoticeAbstractUI.aspx?menuIndex=3&amp;refID=7077895&amp;Result=3","7077895")</f>
        <v>0</v>
      </c>
      <c r="B7460" t="s">
        <v>759</v>
      </c>
      <c r="C7460" t="s">
        <v>10512</v>
      </c>
      <c r="D7460" t="s">
        <v>17416</v>
      </c>
      <c r="E7460" t="s">
        <v>23953</v>
      </c>
      <c r="F7460" t="s">
        <v>30052</v>
      </c>
      <c r="G7460" t="s">
        <v>30059</v>
      </c>
      <c r="H7460" t="s">
        <v>15498</v>
      </c>
      <c r="I7460" t="s">
        <v>3606</v>
      </c>
      <c r="J7460" t="s">
        <v>34789</v>
      </c>
      <c r="K7460" t="s">
        <v>39017</v>
      </c>
      <c r="M7460" t="s">
        <v>40073</v>
      </c>
      <c r="N7460" t="s">
        <v>43166</v>
      </c>
      <c r="O7460" t="s">
        <v>43167</v>
      </c>
      <c r="P7460">
        <v>0</v>
      </c>
      <c r="Q7460">
        <v>2</v>
      </c>
      <c r="R7460" t="s">
        <v>43173</v>
      </c>
      <c r="S7460" t="s">
        <v>43374</v>
      </c>
      <c r="T7460" t="s">
        <v>44856</v>
      </c>
      <c r="U7460" t="s">
        <v>51243</v>
      </c>
      <c r="W7460" t="s">
        <v>40073</v>
      </c>
      <c r="X7460" t="s">
        <v>43174</v>
      </c>
    </row>
    <row r="7461" spans="1:24">
      <c r="A7461">
        <f>HYPERLINK("https://www.philgeps.gov.ph/GEPSNONPILOT/Tender/SplashBidNoticeAbstractUI.aspx?menuIndex=3&amp;refID=7077916&amp;Result=3","7077916")</f>
        <v>0</v>
      </c>
      <c r="B7461" t="s">
        <v>1682</v>
      </c>
      <c r="C7461" t="s">
        <v>10513</v>
      </c>
      <c r="D7461" t="s">
        <v>17453</v>
      </c>
      <c r="E7461" t="s">
        <v>23954</v>
      </c>
      <c r="F7461" t="s">
        <v>30052</v>
      </c>
      <c r="G7461" t="s">
        <v>30059</v>
      </c>
      <c r="H7461" t="s">
        <v>15498</v>
      </c>
      <c r="I7461" t="s">
        <v>30120</v>
      </c>
      <c r="J7461" t="s">
        <v>31189</v>
      </c>
      <c r="K7461" t="s">
        <v>39019</v>
      </c>
      <c r="M7461" t="s">
        <v>41118</v>
      </c>
      <c r="N7461" t="s">
        <v>43166</v>
      </c>
      <c r="O7461" t="s">
        <v>43167</v>
      </c>
      <c r="P7461">
        <v>0</v>
      </c>
      <c r="Q7461">
        <v>3</v>
      </c>
      <c r="R7461" t="s">
        <v>43173</v>
      </c>
      <c r="S7461" t="s">
        <v>43374</v>
      </c>
      <c r="T7461" t="s">
        <v>44841</v>
      </c>
      <c r="U7461" t="s">
        <v>51244</v>
      </c>
      <c r="W7461" t="s">
        <v>41118</v>
      </c>
      <c r="X7461" t="s">
        <v>43174</v>
      </c>
    </row>
    <row r="7462" spans="1:24">
      <c r="A7462">
        <f>HYPERLINK("https://www.philgeps.gov.ph/GEPSNONPILOT/Tender/SplashBidNoticeAbstractUI.aspx?menuIndex=3&amp;refID=7077897&amp;Result=3","7077897")</f>
        <v>0</v>
      </c>
      <c r="B7462" t="s">
        <v>541</v>
      </c>
      <c r="C7462" t="s">
        <v>10514</v>
      </c>
      <c r="D7462" t="s">
        <v>17458</v>
      </c>
      <c r="E7462" t="s">
        <v>23955</v>
      </c>
      <c r="F7462" t="s">
        <v>30052</v>
      </c>
      <c r="G7462" t="s">
        <v>30059</v>
      </c>
      <c r="H7462" t="s">
        <v>15498</v>
      </c>
      <c r="I7462" t="s">
        <v>30138</v>
      </c>
      <c r="J7462" t="s">
        <v>30402</v>
      </c>
      <c r="K7462" t="s">
        <v>39017</v>
      </c>
      <c r="M7462" t="s">
        <v>39843</v>
      </c>
      <c r="N7462" t="s">
        <v>43166</v>
      </c>
      <c r="O7462" t="s">
        <v>43167</v>
      </c>
      <c r="P7462">
        <v>0</v>
      </c>
      <c r="Q7462">
        <v>0</v>
      </c>
      <c r="R7462" t="s">
        <v>43173</v>
      </c>
      <c r="S7462" t="s">
        <v>43374</v>
      </c>
      <c r="T7462" t="s">
        <v>44773</v>
      </c>
      <c r="U7462" t="s">
        <v>51245</v>
      </c>
      <c r="W7462" t="s">
        <v>58604</v>
      </c>
      <c r="X7462" t="s">
        <v>43174</v>
      </c>
    </row>
    <row r="7463" spans="1:24">
      <c r="A7463">
        <f>HYPERLINK("https://www.philgeps.gov.ph/GEPSNONPILOT/Tender/SplashBidNoticeAbstractUI.aspx?menuIndex=3&amp;refID=7077926&amp;Result=3","7077926")</f>
        <v>0</v>
      </c>
      <c r="B7463" t="s">
        <v>607</v>
      </c>
      <c r="C7463" t="s">
        <v>10515</v>
      </c>
      <c r="D7463" t="s">
        <v>17459</v>
      </c>
      <c r="E7463" t="s">
        <v>23956</v>
      </c>
      <c r="F7463" t="s">
        <v>30052</v>
      </c>
      <c r="G7463" t="s">
        <v>30058</v>
      </c>
      <c r="H7463" t="s">
        <v>15498</v>
      </c>
      <c r="I7463" t="s">
        <v>30074</v>
      </c>
      <c r="J7463" t="s">
        <v>34790</v>
      </c>
      <c r="K7463" t="s">
        <v>39029</v>
      </c>
      <c r="M7463" t="s">
        <v>39909</v>
      </c>
      <c r="N7463" t="s">
        <v>43166</v>
      </c>
      <c r="O7463" t="s">
        <v>43167</v>
      </c>
      <c r="P7463">
        <v>0</v>
      </c>
      <c r="Q7463">
        <v>4</v>
      </c>
      <c r="R7463" t="s">
        <v>43173</v>
      </c>
      <c r="S7463" t="s">
        <v>43374</v>
      </c>
      <c r="T7463" t="s">
        <v>45000</v>
      </c>
      <c r="U7463" t="s">
        <v>51178</v>
      </c>
      <c r="W7463" t="s">
        <v>39909</v>
      </c>
      <c r="X7463" t="s">
        <v>43174</v>
      </c>
    </row>
    <row r="7464" spans="1:24">
      <c r="A7464">
        <f>HYPERLINK("https://www.philgeps.gov.ph/GEPSNONPILOT/Tender/SplashBidNoticeAbstractUI.aspx?menuIndex=3&amp;refID=7077889&amp;Result=3","7077889")</f>
        <v>0</v>
      </c>
      <c r="B7464" t="s">
        <v>187</v>
      </c>
      <c r="C7464" t="s">
        <v>10516</v>
      </c>
      <c r="D7464" t="s">
        <v>17436</v>
      </c>
      <c r="E7464" t="s">
        <v>23957</v>
      </c>
      <c r="F7464" t="s">
        <v>30052</v>
      </c>
      <c r="G7464" t="s">
        <v>30058</v>
      </c>
      <c r="H7464" t="s">
        <v>15498</v>
      </c>
      <c r="I7464" t="s">
        <v>30081</v>
      </c>
      <c r="J7464" t="s">
        <v>34791</v>
      </c>
      <c r="K7464" t="s">
        <v>39034</v>
      </c>
      <c r="M7464" t="s">
        <v>39476</v>
      </c>
      <c r="N7464" t="s">
        <v>43166</v>
      </c>
      <c r="O7464" t="s">
        <v>43167</v>
      </c>
      <c r="P7464">
        <v>0</v>
      </c>
      <c r="Q7464">
        <v>0</v>
      </c>
      <c r="R7464" t="s">
        <v>43173</v>
      </c>
      <c r="S7464" t="s">
        <v>43374</v>
      </c>
      <c r="T7464" t="s">
        <v>44714</v>
      </c>
      <c r="U7464" t="s">
        <v>51246</v>
      </c>
      <c r="V7464" t="s">
        <v>56868</v>
      </c>
      <c r="W7464" t="s">
        <v>39476</v>
      </c>
      <c r="X7464" t="s">
        <v>43174</v>
      </c>
    </row>
    <row r="7465" spans="1:24">
      <c r="A7465">
        <f>HYPERLINK("https://www.philgeps.gov.ph/GEPSNONPILOT/Tender/SplashBidNoticeAbstractUI.aspx?menuIndex=3&amp;refID=7077887&amp;Result=3","7077887")</f>
        <v>0</v>
      </c>
      <c r="B7465" t="s">
        <v>2312</v>
      </c>
      <c r="C7465" t="s">
        <v>10517</v>
      </c>
      <c r="D7465" t="s">
        <v>17463</v>
      </c>
      <c r="E7465" t="s">
        <v>23958</v>
      </c>
      <c r="F7465" t="s">
        <v>30052</v>
      </c>
      <c r="G7465" t="s">
        <v>30061</v>
      </c>
      <c r="H7465" t="s">
        <v>15498</v>
      </c>
      <c r="I7465" t="s">
        <v>30071</v>
      </c>
      <c r="J7465" t="s">
        <v>34792</v>
      </c>
      <c r="K7465" t="s">
        <v>39019</v>
      </c>
      <c r="M7465" t="s">
        <v>41798</v>
      </c>
      <c r="N7465" t="s">
        <v>43166</v>
      </c>
      <c r="O7465" t="s">
        <v>43167</v>
      </c>
      <c r="P7465">
        <v>0</v>
      </c>
      <c r="Q7465">
        <v>0</v>
      </c>
      <c r="R7465" t="s">
        <v>43173</v>
      </c>
      <c r="S7465" t="s">
        <v>43374</v>
      </c>
      <c r="T7465" t="s">
        <v>44837</v>
      </c>
      <c r="U7465" t="s">
        <v>51164</v>
      </c>
      <c r="V7465" t="s">
        <v>57603</v>
      </c>
      <c r="W7465" t="s">
        <v>41798</v>
      </c>
      <c r="X7465" t="s">
        <v>43174</v>
      </c>
    </row>
    <row r="7466" spans="1:24">
      <c r="A7466">
        <f>HYPERLINK("https://www.philgeps.gov.ph/GEPSNONPILOT/Tender/SplashBidNoticeAbstractUI.aspx?menuIndex=3&amp;refID=7077890&amp;Result=3","7077890")</f>
        <v>0</v>
      </c>
      <c r="B7466" t="s">
        <v>610</v>
      </c>
      <c r="C7466" t="s">
        <v>10518</v>
      </c>
      <c r="D7466" t="s">
        <v>17474</v>
      </c>
      <c r="E7466" t="s">
        <v>23959</v>
      </c>
      <c r="F7466" t="s">
        <v>30052</v>
      </c>
      <c r="G7466" t="s">
        <v>30059</v>
      </c>
      <c r="H7466" t="s">
        <v>15498</v>
      </c>
      <c r="I7466" t="s">
        <v>3693</v>
      </c>
      <c r="J7466" t="s">
        <v>34793</v>
      </c>
      <c r="K7466" t="s">
        <v>39019</v>
      </c>
      <c r="M7466" t="s">
        <v>39912</v>
      </c>
      <c r="N7466" t="s">
        <v>43166</v>
      </c>
      <c r="O7466" t="s">
        <v>43167</v>
      </c>
      <c r="P7466">
        <v>0</v>
      </c>
      <c r="Q7466">
        <v>1</v>
      </c>
      <c r="R7466" t="s">
        <v>43173</v>
      </c>
      <c r="S7466" t="s">
        <v>43374</v>
      </c>
      <c r="T7466" t="s">
        <v>44685</v>
      </c>
      <c r="U7466" t="s">
        <v>51247</v>
      </c>
      <c r="W7466" t="s">
        <v>39912</v>
      </c>
      <c r="X7466" t="s">
        <v>43174</v>
      </c>
    </row>
    <row r="7467" spans="1:24">
      <c r="A7467">
        <f>HYPERLINK("https://www.philgeps.gov.ph/GEPSNONPILOT/Tender/SplashBidNoticeAbstractUI.aspx?menuIndex=3&amp;refID=7077907&amp;Result=3","7077907")</f>
        <v>0</v>
      </c>
      <c r="B7467" t="s">
        <v>1736</v>
      </c>
      <c r="C7467" t="s">
        <v>10519</v>
      </c>
      <c r="D7467" t="s">
        <v>17444</v>
      </c>
      <c r="E7467" t="s">
        <v>23960</v>
      </c>
      <c r="F7467" t="s">
        <v>30052</v>
      </c>
      <c r="G7467" t="s">
        <v>30061</v>
      </c>
      <c r="H7467" t="s">
        <v>15498</v>
      </c>
      <c r="I7467" t="s">
        <v>4119</v>
      </c>
      <c r="J7467" t="s">
        <v>30248</v>
      </c>
      <c r="K7467" t="s">
        <v>39034</v>
      </c>
      <c r="M7467" t="s">
        <v>41153</v>
      </c>
      <c r="N7467" t="s">
        <v>43166</v>
      </c>
      <c r="O7467" t="s">
        <v>43167</v>
      </c>
      <c r="P7467">
        <v>0</v>
      </c>
      <c r="Q7467">
        <v>0</v>
      </c>
      <c r="R7467" t="s">
        <v>43173</v>
      </c>
      <c r="S7467" t="s">
        <v>43374</v>
      </c>
      <c r="T7467" t="s">
        <v>44717</v>
      </c>
      <c r="U7467" t="s">
        <v>51248</v>
      </c>
      <c r="W7467" t="s">
        <v>41153</v>
      </c>
      <c r="X7467" t="s">
        <v>43174</v>
      </c>
    </row>
    <row r="7468" spans="1:24">
      <c r="A7468">
        <f>HYPERLINK("https://www.philgeps.gov.ph/GEPSNONPILOT/Tender/SplashBidNoticeAbstractUI.aspx?menuIndex=3&amp;refID=7077898&amp;Result=3","7077898")</f>
        <v>0</v>
      </c>
      <c r="B7468" t="s">
        <v>102</v>
      </c>
      <c r="C7468" t="s">
        <v>10520</v>
      </c>
      <c r="D7468" t="s">
        <v>17433</v>
      </c>
      <c r="E7468" t="s">
        <v>23961</v>
      </c>
      <c r="F7468" t="s">
        <v>30052</v>
      </c>
      <c r="G7468" t="s">
        <v>30058</v>
      </c>
      <c r="H7468" t="s">
        <v>30067</v>
      </c>
      <c r="I7468" t="s">
        <v>3693</v>
      </c>
      <c r="J7468" t="s">
        <v>30227</v>
      </c>
      <c r="K7468" t="s">
        <v>39025</v>
      </c>
      <c r="M7468" t="s">
        <v>39391</v>
      </c>
      <c r="N7468" t="s">
        <v>43166</v>
      </c>
      <c r="O7468" t="s">
        <v>43167</v>
      </c>
      <c r="P7468">
        <v>0</v>
      </c>
      <c r="Q7468">
        <v>0</v>
      </c>
      <c r="R7468" t="s">
        <v>43173</v>
      </c>
      <c r="S7468" t="s">
        <v>43374</v>
      </c>
      <c r="T7468" t="s">
        <v>44807</v>
      </c>
      <c r="U7468" t="s">
        <v>51249</v>
      </c>
      <c r="W7468" t="s">
        <v>39391</v>
      </c>
      <c r="X7468" t="s">
        <v>43174</v>
      </c>
    </row>
    <row r="7469" spans="1:24">
      <c r="A7469">
        <f>HYPERLINK("https://www.philgeps.gov.ph/GEPSNONPILOT/Tender/SplashBidNoticeAbstractUI.aspx?menuIndex=3&amp;refID=7077988&amp;Result=3","7077988")</f>
        <v>0</v>
      </c>
      <c r="B7469" t="s">
        <v>759</v>
      </c>
      <c r="C7469" t="s">
        <v>10521</v>
      </c>
      <c r="D7469" t="s">
        <v>17416</v>
      </c>
      <c r="E7469" t="s">
        <v>23962</v>
      </c>
      <c r="F7469" t="s">
        <v>30052</v>
      </c>
      <c r="G7469" t="s">
        <v>30059</v>
      </c>
      <c r="H7469" t="s">
        <v>15498</v>
      </c>
      <c r="I7469" t="s">
        <v>3852</v>
      </c>
      <c r="J7469" t="s">
        <v>31137</v>
      </c>
      <c r="K7469" t="s">
        <v>39017</v>
      </c>
      <c r="M7469" t="s">
        <v>40073</v>
      </c>
      <c r="N7469" t="s">
        <v>43166</v>
      </c>
      <c r="O7469" t="s">
        <v>43167</v>
      </c>
      <c r="P7469">
        <v>0</v>
      </c>
      <c r="Q7469">
        <v>7</v>
      </c>
      <c r="R7469" t="s">
        <v>43173</v>
      </c>
      <c r="S7469" t="s">
        <v>43374</v>
      </c>
      <c r="T7469" t="s">
        <v>44856</v>
      </c>
      <c r="U7469" t="s">
        <v>51250</v>
      </c>
      <c r="W7469" t="s">
        <v>40073</v>
      </c>
      <c r="X7469" t="s">
        <v>43174</v>
      </c>
    </row>
    <row r="7470" spans="1:24">
      <c r="A7470">
        <f>HYPERLINK("https://www.philgeps.gov.ph/GEPSNONPILOT/Tender/SplashBidNoticeAbstractUI.aspx?menuIndex=3&amp;refID=7077986&amp;Result=3","7077986")</f>
        <v>0</v>
      </c>
      <c r="B7470" t="s">
        <v>1024</v>
      </c>
      <c r="C7470" t="s">
        <v>10522</v>
      </c>
      <c r="D7470" t="s">
        <v>17432</v>
      </c>
      <c r="E7470" t="s">
        <v>23963</v>
      </c>
      <c r="F7470" t="s">
        <v>30052</v>
      </c>
      <c r="G7470" t="s">
        <v>30059</v>
      </c>
      <c r="H7470" t="s">
        <v>15498</v>
      </c>
      <c r="I7470" t="s">
        <v>3736</v>
      </c>
      <c r="J7470" t="s">
        <v>31448</v>
      </c>
      <c r="K7470" t="s">
        <v>39029</v>
      </c>
      <c r="M7470" t="s">
        <v>41806</v>
      </c>
      <c r="N7470" t="s">
        <v>43166</v>
      </c>
      <c r="O7470" t="s">
        <v>43167</v>
      </c>
      <c r="P7470">
        <v>0</v>
      </c>
      <c r="Q7470">
        <v>2</v>
      </c>
      <c r="R7470" t="s">
        <v>43173</v>
      </c>
      <c r="S7470" t="s">
        <v>43374</v>
      </c>
      <c r="T7470" t="s">
        <v>44717</v>
      </c>
      <c r="U7470" t="s">
        <v>51190</v>
      </c>
      <c r="W7470" t="s">
        <v>41806</v>
      </c>
      <c r="X7470" t="s">
        <v>43174</v>
      </c>
    </row>
    <row r="7471" spans="1:24">
      <c r="A7471">
        <f>HYPERLINK("https://www.philgeps.gov.ph/GEPSNONPILOT/Tender/SplashBidNoticeAbstractUI.aspx?menuIndex=3&amp;refID=7077978&amp;Result=3","7077978")</f>
        <v>0</v>
      </c>
      <c r="B7471" t="s">
        <v>2328</v>
      </c>
      <c r="C7471" t="s">
        <v>10523</v>
      </c>
      <c r="D7471" t="s">
        <v>17437</v>
      </c>
      <c r="E7471" t="s">
        <v>23964</v>
      </c>
      <c r="F7471" t="s">
        <v>30052</v>
      </c>
      <c r="G7471" t="s">
        <v>30058</v>
      </c>
      <c r="H7471" t="s">
        <v>30067</v>
      </c>
      <c r="I7471" t="s">
        <v>3693</v>
      </c>
      <c r="J7471" t="s">
        <v>30215</v>
      </c>
      <c r="K7471" t="s">
        <v>39023</v>
      </c>
      <c r="M7471" t="s">
        <v>41815</v>
      </c>
      <c r="N7471" t="s">
        <v>43166</v>
      </c>
      <c r="O7471" t="s">
        <v>43167</v>
      </c>
      <c r="P7471">
        <v>0</v>
      </c>
      <c r="Q7471">
        <v>0</v>
      </c>
      <c r="R7471" t="s">
        <v>43173</v>
      </c>
      <c r="S7471" t="s">
        <v>43374</v>
      </c>
      <c r="T7471" t="s">
        <v>44815</v>
      </c>
      <c r="U7471" t="s">
        <v>51251</v>
      </c>
      <c r="W7471" t="s">
        <v>41815</v>
      </c>
      <c r="X7471" t="s">
        <v>43174</v>
      </c>
    </row>
    <row r="7472" spans="1:24">
      <c r="A7472">
        <f>HYPERLINK("https://www.philgeps.gov.ph/GEPSNONPILOT/Tender/SplashBidNoticeAbstractUI.aspx?menuIndex=3&amp;refID=7077977&amp;Result=3","7077977")</f>
        <v>0</v>
      </c>
      <c r="B7472" t="s">
        <v>1197</v>
      </c>
      <c r="C7472" t="s">
        <v>10524</v>
      </c>
      <c r="D7472" t="s">
        <v>17463</v>
      </c>
      <c r="E7472" t="s">
        <v>23965</v>
      </c>
      <c r="F7472" t="s">
        <v>30052</v>
      </c>
      <c r="G7472" t="s">
        <v>30059</v>
      </c>
      <c r="H7472" t="s">
        <v>15498</v>
      </c>
      <c r="I7472" t="s">
        <v>6691</v>
      </c>
      <c r="J7472" t="s">
        <v>34215</v>
      </c>
      <c r="K7472" t="s">
        <v>39031</v>
      </c>
      <c r="M7472" t="s">
        <v>40550</v>
      </c>
      <c r="N7472" t="s">
        <v>43166</v>
      </c>
      <c r="O7472" t="s">
        <v>43167</v>
      </c>
      <c r="P7472">
        <v>0</v>
      </c>
      <c r="Q7472">
        <v>0</v>
      </c>
      <c r="R7472" t="s">
        <v>43173</v>
      </c>
      <c r="S7472" t="s">
        <v>43374</v>
      </c>
      <c r="T7472" t="s">
        <v>44710</v>
      </c>
      <c r="U7472" t="s">
        <v>47813</v>
      </c>
      <c r="W7472" t="s">
        <v>40550</v>
      </c>
      <c r="X7472" t="s">
        <v>43174</v>
      </c>
    </row>
    <row r="7473" spans="1:24">
      <c r="A7473">
        <f>HYPERLINK("https://www.philgeps.gov.ph/GEPSNONPILOT/Tender/SplashBidNoticeAbstractUI.aspx?menuIndex=3&amp;refID=7077976&amp;Result=3","7077976")</f>
        <v>0</v>
      </c>
      <c r="B7473" t="s">
        <v>2133</v>
      </c>
      <c r="C7473" t="s">
        <v>10525</v>
      </c>
      <c r="D7473" t="s">
        <v>17432</v>
      </c>
      <c r="E7473" t="s">
        <v>23966</v>
      </c>
      <c r="F7473" t="s">
        <v>30052</v>
      </c>
      <c r="G7473" t="s">
        <v>30058</v>
      </c>
      <c r="H7473" t="s">
        <v>15498</v>
      </c>
      <c r="I7473" t="s">
        <v>4650</v>
      </c>
      <c r="J7473" t="s">
        <v>34794</v>
      </c>
      <c r="K7473" t="s">
        <v>39034</v>
      </c>
      <c r="M7473" t="s">
        <v>41597</v>
      </c>
      <c r="N7473" t="s">
        <v>43166</v>
      </c>
      <c r="O7473" t="s">
        <v>43167</v>
      </c>
      <c r="P7473">
        <v>0</v>
      </c>
      <c r="Q7473">
        <v>3</v>
      </c>
      <c r="R7473" t="s">
        <v>43173</v>
      </c>
      <c r="S7473" t="s">
        <v>43374</v>
      </c>
      <c r="T7473" t="s">
        <v>44949</v>
      </c>
      <c r="U7473" t="s">
        <v>51252</v>
      </c>
      <c r="V7473" t="s">
        <v>57529</v>
      </c>
      <c r="W7473" t="s">
        <v>41597</v>
      </c>
      <c r="X7473" t="s">
        <v>43174</v>
      </c>
    </row>
    <row r="7474" spans="1:24">
      <c r="A7474">
        <f>HYPERLINK("https://www.philgeps.gov.ph/GEPSNONPILOT/Tender/SplashBidNoticeAbstractUI.aspx?menuIndex=3&amp;refID=7077969&amp;Result=3","7077969")</f>
        <v>0</v>
      </c>
      <c r="B7474" t="s">
        <v>925</v>
      </c>
      <c r="C7474" t="s">
        <v>10526</v>
      </c>
      <c r="D7474" t="s">
        <v>17474</v>
      </c>
      <c r="E7474" t="s">
        <v>23967</v>
      </c>
      <c r="F7474" t="s">
        <v>30052</v>
      </c>
      <c r="G7474" t="s">
        <v>30059</v>
      </c>
      <c r="H7474" t="s">
        <v>15498</v>
      </c>
      <c r="I7474" t="s">
        <v>30083</v>
      </c>
      <c r="J7474" t="s">
        <v>34795</v>
      </c>
      <c r="K7474" t="s">
        <v>39105</v>
      </c>
      <c r="M7474" t="s">
        <v>40984</v>
      </c>
      <c r="N7474" t="s">
        <v>43166</v>
      </c>
      <c r="O7474" t="s">
        <v>43167</v>
      </c>
      <c r="P7474">
        <v>0</v>
      </c>
      <c r="Q7474">
        <v>0</v>
      </c>
      <c r="R7474" t="s">
        <v>43173</v>
      </c>
      <c r="S7474" t="s">
        <v>43374</v>
      </c>
      <c r="T7474" t="s">
        <v>44856</v>
      </c>
      <c r="U7474" t="s">
        <v>51253</v>
      </c>
      <c r="W7474" t="s">
        <v>40984</v>
      </c>
      <c r="X7474" t="s">
        <v>43174</v>
      </c>
    </row>
    <row r="7475" spans="1:24">
      <c r="A7475">
        <f>HYPERLINK("https://www.philgeps.gov.ph/GEPSNONPILOT/Tender/SplashBidNoticeAbstractUI.aspx?menuIndex=3&amp;refID=7077966&amp;Result=3","7077966")</f>
        <v>0</v>
      </c>
      <c r="B7475" t="s">
        <v>2335</v>
      </c>
      <c r="C7475" t="s">
        <v>10527</v>
      </c>
      <c r="D7475" t="s">
        <v>17436</v>
      </c>
      <c r="E7475" t="s">
        <v>23968</v>
      </c>
      <c r="F7475" t="s">
        <v>30052</v>
      </c>
      <c r="G7475" t="s">
        <v>30058</v>
      </c>
      <c r="H7475" t="s">
        <v>15498</v>
      </c>
      <c r="I7475" t="s">
        <v>3693</v>
      </c>
      <c r="J7475" t="s">
        <v>34796</v>
      </c>
      <c r="K7475" t="s">
        <v>39034</v>
      </c>
      <c r="M7475" t="s">
        <v>41823</v>
      </c>
      <c r="N7475" t="s">
        <v>43166</v>
      </c>
      <c r="O7475" t="s">
        <v>43167</v>
      </c>
      <c r="P7475">
        <v>0</v>
      </c>
      <c r="Q7475">
        <v>0</v>
      </c>
      <c r="R7475" t="s">
        <v>43173</v>
      </c>
      <c r="S7475" t="s">
        <v>43374</v>
      </c>
      <c r="T7475" t="s">
        <v>44882</v>
      </c>
      <c r="U7475" t="s">
        <v>51254</v>
      </c>
      <c r="V7475" t="s">
        <v>57604</v>
      </c>
      <c r="W7475" t="s">
        <v>41823</v>
      </c>
      <c r="X7475" t="s">
        <v>43174</v>
      </c>
    </row>
    <row r="7476" spans="1:24">
      <c r="A7476">
        <f>HYPERLINK("https://www.philgeps.gov.ph/GEPSNONPILOT/Tender/SplashBidNoticeAbstractUI.aspx?menuIndex=3&amp;refID=7077882&amp;Result=3","7077882")</f>
        <v>0</v>
      </c>
      <c r="B7476" t="s">
        <v>759</v>
      </c>
      <c r="C7476" t="s">
        <v>10528</v>
      </c>
      <c r="D7476" t="s">
        <v>17416</v>
      </c>
      <c r="E7476" t="s">
        <v>23969</v>
      </c>
      <c r="F7476" t="s">
        <v>30052</v>
      </c>
      <c r="G7476" t="s">
        <v>30059</v>
      </c>
      <c r="H7476" t="s">
        <v>15498</v>
      </c>
      <c r="I7476" t="s">
        <v>3736</v>
      </c>
      <c r="J7476" t="s">
        <v>34797</v>
      </c>
      <c r="K7476" t="s">
        <v>39017</v>
      </c>
      <c r="M7476" t="s">
        <v>40073</v>
      </c>
      <c r="N7476" t="s">
        <v>43166</v>
      </c>
      <c r="O7476" t="s">
        <v>43167</v>
      </c>
      <c r="P7476">
        <v>0</v>
      </c>
      <c r="Q7476">
        <v>0</v>
      </c>
      <c r="R7476" t="s">
        <v>43173</v>
      </c>
      <c r="S7476" t="s">
        <v>43374</v>
      </c>
      <c r="T7476" t="s">
        <v>44856</v>
      </c>
      <c r="U7476" t="s">
        <v>51255</v>
      </c>
      <c r="W7476" t="s">
        <v>40073</v>
      </c>
      <c r="X7476" t="s">
        <v>43174</v>
      </c>
    </row>
    <row r="7477" spans="1:24">
      <c r="A7477">
        <f>HYPERLINK("https://www.philgeps.gov.ph/GEPSNONPILOT/Tender/SplashBidNoticeAbstractUI.aspx?menuIndex=3&amp;refID=7077959&amp;Result=3","7077959")</f>
        <v>0</v>
      </c>
      <c r="B7477" t="s">
        <v>2039</v>
      </c>
      <c r="C7477" t="s">
        <v>10529</v>
      </c>
      <c r="D7477" t="s">
        <v>17452</v>
      </c>
      <c r="E7477" t="s">
        <v>23970</v>
      </c>
      <c r="F7477" t="s">
        <v>30052</v>
      </c>
      <c r="G7477" t="s">
        <v>30058</v>
      </c>
      <c r="H7477" t="s">
        <v>30067</v>
      </c>
      <c r="I7477" t="s">
        <v>3693</v>
      </c>
      <c r="J7477" t="s">
        <v>34798</v>
      </c>
      <c r="K7477" t="s">
        <v>39026</v>
      </c>
      <c r="M7477" t="s">
        <v>41488</v>
      </c>
      <c r="N7477" t="s">
        <v>43166</v>
      </c>
      <c r="O7477" t="s">
        <v>43167</v>
      </c>
      <c r="P7477">
        <v>0</v>
      </c>
      <c r="Q7477">
        <v>2</v>
      </c>
      <c r="R7477" t="s">
        <v>43173</v>
      </c>
      <c r="S7477" t="s">
        <v>43374</v>
      </c>
      <c r="T7477" t="s">
        <v>44722</v>
      </c>
      <c r="U7477" t="s">
        <v>51256</v>
      </c>
      <c r="V7477" t="s">
        <v>57605</v>
      </c>
      <c r="W7477" t="s">
        <v>41488</v>
      </c>
      <c r="X7477" t="s">
        <v>43174</v>
      </c>
    </row>
    <row r="7478" spans="1:24">
      <c r="A7478">
        <f>HYPERLINK("https://www.philgeps.gov.ph/GEPSNONPILOT/Tender/SplashBidNoticeAbstractUI.aspx?menuIndex=3&amp;refID=7077975&amp;Result=3","7077975")</f>
        <v>0</v>
      </c>
      <c r="B7478" t="s">
        <v>902</v>
      </c>
      <c r="C7478" t="s">
        <v>10530</v>
      </c>
      <c r="D7478" t="s">
        <v>17444</v>
      </c>
      <c r="E7478" t="s">
        <v>23971</v>
      </c>
      <c r="F7478" t="s">
        <v>30052</v>
      </c>
      <c r="G7478" t="s">
        <v>30059</v>
      </c>
      <c r="H7478" t="s">
        <v>15498</v>
      </c>
      <c r="I7478" t="s">
        <v>30073</v>
      </c>
      <c r="J7478" t="s">
        <v>34799</v>
      </c>
      <c r="K7478" t="s">
        <v>39017</v>
      </c>
      <c r="M7478" t="s">
        <v>40221</v>
      </c>
      <c r="N7478" t="s">
        <v>43166</v>
      </c>
      <c r="O7478" t="s">
        <v>43167</v>
      </c>
      <c r="P7478">
        <v>0</v>
      </c>
      <c r="Q7478">
        <v>0</v>
      </c>
      <c r="R7478" t="s">
        <v>43173</v>
      </c>
      <c r="S7478" t="s">
        <v>43374</v>
      </c>
      <c r="T7478" t="s">
        <v>44844</v>
      </c>
      <c r="U7478" t="s">
        <v>51257</v>
      </c>
      <c r="W7478" t="s">
        <v>40221</v>
      </c>
      <c r="X7478" t="s">
        <v>43174</v>
      </c>
    </row>
    <row r="7479" spans="1:24">
      <c r="A7479">
        <f>HYPERLINK("https://www.philgeps.gov.ph/GEPSNONPILOT/Tender/SplashBidNoticeAbstractUI.aspx?menuIndex=3&amp;refID=7077958&amp;Result=3","7077958")</f>
        <v>0</v>
      </c>
      <c r="B7479" t="s">
        <v>1024</v>
      </c>
      <c r="C7479" t="s">
        <v>10531</v>
      </c>
      <c r="D7479" t="s">
        <v>17432</v>
      </c>
      <c r="E7479" t="s">
        <v>23972</v>
      </c>
      <c r="F7479" t="s">
        <v>30052</v>
      </c>
      <c r="G7479" t="s">
        <v>30059</v>
      </c>
      <c r="H7479" t="s">
        <v>15498</v>
      </c>
      <c r="I7479" t="s">
        <v>30081</v>
      </c>
      <c r="J7479" t="s">
        <v>34800</v>
      </c>
      <c r="K7479" t="s">
        <v>39029</v>
      </c>
      <c r="M7479" t="s">
        <v>41806</v>
      </c>
      <c r="N7479" t="s">
        <v>43166</v>
      </c>
      <c r="O7479" t="s">
        <v>43167</v>
      </c>
      <c r="P7479">
        <v>0</v>
      </c>
      <c r="Q7479">
        <v>1</v>
      </c>
      <c r="R7479" t="s">
        <v>43173</v>
      </c>
      <c r="S7479" t="s">
        <v>43374</v>
      </c>
      <c r="T7479" t="s">
        <v>44717</v>
      </c>
      <c r="U7479" t="s">
        <v>51190</v>
      </c>
      <c r="W7479" t="s">
        <v>41806</v>
      </c>
      <c r="X7479" t="s">
        <v>43174</v>
      </c>
    </row>
    <row r="7480" spans="1:24">
      <c r="A7480">
        <f>HYPERLINK("https://www.philgeps.gov.ph/GEPSNONPILOT/Tender/SplashBidNoticeAbstractUI.aspx?menuIndex=3&amp;refID=7077956&amp;Result=3","7077956")</f>
        <v>0</v>
      </c>
      <c r="B7480" t="s">
        <v>1864</v>
      </c>
      <c r="C7480" t="s">
        <v>10532</v>
      </c>
      <c r="D7480" t="s">
        <v>17435</v>
      </c>
      <c r="E7480" t="s">
        <v>23236</v>
      </c>
      <c r="F7480" t="s">
        <v>30052</v>
      </c>
      <c r="G7480" t="s">
        <v>30058</v>
      </c>
      <c r="H7480" t="s">
        <v>15498</v>
      </c>
      <c r="I7480" t="s">
        <v>3736</v>
      </c>
      <c r="J7480" t="s">
        <v>34801</v>
      </c>
      <c r="K7480" t="s">
        <v>39037</v>
      </c>
      <c r="M7480" t="s">
        <v>41292</v>
      </c>
      <c r="N7480" t="s">
        <v>43166</v>
      </c>
      <c r="O7480" t="s">
        <v>43167</v>
      </c>
      <c r="P7480">
        <v>0</v>
      </c>
      <c r="Q7480">
        <v>0</v>
      </c>
      <c r="R7480" t="s">
        <v>43173</v>
      </c>
      <c r="S7480" t="s">
        <v>43374</v>
      </c>
      <c r="T7480" t="s">
        <v>44716</v>
      </c>
      <c r="U7480" t="s">
        <v>51258</v>
      </c>
      <c r="V7480" t="s">
        <v>57606</v>
      </c>
      <c r="W7480" t="s">
        <v>41292</v>
      </c>
      <c r="X7480" t="s">
        <v>43174</v>
      </c>
    </row>
    <row r="7481" spans="1:24">
      <c r="A7481">
        <f>HYPERLINK("https://www.philgeps.gov.ph/GEPSNONPILOT/Tender/SplashBidNoticeAbstractUI.aspx?menuIndex=3&amp;refID=7077952&amp;Result=3","7077952")</f>
        <v>0</v>
      </c>
      <c r="B7481" t="s">
        <v>2336</v>
      </c>
      <c r="C7481" t="s">
        <v>10533</v>
      </c>
      <c r="D7481" t="s">
        <v>17465</v>
      </c>
      <c r="E7481" t="s">
        <v>23973</v>
      </c>
      <c r="F7481" t="s">
        <v>30052</v>
      </c>
      <c r="G7481" t="s">
        <v>30061</v>
      </c>
      <c r="H7481" t="s">
        <v>15498</v>
      </c>
      <c r="I7481" t="s">
        <v>3736</v>
      </c>
      <c r="J7481" t="s">
        <v>34215</v>
      </c>
      <c r="K7481" t="s">
        <v>39036</v>
      </c>
      <c r="M7481" t="s">
        <v>41824</v>
      </c>
      <c r="N7481" t="s">
        <v>43166</v>
      </c>
      <c r="O7481" t="s">
        <v>43167</v>
      </c>
      <c r="P7481">
        <v>0</v>
      </c>
      <c r="Q7481">
        <v>1</v>
      </c>
      <c r="R7481" t="s">
        <v>43173</v>
      </c>
      <c r="S7481" t="s">
        <v>43374</v>
      </c>
      <c r="T7481" t="s">
        <v>44715</v>
      </c>
      <c r="U7481" t="s">
        <v>51259</v>
      </c>
      <c r="W7481" t="s">
        <v>41824</v>
      </c>
      <c r="X7481" t="s">
        <v>43174</v>
      </c>
    </row>
    <row r="7482" spans="1:24">
      <c r="A7482">
        <f>HYPERLINK("https://www.philgeps.gov.ph/GEPSNONPILOT/Tender/SplashBidNoticeAbstractUI.aspx?menuIndex=3&amp;refID=7077951&amp;Result=3","7077951")</f>
        <v>0</v>
      </c>
      <c r="B7482" t="s">
        <v>102</v>
      </c>
      <c r="C7482" t="s">
        <v>10534</v>
      </c>
      <c r="D7482" t="s">
        <v>17433</v>
      </c>
      <c r="E7482" t="s">
        <v>23974</v>
      </c>
      <c r="F7482" t="s">
        <v>30052</v>
      </c>
      <c r="G7482" t="s">
        <v>30058</v>
      </c>
      <c r="H7482" t="s">
        <v>30067</v>
      </c>
      <c r="I7482" t="s">
        <v>3693</v>
      </c>
      <c r="J7482" t="s">
        <v>30321</v>
      </c>
      <c r="K7482" t="s">
        <v>39025</v>
      </c>
      <c r="M7482" t="s">
        <v>39391</v>
      </c>
      <c r="N7482" t="s">
        <v>43166</v>
      </c>
      <c r="O7482" t="s">
        <v>43167</v>
      </c>
      <c r="P7482">
        <v>0</v>
      </c>
      <c r="Q7482">
        <v>0</v>
      </c>
      <c r="R7482" t="s">
        <v>43173</v>
      </c>
      <c r="S7482" t="s">
        <v>43374</v>
      </c>
      <c r="T7482" t="s">
        <v>44807</v>
      </c>
      <c r="U7482" t="s">
        <v>51260</v>
      </c>
      <c r="W7482" t="s">
        <v>39391</v>
      </c>
      <c r="X7482" t="s">
        <v>43174</v>
      </c>
    </row>
    <row r="7483" spans="1:24">
      <c r="A7483">
        <f>HYPERLINK("https://www.philgeps.gov.ph/GEPSNONPILOT/Tender/SplashBidNoticeAbstractUI.aspx?menuIndex=3&amp;refID=7077946&amp;Result=3","7077946")</f>
        <v>0</v>
      </c>
      <c r="B7483" t="s">
        <v>268</v>
      </c>
      <c r="C7483" t="s">
        <v>10535</v>
      </c>
      <c r="D7483" t="s">
        <v>17459</v>
      </c>
      <c r="E7483" t="s">
        <v>23975</v>
      </c>
      <c r="F7483" t="s">
        <v>30052</v>
      </c>
      <c r="G7483" t="s">
        <v>30058</v>
      </c>
      <c r="H7483" t="s">
        <v>15498</v>
      </c>
      <c r="I7483" t="s">
        <v>30074</v>
      </c>
      <c r="J7483" t="s">
        <v>30813</v>
      </c>
      <c r="K7483" t="s">
        <v>39031</v>
      </c>
      <c r="M7483" t="s">
        <v>39561</v>
      </c>
      <c r="N7483" t="s">
        <v>43166</v>
      </c>
      <c r="O7483" t="s">
        <v>43167</v>
      </c>
      <c r="P7483">
        <v>0</v>
      </c>
      <c r="Q7483">
        <v>7</v>
      </c>
      <c r="R7483" t="s">
        <v>43173</v>
      </c>
      <c r="S7483" t="s">
        <v>43374</v>
      </c>
      <c r="T7483" t="s">
        <v>44711</v>
      </c>
      <c r="U7483" t="s">
        <v>51261</v>
      </c>
      <c r="V7483" t="s">
        <v>56837</v>
      </c>
      <c r="W7483" t="s">
        <v>39561</v>
      </c>
      <c r="X7483" t="s">
        <v>43174</v>
      </c>
    </row>
    <row r="7484" spans="1:24">
      <c r="A7484">
        <f>HYPERLINK("https://www.philgeps.gov.ph/GEPSNONPILOT/Tender/SplashBidNoticeAbstractUI.aspx?menuIndex=3&amp;refID=7077943&amp;Result=3","7077943")</f>
        <v>0</v>
      </c>
      <c r="B7484" t="s">
        <v>637</v>
      </c>
      <c r="C7484" t="s">
        <v>8064</v>
      </c>
      <c r="D7484" t="s">
        <v>17468</v>
      </c>
      <c r="E7484" t="s">
        <v>18916</v>
      </c>
      <c r="F7484" t="s">
        <v>30052</v>
      </c>
      <c r="G7484" t="s">
        <v>30062</v>
      </c>
      <c r="H7484" t="s">
        <v>15498</v>
      </c>
      <c r="I7484" t="s">
        <v>30070</v>
      </c>
      <c r="J7484" t="s">
        <v>34802</v>
      </c>
      <c r="K7484" t="s">
        <v>39025</v>
      </c>
      <c r="M7484" t="s">
        <v>39941</v>
      </c>
      <c r="N7484" t="s">
        <v>43166</v>
      </c>
      <c r="O7484" t="s">
        <v>43167</v>
      </c>
      <c r="P7484">
        <v>0</v>
      </c>
      <c r="Q7484">
        <v>5</v>
      </c>
      <c r="R7484" t="s">
        <v>43173</v>
      </c>
      <c r="S7484" t="s">
        <v>43374</v>
      </c>
      <c r="T7484" t="s">
        <v>44837</v>
      </c>
      <c r="U7484" t="s">
        <v>49146</v>
      </c>
      <c r="W7484" t="s">
        <v>39941</v>
      </c>
      <c r="X7484" t="s">
        <v>43174</v>
      </c>
    </row>
    <row r="7485" spans="1:24">
      <c r="A7485">
        <f>HYPERLINK("https://www.philgeps.gov.ph/GEPSNONPILOT/Tender/SplashBidNoticeAbstractUI.aspx?menuIndex=3&amp;refID=7077940&amp;Result=3","7077940")</f>
        <v>0</v>
      </c>
      <c r="B7485" t="s">
        <v>1712</v>
      </c>
      <c r="C7485" t="s">
        <v>10536</v>
      </c>
      <c r="D7485" t="s">
        <v>17421</v>
      </c>
      <c r="E7485" t="s">
        <v>23976</v>
      </c>
      <c r="F7485" t="s">
        <v>30052</v>
      </c>
      <c r="G7485" t="s">
        <v>30058</v>
      </c>
      <c r="H7485" t="s">
        <v>30067</v>
      </c>
      <c r="I7485" t="s">
        <v>3693</v>
      </c>
      <c r="J7485" t="s">
        <v>31290</v>
      </c>
      <c r="K7485" t="s">
        <v>39023</v>
      </c>
      <c r="M7485" t="s">
        <v>41127</v>
      </c>
      <c r="N7485" t="s">
        <v>43166</v>
      </c>
      <c r="O7485" t="s">
        <v>43167</v>
      </c>
      <c r="P7485">
        <v>0</v>
      </c>
      <c r="Q7485">
        <v>0</v>
      </c>
      <c r="R7485" t="s">
        <v>43173</v>
      </c>
      <c r="S7485" t="s">
        <v>43374</v>
      </c>
      <c r="T7485" t="s">
        <v>44780</v>
      </c>
      <c r="U7485" t="s">
        <v>51262</v>
      </c>
      <c r="W7485" t="s">
        <v>41127</v>
      </c>
      <c r="X7485" t="s">
        <v>43174</v>
      </c>
    </row>
    <row r="7486" spans="1:24">
      <c r="A7486">
        <f>HYPERLINK("https://www.philgeps.gov.ph/GEPSNONPILOT/Tender/SplashBidNoticeAbstractUI.aspx?menuIndex=3&amp;refID=7077954&amp;Result=3","7077954")</f>
        <v>0</v>
      </c>
      <c r="B7486" t="s">
        <v>987</v>
      </c>
      <c r="C7486" t="s">
        <v>10537</v>
      </c>
      <c r="D7486" t="s">
        <v>17415</v>
      </c>
      <c r="E7486" t="s">
        <v>23977</v>
      </c>
      <c r="F7486" t="s">
        <v>30052</v>
      </c>
      <c r="G7486" t="s">
        <v>30058</v>
      </c>
      <c r="H7486" t="s">
        <v>15498</v>
      </c>
      <c r="I7486" t="s">
        <v>30125</v>
      </c>
      <c r="J7486" t="s">
        <v>34803</v>
      </c>
      <c r="K7486" t="s">
        <v>39017</v>
      </c>
      <c r="M7486" t="s">
        <v>40314</v>
      </c>
      <c r="N7486" t="s">
        <v>43166</v>
      </c>
      <c r="O7486" t="s">
        <v>43167</v>
      </c>
      <c r="P7486">
        <v>0</v>
      </c>
      <c r="Q7486">
        <v>0</v>
      </c>
      <c r="R7486" t="s">
        <v>43173</v>
      </c>
      <c r="S7486" t="s">
        <v>43374</v>
      </c>
      <c r="T7486" t="s">
        <v>44734</v>
      </c>
      <c r="U7486" t="s">
        <v>51263</v>
      </c>
      <c r="W7486" t="s">
        <v>40314</v>
      </c>
      <c r="X7486" t="s">
        <v>43174</v>
      </c>
    </row>
    <row r="7487" spans="1:24">
      <c r="A7487">
        <f>HYPERLINK("https://www.philgeps.gov.ph/GEPSNONPILOT/Tender/SplashBidNoticeAbstractUI.aspx?menuIndex=3&amp;refID=7077938&amp;Result=3","7077938")</f>
        <v>0</v>
      </c>
      <c r="B7487" t="s">
        <v>813</v>
      </c>
      <c r="C7487" t="s">
        <v>10538</v>
      </c>
      <c r="D7487" t="s">
        <v>17426</v>
      </c>
      <c r="E7487" t="s">
        <v>23978</v>
      </c>
      <c r="F7487" t="s">
        <v>30052</v>
      </c>
      <c r="G7487" t="s">
        <v>30058</v>
      </c>
      <c r="H7487" t="s">
        <v>15498</v>
      </c>
      <c r="I7487" t="s">
        <v>30071</v>
      </c>
      <c r="J7487" t="s">
        <v>34804</v>
      </c>
      <c r="K7487" t="s">
        <v>39046</v>
      </c>
      <c r="M7487" t="s">
        <v>40130</v>
      </c>
      <c r="N7487" t="s">
        <v>43166</v>
      </c>
      <c r="O7487" t="s">
        <v>43167</v>
      </c>
      <c r="P7487">
        <v>0</v>
      </c>
      <c r="Q7487">
        <v>0</v>
      </c>
      <c r="R7487" t="s">
        <v>43173</v>
      </c>
      <c r="S7487" t="s">
        <v>43374</v>
      </c>
      <c r="T7487" t="s">
        <v>44988</v>
      </c>
      <c r="U7487" t="s">
        <v>50649</v>
      </c>
      <c r="W7487" t="s">
        <v>40130</v>
      </c>
      <c r="X7487" t="s">
        <v>43174</v>
      </c>
    </row>
    <row r="7488" spans="1:24">
      <c r="A7488">
        <f>HYPERLINK("https://www.philgeps.gov.ph/GEPSNONPILOT/Tender/SplashBidNoticeAbstractUI.aspx?menuIndex=3&amp;refID=7077994&amp;Result=3","7077994")</f>
        <v>0</v>
      </c>
      <c r="B7488" t="s">
        <v>2039</v>
      </c>
      <c r="C7488" t="s">
        <v>10539</v>
      </c>
      <c r="D7488" t="s">
        <v>17452</v>
      </c>
      <c r="E7488" t="s">
        <v>23979</v>
      </c>
      <c r="F7488" t="s">
        <v>30052</v>
      </c>
      <c r="G7488" t="s">
        <v>30058</v>
      </c>
      <c r="H7488" t="s">
        <v>30067</v>
      </c>
      <c r="I7488" t="s">
        <v>3693</v>
      </c>
      <c r="J7488" t="s">
        <v>34805</v>
      </c>
      <c r="K7488" t="s">
        <v>39080</v>
      </c>
      <c r="M7488" t="s">
        <v>41488</v>
      </c>
      <c r="N7488" t="s">
        <v>43166</v>
      </c>
      <c r="O7488" t="s">
        <v>43167</v>
      </c>
      <c r="P7488">
        <v>0</v>
      </c>
      <c r="Q7488">
        <v>2</v>
      </c>
      <c r="R7488" t="s">
        <v>43173</v>
      </c>
      <c r="S7488" t="s">
        <v>43374</v>
      </c>
      <c r="T7488" t="s">
        <v>44722</v>
      </c>
      <c r="U7488" t="s">
        <v>51264</v>
      </c>
      <c r="V7488" t="s">
        <v>57607</v>
      </c>
      <c r="W7488" t="s">
        <v>41488</v>
      </c>
      <c r="X7488" t="s">
        <v>43174</v>
      </c>
    </row>
    <row r="7489" spans="1:24">
      <c r="A7489">
        <f>HYPERLINK("https://www.philgeps.gov.ph/GEPSNONPILOT/Tender/SplashBidNoticeAbstractUI.aspx?menuIndex=3&amp;refID=7077631&amp;Result=3","7077631")</f>
        <v>0</v>
      </c>
      <c r="B7489" t="s">
        <v>1744</v>
      </c>
      <c r="C7489" t="s">
        <v>10540</v>
      </c>
      <c r="D7489" t="s">
        <v>17457</v>
      </c>
      <c r="E7489" t="s">
        <v>23980</v>
      </c>
      <c r="F7489" t="s">
        <v>30052</v>
      </c>
      <c r="G7489" t="s">
        <v>30061</v>
      </c>
      <c r="H7489" t="s">
        <v>15498</v>
      </c>
      <c r="I7489" t="s">
        <v>30109</v>
      </c>
      <c r="J7489" t="s">
        <v>34806</v>
      </c>
      <c r="K7489" t="s">
        <v>39019</v>
      </c>
      <c r="M7489" t="s">
        <v>41163</v>
      </c>
      <c r="N7489" t="s">
        <v>43166</v>
      </c>
      <c r="O7489" t="s">
        <v>43167</v>
      </c>
      <c r="P7489">
        <v>0</v>
      </c>
      <c r="Q7489">
        <v>1</v>
      </c>
      <c r="R7489" t="s">
        <v>43173</v>
      </c>
      <c r="S7489" t="s">
        <v>43374</v>
      </c>
      <c r="T7489" t="s">
        <v>44773</v>
      </c>
      <c r="U7489" t="s">
        <v>51162</v>
      </c>
      <c r="V7489" t="s">
        <v>57608</v>
      </c>
      <c r="W7489" t="s">
        <v>41163</v>
      </c>
      <c r="X7489" t="s">
        <v>43174</v>
      </c>
    </row>
    <row r="7490" spans="1:24">
      <c r="A7490">
        <f>HYPERLINK("https://www.philgeps.gov.ph/GEPSNONPILOT/Tender/SplashBidNoticeAbstractUI.aspx?menuIndex=3&amp;refID=7077894&amp;Result=3","7077894")</f>
        <v>0</v>
      </c>
      <c r="B7490" t="s">
        <v>607</v>
      </c>
      <c r="C7490" t="s">
        <v>10541</v>
      </c>
      <c r="D7490" t="s">
        <v>17459</v>
      </c>
      <c r="E7490" t="s">
        <v>23981</v>
      </c>
      <c r="F7490" t="s">
        <v>30052</v>
      </c>
      <c r="G7490" t="s">
        <v>30058</v>
      </c>
      <c r="H7490" t="s">
        <v>15498</v>
      </c>
      <c r="I7490" t="s">
        <v>30074</v>
      </c>
      <c r="J7490" t="s">
        <v>34807</v>
      </c>
      <c r="K7490" t="s">
        <v>39038</v>
      </c>
      <c r="M7490" t="s">
        <v>39909</v>
      </c>
      <c r="N7490" t="s">
        <v>43166</v>
      </c>
      <c r="O7490" t="s">
        <v>43167</v>
      </c>
      <c r="P7490">
        <v>0</v>
      </c>
      <c r="Q7490">
        <v>3</v>
      </c>
      <c r="R7490" t="s">
        <v>43173</v>
      </c>
      <c r="S7490" t="s">
        <v>43374</v>
      </c>
      <c r="T7490" t="s">
        <v>45000</v>
      </c>
      <c r="U7490" t="s">
        <v>51178</v>
      </c>
      <c r="W7490" t="s">
        <v>39909</v>
      </c>
      <c r="X7490" t="s">
        <v>43174</v>
      </c>
    </row>
    <row r="7491" spans="1:24">
      <c r="A7491">
        <f>HYPERLINK("https://www.philgeps.gov.ph/GEPSNONPILOT/Tender/SplashBidNoticeAbstractUI.aspx?menuIndex=3&amp;refID=7078039&amp;Result=3","7078039")</f>
        <v>0</v>
      </c>
      <c r="B7491" t="s">
        <v>429</v>
      </c>
      <c r="C7491" t="s">
        <v>10542</v>
      </c>
      <c r="D7491" t="s">
        <v>17433</v>
      </c>
      <c r="E7491" t="s">
        <v>23982</v>
      </c>
      <c r="F7491" t="s">
        <v>30052</v>
      </c>
      <c r="G7491" t="s">
        <v>30058</v>
      </c>
      <c r="H7491" t="s">
        <v>15498</v>
      </c>
      <c r="I7491" t="s">
        <v>30081</v>
      </c>
      <c r="J7491" t="s">
        <v>34808</v>
      </c>
      <c r="K7491" t="s">
        <v>39034</v>
      </c>
      <c r="M7491" t="s">
        <v>39728</v>
      </c>
      <c r="N7491" t="s">
        <v>43166</v>
      </c>
      <c r="O7491" t="s">
        <v>43167</v>
      </c>
      <c r="P7491">
        <v>0</v>
      </c>
      <c r="Q7491">
        <v>0</v>
      </c>
      <c r="R7491" t="s">
        <v>43173</v>
      </c>
      <c r="S7491" t="s">
        <v>43374</v>
      </c>
      <c r="T7491" t="s">
        <v>44691</v>
      </c>
      <c r="U7491" t="s">
        <v>51265</v>
      </c>
      <c r="W7491" t="s">
        <v>39728</v>
      </c>
      <c r="X7491" t="s">
        <v>43174</v>
      </c>
    </row>
    <row r="7492" spans="1:24">
      <c r="A7492">
        <f>HYPERLINK("https://www.philgeps.gov.ph/GEPSNONPILOT/Tender/SplashBidNoticeAbstractUI.aspx?menuIndex=3&amp;refID=7078041&amp;Result=3","7078041")</f>
        <v>0</v>
      </c>
      <c r="B7492" t="s">
        <v>1377</v>
      </c>
      <c r="C7492" t="s">
        <v>10543</v>
      </c>
      <c r="D7492" t="s">
        <v>17415</v>
      </c>
      <c r="E7492" t="s">
        <v>23983</v>
      </c>
      <c r="F7492" t="s">
        <v>30052</v>
      </c>
      <c r="G7492" t="s">
        <v>30058</v>
      </c>
      <c r="H7492" t="s">
        <v>15498</v>
      </c>
      <c r="I7492" t="s">
        <v>30084</v>
      </c>
      <c r="J7492" t="s">
        <v>31664</v>
      </c>
      <c r="K7492" t="s">
        <v>39046</v>
      </c>
      <c r="M7492" t="s">
        <v>41825</v>
      </c>
      <c r="N7492" t="s">
        <v>43166</v>
      </c>
      <c r="O7492" t="s">
        <v>43167</v>
      </c>
      <c r="P7492">
        <v>0</v>
      </c>
      <c r="Q7492">
        <v>11</v>
      </c>
      <c r="R7492" t="s">
        <v>43173</v>
      </c>
      <c r="S7492" t="s">
        <v>43374</v>
      </c>
      <c r="T7492" t="s">
        <v>44828</v>
      </c>
      <c r="U7492" t="s">
        <v>51266</v>
      </c>
      <c r="W7492" t="s">
        <v>41825</v>
      </c>
      <c r="X7492" t="s">
        <v>43174</v>
      </c>
    </row>
    <row r="7493" spans="1:24">
      <c r="A7493">
        <f>HYPERLINK("https://www.philgeps.gov.ph/GEPSNONPILOT/Tender/SplashBidNoticeAbstractUI.aspx?menuIndex=3&amp;refID=7078036&amp;Result=3","7078036")</f>
        <v>0</v>
      </c>
      <c r="B7493" t="s">
        <v>1736</v>
      </c>
      <c r="C7493" t="s">
        <v>10544</v>
      </c>
      <c r="D7493" t="s">
        <v>17444</v>
      </c>
      <c r="E7493" t="s">
        <v>23984</v>
      </c>
      <c r="F7493" t="s">
        <v>30052</v>
      </c>
      <c r="G7493" t="s">
        <v>30061</v>
      </c>
      <c r="H7493" t="s">
        <v>15498</v>
      </c>
      <c r="I7493" t="s">
        <v>8323</v>
      </c>
      <c r="J7493" t="s">
        <v>30398</v>
      </c>
      <c r="K7493" t="s">
        <v>39034</v>
      </c>
      <c r="M7493" t="s">
        <v>41153</v>
      </c>
      <c r="N7493" t="s">
        <v>43166</v>
      </c>
      <c r="O7493" t="s">
        <v>43167</v>
      </c>
      <c r="P7493">
        <v>0</v>
      </c>
      <c r="Q7493">
        <v>0</v>
      </c>
      <c r="R7493" t="s">
        <v>43173</v>
      </c>
      <c r="S7493" t="s">
        <v>43374</v>
      </c>
      <c r="T7493" t="s">
        <v>44717</v>
      </c>
      <c r="U7493" t="s">
        <v>51267</v>
      </c>
      <c r="W7493" t="s">
        <v>41153</v>
      </c>
      <c r="X7493" t="s">
        <v>43174</v>
      </c>
    </row>
    <row r="7494" spans="1:24">
      <c r="A7494">
        <f>HYPERLINK("https://www.philgeps.gov.ph/GEPSNONPILOT/Tender/SplashBidNoticeAbstractUI.aspx?menuIndex=3&amp;refID=7078030&amp;Result=3","7078030")</f>
        <v>0</v>
      </c>
      <c r="B7494" t="s">
        <v>236</v>
      </c>
      <c r="C7494" t="s">
        <v>10545</v>
      </c>
      <c r="D7494" t="s">
        <v>17427</v>
      </c>
      <c r="E7494" t="s">
        <v>23985</v>
      </c>
      <c r="F7494" t="s">
        <v>30052</v>
      </c>
      <c r="G7494" t="s">
        <v>30059</v>
      </c>
      <c r="H7494" t="s">
        <v>30069</v>
      </c>
      <c r="I7494" t="s">
        <v>8758</v>
      </c>
      <c r="J7494" t="s">
        <v>34809</v>
      </c>
      <c r="K7494" t="s">
        <v>39029</v>
      </c>
      <c r="M7494" t="s">
        <v>41826</v>
      </c>
      <c r="N7494" t="s">
        <v>43166</v>
      </c>
      <c r="O7494" t="s">
        <v>43167</v>
      </c>
      <c r="P7494">
        <v>0</v>
      </c>
      <c r="Q7494">
        <v>4</v>
      </c>
      <c r="R7494" t="s">
        <v>43173</v>
      </c>
      <c r="S7494" t="s">
        <v>43374</v>
      </c>
      <c r="T7494" t="s">
        <v>45051</v>
      </c>
      <c r="U7494" t="s">
        <v>51268</v>
      </c>
      <c r="V7494" t="s">
        <v>57609</v>
      </c>
      <c r="W7494" t="s">
        <v>41826</v>
      </c>
      <c r="X7494" t="s">
        <v>43174</v>
      </c>
    </row>
    <row r="7495" spans="1:24">
      <c r="A7495">
        <f>HYPERLINK("https://www.philgeps.gov.ph/GEPSNONPILOT/Tender/SplashBidNoticeAbstractUI.aspx?menuIndex=3&amp;refID=7078029&amp;Result=3","7078029")</f>
        <v>0</v>
      </c>
      <c r="B7495" t="s">
        <v>2337</v>
      </c>
      <c r="C7495" t="s">
        <v>8066</v>
      </c>
      <c r="D7495" t="s">
        <v>17457</v>
      </c>
      <c r="E7495" t="s">
        <v>18372</v>
      </c>
      <c r="F7495" t="s">
        <v>30052</v>
      </c>
      <c r="G7495" t="s">
        <v>30058</v>
      </c>
      <c r="H7495" t="s">
        <v>30067</v>
      </c>
      <c r="I7495" t="s">
        <v>3693</v>
      </c>
      <c r="J7495" t="s">
        <v>30277</v>
      </c>
      <c r="K7495" t="s">
        <v>39028</v>
      </c>
      <c r="M7495" t="s">
        <v>41827</v>
      </c>
      <c r="N7495" t="s">
        <v>43166</v>
      </c>
      <c r="O7495" t="s">
        <v>43167</v>
      </c>
      <c r="P7495">
        <v>0</v>
      </c>
      <c r="Q7495">
        <v>1</v>
      </c>
      <c r="R7495" t="s">
        <v>43173</v>
      </c>
      <c r="S7495" t="s">
        <v>43374</v>
      </c>
      <c r="T7495" t="s">
        <v>44708</v>
      </c>
      <c r="U7495" t="s">
        <v>51269</v>
      </c>
      <c r="W7495" t="s">
        <v>41827</v>
      </c>
      <c r="X7495" t="s">
        <v>43174</v>
      </c>
    </row>
    <row r="7496" spans="1:24">
      <c r="A7496">
        <f>HYPERLINK("https://www.philgeps.gov.ph/GEPSNONPILOT/Tender/SplashBidNoticeAbstractUI.aspx?menuIndex=3&amp;refID=7078038&amp;Result=3","7078038")</f>
        <v>0</v>
      </c>
      <c r="B7496" t="s">
        <v>2338</v>
      </c>
      <c r="C7496" t="s">
        <v>10546</v>
      </c>
      <c r="D7496" t="s">
        <v>17472</v>
      </c>
      <c r="E7496" t="s">
        <v>23986</v>
      </c>
      <c r="F7496" t="s">
        <v>30052</v>
      </c>
      <c r="G7496" t="s">
        <v>30059</v>
      </c>
      <c r="H7496" t="s">
        <v>15498</v>
      </c>
      <c r="I7496" t="s">
        <v>3852</v>
      </c>
      <c r="J7496" t="s">
        <v>34810</v>
      </c>
      <c r="K7496" t="s">
        <v>39025</v>
      </c>
      <c r="M7496" t="s">
        <v>41828</v>
      </c>
      <c r="N7496" t="s">
        <v>43166</v>
      </c>
      <c r="O7496" t="s">
        <v>43167</v>
      </c>
      <c r="P7496">
        <v>0</v>
      </c>
      <c r="Q7496">
        <v>1</v>
      </c>
      <c r="R7496" t="s">
        <v>43173</v>
      </c>
      <c r="S7496" t="s">
        <v>43374</v>
      </c>
      <c r="T7496" t="s">
        <v>44856</v>
      </c>
      <c r="U7496" t="s">
        <v>51270</v>
      </c>
      <c r="W7496" t="s">
        <v>41828</v>
      </c>
      <c r="X7496" t="s">
        <v>43174</v>
      </c>
    </row>
    <row r="7497" spans="1:24">
      <c r="A7497">
        <f>HYPERLINK("https://www.philgeps.gov.ph/GEPSNONPILOT/Tender/SplashBidNoticeAbstractUI.aspx?menuIndex=3&amp;refID=7078024&amp;Result=3","7078024")</f>
        <v>0</v>
      </c>
      <c r="B7497" t="s">
        <v>2039</v>
      </c>
      <c r="C7497" t="s">
        <v>10547</v>
      </c>
      <c r="D7497" t="s">
        <v>17452</v>
      </c>
      <c r="E7497" t="s">
        <v>23987</v>
      </c>
      <c r="F7497" t="s">
        <v>30052</v>
      </c>
      <c r="G7497" t="s">
        <v>30058</v>
      </c>
      <c r="H7497" t="s">
        <v>30067</v>
      </c>
      <c r="I7497" t="s">
        <v>3693</v>
      </c>
      <c r="J7497" t="s">
        <v>31835</v>
      </c>
      <c r="K7497" t="s">
        <v>39127</v>
      </c>
      <c r="M7497" t="s">
        <v>41488</v>
      </c>
      <c r="N7497" t="s">
        <v>43166</v>
      </c>
      <c r="O7497" t="s">
        <v>43167</v>
      </c>
      <c r="P7497">
        <v>0</v>
      </c>
      <c r="Q7497">
        <v>2</v>
      </c>
      <c r="R7497" t="s">
        <v>43173</v>
      </c>
      <c r="S7497" t="s">
        <v>43374</v>
      </c>
      <c r="T7497" t="s">
        <v>44722</v>
      </c>
      <c r="U7497" t="s">
        <v>51271</v>
      </c>
      <c r="V7497" t="s">
        <v>57610</v>
      </c>
      <c r="W7497" t="s">
        <v>41488</v>
      </c>
      <c r="X7497" t="s">
        <v>43174</v>
      </c>
    </row>
    <row r="7498" spans="1:24">
      <c r="A7498">
        <f>HYPERLINK("https://www.philgeps.gov.ph/GEPSNONPILOT/Tender/SplashBidNoticeAbstractUI.aspx?menuIndex=3&amp;refID=7077820&amp;Result=3","7077820")</f>
        <v>0</v>
      </c>
      <c r="B7498" t="s">
        <v>1397</v>
      </c>
      <c r="C7498" t="s">
        <v>10548</v>
      </c>
      <c r="D7498" t="s">
        <v>17455</v>
      </c>
      <c r="E7498" t="s">
        <v>23988</v>
      </c>
      <c r="F7498" t="s">
        <v>30052</v>
      </c>
      <c r="G7498" t="s">
        <v>30058</v>
      </c>
      <c r="H7498" t="s">
        <v>15498</v>
      </c>
      <c r="I7498" t="s">
        <v>4650</v>
      </c>
      <c r="J7498" t="s">
        <v>30900</v>
      </c>
      <c r="K7498" t="s">
        <v>39019</v>
      </c>
      <c r="M7498" t="s">
        <v>40773</v>
      </c>
      <c r="N7498" t="s">
        <v>43166</v>
      </c>
      <c r="O7498" t="s">
        <v>43167</v>
      </c>
      <c r="P7498">
        <v>0</v>
      </c>
      <c r="Q7498">
        <v>7</v>
      </c>
      <c r="R7498" t="s">
        <v>43173</v>
      </c>
      <c r="S7498" t="s">
        <v>43374</v>
      </c>
      <c r="T7498" t="s">
        <v>44773</v>
      </c>
      <c r="U7498" t="s">
        <v>51272</v>
      </c>
      <c r="W7498" t="s">
        <v>40773</v>
      </c>
      <c r="X7498" t="s">
        <v>43174</v>
      </c>
    </row>
    <row r="7499" spans="1:24">
      <c r="A7499">
        <f>HYPERLINK("https://www.philgeps.gov.ph/GEPSNONPILOT/Tender/SplashBidNoticeAbstractUI.aspx?menuIndex=3&amp;refID=7078034&amp;Result=3","7078034")</f>
        <v>0</v>
      </c>
      <c r="B7499" t="s">
        <v>2312</v>
      </c>
      <c r="C7499" t="s">
        <v>10549</v>
      </c>
      <c r="D7499" t="s">
        <v>17444</v>
      </c>
      <c r="E7499" t="s">
        <v>23989</v>
      </c>
      <c r="F7499" t="s">
        <v>30052</v>
      </c>
      <c r="G7499" t="s">
        <v>30061</v>
      </c>
      <c r="H7499" t="s">
        <v>15498</v>
      </c>
      <c r="I7499" t="s">
        <v>30071</v>
      </c>
      <c r="J7499" t="s">
        <v>34811</v>
      </c>
      <c r="K7499" t="s">
        <v>39019</v>
      </c>
      <c r="M7499" t="s">
        <v>41798</v>
      </c>
      <c r="N7499" t="s">
        <v>43166</v>
      </c>
      <c r="O7499" t="s">
        <v>43167</v>
      </c>
      <c r="P7499">
        <v>0</v>
      </c>
      <c r="Q7499">
        <v>0</v>
      </c>
      <c r="R7499" t="s">
        <v>43173</v>
      </c>
      <c r="S7499" t="s">
        <v>43374</v>
      </c>
      <c r="T7499" t="s">
        <v>44872</v>
      </c>
      <c r="U7499" t="s">
        <v>51164</v>
      </c>
      <c r="V7499" t="s">
        <v>57603</v>
      </c>
      <c r="W7499" t="s">
        <v>41798</v>
      </c>
      <c r="X7499" t="s">
        <v>43174</v>
      </c>
    </row>
    <row r="7500" spans="1:24">
      <c r="A7500">
        <f>HYPERLINK("https://www.philgeps.gov.ph/GEPSNONPILOT/Tender/SplashBidNoticeAbstractUI.aspx?menuIndex=3&amp;refID=7078017&amp;Result=3","7078017")</f>
        <v>0</v>
      </c>
      <c r="B7500" t="s">
        <v>102</v>
      </c>
      <c r="C7500" t="s">
        <v>10550</v>
      </c>
      <c r="D7500" t="s">
        <v>17433</v>
      </c>
      <c r="E7500" t="s">
        <v>23990</v>
      </c>
      <c r="F7500" t="s">
        <v>30052</v>
      </c>
      <c r="G7500" t="s">
        <v>30058</v>
      </c>
      <c r="H7500" t="s">
        <v>30067</v>
      </c>
      <c r="I7500" t="s">
        <v>3693</v>
      </c>
      <c r="J7500" t="s">
        <v>30221</v>
      </c>
      <c r="K7500" t="s">
        <v>39025</v>
      </c>
      <c r="M7500" t="s">
        <v>39391</v>
      </c>
      <c r="N7500" t="s">
        <v>43166</v>
      </c>
      <c r="O7500" t="s">
        <v>43167</v>
      </c>
      <c r="P7500">
        <v>0</v>
      </c>
      <c r="Q7500">
        <v>0</v>
      </c>
      <c r="R7500" t="s">
        <v>43173</v>
      </c>
      <c r="S7500" t="s">
        <v>43374</v>
      </c>
      <c r="T7500" t="s">
        <v>44807</v>
      </c>
      <c r="U7500" t="s">
        <v>51273</v>
      </c>
      <c r="W7500" t="s">
        <v>39391</v>
      </c>
      <c r="X7500" t="s">
        <v>43174</v>
      </c>
    </row>
    <row r="7501" spans="1:24">
      <c r="A7501">
        <f>HYPERLINK("https://www.philgeps.gov.ph/GEPSNONPILOT/Tender/SplashBidNoticeAbstractUI.aspx?menuIndex=3&amp;refID=7078027&amp;Result=3","7078027")</f>
        <v>0</v>
      </c>
      <c r="B7501" t="s">
        <v>2339</v>
      </c>
      <c r="C7501" t="s">
        <v>10551</v>
      </c>
      <c r="D7501" t="s">
        <v>17455</v>
      </c>
      <c r="E7501" t="s">
        <v>23991</v>
      </c>
      <c r="F7501" t="s">
        <v>30052</v>
      </c>
      <c r="G7501" t="s">
        <v>30061</v>
      </c>
      <c r="H7501" t="s">
        <v>15498</v>
      </c>
      <c r="I7501" t="s">
        <v>30081</v>
      </c>
      <c r="J7501" t="s">
        <v>34812</v>
      </c>
      <c r="K7501" t="s">
        <v>39017</v>
      </c>
      <c r="M7501" t="s">
        <v>41829</v>
      </c>
      <c r="N7501" t="s">
        <v>43166</v>
      </c>
      <c r="O7501" t="s">
        <v>43167</v>
      </c>
      <c r="P7501">
        <v>0</v>
      </c>
      <c r="Q7501">
        <v>0</v>
      </c>
      <c r="R7501" t="s">
        <v>43173</v>
      </c>
      <c r="S7501" t="s">
        <v>43374</v>
      </c>
      <c r="T7501" t="s">
        <v>44715</v>
      </c>
      <c r="U7501" t="s">
        <v>46494</v>
      </c>
      <c r="W7501" t="s">
        <v>58670</v>
      </c>
      <c r="X7501" t="s">
        <v>43174</v>
      </c>
    </row>
    <row r="7502" spans="1:24">
      <c r="A7502">
        <f>HYPERLINK("https://www.philgeps.gov.ph/GEPSNONPILOT/Tender/SplashBidNoticeAbstractUI.aspx?menuIndex=3&amp;refID=7078090&amp;Result=3","7078090")</f>
        <v>0</v>
      </c>
      <c r="B7502" t="s">
        <v>1313</v>
      </c>
      <c r="C7502" t="s">
        <v>10552</v>
      </c>
      <c r="D7502" t="s">
        <v>17415</v>
      </c>
      <c r="E7502" t="s">
        <v>23992</v>
      </c>
      <c r="F7502" t="s">
        <v>30052</v>
      </c>
      <c r="G7502" t="s">
        <v>30059</v>
      </c>
      <c r="H7502" t="s">
        <v>15498</v>
      </c>
      <c r="I7502" t="s">
        <v>3693</v>
      </c>
      <c r="J7502" t="s">
        <v>30337</v>
      </c>
      <c r="K7502" t="s">
        <v>39052</v>
      </c>
      <c r="M7502" t="s">
        <v>41830</v>
      </c>
      <c r="N7502" t="s">
        <v>43166</v>
      </c>
      <c r="O7502" t="s">
        <v>43167</v>
      </c>
      <c r="P7502">
        <v>0</v>
      </c>
      <c r="Q7502">
        <v>0</v>
      </c>
      <c r="R7502" t="s">
        <v>43173</v>
      </c>
      <c r="S7502" t="s">
        <v>43374</v>
      </c>
      <c r="T7502" t="s">
        <v>44717</v>
      </c>
      <c r="U7502" t="s">
        <v>51274</v>
      </c>
      <c r="W7502" t="s">
        <v>41830</v>
      </c>
      <c r="X7502" t="s">
        <v>43174</v>
      </c>
    </row>
    <row r="7503" spans="1:24">
      <c r="A7503">
        <f>HYPERLINK("https://www.philgeps.gov.ph/GEPSNONPILOT/Tender/SplashBidNoticeAbstractUI.aspx?menuIndex=3&amp;refID=7078086&amp;Result=3","7078086")</f>
        <v>0</v>
      </c>
      <c r="B7503" t="s">
        <v>2340</v>
      </c>
      <c r="C7503" t="s">
        <v>10553</v>
      </c>
      <c r="D7503" t="s">
        <v>17457</v>
      </c>
      <c r="E7503" t="s">
        <v>11486</v>
      </c>
      <c r="F7503" t="s">
        <v>30052</v>
      </c>
      <c r="G7503" t="s">
        <v>30058</v>
      </c>
      <c r="H7503" t="s">
        <v>30067</v>
      </c>
      <c r="I7503" t="s">
        <v>3693</v>
      </c>
      <c r="J7503" t="s">
        <v>34813</v>
      </c>
      <c r="K7503" t="s">
        <v>39131</v>
      </c>
      <c r="M7503" t="s">
        <v>41831</v>
      </c>
      <c r="N7503" t="s">
        <v>43166</v>
      </c>
      <c r="O7503" t="s">
        <v>43167</v>
      </c>
      <c r="P7503">
        <v>0</v>
      </c>
      <c r="Q7503">
        <v>0</v>
      </c>
      <c r="R7503" t="s">
        <v>43173</v>
      </c>
      <c r="S7503" t="s">
        <v>43374</v>
      </c>
      <c r="T7503" t="s">
        <v>44708</v>
      </c>
      <c r="U7503" t="s">
        <v>51275</v>
      </c>
      <c r="W7503" t="s">
        <v>41831</v>
      </c>
      <c r="X7503" t="s">
        <v>43174</v>
      </c>
    </row>
    <row r="7504" spans="1:24">
      <c r="A7504">
        <f>HYPERLINK("https://www.philgeps.gov.ph/GEPSNONPILOT/Tender/SplashBidNoticeAbstractUI.aspx?menuIndex=3&amp;refID=7078084&amp;Result=3","7078084")</f>
        <v>0</v>
      </c>
      <c r="B7504" t="s">
        <v>2341</v>
      </c>
      <c r="C7504" t="s">
        <v>10554</v>
      </c>
      <c r="D7504" t="s">
        <v>17441</v>
      </c>
      <c r="E7504" t="s">
        <v>17600</v>
      </c>
      <c r="F7504" t="s">
        <v>30052</v>
      </c>
      <c r="G7504" t="s">
        <v>30058</v>
      </c>
      <c r="H7504" t="s">
        <v>15498</v>
      </c>
      <c r="I7504" t="s">
        <v>30071</v>
      </c>
      <c r="J7504" t="s">
        <v>34814</v>
      </c>
      <c r="K7504" t="s">
        <v>39025</v>
      </c>
      <c r="M7504" t="s">
        <v>41832</v>
      </c>
      <c r="N7504" t="s">
        <v>43166</v>
      </c>
      <c r="O7504" t="s">
        <v>43167</v>
      </c>
      <c r="P7504">
        <v>0</v>
      </c>
      <c r="Q7504">
        <v>0</v>
      </c>
      <c r="R7504" t="s">
        <v>43173</v>
      </c>
      <c r="S7504" t="s">
        <v>43374</v>
      </c>
      <c r="T7504" t="s">
        <v>44714</v>
      </c>
      <c r="U7504" t="s">
        <v>51276</v>
      </c>
      <c r="W7504" t="s">
        <v>41832</v>
      </c>
      <c r="X7504" t="s">
        <v>43174</v>
      </c>
    </row>
    <row r="7505" spans="1:24">
      <c r="A7505">
        <f>HYPERLINK("https://www.philgeps.gov.ph/GEPSNONPILOT/Tender/SplashBidNoticeAbstractUI.aspx?menuIndex=3&amp;refID=7078082&amp;Result=3","7078082")</f>
        <v>0</v>
      </c>
      <c r="B7505" t="s">
        <v>2342</v>
      </c>
      <c r="C7505" t="s">
        <v>10555</v>
      </c>
      <c r="D7505" t="s">
        <v>17442</v>
      </c>
      <c r="E7505" t="s">
        <v>17673</v>
      </c>
      <c r="F7505" t="s">
        <v>30052</v>
      </c>
      <c r="G7505" t="s">
        <v>30058</v>
      </c>
      <c r="H7505" t="s">
        <v>30067</v>
      </c>
      <c r="I7505" t="s">
        <v>3693</v>
      </c>
      <c r="J7505" t="s">
        <v>30252</v>
      </c>
      <c r="K7505" t="s">
        <v>39026</v>
      </c>
      <c r="M7505" t="s">
        <v>41833</v>
      </c>
      <c r="N7505" t="s">
        <v>43166</v>
      </c>
      <c r="O7505" t="s">
        <v>43167</v>
      </c>
      <c r="P7505">
        <v>0</v>
      </c>
      <c r="Q7505">
        <v>0</v>
      </c>
      <c r="R7505" t="s">
        <v>43173</v>
      </c>
      <c r="S7505" t="s">
        <v>43374</v>
      </c>
      <c r="T7505" t="s">
        <v>45065</v>
      </c>
      <c r="U7505" t="s">
        <v>51277</v>
      </c>
      <c r="W7505" t="s">
        <v>41833</v>
      </c>
      <c r="X7505" t="s">
        <v>43174</v>
      </c>
    </row>
    <row r="7506" spans="1:24">
      <c r="A7506">
        <f>HYPERLINK("https://www.philgeps.gov.ph/GEPSNONPILOT/Tender/SplashBidNoticeAbstractUI.aspx?menuIndex=3&amp;refID=7078080&amp;Result=3","7078080")</f>
        <v>0</v>
      </c>
      <c r="B7506" t="s">
        <v>2339</v>
      </c>
      <c r="C7506" t="s">
        <v>10556</v>
      </c>
      <c r="D7506" t="s">
        <v>17455</v>
      </c>
      <c r="E7506" t="s">
        <v>23993</v>
      </c>
      <c r="F7506" t="s">
        <v>30052</v>
      </c>
      <c r="G7506" t="s">
        <v>30062</v>
      </c>
      <c r="H7506" t="s">
        <v>15498</v>
      </c>
      <c r="I7506" t="s">
        <v>30081</v>
      </c>
      <c r="J7506" t="s">
        <v>34815</v>
      </c>
      <c r="K7506" t="s">
        <v>39017</v>
      </c>
      <c r="M7506" t="s">
        <v>41829</v>
      </c>
      <c r="N7506" t="s">
        <v>43166</v>
      </c>
      <c r="O7506" t="s">
        <v>43167</v>
      </c>
      <c r="P7506">
        <v>0</v>
      </c>
      <c r="Q7506">
        <v>0</v>
      </c>
      <c r="R7506" t="s">
        <v>43173</v>
      </c>
      <c r="S7506" t="s">
        <v>43374</v>
      </c>
      <c r="T7506" t="s">
        <v>44715</v>
      </c>
      <c r="U7506" t="s">
        <v>51278</v>
      </c>
      <c r="W7506" t="s">
        <v>58670</v>
      </c>
      <c r="X7506" t="s">
        <v>43174</v>
      </c>
    </row>
    <row r="7507" spans="1:24">
      <c r="A7507">
        <f>HYPERLINK("https://www.philgeps.gov.ph/GEPSNONPILOT/Tender/SplashBidNoticeAbstractUI.aspx?menuIndex=3&amp;refID=7078066&amp;Result=3","7078066")</f>
        <v>0</v>
      </c>
      <c r="B7507" t="s">
        <v>2343</v>
      </c>
      <c r="C7507" t="s">
        <v>5411</v>
      </c>
      <c r="D7507" t="s">
        <v>17472</v>
      </c>
      <c r="E7507" t="s">
        <v>23994</v>
      </c>
      <c r="F7507" t="s">
        <v>30052</v>
      </c>
      <c r="G7507" t="s">
        <v>30058</v>
      </c>
      <c r="H7507" t="s">
        <v>15498</v>
      </c>
      <c r="I7507" t="s">
        <v>3736</v>
      </c>
      <c r="J7507" t="s">
        <v>34816</v>
      </c>
      <c r="K7507" t="s">
        <v>39019</v>
      </c>
      <c r="M7507" t="s">
        <v>41834</v>
      </c>
      <c r="N7507" t="s">
        <v>43166</v>
      </c>
      <c r="O7507" t="s">
        <v>43167</v>
      </c>
      <c r="P7507">
        <v>0</v>
      </c>
      <c r="Q7507">
        <v>1</v>
      </c>
      <c r="R7507" t="s">
        <v>43173</v>
      </c>
      <c r="S7507" t="s">
        <v>43374</v>
      </c>
      <c r="T7507" t="s">
        <v>44841</v>
      </c>
      <c r="U7507" t="s">
        <v>51279</v>
      </c>
      <c r="V7507" t="s">
        <v>57611</v>
      </c>
      <c r="W7507" t="s">
        <v>41834</v>
      </c>
      <c r="X7507" t="s">
        <v>43174</v>
      </c>
    </row>
    <row r="7508" spans="1:24">
      <c r="A7508">
        <f>HYPERLINK("https://www.philgeps.gov.ph/GEPSNONPILOT/Tender/SplashBidNoticeAbstractUI.aspx?menuIndex=3&amp;refID=7078065&amp;Result=3","7078065")</f>
        <v>0</v>
      </c>
      <c r="B7508" t="s">
        <v>2339</v>
      </c>
      <c r="C7508" t="s">
        <v>10557</v>
      </c>
      <c r="D7508" t="s">
        <v>17455</v>
      </c>
      <c r="E7508" t="s">
        <v>23995</v>
      </c>
      <c r="F7508" t="s">
        <v>30052</v>
      </c>
      <c r="G7508" t="s">
        <v>30061</v>
      </c>
      <c r="H7508" t="s">
        <v>15498</v>
      </c>
      <c r="I7508" t="s">
        <v>30081</v>
      </c>
      <c r="J7508" t="s">
        <v>34817</v>
      </c>
      <c r="K7508" t="s">
        <v>39017</v>
      </c>
      <c r="M7508" t="s">
        <v>41829</v>
      </c>
      <c r="N7508" t="s">
        <v>43166</v>
      </c>
      <c r="O7508" t="s">
        <v>43167</v>
      </c>
      <c r="P7508">
        <v>0</v>
      </c>
      <c r="Q7508">
        <v>0</v>
      </c>
      <c r="R7508" t="s">
        <v>43173</v>
      </c>
      <c r="S7508" t="s">
        <v>43374</v>
      </c>
      <c r="T7508" t="s">
        <v>44715</v>
      </c>
      <c r="U7508" t="s">
        <v>46494</v>
      </c>
      <c r="W7508" t="s">
        <v>58670</v>
      </c>
      <c r="X7508" t="s">
        <v>43174</v>
      </c>
    </row>
    <row r="7509" spans="1:24">
      <c r="A7509">
        <f>HYPERLINK("https://www.philgeps.gov.ph/GEPSNONPILOT/Tender/SplashBidNoticeAbstractUI.aspx?menuIndex=3&amp;refID=7078062&amp;Result=3","7078062")</f>
        <v>0</v>
      </c>
      <c r="B7509" t="s">
        <v>2319</v>
      </c>
      <c r="C7509" t="s">
        <v>10558</v>
      </c>
      <c r="D7509" t="s">
        <v>17476</v>
      </c>
      <c r="E7509" t="s">
        <v>23996</v>
      </c>
      <c r="F7509" t="s">
        <v>30052</v>
      </c>
      <c r="G7509" t="s">
        <v>30058</v>
      </c>
      <c r="H7509" t="s">
        <v>30067</v>
      </c>
      <c r="I7509" t="s">
        <v>3693</v>
      </c>
      <c r="J7509" t="s">
        <v>34818</v>
      </c>
      <c r="K7509" t="s">
        <v>39089</v>
      </c>
      <c r="M7509" t="s">
        <v>41805</v>
      </c>
      <c r="N7509" t="s">
        <v>43166</v>
      </c>
      <c r="O7509" t="s">
        <v>43167</v>
      </c>
      <c r="P7509">
        <v>0</v>
      </c>
      <c r="Q7509">
        <v>0</v>
      </c>
      <c r="R7509" t="s">
        <v>43173</v>
      </c>
      <c r="S7509" t="s">
        <v>43374</v>
      </c>
      <c r="T7509" t="s">
        <v>45066</v>
      </c>
      <c r="U7509" t="s">
        <v>51280</v>
      </c>
      <c r="W7509" t="s">
        <v>41805</v>
      </c>
      <c r="X7509" t="s">
        <v>43174</v>
      </c>
    </row>
    <row r="7510" spans="1:24">
      <c r="A7510">
        <f>HYPERLINK("https://www.philgeps.gov.ph/GEPSNONPILOT/Tender/SplashBidNoticeAbstractUI.aspx?menuIndex=3&amp;refID=7078060&amp;Result=3","7078060")</f>
        <v>0</v>
      </c>
      <c r="B7510" t="s">
        <v>268</v>
      </c>
      <c r="C7510" t="s">
        <v>10559</v>
      </c>
      <c r="D7510" t="s">
        <v>17459</v>
      </c>
      <c r="E7510" t="s">
        <v>23997</v>
      </c>
      <c r="F7510" t="s">
        <v>30052</v>
      </c>
      <c r="G7510" t="s">
        <v>30058</v>
      </c>
      <c r="H7510" t="s">
        <v>15498</v>
      </c>
      <c r="I7510" t="s">
        <v>30081</v>
      </c>
      <c r="J7510" t="s">
        <v>34819</v>
      </c>
      <c r="K7510" t="s">
        <v>39023</v>
      </c>
      <c r="M7510" t="s">
        <v>39561</v>
      </c>
      <c r="N7510" t="s">
        <v>43166</v>
      </c>
      <c r="O7510" t="s">
        <v>43167</v>
      </c>
      <c r="P7510">
        <v>0</v>
      </c>
      <c r="Q7510">
        <v>0</v>
      </c>
      <c r="R7510" t="s">
        <v>43173</v>
      </c>
      <c r="S7510" t="s">
        <v>43374</v>
      </c>
      <c r="T7510" t="s">
        <v>44711</v>
      </c>
      <c r="U7510" t="s">
        <v>51281</v>
      </c>
      <c r="V7510" t="s">
        <v>56837</v>
      </c>
      <c r="W7510" t="s">
        <v>39561</v>
      </c>
      <c r="X7510" t="s">
        <v>43174</v>
      </c>
    </row>
    <row r="7511" spans="1:24">
      <c r="A7511">
        <f>HYPERLINK("https://www.philgeps.gov.ph/GEPSNONPILOT/Tender/SplashBidNoticeAbstractUI.aspx?menuIndex=3&amp;refID=7078055&amp;Result=3","7078055")</f>
        <v>0</v>
      </c>
      <c r="B7511" t="s">
        <v>2312</v>
      </c>
      <c r="C7511" t="s">
        <v>10560</v>
      </c>
      <c r="D7511" t="s">
        <v>17444</v>
      </c>
      <c r="E7511" t="s">
        <v>23998</v>
      </c>
      <c r="F7511" t="s">
        <v>30052</v>
      </c>
      <c r="G7511" t="s">
        <v>30061</v>
      </c>
      <c r="H7511" t="s">
        <v>15498</v>
      </c>
      <c r="I7511" t="s">
        <v>30071</v>
      </c>
      <c r="J7511" t="s">
        <v>34820</v>
      </c>
      <c r="K7511" t="s">
        <v>39019</v>
      </c>
      <c r="M7511" t="s">
        <v>41798</v>
      </c>
      <c r="N7511" t="s">
        <v>43166</v>
      </c>
      <c r="O7511" t="s">
        <v>43167</v>
      </c>
      <c r="P7511">
        <v>0</v>
      </c>
      <c r="Q7511">
        <v>0</v>
      </c>
      <c r="R7511" t="s">
        <v>43173</v>
      </c>
      <c r="S7511" t="s">
        <v>43374</v>
      </c>
      <c r="T7511" t="s">
        <v>44837</v>
      </c>
      <c r="U7511" t="s">
        <v>51164</v>
      </c>
      <c r="V7511" t="s">
        <v>57612</v>
      </c>
      <c r="W7511" t="s">
        <v>41798</v>
      </c>
      <c r="X7511" t="s">
        <v>43174</v>
      </c>
    </row>
    <row r="7512" spans="1:24">
      <c r="A7512">
        <f>HYPERLINK("https://www.philgeps.gov.ph/GEPSNONPILOT/Tender/SplashBidNoticeAbstractUI.aspx?menuIndex=3&amp;refID=7078054&amp;Result=3","7078054")</f>
        <v>0</v>
      </c>
      <c r="B7512" t="s">
        <v>2344</v>
      </c>
      <c r="C7512" t="s">
        <v>10561</v>
      </c>
      <c r="D7512" t="s">
        <v>17422</v>
      </c>
      <c r="E7512" t="s">
        <v>23999</v>
      </c>
      <c r="F7512" t="s">
        <v>30052</v>
      </c>
      <c r="G7512" t="s">
        <v>30058</v>
      </c>
      <c r="H7512" t="s">
        <v>15498</v>
      </c>
      <c r="I7512" t="s">
        <v>30074</v>
      </c>
      <c r="J7512" t="s">
        <v>30209</v>
      </c>
      <c r="K7512" t="s">
        <v>39019</v>
      </c>
      <c r="M7512" t="s">
        <v>41835</v>
      </c>
      <c r="N7512" t="s">
        <v>43166</v>
      </c>
      <c r="O7512" t="s">
        <v>43167</v>
      </c>
      <c r="P7512">
        <v>0</v>
      </c>
      <c r="Q7512">
        <v>0</v>
      </c>
      <c r="R7512" t="s">
        <v>43173</v>
      </c>
      <c r="S7512" t="s">
        <v>43374</v>
      </c>
      <c r="T7512" t="s">
        <v>44685</v>
      </c>
      <c r="U7512" t="s">
        <v>51282</v>
      </c>
      <c r="W7512" t="s">
        <v>41835</v>
      </c>
      <c r="X7512" t="s">
        <v>43174</v>
      </c>
    </row>
    <row r="7513" spans="1:24">
      <c r="A7513">
        <f>HYPERLINK("https://www.philgeps.gov.ph/GEPSNONPILOT/Tender/SplashBidNoticeAbstractUI.aspx?menuIndex=3&amp;refID=7078052&amp;Result=3","7078052")</f>
        <v>0</v>
      </c>
      <c r="B7513" t="s">
        <v>2345</v>
      </c>
      <c r="C7513" t="s">
        <v>10562</v>
      </c>
      <c r="D7513" t="s">
        <v>17415</v>
      </c>
      <c r="E7513" t="s">
        <v>24000</v>
      </c>
      <c r="F7513" t="s">
        <v>30052</v>
      </c>
      <c r="G7513" t="s">
        <v>30058</v>
      </c>
      <c r="H7513" t="s">
        <v>15498</v>
      </c>
      <c r="I7513" t="s">
        <v>30084</v>
      </c>
      <c r="J7513" t="s">
        <v>30239</v>
      </c>
      <c r="K7513" t="s">
        <v>39023</v>
      </c>
      <c r="M7513" t="s">
        <v>41836</v>
      </c>
      <c r="N7513" t="s">
        <v>43166</v>
      </c>
      <c r="O7513" t="s">
        <v>43167</v>
      </c>
      <c r="P7513">
        <v>0</v>
      </c>
      <c r="Q7513">
        <v>13</v>
      </c>
      <c r="R7513" t="s">
        <v>43173</v>
      </c>
      <c r="S7513" t="s">
        <v>43374</v>
      </c>
      <c r="T7513" t="s">
        <v>44905</v>
      </c>
      <c r="U7513" t="s">
        <v>51283</v>
      </c>
      <c r="W7513" t="s">
        <v>41836</v>
      </c>
      <c r="X7513" t="s">
        <v>43174</v>
      </c>
    </row>
    <row r="7514" spans="1:24">
      <c r="A7514">
        <f>HYPERLINK("https://www.philgeps.gov.ph/GEPSNONPILOT/Tender/SplashBidNoticeAbstractUI.aspx?menuIndex=3&amp;refID=7078071&amp;Result=3","7078071")</f>
        <v>0</v>
      </c>
      <c r="B7514" t="s">
        <v>2039</v>
      </c>
      <c r="C7514" t="s">
        <v>10563</v>
      </c>
      <c r="D7514" t="s">
        <v>17452</v>
      </c>
      <c r="E7514" t="s">
        <v>24001</v>
      </c>
      <c r="F7514" t="s">
        <v>30052</v>
      </c>
      <c r="G7514" t="s">
        <v>30058</v>
      </c>
      <c r="H7514" t="s">
        <v>30067</v>
      </c>
      <c r="I7514" t="s">
        <v>3693</v>
      </c>
      <c r="J7514" t="s">
        <v>31851</v>
      </c>
      <c r="K7514" t="s">
        <v>39077</v>
      </c>
      <c r="M7514" t="s">
        <v>41488</v>
      </c>
      <c r="N7514" t="s">
        <v>43166</v>
      </c>
      <c r="O7514" t="s">
        <v>43167</v>
      </c>
      <c r="P7514">
        <v>0</v>
      </c>
      <c r="Q7514">
        <v>4</v>
      </c>
      <c r="R7514" t="s">
        <v>43173</v>
      </c>
      <c r="S7514" t="s">
        <v>43374</v>
      </c>
      <c r="T7514" t="s">
        <v>44722</v>
      </c>
      <c r="U7514" t="s">
        <v>51284</v>
      </c>
      <c r="V7514" t="s">
        <v>57613</v>
      </c>
      <c r="W7514" t="s">
        <v>41488</v>
      </c>
      <c r="X7514" t="s">
        <v>43174</v>
      </c>
    </row>
    <row r="7515" spans="1:24">
      <c r="A7515">
        <f>HYPERLINK("https://www.philgeps.gov.ph/GEPSNONPILOT/Tender/SplashBidNoticeAbstractUI.aspx?menuIndex=3&amp;refID=7078050&amp;Result=3","7078050")</f>
        <v>0</v>
      </c>
      <c r="B7515" t="s">
        <v>2346</v>
      </c>
      <c r="C7515" t="s">
        <v>10564</v>
      </c>
      <c r="D7515" t="s">
        <v>17466</v>
      </c>
      <c r="E7515" t="s">
        <v>24002</v>
      </c>
      <c r="F7515" t="s">
        <v>30052</v>
      </c>
      <c r="G7515" t="s">
        <v>30058</v>
      </c>
      <c r="H7515" t="s">
        <v>15498</v>
      </c>
      <c r="I7515" t="s">
        <v>30130</v>
      </c>
      <c r="J7515" t="s">
        <v>30333</v>
      </c>
      <c r="K7515" t="s">
        <v>39039</v>
      </c>
      <c r="M7515" t="s">
        <v>41837</v>
      </c>
      <c r="N7515" t="s">
        <v>43166</v>
      </c>
      <c r="O7515" t="s">
        <v>43167</v>
      </c>
      <c r="P7515">
        <v>0</v>
      </c>
      <c r="Q7515">
        <v>3</v>
      </c>
      <c r="R7515" t="s">
        <v>43173</v>
      </c>
      <c r="S7515" t="s">
        <v>43374</v>
      </c>
      <c r="T7515" t="s">
        <v>44813</v>
      </c>
      <c r="U7515" t="s">
        <v>51285</v>
      </c>
      <c r="W7515" t="s">
        <v>41837</v>
      </c>
      <c r="X7515" t="s">
        <v>43174</v>
      </c>
    </row>
    <row r="7516" spans="1:24">
      <c r="A7516">
        <f>HYPERLINK("https://www.philgeps.gov.ph/GEPSNONPILOT/Tender/SplashBidNoticeAbstractUI.aspx?menuIndex=3&amp;refID=7078048&amp;Result=3","7078048")</f>
        <v>0</v>
      </c>
      <c r="B7516" t="s">
        <v>1602</v>
      </c>
      <c r="C7516" t="s">
        <v>10565</v>
      </c>
      <c r="D7516" t="s">
        <v>17445</v>
      </c>
      <c r="E7516" t="s">
        <v>24003</v>
      </c>
      <c r="F7516" t="s">
        <v>30052</v>
      </c>
      <c r="G7516" t="s">
        <v>30058</v>
      </c>
      <c r="H7516" t="s">
        <v>30067</v>
      </c>
      <c r="I7516" t="s">
        <v>3693</v>
      </c>
      <c r="J7516" t="s">
        <v>30207</v>
      </c>
      <c r="K7516" t="s">
        <v>39025</v>
      </c>
      <c r="M7516" t="s">
        <v>41000</v>
      </c>
      <c r="N7516" t="s">
        <v>43166</v>
      </c>
      <c r="O7516" t="s">
        <v>43167</v>
      </c>
      <c r="P7516">
        <v>0</v>
      </c>
      <c r="Q7516">
        <v>0</v>
      </c>
      <c r="R7516" t="s">
        <v>43173</v>
      </c>
      <c r="S7516" t="s">
        <v>43374</v>
      </c>
      <c r="T7516" t="s">
        <v>44729</v>
      </c>
      <c r="U7516" t="s">
        <v>51064</v>
      </c>
      <c r="W7516" t="s">
        <v>41000</v>
      </c>
      <c r="X7516" t="s">
        <v>43174</v>
      </c>
    </row>
    <row r="7517" spans="1:24">
      <c r="A7517">
        <f>HYPERLINK("https://www.philgeps.gov.ph/GEPSNONPILOT/Tender/SplashBidNoticeAbstractUI.aspx?menuIndex=3&amp;refID=7078046&amp;Result=3","7078046")</f>
        <v>0</v>
      </c>
      <c r="B7517" t="s">
        <v>2339</v>
      </c>
      <c r="C7517" t="s">
        <v>10566</v>
      </c>
      <c r="D7517" t="s">
        <v>17455</v>
      </c>
      <c r="E7517" t="s">
        <v>24004</v>
      </c>
      <c r="F7517" t="s">
        <v>30052</v>
      </c>
      <c r="G7517" t="s">
        <v>30061</v>
      </c>
      <c r="H7517" t="s">
        <v>15498</v>
      </c>
      <c r="I7517" t="s">
        <v>30081</v>
      </c>
      <c r="J7517" t="s">
        <v>34821</v>
      </c>
      <c r="K7517" t="s">
        <v>39017</v>
      </c>
      <c r="M7517" t="s">
        <v>41829</v>
      </c>
      <c r="N7517" t="s">
        <v>43166</v>
      </c>
      <c r="O7517" t="s">
        <v>43167</v>
      </c>
      <c r="P7517">
        <v>0</v>
      </c>
      <c r="Q7517">
        <v>0</v>
      </c>
      <c r="R7517" t="s">
        <v>43173</v>
      </c>
      <c r="S7517" t="s">
        <v>43374</v>
      </c>
      <c r="T7517" t="s">
        <v>44715</v>
      </c>
      <c r="U7517" t="s">
        <v>51278</v>
      </c>
      <c r="W7517" t="s">
        <v>58670</v>
      </c>
      <c r="X7517" t="s">
        <v>43174</v>
      </c>
    </row>
    <row r="7518" spans="1:24">
      <c r="A7518">
        <f>HYPERLINK("https://www.philgeps.gov.ph/GEPSNONPILOT/Tender/SplashBidNoticeAbstractUI.aspx?menuIndex=3&amp;refID=7078045&amp;Result=3","7078045")</f>
        <v>0</v>
      </c>
      <c r="B7518" t="s">
        <v>1181</v>
      </c>
      <c r="C7518" t="s">
        <v>10567</v>
      </c>
      <c r="D7518" t="s">
        <v>17444</v>
      </c>
      <c r="E7518" t="s">
        <v>24005</v>
      </c>
      <c r="F7518" t="s">
        <v>30052</v>
      </c>
      <c r="G7518" t="s">
        <v>30061</v>
      </c>
      <c r="H7518" t="s">
        <v>15498</v>
      </c>
      <c r="I7518" t="s">
        <v>30096</v>
      </c>
      <c r="J7518" t="s">
        <v>34822</v>
      </c>
      <c r="K7518" t="s">
        <v>39025</v>
      </c>
      <c r="M7518" t="s">
        <v>40531</v>
      </c>
      <c r="N7518" t="s">
        <v>43166</v>
      </c>
      <c r="O7518" t="s">
        <v>43167</v>
      </c>
      <c r="P7518">
        <v>0</v>
      </c>
      <c r="Q7518">
        <v>3</v>
      </c>
      <c r="R7518" t="s">
        <v>43173</v>
      </c>
      <c r="S7518" t="s">
        <v>43374</v>
      </c>
      <c r="T7518" t="s">
        <v>44870</v>
      </c>
      <c r="U7518" t="s">
        <v>51286</v>
      </c>
      <c r="W7518" t="s">
        <v>40531</v>
      </c>
      <c r="X7518" t="s">
        <v>43174</v>
      </c>
    </row>
    <row r="7519" spans="1:24">
      <c r="A7519">
        <f>HYPERLINK("https://www.philgeps.gov.ph/GEPSNONPILOT/Tender/SplashBidNoticeAbstractUI.aspx?menuIndex=3&amp;refID=7078044&amp;Result=3","7078044")</f>
        <v>0</v>
      </c>
      <c r="B7519" t="s">
        <v>745</v>
      </c>
      <c r="C7519" t="s">
        <v>10568</v>
      </c>
      <c r="D7519" t="s">
        <v>17476</v>
      </c>
      <c r="E7519" t="s">
        <v>24006</v>
      </c>
      <c r="F7519" t="s">
        <v>30052</v>
      </c>
      <c r="G7519" t="s">
        <v>30058</v>
      </c>
      <c r="H7519" t="s">
        <v>15498</v>
      </c>
      <c r="I7519" t="s">
        <v>30083</v>
      </c>
      <c r="J7519" t="s">
        <v>34823</v>
      </c>
      <c r="K7519" t="s">
        <v>39019</v>
      </c>
      <c r="M7519" t="s">
        <v>40059</v>
      </c>
      <c r="N7519" t="s">
        <v>43166</v>
      </c>
      <c r="O7519" t="s">
        <v>43167</v>
      </c>
      <c r="P7519">
        <v>0</v>
      </c>
      <c r="Q7519">
        <v>2</v>
      </c>
      <c r="R7519" t="s">
        <v>43173</v>
      </c>
      <c r="S7519" t="s">
        <v>43374</v>
      </c>
      <c r="T7519" t="s">
        <v>45021</v>
      </c>
      <c r="U7519" t="s">
        <v>51287</v>
      </c>
      <c r="W7519" t="s">
        <v>40059</v>
      </c>
      <c r="X7519" t="s">
        <v>43174</v>
      </c>
    </row>
    <row r="7520" spans="1:24">
      <c r="A7520">
        <f>HYPERLINK("https://www.philgeps.gov.ph/GEPSNONPILOT/Tender/SplashBidNoticeAbstractUI.aspx?menuIndex=3&amp;refID=7078043&amp;Result=3","7078043")</f>
        <v>0</v>
      </c>
      <c r="B7520" t="s">
        <v>2347</v>
      </c>
      <c r="C7520" t="s">
        <v>10569</v>
      </c>
      <c r="D7520" t="s">
        <v>17440</v>
      </c>
      <c r="E7520" t="s">
        <v>24007</v>
      </c>
      <c r="F7520" t="s">
        <v>30052</v>
      </c>
      <c r="G7520" t="s">
        <v>30058</v>
      </c>
      <c r="H7520" t="s">
        <v>30067</v>
      </c>
      <c r="I7520" t="s">
        <v>3693</v>
      </c>
      <c r="J7520" t="s">
        <v>30222</v>
      </c>
      <c r="K7520" t="s">
        <v>39037</v>
      </c>
      <c r="M7520" t="s">
        <v>41838</v>
      </c>
      <c r="N7520" t="s">
        <v>43166</v>
      </c>
      <c r="O7520" t="s">
        <v>43167</v>
      </c>
      <c r="P7520">
        <v>0</v>
      </c>
      <c r="Q7520">
        <v>0</v>
      </c>
      <c r="R7520" t="s">
        <v>43173</v>
      </c>
      <c r="S7520" t="s">
        <v>43374</v>
      </c>
      <c r="T7520" t="s">
        <v>44685</v>
      </c>
      <c r="U7520" t="s">
        <v>51288</v>
      </c>
      <c r="V7520" t="s">
        <v>57614</v>
      </c>
      <c r="W7520" t="s">
        <v>41838</v>
      </c>
      <c r="X7520" t="s">
        <v>43174</v>
      </c>
    </row>
    <row r="7521" spans="1:24">
      <c r="A7521">
        <f>HYPERLINK("https://www.philgeps.gov.ph/GEPSNONPILOT/Tender/SplashBidNoticeAbstractUI.aspx?menuIndex=3&amp;refID=7078016&amp;Result=3","7078016")</f>
        <v>0</v>
      </c>
      <c r="B7521" t="s">
        <v>1024</v>
      </c>
      <c r="C7521" t="s">
        <v>10570</v>
      </c>
      <c r="D7521" t="s">
        <v>17432</v>
      </c>
      <c r="E7521" t="s">
        <v>24008</v>
      </c>
      <c r="F7521" t="s">
        <v>30052</v>
      </c>
      <c r="G7521" t="s">
        <v>30059</v>
      </c>
      <c r="H7521" t="s">
        <v>15498</v>
      </c>
      <c r="I7521" t="s">
        <v>30084</v>
      </c>
      <c r="J7521" t="s">
        <v>31258</v>
      </c>
      <c r="K7521" t="s">
        <v>39029</v>
      </c>
      <c r="M7521" t="s">
        <v>41806</v>
      </c>
      <c r="N7521" t="s">
        <v>43166</v>
      </c>
      <c r="O7521" t="s">
        <v>43167</v>
      </c>
      <c r="P7521">
        <v>0</v>
      </c>
      <c r="Q7521">
        <v>1</v>
      </c>
      <c r="R7521" t="s">
        <v>43173</v>
      </c>
      <c r="S7521" t="s">
        <v>43374</v>
      </c>
      <c r="T7521" t="s">
        <v>44717</v>
      </c>
      <c r="U7521" t="s">
        <v>51190</v>
      </c>
      <c r="W7521" t="s">
        <v>41806</v>
      </c>
      <c r="X7521" t="s">
        <v>43174</v>
      </c>
    </row>
    <row r="7522" spans="1:24">
      <c r="A7522">
        <f>HYPERLINK("https://www.philgeps.gov.ph/GEPSNONPILOT/Tender/SplashBidNoticeAbstractUI.aspx?menuIndex=3&amp;refID=7078013&amp;Result=3","7078013")</f>
        <v>0</v>
      </c>
      <c r="B7522" t="s">
        <v>1760</v>
      </c>
      <c r="C7522" t="s">
        <v>10571</v>
      </c>
      <c r="D7522" t="s">
        <v>17418</v>
      </c>
      <c r="E7522" t="s">
        <v>24009</v>
      </c>
      <c r="F7522" t="s">
        <v>30052</v>
      </c>
      <c r="G7522" t="s">
        <v>30059</v>
      </c>
      <c r="H7522" t="s">
        <v>15498</v>
      </c>
      <c r="I7522" t="s">
        <v>3606</v>
      </c>
      <c r="J7522" t="s">
        <v>32032</v>
      </c>
      <c r="K7522" t="s">
        <v>39025</v>
      </c>
      <c r="M7522" t="s">
        <v>41180</v>
      </c>
      <c r="N7522" t="s">
        <v>43166</v>
      </c>
      <c r="O7522" t="s">
        <v>43167</v>
      </c>
      <c r="P7522">
        <v>0</v>
      </c>
      <c r="Q7522">
        <v>15</v>
      </c>
      <c r="R7522" t="s">
        <v>43173</v>
      </c>
      <c r="S7522" t="s">
        <v>43374</v>
      </c>
      <c r="T7522" t="s">
        <v>44717</v>
      </c>
      <c r="U7522" t="s">
        <v>51289</v>
      </c>
      <c r="V7522" t="s">
        <v>57398</v>
      </c>
      <c r="W7522" t="s">
        <v>41180</v>
      </c>
      <c r="X7522" t="s">
        <v>43174</v>
      </c>
    </row>
    <row r="7523" spans="1:24">
      <c r="A7523">
        <f>HYPERLINK("https://www.philgeps.gov.ph/GEPSNONPILOT/Tender/SplashBidNoticeAbstractUI.aspx?menuIndex=3&amp;refID=7078011&amp;Result=3","7078011")</f>
        <v>0</v>
      </c>
      <c r="B7523" t="s">
        <v>2306</v>
      </c>
      <c r="C7523" t="s">
        <v>10572</v>
      </c>
      <c r="D7523" t="s">
        <v>17415</v>
      </c>
      <c r="E7523" t="s">
        <v>24010</v>
      </c>
      <c r="F7523" t="s">
        <v>30052</v>
      </c>
      <c r="G7523" t="s">
        <v>30058</v>
      </c>
      <c r="H7523" t="s">
        <v>15498</v>
      </c>
      <c r="I7523" t="s">
        <v>4119</v>
      </c>
      <c r="J7523" t="s">
        <v>34824</v>
      </c>
      <c r="K7523" t="s">
        <v>39023</v>
      </c>
      <c r="M7523" t="s">
        <v>41792</v>
      </c>
      <c r="N7523" t="s">
        <v>43166</v>
      </c>
      <c r="O7523" t="s">
        <v>43167</v>
      </c>
      <c r="P7523">
        <v>0</v>
      </c>
      <c r="Q7523">
        <v>7</v>
      </c>
      <c r="R7523" t="s">
        <v>43173</v>
      </c>
      <c r="S7523" t="s">
        <v>43374</v>
      </c>
      <c r="T7523" t="s">
        <v>45000</v>
      </c>
      <c r="U7523" t="s">
        <v>51290</v>
      </c>
      <c r="W7523" t="s">
        <v>41792</v>
      </c>
      <c r="X7523" t="s">
        <v>43174</v>
      </c>
    </row>
    <row r="7524" spans="1:24">
      <c r="A7524">
        <f>HYPERLINK("https://www.philgeps.gov.ph/GEPSNONPILOT/Tender/SplashBidNoticeAbstractUI.aspx?menuIndex=3&amp;refID=7078007&amp;Result=3","7078007")</f>
        <v>0</v>
      </c>
      <c r="B7524" t="s">
        <v>2303</v>
      </c>
      <c r="C7524" t="s">
        <v>10573</v>
      </c>
      <c r="D7524" t="s">
        <v>17472</v>
      </c>
      <c r="E7524" t="s">
        <v>24011</v>
      </c>
      <c r="F7524" t="s">
        <v>30052</v>
      </c>
      <c r="G7524" t="s">
        <v>30058</v>
      </c>
      <c r="H7524" t="s">
        <v>30067</v>
      </c>
      <c r="I7524" t="s">
        <v>3693</v>
      </c>
      <c r="J7524" t="s">
        <v>34825</v>
      </c>
      <c r="K7524" t="s">
        <v>39026</v>
      </c>
      <c r="M7524" t="s">
        <v>41789</v>
      </c>
      <c r="N7524" t="s">
        <v>43166</v>
      </c>
      <c r="O7524" t="s">
        <v>43167</v>
      </c>
      <c r="P7524">
        <v>0</v>
      </c>
      <c r="Q7524">
        <v>0</v>
      </c>
      <c r="R7524" t="s">
        <v>43173</v>
      </c>
      <c r="S7524" t="s">
        <v>43374</v>
      </c>
      <c r="T7524" t="s">
        <v>44714</v>
      </c>
      <c r="U7524" t="s">
        <v>51291</v>
      </c>
      <c r="W7524" t="s">
        <v>41789</v>
      </c>
      <c r="X7524" t="s">
        <v>43174</v>
      </c>
    </row>
    <row r="7525" spans="1:24">
      <c r="A7525">
        <f>HYPERLINK("https://www.philgeps.gov.ph/GEPSNONPILOT/Tender/SplashBidNoticeAbstractUI.aspx?menuIndex=3&amp;refID=7078005&amp;Result=3","7078005")</f>
        <v>0</v>
      </c>
      <c r="B7525" t="s">
        <v>1710</v>
      </c>
      <c r="C7525" t="s">
        <v>10574</v>
      </c>
      <c r="D7525" t="s">
        <v>17414</v>
      </c>
      <c r="E7525" t="s">
        <v>23390</v>
      </c>
      <c r="F7525" t="s">
        <v>30052</v>
      </c>
      <c r="G7525" t="s">
        <v>30059</v>
      </c>
      <c r="H7525" t="s">
        <v>15498</v>
      </c>
      <c r="I7525" t="s">
        <v>3736</v>
      </c>
      <c r="J7525" t="s">
        <v>34826</v>
      </c>
      <c r="K7525" t="s">
        <v>39037</v>
      </c>
      <c r="M7525" t="s">
        <v>41125</v>
      </c>
      <c r="N7525" t="s">
        <v>43166</v>
      </c>
      <c r="O7525" t="s">
        <v>43167</v>
      </c>
      <c r="P7525">
        <v>0</v>
      </c>
      <c r="Q7525">
        <v>0</v>
      </c>
      <c r="R7525" t="s">
        <v>43173</v>
      </c>
      <c r="S7525" t="s">
        <v>43374</v>
      </c>
      <c r="T7525" t="s">
        <v>44864</v>
      </c>
      <c r="U7525" t="s">
        <v>48983</v>
      </c>
      <c r="W7525" t="s">
        <v>41125</v>
      </c>
      <c r="X7525" t="s">
        <v>43174</v>
      </c>
    </row>
    <row r="7526" spans="1:24">
      <c r="A7526">
        <f>HYPERLINK("https://www.philgeps.gov.ph/GEPSNONPILOT/Tender/SplashBidNoticeAbstractUI.aspx?menuIndex=3&amp;refID=7077998&amp;Result=3","7077998")</f>
        <v>0</v>
      </c>
      <c r="B7526" t="s">
        <v>925</v>
      </c>
      <c r="C7526" t="s">
        <v>10575</v>
      </c>
      <c r="D7526" t="s">
        <v>17474</v>
      </c>
      <c r="E7526" t="s">
        <v>24012</v>
      </c>
      <c r="F7526" t="s">
        <v>30052</v>
      </c>
      <c r="G7526" t="s">
        <v>30059</v>
      </c>
      <c r="H7526" t="s">
        <v>15498</v>
      </c>
      <c r="I7526" t="s">
        <v>30083</v>
      </c>
      <c r="J7526" t="s">
        <v>34827</v>
      </c>
      <c r="K7526" t="s">
        <v>39035</v>
      </c>
      <c r="M7526" t="s">
        <v>40984</v>
      </c>
      <c r="N7526" t="s">
        <v>43166</v>
      </c>
      <c r="O7526" t="s">
        <v>43167</v>
      </c>
      <c r="P7526">
        <v>0</v>
      </c>
      <c r="Q7526">
        <v>0</v>
      </c>
      <c r="R7526" t="s">
        <v>43173</v>
      </c>
      <c r="S7526" t="s">
        <v>43374</v>
      </c>
      <c r="T7526" t="s">
        <v>44856</v>
      </c>
      <c r="U7526" t="s">
        <v>51292</v>
      </c>
      <c r="W7526" t="s">
        <v>40984</v>
      </c>
      <c r="X7526" t="s">
        <v>43174</v>
      </c>
    </row>
    <row r="7527" spans="1:24">
      <c r="A7527">
        <f>HYPERLINK("https://www.philgeps.gov.ph/GEPSNONPILOT/Tender/SplashBidNoticeAbstractUI.aspx?menuIndex=3&amp;refID=7077999&amp;Result=3","7077999")</f>
        <v>0</v>
      </c>
      <c r="B7527" t="s">
        <v>2336</v>
      </c>
      <c r="C7527" t="s">
        <v>10576</v>
      </c>
      <c r="D7527" t="s">
        <v>17465</v>
      </c>
      <c r="E7527" t="s">
        <v>24013</v>
      </c>
      <c r="F7527" t="s">
        <v>30052</v>
      </c>
      <c r="G7527" t="s">
        <v>30061</v>
      </c>
      <c r="H7527" t="s">
        <v>15498</v>
      </c>
      <c r="I7527" t="s">
        <v>5961</v>
      </c>
      <c r="J7527" t="s">
        <v>34828</v>
      </c>
      <c r="K7527" t="s">
        <v>39036</v>
      </c>
      <c r="M7527" t="s">
        <v>41824</v>
      </c>
      <c r="N7527" t="s">
        <v>43166</v>
      </c>
      <c r="O7527" t="s">
        <v>43167</v>
      </c>
      <c r="P7527">
        <v>0</v>
      </c>
      <c r="Q7527">
        <v>2</v>
      </c>
      <c r="R7527" t="s">
        <v>43173</v>
      </c>
      <c r="S7527" t="s">
        <v>43374</v>
      </c>
      <c r="T7527" t="s">
        <v>44715</v>
      </c>
      <c r="U7527" t="s">
        <v>51293</v>
      </c>
      <c r="W7527" t="s">
        <v>41824</v>
      </c>
      <c r="X7527" t="s">
        <v>43174</v>
      </c>
    </row>
    <row r="7528" spans="1:24">
      <c r="A7528">
        <f>HYPERLINK("https://www.philgeps.gov.ph/GEPSNONPILOT/Tender/SplashBidNoticeAbstractUI.aspx?menuIndex=3&amp;refID=7077626&amp;Result=3","7077626")</f>
        <v>0</v>
      </c>
      <c r="B7528" t="s">
        <v>1940</v>
      </c>
      <c r="C7528" t="s">
        <v>10577</v>
      </c>
      <c r="D7528" t="s">
        <v>17427</v>
      </c>
      <c r="E7528" t="s">
        <v>24014</v>
      </c>
      <c r="F7528" t="s">
        <v>30052</v>
      </c>
      <c r="G7528" t="s">
        <v>30058</v>
      </c>
      <c r="H7528" t="s">
        <v>30067</v>
      </c>
      <c r="I7528" t="s">
        <v>3693</v>
      </c>
      <c r="J7528" t="s">
        <v>34829</v>
      </c>
      <c r="K7528" t="s">
        <v>39025</v>
      </c>
      <c r="M7528" t="s">
        <v>41375</v>
      </c>
      <c r="N7528" t="s">
        <v>43166</v>
      </c>
      <c r="O7528" t="s">
        <v>43167</v>
      </c>
      <c r="P7528">
        <v>0</v>
      </c>
      <c r="Q7528">
        <v>0</v>
      </c>
      <c r="R7528" t="s">
        <v>43173</v>
      </c>
      <c r="S7528" t="s">
        <v>43374</v>
      </c>
      <c r="T7528" t="s">
        <v>44752</v>
      </c>
      <c r="U7528" t="s">
        <v>51294</v>
      </c>
      <c r="W7528" t="s">
        <v>41375</v>
      </c>
      <c r="X7528" t="s">
        <v>43174</v>
      </c>
    </row>
    <row r="7529" spans="1:24">
      <c r="A7529">
        <f>HYPERLINK("https://www.philgeps.gov.ph/GEPSNONPILOT/Tender/SplashBidNoticeAbstractUI.aspx?menuIndex=3&amp;refID=7077623&amp;Result=3","7077623")</f>
        <v>0</v>
      </c>
      <c r="B7529" t="s">
        <v>316</v>
      </c>
      <c r="C7529" t="s">
        <v>10578</v>
      </c>
      <c r="D7529" t="s">
        <v>17415</v>
      </c>
      <c r="E7529" t="s">
        <v>20014</v>
      </c>
      <c r="F7529" t="s">
        <v>30052</v>
      </c>
      <c r="G7529" t="s">
        <v>30059</v>
      </c>
      <c r="H7529" t="s">
        <v>15498</v>
      </c>
      <c r="I7529" t="s">
        <v>6691</v>
      </c>
      <c r="J7529" t="s">
        <v>34830</v>
      </c>
      <c r="K7529" t="s">
        <v>39032</v>
      </c>
      <c r="M7529" t="s">
        <v>39612</v>
      </c>
      <c r="N7529" t="s">
        <v>43166</v>
      </c>
      <c r="O7529" t="s">
        <v>43167</v>
      </c>
      <c r="P7529">
        <v>0</v>
      </c>
      <c r="Q7529">
        <v>4</v>
      </c>
      <c r="R7529" t="s">
        <v>43173</v>
      </c>
      <c r="S7529" t="s">
        <v>43374</v>
      </c>
      <c r="T7529" t="s">
        <v>44862</v>
      </c>
      <c r="U7529" t="s">
        <v>51295</v>
      </c>
      <c r="V7529" t="s">
        <v>45722</v>
      </c>
      <c r="W7529" t="s">
        <v>39612</v>
      </c>
      <c r="X7529" t="s">
        <v>43174</v>
      </c>
    </row>
    <row r="7530" spans="1:24">
      <c r="A7530">
        <f>HYPERLINK("https://www.philgeps.gov.ph/GEPSNONPILOT/Tender/SplashBidNoticeAbstractUI.aspx?menuIndex=3&amp;refID=7078051&amp;Result=3","7078051")</f>
        <v>0</v>
      </c>
      <c r="B7530" t="s">
        <v>1710</v>
      </c>
      <c r="C7530" t="s">
        <v>10579</v>
      </c>
      <c r="D7530" t="s">
        <v>17414</v>
      </c>
      <c r="E7530" t="s">
        <v>23376</v>
      </c>
      <c r="F7530" t="s">
        <v>30052</v>
      </c>
      <c r="G7530" t="s">
        <v>30059</v>
      </c>
      <c r="H7530" t="s">
        <v>15498</v>
      </c>
      <c r="I7530" t="s">
        <v>30070</v>
      </c>
      <c r="J7530" t="s">
        <v>34831</v>
      </c>
      <c r="K7530" t="s">
        <v>39037</v>
      </c>
      <c r="M7530" t="s">
        <v>41125</v>
      </c>
      <c r="N7530" t="s">
        <v>43166</v>
      </c>
      <c r="O7530" t="s">
        <v>43167</v>
      </c>
      <c r="P7530">
        <v>0</v>
      </c>
      <c r="Q7530">
        <v>4</v>
      </c>
      <c r="R7530" t="s">
        <v>43173</v>
      </c>
      <c r="S7530" t="s">
        <v>43374</v>
      </c>
      <c r="T7530" t="s">
        <v>44864</v>
      </c>
      <c r="U7530" t="s">
        <v>48983</v>
      </c>
      <c r="W7530" t="s">
        <v>41125</v>
      </c>
      <c r="X7530" t="s">
        <v>43174</v>
      </c>
    </row>
    <row r="7531" spans="1:24">
      <c r="A7531">
        <f>HYPERLINK("https://www.philgeps.gov.ph/GEPSNONPILOT/Tender/SplashBidNoticeAbstractUI.aspx?menuIndex=3&amp;refID=7077594&amp;Result=3","7077594")</f>
        <v>0</v>
      </c>
      <c r="B7531" t="s">
        <v>208</v>
      </c>
      <c r="C7531" t="s">
        <v>10580</v>
      </c>
      <c r="D7531" t="s">
        <v>17415</v>
      </c>
      <c r="E7531" t="s">
        <v>20584</v>
      </c>
      <c r="F7531" t="s">
        <v>30052</v>
      </c>
      <c r="G7531" t="s">
        <v>30059</v>
      </c>
      <c r="H7531" t="s">
        <v>15498</v>
      </c>
      <c r="I7531" t="s">
        <v>4650</v>
      </c>
      <c r="J7531" t="s">
        <v>30868</v>
      </c>
      <c r="K7531" t="s">
        <v>39025</v>
      </c>
      <c r="M7531" t="s">
        <v>41713</v>
      </c>
      <c r="N7531" t="s">
        <v>43166</v>
      </c>
      <c r="O7531" t="s">
        <v>43167</v>
      </c>
      <c r="P7531">
        <v>0</v>
      </c>
      <c r="Q7531">
        <v>2</v>
      </c>
      <c r="R7531" t="s">
        <v>43173</v>
      </c>
      <c r="S7531" t="s">
        <v>43374</v>
      </c>
      <c r="T7531" t="s">
        <v>44777</v>
      </c>
      <c r="U7531" t="s">
        <v>51296</v>
      </c>
      <c r="W7531" t="s">
        <v>41713</v>
      </c>
      <c r="X7531" t="s">
        <v>43174</v>
      </c>
    </row>
    <row r="7532" spans="1:24">
      <c r="A7532">
        <f>HYPERLINK("https://www.philgeps.gov.ph/GEPSNONPILOT/Tender/SplashBidNoticeAbstractUI.aspx?menuIndex=3&amp;refID=7077593&amp;Result=3","7077593")</f>
        <v>0</v>
      </c>
      <c r="B7532" t="s">
        <v>2238</v>
      </c>
      <c r="C7532" t="s">
        <v>10581</v>
      </c>
      <c r="D7532" t="s">
        <v>17436</v>
      </c>
      <c r="E7532" t="s">
        <v>24015</v>
      </c>
      <c r="F7532" t="s">
        <v>30052</v>
      </c>
      <c r="G7532" t="s">
        <v>30058</v>
      </c>
      <c r="H7532" t="s">
        <v>15498</v>
      </c>
      <c r="I7532" t="s">
        <v>30076</v>
      </c>
      <c r="J7532" t="s">
        <v>30248</v>
      </c>
      <c r="K7532" t="s">
        <v>39019</v>
      </c>
      <c r="M7532" t="s">
        <v>41714</v>
      </c>
      <c r="N7532" t="s">
        <v>43166</v>
      </c>
      <c r="O7532" t="s">
        <v>43167</v>
      </c>
      <c r="P7532">
        <v>0</v>
      </c>
      <c r="Q7532">
        <v>0</v>
      </c>
      <c r="R7532" t="s">
        <v>43173</v>
      </c>
      <c r="S7532" t="s">
        <v>43374</v>
      </c>
      <c r="T7532" t="s">
        <v>44826</v>
      </c>
      <c r="U7532" t="s">
        <v>51297</v>
      </c>
      <c r="W7532" t="s">
        <v>41714</v>
      </c>
      <c r="X7532" t="s">
        <v>43174</v>
      </c>
    </row>
    <row r="7533" spans="1:24">
      <c r="A7533">
        <f>HYPERLINK("https://www.philgeps.gov.ph/GEPSNONPILOT/Tender/SplashBidNoticeAbstractUI.aspx?menuIndex=3&amp;refID=7077588&amp;Result=3","7077588")</f>
        <v>0</v>
      </c>
      <c r="B7533" t="s">
        <v>2348</v>
      </c>
      <c r="C7533" t="s">
        <v>10582</v>
      </c>
      <c r="D7533" t="s">
        <v>17455</v>
      </c>
      <c r="E7533" t="s">
        <v>24016</v>
      </c>
      <c r="F7533" t="s">
        <v>30052</v>
      </c>
      <c r="G7533" t="s">
        <v>30058</v>
      </c>
      <c r="H7533" t="s">
        <v>15498</v>
      </c>
      <c r="I7533" t="s">
        <v>30092</v>
      </c>
      <c r="J7533" t="s">
        <v>30218</v>
      </c>
      <c r="K7533" t="s">
        <v>39017</v>
      </c>
      <c r="M7533" t="s">
        <v>41839</v>
      </c>
      <c r="N7533" t="s">
        <v>43166</v>
      </c>
      <c r="O7533" t="s">
        <v>43167</v>
      </c>
      <c r="P7533">
        <v>0</v>
      </c>
      <c r="Q7533">
        <v>6</v>
      </c>
      <c r="R7533" t="s">
        <v>43173</v>
      </c>
      <c r="S7533" t="s">
        <v>43374</v>
      </c>
      <c r="T7533" t="s">
        <v>44758</v>
      </c>
      <c r="U7533" t="s">
        <v>51298</v>
      </c>
      <c r="W7533" t="s">
        <v>41839</v>
      </c>
      <c r="X7533" t="s">
        <v>43174</v>
      </c>
    </row>
    <row r="7534" spans="1:24">
      <c r="A7534">
        <f>HYPERLINK("https://www.philgeps.gov.ph/GEPSNONPILOT/Tender/SplashBidNoticeAbstractUI.aspx?menuIndex=3&amp;refID=7078132&amp;Result=3","7078132")</f>
        <v>0</v>
      </c>
      <c r="B7534" t="s">
        <v>498</v>
      </c>
      <c r="C7534" t="s">
        <v>10583</v>
      </c>
      <c r="D7534" t="s">
        <v>17431</v>
      </c>
      <c r="E7534" t="s">
        <v>24017</v>
      </c>
      <c r="F7534" t="s">
        <v>30052</v>
      </c>
      <c r="G7534" t="s">
        <v>30063</v>
      </c>
      <c r="H7534" t="s">
        <v>30067</v>
      </c>
      <c r="I7534" t="s">
        <v>3693</v>
      </c>
      <c r="J7534" t="s">
        <v>34749</v>
      </c>
      <c r="K7534" t="s">
        <v>39065</v>
      </c>
      <c r="M7534" t="s">
        <v>39799</v>
      </c>
      <c r="N7534" t="s">
        <v>43166</v>
      </c>
      <c r="O7534" t="s">
        <v>43167</v>
      </c>
      <c r="P7534">
        <v>0</v>
      </c>
      <c r="Q7534">
        <v>1</v>
      </c>
      <c r="R7534" t="s">
        <v>43173</v>
      </c>
      <c r="S7534" t="s">
        <v>43374</v>
      </c>
      <c r="T7534" t="s">
        <v>44758</v>
      </c>
      <c r="U7534" t="s">
        <v>51299</v>
      </c>
      <c r="W7534" t="s">
        <v>39799</v>
      </c>
      <c r="X7534" t="s">
        <v>43174</v>
      </c>
    </row>
    <row r="7535" spans="1:24">
      <c r="A7535">
        <f>HYPERLINK("https://www.philgeps.gov.ph/GEPSNONPILOT/Tender/SplashBidNoticeAbstractUI.aspx?menuIndex=3&amp;refID=7077989&amp;Result=3","7077989")</f>
        <v>0</v>
      </c>
      <c r="B7535" t="s">
        <v>820</v>
      </c>
      <c r="C7535" t="s">
        <v>10584</v>
      </c>
      <c r="E7535" t="s">
        <v>24018</v>
      </c>
      <c r="F7535" t="s">
        <v>30052</v>
      </c>
      <c r="G7535" t="s">
        <v>30059</v>
      </c>
      <c r="H7535" t="s">
        <v>15498</v>
      </c>
      <c r="I7535" t="s">
        <v>30084</v>
      </c>
      <c r="J7535" t="s">
        <v>30256</v>
      </c>
      <c r="K7535" t="s">
        <v>39025</v>
      </c>
      <c r="M7535" t="s">
        <v>40137</v>
      </c>
      <c r="N7535" t="s">
        <v>43166</v>
      </c>
      <c r="O7535" t="s">
        <v>43167</v>
      </c>
      <c r="P7535">
        <v>0</v>
      </c>
      <c r="Q7535">
        <v>1</v>
      </c>
      <c r="R7535" t="s">
        <v>43173</v>
      </c>
      <c r="S7535" t="s">
        <v>43374</v>
      </c>
      <c r="T7535" t="s">
        <v>44720</v>
      </c>
      <c r="U7535" t="s">
        <v>51300</v>
      </c>
      <c r="V7535" t="s">
        <v>57615</v>
      </c>
      <c r="W7535" t="s">
        <v>40137</v>
      </c>
      <c r="X7535" t="s">
        <v>43174</v>
      </c>
    </row>
    <row r="7536" spans="1:24">
      <c r="A7536">
        <f>HYPERLINK("https://www.philgeps.gov.ph/GEPSNONPILOT/Tender/SplashBidNoticeAbstractUI.aspx?menuIndex=3&amp;refID=7077621&amp;Result=3","7077621")</f>
        <v>0</v>
      </c>
      <c r="B7536" t="s">
        <v>2348</v>
      </c>
      <c r="C7536" t="s">
        <v>10585</v>
      </c>
      <c r="D7536" t="s">
        <v>17455</v>
      </c>
      <c r="E7536" t="s">
        <v>24019</v>
      </c>
      <c r="F7536" t="s">
        <v>30052</v>
      </c>
      <c r="G7536" t="s">
        <v>30058</v>
      </c>
      <c r="H7536" t="s">
        <v>15498</v>
      </c>
      <c r="I7536" t="s">
        <v>30144</v>
      </c>
      <c r="J7536" t="s">
        <v>30559</v>
      </c>
      <c r="K7536" t="s">
        <v>39017</v>
      </c>
      <c r="M7536" t="s">
        <v>41839</v>
      </c>
      <c r="N7536" t="s">
        <v>43166</v>
      </c>
      <c r="O7536" t="s">
        <v>43167</v>
      </c>
      <c r="P7536">
        <v>0</v>
      </c>
      <c r="Q7536">
        <v>1</v>
      </c>
      <c r="R7536" t="s">
        <v>43173</v>
      </c>
      <c r="S7536" t="s">
        <v>43374</v>
      </c>
      <c r="T7536" t="s">
        <v>44758</v>
      </c>
      <c r="U7536" t="s">
        <v>48320</v>
      </c>
      <c r="W7536" t="s">
        <v>41839</v>
      </c>
      <c r="X7536" t="s">
        <v>43174</v>
      </c>
    </row>
    <row r="7537" spans="1:24">
      <c r="A7537">
        <f>HYPERLINK("https://www.philgeps.gov.ph/GEPSNONPILOT/Tender/SplashBidNoticeAbstractUI.aspx?menuIndex=3&amp;refID=7077589&amp;Result=3","7077589")</f>
        <v>0</v>
      </c>
      <c r="B7537" t="s">
        <v>1744</v>
      </c>
      <c r="C7537" t="s">
        <v>10586</v>
      </c>
      <c r="D7537" t="s">
        <v>17457</v>
      </c>
      <c r="E7537" t="s">
        <v>24020</v>
      </c>
      <c r="F7537" t="s">
        <v>30052</v>
      </c>
      <c r="G7537" t="s">
        <v>30058</v>
      </c>
      <c r="H7537" t="s">
        <v>15498</v>
      </c>
      <c r="I7537" t="s">
        <v>30155</v>
      </c>
      <c r="J7537" t="s">
        <v>34712</v>
      </c>
      <c r="K7537" t="s">
        <v>39034</v>
      </c>
      <c r="M7537" t="s">
        <v>41163</v>
      </c>
      <c r="N7537" t="s">
        <v>43166</v>
      </c>
      <c r="O7537" t="s">
        <v>43167</v>
      </c>
      <c r="P7537">
        <v>0</v>
      </c>
      <c r="Q7537">
        <v>0</v>
      </c>
      <c r="R7537" t="s">
        <v>43173</v>
      </c>
      <c r="S7537" t="s">
        <v>43374</v>
      </c>
      <c r="T7537" t="s">
        <v>44773</v>
      </c>
      <c r="U7537" t="s">
        <v>51058</v>
      </c>
      <c r="V7537" t="s">
        <v>57616</v>
      </c>
      <c r="W7537" t="s">
        <v>41163</v>
      </c>
      <c r="X7537" t="s">
        <v>43174</v>
      </c>
    </row>
    <row r="7538" spans="1:24">
      <c r="A7538">
        <f>HYPERLINK("https://www.philgeps.gov.ph/GEPSNONPILOT/Tender/SplashBidNoticeAbstractUI.aspx?menuIndex=3&amp;refID=7078136&amp;Result=3","7078136")</f>
        <v>0</v>
      </c>
      <c r="B7538" t="s">
        <v>2349</v>
      </c>
      <c r="C7538" t="s">
        <v>10587</v>
      </c>
      <c r="D7538" t="s">
        <v>17475</v>
      </c>
      <c r="E7538" t="s">
        <v>24021</v>
      </c>
      <c r="F7538" t="s">
        <v>30052</v>
      </c>
      <c r="G7538" t="s">
        <v>30058</v>
      </c>
      <c r="H7538" t="s">
        <v>15498</v>
      </c>
      <c r="I7538" t="s">
        <v>30074</v>
      </c>
      <c r="J7538" t="s">
        <v>30683</v>
      </c>
      <c r="K7538" t="s">
        <v>39019</v>
      </c>
      <c r="M7538" t="s">
        <v>41840</v>
      </c>
      <c r="N7538" t="s">
        <v>43166</v>
      </c>
      <c r="O7538" t="s">
        <v>43167</v>
      </c>
      <c r="P7538">
        <v>0</v>
      </c>
      <c r="Q7538">
        <v>3</v>
      </c>
      <c r="R7538" t="s">
        <v>43173</v>
      </c>
      <c r="S7538" t="s">
        <v>43374</v>
      </c>
      <c r="T7538" t="s">
        <v>44815</v>
      </c>
      <c r="U7538" t="s">
        <v>51301</v>
      </c>
      <c r="V7538" t="s">
        <v>57617</v>
      </c>
      <c r="W7538" t="s">
        <v>41840</v>
      </c>
      <c r="X7538" t="s">
        <v>43174</v>
      </c>
    </row>
    <row r="7539" spans="1:24">
      <c r="A7539">
        <f>HYPERLINK("https://www.philgeps.gov.ph/GEPSNONPILOT/Tender/SplashBidNoticeAbstractUI.aspx?menuIndex=3&amp;refID=7078135&amp;Result=3","7078135")</f>
        <v>0</v>
      </c>
      <c r="B7539" t="s">
        <v>1498</v>
      </c>
      <c r="C7539" t="s">
        <v>10588</v>
      </c>
      <c r="D7539" t="s">
        <v>17415</v>
      </c>
      <c r="E7539" t="s">
        <v>24022</v>
      </c>
      <c r="F7539" t="s">
        <v>30052</v>
      </c>
      <c r="G7539" t="s">
        <v>30062</v>
      </c>
      <c r="H7539" t="s">
        <v>15498</v>
      </c>
      <c r="I7539" t="s">
        <v>4650</v>
      </c>
      <c r="J7539" t="s">
        <v>34832</v>
      </c>
      <c r="K7539" t="s">
        <v>39017</v>
      </c>
      <c r="M7539" t="s">
        <v>40882</v>
      </c>
      <c r="N7539" t="s">
        <v>43166</v>
      </c>
      <c r="O7539" t="s">
        <v>43167</v>
      </c>
      <c r="P7539">
        <v>0</v>
      </c>
      <c r="Q7539">
        <v>11</v>
      </c>
      <c r="R7539" t="s">
        <v>43173</v>
      </c>
      <c r="S7539" t="s">
        <v>43374</v>
      </c>
      <c r="T7539" t="s">
        <v>44888</v>
      </c>
      <c r="U7539" t="s">
        <v>48559</v>
      </c>
      <c r="W7539" t="s">
        <v>40882</v>
      </c>
      <c r="X7539" t="s">
        <v>43174</v>
      </c>
    </row>
    <row r="7540" spans="1:24">
      <c r="A7540">
        <f>HYPERLINK("https://www.philgeps.gov.ph/GEPSNONPILOT/Tender/SplashBidNoticeAbstractUI.aspx?menuIndex=3&amp;refID=7078129&amp;Result=3","7078129")</f>
        <v>0</v>
      </c>
      <c r="B7540" t="s">
        <v>1736</v>
      </c>
      <c r="C7540" t="s">
        <v>10589</v>
      </c>
      <c r="D7540" t="s">
        <v>17444</v>
      </c>
      <c r="E7540" t="s">
        <v>24023</v>
      </c>
      <c r="F7540" t="s">
        <v>30052</v>
      </c>
      <c r="G7540" t="s">
        <v>30061</v>
      </c>
      <c r="H7540" t="s">
        <v>15498</v>
      </c>
      <c r="I7540" t="s">
        <v>30165</v>
      </c>
      <c r="J7540" t="s">
        <v>34833</v>
      </c>
      <c r="K7540" t="s">
        <v>39034</v>
      </c>
      <c r="M7540" t="s">
        <v>41153</v>
      </c>
      <c r="N7540" t="s">
        <v>43166</v>
      </c>
      <c r="O7540" t="s">
        <v>43167</v>
      </c>
      <c r="P7540">
        <v>0</v>
      </c>
      <c r="Q7540">
        <v>0</v>
      </c>
      <c r="R7540" t="s">
        <v>43173</v>
      </c>
      <c r="S7540" t="s">
        <v>43374</v>
      </c>
      <c r="T7540" t="s">
        <v>44717</v>
      </c>
      <c r="U7540" t="s">
        <v>51302</v>
      </c>
      <c r="W7540" t="s">
        <v>41153</v>
      </c>
      <c r="X7540" t="s">
        <v>43174</v>
      </c>
    </row>
    <row r="7541" spans="1:24">
      <c r="A7541">
        <f>HYPERLINK("https://www.philgeps.gov.ph/GEPSNONPILOT/Tender/SplashBidNoticeAbstractUI.aspx?menuIndex=3&amp;refID=7078026&amp;Result=3","7078026")</f>
        <v>0</v>
      </c>
      <c r="B7541" t="s">
        <v>2200</v>
      </c>
      <c r="C7541" t="s">
        <v>10590</v>
      </c>
      <c r="D7541" t="s">
        <v>17463</v>
      </c>
      <c r="E7541" t="s">
        <v>24024</v>
      </c>
      <c r="F7541" t="s">
        <v>30052</v>
      </c>
      <c r="G7541" t="s">
        <v>30058</v>
      </c>
      <c r="H7541" t="s">
        <v>30067</v>
      </c>
      <c r="I7541" t="s">
        <v>3693</v>
      </c>
      <c r="J7541" t="s">
        <v>34834</v>
      </c>
      <c r="K7541" t="s">
        <v>39033</v>
      </c>
      <c r="M7541" t="s">
        <v>41841</v>
      </c>
      <c r="N7541" t="s">
        <v>43166</v>
      </c>
      <c r="O7541" t="s">
        <v>43167</v>
      </c>
      <c r="P7541">
        <v>0</v>
      </c>
      <c r="Q7541">
        <v>3</v>
      </c>
      <c r="R7541" t="s">
        <v>43173</v>
      </c>
      <c r="S7541" t="s">
        <v>43374</v>
      </c>
      <c r="T7541" t="s">
        <v>44716</v>
      </c>
      <c r="U7541" t="s">
        <v>51303</v>
      </c>
      <c r="W7541" t="s">
        <v>41841</v>
      </c>
      <c r="X7541" t="s">
        <v>43174</v>
      </c>
    </row>
    <row r="7542" spans="1:24">
      <c r="A7542">
        <f>HYPERLINK("https://www.philgeps.gov.ph/GEPSNONPILOT/Tender/SplashBidNoticeAbstractUI.aspx?menuIndex=3&amp;refID=7078144&amp;Result=3","7078144")</f>
        <v>0</v>
      </c>
      <c r="B7542" t="s">
        <v>1849</v>
      </c>
      <c r="C7542" t="s">
        <v>10591</v>
      </c>
      <c r="D7542" t="s">
        <v>17473</v>
      </c>
      <c r="E7542" t="s">
        <v>24025</v>
      </c>
      <c r="F7542" t="s">
        <v>30052</v>
      </c>
      <c r="G7542" t="s">
        <v>30058</v>
      </c>
      <c r="H7542" t="s">
        <v>15498</v>
      </c>
      <c r="I7542" t="s">
        <v>30120</v>
      </c>
      <c r="J7542" t="s">
        <v>34835</v>
      </c>
      <c r="K7542" t="s">
        <v>39025</v>
      </c>
      <c r="M7542" t="s">
        <v>41276</v>
      </c>
      <c r="N7542" t="s">
        <v>43166</v>
      </c>
      <c r="O7542" t="s">
        <v>43167</v>
      </c>
      <c r="P7542">
        <v>0</v>
      </c>
      <c r="Q7542">
        <v>2</v>
      </c>
      <c r="R7542" t="s">
        <v>43173</v>
      </c>
      <c r="S7542" t="s">
        <v>43374</v>
      </c>
      <c r="T7542" t="s">
        <v>44685</v>
      </c>
      <c r="U7542" t="s">
        <v>49610</v>
      </c>
      <c r="W7542" t="s">
        <v>41276</v>
      </c>
      <c r="X7542" t="s">
        <v>43174</v>
      </c>
    </row>
    <row r="7543" spans="1:24">
      <c r="A7543">
        <f>HYPERLINK("https://www.philgeps.gov.ph/GEPSNONPILOT/Tender/SplashBidNoticeAbstractUI.aspx?menuIndex=3&amp;refID=7078128&amp;Result=3","7078128")</f>
        <v>0</v>
      </c>
      <c r="B7543" t="s">
        <v>1042</v>
      </c>
      <c r="C7543" t="s">
        <v>10592</v>
      </c>
      <c r="D7543" t="s">
        <v>17441</v>
      </c>
      <c r="E7543" t="s">
        <v>10592</v>
      </c>
      <c r="F7543" t="s">
        <v>30052</v>
      </c>
      <c r="G7543" t="s">
        <v>30058</v>
      </c>
      <c r="H7543" t="s">
        <v>15498</v>
      </c>
      <c r="I7543" t="s">
        <v>30155</v>
      </c>
      <c r="J7543" t="s">
        <v>30277</v>
      </c>
      <c r="K7543" t="s">
        <v>39036</v>
      </c>
      <c r="M7543" t="s">
        <v>40375</v>
      </c>
      <c r="N7543" t="s">
        <v>43166</v>
      </c>
      <c r="O7543" t="s">
        <v>43167</v>
      </c>
      <c r="P7543">
        <v>0</v>
      </c>
      <c r="Q7543">
        <v>2</v>
      </c>
      <c r="R7543" t="s">
        <v>43173</v>
      </c>
      <c r="S7543" t="s">
        <v>43374</v>
      </c>
      <c r="T7543" t="s">
        <v>44733</v>
      </c>
      <c r="U7543" t="s">
        <v>51304</v>
      </c>
      <c r="W7543" t="s">
        <v>40375</v>
      </c>
      <c r="X7543" t="s">
        <v>43174</v>
      </c>
    </row>
    <row r="7544" spans="1:24">
      <c r="A7544">
        <f>HYPERLINK("https://www.philgeps.gov.ph/GEPSNONPILOT/Tender/SplashBidNoticeAbstractUI.aspx?menuIndex=3&amp;refID=7078120&amp;Result=3","7078120")</f>
        <v>0</v>
      </c>
      <c r="B7544" t="s">
        <v>2343</v>
      </c>
      <c r="C7544" t="s">
        <v>10593</v>
      </c>
      <c r="D7544" t="s">
        <v>17472</v>
      </c>
      <c r="E7544" t="s">
        <v>24026</v>
      </c>
      <c r="F7544" t="s">
        <v>30052</v>
      </c>
      <c r="G7544" t="s">
        <v>30058</v>
      </c>
      <c r="H7544" t="s">
        <v>15498</v>
      </c>
      <c r="I7544" t="s">
        <v>3736</v>
      </c>
      <c r="J7544" t="s">
        <v>34836</v>
      </c>
      <c r="K7544" t="s">
        <v>39019</v>
      </c>
      <c r="M7544" t="s">
        <v>41834</v>
      </c>
      <c r="N7544" t="s">
        <v>43166</v>
      </c>
      <c r="O7544" t="s">
        <v>43167</v>
      </c>
      <c r="P7544">
        <v>0</v>
      </c>
      <c r="Q7544">
        <v>1</v>
      </c>
      <c r="R7544" t="s">
        <v>43173</v>
      </c>
      <c r="S7544" t="s">
        <v>43374</v>
      </c>
      <c r="T7544" t="s">
        <v>44841</v>
      </c>
      <c r="U7544" t="s">
        <v>51305</v>
      </c>
      <c r="V7544" t="s">
        <v>57618</v>
      </c>
      <c r="W7544" t="s">
        <v>41834</v>
      </c>
      <c r="X7544" t="s">
        <v>43174</v>
      </c>
    </row>
    <row r="7545" spans="1:24">
      <c r="A7545">
        <f>HYPERLINK("https://www.philgeps.gov.ph/GEPSNONPILOT/Tender/SplashBidNoticeAbstractUI.aspx?menuIndex=3&amp;refID=7078126&amp;Result=3","7078126")</f>
        <v>0</v>
      </c>
      <c r="B7545" t="s">
        <v>1377</v>
      </c>
      <c r="C7545" t="s">
        <v>10594</v>
      </c>
      <c r="D7545" t="s">
        <v>17415</v>
      </c>
      <c r="E7545" t="s">
        <v>24027</v>
      </c>
      <c r="F7545" t="s">
        <v>30052</v>
      </c>
      <c r="G7545" t="s">
        <v>30058</v>
      </c>
      <c r="H7545" t="s">
        <v>30069</v>
      </c>
      <c r="I7545" t="s">
        <v>30084</v>
      </c>
      <c r="J7545" t="s">
        <v>30557</v>
      </c>
      <c r="K7545" t="s">
        <v>39031</v>
      </c>
      <c r="M7545" t="s">
        <v>41825</v>
      </c>
      <c r="N7545" t="s">
        <v>43166</v>
      </c>
      <c r="O7545" t="s">
        <v>43167</v>
      </c>
      <c r="P7545">
        <v>0</v>
      </c>
      <c r="Q7545">
        <v>12</v>
      </c>
      <c r="R7545" t="s">
        <v>43173</v>
      </c>
      <c r="S7545" t="s">
        <v>43374</v>
      </c>
      <c r="T7545" t="s">
        <v>44828</v>
      </c>
      <c r="U7545" t="s">
        <v>51306</v>
      </c>
      <c r="W7545" t="s">
        <v>41825</v>
      </c>
      <c r="X7545" t="s">
        <v>43174</v>
      </c>
    </row>
    <row r="7546" spans="1:24">
      <c r="A7546">
        <f>HYPERLINK("https://www.philgeps.gov.ph/GEPSNONPILOT/Tender/SplashBidNoticeAbstractUI.aspx?menuIndex=3&amp;refID=7078112&amp;Result=3","7078112")</f>
        <v>0</v>
      </c>
      <c r="B7546" t="s">
        <v>1499</v>
      </c>
      <c r="C7546" t="s">
        <v>10595</v>
      </c>
      <c r="D7546" t="s">
        <v>17441</v>
      </c>
      <c r="E7546" t="s">
        <v>24028</v>
      </c>
      <c r="F7546" t="s">
        <v>30052</v>
      </c>
      <c r="G7546" t="s">
        <v>30059</v>
      </c>
      <c r="H7546" t="s">
        <v>15498</v>
      </c>
      <c r="I7546" t="s">
        <v>30080</v>
      </c>
      <c r="J7546" t="s">
        <v>31849</v>
      </c>
      <c r="K7546" t="s">
        <v>39073</v>
      </c>
      <c r="M7546" t="s">
        <v>40883</v>
      </c>
      <c r="N7546" t="s">
        <v>43166</v>
      </c>
      <c r="O7546" t="s">
        <v>43167</v>
      </c>
      <c r="P7546">
        <v>0</v>
      </c>
      <c r="Q7546">
        <v>4</v>
      </c>
      <c r="R7546" t="s">
        <v>43173</v>
      </c>
      <c r="S7546" t="s">
        <v>43374</v>
      </c>
      <c r="T7546" t="s">
        <v>44696</v>
      </c>
      <c r="U7546" t="s">
        <v>51307</v>
      </c>
      <c r="W7546" t="s">
        <v>40883</v>
      </c>
      <c r="X7546" t="s">
        <v>43174</v>
      </c>
    </row>
    <row r="7547" spans="1:24">
      <c r="A7547">
        <f>HYPERLINK("https://www.philgeps.gov.ph/GEPSNONPILOT/Tender/SplashBidNoticeAbstractUI.aspx?menuIndex=3&amp;refID=7077949&amp;Result=3","7077949")</f>
        <v>0</v>
      </c>
      <c r="B7547" t="s">
        <v>2051</v>
      </c>
      <c r="C7547" t="s">
        <v>10596</v>
      </c>
      <c r="D7547" t="s">
        <v>17415</v>
      </c>
      <c r="E7547" t="s">
        <v>24029</v>
      </c>
      <c r="F7547" t="s">
        <v>30052</v>
      </c>
      <c r="G7547" t="s">
        <v>30058</v>
      </c>
      <c r="H7547" t="s">
        <v>15498</v>
      </c>
      <c r="I7547" t="s">
        <v>30073</v>
      </c>
      <c r="J7547" t="s">
        <v>30281</v>
      </c>
      <c r="K7547" t="s">
        <v>39019</v>
      </c>
      <c r="M7547" t="s">
        <v>41842</v>
      </c>
      <c r="N7547" t="s">
        <v>43166</v>
      </c>
      <c r="O7547" t="s">
        <v>43167</v>
      </c>
      <c r="P7547">
        <v>0</v>
      </c>
      <c r="Q7547">
        <v>1</v>
      </c>
      <c r="R7547" t="s">
        <v>43173</v>
      </c>
      <c r="S7547" t="s">
        <v>43374</v>
      </c>
      <c r="T7547" t="s">
        <v>44842</v>
      </c>
      <c r="U7547" t="s">
        <v>51308</v>
      </c>
      <c r="W7547" t="s">
        <v>41842</v>
      </c>
      <c r="X7547" t="s">
        <v>43174</v>
      </c>
    </row>
    <row r="7548" spans="1:24">
      <c r="A7548">
        <f>HYPERLINK("https://www.philgeps.gov.ph/GEPSNONPILOT/Tender/SplashBidNoticeAbstractUI.aspx?menuIndex=3&amp;refID=7078108&amp;Result=3","7078108")</f>
        <v>0</v>
      </c>
      <c r="B7548" t="s">
        <v>498</v>
      </c>
      <c r="C7548" t="s">
        <v>10597</v>
      </c>
      <c r="D7548" t="s">
        <v>17431</v>
      </c>
      <c r="E7548" t="s">
        <v>24030</v>
      </c>
      <c r="F7548" t="s">
        <v>30052</v>
      </c>
      <c r="G7548" t="s">
        <v>30063</v>
      </c>
      <c r="H7548" t="s">
        <v>30067</v>
      </c>
      <c r="I7548" t="s">
        <v>3693</v>
      </c>
      <c r="J7548" t="s">
        <v>34749</v>
      </c>
      <c r="K7548" t="s">
        <v>39065</v>
      </c>
      <c r="M7548" t="s">
        <v>39799</v>
      </c>
      <c r="N7548" t="s">
        <v>43166</v>
      </c>
      <c r="O7548" t="s">
        <v>43167</v>
      </c>
      <c r="P7548">
        <v>0</v>
      </c>
      <c r="Q7548">
        <v>1</v>
      </c>
      <c r="R7548" t="s">
        <v>43173</v>
      </c>
      <c r="S7548" t="s">
        <v>43374</v>
      </c>
      <c r="T7548" t="s">
        <v>44758</v>
      </c>
      <c r="U7548" t="s">
        <v>51309</v>
      </c>
      <c r="W7548" t="s">
        <v>39799</v>
      </c>
      <c r="X7548" t="s">
        <v>43174</v>
      </c>
    </row>
    <row r="7549" spans="1:24">
      <c r="A7549">
        <f>HYPERLINK("https://www.philgeps.gov.ph/GEPSNONPILOT/Tender/SplashBidNoticeAbstractUI.aspx?menuIndex=3&amp;refID=7078131&amp;Result=3","7078131")</f>
        <v>0</v>
      </c>
      <c r="B7549" t="s">
        <v>1252</v>
      </c>
      <c r="C7549" t="s">
        <v>10598</v>
      </c>
      <c r="D7549" t="s">
        <v>17452</v>
      </c>
      <c r="E7549" t="s">
        <v>24031</v>
      </c>
      <c r="F7549" t="s">
        <v>30052</v>
      </c>
      <c r="G7549" t="s">
        <v>30059</v>
      </c>
      <c r="H7549" t="s">
        <v>30067</v>
      </c>
      <c r="I7549" t="s">
        <v>3693</v>
      </c>
      <c r="J7549" t="s">
        <v>34837</v>
      </c>
      <c r="K7549" t="s">
        <v>39019</v>
      </c>
      <c r="M7549" t="s">
        <v>40609</v>
      </c>
      <c r="N7549" t="s">
        <v>43166</v>
      </c>
      <c r="O7549" t="s">
        <v>43167</v>
      </c>
      <c r="P7549">
        <v>0</v>
      </c>
      <c r="Q7549">
        <v>0</v>
      </c>
      <c r="R7549" t="s">
        <v>43173</v>
      </c>
      <c r="S7549" t="s">
        <v>43374</v>
      </c>
      <c r="T7549" t="s">
        <v>44856</v>
      </c>
      <c r="U7549" t="s">
        <v>51310</v>
      </c>
      <c r="W7549" t="s">
        <v>58671</v>
      </c>
      <c r="X7549" t="s">
        <v>43174</v>
      </c>
    </row>
    <row r="7550" spans="1:24">
      <c r="A7550">
        <f>HYPERLINK("https://www.philgeps.gov.ph/GEPSNONPILOT/Tender/SplashBidNoticeAbstractUI.aspx?menuIndex=3&amp;refID=7078151&amp;Result=3","7078151")</f>
        <v>0</v>
      </c>
      <c r="B7550" t="s">
        <v>2335</v>
      </c>
      <c r="C7550" t="s">
        <v>10599</v>
      </c>
      <c r="D7550" t="s">
        <v>17436</v>
      </c>
      <c r="E7550" t="s">
        <v>24032</v>
      </c>
      <c r="F7550" t="s">
        <v>30052</v>
      </c>
      <c r="G7550" t="s">
        <v>30058</v>
      </c>
      <c r="H7550" t="s">
        <v>15498</v>
      </c>
      <c r="I7550" t="s">
        <v>3693</v>
      </c>
      <c r="J7550" t="s">
        <v>34838</v>
      </c>
      <c r="K7550" t="s">
        <v>39034</v>
      </c>
      <c r="M7550" t="s">
        <v>41823</v>
      </c>
      <c r="N7550" t="s">
        <v>43166</v>
      </c>
      <c r="O7550" t="s">
        <v>43167</v>
      </c>
      <c r="P7550">
        <v>0</v>
      </c>
      <c r="Q7550">
        <v>0</v>
      </c>
      <c r="R7550" t="s">
        <v>43173</v>
      </c>
      <c r="S7550" t="s">
        <v>43374</v>
      </c>
      <c r="T7550" t="s">
        <v>44734</v>
      </c>
      <c r="U7550" t="s">
        <v>51311</v>
      </c>
      <c r="V7550" t="s">
        <v>57604</v>
      </c>
      <c r="W7550" t="s">
        <v>41823</v>
      </c>
      <c r="X7550" t="s">
        <v>43174</v>
      </c>
    </row>
    <row r="7551" spans="1:24">
      <c r="A7551">
        <f>HYPERLINK("https://www.philgeps.gov.ph/GEPSNONPILOT/Tender/SplashBidNoticeAbstractUI.aspx?menuIndex=3&amp;refID=7078210&amp;Result=3","7078210")</f>
        <v>0</v>
      </c>
      <c r="B7551" t="s">
        <v>2338</v>
      </c>
      <c r="C7551" t="s">
        <v>10600</v>
      </c>
      <c r="D7551" t="s">
        <v>17472</v>
      </c>
      <c r="E7551" t="s">
        <v>24033</v>
      </c>
      <c r="F7551" t="s">
        <v>30052</v>
      </c>
      <c r="G7551" t="s">
        <v>30061</v>
      </c>
      <c r="H7551" t="s">
        <v>15498</v>
      </c>
      <c r="I7551" t="s">
        <v>30153</v>
      </c>
      <c r="J7551" t="s">
        <v>34839</v>
      </c>
      <c r="K7551" t="s">
        <v>39025</v>
      </c>
      <c r="M7551" t="s">
        <v>41828</v>
      </c>
      <c r="N7551" t="s">
        <v>43166</v>
      </c>
      <c r="O7551" t="s">
        <v>43167</v>
      </c>
      <c r="P7551">
        <v>0</v>
      </c>
      <c r="Q7551">
        <v>4</v>
      </c>
      <c r="R7551" t="s">
        <v>43173</v>
      </c>
      <c r="S7551" t="s">
        <v>43374</v>
      </c>
      <c r="T7551" t="s">
        <v>44806</v>
      </c>
      <c r="U7551" t="s">
        <v>51312</v>
      </c>
      <c r="W7551" t="s">
        <v>41828</v>
      </c>
      <c r="X7551" t="s">
        <v>43174</v>
      </c>
    </row>
    <row r="7552" spans="1:24">
      <c r="A7552">
        <f>HYPERLINK("https://www.philgeps.gov.ph/GEPSNONPILOT/Tender/SplashBidNoticeAbstractUI.aspx?menuIndex=3&amp;refID=7078137&amp;Result=3","7078137")</f>
        <v>0</v>
      </c>
      <c r="B7552" t="s">
        <v>2350</v>
      </c>
      <c r="C7552" t="s">
        <v>10601</v>
      </c>
      <c r="D7552" t="s">
        <v>17466</v>
      </c>
      <c r="E7552" t="s">
        <v>24034</v>
      </c>
      <c r="F7552" t="s">
        <v>30052</v>
      </c>
      <c r="G7552" t="s">
        <v>30058</v>
      </c>
      <c r="H7552" t="s">
        <v>15498</v>
      </c>
      <c r="I7552" t="s">
        <v>30085</v>
      </c>
      <c r="J7552" t="s">
        <v>30783</v>
      </c>
      <c r="K7552" t="s">
        <v>39039</v>
      </c>
      <c r="M7552" t="s">
        <v>41843</v>
      </c>
      <c r="N7552" t="s">
        <v>43166</v>
      </c>
      <c r="O7552" t="s">
        <v>43167</v>
      </c>
      <c r="P7552">
        <v>0</v>
      </c>
      <c r="Q7552">
        <v>0</v>
      </c>
      <c r="R7552" t="s">
        <v>43173</v>
      </c>
      <c r="S7552" t="s">
        <v>43374</v>
      </c>
      <c r="T7552" t="s">
        <v>44813</v>
      </c>
      <c r="U7552" t="s">
        <v>51313</v>
      </c>
      <c r="W7552" t="s">
        <v>41843</v>
      </c>
      <c r="X7552" t="s">
        <v>43174</v>
      </c>
    </row>
    <row r="7553" spans="1:24">
      <c r="A7553">
        <f>HYPERLINK("https://www.philgeps.gov.ph/GEPSNONPILOT/Tender/SplashBidNoticeAbstractUI.aspx?menuIndex=3&amp;refID=7078117&amp;Result=3","7078117")</f>
        <v>0</v>
      </c>
      <c r="B7553" t="s">
        <v>2342</v>
      </c>
      <c r="C7553" t="s">
        <v>10602</v>
      </c>
      <c r="D7553" t="s">
        <v>17442</v>
      </c>
      <c r="E7553" t="s">
        <v>17843</v>
      </c>
      <c r="F7553" t="s">
        <v>30052</v>
      </c>
      <c r="G7553" t="s">
        <v>30058</v>
      </c>
      <c r="H7553" t="s">
        <v>30067</v>
      </c>
      <c r="I7553" t="s">
        <v>3693</v>
      </c>
      <c r="J7553" t="s">
        <v>34840</v>
      </c>
      <c r="K7553" t="s">
        <v>39026</v>
      </c>
      <c r="M7553" t="s">
        <v>41833</v>
      </c>
      <c r="N7553" t="s">
        <v>43166</v>
      </c>
      <c r="O7553" t="s">
        <v>43167</v>
      </c>
      <c r="P7553">
        <v>0</v>
      </c>
      <c r="Q7553">
        <v>0</v>
      </c>
      <c r="R7553" t="s">
        <v>43173</v>
      </c>
      <c r="S7553" t="s">
        <v>43374</v>
      </c>
      <c r="T7553" t="s">
        <v>44900</v>
      </c>
      <c r="U7553" t="s">
        <v>51314</v>
      </c>
      <c r="W7553" t="s">
        <v>41833</v>
      </c>
      <c r="X7553" t="s">
        <v>43174</v>
      </c>
    </row>
    <row r="7554" spans="1:24">
      <c r="A7554">
        <f>HYPERLINK("https://www.philgeps.gov.ph/GEPSNONPILOT/Tender/SplashBidNoticeAbstractUI.aspx?menuIndex=3&amp;refID=7078111&amp;Result=3","7078111")</f>
        <v>0</v>
      </c>
      <c r="B7554" t="s">
        <v>1730</v>
      </c>
      <c r="C7554" t="s">
        <v>10603</v>
      </c>
      <c r="D7554" t="s">
        <v>17423</v>
      </c>
      <c r="E7554" t="s">
        <v>24035</v>
      </c>
      <c r="F7554" t="s">
        <v>30052</v>
      </c>
      <c r="G7554" t="s">
        <v>30058</v>
      </c>
      <c r="H7554" t="s">
        <v>15498</v>
      </c>
      <c r="I7554" t="s">
        <v>30130</v>
      </c>
      <c r="J7554" t="s">
        <v>34841</v>
      </c>
      <c r="K7554" t="s">
        <v>39023</v>
      </c>
      <c r="M7554" t="s">
        <v>41147</v>
      </c>
      <c r="N7554" t="s">
        <v>43166</v>
      </c>
      <c r="O7554" t="s">
        <v>43167</v>
      </c>
      <c r="P7554">
        <v>0</v>
      </c>
      <c r="Q7554">
        <v>3</v>
      </c>
      <c r="R7554" t="s">
        <v>43173</v>
      </c>
      <c r="S7554" t="s">
        <v>43374</v>
      </c>
      <c r="T7554" t="s">
        <v>45006</v>
      </c>
      <c r="U7554" t="s">
        <v>51315</v>
      </c>
      <c r="V7554" t="s">
        <v>56838</v>
      </c>
      <c r="W7554" t="s">
        <v>41147</v>
      </c>
      <c r="X7554" t="s">
        <v>43174</v>
      </c>
    </row>
    <row r="7555" spans="1:24">
      <c r="A7555">
        <f>HYPERLINK("https://www.philgeps.gov.ph/GEPSNONPILOT/Tender/SplashBidNoticeAbstractUI.aspx?menuIndex=3&amp;refID=7077963&amp;Result=3","7077963")</f>
        <v>0</v>
      </c>
      <c r="B7555" t="s">
        <v>501</v>
      </c>
      <c r="C7555" t="s">
        <v>10604</v>
      </c>
      <c r="E7555" t="s">
        <v>24036</v>
      </c>
      <c r="F7555" t="s">
        <v>30052</v>
      </c>
      <c r="G7555" t="s">
        <v>30058</v>
      </c>
      <c r="H7555" t="s">
        <v>15498</v>
      </c>
      <c r="I7555" t="s">
        <v>30084</v>
      </c>
      <c r="J7555" t="s">
        <v>34842</v>
      </c>
      <c r="K7555" t="s">
        <v>39025</v>
      </c>
      <c r="M7555" t="s">
        <v>41517</v>
      </c>
      <c r="N7555" t="s">
        <v>43166</v>
      </c>
      <c r="O7555" t="s">
        <v>43167</v>
      </c>
      <c r="P7555">
        <v>0</v>
      </c>
      <c r="Q7555">
        <v>6</v>
      </c>
      <c r="R7555" t="s">
        <v>43173</v>
      </c>
      <c r="S7555" t="s">
        <v>43374</v>
      </c>
      <c r="T7555" t="s">
        <v>44986</v>
      </c>
      <c r="U7555" t="s">
        <v>51316</v>
      </c>
      <c r="V7555" t="s">
        <v>57619</v>
      </c>
      <c r="W7555" t="s">
        <v>58672</v>
      </c>
      <c r="X7555" t="s">
        <v>43174</v>
      </c>
    </row>
    <row r="7556" spans="1:24">
      <c r="A7556">
        <f>HYPERLINK("https://www.philgeps.gov.ph/GEPSNONPILOT/Tender/SplashBidNoticeAbstractUI.aspx?menuIndex=3&amp;refID=7078195&amp;Result=3","7078195")</f>
        <v>0</v>
      </c>
      <c r="B7556" t="s">
        <v>1464</v>
      </c>
      <c r="C7556" t="s">
        <v>10605</v>
      </c>
      <c r="D7556" t="s">
        <v>17415</v>
      </c>
      <c r="E7556" t="s">
        <v>24037</v>
      </c>
      <c r="F7556" t="s">
        <v>30052</v>
      </c>
      <c r="G7556" t="s">
        <v>30059</v>
      </c>
      <c r="H7556" t="s">
        <v>15498</v>
      </c>
      <c r="I7556" t="s">
        <v>30070</v>
      </c>
      <c r="J7556" t="s">
        <v>34843</v>
      </c>
      <c r="K7556" t="s">
        <v>39019</v>
      </c>
      <c r="M7556" t="s">
        <v>40845</v>
      </c>
      <c r="N7556" t="s">
        <v>43166</v>
      </c>
      <c r="O7556" t="s">
        <v>43167</v>
      </c>
      <c r="P7556">
        <v>0</v>
      </c>
      <c r="Q7556">
        <v>16</v>
      </c>
      <c r="R7556" t="s">
        <v>43173</v>
      </c>
      <c r="S7556" t="s">
        <v>43374</v>
      </c>
      <c r="T7556" t="s">
        <v>44691</v>
      </c>
      <c r="U7556" t="s">
        <v>48465</v>
      </c>
      <c r="W7556" t="s">
        <v>40845</v>
      </c>
      <c r="X7556" t="s">
        <v>43174</v>
      </c>
    </row>
    <row r="7557" spans="1:24">
      <c r="A7557">
        <f>HYPERLINK("https://www.philgeps.gov.ph/GEPSNONPILOT/Tender/SplashBidNoticeAbstractUI.aspx?menuIndex=3&amp;refID=7078189&amp;Result=3","7078189")</f>
        <v>0</v>
      </c>
      <c r="B7557" t="s">
        <v>2039</v>
      </c>
      <c r="C7557" t="s">
        <v>10606</v>
      </c>
      <c r="D7557" t="s">
        <v>17452</v>
      </c>
      <c r="E7557" t="s">
        <v>24038</v>
      </c>
      <c r="F7557" t="s">
        <v>30052</v>
      </c>
      <c r="G7557" t="s">
        <v>30058</v>
      </c>
      <c r="H7557" t="s">
        <v>30067</v>
      </c>
      <c r="I7557" t="s">
        <v>3693</v>
      </c>
      <c r="J7557" t="s">
        <v>31851</v>
      </c>
      <c r="K7557" t="s">
        <v>39062</v>
      </c>
      <c r="M7557" t="s">
        <v>41488</v>
      </c>
      <c r="N7557" t="s">
        <v>43166</v>
      </c>
      <c r="O7557" t="s">
        <v>43167</v>
      </c>
      <c r="P7557">
        <v>0</v>
      </c>
      <c r="Q7557">
        <v>2</v>
      </c>
      <c r="R7557" t="s">
        <v>43173</v>
      </c>
      <c r="S7557" t="s">
        <v>43374</v>
      </c>
      <c r="T7557" t="s">
        <v>44722</v>
      </c>
      <c r="U7557" t="s">
        <v>51317</v>
      </c>
      <c r="V7557" t="s">
        <v>57620</v>
      </c>
      <c r="W7557" t="s">
        <v>41488</v>
      </c>
      <c r="X7557" t="s">
        <v>43174</v>
      </c>
    </row>
    <row r="7558" spans="1:24">
      <c r="A7558">
        <f>HYPERLINK("https://www.philgeps.gov.ph/GEPSNONPILOT/Tender/SplashBidNoticeAbstractUI.aspx?menuIndex=3&amp;refID=7078185&amp;Result=3","7078185")</f>
        <v>0</v>
      </c>
      <c r="B7558" t="s">
        <v>2351</v>
      </c>
      <c r="C7558" t="s">
        <v>10607</v>
      </c>
      <c r="D7558" t="s">
        <v>17475</v>
      </c>
      <c r="E7558" t="s">
        <v>24039</v>
      </c>
      <c r="F7558" t="s">
        <v>30052</v>
      </c>
      <c r="G7558" t="s">
        <v>30058</v>
      </c>
      <c r="H7558" t="s">
        <v>30067</v>
      </c>
      <c r="I7558" t="s">
        <v>3693</v>
      </c>
      <c r="J7558" t="s">
        <v>32291</v>
      </c>
      <c r="K7558" t="s">
        <v>39057</v>
      </c>
      <c r="M7558" t="s">
        <v>41844</v>
      </c>
      <c r="N7558" t="s">
        <v>43166</v>
      </c>
      <c r="O7558" t="s">
        <v>43167</v>
      </c>
      <c r="Q7558">
        <v>4</v>
      </c>
      <c r="R7558" t="s">
        <v>43173</v>
      </c>
      <c r="S7558" t="s">
        <v>43388</v>
      </c>
      <c r="T7558" t="s">
        <v>44796</v>
      </c>
      <c r="U7558" t="s">
        <v>51318</v>
      </c>
      <c r="V7558" t="s">
        <v>57621</v>
      </c>
      <c r="W7558" t="s">
        <v>41844</v>
      </c>
      <c r="X7558" t="s">
        <v>43174</v>
      </c>
    </row>
    <row r="7559" spans="1:24">
      <c r="A7559">
        <f>HYPERLINK("https://www.philgeps.gov.ph/GEPSNONPILOT/Tender/SplashBidNoticeAbstractUI.aspx?menuIndex=3&amp;refID=7078208&amp;Result=3","7078208")</f>
        <v>0</v>
      </c>
      <c r="B7559" t="s">
        <v>1429</v>
      </c>
      <c r="C7559" t="s">
        <v>10608</v>
      </c>
      <c r="D7559" t="s">
        <v>17432</v>
      </c>
      <c r="E7559" t="s">
        <v>24040</v>
      </c>
      <c r="F7559" t="s">
        <v>30052</v>
      </c>
      <c r="G7559" t="s">
        <v>30058</v>
      </c>
      <c r="H7559" t="s">
        <v>15498</v>
      </c>
      <c r="I7559" t="s">
        <v>30110</v>
      </c>
      <c r="J7559" t="s">
        <v>30277</v>
      </c>
      <c r="K7559" t="s">
        <v>39029</v>
      </c>
      <c r="M7559" t="s">
        <v>41845</v>
      </c>
      <c r="N7559" t="s">
        <v>43166</v>
      </c>
      <c r="O7559" t="s">
        <v>43167</v>
      </c>
      <c r="P7559">
        <v>0</v>
      </c>
      <c r="Q7559">
        <v>3</v>
      </c>
      <c r="R7559" t="s">
        <v>43173</v>
      </c>
      <c r="S7559" t="s">
        <v>43374</v>
      </c>
      <c r="T7559" t="s">
        <v>44741</v>
      </c>
      <c r="U7559" t="s">
        <v>51319</v>
      </c>
      <c r="W7559" t="s">
        <v>41845</v>
      </c>
      <c r="X7559" t="s">
        <v>43174</v>
      </c>
    </row>
    <row r="7560" spans="1:24">
      <c r="A7560">
        <f>HYPERLINK("https://www.philgeps.gov.ph/GEPSNONPILOT/Tender/SplashBidNoticeAbstractUI.aspx?menuIndex=3&amp;refID=7078175&amp;Result=3","7078175")</f>
        <v>0</v>
      </c>
      <c r="B7560" t="s">
        <v>1464</v>
      </c>
      <c r="C7560" t="s">
        <v>10609</v>
      </c>
      <c r="D7560" t="s">
        <v>17415</v>
      </c>
      <c r="E7560" t="s">
        <v>24041</v>
      </c>
      <c r="F7560" t="s">
        <v>30052</v>
      </c>
      <c r="G7560" t="s">
        <v>30062</v>
      </c>
      <c r="H7560" t="s">
        <v>15498</v>
      </c>
      <c r="I7560" t="s">
        <v>30111</v>
      </c>
      <c r="J7560" t="s">
        <v>32438</v>
      </c>
      <c r="K7560" t="s">
        <v>39019</v>
      </c>
      <c r="M7560" t="s">
        <v>40845</v>
      </c>
      <c r="N7560" t="s">
        <v>43166</v>
      </c>
      <c r="O7560" t="s">
        <v>43167</v>
      </c>
      <c r="P7560">
        <v>0</v>
      </c>
      <c r="Q7560">
        <v>9</v>
      </c>
      <c r="R7560" t="s">
        <v>43173</v>
      </c>
      <c r="S7560" t="s">
        <v>43374</v>
      </c>
      <c r="T7560" t="s">
        <v>44691</v>
      </c>
      <c r="U7560" t="s">
        <v>48465</v>
      </c>
      <c r="W7560" t="s">
        <v>40845</v>
      </c>
      <c r="X7560" t="s">
        <v>43174</v>
      </c>
    </row>
    <row r="7561" spans="1:24">
      <c r="A7561">
        <f>HYPERLINK("https://www.philgeps.gov.ph/GEPSNONPILOT/Tender/SplashBidNoticeAbstractUI.aspx?menuIndex=3&amp;refID=7078173&amp;Result=3","7078173")</f>
        <v>0</v>
      </c>
      <c r="B7561" t="s">
        <v>2352</v>
      </c>
      <c r="C7561" t="s">
        <v>10610</v>
      </c>
      <c r="E7561" t="s">
        <v>24042</v>
      </c>
      <c r="F7561" t="s">
        <v>30052</v>
      </c>
      <c r="G7561" t="s">
        <v>30058</v>
      </c>
      <c r="H7561" t="s">
        <v>30067</v>
      </c>
      <c r="I7561" t="s">
        <v>3693</v>
      </c>
      <c r="J7561" t="s">
        <v>34844</v>
      </c>
      <c r="K7561" t="s">
        <v>39025</v>
      </c>
      <c r="M7561" t="s">
        <v>41846</v>
      </c>
      <c r="N7561" t="s">
        <v>43166</v>
      </c>
      <c r="O7561" t="s">
        <v>43167</v>
      </c>
      <c r="P7561">
        <v>0</v>
      </c>
      <c r="Q7561">
        <v>0</v>
      </c>
      <c r="R7561" t="s">
        <v>43173</v>
      </c>
      <c r="S7561" t="s">
        <v>43374</v>
      </c>
      <c r="T7561" t="s">
        <v>44820</v>
      </c>
      <c r="U7561" t="s">
        <v>46519</v>
      </c>
      <c r="W7561" t="s">
        <v>41846</v>
      </c>
      <c r="X7561" t="s">
        <v>43174</v>
      </c>
    </row>
    <row r="7562" spans="1:24">
      <c r="A7562">
        <f>HYPERLINK("https://www.philgeps.gov.ph/GEPSNONPILOT/Tender/SplashBidNoticeAbstractUI.aspx?menuIndex=3&amp;refID=7078168&amp;Result=3","7078168")</f>
        <v>0</v>
      </c>
      <c r="B7562" t="s">
        <v>2342</v>
      </c>
      <c r="C7562" t="s">
        <v>10611</v>
      </c>
      <c r="D7562" t="s">
        <v>17442</v>
      </c>
      <c r="E7562" t="s">
        <v>17799</v>
      </c>
      <c r="F7562" t="s">
        <v>30052</v>
      </c>
      <c r="G7562" t="s">
        <v>30058</v>
      </c>
      <c r="H7562" t="s">
        <v>30067</v>
      </c>
      <c r="I7562" t="s">
        <v>3693</v>
      </c>
      <c r="J7562" t="s">
        <v>34845</v>
      </c>
      <c r="K7562" t="s">
        <v>39026</v>
      </c>
      <c r="M7562" t="s">
        <v>41833</v>
      </c>
      <c r="N7562" t="s">
        <v>43166</v>
      </c>
      <c r="O7562" t="s">
        <v>43167</v>
      </c>
      <c r="P7562">
        <v>0</v>
      </c>
      <c r="Q7562">
        <v>0</v>
      </c>
      <c r="R7562" t="s">
        <v>43173</v>
      </c>
      <c r="S7562" t="s">
        <v>43374</v>
      </c>
      <c r="T7562" t="s">
        <v>44900</v>
      </c>
      <c r="U7562" t="s">
        <v>51320</v>
      </c>
      <c r="W7562" t="s">
        <v>41833</v>
      </c>
      <c r="X7562" t="s">
        <v>43174</v>
      </c>
    </row>
    <row r="7563" spans="1:24">
      <c r="A7563">
        <f>HYPERLINK("https://www.philgeps.gov.ph/GEPSNONPILOT/Tender/SplashBidNoticeAbstractUI.aspx?menuIndex=3&amp;refID=7078202&amp;Result=3","7078202")</f>
        <v>0</v>
      </c>
      <c r="B7563" t="s">
        <v>2353</v>
      </c>
      <c r="C7563" t="s">
        <v>10612</v>
      </c>
      <c r="D7563" t="s">
        <v>17492</v>
      </c>
      <c r="E7563" t="s">
        <v>24043</v>
      </c>
      <c r="F7563" t="s">
        <v>30052</v>
      </c>
      <c r="G7563" t="s">
        <v>30058</v>
      </c>
      <c r="H7563" t="s">
        <v>30067</v>
      </c>
      <c r="I7563" t="s">
        <v>3693</v>
      </c>
      <c r="J7563" t="s">
        <v>34846</v>
      </c>
      <c r="K7563" t="s">
        <v>39111</v>
      </c>
      <c r="M7563" t="s">
        <v>41847</v>
      </c>
      <c r="N7563" t="s">
        <v>43166</v>
      </c>
      <c r="O7563" t="s">
        <v>43167</v>
      </c>
      <c r="P7563">
        <v>0</v>
      </c>
      <c r="Q7563">
        <v>0</v>
      </c>
      <c r="R7563" t="s">
        <v>43173</v>
      </c>
      <c r="S7563" t="s">
        <v>43374</v>
      </c>
      <c r="T7563" t="s">
        <v>44873</v>
      </c>
      <c r="U7563" t="s">
        <v>51321</v>
      </c>
      <c r="W7563" t="s">
        <v>41847</v>
      </c>
      <c r="X7563" t="s">
        <v>43174</v>
      </c>
    </row>
    <row r="7564" spans="1:24">
      <c r="A7564">
        <f>HYPERLINK("https://www.philgeps.gov.ph/GEPSNONPILOT/Tender/SplashBidNoticeAbstractUI.aspx?menuIndex=3&amp;refID=7078166&amp;Result=3","7078166")</f>
        <v>0</v>
      </c>
      <c r="B7564" t="s">
        <v>2354</v>
      </c>
      <c r="C7564" t="s">
        <v>10613</v>
      </c>
      <c r="D7564" t="s">
        <v>17482</v>
      </c>
      <c r="E7564" t="s">
        <v>23379</v>
      </c>
      <c r="F7564" t="s">
        <v>30052</v>
      </c>
      <c r="G7564" t="s">
        <v>30058</v>
      </c>
      <c r="H7564" t="s">
        <v>15498</v>
      </c>
      <c r="I7564" t="s">
        <v>30074</v>
      </c>
      <c r="J7564" t="s">
        <v>30530</v>
      </c>
      <c r="K7564" t="s">
        <v>39029</v>
      </c>
      <c r="M7564" t="s">
        <v>41848</v>
      </c>
      <c r="N7564" t="s">
        <v>43166</v>
      </c>
      <c r="O7564" t="s">
        <v>43167</v>
      </c>
      <c r="P7564">
        <v>0</v>
      </c>
      <c r="Q7564">
        <v>0</v>
      </c>
      <c r="R7564" t="s">
        <v>43173</v>
      </c>
      <c r="S7564" t="s">
        <v>43374</v>
      </c>
      <c r="T7564" t="s">
        <v>44773</v>
      </c>
      <c r="U7564" t="s">
        <v>51322</v>
      </c>
      <c r="W7564" t="s">
        <v>41848</v>
      </c>
      <c r="X7564" t="s">
        <v>43174</v>
      </c>
    </row>
    <row r="7565" spans="1:24">
      <c r="A7565">
        <f>HYPERLINK("https://www.philgeps.gov.ph/GEPSNONPILOT/Tender/SplashBidNoticeAbstractUI.aspx?menuIndex=3&amp;refID=7078162&amp;Result=3","7078162")</f>
        <v>0</v>
      </c>
      <c r="B7565" t="s">
        <v>2355</v>
      </c>
      <c r="C7565" t="s">
        <v>10614</v>
      </c>
      <c r="D7565" t="s">
        <v>17449</v>
      </c>
      <c r="E7565" t="s">
        <v>24044</v>
      </c>
      <c r="F7565" t="s">
        <v>30052</v>
      </c>
      <c r="G7565" t="s">
        <v>30058</v>
      </c>
      <c r="H7565" t="s">
        <v>30067</v>
      </c>
      <c r="I7565" t="s">
        <v>30152</v>
      </c>
      <c r="J7565" t="s">
        <v>34847</v>
      </c>
      <c r="K7565" t="s">
        <v>39057</v>
      </c>
      <c r="M7565" t="s">
        <v>41849</v>
      </c>
      <c r="N7565" t="s">
        <v>43166</v>
      </c>
      <c r="O7565" t="s">
        <v>43167</v>
      </c>
      <c r="P7565">
        <v>0</v>
      </c>
      <c r="Q7565">
        <v>3</v>
      </c>
      <c r="R7565" t="s">
        <v>43173</v>
      </c>
      <c r="S7565" t="s">
        <v>43374</v>
      </c>
      <c r="T7565" t="s">
        <v>44780</v>
      </c>
      <c r="U7565" t="s">
        <v>51323</v>
      </c>
      <c r="W7565" t="s">
        <v>41849</v>
      </c>
      <c r="X7565" t="s">
        <v>43174</v>
      </c>
    </row>
    <row r="7566" spans="1:24">
      <c r="A7566">
        <f>HYPERLINK("https://www.philgeps.gov.ph/GEPSNONPILOT/Tender/SplashBidNoticeAbstractUI.aspx?menuIndex=3&amp;refID=7078154&amp;Result=3","7078154")</f>
        <v>0</v>
      </c>
      <c r="B7566" t="s">
        <v>2356</v>
      </c>
      <c r="C7566" t="s">
        <v>10615</v>
      </c>
      <c r="D7566" t="s">
        <v>17427</v>
      </c>
      <c r="E7566" t="s">
        <v>24045</v>
      </c>
      <c r="F7566" t="s">
        <v>30052</v>
      </c>
      <c r="G7566" t="s">
        <v>30058</v>
      </c>
      <c r="H7566" t="s">
        <v>30067</v>
      </c>
      <c r="I7566" t="s">
        <v>3693</v>
      </c>
      <c r="J7566" t="s">
        <v>30330</v>
      </c>
      <c r="K7566" t="s">
        <v>39037</v>
      </c>
      <c r="M7566" t="s">
        <v>41850</v>
      </c>
      <c r="N7566" t="s">
        <v>43166</v>
      </c>
      <c r="O7566" t="s">
        <v>43167</v>
      </c>
      <c r="P7566">
        <v>0</v>
      </c>
      <c r="Q7566">
        <v>0</v>
      </c>
      <c r="R7566" t="s">
        <v>43173</v>
      </c>
      <c r="S7566" t="s">
        <v>43374</v>
      </c>
      <c r="T7566" t="s">
        <v>44780</v>
      </c>
      <c r="U7566" t="s">
        <v>51324</v>
      </c>
      <c r="W7566" t="s">
        <v>41850</v>
      </c>
      <c r="X7566" t="s">
        <v>43174</v>
      </c>
    </row>
    <row r="7567" spans="1:24">
      <c r="A7567">
        <f>HYPERLINK("https://www.philgeps.gov.ph/GEPSNONPILOT/Tender/SplashBidNoticeAbstractUI.aspx?menuIndex=3&amp;refID=7078153&amp;Result=3","7078153")</f>
        <v>0</v>
      </c>
      <c r="B7567" t="s">
        <v>1464</v>
      </c>
      <c r="C7567" t="s">
        <v>10616</v>
      </c>
      <c r="D7567" t="s">
        <v>17415</v>
      </c>
      <c r="E7567" t="s">
        <v>24046</v>
      </c>
      <c r="F7567" t="s">
        <v>30052</v>
      </c>
      <c r="G7567" t="s">
        <v>30059</v>
      </c>
      <c r="H7567" t="s">
        <v>15498</v>
      </c>
      <c r="I7567" t="s">
        <v>30100</v>
      </c>
      <c r="J7567" t="s">
        <v>30207</v>
      </c>
      <c r="K7567" t="s">
        <v>39019</v>
      </c>
      <c r="M7567" t="s">
        <v>40845</v>
      </c>
      <c r="N7567" t="s">
        <v>43166</v>
      </c>
      <c r="O7567" t="s">
        <v>43167</v>
      </c>
      <c r="P7567">
        <v>0</v>
      </c>
      <c r="Q7567">
        <v>0</v>
      </c>
      <c r="R7567" t="s">
        <v>43173</v>
      </c>
      <c r="S7567" t="s">
        <v>43374</v>
      </c>
      <c r="T7567" t="s">
        <v>44691</v>
      </c>
      <c r="U7567" t="s">
        <v>48465</v>
      </c>
      <c r="W7567" t="s">
        <v>40845</v>
      </c>
      <c r="X7567" t="s">
        <v>43174</v>
      </c>
    </row>
    <row r="7568" spans="1:24">
      <c r="A7568">
        <f>HYPERLINK("https://www.philgeps.gov.ph/GEPSNONPILOT/Tender/SplashBidNoticeAbstractUI.aspx?menuIndex=3&amp;refID=7078150&amp;Result=3","7078150")</f>
        <v>0</v>
      </c>
      <c r="B7568" t="s">
        <v>1313</v>
      </c>
      <c r="C7568" t="s">
        <v>10617</v>
      </c>
      <c r="D7568" t="s">
        <v>17415</v>
      </c>
      <c r="E7568" t="s">
        <v>24047</v>
      </c>
      <c r="F7568" t="s">
        <v>30052</v>
      </c>
      <c r="G7568" t="s">
        <v>30059</v>
      </c>
      <c r="H7568" t="s">
        <v>15498</v>
      </c>
      <c r="I7568" t="s">
        <v>30075</v>
      </c>
      <c r="J7568" t="s">
        <v>34848</v>
      </c>
      <c r="K7568" t="s">
        <v>39017</v>
      </c>
      <c r="M7568" t="s">
        <v>41830</v>
      </c>
      <c r="N7568" t="s">
        <v>43166</v>
      </c>
      <c r="O7568" t="s">
        <v>43167</v>
      </c>
      <c r="P7568">
        <v>0</v>
      </c>
      <c r="Q7568">
        <v>0</v>
      </c>
      <c r="R7568" t="s">
        <v>43173</v>
      </c>
      <c r="S7568" t="s">
        <v>43374</v>
      </c>
      <c r="T7568" t="s">
        <v>44717</v>
      </c>
      <c r="U7568" t="s">
        <v>48134</v>
      </c>
      <c r="W7568" t="s">
        <v>41830</v>
      </c>
      <c r="X7568" t="s">
        <v>43174</v>
      </c>
    </row>
    <row r="7569" spans="1:24">
      <c r="A7569">
        <f>HYPERLINK("https://www.philgeps.gov.ph/GEPSNONPILOT/Tender/SplashBidNoticeAbstractUI.aspx?menuIndex=3&amp;refID=7078149&amp;Result=3","7078149")</f>
        <v>0</v>
      </c>
      <c r="B7569" t="s">
        <v>2039</v>
      </c>
      <c r="C7569" t="s">
        <v>10618</v>
      </c>
      <c r="D7569" t="s">
        <v>17452</v>
      </c>
      <c r="E7569" t="s">
        <v>24048</v>
      </c>
      <c r="F7569" t="s">
        <v>30052</v>
      </c>
      <c r="G7569" t="s">
        <v>30058</v>
      </c>
      <c r="H7569" t="s">
        <v>30067</v>
      </c>
      <c r="I7569" t="s">
        <v>3693</v>
      </c>
      <c r="J7569" t="s">
        <v>34849</v>
      </c>
      <c r="K7569" t="s">
        <v>39161</v>
      </c>
      <c r="M7569" t="s">
        <v>41488</v>
      </c>
      <c r="N7569" t="s">
        <v>43166</v>
      </c>
      <c r="O7569" t="s">
        <v>43167</v>
      </c>
      <c r="P7569">
        <v>0</v>
      </c>
      <c r="Q7569">
        <v>1</v>
      </c>
      <c r="R7569" t="s">
        <v>43173</v>
      </c>
      <c r="S7569" t="s">
        <v>43374</v>
      </c>
      <c r="T7569" t="s">
        <v>44722</v>
      </c>
      <c r="U7569" t="s">
        <v>51325</v>
      </c>
      <c r="V7569" t="s">
        <v>57622</v>
      </c>
      <c r="W7569" t="s">
        <v>41488</v>
      </c>
      <c r="X7569" t="s">
        <v>43174</v>
      </c>
    </row>
    <row r="7570" spans="1:24">
      <c r="A7570">
        <f>HYPERLINK("https://www.philgeps.gov.ph/GEPSNONPILOT/Tender/SplashBidNoticeAbstractUI.aspx?menuIndex=3&amp;refID=7078207&amp;Result=3","7078207")</f>
        <v>0</v>
      </c>
      <c r="B7570" t="s">
        <v>2319</v>
      </c>
      <c r="C7570" t="s">
        <v>10619</v>
      </c>
      <c r="D7570" t="s">
        <v>17476</v>
      </c>
      <c r="E7570" t="s">
        <v>24049</v>
      </c>
      <c r="F7570" t="s">
        <v>30052</v>
      </c>
      <c r="G7570" t="s">
        <v>30058</v>
      </c>
      <c r="H7570" t="s">
        <v>30067</v>
      </c>
      <c r="I7570" t="s">
        <v>3693</v>
      </c>
      <c r="J7570" t="s">
        <v>30247</v>
      </c>
      <c r="K7570" t="s">
        <v>39058</v>
      </c>
      <c r="M7570" t="s">
        <v>41805</v>
      </c>
      <c r="N7570" t="s">
        <v>43166</v>
      </c>
      <c r="O7570" t="s">
        <v>43167</v>
      </c>
      <c r="P7570">
        <v>0</v>
      </c>
      <c r="Q7570">
        <v>0</v>
      </c>
      <c r="R7570" t="s">
        <v>43173</v>
      </c>
      <c r="S7570" t="s">
        <v>43374</v>
      </c>
      <c r="T7570" t="s">
        <v>45067</v>
      </c>
      <c r="U7570" t="s">
        <v>51326</v>
      </c>
      <c r="W7570" t="s">
        <v>41805</v>
      </c>
      <c r="X7570" t="s">
        <v>43174</v>
      </c>
    </row>
    <row r="7571" spans="1:24">
      <c r="A7571">
        <f>HYPERLINK("https://www.philgeps.gov.ph/GEPSNONPILOT/Tender/SplashBidNoticeAbstractUI.aspx?menuIndex=3&amp;refID=7078099&amp;Result=3","7078099")</f>
        <v>0</v>
      </c>
      <c r="B7571" t="s">
        <v>1032</v>
      </c>
      <c r="C7571" t="s">
        <v>10620</v>
      </c>
      <c r="D7571" t="s">
        <v>17485</v>
      </c>
      <c r="E7571" t="s">
        <v>24050</v>
      </c>
      <c r="F7571" t="s">
        <v>30052</v>
      </c>
      <c r="G7571" t="s">
        <v>30058</v>
      </c>
      <c r="H7571" t="s">
        <v>30067</v>
      </c>
      <c r="I7571" t="s">
        <v>3693</v>
      </c>
      <c r="J7571" t="s">
        <v>34850</v>
      </c>
      <c r="K7571" t="s">
        <v>39046</v>
      </c>
      <c r="M7571" t="s">
        <v>40361</v>
      </c>
      <c r="N7571" t="s">
        <v>43166</v>
      </c>
      <c r="O7571" t="s">
        <v>43167</v>
      </c>
      <c r="P7571">
        <v>0</v>
      </c>
      <c r="Q7571">
        <v>0</v>
      </c>
      <c r="R7571" t="s">
        <v>43173</v>
      </c>
      <c r="S7571" t="s">
        <v>43374</v>
      </c>
      <c r="T7571" t="s">
        <v>44815</v>
      </c>
      <c r="U7571" t="s">
        <v>51327</v>
      </c>
      <c r="V7571" t="s">
        <v>57623</v>
      </c>
      <c r="W7571" t="s">
        <v>40361</v>
      </c>
      <c r="X7571" t="s">
        <v>43174</v>
      </c>
    </row>
    <row r="7572" spans="1:24">
      <c r="A7572">
        <f>HYPERLINK("https://www.philgeps.gov.ph/GEPSNONPILOT/Tender/SplashBidNoticeAbstractUI.aspx?menuIndex=3&amp;refID=7078172&amp;Result=3","7078172")</f>
        <v>0</v>
      </c>
      <c r="B7572" t="s">
        <v>1232</v>
      </c>
      <c r="C7572" t="s">
        <v>10621</v>
      </c>
      <c r="D7572" t="s">
        <v>17454</v>
      </c>
      <c r="E7572" t="s">
        <v>10621</v>
      </c>
      <c r="F7572" t="s">
        <v>30052</v>
      </c>
      <c r="G7572" t="s">
        <v>30059</v>
      </c>
      <c r="H7572" t="s">
        <v>15498</v>
      </c>
      <c r="I7572" t="s">
        <v>4119</v>
      </c>
      <c r="J7572" t="s">
        <v>34851</v>
      </c>
      <c r="K7572" t="s">
        <v>39019</v>
      </c>
      <c r="M7572" t="s">
        <v>40586</v>
      </c>
      <c r="N7572" t="s">
        <v>43166</v>
      </c>
      <c r="O7572" t="s">
        <v>43167</v>
      </c>
      <c r="P7572">
        <v>0</v>
      </c>
      <c r="Q7572">
        <v>3</v>
      </c>
      <c r="R7572" t="s">
        <v>43173</v>
      </c>
      <c r="S7572" t="s">
        <v>43374</v>
      </c>
      <c r="T7572" t="s">
        <v>44714</v>
      </c>
      <c r="U7572" t="s">
        <v>51328</v>
      </c>
      <c r="W7572" t="s">
        <v>40586</v>
      </c>
      <c r="X7572" t="s">
        <v>43174</v>
      </c>
    </row>
    <row r="7573" spans="1:24">
      <c r="A7573">
        <f>HYPERLINK("https://www.philgeps.gov.ph/GEPSNONPILOT/Tender/SplashBidNoticeAbstractUI.aspx?menuIndex=3&amp;refID=7077891&amp;Result=3","7077891")</f>
        <v>0</v>
      </c>
      <c r="B7573" t="s">
        <v>268</v>
      </c>
      <c r="C7573" t="s">
        <v>10622</v>
      </c>
      <c r="D7573" t="s">
        <v>17459</v>
      </c>
      <c r="E7573" t="s">
        <v>24051</v>
      </c>
      <c r="F7573" t="s">
        <v>30052</v>
      </c>
      <c r="G7573" t="s">
        <v>30058</v>
      </c>
      <c r="H7573" t="s">
        <v>30067</v>
      </c>
      <c r="I7573" t="s">
        <v>3693</v>
      </c>
      <c r="J7573" t="s">
        <v>30222</v>
      </c>
      <c r="K7573" t="s">
        <v>39023</v>
      </c>
      <c r="M7573" t="s">
        <v>39561</v>
      </c>
      <c r="N7573" t="s">
        <v>43166</v>
      </c>
      <c r="O7573" t="s">
        <v>43167</v>
      </c>
      <c r="P7573">
        <v>0</v>
      </c>
      <c r="Q7573">
        <v>2</v>
      </c>
      <c r="R7573" t="s">
        <v>43173</v>
      </c>
      <c r="S7573" t="s">
        <v>43374</v>
      </c>
      <c r="T7573" t="s">
        <v>44711</v>
      </c>
      <c r="U7573" t="s">
        <v>51329</v>
      </c>
      <c r="V7573" t="s">
        <v>56837</v>
      </c>
      <c r="W7573" t="s">
        <v>39561</v>
      </c>
      <c r="X7573" t="s">
        <v>43174</v>
      </c>
    </row>
    <row r="7574" spans="1:24">
      <c r="A7574">
        <f>HYPERLINK("https://www.philgeps.gov.ph/GEPSNONPILOT/Tender/SplashBidNoticeAbstractUI.aspx?menuIndex=3&amp;refID=7078095&amp;Result=3","7078095")</f>
        <v>0</v>
      </c>
      <c r="B7574" t="s">
        <v>2200</v>
      </c>
      <c r="C7574" t="s">
        <v>10623</v>
      </c>
      <c r="D7574" t="s">
        <v>17463</v>
      </c>
      <c r="E7574" t="s">
        <v>24052</v>
      </c>
      <c r="F7574" t="s">
        <v>30052</v>
      </c>
      <c r="G7574" t="s">
        <v>30058</v>
      </c>
      <c r="H7574" t="s">
        <v>30067</v>
      </c>
      <c r="I7574" t="s">
        <v>3693</v>
      </c>
      <c r="J7574" t="s">
        <v>30321</v>
      </c>
      <c r="K7574" t="s">
        <v>39026</v>
      </c>
      <c r="M7574" t="s">
        <v>41841</v>
      </c>
      <c r="N7574" t="s">
        <v>43166</v>
      </c>
      <c r="O7574" t="s">
        <v>43167</v>
      </c>
      <c r="P7574">
        <v>0</v>
      </c>
      <c r="Q7574">
        <v>3</v>
      </c>
      <c r="R7574" t="s">
        <v>43173</v>
      </c>
      <c r="S7574" t="s">
        <v>43374</v>
      </c>
      <c r="T7574" t="s">
        <v>44716</v>
      </c>
      <c r="U7574" t="s">
        <v>51303</v>
      </c>
      <c r="W7574" t="s">
        <v>41841</v>
      </c>
      <c r="X7574" t="s">
        <v>43174</v>
      </c>
    </row>
    <row r="7575" spans="1:24">
      <c r="A7575">
        <f>HYPERLINK("https://www.philgeps.gov.ph/GEPSNONPILOT/Tender/SplashBidNoticeAbstractUI.aspx?menuIndex=3&amp;refID=7078156&amp;Result=3","7078156")</f>
        <v>0</v>
      </c>
      <c r="B7575" t="s">
        <v>1042</v>
      </c>
      <c r="C7575" t="s">
        <v>10624</v>
      </c>
      <c r="D7575" t="s">
        <v>17441</v>
      </c>
      <c r="E7575" t="s">
        <v>10624</v>
      </c>
      <c r="F7575" t="s">
        <v>30052</v>
      </c>
      <c r="G7575" t="s">
        <v>30058</v>
      </c>
      <c r="H7575" t="s">
        <v>15498</v>
      </c>
      <c r="I7575" t="s">
        <v>6304</v>
      </c>
      <c r="J7575" t="s">
        <v>30207</v>
      </c>
      <c r="K7575" t="s">
        <v>39099</v>
      </c>
      <c r="M7575" t="s">
        <v>40375</v>
      </c>
      <c r="N7575" t="s">
        <v>43166</v>
      </c>
      <c r="O7575" t="s">
        <v>43167</v>
      </c>
      <c r="P7575">
        <v>0</v>
      </c>
      <c r="Q7575">
        <v>1</v>
      </c>
      <c r="R7575" t="s">
        <v>43173</v>
      </c>
      <c r="S7575" t="s">
        <v>43374</v>
      </c>
      <c r="T7575" t="s">
        <v>44733</v>
      </c>
      <c r="U7575" t="s">
        <v>51304</v>
      </c>
      <c r="W7575" t="s">
        <v>40375</v>
      </c>
      <c r="X7575" t="s">
        <v>43174</v>
      </c>
    </row>
    <row r="7576" spans="1:24">
      <c r="A7576">
        <f>HYPERLINK("https://www.philgeps.gov.ph/GEPSNONPILOT/Tender/SplashBidNoticeAbstractUI.aspx?menuIndex=3&amp;refID=7077584&amp;Result=3","7077584")</f>
        <v>0</v>
      </c>
      <c r="B7576" t="s">
        <v>2249</v>
      </c>
      <c r="C7576" t="s">
        <v>10625</v>
      </c>
      <c r="E7576" t="s">
        <v>24053</v>
      </c>
      <c r="F7576" t="s">
        <v>30052</v>
      </c>
      <c r="G7576" t="s">
        <v>30058</v>
      </c>
      <c r="H7576" t="s">
        <v>30067</v>
      </c>
      <c r="I7576" t="s">
        <v>3693</v>
      </c>
      <c r="J7576" t="s">
        <v>34852</v>
      </c>
      <c r="K7576" t="s">
        <v>39025</v>
      </c>
      <c r="M7576" t="s">
        <v>41727</v>
      </c>
      <c r="N7576" t="s">
        <v>43166</v>
      </c>
      <c r="O7576" t="s">
        <v>43167</v>
      </c>
      <c r="P7576">
        <v>0</v>
      </c>
      <c r="Q7576">
        <v>10</v>
      </c>
      <c r="R7576" t="s">
        <v>43173</v>
      </c>
      <c r="S7576" t="s">
        <v>43374</v>
      </c>
      <c r="T7576" t="s">
        <v>45048</v>
      </c>
      <c r="U7576" t="s">
        <v>51330</v>
      </c>
      <c r="V7576" t="s">
        <v>57624</v>
      </c>
      <c r="W7576" t="s">
        <v>41727</v>
      </c>
      <c r="X7576" t="s">
        <v>43174</v>
      </c>
    </row>
    <row r="7577" spans="1:24">
      <c r="A7577">
        <f>HYPERLINK("https://www.philgeps.gov.ph/GEPSNONPILOT/Tender/SplashBidNoticeAbstractUI.aspx?menuIndex=3&amp;refID=7078107&amp;Result=3","7078107")</f>
        <v>0</v>
      </c>
      <c r="B7577" t="s">
        <v>2039</v>
      </c>
      <c r="C7577" t="s">
        <v>10626</v>
      </c>
      <c r="D7577" t="s">
        <v>17452</v>
      </c>
      <c r="E7577" t="s">
        <v>24054</v>
      </c>
      <c r="F7577" t="s">
        <v>30052</v>
      </c>
      <c r="G7577" t="s">
        <v>30058</v>
      </c>
      <c r="H7577" t="s">
        <v>30067</v>
      </c>
      <c r="I7577" t="s">
        <v>3693</v>
      </c>
      <c r="J7577" t="s">
        <v>34853</v>
      </c>
      <c r="K7577" t="s">
        <v>39160</v>
      </c>
      <c r="M7577" t="s">
        <v>41488</v>
      </c>
      <c r="N7577" t="s">
        <v>43166</v>
      </c>
      <c r="O7577" t="s">
        <v>43167</v>
      </c>
      <c r="P7577">
        <v>0</v>
      </c>
      <c r="Q7577">
        <v>1</v>
      </c>
      <c r="R7577" t="s">
        <v>43173</v>
      </c>
      <c r="S7577" t="s">
        <v>43374</v>
      </c>
      <c r="T7577" t="s">
        <v>44722</v>
      </c>
      <c r="U7577" t="s">
        <v>51331</v>
      </c>
      <c r="V7577" t="s">
        <v>57625</v>
      </c>
      <c r="W7577" t="s">
        <v>41488</v>
      </c>
      <c r="X7577" t="s">
        <v>43174</v>
      </c>
    </row>
    <row r="7578" spans="1:24">
      <c r="A7578">
        <f>HYPERLINK("https://www.philgeps.gov.ph/GEPSNONPILOT/Tender/SplashBidNoticeAbstractUI.aspx?menuIndex=3&amp;refID=7078198&amp;Result=3","7078198")</f>
        <v>0</v>
      </c>
      <c r="B7578" t="s">
        <v>114</v>
      </c>
      <c r="C7578" t="s">
        <v>10627</v>
      </c>
      <c r="D7578" t="s">
        <v>17460</v>
      </c>
      <c r="E7578" t="s">
        <v>24055</v>
      </c>
      <c r="F7578" t="s">
        <v>30052</v>
      </c>
      <c r="G7578" t="s">
        <v>30059</v>
      </c>
      <c r="H7578" t="s">
        <v>15498</v>
      </c>
      <c r="I7578" t="s">
        <v>6691</v>
      </c>
      <c r="J7578" t="s">
        <v>31258</v>
      </c>
      <c r="K7578" t="s">
        <v>39040</v>
      </c>
      <c r="M7578" t="s">
        <v>39403</v>
      </c>
      <c r="N7578" t="s">
        <v>43166</v>
      </c>
      <c r="O7578" t="s">
        <v>43167</v>
      </c>
      <c r="P7578">
        <v>0</v>
      </c>
      <c r="Q7578">
        <v>0</v>
      </c>
      <c r="R7578" t="s">
        <v>43173</v>
      </c>
      <c r="S7578" t="s">
        <v>43374</v>
      </c>
      <c r="T7578" t="s">
        <v>44843</v>
      </c>
      <c r="U7578" t="s">
        <v>51332</v>
      </c>
      <c r="W7578" t="s">
        <v>39403</v>
      </c>
      <c r="X7578" t="s">
        <v>43174</v>
      </c>
    </row>
    <row r="7579" spans="1:24">
      <c r="A7579">
        <f>HYPERLINK("https://www.philgeps.gov.ph/GEPSNONPILOT/Tender/SplashBidNoticeAbstractUI.aspx?menuIndex=3&amp;refID=7078098&amp;Result=3","7078098")</f>
        <v>0</v>
      </c>
      <c r="B7579" t="s">
        <v>2351</v>
      </c>
      <c r="C7579" t="s">
        <v>10628</v>
      </c>
      <c r="D7579" t="s">
        <v>17422</v>
      </c>
      <c r="E7579" t="s">
        <v>24056</v>
      </c>
      <c r="F7579" t="s">
        <v>30052</v>
      </c>
      <c r="G7579" t="s">
        <v>30058</v>
      </c>
      <c r="H7579" t="s">
        <v>30067</v>
      </c>
      <c r="I7579" t="s">
        <v>3693</v>
      </c>
      <c r="J7579" t="s">
        <v>32291</v>
      </c>
      <c r="K7579" t="s">
        <v>39057</v>
      </c>
      <c r="M7579" t="s">
        <v>41844</v>
      </c>
      <c r="N7579" t="s">
        <v>43166</v>
      </c>
      <c r="O7579" t="s">
        <v>43167</v>
      </c>
      <c r="Q7579">
        <v>6</v>
      </c>
      <c r="R7579" t="s">
        <v>43173</v>
      </c>
      <c r="S7579" t="s">
        <v>43389</v>
      </c>
      <c r="T7579" t="s">
        <v>44796</v>
      </c>
      <c r="U7579" t="s">
        <v>51318</v>
      </c>
      <c r="V7579" t="s">
        <v>57626</v>
      </c>
      <c r="W7579" t="s">
        <v>41844</v>
      </c>
      <c r="X7579" t="s">
        <v>43174</v>
      </c>
    </row>
    <row r="7580" spans="1:24">
      <c r="A7580">
        <f>HYPERLINK("https://www.philgeps.gov.ph/GEPSNONPILOT/Tender/SplashBidNoticeAbstractUI.aspx?menuIndex=3&amp;refID=7078092&amp;Result=3","7078092")</f>
        <v>0</v>
      </c>
      <c r="B7580" t="s">
        <v>1602</v>
      </c>
      <c r="C7580" t="s">
        <v>10629</v>
      </c>
      <c r="D7580" t="s">
        <v>17445</v>
      </c>
      <c r="E7580" t="s">
        <v>24057</v>
      </c>
      <c r="F7580" t="s">
        <v>30052</v>
      </c>
      <c r="G7580" t="s">
        <v>30058</v>
      </c>
      <c r="H7580" t="s">
        <v>30067</v>
      </c>
      <c r="I7580" t="s">
        <v>3693</v>
      </c>
      <c r="J7580" t="s">
        <v>30207</v>
      </c>
      <c r="K7580" t="s">
        <v>39025</v>
      </c>
      <c r="M7580" t="s">
        <v>41000</v>
      </c>
      <c r="N7580" t="s">
        <v>43166</v>
      </c>
      <c r="O7580" t="s">
        <v>43167</v>
      </c>
      <c r="P7580">
        <v>0</v>
      </c>
      <c r="Q7580">
        <v>0</v>
      </c>
      <c r="R7580" t="s">
        <v>43173</v>
      </c>
      <c r="S7580" t="s">
        <v>43374</v>
      </c>
      <c r="T7580" t="s">
        <v>45068</v>
      </c>
      <c r="U7580" t="s">
        <v>51333</v>
      </c>
      <c r="W7580" t="s">
        <v>41000</v>
      </c>
      <c r="X7580" t="s">
        <v>43174</v>
      </c>
    </row>
    <row r="7581" spans="1:24">
      <c r="A7581">
        <f>HYPERLINK("https://www.philgeps.gov.ph/GEPSNONPILOT/Tender/SplashBidNoticeAbstractUI.aspx?menuIndex=3&amp;refID=7078235&amp;Result=3","7078235")</f>
        <v>0</v>
      </c>
      <c r="B7581" t="s">
        <v>1712</v>
      </c>
      <c r="C7581" t="s">
        <v>10630</v>
      </c>
      <c r="D7581" t="s">
        <v>17421</v>
      </c>
      <c r="E7581" t="s">
        <v>24058</v>
      </c>
      <c r="F7581" t="s">
        <v>30052</v>
      </c>
      <c r="G7581" t="s">
        <v>30058</v>
      </c>
      <c r="H7581" t="s">
        <v>30067</v>
      </c>
      <c r="I7581" t="s">
        <v>3693</v>
      </c>
      <c r="J7581" t="s">
        <v>31058</v>
      </c>
      <c r="K7581" t="s">
        <v>39029</v>
      </c>
      <c r="M7581" t="s">
        <v>41127</v>
      </c>
      <c r="N7581" t="s">
        <v>43166</v>
      </c>
      <c r="O7581" t="s">
        <v>43167</v>
      </c>
      <c r="P7581">
        <v>0</v>
      </c>
      <c r="Q7581">
        <v>0</v>
      </c>
      <c r="R7581" t="s">
        <v>43173</v>
      </c>
      <c r="S7581" t="s">
        <v>43374</v>
      </c>
      <c r="T7581" t="s">
        <v>44780</v>
      </c>
      <c r="U7581" t="s">
        <v>45490</v>
      </c>
      <c r="W7581" t="s">
        <v>41127</v>
      </c>
      <c r="X7581" t="s">
        <v>43174</v>
      </c>
    </row>
    <row r="7582" spans="1:24">
      <c r="A7582">
        <f>HYPERLINK("https://www.philgeps.gov.ph/GEPSNONPILOT/Tender/SplashBidNoticeAbstractUI.aspx?menuIndex=3&amp;refID=7078214&amp;Result=3","7078214")</f>
        <v>0</v>
      </c>
      <c r="B7582" t="s">
        <v>703</v>
      </c>
      <c r="C7582" t="s">
        <v>10631</v>
      </c>
      <c r="D7582" t="s">
        <v>17445</v>
      </c>
      <c r="E7582" t="s">
        <v>24059</v>
      </c>
      <c r="F7582" t="s">
        <v>30052</v>
      </c>
      <c r="G7582" t="s">
        <v>30058</v>
      </c>
      <c r="H7582" t="s">
        <v>30067</v>
      </c>
      <c r="I7582" t="s">
        <v>3693</v>
      </c>
      <c r="J7582" t="s">
        <v>30212</v>
      </c>
      <c r="K7582" t="s">
        <v>39026</v>
      </c>
      <c r="M7582" t="s">
        <v>40012</v>
      </c>
      <c r="N7582" t="s">
        <v>43166</v>
      </c>
      <c r="O7582" t="s">
        <v>43167</v>
      </c>
      <c r="P7582">
        <v>0</v>
      </c>
      <c r="Q7582">
        <v>0</v>
      </c>
      <c r="R7582" t="s">
        <v>43173</v>
      </c>
      <c r="S7582" t="s">
        <v>43374</v>
      </c>
      <c r="T7582" t="s">
        <v>44771</v>
      </c>
      <c r="U7582" t="s">
        <v>51334</v>
      </c>
      <c r="W7582" t="s">
        <v>40012</v>
      </c>
      <c r="X7582" t="s">
        <v>43174</v>
      </c>
    </row>
    <row r="7583" spans="1:24">
      <c r="A7583">
        <f>HYPERLINK("https://www.philgeps.gov.ph/GEPSNONPILOT/Tender/SplashBidNoticeAbstractUI.aspx?menuIndex=3&amp;refID=7078233&amp;Result=3","7078233")</f>
        <v>0</v>
      </c>
      <c r="B7583" t="s">
        <v>2039</v>
      </c>
      <c r="C7583" t="s">
        <v>10632</v>
      </c>
      <c r="D7583" t="s">
        <v>17452</v>
      </c>
      <c r="E7583" t="s">
        <v>24060</v>
      </c>
      <c r="F7583" t="s">
        <v>30052</v>
      </c>
      <c r="G7583" t="s">
        <v>30058</v>
      </c>
      <c r="H7583" t="s">
        <v>30067</v>
      </c>
      <c r="I7583" t="s">
        <v>3693</v>
      </c>
      <c r="J7583" t="s">
        <v>31851</v>
      </c>
      <c r="K7583" t="s">
        <v>39062</v>
      </c>
      <c r="M7583" t="s">
        <v>41488</v>
      </c>
      <c r="N7583" t="s">
        <v>43166</v>
      </c>
      <c r="O7583" t="s">
        <v>43167</v>
      </c>
      <c r="P7583">
        <v>0</v>
      </c>
      <c r="Q7583">
        <v>1</v>
      </c>
      <c r="R7583" t="s">
        <v>43173</v>
      </c>
      <c r="S7583" t="s">
        <v>43374</v>
      </c>
      <c r="T7583" t="s">
        <v>44722</v>
      </c>
      <c r="U7583" t="s">
        <v>51335</v>
      </c>
      <c r="V7583" t="s">
        <v>57627</v>
      </c>
      <c r="W7583" t="s">
        <v>41488</v>
      </c>
      <c r="X7583" t="s">
        <v>43174</v>
      </c>
    </row>
    <row r="7584" spans="1:24">
      <c r="A7584">
        <f>HYPERLINK("https://www.philgeps.gov.ph/GEPSNONPILOT/Tender/SplashBidNoticeAbstractUI.aspx?menuIndex=3&amp;refID=7078229&amp;Result=3","7078229")</f>
        <v>0</v>
      </c>
      <c r="B7584" t="s">
        <v>2092</v>
      </c>
      <c r="C7584" t="s">
        <v>10633</v>
      </c>
      <c r="D7584" t="s">
        <v>17460</v>
      </c>
      <c r="E7584" t="s">
        <v>23423</v>
      </c>
      <c r="F7584" t="s">
        <v>30052</v>
      </c>
      <c r="G7584" t="s">
        <v>30058</v>
      </c>
      <c r="H7584" t="s">
        <v>15498</v>
      </c>
      <c r="I7584" t="s">
        <v>3736</v>
      </c>
      <c r="J7584" t="s">
        <v>34854</v>
      </c>
      <c r="K7584" t="s">
        <v>39017</v>
      </c>
      <c r="M7584" t="s">
        <v>41554</v>
      </c>
      <c r="N7584" t="s">
        <v>43166</v>
      </c>
      <c r="O7584" t="s">
        <v>43167</v>
      </c>
      <c r="P7584">
        <v>0</v>
      </c>
      <c r="Q7584">
        <v>2</v>
      </c>
      <c r="R7584" t="s">
        <v>43173</v>
      </c>
      <c r="S7584" t="s">
        <v>43374</v>
      </c>
      <c r="T7584" t="s">
        <v>44689</v>
      </c>
      <c r="U7584" t="s">
        <v>51336</v>
      </c>
      <c r="W7584" t="s">
        <v>41554</v>
      </c>
      <c r="X7584" t="s">
        <v>43174</v>
      </c>
    </row>
    <row r="7585" spans="1:24">
      <c r="A7585">
        <f>HYPERLINK("https://www.philgeps.gov.ph/GEPSNONPILOT/Tender/SplashBidNoticeAbstractUI.aspx?menuIndex=3&amp;refID=7078097&amp;Result=3","7078097")</f>
        <v>0</v>
      </c>
      <c r="B7585" t="s">
        <v>2339</v>
      </c>
      <c r="C7585" t="s">
        <v>10634</v>
      </c>
      <c r="D7585" t="s">
        <v>17455</v>
      </c>
      <c r="E7585" t="s">
        <v>24061</v>
      </c>
      <c r="F7585" t="s">
        <v>30052</v>
      </c>
      <c r="G7585" t="s">
        <v>30061</v>
      </c>
      <c r="H7585" t="s">
        <v>15498</v>
      </c>
      <c r="I7585" t="s">
        <v>7228</v>
      </c>
      <c r="J7585" t="s">
        <v>34855</v>
      </c>
      <c r="K7585" t="s">
        <v>39017</v>
      </c>
      <c r="M7585" t="s">
        <v>41829</v>
      </c>
      <c r="N7585" t="s">
        <v>43166</v>
      </c>
      <c r="O7585" t="s">
        <v>43167</v>
      </c>
      <c r="P7585">
        <v>0</v>
      </c>
      <c r="Q7585">
        <v>0</v>
      </c>
      <c r="R7585" t="s">
        <v>43173</v>
      </c>
      <c r="S7585" t="s">
        <v>43374</v>
      </c>
      <c r="T7585" t="s">
        <v>44715</v>
      </c>
      <c r="U7585" t="s">
        <v>51337</v>
      </c>
      <c r="W7585" t="s">
        <v>58670</v>
      </c>
      <c r="X7585" t="s">
        <v>43174</v>
      </c>
    </row>
    <row r="7586" spans="1:24">
      <c r="A7586">
        <f>HYPERLINK("https://www.philgeps.gov.ph/GEPSNONPILOT/Tender/SplashBidNoticeAbstractUI.aspx?menuIndex=3&amp;refID=7078227&amp;Result=3","7078227")</f>
        <v>0</v>
      </c>
      <c r="B7586" t="s">
        <v>2161</v>
      </c>
      <c r="C7586" t="s">
        <v>10635</v>
      </c>
      <c r="D7586" t="s">
        <v>17444</v>
      </c>
      <c r="E7586" t="s">
        <v>17938</v>
      </c>
      <c r="F7586" t="s">
        <v>30052</v>
      </c>
      <c r="G7586" t="s">
        <v>30062</v>
      </c>
      <c r="H7586" t="s">
        <v>15498</v>
      </c>
      <c r="I7586" t="s">
        <v>30085</v>
      </c>
      <c r="J7586" t="s">
        <v>34856</v>
      </c>
      <c r="K7586" t="s">
        <v>39039</v>
      </c>
      <c r="M7586" t="s">
        <v>41628</v>
      </c>
      <c r="N7586" t="s">
        <v>43166</v>
      </c>
      <c r="O7586" t="s">
        <v>43167</v>
      </c>
      <c r="P7586">
        <v>0</v>
      </c>
      <c r="Q7586">
        <v>0</v>
      </c>
      <c r="R7586" t="s">
        <v>43173</v>
      </c>
      <c r="S7586" t="s">
        <v>43374</v>
      </c>
      <c r="T7586" t="s">
        <v>44870</v>
      </c>
      <c r="U7586" t="s">
        <v>51338</v>
      </c>
      <c r="W7586" t="s">
        <v>41628</v>
      </c>
      <c r="X7586" t="s">
        <v>43174</v>
      </c>
    </row>
    <row r="7587" spans="1:24">
      <c r="A7587">
        <f>HYPERLINK("https://www.philgeps.gov.ph/GEPSNONPILOT/Tender/SplashBidNoticeAbstractUI.aspx?menuIndex=3&amp;refID=7078213&amp;Result=3","7078213")</f>
        <v>0</v>
      </c>
      <c r="B7587" t="s">
        <v>1464</v>
      </c>
      <c r="C7587" t="s">
        <v>10636</v>
      </c>
      <c r="D7587" t="s">
        <v>17415</v>
      </c>
      <c r="E7587" t="s">
        <v>24062</v>
      </c>
      <c r="F7587" t="s">
        <v>30052</v>
      </c>
      <c r="G7587" t="s">
        <v>30059</v>
      </c>
      <c r="H7587" t="s">
        <v>15498</v>
      </c>
      <c r="I7587" t="s">
        <v>4598</v>
      </c>
      <c r="J7587" t="s">
        <v>31639</v>
      </c>
      <c r="K7587" t="s">
        <v>39019</v>
      </c>
      <c r="M7587" t="s">
        <v>40845</v>
      </c>
      <c r="N7587" t="s">
        <v>43166</v>
      </c>
      <c r="O7587" t="s">
        <v>43167</v>
      </c>
      <c r="P7587">
        <v>0</v>
      </c>
      <c r="Q7587">
        <v>20</v>
      </c>
      <c r="R7587" t="s">
        <v>43173</v>
      </c>
      <c r="S7587" t="s">
        <v>43374</v>
      </c>
      <c r="T7587" t="s">
        <v>44691</v>
      </c>
      <c r="U7587" t="s">
        <v>48465</v>
      </c>
      <c r="W7587" t="s">
        <v>40845</v>
      </c>
      <c r="X7587" t="s">
        <v>43174</v>
      </c>
    </row>
    <row r="7588" spans="1:24">
      <c r="A7588">
        <f>HYPERLINK("https://www.philgeps.gov.ph/GEPSNONPILOT/Tender/SplashBidNoticeAbstractUI.aspx?menuIndex=3&amp;refID=7078218&amp;Result=3","7078218")</f>
        <v>0</v>
      </c>
      <c r="B7588" t="s">
        <v>620</v>
      </c>
      <c r="C7588" t="s">
        <v>10637</v>
      </c>
      <c r="D7588" t="s">
        <v>17427</v>
      </c>
      <c r="E7588" t="s">
        <v>24063</v>
      </c>
      <c r="F7588" t="s">
        <v>30052</v>
      </c>
      <c r="G7588" t="s">
        <v>30059</v>
      </c>
      <c r="H7588" t="s">
        <v>15498</v>
      </c>
      <c r="I7588" t="s">
        <v>30111</v>
      </c>
      <c r="J7588" t="s">
        <v>30538</v>
      </c>
      <c r="K7588" t="s">
        <v>39025</v>
      </c>
      <c r="M7588" t="s">
        <v>39923</v>
      </c>
      <c r="N7588" t="s">
        <v>43166</v>
      </c>
      <c r="O7588" t="s">
        <v>43167</v>
      </c>
      <c r="P7588">
        <v>0</v>
      </c>
      <c r="Q7588">
        <v>1</v>
      </c>
      <c r="R7588" t="s">
        <v>43173</v>
      </c>
      <c r="S7588" t="s">
        <v>43374</v>
      </c>
      <c r="T7588" t="s">
        <v>44837</v>
      </c>
      <c r="U7588" t="s">
        <v>51339</v>
      </c>
      <c r="W7588" t="s">
        <v>39923</v>
      </c>
      <c r="X7588" t="s">
        <v>43174</v>
      </c>
    </row>
    <row r="7589" spans="1:24">
      <c r="A7589">
        <f>HYPERLINK("https://www.philgeps.gov.ph/GEPSNONPILOT/Tender/SplashBidNoticeAbstractUI.aspx?menuIndex=3&amp;refID=7078245&amp;Result=3","7078245")</f>
        <v>0</v>
      </c>
      <c r="B7589" t="s">
        <v>607</v>
      </c>
      <c r="C7589" t="s">
        <v>10638</v>
      </c>
      <c r="D7589" t="s">
        <v>17459</v>
      </c>
      <c r="E7589" t="s">
        <v>24064</v>
      </c>
      <c r="F7589" t="s">
        <v>30052</v>
      </c>
      <c r="G7589" t="s">
        <v>30058</v>
      </c>
      <c r="H7589" t="s">
        <v>15498</v>
      </c>
      <c r="I7589" t="s">
        <v>3693</v>
      </c>
      <c r="J7589" t="s">
        <v>34857</v>
      </c>
      <c r="K7589" t="s">
        <v>39193</v>
      </c>
      <c r="M7589" t="s">
        <v>40755</v>
      </c>
      <c r="N7589" t="s">
        <v>43166</v>
      </c>
      <c r="O7589" t="s">
        <v>43167</v>
      </c>
      <c r="P7589">
        <v>0</v>
      </c>
      <c r="Q7589">
        <v>2</v>
      </c>
      <c r="R7589" t="s">
        <v>43173</v>
      </c>
      <c r="S7589" t="s">
        <v>43374</v>
      </c>
      <c r="T7589" t="s">
        <v>45000</v>
      </c>
      <c r="U7589" t="s">
        <v>51340</v>
      </c>
      <c r="W7589" t="s">
        <v>40755</v>
      </c>
      <c r="X7589" t="s">
        <v>43174</v>
      </c>
    </row>
    <row r="7590" spans="1:24">
      <c r="A7590">
        <f>HYPERLINK("https://www.philgeps.gov.ph/GEPSNONPILOT/Tender/SplashBidNoticeAbstractUI.aspx?menuIndex=3&amp;refID=7078231&amp;Result=3","7078231")</f>
        <v>0</v>
      </c>
      <c r="B7590" t="s">
        <v>1527</v>
      </c>
      <c r="C7590" t="s">
        <v>10639</v>
      </c>
      <c r="E7590" t="s">
        <v>24065</v>
      </c>
      <c r="F7590" t="s">
        <v>30052</v>
      </c>
      <c r="G7590" t="s">
        <v>30059</v>
      </c>
      <c r="H7590" t="s">
        <v>15498</v>
      </c>
      <c r="I7590" t="s">
        <v>9238</v>
      </c>
      <c r="J7590" t="s">
        <v>30586</v>
      </c>
      <c r="K7590" t="s">
        <v>39025</v>
      </c>
      <c r="M7590" t="s">
        <v>40913</v>
      </c>
      <c r="N7590" t="s">
        <v>43166</v>
      </c>
      <c r="O7590" t="s">
        <v>43167</v>
      </c>
      <c r="Q7590">
        <v>8</v>
      </c>
      <c r="R7590" t="s">
        <v>43173</v>
      </c>
      <c r="S7590" t="s">
        <v>43390</v>
      </c>
      <c r="T7590" t="s">
        <v>44717</v>
      </c>
      <c r="U7590" t="s">
        <v>51341</v>
      </c>
      <c r="W7590" t="s">
        <v>58645</v>
      </c>
      <c r="X7590" t="s">
        <v>43174</v>
      </c>
    </row>
    <row r="7591" spans="1:24">
      <c r="A7591">
        <f>HYPERLINK("https://www.philgeps.gov.ph/GEPSNONPILOT/Tender/SplashBidNoticeAbstractUI.aspx?menuIndex=3&amp;refID=7078254&amp;Result=3","7078254")</f>
        <v>0</v>
      </c>
      <c r="B7591" t="s">
        <v>2349</v>
      </c>
      <c r="C7591" t="s">
        <v>10640</v>
      </c>
      <c r="D7591" t="s">
        <v>17475</v>
      </c>
      <c r="E7591" t="s">
        <v>24066</v>
      </c>
      <c r="F7591" t="s">
        <v>30052</v>
      </c>
      <c r="G7591" t="s">
        <v>30061</v>
      </c>
      <c r="H7591" t="s">
        <v>15498</v>
      </c>
      <c r="I7591" t="s">
        <v>30096</v>
      </c>
      <c r="J7591" t="s">
        <v>31913</v>
      </c>
      <c r="K7591" t="s">
        <v>39036</v>
      </c>
      <c r="M7591" t="s">
        <v>41840</v>
      </c>
      <c r="N7591" t="s">
        <v>43166</v>
      </c>
      <c r="O7591" t="s">
        <v>43167</v>
      </c>
      <c r="P7591">
        <v>0</v>
      </c>
      <c r="Q7591">
        <v>1</v>
      </c>
      <c r="R7591" t="s">
        <v>43173</v>
      </c>
      <c r="S7591" t="s">
        <v>43374</v>
      </c>
      <c r="T7591" t="s">
        <v>44832</v>
      </c>
      <c r="U7591" t="s">
        <v>51342</v>
      </c>
      <c r="V7591" t="s">
        <v>57628</v>
      </c>
      <c r="W7591" t="s">
        <v>41840</v>
      </c>
      <c r="X7591" t="s">
        <v>43174</v>
      </c>
    </row>
    <row r="7592" spans="1:24">
      <c r="A7592">
        <f>HYPERLINK("https://www.philgeps.gov.ph/GEPSNONPILOT/Tender/SplashBidNoticeAbstractUI.aspx?menuIndex=3&amp;refID=7078250&amp;Result=3","7078250")</f>
        <v>0</v>
      </c>
      <c r="B7592" t="s">
        <v>2357</v>
      </c>
      <c r="C7592" t="s">
        <v>10641</v>
      </c>
      <c r="D7592" t="s">
        <v>17415</v>
      </c>
      <c r="E7592" t="s">
        <v>24067</v>
      </c>
      <c r="F7592" t="s">
        <v>30052</v>
      </c>
      <c r="G7592" t="s">
        <v>30058</v>
      </c>
      <c r="H7592" t="s">
        <v>15498</v>
      </c>
      <c r="I7592" t="s">
        <v>30088</v>
      </c>
      <c r="J7592" t="s">
        <v>30235</v>
      </c>
      <c r="K7592" t="s">
        <v>39029</v>
      </c>
      <c r="M7592" t="s">
        <v>41851</v>
      </c>
      <c r="N7592" t="s">
        <v>43166</v>
      </c>
      <c r="O7592" t="s">
        <v>43167</v>
      </c>
      <c r="P7592">
        <v>0</v>
      </c>
      <c r="Q7592">
        <v>3</v>
      </c>
      <c r="R7592" t="s">
        <v>43173</v>
      </c>
      <c r="S7592" t="s">
        <v>43374</v>
      </c>
      <c r="T7592" t="s">
        <v>44874</v>
      </c>
      <c r="U7592" t="s">
        <v>51343</v>
      </c>
      <c r="V7592" t="s">
        <v>57629</v>
      </c>
      <c r="W7592" t="s">
        <v>41851</v>
      </c>
      <c r="X7592" t="s">
        <v>43174</v>
      </c>
    </row>
    <row r="7593" spans="1:24">
      <c r="A7593">
        <f>HYPERLINK("https://www.philgeps.gov.ph/GEPSNONPILOT/Tender/SplashBidNoticeAbstractUI.aspx?menuIndex=3&amp;refID=7078228&amp;Result=3","7078228")</f>
        <v>0</v>
      </c>
      <c r="B7593" t="s">
        <v>2358</v>
      </c>
      <c r="C7593" t="s">
        <v>3459</v>
      </c>
      <c r="D7593" t="s">
        <v>17477</v>
      </c>
      <c r="E7593" t="s">
        <v>24068</v>
      </c>
      <c r="F7593" t="s">
        <v>30055</v>
      </c>
      <c r="G7593" t="s">
        <v>30059</v>
      </c>
      <c r="H7593" t="s">
        <v>15498</v>
      </c>
      <c r="I7593" t="s">
        <v>30070</v>
      </c>
      <c r="J7593" t="s">
        <v>30890</v>
      </c>
      <c r="K7593" t="s">
        <v>39036</v>
      </c>
      <c r="M7593" t="s">
        <v>41852</v>
      </c>
      <c r="N7593" t="s">
        <v>43166</v>
      </c>
      <c r="O7593" t="s">
        <v>43167</v>
      </c>
      <c r="P7593">
        <v>0</v>
      </c>
      <c r="Q7593">
        <v>4</v>
      </c>
      <c r="R7593" t="s">
        <v>43173</v>
      </c>
      <c r="S7593" t="s">
        <v>43374</v>
      </c>
      <c r="T7593" t="s">
        <v>44734</v>
      </c>
      <c r="U7593" t="s">
        <v>51344</v>
      </c>
      <c r="W7593" t="s">
        <v>41852</v>
      </c>
      <c r="X7593" t="s">
        <v>43174</v>
      </c>
    </row>
    <row r="7594" spans="1:24">
      <c r="A7594">
        <f>HYPERLINK("https://www.philgeps.gov.ph/GEPSNONPILOT/Tender/SplashBidNoticeAbstractUI.aspx?menuIndex=3&amp;refID=7078248&amp;Result=3","7078248")</f>
        <v>0</v>
      </c>
      <c r="B7594" t="s">
        <v>1464</v>
      </c>
      <c r="C7594" t="s">
        <v>10642</v>
      </c>
      <c r="D7594" t="s">
        <v>17415</v>
      </c>
      <c r="E7594" t="s">
        <v>24069</v>
      </c>
      <c r="F7594" t="s">
        <v>30052</v>
      </c>
      <c r="G7594" t="s">
        <v>30059</v>
      </c>
      <c r="H7594" t="s">
        <v>15498</v>
      </c>
      <c r="I7594" t="s">
        <v>30105</v>
      </c>
      <c r="J7594" t="s">
        <v>30801</v>
      </c>
      <c r="K7594" t="s">
        <v>39029</v>
      </c>
      <c r="M7594" t="s">
        <v>40845</v>
      </c>
      <c r="N7594" t="s">
        <v>43166</v>
      </c>
      <c r="O7594" t="s">
        <v>43167</v>
      </c>
      <c r="P7594">
        <v>0</v>
      </c>
      <c r="Q7594">
        <v>30</v>
      </c>
      <c r="R7594" t="s">
        <v>43173</v>
      </c>
      <c r="S7594" t="s">
        <v>43374</v>
      </c>
      <c r="T7594" t="s">
        <v>44691</v>
      </c>
      <c r="U7594" t="s">
        <v>48465</v>
      </c>
      <c r="W7594" t="s">
        <v>40845</v>
      </c>
      <c r="X7594" t="s">
        <v>43174</v>
      </c>
    </row>
    <row r="7595" spans="1:24">
      <c r="A7595">
        <f>HYPERLINK("https://www.philgeps.gov.ph/GEPSNONPILOT/Tender/SplashBidNoticeAbstractUI.aspx?menuIndex=3&amp;refID=7078247&amp;Result=3","7078247")</f>
        <v>0</v>
      </c>
      <c r="B7595" t="s">
        <v>2359</v>
      </c>
      <c r="C7595" t="s">
        <v>10643</v>
      </c>
      <c r="D7595" t="s">
        <v>17475</v>
      </c>
      <c r="E7595" t="s">
        <v>18240</v>
      </c>
      <c r="F7595" t="s">
        <v>30052</v>
      </c>
      <c r="G7595" t="s">
        <v>30058</v>
      </c>
      <c r="H7595" t="s">
        <v>15498</v>
      </c>
      <c r="I7595" t="s">
        <v>3736</v>
      </c>
      <c r="J7595" t="s">
        <v>34858</v>
      </c>
      <c r="K7595" t="s">
        <v>39036</v>
      </c>
      <c r="M7595" t="s">
        <v>41853</v>
      </c>
      <c r="N7595" t="s">
        <v>43166</v>
      </c>
      <c r="O7595" t="s">
        <v>43167</v>
      </c>
      <c r="P7595">
        <v>0</v>
      </c>
      <c r="Q7595">
        <v>0</v>
      </c>
      <c r="R7595" t="s">
        <v>43173</v>
      </c>
      <c r="S7595" t="s">
        <v>43374</v>
      </c>
      <c r="T7595" t="s">
        <v>44720</v>
      </c>
      <c r="U7595" t="s">
        <v>51345</v>
      </c>
      <c r="W7595" t="s">
        <v>41853</v>
      </c>
      <c r="X7595" t="s">
        <v>43174</v>
      </c>
    </row>
    <row r="7596" spans="1:24">
      <c r="A7596">
        <f>HYPERLINK("https://www.philgeps.gov.ph/GEPSNONPILOT/Tender/SplashBidNoticeAbstractUI.aspx?menuIndex=3&amp;refID=7078246&amp;Result=3","7078246")</f>
        <v>0</v>
      </c>
      <c r="B7596" t="s">
        <v>2355</v>
      </c>
      <c r="C7596" t="s">
        <v>10644</v>
      </c>
      <c r="D7596" t="s">
        <v>17449</v>
      </c>
      <c r="E7596" t="s">
        <v>24070</v>
      </c>
      <c r="F7596" t="s">
        <v>30052</v>
      </c>
      <c r="G7596" t="s">
        <v>30058</v>
      </c>
      <c r="H7596" t="s">
        <v>30067</v>
      </c>
      <c r="I7596" t="s">
        <v>30152</v>
      </c>
      <c r="J7596" t="s">
        <v>34859</v>
      </c>
      <c r="K7596" t="s">
        <v>39046</v>
      </c>
      <c r="M7596" t="s">
        <v>41849</v>
      </c>
      <c r="N7596" t="s">
        <v>43166</v>
      </c>
      <c r="O7596" t="s">
        <v>43167</v>
      </c>
      <c r="P7596">
        <v>0</v>
      </c>
      <c r="Q7596">
        <v>2</v>
      </c>
      <c r="R7596" t="s">
        <v>43173</v>
      </c>
      <c r="S7596" t="s">
        <v>43374</v>
      </c>
      <c r="T7596" t="s">
        <v>44780</v>
      </c>
      <c r="U7596" t="s">
        <v>51346</v>
      </c>
      <c r="W7596" t="s">
        <v>41849</v>
      </c>
      <c r="X7596" t="s">
        <v>43174</v>
      </c>
    </row>
    <row r="7597" spans="1:24">
      <c r="A7597">
        <f>HYPERLINK("https://www.philgeps.gov.ph/GEPSNONPILOT/Tender/SplashBidNoticeAbstractUI.aspx?menuIndex=3&amp;refID=7078281&amp;Result=3","7078281")</f>
        <v>0</v>
      </c>
      <c r="B7597" t="s">
        <v>2360</v>
      </c>
      <c r="C7597" t="s">
        <v>10645</v>
      </c>
      <c r="D7597" t="s">
        <v>17444</v>
      </c>
      <c r="E7597" t="s">
        <v>24071</v>
      </c>
      <c r="F7597" t="s">
        <v>30052</v>
      </c>
      <c r="G7597" t="s">
        <v>30061</v>
      </c>
      <c r="H7597" t="s">
        <v>15498</v>
      </c>
      <c r="I7597" t="s">
        <v>30070</v>
      </c>
      <c r="J7597" t="s">
        <v>30248</v>
      </c>
      <c r="K7597" t="s">
        <v>39017</v>
      </c>
      <c r="M7597" t="s">
        <v>41854</v>
      </c>
      <c r="N7597" t="s">
        <v>43166</v>
      </c>
      <c r="O7597" t="s">
        <v>43167</v>
      </c>
      <c r="P7597">
        <v>0</v>
      </c>
      <c r="Q7597">
        <v>0</v>
      </c>
      <c r="R7597" t="s">
        <v>43173</v>
      </c>
      <c r="S7597" t="s">
        <v>43374</v>
      </c>
      <c r="T7597" t="s">
        <v>44773</v>
      </c>
      <c r="U7597" t="s">
        <v>51347</v>
      </c>
      <c r="W7597" t="s">
        <v>41854</v>
      </c>
      <c r="X7597" t="s">
        <v>43174</v>
      </c>
    </row>
    <row r="7598" spans="1:24">
      <c r="A7598">
        <f>HYPERLINK("https://www.philgeps.gov.ph/GEPSNONPILOT/Tender/SplashBidNoticeAbstractUI.aspx?menuIndex=3&amp;refID=7078272&amp;Result=3","7078272")</f>
        <v>0</v>
      </c>
      <c r="B7598" t="s">
        <v>2357</v>
      </c>
      <c r="C7598" t="s">
        <v>10646</v>
      </c>
      <c r="D7598" t="s">
        <v>17415</v>
      </c>
      <c r="E7598" t="s">
        <v>24072</v>
      </c>
      <c r="F7598" t="s">
        <v>30052</v>
      </c>
      <c r="G7598" t="s">
        <v>30058</v>
      </c>
      <c r="H7598" t="s">
        <v>15498</v>
      </c>
      <c r="I7598" t="s">
        <v>30116</v>
      </c>
      <c r="J7598" t="s">
        <v>34860</v>
      </c>
      <c r="K7598" t="s">
        <v>39029</v>
      </c>
      <c r="M7598" t="s">
        <v>41851</v>
      </c>
      <c r="N7598" t="s">
        <v>43166</v>
      </c>
      <c r="O7598" t="s">
        <v>43167</v>
      </c>
      <c r="P7598">
        <v>0</v>
      </c>
      <c r="Q7598">
        <v>6</v>
      </c>
      <c r="R7598" t="s">
        <v>43173</v>
      </c>
      <c r="S7598" t="s">
        <v>43374</v>
      </c>
      <c r="T7598" t="s">
        <v>44829</v>
      </c>
      <c r="U7598" t="s">
        <v>51348</v>
      </c>
      <c r="V7598" t="s">
        <v>57629</v>
      </c>
      <c r="W7598" t="s">
        <v>41851</v>
      </c>
      <c r="X7598" t="s">
        <v>43174</v>
      </c>
    </row>
    <row r="7599" spans="1:24">
      <c r="A7599">
        <f>HYPERLINK("https://www.philgeps.gov.ph/GEPSNONPILOT/Tender/SplashBidNoticeAbstractUI.aspx?menuIndex=3&amp;refID=7078270&amp;Result=3","7078270")</f>
        <v>0</v>
      </c>
      <c r="B7599" t="s">
        <v>934</v>
      </c>
      <c r="C7599" t="s">
        <v>10647</v>
      </c>
      <c r="D7599" t="s">
        <v>17424</v>
      </c>
      <c r="E7599" t="s">
        <v>24073</v>
      </c>
      <c r="F7599" t="s">
        <v>30052</v>
      </c>
      <c r="G7599" t="s">
        <v>30058</v>
      </c>
      <c r="H7599" t="s">
        <v>30067</v>
      </c>
      <c r="I7599" t="s">
        <v>3693</v>
      </c>
      <c r="J7599" t="s">
        <v>30215</v>
      </c>
      <c r="K7599" t="s">
        <v>39022</v>
      </c>
      <c r="M7599" t="s">
        <v>40258</v>
      </c>
      <c r="N7599" t="s">
        <v>43166</v>
      </c>
      <c r="O7599" t="s">
        <v>43167</v>
      </c>
      <c r="P7599">
        <v>0</v>
      </c>
      <c r="Q7599">
        <v>64</v>
      </c>
      <c r="R7599" t="s">
        <v>43173</v>
      </c>
      <c r="S7599" t="s">
        <v>43374</v>
      </c>
      <c r="T7599" t="s">
        <v>44834</v>
      </c>
      <c r="U7599" t="s">
        <v>51349</v>
      </c>
      <c r="V7599" t="s">
        <v>57630</v>
      </c>
      <c r="W7599" t="s">
        <v>40258</v>
      </c>
      <c r="X7599" t="s">
        <v>43174</v>
      </c>
    </row>
    <row r="7600" spans="1:24">
      <c r="A7600">
        <f>HYPERLINK("https://www.philgeps.gov.ph/GEPSNONPILOT/Tender/SplashBidNoticeAbstractUI.aspx?menuIndex=3&amp;refID=7078330&amp;Result=3","7078330")</f>
        <v>0</v>
      </c>
      <c r="B7600" t="s">
        <v>1501</v>
      </c>
      <c r="C7600" t="s">
        <v>10648</v>
      </c>
      <c r="D7600" t="s">
        <v>17445</v>
      </c>
      <c r="E7600" t="s">
        <v>24074</v>
      </c>
      <c r="F7600" t="s">
        <v>30052</v>
      </c>
      <c r="G7600" t="s">
        <v>30059</v>
      </c>
      <c r="H7600" t="s">
        <v>30069</v>
      </c>
      <c r="I7600" t="s">
        <v>30100</v>
      </c>
      <c r="J7600" t="s">
        <v>34861</v>
      </c>
      <c r="K7600" t="s">
        <v>39048</v>
      </c>
      <c r="M7600" t="s">
        <v>41855</v>
      </c>
      <c r="N7600" t="s">
        <v>43166</v>
      </c>
      <c r="O7600" t="s">
        <v>43167</v>
      </c>
      <c r="Q7600">
        <v>1</v>
      </c>
      <c r="R7600" t="s">
        <v>43173</v>
      </c>
      <c r="S7600" t="s">
        <v>43391</v>
      </c>
      <c r="T7600" t="s">
        <v>44746</v>
      </c>
      <c r="U7600" t="s">
        <v>51350</v>
      </c>
      <c r="W7600" t="s">
        <v>40885</v>
      </c>
      <c r="X7600" t="s">
        <v>43174</v>
      </c>
    </row>
    <row r="7601" spans="1:24">
      <c r="A7601">
        <f>HYPERLINK("https://www.philgeps.gov.ph/GEPSNONPILOT/Tender/SplashBidNoticeAbstractUI.aspx?menuIndex=3&amp;refID=7078249&amp;Result=3","7078249")</f>
        <v>0</v>
      </c>
      <c r="B7601" t="s">
        <v>2351</v>
      </c>
      <c r="C7601" t="s">
        <v>10649</v>
      </c>
      <c r="D7601" t="s">
        <v>17422</v>
      </c>
      <c r="E7601" t="s">
        <v>24075</v>
      </c>
      <c r="F7601" t="s">
        <v>30052</v>
      </c>
      <c r="G7601" t="s">
        <v>30058</v>
      </c>
      <c r="H7601" t="s">
        <v>30067</v>
      </c>
      <c r="I7601" t="s">
        <v>3693</v>
      </c>
      <c r="J7601" t="s">
        <v>32291</v>
      </c>
      <c r="K7601" t="s">
        <v>39057</v>
      </c>
      <c r="M7601" t="s">
        <v>41844</v>
      </c>
      <c r="N7601" t="s">
        <v>43166</v>
      </c>
      <c r="O7601" t="s">
        <v>43167</v>
      </c>
      <c r="Q7601">
        <v>6</v>
      </c>
      <c r="R7601" t="s">
        <v>43173</v>
      </c>
      <c r="S7601" t="s">
        <v>43392</v>
      </c>
      <c r="T7601" t="s">
        <v>44796</v>
      </c>
      <c r="U7601" t="s">
        <v>51318</v>
      </c>
      <c r="V7601" t="s">
        <v>57631</v>
      </c>
      <c r="W7601" t="s">
        <v>41844</v>
      </c>
      <c r="X7601" t="s">
        <v>43174</v>
      </c>
    </row>
    <row r="7602" spans="1:24">
      <c r="A7602">
        <f>HYPERLINK("https://www.philgeps.gov.ph/GEPSNONPILOT/Tender/SplashBidNoticeAbstractUI.aspx?menuIndex=3&amp;refID=7078217&amp;Result=3","7078217")</f>
        <v>0</v>
      </c>
      <c r="B7602" t="s">
        <v>1646</v>
      </c>
      <c r="C7602" t="s">
        <v>10650</v>
      </c>
      <c r="E7602" t="s">
        <v>24076</v>
      </c>
      <c r="F7602" t="s">
        <v>30052</v>
      </c>
      <c r="G7602" t="s">
        <v>30059</v>
      </c>
      <c r="H7602" t="s">
        <v>15498</v>
      </c>
      <c r="I7602" t="s">
        <v>3852</v>
      </c>
      <c r="J7602" t="s">
        <v>34862</v>
      </c>
      <c r="K7602" t="s">
        <v>39025</v>
      </c>
      <c r="M7602" t="s">
        <v>41107</v>
      </c>
      <c r="N7602" t="s">
        <v>43166</v>
      </c>
      <c r="O7602" t="s">
        <v>43167</v>
      </c>
      <c r="P7602">
        <v>0</v>
      </c>
      <c r="Q7602">
        <v>10</v>
      </c>
      <c r="R7602" t="s">
        <v>43173</v>
      </c>
      <c r="S7602" t="s">
        <v>43374</v>
      </c>
      <c r="T7602" t="s">
        <v>44862</v>
      </c>
      <c r="U7602" t="s">
        <v>46812</v>
      </c>
      <c r="W7602" t="s">
        <v>41107</v>
      </c>
      <c r="X7602" t="s">
        <v>43174</v>
      </c>
    </row>
    <row r="7603" spans="1:24">
      <c r="A7603">
        <f>HYPERLINK("https://www.philgeps.gov.ph/GEPSNONPILOT/Tender/SplashBidNoticeAbstractUI.aspx?menuIndex=3&amp;refID=7078317&amp;Result=3","7078317")</f>
        <v>0</v>
      </c>
      <c r="B7603" t="s">
        <v>2127</v>
      </c>
      <c r="C7603" t="s">
        <v>10651</v>
      </c>
      <c r="D7603" t="s">
        <v>17477</v>
      </c>
      <c r="E7603" t="s">
        <v>24077</v>
      </c>
      <c r="F7603" t="s">
        <v>30052</v>
      </c>
      <c r="G7603" t="s">
        <v>30058</v>
      </c>
      <c r="H7603" t="s">
        <v>30067</v>
      </c>
      <c r="I7603" t="s">
        <v>30093</v>
      </c>
      <c r="J7603" t="s">
        <v>34863</v>
      </c>
      <c r="K7603" t="s">
        <v>39017</v>
      </c>
      <c r="M7603" t="s">
        <v>41591</v>
      </c>
      <c r="N7603" t="s">
        <v>43166</v>
      </c>
      <c r="O7603" t="s">
        <v>43167</v>
      </c>
      <c r="P7603">
        <v>0</v>
      </c>
      <c r="Q7603">
        <v>7</v>
      </c>
      <c r="R7603" t="s">
        <v>43173</v>
      </c>
      <c r="S7603" t="s">
        <v>43374</v>
      </c>
      <c r="T7603" t="s">
        <v>44718</v>
      </c>
      <c r="U7603" t="s">
        <v>51351</v>
      </c>
      <c r="W7603" t="s">
        <v>41591</v>
      </c>
      <c r="X7603" t="s">
        <v>43174</v>
      </c>
    </row>
    <row r="7604" spans="1:24">
      <c r="A7604">
        <f>HYPERLINK("https://www.philgeps.gov.ph/GEPSNONPILOT/Tender/SplashBidNoticeAbstractUI.aspx?menuIndex=3&amp;refID=7078313&amp;Result=3","7078313")</f>
        <v>0</v>
      </c>
      <c r="B7604" t="s">
        <v>1500</v>
      </c>
      <c r="C7604" t="s">
        <v>10652</v>
      </c>
      <c r="D7604" t="s">
        <v>17462</v>
      </c>
      <c r="E7604" t="s">
        <v>18742</v>
      </c>
      <c r="F7604" t="s">
        <v>30052</v>
      </c>
      <c r="G7604" t="s">
        <v>30061</v>
      </c>
      <c r="H7604" t="s">
        <v>30067</v>
      </c>
      <c r="I7604" t="s">
        <v>3693</v>
      </c>
      <c r="J7604" t="s">
        <v>34864</v>
      </c>
      <c r="K7604" t="s">
        <v>39017</v>
      </c>
      <c r="M7604" t="s">
        <v>40884</v>
      </c>
      <c r="N7604" t="s">
        <v>43166</v>
      </c>
      <c r="O7604" t="s">
        <v>43167</v>
      </c>
      <c r="P7604">
        <v>0</v>
      </c>
      <c r="Q7604">
        <v>0</v>
      </c>
      <c r="R7604" t="s">
        <v>43173</v>
      </c>
      <c r="S7604" t="s">
        <v>43374</v>
      </c>
      <c r="T7604" t="s">
        <v>44806</v>
      </c>
      <c r="U7604" t="s">
        <v>51352</v>
      </c>
      <c r="W7604" t="s">
        <v>40884</v>
      </c>
      <c r="X7604" t="s">
        <v>43174</v>
      </c>
    </row>
    <row r="7605" spans="1:24">
      <c r="A7605">
        <f>HYPERLINK("https://www.philgeps.gov.ph/GEPSNONPILOT/Tender/SplashBidNoticeAbstractUI.aspx?menuIndex=3&amp;refID=7078257&amp;Result=3","7078257")</f>
        <v>0</v>
      </c>
      <c r="B7605" t="s">
        <v>1527</v>
      </c>
      <c r="C7605" t="s">
        <v>10653</v>
      </c>
      <c r="E7605" t="s">
        <v>24078</v>
      </c>
      <c r="F7605" t="s">
        <v>30052</v>
      </c>
      <c r="G7605" t="s">
        <v>30059</v>
      </c>
      <c r="H7605" t="s">
        <v>15498</v>
      </c>
      <c r="I7605" t="s">
        <v>30081</v>
      </c>
      <c r="J7605" t="s">
        <v>30635</v>
      </c>
      <c r="K7605" t="s">
        <v>39025</v>
      </c>
      <c r="M7605" t="s">
        <v>40913</v>
      </c>
      <c r="N7605" t="s">
        <v>43166</v>
      </c>
      <c r="O7605" t="s">
        <v>43167</v>
      </c>
      <c r="P7605">
        <v>0</v>
      </c>
      <c r="Q7605">
        <v>0</v>
      </c>
      <c r="R7605" t="s">
        <v>43173</v>
      </c>
      <c r="S7605" t="s">
        <v>43374</v>
      </c>
      <c r="T7605" t="s">
        <v>44717</v>
      </c>
      <c r="U7605" t="s">
        <v>51353</v>
      </c>
      <c r="W7605" t="s">
        <v>58645</v>
      </c>
      <c r="X7605" t="s">
        <v>43174</v>
      </c>
    </row>
    <row r="7606" spans="1:24">
      <c r="A7606">
        <f>HYPERLINK("https://www.philgeps.gov.ph/GEPSNONPILOT/Tender/SplashBidNoticeAbstractUI.aspx?menuIndex=3&amp;refID=7078307&amp;Result=3","7078307")</f>
        <v>0</v>
      </c>
      <c r="B7606" t="s">
        <v>2361</v>
      </c>
      <c r="C7606" t="s">
        <v>10654</v>
      </c>
      <c r="D7606" t="s">
        <v>17444</v>
      </c>
      <c r="E7606" t="s">
        <v>17715</v>
      </c>
      <c r="F7606" t="s">
        <v>30052</v>
      </c>
      <c r="G7606" t="s">
        <v>30058</v>
      </c>
      <c r="H7606" t="s">
        <v>30067</v>
      </c>
      <c r="I7606" t="s">
        <v>3693</v>
      </c>
      <c r="J7606" t="s">
        <v>34865</v>
      </c>
      <c r="K7606" t="s">
        <v>39046</v>
      </c>
      <c r="M7606" t="s">
        <v>41856</v>
      </c>
      <c r="N7606" t="s">
        <v>43166</v>
      </c>
      <c r="O7606" t="s">
        <v>43167</v>
      </c>
      <c r="P7606">
        <v>0</v>
      </c>
      <c r="Q7606">
        <v>2</v>
      </c>
      <c r="R7606" t="s">
        <v>43173</v>
      </c>
      <c r="S7606" t="s">
        <v>43374</v>
      </c>
      <c r="T7606" t="s">
        <v>44780</v>
      </c>
      <c r="U7606" t="s">
        <v>51354</v>
      </c>
      <c r="W7606" t="s">
        <v>41856</v>
      </c>
      <c r="X7606" t="s">
        <v>43174</v>
      </c>
    </row>
    <row r="7607" spans="1:24">
      <c r="A7607">
        <f>HYPERLINK("https://www.philgeps.gov.ph/GEPSNONPILOT/Tender/SplashBidNoticeAbstractUI.aspx?menuIndex=3&amp;refID=7078253&amp;Result=3","7078253")</f>
        <v>0</v>
      </c>
      <c r="B7607" t="s">
        <v>2362</v>
      </c>
      <c r="C7607" t="s">
        <v>10655</v>
      </c>
      <c r="D7607" t="s">
        <v>17482</v>
      </c>
      <c r="E7607" t="s">
        <v>18749</v>
      </c>
      <c r="F7607" t="s">
        <v>30052</v>
      </c>
      <c r="G7607" t="s">
        <v>30058</v>
      </c>
      <c r="H7607" t="s">
        <v>15498</v>
      </c>
      <c r="I7607" t="s">
        <v>3736</v>
      </c>
      <c r="J7607" t="s">
        <v>30230</v>
      </c>
      <c r="K7607" t="s">
        <v>39029</v>
      </c>
      <c r="M7607" t="s">
        <v>41857</v>
      </c>
      <c r="N7607" t="s">
        <v>43166</v>
      </c>
      <c r="O7607" t="s">
        <v>43167</v>
      </c>
      <c r="P7607">
        <v>0</v>
      </c>
      <c r="Q7607">
        <v>0</v>
      </c>
      <c r="R7607" t="s">
        <v>43173</v>
      </c>
      <c r="S7607" t="s">
        <v>43374</v>
      </c>
      <c r="T7607" t="s">
        <v>44715</v>
      </c>
      <c r="U7607" t="s">
        <v>51355</v>
      </c>
      <c r="W7607" t="s">
        <v>41857</v>
      </c>
      <c r="X7607" t="s">
        <v>43174</v>
      </c>
    </row>
    <row r="7608" spans="1:24">
      <c r="A7608">
        <f>HYPERLINK("https://www.philgeps.gov.ph/GEPSNONPILOT/Tender/SplashBidNoticeAbstractUI.aspx?menuIndex=3&amp;refID=7078333&amp;Result=3","7078333")</f>
        <v>0</v>
      </c>
      <c r="B7608" t="s">
        <v>2363</v>
      </c>
      <c r="C7608" t="s">
        <v>10656</v>
      </c>
      <c r="D7608" t="s">
        <v>17489</v>
      </c>
      <c r="E7608" t="s">
        <v>24079</v>
      </c>
      <c r="F7608" t="s">
        <v>30052</v>
      </c>
      <c r="G7608" t="s">
        <v>30061</v>
      </c>
      <c r="H7608" t="s">
        <v>15498</v>
      </c>
      <c r="I7608" t="s">
        <v>30088</v>
      </c>
      <c r="J7608" t="s">
        <v>30337</v>
      </c>
      <c r="K7608" t="s">
        <v>39025</v>
      </c>
      <c r="M7608" t="s">
        <v>41858</v>
      </c>
      <c r="N7608" t="s">
        <v>43166</v>
      </c>
      <c r="O7608" t="s">
        <v>43167</v>
      </c>
      <c r="P7608">
        <v>0</v>
      </c>
      <c r="Q7608">
        <v>2</v>
      </c>
      <c r="R7608" t="s">
        <v>43173</v>
      </c>
      <c r="S7608" t="s">
        <v>43374</v>
      </c>
      <c r="T7608" t="s">
        <v>44735</v>
      </c>
      <c r="U7608" t="s">
        <v>51356</v>
      </c>
      <c r="W7608" t="s">
        <v>41858</v>
      </c>
      <c r="X7608" t="s">
        <v>43174</v>
      </c>
    </row>
    <row r="7609" spans="1:24">
      <c r="A7609">
        <f>HYPERLINK("https://www.philgeps.gov.ph/GEPSNONPILOT/Tender/SplashBidNoticeAbstractUI.aspx?menuIndex=3&amp;refID=7078326&amp;Result=3","7078326")</f>
        <v>0</v>
      </c>
      <c r="B7609" t="s">
        <v>773</v>
      </c>
      <c r="C7609" t="s">
        <v>10657</v>
      </c>
      <c r="D7609" t="s">
        <v>17435</v>
      </c>
      <c r="E7609" t="s">
        <v>24080</v>
      </c>
      <c r="F7609" t="s">
        <v>30052</v>
      </c>
      <c r="G7609" t="s">
        <v>30058</v>
      </c>
      <c r="H7609" t="s">
        <v>15498</v>
      </c>
      <c r="I7609" t="s">
        <v>3736</v>
      </c>
      <c r="J7609" t="s">
        <v>34866</v>
      </c>
      <c r="K7609" t="s">
        <v>39019</v>
      </c>
      <c r="M7609" t="s">
        <v>40087</v>
      </c>
      <c r="N7609" t="s">
        <v>43166</v>
      </c>
      <c r="O7609" t="s">
        <v>43167</v>
      </c>
      <c r="P7609">
        <v>0</v>
      </c>
      <c r="Q7609">
        <v>0</v>
      </c>
      <c r="R7609" t="s">
        <v>43173</v>
      </c>
      <c r="S7609" t="s">
        <v>43374</v>
      </c>
      <c r="T7609" t="s">
        <v>44733</v>
      </c>
      <c r="U7609" t="s">
        <v>51357</v>
      </c>
      <c r="W7609" t="s">
        <v>40087</v>
      </c>
      <c r="X7609" t="s">
        <v>43174</v>
      </c>
    </row>
    <row r="7610" spans="1:24">
      <c r="A7610">
        <f>HYPERLINK("https://www.philgeps.gov.ph/GEPSNONPILOT/Tender/SplashBidNoticeAbstractUI.aspx?menuIndex=3&amp;refID=7078331&amp;Result=3","7078331")</f>
        <v>0</v>
      </c>
      <c r="B7610" t="s">
        <v>2364</v>
      </c>
      <c r="C7610" t="s">
        <v>10658</v>
      </c>
      <c r="D7610" t="s">
        <v>17444</v>
      </c>
      <c r="E7610" t="s">
        <v>24081</v>
      </c>
      <c r="F7610" t="s">
        <v>30052</v>
      </c>
      <c r="G7610" t="s">
        <v>30058</v>
      </c>
      <c r="H7610" t="s">
        <v>15498</v>
      </c>
      <c r="I7610" t="s">
        <v>30081</v>
      </c>
      <c r="J7610" t="s">
        <v>34494</v>
      </c>
      <c r="K7610" t="s">
        <v>39023</v>
      </c>
      <c r="M7610" t="s">
        <v>41859</v>
      </c>
      <c r="N7610" t="s">
        <v>43166</v>
      </c>
      <c r="O7610" t="s">
        <v>43167</v>
      </c>
      <c r="P7610">
        <v>0</v>
      </c>
      <c r="Q7610">
        <v>0</v>
      </c>
      <c r="R7610" t="s">
        <v>43173</v>
      </c>
      <c r="S7610" t="s">
        <v>43374</v>
      </c>
      <c r="T7610" t="s">
        <v>44773</v>
      </c>
      <c r="U7610" t="s">
        <v>51358</v>
      </c>
      <c r="W7610" t="s">
        <v>41859</v>
      </c>
      <c r="X7610" t="s">
        <v>43174</v>
      </c>
    </row>
    <row r="7611" spans="1:24">
      <c r="A7611">
        <f>HYPERLINK("https://www.philgeps.gov.ph/GEPSNONPILOT/Tender/SplashBidNoticeAbstractUI.aspx?menuIndex=3&amp;refID=7078293&amp;Result=3","7078293")</f>
        <v>0</v>
      </c>
      <c r="B7611" t="s">
        <v>2355</v>
      </c>
      <c r="C7611" t="s">
        <v>10659</v>
      </c>
      <c r="D7611" t="s">
        <v>17449</v>
      </c>
      <c r="E7611" t="s">
        <v>24082</v>
      </c>
      <c r="F7611" t="s">
        <v>30052</v>
      </c>
      <c r="G7611" t="s">
        <v>30059</v>
      </c>
      <c r="H7611" t="s">
        <v>30067</v>
      </c>
      <c r="I7611" t="s">
        <v>30152</v>
      </c>
      <c r="J7611" t="s">
        <v>34867</v>
      </c>
      <c r="K7611" t="s">
        <v>39017</v>
      </c>
      <c r="M7611" t="s">
        <v>41849</v>
      </c>
      <c r="N7611" t="s">
        <v>43166</v>
      </c>
      <c r="O7611" t="s">
        <v>43167</v>
      </c>
      <c r="P7611">
        <v>0</v>
      </c>
      <c r="Q7611">
        <v>0</v>
      </c>
      <c r="R7611" t="s">
        <v>43173</v>
      </c>
      <c r="S7611" t="s">
        <v>43374</v>
      </c>
      <c r="T7611" t="s">
        <v>44777</v>
      </c>
      <c r="U7611" t="s">
        <v>51359</v>
      </c>
      <c r="W7611" t="s">
        <v>41849</v>
      </c>
      <c r="X7611" t="s">
        <v>43174</v>
      </c>
    </row>
    <row r="7612" spans="1:24">
      <c r="A7612">
        <f>HYPERLINK("https://www.philgeps.gov.ph/GEPSNONPILOT/Tender/SplashBidNoticeAbstractUI.aspx?menuIndex=3&amp;refID=7078292&amp;Result=3","7078292")</f>
        <v>0</v>
      </c>
      <c r="B7612" t="s">
        <v>2357</v>
      </c>
      <c r="C7612" t="s">
        <v>10660</v>
      </c>
      <c r="D7612" t="s">
        <v>17415</v>
      </c>
      <c r="E7612" t="s">
        <v>24083</v>
      </c>
      <c r="F7612" t="s">
        <v>30052</v>
      </c>
      <c r="G7612" t="s">
        <v>30058</v>
      </c>
      <c r="H7612" t="s">
        <v>15498</v>
      </c>
      <c r="I7612" t="s">
        <v>30105</v>
      </c>
      <c r="J7612" t="s">
        <v>30711</v>
      </c>
      <c r="K7612" t="s">
        <v>39029</v>
      </c>
      <c r="M7612" t="s">
        <v>41851</v>
      </c>
      <c r="N7612" t="s">
        <v>43166</v>
      </c>
      <c r="O7612" t="s">
        <v>43167</v>
      </c>
      <c r="P7612">
        <v>0</v>
      </c>
      <c r="Q7612">
        <v>4</v>
      </c>
      <c r="R7612" t="s">
        <v>43173</v>
      </c>
      <c r="S7612" t="s">
        <v>43374</v>
      </c>
      <c r="T7612" t="s">
        <v>44829</v>
      </c>
      <c r="U7612" t="s">
        <v>51360</v>
      </c>
      <c r="V7612" t="s">
        <v>57629</v>
      </c>
      <c r="W7612" t="s">
        <v>41851</v>
      </c>
      <c r="X7612" t="s">
        <v>43174</v>
      </c>
    </row>
    <row r="7613" spans="1:24">
      <c r="A7613">
        <f>HYPERLINK("https://www.philgeps.gov.ph/GEPSNONPILOT/Tender/SplashBidNoticeAbstractUI.aspx?menuIndex=3&amp;refID=7078291&amp;Result=3","7078291")</f>
        <v>0</v>
      </c>
      <c r="B7613" t="s">
        <v>2362</v>
      </c>
      <c r="C7613" t="s">
        <v>10661</v>
      </c>
      <c r="D7613" t="s">
        <v>17482</v>
      </c>
      <c r="E7613" t="s">
        <v>23423</v>
      </c>
      <c r="F7613" t="s">
        <v>30052</v>
      </c>
      <c r="G7613" t="s">
        <v>30058</v>
      </c>
      <c r="H7613" t="s">
        <v>15498</v>
      </c>
      <c r="I7613" t="s">
        <v>3736</v>
      </c>
      <c r="J7613" t="s">
        <v>30545</v>
      </c>
      <c r="K7613" t="s">
        <v>39029</v>
      </c>
      <c r="M7613" t="s">
        <v>41857</v>
      </c>
      <c r="N7613" t="s">
        <v>43166</v>
      </c>
      <c r="O7613" t="s">
        <v>43167</v>
      </c>
      <c r="P7613">
        <v>0</v>
      </c>
      <c r="Q7613">
        <v>0</v>
      </c>
      <c r="R7613" t="s">
        <v>43173</v>
      </c>
      <c r="S7613" t="s">
        <v>43374</v>
      </c>
      <c r="T7613" t="s">
        <v>44990</v>
      </c>
      <c r="U7613" t="s">
        <v>51361</v>
      </c>
      <c r="W7613" t="s">
        <v>41857</v>
      </c>
      <c r="X7613" t="s">
        <v>43174</v>
      </c>
    </row>
    <row r="7614" spans="1:24">
      <c r="A7614">
        <f>HYPERLINK("https://www.philgeps.gov.ph/GEPSNONPILOT/Tender/SplashBidNoticeAbstractUI.aspx?menuIndex=3&amp;refID=7078334&amp;Result=3","7078334")</f>
        <v>0</v>
      </c>
      <c r="B7614" t="s">
        <v>1712</v>
      </c>
      <c r="C7614" t="s">
        <v>10662</v>
      </c>
      <c r="D7614" t="s">
        <v>17421</v>
      </c>
      <c r="E7614" t="s">
        <v>24084</v>
      </c>
      <c r="F7614" t="s">
        <v>30052</v>
      </c>
      <c r="G7614" t="s">
        <v>30058</v>
      </c>
      <c r="H7614" t="s">
        <v>30067</v>
      </c>
      <c r="I7614" t="s">
        <v>3693</v>
      </c>
      <c r="J7614" t="s">
        <v>30207</v>
      </c>
      <c r="K7614" t="s">
        <v>39037</v>
      </c>
      <c r="M7614" t="s">
        <v>41127</v>
      </c>
      <c r="N7614" t="s">
        <v>43166</v>
      </c>
      <c r="O7614" t="s">
        <v>43167</v>
      </c>
      <c r="P7614">
        <v>0</v>
      </c>
      <c r="Q7614">
        <v>0</v>
      </c>
      <c r="R7614" t="s">
        <v>43173</v>
      </c>
      <c r="S7614" t="s">
        <v>43374</v>
      </c>
      <c r="T7614" t="s">
        <v>44780</v>
      </c>
      <c r="U7614" t="s">
        <v>51362</v>
      </c>
      <c r="W7614" t="s">
        <v>41127</v>
      </c>
      <c r="X7614" t="s">
        <v>43174</v>
      </c>
    </row>
    <row r="7615" spans="1:24">
      <c r="A7615">
        <f>HYPERLINK("https://www.philgeps.gov.ph/GEPSNONPILOT/Tender/SplashBidNoticeAbstractUI.aspx?menuIndex=3&amp;refID=7078322&amp;Result=3","7078322")</f>
        <v>0</v>
      </c>
      <c r="B7615" t="s">
        <v>1562</v>
      </c>
      <c r="C7615" t="s">
        <v>10663</v>
      </c>
      <c r="D7615" t="s">
        <v>17441</v>
      </c>
      <c r="E7615" t="s">
        <v>22003</v>
      </c>
      <c r="F7615" t="s">
        <v>30052</v>
      </c>
      <c r="G7615" t="s">
        <v>30058</v>
      </c>
      <c r="H7615" t="s">
        <v>15498</v>
      </c>
      <c r="I7615" t="s">
        <v>30071</v>
      </c>
      <c r="J7615" t="s">
        <v>34868</v>
      </c>
      <c r="K7615" t="s">
        <v>39025</v>
      </c>
      <c r="M7615" t="s">
        <v>40951</v>
      </c>
      <c r="N7615" t="s">
        <v>43166</v>
      </c>
      <c r="O7615" t="s">
        <v>43167</v>
      </c>
      <c r="P7615">
        <v>0</v>
      </c>
      <c r="Q7615">
        <v>1</v>
      </c>
      <c r="R7615" t="s">
        <v>43173</v>
      </c>
      <c r="S7615" t="s">
        <v>43374</v>
      </c>
      <c r="T7615" t="s">
        <v>44714</v>
      </c>
      <c r="U7615" t="s">
        <v>51363</v>
      </c>
      <c r="W7615" t="s">
        <v>40951</v>
      </c>
      <c r="X7615" t="s">
        <v>43174</v>
      </c>
    </row>
    <row r="7616" spans="1:24">
      <c r="A7616">
        <f>HYPERLINK("https://www.philgeps.gov.ph/GEPSNONPILOT/Tender/SplashBidNoticeAbstractUI.aspx?menuIndex=3&amp;refID=7078302&amp;Result=3","7078302")</f>
        <v>0</v>
      </c>
      <c r="B7616" t="s">
        <v>1715</v>
      </c>
      <c r="C7616" t="s">
        <v>10664</v>
      </c>
      <c r="D7616" t="s">
        <v>17465</v>
      </c>
      <c r="E7616" t="s">
        <v>24085</v>
      </c>
      <c r="F7616" t="s">
        <v>30052</v>
      </c>
      <c r="G7616" t="s">
        <v>30059</v>
      </c>
      <c r="H7616" t="s">
        <v>30069</v>
      </c>
      <c r="I7616" t="s">
        <v>30103</v>
      </c>
      <c r="J7616" t="s">
        <v>30417</v>
      </c>
      <c r="K7616" t="s">
        <v>39029</v>
      </c>
      <c r="M7616" t="s">
        <v>41130</v>
      </c>
      <c r="N7616" t="s">
        <v>43166</v>
      </c>
      <c r="O7616" t="s">
        <v>43167</v>
      </c>
      <c r="P7616">
        <v>0</v>
      </c>
      <c r="Q7616">
        <v>4</v>
      </c>
      <c r="R7616" t="s">
        <v>43173</v>
      </c>
      <c r="S7616" t="s">
        <v>43374</v>
      </c>
      <c r="T7616" t="s">
        <v>44714</v>
      </c>
      <c r="U7616" t="s">
        <v>51364</v>
      </c>
      <c r="V7616" t="s">
        <v>57632</v>
      </c>
      <c r="W7616" t="s">
        <v>41130</v>
      </c>
      <c r="X7616" t="s">
        <v>43174</v>
      </c>
    </row>
    <row r="7617" spans="1:24">
      <c r="A7617">
        <f>HYPERLINK("https://www.philgeps.gov.ph/GEPSNONPILOT/Tender/SplashBidNoticeAbstractUI.aspx?menuIndex=3&amp;refID=7078338&amp;Result=3","7078338")</f>
        <v>0</v>
      </c>
      <c r="B7617" t="s">
        <v>2365</v>
      </c>
      <c r="C7617" t="s">
        <v>10665</v>
      </c>
      <c r="D7617" t="s">
        <v>17415</v>
      </c>
      <c r="E7617" t="s">
        <v>24086</v>
      </c>
      <c r="F7617" t="s">
        <v>30052</v>
      </c>
      <c r="G7617" t="s">
        <v>30058</v>
      </c>
      <c r="H7617" t="s">
        <v>30067</v>
      </c>
      <c r="I7617" t="s">
        <v>30082</v>
      </c>
      <c r="J7617" t="s">
        <v>34869</v>
      </c>
      <c r="K7617" t="s">
        <v>39022</v>
      </c>
      <c r="M7617" t="s">
        <v>41860</v>
      </c>
      <c r="N7617" t="s">
        <v>43166</v>
      </c>
      <c r="O7617" t="s">
        <v>43167</v>
      </c>
      <c r="P7617">
        <v>0</v>
      </c>
      <c r="Q7617">
        <v>8</v>
      </c>
      <c r="R7617" t="s">
        <v>43173</v>
      </c>
      <c r="S7617" t="s">
        <v>43374</v>
      </c>
      <c r="T7617" t="s">
        <v>45069</v>
      </c>
      <c r="U7617" t="s">
        <v>51365</v>
      </c>
      <c r="W7617" t="s">
        <v>41860</v>
      </c>
      <c r="X7617" t="s">
        <v>43174</v>
      </c>
    </row>
    <row r="7618" spans="1:24">
      <c r="A7618">
        <f>HYPERLINK("https://www.philgeps.gov.ph/GEPSNONPILOT/Tender/SplashBidNoticeAbstractUI.aspx?menuIndex=3&amp;refID=7078282&amp;Result=3","7078282")</f>
        <v>0</v>
      </c>
      <c r="B7618" t="s">
        <v>2127</v>
      </c>
      <c r="C7618" t="s">
        <v>10651</v>
      </c>
      <c r="D7618" t="s">
        <v>17477</v>
      </c>
      <c r="E7618" t="s">
        <v>24087</v>
      </c>
      <c r="F7618" t="s">
        <v>30052</v>
      </c>
      <c r="G7618" t="s">
        <v>30058</v>
      </c>
      <c r="H7618" t="s">
        <v>30067</v>
      </c>
      <c r="I7618" t="s">
        <v>30093</v>
      </c>
      <c r="J7618" t="s">
        <v>30343</v>
      </c>
      <c r="K7618" t="s">
        <v>39064</v>
      </c>
      <c r="M7618" t="s">
        <v>41591</v>
      </c>
      <c r="N7618" t="s">
        <v>43166</v>
      </c>
      <c r="O7618" t="s">
        <v>43167</v>
      </c>
      <c r="P7618">
        <v>0</v>
      </c>
      <c r="Q7618">
        <v>7</v>
      </c>
      <c r="R7618" t="s">
        <v>43173</v>
      </c>
      <c r="S7618" t="s">
        <v>43374</v>
      </c>
      <c r="T7618" t="s">
        <v>44718</v>
      </c>
      <c r="U7618" t="s">
        <v>51366</v>
      </c>
      <c r="W7618" t="s">
        <v>41591</v>
      </c>
      <c r="X7618" t="s">
        <v>43174</v>
      </c>
    </row>
    <row r="7619" spans="1:24">
      <c r="A7619">
        <f>HYPERLINK("https://www.philgeps.gov.ph/GEPSNONPILOT/Tender/SplashBidNoticeAbstractUI.aspx?menuIndex=3&amp;refID=7078374&amp;Result=3","7078374")</f>
        <v>0</v>
      </c>
      <c r="B7619" t="s">
        <v>663</v>
      </c>
      <c r="C7619" t="s">
        <v>10666</v>
      </c>
      <c r="D7619" t="s">
        <v>17506</v>
      </c>
      <c r="E7619" t="s">
        <v>24088</v>
      </c>
      <c r="F7619" t="s">
        <v>30052</v>
      </c>
      <c r="G7619" t="s">
        <v>30058</v>
      </c>
      <c r="H7619" t="s">
        <v>15498</v>
      </c>
      <c r="I7619" t="s">
        <v>7228</v>
      </c>
      <c r="J7619" t="s">
        <v>34870</v>
      </c>
      <c r="K7619" t="s">
        <v>39034</v>
      </c>
      <c r="M7619" t="s">
        <v>39969</v>
      </c>
      <c r="N7619" t="s">
        <v>43166</v>
      </c>
      <c r="O7619" t="s">
        <v>43167</v>
      </c>
      <c r="P7619">
        <v>0</v>
      </c>
      <c r="Q7619">
        <v>5</v>
      </c>
      <c r="R7619" t="s">
        <v>43173</v>
      </c>
      <c r="S7619" t="s">
        <v>43374</v>
      </c>
      <c r="T7619" t="s">
        <v>44922</v>
      </c>
      <c r="U7619" t="s">
        <v>51367</v>
      </c>
      <c r="V7619" t="s">
        <v>57633</v>
      </c>
      <c r="W7619" t="s">
        <v>39969</v>
      </c>
      <c r="X7619" t="s">
        <v>43174</v>
      </c>
    </row>
    <row r="7620" spans="1:24">
      <c r="A7620">
        <f>HYPERLINK("https://www.philgeps.gov.ph/GEPSNONPILOT/Tender/SplashBidNoticeAbstractUI.aspx?menuIndex=3&amp;refID=7078372&amp;Result=3","7078372")</f>
        <v>0</v>
      </c>
      <c r="B7620" t="s">
        <v>2366</v>
      </c>
      <c r="C7620" t="s">
        <v>10667</v>
      </c>
      <c r="D7620" t="s">
        <v>17486</v>
      </c>
      <c r="E7620" t="s">
        <v>24089</v>
      </c>
      <c r="F7620" t="s">
        <v>30052</v>
      </c>
      <c r="G7620" t="s">
        <v>30058</v>
      </c>
      <c r="H7620" t="s">
        <v>15498</v>
      </c>
      <c r="I7620" t="s">
        <v>30074</v>
      </c>
      <c r="J7620" t="s">
        <v>34871</v>
      </c>
      <c r="K7620" t="s">
        <v>39029</v>
      </c>
      <c r="M7620" t="s">
        <v>41861</v>
      </c>
      <c r="N7620" t="s">
        <v>43166</v>
      </c>
      <c r="O7620" t="s">
        <v>43167</v>
      </c>
      <c r="P7620">
        <v>0</v>
      </c>
      <c r="Q7620">
        <v>5</v>
      </c>
      <c r="R7620" t="s">
        <v>43173</v>
      </c>
      <c r="S7620" t="s">
        <v>43374</v>
      </c>
      <c r="T7620" t="s">
        <v>44894</v>
      </c>
      <c r="U7620" t="s">
        <v>51368</v>
      </c>
      <c r="V7620" t="s">
        <v>57634</v>
      </c>
      <c r="W7620" t="s">
        <v>41861</v>
      </c>
      <c r="X7620" t="s">
        <v>43174</v>
      </c>
    </row>
    <row r="7621" spans="1:24">
      <c r="A7621">
        <f>HYPERLINK("https://www.philgeps.gov.ph/GEPSNONPILOT/Tender/SplashBidNoticeAbstractUI.aspx?menuIndex=3&amp;refID=7078370&amp;Result=3","7078370")</f>
        <v>0</v>
      </c>
      <c r="B7621" t="s">
        <v>2127</v>
      </c>
      <c r="C7621" t="s">
        <v>10668</v>
      </c>
      <c r="D7621" t="s">
        <v>17477</v>
      </c>
      <c r="E7621" t="s">
        <v>24090</v>
      </c>
      <c r="F7621" t="s">
        <v>30052</v>
      </c>
      <c r="G7621" t="s">
        <v>30058</v>
      </c>
      <c r="H7621" t="s">
        <v>30067</v>
      </c>
      <c r="I7621" t="s">
        <v>30093</v>
      </c>
      <c r="J7621" t="s">
        <v>30207</v>
      </c>
      <c r="K7621" t="s">
        <v>39064</v>
      </c>
      <c r="M7621" t="s">
        <v>41591</v>
      </c>
      <c r="N7621" t="s">
        <v>43166</v>
      </c>
      <c r="O7621" t="s">
        <v>43167</v>
      </c>
      <c r="P7621">
        <v>0</v>
      </c>
      <c r="Q7621">
        <v>7</v>
      </c>
      <c r="R7621" t="s">
        <v>43173</v>
      </c>
      <c r="S7621" t="s">
        <v>43374</v>
      </c>
      <c r="T7621" t="s">
        <v>44718</v>
      </c>
      <c r="U7621" t="s">
        <v>51369</v>
      </c>
      <c r="W7621" t="s">
        <v>41591</v>
      </c>
      <c r="X7621" t="s">
        <v>43174</v>
      </c>
    </row>
    <row r="7622" spans="1:24">
      <c r="A7622">
        <f>HYPERLINK("https://www.philgeps.gov.ph/GEPSNONPILOT/Tender/SplashBidNoticeAbstractUI.aspx?menuIndex=3&amp;refID=7078239&amp;Result=3","7078239")</f>
        <v>0</v>
      </c>
      <c r="B7622" t="s">
        <v>2367</v>
      </c>
      <c r="C7622" t="s">
        <v>10245</v>
      </c>
      <c r="D7622" t="s">
        <v>17432</v>
      </c>
      <c r="E7622" t="s">
        <v>23495</v>
      </c>
      <c r="F7622" t="s">
        <v>30054</v>
      </c>
      <c r="G7622" t="s">
        <v>30059</v>
      </c>
      <c r="H7622" t="s">
        <v>15498</v>
      </c>
      <c r="I7622" t="s">
        <v>30085</v>
      </c>
      <c r="J7622" t="s">
        <v>30337</v>
      </c>
      <c r="K7622" t="s">
        <v>39018</v>
      </c>
      <c r="M7622" t="s">
        <v>41862</v>
      </c>
      <c r="N7622" t="s">
        <v>43166</v>
      </c>
      <c r="O7622" t="s">
        <v>43167</v>
      </c>
      <c r="P7622">
        <v>0</v>
      </c>
      <c r="Q7622">
        <v>2</v>
      </c>
      <c r="R7622" t="s">
        <v>43173</v>
      </c>
      <c r="S7622" t="s">
        <v>43374</v>
      </c>
      <c r="T7622" t="s">
        <v>45050</v>
      </c>
      <c r="U7622" t="s">
        <v>51370</v>
      </c>
      <c r="W7622" t="s">
        <v>41862</v>
      </c>
      <c r="X7622" t="s">
        <v>43174</v>
      </c>
    </row>
    <row r="7623" spans="1:24">
      <c r="A7623">
        <f>HYPERLINK("https://www.philgeps.gov.ph/GEPSNONPILOT/Tender/SplashBidNoticeAbstractUI.aspx?menuIndex=3&amp;refID=7078363&amp;Result=3","7078363")</f>
        <v>0</v>
      </c>
      <c r="B7623" t="s">
        <v>773</v>
      </c>
      <c r="C7623" t="s">
        <v>10669</v>
      </c>
      <c r="D7623" t="s">
        <v>17435</v>
      </c>
      <c r="E7623" t="s">
        <v>24091</v>
      </c>
      <c r="F7623" t="s">
        <v>30052</v>
      </c>
      <c r="G7623" t="s">
        <v>30058</v>
      </c>
      <c r="H7623" t="s">
        <v>15498</v>
      </c>
      <c r="I7623" t="s">
        <v>3736</v>
      </c>
      <c r="J7623" t="s">
        <v>34872</v>
      </c>
      <c r="K7623" t="s">
        <v>39019</v>
      </c>
      <c r="M7623" t="s">
        <v>40087</v>
      </c>
      <c r="N7623" t="s">
        <v>43166</v>
      </c>
      <c r="O7623" t="s">
        <v>43167</v>
      </c>
      <c r="P7623">
        <v>0</v>
      </c>
      <c r="Q7623">
        <v>0</v>
      </c>
      <c r="R7623" t="s">
        <v>43173</v>
      </c>
      <c r="S7623" t="s">
        <v>43374</v>
      </c>
      <c r="T7623" t="s">
        <v>44733</v>
      </c>
      <c r="U7623" t="s">
        <v>51371</v>
      </c>
      <c r="W7623" t="s">
        <v>40087</v>
      </c>
      <c r="X7623" t="s">
        <v>43174</v>
      </c>
    </row>
    <row r="7624" spans="1:24">
      <c r="A7624">
        <f>HYPERLINK("https://www.philgeps.gov.ph/GEPSNONPILOT/Tender/SplashBidNoticeAbstractUI.aspx?menuIndex=3&amp;refID=7078362&amp;Result=3","7078362")</f>
        <v>0</v>
      </c>
      <c r="B7624" t="s">
        <v>1403</v>
      </c>
      <c r="C7624" t="s">
        <v>10670</v>
      </c>
      <c r="D7624" t="s">
        <v>17441</v>
      </c>
      <c r="E7624" t="s">
        <v>24092</v>
      </c>
      <c r="F7624" t="s">
        <v>30052</v>
      </c>
      <c r="G7624" t="s">
        <v>30058</v>
      </c>
      <c r="H7624" t="s">
        <v>30067</v>
      </c>
      <c r="I7624" t="s">
        <v>3693</v>
      </c>
      <c r="J7624" t="s">
        <v>34873</v>
      </c>
      <c r="K7624" t="s">
        <v>39025</v>
      </c>
      <c r="M7624" t="s">
        <v>40780</v>
      </c>
      <c r="N7624" t="s">
        <v>43166</v>
      </c>
      <c r="O7624" t="s">
        <v>43167</v>
      </c>
      <c r="P7624">
        <v>0</v>
      </c>
      <c r="Q7624">
        <v>71</v>
      </c>
      <c r="R7624" t="s">
        <v>43173</v>
      </c>
      <c r="S7624" t="s">
        <v>43374</v>
      </c>
      <c r="T7624" t="s">
        <v>44710</v>
      </c>
      <c r="U7624" t="s">
        <v>51372</v>
      </c>
      <c r="W7624" t="s">
        <v>40780</v>
      </c>
      <c r="X7624" t="s">
        <v>43174</v>
      </c>
    </row>
    <row r="7625" spans="1:24">
      <c r="A7625">
        <f>HYPERLINK("https://www.philgeps.gov.ph/GEPSNONPILOT/Tender/SplashBidNoticeAbstractUI.aspx?menuIndex=3&amp;refID=7078361&amp;Result=3","7078361")</f>
        <v>0</v>
      </c>
      <c r="B7625" t="s">
        <v>2357</v>
      </c>
      <c r="C7625" t="s">
        <v>10671</v>
      </c>
      <c r="D7625" t="s">
        <v>17415</v>
      </c>
      <c r="E7625" t="s">
        <v>24093</v>
      </c>
      <c r="F7625" t="s">
        <v>30052</v>
      </c>
      <c r="G7625" t="s">
        <v>30058</v>
      </c>
      <c r="H7625" t="s">
        <v>15498</v>
      </c>
      <c r="I7625" t="s">
        <v>30074</v>
      </c>
      <c r="J7625" t="s">
        <v>34874</v>
      </c>
      <c r="K7625" t="s">
        <v>39029</v>
      </c>
      <c r="M7625" t="s">
        <v>41851</v>
      </c>
      <c r="N7625" t="s">
        <v>43166</v>
      </c>
      <c r="O7625" t="s">
        <v>43167</v>
      </c>
      <c r="P7625">
        <v>0</v>
      </c>
      <c r="Q7625">
        <v>1</v>
      </c>
      <c r="R7625" t="s">
        <v>43173</v>
      </c>
      <c r="S7625" t="s">
        <v>43374</v>
      </c>
      <c r="T7625" t="s">
        <v>44814</v>
      </c>
      <c r="U7625" t="s">
        <v>51348</v>
      </c>
      <c r="V7625" t="s">
        <v>57629</v>
      </c>
      <c r="W7625" t="s">
        <v>41851</v>
      </c>
      <c r="X7625" t="s">
        <v>43174</v>
      </c>
    </row>
    <row r="7626" spans="1:24">
      <c r="A7626">
        <f>HYPERLINK("https://www.philgeps.gov.ph/GEPSNONPILOT/Tender/SplashBidNoticeAbstractUI.aspx?menuIndex=3&amp;refID=7078355&amp;Result=3","7078355")</f>
        <v>0</v>
      </c>
      <c r="B7626" t="s">
        <v>2029</v>
      </c>
      <c r="C7626" t="s">
        <v>10672</v>
      </c>
      <c r="D7626" t="s">
        <v>17492</v>
      </c>
      <c r="E7626" t="s">
        <v>24094</v>
      </c>
      <c r="F7626" t="s">
        <v>30052</v>
      </c>
      <c r="G7626" t="s">
        <v>30058</v>
      </c>
      <c r="H7626" t="s">
        <v>15498</v>
      </c>
      <c r="I7626" t="s">
        <v>30140</v>
      </c>
      <c r="J7626" t="s">
        <v>32229</v>
      </c>
      <c r="K7626" t="s">
        <v>39029</v>
      </c>
      <c r="M7626" t="s">
        <v>41477</v>
      </c>
      <c r="N7626" t="s">
        <v>43166</v>
      </c>
      <c r="O7626" t="s">
        <v>43167</v>
      </c>
      <c r="P7626">
        <v>0</v>
      </c>
      <c r="Q7626">
        <v>5</v>
      </c>
      <c r="R7626" t="s">
        <v>43173</v>
      </c>
      <c r="S7626" t="s">
        <v>43374</v>
      </c>
      <c r="T7626" t="s">
        <v>44773</v>
      </c>
      <c r="U7626" t="s">
        <v>51373</v>
      </c>
      <c r="W7626" t="s">
        <v>41477</v>
      </c>
      <c r="X7626" t="s">
        <v>43174</v>
      </c>
    </row>
    <row r="7627" spans="1:24">
      <c r="A7627">
        <f>HYPERLINK("https://www.philgeps.gov.ph/GEPSNONPILOT/Tender/SplashBidNoticeAbstractUI.aspx?menuIndex=3&amp;refID=7078346&amp;Result=3","7078346")</f>
        <v>0</v>
      </c>
      <c r="B7627" t="s">
        <v>2127</v>
      </c>
      <c r="C7627" t="s">
        <v>10673</v>
      </c>
      <c r="D7627" t="s">
        <v>17477</v>
      </c>
      <c r="E7627" t="s">
        <v>24095</v>
      </c>
      <c r="F7627" t="s">
        <v>30052</v>
      </c>
      <c r="G7627" t="s">
        <v>30058</v>
      </c>
      <c r="H7627" t="s">
        <v>30067</v>
      </c>
      <c r="I7627" t="s">
        <v>30093</v>
      </c>
      <c r="J7627" t="s">
        <v>30209</v>
      </c>
      <c r="K7627" t="s">
        <v>39064</v>
      </c>
      <c r="M7627" t="s">
        <v>41591</v>
      </c>
      <c r="N7627" t="s">
        <v>43166</v>
      </c>
      <c r="O7627" t="s">
        <v>43167</v>
      </c>
      <c r="P7627">
        <v>0</v>
      </c>
      <c r="Q7627">
        <v>7</v>
      </c>
      <c r="R7627" t="s">
        <v>43173</v>
      </c>
      <c r="S7627" t="s">
        <v>43374</v>
      </c>
      <c r="T7627" t="s">
        <v>44718</v>
      </c>
      <c r="U7627" t="s">
        <v>51374</v>
      </c>
      <c r="W7627" t="s">
        <v>41591</v>
      </c>
      <c r="X7627" t="s">
        <v>43174</v>
      </c>
    </row>
    <row r="7628" spans="1:24">
      <c r="A7628">
        <f>HYPERLINK("https://www.philgeps.gov.ph/GEPSNONPILOT/Tender/SplashBidNoticeAbstractUI.aspx?menuIndex=3&amp;refID=7078388&amp;Result=3","7078388")</f>
        <v>0</v>
      </c>
      <c r="B7628" t="s">
        <v>2365</v>
      </c>
      <c r="C7628" t="s">
        <v>10674</v>
      </c>
      <c r="D7628" t="s">
        <v>17415</v>
      </c>
      <c r="E7628" t="s">
        <v>24096</v>
      </c>
      <c r="F7628" t="s">
        <v>30052</v>
      </c>
      <c r="G7628" t="s">
        <v>30058</v>
      </c>
      <c r="H7628" t="s">
        <v>30067</v>
      </c>
      <c r="I7628" t="s">
        <v>3693</v>
      </c>
      <c r="J7628" t="s">
        <v>34875</v>
      </c>
      <c r="K7628" t="s">
        <v>39026</v>
      </c>
      <c r="M7628" t="s">
        <v>41860</v>
      </c>
      <c r="N7628" t="s">
        <v>43166</v>
      </c>
      <c r="O7628" t="s">
        <v>43167</v>
      </c>
      <c r="P7628">
        <v>0</v>
      </c>
      <c r="Q7628">
        <v>4</v>
      </c>
      <c r="R7628" t="s">
        <v>43173</v>
      </c>
      <c r="S7628" t="s">
        <v>43374</v>
      </c>
      <c r="T7628" t="s">
        <v>45069</v>
      </c>
      <c r="U7628" t="s">
        <v>51365</v>
      </c>
      <c r="W7628" t="s">
        <v>41860</v>
      </c>
      <c r="X7628" t="s">
        <v>43174</v>
      </c>
    </row>
    <row r="7629" spans="1:24">
      <c r="A7629">
        <f>HYPERLINK("https://www.philgeps.gov.ph/GEPSNONPILOT/Tender/SplashBidNoticeAbstractUI.aspx?menuIndex=3&amp;refID=7078244&amp;Result=3","7078244")</f>
        <v>0</v>
      </c>
      <c r="B7629" t="s">
        <v>1562</v>
      </c>
      <c r="C7629" t="s">
        <v>10675</v>
      </c>
      <c r="D7629" t="s">
        <v>17441</v>
      </c>
      <c r="E7629" t="s">
        <v>22035</v>
      </c>
      <c r="F7629" t="s">
        <v>30052</v>
      </c>
      <c r="G7629" t="s">
        <v>30059</v>
      </c>
      <c r="H7629" t="s">
        <v>15498</v>
      </c>
      <c r="I7629" t="s">
        <v>30071</v>
      </c>
      <c r="J7629" t="s">
        <v>34376</v>
      </c>
      <c r="K7629" t="s">
        <v>39025</v>
      </c>
      <c r="M7629" t="s">
        <v>40951</v>
      </c>
      <c r="N7629" t="s">
        <v>43166</v>
      </c>
      <c r="O7629" t="s">
        <v>43167</v>
      </c>
      <c r="P7629">
        <v>0</v>
      </c>
      <c r="Q7629">
        <v>1</v>
      </c>
      <c r="R7629" t="s">
        <v>43173</v>
      </c>
      <c r="S7629" t="s">
        <v>43374</v>
      </c>
      <c r="T7629" t="s">
        <v>44714</v>
      </c>
      <c r="U7629" t="s">
        <v>51375</v>
      </c>
      <c r="W7629" t="s">
        <v>40951</v>
      </c>
      <c r="X7629" t="s">
        <v>43174</v>
      </c>
    </row>
    <row r="7630" spans="1:24">
      <c r="A7630">
        <f>HYPERLINK("https://www.philgeps.gov.ph/GEPSNONPILOT/Tender/SplashBidNoticeAbstractUI.aspx?menuIndex=3&amp;refID=7078335&amp;Result=3","7078335")</f>
        <v>0</v>
      </c>
      <c r="B7630" t="s">
        <v>2319</v>
      </c>
      <c r="C7630" t="s">
        <v>10676</v>
      </c>
      <c r="D7630" t="s">
        <v>17476</v>
      </c>
      <c r="E7630" t="s">
        <v>24097</v>
      </c>
      <c r="F7630" t="s">
        <v>30052</v>
      </c>
      <c r="G7630" t="s">
        <v>30058</v>
      </c>
      <c r="H7630" t="s">
        <v>30067</v>
      </c>
      <c r="I7630" t="s">
        <v>3693</v>
      </c>
      <c r="J7630" t="s">
        <v>30813</v>
      </c>
      <c r="K7630" t="s">
        <v>39090</v>
      </c>
      <c r="M7630" t="s">
        <v>41805</v>
      </c>
      <c r="N7630" t="s">
        <v>43166</v>
      </c>
      <c r="O7630" t="s">
        <v>43167</v>
      </c>
      <c r="P7630">
        <v>0</v>
      </c>
      <c r="Q7630">
        <v>0</v>
      </c>
      <c r="R7630" t="s">
        <v>43173</v>
      </c>
      <c r="S7630" t="s">
        <v>43374</v>
      </c>
      <c r="T7630" t="s">
        <v>45070</v>
      </c>
      <c r="U7630" t="s">
        <v>51376</v>
      </c>
      <c r="W7630" t="s">
        <v>41805</v>
      </c>
      <c r="X7630" t="s">
        <v>43174</v>
      </c>
    </row>
    <row r="7631" spans="1:24">
      <c r="A7631">
        <f>HYPERLINK("https://www.philgeps.gov.ph/GEPSNONPILOT/Tender/SplashBidNoticeAbstractUI.aspx?menuIndex=3&amp;refID=7078383&amp;Result=3","7078383")</f>
        <v>0</v>
      </c>
      <c r="B7631" t="s">
        <v>2363</v>
      </c>
      <c r="C7631" t="s">
        <v>10677</v>
      </c>
      <c r="D7631" t="s">
        <v>17489</v>
      </c>
      <c r="E7631" t="s">
        <v>24098</v>
      </c>
      <c r="F7631" t="s">
        <v>30052</v>
      </c>
      <c r="G7631" t="s">
        <v>30058</v>
      </c>
      <c r="H7631" t="s">
        <v>15498</v>
      </c>
      <c r="I7631" t="s">
        <v>30074</v>
      </c>
      <c r="J7631" t="s">
        <v>32173</v>
      </c>
      <c r="K7631" t="s">
        <v>39025</v>
      </c>
      <c r="M7631" t="s">
        <v>41858</v>
      </c>
      <c r="N7631" t="s">
        <v>43166</v>
      </c>
      <c r="O7631" t="s">
        <v>43167</v>
      </c>
      <c r="P7631">
        <v>0</v>
      </c>
      <c r="Q7631">
        <v>1</v>
      </c>
      <c r="R7631" t="s">
        <v>43173</v>
      </c>
      <c r="S7631" t="s">
        <v>43374</v>
      </c>
      <c r="T7631" t="s">
        <v>44777</v>
      </c>
      <c r="U7631" t="s">
        <v>51377</v>
      </c>
      <c r="W7631" t="s">
        <v>41858</v>
      </c>
      <c r="X7631" t="s">
        <v>43174</v>
      </c>
    </row>
    <row r="7632" spans="1:24">
      <c r="A7632">
        <f>HYPERLINK("https://www.philgeps.gov.ph/GEPSNONPILOT/Tender/SplashBidNoticeAbstractUI.aspx?menuIndex=3&amp;refID=7078380&amp;Result=3","7078380")</f>
        <v>0</v>
      </c>
      <c r="B7632" t="s">
        <v>2357</v>
      </c>
      <c r="C7632" t="s">
        <v>10678</v>
      </c>
      <c r="D7632" t="s">
        <v>17415</v>
      </c>
      <c r="E7632" t="s">
        <v>19369</v>
      </c>
      <c r="F7632" t="s">
        <v>30052</v>
      </c>
      <c r="G7632" t="s">
        <v>30058</v>
      </c>
      <c r="H7632" t="s">
        <v>15498</v>
      </c>
      <c r="I7632" t="s">
        <v>30070</v>
      </c>
      <c r="J7632" t="s">
        <v>34876</v>
      </c>
      <c r="K7632" t="s">
        <v>39029</v>
      </c>
      <c r="M7632" t="s">
        <v>41851</v>
      </c>
      <c r="N7632" t="s">
        <v>43166</v>
      </c>
      <c r="O7632" t="s">
        <v>43167</v>
      </c>
      <c r="P7632">
        <v>0</v>
      </c>
      <c r="Q7632">
        <v>2</v>
      </c>
      <c r="R7632" t="s">
        <v>43173</v>
      </c>
      <c r="S7632" t="s">
        <v>43374</v>
      </c>
      <c r="T7632" t="s">
        <v>44814</v>
      </c>
      <c r="U7632" t="s">
        <v>51348</v>
      </c>
      <c r="V7632" t="s">
        <v>57629</v>
      </c>
      <c r="W7632" t="s">
        <v>41851</v>
      </c>
      <c r="X7632" t="s">
        <v>43174</v>
      </c>
    </row>
    <row r="7633" spans="1:24">
      <c r="A7633">
        <f>HYPERLINK("https://www.philgeps.gov.ph/GEPSNONPILOT/Tender/SplashBidNoticeAbstractUI.aspx?menuIndex=3&amp;refID=7078378&amp;Result=3","7078378")</f>
        <v>0</v>
      </c>
      <c r="B7633" t="s">
        <v>773</v>
      </c>
      <c r="C7633" t="s">
        <v>10679</v>
      </c>
      <c r="D7633" t="s">
        <v>17435</v>
      </c>
      <c r="E7633" t="s">
        <v>24099</v>
      </c>
      <c r="F7633" t="s">
        <v>30052</v>
      </c>
      <c r="G7633" t="s">
        <v>30058</v>
      </c>
      <c r="H7633" t="s">
        <v>15498</v>
      </c>
      <c r="I7633" t="s">
        <v>3736</v>
      </c>
      <c r="J7633" t="s">
        <v>34877</v>
      </c>
      <c r="K7633" t="s">
        <v>39019</v>
      </c>
      <c r="M7633" t="s">
        <v>40087</v>
      </c>
      <c r="N7633" t="s">
        <v>43166</v>
      </c>
      <c r="O7633" t="s">
        <v>43167</v>
      </c>
      <c r="P7633">
        <v>0</v>
      </c>
      <c r="Q7633">
        <v>0</v>
      </c>
      <c r="R7633" t="s">
        <v>43173</v>
      </c>
      <c r="S7633" t="s">
        <v>43374</v>
      </c>
      <c r="T7633" t="s">
        <v>44733</v>
      </c>
      <c r="U7633" t="s">
        <v>51378</v>
      </c>
      <c r="W7633" t="s">
        <v>40087</v>
      </c>
      <c r="X7633" t="s">
        <v>43174</v>
      </c>
    </row>
    <row r="7634" spans="1:24">
      <c r="A7634">
        <f>HYPERLINK("https://www.philgeps.gov.ph/GEPSNONPILOT/Tender/SplashBidNoticeAbstractUI.aspx?menuIndex=3&amp;refID=7078347&amp;Result=3","7078347")</f>
        <v>0</v>
      </c>
      <c r="B7634" t="s">
        <v>773</v>
      </c>
      <c r="C7634" t="s">
        <v>10680</v>
      </c>
      <c r="D7634" t="s">
        <v>17435</v>
      </c>
      <c r="E7634" t="s">
        <v>24100</v>
      </c>
      <c r="F7634" t="s">
        <v>30052</v>
      </c>
      <c r="G7634" t="s">
        <v>30058</v>
      </c>
      <c r="H7634" t="s">
        <v>15498</v>
      </c>
      <c r="I7634" t="s">
        <v>3736</v>
      </c>
      <c r="J7634" t="s">
        <v>30745</v>
      </c>
      <c r="K7634" t="s">
        <v>39019</v>
      </c>
      <c r="M7634" t="s">
        <v>40087</v>
      </c>
      <c r="N7634" t="s">
        <v>43166</v>
      </c>
      <c r="O7634" t="s">
        <v>43167</v>
      </c>
      <c r="P7634">
        <v>0</v>
      </c>
      <c r="Q7634">
        <v>0</v>
      </c>
      <c r="R7634" t="s">
        <v>43173</v>
      </c>
      <c r="S7634" t="s">
        <v>43374</v>
      </c>
      <c r="T7634" t="s">
        <v>44733</v>
      </c>
      <c r="U7634" t="s">
        <v>51379</v>
      </c>
      <c r="W7634" t="s">
        <v>40087</v>
      </c>
      <c r="X7634" t="s">
        <v>43174</v>
      </c>
    </row>
    <row r="7635" spans="1:24">
      <c r="A7635">
        <f>HYPERLINK("https://www.philgeps.gov.ph/GEPSNONPILOT/Tender/SplashBidNoticeAbstractUI.aspx?menuIndex=3&amp;refID=7078354&amp;Result=3","7078354")</f>
        <v>0</v>
      </c>
      <c r="B7635" t="s">
        <v>2363</v>
      </c>
      <c r="C7635" t="s">
        <v>10681</v>
      </c>
      <c r="D7635" t="s">
        <v>17489</v>
      </c>
      <c r="E7635" t="s">
        <v>24079</v>
      </c>
      <c r="F7635" t="s">
        <v>30052</v>
      </c>
      <c r="G7635" t="s">
        <v>30061</v>
      </c>
      <c r="H7635" t="s">
        <v>15498</v>
      </c>
      <c r="I7635" t="s">
        <v>30078</v>
      </c>
      <c r="J7635" t="s">
        <v>30343</v>
      </c>
      <c r="K7635" t="s">
        <v>39025</v>
      </c>
      <c r="M7635" t="s">
        <v>41858</v>
      </c>
      <c r="N7635" t="s">
        <v>43166</v>
      </c>
      <c r="O7635" t="s">
        <v>43167</v>
      </c>
      <c r="P7635">
        <v>0</v>
      </c>
      <c r="Q7635">
        <v>0</v>
      </c>
      <c r="R7635" t="s">
        <v>43173</v>
      </c>
      <c r="S7635" t="s">
        <v>43374</v>
      </c>
      <c r="T7635" t="s">
        <v>44735</v>
      </c>
      <c r="U7635" t="s">
        <v>51380</v>
      </c>
      <c r="W7635" t="s">
        <v>41858</v>
      </c>
      <c r="X7635" t="s">
        <v>43174</v>
      </c>
    </row>
    <row r="7636" spans="1:24">
      <c r="A7636">
        <f>HYPERLINK("https://www.philgeps.gov.ph/GEPSNONPILOT/Tender/SplashBidNoticeAbstractUI.aspx?menuIndex=3&amp;refID=7078393&amp;Result=3","7078393")</f>
        <v>0</v>
      </c>
      <c r="B7636" t="s">
        <v>1373</v>
      </c>
      <c r="C7636" t="s">
        <v>10682</v>
      </c>
      <c r="D7636" t="s">
        <v>17501</v>
      </c>
      <c r="E7636" t="s">
        <v>24101</v>
      </c>
      <c r="F7636" t="s">
        <v>30052</v>
      </c>
      <c r="G7636" t="s">
        <v>30060</v>
      </c>
      <c r="H7636" t="s">
        <v>30069</v>
      </c>
      <c r="I7636" t="s">
        <v>30137</v>
      </c>
      <c r="J7636" t="s">
        <v>30711</v>
      </c>
      <c r="K7636" t="s">
        <v>39029</v>
      </c>
      <c r="M7636" t="s">
        <v>40745</v>
      </c>
      <c r="N7636" t="s">
        <v>43166</v>
      </c>
      <c r="O7636" t="s">
        <v>43167</v>
      </c>
      <c r="P7636">
        <v>0</v>
      </c>
      <c r="Q7636">
        <v>2</v>
      </c>
      <c r="R7636" t="s">
        <v>43173</v>
      </c>
      <c r="S7636" t="s">
        <v>43374</v>
      </c>
      <c r="T7636" t="s">
        <v>45071</v>
      </c>
      <c r="U7636" t="s">
        <v>51381</v>
      </c>
      <c r="W7636" t="s">
        <v>40745</v>
      </c>
      <c r="X7636" t="s">
        <v>43174</v>
      </c>
    </row>
    <row r="7637" spans="1:24">
      <c r="A7637">
        <f>HYPERLINK("https://www.philgeps.gov.ph/GEPSNONPILOT/Tender/SplashBidNoticeAbstractUI.aspx?menuIndex=3&amp;refID=7078351&amp;Result=3","7078351")</f>
        <v>0</v>
      </c>
      <c r="B7637" t="s">
        <v>2078</v>
      </c>
      <c r="C7637" t="s">
        <v>10683</v>
      </c>
      <c r="D7637" t="s">
        <v>17421</v>
      </c>
      <c r="E7637" t="s">
        <v>24102</v>
      </c>
      <c r="F7637" t="s">
        <v>30052</v>
      </c>
      <c r="G7637" t="s">
        <v>30058</v>
      </c>
      <c r="H7637" t="s">
        <v>15498</v>
      </c>
      <c r="I7637" t="s">
        <v>30109</v>
      </c>
      <c r="J7637" t="s">
        <v>34878</v>
      </c>
      <c r="K7637" t="s">
        <v>39029</v>
      </c>
      <c r="M7637" t="s">
        <v>41539</v>
      </c>
      <c r="N7637" t="s">
        <v>43166</v>
      </c>
      <c r="O7637" t="s">
        <v>43167</v>
      </c>
      <c r="P7637">
        <v>0</v>
      </c>
      <c r="Q7637">
        <v>1</v>
      </c>
      <c r="R7637" t="s">
        <v>43173</v>
      </c>
      <c r="S7637" t="s">
        <v>43374</v>
      </c>
      <c r="T7637" t="s">
        <v>45038</v>
      </c>
      <c r="U7637" t="s">
        <v>51382</v>
      </c>
      <c r="V7637" t="s">
        <v>57507</v>
      </c>
      <c r="W7637" t="s">
        <v>41539</v>
      </c>
      <c r="X7637" t="s">
        <v>43174</v>
      </c>
    </row>
    <row r="7638" spans="1:24">
      <c r="A7638">
        <f>HYPERLINK("https://www.philgeps.gov.ph/GEPSNONPILOT/Tender/SplashBidNoticeAbstractUI.aspx?menuIndex=3&amp;refID=7078283&amp;Result=3","7078283")</f>
        <v>0</v>
      </c>
      <c r="B7638" t="s">
        <v>773</v>
      </c>
      <c r="C7638" t="s">
        <v>10684</v>
      </c>
      <c r="D7638" t="s">
        <v>17435</v>
      </c>
      <c r="E7638" t="s">
        <v>24103</v>
      </c>
      <c r="F7638" t="s">
        <v>30052</v>
      </c>
      <c r="G7638" t="s">
        <v>30058</v>
      </c>
      <c r="H7638" t="s">
        <v>15498</v>
      </c>
      <c r="I7638" t="s">
        <v>3736</v>
      </c>
      <c r="J7638" t="s">
        <v>34879</v>
      </c>
      <c r="K7638" t="s">
        <v>39019</v>
      </c>
      <c r="M7638" t="s">
        <v>40087</v>
      </c>
      <c r="N7638" t="s">
        <v>43166</v>
      </c>
      <c r="O7638" t="s">
        <v>43167</v>
      </c>
      <c r="P7638">
        <v>0</v>
      </c>
      <c r="Q7638">
        <v>0</v>
      </c>
      <c r="R7638" t="s">
        <v>43173</v>
      </c>
      <c r="S7638" t="s">
        <v>43374</v>
      </c>
      <c r="T7638" t="s">
        <v>44733</v>
      </c>
      <c r="U7638" t="s">
        <v>51383</v>
      </c>
      <c r="W7638" t="s">
        <v>40087</v>
      </c>
      <c r="X7638" t="s">
        <v>43174</v>
      </c>
    </row>
    <row r="7639" spans="1:24">
      <c r="A7639">
        <f>HYPERLINK("https://www.philgeps.gov.ph/GEPSNONPILOT/Tender/SplashBidNoticeAbstractUI.aspx?menuIndex=3&amp;refID=7078384&amp;Result=3","7078384")</f>
        <v>0</v>
      </c>
      <c r="B7639" t="s">
        <v>2368</v>
      </c>
      <c r="C7639" t="s">
        <v>10685</v>
      </c>
      <c r="D7639" t="s">
        <v>17466</v>
      </c>
      <c r="E7639" t="s">
        <v>24104</v>
      </c>
      <c r="F7639" t="s">
        <v>30052</v>
      </c>
      <c r="G7639" t="s">
        <v>30059</v>
      </c>
      <c r="H7639" t="s">
        <v>15498</v>
      </c>
      <c r="I7639" t="s">
        <v>30076</v>
      </c>
      <c r="J7639" t="s">
        <v>34880</v>
      </c>
      <c r="K7639" t="s">
        <v>39039</v>
      </c>
      <c r="M7639" t="s">
        <v>41863</v>
      </c>
      <c r="N7639" t="s">
        <v>43166</v>
      </c>
      <c r="O7639" t="s">
        <v>43167</v>
      </c>
      <c r="P7639">
        <v>0</v>
      </c>
      <c r="Q7639">
        <v>1</v>
      </c>
      <c r="R7639" t="s">
        <v>43173</v>
      </c>
      <c r="S7639" t="s">
        <v>43374</v>
      </c>
      <c r="T7639" t="s">
        <v>44841</v>
      </c>
      <c r="U7639" t="s">
        <v>45564</v>
      </c>
      <c r="W7639" t="s">
        <v>41863</v>
      </c>
      <c r="X7639" t="s">
        <v>43174</v>
      </c>
    </row>
    <row r="7640" spans="1:24">
      <c r="A7640">
        <f>HYPERLINK("https://www.philgeps.gov.ph/GEPSNONPILOT/Tender/SplashBidNoticeAbstractUI.aspx?menuIndex=3&amp;refID=7078422&amp;Result=3","7078422")</f>
        <v>0</v>
      </c>
      <c r="B7640" t="s">
        <v>1602</v>
      </c>
      <c r="C7640" t="s">
        <v>10686</v>
      </c>
      <c r="D7640" t="s">
        <v>17445</v>
      </c>
      <c r="E7640" t="s">
        <v>24105</v>
      </c>
      <c r="F7640" t="s">
        <v>30052</v>
      </c>
      <c r="G7640" t="s">
        <v>30058</v>
      </c>
      <c r="H7640" t="s">
        <v>30067</v>
      </c>
      <c r="I7640" t="s">
        <v>3693</v>
      </c>
      <c r="J7640" t="s">
        <v>30207</v>
      </c>
      <c r="K7640" t="s">
        <v>39025</v>
      </c>
      <c r="M7640" t="s">
        <v>41000</v>
      </c>
      <c r="N7640" t="s">
        <v>43166</v>
      </c>
      <c r="O7640" t="s">
        <v>43167</v>
      </c>
      <c r="P7640">
        <v>0</v>
      </c>
      <c r="Q7640">
        <v>0</v>
      </c>
      <c r="R7640" t="s">
        <v>43173</v>
      </c>
      <c r="S7640" t="s">
        <v>43374</v>
      </c>
      <c r="T7640" t="s">
        <v>44729</v>
      </c>
      <c r="U7640" t="s">
        <v>51384</v>
      </c>
      <c r="W7640" t="s">
        <v>41000</v>
      </c>
      <c r="X7640" t="s">
        <v>43174</v>
      </c>
    </row>
    <row r="7641" spans="1:24">
      <c r="A7641">
        <f>HYPERLINK("https://www.philgeps.gov.ph/GEPSNONPILOT/Tender/SplashBidNoticeAbstractUI.aspx?menuIndex=3&amp;refID=7078417&amp;Result=3","7078417")</f>
        <v>0</v>
      </c>
      <c r="B7641" t="s">
        <v>2336</v>
      </c>
      <c r="C7641" t="s">
        <v>10687</v>
      </c>
      <c r="D7641" t="s">
        <v>17465</v>
      </c>
      <c r="E7641" t="s">
        <v>24106</v>
      </c>
      <c r="F7641" t="s">
        <v>30052</v>
      </c>
      <c r="G7641" t="s">
        <v>30061</v>
      </c>
      <c r="H7641" t="s">
        <v>15498</v>
      </c>
      <c r="I7641" t="s">
        <v>4119</v>
      </c>
      <c r="J7641" t="s">
        <v>34215</v>
      </c>
      <c r="K7641" t="s">
        <v>39036</v>
      </c>
      <c r="M7641" t="s">
        <v>41824</v>
      </c>
      <c r="N7641" t="s">
        <v>43166</v>
      </c>
      <c r="O7641" t="s">
        <v>43167</v>
      </c>
      <c r="P7641">
        <v>0</v>
      </c>
      <c r="Q7641">
        <v>4</v>
      </c>
      <c r="R7641" t="s">
        <v>43173</v>
      </c>
      <c r="S7641" t="s">
        <v>43374</v>
      </c>
      <c r="T7641" t="s">
        <v>44715</v>
      </c>
      <c r="U7641" t="s">
        <v>51385</v>
      </c>
      <c r="W7641" t="s">
        <v>41824</v>
      </c>
      <c r="X7641" t="s">
        <v>43174</v>
      </c>
    </row>
    <row r="7642" spans="1:24">
      <c r="A7642">
        <f>HYPERLINK("https://www.philgeps.gov.ph/GEPSNONPILOT/Tender/SplashBidNoticeAbstractUI.aspx?menuIndex=3&amp;refID=7078341&amp;Result=3","7078341")</f>
        <v>0</v>
      </c>
      <c r="B7642" t="s">
        <v>2357</v>
      </c>
      <c r="C7642" t="s">
        <v>10688</v>
      </c>
      <c r="D7642" t="s">
        <v>17415</v>
      </c>
      <c r="E7642" t="s">
        <v>24107</v>
      </c>
      <c r="F7642" t="s">
        <v>30052</v>
      </c>
      <c r="G7642" t="s">
        <v>30058</v>
      </c>
      <c r="H7642" t="s">
        <v>15498</v>
      </c>
      <c r="I7642" t="s">
        <v>30082</v>
      </c>
      <c r="J7642" t="s">
        <v>34881</v>
      </c>
      <c r="K7642" t="s">
        <v>39029</v>
      </c>
      <c r="M7642" t="s">
        <v>41851</v>
      </c>
      <c r="N7642" t="s">
        <v>43166</v>
      </c>
      <c r="O7642" t="s">
        <v>43167</v>
      </c>
      <c r="P7642">
        <v>0</v>
      </c>
      <c r="Q7642">
        <v>0</v>
      </c>
      <c r="R7642" t="s">
        <v>43173</v>
      </c>
      <c r="S7642" t="s">
        <v>43374</v>
      </c>
      <c r="T7642" t="s">
        <v>44814</v>
      </c>
      <c r="U7642" t="s">
        <v>51386</v>
      </c>
      <c r="V7642" t="s">
        <v>57629</v>
      </c>
      <c r="W7642" t="s">
        <v>41851</v>
      </c>
      <c r="X7642" t="s">
        <v>43174</v>
      </c>
    </row>
    <row r="7643" spans="1:24">
      <c r="A7643">
        <f>HYPERLINK("https://www.philgeps.gov.ph/GEPSNONPILOT/Tender/SplashBidNoticeAbstractUI.aspx?menuIndex=3&amp;refID=7078392&amp;Result=3","7078392")</f>
        <v>0</v>
      </c>
      <c r="B7643" t="s">
        <v>777</v>
      </c>
      <c r="C7643" t="s">
        <v>10689</v>
      </c>
      <c r="E7643" t="s">
        <v>24108</v>
      </c>
      <c r="F7643" t="s">
        <v>30052</v>
      </c>
      <c r="G7643" t="s">
        <v>30058</v>
      </c>
      <c r="H7643" t="s">
        <v>30067</v>
      </c>
      <c r="I7643" t="s">
        <v>3693</v>
      </c>
      <c r="J7643" t="s">
        <v>34882</v>
      </c>
      <c r="K7643" t="s">
        <v>39100</v>
      </c>
      <c r="M7643" t="s">
        <v>40092</v>
      </c>
      <c r="N7643" t="s">
        <v>43166</v>
      </c>
      <c r="O7643" t="s">
        <v>43167</v>
      </c>
      <c r="P7643">
        <v>0</v>
      </c>
      <c r="Q7643">
        <v>0</v>
      </c>
      <c r="R7643" t="s">
        <v>43173</v>
      </c>
      <c r="S7643" t="s">
        <v>43374</v>
      </c>
      <c r="T7643" t="s">
        <v>44807</v>
      </c>
      <c r="U7643" t="s">
        <v>51387</v>
      </c>
      <c r="W7643" t="s">
        <v>40092</v>
      </c>
      <c r="X7643" t="s">
        <v>43174</v>
      </c>
    </row>
    <row r="7644" spans="1:24">
      <c r="A7644">
        <f>HYPERLINK("https://www.philgeps.gov.ph/GEPSNONPILOT/Tender/SplashBidNoticeAbstractUI.aspx?menuIndex=3&amp;refID=7078418&amp;Result=3","7078418")</f>
        <v>0</v>
      </c>
      <c r="B7644" t="s">
        <v>2369</v>
      </c>
      <c r="C7644" t="s">
        <v>10690</v>
      </c>
      <c r="D7644" t="s">
        <v>17424</v>
      </c>
      <c r="E7644" t="s">
        <v>24109</v>
      </c>
      <c r="F7644" t="s">
        <v>30052</v>
      </c>
      <c r="G7644" t="s">
        <v>30058</v>
      </c>
      <c r="H7644" t="s">
        <v>15498</v>
      </c>
      <c r="I7644" t="s">
        <v>3736</v>
      </c>
      <c r="J7644" t="s">
        <v>34883</v>
      </c>
      <c r="K7644" t="s">
        <v>39019</v>
      </c>
      <c r="M7644" t="s">
        <v>41864</v>
      </c>
      <c r="N7644" t="s">
        <v>43166</v>
      </c>
      <c r="O7644" t="s">
        <v>43167</v>
      </c>
      <c r="P7644">
        <v>0</v>
      </c>
      <c r="Q7644">
        <v>2</v>
      </c>
      <c r="R7644" t="s">
        <v>43173</v>
      </c>
      <c r="S7644" t="s">
        <v>43374</v>
      </c>
      <c r="T7644" t="s">
        <v>44792</v>
      </c>
      <c r="U7644" t="s">
        <v>51388</v>
      </c>
      <c r="V7644" t="s">
        <v>57635</v>
      </c>
      <c r="W7644" t="s">
        <v>41864</v>
      </c>
      <c r="X7644" t="s">
        <v>43174</v>
      </c>
    </row>
    <row r="7645" spans="1:24">
      <c r="A7645">
        <f>HYPERLINK("https://www.philgeps.gov.ph/GEPSNONPILOT/Tender/SplashBidNoticeAbstractUI.aspx?menuIndex=3&amp;refID=7078427&amp;Result=3","7078427")</f>
        <v>0</v>
      </c>
      <c r="B7645" t="s">
        <v>1715</v>
      </c>
      <c r="C7645" t="s">
        <v>10691</v>
      </c>
      <c r="D7645" t="s">
        <v>17435</v>
      </c>
      <c r="E7645" t="s">
        <v>23407</v>
      </c>
      <c r="F7645" t="s">
        <v>30052</v>
      </c>
      <c r="G7645" t="s">
        <v>30059</v>
      </c>
      <c r="H7645" t="s">
        <v>30067</v>
      </c>
      <c r="I7645" t="s">
        <v>3693</v>
      </c>
      <c r="J7645" t="s">
        <v>31033</v>
      </c>
      <c r="K7645" t="s">
        <v>39029</v>
      </c>
      <c r="M7645" t="s">
        <v>41130</v>
      </c>
      <c r="N7645" t="s">
        <v>43166</v>
      </c>
      <c r="O7645" t="s">
        <v>43167</v>
      </c>
      <c r="P7645">
        <v>0</v>
      </c>
      <c r="Q7645">
        <v>2</v>
      </c>
      <c r="R7645" t="s">
        <v>43173</v>
      </c>
      <c r="S7645" t="s">
        <v>43374</v>
      </c>
      <c r="T7645" t="s">
        <v>44714</v>
      </c>
      <c r="U7645" t="s">
        <v>51389</v>
      </c>
      <c r="V7645" t="s">
        <v>57632</v>
      </c>
      <c r="W7645" t="s">
        <v>41130</v>
      </c>
      <c r="X7645" t="s">
        <v>43174</v>
      </c>
    </row>
    <row r="7646" spans="1:24">
      <c r="A7646">
        <f>HYPERLINK("https://www.philgeps.gov.ph/GEPSNONPILOT/Tender/SplashBidNoticeAbstractUI.aspx?menuIndex=3&amp;refID=7078391&amp;Result=3","7078391")</f>
        <v>0</v>
      </c>
      <c r="B7646" t="s">
        <v>2370</v>
      </c>
      <c r="C7646" t="s">
        <v>10692</v>
      </c>
      <c r="D7646" t="s">
        <v>17421</v>
      </c>
      <c r="E7646" t="s">
        <v>24110</v>
      </c>
      <c r="F7646" t="s">
        <v>30052</v>
      </c>
      <c r="G7646" t="s">
        <v>30058</v>
      </c>
      <c r="H7646" t="s">
        <v>15498</v>
      </c>
      <c r="I7646" t="s">
        <v>30117</v>
      </c>
      <c r="J7646" t="s">
        <v>34884</v>
      </c>
      <c r="K7646" t="s">
        <v>39029</v>
      </c>
      <c r="M7646" t="s">
        <v>41865</v>
      </c>
      <c r="N7646" t="s">
        <v>43166</v>
      </c>
      <c r="O7646" t="s">
        <v>43167</v>
      </c>
      <c r="P7646">
        <v>0</v>
      </c>
      <c r="Q7646">
        <v>0</v>
      </c>
      <c r="R7646" t="s">
        <v>43173</v>
      </c>
      <c r="S7646" t="s">
        <v>43374</v>
      </c>
      <c r="T7646" t="s">
        <v>45072</v>
      </c>
      <c r="U7646" t="s">
        <v>51390</v>
      </c>
      <c r="W7646" t="s">
        <v>41865</v>
      </c>
      <c r="X7646" t="s">
        <v>43174</v>
      </c>
    </row>
    <row r="7647" spans="1:24">
      <c r="A7647">
        <f>HYPERLINK("https://www.philgeps.gov.ph/GEPSNONPILOT/Tender/SplashBidNoticeAbstractUI.aspx?menuIndex=3&amp;refID=7078414&amp;Result=3","7078414")</f>
        <v>0</v>
      </c>
      <c r="B7647" t="s">
        <v>1559</v>
      </c>
      <c r="C7647" t="s">
        <v>10693</v>
      </c>
      <c r="D7647" t="s">
        <v>17484</v>
      </c>
      <c r="E7647" t="s">
        <v>24111</v>
      </c>
      <c r="F7647" t="s">
        <v>30052</v>
      </c>
      <c r="G7647" t="s">
        <v>30059</v>
      </c>
      <c r="H7647" t="s">
        <v>30069</v>
      </c>
      <c r="I7647" t="s">
        <v>30127</v>
      </c>
      <c r="J7647" t="s">
        <v>34885</v>
      </c>
      <c r="K7647" t="s">
        <v>39046</v>
      </c>
      <c r="M7647" t="s">
        <v>40948</v>
      </c>
      <c r="N7647" t="s">
        <v>43166</v>
      </c>
      <c r="O7647" t="s">
        <v>43167</v>
      </c>
      <c r="P7647">
        <v>0</v>
      </c>
      <c r="Q7647">
        <v>1</v>
      </c>
      <c r="R7647" t="s">
        <v>43173</v>
      </c>
      <c r="S7647" t="s">
        <v>43374</v>
      </c>
      <c r="T7647" t="s">
        <v>44844</v>
      </c>
      <c r="U7647" t="s">
        <v>48737</v>
      </c>
      <c r="W7647" t="s">
        <v>40948</v>
      </c>
      <c r="X7647" t="s">
        <v>43174</v>
      </c>
    </row>
    <row r="7648" spans="1:24">
      <c r="A7648">
        <f>HYPERLINK("https://www.philgeps.gov.ph/GEPSNONPILOT/Tender/SplashBidNoticeAbstractUI.aspx?menuIndex=3&amp;refID=7078433&amp;Result=3","7078433")</f>
        <v>0</v>
      </c>
      <c r="B7648" t="s">
        <v>74</v>
      </c>
      <c r="C7648" t="s">
        <v>10694</v>
      </c>
      <c r="E7648" t="s">
        <v>24112</v>
      </c>
      <c r="F7648" t="s">
        <v>30052</v>
      </c>
      <c r="G7648" t="s">
        <v>30058</v>
      </c>
      <c r="H7648" t="s">
        <v>15498</v>
      </c>
      <c r="I7648" t="s">
        <v>9238</v>
      </c>
      <c r="J7648" t="s">
        <v>34886</v>
      </c>
      <c r="K7648" t="s">
        <v>39025</v>
      </c>
      <c r="M7648" t="s">
        <v>39363</v>
      </c>
      <c r="N7648" t="s">
        <v>43166</v>
      </c>
      <c r="O7648" t="s">
        <v>43167</v>
      </c>
      <c r="Q7648">
        <v>10</v>
      </c>
      <c r="R7648" t="s">
        <v>43173</v>
      </c>
      <c r="S7648" t="s">
        <v>43393</v>
      </c>
      <c r="T7648" t="s">
        <v>44832</v>
      </c>
      <c r="U7648" t="s">
        <v>51391</v>
      </c>
      <c r="W7648" t="s">
        <v>39363</v>
      </c>
      <c r="X7648" t="s">
        <v>43174</v>
      </c>
    </row>
    <row r="7649" spans="1:24">
      <c r="A7649">
        <f>HYPERLINK("https://www.philgeps.gov.ph/GEPSNONPILOT/Tender/SplashBidNoticeAbstractUI.aspx?menuIndex=3&amp;refID=7078409&amp;Result=3","7078409")</f>
        <v>0</v>
      </c>
      <c r="B7649" t="s">
        <v>1602</v>
      </c>
      <c r="C7649" t="s">
        <v>10695</v>
      </c>
      <c r="D7649" t="s">
        <v>17445</v>
      </c>
      <c r="E7649" t="s">
        <v>24113</v>
      </c>
      <c r="F7649" t="s">
        <v>30052</v>
      </c>
      <c r="G7649" t="s">
        <v>30058</v>
      </c>
      <c r="H7649" t="s">
        <v>30067</v>
      </c>
      <c r="I7649" t="s">
        <v>3693</v>
      </c>
      <c r="J7649" t="s">
        <v>30207</v>
      </c>
      <c r="K7649" t="s">
        <v>39025</v>
      </c>
      <c r="M7649" t="s">
        <v>41000</v>
      </c>
      <c r="N7649" t="s">
        <v>43166</v>
      </c>
      <c r="O7649" t="s">
        <v>43167</v>
      </c>
      <c r="P7649">
        <v>0</v>
      </c>
      <c r="Q7649">
        <v>0</v>
      </c>
      <c r="R7649" t="s">
        <v>43173</v>
      </c>
      <c r="S7649" t="s">
        <v>43374</v>
      </c>
      <c r="T7649" t="s">
        <v>44729</v>
      </c>
      <c r="U7649" t="s">
        <v>51392</v>
      </c>
      <c r="W7649" t="s">
        <v>41000</v>
      </c>
      <c r="X7649" t="s">
        <v>43174</v>
      </c>
    </row>
    <row r="7650" spans="1:24">
      <c r="A7650">
        <f>HYPERLINK("https://www.philgeps.gov.ph/GEPSNONPILOT/Tender/SplashBidNoticeAbstractUI.aspx?menuIndex=3&amp;refID=7078405&amp;Result=3","7078405")</f>
        <v>0</v>
      </c>
      <c r="B7650" t="s">
        <v>2145</v>
      </c>
      <c r="C7650" t="s">
        <v>10696</v>
      </c>
      <c r="D7650" t="s">
        <v>17414</v>
      </c>
      <c r="E7650" t="s">
        <v>24114</v>
      </c>
      <c r="F7650" t="s">
        <v>30052</v>
      </c>
      <c r="G7650" t="s">
        <v>30059</v>
      </c>
      <c r="H7650" t="s">
        <v>15498</v>
      </c>
      <c r="I7650" t="s">
        <v>30081</v>
      </c>
      <c r="J7650" t="s">
        <v>30263</v>
      </c>
      <c r="K7650" t="s">
        <v>39019</v>
      </c>
      <c r="M7650" t="s">
        <v>41609</v>
      </c>
      <c r="N7650" t="s">
        <v>43166</v>
      </c>
      <c r="O7650" t="s">
        <v>43167</v>
      </c>
      <c r="P7650">
        <v>0</v>
      </c>
      <c r="Q7650">
        <v>1</v>
      </c>
      <c r="R7650" t="s">
        <v>43173</v>
      </c>
      <c r="S7650" t="s">
        <v>43374</v>
      </c>
      <c r="T7650" t="s">
        <v>44832</v>
      </c>
      <c r="U7650" t="s">
        <v>51393</v>
      </c>
      <c r="W7650" t="s">
        <v>41609</v>
      </c>
      <c r="X7650" t="s">
        <v>43174</v>
      </c>
    </row>
    <row r="7651" spans="1:24">
      <c r="A7651">
        <f>HYPERLINK("https://www.philgeps.gov.ph/GEPSNONPILOT/Tender/SplashBidNoticeAbstractUI.aspx?menuIndex=3&amp;refID=7078424&amp;Result=3","7078424")</f>
        <v>0</v>
      </c>
      <c r="B7651" t="s">
        <v>2370</v>
      </c>
      <c r="C7651" t="s">
        <v>10697</v>
      </c>
      <c r="D7651" t="s">
        <v>17421</v>
      </c>
      <c r="E7651" t="s">
        <v>24115</v>
      </c>
      <c r="F7651" t="s">
        <v>30052</v>
      </c>
      <c r="G7651" t="s">
        <v>30058</v>
      </c>
      <c r="H7651" t="s">
        <v>15498</v>
      </c>
      <c r="I7651" t="s">
        <v>4650</v>
      </c>
      <c r="J7651" t="s">
        <v>30962</v>
      </c>
      <c r="K7651" t="s">
        <v>39029</v>
      </c>
      <c r="M7651" t="s">
        <v>41865</v>
      </c>
      <c r="N7651" t="s">
        <v>43166</v>
      </c>
      <c r="O7651" t="s">
        <v>43167</v>
      </c>
      <c r="P7651">
        <v>0</v>
      </c>
      <c r="Q7651">
        <v>8</v>
      </c>
      <c r="R7651" t="s">
        <v>43173</v>
      </c>
      <c r="S7651" t="s">
        <v>43374</v>
      </c>
      <c r="T7651" t="s">
        <v>44747</v>
      </c>
      <c r="U7651" t="s">
        <v>51394</v>
      </c>
      <c r="W7651" t="s">
        <v>41865</v>
      </c>
      <c r="X7651" t="s">
        <v>43174</v>
      </c>
    </row>
    <row r="7652" spans="1:24">
      <c r="A7652">
        <f>HYPERLINK("https://www.philgeps.gov.ph/GEPSNONPILOT/Tender/SplashBidNoticeAbstractUI.aspx?menuIndex=3&amp;refID=7078303&amp;Result=3","7078303")</f>
        <v>0</v>
      </c>
      <c r="B7652" t="s">
        <v>773</v>
      </c>
      <c r="C7652" t="s">
        <v>10698</v>
      </c>
      <c r="D7652" t="s">
        <v>17435</v>
      </c>
      <c r="E7652" t="s">
        <v>24116</v>
      </c>
      <c r="F7652" t="s">
        <v>30052</v>
      </c>
      <c r="G7652" t="s">
        <v>30058</v>
      </c>
      <c r="H7652" t="s">
        <v>15498</v>
      </c>
      <c r="I7652" t="s">
        <v>3736</v>
      </c>
      <c r="J7652" t="s">
        <v>34887</v>
      </c>
      <c r="K7652" t="s">
        <v>39019</v>
      </c>
      <c r="M7652" t="s">
        <v>40087</v>
      </c>
      <c r="N7652" t="s">
        <v>43166</v>
      </c>
      <c r="O7652" t="s">
        <v>43167</v>
      </c>
      <c r="P7652">
        <v>0</v>
      </c>
      <c r="Q7652">
        <v>0</v>
      </c>
      <c r="R7652" t="s">
        <v>43173</v>
      </c>
      <c r="S7652" t="s">
        <v>43374</v>
      </c>
      <c r="T7652" t="s">
        <v>44733</v>
      </c>
      <c r="U7652" t="s">
        <v>51395</v>
      </c>
      <c r="W7652" t="s">
        <v>40087</v>
      </c>
      <c r="X7652" t="s">
        <v>43174</v>
      </c>
    </row>
    <row r="7653" spans="1:24">
      <c r="A7653">
        <f>HYPERLINK("https://www.philgeps.gov.ph/GEPSNONPILOT/Tender/SplashBidNoticeAbstractUI.aspx?menuIndex=3&amp;refID=7078385&amp;Result=3","7078385")</f>
        <v>0</v>
      </c>
      <c r="B7653" t="s">
        <v>1715</v>
      </c>
      <c r="C7653" t="s">
        <v>10699</v>
      </c>
      <c r="D7653" t="s">
        <v>17455</v>
      </c>
      <c r="E7653" t="s">
        <v>24117</v>
      </c>
      <c r="F7653" t="s">
        <v>30052</v>
      </c>
      <c r="G7653" t="s">
        <v>30059</v>
      </c>
      <c r="H7653" t="s">
        <v>30067</v>
      </c>
      <c r="I7653" t="s">
        <v>3693</v>
      </c>
      <c r="J7653" t="s">
        <v>30545</v>
      </c>
      <c r="K7653" t="s">
        <v>39029</v>
      </c>
      <c r="M7653" t="s">
        <v>41130</v>
      </c>
      <c r="N7653" t="s">
        <v>43166</v>
      </c>
      <c r="O7653" t="s">
        <v>43167</v>
      </c>
      <c r="P7653">
        <v>0</v>
      </c>
      <c r="Q7653">
        <v>2</v>
      </c>
      <c r="R7653" t="s">
        <v>43173</v>
      </c>
      <c r="S7653" t="s">
        <v>43374</v>
      </c>
      <c r="T7653" t="s">
        <v>44714</v>
      </c>
      <c r="U7653" t="s">
        <v>51389</v>
      </c>
      <c r="V7653" t="s">
        <v>57632</v>
      </c>
      <c r="W7653" t="s">
        <v>41130</v>
      </c>
      <c r="X7653" t="s">
        <v>43174</v>
      </c>
    </row>
    <row r="7654" spans="1:24">
      <c r="A7654">
        <f>HYPERLINK("https://www.philgeps.gov.ph/GEPSNONPILOT/Tender/SplashBidNoticeAbstractUI.aspx?menuIndex=3&amp;refID=7078398&amp;Result=3","7078398")</f>
        <v>0</v>
      </c>
      <c r="B7654" t="s">
        <v>2371</v>
      </c>
      <c r="C7654" t="s">
        <v>10700</v>
      </c>
      <c r="D7654" t="s">
        <v>17452</v>
      </c>
      <c r="E7654" t="s">
        <v>24118</v>
      </c>
      <c r="F7654" t="s">
        <v>30052</v>
      </c>
      <c r="G7654" t="s">
        <v>30058</v>
      </c>
      <c r="H7654" t="s">
        <v>30067</v>
      </c>
      <c r="I7654" t="s">
        <v>3693</v>
      </c>
      <c r="J7654" t="s">
        <v>34888</v>
      </c>
      <c r="K7654" t="s">
        <v>39057</v>
      </c>
      <c r="M7654" t="s">
        <v>41866</v>
      </c>
      <c r="N7654" t="s">
        <v>43166</v>
      </c>
      <c r="O7654" t="s">
        <v>43167</v>
      </c>
      <c r="P7654">
        <v>0</v>
      </c>
      <c r="Q7654">
        <v>0</v>
      </c>
      <c r="R7654" t="s">
        <v>43173</v>
      </c>
      <c r="S7654" t="s">
        <v>43374</v>
      </c>
      <c r="T7654" t="s">
        <v>44789</v>
      </c>
      <c r="U7654" t="s">
        <v>51396</v>
      </c>
      <c r="W7654" t="s">
        <v>41866</v>
      </c>
      <c r="X7654" t="s">
        <v>43174</v>
      </c>
    </row>
    <row r="7655" spans="1:24">
      <c r="A7655">
        <f>HYPERLINK("https://www.philgeps.gov.ph/GEPSNONPILOT/Tender/SplashBidNoticeAbstractUI.aspx?menuIndex=3&amp;refID=7078397&amp;Result=3","7078397")</f>
        <v>0</v>
      </c>
      <c r="B7655" t="s">
        <v>2357</v>
      </c>
      <c r="C7655" t="s">
        <v>10701</v>
      </c>
      <c r="D7655" t="s">
        <v>17415</v>
      </c>
      <c r="E7655" t="s">
        <v>24119</v>
      </c>
      <c r="F7655" t="s">
        <v>30052</v>
      </c>
      <c r="G7655" t="s">
        <v>30058</v>
      </c>
      <c r="H7655" t="s">
        <v>15498</v>
      </c>
      <c r="I7655" t="s">
        <v>9238</v>
      </c>
      <c r="J7655" t="s">
        <v>34889</v>
      </c>
      <c r="K7655" t="s">
        <v>39029</v>
      </c>
      <c r="M7655" t="s">
        <v>41851</v>
      </c>
      <c r="N7655" t="s">
        <v>43166</v>
      </c>
      <c r="O7655" t="s">
        <v>43167</v>
      </c>
      <c r="P7655">
        <v>0</v>
      </c>
      <c r="Q7655">
        <v>12</v>
      </c>
      <c r="R7655" t="s">
        <v>43173</v>
      </c>
      <c r="S7655" t="s">
        <v>43374</v>
      </c>
      <c r="T7655" t="s">
        <v>44814</v>
      </c>
      <c r="U7655" t="s">
        <v>51348</v>
      </c>
      <c r="V7655" t="s">
        <v>57629</v>
      </c>
      <c r="W7655" t="s">
        <v>41851</v>
      </c>
      <c r="X7655" t="s">
        <v>43174</v>
      </c>
    </row>
    <row r="7656" spans="1:24">
      <c r="A7656">
        <f>HYPERLINK("https://www.philgeps.gov.ph/GEPSNONPILOT/Tender/SplashBidNoticeAbstractUI.aspx?menuIndex=3&amp;refID=7078408&amp;Result=3","7078408")</f>
        <v>0</v>
      </c>
      <c r="B7656" t="s">
        <v>2209</v>
      </c>
      <c r="C7656" t="s">
        <v>10702</v>
      </c>
      <c r="D7656" t="s">
        <v>17465</v>
      </c>
      <c r="E7656" t="s">
        <v>24120</v>
      </c>
      <c r="F7656" t="s">
        <v>30052</v>
      </c>
      <c r="G7656" t="s">
        <v>30059</v>
      </c>
      <c r="H7656" t="s">
        <v>30067</v>
      </c>
      <c r="I7656" t="s">
        <v>3693</v>
      </c>
      <c r="J7656" t="s">
        <v>34890</v>
      </c>
      <c r="K7656" t="s">
        <v>39037</v>
      </c>
      <c r="M7656" t="s">
        <v>41678</v>
      </c>
      <c r="N7656" t="s">
        <v>43166</v>
      </c>
      <c r="O7656" t="s">
        <v>43167</v>
      </c>
      <c r="P7656">
        <v>0</v>
      </c>
      <c r="Q7656">
        <v>1</v>
      </c>
      <c r="R7656" t="s">
        <v>43173</v>
      </c>
      <c r="S7656" t="s">
        <v>43374</v>
      </c>
      <c r="T7656" t="s">
        <v>44773</v>
      </c>
      <c r="U7656" t="s">
        <v>51397</v>
      </c>
      <c r="W7656" t="s">
        <v>41678</v>
      </c>
      <c r="X7656" t="s">
        <v>43174</v>
      </c>
    </row>
    <row r="7657" spans="1:24">
      <c r="A7657">
        <f>HYPERLINK("https://www.philgeps.gov.ph/GEPSNONPILOT/Tender/SplashBidNoticeAbstractUI.aspx?menuIndex=3&amp;refID=7078443&amp;Result=3","7078443")</f>
        <v>0</v>
      </c>
      <c r="B7657" t="s">
        <v>2336</v>
      </c>
      <c r="C7657" t="s">
        <v>10703</v>
      </c>
      <c r="D7657" t="s">
        <v>17465</v>
      </c>
      <c r="E7657" t="s">
        <v>24121</v>
      </c>
      <c r="F7657" t="s">
        <v>30052</v>
      </c>
      <c r="G7657" t="s">
        <v>30061</v>
      </c>
      <c r="H7657" t="s">
        <v>15498</v>
      </c>
      <c r="I7657" t="s">
        <v>4119</v>
      </c>
      <c r="J7657" t="s">
        <v>34215</v>
      </c>
      <c r="K7657" t="s">
        <v>39036</v>
      </c>
      <c r="M7657" t="s">
        <v>41824</v>
      </c>
      <c r="N7657" t="s">
        <v>43166</v>
      </c>
      <c r="O7657" t="s">
        <v>43167</v>
      </c>
      <c r="P7657">
        <v>0</v>
      </c>
      <c r="Q7657">
        <v>4</v>
      </c>
      <c r="R7657" t="s">
        <v>43173</v>
      </c>
      <c r="S7657" t="s">
        <v>43374</v>
      </c>
      <c r="T7657" t="s">
        <v>44715</v>
      </c>
      <c r="U7657" t="s">
        <v>51398</v>
      </c>
      <c r="W7657" t="s">
        <v>41824</v>
      </c>
      <c r="X7657" t="s">
        <v>43174</v>
      </c>
    </row>
    <row r="7658" spans="1:24">
      <c r="A7658">
        <f>HYPERLINK("https://www.philgeps.gov.ph/GEPSNONPILOT/Tender/SplashBidNoticeAbstractUI.aspx?menuIndex=3&amp;refID=7078401&amp;Result=3","7078401")</f>
        <v>0</v>
      </c>
      <c r="B7658" t="s">
        <v>1500</v>
      </c>
      <c r="C7658" t="s">
        <v>10704</v>
      </c>
      <c r="D7658" t="s">
        <v>17462</v>
      </c>
      <c r="E7658" t="s">
        <v>24122</v>
      </c>
      <c r="F7658" t="s">
        <v>30052</v>
      </c>
      <c r="G7658" t="s">
        <v>30061</v>
      </c>
      <c r="H7658" t="s">
        <v>15498</v>
      </c>
      <c r="I7658" t="s">
        <v>3852</v>
      </c>
      <c r="J7658" t="s">
        <v>34891</v>
      </c>
      <c r="K7658" t="s">
        <v>39017</v>
      </c>
      <c r="M7658" t="s">
        <v>40884</v>
      </c>
      <c r="N7658" t="s">
        <v>43166</v>
      </c>
      <c r="O7658" t="s">
        <v>43167</v>
      </c>
      <c r="P7658">
        <v>0</v>
      </c>
      <c r="Q7658">
        <v>7</v>
      </c>
      <c r="R7658" t="s">
        <v>43173</v>
      </c>
      <c r="S7658" t="s">
        <v>43374</v>
      </c>
      <c r="T7658" t="s">
        <v>44806</v>
      </c>
      <c r="U7658" t="s">
        <v>51399</v>
      </c>
      <c r="W7658" t="s">
        <v>40884</v>
      </c>
      <c r="X7658" t="s">
        <v>43174</v>
      </c>
    </row>
    <row r="7659" spans="1:24">
      <c r="A7659">
        <f>HYPERLINK("https://www.philgeps.gov.ph/GEPSNONPILOT/Tender/SplashBidNoticeAbstractUI.aspx?menuIndex=3&amp;refID=7078461&amp;Result=3","7078461")</f>
        <v>0</v>
      </c>
      <c r="B7659" t="s">
        <v>123</v>
      </c>
      <c r="C7659" t="s">
        <v>10705</v>
      </c>
      <c r="D7659" t="s">
        <v>17458</v>
      </c>
      <c r="E7659" t="s">
        <v>17600</v>
      </c>
      <c r="F7659" t="s">
        <v>30052</v>
      </c>
      <c r="G7659" t="s">
        <v>30059</v>
      </c>
      <c r="H7659" t="s">
        <v>15498</v>
      </c>
      <c r="I7659" t="s">
        <v>8323</v>
      </c>
      <c r="J7659" t="s">
        <v>34892</v>
      </c>
      <c r="K7659" t="s">
        <v>39025</v>
      </c>
      <c r="M7659" t="s">
        <v>39412</v>
      </c>
      <c r="N7659" t="s">
        <v>43166</v>
      </c>
      <c r="O7659" t="s">
        <v>43167</v>
      </c>
      <c r="P7659">
        <v>0</v>
      </c>
      <c r="Q7659">
        <v>17</v>
      </c>
      <c r="R7659" t="s">
        <v>43173</v>
      </c>
      <c r="S7659" t="s">
        <v>43374</v>
      </c>
      <c r="T7659" t="s">
        <v>44717</v>
      </c>
      <c r="U7659" t="s">
        <v>51400</v>
      </c>
      <c r="W7659" t="s">
        <v>39412</v>
      </c>
      <c r="X7659" t="s">
        <v>43174</v>
      </c>
    </row>
    <row r="7660" spans="1:24">
      <c r="A7660">
        <f>HYPERLINK("https://www.philgeps.gov.ph/GEPSNONPILOT/Tender/SplashBidNoticeAbstractUI.aspx?menuIndex=3&amp;refID=7078400&amp;Result=3","7078400")</f>
        <v>0</v>
      </c>
      <c r="B7660" t="s">
        <v>1181</v>
      </c>
      <c r="C7660" t="s">
        <v>10706</v>
      </c>
      <c r="D7660" t="s">
        <v>17444</v>
      </c>
      <c r="E7660" t="s">
        <v>24123</v>
      </c>
      <c r="F7660" t="s">
        <v>30052</v>
      </c>
      <c r="G7660" t="s">
        <v>30061</v>
      </c>
      <c r="H7660" t="s">
        <v>15498</v>
      </c>
      <c r="I7660" t="s">
        <v>30070</v>
      </c>
      <c r="J7660" t="s">
        <v>34893</v>
      </c>
      <c r="K7660" t="s">
        <v>39025</v>
      </c>
      <c r="M7660" t="s">
        <v>40531</v>
      </c>
      <c r="N7660" t="s">
        <v>43166</v>
      </c>
      <c r="O7660" t="s">
        <v>43167</v>
      </c>
      <c r="P7660">
        <v>0</v>
      </c>
      <c r="Q7660">
        <v>2</v>
      </c>
      <c r="R7660" t="s">
        <v>43173</v>
      </c>
      <c r="S7660" t="s">
        <v>43374</v>
      </c>
      <c r="T7660" t="s">
        <v>44870</v>
      </c>
      <c r="U7660" t="s">
        <v>51401</v>
      </c>
      <c r="W7660" t="s">
        <v>40531</v>
      </c>
      <c r="X7660" t="s">
        <v>43174</v>
      </c>
    </row>
    <row r="7661" spans="1:24">
      <c r="A7661">
        <f>HYPERLINK("https://www.philgeps.gov.ph/GEPSNONPILOT/Tender/SplashBidNoticeAbstractUI.aspx?menuIndex=3&amp;refID=7078459&amp;Result=3","7078459")</f>
        <v>0</v>
      </c>
      <c r="B7661" t="s">
        <v>74</v>
      </c>
      <c r="C7661" t="s">
        <v>10707</v>
      </c>
      <c r="E7661" t="s">
        <v>24124</v>
      </c>
      <c r="F7661" t="s">
        <v>30052</v>
      </c>
      <c r="G7661" t="s">
        <v>30058</v>
      </c>
      <c r="H7661" t="s">
        <v>15498</v>
      </c>
      <c r="I7661" t="s">
        <v>9238</v>
      </c>
      <c r="J7661" t="s">
        <v>33834</v>
      </c>
      <c r="K7661" t="s">
        <v>39025</v>
      </c>
      <c r="M7661" t="s">
        <v>39363</v>
      </c>
      <c r="N7661" t="s">
        <v>43166</v>
      </c>
      <c r="O7661" t="s">
        <v>43167</v>
      </c>
      <c r="Q7661">
        <v>5</v>
      </c>
      <c r="R7661" t="s">
        <v>43173</v>
      </c>
      <c r="S7661" t="s">
        <v>43394</v>
      </c>
      <c r="T7661" t="s">
        <v>44826</v>
      </c>
      <c r="U7661" t="s">
        <v>51402</v>
      </c>
      <c r="W7661" t="s">
        <v>39363</v>
      </c>
      <c r="X7661" t="s">
        <v>43174</v>
      </c>
    </row>
    <row r="7662" spans="1:24">
      <c r="A7662">
        <f>HYPERLINK("https://www.philgeps.gov.ph/GEPSNONPILOT/Tender/SplashBidNoticeAbstractUI.aspx?menuIndex=3&amp;refID=7078396&amp;Result=3","7078396")</f>
        <v>0</v>
      </c>
      <c r="B7662" t="s">
        <v>2336</v>
      </c>
      <c r="C7662" t="s">
        <v>10576</v>
      </c>
      <c r="D7662" t="s">
        <v>17465</v>
      </c>
      <c r="E7662" t="s">
        <v>24013</v>
      </c>
      <c r="F7662" t="s">
        <v>30052</v>
      </c>
      <c r="G7662" t="s">
        <v>30061</v>
      </c>
      <c r="H7662" t="s">
        <v>15498</v>
      </c>
      <c r="I7662" t="s">
        <v>4650</v>
      </c>
      <c r="J7662" t="s">
        <v>30762</v>
      </c>
      <c r="K7662" t="s">
        <v>39036</v>
      </c>
      <c r="M7662" t="s">
        <v>41824</v>
      </c>
      <c r="N7662" t="s">
        <v>43166</v>
      </c>
      <c r="O7662" t="s">
        <v>43167</v>
      </c>
      <c r="P7662">
        <v>0</v>
      </c>
      <c r="Q7662">
        <v>4</v>
      </c>
      <c r="R7662" t="s">
        <v>43173</v>
      </c>
      <c r="S7662" t="s">
        <v>43374</v>
      </c>
      <c r="T7662" t="s">
        <v>44715</v>
      </c>
      <c r="U7662" t="s">
        <v>51403</v>
      </c>
      <c r="W7662" t="s">
        <v>41824</v>
      </c>
      <c r="X7662" t="s">
        <v>43174</v>
      </c>
    </row>
    <row r="7663" spans="1:24">
      <c r="A7663">
        <f>HYPERLINK("https://www.philgeps.gov.ph/GEPSNONPILOT/Tender/SplashBidNoticeAbstractUI.aspx?menuIndex=3&amp;refID=7078464&amp;Result=3","7078464")</f>
        <v>0</v>
      </c>
      <c r="B7663" t="s">
        <v>665</v>
      </c>
      <c r="C7663" t="s">
        <v>10708</v>
      </c>
      <c r="D7663" t="s">
        <v>17432</v>
      </c>
      <c r="E7663" t="s">
        <v>24125</v>
      </c>
      <c r="F7663" t="s">
        <v>30052</v>
      </c>
      <c r="G7663" t="s">
        <v>30058</v>
      </c>
      <c r="H7663" t="s">
        <v>15498</v>
      </c>
      <c r="I7663" t="s">
        <v>30073</v>
      </c>
      <c r="J7663" t="s">
        <v>34894</v>
      </c>
      <c r="K7663" t="s">
        <v>39025</v>
      </c>
      <c r="M7663" t="s">
        <v>39971</v>
      </c>
      <c r="N7663" t="s">
        <v>43166</v>
      </c>
      <c r="O7663" t="s">
        <v>43167</v>
      </c>
      <c r="P7663">
        <v>0</v>
      </c>
      <c r="Q7663">
        <v>1</v>
      </c>
      <c r="R7663" t="s">
        <v>43173</v>
      </c>
      <c r="S7663" t="s">
        <v>43374</v>
      </c>
      <c r="T7663" t="s">
        <v>45048</v>
      </c>
      <c r="U7663" t="s">
        <v>51404</v>
      </c>
      <c r="W7663" t="s">
        <v>39971</v>
      </c>
      <c r="X7663" t="s">
        <v>43174</v>
      </c>
    </row>
    <row r="7664" spans="1:24">
      <c r="A7664">
        <f>HYPERLINK("https://www.philgeps.gov.ph/GEPSNONPILOT/Tender/SplashBidNoticeAbstractUI.aspx?menuIndex=3&amp;refID=7078444&amp;Result=3","7078444")</f>
        <v>0</v>
      </c>
      <c r="B7664" t="s">
        <v>2116</v>
      </c>
      <c r="C7664" t="s">
        <v>10709</v>
      </c>
      <c r="E7664" t="s">
        <v>23255</v>
      </c>
      <c r="F7664" t="s">
        <v>30052</v>
      </c>
      <c r="G7664" t="s">
        <v>30058</v>
      </c>
      <c r="H7664" t="s">
        <v>15498</v>
      </c>
      <c r="I7664" t="s">
        <v>30076</v>
      </c>
      <c r="J7664" t="s">
        <v>34895</v>
      </c>
      <c r="K7664" t="s">
        <v>39025</v>
      </c>
      <c r="M7664" t="s">
        <v>41578</v>
      </c>
      <c r="N7664" t="s">
        <v>43166</v>
      </c>
      <c r="O7664" t="s">
        <v>43167</v>
      </c>
      <c r="P7664">
        <v>0</v>
      </c>
      <c r="Q7664">
        <v>0</v>
      </c>
      <c r="R7664" t="s">
        <v>43173</v>
      </c>
      <c r="S7664" t="s">
        <v>43374</v>
      </c>
      <c r="T7664" t="s">
        <v>44679</v>
      </c>
      <c r="U7664" t="s">
        <v>51405</v>
      </c>
      <c r="W7664" t="s">
        <v>41578</v>
      </c>
      <c r="X7664" t="s">
        <v>43174</v>
      </c>
    </row>
    <row r="7665" spans="1:24">
      <c r="A7665">
        <f>HYPERLINK("https://www.philgeps.gov.ph/GEPSNONPILOT/Tender/SplashBidNoticeAbstractUI.aspx?menuIndex=3&amp;refID=7078463&amp;Result=3","7078463")</f>
        <v>0</v>
      </c>
      <c r="B7665" t="s">
        <v>2160</v>
      </c>
      <c r="C7665" t="s">
        <v>10710</v>
      </c>
      <c r="D7665" t="s">
        <v>17496</v>
      </c>
      <c r="E7665" t="s">
        <v>24126</v>
      </c>
      <c r="F7665" t="s">
        <v>30052</v>
      </c>
      <c r="G7665" t="s">
        <v>30058</v>
      </c>
      <c r="H7665" t="s">
        <v>30067</v>
      </c>
      <c r="I7665" t="s">
        <v>3693</v>
      </c>
      <c r="J7665" t="s">
        <v>34896</v>
      </c>
      <c r="K7665" t="s">
        <v>39065</v>
      </c>
      <c r="M7665" t="s">
        <v>41627</v>
      </c>
      <c r="N7665" t="s">
        <v>43166</v>
      </c>
      <c r="O7665" t="s">
        <v>43167</v>
      </c>
      <c r="P7665">
        <v>0</v>
      </c>
      <c r="Q7665">
        <v>0</v>
      </c>
      <c r="R7665" t="s">
        <v>43173</v>
      </c>
      <c r="S7665" t="s">
        <v>43374</v>
      </c>
      <c r="T7665" t="s">
        <v>44916</v>
      </c>
      <c r="U7665" t="s">
        <v>50694</v>
      </c>
      <c r="W7665" t="s">
        <v>41627</v>
      </c>
      <c r="X7665" t="s">
        <v>43174</v>
      </c>
    </row>
    <row r="7666" spans="1:24">
      <c r="A7666">
        <f>HYPERLINK("https://www.philgeps.gov.ph/GEPSNONPILOT/Tender/SplashBidNoticeAbstractUI.aspx?menuIndex=3&amp;refID=7078423&amp;Result=3","7078423")</f>
        <v>0</v>
      </c>
      <c r="B7666" t="s">
        <v>2372</v>
      </c>
      <c r="C7666" t="s">
        <v>10711</v>
      </c>
      <c r="D7666" t="s">
        <v>17467</v>
      </c>
      <c r="E7666" t="s">
        <v>24127</v>
      </c>
      <c r="F7666" t="s">
        <v>30052</v>
      </c>
      <c r="G7666" t="s">
        <v>30061</v>
      </c>
      <c r="H7666" t="s">
        <v>15498</v>
      </c>
      <c r="I7666" t="s">
        <v>30084</v>
      </c>
      <c r="J7666" t="s">
        <v>34897</v>
      </c>
      <c r="K7666" t="s">
        <v>39019</v>
      </c>
      <c r="M7666" t="s">
        <v>41867</v>
      </c>
      <c r="N7666" t="s">
        <v>43166</v>
      </c>
      <c r="O7666" t="s">
        <v>43167</v>
      </c>
      <c r="P7666">
        <v>0</v>
      </c>
      <c r="Q7666">
        <v>4</v>
      </c>
      <c r="R7666" t="s">
        <v>43173</v>
      </c>
      <c r="S7666" t="s">
        <v>43374</v>
      </c>
      <c r="T7666" t="s">
        <v>44777</v>
      </c>
      <c r="U7666" t="s">
        <v>51406</v>
      </c>
      <c r="W7666" t="s">
        <v>41867</v>
      </c>
      <c r="X7666" t="s">
        <v>43174</v>
      </c>
    </row>
    <row r="7667" spans="1:24">
      <c r="A7667">
        <f>HYPERLINK("https://www.philgeps.gov.ph/GEPSNONPILOT/Tender/SplashBidNoticeAbstractUI.aspx?menuIndex=3&amp;refID=7078435&amp;Result=3","7078435")</f>
        <v>0</v>
      </c>
      <c r="B7667" t="s">
        <v>502</v>
      </c>
      <c r="C7667" t="s">
        <v>10712</v>
      </c>
      <c r="D7667" t="s">
        <v>17445</v>
      </c>
      <c r="E7667" t="s">
        <v>24128</v>
      </c>
      <c r="F7667" t="s">
        <v>30052</v>
      </c>
      <c r="G7667" t="s">
        <v>30058</v>
      </c>
      <c r="H7667" t="s">
        <v>30067</v>
      </c>
      <c r="I7667" t="s">
        <v>3693</v>
      </c>
      <c r="J7667" t="s">
        <v>30212</v>
      </c>
      <c r="K7667" t="s">
        <v>39016</v>
      </c>
      <c r="M7667" t="s">
        <v>39803</v>
      </c>
      <c r="N7667" t="s">
        <v>43166</v>
      </c>
      <c r="O7667" t="s">
        <v>43167</v>
      </c>
      <c r="P7667">
        <v>0</v>
      </c>
      <c r="Q7667">
        <v>2</v>
      </c>
      <c r="R7667" t="s">
        <v>43173</v>
      </c>
      <c r="S7667" t="s">
        <v>43374</v>
      </c>
      <c r="T7667" t="s">
        <v>44722</v>
      </c>
      <c r="U7667" t="s">
        <v>51407</v>
      </c>
      <c r="W7667" t="s">
        <v>39803</v>
      </c>
      <c r="X7667" t="s">
        <v>43174</v>
      </c>
    </row>
    <row r="7668" spans="1:24">
      <c r="A7668">
        <f>HYPERLINK("https://www.philgeps.gov.ph/GEPSNONPILOT/Tender/SplashBidNoticeAbstractUI.aspx?menuIndex=3&amp;refID=7078416&amp;Result=3","7078416")</f>
        <v>0</v>
      </c>
      <c r="B7668" t="s">
        <v>2368</v>
      </c>
      <c r="C7668" t="s">
        <v>10713</v>
      </c>
      <c r="D7668" t="s">
        <v>17466</v>
      </c>
      <c r="E7668" t="s">
        <v>24129</v>
      </c>
      <c r="F7668" t="s">
        <v>30052</v>
      </c>
      <c r="G7668" t="s">
        <v>30059</v>
      </c>
      <c r="H7668" t="s">
        <v>15498</v>
      </c>
      <c r="I7668" t="s">
        <v>30070</v>
      </c>
      <c r="J7668" t="s">
        <v>34898</v>
      </c>
      <c r="K7668" t="s">
        <v>39039</v>
      </c>
      <c r="M7668" t="s">
        <v>41863</v>
      </c>
      <c r="N7668" t="s">
        <v>43166</v>
      </c>
      <c r="O7668" t="s">
        <v>43167</v>
      </c>
      <c r="P7668">
        <v>0</v>
      </c>
      <c r="Q7668">
        <v>0</v>
      </c>
      <c r="R7668" t="s">
        <v>43173</v>
      </c>
      <c r="S7668" t="s">
        <v>43374</v>
      </c>
      <c r="T7668" t="s">
        <v>44841</v>
      </c>
      <c r="U7668" t="s">
        <v>45564</v>
      </c>
      <c r="W7668" t="s">
        <v>41863</v>
      </c>
      <c r="X7668" t="s">
        <v>43174</v>
      </c>
    </row>
    <row r="7669" spans="1:24">
      <c r="A7669">
        <f>HYPERLINK("https://www.philgeps.gov.ph/GEPSNONPILOT/Tender/SplashBidNoticeAbstractUI.aspx?menuIndex=3&amp;refID=7078455&amp;Result=3","7078455")</f>
        <v>0</v>
      </c>
      <c r="B7669" t="s">
        <v>2373</v>
      </c>
      <c r="C7669" t="s">
        <v>10714</v>
      </c>
      <c r="D7669" t="s">
        <v>17415</v>
      </c>
      <c r="E7669" t="s">
        <v>24130</v>
      </c>
      <c r="F7669" t="s">
        <v>30052</v>
      </c>
      <c r="G7669" t="s">
        <v>30061</v>
      </c>
      <c r="H7669" t="s">
        <v>30069</v>
      </c>
      <c r="I7669" t="s">
        <v>12885</v>
      </c>
      <c r="J7669" t="s">
        <v>31290</v>
      </c>
      <c r="K7669" t="s">
        <v>39067</v>
      </c>
      <c r="M7669" t="s">
        <v>41868</v>
      </c>
      <c r="N7669" t="s">
        <v>43166</v>
      </c>
      <c r="O7669" t="s">
        <v>43167</v>
      </c>
      <c r="P7669">
        <v>0</v>
      </c>
      <c r="Q7669">
        <v>6</v>
      </c>
      <c r="R7669" t="s">
        <v>43173</v>
      </c>
      <c r="S7669" t="s">
        <v>43374</v>
      </c>
      <c r="T7669" t="s">
        <v>44735</v>
      </c>
      <c r="U7669" t="s">
        <v>51408</v>
      </c>
      <c r="V7669" t="s">
        <v>57636</v>
      </c>
      <c r="W7669" t="s">
        <v>41868</v>
      </c>
      <c r="X7669" t="s">
        <v>43174</v>
      </c>
    </row>
    <row r="7670" spans="1:24">
      <c r="A7670">
        <f>HYPERLINK("https://www.philgeps.gov.ph/GEPSNONPILOT/Tender/SplashBidNoticeAbstractUI.aspx?menuIndex=3&amp;refID=7078454&amp;Result=3","7078454")</f>
        <v>0</v>
      </c>
      <c r="B7670" t="s">
        <v>2116</v>
      </c>
      <c r="C7670" t="s">
        <v>10715</v>
      </c>
      <c r="E7670" t="s">
        <v>23255</v>
      </c>
      <c r="F7670" t="s">
        <v>30052</v>
      </c>
      <c r="G7670" t="s">
        <v>30058</v>
      </c>
      <c r="H7670" t="s">
        <v>15498</v>
      </c>
      <c r="I7670" t="s">
        <v>3736</v>
      </c>
      <c r="J7670" t="s">
        <v>34899</v>
      </c>
      <c r="K7670" t="s">
        <v>39025</v>
      </c>
      <c r="M7670" t="s">
        <v>41578</v>
      </c>
      <c r="N7670" t="s">
        <v>43166</v>
      </c>
      <c r="O7670" t="s">
        <v>43167</v>
      </c>
      <c r="P7670">
        <v>0</v>
      </c>
      <c r="Q7670">
        <v>0</v>
      </c>
      <c r="R7670" t="s">
        <v>43173</v>
      </c>
      <c r="S7670" t="s">
        <v>43374</v>
      </c>
      <c r="T7670" t="s">
        <v>44679</v>
      </c>
      <c r="U7670" t="s">
        <v>51405</v>
      </c>
      <c r="W7670" t="s">
        <v>41578</v>
      </c>
      <c r="X7670" t="s">
        <v>43174</v>
      </c>
    </row>
    <row r="7671" spans="1:24">
      <c r="A7671">
        <f>HYPERLINK("https://www.philgeps.gov.ph/GEPSNONPILOT/Tender/SplashBidNoticeAbstractUI.aspx?menuIndex=3&amp;refID=7078470&amp;Result=3","7078470")</f>
        <v>0</v>
      </c>
      <c r="B7671" t="s">
        <v>2160</v>
      </c>
      <c r="C7671" t="s">
        <v>10716</v>
      </c>
      <c r="D7671" t="s">
        <v>17496</v>
      </c>
      <c r="E7671" t="s">
        <v>22731</v>
      </c>
      <c r="F7671" t="s">
        <v>30052</v>
      </c>
      <c r="G7671" t="s">
        <v>30058</v>
      </c>
      <c r="H7671" t="s">
        <v>15498</v>
      </c>
      <c r="I7671" t="s">
        <v>30074</v>
      </c>
      <c r="J7671" t="s">
        <v>30281</v>
      </c>
      <c r="K7671" t="s">
        <v>39029</v>
      </c>
      <c r="M7671" t="s">
        <v>41627</v>
      </c>
      <c r="N7671" t="s">
        <v>43166</v>
      </c>
      <c r="O7671" t="s">
        <v>43167</v>
      </c>
      <c r="P7671">
        <v>0</v>
      </c>
      <c r="Q7671">
        <v>3</v>
      </c>
      <c r="R7671" t="s">
        <v>43173</v>
      </c>
      <c r="S7671" t="s">
        <v>43374</v>
      </c>
      <c r="T7671" t="s">
        <v>44916</v>
      </c>
      <c r="U7671" t="s">
        <v>50694</v>
      </c>
      <c r="W7671" t="s">
        <v>41627</v>
      </c>
      <c r="X7671" t="s">
        <v>43174</v>
      </c>
    </row>
    <row r="7672" spans="1:24">
      <c r="A7672">
        <f>HYPERLINK("https://www.philgeps.gov.ph/GEPSNONPILOT/Tender/SplashBidNoticeAbstractUI.aspx?menuIndex=3&amp;refID=7078453&amp;Result=3","7078453")</f>
        <v>0</v>
      </c>
      <c r="B7672" t="s">
        <v>2374</v>
      </c>
      <c r="C7672" t="s">
        <v>10717</v>
      </c>
      <c r="D7672" t="s">
        <v>17471</v>
      </c>
      <c r="E7672" t="s">
        <v>18583</v>
      </c>
      <c r="F7672" t="s">
        <v>30052</v>
      </c>
      <c r="G7672" t="s">
        <v>30058</v>
      </c>
      <c r="H7672" t="s">
        <v>30067</v>
      </c>
      <c r="I7672" t="s">
        <v>30082</v>
      </c>
      <c r="J7672" t="s">
        <v>34900</v>
      </c>
      <c r="K7672" t="s">
        <v>39031</v>
      </c>
      <c r="M7672" t="s">
        <v>41869</v>
      </c>
      <c r="N7672" t="s">
        <v>43166</v>
      </c>
      <c r="O7672" t="s">
        <v>43167</v>
      </c>
      <c r="P7672">
        <v>0</v>
      </c>
      <c r="Q7672">
        <v>1</v>
      </c>
      <c r="R7672" t="s">
        <v>43173</v>
      </c>
      <c r="S7672" t="s">
        <v>43374</v>
      </c>
      <c r="T7672" t="s">
        <v>44725</v>
      </c>
      <c r="U7672" t="s">
        <v>51409</v>
      </c>
      <c r="W7672" t="s">
        <v>41869</v>
      </c>
      <c r="X7672" t="s">
        <v>43174</v>
      </c>
    </row>
    <row r="7673" spans="1:24">
      <c r="A7673">
        <f>HYPERLINK("https://www.philgeps.gov.ph/GEPSNONPILOT/Tender/SplashBidNoticeAbstractUI.aspx?menuIndex=3&amp;refID=7078452&amp;Result=3","7078452")</f>
        <v>0</v>
      </c>
      <c r="B7673" t="s">
        <v>123</v>
      </c>
      <c r="C7673" t="s">
        <v>10718</v>
      </c>
      <c r="D7673" t="s">
        <v>17458</v>
      </c>
      <c r="E7673" t="s">
        <v>24131</v>
      </c>
      <c r="F7673" t="s">
        <v>30052</v>
      </c>
      <c r="G7673" t="s">
        <v>30059</v>
      </c>
      <c r="H7673" t="s">
        <v>15498</v>
      </c>
      <c r="I7673" t="s">
        <v>30070</v>
      </c>
      <c r="J7673" t="s">
        <v>34901</v>
      </c>
      <c r="K7673" t="s">
        <v>39025</v>
      </c>
      <c r="M7673" t="s">
        <v>39412</v>
      </c>
      <c r="N7673" t="s">
        <v>43166</v>
      </c>
      <c r="O7673" t="s">
        <v>43167</v>
      </c>
      <c r="P7673">
        <v>0</v>
      </c>
      <c r="Q7673">
        <v>2</v>
      </c>
      <c r="R7673" t="s">
        <v>43173</v>
      </c>
      <c r="S7673" t="s">
        <v>43374</v>
      </c>
      <c r="T7673" t="s">
        <v>44717</v>
      </c>
      <c r="U7673" t="s">
        <v>51410</v>
      </c>
      <c r="W7673" t="s">
        <v>39412</v>
      </c>
      <c r="X7673" t="s">
        <v>43174</v>
      </c>
    </row>
    <row r="7674" spans="1:24">
      <c r="A7674">
        <f>HYPERLINK("https://www.philgeps.gov.ph/GEPSNONPILOT/Tender/SplashBidNoticeAbstractUI.aspx?menuIndex=3&amp;refID=7078449&amp;Result=3","7078449")</f>
        <v>0</v>
      </c>
      <c r="B7674" t="s">
        <v>1313</v>
      </c>
      <c r="C7674" t="s">
        <v>10719</v>
      </c>
      <c r="D7674" t="s">
        <v>17415</v>
      </c>
      <c r="E7674" t="s">
        <v>24132</v>
      </c>
      <c r="F7674" t="s">
        <v>30052</v>
      </c>
      <c r="G7674" t="s">
        <v>30059</v>
      </c>
      <c r="H7674" t="s">
        <v>15498</v>
      </c>
      <c r="I7674" t="s">
        <v>7228</v>
      </c>
      <c r="J7674" t="s">
        <v>34902</v>
      </c>
      <c r="K7674" t="s">
        <v>39017</v>
      </c>
      <c r="M7674" t="s">
        <v>41830</v>
      </c>
      <c r="N7674" t="s">
        <v>43166</v>
      </c>
      <c r="O7674" t="s">
        <v>43167</v>
      </c>
      <c r="P7674">
        <v>0</v>
      </c>
      <c r="Q7674">
        <v>1</v>
      </c>
      <c r="R7674" t="s">
        <v>43173</v>
      </c>
      <c r="S7674" t="s">
        <v>43374</v>
      </c>
      <c r="T7674" t="s">
        <v>44717</v>
      </c>
      <c r="U7674" t="s">
        <v>48116</v>
      </c>
      <c r="W7674" t="s">
        <v>41830</v>
      </c>
      <c r="X7674" t="s">
        <v>43174</v>
      </c>
    </row>
    <row r="7675" spans="1:24">
      <c r="A7675">
        <f>HYPERLINK("https://www.philgeps.gov.ph/GEPSNONPILOT/Tender/SplashBidNoticeAbstractUI.aspx?menuIndex=3&amp;refID=7078448&amp;Result=3","7078448")</f>
        <v>0</v>
      </c>
      <c r="B7675" t="s">
        <v>2370</v>
      </c>
      <c r="C7675" t="s">
        <v>10720</v>
      </c>
      <c r="D7675" t="s">
        <v>17421</v>
      </c>
      <c r="E7675" t="s">
        <v>24133</v>
      </c>
      <c r="F7675" t="s">
        <v>30052</v>
      </c>
      <c r="G7675" t="s">
        <v>30058</v>
      </c>
      <c r="H7675" t="s">
        <v>15498</v>
      </c>
      <c r="I7675" t="s">
        <v>4650</v>
      </c>
      <c r="J7675" t="s">
        <v>32746</v>
      </c>
      <c r="K7675" t="s">
        <v>39029</v>
      </c>
      <c r="M7675" t="s">
        <v>41865</v>
      </c>
      <c r="N7675" t="s">
        <v>43166</v>
      </c>
      <c r="O7675" t="s">
        <v>43167</v>
      </c>
      <c r="P7675">
        <v>0</v>
      </c>
      <c r="Q7675">
        <v>1</v>
      </c>
      <c r="R7675" t="s">
        <v>43173</v>
      </c>
      <c r="S7675" t="s">
        <v>43374</v>
      </c>
      <c r="T7675" t="s">
        <v>44692</v>
      </c>
      <c r="U7675" t="s">
        <v>51411</v>
      </c>
      <c r="W7675" t="s">
        <v>41865</v>
      </c>
      <c r="X7675" t="s">
        <v>43174</v>
      </c>
    </row>
    <row r="7676" spans="1:24">
      <c r="A7676">
        <f>HYPERLINK("https://www.philgeps.gov.ph/GEPSNONPILOT/Tender/SplashBidNoticeAbstractUI.aspx?menuIndex=3&amp;refID=7078446&amp;Result=3","7078446")</f>
        <v>0</v>
      </c>
      <c r="B7676" t="s">
        <v>123</v>
      </c>
      <c r="C7676" t="s">
        <v>10721</v>
      </c>
      <c r="D7676" t="s">
        <v>17458</v>
      </c>
      <c r="E7676" t="s">
        <v>21486</v>
      </c>
      <c r="F7676" t="s">
        <v>30052</v>
      </c>
      <c r="G7676" t="s">
        <v>30062</v>
      </c>
      <c r="H7676" t="s">
        <v>15498</v>
      </c>
      <c r="I7676" t="s">
        <v>30070</v>
      </c>
      <c r="J7676" t="s">
        <v>34903</v>
      </c>
      <c r="K7676" t="s">
        <v>39025</v>
      </c>
      <c r="M7676" t="s">
        <v>39412</v>
      </c>
      <c r="N7676" t="s">
        <v>43166</v>
      </c>
      <c r="O7676" t="s">
        <v>43167</v>
      </c>
      <c r="P7676">
        <v>0</v>
      </c>
      <c r="Q7676">
        <v>3</v>
      </c>
      <c r="R7676" t="s">
        <v>43173</v>
      </c>
      <c r="S7676" t="s">
        <v>43374</v>
      </c>
      <c r="T7676" t="s">
        <v>44717</v>
      </c>
      <c r="U7676" t="s">
        <v>51412</v>
      </c>
      <c r="W7676" t="s">
        <v>39412</v>
      </c>
      <c r="X7676" t="s">
        <v>43174</v>
      </c>
    </row>
    <row r="7677" spans="1:24">
      <c r="A7677">
        <f>HYPERLINK("https://www.philgeps.gov.ph/GEPSNONPILOT/Tender/SplashBidNoticeAbstractUI.aspx?menuIndex=3&amp;refID=7078445&amp;Result=3","7078445")</f>
        <v>0</v>
      </c>
      <c r="B7677" t="s">
        <v>2375</v>
      </c>
      <c r="C7677" t="s">
        <v>10722</v>
      </c>
      <c r="D7677" t="s">
        <v>17462</v>
      </c>
      <c r="E7677" t="s">
        <v>17799</v>
      </c>
      <c r="F7677" t="s">
        <v>30052</v>
      </c>
      <c r="G7677" t="s">
        <v>30059</v>
      </c>
      <c r="H7677" t="s">
        <v>30069</v>
      </c>
      <c r="I7677" t="s">
        <v>6304</v>
      </c>
      <c r="J7677" t="s">
        <v>34904</v>
      </c>
      <c r="K7677" t="s">
        <v>39048</v>
      </c>
      <c r="M7677" t="s">
        <v>41870</v>
      </c>
      <c r="N7677" t="s">
        <v>43166</v>
      </c>
      <c r="O7677" t="s">
        <v>43167</v>
      </c>
      <c r="P7677">
        <v>0</v>
      </c>
      <c r="Q7677">
        <v>4</v>
      </c>
      <c r="R7677" t="s">
        <v>43173</v>
      </c>
      <c r="S7677" t="s">
        <v>43374</v>
      </c>
      <c r="T7677" t="s">
        <v>44788</v>
      </c>
      <c r="U7677" t="s">
        <v>51413</v>
      </c>
      <c r="W7677" t="s">
        <v>41870</v>
      </c>
      <c r="X7677" t="s">
        <v>43174</v>
      </c>
    </row>
    <row r="7678" spans="1:24">
      <c r="A7678">
        <f>HYPERLINK("https://www.philgeps.gov.ph/GEPSNONPILOT/Tender/SplashBidNoticeAbstractUI.aspx?menuIndex=3&amp;refID=7078457&amp;Result=3","7078457")</f>
        <v>0</v>
      </c>
      <c r="B7678" t="s">
        <v>1313</v>
      </c>
      <c r="C7678" t="s">
        <v>10723</v>
      </c>
      <c r="D7678" t="s">
        <v>17415</v>
      </c>
      <c r="E7678" t="s">
        <v>24134</v>
      </c>
      <c r="F7678" t="s">
        <v>30052</v>
      </c>
      <c r="G7678" t="s">
        <v>30059</v>
      </c>
      <c r="H7678" t="s">
        <v>15498</v>
      </c>
      <c r="I7678" t="s">
        <v>30081</v>
      </c>
      <c r="J7678" t="s">
        <v>34905</v>
      </c>
      <c r="K7678" t="s">
        <v>39017</v>
      </c>
      <c r="M7678" t="s">
        <v>41830</v>
      </c>
      <c r="N7678" t="s">
        <v>43166</v>
      </c>
      <c r="O7678" t="s">
        <v>43167</v>
      </c>
      <c r="P7678">
        <v>0</v>
      </c>
      <c r="Q7678">
        <v>0</v>
      </c>
      <c r="R7678" t="s">
        <v>43173</v>
      </c>
      <c r="S7678" t="s">
        <v>43374</v>
      </c>
      <c r="T7678" t="s">
        <v>44717</v>
      </c>
      <c r="U7678" t="s">
        <v>48093</v>
      </c>
      <c r="W7678" t="s">
        <v>41830</v>
      </c>
      <c r="X7678" t="s">
        <v>43174</v>
      </c>
    </row>
    <row r="7679" spans="1:24">
      <c r="A7679">
        <f>HYPERLINK("https://www.philgeps.gov.ph/GEPSNONPILOT/Tender/SplashBidNoticeAbstractUI.aspx?menuIndex=3&amp;refID=7078447&amp;Result=3","7078447")</f>
        <v>0</v>
      </c>
      <c r="B7679" t="s">
        <v>2160</v>
      </c>
      <c r="C7679" t="s">
        <v>10724</v>
      </c>
      <c r="D7679" t="s">
        <v>17496</v>
      </c>
      <c r="E7679" t="s">
        <v>24135</v>
      </c>
      <c r="F7679" t="s">
        <v>30052</v>
      </c>
      <c r="G7679" t="s">
        <v>30058</v>
      </c>
      <c r="H7679" t="s">
        <v>15498</v>
      </c>
      <c r="I7679" t="s">
        <v>3736</v>
      </c>
      <c r="J7679" t="s">
        <v>34906</v>
      </c>
      <c r="K7679" t="s">
        <v>39029</v>
      </c>
      <c r="M7679" t="s">
        <v>41627</v>
      </c>
      <c r="N7679" t="s">
        <v>43166</v>
      </c>
      <c r="O7679" t="s">
        <v>43167</v>
      </c>
      <c r="P7679">
        <v>0</v>
      </c>
      <c r="Q7679">
        <v>0</v>
      </c>
      <c r="R7679" t="s">
        <v>43173</v>
      </c>
      <c r="S7679" t="s">
        <v>43374</v>
      </c>
      <c r="T7679" t="s">
        <v>44916</v>
      </c>
      <c r="U7679" t="s">
        <v>50694</v>
      </c>
      <c r="W7679" t="s">
        <v>41627</v>
      </c>
      <c r="X7679" t="s">
        <v>43174</v>
      </c>
    </row>
    <row r="7680" spans="1:24">
      <c r="A7680">
        <f>HYPERLINK("https://www.philgeps.gov.ph/GEPSNONPILOT/Tender/SplashBidNoticeAbstractUI.aspx?menuIndex=3&amp;refID=7078510&amp;Result=3","7078510")</f>
        <v>0</v>
      </c>
      <c r="B7680" t="s">
        <v>2208</v>
      </c>
      <c r="C7680" t="s">
        <v>10725</v>
      </c>
      <c r="D7680" t="s">
        <v>17466</v>
      </c>
      <c r="E7680" t="s">
        <v>24136</v>
      </c>
      <c r="F7680" t="s">
        <v>30052</v>
      </c>
      <c r="G7680" t="s">
        <v>30058</v>
      </c>
      <c r="H7680" t="s">
        <v>15498</v>
      </c>
      <c r="I7680" t="s">
        <v>30094</v>
      </c>
      <c r="J7680" t="s">
        <v>34907</v>
      </c>
      <c r="K7680" t="s">
        <v>39029</v>
      </c>
      <c r="M7680" t="s">
        <v>41677</v>
      </c>
      <c r="N7680" t="s">
        <v>43166</v>
      </c>
      <c r="O7680" t="s">
        <v>43167</v>
      </c>
      <c r="P7680">
        <v>0</v>
      </c>
      <c r="Q7680">
        <v>1</v>
      </c>
      <c r="R7680" t="s">
        <v>43173</v>
      </c>
      <c r="S7680" t="s">
        <v>43374</v>
      </c>
      <c r="T7680" t="s">
        <v>44832</v>
      </c>
      <c r="U7680" t="s">
        <v>51414</v>
      </c>
      <c r="W7680" t="s">
        <v>41677</v>
      </c>
      <c r="X7680" t="s">
        <v>43174</v>
      </c>
    </row>
    <row r="7681" spans="1:24">
      <c r="A7681">
        <f>HYPERLINK("https://www.philgeps.gov.ph/GEPSNONPILOT/Tender/SplashBidNoticeAbstractUI.aspx?menuIndex=3&amp;refID=7078478&amp;Result=3","7078478")</f>
        <v>0</v>
      </c>
      <c r="B7681" t="s">
        <v>908</v>
      </c>
      <c r="C7681" t="s">
        <v>10726</v>
      </c>
      <c r="E7681" t="s">
        <v>20553</v>
      </c>
      <c r="F7681" t="s">
        <v>30052</v>
      </c>
      <c r="G7681" t="s">
        <v>30062</v>
      </c>
      <c r="H7681" t="s">
        <v>15498</v>
      </c>
      <c r="I7681" t="s">
        <v>30076</v>
      </c>
      <c r="J7681" t="s">
        <v>31003</v>
      </c>
      <c r="K7681" t="s">
        <v>39034</v>
      </c>
      <c r="M7681" t="s">
        <v>40230</v>
      </c>
      <c r="N7681" t="s">
        <v>43166</v>
      </c>
      <c r="O7681" t="s">
        <v>43167</v>
      </c>
      <c r="P7681">
        <v>0</v>
      </c>
      <c r="Q7681">
        <v>17</v>
      </c>
      <c r="R7681" t="s">
        <v>43173</v>
      </c>
      <c r="S7681" t="s">
        <v>43374</v>
      </c>
      <c r="T7681" t="s">
        <v>44696</v>
      </c>
      <c r="U7681" t="s">
        <v>47008</v>
      </c>
      <c r="V7681" t="s">
        <v>57079</v>
      </c>
      <c r="W7681" t="s">
        <v>40230</v>
      </c>
      <c r="X7681" t="s">
        <v>43174</v>
      </c>
    </row>
    <row r="7682" spans="1:24">
      <c r="A7682">
        <f>HYPERLINK("https://www.philgeps.gov.ph/GEPSNONPILOT/Tender/SplashBidNoticeAbstractUI.aspx?menuIndex=3&amp;refID=7078508&amp;Result=3","7078508")</f>
        <v>0</v>
      </c>
      <c r="B7682" t="s">
        <v>40</v>
      </c>
      <c r="C7682" t="s">
        <v>10727</v>
      </c>
      <c r="D7682" t="s">
        <v>17424</v>
      </c>
      <c r="E7682" t="s">
        <v>24137</v>
      </c>
      <c r="F7682" t="s">
        <v>30052</v>
      </c>
      <c r="G7682" t="s">
        <v>30058</v>
      </c>
      <c r="H7682" t="s">
        <v>30067</v>
      </c>
      <c r="I7682" t="s">
        <v>3693</v>
      </c>
      <c r="J7682" t="s">
        <v>30247</v>
      </c>
      <c r="K7682" t="s">
        <v>39025</v>
      </c>
      <c r="M7682" t="s">
        <v>39330</v>
      </c>
      <c r="N7682" t="s">
        <v>43166</v>
      </c>
      <c r="O7682" t="s">
        <v>43167</v>
      </c>
      <c r="P7682">
        <v>0</v>
      </c>
      <c r="Q7682">
        <v>19</v>
      </c>
      <c r="R7682" t="s">
        <v>43173</v>
      </c>
      <c r="S7682" t="s">
        <v>43374</v>
      </c>
      <c r="T7682" t="s">
        <v>45051</v>
      </c>
      <c r="U7682" t="s">
        <v>47727</v>
      </c>
      <c r="W7682" t="s">
        <v>39330</v>
      </c>
      <c r="X7682" t="s">
        <v>43174</v>
      </c>
    </row>
    <row r="7683" spans="1:24">
      <c r="A7683">
        <f>HYPERLINK("https://www.philgeps.gov.ph/GEPSNONPILOT/Tender/SplashBidNoticeAbstractUI.aspx?menuIndex=3&amp;refID=7078458&amp;Result=3","7078458")</f>
        <v>0</v>
      </c>
      <c r="B7683" t="s">
        <v>2138</v>
      </c>
      <c r="C7683" t="s">
        <v>10728</v>
      </c>
      <c r="D7683" t="s">
        <v>17452</v>
      </c>
      <c r="E7683" t="s">
        <v>24138</v>
      </c>
      <c r="F7683" t="s">
        <v>30052</v>
      </c>
      <c r="G7683" t="s">
        <v>30058</v>
      </c>
      <c r="H7683" t="s">
        <v>15498</v>
      </c>
      <c r="I7683" t="s">
        <v>30073</v>
      </c>
      <c r="J7683" t="s">
        <v>34908</v>
      </c>
      <c r="K7683" t="s">
        <v>39034</v>
      </c>
      <c r="M7683" t="s">
        <v>41602</v>
      </c>
      <c r="N7683" t="s">
        <v>43166</v>
      </c>
      <c r="O7683" t="s">
        <v>43167</v>
      </c>
      <c r="P7683">
        <v>0</v>
      </c>
      <c r="Q7683">
        <v>0</v>
      </c>
      <c r="R7683" t="s">
        <v>43173</v>
      </c>
      <c r="S7683" t="s">
        <v>43374</v>
      </c>
      <c r="T7683" t="s">
        <v>44737</v>
      </c>
      <c r="U7683" t="s">
        <v>51415</v>
      </c>
      <c r="V7683" t="s">
        <v>57637</v>
      </c>
      <c r="W7683" t="s">
        <v>41602</v>
      </c>
      <c r="X7683" t="s">
        <v>43174</v>
      </c>
    </row>
    <row r="7684" spans="1:24">
      <c r="A7684">
        <f>HYPERLINK("https://www.philgeps.gov.ph/GEPSNONPILOT/Tender/SplashBidNoticeAbstractUI.aspx?menuIndex=3&amp;refID=7078509&amp;Result=3","7078509")</f>
        <v>0</v>
      </c>
      <c r="B7684" t="s">
        <v>1606</v>
      </c>
      <c r="C7684" t="s">
        <v>10729</v>
      </c>
      <c r="D7684" t="s">
        <v>17477</v>
      </c>
      <c r="E7684" t="s">
        <v>24139</v>
      </c>
      <c r="F7684" t="s">
        <v>30052</v>
      </c>
      <c r="G7684" t="s">
        <v>30058</v>
      </c>
      <c r="H7684" t="s">
        <v>30067</v>
      </c>
      <c r="I7684" t="s">
        <v>3693</v>
      </c>
      <c r="J7684" t="s">
        <v>30247</v>
      </c>
      <c r="K7684" t="s">
        <v>39116</v>
      </c>
      <c r="M7684" t="s">
        <v>41005</v>
      </c>
      <c r="N7684" t="s">
        <v>43166</v>
      </c>
      <c r="O7684" t="s">
        <v>43167</v>
      </c>
      <c r="P7684">
        <v>0</v>
      </c>
      <c r="Q7684">
        <v>0</v>
      </c>
      <c r="R7684" t="s">
        <v>43173</v>
      </c>
      <c r="S7684" t="s">
        <v>43374</v>
      </c>
      <c r="T7684" t="s">
        <v>44758</v>
      </c>
      <c r="U7684" t="s">
        <v>51416</v>
      </c>
      <c r="V7684" t="s">
        <v>57638</v>
      </c>
      <c r="W7684" t="s">
        <v>41005</v>
      </c>
      <c r="X7684" t="s">
        <v>43174</v>
      </c>
    </row>
    <row r="7685" spans="1:24">
      <c r="A7685">
        <f>HYPERLINK("https://www.philgeps.gov.ph/GEPSNONPILOT/Tender/SplashBidNoticeAbstractUI.aspx?menuIndex=3&amp;refID=7078502&amp;Result=3","7078502")</f>
        <v>0</v>
      </c>
      <c r="B7685" t="s">
        <v>802</v>
      </c>
      <c r="C7685" t="s">
        <v>10730</v>
      </c>
      <c r="D7685" t="s">
        <v>17415</v>
      </c>
      <c r="E7685" t="s">
        <v>24140</v>
      </c>
      <c r="F7685" t="s">
        <v>30052</v>
      </c>
      <c r="G7685" t="s">
        <v>30059</v>
      </c>
      <c r="H7685" t="s">
        <v>15498</v>
      </c>
      <c r="I7685" t="s">
        <v>30084</v>
      </c>
      <c r="J7685" t="s">
        <v>30235</v>
      </c>
      <c r="K7685" t="s">
        <v>39017</v>
      </c>
      <c r="M7685" t="s">
        <v>40119</v>
      </c>
      <c r="N7685" t="s">
        <v>43166</v>
      </c>
      <c r="O7685" t="s">
        <v>43167</v>
      </c>
      <c r="P7685">
        <v>0</v>
      </c>
      <c r="Q7685">
        <v>27</v>
      </c>
      <c r="R7685" t="s">
        <v>43173</v>
      </c>
      <c r="S7685" t="s">
        <v>43374</v>
      </c>
      <c r="T7685" t="s">
        <v>44837</v>
      </c>
      <c r="U7685" t="s">
        <v>46770</v>
      </c>
      <c r="W7685" t="s">
        <v>40119</v>
      </c>
      <c r="X7685" t="s">
        <v>43174</v>
      </c>
    </row>
    <row r="7686" spans="1:24">
      <c r="A7686">
        <f>HYPERLINK("https://www.philgeps.gov.ph/GEPSNONPILOT/Tender/SplashBidNoticeAbstractUI.aspx?menuIndex=3&amp;refID=7078494&amp;Result=3","7078494")</f>
        <v>0</v>
      </c>
      <c r="B7686" t="s">
        <v>2376</v>
      </c>
      <c r="C7686" t="s">
        <v>10731</v>
      </c>
      <c r="D7686" t="s">
        <v>17466</v>
      </c>
      <c r="E7686" t="s">
        <v>24141</v>
      </c>
      <c r="F7686" t="s">
        <v>30052</v>
      </c>
      <c r="G7686" t="s">
        <v>30058</v>
      </c>
      <c r="H7686" t="s">
        <v>30067</v>
      </c>
      <c r="I7686" t="s">
        <v>3693</v>
      </c>
      <c r="J7686" t="s">
        <v>34909</v>
      </c>
      <c r="K7686" t="s">
        <v>39116</v>
      </c>
      <c r="M7686" t="s">
        <v>41871</v>
      </c>
      <c r="N7686" t="s">
        <v>43166</v>
      </c>
      <c r="O7686" t="s">
        <v>43167</v>
      </c>
      <c r="P7686">
        <v>0</v>
      </c>
      <c r="Q7686">
        <v>3</v>
      </c>
      <c r="R7686" t="s">
        <v>43173</v>
      </c>
      <c r="S7686" t="s">
        <v>43374</v>
      </c>
      <c r="T7686" t="s">
        <v>44873</v>
      </c>
      <c r="U7686" t="s">
        <v>51417</v>
      </c>
      <c r="W7686" t="s">
        <v>41871</v>
      </c>
      <c r="X7686" t="s">
        <v>43174</v>
      </c>
    </row>
    <row r="7687" spans="1:24">
      <c r="A7687">
        <f>HYPERLINK("https://www.philgeps.gov.ph/GEPSNONPILOT/Tender/SplashBidNoticeAbstractUI.aspx?menuIndex=3&amp;refID=7078512&amp;Result=3","7078512")</f>
        <v>0</v>
      </c>
      <c r="B7687" t="s">
        <v>374</v>
      </c>
      <c r="C7687" t="s">
        <v>10732</v>
      </c>
      <c r="D7687" t="s">
        <v>17417</v>
      </c>
      <c r="E7687" t="s">
        <v>22644</v>
      </c>
      <c r="F7687" t="s">
        <v>30052</v>
      </c>
      <c r="G7687" t="s">
        <v>30061</v>
      </c>
      <c r="H7687" t="s">
        <v>30069</v>
      </c>
      <c r="I7687" t="s">
        <v>6691</v>
      </c>
      <c r="J7687" t="s">
        <v>30230</v>
      </c>
      <c r="K7687" t="s">
        <v>39018</v>
      </c>
      <c r="M7687" t="s">
        <v>39672</v>
      </c>
      <c r="N7687" t="s">
        <v>43166</v>
      </c>
      <c r="O7687" t="s">
        <v>43167</v>
      </c>
      <c r="P7687">
        <v>0</v>
      </c>
      <c r="Q7687">
        <v>0</v>
      </c>
      <c r="R7687" t="s">
        <v>43173</v>
      </c>
      <c r="S7687" t="s">
        <v>43374</v>
      </c>
      <c r="T7687" t="s">
        <v>44705</v>
      </c>
      <c r="U7687" t="s">
        <v>51418</v>
      </c>
      <c r="W7687" t="s">
        <v>39672</v>
      </c>
      <c r="X7687" t="s">
        <v>43174</v>
      </c>
    </row>
    <row r="7688" spans="1:24">
      <c r="A7688">
        <f>HYPERLINK("https://www.philgeps.gov.ph/GEPSNONPILOT/Tender/SplashBidNoticeAbstractUI.aspx?menuIndex=3&amp;refID=7078471&amp;Result=3","7078471")</f>
        <v>0</v>
      </c>
      <c r="B7688" t="s">
        <v>2074</v>
      </c>
      <c r="C7688" t="s">
        <v>10733</v>
      </c>
      <c r="D7688" t="s">
        <v>17466</v>
      </c>
      <c r="E7688" t="s">
        <v>24142</v>
      </c>
      <c r="F7688" t="s">
        <v>30052</v>
      </c>
      <c r="G7688" t="s">
        <v>30058</v>
      </c>
      <c r="H7688" t="s">
        <v>30069</v>
      </c>
      <c r="I7688" t="s">
        <v>30075</v>
      </c>
      <c r="J7688" t="s">
        <v>30891</v>
      </c>
      <c r="K7688" t="s">
        <v>39039</v>
      </c>
      <c r="M7688" t="s">
        <v>41534</v>
      </c>
      <c r="N7688" t="s">
        <v>43166</v>
      </c>
      <c r="O7688" t="s">
        <v>43167</v>
      </c>
      <c r="P7688">
        <v>0</v>
      </c>
      <c r="Q7688">
        <v>1</v>
      </c>
      <c r="R7688" t="s">
        <v>43173</v>
      </c>
      <c r="S7688" t="s">
        <v>43374</v>
      </c>
      <c r="T7688" t="s">
        <v>44705</v>
      </c>
      <c r="U7688" t="s">
        <v>51419</v>
      </c>
      <c r="W7688" t="s">
        <v>41534</v>
      </c>
      <c r="X7688" t="s">
        <v>43174</v>
      </c>
    </row>
    <row r="7689" spans="1:24">
      <c r="A7689">
        <f>HYPERLINK("https://www.philgeps.gov.ph/GEPSNONPILOT/Tender/SplashBidNoticeAbstractUI.aspx?menuIndex=3&amp;refID=7078482&amp;Result=3","7078482")</f>
        <v>0</v>
      </c>
      <c r="B7689" t="s">
        <v>2376</v>
      </c>
      <c r="C7689" t="s">
        <v>10734</v>
      </c>
      <c r="D7689" t="s">
        <v>17466</v>
      </c>
      <c r="E7689" t="s">
        <v>24143</v>
      </c>
      <c r="F7689" t="s">
        <v>30052</v>
      </c>
      <c r="G7689" t="s">
        <v>30058</v>
      </c>
      <c r="H7689" t="s">
        <v>30067</v>
      </c>
      <c r="I7689" t="s">
        <v>3693</v>
      </c>
      <c r="J7689" t="s">
        <v>34910</v>
      </c>
      <c r="K7689" t="s">
        <v>39116</v>
      </c>
      <c r="M7689" t="s">
        <v>41871</v>
      </c>
      <c r="N7689" t="s">
        <v>43166</v>
      </c>
      <c r="O7689" t="s">
        <v>43167</v>
      </c>
      <c r="P7689">
        <v>0</v>
      </c>
      <c r="Q7689">
        <v>2</v>
      </c>
      <c r="R7689" t="s">
        <v>43173</v>
      </c>
      <c r="S7689" t="s">
        <v>43374</v>
      </c>
      <c r="T7689" t="s">
        <v>44873</v>
      </c>
      <c r="U7689" t="s">
        <v>51420</v>
      </c>
      <c r="W7689" t="s">
        <v>41871</v>
      </c>
      <c r="X7689" t="s">
        <v>43174</v>
      </c>
    </row>
    <row r="7690" spans="1:24">
      <c r="A7690">
        <f>HYPERLINK("https://www.philgeps.gov.ph/GEPSNONPILOT/Tender/SplashBidNoticeAbstractUI.aspx?menuIndex=3&amp;refID=7078462&amp;Result=3","7078462")</f>
        <v>0</v>
      </c>
      <c r="B7690" t="s">
        <v>2116</v>
      </c>
      <c r="C7690" t="s">
        <v>10735</v>
      </c>
      <c r="E7690" t="s">
        <v>23255</v>
      </c>
      <c r="F7690" t="s">
        <v>30052</v>
      </c>
      <c r="G7690" t="s">
        <v>30058</v>
      </c>
      <c r="H7690" t="s">
        <v>15498</v>
      </c>
      <c r="I7690" t="s">
        <v>30073</v>
      </c>
      <c r="J7690" t="s">
        <v>30683</v>
      </c>
      <c r="K7690" t="s">
        <v>39025</v>
      </c>
      <c r="M7690" t="s">
        <v>41578</v>
      </c>
      <c r="N7690" t="s">
        <v>43166</v>
      </c>
      <c r="O7690" t="s">
        <v>43167</v>
      </c>
      <c r="P7690">
        <v>0</v>
      </c>
      <c r="Q7690">
        <v>0</v>
      </c>
      <c r="R7690" t="s">
        <v>43173</v>
      </c>
      <c r="S7690" t="s">
        <v>43374</v>
      </c>
      <c r="T7690" t="s">
        <v>44807</v>
      </c>
      <c r="U7690" t="s">
        <v>51405</v>
      </c>
      <c r="W7690" t="s">
        <v>41578</v>
      </c>
      <c r="X7690" t="s">
        <v>43174</v>
      </c>
    </row>
    <row r="7691" spans="1:24">
      <c r="A7691">
        <f>HYPERLINK("https://www.philgeps.gov.ph/GEPSNONPILOT/Tender/SplashBidNoticeAbstractUI.aspx?menuIndex=3&amp;refID=7078505&amp;Result=3","7078505")</f>
        <v>0</v>
      </c>
      <c r="B7691" t="s">
        <v>1626</v>
      </c>
      <c r="C7691" t="s">
        <v>10736</v>
      </c>
      <c r="D7691" t="s">
        <v>17485</v>
      </c>
      <c r="E7691" t="s">
        <v>24144</v>
      </c>
      <c r="F7691" t="s">
        <v>30052</v>
      </c>
      <c r="G7691" t="s">
        <v>30059</v>
      </c>
      <c r="H7691" t="s">
        <v>30069</v>
      </c>
      <c r="I7691" t="s">
        <v>3693</v>
      </c>
      <c r="J7691" t="s">
        <v>30277</v>
      </c>
      <c r="K7691" t="s">
        <v>39046</v>
      </c>
      <c r="M7691" t="s">
        <v>41026</v>
      </c>
      <c r="N7691" t="s">
        <v>43166</v>
      </c>
      <c r="O7691" t="s">
        <v>43167</v>
      </c>
      <c r="P7691">
        <v>0</v>
      </c>
      <c r="Q7691">
        <v>0</v>
      </c>
      <c r="R7691" t="s">
        <v>43173</v>
      </c>
      <c r="S7691" t="s">
        <v>43374</v>
      </c>
      <c r="T7691" t="s">
        <v>44750</v>
      </c>
      <c r="U7691" t="s">
        <v>51421</v>
      </c>
      <c r="W7691" t="s">
        <v>41026</v>
      </c>
      <c r="X7691" t="s">
        <v>43174</v>
      </c>
    </row>
    <row r="7692" spans="1:24">
      <c r="A7692">
        <f>HYPERLINK("https://www.philgeps.gov.ph/GEPSNONPILOT/Tender/SplashBidNoticeAbstractUI.aspx?menuIndex=3&amp;refID=7078521&amp;Result=3","7078521")</f>
        <v>0</v>
      </c>
      <c r="B7692" t="s">
        <v>305</v>
      </c>
      <c r="C7692" t="s">
        <v>10737</v>
      </c>
      <c r="D7692" t="s">
        <v>17455</v>
      </c>
      <c r="E7692" t="s">
        <v>24145</v>
      </c>
      <c r="F7692" t="s">
        <v>30052</v>
      </c>
      <c r="G7692" t="s">
        <v>30061</v>
      </c>
      <c r="H7692" t="s">
        <v>15498</v>
      </c>
      <c r="I7692" t="s">
        <v>30070</v>
      </c>
      <c r="J7692" t="s">
        <v>34040</v>
      </c>
      <c r="K7692" t="s">
        <v>39029</v>
      </c>
      <c r="L7692" t="s">
        <v>305</v>
      </c>
      <c r="M7692" t="s">
        <v>39600</v>
      </c>
      <c r="N7692" t="s">
        <v>43166</v>
      </c>
      <c r="O7692" t="s">
        <v>43167</v>
      </c>
      <c r="P7692">
        <v>0</v>
      </c>
      <c r="Q7692">
        <v>1</v>
      </c>
      <c r="R7692" t="s">
        <v>43173</v>
      </c>
      <c r="S7692" t="s">
        <v>43374</v>
      </c>
      <c r="T7692" t="s">
        <v>44837</v>
      </c>
      <c r="U7692" t="s">
        <v>51422</v>
      </c>
      <c r="W7692" t="s">
        <v>39600</v>
      </c>
      <c r="X7692" t="s">
        <v>43174</v>
      </c>
    </row>
    <row r="7693" spans="1:24">
      <c r="A7693">
        <f>HYPERLINK("https://www.philgeps.gov.ph/GEPSNONPILOT/Tender/SplashBidNoticeAbstractUI.aspx?menuIndex=3&amp;refID=7078506&amp;Result=3","7078506")</f>
        <v>0</v>
      </c>
      <c r="B7693" t="s">
        <v>908</v>
      </c>
      <c r="C7693" t="s">
        <v>10738</v>
      </c>
      <c r="D7693" t="s">
        <v>17445</v>
      </c>
      <c r="E7693" t="s">
        <v>24146</v>
      </c>
      <c r="F7693" t="s">
        <v>30052</v>
      </c>
      <c r="G7693" t="s">
        <v>30059</v>
      </c>
      <c r="H7693" t="s">
        <v>15498</v>
      </c>
      <c r="I7693" t="s">
        <v>30073</v>
      </c>
      <c r="J7693" t="s">
        <v>30766</v>
      </c>
      <c r="K7693" t="s">
        <v>39034</v>
      </c>
      <c r="M7693" t="s">
        <v>40230</v>
      </c>
      <c r="N7693" t="s">
        <v>43166</v>
      </c>
      <c r="O7693" t="s">
        <v>43167</v>
      </c>
      <c r="P7693">
        <v>0</v>
      </c>
      <c r="Q7693">
        <v>0</v>
      </c>
      <c r="R7693" t="s">
        <v>43173</v>
      </c>
      <c r="S7693" t="s">
        <v>43374</v>
      </c>
      <c r="T7693" t="s">
        <v>44696</v>
      </c>
      <c r="U7693" t="s">
        <v>47008</v>
      </c>
      <c r="V7693" t="s">
        <v>57079</v>
      </c>
      <c r="W7693" t="s">
        <v>40230</v>
      </c>
      <c r="X7693" t="s">
        <v>43174</v>
      </c>
    </row>
    <row r="7694" spans="1:24">
      <c r="A7694">
        <f>HYPERLINK("https://www.philgeps.gov.ph/GEPSNONPILOT/Tender/SplashBidNoticeAbstractUI.aspx?menuIndex=3&amp;refID=7078513&amp;Result=3","7078513")</f>
        <v>0</v>
      </c>
      <c r="B7694" t="s">
        <v>2377</v>
      </c>
      <c r="C7694" t="s">
        <v>10739</v>
      </c>
      <c r="D7694" t="s">
        <v>17455</v>
      </c>
      <c r="E7694" t="s">
        <v>24147</v>
      </c>
      <c r="F7694" t="s">
        <v>30052</v>
      </c>
      <c r="G7694" t="s">
        <v>30059</v>
      </c>
      <c r="H7694" t="s">
        <v>15498</v>
      </c>
      <c r="I7694" t="s">
        <v>30145</v>
      </c>
      <c r="J7694" t="s">
        <v>34911</v>
      </c>
      <c r="K7694" t="s">
        <v>39023</v>
      </c>
      <c r="M7694" t="s">
        <v>41872</v>
      </c>
      <c r="N7694" t="s">
        <v>43166</v>
      </c>
      <c r="O7694" t="s">
        <v>43167</v>
      </c>
      <c r="P7694">
        <v>0</v>
      </c>
      <c r="Q7694">
        <v>2</v>
      </c>
      <c r="R7694" t="s">
        <v>43173</v>
      </c>
      <c r="S7694" t="s">
        <v>43374</v>
      </c>
      <c r="T7694" t="s">
        <v>44734</v>
      </c>
      <c r="U7694" t="s">
        <v>51423</v>
      </c>
      <c r="W7694" t="s">
        <v>41872</v>
      </c>
      <c r="X7694" t="s">
        <v>43174</v>
      </c>
    </row>
    <row r="7695" spans="1:24">
      <c r="A7695">
        <f>HYPERLINK("https://www.philgeps.gov.ph/GEPSNONPILOT/Tender/SplashBidNoticeAbstractUI.aspx?menuIndex=3&amp;refID=7078476&amp;Result=3","7078476")</f>
        <v>0</v>
      </c>
      <c r="B7695" t="s">
        <v>2160</v>
      </c>
      <c r="C7695" t="s">
        <v>10740</v>
      </c>
      <c r="D7695" t="s">
        <v>17496</v>
      </c>
      <c r="E7695" t="s">
        <v>20290</v>
      </c>
      <c r="F7695" t="s">
        <v>30052</v>
      </c>
      <c r="G7695" t="s">
        <v>30058</v>
      </c>
      <c r="H7695" t="s">
        <v>15498</v>
      </c>
      <c r="I7695" t="s">
        <v>30074</v>
      </c>
      <c r="J7695" t="s">
        <v>34912</v>
      </c>
      <c r="K7695" t="s">
        <v>39029</v>
      </c>
      <c r="M7695" t="s">
        <v>41627</v>
      </c>
      <c r="N7695" t="s">
        <v>43166</v>
      </c>
      <c r="O7695" t="s">
        <v>43167</v>
      </c>
      <c r="P7695">
        <v>0</v>
      </c>
      <c r="Q7695">
        <v>0</v>
      </c>
      <c r="R7695" t="s">
        <v>43173</v>
      </c>
      <c r="S7695" t="s">
        <v>43374</v>
      </c>
      <c r="T7695" t="s">
        <v>44916</v>
      </c>
      <c r="U7695" t="s">
        <v>50694</v>
      </c>
      <c r="W7695" t="s">
        <v>41627</v>
      </c>
      <c r="X7695" t="s">
        <v>43174</v>
      </c>
    </row>
    <row r="7696" spans="1:24">
      <c r="A7696">
        <f>HYPERLINK("https://www.philgeps.gov.ph/GEPSNONPILOT/Tender/SplashBidNoticeAbstractUI.aspx?menuIndex=3&amp;refID=7078481&amp;Result=3","7078481")</f>
        <v>0</v>
      </c>
      <c r="B7696" t="s">
        <v>2377</v>
      </c>
      <c r="C7696" t="s">
        <v>10741</v>
      </c>
      <c r="D7696" t="s">
        <v>17455</v>
      </c>
      <c r="E7696" t="s">
        <v>24148</v>
      </c>
      <c r="F7696" t="s">
        <v>30052</v>
      </c>
      <c r="G7696" t="s">
        <v>30059</v>
      </c>
      <c r="H7696" t="s">
        <v>15498</v>
      </c>
      <c r="I7696" t="s">
        <v>30076</v>
      </c>
      <c r="J7696" t="s">
        <v>34913</v>
      </c>
      <c r="K7696" t="s">
        <v>39023</v>
      </c>
      <c r="M7696" t="s">
        <v>41872</v>
      </c>
      <c r="N7696" t="s">
        <v>43166</v>
      </c>
      <c r="O7696" t="s">
        <v>43167</v>
      </c>
      <c r="P7696">
        <v>0</v>
      </c>
      <c r="Q7696">
        <v>1</v>
      </c>
      <c r="R7696" t="s">
        <v>43173</v>
      </c>
      <c r="S7696" t="s">
        <v>43374</v>
      </c>
      <c r="T7696" t="s">
        <v>44734</v>
      </c>
      <c r="U7696" t="s">
        <v>51424</v>
      </c>
      <c r="W7696" t="s">
        <v>41872</v>
      </c>
      <c r="X7696" t="s">
        <v>43174</v>
      </c>
    </row>
    <row r="7697" spans="1:24">
      <c r="A7697">
        <f>HYPERLINK("https://www.philgeps.gov.ph/GEPSNONPILOT/Tender/SplashBidNoticeAbstractUI.aspx?menuIndex=3&amp;refID=7078493&amp;Result=3","7078493")</f>
        <v>0</v>
      </c>
      <c r="B7697" t="s">
        <v>2369</v>
      </c>
      <c r="C7697" t="s">
        <v>10742</v>
      </c>
      <c r="D7697" t="s">
        <v>17424</v>
      </c>
      <c r="E7697" t="s">
        <v>24149</v>
      </c>
      <c r="F7697" t="s">
        <v>30052</v>
      </c>
      <c r="G7697" t="s">
        <v>30058</v>
      </c>
      <c r="H7697" t="s">
        <v>15498</v>
      </c>
      <c r="I7697" t="s">
        <v>3736</v>
      </c>
      <c r="J7697" t="s">
        <v>33330</v>
      </c>
      <c r="K7697" t="s">
        <v>39019</v>
      </c>
      <c r="M7697" t="s">
        <v>41864</v>
      </c>
      <c r="N7697" t="s">
        <v>43166</v>
      </c>
      <c r="O7697" t="s">
        <v>43167</v>
      </c>
      <c r="P7697">
        <v>0</v>
      </c>
      <c r="Q7697">
        <v>3</v>
      </c>
      <c r="R7697" t="s">
        <v>43173</v>
      </c>
      <c r="S7697" t="s">
        <v>43374</v>
      </c>
      <c r="T7697" t="s">
        <v>44832</v>
      </c>
      <c r="U7697" t="s">
        <v>51425</v>
      </c>
      <c r="V7697" t="s">
        <v>57639</v>
      </c>
      <c r="W7697" t="s">
        <v>41864</v>
      </c>
      <c r="X7697" t="s">
        <v>43174</v>
      </c>
    </row>
    <row r="7698" spans="1:24">
      <c r="A7698">
        <f>HYPERLINK("https://www.philgeps.gov.ph/GEPSNONPILOT/Tender/SplashBidNoticeAbstractUI.aspx?menuIndex=3&amp;refID=7078515&amp;Result=3","7078515")</f>
        <v>0</v>
      </c>
      <c r="B7698" t="s">
        <v>2378</v>
      </c>
      <c r="C7698" t="s">
        <v>8263</v>
      </c>
      <c r="D7698" t="s">
        <v>17441</v>
      </c>
      <c r="E7698" t="s">
        <v>24150</v>
      </c>
      <c r="F7698" t="s">
        <v>30052</v>
      </c>
      <c r="G7698" t="s">
        <v>30058</v>
      </c>
      <c r="H7698" t="s">
        <v>30067</v>
      </c>
      <c r="I7698" t="s">
        <v>3693</v>
      </c>
      <c r="J7698" t="s">
        <v>34914</v>
      </c>
      <c r="K7698" t="s">
        <v>39025</v>
      </c>
      <c r="M7698" t="s">
        <v>41873</v>
      </c>
      <c r="N7698" t="s">
        <v>43166</v>
      </c>
      <c r="O7698" t="s">
        <v>43167</v>
      </c>
      <c r="P7698">
        <v>0</v>
      </c>
      <c r="Q7698">
        <v>2</v>
      </c>
      <c r="R7698" t="s">
        <v>43173</v>
      </c>
      <c r="S7698" t="s">
        <v>43374</v>
      </c>
      <c r="T7698" t="s">
        <v>44714</v>
      </c>
      <c r="U7698" t="s">
        <v>51426</v>
      </c>
      <c r="V7698" t="s">
        <v>57397</v>
      </c>
      <c r="W7698" t="s">
        <v>41873</v>
      </c>
      <c r="X7698" t="s">
        <v>43174</v>
      </c>
    </row>
    <row r="7699" spans="1:24">
      <c r="A7699">
        <f>HYPERLINK("https://www.philgeps.gov.ph/GEPSNONPILOT/Tender/SplashBidNoticeAbstractUI.aspx?menuIndex=3&amp;refID=7078501&amp;Result=3","7078501")</f>
        <v>0</v>
      </c>
      <c r="B7699" t="s">
        <v>2379</v>
      </c>
      <c r="C7699" t="s">
        <v>10743</v>
      </c>
      <c r="D7699" t="s">
        <v>17441</v>
      </c>
      <c r="E7699" t="s">
        <v>24151</v>
      </c>
      <c r="F7699" t="s">
        <v>30052</v>
      </c>
      <c r="G7699" t="s">
        <v>30058</v>
      </c>
      <c r="H7699" t="s">
        <v>30067</v>
      </c>
      <c r="I7699" t="s">
        <v>3693</v>
      </c>
      <c r="J7699" t="s">
        <v>30218</v>
      </c>
      <c r="K7699" t="s">
        <v>39025</v>
      </c>
      <c r="M7699" t="s">
        <v>41874</v>
      </c>
      <c r="N7699" t="s">
        <v>43166</v>
      </c>
      <c r="O7699" t="s">
        <v>43167</v>
      </c>
      <c r="P7699">
        <v>0</v>
      </c>
      <c r="Q7699">
        <v>2</v>
      </c>
      <c r="R7699" t="s">
        <v>43173</v>
      </c>
      <c r="S7699" t="s">
        <v>43374</v>
      </c>
      <c r="T7699" t="s">
        <v>44714</v>
      </c>
      <c r="U7699" t="s">
        <v>51427</v>
      </c>
      <c r="V7699" t="s">
        <v>57640</v>
      </c>
      <c r="W7699" t="s">
        <v>41874</v>
      </c>
      <c r="X7699" t="s">
        <v>43174</v>
      </c>
    </row>
    <row r="7700" spans="1:24">
      <c r="A7700">
        <f>HYPERLINK("https://www.philgeps.gov.ph/GEPSNONPILOT/Tender/SplashBidNoticeAbstractUI.aspx?menuIndex=3&amp;refID=7078480&amp;Result=3","7078480")</f>
        <v>0</v>
      </c>
      <c r="B7700" t="s">
        <v>2160</v>
      </c>
      <c r="C7700" t="s">
        <v>10744</v>
      </c>
      <c r="D7700" t="s">
        <v>17496</v>
      </c>
      <c r="E7700" t="s">
        <v>22473</v>
      </c>
      <c r="F7700" t="s">
        <v>30052</v>
      </c>
      <c r="G7700" t="s">
        <v>30058</v>
      </c>
      <c r="H7700" t="s">
        <v>15498</v>
      </c>
      <c r="I7700" t="s">
        <v>30074</v>
      </c>
      <c r="J7700" t="s">
        <v>30209</v>
      </c>
      <c r="K7700" t="s">
        <v>39029</v>
      </c>
      <c r="M7700" t="s">
        <v>41627</v>
      </c>
      <c r="N7700" t="s">
        <v>43166</v>
      </c>
      <c r="O7700" t="s">
        <v>43167</v>
      </c>
      <c r="P7700">
        <v>0</v>
      </c>
      <c r="Q7700">
        <v>0</v>
      </c>
      <c r="R7700" t="s">
        <v>43173</v>
      </c>
      <c r="S7700" t="s">
        <v>43374</v>
      </c>
      <c r="T7700" t="s">
        <v>44916</v>
      </c>
      <c r="U7700" t="s">
        <v>50694</v>
      </c>
      <c r="W7700" t="s">
        <v>41627</v>
      </c>
      <c r="X7700" t="s">
        <v>43174</v>
      </c>
    </row>
    <row r="7701" spans="1:24">
      <c r="A7701">
        <f>HYPERLINK("https://www.philgeps.gov.ph/GEPSNONPILOT/Tender/SplashBidNoticeAbstractUI.aspx?menuIndex=3&amp;refID=7078550&amp;Result=3","7078550")</f>
        <v>0</v>
      </c>
      <c r="B7701" t="s">
        <v>2380</v>
      </c>
      <c r="C7701" t="s">
        <v>10745</v>
      </c>
      <c r="D7701" t="s">
        <v>17430</v>
      </c>
      <c r="E7701" t="s">
        <v>24152</v>
      </c>
      <c r="F7701" t="s">
        <v>30052</v>
      </c>
      <c r="G7701" t="s">
        <v>30058</v>
      </c>
      <c r="H7701" t="s">
        <v>15498</v>
      </c>
      <c r="I7701" t="s">
        <v>3736</v>
      </c>
      <c r="J7701" t="s">
        <v>34915</v>
      </c>
      <c r="K7701" t="s">
        <v>39029</v>
      </c>
      <c r="M7701" t="s">
        <v>41875</v>
      </c>
      <c r="N7701" t="s">
        <v>43166</v>
      </c>
      <c r="O7701" t="s">
        <v>43167</v>
      </c>
      <c r="P7701">
        <v>0</v>
      </c>
      <c r="Q7701">
        <v>0</v>
      </c>
      <c r="R7701" t="s">
        <v>43173</v>
      </c>
      <c r="S7701" t="s">
        <v>43374</v>
      </c>
      <c r="T7701" t="s">
        <v>44882</v>
      </c>
      <c r="U7701" t="s">
        <v>51428</v>
      </c>
      <c r="W7701" t="s">
        <v>41875</v>
      </c>
      <c r="X7701" t="s">
        <v>43174</v>
      </c>
    </row>
    <row r="7702" spans="1:24">
      <c r="A7702">
        <f>HYPERLINK("https://www.philgeps.gov.ph/GEPSNONPILOT/Tender/SplashBidNoticeAbstractUI.aspx?menuIndex=3&amp;refID=7078525&amp;Result=3","7078525")</f>
        <v>0</v>
      </c>
      <c r="B7702" t="s">
        <v>2381</v>
      </c>
      <c r="C7702" t="s">
        <v>10746</v>
      </c>
      <c r="D7702" t="s">
        <v>17427</v>
      </c>
      <c r="E7702" t="s">
        <v>24153</v>
      </c>
      <c r="F7702" t="s">
        <v>30052</v>
      </c>
      <c r="G7702" t="s">
        <v>30059</v>
      </c>
      <c r="H7702" t="s">
        <v>30067</v>
      </c>
      <c r="I7702" t="s">
        <v>3693</v>
      </c>
      <c r="J7702" t="s">
        <v>30277</v>
      </c>
      <c r="K7702" t="s">
        <v>39034</v>
      </c>
      <c r="M7702" t="s">
        <v>41876</v>
      </c>
      <c r="N7702" t="s">
        <v>43166</v>
      </c>
      <c r="O7702" t="s">
        <v>43167</v>
      </c>
      <c r="P7702">
        <v>0</v>
      </c>
      <c r="Q7702">
        <v>0</v>
      </c>
      <c r="R7702" t="s">
        <v>43173</v>
      </c>
      <c r="S7702" t="s">
        <v>43374</v>
      </c>
      <c r="T7702" t="s">
        <v>45051</v>
      </c>
      <c r="U7702" t="s">
        <v>51429</v>
      </c>
      <c r="W7702" t="s">
        <v>41876</v>
      </c>
      <c r="X7702" t="s">
        <v>43174</v>
      </c>
    </row>
    <row r="7703" spans="1:24">
      <c r="A7703">
        <f>HYPERLINK("https://www.philgeps.gov.ph/GEPSNONPILOT/Tender/SplashBidNoticeAbstractUI.aspx?menuIndex=3&amp;refID=7078547&amp;Result=3","7078547")</f>
        <v>0</v>
      </c>
      <c r="B7703" t="s">
        <v>2382</v>
      </c>
      <c r="C7703" t="s">
        <v>10747</v>
      </c>
      <c r="D7703" t="s">
        <v>17488</v>
      </c>
      <c r="E7703" t="s">
        <v>18583</v>
      </c>
      <c r="F7703" t="s">
        <v>30052</v>
      </c>
      <c r="G7703" t="s">
        <v>30058</v>
      </c>
      <c r="H7703" t="s">
        <v>15498</v>
      </c>
      <c r="I7703" t="s">
        <v>3736</v>
      </c>
      <c r="J7703" t="s">
        <v>34916</v>
      </c>
      <c r="K7703" t="s">
        <v>39034</v>
      </c>
      <c r="M7703" t="s">
        <v>41877</v>
      </c>
      <c r="N7703" t="s">
        <v>43166</v>
      </c>
      <c r="O7703" t="s">
        <v>43167</v>
      </c>
      <c r="P7703">
        <v>0</v>
      </c>
      <c r="Q7703">
        <v>1</v>
      </c>
      <c r="R7703" t="s">
        <v>43173</v>
      </c>
      <c r="S7703" t="s">
        <v>43374</v>
      </c>
      <c r="T7703" t="s">
        <v>44685</v>
      </c>
      <c r="U7703" t="s">
        <v>51430</v>
      </c>
      <c r="W7703" t="s">
        <v>41877</v>
      </c>
      <c r="X7703" t="s">
        <v>43174</v>
      </c>
    </row>
    <row r="7704" spans="1:24">
      <c r="A7704">
        <f>HYPERLINK("https://www.philgeps.gov.ph/GEPSNONPILOT/Tender/SplashBidNoticeAbstractUI.aspx?menuIndex=3&amp;refID=7078520&amp;Result=3","7078520")</f>
        <v>0</v>
      </c>
      <c r="B7704" t="s">
        <v>2381</v>
      </c>
      <c r="C7704" t="s">
        <v>10748</v>
      </c>
      <c r="D7704" t="s">
        <v>17427</v>
      </c>
      <c r="E7704" t="s">
        <v>24154</v>
      </c>
      <c r="F7704" t="s">
        <v>30052</v>
      </c>
      <c r="G7704" t="s">
        <v>30059</v>
      </c>
      <c r="H7704" t="s">
        <v>30067</v>
      </c>
      <c r="I7704" t="s">
        <v>3693</v>
      </c>
      <c r="J7704" t="s">
        <v>30277</v>
      </c>
      <c r="K7704" t="s">
        <v>39034</v>
      </c>
      <c r="M7704" t="s">
        <v>41876</v>
      </c>
      <c r="N7704" t="s">
        <v>43166</v>
      </c>
      <c r="O7704" t="s">
        <v>43167</v>
      </c>
      <c r="P7704">
        <v>0</v>
      </c>
      <c r="Q7704">
        <v>0</v>
      </c>
      <c r="R7704" t="s">
        <v>43173</v>
      </c>
      <c r="S7704" t="s">
        <v>43374</v>
      </c>
      <c r="T7704" t="s">
        <v>45051</v>
      </c>
      <c r="U7704" t="s">
        <v>51429</v>
      </c>
      <c r="W7704" t="s">
        <v>41876</v>
      </c>
      <c r="X7704" t="s">
        <v>43174</v>
      </c>
    </row>
    <row r="7705" spans="1:24">
      <c r="A7705">
        <f>HYPERLINK("https://www.philgeps.gov.ph/GEPSNONPILOT/Tender/SplashBidNoticeAbstractUI.aspx?menuIndex=3&amp;refID=7078542&amp;Result=3","7078542")</f>
        <v>0</v>
      </c>
      <c r="B7705" t="s">
        <v>2383</v>
      </c>
      <c r="C7705" t="s">
        <v>10749</v>
      </c>
      <c r="D7705" t="s">
        <v>17448</v>
      </c>
      <c r="E7705" t="s">
        <v>17706</v>
      </c>
      <c r="F7705" t="s">
        <v>30052</v>
      </c>
      <c r="G7705" t="s">
        <v>30058</v>
      </c>
      <c r="H7705" t="s">
        <v>15498</v>
      </c>
      <c r="I7705" t="s">
        <v>30074</v>
      </c>
      <c r="J7705" t="s">
        <v>30209</v>
      </c>
      <c r="K7705" t="s">
        <v>39017</v>
      </c>
      <c r="M7705" t="s">
        <v>41878</v>
      </c>
      <c r="N7705" t="s">
        <v>43166</v>
      </c>
      <c r="O7705" t="s">
        <v>43167</v>
      </c>
      <c r="P7705">
        <v>0</v>
      </c>
      <c r="Q7705">
        <v>0</v>
      </c>
      <c r="R7705" t="s">
        <v>43173</v>
      </c>
      <c r="S7705" t="s">
        <v>43374</v>
      </c>
      <c r="T7705" t="s">
        <v>44734</v>
      </c>
      <c r="U7705" t="s">
        <v>51431</v>
      </c>
      <c r="W7705" t="s">
        <v>41878</v>
      </c>
      <c r="X7705" t="s">
        <v>43174</v>
      </c>
    </row>
    <row r="7706" spans="1:24">
      <c r="A7706">
        <f>HYPERLINK("https://www.philgeps.gov.ph/GEPSNONPILOT/Tender/SplashBidNoticeAbstractUI.aspx?menuIndex=3&amp;refID=7078539&amp;Result=3","7078539")</f>
        <v>0</v>
      </c>
      <c r="B7706" t="s">
        <v>2383</v>
      </c>
      <c r="C7706" t="s">
        <v>10750</v>
      </c>
      <c r="D7706" t="s">
        <v>17448</v>
      </c>
      <c r="E7706" t="s">
        <v>17760</v>
      </c>
      <c r="F7706" t="s">
        <v>30052</v>
      </c>
      <c r="G7706" t="s">
        <v>30058</v>
      </c>
      <c r="H7706" t="s">
        <v>15498</v>
      </c>
      <c r="I7706" t="s">
        <v>30074</v>
      </c>
      <c r="J7706" t="s">
        <v>30252</v>
      </c>
      <c r="K7706" t="s">
        <v>39017</v>
      </c>
      <c r="M7706" t="s">
        <v>41878</v>
      </c>
      <c r="N7706" t="s">
        <v>43166</v>
      </c>
      <c r="O7706" t="s">
        <v>43167</v>
      </c>
      <c r="P7706">
        <v>0</v>
      </c>
      <c r="Q7706">
        <v>0</v>
      </c>
      <c r="R7706" t="s">
        <v>43173</v>
      </c>
      <c r="S7706" t="s">
        <v>43374</v>
      </c>
      <c r="T7706" t="s">
        <v>44734</v>
      </c>
      <c r="U7706" t="s">
        <v>51432</v>
      </c>
      <c r="W7706" t="s">
        <v>41878</v>
      </c>
      <c r="X7706" t="s">
        <v>43174</v>
      </c>
    </row>
    <row r="7707" spans="1:24">
      <c r="A7707">
        <f>HYPERLINK("https://www.philgeps.gov.ph/GEPSNONPILOT/Tender/SplashBidNoticeAbstractUI.aspx?menuIndex=3&amp;refID=7078551&amp;Result=3","7078551")</f>
        <v>0</v>
      </c>
      <c r="B7707" t="s">
        <v>1721</v>
      </c>
      <c r="C7707" t="s">
        <v>10751</v>
      </c>
      <c r="D7707" t="s">
        <v>17465</v>
      </c>
      <c r="E7707" t="s">
        <v>24155</v>
      </c>
      <c r="F7707" t="s">
        <v>30052</v>
      </c>
      <c r="G7707" t="s">
        <v>30061</v>
      </c>
      <c r="H7707" t="s">
        <v>15498</v>
      </c>
      <c r="I7707" t="s">
        <v>3852</v>
      </c>
      <c r="J7707" t="s">
        <v>34917</v>
      </c>
      <c r="K7707" t="s">
        <v>39025</v>
      </c>
      <c r="M7707" t="s">
        <v>41137</v>
      </c>
      <c r="N7707" t="s">
        <v>43166</v>
      </c>
      <c r="O7707" t="s">
        <v>43167</v>
      </c>
      <c r="P7707">
        <v>0</v>
      </c>
      <c r="Q7707">
        <v>2</v>
      </c>
      <c r="R7707" t="s">
        <v>43173</v>
      </c>
      <c r="S7707" t="s">
        <v>43374</v>
      </c>
      <c r="T7707" t="s">
        <v>44734</v>
      </c>
      <c r="U7707" t="s">
        <v>51433</v>
      </c>
      <c r="W7707" t="s">
        <v>41137</v>
      </c>
      <c r="X7707" t="s">
        <v>43174</v>
      </c>
    </row>
    <row r="7708" spans="1:24">
      <c r="A7708">
        <f>HYPERLINK("https://www.philgeps.gov.ph/GEPSNONPILOT/Tender/SplashBidNoticeAbstractUI.aspx?menuIndex=3&amp;refID=7078536&amp;Result=3","7078536")</f>
        <v>0</v>
      </c>
      <c r="B7708" t="s">
        <v>2381</v>
      </c>
      <c r="C7708" t="s">
        <v>10752</v>
      </c>
      <c r="D7708" t="s">
        <v>17427</v>
      </c>
      <c r="E7708" t="s">
        <v>24156</v>
      </c>
      <c r="F7708" t="s">
        <v>30052</v>
      </c>
      <c r="G7708" t="s">
        <v>30059</v>
      </c>
      <c r="H7708" t="s">
        <v>30067</v>
      </c>
      <c r="I7708" t="s">
        <v>3693</v>
      </c>
      <c r="J7708" t="s">
        <v>30277</v>
      </c>
      <c r="K7708" t="s">
        <v>39034</v>
      </c>
      <c r="M7708" t="s">
        <v>41876</v>
      </c>
      <c r="N7708" t="s">
        <v>43166</v>
      </c>
      <c r="O7708" t="s">
        <v>43167</v>
      </c>
      <c r="P7708">
        <v>0</v>
      </c>
      <c r="Q7708">
        <v>0</v>
      </c>
      <c r="R7708" t="s">
        <v>43173</v>
      </c>
      <c r="S7708" t="s">
        <v>43374</v>
      </c>
      <c r="T7708" t="s">
        <v>45051</v>
      </c>
      <c r="U7708" t="s">
        <v>51429</v>
      </c>
      <c r="W7708" t="s">
        <v>41876</v>
      </c>
      <c r="X7708" t="s">
        <v>43174</v>
      </c>
    </row>
    <row r="7709" spans="1:24">
      <c r="A7709">
        <f>HYPERLINK("https://www.philgeps.gov.ph/GEPSNONPILOT/Tender/SplashBidNoticeAbstractUI.aspx?menuIndex=3&amp;refID=7078544&amp;Result=3","7078544")</f>
        <v>0</v>
      </c>
      <c r="B7709" t="s">
        <v>1626</v>
      </c>
      <c r="C7709" t="s">
        <v>10753</v>
      </c>
      <c r="D7709" t="s">
        <v>17445</v>
      </c>
      <c r="E7709" t="s">
        <v>24157</v>
      </c>
      <c r="F7709" t="s">
        <v>30052</v>
      </c>
      <c r="G7709" t="s">
        <v>30059</v>
      </c>
      <c r="H7709" t="s">
        <v>30069</v>
      </c>
      <c r="I7709" t="s">
        <v>3693</v>
      </c>
      <c r="J7709" t="s">
        <v>30410</v>
      </c>
      <c r="K7709" t="s">
        <v>39031</v>
      </c>
      <c r="M7709" t="s">
        <v>41026</v>
      </c>
      <c r="N7709" t="s">
        <v>43166</v>
      </c>
      <c r="O7709" t="s">
        <v>43167</v>
      </c>
      <c r="P7709">
        <v>0</v>
      </c>
      <c r="Q7709">
        <v>2</v>
      </c>
      <c r="R7709" t="s">
        <v>43173</v>
      </c>
      <c r="S7709" t="s">
        <v>43374</v>
      </c>
      <c r="T7709" t="s">
        <v>44773</v>
      </c>
      <c r="U7709" t="s">
        <v>51434</v>
      </c>
      <c r="W7709" t="s">
        <v>41026</v>
      </c>
      <c r="X7709" t="s">
        <v>43174</v>
      </c>
    </row>
    <row r="7710" spans="1:24">
      <c r="A7710">
        <f>HYPERLINK("https://www.philgeps.gov.ph/GEPSNONPILOT/Tender/SplashBidNoticeAbstractUI.aspx?menuIndex=3&amp;refID=7078534&amp;Result=3","7078534")</f>
        <v>0</v>
      </c>
      <c r="B7710" t="s">
        <v>2381</v>
      </c>
      <c r="C7710" t="s">
        <v>10754</v>
      </c>
      <c r="D7710" t="s">
        <v>17427</v>
      </c>
      <c r="E7710" t="s">
        <v>24158</v>
      </c>
      <c r="F7710" t="s">
        <v>30052</v>
      </c>
      <c r="G7710" t="s">
        <v>30059</v>
      </c>
      <c r="H7710" t="s">
        <v>30067</v>
      </c>
      <c r="I7710" t="s">
        <v>3693</v>
      </c>
      <c r="J7710" t="s">
        <v>30277</v>
      </c>
      <c r="K7710" t="s">
        <v>39034</v>
      </c>
      <c r="M7710" t="s">
        <v>41876</v>
      </c>
      <c r="N7710" t="s">
        <v>43166</v>
      </c>
      <c r="O7710" t="s">
        <v>43167</v>
      </c>
      <c r="P7710">
        <v>0</v>
      </c>
      <c r="Q7710">
        <v>0</v>
      </c>
      <c r="R7710" t="s">
        <v>43173</v>
      </c>
      <c r="S7710" t="s">
        <v>43374</v>
      </c>
      <c r="T7710" t="s">
        <v>45051</v>
      </c>
      <c r="U7710" t="s">
        <v>51429</v>
      </c>
      <c r="W7710" t="s">
        <v>41876</v>
      </c>
      <c r="X7710" t="s">
        <v>43174</v>
      </c>
    </row>
    <row r="7711" spans="1:24">
      <c r="A7711">
        <f>HYPERLINK("https://www.philgeps.gov.ph/GEPSNONPILOT/Tender/SplashBidNoticeAbstractUI.aspx?menuIndex=3&amp;refID=7078540&amp;Result=3","7078540")</f>
        <v>0</v>
      </c>
      <c r="B7711" t="s">
        <v>2384</v>
      </c>
      <c r="C7711" t="s">
        <v>10755</v>
      </c>
      <c r="D7711" t="s">
        <v>17415</v>
      </c>
      <c r="E7711" t="s">
        <v>24159</v>
      </c>
      <c r="F7711" t="s">
        <v>30052</v>
      </c>
      <c r="G7711" t="s">
        <v>30058</v>
      </c>
      <c r="H7711" t="s">
        <v>30067</v>
      </c>
      <c r="I7711" t="s">
        <v>3693</v>
      </c>
      <c r="J7711" t="s">
        <v>34918</v>
      </c>
      <c r="K7711" t="s">
        <v>39023</v>
      </c>
      <c r="M7711" t="s">
        <v>41879</v>
      </c>
      <c r="N7711" t="s">
        <v>43166</v>
      </c>
      <c r="O7711" t="s">
        <v>43167</v>
      </c>
      <c r="P7711">
        <v>0</v>
      </c>
      <c r="Q7711">
        <v>4</v>
      </c>
      <c r="R7711" t="s">
        <v>43173</v>
      </c>
      <c r="S7711" t="s">
        <v>43374</v>
      </c>
      <c r="T7711" t="s">
        <v>45073</v>
      </c>
      <c r="U7711" t="s">
        <v>51435</v>
      </c>
      <c r="V7711" t="s">
        <v>57641</v>
      </c>
      <c r="W7711" t="s">
        <v>41879</v>
      </c>
      <c r="X7711" t="s">
        <v>43174</v>
      </c>
    </row>
    <row r="7712" spans="1:24">
      <c r="A7712">
        <f>HYPERLINK("https://www.philgeps.gov.ph/GEPSNONPILOT/Tender/SplashBidNoticeAbstractUI.aspx?menuIndex=3&amp;refID=7078522&amp;Result=3","7078522")</f>
        <v>0</v>
      </c>
      <c r="B7712" t="s">
        <v>2333</v>
      </c>
      <c r="C7712" t="s">
        <v>10756</v>
      </c>
      <c r="D7712" t="s">
        <v>17462</v>
      </c>
      <c r="E7712" t="s">
        <v>24160</v>
      </c>
      <c r="F7712" t="s">
        <v>30052</v>
      </c>
      <c r="G7712" t="s">
        <v>30059</v>
      </c>
      <c r="H7712" t="s">
        <v>15498</v>
      </c>
      <c r="I7712" t="s">
        <v>9238</v>
      </c>
      <c r="J7712" t="s">
        <v>34919</v>
      </c>
      <c r="K7712" t="s">
        <v>39029</v>
      </c>
      <c r="M7712" t="s">
        <v>41821</v>
      </c>
      <c r="N7712" t="s">
        <v>43166</v>
      </c>
      <c r="O7712" t="s">
        <v>43167</v>
      </c>
      <c r="P7712">
        <v>0</v>
      </c>
      <c r="Q7712">
        <v>9</v>
      </c>
      <c r="R7712" t="s">
        <v>43173</v>
      </c>
      <c r="S7712" t="s">
        <v>43374</v>
      </c>
      <c r="T7712" t="s">
        <v>44844</v>
      </c>
      <c r="U7712" t="s">
        <v>51436</v>
      </c>
      <c r="W7712" t="s">
        <v>41821</v>
      </c>
      <c r="X7712" t="s">
        <v>43174</v>
      </c>
    </row>
    <row r="7713" spans="1:24">
      <c r="A7713">
        <f>HYPERLINK("https://www.philgeps.gov.ph/GEPSNONPILOT/Tender/SplashBidNoticeAbstractUI.aspx?menuIndex=3&amp;refID=7078537&amp;Result=3","7078537")</f>
        <v>0</v>
      </c>
      <c r="B7713" t="s">
        <v>2380</v>
      </c>
      <c r="C7713" t="s">
        <v>10757</v>
      </c>
      <c r="D7713" t="s">
        <v>17430</v>
      </c>
      <c r="E7713" t="s">
        <v>24161</v>
      </c>
      <c r="F7713" t="s">
        <v>30052</v>
      </c>
      <c r="G7713" t="s">
        <v>30058</v>
      </c>
      <c r="H7713" t="s">
        <v>15498</v>
      </c>
      <c r="I7713" t="s">
        <v>30097</v>
      </c>
      <c r="J7713" t="s">
        <v>32443</v>
      </c>
      <c r="K7713" t="s">
        <v>39029</v>
      </c>
      <c r="M7713" t="s">
        <v>41875</v>
      </c>
      <c r="N7713" t="s">
        <v>43166</v>
      </c>
      <c r="O7713" t="s">
        <v>43167</v>
      </c>
      <c r="P7713">
        <v>0</v>
      </c>
      <c r="Q7713">
        <v>1</v>
      </c>
      <c r="R7713" t="s">
        <v>43173</v>
      </c>
      <c r="S7713" t="s">
        <v>43374</v>
      </c>
      <c r="T7713" t="s">
        <v>44882</v>
      </c>
      <c r="U7713" t="s">
        <v>51437</v>
      </c>
      <c r="W7713" t="s">
        <v>41875</v>
      </c>
      <c r="X7713" t="s">
        <v>43174</v>
      </c>
    </row>
    <row r="7714" spans="1:24">
      <c r="A7714">
        <f>HYPERLINK("https://www.philgeps.gov.ph/GEPSNONPILOT/Tender/SplashBidNoticeAbstractUI.aspx?menuIndex=3&amp;refID=7078548&amp;Result=3","7078548")</f>
        <v>0</v>
      </c>
      <c r="B7714" t="s">
        <v>2383</v>
      </c>
      <c r="C7714" t="s">
        <v>10758</v>
      </c>
      <c r="D7714" t="s">
        <v>17448</v>
      </c>
      <c r="E7714" t="s">
        <v>17922</v>
      </c>
      <c r="F7714" t="s">
        <v>30052</v>
      </c>
      <c r="G7714" t="s">
        <v>30058</v>
      </c>
      <c r="H7714" t="s">
        <v>15498</v>
      </c>
      <c r="I7714" t="s">
        <v>30074</v>
      </c>
      <c r="J7714" t="s">
        <v>30218</v>
      </c>
      <c r="K7714" t="s">
        <v>39017</v>
      </c>
      <c r="M7714" t="s">
        <v>41878</v>
      </c>
      <c r="N7714" t="s">
        <v>43166</v>
      </c>
      <c r="O7714" t="s">
        <v>43167</v>
      </c>
      <c r="P7714">
        <v>0</v>
      </c>
      <c r="Q7714">
        <v>0</v>
      </c>
      <c r="R7714" t="s">
        <v>43173</v>
      </c>
      <c r="S7714" t="s">
        <v>43374</v>
      </c>
      <c r="T7714" t="s">
        <v>44734</v>
      </c>
      <c r="U7714" t="s">
        <v>51438</v>
      </c>
      <c r="W7714" t="s">
        <v>41878</v>
      </c>
      <c r="X7714" t="s">
        <v>43174</v>
      </c>
    </row>
    <row r="7715" spans="1:24">
      <c r="A7715">
        <f>HYPERLINK("https://www.philgeps.gov.ph/GEPSNONPILOT/Tender/SplashBidNoticeAbstractUI.aspx?menuIndex=3&amp;refID=7078552&amp;Result=3","7078552")</f>
        <v>0</v>
      </c>
      <c r="B7715" t="s">
        <v>2074</v>
      </c>
      <c r="C7715" t="s">
        <v>10759</v>
      </c>
      <c r="D7715" t="s">
        <v>17466</v>
      </c>
      <c r="E7715" t="s">
        <v>18359</v>
      </c>
      <c r="F7715" t="s">
        <v>30052</v>
      </c>
      <c r="G7715" t="s">
        <v>30058</v>
      </c>
      <c r="H7715" t="s">
        <v>15498</v>
      </c>
      <c r="I7715" t="s">
        <v>3736</v>
      </c>
      <c r="J7715" t="s">
        <v>32318</v>
      </c>
      <c r="K7715" t="s">
        <v>39039</v>
      </c>
      <c r="M7715" t="s">
        <v>41534</v>
      </c>
      <c r="N7715" t="s">
        <v>43166</v>
      </c>
      <c r="O7715" t="s">
        <v>43167</v>
      </c>
      <c r="P7715">
        <v>0</v>
      </c>
      <c r="Q7715">
        <v>0</v>
      </c>
      <c r="R7715" t="s">
        <v>43173</v>
      </c>
      <c r="S7715" t="s">
        <v>43374</v>
      </c>
      <c r="T7715" t="s">
        <v>44705</v>
      </c>
      <c r="U7715" t="s">
        <v>51439</v>
      </c>
      <c r="W7715" t="s">
        <v>41534</v>
      </c>
      <c r="X7715" t="s">
        <v>43174</v>
      </c>
    </row>
    <row r="7716" spans="1:24">
      <c r="A7716">
        <f>HYPERLINK("https://www.philgeps.gov.ph/GEPSNONPILOT/Tender/SplashBidNoticeAbstractUI.aspx?menuIndex=3&amp;refID=7078533&amp;Result=3","7078533")</f>
        <v>0</v>
      </c>
      <c r="B7716" t="s">
        <v>2381</v>
      </c>
      <c r="C7716" t="s">
        <v>10760</v>
      </c>
      <c r="D7716" t="s">
        <v>17427</v>
      </c>
      <c r="E7716" t="s">
        <v>24162</v>
      </c>
      <c r="F7716" t="s">
        <v>30052</v>
      </c>
      <c r="G7716" t="s">
        <v>30059</v>
      </c>
      <c r="H7716" t="s">
        <v>30067</v>
      </c>
      <c r="I7716" t="s">
        <v>3693</v>
      </c>
      <c r="J7716" t="s">
        <v>30277</v>
      </c>
      <c r="K7716" t="s">
        <v>39034</v>
      </c>
      <c r="M7716" t="s">
        <v>41876</v>
      </c>
      <c r="N7716" t="s">
        <v>43166</v>
      </c>
      <c r="O7716" t="s">
        <v>43167</v>
      </c>
      <c r="P7716">
        <v>0</v>
      </c>
      <c r="Q7716">
        <v>0</v>
      </c>
      <c r="R7716" t="s">
        <v>43173</v>
      </c>
      <c r="S7716" t="s">
        <v>43374</v>
      </c>
      <c r="T7716" t="s">
        <v>45051</v>
      </c>
      <c r="U7716" t="s">
        <v>51429</v>
      </c>
      <c r="W7716" t="s">
        <v>41876</v>
      </c>
      <c r="X7716" t="s">
        <v>43174</v>
      </c>
    </row>
    <row r="7717" spans="1:24">
      <c r="A7717">
        <f>HYPERLINK("https://www.philgeps.gov.ph/GEPSNONPILOT/Tender/SplashBidNoticeAbstractUI.aspx?menuIndex=3&amp;refID=7078531&amp;Result=3","7078531")</f>
        <v>0</v>
      </c>
      <c r="B7717" t="s">
        <v>2385</v>
      </c>
      <c r="C7717" t="s">
        <v>5217</v>
      </c>
      <c r="D7717" t="s">
        <v>17416</v>
      </c>
      <c r="E7717" t="s">
        <v>24163</v>
      </c>
      <c r="F7717" t="s">
        <v>30052</v>
      </c>
      <c r="G7717" t="s">
        <v>30058</v>
      </c>
      <c r="H7717" t="s">
        <v>15498</v>
      </c>
      <c r="I7717" t="s">
        <v>30106</v>
      </c>
      <c r="J7717" t="s">
        <v>34920</v>
      </c>
      <c r="K7717" t="s">
        <v>39017</v>
      </c>
      <c r="M7717" t="s">
        <v>41880</v>
      </c>
      <c r="N7717" t="s">
        <v>43166</v>
      </c>
      <c r="O7717" t="s">
        <v>43167</v>
      </c>
      <c r="P7717">
        <v>0</v>
      </c>
      <c r="Q7717">
        <v>0</v>
      </c>
      <c r="R7717" t="s">
        <v>43173</v>
      </c>
      <c r="S7717" t="s">
        <v>43374</v>
      </c>
      <c r="T7717" t="s">
        <v>44773</v>
      </c>
      <c r="U7717" t="s">
        <v>51440</v>
      </c>
      <c r="W7717" t="s">
        <v>41880</v>
      </c>
      <c r="X7717" t="s">
        <v>43174</v>
      </c>
    </row>
    <row r="7718" spans="1:24">
      <c r="A7718">
        <f>HYPERLINK("https://www.philgeps.gov.ph/GEPSNONPILOT/Tender/SplashBidNoticeAbstractUI.aspx?menuIndex=3&amp;refID=7078557&amp;Result=3","7078557")</f>
        <v>0</v>
      </c>
      <c r="B7718" t="s">
        <v>768</v>
      </c>
      <c r="C7718" t="s">
        <v>10761</v>
      </c>
      <c r="D7718" t="s">
        <v>17462</v>
      </c>
      <c r="E7718" t="s">
        <v>24164</v>
      </c>
      <c r="F7718" t="s">
        <v>30052</v>
      </c>
      <c r="G7718" t="s">
        <v>30058</v>
      </c>
      <c r="H7718" t="s">
        <v>15498</v>
      </c>
      <c r="I7718" t="s">
        <v>30096</v>
      </c>
      <c r="J7718" t="s">
        <v>34921</v>
      </c>
      <c r="K7718" t="s">
        <v>39065</v>
      </c>
      <c r="M7718" t="s">
        <v>40986</v>
      </c>
      <c r="N7718" t="s">
        <v>43166</v>
      </c>
      <c r="O7718" t="s">
        <v>43167</v>
      </c>
      <c r="P7718">
        <v>0</v>
      </c>
      <c r="Q7718">
        <v>5</v>
      </c>
      <c r="R7718" t="s">
        <v>43173</v>
      </c>
      <c r="S7718" t="s">
        <v>43374</v>
      </c>
      <c r="T7718" t="s">
        <v>44815</v>
      </c>
      <c r="U7718" t="s">
        <v>51441</v>
      </c>
      <c r="V7718" t="s">
        <v>57315</v>
      </c>
      <c r="W7718" t="s">
        <v>40986</v>
      </c>
      <c r="X7718" t="s">
        <v>43174</v>
      </c>
    </row>
    <row r="7719" spans="1:24">
      <c r="A7719">
        <f>HYPERLINK("https://www.philgeps.gov.ph/GEPSNONPILOT/Tender/SplashBidNoticeAbstractUI.aspx?menuIndex=3&amp;refID=7078585&amp;Result=3","7078585")</f>
        <v>0</v>
      </c>
      <c r="B7719" t="s">
        <v>1300</v>
      </c>
      <c r="C7719" t="s">
        <v>10762</v>
      </c>
      <c r="D7719" t="s">
        <v>17434</v>
      </c>
      <c r="E7719" t="s">
        <v>24165</v>
      </c>
      <c r="F7719" t="s">
        <v>30052</v>
      </c>
      <c r="G7719" t="s">
        <v>30058</v>
      </c>
      <c r="H7719" t="s">
        <v>30069</v>
      </c>
      <c r="I7719" t="s">
        <v>30079</v>
      </c>
      <c r="J7719" t="s">
        <v>34922</v>
      </c>
      <c r="K7719" t="s">
        <v>39046</v>
      </c>
      <c r="M7719" t="s">
        <v>40666</v>
      </c>
      <c r="N7719" t="s">
        <v>43166</v>
      </c>
      <c r="O7719" t="s">
        <v>43167</v>
      </c>
      <c r="P7719">
        <v>0</v>
      </c>
      <c r="Q7719">
        <v>5</v>
      </c>
      <c r="R7719" t="s">
        <v>43173</v>
      </c>
      <c r="S7719" t="s">
        <v>43374</v>
      </c>
      <c r="T7719" t="s">
        <v>44796</v>
      </c>
      <c r="U7719" t="s">
        <v>48064</v>
      </c>
      <c r="V7719" t="s">
        <v>57256</v>
      </c>
      <c r="W7719" t="s">
        <v>40666</v>
      </c>
      <c r="X7719" t="s">
        <v>43174</v>
      </c>
    </row>
    <row r="7720" spans="1:24">
      <c r="A7720">
        <f>HYPERLINK("https://www.philgeps.gov.ph/GEPSNONPILOT/Tender/SplashBidNoticeAbstractUI.aspx?menuIndex=3&amp;refID=7078578&amp;Result=3","7078578")</f>
        <v>0</v>
      </c>
      <c r="B7720" t="s">
        <v>562</v>
      </c>
      <c r="C7720" t="s">
        <v>10763</v>
      </c>
      <c r="D7720" t="s">
        <v>17490</v>
      </c>
      <c r="E7720" t="s">
        <v>24166</v>
      </c>
      <c r="F7720" t="s">
        <v>30052</v>
      </c>
      <c r="G7720" t="s">
        <v>30058</v>
      </c>
      <c r="H7720" t="s">
        <v>30067</v>
      </c>
      <c r="I7720" t="s">
        <v>3693</v>
      </c>
      <c r="J7720" t="s">
        <v>34923</v>
      </c>
      <c r="K7720" t="s">
        <v>39194</v>
      </c>
      <c r="M7720" t="s">
        <v>39864</v>
      </c>
      <c r="N7720" t="s">
        <v>43166</v>
      </c>
      <c r="O7720" t="s">
        <v>43167</v>
      </c>
      <c r="P7720">
        <v>0</v>
      </c>
      <c r="Q7720">
        <v>0</v>
      </c>
      <c r="R7720" t="s">
        <v>43173</v>
      </c>
      <c r="S7720" t="s">
        <v>43374</v>
      </c>
      <c r="T7720" t="s">
        <v>44758</v>
      </c>
      <c r="U7720" t="s">
        <v>51442</v>
      </c>
      <c r="W7720" t="s">
        <v>39864</v>
      </c>
      <c r="X7720" t="s">
        <v>43174</v>
      </c>
    </row>
    <row r="7721" spans="1:24">
      <c r="A7721">
        <f>HYPERLINK("https://www.philgeps.gov.ph/GEPSNONPILOT/Tender/SplashBidNoticeAbstractUI.aspx?menuIndex=3&amp;refID=7078577&amp;Result=3","7078577")</f>
        <v>0</v>
      </c>
      <c r="B7721" t="s">
        <v>562</v>
      </c>
      <c r="C7721" t="s">
        <v>10764</v>
      </c>
      <c r="D7721" t="s">
        <v>17490</v>
      </c>
      <c r="E7721" t="s">
        <v>24167</v>
      </c>
      <c r="F7721" t="s">
        <v>30052</v>
      </c>
      <c r="G7721" t="s">
        <v>30058</v>
      </c>
      <c r="H7721" t="s">
        <v>30067</v>
      </c>
      <c r="I7721" t="s">
        <v>3693</v>
      </c>
      <c r="J7721" t="s">
        <v>34924</v>
      </c>
      <c r="K7721" t="s">
        <v>39136</v>
      </c>
      <c r="M7721" t="s">
        <v>39864</v>
      </c>
      <c r="N7721" t="s">
        <v>43166</v>
      </c>
      <c r="O7721" t="s">
        <v>43167</v>
      </c>
      <c r="P7721">
        <v>0</v>
      </c>
      <c r="Q7721">
        <v>0</v>
      </c>
      <c r="R7721" t="s">
        <v>43173</v>
      </c>
      <c r="S7721" t="s">
        <v>43374</v>
      </c>
      <c r="T7721" t="s">
        <v>44758</v>
      </c>
      <c r="U7721" t="s">
        <v>51442</v>
      </c>
      <c r="W7721" t="s">
        <v>39864</v>
      </c>
      <c r="X7721" t="s">
        <v>43174</v>
      </c>
    </row>
    <row r="7722" spans="1:24">
      <c r="A7722">
        <f>HYPERLINK("https://www.philgeps.gov.ph/GEPSNONPILOT/Tender/SplashBidNoticeAbstractUI.aspx?menuIndex=3&amp;refID=7078576&amp;Result=3","7078576")</f>
        <v>0</v>
      </c>
      <c r="B7722" t="s">
        <v>2386</v>
      </c>
      <c r="C7722" t="s">
        <v>10765</v>
      </c>
      <c r="D7722" t="s">
        <v>17416</v>
      </c>
      <c r="E7722" t="s">
        <v>24168</v>
      </c>
      <c r="F7722" t="s">
        <v>30052</v>
      </c>
      <c r="G7722" t="s">
        <v>30061</v>
      </c>
      <c r="H7722" t="s">
        <v>15498</v>
      </c>
      <c r="I7722" t="s">
        <v>30070</v>
      </c>
      <c r="J7722" t="s">
        <v>34925</v>
      </c>
      <c r="K7722" t="s">
        <v>39019</v>
      </c>
      <c r="M7722" t="s">
        <v>41881</v>
      </c>
      <c r="N7722" t="s">
        <v>43166</v>
      </c>
      <c r="O7722" t="s">
        <v>43167</v>
      </c>
      <c r="P7722">
        <v>0</v>
      </c>
      <c r="Q7722">
        <v>9</v>
      </c>
      <c r="R7722" t="s">
        <v>43173</v>
      </c>
      <c r="S7722" t="s">
        <v>43374</v>
      </c>
      <c r="T7722" t="s">
        <v>44832</v>
      </c>
      <c r="U7722" t="s">
        <v>51443</v>
      </c>
      <c r="V7722" t="s">
        <v>57642</v>
      </c>
      <c r="W7722" t="s">
        <v>41881</v>
      </c>
      <c r="X7722" t="s">
        <v>43174</v>
      </c>
    </row>
    <row r="7723" spans="1:24">
      <c r="A7723">
        <f>HYPERLINK("https://www.philgeps.gov.ph/GEPSNONPILOT/Tender/SplashBidNoticeAbstractUI.aspx?menuIndex=3&amp;refID=7078573&amp;Result=3","7078573")</f>
        <v>0</v>
      </c>
      <c r="B7723" t="s">
        <v>562</v>
      </c>
      <c r="C7723" t="s">
        <v>10766</v>
      </c>
      <c r="D7723" t="s">
        <v>17490</v>
      </c>
      <c r="E7723" t="s">
        <v>24169</v>
      </c>
      <c r="F7723" t="s">
        <v>30052</v>
      </c>
      <c r="G7723" t="s">
        <v>30058</v>
      </c>
      <c r="H7723" t="s">
        <v>30067</v>
      </c>
      <c r="I7723" t="s">
        <v>3693</v>
      </c>
      <c r="J7723" t="s">
        <v>30645</v>
      </c>
      <c r="K7723" t="s">
        <v>39157</v>
      </c>
      <c r="M7723" t="s">
        <v>39864</v>
      </c>
      <c r="N7723" t="s">
        <v>43166</v>
      </c>
      <c r="O7723" t="s">
        <v>43167</v>
      </c>
      <c r="P7723">
        <v>0</v>
      </c>
      <c r="Q7723">
        <v>0</v>
      </c>
      <c r="R7723" t="s">
        <v>43173</v>
      </c>
      <c r="S7723" t="s">
        <v>43374</v>
      </c>
      <c r="T7723" t="s">
        <v>44758</v>
      </c>
      <c r="U7723" t="s">
        <v>51442</v>
      </c>
      <c r="W7723" t="s">
        <v>39864</v>
      </c>
      <c r="X7723" t="s">
        <v>43174</v>
      </c>
    </row>
    <row r="7724" spans="1:24">
      <c r="A7724">
        <f>HYPERLINK("https://www.philgeps.gov.ph/GEPSNONPILOT/Tender/SplashBidNoticeAbstractUI.aspx?menuIndex=3&amp;refID=7078571&amp;Result=3","7078571")</f>
        <v>0</v>
      </c>
      <c r="B7724" t="s">
        <v>2387</v>
      </c>
      <c r="C7724" t="s">
        <v>10767</v>
      </c>
      <c r="D7724" t="s">
        <v>17431</v>
      </c>
      <c r="E7724" t="s">
        <v>24170</v>
      </c>
      <c r="F7724" t="s">
        <v>30052</v>
      </c>
      <c r="G7724" t="s">
        <v>30059</v>
      </c>
      <c r="H7724" t="s">
        <v>15498</v>
      </c>
      <c r="I7724" t="s">
        <v>30076</v>
      </c>
      <c r="J7724" t="s">
        <v>30588</v>
      </c>
      <c r="K7724" t="s">
        <v>39017</v>
      </c>
      <c r="M7724" t="s">
        <v>41882</v>
      </c>
      <c r="N7724" t="s">
        <v>43166</v>
      </c>
      <c r="O7724" t="s">
        <v>43167</v>
      </c>
      <c r="P7724">
        <v>0</v>
      </c>
      <c r="Q7724">
        <v>16</v>
      </c>
      <c r="R7724" t="s">
        <v>43173</v>
      </c>
      <c r="S7724" t="s">
        <v>43374</v>
      </c>
      <c r="T7724" t="s">
        <v>44773</v>
      </c>
      <c r="U7724" t="s">
        <v>51444</v>
      </c>
      <c r="W7724" t="s">
        <v>41882</v>
      </c>
      <c r="X7724" t="s">
        <v>43174</v>
      </c>
    </row>
    <row r="7725" spans="1:24">
      <c r="A7725">
        <f>HYPERLINK("https://www.philgeps.gov.ph/GEPSNONPILOT/Tender/SplashBidNoticeAbstractUI.aspx?menuIndex=3&amp;refID=7078570&amp;Result=3","7078570")</f>
        <v>0</v>
      </c>
      <c r="B7725" t="s">
        <v>1137</v>
      </c>
      <c r="C7725" t="s">
        <v>10768</v>
      </c>
      <c r="D7725" t="s">
        <v>17435</v>
      </c>
      <c r="E7725" t="s">
        <v>24171</v>
      </c>
      <c r="F7725" t="s">
        <v>30052</v>
      </c>
      <c r="G7725" t="s">
        <v>30061</v>
      </c>
      <c r="H7725" t="s">
        <v>15498</v>
      </c>
      <c r="I7725" t="s">
        <v>4119</v>
      </c>
      <c r="J7725" t="s">
        <v>34926</v>
      </c>
      <c r="K7725" t="s">
        <v>39017</v>
      </c>
      <c r="M7725" t="s">
        <v>41883</v>
      </c>
      <c r="N7725" t="s">
        <v>43166</v>
      </c>
      <c r="O7725" t="s">
        <v>43167</v>
      </c>
      <c r="P7725">
        <v>0</v>
      </c>
      <c r="Q7725">
        <v>1</v>
      </c>
      <c r="R7725" t="s">
        <v>43173</v>
      </c>
      <c r="S7725" t="s">
        <v>43374</v>
      </c>
      <c r="T7725" t="s">
        <v>44696</v>
      </c>
      <c r="U7725" t="s">
        <v>51445</v>
      </c>
      <c r="W7725" t="s">
        <v>41883</v>
      </c>
      <c r="X7725" t="s">
        <v>43174</v>
      </c>
    </row>
    <row r="7726" spans="1:24">
      <c r="A7726">
        <f>HYPERLINK("https://www.philgeps.gov.ph/GEPSNONPILOT/Tender/SplashBidNoticeAbstractUI.aspx?menuIndex=3&amp;refID=7078566&amp;Result=3","7078566")</f>
        <v>0</v>
      </c>
      <c r="B7726" t="s">
        <v>562</v>
      </c>
      <c r="C7726" t="s">
        <v>10769</v>
      </c>
      <c r="D7726" t="s">
        <v>17490</v>
      </c>
      <c r="E7726" t="s">
        <v>24172</v>
      </c>
      <c r="F7726" t="s">
        <v>30052</v>
      </c>
      <c r="G7726" t="s">
        <v>30058</v>
      </c>
      <c r="H7726" t="s">
        <v>30067</v>
      </c>
      <c r="I7726" t="s">
        <v>3693</v>
      </c>
      <c r="J7726" t="s">
        <v>34927</v>
      </c>
      <c r="K7726" t="s">
        <v>39057</v>
      </c>
      <c r="M7726" t="s">
        <v>39864</v>
      </c>
      <c r="N7726" t="s">
        <v>43166</v>
      </c>
      <c r="O7726" t="s">
        <v>43167</v>
      </c>
      <c r="P7726">
        <v>0</v>
      </c>
      <c r="Q7726">
        <v>0</v>
      </c>
      <c r="R7726" t="s">
        <v>43173</v>
      </c>
      <c r="S7726" t="s">
        <v>43374</v>
      </c>
      <c r="T7726" t="s">
        <v>44758</v>
      </c>
      <c r="U7726" t="s">
        <v>51442</v>
      </c>
      <c r="W7726" t="s">
        <v>39864</v>
      </c>
      <c r="X7726" t="s">
        <v>43174</v>
      </c>
    </row>
    <row r="7727" spans="1:24">
      <c r="A7727">
        <f>HYPERLINK("https://www.philgeps.gov.ph/GEPSNONPILOT/Tender/SplashBidNoticeAbstractUI.aspx?menuIndex=3&amp;refID=7078558&amp;Result=3","7078558")</f>
        <v>0</v>
      </c>
      <c r="B7727" t="s">
        <v>565</v>
      </c>
      <c r="C7727" t="s">
        <v>10770</v>
      </c>
      <c r="D7727" t="s">
        <v>17430</v>
      </c>
      <c r="E7727" t="s">
        <v>18640</v>
      </c>
      <c r="F7727" t="s">
        <v>30052</v>
      </c>
      <c r="G7727" t="s">
        <v>30058</v>
      </c>
      <c r="H7727" t="s">
        <v>15498</v>
      </c>
      <c r="I7727" t="s">
        <v>30097</v>
      </c>
      <c r="J7727" t="s">
        <v>34928</v>
      </c>
      <c r="K7727" t="s">
        <v>39029</v>
      </c>
      <c r="M7727" t="s">
        <v>39867</v>
      </c>
      <c r="N7727" t="s">
        <v>43166</v>
      </c>
      <c r="O7727" t="s">
        <v>43167</v>
      </c>
      <c r="P7727">
        <v>0</v>
      </c>
      <c r="Q7727">
        <v>1</v>
      </c>
      <c r="R7727" t="s">
        <v>43173</v>
      </c>
      <c r="S7727" t="s">
        <v>43374</v>
      </c>
      <c r="T7727" t="s">
        <v>44882</v>
      </c>
      <c r="U7727" t="s">
        <v>51446</v>
      </c>
      <c r="W7727" t="s">
        <v>39867</v>
      </c>
      <c r="X7727" t="s">
        <v>43174</v>
      </c>
    </row>
    <row r="7728" spans="1:24">
      <c r="A7728">
        <f>HYPERLINK("https://www.philgeps.gov.ph/GEPSNONPILOT/Tender/SplashBidNoticeAbstractUI.aspx?menuIndex=3&amp;refID=7078581&amp;Result=3","7078581")</f>
        <v>0</v>
      </c>
      <c r="B7728" t="s">
        <v>2388</v>
      </c>
      <c r="C7728" t="s">
        <v>10771</v>
      </c>
      <c r="D7728" t="s">
        <v>17475</v>
      </c>
      <c r="E7728" t="s">
        <v>17540</v>
      </c>
      <c r="F7728" t="s">
        <v>30052</v>
      </c>
      <c r="G7728" t="s">
        <v>30058</v>
      </c>
      <c r="H7728" t="s">
        <v>15498</v>
      </c>
      <c r="I7728" t="s">
        <v>30114</v>
      </c>
      <c r="J7728" t="s">
        <v>34929</v>
      </c>
      <c r="K7728" t="s">
        <v>39034</v>
      </c>
      <c r="M7728" t="s">
        <v>41884</v>
      </c>
      <c r="N7728" t="s">
        <v>43166</v>
      </c>
      <c r="O7728" t="s">
        <v>43167</v>
      </c>
      <c r="P7728">
        <v>0</v>
      </c>
      <c r="Q7728">
        <v>3</v>
      </c>
      <c r="R7728" t="s">
        <v>43173</v>
      </c>
      <c r="S7728" t="s">
        <v>43374</v>
      </c>
      <c r="T7728" t="s">
        <v>44695</v>
      </c>
      <c r="U7728" t="s">
        <v>51447</v>
      </c>
      <c r="W7728" t="s">
        <v>41884</v>
      </c>
      <c r="X7728" t="s">
        <v>43174</v>
      </c>
    </row>
    <row r="7729" spans="1:24">
      <c r="A7729">
        <f>HYPERLINK("https://www.philgeps.gov.ph/GEPSNONPILOT/Tender/SplashBidNoticeAbstractUI.aspx?menuIndex=3&amp;refID=7078599&amp;Result=3","7078599")</f>
        <v>0</v>
      </c>
      <c r="B7729" t="s">
        <v>1300</v>
      </c>
      <c r="C7729" t="s">
        <v>10772</v>
      </c>
      <c r="D7729" t="s">
        <v>17434</v>
      </c>
      <c r="E7729" t="s">
        <v>24173</v>
      </c>
      <c r="F7729" t="s">
        <v>30052</v>
      </c>
      <c r="G7729" t="s">
        <v>30058</v>
      </c>
      <c r="H7729" t="s">
        <v>30069</v>
      </c>
      <c r="I7729" t="s">
        <v>30079</v>
      </c>
      <c r="J7729" t="s">
        <v>34930</v>
      </c>
      <c r="K7729" t="s">
        <v>39031</v>
      </c>
      <c r="M7729" t="s">
        <v>40666</v>
      </c>
      <c r="N7729" t="s">
        <v>43166</v>
      </c>
      <c r="O7729" t="s">
        <v>43167</v>
      </c>
      <c r="P7729">
        <v>0</v>
      </c>
      <c r="Q7729">
        <v>1</v>
      </c>
      <c r="R7729" t="s">
        <v>43173</v>
      </c>
      <c r="S7729" t="s">
        <v>43374</v>
      </c>
      <c r="T7729" t="s">
        <v>44796</v>
      </c>
      <c r="U7729" t="s">
        <v>48064</v>
      </c>
      <c r="V7729" t="s">
        <v>57230</v>
      </c>
      <c r="W7729" t="s">
        <v>40666</v>
      </c>
      <c r="X7729" t="s">
        <v>43174</v>
      </c>
    </row>
    <row r="7730" spans="1:24">
      <c r="A7730">
        <f>HYPERLINK("https://www.philgeps.gov.ph/GEPSNONPILOT/Tender/SplashBidNoticeAbstractUI.aspx?menuIndex=3&amp;refID=7078597&amp;Result=3","7078597")</f>
        <v>0</v>
      </c>
      <c r="B7730" t="s">
        <v>1207</v>
      </c>
      <c r="C7730" t="s">
        <v>10773</v>
      </c>
      <c r="D7730" t="s">
        <v>17462</v>
      </c>
      <c r="E7730" t="s">
        <v>24174</v>
      </c>
      <c r="F7730" t="s">
        <v>30052</v>
      </c>
      <c r="G7730" t="s">
        <v>30061</v>
      </c>
      <c r="H7730" t="s">
        <v>15498</v>
      </c>
      <c r="I7730" t="s">
        <v>30151</v>
      </c>
      <c r="J7730" t="s">
        <v>34931</v>
      </c>
      <c r="K7730" t="s">
        <v>39025</v>
      </c>
      <c r="M7730" t="s">
        <v>40561</v>
      </c>
      <c r="N7730" t="s">
        <v>43166</v>
      </c>
      <c r="O7730" t="s">
        <v>43167</v>
      </c>
      <c r="P7730">
        <v>0</v>
      </c>
      <c r="Q7730">
        <v>17</v>
      </c>
      <c r="R7730" t="s">
        <v>43173</v>
      </c>
      <c r="S7730" t="s">
        <v>43374</v>
      </c>
      <c r="T7730" t="s">
        <v>44788</v>
      </c>
      <c r="U7730" t="s">
        <v>51448</v>
      </c>
      <c r="V7730" t="s">
        <v>57193</v>
      </c>
      <c r="W7730" t="s">
        <v>40561</v>
      </c>
      <c r="X7730" t="s">
        <v>43174</v>
      </c>
    </row>
    <row r="7731" spans="1:24">
      <c r="A7731">
        <f>HYPERLINK("https://www.philgeps.gov.ph/GEPSNONPILOT/Tender/SplashBidNoticeAbstractUI.aspx?menuIndex=3&amp;refID=7078596&amp;Result=3","7078596")</f>
        <v>0</v>
      </c>
      <c r="B7731" t="s">
        <v>1278</v>
      </c>
      <c r="C7731" t="s">
        <v>10774</v>
      </c>
      <c r="D7731" t="s">
        <v>17449</v>
      </c>
      <c r="E7731" t="s">
        <v>24175</v>
      </c>
      <c r="F7731" t="s">
        <v>30052</v>
      </c>
      <c r="G7731" t="s">
        <v>30058</v>
      </c>
      <c r="H7731" t="s">
        <v>15498</v>
      </c>
      <c r="I7731" t="s">
        <v>4119</v>
      </c>
      <c r="J7731" t="s">
        <v>34932</v>
      </c>
      <c r="K7731" t="s">
        <v>39029</v>
      </c>
      <c r="M7731" t="s">
        <v>40642</v>
      </c>
      <c r="N7731" t="s">
        <v>43166</v>
      </c>
      <c r="O7731" t="s">
        <v>43167</v>
      </c>
      <c r="P7731">
        <v>0</v>
      </c>
      <c r="Q7731">
        <v>1</v>
      </c>
      <c r="R7731" t="s">
        <v>43173</v>
      </c>
      <c r="S7731" t="s">
        <v>43374</v>
      </c>
      <c r="T7731" t="s">
        <v>44832</v>
      </c>
      <c r="U7731" t="s">
        <v>51449</v>
      </c>
      <c r="V7731" t="s">
        <v>53094</v>
      </c>
      <c r="W7731" t="s">
        <v>40642</v>
      </c>
      <c r="X7731" t="s">
        <v>43174</v>
      </c>
    </row>
    <row r="7732" spans="1:24">
      <c r="A7732">
        <f>HYPERLINK("https://www.philgeps.gov.ph/GEPSNONPILOT/Tender/SplashBidNoticeAbstractUI.aspx?menuIndex=3&amp;refID=7078553&amp;Result=3","7078553")</f>
        <v>0</v>
      </c>
      <c r="B7732" t="s">
        <v>1100</v>
      </c>
      <c r="C7732" t="s">
        <v>5902</v>
      </c>
      <c r="D7732" t="s">
        <v>17466</v>
      </c>
      <c r="E7732" t="s">
        <v>24176</v>
      </c>
      <c r="F7732" t="s">
        <v>30052</v>
      </c>
      <c r="G7732" t="s">
        <v>30059</v>
      </c>
      <c r="H7732" t="s">
        <v>15498</v>
      </c>
      <c r="I7732" t="s">
        <v>30073</v>
      </c>
      <c r="J7732" t="s">
        <v>34933</v>
      </c>
      <c r="K7732" t="s">
        <v>39025</v>
      </c>
      <c r="M7732" t="s">
        <v>40439</v>
      </c>
      <c r="N7732" t="s">
        <v>43166</v>
      </c>
      <c r="O7732" t="s">
        <v>43167</v>
      </c>
      <c r="P7732">
        <v>0</v>
      </c>
      <c r="Q7732">
        <v>0</v>
      </c>
      <c r="R7732" t="s">
        <v>43173</v>
      </c>
      <c r="S7732" t="s">
        <v>43374</v>
      </c>
      <c r="T7732" t="s">
        <v>44717</v>
      </c>
      <c r="U7732" t="s">
        <v>49541</v>
      </c>
      <c r="W7732" t="s">
        <v>40439</v>
      </c>
      <c r="X7732" t="s">
        <v>43174</v>
      </c>
    </row>
    <row r="7733" spans="1:24">
      <c r="A7733">
        <f>HYPERLINK("https://www.philgeps.gov.ph/GEPSNONPILOT/Tender/SplashBidNoticeAbstractUI.aspx?menuIndex=3&amp;refID=7078595&amp;Result=3","7078595")</f>
        <v>0</v>
      </c>
      <c r="B7733" t="s">
        <v>1207</v>
      </c>
      <c r="C7733" t="s">
        <v>10775</v>
      </c>
      <c r="D7733" t="s">
        <v>17462</v>
      </c>
      <c r="E7733" t="s">
        <v>24177</v>
      </c>
      <c r="F7733" t="s">
        <v>30052</v>
      </c>
      <c r="G7733" t="s">
        <v>30061</v>
      </c>
      <c r="H7733" t="s">
        <v>15498</v>
      </c>
      <c r="I7733" t="s">
        <v>9238</v>
      </c>
      <c r="J7733" t="s">
        <v>30720</v>
      </c>
      <c r="K7733" t="s">
        <v>39025</v>
      </c>
      <c r="M7733" t="s">
        <v>40561</v>
      </c>
      <c r="N7733" t="s">
        <v>43166</v>
      </c>
      <c r="O7733" t="s">
        <v>43167</v>
      </c>
      <c r="P7733">
        <v>0</v>
      </c>
      <c r="Q7733">
        <v>11</v>
      </c>
      <c r="R7733" t="s">
        <v>43173</v>
      </c>
      <c r="S7733" t="s">
        <v>43374</v>
      </c>
      <c r="T7733" t="s">
        <v>44788</v>
      </c>
      <c r="U7733" t="s">
        <v>51450</v>
      </c>
      <c r="V7733" t="s">
        <v>57193</v>
      </c>
      <c r="W7733" t="s">
        <v>40561</v>
      </c>
      <c r="X7733" t="s">
        <v>43174</v>
      </c>
    </row>
    <row r="7734" spans="1:24">
      <c r="A7734">
        <f>HYPERLINK("https://www.philgeps.gov.ph/GEPSNONPILOT/Tender/SplashBidNoticeAbstractUI.aspx?menuIndex=3&amp;refID=7078593&amp;Result=3","7078593")</f>
        <v>0</v>
      </c>
      <c r="B7734" t="s">
        <v>665</v>
      </c>
      <c r="C7734" t="s">
        <v>10776</v>
      </c>
      <c r="D7734" t="s">
        <v>17432</v>
      </c>
      <c r="E7734" t="s">
        <v>24178</v>
      </c>
      <c r="F7734" t="s">
        <v>30052</v>
      </c>
      <c r="G7734" t="s">
        <v>30058</v>
      </c>
      <c r="H7734" t="s">
        <v>15498</v>
      </c>
      <c r="I7734" t="s">
        <v>30081</v>
      </c>
      <c r="J7734" t="s">
        <v>34934</v>
      </c>
      <c r="K7734" t="s">
        <v>39025</v>
      </c>
      <c r="M7734" t="s">
        <v>39971</v>
      </c>
      <c r="N7734" t="s">
        <v>43166</v>
      </c>
      <c r="O7734" t="s">
        <v>43167</v>
      </c>
      <c r="P7734">
        <v>0</v>
      </c>
      <c r="Q7734">
        <v>1</v>
      </c>
      <c r="R7734" t="s">
        <v>43173</v>
      </c>
      <c r="S7734" t="s">
        <v>43374</v>
      </c>
      <c r="T7734" t="s">
        <v>44758</v>
      </c>
      <c r="U7734" t="s">
        <v>51451</v>
      </c>
      <c r="W7734" t="s">
        <v>39971</v>
      </c>
      <c r="X7734" t="s">
        <v>43174</v>
      </c>
    </row>
    <row r="7735" spans="1:24">
      <c r="A7735">
        <f>HYPERLINK("https://www.philgeps.gov.ph/GEPSNONPILOT/Tender/SplashBidNoticeAbstractUI.aspx?menuIndex=3&amp;refID=7078587&amp;Result=3","7078587")</f>
        <v>0</v>
      </c>
      <c r="B7735" t="s">
        <v>1721</v>
      </c>
      <c r="C7735" t="s">
        <v>10777</v>
      </c>
      <c r="D7735" t="s">
        <v>17465</v>
      </c>
      <c r="E7735" t="s">
        <v>24155</v>
      </c>
      <c r="F7735" t="s">
        <v>30052</v>
      </c>
      <c r="G7735" t="s">
        <v>30061</v>
      </c>
      <c r="H7735" t="s">
        <v>15498</v>
      </c>
      <c r="I7735" t="s">
        <v>30071</v>
      </c>
      <c r="J7735" t="s">
        <v>34935</v>
      </c>
      <c r="K7735" t="s">
        <v>39025</v>
      </c>
      <c r="M7735" t="s">
        <v>41137</v>
      </c>
      <c r="N7735" t="s">
        <v>43166</v>
      </c>
      <c r="O7735" t="s">
        <v>43167</v>
      </c>
      <c r="P7735">
        <v>0</v>
      </c>
      <c r="Q7735">
        <v>3</v>
      </c>
      <c r="R7735" t="s">
        <v>43173</v>
      </c>
      <c r="S7735" t="s">
        <v>43374</v>
      </c>
      <c r="T7735" t="s">
        <v>44734</v>
      </c>
      <c r="U7735" t="s">
        <v>51452</v>
      </c>
      <c r="W7735" t="s">
        <v>41137</v>
      </c>
      <c r="X7735" t="s">
        <v>43174</v>
      </c>
    </row>
    <row r="7736" spans="1:24">
      <c r="A7736">
        <f>HYPERLINK("https://www.philgeps.gov.ph/GEPSNONPILOT/Tender/SplashBidNoticeAbstractUI.aspx?menuIndex=3&amp;refID=7078586&amp;Result=3","7078586")</f>
        <v>0</v>
      </c>
      <c r="B7736" t="s">
        <v>423</v>
      </c>
      <c r="C7736" t="s">
        <v>10778</v>
      </c>
      <c r="D7736" t="s">
        <v>17424</v>
      </c>
      <c r="E7736" t="s">
        <v>24179</v>
      </c>
      <c r="F7736" t="s">
        <v>30052</v>
      </c>
      <c r="G7736" t="s">
        <v>30059</v>
      </c>
      <c r="H7736" t="s">
        <v>30069</v>
      </c>
      <c r="I7736" t="s">
        <v>30083</v>
      </c>
      <c r="J7736" t="s">
        <v>30514</v>
      </c>
      <c r="K7736" t="s">
        <v>39019</v>
      </c>
      <c r="M7736" t="s">
        <v>39722</v>
      </c>
      <c r="N7736" t="s">
        <v>43166</v>
      </c>
      <c r="O7736" t="s">
        <v>43167</v>
      </c>
      <c r="P7736">
        <v>0</v>
      </c>
      <c r="Q7736">
        <v>0</v>
      </c>
      <c r="R7736" t="s">
        <v>43173</v>
      </c>
      <c r="S7736" t="s">
        <v>43374</v>
      </c>
      <c r="T7736" t="s">
        <v>44708</v>
      </c>
      <c r="U7736" t="s">
        <v>51453</v>
      </c>
      <c r="W7736" t="s">
        <v>39722</v>
      </c>
      <c r="X7736" t="s">
        <v>43174</v>
      </c>
    </row>
    <row r="7737" spans="1:24">
      <c r="A7737">
        <f>HYPERLINK("https://www.philgeps.gov.ph/GEPSNONPILOT/Tender/SplashBidNoticeAbstractUI.aspx?menuIndex=3&amp;refID=7078556&amp;Result=3","7078556")</f>
        <v>0</v>
      </c>
      <c r="B7737" t="s">
        <v>1100</v>
      </c>
      <c r="C7737" t="s">
        <v>10779</v>
      </c>
      <c r="D7737" t="s">
        <v>17466</v>
      </c>
      <c r="E7737" t="s">
        <v>24180</v>
      </c>
      <c r="F7737" t="s">
        <v>30052</v>
      </c>
      <c r="G7737" t="s">
        <v>30059</v>
      </c>
      <c r="H7737" t="s">
        <v>15498</v>
      </c>
      <c r="I7737" t="s">
        <v>4650</v>
      </c>
      <c r="J7737" t="s">
        <v>31186</v>
      </c>
      <c r="K7737" t="s">
        <v>39025</v>
      </c>
      <c r="M7737" t="s">
        <v>40439</v>
      </c>
      <c r="N7737" t="s">
        <v>43166</v>
      </c>
      <c r="O7737" t="s">
        <v>43167</v>
      </c>
      <c r="P7737">
        <v>0</v>
      </c>
      <c r="Q7737">
        <v>4</v>
      </c>
      <c r="R7737" t="s">
        <v>43173</v>
      </c>
      <c r="S7737" t="s">
        <v>43374</v>
      </c>
      <c r="T7737" t="s">
        <v>44859</v>
      </c>
      <c r="U7737" t="s">
        <v>48450</v>
      </c>
      <c r="W7737" t="s">
        <v>40439</v>
      </c>
      <c r="X7737" t="s">
        <v>43174</v>
      </c>
    </row>
    <row r="7738" spans="1:24">
      <c r="A7738">
        <f>HYPERLINK("https://www.philgeps.gov.ph/GEPSNONPILOT/Tender/SplashBidNoticeAbstractUI.aspx?menuIndex=3&amp;refID=7078589&amp;Result=3","7078589")</f>
        <v>0</v>
      </c>
      <c r="B7738" t="s">
        <v>665</v>
      </c>
      <c r="C7738" t="s">
        <v>10780</v>
      </c>
      <c r="D7738" t="s">
        <v>17432</v>
      </c>
      <c r="E7738" t="s">
        <v>24181</v>
      </c>
      <c r="F7738" t="s">
        <v>30052</v>
      </c>
      <c r="G7738" t="s">
        <v>30058</v>
      </c>
      <c r="H7738" t="s">
        <v>15498</v>
      </c>
      <c r="I7738" t="s">
        <v>3736</v>
      </c>
      <c r="J7738" t="s">
        <v>34936</v>
      </c>
      <c r="K7738" t="s">
        <v>39025</v>
      </c>
      <c r="M7738" t="s">
        <v>39971</v>
      </c>
      <c r="N7738" t="s">
        <v>43166</v>
      </c>
      <c r="O7738" t="s">
        <v>43167</v>
      </c>
      <c r="P7738">
        <v>0</v>
      </c>
      <c r="Q7738">
        <v>1</v>
      </c>
      <c r="R7738" t="s">
        <v>43173</v>
      </c>
      <c r="S7738" t="s">
        <v>43374</v>
      </c>
      <c r="T7738" t="s">
        <v>44796</v>
      </c>
      <c r="U7738" t="s">
        <v>51454</v>
      </c>
      <c r="W7738" t="s">
        <v>39971</v>
      </c>
      <c r="X7738" t="s">
        <v>43174</v>
      </c>
    </row>
    <row r="7739" spans="1:24">
      <c r="A7739">
        <f>HYPERLINK("https://www.philgeps.gov.ph/GEPSNONPILOT/Tender/SplashBidNoticeAbstractUI.aspx?menuIndex=3&amp;refID=7078527&amp;Result=3","7078527")</f>
        <v>0</v>
      </c>
      <c r="B7739" t="s">
        <v>2389</v>
      </c>
      <c r="C7739" t="s">
        <v>10781</v>
      </c>
      <c r="D7739" t="s">
        <v>17471</v>
      </c>
      <c r="E7739" t="s">
        <v>18583</v>
      </c>
      <c r="F7739" t="s">
        <v>30052</v>
      </c>
      <c r="G7739" t="s">
        <v>30058</v>
      </c>
      <c r="H7739" t="s">
        <v>30067</v>
      </c>
      <c r="I7739" t="s">
        <v>30082</v>
      </c>
      <c r="J7739" t="s">
        <v>34937</v>
      </c>
      <c r="K7739" t="s">
        <v>39031</v>
      </c>
      <c r="M7739" t="s">
        <v>41885</v>
      </c>
      <c r="N7739" t="s">
        <v>43166</v>
      </c>
      <c r="O7739" t="s">
        <v>43167</v>
      </c>
      <c r="P7739">
        <v>0</v>
      </c>
      <c r="Q7739">
        <v>1</v>
      </c>
      <c r="R7739" t="s">
        <v>43173</v>
      </c>
      <c r="S7739" t="s">
        <v>43374</v>
      </c>
      <c r="T7739" t="s">
        <v>44873</v>
      </c>
      <c r="U7739" t="s">
        <v>51455</v>
      </c>
      <c r="W7739" t="s">
        <v>41885</v>
      </c>
      <c r="X7739" t="s">
        <v>43174</v>
      </c>
    </row>
    <row r="7740" spans="1:24">
      <c r="A7740">
        <f>HYPERLINK("https://www.philgeps.gov.ph/GEPSNONPILOT/Tender/SplashBidNoticeAbstractUI.aspx?menuIndex=3&amp;refID=7078559&amp;Result=3","7078559")</f>
        <v>0</v>
      </c>
      <c r="B7740" t="s">
        <v>1137</v>
      </c>
      <c r="C7740" t="s">
        <v>10782</v>
      </c>
      <c r="D7740" t="s">
        <v>17435</v>
      </c>
      <c r="E7740" t="s">
        <v>24182</v>
      </c>
      <c r="F7740" t="s">
        <v>30052</v>
      </c>
      <c r="G7740" t="s">
        <v>30061</v>
      </c>
      <c r="H7740" t="s">
        <v>15498</v>
      </c>
      <c r="I7740" t="s">
        <v>3606</v>
      </c>
      <c r="J7740" t="s">
        <v>34938</v>
      </c>
      <c r="K7740" t="s">
        <v>39017</v>
      </c>
      <c r="M7740" t="s">
        <v>41883</v>
      </c>
      <c r="N7740" t="s">
        <v>43166</v>
      </c>
      <c r="O7740" t="s">
        <v>43167</v>
      </c>
      <c r="P7740">
        <v>0</v>
      </c>
      <c r="Q7740">
        <v>0</v>
      </c>
      <c r="R7740" t="s">
        <v>43173</v>
      </c>
      <c r="S7740" t="s">
        <v>43374</v>
      </c>
      <c r="T7740" t="s">
        <v>44696</v>
      </c>
      <c r="U7740" t="s">
        <v>51445</v>
      </c>
      <c r="W7740" t="s">
        <v>41883</v>
      </c>
      <c r="X7740" t="s">
        <v>43174</v>
      </c>
    </row>
    <row r="7741" spans="1:24">
      <c r="A7741">
        <f>HYPERLINK("https://www.philgeps.gov.ph/GEPSNONPILOT/Tender/SplashBidNoticeAbstractUI.aspx?menuIndex=3&amp;refID=7078608&amp;Result=3","7078608")</f>
        <v>0</v>
      </c>
      <c r="B7741" t="s">
        <v>665</v>
      </c>
      <c r="C7741" t="s">
        <v>10783</v>
      </c>
      <c r="D7741" t="s">
        <v>17432</v>
      </c>
      <c r="E7741" t="s">
        <v>24183</v>
      </c>
      <c r="F7741" t="s">
        <v>30052</v>
      </c>
      <c r="G7741" t="s">
        <v>30058</v>
      </c>
      <c r="H7741" t="s">
        <v>15498</v>
      </c>
      <c r="I7741" t="s">
        <v>30147</v>
      </c>
      <c r="J7741" t="s">
        <v>34939</v>
      </c>
      <c r="K7741" t="s">
        <v>39025</v>
      </c>
      <c r="M7741" t="s">
        <v>39971</v>
      </c>
      <c r="N7741" t="s">
        <v>43166</v>
      </c>
      <c r="O7741" t="s">
        <v>43167</v>
      </c>
      <c r="P7741">
        <v>0</v>
      </c>
      <c r="Q7741">
        <v>1</v>
      </c>
      <c r="R7741" t="s">
        <v>43173</v>
      </c>
      <c r="S7741" t="s">
        <v>43374</v>
      </c>
      <c r="T7741" t="s">
        <v>45064</v>
      </c>
      <c r="U7741" t="s">
        <v>51456</v>
      </c>
      <c r="W7741" t="s">
        <v>39971</v>
      </c>
      <c r="X7741" t="s">
        <v>43174</v>
      </c>
    </row>
    <row r="7742" spans="1:24">
      <c r="A7742">
        <f>HYPERLINK("https://www.philgeps.gov.ph/GEPSNONPILOT/Tender/SplashBidNoticeAbstractUI.aspx?menuIndex=3&amp;refID=7078629&amp;Result=3","7078629")</f>
        <v>0</v>
      </c>
      <c r="B7742" t="s">
        <v>2390</v>
      </c>
      <c r="C7742" t="s">
        <v>10784</v>
      </c>
      <c r="D7742" t="s">
        <v>17471</v>
      </c>
      <c r="E7742" t="s">
        <v>24184</v>
      </c>
      <c r="F7742" t="s">
        <v>30055</v>
      </c>
      <c r="G7742" t="s">
        <v>30058</v>
      </c>
      <c r="H7742" t="s">
        <v>15498</v>
      </c>
      <c r="I7742" t="s">
        <v>30087</v>
      </c>
      <c r="J7742" t="s">
        <v>30252</v>
      </c>
      <c r="K7742" t="s">
        <v>39032</v>
      </c>
      <c r="L7742" t="s">
        <v>2390</v>
      </c>
      <c r="M7742" t="s">
        <v>41886</v>
      </c>
      <c r="N7742" t="s">
        <v>43166</v>
      </c>
      <c r="O7742" t="s">
        <v>43167</v>
      </c>
      <c r="P7742">
        <v>0</v>
      </c>
      <c r="Q7742">
        <v>1</v>
      </c>
      <c r="R7742" t="s">
        <v>43173</v>
      </c>
      <c r="S7742" t="s">
        <v>43374</v>
      </c>
      <c r="T7742" t="s">
        <v>44690</v>
      </c>
      <c r="U7742" t="s">
        <v>51457</v>
      </c>
      <c r="W7742" t="s">
        <v>41886</v>
      </c>
      <c r="X7742" t="s">
        <v>43174</v>
      </c>
    </row>
    <row r="7743" spans="1:24">
      <c r="A7743">
        <f>HYPERLINK("https://www.philgeps.gov.ph/GEPSNONPILOT/Tender/SplashBidNoticeAbstractUI.aspx?menuIndex=3&amp;refID=7078627&amp;Result=3","7078627")</f>
        <v>0</v>
      </c>
      <c r="B7743" t="s">
        <v>2391</v>
      </c>
      <c r="C7743" t="s">
        <v>10785</v>
      </c>
      <c r="D7743" t="s">
        <v>17441</v>
      </c>
      <c r="E7743" t="s">
        <v>17779</v>
      </c>
      <c r="F7743" t="s">
        <v>30052</v>
      </c>
      <c r="G7743" t="s">
        <v>30058</v>
      </c>
      <c r="H7743" t="s">
        <v>15498</v>
      </c>
      <c r="I7743" t="s">
        <v>5961</v>
      </c>
      <c r="J7743" t="s">
        <v>34940</v>
      </c>
      <c r="K7743" t="s">
        <v>39017</v>
      </c>
      <c r="M7743" t="s">
        <v>41887</v>
      </c>
      <c r="N7743" t="s">
        <v>43166</v>
      </c>
      <c r="O7743" t="s">
        <v>43167</v>
      </c>
      <c r="P7743">
        <v>0</v>
      </c>
      <c r="Q7743">
        <v>2</v>
      </c>
      <c r="R7743" t="s">
        <v>43173</v>
      </c>
      <c r="S7743" t="s">
        <v>43374</v>
      </c>
      <c r="T7743" t="s">
        <v>44734</v>
      </c>
      <c r="U7743" t="s">
        <v>51458</v>
      </c>
      <c r="V7743" t="s">
        <v>57643</v>
      </c>
      <c r="W7743" t="s">
        <v>41887</v>
      </c>
      <c r="X7743" t="s">
        <v>43174</v>
      </c>
    </row>
    <row r="7744" spans="1:24">
      <c r="A7744">
        <f>HYPERLINK("https://www.philgeps.gov.ph/GEPSNONPILOT/Tender/SplashBidNoticeAbstractUI.aspx?menuIndex=3&amp;refID=7078631&amp;Result=3","7078631")</f>
        <v>0</v>
      </c>
      <c r="B7744" t="s">
        <v>104</v>
      </c>
      <c r="C7744" t="s">
        <v>10786</v>
      </c>
      <c r="D7744" t="s">
        <v>17457</v>
      </c>
      <c r="E7744" t="s">
        <v>24185</v>
      </c>
      <c r="F7744" t="s">
        <v>30052</v>
      </c>
      <c r="G7744" t="s">
        <v>30058</v>
      </c>
      <c r="H7744" t="s">
        <v>15498</v>
      </c>
      <c r="I7744" t="s">
        <v>3736</v>
      </c>
      <c r="J7744" t="s">
        <v>34941</v>
      </c>
      <c r="K7744" t="s">
        <v>39025</v>
      </c>
      <c r="M7744" t="s">
        <v>39393</v>
      </c>
      <c r="N7744" t="s">
        <v>43166</v>
      </c>
      <c r="O7744" t="s">
        <v>43167</v>
      </c>
      <c r="P7744">
        <v>0</v>
      </c>
      <c r="Q7744">
        <v>0</v>
      </c>
      <c r="R7744" t="s">
        <v>43173</v>
      </c>
      <c r="S7744" t="s">
        <v>43374</v>
      </c>
      <c r="T7744" t="s">
        <v>44796</v>
      </c>
      <c r="U7744" t="s">
        <v>51459</v>
      </c>
      <c r="V7744" t="s">
        <v>57514</v>
      </c>
      <c r="W7744" t="s">
        <v>39393</v>
      </c>
      <c r="X7744" t="s">
        <v>43174</v>
      </c>
    </row>
    <row r="7745" spans="1:24">
      <c r="A7745">
        <f>HYPERLINK("https://www.philgeps.gov.ph/GEPSNONPILOT/Tender/SplashBidNoticeAbstractUI.aspx?menuIndex=3&amp;refID=7078625&amp;Result=3","7078625")</f>
        <v>0</v>
      </c>
      <c r="B7745" t="s">
        <v>1721</v>
      </c>
      <c r="C7745" t="s">
        <v>10787</v>
      </c>
      <c r="D7745" t="s">
        <v>17465</v>
      </c>
      <c r="E7745" t="s">
        <v>24155</v>
      </c>
      <c r="F7745" t="s">
        <v>30052</v>
      </c>
      <c r="G7745" t="s">
        <v>30061</v>
      </c>
      <c r="H7745" t="s">
        <v>15498</v>
      </c>
      <c r="I7745" t="s">
        <v>30105</v>
      </c>
      <c r="J7745" t="s">
        <v>30905</v>
      </c>
      <c r="K7745" t="s">
        <v>39025</v>
      </c>
      <c r="M7745" t="s">
        <v>41137</v>
      </c>
      <c r="N7745" t="s">
        <v>43166</v>
      </c>
      <c r="O7745" t="s">
        <v>43167</v>
      </c>
      <c r="P7745">
        <v>0</v>
      </c>
      <c r="Q7745">
        <v>2</v>
      </c>
      <c r="R7745" t="s">
        <v>43173</v>
      </c>
      <c r="S7745" t="s">
        <v>43374</v>
      </c>
      <c r="T7745" t="s">
        <v>44734</v>
      </c>
      <c r="U7745" t="s">
        <v>49232</v>
      </c>
      <c r="W7745" t="s">
        <v>41137</v>
      </c>
      <c r="X7745" t="s">
        <v>43174</v>
      </c>
    </row>
    <row r="7746" spans="1:24">
      <c r="A7746">
        <f>HYPERLINK("https://www.philgeps.gov.ph/GEPSNONPILOT/Tender/SplashBidNoticeAbstractUI.aspx?menuIndex=3&amp;refID=7078624&amp;Result=3","7078624")</f>
        <v>0</v>
      </c>
      <c r="B7746" t="s">
        <v>2390</v>
      </c>
      <c r="C7746" t="s">
        <v>10788</v>
      </c>
      <c r="D7746" t="s">
        <v>17471</v>
      </c>
      <c r="E7746" t="s">
        <v>24186</v>
      </c>
      <c r="F7746" t="s">
        <v>30055</v>
      </c>
      <c r="G7746" t="s">
        <v>30058</v>
      </c>
      <c r="H7746" t="s">
        <v>15498</v>
      </c>
      <c r="I7746" t="s">
        <v>30087</v>
      </c>
      <c r="J7746" t="s">
        <v>30252</v>
      </c>
      <c r="K7746" t="s">
        <v>39032</v>
      </c>
      <c r="L7746" t="s">
        <v>2390</v>
      </c>
      <c r="M7746" t="s">
        <v>41886</v>
      </c>
      <c r="N7746" t="s">
        <v>43166</v>
      </c>
      <c r="O7746" t="s">
        <v>43167</v>
      </c>
      <c r="P7746">
        <v>0</v>
      </c>
      <c r="Q7746">
        <v>1</v>
      </c>
      <c r="R7746" t="s">
        <v>43173</v>
      </c>
      <c r="S7746" t="s">
        <v>43374</v>
      </c>
      <c r="T7746" t="s">
        <v>44690</v>
      </c>
      <c r="U7746" t="s">
        <v>51460</v>
      </c>
      <c r="W7746" t="s">
        <v>41886</v>
      </c>
      <c r="X7746" t="s">
        <v>43174</v>
      </c>
    </row>
    <row r="7747" spans="1:24">
      <c r="A7747">
        <f>HYPERLINK("https://www.philgeps.gov.ph/GEPSNONPILOT/Tender/SplashBidNoticeAbstractUI.aspx?menuIndex=3&amp;refID=7078621&amp;Result=3","7078621")</f>
        <v>0</v>
      </c>
      <c r="B7747" t="s">
        <v>2392</v>
      </c>
      <c r="C7747" t="s">
        <v>10789</v>
      </c>
      <c r="D7747" t="s">
        <v>17415</v>
      </c>
      <c r="E7747" t="s">
        <v>24187</v>
      </c>
      <c r="F7747" t="s">
        <v>30052</v>
      </c>
      <c r="G7747" t="s">
        <v>30059</v>
      </c>
      <c r="H7747" t="s">
        <v>15498</v>
      </c>
      <c r="I7747" t="s">
        <v>30076</v>
      </c>
      <c r="J7747" t="s">
        <v>34559</v>
      </c>
      <c r="K7747" t="s">
        <v>39017</v>
      </c>
      <c r="M7747" t="s">
        <v>41888</v>
      </c>
      <c r="N7747" t="s">
        <v>43166</v>
      </c>
      <c r="O7747" t="s">
        <v>43167</v>
      </c>
      <c r="P7747">
        <v>0</v>
      </c>
      <c r="Q7747">
        <v>36</v>
      </c>
      <c r="R7747" t="s">
        <v>43173</v>
      </c>
      <c r="S7747" t="s">
        <v>43374</v>
      </c>
      <c r="T7747" t="s">
        <v>44969</v>
      </c>
      <c r="U7747" t="s">
        <v>51461</v>
      </c>
      <c r="W7747" t="s">
        <v>41888</v>
      </c>
      <c r="X7747" t="s">
        <v>43174</v>
      </c>
    </row>
    <row r="7748" spans="1:24">
      <c r="A7748">
        <f>HYPERLINK("https://www.philgeps.gov.ph/GEPSNONPILOT/Tender/SplashBidNoticeAbstractUI.aspx?menuIndex=3&amp;refID=7078620&amp;Result=3","7078620")</f>
        <v>0</v>
      </c>
      <c r="B7748" t="s">
        <v>2390</v>
      </c>
      <c r="C7748" t="s">
        <v>10790</v>
      </c>
      <c r="D7748" t="s">
        <v>17471</v>
      </c>
      <c r="E7748" t="s">
        <v>24188</v>
      </c>
      <c r="F7748" t="s">
        <v>30055</v>
      </c>
      <c r="G7748" t="s">
        <v>30058</v>
      </c>
      <c r="H7748" t="s">
        <v>15498</v>
      </c>
      <c r="I7748" t="s">
        <v>30091</v>
      </c>
      <c r="J7748" t="s">
        <v>30227</v>
      </c>
      <c r="K7748" t="s">
        <v>39029</v>
      </c>
      <c r="L7748" t="s">
        <v>2390</v>
      </c>
      <c r="M7748" t="s">
        <v>41886</v>
      </c>
      <c r="N7748" t="s">
        <v>43166</v>
      </c>
      <c r="O7748" t="s">
        <v>43167</v>
      </c>
      <c r="P7748">
        <v>0</v>
      </c>
      <c r="Q7748">
        <v>4</v>
      </c>
      <c r="R7748" t="s">
        <v>43173</v>
      </c>
      <c r="S7748" t="s">
        <v>43374</v>
      </c>
      <c r="T7748" t="s">
        <v>44690</v>
      </c>
      <c r="U7748" t="s">
        <v>51462</v>
      </c>
      <c r="W7748" t="s">
        <v>41886</v>
      </c>
      <c r="X7748" t="s">
        <v>43174</v>
      </c>
    </row>
    <row r="7749" spans="1:24">
      <c r="A7749">
        <f>HYPERLINK("https://www.philgeps.gov.ph/GEPSNONPILOT/Tender/SplashBidNoticeAbstractUI.aspx?menuIndex=3&amp;refID=7078609&amp;Result=3","7078609")</f>
        <v>0</v>
      </c>
      <c r="B7749" t="s">
        <v>2109</v>
      </c>
      <c r="C7749" t="s">
        <v>10791</v>
      </c>
      <c r="D7749" t="s">
        <v>17447</v>
      </c>
      <c r="E7749" t="s">
        <v>24189</v>
      </c>
      <c r="F7749" t="s">
        <v>30052</v>
      </c>
      <c r="G7749" t="s">
        <v>30058</v>
      </c>
      <c r="H7749" t="s">
        <v>30067</v>
      </c>
      <c r="I7749" t="s">
        <v>3693</v>
      </c>
      <c r="J7749" t="s">
        <v>31160</v>
      </c>
      <c r="K7749" t="s">
        <v>39057</v>
      </c>
      <c r="M7749" t="s">
        <v>41571</v>
      </c>
      <c r="N7749" t="s">
        <v>43166</v>
      </c>
      <c r="O7749" t="s">
        <v>43167</v>
      </c>
      <c r="P7749">
        <v>0</v>
      </c>
      <c r="Q7749">
        <v>4</v>
      </c>
      <c r="R7749" t="s">
        <v>43173</v>
      </c>
      <c r="S7749" t="s">
        <v>43374</v>
      </c>
      <c r="T7749" t="s">
        <v>44716</v>
      </c>
      <c r="U7749" t="s">
        <v>51463</v>
      </c>
      <c r="V7749" t="s">
        <v>57644</v>
      </c>
      <c r="W7749" t="s">
        <v>58673</v>
      </c>
      <c r="X7749" t="s">
        <v>43174</v>
      </c>
    </row>
    <row r="7750" spans="1:24">
      <c r="A7750">
        <f>HYPERLINK("https://www.philgeps.gov.ph/GEPSNONPILOT/Tender/SplashBidNoticeAbstractUI.aspx?menuIndex=3&amp;refID=7078617&amp;Result=3","7078617")</f>
        <v>0</v>
      </c>
      <c r="B7750" t="s">
        <v>2393</v>
      </c>
      <c r="C7750" t="s">
        <v>10792</v>
      </c>
      <c r="D7750" t="s">
        <v>17459</v>
      </c>
      <c r="E7750" t="s">
        <v>18749</v>
      </c>
      <c r="F7750" t="s">
        <v>30055</v>
      </c>
      <c r="G7750" t="s">
        <v>30058</v>
      </c>
      <c r="H7750" t="s">
        <v>15498</v>
      </c>
      <c r="I7750" t="s">
        <v>3736</v>
      </c>
      <c r="J7750" t="s">
        <v>34942</v>
      </c>
      <c r="K7750" t="s">
        <v>39034</v>
      </c>
      <c r="M7750" t="s">
        <v>41889</v>
      </c>
      <c r="N7750" t="s">
        <v>43166</v>
      </c>
      <c r="O7750" t="s">
        <v>43167</v>
      </c>
      <c r="P7750">
        <v>0</v>
      </c>
      <c r="Q7750">
        <v>0</v>
      </c>
      <c r="R7750" t="s">
        <v>43173</v>
      </c>
      <c r="S7750" t="s">
        <v>43374</v>
      </c>
      <c r="T7750" t="s">
        <v>44750</v>
      </c>
      <c r="U7750" t="s">
        <v>51464</v>
      </c>
      <c r="W7750" t="s">
        <v>41889</v>
      </c>
      <c r="X7750" t="s">
        <v>43174</v>
      </c>
    </row>
    <row r="7751" spans="1:24">
      <c r="A7751">
        <f>HYPERLINK("https://www.philgeps.gov.ph/GEPSNONPILOT/Tender/SplashBidNoticeAbstractUI.aspx?menuIndex=3&amp;refID=7078628&amp;Result=3","7078628")</f>
        <v>0</v>
      </c>
      <c r="B7751" t="s">
        <v>2393</v>
      </c>
      <c r="C7751" t="s">
        <v>10793</v>
      </c>
      <c r="D7751" t="s">
        <v>17459</v>
      </c>
      <c r="E7751" t="s">
        <v>18749</v>
      </c>
      <c r="F7751" t="s">
        <v>30055</v>
      </c>
      <c r="G7751" t="s">
        <v>30058</v>
      </c>
      <c r="H7751" t="s">
        <v>15498</v>
      </c>
      <c r="I7751" t="s">
        <v>3736</v>
      </c>
      <c r="J7751" t="s">
        <v>34943</v>
      </c>
      <c r="K7751" t="s">
        <v>39034</v>
      </c>
      <c r="M7751" t="s">
        <v>41889</v>
      </c>
      <c r="N7751" t="s">
        <v>43166</v>
      </c>
      <c r="O7751" t="s">
        <v>43167</v>
      </c>
      <c r="P7751">
        <v>0</v>
      </c>
      <c r="Q7751">
        <v>0</v>
      </c>
      <c r="R7751" t="s">
        <v>43173</v>
      </c>
      <c r="S7751" t="s">
        <v>43374</v>
      </c>
      <c r="T7751" t="s">
        <v>44750</v>
      </c>
      <c r="U7751" t="s">
        <v>51465</v>
      </c>
      <c r="V7751" t="s">
        <v>57645</v>
      </c>
      <c r="W7751" t="s">
        <v>41889</v>
      </c>
      <c r="X7751" t="s">
        <v>43174</v>
      </c>
    </row>
    <row r="7752" spans="1:24">
      <c r="A7752">
        <f>HYPERLINK("https://www.philgeps.gov.ph/GEPSNONPILOT/Tender/SplashBidNoticeAbstractUI.aspx?menuIndex=3&amp;refID=7078616&amp;Result=3","7078616")</f>
        <v>0</v>
      </c>
      <c r="B7752" t="s">
        <v>199</v>
      </c>
      <c r="C7752" t="s">
        <v>10794</v>
      </c>
      <c r="D7752" t="s">
        <v>17415</v>
      </c>
      <c r="E7752" t="s">
        <v>24190</v>
      </c>
      <c r="F7752" t="s">
        <v>30052</v>
      </c>
      <c r="G7752" t="s">
        <v>30058</v>
      </c>
      <c r="H7752" t="s">
        <v>15498</v>
      </c>
      <c r="I7752" t="s">
        <v>6304</v>
      </c>
      <c r="J7752" t="s">
        <v>32481</v>
      </c>
      <c r="K7752" t="s">
        <v>39046</v>
      </c>
      <c r="M7752" t="s">
        <v>40554</v>
      </c>
      <c r="N7752" t="s">
        <v>43166</v>
      </c>
      <c r="O7752" t="s">
        <v>43167</v>
      </c>
      <c r="P7752">
        <v>0</v>
      </c>
      <c r="Q7752">
        <v>7</v>
      </c>
      <c r="R7752" t="s">
        <v>43173</v>
      </c>
      <c r="S7752" t="s">
        <v>43374</v>
      </c>
      <c r="T7752" t="s">
        <v>44722</v>
      </c>
      <c r="U7752" t="s">
        <v>51466</v>
      </c>
      <c r="W7752" t="s">
        <v>40554</v>
      </c>
      <c r="X7752" t="s">
        <v>43174</v>
      </c>
    </row>
    <row r="7753" spans="1:24">
      <c r="A7753">
        <f>HYPERLINK("https://www.philgeps.gov.ph/GEPSNONPILOT/Tender/SplashBidNoticeAbstractUI.aspx?menuIndex=3&amp;refID=7078614&amp;Result=3","7078614")</f>
        <v>0</v>
      </c>
      <c r="B7753" t="s">
        <v>2109</v>
      </c>
      <c r="C7753" t="s">
        <v>10795</v>
      </c>
      <c r="D7753" t="s">
        <v>17447</v>
      </c>
      <c r="E7753" t="s">
        <v>24191</v>
      </c>
      <c r="F7753" t="s">
        <v>30052</v>
      </c>
      <c r="G7753" t="s">
        <v>30058</v>
      </c>
      <c r="H7753" t="s">
        <v>30067</v>
      </c>
      <c r="I7753" t="s">
        <v>3693</v>
      </c>
      <c r="J7753" t="s">
        <v>34944</v>
      </c>
      <c r="K7753" t="s">
        <v>39026</v>
      </c>
      <c r="M7753" t="s">
        <v>41571</v>
      </c>
      <c r="N7753" t="s">
        <v>43166</v>
      </c>
      <c r="O7753" t="s">
        <v>43167</v>
      </c>
      <c r="P7753">
        <v>0</v>
      </c>
      <c r="Q7753">
        <v>3</v>
      </c>
      <c r="R7753" t="s">
        <v>43173</v>
      </c>
      <c r="S7753" t="s">
        <v>43374</v>
      </c>
      <c r="T7753" t="s">
        <v>44716</v>
      </c>
      <c r="U7753" t="s">
        <v>51467</v>
      </c>
      <c r="V7753" t="s">
        <v>57646</v>
      </c>
      <c r="W7753" t="s">
        <v>58673</v>
      </c>
      <c r="X7753" t="s">
        <v>43174</v>
      </c>
    </row>
    <row r="7754" spans="1:24">
      <c r="A7754">
        <f>HYPERLINK("https://www.philgeps.gov.ph/GEPSNONPILOT/Tender/SplashBidNoticeAbstractUI.aspx?menuIndex=3&amp;refID=7078612&amp;Result=3","7078612")</f>
        <v>0</v>
      </c>
      <c r="B7754" t="s">
        <v>665</v>
      </c>
      <c r="C7754" t="s">
        <v>10796</v>
      </c>
      <c r="D7754" t="s">
        <v>17432</v>
      </c>
      <c r="E7754" t="s">
        <v>24183</v>
      </c>
      <c r="F7754" t="s">
        <v>30052</v>
      </c>
      <c r="G7754" t="s">
        <v>30058</v>
      </c>
      <c r="H7754" t="s">
        <v>15498</v>
      </c>
      <c r="I7754" t="s">
        <v>30135</v>
      </c>
      <c r="J7754" t="s">
        <v>30297</v>
      </c>
      <c r="K7754" t="s">
        <v>39025</v>
      </c>
      <c r="M7754" t="s">
        <v>39971</v>
      </c>
      <c r="N7754" t="s">
        <v>43166</v>
      </c>
      <c r="O7754" t="s">
        <v>43167</v>
      </c>
      <c r="P7754">
        <v>0</v>
      </c>
      <c r="Q7754">
        <v>4</v>
      </c>
      <c r="R7754" t="s">
        <v>43173</v>
      </c>
      <c r="S7754" t="s">
        <v>43374</v>
      </c>
      <c r="T7754" t="s">
        <v>45074</v>
      </c>
      <c r="U7754" t="s">
        <v>51468</v>
      </c>
      <c r="W7754" t="s">
        <v>39971</v>
      </c>
      <c r="X7754" t="s">
        <v>43174</v>
      </c>
    </row>
    <row r="7755" spans="1:24">
      <c r="A7755">
        <f>HYPERLINK("https://www.philgeps.gov.ph/GEPSNONPILOT/Tender/SplashBidNoticeAbstractUI.aspx?menuIndex=3&amp;refID=7078610&amp;Result=3","7078610")</f>
        <v>0</v>
      </c>
      <c r="B7755" t="s">
        <v>2109</v>
      </c>
      <c r="C7755" t="s">
        <v>10797</v>
      </c>
      <c r="D7755" t="s">
        <v>17447</v>
      </c>
      <c r="E7755" t="s">
        <v>24192</v>
      </c>
      <c r="F7755" t="s">
        <v>30052</v>
      </c>
      <c r="G7755" t="s">
        <v>30058</v>
      </c>
      <c r="H7755" t="s">
        <v>30067</v>
      </c>
      <c r="I7755" t="s">
        <v>3693</v>
      </c>
      <c r="J7755" t="s">
        <v>34945</v>
      </c>
      <c r="K7755" t="s">
        <v>39057</v>
      </c>
      <c r="M7755" t="s">
        <v>41571</v>
      </c>
      <c r="N7755" t="s">
        <v>43166</v>
      </c>
      <c r="O7755" t="s">
        <v>43167</v>
      </c>
      <c r="P7755">
        <v>0</v>
      </c>
      <c r="Q7755">
        <v>3</v>
      </c>
      <c r="R7755" t="s">
        <v>43173</v>
      </c>
      <c r="S7755" t="s">
        <v>43374</v>
      </c>
      <c r="T7755" t="s">
        <v>44716</v>
      </c>
      <c r="U7755" t="s">
        <v>51469</v>
      </c>
      <c r="V7755" t="s">
        <v>57647</v>
      </c>
      <c r="W7755" t="s">
        <v>58673</v>
      </c>
      <c r="X7755" t="s">
        <v>43174</v>
      </c>
    </row>
    <row r="7756" spans="1:24">
      <c r="A7756">
        <f>HYPERLINK("https://www.philgeps.gov.ph/GEPSNONPILOT/Tender/SplashBidNoticeAbstractUI.aspx?menuIndex=3&amp;refID=7078634&amp;Result=3","7078634")</f>
        <v>0</v>
      </c>
      <c r="B7756" t="s">
        <v>2394</v>
      </c>
      <c r="C7756" t="s">
        <v>10798</v>
      </c>
      <c r="D7756" t="s">
        <v>17458</v>
      </c>
      <c r="E7756" t="s">
        <v>17892</v>
      </c>
      <c r="F7756" t="s">
        <v>30052</v>
      </c>
      <c r="G7756" t="s">
        <v>30058</v>
      </c>
      <c r="H7756" t="s">
        <v>15498</v>
      </c>
      <c r="I7756" t="s">
        <v>30085</v>
      </c>
      <c r="J7756" t="s">
        <v>30343</v>
      </c>
      <c r="K7756" t="s">
        <v>39017</v>
      </c>
      <c r="M7756" t="s">
        <v>41890</v>
      </c>
      <c r="N7756" t="s">
        <v>43166</v>
      </c>
      <c r="O7756" t="s">
        <v>43167</v>
      </c>
      <c r="P7756">
        <v>0</v>
      </c>
      <c r="Q7756">
        <v>0</v>
      </c>
      <c r="R7756" t="s">
        <v>43173</v>
      </c>
      <c r="S7756" t="s">
        <v>43374</v>
      </c>
      <c r="T7756" t="s">
        <v>44710</v>
      </c>
      <c r="U7756" t="s">
        <v>51470</v>
      </c>
      <c r="W7756" t="s">
        <v>41890</v>
      </c>
      <c r="X7756" t="s">
        <v>43174</v>
      </c>
    </row>
    <row r="7757" spans="1:24">
      <c r="A7757">
        <f>HYPERLINK("https://www.philgeps.gov.ph/GEPSNONPILOT/Tender/SplashBidNoticeAbstractUI.aspx?menuIndex=3&amp;refID=7078607&amp;Result=3","7078607")</f>
        <v>0</v>
      </c>
      <c r="B7757" t="s">
        <v>2109</v>
      </c>
      <c r="C7757" t="s">
        <v>10799</v>
      </c>
      <c r="D7757" t="s">
        <v>17447</v>
      </c>
      <c r="E7757" t="s">
        <v>24193</v>
      </c>
      <c r="F7757" t="s">
        <v>30052</v>
      </c>
      <c r="G7757" t="s">
        <v>30058</v>
      </c>
      <c r="H7757" t="s">
        <v>30067</v>
      </c>
      <c r="I7757" t="s">
        <v>3693</v>
      </c>
      <c r="J7757" t="s">
        <v>34946</v>
      </c>
      <c r="K7757" t="s">
        <v>39057</v>
      </c>
      <c r="M7757" t="s">
        <v>41571</v>
      </c>
      <c r="N7757" t="s">
        <v>43166</v>
      </c>
      <c r="O7757" t="s">
        <v>43167</v>
      </c>
      <c r="P7757">
        <v>0</v>
      </c>
      <c r="Q7757">
        <v>3</v>
      </c>
      <c r="R7757" t="s">
        <v>43173</v>
      </c>
      <c r="S7757" t="s">
        <v>43374</v>
      </c>
      <c r="T7757" t="s">
        <v>44716</v>
      </c>
      <c r="U7757" t="s">
        <v>51471</v>
      </c>
      <c r="V7757" t="s">
        <v>57648</v>
      </c>
      <c r="W7757" t="s">
        <v>58673</v>
      </c>
      <c r="X7757" t="s">
        <v>43174</v>
      </c>
    </row>
    <row r="7758" spans="1:24">
      <c r="A7758">
        <f>HYPERLINK("https://www.philgeps.gov.ph/GEPSNONPILOT/Tender/SplashBidNoticeAbstractUI.aspx?menuIndex=3&amp;refID=7078633&amp;Result=3","7078633")</f>
        <v>0</v>
      </c>
      <c r="B7758" t="s">
        <v>1733</v>
      </c>
      <c r="C7758" t="s">
        <v>10800</v>
      </c>
      <c r="D7758" t="s">
        <v>17467</v>
      </c>
      <c r="E7758" t="s">
        <v>24194</v>
      </c>
      <c r="F7758" t="s">
        <v>30052</v>
      </c>
      <c r="G7758" t="s">
        <v>30059</v>
      </c>
      <c r="H7758" t="s">
        <v>30069</v>
      </c>
      <c r="I7758" t="s">
        <v>30141</v>
      </c>
      <c r="J7758" t="s">
        <v>30287</v>
      </c>
      <c r="K7758" t="s">
        <v>39017</v>
      </c>
      <c r="L7758" t="s">
        <v>1733</v>
      </c>
      <c r="M7758" t="s">
        <v>41150</v>
      </c>
      <c r="N7758" t="s">
        <v>43166</v>
      </c>
      <c r="O7758" t="s">
        <v>43167</v>
      </c>
      <c r="P7758">
        <v>0</v>
      </c>
      <c r="Q7758">
        <v>0</v>
      </c>
      <c r="R7758" t="s">
        <v>43173</v>
      </c>
      <c r="S7758" t="s">
        <v>43374</v>
      </c>
      <c r="T7758" t="s">
        <v>44717</v>
      </c>
      <c r="U7758" t="s">
        <v>51472</v>
      </c>
      <c r="W7758" t="s">
        <v>41150</v>
      </c>
      <c r="X7758" t="s">
        <v>43174</v>
      </c>
    </row>
    <row r="7759" spans="1:24">
      <c r="A7759">
        <f>HYPERLINK("https://www.philgeps.gov.ph/GEPSNONPILOT/Tender/SplashBidNoticeAbstractUI.aspx?menuIndex=3&amp;refID=7078619&amp;Result=3","7078619")</f>
        <v>0</v>
      </c>
      <c r="B7759" t="s">
        <v>1300</v>
      </c>
      <c r="C7759" t="s">
        <v>10801</v>
      </c>
      <c r="D7759" t="s">
        <v>17434</v>
      </c>
      <c r="E7759" t="s">
        <v>24173</v>
      </c>
      <c r="F7759" t="s">
        <v>30052</v>
      </c>
      <c r="G7759" t="s">
        <v>30058</v>
      </c>
      <c r="H7759" t="s">
        <v>30069</v>
      </c>
      <c r="I7759" t="s">
        <v>30079</v>
      </c>
      <c r="J7759" t="s">
        <v>34947</v>
      </c>
      <c r="K7759" t="s">
        <v>39026</v>
      </c>
      <c r="M7759" t="s">
        <v>40666</v>
      </c>
      <c r="N7759" t="s">
        <v>43166</v>
      </c>
      <c r="O7759" t="s">
        <v>43167</v>
      </c>
      <c r="P7759">
        <v>0</v>
      </c>
      <c r="Q7759">
        <v>2</v>
      </c>
      <c r="R7759" t="s">
        <v>43173</v>
      </c>
      <c r="S7759" t="s">
        <v>43374</v>
      </c>
      <c r="T7759" t="s">
        <v>44796</v>
      </c>
      <c r="U7759" t="s">
        <v>48064</v>
      </c>
      <c r="V7759" t="s">
        <v>57230</v>
      </c>
      <c r="W7759" t="s">
        <v>40666</v>
      </c>
      <c r="X7759" t="s">
        <v>43174</v>
      </c>
    </row>
    <row r="7760" spans="1:24">
      <c r="A7760">
        <f>HYPERLINK("https://www.philgeps.gov.ph/GEPSNONPILOT/Tender/SplashBidNoticeAbstractUI.aspx?menuIndex=3&amp;refID=7078672&amp;Result=3","7078672")</f>
        <v>0</v>
      </c>
      <c r="B7760" t="s">
        <v>2395</v>
      </c>
      <c r="C7760" t="s">
        <v>10802</v>
      </c>
      <c r="E7760" t="s">
        <v>24195</v>
      </c>
      <c r="F7760" t="s">
        <v>30052</v>
      </c>
      <c r="G7760" t="s">
        <v>30065</v>
      </c>
      <c r="H7760" t="s">
        <v>30068</v>
      </c>
      <c r="I7760" t="s">
        <v>30068</v>
      </c>
      <c r="J7760" t="s">
        <v>31684</v>
      </c>
      <c r="K7760" t="s">
        <v>39026</v>
      </c>
      <c r="M7760" t="s">
        <v>41891</v>
      </c>
      <c r="N7760" t="s">
        <v>43166</v>
      </c>
      <c r="O7760" t="s">
        <v>43167</v>
      </c>
      <c r="P7760">
        <v>0</v>
      </c>
      <c r="Q7760">
        <v>5</v>
      </c>
      <c r="R7760" t="s">
        <v>43173</v>
      </c>
      <c r="S7760" t="s">
        <v>43374</v>
      </c>
      <c r="T7760" t="s">
        <v>45075</v>
      </c>
      <c r="U7760" t="s">
        <v>51473</v>
      </c>
      <c r="V7760" t="s">
        <v>57649</v>
      </c>
      <c r="W7760" t="s">
        <v>41891</v>
      </c>
      <c r="X7760" t="s">
        <v>43174</v>
      </c>
    </row>
    <row r="7761" spans="1:24">
      <c r="A7761">
        <f>HYPERLINK("https://www.philgeps.gov.ph/GEPSNONPILOT/Tender/SplashBidNoticeAbstractUI.aspx?menuIndex=3&amp;refID=7078611&amp;Result=3","7078611")</f>
        <v>0</v>
      </c>
      <c r="B7761" t="s">
        <v>2392</v>
      </c>
      <c r="C7761" t="s">
        <v>10803</v>
      </c>
      <c r="D7761" t="s">
        <v>17415</v>
      </c>
      <c r="E7761" t="s">
        <v>24196</v>
      </c>
      <c r="F7761" t="s">
        <v>30052</v>
      </c>
      <c r="G7761" t="s">
        <v>30059</v>
      </c>
      <c r="H7761" t="s">
        <v>15498</v>
      </c>
      <c r="I7761" t="s">
        <v>30076</v>
      </c>
      <c r="J7761" t="s">
        <v>31977</v>
      </c>
      <c r="K7761" t="s">
        <v>39017</v>
      </c>
      <c r="M7761" t="s">
        <v>41888</v>
      </c>
      <c r="N7761" t="s">
        <v>43166</v>
      </c>
      <c r="O7761" t="s">
        <v>43167</v>
      </c>
      <c r="P7761">
        <v>0</v>
      </c>
      <c r="Q7761">
        <v>41</v>
      </c>
      <c r="R7761" t="s">
        <v>43173</v>
      </c>
      <c r="S7761" t="s">
        <v>43374</v>
      </c>
      <c r="T7761" t="s">
        <v>44870</v>
      </c>
      <c r="U7761" t="s">
        <v>51474</v>
      </c>
      <c r="W7761" t="s">
        <v>41888</v>
      </c>
      <c r="X7761" t="s">
        <v>43174</v>
      </c>
    </row>
    <row r="7762" spans="1:24">
      <c r="A7762">
        <f>HYPERLINK("https://www.philgeps.gov.ph/GEPSNONPILOT/Tender/SplashBidNoticeAbstractUI.aspx?menuIndex=3&amp;refID=7078622&amp;Result=3","7078622")</f>
        <v>0</v>
      </c>
      <c r="B7762" t="s">
        <v>2114</v>
      </c>
      <c r="C7762" t="s">
        <v>10804</v>
      </c>
      <c r="D7762" t="s">
        <v>17431</v>
      </c>
      <c r="E7762" t="s">
        <v>24197</v>
      </c>
      <c r="F7762" t="s">
        <v>30052</v>
      </c>
      <c r="G7762" t="s">
        <v>30058</v>
      </c>
      <c r="H7762" t="s">
        <v>15498</v>
      </c>
      <c r="I7762" t="s">
        <v>4598</v>
      </c>
      <c r="J7762" t="s">
        <v>32559</v>
      </c>
      <c r="K7762" t="s">
        <v>39029</v>
      </c>
      <c r="M7762" t="s">
        <v>41576</v>
      </c>
      <c r="N7762" t="s">
        <v>43166</v>
      </c>
      <c r="O7762" t="s">
        <v>43167</v>
      </c>
      <c r="P7762">
        <v>0</v>
      </c>
      <c r="Q7762">
        <v>9</v>
      </c>
      <c r="R7762" t="s">
        <v>43173</v>
      </c>
      <c r="S7762" t="s">
        <v>43374</v>
      </c>
      <c r="T7762" t="s">
        <v>44716</v>
      </c>
      <c r="U7762" t="s">
        <v>51475</v>
      </c>
      <c r="W7762" t="s">
        <v>41576</v>
      </c>
      <c r="X7762" t="s">
        <v>43174</v>
      </c>
    </row>
    <row r="7763" spans="1:24">
      <c r="A7763">
        <f>HYPERLINK("https://www.philgeps.gov.ph/GEPSNONPILOT/Tender/SplashBidNoticeAbstractUI.aspx?menuIndex=3&amp;refID=7078681&amp;Result=3","7078681")</f>
        <v>0</v>
      </c>
      <c r="B7763" t="s">
        <v>2350</v>
      </c>
      <c r="C7763" t="s">
        <v>10805</v>
      </c>
      <c r="D7763" t="s">
        <v>17466</v>
      </c>
      <c r="E7763" t="s">
        <v>24198</v>
      </c>
      <c r="F7763" t="s">
        <v>30052</v>
      </c>
      <c r="G7763" t="s">
        <v>30058</v>
      </c>
      <c r="H7763" t="s">
        <v>15498</v>
      </c>
      <c r="I7763" t="s">
        <v>30152</v>
      </c>
      <c r="J7763" t="s">
        <v>30606</v>
      </c>
      <c r="K7763" t="s">
        <v>39039</v>
      </c>
      <c r="M7763" t="s">
        <v>41843</v>
      </c>
      <c r="N7763" t="s">
        <v>43166</v>
      </c>
      <c r="O7763" t="s">
        <v>43167</v>
      </c>
      <c r="P7763">
        <v>0</v>
      </c>
      <c r="Q7763">
        <v>0</v>
      </c>
      <c r="R7763" t="s">
        <v>43173</v>
      </c>
      <c r="S7763" t="s">
        <v>43374</v>
      </c>
      <c r="T7763" t="s">
        <v>44813</v>
      </c>
      <c r="U7763" t="s">
        <v>51476</v>
      </c>
      <c r="W7763" t="s">
        <v>41843</v>
      </c>
      <c r="X7763" t="s">
        <v>43174</v>
      </c>
    </row>
    <row r="7764" spans="1:24">
      <c r="A7764">
        <f>HYPERLINK("https://www.philgeps.gov.ph/GEPSNONPILOT/Tender/SplashBidNoticeAbstractUI.aspx?menuIndex=3&amp;refID=7078680&amp;Result=3","7078680")</f>
        <v>0</v>
      </c>
      <c r="B7764" t="s">
        <v>2396</v>
      </c>
      <c r="C7764" t="s">
        <v>10806</v>
      </c>
      <c r="D7764" t="s">
        <v>17459</v>
      </c>
      <c r="E7764" t="s">
        <v>24199</v>
      </c>
      <c r="F7764" t="s">
        <v>30052</v>
      </c>
      <c r="G7764" t="s">
        <v>30058</v>
      </c>
      <c r="H7764" t="s">
        <v>30067</v>
      </c>
      <c r="I7764" t="s">
        <v>3693</v>
      </c>
      <c r="J7764" t="s">
        <v>34948</v>
      </c>
      <c r="K7764" t="s">
        <v>39062</v>
      </c>
      <c r="M7764" t="s">
        <v>41892</v>
      </c>
      <c r="N7764" t="s">
        <v>43166</v>
      </c>
      <c r="O7764" t="s">
        <v>43167</v>
      </c>
      <c r="P7764">
        <v>0</v>
      </c>
      <c r="Q7764">
        <v>0</v>
      </c>
      <c r="R7764" t="s">
        <v>43173</v>
      </c>
      <c r="S7764" t="s">
        <v>43374</v>
      </c>
      <c r="T7764" t="s">
        <v>44758</v>
      </c>
      <c r="U7764" t="s">
        <v>51477</v>
      </c>
      <c r="W7764" t="s">
        <v>41892</v>
      </c>
      <c r="X7764" t="s">
        <v>43174</v>
      </c>
    </row>
    <row r="7765" spans="1:24">
      <c r="A7765">
        <f>HYPERLINK("https://www.philgeps.gov.ph/GEPSNONPILOT/Tender/SplashBidNoticeAbstractUI.aspx?menuIndex=3&amp;refID=7078678&amp;Result=3","7078678")</f>
        <v>0</v>
      </c>
      <c r="B7765" t="s">
        <v>2397</v>
      </c>
      <c r="C7765" t="s">
        <v>6006</v>
      </c>
      <c r="D7765" t="s">
        <v>17430</v>
      </c>
      <c r="E7765" t="s">
        <v>24200</v>
      </c>
      <c r="F7765" t="s">
        <v>30052</v>
      </c>
      <c r="G7765" t="s">
        <v>30058</v>
      </c>
      <c r="H7765" t="s">
        <v>15498</v>
      </c>
      <c r="I7765" t="s">
        <v>3606</v>
      </c>
      <c r="J7765" t="s">
        <v>34949</v>
      </c>
      <c r="K7765" t="s">
        <v>39029</v>
      </c>
      <c r="M7765" t="s">
        <v>41893</v>
      </c>
      <c r="N7765" t="s">
        <v>43166</v>
      </c>
      <c r="O7765" t="s">
        <v>43167</v>
      </c>
      <c r="P7765">
        <v>0</v>
      </c>
      <c r="Q7765">
        <v>1</v>
      </c>
      <c r="R7765" t="s">
        <v>43173</v>
      </c>
      <c r="S7765" t="s">
        <v>43374</v>
      </c>
      <c r="T7765" t="s">
        <v>44832</v>
      </c>
      <c r="U7765" t="s">
        <v>51478</v>
      </c>
      <c r="W7765" t="s">
        <v>41893</v>
      </c>
      <c r="X7765" t="s">
        <v>43174</v>
      </c>
    </row>
    <row r="7766" spans="1:24">
      <c r="A7766">
        <f>HYPERLINK("https://www.philgeps.gov.ph/GEPSNONPILOT/Tender/SplashBidNoticeAbstractUI.aspx?menuIndex=3&amp;refID=7078668&amp;Result=3","7078668")</f>
        <v>0</v>
      </c>
      <c r="B7766" t="s">
        <v>2350</v>
      </c>
      <c r="C7766" t="s">
        <v>10807</v>
      </c>
      <c r="D7766" t="s">
        <v>17466</v>
      </c>
      <c r="E7766" t="s">
        <v>24201</v>
      </c>
      <c r="F7766" t="s">
        <v>30052</v>
      </c>
      <c r="G7766" t="s">
        <v>30058</v>
      </c>
      <c r="H7766" t="s">
        <v>15498</v>
      </c>
      <c r="I7766" t="s">
        <v>30105</v>
      </c>
      <c r="J7766" t="s">
        <v>31116</v>
      </c>
      <c r="K7766" t="s">
        <v>39039</v>
      </c>
      <c r="M7766" t="s">
        <v>41843</v>
      </c>
      <c r="N7766" t="s">
        <v>43166</v>
      </c>
      <c r="O7766" t="s">
        <v>43167</v>
      </c>
      <c r="P7766">
        <v>0</v>
      </c>
      <c r="Q7766">
        <v>1</v>
      </c>
      <c r="R7766" t="s">
        <v>43173</v>
      </c>
      <c r="S7766" t="s">
        <v>43374</v>
      </c>
      <c r="T7766" t="s">
        <v>44813</v>
      </c>
      <c r="U7766" t="s">
        <v>51479</v>
      </c>
      <c r="W7766" t="s">
        <v>41843</v>
      </c>
      <c r="X7766" t="s">
        <v>43174</v>
      </c>
    </row>
    <row r="7767" spans="1:24">
      <c r="A7767">
        <f>HYPERLINK("https://www.philgeps.gov.ph/GEPSNONPILOT/Tender/SplashBidNoticeAbstractUI.aspx?menuIndex=3&amp;refID=7078523&amp;Result=3","7078523")</f>
        <v>0</v>
      </c>
      <c r="B7767" t="s">
        <v>2074</v>
      </c>
      <c r="C7767" t="s">
        <v>10808</v>
      </c>
      <c r="D7767" t="s">
        <v>17466</v>
      </c>
      <c r="E7767" t="s">
        <v>24202</v>
      </c>
      <c r="F7767" t="s">
        <v>30052</v>
      </c>
      <c r="G7767" t="s">
        <v>30058</v>
      </c>
      <c r="H7767" t="s">
        <v>30069</v>
      </c>
      <c r="I7767" t="s">
        <v>30075</v>
      </c>
      <c r="J7767" t="s">
        <v>30891</v>
      </c>
      <c r="K7767" t="s">
        <v>39039</v>
      </c>
      <c r="M7767" t="s">
        <v>41534</v>
      </c>
      <c r="N7767" t="s">
        <v>43166</v>
      </c>
      <c r="O7767" t="s">
        <v>43167</v>
      </c>
      <c r="P7767">
        <v>0</v>
      </c>
      <c r="Q7767">
        <v>0</v>
      </c>
      <c r="R7767" t="s">
        <v>43173</v>
      </c>
      <c r="S7767" t="s">
        <v>43374</v>
      </c>
      <c r="T7767" t="s">
        <v>44705</v>
      </c>
      <c r="U7767" t="s">
        <v>51480</v>
      </c>
      <c r="W7767" t="s">
        <v>41534</v>
      </c>
      <c r="X7767" t="s">
        <v>43174</v>
      </c>
    </row>
    <row r="7768" spans="1:24">
      <c r="A7768">
        <f>HYPERLINK("https://www.philgeps.gov.ph/GEPSNONPILOT/Tender/SplashBidNoticeAbstractUI.aspx?menuIndex=3&amp;refID=7078665&amp;Result=3","7078665")</f>
        <v>0</v>
      </c>
      <c r="B7768" t="s">
        <v>2397</v>
      </c>
      <c r="C7768" t="s">
        <v>10809</v>
      </c>
      <c r="D7768" t="s">
        <v>17430</v>
      </c>
      <c r="E7768" t="s">
        <v>24203</v>
      </c>
      <c r="F7768" t="s">
        <v>30052</v>
      </c>
      <c r="G7768" t="s">
        <v>30058</v>
      </c>
      <c r="H7768" t="s">
        <v>30067</v>
      </c>
      <c r="I7768" t="s">
        <v>3693</v>
      </c>
      <c r="J7768" t="s">
        <v>34950</v>
      </c>
      <c r="K7768" t="s">
        <v>39023</v>
      </c>
      <c r="M7768" t="s">
        <v>41893</v>
      </c>
      <c r="N7768" t="s">
        <v>43166</v>
      </c>
      <c r="O7768" t="s">
        <v>43167</v>
      </c>
      <c r="P7768">
        <v>0</v>
      </c>
      <c r="Q7768">
        <v>3</v>
      </c>
      <c r="R7768" t="s">
        <v>43173</v>
      </c>
      <c r="S7768" t="s">
        <v>43374</v>
      </c>
      <c r="T7768" t="s">
        <v>44832</v>
      </c>
      <c r="U7768" t="s">
        <v>51481</v>
      </c>
      <c r="W7768" t="s">
        <v>41893</v>
      </c>
      <c r="X7768" t="s">
        <v>43174</v>
      </c>
    </row>
    <row r="7769" spans="1:24">
      <c r="A7769">
        <f>HYPERLINK("https://www.philgeps.gov.ph/GEPSNONPILOT/Tender/SplashBidNoticeAbstractUI.aspx?menuIndex=3&amp;refID=7078661&amp;Result=3","7078661")</f>
        <v>0</v>
      </c>
      <c r="B7769" t="s">
        <v>2398</v>
      </c>
      <c r="C7769" t="s">
        <v>10810</v>
      </c>
      <c r="D7769" t="s">
        <v>17430</v>
      </c>
      <c r="E7769" t="s">
        <v>18691</v>
      </c>
      <c r="F7769" t="s">
        <v>30052</v>
      </c>
      <c r="G7769" t="s">
        <v>30058</v>
      </c>
      <c r="H7769" t="s">
        <v>15498</v>
      </c>
      <c r="I7769" t="s">
        <v>3736</v>
      </c>
      <c r="J7769" t="s">
        <v>34951</v>
      </c>
      <c r="K7769" t="s">
        <v>39029</v>
      </c>
      <c r="M7769" t="s">
        <v>41894</v>
      </c>
      <c r="N7769" t="s">
        <v>43166</v>
      </c>
      <c r="O7769" t="s">
        <v>43167</v>
      </c>
      <c r="P7769">
        <v>0</v>
      </c>
      <c r="Q7769">
        <v>0</v>
      </c>
      <c r="R7769" t="s">
        <v>43173</v>
      </c>
      <c r="S7769" t="s">
        <v>43374</v>
      </c>
      <c r="T7769" t="s">
        <v>44882</v>
      </c>
      <c r="U7769" t="s">
        <v>51482</v>
      </c>
      <c r="W7769" t="s">
        <v>41894</v>
      </c>
      <c r="X7769" t="s">
        <v>43174</v>
      </c>
    </row>
    <row r="7770" spans="1:24">
      <c r="A7770">
        <f>HYPERLINK("https://www.philgeps.gov.ph/GEPSNONPILOT/Tender/SplashBidNoticeAbstractUI.aspx?menuIndex=3&amp;refID=7078603&amp;Result=3","7078603")</f>
        <v>0</v>
      </c>
      <c r="B7770" t="s">
        <v>665</v>
      </c>
      <c r="C7770" t="s">
        <v>10811</v>
      </c>
      <c r="D7770" t="s">
        <v>17432</v>
      </c>
      <c r="E7770" t="s">
        <v>24204</v>
      </c>
      <c r="F7770" t="s">
        <v>30052</v>
      </c>
      <c r="G7770" t="s">
        <v>30058</v>
      </c>
      <c r="H7770" t="s">
        <v>15498</v>
      </c>
      <c r="I7770" t="s">
        <v>30084</v>
      </c>
      <c r="J7770" t="s">
        <v>34952</v>
      </c>
      <c r="K7770" t="s">
        <v>39025</v>
      </c>
      <c r="M7770" t="s">
        <v>39971</v>
      </c>
      <c r="N7770" t="s">
        <v>43166</v>
      </c>
      <c r="O7770" t="s">
        <v>43167</v>
      </c>
      <c r="P7770">
        <v>0</v>
      </c>
      <c r="Q7770">
        <v>5</v>
      </c>
      <c r="R7770" t="s">
        <v>43173</v>
      </c>
      <c r="S7770" t="s">
        <v>43374</v>
      </c>
      <c r="T7770" t="s">
        <v>44807</v>
      </c>
      <c r="U7770" t="s">
        <v>51483</v>
      </c>
      <c r="W7770" t="s">
        <v>39971</v>
      </c>
      <c r="X7770" t="s">
        <v>43174</v>
      </c>
    </row>
    <row r="7771" spans="1:24">
      <c r="A7771">
        <f>HYPERLINK("https://www.philgeps.gov.ph/GEPSNONPILOT/Tender/SplashBidNoticeAbstractUI.aspx?menuIndex=3&amp;refID=7078660&amp;Result=3","7078660")</f>
        <v>0</v>
      </c>
      <c r="B7771" t="s">
        <v>2399</v>
      </c>
      <c r="C7771" t="s">
        <v>10785</v>
      </c>
      <c r="D7771" t="s">
        <v>17441</v>
      </c>
      <c r="E7771" t="s">
        <v>17892</v>
      </c>
      <c r="F7771" t="s">
        <v>30052</v>
      </c>
      <c r="G7771" t="s">
        <v>30058</v>
      </c>
      <c r="H7771" t="s">
        <v>15498</v>
      </c>
      <c r="I7771" t="s">
        <v>5961</v>
      </c>
      <c r="J7771" t="s">
        <v>34953</v>
      </c>
      <c r="K7771" t="s">
        <v>39017</v>
      </c>
      <c r="M7771" t="s">
        <v>41895</v>
      </c>
      <c r="N7771" t="s">
        <v>43166</v>
      </c>
      <c r="O7771" t="s">
        <v>43167</v>
      </c>
      <c r="P7771">
        <v>0</v>
      </c>
      <c r="Q7771">
        <v>2</v>
      </c>
      <c r="R7771" t="s">
        <v>43173</v>
      </c>
      <c r="S7771" t="s">
        <v>43374</v>
      </c>
      <c r="T7771" t="s">
        <v>44734</v>
      </c>
      <c r="U7771" t="s">
        <v>51484</v>
      </c>
      <c r="V7771" t="s">
        <v>57643</v>
      </c>
      <c r="W7771" t="s">
        <v>41895</v>
      </c>
      <c r="X7771" t="s">
        <v>43174</v>
      </c>
    </row>
    <row r="7772" spans="1:24">
      <c r="A7772">
        <f>HYPERLINK("https://www.philgeps.gov.ph/GEPSNONPILOT/Tender/SplashBidNoticeAbstractUI.aspx?menuIndex=3&amp;refID=7078638&amp;Result=3","7078638")</f>
        <v>0</v>
      </c>
      <c r="B7772" t="s">
        <v>2136</v>
      </c>
      <c r="C7772" t="s">
        <v>10812</v>
      </c>
      <c r="D7772" t="s">
        <v>17453</v>
      </c>
      <c r="E7772" t="s">
        <v>23194</v>
      </c>
      <c r="F7772" t="s">
        <v>30052</v>
      </c>
      <c r="G7772" t="s">
        <v>30060</v>
      </c>
      <c r="H7772" t="s">
        <v>15498</v>
      </c>
      <c r="I7772" t="s">
        <v>30074</v>
      </c>
      <c r="J7772" t="s">
        <v>34954</v>
      </c>
      <c r="K7772" t="s">
        <v>39023</v>
      </c>
      <c r="M7772" t="s">
        <v>41600</v>
      </c>
      <c r="N7772" t="s">
        <v>43166</v>
      </c>
      <c r="O7772" t="s">
        <v>43167</v>
      </c>
      <c r="Q7772">
        <v>4</v>
      </c>
      <c r="R7772" t="s">
        <v>43173</v>
      </c>
      <c r="S7772" t="s">
        <v>43395</v>
      </c>
      <c r="T7772" t="s">
        <v>45076</v>
      </c>
      <c r="U7772" t="s">
        <v>51485</v>
      </c>
      <c r="V7772" t="s">
        <v>57650</v>
      </c>
      <c r="W7772" t="s">
        <v>41600</v>
      </c>
      <c r="X7772" t="s">
        <v>43174</v>
      </c>
    </row>
    <row r="7773" spans="1:24">
      <c r="A7773">
        <f>HYPERLINK("https://www.philgeps.gov.ph/GEPSNONPILOT/Tender/SplashBidNoticeAbstractUI.aspx?menuIndex=3&amp;refID=7078677&amp;Result=3","7078677")</f>
        <v>0</v>
      </c>
      <c r="B7773" t="s">
        <v>2395</v>
      </c>
      <c r="C7773" t="s">
        <v>10813</v>
      </c>
      <c r="E7773" t="s">
        <v>24205</v>
      </c>
      <c r="F7773" t="s">
        <v>30052</v>
      </c>
      <c r="G7773" t="s">
        <v>30065</v>
      </c>
      <c r="H7773" t="s">
        <v>30068</v>
      </c>
      <c r="I7773" t="s">
        <v>30068</v>
      </c>
      <c r="J7773" t="s">
        <v>32337</v>
      </c>
      <c r="K7773" t="s">
        <v>39023</v>
      </c>
      <c r="M7773" t="s">
        <v>41891</v>
      </c>
      <c r="N7773" t="s">
        <v>43166</v>
      </c>
      <c r="O7773" t="s">
        <v>43167</v>
      </c>
      <c r="P7773">
        <v>0</v>
      </c>
      <c r="Q7773">
        <v>4</v>
      </c>
      <c r="R7773" t="s">
        <v>43173</v>
      </c>
      <c r="S7773" t="s">
        <v>43374</v>
      </c>
      <c r="T7773" t="s">
        <v>45075</v>
      </c>
      <c r="U7773" t="s">
        <v>51486</v>
      </c>
      <c r="V7773" t="s">
        <v>57649</v>
      </c>
      <c r="W7773" t="s">
        <v>41891</v>
      </c>
      <c r="X7773" t="s">
        <v>43174</v>
      </c>
    </row>
    <row r="7774" spans="1:24">
      <c r="A7774">
        <f>HYPERLINK("https://www.philgeps.gov.ph/GEPSNONPILOT/Tender/SplashBidNoticeAbstractUI.aspx?menuIndex=3&amp;refID=7078636&amp;Result=3","7078636")</f>
        <v>0</v>
      </c>
      <c r="B7774" t="s">
        <v>2400</v>
      </c>
      <c r="C7774" t="s">
        <v>10814</v>
      </c>
      <c r="D7774" t="s">
        <v>17417</v>
      </c>
      <c r="E7774" t="s">
        <v>17892</v>
      </c>
      <c r="F7774" t="s">
        <v>30052</v>
      </c>
      <c r="G7774" t="s">
        <v>30058</v>
      </c>
      <c r="H7774" t="s">
        <v>30067</v>
      </c>
      <c r="I7774" t="s">
        <v>3693</v>
      </c>
      <c r="J7774" t="s">
        <v>30263</v>
      </c>
      <c r="K7774" t="s">
        <v>39029</v>
      </c>
      <c r="M7774" t="s">
        <v>41896</v>
      </c>
      <c r="N7774" t="s">
        <v>43166</v>
      </c>
      <c r="O7774" t="s">
        <v>43167</v>
      </c>
      <c r="P7774">
        <v>0</v>
      </c>
      <c r="Q7774">
        <v>0</v>
      </c>
      <c r="R7774" t="s">
        <v>43173</v>
      </c>
      <c r="S7774" t="s">
        <v>43374</v>
      </c>
      <c r="T7774" t="s">
        <v>44813</v>
      </c>
      <c r="U7774" t="s">
        <v>51487</v>
      </c>
      <c r="W7774" t="s">
        <v>41896</v>
      </c>
      <c r="X7774" t="s">
        <v>43174</v>
      </c>
    </row>
    <row r="7775" spans="1:24">
      <c r="A7775">
        <f>HYPERLINK("https://www.philgeps.gov.ph/GEPSNONPILOT/Tender/SplashBidNoticeAbstractUI.aspx?menuIndex=3&amp;refID=7078664&amp;Result=3","7078664")</f>
        <v>0</v>
      </c>
      <c r="B7775" t="s">
        <v>2401</v>
      </c>
      <c r="C7775" t="s">
        <v>10815</v>
      </c>
      <c r="D7775" t="s">
        <v>17435</v>
      </c>
      <c r="E7775" t="s">
        <v>24206</v>
      </c>
      <c r="F7775" t="s">
        <v>30052</v>
      </c>
      <c r="G7775" t="s">
        <v>30058</v>
      </c>
      <c r="H7775" t="s">
        <v>15498</v>
      </c>
      <c r="I7775" t="s">
        <v>3606</v>
      </c>
      <c r="J7775" t="s">
        <v>30343</v>
      </c>
      <c r="K7775" t="s">
        <v>39037</v>
      </c>
      <c r="M7775" t="s">
        <v>41897</v>
      </c>
      <c r="N7775" t="s">
        <v>43166</v>
      </c>
      <c r="O7775" t="s">
        <v>43167</v>
      </c>
      <c r="P7775">
        <v>0</v>
      </c>
      <c r="Q7775">
        <v>2</v>
      </c>
      <c r="R7775" t="s">
        <v>43173</v>
      </c>
      <c r="S7775" t="s">
        <v>43374</v>
      </c>
      <c r="T7775" t="s">
        <v>44733</v>
      </c>
      <c r="U7775" t="s">
        <v>51488</v>
      </c>
      <c r="W7775" t="s">
        <v>41897</v>
      </c>
      <c r="X7775" t="s">
        <v>43174</v>
      </c>
    </row>
    <row r="7776" spans="1:24">
      <c r="A7776">
        <f>HYPERLINK("https://www.philgeps.gov.ph/GEPSNONPILOT/Tender/SplashBidNoticeAbstractUI.aspx?menuIndex=3&amp;refID=7078635&amp;Result=3","7078635")</f>
        <v>0</v>
      </c>
      <c r="B7776" t="s">
        <v>2402</v>
      </c>
      <c r="C7776" t="s">
        <v>10816</v>
      </c>
      <c r="D7776" t="s">
        <v>17415</v>
      </c>
      <c r="E7776" t="s">
        <v>24207</v>
      </c>
      <c r="F7776" t="s">
        <v>30052</v>
      </c>
      <c r="G7776" t="s">
        <v>30059</v>
      </c>
      <c r="H7776" t="s">
        <v>15498</v>
      </c>
      <c r="I7776" t="s">
        <v>4650</v>
      </c>
      <c r="J7776" t="s">
        <v>30600</v>
      </c>
      <c r="K7776" t="s">
        <v>39029</v>
      </c>
      <c r="M7776" t="s">
        <v>41898</v>
      </c>
      <c r="N7776" t="s">
        <v>43166</v>
      </c>
      <c r="O7776" t="s">
        <v>43167</v>
      </c>
      <c r="P7776">
        <v>0</v>
      </c>
      <c r="Q7776">
        <v>7</v>
      </c>
      <c r="R7776" t="s">
        <v>43173</v>
      </c>
      <c r="S7776" t="s">
        <v>43374</v>
      </c>
      <c r="T7776" t="s">
        <v>44714</v>
      </c>
      <c r="U7776" t="s">
        <v>51489</v>
      </c>
      <c r="W7776" t="s">
        <v>41898</v>
      </c>
      <c r="X7776" t="s">
        <v>43174</v>
      </c>
    </row>
    <row r="7777" spans="1:24">
      <c r="A7777">
        <f>HYPERLINK("https://www.philgeps.gov.ph/GEPSNONPILOT/Tender/SplashBidNoticeAbstractUI.aspx?menuIndex=3&amp;refID=7078738&amp;Result=3","7078738")</f>
        <v>0</v>
      </c>
      <c r="B7777" t="s">
        <v>2403</v>
      </c>
      <c r="C7777" t="s">
        <v>10817</v>
      </c>
      <c r="D7777" t="s">
        <v>17421</v>
      </c>
      <c r="E7777" t="s">
        <v>24208</v>
      </c>
      <c r="F7777" t="s">
        <v>30052</v>
      </c>
      <c r="G7777" t="s">
        <v>30058</v>
      </c>
      <c r="H7777" t="s">
        <v>15498</v>
      </c>
      <c r="I7777" t="s">
        <v>3736</v>
      </c>
      <c r="J7777" t="s">
        <v>34955</v>
      </c>
      <c r="K7777" t="s">
        <v>39036</v>
      </c>
      <c r="M7777" t="s">
        <v>41899</v>
      </c>
      <c r="N7777" t="s">
        <v>43166</v>
      </c>
      <c r="O7777" t="s">
        <v>43167</v>
      </c>
      <c r="P7777">
        <v>0</v>
      </c>
      <c r="Q7777">
        <v>0</v>
      </c>
      <c r="R7777" t="s">
        <v>43173</v>
      </c>
      <c r="S7777" t="s">
        <v>43374</v>
      </c>
      <c r="T7777" t="s">
        <v>44773</v>
      </c>
      <c r="U7777" t="s">
        <v>51490</v>
      </c>
      <c r="W7777" t="s">
        <v>41899</v>
      </c>
      <c r="X7777" t="s">
        <v>43174</v>
      </c>
    </row>
    <row r="7778" spans="1:24">
      <c r="A7778">
        <f>HYPERLINK("https://www.philgeps.gov.ph/GEPSNONPILOT/Tender/SplashBidNoticeAbstractUI.aspx?menuIndex=3&amp;refID=7078644&amp;Result=3","7078644")</f>
        <v>0</v>
      </c>
      <c r="B7778" t="s">
        <v>2404</v>
      </c>
      <c r="C7778" t="s">
        <v>10818</v>
      </c>
      <c r="D7778" t="s">
        <v>17466</v>
      </c>
      <c r="E7778" t="s">
        <v>24209</v>
      </c>
      <c r="F7778" t="s">
        <v>30052</v>
      </c>
      <c r="G7778" t="s">
        <v>30058</v>
      </c>
      <c r="H7778" t="s">
        <v>15498</v>
      </c>
      <c r="I7778" t="s">
        <v>30070</v>
      </c>
      <c r="J7778" t="s">
        <v>34956</v>
      </c>
      <c r="K7778" t="s">
        <v>39195</v>
      </c>
      <c r="M7778" t="s">
        <v>41900</v>
      </c>
      <c r="N7778" t="s">
        <v>43166</v>
      </c>
      <c r="O7778" t="s">
        <v>43167</v>
      </c>
      <c r="P7778">
        <v>0</v>
      </c>
      <c r="Q7778">
        <v>1</v>
      </c>
      <c r="R7778" t="s">
        <v>43173</v>
      </c>
      <c r="S7778" t="s">
        <v>43374</v>
      </c>
      <c r="T7778" t="s">
        <v>44825</v>
      </c>
      <c r="U7778" t="s">
        <v>51491</v>
      </c>
      <c r="V7778" t="s">
        <v>57651</v>
      </c>
      <c r="W7778" t="s">
        <v>41900</v>
      </c>
      <c r="X7778" t="s">
        <v>43174</v>
      </c>
    </row>
    <row r="7779" spans="1:24">
      <c r="A7779">
        <f>HYPERLINK("https://www.philgeps.gov.ph/GEPSNONPILOT/Tender/SplashBidNoticeAbstractUI.aspx?menuIndex=3&amp;refID=7078632&amp;Result=3","7078632")</f>
        <v>0</v>
      </c>
      <c r="B7779" t="s">
        <v>2114</v>
      </c>
      <c r="C7779" t="s">
        <v>10819</v>
      </c>
      <c r="D7779" t="s">
        <v>17431</v>
      </c>
      <c r="E7779" t="s">
        <v>24210</v>
      </c>
      <c r="F7779" t="s">
        <v>30052</v>
      </c>
      <c r="G7779" t="s">
        <v>30058</v>
      </c>
      <c r="H7779" t="s">
        <v>15498</v>
      </c>
      <c r="I7779" t="s">
        <v>30084</v>
      </c>
      <c r="J7779" t="s">
        <v>34957</v>
      </c>
      <c r="K7779" t="s">
        <v>39029</v>
      </c>
      <c r="M7779" t="s">
        <v>41576</v>
      </c>
      <c r="N7779" t="s">
        <v>43166</v>
      </c>
      <c r="O7779" t="s">
        <v>43167</v>
      </c>
      <c r="P7779">
        <v>0</v>
      </c>
      <c r="Q7779">
        <v>2</v>
      </c>
      <c r="R7779" t="s">
        <v>43173</v>
      </c>
      <c r="S7779" t="s">
        <v>43374</v>
      </c>
      <c r="T7779" t="s">
        <v>44716</v>
      </c>
      <c r="U7779" t="s">
        <v>51492</v>
      </c>
      <c r="W7779" t="s">
        <v>41576</v>
      </c>
      <c r="X7779" t="s">
        <v>43174</v>
      </c>
    </row>
    <row r="7780" spans="1:24">
      <c r="A7780">
        <f>HYPERLINK("https://www.philgeps.gov.ph/GEPSNONPILOT/Tender/SplashBidNoticeAbstractUI.aspx?menuIndex=3&amp;refID=7078674&amp;Result=3","7078674")</f>
        <v>0</v>
      </c>
      <c r="B7780" t="s">
        <v>2350</v>
      </c>
      <c r="C7780" t="s">
        <v>10820</v>
      </c>
      <c r="D7780" t="s">
        <v>17466</v>
      </c>
      <c r="E7780" t="s">
        <v>24211</v>
      </c>
      <c r="F7780" t="s">
        <v>30052</v>
      </c>
      <c r="G7780" t="s">
        <v>30058</v>
      </c>
      <c r="H7780" t="s">
        <v>15498</v>
      </c>
      <c r="I7780" t="s">
        <v>30105</v>
      </c>
      <c r="J7780" t="s">
        <v>30472</v>
      </c>
      <c r="K7780" t="s">
        <v>39039</v>
      </c>
      <c r="M7780" t="s">
        <v>41843</v>
      </c>
      <c r="N7780" t="s">
        <v>43166</v>
      </c>
      <c r="O7780" t="s">
        <v>43167</v>
      </c>
      <c r="P7780">
        <v>0</v>
      </c>
      <c r="Q7780">
        <v>1</v>
      </c>
      <c r="R7780" t="s">
        <v>43173</v>
      </c>
      <c r="S7780" t="s">
        <v>43374</v>
      </c>
      <c r="T7780" t="s">
        <v>44813</v>
      </c>
      <c r="U7780" t="s">
        <v>51493</v>
      </c>
      <c r="W7780" t="s">
        <v>41843</v>
      </c>
      <c r="X7780" t="s">
        <v>43174</v>
      </c>
    </row>
    <row r="7781" spans="1:24">
      <c r="A7781">
        <f>HYPERLINK("https://www.philgeps.gov.ph/GEPSNONPILOT/Tender/SplashBidNoticeAbstractUI.aspx?menuIndex=3&amp;refID=7078734&amp;Result=3","7078734")</f>
        <v>0</v>
      </c>
      <c r="B7781" t="s">
        <v>792</v>
      </c>
      <c r="C7781" t="s">
        <v>10821</v>
      </c>
      <c r="D7781" t="s">
        <v>17415</v>
      </c>
      <c r="E7781" t="s">
        <v>24212</v>
      </c>
      <c r="F7781" t="s">
        <v>30052</v>
      </c>
      <c r="G7781" t="s">
        <v>30058</v>
      </c>
      <c r="H7781" t="s">
        <v>15498</v>
      </c>
      <c r="I7781" t="s">
        <v>30072</v>
      </c>
      <c r="J7781" t="s">
        <v>34958</v>
      </c>
      <c r="K7781" t="s">
        <v>39025</v>
      </c>
      <c r="M7781" t="s">
        <v>41901</v>
      </c>
      <c r="N7781" t="s">
        <v>43166</v>
      </c>
      <c r="O7781" t="s">
        <v>43167</v>
      </c>
      <c r="P7781">
        <v>0</v>
      </c>
      <c r="Q7781">
        <v>3</v>
      </c>
      <c r="R7781" t="s">
        <v>43173</v>
      </c>
      <c r="S7781" t="s">
        <v>43374</v>
      </c>
      <c r="T7781" t="s">
        <v>44796</v>
      </c>
      <c r="U7781" t="s">
        <v>51494</v>
      </c>
      <c r="V7781" t="s">
        <v>57652</v>
      </c>
      <c r="W7781" t="s">
        <v>41901</v>
      </c>
      <c r="X7781" t="s">
        <v>43174</v>
      </c>
    </row>
    <row r="7782" spans="1:24">
      <c r="A7782">
        <f>HYPERLINK("https://www.philgeps.gov.ph/GEPSNONPILOT/Tender/SplashBidNoticeAbstractUI.aspx?menuIndex=3&amp;refID=7078728&amp;Result=3","7078728")</f>
        <v>0</v>
      </c>
      <c r="B7782" t="s">
        <v>2405</v>
      </c>
      <c r="C7782" t="s">
        <v>6014</v>
      </c>
      <c r="D7782" t="s">
        <v>17427</v>
      </c>
      <c r="E7782" t="s">
        <v>24213</v>
      </c>
      <c r="F7782" t="s">
        <v>30052</v>
      </c>
      <c r="G7782" t="s">
        <v>30058</v>
      </c>
      <c r="H7782" t="s">
        <v>30067</v>
      </c>
      <c r="I7782" t="s">
        <v>3693</v>
      </c>
      <c r="J7782" t="s">
        <v>34959</v>
      </c>
      <c r="K7782" t="s">
        <v>39017</v>
      </c>
      <c r="M7782" t="s">
        <v>41902</v>
      </c>
      <c r="N7782" t="s">
        <v>43166</v>
      </c>
      <c r="O7782" t="s">
        <v>43167</v>
      </c>
      <c r="P7782">
        <v>0</v>
      </c>
      <c r="Q7782">
        <v>0</v>
      </c>
      <c r="R7782" t="s">
        <v>43173</v>
      </c>
      <c r="S7782" t="s">
        <v>43374</v>
      </c>
      <c r="T7782" t="s">
        <v>44773</v>
      </c>
      <c r="U7782" t="s">
        <v>51495</v>
      </c>
      <c r="W7782" t="s">
        <v>41902</v>
      </c>
      <c r="X7782" t="s">
        <v>43174</v>
      </c>
    </row>
    <row r="7783" spans="1:24">
      <c r="A7783">
        <f>HYPERLINK("https://www.philgeps.gov.ph/GEPSNONPILOT/Tender/SplashBidNoticeAbstractUI.aspx?menuIndex=3&amp;refID=7078719&amp;Result=3","7078719")</f>
        <v>0</v>
      </c>
      <c r="B7783" t="s">
        <v>1721</v>
      </c>
      <c r="C7783" t="s">
        <v>10777</v>
      </c>
      <c r="D7783" t="s">
        <v>17465</v>
      </c>
      <c r="E7783" t="s">
        <v>24155</v>
      </c>
      <c r="F7783" t="s">
        <v>30052</v>
      </c>
      <c r="G7783" t="s">
        <v>30061</v>
      </c>
      <c r="H7783" t="s">
        <v>15498</v>
      </c>
      <c r="I7783" t="s">
        <v>30071</v>
      </c>
      <c r="J7783" t="s">
        <v>33536</v>
      </c>
      <c r="K7783" t="s">
        <v>39025</v>
      </c>
      <c r="M7783" t="s">
        <v>41137</v>
      </c>
      <c r="N7783" t="s">
        <v>43166</v>
      </c>
      <c r="O7783" t="s">
        <v>43167</v>
      </c>
      <c r="P7783">
        <v>0</v>
      </c>
      <c r="Q7783">
        <v>2</v>
      </c>
      <c r="R7783" t="s">
        <v>43173</v>
      </c>
      <c r="S7783" t="s">
        <v>43374</v>
      </c>
      <c r="T7783" t="s">
        <v>44734</v>
      </c>
      <c r="U7783" t="s">
        <v>51496</v>
      </c>
      <c r="W7783" t="s">
        <v>41137</v>
      </c>
      <c r="X7783" t="s">
        <v>43174</v>
      </c>
    </row>
    <row r="7784" spans="1:24">
      <c r="A7784">
        <f>HYPERLINK("https://www.philgeps.gov.ph/GEPSNONPILOT/Tender/SplashBidNoticeAbstractUI.aspx?menuIndex=3&amp;refID=7078736&amp;Result=3","7078736")</f>
        <v>0</v>
      </c>
      <c r="B7784" t="s">
        <v>2406</v>
      </c>
      <c r="C7784" t="s">
        <v>10822</v>
      </c>
      <c r="D7784" t="s">
        <v>17417</v>
      </c>
      <c r="E7784" t="s">
        <v>24214</v>
      </c>
      <c r="F7784" t="s">
        <v>30052</v>
      </c>
      <c r="G7784" t="s">
        <v>30058</v>
      </c>
      <c r="H7784" t="s">
        <v>30067</v>
      </c>
      <c r="I7784" t="s">
        <v>3693</v>
      </c>
      <c r="J7784" t="s">
        <v>34960</v>
      </c>
      <c r="K7784" t="s">
        <v>39196</v>
      </c>
      <c r="M7784" t="s">
        <v>41903</v>
      </c>
      <c r="N7784" t="s">
        <v>43166</v>
      </c>
      <c r="O7784" t="s">
        <v>43167</v>
      </c>
      <c r="P7784">
        <v>0</v>
      </c>
      <c r="Q7784">
        <v>2</v>
      </c>
      <c r="R7784" t="s">
        <v>43173</v>
      </c>
      <c r="S7784" t="s">
        <v>43374</v>
      </c>
      <c r="T7784" t="s">
        <v>44813</v>
      </c>
      <c r="U7784" t="s">
        <v>51497</v>
      </c>
      <c r="W7784" t="s">
        <v>41903</v>
      </c>
      <c r="X7784" t="s">
        <v>43174</v>
      </c>
    </row>
    <row r="7785" spans="1:24">
      <c r="A7785">
        <f>HYPERLINK("https://www.philgeps.gov.ph/GEPSNONPILOT/Tender/SplashBidNoticeAbstractUI.aspx?menuIndex=3&amp;refID=7078735&amp;Result=3","7078735")</f>
        <v>0</v>
      </c>
      <c r="B7785" t="s">
        <v>1634</v>
      </c>
      <c r="C7785" t="s">
        <v>3691</v>
      </c>
      <c r="D7785" t="s">
        <v>17447</v>
      </c>
      <c r="E7785" t="s">
        <v>24215</v>
      </c>
      <c r="F7785" t="s">
        <v>30052</v>
      </c>
      <c r="G7785" t="s">
        <v>30058</v>
      </c>
      <c r="H7785" t="s">
        <v>15498</v>
      </c>
      <c r="I7785" t="s">
        <v>30073</v>
      </c>
      <c r="J7785" t="s">
        <v>34961</v>
      </c>
      <c r="K7785" t="s">
        <v>39026</v>
      </c>
      <c r="M7785" t="s">
        <v>41035</v>
      </c>
      <c r="N7785" t="s">
        <v>43166</v>
      </c>
      <c r="O7785" t="s">
        <v>43167</v>
      </c>
      <c r="P7785">
        <v>0</v>
      </c>
      <c r="Q7785">
        <v>2</v>
      </c>
      <c r="R7785" t="s">
        <v>43173</v>
      </c>
      <c r="S7785" t="s">
        <v>43374</v>
      </c>
      <c r="T7785" t="s">
        <v>44975</v>
      </c>
      <c r="U7785" t="s">
        <v>51498</v>
      </c>
      <c r="W7785" t="s">
        <v>41035</v>
      </c>
      <c r="X7785" t="s">
        <v>43174</v>
      </c>
    </row>
    <row r="7786" spans="1:24">
      <c r="A7786">
        <f>HYPERLINK("https://www.philgeps.gov.ph/GEPSNONPILOT/Tender/SplashBidNoticeAbstractUI.aspx?menuIndex=3&amp;refID=7078654&amp;Result=3","7078654")</f>
        <v>0</v>
      </c>
      <c r="B7786" t="s">
        <v>2407</v>
      </c>
      <c r="C7786" t="s">
        <v>10823</v>
      </c>
      <c r="D7786" t="s">
        <v>17448</v>
      </c>
      <c r="E7786" t="s">
        <v>20306</v>
      </c>
      <c r="F7786" t="s">
        <v>30052</v>
      </c>
      <c r="G7786" t="s">
        <v>30058</v>
      </c>
      <c r="H7786" t="s">
        <v>30067</v>
      </c>
      <c r="I7786" t="s">
        <v>3693</v>
      </c>
      <c r="J7786" t="s">
        <v>30559</v>
      </c>
      <c r="K7786" t="s">
        <v>39023</v>
      </c>
      <c r="M7786" t="s">
        <v>41904</v>
      </c>
      <c r="N7786" t="s">
        <v>43166</v>
      </c>
      <c r="O7786" t="s">
        <v>43167</v>
      </c>
      <c r="P7786">
        <v>0</v>
      </c>
      <c r="Q7786">
        <v>0</v>
      </c>
      <c r="R7786" t="s">
        <v>43173</v>
      </c>
      <c r="S7786" t="s">
        <v>43374</v>
      </c>
      <c r="T7786" t="s">
        <v>44841</v>
      </c>
      <c r="U7786" t="s">
        <v>51499</v>
      </c>
      <c r="W7786" t="s">
        <v>41904</v>
      </c>
      <c r="X7786" t="s">
        <v>43174</v>
      </c>
    </row>
    <row r="7787" spans="1:24">
      <c r="A7787">
        <f>HYPERLINK("https://www.philgeps.gov.ph/GEPSNONPILOT/Tender/SplashBidNoticeAbstractUI.aspx?menuIndex=3&amp;refID=7078707&amp;Result=3","7078707")</f>
        <v>0</v>
      </c>
      <c r="B7787" t="s">
        <v>1107</v>
      </c>
      <c r="C7787" t="s">
        <v>10824</v>
      </c>
      <c r="D7787" t="s">
        <v>17429</v>
      </c>
      <c r="E7787" t="s">
        <v>24216</v>
      </c>
      <c r="F7787" t="s">
        <v>30052</v>
      </c>
      <c r="G7787" t="s">
        <v>30061</v>
      </c>
      <c r="H7787" t="s">
        <v>15498</v>
      </c>
      <c r="I7787" t="s">
        <v>30083</v>
      </c>
      <c r="J7787" t="s">
        <v>32398</v>
      </c>
      <c r="K7787" t="s">
        <v>39017</v>
      </c>
      <c r="M7787" t="s">
        <v>40447</v>
      </c>
      <c r="N7787" t="s">
        <v>43166</v>
      </c>
      <c r="O7787" t="s">
        <v>43167</v>
      </c>
      <c r="P7787">
        <v>0</v>
      </c>
      <c r="Q7787">
        <v>0</v>
      </c>
      <c r="R7787" t="s">
        <v>43173</v>
      </c>
      <c r="S7787" t="s">
        <v>43374</v>
      </c>
      <c r="T7787" t="s">
        <v>44717</v>
      </c>
      <c r="U7787" t="s">
        <v>51500</v>
      </c>
      <c r="V7787" t="s">
        <v>57653</v>
      </c>
      <c r="W7787" t="s">
        <v>40447</v>
      </c>
      <c r="X7787" t="s">
        <v>43174</v>
      </c>
    </row>
    <row r="7788" spans="1:24">
      <c r="A7788">
        <f>HYPERLINK("https://www.philgeps.gov.ph/GEPSNONPILOT/Tender/SplashBidNoticeAbstractUI.aspx?menuIndex=3&amp;refID=7078704&amp;Result=3","7078704")</f>
        <v>0</v>
      </c>
      <c r="B7788" t="s">
        <v>2396</v>
      </c>
      <c r="C7788" t="s">
        <v>10825</v>
      </c>
      <c r="D7788" t="s">
        <v>17459</v>
      </c>
      <c r="E7788" t="s">
        <v>24217</v>
      </c>
      <c r="F7788" t="s">
        <v>30052</v>
      </c>
      <c r="G7788" t="s">
        <v>30058</v>
      </c>
      <c r="H7788" t="s">
        <v>30067</v>
      </c>
      <c r="I7788" t="s">
        <v>3693</v>
      </c>
      <c r="J7788" t="s">
        <v>34962</v>
      </c>
      <c r="K7788" t="s">
        <v>39030</v>
      </c>
      <c r="M7788" t="s">
        <v>41892</v>
      </c>
      <c r="N7788" t="s">
        <v>43166</v>
      </c>
      <c r="O7788" t="s">
        <v>43167</v>
      </c>
      <c r="P7788">
        <v>0</v>
      </c>
      <c r="Q7788">
        <v>0</v>
      </c>
      <c r="R7788" t="s">
        <v>43173</v>
      </c>
      <c r="S7788" t="s">
        <v>43374</v>
      </c>
      <c r="T7788" t="s">
        <v>44758</v>
      </c>
      <c r="U7788" t="s">
        <v>51501</v>
      </c>
      <c r="W7788" t="s">
        <v>41892</v>
      </c>
      <c r="X7788" t="s">
        <v>43174</v>
      </c>
    </row>
    <row r="7789" spans="1:24">
      <c r="A7789">
        <f>HYPERLINK("https://www.philgeps.gov.ph/GEPSNONPILOT/Tender/SplashBidNoticeAbstractUI.aspx?menuIndex=3&amp;refID=7078700&amp;Result=3","7078700")</f>
        <v>0</v>
      </c>
      <c r="B7789" t="s">
        <v>977</v>
      </c>
      <c r="C7789" t="s">
        <v>10826</v>
      </c>
      <c r="D7789" t="s">
        <v>17484</v>
      </c>
      <c r="E7789" t="s">
        <v>24218</v>
      </c>
      <c r="F7789" t="s">
        <v>30052</v>
      </c>
      <c r="G7789" t="s">
        <v>30058</v>
      </c>
      <c r="H7789" t="s">
        <v>15498</v>
      </c>
      <c r="I7789" t="s">
        <v>3693</v>
      </c>
      <c r="J7789" t="s">
        <v>34963</v>
      </c>
      <c r="K7789" t="s">
        <v>39128</v>
      </c>
      <c r="M7789" t="s">
        <v>40304</v>
      </c>
      <c r="N7789" t="s">
        <v>43166</v>
      </c>
      <c r="O7789" t="s">
        <v>43167</v>
      </c>
      <c r="P7789">
        <v>0</v>
      </c>
      <c r="Q7789">
        <v>0</v>
      </c>
      <c r="R7789" t="s">
        <v>43173</v>
      </c>
      <c r="S7789" t="s">
        <v>43374</v>
      </c>
      <c r="T7789" t="s">
        <v>44711</v>
      </c>
      <c r="U7789" t="s">
        <v>51502</v>
      </c>
      <c r="W7789" t="s">
        <v>40304</v>
      </c>
      <c r="X7789" t="s">
        <v>43174</v>
      </c>
    </row>
    <row r="7790" spans="1:24">
      <c r="A7790">
        <f>HYPERLINK("https://www.philgeps.gov.ph/GEPSNONPILOT/Tender/SplashBidNoticeAbstractUI.aspx?menuIndex=3&amp;refID=7078691&amp;Result=3","7078691")</f>
        <v>0</v>
      </c>
      <c r="B7790" t="s">
        <v>2408</v>
      </c>
      <c r="C7790" t="s">
        <v>10827</v>
      </c>
      <c r="D7790" t="s">
        <v>17426</v>
      </c>
      <c r="E7790" t="s">
        <v>24219</v>
      </c>
      <c r="F7790" t="s">
        <v>30052</v>
      </c>
      <c r="G7790" t="s">
        <v>30059</v>
      </c>
      <c r="H7790" t="s">
        <v>15498</v>
      </c>
      <c r="I7790" t="s">
        <v>30076</v>
      </c>
      <c r="J7790" t="s">
        <v>32190</v>
      </c>
      <c r="K7790" t="s">
        <v>39017</v>
      </c>
      <c r="M7790" t="s">
        <v>41905</v>
      </c>
      <c r="N7790" t="s">
        <v>43166</v>
      </c>
      <c r="O7790" t="s">
        <v>43167</v>
      </c>
      <c r="P7790">
        <v>0</v>
      </c>
      <c r="Q7790">
        <v>14</v>
      </c>
      <c r="R7790" t="s">
        <v>43173</v>
      </c>
      <c r="S7790" t="s">
        <v>43374</v>
      </c>
      <c r="T7790" t="s">
        <v>44732</v>
      </c>
      <c r="U7790" t="s">
        <v>51503</v>
      </c>
      <c r="V7790" t="s">
        <v>57654</v>
      </c>
      <c r="W7790" t="s">
        <v>58674</v>
      </c>
      <c r="X7790" t="s">
        <v>43174</v>
      </c>
    </row>
    <row r="7791" spans="1:24">
      <c r="A7791">
        <f>HYPERLINK("https://www.philgeps.gov.ph/GEPSNONPILOT/Tender/SplashBidNoticeAbstractUI.aspx?menuIndex=3&amp;refID=7078715&amp;Result=3","7078715")</f>
        <v>0</v>
      </c>
      <c r="B7791" t="s">
        <v>2396</v>
      </c>
      <c r="C7791" t="s">
        <v>10828</v>
      </c>
      <c r="D7791" t="s">
        <v>17459</v>
      </c>
      <c r="E7791" t="s">
        <v>24220</v>
      </c>
      <c r="F7791" t="s">
        <v>30052</v>
      </c>
      <c r="G7791" t="s">
        <v>30058</v>
      </c>
      <c r="H7791" t="s">
        <v>30067</v>
      </c>
      <c r="I7791" t="s">
        <v>3693</v>
      </c>
      <c r="J7791" t="s">
        <v>34964</v>
      </c>
      <c r="K7791" t="s">
        <v>39086</v>
      </c>
      <c r="M7791" t="s">
        <v>41892</v>
      </c>
      <c r="N7791" t="s">
        <v>43166</v>
      </c>
      <c r="O7791" t="s">
        <v>43167</v>
      </c>
      <c r="P7791">
        <v>0</v>
      </c>
      <c r="Q7791">
        <v>0</v>
      </c>
      <c r="R7791" t="s">
        <v>43173</v>
      </c>
      <c r="S7791" t="s">
        <v>43374</v>
      </c>
      <c r="T7791" t="s">
        <v>44758</v>
      </c>
      <c r="U7791" t="s">
        <v>51501</v>
      </c>
      <c r="W7791" t="s">
        <v>41892</v>
      </c>
      <c r="X7791" t="s">
        <v>43174</v>
      </c>
    </row>
    <row r="7792" spans="1:24">
      <c r="A7792">
        <f>HYPERLINK("https://www.philgeps.gov.ph/GEPSNONPILOT/Tender/SplashBidNoticeAbstractUI.aspx?menuIndex=3&amp;refID=7078783&amp;Result=3","7078783")</f>
        <v>0</v>
      </c>
      <c r="B7792" t="s">
        <v>2091</v>
      </c>
      <c r="C7792" t="s">
        <v>10829</v>
      </c>
      <c r="D7792" t="s">
        <v>17414</v>
      </c>
      <c r="E7792" t="s">
        <v>24221</v>
      </c>
      <c r="F7792" t="s">
        <v>30052</v>
      </c>
      <c r="G7792" t="s">
        <v>30058</v>
      </c>
      <c r="H7792" t="s">
        <v>15498</v>
      </c>
      <c r="I7792" t="s">
        <v>30074</v>
      </c>
      <c r="J7792" t="s">
        <v>31684</v>
      </c>
      <c r="K7792" t="s">
        <v>39031</v>
      </c>
      <c r="M7792" t="s">
        <v>41553</v>
      </c>
      <c r="N7792" t="s">
        <v>43166</v>
      </c>
      <c r="O7792" t="s">
        <v>43167</v>
      </c>
      <c r="P7792">
        <v>0</v>
      </c>
      <c r="Q7792">
        <v>2</v>
      </c>
      <c r="R7792" t="s">
        <v>43173</v>
      </c>
      <c r="S7792" t="s">
        <v>43374</v>
      </c>
      <c r="T7792" t="s">
        <v>44711</v>
      </c>
      <c r="U7792" t="s">
        <v>51504</v>
      </c>
      <c r="W7792" t="s">
        <v>42702</v>
      </c>
      <c r="X7792" t="s">
        <v>43174</v>
      </c>
    </row>
    <row r="7793" spans="1:24">
      <c r="A7793">
        <f>HYPERLINK("https://www.philgeps.gov.ph/GEPSNONPILOT/Tender/SplashBidNoticeAbstractUI.aspx?menuIndex=3&amp;refID=7078796&amp;Result=3","7078796")</f>
        <v>0</v>
      </c>
      <c r="B7793" t="s">
        <v>1721</v>
      </c>
      <c r="C7793" t="s">
        <v>10830</v>
      </c>
      <c r="D7793" t="s">
        <v>17465</v>
      </c>
      <c r="E7793" t="s">
        <v>24222</v>
      </c>
      <c r="F7793" t="s">
        <v>30052</v>
      </c>
      <c r="G7793" t="s">
        <v>30061</v>
      </c>
      <c r="H7793" t="s">
        <v>15498</v>
      </c>
      <c r="I7793" t="s">
        <v>30070</v>
      </c>
      <c r="J7793" t="s">
        <v>34965</v>
      </c>
      <c r="K7793" t="s">
        <v>39025</v>
      </c>
      <c r="M7793" t="s">
        <v>41137</v>
      </c>
      <c r="N7793" t="s">
        <v>43166</v>
      </c>
      <c r="O7793" t="s">
        <v>43167</v>
      </c>
      <c r="P7793">
        <v>0</v>
      </c>
      <c r="Q7793">
        <v>2</v>
      </c>
      <c r="R7793" t="s">
        <v>43173</v>
      </c>
      <c r="S7793" t="s">
        <v>43374</v>
      </c>
      <c r="T7793" t="s">
        <v>44734</v>
      </c>
      <c r="U7793" t="s">
        <v>51505</v>
      </c>
      <c r="W7793" t="s">
        <v>41137</v>
      </c>
      <c r="X7793" t="s">
        <v>43174</v>
      </c>
    </row>
    <row r="7794" spans="1:24">
      <c r="A7794">
        <f>HYPERLINK("https://www.philgeps.gov.ph/GEPSNONPILOT/Tender/SplashBidNoticeAbstractUI.aspx?menuIndex=3&amp;refID=7078787&amp;Result=3","7078787")</f>
        <v>0</v>
      </c>
      <c r="B7794" t="s">
        <v>2088</v>
      </c>
      <c r="C7794" t="s">
        <v>10831</v>
      </c>
      <c r="D7794" t="s">
        <v>17415</v>
      </c>
      <c r="E7794" t="s">
        <v>24223</v>
      </c>
      <c r="F7794" t="s">
        <v>30052</v>
      </c>
      <c r="G7794" t="s">
        <v>30058</v>
      </c>
      <c r="H7794" t="s">
        <v>15498</v>
      </c>
      <c r="I7794" t="s">
        <v>30096</v>
      </c>
      <c r="J7794" t="s">
        <v>30230</v>
      </c>
      <c r="K7794" t="s">
        <v>39019</v>
      </c>
      <c r="M7794" t="s">
        <v>41549</v>
      </c>
      <c r="N7794" t="s">
        <v>43166</v>
      </c>
      <c r="O7794" t="s">
        <v>43167</v>
      </c>
      <c r="P7794">
        <v>0</v>
      </c>
      <c r="Q7794">
        <v>3</v>
      </c>
      <c r="R7794" t="s">
        <v>43173</v>
      </c>
      <c r="S7794" t="s">
        <v>43374</v>
      </c>
      <c r="T7794" t="s">
        <v>44826</v>
      </c>
      <c r="U7794" t="s">
        <v>51506</v>
      </c>
      <c r="W7794" t="s">
        <v>58661</v>
      </c>
      <c r="X7794" t="s">
        <v>43174</v>
      </c>
    </row>
    <row r="7795" spans="1:24">
      <c r="A7795">
        <f>HYPERLINK("https://www.philgeps.gov.ph/GEPSNONPILOT/Tender/SplashBidNoticeAbstractUI.aspx?menuIndex=3&amp;refID=7078711&amp;Result=3","7078711")</f>
        <v>0</v>
      </c>
      <c r="B7795" t="s">
        <v>977</v>
      </c>
      <c r="C7795" t="s">
        <v>10832</v>
      </c>
      <c r="D7795" t="s">
        <v>17484</v>
      </c>
      <c r="E7795" t="s">
        <v>24224</v>
      </c>
      <c r="F7795" t="s">
        <v>30052</v>
      </c>
      <c r="G7795" t="s">
        <v>30058</v>
      </c>
      <c r="H7795" t="s">
        <v>15498</v>
      </c>
      <c r="I7795" t="s">
        <v>30070</v>
      </c>
      <c r="J7795" t="s">
        <v>34966</v>
      </c>
      <c r="K7795" t="s">
        <v>39029</v>
      </c>
      <c r="M7795" t="s">
        <v>40304</v>
      </c>
      <c r="N7795" t="s">
        <v>43166</v>
      </c>
      <c r="O7795" t="s">
        <v>43167</v>
      </c>
      <c r="P7795">
        <v>0</v>
      </c>
      <c r="Q7795">
        <v>2</v>
      </c>
      <c r="R7795" t="s">
        <v>43173</v>
      </c>
      <c r="S7795" t="s">
        <v>43374</v>
      </c>
      <c r="T7795" t="s">
        <v>44711</v>
      </c>
      <c r="U7795" t="s">
        <v>51507</v>
      </c>
      <c r="W7795" t="s">
        <v>40304</v>
      </c>
      <c r="X7795" t="s">
        <v>43174</v>
      </c>
    </row>
    <row r="7796" spans="1:24">
      <c r="A7796">
        <f>HYPERLINK("https://www.philgeps.gov.ph/GEPSNONPILOT/Tender/SplashBidNoticeAbstractUI.aspx?menuIndex=3&amp;refID=7078730&amp;Result=3","7078730")</f>
        <v>0</v>
      </c>
      <c r="B7796" t="s">
        <v>1721</v>
      </c>
      <c r="C7796" t="s">
        <v>10833</v>
      </c>
      <c r="D7796" t="s">
        <v>17465</v>
      </c>
      <c r="E7796" t="s">
        <v>24222</v>
      </c>
      <c r="F7796" t="s">
        <v>30052</v>
      </c>
      <c r="G7796" t="s">
        <v>30061</v>
      </c>
      <c r="H7796" t="s">
        <v>15498</v>
      </c>
      <c r="I7796" t="s">
        <v>3852</v>
      </c>
      <c r="J7796" t="s">
        <v>34967</v>
      </c>
      <c r="K7796" t="s">
        <v>39025</v>
      </c>
      <c r="M7796" t="s">
        <v>41137</v>
      </c>
      <c r="N7796" t="s">
        <v>43166</v>
      </c>
      <c r="O7796" t="s">
        <v>43167</v>
      </c>
      <c r="P7796">
        <v>0</v>
      </c>
      <c r="Q7796">
        <v>2</v>
      </c>
      <c r="R7796" t="s">
        <v>43173</v>
      </c>
      <c r="S7796" t="s">
        <v>43374</v>
      </c>
      <c r="T7796" t="s">
        <v>44734</v>
      </c>
      <c r="U7796" t="s">
        <v>51508</v>
      </c>
      <c r="W7796" t="s">
        <v>41137</v>
      </c>
      <c r="X7796" t="s">
        <v>43174</v>
      </c>
    </row>
    <row r="7797" spans="1:24">
      <c r="A7797">
        <f>HYPERLINK("https://www.philgeps.gov.ph/GEPSNONPILOT/Tender/SplashBidNoticeAbstractUI.aspx?menuIndex=3&amp;refID=7078662&amp;Result=3","7078662")</f>
        <v>0</v>
      </c>
      <c r="B7797" t="s">
        <v>2350</v>
      </c>
      <c r="C7797" t="s">
        <v>10564</v>
      </c>
      <c r="D7797" t="s">
        <v>17466</v>
      </c>
      <c r="E7797" t="s">
        <v>24225</v>
      </c>
      <c r="F7797" t="s">
        <v>30052</v>
      </c>
      <c r="G7797" t="s">
        <v>30058</v>
      </c>
      <c r="H7797" t="s">
        <v>15498</v>
      </c>
      <c r="I7797" t="s">
        <v>30130</v>
      </c>
      <c r="J7797" t="s">
        <v>30593</v>
      </c>
      <c r="K7797" t="s">
        <v>39039</v>
      </c>
      <c r="M7797" t="s">
        <v>41843</v>
      </c>
      <c r="N7797" t="s">
        <v>43166</v>
      </c>
      <c r="O7797" t="s">
        <v>43167</v>
      </c>
      <c r="P7797">
        <v>0</v>
      </c>
      <c r="Q7797">
        <v>2</v>
      </c>
      <c r="R7797" t="s">
        <v>43173</v>
      </c>
      <c r="S7797" t="s">
        <v>43374</v>
      </c>
      <c r="T7797" t="s">
        <v>44813</v>
      </c>
      <c r="U7797" t="s">
        <v>51509</v>
      </c>
      <c r="W7797" t="s">
        <v>41843</v>
      </c>
      <c r="X7797" t="s">
        <v>43174</v>
      </c>
    </row>
    <row r="7798" spans="1:24">
      <c r="A7798">
        <f>HYPERLINK("https://www.philgeps.gov.ph/GEPSNONPILOT/Tender/SplashBidNoticeAbstractUI.aspx?menuIndex=3&amp;refID=7078780&amp;Result=3","7078780")</f>
        <v>0</v>
      </c>
      <c r="B7798" t="s">
        <v>2091</v>
      </c>
      <c r="C7798" t="s">
        <v>10834</v>
      </c>
      <c r="D7798" t="s">
        <v>17414</v>
      </c>
      <c r="E7798" t="s">
        <v>24226</v>
      </c>
      <c r="F7798" t="s">
        <v>30052</v>
      </c>
      <c r="G7798" t="s">
        <v>30058</v>
      </c>
      <c r="H7798" t="s">
        <v>15498</v>
      </c>
      <c r="I7798" t="s">
        <v>30074</v>
      </c>
      <c r="J7798" t="s">
        <v>30588</v>
      </c>
      <c r="K7798" t="s">
        <v>39031</v>
      </c>
      <c r="M7798" t="s">
        <v>41553</v>
      </c>
      <c r="N7798" t="s">
        <v>43166</v>
      </c>
      <c r="O7798" t="s">
        <v>43167</v>
      </c>
      <c r="P7798">
        <v>0</v>
      </c>
      <c r="Q7798">
        <v>3</v>
      </c>
      <c r="R7798" t="s">
        <v>43173</v>
      </c>
      <c r="S7798" t="s">
        <v>43374</v>
      </c>
      <c r="T7798" t="s">
        <v>44711</v>
      </c>
      <c r="U7798" t="s">
        <v>51504</v>
      </c>
      <c r="W7798" t="s">
        <v>42702</v>
      </c>
      <c r="X7798" t="s">
        <v>43174</v>
      </c>
    </row>
    <row r="7799" spans="1:24">
      <c r="A7799">
        <f>HYPERLINK("https://www.philgeps.gov.ph/GEPSNONPILOT/Tender/SplashBidNoticeAbstractUI.aspx?menuIndex=3&amp;refID=7078775&amp;Result=3","7078775")</f>
        <v>0</v>
      </c>
      <c r="B7799" t="s">
        <v>2091</v>
      </c>
      <c r="C7799" t="s">
        <v>10835</v>
      </c>
      <c r="D7799" t="s">
        <v>17414</v>
      </c>
      <c r="E7799" t="s">
        <v>24227</v>
      </c>
      <c r="F7799" t="s">
        <v>30052</v>
      </c>
      <c r="G7799" t="s">
        <v>30058</v>
      </c>
      <c r="H7799" t="s">
        <v>15498</v>
      </c>
      <c r="I7799" t="s">
        <v>30074</v>
      </c>
      <c r="J7799" t="s">
        <v>34968</v>
      </c>
      <c r="K7799" t="s">
        <v>39031</v>
      </c>
      <c r="M7799" t="s">
        <v>41553</v>
      </c>
      <c r="N7799" t="s">
        <v>43166</v>
      </c>
      <c r="O7799" t="s">
        <v>43167</v>
      </c>
      <c r="P7799">
        <v>0</v>
      </c>
      <c r="Q7799">
        <v>3</v>
      </c>
      <c r="R7799" t="s">
        <v>43173</v>
      </c>
      <c r="S7799" t="s">
        <v>43374</v>
      </c>
      <c r="T7799" t="s">
        <v>44711</v>
      </c>
      <c r="U7799" t="s">
        <v>51504</v>
      </c>
      <c r="W7799" t="s">
        <v>42702</v>
      </c>
      <c r="X7799" t="s">
        <v>43174</v>
      </c>
    </row>
    <row r="7800" spans="1:24">
      <c r="A7800">
        <f>HYPERLINK("https://www.philgeps.gov.ph/GEPSNONPILOT/Tender/SplashBidNoticeAbstractUI.aspx?menuIndex=3&amp;refID=7078724&amp;Result=3","7078724")</f>
        <v>0</v>
      </c>
      <c r="B7800" t="s">
        <v>482</v>
      </c>
      <c r="C7800" t="s">
        <v>10836</v>
      </c>
      <c r="D7800" t="s">
        <v>17447</v>
      </c>
      <c r="E7800" t="s">
        <v>24228</v>
      </c>
      <c r="F7800" t="s">
        <v>30052</v>
      </c>
      <c r="G7800" t="s">
        <v>30058</v>
      </c>
      <c r="H7800" t="s">
        <v>30067</v>
      </c>
      <c r="I7800" t="s">
        <v>3693</v>
      </c>
      <c r="J7800" t="s">
        <v>34969</v>
      </c>
      <c r="K7800" t="s">
        <v>39029</v>
      </c>
      <c r="M7800" t="s">
        <v>39783</v>
      </c>
      <c r="N7800" t="s">
        <v>43166</v>
      </c>
      <c r="O7800" t="s">
        <v>43167</v>
      </c>
      <c r="P7800">
        <v>0</v>
      </c>
      <c r="Q7800">
        <v>3</v>
      </c>
      <c r="R7800" t="s">
        <v>43173</v>
      </c>
      <c r="S7800" t="s">
        <v>43374</v>
      </c>
      <c r="T7800" t="s">
        <v>44758</v>
      </c>
      <c r="U7800" t="s">
        <v>51510</v>
      </c>
      <c r="W7800" t="s">
        <v>39783</v>
      </c>
      <c r="X7800" t="s">
        <v>43174</v>
      </c>
    </row>
    <row r="7801" spans="1:24">
      <c r="A7801">
        <f>HYPERLINK("https://www.philgeps.gov.ph/GEPSNONPILOT/Tender/SplashBidNoticeAbstractUI.aspx?menuIndex=3&amp;refID=7078764&amp;Result=3","7078764")</f>
        <v>0</v>
      </c>
      <c r="B7801" t="s">
        <v>2403</v>
      </c>
      <c r="C7801" t="s">
        <v>10837</v>
      </c>
      <c r="D7801" t="s">
        <v>17421</v>
      </c>
      <c r="E7801" t="s">
        <v>18372</v>
      </c>
      <c r="F7801" t="s">
        <v>30052</v>
      </c>
      <c r="G7801" t="s">
        <v>30058</v>
      </c>
      <c r="H7801" t="s">
        <v>15498</v>
      </c>
      <c r="I7801" t="s">
        <v>4650</v>
      </c>
      <c r="J7801" t="s">
        <v>30337</v>
      </c>
      <c r="K7801" t="s">
        <v>39018</v>
      </c>
      <c r="M7801" t="s">
        <v>41899</v>
      </c>
      <c r="N7801" t="s">
        <v>43166</v>
      </c>
      <c r="O7801" t="s">
        <v>43167</v>
      </c>
      <c r="P7801">
        <v>0</v>
      </c>
      <c r="Q7801">
        <v>6</v>
      </c>
      <c r="R7801" t="s">
        <v>43173</v>
      </c>
      <c r="S7801" t="s">
        <v>43374</v>
      </c>
      <c r="T7801" t="s">
        <v>44773</v>
      </c>
      <c r="U7801" t="s">
        <v>51511</v>
      </c>
      <c r="W7801" t="s">
        <v>41899</v>
      </c>
      <c r="X7801" t="s">
        <v>43174</v>
      </c>
    </row>
    <row r="7802" spans="1:24">
      <c r="A7802">
        <f>HYPERLINK("https://www.philgeps.gov.ph/GEPSNONPILOT/Tender/SplashBidNoticeAbstractUI.aspx?menuIndex=3&amp;refID=7078760&amp;Result=3","7078760")</f>
        <v>0</v>
      </c>
      <c r="B7802" t="s">
        <v>1721</v>
      </c>
      <c r="C7802" t="s">
        <v>10838</v>
      </c>
      <c r="D7802" t="s">
        <v>17465</v>
      </c>
      <c r="E7802" t="s">
        <v>24222</v>
      </c>
      <c r="F7802" t="s">
        <v>30052</v>
      </c>
      <c r="G7802" t="s">
        <v>30061</v>
      </c>
      <c r="H7802" t="s">
        <v>15498</v>
      </c>
      <c r="I7802" t="s">
        <v>30070</v>
      </c>
      <c r="J7802" t="s">
        <v>34970</v>
      </c>
      <c r="K7802" t="s">
        <v>39025</v>
      </c>
      <c r="M7802" t="s">
        <v>41137</v>
      </c>
      <c r="N7802" t="s">
        <v>43166</v>
      </c>
      <c r="O7802" t="s">
        <v>43167</v>
      </c>
      <c r="P7802">
        <v>0</v>
      </c>
      <c r="Q7802">
        <v>2</v>
      </c>
      <c r="R7802" t="s">
        <v>43173</v>
      </c>
      <c r="S7802" t="s">
        <v>43374</v>
      </c>
      <c r="T7802" t="s">
        <v>44734</v>
      </c>
      <c r="U7802" t="s">
        <v>51512</v>
      </c>
      <c r="W7802" t="s">
        <v>41137</v>
      </c>
      <c r="X7802" t="s">
        <v>43174</v>
      </c>
    </row>
    <row r="7803" spans="1:24">
      <c r="A7803">
        <f>HYPERLINK("https://www.philgeps.gov.ph/GEPSNONPILOT/Tender/SplashBidNoticeAbstractUI.aspx?menuIndex=3&amp;refID=7078788&amp;Result=3","7078788")</f>
        <v>0</v>
      </c>
      <c r="B7803" t="s">
        <v>1721</v>
      </c>
      <c r="C7803" t="s">
        <v>5526</v>
      </c>
      <c r="D7803" t="s">
        <v>17465</v>
      </c>
      <c r="E7803" t="s">
        <v>24222</v>
      </c>
      <c r="F7803" t="s">
        <v>30052</v>
      </c>
      <c r="G7803" t="s">
        <v>30061</v>
      </c>
      <c r="H7803" t="s">
        <v>15498</v>
      </c>
      <c r="I7803" t="s">
        <v>3852</v>
      </c>
      <c r="J7803" t="s">
        <v>34971</v>
      </c>
      <c r="K7803" t="s">
        <v>39025</v>
      </c>
      <c r="M7803" t="s">
        <v>41137</v>
      </c>
      <c r="N7803" t="s">
        <v>43166</v>
      </c>
      <c r="O7803" t="s">
        <v>43167</v>
      </c>
      <c r="P7803">
        <v>0</v>
      </c>
      <c r="Q7803">
        <v>2</v>
      </c>
      <c r="R7803" t="s">
        <v>43173</v>
      </c>
      <c r="S7803" t="s">
        <v>43374</v>
      </c>
      <c r="T7803" t="s">
        <v>44734</v>
      </c>
      <c r="U7803" t="s">
        <v>51513</v>
      </c>
      <c r="W7803" t="s">
        <v>41137</v>
      </c>
      <c r="X7803" t="s">
        <v>43174</v>
      </c>
    </row>
    <row r="7804" spans="1:24">
      <c r="A7804">
        <f>HYPERLINK("https://www.philgeps.gov.ph/GEPSNONPILOT/Tender/SplashBidNoticeAbstractUI.aspx?menuIndex=3&amp;refID=7078781&amp;Result=3","7078781")</f>
        <v>0</v>
      </c>
      <c r="B7804" t="s">
        <v>2409</v>
      </c>
      <c r="C7804" t="s">
        <v>10839</v>
      </c>
      <c r="D7804" t="s">
        <v>17466</v>
      </c>
      <c r="E7804" t="s">
        <v>22895</v>
      </c>
      <c r="F7804" t="s">
        <v>30052</v>
      </c>
      <c r="G7804" t="s">
        <v>30059</v>
      </c>
      <c r="H7804" t="s">
        <v>15498</v>
      </c>
      <c r="I7804" t="s">
        <v>30076</v>
      </c>
      <c r="J7804" t="s">
        <v>34972</v>
      </c>
      <c r="K7804" t="s">
        <v>39039</v>
      </c>
      <c r="M7804" t="s">
        <v>41906</v>
      </c>
      <c r="N7804" t="s">
        <v>43166</v>
      </c>
      <c r="O7804" t="s">
        <v>43167</v>
      </c>
      <c r="P7804">
        <v>0</v>
      </c>
      <c r="Q7804">
        <v>4</v>
      </c>
      <c r="R7804" t="s">
        <v>43173</v>
      </c>
      <c r="S7804" t="s">
        <v>43374</v>
      </c>
      <c r="T7804" t="s">
        <v>44844</v>
      </c>
      <c r="U7804" t="s">
        <v>51514</v>
      </c>
      <c r="W7804" t="s">
        <v>41906</v>
      </c>
      <c r="X7804" t="s">
        <v>43174</v>
      </c>
    </row>
    <row r="7805" spans="1:24">
      <c r="A7805">
        <f>HYPERLINK("https://www.philgeps.gov.ph/GEPSNONPILOT/Tender/SplashBidNoticeAbstractUI.aspx?menuIndex=3&amp;refID=7078752&amp;Result=3","7078752")</f>
        <v>0</v>
      </c>
      <c r="B7805" t="s">
        <v>2403</v>
      </c>
      <c r="C7805" t="s">
        <v>10840</v>
      </c>
      <c r="D7805" t="s">
        <v>17421</v>
      </c>
      <c r="E7805" t="s">
        <v>24229</v>
      </c>
      <c r="F7805" t="s">
        <v>30052</v>
      </c>
      <c r="G7805" t="s">
        <v>30058</v>
      </c>
      <c r="H7805" t="s">
        <v>15498</v>
      </c>
      <c r="I7805" t="s">
        <v>30098</v>
      </c>
      <c r="J7805" t="s">
        <v>34973</v>
      </c>
      <c r="K7805" t="s">
        <v>39018</v>
      </c>
      <c r="M7805" t="s">
        <v>41899</v>
      </c>
      <c r="N7805" t="s">
        <v>43166</v>
      </c>
      <c r="O7805" t="s">
        <v>43167</v>
      </c>
      <c r="P7805">
        <v>0</v>
      </c>
      <c r="Q7805">
        <v>0</v>
      </c>
      <c r="R7805" t="s">
        <v>43173</v>
      </c>
      <c r="S7805" t="s">
        <v>43374</v>
      </c>
      <c r="T7805" t="s">
        <v>44773</v>
      </c>
      <c r="U7805" t="s">
        <v>51515</v>
      </c>
      <c r="W7805" t="s">
        <v>41899</v>
      </c>
      <c r="X7805" t="s">
        <v>43174</v>
      </c>
    </row>
    <row r="7806" spans="1:24">
      <c r="A7806">
        <f>HYPERLINK("https://www.philgeps.gov.ph/GEPSNONPILOT/Tender/SplashBidNoticeAbstractUI.aspx?menuIndex=3&amp;refID=7078745&amp;Result=3","7078745")</f>
        <v>0</v>
      </c>
      <c r="B7806" t="s">
        <v>2121</v>
      </c>
      <c r="C7806" t="s">
        <v>10841</v>
      </c>
      <c r="D7806" t="s">
        <v>17415</v>
      </c>
      <c r="E7806" t="s">
        <v>17585</v>
      </c>
      <c r="F7806" t="s">
        <v>30055</v>
      </c>
      <c r="G7806" t="s">
        <v>30061</v>
      </c>
      <c r="H7806" t="s">
        <v>30069</v>
      </c>
      <c r="I7806" t="s">
        <v>30111</v>
      </c>
      <c r="J7806" t="s">
        <v>30337</v>
      </c>
      <c r="K7806" t="s">
        <v>39036</v>
      </c>
      <c r="M7806" t="s">
        <v>41585</v>
      </c>
      <c r="N7806" t="s">
        <v>43166</v>
      </c>
      <c r="O7806" t="s">
        <v>43167</v>
      </c>
      <c r="P7806">
        <v>0</v>
      </c>
      <c r="Q7806">
        <v>1</v>
      </c>
      <c r="R7806" t="s">
        <v>43173</v>
      </c>
      <c r="S7806" t="s">
        <v>43374</v>
      </c>
      <c r="T7806" t="s">
        <v>44715</v>
      </c>
      <c r="U7806" t="s">
        <v>51516</v>
      </c>
      <c r="W7806" t="s">
        <v>41585</v>
      </c>
      <c r="X7806" t="s">
        <v>43174</v>
      </c>
    </row>
    <row r="7807" spans="1:24">
      <c r="A7807">
        <f>HYPERLINK("https://www.philgeps.gov.ph/GEPSNONPILOT/Tender/SplashBidNoticeAbstractUI.aspx?menuIndex=3&amp;refID=7078746&amp;Result=3","7078746")</f>
        <v>0</v>
      </c>
      <c r="B7807" t="s">
        <v>2406</v>
      </c>
      <c r="C7807" t="s">
        <v>10842</v>
      </c>
      <c r="D7807" t="s">
        <v>17417</v>
      </c>
      <c r="E7807" t="s">
        <v>24230</v>
      </c>
      <c r="F7807" t="s">
        <v>30052</v>
      </c>
      <c r="G7807" t="s">
        <v>30058</v>
      </c>
      <c r="H7807" t="s">
        <v>30067</v>
      </c>
      <c r="I7807" t="s">
        <v>3693</v>
      </c>
      <c r="J7807" t="s">
        <v>34974</v>
      </c>
      <c r="K7807" t="s">
        <v>39197</v>
      </c>
      <c r="M7807" t="s">
        <v>41903</v>
      </c>
      <c r="N7807" t="s">
        <v>43166</v>
      </c>
      <c r="O7807" t="s">
        <v>43167</v>
      </c>
      <c r="P7807">
        <v>0</v>
      </c>
      <c r="Q7807">
        <v>2</v>
      </c>
      <c r="R7807" t="s">
        <v>43173</v>
      </c>
      <c r="S7807" t="s">
        <v>43374</v>
      </c>
      <c r="T7807" t="s">
        <v>45049</v>
      </c>
      <c r="U7807" t="s">
        <v>51517</v>
      </c>
      <c r="W7807" t="s">
        <v>41903</v>
      </c>
      <c r="X7807" t="s">
        <v>43174</v>
      </c>
    </row>
    <row r="7808" spans="1:24">
      <c r="A7808">
        <f>HYPERLINK("https://www.philgeps.gov.ph/GEPSNONPILOT/Tender/SplashBidNoticeAbstractUI.aspx?menuIndex=3&amp;refID=7078771&amp;Result=3","7078771")</f>
        <v>0</v>
      </c>
      <c r="B7808" t="s">
        <v>1721</v>
      </c>
      <c r="C7808" t="s">
        <v>5526</v>
      </c>
      <c r="D7808" t="s">
        <v>17465</v>
      </c>
      <c r="E7808" t="s">
        <v>24222</v>
      </c>
      <c r="F7808" t="s">
        <v>30052</v>
      </c>
      <c r="G7808" t="s">
        <v>30061</v>
      </c>
      <c r="H7808" t="s">
        <v>15498</v>
      </c>
      <c r="I7808" t="s">
        <v>3852</v>
      </c>
      <c r="J7808" t="s">
        <v>34975</v>
      </c>
      <c r="K7808" t="s">
        <v>39025</v>
      </c>
      <c r="M7808" t="s">
        <v>41137</v>
      </c>
      <c r="N7808" t="s">
        <v>43166</v>
      </c>
      <c r="O7808" t="s">
        <v>43167</v>
      </c>
      <c r="P7808">
        <v>0</v>
      </c>
      <c r="Q7808">
        <v>2</v>
      </c>
      <c r="R7808" t="s">
        <v>43173</v>
      </c>
      <c r="S7808" t="s">
        <v>43374</v>
      </c>
      <c r="T7808" t="s">
        <v>44734</v>
      </c>
      <c r="U7808" t="s">
        <v>51518</v>
      </c>
      <c r="W7808" t="s">
        <v>41137</v>
      </c>
      <c r="X7808" t="s">
        <v>43174</v>
      </c>
    </row>
    <row r="7809" spans="1:24">
      <c r="A7809">
        <f>HYPERLINK("https://www.philgeps.gov.ph/GEPSNONPILOT/Tender/SplashBidNoticeAbstractUI.aspx?menuIndex=3&amp;refID=7078753&amp;Result=3","7078753")</f>
        <v>0</v>
      </c>
      <c r="B7809" t="s">
        <v>2121</v>
      </c>
      <c r="C7809" t="s">
        <v>10843</v>
      </c>
      <c r="D7809" t="s">
        <v>17415</v>
      </c>
      <c r="E7809" t="s">
        <v>17673</v>
      </c>
      <c r="F7809" t="s">
        <v>30055</v>
      </c>
      <c r="G7809" t="s">
        <v>30061</v>
      </c>
      <c r="H7809" t="s">
        <v>30069</v>
      </c>
      <c r="I7809" t="s">
        <v>30098</v>
      </c>
      <c r="J7809" t="s">
        <v>30337</v>
      </c>
      <c r="K7809" t="s">
        <v>39036</v>
      </c>
      <c r="M7809" t="s">
        <v>41585</v>
      </c>
      <c r="N7809" t="s">
        <v>43166</v>
      </c>
      <c r="O7809" t="s">
        <v>43167</v>
      </c>
      <c r="P7809">
        <v>0</v>
      </c>
      <c r="Q7809">
        <v>0</v>
      </c>
      <c r="R7809" t="s">
        <v>43173</v>
      </c>
      <c r="S7809" t="s">
        <v>43374</v>
      </c>
      <c r="T7809" t="s">
        <v>44720</v>
      </c>
      <c r="U7809" t="s">
        <v>51519</v>
      </c>
      <c r="W7809" t="s">
        <v>41585</v>
      </c>
      <c r="X7809" t="s">
        <v>43174</v>
      </c>
    </row>
    <row r="7810" spans="1:24">
      <c r="A7810">
        <f>HYPERLINK("https://www.philgeps.gov.ph/GEPSNONPILOT/Tender/SplashBidNoticeAbstractUI.aspx?menuIndex=3&amp;refID=7064867&amp;Result=3","7064867")</f>
        <v>0</v>
      </c>
      <c r="B7810" t="s">
        <v>2410</v>
      </c>
      <c r="C7810" t="s">
        <v>10844</v>
      </c>
      <c r="D7810" t="s">
        <v>17470</v>
      </c>
      <c r="E7810" t="s">
        <v>24231</v>
      </c>
      <c r="F7810" t="s">
        <v>30052</v>
      </c>
      <c r="G7810" t="s">
        <v>30058</v>
      </c>
      <c r="H7810" t="s">
        <v>30067</v>
      </c>
      <c r="I7810" t="s">
        <v>3693</v>
      </c>
      <c r="J7810" t="s">
        <v>34976</v>
      </c>
      <c r="K7810" t="s">
        <v>39065</v>
      </c>
      <c r="M7810" t="s">
        <v>41907</v>
      </c>
      <c r="N7810" t="s">
        <v>43166</v>
      </c>
      <c r="O7810" t="s">
        <v>43167</v>
      </c>
      <c r="P7810">
        <v>0</v>
      </c>
      <c r="Q7810">
        <v>1</v>
      </c>
      <c r="R7810" t="s">
        <v>43174</v>
      </c>
      <c r="S7810" t="s">
        <v>43396</v>
      </c>
      <c r="T7810" t="s">
        <v>44758</v>
      </c>
      <c r="U7810" t="s">
        <v>51520</v>
      </c>
      <c r="W7810" t="s">
        <v>41907</v>
      </c>
      <c r="X7810" t="s">
        <v>43180</v>
      </c>
    </row>
    <row r="7811" spans="1:24">
      <c r="A7811">
        <f>HYPERLINK("https://www.philgeps.gov.ph/GEPSNONPILOT/Tender/SplashBidNoticeAbstractUI.aspx?menuIndex=3&amp;refID=7064801&amp;Result=3","7064801")</f>
        <v>0</v>
      </c>
      <c r="B7811" t="s">
        <v>2410</v>
      </c>
      <c r="C7811" t="s">
        <v>10845</v>
      </c>
      <c r="D7811" t="s">
        <v>17470</v>
      </c>
      <c r="E7811" t="s">
        <v>24232</v>
      </c>
      <c r="F7811" t="s">
        <v>30052</v>
      </c>
      <c r="G7811" t="s">
        <v>30058</v>
      </c>
      <c r="H7811" t="s">
        <v>30067</v>
      </c>
      <c r="I7811" t="s">
        <v>3693</v>
      </c>
      <c r="J7811" t="s">
        <v>34977</v>
      </c>
      <c r="K7811" t="s">
        <v>39026</v>
      </c>
      <c r="M7811" t="s">
        <v>41907</v>
      </c>
      <c r="N7811" t="s">
        <v>43166</v>
      </c>
      <c r="O7811" t="s">
        <v>43167</v>
      </c>
      <c r="P7811">
        <v>0</v>
      </c>
      <c r="Q7811">
        <v>2</v>
      </c>
      <c r="R7811" t="s">
        <v>43174</v>
      </c>
      <c r="S7811" t="s">
        <v>43396</v>
      </c>
      <c r="T7811" t="s">
        <v>44758</v>
      </c>
      <c r="U7811" t="s">
        <v>51521</v>
      </c>
      <c r="W7811" t="s">
        <v>41907</v>
      </c>
      <c r="X7811" t="s">
        <v>43180</v>
      </c>
    </row>
    <row r="7812" spans="1:24">
      <c r="A7812">
        <f>HYPERLINK("https://www.philgeps.gov.ph/GEPSNONPILOT/Tender/SplashBidNoticeAbstractUI.aspx?menuIndex=3&amp;refID=7078744&amp;Result=3","7078744")</f>
        <v>0</v>
      </c>
      <c r="B7812" t="s">
        <v>104</v>
      </c>
      <c r="C7812" t="s">
        <v>10846</v>
      </c>
      <c r="D7812" t="s">
        <v>17457</v>
      </c>
      <c r="E7812" t="s">
        <v>24233</v>
      </c>
      <c r="F7812" t="s">
        <v>30052</v>
      </c>
      <c r="G7812" t="s">
        <v>30060</v>
      </c>
      <c r="H7812" t="s">
        <v>15498</v>
      </c>
      <c r="I7812" t="s">
        <v>30074</v>
      </c>
      <c r="J7812" t="s">
        <v>30247</v>
      </c>
      <c r="K7812" t="s">
        <v>39025</v>
      </c>
      <c r="M7812" t="s">
        <v>39393</v>
      </c>
      <c r="N7812" t="s">
        <v>43166</v>
      </c>
      <c r="O7812" t="s">
        <v>43167</v>
      </c>
      <c r="P7812">
        <v>0</v>
      </c>
      <c r="Q7812">
        <v>5</v>
      </c>
      <c r="R7812" t="s">
        <v>43173</v>
      </c>
      <c r="S7812" t="s">
        <v>43374</v>
      </c>
      <c r="T7812" t="s">
        <v>44796</v>
      </c>
      <c r="U7812" t="s">
        <v>51522</v>
      </c>
      <c r="V7812" t="s">
        <v>57655</v>
      </c>
      <c r="W7812" t="s">
        <v>39393</v>
      </c>
      <c r="X7812" t="s">
        <v>43174</v>
      </c>
    </row>
    <row r="7813" spans="1:24">
      <c r="A7813">
        <f>HYPERLINK("https://www.philgeps.gov.ph/GEPSNONPILOT/Tender/SplashBidNoticeAbstractUI.aspx?menuIndex=3&amp;refID=7063167&amp;Result=3","7063167")</f>
        <v>0</v>
      </c>
      <c r="B7813" t="s">
        <v>158</v>
      </c>
      <c r="C7813" t="s">
        <v>10847</v>
      </c>
      <c r="D7813" t="s">
        <v>17471</v>
      </c>
      <c r="E7813" t="s">
        <v>24234</v>
      </c>
      <c r="F7813" t="s">
        <v>30052</v>
      </c>
      <c r="G7813" t="s">
        <v>30058</v>
      </c>
      <c r="H7813" t="s">
        <v>30067</v>
      </c>
      <c r="I7813" t="s">
        <v>3693</v>
      </c>
      <c r="J7813" t="s">
        <v>34978</v>
      </c>
      <c r="K7813" t="s">
        <v>39029</v>
      </c>
      <c r="M7813" t="s">
        <v>39447</v>
      </c>
      <c r="N7813" t="s">
        <v>43166</v>
      </c>
      <c r="O7813" t="s">
        <v>43167</v>
      </c>
      <c r="P7813">
        <v>0</v>
      </c>
      <c r="Q7813">
        <v>0</v>
      </c>
      <c r="R7813" t="s">
        <v>43174</v>
      </c>
      <c r="S7813" t="s">
        <v>43396</v>
      </c>
      <c r="T7813" t="s">
        <v>44844</v>
      </c>
      <c r="U7813" t="s">
        <v>51523</v>
      </c>
      <c r="W7813" t="s">
        <v>39447</v>
      </c>
      <c r="X7813" t="s">
        <v>43181</v>
      </c>
    </row>
    <row r="7814" spans="1:24">
      <c r="A7814">
        <f>HYPERLINK("https://www.philgeps.gov.ph/GEPSNONPILOT/Tender/SplashBidNoticeAbstractUI.aspx?menuIndex=3&amp;refID=7078749&amp;Result=3","7078749")</f>
        <v>0</v>
      </c>
      <c r="B7814" t="s">
        <v>1721</v>
      </c>
      <c r="C7814" t="s">
        <v>10777</v>
      </c>
      <c r="D7814" t="s">
        <v>17465</v>
      </c>
      <c r="E7814" t="s">
        <v>24222</v>
      </c>
      <c r="F7814" t="s">
        <v>30052</v>
      </c>
      <c r="G7814" t="s">
        <v>30061</v>
      </c>
      <c r="H7814" t="s">
        <v>15498</v>
      </c>
      <c r="I7814" t="s">
        <v>30071</v>
      </c>
      <c r="J7814" t="s">
        <v>34979</v>
      </c>
      <c r="K7814" t="s">
        <v>39025</v>
      </c>
      <c r="M7814" t="s">
        <v>41137</v>
      </c>
      <c r="N7814" t="s">
        <v>43166</v>
      </c>
      <c r="O7814" t="s">
        <v>43167</v>
      </c>
      <c r="P7814">
        <v>0</v>
      </c>
      <c r="Q7814">
        <v>2</v>
      </c>
      <c r="R7814" t="s">
        <v>43173</v>
      </c>
      <c r="S7814" t="s">
        <v>43374</v>
      </c>
      <c r="T7814" t="s">
        <v>44734</v>
      </c>
      <c r="U7814" t="s">
        <v>51524</v>
      </c>
      <c r="W7814" t="s">
        <v>41137</v>
      </c>
      <c r="X7814" t="s">
        <v>43174</v>
      </c>
    </row>
    <row r="7815" spans="1:24">
      <c r="A7815">
        <f>HYPERLINK("https://www.philgeps.gov.ph/GEPSNONPILOT/Tender/SplashBidNoticeAbstractUI.aspx?menuIndex=3&amp;refID=7061685&amp;Result=3","7061685")</f>
        <v>0</v>
      </c>
      <c r="B7815" t="s">
        <v>1373</v>
      </c>
      <c r="C7815" t="s">
        <v>10848</v>
      </c>
      <c r="D7815" t="s">
        <v>17501</v>
      </c>
      <c r="E7815" t="s">
        <v>24235</v>
      </c>
      <c r="F7815" t="s">
        <v>30052</v>
      </c>
      <c r="G7815" t="s">
        <v>30059</v>
      </c>
      <c r="H7815" t="s">
        <v>30067</v>
      </c>
      <c r="I7815" t="s">
        <v>3693</v>
      </c>
      <c r="J7815" t="s">
        <v>34980</v>
      </c>
      <c r="K7815" t="s">
        <v>39046</v>
      </c>
      <c r="M7815" t="s">
        <v>40745</v>
      </c>
      <c r="N7815" t="s">
        <v>43166</v>
      </c>
      <c r="O7815" t="s">
        <v>43167</v>
      </c>
      <c r="P7815">
        <v>0</v>
      </c>
      <c r="Q7815">
        <v>0</v>
      </c>
      <c r="R7815" t="s">
        <v>43174</v>
      </c>
      <c r="S7815" t="s">
        <v>43396</v>
      </c>
      <c r="T7815" t="s">
        <v>45077</v>
      </c>
      <c r="U7815" t="s">
        <v>51525</v>
      </c>
      <c r="W7815" t="s">
        <v>58637</v>
      </c>
      <c r="X7815" t="s">
        <v>43182</v>
      </c>
    </row>
    <row r="7816" spans="1:24">
      <c r="A7816">
        <f>HYPERLINK("https://www.philgeps.gov.ph/GEPSNONPILOT/Tender/SplashBidNoticeAbstractUI.aspx?menuIndex=3&amp;refID=7061539&amp;Result=3","7061539")</f>
        <v>0</v>
      </c>
      <c r="B7816" t="s">
        <v>2411</v>
      </c>
      <c r="C7816" t="s">
        <v>6557</v>
      </c>
      <c r="D7816" t="s">
        <v>17416</v>
      </c>
      <c r="E7816" t="s">
        <v>22569</v>
      </c>
      <c r="F7816" t="s">
        <v>30052</v>
      </c>
      <c r="G7816" t="s">
        <v>30058</v>
      </c>
      <c r="H7816" t="s">
        <v>15498</v>
      </c>
      <c r="I7816" t="s">
        <v>5961</v>
      </c>
      <c r="J7816" t="s">
        <v>34981</v>
      </c>
      <c r="K7816" t="s">
        <v>39018</v>
      </c>
      <c r="M7816" t="s">
        <v>41908</v>
      </c>
      <c r="N7816" t="s">
        <v>43166</v>
      </c>
      <c r="O7816" t="s">
        <v>43167</v>
      </c>
      <c r="P7816">
        <v>0</v>
      </c>
      <c r="Q7816">
        <v>0</v>
      </c>
      <c r="R7816" t="s">
        <v>43174</v>
      </c>
      <c r="S7816" t="s">
        <v>43396</v>
      </c>
      <c r="T7816" t="s">
        <v>44717</v>
      </c>
      <c r="U7816" t="s">
        <v>51526</v>
      </c>
      <c r="W7816" t="s">
        <v>41908</v>
      </c>
      <c r="X7816" t="s">
        <v>43182</v>
      </c>
    </row>
    <row r="7817" spans="1:24">
      <c r="A7817">
        <f>HYPERLINK("https://www.philgeps.gov.ph/GEPSNONPILOT/Tender/SplashBidNoticeAbstractUI.aspx?menuIndex=3&amp;refID=7064715&amp;Result=3","7064715")</f>
        <v>0</v>
      </c>
      <c r="B7817" t="s">
        <v>1362</v>
      </c>
      <c r="C7817" t="s">
        <v>10849</v>
      </c>
      <c r="D7817" t="s">
        <v>17421</v>
      </c>
      <c r="E7817" t="s">
        <v>24236</v>
      </c>
      <c r="F7817" t="s">
        <v>30052</v>
      </c>
      <c r="G7817" t="s">
        <v>30058</v>
      </c>
      <c r="H7817" t="s">
        <v>15498</v>
      </c>
      <c r="I7817" t="s">
        <v>30074</v>
      </c>
      <c r="J7817" t="s">
        <v>30397</v>
      </c>
      <c r="K7817" t="s">
        <v>39029</v>
      </c>
      <c r="L7817" t="s">
        <v>1362</v>
      </c>
      <c r="M7817" t="s">
        <v>40732</v>
      </c>
      <c r="N7817" t="s">
        <v>43166</v>
      </c>
      <c r="O7817" t="s">
        <v>43167</v>
      </c>
      <c r="P7817">
        <v>0</v>
      </c>
      <c r="Q7817">
        <v>4</v>
      </c>
      <c r="R7817" t="s">
        <v>43174</v>
      </c>
      <c r="S7817" t="s">
        <v>43396</v>
      </c>
      <c r="T7817" t="s">
        <v>44870</v>
      </c>
      <c r="U7817" t="s">
        <v>51527</v>
      </c>
      <c r="V7817" t="s">
        <v>46582</v>
      </c>
      <c r="W7817" t="s">
        <v>40732</v>
      </c>
      <c r="X7817" t="s">
        <v>43180</v>
      </c>
    </row>
    <row r="7818" spans="1:24">
      <c r="A7818">
        <f>HYPERLINK("https://www.philgeps.gov.ph/GEPSNONPILOT/Tender/SplashBidNoticeAbstractUI.aspx?menuIndex=3&amp;refID=7060989&amp;Result=3","7060989")</f>
        <v>0</v>
      </c>
      <c r="B7818" t="s">
        <v>45</v>
      </c>
      <c r="C7818" t="s">
        <v>10850</v>
      </c>
      <c r="D7818" t="s">
        <v>17428</v>
      </c>
      <c r="E7818" t="s">
        <v>24237</v>
      </c>
      <c r="F7818" t="s">
        <v>30052</v>
      </c>
      <c r="G7818" t="s">
        <v>30058</v>
      </c>
      <c r="H7818" t="s">
        <v>15498</v>
      </c>
      <c r="I7818" t="s">
        <v>30074</v>
      </c>
      <c r="J7818" t="s">
        <v>30557</v>
      </c>
      <c r="K7818" t="s">
        <v>39019</v>
      </c>
      <c r="M7818" t="s">
        <v>39335</v>
      </c>
      <c r="N7818" t="s">
        <v>43166</v>
      </c>
      <c r="O7818" t="s">
        <v>43167</v>
      </c>
      <c r="P7818">
        <v>0</v>
      </c>
      <c r="Q7818">
        <v>5</v>
      </c>
      <c r="R7818" t="s">
        <v>43174</v>
      </c>
      <c r="S7818" t="s">
        <v>43396</v>
      </c>
      <c r="T7818" t="s">
        <v>44758</v>
      </c>
      <c r="U7818" t="s">
        <v>51528</v>
      </c>
      <c r="W7818" t="s">
        <v>39335</v>
      </c>
      <c r="X7818" t="s">
        <v>43182</v>
      </c>
    </row>
    <row r="7819" spans="1:24">
      <c r="A7819">
        <f>HYPERLINK("https://www.philgeps.gov.ph/GEPSNONPILOT/Tender/SplashBidNoticeAbstractUI.aspx?menuIndex=3&amp;refID=7058948&amp;Result=3","7058948")</f>
        <v>0</v>
      </c>
      <c r="B7819" t="s">
        <v>2412</v>
      </c>
      <c r="C7819" t="s">
        <v>10851</v>
      </c>
      <c r="D7819" t="s">
        <v>17478</v>
      </c>
      <c r="E7819" t="s">
        <v>24238</v>
      </c>
      <c r="F7819" t="s">
        <v>30052</v>
      </c>
      <c r="G7819" t="s">
        <v>30058</v>
      </c>
      <c r="H7819" t="s">
        <v>15498</v>
      </c>
      <c r="I7819" t="s">
        <v>30074</v>
      </c>
      <c r="J7819" t="s">
        <v>34982</v>
      </c>
      <c r="K7819" t="s">
        <v>39034</v>
      </c>
      <c r="M7819" t="s">
        <v>41909</v>
      </c>
      <c r="N7819" t="s">
        <v>43166</v>
      </c>
      <c r="O7819" t="s">
        <v>43167</v>
      </c>
      <c r="P7819">
        <v>0</v>
      </c>
      <c r="Q7819">
        <v>2</v>
      </c>
      <c r="R7819" t="s">
        <v>43174</v>
      </c>
      <c r="S7819" t="s">
        <v>43396</v>
      </c>
      <c r="T7819" t="s">
        <v>44807</v>
      </c>
      <c r="U7819" t="s">
        <v>51529</v>
      </c>
      <c r="W7819" t="s">
        <v>41909</v>
      </c>
      <c r="X7819" t="s">
        <v>43182</v>
      </c>
    </row>
    <row r="7820" spans="1:24">
      <c r="A7820">
        <f>HYPERLINK("https://www.philgeps.gov.ph/GEPSNONPILOT/Tender/SplashBidNoticeAbstractUI.aspx?menuIndex=3&amp;refID=7062193&amp;Result=3","7062193")</f>
        <v>0</v>
      </c>
      <c r="B7820" t="s">
        <v>2413</v>
      </c>
      <c r="C7820" t="s">
        <v>10852</v>
      </c>
      <c r="D7820" t="s">
        <v>17444</v>
      </c>
      <c r="E7820" t="s">
        <v>24239</v>
      </c>
      <c r="F7820" t="s">
        <v>30052</v>
      </c>
      <c r="G7820" t="s">
        <v>30058</v>
      </c>
      <c r="H7820" t="s">
        <v>15498</v>
      </c>
      <c r="I7820" t="s">
        <v>30166</v>
      </c>
      <c r="J7820" t="s">
        <v>34983</v>
      </c>
      <c r="K7820" t="s">
        <v>39029</v>
      </c>
      <c r="M7820" t="s">
        <v>41910</v>
      </c>
      <c r="N7820" t="s">
        <v>43166</v>
      </c>
      <c r="O7820" t="s">
        <v>43167</v>
      </c>
      <c r="P7820">
        <v>0</v>
      </c>
      <c r="Q7820">
        <v>2</v>
      </c>
      <c r="R7820" t="s">
        <v>43174</v>
      </c>
      <c r="S7820" t="s">
        <v>43396</v>
      </c>
      <c r="T7820" t="s">
        <v>44773</v>
      </c>
      <c r="U7820" t="s">
        <v>51530</v>
      </c>
      <c r="V7820" t="s">
        <v>57656</v>
      </c>
      <c r="W7820" t="s">
        <v>41910</v>
      </c>
      <c r="X7820" t="s">
        <v>43181</v>
      </c>
    </row>
    <row r="7821" spans="1:24">
      <c r="A7821">
        <f>HYPERLINK("https://www.philgeps.gov.ph/GEPSNONPILOT/Tender/SplashBidNoticeAbstractUI.aspx?menuIndex=3&amp;refID=7050202&amp;Result=3","7050202")</f>
        <v>0</v>
      </c>
      <c r="B7821" t="s">
        <v>2414</v>
      </c>
      <c r="C7821" t="s">
        <v>10853</v>
      </c>
      <c r="D7821" t="s">
        <v>17415</v>
      </c>
      <c r="E7821" t="s">
        <v>18530</v>
      </c>
      <c r="F7821" t="s">
        <v>30055</v>
      </c>
      <c r="G7821" t="s">
        <v>30058</v>
      </c>
      <c r="H7821" t="s">
        <v>15498</v>
      </c>
      <c r="I7821" t="s">
        <v>6304</v>
      </c>
      <c r="J7821" t="s">
        <v>34984</v>
      </c>
      <c r="K7821" t="s">
        <v>39064</v>
      </c>
      <c r="M7821" t="s">
        <v>41911</v>
      </c>
      <c r="N7821" t="s">
        <v>43166</v>
      </c>
      <c r="O7821" t="s">
        <v>43167</v>
      </c>
      <c r="P7821">
        <v>0</v>
      </c>
      <c r="Q7821">
        <v>1</v>
      </c>
      <c r="R7821" t="s">
        <v>43174</v>
      </c>
      <c r="S7821" t="s">
        <v>43396</v>
      </c>
      <c r="T7821" t="s">
        <v>44729</v>
      </c>
      <c r="U7821" t="s">
        <v>51531</v>
      </c>
      <c r="W7821" t="s">
        <v>41911</v>
      </c>
      <c r="X7821" t="s">
        <v>43187</v>
      </c>
    </row>
    <row r="7822" spans="1:24">
      <c r="A7822">
        <f>HYPERLINK("https://www.philgeps.gov.ph/GEPSNONPILOT/Tender/SplashBidNoticeAbstractUI.aspx?menuIndex=3&amp;refID=7061065&amp;Result=3","7061065")</f>
        <v>0</v>
      </c>
      <c r="B7822" t="s">
        <v>45</v>
      </c>
      <c r="C7822" t="s">
        <v>10854</v>
      </c>
      <c r="D7822" t="s">
        <v>17428</v>
      </c>
      <c r="E7822" t="s">
        <v>24240</v>
      </c>
      <c r="F7822" t="s">
        <v>30052</v>
      </c>
      <c r="G7822" t="s">
        <v>30058</v>
      </c>
      <c r="H7822" t="s">
        <v>15498</v>
      </c>
      <c r="I7822" t="s">
        <v>30074</v>
      </c>
      <c r="J7822" t="s">
        <v>30215</v>
      </c>
      <c r="K7822" t="s">
        <v>39019</v>
      </c>
      <c r="M7822" t="s">
        <v>39335</v>
      </c>
      <c r="N7822" t="s">
        <v>43166</v>
      </c>
      <c r="O7822" t="s">
        <v>43167</v>
      </c>
      <c r="P7822">
        <v>0</v>
      </c>
      <c r="Q7822">
        <v>3</v>
      </c>
      <c r="R7822" t="s">
        <v>43174</v>
      </c>
      <c r="S7822" t="s">
        <v>43396</v>
      </c>
      <c r="T7822" t="s">
        <v>44758</v>
      </c>
      <c r="U7822" t="s">
        <v>51528</v>
      </c>
      <c r="W7822" t="s">
        <v>39335</v>
      </c>
      <c r="X7822" t="s">
        <v>43182</v>
      </c>
    </row>
    <row r="7823" spans="1:24">
      <c r="A7823">
        <f>HYPERLINK("https://www.philgeps.gov.ph/GEPSNONPILOT/Tender/SplashBidNoticeAbstractUI.aspx?menuIndex=3&amp;refID=7039425-2&amp;Result=3","7039425-2")</f>
        <v>0</v>
      </c>
      <c r="B7823" t="s">
        <v>2415</v>
      </c>
      <c r="C7823" t="s">
        <v>10855</v>
      </c>
      <c r="D7823" t="s">
        <v>17489</v>
      </c>
      <c r="E7823" t="s">
        <v>24241</v>
      </c>
      <c r="F7823" t="s">
        <v>30052</v>
      </c>
      <c r="G7823" t="s">
        <v>30058</v>
      </c>
      <c r="H7823" t="s">
        <v>30068</v>
      </c>
      <c r="I7823" t="s">
        <v>30068</v>
      </c>
      <c r="J7823" t="s">
        <v>34985</v>
      </c>
      <c r="K7823" t="s">
        <v>39104</v>
      </c>
      <c r="M7823" t="s">
        <v>41912</v>
      </c>
      <c r="N7823" t="s">
        <v>43166</v>
      </c>
      <c r="O7823" t="s">
        <v>43167</v>
      </c>
      <c r="P7823">
        <v>0</v>
      </c>
      <c r="Q7823">
        <v>2</v>
      </c>
      <c r="R7823" t="s">
        <v>43174</v>
      </c>
      <c r="S7823" t="s">
        <v>43396</v>
      </c>
      <c r="T7823" t="s">
        <v>44681</v>
      </c>
      <c r="U7823" t="s">
        <v>51532</v>
      </c>
      <c r="V7823" t="s">
        <v>57657</v>
      </c>
      <c r="W7823" t="s">
        <v>41912</v>
      </c>
      <c r="X7823" t="s">
        <v>43175</v>
      </c>
    </row>
    <row r="7824" spans="1:24">
      <c r="A7824">
        <f>HYPERLINK("https://www.philgeps.gov.ph/GEPSNONPILOT/Tender/SplashBidNoticeAbstractUI.aspx?menuIndex=3&amp;refID=7038288-2&amp;Result=3","7038288-2")</f>
        <v>0</v>
      </c>
      <c r="B7824" t="s">
        <v>2415</v>
      </c>
      <c r="C7824" t="s">
        <v>10856</v>
      </c>
      <c r="D7824" t="s">
        <v>17489</v>
      </c>
      <c r="E7824" t="s">
        <v>24242</v>
      </c>
      <c r="F7824" t="s">
        <v>30052</v>
      </c>
      <c r="G7824" t="s">
        <v>30058</v>
      </c>
      <c r="H7824" t="s">
        <v>30068</v>
      </c>
      <c r="I7824" t="s">
        <v>30068</v>
      </c>
      <c r="J7824" t="s">
        <v>34986</v>
      </c>
      <c r="K7824" t="s">
        <v>39023</v>
      </c>
      <c r="M7824" t="s">
        <v>41912</v>
      </c>
      <c r="N7824" t="s">
        <v>43166</v>
      </c>
      <c r="O7824" t="s">
        <v>43167</v>
      </c>
      <c r="P7824">
        <v>0</v>
      </c>
      <c r="Q7824">
        <v>1</v>
      </c>
      <c r="R7824" t="s">
        <v>43174</v>
      </c>
      <c r="S7824" t="s">
        <v>43396</v>
      </c>
      <c r="T7824" t="s">
        <v>44681</v>
      </c>
      <c r="U7824" t="s">
        <v>51533</v>
      </c>
      <c r="V7824" t="s">
        <v>57658</v>
      </c>
      <c r="W7824" t="s">
        <v>41912</v>
      </c>
      <c r="X7824" t="s">
        <v>43175</v>
      </c>
    </row>
    <row r="7825" spans="1:24">
      <c r="A7825">
        <f>HYPERLINK("https://www.philgeps.gov.ph/GEPSNONPILOT/Tender/SplashBidNoticeAbstractUI.aspx?menuIndex=3&amp;refID=7064906&amp;Result=3","7064906")</f>
        <v>0</v>
      </c>
      <c r="B7825" t="s">
        <v>2410</v>
      </c>
      <c r="C7825" t="s">
        <v>10857</v>
      </c>
      <c r="D7825" t="s">
        <v>17470</v>
      </c>
      <c r="E7825" t="s">
        <v>24243</v>
      </c>
      <c r="F7825" t="s">
        <v>30052</v>
      </c>
      <c r="G7825" t="s">
        <v>30058</v>
      </c>
      <c r="H7825" t="s">
        <v>30067</v>
      </c>
      <c r="I7825" t="s">
        <v>3693</v>
      </c>
      <c r="J7825" t="s">
        <v>34987</v>
      </c>
      <c r="K7825" t="s">
        <v>39031</v>
      </c>
      <c r="M7825" t="s">
        <v>41907</v>
      </c>
      <c r="N7825" t="s">
        <v>43166</v>
      </c>
      <c r="O7825" t="s">
        <v>43167</v>
      </c>
      <c r="P7825">
        <v>0</v>
      </c>
      <c r="Q7825">
        <v>1</v>
      </c>
      <c r="R7825" t="s">
        <v>43174</v>
      </c>
      <c r="S7825" t="s">
        <v>43396</v>
      </c>
      <c r="T7825" t="s">
        <v>44758</v>
      </c>
      <c r="U7825" t="s">
        <v>51534</v>
      </c>
      <c r="W7825" t="s">
        <v>41907</v>
      </c>
      <c r="X7825" t="s">
        <v>43180</v>
      </c>
    </row>
    <row r="7826" spans="1:24">
      <c r="A7826">
        <f>HYPERLINK("https://www.philgeps.gov.ph/GEPSNONPILOT/Tender/SplashBidNoticeAbstractUI.aspx?menuIndex=3&amp;refID=7060602&amp;Result=3","7060602")</f>
        <v>0</v>
      </c>
      <c r="B7826" t="s">
        <v>2412</v>
      </c>
      <c r="C7826" t="s">
        <v>10858</v>
      </c>
      <c r="D7826" t="s">
        <v>17478</v>
      </c>
      <c r="E7826" t="s">
        <v>24244</v>
      </c>
      <c r="F7826" t="s">
        <v>30052</v>
      </c>
      <c r="G7826" t="s">
        <v>30058</v>
      </c>
      <c r="H7826" t="s">
        <v>15498</v>
      </c>
      <c r="I7826" t="s">
        <v>30074</v>
      </c>
      <c r="J7826" t="s">
        <v>34988</v>
      </c>
      <c r="K7826" t="s">
        <v>39034</v>
      </c>
      <c r="M7826" t="s">
        <v>41909</v>
      </c>
      <c r="N7826" t="s">
        <v>43166</v>
      </c>
      <c r="O7826" t="s">
        <v>43167</v>
      </c>
      <c r="P7826">
        <v>0</v>
      </c>
      <c r="Q7826">
        <v>4</v>
      </c>
      <c r="R7826" t="s">
        <v>43174</v>
      </c>
      <c r="S7826" t="s">
        <v>43396</v>
      </c>
      <c r="T7826" t="s">
        <v>44807</v>
      </c>
      <c r="U7826" t="s">
        <v>51535</v>
      </c>
      <c r="W7826" t="s">
        <v>41909</v>
      </c>
      <c r="X7826" t="s">
        <v>43182</v>
      </c>
    </row>
    <row r="7827" spans="1:24">
      <c r="A7827">
        <f>HYPERLINK("https://www.philgeps.gov.ph/GEPSNONPILOT/Tender/SplashBidNoticeAbstractUI.aspx?menuIndex=3&amp;refID=6941401&amp;Result=3","6941401")</f>
        <v>0</v>
      </c>
      <c r="B7827" t="s">
        <v>568</v>
      </c>
      <c r="C7827" t="s">
        <v>10859</v>
      </c>
      <c r="D7827" t="s">
        <v>17437</v>
      </c>
      <c r="E7827" t="s">
        <v>24245</v>
      </c>
      <c r="F7827" t="s">
        <v>30052</v>
      </c>
      <c r="G7827" t="s">
        <v>30061</v>
      </c>
      <c r="H7827" t="s">
        <v>15498</v>
      </c>
      <c r="I7827" t="s">
        <v>9238</v>
      </c>
      <c r="J7827" t="s">
        <v>30230</v>
      </c>
      <c r="K7827" t="s">
        <v>39029</v>
      </c>
      <c r="M7827" t="s">
        <v>39870</v>
      </c>
      <c r="N7827" t="s">
        <v>43166</v>
      </c>
      <c r="O7827" t="s">
        <v>43167</v>
      </c>
      <c r="P7827">
        <v>0</v>
      </c>
      <c r="Q7827">
        <v>28</v>
      </c>
      <c r="R7827" t="s">
        <v>43174</v>
      </c>
      <c r="S7827" t="s">
        <v>43396</v>
      </c>
      <c r="T7827" t="s">
        <v>44717</v>
      </c>
      <c r="U7827" t="s">
        <v>51536</v>
      </c>
      <c r="V7827" t="s">
        <v>57003</v>
      </c>
      <c r="W7827" t="s">
        <v>39870</v>
      </c>
      <c r="X7827" t="s">
        <v>43256</v>
      </c>
    </row>
    <row r="7828" spans="1:24">
      <c r="A7828">
        <f>HYPERLINK("https://www.philgeps.gov.ph/GEPSNONPILOT/Tender/SplashBidNoticeAbstractUI.aspx?menuIndex=3&amp;refID=7078733&amp;Result=3","7078733")</f>
        <v>0</v>
      </c>
      <c r="B7828" t="s">
        <v>619</v>
      </c>
      <c r="C7828" t="s">
        <v>10860</v>
      </c>
      <c r="D7828" t="s">
        <v>17442</v>
      </c>
      <c r="E7828" t="s">
        <v>24246</v>
      </c>
      <c r="F7828" t="s">
        <v>30052</v>
      </c>
      <c r="G7828" t="s">
        <v>30058</v>
      </c>
      <c r="H7828" t="s">
        <v>15498</v>
      </c>
      <c r="I7828" t="s">
        <v>30071</v>
      </c>
      <c r="J7828" t="s">
        <v>34989</v>
      </c>
      <c r="K7828" t="s">
        <v>39017</v>
      </c>
      <c r="M7828" t="s">
        <v>39922</v>
      </c>
      <c r="N7828" t="s">
        <v>43166</v>
      </c>
      <c r="O7828" t="s">
        <v>43167</v>
      </c>
      <c r="P7828">
        <v>0</v>
      </c>
      <c r="Q7828">
        <v>0</v>
      </c>
      <c r="R7828" t="s">
        <v>43173</v>
      </c>
      <c r="S7828" t="s">
        <v>43374</v>
      </c>
      <c r="T7828" t="s">
        <v>44800</v>
      </c>
      <c r="U7828" t="s">
        <v>51537</v>
      </c>
      <c r="W7828" t="s">
        <v>39922</v>
      </c>
      <c r="X7828" t="s">
        <v>43174</v>
      </c>
    </row>
    <row r="7829" spans="1:24">
      <c r="A7829">
        <f>HYPERLINK("https://www.philgeps.gov.ph/GEPSNONPILOT/Tender/SplashBidNoticeAbstractUI.aspx?menuIndex=3&amp;refID=7078784&amp;Result=3","7078784")</f>
        <v>0</v>
      </c>
      <c r="B7829" t="s">
        <v>2416</v>
      </c>
      <c r="C7829" t="s">
        <v>10861</v>
      </c>
      <c r="D7829" t="s">
        <v>17456</v>
      </c>
      <c r="E7829" t="s">
        <v>18583</v>
      </c>
      <c r="F7829" t="s">
        <v>30052</v>
      </c>
      <c r="G7829" t="s">
        <v>30058</v>
      </c>
      <c r="H7829" t="s">
        <v>15498</v>
      </c>
      <c r="I7829" t="s">
        <v>3736</v>
      </c>
      <c r="J7829" t="s">
        <v>34990</v>
      </c>
      <c r="K7829" t="s">
        <v>39036</v>
      </c>
      <c r="M7829" t="s">
        <v>41913</v>
      </c>
      <c r="N7829" t="s">
        <v>43166</v>
      </c>
      <c r="O7829" t="s">
        <v>43167</v>
      </c>
      <c r="P7829">
        <v>0</v>
      </c>
      <c r="Q7829">
        <v>0</v>
      </c>
      <c r="R7829" t="s">
        <v>43173</v>
      </c>
      <c r="S7829" t="s">
        <v>43374</v>
      </c>
      <c r="T7829" t="s">
        <v>44685</v>
      </c>
      <c r="U7829" t="s">
        <v>51538</v>
      </c>
      <c r="W7829" t="s">
        <v>41913</v>
      </c>
      <c r="X7829" t="s">
        <v>43174</v>
      </c>
    </row>
    <row r="7830" spans="1:24">
      <c r="A7830">
        <f>HYPERLINK("https://www.philgeps.gov.ph/GEPSNONPILOT/Tender/SplashBidNoticeAbstractUI.aspx?menuIndex=3&amp;refID=7078800&amp;Result=3","7078800")</f>
        <v>0</v>
      </c>
      <c r="B7830" t="s">
        <v>2417</v>
      </c>
      <c r="C7830" t="s">
        <v>10862</v>
      </c>
      <c r="D7830" t="s">
        <v>17414</v>
      </c>
      <c r="E7830" t="s">
        <v>24247</v>
      </c>
      <c r="F7830" t="s">
        <v>30052</v>
      </c>
      <c r="G7830" t="s">
        <v>30058</v>
      </c>
      <c r="H7830" t="s">
        <v>15498</v>
      </c>
      <c r="I7830" t="s">
        <v>3736</v>
      </c>
      <c r="J7830" t="s">
        <v>34991</v>
      </c>
      <c r="K7830" t="s">
        <v>39029</v>
      </c>
      <c r="M7830" t="s">
        <v>41914</v>
      </c>
      <c r="N7830" t="s">
        <v>43166</v>
      </c>
      <c r="O7830" t="s">
        <v>43167</v>
      </c>
      <c r="P7830">
        <v>0</v>
      </c>
      <c r="Q7830">
        <v>0</v>
      </c>
      <c r="R7830" t="s">
        <v>43173</v>
      </c>
      <c r="S7830" t="s">
        <v>43374</v>
      </c>
      <c r="T7830" t="s">
        <v>44807</v>
      </c>
      <c r="U7830" t="s">
        <v>51539</v>
      </c>
      <c r="W7830" t="s">
        <v>41914</v>
      </c>
      <c r="X7830" t="s">
        <v>43174</v>
      </c>
    </row>
    <row r="7831" spans="1:24">
      <c r="A7831">
        <f>HYPERLINK("https://www.philgeps.gov.ph/GEPSNONPILOT/Tender/SplashBidNoticeAbstractUI.aspx?menuIndex=3&amp;refID=7078797&amp;Result=3","7078797")</f>
        <v>0</v>
      </c>
      <c r="B7831" t="s">
        <v>2418</v>
      </c>
      <c r="C7831" t="s">
        <v>10863</v>
      </c>
      <c r="D7831" t="s">
        <v>17456</v>
      </c>
      <c r="E7831" t="s">
        <v>18583</v>
      </c>
      <c r="F7831" t="s">
        <v>30052</v>
      </c>
      <c r="G7831" t="s">
        <v>30058</v>
      </c>
      <c r="H7831" t="s">
        <v>15498</v>
      </c>
      <c r="I7831" t="s">
        <v>3736</v>
      </c>
      <c r="J7831" t="s">
        <v>34992</v>
      </c>
      <c r="K7831" t="s">
        <v>39036</v>
      </c>
      <c r="M7831" t="s">
        <v>41915</v>
      </c>
      <c r="N7831" t="s">
        <v>43166</v>
      </c>
      <c r="O7831" t="s">
        <v>43167</v>
      </c>
      <c r="P7831">
        <v>0</v>
      </c>
      <c r="Q7831">
        <v>0</v>
      </c>
      <c r="R7831" t="s">
        <v>43173</v>
      </c>
      <c r="S7831" t="s">
        <v>43374</v>
      </c>
      <c r="T7831" t="s">
        <v>44734</v>
      </c>
      <c r="U7831" t="s">
        <v>51540</v>
      </c>
      <c r="W7831" t="s">
        <v>41915</v>
      </c>
      <c r="X7831" t="s">
        <v>43174</v>
      </c>
    </row>
    <row r="7832" spans="1:24">
      <c r="A7832">
        <f>HYPERLINK("https://www.philgeps.gov.ph/GEPSNONPILOT/Tender/SplashBidNoticeAbstractUI.aspx?menuIndex=3&amp;refID=7078690&amp;Result=3","7078690")</f>
        <v>0</v>
      </c>
      <c r="B7832" t="s">
        <v>2396</v>
      </c>
      <c r="C7832" t="s">
        <v>10864</v>
      </c>
      <c r="D7832" t="s">
        <v>17459</v>
      </c>
      <c r="E7832" t="s">
        <v>24248</v>
      </c>
      <c r="F7832" t="s">
        <v>30052</v>
      </c>
      <c r="G7832" t="s">
        <v>30058</v>
      </c>
      <c r="H7832" t="s">
        <v>30067</v>
      </c>
      <c r="I7832" t="s">
        <v>3693</v>
      </c>
      <c r="J7832" t="s">
        <v>34993</v>
      </c>
      <c r="K7832" t="s">
        <v>39046</v>
      </c>
      <c r="M7832" t="s">
        <v>41892</v>
      </c>
      <c r="N7832" t="s">
        <v>43166</v>
      </c>
      <c r="O7832" t="s">
        <v>43167</v>
      </c>
      <c r="P7832">
        <v>0</v>
      </c>
      <c r="Q7832">
        <v>0</v>
      </c>
      <c r="R7832" t="s">
        <v>43173</v>
      </c>
      <c r="S7832" t="s">
        <v>43374</v>
      </c>
      <c r="T7832" t="s">
        <v>44758</v>
      </c>
      <c r="U7832" t="s">
        <v>51501</v>
      </c>
      <c r="W7832" t="s">
        <v>41892</v>
      </c>
      <c r="X7832" t="s">
        <v>43174</v>
      </c>
    </row>
    <row r="7833" spans="1:24">
      <c r="A7833">
        <f>HYPERLINK("https://www.philgeps.gov.ph/GEPSNONPILOT/Tender/SplashBidNoticeAbstractUI.aspx?menuIndex=3&amp;refID=7078689&amp;Result=3","7078689")</f>
        <v>0</v>
      </c>
      <c r="B7833" t="s">
        <v>2350</v>
      </c>
      <c r="C7833" t="s">
        <v>10865</v>
      </c>
      <c r="D7833" t="s">
        <v>17466</v>
      </c>
      <c r="E7833" t="s">
        <v>24249</v>
      </c>
      <c r="F7833" t="s">
        <v>30052</v>
      </c>
      <c r="G7833" t="s">
        <v>30058</v>
      </c>
      <c r="H7833" t="s">
        <v>15498</v>
      </c>
      <c r="I7833" t="s">
        <v>30152</v>
      </c>
      <c r="J7833" t="s">
        <v>34994</v>
      </c>
      <c r="K7833" t="s">
        <v>39039</v>
      </c>
      <c r="M7833" t="s">
        <v>41843</v>
      </c>
      <c r="N7833" t="s">
        <v>43166</v>
      </c>
      <c r="O7833" t="s">
        <v>43167</v>
      </c>
      <c r="P7833">
        <v>0</v>
      </c>
      <c r="Q7833">
        <v>0</v>
      </c>
      <c r="R7833" t="s">
        <v>43173</v>
      </c>
      <c r="S7833" t="s">
        <v>43374</v>
      </c>
      <c r="T7833" t="s">
        <v>44813</v>
      </c>
      <c r="U7833" t="s">
        <v>51541</v>
      </c>
      <c r="W7833" t="s">
        <v>41843</v>
      </c>
      <c r="X7833" t="s">
        <v>43174</v>
      </c>
    </row>
    <row r="7834" spans="1:24">
      <c r="A7834">
        <f>HYPERLINK("https://www.philgeps.gov.ph/GEPSNONPILOT/Tender/SplashBidNoticeAbstractUI.aspx?menuIndex=3&amp;refID=7078685&amp;Result=3","7078685")</f>
        <v>0</v>
      </c>
      <c r="B7834" t="s">
        <v>2419</v>
      </c>
      <c r="C7834" t="s">
        <v>10866</v>
      </c>
      <c r="D7834" t="s">
        <v>17430</v>
      </c>
      <c r="E7834" t="s">
        <v>18691</v>
      </c>
      <c r="F7834" t="s">
        <v>30052</v>
      </c>
      <c r="G7834" t="s">
        <v>30058</v>
      </c>
      <c r="H7834" t="s">
        <v>15498</v>
      </c>
      <c r="I7834" t="s">
        <v>30097</v>
      </c>
      <c r="J7834" t="s">
        <v>34995</v>
      </c>
      <c r="K7834" t="s">
        <v>39029</v>
      </c>
      <c r="M7834" t="s">
        <v>41916</v>
      </c>
      <c r="N7834" t="s">
        <v>43166</v>
      </c>
      <c r="O7834" t="s">
        <v>43167</v>
      </c>
      <c r="P7834">
        <v>0</v>
      </c>
      <c r="Q7834">
        <v>1</v>
      </c>
      <c r="R7834" t="s">
        <v>43173</v>
      </c>
      <c r="S7834" t="s">
        <v>43374</v>
      </c>
      <c r="T7834" t="s">
        <v>44882</v>
      </c>
      <c r="U7834" t="s">
        <v>51542</v>
      </c>
      <c r="W7834" t="s">
        <v>41916</v>
      </c>
      <c r="X7834" t="s">
        <v>43174</v>
      </c>
    </row>
    <row r="7835" spans="1:24">
      <c r="A7835">
        <f>HYPERLINK("https://www.philgeps.gov.ph/GEPSNONPILOT/Tender/SplashBidNoticeAbstractUI.aspx?menuIndex=3&amp;refID=7078683&amp;Result=3","7078683")</f>
        <v>0</v>
      </c>
      <c r="B7835" t="s">
        <v>2420</v>
      </c>
      <c r="C7835" t="s">
        <v>10867</v>
      </c>
      <c r="D7835" t="s">
        <v>17448</v>
      </c>
      <c r="E7835" t="s">
        <v>24250</v>
      </c>
      <c r="F7835" t="s">
        <v>30052</v>
      </c>
      <c r="G7835" t="s">
        <v>30058</v>
      </c>
      <c r="H7835" t="s">
        <v>30067</v>
      </c>
      <c r="I7835" t="s">
        <v>3693</v>
      </c>
      <c r="J7835" t="s">
        <v>30218</v>
      </c>
      <c r="K7835" t="s">
        <v>39019</v>
      </c>
      <c r="M7835" t="s">
        <v>41917</v>
      </c>
      <c r="N7835" t="s">
        <v>43166</v>
      </c>
      <c r="O7835" t="s">
        <v>43167</v>
      </c>
      <c r="P7835">
        <v>0</v>
      </c>
      <c r="Q7835">
        <v>0</v>
      </c>
      <c r="R7835" t="s">
        <v>43173</v>
      </c>
      <c r="S7835" t="s">
        <v>43374</v>
      </c>
      <c r="T7835" t="s">
        <v>44776</v>
      </c>
      <c r="U7835" t="s">
        <v>51543</v>
      </c>
      <c r="W7835" t="s">
        <v>41917</v>
      </c>
      <c r="X7835" t="s">
        <v>43174</v>
      </c>
    </row>
    <row r="7836" spans="1:24">
      <c r="A7836">
        <f>HYPERLINK("https://www.philgeps.gov.ph/GEPSNONPILOT/Tender/SplashBidNoticeAbstractUI.aspx?menuIndex=3&amp;refID=7078682&amp;Result=3","7078682")</f>
        <v>0</v>
      </c>
      <c r="B7836" t="s">
        <v>1213</v>
      </c>
      <c r="C7836" t="s">
        <v>10868</v>
      </c>
      <c r="D7836" t="s">
        <v>17448</v>
      </c>
      <c r="E7836" t="s">
        <v>19101</v>
      </c>
      <c r="F7836" t="s">
        <v>30052</v>
      </c>
      <c r="G7836" t="s">
        <v>30058</v>
      </c>
      <c r="H7836" t="s">
        <v>30069</v>
      </c>
      <c r="I7836" t="s">
        <v>30074</v>
      </c>
      <c r="J7836" t="s">
        <v>32337</v>
      </c>
      <c r="K7836" t="s">
        <v>39037</v>
      </c>
      <c r="M7836" t="s">
        <v>40567</v>
      </c>
      <c r="N7836" t="s">
        <v>43166</v>
      </c>
      <c r="O7836" t="s">
        <v>43167</v>
      </c>
      <c r="P7836">
        <v>0</v>
      </c>
      <c r="Q7836">
        <v>1</v>
      </c>
      <c r="R7836" t="s">
        <v>43173</v>
      </c>
      <c r="S7836" t="s">
        <v>43374</v>
      </c>
      <c r="T7836" t="s">
        <v>44730</v>
      </c>
      <c r="U7836" t="s">
        <v>47856</v>
      </c>
      <c r="W7836" t="s">
        <v>40567</v>
      </c>
      <c r="X7836" t="s">
        <v>43174</v>
      </c>
    </row>
    <row r="7837" spans="1:24">
      <c r="A7837">
        <f>HYPERLINK("https://www.philgeps.gov.ph/GEPSNONPILOT/Tender/SplashBidNoticeAbstractUI.aspx?menuIndex=3&amp;refID=7078740&amp;Result=3","7078740")</f>
        <v>0</v>
      </c>
      <c r="B7837" t="s">
        <v>842</v>
      </c>
      <c r="C7837" t="s">
        <v>10869</v>
      </c>
      <c r="D7837" t="s">
        <v>17421</v>
      </c>
      <c r="E7837" t="s">
        <v>24251</v>
      </c>
      <c r="F7837" t="s">
        <v>30052</v>
      </c>
      <c r="G7837" t="s">
        <v>30058</v>
      </c>
      <c r="H7837" t="s">
        <v>30067</v>
      </c>
      <c r="I7837" t="s">
        <v>3693</v>
      </c>
      <c r="J7837" t="s">
        <v>30530</v>
      </c>
      <c r="K7837" t="s">
        <v>39029</v>
      </c>
      <c r="M7837" t="s">
        <v>40159</v>
      </c>
      <c r="N7837" t="s">
        <v>43166</v>
      </c>
      <c r="O7837" t="s">
        <v>43167</v>
      </c>
      <c r="P7837">
        <v>0</v>
      </c>
      <c r="Q7837">
        <v>0</v>
      </c>
      <c r="R7837" t="s">
        <v>43173</v>
      </c>
      <c r="S7837" t="s">
        <v>43374</v>
      </c>
      <c r="T7837" t="s">
        <v>44698</v>
      </c>
      <c r="U7837" t="s">
        <v>51544</v>
      </c>
      <c r="W7837" t="s">
        <v>40159</v>
      </c>
      <c r="X7837" t="s">
        <v>43174</v>
      </c>
    </row>
    <row r="7838" spans="1:24">
      <c r="A7838">
        <f>HYPERLINK("https://www.philgeps.gov.ph/GEPSNONPILOT/Tender/SplashBidNoticeAbstractUI.aspx?menuIndex=3&amp;refID=7017188-2&amp;Result=3","7017188-2")</f>
        <v>0</v>
      </c>
      <c r="B7838" t="s">
        <v>889</v>
      </c>
      <c r="C7838" t="s">
        <v>10870</v>
      </c>
      <c r="D7838" t="s">
        <v>17421</v>
      </c>
      <c r="E7838" t="s">
        <v>24252</v>
      </c>
      <c r="F7838" t="s">
        <v>30052</v>
      </c>
      <c r="G7838" t="s">
        <v>30058</v>
      </c>
      <c r="H7838" t="s">
        <v>30068</v>
      </c>
      <c r="I7838" t="s">
        <v>30068</v>
      </c>
      <c r="J7838" t="s">
        <v>31684</v>
      </c>
      <c r="K7838" t="s">
        <v>39046</v>
      </c>
      <c r="M7838" t="s">
        <v>40208</v>
      </c>
      <c r="N7838" t="s">
        <v>43166</v>
      </c>
      <c r="O7838" t="s">
        <v>43167</v>
      </c>
      <c r="P7838">
        <v>0</v>
      </c>
      <c r="Q7838">
        <v>1</v>
      </c>
      <c r="R7838" t="s">
        <v>43174</v>
      </c>
      <c r="S7838" t="s">
        <v>43396</v>
      </c>
      <c r="T7838" t="s">
        <v>44965</v>
      </c>
      <c r="U7838" t="s">
        <v>51545</v>
      </c>
      <c r="W7838" t="s">
        <v>40208</v>
      </c>
      <c r="X7838" t="s">
        <v>43175</v>
      </c>
    </row>
    <row r="7839" spans="1:24">
      <c r="A7839">
        <f>HYPERLINK("https://www.philgeps.gov.ph/GEPSNONPILOT/Tender/SplashBidNoticeAbstractUI.aspx?menuIndex=3&amp;refID=6968998&amp;Result=3","6968998")</f>
        <v>0</v>
      </c>
      <c r="B7839" t="s">
        <v>1181</v>
      </c>
      <c r="C7839" t="s">
        <v>10871</v>
      </c>
      <c r="D7839" t="s">
        <v>17444</v>
      </c>
      <c r="E7839" t="s">
        <v>24253</v>
      </c>
      <c r="F7839" t="s">
        <v>30052</v>
      </c>
      <c r="G7839" t="s">
        <v>30061</v>
      </c>
      <c r="H7839" t="s">
        <v>15498</v>
      </c>
      <c r="I7839" t="s">
        <v>30076</v>
      </c>
      <c r="J7839" t="s">
        <v>34996</v>
      </c>
      <c r="K7839" t="s">
        <v>39025</v>
      </c>
      <c r="M7839" t="s">
        <v>41300</v>
      </c>
      <c r="N7839" t="s">
        <v>43166</v>
      </c>
      <c r="O7839" t="s">
        <v>43167</v>
      </c>
      <c r="P7839">
        <v>0</v>
      </c>
      <c r="Q7839">
        <v>5</v>
      </c>
      <c r="R7839" t="s">
        <v>43174</v>
      </c>
      <c r="S7839" t="s">
        <v>43396</v>
      </c>
      <c r="T7839" t="s">
        <v>44870</v>
      </c>
      <c r="U7839" t="s">
        <v>51546</v>
      </c>
      <c r="W7839" t="s">
        <v>40531</v>
      </c>
      <c r="X7839" t="s">
        <v>43222</v>
      </c>
    </row>
    <row r="7840" spans="1:24">
      <c r="A7840">
        <f>HYPERLINK("https://www.philgeps.gov.ph/GEPSNONPILOT/Tender/SplashBidNoticeAbstractUI.aspx?menuIndex=3&amp;refID=7078742&amp;Result=3","7078742")</f>
        <v>0</v>
      </c>
      <c r="B7840" t="s">
        <v>2091</v>
      </c>
      <c r="C7840" t="s">
        <v>10872</v>
      </c>
      <c r="D7840" t="s">
        <v>17414</v>
      </c>
      <c r="E7840" t="s">
        <v>24254</v>
      </c>
      <c r="F7840" t="s">
        <v>30052</v>
      </c>
      <c r="G7840" t="s">
        <v>30058</v>
      </c>
      <c r="H7840" t="s">
        <v>30067</v>
      </c>
      <c r="I7840" t="s">
        <v>3693</v>
      </c>
      <c r="J7840" t="s">
        <v>34997</v>
      </c>
      <c r="K7840" t="s">
        <v>39119</v>
      </c>
      <c r="M7840" t="s">
        <v>41553</v>
      </c>
      <c r="N7840" t="s">
        <v>43166</v>
      </c>
      <c r="O7840" t="s">
        <v>43167</v>
      </c>
      <c r="P7840">
        <v>0</v>
      </c>
      <c r="Q7840">
        <v>2</v>
      </c>
      <c r="R7840" t="s">
        <v>43173</v>
      </c>
      <c r="S7840" t="s">
        <v>43374</v>
      </c>
      <c r="T7840" t="s">
        <v>44711</v>
      </c>
      <c r="U7840" t="s">
        <v>50484</v>
      </c>
      <c r="W7840" t="s">
        <v>42702</v>
      </c>
      <c r="X7840" t="s">
        <v>43174</v>
      </c>
    </row>
    <row r="7841" spans="1:24">
      <c r="A7841">
        <f>HYPERLINK("https://www.philgeps.gov.ph/GEPSNONPILOT/Tender/SplashBidNoticeAbstractUI.aspx?menuIndex=3&amp;refID=7078754&amp;Result=3","7078754")</f>
        <v>0</v>
      </c>
      <c r="B7841" t="s">
        <v>2406</v>
      </c>
      <c r="C7841" t="s">
        <v>10873</v>
      </c>
      <c r="D7841" t="s">
        <v>17417</v>
      </c>
      <c r="E7841" t="s">
        <v>24255</v>
      </c>
      <c r="F7841" t="s">
        <v>30052</v>
      </c>
      <c r="G7841" t="s">
        <v>30058</v>
      </c>
      <c r="H7841" t="s">
        <v>30067</v>
      </c>
      <c r="I7841" t="s">
        <v>3693</v>
      </c>
      <c r="J7841" t="s">
        <v>34998</v>
      </c>
      <c r="K7841" t="s">
        <v>39084</v>
      </c>
      <c r="M7841" t="s">
        <v>41903</v>
      </c>
      <c r="N7841" t="s">
        <v>43166</v>
      </c>
      <c r="O7841" t="s">
        <v>43167</v>
      </c>
      <c r="P7841">
        <v>0</v>
      </c>
      <c r="Q7841">
        <v>1</v>
      </c>
      <c r="R7841" t="s">
        <v>43173</v>
      </c>
      <c r="S7841" t="s">
        <v>43374</v>
      </c>
      <c r="T7841" t="s">
        <v>44725</v>
      </c>
      <c r="U7841" t="s">
        <v>51547</v>
      </c>
      <c r="W7841" t="s">
        <v>41903</v>
      </c>
      <c r="X7841" t="s">
        <v>43174</v>
      </c>
    </row>
    <row r="7842" spans="1:24">
      <c r="A7842">
        <f>HYPERLINK("https://www.philgeps.gov.ph/GEPSNONPILOT/Tender/SplashBidNoticeAbstractUI.aspx?menuIndex=3&amp;refID=7065035&amp;Result=3","7065035")</f>
        <v>0</v>
      </c>
      <c r="B7842" t="s">
        <v>2410</v>
      </c>
      <c r="C7842" t="s">
        <v>10874</v>
      </c>
      <c r="D7842" t="s">
        <v>17470</v>
      </c>
      <c r="E7842" t="s">
        <v>24256</v>
      </c>
      <c r="F7842" t="s">
        <v>30052</v>
      </c>
      <c r="G7842" t="s">
        <v>30058</v>
      </c>
      <c r="H7842" t="s">
        <v>30067</v>
      </c>
      <c r="I7842" t="s">
        <v>3693</v>
      </c>
      <c r="J7842" t="s">
        <v>30330</v>
      </c>
      <c r="K7842" t="s">
        <v>39023</v>
      </c>
      <c r="M7842" t="s">
        <v>41907</v>
      </c>
      <c r="N7842" t="s">
        <v>43166</v>
      </c>
      <c r="O7842" t="s">
        <v>43167</v>
      </c>
      <c r="P7842">
        <v>0</v>
      </c>
      <c r="Q7842">
        <v>1</v>
      </c>
      <c r="R7842" t="s">
        <v>43174</v>
      </c>
      <c r="S7842" t="s">
        <v>43396</v>
      </c>
      <c r="T7842" t="s">
        <v>44758</v>
      </c>
      <c r="U7842" t="s">
        <v>51548</v>
      </c>
      <c r="W7842" t="s">
        <v>41907</v>
      </c>
      <c r="X7842" t="s">
        <v>43180</v>
      </c>
    </row>
    <row r="7843" spans="1:24">
      <c r="A7843">
        <f>HYPERLINK("https://www.philgeps.gov.ph/GEPSNONPILOT/Tender/SplashBidNoticeAbstractUI.aspx?menuIndex=3&amp;refID=7065056&amp;Result=3","7065056")</f>
        <v>0</v>
      </c>
      <c r="B7843" t="s">
        <v>2410</v>
      </c>
      <c r="C7843" t="s">
        <v>10875</v>
      </c>
      <c r="D7843" t="s">
        <v>17470</v>
      </c>
      <c r="E7843" t="s">
        <v>24257</v>
      </c>
      <c r="F7843" t="s">
        <v>30052</v>
      </c>
      <c r="G7843" t="s">
        <v>30058</v>
      </c>
      <c r="H7843" t="s">
        <v>30067</v>
      </c>
      <c r="I7843" t="s">
        <v>3693</v>
      </c>
      <c r="J7843" t="s">
        <v>34999</v>
      </c>
      <c r="K7843" t="s">
        <v>39031</v>
      </c>
      <c r="M7843" t="s">
        <v>41907</v>
      </c>
      <c r="N7843" t="s">
        <v>43166</v>
      </c>
      <c r="O7843" t="s">
        <v>43167</v>
      </c>
      <c r="P7843">
        <v>0</v>
      </c>
      <c r="Q7843">
        <v>1</v>
      </c>
      <c r="R7843" t="s">
        <v>43174</v>
      </c>
      <c r="S7843" t="s">
        <v>43396</v>
      </c>
      <c r="T7843" t="s">
        <v>44758</v>
      </c>
      <c r="U7843" t="s">
        <v>51549</v>
      </c>
      <c r="W7843" t="s">
        <v>41907</v>
      </c>
      <c r="X7843" t="s">
        <v>43180</v>
      </c>
    </row>
    <row r="7844" spans="1:24">
      <c r="A7844">
        <f>HYPERLINK("https://www.philgeps.gov.ph/GEPSNONPILOT/Tender/SplashBidNoticeAbstractUI.aspx?menuIndex=3&amp;refID=7065008&amp;Result=3","7065008")</f>
        <v>0</v>
      </c>
      <c r="B7844" t="s">
        <v>2410</v>
      </c>
      <c r="C7844" t="s">
        <v>10876</v>
      </c>
      <c r="D7844" t="s">
        <v>17470</v>
      </c>
      <c r="E7844" t="s">
        <v>24258</v>
      </c>
      <c r="F7844" t="s">
        <v>30052</v>
      </c>
      <c r="G7844" t="s">
        <v>30058</v>
      </c>
      <c r="H7844" t="s">
        <v>30067</v>
      </c>
      <c r="I7844" t="s">
        <v>3693</v>
      </c>
      <c r="J7844" t="s">
        <v>35000</v>
      </c>
      <c r="K7844" t="s">
        <v>39023</v>
      </c>
      <c r="M7844" t="s">
        <v>41907</v>
      </c>
      <c r="N7844" t="s">
        <v>43166</v>
      </c>
      <c r="O7844" t="s">
        <v>43167</v>
      </c>
      <c r="P7844">
        <v>0</v>
      </c>
      <c r="Q7844">
        <v>1</v>
      </c>
      <c r="R7844" t="s">
        <v>43174</v>
      </c>
      <c r="S7844" t="s">
        <v>43396</v>
      </c>
      <c r="T7844" t="s">
        <v>44758</v>
      </c>
      <c r="U7844" t="s">
        <v>51550</v>
      </c>
      <c r="W7844" t="s">
        <v>41907</v>
      </c>
      <c r="X7844" t="s">
        <v>43180</v>
      </c>
    </row>
    <row r="7845" spans="1:24">
      <c r="A7845">
        <f>HYPERLINK("https://www.philgeps.gov.ph/GEPSNONPILOT/Tender/SplashBidNoticeAbstractUI.aspx?menuIndex=3&amp;refID=7066676&amp;Result=3","7066676")</f>
        <v>0</v>
      </c>
      <c r="B7845" t="s">
        <v>2421</v>
      </c>
      <c r="C7845" t="s">
        <v>10877</v>
      </c>
      <c r="E7845" t="s">
        <v>24259</v>
      </c>
      <c r="F7845" t="s">
        <v>30052</v>
      </c>
      <c r="G7845" t="s">
        <v>30058</v>
      </c>
      <c r="H7845" t="s">
        <v>15498</v>
      </c>
      <c r="I7845" t="s">
        <v>30195</v>
      </c>
      <c r="J7845" t="s">
        <v>35001</v>
      </c>
      <c r="K7845" t="s">
        <v>39057</v>
      </c>
      <c r="M7845" t="s">
        <v>41918</v>
      </c>
      <c r="N7845" t="s">
        <v>43166</v>
      </c>
      <c r="O7845" t="s">
        <v>43167</v>
      </c>
      <c r="Q7845">
        <v>9</v>
      </c>
      <c r="R7845" t="s">
        <v>43174</v>
      </c>
      <c r="S7845" t="s">
        <v>43397</v>
      </c>
      <c r="T7845" t="s">
        <v>44941</v>
      </c>
      <c r="U7845" t="s">
        <v>51551</v>
      </c>
      <c r="W7845" t="s">
        <v>41918</v>
      </c>
      <c r="X7845" t="s">
        <v>43180</v>
      </c>
    </row>
    <row r="7846" spans="1:24">
      <c r="A7846">
        <f>HYPERLINK("https://www.philgeps.gov.ph/GEPSNONPILOT/Tender/SplashBidNoticeAbstractUI.aspx?menuIndex=3&amp;refID=7068320&amp;Result=3","7068320")</f>
        <v>0</v>
      </c>
      <c r="B7846" t="s">
        <v>2422</v>
      </c>
      <c r="C7846" t="s">
        <v>10878</v>
      </c>
      <c r="D7846" t="s">
        <v>17478</v>
      </c>
      <c r="E7846" t="s">
        <v>17892</v>
      </c>
      <c r="F7846" t="s">
        <v>30052</v>
      </c>
      <c r="G7846" t="s">
        <v>30058</v>
      </c>
      <c r="H7846" t="s">
        <v>30067</v>
      </c>
      <c r="I7846" t="s">
        <v>3693</v>
      </c>
      <c r="J7846" t="s">
        <v>35002</v>
      </c>
      <c r="K7846" t="s">
        <v>39129</v>
      </c>
      <c r="M7846" t="s">
        <v>41919</v>
      </c>
      <c r="N7846" t="s">
        <v>43166</v>
      </c>
      <c r="O7846" t="s">
        <v>43167</v>
      </c>
      <c r="P7846">
        <v>0</v>
      </c>
      <c r="Q7846">
        <v>0</v>
      </c>
      <c r="R7846" t="s">
        <v>43174</v>
      </c>
      <c r="S7846" t="s">
        <v>43396</v>
      </c>
      <c r="T7846" t="s">
        <v>44870</v>
      </c>
      <c r="U7846" t="s">
        <v>51552</v>
      </c>
      <c r="W7846" t="s">
        <v>41919</v>
      </c>
      <c r="X7846" t="s">
        <v>43179</v>
      </c>
    </row>
    <row r="7847" spans="1:24">
      <c r="A7847">
        <f>HYPERLINK("https://www.philgeps.gov.ph/GEPSNONPILOT/Tender/SplashBidNoticeAbstractUI.aspx?menuIndex=3&amp;refID=7069097&amp;Result=3","7069097")</f>
        <v>0</v>
      </c>
      <c r="B7847" t="s">
        <v>2423</v>
      </c>
      <c r="C7847" t="s">
        <v>10879</v>
      </c>
      <c r="D7847" t="s">
        <v>17435</v>
      </c>
      <c r="E7847" t="s">
        <v>24260</v>
      </c>
      <c r="F7847" t="s">
        <v>30052</v>
      </c>
      <c r="G7847" t="s">
        <v>30058</v>
      </c>
      <c r="H7847" t="s">
        <v>30067</v>
      </c>
      <c r="I7847" t="s">
        <v>3693</v>
      </c>
      <c r="J7847" t="s">
        <v>35003</v>
      </c>
      <c r="K7847" t="s">
        <v>39071</v>
      </c>
      <c r="M7847" t="s">
        <v>41920</v>
      </c>
      <c r="N7847" t="s">
        <v>43166</v>
      </c>
      <c r="O7847" t="s">
        <v>43167</v>
      </c>
      <c r="P7847">
        <v>0</v>
      </c>
      <c r="Q7847">
        <v>1</v>
      </c>
      <c r="R7847" t="s">
        <v>43174</v>
      </c>
      <c r="S7847" t="s">
        <v>43396</v>
      </c>
      <c r="T7847" t="s">
        <v>45078</v>
      </c>
      <c r="U7847" t="s">
        <v>51553</v>
      </c>
      <c r="W7847" t="s">
        <v>41920</v>
      </c>
      <c r="X7847" t="s">
        <v>43179</v>
      </c>
    </row>
    <row r="7848" spans="1:24">
      <c r="A7848">
        <f>HYPERLINK("https://www.philgeps.gov.ph/GEPSNONPILOT/Tender/SplashBidNoticeAbstractUI.aspx?menuIndex=3&amp;refID=7068073&amp;Result=3","7068073")</f>
        <v>0</v>
      </c>
      <c r="B7848" t="s">
        <v>1655</v>
      </c>
      <c r="C7848" t="s">
        <v>10880</v>
      </c>
      <c r="D7848" t="s">
        <v>17481</v>
      </c>
      <c r="E7848" t="s">
        <v>23709</v>
      </c>
      <c r="F7848" t="s">
        <v>30052</v>
      </c>
      <c r="G7848" t="s">
        <v>30058</v>
      </c>
      <c r="H7848" t="s">
        <v>30067</v>
      </c>
      <c r="I7848" t="s">
        <v>3693</v>
      </c>
      <c r="J7848" t="s">
        <v>35004</v>
      </c>
      <c r="K7848" t="s">
        <v>39065</v>
      </c>
      <c r="M7848" t="s">
        <v>41060</v>
      </c>
      <c r="N7848" t="s">
        <v>43166</v>
      </c>
      <c r="O7848" t="s">
        <v>43167</v>
      </c>
      <c r="P7848">
        <v>0</v>
      </c>
      <c r="Q7848">
        <v>1</v>
      </c>
      <c r="R7848" t="s">
        <v>43174</v>
      </c>
      <c r="S7848" t="s">
        <v>43396</v>
      </c>
      <c r="T7848" t="s">
        <v>44873</v>
      </c>
      <c r="U7848" t="s">
        <v>51554</v>
      </c>
      <c r="W7848" t="s">
        <v>41060</v>
      </c>
      <c r="X7848" t="s">
        <v>43179</v>
      </c>
    </row>
    <row r="7849" spans="1:24">
      <c r="A7849">
        <f>HYPERLINK("https://www.philgeps.gov.ph/GEPSNONPILOT/Tender/SplashBidNoticeAbstractUI.aspx?menuIndex=3&amp;refID=7066628&amp;Result=3","7066628")</f>
        <v>0</v>
      </c>
      <c r="B7849" t="s">
        <v>2421</v>
      </c>
      <c r="C7849" t="s">
        <v>10881</v>
      </c>
      <c r="E7849" t="s">
        <v>24261</v>
      </c>
      <c r="F7849" t="s">
        <v>30052</v>
      </c>
      <c r="G7849" t="s">
        <v>30058</v>
      </c>
      <c r="H7849" t="s">
        <v>15498</v>
      </c>
      <c r="I7849" t="s">
        <v>30195</v>
      </c>
      <c r="J7849" t="s">
        <v>35005</v>
      </c>
      <c r="K7849" t="s">
        <v>39057</v>
      </c>
      <c r="M7849" t="s">
        <v>41918</v>
      </c>
      <c r="N7849" t="s">
        <v>43166</v>
      </c>
      <c r="O7849" t="s">
        <v>43167</v>
      </c>
      <c r="Q7849">
        <v>6</v>
      </c>
      <c r="R7849" t="s">
        <v>43174</v>
      </c>
      <c r="S7849" t="s">
        <v>43398</v>
      </c>
      <c r="T7849" t="s">
        <v>45021</v>
      </c>
      <c r="U7849" t="s">
        <v>51551</v>
      </c>
      <c r="W7849" t="s">
        <v>41918</v>
      </c>
      <c r="X7849" t="s">
        <v>43180</v>
      </c>
    </row>
    <row r="7850" spans="1:24">
      <c r="A7850">
        <f>HYPERLINK("https://www.philgeps.gov.ph/GEPSNONPILOT/Tender/SplashBidNoticeAbstractUI.aspx?menuIndex=3&amp;refID=7069004&amp;Result=3","7069004")</f>
        <v>0</v>
      </c>
      <c r="B7850" t="s">
        <v>2423</v>
      </c>
      <c r="C7850" t="s">
        <v>10882</v>
      </c>
      <c r="D7850" t="s">
        <v>17435</v>
      </c>
      <c r="E7850" t="s">
        <v>24262</v>
      </c>
      <c r="F7850" t="s">
        <v>30052</v>
      </c>
      <c r="G7850" t="s">
        <v>30058</v>
      </c>
      <c r="H7850" t="s">
        <v>30067</v>
      </c>
      <c r="I7850" t="s">
        <v>3693</v>
      </c>
      <c r="J7850" t="s">
        <v>35006</v>
      </c>
      <c r="K7850" t="s">
        <v>39029</v>
      </c>
      <c r="M7850" t="s">
        <v>41920</v>
      </c>
      <c r="N7850" t="s">
        <v>43166</v>
      </c>
      <c r="O7850" t="s">
        <v>43167</v>
      </c>
      <c r="P7850">
        <v>0</v>
      </c>
      <c r="Q7850">
        <v>1</v>
      </c>
      <c r="R7850" t="s">
        <v>43174</v>
      </c>
      <c r="S7850" t="s">
        <v>43396</v>
      </c>
      <c r="T7850" t="s">
        <v>45078</v>
      </c>
      <c r="U7850" t="s">
        <v>51555</v>
      </c>
      <c r="W7850" t="s">
        <v>41920</v>
      </c>
      <c r="X7850" t="s">
        <v>43179</v>
      </c>
    </row>
    <row r="7851" spans="1:24">
      <c r="A7851">
        <f>HYPERLINK("https://www.philgeps.gov.ph/GEPSNONPILOT/Tender/SplashBidNoticeAbstractUI.aspx?menuIndex=3&amp;refID=7068334&amp;Result=3","7068334")</f>
        <v>0</v>
      </c>
      <c r="B7851" t="s">
        <v>32</v>
      </c>
      <c r="C7851" t="s">
        <v>10883</v>
      </c>
      <c r="D7851" t="s">
        <v>17415</v>
      </c>
      <c r="E7851" t="s">
        <v>24263</v>
      </c>
      <c r="F7851" t="s">
        <v>30052</v>
      </c>
      <c r="G7851" t="s">
        <v>30058</v>
      </c>
      <c r="H7851" t="s">
        <v>15498</v>
      </c>
      <c r="I7851" t="s">
        <v>12885</v>
      </c>
      <c r="J7851" t="s">
        <v>32639</v>
      </c>
      <c r="K7851" t="s">
        <v>39029</v>
      </c>
      <c r="M7851" t="s">
        <v>39322</v>
      </c>
      <c r="N7851" t="s">
        <v>43166</v>
      </c>
      <c r="O7851" t="s">
        <v>43167</v>
      </c>
      <c r="Q7851">
        <v>5</v>
      </c>
      <c r="R7851" t="s">
        <v>43174</v>
      </c>
      <c r="S7851" t="s">
        <v>43399</v>
      </c>
      <c r="T7851" t="s">
        <v>45009</v>
      </c>
      <c r="U7851" t="s">
        <v>51556</v>
      </c>
      <c r="W7851" t="s">
        <v>39322</v>
      </c>
      <c r="X7851" t="s">
        <v>43179</v>
      </c>
    </row>
    <row r="7852" spans="1:24">
      <c r="A7852">
        <f>HYPERLINK("https://www.philgeps.gov.ph/GEPSNONPILOT/Tender/SplashBidNoticeAbstractUI.aspx?menuIndex=3&amp;refID=7067621&amp;Result=3","7067621")</f>
        <v>0</v>
      </c>
      <c r="B7852" t="s">
        <v>1170</v>
      </c>
      <c r="C7852" t="s">
        <v>10884</v>
      </c>
      <c r="D7852" t="s">
        <v>17482</v>
      </c>
      <c r="E7852" t="s">
        <v>24264</v>
      </c>
      <c r="F7852" t="s">
        <v>30052</v>
      </c>
      <c r="G7852" t="s">
        <v>30058</v>
      </c>
      <c r="H7852" t="s">
        <v>15498</v>
      </c>
      <c r="I7852" t="s">
        <v>30074</v>
      </c>
      <c r="J7852" t="s">
        <v>30397</v>
      </c>
      <c r="K7852" t="s">
        <v>39029</v>
      </c>
      <c r="M7852" t="s">
        <v>40518</v>
      </c>
      <c r="N7852" t="s">
        <v>43166</v>
      </c>
      <c r="O7852" t="s">
        <v>43167</v>
      </c>
      <c r="P7852">
        <v>0</v>
      </c>
      <c r="Q7852">
        <v>5</v>
      </c>
      <c r="R7852" t="s">
        <v>43174</v>
      </c>
      <c r="S7852" t="s">
        <v>43396</v>
      </c>
      <c r="T7852" t="s">
        <v>44807</v>
      </c>
      <c r="U7852" t="s">
        <v>51557</v>
      </c>
      <c r="W7852" t="s">
        <v>40518</v>
      </c>
      <c r="X7852" t="s">
        <v>43179</v>
      </c>
    </row>
    <row r="7853" spans="1:24">
      <c r="A7853">
        <f>HYPERLINK("https://www.philgeps.gov.ph/GEPSNONPILOT/Tender/SplashBidNoticeAbstractUI.aspx?menuIndex=3&amp;refID=7067997&amp;Result=3","7067997")</f>
        <v>0</v>
      </c>
      <c r="B7853" t="s">
        <v>2410</v>
      </c>
      <c r="C7853" t="s">
        <v>10885</v>
      </c>
      <c r="D7853" t="s">
        <v>17470</v>
      </c>
      <c r="E7853" t="s">
        <v>24265</v>
      </c>
      <c r="F7853" t="s">
        <v>30052</v>
      </c>
      <c r="G7853" t="s">
        <v>30058</v>
      </c>
      <c r="H7853" t="s">
        <v>15498</v>
      </c>
      <c r="I7853" t="s">
        <v>30098</v>
      </c>
      <c r="J7853" t="s">
        <v>30276</v>
      </c>
      <c r="K7853" t="s">
        <v>39029</v>
      </c>
      <c r="M7853" t="s">
        <v>41907</v>
      </c>
      <c r="N7853" t="s">
        <v>43166</v>
      </c>
      <c r="O7853" t="s">
        <v>43167</v>
      </c>
      <c r="P7853">
        <v>0</v>
      </c>
      <c r="Q7853">
        <v>1</v>
      </c>
      <c r="R7853" t="s">
        <v>43174</v>
      </c>
      <c r="S7853" t="s">
        <v>43396</v>
      </c>
      <c r="T7853" t="s">
        <v>44758</v>
      </c>
      <c r="U7853" t="s">
        <v>51558</v>
      </c>
      <c r="W7853" t="s">
        <v>41907</v>
      </c>
      <c r="X7853" t="s">
        <v>43179</v>
      </c>
    </row>
    <row r="7854" spans="1:24">
      <c r="A7854">
        <f>HYPERLINK("https://www.philgeps.gov.ph/GEPSNONPILOT/Tender/SplashBidNoticeAbstractUI.aspx?menuIndex=3&amp;refID=7069842&amp;Result=3","7069842")</f>
        <v>0</v>
      </c>
      <c r="B7854" t="s">
        <v>2423</v>
      </c>
      <c r="C7854" t="s">
        <v>10886</v>
      </c>
      <c r="D7854" t="s">
        <v>17435</v>
      </c>
      <c r="E7854" t="s">
        <v>24266</v>
      </c>
      <c r="F7854" t="s">
        <v>30052</v>
      </c>
      <c r="G7854" t="s">
        <v>30058</v>
      </c>
      <c r="H7854" t="s">
        <v>30067</v>
      </c>
      <c r="I7854" t="s">
        <v>3693</v>
      </c>
      <c r="J7854" t="s">
        <v>35007</v>
      </c>
      <c r="K7854" t="s">
        <v>39023</v>
      </c>
      <c r="M7854" t="s">
        <v>41920</v>
      </c>
      <c r="N7854" t="s">
        <v>43166</v>
      </c>
      <c r="O7854" t="s">
        <v>43167</v>
      </c>
      <c r="P7854">
        <v>0</v>
      </c>
      <c r="Q7854">
        <v>2</v>
      </c>
      <c r="R7854" t="s">
        <v>43174</v>
      </c>
      <c r="S7854" t="s">
        <v>43396</v>
      </c>
      <c r="T7854" t="s">
        <v>45056</v>
      </c>
      <c r="U7854" t="s">
        <v>51559</v>
      </c>
      <c r="W7854" t="s">
        <v>41920</v>
      </c>
      <c r="X7854" t="s">
        <v>43179</v>
      </c>
    </row>
    <row r="7855" spans="1:24">
      <c r="A7855">
        <f>HYPERLINK("https://www.philgeps.gov.ph/GEPSNONPILOT/Tender/SplashBidNoticeAbstractUI.aspx?menuIndex=3&amp;refID=7069815&amp;Result=3","7069815")</f>
        <v>0</v>
      </c>
      <c r="B7855" t="s">
        <v>1953</v>
      </c>
      <c r="C7855" t="s">
        <v>10887</v>
      </c>
      <c r="E7855" t="s">
        <v>24267</v>
      </c>
      <c r="F7855" t="s">
        <v>30052</v>
      </c>
      <c r="G7855" t="s">
        <v>30059</v>
      </c>
      <c r="H7855" t="s">
        <v>15498</v>
      </c>
      <c r="I7855" t="s">
        <v>6691</v>
      </c>
      <c r="J7855" t="s">
        <v>35008</v>
      </c>
      <c r="K7855" t="s">
        <v>39025</v>
      </c>
      <c r="M7855" t="s">
        <v>41390</v>
      </c>
      <c r="N7855" t="s">
        <v>43166</v>
      </c>
      <c r="O7855" t="s">
        <v>43167</v>
      </c>
      <c r="P7855">
        <v>0</v>
      </c>
      <c r="Q7855">
        <v>0</v>
      </c>
      <c r="R7855" t="s">
        <v>43174</v>
      </c>
      <c r="S7855" t="s">
        <v>43396</v>
      </c>
      <c r="T7855" t="s">
        <v>44856</v>
      </c>
      <c r="U7855" t="s">
        <v>46500</v>
      </c>
      <c r="W7855" t="s">
        <v>41390</v>
      </c>
      <c r="X7855" t="s">
        <v>43179</v>
      </c>
    </row>
    <row r="7856" spans="1:24">
      <c r="A7856">
        <f>HYPERLINK("https://www.philgeps.gov.ph/GEPSNONPILOT/Tender/SplashBidNoticeAbstractUI.aspx?menuIndex=3&amp;refID=7068207&amp;Result=3","7068207")</f>
        <v>0</v>
      </c>
      <c r="B7856" t="s">
        <v>2410</v>
      </c>
      <c r="C7856" t="s">
        <v>10888</v>
      </c>
      <c r="D7856" t="s">
        <v>17470</v>
      </c>
      <c r="E7856" t="s">
        <v>24265</v>
      </c>
      <c r="F7856" t="s">
        <v>30052</v>
      </c>
      <c r="G7856" t="s">
        <v>30058</v>
      </c>
      <c r="H7856" t="s">
        <v>15498</v>
      </c>
      <c r="I7856" t="s">
        <v>30139</v>
      </c>
      <c r="J7856" t="s">
        <v>30594</v>
      </c>
      <c r="K7856" t="s">
        <v>39029</v>
      </c>
      <c r="M7856" t="s">
        <v>41907</v>
      </c>
      <c r="N7856" t="s">
        <v>43166</v>
      </c>
      <c r="O7856" t="s">
        <v>43167</v>
      </c>
      <c r="P7856">
        <v>0</v>
      </c>
      <c r="Q7856">
        <v>0</v>
      </c>
      <c r="R7856" t="s">
        <v>43174</v>
      </c>
      <c r="S7856" t="s">
        <v>43396</v>
      </c>
      <c r="T7856" t="s">
        <v>44758</v>
      </c>
      <c r="U7856" t="s">
        <v>51558</v>
      </c>
      <c r="W7856" t="s">
        <v>41907</v>
      </c>
      <c r="X7856" t="s">
        <v>43179</v>
      </c>
    </row>
    <row r="7857" spans="1:24">
      <c r="A7857">
        <f>HYPERLINK("https://www.philgeps.gov.ph/GEPSNONPILOT/Tender/SplashBidNoticeAbstractUI.aspx?menuIndex=3&amp;refID=7069497&amp;Result=3","7069497")</f>
        <v>0</v>
      </c>
      <c r="B7857" t="s">
        <v>33</v>
      </c>
      <c r="C7857" t="s">
        <v>10889</v>
      </c>
      <c r="D7857" t="s">
        <v>17419</v>
      </c>
      <c r="E7857" t="s">
        <v>24268</v>
      </c>
      <c r="F7857" t="s">
        <v>30052</v>
      </c>
      <c r="G7857" t="s">
        <v>30058</v>
      </c>
      <c r="H7857" t="s">
        <v>30067</v>
      </c>
      <c r="I7857" t="s">
        <v>3693</v>
      </c>
      <c r="J7857" t="s">
        <v>35009</v>
      </c>
      <c r="K7857" t="s">
        <v>39025</v>
      </c>
      <c r="M7857" t="s">
        <v>39323</v>
      </c>
      <c r="N7857" t="s">
        <v>43166</v>
      </c>
      <c r="O7857" t="s">
        <v>43167</v>
      </c>
      <c r="Q7857">
        <v>2</v>
      </c>
      <c r="R7857" t="s">
        <v>43174</v>
      </c>
      <c r="S7857" t="s">
        <v>43400</v>
      </c>
      <c r="T7857" t="s">
        <v>45005</v>
      </c>
      <c r="U7857" t="s">
        <v>45240</v>
      </c>
      <c r="W7857" t="s">
        <v>39323</v>
      </c>
      <c r="X7857" t="s">
        <v>43179</v>
      </c>
    </row>
    <row r="7858" spans="1:24">
      <c r="A7858">
        <f>HYPERLINK("https://www.philgeps.gov.ph/GEPSNONPILOT/Tender/SplashBidNoticeAbstractUI.aspx?menuIndex=3&amp;refID=7069103&amp;Result=3","7069103")</f>
        <v>0</v>
      </c>
      <c r="B7858" t="s">
        <v>90</v>
      </c>
      <c r="C7858" t="s">
        <v>10890</v>
      </c>
      <c r="D7858" t="s">
        <v>17414</v>
      </c>
      <c r="E7858" t="s">
        <v>24269</v>
      </c>
      <c r="F7858" t="s">
        <v>30052</v>
      </c>
      <c r="G7858" t="s">
        <v>30061</v>
      </c>
      <c r="H7858" t="s">
        <v>15498</v>
      </c>
      <c r="I7858" t="s">
        <v>30104</v>
      </c>
      <c r="J7858" t="s">
        <v>30377</v>
      </c>
      <c r="K7858" t="s">
        <v>39029</v>
      </c>
      <c r="M7858" t="s">
        <v>39379</v>
      </c>
      <c r="N7858" t="s">
        <v>43166</v>
      </c>
      <c r="O7858" t="s">
        <v>43167</v>
      </c>
      <c r="P7858">
        <v>0</v>
      </c>
      <c r="Q7858">
        <v>0</v>
      </c>
      <c r="R7858" t="s">
        <v>43174</v>
      </c>
      <c r="S7858" t="s">
        <v>43396</v>
      </c>
      <c r="T7858" t="s">
        <v>44732</v>
      </c>
      <c r="U7858" t="s">
        <v>51560</v>
      </c>
      <c r="W7858" t="s">
        <v>39379</v>
      </c>
      <c r="X7858" t="s">
        <v>43179</v>
      </c>
    </row>
    <row r="7859" spans="1:24">
      <c r="A7859">
        <f>HYPERLINK("https://www.philgeps.gov.ph/GEPSNONPILOT/Tender/SplashBidNoticeAbstractUI.aspx?menuIndex=3&amp;refID=7067029&amp;Result=3","7067029")</f>
        <v>0</v>
      </c>
      <c r="B7859" t="s">
        <v>2410</v>
      </c>
      <c r="C7859" t="s">
        <v>10891</v>
      </c>
      <c r="D7859" t="s">
        <v>17470</v>
      </c>
      <c r="E7859" t="s">
        <v>24270</v>
      </c>
      <c r="F7859" t="s">
        <v>30052</v>
      </c>
      <c r="G7859" t="s">
        <v>30058</v>
      </c>
      <c r="H7859" t="s">
        <v>15498</v>
      </c>
      <c r="I7859" t="s">
        <v>30070</v>
      </c>
      <c r="J7859" t="s">
        <v>35010</v>
      </c>
      <c r="K7859" t="s">
        <v>39029</v>
      </c>
      <c r="M7859" t="s">
        <v>41907</v>
      </c>
      <c r="N7859" t="s">
        <v>43166</v>
      </c>
      <c r="O7859" t="s">
        <v>43167</v>
      </c>
      <c r="P7859">
        <v>0</v>
      </c>
      <c r="Q7859">
        <v>3</v>
      </c>
      <c r="R7859" t="s">
        <v>43174</v>
      </c>
      <c r="S7859" t="s">
        <v>43396</v>
      </c>
      <c r="T7859" t="s">
        <v>44758</v>
      </c>
      <c r="U7859" t="s">
        <v>51561</v>
      </c>
      <c r="W7859" t="s">
        <v>41907</v>
      </c>
      <c r="X7859" t="s">
        <v>43180</v>
      </c>
    </row>
    <row r="7860" spans="1:24">
      <c r="A7860">
        <f>HYPERLINK("https://www.philgeps.gov.ph/GEPSNONPILOT/Tender/SplashBidNoticeAbstractUI.aspx?menuIndex=3&amp;refID=7067044&amp;Result=3","7067044")</f>
        <v>0</v>
      </c>
      <c r="B7860" t="s">
        <v>2410</v>
      </c>
      <c r="C7860" t="s">
        <v>10892</v>
      </c>
      <c r="D7860" t="s">
        <v>17470</v>
      </c>
      <c r="E7860" t="s">
        <v>24270</v>
      </c>
      <c r="F7860" t="s">
        <v>30052</v>
      </c>
      <c r="G7860" t="s">
        <v>30058</v>
      </c>
      <c r="H7860" t="s">
        <v>15498</v>
      </c>
      <c r="I7860" t="s">
        <v>4598</v>
      </c>
      <c r="J7860" t="s">
        <v>35011</v>
      </c>
      <c r="K7860" t="s">
        <v>39029</v>
      </c>
      <c r="M7860" t="s">
        <v>41907</v>
      </c>
      <c r="N7860" t="s">
        <v>43166</v>
      </c>
      <c r="O7860" t="s">
        <v>43167</v>
      </c>
      <c r="P7860">
        <v>0</v>
      </c>
      <c r="Q7860">
        <v>4</v>
      </c>
      <c r="R7860" t="s">
        <v>43174</v>
      </c>
      <c r="S7860" t="s">
        <v>43396</v>
      </c>
      <c r="T7860" t="s">
        <v>44758</v>
      </c>
      <c r="U7860" t="s">
        <v>51561</v>
      </c>
      <c r="W7860" t="s">
        <v>41907</v>
      </c>
      <c r="X7860" t="s">
        <v>43180</v>
      </c>
    </row>
    <row r="7861" spans="1:24">
      <c r="A7861">
        <f>HYPERLINK("https://www.philgeps.gov.ph/GEPSNONPILOT/Tender/SplashBidNoticeAbstractUI.aspx?menuIndex=3&amp;refID=7067042&amp;Result=3","7067042")</f>
        <v>0</v>
      </c>
      <c r="B7861" t="s">
        <v>2410</v>
      </c>
      <c r="C7861" t="s">
        <v>10893</v>
      </c>
      <c r="D7861" t="s">
        <v>17470</v>
      </c>
      <c r="E7861" t="s">
        <v>24270</v>
      </c>
      <c r="F7861" t="s">
        <v>30052</v>
      </c>
      <c r="G7861" t="s">
        <v>30058</v>
      </c>
      <c r="H7861" t="s">
        <v>15498</v>
      </c>
      <c r="I7861" t="s">
        <v>3852</v>
      </c>
      <c r="J7861" t="s">
        <v>30472</v>
      </c>
      <c r="K7861" t="s">
        <v>39029</v>
      </c>
      <c r="M7861" t="s">
        <v>41907</v>
      </c>
      <c r="N7861" t="s">
        <v>43166</v>
      </c>
      <c r="O7861" t="s">
        <v>43167</v>
      </c>
      <c r="P7861">
        <v>0</v>
      </c>
      <c r="Q7861">
        <v>0</v>
      </c>
      <c r="R7861" t="s">
        <v>43174</v>
      </c>
      <c r="S7861" t="s">
        <v>43396</v>
      </c>
      <c r="T7861" t="s">
        <v>44758</v>
      </c>
      <c r="U7861" t="s">
        <v>51561</v>
      </c>
      <c r="W7861" t="s">
        <v>41907</v>
      </c>
      <c r="X7861" t="s">
        <v>43180</v>
      </c>
    </row>
    <row r="7862" spans="1:24">
      <c r="A7862">
        <f>HYPERLINK("https://www.philgeps.gov.ph/GEPSNONPILOT/Tender/SplashBidNoticeAbstractUI.aspx?menuIndex=3&amp;refID=7066729&amp;Result=3","7066729")</f>
        <v>0</v>
      </c>
      <c r="B7862" t="s">
        <v>2421</v>
      </c>
      <c r="C7862" t="s">
        <v>10894</v>
      </c>
      <c r="E7862" t="s">
        <v>24271</v>
      </c>
      <c r="F7862" t="s">
        <v>30054</v>
      </c>
      <c r="G7862" t="s">
        <v>30058</v>
      </c>
      <c r="H7862" t="s">
        <v>15498</v>
      </c>
      <c r="I7862" t="s">
        <v>30195</v>
      </c>
      <c r="J7862" t="s">
        <v>35012</v>
      </c>
      <c r="K7862" t="s">
        <v>39033</v>
      </c>
      <c r="M7862" t="s">
        <v>41918</v>
      </c>
      <c r="N7862" t="s">
        <v>43166</v>
      </c>
      <c r="O7862" t="s">
        <v>43167</v>
      </c>
      <c r="Q7862">
        <v>8</v>
      </c>
      <c r="R7862" t="s">
        <v>43174</v>
      </c>
      <c r="S7862" t="s">
        <v>43401</v>
      </c>
      <c r="T7862" t="s">
        <v>44941</v>
      </c>
      <c r="U7862" t="s">
        <v>51551</v>
      </c>
      <c r="W7862" t="s">
        <v>41918</v>
      </c>
      <c r="X7862" t="s">
        <v>43180</v>
      </c>
    </row>
    <row r="7863" spans="1:24">
      <c r="A7863">
        <f>HYPERLINK("https://www.philgeps.gov.ph/GEPSNONPILOT/Tender/SplashBidNoticeAbstractUI.aspx?menuIndex=3&amp;refID=7070012&amp;Result=3","7070012")</f>
        <v>0</v>
      </c>
      <c r="B7863" t="s">
        <v>2410</v>
      </c>
      <c r="C7863" t="s">
        <v>10895</v>
      </c>
      <c r="D7863" t="s">
        <v>17470</v>
      </c>
      <c r="E7863" t="s">
        <v>24272</v>
      </c>
      <c r="F7863" t="s">
        <v>30052</v>
      </c>
      <c r="G7863" t="s">
        <v>30058</v>
      </c>
      <c r="H7863" t="s">
        <v>15498</v>
      </c>
      <c r="I7863" t="s">
        <v>30084</v>
      </c>
      <c r="J7863" t="s">
        <v>30417</v>
      </c>
      <c r="K7863" t="s">
        <v>39029</v>
      </c>
      <c r="M7863" t="s">
        <v>41907</v>
      </c>
      <c r="N7863" t="s">
        <v>43166</v>
      </c>
      <c r="O7863" t="s">
        <v>43167</v>
      </c>
      <c r="P7863">
        <v>0</v>
      </c>
      <c r="Q7863">
        <v>0</v>
      </c>
      <c r="R7863" t="s">
        <v>43174</v>
      </c>
      <c r="S7863" t="s">
        <v>43396</v>
      </c>
      <c r="T7863" t="s">
        <v>44758</v>
      </c>
      <c r="U7863" t="s">
        <v>51558</v>
      </c>
      <c r="W7863" t="s">
        <v>41907</v>
      </c>
      <c r="X7863" t="s">
        <v>43179</v>
      </c>
    </row>
    <row r="7864" spans="1:24">
      <c r="A7864">
        <f>HYPERLINK("https://www.philgeps.gov.ph/GEPSNONPILOT/Tender/SplashBidNoticeAbstractUI.aspx?menuIndex=3&amp;refID=7069845&amp;Result=3","7069845")</f>
        <v>0</v>
      </c>
      <c r="B7864" t="s">
        <v>1953</v>
      </c>
      <c r="C7864" t="s">
        <v>10896</v>
      </c>
      <c r="E7864" t="s">
        <v>24273</v>
      </c>
      <c r="F7864" t="s">
        <v>30052</v>
      </c>
      <c r="G7864" t="s">
        <v>30059</v>
      </c>
      <c r="H7864" t="s">
        <v>15498</v>
      </c>
      <c r="I7864" t="s">
        <v>30094</v>
      </c>
      <c r="J7864" t="s">
        <v>30402</v>
      </c>
      <c r="K7864" t="s">
        <v>39017</v>
      </c>
      <c r="M7864" t="s">
        <v>41390</v>
      </c>
      <c r="N7864" t="s">
        <v>43166</v>
      </c>
      <c r="O7864" t="s">
        <v>43167</v>
      </c>
      <c r="P7864">
        <v>0</v>
      </c>
      <c r="Q7864">
        <v>0</v>
      </c>
      <c r="R7864" t="s">
        <v>43174</v>
      </c>
      <c r="S7864" t="s">
        <v>43396</v>
      </c>
      <c r="T7864" t="s">
        <v>44856</v>
      </c>
      <c r="U7864" t="s">
        <v>46500</v>
      </c>
      <c r="W7864" t="s">
        <v>41390</v>
      </c>
      <c r="X7864" t="s">
        <v>43179</v>
      </c>
    </row>
    <row r="7865" spans="1:24">
      <c r="A7865">
        <f>HYPERLINK("https://www.philgeps.gov.ph/GEPSNONPILOT/Tender/SplashBidNoticeAbstractUI.aspx?menuIndex=3&amp;refID=7066533&amp;Result=3","7066533")</f>
        <v>0</v>
      </c>
      <c r="B7865" t="s">
        <v>2421</v>
      </c>
      <c r="C7865" t="s">
        <v>10897</v>
      </c>
      <c r="E7865" t="s">
        <v>24274</v>
      </c>
      <c r="F7865" t="s">
        <v>30052</v>
      </c>
      <c r="G7865" t="s">
        <v>30058</v>
      </c>
      <c r="H7865" t="s">
        <v>15498</v>
      </c>
      <c r="I7865" t="s">
        <v>30195</v>
      </c>
      <c r="J7865" t="s">
        <v>35013</v>
      </c>
      <c r="K7865" t="s">
        <v>39057</v>
      </c>
      <c r="M7865" t="s">
        <v>41918</v>
      </c>
      <c r="N7865" t="s">
        <v>43166</v>
      </c>
      <c r="O7865" t="s">
        <v>43167</v>
      </c>
      <c r="Q7865">
        <v>10</v>
      </c>
      <c r="R7865" t="s">
        <v>43174</v>
      </c>
      <c r="S7865" t="s">
        <v>43402</v>
      </c>
      <c r="T7865" t="s">
        <v>45021</v>
      </c>
      <c r="U7865" t="s">
        <v>51551</v>
      </c>
      <c r="W7865" t="s">
        <v>41918</v>
      </c>
      <c r="X7865" t="s">
        <v>43180</v>
      </c>
    </row>
    <row r="7866" spans="1:24">
      <c r="A7866">
        <f>HYPERLINK("https://www.philgeps.gov.ph/GEPSNONPILOT/Tender/SplashBidNoticeAbstractUI.aspx?menuIndex=3&amp;refID=7070991&amp;Result=3","7070991")</f>
        <v>0</v>
      </c>
      <c r="B7866" t="s">
        <v>576</v>
      </c>
      <c r="C7866" t="s">
        <v>10898</v>
      </c>
      <c r="D7866" t="s">
        <v>17484</v>
      </c>
      <c r="E7866" t="s">
        <v>24275</v>
      </c>
      <c r="F7866" t="s">
        <v>30052</v>
      </c>
      <c r="G7866" t="s">
        <v>30058</v>
      </c>
      <c r="H7866" t="s">
        <v>30067</v>
      </c>
      <c r="I7866" t="s">
        <v>3693</v>
      </c>
      <c r="J7866" t="s">
        <v>30542</v>
      </c>
      <c r="K7866" t="s">
        <v>39026</v>
      </c>
      <c r="M7866" t="s">
        <v>39878</v>
      </c>
      <c r="N7866" t="s">
        <v>43166</v>
      </c>
      <c r="O7866" t="s">
        <v>43167</v>
      </c>
      <c r="P7866">
        <v>0</v>
      </c>
      <c r="Q7866">
        <v>0</v>
      </c>
      <c r="R7866" t="s">
        <v>43174</v>
      </c>
      <c r="S7866" t="s">
        <v>43396</v>
      </c>
      <c r="T7866" t="s">
        <v>44873</v>
      </c>
      <c r="U7866" t="s">
        <v>51562</v>
      </c>
      <c r="V7866" t="s">
        <v>57659</v>
      </c>
      <c r="W7866" t="s">
        <v>39878</v>
      </c>
      <c r="X7866" t="s">
        <v>43178</v>
      </c>
    </row>
    <row r="7867" spans="1:24">
      <c r="A7867">
        <f>HYPERLINK("https://www.philgeps.gov.ph/GEPSNONPILOT/Tender/SplashBidNoticeAbstractUI.aspx?menuIndex=3&amp;refID=7066703&amp;Result=3","7066703")</f>
        <v>0</v>
      </c>
      <c r="B7867" t="s">
        <v>2421</v>
      </c>
      <c r="C7867" t="s">
        <v>10899</v>
      </c>
      <c r="E7867" t="s">
        <v>24276</v>
      </c>
      <c r="F7867" t="s">
        <v>30052</v>
      </c>
      <c r="G7867" t="s">
        <v>30058</v>
      </c>
      <c r="H7867" t="s">
        <v>15498</v>
      </c>
      <c r="I7867" t="s">
        <v>30195</v>
      </c>
      <c r="J7867" t="s">
        <v>35014</v>
      </c>
      <c r="K7867" t="s">
        <v>39057</v>
      </c>
      <c r="M7867" t="s">
        <v>41918</v>
      </c>
      <c r="N7867" t="s">
        <v>43166</v>
      </c>
      <c r="O7867" t="s">
        <v>43167</v>
      </c>
      <c r="Q7867">
        <v>8</v>
      </c>
      <c r="R7867" t="s">
        <v>43174</v>
      </c>
      <c r="S7867" t="s">
        <v>43403</v>
      </c>
      <c r="T7867" t="s">
        <v>44941</v>
      </c>
      <c r="U7867" t="s">
        <v>51551</v>
      </c>
      <c r="W7867" t="s">
        <v>41918</v>
      </c>
      <c r="X7867" t="s">
        <v>43180</v>
      </c>
    </row>
    <row r="7868" spans="1:24">
      <c r="A7868">
        <f>HYPERLINK("https://www.philgeps.gov.ph/GEPSNONPILOT/Tender/SplashBidNoticeAbstractUI.aspx?menuIndex=3&amp;refID=7070807&amp;Result=3","7070807")</f>
        <v>0</v>
      </c>
      <c r="B7868" t="s">
        <v>2424</v>
      </c>
      <c r="C7868" t="s">
        <v>10900</v>
      </c>
      <c r="D7868" t="s">
        <v>17415</v>
      </c>
      <c r="E7868" t="s">
        <v>24277</v>
      </c>
      <c r="F7868" t="s">
        <v>30055</v>
      </c>
      <c r="G7868" t="s">
        <v>30058</v>
      </c>
      <c r="H7868" t="s">
        <v>15498</v>
      </c>
      <c r="I7868" t="s">
        <v>30074</v>
      </c>
      <c r="J7868" t="s">
        <v>30277</v>
      </c>
      <c r="K7868" t="s">
        <v>39029</v>
      </c>
      <c r="L7868" t="s">
        <v>2424</v>
      </c>
      <c r="M7868" t="s">
        <v>41921</v>
      </c>
      <c r="N7868" t="s">
        <v>43166</v>
      </c>
      <c r="O7868" t="s">
        <v>43167</v>
      </c>
      <c r="P7868">
        <v>0</v>
      </c>
      <c r="Q7868">
        <v>0</v>
      </c>
      <c r="R7868" t="s">
        <v>43174</v>
      </c>
      <c r="S7868" t="s">
        <v>43396</v>
      </c>
      <c r="T7868" t="s">
        <v>44753</v>
      </c>
      <c r="U7868" t="s">
        <v>51563</v>
      </c>
      <c r="W7868" t="s">
        <v>41921</v>
      </c>
      <c r="X7868" t="s">
        <v>43178</v>
      </c>
    </row>
    <row r="7869" spans="1:24">
      <c r="A7869">
        <f>HYPERLINK("https://www.philgeps.gov.ph/GEPSNONPILOT/Tender/SplashBidNoticeAbstractUI.aspx?menuIndex=3&amp;refID=7069369&amp;Result=3","7069369")</f>
        <v>0</v>
      </c>
      <c r="B7869" t="s">
        <v>2425</v>
      </c>
      <c r="C7869" t="s">
        <v>10901</v>
      </c>
      <c r="D7869" t="s">
        <v>17447</v>
      </c>
      <c r="E7869" t="s">
        <v>24278</v>
      </c>
      <c r="F7869" t="s">
        <v>30052</v>
      </c>
      <c r="G7869" t="s">
        <v>30061</v>
      </c>
      <c r="H7869" t="s">
        <v>15498</v>
      </c>
      <c r="I7869" t="s">
        <v>30097</v>
      </c>
      <c r="J7869" t="s">
        <v>30743</v>
      </c>
      <c r="K7869" t="s">
        <v>39019</v>
      </c>
      <c r="M7869" t="s">
        <v>41922</v>
      </c>
      <c r="N7869" t="s">
        <v>43166</v>
      </c>
      <c r="O7869" t="s">
        <v>43167</v>
      </c>
      <c r="P7869">
        <v>0</v>
      </c>
      <c r="Q7869">
        <v>14</v>
      </c>
      <c r="R7869" t="s">
        <v>43174</v>
      </c>
      <c r="S7869" t="s">
        <v>43396</v>
      </c>
      <c r="T7869" t="s">
        <v>44862</v>
      </c>
      <c r="U7869" t="s">
        <v>51564</v>
      </c>
      <c r="V7869" t="s">
        <v>57660</v>
      </c>
      <c r="W7869" t="s">
        <v>41922</v>
      </c>
      <c r="X7869" t="s">
        <v>43179</v>
      </c>
    </row>
    <row r="7870" spans="1:24">
      <c r="A7870">
        <f>HYPERLINK("https://www.philgeps.gov.ph/GEPSNONPILOT/Tender/SplashBidNoticeAbstractUI.aspx?menuIndex=3&amp;refID=7070679&amp;Result=3","7070679")</f>
        <v>0</v>
      </c>
      <c r="B7870" t="s">
        <v>2426</v>
      </c>
      <c r="C7870" t="s">
        <v>10902</v>
      </c>
      <c r="D7870" t="s">
        <v>17435</v>
      </c>
      <c r="E7870" t="s">
        <v>24279</v>
      </c>
      <c r="F7870" t="s">
        <v>30055</v>
      </c>
      <c r="G7870" t="s">
        <v>30058</v>
      </c>
      <c r="H7870" t="s">
        <v>30067</v>
      </c>
      <c r="I7870" t="s">
        <v>3693</v>
      </c>
      <c r="J7870" t="s">
        <v>35015</v>
      </c>
      <c r="K7870" t="s">
        <v>39105</v>
      </c>
      <c r="L7870" t="s">
        <v>2426</v>
      </c>
      <c r="M7870" t="s">
        <v>41923</v>
      </c>
      <c r="N7870" t="s">
        <v>43166</v>
      </c>
      <c r="O7870" t="s">
        <v>43167</v>
      </c>
      <c r="P7870">
        <v>0</v>
      </c>
      <c r="Q7870">
        <v>0</v>
      </c>
      <c r="R7870" t="s">
        <v>43174</v>
      </c>
      <c r="S7870" t="s">
        <v>43396</v>
      </c>
      <c r="T7870" t="s">
        <v>44716</v>
      </c>
      <c r="U7870" t="s">
        <v>51565</v>
      </c>
      <c r="W7870" t="s">
        <v>41923</v>
      </c>
      <c r="X7870" t="s">
        <v>43178</v>
      </c>
    </row>
    <row r="7871" spans="1:24">
      <c r="A7871">
        <f>HYPERLINK("https://www.philgeps.gov.ph/GEPSNONPILOT/Tender/SplashBidNoticeAbstractUI.aspx?menuIndex=3&amp;refID=7066156&amp;Result=3","7066156")</f>
        <v>0</v>
      </c>
      <c r="B7871" t="s">
        <v>1373</v>
      </c>
      <c r="C7871" t="s">
        <v>10903</v>
      </c>
      <c r="D7871" t="s">
        <v>17501</v>
      </c>
      <c r="E7871" t="s">
        <v>24280</v>
      </c>
      <c r="F7871" t="s">
        <v>30052</v>
      </c>
      <c r="G7871" t="s">
        <v>30059</v>
      </c>
      <c r="H7871" t="s">
        <v>15498</v>
      </c>
      <c r="I7871" t="s">
        <v>9238</v>
      </c>
      <c r="J7871" t="s">
        <v>30440</v>
      </c>
      <c r="K7871" t="s">
        <v>39037</v>
      </c>
      <c r="M7871" t="s">
        <v>40745</v>
      </c>
      <c r="N7871" t="s">
        <v>43166</v>
      </c>
      <c r="O7871" t="s">
        <v>43167</v>
      </c>
      <c r="P7871">
        <v>0</v>
      </c>
      <c r="Q7871">
        <v>7</v>
      </c>
      <c r="R7871" t="s">
        <v>43174</v>
      </c>
      <c r="S7871" t="s">
        <v>43396</v>
      </c>
      <c r="T7871" t="s">
        <v>45079</v>
      </c>
      <c r="U7871" t="s">
        <v>51566</v>
      </c>
      <c r="W7871" t="s">
        <v>58637</v>
      </c>
      <c r="X7871" t="s">
        <v>43180</v>
      </c>
    </row>
    <row r="7872" spans="1:24">
      <c r="A7872">
        <f>HYPERLINK("https://www.philgeps.gov.ph/GEPSNONPILOT/Tender/SplashBidNoticeAbstractUI.aspx?menuIndex=3&amp;refID=7070613&amp;Result=3","7070613")</f>
        <v>0</v>
      </c>
      <c r="B7872" t="s">
        <v>1689</v>
      </c>
      <c r="C7872" t="s">
        <v>10904</v>
      </c>
      <c r="D7872" t="s">
        <v>17474</v>
      </c>
      <c r="E7872" t="s">
        <v>24281</v>
      </c>
      <c r="F7872" t="s">
        <v>30052</v>
      </c>
      <c r="G7872" t="s">
        <v>30058</v>
      </c>
      <c r="H7872" t="s">
        <v>15498</v>
      </c>
      <c r="I7872" t="s">
        <v>12885</v>
      </c>
      <c r="J7872" t="s">
        <v>31913</v>
      </c>
      <c r="K7872" t="s">
        <v>39029</v>
      </c>
      <c r="M7872" t="s">
        <v>41098</v>
      </c>
      <c r="N7872" t="s">
        <v>43166</v>
      </c>
      <c r="O7872" t="s">
        <v>43167</v>
      </c>
      <c r="P7872">
        <v>0</v>
      </c>
      <c r="Q7872">
        <v>1</v>
      </c>
      <c r="R7872" t="s">
        <v>43174</v>
      </c>
      <c r="S7872" t="s">
        <v>43396</v>
      </c>
      <c r="T7872" t="s">
        <v>44856</v>
      </c>
      <c r="U7872" t="s">
        <v>51567</v>
      </c>
      <c r="W7872" t="s">
        <v>41098</v>
      </c>
      <c r="X7872" t="s">
        <v>43178</v>
      </c>
    </row>
    <row r="7873" spans="1:24">
      <c r="A7873">
        <f>HYPERLINK("https://www.philgeps.gov.ph/GEPSNONPILOT/Tender/SplashBidNoticeAbstractUI.aspx?menuIndex=3&amp;refID=7069730&amp;Result=3","7069730")</f>
        <v>0</v>
      </c>
      <c r="B7873" t="s">
        <v>1953</v>
      </c>
      <c r="C7873" t="s">
        <v>10905</v>
      </c>
      <c r="E7873" t="s">
        <v>24282</v>
      </c>
      <c r="F7873" t="s">
        <v>30052</v>
      </c>
      <c r="G7873" t="s">
        <v>30061</v>
      </c>
      <c r="H7873" t="s">
        <v>15498</v>
      </c>
      <c r="I7873" t="s">
        <v>4119</v>
      </c>
      <c r="J7873" t="s">
        <v>35016</v>
      </c>
      <c r="K7873" t="s">
        <v>39017</v>
      </c>
      <c r="M7873" t="s">
        <v>41390</v>
      </c>
      <c r="N7873" t="s">
        <v>43166</v>
      </c>
      <c r="O7873" t="s">
        <v>43167</v>
      </c>
      <c r="P7873">
        <v>0</v>
      </c>
      <c r="Q7873">
        <v>10</v>
      </c>
      <c r="R7873" t="s">
        <v>43174</v>
      </c>
      <c r="S7873" t="s">
        <v>43396</v>
      </c>
      <c r="T7873" t="s">
        <v>44856</v>
      </c>
      <c r="U7873" t="s">
        <v>46500</v>
      </c>
      <c r="W7873" t="s">
        <v>41390</v>
      </c>
      <c r="X7873" t="s">
        <v>43179</v>
      </c>
    </row>
    <row r="7874" spans="1:24">
      <c r="A7874">
        <f>HYPERLINK("https://www.philgeps.gov.ph/GEPSNONPILOT/Tender/SplashBidNoticeAbstractUI.aspx?menuIndex=3&amp;refID=7070533&amp;Result=3","7070533")</f>
        <v>0</v>
      </c>
      <c r="B7874" t="s">
        <v>1689</v>
      </c>
      <c r="C7874" t="s">
        <v>10906</v>
      </c>
      <c r="D7874" t="s">
        <v>17474</v>
      </c>
      <c r="E7874" t="s">
        <v>24283</v>
      </c>
      <c r="F7874" t="s">
        <v>30052</v>
      </c>
      <c r="G7874" t="s">
        <v>30058</v>
      </c>
      <c r="H7874" t="s">
        <v>15498</v>
      </c>
      <c r="I7874" t="s">
        <v>3736</v>
      </c>
      <c r="J7874" t="s">
        <v>35017</v>
      </c>
      <c r="K7874" t="s">
        <v>39029</v>
      </c>
      <c r="M7874" t="s">
        <v>41098</v>
      </c>
      <c r="N7874" t="s">
        <v>43166</v>
      </c>
      <c r="O7874" t="s">
        <v>43167</v>
      </c>
      <c r="P7874">
        <v>0</v>
      </c>
      <c r="Q7874">
        <v>0</v>
      </c>
      <c r="R7874" t="s">
        <v>43174</v>
      </c>
      <c r="S7874" t="s">
        <v>43396</v>
      </c>
      <c r="T7874" t="s">
        <v>44856</v>
      </c>
      <c r="U7874" t="s">
        <v>51568</v>
      </c>
      <c r="W7874" t="s">
        <v>41098</v>
      </c>
      <c r="X7874" t="s">
        <v>43178</v>
      </c>
    </row>
    <row r="7875" spans="1:24">
      <c r="A7875">
        <f>HYPERLINK("https://www.philgeps.gov.ph/GEPSNONPILOT/Tender/SplashBidNoticeAbstractUI.aspx?menuIndex=3&amp;refID=7070832&amp;Result=3","7070832")</f>
        <v>0</v>
      </c>
      <c r="B7875" t="s">
        <v>2427</v>
      </c>
      <c r="C7875" t="s">
        <v>10907</v>
      </c>
      <c r="D7875" t="s">
        <v>17457</v>
      </c>
      <c r="E7875" t="s">
        <v>24284</v>
      </c>
      <c r="F7875" t="s">
        <v>30052</v>
      </c>
      <c r="G7875" t="s">
        <v>30058</v>
      </c>
      <c r="H7875" t="s">
        <v>30067</v>
      </c>
      <c r="I7875" t="s">
        <v>30071</v>
      </c>
      <c r="J7875" t="s">
        <v>35018</v>
      </c>
      <c r="K7875" t="s">
        <v>39025</v>
      </c>
      <c r="M7875" t="s">
        <v>41924</v>
      </c>
      <c r="N7875" t="s">
        <v>43166</v>
      </c>
      <c r="O7875" t="s">
        <v>43167</v>
      </c>
      <c r="P7875">
        <v>0</v>
      </c>
      <c r="Q7875">
        <v>0</v>
      </c>
      <c r="R7875" t="s">
        <v>43174</v>
      </c>
      <c r="S7875" t="s">
        <v>43396</v>
      </c>
      <c r="T7875" t="s">
        <v>44844</v>
      </c>
      <c r="U7875" t="s">
        <v>51569</v>
      </c>
      <c r="W7875" t="s">
        <v>41924</v>
      </c>
      <c r="X7875" t="s">
        <v>43178</v>
      </c>
    </row>
    <row r="7876" spans="1:24">
      <c r="A7876">
        <f>HYPERLINK("https://www.philgeps.gov.ph/GEPSNONPILOT/Tender/SplashBidNoticeAbstractUI.aspx?menuIndex=3&amp;refID=7070531&amp;Result=3","7070531")</f>
        <v>0</v>
      </c>
      <c r="B7876" t="s">
        <v>94</v>
      </c>
      <c r="C7876" t="s">
        <v>10908</v>
      </c>
      <c r="D7876" t="s">
        <v>17454</v>
      </c>
      <c r="E7876" t="s">
        <v>24285</v>
      </c>
      <c r="F7876" t="s">
        <v>30052</v>
      </c>
      <c r="G7876" t="s">
        <v>30058</v>
      </c>
      <c r="H7876" t="s">
        <v>15498</v>
      </c>
      <c r="I7876" t="s">
        <v>8758</v>
      </c>
      <c r="J7876" t="s">
        <v>35019</v>
      </c>
      <c r="K7876" t="s">
        <v>39032</v>
      </c>
      <c r="M7876" t="s">
        <v>39383</v>
      </c>
      <c r="N7876" t="s">
        <v>43166</v>
      </c>
      <c r="O7876" t="s">
        <v>43167</v>
      </c>
      <c r="P7876">
        <v>0</v>
      </c>
      <c r="Q7876">
        <v>3</v>
      </c>
      <c r="R7876" t="s">
        <v>43174</v>
      </c>
      <c r="S7876" t="s">
        <v>43396</v>
      </c>
      <c r="T7876" t="s">
        <v>44837</v>
      </c>
      <c r="U7876" t="s">
        <v>45333</v>
      </c>
      <c r="W7876" t="s">
        <v>39383</v>
      </c>
      <c r="X7876" t="s">
        <v>43178</v>
      </c>
    </row>
    <row r="7877" spans="1:24">
      <c r="A7877">
        <f>HYPERLINK("https://www.philgeps.gov.ph/GEPSNONPILOT/Tender/SplashBidNoticeAbstractUI.aspx?menuIndex=3&amp;refID=7071611&amp;Result=3","7071611")</f>
        <v>0</v>
      </c>
      <c r="B7877" t="s">
        <v>2098</v>
      </c>
      <c r="C7877" t="s">
        <v>10909</v>
      </c>
      <c r="D7877" t="s">
        <v>17414</v>
      </c>
      <c r="E7877" t="s">
        <v>24286</v>
      </c>
      <c r="F7877" t="s">
        <v>30052</v>
      </c>
      <c r="G7877" t="s">
        <v>30058</v>
      </c>
      <c r="H7877" t="s">
        <v>30067</v>
      </c>
      <c r="I7877" t="s">
        <v>3693</v>
      </c>
      <c r="J7877" t="s">
        <v>35020</v>
      </c>
      <c r="K7877" t="s">
        <v>39023</v>
      </c>
      <c r="M7877" t="s">
        <v>41560</v>
      </c>
      <c r="N7877" t="s">
        <v>43166</v>
      </c>
      <c r="O7877" t="s">
        <v>43167</v>
      </c>
      <c r="P7877">
        <v>0</v>
      </c>
      <c r="Q7877">
        <v>0</v>
      </c>
      <c r="R7877" t="s">
        <v>43174</v>
      </c>
      <c r="S7877" t="s">
        <v>43396</v>
      </c>
      <c r="T7877" t="s">
        <v>44789</v>
      </c>
      <c r="U7877" t="s">
        <v>51570</v>
      </c>
      <c r="W7877" t="s">
        <v>41560</v>
      </c>
      <c r="X7877" t="s">
        <v>43178</v>
      </c>
    </row>
    <row r="7878" spans="1:24">
      <c r="A7878">
        <f>HYPERLINK("https://www.philgeps.gov.ph/GEPSNONPILOT/Tender/SplashBidNoticeAbstractUI.aspx?menuIndex=3&amp;refID=7070422&amp;Result=3","7070422")</f>
        <v>0</v>
      </c>
      <c r="B7878" t="s">
        <v>1000</v>
      </c>
      <c r="C7878" t="s">
        <v>10910</v>
      </c>
      <c r="D7878" t="s">
        <v>17422</v>
      </c>
      <c r="E7878" t="s">
        <v>24287</v>
      </c>
      <c r="F7878" t="s">
        <v>30052</v>
      </c>
      <c r="G7878" t="s">
        <v>30058</v>
      </c>
      <c r="H7878" t="s">
        <v>15498</v>
      </c>
      <c r="I7878" t="s">
        <v>30073</v>
      </c>
      <c r="J7878" t="s">
        <v>35021</v>
      </c>
      <c r="K7878" t="s">
        <v>39064</v>
      </c>
      <c r="M7878" t="s">
        <v>41089</v>
      </c>
      <c r="N7878" t="s">
        <v>43166</v>
      </c>
      <c r="O7878" t="s">
        <v>43167</v>
      </c>
      <c r="P7878">
        <v>0</v>
      </c>
      <c r="Q7878">
        <v>0</v>
      </c>
      <c r="R7878" t="s">
        <v>43174</v>
      </c>
      <c r="S7878" t="s">
        <v>43396</v>
      </c>
      <c r="T7878" t="s">
        <v>44844</v>
      </c>
      <c r="U7878" t="s">
        <v>51571</v>
      </c>
      <c r="V7878" t="s">
        <v>56838</v>
      </c>
      <c r="W7878" t="s">
        <v>41089</v>
      </c>
      <c r="X7878" t="s">
        <v>43178</v>
      </c>
    </row>
    <row r="7879" spans="1:24">
      <c r="A7879">
        <f>HYPERLINK("https://www.philgeps.gov.ph/GEPSNONPILOT/Tender/SplashBidNoticeAbstractUI.aspx?menuIndex=3&amp;refID=7070741&amp;Result=3","7070741")</f>
        <v>0</v>
      </c>
      <c r="B7879" t="s">
        <v>94</v>
      </c>
      <c r="C7879" t="s">
        <v>4036</v>
      </c>
      <c r="D7879" t="s">
        <v>17454</v>
      </c>
      <c r="E7879" t="s">
        <v>24288</v>
      </c>
      <c r="F7879" t="s">
        <v>30052</v>
      </c>
      <c r="G7879" t="s">
        <v>30058</v>
      </c>
      <c r="H7879" t="s">
        <v>15498</v>
      </c>
      <c r="I7879" t="s">
        <v>30150</v>
      </c>
      <c r="J7879" t="s">
        <v>35022</v>
      </c>
      <c r="K7879" t="s">
        <v>39018</v>
      </c>
      <c r="M7879" t="s">
        <v>39383</v>
      </c>
      <c r="N7879" t="s">
        <v>43166</v>
      </c>
      <c r="O7879" t="s">
        <v>43167</v>
      </c>
      <c r="P7879">
        <v>0</v>
      </c>
      <c r="Q7879">
        <v>0</v>
      </c>
      <c r="R7879" t="s">
        <v>43174</v>
      </c>
      <c r="S7879" t="s">
        <v>43396</v>
      </c>
      <c r="T7879" t="s">
        <v>44837</v>
      </c>
      <c r="U7879" t="s">
        <v>51572</v>
      </c>
      <c r="W7879" t="s">
        <v>39383</v>
      </c>
      <c r="X7879" t="s">
        <v>43178</v>
      </c>
    </row>
    <row r="7880" spans="1:24">
      <c r="A7880">
        <f>HYPERLINK("https://www.philgeps.gov.ph/GEPSNONPILOT/Tender/SplashBidNoticeAbstractUI.aspx?menuIndex=3&amp;refID=7071536&amp;Result=3","7071536")</f>
        <v>0</v>
      </c>
      <c r="B7880" t="s">
        <v>2428</v>
      </c>
      <c r="C7880" t="s">
        <v>10911</v>
      </c>
      <c r="D7880" t="s">
        <v>17422</v>
      </c>
      <c r="E7880" t="s">
        <v>24289</v>
      </c>
      <c r="F7880" t="s">
        <v>30052</v>
      </c>
      <c r="G7880" t="s">
        <v>30058</v>
      </c>
      <c r="H7880" t="s">
        <v>30067</v>
      </c>
      <c r="I7880" t="s">
        <v>30093</v>
      </c>
      <c r="J7880" t="s">
        <v>35023</v>
      </c>
      <c r="K7880" t="s">
        <v>39031</v>
      </c>
      <c r="M7880" t="s">
        <v>41925</v>
      </c>
      <c r="N7880" t="s">
        <v>43166</v>
      </c>
      <c r="O7880" t="s">
        <v>43167</v>
      </c>
      <c r="P7880">
        <v>0</v>
      </c>
      <c r="Q7880">
        <v>1</v>
      </c>
      <c r="R7880" t="s">
        <v>43174</v>
      </c>
      <c r="S7880" t="s">
        <v>43396</v>
      </c>
      <c r="T7880" t="s">
        <v>44710</v>
      </c>
      <c r="U7880" t="s">
        <v>51573</v>
      </c>
      <c r="W7880" t="s">
        <v>41925</v>
      </c>
      <c r="X7880" t="s">
        <v>43178</v>
      </c>
    </row>
    <row r="7881" spans="1:24">
      <c r="A7881">
        <f>HYPERLINK("https://www.philgeps.gov.ph/GEPSNONPILOT/Tender/SplashBidNoticeAbstractUI.aspx?menuIndex=3&amp;refID=7071527&amp;Result=3","7071527")</f>
        <v>0</v>
      </c>
      <c r="B7881" t="s">
        <v>2098</v>
      </c>
      <c r="C7881" t="s">
        <v>9718</v>
      </c>
      <c r="D7881" t="s">
        <v>17414</v>
      </c>
      <c r="E7881" t="s">
        <v>24290</v>
      </c>
      <c r="F7881" t="s">
        <v>30052</v>
      </c>
      <c r="G7881" t="s">
        <v>30058</v>
      </c>
      <c r="H7881" t="s">
        <v>15498</v>
      </c>
      <c r="I7881" t="s">
        <v>30074</v>
      </c>
      <c r="J7881" t="s">
        <v>35024</v>
      </c>
      <c r="K7881" t="s">
        <v>39029</v>
      </c>
      <c r="M7881" t="s">
        <v>41560</v>
      </c>
      <c r="N7881" t="s">
        <v>43166</v>
      </c>
      <c r="O7881" t="s">
        <v>43167</v>
      </c>
      <c r="P7881">
        <v>0</v>
      </c>
      <c r="Q7881">
        <v>4</v>
      </c>
      <c r="R7881" t="s">
        <v>43174</v>
      </c>
      <c r="S7881" t="s">
        <v>43396</v>
      </c>
      <c r="T7881" t="s">
        <v>44945</v>
      </c>
      <c r="U7881" t="s">
        <v>50520</v>
      </c>
      <c r="V7881" t="s">
        <v>57661</v>
      </c>
      <c r="W7881" t="s">
        <v>41560</v>
      </c>
      <c r="X7881" t="s">
        <v>43178</v>
      </c>
    </row>
    <row r="7882" spans="1:24">
      <c r="A7882">
        <f>HYPERLINK("https://www.philgeps.gov.ph/GEPSNONPILOT/Tender/SplashBidNoticeAbstractUI.aspx?menuIndex=3&amp;refID=7071236&amp;Result=3","7071236")</f>
        <v>0</v>
      </c>
      <c r="B7882" t="s">
        <v>287</v>
      </c>
      <c r="C7882" t="s">
        <v>10912</v>
      </c>
      <c r="D7882" t="s">
        <v>17438</v>
      </c>
      <c r="E7882" t="s">
        <v>24291</v>
      </c>
      <c r="F7882" t="s">
        <v>30052</v>
      </c>
      <c r="G7882" t="s">
        <v>30058</v>
      </c>
      <c r="H7882" t="s">
        <v>15498</v>
      </c>
      <c r="I7882" t="s">
        <v>3736</v>
      </c>
      <c r="J7882" t="s">
        <v>35025</v>
      </c>
      <c r="K7882" t="s">
        <v>39034</v>
      </c>
      <c r="M7882" t="s">
        <v>39582</v>
      </c>
      <c r="N7882" t="s">
        <v>43166</v>
      </c>
      <c r="O7882" t="s">
        <v>43167</v>
      </c>
      <c r="P7882">
        <v>0</v>
      </c>
      <c r="Q7882">
        <v>1</v>
      </c>
      <c r="R7882" t="s">
        <v>43174</v>
      </c>
      <c r="S7882" t="s">
        <v>43396</v>
      </c>
      <c r="T7882" t="s">
        <v>44777</v>
      </c>
      <c r="U7882" t="s">
        <v>51574</v>
      </c>
      <c r="W7882" t="s">
        <v>39582</v>
      </c>
      <c r="X7882" t="s">
        <v>43178</v>
      </c>
    </row>
    <row r="7883" spans="1:24">
      <c r="A7883">
        <f>HYPERLINK("https://www.philgeps.gov.ph/GEPSNONPILOT/Tender/SplashBidNoticeAbstractUI.aspx?menuIndex=3&amp;refID=7071591&amp;Result=3","7071591")</f>
        <v>0</v>
      </c>
      <c r="B7883" t="s">
        <v>2098</v>
      </c>
      <c r="C7883" t="s">
        <v>10913</v>
      </c>
      <c r="D7883" t="s">
        <v>17414</v>
      </c>
      <c r="E7883" t="s">
        <v>24292</v>
      </c>
      <c r="F7883" t="s">
        <v>30052</v>
      </c>
      <c r="G7883" t="s">
        <v>30058</v>
      </c>
      <c r="H7883" t="s">
        <v>30067</v>
      </c>
      <c r="I7883" t="s">
        <v>3693</v>
      </c>
      <c r="J7883" t="s">
        <v>35026</v>
      </c>
      <c r="K7883" t="s">
        <v>39057</v>
      </c>
      <c r="M7883" t="s">
        <v>41560</v>
      </c>
      <c r="N7883" t="s">
        <v>43166</v>
      </c>
      <c r="O7883" t="s">
        <v>43167</v>
      </c>
      <c r="P7883">
        <v>0</v>
      </c>
      <c r="Q7883">
        <v>1</v>
      </c>
      <c r="R7883" t="s">
        <v>43174</v>
      </c>
      <c r="S7883" t="s">
        <v>43396</v>
      </c>
      <c r="T7883" t="s">
        <v>44789</v>
      </c>
      <c r="U7883" t="s">
        <v>51575</v>
      </c>
      <c r="W7883" t="s">
        <v>41560</v>
      </c>
      <c r="X7883" t="s">
        <v>43178</v>
      </c>
    </row>
    <row r="7884" spans="1:24">
      <c r="A7884">
        <f>HYPERLINK("https://www.philgeps.gov.ph/GEPSNONPILOT/Tender/SplashBidNoticeAbstractUI.aspx?menuIndex=3&amp;refID=7071496&amp;Result=3","7071496")</f>
        <v>0</v>
      </c>
      <c r="B7884" t="s">
        <v>2098</v>
      </c>
      <c r="C7884" t="s">
        <v>9685</v>
      </c>
      <c r="D7884" t="s">
        <v>17414</v>
      </c>
      <c r="E7884" t="s">
        <v>24293</v>
      </c>
      <c r="F7884" t="s">
        <v>30052</v>
      </c>
      <c r="G7884" t="s">
        <v>30058</v>
      </c>
      <c r="H7884" t="s">
        <v>15498</v>
      </c>
      <c r="I7884" t="s">
        <v>30076</v>
      </c>
      <c r="J7884" t="s">
        <v>35027</v>
      </c>
      <c r="K7884" t="s">
        <v>39017</v>
      </c>
      <c r="M7884" t="s">
        <v>41560</v>
      </c>
      <c r="N7884" t="s">
        <v>43166</v>
      </c>
      <c r="O7884" t="s">
        <v>43167</v>
      </c>
      <c r="P7884">
        <v>0</v>
      </c>
      <c r="Q7884">
        <v>7</v>
      </c>
      <c r="R7884" t="s">
        <v>43174</v>
      </c>
      <c r="S7884" t="s">
        <v>43396</v>
      </c>
      <c r="T7884" t="s">
        <v>44945</v>
      </c>
      <c r="U7884" t="s">
        <v>50517</v>
      </c>
      <c r="V7884" t="s">
        <v>57662</v>
      </c>
      <c r="W7884" t="s">
        <v>41560</v>
      </c>
      <c r="X7884" t="s">
        <v>43178</v>
      </c>
    </row>
    <row r="7885" spans="1:24">
      <c r="A7885">
        <f>HYPERLINK("https://www.philgeps.gov.ph/GEPSNONPILOT/Tender/SplashBidNoticeAbstractUI.aspx?menuIndex=3&amp;refID=7071475&amp;Result=3","7071475")</f>
        <v>0</v>
      </c>
      <c r="B7885" t="s">
        <v>2429</v>
      </c>
      <c r="C7885" t="s">
        <v>10914</v>
      </c>
      <c r="D7885" t="s">
        <v>17454</v>
      </c>
      <c r="E7885" t="s">
        <v>24294</v>
      </c>
      <c r="F7885" t="s">
        <v>30052</v>
      </c>
      <c r="G7885" t="s">
        <v>30058</v>
      </c>
      <c r="H7885" t="s">
        <v>15498</v>
      </c>
      <c r="I7885" t="s">
        <v>30074</v>
      </c>
      <c r="J7885" t="s">
        <v>33069</v>
      </c>
      <c r="K7885" t="s">
        <v>39025</v>
      </c>
      <c r="M7885" t="s">
        <v>41926</v>
      </c>
      <c r="N7885" t="s">
        <v>43166</v>
      </c>
      <c r="O7885" t="s">
        <v>43167</v>
      </c>
      <c r="P7885">
        <v>0</v>
      </c>
      <c r="Q7885">
        <v>4</v>
      </c>
      <c r="R7885" t="s">
        <v>43174</v>
      </c>
      <c r="S7885" t="s">
        <v>43396</v>
      </c>
      <c r="T7885" t="s">
        <v>45080</v>
      </c>
      <c r="U7885" t="s">
        <v>51576</v>
      </c>
      <c r="W7885" t="s">
        <v>41926</v>
      </c>
      <c r="X7885" t="s">
        <v>43178</v>
      </c>
    </row>
    <row r="7886" spans="1:24">
      <c r="A7886">
        <f>HYPERLINK("https://www.philgeps.gov.ph/GEPSNONPILOT/Tender/SplashBidNoticeAbstractUI.aspx?menuIndex=3&amp;refID=7071420&amp;Result=3","7071420")</f>
        <v>0</v>
      </c>
      <c r="B7886" t="s">
        <v>2430</v>
      </c>
      <c r="C7886" t="s">
        <v>10915</v>
      </c>
      <c r="D7886" t="s">
        <v>17415</v>
      </c>
      <c r="E7886" t="s">
        <v>20290</v>
      </c>
      <c r="F7886" t="s">
        <v>30052</v>
      </c>
      <c r="G7886" t="s">
        <v>30058</v>
      </c>
      <c r="H7886" t="s">
        <v>15498</v>
      </c>
      <c r="I7886" t="s">
        <v>30084</v>
      </c>
      <c r="J7886" t="s">
        <v>35028</v>
      </c>
      <c r="K7886" t="s">
        <v>39095</v>
      </c>
      <c r="M7886" t="s">
        <v>41927</v>
      </c>
      <c r="N7886" t="s">
        <v>43166</v>
      </c>
      <c r="O7886" t="s">
        <v>43167</v>
      </c>
      <c r="P7886">
        <v>0</v>
      </c>
      <c r="Q7886">
        <v>23</v>
      </c>
      <c r="R7886" t="s">
        <v>43174</v>
      </c>
      <c r="S7886" t="s">
        <v>43396</v>
      </c>
      <c r="T7886" t="s">
        <v>45000</v>
      </c>
      <c r="U7886" t="s">
        <v>51577</v>
      </c>
      <c r="W7886" t="s">
        <v>41927</v>
      </c>
      <c r="X7886" t="s">
        <v>43178</v>
      </c>
    </row>
    <row r="7887" spans="1:24">
      <c r="A7887">
        <f>HYPERLINK("https://www.philgeps.gov.ph/GEPSNONPILOT/Tender/SplashBidNoticeAbstractUI.aspx?menuIndex=3&amp;refID=7071366&amp;Result=3","7071366")</f>
        <v>0</v>
      </c>
      <c r="B7887" t="s">
        <v>2431</v>
      </c>
      <c r="C7887" t="s">
        <v>10916</v>
      </c>
      <c r="D7887" t="s">
        <v>17438</v>
      </c>
      <c r="E7887" t="s">
        <v>24295</v>
      </c>
      <c r="F7887" t="s">
        <v>30052</v>
      </c>
      <c r="G7887" t="s">
        <v>30058</v>
      </c>
      <c r="H7887" t="s">
        <v>30068</v>
      </c>
      <c r="I7887" t="s">
        <v>30068</v>
      </c>
      <c r="J7887" t="s">
        <v>35029</v>
      </c>
      <c r="K7887" t="s">
        <v>39019</v>
      </c>
      <c r="L7887" t="s">
        <v>2431</v>
      </c>
      <c r="M7887" t="s">
        <v>41928</v>
      </c>
      <c r="N7887" t="s">
        <v>43166</v>
      </c>
      <c r="O7887" t="s">
        <v>43167</v>
      </c>
      <c r="P7887">
        <v>0</v>
      </c>
      <c r="Q7887">
        <v>5</v>
      </c>
      <c r="R7887" t="s">
        <v>43174</v>
      </c>
      <c r="S7887" t="s">
        <v>43396</v>
      </c>
      <c r="T7887" t="s">
        <v>45041</v>
      </c>
      <c r="U7887" t="s">
        <v>51578</v>
      </c>
      <c r="W7887" t="s">
        <v>58675</v>
      </c>
      <c r="X7887" t="s">
        <v>43178</v>
      </c>
    </row>
    <row r="7888" spans="1:24">
      <c r="A7888">
        <f>HYPERLINK("https://www.philgeps.gov.ph/GEPSNONPILOT/Tender/SplashBidNoticeAbstractUI.aspx?menuIndex=3&amp;refID=7071352&amp;Result=3","7071352")</f>
        <v>0</v>
      </c>
      <c r="B7888" t="s">
        <v>1520</v>
      </c>
      <c r="C7888" t="s">
        <v>10917</v>
      </c>
      <c r="D7888" t="s">
        <v>17423</v>
      </c>
      <c r="E7888" t="s">
        <v>24296</v>
      </c>
      <c r="F7888" t="s">
        <v>30056</v>
      </c>
      <c r="G7888" t="s">
        <v>30058</v>
      </c>
      <c r="H7888" t="s">
        <v>30067</v>
      </c>
      <c r="I7888" t="s">
        <v>3693</v>
      </c>
      <c r="J7888" t="s">
        <v>35030</v>
      </c>
      <c r="K7888" t="s">
        <v>39073</v>
      </c>
      <c r="M7888" t="s">
        <v>40906</v>
      </c>
      <c r="N7888" t="s">
        <v>43166</v>
      </c>
      <c r="O7888" t="s">
        <v>43167</v>
      </c>
      <c r="P7888">
        <v>0</v>
      </c>
      <c r="Q7888">
        <v>0</v>
      </c>
      <c r="R7888" t="s">
        <v>43174</v>
      </c>
      <c r="S7888" t="s">
        <v>43396</v>
      </c>
      <c r="T7888" t="s">
        <v>44725</v>
      </c>
      <c r="U7888" t="s">
        <v>51579</v>
      </c>
      <c r="W7888" t="s">
        <v>40906</v>
      </c>
      <c r="X7888" t="s">
        <v>43178</v>
      </c>
    </row>
    <row r="7889" spans="1:24">
      <c r="A7889">
        <f>HYPERLINK("https://www.philgeps.gov.ph/GEPSNONPILOT/Tender/SplashBidNoticeAbstractUI.aspx?menuIndex=3&amp;refID=7071324&amp;Result=3","7071324")</f>
        <v>0</v>
      </c>
      <c r="B7889" t="s">
        <v>287</v>
      </c>
      <c r="C7889" t="s">
        <v>10918</v>
      </c>
      <c r="D7889" t="s">
        <v>17438</v>
      </c>
      <c r="E7889" t="s">
        <v>24297</v>
      </c>
      <c r="F7889" t="s">
        <v>30052</v>
      </c>
      <c r="G7889" t="s">
        <v>30058</v>
      </c>
      <c r="H7889" t="s">
        <v>15498</v>
      </c>
      <c r="I7889" t="s">
        <v>3736</v>
      </c>
      <c r="J7889" t="s">
        <v>30222</v>
      </c>
      <c r="K7889" t="s">
        <v>39034</v>
      </c>
      <c r="M7889" t="s">
        <v>39582</v>
      </c>
      <c r="N7889" t="s">
        <v>43166</v>
      </c>
      <c r="O7889" t="s">
        <v>43167</v>
      </c>
      <c r="P7889">
        <v>0</v>
      </c>
      <c r="Q7889">
        <v>3</v>
      </c>
      <c r="R7889" t="s">
        <v>43174</v>
      </c>
      <c r="S7889" t="s">
        <v>43396</v>
      </c>
      <c r="T7889" t="s">
        <v>44873</v>
      </c>
      <c r="U7889" t="s">
        <v>51580</v>
      </c>
      <c r="W7889" t="s">
        <v>39582</v>
      </c>
      <c r="X7889" t="s">
        <v>43178</v>
      </c>
    </row>
    <row r="7890" spans="1:24">
      <c r="A7890">
        <f>HYPERLINK("https://www.philgeps.gov.ph/GEPSNONPILOT/Tender/SplashBidNoticeAbstractUI.aspx?menuIndex=3&amp;refID=7071537&amp;Result=3","7071537")</f>
        <v>0</v>
      </c>
      <c r="B7890" t="s">
        <v>1840</v>
      </c>
      <c r="C7890" t="s">
        <v>10919</v>
      </c>
      <c r="D7890" t="s">
        <v>17449</v>
      </c>
      <c r="E7890" t="s">
        <v>24298</v>
      </c>
      <c r="F7890" t="s">
        <v>30052</v>
      </c>
      <c r="G7890" t="s">
        <v>30058</v>
      </c>
      <c r="H7890" t="s">
        <v>30067</v>
      </c>
      <c r="I7890" t="s">
        <v>3693</v>
      </c>
      <c r="J7890" t="s">
        <v>35031</v>
      </c>
      <c r="K7890" t="s">
        <v>39033</v>
      </c>
      <c r="M7890" t="s">
        <v>41929</v>
      </c>
      <c r="N7890" t="s">
        <v>43166</v>
      </c>
      <c r="O7890" t="s">
        <v>43167</v>
      </c>
      <c r="P7890">
        <v>0</v>
      </c>
      <c r="Q7890">
        <v>2</v>
      </c>
      <c r="R7890" t="s">
        <v>43174</v>
      </c>
      <c r="S7890" t="s">
        <v>43396</v>
      </c>
      <c r="T7890" t="s">
        <v>44796</v>
      </c>
      <c r="U7890" t="s">
        <v>51581</v>
      </c>
      <c r="V7890" t="s">
        <v>57663</v>
      </c>
      <c r="W7890" t="s">
        <v>41929</v>
      </c>
      <c r="X7890" t="s">
        <v>43178</v>
      </c>
    </row>
    <row r="7891" spans="1:24">
      <c r="A7891">
        <f>HYPERLINK("https://www.philgeps.gov.ph/GEPSNONPILOT/Tender/SplashBidNoticeAbstractUI.aspx?menuIndex=3&amp;refID=7071514&amp;Result=3","7071514")</f>
        <v>0</v>
      </c>
      <c r="B7891" t="s">
        <v>2098</v>
      </c>
      <c r="C7891" t="s">
        <v>10920</v>
      </c>
      <c r="D7891" t="s">
        <v>17414</v>
      </c>
      <c r="E7891" t="s">
        <v>24299</v>
      </c>
      <c r="F7891" t="s">
        <v>30052</v>
      </c>
      <c r="G7891" t="s">
        <v>30058</v>
      </c>
      <c r="H7891" t="s">
        <v>15498</v>
      </c>
      <c r="I7891" t="s">
        <v>30074</v>
      </c>
      <c r="J7891" t="s">
        <v>35032</v>
      </c>
      <c r="K7891" t="s">
        <v>39029</v>
      </c>
      <c r="M7891" t="s">
        <v>41560</v>
      </c>
      <c r="N7891" t="s">
        <v>43166</v>
      </c>
      <c r="O7891" t="s">
        <v>43167</v>
      </c>
      <c r="P7891">
        <v>0</v>
      </c>
      <c r="Q7891">
        <v>4</v>
      </c>
      <c r="R7891" t="s">
        <v>43174</v>
      </c>
      <c r="S7891" t="s">
        <v>43396</v>
      </c>
      <c r="T7891" t="s">
        <v>44945</v>
      </c>
      <c r="U7891" t="s">
        <v>50517</v>
      </c>
      <c r="V7891" t="s">
        <v>57664</v>
      </c>
      <c r="W7891" t="s">
        <v>41560</v>
      </c>
      <c r="X7891" t="s">
        <v>43178</v>
      </c>
    </row>
    <row r="7892" spans="1:24">
      <c r="A7892">
        <f>HYPERLINK("https://www.philgeps.gov.ph/GEPSNONPILOT/Tender/SplashBidNoticeAbstractUI.aspx?menuIndex=3&amp;refID=7070733&amp;Result=3","7070733")</f>
        <v>0</v>
      </c>
      <c r="B7892" t="s">
        <v>2426</v>
      </c>
      <c r="C7892" t="s">
        <v>10921</v>
      </c>
      <c r="D7892" t="s">
        <v>17435</v>
      </c>
      <c r="E7892" t="s">
        <v>24279</v>
      </c>
      <c r="F7892" t="s">
        <v>30055</v>
      </c>
      <c r="G7892" t="s">
        <v>30061</v>
      </c>
      <c r="H7892" t="s">
        <v>15498</v>
      </c>
      <c r="I7892" t="s">
        <v>4119</v>
      </c>
      <c r="J7892" t="s">
        <v>35033</v>
      </c>
      <c r="K7892" t="s">
        <v>39064</v>
      </c>
      <c r="L7892" t="s">
        <v>2426</v>
      </c>
      <c r="M7892" t="s">
        <v>41923</v>
      </c>
      <c r="N7892" t="s">
        <v>43166</v>
      </c>
      <c r="O7892" t="s">
        <v>43167</v>
      </c>
      <c r="P7892">
        <v>0</v>
      </c>
      <c r="Q7892">
        <v>0</v>
      </c>
      <c r="R7892" t="s">
        <v>43174</v>
      </c>
      <c r="S7892" t="s">
        <v>43396</v>
      </c>
      <c r="T7892" t="s">
        <v>44716</v>
      </c>
      <c r="U7892" t="s">
        <v>51582</v>
      </c>
      <c r="W7892" t="s">
        <v>41923</v>
      </c>
      <c r="X7892" t="s">
        <v>43178</v>
      </c>
    </row>
    <row r="7893" spans="1:24">
      <c r="A7893">
        <f>HYPERLINK("https://www.philgeps.gov.ph/GEPSNONPILOT/Tender/SplashBidNoticeAbstractUI.aspx?menuIndex=3&amp;refID=7072383&amp;Result=3","7072383")</f>
        <v>0</v>
      </c>
      <c r="B7893" t="s">
        <v>1071</v>
      </c>
      <c r="C7893" t="s">
        <v>10922</v>
      </c>
      <c r="D7893" t="s">
        <v>17426</v>
      </c>
      <c r="E7893" t="s">
        <v>24300</v>
      </c>
      <c r="F7893" t="s">
        <v>30052</v>
      </c>
      <c r="G7893" t="s">
        <v>30058</v>
      </c>
      <c r="H7893" t="s">
        <v>15498</v>
      </c>
      <c r="I7893" t="s">
        <v>3736</v>
      </c>
      <c r="J7893" t="s">
        <v>35034</v>
      </c>
      <c r="K7893" t="s">
        <v>39019</v>
      </c>
      <c r="M7893" t="s">
        <v>40406</v>
      </c>
      <c r="N7893" t="s">
        <v>43166</v>
      </c>
      <c r="O7893" t="s">
        <v>43167</v>
      </c>
      <c r="P7893">
        <v>0</v>
      </c>
      <c r="Q7893">
        <v>0</v>
      </c>
      <c r="R7893" t="s">
        <v>43174</v>
      </c>
      <c r="S7893" t="s">
        <v>43396</v>
      </c>
      <c r="T7893" t="s">
        <v>44834</v>
      </c>
      <c r="U7893" t="s">
        <v>51583</v>
      </c>
      <c r="W7893" t="s">
        <v>40406</v>
      </c>
      <c r="X7893" t="s">
        <v>43177</v>
      </c>
    </row>
    <row r="7894" spans="1:24">
      <c r="A7894">
        <f>HYPERLINK("https://www.philgeps.gov.ph/GEPSNONPILOT/Tender/SplashBidNoticeAbstractUI.aspx?menuIndex=3&amp;refID=7071399&amp;Result=3","7071399")</f>
        <v>0</v>
      </c>
      <c r="B7894" t="s">
        <v>1520</v>
      </c>
      <c r="C7894" t="s">
        <v>10923</v>
      </c>
      <c r="D7894" t="s">
        <v>17423</v>
      </c>
      <c r="E7894" t="s">
        <v>24301</v>
      </c>
      <c r="F7894" t="s">
        <v>30056</v>
      </c>
      <c r="G7894" t="s">
        <v>30058</v>
      </c>
      <c r="H7894" t="s">
        <v>30067</v>
      </c>
      <c r="I7894" t="s">
        <v>3693</v>
      </c>
      <c r="J7894" t="s">
        <v>35035</v>
      </c>
      <c r="K7894" t="s">
        <v>39046</v>
      </c>
      <c r="M7894" t="s">
        <v>40906</v>
      </c>
      <c r="N7894" t="s">
        <v>43166</v>
      </c>
      <c r="O7894" t="s">
        <v>43167</v>
      </c>
      <c r="P7894">
        <v>0</v>
      </c>
      <c r="Q7894">
        <v>0</v>
      </c>
      <c r="R7894" t="s">
        <v>43174</v>
      </c>
      <c r="S7894" t="s">
        <v>43396</v>
      </c>
      <c r="T7894" t="s">
        <v>44834</v>
      </c>
      <c r="U7894" t="s">
        <v>51584</v>
      </c>
      <c r="W7894" t="s">
        <v>40906</v>
      </c>
      <c r="X7894" t="s">
        <v>43178</v>
      </c>
    </row>
    <row r="7895" spans="1:24">
      <c r="A7895">
        <f>HYPERLINK("https://www.philgeps.gov.ph/GEPSNONPILOT/Tender/SplashBidNoticeAbstractUI.aspx?menuIndex=3&amp;refID=7072382&amp;Result=3","7072382")</f>
        <v>0</v>
      </c>
      <c r="B7895" t="s">
        <v>2410</v>
      </c>
      <c r="C7895" t="s">
        <v>10924</v>
      </c>
      <c r="D7895" t="s">
        <v>17470</v>
      </c>
      <c r="E7895" t="s">
        <v>24302</v>
      </c>
      <c r="F7895" t="s">
        <v>30052</v>
      </c>
      <c r="G7895" t="s">
        <v>30058</v>
      </c>
      <c r="H7895" t="s">
        <v>15498</v>
      </c>
      <c r="I7895" t="s">
        <v>30143</v>
      </c>
      <c r="J7895" t="s">
        <v>30338</v>
      </c>
      <c r="K7895" t="s">
        <v>39029</v>
      </c>
      <c r="M7895" t="s">
        <v>41907</v>
      </c>
      <c r="N7895" t="s">
        <v>43166</v>
      </c>
      <c r="O7895" t="s">
        <v>43167</v>
      </c>
      <c r="P7895">
        <v>0</v>
      </c>
      <c r="Q7895">
        <v>2</v>
      </c>
      <c r="R7895" t="s">
        <v>43174</v>
      </c>
      <c r="S7895" t="s">
        <v>43396</v>
      </c>
      <c r="T7895" t="s">
        <v>44758</v>
      </c>
      <c r="U7895" t="s">
        <v>51585</v>
      </c>
      <c r="W7895" t="s">
        <v>41907</v>
      </c>
      <c r="X7895" t="s">
        <v>43177</v>
      </c>
    </row>
    <row r="7896" spans="1:24">
      <c r="A7896">
        <f>HYPERLINK("https://www.philgeps.gov.ph/GEPSNONPILOT/Tender/SplashBidNoticeAbstractUI.aspx?menuIndex=3&amp;refID=7071323&amp;Result=3","7071323")</f>
        <v>0</v>
      </c>
      <c r="B7896" t="s">
        <v>2431</v>
      </c>
      <c r="C7896" t="s">
        <v>10925</v>
      </c>
      <c r="D7896" t="s">
        <v>17438</v>
      </c>
      <c r="E7896" t="s">
        <v>24303</v>
      </c>
      <c r="F7896" t="s">
        <v>30052</v>
      </c>
      <c r="G7896" t="s">
        <v>30058</v>
      </c>
      <c r="H7896" t="s">
        <v>30068</v>
      </c>
      <c r="I7896" t="s">
        <v>30068</v>
      </c>
      <c r="J7896" t="s">
        <v>35036</v>
      </c>
      <c r="K7896" t="s">
        <v>39023</v>
      </c>
      <c r="L7896" t="s">
        <v>2431</v>
      </c>
      <c r="M7896" t="s">
        <v>41928</v>
      </c>
      <c r="N7896" t="s">
        <v>43166</v>
      </c>
      <c r="O7896" t="s">
        <v>43167</v>
      </c>
      <c r="P7896">
        <v>0</v>
      </c>
      <c r="Q7896">
        <v>5</v>
      </c>
      <c r="R7896" t="s">
        <v>43174</v>
      </c>
      <c r="S7896" t="s">
        <v>43396</v>
      </c>
      <c r="T7896" t="s">
        <v>45041</v>
      </c>
      <c r="U7896" t="s">
        <v>51586</v>
      </c>
      <c r="W7896" t="s">
        <v>58675</v>
      </c>
      <c r="X7896" t="s">
        <v>43178</v>
      </c>
    </row>
    <row r="7897" spans="1:24">
      <c r="A7897">
        <f>HYPERLINK("https://www.philgeps.gov.ph/GEPSNONPILOT/Tender/SplashBidNoticeAbstractUI.aspx?menuIndex=3&amp;refID=7072250&amp;Result=3","7072250")</f>
        <v>0</v>
      </c>
      <c r="B7897" t="s">
        <v>2432</v>
      </c>
      <c r="C7897" t="s">
        <v>10926</v>
      </c>
      <c r="D7897" t="s">
        <v>17458</v>
      </c>
      <c r="E7897" t="s">
        <v>11486</v>
      </c>
      <c r="F7897" t="s">
        <v>30052</v>
      </c>
      <c r="G7897" t="s">
        <v>30058</v>
      </c>
      <c r="H7897" t="s">
        <v>15498</v>
      </c>
      <c r="I7897" t="s">
        <v>3736</v>
      </c>
      <c r="J7897" t="s">
        <v>35037</v>
      </c>
      <c r="K7897" t="s">
        <v>39039</v>
      </c>
      <c r="M7897" t="s">
        <v>41930</v>
      </c>
      <c r="N7897" t="s">
        <v>43166</v>
      </c>
      <c r="O7897" t="s">
        <v>43167</v>
      </c>
      <c r="P7897">
        <v>0</v>
      </c>
      <c r="Q7897">
        <v>0</v>
      </c>
      <c r="R7897" t="s">
        <v>43174</v>
      </c>
      <c r="S7897" t="s">
        <v>43396</v>
      </c>
      <c r="T7897" t="s">
        <v>44780</v>
      </c>
      <c r="U7897" t="s">
        <v>51587</v>
      </c>
      <c r="W7897" t="s">
        <v>41930</v>
      </c>
      <c r="X7897" t="s">
        <v>43178</v>
      </c>
    </row>
    <row r="7898" spans="1:24">
      <c r="A7898">
        <f>HYPERLINK("https://www.philgeps.gov.ph/GEPSNONPILOT/Tender/SplashBidNoticeAbstractUI.aspx?menuIndex=3&amp;refID=7071094&amp;Result=3","7071094")</f>
        <v>0</v>
      </c>
      <c r="B7898" t="s">
        <v>576</v>
      </c>
      <c r="C7898" t="s">
        <v>10927</v>
      </c>
      <c r="D7898" t="s">
        <v>17484</v>
      </c>
      <c r="E7898" t="s">
        <v>24304</v>
      </c>
      <c r="F7898" t="s">
        <v>30052</v>
      </c>
      <c r="G7898" t="s">
        <v>30058</v>
      </c>
      <c r="H7898" t="s">
        <v>30067</v>
      </c>
      <c r="I7898" t="s">
        <v>3693</v>
      </c>
      <c r="J7898" t="s">
        <v>32481</v>
      </c>
      <c r="K7898" t="s">
        <v>39031</v>
      </c>
      <c r="M7898" t="s">
        <v>39878</v>
      </c>
      <c r="N7898" t="s">
        <v>43166</v>
      </c>
      <c r="O7898" t="s">
        <v>43167</v>
      </c>
      <c r="P7898">
        <v>0</v>
      </c>
      <c r="Q7898">
        <v>0</v>
      </c>
      <c r="R7898" t="s">
        <v>43174</v>
      </c>
      <c r="S7898" t="s">
        <v>43396</v>
      </c>
      <c r="T7898" t="s">
        <v>44873</v>
      </c>
      <c r="U7898" t="s">
        <v>51562</v>
      </c>
      <c r="V7898" t="s">
        <v>57665</v>
      </c>
      <c r="W7898" t="s">
        <v>39878</v>
      </c>
      <c r="X7898" t="s">
        <v>43178</v>
      </c>
    </row>
    <row r="7899" spans="1:24">
      <c r="A7899">
        <f>HYPERLINK("https://www.philgeps.gov.ph/GEPSNONPILOT/Tender/SplashBidNoticeAbstractUI.aspx?menuIndex=3&amp;refID=7072159&amp;Result=3","7072159")</f>
        <v>0</v>
      </c>
      <c r="B7899" t="s">
        <v>2433</v>
      </c>
      <c r="C7899" t="s">
        <v>10928</v>
      </c>
      <c r="D7899" t="s">
        <v>17435</v>
      </c>
      <c r="E7899" t="s">
        <v>24305</v>
      </c>
      <c r="F7899" t="s">
        <v>30052</v>
      </c>
      <c r="G7899" t="s">
        <v>30058</v>
      </c>
      <c r="H7899" t="s">
        <v>30067</v>
      </c>
      <c r="I7899" t="s">
        <v>3693</v>
      </c>
      <c r="J7899" t="s">
        <v>35038</v>
      </c>
      <c r="K7899" t="s">
        <v>39023</v>
      </c>
      <c r="M7899" t="s">
        <v>41931</v>
      </c>
      <c r="N7899" t="s">
        <v>43166</v>
      </c>
      <c r="O7899" t="s">
        <v>43167</v>
      </c>
      <c r="P7899">
        <v>0</v>
      </c>
      <c r="Q7899">
        <v>0</v>
      </c>
      <c r="R7899" t="s">
        <v>43174</v>
      </c>
      <c r="S7899" t="s">
        <v>43396</v>
      </c>
      <c r="T7899" t="s">
        <v>45049</v>
      </c>
      <c r="U7899" t="s">
        <v>51588</v>
      </c>
      <c r="W7899" t="s">
        <v>41931</v>
      </c>
      <c r="X7899" t="s">
        <v>43178</v>
      </c>
    </row>
    <row r="7900" spans="1:24">
      <c r="A7900">
        <f>HYPERLINK("https://www.philgeps.gov.ph/GEPSNONPILOT/Tender/SplashBidNoticeAbstractUI.aspx?menuIndex=3&amp;refID=7072146&amp;Result=3","7072146")</f>
        <v>0</v>
      </c>
      <c r="B7900" t="s">
        <v>2433</v>
      </c>
      <c r="C7900" t="s">
        <v>3458</v>
      </c>
      <c r="D7900" t="s">
        <v>17435</v>
      </c>
      <c r="E7900" t="s">
        <v>24306</v>
      </c>
      <c r="F7900" t="s">
        <v>30052</v>
      </c>
      <c r="G7900" t="s">
        <v>30058</v>
      </c>
      <c r="H7900" t="s">
        <v>15498</v>
      </c>
      <c r="I7900" t="s">
        <v>4119</v>
      </c>
      <c r="J7900" t="s">
        <v>35039</v>
      </c>
      <c r="K7900" t="s">
        <v>39029</v>
      </c>
      <c r="M7900" t="s">
        <v>41931</v>
      </c>
      <c r="N7900" t="s">
        <v>43166</v>
      </c>
      <c r="O7900" t="s">
        <v>43167</v>
      </c>
      <c r="P7900">
        <v>0</v>
      </c>
      <c r="Q7900">
        <v>3</v>
      </c>
      <c r="R7900" t="s">
        <v>43174</v>
      </c>
      <c r="S7900" t="s">
        <v>43396</v>
      </c>
      <c r="T7900" t="s">
        <v>45049</v>
      </c>
      <c r="U7900" t="s">
        <v>51589</v>
      </c>
      <c r="W7900" t="s">
        <v>41931</v>
      </c>
      <c r="X7900" t="s">
        <v>43178</v>
      </c>
    </row>
    <row r="7901" spans="1:24">
      <c r="A7901">
        <f>HYPERLINK("https://www.philgeps.gov.ph/GEPSNONPILOT/Tender/SplashBidNoticeAbstractUI.aspx?menuIndex=3&amp;refID=7072041&amp;Result=3","7072041")</f>
        <v>0</v>
      </c>
      <c r="B7901" t="s">
        <v>2434</v>
      </c>
      <c r="C7901" t="s">
        <v>10929</v>
      </c>
      <c r="E7901" t="s">
        <v>18583</v>
      </c>
      <c r="F7901" t="s">
        <v>30052</v>
      </c>
      <c r="G7901" t="s">
        <v>30058</v>
      </c>
      <c r="H7901" t="s">
        <v>15498</v>
      </c>
      <c r="I7901" t="s">
        <v>30074</v>
      </c>
      <c r="J7901" t="s">
        <v>30209</v>
      </c>
      <c r="K7901" t="s">
        <v>39025</v>
      </c>
      <c r="M7901" t="s">
        <v>41932</v>
      </c>
      <c r="N7901" t="s">
        <v>43166</v>
      </c>
      <c r="O7901" t="s">
        <v>43167</v>
      </c>
      <c r="P7901">
        <v>0</v>
      </c>
      <c r="Q7901">
        <v>0</v>
      </c>
      <c r="R7901" t="s">
        <v>43174</v>
      </c>
      <c r="S7901" t="s">
        <v>43396</v>
      </c>
      <c r="T7901" t="s">
        <v>44856</v>
      </c>
      <c r="U7901" t="s">
        <v>51590</v>
      </c>
      <c r="W7901" t="s">
        <v>41932</v>
      </c>
      <c r="X7901" t="s">
        <v>43178</v>
      </c>
    </row>
    <row r="7902" spans="1:24">
      <c r="A7902">
        <f>HYPERLINK("https://www.philgeps.gov.ph/GEPSNONPILOT/Tender/SplashBidNoticeAbstractUI.aspx?menuIndex=3&amp;refID=7072371&amp;Result=3","7072371")</f>
        <v>0</v>
      </c>
      <c r="B7902" t="s">
        <v>2410</v>
      </c>
      <c r="C7902" t="s">
        <v>10930</v>
      </c>
      <c r="D7902" t="s">
        <v>17470</v>
      </c>
      <c r="E7902" t="s">
        <v>24307</v>
      </c>
      <c r="F7902" t="s">
        <v>30052</v>
      </c>
      <c r="G7902" t="s">
        <v>30058</v>
      </c>
      <c r="H7902" t="s">
        <v>15498</v>
      </c>
      <c r="I7902" t="s">
        <v>30094</v>
      </c>
      <c r="J7902" t="s">
        <v>30323</v>
      </c>
      <c r="K7902" t="s">
        <v>39029</v>
      </c>
      <c r="M7902" t="s">
        <v>41907</v>
      </c>
      <c r="N7902" t="s">
        <v>43166</v>
      </c>
      <c r="O7902" t="s">
        <v>43167</v>
      </c>
      <c r="P7902">
        <v>0</v>
      </c>
      <c r="Q7902">
        <v>0</v>
      </c>
      <c r="R7902" t="s">
        <v>43174</v>
      </c>
      <c r="S7902" t="s">
        <v>43396</v>
      </c>
      <c r="T7902" t="s">
        <v>44758</v>
      </c>
      <c r="U7902" t="s">
        <v>51591</v>
      </c>
      <c r="W7902" t="s">
        <v>41907</v>
      </c>
      <c r="X7902" t="s">
        <v>43177</v>
      </c>
    </row>
    <row r="7903" spans="1:24">
      <c r="A7903">
        <f>HYPERLINK("https://www.philgeps.gov.ph/GEPSNONPILOT/Tender/SplashBidNoticeAbstractUI.aspx?menuIndex=3&amp;refID=7071925&amp;Result=3","7071925")</f>
        <v>0</v>
      </c>
      <c r="B7903" t="s">
        <v>2430</v>
      </c>
      <c r="C7903" t="s">
        <v>10931</v>
      </c>
      <c r="D7903" t="s">
        <v>17415</v>
      </c>
      <c r="E7903" t="s">
        <v>22731</v>
      </c>
      <c r="F7903" t="s">
        <v>30052</v>
      </c>
      <c r="G7903" t="s">
        <v>30058</v>
      </c>
      <c r="H7903" t="s">
        <v>15498</v>
      </c>
      <c r="I7903" t="s">
        <v>30084</v>
      </c>
      <c r="J7903" t="s">
        <v>32334</v>
      </c>
      <c r="K7903" t="s">
        <v>39023</v>
      </c>
      <c r="M7903" t="s">
        <v>41927</v>
      </c>
      <c r="N7903" t="s">
        <v>43166</v>
      </c>
      <c r="O7903" t="s">
        <v>43167</v>
      </c>
      <c r="P7903">
        <v>0</v>
      </c>
      <c r="Q7903">
        <v>16</v>
      </c>
      <c r="R7903" t="s">
        <v>43174</v>
      </c>
      <c r="S7903" t="s">
        <v>43396</v>
      </c>
      <c r="T7903" t="s">
        <v>44758</v>
      </c>
      <c r="U7903" t="s">
        <v>51592</v>
      </c>
      <c r="W7903" t="s">
        <v>41927</v>
      </c>
      <c r="X7903" t="s">
        <v>43178</v>
      </c>
    </row>
    <row r="7904" spans="1:24">
      <c r="A7904">
        <f>HYPERLINK("https://www.philgeps.gov.ph/GEPSNONPILOT/Tender/SplashBidNoticeAbstractUI.aspx?menuIndex=3&amp;refID=7071941&amp;Result=3","7071941")</f>
        <v>0</v>
      </c>
      <c r="B7904" t="s">
        <v>2435</v>
      </c>
      <c r="C7904" t="s">
        <v>10932</v>
      </c>
      <c r="D7904" t="s">
        <v>17462</v>
      </c>
      <c r="E7904" t="s">
        <v>24308</v>
      </c>
      <c r="F7904" t="s">
        <v>30052</v>
      </c>
      <c r="G7904" t="s">
        <v>30058</v>
      </c>
      <c r="H7904" t="s">
        <v>15498</v>
      </c>
      <c r="I7904" t="s">
        <v>4650</v>
      </c>
      <c r="J7904" t="s">
        <v>35040</v>
      </c>
      <c r="K7904" t="s">
        <v>39019</v>
      </c>
      <c r="M7904" t="s">
        <v>41933</v>
      </c>
      <c r="N7904" t="s">
        <v>43166</v>
      </c>
      <c r="O7904" t="s">
        <v>43167</v>
      </c>
      <c r="P7904">
        <v>0</v>
      </c>
      <c r="Q7904">
        <v>11</v>
      </c>
      <c r="R7904" t="s">
        <v>43174</v>
      </c>
      <c r="S7904" t="s">
        <v>43396</v>
      </c>
      <c r="T7904" t="s">
        <v>44807</v>
      </c>
      <c r="U7904" t="s">
        <v>51593</v>
      </c>
      <c r="V7904" t="s">
        <v>57666</v>
      </c>
      <c r="W7904" t="s">
        <v>41933</v>
      </c>
      <c r="X7904" t="s">
        <v>43178</v>
      </c>
    </row>
    <row r="7905" spans="1:24">
      <c r="A7905">
        <f>HYPERLINK("https://www.philgeps.gov.ph/GEPSNONPILOT/Tender/SplashBidNoticeAbstractUI.aspx?menuIndex=3&amp;refID=7071846&amp;Result=3","7071846")</f>
        <v>0</v>
      </c>
      <c r="B7905" t="s">
        <v>2436</v>
      </c>
      <c r="C7905" t="s">
        <v>10933</v>
      </c>
      <c r="D7905" t="s">
        <v>17446</v>
      </c>
      <c r="E7905" t="s">
        <v>24309</v>
      </c>
      <c r="F7905" t="s">
        <v>30052</v>
      </c>
      <c r="G7905" t="s">
        <v>30059</v>
      </c>
      <c r="H7905" t="s">
        <v>15498</v>
      </c>
      <c r="I7905" t="s">
        <v>7228</v>
      </c>
      <c r="J7905" t="s">
        <v>35041</v>
      </c>
      <c r="K7905" t="s">
        <v>39039</v>
      </c>
      <c r="M7905" t="s">
        <v>41934</v>
      </c>
      <c r="N7905" t="s">
        <v>43166</v>
      </c>
      <c r="O7905" t="s">
        <v>43167</v>
      </c>
      <c r="P7905">
        <v>0</v>
      </c>
      <c r="Q7905">
        <v>0</v>
      </c>
      <c r="R7905" t="s">
        <v>43174</v>
      </c>
      <c r="S7905" t="s">
        <v>43396</v>
      </c>
      <c r="T7905" t="s">
        <v>44843</v>
      </c>
      <c r="U7905" t="s">
        <v>51594</v>
      </c>
      <c r="W7905" t="s">
        <v>41934</v>
      </c>
      <c r="X7905" t="s">
        <v>43178</v>
      </c>
    </row>
    <row r="7906" spans="1:24">
      <c r="A7906">
        <f>HYPERLINK("https://www.philgeps.gov.ph/GEPSNONPILOT/Tender/SplashBidNoticeAbstractUI.aspx?menuIndex=3&amp;refID=7071793&amp;Result=3","7071793")</f>
        <v>0</v>
      </c>
      <c r="B7906" t="s">
        <v>2437</v>
      </c>
      <c r="C7906" t="s">
        <v>9452</v>
      </c>
      <c r="D7906" t="s">
        <v>17494</v>
      </c>
      <c r="E7906" t="s">
        <v>17673</v>
      </c>
      <c r="F7906" t="s">
        <v>30052</v>
      </c>
      <c r="G7906" t="s">
        <v>30058</v>
      </c>
      <c r="H7906" t="s">
        <v>30067</v>
      </c>
      <c r="I7906" t="s">
        <v>3736</v>
      </c>
      <c r="J7906" t="s">
        <v>35042</v>
      </c>
      <c r="K7906" t="s">
        <v>39025</v>
      </c>
      <c r="M7906" t="s">
        <v>41935</v>
      </c>
      <c r="N7906" t="s">
        <v>43166</v>
      </c>
      <c r="O7906" t="s">
        <v>43167</v>
      </c>
      <c r="P7906">
        <v>0</v>
      </c>
      <c r="Q7906">
        <v>0</v>
      </c>
      <c r="R7906" t="s">
        <v>43174</v>
      </c>
      <c r="S7906" t="s">
        <v>43396</v>
      </c>
      <c r="T7906" t="s">
        <v>44806</v>
      </c>
      <c r="U7906" t="s">
        <v>51595</v>
      </c>
      <c r="W7906" t="s">
        <v>41935</v>
      </c>
      <c r="X7906" t="s">
        <v>43178</v>
      </c>
    </row>
    <row r="7907" spans="1:24">
      <c r="A7907">
        <f>HYPERLINK("https://www.philgeps.gov.ph/GEPSNONPILOT/Tender/SplashBidNoticeAbstractUI.aspx?menuIndex=3&amp;refID=7071708&amp;Result=3","7071708")</f>
        <v>0</v>
      </c>
      <c r="B7907" t="s">
        <v>1000</v>
      </c>
      <c r="C7907" t="s">
        <v>10934</v>
      </c>
      <c r="D7907" t="s">
        <v>17422</v>
      </c>
      <c r="E7907" t="s">
        <v>24310</v>
      </c>
      <c r="F7907" t="s">
        <v>30052</v>
      </c>
      <c r="G7907" t="s">
        <v>30058</v>
      </c>
      <c r="H7907" t="s">
        <v>15498</v>
      </c>
      <c r="I7907" t="s">
        <v>30091</v>
      </c>
      <c r="J7907" t="s">
        <v>30207</v>
      </c>
      <c r="K7907" t="s">
        <v>39017</v>
      </c>
      <c r="M7907" t="s">
        <v>40505</v>
      </c>
      <c r="N7907" t="s">
        <v>43166</v>
      </c>
      <c r="O7907" t="s">
        <v>43167</v>
      </c>
      <c r="P7907">
        <v>0</v>
      </c>
      <c r="Q7907">
        <v>5</v>
      </c>
      <c r="R7907" t="s">
        <v>43174</v>
      </c>
      <c r="S7907" t="s">
        <v>43396</v>
      </c>
      <c r="T7907" t="s">
        <v>44724</v>
      </c>
      <c r="U7907" t="s">
        <v>51596</v>
      </c>
      <c r="V7907" t="s">
        <v>57200</v>
      </c>
      <c r="W7907" t="s">
        <v>40505</v>
      </c>
      <c r="X7907" t="s">
        <v>43178</v>
      </c>
    </row>
    <row r="7908" spans="1:24">
      <c r="A7908">
        <f>HYPERLINK("https://www.philgeps.gov.ph/GEPSNONPILOT/Tender/SplashBidNoticeAbstractUI.aspx?menuIndex=3&amp;refID=7071704&amp;Result=3","7071704")</f>
        <v>0</v>
      </c>
      <c r="B7908" t="s">
        <v>2438</v>
      </c>
      <c r="C7908" t="s">
        <v>10935</v>
      </c>
      <c r="D7908" t="s">
        <v>17415</v>
      </c>
      <c r="E7908" t="s">
        <v>24311</v>
      </c>
      <c r="F7908" t="s">
        <v>30052</v>
      </c>
      <c r="G7908" t="s">
        <v>30058</v>
      </c>
      <c r="H7908" t="s">
        <v>15498</v>
      </c>
      <c r="I7908" t="s">
        <v>30074</v>
      </c>
      <c r="J7908" t="s">
        <v>32173</v>
      </c>
      <c r="K7908" t="s">
        <v>39046</v>
      </c>
      <c r="M7908" t="s">
        <v>41936</v>
      </c>
      <c r="N7908" t="s">
        <v>43166</v>
      </c>
      <c r="O7908" t="s">
        <v>43167</v>
      </c>
      <c r="P7908">
        <v>0</v>
      </c>
      <c r="Q7908">
        <v>8</v>
      </c>
      <c r="R7908" t="s">
        <v>43174</v>
      </c>
      <c r="S7908" t="s">
        <v>43396</v>
      </c>
      <c r="T7908" t="s">
        <v>44725</v>
      </c>
      <c r="U7908" t="s">
        <v>51597</v>
      </c>
      <c r="W7908" t="s">
        <v>41936</v>
      </c>
      <c r="X7908" t="s">
        <v>43178</v>
      </c>
    </row>
    <row r="7909" spans="1:24">
      <c r="A7909">
        <f>HYPERLINK("https://www.philgeps.gov.ph/GEPSNONPILOT/Tender/SplashBidNoticeAbstractUI.aspx?menuIndex=3&amp;refID=7071695&amp;Result=3","7071695")</f>
        <v>0</v>
      </c>
      <c r="B7909" t="s">
        <v>2098</v>
      </c>
      <c r="C7909" t="s">
        <v>10936</v>
      </c>
      <c r="D7909" t="s">
        <v>17414</v>
      </c>
      <c r="E7909" t="s">
        <v>24312</v>
      </c>
      <c r="F7909" t="s">
        <v>30052</v>
      </c>
      <c r="G7909" t="s">
        <v>30058</v>
      </c>
      <c r="H7909" t="s">
        <v>30067</v>
      </c>
      <c r="I7909" t="s">
        <v>3693</v>
      </c>
      <c r="J7909" t="s">
        <v>35043</v>
      </c>
      <c r="K7909" t="s">
        <v>39024</v>
      </c>
      <c r="M7909" t="s">
        <v>41560</v>
      </c>
      <c r="N7909" t="s">
        <v>43166</v>
      </c>
      <c r="O7909" t="s">
        <v>43167</v>
      </c>
      <c r="P7909">
        <v>0</v>
      </c>
      <c r="Q7909">
        <v>2</v>
      </c>
      <c r="R7909" t="s">
        <v>43174</v>
      </c>
      <c r="S7909" t="s">
        <v>43396</v>
      </c>
      <c r="T7909" t="s">
        <v>44789</v>
      </c>
      <c r="U7909" t="s">
        <v>51598</v>
      </c>
      <c r="W7909" t="s">
        <v>41560</v>
      </c>
      <c r="X7909" t="s">
        <v>43178</v>
      </c>
    </row>
    <row r="7910" spans="1:24">
      <c r="A7910">
        <f>HYPERLINK("https://www.philgeps.gov.ph/GEPSNONPILOT/Tender/SplashBidNoticeAbstractUI.aspx?menuIndex=3&amp;refID=7071628&amp;Result=3","7071628")</f>
        <v>0</v>
      </c>
      <c r="B7910" t="s">
        <v>2098</v>
      </c>
      <c r="C7910" t="s">
        <v>10937</v>
      </c>
      <c r="D7910" t="s">
        <v>17414</v>
      </c>
      <c r="E7910" t="s">
        <v>24313</v>
      </c>
      <c r="F7910" t="s">
        <v>30052</v>
      </c>
      <c r="G7910" t="s">
        <v>30058</v>
      </c>
      <c r="H7910" t="s">
        <v>30067</v>
      </c>
      <c r="I7910" t="s">
        <v>3693</v>
      </c>
      <c r="J7910" t="s">
        <v>33637</v>
      </c>
      <c r="K7910" t="s">
        <v>39026</v>
      </c>
      <c r="M7910" t="s">
        <v>41560</v>
      </c>
      <c r="N7910" t="s">
        <v>43166</v>
      </c>
      <c r="O7910" t="s">
        <v>43167</v>
      </c>
      <c r="P7910">
        <v>0</v>
      </c>
      <c r="Q7910">
        <v>0</v>
      </c>
      <c r="R7910" t="s">
        <v>43174</v>
      </c>
      <c r="S7910" t="s">
        <v>43396</v>
      </c>
      <c r="T7910" t="s">
        <v>44789</v>
      </c>
      <c r="U7910" t="s">
        <v>51599</v>
      </c>
      <c r="W7910" t="s">
        <v>41560</v>
      </c>
      <c r="X7910" t="s">
        <v>43178</v>
      </c>
    </row>
    <row r="7911" spans="1:24">
      <c r="A7911">
        <f>HYPERLINK("https://www.philgeps.gov.ph/GEPSNONPILOT/Tender/SplashBidNoticeAbstractUI.aspx?menuIndex=3&amp;refID=7072148&amp;Result=3","7072148")</f>
        <v>0</v>
      </c>
      <c r="B7911" t="s">
        <v>2433</v>
      </c>
      <c r="C7911" t="s">
        <v>10938</v>
      </c>
      <c r="D7911" t="s">
        <v>17435</v>
      </c>
      <c r="E7911" t="s">
        <v>24314</v>
      </c>
      <c r="F7911" t="s">
        <v>30052</v>
      </c>
      <c r="G7911" t="s">
        <v>30058</v>
      </c>
      <c r="H7911" t="s">
        <v>15498</v>
      </c>
      <c r="I7911" t="s">
        <v>30074</v>
      </c>
      <c r="J7911" t="s">
        <v>30281</v>
      </c>
      <c r="K7911" t="s">
        <v>39029</v>
      </c>
      <c r="M7911" t="s">
        <v>41931</v>
      </c>
      <c r="N7911" t="s">
        <v>43166</v>
      </c>
      <c r="O7911" t="s">
        <v>43167</v>
      </c>
      <c r="P7911">
        <v>0</v>
      </c>
      <c r="Q7911">
        <v>5</v>
      </c>
      <c r="R7911" t="s">
        <v>43174</v>
      </c>
      <c r="S7911" t="s">
        <v>43396</v>
      </c>
      <c r="T7911" t="s">
        <v>45049</v>
      </c>
      <c r="U7911" t="s">
        <v>51589</v>
      </c>
      <c r="W7911" t="s">
        <v>41931</v>
      </c>
      <c r="X7911" t="s">
        <v>43178</v>
      </c>
    </row>
    <row r="7912" spans="1:24">
      <c r="A7912">
        <f>HYPERLINK("https://www.philgeps.gov.ph/GEPSNONPILOT/Tender/SplashBidNoticeAbstractUI.aspx?menuIndex=3&amp;refID=7071289&amp;Result=3","7071289")</f>
        <v>0</v>
      </c>
      <c r="B7912" t="s">
        <v>287</v>
      </c>
      <c r="C7912" t="s">
        <v>10939</v>
      </c>
      <c r="D7912" t="s">
        <v>17438</v>
      </c>
      <c r="E7912" t="s">
        <v>24315</v>
      </c>
      <c r="F7912" t="s">
        <v>30052</v>
      </c>
      <c r="G7912" t="s">
        <v>30058</v>
      </c>
      <c r="H7912" t="s">
        <v>15498</v>
      </c>
      <c r="I7912" t="s">
        <v>30073</v>
      </c>
      <c r="J7912" t="s">
        <v>31456</v>
      </c>
      <c r="K7912" t="s">
        <v>39034</v>
      </c>
      <c r="M7912" t="s">
        <v>39582</v>
      </c>
      <c r="N7912" t="s">
        <v>43166</v>
      </c>
      <c r="O7912" t="s">
        <v>43167</v>
      </c>
      <c r="P7912">
        <v>0</v>
      </c>
      <c r="Q7912">
        <v>0</v>
      </c>
      <c r="R7912" t="s">
        <v>43174</v>
      </c>
      <c r="S7912" t="s">
        <v>43396</v>
      </c>
      <c r="T7912" t="s">
        <v>44777</v>
      </c>
      <c r="U7912" t="s">
        <v>51580</v>
      </c>
      <c r="W7912" t="s">
        <v>39582</v>
      </c>
      <c r="X7912" t="s">
        <v>43178</v>
      </c>
    </row>
    <row r="7913" spans="1:24">
      <c r="A7913">
        <f>HYPERLINK("https://www.philgeps.gov.ph/GEPSNONPILOT/Tender/SplashBidNoticeAbstractUI.aspx?menuIndex=3&amp;refID=7072153&amp;Result=3","7072153")</f>
        <v>0</v>
      </c>
      <c r="B7913" t="s">
        <v>2433</v>
      </c>
      <c r="C7913" t="s">
        <v>10940</v>
      </c>
      <c r="D7913" t="s">
        <v>17435</v>
      </c>
      <c r="E7913" t="s">
        <v>24316</v>
      </c>
      <c r="F7913" t="s">
        <v>30052</v>
      </c>
      <c r="G7913" t="s">
        <v>30058</v>
      </c>
      <c r="H7913" t="s">
        <v>30067</v>
      </c>
      <c r="I7913" t="s">
        <v>3693</v>
      </c>
      <c r="J7913" t="s">
        <v>35044</v>
      </c>
      <c r="K7913" t="s">
        <v>39054</v>
      </c>
      <c r="M7913" t="s">
        <v>41931</v>
      </c>
      <c r="N7913" t="s">
        <v>43166</v>
      </c>
      <c r="O7913" t="s">
        <v>43167</v>
      </c>
      <c r="P7913">
        <v>0</v>
      </c>
      <c r="Q7913">
        <v>0</v>
      </c>
      <c r="R7913" t="s">
        <v>43174</v>
      </c>
      <c r="S7913" t="s">
        <v>43396</v>
      </c>
      <c r="T7913" t="s">
        <v>45049</v>
      </c>
      <c r="U7913" t="s">
        <v>51588</v>
      </c>
      <c r="W7913" t="s">
        <v>41931</v>
      </c>
      <c r="X7913" t="s">
        <v>43178</v>
      </c>
    </row>
    <row r="7914" spans="1:24">
      <c r="A7914">
        <f>HYPERLINK("https://www.philgeps.gov.ph/GEPSNONPILOT/Tender/SplashBidNoticeAbstractUI.aspx?menuIndex=3&amp;refID=7071268&amp;Result=3","7071268")</f>
        <v>0</v>
      </c>
      <c r="B7914" t="s">
        <v>287</v>
      </c>
      <c r="C7914" t="s">
        <v>10941</v>
      </c>
      <c r="D7914" t="s">
        <v>17438</v>
      </c>
      <c r="E7914" t="s">
        <v>24317</v>
      </c>
      <c r="F7914" t="s">
        <v>30052</v>
      </c>
      <c r="G7914" t="s">
        <v>30058</v>
      </c>
      <c r="H7914" t="s">
        <v>15498</v>
      </c>
      <c r="I7914" t="s">
        <v>3736</v>
      </c>
      <c r="J7914" t="s">
        <v>35045</v>
      </c>
      <c r="K7914" t="s">
        <v>39034</v>
      </c>
      <c r="M7914" t="s">
        <v>39582</v>
      </c>
      <c r="N7914" t="s">
        <v>43166</v>
      </c>
      <c r="O7914" t="s">
        <v>43167</v>
      </c>
      <c r="P7914">
        <v>0</v>
      </c>
      <c r="Q7914">
        <v>1</v>
      </c>
      <c r="R7914" t="s">
        <v>43174</v>
      </c>
      <c r="S7914" t="s">
        <v>43396</v>
      </c>
      <c r="T7914" t="s">
        <v>44777</v>
      </c>
      <c r="U7914" t="s">
        <v>51600</v>
      </c>
      <c r="W7914" t="s">
        <v>39582</v>
      </c>
      <c r="X7914" t="s">
        <v>43178</v>
      </c>
    </row>
    <row r="7915" spans="1:24">
      <c r="A7915">
        <f>HYPERLINK("https://www.philgeps.gov.ph/GEPSNONPILOT/Tender/SplashBidNoticeAbstractUI.aspx?menuIndex=3&amp;refID=7071265&amp;Result=3","7071265")</f>
        <v>0</v>
      </c>
      <c r="B7915" t="s">
        <v>1520</v>
      </c>
      <c r="C7915" t="s">
        <v>10942</v>
      </c>
      <c r="D7915" t="s">
        <v>17423</v>
      </c>
      <c r="E7915" t="s">
        <v>24318</v>
      </c>
      <c r="F7915" t="s">
        <v>30056</v>
      </c>
      <c r="G7915" t="s">
        <v>30058</v>
      </c>
      <c r="H7915" t="s">
        <v>30067</v>
      </c>
      <c r="I7915" t="s">
        <v>3693</v>
      </c>
      <c r="J7915" t="s">
        <v>35046</v>
      </c>
      <c r="K7915" t="s">
        <v>39046</v>
      </c>
      <c r="M7915" t="s">
        <v>40906</v>
      </c>
      <c r="N7915" t="s">
        <v>43166</v>
      </c>
      <c r="O7915" t="s">
        <v>43167</v>
      </c>
      <c r="P7915">
        <v>0</v>
      </c>
      <c r="Q7915">
        <v>0</v>
      </c>
      <c r="R7915" t="s">
        <v>43174</v>
      </c>
      <c r="S7915" t="s">
        <v>43396</v>
      </c>
      <c r="T7915" t="s">
        <v>44813</v>
      </c>
      <c r="U7915" t="s">
        <v>51601</v>
      </c>
      <c r="W7915" t="s">
        <v>40906</v>
      </c>
      <c r="X7915" t="s">
        <v>43178</v>
      </c>
    </row>
    <row r="7916" spans="1:24">
      <c r="A7916">
        <f>HYPERLINK("https://www.philgeps.gov.ph/GEPSNONPILOT/Tender/SplashBidNoticeAbstractUI.aspx?menuIndex=3&amp;refID=7071685&amp;Result=3","7071685")</f>
        <v>0</v>
      </c>
      <c r="B7916" t="s">
        <v>2098</v>
      </c>
      <c r="C7916" t="s">
        <v>10943</v>
      </c>
      <c r="D7916" t="s">
        <v>17414</v>
      </c>
      <c r="E7916" t="s">
        <v>24319</v>
      </c>
      <c r="F7916" t="s">
        <v>30052</v>
      </c>
      <c r="G7916" t="s">
        <v>30058</v>
      </c>
      <c r="H7916" t="s">
        <v>30067</v>
      </c>
      <c r="I7916" t="s">
        <v>3693</v>
      </c>
      <c r="J7916" t="s">
        <v>35047</v>
      </c>
      <c r="K7916" t="s">
        <v>39026</v>
      </c>
      <c r="M7916" t="s">
        <v>41560</v>
      </c>
      <c r="N7916" t="s">
        <v>43166</v>
      </c>
      <c r="O7916" t="s">
        <v>43167</v>
      </c>
      <c r="P7916">
        <v>0</v>
      </c>
      <c r="Q7916">
        <v>3</v>
      </c>
      <c r="R7916" t="s">
        <v>43174</v>
      </c>
      <c r="S7916" t="s">
        <v>43396</v>
      </c>
      <c r="T7916" t="s">
        <v>44789</v>
      </c>
      <c r="U7916" t="s">
        <v>51602</v>
      </c>
      <c r="W7916" t="s">
        <v>41560</v>
      </c>
      <c r="X7916" t="s">
        <v>43178</v>
      </c>
    </row>
    <row r="7917" spans="1:24">
      <c r="A7917">
        <f>HYPERLINK("https://www.philgeps.gov.ph/GEPSNONPILOT/Tender/SplashBidNoticeAbstractUI.aspx?menuIndex=3&amp;refID=7070418&amp;Result=3","7070418")</f>
        <v>0</v>
      </c>
      <c r="B7917" t="s">
        <v>2439</v>
      </c>
      <c r="C7917" t="s">
        <v>10944</v>
      </c>
      <c r="D7917" t="s">
        <v>17434</v>
      </c>
      <c r="E7917" t="s">
        <v>24320</v>
      </c>
      <c r="F7917" t="s">
        <v>30052</v>
      </c>
      <c r="G7917" t="s">
        <v>30058</v>
      </c>
      <c r="H7917" t="s">
        <v>30067</v>
      </c>
      <c r="I7917" t="s">
        <v>3693</v>
      </c>
      <c r="J7917" t="s">
        <v>35048</v>
      </c>
      <c r="K7917" t="s">
        <v>39062</v>
      </c>
      <c r="M7917" t="s">
        <v>41937</v>
      </c>
      <c r="N7917" t="s">
        <v>43166</v>
      </c>
      <c r="O7917" t="s">
        <v>43167</v>
      </c>
      <c r="P7917">
        <v>0</v>
      </c>
      <c r="Q7917">
        <v>2</v>
      </c>
      <c r="R7917" t="s">
        <v>43174</v>
      </c>
      <c r="S7917" t="s">
        <v>43396</v>
      </c>
      <c r="T7917" t="s">
        <v>45049</v>
      </c>
      <c r="U7917" t="s">
        <v>51603</v>
      </c>
      <c r="W7917" t="s">
        <v>41937</v>
      </c>
      <c r="X7917" t="s">
        <v>43178</v>
      </c>
    </row>
    <row r="7918" spans="1:24">
      <c r="A7918">
        <f>HYPERLINK("https://www.philgeps.gov.ph/GEPSNONPILOT/Tender/SplashBidNoticeAbstractUI.aspx?menuIndex=3&amp;refID=7070402&amp;Result=3","7070402")</f>
        <v>0</v>
      </c>
      <c r="B7918" t="s">
        <v>2439</v>
      </c>
      <c r="C7918" t="s">
        <v>10945</v>
      </c>
      <c r="D7918" t="s">
        <v>17434</v>
      </c>
      <c r="E7918" t="s">
        <v>24321</v>
      </c>
      <c r="F7918" t="s">
        <v>30052</v>
      </c>
      <c r="G7918" t="s">
        <v>30058</v>
      </c>
      <c r="H7918" t="s">
        <v>30067</v>
      </c>
      <c r="I7918" t="s">
        <v>3693</v>
      </c>
      <c r="J7918" t="s">
        <v>35049</v>
      </c>
      <c r="K7918" t="s">
        <v>39073</v>
      </c>
      <c r="M7918" t="s">
        <v>41937</v>
      </c>
      <c r="N7918" t="s">
        <v>43166</v>
      </c>
      <c r="O7918" t="s">
        <v>43167</v>
      </c>
      <c r="P7918">
        <v>0</v>
      </c>
      <c r="Q7918">
        <v>1</v>
      </c>
      <c r="R7918" t="s">
        <v>43174</v>
      </c>
      <c r="S7918" t="s">
        <v>43396</v>
      </c>
      <c r="T7918" t="s">
        <v>45049</v>
      </c>
      <c r="U7918" t="s">
        <v>51604</v>
      </c>
      <c r="W7918" t="s">
        <v>41937</v>
      </c>
      <c r="X7918" t="s">
        <v>43178</v>
      </c>
    </row>
    <row r="7919" spans="1:24">
      <c r="A7919">
        <f>HYPERLINK("https://www.philgeps.gov.ph/GEPSNONPILOT/Tender/SplashBidNoticeAbstractUI.aspx?menuIndex=3&amp;refID=7071658&amp;Result=3","7071658")</f>
        <v>0</v>
      </c>
      <c r="B7919" t="s">
        <v>2098</v>
      </c>
      <c r="C7919" t="s">
        <v>10946</v>
      </c>
      <c r="D7919" t="s">
        <v>17414</v>
      </c>
      <c r="E7919" t="s">
        <v>24322</v>
      </c>
      <c r="F7919" t="s">
        <v>30052</v>
      </c>
      <c r="G7919" t="s">
        <v>30058</v>
      </c>
      <c r="H7919" t="s">
        <v>30067</v>
      </c>
      <c r="I7919" t="s">
        <v>3693</v>
      </c>
      <c r="J7919" t="s">
        <v>35050</v>
      </c>
      <c r="K7919" t="s">
        <v>39026</v>
      </c>
      <c r="M7919" t="s">
        <v>41560</v>
      </c>
      <c r="N7919" t="s">
        <v>43166</v>
      </c>
      <c r="O7919" t="s">
        <v>43167</v>
      </c>
      <c r="P7919">
        <v>0</v>
      </c>
      <c r="Q7919">
        <v>0</v>
      </c>
      <c r="R7919" t="s">
        <v>43174</v>
      </c>
      <c r="S7919" t="s">
        <v>43396</v>
      </c>
      <c r="T7919" t="s">
        <v>44789</v>
      </c>
      <c r="U7919" t="s">
        <v>51605</v>
      </c>
      <c r="W7919" t="s">
        <v>41560</v>
      </c>
      <c r="X7919" t="s">
        <v>43178</v>
      </c>
    </row>
    <row r="7920" spans="1:24">
      <c r="A7920">
        <f>HYPERLINK("https://www.philgeps.gov.ph/GEPSNONPILOT/Tender/SplashBidNoticeAbstractUI.aspx?menuIndex=3&amp;refID=7071922&amp;Result=3","7071922")</f>
        <v>0</v>
      </c>
      <c r="B7920" t="s">
        <v>2435</v>
      </c>
      <c r="C7920" t="s">
        <v>10947</v>
      </c>
      <c r="D7920" t="s">
        <v>17462</v>
      </c>
      <c r="E7920" t="s">
        <v>24323</v>
      </c>
      <c r="F7920" t="s">
        <v>30052</v>
      </c>
      <c r="G7920" t="s">
        <v>30058</v>
      </c>
      <c r="H7920" t="s">
        <v>30067</v>
      </c>
      <c r="I7920" t="s">
        <v>3693</v>
      </c>
      <c r="J7920" t="s">
        <v>35051</v>
      </c>
      <c r="K7920" t="s">
        <v>39129</v>
      </c>
      <c r="M7920" t="s">
        <v>41933</v>
      </c>
      <c r="N7920" t="s">
        <v>43166</v>
      </c>
      <c r="O7920" t="s">
        <v>43167</v>
      </c>
      <c r="P7920">
        <v>0</v>
      </c>
      <c r="Q7920">
        <v>2</v>
      </c>
      <c r="R7920" t="s">
        <v>43174</v>
      </c>
      <c r="S7920" t="s">
        <v>43396</v>
      </c>
      <c r="T7920" t="s">
        <v>44758</v>
      </c>
      <c r="U7920" t="s">
        <v>51606</v>
      </c>
      <c r="V7920" t="s">
        <v>56824</v>
      </c>
      <c r="W7920" t="s">
        <v>41933</v>
      </c>
      <c r="X7920" t="s">
        <v>43178</v>
      </c>
    </row>
    <row r="7921" spans="1:24">
      <c r="A7921">
        <f>HYPERLINK("https://www.philgeps.gov.ph/GEPSNONPILOT/Tender/SplashBidNoticeAbstractUI.aspx?menuIndex=3&amp;refID=7070332&amp;Result=3","7070332")</f>
        <v>0</v>
      </c>
      <c r="B7921" t="s">
        <v>2129</v>
      </c>
      <c r="C7921" t="s">
        <v>10948</v>
      </c>
      <c r="D7921" t="s">
        <v>17442</v>
      </c>
      <c r="E7921" t="s">
        <v>24324</v>
      </c>
      <c r="F7921" t="s">
        <v>30052</v>
      </c>
      <c r="G7921" t="s">
        <v>30058</v>
      </c>
      <c r="H7921" t="s">
        <v>15498</v>
      </c>
      <c r="I7921" t="s">
        <v>30098</v>
      </c>
      <c r="J7921" t="s">
        <v>30488</v>
      </c>
      <c r="K7921" t="s">
        <v>39019</v>
      </c>
      <c r="M7921" t="s">
        <v>41938</v>
      </c>
      <c r="N7921" t="s">
        <v>43166</v>
      </c>
      <c r="O7921" t="s">
        <v>43167</v>
      </c>
      <c r="P7921">
        <v>0</v>
      </c>
      <c r="Q7921">
        <v>1</v>
      </c>
      <c r="R7921" t="s">
        <v>43174</v>
      </c>
      <c r="S7921" t="s">
        <v>43396</v>
      </c>
      <c r="T7921" t="s">
        <v>44685</v>
      </c>
      <c r="U7921" t="s">
        <v>51607</v>
      </c>
      <c r="V7921" t="s">
        <v>57528</v>
      </c>
      <c r="W7921" t="s">
        <v>41938</v>
      </c>
      <c r="X7921" t="s">
        <v>43178</v>
      </c>
    </row>
    <row r="7922" spans="1:24">
      <c r="A7922">
        <f>HYPERLINK("https://www.philgeps.gov.ph/GEPSNONPILOT/Tender/SplashBidNoticeAbstractUI.aspx?menuIndex=3&amp;refID=7071308&amp;Result=3","7071308")</f>
        <v>0</v>
      </c>
      <c r="B7922" t="s">
        <v>1520</v>
      </c>
      <c r="C7922" t="s">
        <v>10949</v>
      </c>
      <c r="D7922" t="s">
        <v>17423</v>
      </c>
      <c r="E7922" t="s">
        <v>24325</v>
      </c>
      <c r="F7922" t="s">
        <v>30056</v>
      </c>
      <c r="G7922" t="s">
        <v>30058</v>
      </c>
      <c r="H7922" t="s">
        <v>30067</v>
      </c>
      <c r="I7922" t="s">
        <v>3693</v>
      </c>
      <c r="J7922" t="s">
        <v>35052</v>
      </c>
      <c r="K7922" t="s">
        <v>39046</v>
      </c>
      <c r="M7922" t="s">
        <v>40906</v>
      </c>
      <c r="N7922" t="s">
        <v>43166</v>
      </c>
      <c r="O7922" t="s">
        <v>43167</v>
      </c>
      <c r="P7922">
        <v>0</v>
      </c>
      <c r="Q7922">
        <v>0</v>
      </c>
      <c r="R7922" t="s">
        <v>43174</v>
      </c>
      <c r="S7922" t="s">
        <v>43396</v>
      </c>
      <c r="T7922" t="s">
        <v>44716</v>
      </c>
      <c r="U7922" t="s">
        <v>51608</v>
      </c>
      <c r="W7922" t="s">
        <v>40906</v>
      </c>
      <c r="X7922" t="s">
        <v>43178</v>
      </c>
    </row>
    <row r="7923" spans="1:24">
      <c r="A7923">
        <f>HYPERLINK("https://www.philgeps.gov.ph/GEPSNONPILOT/Tender/SplashBidNoticeAbstractUI.aspx?menuIndex=3&amp;refID=7070326&amp;Result=3","7070326")</f>
        <v>0</v>
      </c>
      <c r="B7923" t="s">
        <v>2129</v>
      </c>
      <c r="C7923" t="s">
        <v>10950</v>
      </c>
      <c r="D7923" t="s">
        <v>17442</v>
      </c>
      <c r="E7923" t="s">
        <v>24326</v>
      </c>
      <c r="F7923" t="s">
        <v>30052</v>
      </c>
      <c r="G7923" t="s">
        <v>30058</v>
      </c>
      <c r="H7923" t="s">
        <v>15498</v>
      </c>
      <c r="I7923" t="s">
        <v>30120</v>
      </c>
      <c r="J7923" t="s">
        <v>35053</v>
      </c>
      <c r="K7923" t="s">
        <v>39034</v>
      </c>
      <c r="M7923" t="s">
        <v>41938</v>
      </c>
      <c r="N7923" t="s">
        <v>43166</v>
      </c>
      <c r="O7923" t="s">
        <v>43167</v>
      </c>
      <c r="P7923">
        <v>0</v>
      </c>
      <c r="Q7923">
        <v>3</v>
      </c>
      <c r="R7923" t="s">
        <v>43174</v>
      </c>
      <c r="S7923" t="s">
        <v>43396</v>
      </c>
      <c r="T7923" t="s">
        <v>44685</v>
      </c>
      <c r="U7923" t="s">
        <v>51609</v>
      </c>
      <c r="V7923" t="s">
        <v>57528</v>
      </c>
      <c r="W7923" t="s">
        <v>41938</v>
      </c>
      <c r="X7923" t="s">
        <v>43178</v>
      </c>
    </row>
    <row r="7924" spans="1:24">
      <c r="A7924">
        <f>HYPERLINK("https://www.philgeps.gov.ph/GEPSNONPILOT/Tender/SplashBidNoticeAbstractUI.aspx?menuIndex=3&amp;refID=7070022&amp;Result=3","7070022")</f>
        <v>0</v>
      </c>
      <c r="B7924" t="s">
        <v>2410</v>
      </c>
      <c r="C7924" t="s">
        <v>10951</v>
      </c>
      <c r="D7924" t="s">
        <v>17470</v>
      </c>
      <c r="E7924" t="s">
        <v>24327</v>
      </c>
      <c r="F7924" t="s">
        <v>30052</v>
      </c>
      <c r="G7924" t="s">
        <v>30058</v>
      </c>
      <c r="H7924" t="s">
        <v>15498</v>
      </c>
      <c r="I7924" t="s">
        <v>30081</v>
      </c>
      <c r="J7924" t="s">
        <v>35054</v>
      </c>
      <c r="K7924" t="s">
        <v>39029</v>
      </c>
      <c r="M7924" t="s">
        <v>41907</v>
      </c>
      <c r="N7924" t="s">
        <v>43166</v>
      </c>
      <c r="O7924" t="s">
        <v>43167</v>
      </c>
      <c r="P7924">
        <v>0</v>
      </c>
      <c r="Q7924">
        <v>0</v>
      </c>
      <c r="R7924" t="s">
        <v>43174</v>
      </c>
      <c r="S7924" t="s">
        <v>43396</v>
      </c>
      <c r="T7924" t="s">
        <v>44758</v>
      </c>
      <c r="U7924" t="s">
        <v>51610</v>
      </c>
      <c r="W7924" t="s">
        <v>41907</v>
      </c>
      <c r="X7924" t="s">
        <v>43179</v>
      </c>
    </row>
    <row r="7925" spans="1:24">
      <c r="A7925">
        <f>HYPERLINK("https://www.philgeps.gov.ph/GEPSNONPILOT/Tender/SplashBidNoticeAbstractUI.aspx?menuIndex=3&amp;refID=7072396&amp;Result=3","7072396")</f>
        <v>0</v>
      </c>
      <c r="B7925" t="s">
        <v>2410</v>
      </c>
      <c r="C7925" t="s">
        <v>10952</v>
      </c>
      <c r="D7925" t="s">
        <v>17470</v>
      </c>
      <c r="E7925" t="s">
        <v>24328</v>
      </c>
      <c r="F7925" t="s">
        <v>30052</v>
      </c>
      <c r="G7925" t="s">
        <v>30058</v>
      </c>
      <c r="H7925" t="s">
        <v>15498</v>
      </c>
      <c r="I7925" t="s">
        <v>30073</v>
      </c>
      <c r="J7925" t="s">
        <v>30633</v>
      </c>
      <c r="K7925" t="s">
        <v>39029</v>
      </c>
      <c r="M7925" t="s">
        <v>41907</v>
      </c>
      <c r="N7925" t="s">
        <v>43166</v>
      </c>
      <c r="O7925" t="s">
        <v>43167</v>
      </c>
      <c r="P7925">
        <v>0</v>
      </c>
      <c r="Q7925">
        <v>0</v>
      </c>
      <c r="R7925" t="s">
        <v>43174</v>
      </c>
      <c r="S7925" t="s">
        <v>43396</v>
      </c>
      <c r="T7925" t="s">
        <v>44758</v>
      </c>
      <c r="U7925" t="s">
        <v>51611</v>
      </c>
      <c r="W7925" t="s">
        <v>41907</v>
      </c>
      <c r="X7925" t="s">
        <v>43177</v>
      </c>
    </row>
    <row r="7926" spans="1:24">
      <c r="A7926">
        <f>HYPERLINK("https://www.philgeps.gov.ph/GEPSNONPILOT/Tender/SplashBidNoticeAbstractUI.aspx?menuIndex=3&amp;refID=7072388&amp;Result=3","7072388")</f>
        <v>0</v>
      </c>
      <c r="B7926" t="s">
        <v>1071</v>
      </c>
      <c r="C7926" t="s">
        <v>10953</v>
      </c>
      <c r="D7926" t="s">
        <v>17426</v>
      </c>
      <c r="E7926" t="s">
        <v>24329</v>
      </c>
      <c r="F7926" t="s">
        <v>30052</v>
      </c>
      <c r="G7926" t="s">
        <v>30058</v>
      </c>
      <c r="H7926" t="s">
        <v>15498</v>
      </c>
      <c r="I7926" t="s">
        <v>3736</v>
      </c>
      <c r="J7926" t="s">
        <v>35055</v>
      </c>
      <c r="K7926" t="s">
        <v>39019</v>
      </c>
      <c r="M7926" t="s">
        <v>40406</v>
      </c>
      <c r="N7926" t="s">
        <v>43166</v>
      </c>
      <c r="O7926" t="s">
        <v>43167</v>
      </c>
      <c r="P7926">
        <v>0</v>
      </c>
      <c r="Q7926">
        <v>0</v>
      </c>
      <c r="R7926" t="s">
        <v>43174</v>
      </c>
      <c r="S7926" t="s">
        <v>43396</v>
      </c>
      <c r="T7926" t="s">
        <v>44716</v>
      </c>
      <c r="U7926" t="s">
        <v>51612</v>
      </c>
      <c r="W7926" t="s">
        <v>40406</v>
      </c>
      <c r="X7926" t="s">
        <v>43177</v>
      </c>
    </row>
    <row r="7927" spans="1:24">
      <c r="A7927">
        <f>HYPERLINK("https://www.philgeps.gov.ph/GEPSNONPILOT/Tender/SplashBidNoticeAbstractUI.aspx?menuIndex=3&amp;refID=7072612&amp;Result=3","7072612")</f>
        <v>0</v>
      </c>
      <c r="B7927" t="s">
        <v>2410</v>
      </c>
      <c r="C7927" t="s">
        <v>10954</v>
      </c>
      <c r="D7927" t="s">
        <v>17470</v>
      </c>
      <c r="E7927" t="s">
        <v>24330</v>
      </c>
      <c r="F7927" t="s">
        <v>30052</v>
      </c>
      <c r="G7927" t="s">
        <v>30058</v>
      </c>
      <c r="H7927" t="s">
        <v>15498</v>
      </c>
      <c r="I7927" t="s">
        <v>30074</v>
      </c>
      <c r="J7927" t="s">
        <v>35056</v>
      </c>
      <c r="K7927" t="s">
        <v>39031</v>
      </c>
      <c r="M7927" t="s">
        <v>41907</v>
      </c>
      <c r="N7927" t="s">
        <v>43166</v>
      </c>
      <c r="O7927" t="s">
        <v>43167</v>
      </c>
      <c r="P7927">
        <v>0</v>
      </c>
      <c r="Q7927">
        <v>9</v>
      </c>
      <c r="R7927" t="s">
        <v>43174</v>
      </c>
      <c r="S7927" t="s">
        <v>43396</v>
      </c>
      <c r="T7927" t="s">
        <v>44758</v>
      </c>
      <c r="U7927" t="s">
        <v>51613</v>
      </c>
      <c r="W7927" t="s">
        <v>41907</v>
      </c>
      <c r="X7927" t="s">
        <v>43177</v>
      </c>
    </row>
    <row r="7928" spans="1:24">
      <c r="A7928">
        <f>HYPERLINK("https://www.philgeps.gov.ph/GEPSNONPILOT/Tender/SplashBidNoticeAbstractUI.aspx?menuIndex=3&amp;refID=7071264&amp;Result=3","7071264")</f>
        <v>0</v>
      </c>
      <c r="B7928" t="s">
        <v>2431</v>
      </c>
      <c r="C7928" t="s">
        <v>10955</v>
      </c>
      <c r="D7928" t="s">
        <v>17438</v>
      </c>
      <c r="E7928" t="s">
        <v>24331</v>
      </c>
      <c r="F7928" t="s">
        <v>30052</v>
      </c>
      <c r="G7928" t="s">
        <v>30058</v>
      </c>
      <c r="H7928" t="s">
        <v>30068</v>
      </c>
      <c r="I7928" t="s">
        <v>30068</v>
      </c>
      <c r="J7928" t="s">
        <v>35057</v>
      </c>
      <c r="K7928" t="s">
        <v>39023</v>
      </c>
      <c r="L7928" t="s">
        <v>2431</v>
      </c>
      <c r="M7928" t="s">
        <v>41928</v>
      </c>
      <c r="N7928" t="s">
        <v>43166</v>
      </c>
      <c r="O7928" t="s">
        <v>43167</v>
      </c>
      <c r="P7928">
        <v>0</v>
      </c>
      <c r="Q7928">
        <v>4</v>
      </c>
      <c r="R7928" t="s">
        <v>43174</v>
      </c>
      <c r="S7928" t="s">
        <v>43396</v>
      </c>
      <c r="T7928" t="s">
        <v>45041</v>
      </c>
      <c r="U7928" t="s">
        <v>51614</v>
      </c>
      <c r="W7928" t="s">
        <v>58675</v>
      </c>
      <c r="X7928" t="s">
        <v>43178</v>
      </c>
    </row>
    <row r="7929" spans="1:24">
      <c r="A7929">
        <f>HYPERLINK("https://www.philgeps.gov.ph/GEPSNONPILOT/Tender/SplashBidNoticeAbstractUI.aspx?menuIndex=3&amp;refID=7072580&amp;Result=3","7072580")</f>
        <v>0</v>
      </c>
      <c r="B7929" t="s">
        <v>2410</v>
      </c>
      <c r="C7929" t="s">
        <v>10956</v>
      </c>
      <c r="D7929" t="s">
        <v>17470</v>
      </c>
      <c r="E7929" t="s">
        <v>24332</v>
      </c>
      <c r="F7929" t="s">
        <v>30052</v>
      </c>
      <c r="G7929" t="s">
        <v>30058</v>
      </c>
      <c r="H7929" t="s">
        <v>15498</v>
      </c>
      <c r="I7929" t="s">
        <v>30092</v>
      </c>
      <c r="J7929" t="s">
        <v>35058</v>
      </c>
      <c r="K7929" t="s">
        <v>39026</v>
      </c>
      <c r="M7929" t="s">
        <v>41907</v>
      </c>
      <c r="N7929" t="s">
        <v>43166</v>
      </c>
      <c r="O7929" t="s">
        <v>43167</v>
      </c>
      <c r="P7929">
        <v>0</v>
      </c>
      <c r="Q7929">
        <v>1</v>
      </c>
      <c r="R7929" t="s">
        <v>43174</v>
      </c>
      <c r="S7929" t="s">
        <v>43396</v>
      </c>
      <c r="T7929" t="s">
        <v>44758</v>
      </c>
      <c r="U7929" t="s">
        <v>51615</v>
      </c>
      <c r="W7929" t="s">
        <v>41907</v>
      </c>
      <c r="X7929" t="s">
        <v>43177</v>
      </c>
    </row>
    <row r="7930" spans="1:24">
      <c r="A7930">
        <f>HYPERLINK("https://www.philgeps.gov.ph/GEPSNONPILOT/Tender/SplashBidNoticeAbstractUI.aspx?menuIndex=3&amp;refID=7072566&amp;Result=3","7072566")</f>
        <v>0</v>
      </c>
      <c r="B7930" t="s">
        <v>2410</v>
      </c>
      <c r="C7930" t="s">
        <v>10957</v>
      </c>
      <c r="D7930" t="s">
        <v>17470</v>
      </c>
      <c r="E7930" t="s">
        <v>24333</v>
      </c>
      <c r="F7930" t="s">
        <v>30052</v>
      </c>
      <c r="G7930" t="s">
        <v>30058</v>
      </c>
      <c r="H7930" t="s">
        <v>15498</v>
      </c>
      <c r="I7930" t="s">
        <v>30070</v>
      </c>
      <c r="J7930" t="s">
        <v>35059</v>
      </c>
      <c r="K7930" t="s">
        <v>39029</v>
      </c>
      <c r="M7930" t="s">
        <v>41907</v>
      </c>
      <c r="N7930" t="s">
        <v>43166</v>
      </c>
      <c r="O7930" t="s">
        <v>43167</v>
      </c>
      <c r="P7930">
        <v>0</v>
      </c>
      <c r="Q7930">
        <v>2</v>
      </c>
      <c r="R7930" t="s">
        <v>43174</v>
      </c>
      <c r="S7930" t="s">
        <v>43396</v>
      </c>
      <c r="T7930" t="s">
        <v>44758</v>
      </c>
      <c r="U7930" t="s">
        <v>51616</v>
      </c>
      <c r="W7930" t="s">
        <v>41907</v>
      </c>
      <c r="X7930" t="s">
        <v>43177</v>
      </c>
    </row>
    <row r="7931" spans="1:24">
      <c r="A7931">
        <f>HYPERLINK("https://www.philgeps.gov.ph/GEPSNONPILOT/Tender/SplashBidNoticeAbstractUI.aspx?menuIndex=3&amp;refID=7070376&amp;Result=3","7070376")</f>
        <v>0</v>
      </c>
      <c r="B7931" t="s">
        <v>2439</v>
      </c>
      <c r="C7931" t="s">
        <v>10958</v>
      </c>
      <c r="D7931" t="s">
        <v>17434</v>
      </c>
      <c r="E7931" t="s">
        <v>24334</v>
      </c>
      <c r="F7931" t="s">
        <v>30052</v>
      </c>
      <c r="G7931" t="s">
        <v>30058</v>
      </c>
      <c r="H7931" t="s">
        <v>15498</v>
      </c>
      <c r="I7931" t="s">
        <v>3852</v>
      </c>
      <c r="J7931" t="s">
        <v>30281</v>
      </c>
      <c r="K7931" t="s">
        <v>39034</v>
      </c>
      <c r="M7931" t="s">
        <v>41937</v>
      </c>
      <c r="N7931" t="s">
        <v>43166</v>
      </c>
      <c r="O7931" t="s">
        <v>43167</v>
      </c>
      <c r="P7931">
        <v>0</v>
      </c>
      <c r="Q7931">
        <v>0</v>
      </c>
      <c r="R7931" t="s">
        <v>43174</v>
      </c>
      <c r="S7931" t="s">
        <v>43396</v>
      </c>
      <c r="T7931" t="s">
        <v>45049</v>
      </c>
      <c r="U7931" t="s">
        <v>51617</v>
      </c>
      <c r="W7931" t="s">
        <v>41937</v>
      </c>
      <c r="X7931" t="s">
        <v>43178</v>
      </c>
    </row>
    <row r="7932" spans="1:24">
      <c r="A7932">
        <f>HYPERLINK("https://www.philgeps.gov.ph/GEPSNONPILOT/Tender/SplashBidNoticeAbstractUI.aspx?menuIndex=3&amp;refID=7072670&amp;Result=3","7072670")</f>
        <v>0</v>
      </c>
      <c r="B7932" t="s">
        <v>2440</v>
      </c>
      <c r="C7932" t="s">
        <v>10959</v>
      </c>
      <c r="D7932" t="s">
        <v>17444</v>
      </c>
      <c r="E7932" t="s">
        <v>24335</v>
      </c>
      <c r="F7932" t="s">
        <v>30052</v>
      </c>
      <c r="G7932" t="s">
        <v>30058</v>
      </c>
      <c r="H7932" t="s">
        <v>30067</v>
      </c>
      <c r="I7932" t="s">
        <v>3693</v>
      </c>
      <c r="J7932" t="s">
        <v>35060</v>
      </c>
      <c r="K7932" t="s">
        <v>39023</v>
      </c>
      <c r="M7932" t="s">
        <v>41939</v>
      </c>
      <c r="N7932" t="s">
        <v>43166</v>
      </c>
      <c r="O7932" t="s">
        <v>43167</v>
      </c>
      <c r="P7932">
        <v>0</v>
      </c>
      <c r="Q7932">
        <v>0</v>
      </c>
      <c r="R7932" t="s">
        <v>43174</v>
      </c>
      <c r="S7932" t="s">
        <v>43396</v>
      </c>
      <c r="T7932" t="s">
        <v>44832</v>
      </c>
      <c r="U7932" t="s">
        <v>51618</v>
      </c>
      <c r="W7932" t="s">
        <v>41939</v>
      </c>
      <c r="X7932" t="s">
        <v>43177</v>
      </c>
    </row>
    <row r="7933" spans="1:24">
      <c r="A7933">
        <f>HYPERLINK("https://www.philgeps.gov.ph/GEPSNONPILOT/Tender/SplashBidNoticeAbstractUI.aspx?menuIndex=3&amp;refID=7072666&amp;Result=3","7072666")</f>
        <v>0</v>
      </c>
      <c r="B7933" t="s">
        <v>2440</v>
      </c>
      <c r="C7933" t="s">
        <v>10960</v>
      </c>
      <c r="D7933" t="s">
        <v>17444</v>
      </c>
      <c r="E7933" t="s">
        <v>24336</v>
      </c>
      <c r="F7933" t="s">
        <v>30052</v>
      </c>
      <c r="G7933" t="s">
        <v>30058</v>
      </c>
      <c r="H7933" t="s">
        <v>30067</v>
      </c>
      <c r="I7933" t="s">
        <v>3693</v>
      </c>
      <c r="J7933" t="s">
        <v>35061</v>
      </c>
      <c r="K7933" t="s">
        <v>39031</v>
      </c>
      <c r="M7933" t="s">
        <v>41939</v>
      </c>
      <c r="N7933" t="s">
        <v>43166</v>
      </c>
      <c r="O7933" t="s">
        <v>43167</v>
      </c>
      <c r="P7933">
        <v>0</v>
      </c>
      <c r="Q7933">
        <v>0</v>
      </c>
      <c r="R7933" t="s">
        <v>43174</v>
      </c>
      <c r="S7933" t="s">
        <v>43396</v>
      </c>
      <c r="T7933" t="s">
        <v>44832</v>
      </c>
      <c r="U7933" t="s">
        <v>51619</v>
      </c>
      <c r="W7933" t="s">
        <v>41939</v>
      </c>
      <c r="X7933" t="s">
        <v>43177</v>
      </c>
    </row>
    <row r="7934" spans="1:24">
      <c r="A7934">
        <f>HYPERLINK("https://www.philgeps.gov.ph/GEPSNONPILOT/Tender/SplashBidNoticeAbstractUI.aspx?menuIndex=3&amp;refID=7070323&amp;Result=3","7070323")</f>
        <v>0</v>
      </c>
      <c r="B7934" t="s">
        <v>2129</v>
      </c>
      <c r="C7934" t="s">
        <v>10961</v>
      </c>
      <c r="D7934" t="s">
        <v>17442</v>
      </c>
      <c r="E7934" t="s">
        <v>24337</v>
      </c>
      <c r="F7934" t="s">
        <v>30052</v>
      </c>
      <c r="G7934" t="s">
        <v>30058</v>
      </c>
      <c r="H7934" t="s">
        <v>15498</v>
      </c>
      <c r="I7934" t="s">
        <v>30070</v>
      </c>
      <c r="J7934" t="s">
        <v>35062</v>
      </c>
      <c r="K7934" t="s">
        <v>39034</v>
      </c>
      <c r="M7934" t="s">
        <v>41938</v>
      </c>
      <c r="N7934" t="s">
        <v>43166</v>
      </c>
      <c r="O7934" t="s">
        <v>43167</v>
      </c>
      <c r="P7934">
        <v>0</v>
      </c>
      <c r="Q7934">
        <v>3</v>
      </c>
      <c r="R7934" t="s">
        <v>43174</v>
      </c>
      <c r="S7934" t="s">
        <v>43396</v>
      </c>
      <c r="T7934" t="s">
        <v>44685</v>
      </c>
      <c r="U7934" t="s">
        <v>51620</v>
      </c>
      <c r="V7934" t="s">
        <v>57528</v>
      </c>
      <c r="W7934" t="s">
        <v>41938</v>
      </c>
      <c r="X7934" t="s">
        <v>43178</v>
      </c>
    </row>
    <row r="7935" spans="1:24">
      <c r="A7935">
        <f>HYPERLINK("https://www.philgeps.gov.ph/GEPSNONPILOT/Tender/SplashBidNoticeAbstractUI.aspx?menuIndex=3&amp;refID=7072406&amp;Result=3","7072406")</f>
        <v>0</v>
      </c>
      <c r="B7935" t="s">
        <v>2410</v>
      </c>
      <c r="C7935" t="s">
        <v>10962</v>
      </c>
      <c r="D7935" t="s">
        <v>17470</v>
      </c>
      <c r="E7935" t="s">
        <v>24338</v>
      </c>
      <c r="F7935" t="s">
        <v>30052</v>
      </c>
      <c r="G7935" t="s">
        <v>30058</v>
      </c>
      <c r="H7935" t="s">
        <v>15498</v>
      </c>
      <c r="I7935" t="s">
        <v>30070</v>
      </c>
      <c r="J7935" t="s">
        <v>35063</v>
      </c>
      <c r="K7935" t="s">
        <v>39029</v>
      </c>
      <c r="M7935" t="s">
        <v>41907</v>
      </c>
      <c r="N7935" t="s">
        <v>43166</v>
      </c>
      <c r="O7935" t="s">
        <v>43167</v>
      </c>
      <c r="P7935">
        <v>0</v>
      </c>
      <c r="Q7935">
        <v>0</v>
      </c>
      <c r="R7935" t="s">
        <v>43174</v>
      </c>
      <c r="S7935" t="s">
        <v>43396</v>
      </c>
      <c r="T7935" t="s">
        <v>44758</v>
      </c>
      <c r="U7935" t="s">
        <v>51621</v>
      </c>
      <c r="W7935" t="s">
        <v>41907</v>
      </c>
      <c r="X7935" t="s">
        <v>43177</v>
      </c>
    </row>
    <row r="7936" spans="1:24">
      <c r="A7936">
        <f>HYPERLINK("https://www.philgeps.gov.ph/GEPSNONPILOT/Tender/SplashBidNoticeAbstractUI.aspx?menuIndex=3&amp;refID=7072623&amp;Result=3","7072623")</f>
        <v>0</v>
      </c>
      <c r="B7936" t="s">
        <v>2410</v>
      </c>
      <c r="C7936" t="s">
        <v>10963</v>
      </c>
      <c r="D7936" t="s">
        <v>17470</v>
      </c>
      <c r="E7936" t="s">
        <v>24339</v>
      </c>
      <c r="F7936" t="s">
        <v>30052</v>
      </c>
      <c r="G7936" t="s">
        <v>30058</v>
      </c>
      <c r="H7936" t="s">
        <v>15498</v>
      </c>
      <c r="I7936" t="s">
        <v>30070</v>
      </c>
      <c r="J7936" t="s">
        <v>35064</v>
      </c>
      <c r="K7936" t="s">
        <v>39029</v>
      </c>
      <c r="M7936" t="s">
        <v>41907</v>
      </c>
      <c r="N7936" t="s">
        <v>43166</v>
      </c>
      <c r="O7936" t="s">
        <v>43167</v>
      </c>
      <c r="P7936">
        <v>0</v>
      </c>
      <c r="Q7936">
        <v>3</v>
      </c>
      <c r="R7936" t="s">
        <v>43174</v>
      </c>
      <c r="S7936" t="s">
        <v>43396</v>
      </c>
      <c r="T7936" t="s">
        <v>44758</v>
      </c>
      <c r="U7936" t="s">
        <v>51622</v>
      </c>
      <c r="W7936" t="s">
        <v>41907</v>
      </c>
      <c r="X7936" t="s">
        <v>43177</v>
      </c>
    </row>
    <row r="7937" spans="1:24">
      <c r="A7937">
        <f>HYPERLINK("https://www.philgeps.gov.ph/GEPSNONPILOT/Tender/SplashBidNoticeAbstractUI.aspx?menuIndex=3&amp;refID=7072618&amp;Result=3","7072618")</f>
        <v>0</v>
      </c>
      <c r="B7937" t="s">
        <v>2410</v>
      </c>
      <c r="C7937" t="s">
        <v>10964</v>
      </c>
      <c r="D7937" t="s">
        <v>17470</v>
      </c>
      <c r="E7937" t="s">
        <v>24340</v>
      </c>
      <c r="F7937" t="s">
        <v>30052</v>
      </c>
      <c r="G7937" t="s">
        <v>30058</v>
      </c>
      <c r="H7937" t="s">
        <v>15498</v>
      </c>
      <c r="I7937" t="s">
        <v>9238</v>
      </c>
      <c r="J7937" t="s">
        <v>31110</v>
      </c>
      <c r="K7937" t="s">
        <v>39029</v>
      </c>
      <c r="M7937" t="s">
        <v>41907</v>
      </c>
      <c r="N7937" t="s">
        <v>43166</v>
      </c>
      <c r="O7937" t="s">
        <v>43167</v>
      </c>
      <c r="P7937">
        <v>0</v>
      </c>
      <c r="Q7937">
        <v>6</v>
      </c>
      <c r="R7937" t="s">
        <v>43174</v>
      </c>
      <c r="S7937" t="s">
        <v>43396</v>
      </c>
      <c r="T7937" t="s">
        <v>44758</v>
      </c>
      <c r="U7937" t="s">
        <v>51623</v>
      </c>
      <c r="W7937" t="s">
        <v>41907</v>
      </c>
      <c r="X7937" t="s">
        <v>43177</v>
      </c>
    </row>
    <row r="7938" spans="1:24">
      <c r="A7938">
        <f>HYPERLINK("https://www.philgeps.gov.ph/GEPSNONPILOT/Tender/SplashBidNoticeAbstractUI.aspx?menuIndex=3&amp;refID=7072562&amp;Result=3","7072562")</f>
        <v>0</v>
      </c>
      <c r="B7938" t="s">
        <v>2410</v>
      </c>
      <c r="C7938" t="s">
        <v>10965</v>
      </c>
      <c r="D7938" t="s">
        <v>17470</v>
      </c>
      <c r="E7938" t="s">
        <v>24341</v>
      </c>
      <c r="F7938" t="s">
        <v>30052</v>
      </c>
      <c r="G7938" t="s">
        <v>30058</v>
      </c>
      <c r="H7938" t="s">
        <v>15498</v>
      </c>
      <c r="I7938" t="s">
        <v>30081</v>
      </c>
      <c r="J7938" t="s">
        <v>35065</v>
      </c>
      <c r="K7938" t="s">
        <v>39029</v>
      </c>
      <c r="M7938" t="s">
        <v>41907</v>
      </c>
      <c r="N7938" t="s">
        <v>43166</v>
      </c>
      <c r="O7938" t="s">
        <v>43167</v>
      </c>
      <c r="P7938">
        <v>0</v>
      </c>
      <c r="Q7938">
        <v>0</v>
      </c>
      <c r="R7938" t="s">
        <v>43174</v>
      </c>
      <c r="S7938" t="s">
        <v>43396</v>
      </c>
      <c r="T7938" t="s">
        <v>44758</v>
      </c>
      <c r="U7938" t="s">
        <v>51624</v>
      </c>
      <c r="W7938" t="s">
        <v>41907</v>
      </c>
      <c r="X7938" t="s">
        <v>43177</v>
      </c>
    </row>
    <row r="7939" spans="1:24">
      <c r="A7939">
        <f>HYPERLINK("https://www.philgeps.gov.ph/GEPSNONPILOT/Tender/SplashBidNoticeAbstractUI.aspx?menuIndex=3&amp;refID=7072557&amp;Result=3","7072557")</f>
        <v>0</v>
      </c>
      <c r="B7939" t="s">
        <v>2410</v>
      </c>
      <c r="C7939" t="s">
        <v>10966</v>
      </c>
      <c r="D7939" t="s">
        <v>17470</v>
      </c>
      <c r="E7939" t="s">
        <v>24342</v>
      </c>
      <c r="F7939" t="s">
        <v>30052</v>
      </c>
      <c r="G7939" t="s">
        <v>30058</v>
      </c>
      <c r="H7939" t="s">
        <v>15498</v>
      </c>
      <c r="I7939" t="s">
        <v>4650</v>
      </c>
      <c r="J7939" t="s">
        <v>30350</v>
      </c>
      <c r="K7939" t="s">
        <v>39029</v>
      </c>
      <c r="M7939" t="s">
        <v>41907</v>
      </c>
      <c r="N7939" t="s">
        <v>43166</v>
      </c>
      <c r="O7939" t="s">
        <v>43167</v>
      </c>
      <c r="P7939">
        <v>0</v>
      </c>
      <c r="Q7939">
        <v>9</v>
      </c>
      <c r="R7939" t="s">
        <v>43174</v>
      </c>
      <c r="S7939" t="s">
        <v>43396</v>
      </c>
      <c r="T7939" t="s">
        <v>44758</v>
      </c>
      <c r="U7939" t="s">
        <v>51625</v>
      </c>
      <c r="W7939" t="s">
        <v>41907</v>
      </c>
      <c r="X7939" t="s">
        <v>43177</v>
      </c>
    </row>
    <row r="7940" spans="1:24">
      <c r="A7940">
        <f>HYPERLINK("https://www.philgeps.gov.ph/GEPSNONPILOT/Tender/SplashBidNoticeAbstractUI.aspx?menuIndex=3&amp;refID=7072521&amp;Result=3","7072521")</f>
        <v>0</v>
      </c>
      <c r="B7940" t="s">
        <v>2410</v>
      </c>
      <c r="C7940" t="s">
        <v>10967</v>
      </c>
      <c r="D7940" t="s">
        <v>17470</v>
      </c>
      <c r="E7940" t="s">
        <v>24343</v>
      </c>
      <c r="F7940" t="s">
        <v>30052</v>
      </c>
      <c r="G7940" t="s">
        <v>30058</v>
      </c>
      <c r="H7940" t="s">
        <v>15498</v>
      </c>
      <c r="I7940" t="s">
        <v>30070</v>
      </c>
      <c r="J7940" t="s">
        <v>35066</v>
      </c>
      <c r="K7940" t="s">
        <v>39029</v>
      </c>
      <c r="M7940" t="s">
        <v>41907</v>
      </c>
      <c r="N7940" t="s">
        <v>43166</v>
      </c>
      <c r="O7940" t="s">
        <v>43167</v>
      </c>
      <c r="P7940">
        <v>0</v>
      </c>
      <c r="Q7940">
        <v>1</v>
      </c>
      <c r="R7940" t="s">
        <v>43174</v>
      </c>
      <c r="S7940" t="s">
        <v>43396</v>
      </c>
      <c r="T7940" t="s">
        <v>44758</v>
      </c>
      <c r="U7940" t="s">
        <v>51626</v>
      </c>
      <c r="W7940" t="s">
        <v>41907</v>
      </c>
      <c r="X7940" t="s">
        <v>43177</v>
      </c>
    </row>
    <row r="7941" spans="1:24">
      <c r="A7941">
        <f>HYPERLINK("https://www.philgeps.gov.ph/GEPSNONPILOT/Tender/SplashBidNoticeAbstractUI.aspx?menuIndex=3&amp;refID=7072627&amp;Result=3","7072627")</f>
        <v>0</v>
      </c>
      <c r="B7941" t="s">
        <v>2410</v>
      </c>
      <c r="C7941" t="s">
        <v>10968</v>
      </c>
      <c r="D7941" t="s">
        <v>17470</v>
      </c>
      <c r="E7941" t="s">
        <v>24344</v>
      </c>
      <c r="F7941" t="s">
        <v>30052</v>
      </c>
      <c r="G7941" t="s">
        <v>30058</v>
      </c>
      <c r="H7941" t="s">
        <v>15498</v>
      </c>
      <c r="I7941" t="s">
        <v>3736</v>
      </c>
      <c r="J7941" t="s">
        <v>33399</v>
      </c>
      <c r="K7941" t="s">
        <v>39029</v>
      </c>
      <c r="M7941" t="s">
        <v>41907</v>
      </c>
      <c r="N7941" t="s">
        <v>43166</v>
      </c>
      <c r="O7941" t="s">
        <v>43167</v>
      </c>
      <c r="P7941">
        <v>0</v>
      </c>
      <c r="Q7941">
        <v>0</v>
      </c>
      <c r="R7941" t="s">
        <v>43174</v>
      </c>
      <c r="S7941" t="s">
        <v>43396</v>
      </c>
      <c r="T7941" t="s">
        <v>44758</v>
      </c>
      <c r="U7941" t="s">
        <v>51627</v>
      </c>
      <c r="W7941" t="s">
        <v>41907</v>
      </c>
      <c r="X7941" t="s">
        <v>43177</v>
      </c>
    </row>
    <row r="7942" spans="1:24">
      <c r="A7942">
        <f>HYPERLINK("https://www.philgeps.gov.ph/GEPSNONPILOT/Tender/SplashBidNoticeAbstractUI.aspx?menuIndex=3&amp;refID=7072585&amp;Result=3","7072585")</f>
        <v>0</v>
      </c>
      <c r="B7942" t="s">
        <v>2410</v>
      </c>
      <c r="C7942" t="s">
        <v>10969</v>
      </c>
      <c r="D7942" t="s">
        <v>17470</v>
      </c>
      <c r="E7942" t="s">
        <v>24345</v>
      </c>
      <c r="F7942" t="s">
        <v>30052</v>
      </c>
      <c r="G7942" t="s">
        <v>30058</v>
      </c>
      <c r="H7942" t="s">
        <v>15498</v>
      </c>
      <c r="I7942" t="s">
        <v>30070</v>
      </c>
      <c r="J7942" t="s">
        <v>35067</v>
      </c>
      <c r="K7942" t="s">
        <v>39029</v>
      </c>
      <c r="M7942" t="s">
        <v>41907</v>
      </c>
      <c r="N7942" t="s">
        <v>43166</v>
      </c>
      <c r="O7942" t="s">
        <v>43167</v>
      </c>
      <c r="P7942">
        <v>0</v>
      </c>
      <c r="Q7942">
        <v>2</v>
      </c>
      <c r="R7942" t="s">
        <v>43174</v>
      </c>
      <c r="S7942" t="s">
        <v>43396</v>
      </c>
      <c r="T7942" t="s">
        <v>44758</v>
      </c>
      <c r="U7942" t="s">
        <v>51628</v>
      </c>
      <c r="W7942" t="s">
        <v>41907</v>
      </c>
      <c r="X7942" t="s">
        <v>43177</v>
      </c>
    </row>
    <row r="7943" spans="1:24">
      <c r="A7943">
        <f>HYPERLINK("https://www.philgeps.gov.ph/GEPSNONPILOT/Tender/SplashBidNoticeAbstractUI.aspx?menuIndex=3&amp;refID=7072418&amp;Result=3","7072418")</f>
        <v>0</v>
      </c>
      <c r="B7943" t="s">
        <v>1071</v>
      </c>
      <c r="C7943" t="s">
        <v>10970</v>
      </c>
      <c r="D7943" t="s">
        <v>17426</v>
      </c>
      <c r="E7943" t="s">
        <v>24346</v>
      </c>
      <c r="F7943" t="s">
        <v>30052</v>
      </c>
      <c r="G7943" t="s">
        <v>30058</v>
      </c>
      <c r="H7943" t="s">
        <v>15498</v>
      </c>
      <c r="I7943" t="s">
        <v>30085</v>
      </c>
      <c r="J7943" t="s">
        <v>35068</v>
      </c>
      <c r="K7943" t="s">
        <v>39019</v>
      </c>
      <c r="M7943" t="s">
        <v>40406</v>
      </c>
      <c r="N7943" t="s">
        <v>43166</v>
      </c>
      <c r="O7943" t="s">
        <v>43167</v>
      </c>
      <c r="P7943">
        <v>0</v>
      </c>
      <c r="Q7943">
        <v>0</v>
      </c>
      <c r="R7943" t="s">
        <v>43174</v>
      </c>
      <c r="S7943" t="s">
        <v>43396</v>
      </c>
      <c r="T7943" t="s">
        <v>44716</v>
      </c>
      <c r="U7943" t="s">
        <v>51629</v>
      </c>
      <c r="W7943" t="s">
        <v>40406</v>
      </c>
      <c r="X7943" t="s">
        <v>43177</v>
      </c>
    </row>
    <row r="7944" spans="1:24">
      <c r="A7944">
        <f>HYPERLINK("https://www.philgeps.gov.ph/GEPSNONPILOT/Tender/SplashBidNoticeAbstractUI.aspx?menuIndex=3&amp;refID=7072515&amp;Result=3","7072515")</f>
        <v>0</v>
      </c>
      <c r="B7944" t="s">
        <v>2441</v>
      </c>
      <c r="C7944" t="s">
        <v>10971</v>
      </c>
      <c r="D7944" t="s">
        <v>17489</v>
      </c>
      <c r="E7944" t="s">
        <v>24347</v>
      </c>
      <c r="F7944" t="s">
        <v>30052</v>
      </c>
      <c r="G7944" t="s">
        <v>30058</v>
      </c>
      <c r="H7944" t="s">
        <v>15498</v>
      </c>
      <c r="I7944" t="s">
        <v>30168</v>
      </c>
      <c r="J7944" t="s">
        <v>30222</v>
      </c>
      <c r="K7944" t="s">
        <v>39029</v>
      </c>
      <c r="M7944" t="s">
        <v>41940</v>
      </c>
      <c r="N7944" t="s">
        <v>43166</v>
      </c>
      <c r="O7944" t="s">
        <v>43167</v>
      </c>
      <c r="P7944">
        <v>0</v>
      </c>
      <c r="Q7944">
        <v>8</v>
      </c>
      <c r="R7944" t="s">
        <v>43174</v>
      </c>
      <c r="S7944" t="s">
        <v>43396</v>
      </c>
      <c r="T7944" t="s">
        <v>44796</v>
      </c>
      <c r="U7944" t="s">
        <v>51630</v>
      </c>
      <c r="W7944" t="s">
        <v>41940</v>
      </c>
      <c r="X7944" t="s">
        <v>43177</v>
      </c>
    </row>
    <row r="7945" spans="1:24">
      <c r="A7945">
        <f>HYPERLINK("https://www.philgeps.gov.ph/GEPSNONPILOT/Tender/SplashBidNoticeAbstractUI.aspx?menuIndex=3&amp;refID=7072436&amp;Result=3","7072436")</f>
        <v>0</v>
      </c>
      <c r="B7945" t="s">
        <v>1071</v>
      </c>
      <c r="C7945" t="s">
        <v>10972</v>
      </c>
      <c r="D7945" t="s">
        <v>17426</v>
      </c>
      <c r="E7945" t="s">
        <v>24348</v>
      </c>
      <c r="F7945" t="s">
        <v>30052</v>
      </c>
      <c r="G7945" t="s">
        <v>30058</v>
      </c>
      <c r="H7945" t="s">
        <v>30067</v>
      </c>
      <c r="I7945" t="s">
        <v>3693</v>
      </c>
      <c r="J7945" t="s">
        <v>35069</v>
      </c>
      <c r="K7945" t="s">
        <v>39025</v>
      </c>
      <c r="M7945" t="s">
        <v>40406</v>
      </c>
      <c r="N7945" t="s">
        <v>43166</v>
      </c>
      <c r="O7945" t="s">
        <v>43167</v>
      </c>
      <c r="P7945">
        <v>0</v>
      </c>
      <c r="Q7945">
        <v>0</v>
      </c>
      <c r="R7945" t="s">
        <v>43174</v>
      </c>
      <c r="S7945" t="s">
        <v>43396</v>
      </c>
      <c r="T7945" t="s">
        <v>44834</v>
      </c>
      <c r="U7945" t="s">
        <v>51631</v>
      </c>
      <c r="W7945" t="s">
        <v>40406</v>
      </c>
      <c r="X7945" t="s">
        <v>43177</v>
      </c>
    </row>
    <row r="7946" spans="1:24">
      <c r="A7946">
        <f>HYPERLINK("https://www.philgeps.gov.ph/GEPSNONPILOT/Tender/SplashBidNoticeAbstractUI.aspx?menuIndex=3&amp;refID=7072700&amp;Result=3","7072700")</f>
        <v>0</v>
      </c>
      <c r="B7946" t="s">
        <v>2442</v>
      </c>
      <c r="C7946" t="s">
        <v>10973</v>
      </c>
      <c r="D7946" t="s">
        <v>17415</v>
      </c>
      <c r="E7946" t="s">
        <v>17779</v>
      </c>
      <c r="F7946" t="s">
        <v>30052</v>
      </c>
      <c r="G7946" t="s">
        <v>30058</v>
      </c>
      <c r="H7946" t="s">
        <v>15498</v>
      </c>
      <c r="I7946" t="s">
        <v>30140</v>
      </c>
      <c r="J7946" t="s">
        <v>30277</v>
      </c>
      <c r="K7946" t="s">
        <v>39036</v>
      </c>
      <c r="M7946" t="s">
        <v>41941</v>
      </c>
      <c r="N7946" t="s">
        <v>43166</v>
      </c>
      <c r="O7946" t="s">
        <v>43167</v>
      </c>
      <c r="P7946">
        <v>0</v>
      </c>
      <c r="Q7946">
        <v>3</v>
      </c>
      <c r="R7946" t="s">
        <v>43174</v>
      </c>
      <c r="S7946" t="s">
        <v>43396</v>
      </c>
      <c r="T7946" t="s">
        <v>44773</v>
      </c>
      <c r="U7946" t="s">
        <v>51632</v>
      </c>
      <c r="V7946" t="s">
        <v>57667</v>
      </c>
      <c r="W7946" t="s">
        <v>41941</v>
      </c>
      <c r="X7946" t="s">
        <v>43177</v>
      </c>
    </row>
    <row r="7947" spans="1:24">
      <c r="A7947">
        <f>HYPERLINK("https://www.philgeps.gov.ph/GEPSNONPILOT/Tender/SplashBidNoticeAbstractUI.aspx?menuIndex=3&amp;refID=7072901&amp;Result=3","7072901")</f>
        <v>0</v>
      </c>
      <c r="B7947" t="s">
        <v>1687</v>
      </c>
      <c r="C7947" t="s">
        <v>10974</v>
      </c>
      <c r="D7947" t="s">
        <v>17466</v>
      </c>
      <c r="E7947" t="s">
        <v>24349</v>
      </c>
      <c r="F7947" t="s">
        <v>30052</v>
      </c>
      <c r="G7947" t="s">
        <v>30058</v>
      </c>
      <c r="H7947" t="s">
        <v>15498</v>
      </c>
      <c r="I7947" t="s">
        <v>30084</v>
      </c>
      <c r="J7947" t="s">
        <v>30337</v>
      </c>
      <c r="K7947" t="s">
        <v>39025</v>
      </c>
      <c r="M7947" t="s">
        <v>41096</v>
      </c>
      <c r="N7947" t="s">
        <v>43166</v>
      </c>
      <c r="O7947" t="s">
        <v>43167</v>
      </c>
      <c r="P7947">
        <v>0</v>
      </c>
      <c r="Q7947">
        <v>1</v>
      </c>
      <c r="R7947" t="s">
        <v>43174</v>
      </c>
      <c r="S7947" t="s">
        <v>43396</v>
      </c>
      <c r="T7947" t="s">
        <v>44969</v>
      </c>
      <c r="U7947" t="s">
        <v>51633</v>
      </c>
      <c r="V7947" t="s">
        <v>57668</v>
      </c>
      <c r="W7947" t="s">
        <v>41096</v>
      </c>
      <c r="X7947" t="s">
        <v>43176</v>
      </c>
    </row>
    <row r="7948" spans="1:24">
      <c r="A7948">
        <f>HYPERLINK("https://www.philgeps.gov.ph/GEPSNONPILOT/Tender/SplashBidNoticeAbstractUI.aspx?menuIndex=3&amp;refID=7066574&amp;Result=3","7066574")</f>
        <v>0</v>
      </c>
      <c r="B7948" t="s">
        <v>2421</v>
      </c>
      <c r="C7948" t="s">
        <v>10975</v>
      </c>
      <c r="E7948" t="s">
        <v>24350</v>
      </c>
      <c r="F7948" t="s">
        <v>30052</v>
      </c>
      <c r="G7948" t="s">
        <v>30058</v>
      </c>
      <c r="H7948" t="s">
        <v>15498</v>
      </c>
      <c r="I7948" t="s">
        <v>30195</v>
      </c>
      <c r="J7948" t="s">
        <v>35070</v>
      </c>
      <c r="K7948" t="s">
        <v>39057</v>
      </c>
      <c r="M7948" t="s">
        <v>41918</v>
      </c>
      <c r="N7948" t="s">
        <v>43166</v>
      </c>
      <c r="O7948" t="s">
        <v>43167</v>
      </c>
      <c r="Q7948">
        <v>8</v>
      </c>
      <c r="R7948" t="s">
        <v>43174</v>
      </c>
      <c r="S7948" t="s">
        <v>43314</v>
      </c>
      <c r="T7948" t="s">
        <v>45021</v>
      </c>
      <c r="U7948" t="s">
        <v>51551</v>
      </c>
      <c r="W7948" t="s">
        <v>41918</v>
      </c>
      <c r="X7948" t="s">
        <v>43180</v>
      </c>
    </row>
    <row r="7949" spans="1:24">
      <c r="A7949">
        <f>HYPERLINK("https://www.philgeps.gov.ph/GEPSNONPILOT/Tender/SplashBidNoticeAbstractUI.aspx?menuIndex=3&amp;refID=7072538&amp;Result=3","7072538")</f>
        <v>0</v>
      </c>
      <c r="B7949" t="s">
        <v>2410</v>
      </c>
      <c r="C7949" t="s">
        <v>10976</v>
      </c>
      <c r="D7949" t="s">
        <v>17470</v>
      </c>
      <c r="E7949" t="s">
        <v>24351</v>
      </c>
      <c r="F7949" t="s">
        <v>30052</v>
      </c>
      <c r="G7949" t="s">
        <v>30058</v>
      </c>
      <c r="H7949" t="s">
        <v>15498</v>
      </c>
      <c r="I7949" t="s">
        <v>30081</v>
      </c>
      <c r="J7949" t="s">
        <v>35071</v>
      </c>
      <c r="K7949" t="s">
        <v>39029</v>
      </c>
      <c r="M7949" t="s">
        <v>41907</v>
      </c>
      <c r="N7949" t="s">
        <v>43166</v>
      </c>
      <c r="O7949" t="s">
        <v>43167</v>
      </c>
      <c r="P7949">
        <v>0</v>
      </c>
      <c r="Q7949">
        <v>0</v>
      </c>
      <c r="R7949" t="s">
        <v>43174</v>
      </c>
      <c r="S7949" t="s">
        <v>43396</v>
      </c>
      <c r="T7949" t="s">
        <v>44758</v>
      </c>
      <c r="U7949" t="s">
        <v>51634</v>
      </c>
      <c r="W7949" t="s">
        <v>41907</v>
      </c>
      <c r="X7949" t="s">
        <v>43177</v>
      </c>
    </row>
    <row r="7950" spans="1:24">
      <c r="A7950">
        <f>HYPERLINK("https://www.philgeps.gov.ph/GEPSNONPILOT/Tender/SplashBidNoticeAbstractUI.aspx?menuIndex=3&amp;refID=7072893&amp;Result=3","7072893")</f>
        <v>0</v>
      </c>
      <c r="B7950" t="s">
        <v>2443</v>
      </c>
      <c r="C7950" t="s">
        <v>10977</v>
      </c>
      <c r="D7950" t="s">
        <v>17471</v>
      </c>
      <c r="E7950" t="s">
        <v>24352</v>
      </c>
      <c r="F7950" t="s">
        <v>30052</v>
      </c>
      <c r="G7950" t="s">
        <v>30058</v>
      </c>
      <c r="H7950" t="s">
        <v>15498</v>
      </c>
      <c r="I7950" t="s">
        <v>3736</v>
      </c>
      <c r="J7950" t="s">
        <v>35072</v>
      </c>
      <c r="K7950" t="s">
        <v>39023</v>
      </c>
      <c r="M7950" t="s">
        <v>41942</v>
      </c>
      <c r="N7950" t="s">
        <v>43166</v>
      </c>
      <c r="O7950" t="s">
        <v>43167</v>
      </c>
      <c r="P7950">
        <v>0</v>
      </c>
      <c r="Q7950">
        <v>0</v>
      </c>
      <c r="R7950" t="s">
        <v>43174</v>
      </c>
      <c r="S7950" t="s">
        <v>43396</v>
      </c>
      <c r="T7950" t="s">
        <v>44758</v>
      </c>
      <c r="U7950" t="s">
        <v>51635</v>
      </c>
      <c r="W7950" t="s">
        <v>41942</v>
      </c>
      <c r="X7950" t="s">
        <v>43176</v>
      </c>
    </row>
    <row r="7951" spans="1:24">
      <c r="A7951">
        <f>HYPERLINK("https://www.philgeps.gov.ph/GEPSNONPILOT/Tender/SplashBidNoticeAbstractUI.aspx?menuIndex=3&amp;refID=7072892&amp;Result=3","7072892")</f>
        <v>0</v>
      </c>
      <c r="B7951" t="s">
        <v>1687</v>
      </c>
      <c r="C7951" t="s">
        <v>10978</v>
      </c>
      <c r="D7951" t="s">
        <v>17466</v>
      </c>
      <c r="E7951" t="s">
        <v>24353</v>
      </c>
      <c r="F7951" t="s">
        <v>30052</v>
      </c>
      <c r="G7951" t="s">
        <v>30058</v>
      </c>
      <c r="H7951" t="s">
        <v>15498</v>
      </c>
      <c r="I7951" t="s">
        <v>3606</v>
      </c>
      <c r="J7951" t="s">
        <v>35073</v>
      </c>
      <c r="K7951" t="s">
        <v>39025</v>
      </c>
      <c r="M7951" t="s">
        <v>41096</v>
      </c>
      <c r="N7951" t="s">
        <v>43166</v>
      </c>
      <c r="O7951" t="s">
        <v>43167</v>
      </c>
      <c r="P7951">
        <v>0</v>
      </c>
      <c r="Q7951">
        <v>2</v>
      </c>
      <c r="R7951" t="s">
        <v>43174</v>
      </c>
      <c r="S7951" t="s">
        <v>43396</v>
      </c>
      <c r="T7951" t="s">
        <v>45005</v>
      </c>
      <c r="U7951" t="s">
        <v>51636</v>
      </c>
      <c r="V7951" t="s">
        <v>57352</v>
      </c>
      <c r="W7951" t="s">
        <v>41096</v>
      </c>
      <c r="X7951" t="s">
        <v>43176</v>
      </c>
    </row>
    <row r="7952" spans="1:24">
      <c r="A7952">
        <f>HYPERLINK("https://www.philgeps.gov.ph/GEPSNONPILOT/Tender/SplashBidNoticeAbstractUI.aspx?menuIndex=3&amp;refID=7072890&amp;Result=3","7072890")</f>
        <v>0</v>
      </c>
      <c r="B7952" t="s">
        <v>1687</v>
      </c>
      <c r="C7952" t="s">
        <v>10979</v>
      </c>
      <c r="D7952" t="s">
        <v>17466</v>
      </c>
      <c r="E7952" t="s">
        <v>24354</v>
      </c>
      <c r="F7952" t="s">
        <v>30052</v>
      </c>
      <c r="G7952" t="s">
        <v>30058</v>
      </c>
      <c r="H7952" t="s">
        <v>15498</v>
      </c>
      <c r="I7952" t="s">
        <v>30083</v>
      </c>
      <c r="J7952" t="s">
        <v>35074</v>
      </c>
      <c r="K7952" t="s">
        <v>39025</v>
      </c>
      <c r="M7952" t="s">
        <v>41096</v>
      </c>
      <c r="N7952" t="s">
        <v>43166</v>
      </c>
      <c r="O7952" t="s">
        <v>43167</v>
      </c>
      <c r="P7952">
        <v>0</v>
      </c>
      <c r="Q7952">
        <v>2</v>
      </c>
      <c r="R7952" t="s">
        <v>43174</v>
      </c>
      <c r="S7952" t="s">
        <v>43396</v>
      </c>
      <c r="T7952" t="s">
        <v>45005</v>
      </c>
      <c r="U7952" t="s">
        <v>51637</v>
      </c>
      <c r="V7952" t="s">
        <v>57352</v>
      </c>
      <c r="W7952" t="s">
        <v>41096</v>
      </c>
      <c r="X7952" t="s">
        <v>43176</v>
      </c>
    </row>
    <row r="7953" spans="1:24">
      <c r="A7953">
        <f>HYPERLINK("https://www.philgeps.gov.ph/GEPSNONPILOT/Tender/SplashBidNoticeAbstractUI.aspx?menuIndex=3&amp;refID=7072675&amp;Result=3","7072675")</f>
        <v>0</v>
      </c>
      <c r="B7953" t="s">
        <v>2440</v>
      </c>
      <c r="C7953" t="s">
        <v>10980</v>
      </c>
      <c r="D7953" t="s">
        <v>17444</v>
      </c>
      <c r="E7953" t="s">
        <v>24355</v>
      </c>
      <c r="F7953" t="s">
        <v>30052</v>
      </c>
      <c r="G7953" t="s">
        <v>30058</v>
      </c>
      <c r="H7953" t="s">
        <v>30067</v>
      </c>
      <c r="I7953" t="s">
        <v>3693</v>
      </c>
      <c r="J7953" t="s">
        <v>35075</v>
      </c>
      <c r="K7953" t="s">
        <v>39023</v>
      </c>
      <c r="M7953" t="s">
        <v>41939</v>
      </c>
      <c r="N7953" t="s">
        <v>43166</v>
      </c>
      <c r="O7953" t="s">
        <v>43167</v>
      </c>
      <c r="P7953">
        <v>0</v>
      </c>
      <c r="Q7953">
        <v>0</v>
      </c>
      <c r="R7953" t="s">
        <v>43174</v>
      </c>
      <c r="S7953" t="s">
        <v>43396</v>
      </c>
      <c r="T7953" t="s">
        <v>44832</v>
      </c>
      <c r="U7953" t="s">
        <v>51638</v>
      </c>
      <c r="W7953" t="s">
        <v>41939</v>
      </c>
      <c r="X7953" t="s">
        <v>43177</v>
      </c>
    </row>
    <row r="7954" spans="1:24">
      <c r="A7954">
        <f>HYPERLINK("https://www.philgeps.gov.ph/GEPSNONPILOT/Tender/SplashBidNoticeAbstractUI.aspx?menuIndex=3&amp;refID=7072897&amp;Result=3","7072897")</f>
        <v>0</v>
      </c>
      <c r="B7954" t="s">
        <v>1687</v>
      </c>
      <c r="C7954" t="s">
        <v>10981</v>
      </c>
      <c r="D7954" t="s">
        <v>17466</v>
      </c>
      <c r="E7954" t="s">
        <v>24356</v>
      </c>
      <c r="F7954" t="s">
        <v>30052</v>
      </c>
      <c r="G7954" t="s">
        <v>30058</v>
      </c>
      <c r="H7954" t="s">
        <v>15498</v>
      </c>
      <c r="I7954" t="s">
        <v>30084</v>
      </c>
      <c r="J7954" t="s">
        <v>30417</v>
      </c>
      <c r="K7954" t="s">
        <v>39025</v>
      </c>
      <c r="M7954" t="s">
        <v>41096</v>
      </c>
      <c r="N7954" t="s">
        <v>43166</v>
      </c>
      <c r="O7954" t="s">
        <v>43167</v>
      </c>
      <c r="P7954">
        <v>0</v>
      </c>
      <c r="Q7954">
        <v>0</v>
      </c>
      <c r="R7954" t="s">
        <v>43174</v>
      </c>
      <c r="S7954" t="s">
        <v>43396</v>
      </c>
      <c r="T7954" t="s">
        <v>44969</v>
      </c>
      <c r="U7954" t="s">
        <v>51639</v>
      </c>
      <c r="V7954" t="s">
        <v>57669</v>
      </c>
      <c r="W7954" t="s">
        <v>41096</v>
      </c>
      <c r="X7954" t="s">
        <v>43176</v>
      </c>
    </row>
    <row r="7955" spans="1:24">
      <c r="A7955">
        <f>HYPERLINK("https://www.philgeps.gov.ph/GEPSNONPILOT/Tender/SplashBidNoticeAbstractUI.aspx?menuIndex=3&amp;refID=7072838&amp;Result=3","7072838")</f>
        <v>0</v>
      </c>
      <c r="B7955" t="s">
        <v>375</v>
      </c>
      <c r="C7955" t="s">
        <v>10982</v>
      </c>
      <c r="D7955" t="s">
        <v>17476</v>
      </c>
      <c r="E7955" t="s">
        <v>24357</v>
      </c>
      <c r="F7955" t="s">
        <v>30052</v>
      </c>
      <c r="G7955" t="s">
        <v>30058</v>
      </c>
      <c r="H7955" t="s">
        <v>15498</v>
      </c>
      <c r="I7955" t="s">
        <v>30083</v>
      </c>
      <c r="J7955" t="s">
        <v>35076</v>
      </c>
      <c r="K7955" t="s">
        <v>39019</v>
      </c>
      <c r="M7955" t="s">
        <v>39673</v>
      </c>
      <c r="N7955" t="s">
        <v>43166</v>
      </c>
      <c r="O7955" t="s">
        <v>43167</v>
      </c>
      <c r="P7955">
        <v>0</v>
      </c>
      <c r="Q7955">
        <v>7</v>
      </c>
      <c r="R7955" t="s">
        <v>43174</v>
      </c>
      <c r="S7955" t="s">
        <v>43396</v>
      </c>
      <c r="T7955" t="s">
        <v>44834</v>
      </c>
      <c r="U7955" t="s">
        <v>51640</v>
      </c>
      <c r="W7955" t="s">
        <v>39673</v>
      </c>
      <c r="X7955" t="s">
        <v>43176</v>
      </c>
    </row>
    <row r="7956" spans="1:24">
      <c r="A7956">
        <f>HYPERLINK("https://www.philgeps.gov.ph/GEPSNONPILOT/Tender/SplashBidNoticeAbstractUI.aspx?menuIndex=3&amp;refID=7072894&amp;Result=3","7072894")</f>
        <v>0</v>
      </c>
      <c r="B7956" t="s">
        <v>1687</v>
      </c>
      <c r="C7956" t="s">
        <v>10983</v>
      </c>
      <c r="D7956" t="s">
        <v>17466</v>
      </c>
      <c r="E7956" t="s">
        <v>24358</v>
      </c>
      <c r="F7956" t="s">
        <v>30052</v>
      </c>
      <c r="G7956" t="s">
        <v>30058</v>
      </c>
      <c r="H7956" t="s">
        <v>15498</v>
      </c>
      <c r="I7956" t="s">
        <v>3736</v>
      </c>
      <c r="J7956" t="s">
        <v>35077</v>
      </c>
      <c r="K7956" t="s">
        <v>39025</v>
      </c>
      <c r="M7956" t="s">
        <v>41096</v>
      </c>
      <c r="N7956" t="s">
        <v>43166</v>
      </c>
      <c r="O7956" t="s">
        <v>43167</v>
      </c>
      <c r="P7956">
        <v>0</v>
      </c>
      <c r="Q7956">
        <v>0</v>
      </c>
      <c r="R7956" t="s">
        <v>43174</v>
      </c>
      <c r="S7956" t="s">
        <v>43396</v>
      </c>
      <c r="T7956" t="s">
        <v>45005</v>
      </c>
      <c r="U7956" t="s">
        <v>51641</v>
      </c>
      <c r="V7956" t="s">
        <v>57352</v>
      </c>
      <c r="W7956" t="s">
        <v>41096</v>
      </c>
      <c r="X7956" t="s">
        <v>43176</v>
      </c>
    </row>
    <row r="7957" spans="1:24">
      <c r="A7957">
        <f>HYPERLINK("https://www.philgeps.gov.ph/GEPSNONPILOT/Tender/SplashBidNoticeAbstractUI.aspx?menuIndex=3&amp;refID=7072912&amp;Result=3","7072912")</f>
        <v>0</v>
      </c>
      <c r="B7957" t="s">
        <v>1687</v>
      </c>
      <c r="C7957" t="s">
        <v>10984</v>
      </c>
      <c r="D7957" t="s">
        <v>17466</v>
      </c>
      <c r="E7957" t="s">
        <v>24359</v>
      </c>
      <c r="F7957" t="s">
        <v>30052</v>
      </c>
      <c r="G7957" t="s">
        <v>30058</v>
      </c>
      <c r="H7957" t="s">
        <v>15498</v>
      </c>
      <c r="I7957" t="s">
        <v>30073</v>
      </c>
      <c r="J7957" t="s">
        <v>35078</v>
      </c>
      <c r="K7957" t="s">
        <v>39025</v>
      </c>
      <c r="M7957" t="s">
        <v>41096</v>
      </c>
      <c r="N7957" t="s">
        <v>43166</v>
      </c>
      <c r="O7957" t="s">
        <v>43167</v>
      </c>
      <c r="P7957">
        <v>0</v>
      </c>
      <c r="Q7957">
        <v>0</v>
      </c>
      <c r="R7957" t="s">
        <v>43174</v>
      </c>
      <c r="S7957" t="s">
        <v>43396</v>
      </c>
      <c r="T7957" t="s">
        <v>44969</v>
      </c>
      <c r="U7957" t="s">
        <v>51642</v>
      </c>
      <c r="V7957" t="s">
        <v>57352</v>
      </c>
      <c r="W7957" t="s">
        <v>41096</v>
      </c>
      <c r="X7957" t="s">
        <v>43176</v>
      </c>
    </row>
    <row r="7958" spans="1:24">
      <c r="A7958">
        <f>HYPERLINK("https://www.philgeps.gov.ph/GEPSNONPILOT/Tender/SplashBidNoticeAbstractUI.aspx?menuIndex=3&amp;refID=7072911&amp;Result=3","7072911")</f>
        <v>0</v>
      </c>
      <c r="B7958" t="s">
        <v>1687</v>
      </c>
      <c r="C7958" t="s">
        <v>10985</v>
      </c>
      <c r="D7958" t="s">
        <v>17466</v>
      </c>
      <c r="E7958" t="s">
        <v>24360</v>
      </c>
      <c r="F7958" t="s">
        <v>30052</v>
      </c>
      <c r="G7958" t="s">
        <v>30058</v>
      </c>
      <c r="H7958" t="s">
        <v>15498</v>
      </c>
      <c r="I7958" t="s">
        <v>30071</v>
      </c>
      <c r="J7958" t="s">
        <v>35079</v>
      </c>
      <c r="K7958" t="s">
        <v>39025</v>
      </c>
      <c r="M7958" t="s">
        <v>41096</v>
      </c>
      <c r="N7958" t="s">
        <v>43166</v>
      </c>
      <c r="O7958" t="s">
        <v>43167</v>
      </c>
      <c r="P7958">
        <v>0</v>
      </c>
      <c r="Q7958">
        <v>1</v>
      </c>
      <c r="R7958" t="s">
        <v>43174</v>
      </c>
      <c r="S7958" t="s">
        <v>43396</v>
      </c>
      <c r="T7958" t="s">
        <v>44969</v>
      </c>
      <c r="U7958" t="s">
        <v>51643</v>
      </c>
      <c r="V7958" t="s">
        <v>57352</v>
      </c>
      <c r="W7958" t="s">
        <v>41096</v>
      </c>
      <c r="X7958" t="s">
        <v>43176</v>
      </c>
    </row>
    <row r="7959" spans="1:24">
      <c r="A7959">
        <f>HYPERLINK("https://www.philgeps.gov.ph/GEPSNONPILOT/Tender/SplashBidNoticeAbstractUI.aspx?menuIndex=3&amp;refID=7072880&amp;Result=3","7072880")</f>
        <v>0</v>
      </c>
      <c r="B7959" t="s">
        <v>2444</v>
      </c>
      <c r="C7959" t="s">
        <v>10986</v>
      </c>
      <c r="D7959" t="s">
        <v>17471</v>
      </c>
      <c r="E7959" t="s">
        <v>24361</v>
      </c>
      <c r="F7959" t="s">
        <v>30052</v>
      </c>
      <c r="G7959" t="s">
        <v>30058</v>
      </c>
      <c r="H7959" t="s">
        <v>30067</v>
      </c>
      <c r="I7959" t="s">
        <v>3693</v>
      </c>
      <c r="J7959" t="s">
        <v>35080</v>
      </c>
      <c r="K7959" t="s">
        <v>39031</v>
      </c>
      <c r="M7959" t="s">
        <v>41943</v>
      </c>
      <c r="N7959" t="s">
        <v>43166</v>
      </c>
      <c r="O7959" t="s">
        <v>43167</v>
      </c>
      <c r="P7959">
        <v>0</v>
      </c>
      <c r="Q7959">
        <v>1</v>
      </c>
      <c r="R7959" t="s">
        <v>43174</v>
      </c>
      <c r="S7959" t="s">
        <v>43396</v>
      </c>
      <c r="T7959" t="s">
        <v>44725</v>
      </c>
      <c r="U7959" t="s">
        <v>51644</v>
      </c>
      <c r="W7959" t="s">
        <v>41943</v>
      </c>
      <c r="X7959" t="s">
        <v>43176</v>
      </c>
    </row>
    <row r="7960" spans="1:24">
      <c r="A7960">
        <f>HYPERLINK("https://www.philgeps.gov.ph/GEPSNONPILOT/Tender/SplashBidNoticeAbstractUI.aspx?menuIndex=3&amp;refID=7072839&amp;Result=3","7072839")</f>
        <v>0</v>
      </c>
      <c r="B7960" t="s">
        <v>375</v>
      </c>
      <c r="C7960" t="s">
        <v>10987</v>
      </c>
      <c r="D7960" t="s">
        <v>17476</v>
      </c>
      <c r="E7960" t="s">
        <v>24362</v>
      </c>
      <c r="F7960" t="s">
        <v>30052</v>
      </c>
      <c r="G7960" t="s">
        <v>30058</v>
      </c>
      <c r="H7960" t="s">
        <v>15498</v>
      </c>
      <c r="I7960" t="s">
        <v>30074</v>
      </c>
      <c r="J7960" t="s">
        <v>35081</v>
      </c>
      <c r="K7960" t="s">
        <v>39019</v>
      </c>
      <c r="M7960" t="s">
        <v>39673</v>
      </c>
      <c r="N7960" t="s">
        <v>43166</v>
      </c>
      <c r="O7960" t="s">
        <v>43167</v>
      </c>
      <c r="P7960">
        <v>0</v>
      </c>
      <c r="Q7960">
        <v>0</v>
      </c>
      <c r="R7960" t="s">
        <v>43174</v>
      </c>
      <c r="S7960" t="s">
        <v>43396</v>
      </c>
      <c r="T7960" t="s">
        <v>44834</v>
      </c>
      <c r="U7960" t="s">
        <v>51640</v>
      </c>
      <c r="W7960" t="s">
        <v>39673</v>
      </c>
      <c r="X7960" t="s">
        <v>43176</v>
      </c>
    </row>
    <row r="7961" spans="1:24">
      <c r="A7961">
        <f>HYPERLINK("https://www.philgeps.gov.ph/GEPSNONPILOT/Tender/SplashBidNoticeAbstractUI.aspx?menuIndex=3&amp;refID=7072907&amp;Result=3","7072907")</f>
        <v>0</v>
      </c>
      <c r="B7961" t="s">
        <v>1687</v>
      </c>
      <c r="C7961" t="s">
        <v>10988</v>
      </c>
      <c r="D7961" t="s">
        <v>17466</v>
      </c>
      <c r="E7961" t="s">
        <v>24363</v>
      </c>
      <c r="F7961" t="s">
        <v>30052</v>
      </c>
      <c r="G7961" t="s">
        <v>30058</v>
      </c>
      <c r="H7961" t="s">
        <v>15498</v>
      </c>
      <c r="I7961" t="s">
        <v>30071</v>
      </c>
      <c r="J7961" t="s">
        <v>31903</v>
      </c>
      <c r="K7961" t="s">
        <v>39025</v>
      </c>
      <c r="M7961" t="s">
        <v>41096</v>
      </c>
      <c r="N7961" t="s">
        <v>43166</v>
      </c>
      <c r="O7961" t="s">
        <v>43167</v>
      </c>
      <c r="P7961">
        <v>0</v>
      </c>
      <c r="Q7961">
        <v>0</v>
      </c>
      <c r="R7961" t="s">
        <v>43174</v>
      </c>
      <c r="S7961" t="s">
        <v>43396</v>
      </c>
      <c r="T7961" t="s">
        <v>44969</v>
      </c>
      <c r="U7961" t="s">
        <v>51645</v>
      </c>
      <c r="V7961" t="s">
        <v>57670</v>
      </c>
      <c r="W7961" t="s">
        <v>41096</v>
      </c>
      <c r="X7961" t="s">
        <v>43176</v>
      </c>
    </row>
    <row r="7962" spans="1:24">
      <c r="A7962">
        <f>HYPERLINK("https://www.philgeps.gov.ph/GEPSNONPILOT/Tender/SplashBidNoticeAbstractUI.aspx?menuIndex=3&amp;refID=7072837&amp;Result=3","7072837")</f>
        <v>0</v>
      </c>
      <c r="B7962" t="s">
        <v>375</v>
      </c>
      <c r="C7962" t="s">
        <v>10989</v>
      </c>
      <c r="D7962" t="s">
        <v>17476</v>
      </c>
      <c r="E7962" t="s">
        <v>22473</v>
      </c>
      <c r="F7962" t="s">
        <v>30052</v>
      </c>
      <c r="G7962" t="s">
        <v>30058</v>
      </c>
      <c r="H7962" t="s">
        <v>15498</v>
      </c>
      <c r="I7962" t="s">
        <v>30074</v>
      </c>
      <c r="J7962" t="s">
        <v>30377</v>
      </c>
      <c r="K7962" t="s">
        <v>39019</v>
      </c>
      <c r="M7962" t="s">
        <v>39673</v>
      </c>
      <c r="N7962" t="s">
        <v>43166</v>
      </c>
      <c r="O7962" t="s">
        <v>43167</v>
      </c>
      <c r="P7962">
        <v>0</v>
      </c>
      <c r="Q7962">
        <v>1</v>
      </c>
      <c r="R7962" t="s">
        <v>43174</v>
      </c>
      <c r="S7962" t="s">
        <v>43396</v>
      </c>
      <c r="T7962" t="s">
        <v>44834</v>
      </c>
      <c r="U7962" t="s">
        <v>51640</v>
      </c>
      <c r="W7962" t="s">
        <v>39673</v>
      </c>
      <c r="X7962" t="s">
        <v>43176</v>
      </c>
    </row>
    <row r="7963" spans="1:24">
      <c r="A7963">
        <f>HYPERLINK("https://www.philgeps.gov.ph/GEPSNONPILOT/Tender/SplashBidNoticeAbstractUI.aspx?menuIndex=3&amp;refID=7072836&amp;Result=3","7072836")</f>
        <v>0</v>
      </c>
      <c r="B7963" t="s">
        <v>375</v>
      </c>
      <c r="C7963" t="s">
        <v>10990</v>
      </c>
      <c r="D7963" t="s">
        <v>17476</v>
      </c>
      <c r="E7963" t="s">
        <v>20290</v>
      </c>
      <c r="F7963" t="s">
        <v>30052</v>
      </c>
      <c r="G7963" t="s">
        <v>30058</v>
      </c>
      <c r="H7963" t="s">
        <v>15498</v>
      </c>
      <c r="I7963" t="s">
        <v>30074</v>
      </c>
      <c r="J7963" t="s">
        <v>30711</v>
      </c>
      <c r="K7963" t="s">
        <v>39019</v>
      </c>
      <c r="M7963" t="s">
        <v>39673</v>
      </c>
      <c r="N7963" t="s">
        <v>43166</v>
      </c>
      <c r="O7963" t="s">
        <v>43167</v>
      </c>
      <c r="P7963">
        <v>0</v>
      </c>
      <c r="Q7963">
        <v>4</v>
      </c>
      <c r="R7963" t="s">
        <v>43174</v>
      </c>
      <c r="S7963" t="s">
        <v>43396</v>
      </c>
      <c r="T7963" t="s">
        <v>44834</v>
      </c>
      <c r="U7963" t="s">
        <v>51640</v>
      </c>
      <c r="W7963" t="s">
        <v>39673</v>
      </c>
      <c r="X7963" t="s">
        <v>43176</v>
      </c>
    </row>
    <row r="7964" spans="1:24">
      <c r="A7964">
        <f>HYPERLINK("https://www.philgeps.gov.ph/GEPSNONPILOT/Tender/SplashBidNoticeAbstractUI.aspx?menuIndex=3&amp;refID=7072913&amp;Result=3","7072913")</f>
        <v>0</v>
      </c>
      <c r="B7964" t="s">
        <v>1687</v>
      </c>
      <c r="C7964" t="s">
        <v>10991</v>
      </c>
      <c r="D7964" t="s">
        <v>17466</v>
      </c>
      <c r="E7964" t="s">
        <v>24364</v>
      </c>
      <c r="F7964" t="s">
        <v>30052</v>
      </c>
      <c r="G7964" t="s">
        <v>30058</v>
      </c>
      <c r="H7964" t="s">
        <v>15498</v>
      </c>
      <c r="I7964" t="s">
        <v>30073</v>
      </c>
      <c r="J7964" t="s">
        <v>35082</v>
      </c>
      <c r="K7964" t="s">
        <v>39025</v>
      </c>
      <c r="M7964" t="s">
        <v>41096</v>
      </c>
      <c r="N7964" t="s">
        <v>43166</v>
      </c>
      <c r="O7964" t="s">
        <v>43167</v>
      </c>
      <c r="P7964">
        <v>0</v>
      </c>
      <c r="Q7964">
        <v>0</v>
      </c>
      <c r="R7964" t="s">
        <v>43174</v>
      </c>
      <c r="S7964" t="s">
        <v>43396</v>
      </c>
      <c r="T7964" t="s">
        <v>44969</v>
      </c>
      <c r="U7964" t="s">
        <v>51646</v>
      </c>
      <c r="V7964" t="s">
        <v>57352</v>
      </c>
      <c r="W7964" t="s">
        <v>41096</v>
      </c>
      <c r="X7964" t="s">
        <v>43176</v>
      </c>
    </row>
    <row r="7965" spans="1:24">
      <c r="A7965">
        <f>HYPERLINK("https://www.philgeps.gov.ph/GEPSNONPILOT/Tender/SplashBidNoticeAbstractUI.aspx?menuIndex=3&amp;refID=7072936&amp;Result=3","7072936")</f>
        <v>0</v>
      </c>
      <c r="B7965" t="s">
        <v>1687</v>
      </c>
      <c r="C7965" t="s">
        <v>10992</v>
      </c>
      <c r="D7965" t="s">
        <v>17466</v>
      </c>
      <c r="E7965" t="s">
        <v>24365</v>
      </c>
      <c r="F7965" t="s">
        <v>30052</v>
      </c>
      <c r="G7965" t="s">
        <v>30058</v>
      </c>
      <c r="H7965" t="s">
        <v>15498</v>
      </c>
      <c r="I7965" t="s">
        <v>3606</v>
      </c>
      <c r="J7965" t="s">
        <v>35083</v>
      </c>
      <c r="K7965" t="s">
        <v>39025</v>
      </c>
      <c r="M7965" t="s">
        <v>41096</v>
      </c>
      <c r="N7965" t="s">
        <v>43166</v>
      </c>
      <c r="O7965" t="s">
        <v>43167</v>
      </c>
      <c r="P7965">
        <v>0</v>
      </c>
      <c r="Q7965">
        <v>1</v>
      </c>
      <c r="R7965" t="s">
        <v>43174</v>
      </c>
      <c r="S7965" t="s">
        <v>43396</v>
      </c>
      <c r="T7965" t="s">
        <v>44969</v>
      </c>
      <c r="U7965" t="s">
        <v>51647</v>
      </c>
      <c r="V7965" t="s">
        <v>57352</v>
      </c>
      <c r="W7965" t="s">
        <v>41096</v>
      </c>
      <c r="X7965" t="s">
        <v>43176</v>
      </c>
    </row>
    <row r="7966" spans="1:24">
      <c r="A7966">
        <f>HYPERLINK("https://www.philgeps.gov.ph/GEPSNONPILOT/Tender/SplashBidNoticeAbstractUI.aspx?menuIndex=3&amp;refID=7072934&amp;Result=3","7072934")</f>
        <v>0</v>
      </c>
      <c r="B7966" t="s">
        <v>1608</v>
      </c>
      <c r="C7966" t="s">
        <v>10993</v>
      </c>
      <c r="D7966" t="s">
        <v>17415</v>
      </c>
      <c r="E7966" t="s">
        <v>24366</v>
      </c>
      <c r="F7966" t="s">
        <v>30052</v>
      </c>
      <c r="G7966" t="s">
        <v>30058</v>
      </c>
      <c r="H7966" t="s">
        <v>15498</v>
      </c>
      <c r="I7966" t="s">
        <v>8323</v>
      </c>
      <c r="J7966" t="s">
        <v>34538</v>
      </c>
      <c r="K7966" t="s">
        <v>39019</v>
      </c>
      <c r="M7966" t="s">
        <v>41007</v>
      </c>
      <c r="N7966" t="s">
        <v>43166</v>
      </c>
      <c r="O7966" t="s">
        <v>43167</v>
      </c>
      <c r="P7966">
        <v>0</v>
      </c>
      <c r="Q7966">
        <v>12</v>
      </c>
      <c r="R7966" t="s">
        <v>43174</v>
      </c>
      <c r="S7966" t="s">
        <v>43396</v>
      </c>
      <c r="T7966" t="s">
        <v>44844</v>
      </c>
      <c r="U7966" t="s">
        <v>51648</v>
      </c>
      <c r="W7966" t="s">
        <v>41007</v>
      </c>
      <c r="X7966" t="s">
        <v>43176</v>
      </c>
    </row>
    <row r="7967" spans="1:24">
      <c r="A7967">
        <f>HYPERLINK("https://www.philgeps.gov.ph/GEPSNONPILOT/Tender/SplashBidNoticeAbstractUI.aspx?menuIndex=3&amp;refID=7072930&amp;Result=3","7072930")</f>
        <v>0</v>
      </c>
      <c r="B7967" t="s">
        <v>1687</v>
      </c>
      <c r="C7967" t="s">
        <v>10994</v>
      </c>
      <c r="D7967" t="s">
        <v>17466</v>
      </c>
      <c r="E7967" t="s">
        <v>24367</v>
      </c>
      <c r="F7967" t="s">
        <v>30052</v>
      </c>
      <c r="G7967" t="s">
        <v>30058</v>
      </c>
      <c r="H7967" t="s">
        <v>30068</v>
      </c>
      <c r="I7967" t="s">
        <v>30100</v>
      </c>
      <c r="J7967" t="s">
        <v>30900</v>
      </c>
      <c r="K7967" t="s">
        <v>39025</v>
      </c>
      <c r="M7967" t="s">
        <v>41096</v>
      </c>
      <c r="N7967" t="s">
        <v>43166</v>
      </c>
      <c r="O7967" t="s">
        <v>43167</v>
      </c>
      <c r="P7967">
        <v>0</v>
      </c>
      <c r="Q7967">
        <v>0</v>
      </c>
      <c r="R7967" t="s">
        <v>43174</v>
      </c>
      <c r="S7967" t="s">
        <v>43396</v>
      </c>
      <c r="T7967" t="s">
        <v>44969</v>
      </c>
      <c r="U7967" t="s">
        <v>51649</v>
      </c>
      <c r="V7967" t="s">
        <v>57671</v>
      </c>
      <c r="W7967" t="s">
        <v>41096</v>
      </c>
      <c r="X7967" t="s">
        <v>43176</v>
      </c>
    </row>
    <row r="7968" spans="1:24">
      <c r="A7968">
        <f>HYPERLINK("https://www.philgeps.gov.ph/GEPSNONPILOT/Tender/SplashBidNoticeAbstractUI.aspx?menuIndex=3&amp;refID=7072884&amp;Result=3","7072884")</f>
        <v>0</v>
      </c>
      <c r="B7968" t="s">
        <v>1687</v>
      </c>
      <c r="C7968" t="s">
        <v>10995</v>
      </c>
      <c r="D7968" t="s">
        <v>17466</v>
      </c>
      <c r="E7968" t="s">
        <v>24368</v>
      </c>
      <c r="F7968" t="s">
        <v>30052</v>
      </c>
      <c r="G7968" t="s">
        <v>30058</v>
      </c>
      <c r="H7968" t="s">
        <v>15498</v>
      </c>
      <c r="I7968" t="s">
        <v>30074</v>
      </c>
      <c r="J7968" t="s">
        <v>35084</v>
      </c>
      <c r="K7968" t="s">
        <v>39025</v>
      </c>
      <c r="M7968" t="s">
        <v>41096</v>
      </c>
      <c r="N7968" t="s">
        <v>43166</v>
      </c>
      <c r="O7968" t="s">
        <v>43167</v>
      </c>
      <c r="P7968">
        <v>0</v>
      </c>
      <c r="Q7968">
        <v>3</v>
      </c>
      <c r="R7968" t="s">
        <v>43174</v>
      </c>
      <c r="S7968" t="s">
        <v>43396</v>
      </c>
      <c r="T7968" t="s">
        <v>45005</v>
      </c>
      <c r="U7968" t="s">
        <v>51650</v>
      </c>
      <c r="V7968" t="s">
        <v>57352</v>
      </c>
      <c r="W7968" t="s">
        <v>41096</v>
      </c>
      <c r="X7968" t="s">
        <v>43176</v>
      </c>
    </row>
    <row r="7969" spans="1:24">
      <c r="A7969">
        <f>HYPERLINK("https://www.philgeps.gov.ph/GEPSNONPILOT/Tender/SplashBidNoticeAbstractUI.aspx?menuIndex=3&amp;refID=7072906&amp;Result=3","7072906")</f>
        <v>0</v>
      </c>
      <c r="B7969" t="s">
        <v>1687</v>
      </c>
      <c r="C7969" t="s">
        <v>10996</v>
      </c>
      <c r="D7969" t="s">
        <v>17466</v>
      </c>
      <c r="E7969" t="s">
        <v>24369</v>
      </c>
      <c r="F7969" t="s">
        <v>30052</v>
      </c>
      <c r="G7969" t="s">
        <v>30058</v>
      </c>
      <c r="H7969" t="s">
        <v>15498</v>
      </c>
      <c r="I7969" t="s">
        <v>30077</v>
      </c>
      <c r="J7969" t="s">
        <v>35085</v>
      </c>
      <c r="K7969" t="s">
        <v>39025</v>
      </c>
      <c r="M7969" t="s">
        <v>41096</v>
      </c>
      <c r="N7969" t="s">
        <v>43166</v>
      </c>
      <c r="O7969" t="s">
        <v>43167</v>
      </c>
      <c r="P7969">
        <v>0</v>
      </c>
      <c r="Q7969">
        <v>1</v>
      </c>
      <c r="R7969" t="s">
        <v>43174</v>
      </c>
      <c r="S7969" t="s">
        <v>43396</v>
      </c>
      <c r="T7969" t="s">
        <v>44969</v>
      </c>
      <c r="U7969" t="s">
        <v>51651</v>
      </c>
      <c r="V7969" t="s">
        <v>57670</v>
      </c>
      <c r="W7969" t="s">
        <v>41096</v>
      </c>
      <c r="X7969" t="s">
        <v>43176</v>
      </c>
    </row>
    <row r="7970" spans="1:24">
      <c r="A7970">
        <f>HYPERLINK("https://www.philgeps.gov.ph/GEPSNONPILOT/Tender/SplashBidNoticeAbstractUI.aspx?menuIndex=3&amp;refID=7072927&amp;Result=3","7072927")</f>
        <v>0</v>
      </c>
      <c r="B7970" t="s">
        <v>1687</v>
      </c>
      <c r="C7970" t="s">
        <v>10997</v>
      </c>
      <c r="D7970" t="s">
        <v>17466</v>
      </c>
      <c r="E7970" t="s">
        <v>24370</v>
      </c>
      <c r="F7970" t="s">
        <v>30052</v>
      </c>
      <c r="G7970" t="s">
        <v>30058</v>
      </c>
      <c r="H7970" t="s">
        <v>15498</v>
      </c>
      <c r="I7970" t="s">
        <v>3606</v>
      </c>
      <c r="J7970" t="s">
        <v>35086</v>
      </c>
      <c r="K7970" t="s">
        <v>39025</v>
      </c>
      <c r="M7970" t="s">
        <v>41096</v>
      </c>
      <c r="N7970" t="s">
        <v>43166</v>
      </c>
      <c r="O7970" t="s">
        <v>43167</v>
      </c>
      <c r="P7970">
        <v>0</v>
      </c>
      <c r="Q7970">
        <v>1</v>
      </c>
      <c r="R7970" t="s">
        <v>43174</v>
      </c>
      <c r="S7970" t="s">
        <v>43396</v>
      </c>
      <c r="T7970" t="s">
        <v>44969</v>
      </c>
      <c r="U7970" t="s">
        <v>51652</v>
      </c>
      <c r="V7970" t="s">
        <v>57352</v>
      </c>
      <c r="W7970" t="s">
        <v>41096</v>
      </c>
      <c r="X7970" t="s">
        <v>43176</v>
      </c>
    </row>
    <row r="7971" spans="1:24">
      <c r="A7971">
        <f>HYPERLINK("https://www.philgeps.gov.ph/GEPSNONPILOT/Tender/SplashBidNoticeAbstractUI.aspx?menuIndex=3&amp;refID=7073235&amp;Result=3","7073235")</f>
        <v>0</v>
      </c>
      <c r="B7971" t="s">
        <v>655</v>
      </c>
      <c r="C7971" t="s">
        <v>10998</v>
      </c>
      <c r="E7971" t="s">
        <v>24371</v>
      </c>
      <c r="F7971" t="s">
        <v>30052</v>
      </c>
      <c r="G7971" t="s">
        <v>30058</v>
      </c>
      <c r="H7971" t="s">
        <v>15498</v>
      </c>
      <c r="I7971" t="s">
        <v>4650</v>
      </c>
      <c r="J7971" t="s">
        <v>30218</v>
      </c>
      <c r="K7971" t="s">
        <v>39025</v>
      </c>
      <c r="M7971" t="s">
        <v>39960</v>
      </c>
      <c r="N7971" t="s">
        <v>43166</v>
      </c>
      <c r="O7971" t="s">
        <v>43167</v>
      </c>
      <c r="P7971">
        <v>0</v>
      </c>
      <c r="Q7971">
        <v>0</v>
      </c>
      <c r="R7971" t="s">
        <v>43174</v>
      </c>
      <c r="S7971" t="s">
        <v>43396</v>
      </c>
      <c r="T7971" t="s">
        <v>44717</v>
      </c>
      <c r="U7971" t="s">
        <v>51653</v>
      </c>
      <c r="W7971" t="s">
        <v>39960</v>
      </c>
      <c r="X7971" t="s">
        <v>43176</v>
      </c>
    </row>
    <row r="7972" spans="1:24">
      <c r="A7972">
        <f>HYPERLINK("https://www.philgeps.gov.ph/GEPSNONPILOT/Tender/SplashBidNoticeAbstractUI.aspx?menuIndex=3&amp;refID=7072933&amp;Result=3","7072933")</f>
        <v>0</v>
      </c>
      <c r="B7972" t="s">
        <v>1687</v>
      </c>
      <c r="C7972" t="s">
        <v>10999</v>
      </c>
      <c r="D7972" t="s">
        <v>17466</v>
      </c>
      <c r="E7972" t="s">
        <v>24372</v>
      </c>
      <c r="F7972" t="s">
        <v>30052</v>
      </c>
      <c r="G7972" t="s">
        <v>30058</v>
      </c>
      <c r="H7972" t="s">
        <v>15498</v>
      </c>
      <c r="I7972" t="s">
        <v>30076</v>
      </c>
      <c r="J7972" t="s">
        <v>35087</v>
      </c>
      <c r="K7972" t="s">
        <v>39025</v>
      </c>
      <c r="M7972" t="s">
        <v>41096</v>
      </c>
      <c r="N7972" t="s">
        <v>43166</v>
      </c>
      <c r="O7972" t="s">
        <v>43167</v>
      </c>
      <c r="P7972">
        <v>0</v>
      </c>
      <c r="Q7972">
        <v>4</v>
      </c>
      <c r="R7972" t="s">
        <v>43174</v>
      </c>
      <c r="S7972" t="s">
        <v>43396</v>
      </c>
      <c r="T7972" t="s">
        <v>44969</v>
      </c>
      <c r="U7972" t="s">
        <v>51654</v>
      </c>
      <c r="V7972" t="s">
        <v>57352</v>
      </c>
      <c r="W7972" t="s">
        <v>41096</v>
      </c>
      <c r="X7972" t="s">
        <v>43176</v>
      </c>
    </row>
    <row r="7973" spans="1:24">
      <c r="A7973">
        <f>HYPERLINK("https://www.philgeps.gov.ph/GEPSNONPILOT/Tender/SplashBidNoticeAbstractUI.aspx?menuIndex=3&amp;refID=7072909&amp;Result=3","7072909")</f>
        <v>0</v>
      </c>
      <c r="B7973" t="s">
        <v>1687</v>
      </c>
      <c r="C7973" t="s">
        <v>11000</v>
      </c>
      <c r="D7973" t="s">
        <v>17466</v>
      </c>
      <c r="E7973" t="s">
        <v>24373</v>
      </c>
      <c r="F7973" t="s">
        <v>30052</v>
      </c>
      <c r="G7973" t="s">
        <v>30058</v>
      </c>
      <c r="H7973" t="s">
        <v>15498</v>
      </c>
      <c r="I7973" t="s">
        <v>30120</v>
      </c>
      <c r="J7973" t="s">
        <v>35088</v>
      </c>
      <c r="K7973" t="s">
        <v>39025</v>
      </c>
      <c r="M7973" t="s">
        <v>41096</v>
      </c>
      <c r="N7973" t="s">
        <v>43166</v>
      </c>
      <c r="O7973" t="s">
        <v>43167</v>
      </c>
      <c r="P7973">
        <v>0</v>
      </c>
      <c r="Q7973">
        <v>1</v>
      </c>
      <c r="R7973" t="s">
        <v>43174</v>
      </c>
      <c r="S7973" t="s">
        <v>43396</v>
      </c>
      <c r="T7973" t="s">
        <v>44969</v>
      </c>
      <c r="U7973" t="s">
        <v>51655</v>
      </c>
      <c r="V7973" t="s">
        <v>57670</v>
      </c>
      <c r="W7973" t="s">
        <v>41096</v>
      </c>
      <c r="X7973" t="s">
        <v>43176</v>
      </c>
    </row>
    <row r="7974" spans="1:24">
      <c r="A7974">
        <f>HYPERLINK("https://www.philgeps.gov.ph/GEPSNONPILOT/Tender/SplashBidNoticeAbstractUI.aspx?menuIndex=3&amp;refID=7072938&amp;Result=3","7072938")</f>
        <v>0</v>
      </c>
      <c r="B7974" t="s">
        <v>1687</v>
      </c>
      <c r="C7974" t="s">
        <v>11001</v>
      </c>
      <c r="D7974" t="s">
        <v>17466</v>
      </c>
      <c r="E7974" t="s">
        <v>24374</v>
      </c>
      <c r="F7974" t="s">
        <v>30052</v>
      </c>
      <c r="G7974" t="s">
        <v>30058</v>
      </c>
      <c r="H7974" t="s">
        <v>15498</v>
      </c>
      <c r="I7974" t="s">
        <v>30076</v>
      </c>
      <c r="J7974" t="s">
        <v>35089</v>
      </c>
      <c r="K7974" t="s">
        <v>39025</v>
      </c>
      <c r="M7974" t="s">
        <v>41096</v>
      </c>
      <c r="N7974" t="s">
        <v>43166</v>
      </c>
      <c r="O7974" t="s">
        <v>43167</v>
      </c>
      <c r="P7974">
        <v>0</v>
      </c>
      <c r="Q7974">
        <v>1</v>
      </c>
      <c r="R7974" t="s">
        <v>43174</v>
      </c>
      <c r="S7974" t="s">
        <v>43396</v>
      </c>
      <c r="T7974" t="s">
        <v>44969</v>
      </c>
      <c r="U7974" t="s">
        <v>51656</v>
      </c>
      <c r="V7974" t="s">
        <v>57352</v>
      </c>
      <c r="W7974" t="s">
        <v>41096</v>
      </c>
      <c r="X7974" t="s">
        <v>43176</v>
      </c>
    </row>
    <row r="7975" spans="1:24">
      <c r="A7975">
        <f>HYPERLINK("https://www.philgeps.gov.ph/GEPSNONPILOT/Tender/SplashBidNoticeAbstractUI.aspx?menuIndex=3&amp;refID=7072904&amp;Result=3","7072904")</f>
        <v>0</v>
      </c>
      <c r="B7975" t="s">
        <v>1687</v>
      </c>
      <c r="C7975" t="s">
        <v>11002</v>
      </c>
      <c r="D7975" t="s">
        <v>17466</v>
      </c>
      <c r="E7975" t="s">
        <v>24375</v>
      </c>
      <c r="F7975" t="s">
        <v>30052</v>
      </c>
      <c r="G7975" t="s">
        <v>30058</v>
      </c>
      <c r="H7975" t="s">
        <v>15498</v>
      </c>
      <c r="I7975" t="s">
        <v>6691</v>
      </c>
      <c r="J7975" t="s">
        <v>32366</v>
      </c>
      <c r="K7975" t="s">
        <v>39025</v>
      </c>
      <c r="M7975" t="s">
        <v>41096</v>
      </c>
      <c r="N7975" t="s">
        <v>43166</v>
      </c>
      <c r="O7975" t="s">
        <v>43167</v>
      </c>
      <c r="P7975">
        <v>0</v>
      </c>
      <c r="Q7975">
        <v>0</v>
      </c>
      <c r="R7975" t="s">
        <v>43174</v>
      </c>
      <c r="S7975" t="s">
        <v>43396</v>
      </c>
      <c r="T7975" t="s">
        <v>44969</v>
      </c>
      <c r="U7975" t="s">
        <v>51657</v>
      </c>
      <c r="V7975" t="s">
        <v>57671</v>
      </c>
      <c r="W7975" t="s">
        <v>41096</v>
      </c>
      <c r="X7975" t="s">
        <v>43176</v>
      </c>
    </row>
    <row r="7976" spans="1:24">
      <c r="A7976">
        <f>HYPERLINK("https://www.philgeps.gov.ph/GEPSNONPILOT/Tender/SplashBidNoticeAbstractUI.aspx?menuIndex=3&amp;refID=7072937&amp;Result=3","7072937")</f>
        <v>0</v>
      </c>
      <c r="B7976" t="s">
        <v>1608</v>
      </c>
      <c r="C7976" t="s">
        <v>11003</v>
      </c>
      <c r="D7976" t="s">
        <v>17415</v>
      </c>
      <c r="E7976" t="s">
        <v>24376</v>
      </c>
      <c r="F7976" t="s">
        <v>30052</v>
      </c>
      <c r="G7976" t="s">
        <v>30058</v>
      </c>
      <c r="H7976" t="s">
        <v>15498</v>
      </c>
      <c r="I7976" t="s">
        <v>30115</v>
      </c>
      <c r="J7976" t="s">
        <v>31613</v>
      </c>
      <c r="K7976" t="s">
        <v>39019</v>
      </c>
      <c r="M7976" t="s">
        <v>41007</v>
      </c>
      <c r="N7976" t="s">
        <v>43166</v>
      </c>
      <c r="O7976" t="s">
        <v>43167</v>
      </c>
      <c r="P7976">
        <v>0</v>
      </c>
      <c r="Q7976">
        <v>7</v>
      </c>
      <c r="R7976" t="s">
        <v>43174</v>
      </c>
      <c r="S7976" t="s">
        <v>43396</v>
      </c>
      <c r="T7976" t="s">
        <v>44844</v>
      </c>
      <c r="U7976" t="s">
        <v>50404</v>
      </c>
      <c r="W7976" t="s">
        <v>41007</v>
      </c>
      <c r="X7976" t="s">
        <v>43176</v>
      </c>
    </row>
    <row r="7977" spans="1:24">
      <c r="A7977">
        <f>HYPERLINK("https://www.philgeps.gov.ph/GEPSNONPILOT/Tender/SplashBidNoticeAbstractUI.aspx?menuIndex=3&amp;refID=7072926&amp;Result=3","7072926")</f>
        <v>0</v>
      </c>
      <c r="B7977" t="s">
        <v>1687</v>
      </c>
      <c r="C7977" t="s">
        <v>11004</v>
      </c>
      <c r="D7977" t="s">
        <v>17466</v>
      </c>
      <c r="E7977" t="s">
        <v>24377</v>
      </c>
      <c r="F7977" t="s">
        <v>30052</v>
      </c>
      <c r="G7977" t="s">
        <v>30058</v>
      </c>
      <c r="H7977" t="s">
        <v>15498</v>
      </c>
      <c r="I7977" t="s">
        <v>30076</v>
      </c>
      <c r="J7977" t="s">
        <v>35090</v>
      </c>
      <c r="K7977" t="s">
        <v>39025</v>
      </c>
      <c r="M7977" t="s">
        <v>41096</v>
      </c>
      <c r="N7977" t="s">
        <v>43166</v>
      </c>
      <c r="O7977" t="s">
        <v>43167</v>
      </c>
      <c r="P7977">
        <v>0</v>
      </c>
      <c r="Q7977">
        <v>5</v>
      </c>
      <c r="R7977" t="s">
        <v>43174</v>
      </c>
      <c r="S7977" t="s">
        <v>43396</v>
      </c>
      <c r="T7977" t="s">
        <v>44969</v>
      </c>
      <c r="U7977" t="s">
        <v>51658</v>
      </c>
      <c r="V7977" t="s">
        <v>57352</v>
      </c>
      <c r="W7977" t="s">
        <v>41096</v>
      </c>
      <c r="X7977" t="s">
        <v>43176</v>
      </c>
    </row>
    <row r="7978" spans="1:24">
      <c r="A7978">
        <f>HYPERLINK("https://www.philgeps.gov.ph/GEPSNONPILOT/Tender/SplashBidNoticeAbstractUI.aspx?menuIndex=3&amp;refID=7072925&amp;Result=3","7072925")</f>
        <v>0</v>
      </c>
      <c r="B7978" t="s">
        <v>1608</v>
      </c>
      <c r="C7978" t="s">
        <v>11005</v>
      </c>
      <c r="D7978" t="s">
        <v>17415</v>
      </c>
      <c r="E7978" t="s">
        <v>24378</v>
      </c>
      <c r="F7978" t="s">
        <v>30052</v>
      </c>
      <c r="G7978" t="s">
        <v>30058</v>
      </c>
      <c r="H7978" t="s">
        <v>15498</v>
      </c>
      <c r="I7978" t="s">
        <v>3852</v>
      </c>
      <c r="J7978" t="s">
        <v>35091</v>
      </c>
      <c r="K7978" t="s">
        <v>39019</v>
      </c>
      <c r="M7978" t="s">
        <v>41007</v>
      </c>
      <c r="N7978" t="s">
        <v>43166</v>
      </c>
      <c r="O7978" t="s">
        <v>43167</v>
      </c>
      <c r="P7978">
        <v>0</v>
      </c>
      <c r="Q7978">
        <v>0</v>
      </c>
      <c r="R7978" t="s">
        <v>43174</v>
      </c>
      <c r="S7978" t="s">
        <v>43396</v>
      </c>
      <c r="T7978" t="s">
        <v>44844</v>
      </c>
      <c r="U7978" t="s">
        <v>48908</v>
      </c>
      <c r="W7978" t="s">
        <v>41007</v>
      </c>
      <c r="X7978" t="s">
        <v>43176</v>
      </c>
    </row>
    <row r="7979" spans="1:24">
      <c r="A7979">
        <f>HYPERLINK("https://www.philgeps.gov.ph/GEPSNONPILOT/Tender/SplashBidNoticeAbstractUI.aspx?menuIndex=3&amp;refID=7072923&amp;Result=3","7072923")</f>
        <v>0</v>
      </c>
      <c r="B7979" t="s">
        <v>1687</v>
      </c>
      <c r="C7979" t="s">
        <v>11006</v>
      </c>
      <c r="D7979" t="s">
        <v>17466</v>
      </c>
      <c r="E7979" t="s">
        <v>24379</v>
      </c>
      <c r="F7979" t="s">
        <v>30052</v>
      </c>
      <c r="G7979" t="s">
        <v>30058</v>
      </c>
      <c r="H7979" t="s">
        <v>15498</v>
      </c>
      <c r="I7979" t="s">
        <v>30084</v>
      </c>
      <c r="J7979" t="s">
        <v>35092</v>
      </c>
      <c r="K7979" t="s">
        <v>39025</v>
      </c>
      <c r="M7979" t="s">
        <v>41096</v>
      </c>
      <c r="N7979" t="s">
        <v>43166</v>
      </c>
      <c r="O7979" t="s">
        <v>43167</v>
      </c>
      <c r="P7979">
        <v>0</v>
      </c>
      <c r="Q7979">
        <v>1</v>
      </c>
      <c r="R7979" t="s">
        <v>43174</v>
      </c>
      <c r="S7979" t="s">
        <v>43396</v>
      </c>
      <c r="T7979" t="s">
        <v>44969</v>
      </c>
      <c r="U7979" t="s">
        <v>51659</v>
      </c>
      <c r="V7979" t="s">
        <v>57668</v>
      </c>
      <c r="W7979" t="s">
        <v>41096</v>
      </c>
      <c r="X7979" t="s">
        <v>43176</v>
      </c>
    </row>
    <row r="7980" spans="1:24">
      <c r="A7980">
        <f>HYPERLINK("https://www.philgeps.gov.ph/GEPSNONPILOT/Tender/SplashBidNoticeAbstractUI.aspx?menuIndex=3&amp;refID=7072920&amp;Result=3","7072920")</f>
        <v>0</v>
      </c>
      <c r="B7980" t="s">
        <v>1608</v>
      </c>
      <c r="C7980" t="s">
        <v>11007</v>
      </c>
      <c r="D7980" t="s">
        <v>17415</v>
      </c>
      <c r="E7980" t="s">
        <v>24380</v>
      </c>
      <c r="F7980" t="s">
        <v>30052</v>
      </c>
      <c r="G7980" t="s">
        <v>30058</v>
      </c>
      <c r="H7980" t="s">
        <v>15498</v>
      </c>
      <c r="I7980" t="s">
        <v>3852</v>
      </c>
      <c r="J7980" t="s">
        <v>35093</v>
      </c>
      <c r="K7980" t="s">
        <v>39019</v>
      </c>
      <c r="M7980" t="s">
        <v>41007</v>
      </c>
      <c r="N7980" t="s">
        <v>43166</v>
      </c>
      <c r="O7980" t="s">
        <v>43167</v>
      </c>
      <c r="P7980">
        <v>0</v>
      </c>
      <c r="Q7980">
        <v>1</v>
      </c>
      <c r="R7980" t="s">
        <v>43174</v>
      </c>
      <c r="S7980" t="s">
        <v>43396</v>
      </c>
      <c r="T7980" t="s">
        <v>44844</v>
      </c>
      <c r="U7980" t="s">
        <v>48908</v>
      </c>
      <c r="W7980" t="s">
        <v>41007</v>
      </c>
      <c r="X7980" t="s">
        <v>43176</v>
      </c>
    </row>
    <row r="7981" spans="1:24">
      <c r="A7981">
        <f>HYPERLINK("https://www.philgeps.gov.ph/GEPSNONPILOT/Tender/SplashBidNoticeAbstractUI.aspx?menuIndex=3&amp;refID=7072919&amp;Result=3","7072919")</f>
        <v>0</v>
      </c>
      <c r="B7981" t="s">
        <v>1687</v>
      </c>
      <c r="C7981" t="s">
        <v>11008</v>
      </c>
      <c r="D7981" t="s">
        <v>17466</v>
      </c>
      <c r="E7981" t="s">
        <v>24381</v>
      </c>
      <c r="F7981" t="s">
        <v>30052</v>
      </c>
      <c r="G7981" t="s">
        <v>30058</v>
      </c>
      <c r="H7981" t="s">
        <v>15498</v>
      </c>
      <c r="I7981" t="s">
        <v>30171</v>
      </c>
      <c r="J7981" t="s">
        <v>31196</v>
      </c>
      <c r="K7981" t="s">
        <v>39025</v>
      </c>
      <c r="M7981" t="s">
        <v>41096</v>
      </c>
      <c r="N7981" t="s">
        <v>43166</v>
      </c>
      <c r="O7981" t="s">
        <v>43167</v>
      </c>
      <c r="P7981">
        <v>0</v>
      </c>
      <c r="Q7981">
        <v>1</v>
      </c>
      <c r="R7981" t="s">
        <v>43174</v>
      </c>
      <c r="S7981" t="s">
        <v>43396</v>
      </c>
      <c r="T7981" t="s">
        <v>44969</v>
      </c>
      <c r="U7981" t="s">
        <v>51660</v>
      </c>
      <c r="V7981" t="s">
        <v>57352</v>
      </c>
      <c r="W7981" t="s">
        <v>41096</v>
      </c>
      <c r="X7981" t="s">
        <v>43176</v>
      </c>
    </row>
    <row r="7982" spans="1:24">
      <c r="A7982">
        <f>HYPERLINK("https://www.philgeps.gov.ph/GEPSNONPILOT/Tender/SplashBidNoticeAbstractUI.aspx?menuIndex=3&amp;refID=7072455&amp;Result=3","7072455")</f>
        <v>0</v>
      </c>
      <c r="B7982" t="s">
        <v>1071</v>
      </c>
      <c r="C7982" t="s">
        <v>11009</v>
      </c>
      <c r="D7982" t="s">
        <v>17426</v>
      </c>
      <c r="E7982" t="s">
        <v>24382</v>
      </c>
      <c r="F7982" t="s">
        <v>30052</v>
      </c>
      <c r="G7982" t="s">
        <v>30058</v>
      </c>
      <c r="H7982" t="s">
        <v>15498</v>
      </c>
      <c r="I7982" t="s">
        <v>4119</v>
      </c>
      <c r="J7982" t="s">
        <v>35094</v>
      </c>
      <c r="K7982" t="s">
        <v>39019</v>
      </c>
      <c r="M7982" t="s">
        <v>40406</v>
      </c>
      <c r="N7982" t="s">
        <v>43166</v>
      </c>
      <c r="O7982" t="s">
        <v>43167</v>
      </c>
      <c r="P7982">
        <v>0</v>
      </c>
      <c r="Q7982">
        <v>6</v>
      </c>
      <c r="R7982" t="s">
        <v>43174</v>
      </c>
      <c r="S7982" t="s">
        <v>43396</v>
      </c>
      <c r="T7982" t="s">
        <v>44716</v>
      </c>
      <c r="U7982" t="s">
        <v>51661</v>
      </c>
      <c r="W7982" t="s">
        <v>40406</v>
      </c>
      <c r="X7982" t="s">
        <v>43177</v>
      </c>
    </row>
    <row r="7983" spans="1:24">
      <c r="A7983">
        <f>HYPERLINK("https://www.philgeps.gov.ph/GEPSNONPILOT/Tender/SplashBidNoticeAbstractUI.aspx?menuIndex=3&amp;refID=7072915&amp;Result=3","7072915")</f>
        <v>0</v>
      </c>
      <c r="B7983" t="s">
        <v>1687</v>
      </c>
      <c r="C7983" t="s">
        <v>11010</v>
      </c>
      <c r="D7983" t="s">
        <v>17466</v>
      </c>
      <c r="E7983" t="s">
        <v>24383</v>
      </c>
      <c r="F7983" t="s">
        <v>30052</v>
      </c>
      <c r="G7983" t="s">
        <v>30058</v>
      </c>
      <c r="H7983" t="s">
        <v>15498</v>
      </c>
      <c r="I7983" t="s">
        <v>30073</v>
      </c>
      <c r="J7983" t="s">
        <v>35095</v>
      </c>
      <c r="K7983" t="s">
        <v>39025</v>
      </c>
      <c r="M7983" t="s">
        <v>41096</v>
      </c>
      <c r="N7983" t="s">
        <v>43166</v>
      </c>
      <c r="O7983" t="s">
        <v>43167</v>
      </c>
      <c r="P7983">
        <v>0</v>
      </c>
      <c r="Q7983">
        <v>0</v>
      </c>
      <c r="R7983" t="s">
        <v>43174</v>
      </c>
      <c r="S7983" t="s">
        <v>43396</v>
      </c>
      <c r="T7983" t="s">
        <v>44969</v>
      </c>
      <c r="U7983" t="s">
        <v>51662</v>
      </c>
      <c r="V7983" t="s">
        <v>57352</v>
      </c>
      <c r="W7983" t="s">
        <v>41096</v>
      </c>
      <c r="X7983" t="s">
        <v>43176</v>
      </c>
    </row>
    <row r="7984" spans="1:24">
      <c r="A7984">
        <f>HYPERLINK("https://www.philgeps.gov.ph/GEPSNONPILOT/Tender/SplashBidNoticeAbstractUI.aspx?menuIndex=3&amp;refID=7072928&amp;Result=3","7072928")</f>
        <v>0</v>
      </c>
      <c r="B7984" t="s">
        <v>1608</v>
      </c>
      <c r="C7984" t="s">
        <v>11011</v>
      </c>
      <c r="D7984" t="s">
        <v>17415</v>
      </c>
      <c r="E7984" t="s">
        <v>24384</v>
      </c>
      <c r="F7984" t="s">
        <v>30052</v>
      </c>
      <c r="G7984" t="s">
        <v>30058</v>
      </c>
      <c r="H7984" t="s">
        <v>15498</v>
      </c>
      <c r="I7984" t="s">
        <v>4650</v>
      </c>
      <c r="J7984" t="s">
        <v>35096</v>
      </c>
      <c r="K7984" t="s">
        <v>39019</v>
      </c>
      <c r="M7984" t="s">
        <v>41007</v>
      </c>
      <c r="N7984" t="s">
        <v>43166</v>
      </c>
      <c r="O7984" t="s">
        <v>43167</v>
      </c>
      <c r="P7984">
        <v>0</v>
      </c>
      <c r="Q7984">
        <v>6</v>
      </c>
      <c r="R7984" t="s">
        <v>43174</v>
      </c>
      <c r="S7984" t="s">
        <v>43396</v>
      </c>
      <c r="T7984" t="s">
        <v>44844</v>
      </c>
      <c r="U7984" t="s">
        <v>51663</v>
      </c>
      <c r="W7984" t="s">
        <v>41007</v>
      </c>
      <c r="X7984" t="s">
        <v>43176</v>
      </c>
    </row>
    <row r="7985" spans="1:24">
      <c r="A7985">
        <f>HYPERLINK("https://www.philgeps.gov.ph/GEPSNONPILOT/Tender/SplashBidNoticeAbstractUI.aspx?menuIndex=3&amp;refID=7072918&amp;Result=3","7072918")</f>
        <v>0</v>
      </c>
      <c r="B7985" t="s">
        <v>1608</v>
      </c>
      <c r="C7985" t="s">
        <v>11012</v>
      </c>
      <c r="D7985" t="s">
        <v>17415</v>
      </c>
      <c r="E7985" t="s">
        <v>24385</v>
      </c>
      <c r="F7985" t="s">
        <v>30052</v>
      </c>
      <c r="G7985" t="s">
        <v>30058</v>
      </c>
      <c r="H7985" t="s">
        <v>15498</v>
      </c>
      <c r="I7985" t="s">
        <v>30070</v>
      </c>
      <c r="J7985" t="s">
        <v>35097</v>
      </c>
      <c r="K7985" t="s">
        <v>39019</v>
      </c>
      <c r="M7985" t="s">
        <v>41007</v>
      </c>
      <c r="N7985" t="s">
        <v>43166</v>
      </c>
      <c r="O7985" t="s">
        <v>43167</v>
      </c>
      <c r="P7985">
        <v>0</v>
      </c>
      <c r="Q7985">
        <v>1</v>
      </c>
      <c r="R7985" t="s">
        <v>43174</v>
      </c>
      <c r="S7985" t="s">
        <v>43396</v>
      </c>
      <c r="T7985" t="s">
        <v>44844</v>
      </c>
      <c r="U7985" t="s">
        <v>45217</v>
      </c>
      <c r="W7985" t="s">
        <v>41007</v>
      </c>
      <c r="X7985" t="s">
        <v>43176</v>
      </c>
    </row>
    <row r="7986" spans="1:24">
      <c r="A7986">
        <f>HYPERLINK("https://www.philgeps.gov.ph/GEPSNONPILOT/Tender/SplashBidNoticeAbstractUI.aspx?menuIndex=3&amp;refID=7072921&amp;Result=3","7072921")</f>
        <v>0</v>
      </c>
      <c r="B7986" t="s">
        <v>1687</v>
      </c>
      <c r="C7986" t="s">
        <v>11013</v>
      </c>
      <c r="D7986" t="s">
        <v>17466</v>
      </c>
      <c r="E7986" t="s">
        <v>24386</v>
      </c>
      <c r="F7986" t="s">
        <v>30052</v>
      </c>
      <c r="G7986" t="s">
        <v>30058</v>
      </c>
      <c r="H7986" t="s">
        <v>15498</v>
      </c>
      <c r="I7986" t="s">
        <v>30098</v>
      </c>
      <c r="J7986" t="s">
        <v>31199</v>
      </c>
      <c r="K7986" t="s">
        <v>39025</v>
      </c>
      <c r="M7986" t="s">
        <v>41096</v>
      </c>
      <c r="N7986" t="s">
        <v>43166</v>
      </c>
      <c r="O7986" t="s">
        <v>43167</v>
      </c>
      <c r="P7986">
        <v>0</v>
      </c>
      <c r="Q7986">
        <v>0</v>
      </c>
      <c r="R7986" t="s">
        <v>43174</v>
      </c>
      <c r="S7986" t="s">
        <v>43396</v>
      </c>
      <c r="T7986" t="s">
        <v>44969</v>
      </c>
      <c r="U7986" t="s">
        <v>51664</v>
      </c>
      <c r="V7986" t="s">
        <v>57352</v>
      </c>
      <c r="W7986" t="s">
        <v>41096</v>
      </c>
      <c r="X7986" t="s">
        <v>43176</v>
      </c>
    </row>
    <row r="7987" spans="1:24">
      <c r="A7987">
        <f>HYPERLINK("https://www.philgeps.gov.ph/GEPSNONPILOT/Tender/SplashBidNoticeAbstractUI.aspx?menuIndex=3&amp;refID=7073274&amp;Result=3","7073274")</f>
        <v>0</v>
      </c>
      <c r="B7987" t="s">
        <v>2109</v>
      </c>
      <c r="C7987" t="s">
        <v>11014</v>
      </c>
      <c r="D7987" t="s">
        <v>17447</v>
      </c>
      <c r="E7987" t="s">
        <v>24387</v>
      </c>
      <c r="F7987" t="s">
        <v>30052</v>
      </c>
      <c r="G7987" t="s">
        <v>30058</v>
      </c>
      <c r="H7987" t="s">
        <v>30067</v>
      </c>
      <c r="I7987" t="s">
        <v>3693</v>
      </c>
      <c r="J7987" t="s">
        <v>35098</v>
      </c>
      <c r="K7987" t="s">
        <v>39029</v>
      </c>
      <c r="M7987" t="s">
        <v>41571</v>
      </c>
      <c r="N7987" t="s">
        <v>43166</v>
      </c>
      <c r="O7987" t="s">
        <v>43167</v>
      </c>
      <c r="P7987">
        <v>0</v>
      </c>
      <c r="Q7987">
        <v>3</v>
      </c>
      <c r="R7987" t="s">
        <v>43174</v>
      </c>
      <c r="S7987" t="s">
        <v>43396</v>
      </c>
      <c r="T7987" t="s">
        <v>44716</v>
      </c>
      <c r="U7987" t="s">
        <v>51665</v>
      </c>
      <c r="V7987" t="s">
        <v>57672</v>
      </c>
      <c r="W7987" t="s">
        <v>58673</v>
      </c>
      <c r="X7987" t="s">
        <v>43175</v>
      </c>
    </row>
    <row r="7988" spans="1:24">
      <c r="A7988">
        <f>HYPERLINK("https://www.philgeps.gov.ph/GEPSNONPILOT/Tender/SplashBidNoticeAbstractUI.aspx?menuIndex=3&amp;refID=7072931&amp;Result=3","7072931")</f>
        <v>0</v>
      </c>
      <c r="B7988" t="s">
        <v>1608</v>
      </c>
      <c r="C7988" t="s">
        <v>11015</v>
      </c>
      <c r="D7988" t="s">
        <v>17415</v>
      </c>
      <c r="E7988" t="s">
        <v>24388</v>
      </c>
      <c r="F7988" t="s">
        <v>30052</v>
      </c>
      <c r="G7988" t="s">
        <v>30058</v>
      </c>
      <c r="H7988" t="s">
        <v>15498</v>
      </c>
      <c r="I7988" t="s">
        <v>4650</v>
      </c>
      <c r="J7988" t="s">
        <v>35099</v>
      </c>
      <c r="K7988" t="s">
        <v>39019</v>
      </c>
      <c r="M7988" t="s">
        <v>41007</v>
      </c>
      <c r="N7988" t="s">
        <v>43166</v>
      </c>
      <c r="O7988" t="s">
        <v>43167</v>
      </c>
      <c r="P7988">
        <v>0</v>
      </c>
      <c r="Q7988">
        <v>3</v>
      </c>
      <c r="R7988" t="s">
        <v>43174</v>
      </c>
      <c r="S7988" t="s">
        <v>43396</v>
      </c>
      <c r="T7988" t="s">
        <v>44844</v>
      </c>
      <c r="U7988" t="s">
        <v>51666</v>
      </c>
      <c r="W7988" t="s">
        <v>41007</v>
      </c>
      <c r="X7988" t="s">
        <v>43176</v>
      </c>
    </row>
    <row r="7989" spans="1:24">
      <c r="A7989">
        <f>HYPERLINK("https://www.philgeps.gov.ph/GEPSNONPILOT/Tender/SplashBidNoticeAbstractUI.aspx?menuIndex=3&amp;refID=7073238&amp;Result=3","7073238")</f>
        <v>0</v>
      </c>
      <c r="B7989" t="s">
        <v>2445</v>
      </c>
      <c r="C7989" t="s">
        <v>11016</v>
      </c>
      <c r="D7989" t="s">
        <v>17422</v>
      </c>
      <c r="E7989" t="s">
        <v>18907</v>
      </c>
      <c r="F7989" t="s">
        <v>30052</v>
      </c>
      <c r="G7989" t="s">
        <v>30058</v>
      </c>
      <c r="H7989" t="s">
        <v>30067</v>
      </c>
      <c r="I7989" t="s">
        <v>3736</v>
      </c>
      <c r="J7989" t="s">
        <v>30252</v>
      </c>
      <c r="K7989" t="s">
        <v>39034</v>
      </c>
      <c r="M7989" t="s">
        <v>41944</v>
      </c>
      <c r="N7989" t="s">
        <v>43166</v>
      </c>
      <c r="O7989" t="s">
        <v>43167</v>
      </c>
      <c r="P7989">
        <v>0</v>
      </c>
      <c r="Q7989">
        <v>0</v>
      </c>
      <c r="R7989" t="s">
        <v>43174</v>
      </c>
      <c r="S7989" t="s">
        <v>43396</v>
      </c>
      <c r="T7989" t="s">
        <v>44788</v>
      </c>
      <c r="U7989" t="s">
        <v>51667</v>
      </c>
      <c r="V7989" t="s">
        <v>57673</v>
      </c>
      <c r="W7989" t="s">
        <v>41944</v>
      </c>
      <c r="X7989" t="s">
        <v>43175</v>
      </c>
    </row>
    <row r="7990" spans="1:24">
      <c r="A7990">
        <f>HYPERLINK("https://www.philgeps.gov.ph/GEPSNONPILOT/Tender/SplashBidNoticeAbstractUI.aspx?menuIndex=3&amp;refID=7073273&amp;Result=3","7073273")</f>
        <v>0</v>
      </c>
      <c r="B7990" t="s">
        <v>2446</v>
      </c>
      <c r="C7990" t="s">
        <v>11017</v>
      </c>
      <c r="D7990" t="s">
        <v>17430</v>
      </c>
      <c r="E7990" t="s">
        <v>24389</v>
      </c>
      <c r="F7990" t="s">
        <v>30052</v>
      </c>
      <c r="G7990" t="s">
        <v>30058</v>
      </c>
      <c r="H7990" t="s">
        <v>15498</v>
      </c>
      <c r="I7990" t="s">
        <v>30071</v>
      </c>
      <c r="J7990" t="s">
        <v>35100</v>
      </c>
      <c r="K7990" t="s">
        <v>39029</v>
      </c>
      <c r="M7990" t="s">
        <v>41945</v>
      </c>
      <c r="N7990" t="s">
        <v>43166</v>
      </c>
      <c r="O7990" t="s">
        <v>43167</v>
      </c>
      <c r="P7990">
        <v>0</v>
      </c>
      <c r="Q7990">
        <v>0</v>
      </c>
      <c r="R7990" t="s">
        <v>43174</v>
      </c>
      <c r="S7990" t="s">
        <v>43396</v>
      </c>
      <c r="T7990" t="s">
        <v>45004</v>
      </c>
      <c r="U7990" t="s">
        <v>51668</v>
      </c>
      <c r="V7990" t="s">
        <v>57674</v>
      </c>
      <c r="W7990" t="s">
        <v>41945</v>
      </c>
      <c r="X7990" t="s">
        <v>43175</v>
      </c>
    </row>
    <row r="7991" spans="1:24">
      <c r="A7991">
        <f>HYPERLINK("https://www.philgeps.gov.ph/GEPSNONPILOT/Tender/SplashBidNoticeAbstractUI.aspx?menuIndex=3&amp;refID=7073265&amp;Result=3","7073265")</f>
        <v>0</v>
      </c>
      <c r="B7991" t="s">
        <v>2447</v>
      </c>
      <c r="C7991" t="s">
        <v>6014</v>
      </c>
      <c r="E7991" t="s">
        <v>24390</v>
      </c>
      <c r="F7991" t="s">
        <v>30052</v>
      </c>
      <c r="G7991" t="s">
        <v>30058</v>
      </c>
      <c r="H7991" t="s">
        <v>15498</v>
      </c>
      <c r="I7991" t="s">
        <v>3736</v>
      </c>
      <c r="J7991" t="s">
        <v>35101</v>
      </c>
      <c r="K7991" t="s">
        <v>39025</v>
      </c>
      <c r="M7991" t="s">
        <v>41946</v>
      </c>
      <c r="N7991" t="s">
        <v>43166</v>
      </c>
      <c r="O7991" t="s">
        <v>43167</v>
      </c>
      <c r="P7991">
        <v>0</v>
      </c>
      <c r="Q7991">
        <v>0</v>
      </c>
      <c r="R7991" t="s">
        <v>43174</v>
      </c>
      <c r="S7991" t="s">
        <v>43396</v>
      </c>
      <c r="T7991" t="s">
        <v>44773</v>
      </c>
      <c r="U7991" t="s">
        <v>51669</v>
      </c>
      <c r="W7991" t="s">
        <v>41946</v>
      </c>
      <c r="X7991" t="s">
        <v>43175</v>
      </c>
    </row>
    <row r="7992" spans="1:24">
      <c r="A7992">
        <f>HYPERLINK("https://www.philgeps.gov.ph/GEPSNONPILOT/Tender/SplashBidNoticeAbstractUI.aspx?menuIndex=3&amp;refID=7073262&amp;Result=3","7073262")</f>
        <v>0</v>
      </c>
      <c r="B7992" t="s">
        <v>2448</v>
      </c>
      <c r="C7992" t="s">
        <v>11018</v>
      </c>
      <c r="D7992" t="s">
        <v>17445</v>
      </c>
      <c r="E7992" t="s">
        <v>20290</v>
      </c>
      <c r="F7992" t="s">
        <v>30052</v>
      </c>
      <c r="G7992" t="s">
        <v>30058</v>
      </c>
      <c r="H7992" t="s">
        <v>30067</v>
      </c>
      <c r="I7992" t="s">
        <v>3693</v>
      </c>
      <c r="J7992" t="s">
        <v>35102</v>
      </c>
      <c r="K7992" t="s">
        <v>39023</v>
      </c>
      <c r="M7992" t="s">
        <v>41947</v>
      </c>
      <c r="N7992" t="s">
        <v>43166</v>
      </c>
      <c r="O7992" t="s">
        <v>43167</v>
      </c>
      <c r="P7992">
        <v>0</v>
      </c>
      <c r="Q7992">
        <v>0</v>
      </c>
      <c r="R7992" t="s">
        <v>43174</v>
      </c>
      <c r="S7992" t="s">
        <v>43396</v>
      </c>
      <c r="T7992" t="s">
        <v>44832</v>
      </c>
      <c r="U7992" t="s">
        <v>51670</v>
      </c>
      <c r="W7992" t="s">
        <v>41947</v>
      </c>
      <c r="X7992" t="s">
        <v>43175</v>
      </c>
    </row>
    <row r="7993" spans="1:24">
      <c r="A7993">
        <f>HYPERLINK("https://www.philgeps.gov.ph/GEPSNONPILOT/Tender/SplashBidNoticeAbstractUI.aspx?menuIndex=3&amp;refID=7073261&amp;Result=3","7073261")</f>
        <v>0</v>
      </c>
      <c r="B7993" t="s">
        <v>2401</v>
      </c>
      <c r="C7993" t="s">
        <v>11019</v>
      </c>
      <c r="D7993" t="s">
        <v>17435</v>
      </c>
      <c r="E7993" t="s">
        <v>24391</v>
      </c>
      <c r="F7993" t="s">
        <v>30052</v>
      </c>
      <c r="G7993" t="s">
        <v>30058</v>
      </c>
      <c r="H7993" t="s">
        <v>15498</v>
      </c>
      <c r="I7993" t="s">
        <v>3736</v>
      </c>
      <c r="J7993" t="s">
        <v>31660</v>
      </c>
      <c r="K7993" t="s">
        <v>39034</v>
      </c>
      <c r="M7993" t="s">
        <v>41897</v>
      </c>
      <c r="N7993" t="s">
        <v>43166</v>
      </c>
      <c r="O7993" t="s">
        <v>43167</v>
      </c>
      <c r="P7993">
        <v>0</v>
      </c>
      <c r="Q7993">
        <v>0</v>
      </c>
      <c r="R7993" t="s">
        <v>43174</v>
      </c>
      <c r="S7993" t="s">
        <v>43396</v>
      </c>
      <c r="T7993" t="s">
        <v>44777</v>
      </c>
      <c r="U7993" t="s">
        <v>51671</v>
      </c>
      <c r="W7993" t="s">
        <v>41897</v>
      </c>
      <c r="X7993" t="s">
        <v>43175</v>
      </c>
    </row>
    <row r="7994" spans="1:24">
      <c r="A7994">
        <f>HYPERLINK("https://www.philgeps.gov.ph/GEPSNONPILOT/Tender/SplashBidNoticeAbstractUI.aspx?menuIndex=3&amp;refID=7073259&amp;Result=3","7073259")</f>
        <v>0</v>
      </c>
      <c r="B7994" t="s">
        <v>2449</v>
      </c>
      <c r="C7994" t="s">
        <v>11020</v>
      </c>
      <c r="D7994" t="s">
        <v>17441</v>
      </c>
      <c r="E7994" t="s">
        <v>17715</v>
      </c>
      <c r="F7994" t="s">
        <v>30052</v>
      </c>
      <c r="G7994" t="s">
        <v>30058</v>
      </c>
      <c r="H7994" t="s">
        <v>15498</v>
      </c>
      <c r="I7994" t="s">
        <v>30094</v>
      </c>
      <c r="J7994" t="s">
        <v>30248</v>
      </c>
      <c r="K7994" t="s">
        <v>39026</v>
      </c>
      <c r="M7994" t="s">
        <v>41948</v>
      </c>
      <c r="N7994" t="s">
        <v>43166</v>
      </c>
      <c r="O7994" t="s">
        <v>43167</v>
      </c>
      <c r="P7994">
        <v>0</v>
      </c>
      <c r="Q7994">
        <v>1</v>
      </c>
      <c r="R7994" t="s">
        <v>43174</v>
      </c>
      <c r="S7994" t="s">
        <v>43396</v>
      </c>
      <c r="T7994" t="s">
        <v>44782</v>
      </c>
      <c r="U7994" t="s">
        <v>51672</v>
      </c>
      <c r="W7994" t="s">
        <v>41948</v>
      </c>
      <c r="X7994" t="s">
        <v>43175</v>
      </c>
    </row>
    <row r="7995" spans="1:24">
      <c r="A7995">
        <f>HYPERLINK("https://www.philgeps.gov.ph/GEPSNONPILOT/Tender/SplashBidNoticeAbstractUI.aspx?menuIndex=3&amp;refID=7073240&amp;Result=3","7073240")</f>
        <v>0</v>
      </c>
      <c r="B7995" t="s">
        <v>2450</v>
      </c>
      <c r="C7995" t="s">
        <v>11021</v>
      </c>
      <c r="D7995" t="s">
        <v>17422</v>
      </c>
      <c r="E7995" t="s">
        <v>18907</v>
      </c>
      <c r="F7995" t="s">
        <v>30052</v>
      </c>
      <c r="G7995" t="s">
        <v>30058</v>
      </c>
      <c r="H7995" t="s">
        <v>15498</v>
      </c>
      <c r="I7995" t="s">
        <v>3736</v>
      </c>
      <c r="J7995" t="s">
        <v>30218</v>
      </c>
      <c r="K7995" t="s">
        <v>39034</v>
      </c>
      <c r="M7995" t="s">
        <v>41949</v>
      </c>
      <c r="N7995" t="s">
        <v>43166</v>
      </c>
      <c r="O7995" t="s">
        <v>43167</v>
      </c>
      <c r="P7995">
        <v>0</v>
      </c>
      <c r="Q7995">
        <v>0</v>
      </c>
      <c r="R7995" t="s">
        <v>43174</v>
      </c>
      <c r="S7995" t="s">
        <v>43396</v>
      </c>
      <c r="T7995" t="s">
        <v>44788</v>
      </c>
      <c r="U7995" t="s">
        <v>51673</v>
      </c>
      <c r="V7995" t="s">
        <v>57675</v>
      </c>
      <c r="W7995" t="s">
        <v>41949</v>
      </c>
      <c r="X7995" t="s">
        <v>43175</v>
      </c>
    </row>
    <row r="7996" spans="1:24">
      <c r="A7996">
        <f>HYPERLINK("https://www.philgeps.gov.ph/GEPSNONPILOT/Tender/SplashBidNoticeAbstractUI.aspx?menuIndex=3&amp;refID=7073254&amp;Result=3","7073254")</f>
        <v>0</v>
      </c>
      <c r="B7996" t="s">
        <v>2451</v>
      </c>
      <c r="C7996" t="s">
        <v>11022</v>
      </c>
      <c r="D7996" t="s">
        <v>17419</v>
      </c>
      <c r="E7996" t="s">
        <v>21845</v>
      </c>
      <c r="F7996" t="s">
        <v>30052</v>
      </c>
      <c r="G7996" t="s">
        <v>30058</v>
      </c>
      <c r="H7996" t="s">
        <v>15498</v>
      </c>
      <c r="I7996" t="s">
        <v>3736</v>
      </c>
      <c r="J7996" t="s">
        <v>35103</v>
      </c>
      <c r="K7996" t="s">
        <v>39034</v>
      </c>
      <c r="M7996" t="s">
        <v>41950</v>
      </c>
      <c r="N7996" t="s">
        <v>43166</v>
      </c>
      <c r="O7996" t="s">
        <v>43167</v>
      </c>
      <c r="P7996">
        <v>0</v>
      </c>
      <c r="Q7996">
        <v>0</v>
      </c>
      <c r="R7996" t="s">
        <v>43174</v>
      </c>
      <c r="S7996" t="s">
        <v>43396</v>
      </c>
      <c r="T7996" t="s">
        <v>44826</v>
      </c>
      <c r="U7996" t="s">
        <v>51674</v>
      </c>
      <c r="W7996" t="s">
        <v>41950</v>
      </c>
      <c r="X7996" t="s">
        <v>43175</v>
      </c>
    </row>
    <row r="7997" spans="1:24">
      <c r="A7997">
        <f>HYPERLINK("https://www.philgeps.gov.ph/GEPSNONPILOT/Tender/SplashBidNoticeAbstractUI.aspx?menuIndex=3&amp;refID=7073199&amp;Result=3","7073199")</f>
        <v>0</v>
      </c>
      <c r="B7997" t="s">
        <v>2452</v>
      </c>
      <c r="C7997" t="s">
        <v>11023</v>
      </c>
      <c r="D7997" t="s">
        <v>17459</v>
      </c>
      <c r="E7997" t="s">
        <v>24392</v>
      </c>
      <c r="F7997" t="s">
        <v>30052</v>
      </c>
      <c r="G7997" t="s">
        <v>30058</v>
      </c>
      <c r="H7997" t="s">
        <v>15498</v>
      </c>
      <c r="I7997" t="s">
        <v>6691</v>
      </c>
      <c r="J7997" t="s">
        <v>35104</v>
      </c>
      <c r="K7997" t="s">
        <v>39019</v>
      </c>
      <c r="M7997" t="s">
        <v>41951</v>
      </c>
      <c r="N7997" t="s">
        <v>43166</v>
      </c>
      <c r="O7997" t="s">
        <v>43167</v>
      </c>
      <c r="P7997">
        <v>0</v>
      </c>
      <c r="Q7997">
        <v>1</v>
      </c>
      <c r="R7997" t="s">
        <v>43174</v>
      </c>
      <c r="S7997" t="s">
        <v>43396</v>
      </c>
      <c r="T7997" t="s">
        <v>45081</v>
      </c>
      <c r="U7997" t="s">
        <v>51675</v>
      </c>
      <c r="V7997" t="s">
        <v>57676</v>
      </c>
      <c r="W7997" t="s">
        <v>41951</v>
      </c>
      <c r="X7997" t="s">
        <v>43176</v>
      </c>
    </row>
    <row r="7998" spans="1:24">
      <c r="A7998">
        <f>HYPERLINK("https://www.philgeps.gov.ph/GEPSNONPILOT/Tender/SplashBidNoticeAbstractUI.aspx?menuIndex=3&amp;refID=7073278&amp;Result=3","7073278")</f>
        <v>0</v>
      </c>
      <c r="B7998" t="s">
        <v>300</v>
      </c>
      <c r="C7998" t="s">
        <v>11024</v>
      </c>
      <c r="D7998" t="s">
        <v>17435</v>
      </c>
      <c r="E7998" t="s">
        <v>24393</v>
      </c>
      <c r="F7998" t="s">
        <v>30052</v>
      </c>
      <c r="G7998" t="s">
        <v>30059</v>
      </c>
      <c r="H7998" t="s">
        <v>15498</v>
      </c>
      <c r="I7998" t="s">
        <v>4598</v>
      </c>
      <c r="J7998" t="s">
        <v>30402</v>
      </c>
      <c r="K7998" t="s">
        <v>39025</v>
      </c>
      <c r="M7998" t="s">
        <v>39595</v>
      </c>
      <c r="N7998" t="s">
        <v>43166</v>
      </c>
      <c r="O7998" t="s">
        <v>43167</v>
      </c>
      <c r="Q7998">
        <v>11</v>
      </c>
      <c r="R7998" t="s">
        <v>43174</v>
      </c>
      <c r="S7998" t="s">
        <v>43404</v>
      </c>
      <c r="T7998" t="s">
        <v>44705</v>
      </c>
      <c r="U7998" t="s">
        <v>45723</v>
      </c>
      <c r="W7998" t="s">
        <v>39595</v>
      </c>
      <c r="X7998" t="s">
        <v>43175</v>
      </c>
    </row>
    <row r="7999" spans="1:24">
      <c r="A7999">
        <f>HYPERLINK("https://www.philgeps.gov.ph/GEPSNONPILOT/Tender/SplashBidNoticeAbstractUI.aspx?menuIndex=3&amp;refID=7073267&amp;Result=3","7073267")</f>
        <v>0</v>
      </c>
      <c r="B7999" t="s">
        <v>2109</v>
      </c>
      <c r="C7999" t="s">
        <v>11025</v>
      </c>
      <c r="D7999" t="s">
        <v>17447</v>
      </c>
      <c r="E7999" t="s">
        <v>24394</v>
      </c>
      <c r="F7999" t="s">
        <v>30052</v>
      </c>
      <c r="G7999" t="s">
        <v>30058</v>
      </c>
      <c r="H7999" t="s">
        <v>30067</v>
      </c>
      <c r="I7999" t="s">
        <v>3693</v>
      </c>
      <c r="J7999" t="s">
        <v>35105</v>
      </c>
      <c r="K7999" t="s">
        <v>39026</v>
      </c>
      <c r="M7999" t="s">
        <v>41571</v>
      </c>
      <c r="N7999" t="s">
        <v>43166</v>
      </c>
      <c r="O7999" t="s">
        <v>43167</v>
      </c>
      <c r="P7999">
        <v>0</v>
      </c>
      <c r="Q7999">
        <v>5</v>
      </c>
      <c r="R7999" t="s">
        <v>43174</v>
      </c>
      <c r="S7999" t="s">
        <v>43396</v>
      </c>
      <c r="T7999" t="s">
        <v>44716</v>
      </c>
      <c r="U7999" t="s">
        <v>51676</v>
      </c>
      <c r="V7999" t="s">
        <v>57677</v>
      </c>
      <c r="W7999" t="s">
        <v>58673</v>
      </c>
      <c r="X7999" t="s">
        <v>43175</v>
      </c>
    </row>
    <row r="8000" spans="1:24">
      <c r="A8000">
        <f>HYPERLINK("https://www.philgeps.gov.ph/GEPSNONPILOT/Tender/SplashBidNoticeAbstractUI.aspx?menuIndex=3&amp;refID=7073252&amp;Result=3","7073252")</f>
        <v>0</v>
      </c>
      <c r="B8000" t="s">
        <v>2278</v>
      </c>
      <c r="C8000" t="s">
        <v>11026</v>
      </c>
      <c r="D8000" t="s">
        <v>17423</v>
      </c>
      <c r="E8000" t="s">
        <v>24395</v>
      </c>
      <c r="F8000" t="s">
        <v>30052</v>
      </c>
      <c r="G8000" t="s">
        <v>30058</v>
      </c>
      <c r="H8000" t="s">
        <v>30067</v>
      </c>
      <c r="I8000" t="s">
        <v>3693</v>
      </c>
      <c r="J8000" t="s">
        <v>35106</v>
      </c>
      <c r="K8000" t="s">
        <v>39049</v>
      </c>
      <c r="M8000" t="s">
        <v>41760</v>
      </c>
      <c r="N8000" t="s">
        <v>43166</v>
      </c>
      <c r="O8000" t="s">
        <v>43167</v>
      </c>
      <c r="P8000">
        <v>0</v>
      </c>
      <c r="Q8000">
        <v>0</v>
      </c>
      <c r="R8000" t="s">
        <v>43174</v>
      </c>
      <c r="S8000" t="s">
        <v>43396</v>
      </c>
      <c r="T8000" t="s">
        <v>44717</v>
      </c>
      <c r="U8000" t="s">
        <v>51677</v>
      </c>
      <c r="W8000" t="s">
        <v>41760</v>
      </c>
      <c r="X8000" t="s">
        <v>43175</v>
      </c>
    </row>
    <row r="8001" spans="1:24">
      <c r="A8001">
        <f>HYPERLINK("https://www.philgeps.gov.ph/GEPSNONPILOT/Tender/SplashBidNoticeAbstractUI.aspx?menuIndex=3&amp;refID=7073250&amp;Result=3","7073250")</f>
        <v>0</v>
      </c>
      <c r="B8001" t="s">
        <v>2079</v>
      </c>
      <c r="C8001" t="s">
        <v>9770</v>
      </c>
      <c r="D8001" t="s">
        <v>17451</v>
      </c>
      <c r="E8001" t="s">
        <v>24396</v>
      </c>
      <c r="F8001" t="s">
        <v>30052</v>
      </c>
      <c r="G8001" t="s">
        <v>30061</v>
      </c>
      <c r="H8001" t="s">
        <v>15498</v>
      </c>
      <c r="I8001" t="s">
        <v>30096</v>
      </c>
      <c r="J8001" t="s">
        <v>30207</v>
      </c>
      <c r="K8001" t="s">
        <v>39017</v>
      </c>
      <c r="M8001" t="s">
        <v>41583</v>
      </c>
      <c r="N8001" t="s">
        <v>43166</v>
      </c>
      <c r="O8001" t="s">
        <v>43167</v>
      </c>
      <c r="P8001">
        <v>0</v>
      </c>
      <c r="Q8001">
        <v>4</v>
      </c>
      <c r="R8001" t="s">
        <v>43174</v>
      </c>
      <c r="S8001" t="s">
        <v>43396</v>
      </c>
      <c r="T8001" t="s">
        <v>44865</v>
      </c>
      <c r="U8001" t="s">
        <v>50600</v>
      </c>
      <c r="W8001" t="s">
        <v>41583</v>
      </c>
      <c r="X8001" t="s">
        <v>43175</v>
      </c>
    </row>
    <row r="8002" spans="1:24">
      <c r="A8002">
        <f>HYPERLINK("https://www.philgeps.gov.ph/GEPSNONPILOT/Tender/SplashBidNoticeAbstractUI.aspx?menuIndex=3&amp;refID=7073249&amp;Result=3","7073249")</f>
        <v>0</v>
      </c>
      <c r="B8002" t="s">
        <v>2079</v>
      </c>
      <c r="C8002" t="s">
        <v>11027</v>
      </c>
      <c r="D8002" t="s">
        <v>17451</v>
      </c>
      <c r="E8002" t="s">
        <v>24397</v>
      </c>
      <c r="F8002" t="s">
        <v>30052</v>
      </c>
      <c r="G8002" t="s">
        <v>30061</v>
      </c>
      <c r="H8002" t="s">
        <v>15498</v>
      </c>
      <c r="I8002" t="s">
        <v>7228</v>
      </c>
      <c r="J8002" t="s">
        <v>35107</v>
      </c>
      <c r="K8002" t="s">
        <v>39017</v>
      </c>
      <c r="M8002" t="s">
        <v>41583</v>
      </c>
      <c r="N8002" t="s">
        <v>43166</v>
      </c>
      <c r="O8002" t="s">
        <v>43167</v>
      </c>
      <c r="P8002">
        <v>0</v>
      </c>
      <c r="Q8002">
        <v>0</v>
      </c>
      <c r="R8002" t="s">
        <v>43174</v>
      </c>
      <c r="S8002" t="s">
        <v>43396</v>
      </c>
      <c r="T8002" t="s">
        <v>44822</v>
      </c>
      <c r="U8002" t="s">
        <v>51678</v>
      </c>
      <c r="W8002" t="s">
        <v>41583</v>
      </c>
      <c r="X8002" t="s">
        <v>43175</v>
      </c>
    </row>
    <row r="8003" spans="1:24">
      <c r="A8003">
        <f>HYPERLINK("https://www.philgeps.gov.ph/GEPSNONPILOT/Tender/SplashBidNoticeAbstractUI.aspx?menuIndex=3&amp;refID=7073241&amp;Result=3","7073241")</f>
        <v>0</v>
      </c>
      <c r="B8003" t="s">
        <v>2453</v>
      </c>
      <c r="C8003" t="s">
        <v>11028</v>
      </c>
      <c r="D8003" t="s">
        <v>17422</v>
      </c>
      <c r="E8003" t="s">
        <v>18907</v>
      </c>
      <c r="F8003" t="s">
        <v>30052</v>
      </c>
      <c r="G8003" t="s">
        <v>30058</v>
      </c>
      <c r="H8003" t="s">
        <v>15498</v>
      </c>
      <c r="I8003" t="s">
        <v>3736</v>
      </c>
      <c r="J8003" t="s">
        <v>35108</v>
      </c>
      <c r="K8003" t="s">
        <v>39034</v>
      </c>
      <c r="M8003" t="s">
        <v>41952</v>
      </c>
      <c r="N8003" t="s">
        <v>43166</v>
      </c>
      <c r="O8003" t="s">
        <v>43167</v>
      </c>
      <c r="P8003">
        <v>0</v>
      </c>
      <c r="Q8003">
        <v>0</v>
      </c>
      <c r="R8003" t="s">
        <v>43174</v>
      </c>
      <c r="S8003" t="s">
        <v>43396</v>
      </c>
      <c r="T8003" t="s">
        <v>44788</v>
      </c>
      <c r="U8003" t="s">
        <v>51679</v>
      </c>
      <c r="V8003" t="s">
        <v>57678</v>
      </c>
      <c r="W8003" t="s">
        <v>41952</v>
      </c>
      <c r="X8003" t="s">
        <v>43175</v>
      </c>
    </row>
    <row r="8004" spans="1:24">
      <c r="A8004">
        <f>HYPERLINK("https://www.philgeps.gov.ph/GEPSNONPILOT/Tender/SplashBidNoticeAbstractUI.aspx?menuIndex=3&amp;refID=7073248&amp;Result=3","7073248")</f>
        <v>0</v>
      </c>
      <c r="B8004" t="s">
        <v>2079</v>
      </c>
      <c r="C8004" t="s">
        <v>11027</v>
      </c>
      <c r="D8004" t="s">
        <v>17451</v>
      </c>
      <c r="E8004" t="s">
        <v>24398</v>
      </c>
      <c r="F8004" t="s">
        <v>30052</v>
      </c>
      <c r="G8004" t="s">
        <v>30061</v>
      </c>
      <c r="H8004" t="s">
        <v>15498</v>
      </c>
      <c r="I8004" t="s">
        <v>7228</v>
      </c>
      <c r="J8004" t="s">
        <v>30250</v>
      </c>
      <c r="K8004" t="s">
        <v>39017</v>
      </c>
      <c r="M8004" t="s">
        <v>41583</v>
      </c>
      <c r="N8004" t="s">
        <v>43166</v>
      </c>
      <c r="O8004" t="s">
        <v>43167</v>
      </c>
      <c r="P8004">
        <v>0</v>
      </c>
      <c r="Q8004">
        <v>0</v>
      </c>
      <c r="R8004" t="s">
        <v>43174</v>
      </c>
      <c r="S8004" t="s">
        <v>43396</v>
      </c>
      <c r="T8004" t="s">
        <v>44844</v>
      </c>
      <c r="U8004" t="s">
        <v>51678</v>
      </c>
      <c r="W8004" t="s">
        <v>41583</v>
      </c>
      <c r="X8004" t="s">
        <v>43175</v>
      </c>
    </row>
    <row r="8005" spans="1:24">
      <c r="A8005">
        <f>HYPERLINK("https://www.philgeps.gov.ph/GEPSNONPILOT/Tender/SplashBidNoticeAbstractUI.aspx?menuIndex=3&amp;refID=7073279&amp;Result=3","7073279")</f>
        <v>0</v>
      </c>
      <c r="B8005" t="s">
        <v>679</v>
      </c>
      <c r="C8005" t="s">
        <v>11029</v>
      </c>
      <c r="D8005" t="s">
        <v>17419</v>
      </c>
      <c r="E8005" t="s">
        <v>24399</v>
      </c>
      <c r="F8005" t="s">
        <v>30052</v>
      </c>
      <c r="G8005" t="s">
        <v>30059</v>
      </c>
      <c r="H8005" t="s">
        <v>15498</v>
      </c>
      <c r="I8005" t="s">
        <v>30081</v>
      </c>
      <c r="J8005" t="s">
        <v>35109</v>
      </c>
      <c r="K8005" t="s">
        <v>39017</v>
      </c>
      <c r="M8005" t="s">
        <v>39985</v>
      </c>
      <c r="N8005" t="s">
        <v>43166</v>
      </c>
      <c r="O8005" t="s">
        <v>43167</v>
      </c>
      <c r="P8005">
        <v>0</v>
      </c>
      <c r="Q8005">
        <v>0</v>
      </c>
      <c r="R8005" t="s">
        <v>43174</v>
      </c>
      <c r="S8005" t="s">
        <v>43396</v>
      </c>
      <c r="T8005" t="s">
        <v>44717</v>
      </c>
      <c r="U8005" t="s">
        <v>51680</v>
      </c>
      <c r="W8005" t="s">
        <v>39985</v>
      </c>
      <c r="X8005" t="s">
        <v>43175</v>
      </c>
    </row>
    <row r="8006" spans="1:24">
      <c r="A8006">
        <f>HYPERLINK("https://www.philgeps.gov.ph/GEPSNONPILOT/Tender/SplashBidNoticeAbstractUI.aspx?menuIndex=3&amp;refID=7073256&amp;Result=3","7073256")</f>
        <v>0</v>
      </c>
      <c r="B8006" t="s">
        <v>2451</v>
      </c>
      <c r="C8006" t="s">
        <v>11030</v>
      </c>
      <c r="D8006" t="s">
        <v>17419</v>
      </c>
      <c r="E8006" t="s">
        <v>18148</v>
      </c>
      <c r="F8006" t="s">
        <v>30052</v>
      </c>
      <c r="G8006" t="s">
        <v>30058</v>
      </c>
      <c r="H8006" t="s">
        <v>15498</v>
      </c>
      <c r="I8006" t="s">
        <v>3736</v>
      </c>
      <c r="J8006" t="s">
        <v>35110</v>
      </c>
      <c r="K8006" t="s">
        <v>39034</v>
      </c>
      <c r="M8006" t="s">
        <v>41950</v>
      </c>
      <c r="N8006" t="s">
        <v>43166</v>
      </c>
      <c r="O8006" t="s">
        <v>43167</v>
      </c>
      <c r="P8006">
        <v>0</v>
      </c>
      <c r="Q8006">
        <v>0</v>
      </c>
      <c r="R8006" t="s">
        <v>43174</v>
      </c>
      <c r="S8006" t="s">
        <v>43396</v>
      </c>
      <c r="T8006" t="s">
        <v>44832</v>
      </c>
      <c r="U8006" t="s">
        <v>51681</v>
      </c>
      <c r="W8006" t="s">
        <v>41950</v>
      </c>
      <c r="X8006" t="s">
        <v>43175</v>
      </c>
    </row>
    <row r="8007" spans="1:24">
      <c r="A8007">
        <f>HYPERLINK("https://www.philgeps.gov.ph/GEPSNONPILOT/Tender/SplashBidNoticeAbstractUI.aspx?menuIndex=3&amp;refID=7073277&amp;Result=3","7073277")</f>
        <v>0</v>
      </c>
      <c r="B8007" t="s">
        <v>2109</v>
      </c>
      <c r="C8007" t="s">
        <v>11031</v>
      </c>
      <c r="D8007" t="s">
        <v>17447</v>
      </c>
      <c r="E8007" t="s">
        <v>24400</v>
      </c>
      <c r="F8007" t="s">
        <v>30052</v>
      </c>
      <c r="G8007" t="s">
        <v>30058</v>
      </c>
      <c r="H8007" t="s">
        <v>30067</v>
      </c>
      <c r="I8007" t="s">
        <v>3693</v>
      </c>
      <c r="J8007" t="s">
        <v>35111</v>
      </c>
      <c r="K8007" t="s">
        <v>39029</v>
      </c>
      <c r="M8007" t="s">
        <v>41571</v>
      </c>
      <c r="N8007" t="s">
        <v>43166</v>
      </c>
      <c r="O8007" t="s">
        <v>43167</v>
      </c>
      <c r="P8007">
        <v>0</v>
      </c>
      <c r="Q8007">
        <v>3</v>
      </c>
      <c r="R8007" t="s">
        <v>43174</v>
      </c>
      <c r="S8007" t="s">
        <v>43396</v>
      </c>
      <c r="T8007" t="s">
        <v>44716</v>
      </c>
      <c r="U8007" t="s">
        <v>51682</v>
      </c>
      <c r="V8007" t="s">
        <v>57679</v>
      </c>
      <c r="W8007" t="s">
        <v>58673</v>
      </c>
      <c r="X8007" t="s">
        <v>43175</v>
      </c>
    </row>
    <row r="8008" spans="1:24">
      <c r="A8008">
        <f>HYPERLINK("https://www.philgeps.gov.ph/GEPSNONPILOT/Tender/SplashBidNoticeAbstractUI.aspx?menuIndex=3&amp;refID=7073286&amp;Result=3","7073286")</f>
        <v>0</v>
      </c>
      <c r="B8008" t="s">
        <v>684</v>
      </c>
      <c r="C8008" t="s">
        <v>11032</v>
      </c>
      <c r="D8008" t="s">
        <v>17473</v>
      </c>
      <c r="E8008" t="s">
        <v>24401</v>
      </c>
      <c r="F8008" t="s">
        <v>30052</v>
      </c>
      <c r="G8008" t="s">
        <v>30058</v>
      </c>
      <c r="H8008" t="s">
        <v>15498</v>
      </c>
      <c r="I8008" t="s">
        <v>30073</v>
      </c>
      <c r="J8008" t="s">
        <v>35112</v>
      </c>
      <c r="K8008" t="s">
        <v>39029</v>
      </c>
      <c r="M8008" t="s">
        <v>39999</v>
      </c>
      <c r="N8008" t="s">
        <v>43166</v>
      </c>
      <c r="O8008" t="s">
        <v>43167</v>
      </c>
      <c r="P8008">
        <v>0</v>
      </c>
      <c r="Q8008">
        <v>2</v>
      </c>
      <c r="R8008" t="s">
        <v>43174</v>
      </c>
      <c r="S8008" t="s">
        <v>43396</v>
      </c>
      <c r="T8008" t="s">
        <v>44945</v>
      </c>
      <c r="U8008" t="s">
        <v>51683</v>
      </c>
      <c r="W8008" t="s">
        <v>39999</v>
      </c>
      <c r="X8008" t="s">
        <v>43175</v>
      </c>
    </row>
    <row r="8009" spans="1:24">
      <c r="A8009">
        <f>HYPERLINK("https://www.philgeps.gov.ph/GEPSNONPILOT/Tender/SplashBidNoticeAbstractUI.aspx?menuIndex=3&amp;refID=7073304&amp;Result=3","7073304")</f>
        <v>0</v>
      </c>
      <c r="B8009" t="s">
        <v>2454</v>
      </c>
      <c r="C8009" t="s">
        <v>11033</v>
      </c>
      <c r="D8009" t="s">
        <v>17486</v>
      </c>
      <c r="E8009" t="s">
        <v>24402</v>
      </c>
      <c r="F8009" t="s">
        <v>30052</v>
      </c>
      <c r="G8009" t="s">
        <v>30058</v>
      </c>
      <c r="H8009" t="s">
        <v>30067</v>
      </c>
      <c r="I8009" t="s">
        <v>3693</v>
      </c>
      <c r="J8009" t="s">
        <v>35113</v>
      </c>
      <c r="K8009" t="s">
        <v>39016</v>
      </c>
      <c r="M8009" t="s">
        <v>41953</v>
      </c>
      <c r="N8009" t="s">
        <v>43166</v>
      </c>
      <c r="O8009" t="s">
        <v>43167</v>
      </c>
      <c r="P8009">
        <v>0</v>
      </c>
      <c r="Q8009">
        <v>9</v>
      </c>
      <c r="R8009" t="s">
        <v>43174</v>
      </c>
      <c r="S8009" t="s">
        <v>43396</v>
      </c>
      <c r="T8009" t="s">
        <v>44699</v>
      </c>
      <c r="U8009" t="s">
        <v>51684</v>
      </c>
      <c r="W8009" t="s">
        <v>41953</v>
      </c>
      <c r="X8009" t="s">
        <v>43175</v>
      </c>
    </row>
    <row r="8010" spans="1:24">
      <c r="A8010">
        <f>HYPERLINK("https://www.philgeps.gov.ph/GEPSNONPILOT/Tender/SplashBidNoticeAbstractUI.aspx?menuIndex=3&amp;refID=7073302&amp;Result=3","7073302")</f>
        <v>0</v>
      </c>
      <c r="B8010" t="s">
        <v>674</v>
      </c>
      <c r="C8010" t="s">
        <v>11034</v>
      </c>
      <c r="D8010" t="s">
        <v>17422</v>
      </c>
      <c r="E8010" t="s">
        <v>24403</v>
      </c>
      <c r="F8010" t="s">
        <v>30052</v>
      </c>
      <c r="G8010" t="s">
        <v>30058</v>
      </c>
      <c r="H8010" t="s">
        <v>15498</v>
      </c>
      <c r="I8010" t="s">
        <v>3736</v>
      </c>
      <c r="J8010" t="s">
        <v>35114</v>
      </c>
      <c r="K8010" t="s">
        <v>39019</v>
      </c>
      <c r="M8010" t="s">
        <v>39980</v>
      </c>
      <c r="N8010" t="s">
        <v>43166</v>
      </c>
      <c r="O8010" t="s">
        <v>43167</v>
      </c>
      <c r="P8010">
        <v>0</v>
      </c>
      <c r="Q8010">
        <v>1</v>
      </c>
      <c r="R8010" t="s">
        <v>43174</v>
      </c>
      <c r="S8010" t="s">
        <v>43396</v>
      </c>
      <c r="T8010" t="s">
        <v>45000</v>
      </c>
      <c r="U8010" t="s">
        <v>46487</v>
      </c>
      <c r="W8010" t="s">
        <v>39980</v>
      </c>
      <c r="X8010" t="s">
        <v>43175</v>
      </c>
    </row>
    <row r="8011" spans="1:24">
      <c r="A8011">
        <f>HYPERLINK("https://www.philgeps.gov.ph/GEPSNONPILOT/Tender/SplashBidNoticeAbstractUI.aspx?menuIndex=3&amp;refID=7073247&amp;Result=3","7073247")</f>
        <v>0</v>
      </c>
      <c r="B8011" t="s">
        <v>2079</v>
      </c>
      <c r="C8011" t="s">
        <v>11035</v>
      </c>
      <c r="D8011" t="s">
        <v>17451</v>
      </c>
      <c r="E8011" t="s">
        <v>24404</v>
      </c>
      <c r="F8011" t="s">
        <v>30052</v>
      </c>
      <c r="G8011" t="s">
        <v>30058</v>
      </c>
      <c r="H8011" t="s">
        <v>15498</v>
      </c>
      <c r="I8011" t="s">
        <v>7228</v>
      </c>
      <c r="J8011" t="s">
        <v>30343</v>
      </c>
      <c r="K8011" t="s">
        <v>39017</v>
      </c>
      <c r="M8011" t="s">
        <v>41583</v>
      </c>
      <c r="N8011" t="s">
        <v>43166</v>
      </c>
      <c r="O8011" t="s">
        <v>43167</v>
      </c>
      <c r="P8011">
        <v>0</v>
      </c>
      <c r="Q8011">
        <v>1</v>
      </c>
      <c r="R8011" t="s">
        <v>43174</v>
      </c>
      <c r="S8011" t="s">
        <v>43396</v>
      </c>
      <c r="T8011" t="s">
        <v>44717</v>
      </c>
      <c r="U8011" t="s">
        <v>51685</v>
      </c>
      <c r="W8011" t="s">
        <v>41583</v>
      </c>
      <c r="X8011" t="s">
        <v>43175</v>
      </c>
    </row>
    <row r="8012" spans="1:24">
      <c r="A8012">
        <f>HYPERLINK("https://www.philgeps.gov.ph/GEPSNONPILOT/Tender/SplashBidNoticeAbstractUI.aspx?menuIndex=3&amp;refID=7073301&amp;Result=3","7073301")</f>
        <v>0</v>
      </c>
      <c r="B8012" t="s">
        <v>1339</v>
      </c>
      <c r="C8012" t="s">
        <v>11036</v>
      </c>
      <c r="D8012" t="s">
        <v>17474</v>
      </c>
      <c r="E8012" t="s">
        <v>24405</v>
      </c>
      <c r="F8012" t="s">
        <v>30052</v>
      </c>
      <c r="G8012" t="s">
        <v>30058</v>
      </c>
      <c r="H8012" t="s">
        <v>15498</v>
      </c>
      <c r="I8012" t="s">
        <v>5961</v>
      </c>
      <c r="J8012" t="s">
        <v>35115</v>
      </c>
      <c r="K8012" t="s">
        <v>39029</v>
      </c>
      <c r="M8012" t="s">
        <v>40706</v>
      </c>
      <c r="N8012" t="s">
        <v>43166</v>
      </c>
      <c r="O8012" t="s">
        <v>43167</v>
      </c>
      <c r="P8012">
        <v>0</v>
      </c>
      <c r="Q8012">
        <v>0</v>
      </c>
      <c r="R8012" t="s">
        <v>43174</v>
      </c>
      <c r="S8012" t="s">
        <v>43396</v>
      </c>
      <c r="T8012" t="s">
        <v>44844</v>
      </c>
      <c r="U8012" t="s">
        <v>48174</v>
      </c>
      <c r="V8012" t="s">
        <v>57248</v>
      </c>
      <c r="W8012" t="s">
        <v>40706</v>
      </c>
      <c r="X8012" t="s">
        <v>43175</v>
      </c>
    </row>
    <row r="8013" spans="1:24">
      <c r="A8013">
        <f>HYPERLINK("https://www.philgeps.gov.ph/GEPSNONPILOT/Tender/SplashBidNoticeAbstractUI.aspx?menuIndex=3&amp;refID=7073298&amp;Result=3","7073298")</f>
        <v>0</v>
      </c>
      <c r="B8013" t="s">
        <v>1889</v>
      </c>
      <c r="C8013" t="s">
        <v>11037</v>
      </c>
      <c r="D8013" t="s">
        <v>17465</v>
      </c>
      <c r="E8013" t="s">
        <v>24406</v>
      </c>
      <c r="F8013" t="s">
        <v>30052</v>
      </c>
      <c r="G8013" t="s">
        <v>30061</v>
      </c>
      <c r="H8013" t="s">
        <v>15498</v>
      </c>
      <c r="I8013" t="s">
        <v>30071</v>
      </c>
      <c r="J8013" t="s">
        <v>35116</v>
      </c>
      <c r="K8013" t="s">
        <v>39025</v>
      </c>
      <c r="M8013" t="s">
        <v>41320</v>
      </c>
      <c r="N8013" t="s">
        <v>43166</v>
      </c>
      <c r="O8013" t="s">
        <v>43167</v>
      </c>
      <c r="P8013">
        <v>0</v>
      </c>
      <c r="Q8013">
        <v>1</v>
      </c>
      <c r="R8013" t="s">
        <v>43174</v>
      </c>
      <c r="S8013" t="s">
        <v>43396</v>
      </c>
      <c r="T8013" t="s">
        <v>44734</v>
      </c>
      <c r="U8013" t="s">
        <v>51686</v>
      </c>
      <c r="W8013" t="s">
        <v>41320</v>
      </c>
      <c r="X8013" t="s">
        <v>43175</v>
      </c>
    </row>
    <row r="8014" spans="1:24">
      <c r="A8014">
        <f>HYPERLINK("https://www.philgeps.gov.ph/GEPSNONPILOT/Tender/SplashBidNoticeAbstractUI.aspx?menuIndex=3&amp;refID=7073295&amp;Result=3","7073295")</f>
        <v>0</v>
      </c>
      <c r="B8014" t="s">
        <v>1339</v>
      </c>
      <c r="C8014" t="s">
        <v>11038</v>
      </c>
      <c r="D8014" t="s">
        <v>17474</v>
      </c>
      <c r="E8014" t="s">
        <v>24407</v>
      </c>
      <c r="F8014" t="s">
        <v>30052</v>
      </c>
      <c r="G8014" t="s">
        <v>30058</v>
      </c>
      <c r="H8014" t="s">
        <v>15498</v>
      </c>
      <c r="I8014" t="s">
        <v>5961</v>
      </c>
      <c r="J8014" t="s">
        <v>31913</v>
      </c>
      <c r="K8014" t="s">
        <v>39029</v>
      </c>
      <c r="M8014" t="s">
        <v>40706</v>
      </c>
      <c r="N8014" t="s">
        <v>43166</v>
      </c>
      <c r="O8014" t="s">
        <v>43167</v>
      </c>
      <c r="P8014">
        <v>0</v>
      </c>
      <c r="Q8014">
        <v>0</v>
      </c>
      <c r="R8014" t="s">
        <v>43174</v>
      </c>
      <c r="S8014" t="s">
        <v>43396</v>
      </c>
      <c r="T8014" t="s">
        <v>44844</v>
      </c>
      <c r="U8014" t="s">
        <v>48174</v>
      </c>
      <c r="V8014" t="s">
        <v>57248</v>
      </c>
      <c r="W8014" t="s">
        <v>40706</v>
      </c>
      <c r="X8014" t="s">
        <v>43175</v>
      </c>
    </row>
    <row r="8015" spans="1:24">
      <c r="A8015">
        <f>HYPERLINK("https://www.philgeps.gov.ph/GEPSNONPILOT/Tender/SplashBidNoticeAbstractUI.aspx?menuIndex=3&amp;refID=7073291&amp;Result=3","7073291")</f>
        <v>0</v>
      </c>
      <c r="B8015" t="s">
        <v>1339</v>
      </c>
      <c r="C8015" t="s">
        <v>11039</v>
      </c>
      <c r="D8015" t="s">
        <v>17474</v>
      </c>
      <c r="E8015" t="s">
        <v>24408</v>
      </c>
      <c r="F8015" t="s">
        <v>30052</v>
      </c>
      <c r="G8015" t="s">
        <v>30058</v>
      </c>
      <c r="H8015" t="s">
        <v>15498</v>
      </c>
      <c r="I8015" t="s">
        <v>5961</v>
      </c>
      <c r="J8015" t="s">
        <v>35117</v>
      </c>
      <c r="K8015" t="s">
        <v>39029</v>
      </c>
      <c r="M8015" t="s">
        <v>40706</v>
      </c>
      <c r="N8015" t="s">
        <v>43166</v>
      </c>
      <c r="O8015" t="s">
        <v>43167</v>
      </c>
      <c r="P8015">
        <v>0</v>
      </c>
      <c r="Q8015">
        <v>0</v>
      </c>
      <c r="R8015" t="s">
        <v>43174</v>
      </c>
      <c r="S8015" t="s">
        <v>43396</v>
      </c>
      <c r="T8015" t="s">
        <v>44844</v>
      </c>
      <c r="U8015" t="s">
        <v>48174</v>
      </c>
      <c r="V8015" t="s">
        <v>57248</v>
      </c>
      <c r="W8015" t="s">
        <v>40706</v>
      </c>
      <c r="X8015" t="s">
        <v>43175</v>
      </c>
    </row>
    <row r="8016" spans="1:24">
      <c r="A8016">
        <f>HYPERLINK("https://www.philgeps.gov.ph/GEPSNONPILOT/Tender/SplashBidNoticeAbstractUI.aspx?menuIndex=3&amp;refID=7073285&amp;Result=3","7073285")</f>
        <v>0</v>
      </c>
      <c r="B8016" t="s">
        <v>1339</v>
      </c>
      <c r="C8016" t="s">
        <v>11040</v>
      </c>
      <c r="D8016" t="s">
        <v>17474</v>
      </c>
      <c r="E8016" t="s">
        <v>24409</v>
      </c>
      <c r="F8016" t="s">
        <v>30052</v>
      </c>
      <c r="G8016" t="s">
        <v>30058</v>
      </c>
      <c r="H8016" t="s">
        <v>15498</v>
      </c>
      <c r="I8016" t="s">
        <v>3736</v>
      </c>
      <c r="J8016" t="s">
        <v>35118</v>
      </c>
      <c r="K8016" t="s">
        <v>39029</v>
      </c>
      <c r="M8016" t="s">
        <v>40706</v>
      </c>
      <c r="N8016" t="s">
        <v>43166</v>
      </c>
      <c r="O8016" t="s">
        <v>43167</v>
      </c>
      <c r="P8016">
        <v>0</v>
      </c>
      <c r="Q8016">
        <v>0</v>
      </c>
      <c r="R8016" t="s">
        <v>43174</v>
      </c>
      <c r="S8016" t="s">
        <v>43396</v>
      </c>
      <c r="T8016" t="s">
        <v>44844</v>
      </c>
      <c r="U8016" t="s">
        <v>48174</v>
      </c>
      <c r="V8016" t="s">
        <v>57248</v>
      </c>
      <c r="W8016" t="s">
        <v>40706</v>
      </c>
      <c r="X8016" t="s">
        <v>43175</v>
      </c>
    </row>
    <row r="8017" spans="1:24">
      <c r="A8017">
        <f>HYPERLINK("https://www.philgeps.gov.ph/GEPSNONPILOT/Tender/SplashBidNoticeAbstractUI.aspx?menuIndex=3&amp;refID=7073290&amp;Result=3","7073290")</f>
        <v>0</v>
      </c>
      <c r="B8017" t="s">
        <v>674</v>
      </c>
      <c r="C8017" t="s">
        <v>11041</v>
      </c>
      <c r="D8017" t="s">
        <v>17422</v>
      </c>
      <c r="E8017" t="s">
        <v>24410</v>
      </c>
      <c r="F8017" t="s">
        <v>30052</v>
      </c>
      <c r="G8017" t="s">
        <v>30058</v>
      </c>
      <c r="H8017" t="s">
        <v>15498</v>
      </c>
      <c r="I8017" t="s">
        <v>4650</v>
      </c>
      <c r="J8017" t="s">
        <v>35119</v>
      </c>
      <c r="K8017" t="s">
        <v>39034</v>
      </c>
      <c r="M8017" t="s">
        <v>39980</v>
      </c>
      <c r="N8017" t="s">
        <v>43166</v>
      </c>
      <c r="O8017" t="s">
        <v>43167</v>
      </c>
      <c r="Q8017">
        <v>11</v>
      </c>
      <c r="R8017" t="s">
        <v>43174</v>
      </c>
      <c r="S8017" t="s">
        <v>43405</v>
      </c>
      <c r="T8017" t="s">
        <v>45000</v>
      </c>
      <c r="U8017" t="s">
        <v>51687</v>
      </c>
      <c r="W8017" t="s">
        <v>39980</v>
      </c>
      <c r="X8017" t="s">
        <v>43175</v>
      </c>
    </row>
    <row r="8018" spans="1:24">
      <c r="A8018">
        <f>HYPERLINK("https://www.philgeps.gov.ph/GEPSNONPILOT/Tender/SplashBidNoticeAbstractUI.aspx?menuIndex=3&amp;refID=7073289&amp;Result=3","7073289")</f>
        <v>0</v>
      </c>
      <c r="B8018" t="s">
        <v>2226</v>
      </c>
      <c r="C8018" t="s">
        <v>11042</v>
      </c>
      <c r="D8018" t="s">
        <v>17452</v>
      </c>
      <c r="E8018" t="s">
        <v>24411</v>
      </c>
      <c r="F8018" t="s">
        <v>30052</v>
      </c>
      <c r="G8018" t="s">
        <v>30058</v>
      </c>
      <c r="H8018" t="s">
        <v>30067</v>
      </c>
      <c r="I8018" t="s">
        <v>3693</v>
      </c>
      <c r="J8018" t="s">
        <v>35120</v>
      </c>
      <c r="K8018" t="s">
        <v>39198</v>
      </c>
      <c r="M8018" t="s">
        <v>41698</v>
      </c>
      <c r="N8018" t="s">
        <v>43166</v>
      </c>
      <c r="O8018" t="s">
        <v>43167</v>
      </c>
      <c r="P8018">
        <v>0</v>
      </c>
      <c r="Q8018">
        <v>1</v>
      </c>
      <c r="R8018" t="s">
        <v>43174</v>
      </c>
      <c r="S8018" t="s">
        <v>43396</v>
      </c>
      <c r="T8018" t="s">
        <v>45009</v>
      </c>
      <c r="U8018" t="s">
        <v>51688</v>
      </c>
      <c r="W8018" t="s">
        <v>41698</v>
      </c>
      <c r="X8018" t="s">
        <v>43175</v>
      </c>
    </row>
    <row r="8019" spans="1:24">
      <c r="A8019">
        <f>HYPERLINK("https://www.philgeps.gov.ph/GEPSNONPILOT/Tender/SplashBidNoticeAbstractUI.aspx?menuIndex=3&amp;refID=7073318&amp;Result=3","7073318")</f>
        <v>0</v>
      </c>
      <c r="B8019" t="s">
        <v>2455</v>
      </c>
      <c r="C8019" t="s">
        <v>11043</v>
      </c>
      <c r="D8019" t="s">
        <v>17466</v>
      </c>
      <c r="E8019" t="s">
        <v>23810</v>
      </c>
      <c r="F8019" t="s">
        <v>30055</v>
      </c>
      <c r="G8019" t="s">
        <v>30059</v>
      </c>
      <c r="H8019" t="s">
        <v>15498</v>
      </c>
      <c r="I8019" t="s">
        <v>4119</v>
      </c>
      <c r="J8019" t="s">
        <v>32017</v>
      </c>
      <c r="K8019" t="s">
        <v>39029</v>
      </c>
      <c r="M8019" t="s">
        <v>41954</v>
      </c>
      <c r="N8019" t="s">
        <v>43166</v>
      </c>
      <c r="O8019" t="s">
        <v>43167</v>
      </c>
      <c r="P8019">
        <v>0</v>
      </c>
      <c r="Q8019">
        <v>4</v>
      </c>
      <c r="R8019" t="s">
        <v>43174</v>
      </c>
      <c r="S8019" t="s">
        <v>43396</v>
      </c>
      <c r="T8019" t="s">
        <v>44714</v>
      </c>
      <c r="U8019" t="s">
        <v>51689</v>
      </c>
      <c r="W8019" t="s">
        <v>41954</v>
      </c>
      <c r="X8019" t="s">
        <v>43175</v>
      </c>
    </row>
    <row r="8020" spans="1:24">
      <c r="A8020">
        <f>HYPERLINK("https://www.philgeps.gov.ph/GEPSNONPILOT/Tender/SplashBidNoticeAbstractUI.aspx?menuIndex=3&amp;refID=7073317&amp;Result=3","7073317")</f>
        <v>0</v>
      </c>
      <c r="B8020" t="s">
        <v>1750</v>
      </c>
      <c r="C8020" t="s">
        <v>11044</v>
      </c>
      <c r="D8020" t="s">
        <v>17434</v>
      </c>
      <c r="E8020" t="s">
        <v>24412</v>
      </c>
      <c r="F8020" t="s">
        <v>30052</v>
      </c>
      <c r="G8020" t="s">
        <v>30058</v>
      </c>
      <c r="H8020" t="s">
        <v>30067</v>
      </c>
      <c r="I8020" t="s">
        <v>3693</v>
      </c>
      <c r="J8020" t="s">
        <v>30350</v>
      </c>
      <c r="K8020" t="s">
        <v>39049</v>
      </c>
      <c r="M8020" t="s">
        <v>41169</v>
      </c>
      <c r="N8020" t="s">
        <v>43166</v>
      </c>
      <c r="O8020" t="s">
        <v>43167</v>
      </c>
      <c r="P8020">
        <v>0</v>
      </c>
      <c r="Q8020">
        <v>1</v>
      </c>
      <c r="R8020" t="s">
        <v>43174</v>
      </c>
      <c r="S8020" t="s">
        <v>43396</v>
      </c>
      <c r="T8020" t="s">
        <v>44844</v>
      </c>
      <c r="U8020" t="s">
        <v>51690</v>
      </c>
      <c r="W8020" t="s">
        <v>41169</v>
      </c>
      <c r="X8020" t="s">
        <v>43175</v>
      </c>
    </row>
    <row r="8021" spans="1:24">
      <c r="A8021">
        <f>HYPERLINK("https://www.philgeps.gov.ph/GEPSNONPILOT/Tender/SplashBidNoticeAbstractUI.aspx?menuIndex=3&amp;refID=7073297&amp;Result=3","7073297")</f>
        <v>0</v>
      </c>
      <c r="B8021" t="s">
        <v>674</v>
      </c>
      <c r="C8021" t="s">
        <v>11045</v>
      </c>
      <c r="D8021" t="s">
        <v>17422</v>
      </c>
      <c r="E8021" t="s">
        <v>24413</v>
      </c>
      <c r="F8021" t="s">
        <v>30052</v>
      </c>
      <c r="G8021" t="s">
        <v>30058</v>
      </c>
      <c r="H8021" t="s">
        <v>15498</v>
      </c>
      <c r="I8021" t="s">
        <v>30098</v>
      </c>
      <c r="J8021" t="s">
        <v>30358</v>
      </c>
      <c r="K8021" t="s">
        <v>39034</v>
      </c>
      <c r="M8021" t="s">
        <v>39980</v>
      </c>
      <c r="N8021" t="s">
        <v>43166</v>
      </c>
      <c r="O8021" t="s">
        <v>43167</v>
      </c>
      <c r="P8021">
        <v>0</v>
      </c>
      <c r="Q8021">
        <v>1</v>
      </c>
      <c r="R8021" t="s">
        <v>43174</v>
      </c>
      <c r="S8021" t="s">
        <v>43396</v>
      </c>
      <c r="T8021" t="s">
        <v>45000</v>
      </c>
      <c r="U8021" t="s">
        <v>51691</v>
      </c>
      <c r="W8021" t="s">
        <v>39980</v>
      </c>
      <c r="X8021" t="s">
        <v>43175</v>
      </c>
    </row>
    <row r="8022" spans="1:24">
      <c r="A8022">
        <f>HYPERLINK("https://www.philgeps.gov.ph/GEPSNONPILOT/Tender/SplashBidNoticeAbstractUI.aspx?menuIndex=3&amp;refID=7073312&amp;Result=3","7073312")</f>
        <v>0</v>
      </c>
      <c r="B8022" t="s">
        <v>2456</v>
      </c>
      <c r="C8022" t="s">
        <v>11046</v>
      </c>
      <c r="D8022" t="s">
        <v>17441</v>
      </c>
      <c r="E8022" t="s">
        <v>24414</v>
      </c>
      <c r="F8022" t="s">
        <v>30052</v>
      </c>
      <c r="G8022" t="s">
        <v>30058</v>
      </c>
      <c r="H8022" t="s">
        <v>15498</v>
      </c>
      <c r="I8022" t="s">
        <v>3736</v>
      </c>
      <c r="J8022" t="s">
        <v>35121</v>
      </c>
      <c r="K8022" t="s">
        <v>39025</v>
      </c>
      <c r="M8022" t="s">
        <v>41955</v>
      </c>
      <c r="N8022" t="s">
        <v>43166</v>
      </c>
      <c r="O8022" t="s">
        <v>43167</v>
      </c>
      <c r="P8022">
        <v>0</v>
      </c>
      <c r="Q8022">
        <v>2</v>
      </c>
      <c r="R8022" t="s">
        <v>43174</v>
      </c>
      <c r="S8022" t="s">
        <v>43396</v>
      </c>
      <c r="T8022" t="s">
        <v>44816</v>
      </c>
      <c r="U8022" t="s">
        <v>51692</v>
      </c>
      <c r="V8022" t="s">
        <v>57680</v>
      </c>
      <c r="W8022" t="s">
        <v>41955</v>
      </c>
      <c r="X8022" t="s">
        <v>43175</v>
      </c>
    </row>
    <row r="8023" spans="1:24">
      <c r="A8023">
        <f>HYPERLINK("https://www.philgeps.gov.ph/GEPSNONPILOT/Tender/SplashBidNoticeAbstractUI.aspx?menuIndex=3&amp;refID=7073287&amp;Result=3","7073287")</f>
        <v>0</v>
      </c>
      <c r="B8023" t="s">
        <v>1339</v>
      </c>
      <c r="C8023" t="s">
        <v>11047</v>
      </c>
      <c r="D8023" t="s">
        <v>17474</v>
      </c>
      <c r="E8023" t="s">
        <v>24415</v>
      </c>
      <c r="F8023" t="s">
        <v>30052</v>
      </c>
      <c r="G8023" t="s">
        <v>30058</v>
      </c>
      <c r="H8023" t="s">
        <v>15498</v>
      </c>
      <c r="I8023" t="s">
        <v>30081</v>
      </c>
      <c r="J8023" t="s">
        <v>30909</v>
      </c>
      <c r="K8023" t="s">
        <v>39029</v>
      </c>
      <c r="M8023" t="s">
        <v>40706</v>
      </c>
      <c r="N8023" t="s">
        <v>43166</v>
      </c>
      <c r="O8023" t="s">
        <v>43167</v>
      </c>
      <c r="P8023">
        <v>0</v>
      </c>
      <c r="Q8023">
        <v>0</v>
      </c>
      <c r="R8023" t="s">
        <v>43174</v>
      </c>
      <c r="S8023" t="s">
        <v>43396</v>
      </c>
      <c r="T8023" t="s">
        <v>44844</v>
      </c>
      <c r="U8023" t="s">
        <v>48174</v>
      </c>
      <c r="V8023" t="s">
        <v>57248</v>
      </c>
      <c r="W8023" t="s">
        <v>40706</v>
      </c>
      <c r="X8023" t="s">
        <v>43175</v>
      </c>
    </row>
    <row r="8024" spans="1:24">
      <c r="A8024">
        <f>HYPERLINK("https://www.philgeps.gov.ph/GEPSNONPILOT/Tender/SplashBidNoticeAbstractUI.aspx?menuIndex=3&amp;refID=7073303&amp;Result=3","7073303")</f>
        <v>0</v>
      </c>
      <c r="B8024" t="s">
        <v>1339</v>
      </c>
      <c r="C8024" t="s">
        <v>11048</v>
      </c>
      <c r="D8024" t="s">
        <v>17474</v>
      </c>
      <c r="E8024" t="s">
        <v>24416</v>
      </c>
      <c r="F8024" t="s">
        <v>30052</v>
      </c>
      <c r="G8024" t="s">
        <v>30058</v>
      </c>
      <c r="H8024" t="s">
        <v>15498</v>
      </c>
      <c r="I8024" t="s">
        <v>3736</v>
      </c>
      <c r="J8024" t="s">
        <v>35122</v>
      </c>
      <c r="K8024" t="s">
        <v>39029</v>
      </c>
      <c r="M8024" t="s">
        <v>40706</v>
      </c>
      <c r="N8024" t="s">
        <v>43166</v>
      </c>
      <c r="O8024" t="s">
        <v>43167</v>
      </c>
      <c r="P8024">
        <v>0</v>
      </c>
      <c r="Q8024">
        <v>0</v>
      </c>
      <c r="R8024" t="s">
        <v>43174</v>
      </c>
      <c r="S8024" t="s">
        <v>43396</v>
      </c>
      <c r="T8024" t="s">
        <v>44844</v>
      </c>
      <c r="U8024" t="s">
        <v>48174</v>
      </c>
      <c r="V8024" t="s">
        <v>57248</v>
      </c>
      <c r="W8024" t="s">
        <v>40706</v>
      </c>
      <c r="X8024" t="s">
        <v>43175</v>
      </c>
    </row>
    <row r="8025" spans="1:24">
      <c r="A8025">
        <f>HYPERLINK("https://www.philgeps.gov.ph/GEPSNONPILOT/Tender/SplashBidNoticeAbstractUI.aspx?menuIndex=3&amp;refID=7073315&amp;Result=3","7073315")</f>
        <v>0</v>
      </c>
      <c r="B8025" t="s">
        <v>2457</v>
      </c>
      <c r="C8025" t="s">
        <v>11049</v>
      </c>
      <c r="D8025" t="s">
        <v>17430</v>
      </c>
      <c r="E8025" t="s">
        <v>24417</v>
      </c>
      <c r="F8025" t="s">
        <v>30052</v>
      </c>
      <c r="G8025" t="s">
        <v>30058</v>
      </c>
      <c r="H8025" t="s">
        <v>30067</v>
      </c>
      <c r="I8025" t="s">
        <v>3693</v>
      </c>
      <c r="J8025" t="s">
        <v>35123</v>
      </c>
      <c r="K8025" t="s">
        <v>39023</v>
      </c>
      <c r="M8025" t="s">
        <v>41956</v>
      </c>
      <c r="N8025" t="s">
        <v>43166</v>
      </c>
      <c r="O8025" t="s">
        <v>43167</v>
      </c>
      <c r="P8025">
        <v>0</v>
      </c>
      <c r="Q8025">
        <v>0</v>
      </c>
      <c r="R8025" t="s">
        <v>43174</v>
      </c>
      <c r="S8025" t="s">
        <v>43396</v>
      </c>
      <c r="T8025" t="s">
        <v>44844</v>
      </c>
      <c r="U8025" t="s">
        <v>51693</v>
      </c>
      <c r="W8025" t="s">
        <v>41956</v>
      </c>
      <c r="X8025" t="s">
        <v>43175</v>
      </c>
    </row>
    <row r="8026" spans="1:24">
      <c r="A8026">
        <f>HYPERLINK("https://www.philgeps.gov.ph/GEPSNONPILOT/Tender/SplashBidNoticeAbstractUI.aspx?menuIndex=3&amp;refID=7073307&amp;Result=3","7073307")</f>
        <v>0</v>
      </c>
      <c r="B8026" t="s">
        <v>1319</v>
      </c>
      <c r="C8026" t="s">
        <v>11050</v>
      </c>
      <c r="D8026" t="s">
        <v>17474</v>
      </c>
      <c r="E8026" t="s">
        <v>24418</v>
      </c>
      <c r="F8026" t="s">
        <v>30052</v>
      </c>
      <c r="G8026" t="s">
        <v>30059</v>
      </c>
      <c r="H8026" t="s">
        <v>15498</v>
      </c>
      <c r="I8026" t="s">
        <v>3736</v>
      </c>
      <c r="J8026" t="s">
        <v>35124</v>
      </c>
      <c r="K8026" t="s">
        <v>39029</v>
      </c>
      <c r="L8026" t="s">
        <v>1319</v>
      </c>
      <c r="M8026" t="s">
        <v>40686</v>
      </c>
      <c r="N8026" t="s">
        <v>43166</v>
      </c>
      <c r="O8026" t="s">
        <v>43167</v>
      </c>
      <c r="P8026">
        <v>0</v>
      </c>
      <c r="Q8026">
        <v>0</v>
      </c>
      <c r="R8026" t="s">
        <v>43174</v>
      </c>
      <c r="S8026" t="s">
        <v>43396</v>
      </c>
      <c r="T8026" t="s">
        <v>44844</v>
      </c>
      <c r="U8026" t="s">
        <v>51694</v>
      </c>
      <c r="V8026" t="s">
        <v>57236</v>
      </c>
      <c r="W8026" t="s">
        <v>40686</v>
      </c>
      <c r="X8026" t="s">
        <v>43175</v>
      </c>
    </row>
    <row r="8027" spans="1:24">
      <c r="A8027">
        <f>HYPERLINK("https://www.philgeps.gov.ph/GEPSNONPILOT/Tender/SplashBidNoticeAbstractUI.aspx?menuIndex=3&amp;refID=7073309&amp;Result=3","7073309")</f>
        <v>0</v>
      </c>
      <c r="B8027" t="s">
        <v>674</v>
      </c>
      <c r="C8027" t="s">
        <v>11051</v>
      </c>
      <c r="D8027" t="s">
        <v>17422</v>
      </c>
      <c r="E8027" t="s">
        <v>24419</v>
      </c>
      <c r="F8027" t="s">
        <v>30052</v>
      </c>
      <c r="G8027" t="s">
        <v>30058</v>
      </c>
      <c r="H8027" t="s">
        <v>15498</v>
      </c>
      <c r="I8027" t="s">
        <v>3736</v>
      </c>
      <c r="J8027" t="s">
        <v>35125</v>
      </c>
      <c r="K8027" t="s">
        <v>39019</v>
      </c>
      <c r="M8027" t="s">
        <v>39980</v>
      </c>
      <c r="N8027" t="s">
        <v>43166</v>
      </c>
      <c r="O8027" t="s">
        <v>43167</v>
      </c>
      <c r="P8027">
        <v>0</v>
      </c>
      <c r="Q8027">
        <v>1</v>
      </c>
      <c r="R8027" t="s">
        <v>43174</v>
      </c>
      <c r="S8027" t="s">
        <v>43396</v>
      </c>
      <c r="T8027" t="s">
        <v>45000</v>
      </c>
      <c r="U8027" t="s">
        <v>46487</v>
      </c>
      <c r="W8027" t="s">
        <v>39980</v>
      </c>
      <c r="X8027" t="s">
        <v>43175</v>
      </c>
    </row>
    <row r="8028" spans="1:24">
      <c r="A8028">
        <f>HYPERLINK("https://www.philgeps.gov.ph/GEPSNONPILOT/Tender/SplashBidNoticeAbstractUI.aspx?menuIndex=3&amp;refID=7073319&amp;Result=3","7073319")</f>
        <v>0</v>
      </c>
      <c r="B8028" t="s">
        <v>1339</v>
      </c>
      <c r="C8028" t="s">
        <v>11052</v>
      </c>
      <c r="D8028" t="s">
        <v>17474</v>
      </c>
      <c r="E8028" t="s">
        <v>24420</v>
      </c>
      <c r="F8028" t="s">
        <v>30052</v>
      </c>
      <c r="G8028" t="s">
        <v>30058</v>
      </c>
      <c r="H8028" t="s">
        <v>15498</v>
      </c>
      <c r="I8028" t="s">
        <v>3736</v>
      </c>
      <c r="J8028" t="s">
        <v>35126</v>
      </c>
      <c r="K8028" t="s">
        <v>39029</v>
      </c>
      <c r="M8028" t="s">
        <v>40706</v>
      </c>
      <c r="N8028" t="s">
        <v>43166</v>
      </c>
      <c r="O8028" t="s">
        <v>43167</v>
      </c>
      <c r="P8028">
        <v>0</v>
      </c>
      <c r="Q8028">
        <v>0</v>
      </c>
      <c r="R8028" t="s">
        <v>43174</v>
      </c>
      <c r="S8028" t="s">
        <v>43396</v>
      </c>
      <c r="T8028" t="s">
        <v>44844</v>
      </c>
      <c r="U8028" t="s">
        <v>48174</v>
      </c>
      <c r="V8028" t="s">
        <v>57248</v>
      </c>
      <c r="W8028" t="s">
        <v>40706</v>
      </c>
      <c r="X8028" t="s">
        <v>43175</v>
      </c>
    </row>
    <row r="8029" spans="1:24">
      <c r="A8029">
        <f>HYPERLINK("https://www.philgeps.gov.ph/GEPSNONPILOT/Tender/SplashBidNoticeAbstractUI.aspx?menuIndex=3&amp;refID=7073341&amp;Result=3","7073341")</f>
        <v>0</v>
      </c>
      <c r="B8029" t="s">
        <v>2458</v>
      </c>
      <c r="C8029" t="s">
        <v>11053</v>
      </c>
      <c r="D8029" t="s">
        <v>17465</v>
      </c>
      <c r="E8029" t="s">
        <v>24421</v>
      </c>
      <c r="F8029" t="s">
        <v>30052</v>
      </c>
      <c r="G8029" t="s">
        <v>30058</v>
      </c>
      <c r="H8029" t="s">
        <v>15498</v>
      </c>
      <c r="I8029" t="s">
        <v>3852</v>
      </c>
      <c r="J8029" t="s">
        <v>35127</v>
      </c>
      <c r="K8029" t="s">
        <v>39034</v>
      </c>
      <c r="M8029" t="s">
        <v>41957</v>
      </c>
      <c r="N8029" t="s">
        <v>43166</v>
      </c>
      <c r="O8029" t="s">
        <v>43167</v>
      </c>
      <c r="P8029">
        <v>0</v>
      </c>
      <c r="Q8029">
        <v>3</v>
      </c>
      <c r="R8029" t="s">
        <v>43174</v>
      </c>
      <c r="S8029" t="s">
        <v>43396</v>
      </c>
      <c r="T8029" t="s">
        <v>44844</v>
      </c>
      <c r="U8029" t="s">
        <v>51695</v>
      </c>
      <c r="V8029" t="s">
        <v>57681</v>
      </c>
      <c r="W8029" t="s">
        <v>41957</v>
      </c>
      <c r="X8029" t="s">
        <v>43175</v>
      </c>
    </row>
    <row r="8030" spans="1:24">
      <c r="A8030">
        <f>HYPERLINK("https://www.philgeps.gov.ph/GEPSNONPILOT/Tender/SplashBidNoticeAbstractUI.aspx?menuIndex=3&amp;refID=7073306&amp;Result=3","7073306")</f>
        <v>0</v>
      </c>
      <c r="B8030" t="s">
        <v>2459</v>
      </c>
      <c r="C8030" t="s">
        <v>11054</v>
      </c>
      <c r="E8030" t="s">
        <v>24422</v>
      </c>
      <c r="F8030" t="s">
        <v>30053</v>
      </c>
      <c r="G8030" t="s">
        <v>30058</v>
      </c>
      <c r="H8030" t="s">
        <v>30067</v>
      </c>
      <c r="I8030" t="s">
        <v>3693</v>
      </c>
      <c r="J8030" t="s">
        <v>35128</v>
      </c>
      <c r="K8030" t="s">
        <v>39025</v>
      </c>
      <c r="M8030" t="s">
        <v>41958</v>
      </c>
      <c r="N8030" t="s">
        <v>43166</v>
      </c>
      <c r="O8030" t="s">
        <v>43167</v>
      </c>
      <c r="P8030">
        <v>0</v>
      </c>
      <c r="Q8030">
        <v>0</v>
      </c>
      <c r="R8030" t="s">
        <v>43174</v>
      </c>
      <c r="S8030" t="s">
        <v>43396</v>
      </c>
      <c r="T8030" t="s">
        <v>44764</v>
      </c>
      <c r="U8030" t="s">
        <v>46519</v>
      </c>
      <c r="W8030" t="s">
        <v>41958</v>
      </c>
      <c r="X8030" t="s">
        <v>43175</v>
      </c>
    </row>
    <row r="8031" spans="1:24">
      <c r="A8031">
        <f>HYPERLINK("https://www.philgeps.gov.ph/GEPSNONPILOT/Tender/SplashBidNoticeAbstractUI.aspx?menuIndex=3&amp;refID=7073336&amp;Result=3","7073336")</f>
        <v>0</v>
      </c>
      <c r="B8031" t="s">
        <v>1745</v>
      </c>
      <c r="C8031" t="s">
        <v>11055</v>
      </c>
      <c r="D8031" t="s">
        <v>17415</v>
      </c>
      <c r="E8031" t="s">
        <v>24423</v>
      </c>
      <c r="F8031" t="s">
        <v>30052</v>
      </c>
      <c r="G8031" t="s">
        <v>30058</v>
      </c>
      <c r="H8031" t="s">
        <v>15498</v>
      </c>
      <c r="I8031" t="s">
        <v>30074</v>
      </c>
      <c r="J8031" t="s">
        <v>35129</v>
      </c>
      <c r="K8031" t="s">
        <v>39029</v>
      </c>
      <c r="M8031" t="s">
        <v>41164</v>
      </c>
      <c r="N8031" t="s">
        <v>43166</v>
      </c>
      <c r="O8031" t="s">
        <v>43167</v>
      </c>
      <c r="P8031">
        <v>0</v>
      </c>
      <c r="Q8031">
        <v>4</v>
      </c>
      <c r="R8031" t="s">
        <v>43174</v>
      </c>
      <c r="S8031" t="s">
        <v>43396</v>
      </c>
      <c r="T8031" t="s">
        <v>44815</v>
      </c>
      <c r="U8031" t="s">
        <v>51696</v>
      </c>
      <c r="W8031" t="s">
        <v>41164</v>
      </c>
      <c r="X8031" t="s">
        <v>43175</v>
      </c>
    </row>
    <row r="8032" spans="1:24">
      <c r="A8032">
        <f>HYPERLINK("https://www.philgeps.gov.ph/GEPSNONPILOT/Tender/SplashBidNoticeAbstractUI.aspx?menuIndex=3&amp;refID=7073344&amp;Result=3","7073344")</f>
        <v>0</v>
      </c>
      <c r="B8032" t="s">
        <v>2271</v>
      </c>
      <c r="C8032" t="s">
        <v>11056</v>
      </c>
      <c r="D8032" t="s">
        <v>17442</v>
      </c>
      <c r="E8032" t="s">
        <v>24424</v>
      </c>
      <c r="F8032" t="s">
        <v>30052</v>
      </c>
      <c r="G8032" t="s">
        <v>30058</v>
      </c>
      <c r="H8032" t="s">
        <v>15498</v>
      </c>
      <c r="I8032" t="s">
        <v>30097</v>
      </c>
      <c r="J8032" t="s">
        <v>31258</v>
      </c>
      <c r="K8032" t="s">
        <v>39029</v>
      </c>
      <c r="M8032" t="s">
        <v>41750</v>
      </c>
      <c r="N8032" t="s">
        <v>43166</v>
      </c>
      <c r="O8032" t="s">
        <v>43167</v>
      </c>
      <c r="P8032">
        <v>0</v>
      </c>
      <c r="Q8032">
        <v>0</v>
      </c>
      <c r="R8032" t="s">
        <v>43174</v>
      </c>
      <c r="S8032" t="s">
        <v>43396</v>
      </c>
      <c r="T8032" t="s">
        <v>44716</v>
      </c>
      <c r="U8032" t="s">
        <v>51697</v>
      </c>
      <c r="V8032" t="s">
        <v>57682</v>
      </c>
      <c r="W8032" t="s">
        <v>41750</v>
      </c>
      <c r="X8032" t="s">
        <v>43175</v>
      </c>
    </row>
    <row r="8033" spans="1:24">
      <c r="A8033">
        <f>HYPERLINK("https://www.philgeps.gov.ph/GEPSNONPILOT/Tender/SplashBidNoticeAbstractUI.aspx?menuIndex=3&amp;refID=7073320&amp;Result=3","7073320")</f>
        <v>0</v>
      </c>
      <c r="B8033" t="s">
        <v>2460</v>
      </c>
      <c r="C8033" t="s">
        <v>11057</v>
      </c>
      <c r="D8033" t="s">
        <v>17458</v>
      </c>
      <c r="E8033" t="s">
        <v>24425</v>
      </c>
      <c r="F8033" t="s">
        <v>30052</v>
      </c>
      <c r="G8033" t="s">
        <v>30058</v>
      </c>
      <c r="H8033" t="s">
        <v>15498</v>
      </c>
      <c r="I8033" t="s">
        <v>3736</v>
      </c>
      <c r="J8033" t="s">
        <v>35130</v>
      </c>
      <c r="K8033" t="s">
        <v>39037</v>
      </c>
      <c r="M8033" t="s">
        <v>41959</v>
      </c>
      <c r="N8033" t="s">
        <v>43166</v>
      </c>
      <c r="O8033" t="s">
        <v>43167</v>
      </c>
      <c r="P8033">
        <v>0</v>
      </c>
      <c r="Q8033">
        <v>0</v>
      </c>
      <c r="R8033" t="s">
        <v>43174</v>
      </c>
      <c r="S8033" t="s">
        <v>43396</v>
      </c>
      <c r="T8033" t="s">
        <v>44717</v>
      </c>
      <c r="U8033" t="s">
        <v>51698</v>
      </c>
      <c r="W8033" t="s">
        <v>41959</v>
      </c>
      <c r="X8033" t="s">
        <v>43175</v>
      </c>
    </row>
    <row r="8034" spans="1:24">
      <c r="A8034">
        <f>HYPERLINK("https://www.philgeps.gov.ph/GEPSNONPILOT/Tender/SplashBidNoticeAbstractUI.aspx?menuIndex=3&amp;refID=7073330&amp;Result=3","7073330")</f>
        <v>0</v>
      </c>
      <c r="B8034" t="s">
        <v>1339</v>
      </c>
      <c r="C8034" t="s">
        <v>11058</v>
      </c>
      <c r="D8034" t="s">
        <v>17474</v>
      </c>
      <c r="E8034" t="s">
        <v>24426</v>
      </c>
      <c r="F8034" t="s">
        <v>30052</v>
      </c>
      <c r="G8034" t="s">
        <v>30058</v>
      </c>
      <c r="H8034" t="s">
        <v>15498</v>
      </c>
      <c r="I8034" t="s">
        <v>3736</v>
      </c>
      <c r="J8034" t="s">
        <v>35131</v>
      </c>
      <c r="K8034" t="s">
        <v>39029</v>
      </c>
      <c r="M8034" t="s">
        <v>40706</v>
      </c>
      <c r="N8034" t="s">
        <v>43166</v>
      </c>
      <c r="O8034" t="s">
        <v>43167</v>
      </c>
      <c r="P8034">
        <v>0</v>
      </c>
      <c r="Q8034">
        <v>0</v>
      </c>
      <c r="R8034" t="s">
        <v>43174</v>
      </c>
      <c r="S8034" t="s">
        <v>43396</v>
      </c>
      <c r="T8034" t="s">
        <v>44844</v>
      </c>
      <c r="U8034" t="s">
        <v>48174</v>
      </c>
      <c r="V8034" t="s">
        <v>57248</v>
      </c>
      <c r="W8034" t="s">
        <v>40706</v>
      </c>
      <c r="X8034" t="s">
        <v>43175</v>
      </c>
    </row>
    <row r="8035" spans="1:24">
      <c r="A8035">
        <f>HYPERLINK("https://www.philgeps.gov.ph/GEPSNONPILOT/Tender/SplashBidNoticeAbstractUI.aspx?menuIndex=3&amp;refID=7073328&amp;Result=3","7073328")</f>
        <v>0</v>
      </c>
      <c r="B8035" t="s">
        <v>1339</v>
      </c>
      <c r="C8035" t="s">
        <v>11059</v>
      </c>
      <c r="D8035" t="s">
        <v>17474</v>
      </c>
      <c r="E8035" t="s">
        <v>24427</v>
      </c>
      <c r="F8035" t="s">
        <v>30052</v>
      </c>
      <c r="G8035" t="s">
        <v>30058</v>
      </c>
      <c r="H8035" t="s">
        <v>15498</v>
      </c>
      <c r="I8035" t="s">
        <v>3736</v>
      </c>
      <c r="J8035" t="s">
        <v>35132</v>
      </c>
      <c r="K8035" t="s">
        <v>39029</v>
      </c>
      <c r="M8035" t="s">
        <v>40706</v>
      </c>
      <c r="N8035" t="s">
        <v>43166</v>
      </c>
      <c r="O8035" t="s">
        <v>43167</v>
      </c>
      <c r="P8035">
        <v>0</v>
      </c>
      <c r="Q8035">
        <v>0</v>
      </c>
      <c r="R8035" t="s">
        <v>43174</v>
      </c>
      <c r="S8035" t="s">
        <v>43396</v>
      </c>
      <c r="T8035" t="s">
        <v>44844</v>
      </c>
      <c r="U8035" t="s">
        <v>48174</v>
      </c>
      <c r="V8035" t="s">
        <v>57248</v>
      </c>
      <c r="W8035" t="s">
        <v>40706</v>
      </c>
      <c r="X8035" t="s">
        <v>43175</v>
      </c>
    </row>
    <row r="8036" spans="1:24">
      <c r="A8036">
        <f>HYPERLINK("https://www.philgeps.gov.ph/GEPSNONPILOT/Tender/SplashBidNoticeAbstractUI.aspx?menuIndex=3&amp;refID=7073329&amp;Result=3","7073329")</f>
        <v>0</v>
      </c>
      <c r="B8036" t="s">
        <v>2461</v>
      </c>
      <c r="C8036" t="s">
        <v>11060</v>
      </c>
      <c r="E8036" t="s">
        <v>21791</v>
      </c>
      <c r="F8036" t="s">
        <v>30052</v>
      </c>
      <c r="G8036" t="s">
        <v>30058</v>
      </c>
      <c r="H8036" t="s">
        <v>15498</v>
      </c>
      <c r="I8036" t="s">
        <v>30073</v>
      </c>
      <c r="J8036" t="s">
        <v>31196</v>
      </c>
      <c r="K8036" t="s">
        <v>39019</v>
      </c>
      <c r="M8036" t="s">
        <v>41960</v>
      </c>
      <c r="N8036" t="s">
        <v>43166</v>
      </c>
      <c r="O8036" t="s">
        <v>43167</v>
      </c>
      <c r="P8036">
        <v>0</v>
      </c>
      <c r="Q8036">
        <v>1</v>
      </c>
      <c r="R8036" t="s">
        <v>43174</v>
      </c>
      <c r="S8036" t="s">
        <v>43396</v>
      </c>
      <c r="T8036" t="s">
        <v>44764</v>
      </c>
      <c r="U8036" t="s">
        <v>51699</v>
      </c>
      <c r="V8036" t="s">
        <v>57683</v>
      </c>
      <c r="W8036" t="s">
        <v>41960</v>
      </c>
      <c r="X8036" t="s">
        <v>43175</v>
      </c>
    </row>
    <row r="8037" spans="1:24">
      <c r="A8037">
        <f>HYPERLINK("https://www.philgeps.gov.ph/GEPSNONPILOT/Tender/SplashBidNoticeAbstractUI.aspx?menuIndex=3&amp;refID=7073325&amp;Result=3","7073325")</f>
        <v>0</v>
      </c>
      <c r="B8037" t="s">
        <v>2462</v>
      </c>
      <c r="C8037" t="s">
        <v>11061</v>
      </c>
      <c r="D8037" t="s">
        <v>17415</v>
      </c>
      <c r="E8037" t="s">
        <v>24428</v>
      </c>
      <c r="F8037" t="s">
        <v>30052</v>
      </c>
      <c r="G8037" t="s">
        <v>30061</v>
      </c>
      <c r="H8037" t="s">
        <v>15498</v>
      </c>
      <c r="I8037" t="s">
        <v>3736</v>
      </c>
      <c r="J8037" t="s">
        <v>35133</v>
      </c>
      <c r="K8037" t="s">
        <v>39029</v>
      </c>
      <c r="M8037" t="s">
        <v>41961</v>
      </c>
      <c r="N8037" t="s">
        <v>43166</v>
      </c>
      <c r="O8037" t="s">
        <v>43167</v>
      </c>
      <c r="P8037">
        <v>0</v>
      </c>
      <c r="Q8037">
        <v>1</v>
      </c>
      <c r="R8037" t="s">
        <v>43174</v>
      </c>
      <c r="S8037" t="s">
        <v>43396</v>
      </c>
      <c r="T8037" t="s">
        <v>44717</v>
      </c>
      <c r="U8037" t="s">
        <v>51700</v>
      </c>
      <c r="W8037" t="s">
        <v>41961</v>
      </c>
      <c r="X8037" t="s">
        <v>43175</v>
      </c>
    </row>
    <row r="8038" spans="1:24">
      <c r="A8038">
        <f>HYPERLINK("https://www.philgeps.gov.ph/GEPSNONPILOT/Tender/SplashBidNoticeAbstractUI.aspx?menuIndex=3&amp;refID=7073356&amp;Result=3","7073356")</f>
        <v>0</v>
      </c>
      <c r="B8038" t="s">
        <v>2463</v>
      </c>
      <c r="C8038" t="s">
        <v>11062</v>
      </c>
      <c r="E8038" t="s">
        <v>17779</v>
      </c>
      <c r="F8038" t="s">
        <v>30052</v>
      </c>
      <c r="G8038" t="s">
        <v>30058</v>
      </c>
      <c r="H8038" t="s">
        <v>15498</v>
      </c>
      <c r="I8038" t="s">
        <v>30140</v>
      </c>
      <c r="J8038" t="s">
        <v>30605</v>
      </c>
      <c r="K8038" t="s">
        <v>39025</v>
      </c>
      <c r="M8038" t="s">
        <v>41962</v>
      </c>
      <c r="N8038" t="s">
        <v>43166</v>
      </c>
      <c r="O8038" t="s">
        <v>43167</v>
      </c>
      <c r="P8038">
        <v>0</v>
      </c>
      <c r="Q8038">
        <v>5</v>
      </c>
      <c r="R8038" t="s">
        <v>43174</v>
      </c>
      <c r="S8038" t="s">
        <v>43396</v>
      </c>
      <c r="T8038" t="s">
        <v>45082</v>
      </c>
      <c r="U8038" t="s">
        <v>51701</v>
      </c>
      <c r="W8038" t="s">
        <v>41962</v>
      </c>
      <c r="X8038" t="s">
        <v>43175</v>
      </c>
    </row>
    <row r="8039" spans="1:24">
      <c r="A8039">
        <f>HYPERLINK("https://www.philgeps.gov.ph/GEPSNONPILOT/Tender/SplashBidNoticeAbstractUI.aspx?menuIndex=3&amp;refID=7073321&amp;Result=3","7073321")</f>
        <v>0</v>
      </c>
      <c r="B8039" t="s">
        <v>2464</v>
      </c>
      <c r="C8039" t="s">
        <v>10610</v>
      </c>
      <c r="E8039" t="s">
        <v>24429</v>
      </c>
      <c r="F8039" t="s">
        <v>30052</v>
      </c>
      <c r="G8039" t="s">
        <v>30058</v>
      </c>
      <c r="H8039" t="s">
        <v>30067</v>
      </c>
      <c r="I8039" t="s">
        <v>3693</v>
      </c>
      <c r="J8039" t="s">
        <v>35134</v>
      </c>
      <c r="K8039" t="s">
        <v>39025</v>
      </c>
      <c r="M8039" t="s">
        <v>41963</v>
      </c>
      <c r="N8039" t="s">
        <v>43166</v>
      </c>
      <c r="O8039" t="s">
        <v>43167</v>
      </c>
      <c r="P8039">
        <v>0</v>
      </c>
      <c r="Q8039">
        <v>0</v>
      </c>
      <c r="R8039" t="s">
        <v>43174</v>
      </c>
      <c r="S8039" t="s">
        <v>43396</v>
      </c>
      <c r="T8039" t="s">
        <v>44820</v>
      </c>
      <c r="U8039" t="s">
        <v>46519</v>
      </c>
      <c r="W8039" t="s">
        <v>41963</v>
      </c>
      <c r="X8039" t="s">
        <v>43175</v>
      </c>
    </row>
    <row r="8040" spans="1:24">
      <c r="A8040">
        <f>HYPERLINK("https://www.philgeps.gov.ph/GEPSNONPILOT/Tender/SplashBidNoticeAbstractUI.aspx?menuIndex=3&amp;refID=7073337&amp;Result=3","7073337")</f>
        <v>0</v>
      </c>
      <c r="B8040" t="s">
        <v>2454</v>
      </c>
      <c r="C8040" t="s">
        <v>11063</v>
      </c>
      <c r="D8040" t="s">
        <v>17486</v>
      </c>
      <c r="E8040" t="s">
        <v>24430</v>
      </c>
      <c r="F8040" t="s">
        <v>30052</v>
      </c>
      <c r="G8040" t="s">
        <v>30058</v>
      </c>
      <c r="H8040" t="s">
        <v>30067</v>
      </c>
      <c r="I8040" t="s">
        <v>3693</v>
      </c>
      <c r="J8040" t="s">
        <v>31185</v>
      </c>
      <c r="K8040" t="s">
        <v>39026</v>
      </c>
      <c r="M8040" t="s">
        <v>41953</v>
      </c>
      <c r="N8040" t="s">
        <v>43166</v>
      </c>
      <c r="O8040" t="s">
        <v>43167</v>
      </c>
      <c r="P8040">
        <v>0</v>
      </c>
      <c r="Q8040">
        <v>0</v>
      </c>
      <c r="R8040" t="s">
        <v>43174</v>
      </c>
      <c r="S8040" t="s">
        <v>43396</v>
      </c>
      <c r="T8040" t="s">
        <v>44699</v>
      </c>
      <c r="U8040" t="s">
        <v>51702</v>
      </c>
      <c r="W8040" t="s">
        <v>41953</v>
      </c>
      <c r="X8040" t="s">
        <v>43175</v>
      </c>
    </row>
    <row r="8041" spans="1:24">
      <c r="A8041">
        <f>HYPERLINK("https://www.philgeps.gov.ph/GEPSNONPILOT/Tender/SplashBidNoticeAbstractUI.aspx?menuIndex=3&amp;refID=7073342&amp;Result=3","7073342")</f>
        <v>0</v>
      </c>
      <c r="B8041" t="s">
        <v>1745</v>
      </c>
      <c r="C8041" t="s">
        <v>11064</v>
      </c>
      <c r="D8041" t="s">
        <v>17415</v>
      </c>
      <c r="E8041" t="s">
        <v>24431</v>
      </c>
      <c r="F8041" t="s">
        <v>30052</v>
      </c>
      <c r="G8041" t="s">
        <v>30058</v>
      </c>
      <c r="H8041" t="s">
        <v>15498</v>
      </c>
      <c r="I8041" t="s">
        <v>30074</v>
      </c>
      <c r="J8041" t="s">
        <v>31071</v>
      </c>
      <c r="K8041" t="s">
        <v>39029</v>
      </c>
      <c r="M8041" t="s">
        <v>41164</v>
      </c>
      <c r="N8041" t="s">
        <v>43166</v>
      </c>
      <c r="O8041" t="s">
        <v>43167</v>
      </c>
      <c r="P8041">
        <v>0</v>
      </c>
      <c r="Q8041">
        <v>2</v>
      </c>
      <c r="R8041" t="s">
        <v>43174</v>
      </c>
      <c r="S8041" t="s">
        <v>43396</v>
      </c>
      <c r="T8041" t="s">
        <v>45083</v>
      </c>
      <c r="U8041" t="s">
        <v>51703</v>
      </c>
      <c r="W8041" t="s">
        <v>41164</v>
      </c>
      <c r="X8041" t="s">
        <v>43175</v>
      </c>
    </row>
    <row r="8042" spans="1:24">
      <c r="A8042">
        <f>HYPERLINK("https://www.philgeps.gov.ph/GEPSNONPILOT/Tender/SplashBidNoticeAbstractUI.aspx?menuIndex=3&amp;refID=7073352&amp;Result=3","7073352")</f>
        <v>0</v>
      </c>
      <c r="B8042" t="s">
        <v>2465</v>
      </c>
      <c r="C8042" t="s">
        <v>11065</v>
      </c>
      <c r="D8042" t="s">
        <v>17442</v>
      </c>
      <c r="E8042" t="s">
        <v>24432</v>
      </c>
      <c r="F8042" t="s">
        <v>30052</v>
      </c>
      <c r="G8042" t="s">
        <v>30058</v>
      </c>
      <c r="H8042" t="s">
        <v>15498</v>
      </c>
      <c r="I8042" t="s">
        <v>9238</v>
      </c>
      <c r="J8042" t="s">
        <v>30343</v>
      </c>
      <c r="K8042" t="s">
        <v>39029</v>
      </c>
      <c r="M8042" t="s">
        <v>41964</v>
      </c>
      <c r="N8042" t="s">
        <v>43166</v>
      </c>
      <c r="O8042" t="s">
        <v>43167</v>
      </c>
      <c r="P8042">
        <v>0</v>
      </c>
      <c r="Q8042">
        <v>10</v>
      </c>
      <c r="R8042" t="s">
        <v>43174</v>
      </c>
      <c r="S8042" t="s">
        <v>43396</v>
      </c>
      <c r="T8042" t="s">
        <v>44758</v>
      </c>
      <c r="U8042" t="s">
        <v>51704</v>
      </c>
      <c r="W8042" t="s">
        <v>41964</v>
      </c>
      <c r="X8042" t="s">
        <v>43175</v>
      </c>
    </row>
    <row r="8043" spans="1:24">
      <c r="A8043">
        <f>HYPERLINK("https://www.philgeps.gov.ph/GEPSNONPILOT/Tender/SplashBidNoticeAbstractUI.aspx?menuIndex=3&amp;refID=7073346&amp;Result=3","7073346")</f>
        <v>0</v>
      </c>
      <c r="B8043" t="s">
        <v>2466</v>
      </c>
      <c r="C8043" t="s">
        <v>11066</v>
      </c>
      <c r="D8043" t="s">
        <v>17483</v>
      </c>
      <c r="E8043" t="s">
        <v>24433</v>
      </c>
      <c r="F8043" t="s">
        <v>30052</v>
      </c>
      <c r="G8043" t="s">
        <v>30058</v>
      </c>
      <c r="H8043" t="s">
        <v>30067</v>
      </c>
      <c r="I8043" t="s">
        <v>30127</v>
      </c>
      <c r="J8043" t="s">
        <v>35135</v>
      </c>
      <c r="K8043" t="s">
        <v>39026</v>
      </c>
      <c r="M8043" t="s">
        <v>41965</v>
      </c>
      <c r="N8043" t="s">
        <v>43166</v>
      </c>
      <c r="O8043" t="s">
        <v>43167</v>
      </c>
      <c r="P8043">
        <v>0</v>
      </c>
      <c r="Q8043">
        <v>0</v>
      </c>
      <c r="R8043" t="s">
        <v>43174</v>
      </c>
      <c r="S8043" t="s">
        <v>43396</v>
      </c>
      <c r="T8043" t="s">
        <v>44930</v>
      </c>
      <c r="U8043" t="s">
        <v>51705</v>
      </c>
      <c r="W8043" t="s">
        <v>41965</v>
      </c>
      <c r="X8043" t="s">
        <v>43175</v>
      </c>
    </row>
    <row r="8044" spans="1:24">
      <c r="A8044">
        <f>HYPERLINK("https://www.philgeps.gov.ph/GEPSNONPILOT/Tender/SplashBidNoticeAbstractUI.aspx?menuIndex=3&amp;refID=7073322&amp;Result=3","7073322")</f>
        <v>0</v>
      </c>
      <c r="B8044" t="s">
        <v>1118</v>
      </c>
      <c r="C8044" t="s">
        <v>11067</v>
      </c>
      <c r="D8044" t="s">
        <v>17453</v>
      </c>
      <c r="E8044" t="s">
        <v>24434</v>
      </c>
      <c r="F8044" t="s">
        <v>30052</v>
      </c>
      <c r="G8044" t="s">
        <v>30059</v>
      </c>
      <c r="H8044" t="s">
        <v>15498</v>
      </c>
      <c r="I8044" t="s">
        <v>30100</v>
      </c>
      <c r="J8044" t="s">
        <v>35136</v>
      </c>
      <c r="K8044" t="s">
        <v>39029</v>
      </c>
      <c r="M8044" t="s">
        <v>41966</v>
      </c>
      <c r="N8044" t="s">
        <v>43166</v>
      </c>
      <c r="O8044" t="s">
        <v>43167</v>
      </c>
      <c r="P8044">
        <v>0</v>
      </c>
      <c r="Q8044">
        <v>4</v>
      </c>
      <c r="R8044" t="s">
        <v>43174</v>
      </c>
      <c r="S8044" t="s">
        <v>43396</v>
      </c>
      <c r="T8044" t="s">
        <v>44843</v>
      </c>
      <c r="U8044" t="s">
        <v>51706</v>
      </c>
      <c r="W8044" t="s">
        <v>40458</v>
      </c>
      <c r="X8044" t="s">
        <v>43175</v>
      </c>
    </row>
    <row r="8045" spans="1:24">
      <c r="A8045">
        <f>HYPERLINK("https://www.philgeps.gov.ph/GEPSNONPILOT/Tender/SplashBidNoticeAbstractUI.aspx?menuIndex=3&amp;refID=7073403&amp;Result=3","7073403")</f>
        <v>0</v>
      </c>
      <c r="B8045" t="s">
        <v>1362</v>
      </c>
      <c r="C8045" t="s">
        <v>11068</v>
      </c>
      <c r="D8045" t="s">
        <v>17421</v>
      </c>
      <c r="E8045" t="s">
        <v>24435</v>
      </c>
      <c r="F8045" t="s">
        <v>30052</v>
      </c>
      <c r="G8045" t="s">
        <v>30058</v>
      </c>
      <c r="H8045" t="s">
        <v>15498</v>
      </c>
      <c r="I8045" t="s">
        <v>30074</v>
      </c>
      <c r="J8045" t="s">
        <v>30397</v>
      </c>
      <c r="K8045" t="s">
        <v>39029</v>
      </c>
      <c r="L8045" t="s">
        <v>1362</v>
      </c>
      <c r="M8045" t="s">
        <v>40732</v>
      </c>
      <c r="N8045" t="s">
        <v>43166</v>
      </c>
      <c r="O8045" t="s">
        <v>43167</v>
      </c>
      <c r="P8045">
        <v>0</v>
      </c>
      <c r="Q8045">
        <v>5</v>
      </c>
      <c r="R8045" t="s">
        <v>43174</v>
      </c>
      <c r="S8045" t="s">
        <v>43396</v>
      </c>
      <c r="T8045" t="s">
        <v>44870</v>
      </c>
      <c r="U8045" t="s">
        <v>51707</v>
      </c>
      <c r="V8045" t="s">
        <v>46667</v>
      </c>
      <c r="W8045" t="s">
        <v>40732</v>
      </c>
      <c r="X8045" t="s">
        <v>43175</v>
      </c>
    </row>
    <row r="8046" spans="1:24">
      <c r="A8046">
        <f>HYPERLINK("https://www.philgeps.gov.ph/GEPSNONPILOT/Tender/SplashBidNoticeAbstractUI.aspx?menuIndex=3&amp;refID=7073358&amp;Result=3","7073358")</f>
        <v>0</v>
      </c>
      <c r="B8046" t="s">
        <v>2462</v>
      </c>
      <c r="C8046" t="s">
        <v>11069</v>
      </c>
      <c r="D8046" t="s">
        <v>17415</v>
      </c>
      <c r="E8046" t="s">
        <v>24436</v>
      </c>
      <c r="F8046" t="s">
        <v>30052</v>
      </c>
      <c r="G8046" t="s">
        <v>30061</v>
      </c>
      <c r="H8046" t="s">
        <v>15498</v>
      </c>
      <c r="I8046" t="s">
        <v>3736</v>
      </c>
      <c r="J8046" t="s">
        <v>35137</v>
      </c>
      <c r="K8046" t="s">
        <v>39029</v>
      </c>
      <c r="M8046" t="s">
        <v>41961</v>
      </c>
      <c r="N8046" t="s">
        <v>43166</v>
      </c>
      <c r="O8046" t="s">
        <v>43167</v>
      </c>
      <c r="P8046">
        <v>0</v>
      </c>
      <c r="Q8046">
        <v>2</v>
      </c>
      <c r="R8046" t="s">
        <v>43174</v>
      </c>
      <c r="S8046" t="s">
        <v>43396</v>
      </c>
      <c r="T8046" t="s">
        <v>44717</v>
      </c>
      <c r="U8046" t="s">
        <v>51708</v>
      </c>
      <c r="W8046" t="s">
        <v>41961</v>
      </c>
      <c r="X8046" t="s">
        <v>43175</v>
      </c>
    </row>
    <row r="8047" spans="1:24">
      <c r="A8047">
        <f>HYPERLINK("https://www.philgeps.gov.ph/GEPSNONPILOT/Tender/SplashBidNoticeAbstractUI.aspx?menuIndex=3&amp;refID=7073353&amp;Result=3","7073353")</f>
        <v>0</v>
      </c>
      <c r="B8047" t="s">
        <v>1745</v>
      </c>
      <c r="C8047" t="s">
        <v>11070</v>
      </c>
      <c r="D8047" t="s">
        <v>17415</v>
      </c>
      <c r="E8047" t="s">
        <v>24437</v>
      </c>
      <c r="F8047" t="s">
        <v>30052</v>
      </c>
      <c r="G8047" t="s">
        <v>30058</v>
      </c>
      <c r="H8047" t="s">
        <v>15498</v>
      </c>
      <c r="I8047" t="s">
        <v>30074</v>
      </c>
      <c r="J8047" t="s">
        <v>35138</v>
      </c>
      <c r="K8047" t="s">
        <v>39029</v>
      </c>
      <c r="M8047" t="s">
        <v>41164</v>
      </c>
      <c r="N8047" t="s">
        <v>43166</v>
      </c>
      <c r="O8047" t="s">
        <v>43167</v>
      </c>
      <c r="P8047">
        <v>0</v>
      </c>
      <c r="Q8047">
        <v>4</v>
      </c>
      <c r="R8047" t="s">
        <v>43174</v>
      </c>
      <c r="S8047" t="s">
        <v>43396</v>
      </c>
      <c r="T8047" t="s">
        <v>44815</v>
      </c>
      <c r="U8047" t="s">
        <v>51709</v>
      </c>
      <c r="W8047" t="s">
        <v>41164</v>
      </c>
      <c r="X8047" t="s">
        <v>43175</v>
      </c>
    </row>
    <row r="8048" spans="1:24">
      <c r="A8048">
        <f>HYPERLINK("https://www.philgeps.gov.ph/GEPSNONPILOT/Tender/SplashBidNoticeAbstractUI.aspx?menuIndex=3&amp;refID=7073361&amp;Result=3","7073361")</f>
        <v>0</v>
      </c>
      <c r="B8048" t="s">
        <v>94</v>
      </c>
      <c r="C8048" t="s">
        <v>11071</v>
      </c>
      <c r="D8048" t="s">
        <v>17454</v>
      </c>
      <c r="E8048" t="s">
        <v>24438</v>
      </c>
      <c r="F8048" t="s">
        <v>30052</v>
      </c>
      <c r="G8048" t="s">
        <v>30058</v>
      </c>
      <c r="H8048" t="s">
        <v>15498</v>
      </c>
      <c r="I8048" t="s">
        <v>30079</v>
      </c>
      <c r="J8048" t="s">
        <v>35139</v>
      </c>
      <c r="K8048" t="s">
        <v>39029</v>
      </c>
      <c r="M8048" t="s">
        <v>39383</v>
      </c>
      <c r="N8048" t="s">
        <v>43166</v>
      </c>
      <c r="O8048" t="s">
        <v>43167</v>
      </c>
      <c r="P8048">
        <v>0</v>
      </c>
      <c r="Q8048">
        <v>1</v>
      </c>
      <c r="R8048" t="s">
        <v>43174</v>
      </c>
      <c r="S8048" t="s">
        <v>43396</v>
      </c>
      <c r="T8048" t="s">
        <v>44837</v>
      </c>
      <c r="U8048" t="s">
        <v>45333</v>
      </c>
      <c r="W8048" t="s">
        <v>39383</v>
      </c>
      <c r="X8048" t="s">
        <v>43175</v>
      </c>
    </row>
    <row r="8049" spans="1:24">
      <c r="A8049">
        <f>HYPERLINK("https://www.philgeps.gov.ph/GEPSNONPILOT/Tender/SplashBidNoticeAbstractUI.aspx?menuIndex=3&amp;refID=7073354&amp;Result=3","7073354")</f>
        <v>0</v>
      </c>
      <c r="B8049" t="s">
        <v>2467</v>
      </c>
      <c r="C8049" t="s">
        <v>11072</v>
      </c>
      <c r="D8049" t="s">
        <v>17435</v>
      </c>
      <c r="E8049" t="s">
        <v>24439</v>
      </c>
      <c r="F8049" t="s">
        <v>30052</v>
      </c>
      <c r="G8049" t="s">
        <v>30058</v>
      </c>
      <c r="H8049" t="s">
        <v>30067</v>
      </c>
      <c r="I8049" t="s">
        <v>3693</v>
      </c>
      <c r="J8049" t="s">
        <v>35140</v>
      </c>
      <c r="K8049" t="s">
        <v>39071</v>
      </c>
      <c r="M8049" t="s">
        <v>41967</v>
      </c>
      <c r="N8049" t="s">
        <v>43166</v>
      </c>
      <c r="O8049" t="s">
        <v>43167</v>
      </c>
      <c r="P8049">
        <v>0</v>
      </c>
      <c r="Q8049">
        <v>0</v>
      </c>
      <c r="R8049" t="s">
        <v>43174</v>
      </c>
      <c r="S8049" t="s">
        <v>43396</v>
      </c>
      <c r="T8049" t="s">
        <v>44856</v>
      </c>
      <c r="U8049" t="s">
        <v>51710</v>
      </c>
      <c r="W8049" t="s">
        <v>41967</v>
      </c>
      <c r="X8049" t="s">
        <v>43175</v>
      </c>
    </row>
    <row r="8050" spans="1:24">
      <c r="A8050">
        <f>HYPERLINK("https://www.philgeps.gov.ph/GEPSNONPILOT/Tender/SplashBidNoticeAbstractUI.aspx?menuIndex=3&amp;refID=7073343&amp;Result=3","7073343")</f>
        <v>0</v>
      </c>
      <c r="B8050" t="s">
        <v>696</v>
      </c>
      <c r="C8050" t="s">
        <v>11073</v>
      </c>
      <c r="D8050" t="s">
        <v>17432</v>
      </c>
      <c r="E8050" t="s">
        <v>24440</v>
      </c>
      <c r="F8050" t="s">
        <v>30052</v>
      </c>
      <c r="G8050" t="s">
        <v>30059</v>
      </c>
      <c r="H8050" t="s">
        <v>15498</v>
      </c>
      <c r="I8050" t="s">
        <v>30076</v>
      </c>
      <c r="J8050" t="s">
        <v>32634</v>
      </c>
      <c r="K8050" t="s">
        <v>39064</v>
      </c>
      <c r="M8050" t="s">
        <v>40004</v>
      </c>
      <c r="N8050" t="s">
        <v>43166</v>
      </c>
      <c r="O8050" t="s">
        <v>43167</v>
      </c>
      <c r="P8050">
        <v>0</v>
      </c>
      <c r="Q8050">
        <v>1</v>
      </c>
      <c r="R8050" t="s">
        <v>43174</v>
      </c>
      <c r="S8050" t="s">
        <v>43396</v>
      </c>
      <c r="T8050" t="s">
        <v>44856</v>
      </c>
      <c r="U8050" t="s">
        <v>51711</v>
      </c>
      <c r="W8050" t="s">
        <v>40004</v>
      </c>
      <c r="X8050" t="s">
        <v>43175</v>
      </c>
    </row>
    <row r="8051" spans="1:24">
      <c r="A8051">
        <f>HYPERLINK("https://www.philgeps.gov.ph/GEPSNONPILOT/Tender/SplashBidNoticeAbstractUI.aspx?menuIndex=3&amp;refID=7073402&amp;Result=3","7073402")</f>
        <v>0</v>
      </c>
      <c r="B8051" t="s">
        <v>2468</v>
      </c>
      <c r="C8051" t="s">
        <v>11074</v>
      </c>
      <c r="D8051" t="s">
        <v>17458</v>
      </c>
      <c r="E8051" t="s">
        <v>24441</v>
      </c>
      <c r="F8051" t="s">
        <v>30052</v>
      </c>
      <c r="G8051" t="s">
        <v>30061</v>
      </c>
      <c r="H8051" t="s">
        <v>15498</v>
      </c>
      <c r="I8051" t="s">
        <v>30070</v>
      </c>
      <c r="J8051" t="s">
        <v>35141</v>
      </c>
      <c r="K8051" t="s">
        <v>39025</v>
      </c>
      <c r="M8051" t="s">
        <v>41968</v>
      </c>
      <c r="N8051" t="s">
        <v>43166</v>
      </c>
      <c r="O8051" t="s">
        <v>43167</v>
      </c>
      <c r="P8051">
        <v>0</v>
      </c>
      <c r="Q8051">
        <v>0</v>
      </c>
      <c r="R8051" t="s">
        <v>43174</v>
      </c>
      <c r="S8051" t="s">
        <v>43396</v>
      </c>
      <c r="T8051" t="s">
        <v>44822</v>
      </c>
      <c r="U8051" t="s">
        <v>51712</v>
      </c>
      <c r="W8051" t="s">
        <v>41968</v>
      </c>
      <c r="X8051" t="s">
        <v>43175</v>
      </c>
    </row>
    <row r="8052" spans="1:24">
      <c r="A8052">
        <f>HYPERLINK("https://www.philgeps.gov.ph/GEPSNONPILOT/Tender/SplashBidNoticeAbstractUI.aspx?menuIndex=3&amp;refID=7073396&amp;Result=3","7073396")</f>
        <v>0</v>
      </c>
      <c r="B8052" t="s">
        <v>2469</v>
      </c>
      <c r="C8052" t="s">
        <v>11075</v>
      </c>
      <c r="D8052" t="s">
        <v>17447</v>
      </c>
      <c r="E8052" t="s">
        <v>18384</v>
      </c>
      <c r="F8052" t="s">
        <v>30052</v>
      </c>
      <c r="G8052" t="s">
        <v>30058</v>
      </c>
      <c r="H8052" t="s">
        <v>15498</v>
      </c>
      <c r="I8052" t="s">
        <v>3736</v>
      </c>
      <c r="J8052" t="s">
        <v>30297</v>
      </c>
      <c r="K8052" t="s">
        <v>39029</v>
      </c>
      <c r="M8052" t="s">
        <v>41969</v>
      </c>
      <c r="N8052" t="s">
        <v>43166</v>
      </c>
      <c r="O8052" t="s">
        <v>43167</v>
      </c>
      <c r="P8052">
        <v>0</v>
      </c>
      <c r="Q8052">
        <v>0</v>
      </c>
      <c r="R8052" t="s">
        <v>43174</v>
      </c>
      <c r="S8052" t="s">
        <v>43396</v>
      </c>
      <c r="T8052" t="s">
        <v>44832</v>
      </c>
      <c r="U8052" t="s">
        <v>51713</v>
      </c>
      <c r="V8052" t="s">
        <v>57684</v>
      </c>
      <c r="W8052" t="s">
        <v>41969</v>
      </c>
      <c r="X8052" t="s">
        <v>43175</v>
      </c>
    </row>
    <row r="8053" spans="1:24">
      <c r="A8053">
        <f>HYPERLINK("https://www.philgeps.gov.ph/GEPSNONPILOT/Tender/SplashBidNoticeAbstractUI.aspx?menuIndex=3&amp;refID=7073383&amp;Result=3","7073383")</f>
        <v>0</v>
      </c>
      <c r="B8053" t="s">
        <v>2470</v>
      </c>
      <c r="C8053" t="s">
        <v>11076</v>
      </c>
      <c r="D8053" t="s">
        <v>17419</v>
      </c>
      <c r="E8053" t="s">
        <v>24442</v>
      </c>
      <c r="F8053" t="s">
        <v>30052</v>
      </c>
      <c r="G8053" t="s">
        <v>30058</v>
      </c>
      <c r="H8053" t="s">
        <v>15498</v>
      </c>
      <c r="I8053" t="s">
        <v>3736</v>
      </c>
      <c r="J8053" t="s">
        <v>35142</v>
      </c>
      <c r="K8053" t="s">
        <v>39017</v>
      </c>
      <c r="M8053" t="s">
        <v>41970</v>
      </c>
      <c r="N8053" t="s">
        <v>43166</v>
      </c>
      <c r="O8053" t="s">
        <v>43167</v>
      </c>
      <c r="P8053">
        <v>0</v>
      </c>
      <c r="Q8053">
        <v>0</v>
      </c>
      <c r="R8053" t="s">
        <v>43174</v>
      </c>
      <c r="S8053" t="s">
        <v>43396</v>
      </c>
      <c r="T8053" t="s">
        <v>45005</v>
      </c>
      <c r="U8053" t="s">
        <v>51714</v>
      </c>
      <c r="W8053" t="s">
        <v>41970</v>
      </c>
      <c r="X8053" t="s">
        <v>43175</v>
      </c>
    </row>
    <row r="8054" spans="1:24">
      <c r="A8054">
        <f>HYPERLINK("https://www.philgeps.gov.ph/GEPSNONPILOT/Tender/SplashBidNoticeAbstractUI.aspx?menuIndex=3&amp;refID=7073382&amp;Result=3","7073382")</f>
        <v>0</v>
      </c>
      <c r="B8054" t="s">
        <v>684</v>
      </c>
      <c r="C8054" t="s">
        <v>11077</v>
      </c>
      <c r="D8054" t="s">
        <v>17473</v>
      </c>
      <c r="E8054" t="s">
        <v>24443</v>
      </c>
      <c r="F8054" t="s">
        <v>30052</v>
      </c>
      <c r="G8054" t="s">
        <v>30058</v>
      </c>
      <c r="H8054" t="s">
        <v>15498</v>
      </c>
      <c r="I8054" t="s">
        <v>30124</v>
      </c>
      <c r="J8054" t="s">
        <v>30397</v>
      </c>
      <c r="K8054" t="s">
        <v>39031</v>
      </c>
      <c r="M8054" t="s">
        <v>39999</v>
      </c>
      <c r="N8054" t="s">
        <v>43166</v>
      </c>
      <c r="O8054" t="s">
        <v>43167</v>
      </c>
      <c r="P8054">
        <v>0</v>
      </c>
      <c r="Q8054">
        <v>9</v>
      </c>
      <c r="R8054" t="s">
        <v>43174</v>
      </c>
      <c r="S8054" t="s">
        <v>43396</v>
      </c>
      <c r="T8054" t="s">
        <v>44945</v>
      </c>
      <c r="U8054" t="s">
        <v>51715</v>
      </c>
      <c r="W8054" t="s">
        <v>39999</v>
      </c>
      <c r="X8054" t="s">
        <v>43175</v>
      </c>
    </row>
    <row r="8055" spans="1:24">
      <c r="A8055">
        <f>HYPERLINK("https://www.philgeps.gov.ph/GEPSNONPILOT/Tender/SplashBidNoticeAbstractUI.aspx?menuIndex=3&amp;refID=7073379&amp;Result=3","7073379")</f>
        <v>0</v>
      </c>
      <c r="B8055" t="s">
        <v>2471</v>
      </c>
      <c r="C8055" t="s">
        <v>11078</v>
      </c>
      <c r="D8055" t="s">
        <v>17478</v>
      </c>
      <c r="E8055" t="s">
        <v>24444</v>
      </c>
      <c r="F8055" t="s">
        <v>30052</v>
      </c>
      <c r="G8055" t="s">
        <v>30058</v>
      </c>
      <c r="H8055" t="s">
        <v>30067</v>
      </c>
      <c r="I8055" t="s">
        <v>3693</v>
      </c>
      <c r="J8055" t="s">
        <v>35143</v>
      </c>
      <c r="K8055" t="s">
        <v>39071</v>
      </c>
      <c r="M8055" t="s">
        <v>41971</v>
      </c>
      <c r="N8055" t="s">
        <v>43166</v>
      </c>
      <c r="O8055" t="s">
        <v>43167</v>
      </c>
      <c r="P8055">
        <v>0</v>
      </c>
      <c r="Q8055">
        <v>0</v>
      </c>
      <c r="R8055" t="s">
        <v>43174</v>
      </c>
      <c r="S8055" t="s">
        <v>43396</v>
      </c>
      <c r="T8055" t="s">
        <v>44800</v>
      </c>
      <c r="U8055" t="s">
        <v>51716</v>
      </c>
      <c r="W8055" t="s">
        <v>41971</v>
      </c>
      <c r="X8055" t="s">
        <v>43175</v>
      </c>
    </row>
    <row r="8056" spans="1:24">
      <c r="A8056">
        <f>HYPERLINK("https://www.philgeps.gov.ph/GEPSNONPILOT/Tender/SplashBidNoticeAbstractUI.aspx?menuIndex=3&amp;refID=7073394&amp;Result=3","7073394")</f>
        <v>0</v>
      </c>
      <c r="B8056" t="s">
        <v>2472</v>
      </c>
      <c r="C8056" t="s">
        <v>11079</v>
      </c>
      <c r="D8056" t="s">
        <v>17466</v>
      </c>
      <c r="E8056" t="s">
        <v>24445</v>
      </c>
      <c r="F8056" t="s">
        <v>30052</v>
      </c>
      <c r="G8056" t="s">
        <v>30058</v>
      </c>
      <c r="H8056" t="s">
        <v>30067</v>
      </c>
      <c r="I8056" t="s">
        <v>3693</v>
      </c>
      <c r="J8056" t="s">
        <v>35144</v>
      </c>
      <c r="K8056" t="s">
        <v>39082</v>
      </c>
      <c r="M8056" t="s">
        <v>41972</v>
      </c>
      <c r="N8056" t="s">
        <v>43166</v>
      </c>
      <c r="O8056" t="s">
        <v>43167</v>
      </c>
      <c r="P8056">
        <v>0</v>
      </c>
      <c r="Q8056">
        <v>4</v>
      </c>
      <c r="R8056" t="s">
        <v>43174</v>
      </c>
      <c r="S8056" t="s">
        <v>43396</v>
      </c>
      <c r="T8056" t="s">
        <v>44934</v>
      </c>
      <c r="U8056" t="s">
        <v>51717</v>
      </c>
      <c r="W8056" t="s">
        <v>41972</v>
      </c>
      <c r="X8056" t="s">
        <v>43175</v>
      </c>
    </row>
    <row r="8057" spans="1:24">
      <c r="A8057">
        <f>HYPERLINK("https://www.philgeps.gov.ph/GEPSNONPILOT/Tender/SplashBidNoticeAbstractUI.aspx?menuIndex=3&amp;refID=7073406&amp;Result=3","7073406")</f>
        <v>0</v>
      </c>
      <c r="B8057" t="s">
        <v>2472</v>
      </c>
      <c r="C8057" t="s">
        <v>11080</v>
      </c>
      <c r="D8057" t="s">
        <v>17466</v>
      </c>
      <c r="E8057" t="s">
        <v>24446</v>
      </c>
      <c r="F8057" t="s">
        <v>30052</v>
      </c>
      <c r="G8057" t="s">
        <v>30058</v>
      </c>
      <c r="H8057" t="s">
        <v>30067</v>
      </c>
      <c r="I8057" t="s">
        <v>3693</v>
      </c>
      <c r="J8057" t="s">
        <v>35145</v>
      </c>
      <c r="K8057" t="s">
        <v>39082</v>
      </c>
      <c r="M8057" t="s">
        <v>41972</v>
      </c>
      <c r="N8057" t="s">
        <v>43166</v>
      </c>
      <c r="O8057" t="s">
        <v>43167</v>
      </c>
      <c r="P8057">
        <v>0</v>
      </c>
      <c r="Q8057">
        <v>4</v>
      </c>
      <c r="R8057" t="s">
        <v>43174</v>
      </c>
      <c r="S8057" t="s">
        <v>43396</v>
      </c>
      <c r="T8057" t="s">
        <v>44934</v>
      </c>
      <c r="U8057" t="s">
        <v>51717</v>
      </c>
      <c r="W8057" t="s">
        <v>41972</v>
      </c>
      <c r="X8057" t="s">
        <v>43175</v>
      </c>
    </row>
    <row r="8058" spans="1:24">
      <c r="A8058">
        <f>HYPERLINK("https://www.philgeps.gov.ph/GEPSNONPILOT/Tender/SplashBidNoticeAbstractUI.aspx?menuIndex=3&amp;refID=7073391&amp;Result=3","7073391")</f>
        <v>0</v>
      </c>
      <c r="B8058" t="s">
        <v>2473</v>
      </c>
      <c r="C8058" t="s">
        <v>11081</v>
      </c>
      <c r="D8058" t="s">
        <v>17437</v>
      </c>
      <c r="E8058" t="s">
        <v>24447</v>
      </c>
      <c r="F8058" t="s">
        <v>30052</v>
      </c>
      <c r="G8058" t="s">
        <v>30058</v>
      </c>
      <c r="H8058" t="s">
        <v>15498</v>
      </c>
      <c r="I8058" t="s">
        <v>30074</v>
      </c>
      <c r="J8058" t="s">
        <v>34679</v>
      </c>
      <c r="K8058" t="s">
        <v>39019</v>
      </c>
      <c r="M8058" t="s">
        <v>41973</v>
      </c>
      <c r="N8058" t="s">
        <v>43166</v>
      </c>
      <c r="O8058" t="s">
        <v>43167</v>
      </c>
      <c r="P8058">
        <v>0</v>
      </c>
      <c r="Q8058">
        <v>2</v>
      </c>
      <c r="R8058" t="s">
        <v>43174</v>
      </c>
      <c r="S8058" t="s">
        <v>43396</v>
      </c>
      <c r="T8058" t="s">
        <v>44815</v>
      </c>
      <c r="U8058" t="s">
        <v>51718</v>
      </c>
      <c r="W8058" t="s">
        <v>41973</v>
      </c>
      <c r="X8058" t="s">
        <v>43175</v>
      </c>
    </row>
    <row r="8059" spans="1:24">
      <c r="A8059">
        <f>HYPERLINK("https://www.philgeps.gov.ph/GEPSNONPILOT/Tender/SplashBidNoticeAbstractUI.aspx?menuIndex=3&amp;refID=7073375&amp;Result=3","7073375")</f>
        <v>0</v>
      </c>
      <c r="B8059" t="s">
        <v>2474</v>
      </c>
      <c r="C8059" t="s">
        <v>11082</v>
      </c>
      <c r="D8059" t="s">
        <v>17441</v>
      </c>
      <c r="E8059" t="s">
        <v>24448</v>
      </c>
      <c r="F8059" t="s">
        <v>30052</v>
      </c>
      <c r="G8059" t="s">
        <v>30058</v>
      </c>
      <c r="H8059" t="s">
        <v>30069</v>
      </c>
      <c r="I8059" t="s">
        <v>30163</v>
      </c>
      <c r="J8059" t="s">
        <v>35146</v>
      </c>
      <c r="K8059" t="s">
        <v>39038</v>
      </c>
      <c r="M8059" t="s">
        <v>41974</v>
      </c>
      <c r="N8059" t="s">
        <v>43166</v>
      </c>
      <c r="O8059" t="s">
        <v>43167</v>
      </c>
      <c r="P8059">
        <v>0</v>
      </c>
      <c r="Q8059">
        <v>2</v>
      </c>
      <c r="R8059" t="s">
        <v>43174</v>
      </c>
      <c r="S8059" t="s">
        <v>43396</v>
      </c>
      <c r="T8059" t="s">
        <v>44816</v>
      </c>
      <c r="U8059" t="s">
        <v>51719</v>
      </c>
      <c r="V8059" t="s">
        <v>57685</v>
      </c>
      <c r="W8059" t="s">
        <v>41974</v>
      </c>
      <c r="X8059" t="s">
        <v>43175</v>
      </c>
    </row>
    <row r="8060" spans="1:24">
      <c r="A8060">
        <f>HYPERLINK("https://www.philgeps.gov.ph/GEPSNONPILOT/Tender/SplashBidNoticeAbstractUI.aspx?menuIndex=3&amp;refID=7073363&amp;Result=3","7073363")</f>
        <v>0</v>
      </c>
      <c r="B8060" t="s">
        <v>2454</v>
      </c>
      <c r="C8060" t="s">
        <v>11083</v>
      </c>
      <c r="D8060" t="s">
        <v>17486</v>
      </c>
      <c r="E8060" t="s">
        <v>24449</v>
      </c>
      <c r="F8060" t="s">
        <v>30052</v>
      </c>
      <c r="G8060" t="s">
        <v>30058</v>
      </c>
      <c r="H8060" t="s">
        <v>30067</v>
      </c>
      <c r="I8060" t="s">
        <v>3693</v>
      </c>
      <c r="J8060" t="s">
        <v>30873</v>
      </c>
      <c r="K8060" t="s">
        <v>39026</v>
      </c>
      <c r="M8060" t="s">
        <v>41953</v>
      </c>
      <c r="N8060" t="s">
        <v>43166</v>
      </c>
      <c r="O8060" t="s">
        <v>43167</v>
      </c>
      <c r="P8060">
        <v>0</v>
      </c>
      <c r="Q8060">
        <v>1</v>
      </c>
      <c r="R8060" t="s">
        <v>43174</v>
      </c>
      <c r="S8060" t="s">
        <v>43396</v>
      </c>
      <c r="T8060" t="s">
        <v>44699</v>
      </c>
      <c r="U8060" t="s">
        <v>51720</v>
      </c>
      <c r="W8060" t="s">
        <v>41953</v>
      </c>
      <c r="X8060" t="s">
        <v>43175</v>
      </c>
    </row>
    <row r="8061" spans="1:24">
      <c r="A8061">
        <f>HYPERLINK("https://www.philgeps.gov.ph/GEPSNONPILOT/Tender/SplashBidNoticeAbstractUI.aspx?menuIndex=3&amp;refID=7073367&amp;Result=3","7073367")</f>
        <v>0</v>
      </c>
      <c r="B8061" t="s">
        <v>2475</v>
      </c>
      <c r="C8061" t="s">
        <v>11084</v>
      </c>
      <c r="D8061" t="s">
        <v>17449</v>
      </c>
      <c r="E8061" t="s">
        <v>19739</v>
      </c>
      <c r="F8061" t="s">
        <v>30052</v>
      </c>
      <c r="G8061" t="s">
        <v>30058</v>
      </c>
      <c r="H8061" t="s">
        <v>15498</v>
      </c>
      <c r="I8061" t="s">
        <v>30140</v>
      </c>
      <c r="J8061" t="s">
        <v>31660</v>
      </c>
      <c r="K8061" t="s">
        <v>39017</v>
      </c>
      <c r="M8061" t="s">
        <v>41975</v>
      </c>
      <c r="N8061" t="s">
        <v>43166</v>
      </c>
      <c r="O8061" t="s">
        <v>43167</v>
      </c>
      <c r="P8061">
        <v>0</v>
      </c>
      <c r="Q8061">
        <v>4</v>
      </c>
      <c r="R8061" t="s">
        <v>43174</v>
      </c>
      <c r="S8061" t="s">
        <v>43396</v>
      </c>
      <c r="T8061" t="s">
        <v>44844</v>
      </c>
      <c r="U8061" t="s">
        <v>51721</v>
      </c>
      <c r="W8061" t="s">
        <v>41975</v>
      </c>
      <c r="X8061" t="s">
        <v>43175</v>
      </c>
    </row>
    <row r="8062" spans="1:24">
      <c r="A8062">
        <f>HYPERLINK("https://www.philgeps.gov.ph/GEPSNONPILOT/Tender/SplashBidNoticeAbstractUI.aspx?menuIndex=3&amp;refID=7073345&amp;Result=3","7073345")</f>
        <v>0</v>
      </c>
      <c r="B8062" t="s">
        <v>2476</v>
      </c>
      <c r="C8062" t="s">
        <v>11085</v>
      </c>
      <c r="D8062" t="s">
        <v>17472</v>
      </c>
      <c r="E8062" t="s">
        <v>24450</v>
      </c>
      <c r="F8062" t="s">
        <v>30052</v>
      </c>
      <c r="G8062" t="s">
        <v>30058</v>
      </c>
      <c r="H8062" t="s">
        <v>15498</v>
      </c>
      <c r="I8062" t="s">
        <v>3736</v>
      </c>
      <c r="J8062" t="s">
        <v>35147</v>
      </c>
      <c r="K8062" t="s">
        <v>39019</v>
      </c>
      <c r="M8062" t="s">
        <v>41976</v>
      </c>
      <c r="N8062" t="s">
        <v>43166</v>
      </c>
      <c r="O8062" t="s">
        <v>43167</v>
      </c>
      <c r="P8062">
        <v>0</v>
      </c>
      <c r="Q8062">
        <v>6</v>
      </c>
      <c r="R8062" t="s">
        <v>43174</v>
      </c>
      <c r="S8062" t="s">
        <v>43396</v>
      </c>
      <c r="T8062" t="s">
        <v>44711</v>
      </c>
      <c r="U8062" t="s">
        <v>51722</v>
      </c>
      <c r="W8062" t="s">
        <v>41976</v>
      </c>
      <c r="X8062" t="s">
        <v>43175</v>
      </c>
    </row>
    <row r="8063" spans="1:24">
      <c r="A8063">
        <f>HYPERLINK("https://www.philgeps.gov.ph/GEPSNONPILOT/Tender/SplashBidNoticeAbstractUI.aspx?menuIndex=3&amp;refID=7073409&amp;Result=3","7073409")</f>
        <v>0</v>
      </c>
      <c r="B8063" t="s">
        <v>2462</v>
      </c>
      <c r="C8063" t="s">
        <v>11086</v>
      </c>
      <c r="D8063" t="s">
        <v>17415</v>
      </c>
      <c r="E8063" t="s">
        <v>24451</v>
      </c>
      <c r="F8063" t="s">
        <v>30052</v>
      </c>
      <c r="G8063" t="s">
        <v>30061</v>
      </c>
      <c r="H8063" t="s">
        <v>15498</v>
      </c>
      <c r="I8063" t="s">
        <v>3736</v>
      </c>
      <c r="J8063" t="s">
        <v>35148</v>
      </c>
      <c r="K8063" t="s">
        <v>39029</v>
      </c>
      <c r="M8063" t="s">
        <v>41961</v>
      </c>
      <c r="N8063" t="s">
        <v>43166</v>
      </c>
      <c r="O8063" t="s">
        <v>43167</v>
      </c>
      <c r="P8063">
        <v>0</v>
      </c>
      <c r="Q8063">
        <v>0</v>
      </c>
      <c r="R8063" t="s">
        <v>43174</v>
      </c>
      <c r="S8063" t="s">
        <v>43396</v>
      </c>
      <c r="T8063" t="s">
        <v>44717</v>
      </c>
      <c r="U8063" t="s">
        <v>51723</v>
      </c>
      <c r="W8063" t="s">
        <v>41961</v>
      </c>
      <c r="X8063" t="s">
        <v>43175</v>
      </c>
    </row>
    <row r="8064" spans="1:24">
      <c r="A8064">
        <f>HYPERLINK("https://www.philgeps.gov.ph/GEPSNONPILOT/Tender/SplashBidNoticeAbstractUI.aspx?menuIndex=3&amp;refID=7073366&amp;Result=3","7073366")</f>
        <v>0</v>
      </c>
      <c r="B8064" t="s">
        <v>1903</v>
      </c>
      <c r="C8064" t="s">
        <v>11087</v>
      </c>
      <c r="D8064" t="s">
        <v>17446</v>
      </c>
      <c r="E8064" t="s">
        <v>24452</v>
      </c>
      <c r="F8064" t="s">
        <v>30052</v>
      </c>
      <c r="G8064" t="s">
        <v>30058</v>
      </c>
      <c r="H8064" t="s">
        <v>30067</v>
      </c>
      <c r="I8064" t="s">
        <v>3693</v>
      </c>
      <c r="J8064" t="s">
        <v>34779</v>
      </c>
      <c r="K8064" t="s">
        <v>39199</v>
      </c>
      <c r="M8064" t="s">
        <v>41334</v>
      </c>
      <c r="N8064" t="s">
        <v>43166</v>
      </c>
      <c r="O8064" t="s">
        <v>43167</v>
      </c>
      <c r="P8064">
        <v>0</v>
      </c>
      <c r="Q8064">
        <v>0</v>
      </c>
      <c r="R8064" t="s">
        <v>43174</v>
      </c>
      <c r="S8064" t="s">
        <v>43396</v>
      </c>
      <c r="T8064" t="s">
        <v>45084</v>
      </c>
      <c r="U8064" t="s">
        <v>51724</v>
      </c>
      <c r="W8064" t="s">
        <v>41334</v>
      </c>
      <c r="X8064" t="s">
        <v>43175</v>
      </c>
    </row>
    <row r="8065" spans="1:24">
      <c r="A8065">
        <f>HYPERLINK("https://www.philgeps.gov.ph/GEPSNONPILOT/Tender/SplashBidNoticeAbstractUI.aspx?menuIndex=3&amp;refID=7073386&amp;Result=3","7073386")</f>
        <v>0</v>
      </c>
      <c r="B8065" t="s">
        <v>2462</v>
      </c>
      <c r="C8065" t="s">
        <v>11088</v>
      </c>
      <c r="D8065" t="s">
        <v>17415</v>
      </c>
      <c r="E8065" t="s">
        <v>24453</v>
      </c>
      <c r="F8065" t="s">
        <v>30052</v>
      </c>
      <c r="G8065" t="s">
        <v>30061</v>
      </c>
      <c r="H8065" t="s">
        <v>15498</v>
      </c>
      <c r="I8065" t="s">
        <v>3736</v>
      </c>
      <c r="J8065" t="s">
        <v>30860</v>
      </c>
      <c r="K8065" t="s">
        <v>39029</v>
      </c>
      <c r="M8065" t="s">
        <v>41961</v>
      </c>
      <c r="N8065" t="s">
        <v>43166</v>
      </c>
      <c r="O8065" t="s">
        <v>43167</v>
      </c>
      <c r="P8065">
        <v>0</v>
      </c>
      <c r="Q8065">
        <v>3</v>
      </c>
      <c r="R8065" t="s">
        <v>43174</v>
      </c>
      <c r="S8065" t="s">
        <v>43396</v>
      </c>
      <c r="T8065" t="s">
        <v>44717</v>
      </c>
      <c r="U8065" t="s">
        <v>51725</v>
      </c>
      <c r="W8065" t="s">
        <v>41961</v>
      </c>
      <c r="X8065" t="s">
        <v>43175</v>
      </c>
    </row>
    <row r="8066" spans="1:24">
      <c r="A8066">
        <f>HYPERLINK("https://www.philgeps.gov.ph/GEPSNONPILOT/Tender/SplashBidNoticeAbstractUI.aspx?menuIndex=3&amp;refID=7073465&amp;Result=3","7073465")</f>
        <v>0</v>
      </c>
      <c r="B8066" t="s">
        <v>684</v>
      </c>
      <c r="C8066" t="s">
        <v>11089</v>
      </c>
      <c r="D8066" t="s">
        <v>17473</v>
      </c>
      <c r="E8066" t="s">
        <v>24454</v>
      </c>
      <c r="F8066" t="s">
        <v>30052</v>
      </c>
      <c r="G8066" t="s">
        <v>30058</v>
      </c>
      <c r="H8066" t="s">
        <v>15498</v>
      </c>
      <c r="I8066" t="s">
        <v>30106</v>
      </c>
      <c r="J8066" t="s">
        <v>30281</v>
      </c>
      <c r="K8066" t="s">
        <v>39031</v>
      </c>
      <c r="M8066" t="s">
        <v>39999</v>
      </c>
      <c r="N8066" t="s">
        <v>43166</v>
      </c>
      <c r="O8066" t="s">
        <v>43167</v>
      </c>
      <c r="P8066">
        <v>0</v>
      </c>
      <c r="Q8066">
        <v>7</v>
      </c>
      <c r="R8066" t="s">
        <v>43174</v>
      </c>
      <c r="S8066" t="s">
        <v>43396</v>
      </c>
      <c r="T8066" t="s">
        <v>44945</v>
      </c>
      <c r="U8066" t="s">
        <v>51726</v>
      </c>
      <c r="W8066" t="s">
        <v>39999</v>
      </c>
      <c r="X8066" t="s">
        <v>43175</v>
      </c>
    </row>
    <row r="8067" spans="1:24">
      <c r="A8067">
        <f>HYPERLINK("https://www.philgeps.gov.ph/GEPSNONPILOT/Tender/SplashBidNoticeAbstractUI.aspx?menuIndex=3&amp;refID=7073405&amp;Result=3","7073405")</f>
        <v>0</v>
      </c>
      <c r="B8067" t="s">
        <v>1524</v>
      </c>
      <c r="C8067" t="s">
        <v>11090</v>
      </c>
      <c r="D8067" t="s">
        <v>17443</v>
      </c>
      <c r="E8067" t="s">
        <v>24455</v>
      </c>
      <c r="F8067" t="s">
        <v>30052</v>
      </c>
      <c r="G8067" t="s">
        <v>30058</v>
      </c>
      <c r="H8067" t="s">
        <v>15498</v>
      </c>
      <c r="I8067" t="s">
        <v>3736</v>
      </c>
      <c r="J8067" t="s">
        <v>35149</v>
      </c>
      <c r="K8067" t="s">
        <v>39019</v>
      </c>
      <c r="M8067" t="s">
        <v>40910</v>
      </c>
      <c r="N8067" t="s">
        <v>43166</v>
      </c>
      <c r="O8067" t="s">
        <v>43167</v>
      </c>
      <c r="P8067">
        <v>0</v>
      </c>
      <c r="Q8067">
        <v>0</v>
      </c>
      <c r="R8067" t="s">
        <v>43174</v>
      </c>
      <c r="S8067" t="s">
        <v>43396</v>
      </c>
      <c r="T8067" t="s">
        <v>44856</v>
      </c>
      <c r="U8067" t="s">
        <v>51727</v>
      </c>
      <c r="W8067" t="s">
        <v>40910</v>
      </c>
      <c r="X8067" t="s">
        <v>43175</v>
      </c>
    </row>
    <row r="8068" spans="1:24">
      <c r="A8068">
        <f>HYPERLINK("https://www.philgeps.gov.ph/GEPSNONPILOT/Tender/SplashBidNoticeAbstractUI.aspx?menuIndex=3&amp;refID=7073463&amp;Result=3","7073463")</f>
        <v>0</v>
      </c>
      <c r="B8068" t="s">
        <v>721</v>
      </c>
      <c r="C8068" t="s">
        <v>11091</v>
      </c>
      <c r="D8068" t="s">
        <v>17451</v>
      </c>
      <c r="E8068" t="s">
        <v>24456</v>
      </c>
      <c r="F8068" t="s">
        <v>30052</v>
      </c>
      <c r="G8068" t="s">
        <v>30058</v>
      </c>
      <c r="H8068" t="s">
        <v>30067</v>
      </c>
      <c r="I8068" t="s">
        <v>3693</v>
      </c>
      <c r="J8068" t="s">
        <v>35150</v>
      </c>
      <c r="K8068" t="s">
        <v>39162</v>
      </c>
      <c r="M8068" t="s">
        <v>40031</v>
      </c>
      <c r="N8068" t="s">
        <v>43166</v>
      </c>
      <c r="O8068" t="s">
        <v>43167</v>
      </c>
      <c r="P8068">
        <v>0</v>
      </c>
      <c r="Q8068">
        <v>0</v>
      </c>
      <c r="R8068" t="s">
        <v>43174</v>
      </c>
      <c r="S8068" t="s">
        <v>43396</v>
      </c>
      <c r="T8068" t="s">
        <v>44777</v>
      </c>
      <c r="U8068" t="s">
        <v>51728</v>
      </c>
      <c r="W8068" t="s">
        <v>40031</v>
      </c>
      <c r="X8068" t="s">
        <v>43175</v>
      </c>
    </row>
    <row r="8069" spans="1:24">
      <c r="A8069">
        <f>HYPERLINK("https://www.philgeps.gov.ph/GEPSNONPILOT/Tender/SplashBidNoticeAbstractUI.aspx?menuIndex=3&amp;refID=7073478&amp;Result=3","7073478")</f>
        <v>0</v>
      </c>
      <c r="B8069" t="s">
        <v>2454</v>
      </c>
      <c r="C8069" t="s">
        <v>11092</v>
      </c>
      <c r="D8069" t="s">
        <v>17486</v>
      </c>
      <c r="E8069" t="s">
        <v>24457</v>
      </c>
      <c r="F8069" t="s">
        <v>30052</v>
      </c>
      <c r="G8069" t="s">
        <v>30058</v>
      </c>
      <c r="H8069" t="s">
        <v>30067</v>
      </c>
      <c r="I8069" t="s">
        <v>3693</v>
      </c>
      <c r="J8069" t="s">
        <v>35151</v>
      </c>
      <c r="K8069" t="s">
        <v>39022</v>
      </c>
      <c r="M8069" t="s">
        <v>41953</v>
      </c>
      <c r="N8069" t="s">
        <v>43166</v>
      </c>
      <c r="O8069" t="s">
        <v>43167</v>
      </c>
      <c r="P8069">
        <v>0</v>
      </c>
      <c r="Q8069">
        <v>2</v>
      </c>
      <c r="R8069" t="s">
        <v>43174</v>
      </c>
      <c r="S8069" t="s">
        <v>43396</v>
      </c>
      <c r="T8069" t="s">
        <v>44699</v>
      </c>
      <c r="U8069" t="s">
        <v>51720</v>
      </c>
      <c r="W8069" t="s">
        <v>41953</v>
      </c>
      <c r="X8069" t="s">
        <v>43175</v>
      </c>
    </row>
    <row r="8070" spans="1:24">
      <c r="A8070">
        <f>HYPERLINK("https://www.philgeps.gov.ph/GEPSNONPILOT/Tender/SplashBidNoticeAbstractUI.aspx?menuIndex=3&amp;refID=7073471&amp;Result=3","7073471")</f>
        <v>0</v>
      </c>
      <c r="B8070" t="s">
        <v>2477</v>
      </c>
      <c r="C8070" t="s">
        <v>11093</v>
      </c>
      <c r="D8070" t="s">
        <v>17417</v>
      </c>
      <c r="E8070" t="s">
        <v>24458</v>
      </c>
      <c r="F8070" t="s">
        <v>30052</v>
      </c>
      <c r="G8070" t="s">
        <v>30058</v>
      </c>
      <c r="H8070" t="s">
        <v>15498</v>
      </c>
      <c r="I8070" t="s">
        <v>30097</v>
      </c>
      <c r="J8070" t="s">
        <v>35152</v>
      </c>
      <c r="K8070" t="s">
        <v>39023</v>
      </c>
      <c r="M8070" t="s">
        <v>41977</v>
      </c>
      <c r="N8070" t="s">
        <v>43166</v>
      </c>
      <c r="O8070" t="s">
        <v>43167</v>
      </c>
      <c r="P8070">
        <v>0</v>
      </c>
      <c r="Q8070">
        <v>0</v>
      </c>
      <c r="R8070" t="s">
        <v>43174</v>
      </c>
      <c r="S8070" t="s">
        <v>43396</v>
      </c>
      <c r="T8070" t="s">
        <v>44815</v>
      </c>
      <c r="U8070" t="s">
        <v>51729</v>
      </c>
      <c r="W8070" t="s">
        <v>41977</v>
      </c>
      <c r="X8070" t="s">
        <v>43175</v>
      </c>
    </row>
    <row r="8071" spans="1:24">
      <c r="A8071">
        <f>HYPERLINK("https://www.philgeps.gov.ph/GEPSNONPILOT/Tender/SplashBidNoticeAbstractUI.aspx?menuIndex=3&amp;refID=7073420&amp;Result=3","7073420")</f>
        <v>0</v>
      </c>
      <c r="B8071" t="s">
        <v>777</v>
      </c>
      <c r="C8071" t="s">
        <v>11094</v>
      </c>
      <c r="E8071" t="s">
        <v>24459</v>
      </c>
      <c r="F8071" t="s">
        <v>30052</v>
      </c>
      <c r="G8071" t="s">
        <v>30060</v>
      </c>
      <c r="H8071" t="s">
        <v>15498</v>
      </c>
      <c r="I8071" t="s">
        <v>30091</v>
      </c>
      <c r="J8071" t="s">
        <v>35153</v>
      </c>
      <c r="K8071" t="s">
        <v>39025</v>
      </c>
      <c r="M8071" t="s">
        <v>40092</v>
      </c>
      <c r="N8071" t="s">
        <v>43166</v>
      </c>
      <c r="O8071" t="s">
        <v>43167</v>
      </c>
      <c r="P8071">
        <v>0</v>
      </c>
      <c r="Q8071">
        <v>4</v>
      </c>
      <c r="R8071" t="s">
        <v>43174</v>
      </c>
      <c r="S8071" t="s">
        <v>43396</v>
      </c>
      <c r="T8071" t="s">
        <v>44856</v>
      </c>
      <c r="U8071" t="s">
        <v>51730</v>
      </c>
      <c r="W8071" t="s">
        <v>40092</v>
      </c>
      <c r="X8071" t="s">
        <v>43175</v>
      </c>
    </row>
    <row r="8072" spans="1:24">
      <c r="A8072">
        <f>HYPERLINK("https://www.philgeps.gov.ph/GEPSNONPILOT/Tender/SplashBidNoticeAbstractUI.aspx?menuIndex=3&amp;refID=7073413&amp;Result=3","7073413")</f>
        <v>0</v>
      </c>
      <c r="B8072" t="s">
        <v>2478</v>
      </c>
      <c r="C8072" t="s">
        <v>11095</v>
      </c>
      <c r="D8072" t="s">
        <v>17441</v>
      </c>
      <c r="E8072" t="s">
        <v>24460</v>
      </c>
      <c r="F8072" t="s">
        <v>30052</v>
      </c>
      <c r="G8072" t="s">
        <v>30058</v>
      </c>
      <c r="H8072" t="s">
        <v>30069</v>
      </c>
      <c r="I8072" t="s">
        <v>30163</v>
      </c>
      <c r="J8072" t="s">
        <v>35154</v>
      </c>
      <c r="K8072" t="s">
        <v>39029</v>
      </c>
      <c r="M8072" t="s">
        <v>41978</v>
      </c>
      <c r="N8072" t="s">
        <v>43166</v>
      </c>
      <c r="O8072" t="s">
        <v>43167</v>
      </c>
      <c r="P8072">
        <v>0</v>
      </c>
      <c r="Q8072">
        <v>3</v>
      </c>
      <c r="R8072" t="s">
        <v>43174</v>
      </c>
      <c r="S8072" t="s">
        <v>43396</v>
      </c>
      <c r="T8072" t="s">
        <v>44816</v>
      </c>
      <c r="U8072" t="s">
        <v>51731</v>
      </c>
      <c r="V8072" t="s">
        <v>57686</v>
      </c>
      <c r="W8072" t="s">
        <v>41978</v>
      </c>
      <c r="X8072" t="s">
        <v>43175</v>
      </c>
    </row>
    <row r="8073" spans="1:24">
      <c r="A8073">
        <f>HYPERLINK("https://www.philgeps.gov.ph/GEPSNONPILOT/Tender/SplashBidNoticeAbstractUI.aspx?menuIndex=3&amp;refID=7073469&amp;Result=3","7073469")</f>
        <v>0</v>
      </c>
      <c r="B8073" t="s">
        <v>2479</v>
      </c>
      <c r="C8073" t="s">
        <v>11096</v>
      </c>
      <c r="D8073" t="s">
        <v>17444</v>
      </c>
      <c r="E8073" t="s">
        <v>24461</v>
      </c>
      <c r="F8073" t="s">
        <v>30052</v>
      </c>
      <c r="G8073" t="s">
        <v>30058</v>
      </c>
      <c r="H8073" t="s">
        <v>15498</v>
      </c>
      <c r="I8073" t="s">
        <v>30074</v>
      </c>
      <c r="J8073" t="s">
        <v>31198</v>
      </c>
      <c r="K8073" t="s">
        <v>39019</v>
      </c>
      <c r="M8073" t="s">
        <v>41979</v>
      </c>
      <c r="N8073" t="s">
        <v>43166</v>
      </c>
      <c r="O8073" t="s">
        <v>43167</v>
      </c>
      <c r="P8073">
        <v>0</v>
      </c>
      <c r="Q8073">
        <v>4</v>
      </c>
      <c r="R8073" t="s">
        <v>43174</v>
      </c>
      <c r="S8073" t="s">
        <v>43396</v>
      </c>
      <c r="T8073" t="s">
        <v>44997</v>
      </c>
      <c r="U8073" t="s">
        <v>51732</v>
      </c>
      <c r="W8073" t="s">
        <v>41979</v>
      </c>
      <c r="X8073" t="s">
        <v>43175</v>
      </c>
    </row>
    <row r="8074" spans="1:24">
      <c r="A8074">
        <f>HYPERLINK("https://www.philgeps.gov.ph/GEPSNONPILOT/Tender/SplashBidNoticeAbstractUI.aspx?menuIndex=3&amp;refID=7073457&amp;Result=3","7073457")</f>
        <v>0</v>
      </c>
      <c r="B8074" t="s">
        <v>2271</v>
      </c>
      <c r="C8074" t="s">
        <v>11097</v>
      </c>
      <c r="D8074" t="s">
        <v>17442</v>
      </c>
      <c r="E8074" t="s">
        <v>24462</v>
      </c>
      <c r="F8074" t="s">
        <v>30052</v>
      </c>
      <c r="G8074" t="s">
        <v>30059</v>
      </c>
      <c r="H8074" t="s">
        <v>15498</v>
      </c>
      <c r="I8074" t="s">
        <v>30097</v>
      </c>
      <c r="J8074" t="s">
        <v>35155</v>
      </c>
      <c r="K8074" t="s">
        <v>39029</v>
      </c>
      <c r="M8074" t="s">
        <v>41750</v>
      </c>
      <c r="N8074" t="s">
        <v>43166</v>
      </c>
      <c r="O8074" t="s">
        <v>43167</v>
      </c>
      <c r="P8074">
        <v>0</v>
      </c>
      <c r="Q8074">
        <v>4</v>
      </c>
      <c r="R8074" t="s">
        <v>43174</v>
      </c>
      <c r="S8074" t="s">
        <v>43396</v>
      </c>
      <c r="T8074" t="s">
        <v>44773</v>
      </c>
      <c r="U8074" t="s">
        <v>51733</v>
      </c>
      <c r="W8074" t="s">
        <v>41750</v>
      </c>
      <c r="X8074" t="s">
        <v>43175</v>
      </c>
    </row>
    <row r="8075" spans="1:24">
      <c r="A8075">
        <f>HYPERLINK("https://www.philgeps.gov.ph/GEPSNONPILOT/Tender/SplashBidNoticeAbstractUI.aspx?menuIndex=3&amp;refID=7073462&amp;Result=3","7073462")</f>
        <v>0</v>
      </c>
      <c r="B8075" t="s">
        <v>2462</v>
      </c>
      <c r="C8075" t="s">
        <v>11098</v>
      </c>
      <c r="D8075" t="s">
        <v>17415</v>
      </c>
      <c r="E8075" t="s">
        <v>24463</v>
      </c>
      <c r="F8075" t="s">
        <v>30052</v>
      </c>
      <c r="G8075" t="s">
        <v>30061</v>
      </c>
      <c r="H8075" t="s">
        <v>15498</v>
      </c>
      <c r="I8075" t="s">
        <v>3736</v>
      </c>
      <c r="J8075" t="s">
        <v>33181</v>
      </c>
      <c r="K8075" t="s">
        <v>39029</v>
      </c>
      <c r="M8075" t="s">
        <v>41961</v>
      </c>
      <c r="N8075" t="s">
        <v>43166</v>
      </c>
      <c r="O8075" t="s">
        <v>43167</v>
      </c>
      <c r="P8075">
        <v>0</v>
      </c>
      <c r="Q8075">
        <v>3</v>
      </c>
      <c r="R8075" t="s">
        <v>43174</v>
      </c>
      <c r="S8075" t="s">
        <v>43396</v>
      </c>
      <c r="T8075" t="s">
        <v>44717</v>
      </c>
      <c r="U8075" t="s">
        <v>51734</v>
      </c>
      <c r="W8075" t="s">
        <v>41961</v>
      </c>
      <c r="X8075" t="s">
        <v>43175</v>
      </c>
    </row>
    <row r="8076" spans="1:24">
      <c r="A8076">
        <f>HYPERLINK("https://www.philgeps.gov.ph/GEPSNONPILOT/Tender/SplashBidNoticeAbstractUI.aspx?menuIndex=3&amp;refID=7073453&amp;Result=3","7073453")</f>
        <v>0</v>
      </c>
      <c r="B8076" t="s">
        <v>696</v>
      </c>
      <c r="C8076" t="s">
        <v>11099</v>
      </c>
      <c r="D8076" t="s">
        <v>17432</v>
      </c>
      <c r="E8076" t="s">
        <v>24464</v>
      </c>
      <c r="F8076" t="s">
        <v>30052</v>
      </c>
      <c r="G8076" t="s">
        <v>30059</v>
      </c>
      <c r="H8076" t="s">
        <v>15498</v>
      </c>
      <c r="I8076" t="s">
        <v>3693</v>
      </c>
      <c r="J8076" t="s">
        <v>35156</v>
      </c>
      <c r="K8076" t="s">
        <v>39064</v>
      </c>
      <c r="M8076" t="s">
        <v>40004</v>
      </c>
      <c r="N8076" t="s">
        <v>43166</v>
      </c>
      <c r="O8076" t="s">
        <v>43167</v>
      </c>
      <c r="P8076">
        <v>0</v>
      </c>
      <c r="Q8076">
        <v>0</v>
      </c>
      <c r="R8076" t="s">
        <v>43174</v>
      </c>
      <c r="S8076" t="s">
        <v>43396</v>
      </c>
      <c r="T8076" t="s">
        <v>44856</v>
      </c>
      <c r="U8076" t="s">
        <v>51735</v>
      </c>
      <c r="W8076" t="s">
        <v>40004</v>
      </c>
      <c r="X8076" t="s">
        <v>43175</v>
      </c>
    </row>
    <row r="8077" spans="1:24">
      <c r="A8077">
        <f>HYPERLINK("https://www.philgeps.gov.ph/GEPSNONPILOT/Tender/SplashBidNoticeAbstractUI.aspx?menuIndex=3&amp;refID=7073441&amp;Result=3","7073441")</f>
        <v>0</v>
      </c>
      <c r="B8077" t="s">
        <v>2129</v>
      </c>
      <c r="C8077" t="s">
        <v>11100</v>
      </c>
      <c r="D8077" t="s">
        <v>17442</v>
      </c>
      <c r="E8077" t="s">
        <v>24465</v>
      </c>
      <c r="F8077" t="s">
        <v>30052</v>
      </c>
      <c r="G8077" t="s">
        <v>30058</v>
      </c>
      <c r="H8077" t="s">
        <v>15498</v>
      </c>
      <c r="I8077" t="s">
        <v>30070</v>
      </c>
      <c r="J8077" t="s">
        <v>35157</v>
      </c>
      <c r="K8077" t="s">
        <v>39019</v>
      </c>
      <c r="M8077" t="s">
        <v>41938</v>
      </c>
      <c r="N8077" t="s">
        <v>43166</v>
      </c>
      <c r="O8077" t="s">
        <v>43167</v>
      </c>
      <c r="P8077">
        <v>0</v>
      </c>
      <c r="Q8077">
        <v>2</v>
      </c>
      <c r="R8077" t="s">
        <v>43174</v>
      </c>
      <c r="S8077" t="s">
        <v>43396</v>
      </c>
      <c r="T8077" t="s">
        <v>44685</v>
      </c>
      <c r="U8077" t="s">
        <v>51736</v>
      </c>
      <c r="V8077" t="s">
        <v>57528</v>
      </c>
      <c r="W8077" t="s">
        <v>41938</v>
      </c>
      <c r="X8077" t="s">
        <v>43175</v>
      </c>
    </row>
    <row r="8078" spans="1:24">
      <c r="A8078">
        <f>HYPERLINK("https://www.philgeps.gov.ph/GEPSNONPILOT/Tender/SplashBidNoticeAbstractUI.aspx?menuIndex=3&amp;refID=7073435&amp;Result=3","7073435")</f>
        <v>0</v>
      </c>
      <c r="B8078" t="s">
        <v>2462</v>
      </c>
      <c r="C8078" t="s">
        <v>11101</v>
      </c>
      <c r="D8078" t="s">
        <v>17415</v>
      </c>
      <c r="E8078" t="s">
        <v>24466</v>
      </c>
      <c r="F8078" t="s">
        <v>30052</v>
      </c>
      <c r="G8078" t="s">
        <v>30061</v>
      </c>
      <c r="H8078" t="s">
        <v>15498</v>
      </c>
      <c r="I8078" t="s">
        <v>3736</v>
      </c>
      <c r="J8078" t="s">
        <v>31973</v>
      </c>
      <c r="K8078" t="s">
        <v>39029</v>
      </c>
      <c r="M8078" t="s">
        <v>41961</v>
      </c>
      <c r="N8078" t="s">
        <v>43166</v>
      </c>
      <c r="O8078" t="s">
        <v>43167</v>
      </c>
      <c r="P8078">
        <v>0</v>
      </c>
      <c r="Q8078">
        <v>1</v>
      </c>
      <c r="R8078" t="s">
        <v>43174</v>
      </c>
      <c r="S8078" t="s">
        <v>43396</v>
      </c>
      <c r="T8078" t="s">
        <v>44717</v>
      </c>
      <c r="U8078" t="s">
        <v>51737</v>
      </c>
      <c r="W8078" t="s">
        <v>41961</v>
      </c>
      <c r="X8078" t="s">
        <v>43175</v>
      </c>
    </row>
    <row r="8079" spans="1:24">
      <c r="A8079">
        <f>HYPERLINK("https://www.philgeps.gov.ph/GEPSNONPILOT/Tender/SplashBidNoticeAbstractUI.aspx?menuIndex=3&amp;refID=7073467&amp;Result=3","7073467")</f>
        <v>0</v>
      </c>
      <c r="B8079" t="s">
        <v>1745</v>
      </c>
      <c r="C8079" t="s">
        <v>11102</v>
      </c>
      <c r="D8079" t="s">
        <v>17415</v>
      </c>
      <c r="E8079" t="s">
        <v>24467</v>
      </c>
      <c r="F8079" t="s">
        <v>30052</v>
      </c>
      <c r="G8079" t="s">
        <v>30058</v>
      </c>
      <c r="H8079" t="s">
        <v>15498</v>
      </c>
      <c r="I8079" t="s">
        <v>30074</v>
      </c>
      <c r="J8079" t="s">
        <v>30683</v>
      </c>
      <c r="K8079" t="s">
        <v>39029</v>
      </c>
      <c r="M8079" t="s">
        <v>41164</v>
      </c>
      <c r="N8079" t="s">
        <v>43166</v>
      </c>
      <c r="O8079" t="s">
        <v>43167</v>
      </c>
      <c r="P8079">
        <v>0</v>
      </c>
      <c r="Q8079">
        <v>4</v>
      </c>
      <c r="R8079" t="s">
        <v>43174</v>
      </c>
      <c r="S8079" t="s">
        <v>43396</v>
      </c>
      <c r="T8079" t="s">
        <v>44815</v>
      </c>
      <c r="U8079" t="s">
        <v>51738</v>
      </c>
      <c r="W8079" t="s">
        <v>41164</v>
      </c>
      <c r="X8079" t="s">
        <v>43175</v>
      </c>
    </row>
    <row r="8080" spans="1:24">
      <c r="A8080">
        <f>HYPERLINK("https://www.philgeps.gov.ph/GEPSNONPILOT/Tender/SplashBidNoticeAbstractUI.aspx?menuIndex=3&amp;refID=7073454&amp;Result=3","7073454")</f>
        <v>0</v>
      </c>
      <c r="B8080" t="s">
        <v>893</v>
      </c>
      <c r="C8080" t="s">
        <v>11103</v>
      </c>
      <c r="D8080" t="s">
        <v>17460</v>
      </c>
      <c r="E8080" t="s">
        <v>24468</v>
      </c>
      <c r="F8080" t="s">
        <v>30052</v>
      </c>
      <c r="G8080" t="s">
        <v>30058</v>
      </c>
      <c r="H8080" t="s">
        <v>30067</v>
      </c>
      <c r="I8080" t="s">
        <v>3693</v>
      </c>
      <c r="J8080" t="s">
        <v>35158</v>
      </c>
      <c r="K8080" t="s">
        <v>39017</v>
      </c>
      <c r="M8080" t="s">
        <v>40212</v>
      </c>
      <c r="N8080" t="s">
        <v>43166</v>
      </c>
      <c r="O8080" t="s">
        <v>43167</v>
      </c>
      <c r="P8080">
        <v>0</v>
      </c>
      <c r="Q8080">
        <v>8</v>
      </c>
      <c r="R8080" t="s">
        <v>43174</v>
      </c>
      <c r="S8080" t="s">
        <v>43396</v>
      </c>
      <c r="T8080" t="s">
        <v>44773</v>
      </c>
      <c r="U8080" t="s">
        <v>51739</v>
      </c>
      <c r="V8080" t="s">
        <v>57687</v>
      </c>
      <c r="W8080" t="s">
        <v>40212</v>
      </c>
      <c r="X8080" t="s">
        <v>43175</v>
      </c>
    </row>
    <row r="8081" spans="1:24">
      <c r="A8081">
        <f>HYPERLINK("https://www.philgeps.gov.ph/GEPSNONPILOT/Tender/SplashBidNoticeAbstractUI.aspx?menuIndex=3&amp;refID=7073429&amp;Result=3","7073429")</f>
        <v>0</v>
      </c>
      <c r="B8081" t="s">
        <v>2471</v>
      </c>
      <c r="C8081" t="s">
        <v>11104</v>
      </c>
      <c r="D8081" t="s">
        <v>17478</v>
      </c>
      <c r="E8081" t="s">
        <v>24469</v>
      </c>
      <c r="F8081" t="s">
        <v>30052</v>
      </c>
      <c r="G8081" t="s">
        <v>30058</v>
      </c>
      <c r="H8081" t="s">
        <v>30067</v>
      </c>
      <c r="I8081" t="s">
        <v>3693</v>
      </c>
      <c r="J8081" t="s">
        <v>35159</v>
      </c>
      <c r="K8081" t="s">
        <v>39071</v>
      </c>
      <c r="M8081" t="s">
        <v>41971</v>
      </c>
      <c r="N8081" t="s">
        <v>43166</v>
      </c>
      <c r="O8081" t="s">
        <v>43167</v>
      </c>
      <c r="P8081">
        <v>0</v>
      </c>
      <c r="Q8081">
        <v>0</v>
      </c>
      <c r="R8081" t="s">
        <v>43174</v>
      </c>
      <c r="S8081" t="s">
        <v>43396</v>
      </c>
      <c r="T8081" t="s">
        <v>44800</v>
      </c>
      <c r="U8081" t="s">
        <v>51740</v>
      </c>
      <c r="W8081" t="s">
        <v>41971</v>
      </c>
      <c r="X8081" t="s">
        <v>43175</v>
      </c>
    </row>
    <row r="8082" spans="1:24">
      <c r="A8082">
        <f>HYPERLINK("https://www.philgeps.gov.ph/GEPSNONPILOT/Tender/SplashBidNoticeAbstractUI.aspx?menuIndex=3&amp;refID=7073486&amp;Result=3","7073486")</f>
        <v>0</v>
      </c>
      <c r="B8082" t="s">
        <v>1347</v>
      </c>
      <c r="C8082" t="s">
        <v>11105</v>
      </c>
      <c r="D8082" t="s">
        <v>17478</v>
      </c>
      <c r="E8082" t="s">
        <v>24470</v>
      </c>
      <c r="F8082" t="s">
        <v>30052</v>
      </c>
      <c r="G8082" t="s">
        <v>30058</v>
      </c>
      <c r="H8082" t="s">
        <v>15498</v>
      </c>
      <c r="I8082" t="s">
        <v>3736</v>
      </c>
      <c r="J8082" t="s">
        <v>30496</v>
      </c>
      <c r="K8082" t="s">
        <v>39019</v>
      </c>
      <c r="M8082" t="s">
        <v>40715</v>
      </c>
      <c r="N8082" t="s">
        <v>43166</v>
      </c>
      <c r="O8082" t="s">
        <v>43167</v>
      </c>
      <c r="P8082">
        <v>0</v>
      </c>
      <c r="Q8082">
        <v>0</v>
      </c>
      <c r="R8082" t="s">
        <v>43174</v>
      </c>
      <c r="S8082" t="s">
        <v>43396</v>
      </c>
      <c r="T8082" t="s">
        <v>44837</v>
      </c>
      <c r="U8082" t="s">
        <v>49800</v>
      </c>
      <c r="W8082" t="s">
        <v>40715</v>
      </c>
      <c r="X8082" t="s">
        <v>43175</v>
      </c>
    </row>
    <row r="8083" spans="1:24">
      <c r="A8083">
        <f>HYPERLINK("https://www.philgeps.gov.ph/GEPSNONPILOT/Tender/SplashBidNoticeAbstractUI.aspx?menuIndex=3&amp;refID=7073448&amp;Result=3","7073448")</f>
        <v>0</v>
      </c>
      <c r="B8083" t="s">
        <v>2454</v>
      </c>
      <c r="C8083" t="s">
        <v>11106</v>
      </c>
      <c r="D8083" t="s">
        <v>17486</v>
      </c>
      <c r="E8083" t="s">
        <v>24471</v>
      </c>
      <c r="F8083" t="s">
        <v>30052</v>
      </c>
      <c r="G8083" t="s">
        <v>30058</v>
      </c>
      <c r="H8083" t="s">
        <v>30067</v>
      </c>
      <c r="I8083" t="s">
        <v>3693</v>
      </c>
      <c r="J8083" t="s">
        <v>33872</v>
      </c>
      <c r="K8083" t="s">
        <v>39026</v>
      </c>
      <c r="M8083" t="s">
        <v>41953</v>
      </c>
      <c r="N8083" t="s">
        <v>43166</v>
      </c>
      <c r="O8083" t="s">
        <v>43167</v>
      </c>
      <c r="P8083">
        <v>0</v>
      </c>
      <c r="Q8083">
        <v>3</v>
      </c>
      <c r="R8083" t="s">
        <v>43174</v>
      </c>
      <c r="S8083" t="s">
        <v>43396</v>
      </c>
      <c r="T8083" t="s">
        <v>44699</v>
      </c>
      <c r="U8083" t="s">
        <v>51720</v>
      </c>
      <c r="W8083" t="s">
        <v>41953</v>
      </c>
      <c r="X8083" t="s">
        <v>43175</v>
      </c>
    </row>
    <row r="8084" spans="1:24">
      <c r="A8084">
        <f>HYPERLINK("https://www.philgeps.gov.ph/GEPSNONPILOT/Tender/SplashBidNoticeAbstractUI.aspx?menuIndex=3&amp;refID=7073412&amp;Result=3","7073412")</f>
        <v>0</v>
      </c>
      <c r="B8084" t="s">
        <v>684</v>
      </c>
      <c r="C8084" t="s">
        <v>11107</v>
      </c>
      <c r="D8084" t="s">
        <v>17473</v>
      </c>
      <c r="E8084" t="s">
        <v>11107</v>
      </c>
      <c r="F8084" t="s">
        <v>30052</v>
      </c>
      <c r="G8084" t="s">
        <v>30058</v>
      </c>
      <c r="H8084" t="s">
        <v>15498</v>
      </c>
      <c r="I8084" t="s">
        <v>30124</v>
      </c>
      <c r="J8084" t="s">
        <v>30215</v>
      </c>
      <c r="K8084" t="s">
        <v>39031</v>
      </c>
      <c r="M8084" t="s">
        <v>39999</v>
      </c>
      <c r="N8084" t="s">
        <v>43166</v>
      </c>
      <c r="O8084" t="s">
        <v>43167</v>
      </c>
      <c r="P8084">
        <v>0</v>
      </c>
      <c r="Q8084">
        <v>10</v>
      </c>
      <c r="R8084" t="s">
        <v>43174</v>
      </c>
      <c r="S8084" t="s">
        <v>43396</v>
      </c>
      <c r="T8084" t="s">
        <v>44945</v>
      </c>
      <c r="U8084" t="s">
        <v>51741</v>
      </c>
      <c r="W8084" t="s">
        <v>39999</v>
      </c>
      <c r="X8084" t="s">
        <v>43175</v>
      </c>
    </row>
    <row r="8085" spans="1:24">
      <c r="A8085">
        <f>HYPERLINK("https://www.philgeps.gov.ph/GEPSNONPILOT/Tender/SplashBidNoticeAbstractUI.aspx?menuIndex=3&amp;refID=7073440&amp;Result=3","7073440")</f>
        <v>0</v>
      </c>
      <c r="B8085" t="s">
        <v>797</v>
      </c>
      <c r="C8085" t="s">
        <v>11108</v>
      </c>
      <c r="E8085" t="s">
        <v>24472</v>
      </c>
      <c r="F8085" t="s">
        <v>30052</v>
      </c>
      <c r="G8085" t="s">
        <v>30059</v>
      </c>
      <c r="H8085" t="s">
        <v>15498</v>
      </c>
      <c r="I8085" t="s">
        <v>6691</v>
      </c>
      <c r="J8085" t="s">
        <v>30377</v>
      </c>
      <c r="K8085" t="s">
        <v>39025</v>
      </c>
      <c r="M8085" t="s">
        <v>40826</v>
      </c>
      <c r="N8085" t="s">
        <v>43166</v>
      </c>
      <c r="O8085" t="s">
        <v>43167</v>
      </c>
      <c r="P8085">
        <v>0</v>
      </c>
      <c r="Q8085">
        <v>1</v>
      </c>
      <c r="R8085" t="s">
        <v>43174</v>
      </c>
      <c r="S8085" t="s">
        <v>43396</v>
      </c>
      <c r="T8085" t="s">
        <v>44777</v>
      </c>
      <c r="U8085" t="s">
        <v>51742</v>
      </c>
      <c r="W8085" t="s">
        <v>40826</v>
      </c>
      <c r="X8085" t="s">
        <v>43175</v>
      </c>
    </row>
    <row r="8086" spans="1:24">
      <c r="A8086">
        <f>HYPERLINK("https://www.philgeps.gov.ph/GEPSNONPILOT/Tender/SplashBidNoticeAbstractUI.aspx?menuIndex=3&amp;refID=7073512&amp;Result=3","7073512")</f>
        <v>0</v>
      </c>
      <c r="B8086" t="s">
        <v>797</v>
      </c>
      <c r="C8086" t="s">
        <v>11109</v>
      </c>
      <c r="E8086" t="s">
        <v>24473</v>
      </c>
      <c r="F8086" t="s">
        <v>30052</v>
      </c>
      <c r="G8086" t="s">
        <v>30059</v>
      </c>
      <c r="H8086" t="s">
        <v>15498</v>
      </c>
      <c r="I8086" t="s">
        <v>6691</v>
      </c>
      <c r="J8086" t="s">
        <v>30377</v>
      </c>
      <c r="K8086" t="s">
        <v>39025</v>
      </c>
      <c r="M8086" t="s">
        <v>40826</v>
      </c>
      <c r="N8086" t="s">
        <v>43166</v>
      </c>
      <c r="O8086" t="s">
        <v>43167</v>
      </c>
      <c r="P8086">
        <v>0</v>
      </c>
      <c r="Q8086">
        <v>1</v>
      </c>
      <c r="R8086" t="s">
        <v>43174</v>
      </c>
      <c r="S8086" t="s">
        <v>43396</v>
      </c>
      <c r="T8086" t="s">
        <v>44788</v>
      </c>
      <c r="U8086" t="s">
        <v>51743</v>
      </c>
      <c r="W8086" t="s">
        <v>40826</v>
      </c>
      <c r="X8086" t="s">
        <v>43175</v>
      </c>
    </row>
    <row r="8087" spans="1:24">
      <c r="A8087">
        <f>HYPERLINK("https://www.philgeps.gov.ph/GEPSNONPILOT/Tender/SplashBidNoticeAbstractUI.aspx?menuIndex=3&amp;refID=7073511&amp;Result=3","7073511")</f>
        <v>0</v>
      </c>
      <c r="B8087" t="s">
        <v>621</v>
      </c>
      <c r="C8087" t="s">
        <v>11110</v>
      </c>
      <c r="D8087" t="s">
        <v>17474</v>
      </c>
      <c r="E8087" t="s">
        <v>24474</v>
      </c>
      <c r="F8087" t="s">
        <v>30052</v>
      </c>
      <c r="G8087" t="s">
        <v>30058</v>
      </c>
      <c r="H8087" t="s">
        <v>15498</v>
      </c>
      <c r="I8087" t="s">
        <v>30074</v>
      </c>
      <c r="J8087" t="s">
        <v>31198</v>
      </c>
      <c r="K8087" t="s">
        <v>39065</v>
      </c>
      <c r="L8087" t="s">
        <v>621</v>
      </c>
      <c r="M8087" t="s">
        <v>39924</v>
      </c>
      <c r="N8087" t="s">
        <v>43166</v>
      </c>
      <c r="O8087" t="s">
        <v>43167</v>
      </c>
      <c r="P8087">
        <v>0</v>
      </c>
      <c r="Q8087">
        <v>3</v>
      </c>
      <c r="R8087" t="s">
        <v>43174</v>
      </c>
      <c r="S8087" t="s">
        <v>43396</v>
      </c>
      <c r="T8087" t="s">
        <v>44758</v>
      </c>
      <c r="U8087" t="s">
        <v>51744</v>
      </c>
      <c r="V8087" t="s">
        <v>57688</v>
      </c>
      <c r="W8087" t="s">
        <v>39924</v>
      </c>
      <c r="X8087" t="s">
        <v>43175</v>
      </c>
    </row>
    <row r="8088" spans="1:24">
      <c r="A8088">
        <f>HYPERLINK("https://www.philgeps.gov.ph/GEPSNONPILOT/Tender/SplashBidNoticeAbstractUI.aspx?menuIndex=3&amp;refID=7073368&amp;Result=3","7073368")</f>
        <v>0</v>
      </c>
      <c r="B8088" t="s">
        <v>1464</v>
      </c>
      <c r="C8088" t="s">
        <v>11111</v>
      </c>
      <c r="D8088" t="s">
        <v>17415</v>
      </c>
      <c r="E8088" t="s">
        <v>24475</v>
      </c>
      <c r="F8088" t="s">
        <v>30052</v>
      </c>
      <c r="G8088" t="s">
        <v>30063</v>
      </c>
      <c r="H8088" t="s">
        <v>15498</v>
      </c>
      <c r="I8088" t="s">
        <v>30101</v>
      </c>
      <c r="J8088" t="s">
        <v>35160</v>
      </c>
      <c r="K8088" t="s">
        <v>39026</v>
      </c>
      <c r="M8088" t="s">
        <v>41710</v>
      </c>
      <c r="N8088" t="s">
        <v>43166</v>
      </c>
      <c r="O8088" t="s">
        <v>43167</v>
      </c>
      <c r="Q8088">
        <v>28</v>
      </c>
      <c r="R8088" t="s">
        <v>43174</v>
      </c>
      <c r="S8088" t="s">
        <v>43406</v>
      </c>
      <c r="T8088" t="s">
        <v>44702</v>
      </c>
      <c r="U8088" t="s">
        <v>51745</v>
      </c>
      <c r="W8088" t="s">
        <v>41710</v>
      </c>
      <c r="X8088" t="s">
        <v>43175</v>
      </c>
    </row>
    <row r="8089" spans="1:24">
      <c r="A8089">
        <f>HYPERLINK("https://www.philgeps.gov.ph/GEPSNONPILOT/Tender/SplashBidNoticeAbstractUI.aspx?menuIndex=3&amp;refID=7073524&amp;Result=3","7073524")</f>
        <v>0</v>
      </c>
      <c r="B8089" t="s">
        <v>2454</v>
      </c>
      <c r="C8089" t="s">
        <v>11112</v>
      </c>
      <c r="D8089" t="s">
        <v>17486</v>
      </c>
      <c r="E8089" t="s">
        <v>24476</v>
      </c>
      <c r="F8089" t="s">
        <v>30052</v>
      </c>
      <c r="G8089" t="s">
        <v>30058</v>
      </c>
      <c r="H8089" t="s">
        <v>30067</v>
      </c>
      <c r="I8089" t="s">
        <v>3693</v>
      </c>
      <c r="J8089" t="s">
        <v>32344</v>
      </c>
      <c r="K8089" t="s">
        <v>39022</v>
      </c>
      <c r="M8089" t="s">
        <v>41953</v>
      </c>
      <c r="N8089" t="s">
        <v>43166</v>
      </c>
      <c r="O8089" t="s">
        <v>43167</v>
      </c>
      <c r="P8089">
        <v>0</v>
      </c>
      <c r="Q8089">
        <v>2</v>
      </c>
      <c r="R8089" t="s">
        <v>43174</v>
      </c>
      <c r="S8089" t="s">
        <v>43396</v>
      </c>
      <c r="T8089" t="s">
        <v>44699</v>
      </c>
      <c r="U8089" t="s">
        <v>51746</v>
      </c>
      <c r="W8089" t="s">
        <v>41953</v>
      </c>
      <c r="X8089" t="s">
        <v>43175</v>
      </c>
    </row>
    <row r="8090" spans="1:24">
      <c r="A8090">
        <f>HYPERLINK("https://www.philgeps.gov.ph/GEPSNONPILOT/Tender/SplashBidNoticeAbstractUI.aspx?menuIndex=3&amp;refID=7073424&amp;Result=3","7073424")</f>
        <v>0</v>
      </c>
      <c r="B8090" t="s">
        <v>721</v>
      </c>
      <c r="C8090" t="s">
        <v>11113</v>
      </c>
      <c r="D8090" t="s">
        <v>17451</v>
      </c>
      <c r="E8090" t="s">
        <v>24477</v>
      </c>
      <c r="F8090" t="s">
        <v>30052</v>
      </c>
      <c r="G8090" t="s">
        <v>30058</v>
      </c>
      <c r="H8090" t="s">
        <v>30067</v>
      </c>
      <c r="I8090" t="s">
        <v>3693</v>
      </c>
      <c r="J8090" t="s">
        <v>35161</v>
      </c>
      <c r="K8090" t="s">
        <v>39120</v>
      </c>
      <c r="M8090" t="s">
        <v>40031</v>
      </c>
      <c r="N8090" t="s">
        <v>43166</v>
      </c>
      <c r="O8090" t="s">
        <v>43167</v>
      </c>
      <c r="P8090">
        <v>0</v>
      </c>
      <c r="Q8090">
        <v>0</v>
      </c>
      <c r="R8090" t="s">
        <v>43174</v>
      </c>
      <c r="S8090" t="s">
        <v>43396</v>
      </c>
      <c r="T8090" t="s">
        <v>44777</v>
      </c>
      <c r="U8090" t="s">
        <v>51728</v>
      </c>
      <c r="W8090" t="s">
        <v>40031</v>
      </c>
      <c r="X8090" t="s">
        <v>43175</v>
      </c>
    </row>
    <row r="8091" spans="1:24">
      <c r="A8091">
        <f>HYPERLINK("https://www.philgeps.gov.ph/GEPSNONPILOT/Tender/SplashBidNoticeAbstractUI.aspx?menuIndex=3&amp;refID=7073519&amp;Result=3","7073519")</f>
        <v>0</v>
      </c>
      <c r="B8091" t="s">
        <v>2480</v>
      </c>
      <c r="C8091" t="s">
        <v>11114</v>
      </c>
      <c r="D8091" t="s">
        <v>17473</v>
      </c>
      <c r="E8091" t="s">
        <v>24478</v>
      </c>
      <c r="F8091" t="s">
        <v>30052</v>
      </c>
      <c r="G8091" t="s">
        <v>30058</v>
      </c>
      <c r="H8091" t="s">
        <v>30067</v>
      </c>
      <c r="I8091" t="s">
        <v>3693</v>
      </c>
      <c r="J8091" t="s">
        <v>35162</v>
      </c>
      <c r="K8091" t="s">
        <v>39046</v>
      </c>
      <c r="M8091" t="s">
        <v>41980</v>
      </c>
      <c r="N8091" t="s">
        <v>43166</v>
      </c>
      <c r="O8091" t="s">
        <v>43167</v>
      </c>
      <c r="P8091">
        <v>0</v>
      </c>
      <c r="Q8091">
        <v>0</v>
      </c>
      <c r="R8091" t="s">
        <v>43174</v>
      </c>
      <c r="S8091" t="s">
        <v>43396</v>
      </c>
      <c r="T8091" t="s">
        <v>44813</v>
      </c>
      <c r="U8091" t="s">
        <v>51747</v>
      </c>
      <c r="W8091" t="s">
        <v>41980</v>
      </c>
      <c r="X8091" t="s">
        <v>43175</v>
      </c>
    </row>
    <row r="8092" spans="1:24">
      <c r="A8092">
        <f>HYPERLINK("https://www.philgeps.gov.ph/GEPSNONPILOT/Tender/SplashBidNoticeAbstractUI.aspx?menuIndex=3&amp;refID=7073516&amp;Result=3","7073516")</f>
        <v>0</v>
      </c>
      <c r="B8092" t="s">
        <v>2471</v>
      </c>
      <c r="C8092" t="s">
        <v>11115</v>
      </c>
      <c r="D8092" t="s">
        <v>17478</v>
      </c>
      <c r="E8092" t="s">
        <v>24479</v>
      </c>
      <c r="F8092" t="s">
        <v>30052</v>
      </c>
      <c r="G8092" t="s">
        <v>30058</v>
      </c>
      <c r="H8092" t="s">
        <v>30067</v>
      </c>
      <c r="I8092" t="s">
        <v>3693</v>
      </c>
      <c r="J8092" t="s">
        <v>35163</v>
      </c>
      <c r="K8092" t="s">
        <v>39035</v>
      </c>
      <c r="M8092" t="s">
        <v>41971</v>
      </c>
      <c r="N8092" t="s">
        <v>43166</v>
      </c>
      <c r="O8092" t="s">
        <v>43167</v>
      </c>
      <c r="P8092">
        <v>0</v>
      </c>
      <c r="Q8092">
        <v>0</v>
      </c>
      <c r="R8092" t="s">
        <v>43174</v>
      </c>
      <c r="S8092" t="s">
        <v>43396</v>
      </c>
      <c r="T8092" t="s">
        <v>44800</v>
      </c>
      <c r="U8092" t="s">
        <v>51748</v>
      </c>
      <c r="W8092" t="s">
        <v>41971</v>
      </c>
      <c r="X8092" t="s">
        <v>43175</v>
      </c>
    </row>
    <row r="8093" spans="1:24">
      <c r="A8093">
        <f>HYPERLINK("https://www.philgeps.gov.ph/GEPSNONPILOT/Tender/SplashBidNoticeAbstractUI.aspx?menuIndex=3&amp;refID=7073434&amp;Result=3","7073434")</f>
        <v>0</v>
      </c>
      <c r="B8093" t="s">
        <v>2460</v>
      </c>
      <c r="C8093" t="s">
        <v>11116</v>
      </c>
      <c r="D8093" t="s">
        <v>17458</v>
      </c>
      <c r="E8093" t="s">
        <v>24480</v>
      </c>
      <c r="F8093" t="s">
        <v>30052</v>
      </c>
      <c r="G8093" t="s">
        <v>30059</v>
      </c>
      <c r="H8093" t="s">
        <v>15498</v>
      </c>
      <c r="I8093" t="s">
        <v>30134</v>
      </c>
      <c r="J8093" t="s">
        <v>31189</v>
      </c>
      <c r="K8093" t="s">
        <v>39040</v>
      </c>
      <c r="M8093" t="s">
        <v>41959</v>
      </c>
      <c r="N8093" t="s">
        <v>43166</v>
      </c>
      <c r="O8093" t="s">
        <v>43167</v>
      </c>
      <c r="P8093">
        <v>0</v>
      </c>
      <c r="Q8093">
        <v>0</v>
      </c>
      <c r="R8093" t="s">
        <v>43174</v>
      </c>
      <c r="S8093" t="s">
        <v>43396</v>
      </c>
      <c r="T8093" t="s">
        <v>44870</v>
      </c>
      <c r="U8093" t="s">
        <v>51749</v>
      </c>
      <c r="W8093" t="s">
        <v>41959</v>
      </c>
      <c r="X8093" t="s">
        <v>43175</v>
      </c>
    </row>
    <row r="8094" spans="1:24">
      <c r="A8094">
        <f>HYPERLINK("https://www.philgeps.gov.ph/GEPSNONPILOT/Tender/SplashBidNoticeAbstractUI.aspx?menuIndex=3&amp;refID=7073506&amp;Result=3","7073506")</f>
        <v>0</v>
      </c>
      <c r="B8094" t="s">
        <v>2481</v>
      </c>
      <c r="C8094" t="s">
        <v>11117</v>
      </c>
      <c r="E8094" t="s">
        <v>24481</v>
      </c>
      <c r="F8094" t="s">
        <v>30052</v>
      </c>
      <c r="G8094" t="s">
        <v>30058</v>
      </c>
      <c r="H8094" t="s">
        <v>15498</v>
      </c>
      <c r="I8094" t="s">
        <v>30074</v>
      </c>
      <c r="J8094" t="s">
        <v>30256</v>
      </c>
      <c r="K8094" t="s">
        <v>39019</v>
      </c>
      <c r="M8094" t="s">
        <v>41981</v>
      </c>
      <c r="N8094" t="s">
        <v>43166</v>
      </c>
      <c r="O8094" t="s">
        <v>43167</v>
      </c>
      <c r="P8094">
        <v>0</v>
      </c>
      <c r="Q8094">
        <v>1</v>
      </c>
      <c r="R8094" t="s">
        <v>43174</v>
      </c>
      <c r="S8094" t="s">
        <v>43396</v>
      </c>
      <c r="T8094" t="s">
        <v>44716</v>
      </c>
      <c r="U8094" t="s">
        <v>51750</v>
      </c>
      <c r="W8094" t="s">
        <v>41981</v>
      </c>
      <c r="X8094" t="s">
        <v>43175</v>
      </c>
    </row>
    <row r="8095" spans="1:24">
      <c r="A8095">
        <f>HYPERLINK("https://www.philgeps.gov.ph/GEPSNONPILOT/Tender/SplashBidNoticeAbstractUI.aspx?menuIndex=3&amp;refID=7073529&amp;Result=3","7073529")</f>
        <v>0</v>
      </c>
      <c r="B8095" t="s">
        <v>2482</v>
      </c>
      <c r="C8095" t="s">
        <v>11118</v>
      </c>
      <c r="D8095" t="s">
        <v>17471</v>
      </c>
      <c r="E8095" t="s">
        <v>24482</v>
      </c>
      <c r="F8095" t="s">
        <v>30052</v>
      </c>
      <c r="G8095" t="s">
        <v>30059</v>
      </c>
      <c r="H8095" t="s">
        <v>15498</v>
      </c>
      <c r="I8095" t="s">
        <v>30081</v>
      </c>
      <c r="J8095" t="s">
        <v>35164</v>
      </c>
      <c r="K8095" t="s">
        <v>39034</v>
      </c>
      <c r="M8095" t="s">
        <v>41982</v>
      </c>
      <c r="N8095" t="s">
        <v>43166</v>
      </c>
      <c r="O8095" t="s">
        <v>43167</v>
      </c>
      <c r="P8095">
        <v>0</v>
      </c>
      <c r="Q8095">
        <v>1</v>
      </c>
      <c r="R8095" t="s">
        <v>43174</v>
      </c>
      <c r="S8095" t="s">
        <v>43396</v>
      </c>
      <c r="T8095" t="s">
        <v>44856</v>
      </c>
      <c r="U8095" t="s">
        <v>51751</v>
      </c>
      <c r="W8095" t="s">
        <v>41982</v>
      </c>
      <c r="X8095" t="s">
        <v>43175</v>
      </c>
    </row>
    <row r="8096" spans="1:24">
      <c r="A8096">
        <f>HYPERLINK("https://www.philgeps.gov.ph/GEPSNONPILOT/Tender/SplashBidNoticeAbstractUI.aspx?menuIndex=3&amp;refID=7073504&amp;Result=3","7073504")</f>
        <v>0</v>
      </c>
      <c r="B8096" t="s">
        <v>2483</v>
      </c>
      <c r="C8096" t="s">
        <v>11119</v>
      </c>
      <c r="D8096" t="s">
        <v>17478</v>
      </c>
      <c r="E8096" t="s">
        <v>24483</v>
      </c>
      <c r="F8096" t="s">
        <v>30052</v>
      </c>
      <c r="G8096" t="s">
        <v>30058</v>
      </c>
      <c r="H8096" t="s">
        <v>30067</v>
      </c>
      <c r="I8096" t="s">
        <v>3693</v>
      </c>
      <c r="J8096" t="s">
        <v>35165</v>
      </c>
      <c r="K8096" t="s">
        <v>39037</v>
      </c>
      <c r="M8096" t="s">
        <v>41983</v>
      </c>
      <c r="N8096" t="s">
        <v>43166</v>
      </c>
      <c r="O8096" t="s">
        <v>43167</v>
      </c>
      <c r="P8096">
        <v>0</v>
      </c>
      <c r="Q8096">
        <v>0</v>
      </c>
      <c r="R8096" t="s">
        <v>43174</v>
      </c>
      <c r="S8096" t="s">
        <v>43396</v>
      </c>
      <c r="T8096" t="s">
        <v>44969</v>
      </c>
      <c r="U8096" t="s">
        <v>51752</v>
      </c>
      <c r="W8096" t="s">
        <v>41983</v>
      </c>
      <c r="X8096" t="s">
        <v>43175</v>
      </c>
    </row>
    <row r="8097" spans="1:24">
      <c r="A8097">
        <f>HYPERLINK("https://www.philgeps.gov.ph/GEPSNONPILOT/Tender/SplashBidNoticeAbstractUI.aspx?menuIndex=3&amp;refID=7073501&amp;Result=3","7073501")</f>
        <v>0</v>
      </c>
      <c r="B8097" t="s">
        <v>2468</v>
      </c>
      <c r="C8097" t="s">
        <v>11120</v>
      </c>
      <c r="D8097" t="s">
        <v>17458</v>
      </c>
      <c r="E8097" t="s">
        <v>24484</v>
      </c>
      <c r="F8097" t="s">
        <v>30052</v>
      </c>
      <c r="G8097" t="s">
        <v>30059</v>
      </c>
      <c r="H8097" t="s">
        <v>15498</v>
      </c>
      <c r="I8097" t="s">
        <v>30077</v>
      </c>
      <c r="J8097" t="s">
        <v>30612</v>
      </c>
      <c r="K8097" t="s">
        <v>39025</v>
      </c>
      <c r="M8097" t="s">
        <v>41968</v>
      </c>
      <c r="N8097" t="s">
        <v>43166</v>
      </c>
      <c r="O8097" t="s">
        <v>43167</v>
      </c>
      <c r="P8097">
        <v>0</v>
      </c>
      <c r="Q8097">
        <v>2</v>
      </c>
      <c r="R8097" t="s">
        <v>43174</v>
      </c>
      <c r="S8097" t="s">
        <v>43396</v>
      </c>
      <c r="T8097" t="s">
        <v>44822</v>
      </c>
      <c r="U8097" t="s">
        <v>51712</v>
      </c>
      <c r="W8097" t="s">
        <v>41968</v>
      </c>
      <c r="X8097" t="s">
        <v>43175</v>
      </c>
    </row>
    <row r="8098" spans="1:24">
      <c r="A8098">
        <f>HYPERLINK("https://www.philgeps.gov.ph/GEPSNONPILOT/Tender/SplashBidNoticeAbstractUI.aspx?menuIndex=3&amp;refID=7073497&amp;Result=3","7073497")</f>
        <v>0</v>
      </c>
      <c r="B8098" t="s">
        <v>777</v>
      </c>
      <c r="C8098" t="s">
        <v>11121</v>
      </c>
      <c r="E8098" t="s">
        <v>24485</v>
      </c>
      <c r="F8098" t="s">
        <v>30052</v>
      </c>
      <c r="G8098" t="s">
        <v>30060</v>
      </c>
      <c r="H8098" t="s">
        <v>15498</v>
      </c>
      <c r="I8098" t="s">
        <v>30091</v>
      </c>
      <c r="J8098" t="s">
        <v>32229</v>
      </c>
      <c r="K8098" t="s">
        <v>39025</v>
      </c>
      <c r="M8098" t="s">
        <v>40092</v>
      </c>
      <c r="N8098" t="s">
        <v>43166</v>
      </c>
      <c r="O8098" t="s">
        <v>43167</v>
      </c>
      <c r="P8098">
        <v>0</v>
      </c>
      <c r="Q8098">
        <v>1</v>
      </c>
      <c r="R8098" t="s">
        <v>43174</v>
      </c>
      <c r="S8098" t="s">
        <v>43396</v>
      </c>
      <c r="T8098" t="s">
        <v>44856</v>
      </c>
      <c r="U8098" t="s">
        <v>51753</v>
      </c>
      <c r="W8098" t="s">
        <v>40092</v>
      </c>
      <c r="X8098" t="s">
        <v>43175</v>
      </c>
    </row>
    <row r="8099" spans="1:24">
      <c r="A8099">
        <f>HYPERLINK("https://www.philgeps.gov.ph/GEPSNONPILOT/Tender/SplashBidNoticeAbstractUI.aspx?menuIndex=3&amp;refID=7073514&amp;Result=3","7073514")</f>
        <v>0</v>
      </c>
      <c r="B8099" t="s">
        <v>2484</v>
      </c>
      <c r="C8099" t="s">
        <v>11122</v>
      </c>
      <c r="D8099" t="s">
        <v>17452</v>
      </c>
      <c r="E8099" t="s">
        <v>11609</v>
      </c>
      <c r="F8099" t="s">
        <v>30052</v>
      </c>
      <c r="G8099" t="s">
        <v>30059</v>
      </c>
      <c r="H8099" t="s">
        <v>15498</v>
      </c>
      <c r="I8099" t="s">
        <v>4650</v>
      </c>
      <c r="J8099" t="s">
        <v>31049</v>
      </c>
      <c r="K8099" t="s">
        <v>39017</v>
      </c>
      <c r="M8099" t="s">
        <v>41984</v>
      </c>
      <c r="N8099" t="s">
        <v>43166</v>
      </c>
      <c r="O8099" t="s">
        <v>43167</v>
      </c>
      <c r="P8099">
        <v>0</v>
      </c>
      <c r="Q8099">
        <v>2</v>
      </c>
      <c r="R8099" t="s">
        <v>43174</v>
      </c>
      <c r="S8099" t="s">
        <v>43396</v>
      </c>
      <c r="T8099" t="s">
        <v>44844</v>
      </c>
      <c r="U8099" t="s">
        <v>51754</v>
      </c>
      <c r="W8099" t="s">
        <v>41984</v>
      </c>
      <c r="X8099" t="s">
        <v>43175</v>
      </c>
    </row>
    <row r="8100" spans="1:24">
      <c r="A8100">
        <f>HYPERLINK("https://www.philgeps.gov.ph/GEPSNONPILOT/Tender/SplashBidNoticeAbstractUI.aspx?menuIndex=3&amp;refID=7073493&amp;Result=3","7073493")</f>
        <v>0</v>
      </c>
      <c r="B8100" t="s">
        <v>1393</v>
      </c>
      <c r="C8100" t="s">
        <v>11123</v>
      </c>
      <c r="D8100" t="s">
        <v>17474</v>
      </c>
      <c r="E8100" t="s">
        <v>24486</v>
      </c>
      <c r="F8100" t="s">
        <v>30052</v>
      </c>
      <c r="G8100" t="s">
        <v>30058</v>
      </c>
      <c r="H8100" t="s">
        <v>15498</v>
      </c>
      <c r="I8100" t="s">
        <v>3736</v>
      </c>
      <c r="J8100" t="s">
        <v>30402</v>
      </c>
      <c r="K8100" t="s">
        <v>39034</v>
      </c>
      <c r="M8100" t="s">
        <v>40769</v>
      </c>
      <c r="N8100" t="s">
        <v>43166</v>
      </c>
      <c r="O8100" t="s">
        <v>43167</v>
      </c>
      <c r="P8100">
        <v>0</v>
      </c>
      <c r="Q8100">
        <v>0</v>
      </c>
      <c r="R8100" t="s">
        <v>43174</v>
      </c>
      <c r="S8100" t="s">
        <v>43396</v>
      </c>
      <c r="T8100" t="s">
        <v>44822</v>
      </c>
      <c r="U8100" t="s">
        <v>48721</v>
      </c>
      <c r="W8100" t="s">
        <v>40769</v>
      </c>
      <c r="X8100" t="s">
        <v>43175</v>
      </c>
    </row>
    <row r="8101" spans="1:24">
      <c r="A8101">
        <f>HYPERLINK("https://www.philgeps.gov.ph/GEPSNONPILOT/Tender/SplashBidNoticeAbstractUI.aspx?menuIndex=3&amp;refID=7073411&amp;Result=3","7073411")</f>
        <v>0</v>
      </c>
      <c r="B8101" t="s">
        <v>2485</v>
      </c>
      <c r="C8101" t="s">
        <v>11124</v>
      </c>
      <c r="D8101" t="s">
        <v>17466</v>
      </c>
      <c r="E8101" t="s">
        <v>24487</v>
      </c>
      <c r="F8101" t="s">
        <v>30052</v>
      </c>
      <c r="G8101" t="s">
        <v>30058</v>
      </c>
      <c r="H8101" t="s">
        <v>15498</v>
      </c>
      <c r="I8101" t="s">
        <v>30091</v>
      </c>
      <c r="J8101" t="s">
        <v>31388</v>
      </c>
      <c r="K8101" t="s">
        <v>39029</v>
      </c>
      <c r="M8101" t="s">
        <v>41985</v>
      </c>
      <c r="N8101" t="s">
        <v>43166</v>
      </c>
      <c r="O8101" t="s">
        <v>43167</v>
      </c>
      <c r="P8101">
        <v>0</v>
      </c>
      <c r="Q8101">
        <v>8</v>
      </c>
      <c r="R8101" t="s">
        <v>43174</v>
      </c>
      <c r="S8101" t="s">
        <v>43396</v>
      </c>
      <c r="T8101" t="s">
        <v>44717</v>
      </c>
      <c r="U8101" t="s">
        <v>51755</v>
      </c>
      <c r="W8101" t="s">
        <v>41985</v>
      </c>
      <c r="X8101" t="s">
        <v>43175</v>
      </c>
    </row>
    <row r="8102" spans="1:24">
      <c r="A8102">
        <f>HYPERLINK("https://www.philgeps.gov.ph/GEPSNONPILOT/Tender/SplashBidNoticeAbstractUI.aspx?menuIndex=3&amp;refID=7073515&amp;Result=3","7073515")</f>
        <v>0</v>
      </c>
      <c r="B8102" t="s">
        <v>2477</v>
      </c>
      <c r="C8102" t="s">
        <v>11125</v>
      </c>
      <c r="D8102" t="s">
        <v>17417</v>
      </c>
      <c r="E8102" t="s">
        <v>24488</v>
      </c>
      <c r="F8102" t="s">
        <v>30052</v>
      </c>
      <c r="G8102" t="s">
        <v>30058</v>
      </c>
      <c r="H8102" t="s">
        <v>15498</v>
      </c>
      <c r="I8102" t="s">
        <v>30097</v>
      </c>
      <c r="J8102" t="s">
        <v>35152</v>
      </c>
      <c r="K8102" t="s">
        <v>39023</v>
      </c>
      <c r="M8102" t="s">
        <v>41977</v>
      </c>
      <c r="N8102" t="s">
        <v>43166</v>
      </c>
      <c r="O8102" t="s">
        <v>43167</v>
      </c>
      <c r="P8102">
        <v>0</v>
      </c>
      <c r="Q8102">
        <v>0</v>
      </c>
      <c r="R8102" t="s">
        <v>43174</v>
      </c>
      <c r="S8102" t="s">
        <v>43396</v>
      </c>
      <c r="T8102" t="s">
        <v>44815</v>
      </c>
      <c r="U8102" t="s">
        <v>51756</v>
      </c>
      <c r="W8102" t="s">
        <v>41977</v>
      </c>
      <c r="X8102" t="s">
        <v>43175</v>
      </c>
    </row>
    <row r="8103" spans="1:24">
      <c r="A8103">
        <f>HYPERLINK("https://www.philgeps.gov.ph/GEPSNONPILOT/Tender/SplashBidNoticeAbstractUI.aspx?menuIndex=3&amp;refID=7073492&amp;Result=3","7073492")</f>
        <v>0</v>
      </c>
      <c r="B8103" t="s">
        <v>2462</v>
      </c>
      <c r="C8103" t="s">
        <v>11126</v>
      </c>
      <c r="D8103" t="s">
        <v>17415</v>
      </c>
      <c r="E8103" t="s">
        <v>24489</v>
      </c>
      <c r="F8103" t="s">
        <v>30052</v>
      </c>
      <c r="G8103" t="s">
        <v>30061</v>
      </c>
      <c r="H8103" t="s">
        <v>15498</v>
      </c>
      <c r="I8103" t="s">
        <v>4119</v>
      </c>
      <c r="J8103" t="s">
        <v>31177</v>
      </c>
      <c r="K8103" t="s">
        <v>39029</v>
      </c>
      <c r="M8103" t="s">
        <v>41961</v>
      </c>
      <c r="N8103" t="s">
        <v>43166</v>
      </c>
      <c r="O8103" t="s">
        <v>43167</v>
      </c>
      <c r="P8103">
        <v>0</v>
      </c>
      <c r="Q8103">
        <v>4</v>
      </c>
      <c r="R8103" t="s">
        <v>43174</v>
      </c>
      <c r="S8103" t="s">
        <v>43396</v>
      </c>
      <c r="T8103" t="s">
        <v>44717</v>
      </c>
      <c r="U8103" t="s">
        <v>51757</v>
      </c>
      <c r="W8103" t="s">
        <v>41961</v>
      </c>
      <c r="X8103" t="s">
        <v>43175</v>
      </c>
    </row>
    <row r="8104" spans="1:24">
      <c r="A8104">
        <f>HYPERLINK("https://www.philgeps.gov.ph/GEPSNONPILOT/Tender/SplashBidNoticeAbstractUI.aspx?menuIndex=3&amp;refID=7073589&amp;Result=3","7073589")</f>
        <v>0</v>
      </c>
      <c r="B8104" t="s">
        <v>1464</v>
      </c>
      <c r="C8104" t="s">
        <v>3542</v>
      </c>
      <c r="D8104" t="s">
        <v>17415</v>
      </c>
      <c r="E8104" t="s">
        <v>24490</v>
      </c>
      <c r="F8104" t="s">
        <v>30052</v>
      </c>
      <c r="G8104" t="s">
        <v>30063</v>
      </c>
      <c r="H8104" t="s">
        <v>15498</v>
      </c>
      <c r="I8104" t="s">
        <v>30088</v>
      </c>
      <c r="J8104" t="s">
        <v>33777</v>
      </c>
      <c r="K8104" t="s">
        <v>39026</v>
      </c>
      <c r="M8104" t="s">
        <v>41710</v>
      </c>
      <c r="N8104" t="s">
        <v>43166</v>
      </c>
      <c r="O8104" t="s">
        <v>43167</v>
      </c>
      <c r="Q8104">
        <v>16</v>
      </c>
      <c r="R8104" t="s">
        <v>43174</v>
      </c>
      <c r="S8104" t="s">
        <v>43407</v>
      </c>
      <c r="T8104" t="s">
        <v>44693</v>
      </c>
      <c r="U8104" t="s">
        <v>51745</v>
      </c>
      <c r="W8104" t="s">
        <v>41710</v>
      </c>
      <c r="X8104" t="s">
        <v>43175</v>
      </c>
    </row>
    <row r="8105" spans="1:24">
      <c r="A8105">
        <f>HYPERLINK("https://www.philgeps.gov.ph/GEPSNONPILOT/Tender/SplashBidNoticeAbstractUI.aspx?menuIndex=3&amp;refID=7073581&amp;Result=3","7073581")</f>
        <v>0</v>
      </c>
      <c r="B8105" t="s">
        <v>684</v>
      </c>
      <c r="C8105" t="s">
        <v>11127</v>
      </c>
      <c r="D8105" t="s">
        <v>17473</v>
      </c>
      <c r="E8105" t="s">
        <v>24491</v>
      </c>
      <c r="F8105" t="s">
        <v>30052</v>
      </c>
      <c r="G8105" t="s">
        <v>30058</v>
      </c>
      <c r="H8105" t="s">
        <v>15498</v>
      </c>
      <c r="I8105" t="s">
        <v>30124</v>
      </c>
      <c r="J8105" t="s">
        <v>35166</v>
      </c>
      <c r="K8105" t="s">
        <v>39031</v>
      </c>
      <c r="M8105" t="s">
        <v>39999</v>
      </c>
      <c r="N8105" t="s">
        <v>43166</v>
      </c>
      <c r="O8105" t="s">
        <v>43167</v>
      </c>
      <c r="P8105">
        <v>0</v>
      </c>
      <c r="Q8105">
        <v>2</v>
      </c>
      <c r="R8105" t="s">
        <v>43174</v>
      </c>
      <c r="S8105" t="s">
        <v>43396</v>
      </c>
      <c r="T8105" t="s">
        <v>44945</v>
      </c>
      <c r="U8105" t="s">
        <v>51758</v>
      </c>
      <c r="W8105" t="s">
        <v>39999</v>
      </c>
      <c r="X8105" t="s">
        <v>43175</v>
      </c>
    </row>
    <row r="8106" spans="1:24">
      <c r="A8106">
        <f>HYPERLINK("https://www.philgeps.gov.ph/GEPSNONPILOT/Tender/SplashBidNoticeAbstractUI.aspx?menuIndex=3&amp;refID=7073577&amp;Result=3","7073577")</f>
        <v>0</v>
      </c>
      <c r="B8106" t="s">
        <v>1878</v>
      </c>
      <c r="C8106" t="s">
        <v>11128</v>
      </c>
      <c r="D8106" t="s">
        <v>17440</v>
      </c>
      <c r="E8106" t="s">
        <v>24492</v>
      </c>
      <c r="F8106" t="s">
        <v>30052</v>
      </c>
      <c r="G8106" t="s">
        <v>30059</v>
      </c>
      <c r="H8106" t="s">
        <v>30067</v>
      </c>
      <c r="I8106" t="s">
        <v>3693</v>
      </c>
      <c r="J8106" t="s">
        <v>30350</v>
      </c>
      <c r="K8106" t="s">
        <v>39017</v>
      </c>
      <c r="L8106" t="s">
        <v>1878</v>
      </c>
      <c r="M8106" t="s">
        <v>41309</v>
      </c>
      <c r="N8106" t="s">
        <v>43166</v>
      </c>
      <c r="O8106" t="s">
        <v>43167</v>
      </c>
      <c r="P8106">
        <v>0</v>
      </c>
      <c r="Q8106">
        <v>0</v>
      </c>
      <c r="R8106" t="s">
        <v>43174</v>
      </c>
      <c r="S8106" t="s">
        <v>43396</v>
      </c>
      <c r="T8106" t="s">
        <v>44843</v>
      </c>
      <c r="U8106" t="s">
        <v>49680</v>
      </c>
      <c r="W8106" t="s">
        <v>41309</v>
      </c>
      <c r="X8106" t="s">
        <v>43175</v>
      </c>
    </row>
    <row r="8107" spans="1:24">
      <c r="A8107">
        <f>HYPERLINK("https://www.philgeps.gov.ph/GEPSNONPILOT/Tender/SplashBidNoticeAbstractUI.aspx?menuIndex=3&amp;refID=7073517&amp;Result=3","7073517")</f>
        <v>0</v>
      </c>
      <c r="B8107" t="s">
        <v>2462</v>
      </c>
      <c r="C8107" t="s">
        <v>11129</v>
      </c>
      <c r="D8107" t="s">
        <v>17415</v>
      </c>
      <c r="E8107" t="s">
        <v>24493</v>
      </c>
      <c r="F8107" t="s">
        <v>30052</v>
      </c>
      <c r="G8107" t="s">
        <v>30061</v>
      </c>
      <c r="H8107" t="s">
        <v>15498</v>
      </c>
      <c r="I8107" t="s">
        <v>4119</v>
      </c>
      <c r="J8107" t="s">
        <v>31551</v>
      </c>
      <c r="K8107" t="s">
        <v>39029</v>
      </c>
      <c r="M8107" t="s">
        <v>41961</v>
      </c>
      <c r="N8107" t="s">
        <v>43166</v>
      </c>
      <c r="O8107" t="s">
        <v>43167</v>
      </c>
      <c r="P8107">
        <v>0</v>
      </c>
      <c r="Q8107">
        <v>0</v>
      </c>
      <c r="R8107" t="s">
        <v>43174</v>
      </c>
      <c r="S8107" t="s">
        <v>43396</v>
      </c>
      <c r="T8107" t="s">
        <v>44717</v>
      </c>
      <c r="U8107" t="s">
        <v>51759</v>
      </c>
      <c r="W8107" t="s">
        <v>41961</v>
      </c>
      <c r="X8107" t="s">
        <v>43175</v>
      </c>
    </row>
    <row r="8108" spans="1:24">
      <c r="A8108">
        <f>HYPERLINK("https://www.philgeps.gov.ph/GEPSNONPILOT/Tender/SplashBidNoticeAbstractUI.aspx?menuIndex=3&amp;refID=7073565&amp;Result=3","7073565")</f>
        <v>0</v>
      </c>
      <c r="B8108" t="s">
        <v>2454</v>
      </c>
      <c r="C8108" t="s">
        <v>11130</v>
      </c>
      <c r="D8108" t="s">
        <v>17486</v>
      </c>
      <c r="E8108" t="s">
        <v>24494</v>
      </c>
      <c r="F8108" t="s">
        <v>30052</v>
      </c>
      <c r="G8108" t="s">
        <v>30058</v>
      </c>
      <c r="H8108" t="s">
        <v>30067</v>
      </c>
      <c r="I8108" t="s">
        <v>3693</v>
      </c>
      <c r="J8108" t="s">
        <v>30873</v>
      </c>
      <c r="K8108" t="s">
        <v>39026</v>
      </c>
      <c r="M8108" t="s">
        <v>41953</v>
      </c>
      <c r="N8108" t="s">
        <v>43166</v>
      </c>
      <c r="O8108" t="s">
        <v>43167</v>
      </c>
      <c r="P8108">
        <v>0</v>
      </c>
      <c r="Q8108">
        <v>0</v>
      </c>
      <c r="R8108" t="s">
        <v>43174</v>
      </c>
      <c r="S8108" t="s">
        <v>43396</v>
      </c>
      <c r="T8108" t="s">
        <v>44699</v>
      </c>
      <c r="U8108" t="s">
        <v>51720</v>
      </c>
      <c r="W8108" t="s">
        <v>41953</v>
      </c>
      <c r="X8108" t="s">
        <v>43175</v>
      </c>
    </row>
    <row r="8109" spans="1:24">
      <c r="A8109">
        <f>HYPERLINK("https://www.philgeps.gov.ph/GEPSNONPILOT/Tender/SplashBidNoticeAbstractUI.aspx?menuIndex=3&amp;refID=7073495&amp;Result=3","7073495")</f>
        <v>0</v>
      </c>
      <c r="B8109" t="s">
        <v>2465</v>
      </c>
      <c r="C8109" t="s">
        <v>11131</v>
      </c>
      <c r="D8109" t="s">
        <v>17442</v>
      </c>
      <c r="E8109" t="s">
        <v>24495</v>
      </c>
      <c r="F8109" t="s">
        <v>30052</v>
      </c>
      <c r="G8109" t="s">
        <v>30059</v>
      </c>
      <c r="H8109" t="s">
        <v>15498</v>
      </c>
      <c r="I8109" t="s">
        <v>30070</v>
      </c>
      <c r="J8109" t="s">
        <v>32983</v>
      </c>
      <c r="K8109" t="s">
        <v>39025</v>
      </c>
      <c r="M8109" t="s">
        <v>41964</v>
      </c>
      <c r="N8109" t="s">
        <v>43166</v>
      </c>
      <c r="O8109" t="s">
        <v>43167</v>
      </c>
      <c r="P8109">
        <v>0</v>
      </c>
      <c r="Q8109">
        <v>4</v>
      </c>
      <c r="R8109" t="s">
        <v>43174</v>
      </c>
      <c r="S8109" t="s">
        <v>43396</v>
      </c>
      <c r="T8109" t="s">
        <v>44734</v>
      </c>
      <c r="U8109" t="s">
        <v>51760</v>
      </c>
      <c r="W8109" t="s">
        <v>41964</v>
      </c>
      <c r="X8109" t="s">
        <v>43175</v>
      </c>
    </row>
    <row r="8110" spans="1:24">
      <c r="A8110">
        <f>HYPERLINK("https://www.philgeps.gov.ph/GEPSNONPILOT/Tender/SplashBidNoticeAbstractUI.aspx?menuIndex=3&amp;refID=7073575&amp;Result=3","7073575")</f>
        <v>0</v>
      </c>
      <c r="B8110" t="s">
        <v>2471</v>
      </c>
      <c r="C8110" t="s">
        <v>11132</v>
      </c>
      <c r="D8110" t="s">
        <v>17478</v>
      </c>
      <c r="E8110" t="s">
        <v>24496</v>
      </c>
      <c r="F8110" t="s">
        <v>30052</v>
      </c>
      <c r="G8110" t="s">
        <v>30058</v>
      </c>
      <c r="H8110" t="s">
        <v>30067</v>
      </c>
      <c r="I8110" t="s">
        <v>3693</v>
      </c>
      <c r="J8110" t="s">
        <v>35167</v>
      </c>
      <c r="K8110" t="s">
        <v>39071</v>
      </c>
      <c r="M8110" t="s">
        <v>41971</v>
      </c>
      <c r="N8110" t="s">
        <v>43166</v>
      </c>
      <c r="O8110" t="s">
        <v>43167</v>
      </c>
      <c r="P8110">
        <v>0</v>
      </c>
      <c r="Q8110">
        <v>0</v>
      </c>
      <c r="R8110" t="s">
        <v>43174</v>
      </c>
      <c r="S8110" t="s">
        <v>43396</v>
      </c>
      <c r="T8110" t="s">
        <v>44800</v>
      </c>
      <c r="U8110" t="s">
        <v>51761</v>
      </c>
      <c r="W8110" t="s">
        <v>41971</v>
      </c>
      <c r="X8110" t="s">
        <v>43175</v>
      </c>
    </row>
    <row r="8111" spans="1:24">
      <c r="A8111">
        <f>HYPERLINK("https://www.philgeps.gov.ph/GEPSNONPILOT/Tender/SplashBidNoticeAbstractUI.aspx?menuIndex=3&amp;refID=7073502&amp;Result=3","7073502")</f>
        <v>0</v>
      </c>
      <c r="B8111" t="s">
        <v>2235</v>
      </c>
      <c r="C8111" t="s">
        <v>11133</v>
      </c>
      <c r="D8111" t="s">
        <v>17415</v>
      </c>
      <c r="E8111" t="s">
        <v>24497</v>
      </c>
      <c r="F8111" t="s">
        <v>30052</v>
      </c>
      <c r="G8111" t="s">
        <v>30059</v>
      </c>
      <c r="H8111" t="s">
        <v>15498</v>
      </c>
      <c r="I8111" t="s">
        <v>30084</v>
      </c>
      <c r="J8111" t="s">
        <v>30428</v>
      </c>
      <c r="K8111" t="s">
        <v>39017</v>
      </c>
      <c r="M8111" t="s">
        <v>41708</v>
      </c>
      <c r="N8111" t="s">
        <v>43166</v>
      </c>
      <c r="O8111" t="s">
        <v>43167</v>
      </c>
      <c r="P8111">
        <v>0</v>
      </c>
      <c r="Q8111">
        <v>5</v>
      </c>
      <c r="R8111" t="s">
        <v>43174</v>
      </c>
      <c r="S8111" t="s">
        <v>43396</v>
      </c>
      <c r="T8111" t="s">
        <v>44870</v>
      </c>
      <c r="U8111" t="s">
        <v>51762</v>
      </c>
      <c r="V8111" t="s">
        <v>57553</v>
      </c>
      <c r="W8111" t="s">
        <v>58667</v>
      </c>
      <c r="X8111" t="s">
        <v>43175</v>
      </c>
    </row>
    <row r="8112" spans="1:24">
      <c r="A8112">
        <f>HYPERLINK("https://www.philgeps.gov.ph/GEPSNONPILOT/Tender/SplashBidNoticeAbstractUI.aspx?menuIndex=3&amp;refID=7073553&amp;Result=3","7073553")</f>
        <v>0</v>
      </c>
      <c r="B8112" t="s">
        <v>2216</v>
      </c>
      <c r="C8112" t="s">
        <v>11134</v>
      </c>
      <c r="D8112" t="s">
        <v>17441</v>
      </c>
      <c r="E8112" t="s">
        <v>24498</v>
      </c>
      <c r="F8112" t="s">
        <v>30052</v>
      </c>
      <c r="G8112" t="s">
        <v>30058</v>
      </c>
      <c r="H8112" t="s">
        <v>15498</v>
      </c>
      <c r="I8112" t="s">
        <v>4598</v>
      </c>
      <c r="J8112" t="s">
        <v>33464</v>
      </c>
      <c r="K8112" t="s">
        <v>39029</v>
      </c>
      <c r="M8112" t="s">
        <v>41686</v>
      </c>
      <c r="N8112" t="s">
        <v>43166</v>
      </c>
      <c r="O8112" t="s">
        <v>43167</v>
      </c>
      <c r="P8112">
        <v>0</v>
      </c>
      <c r="Q8112">
        <v>7</v>
      </c>
      <c r="R8112" t="s">
        <v>43174</v>
      </c>
      <c r="S8112" t="s">
        <v>43396</v>
      </c>
      <c r="T8112" t="s">
        <v>44888</v>
      </c>
      <c r="U8112" t="s">
        <v>51763</v>
      </c>
      <c r="W8112" t="s">
        <v>41686</v>
      </c>
      <c r="X8112" t="s">
        <v>43175</v>
      </c>
    </row>
    <row r="8113" spans="1:24">
      <c r="A8113">
        <f>HYPERLINK("https://www.philgeps.gov.ph/GEPSNONPILOT/Tender/SplashBidNoticeAbstractUI.aspx?menuIndex=3&amp;refID=7073551&amp;Result=3","7073551")</f>
        <v>0</v>
      </c>
      <c r="B8113" t="s">
        <v>1178</v>
      </c>
      <c r="C8113" t="s">
        <v>11135</v>
      </c>
      <c r="D8113" t="s">
        <v>17432</v>
      </c>
      <c r="E8113" t="s">
        <v>24499</v>
      </c>
      <c r="F8113" t="s">
        <v>30052</v>
      </c>
      <c r="G8113" t="s">
        <v>30059</v>
      </c>
      <c r="H8113" t="s">
        <v>15498</v>
      </c>
      <c r="I8113" t="s">
        <v>30140</v>
      </c>
      <c r="J8113" t="s">
        <v>30350</v>
      </c>
      <c r="K8113" t="s">
        <v>39046</v>
      </c>
      <c r="M8113" t="s">
        <v>41986</v>
      </c>
      <c r="N8113" t="s">
        <v>43166</v>
      </c>
      <c r="O8113" t="s">
        <v>43167</v>
      </c>
      <c r="P8113">
        <v>0</v>
      </c>
      <c r="Q8113">
        <v>4</v>
      </c>
      <c r="R8113" t="s">
        <v>43174</v>
      </c>
      <c r="S8113" t="s">
        <v>43396</v>
      </c>
      <c r="T8113" t="s">
        <v>44714</v>
      </c>
      <c r="U8113" t="s">
        <v>51764</v>
      </c>
      <c r="W8113" t="s">
        <v>41986</v>
      </c>
      <c r="X8113" t="s">
        <v>43175</v>
      </c>
    </row>
    <row r="8114" spans="1:24">
      <c r="A8114">
        <f>HYPERLINK("https://www.philgeps.gov.ph/GEPSNONPILOT/Tender/SplashBidNoticeAbstractUI.aspx?menuIndex=3&amp;refID=7073513&amp;Result=3","7073513")</f>
        <v>0</v>
      </c>
      <c r="B8114" t="s">
        <v>2486</v>
      </c>
      <c r="C8114" t="s">
        <v>11136</v>
      </c>
      <c r="D8114" t="s">
        <v>17463</v>
      </c>
      <c r="E8114" t="s">
        <v>24500</v>
      </c>
      <c r="F8114" t="s">
        <v>30052</v>
      </c>
      <c r="G8114" t="s">
        <v>30058</v>
      </c>
      <c r="H8114" t="s">
        <v>30067</v>
      </c>
      <c r="I8114" t="s">
        <v>30163</v>
      </c>
      <c r="J8114" t="s">
        <v>35168</v>
      </c>
      <c r="K8114" t="s">
        <v>39031</v>
      </c>
      <c r="M8114" t="s">
        <v>41987</v>
      </c>
      <c r="N8114" t="s">
        <v>43166</v>
      </c>
      <c r="O8114" t="s">
        <v>43167</v>
      </c>
      <c r="P8114">
        <v>0</v>
      </c>
      <c r="Q8114">
        <v>0</v>
      </c>
      <c r="R8114" t="s">
        <v>43174</v>
      </c>
      <c r="S8114" t="s">
        <v>43396</v>
      </c>
      <c r="T8114" t="s">
        <v>44717</v>
      </c>
      <c r="U8114" t="s">
        <v>51765</v>
      </c>
      <c r="W8114" t="s">
        <v>41987</v>
      </c>
      <c r="X8114" t="s">
        <v>43175</v>
      </c>
    </row>
    <row r="8115" spans="1:24">
      <c r="A8115">
        <f>HYPERLINK("https://www.philgeps.gov.ph/GEPSNONPILOT/Tender/SplashBidNoticeAbstractUI.aspx?menuIndex=3&amp;refID=7073564&amp;Result=3","7073564")</f>
        <v>0</v>
      </c>
      <c r="B8115" t="s">
        <v>2487</v>
      </c>
      <c r="C8115" t="s">
        <v>11137</v>
      </c>
      <c r="D8115" t="s">
        <v>17444</v>
      </c>
      <c r="E8115" t="s">
        <v>24501</v>
      </c>
      <c r="F8115" t="s">
        <v>30052</v>
      </c>
      <c r="G8115" t="s">
        <v>30059</v>
      </c>
      <c r="H8115" t="s">
        <v>15498</v>
      </c>
      <c r="I8115" t="s">
        <v>30070</v>
      </c>
      <c r="J8115" t="s">
        <v>35169</v>
      </c>
      <c r="K8115" t="s">
        <v>39025</v>
      </c>
      <c r="M8115" t="s">
        <v>41988</v>
      </c>
      <c r="N8115" t="s">
        <v>43166</v>
      </c>
      <c r="O8115" t="s">
        <v>43167</v>
      </c>
      <c r="P8115">
        <v>0</v>
      </c>
      <c r="Q8115">
        <v>3</v>
      </c>
      <c r="R8115" t="s">
        <v>43174</v>
      </c>
      <c r="S8115" t="s">
        <v>43396</v>
      </c>
      <c r="T8115" t="s">
        <v>44717</v>
      </c>
      <c r="U8115" t="s">
        <v>51766</v>
      </c>
      <c r="W8115" t="s">
        <v>41988</v>
      </c>
      <c r="X8115" t="s">
        <v>43175</v>
      </c>
    </row>
    <row r="8116" spans="1:24">
      <c r="A8116">
        <f>HYPERLINK("https://www.philgeps.gov.ph/GEPSNONPILOT/Tender/SplashBidNoticeAbstractUI.aspx?menuIndex=3&amp;refID=7073540&amp;Result=3","7073540")</f>
        <v>0</v>
      </c>
      <c r="B8116" t="s">
        <v>1878</v>
      </c>
      <c r="C8116" t="s">
        <v>11138</v>
      </c>
      <c r="D8116" t="s">
        <v>17440</v>
      </c>
      <c r="E8116" t="s">
        <v>24502</v>
      </c>
      <c r="F8116" t="s">
        <v>30052</v>
      </c>
      <c r="G8116" t="s">
        <v>30059</v>
      </c>
      <c r="H8116" t="s">
        <v>30067</v>
      </c>
      <c r="I8116" t="s">
        <v>3693</v>
      </c>
      <c r="J8116" t="s">
        <v>30207</v>
      </c>
      <c r="K8116" t="s">
        <v>39017</v>
      </c>
      <c r="L8116" t="s">
        <v>1878</v>
      </c>
      <c r="M8116" t="s">
        <v>41309</v>
      </c>
      <c r="N8116" t="s">
        <v>43166</v>
      </c>
      <c r="O8116" t="s">
        <v>43167</v>
      </c>
      <c r="P8116">
        <v>0</v>
      </c>
      <c r="Q8116">
        <v>0</v>
      </c>
      <c r="R8116" t="s">
        <v>43174</v>
      </c>
      <c r="S8116" t="s">
        <v>43396</v>
      </c>
      <c r="T8116" t="s">
        <v>44843</v>
      </c>
      <c r="U8116" t="s">
        <v>49680</v>
      </c>
      <c r="W8116" t="s">
        <v>41309</v>
      </c>
      <c r="X8116" t="s">
        <v>43175</v>
      </c>
    </row>
    <row r="8117" spans="1:24">
      <c r="A8117">
        <f>HYPERLINK("https://www.philgeps.gov.ph/GEPSNONPILOT/Tender/SplashBidNoticeAbstractUI.aspx?menuIndex=3&amp;refID=7073538&amp;Result=3","7073538")</f>
        <v>0</v>
      </c>
      <c r="B8117" t="s">
        <v>771</v>
      </c>
      <c r="C8117" t="s">
        <v>11139</v>
      </c>
      <c r="D8117" t="s">
        <v>17438</v>
      </c>
      <c r="E8117" t="s">
        <v>19099</v>
      </c>
      <c r="F8117" t="s">
        <v>30052</v>
      </c>
      <c r="G8117" t="s">
        <v>30059</v>
      </c>
      <c r="H8117" t="s">
        <v>15498</v>
      </c>
      <c r="I8117" t="s">
        <v>3736</v>
      </c>
      <c r="J8117" t="s">
        <v>31481</v>
      </c>
      <c r="K8117" t="s">
        <v>39019</v>
      </c>
      <c r="M8117" t="s">
        <v>40085</v>
      </c>
      <c r="N8117" t="s">
        <v>43166</v>
      </c>
      <c r="O8117" t="s">
        <v>43167</v>
      </c>
      <c r="P8117">
        <v>0</v>
      </c>
      <c r="Q8117">
        <v>0</v>
      </c>
      <c r="R8117" t="s">
        <v>43174</v>
      </c>
      <c r="S8117" t="s">
        <v>43396</v>
      </c>
      <c r="T8117" t="s">
        <v>45085</v>
      </c>
      <c r="U8117" t="s">
        <v>51767</v>
      </c>
      <c r="V8117" t="s">
        <v>57689</v>
      </c>
      <c r="W8117" t="s">
        <v>40085</v>
      </c>
      <c r="X8117" t="s">
        <v>43175</v>
      </c>
    </row>
    <row r="8118" spans="1:24">
      <c r="A8118">
        <f>HYPERLINK("https://www.philgeps.gov.ph/GEPSNONPILOT/Tender/SplashBidNoticeAbstractUI.aspx?menuIndex=3&amp;refID=7073549&amp;Result=3","7073549")</f>
        <v>0</v>
      </c>
      <c r="B8118" t="s">
        <v>2486</v>
      </c>
      <c r="C8118" t="s">
        <v>11140</v>
      </c>
      <c r="D8118" t="s">
        <v>17463</v>
      </c>
      <c r="E8118" t="s">
        <v>24503</v>
      </c>
      <c r="F8118" t="s">
        <v>30052</v>
      </c>
      <c r="G8118" t="s">
        <v>30058</v>
      </c>
      <c r="H8118" t="s">
        <v>15498</v>
      </c>
      <c r="I8118" t="s">
        <v>4119</v>
      </c>
      <c r="J8118" t="s">
        <v>35170</v>
      </c>
      <c r="K8118" t="s">
        <v>39019</v>
      </c>
      <c r="M8118" t="s">
        <v>41987</v>
      </c>
      <c r="N8118" t="s">
        <v>43166</v>
      </c>
      <c r="O8118" t="s">
        <v>43167</v>
      </c>
      <c r="P8118">
        <v>0</v>
      </c>
      <c r="Q8118">
        <v>1</v>
      </c>
      <c r="R8118" t="s">
        <v>43174</v>
      </c>
      <c r="S8118" t="s">
        <v>43396</v>
      </c>
      <c r="T8118" t="s">
        <v>44717</v>
      </c>
      <c r="U8118" t="s">
        <v>51765</v>
      </c>
      <c r="W8118" t="s">
        <v>41987</v>
      </c>
      <c r="X8118" t="s">
        <v>43175</v>
      </c>
    </row>
    <row r="8119" spans="1:24">
      <c r="A8119">
        <f>HYPERLINK("https://www.philgeps.gov.ph/GEPSNONPILOT/Tender/SplashBidNoticeAbstractUI.aspx?menuIndex=3&amp;refID=7073542&amp;Result=3","7073542")</f>
        <v>0</v>
      </c>
      <c r="B8119" t="s">
        <v>141</v>
      </c>
      <c r="C8119" t="s">
        <v>11141</v>
      </c>
      <c r="D8119" t="s">
        <v>17447</v>
      </c>
      <c r="E8119" t="s">
        <v>24504</v>
      </c>
      <c r="F8119" t="s">
        <v>30052</v>
      </c>
      <c r="G8119" t="s">
        <v>30059</v>
      </c>
      <c r="H8119" t="s">
        <v>15498</v>
      </c>
      <c r="I8119" t="s">
        <v>3852</v>
      </c>
      <c r="J8119" t="s">
        <v>35171</v>
      </c>
      <c r="K8119" t="s">
        <v>39025</v>
      </c>
      <c r="M8119" t="s">
        <v>39939</v>
      </c>
      <c r="N8119" t="s">
        <v>43166</v>
      </c>
      <c r="O8119" t="s">
        <v>43167</v>
      </c>
      <c r="Q8119">
        <v>0</v>
      </c>
      <c r="R8119" t="s">
        <v>43174</v>
      </c>
      <c r="S8119" t="s">
        <v>43408</v>
      </c>
      <c r="T8119" t="s">
        <v>44843</v>
      </c>
      <c r="U8119" t="s">
        <v>51768</v>
      </c>
      <c r="V8119" t="s">
        <v>56997</v>
      </c>
      <c r="W8119" t="s">
        <v>39939</v>
      </c>
      <c r="X8119" t="s">
        <v>43175</v>
      </c>
    </row>
    <row r="8120" spans="1:24">
      <c r="A8120">
        <f>HYPERLINK("https://www.philgeps.gov.ph/GEPSNONPILOT/Tender/SplashBidNoticeAbstractUI.aspx?menuIndex=3&amp;refID=7073531&amp;Result=3","7073531")</f>
        <v>0</v>
      </c>
      <c r="B8120" t="s">
        <v>1826</v>
      </c>
      <c r="C8120" t="s">
        <v>11142</v>
      </c>
      <c r="D8120" t="s">
        <v>17471</v>
      </c>
      <c r="E8120" t="s">
        <v>24505</v>
      </c>
      <c r="F8120" t="s">
        <v>30052</v>
      </c>
      <c r="G8120" t="s">
        <v>30058</v>
      </c>
      <c r="H8120" t="s">
        <v>30067</v>
      </c>
      <c r="I8120" t="s">
        <v>3693</v>
      </c>
      <c r="J8120" t="s">
        <v>30247</v>
      </c>
      <c r="K8120" t="s">
        <v>39200</v>
      </c>
      <c r="M8120" t="s">
        <v>41249</v>
      </c>
      <c r="N8120" t="s">
        <v>43166</v>
      </c>
      <c r="O8120" t="s">
        <v>43167</v>
      </c>
      <c r="P8120">
        <v>0</v>
      </c>
      <c r="Q8120">
        <v>0</v>
      </c>
      <c r="R8120" t="s">
        <v>43174</v>
      </c>
      <c r="S8120" t="s">
        <v>43396</v>
      </c>
      <c r="T8120" t="s">
        <v>44725</v>
      </c>
      <c r="U8120" t="s">
        <v>51769</v>
      </c>
      <c r="W8120" t="s">
        <v>41249</v>
      </c>
      <c r="X8120" t="s">
        <v>43175</v>
      </c>
    </row>
    <row r="8121" spans="1:24">
      <c r="A8121">
        <f>HYPERLINK("https://www.philgeps.gov.ph/GEPSNONPILOT/Tender/SplashBidNoticeAbstractUI.aspx?menuIndex=3&amp;refID=7073570&amp;Result=3","7073570")</f>
        <v>0</v>
      </c>
      <c r="B8121" t="s">
        <v>2476</v>
      </c>
      <c r="C8121" t="s">
        <v>11143</v>
      </c>
      <c r="D8121" t="s">
        <v>17472</v>
      </c>
      <c r="E8121" t="s">
        <v>24450</v>
      </c>
      <c r="F8121" t="s">
        <v>30052</v>
      </c>
      <c r="G8121" t="s">
        <v>30058</v>
      </c>
      <c r="H8121" t="s">
        <v>15498</v>
      </c>
      <c r="I8121" t="s">
        <v>3736</v>
      </c>
      <c r="J8121" t="s">
        <v>35172</v>
      </c>
      <c r="K8121" t="s">
        <v>39029</v>
      </c>
      <c r="M8121" t="s">
        <v>41976</v>
      </c>
      <c r="N8121" t="s">
        <v>43166</v>
      </c>
      <c r="O8121" t="s">
        <v>43167</v>
      </c>
      <c r="P8121">
        <v>0</v>
      </c>
      <c r="Q8121">
        <v>3</v>
      </c>
      <c r="R8121" t="s">
        <v>43174</v>
      </c>
      <c r="S8121" t="s">
        <v>43396</v>
      </c>
      <c r="T8121" t="s">
        <v>44711</v>
      </c>
      <c r="U8121" t="s">
        <v>51770</v>
      </c>
      <c r="V8121" t="s">
        <v>57690</v>
      </c>
      <c r="W8121" t="s">
        <v>41976</v>
      </c>
      <c r="X8121" t="s">
        <v>43175</v>
      </c>
    </row>
    <row r="8122" spans="1:24">
      <c r="A8122">
        <f>HYPERLINK("https://www.philgeps.gov.ph/GEPSNONPILOT/Tender/SplashBidNoticeAbstractUI.aspx?menuIndex=3&amp;refID=7073488&amp;Result=3","7073488")</f>
        <v>0</v>
      </c>
      <c r="B8122" t="s">
        <v>1745</v>
      </c>
      <c r="C8122" t="s">
        <v>11144</v>
      </c>
      <c r="D8122" t="s">
        <v>17415</v>
      </c>
      <c r="E8122" t="s">
        <v>24506</v>
      </c>
      <c r="F8122" t="s">
        <v>30052</v>
      </c>
      <c r="G8122" t="s">
        <v>30058</v>
      </c>
      <c r="H8122" t="s">
        <v>15498</v>
      </c>
      <c r="I8122" t="s">
        <v>30074</v>
      </c>
      <c r="J8122" t="s">
        <v>34073</v>
      </c>
      <c r="K8122" t="s">
        <v>39029</v>
      </c>
      <c r="M8122" t="s">
        <v>41164</v>
      </c>
      <c r="N8122" t="s">
        <v>43166</v>
      </c>
      <c r="O8122" t="s">
        <v>43167</v>
      </c>
      <c r="P8122">
        <v>0</v>
      </c>
      <c r="Q8122">
        <v>7</v>
      </c>
      <c r="R8122" t="s">
        <v>43174</v>
      </c>
      <c r="S8122" t="s">
        <v>43396</v>
      </c>
      <c r="T8122" t="s">
        <v>44815</v>
      </c>
      <c r="U8122" t="s">
        <v>51771</v>
      </c>
      <c r="W8122" t="s">
        <v>41164</v>
      </c>
      <c r="X8122" t="s">
        <v>43175</v>
      </c>
    </row>
    <row r="8123" spans="1:24">
      <c r="A8123">
        <f>HYPERLINK("https://www.philgeps.gov.ph/GEPSNONPILOT/Tender/SplashBidNoticeAbstractUI.aspx?menuIndex=3&amp;refID=7073604&amp;Result=3","7073604")</f>
        <v>0</v>
      </c>
      <c r="B8123" t="s">
        <v>1178</v>
      </c>
      <c r="C8123" t="s">
        <v>11145</v>
      </c>
      <c r="D8123" t="s">
        <v>17432</v>
      </c>
      <c r="E8123" t="s">
        <v>24507</v>
      </c>
      <c r="F8123" t="s">
        <v>30052</v>
      </c>
      <c r="G8123" t="s">
        <v>30059</v>
      </c>
      <c r="H8123" t="s">
        <v>15498</v>
      </c>
      <c r="I8123" t="s">
        <v>30081</v>
      </c>
      <c r="J8123" t="s">
        <v>31142</v>
      </c>
      <c r="K8123" t="s">
        <v>39029</v>
      </c>
      <c r="M8123" t="s">
        <v>41986</v>
      </c>
      <c r="N8123" t="s">
        <v>43166</v>
      </c>
      <c r="O8123" t="s">
        <v>43167</v>
      </c>
      <c r="P8123">
        <v>0</v>
      </c>
      <c r="Q8123">
        <v>5</v>
      </c>
      <c r="R8123" t="s">
        <v>43174</v>
      </c>
      <c r="S8123" t="s">
        <v>43396</v>
      </c>
      <c r="T8123" t="s">
        <v>44714</v>
      </c>
      <c r="U8123" t="s">
        <v>51764</v>
      </c>
      <c r="W8123" t="s">
        <v>41986</v>
      </c>
      <c r="X8123" t="s">
        <v>43175</v>
      </c>
    </row>
    <row r="8124" spans="1:24">
      <c r="A8124">
        <f>HYPERLINK("https://www.philgeps.gov.ph/GEPSNONPILOT/Tender/SplashBidNoticeAbstractUI.aspx?menuIndex=3&amp;refID=7073545&amp;Result=3","7073545")</f>
        <v>0</v>
      </c>
      <c r="B8124" t="s">
        <v>2468</v>
      </c>
      <c r="C8124" t="s">
        <v>11146</v>
      </c>
      <c r="D8124" t="s">
        <v>17458</v>
      </c>
      <c r="E8124" t="s">
        <v>24508</v>
      </c>
      <c r="F8124" t="s">
        <v>30052</v>
      </c>
      <c r="G8124" t="s">
        <v>30061</v>
      </c>
      <c r="H8124" t="s">
        <v>15498</v>
      </c>
      <c r="I8124" t="s">
        <v>30070</v>
      </c>
      <c r="J8124" t="s">
        <v>30275</v>
      </c>
      <c r="K8124" t="s">
        <v>39025</v>
      </c>
      <c r="M8124" t="s">
        <v>41968</v>
      </c>
      <c r="N8124" t="s">
        <v>43166</v>
      </c>
      <c r="O8124" t="s">
        <v>43167</v>
      </c>
      <c r="P8124">
        <v>0</v>
      </c>
      <c r="Q8124">
        <v>2</v>
      </c>
      <c r="R8124" t="s">
        <v>43174</v>
      </c>
      <c r="S8124" t="s">
        <v>43396</v>
      </c>
      <c r="T8124" t="s">
        <v>44822</v>
      </c>
      <c r="U8124" t="s">
        <v>51712</v>
      </c>
      <c r="W8124" t="s">
        <v>41968</v>
      </c>
      <c r="X8124" t="s">
        <v>43175</v>
      </c>
    </row>
    <row r="8125" spans="1:24">
      <c r="A8125">
        <f>HYPERLINK("https://www.philgeps.gov.ph/GEPSNONPILOT/Tender/SplashBidNoticeAbstractUI.aspx?menuIndex=3&amp;refID=7073696&amp;Result=3","7073696")</f>
        <v>0</v>
      </c>
      <c r="B8125" t="s">
        <v>2488</v>
      </c>
      <c r="C8125" t="s">
        <v>11147</v>
      </c>
      <c r="D8125" t="s">
        <v>17458</v>
      </c>
      <c r="E8125" t="s">
        <v>17715</v>
      </c>
      <c r="F8125" t="s">
        <v>30052</v>
      </c>
      <c r="G8125" t="s">
        <v>30058</v>
      </c>
      <c r="H8125" t="s">
        <v>15498</v>
      </c>
      <c r="I8125" t="s">
        <v>3736</v>
      </c>
      <c r="J8125" t="s">
        <v>35173</v>
      </c>
      <c r="K8125" t="s">
        <v>39017</v>
      </c>
      <c r="M8125" t="s">
        <v>41989</v>
      </c>
      <c r="N8125" t="s">
        <v>43166</v>
      </c>
      <c r="O8125" t="s">
        <v>43167</v>
      </c>
      <c r="P8125">
        <v>0</v>
      </c>
      <c r="Q8125">
        <v>0</v>
      </c>
      <c r="R8125" t="s">
        <v>43174</v>
      </c>
      <c r="S8125" t="s">
        <v>43396</v>
      </c>
      <c r="T8125" t="s">
        <v>44796</v>
      </c>
      <c r="U8125" t="s">
        <v>51772</v>
      </c>
      <c r="V8125" t="s">
        <v>57691</v>
      </c>
      <c r="W8125" t="s">
        <v>41989</v>
      </c>
      <c r="X8125" t="s">
        <v>43175</v>
      </c>
    </row>
    <row r="8126" spans="1:24">
      <c r="A8126">
        <f>HYPERLINK("https://www.philgeps.gov.ph/GEPSNONPILOT/Tender/SplashBidNoticeAbstractUI.aspx?menuIndex=3&amp;refID=7073694&amp;Result=3","7073694")</f>
        <v>0</v>
      </c>
      <c r="B8126" t="s">
        <v>2489</v>
      </c>
      <c r="C8126" t="s">
        <v>11148</v>
      </c>
      <c r="D8126" t="s">
        <v>17430</v>
      </c>
      <c r="E8126" t="s">
        <v>24509</v>
      </c>
      <c r="F8126" t="s">
        <v>30055</v>
      </c>
      <c r="G8126" t="s">
        <v>30058</v>
      </c>
      <c r="H8126" t="s">
        <v>15498</v>
      </c>
      <c r="I8126" t="s">
        <v>30096</v>
      </c>
      <c r="J8126" t="s">
        <v>35174</v>
      </c>
      <c r="K8126" t="s">
        <v>39029</v>
      </c>
      <c r="M8126" t="s">
        <v>41990</v>
      </c>
      <c r="N8126" t="s">
        <v>43166</v>
      </c>
      <c r="O8126" t="s">
        <v>43167</v>
      </c>
      <c r="P8126">
        <v>0</v>
      </c>
      <c r="Q8126">
        <v>9</v>
      </c>
      <c r="R8126" t="s">
        <v>43174</v>
      </c>
      <c r="S8126" t="s">
        <v>43396</v>
      </c>
      <c r="T8126" t="s">
        <v>44789</v>
      </c>
      <c r="U8126" t="s">
        <v>46634</v>
      </c>
      <c r="W8126" t="s">
        <v>41990</v>
      </c>
      <c r="X8126" t="s">
        <v>43175</v>
      </c>
    </row>
    <row r="8127" spans="1:24">
      <c r="A8127">
        <f>HYPERLINK("https://www.philgeps.gov.ph/GEPSNONPILOT/Tender/SplashBidNoticeAbstractUI.aspx?menuIndex=3&amp;refID=7073548&amp;Result=3","7073548")</f>
        <v>0</v>
      </c>
      <c r="B8127" t="s">
        <v>2490</v>
      </c>
      <c r="C8127" t="s">
        <v>11149</v>
      </c>
      <c r="D8127" t="s">
        <v>17486</v>
      </c>
      <c r="E8127" t="s">
        <v>24510</v>
      </c>
      <c r="F8127" t="s">
        <v>30052</v>
      </c>
      <c r="G8127" t="s">
        <v>30059</v>
      </c>
      <c r="H8127" t="s">
        <v>15498</v>
      </c>
      <c r="I8127" t="s">
        <v>4119</v>
      </c>
      <c r="J8127" t="s">
        <v>35175</v>
      </c>
      <c r="K8127" t="s">
        <v>39034</v>
      </c>
      <c r="M8127" t="s">
        <v>41991</v>
      </c>
      <c r="N8127" t="s">
        <v>43166</v>
      </c>
      <c r="O8127" t="s">
        <v>43167</v>
      </c>
      <c r="Q8127">
        <v>7</v>
      </c>
      <c r="R8127" t="s">
        <v>43174</v>
      </c>
      <c r="S8127" t="s">
        <v>43409</v>
      </c>
      <c r="T8127" t="s">
        <v>44870</v>
      </c>
      <c r="U8127" t="s">
        <v>51773</v>
      </c>
      <c r="W8127" t="s">
        <v>41991</v>
      </c>
      <c r="X8127" t="s">
        <v>43175</v>
      </c>
    </row>
    <row r="8128" spans="1:24">
      <c r="A8128">
        <f>HYPERLINK("https://www.philgeps.gov.ph/GEPSNONPILOT/Tender/SplashBidNoticeAbstractUI.aspx?menuIndex=3&amp;refID=7073680&amp;Result=3","7073680")</f>
        <v>0</v>
      </c>
      <c r="B8128" t="s">
        <v>1661</v>
      </c>
      <c r="C8128" t="s">
        <v>11150</v>
      </c>
      <c r="D8128" t="s">
        <v>17422</v>
      </c>
      <c r="E8128" t="s">
        <v>24511</v>
      </c>
      <c r="F8128" t="s">
        <v>30052</v>
      </c>
      <c r="G8128" t="s">
        <v>30059</v>
      </c>
      <c r="H8128" t="s">
        <v>15498</v>
      </c>
      <c r="I8128" t="s">
        <v>30070</v>
      </c>
      <c r="J8128" t="s">
        <v>35176</v>
      </c>
      <c r="K8128" t="s">
        <v>39025</v>
      </c>
      <c r="M8128" t="s">
        <v>41992</v>
      </c>
      <c r="N8128" t="s">
        <v>43166</v>
      </c>
      <c r="O8128" t="s">
        <v>43167</v>
      </c>
      <c r="P8128">
        <v>0</v>
      </c>
      <c r="Q8128">
        <v>2</v>
      </c>
      <c r="R8128" t="s">
        <v>43174</v>
      </c>
      <c r="S8128" t="s">
        <v>43396</v>
      </c>
      <c r="T8128" t="s">
        <v>44698</v>
      </c>
      <c r="U8128" t="s">
        <v>51774</v>
      </c>
      <c r="W8128" t="s">
        <v>41992</v>
      </c>
      <c r="X8128" t="s">
        <v>43175</v>
      </c>
    </row>
    <row r="8129" spans="1:24">
      <c r="A8129">
        <f>HYPERLINK("https://www.philgeps.gov.ph/GEPSNONPILOT/Tender/SplashBidNoticeAbstractUI.aspx?menuIndex=3&amp;refID=7073674&amp;Result=3","7073674")</f>
        <v>0</v>
      </c>
      <c r="B8129" t="s">
        <v>2491</v>
      </c>
      <c r="C8129" t="s">
        <v>11151</v>
      </c>
      <c r="D8129" t="s">
        <v>17415</v>
      </c>
      <c r="E8129" t="s">
        <v>24512</v>
      </c>
      <c r="F8129" t="s">
        <v>30052</v>
      </c>
      <c r="G8129" t="s">
        <v>30058</v>
      </c>
      <c r="H8129" t="s">
        <v>15498</v>
      </c>
      <c r="I8129" t="s">
        <v>3736</v>
      </c>
      <c r="J8129" t="s">
        <v>30890</v>
      </c>
      <c r="K8129" t="s">
        <v>39036</v>
      </c>
      <c r="M8129" t="s">
        <v>41993</v>
      </c>
      <c r="N8129" t="s">
        <v>43166</v>
      </c>
      <c r="O8129" t="s">
        <v>43167</v>
      </c>
      <c r="P8129">
        <v>0</v>
      </c>
      <c r="Q8129">
        <v>0</v>
      </c>
      <c r="R8129" t="s">
        <v>43174</v>
      </c>
      <c r="S8129" t="s">
        <v>43396</v>
      </c>
      <c r="T8129" t="s">
        <v>44870</v>
      </c>
      <c r="U8129" t="s">
        <v>51775</v>
      </c>
      <c r="W8129" t="s">
        <v>41993</v>
      </c>
      <c r="X8129" t="s">
        <v>43175</v>
      </c>
    </row>
    <row r="8130" spans="1:24">
      <c r="A8130">
        <f>HYPERLINK("https://www.philgeps.gov.ph/GEPSNONPILOT/Tender/SplashBidNoticeAbstractUI.aspx?menuIndex=3&amp;refID=7073670&amp;Result=3","7073670")</f>
        <v>0</v>
      </c>
      <c r="B8130" t="s">
        <v>2492</v>
      </c>
      <c r="C8130" t="s">
        <v>11152</v>
      </c>
      <c r="D8130" t="s">
        <v>17485</v>
      </c>
      <c r="E8130" t="s">
        <v>24513</v>
      </c>
      <c r="F8130" t="s">
        <v>30052</v>
      </c>
      <c r="G8130" t="s">
        <v>30058</v>
      </c>
      <c r="H8130" t="s">
        <v>15498</v>
      </c>
      <c r="I8130" t="s">
        <v>30093</v>
      </c>
      <c r="J8130" t="s">
        <v>35177</v>
      </c>
      <c r="K8130" t="s">
        <v>39029</v>
      </c>
      <c r="M8130" t="s">
        <v>41994</v>
      </c>
      <c r="N8130" t="s">
        <v>43166</v>
      </c>
      <c r="O8130" t="s">
        <v>43167</v>
      </c>
      <c r="P8130">
        <v>0</v>
      </c>
      <c r="Q8130">
        <v>0</v>
      </c>
      <c r="R8130" t="s">
        <v>43174</v>
      </c>
      <c r="S8130" t="s">
        <v>43396</v>
      </c>
      <c r="T8130" t="s">
        <v>44780</v>
      </c>
      <c r="U8130" t="s">
        <v>51776</v>
      </c>
      <c r="W8130" t="s">
        <v>41994</v>
      </c>
      <c r="X8130" t="s">
        <v>43175</v>
      </c>
    </row>
    <row r="8131" spans="1:24">
      <c r="A8131">
        <f>HYPERLINK("https://www.philgeps.gov.ph/GEPSNONPILOT/Tender/SplashBidNoticeAbstractUI.aspx?menuIndex=3&amp;refID=7073667&amp;Result=3","7073667")</f>
        <v>0</v>
      </c>
      <c r="B8131" t="s">
        <v>2493</v>
      </c>
      <c r="C8131" t="s">
        <v>11153</v>
      </c>
      <c r="D8131" t="s">
        <v>17463</v>
      </c>
      <c r="E8131" t="s">
        <v>24514</v>
      </c>
      <c r="F8131" t="s">
        <v>30052</v>
      </c>
      <c r="G8131" t="s">
        <v>30058</v>
      </c>
      <c r="H8131" t="s">
        <v>15498</v>
      </c>
      <c r="I8131" t="s">
        <v>30081</v>
      </c>
      <c r="J8131" t="s">
        <v>35178</v>
      </c>
      <c r="K8131" t="s">
        <v>39017</v>
      </c>
      <c r="M8131" t="s">
        <v>41995</v>
      </c>
      <c r="N8131" t="s">
        <v>43166</v>
      </c>
      <c r="O8131" t="s">
        <v>43167</v>
      </c>
      <c r="P8131">
        <v>0</v>
      </c>
      <c r="Q8131">
        <v>0</v>
      </c>
      <c r="R8131" t="s">
        <v>43174</v>
      </c>
      <c r="S8131" t="s">
        <v>43396</v>
      </c>
      <c r="T8131" t="s">
        <v>44865</v>
      </c>
      <c r="U8131" t="s">
        <v>51777</v>
      </c>
      <c r="W8131" t="s">
        <v>41995</v>
      </c>
      <c r="X8131" t="s">
        <v>43175</v>
      </c>
    </row>
    <row r="8132" spans="1:24">
      <c r="A8132">
        <f>HYPERLINK("https://www.philgeps.gov.ph/GEPSNONPILOT/Tender/SplashBidNoticeAbstractUI.aspx?menuIndex=3&amp;refID=7073689&amp;Result=3","7073689")</f>
        <v>0</v>
      </c>
      <c r="B8132" t="s">
        <v>1979</v>
      </c>
      <c r="C8132" t="s">
        <v>11154</v>
      </c>
      <c r="D8132" t="s">
        <v>17415</v>
      </c>
      <c r="E8132" t="s">
        <v>24515</v>
      </c>
      <c r="F8132" t="s">
        <v>30052</v>
      </c>
      <c r="G8132" t="s">
        <v>30058</v>
      </c>
      <c r="H8132" t="s">
        <v>15498</v>
      </c>
      <c r="I8132" t="s">
        <v>5961</v>
      </c>
      <c r="J8132" t="s">
        <v>35179</v>
      </c>
      <c r="K8132" t="s">
        <v>39029</v>
      </c>
      <c r="M8132" t="s">
        <v>41420</v>
      </c>
      <c r="N8132" t="s">
        <v>43166</v>
      </c>
      <c r="O8132" t="s">
        <v>43167</v>
      </c>
      <c r="P8132">
        <v>0</v>
      </c>
      <c r="Q8132">
        <v>10</v>
      </c>
      <c r="R8132" t="s">
        <v>43174</v>
      </c>
      <c r="S8132" t="s">
        <v>43396</v>
      </c>
      <c r="T8132" t="s">
        <v>44796</v>
      </c>
      <c r="U8132" t="s">
        <v>51778</v>
      </c>
      <c r="V8132" t="s">
        <v>57692</v>
      </c>
      <c r="W8132" t="s">
        <v>41420</v>
      </c>
      <c r="X8132" t="s">
        <v>43175</v>
      </c>
    </row>
    <row r="8133" spans="1:24">
      <c r="A8133">
        <f>HYPERLINK("https://www.philgeps.gov.ph/GEPSNONPILOT/Tender/SplashBidNoticeAbstractUI.aspx?menuIndex=3&amp;refID=7073665&amp;Result=3","7073665")</f>
        <v>0</v>
      </c>
      <c r="B8133" t="s">
        <v>797</v>
      </c>
      <c r="C8133" t="s">
        <v>11155</v>
      </c>
      <c r="E8133" t="s">
        <v>24516</v>
      </c>
      <c r="F8133" t="s">
        <v>30052</v>
      </c>
      <c r="G8133" t="s">
        <v>30059</v>
      </c>
      <c r="H8133" t="s">
        <v>30067</v>
      </c>
      <c r="I8133" t="s">
        <v>30163</v>
      </c>
      <c r="J8133" t="s">
        <v>30277</v>
      </c>
      <c r="K8133" t="s">
        <v>39025</v>
      </c>
      <c r="M8133" t="s">
        <v>40826</v>
      </c>
      <c r="N8133" t="s">
        <v>43166</v>
      </c>
      <c r="O8133" t="s">
        <v>43167</v>
      </c>
      <c r="P8133">
        <v>0</v>
      </c>
      <c r="Q8133">
        <v>4</v>
      </c>
      <c r="R8133" t="s">
        <v>43174</v>
      </c>
      <c r="S8133" t="s">
        <v>43396</v>
      </c>
      <c r="T8133" t="s">
        <v>44777</v>
      </c>
      <c r="U8133" t="s">
        <v>51779</v>
      </c>
      <c r="W8133" t="s">
        <v>40826</v>
      </c>
      <c r="X8133" t="s">
        <v>43175</v>
      </c>
    </row>
    <row r="8134" spans="1:24">
      <c r="A8134">
        <f>HYPERLINK("https://www.philgeps.gov.ph/GEPSNONPILOT/Tender/SplashBidNoticeAbstractUI.aspx?menuIndex=3&amp;refID=7073659&amp;Result=3","7073659")</f>
        <v>0</v>
      </c>
      <c r="B8134" t="s">
        <v>141</v>
      </c>
      <c r="C8134" t="s">
        <v>11156</v>
      </c>
      <c r="D8134" t="s">
        <v>17447</v>
      </c>
      <c r="E8134" t="s">
        <v>24517</v>
      </c>
      <c r="F8134" t="s">
        <v>30052</v>
      </c>
      <c r="G8134" t="s">
        <v>30059</v>
      </c>
      <c r="H8134" t="s">
        <v>15498</v>
      </c>
      <c r="I8134" t="s">
        <v>30092</v>
      </c>
      <c r="J8134" t="s">
        <v>35180</v>
      </c>
      <c r="K8134" t="s">
        <v>39025</v>
      </c>
      <c r="M8134" t="s">
        <v>39939</v>
      </c>
      <c r="N8134" t="s">
        <v>43166</v>
      </c>
      <c r="O8134" t="s">
        <v>43167</v>
      </c>
      <c r="Q8134">
        <v>0</v>
      </c>
      <c r="R8134" t="s">
        <v>43174</v>
      </c>
      <c r="S8134" t="s">
        <v>43410</v>
      </c>
      <c r="T8134" t="s">
        <v>44843</v>
      </c>
      <c r="U8134" t="s">
        <v>51780</v>
      </c>
      <c r="V8134" t="s">
        <v>57693</v>
      </c>
      <c r="W8134" t="s">
        <v>39939</v>
      </c>
      <c r="X8134" t="s">
        <v>43175</v>
      </c>
    </row>
    <row r="8135" spans="1:24">
      <c r="A8135">
        <f>HYPERLINK("https://www.philgeps.gov.ph/GEPSNONPILOT/Tender/SplashBidNoticeAbstractUI.aspx?menuIndex=3&amp;refID=7073654&amp;Result=3","7073654")</f>
        <v>0</v>
      </c>
      <c r="B8135" t="s">
        <v>2486</v>
      </c>
      <c r="C8135" t="s">
        <v>11157</v>
      </c>
      <c r="D8135" t="s">
        <v>17463</v>
      </c>
      <c r="E8135" t="s">
        <v>24518</v>
      </c>
      <c r="F8135" t="s">
        <v>30052</v>
      </c>
      <c r="G8135" t="s">
        <v>30058</v>
      </c>
      <c r="H8135" t="s">
        <v>15498</v>
      </c>
      <c r="I8135" t="s">
        <v>30081</v>
      </c>
      <c r="J8135" t="s">
        <v>31199</v>
      </c>
      <c r="K8135" t="s">
        <v>39019</v>
      </c>
      <c r="M8135" t="s">
        <v>41987</v>
      </c>
      <c r="N8135" t="s">
        <v>43166</v>
      </c>
      <c r="O8135" t="s">
        <v>43167</v>
      </c>
      <c r="P8135">
        <v>0</v>
      </c>
      <c r="Q8135">
        <v>0</v>
      </c>
      <c r="R8135" t="s">
        <v>43174</v>
      </c>
      <c r="S8135" t="s">
        <v>43396</v>
      </c>
      <c r="T8135" t="s">
        <v>44717</v>
      </c>
      <c r="U8135" t="s">
        <v>51765</v>
      </c>
      <c r="W8135" t="s">
        <v>41987</v>
      </c>
      <c r="X8135" t="s">
        <v>43175</v>
      </c>
    </row>
    <row r="8136" spans="1:24">
      <c r="A8136">
        <f>HYPERLINK("https://www.philgeps.gov.ph/GEPSNONPILOT/Tender/SplashBidNoticeAbstractUI.aspx?menuIndex=3&amp;refID=7073658&amp;Result=3","7073658")</f>
        <v>0</v>
      </c>
      <c r="B8136" t="s">
        <v>2216</v>
      </c>
      <c r="C8136" t="s">
        <v>11158</v>
      </c>
      <c r="D8136" t="s">
        <v>17441</v>
      </c>
      <c r="E8136" t="s">
        <v>24519</v>
      </c>
      <c r="F8136" t="s">
        <v>30052</v>
      </c>
      <c r="G8136" t="s">
        <v>30058</v>
      </c>
      <c r="H8136" t="s">
        <v>15498</v>
      </c>
      <c r="I8136" t="s">
        <v>30084</v>
      </c>
      <c r="J8136" t="s">
        <v>35181</v>
      </c>
      <c r="K8136" t="s">
        <v>39029</v>
      </c>
      <c r="M8136" t="s">
        <v>41686</v>
      </c>
      <c r="N8136" t="s">
        <v>43166</v>
      </c>
      <c r="O8136" t="s">
        <v>43167</v>
      </c>
      <c r="P8136">
        <v>0</v>
      </c>
      <c r="Q8136">
        <v>4</v>
      </c>
      <c r="R8136" t="s">
        <v>43174</v>
      </c>
      <c r="S8136" t="s">
        <v>43396</v>
      </c>
      <c r="T8136" t="s">
        <v>44888</v>
      </c>
      <c r="U8136" t="s">
        <v>51781</v>
      </c>
      <c r="W8136" t="s">
        <v>41686</v>
      </c>
      <c r="X8136" t="s">
        <v>43175</v>
      </c>
    </row>
    <row r="8137" spans="1:24">
      <c r="A8137">
        <f>HYPERLINK("https://www.philgeps.gov.ph/GEPSNONPILOT/Tender/SplashBidNoticeAbstractUI.aspx?menuIndex=3&amp;refID=7073757&amp;Result=3","7073757")</f>
        <v>0</v>
      </c>
      <c r="B8137" t="s">
        <v>1773</v>
      </c>
      <c r="C8137" t="s">
        <v>11159</v>
      </c>
      <c r="D8137" t="s">
        <v>17486</v>
      </c>
      <c r="E8137" t="s">
        <v>24520</v>
      </c>
      <c r="F8137" t="s">
        <v>30052</v>
      </c>
      <c r="G8137" t="s">
        <v>30061</v>
      </c>
      <c r="H8137" t="s">
        <v>15498</v>
      </c>
      <c r="I8137" t="s">
        <v>30070</v>
      </c>
      <c r="J8137" t="s">
        <v>31713</v>
      </c>
      <c r="K8137" t="s">
        <v>39017</v>
      </c>
      <c r="M8137" t="s">
        <v>41193</v>
      </c>
      <c r="N8137" t="s">
        <v>43166</v>
      </c>
      <c r="O8137" t="s">
        <v>43167</v>
      </c>
      <c r="P8137">
        <v>0</v>
      </c>
      <c r="Q8137">
        <v>0</v>
      </c>
      <c r="R8137" t="s">
        <v>43174</v>
      </c>
      <c r="S8137" t="s">
        <v>43396</v>
      </c>
      <c r="T8137" t="s">
        <v>44862</v>
      </c>
      <c r="U8137" t="s">
        <v>51782</v>
      </c>
      <c r="W8137" t="s">
        <v>41193</v>
      </c>
      <c r="X8137" t="s">
        <v>43175</v>
      </c>
    </row>
    <row r="8138" spans="1:24">
      <c r="A8138">
        <f>HYPERLINK("https://www.philgeps.gov.ph/GEPSNONPILOT/Tender/SplashBidNoticeAbstractUI.aspx?menuIndex=3&amp;refID=7073684&amp;Result=3","7073684")</f>
        <v>0</v>
      </c>
      <c r="B8138" t="s">
        <v>2470</v>
      </c>
      <c r="C8138" t="s">
        <v>11160</v>
      </c>
      <c r="D8138" t="s">
        <v>17419</v>
      </c>
      <c r="E8138" t="s">
        <v>24521</v>
      </c>
      <c r="F8138" t="s">
        <v>30052</v>
      </c>
      <c r="G8138" t="s">
        <v>30058</v>
      </c>
      <c r="H8138" t="s">
        <v>30067</v>
      </c>
      <c r="I8138" t="s">
        <v>3693</v>
      </c>
      <c r="J8138" t="s">
        <v>35182</v>
      </c>
      <c r="K8138" t="s">
        <v>39022</v>
      </c>
      <c r="M8138" t="s">
        <v>41970</v>
      </c>
      <c r="N8138" t="s">
        <v>43166</v>
      </c>
      <c r="O8138" t="s">
        <v>43167</v>
      </c>
      <c r="P8138">
        <v>0</v>
      </c>
      <c r="Q8138">
        <v>0</v>
      </c>
      <c r="R8138" t="s">
        <v>43174</v>
      </c>
      <c r="S8138" t="s">
        <v>43396</v>
      </c>
      <c r="T8138" t="s">
        <v>45005</v>
      </c>
      <c r="U8138" t="s">
        <v>51783</v>
      </c>
      <c r="W8138" t="s">
        <v>41970</v>
      </c>
      <c r="X8138" t="s">
        <v>43175</v>
      </c>
    </row>
    <row r="8139" spans="1:24">
      <c r="A8139">
        <f>HYPERLINK("https://www.philgeps.gov.ph/GEPSNONPILOT/Tender/SplashBidNoticeAbstractUI.aspx?menuIndex=3&amp;refID=7073602&amp;Result=3","7073602")</f>
        <v>0</v>
      </c>
      <c r="B8139" t="s">
        <v>149</v>
      </c>
      <c r="C8139" t="s">
        <v>11161</v>
      </c>
      <c r="D8139" t="s">
        <v>17449</v>
      </c>
      <c r="E8139" t="s">
        <v>24522</v>
      </c>
      <c r="F8139" t="s">
        <v>30052</v>
      </c>
      <c r="G8139" t="s">
        <v>30059</v>
      </c>
      <c r="H8139" t="s">
        <v>15498</v>
      </c>
      <c r="I8139" t="s">
        <v>3606</v>
      </c>
      <c r="J8139" t="s">
        <v>35183</v>
      </c>
      <c r="K8139" t="s">
        <v>39039</v>
      </c>
      <c r="M8139" t="s">
        <v>39438</v>
      </c>
      <c r="N8139" t="s">
        <v>43166</v>
      </c>
      <c r="O8139" t="s">
        <v>43167</v>
      </c>
      <c r="P8139">
        <v>0</v>
      </c>
      <c r="Q8139">
        <v>0</v>
      </c>
      <c r="R8139" t="s">
        <v>43174</v>
      </c>
      <c r="S8139" t="s">
        <v>43396</v>
      </c>
      <c r="T8139" t="s">
        <v>44870</v>
      </c>
      <c r="U8139" t="s">
        <v>51784</v>
      </c>
      <c r="W8139" t="s">
        <v>39438</v>
      </c>
      <c r="X8139" t="s">
        <v>43175</v>
      </c>
    </row>
    <row r="8140" spans="1:24">
      <c r="A8140">
        <f>HYPERLINK("https://www.philgeps.gov.ph/GEPSNONPILOT/Tender/SplashBidNoticeAbstractUI.aspx?menuIndex=3&amp;refID=7073752&amp;Result=3","7073752")</f>
        <v>0</v>
      </c>
      <c r="B8140" t="s">
        <v>1412</v>
      </c>
      <c r="C8140" t="s">
        <v>11162</v>
      </c>
      <c r="D8140" t="s">
        <v>17444</v>
      </c>
      <c r="E8140" t="s">
        <v>24523</v>
      </c>
      <c r="F8140" t="s">
        <v>30052</v>
      </c>
      <c r="G8140" t="s">
        <v>30058</v>
      </c>
      <c r="H8140" t="s">
        <v>15498</v>
      </c>
      <c r="I8140" t="s">
        <v>30073</v>
      </c>
      <c r="J8140" t="s">
        <v>30605</v>
      </c>
      <c r="K8140" t="s">
        <v>39029</v>
      </c>
      <c r="M8140" t="s">
        <v>40790</v>
      </c>
      <c r="N8140" t="s">
        <v>43166</v>
      </c>
      <c r="O8140" t="s">
        <v>43167</v>
      </c>
      <c r="P8140">
        <v>0</v>
      </c>
      <c r="Q8140">
        <v>0</v>
      </c>
      <c r="R8140" t="s">
        <v>43174</v>
      </c>
      <c r="S8140" t="s">
        <v>43396</v>
      </c>
      <c r="T8140" t="s">
        <v>44843</v>
      </c>
      <c r="U8140" t="s">
        <v>48365</v>
      </c>
      <c r="V8140" t="s">
        <v>57275</v>
      </c>
      <c r="W8140" t="s">
        <v>40790</v>
      </c>
      <c r="X8140" t="s">
        <v>43175</v>
      </c>
    </row>
    <row r="8141" spans="1:24">
      <c r="A8141">
        <f>HYPERLINK("https://www.philgeps.gov.ph/GEPSNONPILOT/Tender/SplashBidNoticeAbstractUI.aspx?menuIndex=3&amp;refID=7073738&amp;Result=3","7073738")</f>
        <v>0</v>
      </c>
      <c r="B8141" t="s">
        <v>2494</v>
      </c>
      <c r="C8141" t="s">
        <v>11163</v>
      </c>
      <c r="D8141" t="s">
        <v>17422</v>
      </c>
      <c r="E8141" t="s">
        <v>24524</v>
      </c>
      <c r="F8141" t="s">
        <v>30052</v>
      </c>
      <c r="G8141" t="s">
        <v>30058</v>
      </c>
      <c r="H8141" t="s">
        <v>15498</v>
      </c>
      <c r="I8141" t="s">
        <v>5961</v>
      </c>
      <c r="J8141" t="s">
        <v>31660</v>
      </c>
      <c r="K8141" t="s">
        <v>39034</v>
      </c>
      <c r="M8141" t="s">
        <v>41996</v>
      </c>
      <c r="N8141" t="s">
        <v>43166</v>
      </c>
      <c r="O8141" t="s">
        <v>43167</v>
      </c>
      <c r="P8141">
        <v>0</v>
      </c>
      <c r="Q8141">
        <v>0</v>
      </c>
      <c r="R8141" t="s">
        <v>43174</v>
      </c>
      <c r="S8141" t="s">
        <v>43396</v>
      </c>
      <c r="T8141" t="s">
        <v>45086</v>
      </c>
      <c r="U8141" t="s">
        <v>51785</v>
      </c>
      <c r="W8141" t="s">
        <v>41996</v>
      </c>
      <c r="X8141" t="s">
        <v>43175</v>
      </c>
    </row>
    <row r="8142" spans="1:24">
      <c r="A8142">
        <f>HYPERLINK("https://www.philgeps.gov.ph/GEPSNONPILOT/Tender/SplashBidNoticeAbstractUI.aspx?menuIndex=3&amp;refID=7073734&amp;Result=3","7073734")</f>
        <v>0</v>
      </c>
      <c r="B8142" t="s">
        <v>2477</v>
      </c>
      <c r="C8142" t="s">
        <v>11164</v>
      </c>
      <c r="D8142" t="s">
        <v>17417</v>
      </c>
      <c r="E8142" t="s">
        <v>24525</v>
      </c>
      <c r="F8142" t="s">
        <v>30052</v>
      </c>
      <c r="G8142" t="s">
        <v>30058</v>
      </c>
      <c r="H8142" t="s">
        <v>15498</v>
      </c>
      <c r="I8142" t="s">
        <v>30097</v>
      </c>
      <c r="J8142" t="s">
        <v>35152</v>
      </c>
      <c r="K8142" t="s">
        <v>39023</v>
      </c>
      <c r="M8142" t="s">
        <v>41977</v>
      </c>
      <c r="N8142" t="s">
        <v>43166</v>
      </c>
      <c r="O8142" t="s">
        <v>43167</v>
      </c>
      <c r="P8142">
        <v>0</v>
      </c>
      <c r="Q8142">
        <v>0</v>
      </c>
      <c r="R8142" t="s">
        <v>43174</v>
      </c>
      <c r="S8142" t="s">
        <v>43396</v>
      </c>
      <c r="T8142" t="s">
        <v>44815</v>
      </c>
      <c r="U8142" t="s">
        <v>51786</v>
      </c>
      <c r="W8142" t="s">
        <v>41977</v>
      </c>
      <c r="X8142" t="s">
        <v>43175</v>
      </c>
    </row>
    <row r="8143" spans="1:24">
      <c r="A8143">
        <f>HYPERLINK("https://www.philgeps.gov.ph/GEPSNONPILOT/Tender/SplashBidNoticeAbstractUI.aspx?menuIndex=3&amp;refID=7073733&amp;Result=3","7073733")</f>
        <v>0</v>
      </c>
      <c r="B8143" t="s">
        <v>908</v>
      </c>
      <c r="C8143" t="s">
        <v>11165</v>
      </c>
      <c r="D8143" t="s">
        <v>17415</v>
      </c>
      <c r="E8143" t="s">
        <v>24526</v>
      </c>
      <c r="F8143" t="s">
        <v>30052</v>
      </c>
      <c r="G8143" t="s">
        <v>30058</v>
      </c>
      <c r="H8143" t="s">
        <v>30068</v>
      </c>
      <c r="I8143" t="s">
        <v>30068</v>
      </c>
      <c r="J8143" t="s">
        <v>35184</v>
      </c>
      <c r="K8143" t="s">
        <v>39022</v>
      </c>
      <c r="M8143" t="s">
        <v>41997</v>
      </c>
      <c r="N8143" t="s">
        <v>43166</v>
      </c>
      <c r="O8143" t="s">
        <v>43167</v>
      </c>
      <c r="P8143">
        <v>0</v>
      </c>
      <c r="Q8143">
        <v>6</v>
      </c>
      <c r="R8143" t="s">
        <v>43174</v>
      </c>
      <c r="S8143" t="s">
        <v>43396</v>
      </c>
      <c r="T8143" t="s">
        <v>45044</v>
      </c>
      <c r="U8143" t="s">
        <v>51787</v>
      </c>
      <c r="W8143" t="s">
        <v>41997</v>
      </c>
      <c r="X8143" t="s">
        <v>43175</v>
      </c>
    </row>
    <row r="8144" spans="1:24">
      <c r="A8144">
        <f>HYPERLINK("https://www.philgeps.gov.ph/GEPSNONPILOT/Tender/SplashBidNoticeAbstractUI.aspx?menuIndex=3&amp;refID=7073755&amp;Result=3","7073755")</f>
        <v>0</v>
      </c>
      <c r="B8144" t="s">
        <v>2495</v>
      </c>
      <c r="C8144" t="s">
        <v>11166</v>
      </c>
      <c r="D8144" t="s">
        <v>17471</v>
      </c>
      <c r="E8144" t="s">
        <v>24527</v>
      </c>
      <c r="F8144" t="s">
        <v>30052</v>
      </c>
      <c r="G8144" t="s">
        <v>30058</v>
      </c>
      <c r="H8144" t="s">
        <v>15498</v>
      </c>
      <c r="I8144" t="s">
        <v>30071</v>
      </c>
      <c r="J8144" t="s">
        <v>35185</v>
      </c>
      <c r="K8144" t="s">
        <v>39029</v>
      </c>
      <c r="M8144" t="s">
        <v>41998</v>
      </c>
      <c r="N8144" t="s">
        <v>43166</v>
      </c>
      <c r="O8144" t="s">
        <v>43167</v>
      </c>
      <c r="P8144">
        <v>0</v>
      </c>
      <c r="Q8144">
        <v>0</v>
      </c>
      <c r="R8144" t="s">
        <v>43174</v>
      </c>
      <c r="S8144" t="s">
        <v>43396</v>
      </c>
      <c r="T8144" t="s">
        <v>44844</v>
      </c>
      <c r="U8144" t="s">
        <v>51788</v>
      </c>
      <c r="W8144" t="s">
        <v>41998</v>
      </c>
      <c r="X8144" t="s">
        <v>43175</v>
      </c>
    </row>
    <row r="8145" spans="1:24">
      <c r="A8145">
        <f>HYPERLINK("https://www.philgeps.gov.ph/GEPSNONPILOT/Tender/SplashBidNoticeAbstractUI.aspx?menuIndex=3&amp;refID=7073732&amp;Result=3","7073732")</f>
        <v>0</v>
      </c>
      <c r="B8145" t="s">
        <v>1412</v>
      </c>
      <c r="C8145" t="s">
        <v>11167</v>
      </c>
      <c r="D8145" t="s">
        <v>17444</v>
      </c>
      <c r="E8145" t="s">
        <v>24528</v>
      </c>
      <c r="F8145" t="s">
        <v>30052</v>
      </c>
      <c r="G8145" t="s">
        <v>30058</v>
      </c>
      <c r="H8145" t="s">
        <v>15498</v>
      </c>
      <c r="I8145" t="s">
        <v>30073</v>
      </c>
      <c r="J8145" t="s">
        <v>30594</v>
      </c>
      <c r="K8145" t="s">
        <v>39029</v>
      </c>
      <c r="M8145" t="s">
        <v>40790</v>
      </c>
      <c r="N8145" t="s">
        <v>43166</v>
      </c>
      <c r="O8145" t="s">
        <v>43167</v>
      </c>
      <c r="P8145">
        <v>0</v>
      </c>
      <c r="Q8145">
        <v>0</v>
      </c>
      <c r="R8145" t="s">
        <v>43174</v>
      </c>
      <c r="S8145" t="s">
        <v>43396</v>
      </c>
      <c r="T8145" t="s">
        <v>44843</v>
      </c>
      <c r="U8145" t="s">
        <v>48365</v>
      </c>
      <c r="V8145" t="s">
        <v>57275</v>
      </c>
      <c r="W8145" t="s">
        <v>40790</v>
      </c>
      <c r="X8145" t="s">
        <v>43175</v>
      </c>
    </row>
    <row r="8146" spans="1:24">
      <c r="A8146">
        <f>HYPERLINK("https://www.philgeps.gov.ph/GEPSNONPILOT/Tender/SplashBidNoticeAbstractUI.aspx?menuIndex=3&amp;refID=7073736&amp;Result=3","7073736")</f>
        <v>0</v>
      </c>
      <c r="B8146" t="s">
        <v>1730</v>
      </c>
      <c r="C8146" t="s">
        <v>11168</v>
      </c>
      <c r="D8146" t="s">
        <v>17423</v>
      </c>
      <c r="E8146" t="s">
        <v>24529</v>
      </c>
      <c r="F8146" t="s">
        <v>30052</v>
      </c>
      <c r="G8146" t="s">
        <v>30058</v>
      </c>
      <c r="H8146" t="s">
        <v>15498</v>
      </c>
      <c r="I8146" t="s">
        <v>30120</v>
      </c>
      <c r="J8146" t="s">
        <v>35186</v>
      </c>
      <c r="K8146" t="s">
        <v>39019</v>
      </c>
      <c r="M8146" t="s">
        <v>41999</v>
      </c>
      <c r="N8146" t="s">
        <v>43166</v>
      </c>
      <c r="O8146" t="s">
        <v>43167</v>
      </c>
      <c r="P8146">
        <v>0</v>
      </c>
      <c r="Q8146">
        <v>3</v>
      </c>
      <c r="R8146" t="s">
        <v>43174</v>
      </c>
      <c r="S8146" t="s">
        <v>43396</v>
      </c>
      <c r="T8146" t="s">
        <v>45006</v>
      </c>
      <c r="U8146" t="s">
        <v>51789</v>
      </c>
      <c r="W8146" t="s">
        <v>41999</v>
      </c>
      <c r="X8146" t="s">
        <v>43175</v>
      </c>
    </row>
    <row r="8147" spans="1:24">
      <c r="A8147">
        <f>HYPERLINK("https://www.philgeps.gov.ph/GEPSNONPILOT/Tender/SplashBidNoticeAbstractUI.aspx?menuIndex=3&amp;refID=7073727&amp;Result=3","7073727")</f>
        <v>0</v>
      </c>
      <c r="B8147" t="s">
        <v>2496</v>
      </c>
      <c r="C8147" t="s">
        <v>11169</v>
      </c>
      <c r="D8147" t="s">
        <v>17438</v>
      </c>
      <c r="E8147" t="s">
        <v>23171</v>
      </c>
      <c r="F8147" t="s">
        <v>30052</v>
      </c>
      <c r="G8147" t="s">
        <v>30058</v>
      </c>
      <c r="H8147" t="s">
        <v>15498</v>
      </c>
      <c r="I8147" t="s">
        <v>3736</v>
      </c>
      <c r="J8147" t="s">
        <v>35187</v>
      </c>
      <c r="K8147" t="s">
        <v>39029</v>
      </c>
      <c r="M8147" t="s">
        <v>42000</v>
      </c>
      <c r="N8147" t="s">
        <v>43166</v>
      </c>
      <c r="O8147" t="s">
        <v>43167</v>
      </c>
      <c r="P8147">
        <v>0</v>
      </c>
      <c r="Q8147">
        <v>3</v>
      </c>
      <c r="R8147" t="s">
        <v>43174</v>
      </c>
      <c r="S8147" t="s">
        <v>43396</v>
      </c>
      <c r="T8147" t="s">
        <v>44717</v>
      </c>
      <c r="U8147" t="s">
        <v>51790</v>
      </c>
      <c r="W8147" t="s">
        <v>42000</v>
      </c>
      <c r="X8147" t="s">
        <v>43175</v>
      </c>
    </row>
    <row r="8148" spans="1:24">
      <c r="A8148">
        <f>HYPERLINK("https://www.philgeps.gov.ph/GEPSNONPILOT/Tender/SplashBidNoticeAbstractUI.aspx?menuIndex=3&amp;refID=7073722&amp;Result=3","7073722")</f>
        <v>0</v>
      </c>
      <c r="B8148" t="s">
        <v>705</v>
      </c>
      <c r="C8148" t="s">
        <v>11170</v>
      </c>
      <c r="D8148" t="s">
        <v>17414</v>
      </c>
      <c r="E8148" t="s">
        <v>24530</v>
      </c>
      <c r="F8148" t="s">
        <v>30052</v>
      </c>
      <c r="G8148" t="s">
        <v>30058</v>
      </c>
      <c r="H8148" t="s">
        <v>15498</v>
      </c>
      <c r="I8148" t="s">
        <v>30092</v>
      </c>
      <c r="J8148" t="s">
        <v>35188</v>
      </c>
      <c r="K8148" t="s">
        <v>39064</v>
      </c>
      <c r="M8148" t="s">
        <v>40014</v>
      </c>
      <c r="N8148" t="s">
        <v>43166</v>
      </c>
      <c r="O8148" t="s">
        <v>43167</v>
      </c>
      <c r="P8148">
        <v>0</v>
      </c>
      <c r="Q8148">
        <v>2</v>
      </c>
      <c r="R8148" t="s">
        <v>43174</v>
      </c>
      <c r="S8148" t="s">
        <v>43396</v>
      </c>
      <c r="T8148" t="s">
        <v>45087</v>
      </c>
      <c r="U8148" t="s">
        <v>51791</v>
      </c>
      <c r="V8148" t="s">
        <v>57694</v>
      </c>
      <c r="W8148" t="s">
        <v>40014</v>
      </c>
      <c r="X8148" t="s">
        <v>43175</v>
      </c>
    </row>
    <row r="8149" spans="1:24">
      <c r="A8149">
        <f>HYPERLINK("https://www.philgeps.gov.ph/GEPSNONPILOT/Tender/SplashBidNoticeAbstractUI.aspx?menuIndex=3&amp;refID=7073719&amp;Result=3","7073719")</f>
        <v>0</v>
      </c>
      <c r="B8149" t="s">
        <v>2497</v>
      </c>
      <c r="C8149" t="s">
        <v>11171</v>
      </c>
      <c r="D8149" t="s">
        <v>17460</v>
      </c>
      <c r="E8149" t="s">
        <v>24531</v>
      </c>
      <c r="F8149" t="s">
        <v>30052</v>
      </c>
      <c r="G8149" t="s">
        <v>30058</v>
      </c>
      <c r="H8149" t="s">
        <v>15498</v>
      </c>
      <c r="I8149" t="s">
        <v>3606</v>
      </c>
      <c r="J8149" t="s">
        <v>35189</v>
      </c>
      <c r="K8149" t="s">
        <v>39029</v>
      </c>
      <c r="M8149" t="s">
        <v>42001</v>
      </c>
      <c r="N8149" t="s">
        <v>43166</v>
      </c>
      <c r="O8149" t="s">
        <v>43167</v>
      </c>
      <c r="P8149">
        <v>0</v>
      </c>
      <c r="Q8149">
        <v>2</v>
      </c>
      <c r="R8149" t="s">
        <v>43174</v>
      </c>
      <c r="S8149" t="s">
        <v>43396</v>
      </c>
      <c r="T8149" t="s">
        <v>44870</v>
      </c>
      <c r="U8149" t="s">
        <v>48334</v>
      </c>
      <c r="W8149" t="s">
        <v>42001</v>
      </c>
      <c r="X8149" t="s">
        <v>43175</v>
      </c>
    </row>
    <row r="8150" spans="1:24">
      <c r="A8150">
        <f>HYPERLINK("https://www.philgeps.gov.ph/GEPSNONPILOT/Tender/SplashBidNoticeAbstractUI.aspx?menuIndex=3&amp;refID=7073711&amp;Result=3","7073711")</f>
        <v>0</v>
      </c>
      <c r="B8150" t="s">
        <v>1550</v>
      </c>
      <c r="C8150" t="s">
        <v>11172</v>
      </c>
      <c r="D8150" t="s">
        <v>17426</v>
      </c>
      <c r="E8150" t="s">
        <v>18240</v>
      </c>
      <c r="F8150" t="s">
        <v>30052</v>
      </c>
      <c r="G8150" t="s">
        <v>30058</v>
      </c>
      <c r="H8150" t="s">
        <v>30067</v>
      </c>
      <c r="I8150" t="s">
        <v>3693</v>
      </c>
      <c r="J8150" t="s">
        <v>30281</v>
      </c>
      <c r="K8150" t="s">
        <v>39026</v>
      </c>
      <c r="M8150" t="s">
        <v>40938</v>
      </c>
      <c r="N8150" t="s">
        <v>43166</v>
      </c>
      <c r="O8150" t="s">
        <v>43167</v>
      </c>
      <c r="P8150">
        <v>0</v>
      </c>
      <c r="Q8150">
        <v>2</v>
      </c>
      <c r="R8150" t="s">
        <v>43174</v>
      </c>
      <c r="S8150" t="s">
        <v>43396</v>
      </c>
      <c r="T8150" t="s">
        <v>44873</v>
      </c>
      <c r="U8150" t="s">
        <v>51792</v>
      </c>
      <c r="V8150" t="s">
        <v>57304</v>
      </c>
      <c r="W8150" t="s">
        <v>40938</v>
      </c>
      <c r="X8150" t="s">
        <v>43175</v>
      </c>
    </row>
    <row r="8151" spans="1:24">
      <c r="A8151">
        <f>HYPERLINK("https://www.philgeps.gov.ph/GEPSNONPILOT/Tender/SplashBidNoticeAbstractUI.aspx?menuIndex=3&amp;refID=7073535&amp;Result=3","7073535")</f>
        <v>0</v>
      </c>
      <c r="B8151" t="s">
        <v>684</v>
      </c>
      <c r="C8151" t="s">
        <v>11173</v>
      </c>
      <c r="D8151" t="s">
        <v>17473</v>
      </c>
      <c r="E8151" t="s">
        <v>11173</v>
      </c>
      <c r="F8151" t="s">
        <v>30052</v>
      </c>
      <c r="G8151" t="s">
        <v>30058</v>
      </c>
      <c r="H8151" t="s">
        <v>15498</v>
      </c>
      <c r="I8151" t="s">
        <v>5961</v>
      </c>
      <c r="J8151" t="s">
        <v>30555</v>
      </c>
      <c r="K8151" t="s">
        <v>39026</v>
      </c>
      <c r="M8151" t="s">
        <v>39999</v>
      </c>
      <c r="N8151" t="s">
        <v>43166</v>
      </c>
      <c r="O8151" t="s">
        <v>43167</v>
      </c>
      <c r="P8151">
        <v>0</v>
      </c>
      <c r="Q8151">
        <v>9</v>
      </c>
      <c r="R8151" t="s">
        <v>43174</v>
      </c>
      <c r="S8151" t="s">
        <v>43396</v>
      </c>
      <c r="T8151" t="s">
        <v>44945</v>
      </c>
      <c r="U8151" t="s">
        <v>51793</v>
      </c>
      <c r="W8151" t="s">
        <v>39999</v>
      </c>
      <c r="X8151" t="s">
        <v>43175</v>
      </c>
    </row>
    <row r="8152" spans="1:24">
      <c r="A8152">
        <f>HYPERLINK("https://www.philgeps.gov.ph/GEPSNONPILOT/Tender/SplashBidNoticeAbstractUI.aspx?menuIndex=3&amp;refID=7073710&amp;Result=3","7073710")</f>
        <v>0</v>
      </c>
      <c r="B8152" t="s">
        <v>1730</v>
      </c>
      <c r="C8152" t="s">
        <v>11174</v>
      </c>
      <c r="D8152" t="s">
        <v>17423</v>
      </c>
      <c r="E8152" t="s">
        <v>24532</v>
      </c>
      <c r="F8152" t="s">
        <v>30052</v>
      </c>
      <c r="G8152" t="s">
        <v>30058</v>
      </c>
      <c r="H8152" t="s">
        <v>15498</v>
      </c>
      <c r="I8152" t="s">
        <v>3736</v>
      </c>
      <c r="J8152" t="s">
        <v>35190</v>
      </c>
      <c r="K8152" t="s">
        <v>39019</v>
      </c>
      <c r="M8152" t="s">
        <v>41999</v>
      </c>
      <c r="N8152" t="s">
        <v>43166</v>
      </c>
      <c r="O8152" t="s">
        <v>43167</v>
      </c>
      <c r="P8152">
        <v>0</v>
      </c>
      <c r="Q8152">
        <v>0</v>
      </c>
      <c r="R8152" t="s">
        <v>43174</v>
      </c>
      <c r="S8152" t="s">
        <v>43396</v>
      </c>
      <c r="T8152" t="s">
        <v>45006</v>
      </c>
      <c r="U8152" t="s">
        <v>51794</v>
      </c>
      <c r="W8152" t="s">
        <v>41999</v>
      </c>
      <c r="X8152" t="s">
        <v>43175</v>
      </c>
    </row>
    <row r="8153" spans="1:24">
      <c r="A8153">
        <f>HYPERLINK("https://www.philgeps.gov.ph/GEPSNONPILOT/Tender/SplashBidNoticeAbstractUI.aspx?menuIndex=3&amp;refID=7073708&amp;Result=3","7073708")</f>
        <v>0</v>
      </c>
      <c r="B8153" t="s">
        <v>1412</v>
      </c>
      <c r="C8153" t="s">
        <v>11175</v>
      </c>
      <c r="D8153" t="s">
        <v>17444</v>
      </c>
      <c r="E8153" t="s">
        <v>24533</v>
      </c>
      <c r="F8153" t="s">
        <v>30052</v>
      </c>
      <c r="G8153" t="s">
        <v>30058</v>
      </c>
      <c r="H8153" t="s">
        <v>15498</v>
      </c>
      <c r="I8153" t="s">
        <v>30081</v>
      </c>
      <c r="J8153" t="s">
        <v>30209</v>
      </c>
      <c r="K8153" t="s">
        <v>39029</v>
      </c>
      <c r="M8153" t="s">
        <v>40790</v>
      </c>
      <c r="N8153" t="s">
        <v>43166</v>
      </c>
      <c r="O8153" t="s">
        <v>43167</v>
      </c>
      <c r="P8153">
        <v>0</v>
      </c>
      <c r="Q8153">
        <v>0</v>
      </c>
      <c r="R8153" t="s">
        <v>43174</v>
      </c>
      <c r="S8153" t="s">
        <v>43396</v>
      </c>
      <c r="T8153" t="s">
        <v>44843</v>
      </c>
      <c r="U8153" t="s">
        <v>48365</v>
      </c>
      <c r="V8153" t="s">
        <v>57275</v>
      </c>
      <c r="W8153" t="s">
        <v>40790</v>
      </c>
      <c r="X8153" t="s">
        <v>43175</v>
      </c>
    </row>
    <row r="8154" spans="1:24">
      <c r="A8154">
        <f>HYPERLINK("https://www.philgeps.gov.ph/GEPSNONPILOT/Tender/SplashBidNoticeAbstractUI.aspx?menuIndex=3&amp;refID=7073701&amp;Result=3","7073701")</f>
        <v>0</v>
      </c>
      <c r="B8154" t="s">
        <v>2491</v>
      </c>
      <c r="C8154" t="s">
        <v>11176</v>
      </c>
      <c r="D8154" t="s">
        <v>17415</v>
      </c>
      <c r="E8154" t="s">
        <v>24534</v>
      </c>
      <c r="F8154" t="s">
        <v>30052</v>
      </c>
      <c r="G8154" t="s">
        <v>30058</v>
      </c>
      <c r="H8154" t="s">
        <v>15498</v>
      </c>
      <c r="I8154" t="s">
        <v>3736</v>
      </c>
      <c r="J8154" t="s">
        <v>30248</v>
      </c>
      <c r="K8154" t="s">
        <v>39036</v>
      </c>
      <c r="M8154" t="s">
        <v>41993</v>
      </c>
      <c r="N8154" t="s">
        <v>43166</v>
      </c>
      <c r="O8154" t="s">
        <v>43167</v>
      </c>
      <c r="P8154">
        <v>0</v>
      </c>
      <c r="Q8154">
        <v>0</v>
      </c>
      <c r="R8154" t="s">
        <v>43174</v>
      </c>
      <c r="S8154" t="s">
        <v>43396</v>
      </c>
      <c r="T8154" t="s">
        <v>44717</v>
      </c>
      <c r="U8154" t="s">
        <v>51795</v>
      </c>
      <c r="W8154" t="s">
        <v>41993</v>
      </c>
      <c r="X8154" t="s">
        <v>43175</v>
      </c>
    </row>
    <row r="8155" spans="1:24">
      <c r="A8155">
        <f>HYPERLINK("https://www.philgeps.gov.ph/GEPSNONPILOT/Tender/SplashBidNoticeAbstractUI.aspx?menuIndex=3&amp;refID=7073729&amp;Result=3","7073729")</f>
        <v>0</v>
      </c>
      <c r="B8155" t="s">
        <v>2098</v>
      </c>
      <c r="C8155" t="s">
        <v>11177</v>
      </c>
      <c r="D8155" t="s">
        <v>17414</v>
      </c>
      <c r="E8155" t="s">
        <v>24535</v>
      </c>
      <c r="F8155" t="s">
        <v>30052</v>
      </c>
      <c r="G8155" t="s">
        <v>30059</v>
      </c>
      <c r="H8155" t="s">
        <v>15498</v>
      </c>
      <c r="I8155" t="s">
        <v>3852</v>
      </c>
      <c r="J8155" t="s">
        <v>35191</v>
      </c>
      <c r="K8155" t="s">
        <v>39017</v>
      </c>
      <c r="M8155" t="s">
        <v>42002</v>
      </c>
      <c r="N8155" t="s">
        <v>43166</v>
      </c>
      <c r="O8155" t="s">
        <v>43167</v>
      </c>
      <c r="P8155">
        <v>0</v>
      </c>
      <c r="Q8155">
        <v>0</v>
      </c>
      <c r="R8155" t="s">
        <v>43174</v>
      </c>
      <c r="S8155" t="s">
        <v>43396</v>
      </c>
      <c r="T8155" t="s">
        <v>44777</v>
      </c>
      <c r="U8155" t="s">
        <v>51796</v>
      </c>
      <c r="W8155" t="s">
        <v>42002</v>
      </c>
      <c r="X8155" t="s">
        <v>43175</v>
      </c>
    </row>
    <row r="8156" spans="1:24">
      <c r="A8156">
        <f>HYPERLINK("https://www.philgeps.gov.ph/GEPSNONPILOT/Tender/SplashBidNoticeAbstractUI.aspx?menuIndex=3&amp;refID=7073698&amp;Result=3","7073698")</f>
        <v>0</v>
      </c>
      <c r="B8156" t="s">
        <v>2471</v>
      </c>
      <c r="C8156" t="s">
        <v>11178</v>
      </c>
      <c r="D8156" t="s">
        <v>17478</v>
      </c>
      <c r="E8156" t="s">
        <v>24536</v>
      </c>
      <c r="F8156" t="s">
        <v>30052</v>
      </c>
      <c r="G8156" t="s">
        <v>30058</v>
      </c>
      <c r="H8156" t="s">
        <v>30067</v>
      </c>
      <c r="I8156" t="s">
        <v>3693</v>
      </c>
      <c r="J8156" t="s">
        <v>35192</v>
      </c>
      <c r="K8156" t="s">
        <v>39019</v>
      </c>
      <c r="M8156" t="s">
        <v>41971</v>
      </c>
      <c r="N8156" t="s">
        <v>43166</v>
      </c>
      <c r="O8156" t="s">
        <v>43167</v>
      </c>
      <c r="P8156">
        <v>0</v>
      </c>
      <c r="Q8156">
        <v>0</v>
      </c>
      <c r="R8156" t="s">
        <v>43174</v>
      </c>
      <c r="S8156" t="s">
        <v>43396</v>
      </c>
      <c r="T8156" t="s">
        <v>44800</v>
      </c>
      <c r="U8156" t="s">
        <v>51797</v>
      </c>
      <c r="W8156" t="s">
        <v>41971</v>
      </c>
      <c r="X8156" t="s">
        <v>43175</v>
      </c>
    </row>
    <row r="8157" spans="1:24">
      <c r="A8157">
        <f>HYPERLINK("https://www.philgeps.gov.ph/GEPSNONPILOT/Tender/SplashBidNoticeAbstractUI.aspx?menuIndex=3&amp;refID=7073697&amp;Result=3","7073697")</f>
        <v>0</v>
      </c>
      <c r="B8157" t="s">
        <v>2477</v>
      </c>
      <c r="C8157" t="s">
        <v>11179</v>
      </c>
      <c r="D8157" t="s">
        <v>17417</v>
      </c>
      <c r="E8157" t="s">
        <v>24537</v>
      </c>
      <c r="F8157" t="s">
        <v>30052</v>
      </c>
      <c r="G8157" t="s">
        <v>30058</v>
      </c>
      <c r="H8157" t="s">
        <v>15498</v>
      </c>
      <c r="I8157" t="s">
        <v>30097</v>
      </c>
      <c r="J8157" t="s">
        <v>35152</v>
      </c>
      <c r="K8157" t="s">
        <v>39023</v>
      </c>
      <c r="M8157" t="s">
        <v>41977</v>
      </c>
      <c r="N8157" t="s">
        <v>43166</v>
      </c>
      <c r="O8157" t="s">
        <v>43167</v>
      </c>
      <c r="P8157">
        <v>0</v>
      </c>
      <c r="Q8157">
        <v>0</v>
      </c>
      <c r="R8157" t="s">
        <v>43174</v>
      </c>
      <c r="S8157" t="s">
        <v>43396</v>
      </c>
      <c r="T8157" t="s">
        <v>44815</v>
      </c>
      <c r="U8157" t="s">
        <v>51798</v>
      </c>
      <c r="W8157" t="s">
        <v>41977</v>
      </c>
      <c r="X8157" t="s">
        <v>43175</v>
      </c>
    </row>
    <row r="8158" spans="1:24">
      <c r="A8158">
        <f>HYPERLINK("https://www.philgeps.gov.ph/GEPSNONPILOT/Tender/SplashBidNoticeAbstractUI.aspx?menuIndex=3&amp;refID=7073721&amp;Result=3","7073721")</f>
        <v>0</v>
      </c>
      <c r="B8158" t="s">
        <v>2498</v>
      </c>
      <c r="C8158" t="s">
        <v>11180</v>
      </c>
      <c r="D8158" t="s">
        <v>17456</v>
      </c>
      <c r="E8158" t="s">
        <v>18583</v>
      </c>
      <c r="F8158" t="s">
        <v>30052</v>
      </c>
      <c r="G8158" t="s">
        <v>30059</v>
      </c>
      <c r="H8158" t="s">
        <v>15498</v>
      </c>
      <c r="I8158" t="s">
        <v>30084</v>
      </c>
      <c r="J8158" t="s">
        <v>30230</v>
      </c>
      <c r="K8158" t="s">
        <v>39017</v>
      </c>
      <c r="L8158" t="s">
        <v>2498</v>
      </c>
      <c r="M8158" t="s">
        <v>42003</v>
      </c>
      <c r="N8158" t="s">
        <v>43166</v>
      </c>
      <c r="O8158" t="s">
        <v>43167</v>
      </c>
      <c r="P8158">
        <v>0</v>
      </c>
      <c r="Q8158">
        <v>8</v>
      </c>
      <c r="R8158" t="s">
        <v>43174</v>
      </c>
      <c r="S8158" t="s">
        <v>43396</v>
      </c>
      <c r="T8158" t="s">
        <v>45088</v>
      </c>
      <c r="U8158" t="s">
        <v>51799</v>
      </c>
      <c r="W8158" t="s">
        <v>42003</v>
      </c>
      <c r="X8158" t="s">
        <v>43175</v>
      </c>
    </row>
    <row r="8159" spans="1:24">
      <c r="A8159">
        <f>HYPERLINK("https://www.philgeps.gov.ph/GEPSNONPILOT/Tender/SplashBidNoticeAbstractUI.aspx?menuIndex=3&amp;refID=7073813&amp;Result=3","7073813")</f>
        <v>0</v>
      </c>
      <c r="B8159" t="s">
        <v>2499</v>
      </c>
      <c r="C8159" t="s">
        <v>11181</v>
      </c>
      <c r="D8159" t="s">
        <v>17447</v>
      </c>
      <c r="E8159" t="s">
        <v>24538</v>
      </c>
      <c r="F8159" t="s">
        <v>30052</v>
      </c>
      <c r="G8159" t="s">
        <v>30061</v>
      </c>
      <c r="H8159" t="s">
        <v>15498</v>
      </c>
      <c r="I8159" t="s">
        <v>30074</v>
      </c>
      <c r="J8159" t="s">
        <v>30720</v>
      </c>
      <c r="K8159" t="s">
        <v>39036</v>
      </c>
      <c r="M8159" t="s">
        <v>42004</v>
      </c>
      <c r="N8159" t="s">
        <v>43166</v>
      </c>
      <c r="O8159" t="s">
        <v>43167</v>
      </c>
      <c r="P8159">
        <v>0</v>
      </c>
      <c r="Q8159">
        <v>0</v>
      </c>
      <c r="R8159" t="s">
        <v>43174</v>
      </c>
      <c r="S8159" t="s">
        <v>43396</v>
      </c>
      <c r="T8159" t="s">
        <v>44870</v>
      </c>
      <c r="U8159" t="s">
        <v>51800</v>
      </c>
      <c r="W8159" t="s">
        <v>42004</v>
      </c>
      <c r="X8159" t="s">
        <v>43175</v>
      </c>
    </row>
    <row r="8160" spans="1:24">
      <c r="A8160">
        <f>HYPERLINK("https://www.philgeps.gov.ph/GEPSNONPILOT/Tender/SplashBidNoticeAbstractUI.aspx?menuIndex=3&amp;refID=7073532&amp;Result=3","7073532")</f>
        <v>0</v>
      </c>
      <c r="B8160" t="s">
        <v>2476</v>
      </c>
      <c r="C8160" t="s">
        <v>11182</v>
      </c>
      <c r="D8160" t="s">
        <v>17472</v>
      </c>
      <c r="E8160" t="s">
        <v>24450</v>
      </c>
      <c r="F8160" t="s">
        <v>30052</v>
      </c>
      <c r="G8160" t="s">
        <v>30058</v>
      </c>
      <c r="H8160" t="s">
        <v>15498</v>
      </c>
      <c r="I8160" t="s">
        <v>30084</v>
      </c>
      <c r="J8160" t="s">
        <v>35193</v>
      </c>
      <c r="K8160" t="s">
        <v>39019</v>
      </c>
      <c r="M8160" t="s">
        <v>41976</v>
      </c>
      <c r="N8160" t="s">
        <v>43166</v>
      </c>
      <c r="O8160" t="s">
        <v>43167</v>
      </c>
      <c r="P8160">
        <v>0</v>
      </c>
      <c r="Q8160">
        <v>15</v>
      </c>
      <c r="R8160" t="s">
        <v>43174</v>
      </c>
      <c r="S8160" t="s">
        <v>43396</v>
      </c>
      <c r="T8160" t="s">
        <v>44711</v>
      </c>
      <c r="U8160" t="s">
        <v>51801</v>
      </c>
      <c r="V8160" t="s">
        <v>57695</v>
      </c>
      <c r="W8160" t="s">
        <v>41976</v>
      </c>
      <c r="X8160" t="s">
        <v>43175</v>
      </c>
    </row>
    <row r="8161" spans="1:24">
      <c r="A8161">
        <f>HYPERLINK("https://www.philgeps.gov.ph/GEPSNONPILOT/Tender/SplashBidNoticeAbstractUI.aspx?menuIndex=3&amp;refID=7073810&amp;Result=3","7073810")</f>
        <v>0</v>
      </c>
      <c r="B8161" t="s">
        <v>2495</v>
      </c>
      <c r="C8161" t="s">
        <v>11183</v>
      </c>
      <c r="D8161" t="s">
        <v>17471</v>
      </c>
      <c r="E8161" t="s">
        <v>24539</v>
      </c>
      <c r="F8161" t="s">
        <v>30052</v>
      </c>
      <c r="G8161" t="s">
        <v>30058</v>
      </c>
      <c r="H8161" t="s">
        <v>15498</v>
      </c>
      <c r="I8161" t="s">
        <v>30071</v>
      </c>
      <c r="J8161" t="s">
        <v>35194</v>
      </c>
      <c r="K8161" t="s">
        <v>39029</v>
      </c>
      <c r="M8161" t="s">
        <v>41998</v>
      </c>
      <c r="N8161" t="s">
        <v>43166</v>
      </c>
      <c r="O8161" t="s">
        <v>43167</v>
      </c>
      <c r="P8161">
        <v>0</v>
      </c>
      <c r="Q8161">
        <v>0</v>
      </c>
      <c r="R8161" t="s">
        <v>43174</v>
      </c>
      <c r="S8161" t="s">
        <v>43396</v>
      </c>
      <c r="T8161" t="s">
        <v>44844</v>
      </c>
      <c r="U8161" t="s">
        <v>51802</v>
      </c>
      <c r="W8161" t="s">
        <v>41998</v>
      </c>
      <c r="X8161" t="s">
        <v>43175</v>
      </c>
    </row>
    <row r="8162" spans="1:24">
      <c r="A8162">
        <f>HYPERLINK("https://www.philgeps.gov.ph/GEPSNONPILOT/Tender/SplashBidNoticeAbstractUI.aspx?menuIndex=3&amp;refID=7073705&amp;Result=3","7073705")</f>
        <v>0</v>
      </c>
      <c r="B8162" t="s">
        <v>2098</v>
      </c>
      <c r="C8162" t="s">
        <v>11177</v>
      </c>
      <c r="D8162" t="s">
        <v>17414</v>
      </c>
      <c r="E8162" t="s">
        <v>24540</v>
      </c>
      <c r="F8162" t="s">
        <v>30052</v>
      </c>
      <c r="G8162" t="s">
        <v>30059</v>
      </c>
      <c r="H8162" t="s">
        <v>15498</v>
      </c>
      <c r="I8162" t="s">
        <v>30109</v>
      </c>
      <c r="J8162" t="s">
        <v>35195</v>
      </c>
      <c r="K8162" t="s">
        <v>39017</v>
      </c>
      <c r="M8162" t="s">
        <v>42002</v>
      </c>
      <c r="N8162" t="s">
        <v>43166</v>
      </c>
      <c r="O8162" t="s">
        <v>43167</v>
      </c>
      <c r="P8162">
        <v>0</v>
      </c>
      <c r="Q8162">
        <v>0</v>
      </c>
      <c r="R8162" t="s">
        <v>43174</v>
      </c>
      <c r="S8162" t="s">
        <v>43396</v>
      </c>
      <c r="T8162" t="s">
        <v>44777</v>
      </c>
      <c r="U8162" t="s">
        <v>51803</v>
      </c>
      <c r="W8162" t="s">
        <v>42002</v>
      </c>
      <c r="X8162" t="s">
        <v>43175</v>
      </c>
    </row>
    <row r="8163" spans="1:24">
      <c r="A8163">
        <f>HYPERLINK("https://www.philgeps.gov.ph/GEPSNONPILOT/Tender/SplashBidNoticeAbstractUI.aspx?menuIndex=3&amp;refID=7073800&amp;Result=3","7073800")</f>
        <v>0</v>
      </c>
      <c r="B8163" t="s">
        <v>1661</v>
      </c>
      <c r="C8163" t="s">
        <v>11184</v>
      </c>
      <c r="D8163" t="s">
        <v>17422</v>
      </c>
      <c r="E8163" t="s">
        <v>24541</v>
      </c>
      <c r="F8163" t="s">
        <v>30052</v>
      </c>
      <c r="G8163" t="s">
        <v>30059</v>
      </c>
      <c r="H8163" t="s">
        <v>15498</v>
      </c>
      <c r="I8163" t="s">
        <v>30100</v>
      </c>
      <c r="J8163" t="s">
        <v>30207</v>
      </c>
      <c r="K8163" t="s">
        <v>39025</v>
      </c>
      <c r="M8163" t="s">
        <v>41992</v>
      </c>
      <c r="N8163" t="s">
        <v>43166</v>
      </c>
      <c r="O8163" t="s">
        <v>43167</v>
      </c>
      <c r="P8163">
        <v>0</v>
      </c>
      <c r="Q8163">
        <v>1</v>
      </c>
      <c r="R8163" t="s">
        <v>43174</v>
      </c>
      <c r="S8163" t="s">
        <v>43396</v>
      </c>
      <c r="T8163" t="s">
        <v>44698</v>
      </c>
      <c r="U8163" t="s">
        <v>51774</v>
      </c>
      <c r="W8163" t="s">
        <v>41992</v>
      </c>
      <c r="X8163" t="s">
        <v>43175</v>
      </c>
    </row>
    <row r="8164" spans="1:24">
      <c r="A8164">
        <f>HYPERLINK("https://www.philgeps.gov.ph/GEPSNONPILOT/Tender/SplashBidNoticeAbstractUI.aspx?menuIndex=3&amp;refID=7073799&amp;Result=3","7073799")</f>
        <v>0</v>
      </c>
      <c r="B8164" t="s">
        <v>2500</v>
      </c>
      <c r="C8164" t="s">
        <v>11185</v>
      </c>
      <c r="D8164" t="s">
        <v>17415</v>
      </c>
      <c r="E8164" t="s">
        <v>24542</v>
      </c>
      <c r="F8164" t="s">
        <v>30052</v>
      </c>
      <c r="G8164" t="s">
        <v>30058</v>
      </c>
      <c r="H8164" t="s">
        <v>15498</v>
      </c>
      <c r="I8164" t="s">
        <v>30168</v>
      </c>
      <c r="J8164" t="s">
        <v>30207</v>
      </c>
      <c r="K8164" t="s">
        <v>39019</v>
      </c>
      <c r="M8164" t="s">
        <v>42005</v>
      </c>
      <c r="N8164" t="s">
        <v>43166</v>
      </c>
      <c r="O8164" t="s">
        <v>43167</v>
      </c>
      <c r="P8164">
        <v>0</v>
      </c>
      <c r="Q8164">
        <v>2</v>
      </c>
      <c r="R8164" t="s">
        <v>43174</v>
      </c>
      <c r="S8164" t="s">
        <v>43396</v>
      </c>
      <c r="T8164" t="s">
        <v>44896</v>
      </c>
      <c r="U8164" t="s">
        <v>51804</v>
      </c>
      <c r="W8164" t="s">
        <v>42005</v>
      </c>
      <c r="X8164" t="s">
        <v>43175</v>
      </c>
    </row>
    <row r="8165" spans="1:24">
      <c r="A8165">
        <f>HYPERLINK("https://www.philgeps.gov.ph/GEPSNONPILOT/Tender/SplashBidNoticeAbstractUI.aspx?menuIndex=3&amp;refID=7073794&amp;Result=3","7073794")</f>
        <v>0</v>
      </c>
      <c r="B8165" t="s">
        <v>2454</v>
      </c>
      <c r="C8165" t="s">
        <v>11186</v>
      </c>
      <c r="D8165" t="s">
        <v>17486</v>
      </c>
      <c r="E8165" t="s">
        <v>24543</v>
      </c>
      <c r="F8165" t="s">
        <v>30052</v>
      </c>
      <c r="G8165" t="s">
        <v>30058</v>
      </c>
      <c r="H8165" t="s">
        <v>30067</v>
      </c>
      <c r="I8165" t="s">
        <v>3693</v>
      </c>
      <c r="J8165" t="s">
        <v>30240</v>
      </c>
      <c r="K8165" t="s">
        <v>39026</v>
      </c>
      <c r="M8165" t="s">
        <v>41953</v>
      </c>
      <c r="N8165" t="s">
        <v>43166</v>
      </c>
      <c r="O8165" t="s">
        <v>43167</v>
      </c>
      <c r="P8165">
        <v>0</v>
      </c>
      <c r="Q8165">
        <v>0</v>
      </c>
      <c r="R8165" t="s">
        <v>43174</v>
      </c>
      <c r="S8165" t="s">
        <v>43396</v>
      </c>
      <c r="T8165" t="s">
        <v>44704</v>
      </c>
      <c r="U8165" t="s">
        <v>51702</v>
      </c>
      <c r="W8165" t="s">
        <v>41953</v>
      </c>
      <c r="X8165" t="s">
        <v>43175</v>
      </c>
    </row>
    <row r="8166" spans="1:24">
      <c r="A8166">
        <f>HYPERLINK("https://www.philgeps.gov.ph/GEPSNONPILOT/Tender/SplashBidNoticeAbstractUI.aspx?menuIndex=3&amp;refID=7073792&amp;Result=3","7073792")</f>
        <v>0</v>
      </c>
      <c r="B8166" t="s">
        <v>145</v>
      </c>
      <c r="C8166" t="s">
        <v>11187</v>
      </c>
      <c r="D8166" t="s">
        <v>17453</v>
      </c>
      <c r="E8166" t="s">
        <v>24544</v>
      </c>
      <c r="F8166" t="s">
        <v>30052</v>
      </c>
      <c r="G8166" t="s">
        <v>30059</v>
      </c>
      <c r="H8166" t="s">
        <v>15498</v>
      </c>
      <c r="I8166" t="s">
        <v>3852</v>
      </c>
      <c r="J8166" t="s">
        <v>35196</v>
      </c>
      <c r="K8166" t="s">
        <v>39064</v>
      </c>
      <c r="M8166" t="s">
        <v>39434</v>
      </c>
      <c r="N8166" t="s">
        <v>43166</v>
      </c>
      <c r="O8166" t="s">
        <v>43167</v>
      </c>
      <c r="P8166">
        <v>0</v>
      </c>
      <c r="Q8166">
        <v>3</v>
      </c>
      <c r="R8166" t="s">
        <v>43174</v>
      </c>
      <c r="S8166" t="s">
        <v>43396</v>
      </c>
      <c r="T8166" t="s">
        <v>44993</v>
      </c>
      <c r="U8166" t="s">
        <v>51805</v>
      </c>
      <c r="V8166" t="s">
        <v>57204</v>
      </c>
      <c r="W8166" t="s">
        <v>58630</v>
      </c>
      <c r="X8166" t="s">
        <v>43175</v>
      </c>
    </row>
    <row r="8167" spans="1:24">
      <c r="A8167">
        <f>HYPERLINK("https://www.philgeps.gov.ph/GEPSNONPILOT/Tender/SplashBidNoticeAbstractUI.aspx?menuIndex=3&amp;refID=7073779&amp;Result=3","7073779")</f>
        <v>0</v>
      </c>
      <c r="B8167" t="s">
        <v>2098</v>
      </c>
      <c r="C8167" t="s">
        <v>7929</v>
      </c>
      <c r="D8167" t="s">
        <v>17414</v>
      </c>
      <c r="E8167" t="s">
        <v>24545</v>
      </c>
      <c r="F8167" t="s">
        <v>30052</v>
      </c>
      <c r="G8167" t="s">
        <v>30059</v>
      </c>
      <c r="H8167" t="s">
        <v>15498</v>
      </c>
      <c r="I8167" t="s">
        <v>30076</v>
      </c>
      <c r="J8167" t="s">
        <v>35197</v>
      </c>
      <c r="K8167" t="s">
        <v>39017</v>
      </c>
      <c r="M8167" t="s">
        <v>42002</v>
      </c>
      <c r="N8167" t="s">
        <v>43166</v>
      </c>
      <c r="O8167" t="s">
        <v>43167</v>
      </c>
      <c r="P8167">
        <v>0</v>
      </c>
      <c r="Q8167">
        <v>0</v>
      </c>
      <c r="R8167" t="s">
        <v>43174</v>
      </c>
      <c r="S8167" t="s">
        <v>43396</v>
      </c>
      <c r="T8167" t="s">
        <v>44777</v>
      </c>
      <c r="U8167" t="s">
        <v>51806</v>
      </c>
      <c r="W8167" t="s">
        <v>42002</v>
      </c>
      <c r="X8167" t="s">
        <v>43175</v>
      </c>
    </row>
    <row r="8168" spans="1:24">
      <c r="A8168">
        <f>HYPERLINK("https://www.philgeps.gov.ph/GEPSNONPILOT/Tender/SplashBidNoticeAbstractUI.aspx?menuIndex=3&amp;refID=7073802&amp;Result=3","7073802")</f>
        <v>0</v>
      </c>
      <c r="B8168" t="s">
        <v>1604</v>
      </c>
      <c r="C8168" t="s">
        <v>11188</v>
      </c>
      <c r="D8168" t="s">
        <v>17421</v>
      </c>
      <c r="E8168" t="s">
        <v>21435</v>
      </c>
      <c r="F8168" t="s">
        <v>30052</v>
      </c>
      <c r="G8168" t="s">
        <v>30058</v>
      </c>
      <c r="H8168" t="s">
        <v>15498</v>
      </c>
      <c r="I8168" t="s">
        <v>3736</v>
      </c>
      <c r="J8168" t="s">
        <v>35198</v>
      </c>
      <c r="K8168" t="s">
        <v>39029</v>
      </c>
      <c r="M8168" t="s">
        <v>41002</v>
      </c>
      <c r="N8168" t="s">
        <v>43166</v>
      </c>
      <c r="O8168" t="s">
        <v>43167</v>
      </c>
      <c r="P8168">
        <v>0</v>
      </c>
      <c r="Q8168">
        <v>0</v>
      </c>
      <c r="R8168" t="s">
        <v>43174</v>
      </c>
      <c r="S8168" t="s">
        <v>43396</v>
      </c>
      <c r="T8168" t="s">
        <v>44698</v>
      </c>
      <c r="U8168" t="s">
        <v>51807</v>
      </c>
      <c r="W8168" t="s">
        <v>41002</v>
      </c>
      <c r="X8168" t="s">
        <v>43175</v>
      </c>
    </row>
    <row r="8169" spans="1:24">
      <c r="A8169">
        <f>HYPERLINK("https://www.philgeps.gov.ph/GEPSNONPILOT/Tender/SplashBidNoticeAbstractUI.aspx?menuIndex=3&amp;refID=7073776&amp;Result=3","7073776")</f>
        <v>0</v>
      </c>
      <c r="B8169" t="s">
        <v>1464</v>
      </c>
      <c r="C8169" t="s">
        <v>11189</v>
      </c>
      <c r="D8169" t="s">
        <v>17415</v>
      </c>
      <c r="E8169" t="s">
        <v>24546</v>
      </c>
      <c r="F8169" t="s">
        <v>30052</v>
      </c>
      <c r="G8169" t="s">
        <v>30063</v>
      </c>
      <c r="H8169" t="s">
        <v>15498</v>
      </c>
      <c r="I8169" t="s">
        <v>30153</v>
      </c>
      <c r="J8169" t="s">
        <v>35199</v>
      </c>
      <c r="K8169" t="s">
        <v>39023</v>
      </c>
      <c r="M8169" t="s">
        <v>41710</v>
      </c>
      <c r="N8169" t="s">
        <v>43166</v>
      </c>
      <c r="O8169" t="s">
        <v>43167</v>
      </c>
      <c r="Q8169">
        <v>6</v>
      </c>
      <c r="R8169" t="s">
        <v>43174</v>
      </c>
      <c r="S8169" t="s">
        <v>43411</v>
      </c>
      <c r="T8169" t="s">
        <v>44842</v>
      </c>
      <c r="U8169" t="s">
        <v>51745</v>
      </c>
      <c r="W8169" t="s">
        <v>41710</v>
      </c>
      <c r="X8169" t="s">
        <v>43175</v>
      </c>
    </row>
    <row r="8170" spans="1:24">
      <c r="A8170">
        <f>HYPERLINK("https://www.philgeps.gov.ph/GEPSNONPILOT/Tender/SplashBidNoticeAbstractUI.aspx?menuIndex=3&amp;refID=7073774&amp;Result=3","7073774")</f>
        <v>0</v>
      </c>
      <c r="B8170" t="s">
        <v>2501</v>
      </c>
      <c r="C8170" t="s">
        <v>11190</v>
      </c>
      <c r="D8170" t="s">
        <v>17415</v>
      </c>
      <c r="E8170" t="s">
        <v>18468</v>
      </c>
      <c r="F8170" t="s">
        <v>30052</v>
      </c>
      <c r="G8170" t="s">
        <v>30058</v>
      </c>
      <c r="H8170" t="s">
        <v>15498</v>
      </c>
      <c r="I8170" t="s">
        <v>3852</v>
      </c>
      <c r="J8170" t="s">
        <v>30440</v>
      </c>
      <c r="K8170" t="s">
        <v>39036</v>
      </c>
      <c r="M8170" t="s">
        <v>42006</v>
      </c>
      <c r="N8170" t="s">
        <v>43166</v>
      </c>
      <c r="O8170" t="s">
        <v>43167</v>
      </c>
      <c r="P8170">
        <v>0</v>
      </c>
      <c r="Q8170">
        <v>3</v>
      </c>
      <c r="R8170" t="s">
        <v>43174</v>
      </c>
      <c r="S8170" t="s">
        <v>43396</v>
      </c>
      <c r="T8170" t="s">
        <v>44717</v>
      </c>
      <c r="U8170" t="s">
        <v>51808</v>
      </c>
      <c r="W8170" t="s">
        <v>42006</v>
      </c>
      <c r="X8170" t="s">
        <v>43175</v>
      </c>
    </row>
    <row r="8171" spans="1:24">
      <c r="A8171">
        <f>HYPERLINK("https://www.philgeps.gov.ph/GEPSNONPILOT/Tender/SplashBidNoticeAbstractUI.aspx?menuIndex=3&amp;refID=7073773&amp;Result=3","7073773")</f>
        <v>0</v>
      </c>
      <c r="B8171" t="s">
        <v>598</v>
      </c>
      <c r="C8171" t="s">
        <v>11191</v>
      </c>
      <c r="D8171" t="s">
        <v>17421</v>
      </c>
      <c r="E8171" t="s">
        <v>24547</v>
      </c>
      <c r="F8171" t="s">
        <v>30052</v>
      </c>
      <c r="G8171" t="s">
        <v>30058</v>
      </c>
      <c r="H8171" t="s">
        <v>30067</v>
      </c>
      <c r="I8171" t="s">
        <v>3693</v>
      </c>
      <c r="J8171" t="s">
        <v>30252</v>
      </c>
      <c r="K8171" t="s">
        <v>39038</v>
      </c>
      <c r="M8171" t="s">
        <v>39900</v>
      </c>
      <c r="N8171" t="s">
        <v>43166</v>
      </c>
      <c r="O8171" t="s">
        <v>43167</v>
      </c>
      <c r="P8171">
        <v>0</v>
      </c>
      <c r="Q8171">
        <v>0</v>
      </c>
      <c r="R8171" t="s">
        <v>43174</v>
      </c>
      <c r="S8171" t="s">
        <v>43396</v>
      </c>
      <c r="T8171" t="s">
        <v>44798</v>
      </c>
      <c r="U8171" t="s">
        <v>51809</v>
      </c>
      <c r="W8171" t="s">
        <v>39900</v>
      </c>
      <c r="X8171" t="s">
        <v>43175</v>
      </c>
    </row>
    <row r="8172" spans="1:24">
      <c r="A8172">
        <f>HYPERLINK("https://www.philgeps.gov.ph/GEPSNONPILOT/Tender/SplashBidNoticeAbstractUI.aspx?menuIndex=3&amp;refID=7073771&amp;Result=3","7073771")</f>
        <v>0</v>
      </c>
      <c r="B8172" t="s">
        <v>2502</v>
      </c>
      <c r="C8172" t="s">
        <v>11192</v>
      </c>
      <c r="D8172" t="s">
        <v>17442</v>
      </c>
      <c r="E8172" t="s">
        <v>24548</v>
      </c>
      <c r="F8172" t="s">
        <v>30052</v>
      </c>
      <c r="G8172" t="s">
        <v>30061</v>
      </c>
      <c r="H8172" t="s">
        <v>15498</v>
      </c>
      <c r="I8172" t="s">
        <v>3852</v>
      </c>
      <c r="J8172" t="s">
        <v>35200</v>
      </c>
      <c r="K8172" t="s">
        <v>39019</v>
      </c>
      <c r="M8172" t="s">
        <v>42007</v>
      </c>
      <c r="N8172" t="s">
        <v>43166</v>
      </c>
      <c r="O8172" t="s">
        <v>43167</v>
      </c>
      <c r="P8172">
        <v>0</v>
      </c>
      <c r="Q8172">
        <v>1</v>
      </c>
      <c r="R8172" t="s">
        <v>43174</v>
      </c>
      <c r="S8172" t="s">
        <v>43396</v>
      </c>
      <c r="T8172" t="s">
        <v>44773</v>
      </c>
      <c r="U8172" t="s">
        <v>51810</v>
      </c>
      <c r="W8172" t="s">
        <v>42007</v>
      </c>
      <c r="X8172" t="s">
        <v>43175</v>
      </c>
    </row>
    <row r="8173" spans="1:24">
      <c r="A8173">
        <f>HYPERLINK("https://www.philgeps.gov.ph/GEPSNONPILOT/Tender/SplashBidNoticeAbstractUI.aspx?menuIndex=3&amp;refID=7073770&amp;Result=3","7073770")</f>
        <v>0</v>
      </c>
      <c r="B8173" t="s">
        <v>2477</v>
      </c>
      <c r="C8173" t="s">
        <v>11193</v>
      </c>
      <c r="D8173" t="s">
        <v>17417</v>
      </c>
      <c r="E8173" t="s">
        <v>24549</v>
      </c>
      <c r="F8173" t="s">
        <v>30052</v>
      </c>
      <c r="G8173" t="s">
        <v>30058</v>
      </c>
      <c r="H8173" t="s">
        <v>15498</v>
      </c>
      <c r="I8173" t="s">
        <v>30168</v>
      </c>
      <c r="J8173" t="s">
        <v>30890</v>
      </c>
      <c r="K8173" t="s">
        <v>39023</v>
      </c>
      <c r="M8173" t="s">
        <v>41977</v>
      </c>
      <c r="N8173" t="s">
        <v>43166</v>
      </c>
      <c r="O8173" t="s">
        <v>43167</v>
      </c>
      <c r="P8173">
        <v>0</v>
      </c>
      <c r="Q8173">
        <v>1</v>
      </c>
      <c r="R8173" t="s">
        <v>43174</v>
      </c>
      <c r="S8173" t="s">
        <v>43396</v>
      </c>
      <c r="T8173" t="s">
        <v>44815</v>
      </c>
      <c r="U8173" t="s">
        <v>51811</v>
      </c>
      <c r="W8173" t="s">
        <v>41977</v>
      </c>
      <c r="X8173" t="s">
        <v>43175</v>
      </c>
    </row>
    <row r="8174" spans="1:24">
      <c r="A8174">
        <f>HYPERLINK("https://www.philgeps.gov.ph/GEPSNONPILOT/Tender/SplashBidNoticeAbstractUI.aspx?menuIndex=3&amp;refID=7073768&amp;Result=3","7073768")</f>
        <v>0</v>
      </c>
      <c r="B8174" t="s">
        <v>1278</v>
      </c>
      <c r="C8174" t="s">
        <v>11194</v>
      </c>
      <c r="D8174" t="s">
        <v>17449</v>
      </c>
      <c r="E8174" t="s">
        <v>24550</v>
      </c>
      <c r="F8174" t="s">
        <v>30052</v>
      </c>
      <c r="G8174" t="s">
        <v>30058</v>
      </c>
      <c r="H8174" t="s">
        <v>15498</v>
      </c>
      <c r="I8174" t="s">
        <v>4119</v>
      </c>
      <c r="J8174" t="s">
        <v>31276</v>
      </c>
      <c r="K8174" t="s">
        <v>39029</v>
      </c>
      <c r="M8174" t="s">
        <v>40642</v>
      </c>
      <c r="N8174" t="s">
        <v>43166</v>
      </c>
      <c r="O8174" t="s">
        <v>43167</v>
      </c>
      <c r="P8174">
        <v>0</v>
      </c>
      <c r="Q8174">
        <v>2</v>
      </c>
      <c r="R8174" t="s">
        <v>43174</v>
      </c>
      <c r="S8174" t="s">
        <v>43396</v>
      </c>
      <c r="T8174" t="s">
        <v>44856</v>
      </c>
      <c r="U8174" t="s">
        <v>51812</v>
      </c>
      <c r="V8174" t="s">
        <v>53094</v>
      </c>
      <c r="W8174" t="s">
        <v>40642</v>
      </c>
      <c r="X8174" t="s">
        <v>43175</v>
      </c>
    </row>
    <row r="8175" spans="1:24">
      <c r="A8175">
        <f>HYPERLINK("https://www.philgeps.gov.ph/GEPSNONPILOT/Tender/SplashBidNoticeAbstractUI.aspx?menuIndex=3&amp;refID=7073766&amp;Result=3","7073766")</f>
        <v>0</v>
      </c>
      <c r="B8175" t="s">
        <v>2503</v>
      </c>
      <c r="C8175" t="s">
        <v>11195</v>
      </c>
      <c r="D8175" t="s">
        <v>17471</v>
      </c>
      <c r="E8175" t="s">
        <v>18907</v>
      </c>
      <c r="F8175" t="s">
        <v>30052</v>
      </c>
      <c r="G8175" t="s">
        <v>30058</v>
      </c>
      <c r="H8175" t="s">
        <v>15498</v>
      </c>
      <c r="I8175" t="s">
        <v>3736</v>
      </c>
      <c r="J8175" t="s">
        <v>30508</v>
      </c>
      <c r="K8175" t="s">
        <v>39029</v>
      </c>
      <c r="M8175" t="s">
        <v>42008</v>
      </c>
      <c r="N8175" t="s">
        <v>43166</v>
      </c>
      <c r="O8175" t="s">
        <v>43167</v>
      </c>
      <c r="P8175">
        <v>0</v>
      </c>
      <c r="Q8175">
        <v>0</v>
      </c>
      <c r="R8175" t="s">
        <v>43174</v>
      </c>
      <c r="S8175" t="s">
        <v>43396</v>
      </c>
      <c r="T8175" t="s">
        <v>44710</v>
      </c>
      <c r="U8175" t="s">
        <v>51813</v>
      </c>
      <c r="W8175" t="s">
        <v>42008</v>
      </c>
      <c r="X8175" t="s">
        <v>43175</v>
      </c>
    </row>
    <row r="8176" spans="1:24">
      <c r="A8176">
        <f>HYPERLINK("https://www.philgeps.gov.ph/GEPSNONPILOT/Tender/SplashBidNoticeAbstractUI.aspx?menuIndex=3&amp;refID=7073765&amp;Result=3","7073765")</f>
        <v>0</v>
      </c>
      <c r="B8176" t="s">
        <v>2454</v>
      </c>
      <c r="C8176" t="s">
        <v>11196</v>
      </c>
      <c r="D8176" t="s">
        <v>17486</v>
      </c>
      <c r="E8176" t="s">
        <v>24551</v>
      </c>
      <c r="F8176" t="s">
        <v>30052</v>
      </c>
      <c r="G8176" t="s">
        <v>30058</v>
      </c>
      <c r="H8176" t="s">
        <v>30067</v>
      </c>
      <c r="I8176" t="s">
        <v>3693</v>
      </c>
      <c r="J8176" t="s">
        <v>31185</v>
      </c>
      <c r="K8176" t="s">
        <v>39026</v>
      </c>
      <c r="M8176" t="s">
        <v>41953</v>
      </c>
      <c r="N8176" t="s">
        <v>43166</v>
      </c>
      <c r="O8176" t="s">
        <v>43167</v>
      </c>
      <c r="P8176">
        <v>0</v>
      </c>
      <c r="Q8176">
        <v>0</v>
      </c>
      <c r="R8176" t="s">
        <v>43174</v>
      </c>
      <c r="S8176" t="s">
        <v>43396</v>
      </c>
      <c r="T8176" t="s">
        <v>44699</v>
      </c>
      <c r="U8176" t="s">
        <v>51702</v>
      </c>
      <c r="W8176" t="s">
        <v>41953</v>
      </c>
      <c r="X8176" t="s">
        <v>43175</v>
      </c>
    </row>
    <row r="8177" spans="1:24">
      <c r="A8177">
        <f>HYPERLINK("https://www.philgeps.gov.ph/GEPSNONPILOT/Tender/SplashBidNoticeAbstractUI.aspx?menuIndex=3&amp;refID=7073764&amp;Result=3","7073764")</f>
        <v>0</v>
      </c>
      <c r="B8177" t="s">
        <v>1730</v>
      </c>
      <c r="C8177" t="s">
        <v>11197</v>
      </c>
      <c r="D8177" t="s">
        <v>17423</v>
      </c>
      <c r="E8177" t="s">
        <v>24552</v>
      </c>
      <c r="F8177" t="s">
        <v>30052</v>
      </c>
      <c r="G8177" t="s">
        <v>30058</v>
      </c>
      <c r="H8177" t="s">
        <v>15498</v>
      </c>
      <c r="I8177" t="s">
        <v>30091</v>
      </c>
      <c r="J8177" t="s">
        <v>35201</v>
      </c>
      <c r="K8177" t="s">
        <v>39019</v>
      </c>
      <c r="M8177" t="s">
        <v>41999</v>
      </c>
      <c r="N8177" t="s">
        <v>43166</v>
      </c>
      <c r="O8177" t="s">
        <v>43167</v>
      </c>
      <c r="P8177">
        <v>0</v>
      </c>
      <c r="Q8177">
        <v>2</v>
      </c>
      <c r="R8177" t="s">
        <v>43174</v>
      </c>
      <c r="S8177" t="s">
        <v>43396</v>
      </c>
      <c r="T8177" t="s">
        <v>45006</v>
      </c>
      <c r="U8177" t="s">
        <v>51814</v>
      </c>
      <c r="W8177" t="s">
        <v>41999</v>
      </c>
      <c r="X8177" t="s">
        <v>43175</v>
      </c>
    </row>
    <row r="8178" spans="1:24">
      <c r="A8178">
        <f>HYPERLINK("https://www.philgeps.gov.ph/GEPSNONPILOT/Tender/SplashBidNoticeAbstractUI.aspx?menuIndex=3&amp;refID=7073625&amp;Result=3","7073625")</f>
        <v>0</v>
      </c>
      <c r="B8178" t="s">
        <v>2471</v>
      </c>
      <c r="C8178" t="s">
        <v>11198</v>
      </c>
      <c r="D8178" t="s">
        <v>17478</v>
      </c>
      <c r="E8178" t="s">
        <v>24553</v>
      </c>
      <c r="F8178" t="s">
        <v>30052</v>
      </c>
      <c r="G8178" t="s">
        <v>30058</v>
      </c>
      <c r="H8178" t="s">
        <v>30067</v>
      </c>
      <c r="I8178" t="s">
        <v>3693</v>
      </c>
      <c r="J8178" t="s">
        <v>35202</v>
      </c>
      <c r="K8178" t="s">
        <v>39071</v>
      </c>
      <c r="M8178" t="s">
        <v>41971</v>
      </c>
      <c r="N8178" t="s">
        <v>43166</v>
      </c>
      <c r="O8178" t="s">
        <v>43167</v>
      </c>
      <c r="P8178">
        <v>0</v>
      </c>
      <c r="Q8178">
        <v>0</v>
      </c>
      <c r="R8178" t="s">
        <v>43174</v>
      </c>
      <c r="S8178" t="s">
        <v>43396</v>
      </c>
      <c r="T8178" t="s">
        <v>44800</v>
      </c>
      <c r="U8178" t="s">
        <v>51815</v>
      </c>
      <c r="W8178" t="s">
        <v>41971</v>
      </c>
      <c r="X8178" t="s">
        <v>43175</v>
      </c>
    </row>
    <row r="8179" spans="1:24">
      <c r="A8179">
        <f>HYPERLINK("https://www.philgeps.gov.ph/GEPSNONPILOT/Tender/SplashBidNoticeAbstractUI.aspx?menuIndex=3&amp;refID=7073863&amp;Result=3","7073863")</f>
        <v>0</v>
      </c>
      <c r="B8179" t="s">
        <v>2504</v>
      </c>
      <c r="C8179" t="s">
        <v>11199</v>
      </c>
      <c r="D8179" t="s">
        <v>17455</v>
      </c>
      <c r="E8179" t="s">
        <v>24554</v>
      </c>
      <c r="F8179" t="s">
        <v>30052</v>
      </c>
      <c r="G8179" t="s">
        <v>30058</v>
      </c>
      <c r="H8179" t="s">
        <v>30067</v>
      </c>
      <c r="I8179" t="s">
        <v>3693</v>
      </c>
      <c r="J8179" t="s">
        <v>31456</v>
      </c>
      <c r="K8179" t="s">
        <v>39038</v>
      </c>
      <c r="M8179" t="s">
        <v>42009</v>
      </c>
      <c r="N8179" t="s">
        <v>43166</v>
      </c>
      <c r="O8179" t="s">
        <v>43167</v>
      </c>
      <c r="P8179">
        <v>0</v>
      </c>
      <c r="Q8179">
        <v>0</v>
      </c>
      <c r="R8179" t="s">
        <v>43174</v>
      </c>
      <c r="S8179" t="s">
        <v>43396</v>
      </c>
      <c r="T8179" t="s">
        <v>44856</v>
      </c>
      <c r="U8179" t="s">
        <v>49881</v>
      </c>
      <c r="W8179" t="s">
        <v>42009</v>
      </c>
      <c r="X8179" t="s">
        <v>43175</v>
      </c>
    </row>
    <row r="8180" spans="1:24">
      <c r="A8180">
        <f>HYPERLINK("https://www.philgeps.gov.ph/GEPSNONPILOT/Tender/SplashBidNoticeAbstractUI.aspx?menuIndex=3&amp;refID=7073789&amp;Result=3","7073789")</f>
        <v>0</v>
      </c>
      <c r="B8180" t="s">
        <v>2505</v>
      </c>
      <c r="C8180" t="s">
        <v>11200</v>
      </c>
      <c r="D8180" t="s">
        <v>17444</v>
      </c>
      <c r="E8180" t="s">
        <v>11609</v>
      </c>
      <c r="F8180" t="s">
        <v>30052</v>
      </c>
      <c r="G8180" t="s">
        <v>30058</v>
      </c>
      <c r="H8180" t="s">
        <v>15498</v>
      </c>
      <c r="I8180" t="s">
        <v>3693</v>
      </c>
      <c r="J8180" t="s">
        <v>35203</v>
      </c>
      <c r="K8180" t="s">
        <v>39017</v>
      </c>
      <c r="M8180" t="s">
        <v>42010</v>
      </c>
      <c r="N8180" t="s">
        <v>43166</v>
      </c>
      <c r="O8180" t="s">
        <v>43167</v>
      </c>
      <c r="P8180">
        <v>0</v>
      </c>
      <c r="Q8180">
        <v>0</v>
      </c>
      <c r="R8180" t="s">
        <v>43174</v>
      </c>
      <c r="S8180" t="s">
        <v>43396</v>
      </c>
      <c r="T8180" t="s">
        <v>44685</v>
      </c>
      <c r="U8180" t="s">
        <v>51816</v>
      </c>
      <c r="W8180" t="s">
        <v>42010</v>
      </c>
      <c r="X8180" t="s">
        <v>43175</v>
      </c>
    </row>
    <row r="8181" spans="1:24">
      <c r="A8181">
        <f>HYPERLINK("https://www.philgeps.gov.ph/GEPSNONPILOT/Tender/SplashBidNoticeAbstractUI.aspx?menuIndex=3&amp;refID=7073911&amp;Result=3","7073911")</f>
        <v>0</v>
      </c>
      <c r="B8181" t="s">
        <v>1604</v>
      </c>
      <c r="C8181" t="s">
        <v>11201</v>
      </c>
      <c r="D8181" t="s">
        <v>17421</v>
      </c>
      <c r="E8181" t="s">
        <v>21435</v>
      </c>
      <c r="F8181" t="s">
        <v>30052</v>
      </c>
      <c r="G8181" t="s">
        <v>30058</v>
      </c>
      <c r="H8181" t="s">
        <v>15498</v>
      </c>
      <c r="I8181" t="s">
        <v>3736</v>
      </c>
      <c r="J8181" t="s">
        <v>35204</v>
      </c>
      <c r="K8181" t="s">
        <v>39029</v>
      </c>
      <c r="M8181" t="s">
        <v>41002</v>
      </c>
      <c r="N8181" t="s">
        <v>43166</v>
      </c>
      <c r="O8181" t="s">
        <v>43167</v>
      </c>
      <c r="P8181">
        <v>0</v>
      </c>
      <c r="Q8181">
        <v>0</v>
      </c>
      <c r="R8181" t="s">
        <v>43174</v>
      </c>
      <c r="S8181" t="s">
        <v>43396</v>
      </c>
      <c r="T8181" t="s">
        <v>44698</v>
      </c>
      <c r="U8181" t="s">
        <v>51817</v>
      </c>
      <c r="W8181" t="s">
        <v>41002</v>
      </c>
      <c r="X8181" t="s">
        <v>43175</v>
      </c>
    </row>
    <row r="8182" spans="1:24">
      <c r="A8182">
        <f>HYPERLINK("https://www.philgeps.gov.ph/GEPSNONPILOT/Tender/SplashBidNoticeAbstractUI.aspx?menuIndex=3&amp;refID=7073904&amp;Result=3","7073904")</f>
        <v>0</v>
      </c>
      <c r="B8182" t="s">
        <v>2454</v>
      </c>
      <c r="C8182" t="s">
        <v>11202</v>
      </c>
      <c r="D8182" t="s">
        <v>17486</v>
      </c>
      <c r="E8182" t="s">
        <v>24555</v>
      </c>
      <c r="F8182" t="s">
        <v>30052</v>
      </c>
      <c r="G8182" t="s">
        <v>30058</v>
      </c>
      <c r="H8182" t="s">
        <v>30067</v>
      </c>
      <c r="I8182" t="s">
        <v>3693</v>
      </c>
      <c r="J8182" t="s">
        <v>31185</v>
      </c>
      <c r="K8182" t="s">
        <v>39026</v>
      </c>
      <c r="M8182" t="s">
        <v>41953</v>
      </c>
      <c r="N8182" t="s">
        <v>43166</v>
      </c>
      <c r="O8182" t="s">
        <v>43167</v>
      </c>
      <c r="P8182">
        <v>0</v>
      </c>
      <c r="Q8182">
        <v>0</v>
      </c>
      <c r="R8182" t="s">
        <v>43174</v>
      </c>
      <c r="S8182" t="s">
        <v>43396</v>
      </c>
      <c r="T8182" t="s">
        <v>44791</v>
      </c>
      <c r="U8182" t="s">
        <v>51702</v>
      </c>
      <c r="W8182" t="s">
        <v>41953</v>
      </c>
      <c r="X8182" t="s">
        <v>43175</v>
      </c>
    </row>
    <row r="8183" spans="1:24">
      <c r="A8183">
        <f>HYPERLINK("https://www.philgeps.gov.ph/GEPSNONPILOT/Tender/SplashBidNoticeAbstractUI.aspx?menuIndex=3&amp;refID=7073902&amp;Result=3","7073902")</f>
        <v>0</v>
      </c>
      <c r="B8183" t="s">
        <v>1347</v>
      </c>
      <c r="C8183" t="s">
        <v>11203</v>
      </c>
      <c r="D8183" t="s">
        <v>17478</v>
      </c>
      <c r="E8183" t="s">
        <v>24556</v>
      </c>
      <c r="F8183" t="s">
        <v>30052</v>
      </c>
      <c r="G8183" t="s">
        <v>30058</v>
      </c>
      <c r="H8183" t="s">
        <v>15498</v>
      </c>
      <c r="I8183" t="s">
        <v>3736</v>
      </c>
      <c r="J8183" t="s">
        <v>35205</v>
      </c>
      <c r="K8183" t="s">
        <v>39019</v>
      </c>
      <c r="M8183" t="s">
        <v>40715</v>
      </c>
      <c r="N8183" t="s">
        <v>43166</v>
      </c>
      <c r="O8183" t="s">
        <v>43167</v>
      </c>
      <c r="P8183">
        <v>0</v>
      </c>
      <c r="Q8183">
        <v>0</v>
      </c>
      <c r="R8183" t="s">
        <v>43174</v>
      </c>
      <c r="S8183" t="s">
        <v>43396</v>
      </c>
      <c r="T8183" t="s">
        <v>44837</v>
      </c>
      <c r="U8183" t="s">
        <v>49800</v>
      </c>
      <c r="W8183" t="s">
        <v>40715</v>
      </c>
      <c r="X8183" t="s">
        <v>43175</v>
      </c>
    </row>
    <row r="8184" spans="1:24">
      <c r="A8184">
        <f>HYPERLINK("https://www.philgeps.gov.ph/GEPSNONPILOT/Tender/SplashBidNoticeAbstractUI.aspx?menuIndex=3&amp;refID=7073894&amp;Result=3","7073894")</f>
        <v>0</v>
      </c>
      <c r="B8184" t="s">
        <v>29</v>
      </c>
      <c r="C8184" t="s">
        <v>11204</v>
      </c>
      <c r="D8184" t="s">
        <v>17418</v>
      </c>
      <c r="E8184" t="s">
        <v>24557</v>
      </c>
      <c r="F8184" t="s">
        <v>30052</v>
      </c>
      <c r="G8184" t="s">
        <v>30058</v>
      </c>
      <c r="H8184" t="s">
        <v>30067</v>
      </c>
      <c r="I8184" t="s">
        <v>3693</v>
      </c>
      <c r="J8184" t="s">
        <v>35206</v>
      </c>
      <c r="K8184" t="s">
        <v>39029</v>
      </c>
      <c r="M8184" t="s">
        <v>39319</v>
      </c>
      <c r="N8184" t="s">
        <v>43166</v>
      </c>
      <c r="O8184" t="s">
        <v>43167</v>
      </c>
      <c r="P8184">
        <v>0</v>
      </c>
      <c r="Q8184">
        <v>0</v>
      </c>
      <c r="R8184" t="s">
        <v>43174</v>
      </c>
      <c r="S8184" t="s">
        <v>43396</v>
      </c>
      <c r="T8184" t="s">
        <v>45089</v>
      </c>
      <c r="U8184" t="s">
        <v>51818</v>
      </c>
      <c r="W8184" t="s">
        <v>39319</v>
      </c>
      <c r="X8184" t="s">
        <v>43175</v>
      </c>
    </row>
    <row r="8185" spans="1:24">
      <c r="A8185">
        <f>HYPERLINK("https://www.philgeps.gov.ph/GEPSNONPILOT/Tender/SplashBidNoticeAbstractUI.aspx?menuIndex=3&amp;refID=7073892&amp;Result=3","7073892")</f>
        <v>0</v>
      </c>
      <c r="B8185" t="s">
        <v>2215</v>
      </c>
      <c r="C8185" t="s">
        <v>11205</v>
      </c>
      <c r="E8185" t="s">
        <v>11486</v>
      </c>
      <c r="F8185" t="s">
        <v>30052</v>
      </c>
      <c r="G8185" t="s">
        <v>30058</v>
      </c>
      <c r="H8185" t="s">
        <v>30067</v>
      </c>
      <c r="I8185" t="s">
        <v>3736</v>
      </c>
      <c r="J8185" t="s">
        <v>35207</v>
      </c>
      <c r="K8185" t="s">
        <v>39025</v>
      </c>
      <c r="M8185" t="s">
        <v>41685</v>
      </c>
      <c r="N8185" t="s">
        <v>43166</v>
      </c>
      <c r="O8185" t="s">
        <v>43167</v>
      </c>
      <c r="P8185">
        <v>0</v>
      </c>
      <c r="Q8185">
        <v>0</v>
      </c>
      <c r="R8185" t="s">
        <v>43174</v>
      </c>
      <c r="S8185" t="s">
        <v>43396</v>
      </c>
      <c r="T8185" t="s">
        <v>44717</v>
      </c>
      <c r="U8185" t="s">
        <v>50838</v>
      </c>
      <c r="W8185" t="s">
        <v>41685</v>
      </c>
      <c r="X8185" t="s">
        <v>43175</v>
      </c>
    </row>
    <row r="8186" spans="1:24">
      <c r="A8186">
        <f>HYPERLINK("https://www.philgeps.gov.ph/GEPSNONPILOT/Tender/SplashBidNoticeAbstractUI.aspx?menuIndex=3&amp;refID=7073891&amp;Result=3","7073891")</f>
        <v>0</v>
      </c>
      <c r="B8186" t="s">
        <v>2506</v>
      </c>
      <c r="C8186" t="s">
        <v>11206</v>
      </c>
      <c r="D8186" t="s">
        <v>17414</v>
      </c>
      <c r="E8186" t="s">
        <v>24558</v>
      </c>
      <c r="F8186" t="s">
        <v>30055</v>
      </c>
      <c r="G8186" t="s">
        <v>30058</v>
      </c>
      <c r="H8186" t="s">
        <v>15498</v>
      </c>
      <c r="I8186" t="s">
        <v>30075</v>
      </c>
      <c r="J8186" t="s">
        <v>35208</v>
      </c>
      <c r="K8186" t="s">
        <v>39046</v>
      </c>
      <c r="M8186" t="s">
        <v>42011</v>
      </c>
      <c r="N8186" t="s">
        <v>43166</v>
      </c>
      <c r="O8186" t="s">
        <v>43167</v>
      </c>
      <c r="P8186">
        <v>0</v>
      </c>
      <c r="Q8186">
        <v>4</v>
      </c>
      <c r="R8186" t="s">
        <v>43174</v>
      </c>
      <c r="S8186" t="s">
        <v>43396</v>
      </c>
      <c r="T8186" t="s">
        <v>45020</v>
      </c>
      <c r="U8186" t="s">
        <v>51819</v>
      </c>
      <c r="W8186" t="s">
        <v>42011</v>
      </c>
      <c r="X8186" t="s">
        <v>43175</v>
      </c>
    </row>
    <row r="8187" spans="1:24">
      <c r="A8187">
        <f>HYPERLINK("https://www.philgeps.gov.ph/GEPSNONPILOT/Tender/SplashBidNoticeAbstractUI.aspx?menuIndex=3&amp;refID=7073890&amp;Result=3","7073890")</f>
        <v>0</v>
      </c>
      <c r="B8187" t="s">
        <v>145</v>
      </c>
      <c r="C8187" t="s">
        <v>11207</v>
      </c>
      <c r="D8187" t="s">
        <v>17453</v>
      </c>
      <c r="E8187" t="s">
        <v>24559</v>
      </c>
      <c r="F8187" t="s">
        <v>30052</v>
      </c>
      <c r="G8187" t="s">
        <v>30059</v>
      </c>
      <c r="H8187" t="s">
        <v>15498</v>
      </c>
      <c r="I8187" t="s">
        <v>3852</v>
      </c>
      <c r="J8187" t="s">
        <v>30248</v>
      </c>
      <c r="K8187" t="s">
        <v>39052</v>
      </c>
      <c r="M8187" t="s">
        <v>39434</v>
      </c>
      <c r="N8187" t="s">
        <v>43166</v>
      </c>
      <c r="O8187" t="s">
        <v>43167</v>
      </c>
      <c r="P8187">
        <v>0</v>
      </c>
      <c r="Q8187">
        <v>3</v>
      </c>
      <c r="R8187" t="s">
        <v>43174</v>
      </c>
      <c r="S8187" t="s">
        <v>43396</v>
      </c>
      <c r="T8187" t="s">
        <v>44993</v>
      </c>
      <c r="U8187" t="s">
        <v>51820</v>
      </c>
      <c r="V8187" t="s">
        <v>57204</v>
      </c>
      <c r="W8187" t="s">
        <v>58630</v>
      </c>
      <c r="X8187" t="s">
        <v>43175</v>
      </c>
    </row>
    <row r="8188" spans="1:24">
      <c r="A8188">
        <f>HYPERLINK("https://www.philgeps.gov.ph/GEPSNONPILOT/Tender/SplashBidNoticeAbstractUI.aspx?menuIndex=3&amp;refID=7073763&amp;Result=3","7073763")</f>
        <v>0</v>
      </c>
      <c r="B8188" t="s">
        <v>797</v>
      </c>
      <c r="C8188" t="s">
        <v>11208</v>
      </c>
      <c r="E8188" t="s">
        <v>24560</v>
      </c>
      <c r="F8188" t="s">
        <v>30052</v>
      </c>
      <c r="G8188" t="s">
        <v>30059</v>
      </c>
      <c r="H8188" t="s">
        <v>30067</v>
      </c>
      <c r="I8188" t="s">
        <v>30163</v>
      </c>
      <c r="J8188" t="s">
        <v>35209</v>
      </c>
      <c r="K8188" t="s">
        <v>39025</v>
      </c>
      <c r="M8188" t="s">
        <v>40826</v>
      </c>
      <c r="N8188" t="s">
        <v>43166</v>
      </c>
      <c r="O8188" t="s">
        <v>43167</v>
      </c>
      <c r="P8188">
        <v>0</v>
      </c>
      <c r="Q8188">
        <v>5</v>
      </c>
      <c r="R8188" t="s">
        <v>43174</v>
      </c>
      <c r="S8188" t="s">
        <v>43396</v>
      </c>
      <c r="T8188" t="s">
        <v>44788</v>
      </c>
      <c r="U8188" t="s">
        <v>51821</v>
      </c>
      <c r="W8188" t="s">
        <v>40826</v>
      </c>
      <c r="X8188" t="s">
        <v>43175</v>
      </c>
    </row>
    <row r="8189" spans="1:24">
      <c r="A8189">
        <f>HYPERLINK("https://www.philgeps.gov.ph/GEPSNONPILOT/Tender/SplashBidNoticeAbstractUI.aspx?menuIndex=3&amp;refID=7073874&amp;Result=3","7073874")</f>
        <v>0</v>
      </c>
      <c r="B8189" t="s">
        <v>2454</v>
      </c>
      <c r="C8189" t="s">
        <v>11209</v>
      </c>
      <c r="D8189" t="s">
        <v>17486</v>
      </c>
      <c r="E8189" t="s">
        <v>24561</v>
      </c>
      <c r="F8189" t="s">
        <v>30052</v>
      </c>
      <c r="G8189" t="s">
        <v>30058</v>
      </c>
      <c r="H8189" t="s">
        <v>30067</v>
      </c>
      <c r="I8189" t="s">
        <v>3693</v>
      </c>
      <c r="J8189" t="s">
        <v>30873</v>
      </c>
      <c r="K8189" t="s">
        <v>39022</v>
      </c>
      <c r="M8189" t="s">
        <v>41953</v>
      </c>
      <c r="N8189" t="s">
        <v>43166</v>
      </c>
      <c r="O8189" t="s">
        <v>43167</v>
      </c>
      <c r="P8189">
        <v>0</v>
      </c>
      <c r="Q8189">
        <v>0</v>
      </c>
      <c r="R8189" t="s">
        <v>43174</v>
      </c>
      <c r="S8189" t="s">
        <v>43396</v>
      </c>
      <c r="T8189" t="s">
        <v>44791</v>
      </c>
      <c r="U8189" t="s">
        <v>51822</v>
      </c>
      <c r="W8189" t="s">
        <v>41953</v>
      </c>
      <c r="X8189" t="s">
        <v>43175</v>
      </c>
    </row>
    <row r="8190" spans="1:24">
      <c r="A8190">
        <f>HYPERLINK("https://www.philgeps.gov.ph/GEPSNONPILOT/Tender/SplashBidNoticeAbstractUI.aspx?menuIndex=3&amp;refID=7073860&amp;Result=3","7073860")</f>
        <v>0</v>
      </c>
      <c r="B8190" t="s">
        <v>2507</v>
      </c>
      <c r="C8190" t="s">
        <v>11210</v>
      </c>
      <c r="D8190" t="s">
        <v>17440</v>
      </c>
      <c r="E8190" t="s">
        <v>24562</v>
      </c>
      <c r="F8190" t="s">
        <v>30052</v>
      </c>
      <c r="G8190" t="s">
        <v>30058</v>
      </c>
      <c r="H8190" t="s">
        <v>30067</v>
      </c>
      <c r="I8190" t="s">
        <v>3693</v>
      </c>
      <c r="J8190" t="s">
        <v>35210</v>
      </c>
      <c r="K8190" t="s">
        <v>39057</v>
      </c>
      <c r="M8190" t="s">
        <v>42012</v>
      </c>
      <c r="N8190" t="s">
        <v>43166</v>
      </c>
      <c r="O8190" t="s">
        <v>43167</v>
      </c>
      <c r="P8190">
        <v>0</v>
      </c>
      <c r="Q8190">
        <v>2</v>
      </c>
      <c r="R8190" t="s">
        <v>43174</v>
      </c>
      <c r="S8190" t="s">
        <v>43396</v>
      </c>
      <c r="T8190" t="s">
        <v>44807</v>
      </c>
      <c r="U8190" t="s">
        <v>51823</v>
      </c>
      <c r="W8190" t="s">
        <v>58676</v>
      </c>
      <c r="X8190" t="s">
        <v>43175</v>
      </c>
    </row>
    <row r="8191" spans="1:24">
      <c r="A8191">
        <f>HYPERLINK("https://www.philgeps.gov.ph/GEPSNONPILOT/Tender/SplashBidNoticeAbstractUI.aspx?menuIndex=3&amp;refID=7073857&amp;Result=3","7073857")</f>
        <v>0</v>
      </c>
      <c r="B8191" t="s">
        <v>2508</v>
      </c>
      <c r="C8191" t="s">
        <v>11211</v>
      </c>
      <c r="D8191" t="s">
        <v>17448</v>
      </c>
      <c r="E8191" t="s">
        <v>24563</v>
      </c>
      <c r="F8191" t="s">
        <v>30052</v>
      </c>
      <c r="G8191" t="s">
        <v>30058</v>
      </c>
      <c r="H8191" t="s">
        <v>15498</v>
      </c>
      <c r="I8191" t="s">
        <v>30070</v>
      </c>
      <c r="J8191" t="s">
        <v>30207</v>
      </c>
      <c r="K8191" t="s">
        <v>39034</v>
      </c>
      <c r="M8191" t="s">
        <v>42013</v>
      </c>
      <c r="N8191" t="s">
        <v>43166</v>
      </c>
      <c r="O8191" t="s">
        <v>43167</v>
      </c>
      <c r="P8191">
        <v>0</v>
      </c>
      <c r="Q8191">
        <v>0</v>
      </c>
      <c r="R8191" t="s">
        <v>43174</v>
      </c>
      <c r="S8191" t="s">
        <v>43396</v>
      </c>
      <c r="T8191" t="s">
        <v>44856</v>
      </c>
      <c r="U8191" t="s">
        <v>51824</v>
      </c>
      <c r="W8191" t="s">
        <v>42013</v>
      </c>
      <c r="X8191" t="s">
        <v>43175</v>
      </c>
    </row>
    <row r="8192" spans="1:24">
      <c r="A8192">
        <f>HYPERLINK("https://www.philgeps.gov.ph/GEPSNONPILOT/Tender/SplashBidNoticeAbstractUI.aspx?menuIndex=3&amp;refID=7073843&amp;Result=3","7073843")</f>
        <v>0</v>
      </c>
      <c r="B8192" t="s">
        <v>1604</v>
      </c>
      <c r="C8192" t="s">
        <v>11212</v>
      </c>
      <c r="D8192" t="s">
        <v>17421</v>
      </c>
      <c r="E8192" t="s">
        <v>21435</v>
      </c>
      <c r="F8192" t="s">
        <v>30052</v>
      </c>
      <c r="G8192" t="s">
        <v>30058</v>
      </c>
      <c r="H8192" t="s">
        <v>15498</v>
      </c>
      <c r="I8192" t="s">
        <v>3736</v>
      </c>
      <c r="J8192" t="s">
        <v>35211</v>
      </c>
      <c r="K8192" t="s">
        <v>39029</v>
      </c>
      <c r="M8192" t="s">
        <v>41002</v>
      </c>
      <c r="N8192" t="s">
        <v>43166</v>
      </c>
      <c r="O8192" t="s">
        <v>43167</v>
      </c>
      <c r="P8192">
        <v>0</v>
      </c>
      <c r="Q8192">
        <v>0</v>
      </c>
      <c r="R8192" t="s">
        <v>43174</v>
      </c>
      <c r="S8192" t="s">
        <v>43396</v>
      </c>
      <c r="T8192" t="s">
        <v>44698</v>
      </c>
      <c r="U8192" t="s">
        <v>51817</v>
      </c>
      <c r="W8192" t="s">
        <v>41002</v>
      </c>
      <c r="X8192" t="s">
        <v>43175</v>
      </c>
    </row>
    <row r="8193" spans="1:24">
      <c r="A8193">
        <f>HYPERLINK("https://www.philgeps.gov.ph/GEPSNONPILOT/Tender/SplashBidNoticeAbstractUI.aspx?menuIndex=3&amp;refID=7073842&amp;Result=3","7073842")</f>
        <v>0</v>
      </c>
      <c r="B8193" t="s">
        <v>2454</v>
      </c>
      <c r="C8193" t="s">
        <v>11213</v>
      </c>
      <c r="D8193" t="s">
        <v>17486</v>
      </c>
      <c r="E8193" t="s">
        <v>24564</v>
      </c>
      <c r="F8193" t="s">
        <v>30052</v>
      </c>
      <c r="G8193" t="s">
        <v>30058</v>
      </c>
      <c r="H8193" t="s">
        <v>30067</v>
      </c>
      <c r="I8193" t="s">
        <v>3693</v>
      </c>
      <c r="J8193" t="s">
        <v>30873</v>
      </c>
      <c r="K8193" t="s">
        <v>39031</v>
      </c>
      <c r="M8193" t="s">
        <v>41953</v>
      </c>
      <c r="N8193" t="s">
        <v>43166</v>
      </c>
      <c r="O8193" t="s">
        <v>43167</v>
      </c>
      <c r="P8193">
        <v>0</v>
      </c>
      <c r="Q8193">
        <v>0</v>
      </c>
      <c r="R8193" t="s">
        <v>43174</v>
      </c>
      <c r="S8193" t="s">
        <v>43396</v>
      </c>
      <c r="T8193" t="s">
        <v>44699</v>
      </c>
      <c r="U8193" t="s">
        <v>51720</v>
      </c>
      <c r="W8193" t="s">
        <v>41953</v>
      </c>
      <c r="X8193" t="s">
        <v>43175</v>
      </c>
    </row>
    <row r="8194" spans="1:24">
      <c r="A8194">
        <f>HYPERLINK("https://www.philgeps.gov.ph/GEPSNONPILOT/Tender/SplashBidNoticeAbstractUI.aspx?menuIndex=3&amp;refID=7073841&amp;Result=3","7073841")</f>
        <v>0</v>
      </c>
      <c r="B8194" t="s">
        <v>2098</v>
      </c>
      <c r="C8194" t="s">
        <v>11214</v>
      </c>
      <c r="D8194" t="s">
        <v>17414</v>
      </c>
      <c r="E8194" t="s">
        <v>24565</v>
      </c>
      <c r="F8194" t="s">
        <v>30052</v>
      </c>
      <c r="G8194" t="s">
        <v>30059</v>
      </c>
      <c r="H8194" t="s">
        <v>15498</v>
      </c>
      <c r="I8194" t="s">
        <v>30073</v>
      </c>
      <c r="J8194" t="s">
        <v>35212</v>
      </c>
      <c r="K8194" t="s">
        <v>39017</v>
      </c>
      <c r="M8194" t="s">
        <v>42002</v>
      </c>
      <c r="N8194" t="s">
        <v>43166</v>
      </c>
      <c r="O8194" t="s">
        <v>43167</v>
      </c>
      <c r="P8194">
        <v>0</v>
      </c>
      <c r="Q8194">
        <v>0</v>
      </c>
      <c r="R8194" t="s">
        <v>43174</v>
      </c>
      <c r="S8194" t="s">
        <v>43396</v>
      </c>
      <c r="T8194" t="s">
        <v>44777</v>
      </c>
      <c r="U8194" t="s">
        <v>51825</v>
      </c>
      <c r="W8194" t="s">
        <v>42002</v>
      </c>
      <c r="X8194" t="s">
        <v>43175</v>
      </c>
    </row>
    <row r="8195" spans="1:24">
      <c r="A8195">
        <f>HYPERLINK("https://www.philgeps.gov.ph/GEPSNONPILOT/Tender/SplashBidNoticeAbstractUI.aspx?menuIndex=3&amp;refID=7073840&amp;Result=3","7073840")</f>
        <v>0</v>
      </c>
      <c r="B8195" t="s">
        <v>2509</v>
      </c>
      <c r="C8195" t="s">
        <v>11215</v>
      </c>
      <c r="D8195" t="s">
        <v>17452</v>
      </c>
      <c r="E8195" t="s">
        <v>24566</v>
      </c>
      <c r="F8195" t="s">
        <v>30052</v>
      </c>
      <c r="G8195" t="s">
        <v>30058</v>
      </c>
      <c r="H8195" t="s">
        <v>30069</v>
      </c>
      <c r="I8195" t="s">
        <v>30129</v>
      </c>
      <c r="J8195" t="s">
        <v>35129</v>
      </c>
      <c r="K8195" t="s">
        <v>39067</v>
      </c>
      <c r="M8195" t="s">
        <v>42014</v>
      </c>
      <c r="N8195" t="s">
        <v>43166</v>
      </c>
      <c r="O8195" t="s">
        <v>43167</v>
      </c>
      <c r="P8195">
        <v>0</v>
      </c>
      <c r="Q8195">
        <v>0</v>
      </c>
      <c r="R8195" t="s">
        <v>43174</v>
      </c>
      <c r="S8195" t="s">
        <v>43396</v>
      </c>
      <c r="T8195" t="s">
        <v>45009</v>
      </c>
      <c r="U8195" t="s">
        <v>51826</v>
      </c>
      <c r="V8195" t="s">
        <v>57696</v>
      </c>
      <c r="W8195" t="s">
        <v>42014</v>
      </c>
      <c r="X8195" t="s">
        <v>43175</v>
      </c>
    </row>
    <row r="8196" spans="1:24">
      <c r="A8196">
        <f>HYPERLINK("https://www.philgeps.gov.ph/GEPSNONPILOT/Tender/SplashBidNoticeAbstractUI.aspx?menuIndex=3&amp;refID=7073878&amp;Result=3","7073878")</f>
        <v>0</v>
      </c>
      <c r="B8196" t="s">
        <v>1604</v>
      </c>
      <c r="C8196" t="s">
        <v>11216</v>
      </c>
      <c r="D8196" t="s">
        <v>17421</v>
      </c>
      <c r="E8196" t="s">
        <v>21435</v>
      </c>
      <c r="F8196" t="s">
        <v>30052</v>
      </c>
      <c r="G8196" t="s">
        <v>30058</v>
      </c>
      <c r="H8196" t="s">
        <v>15498</v>
      </c>
      <c r="I8196" t="s">
        <v>3736</v>
      </c>
      <c r="J8196" t="s">
        <v>35213</v>
      </c>
      <c r="K8196" t="s">
        <v>39029</v>
      </c>
      <c r="M8196" t="s">
        <v>41002</v>
      </c>
      <c r="N8196" t="s">
        <v>43166</v>
      </c>
      <c r="O8196" t="s">
        <v>43167</v>
      </c>
      <c r="P8196">
        <v>0</v>
      </c>
      <c r="Q8196">
        <v>0</v>
      </c>
      <c r="R8196" t="s">
        <v>43174</v>
      </c>
      <c r="S8196" t="s">
        <v>43396</v>
      </c>
      <c r="T8196" t="s">
        <v>44698</v>
      </c>
      <c r="U8196" t="s">
        <v>51817</v>
      </c>
      <c r="W8196" t="s">
        <v>41002</v>
      </c>
      <c r="X8196" t="s">
        <v>43175</v>
      </c>
    </row>
    <row r="8197" spans="1:24">
      <c r="A8197">
        <f>HYPERLINK("https://www.philgeps.gov.ph/GEPSNONPILOT/Tender/SplashBidNoticeAbstractUI.aspx?menuIndex=3&amp;refID=7073834&amp;Result=3","7073834")</f>
        <v>0</v>
      </c>
      <c r="B8197" t="s">
        <v>1295</v>
      </c>
      <c r="C8197" t="s">
        <v>11217</v>
      </c>
      <c r="D8197" t="s">
        <v>17485</v>
      </c>
      <c r="E8197" t="s">
        <v>24567</v>
      </c>
      <c r="F8197" t="s">
        <v>30052</v>
      </c>
      <c r="G8197" t="s">
        <v>30058</v>
      </c>
      <c r="H8197" t="s">
        <v>15498</v>
      </c>
      <c r="I8197" t="s">
        <v>30092</v>
      </c>
      <c r="J8197" t="s">
        <v>35214</v>
      </c>
      <c r="K8197" t="s">
        <v>39037</v>
      </c>
      <c r="M8197" t="s">
        <v>40661</v>
      </c>
      <c r="N8197" t="s">
        <v>43166</v>
      </c>
      <c r="O8197" t="s">
        <v>43167</v>
      </c>
      <c r="P8197">
        <v>0</v>
      </c>
      <c r="Q8197">
        <v>1</v>
      </c>
      <c r="R8197" t="s">
        <v>43174</v>
      </c>
      <c r="S8197" t="s">
        <v>43396</v>
      </c>
      <c r="T8197" t="s">
        <v>44832</v>
      </c>
      <c r="U8197" t="s">
        <v>51827</v>
      </c>
      <c r="W8197" t="s">
        <v>40661</v>
      </c>
      <c r="X8197" t="s">
        <v>43175</v>
      </c>
    </row>
    <row r="8198" spans="1:24">
      <c r="A8198">
        <f>HYPERLINK("https://www.philgeps.gov.ph/GEPSNONPILOT/Tender/SplashBidNoticeAbstractUI.aspx?menuIndex=3&amp;refID=7073830&amp;Result=3","7073830")</f>
        <v>0</v>
      </c>
      <c r="B8198" t="s">
        <v>145</v>
      </c>
      <c r="C8198" t="s">
        <v>11218</v>
      </c>
      <c r="D8198" t="s">
        <v>17453</v>
      </c>
      <c r="E8198" t="s">
        <v>24568</v>
      </c>
      <c r="F8198" t="s">
        <v>30052</v>
      </c>
      <c r="G8198" t="s">
        <v>30059</v>
      </c>
      <c r="H8198" t="s">
        <v>15498</v>
      </c>
      <c r="I8198" t="s">
        <v>30096</v>
      </c>
      <c r="J8198" t="s">
        <v>30256</v>
      </c>
      <c r="K8198" t="s">
        <v>39029</v>
      </c>
      <c r="M8198" t="s">
        <v>39434</v>
      </c>
      <c r="N8198" t="s">
        <v>43166</v>
      </c>
      <c r="O8198" t="s">
        <v>43167</v>
      </c>
      <c r="P8198">
        <v>0</v>
      </c>
      <c r="Q8198">
        <v>3</v>
      </c>
      <c r="R8198" t="s">
        <v>43174</v>
      </c>
      <c r="S8198" t="s">
        <v>43396</v>
      </c>
      <c r="T8198" t="s">
        <v>44993</v>
      </c>
      <c r="U8198" t="s">
        <v>51828</v>
      </c>
      <c r="V8198" t="s">
        <v>57204</v>
      </c>
      <c r="W8198" t="s">
        <v>58630</v>
      </c>
      <c r="X8198" t="s">
        <v>43175</v>
      </c>
    </row>
    <row r="8199" spans="1:24">
      <c r="A8199">
        <f>HYPERLINK("https://www.philgeps.gov.ph/GEPSNONPILOT/Tender/SplashBidNoticeAbstractUI.aspx?menuIndex=3&amp;refID=7073923&amp;Result=3","7073923")</f>
        <v>0</v>
      </c>
      <c r="B8199" t="s">
        <v>2510</v>
      </c>
      <c r="C8199" t="s">
        <v>11219</v>
      </c>
      <c r="D8199" t="s">
        <v>17475</v>
      </c>
      <c r="E8199" t="s">
        <v>24569</v>
      </c>
      <c r="F8199" t="s">
        <v>30055</v>
      </c>
      <c r="G8199" t="s">
        <v>30059</v>
      </c>
      <c r="H8199" t="s">
        <v>15498</v>
      </c>
      <c r="I8199" t="s">
        <v>30070</v>
      </c>
      <c r="J8199" t="s">
        <v>30924</v>
      </c>
      <c r="K8199" t="s">
        <v>39017</v>
      </c>
      <c r="M8199" t="s">
        <v>42015</v>
      </c>
      <c r="N8199" t="s">
        <v>43166</v>
      </c>
      <c r="O8199" t="s">
        <v>43167</v>
      </c>
      <c r="P8199">
        <v>0</v>
      </c>
      <c r="Q8199">
        <v>1</v>
      </c>
      <c r="R8199" t="s">
        <v>43174</v>
      </c>
      <c r="S8199" t="s">
        <v>43396</v>
      </c>
      <c r="T8199" t="s">
        <v>44788</v>
      </c>
      <c r="U8199" t="s">
        <v>51829</v>
      </c>
      <c r="V8199" t="s">
        <v>57697</v>
      </c>
      <c r="W8199" t="s">
        <v>42015</v>
      </c>
      <c r="X8199" t="s">
        <v>43175</v>
      </c>
    </row>
    <row r="8200" spans="1:24">
      <c r="A8200">
        <f>HYPERLINK("https://www.philgeps.gov.ph/GEPSNONPILOT/Tender/SplashBidNoticeAbstractUI.aspx?menuIndex=3&amp;refID=7073981&amp;Result=3","7073981")</f>
        <v>0</v>
      </c>
      <c r="B8200" t="s">
        <v>2454</v>
      </c>
      <c r="C8200" t="s">
        <v>11220</v>
      </c>
      <c r="D8200" t="s">
        <v>17486</v>
      </c>
      <c r="E8200" t="s">
        <v>24570</v>
      </c>
      <c r="F8200" t="s">
        <v>30052</v>
      </c>
      <c r="G8200" t="s">
        <v>30058</v>
      </c>
      <c r="H8200" t="s">
        <v>30067</v>
      </c>
      <c r="I8200" t="s">
        <v>3693</v>
      </c>
      <c r="J8200" t="s">
        <v>31185</v>
      </c>
      <c r="K8200" t="s">
        <v>39026</v>
      </c>
      <c r="M8200" t="s">
        <v>41953</v>
      </c>
      <c r="N8200" t="s">
        <v>43166</v>
      </c>
      <c r="O8200" t="s">
        <v>43167</v>
      </c>
      <c r="P8200">
        <v>0</v>
      </c>
      <c r="Q8200">
        <v>0</v>
      </c>
      <c r="R8200" t="s">
        <v>43174</v>
      </c>
      <c r="S8200" t="s">
        <v>43396</v>
      </c>
      <c r="T8200" t="s">
        <v>44791</v>
      </c>
      <c r="U8200" t="s">
        <v>51702</v>
      </c>
      <c r="W8200" t="s">
        <v>41953</v>
      </c>
      <c r="X8200" t="s">
        <v>43175</v>
      </c>
    </row>
    <row r="8201" spans="1:24">
      <c r="A8201">
        <f>HYPERLINK("https://www.philgeps.gov.ph/GEPSNONPILOT/Tender/SplashBidNoticeAbstractUI.aspx?menuIndex=3&amp;refID=7073772&amp;Result=3","7073772")</f>
        <v>0</v>
      </c>
      <c r="B8201" t="s">
        <v>2489</v>
      </c>
      <c r="C8201" t="s">
        <v>3459</v>
      </c>
      <c r="D8201" t="s">
        <v>17430</v>
      </c>
      <c r="E8201" t="s">
        <v>17667</v>
      </c>
      <c r="F8201" t="s">
        <v>30055</v>
      </c>
      <c r="G8201" t="s">
        <v>30058</v>
      </c>
      <c r="H8201" t="s">
        <v>15498</v>
      </c>
      <c r="I8201" t="s">
        <v>30070</v>
      </c>
      <c r="J8201" t="s">
        <v>35215</v>
      </c>
      <c r="K8201" t="s">
        <v>39029</v>
      </c>
      <c r="M8201" t="s">
        <v>41990</v>
      </c>
      <c r="N8201" t="s">
        <v>43166</v>
      </c>
      <c r="O8201" t="s">
        <v>43167</v>
      </c>
      <c r="P8201">
        <v>0</v>
      </c>
      <c r="Q8201">
        <v>5</v>
      </c>
      <c r="R8201" t="s">
        <v>43174</v>
      </c>
      <c r="S8201" t="s">
        <v>43396</v>
      </c>
      <c r="T8201" t="s">
        <v>44789</v>
      </c>
      <c r="U8201" t="s">
        <v>46634</v>
      </c>
      <c r="W8201" t="s">
        <v>41990</v>
      </c>
      <c r="X8201" t="s">
        <v>43175</v>
      </c>
    </row>
    <row r="8202" spans="1:24">
      <c r="A8202">
        <f>HYPERLINK("https://www.philgeps.gov.ph/GEPSNONPILOT/Tender/SplashBidNoticeAbstractUI.aspx?menuIndex=3&amp;refID=7073978&amp;Result=3","7073978")</f>
        <v>0</v>
      </c>
      <c r="B8202" t="s">
        <v>77</v>
      </c>
      <c r="C8202" t="s">
        <v>11221</v>
      </c>
      <c r="D8202" t="s">
        <v>17421</v>
      </c>
      <c r="E8202" t="s">
        <v>24571</v>
      </c>
      <c r="F8202" t="s">
        <v>30052</v>
      </c>
      <c r="G8202" t="s">
        <v>30058</v>
      </c>
      <c r="H8202" t="s">
        <v>30067</v>
      </c>
      <c r="I8202" t="s">
        <v>3693</v>
      </c>
      <c r="J8202" t="s">
        <v>35216</v>
      </c>
      <c r="K8202" t="s">
        <v>39016</v>
      </c>
      <c r="M8202" t="s">
        <v>39366</v>
      </c>
      <c r="N8202" t="s">
        <v>43166</v>
      </c>
      <c r="O8202" t="s">
        <v>43167</v>
      </c>
      <c r="P8202">
        <v>0</v>
      </c>
      <c r="Q8202">
        <v>6</v>
      </c>
      <c r="R8202" t="s">
        <v>43174</v>
      </c>
      <c r="S8202" t="s">
        <v>43396</v>
      </c>
      <c r="T8202" t="s">
        <v>44758</v>
      </c>
      <c r="U8202" t="s">
        <v>51830</v>
      </c>
      <c r="V8202" t="s">
        <v>57698</v>
      </c>
      <c r="W8202" t="s">
        <v>39366</v>
      </c>
      <c r="X8202" t="s">
        <v>43175</v>
      </c>
    </row>
    <row r="8203" spans="1:24">
      <c r="A8203">
        <f>HYPERLINK("https://www.philgeps.gov.ph/GEPSNONPILOT/Tender/SplashBidNoticeAbstractUI.aspx?menuIndex=3&amp;refID=7073976&amp;Result=3","7073976")</f>
        <v>0</v>
      </c>
      <c r="B8203" t="s">
        <v>1661</v>
      </c>
      <c r="C8203" t="s">
        <v>11222</v>
      </c>
      <c r="D8203" t="s">
        <v>17422</v>
      </c>
      <c r="E8203" t="s">
        <v>24572</v>
      </c>
      <c r="F8203" t="s">
        <v>30052</v>
      </c>
      <c r="G8203" t="s">
        <v>30059</v>
      </c>
      <c r="H8203" t="s">
        <v>15498</v>
      </c>
      <c r="I8203" t="s">
        <v>30103</v>
      </c>
      <c r="J8203" t="s">
        <v>35217</v>
      </c>
      <c r="K8203" t="s">
        <v>39025</v>
      </c>
      <c r="M8203" t="s">
        <v>41992</v>
      </c>
      <c r="N8203" t="s">
        <v>43166</v>
      </c>
      <c r="O8203" t="s">
        <v>43167</v>
      </c>
      <c r="P8203">
        <v>0</v>
      </c>
      <c r="Q8203">
        <v>2</v>
      </c>
      <c r="R8203" t="s">
        <v>43174</v>
      </c>
      <c r="S8203" t="s">
        <v>43396</v>
      </c>
      <c r="T8203" t="s">
        <v>44698</v>
      </c>
      <c r="U8203" t="s">
        <v>51774</v>
      </c>
      <c r="W8203" t="s">
        <v>41992</v>
      </c>
      <c r="X8203" t="s">
        <v>43175</v>
      </c>
    </row>
    <row r="8204" spans="1:24">
      <c r="A8204">
        <f>HYPERLINK("https://www.philgeps.gov.ph/GEPSNONPILOT/Tender/SplashBidNoticeAbstractUI.aspx?menuIndex=3&amp;refID=7073973&amp;Result=3","7073973")</f>
        <v>0</v>
      </c>
      <c r="B8204" t="s">
        <v>47</v>
      </c>
      <c r="C8204" t="s">
        <v>11223</v>
      </c>
      <c r="D8204" t="s">
        <v>17430</v>
      </c>
      <c r="E8204" t="s">
        <v>24573</v>
      </c>
      <c r="F8204" t="s">
        <v>30052</v>
      </c>
      <c r="G8204" t="s">
        <v>30061</v>
      </c>
      <c r="H8204" t="s">
        <v>15498</v>
      </c>
      <c r="I8204" t="s">
        <v>30098</v>
      </c>
      <c r="J8204" t="s">
        <v>30861</v>
      </c>
      <c r="K8204" t="s">
        <v>39019</v>
      </c>
      <c r="M8204" t="s">
        <v>39337</v>
      </c>
      <c r="N8204" t="s">
        <v>43166</v>
      </c>
      <c r="O8204" t="s">
        <v>43167</v>
      </c>
      <c r="P8204">
        <v>0</v>
      </c>
      <c r="Q8204">
        <v>0</v>
      </c>
      <c r="R8204" t="s">
        <v>43174</v>
      </c>
      <c r="S8204" t="s">
        <v>43396</v>
      </c>
      <c r="T8204" t="s">
        <v>44818</v>
      </c>
      <c r="U8204" t="s">
        <v>51831</v>
      </c>
      <c r="V8204" t="s">
        <v>57699</v>
      </c>
      <c r="W8204" t="s">
        <v>39337</v>
      </c>
      <c r="X8204" t="s">
        <v>43175</v>
      </c>
    </row>
    <row r="8205" spans="1:24">
      <c r="A8205">
        <f>HYPERLINK("https://www.philgeps.gov.ph/GEPSNONPILOT/Tender/SplashBidNoticeAbstractUI.aspx?menuIndex=3&amp;refID=7073968&amp;Result=3","7073968")</f>
        <v>0</v>
      </c>
      <c r="B8205" t="s">
        <v>2497</v>
      </c>
      <c r="C8205" t="s">
        <v>11224</v>
      </c>
      <c r="D8205" t="s">
        <v>17460</v>
      </c>
      <c r="E8205" t="s">
        <v>24574</v>
      </c>
      <c r="F8205" t="s">
        <v>30052</v>
      </c>
      <c r="G8205" t="s">
        <v>30058</v>
      </c>
      <c r="H8205" t="s">
        <v>15498</v>
      </c>
      <c r="I8205" t="s">
        <v>30140</v>
      </c>
      <c r="J8205" t="s">
        <v>35218</v>
      </c>
      <c r="K8205" t="s">
        <v>39029</v>
      </c>
      <c r="M8205" t="s">
        <v>42001</v>
      </c>
      <c r="N8205" t="s">
        <v>43166</v>
      </c>
      <c r="O8205" t="s">
        <v>43167</v>
      </c>
      <c r="P8205">
        <v>0</v>
      </c>
      <c r="Q8205">
        <v>2</v>
      </c>
      <c r="R8205" t="s">
        <v>43174</v>
      </c>
      <c r="S8205" t="s">
        <v>43396</v>
      </c>
      <c r="T8205" t="s">
        <v>44969</v>
      </c>
      <c r="U8205" t="s">
        <v>48334</v>
      </c>
      <c r="W8205" t="s">
        <v>42001</v>
      </c>
      <c r="X8205" t="s">
        <v>43175</v>
      </c>
    </row>
    <row r="8206" spans="1:24">
      <c r="A8206">
        <f>HYPERLINK("https://www.philgeps.gov.ph/GEPSNONPILOT/Tender/SplashBidNoticeAbstractUI.aspx?menuIndex=3&amp;refID=7073965&amp;Result=3","7073965")</f>
        <v>0</v>
      </c>
      <c r="B8206" t="s">
        <v>816</v>
      </c>
      <c r="C8206" t="s">
        <v>11225</v>
      </c>
      <c r="D8206" t="s">
        <v>17449</v>
      </c>
      <c r="E8206" t="s">
        <v>24575</v>
      </c>
      <c r="F8206" t="s">
        <v>30052</v>
      </c>
      <c r="G8206" t="s">
        <v>30058</v>
      </c>
      <c r="H8206" t="s">
        <v>15498</v>
      </c>
      <c r="I8206" t="s">
        <v>30073</v>
      </c>
      <c r="J8206" t="s">
        <v>35219</v>
      </c>
      <c r="K8206" t="s">
        <v>39031</v>
      </c>
      <c r="M8206" t="s">
        <v>40133</v>
      </c>
      <c r="N8206" t="s">
        <v>43166</v>
      </c>
      <c r="O8206" t="s">
        <v>43167</v>
      </c>
      <c r="P8206">
        <v>0</v>
      </c>
      <c r="Q8206">
        <v>1</v>
      </c>
      <c r="R8206" t="s">
        <v>43174</v>
      </c>
      <c r="S8206" t="s">
        <v>43396</v>
      </c>
      <c r="T8206" t="s">
        <v>44856</v>
      </c>
      <c r="U8206" t="s">
        <v>51832</v>
      </c>
      <c r="W8206" t="s">
        <v>40133</v>
      </c>
      <c r="X8206" t="s">
        <v>43175</v>
      </c>
    </row>
    <row r="8207" spans="1:24">
      <c r="A8207">
        <f>HYPERLINK("https://www.philgeps.gov.ph/GEPSNONPILOT/Tender/SplashBidNoticeAbstractUI.aspx?menuIndex=3&amp;refID=7073962&amp;Result=3","7073962")</f>
        <v>0</v>
      </c>
      <c r="B8207" t="s">
        <v>2511</v>
      </c>
      <c r="C8207" t="s">
        <v>11226</v>
      </c>
      <c r="D8207" t="s">
        <v>17459</v>
      </c>
      <c r="E8207" t="s">
        <v>24576</v>
      </c>
      <c r="F8207" t="s">
        <v>30052</v>
      </c>
      <c r="G8207" t="s">
        <v>30058</v>
      </c>
      <c r="H8207" t="s">
        <v>15498</v>
      </c>
      <c r="I8207" t="s">
        <v>30166</v>
      </c>
      <c r="J8207" t="s">
        <v>34092</v>
      </c>
      <c r="K8207" t="s">
        <v>39026</v>
      </c>
      <c r="M8207" t="s">
        <v>42016</v>
      </c>
      <c r="N8207" t="s">
        <v>43166</v>
      </c>
      <c r="O8207" t="s">
        <v>43167</v>
      </c>
      <c r="Q8207">
        <v>4</v>
      </c>
      <c r="R8207" t="s">
        <v>43174</v>
      </c>
      <c r="S8207" t="s">
        <v>43412</v>
      </c>
      <c r="T8207" t="s">
        <v>45090</v>
      </c>
      <c r="U8207" t="s">
        <v>51833</v>
      </c>
      <c r="V8207" t="s">
        <v>57700</v>
      </c>
      <c r="W8207" t="s">
        <v>58677</v>
      </c>
      <c r="X8207" t="s">
        <v>43175</v>
      </c>
    </row>
    <row r="8208" spans="1:24">
      <c r="A8208">
        <f>HYPERLINK("https://www.philgeps.gov.ph/GEPSNONPILOT/Tender/SplashBidNoticeAbstractUI.aspx?menuIndex=3&amp;refID=7073955&amp;Result=3","7073955")</f>
        <v>0</v>
      </c>
      <c r="B8208" t="s">
        <v>77</v>
      </c>
      <c r="C8208" t="s">
        <v>11227</v>
      </c>
      <c r="D8208" t="s">
        <v>17421</v>
      </c>
      <c r="E8208" t="s">
        <v>24577</v>
      </c>
      <c r="F8208" t="s">
        <v>30052</v>
      </c>
      <c r="G8208" t="s">
        <v>30058</v>
      </c>
      <c r="H8208" t="s">
        <v>30067</v>
      </c>
      <c r="I8208" t="s">
        <v>3693</v>
      </c>
      <c r="J8208" t="s">
        <v>35220</v>
      </c>
      <c r="K8208" t="s">
        <v>39016</v>
      </c>
      <c r="M8208" t="s">
        <v>39366</v>
      </c>
      <c r="N8208" t="s">
        <v>43166</v>
      </c>
      <c r="O8208" t="s">
        <v>43167</v>
      </c>
      <c r="P8208">
        <v>0</v>
      </c>
      <c r="Q8208">
        <v>4</v>
      </c>
      <c r="R8208" t="s">
        <v>43174</v>
      </c>
      <c r="S8208" t="s">
        <v>43396</v>
      </c>
      <c r="T8208" t="s">
        <v>44758</v>
      </c>
      <c r="U8208" t="s">
        <v>51834</v>
      </c>
      <c r="V8208" t="s">
        <v>57698</v>
      </c>
      <c r="W8208" t="s">
        <v>39366</v>
      </c>
      <c r="X8208" t="s">
        <v>43175</v>
      </c>
    </row>
    <row r="8209" spans="1:24">
      <c r="A8209">
        <f>HYPERLINK("https://www.philgeps.gov.ph/GEPSNONPILOT/Tender/SplashBidNoticeAbstractUI.aspx?menuIndex=3&amp;refID=7073948&amp;Result=3","7073948")</f>
        <v>0</v>
      </c>
      <c r="B8209" t="s">
        <v>1347</v>
      </c>
      <c r="C8209" t="s">
        <v>11228</v>
      </c>
      <c r="D8209" t="s">
        <v>17478</v>
      </c>
      <c r="E8209" t="s">
        <v>24578</v>
      </c>
      <c r="F8209" t="s">
        <v>30052</v>
      </c>
      <c r="G8209" t="s">
        <v>30058</v>
      </c>
      <c r="H8209" t="s">
        <v>15498</v>
      </c>
      <c r="I8209" t="s">
        <v>3736</v>
      </c>
      <c r="J8209" t="s">
        <v>35221</v>
      </c>
      <c r="K8209" t="s">
        <v>39019</v>
      </c>
      <c r="M8209" t="s">
        <v>40715</v>
      </c>
      <c r="N8209" t="s">
        <v>43166</v>
      </c>
      <c r="O8209" t="s">
        <v>43167</v>
      </c>
      <c r="P8209">
        <v>0</v>
      </c>
      <c r="Q8209">
        <v>0</v>
      </c>
      <c r="R8209" t="s">
        <v>43174</v>
      </c>
      <c r="S8209" t="s">
        <v>43396</v>
      </c>
      <c r="T8209" t="s">
        <v>44837</v>
      </c>
      <c r="U8209" t="s">
        <v>49800</v>
      </c>
      <c r="W8209" t="s">
        <v>40715</v>
      </c>
      <c r="X8209" t="s">
        <v>43175</v>
      </c>
    </row>
    <row r="8210" spans="1:24">
      <c r="A8210">
        <f>HYPERLINK("https://www.philgeps.gov.ph/GEPSNONPILOT/Tender/SplashBidNoticeAbstractUI.aspx?menuIndex=3&amp;refID=7073979&amp;Result=3","7073979")</f>
        <v>0</v>
      </c>
      <c r="B8210" t="s">
        <v>2098</v>
      </c>
      <c r="C8210" t="s">
        <v>11229</v>
      </c>
      <c r="D8210" t="s">
        <v>17414</v>
      </c>
      <c r="E8210" t="s">
        <v>24579</v>
      </c>
      <c r="F8210" t="s">
        <v>30052</v>
      </c>
      <c r="G8210" t="s">
        <v>30059</v>
      </c>
      <c r="H8210" t="s">
        <v>15498</v>
      </c>
      <c r="I8210" t="s">
        <v>30076</v>
      </c>
      <c r="J8210" t="s">
        <v>35222</v>
      </c>
      <c r="K8210" t="s">
        <v>39017</v>
      </c>
      <c r="M8210" t="s">
        <v>42002</v>
      </c>
      <c r="N8210" t="s">
        <v>43166</v>
      </c>
      <c r="O8210" t="s">
        <v>43167</v>
      </c>
      <c r="P8210">
        <v>0</v>
      </c>
      <c r="Q8210">
        <v>2</v>
      </c>
      <c r="R8210" t="s">
        <v>43174</v>
      </c>
      <c r="S8210" t="s">
        <v>43396</v>
      </c>
      <c r="T8210" t="s">
        <v>44777</v>
      </c>
      <c r="U8210" t="s">
        <v>51835</v>
      </c>
      <c r="W8210" t="s">
        <v>42002</v>
      </c>
      <c r="X8210" t="s">
        <v>43175</v>
      </c>
    </row>
    <row r="8211" spans="1:24">
      <c r="A8211">
        <f>HYPERLINK("https://www.philgeps.gov.ph/GEPSNONPILOT/Tender/SplashBidNoticeAbstractUI.aspx?menuIndex=3&amp;refID=7073823&amp;Result=3","7073823")</f>
        <v>0</v>
      </c>
      <c r="B8211" t="s">
        <v>2512</v>
      </c>
      <c r="C8211" t="s">
        <v>11230</v>
      </c>
      <c r="D8211" t="s">
        <v>17474</v>
      </c>
      <c r="E8211" t="s">
        <v>18734</v>
      </c>
      <c r="F8211" t="s">
        <v>30052</v>
      </c>
      <c r="G8211" t="s">
        <v>30058</v>
      </c>
      <c r="H8211" t="s">
        <v>15498</v>
      </c>
      <c r="I8211" t="s">
        <v>30150</v>
      </c>
      <c r="J8211" t="s">
        <v>35223</v>
      </c>
      <c r="K8211" t="s">
        <v>39026</v>
      </c>
      <c r="M8211" t="s">
        <v>42017</v>
      </c>
      <c r="N8211" t="s">
        <v>43166</v>
      </c>
      <c r="O8211" t="s">
        <v>43167</v>
      </c>
      <c r="P8211">
        <v>0</v>
      </c>
      <c r="Q8211">
        <v>8</v>
      </c>
      <c r="R8211" t="s">
        <v>43174</v>
      </c>
      <c r="S8211" t="s">
        <v>43396</v>
      </c>
      <c r="T8211" t="s">
        <v>44730</v>
      </c>
      <c r="U8211" t="s">
        <v>51836</v>
      </c>
      <c r="W8211" t="s">
        <v>42017</v>
      </c>
      <c r="X8211" t="s">
        <v>43175</v>
      </c>
    </row>
    <row r="8212" spans="1:24">
      <c r="A8212">
        <f>HYPERLINK("https://www.philgeps.gov.ph/GEPSNONPILOT/Tender/SplashBidNoticeAbstractUI.aspx?menuIndex=3&amp;refID=7073959&amp;Result=3","7073959")</f>
        <v>0</v>
      </c>
      <c r="B8212" t="s">
        <v>2138</v>
      </c>
      <c r="C8212" t="s">
        <v>11231</v>
      </c>
      <c r="E8212" t="s">
        <v>24580</v>
      </c>
      <c r="F8212" t="s">
        <v>30052</v>
      </c>
      <c r="G8212" t="s">
        <v>30058</v>
      </c>
      <c r="H8212" t="s">
        <v>15498</v>
      </c>
      <c r="I8212" t="s">
        <v>30076</v>
      </c>
      <c r="J8212" t="s">
        <v>35224</v>
      </c>
      <c r="K8212" t="s">
        <v>39029</v>
      </c>
      <c r="M8212" t="s">
        <v>41602</v>
      </c>
      <c r="N8212" t="s">
        <v>43166</v>
      </c>
      <c r="O8212" t="s">
        <v>43167</v>
      </c>
      <c r="P8212">
        <v>0</v>
      </c>
      <c r="Q8212">
        <v>9</v>
      </c>
      <c r="R8212" t="s">
        <v>43174</v>
      </c>
      <c r="S8212" t="s">
        <v>43396</v>
      </c>
      <c r="T8212" t="s">
        <v>44841</v>
      </c>
      <c r="U8212" t="s">
        <v>51837</v>
      </c>
      <c r="V8212" t="s">
        <v>57637</v>
      </c>
      <c r="W8212" t="s">
        <v>41602</v>
      </c>
      <c r="X8212" t="s">
        <v>43175</v>
      </c>
    </row>
    <row r="8213" spans="1:24">
      <c r="A8213">
        <f>HYPERLINK("https://www.philgeps.gov.ph/GEPSNONPILOT/Tender/SplashBidNoticeAbstractUI.aspx?menuIndex=3&amp;refID=7073938&amp;Result=3","7073938")</f>
        <v>0</v>
      </c>
      <c r="B8213" t="s">
        <v>1822</v>
      </c>
      <c r="C8213" t="s">
        <v>11232</v>
      </c>
      <c r="D8213" t="s">
        <v>17437</v>
      </c>
      <c r="E8213" t="s">
        <v>24581</v>
      </c>
      <c r="F8213" t="s">
        <v>30052</v>
      </c>
      <c r="G8213" t="s">
        <v>30058</v>
      </c>
      <c r="H8213" t="s">
        <v>30067</v>
      </c>
      <c r="I8213" t="s">
        <v>3693</v>
      </c>
      <c r="J8213" t="s">
        <v>31157</v>
      </c>
      <c r="K8213" t="s">
        <v>39046</v>
      </c>
      <c r="M8213" t="s">
        <v>41474</v>
      </c>
      <c r="N8213" t="s">
        <v>43166</v>
      </c>
      <c r="O8213" t="s">
        <v>43167</v>
      </c>
      <c r="P8213">
        <v>0</v>
      </c>
      <c r="Q8213">
        <v>1</v>
      </c>
      <c r="R8213" t="s">
        <v>43174</v>
      </c>
      <c r="S8213" t="s">
        <v>43396</v>
      </c>
      <c r="T8213" t="s">
        <v>44807</v>
      </c>
      <c r="U8213" t="s">
        <v>51838</v>
      </c>
      <c r="W8213" t="s">
        <v>41474</v>
      </c>
      <c r="X8213" t="s">
        <v>43175</v>
      </c>
    </row>
    <row r="8214" spans="1:24">
      <c r="A8214">
        <f>HYPERLINK("https://www.philgeps.gov.ph/GEPSNONPILOT/Tender/SplashBidNoticeAbstractUI.aspx?menuIndex=3&amp;refID=7073931&amp;Result=3","7073931")</f>
        <v>0</v>
      </c>
      <c r="B8214" t="s">
        <v>797</v>
      </c>
      <c r="C8214" t="s">
        <v>11233</v>
      </c>
      <c r="E8214" t="s">
        <v>24582</v>
      </c>
      <c r="F8214" t="s">
        <v>30052</v>
      </c>
      <c r="G8214" t="s">
        <v>30059</v>
      </c>
      <c r="H8214" t="s">
        <v>15498</v>
      </c>
      <c r="I8214" t="s">
        <v>30081</v>
      </c>
      <c r="J8214" t="s">
        <v>34038</v>
      </c>
      <c r="K8214" t="s">
        <v>39025</v>
      </c>
      <c r="M8214" t="s">
        <v>40826</v>
      </c>
      <c r="N8214" t="s">
        <v>43166</v>
      </c>
      <c r="O8214" t="s">
        <v>43167</v>
      </c>
      <c r="P8214">
        <v>0</v>
      </c>
      <c r="Q8214">
        <v>2</v>
      </c>
      <c r="R8214" t="s">
        <v>43174</v>
      </c>
      <c r="S8214" t="s">
        <v>43396</v>
      </c>
      <c r="T8214" t="s">
        <v>44777</v>
      </c>
      <c r="U8214" t="s">
        <v>51839</v>
      </c>
      <c r="W8214" t="s">
        <v>40826</v>
      </c>
      <c r="X8214" t="s">
        <v>43175</v>
      </c>
    </row>
    <row r="8215" spans="1:24">
      <c r="A8215">
        <f>HYPERLINK("https://www.philgeps.gov.ph/GEPSNONPILOT/Tender/SplashBidNoticeAbstractUI.aspx?menuIndex=3&amp;refID=7073628&amp;Result=3","7073628")</f>
        <v>0</v>
      </c>
      <c r="B8215" t="s">
        <v>2477</v>
      </c>
      <c r="C8215" t="s">
        <v>11234</v>
      </c>
      <c r="D8215" t="s">
        <v>17417</v>
      </c>
      <c r="E8215" t="s">
        <v>24583</v>
      </c>
      <c r="F8215" t="s">
        <v>30052</v>
      </c>
      <c r="G8215" t="s">
        <v>30058</v>
      </c>
      <c r="H8215" t="s">
        <v>15498</v>
      </c>
      <c r="I8215" t="s">
        <v>30097</v>
      </c>
      <c r="J8215" t="s">
        <v>35152</v>
      </c>
      <c r="K8215" t="s">
        <v>39023</v>
      </c>
      <c r="M8215" t="s">
        <v>41977</v>
      </c>
      <c r="N8215" t="s">
        <v>43166</v>
      </c>
      <c r="O8215" t="s">
        <v>43167</v>
      </c>
      <c r="P8215">
        <v>0</v>
      </c>
      <c r="Q8215">
        <v>0</v>
      </c>
      <c r="R8215" t="s">
        <v>43174</v>
      </c>
      <c r="S8215" t="s">
        <v>43396</v>
      </c>
      <c r="T8215" t="s">
        <v>44815</v>
      </c>
      <c r="U8215" t="s">
        <v>51840</v>
      </c>
      <c r="W8215" t="s">
        <v>41977</v>
      </c>
      <c r="X8215" t="s">
        <v>43175</v>
      </c>
    </row>
    <row r="8216" spans="1:24">
      <c r="A8216">
        <f>HYPERLINK("https://www.philgeps.gov.ph/GEPSNONPILOT/Tender/SplashBidNoticeAbstractUI.aspx?menuIndex=3&amp;refID=7073928&amp;Result=3","7073928")</f>
        <v>0</v>
      </c>
      <c r="B8216" t="s">
        <v>1608</v>
      </c>
      <c r="C8216" t="s">
        <v>11235</v>
      </c>
      <c r="D8216" t="s">
        <v>17415</v>
      </c>
      <c r="E8216" t="s">
        <v>24584</v>
      </c>
      <c r="F8216" t="s">
        <v>30052</v>
      </c>
      <c r="G8216" t="s">
        <v>30058</v>
      </c>
      <c r="H8216" t="s">
        <v>15498</v>
      </c>
      <c r="I8216" t="s">
        <v>30070</v>
      </c>
      <c r="J8216" t="s">
        <v>35225</v>
      </c>
      <c r="K8216" t="s">
        <v>39019</v>
      </c>
      <c r="M8216" t="s">
        <v>42018</v>
      </c>
      <c r="N8216" t="s">
        <v>43166</v>
      </c>
      <c r="O8216" t="s">
        <v>43167</v>
      </c>
      <c r="P8216">
        <v>0</v>
      </c>
      <c r="Q8216">
        <v>2</v>
      </c>
      <c r="R8216" t="s">
        <v>43174</v>
      </c>
      <c r="S8216" t="s">
        <v>43396</v>
      </c>
      <c r="T8216" t="s">
        <v>44844</v>
      </c>
      <c r="U8216" t="s">
        <v>45217</v>
      </c>
      <c r="W8216" t="s">
        <v>42018</v>
      </c>
      <c r="X8216" t="s">
        <v>43175</v>
      </c>
    </row>
    <row r="8217" spans="1:24">
      <c r="A8217">
        <f>HYPERLINK("https://www.philgeps.gov.ph/GEPSNONPILOT/Tender/SplashBidNoticeAbstractUI.aspx?menuIndex=3&amp;refID=7074043&amp;Result=3","7074043")</f>
        <v>0</v>
      </c>
      <c r="B8217" t="s">
        <v>797</v>
      </c>
      <c r="C8217" t="s">
        <v>11236</v>
      </c>
      <c r="E8217" t="s">
        <v>24585</v>
      </c>
      <c r="F8217" t="s">
        <v>30052</v>
      </c>
      <c r="G8217" t="s">
        <v>30059</v>
      </c>
      <c r="H8217" t="s">
        <v>15498</v>
      </c>
      <c r="I8217" t="s">
        <v>30146</v>
      </c>
      <c r="J8217" t="s">
        <v>30248</v>
      </c>
      <c r="K8217" t="s">
        <v>39025</v>
      </c>
      <c r="M8217" t="s">
        <v>40826</v>
      </c>
      <c r="N8217" t="s">
        <v>43166</v>
      </c>
      <c r="O8217" t="s">
        <v>43167</v>
      </c>
      <c r="P8217">
        <v>0</v>
      </c>
      <c r="Q8217">
        <v>3</v>
      </c>
      <c r="R8217" t="s">
        <v>43174</v>
      </c>
      <c r="S8217" t="s">
        <v>43396</v>
      </c>
      <c r="T8217" t="s">
        <v>44788</v>
      </c>
      <c r="U8217" t="s">
        <v>51841</v>
      </c>
      <c r="W8217" t="s">
        <v>40826</v>
      </c>
      <c r="X8217" t="s">
        <v>43175</v>
      </c>
    </row>
    <row r="8218" spans="1:24">
      <c r="A8218">
        <f>HYPERLINK("https://www.philgeps.gov.ph/GEPSNONPILOT/Tender/SplashBidNoticeAbstractUI.aspx?menuIndex=3&amp;refID=7073944&amp;Result=3","7073944")</f>
        <v>0</v>
      </c>
      <c r="B8218" t="s">
        <v>1608</v>
      </c>
      <c r="C8218" t="s">
        <v>11237</v>
      </c>
      <c r="D8218" t="s">
        <v>17415</v>
      </c>
      <c r="E8218" t="s">
        <v>24586</v>
      </c>
      <c r="F8218" t="s">
        <v>30052</v>
      </c>
      <c r="G8218" t="s">
        <v>30058</v>
      </c>
      <c r="H8218" t="s">
        <v>15498</v>
      </c>
      <c r="I8218" t="s">
        <v>30070</v>
      </c>
      <c r="J8218" t="s">
        <v>35226</v>
      </c>
      <c r="K8218" t="s">
        <v>39019</v>
      </c>
      <c r="M8218" t="s">
        <v>42018</v>
      </c>
      <c r="N8218" t="s">
        <v>43166</v>
      </c>
      <c r="O8218" t="s">
        <v>43167</v>
      </c>
      <c r="P8218">
        <v>0</v>
      </c>
      <c r="Q8218">
        <v>2</v>
      </c>
      <c r="R8218" t="s">
        <v>43174</v>
      </c>
      <c r="S8218" t="s">
        <v>43396</v>
      </c>
      <c r="T8218" t="s">
        <v>44844</v>
      </c>
      <c r="U8218" t="s">
        <v>45217</v>
      </c>
      <c r="W8218" t="s">
        <v>42018</v>
      </c>
      <c r="X8218" t="s">
        <v>43175</v>
      </c>
    </row>
    <row r="8219" spans="1:24">
      <c r="A8219">
        <f>HYPERLINK("https://www.philgeps.gov.ph/GEPSNONPILOT/Tender/SplashBidNoticeAbstractUI.aspx?menuIndex=3&amp;refID=7074042&amp;Result=3","7074042")</f>
        <v>0</v>
      </c>
      <c r="B8219" t="s">
        <v>721</v>
      </c>
      <c r="C8219" t="s">
        <v>11238</v>
      </c>
      <c r="D8219" t="s">
        <v>17451</v>
      </c>
      <c r="E8219" t="s">
        <v>24587</v>
      </c>
      <c r="F8219" t="s">
        <v>30052</v>
      </c>
      <c r="G8219" t="s">
        <v>30058</v>
      </c>
      <c r="H8219" t="s">
        <v>30067</v>
      </c>
      <c r="I8219" t="s">
        <v>3693</v>
      </c>
      <c r="J8219" t="s">
        <v>35227</v>
      </c>
      <c r="K8219" t="s">
        <v>39029</v>
      </c>
      <c r="M8219" t="s">
        <v>40031</v>
      </c>
      <c r="N8219" t="s">
        <v>43166</v>
      </c>
      <c r="O8219" t="s">
        <v>43167</v>
      </c>
      <c r="P8219">
        <v>0</v>
      </c>
      <c r="Q8219">
        <v>0</v>
      </c>
      <c r="R8219" t="s">
        <v>43174</v>
      </c>
      <c r="S8219" t="s">
        <v>43396</v>
      </c>
      <c r="T8219" t="s">
        <v>44777</v>
      </c>
      <c r="U8219" t="s">
        <v>51728</v>
      </c>
      <c r="W8219" t="s">
        <v>40031</v>
      </c>
      <c r="X8219" t="s">
        <v>43175</v>
      </c>
    </row>
    <row r="8220" spans="1:24">
      <c r="A8220">
        <f>HYPERLINK("https://www.philgeps.gov.ph/GEPSNONPILOT/Tender/SplashBidNoticeAbstractUI.aspx?menuIndex=3&amp;refID=7074036&amp;Result=3","7074036")</f>
        <v>0</v>
      </c>
      <c r="B8220" t="s">
        <v>1383</v>
      </c>
      <c r="C8220" t="s">
        <v>11239</v>
      </c>
      <c r="D8220" t="s">
        <v>17453</v>
      </c>
      <c r="E8220" t="s">
        <v>24588</v>
      </c>
      <c r="F8220" t="s">
        <v>30052</v>
      </c>
      <c r="G8220" t="s">
        <v>30059</v>
      </c>
      <c r="H8220" t="s">
        <v>30067</v>
      </c>
      <c r="I8220" t="s">
        <v>30106</v>
      </c>
      <c r="J8220" t="s">
        <v>30209</v>
      </c>
      <c r="K8220" t="s">
        <v>39029</v>
      </c>
      <c r="M8220" t="s">
        <v>40759</v>
      </c>
      <c r="N8220" t="s">
        <v>43166</v>
      </c>
      <c r="O8220" t="s">
        <v>43167</v>
      </c>
      <c r="P8220">
        <v>0</v>
      </c>
      <c r="Q8220">
        <v>2</v>
      </c>
      <c r="R8220" t="s">
        <v>43174</v>
      </c>
      <c r="S8220" t="s">
        <v>43396</v>
      </c>
      <c r="T8220" t="s">
        <v>44843</v>
      </c>
      <c r="U8220" t="s">
        <v>49133</v>
      </c>
      <c r="W8220" t="s">
        <v>40759</v>
      </c>
      <c r="X8220" t="s">
        <v>43175</v>
      </c>
    </row>
    <row r="8221" spans="1:24">
      <c r="A8221">
        <f>HYPERLINK("https://www.philgeps.gov.ph/GEPSNONPILOT/Tender/SplashBidNoticeAbstractUI.aspx?menuIndex=3&amp;refID=7073942&amp;Result=3","7073942")</f>
        <v>0</v>
      </c>
      <c r="B8221" t="s">
        <v>1604</v>
      </c>
      <c r="C8221" t="s">
        <v>11240</v>
      </c>
      <c r="D8221" t="s">
        <v>17421</v>
      </c>
      <c r="E8221" t="s">
        <v>21435</v>
      </c>
      <c r="F8221" t="s">
        <v>30052</v>
      </c>
      <c r="G8221" t="s">
        <v>30058</v>
      </c>
      <c r="H8221" t="s">
        <v>15498</v>
      </c>
      <c r="I8221" t="s">
        <v>3736</v>
      </c>
      <c r="J8221" t="s">
        <v>35228</v>
      </c>
      <c r="K8221" t="s">
        <v>39029</v>
      </c>
      <c r="M8221" t="s">
        <v>41002</v>
      </c>
      <c r="N8221" t="s">
        <v>43166</v>
      </c>
      <c r="O8221" t="s">
        <v>43167</v>
      </c>
      <c r="P8221">
        <v>0</v>
      </c>
      <c r="Q8221">
        <v>0</v>
      </c>
      <c r="R8221" t="s">
        <v>43174</v>
      </c>
      <c r="S8221" t="s">
        <v>43396</v>
      </c>
      <c r="T8221" t="s">
        <v>44698</v>
      </c>
      <c r="U8221" t="s">
        <v>51817</v>
      </c>
      <c r="W8221" t="s">
        <v>41002</v>
      </c>
      <c r="X8221" t="s">
        <v>43175</v>
      </c>
    </row>
    <row r="8222" spans="1:24">
      <c r="A8222">
        <f>HYPERLINK("https://www.philgeps.gov.ph/GEPSNONPILOT/Tender/SplashBidNoticeAbstractUI.aspx?menuIndex=3&amp;refID=7074034&amp;Result=3","7074034")</f>
        <v>0</v>
      </c>
      <c r="B8222" t="s">
        <v>2513</v>
      </c>
      <c r="C8222" t="s">
        <v>11241</v>
      </c>
      <c r="D8222" t="s">
        <v>17432</v>
      </c>
      <c r="E8222" t="s">
        <v>24589</v>
      </c>
      <c r="F8222" t="s">
        <v>30052</v>
      </c>
      <c r="G8222" t="s">
        <v>30059</v>
      </c>
      <c r="H8222" t="s">
        <v>15498</v>
      </c>
      <c r="I8222" t="s">
        <v>30119</v>
      </c>
      <c r="J8222" t="s">
        <v>32865</v>
      </c>
      <c r="K8222" t="s">
        <v>39018</v>
      </c>
      <c r="M8222" t="s">
        <v>42019</v>
      </c>
      <c r="N8222" t="s">
        <v>43166</v>
      </c>
      <c r="O8222" t="s">
        <v>43167</v>
      </c>
      <c r="P8222">
        <v>0</v>
      </c>
      <c r="Q8222">
        <v>1</v>
      </c>
      <c r="R8222" t="s">
        <v>43174</v>
      </c>
      <c r="S8222" t="s">
        <v>43396</v>
      </c>
      <c r="T8222" t="s">
        <v>45091</v>
      </c>
      <c r="U8222" t="s">
        <v>51842</v>
      </c>
      <c r="W8222" t="s">
        <v>42019</v>
      </c>
      <c r="X8222" t="s">
        <v>43175</v>
      </c>
    </row>
    <row r="8223" spans="1:24">
      <c r="A8223">
        <f>HYPERLINK("https://www.philgeps.gov.ph/GEPSNONPILOT/Tender/SplashBidNoticeAbstractUI.aspx?menuIndex=3&amp;refID=7073629&amp;Result=3","7073629")</f>
        <v>0</v>
      </c>
      <c r="B8223" t="s">
        <v>2514</v>
      </c>
      <c r="C8223" t="s">
        <v>11242</v>
      </c>
      <c r="D8223" t="s">
        <v>17439</v>
      </c>
      <c r="E8223" t="s">
        <v>20553</v>
      </c>
      <c r="F8223" t="s">
        <v>30052</v>
      </c>
      <c r="G8223" t="s">
        <v>30058</v>
      </c>
      <c r="H8223" t="s">
        <v>30067</v>
      </c>
      <c r="I8223" t="s">
        <v>3693</v>
      </c>
      <c r="J8223" t="s">
        <v>35229</v>
      </c>
      <c r="K8223" t="s">
        <v>39029</v>
      </c>
      <c r="M8223" t="s">
        <v>42020</v>
      </c>
      <c r="N8223" t="s">
        <v>43166</v>
      </c>
      <c r="O8223" t="s">
        <v>43167</v>
      </c>
      <c r="P8223">
        <v>0</v>
      </c>
      <c r="Q8223">
        <v>1</v>
      </c>
      <c r="R8223" t="s">
        <v>43174</v>
      </c>
      <c r="S8223" t="s">
        <v>43396</v>
      </c>
      <c r="T8223" t="s">
        <v>45053</v>
      </c>
      <c r="U8223" t="s">
        <v>51843</v>
      </c>
      <c r="W8223" t="s">
        <v>42020</v>
      </c>
      <c r="X8223" t="s">
        <v>43175</v>
      </c>
    </row>
    <row r="8224" spans="1:24">
      <c r="A8224">
        <f>HYPERLINK("https://www.philgeps.gov.ph/GEPSNONPILOT/Tender/SplashBidNoticeAbstractUI.aspx?menuIndex=3&amp;refID=7074027&amp;Result=3","7074027")</f>
        <v>0</v>
      </c>
      <c r="B8224" t="s">
        <v>1773</v>
      </c>
      <c r="C8224" t="s">
        <v>11243</v>
      </c>
      <c r="D8224" t="s">
        <v>17486</v>
      </c>
      <c r="E8224" t="s">
        <v>24590</v>
      </c>
      <c r="F8224" t="s">
        <v>30052</v>
      </c>
      <c r="G8224" t="s">
        <v>30061</v>
      </c>
      <c r="H8224" t="s">
        <v>15498</v>
      </c>
      <c r="I8224" t="s">
        <v>4119</v>
      </c>
      <c r="J8224" t="s">
        <v>30374</v>
      </c>
      <c r="K8224" t="s">
        <v>39017</v>
      </c>
      <c r="M8224" t="s">
        <v>41193</v>
      </c>
      <c r="N8224" t="s">
        <v>43166</v>
      </c>
      <c r="O8224" t="s">
        <v>43167</v>
      </c>
      <c r="P8224">
        <v>0</v>
      </c>
      <c r="Q8224">
        <v>2</v>
      </c>
      <c r="R8224" t="s">
        <v>43174</v>
      </c>
      <c r="S8224" t="s">
        <v>43396</v>
      </c>
      <c r="T8224" t="s">
        <v>44862</v>
      </c>
      <c r="U8224" t="s">
        <v>51844</v>
      </c>
      <c r="W8224" t="s">
        <v>41193</v>
      </c>
      <c r="X8224" t="s">
        <v>43175</v>
      </c>
    </row>
    <row r="8225" spans="1:24">
      <c r="A8225">
        <f>HYPERLINK("https://www.philgeps.gov.ph/GEPSNONPILOT/Tender/SplashBidNoticeAbstractUI.aspx?menuIndex=3&amp;refID=7074035&amp;Result=3","7074035")</f>
        <v>0</v>
      </c>
      <c r="B8225" t="s">
        <v>1186</v>
      </c>
      <c r="C8225" t="s">
        <v>11244</v>
      </c>
      <c r="D8225" t="s">
        <v>17448</v>
      </c>
      <c r="E8225" t="s">
        <v>18184</v>
      </c>
      <c r="F8225" t="s">
        <v>30052</v>
      </c>
      <c r="G8225" t="s">
        <v>30058</v>
      </c>
      <c r="H8225" t="s">
        <v>30067</v>
      </c>
      <c r="I8225" t="s">
        <v>3693</v>
      </c>
      <c r="J8225" t="s">
        <v>35230</v>
      </c>
      <c r="K8225" t="s">
        <v>39046</v>
      </c>
      <c r="M8225" t="s">
        <v>40538</v>
      </c>
      <c r="N8225" t="s">
        <v>43166</v>
      </c>
      <c r="O8225" t="s">
        <v>43167</v>
      </c>
      <c r="P8225">
        <v>0</v>
      </c>
      <c r="Q8225">
        <v>0</v>
      </c>
      <c r="R8225" t="s">
        <v>43174</v>
      </c>
      <c r="S8225" t="s">
        <v>43396</v>
      </c>
      <c r="T8225" t="s">
        <v>44864</v>
      </c>
      <c r="U8225" t="s">
        <v>51845</v>
      </c>
      <c r="W8225" t="s">
        <v>40538</v>
      </c>
      <c r="X8225" t="s">
        <v>43175</v>
      </c>
    </row>
    <row r="8226" spans="1:24">
      <c r="A8226">
        <f>HYPERLINK("https://www.philgeps.gov.ph/GEPSNONPILOT/Tender/SplashBidNoticeAbstractUI.aspx?menuIndex=3&amp;refID=7074019&amp;Result=3","7074019")</f>
        <v>0</v>
      </c>
      <c r="B8226" t="s">
        <v>717</v>
      </c>
      <c r="C8226" t="s">
        <v>4947</v>
      </c>
      <c r="D8226" t="s">
        <v>17449</v>
      </c>
      <c r="E8226" t="s">
        <v>24591</v>
      </c>
      <c r="F8226" t="s">
        <v>30052</v>
      </c>
      <c r="G8226" t="s">
        <v>30058</v>
      </c>
      <c r="H8226" t="s">
        <v>30067</v>
      </c>
      <c r="I8226" t="s">
        <v>3693</v>
      </c>
      <c r="J8226" t="s">
        <v>30252</v>
      </c>
      <c r="K8226" t="s">
        <v>39029</v>
      </c>
      <c r="M8226" t="s">
        <v>40027</v>
      </c>
      <c r="N8226" t="s">
        <v>43166</v>
      </c>
      <c r="O8226" t="s">
        <v>43167</v>
      </c>
      <c r="P8226">
        <v>0</v>
      </c>
      <c r="Q8226">
        <v>0</v>
      </c>
      <c r="R8226" t="s">
        <v>43174</v>
      </c>
      <c r="S8226" t="s">
        <v>43396</v>
      </c>
      <c r="T8226" t="s">
        <v>44870</v>
      </c>
      <c r="U8226" t="s">
        <v>51846</v>
      </c>
      <c r="W8226" t="s">
        <v>40027</v>
      </c>
      <c r="X8226" t="s">
        <v>43175</v>
      </c>
    </row>
    <row r="8227" spans="1:24">
      <c r="A8227">
        <f>HYPERLINK("https://www.philgeps.gov.ph/GEPSNONPILOT/Tender/SplashBidNoticeAbstractUI.aspx?menuIndex=3&amp;refID=7074010&amp;Result=3","7074010")</f>
        <v>0</v>
      </c>
      <c r="B8227" t="s">
        <v>2515</v>
      </c>
      <c r="C8227" t="s">
        <v>11245</v>
      </c>
      <c r="D8227" t="s">
        <v>17435</v>
      </c>
      <c r="E8227" t="s">
        <v>24592</v>
      </c>
      <c r="F8227" t="s">
        <v>30055</v>
      </c>
      <c r="G8227" t="s">
        <v>30061</v>
      </c>
      <c r="H8227" t="s">
        <v>15498</v>
      </c>
      <c r="I8227" t="s">
        <v>30071</v>
      </c>
      <c r="J8227" t="s">
        <v>35231</v>
      </c>
      <c r="K8227" t="s">
        <v>39034</v>
      </c>
      <c r="L8227" t="s">
        <v>2515</v>
      </c>
      <c r="M8227" t="s">
        <v>42021</v>
      </c>
      <c r="N8227" t="s">
        <v>43166</v>
      </c>
      <c r="O8227" t="s">
        <v>43167</v>
      </c>
      <c r="P8227">
        <v>0</v>
      </c>
      <c r="Q8227">
        <v>0</v>
      </c>
      <c r="R8227" t="s">
        <v>43174</v>
      </c>
      <c r="S8227" t="s">
        <v>43396</v>
      </c>
      <c r="T8227" t="s">
        <v>44710</v>
      </c>
      <c r="U8227" t="s">
        <v>51847</v>
      </c>
      <c r="W8227" t="s">
        <v>42021</v>
      </c>
      <c r="X8227" t="s">
        <v>43175</v>
      </c>
    </row>
    <row r="8228" spans="1:24">
      <c r="A8228">
        <f>HYPERLINK("https://www.philgeps.gov.ph/GEPSNONPILOT/Tender/SplashBidNoticeAbstractUI.aspx?menuIndex=3&amp;refID=7073934&amp;Result=3","7073934")</f>
        <v>0</v>
      </c>
      <c r="B8228" t="s">
        <v>2454</v>
      </c>
      <c r="C8228" t="s">
        <v>11246</v>
      </c>
      <c r="D8228" t="s">
        <v>17486</v>
      </c>
      <c r="E8228" t="s">
        <v>24593</v>
      </c>
      <c r="F8228" t="s">
        <v>30052</v>
      </c>
      <c r="G8228" t="s">
        <v>30058</v>
      </c>
      <c r="H8228" t="s">
        <v>30067</v>
      </c>
      <c r="I8228" t="s">
        <v>3693</v>
      </c>
      <c r="J8228" t="s">
        <v>35232</v>
      </c>
      <c r="K8228" t="s">
        <v>39119</v>
      </c>
      <c r="M8228" t="s">
        <v>41953</v>
      </c>
      <c r="N8228" t="s">
        <v>43166</v>
      </c>
      <c r="O8228" t="s">
        <v>43167</v>
      </c>
      <c r="P8228">
        <v>0</v>
      </c>
      <c r="Q8228">
        <v>6</v>
      </c>
      <c r="R8228" t="s">
        <v>43174</v>
      </c>
      <c r="S8228" t="s">
        <v>43396</v>
      </c>
      <c r="T8228" t="s">
        <v>44791</v>
      </c>
      <c r="U8228" t="s">
        <v>51848</v>
      </c>
      <c r="W8228" t="s">
        <v>41953</v>
      </c>
      <c r="X8228" t="s">
        <v>43175</v>
      </c>
    </row>
    <row r="8229" spans="1:24">
      <c r="A8229">
        <f>HYPERLINK("https://www.philgeps.gov.ph/GEPSNONPILOT/Tender/SplashBidNoticeAbstractUI.aspx?menuIndex=3&amp;refID=7074007&amp;Result=3","7074007")</f>
        <v>0</v>
      </c>
      <c r="B8229" t="s">
        <v>2454</v>
      </c>
      <c r="C8229" t="s">
        <v>11247</v>
      </c>
      <c r="D8229" t="s">
        <v>17486</v>
      </c>
      <c r="E8229" t="s">
        <v>24594</v>
      </c>
      <c r="F8229" t="s">
        <v>30052</v>
      </c>
      <c r="G8229" t="s">
        <v>30058</v>
      </c>
      <c r="H8229" t="s">
        <v>30067</v>
      </c>
      <c r="I8229" t="s">
        <v>3693</v>
      </c>
      <c r="J8229" t="s">
        <v>33105</v>
      </c>
      <c r="K8229" t="s">
        <v>39026</v>
      </c>
      <c r="M8229" t="s">
        <v>41953</v>
      </c>
      <c r="N8229" t="s">
        <v>43166</v>
      </c>
      <c r="O8229" t="s">
        <v>43167</v>
      </c>
      <c r="P8229">
        <v>0</v>
      </c>
      <c r="Q8229">
        <v>0</v>
      </c>
      <c r="R8229" t="s">
        <v>43174</v>
      </c>
      <c r="S8229" t="s">
        <v>43396</v>
      </c>
      <c r="T8229" t="s">
        <v>44791</v>
      </c>
      <c r="U8229" t="s">
        <v>51702</v>
      </c>
      <c r="W8229" t="s">
        <v>41953</v>
      </c>
      <c r="X8229" t="s">
        <v>43175</v>
      </c>
    </row>
    <row r="8230" spans="1:24">
      <c r="A8230">
        <f>HYPERLINK("https://www.philgeps.gov.ph/GEPSNONPILOT/Tender/SplashBidNoticeAbstractUI.aspx?menuIndex=3&amp;refID=7074003&amp;Result=3","7074003")</f>
        <v>0</v>
      </c>
      <c r="B8230" t="s">
        <v>123</v>
      </c>
      <c r="C8230" t="s">
        <v>11248</v>
      </c>
      <c r="D8230" t="s">
        <v>17458</v>
      </c>
      <c r="E8230" t="s">
        <v>24595</v>
      </c>
      <c r="F8230" t="s">
        <v>30052</v>
      </c>
      <c r="G8230" t="s">
        <v>30059</v>
      </c>
      <c r="H8230" t="s">
        <v>15498</v>
      </c>
      <c r="I8230" t="s">
        <v>4119</v>
      </c>
      <c r="J8230" t="s">
        <v>30900</v>
      </c>
      <c r="K8230" t="s">
        <v>39025</v>
      </c>
      <c r="M8230" t="s">
        <v>39412</v>
      </c>
      <c r="N8230" t="s">
        <v>43166</v>
      </c>
      <c r="O8230" t="s">
        <v>43167</v>
      </c>
      <c r="P8230">
        <v>0</v>
      </c>
      <c r="Q8230">
        <v>9</v>
      </c>
      <c r="R8230" t="s">
        <v>43174</v>
      </c>
      <c r="S8230" t="s">
        <v>43396</v>
      </c>
      <c r="T8230" t="s">
        <v>44717</v>
      </c>
      <c r="U8230" t="s">
        <v>51849</v>
      </c>
      <c r="W8230" t="s">
        <v>39412</v>
      </c>
      <c r="X8230" t="s">
        <v>43175</v>
      </c>
    </row>
    <row r="8231" spans="1:24">
      <c r="A8231">
        <f>HYPERLINK("https://www.philgeps.gov.ph/GEPSNONPILOT/Tender/SplashBidNoticeAbstractUI.aspx?menuIndex=3&amp;refID=7074002&amp;Result=3","7074002")</f>
        <v>0</v>
      </c>
      <c r="B8231" t="s">
        <v>2505</v>
      </c>
      <c r="C8231" t="s">
        <v>11249</v>
      </c>
      <c r="D8231" t="s">
        <v>17444</v>
      </c>
      <c r="E8231" t="s">
        <v>18372</v>
      </c>
      <c r="F8231" t="s">
        <v>30052</v>
      </c>
      <c r="G8231" t="s">
        <v>30058</v>
      </c>
      <c r="H8231" t="s">
        <v>15498</v>
      </c>
      <c r="I8231" t="s">
        <v>3736</v>
      </c>
      <c r="J8231" t="s">
        <v>35233</v>
      </c>
      <c r="K8231" t="s">
        <v>39017</v>
      </c>
      <c r="M8231" t="s">
        <v>42010</v>
      </c>
      <c r="N8231" t="s">
        <v>43166</v>
      </c>
      <c r="O8231" t="s">
        <v>43167</v>
      </c>
      <c r="P8231">
        <v>0</v>
      </c>
      <c r="Q8231">
        <v>0</v>
      </c>
      <c r="R8231" t="s">
        <v>43174</v>
      </c>
      <c r="S8231" t="s">
        <v>43396</v>
      </c>
      <c r="T8231" t="s">
        <v>44685</v>
      </c>
      <c r="U8231" t="s">
        <v>51850</v>
      </c>
      <c r="W8231" t="s">
        <v>42010</v>
      </c>
      <c r="X8231" t="s">
        <v>43175</v>
      </c>
    </row>
    <row r="8232" spans="1:24">
      <c r="A8232">
        <f>HYPERLINK("https://www.philgeps.gov.ph/GEPSNONPILOT/Tender/SplashBidNoticeAbstractUI.aspx?menuIndex=3&amp;refID=7074025&amp;Result=3","7074025")</f>
        <v>0</v>
      </c>
      <c r="B8232" t="s">
        <v>2410</v>
      </c>
      <c r="C8232" t="s">
        <v>11250</v>
      </c>
      <c r="D8232" t="s">
        <v>17470</v>
      </c>
      <c r="E8232" t="s">
        <v>24596</v>
      </c>
      <c r="F8232" t="s">
        <v>30052</v>
      </c>
      <c r="G8232" t="s">
        <v>30058</v>
      </c>
      <c r="H8232" t="s">
        <v>15498</v>
      </c>
      <c r="I8232" t="s">
        <v>30081</v>
      </c>
      <c r="J8232" t="s">
        <v>35234</v>
      </c>
      <c r="K8232" t="s">
        <v>39029</v>
      </c>
      <c r="M8232" t="s">
        <v>41907</v>
      </c>
      <c r="N8232" t="s">
        <v>43166</v>
      </c>
      <c r="O8232" t="s">
        <v>43167</v>
      </c>
      <c r="P8232">
        <v>0</v>
      </c>
      <c r="Q8232">
        <v>2</v>
      </c>
      <c r="R8232" t="s">
        <v>43174</v>
      </c>
      <c r="S8232" t="s">
        <v>43396</v>
      </c>
      <c r="T8232" t="s">
        <v>44758</v>
      </c>
      <c r="U8232" t="s">
        <v>51851</v>
      </c>
      <c r="W8232" t="s">
        <v>41907</v>
      </c>
      <c r="X8232" t="s">
        <v>43175</v>
      </c>
    </row>
    <row r="8233" spans="1:24">
      <c r="A8233">
        <f>HYPERLINK("https://www.philgeps.gov.ph/GEPSNONPILOT/Tender/SplashBidNoticeAbstractUI.aspx?menuIndex=3&amp;refID=7073998&amp;Result=3","7073998")</f>
        <v>0</v>
      </c>
      <c r="B8233" t="s">
        <v>1956</v>
      </c>
      <c r="C8233" t="s">
        <v>11251</v>
      </c>
      <c r="D8233" t="s">
        <v>17439</v>
      </c>
      <c r="E8233" t="s">
        <v>24597</v>
      </c>
      <c r="F8233" t="s">
        <v>30052</v>
      </c>
      <c r="G8233" t="s">
        <v>30058</v>
      </c>
      <c r="H8233" t="s">
        <v>15498</v>
      </c>
      <c r="I8233" t="s">
        <v>30084</v>
      </c>
      <c r="J8233" t="s">
        <v>35235</v>
      </c>
      <c r="K8233" t="s">
        <v>39029</v>
      </c>
      <c r="M8233" t="s">
        <v>41393</v>
      </c>
      <c r="N8233" t="s">
        <v>43166</v>
      </c>
      <c r="O8233" t="s">
        <v>43167</v>
      </c>
      <c r="P8233">
        <v>0</v>
      </c>
      <c r="Q8233">
        <v>3</v>
      </c>
      <c r="R8233" t="s">
        <v>43174</v>
      </c>
      <c r="S8233" t="s">
        <v>43396</v>
      </c>
      <c r="T8233" t="s">
        <v>44837</v>
      </c>
      <c r="U8233" t="s">
        <v>51852</v>
      </c>
      <c r="W8233" t="s">
        <v>41393</v>
      </c>
      <c r="X8233" t="s">
        <v>43175</v>
      </c>
    </row>
    <row r="8234" spans="1:24">
      <c r="A8234">
        <f>HYPERLINK("https://www.philgeps.gov.ph/GEPSNONPILOT/Tender/SplashBidNoticeAbstractUI.aspx?menuIndex=3&amp;refID=7074014&amp;Result=3","7074014")</f>
        <v>0</v>
      </c>
      <c r="B8234" t="s">
        <v>2516</v>
      </c>
      <c r="C8234" t="s">
        <v>11252</v>
      </c>
      <c r="D8234" t="s">
        <v>17462</v>
      </c>
      <c r="E8234" t="s">
        <v>18583</v>
      </c>
      <c r="F8234" t="s">
        <v>30052</v>
      </c>
      <c r="G8234" t="s">
        <v>30058</v>
      </c>
      <c r="H8234" t="s">
        <v>15498</v>
      </c>
      <c r="I8234" t="s">
        <v>30074</v>
      </c>
      <c r="J8234" t="s">
        <v>32072</v>
      </c>
      <c r="K8234" t="s">
        <v>39029</v>
      </c>
      <c r="M8234" t="s">
        <v>42022</v>
      </c>
      <c r="N8234" t="s">
        <v>43166</v>
      </c>
      <c r="O8234" t="s">
        <v>43167</v>
      </c>
      <c r="P8234">
        <v>0</v>
      </c>
      <c r="Q8234">
        <v>2</v>
      </c>
      <c r="R8234" t="s">
        <v>43174</v>
      </c>
      <c r="S8234" t="s">
        <v>43396</v>
      </c>
      <c r="T8234" t="s">
        <v>44717</v>
      </c>
      <c r="U8234" t="s">
        <v>49915</v>
      </c>
      <c r="V8234" t="s">
        <v>57701</v>
      </c>
      <c r="W8234" t="s">
        <v>42022</v>
      </c>
      <c r="X8234" t="s">
        <v>43175</v>
      </c>
    </row>
    <row r="8235" spans="1:24">
      <c r="A8235">
        <f>HYPERLINK("https://www.philgeps.gov.ph/GEPSNONPILOT/Tender/SplashBidNoticeAbstractUI.aspx?menuIndex=3&amp;refID=7073996&amp;Result=3","7073996")</f>
        <v>0</v>
      </c>
      <c r="B8235" t="s">
        <v>1822</v>
      </c>
      <c r="C8235" t="s">
        <v>11253</v>
      </c>
      <c r="D8235" t="s">
        <v>17437</v>
      </c>
      <c r="E8235" t="s">
        <v>24598</v>
      </c>
      <c r="F8235" t="s">
        <v>30052</v>
      </c>
      <c r="G8235" t="s">
        <v>30058</v>
      </c>
      <c r="H8235" t="s">
        <v>15498</v>
      </c>
      <c r="I8235" t="s">
        <v>3693</v>
      </c>
      <c r="J8235" t="s">
        <v>30240</v>
      </c>
      <c r="K8235" t="s">
        <v>39023</v>
      </c>
      <c r="M8235" t="s">
        <v>41474</v>
      </c>
      <c r="N8235" t="s">
        <v>43166</v>
      </c>
      <c r="O8235" t="s">
        <v>43167</v>
      </c>
      <c r="P8235">
        <v>0</v>
      </c>
      <c r="Q8235">
        <v>0</v>
      </c>
      <c r="R8235" t="s">
        <v>43174</v>
      </c>
      <c r="S8235" t="s">
        <v>43396</v>
      </c>
      <c r="T8235" t="s">
        <v>44807</v>
      </c>
      <c r="U8235" t="s">
        <v>51853</v>
      </c>
      <c r="W8235" t="s">
        <v>41474</v>
      </c>
      <c r="X8235" t="s">
        <v>43175</v>
      </c>
    </row>
    <row r="8236" spans="1:24">
      <c r="A8236">
        <f>HYPERLINK("https://www.philgeps.gov.ph/GEPSNONPILOT/Tender/SplashBidNoticeAbstractUI.aspx?menuIndex=3&amp;refID=7073991&amp;Result=3","7073991")</f>
        <v>0</v>
      </c>
      <c r="B8236" t="s">
        <v>2517</v>
      </c>
      <c r="C8236" t="s">
        <v>11254</v>
      </c>
      <c r="D8236" t="s">
        <v>17477</v>
      </c>
      <c r="E8236" t="s">
        <v>24599</v>
      </c>
      <c r="F8236" t="s">
        <v>30052</v>
      </c>
      <c r="G8236" t="s">
        <v>30058</v>
      </c>
      <c r="H8236" t="s">
        <v>15498</v>
      </c>
      <c r="I8236" t="s">
        <v>3736</v>
      </c>
      <c r="J8236" t="s">
        <v>35236</v>
      </c>
      <c r="K8236" t="s">
        <v>39019</v>
      </c>
      <c r="M8236" t="s">
        <v>42023</v>
      </c>
      <c r="N8236" t="s">
        <v>43166</v>
      </c>
      <c r="O8236" t="s">
        <v>43167</v>
      </c>
      <c r="P8236">
        <v>0</v>
      </c>
      <c r="Q8236">
        <v>0</v>
      </c>
      <c r="R8236" t="s">
        <v>43174</v>
      </c>
      <c r="S8236" t="s">
        <v>43396</v>
      </c>
      <c r="T8236" t="s">
        <v>44856</v>
      </c>
      <c r="U8236" t="s">
        <v>51854</v>
      </c>
      <c r="W8236" t="s">
        <v>42023</v>
      </c>
      <c r="X8236" t="s">
        <v>43175</v>
      </c>
    </row>
    <row r="8237" spans="1:24">
      <c r="A8237">
        <f>HYPERLINK("https://www.philgeps.gov.ph/GEPSNONPILOT/Tender/SplashBidNoticeAbstractUI.aspx?menuIndex=3&amp;refID=7074099&amp;Result=3","7074099")</f>
        <v>0</v>
      </c>
      <c r="B8237" t="s">
        <v>1687</v>
      </c>
      <c r="C8237" t="s">
        <v>11255</v>
      </c>
      <c r="D8237" t="s">
        <v>17466</v>
      </c>
      <c r="E8237" t="s">
        <v>24600</v>
      </c>
      <c r="F8237" t="s">
        <v>30052</v>
      </c>
      <c r="G8237" t="s">
        <v>30058</v>
      </c>
      <c r="H8237" t="s">
        <v>15498</v>
      </c>
      <c r="I8237" t="s">
        <v>30096</v>
      </c>
      <c r="J8237" t="s">
        <v>35237</v>
      </c>
      <c r="K8237" t="s">
        <v>39025</v>
      </c>
      <c r="M8237" t="s">
        <v>41096</v>
      </c>
      <c r="N8237" t="s">
        <v>43166</v>
      </c>
      <c r="O8237" t="s">
        <v>43167</v>
      </c>
      <c r="P8237">
        <v>0</v>
      </c>
      <c r="Q8237">
        <v>0</v>
      </c>
      <c r="R8237" t="s">
        <v>43174</v>
      </c>
      <c r="S8237" t="s">
        <v>43396</v>
      </c>
      <c r="T8237" t="s">
        <v>44969</v>
      </c>
      <c r="U8237" t="s">
        <v>51855</v>
      </c>
      <c r="V8237" t="s">
        <v>57352</v>
      </c>
      <c r="W8237" t="s">
        <v>41096</v>
      </c>
      <c r="X8237" t="s">
        <v>43175</v>
      </c>
    </row>
    <row r="8238" spans="1:24">
      <c r="A8238">
        <f>HYPERLINK("https://www.philgeps.gov.ph/GEPSNONPILOT/Tender/SplashBidNoticeAbstractUI.aspx?menuIndex=3&amp;refID=7074098&amp;Result=3","7074098")</f>
        <v>0</v>
      </c>
      <c r="B8238" t="s">
        <v>919</v>
      </c>
      <c r="C8238" t="s">
        <v>11256</v>
      </c>
      <c r="E8238" t="s">
        <v>24601</v>
      </c>
      <c r="F8238" t="s">
        <v>30052</v>
      </c>
      <c r="G8238" t="s">
        <v>30058</v>
      </c>
      <c r="H8238" t="s">
        <v>30067</v>
      </c>
      <c r="I8238" t="s">
        <v>3693</v>
      </c>
      <c r="J8238" t="s">
        <v>35238</v>
      </c>
      <c r="K8238" t="s">
        <v>39025</v>
      </c>
      <c r="M8238" t="s">
        <v>40242</v>
      </c>
      <c r="N8238" t="s">
        <v>43166</v>
      </c>
      <c r="O8238" t="s">
        <v>43167</v>
      </c>
      <c r="Q8238">
        <v>0</v>
      </c>
      <c r="R8238" t="s">
        <v>43174</v>
      </c>
      <c r="S8238" t="s">
        <v>43413</v>
      </c>
      <c r="T8238" t="s">
        <v>44842</v>
      </c>
      <c r="U8238" t="s">
        <v>51856</v>
      </c>
      <c r="W8238" t="s">
        <v>43101</v>
      </c>
      <c r="X8238" t="s">
        <v>43175</v>
      </c>
    </row>
    <row r="8239" spans="1:24">
      <c r="A8239">
        <f>HYPERLINK("https://www.philgeps.gov.ph/GEPSNONPILOT/Tender/SplashBidNoticeAbstractUI.aspx?menuIndex=3&amp;refID=7074095&amp;Result=3","7074095")</f>
        <v>0</v>
      </c>
      <c r="B8239" t="s">
        <v>2518</v>
      </c>
      <c r="C8239" t="s">
        <v>11257</v>
      </c>
      <c r="D8239" t="s">
        <v>17473</v>
      </c>
      <c r="E8239" t="s">
        <v>24602</v>
      </c>
      <c r="F8239" t="s">
        <v>30052</v>
      </c>
      <c r="G8239" t="s">
        <v>30058</v>
      </c>
      <c r="H8239" t="s">
        <v>30067</v>
      </c>
      <c r="I8239" t="s">
        <v>3693</v>
      </c>
      <c r="J8239" t="s">
        <v>30747</v>
      </c>
      <c r="K8239" t="s">
        <v>39046</v>
      </c>
      <c r="M8239" t="s">
        <v>42024</v>
      </c>
      <c r="N8239" t="s">
        <v>43166</v>
      </c>
      <c r="O8239" t="s">
        <v>43167</v>
      </c>
      <c r="P8239">
        <v>0</v>
      </c>
      <c r="Q8239">
        <v>0</v>
      </c>
      <c r="R8239" t="s">
        <v>43174</v>
      </c>
      <c r="S8239" t="s">
        <v>43396</v>
      </c>
      <c r="T8239" t="s">
        <v>44725</v>
      </c>
      <c r="U8239" t="s">
        <v>51857</v>
      </c>
      <c r="W8239" t="s">
        <v>42024</v>
      </c>
      <c r="X8239" t="s">
        <v>43175</v>
      </c>
    </row>
    <row r="8240" spans="1:24">
      <c r="A8240">
        <f>HYPERLINK("https://www.philgeps.gov.ph/GEPSNONPILOT/Tender/SplashBidNoticeAbstractUI.aspx?menuIndex=3&amp;refID=7074093&amp;Result=3","7074093")</f>
        <v>0</v>
      </c>
      <c r="B8240" t="s">
        <v>2454</v>
      </c>
      <c r="C8240" t="s">
        <v>11258</v>
      </c>
      <c r="D8240" t="s">
        <v>17486</v>
      </c>
      <c r="E8240" t="s">
        <v>24603</v>
      </c>
      <c r="F8240" t="s">
        <v>30052</v>
      </c>
      <c r="G8240" t="s">
        <v>30058</v>
      </c>
      <c r="H8240" t="s">
        <v>30067</v>
      </c>
      <c r="I8240" t="s">
        <v>3693</v>
      </c>
      <c r="J8240" t="s">
        <v>35239</v>
      </c>
      <c r="K8240" t="s">
        <v>39033</v>
      </c>
      <c r="M8240" t="s">
        <v>41953</v>
      </c>
      <c r="N8240" t="s">
        <v>43166</v>
      </c>
      <c r="O8240" t="s">
        <v>43167</v>
      </c>
      <c r="P8240">
        <v>0</v>
      </c>
      <c r="Q8240">
        <v>4</v>
      </c>
      <c r="R8240" t="s">
        <v>43174</v>
      </c>
      <c r="S8240" t="s">
        <v>43396</v>
      </c>
      <c r="T8240" t="s">
        <v>44791</v>
      </c>
      <c r="U8240" t="s">
        <v>51684</v>
      </c>
      <c r="W8240" t="s">
        <v>41953</v>
      </c>
      <c r="X8240" t="s">
        <v>43175</v>
      </c>
    </row>
    <row r="8241" spans="1:24">
      <c r="A8241">
        <f>HYPERLINK("https://www.philgeps.gov.ph/GEPSNONPILOT/Tender/SplashBidNoticeAbstractUI.aspx?menuIndex=3&amp;refID=7073999&amp;Result=3","7073999")</f>
        <v>0</v>
      </c>
      <c r="B8241" t="s">
        <v>47</v>
      </c>
      <c r="C8241" t="s">
        <v>11259</v>
      </c>
      <c r="D8241" t="s">
        <v>17430</v>
      </c>
      <c r="E8241" t="s">
        <v>24604</v>
      </c>
      <c r="F8241" t="s">
        <v>30052</v>
      </c>
      <c r="G8241" t="s">
        <v>30061</v>
      </c>
      <c r="H8241" t="s">
        <v>15498</v>
      </c>
      <c r="I8241" t="s">
        <v>30081</v>
      </c>
      <c r="J8241" t="s">
        <v>31206</v>
      </c>
      <c r="K8241" t="s">
        <v>39019</v>
      </c>
      <c r="M8241" t="s">
        <v>39337</v>
      </c>
      <c r="N8241" t="s">
        <v>43166</v>
      </c>
      <c r="O8241" t="s">
        <v>43167</v>
      </c>
      <c r="P8241">
        <v>0</v>
      </c>
      <c r="Q8241">
        <v>0</v>
      </c>
      <c r="R8241" t="s">
        <v>43174</v>
      </c>
      <c r="S8241" t="s">
        <v>43396</v>
      </c>
      <c r="T8241" t="s">
        <v>44818</v>
      </c>
      <c r="U8241" t="s">
        <v>51858</v>
      </c>
      <c r="V8241" t="s">
        <v>57699</v>
      </c>
      <c r="W8241" t="s">
        <v>39337</v>
      </c>
      <c r="X8241" t="s">
        <v>43175</v>
      </c>
    </row>
    <row r="8242" spans="1:24">
      <c r="A8242">
        <f>HYPERLINK("https://www.philgeps.gov.ph/GEPSNONPILOT/Tender/SplashBidNoticeAbstractUI.aspx?menuIndex=3&amp;refID=7074030&amp;Result=3","7074030")</f>
        <v>0</v>
      </c>
      <c r="B8242" t="s">
        <v>2436</v>
      </c>
      <c r="C8242" t="s">
        <v>11260</v>
      </c>
      <c r="D8242" t="s">
        <v>17446</v>
      </c>
      <c r="E8242" t="s">
        <v>24605</v>
      </c>
      <c r="F8242" t="s">
        <v>30052</v>
      </c>
      <c r="G8242" t="s">
        <v>30059</v>
      </c>
      <c r="H8242" t="s">
        <v>15498</v>
      </c>
      <c r="I8242" t="s">
        <v>30094</v>
      </c>
      <c r="J8242" t="s">
        <v>35240</v>
      </c>
      <c r="K8242" t="s">
        <v>39036</v>
      </c>
      <c r="M8242" t="s">
        <v>41934</v>
      </c>
      <c r="N8242" t="s">
        <v>43166</v>
      </c>
      <c r="O8242" t="s">
        <v>43167</v>
      </c>
      <c r="P8242">
        <v>0</v>
      </c>
      <c r="Q8242">
        <v>1</v>
      </c>
      <c r="R8242" t="s">
        <v>43174</v>
      </c>
      <c r="S8242" t="s">
        <v>43396</v>
      </c>
      <c r="T8242" t="s">
        <v>44843</v>
      </c>
      <c r="U8242" t="s">
        <v>51859</v>
      </c>
      <c r="W8242" t="s">
        <v>41934</v>
      </c>
      <c r="X8242" t="s">
        <v>43175</v>
      </c>
    </row>
    <row r="8243" spans="1:24">
      <c r="A8243">
        <f>HYPERLINK("https://www.philgeps.gov.ph/GEPSNONPILOT/Tender/SplashBidNoticeAbstractUI.aspx?menuIndex=3&amp;refID=7073557&amp;Result=3","7073557")</f>
        <v>0</v>
      </c>
      <c r="B8243" t="s">
        <v>894</v>
      </c>
      <c r="C8243" t="s">
        <v>3627</v>
      </c>
      <c r="D8243" t="s">
        <v>17432</v>
      </c>
      <c r="E8243" t="s">
        <v>19399</v>
      </c>
      <c r="F8243" t="s">
        <v>30055</v>
      </c>
      <c r="G8243" t="s">
        <v>30059</v>
      </c>
      <c r="H8243" t="s">
        <v>15498</v>
      </c>
      <c r="I8243" t="s">
        <v>4650</v>
      </c>
      <c r="J8243" t="s">
        <v>31707</v>
      </c>
      <c r="K8243" t="s">
        <v>39018</v>
      </c>
      <c r="M8243" t="s">
        <v>40213</v>
      </c>
      <c r="N8243" t="s">
        <v>43166</v>
      </c>
      <c r="O8243" t="s">
        <v>43167</v>
      </c>
      <c r="P8243">
        <v>0</v>
      </c>
      <c r="Q8243">
        <v>0</v>
      </c>
      <c r="R8243" t="s">
        <v>43174</v>
      </c>
      <c r="S8243" t="s">
        <v>43396</v>
      </c>
      <c r="T8243" t="s">
        <v>44888</v>
      </c>
      <c r="U8243" t="s">
        <v>46351</v>
      </c>
      <c r="W8243" t="s">
        <v>40213</v>
      </c>
      <c r="X8243" t="s">
        <v>43175</v>
      </c>
    </row>
    <row r="8244" spans="1:24">
      <c r="A8244">
        <f>HYPERLINK("https://www.philgeps.gov.ph/GEPSNONPILOT/Tender/SplashBidNoticeAbstractUI.aspx?menuIndex=3&amp;refID=7074092&amp;Result=3","7074092")</f>
        <v>0</v>
      </c>
      <c r="B8244" t="s">
        <v>721</v>
      </c>
      <c r="C8244" t="s">
        <v>11261</v>
      </c>
      <c r="D8244" t="s">
        <v>17451</v>
      </c>
      <c r="E8244" t="s">
        <v>24606</v>
      </c>
      <c r="F8244" t="s">
        <v>30052</v>
      </c>
      <c r="G8244" t="s">
        <v>30058</v>
      </c>
      <c r="H8244" t="s">
        <v>30067</v>
      </c>
      <c r="I8244" t="s">
        <v>3693</v>
      </c>
      <c r="J8244" t="s">
        <v>35241</v>
      </c>
      <c r="K8244" t="s">
        <v>39019</v>
      </c>
      <c r="M8244" t="s">
        <v>40031</v>
      </c>
      <c r="N8244" t="s">
        <v>43166</v>
      </c>
      <c r="O8244" t="s">
        <v>43167</v>
      </c>
      <c r="P8244">
        <v>0</v>
      </c>
      <c r="Q8244">
        <v>0</v>
      </c>
      <c r="R8244" t="s">
        <v>43174</v>
      </c>
      <c r="S8244" t="s">
        <v>43396</v>
      </c>
      <c r="T8244" t="s">
        <v>44777</v>
      </c>
      <c r="U8244" t="s">
        <v>51728</v>
      </c>
      <c r="W8244" t="s">
        <v>40031</v>
      </c>
      <c r="X8244" t="s">
        <v>43175</v>
      </c>
    </row>
    <row r="8245" spans="1:24">
      <c r="A8245">
        <f>HYPERLINK("https://www.philgeps.gov.ph/GEPSNONPILOT/Tender/SplashBidNoticeAbstractUI.aspx?menuIndex=3&amp;refID=7074094&amp;Result=3","7074094")</f>
        <v>0</v>
      </c>
      <c r="B8245" t="s">
        <v>2436</v>
      </c>
      <c r="C8245" t="s">
        <v>11262</v>
      </c>
      <c r="D8245" t="s">
        <v>17446</v>
      </c>
      <c r="E8245" t="s">
        <v>24605</v>
      </c>
      <c r="F8245" t="s">
        <v>30052</v>
      </c>
      <c r="G8245" t="s">
        <v>30058</v>
      </c>
      <c r="H8245" t="s">
        <v>15498</v>
      </c>
      <c r="I8245" t="s">
        <v>30096</v>
      </c>
      <c r="J8245" t="s">
        <v>35242</v>
      </c>
      <c r="K8245" t="s">
        <v>39019</v>
      </c>
      <c r="M8245" t="s">
        <v>41934</v>
      </c>
      <c r="N8245" t="s">
        <v>43166</v>
      </c>
      <c r="O8245" t="s">
        <v>43167</v>
      </c>
      <c r="P8245">
        <v>0</v>
      </c>
      <c r="Q8245">
        <v>2</v>
      </c>
      <c r="R8245" t="s">
        <v>43174</v>
      </c>
      <c r="S8245" t="s">
        <v>43396</v>
      </c>
      <c r="T8245" t="s">
        <v>44843</v>
      </c>
      <c r="U8245" t="s">
        <v>51860</v>
      </c>
      <c r="W8245" t="s">
        <v>41934</v>
      </c>
      <c r="X8245" t="s">
        <v>43175</v>
      </c>
    </row>
    <row r="8246" spans="1:24">
      <c r="A8246">
        <f>HYPERLINK("https://www.philgeps.gov.ph/GEPSNONPILOT/Tender/SplashBidNoticeAbstractUI.aspx?menuIndex=3&amp;refID=7074031&amp;Result=3","7074031")</f>
        <v>0</v>
      </c>
      <c r="B8246" t="s">
        <v>1608</v>
      </c>
      <c r="C8246" t="s">
        <v>11263</v>
      </c>
      <c r="D8246" t="s">
        <v>17415</v>
      </c>
      <c r="E8246" t="s">
        <v>24607</v>
      </c>
      <c r="F8246" t="s">
        <v>30052</v>
      </c>
      <c r="G8246" t="s">
        <v>30058</v>
      </c>
      <c r="H8246" t="s">
        <v>15498</v>
      </c>
      <c r="I8246" t="s">
        <v>30070</v>
      </c>
      <c r="J8246" t="s">
        <v>35243</v>
      </c>
      <c r="K8246" t="s">
        <v>39019</v>
      </c>
      <c r="M8246" t="s">
        <v>42018</v>
      </c>
      <c r="N8246" t="s">
        <v>43166</v>
      </c>
      <c r="O8246" t="s">
        <v>43167</v>
      </c>
      <c r="P8246">
        <v>0</v>
      </c>
      <c r="Q8246">
        <v>1</v>
      </c>
      <c r="R8246" t="s">
        <v>43174</v>
      </c>
      <c r="S8246" t="s">
        <v>43396</v>
      </c>
      <c r="T8246" t="s">
        <v>44844</v>
      </c>
      <c r="U8246" t="s">
        <v>45217</v>
      </c>
      <c r="W8246" t="s">
        <v>42018</v>
      </c>
      <c r="X8246" t="s">
        <v>43175</v>
      </c>
    </row>
    <row r="8247" spans="1:24">
      <c r="A8247">
        <f>HYPERLINK("https://www.philgeps.gov.ph/GEPSNONPILOT/Tender/SplashBidNoticeAbstractUI.aspx?menuIndex=3&amp;refID=7073561&amp;Result=3","7073561")</f>
        <v>0</v>
      </c>
      <c r="B8247" t="s">
        <v>1878</v>
      </c>
      <c r="C8247" t="s">
        <v>11264</v>
      </c>
      <c r="D8247" t="s">
        <v>17440</v>
      </c>
      <c r="E8247" t="s">
        <v>24608</v>
      </c>
      <c r="F8247" t="s">
        <v>30052</v>
      </c>
      <c r="G8247" t="s">
        <v>30059</v>
      </c>
      <c r="H8247" t="s">
        <v>30067</v>
      </c>
      <c r="I8247" t="s">
        <v>3693</v>
      </c>
      <c r="J8247" t="s">
        <v>30402</v>
      </c>
      <c r="K8247" t="s">
        <v>39036</v>
      </c>
      <c r="L8247" t="s">
        <v>1878</v>
      </c>
      <c r="M8247" t="s">
        <v>41309</v>
      </c>
      <c r="N8247" t="s">
        <v>43166</v>
      </c>
      <c r="O8247" t="s">
        <v>43167</v>
      </c>
      <c r="P8247">
        <v>0</v>
      </c>
      <c r="Q8247">
        <v>0</v>
      </c>
      <c r="R8247" t="s">
        <v>43174</v>
      </c>
      <c r="S8247" t="s">
        <v>43396</v>
      </c>
      <c r="T8247" t="s">
        <v>44843</v>
      </c>
      <c r="U8247" t="s">
        <v>49680</v>
      </c>
      <c r="W8247" t="s">
        <v>41309</v>
      </c>
      <c r="X8247" t="s">
        <v>43175</v>
      </c>
    </row>
    <row r="8248" spans="1:24">
      <c r="A8248">
        <f>HYPERLINK("https://www.philgeps.gov.ph/GEPSNONPILOT/Tender/SplashBidNoticeAbstractUI.aspx?menuIndex=3&amp;refID=7074078&amp;Result=3","7074078")</f>
        <v>0</v>
      </c>
      <c r="B8248" t="s">
        <v>1661</v>
      </c>
      <c r="C8248" t="s">
        <v>11265</v>
      </c>
      <c r="D8248" t="s">
        <v>17422</v>
      </c>
      <c r="E8248" t="s">
        <v>24609</v>
      </c>
      <c r="F8248" t="s">
        <v>30052</v>
      </c>
      <c r="G8248" t="s">
        <v>30059</v>
      </c>
      <c r="H8248" t="s">
        <v>15498</v>
      </c>
      <c r="I8248" t="s">
        <v>30070</v>
      </c>
      <c r="J8248" t="s">
        <v>30402</v>
      </c>
      <c r="K8248" t="s">
        <v>39025</v>
      </c>
      <c r="M8248" t="s">
        <v>41992</v>
      </c>
      <c r="N8248" t="s">
        <v>43166</v>
      </c>
      <c r="O8248" t="s">
        <v>43167</v>
      </c>
      <c r="P8248">
        <v>0</v>
      </c>
      <c r="Q8248">
        <v>2</v>
      </c>
      <c r="R8248" t="s">
        <v>43174</v>
      </c>
      <c r="S8248" t="s">
        <v>43396</v>
      </c>
      <c r="T8248" t="s">
        <v>44698</v>
      </c>
      <c r="U8248" t="s">
        <v>51774</v>
      </c>
      <c r="W8248" t="s">
        <v>41992</v>
      </c>
      <c r="X8248" t="s">
        <v>43175</v>
      </c>
    </row>
    <row r="8249" spans="1:24">
      <c r="A8249">
        <f>HYPERLINK("https://www.philgeps.gov.ph/GEPSNONPILOT/Tender/SplashBidNoticeAbstractUI.aspx?menuIndex=3&amp;refID=7074089&amp;Result=3","7074089")</f>
        <v>0</v>
      </c>
      <c r="B8249" t="s">
        <v>2033</v>
      </c>
      <c r="C8249" t="s">
        <v>11266</v>
      </c>
      <c r="D8249" t="s">
        <v>17448</v>
      </c>
      <c r="E8249" t="s">
        <v>24610</v>
      </c>
      <c r="F8249" t="s">
        <v>30052</v>
      </c>
      <c r="G8249" t="s">
        <v>30058</v>
      </c>
      <c r="H8249" t="s">
        <v>30067</v>
      </c>
      <c r="I8249" t="s">
        <v>3693</v>
      </c>
      <c r="J8249" t="s">
        <v>30252</v>
      </c>
      <c r="K8249" t="s">
        <v>39031</v>
      </c>
      <c r="M8249" t="s">
        <v>41482</v>
      </c>
      <c r="N8249" t="s">
        <v>43166</v>
      </c>
      <c r="O8249" t="s">
        <v>43167</v>
      </c>
      <c r="P8249">
        <v>0</v>
      </c>
      <c r="Q8249">
        <v>0</v>
      </c>
      <c r="R8249" t="s">
        <v>43174</v>
      </c>
      <c r="S8249" t="s">
        <v>43396</v>
      </c>
      <c r="T8249" t="s">
        <v>44717</v>
      </c>
      <c r="U8249" t="s">
        <v>51861</v>
      </c>
      <c r="W8249" t="s">
        <v>41482</v>
      </c>
      <c r="X8249" t="s">
        <v>43175</v>
      </c>
    </row>
    <row r="8250" spans="1:24">
      <c r="A8250">
        <f>HYPERLINK("https://www.philgeps.gov.ph/GEPSNONPILOT/Tender/SplashBidNoticeAbstractUI.aspx?menuIndex=3&amp;refID=7074075&amp;Result=3","7074075")</f>
        <v>0</v>
      </c>
      <c r="B8250" t="s">
        <v>2410</v>
      </c>
      <c r="C8250" t="s">
        <v>11267</v>
      </c>
      <c r="D8250" t="s">
        <v>17470</v>
      </c>
      <c r="E8250" t="s">
        <v>24596</v>
      </c>
      <c r="F8250" t="s">
        <v>30052</v>
      </c>
      <c r="G8250" t="s">
        <v>30058</v>
      </c>
      <c r="H8250" t="s">
        <v>15498</v>
      </c>
      <c r="I8250" t="s">
        <v>30081</v>
      </c>
      <c r="J8250" t="s">
        <v>35244</v>
      </c>
      <c r="K8250" t="s">
        <v>39029</v>
      </c>
      <c r="M8250" t="s">
        <v>41907</v>
      </c>
      <c r="N8250" t="s">
        <v>43166</v>
      </c>
      <c r="O8250" t="s">
        <v>43167</v>
      </c>
      <c r="P8250">
        <v>0</v>
      </c>
      <c r="Q8250">
        <v>0</v>
      </c>
      <c r="R8250" t="s">
        <v>43174</v>
      </c>
      <c r="S8250" t="s">
        <v>43396</v>
      </c>
      <c r="T8250" t="s">
        <v>44758</v>
      </c>
      <c r="U8250" t="s">
        <v>51851</v>
      </c>
      <c r="W8250" t="s">
        <v>41907</v>
      </c>
      <c r="X8250" t="s">
        <v>43175</v>
      </c>
    </row>
    <row r="8251" spans="1:24">
      <c r="A8251">
        <f>HYPERLINK("https://www.philgeps.gov.ph/GEPSNONPILOT/Tender/SplashBidNoticeAbstractUI.aspx?menuIndex=3&amp;refID=7074067&amp;Result=3","7074067")</f>
        <v>0</v>
      </c>
      <c r="B8251" t="s">
        <v>1608</v>
      </c>
      <c r="C8251" t="s">
        <v>11268</v>
      </c>
      <c r="D8251" t="s">
        <v>17415</v>
      </c>
      <c r="E8251" t="s">
        <v>24611</v>
      </c>
      <c r="F8251" t="s">
        <v>30052</v>
      </c>
      <c r="G8251" t="s">
        <v>30058</v>
      </c>
      <c r="H8251" t="s">
        <v>15498</v>
      </c>
      <c r="I8251" t="s">
        <v>30070</v>
      </c>
      <c r="J8251" t="s">
        <v>35245</v>
      </c>
      <c r="K8251" t="s">
        <v>39019</v>
      </c>
      <c r="M8251" t="s">
        <v>42018</v>
      </c>
      <c r="N8251" t="s">
        <v>43166</v>
      </c>
      <c r="O8251" t="s">
        <v>43167</v>
      </c>
      <c r="P8251">
        <v>0</v>
      </c>
      <c r="Q8251">
        <v>1</v>
      </c>
      <c r="R8251" t="s">
        <v>43174</v>
      </c>
      <c r="S8251" t="s">
        <v>43396</v>
      </c>
      <c r="T8251" t="s">
        <v>44844</v>
      </c>
      <c r="U8251" t="s">
        <v>45217</v>
      </c>
      <c r="W8251" t="s">
        <v>42018</v>
      </c>
      <c r="X8251" t="s">
        <v>43175</v>
      </c>
    </row>
    <row r="8252" spans="1:24">
      <c r="A8252">
        <f>HYPERLINK("https://www.philgeps.gov.ph/GEPSNONPILOT/Tender/SplashBidNoticeAbstractUI.aspx?menuIndex=3&amp;refID=7074062&amp;Result=3","7074062")</f>
        <v>0</v>
      </c>
      <c r="B8252" t="s">
        <v>2098</v>
      </c>
      <c r="C8252" t="s">
        <v>11269</v>
      </c>
      <c r="D8252" t="s">
        <v>17414</v>
      </c>
      <c r="E8252" t="s">
        <v>24612</v>
      </c>
      <c r="F8252" t="s">
        <v>30052</v>
      </c>
      <c r="G8252" t="s">
        <v>30059</v>
      </c>
      <c r="H8252" t="s">
        <v>15498</v>
      </c>
      <c r="I8252" t="s">
        <v>3606</v>
      </c>
      <c r="J8252" t="s">
        <v>35246</v>
      </c>
      <c r="K8252" t="s">
        <v>39017</v>
      </c>
      <c r="M8252" t="s">
        <v>42002</v>
      </c>
      <c r="N8252" t="s">
        <v>43166</v>
      </c>
      <c r="O8252" t="s">
        <v>43167</v>
      </c>
      <c r="P8252">
        <v>0</v>
      </c>
      <c r="Q8252">
        <v>0</v>
      </c>
      <c r="R8252" t="s">
        <v>43174</v>
      </c>
      <c r="S8252" t="s">
        <v>43396</v>
      </c>
      <c r="T8252" t="s">
        <v>44777</v>
      </c>
      <c r="U8252" t="s">
        <v>51862</v>
      </c>
      <c r="W8252" t="s">
        <v>42002</v>
      </c>
      <c r="X8252" t="s">
        <v>43175</v>
      </c>
    </row>
    <row r="8253" spans="1:24">
      <c r="A8253">
        <f>HYPERLINK("https://www.philgeps.gov.ph/GEPSNONPILOT/Tender/SplashBidNoticeAbstractUI.aspx?menuIndex=3&amp;refID=7074080&amp;Result=3","7074080")</f>
        <v>0</v>
      </c>
      <c r="B8253" t="s">
        <v>2510</v>
      </c>
      <c r="C8253" t="s">
        <v>11270</v>
      </c>
      <c r="D8253" t="s">
        <v>17475</v>
      </c>
      <c r="E8253" t="s">
        <v>24613</v>
      </c>
      <c r="F8253" t="s">
        <v>30055</v>
      </c>
      <c r="G8253" t="s">
        <v>30059</v>
      </c>
      <c r="H8253" t="s">
        <v>15498</v>
      </c>
      <c r="I8253" t="s">
        <v>3736</v>
      </c>
      <c r="J8253" t="s">
        <v>35247</v>
      </c>
      <c r="K8253" t="s">
        <v>39017</v>
      </c>
      <c r="M8253" t="s">
        <v>42015</v>
      </c>
      <c r="N8253" t="s">
        <v>43166</v>
      </c>
      <c r="O8253" t="s">
        <v>43167</v>
      </c>
      <c r="P8253">
        <v>0</v>
      </c>
      <c r="Q8253">
        <v>0</v>
      </c>
      <c r="R8253" t="s">
        <v>43174</v>
      </c>
      <c r="S8253" t="s">
        <v>43396</v>
      </c>
      <c r="T8253" t="s">
        <v>44788</v>
      </c>
      <c r="U8253" t="s">
        <v>51863</v>
      </c>
      <c r="V8253" t="s">
        <v>57697</v>
      </c>
      <c r="W8253" t="s">
        <v>42015</v>
      </c>
      <c r="X8253" t="s">
        <v>43175</v>
      </c>
    </row>
    <row r="8254" spans="1:24">
      <c r="A8254">
        <f>HYPERLINK("https://www.philgeps.gov.ph/GEPSNONPILOT/Tender/SplashBidNoticeAbstractUI.aspx?menuIndex=3&amp;refID=7074088&amp;Result=3","7074088")</f>
        <v>0</v>
      </c>
      <c r="B8254" t="s">
        <v>696</v>
      </c>
      <c r="C8254" t="s">
        <v>11271</v>
      </c>
      <c r="D8254" t="s">
        <v>17432</v>
      </c>
      <c r="E8254" t="s">
        <v>24614</v>
      </c>
      <c r="F8254" t="s">
        <v>30052</v>
      </c>
      <c r="G8254" t="s">
        <v>30059</v>
      </c>
      <c r="H8254" t="s">
        <v>15498</v>
      </c>
      <c r="I8254" t="s">
        <v>30096</v>
      </c>
      <c r="J8254" t="s">
        <v>35248</v>
      </c>
      <c r="K8254" t="s">
        <v>39064</v>
      </c>
      <c r="M8254" t="s">
        <v>40004</v>
      </c>
      <c r="N8254" t="s">
        <v>43166</v>
      </c>
      <c r="O8254" t="s">
        <v>43167</v>
      </c>
      <c r="P8254">
        <v>0</v>
      </c>
      <c r="Q8254">
        <v>1</v>
      </c>
      <c r="R8254" t="s">
        <v>43174</v>
      </c>
      <c r="S8254" t="s">
        <v>43396</v>
      </c>
      <c r="T8254" t="s">
        <v>44856</v>
      </c>
      <c r="U8254" t="s">
        <v>51864</v>
      </c>
      <c r="W8254" t="s">
        <v>40004</v>
      </c>
      <c r="X8254" t="s">
        <v>43175</v>
      </c>
    </row>
    <row r="8255" spans="1:24">
      <c r="A8255">
        <f>HYPERLINK("https://www.philgeps.gov.ph/GEPSNONPILOT/Tender/SplashBidNoticeAbstractUI.aspx?menuIndex=3&amp;refID=7074072&amp;Result=3","7074072")</f>
        <v>0</v>
      </c>
      <c r="B8255" t="s">
        <v>870</v>
      </c>
      <c r="C8255" t="s">
        <v>11272</v>
      </c>
      <c r="D8255" t="s">
        <v>17413</v>
      </c>
      <c r="E8255" t="s">
        <v>24615</v>
      </c>
      <c r="F8255" t="s">
        <v>30052</v>
      </c>
      <c r="G8255" t="s">
        <v>30058</v>
      </c>
      <c r="H8255" t="s">
        <v>15498</v>
      </c>
      <c r="I8255" t="s">
        <v>30144</v>
      </c>
      <c r="J8255" t="s">
        <v>31734</v>
      </c>
      <c r="K8255" t="s">
        <v>39048</v>
      </c>
      <c r="M8255" t="s">
        <v>40189</v>
      </c>
      <c r="N8255" t="s">
        <v>43166</v>
      </c>
      <c r="O8255" t="s">
        <v>43167</v>
      </c>
      <c r="P8255">
        <v>0</v>
      </c>
      <c r="Q8255">
        <v>2</v>
      </c>
      <c r="R8255" t="s">
        <v>43174</v>
      </c>
      <c r="S8255" t="s">
        <v>43396</v>
      </c>
      <c r="T8255" t="s">
        <v>45000</v>
      </c>
      <c r="U8255" t="s">
        <v>51865</v>
      </c>
      <c r="W8255" t="s">
        <v>40189</v>
      </c>
      <c r="X8255" t="s">
        <v>43175</v>
      </c>
    </row>
    <row r="8256" spans="1:24">
      <c r="A8256">
        <f>HYPERLINK("https://www.philgeps.gov.ph/GEPSNONPILOT/Tender/SplashBidNoticeAbstractUI.aspx?menuIndex=3&amp;refID=7074057&amp;Result=3","7074057")</f>
        <v>0</v>
      </c>
      <c r="B8256" t="s">
        <v>2519</v>
      </c>
      <c r="C8256" t="s">
        <v>11273</v>
      </c>
      <c r="D8256" t="s">
        <v>17413</v>
      </c>
      <c r="E8256" t="s">
        <v>24616</v>
      </c>
      <c r="F8256" t="s">
        <v>30052</v>
      </c>
      <c r="G8256" t="s">
        <v>30058</v>
      </c>
      <c r="H8256" t="s">
        <v>15498</v>
      </c>
      <c r="I8256" t="s">
        <v>3736</v>
      </c>
      <c r="J8256" t="s">
        <v>35249</v>
      </c>
      <c r="K8256" t="s">
        <v>39017</v>
      </c>
      <c r="M8256" t="s">
        <v>42025</v>
      </c>
      <c r="N8256" t="s">
        <v>43166</v>
      </c>
      <c r="O8256" t="s">
        <v>43167</v>
      </c>
      <c r="P8256">
        <v>0</v>
      </c>
      <c r="Q8256">
        <v>0</v>
      </c>
      <c r="R8256" t="s">
        <v>43174</v>
      </c>
      <c r="S8256" t="s">
        <v>43396</v>
      </c>
      <c r="T8256" t="s">
        <v>44870</v>
      </c>
      <c r="U8256" t="s">
        <v>51866</v>
      </c>
      <c r="W8256" t="s">
        <v>42025</v>
      </c>
      <c r="X8256" t="s">
        <v>43175</v>
      </c>
    </row>
    <row r="8257" spans="1:24">
      <c r="A8257">
        <f>HYPERLINK("https://www.philgeps.gov.ph/GEPSNONPILOT/Tender/SplashBidNoticeAbstractUI.aspx?menuIndex=3&amp;refID=7073983&amp;Result=3","7073983")</f>
        <v>0</v>
      </c>
      <c r="B8257" t="s">
        <v>2520</v>
      </c>
      <c r="C8257" t="s">
        <v>11274</v>
      </c>
      <c r="E8257" t="s">
        <v>18372</v>
      </c>
      <c r="F8257" t="s">
        <v>30052</v>
      </c>
      <c r="G8257" t="s">
        <v>30058</v>
      </c>
      <c r="H8257" t="s">
        <v>15498</v>
      </c>
      <c r="I8257" t="s">
        <v>30144</v>
      </c>
      <c r="J8257" t="s">
        <v>35250</v>
      </c>
      <c r="K8257" t="s">
        <v>39025</v>
      </c>
      <c r="M8257" t="s">
        <v>42026</v>
      </c>
      <c r="N8257" t="s">
        <v>43166</v>
      </c>
      <c r="O8257" t="s">
        <v>43167</v>
      </c>
      <c r="P8257">
        <v>0</v>
      </c>
      <c r="Q8257">
        <v>2</v>
      </c>
      <c r="R8257" t="s">
        <v>43174</v>
      </c>
      <c r="S8257" t="s">
        <v>43396</v>
      </c>
      <c r="T8257" t="s">
        <v>44716</v>
      </c>
      <c r="U8257" t="s">
        <v>51867</v>
      </c>
      <c r="W8257" t="s">
        <v>42026</v>
      </c>
      <c r="X8257" t="s">
        <v>43175</v>
      </c>
    </row>
    <row r="8258" spans="1:24">
      <c r="A8258">
        <f>HYPERLINK("https://www.philgeps.gov.ph/GEPSNONPILOT/Tender/SplashBidNoticeAbstractUI.aspx?menuIndex=3&amp;refID=7073820&amp;Result=3","7073820")</f>
        <v>0</v>
      </c>
      <c r="B8258" t="s">
        <v>1412</v>
      </c>
      <c r="C8258" t="s">
        <v>11275</v>
      </c>
      <c r="D8258" t="s">
        <v>17444</v>
      </c>
      <c r="E8258" t="s">
        <v>24617</v>
      </c>
      <c r="F8258" t="s">
        <v>30052</v>
      </c>
      <c r="G8258" t="s">
        <v>30058</v>
      </c>
      <c r="H8258" t="s">
        <v>15498</v>
      </c>
      <c r="I8258" t="s">
        <v>30073</v>
      </c>
      <c r="J8258" t="s">
        <v>30218</v>
      </c>
      <c r="K8258" t="s">
        <v>39029</v>
      </c>
      <c r="M8258" t="s">
        <v>40790</v>
      </c>
      <c r="N8258" t="s">
        <v>43166</v>
      </c>
      <c r="O8258" t="s">
        <v>43167</v>
      </c>
      <c r="P8258">
        <v>0</v>
      </c>
      <c r="Q8258">
        <v>1</v>
      </c>
      <c r="R8258" t="s">
        <v>43174</v>
      </c>
      <c r="S8258" t="s">
        <v>43396</v>
      </c>
      <c r="T8258" t="s">
        <v>44843</v>
      </c>
      <c r="U8258" t="s">
        <v>48365</v>
      </c>
      <c r="V8258" t="s">
        <v>57275</v>
      </c>
      <c r="W8258" t="s">
        <v>40790</v>
      </c>
      <c r="X8258" t="s">
        <v>43175</v>
      </c>
    </row>
    <row r="8259" spans="1:24">
      <c r="A8259">
        <f>HYPERLINK("https://www.philgeps.gov.ph/GEPSNONPILOT/Tender/SplashBidNoticeAbstractUI.aspx?menuIndex=3&amp;refID=7073925&amp;Result=3","7073925")</f>
        <v>0</v>
      </c>
      <c r="B8259" t="s">
        <v>998</v>
      </c>
      <c r="C8259" t="s">
        <v>11276</v>
      </c>
      <c r="D8259" t="s">
        <v>17448</v>
      </c>
      <c r="E8259" t="s">
        <v>24618</v>
      </c>
      <c r="F8259" t="s">
        <v>30052</v>
      </c>
      <c r="G8259" t="s">
        <v>30058</v>
      </c>
      <c r="H8259" t="s">
        <v>15498</v>
      </c>
      <c r="I8259" t="s">
        <v>4650</v>
      </c>
      <c r="J8259" t="s">
        <v>35251</v>
      </c>
      <c r="K8259" t="s">
        <v>39029</v>
      </c>
      <c r="M8259" t="s">
        <v>40327</v>
      </c>
      <c r="N8259" t="s">
        <v>43166</v>
      </c>
      <c r="O8259" t="s">
        <v>43167</v>
      </c>
      <c r="Q8259">
        <v>5</v>
      </c>
      <c r="R8259" t="s">
        <v>43174</v>
      </c>
      <c r="S8259" t="s">
        <v>43414</v>
      </c>
      <c r="T8259" t="s">
        <v>44837</v>
      </c>
      <c r="U8259" t="s">
        <v>51868</v>
      </c>
      <c r="W8259" t="s">
        <v>40327</v>
      </c>
      <c r="X8259" t="s">
        <v>43175</v>
      </c>
    </row>
    <row r="8260" spans="1:24">
      <c r="A8260">
        <f>HYPERLINK("https://www.philgeps.gov.ph/GEPSNONPILOT/Tender/SplashBidNoticeAbstractUI.aspx?menuIndex=3&amp;refID=7074058&amp;Result=3","7074058")</f>
        <v>0</v>
      </c>
      <c r="B8260" t="s">
        <v>705</v>
      </c>
      <c r="C8260" t="s">
        <v>11277</v>
      </c>
      <c r="D8260" t="s">
        <v>17414</v>
      </c>
      <c r="E8260" t="s">
        <v>24619</v>
      </c>
      <c r="F8260" t="s">
        <v>30052</v>
      </c>
      <c r="G8260" t="s">
        <v>30058</v>
      </c>
      <c r="H8260" t="s">
        <v>30067</v>
      </c>
      <c r="I8260" t="s">
        <v>3693</v>
      </c>
      <c r="J8260" t="s">
        <v>35252</v>
      </c>
      <c r="K8260" t="s">
        <v>39038</v>
      </c>
      <c r="M8260" t="s">
        <v>40014</v>
      </c>
      <c r="N8260" t="s">
        <v>43166</v>
      </c>
      <c r="O8260" t="s">
        <v>43167</v>
      </c>
      <c r="P8260">
        <v>0</v>
      </c>
      <c r="Q8260">
        <v>2</v>
      </c>
      <c r="R8260" t="s">
        <v>43174</v>
      </c>
      <c r="S8260" t="s">
        <v>43396</v>
      </c>
      <c r="T8260" t="s">
        <v>44861</v>
      </c>
      <c r="U8260" t="s">
        <v>51869</v>
      </c>
      <c r="V8260" t="s">
        <v>57694</v>
      </c>
      <c r="W8260" t="s">
        <v>40014</v>
      </c>
      <c r="X8260" t="s">
        <v>43175</v>
      </c>
    </row>
    <row r="8261" spans="1:24">
      <c r="A8261">
        <f>HYPERLINK("https://www.philgeps.gov.ph/GEPSNONPILOT/Tender/SplashBidNoticeAbstractUI.aspx?menuIndex=3&amp;refID=7074074&amp;Result=3","7074074")</f>
        <v>0</v>
      </c>
      <c r="B8261" t="s">
        <v>721</v>
      </c>
      <c r="C8261" t="s">
        <v>11278</v>
      </c>
      <c r="D8261" t="s">
        <v>17451</v>
      </c>
      <c r="E8261" t="s">
        <v>24620</v>
      </c>
      <c r="F8261" t="s">
        <v>30052</v>
      </c>
      <c r="G8261" t="s">
        <v>30058</v>
      </c>
      <c r="H8261" t="s">
        <v>30067</v>
      </c>
      <c r="I8261" t="s">
        <v>3693</v>
      </c>
      <c r="J8261" t="s">
        <v>35253</v>
      </c>
      <c r="K8261" t="s">
        <v>39065</v>
      </c>
      <c r="M8261" t="s">
        <v>40031</v>
      </c>
      <c r="N8261" t="s">
        <v>43166</v>
      </c>
      <c r="O8261" t="s">
        <v>43167</v>
      </c>
      <c r="P8261">
        <v>0</v>
      </c>
      <c r="Q8261">
        <v>0</v>
      </c>
      <c r="R8261" t="s">
        <v>43174</v>
      </c>
      <c r="S8261" t="s">
        <v>43396</v>
      </c>
      <c r="T8261" t="s">
        <v>44777</v>
      </c>
      <c r="U8261" t="s">
        <v>51728</v>
      </c>
      <c r="W8261" t="s">
        <v>40031</v>
      </c>
      <c r="X8261" t="s">
        <v>43175</v>
      </c>
    </row>
    <row r="8262" spans="1:24">
      <c r="A8262">
        <f>HYPERLINK("https://www.philgeps.gov.ph/GEPSNONPILOT/Tender/SplashBidNoticeAbstractUI.aspx?menuIndex=3&amp;refID=7074061&amp;Result=3","7074061")</f>
        <v>0</v>
      </c>
      <c r="B8262" t="s">
        <v>2439</v>
      </c>
      <c r="C8262" t="s">
        <v>11279</v>
      </c>
      <c r="D8262" t="s">
        <v>17434</v>
      </c>
      <c r="E8262" t="s">
        <v>24621</v>
      </c>
      <c r="F8262" t="s">
        <v>30052</v>
      </c>
      <c r="G8262" t="s">
        <v>30058</v>
      </c>
      <c r="H8262" t="s">
        <v>30067</v>
      </c>
      <c r="I8262" t="s">
        <v>3693</v>
      </c>
      <c r="J8262" t="s">
        <v>35254</v>
      </c>
      <c r="K8262" t="s">
        <v>39026</v>
      </c>
      <c r="M8262" t="s">
        <v>41937</v>
      </c>
      <c r="N8262" t="s">
        <v>43166</v>
      </c>
      <c r="O8262" t="s">
        <v>43167</v>
      </c>
      <c r="P8262">
        <v>0</v>
      </c>
      <c r="Q8262">
        <v>1</v>
      </c>
      <c r="R8262" t="s">
        <v>43174</v>
      </c>
      <c r="S8262" t="s">
        <v>43396</v>
      </c>
      <c r="T8262" t="s">
        <v>45092</v>
      </c>
      <c r="U8262" t="s">
        <v>51870</v>
      </c>
      <c r="W8262" t="s">
        <v>41937</v>
      </c>
      <c r="X8262" t="s">
        <v>43175</v>
      </c>
    </row>
    <row r="8263" spans="1:24">
      <c r="A8263">
        <f>HYPERLINK("https://www.philgeps.gov.ph/GEPSNONPILOT/Tender/SplashBidNoticeAbstractUI.aspx?menuIndex=3&amp;refID=7073924&amp;Result=3","7073924")</f>
        <v>0</v>
      </c>
      <c r="B8263" t="s">
        <v>145</v>
      </c>
      <c r="C8263" t="s">
        <v>11280</v>
      </c>
      <c r="D8263" t="s">
        <v>17453</v>
      </c>
      <c r="E8263" t="s">
        <v>24622</v>
      </c>
      <c r="F8263" t="s">
        <v>30052</v>
      </c>
      <c r="G8263" t="s">
        <v>30059</v>
      </c>
      <c r="H8263" t="s">
        <v>15498</v>
      </c>
      <c r="I8263" t="s">
        <v>30141</v>
      </c>
      <c r="J8263" t="s">
        <v>30343</v>
      </c>
      <c r="K8263" t="s">
        <v>39029</v>
      </c>
      <c r="M8263" t="s">
        <v>39434</v>
      </c>
      <c r="N8263" t="s">
        <v>43166</v>
      </c>
      <c r="O8263" t="s">
        <v>43167</v>
      </c>
      <c r="P8263">
        <v>0</v>
      </c>
      <c r="Q8263">
        <v>3</v>
      </c>
      <c r="R8263" t="s">
        <v>43174</v>
      </c>
      <c r="S8263" t="s">
        <v>43396</v>
      </c>
      <c r="T8263" t="s">
        <v>44993</v>
      </c>
      <c r="U8263" t="s">
        <v>51871</v>
      </c>
      <c r="V8263" t="s">
        <v>57204</v>
      </c>
      <c r="W8263" t="s">
        <v>58630</v>
      </c>
      <c r="X8263" t="s">
        <v>43175</v>
      </c>
    </row>
    <row r="8264" spans="1:24">
      <c r="A8264">
        <f>HYPERLINK("https://www.philgeps.gov.ph/GEPSNONPILOT/Tender/SplashBidNoticeAbstractUI.aspx?menuIndex=3&amp;refID=7073616&amp;Result=3","7073616")</f>
        <v>0</v>
      </c>
      <c r="B8264" t="s">
        <v>149</v>
      </c>
      <c r="C8264" t="s">
        <v>11281</v>
      </c>
      <c r="D8264" t="s">
        <v>17449</v>
      </c>
      <c r="E8264" t="s">
        <v>24623</v>
      </c>
      <c r="F8264" t="s">
        <v>30052</v>
      </c>
      <c r="G8264" t="s">
        <v>30059</v>
      </c>
      <c r="H8264" t="s">
        <v>15498</v>
      </c>
      <c r="I8264" t="s">
        <v>30106</v>
      </c>
      <c r="J8264" t="s">
        <v>30417</v>
      </c>
      <c r="K8264" t="s">
        <v>39039</v>
      </c>
      <c r="M8264" t="s">
        <v>39438</v>
      </c>
      <c r="N8264" t="s">
        <v>43166</v>
      </c>
      <c r="O8264" t="s">
        <v>43167</v>
      </c>
      <c r="P8264">
        <v>0</v>
      </c>
      <c r="Q8264">
        <v>0</v>
      </c>
      <c r="R8264" t="s">
        <v>43174</v>
      </c>
      <c r="S8264" t="s">
        <v>43396</v>
      </c>
      <c r="T8264" t="s">
        <v>44870</v>
      </c>
      <c r="U8264" t="s">
        <v>51872</v>
      </c>
      <c r="W8264" t="s">
        <v>39438</v>
      </c>
      <c r="X8264" t="s">
        <v>43175</v>
      </c>
    </row>
    <row r="8265" spans="1:24">
      <c r="A8265">
        <f>HYPERLINK("https://www.philgeps.gov.ph/GEPSNONPILOT/Tender/SplashBidNoticeAbstractUI.aspx?menuIndex=3&amp;refID=7074065&amp;Result=3","7074065")</f>
        <v>0</v>
      </c>
      <c r="B8265" t="s">
        <v>2521</v>
      </c>
      <c r="C8265" t="s">
        <v>11282</v>
      </c>
      <c r="D8265" t="s">
        <v>17415</v>
      </c>
      <c r="E8265" t="s">
        <v>17745</v>
      </c>
      <c r="F8265" t="s">
        <v>30052</v>
      </c>
      <c r="G8265" t="s">
        <v>30058</v>
      </c>
      <c r="H8265" t="s">
        <v>15498</v>
      </c>
      <c r="I8265" t="s">
        <v>3852</v>
      </c>
      <c r="J8265" t="s">
        <v>31062</v>
      </c>
      <c r="K8265" t="s">
        <v>39029</v>
      </c>
      <c r="M8265" t="s">
        <v>42027</v>
      </c>
      <c r="N8265" t="s">
        <v>43166</v>
      </c>
      <c r="O8265" t="s">
        <v>43167</v>
      </c>
      <c r="P8265">
        <v>0</v>
      </c>
      <c r="Q8265">
        <v>6</v>
      </c>
      <c r="R8265" t="s">
        <v>43174</v>
      </c>
      <c r="S8265" t="s">
        <v>43396</v>
      </c>
      <c r="T8265" t="s">
        <v>44717</v>
      </c>
      <c r="U8265" t="s">
        <v>51873</v>
      </c>
      <c r="W8265" t="s">
        <v>42027</v>
      </c>
      <c r="X8265" t="s">
        <v>43175</v>
      </c>
    </row>
    <row r="8266" spans="1:24">
      <c r="A8266">
        <f>HYPERLINK("https://www.philgeps.gov.ph/GEPSNONPILOT/Tender/SplashBidNoticeAbstractUI.aspx?menuIndex=3&amp;refID=7074151&amp;Result=3","7074151")</f>
        <v>0</v>
      </c>
      <c r="B8266" t="s">
        <v>919</v>
      </c>
      <c r="C8266" t="s">
        <v>11283</v>
      </c>
      <c r="E8266" t="s">
        <v>24624</v>
      </c>
      <c r="F8266" t="s">
        <v>30052</v>
      </c>
      <c r="G8266" t="s">
        <v>30058</v>
      </c>
      <c r="H8266" t="s">
        <v>30067</v>
      </c>
      <c r="I8266" t="s">
        <v>3693</v>
      </c>
      <c r="J8266" t="s">
        <v>35255</v>
      </c>
      <c r="K8266" t="s">
        <v>39025</v>
      </c>
      <c r="M8266" t="s">
        <v>40242</v>
      </c>
      <c r="N8266" t="s">
        <v>43166</v>
      </c>
      <c r="O8266" t="s">
        <v>43167</v>
      </c>
      <c r="Q8266">
        <v>0</v>
      </c>
      <c r="R8266" t="s">
        <v>43174</v>
      </c>
      <c r="S8266" t="s">
        <v>43415</v>
      </c>
      <c r="T8266" t="s">
        <v>44842</v>
      </c>
      <c r="U8266" t="s">
        <v>51874</v>
      </c>
      <c r="W8266" t="s">
        <v>43101</v>
      </c>
      <c r="X8266" t="s">
        <v>43175</v>
      </c>
    </row>
    <row r="8267" spans="1:24">
      <c r="A8267">
        <f>HYPERLINK("https://www.philgeps.gov.ph/GEPSNONPILOT/Tender/SplashBidNoticeAbstractUI.aspx?menuIndex=3&amp;refID=7074150&amp;Result=3","7074150")</f>
        <v>0</v>
      </c>
      <c r="B8267" t="s">
        <v>2522</v>
      </c>
      <c r="C8267" t="s">
        <v>11284</v>
      </c>
      <c r="D8267" t="s">
        <v>17451</v>
      </c>
      <c r="E8267" t="s">
        <v>24625</v>
      </c>
      <c r="F8267" t="s">
        <v>30052</v>
      </c>
      <c r="G8267" t="s">
        <v>30060</v>
      </c>
      <c r="H8267" t="s">
        <v>30067</v>
      </c>
      <c r="I8267" t="s">
        <v>3693</v>
      </c>
      <c r="J8267" t="s">
        <v>30230</v>
      </c>
      <c r="K8267" t="s">
        <v>39034</v>
      </c>
      <c r="M8267" t="s">
        <v>42028</v>
      </c>
      <c r="N8267" t="s">
        <v>43166</v>
      </c>
      <c r="O8267" t="s">
        <v>43167</v>
      </c>
      <c r="P8267">
        <v>0</v>
      </c>
      <c r="Q8267">
        <v>0</v>
      </c>
      <c r="R8267" t="s">
        <v>43174</v>
      </c>
      <c r="S8267" t="s">
        <v>43396</v>
      </c>
      <c r="T8267" t="s">
        <v>44870</v>
      </c>
      <c r="U8267" t="s">
        <v>51875</v>
      </c>
      <c r="W8267" t="s">
        <v>42028</v>
      </c>
      <c r="X8267" t="s">
        <v>43175</v>
      </c>
    </row>
    <row r="8268" spans="1:24">
      <c r="A8268">
        <f>HYPERLINK("https://www.philgeps.gov.ph/GEPSNONPILOT/Tender/SplashBidNoticeAbstractUI.aspx?menuIndex=3&amp;refID=7074142&amp;Result=3","7074142")</f>
        <v>0</v>
      </c>
      <c r="B8268" t="s">
        <v>2523</v>
      </c>
      <c r="C8268" t="s">
        <v>11285</v>
      </c>
      <c r="D8268" t="s">
        <v>17450</v>
      </c>
      <c r="E8268" t="s">
        <v>17715</v>
      </c>
      <c r="F8268" t="s">
        <v>30052</v>
      </c>
      <c r="G8268" t="s">
        <v>30058</v>
      </c>
      <c r="H8268" t="s">
        <v>30067</v>
      </c>
      <c r="I8268" t="s">
        <v>3693</v>
      </c>
      <c r="J8268" t="s">
        <v>35256</v>
      </c>
      <c r="K8268" t="s">
        <v>39019</v>
      </c>
      <c r="M8268" t="s">
        <v>42029</v>
      </c>
      <c r="N8268" t="s">
        <v>43166</v>
      </c>
      <c r="O8268" t="s">
        <v>43167</v>
      </c>
      <c r="P8268">
        <v>0</v>
      </c>
      <c r="Q8268">
        <v>0</v>
      </c>
      <c r="R8268" t="s">
        <v>43174</v>
      </c>
      <c r="S8268" t="s">
        <v>43396</v>
      </c>
      <c r="T8268" t="s">
        <v>44853</v>
      </c>
      <c r="U8268" t="s">
        <v>51876</v>
      </c>
      <c r="V8268" t="s">
        <v>57702</v>
      </c>
      <c r="W8268" t="s">
        <v>42029</v>
      </c>
      <c r="X8268" t="s">
        <v>43175</v>
      </c>
    </row>
    <row r="8269" spans="1:24">
      <c r="A8269">
        <f>HYPERLINK("https://www.philgeps.gov.ph/GEPSNONPILOT/Tender/SplashBidNoticeAbstractUI.aspx?menuIndex=3&amp;refID=7074139&amp;Result=3","7074139")</f>
        <v>0</v>
      </c>
      <c r="B8269" t="s">
        <v>696</v>
      </c>
      <c r="C8269" t="s">
        <v>11286</v>
      </c>
      <c r="D8269" t="s">
        <v>17432</v>
      </c>
      <c r="E8269" t="s">
        <v>24626</v>
      </c>
      <c r="F8269" t="s">
        <v>30052</v>
      </c>
      <c r="G8269" t="s">
        <v>30059</v>
      </c>
      <c r="H8269" t="s">
        <v>15498</v>
      </c>
      <c r="I8269" t="s">
        <v>30094</v>
      </c>
      <c r="J8269" t="s">
        <v>35257</v>
      </c>
      <c r="K8269" t="s">
        <v>39064</v>
      </c>
      <c r="M8269" t="s">
        <v>40004</v>
      </c>
      <c r="N8269" t="s">
        <v>43166</v>
      </c>
      <c r="O8269" t="s">
        <v>43167</v>
      </c>
      <c r="P8269">
        <v>0</v>
      </c>
      <c r="Q8269">
        <v>0</v>
      </c>
      <c r="R8269" t="s">
        <v>43174</v>
      </c>
      <c r="S8269" t="s">
        <v>43396</v>
      </c>
      <c r="T8269" t="s">
        <v>44856</v>
      </c>
      <c r="U8269" t="s">
        <v>51877</v>
      </c>
      <c r="W8269" t="s">
        <v>40004</v>
      </c>
      <c r="X8269" t="s">
        <v>43175</v>
      </c>
    </row>
    <row r="8270" spans="1:24">
      <c r="A8270">
        <f>HYPERLINK("https://www.philgeps.gov.ph/GEPSNONPILOT/Tender/SplashBidNoticeAbstractUI.aspx?menuIndex=3&amp;refID=7074138&amp;Result=3","7074138")</f>
        <v>0</v>
      </c>
      <c r="B8270" t="s">
        <v>919</v>
      </c>
      <c r="C8270" t="s">
        <v>11287</v>
      </c>
      <c r="E8270" t="s">
        <v>24627</v>
      </c>
      <c r="F8270" t="s">
        <v>30052</v>
      </c>
      <c r="G8270" t="s">
        <v>30058</v>
      </c>
      <c r="H8270" t="s">
        <v>30067</v>
      </c>
      <c r="I8270" t="s">
        <v>3693</v>
      </c>
      <c r="J8270" t="s">
        <v>35258</v>
      </c>
      <c r="K8270" t="s">
        <v>39025</v>
      </c>
      <c r="M8270" t="s">
        <v>40242</v>
      </c>
      <c r="N8270" t="s">
        <v>43166</v>
      </c>
      <c r="O8270" t="s">
        <v>43167</v>
      </c>
      <c r="Q8270">
        <v>2</v>
      </c>
      <c r="R8270" t="s">
        <v>43174</v>
      </c>
      <c r="S8270" t="s">
        <v>43416</v>
      </c>
      <c r="T8270" t="s">
        <v>44842</v>
      </c>
      <c r="U8270" t="s">
        <v>51878</v>
      </c>
      <c r="V8270" t="s">
        <v>57703</v>
      </c>
      <c r="W8270" t="s">
        <v>43101</v>
      </c>
      <c r="X8270" t="s">
        <v>43175</v>
      </c>
    </row>
    <row r="8271" spans="1:24">
      <c r="A8271">
        <f>HYPERLINK("https://www.philgeps.gov.ph/GEPSNONPILOT/Tender/SplashBidNoticeAbstractUI.aspx?menuIndex=3&amp;refID=7074136&amp;Result=3","7074136")</f>
        <v>0</v>
      </c>
      <c r="B8271" t="s">
        <v>2518</v>
      </c>
      <c r="C8271" t="s">
        <v>11288</v>
      </c>
      <c r="D8271" t="s">
        <v>17473</v>
      </c>
      <c r="E8271" t="s">
        <v>24628</v>
      </c>
      <c r="F8271" t="s">
        <v>30052</v>
      </c>
      <c r="G8271" t="s">
        <v>30058</v>
      </c>
      <c r="H8271" t="s">
        <v>30067</v>
      </c>
      <c r="I8271" t="s">
        <v>3693</v>
      </c>
      <c r="J8271" t="s">
        <v>35259</v>
      </c>
      <c r="K8271" t="s">
        <v>39035</v>
      </c>
      <c r="M8271" t="s">
        <v>42024</v>
      </c>
      <c r="N8271" t="s">
        <v>43166</v>
      </c>
      <c r="O8271" t="s">
        <v>43167</v>
      </c>
      <c r="P8271">
        <v>0</v>
      </c>
      <c r="Q8271">
        <v>0</v>
      </c>
      <c r="R8271" t="s">
        <v>43174</v>
      </c>
      <c r="S8271" t="s">
        <v>43396</v>
      </c>
      <c r="T8271" t="s">
        <v>44725</v>
      </c>
      <c r="U8271" t="s">
        <v>51879</v>
      </c>
      <c r="W8271" t="s">
        <v>42024</v>
      </c>
      <c r="X8271" t="s">
        <v>43175</v>
      </c>
    </row>
    <row r="8272" spans="1:24">
      <c r="A8272">
        <f>HYPERLINK("https://www.philgeps.gov.ph/GEPSNONPILOT/Tender/SplashBidNoticeAbstractUI.aspx?menuIndex=3&amp;refID=7074128&amp;Result=3","7074128")</f>
        <v>0</v>
      </c>
      <c r="B8272" t="s">
        <v>797</v>
      </c>
      <c r="C8272" t="s">
        <v>11289</v>
      </c>
      <c r="E8272" t="s">
        <v>24629</v>
      </c>
      <c r="F8272" t="s">
        <v>30052</v>
      </c>
      <c r="G8272" t="s">
        <v>30059</v>
      </c>
      <c r="H8272" t="s">
        <v>15498</v>
      </c>
      <c r="I8272" t="s">
        <v>4650</v>
      </c>
      <c r="J8272" t="s">
        <v>35260</v>
      </c>
      <c r="K8272" t="s">
        <v>39025</v>
      </c>
      <c r="M8272" t="s">
        <v>40826</v>
      </c>
      <c r="N8272" t="s">
        <v>43166</v>
      </c>
      <c r="O8272" t="s">
        <v>43167</v>
      </c>
      <c r="P8272">
        <v>0</v>
      </c>
      <c r="Q8272">
        <v>5</v>
      </c>
      <c r="R8272" t="s">
        <v>43174</v>
      </c>
      <c r="S8272" t="s">
        <v>43396</v>
      </c>
      <c r="T8272" t="s">
        <v>44734</v>
      </c>
      <c r="U8272" t="s">
        <v>51880</v>
      </c>
      <c r="W8272" t="s">
        <v>40826</v>
      </c>
      <c r="X8272" t="s">
        <v>43175</v>
      </c>
    </row>
    <row r="8273" spans="1:24">
      <c r="A8273">
        <f>HYPERLINK("https://www.philgeps.gov.ph/GEPSNONPILOT/Tender/SplashBidNoticeAbstractUI.aspx?menuIndex=3&amp;refID=7074163&amp;Result=3","7074163")</f>
        <v>0</v>
      </c>
      <c r="B8273" t="s">
        <v>1661</v>
      </c>
      <c r="C8273" t="s">
        <v>11290</v>
      </c>
      <c r="D8273" t="s">
        <v>17422</v>
      </c>
      <c r="E8273" t="s">
        <v>24630</v>
      </c>
      <c r="F8273" t="s">
        <v>30052</v>
      </c>
      <c r="G8273" t="s">
        <v>30059</v>
      </c>
      <c r="H8273" t="s">
        <v>15498</v>
      </c>
      <c r="I8273" t="s">
        <v>30100</v>
      </c>
      <c r="J8273" t="s">
        <v>30900</v>
      </c>
      <c r="K8273" t="s">
        <v>39025</v>
      </c>
      <c r="M8273" t="s">
        <v>41992</v>
      </c>
      <c r="N8273" t="s">
        <v>43166</v>
      </c>
      <c r="O8273" t="s">
        <v>43167</v>
      </c>
      <c r="P8273">
        <v>0</v>
      </c>
      <c r="Q8273">
        <v>2</v>
      </c>
      <c r="R8273" t="s">
        <v>43174</v>
      </c>
      <c r="S8273" t="s">
        <v>43396</v>
      </c>
      <c r="T8273" t="s">
        <v>44698</v>
      </c>
      <c r="U8273" t="s">
        <v>51774</v>
      </c>
      <c r="W8273" t="s">
        <v>41992</v>
      </c>
      <c r="X8273" t="s">
        <v>43175</v>
      </c>
    </row>
    <row r="8274" spans="1:24">
      <c r="A8274">
        <f>HYPERLINK("https://www.philgeps.gov.ph/GEPSNONPILOT/Tender/SplashBidNoticeAbstractUI.aspx?menuIndex=3&amp;refID=7074133&amp;Result=3","7074133")</f>
        <v>0</v>
      </c>
      <c r="B8274" t="s">
        <v>919</v>
      </c>
      <c r="C8274" t="s">
        <v>11291</v>
      </c>
      <c r="E8274" t="s">
        <v>24631</v>
      </c>
      <c r="F8274" t="s">
        <v>30052</v>
      </c>
      <c r="G8274" t="s">
        <v>30058</v>
      </c>
      <c r="H8274" t="s">
        <v>30067</v>
      </c>
      <c r="I8274" t="s">
        <v>3693</v>
      </c>
      <c r="J8274" t="s">
        <v>35261</v>
      </c>
      <c r="K8274" t="s">
        <v>39025</v>
      </c>
      <c r="M8274" t="s">
        <v>40242</v>
      </c>
      <c r="N8274" t="s">
        <v>43166</v>
      </c>
      <c r="O8274" t="s">
        <v>43167</v>
      </c>
      <c r="Q8274">
        <v>0</v>
      </c>
      <c r="R8274" t="s">
        <v>43174</v>
      </c>
      <c r="S8274" t="s">
        <v>43417</v>
      </c>
      <c r="T8274" t="s">
        <v>44842</v>
      </c>
      <c r="U8274" t="s">
        <v>51881</v>
      </c>
      <c r="V8274" t="s">
        <v>57704</v>
      </c>
      <c r="W8274" t="s">
        <v>43101</v>
      </c>
      <c r="X8274" t="s">
        <v>43175</v>
      </c>
    </row>
    <row r="8275" spans="1:24">
      <c r="A8275">
        <f>HYPERLINK("https://www.philgeps.gov.ph/GEPSNONPILOT/Tender/SplashBidNoticeAbstractUI.aspx?menuIndex=3&amp;refID=7074209&amp;Result=3","7074209")</f>
        <v>0</v>
      </c>
      <c r="B8275" t="s">
        <v>164</v>
      </c>
      <c r="C8275" t="s">
        <v>11292</v>
      </c>
      <c r="D8275" t="s">
        <v>17473</v>
      </c>
      <c r="E8275" t="s">
        <v>24632</v>
      </c>
      <c r="F8275" t="s">
        <v>30052</v>
      </c>
      <c r="G8275" t="s">
        <v>30058</v>
      </c>
      <c r="H8275" t="s">
        <v>30067</v>
      </c>
      <c r="I8275" t="s">
        <v>3693</v>
      </c>
      <c r="J8275" t="s">
        <v>35262</v>
      </c>
      <c r="K8275" t="s">
        <v>39026</v>
      </c>
      <c r="M8275" t="s">
        <v>39453</v>
      </c>
      <c r="N8275" t="s">
        <v>43166</v>
      </c>
      <c r="O8275" t="s">
        <v>43167</v>
      </c>
      <c r="P8275">
        <v>0</v>
      </c>
      <c r="Q8275">
        <v>0</v>
      </c>
      <c r="R8275" t="s">
        <v>43174</v>
      </c>
      <c r="S8275" t="s">
        <v>43396</v>
      </c>
      <c r="T8275" t="s">
        <v>44711</v>
      </c>
      <c r="U8275" t="s">
        <v>51882</v>
      </c>
      <c r="W8275" t="s">
        <v>39453</v>
      </c>
      <c r="X8275" t="s">
        <v>43175</v>
      </c>
    </row>
    <row r="8276" spans="1:24">
      <c r="A8276">
        <f>HYPERLINK("https://www.philgeps.gov.ph/GEPSNONPILOT/Tender/SplashBidNoticeAbstractUI.aspx?menuIndex=3&amp;refID=7074161&amp;Result=3","7074161")</f>
        <v>0</v>
      </c>
      <c r="B8276" t="s">
        <v>2518</v>
      </c>
      <c r="C8276" t="s">
        <v>11293</v>
      </c>
      <c r="D8276" t="s">
        <v>17473</v>
      </c>
      <c r="E8276" t="s">
        <v>24633</v>
      </c>
      <c r="F8276" t="s">
        <v>30052</v>
      </c>
      <c r="G8276" t="s">
        <v>30058</v>
      </c>
      <c r="H8276" t="s">
        <v>30067</v>
      </c>
      <c r="I8276" t="s">
        <v>3693</v>
      </c>
      <c r="J8276" t="s">
        <v>35263</v>
      </c>
      <c r="K8276" t="s">
        <v>39023</v>
      </c>
      <c r="M8276" t="s">
        <v>42024</v>
      </c>
      <c r="N8276" t="s">
        <v>43166</v>
      </c>
      <c r="O8276" t="s">
        <v>43167</v>
      </c>
      <c r="P8276">
        <v>0</v>
      </c>
      <c r="Q8276">
        <v>0</v>
      </c>
      <c r="R8276" t="s">
        <v>43174</v>
      </c>
      <c r="S8276" t="s">
        <v>43396</v>
      </c>
      <c r="T8276" t="s">
        <v>44725</v>
      </c>
      <c r="U8276" t="s">
        <v>51883</v>
      </c>
      <c r="W8276" t="s">
        <v>42024</v>
      </c>
      <c r="X8276" t="s">
        <v>43175</v>
      </c>
    </row>
    <row r="8277" spans="1:24">
      <c r="A8277">
        <f>HYPERLINK("https://www.philgeps.gov.ph/GEPSNONPILOT/Tender/SplashBidNoticeAbstractUI.aspx?menuIndex=3&amp;refID=7074160&amp;Result=3","7074160")</f>
        <v>0</v>
      </c>
      <c r="B8277" t="s">
        <v>2117</v>
      </c>
      <c r="C8277" t="s">
        <v>11294</v>
      </c>
      <c r="D8277" t="s">
        <v>17449</v>
      </c>
      <c r="E8277" t="s">
        <v>23260</v>
      </c>
      <c r="F8277" t="s">
        <v>30052</v>
      </c>
      <c r="G8277" t="s">
        <v>30058</v>
      </c>
      <c r="H8277" t="s">
        <v>30067</v>
      </c>
      <c r="I8277" t="s">
        <v>3693</v>
      </c>
      <c r="J8277" t="s">
        <v>35264</v>
      </c>
      <c r="K8277" t="s">
        <v>39201</v>
      </c>
      <c r="M8277" t="s">
        <v>41579</v>
      </c>
      <c r="N8277" t="s">
        <v>43166</v>
      </c>
      <c r="O8277" t="s">
        <v>43167</v>
      </c>
      <c r="P8277">
        <v>0</v>
      </c>
      <c r="Q8277">
        <v>1</v>
      </c>
      <c r="R8277" t="s">
        <v>43174</v>
      </c>
      <c r="S8277" t="s">
        <v>43396</v>
      </c>
      <c r="T8277" t="s">
        <v>45093</v>
      </c>
      <c r="U8277" t="s">
        <v>51884</v>
      </c>
      <c r="W8277" t="s">
        <v>41579</v>
      </c>
      <c r="X8277" t="s">
        <v>43175</v>
      </c>
    </row>
    <row r="8278" spans="1:24">
      <c r="A8278">
        <f>HYPERLINK("https://www.philgeps.gov.ph/GEPSNONPILOT/Tender/SplashBidNoticeAbstractUI.aspx?menuIndex=3&amp;refID=7074205&amp;Result=3","7074205")</f>
        <v>0</v>
      </c>
      <c r="B8278" t="s">
        <v>2454</v>
      </c>
      <c r="C8278" t="s">
        <v>11295</v>
      </c>
      <c r="D8278" t="s">
        <v>17486</v>
      </c>
      <c r="E8278" t="s">
        <v>24634</v>
      </c>
      <c r="F8278" t="s">
        <v>30052</v>
      </c>
      <c r="G8278" t="s">
        <v>30058</v>
      </c>
      <c r="H8278" t="s">
        <v>30067</v>
      </c>
      <c r="I8278" t="s">
        <v>3693</v>
      </c>
      <c r="J8278" t="s">
        <v>31728</v>
      </c>
      <c r="K8278" t="s">
        <v>39016</v>
      </c>
      <c r="M8278" t="s">
        <v>41953</v>
      </c>
      <c r="N8278" t="s">
        <v>43166</v>
      </c>
      <c r="O8278" t="s">
        <v>43167</v>
      </c>
      <c r="P8278">
        <v>0</v>
      </c>
      <c r="Q8278">
        <v>5</v>
      </c>
      <c r="R8278" t="s">
        <v>43174</v>
      </c>
      <c r="S8278" t="s">
        <v>43396</v>
      </c>
      <c r="T8278" t="s">
        <v>44791</v>
      </c>
      <c r="U8278" t="s">
        <v>51848</v>
      </c>
      <c r="W8278" t="s">
        <v>41953</v>
      </c>
      <c r="X8278" t="s">
        <v>43175</v>
      </c>
    </row>
    <row r="8279" spans="1:24">
      <c r="A8279">
        <f>HYPERLINK("https://www.philgeps.gov.ph/GEPSNONPILOT/Tender/SplashBidNoticeAbstractUI.aspx?menuIndex=3&amp;refID=7074158&amp;Result=3","7074158")</f>
        <v>0</v>
      </c>
      <c r="B8279" t="s">
        <v>919</v>
      </c>
      <c r="C8279" t="s">
        <v>11296</v>
      </c>
      <c r="E8279" t="s">
        <v>24635</v>
      </c>
      <c r="F8279" t="s">
        <v>30052</v>
      </c>
      <c r="G8279" t="s">
        <v>30058</v>
      </c>
      <c r="H8279" t="s">
        <v>30067</v>
      </c>
      <c r="I8279" t="s">
        <v>3693</v>
      </c>
      <c r="J8279" t="s">
        <v>35265</v>
      </c>
      <c r="K8279" t="s">
        <v>39025</v>
      </c>
      <c r="M8279" t="s">
        <v>40242</v>
      </c>
      <c r="N8279" t="s">
        <v>43166</v>
      </c>
      <c r="O8279" t="s">
        <v>43167</v>
      </c>
      <c r="Q8279">
        <v>1</v>
      </c>
      <c r="R8279" t="s">
        <v>43174</v>
      </c>
      <c r="S8279" t="s">
        <v>43418</v>
      </c>
      <c r="T8279" t="s">
        <v>44716</v>
      </c>
      <c r="U8279" t="s">
        <v>51885</v>
      </c>
      <c r="W8279" t="s">
        <v>43101</v>
      </c>
      <c r="X8279" t="s">
        <v>43175</v>
      </c>
    </row>
    <row r="8280" spans="1:24">
      <c r="A8280">
        <f>HYPERLINK("https://www.philgeps.gov.ph/GEPSNONPILOT/Tender/SplashBidNoticeAbstractUI.aspx?menuIndex=3&amp;refID=7074201&amp;Result=3","7074201")</f>
        <v>0</v>
      </c>
      <c r="B8280" t="s">
        <v>2524</v>
      </c>
      <c r="C8280" t="s">
        <v>11297</v>
      </c>
      <c r="D8280" t="s">
        <v>17415</v>
      </c>
      <c r="E8280" t="s">
        <v>24636</v>
      </c>
      <c r="F8280" t="s">
        <v>30052</v>
      </c>
      <c r="G8280" t="s">
        <v>30059</v>
      </c>
      <c r="H8280" t="s">
        <v>30067</v>
      </c>
      <c r="I8280" t="s">
        <v>3693</v>
      </c>
      <c r="J8280" t="s">
        <v>34560</v>
      </c>
      <c r="K8280" t="s">
        <v>39023</v>
      </c>
      <c r="M8280" t="s">
        <v>42030</v>
      </c>
      <c r="N8280" t="s">
        <v>43166</v>
      </c>
      <c r="O8280" t="s">
        <v>43167</v>
      </c>
      <c r="P8280">
        <v>0</v>
      </c>
      <c r="Q8280">
        <v>1</v>
      </c>
      <c r="R8280" t="s">
        <v>43174</v>
      </c>
      <c r="S8280" t="s">
        <v>43396</v>
      </c>
      <c r="T8280" t="s">
        <v>44862</v>
      </c>
      <c r="U8280" t="s">
        <v>51886</v>
      </c>
      <c r="W8280" t="s">
        <v>42030</v>
      </c>
      <c r="X8280" t="s">
        <v>43175</v>
      </c>
    </row>
    <row r="8281" spans="1:24">
      <c r="A8281">
        <f>HYPERLINK("https://www.philgeps.gov.ph/GEPSNONPILOT/Tender/SplashBidNoticeAbstractUI.aspx?menuIndex=3&amp;refID=7074207&amp;Result=3","7074207")</f>
        <v>0</v>
      </c>
      <c r="B8281" t="s">
        <v>465</v>
      </c>
      <c r="C8281" t="s">
        <v>11298</v>
      </c>
      <c r="D8281" t="s">
        <v>17448</v>
      </c>
      <c r="E8281" t="s">
        <v>24637</v>
      </c>
      <c r="F8281" t="s">
        <v>30052</v>
      </c>
      <c r="G8281" t="s">
        <v>30058</v>
      </c>
      <c r="H8281" t="s">
        <v>15498</v>
      </c>
      <c r="I8281" t="s">
        <v>30071</v>
      </c>
      <c r="J8281" t="s">
        <v>35266</v>
      </c>
      <c r="K8281" t="s">
        <v>39025</v>
      </c>
      <c r="M8281" t="s">
        <v>39766</v>
      </c>
      <c r="N8281" t="s">
        <v>43166</v>
      </c>
      <c r="O8281" t="s">
        <v>43167</v>
      </c>
      <c r="P8281">
        <v>0</v>
      </c>
      <c r="Q8281">
        <v>0</v>
      </c>
      <c r="R8281" t="s">
        <v>43174</v>
      </c>
      <c r="S8281" t="s">
        <v>43396</v>
      </c>
      <c r="T8281" t="s">
        <v>44717</v>
      </c>
      <c r="U8281" t="s">
        <v>51887</v>
      </c>
      <c r="W8281" t="s">
        <v>39766</v>
      </c>
      <c r="X8281" t="s">
        <v>43175</v>
      </c>
    </row>
    <row r="8282" spans="1:24">
      <c r="A8282">
        <f>HYPERLINK("https://www.philgeps.gov.ph/GEPSNONPILOT/Tender/SplashBidNoticeAbstractUI.aspx?menuIndex=3&amp;refID=7074197&amp;Result=3","7074197")</f>
        <v>0</v>
      </c>
      <c r="B8282" t="s">
        <v>2522</v>
      </c>
      <c r="C8282" t="s">
        <v>11299</v>
      </c>
      <c r="D8282" t="s">
        <v>17451</v>
      </c>
      <c r="E8282" t="s">
        <v>24638</v>
      </c>
      <c r="F8282" t="s">
        <v>30052</v>
      </c>
      <c r="G8282" t="s">
        <v>30060</v>
      </c>
      <c r="H8282" t="s">
        <v>30067</v>
      </c>
      <c r="I8282" t="s">
        <v>3693</v>
      </c>
      <c r="J8282" t="s">
        <v>30277</v>
      </c>
      <c r="K8282" t="s">
        <v>39042</v>
      </c>
      <c r="M8282" t="s">
        <v>42028</v>
      </c>
      <c r="N8282" t="s">
        <v>43166</v>
      </c>
      <c r="O8282" t="s">
        <v>43167</v>
      </c>
      <c r="P8282">
        <v>0</v>
      </c>
      <c r="Q8282">
        <v>0</v>
      </c>
      <c r="R8282" t="s">
        <v>43174</v>
      </c>
      <c r="S8282" t="s">
        <v>43396</v>
      </c>
      <c r="T8282" t="s">
        <v>44870</v>
      </c>
      <c r="U8282" t="s">
        <v>51888</v>
      </c>
      <c r="W8282" t="s">
        <v>42028</v>
      </c>
      <c r="X8282" t="s">
        <v>43175</v>
      </c>
    </row>
    <row r="8283" spans="1:24">
      <c r="A8283">
        <f>HYPERLINK("https://www.philgeps.gov.ph/GEPSNONPILOT/Tender/SplashBidNoticeAbstractUI.aspx?menuIndex=3&amp;refID=7074194&amp;Result=3","7074194")</f>
        <v>0</v>
      </c>
      <c r="B8283" t="s">
        <v>2525</v>
      </c>
      <c r="C8283" t="s">
        <v>11300</v>
      </c>
      <c r="E8283" t="s">
        <v>17779</v>
      </c>
      <c r="F8283" t="s">
        <v>30052</v>
      </c>
      <c r="G8283" t="s">
        <v>30058</v>
      </c>
      <c r="H8283" t="s">
        <v>15498</v>
      </c>
      <c r="I8283" t="s">
        <v>30118</v>
      </c>
      <c r="J8283" t="s">
        <v>30605</v>
      </c>
      <c r="K8283" t="s">
        <v>39025</v>
      </c>
      <c r="M8283" t="s">
        <v>42031</v>
      </c>
      <c r="N8283" t="s">
        <v>43166</v>
      </c>
      <c r="O8283" t="s">
        <v>43167</v>
      </c>
      <c r="P8283">
        <v>0</v>
      </c>
      <c r="Q8283">
        <v>5</v>
      </c>
      <c r="R8283" t="s">
        <v>43174</v>
      </c>
      <c r="S8283" t="s">
        <v>43396</v>
      </c>
      <c r="T8283" t="s">
        <v>44696</v>
      </c>
      <c r="U8283" t="s">
        <v>51889</v>
      </c>
      <c r="W8283" t="s">
        <v>42031</v>
      </c>
      <c r="X8283" t="s">
        <v>43175</v>
      </c>
    </row>
    <row r="8284" spans="1:24">
      <c r="A8284">
        <f>HYPERLINK("https://www.philgeps.gov.ph/GEPSNONPILOT/Tender/SplashBidNoticeAbstractUI.aspx?menuIndex=3&amp;refID=7073620&amp;Result=3","7073620")</f>
        <v>0</v>
      </c>
      <c r="B8284" t="s">
        <v>2526</v>
      </c>
      <c r="C8284" t="s">
        <v>11301</v>
      </c>
      <c r="D8284" t="s">
        <v>17460</v>
      </c>
      <c r="E8284" t="s">
        <v>24639</v>
      </c>
      <c r="F8284" t="s">
        <v>30052</v>
      </c>
      <c r="G8284" t="s">
        <v>30059</v>
      </c>
      <c r="H8284" t="s">
        <v>15498</v>
      </c>
      <c r="I8284" t="s">
        <v>4650</v>
      </c>
      <c r="J8284" t="s">
        <v>35267</v>
      </c>
      <c r="K8284" t="s">
        <v>39019</v>
      </c>
      <c r="M8284" t="s">
        <v>42032</v>
      </c>
      <c r="N8284" t="s">
        <v>43166</v>
      </c>
      <c r="O8284" t="s">
        <v>43167</v>
      </c>
      <c r="P8284">
        <v>0</v>
      </c>
      <c r="Q8284">
        <v>1</v>
      </c>
      <c r="R8284" t="s">
        <v>43174</v>
      </c>
      <c r="S8284" t="s">
        <v>43396</v>
      </c>
      <c r="T8284" t="s">
        <v>44734</v>
      </c>
      <c r="U8284" t="s">
        <v>51890</v>
      </c>
      <c r="W8284" t="s">
        <v>42032</v>
      </c>
      <c r="X8284" t="s">
        <v>43175</v>
      </c>
    </row>
    <row r="8285" spans="1:24">
      <c r="A8285">
        <f>HYPERLINK("https://www.philgeps.gov.ph/GEPSNONPILOT/Tender/SplashBidNoticeAbstractUI.aspx?menuIndex=3&amp;refID=7074190&amp;Result=3","7074190")</f>
        <v>0</v>
      </c>
      <c r="B8285" t="s">
        <v>190</v>
      </c>
      <c r="C8285" t="s">
        <v>11302</v>
      </c>
      <c r="D8285" t="s">
        <v>17478</v>
      </c>
      <c r="E8285" t="s">
        <v>24640</v>
      </c>
      <c r="F8285" t="s">
        <v>30052</v>
      </c>
      <c r="G8285" t="s">
        <v>30058</v>
      </c>
      <c r="H8285" t="s">
        <v>30067</v>
      </c>
      <c r="I8285" t="s">
        <v>3693</v>
      </c>
      <c r="J8285" t="s">
        <v>35268</v>
      </c>
      <c r="K8285" t="s">
        <v>39202</v>
      </c>
      <c r="M8285" t="s">
        <v>42033</v>
      </c>
      <c r="N8285" t="s">
        <v>43166</v>
      </c>
      <c r="O8285" t="s">
        <v>43167</v>
      </c>
      <c r="P8285">
        <v>0</v>
      </c>
      <c r="Q8285">
        <v>0</v>
      </c>
      <c r="R8285" t="s">
        <v>43174</v>
      </c>
      <c r="S8285" t="s">
        <v>43396</v>
      </c>
      <c r="T8285" t="s">
        <v>44711</v>
      </c>
      <c r="U8285" t="s">
        <v>51891</v>
      </c>
      <c r="W8285" t="s">
        <v>42033</v>
      </c>
      <c r="X8285" t="s">
        <v>43175</v>
      </c>
    </row>
    <row r="8286" spans="1:24">
      <c r="A8286">
        <f>HYPERLINK("https://www.philgeps.gov.ph/GEPSNONPILOT/Tender/SplashBidNoticeAbstractUI.aspx?menuIndex=3&amp;refID=7074188&amp;Result=3","7074188")</f>
        <v>0</v>
      </c>
      <c r="B8286" t="s">
        <v>696</v>
      </c>
      <c r="C8286" t="s">
        <v>11303</v>
      </c>
      <c r="D8286" t="s">
        <v>17432</v>
      </c>
      <c r="E8286" t="s">
        <v>24641</v>
      </c>
      <c r="F8286" t="s">
        <v>30052</v>
      </c>
      <c r="G8286" t="s">
        <v>30058</v>
      </c>
      <c r="H8286" t="s">
        <v>30067</v>
      </c>
      <c r="I8286" t="s">
        <v>3693</v>
      </c>
      <c r="J8286" t="s">
        <v>35269</v>
      </c>
      <c r="K8286" t="s">
        <v>39031</v>
      </c>
      <c r="M8286" t="s">
        <v>40004</v>
      </c>
      <c r="N8286" t="s">
        <v>43166</v>
      </c>
      <c r="O8286" t="s">
        <v>43167</v>
      </c>
      <c r="P8286">
        <v>0</v>
      </c>
      <c r="Q8286">
        <v>0</v>
      </c>
      <c r="R8286" t="s">
        <v>43174</v>
      </c>
      <c r="S8286" t="s">
        <v>43396</v>
      </c>
      <c r="T8286" t="s">
        <v>44789</v>
      </c>
      <c r="U8286" t="s">
        <v>51892</v>
      </c>
      <c r="W8286" t="s">
        <v>40004</v>
      </c>
      <c r="X8286" t="s">
        <v>43175</v>
      </c>
    </row>
    <row r="8287" spans="1:24">
      <c r="A8287">
        <f>HYPERLINK("https://www.philgeps.gov.ph/GEPSNONPILOT/Tender/SplashBidNoticeAbstractUI.aspx?menuIndex=3&amp;refID=7074185&amp;Result=3","7074185")</f>
        <v>0</v>
      </c>
      <c r="B8287" t="s">
        <v>2527</v>
      </c>
      <c r="C8287" t="s">
        <v>11304</v>
      </c>
      <c r="D8287" t="s">
        <v>17464</v>
      </c>
      <c r="E8287" t="s">
        <v>18184</v>
      </c>
      <c r="F8287" t="s">
        <v>30052</v>
      </c>
      <c r="G8287" t="s">
        <v>30058</v>
      </c>
      <c r="H8287" t="s">
        <v>15498</v>
      </c>
      <c r="I8287" t="s">
        <v>30074</v>
      </c>
      <c r="J8287" t="s">
        <v>35270</v>
      </c>
      <c r="K8287" t="s">
        <v>39019</v>
      </c>
      <c r="M8287" t="s">
        <v>42034</v>
      </c>
      <c r="N8287" t="s">
        <v>43166</v>
      </c>
      <c r="O8287" t="s">
        <v>43167</v>
      </c>
      <c r="P8287">
        <v>0</v>
      </c>
      <c r="Q8287">
        <v>1</v>
      </c>
      <c r="R8287" t="s">
        <v>43174</v>
      </c>
      <c r="S8287" t="s">
        <v>43396</v>
      </c>
      <c r="T8287" t="s">
        <v>44699</v>
      </c>
      <c r="U8287" t="s">
        <v>51893</v>
      </c>
      <c r="V8287" t="s">
        <v>57705</v>
      </c>
      <c r="W8287" t="s">
        <v>42034</v>
      </c>
      <c r="X8287" t="s">
        <v>43175</v>
      </c>
    </row>
    <row r="8288" spans="1:24">
      <c r="A8288">
        <f>HYPERLINK("https://www.philgeps.gov.ph/GEPSNONPILOT/Tender/SplashBidNoticeAbstractUI.aspx?menuIndex=3&amp;refID=7074181&amp;Result=3","7074181")</f>
        <v>0</v>
      </c>
      <c r="B8288" t="s">
        <v>1028</v>
      </c>
      <c r="C8288" t="s">
        <v>11305</v>
      </c>
      <c r="D8288" t="s">
        <v>17475</v>
      </c>
      <c r="E8288" t="s">
        <v>24642</v>
      </c>
      <c r="F8288" t="s">
        <v>30052</v>
      </c>
      <c r="G8288" t="s">
        <v>30059</v>
      </c>
      <c r="H8288" t="s">
        <v>15498</v>
      </c>
      <c r="I8288" t="s">
        <v>6691</v>
      </c>
      <c r="J8288" t="s">
        <v>30354</v>
      </c>
      <c r="K8288" t="s">
        <v>39035</v>
      </c>
      <c r="M8288" t="s">
        <v>40357</v>
      </c>
      <c r="N8288" t="s">
        <v>43166</v>
      </c>
      <c r="O8288" t="s">
        <v>43167</v>
      </c>
      <c r="P8288">
        <v>0</v>
      </c>
      <c r="Q8288">
        <v>0</v>
      </c>
      <c r="R8288" t="s">
        <v>43174</v>
      </c>
      <c r="S8288" t="s">
        <v>43396</v>
      </c>
      <c r="T8288" t="s">
        <v>44837</v>
      </c>
      <c r="U8288" t="s">
        <v>47341</v>
      </c>
      <c r="W8288" t="s">
        <v>40357</v>
      </c>
      <c r="X8288" t="s">
        <v>43175</v>
      </c>
    </row>
    <row r="8289" spans="1:24">
      <c r="A8289">
        <f>HYPERLINK("https://www.philgeps.gov.ph/GEPSNONPILOT/Tender/SplashBidNoticeAbstractUI.aspx?menuIndex=3&amp;refID=7074203&amp;Result=3","7074203")</f>
        <v>0</v>
      </c>
      <c r="B8289" t="s">
        <v>696</v>
      </c>
      <c r="C8289" t="s">
        <v>11306</v>
      </c>
      <c r="D8289" t="s">
        <v>17432</v>
      </c>
      <c r="E8289" t="s">
        <v>24643</v>
      </c>
      <c r="F8289" t="s">
        <v>30052</v>
      </c>
      <c r="G8289" t="s">
        <v>30058</v>
      </c>
      <c r="H8289" t="s">
        <v>30067</v>
      </c>
      <c r="I8289" t="s">
        <v>3693</v>
      </c>
      <c r="J8289" t="s">
        <v>35271</v>
      </c>
      <c r="K8289" t="s">
        <v>39080</v>
      </c>
      <c r="M8289" t="s">
        <v>40004</v>
      </c>
      <c r="N8289" t="s">
        <v>43166</v>
      </c>
      <c r="O8289" t="s">
        <v>43167</v>
      </c>
      <c r="P8289">
        <v>0</v>
      </c>
      <c r="Q8289">
        <v>0</v>
      </c>
      <c r="R8289" t="s">
        <v>43174</v>
      </c>
      <c r="S8289" t="s">
        <v>43396</v>
      </c>
      <c r="T8289" t="s">
        <v>44789</v>
      </c>
      <c r="U8289" t="s">
        <v>51894</v>
      </c>
      <c r="W8289" t="s">
        <v>40004</v>
      </c>
      <c r="X8289" t="s">
        <v>43175</v>
      </c>
    </row>
    <row r="8290" spans="1:24">
      <c r="A8290">
        <f>HYPERLINK("https://www.philgeps.gov.ph/GEPSNONPILOT/Tender/SplashBidNoticeAbstractUI.aspx?menuIndex=3&amp;refID=7074175&amp;Result=3","7074175")</f>
        <v>0</v>
      </c>
      <c r="B8290" t="s">
        <v>190</v>
      </c>
      <c r="C8290" t="s">
        <v>11307</v>
      </c>
      <c r="D8290" t="s">
        <v>17478</v>
      </c>
      <c r="E8290" t="s">
        <v>24644</v>
      </c>
      <c r="F8290" t="s">
        <v>30052</v>
      </c>
      <c r="G8290" t="s">
        <v>30058</v>
      </c>
      <c r="H8290" t="s">
        <v>30067</v>
      </c>
      <c r="I8290" t="s">
        <v>3693</v>
      </c>
      <c r="J8290" t="s">
        <v>35272</v>
      </c>
      <c r="K8290" t="s">
        <v>39203</v>
      </c>
      <c r="M8290" t="s">
        <v>42033</v>
      </c>
      <c r="N8290" t="s">
        <v>43166</v>
      </c>
      <c r="O8290" t="s">
        <v>43167</v>
      </c>
      <c r="P8290">
        <v>0</v>
      </c>
      <c r="Q8290">
        <v>0</v>
      </c>
      <c r="R8290" t="s">
        <v>43174</v>
      </c>
      <c r="S8290" t="s">
        <v>43396</v>
      </c>
      <c r="T8290" t="s">
        <v>44711</v>
      </c>
      <c r="U8290" t="s">
        <v>51891</v>
      </c>
      <c r="W8290" t="s">
        <v>42033</v>
      </c>
      <c r="X8290" t="s">
        <v>43175</v>
      </c>
    </row>
    <row r="8291" spans="1:24">
      <c r="A8291">
        <f>HYPERLINK("https://www.philgeps.gov.ph/GEPSNONPILOT/Tender/SplashBidNoticeAbstractUI.aspx?menuIndex=3&amp;refID=7074167&amp;Result=3","7074167")</f>
        <v>0</v>
      </c>
      <c r="B8291" t="s">
        <v>2528</v>
      </c>
      <c r="C8291" t="s">
        <v>11308</v>
      </c>
      <c r="D8291" t="s">
        <v>17487</v>
      </c>
      <c r="E8291" t="s">
        <v>24645</v>
      </c>
      <c r="F8291" t="s">
        <v>30052</v>
      </c>
      <c r="G8291" t="s">
        <v>30058</v>
      </c>
      <c r="H8291" t="s">
        <v>30067</v>
      </c>
      <c r="I8291" t="s">
        <v>3693</v>
      </c>
      <c r="J8291" t="s">
        <v>30813</v>
      </c>
      <c r="K8291" t="s">
        <v>39204</v>
      </c>
      <c r="M8291" t="s">
        <v>42035</v>
      </c>
      <c r="N8291" t="s">
        <v>43166</v>
      </c>
      <c r="O8291" t="s">
        <v>43167</v>
      </c>
      <c r="P8291">
        <v>0</v>
      </c>
      <c r="Q8291">
        <v>2</v>
      </c>
      <c r="R8291" t="s">
        <v>43174</v>
      </c>
      <c r="S8291" t="s">
        <v>43396</v>
      </c>
      <c r="T8291" t="s">
        <v>44873</v>
      </c>
      <c r="U8291" t="s">
        <v>51895</v>
      </c>
      <c r="W8291" t="s">
        <v>42035</v>
      </c>
      <c r="X8291" t="s">
        <v>43175</v>
      </c>
    </row>
    <row r="8292" spans="1:24">
      <c r="A8292">
        <f>HYPERLINK("https://www.philgeps.gov.ph/GEPSNONPILOT/Tender/SplashBidNoticeAbstractUI.aspx?menuIndex=3&amp;refID=7074192&amp;Result=3","7074192")</f>
        <v>0</v>
      </c>
      <c r="B8292" t="s">
        <v>2200</v>
      </c>
      <c r="C8292" t="s">
        <v>11309</v>
      </c>
      <c r="D8292" t="s">
        <v>17463</v>
      </c>
      <c r="E8292" t="s">
        <v>24646</v>
      </c>
      <c r="F8292" t="s">
        <v>30052</v>
      </c>
      <c r="G8292" t="s">
        <v>30058</v>
      </c>
      <c r="H8292" t="s">
        <v>30067</v>
      </c>
      <c r="I8292" t="s">
        <v>3693</v>
      </c>
      <c r="J8292" t="s">
        <v>31851</v>
      </c>
      <c r="K8292" t="s">
        <v>39075</v>
      </c>
      <c r="M8292" t="s">
        <v>41841</v>
      </c>
      <c r="N8292" t="s">
        <v>43166</v>
      </c>
      <c r="O8292" t="s">
        <v>43167</v>
      </c>
      <c r="P8292">
        <v>0</v>
      </c>
      <c r="Q8292">
        <v>5</v>
      </c>
      <c r="R8292" t="s">
        <v>43174</v>
      </c>
      <c r="S8292" t="s">
        <v>43396</v>
      </c>
      <c r="T8292" t="s">
        <v>44716</v>
      </c>
      <c r="U8292" t="s">
        <v>51896</v>
      </c>
      <c r="W8292" t="s">
        <v>41841</v>
      </c>
      <c r="X8292" t="s">
        <v>43175</v>
      </c>
    </row>
    <row r="8293" spans="1:24">
      <c r="A8293">
        <f>HYPERLINK("https://www.philgeps.gov.ph/GEPSNONPILOT/Tender/SplashBidNoticeAbstractUI.aspx?menuIndex=3&amp;refID=7074186&amp;Result=3","7074186")</f>
        <v>0</v>
      </c>
      <c r="B8293" t="s">
        <v>2263</v>
      </c>
      <c r="C8293" t="s">
        <v>11310</v>
      </c>
      <c r="D8293" t="s">
        <v>17423</v>
      </c>
      <c r="E8293" t="s">
        <v>24647</v>
      </c>
      <c r="F8293" t="s">
        <v>30052</v>
      </c>
      <c r="G8293" t="s">
        <v>30058</v>
      </c>
      <c r="H8293" t="s">
        <v>15498</v>
      </c>
      <c r="I8293" t="s">
        <v>3736</v>
      </c>
      <c r="J8293" t="s">
        <v>35273</v>
      </c>
      <c r="K8293" t="s">
        <v>39037</v>
      </c>
      <c r="M8293" t="s">
        <v>41741</v>
      </c>
      <c r="N8293" t="s">
        <v>43166</v>
      </c>
      <c r="O8293" t="s">
        <v>43167</v>
      </c>
      <c r="P8293">
        <v>0</v>
      </c>
      <c r="Q8293">
        <v>0</v>
      </c>
      <c r="R8293" t="s">
        <v>43174</v>
      </c>
      <c r="S8293" t="s">
        <v>43396</v>
      </c>
      <c r="T8293" t="s">
        <v>44780</v>
      </c>
      <c r="U8293" t="s">
        <v>51897</v>
      </c>
      <c r="W8293" t="s">
        <v>41741</v>
      </c>
      <c r="X8293" t="s">
        <v>43175</v>
      </c>
    </row>
    <row r="8294" spans="1:24">
      <c r="A8294">
        <f>HYPERLINK("https://www.philgeps.gov.ph/GEPSNONPILOT/Tender/SplashBidNoticeAbstractUI.aspx?menuIndex=3&amp;refID=7074184&amp;Result=3","7074184")</f>
        <v>0</v>
      </c>
      <c r="B8294" t="s">
        <v>1277</v>
      </c>
      <c r="C8294" t="s">
        <v>11311</v>
      </c>
      <c r="D8294" t="s">
        <v>17454</v>
      </c>
      <c r="E8294" t="s">
        <v>24648</v>
      </c>
      <c r="F8294" t="s">
        <v>30052</v>
      </c>
      <c r="G8294" t="s">
        <v>30058</v>
      </c>
      <c r="H8294" t="s">
        <v>15498</v>
      </c>
      <c r="I8294" t="s">
        <v>30153</v>
      </c>
      <c r="J8294" t="s">
        <v>35274</v>
      </c>
      <c r="K8294" t="s">
        <v>39029</v>
      </c>
      <c r="M8294" t="s">
        <v>40639</v>
      </c>
      <c r="N8294" t="s">
        <v>43166</v>
      </c>
      <c r="O8294" t="s">
        <v>43167</v>
      </c>
      <c r="P8294">
        <v>0</v>
      </c>
      <c r="Q8294">
        <v>5</v>
      </c>
      <c r="R8294" t="s">
        <v>43174</v>
      </c>
      <c r="S8294" t="s">
        <v>43396</v>
      </c>
      <c r="T8294" t="s">
        <v>44825</v>
      </c>
      <c r="U8294" t="s">
        <v>51898</v>
      </c>
      <c r="W8294" t="s">
        <v>40639</v>
      </c>
      <c r="X8294" t="s">
        <v>43175</v>
      </c>
    </row>
    <row r="8295" spans="1:24">
      <c r="A8295">
        <f>HYPERLINK("https://www.philgeps.gov.ph/GEPSNONPILOT/Tender/SplashBidNoticeAbstractUI.aspx?menuIndex=3&amp;refID=7074240&amp;Result=3","7074240")</f>
        <v>0</v>
      </c>
      <c r="B8295" t="s">
        <v>2529</v>
      </c>
      <c r="C8295" t="s">
        <v>11312</v>
      </c>
      <c r="D8295" t="s">
        <v>17448</v>
      </c>
      <c r="E8295" t="s">
        <v>11486</v>
      </c>
      <c r="F8295" t="s">
        <v>30052</v>
      </c>
      <c r="G8295" t="s">
        <v>30058</v>
      </c>
      <c r="H8295" t="s">
        <v>30067</v>
      </c>
      <c r="I8295" t="s">
        <v>3693</v>
      </c>
      <c r="J8295" t="s">
        <v>30209</v>
      </c>
      <c r="K8295" t="s">
        <v>39025</v>
      </c>
      <c r="M8295" t="s">
        <v>42036</v>
      </c>
      <c r="N8295" t="s">
        <v>43166</v>
      </c>
      <c r="O8295" t="s">
        <v>43167</v>
      </c>
      <c r="P8295">
        <v>0</v>
      </c>
      <c r="Q8295">
        <v>0</v>
      </c>
      <c r="R8295" t="s">
        <v>43174</v>
      </c>
      <c r="S8295" t="s">
        <v>43396</v>
      </c>
      <c r="T8295" t="s">
        <v>44734</v>
      </c>
      <c r="U8295" t="s">
        <v>51899</v>
      </c>
      <c r="W8295" t="s">
        <v>42036</v>
      </c>
      <c r="X8295" t="s">
        <v>43175</v>
      </c>
    </row>
    <row r="8296" spans="1:24">
      <c r="A8296">
        <f>HYPERLINK("https://www.philgeps.gov.ph/GEPSNONPILOT/Tender/SplashBidNoticeAbstractUI.aspx?menuIndex=3&amp;refID=7074239&amp;Result=3","7074239")</f>
        <v>0</v>
      </c>
      <c r="B8296" t="s">
        <v>1028</v>
      </c>
      <c r="C8296" t="s">
        <v>11313</v>
      </c>
      <c r="D8296" t="s">
        <v>17475</v>
      </c>
      <c r="E8296" t="s">
        <v>24649</v>
      </c>
      <c r="F8296" t="s">
        <v>30052</v>
      </c>
      <c r="G8296" t="s">
        <v>30059</v>
      </c>
      <c r="H8296" t="s">
        <v>15498</v>
      </c>
      <c r="I8296" t="s">
        <v>6691</v>
      </c>
      <c r="J8296" t="s">
        <v>30673</v>
      </c>
      <c r="K8296" t="s">
        <v>39035</v>
      </c>
      <c r="M8296" t="s">
        <v>40357</v>
      </c>
      <c r="N8296" t="s">
        <v>43166</v>
      </c>
      <c r="O8296" t="s">
        <v>43167</v>
      </c>
      <c r="P8296">
        <v>0</v>
      </c>
      <c r="Q8296">
        <v>0</v>
      </c>
      <c r="R8296" t="s">
        <v>43174</v>
      </c>
      <c r="S8296" t="s">
        <v>43396</v>
      </c>
      <c r="T8296" t="s">
        <v>44837</v>
      </c>
      <c r="U8296" t="s">
        <v>47341</v>
      </c>
      <c r="W8296" t="s">
        <v>40357</v>
      </c>
      <c r="X8296" t="s">
        <v>43175</v>
      </c>
    </row>
    <row r="8297" spans="1:24">
      <c r="A8297">
        <f>HYPERLINK("https://www.philgeps.gov.ph/GEPSNONPILOT/Tender/SplashBidNoticeAbstractUI.aspx?menuIndex=3&amp;refID=7074237&amp;Result=3","7074237")</f>
        <v>0</v>
      </c>
      <c r="B8297" t="s">
        <v>696</v>
      </c>
      <c r="C8297" t="s">
        <v>11314</v>
      </c>
      <c r="D8297" t="s">
        <v>17432</v>
      </c>
      <c r="E8297" t="s">
        <v>23320</v>
      </c>
      <c r="F8297" t="s">
        <v>30052</v>
      </c>
      <c r="G8297" t="s">
        <v>30058</v>
      </c>
      <c r="H8297" t="s">
        <v>30067</v>
      </c>
      <c r="I8297" t="s">
        <v>3693</v>
      </c>
      <c r="J8297" t="s">
        <v>35275</v>
      </c>
      <c r="K8297" t="s">
        <v>39073</v>
      </c>
      <c r="M8297" t="s">
        <v>40004</v>
      </c>
      <c r="N8297" t="s">
        <v>43166</v>
      </c>
      <c r="O8297" t="s">
        <v>43167</v>
      </c>
      <c r="P8297">
        <v>0</v>
      </c>
      <c r="Q8297">
        <v>0</v>
      </c>
      <c r="R8297" t="s">
        <v>43174</v>
      </c>
      <c r="S8297" t="s">
        <v>43396</v>
      </c>
      <c r="T8297" t="s">
        <v>44789</v>
      </c>
      <c r="U8297" t="s">
        <v>51900</v>
      </c>
      <c r="W8297" t="s">
        <v>40004</v>
      </c>
      <c r="X8297" t="s">
        <v>43175</v>
      </c>
    </row>
    <row r="8298" spans="1:24">
      <c r="A8298">
        <f>HYPERLINK("https://www.philgeps.gov.ph/GEPSNONPILOT/Tender/SplashBidNoticeAbstractUI.aspx?menuIndex=3&amp;refID=7074174&amp;Result=3","7074174")</f>
        <v>0</v>
      </c>
      <c r="B8298" t="s">
        <v>2527</v>
      </c>
      <c r="C8298" t="s">
        <v>11315</v>
      </c>
      <c r="D8298" t="s">
        <v>17464</v>
      </c>
      <c r="E8298" t="s">
        <v>18173</v>
      </c>
      <c r="F8298" t="s">
        <v>30052</v>
      </c>
      <c r="G8298" t="s">
        <v>30058</v>
      </c>
      <c r="H8298" t="s">
        <v>15498</v>
      </c>
      <c r="I8298" t="s">
        <v>30074</v>
      </c>
      <c r="J8298" t="s">
        <v>31653</v>
      </c>
      <c r="K8298" t="s">
        <v>39019</v>
      </c>
      <c r="M8298" t="s">
        <v>42034</v>
      </c>
      <c r="N8298" t="s">
        <v>43166</v>
      </c>
      <c r="O8298" t="s">
        <v>43167</v>
      </c>
      <c r="P8298">
        <v>0</v>
      </c>
      <c r="Q8298">
        <v>1</v>
      </c>
      <c r="R8298" t="s">
        <v>43174</v>
      </c>
      <c r="S8298" t="s">
        <v>43396</v>
      </c>
      <c r="T8298" t="s">
        <v>44699</v>
      </c>
      <c r="U8298" t="s">
        <v>51901</v>
      </c>
      <c r="V8298" t="s">
        <v>57705</v>
      </c>
      <c r="W8298" t="s">
        <v>42034</v>
      </c>
      <c r="X8298" t="s">
        <v>43175</v>
      </c>
    </row>
    <row r="8299" spans="1:24">
      <c r="A8299">
        <f>HYPERLINK("https://www.philgeps.gov.ph/GEPSNONPILOT/Tender/SplashBidNoticeAbstractUI.aspx?menuIndex=3&amp;refID=7073609&amp;Result=3","7073609")</f>
        <v>0</v>
      </c>
      <c r="B8299" t="s">
        <v>621</v>
      </c>
      <c r="C8299" t="s">
        <v>11316</v>
      </c>
      <c r="D8299" t="s">
        <v>17474</v>
      </c>
      <c r="E8299" t="s">
        <v>24650</v>
      </c>
      <c r="F8299" t="s">
        <v>30052</v>
      </c>
      <c r="G8299" t="s">
        <v>30058</v>
      </c>
      <c r="H8299" t="s">
        <v>30067</v>
      </c>
      <c r="I8299" t="s">
        <v>3693</v>
      </c>
      <c r="J8299" t="s">
        <v>35276</v>
      </c>
      <c r="K8299" t="s">
        <v>39026</v>
      </c>
      <c r="L8299" t="s">
        <v>621</v>
      </c>
      <c r="M8299" t="s">
        <v>39924</v>
      </c>
      <c r="N8299" t="s">
        <v>43166</v>
      </c>
      <c r="O8299" t="s">
        <v>43167</v>
      </c>
      <c r="P8299">
        <v>0</v>
      </c>
      <c r="Q8299">
        <v>1</v>
      </c>
      <c r="R8299" t="s">
        <v>43174</v>
      </c>
      <c r="S8299" t="s">
        <v>43396</v>
      </c>
      <c r="T8299" t="s">
        <v>44722</v>
      </c>
      <c r="U8299" t="s">
        <v>51902</v>
      </c>
      <c r="V8299" t="s">
        <v>57706</v>
      </c>
      <c r="W8299" t="s">
        <v>39924</v>
      </c>
      <c r="X8299" t="s">
        <v>43175</v>
      </c>
    </row>
    <row r="8300" spans="1:24">
      <c r="A8300">
        <f>HYPERLINK("https://www.philgeps.gov.ph/GEPSNONPILOT/Tender/SplashBidNoticeAbstractUI.aspx?menuIndex=3&amp;refID=7074231&amp;Result=3","7074231")</f>
        <v>0</v>
      </c>
      <c r="B8300" t="s">
        <v>2530</v>
      </c>
      <c r="C8300" t="s">
        <v>11317</v>
      </c>
      <c r="E8300" t="s">
        <v>24651</v>
      </c>
      <c r="F8300" t="s">
        <v>30052</v>
      </c>
      <c r="G8300" t="s">
        <v>30060</v>
      </c>
      <c r="H8300" t="s">
        <v>15498</v>
      </c>
      <c r="I8300" t="s">
        <v>3693</v>
      </c>
      <c r="J8300" t="s">
        <v>35277</v>
      </c>
      <c r="K8300" t="s">
        <v>39025</v>
      </c>
      <c r="M8300" t="s">
        <v>42037</v>
      </c>
      <c r="N8300" t="s">
        <v>43166</v>
      </c>
      <c r="O8300" t="s">
        <v>43167</v>
      </c>
      <c r="P8300">
        <v>0</v>
      </c>
      <c r="Q8300">
        <v>0</v>
      </c>
      <c r="R8300" t="s">
        <v>43174</v>
      </c>
      <c r="S8300" t="s">
        <v>43396</v>
      </c>
      <c r="T8300" t="s">
        <v>44710</v>
      </c>
      <c r="U8300" t="s">
        <v>50722</v>
      </c>
      <c r="W8300" t="s">
        <v>42037</v>
      </c>
      <c r="X8300" t="s">
        <v>43175</v>
      </c>
    </row>
    <row r="8301" spans="1:24">
      <c r="A8301">
        <f>HYPERLINK("https://www.philgeps.gov.ph/GEPSNONPILOT/Tender/SplashBidNoticeAbstractUI.aspx?menuIndex=3&amp;refID=7074210&amp;Result=3","7074210")</f>
        <v>0</v>
      </c>
      <c r="B8301" t="s">
        <v>190</v>
      </c>
      <c r="C8301" t="s">
        <v>11318</v>
      </c>
      <c r="D8301" t="s">
        <v>17478</v>
      </c>
      <c r="E8301" t="s">
        <v>24652</v>
      </c>
      <c r="F8301" t="s">
        <v>30052</v>
      </c>
      <c r="G8301" t="s">
        <v>30058</v>
      </c>
      <c r="H8301" t="s">
        <v>30067</v>
      </c>
      <c r="I8301" t="s">
        <v>3693</v>
      </c>
      <c r="J8301" t="s">
        <v>35278</v>
      </c>
      <c r="K8301" t="s">
        <v>39022</v>
      </c>
      <c r="M8301" t="s">
        <v>42033</v>
      </c>
      <c r="N8301" t="s">
        <v>43166</v>
      </c>
      <c r="O8301" t="s">
        <v>43167</v>
      </c>
      <c r="P8301">
        <v>0</v>
      </c>
      <c r="Q8301">
        <v>0</v>
      </c>
      <c r="R8301" t="s">
        <v>43174</v>
      </c>
      <c r="S8301" t="s">
        <v>43396</v>
      </c>
      <c r="T8301" t="s">
        <v>44711</v>
      </c>
      <c r="U8301" t="s">
        <v>51891</v>
      </c>
      <c r="W8301" t="s">
        <v>42033</v>
      </c>
      <c r="X8301" t="s">
        <v>43175</v>
      </c>
    </row>
    <row r="8302" spans="1:24">
      <c r="A8302">
        <f>HYPERLINK("https://www.philgeps.gov.ph/GEPSNONPILOT/Tender/SplashBidNoticeAbstractUI.aspx?menuIndex=3&amp;refID=7074230&amp;Result=3","7074230")</f>
        <v>0</v>
      </c>
      <c r="B8302" t="s">
        <v>2531</v>
      </c>
      <c r="C8302" t="s">
        <v>6549</v>
      </c>
      <c r="D8302" t="s">
        <v>17464</v>
      </c>
      <c r="E8302" t="s">
        <v>23320</v>
      </c>
      <c r="F8302" t="s">
        <v>30052</v>
      </c>
      <c r="G8302" t="s">
        <v>30058</v>
      </c>
      <c r="H8302" t="s">
        <v>30067</v>
      </c>
      <c r="I8302" t="s">
        <v>3693</v>
      </c>
      <c r="J8302" t="s">
        <v>35279</v>
      </c>
      <c r="K8302" t="s">
        <v>39029</v>
      </c>
      <c r="M8302" t="s">
        <v>42038</v>
      </c>
      <c r="N8302" t="s">
        <v>43166</v>
      </c>
      <c r="O8302" t="s">
        <v>43167</v>
      </c>
      <c r="P8302">
        <v>0</v>
      </c>
      <c r="Q8302">
        <v>0</v>
      </c>
      <c r="R8302" t="s">
        <v>43174</v>
      </c>
      <c r="S8302" t="s">
        <v>43396</v>
      </c>
      <c r="T8302" t="s">
        <v>44714</v>
      </c>
      <c r="U8302" t="s">
        <v>51903</v>
      </c>
      <c r="W8302" t="s">
        <v>42038</v>
      </c>
      <c r="X8302" t="s">
        <v>43175</v>
      </c>
    </row>
    <row r="8303" spans="1:24">
      <c r="A8303">
        <f>HYPERLINK("https://www.philgeps.gov.ph/GEPSNONPILOT/Tender/SplashBidNoticeAbstractUI.aspx?menuIndex=3&amp;refID=7074229&amp;Result=3","7074229")</f>
        <v>0</v>
      </c>
      <c r="B8303" t="s">
        <v>2454</v>
      </c>
      <c r="C8303" t="s">
        <v>11319</v>
      </c>
      <c r="D8303" t="s">
        <v>17486</v>
      </c>
      <c r="E8303" t="s">
        <v>24653</v>
      </c>
      <c r="F8303" t="s">
        <v>30052</v>
      </c>
      <c r="G8303" t="s">
        <v>30058</v>
      </c>
      <c r="H8303" t="s">
        <v>30067</v>
      </c>
      <c r="I8303" t="s">
        <v>3693</v>
      </c>
      <c r="J8303" t="s">
        <v>31160</v>
      </c>
      <c r="K8303" t="s">
        <v>39057</v>
      </c>
      <c r="M8303" t="s">
        <v>41953</v>
      </c>
      <c r="N8303" t="s">
        <v>43166</v>
      </c>
      <c r="O8303" t="s">
        <v>43167</v>
      </c>
      <c r="P8303">
        <v>0</v>
      </c>
      <c r="Q8303">
        <v>4</v>
      </c>
      <c r="R8303" t="s">
        <v>43174</v>
      </c>
      <c r="S8303" t="s">
        <v>43396</v>
      </c>
      <c r="T8303" t="s">
        <v>44791</v>
      </c>
      <c r="U8303" t="s">
        <v>51702</v>
      </c>
      <c r="W8303" t="s">
        <v>41953</v>
      </c>
      <c r="X8303" t="s">
        <v>43175</v>
      </c>
    </row>
    <row r="8304" spans="1:24">
      <c r="A8304">
        <f>HYPERLINK("https://www.philgeps.gov.ph/GEPSNONPILOT/Tender/SplashBidNoticeAbstractUI.aspx?menuIndex=3&amp;refID=7074228&amp;Result=3","7074228")</f>
        <v>0</v>
      </c>
      <c r="B8304" t="s">
        <v>1822</v>
      </c>
      <c r="C8304" t="s">
        <v>11320</v>
      </c>
      <c r="D8304" t="s">
        <v>17437</v>
      </c>
      <c r="E8304" t="s">
        <v>24654</v>
      </c>
      <c r="F8304" t="s">
        <v>30052</v>
      </c>
      <c r="G8304" t="s">
        <v>30058</v>
      </c>
      <c r="H8304" t="s">
        <v>30067</v>
      </c>
      <c r="I8304" t="s">
        <v>3693</v>
      </c>
      <c r="J8304" t="s">
        <v>35280</v>
      </c>
      <c r="K8304" t="s">
        <v>39023</v>
      </c>
      <c r="M8304" t="s">
        <v>41474</v>
      </c>
      <c r="N8304" t="s">
        <v>43166</v>
      </c>
      <c r="O8304" t="s">
        <v>43167</v>
      </c>
      <c r="P8304">
        <v>0</v>
      </c>
      <c r="Q8304">
        <v>0</v>
      </c>
      <c r="R8304" t="s">
        <v>43174</v>
      </c>
      <c r="S8304" t="s">
        <v>43396</v>
      </c>
      <c r="T8304" t="s">
        <v>44807</v>
      </c>
      <c r="U8304" t="s">
        <v>51904</v>
      </c>
      <c r="W8304" t="s">
        <v>41474</v>
      </c>
      <c r="X8304" t="s">
        <v>43175</v>
      </c>
    </row>
    <row r="8305" spans="1:24">
      <c r="A8305">
        <f>HYPERLINK("https://www.philgeps.gov.ph/GEPSNONPILOT/Tender/SplashBidNoticeAbstractUI.aspx?menuIndex=3&amp;refID=7074225&amp;Result=3","7074225")</f>
        <v>0</v>
      </c>
      <c r="B8305" t="s">
        <v>1028</v>
      </c>
      <c r="C8305" t="s">
        <v>11321</v>
      </c>
      <c r="D8305" t="s">
        <v>17475</v>
      </c>
      <c r="E8305" t="s">
        <v>24655</v>
      </c>
      <c r="F8305" t="s">
        <v>30052</v>
      </c>
      <c r="G8305" t="s">
        <v>30059</v>
      </c>
      <c r="H8305" t="s">
        <v>15498</v>
      </c>
      <c r="I8305" t="s">
        <v>6691</v>
      </c>
      <c r="J8305" t="s">
        <v>32835</v>
      </c>
      <c r="K8305" t="s">
        <v>39035</v>
      </c>
      <c r="M8305" t="s">
        <v>40357</v>
      </c>
      <c r="N8305" t="s">
        <v>43166</v>
      </c>
      <c r="O8305" t="s">
        <v>43167</v>
      </c>
      <c r="P8305">
        <v>0</v>
      </c>
      <c r="Q8305">
        <v>0</v>
      </c>
      <c r="R8305" t="s">
        <v>43174</v>
      </c>
      <c r="S8305" t="s">
        <v>43396</v>
      </c>
      <c r="T8305" t="s">
        <v>44837</v>
      </c>
      <c r="U8305" t="s">
        <v>47341</v>
      </c>
      <c r="W8305" t="s">
        <v>40357</v>
      </c>
      <c r="X8305" t="s">
        <v>43175</v>
      </c>
    </row>
    <row r="8306" spans="1:24">
      <c r="A8306">
        <f>HYPERLINK("https://www.philgeps.gov.ph/GEPSNONPILOT/Tender/SplashBidNoticeAbstractUI.aspx?menuIndex=3&amp;refID=7074223&amp;Result=3","7074223")</f>
        <v>0</v>
      </c>
      <c r="B8306" t="s">
        <v>2531</v>
      </c>
      <c r="C8306" t="s">
        <v>11322</v>
      </c>
      <c r="D8306" t="s">
        <v>17464</v>
      </c>
      <c r="E8306" t="s">
        <v>17960</v>
      </c>
      <c r="F8306" t="s">
        <v>30052</v>
      </c>
      <c r="G8306" t="s">
        <v>30058</v>
      </c>
      <c r="H8306" t="s">
        <v>30067</v>
      </c>
      <c r="I8306" t="s">
        <v>3693</v>
      </c>
      <c r="J8306" t="s">
        <v>31362</v>
      </c>
      <c r="K8306" t="s">
        <v>39046</v>
      </c>
      <c r="M8306" t="s">
        <v>42038</v>
      </c>
      <c r="N8306" t="s">
        <v>43166</v>
      </c>
      <c r="O8306" t="s">
        <v>43167</v>
      </c>
      <c r="P8306">
        <v>0</v>
      </c>
      <c r="Q8306">
        <v>0</v>
      </c>
      <c r="R8306" t="s">
        <v>43174</v>
      </c>
      <c r="S8306" t="s">
        <v>43396</v>
      </c>
      <c r="T8306" t="s">
        <v>44714</v>
      </c>
      <c r="U8306" t="s">
        <v>51905</v>
      </c>
      <c r="W8306" t="s">
        <v>42038</v>
      </c>
      <c r="X8306" t="s">
        <v>43175</v>
      </c>
    </row>
    <row r="8307" spans="1:24">
      <c r="A8307">
        <f>HYPERLINK("https://www.philgeps.gov.ph/GEPSNONPILOT/Tender/SplashBidNoticeAbstractUI.aspx?menuIndex=3&amp;refID=7074222&amp;Result=3","7074222")</f>
        <v>0</v>
      </c>
      <c r="B8307" t="s">
        <v>2051</v>
      </c>
      <c r="C8307" t="s">
        <v>11323</v>
      </c>
      <c r="D8307" t="s">
        <v>17415</v>
      </c>
      <c r="E8307" t="s">
        <v>24656</v>
      </c>
      <c r="F8307" t="s">
        <v>30052</v>
      </c>
      <c r="G8307" t="s">
        <v>30058</v>
      </c>
      <c r="H8307" t="s">
        <v>30067</v>
      </c>
      <c r="I8307" t="s">
        <v>3693</v>
      </c>
      <c r="J8307" t="s">
        <v>35281</v>
      </c>
      <c r="K8307" t="s">
        <v>39031</v>
      </c>
      <c r="M8307" t="s">
        <v>41842</v>
      </c>
      <c r="N8307" t="s">
        <v>43166</v>
      </c>
      <c r="O8307" t="s">
        <v>43167</v>
      </c>
      <c r="P8307">
        <v>0</v>
      </c>
      <c r="Q8307">
        <v>6</v>
      </c>
      <c r="R8307" t="s">
        <v>43174</v>
      </c>
      <c r="S8307" t="s">
        <v>43396</v>
      </c>
      <c r="T8307" t="s">
        <v>44758</v>
      </c>
      <c r="U8307" t="s">
        <v>51308</v>
      </c>
      <c r="W8307" t="s">
        <v>41842</v>
      </c>
      <c r="X8307" t="s">
        <v>43175</v>
      </c>
    </row>
    <row r="8308" spans="1:24">
      <c r="A8308">
        <f>HYPERLINK("https://www.philgeps.gov.ph/GEPSNONPILOT/Tender/SplashBidNoticeAbstractUI.aspx?menuIndex=3&amp;refID=7074220&amp;Result=3","7074220")</f>
        <v>0</v>
      </c>
      <c r="B8308" t="s">
        <v>2033</v>
      </c>
      <c r="C8308" t="s">
        <v>11324</v>
      </c>
      <c r="D8308" t="s">
        <v>17448</v>
      </c>
      <c r="E8308" t="s">
        <v>24657</v>
      </c>
      <c r="F8308" t="s">
        <v>30052</v>
      </c>
      <c r="G8308" t="s">
        <v>30058</v>
      </c>
      <c r="H8308" t="s">
        <v>30067</v>
      </c>
      <c r="I8308" t="s">
        <v>3693</v>
      </c>
      <c r="J8308" t="s">
        <v>30222</v>
      </c>
      <c r="K8308" t="s">
        <v>39046</v>
      </c>
      <c r="M8308" t="s">
        <v>41482</v>
      </c>
      <c r="N8308" t="s">
        <v>43166</v>
      </c>
      <c r="O8308" t="s">
        <v>43167</v>
      </c>
      <c r="P8308">
        <v>0</v>
      </c>
      <c r="Q8308">
        <v>1</v>
      </c>
      <c r="R8308" t="s">
        <v>43174</v>
      </c>
      <c r="S8308" t="s">
        <v>43396</v>
      </c>
      <c r="T8308" t="s">
        <v>44758</v>
      </c>
      <c r="U8308" t="s">
        <v>51906</v>
      </c>
      <c r="W8308" t="s">
        <v>41482</v>
      </c>
      <c r="X8308" t="s">
        <v>43175</v>
      </c>
    </row>
    <row r="8309" spans="1:24">
      <c r="A8309">
        <f>HYPERLINK("https://www.philgeps.gov.ph/GEPSNONPILOT/Tender/SplashBidNoticeAbstractUI.aspx?menuIndex=3&amp;refID=7074232&amp;Result=3","7074232")</f>
        <v>0</v>
      </c>
      <c r="B8309" t="s">
        <v>1028</v>
      </c>
      <c r="C8309" t="s">
        <v>11325</v>
      </c>
      <c r="D8309" t="s">
        <v>17475</v>
      </c>
      <c r="E8309" t="s">
        <v>24658</v>
      </c>
      <c r="F8309" t="s">
        <v>30052</v>
      </c>
      <c r="G8309" t="s">
        <v>30059</v>
      </c>
      <c r="H8309" t="s">
        <v>15498</v>
      </c>
      <c r="I8309" t="s">
        <v>6691</v>
      </c>
      <c r="J8309" t="s">
        <v>35282</v>
      </c>
      <c r="K8309" t="s">
        <v>39035</v>
      </c>
      <c r="M8309" t="s">
        <v>40357</v>
      </c>
      <c r="N8309" t="s">
        <v>43166</v>
      </c>
      <c r="O8309" t="s">
        <v>43167</v>
      </c>
      <c r="P8309">
        <v>0</v>
      </c>
      <c r="Q8309">
        <v>0</v>
      </c>
      <c r="R8309" t="s">
        <v>43174</v>
      </c>
      <c r="S8309" t="s">
        <v>43396</v>
      </c>
      <c r="T8309" t="s">
        <v>44837</v>
      </c>
      <c r="U8309" t="s">
        <v>47341</v>
      </c>
      <c r="W8309" t="s">
        <v>40357</v>
      </c>
      <c r="X8309" t="s">
        <v>43175</v>
      </c>
    </row>
    <row r="8310" spans="1:24">
      <c r="A8310">
        <f>HYPERLINK("https://www.philgeps.gov.ph/GEPSNONPILOT/Tender/SplashBidNoticeAbstractUI.aspx?menuIndex=3&amp;refID=7074215&amp;Result=3","7074215")</f>
        <v>0</v>
      </c>
      <c r="B8310" t="s">
        <v>2532</v>
      </c>
      <c r="C8310" t="s">
        <v>11326</v>
      </c>
      <c r="D8310" t="s">
        <v>17415</v>
      </c>
      <c r="E8310" t="s">
        <v>24659</v>
      </c>
      <c r="F8310" t="s">
        <v>30055</v>
      </c>
      <c r="G8310" t="s">
        <v>30058</v>
      </c>
      <c r="H8310" t="s">
        <v>15498</v>
      </c>
      <c r="I8310" t="s">
        <v>3852</v>
      </c>
      <c r="J8310" t="s">
        <v>30297</v>
      </c>
      <c r="K8310" t="s">
        <v>39017</v>
      </c>
      <c r="M8310" t="s">
        <v>42039</v>
      </c>
      <c r="N8310" t="s">
        <v>43166</v>
      </c>
      <c r="O8310" t="s">
        <v>43167</v>
      </c>
      <c r="P8310">
        <v>0</v>
      </c>
      <c r="Q8310">
        <v>8</v>
      </c>
      <c r="R8310" t="s">
        <v>43174</v>
      </c>
      <c r="S8310" t="s">
        <v>43396</v>
      </c>
      <c r="T8310" t="s">
        <v>44699</v>
      </c>
      <c r="U8310" t="s">
        <v>51907</v>
      </c>
      <c r="W8310" t="s">
        <v>42039</v>
      </c>
      <c r="X8310" t="s">
        <v>43175</v>
      </c>
    </row>
    <row r="8311" spans="1:24">
      <c r="A8311">
        <f>HYPERLINK("https://www.philgeps.gov.ph/GEPSNONPILOT/Tender/SplashBidNoticeAbstractUI.aspx?menuIndex=3&amp;refID=7074218&amp;Result=3","7074218")</f>
        <v>0</v>
      </c>
      <c r="B8311" t="s">
        <v>696</v>
      </c>
      <c r="C8311" t="s">
        <v>11327</v>
      </c>
      <c r="D8311" t="s">
        <v>17432</v>
      </c>
      <c r="E8311" t="s">
        <v>17960</v>
      </c>
      <c r="F8311" t="s">
        <v>30052</v>
      </c>
      <c r="G8311" t="s">
        <v>30058</v>
      </c>
      <c r="H8311" t="s">
        <v>30067</v>
      </c>
      <c r="I8311" t="s">
        <v>3693</v>
      </c>
      <c r="J8311" t="s">
        <v>35283</v>
      </c>
      <c r="K8311" t="s">
        <v>39073</v>
      </c>
      <c r="M8311" t="s">
        <v>40004</v>
      </c>
      <c r="N8311" t="s">
        <v>43166</v>
      </c>
      <c r="O8311" t="s">
        <v>43167</v>
      </c>
      <c r="P8311">
        <v>0</v>
      </c>
      <c r="Q8311">
        <v>0</v>
      </c>
      <c r="R8311" t="s">
        <v>43174</v>
      </c>
      <c r="S8311" t="s">
        <v>43396</v>
      </c>
      <c r="T8311" t="s">
        <v>44789</v>
      </c>
      <c r="U8311" t="s">
        <v>51908</v>
      </c>
      <c r="W8311" t="s">
        <v>40004</v>
      </c>
      <c r="X8311" t="s">
        <v>43175</v>
      </c>
    </row>
    <row r="8312" spans="1:24">
      <c r="A8312">
        <f>HYPERLINK("https://www.philgeps.gov.ph/GEPSNONPILOT/Tender/SplashBidNoticeAbstractUI.aspx?menuIndex=3&amp;refID=7074216&amp;Result=3","7074216")</f>
        <v>0</v>
      </c>
      <c r="B8312" t="s">
        <v>2533</v>
      </c>
      <c r="C8312" t="s">
        <v>11328</v>
      </c>
      <c r="D8312" t="s">
        <v>17466</v>
      </c>
      <c r="E8312" t="s">
        <v>20087</v>
      </c>
      <c r="F8312" t="s">
        <v>30052</v>
      </c>
      <c r="G8312" t="s">
        <v>30058</v>
      </c>
      <c r="H8312" t="s">
        <v>15498</v>
      </c>
      <c r="I8312" t="s">
        <v>30114</v>
      </c>
      <c r="J8312" t="s">
        <v>30644</v>
      </c>
      <c r="K8312" t="s">
        <v>39039</v>
      </c>
      <c r="M8312" t="s">
        <v>42040</v>
      </c>
      <c r="N8312" t="s">
        <v>43166</v>
      </c>
      <c r="O8312" t="s">
        <v>43167</v>
      </c>
      <c r="P8312">
        <v>0</v>
      </c>
      <c r="Q8312">
        <v>1</v>
      </c>
      <c r="R8312" t="s">
        <v>43174</v>
      </c>
      <c r="S8312" t="s">
        <v>43396</v>
      </c>
      <c r="T8312" t="s">
        <v>44813</v>
      </c>
      <c r="U8312" t="s">
        <v>51909</v>
      </c>
      <c r="W8312" t="s">
        <v>42040</v>
      </c>
      <c r="X8312" t="s">
        <v>43175</v>
      </c>
    </row>
    <row r="8313" spans="1:24">
      <c r="A8313">
        <f>HYPERLINK("https://www.philgeps.gov.ph/GEPSNONPILOT/Tender/SplashBidNoticeAbstractUI.aspx?menuIndex=3&amp;refID=7074227&amp;Result=3","7074227")</f>
        <v>0</v>
      </c>
      <c r="B8313" t="s">
        <v>2410</v>
      </c>
      <c r="C8313" t="s">
        <v>11329</v>
      </c>
      <c r="D8313" t="s">
        <v>17470</v>
      </c>
      <c r="E8313" t="s">
        <v>24596</v>
      </c>
      <c r="F8313" t="s">
        <v>30052</v>
      </c>
      <c r="G8313" t="s">
        <v>30058</v>
      </c>
      <c r="H8313" t="s">
        <v>15498</v>
      </c>
      <c r="I8313" t="s">
        <v>30081</v>
      </c>
      <c r="J8313" t="s">
        <v>35284</v>
      </c>
      <c r="K8313" t="s">
        <v>39029</v>
      </c>
      <c r="M8313" t="s">
        <v>41907</v>
      </c>
      <c r="N8313" t="s">
        <v>43166</v>
      </c>
      <c r="O8313" t="s">
        <v>43167</v>
      </c>
      <c r="P8313">
        <v>0</v>
      </c>
      <c r="Q8313">
        <v>0</v>
      </c>
      <c r="R8313" t="s">
        <v>43174</v>
      </c>
      <c r="S8313" t="s">
        <v>43396</v>
      </c>
      <c r="T8313" t="s">
        <v>44758</v>
      </c>
      <c r="U8313" t="s">
        <v>51851</v>
      </c>
      <c r="W8313" t="s">
        <v>41907</v>
      </c>
      <c r="X8313" t="s">
        <v>43175</v>
      </c>
    </row>
    <row r="8314" spans="1:24">
      <c r="A8314">
        <f>HYPERLINK("https://www.philgeps.gov.ph/GEPSNONPILOT/Tender/SplashBidNoticeAbstractUI.aspx?menuIndex=3&amp;refID=7074204&amp;Result=3","7074204")</f>
        <v>0</v>
      </c>
      <c r="B8314" t="s">
        <v>2033</v>
      </c>
      <c r="C8314" t="s">
        <v>11330</v>
      </c>
      <c r="D8314" t="s">
        <v>17448</v>
      </c>
      <c r="E8314" t="s">
        <v>24660</v>
      </c>
      <c r="F8314" t="s">
        <v>30052</v>
      </c>
      <c r="G8314" t="s">
        <v>30058</v>
      </c>
      <c r="H8314" t="s">
        <v>30067</v>
      </c>
      <c r="I8314" t="s">
        <v>3693</v>
      </c>
      <c r="J8314" t="s">
        <v>30281</v>
      </c>
      <c r="K8314" t="s">
        <v>39046</v>
      </c>
      <c r="M8314" t="s">
        <v>41482</v>
      </c>
      <c r="N8314" t="s">
        <v>43166</v>
      </c>
      <c r="O8314" t="s">
        <v>43167</v>
      </c>
      <c r="P8314">
        <v>0</v>
      </c>
      <c r="Q8314">
        <v>1</v>
      </c>
      <c r="R8314" t="s">
        <v>43174</v>
      </c>
      <c r="S8314" t="s">
        <v>43396</v>
      </c>
      <c r="T8314" t="s">
        <v>44758</v>
      </c>
      <c r="U8314" t="s">
        <v>51910</v>
      </c>
      <c r="W8314" t="s">
        <v>41482</v>
      </c>
      <c r="X8314" t="s">
        <v>43175</v>
      </c>
    </row>
    <row r="8315" spans="1:24">
      <c r="A8315">
        <f>HYPERLINK("https://www.philgeps.gov.ph/GEPSNONPILOT/Tender/SplashBidNoticeAbstractUI.aspx?menuIndex=3&amp;refID=7074127&amp;Result=3","7074127")</f>
        <v>0</v>
      </c>
      <c r="B8315" t="s">
        <v>2454</v>
      </c>
      <c r="C8315" t="s">
        <v>11331</v>
      </c>
      <c r="D8315" t="s">
        <v>17486</v>
      </c>
      <c r="E8315" t="s">
        <v>24661</v>
      </c>
      <c r="F8315" t="s">
        <v>30052</v>
      </c>
      <c r="G8315" t="s">
        <v>30058</v>
      </c>
      <c r="H8315" t="s">
        <v>30067</v>
      </c>
      <c r="I8315" t="s">
        <v>3693</v>
      </c>
      <c r="J8315" t="s">
        <v>35285</v>
      </c>
      <c r="K8315" t="s">
        <v>39057</v>
      </c>
      <c r="M8315" t="s">
        <v>41953</v>
      </c>
      <c r="N8315" t="s">
        <v>43166</v>
      </c>
      <c r="O8315" t="s">
        <v>43167</v>
      </c>
      <c r="P8315">
        <v>0</v>
      </c>
      <c r="Q8315">
        <v>5</v>
      </c>
      <c r="R8315" t="s">
        <v>43174</v>
      </c>
      <c r="S8315" t="s">
        <v>43396</v>
      </c>
      <c r="T8315" t="s">
        <v>44791</v>
      </c>
      <c r="U8315" t="s">
        <v>51911</v>
      </c>
      <c r="W8315" t="s">
        <v>41953</v>
      </c>
      <c r="X8315" t="s">
        <v>43175</v>
      </c>
    </row>
    <row r="8316" spans="1:24">
      <c r="A8316">
        <f>HYPERLINK("https://www.philgeps.gov.ph/GEPSNONPILOT/Tender/SplashBidNoticeAbstractUI.aspx?menuIndex=3&amp;refID=7074213&amp;Result=3","7074213")</f>
        <v>0</v>
      </c>
      <c r="B8316" t="s">
        <v>2531</v>
      </c>
      <c r="C8316" t="s">
        <v>6549</v>
      </c>
      <c r="D8316" t="s">
        <v>17464</v>
      </c>
      <c r="E8316" t="s">
        <v>24641</v>
      </c>
      <c r="F8316" t="s">
        <v>30052</v>
      </c>
      <c r="G8316" t="s">
        <v>30058</v>
      </c>
      <c r="H8316" t="s">
        <v>30067</v>
      </c>
      <c r="I8316" t="s">
        <v>3693</v>
      </c>
      <c r="J8316" t="s">
        <v>35286</v>
      </c>
      <c r="K8316" t="s">
        <v>39023</v>
      </c>
      <c r="M8316" t="s">
        <v>42038</v>
      </c>
      <c r="N8316" t="s">
        <v>43166</v>
      </c>
      <c r="O8316" t="s">
        <v>43167</v>
      </c>
      <c r="P8316">
        <v>0</v>
      </c>
      <c r="Q8316">
        <v>0</v>
      </c>
      <c r="R8316" t="s">
        <v>43174</v>
      </c>
      <c r="S8316" t="s">
        <v>43396</v>
      </c>
      <c r="T8316" t="s">
        <v>44714</v>
      </c>
      <c r="U8316" t="s">
        <v>51912</v>
      </c>
      <c r="W8316" t="s">
        <v>42038</v>
      </c>
      <c r="X8316" t="s">
        <v>43175</v>
      </c>
    </row>
    <row r="8317" spans="1:24">
      <c r="A8317">
        <f>HYPERLINK("https://www.philgeps.gov.ph/GEPSNONPILOT/Tender/SplashBidNoticeAbstractUI.aspx?menuIndex=3&amp;refID=7074212&amp;Result=3","7074212")</f>
        <v>0</v>
      </c>
      <c r="B8317" t="s">
        <v>1028</v>
      </c>
      <c r="C8317" t="s">
        <v>11332</v>
      </c>
      <c r="D8317" t="s">
        <v>17475</v>
      </c>
      <c r="E8317" t="s">
        <v>24662</v>
      </c>
      <c r="F8317" t="s">
        <v>30052</v>
      </c>
      <c r="G8317" t="s">
        <v>30059</v>
      </c>
      <c r="H8317" t="s">
        <v>15498</v>
      </c>
      <c r="I8317" t="s">
        <v>6691</v>
      </c>
      <c r="J8317" t="s">
        <v>35287</v>
      </c>
      <c r="K8317" t="s">
        <v>39035</v>
      </c>
      <c r="M8317" t="s">
        <v>40357</v>
      </c>
      <c r="N8317" t="s">
        <v>43166</v>
      </c>
      <c r="O8317" t="s">
        <v>43167</v>
      </c>
      <c r="P8317">
        <v>0</v>
      </c>
      <c r="Q8317">
        <v>0</v>
      </c>
      <c r="R8317" t="s">
        <v>43174</v>
      </c>
      <c r="S8317" t="s">
        <v>43396</v>
      </c>
      <c r="T8317" t="s">
        <v>44837</v>
      </c>
      <c r="U8317" t="s">
        <v>47341</v>
      </c>
      <c r="W8317" t="s">
        <v>40357</v>
      </c>
      <c r="X8317" t="s">
        <v>43175</v>
      </c>
    </row>
    <row r="8318" spans="1:24">
      <c r="A8318">
        <f>HYPERLINK("https://www.philgeps.gov.ph/GEPSNONPILOT/Tender/SplashBidNoticeAbstractUI.aspx?menuIndex=3&amp;refID=7074120&amp;Result=3","7074120")</f>
        <v>0</v>
      </c>
      <c r="B8318" t="s">
        <v>1943</v>
      </c>
      <c r="C8318" t="s">
        <v>11333</v>
      </c>
      <c r="D8318" t="s">
        <v>17449</v>
      </c>
      <c r="E8318" t="s">
        <v>24663</v>
      </c>
      <c r="F8318" t="s">
        <v>30052</v>
      </c>
      <c r="G8318" t="s">
        <v>30058</v>
      </c>
      <c r="H8318" t="s">
        <v>30067</v>
      </c>
      <c r="I8318" t="s">
        <v>3693</v>
      </c>
      <c r="J8318" t="s">
        <v>35288</v>
      </c>
      <c r="K8318" t="s">
        <v>39178</v>
      </c>
      <c r="M8318" t="s">
        <v>41378</v>
      </c>
      <c r="N8318" t="s">
        <v>43166</v>
      </c>
      <c r="O8318" t="s">
        <v>43167</v>
      </c>
      <c r="P8318">
        <v>0</v>
      </c>
      <c r="Q8318">
        <v>0</v>
      </c>
      <c r="R8318" t="s">
        <v>43174</v>
      </c>
      <c r="S8318" t="s">
        <v>43396</v>
      </c>
      <c r="T8318" t="s">
        <v>44837</v>
      </c>
      <c r="U8318" t="s">
        <v>49135</v>
      </c>
      <c r="V8318" t="s">
        <v>57449</v>
      </c>
      <c r="W8318" t="s">
        <v>41378</v>
      </c>
      <c r="X8318" t="s">
        <v>43175</v>
      </c>
    </row>
    <row r="8319" spans="1:24">
      <c r="A8319">
        <f>HYPERLINK("https://www.philgeps.gov.ph/GEPSNONPILOT/Tender/SplashBidNoticeAbstractUI.aspx?menuIndex=3&amp;refID=7074164&amp;Result=3","7074164")</f>
        <v>0</v>
      </c>
      <c r="B8319" t="s">
        <v>541</v>
      </c>
      <c r="C8319" t="s">
        <v>11334</v>
      </c>
      <c r="D8319" t="s">
        <v>17458</v>
      </c>
      <c r="E8319" t="s">
        <v>24664</v>
      </c>
      <c r="F8319" t="s">
        <v>30052</v>
      </c>
      <c r="G8319" t="s">
        <v>30058</v>
      </c>
      <c r="H8319" t="s">
        <v>15498</v>
      </c>
      <c r="I8319" t="s">
        <v>30092</v>
      </c>
      <c r="J8319" t="s">
        <v>32301</v>
      </c>
      <c r="K8319" t="s">
        <v>39017</v>
      </c>
      <c r="M8319" t="s">
        <v>39843</v>
      </c>
      <c r="N8319" t="s">
        <v>43166</v>
      </c>
      <c r="O8319" t="s">
        <v>43167</v>
      </c>
      <c r="P8319">
        <v>0</v>
      </c>
      <c r="Q8319">
        <v>2</v>
      </c>
      <c r="R8319" t="s">
        <v>43174</v>
      </c>
      <c r="S8319" t="s">
        <v>43396</v>
      </c>
      <c r="T8319" t="s">
        <v>44773</v>
      </c>
      <c r="U8319" t="s">
        <v>51913</v>
      </c>
      <c r="W8319" t="s">
        <v>58604</v>
      </c>
      <c r="X8319" t="s">
        <v>43175</v>
      </c>
    </row>
    <row r="8320" spans="1:24">
      <c r="A8320">
        <f>HYPERLINK("https://www.philgeps.gov.ph/GEPSNONPILOT/Tender/SplashBidNoticeAbstractUI.aspx?menuIndex=3&amp;refID=7074115&amp;Result=3","7074115")</f>
        <v>0</v>
      </c>
      <c r="B8320" t="s">
        <v>1547</v>
      </c>
      <c r="C8320" t="s">
        <v>11335</v>
      </c>
      <c r="D8320" t="s">
        <v>17449</v>
      </c>
      <c r="E8320" t="s">
        <v>24665</v>
      </c>
      <c r="F8320" t="s">
        <v>30052</v>
      </c>
      <c r="G8320" t="s">
        <v>30058</v>
      </c>
      <c r="H8320" t="s">
        <v>15498</v>
      </c>
      <c r="I8320" t="s">
        <v>30074</v>
      </c>
      <c r="J8320" t="s">
        <v>35289</v>
      </c>
      <c r="K8320" t="s">
        <v>39018</v>
      </c>
      <c r="M8320" t="s">
        <v>40935</v>
      </c>
      <c r="N8320" t="s">
        <v>43166</v>
      </c>
      <c r="O8320" t="s">
        <v>43167</v>
      </c>
      <c r="P8320">
        <v>0</v>
      </c>
      <c r="Q8320">
        <v>5</v>
      </c>
      <c r="R8320" t="s">
        <v>43174</v>
      </c>
      <c r="S8320" t="s">
        <v>43396</v>
      </c>
      <c r="T8320" t="s">
        <v>44844</v>
      </c>
      <c r="U8320" t="s">
        <v>51914</v>
      </c>
      <c r="W8320" t="s">
        <v>40935</v>
      </c>
      <c r="X8320" t="s">
        <v>43175</v>
      </c>
    </row>
    <row r="8321" spans="1:24">
      <c r="A8321">
        <f>HYPERLINK("https://www.philgeps.gov.ph/GEPSNONPILOT/Tender/SplashBidNoticeAbstractUI.aspx?menuIndex=3&amp;refID=7074112&amp;Result=3","7074112")</f>
        <v>0</v>
      </c>
      <c r="B8321" t="s">
        <v>919</v>
      </c>
      <c r="C8321" t="s">
        <v>11336</v>
      </c>
      <c r="E8321" t="s">
        <v>24666</v>
      </c>
      <c r="F8321" t="s">
        <v>30052</v>
      </c>
      <c r="G8321" t="s">
        <v>30058</v>
      </c>
      <c r="H8321" t="s">
        <v>30067</v>
      </c>
      <c r="I8321" t="s">
        <v>3693</v>
      </c>
      <c r="J8321" t="s">
        <v>35238</v>
      </c>
      <c r="K8321" t="s">
        <v>39025</v>
      </c>
      <c r="M8321" t="s">
        <v>40242</v>
      </c>
      <c r="N8321" t="s">
        <v>43166</v>
      </c>
      <c r="O8321" t="s">
        <v>43167</v>
      </c>
      <c r="Q8321">
        <v>1</v>
      </c>
      <c r="R8321" t="s">
        <v>43174</v>
      </c>
      <c r="S8321" t="s">
        <v>43419</v>
      </c>
      <c r="T8321" t="s">
        <v>44842</v>
      </c>
      <c r="U8321" t="s">
        <v>51915</v>
      </c>
      <c r="W8321" t="s">
        <v>43101</v>
      </c>
      <c r="X8321" t="s">
        <v>43175</v>
      </c>
    </row>
    <row r="8322" spans="1:24">
      <c r="A8322">
        <f>HYPERLINK("https://www.philgeps.gov.ph/GEPSNONPILOT/Tender/SplashBidNoticeAbstractUI.aspx?menuIndex=3&amp;refID=7074109&amp;Result=3","7074109")</f>
        <v>0</v>
      </c>
      <c r="B8322" t="s">
        <v>721</v>
      </c>
      <c r="C8322" t="s">
        <v>11337</v>
      </c>
      <c r="D8322" t="s">
        <v>17451</v>
      </c>
      <c r="E8322" t="s">
        <v>24667</v>
      </c>
      <c r="F8322" t="s">
        <v>30052</v>
      </c>
      <c r="G8322" t="s">
        <v>30058</v>
      </c>
      <c r="H8322" t="s">
        <v>30067</v>
      </c>
      <c r="I8322" t="s">
        <v>3693</v>
      </c>
      <c r="J8322" t="s">
        <v>35290</v>
      </c>
      <c r="K8322" t="s">
        <v>39034</v>
      </c>
      <c r="M8322" t="s">
        <v>40031</v>
      </c>
      <c r="N8322" t="s">
        <v>43166</v>
      </c>
      <c r="O8322" t="s">
        <v>43167</v>
      </c>
      <c r="P8322">
        <v>0</v>
      </c>
      <c r="Q8322">
        <v>0</v>
      </c>
      <c r="R8322" t="s">
        <v>43174</v>
      </c>
      <c r="S8322" t="s">
        <v>43396</v>
      </c>
      <c r="T8322" t="s">
        <v>44777</v>
      </c>
      <c r="U8322" t="s">
        <v>51728</v>
      </c>
      <c r="W8322" t="s">
        <v>40031</v>
      </c>
      <c r="X8322" t="s">
        <v>43175</v>
      </c>
    </row>
    <row r="8323" spans="1:24">
      <c r="A8323">
        <f>HYPERLINK("https://www.philgeps.gov.ph/GEPSNONPILOT/Tender/SplashBidNoticeAbstractUI.aspx?menuIndex=3&amp;refID=7074123&amp;Result=3","7074123")</f>
        <v>0</v>
      </c>
      <c r="B8323" t="s">
        <v>919</v>
      </c>
      <c r="C8323" t="s">
        <v>11338</v>
      </c>
      <c r="E8323" t="s">
        <v>24668</v>
      </c>
      <c r="F8323" t="s">
        <v>30052</v>
      </c>
      <c r="G8323" t="s">
        <v>30058</v>
      </c>
      <c r="H8323" t="s">
        <v>30067</v>
      </c>
      <c r="I8323" t="s">
        <v>3693</v>
      </c>
      <c r="J8323" t="s">
        <v>35291</v>
      </c>
      <c r="K8323" t="s">
        <v>39025</v>
      </c>
      <c r="M8323" t="s">
        <v>40242</v>
      </c>
      <c r="N8323" t="s">
        <v>43166</v>
      </c>
      <c r="O8323" t="s">
        <v>43167</v>
      </c>
      <c r="Q8323">
        <v>2</v>
      </c>
      <c r="R8323" t="s">
        <v>43174</v>
      </c>
      <c r="S8323" t="s">
        <v>43420</v>
      </c>
      <c r="T8323" t="s">
        <v>44842</v>
      </c>
      <c r="U8323" t="s">
        <v>51916</v>
      </c>
      <c r="V8323" t="s">
        <v>57707</v>
      </c>
      <c r="W8323" t="s">
        <v>43101</v>
      </c>
      <c r="X8323" t="s">
        <v>43175</v>
      </c>
    </row>
    <row r="8324" spans="1:24">
      <c r="A8324">
        <f>HYPERLINK("https://www.philgeps.gov.ph/GEPSNONPILOT/Tender/SplashBidNoticeAbstractUI.aspx?menuIndex=3&amp;refID=7074113&amp;Result=3","7074113")</f>
        <v>0</v>
      </c>
      <c r="B8324" t="s">
        <v>696</v>
      </c>
      <c r="C8324" t="s">
        <v>11339</v>
      </c>
      <c r="D8324" t="s">
        <v>17432</v>
      </c>
      <c r="E8324" t="s">
        <v>24669</v>
      </c>
      <c r="F8324" t="s">
        <v>30052</v>
      </c>
      <c r="G8324" t="s">
        <v>30059</v>
      </c>
      <c r="H8324" t="s">
        <v>15498</v>
      </c>
      <c r="I8324" t="s">
        <v>3693</v>
      </c>
      <c r="J8324" t="s">
        <v>30252</v>
      </c>
      <c r="K8324" t="s">
        <v>39064</v>
      </c>
      <c r="M8324" t="s">
        <v>40004</v>
      </c>
      <c r="N8324" t="s">
        <v>43166</v>
      </c>
      <c r="O8324" t="s">
        <v>43167</v>
      </c>
      <c r="P8324">
        <v>0</v>
      </c>
      <c r="Q8324">
        <v>0</v>
      </c>
      <c r="R8324" t="s">
        <v>43174</v>
      </c>
      <c r="S8324" t="s">
        <v>43396</v>
      </c>
      <c r="T8324" t="s">
        <v>44856</v>
      </c>
      <c r="U8324" t="s">
        <v>51917</v>
      </c>
      <c r="W8324" t="s">
        <v>40004</v>
      </c>
      <c r="X8324" t="s">
        <v>43175</v>
      </c>
    </row>
    <row r="8325" spans="1:24">
      <c r="A8325">
        <f>HYPERLINK("https://www.philgeps.gov.ph/GEPSNONPILOT/Tender/SplashBidNoticeAbstractUI.aspx?menuIndex=3&amp;refID=7074108&amp;Result=3","7074108")</f>
        <v>0</v>
      </c>
      <c r="B8325" t="s">
        <v>813</v>
      </c>
      <c r="C8325" t="s">
        <v>11340</v>
      </c>
      <c r="D8325" t="s">
        <v>17426</v>
      </c>
      <c r="E8325" t="s">
        <v>24670</v>
      </c>
      <c r="F8325" t="s">
        <v>30052</v>
      </c>
      <c r="G8325" t="s">
        <v>30058</v>
      </c>
      <c r="H8325" t="s">
        <v>30067</v>
      </c>
      <c r="I8325" t="s">
        <v>3693</v>
      </c>
      <c r="J8325" t="s">
        <v>30215</v>
      </c>
      <c r="K8325" t="s">
        <v>39065</v>
      </c>
      <c r="M8325" t="s">
        <v>40130</v>
      </c>
      <c r="N8325" t="s">
        <v>43166</v>
      </c>
      <c r="O8325" t="s">
        <v>43167</v>
      </c>
      <c r="P8325">
        <v>0</v>
      </c>
      <c r="Q8325">
        <v>2</v>
      </c>
      <c r="R8325" t="s">
        <v>43174</v>
      </c>
      <c r="S8325" t="s">
        <v>43396</v>
      </c>
      <c r="T8325" t="s">
        <v>44999</v>
      </c>
      <c r="U8325" t="s">
        <v>51918</v>
      </c>
      <c r="W8325" t="s">
        <v>40130</v>
      </c>
      <c r="X8325" t="s">
        <v>43175</v>
      </c>
    </row>
    <row r="8326" spans="1:24">
      <c r="A8326">
        <f>HYPERLINK("https://www.philgeps.gov.ph/GEPSNONPILOT/Tender/SplashBidNoticeAbstractUI.aspx?menuIndex=3&amp;refID=7074126&amp;Result=3","7074126")</f>
        <v>0</v>
      </c>
      <c r="B8326" t="s">
        <v>721</v>
      </c>
      <c r="C8326" t="s">
        <v>11341</v>
      </c>
      <c r="D8326" t="s">
        <v>17451</v>
      </c>
      <c r="E8326" t="s">
        <v>24671</v>
      </c>
      <c r="F8326" t="s">
        <v>30052</v>
      </c>
      <c r="G8326" t="s">
        <v>30058</v>
      </c>
      <c r="H8326" t="s">
        <v>30067</v>
      </c>
      <c r="I8326" t="s">
        <v>3693</v>
      </c>
      <c r="J8326" t="s">
        <v>35292</v>
      </c>
      <c r="K8326" t="s">
        <v>39162</v>
      </c>
      <c r="M8326" t="s">
        <v>40031</v>
      </c>
      <c r="N8326" t="s">
        <v>43166</v>
      </c>
      <c r="O8326" t="s">
        <v>43167</v>
      </c>
      <c r="P8326">
        <v>0</v>
      </c>
      <c r="Q8326">
        <v>0</v>
      </c>
      <c r="R8326" t="s">
        <v>43174</v>
      </c>
      <c r="S8326" t="s">
        <v>43396</v>
      </c>
      <c r="T8326" t="s">
        <v>44777</v>
      </c>
      <c r="U8326" t="s">
        <v>51728</v>
      </c>
      <c r="W8326" t="s">
        <v>40031</v>
      </c>
      <c r="X8326" t="s">
        <v>43175</v>
      </c>
    </row>
    <row r="8327" spans="1:24">
      <c r="A8327">
        <f>HYPERLINK("https://www.philgeps.gov.ph/GEPSNONPILOT/Tender/SplashBidNoticeAbstractUI.aspx?menuIndex=3&amp;refID=7074238&amp;Result=3","7074238")</f>
        <v>0</v>
      </c>
      <c r="B8327" t="s">
        <v>1822</v>
      </c>
      <c r="C8327" t="s">
        <v>11342</v>
      </c>
      <c r="D8327" t="s">
        <v>17437</v>
      </c>
      <c r="E8327" t="s">
        <v>24672</v>
      </c>
      <c r="F8327" t="s">
        <v>30052</v>
      </c>
      <c r="G8327" t="s">
        <v>30058</v>
      </c>
      <c r="H8327" t="s">
        <v>30067</v>
      </c>
      <c r="I8327" t="s">
        <v>3693</v>
      </c>
      <c r="J8327" t="s">
        <v>35293</v>
      </c>
      <c r="K8327" t="s">
        <v>39031</v>
      </c>
      <c r="M8327" t="s">
        <v>41474</v>
      </c>
      <c r="N8327" t="s">
        <v>43166</v>
      </c>
      <c r="O8327" t="s">
        <v>43167</v>
      </c>
      <c r="P8327">
        <v>0</v>
      </c>
      <c r="Q8327">
        <v>0</v>
      </c>
      <c r="R8327" t="s">
        <v>43174</v>
      </c>
      <c r="S8327" t="s">
        <v>43396</v>
      </c>
      <c r="T8327" t="s">
        <v>44807</v>
      </c>
      <c r="U8327" t="s">
        <v>51919</v>
      </c>
      <c r="W8327" t="s">
        <v>41474</v>
      </c>
      <c r="X8327" t="s">
        <v>43175</v>
      </c>
    </row>
    <row r="8328" spans="1:24">
      <c r="A8328">
        <f>HYPERLINK("https://www.philgeps.gov.ph/GEPSNONPILOT/Tender/SplashBidNoticeAbstractUI.aspx?menuIndex=3&amp;refID=7074242&amp;Result=3","7074242")</f>
        <v>0</v>
      </c>
      <c r="B8328" t="s">
        <v>2534</v>
      </c>
      <c r="C8328" t="s">
        <v>10244</v>
      </c>
      <c r="D8328" t="s">
        <v>17448</v>
      </c>
      <c r="E8328" t="s">
        <v>24673</v>
      </c>
      <c r="F8328" t="s">
        <v>30052</v>
      </c>
      <c r="G8328" t="s">
        <v>30058</v>
      </c>
      <c r="H8328" t="s">
        <v>15498</v>
      </c>
      <c r="I8328" t="s">
        <v>3606</v>
      </c>
      <c r="J8328" t="s">
        <v>30277</v>
      </c>
      <c r="K8328" t="s">
        <v>39034</v>
      </c>
      <c r="M8328" t="s">
        <v>42041</v>
      </c>
      <c r="N8328" t="s">
        <v>43166</v>
      </c>
      <c r="O8328" t="s">
        <v>43167</v>
      </c>
      <c r="P8328">
        <v>0</v>
      </c>
      <c r="Q8328">
        <v>0</v>
      </c>
      <c r="R8328" t="s">
        <v>43174</v>
      </c>
      <c r="S8328" t="s">
        <v>43396</v>
      </c>
      <c r="T8328" t="s">
        <v>44856</v>
      </c>
      <c r="U8328" t="s">
        <v>51920</v>
      </c>
      <c r="W8328" t="s">
        <v>42041</v>
      </c>
      <c r="X8328" t="s">
        <v>43175</v>
      </c>
    </row>
    <row r="8329" spans="1:24">
      <c r="A8329">
        <f>HYPERLINK("https://www.philgeps.gov.ph/GEPSNONPILOT/Tender/SplashBidNoticeAbstractUI.aspx?menuIndex=3&amp;refID=7074086&amp;Result=3","7074086")</f>
        <v>0</v>
      </c>
      <c r="B8329" t="s">
        <v>2530</v>
      </c>
      <c r="C8329" t="s">
        <v>11343</v>
      </c>
      <c r="E8329" t="s">
        <v>24674</v>
      </c>
      <c r="F8329" t="s">
        <v>30052</v>
      </c>
      <c r="G8329" t="s">
        <v>30060</v>
      </c>
      <c r="H8329" t="s">
        <v>15498</v>
      </c>
      <c r="I8329" t="s">
        <v>3693</v>
      </c>
      <c r="J8329" t="s">
        <v>35294</v>
      </c>
      <c r="K8329" t="s">
        <v>39025</v>
      </c>
      <c r="M8329" t="s">
        <v>42037</v>
      </c>
      <c r="N8329" t="s">
        <v>43166</v>
      </c>
      <c r="O8329" t="s">
        <v>43167</v>
      </c>
      <c r="P8329">
        <v>0</v>
      </c>
      <c r="Q8329">
        <v>0</v>
      </c>
      <c r="R8329" t="s">
        <v>43174</v>
      </c>
      <c r="S8329" t="s">
        <v>43396</v>
      </c>
      <c r="T8329" t="s">
        <v>44744</v>
      </c>
      <c r="U8329" t="s">
        <v>50722</v>
      </c>
      <c r="W8329" t="s">
        <v>42037</v>
      </c>
      <c r="X8329" t="s">
        <v>43175</v>
      </c>
    </row>
    <row r="8330" spans="1:24">
      <c r="A8330">
        <f>HYPERLINK("https://www.philgeps.gov.ph/GEPSNONPILOT/Tender/SplashBidNoticeAbstractUI.aspx?menuIndex=3&amp;refID=7074248&amp;Result=3","7074248")</f>
        <v>0</v>
      </c>
      <c r="B8330" t="s">
        <v>1028</v>
      </c>
      <c r="C8330" t="s">
        <v>11344</v>
      </c>
      <c r="D8330" t="s">
        <v>17475</v>
      </c>
      <c r="E8330" t="s">
        <v>24675</v>
      </c>
      <c r="F8330" t="s">
        <v>30052</v>
      </c>
      <c r="G8330" t="s">
        <v>30059</v>
      </c>
      <c r="H8330" t="s">
        <v>15498</v>
      </c>
      <c r="I8330" t="s">
        <v>6691</v>
      </c>
      <c r="J8330" t="s">
        <v>30966</v>
      </c>
      <c r="K8330" t="s">
        <v>39035</v>
      </c>
      <c r="M8330" t="s">
        <v>40357</v>
      </c>
      <c r="N8330" t="s">
        <v>43166</v>
      </c>
      <c r="O8330" t="s">
        <v>43167</v>
      </c>
      <c r="P8330">
        <v>0</v>
      </c>
      <c r="Q8330">
        <v>0</v>
      </c>
      <c r="R8330" t="s">
        <v>43174</v>
      </c>
      <c r="S8330" t="s">
        <v>43396</v>
      </c>
      <c r="T8330" t="s">
        <v>44837</v>
      </c>
      <c r="U8330" t="s">
        <v>47341</v>
      </c>
      <c r="W8330" t="s">
        <v>40357</v>
      </c>
      <c r="X8330" t="s">
        <v>43175</v>
      </c>
    </row>
    <row r="8331" spans="1:24">
      <c r="A8331">
        <f>HYPERLINK("https://www.philgeps.gov.ph/GEPSNONPILOT/Tender/SplashBidNoticeAbstractUI.aspx?menuIndex=3&amp;refID=7074245&amp;Result=3","7074245")</f>
        <v>0</v>
      </c>
      <c r="B8331" t="s">
        <v>1822</v>
      </c>
      <c r="C8331" t="s">
        <v>11345</v>
      </c>
      <c r="D8331" t="s">
        <v>17437</v>
      </c>
      <c r="E8331" t="s">
        <v>24676</v>
      </c>
      <c r="F8331" t="s">
        <v>30052</v>
      </c>
      <c r="G8331" t="s">
        <v>30058</v>
      </c>
      <c r="H8331" t="s">
        <v>15498</v>
      </c>
      <c r="I8331" t="s">
        <v>3693</v>
      </c>
      <c r="J8331" t="s">
        <v>35295</v>
      </c>
      <c r="K8331" t="s">
        <v>39023</v>
      </c>
      <c r="M8331" t="s">
        <v>41474</v>
      </c>
      <c r="N8331" t="s">
        <v>43166</v>
      </c>
      <c r="O8331" t="s">
        <v>43167</v>
      </c>
      <c r="P8331">
        <v>0</v>
      </c>
      <c r="Q8331">
        <v>0</v>
      </c>
      <c r="R8331" t="s">
        <v>43174</v>
      </c>
      <c r="S8331" t="s">
        <v>43396</v>
      </c>
      <c r="T8331" t="s">
        <v>44807</v>
      </c>
      <c r="U8331" t="s">
        <v>51921</v>
      </c>
      <c r="W8331" t="s">
        <v>41474</v>
      </c>
      <c r="X8331" t="s">
        <v>43175</v>
      </c>
    </row>
    <row r="8332" spans="1:24">
      <c r="A8332">
        <f>HYPERLINK("https://www.philgeps.gov.ph/GEPSNONPILOT/Tender/SplashBidNoticeAbstractUI.aspx?menuIndex=3&amp;refID=7074244&amp;Result=3","7074244")</f>
        <v>0</v>
      </c>
      <c r="B8332" t="s">
        <v>2505</v>
      </c>
      <c r="C8332" t="s">
        <v>11346</v>
      </c>
      <c r="D8332" t="s">
        <v>17444</v>
      </c>
      <c r="E8332" t="s">
        <v>18372</v>
      </c>
      <c r="F8332" t="s">
        <v>30052</v>
      </c>
      <c r="G8332" t="s">
        <v>30058</v>
      </c>
      <c r="H8332" t="s">
        <v>15498</v>
      </c>
      <c r="I8332" t="s">
        <v>3736</v>
      </c>
      <c r="J8332" t="s">
        <v>34495</v>
      </c>
      <c r="K8332" t="s">
        <v>39025</v>
      </c>
      <c r="M8332" t="s">
        <v>42010</v>
      </c>
      <c r="N8332" t="s">
        <v>43166</v>
      </c>
      <c r="O8332" t="s">
        <v>43167</v>
      </c>
      <c r="P8332">
        <v>0</v>
      </c>
      <c r="Q8332">
        <v>0</v>
      </c>
      <c r="R8332" t="s">
        <v>43174</v>
      </c>
      <c r="S8332" t="s">
        <v>43396</v>
      </c>
      <c r="T8332" t="s">
        <v>44685</v>
      </c>
      <c r="U8332" t="s">
        <v>51922</v>
      </c>
      <c r="W8332" t="s">
        <v>42010</v>
      </c>
      <c r="X8332" t="s">
        <v>43175</v>
      </c>
    </row>
    <row r="8333" spans="1:24">
      <c r="A8333">
        <f>HYPERLINK("https://www.philgeps.gov.ph/GEPSNONPILOT/Tender/SplashBidNoticeAbstractUI.aspx?menuIndex=3&amp;refID=7074252&amp;Result=3","7074252")</f>
        <v>0</v>
      </c>
      <c r="B8333" t="s">
        <v>696</v>
      </c>
      <c r="C8333" t="s">
        <v>11347</v>
      </c>
      <c r="D8333" t="s">
        <v>17432</v>
      </c>
      <c r="E8333" t="s">
        <v>24677</v>
      </c>
      <c r="F8333" t="s">
        <v>30052</v>
      </c>
      <c r="G8333" t="s">
        <v>30058</v>
      </c>
      <c r="H8333" t="s">
        <v>30067</v>
      </c>
      <c r="I8333" t="s">
        <v>3693</v>
      </c>
      <c r="J8333" t="s">
        <v>35296</v>
      </c>
      <c r="K8333" t="s">
        <v>39073</v>
      </c>
      <c r="M8333" t="s">
        <v>40004</v>
      </c>
      <c r="N8333" t="s">
        <v>43166</v>
      </c>
      <c r="O8333" t="s">
        <v>43167</v>
      </c>
      <c r="P8333">
        <v>0</v>
      </c>
      <c r="Q8333">
        <v>0</v>
      </c>
      <c r="R8333" t="s">
        <v>43174</v>
      </c>
      <c r="S8333" t="s">
        <v>43396</v>
      </c>
      <c r="T8333" t="s">
        <v>44789</v>
      </c>
      <c r="U8333" t="s">
        <v>51923</v>
      </c>
      <c r="W8333" t="s">
        <v>40004</v>
      </c>
      <c r="X8333" t="s">
        <v>43175</v>
      </c>
    </row>
    <row r="8334" spans="1:24">
      <c r="A8334">
        <f>HYPERLINK("https://www.philgeps.gov.ph/GEPSNONPILOT/Tender/SplashBidNoticeAbstractUI.aspx?menuIndex=3&amp;refID=7074247&amp;Result=3","7074247")</f>
        <v>0</v>
      </c>
      <c r="B8334" t="s">
        <v>1608</v>
      </c>
      <c r="C8334" t="s">
        <v>11348</v>
      </c>
      <c r="D8334" t="s">
        <v>17415</v>
      </c>
      <c r="E8334" t="s">
        <v>24678</v>
      </c>
      <c r="F8334" t="s">
        <v>30052</v>
      </c>
      <c r="G8334" t="s">
        <v>30058</v>
      </c>
      <c r="H8334" t="s">
        <v>15498</v>
      </c>
      <c r="I8334" t="s">
        <v>30070</v>
      </c>
      <c r="J8334" t="s">
        <v>35297</v>
      </c>
      <c r="K8334" t="s">
        <v>39019</v>
      </c>
      <c r="M8334" t="s">
        <v>42018</v>
      </c>
      <c r="N8334" t="s">
        <v>43166</v>
      </c>
      <c r="O8334" t="s">
        <v>43167</v>
      </c>
      <c r="P8334">
        <v>0</v>
      </c>
      <c r="Q8334">
        <v>1</v>
      </c>
      <c r="R8334" t="s">
        <v>43174</v>
      </c>
      <c r="S8334" t="s">
        <v>43396</v>
      </c>
      <c r="T8334" t="s">
        <v>44844</v>
      </c>
      <c r="U8334" t="s">
        <v>45217</v>
      </c>
      <c r="W8334" t="s">
        <v>42018</v>
      </c>
      <c r="X8334" t="s">
        <v>43175</v>
      </c>
    </row>
    <row r="8335" spans="1:24">
      <c r="A8335">
        <f>HYPERLINK("https://www.philgeps.gov.ph/GEPSNONPILOT/Tender/SplashBidNoticeAbstractUI.aspx?menuIndex=3&amp;refID=7074277&amp;Result=3","7074277")</f>
        <v>0</v>
      </c>
      <c r="B8335" t="s">
        <v>1028</v>
      </c>
      <c r="C8335" t="s">
        <v>11349</v>
      </c>
      <c r="D8335" t="s">
        <v>17475</v>
      </c>
      <c r="E8335" t="s">
        <v>24679</v>
      </c>
      <c r="F8335" t="s">
        <v>30052</v>
      </c>
      <c r="G8335" t="s">
        <v>30059</v>
      </c>
      <c r="H8335" t="s">
        <v>15498</v>
      </c>
      <c r="I8335" t="s">
        <v>6691</v>
      </c>
      <c r="J8335" t="s">
        <v>31018</v>
      </c>
      <c r="K8335" t="s">
        <v>39035</v>
      </c>
      <c r="M8335" t="s">
        <v>40357</v>
      </c>
      <c r="N8335" t="s">
        <v>43166</v>
      </c>
      <c r="O8335" t="s">
        <v>43167</v>
      </c>
      <c r="P8335">
        <v>0</v>
      </c>
      <c r="Q8335">
        <v>0</v>
      </c>
      <c r="R8335" t="s">
        <v>43174</v>
      </c>
      <c r="S8335" t="s">
        <v>43396</v>
      </c>
      <c r="T8335" t="s">
        <v>44837</v>
      </c>
      <c r="U8335" t="s">
        <v>47341</v>
      </c>
      <c r="W8335" t="s">
        <v>40357</v>
      </c>
      <c r="X8335" t="s">
        <v>43175</v>
      </c>
    </row>
    <row r="8336" spans="1:24">
      <c r="A8336">
        <f>HYPERLINK("https://www.philgeps.gov.ph/GEPSNONPILOT/Tender/SplashBidNoticeAbstractUI.aspx?menuIndex=3&amp;refID=7074260&amp;Result=3","7074260")</f>
        <v>0</v>
      </c>
      <c r="B8336" t="s">
        <v>2098</v>
      </c>
      <c r="C8336" t="s">
        <v>11350</v>
      </c>
      <c r="D8336" t="s">
        <v>17414</v>
      </c>
      <c r="E8336" t="s">
        <v>24680</v>
      </c>
      <c r="F8336" t="s">
        <v>30052</v>
      </c>
      <c r="G8336" t="s">
        <v>30059</v>
      </c>
      <c r="H8336" t="s">
        <v>15498</v>
      </c>
      <c r="I8336" t="s">
        <v>30081</v>
      </c>
      <c r="J8336" t="s">
        <v>30551</v>
      </c>
      <c r="K8336" t="s">
        <v>39017</v>
      </c>
      <c r="M8336" t="s">
        <v>42002</v>
      </c>
      <c r="N8336" t="s">
        <v>43166</v>
      </c>
      <c r="O8336" t="s">
        <v>43167</v>
      </c>
      <c r="P8336">
        <v>0</v>
      </c>
      <c r="Q8336">
        <v>1</v>
      </c>
      <c r="R8336" t="s">
        <v>43174</v>
      </c>
      <c r="S8336" t="s">
        <v>43396</v>
      </c>
      <c r="T8336" t="s">
        <v>44777</v>
      </c>
      <c r="U8336" t="s">
        <v>51924</v>
      </c>
      <c r="W8336" t="s">
        <v>42002</v>
      </c>
      <c r="X8336" t="s">
        <v>43175</v>
      </c>
    </row>
    <row r="8337" spans="1:24">
      <c r="A8337">
        <f>HYPERLINK("https://www.philgeps.gov.ph/GEPSNONPILOT/Tender/SplashBidNoticeAbstractUI.aspx?menuIndex=3&amp;refID=7074270&amp;Result=3","7074270")</f>
        <v>0</v>
      </c>
      <c r="B8337" t="s">
        <v>696</v>
      </c>
      <c r="C8337" t="s">
        <v>11351</v>
      </c>
      <c r="D8337" t="s">
        <v>17432</v>
      </c>
      <c r="E8337" t="s">
        <v>19101</v>
      </c>
      <c r="F8337" t="s">
        <v>30052</v>
      </c>
      <c r="G8337" t="s">
        <v>30058</v>
      </c>
      <c r="H8337" t="s">
        <v>30067</v>
      </c>
      <c r="I8337" t="s">
        <v>3693</v>
      </c>
      <c r="J8337" t="s">
        <v>35298</v>
      </c>
      <c r="K8337" t="s">
        <v>39065</v>
      </c>
      <c r="M8337" t="s">
        <v>40004</v>
      </c>
      <c r="N8337" t="s">
        <v>43166</v>
      </c>
      <c r="O8337" t="s">
        <v>43167</v>
      </c>
      <c r="P8337">
        <v>0</v>
      </c>
      <c r="Q8337">
        <v>0</v>
      </c>
      <c r="R8337" t="s">
        <v>43174</v>
      </c>
      <c r="S8337" t="s">
        <v>43396</v>
      </c>
      <c r="T8337" t="s">
        <v>44789</v>
      </c>
      <c r="U8337" t="s">
        <v>51925</v>
      </c>
      <c r="W8337" t="s">
        <v>40004</v>
      </c>
      <c r="X8337" t="s">
        <v>43175</v>
      </c>
    </row>
    <row r="8338" spans="1:24">
      <c r="A8338">
        <f>HYPERLINK("https://www.philgeps.gov.ph/GEPSNONPILOT/Tender/SplashBidNoticeAbstractUI.aspx?menuIndex=3&amp;refID=7074269&amp;Result=3","7074269")</f>
        <v>0</v>
      </c>
      <c r="B8338" t="s">
        <v>2535</v>
      </c>
      <c r="C8338" t="s">
        <v>11352</v>
      </c>
      <c r="E8338" t="s">
        <v>24681</v>
      </c>
      <c r="F8338" t="s">
        <v>30052</v>
      </c>
      <c r="G8338" t="s">
        <v>30060</v>
      </c>
      <c r="H8338" t="s">
        <v>30068</v>
      </c>
      <c r="I8338" t="s">
        <v>30068</v>
      </c>
      <c r="J8338" t="s">
        <v>35299</v>
      </c>
      <c r="K8338" t="s">
        <v>39025</v>
      </c>
      <c r="M8338" t="s">
        <v>42042</v>
      </c>
      <c r="N8338" t="s">
        <v>43166</v>
      </c>
      <c r="O8338" t="s">
        <v>43167</v>
      </c>
      <c r="P8338">
        <v>0</v>
      </c>
      <c r="Q8338">
        <v>6</v>
      </c>
      <c r="R8338" t="s">
        <v>43174</v>
      </c>
      <c r="S8338" t="s">
        <v>43396</v>
      </c>
      <c r="T8338" t="s">
        <v>44774</v>
      </c>
      <c r="U8338" t="s">
        <v>46634</v>
      </c>
      <c r="W8338" t="s">
        <v>42042</v>
      </c>
      <c r="X8338" t="s">
        <v>43175</v>
      </c>
    </row>
    <row r="8339" spans="1:24">
      <c r="A8339">
        <f>HYPERLINK("https://www.philgeps.gov.ph/GEPSNONPILOT/Tender/SplashBidNoticeAbstractUI.aspx?menuIndex=3&amp;refID=7074272&amp;Result=3","7074272")</f>
        <v>0</v>
      </c>
      <c r="B8339" t="s">
        <v>1661</v>
      </c>
      <c r="C8339" t="s">
        <v>11353</v>
      </c>
      <c r="D8339" t="s">
        <v>17422</v>
      </c>
      <c r="E8339" t="s">
        <v>24682</v>
      </c>
      <c r="F8339" t="s">
        <v>30052</v>
      </c>
      <c r="G8339" t="s">
        <v>30059</v>
      </c>
      <c r="H8339" t="s">
        <v>15498</v>
      </c>
      <c r="I8339" t="s">
        <v>30109</v>
      </c>
      <c r="J8339" t="s">
        <v>35300</v>
      </c>
      <c r="K8339" t="s">
        <v>39025</v>
      </c>
      <c r="M8339" t="s">
        <v>41992</v>
      </c>
      <c r="N8339" t="s">
        <v>43166</v>
      </c>
      <c r="O8339" t="s">
        <v>43167</v>
      </c>
      <c r="P8339">
        <v>0</v>
      </c>
      <c r="Q8339">
        <v>0</v>
      </c>
      <c r="R8339" t="s">
        <v>43174</v>
      </c>
      <c r="S8339" t="s">
        <v>43396</v>
      </c>
      <c r="T8339" t="s">
        <v>44698</v>
      </c>
      <c r="U8339" t="s">
        <v>51774</v>
      </c>
      <c r="W8339" t="s">
        <v>41992</v>
      </c>
      <c r="X8339" t="s">
        <v>43175</v>
      </c>
    </row>
    <row r="8340" spans="1:24">
      <c r="A8340">
        <f>HYPERLINK("https://www.philgeps.gov.ph/GEPSNONPILOT/Tender/SplashBidNoticeAbstractUI.aspx?menuIndex=3&amp;refID=7074256&amp;Result=3","7074256")</f>
        <v>0</v>
      </c>
      <c r="B8340" t="s">
        <v>1822</v>
      </c>
      <c r="C8340" t="s">
        <v>11354</v>
      </c>
      <c r="D8340" t="s">
        <v>17437</v>
      </c>
      <c r="E8340" t="s">
        <v>24683</v>
      </c>
      <c r="F8340" t="s">
        <v>30052</v>
      </c>
      <c r="G8340" t="s">
        <v>30058</v>
      </c>
      <c r="H8340" t="s">
        <v>30067</v>
      </c>
      <c r="I8340" t="s">
        <v>3693</v>
      </c>
      <c r="J8340" t="s">
        <v>35301</v>
      </c>
      <c r="K8340" t="s">
        <v>39023</v>
      </c>
      <c r="M8340" t="s">
        <v>41474</v>
      </c>
      <c r="N8340" t="s">
        <v>43166</v>
      </c>
      <c r="O8340" t="s">
        <v>43167</v>
      </c>
      <c r="P8340">
        <v>0</v>
      </c>
      <c r="Q8340">
        <v>0</v>
      </c>
      <c r="R8340" t="s">
        <v>43174</v>
      </c>
      <c r="S8340" t="s">
        <v>43396</v>
      </c>
      <c r="T8340" t="s">
        <v>44807</v>
      </c>
      <c r="U8340" t="s">
        <v>51926</v>
      </c>
      <c r="W8340" t="s">
        <v>41474</v>
      </c>
      <c r="X8340" t="s">
        <v>43175</v>
      </c>
    </row>
    <row r="8341" spans="1:24">
      <c r="A8341">
        <f>HYPERLINK("https://www.philgeps.gov.ph/GEPSNONPILOT/Tender/SplashBidNoticeAbstractUI.aspx?menuIndex=3&amp;refID=7074271&amp;Result=3","7074271")</f>
        <v>0</v>
      </c>
      <c r="B8341" t="s">
        <v>1429</v>
      </c>
      <c r="C8341" t="s">
        <v>11355</v>
      </c>
      <c r="D8341" t="s">
        <v>17432</v>
      </c>
      <c r="E8341" t="s">
        <v>24684</v>
      </c>
      <c r="F8341" t="s">
        <v>30052</v>
      </c>
      <c r="G8341" t="s">
        <v>30058</v>
      </c>
      <c r="H8341" t="s">
        <v>15498</v>
      </c>
      <c r="I8341" t="s">
        <v>30092</v>
      </c>
      <c r="J8341" t="s">
        <v>35302</v>
      </c>
      <c r="K8341" t="s">
        <v>39019</v>
      </c>
      <c r="M8341" t="s">
        <v>41845</v>
      </c>
      <c r="N8341" t="s">
        <v>43166</v>
      </c>
      <c r="O8341" t="s">
        <v>43167</v>
      </c>
      <c r="P8341">
        <v>0</v>
      </c>
      <c r="Q8341">
        <v>5</v>
      </c>
      <c r="R8341" t="s">
        <v>43174</v>
      </c>
      <c r="S8341" t="s">
        <v>43396</v>
      </c>
      <c r="T8341" t="s">
        <v>45000</v>
      </c>
      <c r="U8341" t="s">
        <v>51927</v>
      </c>
      <c r="W8341" t="s">
        <v>41845</v>
      </c>
      <c r="X8341" t="s">
        <v>43175</v>
      </c>
    </row>
    <row r="8342" spans="1:24">
      <c r="A8342">
        <f>HYPERLINK("https://www.philgeps.gov.ph/GEPSNONPILOT/Tender/SplashBidNoticeAbstractUI.aspx?menuIndex=3&amp;refID=7074263&amp;Result=3","7074263")</f>
        <v>0</v>
      </c>
      <c r="B8342" t="s">
        <v>2410</v>
      </c>
      <c r="C8342" t="s">
        <v>11356</v>
      </c>
      <c r="D8342" t="s">
        <v>17470</v>
      </c>
      <c r="E8342" t="s">
        <v>24596</v>
      </c>
      <c r="F8342" t="s">
        <v>30052</v>
      </c>
      <c r="G8342" t="s">
        <v>30058</v>
      </c>
      <c r="H8342" t="s">
        <v>15498</v>
      </c>
      <c r="I8342" t="s">
        <v>30081</v>
      </c>
      <c r="J8342" t="s">
        <v>35303</v>
      </c>
      <c r="K8342" t="s">
        <v>39029</v>
      </c>
      <c r="M8342" t="s">
        <v>41907</v>
      </c>
      <c r="N8342" t="s">
        <v>43166</v>
      </c>
      <c r="O8342" t="s">
        <v>43167</v>
      </c>
      <c r="P8342">
        <v>0</v>
      </c>
      <c r="Q8342">
        <v>1</v>
      </c>
      <c r="R8342" t="s">
        <v>43174</v>
      </c>
      <c r="S8342" t="s">
        <v>43396</v>
      </c>
      <c r="T8342" t="s">
        <v>44758</v>
      </c>
      <c r="U8342" t="s">
        <v>51851</v>
      </c>
      <c r="W8342" t="s">
        <v>41907</v>
      </c>
      <c r="X8342" t="s">
        <v>43175</v>
      </c>
    </row>
    <row r="8343" spans="1:24">
      <c r="A8343">
        <f>HYPERLINK("https://www.philgeps.gov.ph/GEPSNONPILOT/Tender/SplashBidNoticeAbstractUI.aspx?menuIndex=3&amp;refID=7074280&amp;Result=3","7074280")</f>
        <v>0</v>
      </c>
      <c r="B8343" t="s">
        <v>2309</v>
      </c>
      <c r="C8343" t="s">
        <v>11357</v>
      </c>
      <c r="D8343" t="s">
        <v>17419</v>
      </c>
      <c r="E8343" t="s">
        <v>24685</v>
      </c>
      <c r="F8343" t="s">
        <v>30052</v>
      </c>
      <c r="G8343" t="s">
        <v>30061</v>
      </c>
      <c r="H8343" t="s">
        <v>15498</v>
      </c>
      <c r="I8343" t="s">
        <v>30081</v>
      </c>
      <c r="J8343" t="s">
        <v>35304</v>
      </c>
      <c r="K8343" t="s">
        <v>39017</v>
      </c>
      <c r="M8343" t="s">
        <v>41795</v>
      </c>
      <c r="N8343" t="s">
        <v>43166</v>
      </c>
      <c r="O8343" t="s">
        <v>43167</v>
      </c>
      <c r="P8343">
        <v>0</v>
      </c>
      <c r="Q8343">
        <v>0</v>
      </c>
      <c r="R8343" t="s">
        <v>43174</v>
      </c>
      <c r="S8343" t="s">
        <v>43396</v>
      </c>
      <c r="T8343" t="s">
        <v>44717</v>
      </c>
      <c r="U8343" t="s">
        <v>51928</v>
      </c>
      <c r="W8343" t="s">
        <v>41795</v>
      </c>
      <c r="X8343" t="s">
        <v>43175</v>
      </c>
    </row>
    <row r="8344" spans="1:24">
      <c r="A8344">
        <f>HYPERLINK("https://www.philgeps.gov.ph/GEPSNONPILOT/Tender/SplashBidNoticeAbstractUI.aspx?menuIndex=3&amp;refID=7074268&amp;Result=3","7074268")</f>
        <v>0</v>
      </c>
      <c r="B8344" t="s">
        <v>1028</v>
      </c>
      <c r="C8344" t="s">
        <v>11358</v>
      </c>
      <c r="D8344" t="s">
        <v>17475</v>
      </c>
      <c r="E8344" t="s">
        <v>24686</v>
      </c>
      <c r="F8344" t="s">
        <v>30052</v>
      </c>
      <c r="G8344" t="s">
        <v>30059</v>
      </c>
      <c r="H8344" t="s">
        <v>15498</v>
      </c>
      <c r="I8344" t="s">
        <v>6691</v>
      </c>
      <c r="J8344" t="s">
        <v>35282</v>
      </c>
      <c r="K8344" t="s">
        <v>39035</v>
      </c>
      <c r="M8344" t="s">
        <v>40357</v>
      </c>
      <c r="N8344" t="s">
        <v>43166</v>
      </c>
      <c r="O8344" t="s">
        <v>43167</v>
      </c>
      <c r="P8344">
        <v>0</v>
      </c>
      <c r="Q8344">
        <v>0</v>
      </c>
      <c r="R8344" t="s">
        <v>43174</v>
      </c>
      <c r="S8344" t="s">
        <v>43396</v>
      </c>
      <c r="T8344" t="s">
        <v>44837</v>
      </c>
      <c r="U8344" t="s">
        <v>47341</v>
      </c>
      <c r="W8344" t="s">
        <v>40357</v>
      </c>
      <c r="X8344" t="s">
        <v>43175</v>
      </c>
    </row>
    <row r="8345" spans="1:24">
      <c r="A8345">
        <f>HYPERLINK("https://www.philgeps.gov.ph/GEPSNONPILOT/Tender/SplashBidNoticeAbstractUI.aspx?menuIndex=3&amp;refID=7074306&amp;Result=3","7074306")</f>
        <v>0</v>
      </c>
      <c r="B8345" t="s">
        <v>2536</v>
      </c>
      <c r="C8345" t="s">
        <v>11359</v>
      </c>
      <c r="D8345" t="s">
        <v>17421</v>
      </c>
      <c r="E8345" t="s">
        <v>24687</v>
      </c>
      <c r="F8345" t="s">
        <v>30052</v>
      </c>
      <c r="G8345" t="s">
        <v>30058</v>
      </c>
      <c r="H8345" t="s">
        <v>30067</v>
      </c>
      <c r="I8345" t="s">
        <v>3736</v>
      </c>
      <c r="J8345" t="s">
        <v>35305</v>
      </c>
      <c r="K8345" t="s">
        <v>39025</v>
      </c>
      <c r="M8345" t="s">
        <v>42043</v>
      </c>
      <c r="N8345" t="s">
        <v>43166</v>
      </c>
      <c r="O8345" t="s">
        <v>43167</v>
      </c>
      <c r="P8345">
        <v>0</v>
      </c>
      <c r="Q8345">
        <v>0</v>
      </c>
      <c r="R8345" t="s">
        <v>43174</v>
      </c>
      <c r="S8345" t="s">
        <v>43396</v>
      </c>
      <c r="T8345" t="s">
        <v>44777</v>
      </c>
      <c r="U8345" t="s">
        <v>51929</v>
      </c>
      <c r="W8345" t="s">
        <v>42043</v>
      </c>
      <c r="X8345" t="s">
        <v>43175</v>
      </c>
    </row>
    <row r="8346" spans="1:24">
      <c r="A8346">
        <f>HYPERLINK("https://www.philgeps.gov.ph/GEPSNONPILOT/Tender/SplashBidNoticeAbstractUI.aspx?menuIndex=3&amp;refID=7074281&amp;Result=3","7074281")</f>
        <v>0</v>
      </c>
      <c r="B8346" t="s">
        <v>2537</v>
      </c>
      <c r="C8346" t="s">
        <v>11360</v>
      </c>
      <c r="D8346" t="s">
        <v>17448</v>
      </c>
      <c r="E8346" t="s">
        <v>24688</v>
      </c>
      <c r="F8346" t="s">
        <v>30052</v>
      </c>
      <c r="G8346" t="s">
        <v>30061</v>
      </c>
      <c r="H8346" t="s">
        <v>15498</v>
      </c>
      <c r="I8346" t="s">
        <v>30084</v>
      </c>
      <c r="J8346" t="s">
        <v>30379</v>
      </c>
      <c r="K8346" t="s">
        <v>39019</v>
      </c>
      <c r="M8346" t="s">
        <v>42044</v>
      </c>
      <c r="N8346" t="s">
        <v>43166</v>
      </c>
      <c r="O8346" t="s">
        <v>43167</v>
      </c>
      <c r="P8346">
        <v>0</v>
      </c>
      <c r="Q8346">
        <v>0</v>
      </c>
      <c r="R8346" t="s">
        <v>43174</v>
      </c>
      <c r="S8346" t="s">
        <v>43396</v>
      </c>
      <c r="T8346" t="s">
        <v>44777</v>
      </c>
      <c r="U8346" t="s">
        <v>51930</v>
      </c>
      <c r="W8346" t="s">
        <v>42044</v>
      </c>
      <c r="X8346" t="s">
        <v>43175</v>
      </c>
    </row>
    <row r="8347" spans="1:24">
      <c r="A8347">
        <f>HYPERLINK("https://www.philgeps.gov.ph/GEPSNONPILOT/Tender/SplashBidNoticeAbstractUI.aspx?menuIndex=3&amp;refID=7074253&amp;Result=3","7074253")</f>
        <v>0</v>
      </c>
      <c r="B8347" t="s">
        <v>1608</v>
      </c>
      <c r="C8347" t="s">
        <v>11361</v>
      </c>
      <c r="D8347" t="s">
        <v>17415</v>
      </c>
      <c r="E8347" t="s">
        <v>24689</v>
      </c>
      <c r="F8347" t="s">
        <v>30052</v>
      </c>
      <c r="G8347" t="s">
        <v>30058</v>
      </c>
      <c r="H8347" t="s">
        <v>15498</v>
      </c>
      <c r="I8347" t="s">
        <v>30070</v>
      </c>
      <c r="J8347" t="s">
        <v>35306</v>
      </c>
      <c r="K8347" t="s">
        <v>39019</v>
      </c>
      <c r="M8347" t="s">
        <v>42018</v>
      </c>
      <c r="N8347" t="s">
        <v>43166</v>
      </c>
      <c r="O8347" t="s">
        <v>43167</v>
      </c>
      <c r="P8347">
        <v>0</v>
      </c>
      <c r="Q8347">
        <v>1</v>
      </c>
      <c r="R8347" t="s">
        <v>43174</v>
      </c>
      <c r="S8347" t="s">
        <v>43396</v>
      </c>
      <c r="T8347" t="s">
        <v>44844</v>
      </c>
      <c r="U8347" t="s">
        <v>45217</v>
      </c>
      <c r="W8347" t="s">
        <v>42018</v>
      </c>
      <c r="X8347" t="s">
        <v>43175</v>
      </c>
    </row>
    <row r="8348" spans="1:24">
      <c r="A8348">
        <f>HYPERLINK("https://www.philgeps.gov.ph/GEPSNONPILOT/Tender/SplashBidNoticeAbstractUI.aspx?menuIndex=3&amp;refID=7074279&amp;Result=3","7074279")</f>
        <v>0</v>
      </c>
      <c r="B8348" t="s">
        <v>2263</v>
      </c>
      <c r="C8348" t="s">
        <v>11362</v>
      </c>
      <c r="D8348" t="s">
        <v>17423</v>
      </c>
      <c r="E8348" t="s">
        <v>24690</v>
      </c>
      <c r="F8348" t="s">
        <v>30052</v>
      </c>
      <c r="G8348" t="s">
        <v>30058</v>
      </c>
      <c r="H8348" t="s">
        <v>30067</v>
      </c>
      <c r="I8348" t="s">
        <v>3693</v>
      </c>
      <c r="J8348" t="s">
        <v>33313</v>
      </c>
      <c r="K8348" t="s">
        <v>39057</v>
      </c>
      <c r="M8348" t="s">
        <v>41741</v>
      </c>
      <c r="N8348" t="s">
        <v>43166</v>
      </c>
      <c r="O8348" t="s">
        <v>43167</v>
      </c>
      <c r="P8348">
        <v>0</v>
      </c>
      <c r="Q8348">
        <v>0</v>
      </c>
      <c r="R8348" t="s">
        <v>43174</v>
      </c>
      <c r="S8348" t="s">
        <v>43396</v>
      </c>
      <c r="T8348" t="s">
        <v>44780</v>
      </c>
      <c r="U8348" t="s">
        <v>51931</v>
      </c>
      <c r="W8348" t="s">
        <v>41741</v>
      </c>
      <c r="X8348" t="s">
        <v>43175</v>
      </c>
    </row>
    <row r="8349" spans="1:24">
      <c r="A8349">
        <f>HYPERLINK("https://www.philgeps.gov.ph/GEPSNONPILOT/Tender/SplashBidNoticeAbstractUI.aspx?menuIndex=3&amp;refID=7074317&amp;Result=3","7074317")</f>
        <v>0</v>
      </c>
      <c r="B8349" t="s">
        <v>2263</v>
      </c>
      <c r="C8349" t="s">
        <v>11363</v>
      </c>
      <c r="D8349" t="s">
        <v>17423</v>
      </c>
      <c r="E8349" t="s">
        <v>24691</v>
      </c>
      <c r="F8349" t="s">
        <v>30052</v>
      </c>
      <c r="G8349" t="s">
        <v>30058</v>
      </c>
      <c r="H8349" t="s">
        <v>15498</v>
      </c>
      <c r="I8349" t="s">
        <v>3736</v>
      </c>
      <c r="J8349" t="s">
        <v>35307</v>
      </c>
      <c r="K8349" t="s">
        <v>39037</v>
      </c>
      <c r="M8349" t="s">
        <v>41741</v>
      </c>
      <c r="N8349" t="s">
        <v>43166</v>
      </c>
      <c r="O8349" t="s">
        <v>43167</v>
      </c>
      <c r="P8349">
        <v>0</v>
      </c>
      <c r="Q8349">
        <v>0</v>
      </c>
      <c r="R8349" t="s">
        <v>43174</v>
      </c>
      <c r="S8349" t="s">
        <v>43396</v>
      </c>
      <c r="T8349" t="s">
        <v>44780</v>
      </c>
      <c r="U8349" t="s">
        <v>51932</v>
      </c>
      <c r="W8349" t="s">
        <v>41741</v>
      </c>
      <c r="X8349" t="s">
        <v>43175</v>
      </c>
    </row>
    <row r="8350" spans="1:24">
      <c r="A8350">
        <f>HYPERLINK("https://www.philgeps.gov.ph/GEPSNONPILOT/Tender/SplashBidNoticeAbstractUI.aspx?menuIndex=3&amp;refID=7074316&amp;Result=3","7074316")</f>
        <v>0</v>
      </c>
      <c r="B8350" t="s">
        <v>2538</v>
      </c>
      <c r="C8350" t="s">
        <v>11364</v>
      </c>
      <c r="D8350" t="s">
        <v>17494</v>
      </c>
      <c r="E8350" t="s">
        <v>24692</v>
      </c>
      <c r="F8350" t="s">
        <v>30052</v>
      </c>
      <c r="G8350" t="s">
        <v>30058</v>
      </c>
      <c r="H8350" t="s">
        <v>15498</v>
      </c>
      <c r="I8350" t="s">
        <v>3736</v>
      </c>
      <c r="J8350" t="s">
        <v>35308</v>
      </c>
      <c r="K8350" t="s">
        <v>39029</v>
      </c>
      <c r="M8350" t="s">
        <v>42045</v>
      </c>
      <c r="N8350" t="s">
        <v>43166</v>
      </c>
      <c r="O8350" t="s">
        <v>43167</v>
      </c>
      <c r="P8350">
        <v>0</v>
      </c>
      <c r="Q8350">
        <v>0</v>
      </c>
      <c r="R8350" t="s">
        <v>43174</v>
      </c>
      <c r="S8350" t="s">
        <v>43396</v>
      </c>
      <c r="T8350" t="s">
        <v>44758</v>
      </c>
      <c r="U8350" t="s">
        <v>51933</v>
      </c>
      <c r="V8350" t="s">
        <v>57708</v>
      </c>
      <c r="W8350" t="s">
        <v>42045</v>
      </c>
      <c r="X8350" t="s">
        <v>43175</v>
      </c>
    </row>
    <row r="8351" spans="1:24">
      <c r="A8351">
        <f>HYPERLINK("https://www.philgeps.gov.ph/GEPSNONPILOT/Tender/SplashBidNoticeAbstractUI.aspx?menuIndex=3&amp;refID=7074314&amp;Result=3","7074314")</f>
        <v>0</v>
      </c>
      <c r="B8351" t="s">
        <v>2309</v>
      </c>
      <c r="C8351" t="s">
        <v>11365</v>
      </c>
      <c r="D8351" t="s">
        <v>17419</v>
      </c>
      <c r="E8351" t="s">
        <v>24693</v>
      </c>
      <c r="F8351" t="s">
        <v>30052</v>
      </c>
      <c r="G8351" t="s">
        <v>30061</v>
      </c>
      <c r="H8351" t="s">
        <v>15498</v>
      </c>
      <c r="I8351" t="s">
        <v>4650</v>
      </c>
      <c r="J8351" t="s">
        <v>30895</v>
      </c>
      <c r="K8351" t="s">
        <v>39017</v>
      </c>
      <c r="M8351" t="s">
        <v>41795</v>
      </c>
      <c r="N8351" t="s">
        <v>43166</v>
      </c>
      <c r="O8351" t="s">
        <v>43167</v>
      </c>
      <c r="P8351">
        <v>0</v>
      </c>
      <c r="Q8351">
        <v>0</v>
      </c>
      <c r="R8351" t="s">
        <v>43174</v>
      </c>
      <c r="S8351" t="s">
        <v>43396</v>
      </c>
      <c r="T8351" t="s">
        <v>44717</v>
      </c>
      <c r="U8351" t="s">
        <v>51934</v>
      </c>
      <c r="W8351" t="s">
        <v>41795</v>
      </c>
      <c r="X8351" t="s">
        <v>43175</v>
      </c>
    </row>
    <row r="8352" spans="1:24">
      <c r="A8352">
        <f>HYPERLINK("https://www.philgeps.gov.ph/GEPSNONPILOT/Tender/SplashBidNoticeAbstractUI.aspx?menuIndex=3&amp;refID=7074307&amp;Result=3","7074307")</f>
        <v>0</v>
      </c>
      <c r="B8352" t="s">
        <v>2429</v>
      </c>
      <c r="C8352" t="s">
        <v>11366</v>
      </c>
      <c r="D8352" t="s">
        <v>17454</v>
      </c>
      <c r="E8352" t="s">
        <v>24694</v>
      </c>
      <c r="F8352" t="s">
        <v>30052</v>
      </c>
      <c r="G8352" t="s">
        <v>30058</v>
      </c>
      <c r="H8352" t="s">
        <v>15498</v>
      </c>
      <c r="I8352" t="s">
        <v>4650</v>
      </c>
      <c r="J8352" t="s">
        <v>30402</v>
      </c>
      <c r="K8352" t="s">
        <v>39025</v>
      </c>
      <c r="M8352" t="s">
        <v>41926</v>
      </c>
      <c r="N8352" t="s">
        <v>43166</v>
      </c>
      <c r="O8352" t="s">
        <v>43167</v>
      </c>
      <c r="P8352">
        <v>0</v>
      </c>
      <c r="Q8352">
        <v>2</v>
      </c>
      <c r="R8352" t="s">
        <v>43174</v>
      </c>
      <c r="S8352" t="s">
        <v>43396</v>
      </c>
      <c r="T8352" t="s">
        <v>44870</v>
      </c>
      <c r="U8352" t="s">
        <v>51935</v>
      </c>
      <c r="W8352" t="s">
        <v>41926</v>
      </c>
      <c r="X8352" t="s">
        <v>43175</v>
      </c>
    </row>
    <row r="8353" spans="1:24">
      <c r="A8353">
        <f>HYPERLINK("https://www.philgeps.gov.ph/GEPSNONPILOT/Tender/SplashBidNoticeAbstractUI.aspx?menuIndex=3&amp;refID=7074301&amp;Result=3","7074301")</f>
        <v>0</v>
      </c>
      <c r="B8353" t="s">
        <v>2539</v>
      </c>
      <c r="C8353" t="s">
        <v>11367</v>
      </c>
      <c r="D8353" t="s">
        <v>17422</v>
      </c>
      <c r="E8353" t="s">
        <v>24695</v>
      </c>
      <c r="F8353" t="s">
        <v>30052</v>
      </c>
      <c r="G8353" t="s">
        <v>30058</v>
      </c>
      <c r="H8353" t="s">
        <v>15498</v>
      </c>
      <c r="I8353" t="s">
        <v>3736</v>
      </c>
      <c r="J8353" t="s">
        <v>35309</v>
      </c>
      <c r="K8353" t="s">
        <v>39019</v>
      </c>
      <c r="M8353" t="s">
        <v>42046</v>
      </c>
      <c r="N8353" t="s">
        <v>43166</v>
      </c>
      <c r="O8353" t="s">
        <v>43167</v>
      </c>
      <c r="P8353">
        <v>0</v>
      </c>
      <c r="Q8353">
        <v>0</v>
      </c>
      <c r="R8353" t="s">
        <v>43174</v>
      </c>
      <c r="S8353" t="s">
        <v>43396</v>
      </c>
      <c r="T8353" t="s">
        <v>44830</v>
      </c>
      <c r="U8353" t="s">
        <v>51936</v>
      </c>
      <c r="V8353" t="s">
        <v>57709</v>
      </c>
      <c r="W8353" t="s">
        <v>42046</v>
      </c>
      <c r="X8353" t="s">
        <v>43175</v>
      </c>
    </row>
    <row r="8354" spans="1:24">
      <c r="A8354">
        <f>HYPERLINK("https://www.philgeps.gov.ph/GEPSNONPILOT/Tender/SplashBidNoticeAbstractUI.aspx?menuIndex=3&amp;refID=7074318&amp;Result=3","7074318")</f>
        <v>0</v>
      </c>
      <c r="B8354" t="s">
        <v>2540</v>
      </c>
      <c r="C8354" t="s">
        <v>11368</v>
      </c>
      <c r="D8354" t="s">
        <v>17445</v>
      </c>
      <c r="E8354" t="s">
        <v>24696</v>
      </c>
      <c r="F8354" t="s">
        <v>30052</v>
      </c>
      <c r="G8354" t="s">
        <v>30058</v>
      </c>
      <c r="H8354" t="s">
        <v>30069</v>
      </c>
      <c r="I8354" t="s">
        <v>30074</v>
      </c>
      <c r="J8354" t="s">
        <v>30555</v>
      </c>
      <c r="K8354" t="s">
        <v>39029</v>
      </c>
      <c r="M8354" t="s">
        <v>42047</v>
      </c>
      <c r="N8354" t="s">
        <v>43166</v>
      </c>
      <c r="O8354" t="s">
        <v>43167</v>
      </c>
      <c r="P8354">
        <v>0</v>
      </c>
      <c r="Q8354">
        <v>3</v>
      </c>
      <c r="R8354" t="s">
        <v>43174</v>
      </c>
      <c r="S8354" t="s">
        <v>43396</v>
      </c>
      <c r="T8354" t="s">
        <v>44730</v>
      </c>
      <c r="U8354" t="s">
        <v>51937</v>
      </c>
      <c r="W8354" t="s">
        <v>42047</v>
      </c>
      <c r="X8354" t="s">
        <v>43175</v>
      </c>
    </row>
    <row r="8355" spans="1:24">
      <c r="A8355">
        <f>HYPERLINK("https://www.philgeps.gov.ph/GEPSNONPILOT/Tender/SplashBidNoticeAbstractUI.aspx?menuIndex=3&amp;refID=7074304&amp;Result=3","7074304")</f>
        <v>0</v>
      </c>
      <c r="B8355" t="s">
        <v>2541</v>
      </c>
      <c r="C8355" t="s">
        <v>11369</v>
      </c>
      <c r="D8355" t="s">
        <v>17458</v>
      </c>
      <c r="E8355" t="s">
        <v>24697</v>
      </c>
      <c r="F8355" t="s">
        <v>30052</v>
      </c>
      <c r="G8355" t="s">
        <v>30058</v>
      </c>
      <c r="H8355" t="s">
        <v>15498</v>
      </c>
      <c r="I8355" t="s">
        <v>30074</v>
      </c>
      <c r="J8355" t="s">
        <v>35310</v>
      </c>
      <c r="K8355" t="s">
        <v>39046</v>
      </c>
      <c r="M8355" t="s">
        <v>42048</v>
      </c>
      <c r="N8355" t="s">
        <v>43166</v>
      </c>
      <c r="O8355" t="s">
        <v>43167</v>
      </c>
      <c r="P8355">
        <v>0</v>
      </c>
      <c r="Q8355">
        <v>1</v>
      </c>
      <c r="R8355" t="s">
        <v>43174</v>
      </c>
      <c r="S8355" t="s">
        <v>43396</v>
      </c>
      <c r="T8355" t="s">
        <v>44717</v>
      </c>
      <c r="U8355" t="s">
        <v>51938</v>
      </c>
      <c r="W8355" t="s">
        <v>42048</v>
      </c>
      <c r="X8355" t="s">
        <v>43175</v>
      </c>
    </row>
    <row r="8356" spans="1:24">
      <c r="A8356">
        <f>HYPERLINK("https://www.philgeps.gov.ph/GEPSNONPILOT/Tender/SplashBidNoticeAbstractUI.aspx?menuIndex=3&amp;refID=7074296&amp;Result=3","7074296")</f>
        <v>0</v>
      </c>
      <c r="B8356" t="s">
        <v>2289</v>
      </c>
      <c r="C8356" t="s">
        <v>11370</v>
      </c>
      <c r="D8356" t="s">
        <v>17474</v>
      </c>
      <c r="E8356" t="s">
        <v>24698</v>
      </c>
      <c r="F8356" t="s">
        <v>30055</v>
      </c>
      <c r="G8356" t="s">
        <v>30058</v>
      </c>
      <c r="H8356" t="s">
        <v>30067</v>
      </c>
      <c r="I8356" t="s">
        <v>3693</v>
      </c>
      <c r="J8356" t="s">
        <v>30321</v>
      </c>
      <c r="K8356" t="s">
        <v>39026</v>
      </c>
      <c r="M8356" t="s">
        <v>41772</v>
      </c>
      <c r="N8356" t="s">
        <v>43166</v>
      </c>
      <c r="O8356" t="s">
        <v>43167</v>
      </c>
      <c r="P8356">
        <v>0</v>
      </c>
      <c r="Q8356">
        <v>2</v>
      </c>
      <c r="R8356" t="s">
        <v>43174</v>
      </c>
      <c r="S8356" t="s">
        <v>43396</v>
      </c>
      <c r="T8356" t="s">
        <v>44794</v>
      </c>
      <c r="U8356" t="s">
        <v>51939</v>
      </c>
      <c r="V8356" t="s">
        <v>57710</v>
      </c>
      <c r="W8356" t="s">
        <v>41772</v>
      </c>
      <c r="X8356" t="s">
        <v>43175</v>
      </c>
    </row>
    <row r="8357" spans="1:24">
      <c r="A8357">
        <f>HYPERLINK("https://www.philgeps.gov.ph/GEPSNONPILOT/Tender/SplashBidNoticeAbstractUI.aspx?menuIndex=3&amp;refID=7074303&amp;Result=3","7074303")</f>
        <v>0</v>
      </c>
      <c r="B8357" t="s">
        <v>2542</v>
      </c>
      <c r="C8357" t="s">
        <v>11371</v>
      </c>
      <c r="D8357" t="s">
        <v>17449</v>
      </c>
      <c r="E8357" t="s">
        <v>24699</v>
      </c>
      <c r="F8357" t="s">
        <v>30052</v>
      </c>
      <c r="G8357" t="s">
        <v>30058</v>
      </c>
      <c r="H8357" t="s">
        <v>15498</v>
      </c>
      <c r="I8357" t="s">
        <v>3736</v>
      </c>
      <c r="J8357" t="s">
        <v>30277</v>
      </c>
      <c r="K8357" t="s">
        <v>39019</v>
      </c>
      <c r="M8357" t="s">
        <v>42049</v>
      </c>
      <c r="N8357" t="s">
        <v>43166</v>
      </c>
      <c r="O8357" t="s">
        <v>43167</v>
      </c>
      <c r="P8357">
        <v>0</v>
      </c>
      <c r="Q8357">
        <v>1</v>
      </c>
      <c r="R8357" t="s">
        <v>43174</v>
      </c>
      <c r="S8357" t="s">
        <v>43396</v>
      </c>
      <c r="T8357" t="s">
        <v>44734</v>
      </c>
      <c r="U8357" t="s">
        <v>51940</v>
      </c>
      <c r="W8357" t="s">
        <v>42049</v>
      </c>
      <c r="X8357" t="s">
        <v>43175</v>
      </c>
    </row>
    <row r="8358" spans="1:24">
      <c r="A8358">
        <f>HYPERLINK("https://www.philgeps.gov.ph/GEPSNONPILOT/Tender/SplashBidNoticeAbstractUI.aspx?menuIndex=3&amp;refID=7074302&amp;Result=3","7074302")</f>
        <v>0</v>
      </c>
      <c r="B8358" t="s">
        <v>1028</v>
      </c>
      <c r="C8358" t="s">
        <v>11372</v>
      </c>
      <c r="D8358" t="s">
        <v>17475</v>
      </c>
      <c r="E8358" t="s">
        <v>24700</v>
      </c>
      <c r="F8358" t="s">
        <v>30052</v>
      </c>
      <c r="G8358" t="s">
        <v>30059</v>
      </c>
      <c r="H8358" t="s">
        <v>15498</v>
      </c>
      <c r="I8358" t="s">
        <v>6691</v>
      </c>
      <c r="J8358" t="s">
        <v>30857</v>
      </c>
      <c r="K8358" t="s">
        <v>39035</v>
      </c>
      <c r="M8358" t="s">
        <v>40357</v>
      </c>
      <c r="N8358" t="s">
        <v>43166</v>
      </c>
      <c r="O8358" t="s">
        <v>43167</v>
      </c>
      <c r="P8358">
        <v>0</v>
      </c>
      <c r="Q8358">
        <v>0</v>
      </c>
      <c r="R8358" t="s">
        <v>43174</v>
      </c>
      <c r="S8358" t="s">
        <v>43396</v>
      </c>
      <c r="T8358" t="s">
        <v>44837</v>
      </c>
      <c r="U8358" t="s">
        <v>47341</v>
      </c>
      <c r="W8358" t="s">
        <v>40357</v>
      </c>
      <c r="X8358" t="s">
        <v>43175</v>
      </c>
    </row>
    <row r="8359" spans="1:24">
      <c r="A8359">
        <f>HYPERLINK("https://www.philgeps.gov.ph/GEPSNONPILOT/Tender/SplashBidNoticeAbstractUI.aspx?menuIndex=3&amp;refID=7074292&amp;Result=3","7074292")</f>
        <v>0</v>
      </c>
      <c r="B8359" t="s">
        <v>2543</v>
      </c>
      <c r="C8359" t="s">
        <v>11373</v>
      </c>
      <c r="D8359" t="s">
        <v>17480</v>
      </c>
      <c r="E8359" t="s">
        <v>24701</v>
      </c>
      <c r="F8359" t="s">
        <v>30052</v>
      </c>
      <c r="G8359" t="s">
        <v>30058</v>
      </c>
      <c r="H8359" t="s">
        <v>15498</v>
      </c>
      <c r="I8359" t="s">
        <v>30169</v>
      </c>
      <c r="J8359" t="s">
        <v>35311</v>
      </c>
      <c r="K8359" t="s">
        <v>39031</v>
      </c>
      <c r="M8359" t="s">
        <v>42050</v>
      </c>
      <c r="N8359" t="s">
        <v>43166</v>
      </c>
      <c r="O8359" t="s">
        <v>43167</v>
      </c>
      <c r="Q8359">
        <v>2</v>
      </c>
      <c r="R8359" t="s">
        <v>43174</v>
      </c>
      <c r="S8359" t="s">
        <v>43421</v>
      </c>
      <c r="T8359" t="s">
        <v>44789</v>
      </c>
      <c r="U8359" t="s">
        <v>51941</v>
      </c>
      <c r="W8359" t="s">
        <v>42050</v>
      </c>
      <c r="X8359" t="s">
        <v>43175</v>
      </c>
    </row>
    <row r="8360" spans="1:24">
      <c r="A8360">
        <f>HYPERLINK("https://www.philgeps.gov.ph/GEPSNONPILOT/Tender/SplashBidNoticeAbstractUI.aspx?menuIndex=3&amp;refID=7074289&amp;Result=3","7074289")</f>
        <v>0</v>
      </c>
      <c r="B8360" t="s">
        <v>1840</v>
      </c>
      <c r="C8360" t="s">
        <v>11374</v>
      </c>
      <c r="D8360" t="s">
        <v>17449</v>
      </c>
      <c r="E8360" t="s">
        <v>24702</v>
      </c>
      <c r="F8360" t="s">
        <v>30052</v>
      </c>
      <c r="G8360" t="s">
        <v>30058</v>
      </c>
      <c r="H8360" t="s">
        <v>30067</v>
      </c>
      <c r="I8360" t="s">
        <v>3693</v>
      </c>
      <c r="J8360" t="s">
        <v>35312</v>
      </c>
      <c r="K8360" t="s">
        <v>39031</v>
      </c>
      <c r="M8360" t="s">
        <v>41929</v>
      </c>
      <c r="N8360" t="s">
        <v>43166</v>
      </c>
      <c r="O8360" t="s">
        <v>43167</v>
      </c>
      <c r="P8360">
        <v>0</v>
      </c>
      <c r="Q8360">
        <v>2</v>
      </c>
      <c r="R8360" t="s">
        <v>43174</v>
      </c>
      <c r="S8360" t="s">
        <v>43396</v>
      </c>
      <c r="T8360" t="s">
        <v>44705</v>
      </c>
      <c r="U8360" t="s">
        <v>51942</v>
      </c>
      <c r="V8360" t="s">
        <v>57663</v>
      </c>
      <c r="W8360" t="s">
        <v>41929</v>
      </c>
      <c r="X8360" t="s">
        <v>43175</v>
      </c>
    </row>
    <row r="8361" spans="1:24">
      <c r="A8361">
        <f>HYPERLINK("https://www.philgeps.gov.ph/GEPSNONPILOT/Tender/SplashBidNoticeAbstractUI.aspx?menuIndex=3&amp;refID=7074320&amp;Result=3","7074320")</f>
        <v>0</v>
      </c>
      <c r="B8361" t="s">
        <v>1028</v>
      </c>
      <c r="C8361" t="s">
        <v>11375</v>
      </c>
      <c r="D8361" t="s">
        <v>17475</v>
      </c>
      <c r="E8361" t="s">
        <v>24703</v>
      </c>
      <c r="F8361" t="s">
        <v>30052</v>
      </c>
      <c r="G8361" t="s">
        <v>30059</v>
      </c>
      <c r="H8361" t="s">
        <v>15498</v>
      </c>
      <c r="I8361" t="s">
        <v>6691</v>
      </c>
      <c r="J8361" t="s">
        <v>35313</v>
      </c>
      <c r="K8361" t="s">
        <v>39035</v>
      </c>
      <c r="M8361" t="s">
        <v>40357</v>
      </c>
      <c r="N8361" t="s">
        <v>43166</v>
      </c>
      <c r="O8361" t="s">
        <v>43167</v>
      </c>
      <c r="P8361">
        <v>0</v>
      </c>
      <c r="Q8361">
        <v>3</v>
      </c>
      <c r="R8361" t="s">
        <v>43174</v>
      </c>
      <c r="S8361" t="s">
        <v>43396</v>
      </c>
      <c r="T8361" t="s">
        <v>44837</v>
      </c>
      <c r="U8361" t="s">
        <v>47341</v>
      </c>
      <c r="W8361" t="s">
        <v>40357</v>
      </c>
      <c r="X8361" t="s">
        <v>43175</v>
      </c>
    </row>
    <row r="8362" spans="1:24">
      <c r="A8362">
        <f>HYPERLINK("https://www.philgeps.gov.ph/GEPSNONPILOT/Tender/SplashBidNoticeAbstractUI.aspx?menuIndex=3&amp;refID=7074352&amp;Result=3","7074352")</f>
        <v>0</v>
      </c>
      <c r="B8362" t="s">
        <v>2544</v>
      </c>
      <c r="C8362" t="s">
        <v>11376</v>
      </c>
      <c r="D8362" t="s">
        <v>17444</v>
      </c>
      <c r="E8362" t="s">
        <v>24704</v>
      </c>
      <c r="F8362" t="s">
        <v>30052</v>
      </c>
      <c r="G8362" t="s">
        <v>30058</v>
      </c>
      <c r="H8362" t="s">
        <v>15498</v>
      </c>
      <c r="I8362" t="s">
        <v>4650</v>
      </c>
      <c r="J8362" t="s">
        <v>30397</v>
      </c>
      <c r="K8362" t="s">
        <v>39029</v>
      </c>
      <c r="M8362" t="s">
        <v>42051</v>
      </c>
      <c r="N8362" t="s">
        <v>43166</v>
      </c>
      <c r="O8362" t="s">
        <v>43167</v>
      </c>
      <c r="P8362">
        <v>0</v>
      </c>
      <c r="Q8362">
        <v>1</v>
      </c>
      <c r="R8362" t="s">
        <v>43174</v>
      </c>
      <c r="S8362" t="s">
        <v>43396</v>
      </c>
      <c r="T8362" t="s">
        <v>45094</v>
      </c>
      <c r="U8362" t="s">
        <v>49752</v>
      </c>
      <c r="V8362" t="s">
        <v>57711</v>
      </c>
      <c r="W8362" t="s">
        <v>42051</v>
      </c>
      <c r="X8362" t="s">
        <v>43175</v>
      </c>
    </row>
    <row r="8363" spans="1:24">
      <c r="A8363">
        <f>HYPERLINK("https://www.philgeps.gov.ph/GEPSNONPILOT/Tender/SplashBidNoticeAbstractUI.aspx?menuIndex=3&amp;refID=7074258&amp;Result=3","7074258")</f>
        <v>0</v>
      </c>
      <c r="B8363" t="s">
        <v>1608</v>
      </c>
      <c r="C8363" t="s">
        <v>11377</v>
      </c>
      <c r="D8363" t="s">
        <v>17415</v>
      </c>
      <c r="E8363" t="s">
        <v>24705</v>
      </c>
      <c r="F8363" t="s">
        <v>30052</v>
      </c>
      <c r="G8363" t="s">
        <v>30058</v>
      </c>
      <c r="H8363" t="s">
        <v>15498</v>
      </c>
      <c r="I8363" t="s">
        <v>30070</v>
      </c>
      <c r="J8363" t="s">
        <v>30230</v>
      </c>
      <c r="K8363" t="s">
        <v>39019</v>
      </c>
      <c r="M8363" t="s">
        <v>42018</v>
      </c>
      <c r="N8363" t="s">
        <v>43166</v>
      </c>
      <c r="O8363" t="s">
        <v>43167</v>
      </c>
      <c r="P8363">
        <v>0</v>
      </c>
      <c r="Q8363">
        <v>1</v>
      </c>
      <c r="R8363" t="s">
        <v>43174</v>
      </c>
      <c r="S8363" t="s">
        <v>43396</v>
      </c>
      <c r="T8363" t="s">
        <v>44844</v>
      </c>
      <c r="U8363" t="s">
        <v>45217</v>
      </c>
      <c r="W8363" t="s">
        <v>42018</v>
      </c>
      <c r="X8363" t="s">
        <v>43175</v>
      </c>
    </row>
    <row r="8364" spans="1:24">
      <c r="A8364">
        <f>HYPERLINK("https://www.philgeps.gov.ph/GEPSNONPILOT/Tender/SplashBidNoticeAbstractUI.aspx?menuIndex=3&amp;refID=7074351&amp;Result=3","7074351")</f>
        <v>0</v>
      </c>
      <c r="B8364" t="s">
        <v>2538</v>
      </c>
      <c r="C8364" t="s">
        <v>11378</v>
      </c>
      <c r="D8364" t="s">
        <v>17494</v>
      </c>
      <c r="E8364" t="s">
        <v>18877</v>
      </c>
      <c r="F8364" t="s">
        <v>30052</v>
      </c>
      <c r="G8364" t="s">
        <v>30058</v>
      </c>
      <c r="H8364" t="s">
        <v>15498</v>
      </c>
      <c r="I8364" t="s">
        <v>3736</v>
      </c>
      <c r="J8364" t="s">
        <v>35314</v>
      </c>
      <c r="K8364" t="s">
        <v>39029</v>
      </c>
      <c r="M8364" t="s">
        <v>42045</v>
      </c>
      <c r="N8364" t="s">
        <v>43166</v>
      </c>
      <c r="O8364" t="s">
        <v>43167</v>
      </c>
      <c r="P8364">
        <v>0</v>
      </c>
      <c r="Q8364">
        <v>0</v>
      </c>
      <c r="R8364" t="s">
        <v>43174</v>
      </c>
      <c r="S8364" t="s">
        <v>43396</v>
      </c>
      <c r="T8364" t="s">
        <v>44758</v>
      </c>
      <c r="U8364" t="s">
        <v>51933</v>
      </c>
      <c r="V8364" t="s">
        <v>57712</v>
      </c>
      <c r="W8364" t="s">
        <v>42045</v>
      </c>
      <c r="X8364" t="s">
        <v>43175</v>
      </c>
    </row>
    <row r="8365" spans="1:24">
      <c r="A8365">
        <f>HYPERLINK("https://www.philgeps.gov.ph/GEPSNONPILOT/Tender/SplashBidNoticeAbstractUI.aspx?menuIndex=3&amp;refID=7074348&amp;Result=3","7074348")</f>
        <v>0</v>
      </c>
      <c r="B8365" t="s">
        <v>2545</v>
      </c>
      <c r="C8365" t="s">
        <v>11379</v>
      </c>
      <c r="D8365" t="s">
        <v>17434</v>
      </c>
      <c r="E8365" t="s">
        <v>24706</v>
      </c>
      <c r="F8365" t="s">
        <v>30055</v>
      </c>
      <c r="G8365" t="s">
        <v>30061</v>
      </c>
      <c r="H8365" t="s">
        <v>15498</v>
      </c>
      <c r="I8365" t="s">
        <v>30097</v>
      </c>
      <c r="J8365" t="s">
        <v>35315</v>
      </c>
      <c r="K8365" t="s">
        <v>39018</v>
      </c>
      <c r="M8365" t="s">
        <v>42052</v>
      </c>
      <c r="N8365" t="s">
        <v>43166</v>
      </c>
      <c r="O8365" t="s">
        <v>43167</v>
      </c>
      <c r="P8365">
        <v>0</v>
      </c>
      <c r="Q8365">
        <v>17</v>
      </c>
      <c r="R8365" t="s">
        <v>43174</v>
      </c>
      <c r="S8365" t="s">
        <v>43396</v>
      </c>
      <c r="T8365" t="s">
        <v>44864</v>
      </c>
      <c r="U8365" t="s">
        <v>51943</v>
      </c>
      <c r="W8365" t="s">
        <v>42052</v>
      </c>
      <c r="X8365" t="s">
        <v>43175</v>
      </c>
    </row>
    <row r="8366" spans="1:24">
      <c r="A8366">
        <f>HYPERLINK("https://www.philgeps.gov.ph/GEPSNONPILOT/Tender/SplashBidNoticeAbstractUI.aspx?menuIndex=3&amp;refID=7074293&amp;Result=3","7074293")</f>
        <v>0</v>
      </c>
      <c r="B8366" t="s">
        <v>2538</v>
      </c>
      <c r="C8366" t="s">
        <v>11380</v>
      </c>
      <c r="D8366" t="s">
        <v>17494</v>
      </c>
      <c r="E8366" t="s">
        <v>24707</v>
      </c>
      <c r="F8366" t="s">
        <v>30052</v>
      </c>
      <c r="G8366" t="s">
        <v>30058</v>
      </c>
      <c r="H8366" t="s">
        <v>15498</v>
      </c>
      <c r="I8366" t="s">
        <v>30074</v>
      </c>
      <c r="J8366" t="s">
        <v>30557</v>
      </c>
      <c r="K8366" t="s">
        <v>39031</v>
      </c>
      <c r="M8366" t="s">
        <v>42045</v>
      </c>
      <c r="N8366" t="s">
        <v>43166</v>
      </c>
      <c r="O8366" t="s">
        <v>43167</v>
      </c>
      <c r="P8366">
        <v>0</v>
      </c>
      <c r="Q8366">
        <v>2</v>
      </c>
      <c r="R8366" t="s">
        <v>43174</v>
      </c>
      <c r="S8366" t="s">
        <v>43396</v>
      </c>
      <c r="T8366" t="s">
        <v>44758</v>
      </c>
      <c r="U8366" t="s">
        <v>51944</v>
      </c>
      <c r="V8366" t="s">
        <v>57713</v>
      </c>
      <c r="W8366" t="s">
        <v>42045</v>
      </c>
      <c r="X8366" t="s">
        <v>43175</v>
      </c>
    </row>
    <row r="8367" spans="1:24">
      <c r="A8367">
        <f>HYPERLINK("https://www.philgeps.gov.ph/GEPSNONPILOT/Tender/SplashBidNoticeAbstractUI.aspx?menuIndex=3&amp;refID=7074344&amp;Result=3","7074344")</f>
        <v>0</v>
      </c>
      <c r="B8367" t="s">
        <v>1608</v>
      </c>
      <c r="C8367" t="s">
        <v>11381</v>
      </c>
      <c r="D8367" t="s">
        <v>17415</v>
      </c>
      <c r="E8367" t="s">
        <v>24708</v>
      </c>
      <c r="F8367" t="s">
        <v>30052</v>
      </c>
      <c r="G8367" t="s">
        <v>30058</v>
      </c>
      <c r="H8367" t="s">
        <v>15498</v>
      </c>
      <c r="I8367" t="s">
        <v>30070</v>
      </c>
      <c r="J8367" t="s">
        <v>35316</v>
      </c>
      <c r="K8367" t="s">
        <v>39019</v>
      </c>
      <c r="M8367" t="s">
        <v>42018</v>
      </c>
      <c r="N8367" t="s">
        <v>43166</v>
      </c>
      <c r="O8367" t="s">
        <v>43167</v>
      </c>
      <c r="P8367">
        <v>0</v>
      </c>
      <c r="Q8367">
        <v>1</v>
      </c>
      <c r="R8367" t="s">
        <v>43174</v>
      </c>
      <c r="S8367" t="s">
        <v>43396</v>
      </c>
      <c r="T8367" t="s">
        <v>44844</v>
      </c>
      <c r="U8367" t="s">
        <v>45217</v>
      </c>
      <c r="W8367" t="s">
        <v>42018</v>
      </c>
      <c r="X8367" t="s">
        <v>43175</v>
      </c>
    </row>
    <row r="8368" spans="1:24">
      <c r="A8368">
        <f>HYPERLINK("https://www.philgeps.gov.ph/GEPSNONPILOT/Tender/SplashBidNoticeAbstractUI.aspx?menuIndex=3&amp;refID=7074342&amp;Result=3","7074342")</f>
        <v>0</v>
      </c>
      <c r="B8368" t="s">
        <v>2410</v>
      </c>
      <c r="C8368" t="s">
        <v>11382</v>
      </c>
      <c r="D8368" t="s">
        <v>17470</v>
      </c>
      <c r="E8368" t="s">
        <v>24709</v>
      </c>
      <c r="F8368" t="s">
        <v>30052</v>
      </c>
      <c r="G8368" t="s">
        <v>30058</v>
      </c>
      <c r="H8368" t="s">
        <v>30068</v>
      </c>
      <c r="I8368" t="s">
        <v>30068</v>
      </c>
      <c r="J8368" t="s">
        <v>33024</v>
      </c>
      <c r="K8368" t="s">
        <v>39029</v>
      </c>
      <c r="M8368" t="s">
        <v>41907</v>
      </c>
      <c r="N8368" t="s">
        <v>43166</v>
      </c>
      <c r="O8368" t="s">
        <v>43167</v>
      </c>
      <c r="P8368">
        <v>0</v>
      </c>
      <c r="Q8368">
        <v>6</v>
      </c>
      <c r="R8368" t="s">
        <v>43174</v>
      </c>
      <c r="S8368" t="s">
        <v>43396</v>
      </c>
      <c r="T8368" t="s">
        <v>44758</v>
      </c>
      <c r="U8368" t="s">
        <v>51945</v>
      </c>
      <c r="W8368" t="s">
        <v>41907</v>
      </c>
      <c r="X8368" t="s">
        <v>43175</v>
      </c>
    </row>
    <row r="8369" spans="1:24">
      <c r="A8369">
        <f>HYPERLINK("https://www.philgeps.gov.ph/GEPSNONPILOT/Tender/SplashBidNoticeAbstractUI.aspx?menuIndex=3&amp;refID=7074297&amp;Result=3","7074297")</f>
        <v>0</v>
      </c>
      <c r="B8369" t="s">
        <v>2263</v>
      </c>
      <c r="C8369" t="s">
        <v>11383</v>
      </c>
      <c r="D8369" t="s">
        <v>17423</v>
      </c>
      <c r="E8369" t="s">
        <v>24710</v>
      </c>
      <c r="F8369" t="s">
        <v>30052</v>
      </c>
      <c r="G8369" t="s">
        <v>30058</v>
      </c>
      <c r="H8369" t="s">
        <v>15498</v>
      </c>
      <c r="I8369" t="s">
        <v>3736</v>
      </c>
      <c r="J8369" t="s">
        <v>35317</v>
      </c>
      <c r="K8369" t="s">
        <v>39037</v>
      </c>
      <c r="M8369" t="s">
        <v>41741</v>
      </c>
      <c r="N8369" t="s">
        <v>43166</v>
      </c>
      <c r="O8369" t="s">
        <v>43167</v>
      </c>
      <c r="P8369">
        <v>0</v>
      </c>
      <c r="Q8369">
        <v>0</v>
      </c>
      <c r="R8369" t="s">
        <v>43174</v>
      </c>
      <c r="S8369" t="s">
        <v>43396</v>
      </c>
      <c r="T8369" t="s">
        <v>44780</v>
      </c>
      <c r="U8369" t="s">
        <v>51946</v>
      </c>
      <c r="W8369" t="s">
        <v>41741</v>
      </c>
      <c r="X8369" t="s">
        <v>43175</v>
      </c>
    </row>
    <row r="8370" spans="1:24">
      <c r="A8370">
        <f>HYPERLINK("https://www.philgeps.gov.ph/GEPSNONPILOT/Tender/SplashBidNoticeAbstractUI.aspx?menuIndex=3&amp;refID=7074257&amp;Result=3","7074257")</f>
        <v>0</v>
      </c>
      <c r="B8370" t="s">
        <v>1028</v>
      </c>
      <c r="C8370" t="s">
        <v>11384</v>
      </c>
      <c r="D8370" t="s">
        <v>17475</v>
      </c>
      <c r="E8370" t="s">
        <v>24711</v>
      </c>
      <c r="F8370" t="s">
        <v>30052</v>
      </c>
      <c r="G8370" t="s">
        <v>30059</v>
      </c>
      <c r="H8370" t="s">
        <v>15498</v>
      </c>
      <c r="I8370" t="s">
        <v>6691</v>
      </c>
      <c r="J8370" t="s">
        <v>31627</v>
      </c>
      <c r="K8370" t="s">
        <v>39035</v>
      </c>
      <c r="M8370" t="s">
        <v>40357</v>
      </c>
      <c r="N8370" t="s">
        <v>43166</v>
      </c>
      <c r="O8370" t="s">
        <v>43167</v>
      </c>
      <c r="P8370">
        <v>0</v>
      </c>
      <c r="Q8370">
        <v>0</v>
      </c>
      <c r="R8370" t="s">
        <v>43174</v>
      </c>
      <c r="S8370" t="s">
        <v>43396</v>
      </c>
      <c r="T8370" t="s">
        <v>44837</v>
      </c>
      <c r="U8370" t="s">
        <v>47341</v>
      </c>
      <c r="W8370" t="s">
        <v>40357</v>
      </c>
      <c r="X8370" t="s">
        <v>43175</v>
      </c>
    </row>
    <row r="8371" spans="1:24">
      <c r="A8371">
        <f>HYPERLINK("https://www.philgeps.gov.ph/GEPSNONPILOT/Tender/SplashBidNoticeAbstractUI.aspx?menuIndex=3&amp;refID=7074337&amp;Result=3","7074337")</f>
        <v>0</v>
      </c>
      <c r="B8371" t="s">
        <v>765</v>
      </c>
      <c r="C8371" t="s">
        <v>11385</v>
      </c>
      <c r="D8371" t="s">
        <v>17468</v>
      </c>
      <c r="E8371" t="s">
        <v>20909</v>
      </c>
      <c r="F8371" t="s">
        <v>30052</v>
      </c>
      <c r="G8371" t="s">
        <v>30059</v>
      </c>
      <c r="H8371" t="s">
        <v>15498</v>
      </c>
      <c r="I8371" t="s">
        <v>30100</v>
      </c>
      <c r="J8371" t="s">
        <v>35318</v>
      </c>
      <c r="K8371" t="s">
        <v>39045</v>
      </c>
      <c r="M8371" t="s">
        <v>40079</v>
      </c>
      <c r="N8371" t="s">
        <v>43166</v>
      </c>
      <c r="O8371" t="s">
        <v>43167</v>
      </c>
      <c r="P8371">
        <v>0</v>
      </c>
      <c r="Q8371">
        <v>0</v>
      </c>
      <c r="R8371" t="s">
        <v>43174</v>
      </c>
      <c r="S8371" t="s">
        <v>43396</v>
      </c>
      <c r="T8371" t="s">
        <v>44856</v>
      </c>
      <c r="U8371" t="s">
        <v>51947</v>
      </c>
      <c r="W8371" t="s">
        <v>40079</v>
      </c>
      <c r="X8371" t="s">
        <v>43175</v>
      </c>
    </row>
    <row r="8372" spans="1:24">
      <c r="A8372">
        <f>HYPERLINK("https://www.philgeps.gov.ph/GEPSNONPILOT/Tender/SplashBidNoticeAbstractUI.aspx?menuIndex=3&amp;refID=7074349&amp;Result=3","7074349")</f>
        <v>0</v>
      </c>
      <c r="B8372" t="s">
        <v>2263</v>
      </c>
      <c r="C8372" t="s">
        <v>11386</v>
      </c>
      <c r="D8372" t="s">
        <v>17423</v>
      </c>
      <c r="E8372" t="s">
        <v>24712</v>
      </c>
      <c r="F8372" t="s">
        <v>30052</v>
      </c>
      <c r="G8372" t="s">
        <v>30058</v>
      </c>
      <c r="H8372" t="s">
        <v>15498</v>
      </c>
      <c r="I8372" t="s">
        <v>3693</v>
      </c>
      <c r="J8372" t="s">
        <v>35319</v>
      </c>
      <c r="K8372" t="s">
        <v>39037</v>
      </c>
      <c r="M8372" t="s">
        <v>41741</v>
      </c>
      <c r="N8372" t="s">
        <v>43166</v>
      </c>
      <c r="O8372" t="s">
        <v>43167</v>
      </c>
      <c r="P8372">
        <v>0</v>
      </c>
      <c r="Q8372">
        <v>0</v>
      </c>
      <c r="R8372" t="s">
        <v>43174</v>
      </c>
      <c r="S8372" t="s">
        <v>43396</v>
      </c>
      <c r="T8372" t="s">
        <v>44780</v>
      </c>
      <c r="U8372" t="s">
        <v>51932</v>
      </c>
      <c r="W8372" t="s">
        <v>41741</v>
      </c>
      <c r="X8372" t="s">
        <v>43175</v>
      </c>
    </row>
    <row r="8373" spans="1:24">
      <c r="A8373">
        <f>HYPERLINK("https://www.philgeps.gov.ph/GEPSNONPILOT/Tender/SplashBidNoticeAbstractUI.aspx?menuIndex=3&amp;refID=7074334&amp;Result=3","7074334")</f>
        <v>0</v>
      </c>
      <c r="B8373" t="s">
        <v>2546</v>
      </c>
      <c r="C8373" t="s">
        <v>11387</v>
      </c>
      <c r="D8373" t="s">
        <v>17449</v>
      </c>
      <c r="E8373" t="s">
        <v>24713</v>
      </c>
      <c r="F8373" t="s">
        <v>30052</v>
      </c>
      <c r="G8373" t="s">
        <v>30058</v>
      </c>
      <c r="H8373" t="s">
        <v>30067</v>
      </c>
      <c r="I8373" t="s">
        <v>3693</v>
      </c>
      <c r="J8373" t="s">
        <v>35320</v>
      </c>
      <c r="K8373" t="s">
        <v>39022</v>
      </c>
      <c r="M8373" t="s">
        <v>42053</v>
      </c>
      <c r="N8373" t="s">
        <v>43166</v>
      </c>
      <c r="O8373" t="s">
        <v>43167</v>
      </c>
      <c r="P8373">
        <v>0</v>
      </c>
      <c r="Q8373">
        <v>3</v>
      </c>
      <c r="R8373" t="s">
        <v>43174</v>
      </c>
      <c r="S8373" t="s">
        <v>43396</v>
      </c>
      <c r="T8373" t="s">
        <v>45000</v>
      </c>
      <c r="U8373" t="s">
        <v>51948</v>
      </c>
      <c r="W8373" t="s">
        <v>42053</v>
      </c>
      <c r="X8373" t="s">
        <v>43175</v>
      </c>
    </row>
    <row r="8374" spans="1:24">
      <c r="A8374">
        <f>HYPERLINK("https://www.philgeps.gov.ph/GEPSNONPILOT/Tender/SplashBidNoticeAbstractUI.aspx?menuIndex=3&amp;refID=7074299&amp;Result=3","7074299")</f>
        <v>0</v>
      </c>
      <c r="B8374" t="s">
        <v>2262</v>
      </c>
      <c r="C8374" t="s">
        <v>10245</v>
      </c>
      <c r="D8374" t="s">
        <v>17415</v>
      </c>
      <c r="E8374" t="s">
        <v>24714</v>
      </c>
      <c r="F8374" t="s">
        <v>30052</v>
      </c>
      <c r="G8374" t="s">
        <v>30061</v>
      </c>
      <c r="H8374" t="s">
        <v>15498</v>
      </c>
      <c r="I8374" t="s">
        <v>30070</v>
      </c>
      <c r="J8374" t="s">
        <v>35321</v>
      </c>
      <c r="K8374" t="s">
        <v>39036</v>
      </c>
      <c r="M8374" t="s">
        <v>41740</v>
      </c>
      <c r="N8374" t="s">
        <v>43166</v>
      </c>
      <c r="O8374" t="s">
        <v>43167</v>
      </c>
      <c r="P8374">
        <v>0</v>
      </c>
      <c r="Q8374">
        <v>2</v>
      </c>
      <c r="R8374" t="s">
        <v>43174</v>
      </c>
      <c r="S8374" t="s">
        <v>43396</v>
      </c>
      <c r="T8374" t="s">
        <v>44837</v>
      </c>
      <c r="U8374" t="s">
        <v>45217</v>
      </c>
      <c r="W8374" t="s">
        <v>41740</v>
      </c>
      <c r="X8374" t="s">
        <v>43175</v>
      </c>
    </row>
    <row r="8375" spans="1:24">
      <c r="A8375">
        <f>HYPERLINK("https://www.philgeps.gov.ph/GEPSNONPILOT/Tender/SplashBidNoticeAbstractUI.aspx?menuIndex=3&amp;refID=7074333&amp;Result=3","7074333")</f>
        <v>0</v>
      </c>
      <c r="B8375" t="s">
        <v>1840</v>
      </c>
      <c r="C8375" t="s">
        <v>11388</v>
      </c>
      <c r="D8375" t="s">
        <v>17449</v>
      </c>
      <c r="E8375" t="s">
        <v>24715</v>
      </c>
      <c r="F8375" t="s">
        <v>30052</v>
      </c>
      <c r="G8375" t="s">
        <v>30058</v>
      </c>
      <c r="H8375" t="s">
        <v>30067</v>
      </c>
      <c r="I8375" t="s">
        <v>3693</v>
      </c>
      <c r="J8375" t="s">
        <v>35322</v>
      </c>
      <c r="K8375" t="s">
        <v>39026</v>
      </c>
      <c r="M8375" t="s">
        <v>41929</v>
      </c>
      <c r="N8375" t="s">
        <v>43166</v>
      </c>
      <c r="O8375" t="s">
        <v>43167</v>
      </c>
      <c r="P8375">
        <v>0</v>
      </c>
      <c r="Q8375">
        <v>0</v>
      </c>
      <c r="R8375" t="s">
        <v>43174</v>
      </c>
      <c r="S8375" t="s">
        <v>43396</v>
      </c>
      <c r="T8375" t="s">
        <v>44796</v>
      </c>
      <c r="U8375" t="s">
        <v>51949</v>
      </c>
      <c r="V8375" t="s">
        <v>57663</v>
      </c>
      <c r="W8375" t="s">
        <v>41929</v>
      </c>
      <c r="X8375" t="s">
        <v>43175</v>
      </c>
    </row>
    <row r="8376" spans="1:24">
      <c r="A8376">
        <f>HYPERLINK("https://www.philgeps.gov.ph/GEPSNONPILOT/Tender/SplashBidNoticeAbstractUI.aspx?menuIndex=3&amp;refID=7074338&amp;Result=3","7074338")</f>
        <v>0</v>
      </c>
      <c r="B8376" t="s">
        <v>2547</v>
      </c>
      <c r="C8376" t="s">
        <v>11389</v>
      </c>
      <c r="D8376" t="s">
        <v>17422</v>
      </c>
      <c r="E8376" t="s">
        <v>19196</v>
      </c>
      <c r="F8376" t="s">
        <v>30052</v>
      </c>
      <c r="G8376" t="s">
        <v>30058</v>
      </c>
      <c r="H8376" t="s">
        <v>30067</v>
      </c>
      <c r="I8376" t="s">
        <v>3693</v>
      </c>
      <c r="J8376" t="s">
        <v>33141</v>
      </c>
      <c r="K8376" t="s">
        <v>39026</v>
      </c>
      <c r="M8376" t="s">
        <v>42054</v>
      </c>
      <c r="N8376" t="s">
        <v>43166</v>
      </c>
      <c r="O8376" t="s">
        <v>43167</v>
      </c>
      <c r="P8376">
        <v>0</v>
      </c>
      <c r="Q8376">
        <v>3</v>
      </c>
      <c r="R8376" t="s">
        <v>43174</v>
      </c>
      <c r="S8376" t="s">
        <v>43396</v>
      </c>
      <c r="T8376" t="s">
        <v>44815</v>
      </c>
      <c r="U8376" t="s">
        <v>51950</v>
      </c>
      <c r="W8376" t="s">
        <v>42054</v>
      </c>
      <c r="X8376" t="s">
        <v>43175</v>
      </c>
    </row>
    <row r="8377" spans="1:24">
      <c r="A8377">
        <f>HYPERLINK("https://www.philgeps.gov.ph/GEPSNONPILOT/Tender/SplashBidNoticeAbstractUI.aspx?menuIndex=3&amp;refID=7074353&amp;Result=3","7074353")</f>
        <v>0</v>
      </c>
      <c r="B8377" t="s">
        <v>1608</v>
      </c>
      <c r="C8377" t="s">
        <v>11390</v>
      </c>
      <c r="D8377" t="s">
        <v>17415</v>
      </c>
      <c r="E8377" t="s">
        <v>24716</v>
      </c>
      <c r="F8377" t="s">
        <v>30052</v>
      </c>
      <c r="G8377" t="s">
        <v>30058</v>
      </c>
      <c r="H8377" t="s">
        <v>15498</v>
      </c>
      <c r="I8377" t="s">
        <v>30070</v>
      </c>
      <c r="J8377" t="s">
        <v>35323</v>
      </c>
      <c r="K8377" t="s">
        <v>39019</v>
      </c>
      <c r="M8377" t="s">
        <v>42018</v>
      </c>
      <c r="N8377" t="s">
        <v>43166</v>
      </c>
      <c r="O8377" t="s">
        <v>43167</v>
      </c>
      <c r="P8377">
        <v>0</v>
      </c>
      <c r="Q8377">
        <v>2</v>
      </c>
      <c r="R8377" t="s">
        <v>43174</v>
      </c>
      <c r="S8377" t="s">
        <v>43396</v>
      </c>
      <c r="T8377" t="s">
        <v>44844</v>
      </c>
      <c r="U8377" t="s">
        <v>45217</v>
      </c>
      <c r="W8377" t="s">
        <v>42018</v>
      </c>
      <c r="X8377" t="s">
        <v>43175</v>
      </c>
    </row>
    <row r="8378" spans="1:24">
      <c r="A8378">
        <f>HYPERLINK("https://www.philgeps.gov.ph/GEPSNONPILOT/Tender/SplashBidNoticeAbstractUI.aspx?menuIndex=3&amp;refID=7074335&amp;Result=3","7074335")</f>
        <v>0</v>
      </c>
      <c r="B8378" t="s">
        <v>2548</v>
      </c>
      <c r="C8378" t="s">
        <v>11391</v>
      </c>
      <c r="D8378" t="s">
        <v>17457</v>
      </c>
      <c r="E8378" t="s">
        <v>24717</v>
      </c>
      <c r="F8378" t="s">
        <v>30052</v>
      </c>
      <c r="G8378" t="s">
        <v>30058</v>
      </c>
      <c r="H8378" t="s">
        <v>15498</v>
      </c>
      <c r="I8378" t="s">
        <v>30084</v>
      </c>
      <c r="J8378" t="s">
        <v>30292</v>
      </c>
      <c r="K8378" t="s">
        <v>39029</v>
      </c>
      <c r="M8378" t="s">
        <v>42055</v>
      </c>
      <c r="N8378" t="s">
        <v>43166</v>
      </c>
      <c r="O8378" t="s">
        <v>43167</v>
      </c>
      <c r="P8378">
        <v>0</v>
      </c>
      <c r="Q8378">
        <v>1</v>
      </c>
      <c r="R8378" t="s">
        <v>43174</v>
      </c>
      <c r="S8378" t="s">
        <v>43396</v>
      </c>
      <c r="T8378" t="s">
        <v>45047</v>
      </c>
      <c r="U8378" t="s">
        <v>51951</v>
      </c>
      <c r="V8378" t="s">
        <v>57714</v>
      </c>
      <c r="W8378" t="s">
        <v>42055</v>
      </c>
      <c r="X8378" t="s">
        <v>43175</v>
      </c>
    </row>
    <row r="8379" spans="1:24">
      <c r="A8379">
        <f>HYPERLINK("https://www.philgeps.gov.ph/GEPSNONPILOT/Tender/SplashBidNoticeAbstractUI.aspx?menuIndex=3&amp;refID=7074392&amp;Result=3","7074392")</f>
        <v>0</v>
      </c>
      <c r="B8379" t="s">
        <v>2542</v>
      </c>
      <c r="C8379" t="s">
        <v>11392</v>
      </c>
      <c r="D8379" t="s">
        <v>17449</v>
      </c>
      <c r="E8379" t="s">
        <v>23413</v>
      </c>
      <c r="F8379" t="s">
        <v>30052</v>
      </c>
      <c r="G8379" t="s">
        <v>30058</v>
      </c>
      <c r="H8379" t="s">
        <v>15498</v>
      </c>
      <c r="I8379" t="s">
        <v>3736</v>
      </c>
      <c r="J8379" t="s">
        <v>30209</v>
      </c>
      <c r="K8379" t="s">
        <v>39029</v>
      </c>
      <c r="M8379" t="s">
        <v>42049</v>
      </c>
      <c r="N8379" t="s">
        <v>43166</v>
      </c>
      <c r="O8379" t="s">
        <v>43167</v>
      </c>
      <c r="P8379">
        <v>0</v>
      </c>
      <c r="Q8379">
        <v>1</v>
      </c>
      <c r="R8379" t="s">
        <v>43174</v>
      </c>
      <c r="S8379" t="s">
        <v>43396</v>
      </c>
      <c r="T8379" t="s">
        <v>44734</v>
      </c>
      <c r="U8379" t="s">
        <v>51952</v>
      </c>
      <c r="W8379" t="s">
        <v>42049</v>
      </c>
      <c r="X8379" t="s">
        <v>43175</v>
      </c>
    </row>
    <row r="8380" spans="1:24">
      <c r="A8380">
        <f>HYPERLINK("https://www.philgeps.gov.ph/GEPSNONPILOT/Tender/SplashBidNoticeAbstractUI.aspx?menuIndex=3&amp;refID=7074391&amp;Result=3","7074391")</f>
        <v>0</v>
      </c>
      <c r="B8380" t="s">
        <v>2549</v>
      </c>
      <c r="C8380" t="s">
        <v>11393</v>
      </c>
      <c r="D8380" t="s">
        <v>17426</v>
      </c>
      <c r="E8380" t="s">
        <v>24718</v>
      </c>
      <c r="F8380" t="s">
        <v>30052</v>
      </c>
      <c r="G8380" t="s">
        <v>30058</v>
      </c>
      <c r="H8380" t="s">
        <v>30068</v>
      </c>
      <c r="I8380" t="s">
        <v>30068</v>
      </c>
      <c r="J8380" t="s">
        <v>35324</v>
      </c>
      <c r="K8380" t="s">
        <v>39037</v>
      </c>
      <c r="M8380" t="s">
        <v>42056</v>
      </c>
      <c r="N8380" t="s">
        <v>43166</v>
      </c>
      <c r="O8380" t="s">
        <v>43167</v>
      </c>
      <c r="Q8380">
        <v>1</v>
      </c>
      <c r="R8380" t="s">
        <v>43174</v>
      </c>
      <c r="S8380" t="s">
        <v>43422</v>
      </c>
      <c r="T8380" t="s">
        <v>44717</v>
      </c>
      <c r="U8380" t="s">
        <v>51953</v>
      </c>
      <c r="W8380" t="s">
        <v>42056</v>
      </c>
      <c r="X8380" t="s">
        <v>43175</v>
      </c>
    </row>
    <row r="8381" spans="1:24">
      <c r="A8381">
        <f>HYPERLINK("https://www.philgeps.gov.ph/GEPSNONPILOT/Tender/SplashBidNoticeAbstractUI.aspx?menuIndex=3&amp;refID=7074384&amp;Result=3","7074384")</f>
        <v>0</v>
      </c>
      <c r="B8381" t="s">
        <v>1028</v>
      </c>
      <c r="C8381" t="s">
        <v>11394</v>
      </c>
      <c r="D8381" t="s">
        <v>17475</v>
      </c>
      <c r="E8381" t="s">
        <v>24719</v>
      </c>
      <c r="F8381" t="s">
        <v>30052</v>
      </c>
      <c r="G8381" t="s">
        <v>30059</v>
      </c>
      <c r="H8381" t="s">
        <v>15498</v>
      </c>
      <c r="I8381" t="s">
        <v>6691</v>
      </c>
      <c r="J8381" t="s">
        <v>32190</v>
      </c>
      <c r="K8381" t="s">
        <v>39035</v>
      </c>
      <c r="M8381" t="s">
        <v>40357</v>
      </c>
      <c r="N8381" t="s">
        <v>43166</v>
      </c>
      <c r="O8381" t="s">
        <v>43167</v>
      </c>
      <c r="P8381">
        <v>0</v>
      </c>
      <c r="Q8381">
        <v>0</v>
      </c>
      <c r="R8381" t="s">
        <v>43174</v>
      </c>
      <c r="S8381" t="s">
        <v>43396</v>
      </c>
      <c r="T8381" t="s">
        <v>44837</v>
      </c>
      <c r="U8381" t="s">
        <v>47341</v>
      </c>
      <c r="W8381" t="s">
        <v>40357</v>
      </c>
      <c r="X8381" t="s">
        <v>43175</v>
      </c>
    </row>
    <row r="8382" spans="1:24">
      <c r="A8382">
        <f>HYPERLINK("https://www.philgeps.gov.ph/GEPSNONPILOT/Tender/SplashBidNoticeAbstractUI.aspx?menuIndex=3&amp;refID=7074382&amp;Result=3","7074382")</f>
        <v>0</v>
      </c>
      <c r="B8382" t="s">
        <v>1840</v>
      </c>
      <c r="C8382" t="s">
        <v>11395</v>
      </c>
      <c r="D8382" t="s">
        <v>17449</v>
      </c>
      <c r="E8382" t="s">
        <v>24720</v>
      </c>
      <c r="F8382" t="s">
        <v>30052</v>
      </c>
      <c r="G8382" t="s">
        <v>30058</v>
      </c>
      <c r="H8382" t="s">
        <v>30067</v>
      </c>
      <c r="I8382" t="s">
        <v>3693</v>
      </c>
      <c r="J8382" t="s">
        <v>35325</v>
      </c>
      <c r="K8382" t="s">
        <v>39022</v>
      </c>
      <c r="M8382" t="s">
        <v>41929</v>
      </c>
      <c r="N8382" t="s">
        <v>43166</v>
      </c>
      <c r="O8382" t="s">
        <v>43167</v>
      </c>
      <c r="P8382">
        <v>0</v>
      </c>
      <c r="Q8382">
        <v>0</v>
      </c>
      <c r="R8382" t="s">
        <v>43174</v>
      </c>
      <c r="S8382" t="s">
        <v>43396</v>
      </c>
      <c r="T8382" t="s">
        <v>44796</v>
      </c>
      <c r="U8382" t="s">
        <v>51954</v>
      </c>
      <c r="V8382" t="s">
        <v>57663</v>
      </c>
      <c r="W8382" t="s">
        <v>41929</v>
      </c>
      <c r="X8382" t="s">
        <v>43175</v>
      </c>
    </row>
    <row r="8383" spans="1:24">
      <c r="A8383">
        <f>HYPERLINK("https://www.philgeps.gov.ph/GEPSNONPILOT/Tender/SplashBidNoticeAbstractUI.aspx?menuIndex=3&amp;refID=7074264&amp;Result=3","7074264")</f>
        <v>0</v>
      </c>
      <c r="B8383" t="s">
        <v>1608</v>
      </c>
      <c r="C8383" t="s">
        <v>11396</v>
      </c>
      <c r="D8383" t="s">
        <v>17415</v>
      </c>
      <c r="E8383" t="s">
        <v>24721</v>
      </c>
      <c r="F8383" t="s">
        <v>30052</v>
      </c>
      <c r="G8383" t="s">
        <v>30058</v>
      </c>
      <c r="H8383" t="s">
        <v>15498</v>
      </c>
      <c r="I8383" t="s">
        <v>30070</v>
      </c>
      <c r="J8383" t="s">
        <v>35225</v>
      </c>
      <c r="K8383" t="s">
        <v>39019</v>
      </c>
      <c r="M8383" t="s">
        <v>42018</v>
      </c>
      <c r="N8383" t="s">
        <v>43166</v>
      </c>
      <c r="O8383" t="s">
        <v>43167</v>
      </c>
      <c r="P8383">
        <v>0</v>
      </c>
      <c r="Q8383">
        <v>1</v>
      </c>
      <c r="R8383" t="s">
        <v>43174</v>
      </c>
      <c r="S8383" t="s">
        <v>43396</v>
      </c>
      <c r="T8383" t="s">
        <v>44844</v>
      </c>
      <c r="U8383" t="s">
        <v>45217</v>
      </c>
      <c r="W8383" t="s">
        <v>42018</v>
      </c>
      <c r="X8383" t="s">
        <v>43175</v>
      </c>
    </row>
    <row r="8384" spans="1:24">
      <c r="A8384">
        <f>HYPERLINK("https://www.philgeps.gov.ph/GEPSNONPILOT/Tender/SplashBidNoticeAbstractUI.aspx?menuIndex=3&amp;refID=7074380&amp;Result=3","7074380")</f>
        <v>0</v>
      </c>
      <c r="B8384" t="s">
        <v>2548</v>
      </c>
      <c r="C8384" t="s">
        <v>11397</v>
      </c>
      <c r="D8384" t="s">
        <v>17457</v>
      </c>
      <c r="E8384" t="s">
        <v>24722</v>
      </c>
      <c r="F8384" t="s">
        <v>30052</v>
      </c>
      <c r="G8384" t="s">
        <v>30058</v>
      </c>
      <c r="H8384" t="s">
        <v>15498</v>
      </c>
      <c r="I8384" t="s">
        <v>30125</v>
      </c>
      <c r="J8384" t="s">
        <v>30256</v>
      </c>
      <c r="K8384" t="s">
        <v>39029</v>
      </c>
      <c r="M8384" t="s">
        <v>42055</v>
      </c>
      <c r="N8384" t="s">
        <v>43166</v>
      </c>
      <c r="O8384" t="s">
        <v>43167</v>
      </c>
      <c r="P8384">
        <v>0</v>
      </c>
      <c r="Q8384">
        <v>0</v>
      </c>
      <c r="R8384" t="s">
        <v>43174</v>
      </c>
      <c r="S8384" t="s">
        <v>43396</v>
      </c>
      <c r="T8384" t="s">
        <v>45047</v>
      </c>
      <c r="U8384" t="s">
        <v>51951</v>
      </c>
      <c r="W8384" t="s">
        <v>42055</v>
      </c>
      <c r="X8384" t="s">
        <v>43175</v>
      </c>
    </row>
    <row r="8385" spans="1:24">
      <c r="A8385">
        <f>HYPERLINK("https://www.philgeps.gov.ph/GEPSNONPILOT/Tender/SplashBidNoticeAbstractUI.aspx?menuIndex=3&amp;refID=7074378&amp;Result=3","7074378")</f>
        <v>0</v>
      </c>
      <c r="B8385" t="s">
        <v>1608</v>
      </c>
      <c r="C8385" t="s">
        <v>11398</v>
      </c>
      <c r="D8385" t="s">
        <v>17415</v>
      </c>
      <c r="E8385" t="s">
        <v>24723</v>
      </c>
      <c r="F8385" t="s">
        <v>30052</v>
      </c>
      <c r="G8385" t="s">
        <v>30058</v>
      </c>
      <c r="H8385" t="s">
        <v>15498</v>
      </c>
      <c r="I8385" t="s">
        <v>7228</v>
      </c>
      <c r="J8385" t="s">
        <v>31710</v>
      </c>
      <c r="K8385" t="s">
        <v>39019</v>
      </c>
      <c r="M8385" t="s">
        <v>42018</v>
      </c>
      <c r="N8385" t="s">
        <v>43166</v>
      </c>
      <c r="O8385" t="s">
        <v>43167</v>
      </c>
      <c r="P8385">
        <v>0</v>
      </c>
      <c r="Q8385">
        <v>0</v>
      </c>
      <c r="R8385" t="s">
        <v>43174</v>
      </c>
      <c r="S8385" t="s">
        <v>43396</v>
      </c>
      <c r="T8385" t="s">
        <v>44844</v>
      </c>
      <c r="U8385" t="s">
        <v>48921</v>
      </c>
      <c r="W8385" t="s">
        <v>42018</v>
      </c>
      <c r="X8385" t="s">
        <v>43175</v>
      </c>
    </row>
    <row r="8386" spans="1:24">
      <c r="A8386">
        <f>HYPERLINK("https://www.philgeps.gov.ph/GEPSNONPILOT/Tender/SplashBidNoticeAbstractUI.aspx?menuIndex=3&amp;refID=7074374&amp;Result=3","7074374")</f>
        <v>0</v>
      </c>
      <c r="B8386" t="s">
        <v>1429</v>
      </c>
      <c r="C8386" t="s">
        <v>11399</v>
      </c>
      <c r="D8386" t="s">
        <v>17432</v>
      </c>
      <c r="E8386" t="s">
        <v>24724</v>
      </c>
      <c r="F8386" t="s">
        <v>30052</v>
      </c>
      <c r="G8386" t="s">
        <v>30059</v>
      </c>
      <c r="H8386" t="s">
        <v>15498</v>
      </c>
      <c r="I8386" t="s">
        <v>30081</v>
      </c>
      <c r="J8386" t="s">
        <v>30587</v>
      </c>
      <c r="K8386" t="s">
        <v>39017</v>
      </c>
      <c r="M8386" t="s">
        <v>40807</v>
      </c>
      <c r="N8386" t="s">
        <v>43166</v>
      </c>
      <c r="O8386" t="s">
        <v>43167</v>
      </c>
      <c r="P8386">
        <v>0</v>
      </c>
      <c r="Q8386">
        <v>2</v>
      </c>
      <c r="R8386" t="s">
        <v>43174</v>
      </c>
      <c r="S8386" t="s">
        <v>43396</v>
      </c>
      <c r="T8386" t="s">
        <v>44717</v>
      </c>
      <c r="U8386" t="s">
        <v>48399</v>
      </c>
      <c r="W8386" t="s">
        <v>40807</v>
      </c>
      <c r="X8386" t="s">
        <v>43175</v>
      </c>
    </row>
    <row r="8387" spans="1:24">
      <c r="A8387">
        <f>HYPERLINK("https://www.philgeps.gov.ph/GEPSNONPILOT/Tender/SplashBidNoticeAbstractUI.aspx?menuIndex=3&amp;refID=7074373&amp;Result=3","7074373")</f>
        <v>0</v>
      </c>
      <c r="B8387" t="s">
        <v>2538</v>
      </c>
      <c r="C8387" t="s">
        <v>11400</v>
      </c>
      <c r="D8387" t="s">
        <v>17494</v>
      </c>
      <c r="E8387" t="s">
        <v>19112</v>
      </c>
      <c r="F8387" t="s">
        <v>30052</v>
      </c>
      <c r="G8387" t="s">
        <v>30058</v>
      </c>
      <c r="H8387" t="s">
        <v>15498</v>
      </c>
      <c r="I8387" t="s">
        <v>3736</v>
      </c>
      <c r="J8387" t="s">
        <v>35326</v>
      </c>
      <c r="K8387" t="s">
        <v>39029</v>
      </c>
      <c r="M8387" t="s">
        <v>42045</v>
      </c>
      <c r="N8387" t="s">
        <v>43166</v>
      </c>
      <c r="O8387" t="s">
        <v>43167</v>
      </c>
      <c r="P8387">
        <v>0</v>
      </c>
      <c r="Q8387">
        <v>1</v>
      </c>
      <c r="R8387" t="s">
        <v>43174</v>
      </c>
      <c r="S8387" t="s">
        <v>43396</v>
      </c>
      <c r="T8387" t="s">
        <v>44758</v>
      </c>
      <c r="U8387" t="s">
        <v>51933</v>
      </c>
      <c r="V8387" t="s">
        <v>57715</v>
      </c>
      <c r="W8387" t="s">
        <v>42045</v>
      </c>
      <c r="X8387" t="s">
        <v>43175</v>
      </c>
    </row>
    <row r="8388" spans="1:24">
      <c r="A8388">
        <f>HYPERLINK("https://www.philgeps.gov.ph/GEPSNONPILOT/Tender/SplashBidNoticeAbstractUI.aspx?menuIndex=3&amp;refID=7074332&amp;Result=3","7074332")</f>
        <v>0</v>
      </c>
      <c r="B8388" t="s">
        <v>1608</v>
      </c>
      <c r="C8388" t="s">
        <v>11401</v>
      </c>
      <c r="D8388" t="s">
        <v>17415</v>
      </c>
      <c r="E8388" t="s">
        <v>24725</v>
      </c>
      <c r="F8388" t="s">
        <v>30052</v>
      </c>
      <c r="G8388" t="s">
        <v>30058</v>
      </c>
      <c r="H8388" t="s">
        <v>15498</v>
      </c>
      <c r="I8388" t="s">
        <v>30070</v>
      </c>
      <c r="J8388" t="s">
        <v>30574</v>
      </c>
      <c r="K8388" t="s">
        <v>39019</v>
      </c>
      <c r="M8388" t="s">
        <v>42018</v>
      </c>
      <c r="N8388" t="s">
        <v>43166</v>
      </c>
      <c r="O8388" t="s">
        <v>43167</v>
      </c>
      <c r="P8388">
        <v>0</v>
      </c>
      <c r="Q8388">
        <v>1</v>
      </c>
      <c r="R8388" t="s">
        <v>43174</v>
      </c>
      <c r="S8388" t="s">
        <v>43396</v>
      </c>
      <c r="T8388" t="s">
        <v>44844</v>
      </c>
      <c r="U8388" t="s">
        <v>45217</v>
      </c>
      <c r="W8388" t="s">
        <v>42018</v>
      </c>
      <c r="X8388" t="s">
        <v>43175</v>
      </c>
    </row>
    <row r="8389" spans="1:24">
      <c r="A8389">
        <f>HYPERLINK("https://www.philgeps.gov.ph/GEPSNONPILOT/Tender/SplashBidNoticeAbstractUI.aspx?menuIndex=3&amp;refID=7074370&amp;Result=3","7074370")</f>
        <v>0</v>
      </c>
      <c r="B8389" t="s">
        <v>2505</v>
      </c>
      <c r="C8389" t="s">
        <v>11402</v>
      </c>
      <c r="D8389" t="s">
        <v>17444</v>
      </c>
      <c r="E8389" t="s">
        <v>11486</v>
      </c>
      <c r="F8389" t="s">
        <v>30052</v>
      </c>
      <c r="G8389" t="s">
        <v>30058</v>
      </c>
      <c r="H8389" t="s">
        <v>15498</v>
      </c>
      <c r="I8389" t="s">
        <v>30074</v>
      </c>
      <c r="J8389" t="s">
        <v>30330</v>
      </c>
      <c r="K8389" t="s">
        <v>39025</v>
      </c>
      <c r="M8389" t="s">
        <v>42010</v>
      </c>
      <c r="N8389" t="s">
        <v>43166</v>
      </c>
      <c r="O8389" t="s">
        <v>43167</v>
      </c>
      <c r="P8389">
        <v>0</v>
      </c>
      <c r="Q8389">
        <v>1</v>
      </c>
      <c r="R8389" t="s">
        <v>43174</v>
      </c>
      <c r="S8389" t="s">
        <v>43396</v>
      </c>
      <c r="T8389" t="s">
        <v>44685</v>
      </c>
      <c r="U8389" t="s">
        <v>51955</v>
      </c>
      <c r="W8389" t="s">
        <v>42010</v>
      </c>
      <c r="X8389" t="s">
        <v>43175</v>
      </c>
    </row>
    <row r="8390" spans="1:24">
      <c r="A8390">
        <f>HYPERLINK("https://www.philgeps.gov.ph/GEPSNONPILOT/Tender/SplashBidNoticeAbstractUI.aspx?menuIndex=3&amp;refID=7074336&amp;Result=3","7074336")</f>
        <v>0</v>
      </c>
      <c r="B8390" t="s">
        <v>1608</v>
      </c>
      <c r="C8390" t="s">
        <v>11403</v>
      </c>
      <c r="D8390" t="s">
        <v>17415</v>
      </c>
      <c r="E8390" t="s">
        <v>24726</v>
      </c>
      <c r="F8390" t="s">
        <v>30052</v>
      </c>
      <c r="G8390" t="s">
        <v>30058</v>
      </c>
      <c r="H8390" t="s">
        <v>15498</v>
      </c>
      <c r="I8390" t="s">
        <v>30070</v>
      </c>
      <c r="J8390" t="s">
        <v>30250</v>
      </c>
      <c r="K8390" t="s">
        <v>39019</v>
      </c>
      <c r="M8390" t="s">
        <v>42018</v>
      </c>
      <c r="N8390" t="s">
        <v>43166</v>
      </c>
      <c r="O8390" t="s">
        <v>43167</v>
      </c>
      <c r="P8390">
        <v>0</v>
      </c>
      <c r="Q8390">
        <v>1</v>
      </c>
      <c r="R8390" t="s">
        <v>43174</v>
      </c>
      <c r="S8390" t="s">
        <v>43396</v>
      </c>
      <c r="T8390" t="s">
        <v>44844</v>
      </c>
      <c r="U8390" t="s">
        <v>45217</v>
      </c>
      <c r="W8390" t="s">
        <v>42018</v>
      </c>
      <c r="X8390" t="s">
        <v>43175</v>
      </c>
    </row>
    <row r="8391" spans="1:24">
      <c r="A8391">
        <f>HYPERLINK("https://www.philgeps.gov.ph/GEPSNONPILOT/Tender/SplashBidNoticeAbstractUI.aspx?menuIndex=3&amp;refID=7074365&amp;Result=3","7074365")</f>
        <v>0</v>
      </c>
      <c r="B8391" t="s">
        <v>2550</v>
      </c>
      <c r="C8391" t="s">
        <v>11404</v>
      </c>
      <c r="D8391" t="s">
        <v>17445</v>
      </c>
      <c r="E8391" t="s">
        <v>24727</v>
      </c>
      <c r="F8391" t="s">
        <v>30052</v>
      </c>
      <c r="G8391" t="s">
        <v>30061</v>
      </c>
      <c r="H8391" t="s">
        <v>15498</v>
      </c>
      <c r="I8391" t="s">
        <v>30135</v>
      </c>
      <c r="J8391" t="s">
        <v>35327</v>
      </c>
      <c r="K8391" t="s">
        <v>39029</v>
      </c>
      <c r="M8391" t="s">
        <v>42057</v>
      </c>
      <c r="N8391" t="s">
        <v>43166</v>
      </c>
      <c r="O8391" t="s">
        <v>43167</v>
      </c>
      <c r="P8391">
        <v>0</v>
      </c>
      <c r="Q8391">
        <v>11</v>
      </c>
      <c r="R8391" t="s">
        <v>43174</v>
      </c>
      <c r="S8391" t="s">
        <v>43396</v>
      </c>
      <c r="T8391" t="s">
        <v>45047</v>
      </c>
      <c r="U8391" t="s">
        <v>51956</v>
      </c>
      <c r="W8391" t="s">
        <v>42057</v>
      </c>
      <c r="X8391" t="s">
        <v>43175</v>
      </c>
    </row>
    <row r="8392" spans="1:24">
      <c r="A8392">
        <f>HYPERLINK("https://www.philgeps.gov.ph/GEPSNONPILOT/Tender/SplashBidNoticeAbstractUI.aspx?menuIndex=3&amp;refID=7074362&amp;Result=3","7074362")</f>
        <v>0</v>
      </c>
      <c r="B8392" t="s">
        <v>721</v>
      </c>
      <c r="C8392" t="s">
        <v>11405</v>
      </c>
      <c r="D8392" t="s">
        <v>17451</v>
      </c>
      <c r="E8392" t="s">
        <v>24728</v>
      </c>
      <c r="F8392" t="s">
        <v>30052</v>
      </c>
      <c r="G8392" t="s">
        <v>30058</v>
      </c>
      <c r="H8392" t="s">
        <v>30067</v>
      </c>
      <c r="I8392" t="s">
        <v>3693</v>
      </c>
      <c r="J8392" t="s">
        <v>35328</v>
      </c>
      <c r="K8392" t="s">
        <v>39083</v>
      </c>
      <c r="M8392" t="s">
        <v>40031</v>
      </c>
      <c r="N8392" t="s">
        <v>43166</v>
      </c>
      <c r="O8392" t="s">
        <v>43167</v>
      </c>
      <c r="P8392">
        <v>0</v>
      </c>
      <c r="Q8392">
        <v>0</v>
      </c>
      <c r="R8392" t="s">
        <v>43174</v>
      </c>
      <c r="S8392" t="s">
        <v>43396</v>
      </c>
      <c r="T8392" t="s">
        <v>44828</v>
      </c>
      <c r="U8392" t="s">
        <v>51728</v>
      </c>
      <c r="W8392" t="s">
        <v>40031</v>
      </c>
      <c r="X8392" t="s">
        <v>43175</v>
      </c>
    </row>
    <row r="8393" spans="1:24">
      <c r="A8393">
        <f>HYPERLINK("https://www.philgeps.gov.ph/GEPSNONPILOT/Tender/SplashBidNoticeAbstractUI.aspx?menuIndex=3&amp;refID=7074359&amp;Result=3","7074359")</f>
        <v>0</v>
      </c>
      <c r="B8393" t="s">
        <v>2548</v>
      </c>
      <c r="C8393" t="s">
        <v>11406</v>
      </c>
      <c r="D8393" t="s">
        <v>17457</v>
      </c>
      <c r="E8393" t="s">
        <v>24729</v>
      </c>
      <c r="F8393" t="s">
        <v>30052</v>
      </c>
      <c r="G8393" t="s">
        <v>30058</v>
      </c>
      <c r="H8393" t="s">
        <v>15498</v>
      </c>
      <c r="I8393" t="s">
        <v>30125</v>
      </c>
      <c r="J8393" t="s">
        <v>30256</v>
      </c>
      <c r="K8393" t="s">
        <v>39029</v>
      </c>
      <c r="M8393" t="s">
        <v>42055</v>
      </c>
      <c r="N8393" t="s">
        <v>43166</v>
      </c>
      <c r="O8393" t="s">
        <v>43167</v>
      </c>
      <c r="P8393">
        <v>0</v>
      </c>
      <c r="Q8393">
        <v>1</v>
      </c>
      <c r="R8393" t="s">
        <v>43174</v>
      </c>
      <c r="S8393" t="s">
        <v>43396</v>
      </c>
      <c r="T8393" t="s">
        <v>45047</v>
      </c>
      <c r="U8393" t="s">
        <v>51951</v>
      </c>
      <c r="W8393" t="s">
        <v>42055</v>
      </c>
      <c r="X8393" t="s">
        <v>43175</v>
      </c>
    </row>
    <row r="8394" spans="1:24">
      <c r="A8394">
        <f>HYPERLINK("https://www.philgeps.gov.ph/GEPSNONPILOT/Tender/SplashBidNoticeAbstractUI.aspx?menuIndex=3&amp;refID=7074358&amp;Result=3","7074358")</f>
        <v>0</v>
      </c>
      <c r="B8394" t="s">
        <v>1429</v>
      </c>
      <c r="C8394" t="s">
        <v>11407</v>
      </c>
      <c r="D8394" t="s">
        <v>17432</v>
      </c>
      <c r="E8394" t="s">
        <v>24730</v>
      </c>
      <c r="F8394" t="s">
        <v>30052</v>
      </c>
      <c r="G8394" t="s">
        <v>30059</v>
      </c>
      <c r="H8394" t="s">
        <v>15498</v>
      </c>
      <c r="I8394" t="s">
        <v>30084</v>
      </c>
      <c r="J8394" t="s">
        <v>30358</v>
      </c>
      <c r="K8394" t="s">
        <v>39017</v>
      </c>
      <c r="M8394" t="s">
        <v>40807</v>
      </c>
      <c r="N8394" t="s">
        <v>43166</v>
      </c>
      <c r="O8394" t="s">
        <v>43167</v>
      </c>
      <c r="P8394">
        <v>0</v>
      </c>
      <c r="Q8394">
        <v>4</v>
      </c>
      <c r="R8394" t="s">
        <v>43174</v>
      </c>
      <c r="S8394" t="s">
        <v>43396</v>
      </c>
      <c r="T8394" t="s">
        <v>44717</v>
      </c>
      <c r="U8394" t="s">
        <v>48399</v>
      </c>
      <c r="W8394" t="s">
        <v>40807</v>
      </c>
      <c r="X8394" t="s">
        <v>43175</v>
      </c>
    </row>
    <row r="8395" spans="1:24">
      <c r="A8395">
        <f>HYPERLINK("https://www.philgeps.gov.ph/GEPSNONPILOT/Tender/SplashBidNoticeAbstractUI.aspx?menuIndex=3&amp;refID=7074371&amp;Result=3","7074371")</f>
        <v>0</v>
      </c>
      <c r="B8395" t="s">
        <v>2098</v>
      </c>
      <c r="C8395" t="s">
        <v>5044</v>
      </c>
      <c r="D8395" t="s">
        <v>17414</v>
      </c>
      <c r="E8395" t="s">
        <v>24731</v>
      </c>
      <c r="F8395" t="s">
        <v>30052</v>
      </c>
      <c r="G8395" t="s">
        <v>30061</v>
      </c>
      <c r="H8395" t="s">
        <v>15498</v>
      </c>
      <c r="I8395" t="s">
        <v>30070</v>
      </c>
      <c r="J8395" t="s">
        <v>35329</v>
      </c>
      <c r="K8395" t="s">
        <v>39017</v>
      </c>
      <c r="M8395" t="s">
        <v>42002</v>
      </c>
      <c r="N8395" t="s">
        <v>43166</v>
      </c>
      <c r="O8395" t="s">
        <v>43167</v>
      </c>
      <c r="P8395">
        <v>0</v>
      </c>
      <c r="Q8395">
        <v>0</v>
      </c>
      <c r="R8395" t="s">
        <v>43174</v>
      </c>
      <c r="S8395" t="s">
        <v>43396</v>
      </c>
      <c r="T8395" t="s">
        <v>44777</v>
      </c>
      <c r="U8395" t="s">
        <v>51957</v>
      </c>
      <c r="W8395" t="s">
        <v>42002</v>
      </c>
      <c r="X8395" t="s">
        <v>43175</v>
      </c>
    </row>
    <row r="8396" spans="1:24">
      <c r="A8396">
        <f>HYPERLINK("https://www.philgeps.gov.ph/GEPSNONPILOT/Tender/SplashBidNoticeAbstractUI.aspx?menuIndex=3&amp;refID=7074364&amp;Result=3","7074364")</f>
        <v>0</v>
      </c>
      <c r="B8396" t="s">
        <v>2309</v>
      </c>
      <c r="C8396" t="s">
        <v>11408</v>
      </c>
      <c r="D8396" t="s">
        <v>17419</v>
      </c>
      <c r="E8396" t="s">
        <v>24732</v>
      </c>
      <c r="F8396" t="s">
        <v>30052</v>
      </c>
      <c r="G8396" t="s">
        <v>30061</v>
      </c>
      <c r="H8396" t="s">
        <v>15498</v>
      </c>
      <c r="I8396" t="s">
        <v>30114</v>
      </c>
      <c r="J8396" t="s">
        <v>34019</v>
      </c>
      <c r="K8396" t="s">
        <v>39017</v>
      </c>
      <c r="M8396" t="s">
        <v>41795</v>
      </c>
      <c r="N8396" t="s">
        <v>43166</v>
      </c>
      <c r="O8396" t="s">
        <v>43167</v>
      </c>
      <c r="P8396">
        <v>0</v>
      </c>
      <c r="Q8396">
        <v>1</v>
      </c>
      <c r="R8396" t="s">
        <v>43174</v>
      </c>
      <c r="S8396" t="s">
        <v>43396</v>
      </c>
      <c r="T8396" t="s">
        <v>44717</v>
      </c>
      <c r="U8396" t="s">
        <v>51958</v>
      </c>
      <c r="W8396" t="s">
        <v>41795</v>
      </c>
      <c r="X8396" t="s">
        <v>43175</v>
      </c>
    </row>
    <row r="8397" spans="1:24">
      <c r="A8397">
        <f>HYPERLINK("https://www.philgeps.gov.ph/GEPSNONPILOT/Tender/SplashBidNoticeAbstractUI.aspx?menuIndex=3&amp;refID=7074329&amp;Result=3","7074329")</f>
        <v>0</v>
      </c>
      <c r="B8397" t="s">
        <v>2551</v>
      </c>
      <c r="C8397" t="s">
        <v>11409</v>
      </c>
      <c r="D8397" t="s">
        <v>17499</v>
      </c>
      <c r="E8397" t="s">
        <v>24733</v>
      </c>
      <c r="F8397" t="s">
        <v>30052</v>
      </c>
      <c r="G8397" t="s">
        <v>30058</v>
      </c>
      <c r="H8397" t="s">
        <v>30067</v>
      </c>
      <c r="I8397" t="s">
        <v>3693</v>
      </c>
      <c r="J8397" t="s">
        <v>35210</v>
      </c>
      <c r="K8397" t="s">
        <v>39118</v>
      </c>
      <c r="M8397" t="s">
        <v>42058</v>
      </c>
      <c r="N8397" t="s">
        <v>43166</v>
      </c>
      <c r="O8397" t="s">
        <v>43167</v>
      </c>
      <c r="P8397">
        <v>0</v>
      </c>
      <c r="Q8397">
        <v>0</v>
      </c>
      <c r="R8397" t="s">
        <v>43174</v>
      </c>
      <c r="S8397" t="s">
        <v>43396</v>
      </c>
      <c r="T8397" t="s">
        <v>44684</v>
      </c>
      <c r="U8397" t="s">
        <v>51959</v>
      </c>
      <c r="W8397" t="s">
        <v>42058</v>
      </c>
      <c r="X8397" t="s">
        <v>43175</v>
      </c>
    </row>
    <row r="8398" spans="1:24">
      <c r="A8398">
        <f>HYPERLINK("https://www.philgeps.gov.ph/GEPSNONPILOT/Tender/SplashBidNoticeAbstractUI.aspx?menuIndex=3&amp;refID=7074326&amp;Result=3","7074326")</f>
        <v>0</v>
      </c>
      <c r="B8398" t="s">
        <v>2424</v>
      </c>
      <c r="C8398" t="s">
        <v>11410</v>
      </c>
      <c r="D8398" t="s">
        <v>17415</v>
      </c>
      <c r="E8398" t="s">
        <v>24277</v>
      </c>
      <c r="F8398" t="s">
        <v>30055</v>
      </c>
      <c r="G8398" t="s">
        <v>30058</v>
      </c>
      <c r="H8398" t="s">
        <v>15498</v>
      </c>
      <c r="I8398" t="s">
        <v>30092</v>
      </c>
      <c r="J8398" t="s">
        <v>30545</v>
      </c>
      <c r="K8398" t="s">
        <v>39029</v>
      </c>
      <c r="L8398" t="s">
        <v>2424</v>
      </c>
      <c r="M8398" t="s">
        <v>41921</v>
      </c>
      <c r="N8398" t="s">
        <v>43166</v>
      </c>
      <c r="O8398" t="s">
        <v>43167</v>
      </c>
      <c r="P8398">
        <v>0</v>
      </c>
      <c r="Q8398">
        <v>1</v>
      </c>
      <c r="R8398" t="s">
        <v>43174</v>
      </c>
      <c r="S8398" t="s">
        <v>43396</v>
      </c>
      <c r="T8398" t="s">
        <v>45043</v>
      </c>
      <c r="U8398" t="s">
        <v>51960</v>
      </c>
      <c r="W8398" t="s">
        <v>41921</v>
      </c>
      <c r="X8398" t="s">
        <v>43175</v>
      </c>
    </row>
    <row r="8399" spans="1:24">
      <c r="A8399">
        <f>HYPERLINK("https://www.philgeps.gov.ph/GEPSNONPILOT/Tender/SplashBidNoticeAbstractUI.aspx?menuIndex=3&amp;refID=7074395&amp;Result=3","7074395")</f>
        <v>0</v>
      </c>
      <c r="B8399" t="s">
        <v>2541</v>
      </c>
      <c r="C8399" t="s">
        <v>11411</v>
      </c>
      <c r="D8399" t="s">
        <v>17458</v>
      </c>
      <c r="E8399" t="s">
        <v>24734</v>
      </c>
      <c r="F8399" t="s">
        <v>30052</v>
      </c>
      <c r="G8399" t="s">
        <v>30058</v>
      </c>
      <c r="H8399" t="s">
        <v>15498</v>
      </c>
      <c r="I8399" t="s">
        <v>30125</v>
      </c>
      <c r="J8399" t="s">
        <v>30358</v>
      </c>
      <c r="K8399" t="s">
        <v>39036</v>
      </c>
      <c r="M8399" t="s">
        <v>42048</v>
      </c>
      <c r="N8399" t="s">
        <v>43166</v>
      </c>
      <c r="O8399" t="s">
        <v>43167</v>
      </c>
      <c r="P8399">
        <v>0</v>
      </c>
      <c r="Q8399">
        <v>2</v>
      </c>
      <c r="R8399" t="s">
        <v>43174</v>
      </c>
      <c r="S8399" t="s">
        <v>43396</v>
      </c>
      <c r="T8399" t="s">
        <v>44717</v>
      </c>
      <c r="U8399" t="s">
        <v>51961</v>
      </c>
      <c r="W8399" t="s">
        <v>42048</v>
      </c>
      <c r="X8399" t="s">
        <v>43175</v>
      </c>
    </row>
    <row r="8400" spans="1:24">
      <c r="A8400">
        <f>HYPERLINK("https://www.philgeps.gov.ph/GEPSNONPILOT/Tender/SplashBidNoticeAbstractUI.aspx?menuIndex=3&amp;refID=7074331&amp;Result=3","7074331")</f>
        <v>0</v>
      </c>
      <c r="B8400" t="s">
        <v>2538</v>
      </c>
      <c r="C8400" t="s">
        <v>11412</v>
      </c>
      <c r="D8400" t="s">
        <v>17494</v>
      </c>
      <c r="E8400" t="s">
        <v>24735</v>
      </c>
      <c r="F8400" t="s">
        <v>30052</v>
      </c>
      <c r="G8400" t="s">
        <v>30058</v>
      </c>
      <c r="H8400" t="s">
        <v>15498</v>
      </c>
      <c r="I8400" t="s">
        <v>3736</v>
      </c>
      <c r="J8400" t="s">
        <v>35330</v>
      </c>
      <c r="K8400" t="s">
        <v>39029</v>
      </c>
      <c r="M8400" t="s">
        <v>42045</v>
      </c>
      <c r="N8400" t="s">
        <v>43166</v>
      </c>
      <c r="O8400" t="s">
        <v>43167</v>
      </c>
      <c r="P8400">
        <v>0</v>
      </c>
      <c r="Q8400">
        <v>0</v>
      </c>
      <c r="R8400" t="s">
        <v>43174</v>
      </c>
      <c r="S8400" t="s">
        <v>43396</v>
      </c>
      <c r="T8400" t="s">
        <v>44758</v>
      </c>
      <c r="U8400" t="s">
        <v>51933</v>
      </c>
      <c r="V8400" t="s">
        <v>57716</v>
      </c>
      <c r="W8400" t="s">
        <v>42045</v>
      </c>
      <c r="X8400" t="s">
        <v>43175</v>
      </c>
    </row>
    <row r="8401" spans="1:24">
      <c r="A8401">
        <f>HYPERLINK("https://www.philgeps.gov.ph/GEPSNONPILOT/Tender/SplashBidNoticeAbstractUI.aspx?menuIndex=3&amp;refID=7074441&amp;Result=3","7074441")</f>
        <v>0</v>
      </c>
      <c r="B8401" t="s">
        <v>813</v>
      </c>
      <c r="C8401" t="s">
        <v>11413</v>
      </c>
      <c r="D8401" t="s">
        <v>17426</v>
      </c>
      <c r="E8401" t="s">
        <v>24736</v>
      </c>
      <c r="F8401" t="s">
        <v>30052</v>
      </c>
      <c r="G8401" t="s">
        <v>30058</v>
      </c>
      <c r="H8401" t="s">
        <v>30067</v>
      </c>
      <c r="I8401" t="s">
        <v>3693</v>
      </c>
      <c r="J8401" t="s">
        <v>30252</v>
      </c>
      <c r="K8401" t="s">
        <v>39046</v>
      </c>
      <c r="M8401" t="s">
        <v>40130</v>
      </c>
      <c r="N8401" t="s">
        <v>43166</v>
      </c>
      <c r="O8401" t="s">
        <v>43167</v>
      </c>
      <c r="P8401">
        <v>0</v>
      </c>
      <c r="Q8401">
        <v>0</v>
      </c>
      <c r="R8401" t="s">
        <v>43174</v>
      </c>
      <c r="S8401" t="s">
        <v>43396</v>
      </c>
      <c r="T8401" t="s">
        <v>44955</v>
      </c>
      <c r="U8401" t="s">
        <v>46896</v>
      </c>
      <c r="W8401" t="s">
        <v>40130</v>
      </c>
      <c r="X8401" t="s">
        <v>43175</v>
      </c>
    </row>
    <row r="8402" spans="1:24">
      <c r="A8402">
        <f>HYPERLINK("https://www.philgeps.gov.ph/GEPSNONPILOT/Tender/SplashBidNoticeAbstractUI.aspx?menuIndex=3&amp;refID=7074368&amp;Result=3","7074368")</f>
        <v>0</v>
      </c>
      <c r="B8402" t="s">
        <v>1028</v>
      </c>
      <c r="C8402" t="s">
        <v>11414</v>
      </c>
      <c r="D8402" t="s">
        <v>17475</v>
      </c>
      <c r="E8402" t="s">
        <v>24737</v>
      </c>
      <c r="F8402" t="s">
        <v>30052</v>
      </c>
      <c r="G8402" t="s">
        <v>30059</v>
      </c>
      <c r="H8402" t="s">
        <v>15498</v>
      </c>
      <c r="I8402" t="s">
        <v>6691</v>
      </c>
      <c r="J8402" t="s">
        <v>35331</v>
      </c>
      <c r="K8402" t="s">
        <v>39035</v>
      </c>
      <c r="M8402" t="s">
        <v>40357</v>
      </c>
      <c r="N8402" t="s">
        <v>43166</v>
      </c>
      <c r="O8402" t="s">
        <v>43167</v>
      </c>
      <c r="P8402">
        <v>0</v>
      </c>
      <c r="Q8402">
        <v>0</v>
      </c>
      <c r="R8402" t="s">
        <v>43174</v>
      </c>
      <c r="S8402" t="s">
        <v>43396</v>
      </c>
      <c r="T8402" t="s">
        <v>44837</v>
      </c>
      <c r="U8402" t="s">
        <v>47341</v>
      </c>
      <c r="W8402" t="s">
        <v>40357</v>
      </c>
      <c r="X8402" t="s">
        <v>43175</v>
      </c>
    </row>
    <row r="8403" spans="1:24">
      <c r="A8403">
        <f>HYPERLINK("https://www.philgeps.gov.ph/GEPSNONPILOT/Tender/SplashBidNoticeAbstractUI.aspx?menuIndex=3&amp;refID=7074430&amp;Result=3","7074430")</f>
        <v>0</v>
      </c>
      <c r="B8403" t="s">
        <v>998</v>
      </c>
      <c r="C8403" t="s">
        <v>11415</v>
      </c>
      <c r="D8403" t="s">
        <v>17448</v>
      </c>
      <c r="E8403" t="s">
        <v>24738</v>
      </c>
      <c r="F8403" t="s">
        <v>30052</v>
      </c>
      <c r="G8403" t="s">
        <v>30058</v>
      </c>
      <c r="H8403" t="s">
        <v>15498</v>
      </c>
      <c r="I8403" t="s">
        <v>30114</v>
      </c>
      <c r="J8403" t="s">
        <v>31290</v>
      </c>
      <c r="K8403" t="s">
        <v>39029</v>
      </c>
      <c r="M8403" t="s">
        <v>40327</v>
      </c>
      <c r="N8403" t="s">
        <v>43166</v>
      </c>
      <c r="O8403" t="s">
        <v>43167</v>
      </c>
      <c r="P8403">
        <v>0</v>
      </c>
      <c r="Q8403">
        <v>8</v>
      </c>
      <c r="R8403" t="s">
        <v>43174</v>
      </c>
      <c r="S8403" t="s">
        <v>43396</v>
      </c>
      <c r="T8403" t="s">
        <v>44837</v>
      </c>
      <c r="U8403" t="s">
        <v>51962</v>
      </c>
      <c r="W8403" t="s">
        <v>40327</v>
      </c>
      <c r="X8403" t="s">
        <v>43175</v>
      </c>
    </row>
    <row r="8404" spans="1:24">
      <c r="A8404">
        <f>HYPERLINK("https://www.philgeps.gov.ph/GEPSNONPILOT/Tender/SplashBidNoticeAbstractUI.aspx?menuIndex=3&amp;refID=7074429&amp;Result=3","7074429")</f>
        <v>0</v>
      </c>
      <c r="B8404" t="s">
        <v>1134</v>
      </c>
      <c r="C8404" t="s">
        <v>11416</v>
      </c>
      <c r="D8404" t="s">
        <v>17459</v>
      </c>
      <c r="E8404" t="s">
        <v>24739</v>
      </c>
      <c r="F8404" t="s">
        <v>30052</v>
      </c>
      <c r="G8404" t="s">
        <v>30059</v>
      </c>
      <c r="H8404" t="s">
        <v>15498</v>
      </c>
      <c r="I8404" t="s">
        <v>30084</v>
      </c>
      <c r="J8404" t="s">
        <v>35332</v>
      </c>
      <c r="K8404" t="s">
        <v>39037</v>
      </c>
      <c r="M8404" t="s">
        <v>40477</v>
      </c>
      <c r="N8404" t="s">
        <v>43166</v>
      </c>
      <c r="O8404" t="s">
        <v>43167</v>
      </c>
      <c r="P8404">
        <v>0</v>
      </c>
      <c r="Q8404">
        <v>1</v>
      </c>
      <c r="R8404" t="s">
        <v>43174</v>
      </c>
      <c r="S8404" t="s">
        <v>43396</v>
      </c>
      <c r="T8404" t="s">
        <v>44717</v>
      </c>
      <c r="U8404" t="s">
        <v>51963</v>
      </c>
      <c r="W8404" t="s">
        <v>40477</v>
      </c>
      <c r="X8404" t="s">
        <v>43175</v>
      </c>
    </row>
    <row r="8405" spans="1:24">
      <c r="A8405">
        <f>HYPERLINK("https://www.philgeps.gov.ph/GEPSNONPILOT/Tender/SplashBidNoticeAbstractUI.aspx?menuIndex=3&amp;refID=7074354&amp;Result=3","7074354")</f>
        <v>0</v>
      </c>
      <c r="B8405" t="s">
        <v>797</v>
      </c>
      <c r="C8405" t="s">
        <v>11417</v>
      </c>
      <c r="E8405" t="s">
        <v>24740</v>
      </c>
      <c r="F8405" t="s">
        <v>30052</v>
      </c>
      <c r="G8405" t="s">
        <v>30059</v>
      </c>
      <c r="H8405" t="s">
        <v>15498</v>
      </c>
      <c r="I8405" t="s">
        <v>30092</v>
      </c>
      <c r="J8405" t="s">
        <v>35333</v>
      </c>
      <c r="K8405" t="s">
        <v>39025</v>
      </c>
      <c r="M8405" t="s">
        <v>40826</v>
      </c>
      <c r="N8405" t="s">
        <v>43166</v>
      </c>
      <c r="O8405" t="s">
        <v>43167</v>
      </c>
      <c r="P8405">
        <v>0</v>
      </c>
      <c r="Q8405">
        <v>1</v>
      </c>
      <c r="R8405" t="s">
        <v>43174</v>
      </c>
      <c r="S8405" t="s">
        <v>43396</v>
      </c>
      <c r="T8405" t="s">
        <v>44788</v>
      </c>
      <c r="U8405" t="s">
        <v>51964</v>
      </c>
      <c r="W8405" t="s">
        <v>40826</v>
      </c>
      <c r="X8405" t="s">
        <v>43175</v>
      </c>
    </row>
    <row r="8406" spans="1:24">
      <c r="A8406">
        <f>HYPERLINK("https://www.philgeps.gov.ph/GEPSNONPILOT/Tender/SplashBidNoticeAbstractUI.aspx?menuIndex=3&amp;refID=7074427&amp;Result=3","7074427")</f>
        <v>0</v>
      </c>
      <c r="B8406" t="s">
        <v>2531</v>
      </c>
      <c r="C8406" t="s">
        <v>11418</v>
      </c>
      <c r="D8406" t="s">
        <v>17464</v>
      </c>
      <c r="E8406" t="s">
        <v>24677</v>
      </c>
      <c r="F8406" t="s">
        <v>30052</v>
      </c>
      <c r="G8406" t="s">
        <v>30058</v>
      </c>
      <c r="H8406" t="s">
        <v>30067</v>
      </c>
      <c r="I8406" t="s">
        <v>3693</v>
      </c>
      <c r="J8406" t="s">
        <v>35334</v>
      </c>
      <c r="K8406" t="s">
        <v>39029</v>
      </c>
      <c r="M8406" t="s">
        <v>42038</v>
      </c>
      <c r="N8406" t="s">
        <v>43166</v>
      </c>
      <c r="O8406" t="s">
        <v>43167</v>
      </c>
      <c r="P8406">
        <v>0</v>
      </c>
      <c r="Q8406">
        <v>0</v>
      </c>
      <c r="R8406" t="s">
        <v>43174</v>
      </c>
      <c r="S8406" t="s">
        <v>43396</v>
      </c>
      <c r="T8406" t="s">
        <v>44714</v>
      </c>
      <c r="U8406" t="s">
        <v>51965</v>
      </c>
      <c r="W8406" t="s">
        <v>42038</v>
      </c>
      <c r="X8406" t="s">
        <v>43175</v>
      </c>
    </row>
    <row r="8407" spans="1:24">
      <c r="A8407">
        <f>HYPERLINK("https://www.philgeps.gov.ph/GEPSNONPILOT/Tender/SplashBidNoticeAbstractUI.aspx?menuIndex=3&amp;refID=7074426&amp;Result=3","7074426")</f>
        <v>0</v>
      </c>
      <c r="B8407" t="s">
        <v>1524</v>
      </c>
      <c r="C8407" t="s">
        <v>11419</v>
      </c>
      <c r="D8407" t="s">
        <v>17443</v>
      </c>
      <c r="E8407" t="s">
        <v>24741</v>
      </c>
      <c r="F8407" t="s">
        <v>30052</v>
      </c>
      <c r="G8407" t="s">
        <v>30058</v>
      </c>
      <c r="H8407" t="s">
        <v>15498</v>
      </c>
      <c r="I8407" t="s">
        <v>3736</v>
      </c>
      <c r="J8407" t="s">
        <v>35335</v>
      </c>
      <c r="K8407" t="s">
        <v>39019</v>
      </c>
      <c r="M8407" t="s">
        <v>40910</v>
      </c>
      <c r="N8407" t="s">
        <v>43166</v>
      </c>
      <c r="O8407" t="s">
        <v>43167</v>
      </c>
      <c r="P8407">
        <v>0</v>
      </c>
      <c r="Q8407">
        <v>0</v>
      </c>
      <c r="R8407" t="s">
        <v>43174</v>
      </c>
      <c r="S8407" t="s">
        <v>43396</v>
      </c>
      <c r="T8407" t="s">
        <v>44856</v>
      </c>
      <c r="U8407" t="s">
        <v>51966</v>
      </c>
      <c r="W8407" t="s">
        <v>40910</v>
      </c>
      <c r="X8407" t="s">
        <v>43175</v>
      </c>
    </row>
    <row r="8408" spans="1:24">
      <c r="A8408">
        <f>HYPERLINK("https://www.philgeps.gov.ph/GEPSNONPILOT/Tender/SplashBidNoticeAbstractUI.aspx?menuIndex=3&amp;refID=7074425&amp;Result=3","7074425")</f>
        <v>0</v>
      </c>
      <c r="B8408" t="s">
        <v>2552</v>
      </c>
      <c r="C8408" t="s">
        <v>11420</v>
      </c>
      <c r="D8408" t="s">
        <v>17486</v>
      </c>
      <c r="E8408" t="s">
        <v>22644</v>
      </c>
      <c r="F8408" t="s">
        <v>30052</v>
      </c>
      <c r="G8408" t="s">
        <v>30058</v>
      </c>
      <c r="H8408" t="s">
        <v>15498</v>
      </c>
      <c r="I8408" t="s">
        <v>30081</v>
      </c>
      <c r="J8408" t="s">
        <v>30252</v>
      </c>
      <c r="K8408" t="s">
        <v>39034</v>
      </c>
      <c r="M8408" t="s">
        <v>42059</v>
      </c>
      <c r="N8408" t="s">
        <v>43166</v>
      </c>
      <c r="O8408" t="s">
        <v>43167</v>
      </c>
      <c r="P8408">
        <v>0</v>
      </c>
      <c r="Q8408">
        <v>2</v>
      </c>
      <c r="R8408" t="s">
        <v>43174</v>
      </c>
      <c r="S8408" t="s">
        <v>43396</v>
      </c>
      <c r="T8408" t="s">
        <v>44965</v>
      </c>
      <c r="U8408" t="s">
        <v>51967</v>
      </c>
      <c r="W8408" t="s">
        <v>42059</v>
      </c>
      <c r="X8408" t="s">
        <v>43175</v>
      </c>
    </row>
    <row r="8409" spans="1:24">
      <c r="A8409">
        <f>HYPERLINK("https://www.philgeps.gov.ph/GEPSNONPILOT/Tender/SplashBidNoticeAbstractUI.aspx?menuIndex=3&amp;refID=7074422&amp;Result=3","7074422")</f>
        <v>0</v>
      </c>
      <c r="B8409" t="s">
        <v>2553</v>
      </c>
      <c r="C8409" t="s">
        <v>11421</v>
      </c>
      <c r="D8409" t="s">
        <v>17432</v>
      </c>
      <c r="E8409" t="s">
        <v>24742</v>
      </c>
      <c r="F8409" t="s">
        <v>30052</v>
      </c>
      <c r="G8409" t="s">
        <v>30059</v>
      </c>
      <c r="H8409" t="s">
        <v>15498</v>
      </c>
      <c r="I8409" t="s">
        <v>7228</v>
      </c>
      <c r="J8409" t="s">
        <v>30350</v>
      </c>
      <c r="K8409" t="s">
        <v>39034</v>
      </c>
      <c r="M8409" t="s">
        <v>42060</v>
      </c>
      <c r="N8409" t="s">
        <v>43166</v>
      </c>
      <c r="O8409" t="s">
        <v>43167</v>
      </c>
      <c r="P8409">
        <v>0</v>
      </c>
      <c r="Q8409">
        <v>0</v>
      </c>
      <c r="R8409" t="s">
        <v>43174</v>
      </c>
      <c r="S8409" t="s">
        <v>43396</v>
      </c>
      <c r="T8409" t="s">
        <v>44720</v>
      </c>
      <c r="U8409" t="s">
        <v>51968</v>
      </c>
      <c r="W8409" t="s">
        <v>42060</v>
      </c>
      <c r="X8409" t="s">
        <v>43175</v>
      </c>
    </row>
    <row r="8410" spans="1:24">
      <c r="A8410">
        <f>HYPERLINK("https://www.philgeps.gov.ph/GEPSNONPILOT/Tender/SplashBidNoticeAbstractUI.aspx?menuIndex=3&amp;refID=7074418&amp;Result=3","7074418")</f>
        <v>0</v>
      </c>
      <c r="B8410" t="s">
        <v>2554</v>
      </c>
      <c r="C8410" t="s">
        <v>11422</v>
      </c>
      <c r="D8410" t="s">
        <v>17448</v>
      </c>
      <c r="E8410" t="s">
        <v>24743</v>
      </c>
      <c r="F8410" t="s">
        <v>30052</v>
      </c>
      <c r="G8410" t="s">
        <v>30058</v>
      </c>
      <c r="H8410" t="s">
        <v>30067</v>
      </c>
      <c r="I8410" t="s">
        <v>3693</v>
      </c>
      <c r="J8410" t="s">
        <v>30277</v>
      </c>
      <c r="K8410" t="s">
        <v>39029</v>
      </c>
      <c r="M8410" t="s">
        <v>42061</v>
      </c>
      <c r="N8410" t="s">
        <v>43166</v>
      </c>
      <c r="O8410" t="s">
        <v>43167</v>
      </c>
      <c r="P8410">
        <v>0</v>
      </c>
      <c r="Q8410">
        <v>0</v>
      </c>
      <c r="R8410" t="s">
        <v>43174</v>
      </c>
      <c r="S8410" t="s">
        <v>43396</v>
      </c>
      <c r="T8410" t="s">
        <v>44717</v>
      </c>
      <c r="U8410" t="s">
        <v>51969</v>
      </c>
      <c r="V8410" t="s">
        <v>57717</v>
      </c>
      <c r="W8410" t="s">
        <v>42061</v>
      </c>
      <c r="X8410" t="s">
        <v>43175</v>
      </c>
    </row>
    <row r="8411" spans="1:24">
      <c r="A8411">
        <f>HYPERLINK("https://www.philgeps.gov.ph/GEPSNONPILOT/Tender/SplashBidNoticeAbstractUI.aspx?menuIndex=3&amp;refID=7074436&amp;Result=3","7074436")</f>
        <v>0</v>
      </c>
      <c r="B8411" t="s">
        <v>33</v>
      </c>
      <c r="C8411" t="s">
        <v>11423</v>
      </c>
      <c r="D8411" t="s">
        <v>17419</v>
      </c>
      <c r="E8411" t="s">
        <v>24744</v>
      </c>
      <c r="F8411" t="s">
        <v>30052</v>
      </c>
      <c r="G8411" t="s">
        <v>30060</v>
      </c>
      <c r="H8411" t="s">
        <v>15498</v>
      </c>
      <c r="I8411" t="s">
        <v>4119</v>
      </c>
      <c r="J8411" t="s">
        <v>30263</v>
      </c>
      <c r="K8411" t="s">
        <v>39025</v>
      </c>
      <c r="M8411" t="s">
        <v>39323</v>
      </c>
      <c r="N8411" t="s">
        <v>43166</v>
      </c>
      <c r="O8411" t="s">
        <v>43167</v>
      </c>
      <c r="P8411">
        <v>0</v>
      </c>
      <c r="Q8411">
        <v>0</v>
      </c>
      <c r="R8411" t="s">
        <v>43174</v>
      </c>
      <c r="S8411" t="s">
        <v>43396</v>
      </c>
      <c r="T8411" t="s">
        <v>44969</v>
      </c>
      <c r="U8411" t="s">
        <v>51970</v>
      </c>
      <c r="W8411" t="s">
        <v>39323</v>
      </c>
      <c r="X8411" t="s">
        <v>43175</v>
      </c>
    </row>
    <row r="8412" spans="1:24">
      <c r="A8412">
        <f>HYPERLINK("https://www.philgeps.gov.ph/GEPSNONPILOT/Tender/SplashBidNoticeAbstractUI.aspx?menuIndex=3&amp;refID=7074428&amp;Result=3","7074428")</f>
        <v>0</v>
      </c>
      <c r="B8412" t="s">
        <v>1028</v>
      </c>
      <c r="C8412" t="s">
        <v>11424</v>
      </c>
      <c r="D8412" t="s">
        <v>17475</v>
      </c>
      <c r="E8412" t="s">
        <v>24745</v>
      </c>
      <c r="F8412" t="s">
        <v>30052</v>
      </c>
      <c r="G8412" t="s">
        <v>30059</v>
      </c>
      <c r="H8412" t="s">
        <v>15498</v>
      </c>
      <c r="I8412" t="s">
        <v>6691</v>
      </c>
      <c r="J8412" t="s">
        <v>35336</v>
      </c>
      <c r="K8412" t="s">
        <v>39035</v>
      </c>
      <c r="M8412" t="s">
        <v>40357</v>
      </c>
      <c r="N8412" t="s">
        <v>43166</v>
      </c>
      <c r="O8412" t="s">
        <v>43167</v>
      </c>
      <c r="P8412">
        <v>0</v>
      </c>
      <c r="Q8412">
        <v>1</v>
      </c>
      <c r="R8412" t="s">
        <v>43174</v>
      </c>
      <c r="S8412" t="s">
        <v>43396</v>
      </c>
      <c r="T8412" t="s">
        <v>44837</v>
      </c>
      <c r="U8412" t="s">
        <v>47341</v>
      </c>
      <c r="W8412" t="s">
        <v>40357</v>
      </c>
      <c r="X8412" t="s">
        <v>43175</v>
      </c>
    </row>
    <row r="8413" spans="1:24">
      <c r="A8413">
        <f>HYPERLINK("https://www.philgeps.gov.ph/GEPSNONPILOT/Tender/SplashBidNoticeAbstractUI.aspx?menuIndex=3&amp;refID=7074377&amp;Result=3","7074377")</f>
        <v>0</v>
      </c>
      <c r="B8413" t="s">
        <v>2555</v>
      </c>
      <c r="C8413" t="s">
        <v>11425</v>
      </c>
      <c r="D8413" t="s">
        <v>17435</v>
      </c>
      <c r="E8413" t="s">
        <v>24746</v>
      </c>
      <c r="F8413" t="s">
        <v>30052</v>
      </c>
      <c r="G8413" t="s">
        <v>30058</v>
      </c>
      <c r="H8413" t="s">
        <v>15498</v>
      </c>
      <c r="I8413" t="s">
        <v>30106</v>
      </c>
      <c r="J8413" t="s">
        <v>30633</v>
      </c>
      <c r="K8413" t="s">
        <v>39029</v>
      </c>
      <c r="M8413" t="s">
        <v>42062</v>
      </c>
      <c r="N8413" t="s">
        <v>43166</v>
      </c>
      <c r="O8413" t="s">
        <v>43167</v>
      </c>
      <c r="P8413">
        <v>0</v>
      </c>
      <c r="Q8413">
        <v>2</v>
      </c>
      <c r="R8413" t="s">
        <v>43174</v>
      </c>
      <c r="S8413" t="s">
        <v>43396</v>
      </c>
      <c r="T8413" t="s">
        <v>44696</v>
      </c>
      <c r="U8413" t="s">
        <v>51971</v>
      </c>
      <c r="W8413" t="s">
        <v>42062</v>
      </c>
      <c r="X8413" t="s">
        <v>43175</v>
      </c>
    </row>
    <row r="8414" spans="1:24">
      <c r="A8414">
        <f>HYPERLINK("https://www.philgeps.gov.ph/GEPSNONPILOT/Tender/SplashBidNoticeAbstractUI.aspx?menuIndex=3&amp;refID=7074500&amp;Result=3","7074500")</f>
        <v>0</v>
      </c>
      <c r="B8414" t="s">
        <v>2505</v>
      </c>
      <c r="C8414" t="s">
        <v>11426</v>
      </c>
      <c r="D8414" t="s">
        <v>17444</v>
      </c>
      <c r="E8414" t="s">
        <v>11577</v>
      </c>
      <c r="F8414" t="s">
        <v>30052</v>
      </c>
      <c r="G8414" t="s">
        <v>30058</v>
      </c>
      <c r="H8414" t="s">
        <v>15498</v>
      </c>
      <c r="I8414" t="s">
        <v>3693</v>
      </c>
      <c r="J8414" t="s">
        <v>35337</v>
      </c>
      <c r="K8414" t="s">
        <v>39025</v>
      </c>
      <c r="M8414" t="s">
        <v>42010</v>
      </c>
      <c r="N8414" t="s">
        <v>43166</v>
      </c>
      <c r="O8414" t="s">
        <v>43167</v>
      </c>
      <c r="P8414">
        <v>0</v>
      </c>
      <c r="Q8414">
        <v>0</v>
      </c>
      <c r="R8414" t="s">
        <v>43174</v>
      </c>
      <c r="S8414" t="s">
        <v>43396</v>
      </c>
      <c r="T8414" t="s">
        <v>44698</v>
      </c>
      <c r="U8414" t="s">
        <v>51972</v>
      </c>
      <c r="W8414" t="s">
        <v>42010</v>
      </c>
      <c r="X8414" t="s">
        <v>43175</v>
      </c>
    </row>
    <row r="8415" spans="1:24">
      <c r="A8415">
        <f>HYPERLINK("https://www.philgeps.gov.ph/GEPSNONPILOT/Tender/SplashBidNoticeAbstractUI.aspx?menuIndex=3&amp;refID=7074495&amp;Result=3","7074495")</f>
        <v>0</v>
      </c>
      <c r="B8415" t="s">
        <v>1585</v>
      </c>
      <c r="C8415" t="s">
        <v>11427</v>
      </c>
      <c r="D8415" t="s">
        <v>17476</v>
      </c>
      <c r="E8415" t="s">
        <v>24747</v>
      </c>
      <c r="F8415" t="s">
        <v>30052</v>
      </c>
      <c r="G8415" t="s">
        <v>30058</v>
      </c>
      <c r="H8415" t="s">
        <v>15498</v>
      </c>
      <c r="I8415" t="s">
        <v>30074</v>
      </c>
      <c r="J8415" t="s">
        <v>35338</v>
      </c>
      <c r="K8415" t="s">
        <v>39023</v>
      </c>
      <c r="M8415" t="s">
        <v>40978</v>
      </c>
      <c r="N8415" t="s">
        <v>43166</v>
      </c>
      <c r="O8415" t="s">
        <v>43167</v>
      </c>
      <c r="P8415">
        <v>0</v>
      </c>
      <c r="Q8415">
        <v>4</v>
      </c>
      <c r="R8415" t="s">
        <v>43174</v>
      </c>
      <c r="S8415" t="s">
        <v>43396</v>
      </c>
      <c r="T8415" t="s">
        <v>44702</v>
      </c>
      <c r="U8415" t="s">
        <v>51973</v>
      </c>
      <c r="W8415" t="s">
        <v>40978</v>
      </c>
      <c r="X8415" t="s">
        <v>43175</v>
      </c>
    </row>
    <row r="8416" spans="1:24">
      <c r="A8416">
        <f>HYPERLINK("https://www.philgeps.gov.ph/GEPSNONPILOT/Tender/SplashBidNoticeAbstractUI.aspx?menuIndex=3&amp;refID=7074493&amp;Result=3","7074493")</f>
        <v>0</v>
      </c>
      <c r="B8416" t="s">
        <v>2556</v>
      </c>
      <c r="C8416" t="s">
        <v>11428</v>
      </c>
      <c r="D8416" t="s">
        <v>17414</v>
      </c>
      <c r="E8416" t="s">
        <v>24748</v>
      </c>
      <c r="F8416" t="s">
        <v>30052</v>
      </c>
      <c r="G8416" t="s">
        <v>30058</v>
      </c>
      <c r="H8416" t="s">
        <v>15498</v>
      </c>
      <c r="I8416" t="s">
        <v>30073</v>
      </c>
      <c r="J8416" t="s">
        <v>35339</v>
      </c>
      <c r="K8416" t="s">
        <v>39017</v>
      </c>
      <c r="M8416" t="s">
        <v>42063</v>
      </c>
      <c r="N8416" t="s">
        <v>43166</v>
      </c>
      <c r="O8416" t="s">
        <v>43167</v>
      </c>
      <c r="P8416">
        <v>0</v>
      </c>
      <c r="Q8416">
        <v>0</v>
      </c>
      <c r="R8416" t="s">
        <v>43174</v>
      </c>
      <c r="S8416" t="s">
        <v>43396</v>
      </c>
      <c r="T8416" t="s">
        <v>44753</v>
      </c>
      <c r="U8416" t="s">
        <v>51974</v>
      </c>
      <c r="W8416" t="s">
        <v>42063</v>
      </c>
      <c r="X8416" t="s">
        <v>43175</v>
      </c>
    </row>
    <row r="8417" spans="1:24">
      <c r="A8417">
        <f>HYPERLINK("https://www.philgeps.gov.ph/GEPSNONPILOT/Tender/SplashBidNoticeAbstractUI.aspx?menuIndex=3&amp;refID=7074487&amp;Result=3","7074487")</f>
        <v>0</v>
      </c>
      <c r="B8417" t="s">
        <v>2544</v>
      </c>
      <c r="C8417" t="s">
        <v>11429</v>
      </c>
      <c r="D8417" t="s">
        <v>17444</v>
      </c>
      <c r="E8417" t="s">
        <v>24749</v>
      </c>
      <c r="F8417" t="s">
        <v>30052</v>
      </c>
      <c r="G8417" t="s">
        <v>30058</v>
      </c>
      <c r="H8417" t="s">
        <v>15498</v>
      </c>
      <c r="I8417" t="s">
        <v>6691</v>
      </c>
      <c r="J8417" t="s">
        <v>30277</v>
      </c>
      <c r="K8417" t="s">
        <v>39029</v>
      </c>
      <c r="M8417" t="s">
        <v>42051</v>
      </c>
      <c r="N8417" t="s">
        <v>43166</v>
      </c>
      <c r="O8417" t="s">
        <v>43167</v>
      </c>
      <c r="P8417">
        <v>0</v>
      </c>
      <c r="Q8417">
        <v>0</v>
      </c>
      <c r="R8417" t="s">
        <v>43174</v>
      </c>
      <c r="S8417" t="s">
        <v>43396</v>
      </c>
      <c r="T8417" t="s">
        <v>44700</v>
      </c>
      <c r="U8417" t="s">
        <v>49752</v>
      </c>
      <c r="V8417" t="s">
        <v>57718</v>
      </c>
      <c r="W8417" t="s">
        <v>42051</v>
      </c>
      <c r="X8417" t="s">
        <v>43175</v>
      </c>
    </row>
    <row r="8418" spans="1:24">
      <c r="A8418">
        <f>HYPERLINK("https://www.philgeps.gov.ph/GEPSNONPILOT/Tender/SplashBidNoticeAbstractUI.aspx?menuIndex=3&amp;refID=7074419&amp;Result=3","7074419")</f>
        <v>0</v>
      </c>
      <c r="B8418" t="s">
        <v>1608</v>
      </c>
      <c r="C8418" t="s">
        <v>11430</v>
      </c>
      <c r="D8418" t="s">
        <v>17415</v>
      </c>
      <c r="E8418" t="s">
        <v>24750</v>
      </c>
      <c r="F8418" t="s">
        <v>30052</v>
      </c>
      <c r="G8418" t="s">
        <v>30058</v>
      </c>
      <c r="H8418" t="s">
        <v>15498</v>
      </c>
      <c r="I8418" t="s">
        <v>7228</v>
      </c>
      <c r="J8418" t="s">
        <v>30230</v>
      </c>
      <c r="K8418" t="s">
        <v>39019</v>
      </c>
      <c r="M8418" t="s">
        <v>41506</v>
      </c>
      <c r="N8418" t="s">
        <v>43166</v>
      </c>
      <c r="O8418" t="s">
        <v>43167</v>
      </c>
      <c r="P8418">
        <v>0</v>
      </c>
      <c r="Q8418">
        <v>0</v>
      </c>
      <c r="R8418" t="s">
        <v>43174</v>
      </c>
      <c r="S8418" t="s">
        <v>43396</v>
      </c>
      <c r="T8418" t="s">
        <v>44844</v>
      </c>
      <c r="U8418" t="s">
        <v>48921</v>
      </c>
      <c r="W8418" t="s">
        <v>41506</v>
      </c>
      <c r="X8418" t="s">
        <v>43175</v>
      </c>
    </row>
    <row r="8419" spans="1:24">
      <c r="A8419">
        <f>HYPERLINK("https://www.philgeps.gov.ph/GEPSNONPILOT/Tender/SplashBidNoticeAbstractUI.aspx?menuIndex=3&amp;refID=7074478&amp;Result=3","7074478")</f>
        <v>0</v>
      </c>
      <c r="B8419" t="s">
        <v>2557</v>
      </c>
      <c r="C8419" t="s">
        <v>11431</v>
      </c>
      <c r="D8419" t="s">
        <v>17415</v>
      </c>
      <c r="E8419" t="s">
        <v>24751</v>
      </c>
      <c r="F8419" t="s">
        <v>30052</v>
      </c>
      <c r="G8419" t="s">
        <v>30059</v>
      </c>
      <c r="H8419" t="s">
        <v>15498</v>
      </c>
      <c r="I8419" t="s">
        <v>30137</v>
      </c>
      <c r="J8419" t="s">
        <v>30350</v>
      </c>
      <c r="K8419" t="s">
        <v>39095</v>
      </c>
      <c r="M8419" t="s">
        <v>42064</v>
      </c>
      <c r="N8419" t="s">
        <v>43166</v>
      </c>
      <c r="O8419" t="s">
        <v>43167</v>
      </c>
      <c r="P8419">
        <v>0</v>
      </c>
      <c r="Q8419">
        <v>1</v>
      </c>
      <c r="R8419" t="s">
        <v>43174</v>
      </c>
      <c r="S8419" t="s">
        <v>43396</v>
      </c>
      <c r="T8419" t="s">
        <v>44837</v>
      </c>
      <c r="U8419" t="s">
        <v>51975</v>
      </c>
      <c r="W8419" t="s">
        <v>42064</v>
      </c>
      <c r="X8419" t="s">
        <v>43175</v>
      </c>
    </row>
    <row r="8420" spans="1:24">
      <c r="A8420">
        <f>HYPERLINK("https://www.philgeps.gov.ph/GEPSNONPILOT/Tender/SplashBidNoticeAbstractUI.aspx?menuIndex=3&amp;refID=7074473&amp;Result=3","7074473")</f>
        <v>0</v>
      </c>
      <c r="B8420" t="s">
        <v>2556</v>
      </c>
      <c r="C8420" t="s">
        <v>11432</v>
      </c>
      <c r="D8420" t="s">
        <v>17414</v>
      </c>
      <c r="E8420" t="s">
        <v>24752</v>
      </c>
      <c r="F8420" t="s">
        <v>30052</v>
      </c>
      <c r="G8420" t="s">
        <v>30058</v>
      </c>
      <c r="H8420" t="s">
        <v>15498</v>
      </c>
      <c r="I8420" t="s">
        <v>30073</v>
      </c>
      <c r="J8420" t="s">
        <v>30208</v>
      </c>
      <c r="K8420" t="s">
        <v>39017</v>
      </c>
      <c r="M8420" t="s">
        <v>42063</v>
      </c>
      <c r="N8420" t="s">
        <v>43166</v>
      </c>
      <c r="O8420" t="s">
        <v>43167</v>
      </c>
      <c r="P8420">
        <v>0</v>
      </c>
      <c r="Q8420">
        <v>1</v>
      </c>
      <c r="R8420" t="s">
        <v>43174</v>
      </c>
      <c r="S8420" t="s">
        <v>43396</v>
      </c>
      <c r="T8420" t="s">
        <v>44753</v>
      </c>
      <c r="U8420" t="s">
        <v>51976</v>
      </c>
      <c r="W8420" t="s">
        <v>42063</v>
      </c>
      <c r="X8420" t="s">
        <v>43175</v>
      </c>
    </row>
    <row r="8421" spans="1:24">
      <c r="A8421">
        <f>HYPERLINK("https://www.philgeps.gov.ph/GEPSNONPILOT/Tender/SplashBidNoticeAbstractUI.aspx?menuIndex=3&amp;refID=7074389&amp;Result=3","7074389")</f>
        <v>0</v>
      </c>
      <c r="B8421" t="s">
        <v>2538</v>
      </c>
      <c r="C8421" t="s">
        <v>11433</v>
      </c>
      <c r="D8421" t="s">
        <v>17494</v>
      </c>
      <c r="E8421" t="s">
        <v>19095</v>
      </c>
      <c r="F8421" t="s">
        <v>30052</v>
      </c>
      <c r="G8421" t="s">
        <v>30058</v>
      </c>
      <c r="H8421" t="s">
        <v>15498</v>
      </c>
      <c r="I8421" t="s">
        <v>3736</v>
      </c>
      <c r="J8421" t="s">
        <v>35340</v>
      </c>
      <c r="K8421" t="s">
        <v>39029</v>
      </c>
      <c r="M8421" t="s">
        <v>42045</v>
      </c>
      <c r="N8421" t="s">
        <v>43166</v>
      </c>
      <c r="O8421" t="s">
        <v>43167</v>
      </c>
      <c r="P8421">
        <v>0</v>
      </c>
      <c r="Q8421">
        <v>1</v>
      </c>
      <c r="R8421" t="s">
        <v>43174</v>
      </c>
      <c r="S8421" t="s">
        <v>43396</v>
      </c>
      <c r="T8421" t="s">
        <v>44758</v>
      </c>
      <c r="U8421" t="s">
        <v>51933</v>
      </c>
      <c r="V8421" t="s">
        <v>57719</v>
      </c>
      <c r="W8421" t="s">
        <v>42045</v>
      </c>
      <c r="X8421" t="s">
        <v>43175</v>
      </c>
    </row>
    <row r="8422" spans="1:24">
      <c r="A8422">
        <f>HYPERLINK("https://www.philgeps.gov.ph/GEPSNONPILOT/Tender/SplashBidNoticeAbstractUI.aspx?menuIndex=3&amp;refID=7074467&amp;Result=3","7074467")</f>
        <v>0</v>
      </c>
      <c r="B8422" t="s">
        <v>2547</v>
      </c>
      <c r="C8422" t="s">
        <v>11434</v>
      </c>
      <c r="D8422" t="s">
        <v>17422</v>
      </c>
      <c r="E8422" t="s">
        <v>20306</v>
      </c>
      <c r="F8422" t="s">
        <v>30052</v>
      </c>
      <c r="G8422" t="s">
        <v>30058</v>
      </c>
      <c r="H8422" t="s">
        <v>30067</v>
      </c>
      <c r="I8422" t="s">
        <v>3693</v>
      </c>
      <c r="J8422" t="s">
        <v>30222</v>
      </c>
      <c r="K8422" t="s">
        <v>39031</v>
      </c>
      <c r="M8422" t="s">
        <v>42054</v>
      </c>
      <c r="N8422" t="s">
        <v>43166</v>
      </c>
      <c r="O8422" t="s">
        <v>43167</v>
      </c>
      <c r="P8422">
        <v>0</v>
      </c>
      <c r="Q8422">
        <v>3</v>
      </c>
      <c r="R8422" t="s">
        <v>43174</v>
      </c>
      <c r="S8422" t="s">
        <v>43396</v>
      </c>
      <c r="T8422" t="s">
        <v>44815</v>
      </c>
      <c r="U8422" t="s">
        <v>51977</v>
      </c>
      <c r="W8422" t="s">
        <v>42054</v>
      </c>
      <c r="X8422" t="s">
        <v>43175</v>
      </c>
    </row>
    <row r="8423" spans="1:24">
      <c r="A8423">
        <f>HYPERLINK("https://www.philgeps.gov.ph/GEPSNONPILOT/Tender/SplashBidNoticeAbstractUI.aspx?menuIndex=3&amp;refID=7074485&amp;Result=3","7074485")</f>
        <v>0</v>
      </c>
      <c r="B8423" t="s">
        <v>2558</v>
      </c>
      <c r="C8423" t="s">
        <v>11435</v>
      </c>
      <c r="D8423" t="s">
        <v>17449</v>
      </c>
      <c r="E8423" t="s">
        <v>24753</v>
      </c>
      <c r="F8423" t="s">
        <v>30052</v>
      </c>
      <c r="G8423" t="s">
        <v>30058</v>
      </c>
      <c r="H8423" t="s">
        <v>30067</v>
      </c>
      <c r="I8423" t="s">
        <v>3693</v>
      </c>
      <c r="J8423" t="s">
        <v>30252</v>
      </c>
      <c r="K8423" t="s">
        <v>39032</v>
      </c>
      <c r="M8423" t="s">
        <v>42065</v>
      </c>
      <c r="N8423" t="s">
        <v>43166</v>
      </c>
      <c r="O8423" t="s">
        <v>43167</v>
      </c>
      <c r="P8423">
        <v>0</v>
      </c>
      <c r="Q8423">
        <v>0</v>
      </c>
      <c r="R8423" t="s">
        <v>43174</v>
      </c>
      <c r="S8423" t="s">
        <v>43396</v>
      </c>
      <c r="T8423" t="s">
        <v>44837</v>
      </c>
      <c r="U8423" t="s">
        <v>51978</v>
      </c>
      <c r="W8423" t="s">
        <v>42065</v>
      </c>
      <c r="X8423" t="s">
        <v>43175</v>
      </c>
    </row>
    <row r="8424" spans="1:24">
      <c r="A8424">
        <f>HYPERLINK("https://www.philgeps.gov.ph/GEPSNONPILOT/Tender/SplashBidNoticeAbstractUI.aspx?menuIndex=3&amp;refID=7074453&amp;Result=3","7074453")</f>
        <v>0</v>
      </c>
      <c r="B8424" t="s">
        <v>1339</v>
      </c>
      <c r="C8424" t="s">
        <v>11436</v>
      </c>
      <c r="D8424" t="s">
        <v>17474</v>
      </c>
      <c r="E8424" t="s">
        <v>24754</v>
      </c>
      <c r="F8424" t="s">
        <v>30052</v>
      </c>
      <c r="G8424" t="s">
        <v>30058</v>
      </c>
      <c r="H8424" t="s">
        <v>15498</v>
      </c>
      <c r="I8424" t="s">
        <v>30074</v>
      </c>
      <c r="J8424" t="s">
        <v>31196</v>
      </c>
      <c r="K8424" t="s">
        <v>39029</v>
      </c>
      <c r="M8424" t="s">
        <v>41073</v>
      </c>
      <c r="N8424" t="s">
        <v>43166</v>
      </c>
      <c r="O8424" t="s">
        <v>43167</v>
      </c>
      <c r="P8424">
        <v>0</v>
      </c>
      <c r="Q8424">
        <v>0</v>
      </c>
      <c r="R8424" t="s">
        <v>43174</v>
      </c>
      <c r="S8424" t="s">
        <v>43396</v>
      </c>
      <c r="T8424" t="s">
        <v>44844</v>
      </c>
      <c r="U8424" t="s">
        <v>48174</v>
      </c>
      <c r="V8424" t="s">
        <v>57248</v>
      </c>
      <c r="W8424" t="s">
        <v>41073</v>
      </c>
      <c r="X8424" t="s">
        <v>43175</v>
      </c>
    </row>
    <row r="8425" spans="1:24">
      <c r="A8425">
        <f>HYPERLINK("https://www.philgeps.gov.ph/GEPSNONPILOT/Tender/SplashBidNoticeAbstractUI.aspx?menuIndex=3&amp;refID=7074476&amp;Result=3","7074476")</f>
        <v>0</v>
      </c>
      <c r="B8425" t="s">
        <v>2553</v>
      </c>
      <c r="C8425" t="s">
        <v>11437</v>
      </c>
      <c r="D8425" t="s">
        <v>17432</v>
      </c>
      <c r="E8425" t="s">
        <v>24755</v>
      </c>
      <c r="F8425" t="s">
        <v>30052</v>
      </c>
      <c r="G8425" t="s">
        <v>30059</v>
      </c>
      <c r="H8425" t="s">
        <v>15498</v>
      </c>
      <c r="I8425" t="s">
        <v>7228</v>
      </c>
      <c r="J8425" t="s">
        <v>30337</v>
      </c>
      <c r="K8425" t="s">
        <v>39034</v>
      </c>
      <c r="M8425" t="s">
        <v>42060</v>
      </c>
      <c r="N8425" t="s">
        <v>43166</v>
      </c>
      <c r="O8425" t="s">
        <v>43167</v>
      </c>
      <c r="P8425">
        <v>0</v>
      </c>
      <c r="Q8425">
        <v>0</v>
      </c>
      <c r="R8425" t="s">
        <v>43174</v>
      </c>
      <c r="S8425" t="s">
        <v>43396</v>
      </c>
      <c r="T8425" t="s">
        <v>44696</v>
      </c>
      <c r="U8425" t="s">
        <v>51979</v>
      </c>
      <c r="W8425" t="s">
        <v>42060</v>
      </c>
      <c r="X8425" t="s">
        <v>43175</v>
      </c>
    </row>
    <row r="8426" spans="1:24">
      <c r="A8426">
        <f>HYPERLINK("https://www.philgeps.gov.ph/GEPSNONPILOT/Tender/SplashBidNoticeAbstractUI.aspx?menuIndex=3&amp;refID=7074452&amp;Result=3","7074452")</f>
        <v>0</v>
      </c>
      <c r="B8426" t="s">
        <v>33</v>
      </c>
      <c r="C8426" t="s">
        <v>11438</v>
      </c>
      <c r="D8426" t="s">
        <v>17419</v>
      </c>
      <c r="E8426" t="s">
        <v>24756</v>
      </c>
      <c r="F8426" t="s">
        <v>30052</v>
      </c>
      <c r="G8426" t="s">
        <v>30060</v>
      </c>
      <c r="H8426" t="s">
        <v>15498</v>
      </c>
      <c r="I8426" t="s">
        <v>4119</v>
      </c>
      <c r="J8426" t="s">
        <v>30852</v>
      </c>
      <c r="K8426" t="s">
        <v>39025</v>
      </c>
      <c r="M8426" t="s">
        <v>39323</v>
      </c>
      <c r="N8426" t="s">
        <v>43166</v>
      </c>
      <c r="O8426" t="s">
        <v>43167</v>
      </c>
      <c r="P8426">
        <v>0</v>
      </c>
      <c r="Q8426">
        <v>1</v>
      </c>
      <c r="R8426" t="s">
        <v>43174</v>
      </c>
      <c r="S8426" t="s">
        <v>43396</v>
      </c>
      <c r="T8426" t="s">
        <v>44969</v>
      </c>
      <c r="U8426" t="s">
        <v>51970</v>
      </c>
      <c r="W8426" t="s">
        <v>39323</v>
      </c>
      <c r="X8426" t="s">
        <v>43175</v>
      </c>
    </row>
    <row r="8427" spans="1:24">
      <c r="A8427">
        <f>HYPERLINK("https://www.philgeps.gov.ph/GEPSNONPILOT/Tender/SplashBidNoticeAbstractUI.aspx?menuIndex=3&amp;refID=7074470&amp;Result=3","7074470")</f>
        <v>0</v>
      </c>
      <c r="B8427" t="s">
        <v>2559</v>
      </c>
      <c r="C8427" t="s">
        <v>11439</v>
      </c>
      <c r="D8427" t="s">
        <v>17449</v>
      </c>
      <c r="E8427" t="s">
        <v>24757</v>
      </c>
      <c r="F8427" t="s">
        <v>30052</v>
      </c>
      <c r="G8427" t="s">
        <v>30059</v>
      </c>
      <c r="H8427" t="s">
        <v>30067</v>
      </c>
      <c r="I8427" t="s">
        <v>3693</v>
      </c>
      <c r="J8427" t="s">
        <v>33399</v>
      </c>
      <c r="K8427" t="s">
        <v>39064</v>
      </c>
      <c r="M8427" t="s">
        <v>42066</v>
      </c>
      <c r="N8427" t="s">
        <v>43166</v>
      </c>
      <c r="O8427" t="s">
        <v>43167</v>
      </c>
      <c r="P8427">
        <v>0</v>
      </c>
      <c r="Q8427">
        <v>0</v>
      </c>
      <c r="R8427" t="s">
        <v>43174</v>
      </c>
      <c r="S8427" t="s">
        <v>43396</v>
      </c>
      <c r="T8427" t="s">
        <v>45095</v>
      </c>
      <c r="U8427" t="s">
        <v>51980</v>
      </c>
      <c r="W8427" t="s">
        <v>42066</v>
      </c>
      <c r="X8427" t="s">
        <v>43175</v>
      </c>
    </row>
    <row r="8428" spans="1:24">
      <c r="A8428">
        <f>HYPERLINK("https://www.philgeps.gov.ph/GEPSNONPILOT/Tender/SplashBidNoticeAbstractUI.aspx?menuIndex=3&amp;refID=7074449&amp;Result=3","7074449")</f>
        <v>0</v>
      </c>
      <c r="B8428" t="s">
        <v>1028</v>
      </c>
      <c r="C8428" t="s">
        <v>11440</v>
      </c>
      <c r="D8428" t="s">
        <v>17475</v>
      </c>
      <c r="E8428" t="s">
        <v>24758</v>
      </c>
      <c r="F8428" t="s">
        <v>30052</v>
      </c>
      <c r="G8428" t="s">
        <v>30059</v>
      </c>
      <c r="H8428" t="s">
        <v>15498</v>
      </c>
      <c r="I8428" t="s">
        <v>6691</v>
      </c>
      <c r="J8428" t="s">
        <v>30845</v>
      </c>
      <c r="K8428" t="s">
        <v>39035</v>
      </c>
      <c r="M8428" t="s">
        <v>40357</v>
      </c>
      <c r="N8428" t="s">
        <v>43166</v>
      </c>
      <c r="O8428" t="s">
        <v>43167</v>
      </c>
      <c r="P8428">
        <v>0</v>
      </c>
      <c r="Q8428">
        <v>0</v>
      </c>
      <c r="R8428" t="s">
        <v>43174</v>
      </c>
      <c r="S8428" t="s">
        <v>43396</v>
      </c>
      <c r="T8428" t="s">
        <v>44837</v>
      </c>
      <c r="U8428" t="s">
        <v>47341</v>
      </c>
      <c r="W8428" t="s">
        <v>40357</v>
      </c>
      <c r="X8428" t="s">
        <v>43175</v>
      </c>
    </row>
    <row r="8429" spans="1:24">
      <c r="A8429">
        <f>HYPERLINK("https://www.philgeps.gov.ph/GEPSNONPILOT/Tender/SplashBidNoticeAbstractUI.aspx?menuIndex=3&amp;refID=7074447&amp;Result=3","7074447")</f>
        <v>0</v>
      </c>
      <c r="B8429" t="s">
        <v>1414</v>
      </c>
      <c r="C8429" t="s">
        <v>11441</v>
      </c>
      <c r="D8429" t="s">
        <v>17419</v>
      </c>
      <c r="E8429" t="s">
        <v>24759</v>
      </c>
      <c r="F8429" t="s">
        <v>30052</v>
      </c>
      <c r="G8429" t="s">
        <v>30058</v>
      </c>
      <c r="H8429" t="s">
        <v>15498</v>
      </c>
      <c r="I8429" t="s">
        <v>30076</v>
      </c>
      <c r="J8429" t="s">
        <v>35341</v>
      </c>
      <c r="K8429" t="s">
        <v>39019</v>
      </c>
      <c r="M8429" t="s">
        <v>40792</v>
      </c>
      <c r="N8429" t="s">
        <v>43166</v>
      </c>
      <c r="O8429" t="s">
        <v>43167</v>
      </c>
      <c r="P8429">
        <v>0</v>
      </c>
      <c r="Q8429">
        <v>4</v>
      </c>
      <c r="R8429" t="s">
        <v>43174</v>
      </c>
      <c r="S8429" t="s">
        <v>43396</v>
      </c>
      <c r="T8429" t="s">
        <v>44758</v>
      </c>
      <c r="U8429" t="s">
        <v>51981</v>
      </c>
      <c r="W8429" t="s">
        <v>40792</v>
      </c>
      <c r="X8429" t="s">
        <v>43175</v>
      </c>
    </row>
    <row r="8430" spans="1:24">
      <c r="A8430">
        <f>HYPERLINK("https://www.philgeps.gov.ph/GEPSNONPILOT/Tender/SplashBidNoticeAbstractUI.aspx?menuIndex=3&amp;refID=7074542&amp;Result=3","7074542")</f>
        <v>0</v>
      </c>
      <c r="B8430" t="s">
        <v>2556</v>
      </c>
      <c r="C8430" t="s">
        <v>11442</v>
      </c>
      <c r="D8430" t="s">
        <v>17414</v>
      </c>
      <c r="E8430" t="s">
        <v>24760</v>
      </c>
      <c r="F8430" t="s">
        <v>30052</v>
      </c>
      <c r="G8430" t="s">
        <v>30058</v>
      </c>
      <c r="H8430" t="s">
        <v>15498</v>
      </c>
      <c r="I8430" t="s">
        <v>30081</v>
      </c>
      <c r="J8430" t="s">
        <v>35342</v>
      </c>
      <c r="K8430" t="s">
        <v>39017</v>
      </c>
      <c r="M8430" t="s">
        <v>42063</v>
      </c>
      <c r="N8430" t="s">
        <v>43166</v>
      </c>
      <c r="O8430" t="s">
        <v>43167</v>
      </c>
      <c r="P8430">
        <v>0</v>
      </c>
      <c r="Q8430">
        <v>0</v>
      </c>
      <c r="R8430" t="s">
        <v>43174</v>
      </c>
      <c r="S8430" t="s">
        <v>43396</v>
      </c>
      <c r="T8430" t="s">
        <v>44753</v>
      </c>
      <c r="U8430" t="s">
        <v>51982</v>
      </c>
      <c r="W8430" t="s">
        <v>42063</v>
      </c>
      <c r="X8430" t="s">
        <v>43175</v>
      </c>
    </row>
    <row r="8431" spans="1:24">
      <c r="A8431">
        <f>HYPERLINK("https://www.philgeps.gov.ph/GEPSNONPILOT/Tender/SplashBidNoticeAbstractUI.aspx?menuIndex=3&amp;refID=7074540&amp;Result=3","7074540")</f>
        <v>0</v>
      </c>
      <c r="B8431" t="s">
        <v>2558</v>
      </c>
      <c r="C8431" t="s">
        <v>11443</v>
      </c>
      <c r="D8431" t="s">
        <v>17449</v>
      </c>
      <c r="E8431" t="s">
        <v>24761</v>
      </c>
      <c r="F8431" t="s">
        <v>30052</v>
      </c>
      <c r="G8431" t="s">
        <v>30058</v>
      </c>
      <c r="H8431" t="s">
        <v>30067</v>
      </c>
      <c r="I8431" t="s">
        <v>3693</v>
      </c>
      <c r="J8431" t="s">
        <v>35343</v>
      </c>
      <c r="K8431" t="s">
        <v>39029</v>
      </c>
      <c r="M8431" t="s">
        <v>42065</v>
      </c>
      <c r="N8431" t="s">
        <v>43166</v>
      </c>
      <c r="O8431" t="s">
        <v>43167</v>
      </c>
      <c r="P8431">
        <v>0</v>
      </c>
      <c r="Q8431">
        <v>0</v>
      </c>
      <c r="R8431" t="s">
        <v>43174</v>
      </c>
      <c r="S8431" t="s">
        <v>43396</v>
      </c>
      <c r="T8431" t="s">
        <v>44837</v>
      </c>
      <c r="U8431" t="s">
        <v>51983</v>
      </c>
      <c r="W8431" t="s">
        <v>42065</v>
      </c>
      <c r="X8431" t="s">
        <v>43175</v>
      </c>
    </row>
    <row r="8432" spans="1:24">
      <c r="A8432">
        <f>HYPERLINK("https://www.philgeps.gov.ph/GEPSNONPILOT/Tender/SplashBidNoticeAbstractUI.aspx?menuIndex=3&amp;refID=7074534&amp;Result=3","7074534")</f>
        <v>0</v>
      </c>
      <c r="B8432" t="s">
        <v>398</v>
      </c>
      <c r="C8432" t="s">
        <v>11444</v>
      </c>
      <c r="D8432" t="s">
        <v>17483</v>
      </c>
      <c r="E8432" t="s">
        <v>24762</v>
      </c>
      <c r="F8432" t="s">
        <v>30056</v>
      </c>
      <c r="G8432" t="s">
        <v>30058</v>
      </c>
      <c r="H8432" t="s">
        <v>30067</v>
      </c>
      <c r="I8432" t="s">
        <v>3693</v>
      </c>
      <c r="J8432" t="s">
        <v>35344</v>
      </c>
      <c r="K8432" t="s">
        <v>39031</v>
      </c>
      <c r="M8432" t="s">
        <v>39697</v>
      </c>
      <c r="N8432" t="s">
        <v>43166</v>
      </c>
      <c r="O8432" t="s">
        <v>43167</v>
      </c>
      <c r="P8432">
        <v>0</v>
      </c>
      <c r="Q8432">
        <v>0</v>
      </c>
      <c r="R8432" t="s">
        <v>43174</v>
      </c>
      <c r="S8432" t="s">
        <v>43396</v>
      </c>
      <c r="T8432" t="s">
        <v>44873</v>
      </c>
      <c r="U8432" t="s">
        <v>51984</v>
      </c>
      <c r="W8432" t="s">
        <v>39697</v>
      </c>
      <c r="X8432" t="s">
        <v>43175</v>
      </c>
    </row>
    <row r="8433" spans="1:24">
      <c r="A8433">
        <f>HYPERLINK("https://www.philgeps.gov.ph/GEPSNONPILOT/Tender/SplashBidNoticeAbstractUI.aspx?menuIndex=3&amp;refID=7074469&amp;Result=3","7074469")</f>
        <v>0</v>
      </c>
      <c r="B8433" t="s">
        <v>2550</v>
      </c>
      <c r="C8433" t="s">
        <v>11445</v>
      </c>
      <c r="D8433" t="s">
        <v>17445</v>
      </c>
      <c r="E8433" t="s">
        <v>24763</v>
      </c>
      <c r="F8433" t="s">
        <v>30052</v>
      </c>
      <c r="G8433" t="s">
        <v>30061</v>
      </c>
      <c r="H8433" t="s">
        <v>15498</v>
      </c>
      <c r="I8433" t="s">
        <v>30135</v>
      </c>
      <c r="J8433" t="s">
        <v>35345</v>
      </c>
      <c r="K8433" t="s">
        <v>39029</v>
      </c>
      <c r="M8433" t="s">
        <v>42057</v>
      </c>
      <c r="N8433" t="s">
        <v>43166</v>
      </c>
      <c r="O8433" t="s">
        <v>43167</v>
      </c>
      <c r="P8433">
        <v>0</v>
      </c>
      <c r="Q8433">
        <v>11</v>
      </c>
      <c r="R8433" t="s">
        <v>43174</v>
      </c>
      <c r="S8433" t="s">
        <v>43396</v>
      </c>
      <c r="T8433" t="s">
        <v>45047</v>
      </c>
      <c r="U8433" t="s">
        <v>51985</v>
      </c>
      <c r="W8433" t="s">
        <v>42057</v>
      </c>
      <c r="X8433" t="s">
        <v>43175</v>
      </c>
    </row>
    <row r="8434" spans="1:24">
      <c r="A8434">
        <f>HYPERLINK("https://www.philgeps.gov.ph/GEPSNONPILOT/Tender/SplashBidNoticeAbstractUI.aspx?menuIndex=3&amp;refID=7074530&amp;Result=3","7074530")</f>
        <v>0</v>
      </c>
      <c r="B8434" t="s">
        <v>857</v>
      </c>
      <c r="C8434" t="s">
        <v>11446</v>
      </c>
      <c r="D8434" t="s">
        <v>17424</v>
      </c>
      <c r="E8434" t="s">
        <v>24764</v>
      </c>
      <c r="F8434" t="s">
        <v>30052</v>
      </c>
      <c r="G8434" t="s">
        <v>30058</v>
      </c>
      <c r="H8434" t="s">
        <v>15498</v>
      </c>
      <c r="I8434" t="s">
        <v>3693</v>
      </c>
      <c r="J8434" t="s">
        <v>35346</v>
      </c>
      <c r="K8434" t="s">
        <v>39029</v>
      </c>
      <c r="M8434" t="s">
        <v>40174</v>
      </c>
      <c r="N8434" t="s">
        <v>43166</v>
      </c>
      <c r="O8434" t="s">
        <v>43167</v>
      </c>
      <c r="Q8434">
        <v>7</v>
      </c>
      <c r="R8434" t="s">
        <v>43174</v>
      </c>
      <c r="S8434" t="s">
        <v>43423</v>
      </c>
      <c r="T8434" t="s">
        <v>45096</v>
      </c>
      <c r="U8434" t="s">
        <v>51986</v>
      </c>
      <c r="W8434" t="s">
        <v>40174</v>
      </c>
      <c r="X8434" t="s">
        <v>43175</v>
      </c>
    </row>
    <row r="8435" spans="1:24">
      <c r="A8435">
        <f>HYPERLINK("https://www.philgeps.gov.ph/GEPSNONPILOT/Tender/SplashBidNoticeAbstractUI.aspx?menuIndex=3&amp;refID=7074526&amp;Result=3","7074526")</f>
        <v>0</v>
      </c>
      <c r="B8435" t="s">
        <v>2560</v>
      </c>
      <c r="C8435" t="s">
        <v>11447</v>
      </c>
      <c r="D8435" t="s">
        <v>17485</v>
      </c>
      <c r="E8435" t="s">
        <v>24765</v>
      </c>
      <c r="F8435" t="s">
        <v>30052</v>
      </c>
      <c r="G8435" t="s">
        <v>30058</v>
      </c>
      <c r="H8435" t="s">
        <v>30067</v>
      </c>
      <c r="I8435" t="s">
        <v>3693</v>
      </c>
      <c r="J8435" t="s">
        <v>35347</v>
      </c>
      <c r="K8435" t="s">
        <v>39026</v>
      </c>
      <c r="M8435" t="s">
        <v>42067</v>
      </c>
      <c r="N8435" t="s">
        <v>43166</v>
      </c>
      <c r="O8435" t="s">
        <v>43167</v>
      </c>
      <c r="P8435">
        <v>0</v>
      </c>
      <c r="Q8435">
        <v>0</v>
      </c>
      <c r="R8435" t="s">
        <v>43174</v>
      </c>
      <c r="S8435" t="s">
        <v>43396</v>
      </c>
      <c r="T8435" t="s">
        <v>44716</v>
      </c>
      <c r="U8435" t="s">
        <v>51987</v>
      </c>
      <c r="W8435" t="s">
        <v>42067</v>
      </c>
      <c r="X8435" t="s">
        <v>43175</v>
      </c>
    </row>
    <row r="8436" spans="1:24">
      <c r="A8436">
        <f>HYPERLINK("https://www.philgeps.gov.ph/GEPSNONPILOT/Tender/SplashBidNoticeAbstractUI.aspx?menuIndex=3&amp;refID=7074459&amp;Result=3","7074459")</f>
        <v>0</v>
      </c>
      <c r="B8436" t="s">
        <v>2200</v>
      </c>
      <c r="C8436" t="s">
        <v>11448</v>
      </c>
      <c r="D8436" t="s">
        <v>17463</v>
      </c>
      <c r="E8436" t="s">
        <v>24766</v>
      </c>
      <c r="F8436" t="s">
        <v>30052</v>
      </c>
      <c r="G8436" t="s">
        <v>30058</v>
      </c>
      <c r="H8436" t="s">
        <v>30067</v>
      </c>
      <c r="I8436" t="s">
        <v>3693</v>
      </c>
      <c r="J8436" t="s">
        <v>31851</v>
      </c>
      <c r="K8436" t="s">
        <v>39075</v>
      </c>
      <c r="M8436" t="s">
        <v>41841</v>
      </c>
      <c r="N8436" t="s">
        <v>43166</v>
      </c>
      <c r="O8436" t="s">
        <v>43167</v>
      </c>
      <c r="P8436">
        <v>0</v>
      </c>
      <c r="Q8436">
        <v>5</v>
      </c>
      <c r="R8436" t="s">
        <v>43174</v>
      </c>
      <c r="S8436" t="s">
        <v>43396</v>
      </c>
      <c r="T8436" t="s">
        <v>44716</v>
      </c>
      <c r="U8436" t="s">
        <v>51896</v>
      </c>
      <c r="W8436" t="s">
        <v>41841</v>
      </c>
      <c r="X8436" t="s">
        <v>43175</v>
      </c>
    </row>
    <row r="8437" spans="1:24">
      <c r="A8437">
        <f>HYPERLINK("https://www.philgeps.gov.ph/GEPSNONPILOT/Tender/SplashBidNoticeAbstractUI.aspx?menuIndex=3&amp;refID=7074524&amp;Result=3","7074524")</f>
        <v>0</v>
      </c>
      <c r="B8437" t="s">
        <v>1608</v>
      </c>
      <c r="C8437" t="s">
        <v>11449</v>
      </c>
      <c r="D8437" t="s">
        <v>17415</v>
      </c>
      <c r="E8437" t="s">
        <v>24767</v>
      </c>
      <c r="F8437" t="s">
        <v>30052</v>
      </c>
      <c r="G8437" t="s">
        <v>30058</v>
      </c>
      <c r="H8437" t="s">
        <v>15498</v>
      </c>
      <c r="I8437" t="s">
        <v>3852</v>
      </c>
      <c r="J8437" t="s">
        <v>33144</v>
      </c>
      <c r="K8437" t="s">
        <v>39019</v>
      </c>
      <c r="M8437" t="s">
        <v>41506</v>
      </c>
      <c r="N8437" t="s">
        <v>43166</v>
      </c>
      <c r="O8437" t="s">
        <v>43167</v>
      </c>
      <c r="P8437">
        <v>0</v>
      </c>
      <c r="Q8437">
        <v>0</v>
      </c>
      <c r="R8437" t="s">
        <v>43174</v>
      </c>
      <c r="S8437" t="s">
        <v>43396</v>
      </c>
      <c r="T8437" t="s">
        <v>44844</v>
      </c>
      <c r="U8437" t="s">
        <v>48908</v>
      </c>
      <c r="W8437" t="s">
        <v>41506</v>
      </c>
      <c r="X8437" t="s">
        <v>43175</v>
      </c>
    </row>
    <row r="8438" spans="1:24">
      <c r="A8438">
        <f>HYPERLINK("https://www.philgeps.gov.ph/GEPSNONPILOT/Tender/SplashBidNoticeAbstractUI.aspx?menuIndex=3&amp;refID=7074523&amp;Result=3","7074523")</f>
        <v>0</v>
      </c>
      <c r="B8438" t="s">
        <v>2561</v>
      </c>
      <c r="C8438" t="s">
        <v>11450</v>
      </c>
      <c r="D8438" t="s">
        <v>17445</v>
      </c>
      <c r="E8438" t="s">
        <v>18728</v>
      </c>
      <c r="F8438" t="s">
        <v>30052</v>
      </c>
      <c r="G8438" t="s">
        <v>30058</v>
      </c>
      <c r="H8438" t="s">
        <v>15498</v>
      </c>
      <c r="I8438" t="s">
        <v>3736</v>
      </c>
      <c r="J8438" t="s">
        <v>35348</v>
      </c>
      <c r="K8438" t="s">
        <v>39017</v>
      </c>
      <c r="M8438" t="s">
        <v>42068</v>
      </c>
      <c r="N8438" t="s">
        <v>43166</v>
      </c>
      <c r="O8438" t="s">
        <v>43167</v>
      </c>
      <c r="P8438">
        <v>0</v>
      </c>
      <c r="Q8438">
        <v>1</v>
      </c>
      <c r="R8438" t="s">
        <v>43174</v>
      </c>
      <c r="S8438" t="s">
        <v>43396</v>
      </c>
      <c r="T8438" t="s">
        <v>44837</v>
      </c>
      <c r="U8438" t="s">
        <v>51988</v>
      </c>
      <c r="W8438" t="s">
        <v>42068</v>
      </c>
      <c r="X8438" t="s">
        <v>43175</v>
      </c>
    </row>
    <row r="8439" spans="1:24">
      <c r="A8439">
        <f>HYPERLINK("https://www.philgeps.gov.ph/GEPSNONPILOT/Tender/SplashBidNoticeAbstractUI.aspx?menuIndex=3&amp;refID=7074520&amp;Result=3","7074520")</f>
        <v>0</v>
      </c>
      <c r="B8439" t="s">
        <v>2477</v>
      </c>
      <c r="C8439" t="s">
        <v>11451</v>
      </c>
      <c r="D8439" t="s">
        <v>17417</v>
      </c>
      <c r="E8439" t="s">
        <v>24768</v>
      </c>
      <c r="F8439" t="s">
        <v>30052</v>
      </c>
      <c r="G8439" t="s">
        <v>30058</v>
      </c>
      <c r="H8439" t="s">
        <v>15498</v>
      </c>
      <c r="I8439" t="s">
        <v>30102</v>
      </c>
      <c r="J8439" t="s">
        <v>35349</v>
      </c>
      <c r="K8439" t="s">
        <v>39023</v>
      </c>
      <c r="M8439" t="s">
        <v>41977</v>
      </c>
      <c r="N8439" t="s">
        <v>43166</v>
      </c>
      <c r="O8439" t="s">
        <v>43167</v>
      </c>
      <c r="P8439">
        <v>0</v>
      </c>
      <c r="Q8439">
        <v>2</v>
      </c>
      <c r="R8439" t="s">
        <v>43174</v>
      </c>
      <c r="S8439" t="s">
        <v>43396</v>
      </c>
      <c r="T8439" t="s">
        <v>44815</v>
      </c>
      <c r="U8439" t="s">
        <v>51989</v>
      </c>
      <c r="W8439" t="s">
        <v>41977</v>
      </c>
      <c r="X8439" t="s">
        <v>43175</v>
      </c>
    </row>
    <row r="8440" spans="1:24">
      <c r="A8440">
        <f>HYPERLINK("https://www.philgeps.gov.ph/GEPSNONPILOT/Tender/SplashBidNoticeAbstractUI.aspx?menuIndex=3&amp;refID=7074519&amp;Result=3","7074519")</f>
        <v>0</v>
      </c>
      <c r="B8440" t="s">
        <v>1028</v>
      </c>
      <c r="C8440" t="s">
        <v>11452</v>
      </c>
      <c r="D8440" t="s">
        <v>17481</v>
      </c>
      <c r="E8440" t="s">
        <v>24769</v>
      </c>
      <c r="F8440" t="s">
        <v>30052</v>
      </c>
      <c r="G8440" t="s">
        <v>30059</v>
      </c>
      <c r="H8440" t="s">
        <v>15498</v>
      </c>
      <c r="I8440" t="s">
        <v>6691</v>
      </c>
      <c r="J8440" t="s">
        <v>35350</v>
      </c>
      <c r="K8440" t="s">
        <v>39035</v>
      </c>
      <c r="M8440" t="s">
        <v>40357</v>
      </c>
      <c r="N8440" t="s">
        <v>43166</v>
      </c>
      <c r="O8440" t="s">
        <v>43167</v>
      </c>
      <c r="P8440">
        <v>0</v>
      </c>
      <c r="Q8440">
        <v>0</v>
      </c>
      <c r="R8440" t="s">
        <v>43174</v>
      </c>
      <c r="S8440" t="s">
        <v>43396</v>
      </c>
      <c r="T8440" t="s">
        <v>44837</v>
      </c>
      <c r="U8440" t="s">
        <v>47341</v>
      </c>
      <c r="W8440" t="s">
        <v>40357</v>
      </c>
      <c r="X8440" t="s">
        <v>43175</v>
      </c>
    </row>
    <row r="8441" spans="1:24">
      <c r="A8441">
        <f>HYPERLINK("https://www.philgeps.gov.ph/GEPSNONPILOT/Tender/SplashBidNoticeAbstractUI.aspx?menuIndex=3&amp;refID=7074516&amp;Result=3","7074516")</f>
        <v>0</v>
      </c>
      <c r="B8441" t="s">
        <v>2110</v>
      </c>
      <c r="C8441" t="s">
        <v>11453</v>
      </c>
      <c r="D8441" t="s">
        <v>17463</v>
      </c>
      <c r="E8441" t="s">
        <v>24770</v>
      </c>
      <c r="F8441" t="s">
        <v>30052</v>
      </c>
      <c r="G8441" t="s">
        <v>30058</v>
      </c>
      <c r="H8441" t="s">
        <v>15498</v>
      </c>
      <c r="I8441" t="s">
        <v>30073</v>
      </c>
      <c r="J8441" t="s">
        <v>35351</v>
      </c>
      <c r="K8441" t="s">
        <v>39025</v>
      </c>
      <c r="M8441" t="s">
        <v>41572</v>
      </c>
      <c r="N8441" t="s">
        <v>43166</v>
      </c>
      <c r="O8441" t="s">
        <v>43167</v>
      </c>
      <c r="P8441">
        <v>0</v>
      </c>
      <c r="Q8441">
        <v>0</v>
      </c>
      <c r="R8441" t="s">
        <v>43174</v>
      </c>
      <c r="S8441" t="s">
        <v>43396</v>
      </c>
      <c r="T8441" t="s">
        <v>44844</v>
      </c>
      <c r="U8441" t="s">
        <v>51990</v>
      </c>
      <c r="W8441" t="s">
        <v>41572</v>
      </c>
      <c r="X8441" t="s">
        <v>43175</v>
      </c>
    </row>
    <row r="8442" spans="1:24">
      <c r="A8442">
        <f>HYPERLINK("https://www.philgeps.gov.ph/GEPSNONPILOT/Tender/SplashBidNoticeAbstractUI.aspx?menuIndex=3&amp;refID=7074528&amp;Result=3","7074528")</f>
        <v>0</v>
      </c>
      <c r="B8442" t="s">
        <v>2562</v>
      </c>
      <c r="C8442" t="s">
        <v>11454</v>
      </c>
      <c r="D8442" t="s">
        <v>17492</v>
      </c>
      <c r="E8442" t="s">
        <v>24146</v>
      </c>
      <c r="F8442" t="s">
        <v>30052</v>
      </c>
      <c r="G8442" t="s">
        <v>30058</v>
      </c>
      <c r="H8442" t="s">
        <v>15498</v>
      </c>
      <c r="I8442" t="s">
        <v>30073</v>
      </c>
      <c r="J8442" t="s">
        <v>35352</v>
      </c>
      <c r="K8442" t="s">
        <v>39017</v>
      </c>
      <c r="M8442" t="s">
        <v>42069</v>
      </c>
      <c r="N8442" t="s">
        <v>43166</v>
      </c>
      <c r="O8442" t="s">
        <v>43167</v>
      </c>
      <c r="P8442">
        <v>0</v>
      </c>
      <c r="Q8442">
        <v>0</v>
      </c>
      <c r="R8442" t="s">
        <v>43174</v>
      </c>
      <c r="S8442" t="s">
        <v>43396</v>
      </c>
      <c r="T8442" t="s">
        <v>45097</v>
      </c>
      <c r="U8442" t="s">
        <v>51991</v>
      </c>
      <c r="V8442" t="s">
        <v>57720</v>
      </c>
      <c r="W8442" t="s">
        <v>42069</v>
      </c>
      <c r="X8442" t="s">
        <v>43175</v>
      </c>
    </row>
    <row r="8443" spans="1:24">
      <c r="A8443">
        <f>HYPERLINK("https://www.philgeps.gov.ph/GEPSNONPILOT/Tender/SplashBidNoticeAbstractUI.aspx?menuIndex=3&amp;refID=7074539&amp;Result=3","7074539")</f>
        <v>0</v>
      </c>
      <c r="B8443" t="s">
        <v>2553</v>
      </c>
      <c r="C8443" t="s">
        <v>11455</v>
      </c>
      <c r="D8443" t="s">
        <v>17432</v>
      </c>
      <c r="E8443" t="s">
        <v>24771</v>
      </c>
      <c r="F8443" t="s">
        <v>30052</v>
      </c>
      <c r="G8443" t="s">
        <v>30059</v>
      </c>
      <c r="H8443" t="s">
        <v>15498</v>
      </c>
      <c r="I8443" t="s">
        <v>7228</v>
      </c>
      <c r="J8443" t="s">
        <v>30521</v>
      </c>
      <c r="K8443" t="s">
        <v>39034</v>
      </c>
      <c r="M8443" t="s">
        <v>42060</v>
      </c>
      <c r="N8443" t="s">
        <v>43166</v>
      </c>
      <c r="O8443" t="s">
        <v>43167</v>
      </c>
      <c r="P8443">
        <v>0</v>
      </c>
      <c r="Q8443">
        <v>0</v>
      </c>
      <c r="R8443" t="s">
        <v>43174</v>
      </c>
      <c r="S8443" t="s">
        <v>43396</v>
      </c>
      <c r="T8443" t="s">
        <v>44720</v>
      </c>
      <c r="U8443" t="s">
        <v>51992</v>
      </c>
      <c r="W8443" t="s">
        <v>42060</v>
      </c>
      <c r="X8443" t="s">
        <v>43175</v>
      </c>
    </row>
    <row r="8444" spans="1:24">
      <c r="A8444">
        <f>HYPERLINK("https://www.philgeps.gov.ph/GEPSNONPILOT/Tender/SplashBidNoticeAbstractUI.aspx?menuIndex=3&amp;refID=7074513&amp;Result=3","7074513")</f>
        <v>0</v>
      </c>
      <c r="B8444" t="s">
        <v>1608</v>
      </c>
      <c r="C8444" t="s">
        <v>11456</v>
      </c>
      <c r="D8444" t="s">
        <v>17415</v>
      </c>
      <c r="E8444" t="s">
        <v>24772</v>
      </c>
      <c r="F8444" t="s">
        <v>30052</v>
      </c>
      <c r="G8444" t="s">
        <v>30058</v>
      </c>
      <c r="H8444" t="s">
        <v>15498</v>
      </c>
      <c r="I8444" t="s">
        <v>7228</v>
      </c>
      <c r="J8444" t="s">
        <v>30207</v>
      </c>
      <c r="K8444" t="s">
        <v>39019</v>
      </c>
      <c r="M8444" t="s">
        <v>41506</v>
      </c>
      <c r="N8444" t="s">
        <v>43166</v>
      </c>
      <c r="O8444" t="s">
        <v>43167</v>
      </c>
      <c r="P8444">
        <v>0</v>
      </c>
      <c r="Q8444">
        <v>1</v>
      </c>
      <c r="R8444" t="s">
        <v>43174</v>
      </c>
      <c r="S8444" t="s">
        <v>43396</v>
      </c>
      <c r="T8444" t="s">
        <v>44844</v>
      </c>
      <c r="U8444" t="s">
        <v>48921</v>
      </c>
      <c r="W8444" t="s">
        <v>41506</v>
      </c>
      <c r="X8444" t="s">
        <v>43175</v>
      </c>
    </row>
    <row r="8445" spans="1:24">
      <c r="A8445">
        <f>HYPERLINK("https://www.philgeps.gov.ph/GEPSNONPILOT/Tender/SplashBidNoticeAbstractUI.aspx?menuIndex=3&amp;refID=7074508&amp;Result=3","7074508")</f>
        <v>0</v>
      </c>
      <c r="B8445" t="s">
        <v>2550</v>
      </c>
      <c r="C8445" t="s">
        <v>11457</v>
      </c>
      <c r="D8445" t="s">
        <v>17445</v>
      </c>
      <c r="E8445" t="s">
        <v>24773</v>
      </c>
      <c r="F8445" t="s">
        <v>30052</v>
      </c>
      <c r="G8445" t="s">
        <v>30061</v>
      </c>
      <c r="H8445" t="s">
        <v>15498</v>
      </c>
      <c r="I8445" t="s">
        <v>30135</v>
      </c>
      <c r="J8445" t="s">
        <v>31913</v>
      </c>
      <c r="K8445" t="s">
        <v>39029</v>
      </c>
      <c r="M8445" t="s">
        <v>42057</v>
      </c>
      <c r="N8445" t="s">
        <v>43166</v>
      </c>
      <c r="O8445" t="s">
        <v>43167</v>
      </c>
      <c r="P8445">
        <v>0</v>
      </c>
      <c r="Q8445">
        <v>10</v>
      </c>
      <c r="R8445" t="s">
        <v>43174</v>
      </c>
      <c r="S8445" t="s">
        <v>43396</v>
      </c>
      <c r="T8445" t="s">
        <v>45047</v>
      </c>
      <c r="U8445" t="s">
        <v>51993</v>
      </c>
      <c r="W8445" t="s">
        <v>42057</v>
      </c>
      <c r="X8445" t="s">
        <v>43175</v>
      </c>
    </row>
    <row r="8446" spans="1:24">
      <c r="A8446">
        <f>HYPERLINK("https://www.philgeps.gov.ph/GEPSNONPILOT/Tender/SplashBidNoticeAbstractUI.aspx?menuIndex=3&amp;refID=7074505&amp;Result=3","7074505")</f>
        <v>0</v>
      </c>
      <c r="B8446" t="s">
        <v>2563</v>
      </c>
      <c r="C8446" t="s">
        <v>11458</v>
      </c>
      <c r="D8446" t="s">
        <v>17434</v>
      </c>
      <c r="E8446" t="s">
        <v>24774</v>
      </c>
      <c r="F8446" t="s">
        <v>30056</v>
      </c>
      <c r="G8446" t="s">
        <v>30061</v>
      </c>
      <c r="H8446" t="s">
        <v>15498</v>
      </c>
      <c r="I8446" t="s">
        <v>30125</v>
      </c>
      <c r="J8446" t="s">
        <v>30277</v>
      </c>
      <c r="K8446" t="s">
        <v>39034</v>
      </c>
      <c r="M8446" t="s">
        <v>42070</v>
      </c>
      <c r="N8446" t="s">
        <v>43166</v>
      </c>
      <c r="O8446" t="s">
        <v>43167</v>
      </c>
      <c r="P8446">
        <v>0</v>
      </c>
      <c r="Q8446">
        <v>3</v>
      </c>
      <c r="R8446" t="s">
        <v>43174</v>
      </c>
      <c r="S8446" t="s">
        <v>43396</v>
      </c>
      <c r="T8446" t="s">
        <v>44750</v>
      </c>
      <c r="U8446" t="s">
        <v>51994</v>
      </c>
      <c r="W8446" t="s">
        <v>42070</v>
      </c>
      <c r="X8446" t="s">
        <v>43175</v>
      </c>
    </row>
    <row r="8447" spans="1:24">
      <c r="A8447">
        <f>HYPERLINK("https://www.philgeps.gov.ph/GEPSNONPILOT/Tender/SplashBidNoticeAbstractUI.aspx?menuIndex=3&amp;refID=7074504&amp;Result=3","7074504")</f>
        <v>0</v>
      </c>
      <c r="B8447" t="s">
        <v>1608</v>
      </c>
      <c r="C8447" t="s">
        <v>11459</v>
      </c>
      <c r="D8447" t="s">
        <v>17415</v>
      </c>
      <c r="E8447" t="s">
        <v>24775</v>
      </c>
      <c r="F8447" t="s">
        <v>30052</v>
      </c>
      <c r="G8447" t="s">
        <v>30058</v>
      </c>
      <c r="H8447" t="s">
        <v>15498</v>
      </c>
      <c r="I8447" t="s">
        <v>7228</v>
      </c>
      <c r="J8447" t="s">
        <v>35353</v>
      </c>
      <c r="K8447" t="s">
        <v>39019</v>
      </c>
      <c r="M8447" t="s">
        <v>41506</v>
      </c>
      <c r="N8447" t="s">
        <v>43166</v>
      </c>
      <c r="O8447" t="s">
        <v>43167</v>
      </c>
      <c r="P8447">
        <v>0</v>
      </c>
      <c r="Q8447">
        <v>1</v>
      </c>
      <c r="R8447" t="s">
        <v>43174</v>
      </c>
      <c r="S8447" t="s">
        <v>43396</v>
      </c>
      <c r="T8447" t="s">
        <v>44844</v>
      </c>
      <c r="U8447" t="s">
        <v>48921</v>
      </c>
      <c r="W8447" t="s">
        <v>41506</v>
      </c>
      <c r="X8447" t="s">
        <v>43175</v>
      </c>
    </row>
    <row r="8448" spans="1:24">
      <c r="A8448">
        <f>HYPERLINK("https://www.philgeps.gov.ph/GEPSNONPILOT/Tender/SplashBidNoticeAbstractUI.aspx?menuIndex=3&amp;refID=7074503&amp;Result=3","7074503")</f>
        <v>0</v>
      </c>
      <c r="B8448" t="s">
        <v>33</v>
      </c>
      <c r="C8448" t="s">
        <v>11460</v>
      </c>
      <c r="D8448" t="s">
        <v>17419</v>
      </c>
      <c r="E8448" t="s">
        <v>24776</v>
      </c>
      <c r="F8448" t="s">
        <v>30052</v>
      </c>
      <c r="G8448" t="s">
        <v>30060</v>
      </c>
      <c r="H8448" t="s">
        <v>15498</v>
      </c>
      <c r="I8448" t="s">
        <v>30092</v>
      </c>
      <c r="J8448" t="s">
        <v>35137</v>
      </c>
      <c r="K8448" t="s">
        <v>39025</v>
      </c>
      <c r="M8448" t="s">
        <v>39323</v>
      </c>
      <c r="N8448" t="s">
        <v>43166</v>
      </c>
      <c r="O8448" t="s">
        <v>43167</v>
      </c>
      <c r="P8448">
        <v>0</v>
      </c>
      <c r="Q8448">
        <v>0</v>
      </c>
      <c r="R8448" t="s">
        <v>43174</v>
      </c>
      <c r="S8448" t="s">
        <v>43396</v>
      </c>
      <c r="T8448" t="s">
        <v>44969</v>
      </c>
      <c r="U8448" t="s">
        <v>51970</v>
      </c>
      <c r="W8448" t="s">
        <v>39323</v>
      </c>
      <c r="X8448" t="s">
        <v>43175</v>
      </c>
    </row>
    <row r="8449" spans="1:24">
      <c r="A8449">
        <f>HYPERLINK("https://www.philgeps.gov.ph/GEPSNONPILOT/Tender/SplashBidNoticeAbstractUI.aspx?menuIndex=3&amp;refID=7074446&amp;Result=3","7074446")</f>
        <v>0</v>
      </c>
      <c r="B8449" t="s">
        <v>2544</v>
      </c>
      <c r="C8449" t="s">
        <v>11461</v>
      </c>
      <c r="D8449" t="s">
        <v>17444</v>
      </c>
      <c r="E8449" t="s">
        <v>24777</v>
      </c>
      <c r="F8449" t="s">
        <v>30052</v>
      </c>
      <c r="G8449" t="s">
        <v>30058</v>
      </c>
      <c r="H8449" t="s">
        <v>15498</v>
      </c>
      <c r="I8449" t="s">
        <v>30106</v>
      </c>
      <c r="J8449" t="s">
        <v>30218</v>
      </c>
      <c r="K8449" t="s">
        <v>39029</v>
      </c>
      <c r="M8449" t="s">
        <v>42051</v>
      </c>
      <c r="N8449" t="s">
        <v>43166</v>
      </c>
      <c r="O8449" t="s">
        <v>43167</v>
      </c>
      <c r="P8449">
        <v>0</v>
      </c>
      <c r="Q8449">
        <v>0</v>
      </c>
      <c r="R8449" t="s">
        <v>43174</v>
      </c>
      <c r="S8449" t="s">
        <v>43396</v>
      </c>
      <c r="T8449" t="s">
        <v>44700</v>
      </c>
      <c r="U8449" t="s">
        <v>49752</v>
      </c>
      <c r="V8449" t="s">
        <v>57718</v>
      </c>
      <c r="W8449" t="s">
        <v>42051</v>
      </c>
      <c r="X8449" t="s">
        <v>43175</v>
      </c>
    </row>
    <row r="8450" spans="1:24">
      <c r="A8450">
        <f>HYPERLINK("https://www.philgeps.gov.ph/GEPSNONPILOT/Tender/SplashBidNoticeAbstractUI.aspx?menuIndex=3&amp;refID=7074514&amp;Result=3","7074514")</f>
        <v>0</v>
      </c>
      <c r="B8450" t="s">
        <v>2556</v>
      </c>
      <c r="C8450" t="s">
        <v>11462</v>
      </c>
      <c r="D8450" t="s">
        <v>17414</v>
      </c>
      <c r="E8450" t="s">
        <v>24778</v>
      </c>
      <c r="F8450" t="s">
        <v>30052</v>
      </c>
      <c r="G8450" t="s">
        <v>30058</v>
      </c>
      <c r="H8450" t="s">
        <v>15498</v>
      </c>
      <c r="I8450" t="s">
        <v>30073</v>
      </c>
      <c r="J8450" t="s">
        <v>35354</v>
      </c>
      <c r="K8450" t="s">
        <v>39017</v>
      </c>
      <c r="M8450" t="s">
        <v>42063</v>
      </c>
      <c r="N8450" t="s">
        <v>43166</v>
      </c>
      <c r="O8450" t="s">
        <v>43167</v>
      </c>
      <c r="P8450">
        <v>0</v>
      </c>
      <c r="Q8450">
        <v>0</v>
      </c>
      <c r="R8450" t="s">
        <v>43174</v>
      </c>
      <c r="S8450" t="s">
        <v>43396</v>
      </c>
      <c r="T8450" t="s">
        <v>44753</v>
      </c>
      <c r="U8450" t="s">
        <v>51995</v>
      </c>
      <c r="W8450" t="s">
        <v>42063</v>
      </c>
      <c r="X8450" t="s">
        <v>43175</v>
      </c>
    </row>
    <row r="8451" spans="1:24">
      <c r="A8451">
        <f>HYPERLINK("https://www.philgeps.gov.ph/GEPSNONPILOT/Tender/SplashBidNoticeAbstractUI.aspx?menuIndex=3&amp;refID=7074480&amp;Result=3","7074480")</f>
        <v>0</v>
      </c>
      <c r="B8451" t="s">
        <v>2476</v>
      </c>
      <c r="C8451" t="s">
        <v>11463</v>
      </c>
      <c r="D8451" t="s">
        <v>17472</v>
      </c>
      <c r="E8451" t="s">
        <v>24779</v>
      </c>
      <c r="F8451" t="s">
        <v>30052</v>
      </c>
      <c r="G8451" t="s">
        <v>30058</v>
      </c>
      <c r="H8451" t="s">
        <v>15498</v>
      </c>
      <c r="I8451" t="s">
        <v>3736</v>
      </c>
      <c r="J8451" t="s">
        <v>35355</v>
      </c>
      <c r="K8451" t="s">
        <v>39019</v>
      </c>
      <c r="M8451" t="s">
        <v>41976</v>
      </c>
      <c r="N8451" t="s">
        <v>43166</v>
      </c>
      <c r="O8451" t="s">
        <v>43167</v>
      </c>
      <c r="P8451">
        <v>0</v>
      </c>
      <c r="Q8451">
        <v>0</v>
      </c>
      <c r="R8451" t="s">
        <v>43174</v>
      </c>
      <c r="S8451" t="s">
        <v>43396</v>
      </c>
      <c r="T8451" t="s">
        <v>44870</v>
      </c>
      <c r="U8451" t="s">
        <v>51996</v>
      </c>
      <c r="W8451" t="s">
        <v>41976</v>
      </c>
      <c r="X8451" t="s">
        <v>43175</v>
      </c>
    </row>
    <row r="8452" spans="1:24">
      <c r="A8452">
        <f>HYPERLINK("https://www.philgeps.gov.ph/GEPSNONPILOT/Tender/SplashBidNoticeAbstractUI.aspx?menuIndex=3&amp;refID=7074512&amp;Result=3","7074512")</f>
        <v>0</v>
      </c>
      <c r="B8452" t="s">
        <v>2558</v>
      </c>
      <c r="C8452" t="s">
        <v>11464</v>
      </c>
      <c r="D8452" t="s">
        <v>17449</v>
      </c>
      <c r="E8452" t="s">
        <v>24780</v>
      </c>
      <c r="F8452" t="s">
        <v>30052</v>
      </c>
      <c r="G8452" t="s">
        <v>30058</v>
      </c>
      <c r="H8452" t="s">
        <v>30067</v>
      </c>
      <c r="I8452" t="s">
        <v>3693</v>
      </c>
      <c r="J8452" t="s">
        <v>32634</v>
      </c>
      <c r="K8452" t="s">
        <v>39111</v>
      </c>
      <c r="M8452" t="s">
        <v>42065</v>
      </c>
      <c r="N8452" t="s">
        <v>43166</v>
      </c>
      <c r="O8452" t="s">
        <v>43167</v>
      </c>
      <c r="P8452">
        <v>0</v>
      </c>
      <c r="Q8452">
        <v>0</v>
      </c>
      <c r="R8452" t="s">
        <v>43174</v>
      </c>
      <c r="S8452" t="s">
        <v>43396</v>
      </c>
      <c r="T8452" t="s">
        <v>44837</v>
      </c>
      <c r="U8452" t="s">
        <v>51997</v>
      </c>
      <c r="W8452" t="s">
        <v>42065</v>
      </c>
      <c r="X8452" t="s">
        <v>43175</v>
      </c>
    </row>
    <row r="8453" spans="1:24">
      <c r="A8453">
        <f>HYPERLINK("https://www.philgeps.gov.ph/GEPSNONPILOT/Tender/SplashBidNoticeAbstractUI.aspx?menuIndex=3&amp;refID=7074586&amp;Result=3","7074586")</f>
        <v>0</v>
      </c>
      <c r="B8453" t="s">
        <v>2564</v>
      </c>
      <c r="C8453" t="s">
        <v>11465</v>
      </c>
      <c r="D8453" t="s">
        <v>17434</v>
      </c>
      <c r="E8453" t="s">
        <v>24781</v>
      </c>
      <c r="F8453" t="s">
        <v>30052</v>
      </c>
      <c r="G8453" t="s">
        <v>30058</v>
      </c>
      <c r="H8453" t="s">
        <v>15498</v>
      </c>
      <c r="I8453" t="s">
        <v>3606</v>
      </c>
      <c r="J8453" t="s">
        <v>35356</v>
      </c>
      <c r="K8453" t="s">
        <v>39025</v>
      </c>
      <c r="M8453" t="s">
        <v>42071</v>
      </c>
      <c r="N8453" t="s">
        <v>43166</v>
      </c>
      <c r="O8453" t="s">
        <v>43167</v>
      </c>
      <c r="P8453">
        <v>0</v>
      </c>
      <c r="Q8453">
        <v>2</v>
      </c>
      <c r="R8453" t="s">
        <v>43174</v>
      </c>
      <c r="S8453" t="s">
        <v>43396</v>
      </c>
      <c r="T8453" t="s">
        <v>44943</v>
      </c>
      <c r="U8453" t="s">
        <v>51998</v>
      </c>
      <c r="W8453" t="s">
        <v>42071</v>
      </c>
      <c r="X8453" t="s">
        <v>43175</v>
      </c>
    </row>
    <row r="8454" spans="1:24">
      <c r="A8454">
        <f>HYPERLINK("https://www.philgeps.gov.ph/GEPSNONPILOT/Tender/SplashBidNoticeAbstractUI.aspx?menuIndex=3&amp;refID=7074584&amp;Result=3","7074584")</f>
        <v>0</v>
      </c>
      <c r="B8454" t="s">
        <v>1028</v>
      </c>
      <c r="C8454" t="s">
        <v>11466</v>
      </c>
      <c r="D8454" t="s">
        <v>17481</v>
      </c>
      <c r="E8454" t="s">
        <v>24782</v>
      </c>
      <c r="F8454" t="s">
        <v>30052</v>
      </c>
      <c r="G8454" t="s">
        <v>30059</v>
      </c>
      <c r="H8454" t="s">
        <v>15498</v>
      </c>
      <c r="I8454" t="s">
        <v>6691</v>
      </c>
      <c r="J8454" t="s">
        <v>35357</v>
      </c>
      <c r="K8454" t="s">
        <v>39035</v>
      </c>
      <c r="M8454" t="s">
        <v>40357</v>
      </c>
      <c r="N8454" t="s">
        <v>43166</v>
      </c>
      <c r="O8454" t="s">
        <v>43167</v>
      </c>
      <c r="P8454">
        <v>0</v>
      </c>
      <c r="Q8454">
        <v>0</v>
      </c>
      <c r="R8454" t="s">
        <v>43174</v>
      </c>
      <c r="S8454" t="s">
        <v>43396</v>
      </c>
      <c r="T8454" t="s">
        <v>44837</v>
      </c>
      <c r="U8454" t="s">
        <v>47341</v>
      </c>
      <c r="W8454" t="s">
        <v>40357</v>
      </c>
      <c r="X8454" t="s">
        <v>43175</v>
      </c>
    </row>
    <row r="8455" spans="1:24">
      <c r="A8455">
        <f>HYPERLINK("https://www.philgeps.gov.ph/GEPSNONPILOT/Tender/SplashBidNoticeAbstractUI.aspx?menuIndex=3&amp;refID=7074582&amp;Result=3","7074582")</f>
        <v>0</v>
      </c>
      <c r="B8455" t="s">
        <v>2565</v>
      </c>
      <c r="C8455" t="s">
        <v>11467</v>
      </c>
      <c r="D8455" t="s">
        <v>17444</v>
      </c>
      <c r="E8455" t="s">
        <v>24783</v>
      </c>
      <c r="F8455" t="s">
        <v>30052</v>
      </c>
      <c r="G8455" t="s">
        <v>30058</v>
      </c>
      <c r="H8455" t="s">
        <v>30067</v>
      </c>
      <c r="I8455" t="s">
        <v>3693</v>
      </c>
      <c r="J8455" t="s">
        <v>35358</v>
      </c>
      <c r="K8455" t="s">
        <v>39031</v>
      </c>
      <c r="M8455" t="s">
        <v>42072</v>
      </c>
      <c r="N8455" t="s">
        <v>43166</v>
      </c>
      <c r="O8455" t="s">
        <v>43167</v>
      </c>
      <c r="P8455">
        <v>0</v>
      </c>
      <c r="Q8455">
        <v>0</v>
      </c>
      <c r="R8455" t="s">
        <v>43174</v>
      </c>
      <c r="S8455" t="s">
        <v>43396</v>
      </c>
      <c r="T8455" t="s">
        <v>44922</v>
      </c>
      <c r="U8455" t="s">
        <v>51999</v>
      </c>
      <c r="W8455" t="s">
        <v>42072</v>
      </c>
      <c r="X8455" t="s">
        <v>43175</v>
      </c>
    </row>
    <row r="8456" spans="1:24">
      <c r="A8456">
        <f>HYPERLINK("https://www.philgeps.gov.ph/GEPSNONPILOT/Tender/SplashBidNoticeAbstractUI.aspx?menuIndex=3&amp;refID=7074572&amp;Result=3","7074572")</f>
        <v>0</v>
      </c>
      <c r="B8456" t="s">
        <v>2550</v>
      </c>
      <c r="C8456" t="s">
        <v>11468</v>
      </c>
      <c r="D8456" t="s">
        <v>17445</v>
      </c>
      <c r="E8456" t="s">
        <v>24784</v>
      </c>
      <c r="F8456" t="s">
        <v>30052</v>
      </c>
      <c r="G8456" t="s">
        <v>30059</v>
      </c>
      <c r="H8456" t="s">
        <v>15498</v>
      </c>
      <c r="I8456" t="s">
        <v>30100</v>
      </c>
      <c r="J8456" t="s">
        <v>30207</v>
      </c>
      <c r="K8456" t="s">
        <v>39034</v>
      </c>
      <c r="M8456" t="s">
        <v>42057</v>
      </c>
      <c r="N8456" t="s">
        <v>43166</v>
      </c>
      <c r="O8456" t="s">
        <v>43167</v>
      </c>
      <c r="P8456">
        <v>0</v>
      </c>
      <c r="Q8456">
        <v>3</v>
      </c>
      <c r="R8456" t="s">
        <v>43174</v>
      </c>
      <c r="S8456" t="s">
        <v>43396</v>
      </c>
      <c r="T8456" t="s">
        <v>45047</v>
      </c>
      <c r="U8456" t="s">
        <v>51993</v>
      </c>
      <c r="W8456" t="s">
        <v>42057</v>
      </c>
      <c r="X8456" t="s">
        <v>43175</v>
      </c>
    </row>
    <row r="8457" spans="1:24">
      <c r="A8457">
        <f>HYPERLINK("https://www.philgeps.gov.ph/GEPSNONPILOT/Tender/SplashBidNoticeAbstractUI.aspx?menuIndex=3&amp;refID=7074571&amp;Result=3","7074571")</f>
        <v>0</v>
      </c>
      <c r="B8457" t="s">
        <v>2566</v>
      </c>
      <c r="C8457" t="s">
        <v>11469</v>
      </c>
      <c r="D8457" t="s">
        <v>17421</v>
      </c>
      <c r="E8457" t="s">
        <v>18583</v>
      </c>
      <c r="F8457" t="s">
        <v>30052</v>
      </c>
      <c r="G8457" t="s">
        <v>30058</v>
      </c>
      <c r="H8457" t="s">
        <v>30067</v>
      </c>
      <c r="I8457" t="s">
        <v>30106</v>
      </c>
      <c r="J8457" t="s">
        <v>30277</v>
      </c>
      <c r="K8457" t="s">
        <v>39023</v>
      </c>
      <c r="M8457" t="s">
        <v>42073</v>
      </c>
      <c r="N8457" t="s">
        <v>43166</v>
      </c>
      <c r="O8457" t="s">
        <v>43167</v>
      </c>
      <c r="P8457">
        <v>0</v>
      </c>
      <c r="Q8457">
        <v>1</v>
      </c>
      <c r="R8457" t="s">
        <v>43174</v>
      </c>
      <c r="S8457" t="s">
        <v>43396</v>
      </c>
      <c r="T8457" t="s">
        <v>44717</v>
      </c>
      <c r="U8457" t="s">
        <v>47233</v>
      </c>
      <c r="W8457" t="s">
        <v>42073</v>
      </c>
      <c r="X8457" t="s">
        <v>43175</v>
      </c>
    </row>
    <row r="8458" spans="1:24">
      <c r="A8458">
        <f>HYPERLINK("https://www.philgeps.gov.ph/GEPSNONPILOT/Tender/SplashBidNoticeAbstractUI.aspx?menuIndex=3&amp;refID=7074570&amp;Result=3","7074570")</f>
        <v>0</v>
      </c>
      <c r="B8458" t="s">
        <v>2558</v>
      </c>
      <c r="C8458" t="s">
        <v>11470</v>
      </c>
      <c r="D8458" t="s">
        <v>17449</v>
      </c>
      <c r="E8458" t="s">
        <v>24785</v>
      </c>
      <c r="F8458" t="s">
        <v>30052</v>
      </c>
      <c r="G8458" t="s">
        <v>30058</v>
      </c>
      <c r="H8458" t="s">
        <v>30067</v>
      </c>
      <c r="I8458" t="s">
        <v>3693</v>
      </c>
      <c r="J8458" t="s">
        <v>30252</v>
      </c>
      <c r="K8458" t="s">
        <v>39034</v>
      </c>
      <c r="M8458" t="s">
        <v>42065</v>
      </c>
      <c r="N8458" t="s">
        <v>43166</v>
      </c>
      <c r="O8458" t="s">
        <v>43167</v>
      </c>
      <c r="P8458">
        <v>0</v>
      </c>
      <c r="Q8458">
        <v>0</v>
      </c>
      <c r="R8458" t="s">
        <v>43174</v>
      </c>
      <c r="S8458" t="s">
        <v>43396</v>
      </c>
      <c r="T8458" t="s">
        <v>44837</v>
      </c>
      <c r="U8458" t="s">
        <v>52000</v>
      </c>
      <c r="W8458" t="s">
        <v>42065</v>
      </c>
      <c r="X8458" t="s">
        <v>43175</v>
      </c>
    </row>
    <row r="8459" spans="1:24">
      <c r="A8459">
        <f>HYPERLINK("https://www.philgeps.gov.ph/GEPSNONPILOT/Tender/SplashBidNoticeAbstractUI.aspx?menuIndex=3&amp;refID=7074566&amp;Result=3","7074566")</f>
        <v>0</v>
      </c>
      <c r="B8459" t="s">
        <v>1608</v>
      </c>
      <c r="C8459" t="s">
        <v>11471</v>
      </c>
      <c r="D8459" t="s">
        <v>17415</v>
      </c>
      <c r="E8459" t="s">
        <v>24786</v>
      </c>
      <c r="F8459" t="s">
        <v>30052</v>
      </c>
      <c r="G8459" t="s">
        <v>30058</v>
      </c>
      <c r="H8459" t="s">
        <v>15498</v>
      </c>
      <c r="I8459" t="s">
        <v>3852</v>
      </c>
      <c r="J8459" t="s">
        <v>30432</v>
      </c>
      <c r="K8459" t="s">
        <v>39019</v>
      </c>
      <c r="M8459" t="s">
        <v>41506</v>
      </c>
      <c r="N8459" t="s">
        <v>43166</v>
      </c>
      <c r="O8459" t="s">
        <v>43167</v>
      </c>
      <c r="P8459">
        <v>0</v>
      </c>
      <c r="Q8459">
        <v>0</v>
      </c>
      <c r="R8459" t="s">
        <v>43174</v>
      </c>
      <c r="S8459" t="s">
        <v>43396</v>
      </c>
      <c r="T8459" t="s">
        <v>44844</v>
      </c>
      <c r="U8459" t="s">
        <v>48908</v>
      </c>
      <c r="W8459" t="s">
        <v>41506</v>
      </c>
      <c r="X8459" t="s">
        <v>43175</v>
      </c>
    </row>
    <row r="8460" spans="1:24">
      <c r="A8460">
        <f>HYPERLINK("https://www.philgeps.gov.ph/GEPSNONPILOT/Tender/SplashBidNoticeAbstractUI.aspx?menuIndex=3&amp;refID=7074564&amp;Result=3","7074564")</f>
        <v>0</v>
      </c>
      <c r="B8460" t="s">
        <v>2531</v>
      </c>
      <c r="C8460" t="s">
        <v>11472</v>
      </c>
      <c r="D8460" t="s">
        <v>17464</v>
      </c>
      <c r="E8460" t="s">
        <v>19101</v>
      </c>
      <c r="F8460" t="s">
        <v>30052</v>
      </c>
      <c r="G8460" t="s">
        <v>30058</v>
      </c>
      <c r="H8460" t="s">
        <v>15498</v>
      </c>
      <c r="I8460" t="s">
        <v>30074</v>
      </c>
      <c r="J8460" t="s">
        <v>30397</v>
      </c>
      <c r="K8460" t="s">
        <v>39029</v>
      </c>
      <c r="M8460" t="s">
        <v>42038</v>
      </c>
      <c r="N8460" t="s">
        <v>43166</v>
      </c>
      <c r="O8460" t="s">
        <v>43167</v>
      </c>
      <c r="P8460">
        <v>0</v>
      </c>
      <c r="Q8460">
        <v>3</v>
      </c>
      <c r="R8460" t="s">
        <v>43174</v>
      </c>
      <c r="S8460" t="s">
        <v>43396</v>
      </c>
      <c r="T8460" t="s">
        <v>44714</v>
      </c>
      <c r="U8460" t="s">
        <v>52001</v>
      </c>
      <c r="W8460" t="s">
        <v>42038</v>
      </c>
      <c r="X8460" t="s">
        <v>43175</v>
      </c>
    </row>
    <row r="8461" spans="1:24">
      <c r="A8461">
        <f>HYPERLINK("https://www.philgeps.gov.ph/GEPSNONPILOT/Tender/SplashBidNoticeAbstractUI.aspx?menuIndex=3&amp;refID=7074578&amp;Result=3","7074578")</f>
        <v>0</v>
      </c>
      <c r="B8461" t="s">
        <v>813</v>
      </c>
      <c r="C8461" t="s">
        <v>11473</v>
      </c>
      <c r="D8461" t="s">
        <v>17426</v>
      </c>
      <c r="E8461" t="s">
        <v>24787</v>
      </c>
      <c r="F8461" t="s">
        <v>30052</v>
      </c>
      <c r="G8461" t="s">
        <v>30058</v>
      </c>
      <c r="H8461" t="s">
        <v>30067</v>
      </c>
      <c r="I8461" t="s">
        <v>3693</v>
      </c>
      <c r="J8461" t="s">
        <v>30252</v>
      </c>
      <c r="K8461" t="s">
        <v>39046</v>
      </c>
      <c r="M8461" t="s">
        <v>40130</v>
      </c>
      <c r="N8461" t="s">
        <v>43166</v>
      </c>
      <c r="O8461" t="s">
        <v>43167</v>
      </c>
      <c r="P8461">
        <v>0</v>
      </c>
      <c r="Q8461">
        <v>0</v>
      </c>
      <c r="R8461" t="s">
        <v>43174</v>
      </c>
      <c r="S8461" t="s">
        <v>43396</v>
      </c>
      <c r="T8461" t="s">
        <v>44955</v>
      </c>
      <c r="U8461" t="s">
        <v>46896</v>
      </c>
      <c r="W8461" t="s">
        <v>40130</v>
      </c>
      <c r="X8461" t="s">
        <v>43175</v>
      </c>
    </row>
    <row r="8462" spans="1:24">
      <c r="A8462">
        <f>HYPERLINK("https://www.philgeps.gov.ph/GEPSNONPILOT/Tender/SplashBidNoticeAbstractUI.aspx?menuIndex=3&amp;refID=7074548&amp;Result=3","7074548")</f>
        <v>0</v>
      </c>
      <c r="B8462" t="s">
        <v>112</v>
      </c>
      <c r="C8462" t="s">
        <v>11474</v>
      </c>
      <c r="D8462" t="s">
        <v>17435</v>
      </c>
      <c r="E8462" t="s">
        <v>24788</v>
      </c>
      <c r="F8462" t="s">
        <v>30052</v>
      </c>
      <c r="G8462" t="s">
        <v>30058</v>
      </c>
      <c r="H8462" t="s">
        <v>15498</v>
      </c>
      <c r="I8462" t="s">
        <v>30087</v>
      </c>
      <c r="J8462" t="s">
        <v>35359</v>
      </c>
      <c r="K8462" t="s">
        <v>39025</v>
      </c>
      <c r="M8462" t="s">
        <v>39401</v>
      </c>
      <c r="N8462" t="s">
        <v>43166</v>
      </c>
      <c r="O8462" t="s">
        <v>43167</v>
      </c>
      <c r="P8462">
        <v>0</v>
      </c>
      <c r="Q8462">
        <v>1</v>
      </c>
      <c r="R8462" t="s">
        <v>43174</v>
      </c>
      <c r="S8462" t="s">
        <v>43396</v>
      </c>
      <c r="T8462" t="s">
        <v>44777</v>
      </c>
      <c r="U8462" t="s">
        <v>52002</v>
      </c>
      <c r="V8462" t="s">
        <v>56838</v>
      </c>
      <c r="W8462" t="s">
        <v>39401</v>
      </c>
      <c r="X8462" t="s">
        <v>43175</v>
      </c>
    </row>
    <row r="8463" spans="1:24">
      <c r="A8463">
        <f>HYPERLINK("https://www.philgeps.gov.ph/GEPSNONPILOT/Tender/SplashBidNoticeAbstractUI.aspx?menuIndex=3&amp;refID=7074339&amp;Result=3","7074339")</f>
        <v>0</v>
      </c>
      <c r="B8463" t="s">
        <v>792</v>
      </c>
      <c r="C8463" t="s">
        <v>11475</v>
      </c>
      <c r="D8463" t="s">
        <v>17415</v>
      </c>
      <c r="E8463" t="s">
        <v>24789</v>
      </c>
      <c r="F8463" t="s">
        <v>30052</v>
      </c>
      <c r="G8463" t="s">
        <v>30058</v>
      </c>
      <c r="H8463" t="s">
        <v>15498</v>
      </c>
      <c r="I8463" t="s">
        <v>30184</v>
      </c>
      <c r="J8463" t="s">
        <v>35360</v>
      </c>
      <c r="K8463" t="s">
        <v>39025</v>
      </c>
      <c r="M8463" t="s">
        <v>41765</v>
      </c>
      <c r="N8463" t="s">
        <v>43166</v>
      </c>
      <c r="O8463" t="s">
        <v>43167</v>
      </c>
      <c r="Q8463">
        <v>14</v>
      </c>
      <c r="R8463" t="s">
        <v>43174</v>
      </c>
      <c r="S8463" t="s">
        <v>43424</v>
      </c>
      <c r="T8463" t="s">
        <v>44922</v>
      </c>
      <c r="U8463" t="s">
        <v>52003</v>
      </c>
      <c r="V8463" t="s">
        <v>57721</v>
      </c>
      <c r="W8463" t="s">
        <v>41765</v>
      </c>
      <c r="X8463" t="s">
        <v>43175</v>
      </c>
    </row>
    <row r="8464" spans="1:24">
      <c r="A8464">
        <f>HYPERLINK("https://www.philgeps.gov.ph/GEPSNONPILOT/Tender/SplashBidNoticeAbstractUI.aspx?menuIndex=3&amp;refID=7074557&amp;Result=3","7074557")</f>
        <v>0</v>
      </c>
      <c r="B8464" t="s">
        <v>2567</v>
      </c>
      <c r="C8464" t="s">
        <v>11476</v>
      </c>
      <c r="D8464" t="s">
        <v>17462</v>
      </c>
      <c r="E8464" t="s">
        <v>18148</v>
      </c>
      <c r="F8464" t="s">
        <v>30055</v>
      </c>
      <c r="G8464" t="s">
        <v>30061</v>
      </c>
      <c r="H8464" t="s">
        <v>15498</v>
      </c>
      <c r="I8464" t="s">
        <v>30119</v>
      </c>
      <c r="J8464" t="s">
        <v>32746</v>
      </c>
      <c r="K8464" t="s">
        <v>39017</v>
      </c>
      <c r="M8464" t="s">
        <v>42074</v>
      </c>
      <c r="N8464" t="s">
        <v>43166</v>
      </c>
      <c r="O8464" t="s">
        <v>43167</v>
      </c>
      <c r="P8464">
        <v>0</v>
      </c>
      <c r="Q8464">
        <v>1</v>
      </c>
      <c r="R8464" t="s">
        <v>43174</v>
      </c>
      <c r="S8464" t="s">
        <v>43396</v>
      </c>
      <c r="T8464" t="s">
        <v>44894</v>
      </c>
      <c r="U8464" t="s">
        <v>52004</v>
      </c>
      <c r="W8464" t="s">
        <v>42074</v>
      </c>
      <c r="X8464" t="s">
        <v>43175</v>
      </c>
    </row>
    <row r="8465" spans="1:24">
      <c r="A8465">
        <f>HYPERLINK("https://www.philgeps.gov.ph/GEPSNONPILOT/Tender/SplashBidNoticeAbstractUI.aspx?menuIndex=3&amp;refID=7074561&amp;Result=3","7074561")</f>
        <v>0</v>
      </c>
      <c r="B8465" t="s">
        <v>2110</v>
      </c>
      <c r="C8465" t="s">
        <v>11477</v>
      </c>
      <c r="D8465" t="s">
        <v>17463</v>
      </c>
      <c r="E8465" t="s">
        <v>24790</v>
      </c>
      <c r="F8465" t="s">
        <v>30052</v>
      </c>
      <c r="G8465" t="s">
        <v>30058</v>
      </c>
      <c r="H8465" t="s">
        <v>15498</v>
      </c>
      <c r="I8465" t="s">
        <v>30081</v>
      </c>
      <c r="J8465" t="s">
        <v>35361</v>
      </c>
      <c r="K8465" t="s">
        <v>39025</v>
      </c>
      <c r="M8465" t="s">
        <v>41572</v>
      </c>
      <c r="N8465" t="s">
        <v>43166</v>
      </c>
      <c r="O8465" t="s">
        <v>43167</v>
      </c>
      <c r="P8465">
        <v>0</v>
      </c>
      <c r="Q8465">
        <v>0</v>
      </c>
      <c r="R8465" t="s">
        <v>43174</v>
      </c>
      <c r="S8465" t="s">
        <v>43396</v>
      </c>
      <c r="T8465" t="s">
        <v>44844</v>
      </c>
      <c r="U8465" t="s">
        <v>52005</v>
      </c>
      <c r="W8465" t="s">
        <v>41572</v>
      </c>
      <c r="X8465" t="s">
        <v>43175</v>
      </c>
    </row>
    <row r="8466" spans="1:24">
      <c r="A8466">
        <f>HYPERLINK("https://www.philgeps.gov.ph/GEPSNONPILOT/Tender/SplashBidNoticeAbstractUI.aspx?menuIndex=3&amp;refID=7074560&amp;Result=3","7074560")</f>
        <v>0</v>
      </c>
      <c r="B8466" t="s">
        <v>33</v>
      </c>
      <c r="C8466" t="s">
        <v>11478</v>
      </c>
      <c r="D8466" t="s">
        <v>17419</v>
      </c>
      <c r="E8466" t="s">
        <v>24791</v>
      </c>
      <c r="F8466" t="s">
        <v>30052</v>
      </c>
      <c r="G8466" t="s">
        <v>30060</v>
      </c>
      <c r="H8466" t="s">
        <v>15498</v>
      </c>
      <c r="I8466" t="s">
        <v>30087</v>
      </c>
      <c r="J8466" t="s">
        <v>35362</v>
      </c>
      <c r="K8466" t="s">
        <v>39025</v>
      </c>
      <c r="M8466" t="s">
        <v>39323</v>
      </c>
      <c r="N8466" t="s">
        <v>43166</v>
      </c>
      <c r="O8466" t="s">
        <v>43167</v>
      </c>
      <c r="P8466">
        <v>0</v>
      </c>
      <c r="Q8466">
        <v>0</v>
      </c>
      <c r="R8466" t="s">
        <v>43174</v>
      </c>
      <c r="S8466" t="s">
        <v>43396</v>
      </c>
      <c r="T8466" t="s">
        <v>44969</v>
      </c>
      <c r="U8466" t="s">
        <v>51970</v>
      </c>
      <c r="W8466" t="s">
        <v>39323</v>
      </c>
      <c r="X8466" t="s">
        <v>43175</v>
      </c>
    </row>
    <row r="8467" spans="1:24">
      <c r="A8467">
        <f>HYPERLINK("https://www.philgeps.gov.ph/GEPSNONPILOT/Tender/SplashBidNoticeAbstractUI.aspx?menuIndex=3&amp;refID=7074556&amp;Result=3","7074556")</f>
        <v>0</v>
      </c>
      <c r="B8467" t="s">
        <v>1518</v>
      </c>
      <c r="C8467" t="s">
        <v>11479</v>
      </c>
      <c r="D8467" t="s">
        <v>17444</v>
      </c>
      <c r="E8467" t="s">
        <v>24792</v>
      </c>
      <c r="F8467" t="s">
        <v>30052</v>
      </c>
      <c r="G8467" t="s">
        <v>30058</v>
      </c>
      <c r="H8467" t="s">
        <v>30067</v>
      </c>
      <c r="I8467" t="s">
        <v>3693</v>
      </c>
      <c r="J8467" t="s">
        <v>35363</v>
      </c>
      <c r="K8467" t="s">
        <v>39069</v>
      </c>
      <c r="M8467" t="s">
        <v>40904</v>
      </c>
      <c r="N8467" t="s">
        <v>43166</v>
      </c>
      <c r="O8467" t="s">
        <v>43167</v>
      </c>
      <c r="P8467">
        <v>0</v>
      </c>
      <c r="Q8467">
        <v>2</v>
      </c>
      <c r="R8467" t="s">
        <v>43174</v>
      </c>
      <c r="S8467" t="s">
        <v>43396</v>
      </c>
      <c r="T8467" t="s">
        <v>44716</v>
      </c>
      <c r="U8467" t="s">
        <v>52006</v>
      </c>
      <c r="W8467" t="s">
        <v>40904</v>
      </c>
      <c r="X8467" t="s">
        <v>43175</v>
      </c>
    </row>
    <row r="8468" spans="1:24">
      <c r="A8468">
        <f>HYPERLINK("https://www.philgeps.gov.ph/GEPSNONPILOT/Tender/SplashBidNoticeAbstractUI.aspx?menuIndex=3&amp;refID=7074552&amp;Result=3","7074552")</f>
        <v>0</v>
      </c>
      <c r="B8468" t="s">
        <v>797</v>
      </c>
      <c r="C8468" t="s">
        <v>11480</v>
      </c>
      <c r="E8468" t="s">
        <v>24793</v>
      </c>
      <c r="F8468" t="s">
        <v>30052</v>
      </c>
      <c r="G8468" t="s">
        <v>30059</v>
      </c>
      <c r="H8468" t="s">
        <v>15498</v>
      </c>
      <c r="I8468" t="s">
        <v>4650</v>
      </c>
      <c r="J8468" t="s">
        <v>35364</v>
      </c>
      <c r="K8468" t="s">
        <v>39025</v>
      </c>
      <c r="M8468" t="s">
        <v>40826</v>
      </c>
      <c r="N8468" t="s">
        <v>43166</v>
      </c>
      <c r="O8468" t="s">
        <v>43167</v>
      </c>
      <c r="P8468">
        <v>0</v>
      </c>
      <c r="Q8468">
        <v>0</v>
      </c>
      <c r="R8468" t="s">
        <v>43174</v>
      </c>
      <c r="S8468" t="s">
        <v>43396</v>
      </c>
      <c r="T8468" t="s">
        <v>44777</v>
      </c>
      <c r="U8468" t="s">
        <v>52007</v>
      </c>
      <c r="W8468" t="s">
        <v>40826</v>
      </c>
      <c r="X8468" t="s">
        <v>43175</v>
      </c>
    </row>
    <row r="8469" spans="1:24">
      <c r="A8469">
        <f>HYPERLINK("https://www.philgeps.gov.ph/GEPSNONPILOT/Tender/SplashBidNoticeAbstractUI.aspx?menuIndex=3&amp;refID=7074549&amp;Result=3","7074549")</f>
        <v>0</v>
      </c>
      <c r="B8469" t="s">
        <v>1028</v>
      </c>
      <c r="C8469" t="s">
        <v>11481</v>
      </c>
      <c r="D8469" t="s">
        <v>17481</v>
      </c>
      <c r="E8469" t="s">
        <v>24794</v>
      </c>
      <c r="F8469" t="s">
        <v>30052</v>
      </c>
      <c r="G8469" t="s">
        <v>30059</v>
      </c>
      <c r="H8469" t="s">
        <v>15498</v>
      </c>
      <c r="I8469" t="s">
        <v>6691</v>
      </c>
      <c r="J8469" t="s">
        <v>35365</v>
      </c>
      <c r="K8469" t="s">
        <v>39035</v>
      </c>
      <c r="M8469" t="s">
        <v>40357</v>
      </c>
      <c r="N8469" t="s">
        <v>43166</v>
      </c>
      <c r="O8469" t="s">
        <v>43167</v>
      </c>
      <c r="P8469">
        <v>0</v>
      </c>
      <c r="Q8469">
        <v>0</v>
      </c>
      <c r="R8469" t="s">
        <v>43174</v>
      </c>
      <c r="S8469" t="s">
        <v>43396</v>
      </c>
      <c r="T8469" t="s">
        <v>44837</v>
      </c>
      <c r="U8469" t="s">
        <v>47341</v>
      </c>
      <c r="W8469" t="s">
        <v>40357</v>
      </c>
      <c r="X8469" t="s">
        <v>43175</v>
      </c>
    </row>
    <row r="8470" spans="1:24">
      <c r="A8470">
        <f>HYPERLINK("https://www.philgeps.gov.ph/GEPSNONPILOT/Tender/SplashBidNoticeAbstractUI.aspx?menuIndex=3&amp;refID=7074547&amp;Result=3","7074547")</f>
        <v>0</v>
      </c>
      <c r="B8470" t="s">
        <v>550</v>
      </c>
      <c r="C8470" t="s">
        <v>11482</v>
      </c>
      <c r="D8470" t="s">
        <v>17453</v>
      </c>
      <c r="E8470" t="s">
        <v>24795</v>
      </c>
      <c r="F8470" t="s">
        <v>30052</v>
      </c>
      <c r="G8470" t="s">
        <v>30058</v>
      </c>
      <c r="H8470" t="s">
        <v>15498</v>
      </c>
      <c r="I8470" t="s">
        <v>30074</v>
      </c>
      <c r="J8470" t="s">
        <v>30872</v>
      </c>
      <c r="K8470" t="s">
        <v>39019</v>
      </c>
      <c r="M8470" t="s">
        <v>39852</v>
      </c>
      <c r="N8470" t="s">
        <v>43166</v>
      </c>
      <c r="O8470" t="s">
        <v>43167</v>
      </c>
      <c r="P8470">
        <v>0</v>
      </c>
      <c r="Q8470">
        <v>6</v>
      </c>
      <c r="R8470" t="s">
        <v>43174</v>
      </c>
      <c r="S8470" t="s">
        <v>43396</v>
      </c>
      <c r="T8470" t="s">
        <v>45037</v>
      </c>
      <c r="U8470" t="s">
        <v>49863</v>
      </c>
      <c r="W8470" t="s">
        <v>39852</v>
      </c>
      <c r="X8470" t="s">
        <v>43175</v>
      </c>
    </row>
    <row r="8471" spans="1:24">
      <c r="A8471">
        <f>HYPERLINK("https://www.philgeps.gov.ph/GEPSNONPILOT/Tender/SplashBidNoticeAbstractUI.aspx?menuIndex=3&amp;refID=7074544&amp;Result=3","7074544")</f>
        <v>0</v>
      </c>
      <c r="B8471" t="s">
        <v>2550</v>
      </c>
      <c r="C8471" t="s">
        <v>11483</v>
      </c>
      <c r="D8471" t="s">
        <v>17445</v>
      </c>
      <c r="E8471" t="s">
        <v>24796</v>
      </c>
      <c r="F8471" t="s">
        <v>30052</v>
      </c>
      <c r="G8471" t="s">
        <v>30061</v>
      </c>
      <c r="H8471" t="s">
        <v>15498</v>
      </c>
      <c r="I8471" t="s">
        <v>30135</v>
      </c>
      <c r="J8471" t="s">
        <v>35366</v>
      </c>
      <c r="K8471" t="s">
        <v>39029</v>
      </c>
      <c r="M8471" t="s">
        <v>42057</v>
      </c>
      <c r="N8471" t="s">
        <v>43166</v>
      </c>
      <c r="O8471" t="s">
        <v>43167</v>
      </c>
      <c r="P8471">
        <v>0</v>
      </c>
      <c r="Q8471">
        <v>6</v>
      </c>
      <c r="R8471" t="s">
        <v>43174</v>
      </c>
      <c r="S8471" t="s">
        <v>43396</v>
      </c>
      <c r="T8471" t="s">
        <v>45047</v>
      </c>
      <c r="U8471" t="s">
        <v>51993</v>
      </c>
      <c r="W8471" t="s">
        <v>42057</v>
      </c>
      <c r="X8471" t="s">
        <v>43175</v>
      </c>
    </row>
    <row r="8472" spans="1:24">
      <c r="A8472">
        <f>HYPERLINK("https://www.philgeps.gov.ph/GEPSNONPILOT/Tender/SplashBidNoticeAbstractUI.aspx?menuIndex=3&amp;refID=7074445&amp;Result=3","7074445")</f>
        <v>0</v>
      </c>
      <c r="B8472" t="s">
        <v>121</v>
      </c>
      <c r="C8472" t="s">
        <v>11484</v>
      </c>
      <c r="D8472" t="s">
        <v>17440</v>
      </c>
      <c r="E8472" t="s">
        <v>24797</v>
      </c>
      <c r="F8472" t="s">
        <v>30052</v>
      </c>
      <c r="G8472" t="s">
        <v>30058</v>
      </c>
      <c r="H8472" t="s">
        <v>15498</v>
      </c>
      <c r="I8472" t="s">
        <v>30084</v>
      </c>
      <c r="J8472" t="s">
        <v>35367</v>
      </c>
      <c r="K8472" t="s">
        <v>39018</v>
      </c>
      <c r="M8472" t="s">
        <v>39410</v>
      </c>
      <c r="N8472" t="s">
        <v>43166</v>
      </c>
      <c r="O8472" t="s">
        <v>43167</v>
      </c>
      <c r="P8472">
        <v>0</v>
      </c>
      <c r="Q8472">
        <v>8</v>
      </c>
      <c r="R8472" t="s">
        <v>43174</v>
      </c>
      <c r="S8472" t="s">
        <v>43396</v>
      </c>
      <c r="T8472" t="s">
        <v>44841</v>
      </c>
      <c r="U8472" t="s">
        <v>52008</v>
      </c>
      <c r="W8472" t="s">
        <v>39410</v>
      </c>
      <c r="X8472" t="s">
        <v>43175</v>
      </c>
    </row>
    <row r="8473" spans="1:24">
      <c r="A8473">
        <f>HYPERLINK("https://www.philgeps.gov.ph/GEPSNONPILOT/Tender/SplashBidNoticeAbstractUI.aspx?menuIndex=3&amp;refID=7074415&amp;Result=3","7074415")</f>
        <v>0</v>
      </c>
      <c r="B8473" t="s">
        <v>2550</v>
      </c>
      <c r="C8473" t="s">
        <v>11485</v>
      </c>
      <c r="D8473" t="s">
        <v>17445</v>
      </c>
      <c r="E8473" t="s">
        <v>24798</v>
      </c>
      <c r="F8473" t="s">
        <v>30052</v>
      </c>
      <c r="G8473" t="s">
        <v>30059</v>
      </c>
      <c r="H8473" t="s">
        <v>15498</v>
      </c>
      <c r="I8473" t="s">
        <v>30100</v>
      </c>
      <c r="J8473" t="s">
        <v>30350</v>
      </c>
      <c r="K8473" t="s">
        <v>39129</v>
      </c>
      <c r="M8473" t="s">
        <v>42057</v>
      </c>
      <c r="N8473" t="s">
        <v>43166</v>
      </c>
      <c r="O8473" t="s">
        <v>43167</v>
      </c>
      <c r="P8473">
        <v>0</v>
      </c>
      <c r="Q8473">
        <v>2</v>
      </c>
      <c r="R8473" t="s">
        <v>43174</v>
      </c>
      <c r="S8473" t="s">
        <v>43396</v>
      </c>
      <c r="T8473" t="s">
        <v>45047</v>
      </c>
      <c r="U8473" t="s">
        <v>51993</v>
      </c>
      <c r="W8473" t="s">
        <v>42057</v>
      </c>
      <c r="X8473" t="s">
        <v>43175</v>
      </c>
    </row>
    <row r="8474" spans="1:24">
      <c r="A8474">
        <f>HYPERLINK("https://www.philgeps.gov.ph/GEPSNONPILOT/Tender/SplashBidNoticeAbstractUI.aspx?menuIndex=3&amp;refID=7074411&amp;Result=3","7074411")</f>
        <v>0</v>
      </c>
      <c r="B8474" t="s">
        <v>2568</v>
      </c>
      <c r="C8474" t="s">
        <v>11486</v>
      </c>
      <c r="D8474" t="s">
        <v>17422</v>
      </c>
      <c r="E8474" t="s">
        <v>24799</v>
      </c>
      <c r="F8474" t="s">
        <v>30052</v>
      </c>
      <c r="G8474" t="s">
        <v>30059</v>
      </c>
      <c r="H8474" t="s">
        <v>15498</v>
      </c>
      <c r="I8474" t="s">
        <v>4598</v>
      </c>
      <c r="J8474" t="s">
        <v>30327</v>
      </c>
      <c r="K8474" t="s">
        <v>39017</v>
      </c>
      <c r="M8474" t="s">
        <v>42075</v>
      </c>
      <c r="N8474" t="s">
        <v>43166</v>
      </c>
      <c r="O8474" t="s">
        <v>43167</v>
      </c>
      <c r="P8474">
        <v>0</v>
      </c>
      <c r="Q8474">
        <v>2</v>
      </c>
      <c r="R8474" t="s">
        <v>43174</v>
      </c>
      <c r="S8474" t="s">
        <v>43396</v>
      </c>
      <c r="T8474" t="s">
        <v>44844</v>
      </c>
      <c r="U8474" t="s">
        <v>52009</v>
      </c>
      <c r="W8474" t="s">
        <v>42075</v>
      </c>
      <c r="X8474" t="s">
        <v>43175</v>
      </c>
    </row>
    <row r="8475" spans="1:24">
      <c r="A8475">
        <f>HYPERLINK("https://www.philgeps.gov.ph/GEPSNONPILOT/Tender/SplashBidNoticeAbstractUI.aspx?menuIndex=3&amp;refID=7074410&amp;Result=3","7074410")</f>
        <v>0</v>
      </c>
      <c r="B8475" t="s">
        <v>1608</v>
      </c>
      <c r="C8475" t="s">
        <v>11487</v>
      </c>
      <c r="D8475" t="s">
        <v>17415</v>
      </c>
      <c r="E8475" t="s">
        <v>24800</v>
      </c>
      <c r="F8475" t="s">
        <v>30052</v>
      </c>
      <c r="G8475" t="s">
        <v>30058</v>
      </c>
      <c r="H8475" t="s">
        <v>15498</v>
      </c>
      <c r="I8475" t="s">
        <v>7228</v>
      </c>
      <c r="J8475" t="s">
        <v>35368</v>
      </c>
      <c r="K8475" t="s">
        <v>39019</v>
      </c>
      <c r="M8475" t="s">
        <v>41506</v>
      </c>
      <c r="N8475" t="s">
        <v>43166</v>
      </c>
      <c r="O8475" t="s">
        <v>43167</v>
      </c>
      <c r="P8475">
        <v>0</v>
      </c>
      <c r="Q8475">
        <v>0</v>
      </c>
      <c r="R8475" t="s">
        <v>43174</v>
      </c>
      <c r="S8475" t="s">
        <v>43396</v>
      </c>
      <c r="T8475" t="s">
        <v>44844</v>
      </c>
      <c r="U8475" t="s">
        <v>48921</v>
      </c>
      <c r="W8475" t="s">
        <v>41506</v>
      </c>
      <c r="X8475" t="s">
        <v>43175</v>
      </c>
    </row>
    <row r="8476" spans="1:24">
      <c r="A8476">
        <f>HYPERLINK("https://www.philgeps.gov.ph/GEPSNONPILOT/Tender/SplashBidNoticeAbstractUI.aspx?menuIndex=3&amp;refID=7074408&amp;Result=3","7074408")</f>
        <v>0</v>
      </c>
      <c r="B8476" t="s">
        <v>1028</v>
      </c>
      <c r="C8476" t="s">
        <v>11488</v>
      </c>
      <c r="D8476" t="s">
        <v>17475</v>
      </c>
      <c r="E8476" t="s">
        <v>24801</v>
      </c>
      <c r="F8476" t="s">
        <v>30052</v>
      </c>
      <c r="G8476" t="s">
        <v>30059</v>
      </c>
      <c r="H8476" t="s">
        <v>15498</v>
      </c>
      <c r="I8476" t="s">
        <v>6691</v>
      </c>
      <c r="J8476" t="s">
        <v>30276</v>
      </c>
      <c r="K8476" t="s">
        <v>39035</v>
      </c>
      <c r="M8476" t="s">
        <v>40357</v>
      </c>
      <c r="N8476" t="s">
        <v>43166</v>
      </c>
      <c r="O8476" t="s">
        <v>43167</v>
      </c>
      <c r="P8476">
        <v>0</v>
      </c>
      <c r="Q8476">
        <v>0</v>
      </c>
      <c r="R8476" t="s">
        <v>43174</v>
      </c>
      <c r="S8476" t="s">
        <v>43396</v>
      </c>
      <c r="T8476" t="s">
        <v>44837</v>
      </c>
      <c r="U8476" t="s">
        <v>47341</v>
      </c>
      <c r="W8476" t="s">
        <v>40357</v>
      </c>
      <c r="X8476" t="s">
        <v>43175</v>
      </c>
    </row>
    <row r="8477" spans="1:24">
      <c r="A8477">
        <f>HYPERLINK("https://www.philgeps.gov.ph/GEPSNONPILOT/Tender/SplashBidNoticeAbstractUI.aspx?menuIndex=3&amp;refID=7074404&amp;Result=3","7074404")</f>
        <v>0</v>
      </c>
      <c r="B8477" t="s">
        <v>33</v>
      </c>
      <c r="C8477" t="s">
        <v>11489</v>
      </c>
      <c r="D8477" t="s">
        <v>17419</v>
      </c>
      <c r="E8477" t="s">
        <v>24802</v>
      </c>
      <c r="F8477" t="s">
        <v>30052</v>
      </c>
      <c r="G8477" t="s">
        <v>30060</v>
      </c>
      <c r="H8477" t="s">
        <v>15498</v>
      </c>
      <c r="I8477" t="s">
        <v>4119</v>
      </c>
      <c r="J8477" t="s">
        <v>32518</v>
      </c>
      <c r="K8477" t="s">
        <v>39025</v>
      </c>
      <c r="M8477" t="s">
        <v>39323</v>
      </c>
      <c r="N8477" t="s">
        <v>43166</v>
      </c>
      <c r="O8477" t="s">
        <v>43167</v>
      </c>
      <c r="P8477">
        <v>0</v>
      </c>
      <c r="Q8477">
        <v>1</v>
      </c>
      <c r="R8477" t="s">
        <v>43174</v>
      </c>
      <c r="S8477" t="s">
        <v>43396</v>
      </c>
      <c r="T8477" t="s">
        <v>44969</v>
      </c>
      <c r="U8477" t="s">
        <v>51970</v>
      </c>
      <c r="W8477" t="s">
        <v>39323</v>
      </c>
      <c r="X8477" t="s">
        <v>43175</v>
      </c>
    </row>
    <row r="8478" spans="1:24">
      <c r="A8478">
        <f>HYPERLINK("https://www.philgeps.gov.ph/GEPSNONPILOT/Tender/SplashBidNoticeAbstractUI.aspx?menuIndex=3&amp;refID=7074400&amp;Result=3","7074400")</f>
        <v>0</v>
      </c>
      <c r="B8478" t="s">
        <v>2559</v>
      </c>
      <c r="C8478" t="s">
        <v>11490</v>
      </c>
      <c r="D8478" t="s">
        <v>17449</v>
      </c>
      <c r="E8478" t="s">
        <v>24803</v>
      </c>
      <c r="F8478" t="s">
        <v>30052</v>
      </c>
      <c r="G8478" t="s">
        <v>30059</v>
      </c>
      <c r="H8478" t="s">
        <v>15498</v>
      </c>
      <c r="I8478" t="s">
        <v>30097</v>
      </c>
      <c r="J8478" t="s">
        <v>30861</v>
      </c>
      <c r="K8478" t="s">
        <v>39064</v>
      </c>
      <c r="M8478" t="s">
        <v>42066</v>
      </c>
      <c r="N8478" t="s">
        <v>43166</v>
      </c>
      <c r="O8478" t="s">
        <v>43167</v>
      </c>
      <c r="P8478">
        <v>0</v>
      </c>
      <c r="Q8478">
        <v>7</v>
      </c>
      <c r="R8478" t="s">
        <v>43174</v>
      </c>
      <c r="S8478" t="s">
        <v>43396</v>
      </c>
      <c r="T8478" t="s">
        <v>44764</v>
      </c>
      <c r="U8478" t="s">
        <v>52010</v>
      </c>
      <c r="W8478" t="s">
        <v>42066</v>
      </c>
      <c r="X8478" t="s">
        <v>43175</v>
      </c>
    </row>
    <row r="8479" spans="1:24">
      <c r="A8479">
        <f>HYPERLINK("https://www.philgeps.gov.ph/GEPSNONPILOT/Tender/SplashBidNoticeAbstractUI.aspx?menuIndex=3&amp;refID=7074394&amp;Result=3","7074394")</f>
        <v>0</v>
      </c>
      <c r="B8479" t="s">
        <v>2544</v>
      </c>
      <c r="C8479" t="s">
        <v>11491</v>
      </c>
      <c r="D8479" t="s">
        <v>17444</v>
      </c>
      <c r="E8479" t="s">
        <v>24804</v>
      </c>
      <c r="F8479" t="s">
        <v>30052</v>
      </c>
      <c r="G8479" t="s">
        <v>30058</v>
      </c>
      <c r="H8479" t="s">
        <v>15498</v>
      </c>
      <c r="I8479" t="s">
        <v>6691</v>
      </c>
      <c r="J8479" t="s">
        <v>30555</v>
      </c>
      <c r="K8479" t="s">
        <v>39029</v>
      </c>
      <c r="M8479" t="s">
        <v>42051</v>
      </c>
      <c r="N8479" t="s">
        <v>43166</v>
      </c>
      <c r="O8479" t="s">
        <v>43167</v>
      </c>
      <c r="P8479">
        <v>0</v>
      </c>
      <c r="Q8479">
        <v>0</v>
      </c>
      <c r="R8479" t="s">
        <v>43174</v>
      </c>
      <c r="S8479" t="s">
        <v>43396</v>
      </c>
      <c r="T8479" t="s">
        <v>44700</v>
      </c>
      <c r="U8479" t="s">
        <v>49752</v>
      </c>
      <c r="V8479" t="s">
        <v>57722</v>
      </c>
      <c r="W8479" t="s">
        <v>42051</v>
      </c>
      <c r="X8479" t="s">
        <v>43175</v>
      </c>
    </row>
    <row r="8480" spans="1:24">
      <c r="A8480">
        <f>HYPERLINK("https://www.philgeps.gov.ph/GEPSNONPILOT/Tender/SplashBidNoticeAbstractUI.aspx?menuIndex=3&amp;refID=7074321&amp;Result=3","7074321")</f>
        <v>0</v>
      </c>
      <c r="B8480" t="s">
        <v>514</v>
      </c>
      <c r="C8480" t="s">
        <v>11492</v>
      </c>
      <c r="E8480" t="s">
        <v>24805</v>
      </c>
      <c r="F8480" t="s">
        <v>30052</v>
      </c>
      <c r="G8480" t="s">
        <v>30058</v>
      </c>
      <c r="H8480" t="s">
        <v>15498</v>
      </c>
      <c r="I8480" t="s">
        <v>30081</v>
      </c>
      <c r="J8480" t="s">
        <v>30600</v>
      </c>
      <c r="K8480" t="s">
        <v>39037</v>
      </c>
      <c r="L8480" t="s">
        <v>514</v>
      </c>
      <c r="M8480" t="s">
        <v>39815</v>
      </c>
      <c r="N8480" t="s">
        <v>43166</v>
      </c>
      <c r="O8480" t="s">
        <v>43167</v>
      </c>
      <c r="P8480">
        <v>0</v>
      </c>
      <c r="Q8480">
        <v>0</v>
      </c>
      <c r="R8480" t="s">
        <v>43174</v>
      </c>
      <c r="S8480" t="s">
        <v>43396</v>
      </c>
      <c r="T8480" t="s">
        <v>44699</v>
      </c>
      <c r="U8480" t="s">
        <v>52011</v>
      </c>
      <c r="V8480" t="s">
        <v>57723</v>
      </c>
      <c r="W8480" t="s">
        <v>39815</v>
      </c>
      <c r="X8480" t="s">
        <v>43175</v>
      </c>
    </row>
    <row r="8481" spans="1:24">
      <c r="A8481">
        <f>HYPERLINK("https://www.philgeps.gov.ph/GEPSNONPILOT/Tender/SplashBidNoticeAbstractUI.aspx?menuIndex=3&amp;refID=7074284&amp;Result=3","7074284")</f>
        <v>0</v>
      </c>
      <c r="B8481" t="s">
        <v>1608</v>
      </c>
      <c r="C8481" t="s">
        <v>11493</v>
      </c>
      <c r="D8481" t="s">
        <v>17415</v>
      </c>
      <c r="E8481" t="s">
        <v>24806</v>
      </c>
      <c r="F8481" t="s">
        <v>30052</v>
      </c>
      <c r="G8481" t="s">
        <v>30058</v>
      </c>
      <c r="H8481" t="s">
        <v>15498</v>
      </c>
      <c r="I8481" t="s">
        <v>30070</v>
      </c>
      <c r="J8481" t="s">
        <v>35245</v>
      </c>
      <c r="K8481" t="s">
        <v>39019</v>
      </c>
      <c r="M8481" t="s">
        <v>42018</v>
      </c>
      <c r="N8481" t="s">
        <v>43166</v>
      </c>
      <c r="O8481" t="s">
        <v>43167</v>
      </c>
      <c r="P8481">
        <v>0</v>
      </c>
      <c r="Q8481">
        <v>1</v>
      </c>
      <c r="R8481" t="s">
        <v>43174</v>
      </c>
      <c r="S8481" t="s">
        <v>43396</v>
      </c>
      <c r="T8481" t="s">
        <v>44844</v>
      </c>
      <c r="U8481" t="s">
        <v>45217</v>
      </c>
      <c r="W8481" t="s">
        <v>42018</v>
      </c>
      <c r="X8481" t="s">
        <v>43175</v>
      </c>
    </row>
    <row r="8482" spans="1:24">
      <c r="A8482">
        <f>HYPERLINK("https://www.philgeps.gov.ph/GEPSNONPILOT/Tender/SplashBidNoticeAbstractUI.aspx?menuIndex=3&amp;refID=7074522&amp;Result=3","7074522")</f>
        <v>0</v>
      </c>
      <c r="B8482" t="s">
        <v>1429</v>
      </c>
      <c r="C8482" t="s">
        <v>11494</v>
      </c>
      <c r="D8482" t="s">
        <v>17432</v>
      </c>
      <c r="E8482" t="s">
        <v>24807</v>
      </c>
      <c r="F8482" t="s">
        <v>30052</v>
      </c>
      <c r="G8482" t="s">
        <v>30058</v>
      </c>
      <c r="H8482" t="s">
        <v>15498</v>
      </c>
      <c r="I8482" t="s">
        <v>30070</v>
      </c>
      <c r="J8482" t="s">
        <v>35369</v>
      </c>
      <c r="K8482" t="s">
        <v>39017</v>
      </c>
      <c r="M8482" t="s">
        <v>41845</v>
      </c>
      <c r="N8482" t="s">
        <v>43166</v>
      </c>
      <c r="O8482" t="s">
        <v>43167</v>
      </c>
      <c r="P8482">
        <v>0</v>
      </c>
      <c r="Q8482">
        <v>6</v>
      </c>
      <c r="R8482" t="s">
        <v>43174</v>
      </c>
      <c r="S8482" t="s">
        <v>43396</v>
      </c>
      <c r="T8482" t="s">
        <v>44764</v>
      </c>
      <c r="U8482" t="s">
        <v>52012</v>
      </c>
      <c r="W8482" t="s">
        <v>41845</v>
      </c>
      <c r="X8482" t="s">
        <v>43175</v>
      </c>
    </row>
    <row r="8483" spans="1:24">
      <c r="A8483">
        <f>HYPERLINK("https://www.philgeps.gov.ph/GEPSNONPILOT/Tender/SplashBidNoticeAbstractUI.aspx?menuIndex=3&amp;refID=7074587&amp;Result=3","7074587")</f>
        <v>0</v>
      </c>
      <c r="B8483" t="s">
        <v>2558</v>
      </c>
      <c r="C8483" t="s">
        <v>11495</v>
      </c>
      <c r="D8483" t="s">
        <v>17449</v>
      </c>
      <c r="E8483" t="s">
        <v>24808</v>
      </c>
      <c r="F8483" t="s">
        <v>30052</v>
      </c>
      <c r="G8483" t="s">
        <v>30058</v>
      </c>
      <c r="H8483" t="s">
        <v>30067</v>
      </c>
      <c r="I8483" t="s">
        <v>3693</v>
      </c>
      <c r="J8483" t="s">
        <v>30252</v>
      </c>
      <c r="K8483" t="s">
        <v>39034</v>
      </c>
      <c r="M8483" t="s">
        <v>42065</v>
      </c>
      <c r="N8483" t="s">
        <v>43166</v>
      </c>
      <c r="O8483" t="s">
        <v>43167</v>
      </c>
      <c r="P8483">
        <v>0</v>
      </c>
      <c r="Q8483">
        <v>0</v>
      </c>
      <c r="R8483" t="s">
        <v>43174</v>
      </c>
      <c r="S8483" t="s">
        <v>43396</v>
      </c>
      <c r="T8483" t="s">
        <v>44837</v>
      </c>
      <c r="U8483" t="s">
        <v>52013</v>
      </c>
      <c r="W8483" t="s">
        <v>42065</v>
      </c>
      <c r="X8483" t="s">
        <v>43175</v>
      </c>
    </row>
    <row r="8484" spans="1:24">
      <c r="A8484">
        <f>HYPERLINK("https://www.philgeps.gov.ph/GEPSNONPILOT/Tender/SplashBidNoticeAbstractUI.aspx?menuIndex=3&amp;refID=7074616&amp;Result=3","7074616")</f>
        <v>0</v>
      </c>
      <c r="B8484" t="s">
        <v>2158</v>
      </c>
      <c r="C8484" t="s">
        <v>11496</v>
      </c>
      <c r="D8484" t="s">
        <v>17483</v>
      </c>
      <c r="E8484" t="s">
        <v>24809</v>
      </c>
      <c r="F8484" t="s">
        <v>30052</v>
      </c>
      <c r="G8484" t="s">
        <v>30058</v>
      </c>
      <c r="H8484" t="s">
        <v>15498</v>
      </c>
      <c r="I8484" t="s">
        <v>30073</v>
      </c>
      <c r="J8484" t="s">
        <v>30605</v>
      </c>
      <c r="K8484" t="s">
        <v>39023</v>
      </c>
      <c r="M8484" t="s">
        <v>41625</v>
      </c>
      <c r="N8484" t="s">
        <v>43166</v>
      </c>
      <c r="O8484" t="s">
        <v>43167</v>
      </c>
      <c r="P8484">
        <v>0</v>
      </c>
      <c r="Q8484">
        <v>0</v>
      </c>
      <c r="R8484" t="s">
        <v>43174</v>
      </c>
      <c r="S8484" t="s">
        <v>43396</v>
      </c>
      <c r="T8484" t="s">
        <v>44717</v>
      </c>
      <c r="U8484" t="s">
        <v>52014</v>
      </c>
      <c r="W8484" t="s">
        <v>41625</v>
      </c>
      <c r="X8484" t="s">
        <v>43175</v>
      </c>
    </row>
    <row r="8485" spans="1:24">
      <c r="A8485">
        <f>HYPERLINK("https://www.philgeps.gov.ph/GEPSNONPILOT/Tender/SplashBidNoticeAbstractUI.aspx?menuIndex=3&amp;refID=7074555&amp;Result=3","7074555")</f>
        <v>0</v>
      </c>
      <c r="B8485" t="s">
        <v>2558</v>
      </c>
      <c r="C8485" t="s">
        <v>11497</v>
      </c>
      <c r="D8485" t="s">
        <v>17449</v>
      </c>
      <c r="E8485" t="s">
        <v>24810</v>
      </c>
      <c r="F8485" t="s">
        <v>30052</v>
      </c>
      <c r="G8485" t="s">
        <v>30058</v>
      </c>
      <c r="H8485" t="s">
        <v>30067</v>
      </c>
      <c r="I8485" t="s">
        <v>3693</v>
      </c>
      <c r="J8485" t="s">
        <v>30252</v>
      </c>
      <c r="K8485" t="s">
        <v>39037</v>
      </c>
      <c r="M8485" t="s">
        <v>42065</v>
      </c>
      <c r="N8485" t="s">
        <v>43166</v>
      </c>
      <c r="O8485" t="s">
        <v>43167</v>
      </c>
      <c r="P8485">
        <v>0</v>
      </c>
      <c r="Q8485">
        <v>0</v>
      </c>
      <c r="R8485" t="s">
        <v>43174</v>
      </c>
      <c r="S8485" t="s">
        <v>43396</v>
      </c>
      <c r="T8485" t="s">
        <v>44837</v>
      </c>
      <c r="U8485" t="s">
        <v>52015</v>
      </c>
      <c r="W8485" t="s">
        <v>42065</v>
      </c>
      <c r="X8485" t="s">
        <v>43175</v>
      </c>
    </row>
    <row r="8486" spans="1:24">
      <c r="A8486">
        <f>HYPERLINK("https://www.philgeps.gov.ph/GEPSNONPILOT/Tender/SplashBidNoticeAbstractUI.aspx?menuIndex=3&amp;refID=7074614&amp;Result=3","7074614")</f>
        <v>0</v>
      </c>
      <c r="B8486" t="s">
        <v>592</v>
      </c>
      <c r="C8486" t="s">
        <v>11498</v>
      </c>
      <c r="D8486" t="s">
        <v>17461</v>
      </c>
      <c r="E8486" t="s">
        <v>24811</v>
      </c>
      <c r="F8486" t="s">
        <v>30052</v>
      </c>
      <c r="G8486" t="s">
        <v>30058</v>
      </c>
      <c r="H8486" t="s">
        <v>15498</v>
      </c>
      <c r="I8486" t="s">
        <v>30171</v>
      </c>
      <c r="J8486" t="s">
        <v>31913</v>
      </c>
      <c r="K8486" t="s">
        <v>39029</v>
      </c>
      <c r="M8486" t="s">
        <v>41301</v>
      </c>
      <c r="N8486" t="s">
        <v>43166</v>
      </c>
      <c r="O8486" t="s">
        <v>43167</v>
      </c>
      <c r="P8486">
        <v>0</v>
      </c>
      <c r="Q8486">
        <v>0</v>
      </c>
      <c r="R8486" t="s">
        <v>43174</v>
      </c>
      <c r="S8486" t="s">
        <v>43396</v>
      </c>
      <c r="T8486" t="s">
        <v>44678</v>
      </c>
      <c r="U8486" t="s">
        <v>52016</v>
      </c>
      <c r="W8486" t="s">
        <v>41301</v>
      </c>
      <c r="X8486" t="s">
        <v>43175</v>
      </c>
    </row>
    <row r="8487" spans="1:24">
      <c r="A8487">
        <f>HYPERLINK("https://www.philgeps.gov.ph/GEPSNONPILOT/Tender/SplashBidNoticeAbstractUI.aspx?menuIndex=3&amp;refID=7074393&amp;Result=3","7074393")</f>
        <v>0</v>
      </c>
      <c r="B8487" t="s">
        <v>2548</v>
      </c>
      <c r="C8487" t="s">
        <v>11499</v>
      </c>
      <c r="D8487" t="s">
        <v>17457</v>
      </c>
      <c r="E8487" t="s">
        <v>24812</v>
      </c>
      <c r="F8487" t="s">
        <v>30052</v>
      </c>
      <c r="G8487" t="s">
        <v>30058</v>
      </c>
      <c r="H8487" t="s">
        <v>15498</v>
      </c>
      <c r="I8487" t="s">
        <v>30125</v>
      </c>
      <c r="J8487" t="s">
        <v>30256</v>
      </c>
      <c r="K8487" t="s">
        <v>39029</v>
      </c>
      <c r="M8487" t="s">
        <v>42055</v>
      </c>
      <c r="N8487" t="s">
        <v>43166</v>
      </c>
      <c r="O8487" t="s">
        <v>43167</v>
      </c>
      <c r="P8487">
        <v>0</v>
      </c>
      <c r="Q8487">
        <v>0</v>
      </c>
      <c r="R8487" t="s">
        <v>43174</v>
      </c>
      <c r="S8487" t="s">
        <v>43396</v>
      </c>
      <c r="T8487" t="s">
        <v>45047</v>
      </c>
      <c r="U8487" t="s">
        <v>51951</v>
      </c>
      <c r="W8487" t="s">
        <v>42055</v>
      </c>
      <c r="X8487" t="s">
        <v>43175</v>
      </c>
    </row>
    <row r="8488" spans="1:24">
      <c r="A8488">
        <f>HYPERLINK("https://www.philgeps.gov.ph/GEPSNONPILOT/Tender/SplashBidNoticeAbstractUI.aspx?menuIndex=3&amp;refID=7074558&amp;Result=3","7074558")</f>
        <v>0</v>
      </c>
      <c r="B8488" t="s">
        <v>2476</v>
      </c>
      <c r="C8488" t="s">
        <v>11500</v>
      </c>
      <c r="D8488" t="s">
        <v>17472</v>
      </c>
      <c r="E8488" t="s">
        <v>24779</v>
      </c>
      <c r="F8488" t="s">
        <v>30052</v>
      </c>
      <c r="G8488" t="s">
        <v>30058</v>
      </c>
      <c r="H8488" t="s">
        <v>15498</v>
      </c>
      <c r="I8488" t="s">
        <v>3736</v>
      </c>
      <c r="J8488" t="s">
        <v>35355</v>
      </c>
      <c r="K8488" t="s">
        <v>39019</v>
      </c>
      <c r="M8488" t="s">
        <v>41976</v>
      </c>
      <c r="N8488" t="s">
        <v>43166</v>
      </c>
      <c r="O8488" t="s">
        <v>43167</v>
      </c>
      <c r="P8488">
        <v>0</v>
      </c>
      <c r="Q8488">
        <v>2</v>
      </c>
      <c r="R8488" t="s">
        <v>43174</v>
      </c>
      <c r="S8488" t="s">
        <v>43396</v>
      </c>
      <c r="T8488" t="s">
        <v>44870</v>
      </c>
      <c r="U8488" t="s">
        <v>51996</v>
      </c>
      <c r="W8488" t="s">
        <v>41976</v>
      </c>
      <c r="X8488" t="s">
        <v>43175</v>
      </c>
    </row>
    <row r="8489" spans="1:24">
      <c r="A8489">
        <f>HYPERLINK("https://www.philgeps.gov.ph/GEPSNONPILOT/Tender/SplashBidNoticeAbstractUI.aspx?menuIndex=3&amp;refID=7074612&amp;Result=3","7074612")</f>
        <v>0</v>
      </c>
      <c r="B8489" t="s">
        <v>2569</v>
      </c>
      <c r="C8489" t="s">
        <v>11501</v>
      </c>
      <c r="D8489" t="s">
        <v>17470</v>
      </c>
      <c r="E8489" t="s">
        <v>24813</v>
      </c>
      <c r="F8489" t="s">
        <v>30052</v>
      </c>
      <c r="G8489" t="s">
        <v>30059</v>
      </c>
      <c r="H8489" t="s">
        <v>15498</v>
      </c>
      <c r="I8489" t="s">
        <v>30096</v>
      </c>
      <c r="J8489" t="s">
        <v>35370</v>
      </c>
      <c r="K8489" t="s">
        <v>39034</v>
      </c>
      <c r="M8489" t="s">
        <v>42076</v>
      </c>
      <c r="N8489" t="s">
        <v>43166</v>
      </c>
      <c r="O8489" t="s">
        <v>43167</v>
      </c>
      <c r="P8489">
        <v>0</v>
      </c>
      <c r="Q8489">
        <v>3</v>
      </c>
      <c r="R8489" t="s">
        <v>43174</v>
      </c>
      <c r="S8489" t="s">
        <v>43396</v>
      </c>
      <c r="T8489" t="s">
        <v>45030</v>
      </c>
      <c r="U8489" t="s">
        <v>52017</v>
      </c>
      <c r="W8489" t="s">
        <v>42076</v>
      </c>
      <c r="X8489" t="s">
        <v>43175</v>
      </c>
    </row>
    <row r="8490" spans="1:24">
      <c r="A8490">
        <f>HYPERLINK("https://www.philgeps.gov.ph/GEPSNONPILOT/Tender/SplashBidNoticeAbstractUI.aspx?menuIndex=3&amp;refID=7074286&amp;Result=3","7074286")</f>
        <v>0</v>
      </c>
      <c r="B8490" t="s">
        <v>1028</v>
      </c>
      <c r="C8490" t="s">
        <v>11502</v>
      </c>
      <c r="D8490" t="s">
        <v>17475</v>
      </c>
      <c r="E8490" t="s">
        <v>24814</v>
      </c>
      <c r="F8490" t="s">
        <v>30052</v>
      </c>
      <c r="G8490" t="s">
        <v>30059</v>
      </c>
      <c r="H8490" t="s">
        <v>15498</v>
      </c>
      <c r="I8490" t="s">
        <v>6691</v>
      </c>
      <c r="J8490" t="s">
        <v>35371</v>
      </c>
      <c r="K8490" t="s">
        <v>39035</v>
      </c>
      <c r="M8490" t="s">
        <v>40357</v>
      </c>
      <c r="N8490" t="s">
        <v>43166</v>
      </c>
      <c r="O8490" t="s">
        <v>43167</v>
      </c>
      <c r="P8490">
        <v>0</v>
      </c>
      <c r="Q8490">
        <v>0</v>
      </c>
      <c r="R8490" t="s">
        <v>43174</v>
      </c>
      <c r="S8490" t="s">
        <v>43396</v>
      </c>
      <c r="T8490" t="s">
        <v>44837</v>
      </c>
      <c r="U8490" t="s">
        <v>47341</v>
      </c>
      <c r="W8490" t="s">
        <v>40357</v>
      </c>
      <c r="X8490" t="s">
        <v>43175</v>
      </c>
    </row>
    <row r="8491" spans="1:24">
      <c r="A8491">
        <f>HYPERLINK("https://www.philgeps.gov.ph/GEPSNONPILOT/Tender/SplashBidNoticeAbstractUI.aspx?menuIndex=3&amp;refID=7074638&amp;Result=3","7074638")</f>
        <v>0</v>
      </c>
      <c r="B8491" t="s">
        <v>2567</v>
      </c>
      <c r="C8491" t="s">
        <v>11476</v>
      </c>
      <c r="D8491" t="s">
        <v>17462</v>
      </c>
      <c r="E8491" t="s">
        <v>24815</v>
      </c>
      <c r="F8491" t="s">
        <v>30055</v>
      </c>
      <c r="G8491" t="s">
        <v>30061</v>
      </c>
      <c r="H8491" t="s">
        <v>15498</v>
      </c>
      <c r="I8491" t="s">
        <v>30119</v>
      </c>
      <c r="J8491" t="s">
        <v>35372</v>
      </c>
      <c r="K8491" t="s">
        <v>39017</v>
      </c>
      <c r="M8491" t="s">
        <v>42074</v>
      </c>
      <c r="N8491" t="s">
        <v>43166</v>
      </c>
      <c r="O8491" t="s">
        <v>43167</v>
      </c>
      <c r="P8491">
        <v>0</v>
      </c>
      <c r="Q8491">
        <v>2</v>
      </c>
      <c r="R8491" t="s">
        <v>43174</v>
      </c>
      <c r="S8491" t="s">
        <v>43396</v>
      </c>
      <c r="T8491" t="s">
        <v>44894</v>
      </c>
      <c r="U8491" t="s">
        <v>52004</v>
      </c>
      <c r="W8491" t="s">
        <v>42074</v>
      </c>
      <c r="X8491" t="s">
        <v>43175</v>
      </c>
    </row>
    <row r="8492" spans="1:24">
      <c r="A8492">
        <f>HYPERLINK("https://www.philgeps.gov.ph/GEPSNONPILOT/Tender/SplashBidNoticeAbstractUI.aspx?menuIndex=3&amp;refID=7074615&amp;Result=3","7074615")</f>
        <v>0</v>
      </c>
      <c r="B8492" t="s">
        <v>2564</v>
      </c>
      <c r="C8492" t="s">
        <v>11503</v>
      </c>
      <c r="D8492" t="s">
        <v>17434</v>
      </c>
      <c r="E8492" t="s">
        <v>24816</v>
      </c>
      <c r="F8492" t="s">
        <v>30052</v>
      </c>
      <c r="G8492" t="s">
        <v>30058</v>
      </c>
      <c r="H8492" t="s">
        <v>30067</v>
      </c>
      <c r="I8492" t="s">
        <v>3693</v>
      </c>
      <c r="J8492" t="s">
        <v>35373</v>
      </c>
      <c r="K8492" t="s">
        <v>39025</v>
      </c>
      <c r="M8492" t="s">
        <v>42071</v>
      </c>
      <c r="N8492" t="s">
        <v>43166</v>
      </c>
      <c r="O8492" t="s">
        <v>43167</v>
      </c>
      <c r="P8492">
        <v>0</v>
      </c>
      <c r="Q8492">
        <v>1</v>
      </c>
      <c r="R8492" t="s">
        <v>43174</v>
      </c>
      <c r="S8492" t="s">
        <v>43396</v>
      </c>
      <c r="T8492" t="s">
        <v>44698</v>
      </c>
      <c r="U8492" t="s">
        <v>52018</v>
      </c>
      <c r="W8492" t="s">
        <v>42071</v>
      </c>
      <c r="X8492" t="s">
        <v>43175</v>
      </c>
    </row>
    <row r="8493" spans="1:24">
      <c r="A8493">
        <f>HYPERLINK("https://www.philgeps.gov.ph/GEPSNONPILOT/Tender/SplashBidNoticeAbstractUI.aspx?menuIndex=3&amp;refID=7074629&amp;Result=3","7074629")</f>
        <v>0</v>
      </c>
      <c r="B8493" t="s">
        <v>2553</v>
      </c>
      <c r="C8493" t="s">
        <v>11504</v>
      </c>
      <c r="D8493" t="s">
        <v>17432</v>
      </c>
      <c r="E8493" t="s">
        <v>24817</v>
      </c>
      <c r="F8493" t="s">
        <v>30052</v>
      </c>
      <c r="G8493" t="s">
        <v>30059</v>
      </c>
      <c r="H8493" t="s">
        <v>15498</v>
      </c>
      <c r="I8493" t="s">
        <v>30196</v>
      </c>
      <c r="J8493" t="s">
        <v>30230</v>
      </c>
      <c r="K8493" t="s">
        <v>39034</v>
      </c>
      <c r="M8493" t="s">
        <v>42060</v>
      </c>
      <c r="N8493" t="s">
        <v>43166</v>
      </c>
      <c r="O8493" t="s">
        <v>43167</v>
      </c>
      <c r="P8493">
        <v>0</v>
      </c>
      <c r="Q8493">
        <v>0</v>
      </c>
      <c r="R8493" t="s">
        <v>43174</v>
      </c>
      <c r="S8493" t="s">
        <v>43396</v>
      </c>
      <c r="T8493" t="s">
        <v>44720</v>
      </c>
      <c r="U8493" t="s">
        <v>52019</v>
      </c>
      <c r="W8493" t="s">
        <v>42060</v>
      </c>
      <c r="X8493" t="s">
        <v>43175</v>
      </c>
    </row>
    <row r="8494" spans="1:24">
      <c r="A8494">
        <f>HYPERLINK("https://www.philgeps.gov.ph/GEPSNONPILOT/Tender/SplashBidNoticeAbstractUI.aspx?menuIndex=3&amp;refID=7074613&amp;Result=3","7074613")</f>
        <v>0</v>
      </c>
      <c r="B8494" t="s">
        <v>719</v>
      </c>
      <c r="C8494" t="s">
        <v>11505</v>
      </c>
      <c r="D8494" t="s">
        <v>17461</v>
      </c>
      <c r="E8494" t="s">
        <v>24818</v>
      </c>
      <c r="F8494" t="s">
        <v>30052</v>
      </c>
      <c r="G8494" t="s">
        <v>30059</v>
      </c>
      <c r="H8494" t="s">
        <v>15498</v>
      </c>
      <c r="I8494" t="s">
        <v>30093</v>
      </c>
      <c r="J8494" t="s">
        <v>30256</v>
      </c>
      <c r="K8494" t="s">
        <v>39037</v>
      </c>
      <c r="M8494" t="s">
        <v>40029</v>
      </c>
      <c r="N8494" t="s">
        <v>43166</v>
      </c>
      <c r="O8494" t="s">
        <v>43167</v>
      </c>
      <c r="P8494">
        <v>0</v>
      </c>
      <c r="Q8494">
        <v>0</v>
      </c>
      <c r="R8494" t="s">
        <v>43174</v>
      </c>
      <c r="S8494" t="s">
        <v>43396</v>
      </c>
      <c r="T8494" t="s">
        <v>44717</v>
      </c>
      <c r="U8494" t="s">
        <v>52020</v>
      </c>
      <c r="W8494" t="s">
        <v>40029</v>
      </c>
      <c r="X8494" t="s">
        <v>43175</v>
      </c>
    </row>
    <row r="8495" spans="1:24">
      <c r="A8495">
        <f>HYPERLINK("https://www.philgeps.gov.ph/GEPSNONPILOT/Tender/SplashBidNoticeAbstractUI.aspx?menuIndex=3&amp;refID=7074607&amp;Result=3","7074607")</f>
        <v>0</v>
      </c>
      <c r="B8495" t="s">
        <v>2550</v>
      </c>
      <c r="C8495" t="s">
        <v>11506</v>
      </c>
      <c r="D8495" t="s">
        <v>17445</v>
      </c>
      <c r="E8495" t="s">
        <v>24819</v>
      </c>
      <c r="F8495" t="s">
        <v>30052</v>
      </c>
      <c r="G8495" t="s">
        <v>30059</v>
      </c>
      <c r="H8495" t="s">
        <v>15498</v>
      </c>
      <c r="I8495" t="s">
        <v>30100</v>
      </c>
      <c r="J8495" t="s">
        <v>30545</v>
      </c>
      <c r="K8495" t="s">
        <v>39162</v>
      </c>
      <c r="M8495" t="s">
        <v>42057</v>
      </c>
      <c r="N8495" t="s">
        <v>43166</v>
      </c>
      <c r="O8495" t="s">
        <v>43167</v>
      </c>
      <c r="P8495">
        <v>0</v>
      </c>
      <c r="Q8495">
        <v>2</v>
      </c>
      <c r="R8495" t="s">
        <v>43174</v>
      </c>
      <c r="S8495" t="s">
        <v>43396</v>
      </c>
      <c r="T8495" t="s">
        <v>45047</v>
      </c>
      <c r="U8495" t="s">
        <v>51993</v>
      </c>
      <c r="W8495" t="s">
        <v>42057</v>
      </c>
      <c r="X8495" t="s">
        <v>43175</v>
      </c>
    </row>
    <row r="8496" spans="1:24">
      <c r="A8496">
        <f>HYPERLINK("https://www.philgeps.gov.ph/GEPSNONPILOT/Tender/SplashBidNoticeAbstractUI.aspx?menuIndex=3&amp;refID=7074619&amp;Result=3","7074619")</f>
        <v>0</v>
      </c>
      <c r="B8496" t="s">
        <v>2570</v>
      </c>
      <c r="C8496" t="s">
        <v>11507</v>
      </c>
      <c r="D8496" t="s">
        <v>17462</v>
      </c>
      <c r="E8496" t="s">
        <v>24820</v>
      </c>
      <c r="F8496" t="s">
        <v>30056</v>
      </c>
      <c r="G8496" t="s">
        <v>30061</v>
      </c>
      <c r="H8496" t="s">
        <v>15498</v>
      </c>
      <c r="I8496" t="s">
        <v>4119</v>
      </c>
      <c r="J8496" t="s">
        <v>35374</v>
      </c>
      <c r="K8496" t="s">
        <v>39025</v>
      </c>
      <c r="M8496" t="s">
        <v>42077</v>
      </c>
      <c r="N8496" t="s">
        <v>43166</v>
      </c>
      <c r="O8496" t="s">
        <v>43167</v>
      </c>
      <c r="P8496">
        <v>0</v>
      </c>
      <c r="Q8496">
        <v>4</v>
      </c>
      <c r="R8496" t="s">
        <v>43174</v>
      </c>
      <c r="S8496" t="s">
        <v>43396</v>
      </c>
      <c r="T8496" t="s">
        <v>44837</v>
      </c>
      <c r="U8496" t="s">
        <v>52021</v>
      </c>
      <c r="W8496" t="s">
        <v>42077</v>
      </c>
      <c r="X8496" t="s">
        <v>43175</v>
      </c>
    </row>
    <row r="8497" spans="1:24">
      <c r="A8497">
        <f>HYPERLINK("https://www.philgeps.gov.ph/GEPSNONPILOT/Tender/SplashBidNoticeAbstractUI.aspx?menuIndex=3&amp;refID=7074623&amp;Result=3","7074623")</f>
        <v>0</v>
      </c>
      <c r="B8497" t="s">
        <v>112</v>
      </c>
      <c r="C8497" t="s">
        <v>11508</v>
      </c>
      <c r="D8497" t="s">
        <v>17435</v>
      </c>
      <c r="E8497" t="s">
        <v>24821</v>
      </c>
      <c r="F8497" t="s">
        <v>30052</v>
      </c>
      <c r="G8497" t="s">
        <v>30058</v>
      </c>
      <c r="H8497" t="s">
        <v>15498</v>
      </c>
      <c r="I8497" t="s">
        <v>30092</v>
      </c>
      <c r="J8497" t="s">
        <v>30559</v>
      </c>
      <c r="K8497" t="s">
        <v>39025</v>
      </c>
      <c r="M8497" t="s">
        <v>39401</v>
      </c>
      <c r="N8497" t="s">
        <v>43166</v>
      </c>
      <c r="O8497" t="s">
        <v>43167</v>
      </c>
      <c r="P8497">
        <v>0</v>
      </c>
      <c r="Q8497">
        <v>2</v>
      </c>
      <c r="R8497" t="s">
        <v>43174</v>
      </c>
      <c r="S8497" t="s">
        <v>43396</v>
      </c>
      <c r="T8497" t="s">
        <v>45047</v>
      </c>
      <c r="U8497" t="s">
        <v>52022</v>
      </c>
      <c r="V8497" t="s">
        <v>56838</v>
      </c>
      <c r="W8497" t="s">
        <v>39401</v>
      </c>
      <c r="X8497" t="s">
        <v>43175</v>
      </c>
    </row>
    <row r="8498" spans="1:24">
      <c r="A8498">
        <f>HYPERLINK("https://www.philgeps.gov.ph/GEPSNONPILOT/Tender/SplashBidNoticeAbstractUI.aspx?menuIndex=3&amp;refID=7074602&amp;Result=3","7074602")</f>
        <v>0</v>
      </c>
      <c r="B8498" t="s">
        <v>2558</v>
      </c>
      <c r="C8498" t="s">
        <v>11509</v>
      </c>
      <c r="D8498" t="s">
        <v>17449</v>
      </c>
      <c r="E8498" t="s">
        <v>24822</v>
      </c>
      <c r="F8498" t="s">
        <v>30052</v>
      </c>
      <c r="G8498" t="s">
        <v>30058</v>
      </c>
      <c r="H8498" t="s">
        <v>30067</v>
      </c>
      <c r="I8498" t="s">
        <v>3693</v>
      </c>
      <c r="J8498" t="s">
        <v>30252</v>
      </c>
      <c r="K8498" t="s">
        <v>39034</v>
      </c>
      <c r="M8498" t="s">
        <v>42065</v>
      </c>
      <c r="N8498" t="s">
        <v>43166</v>
      </c>
      <c r="O8498" t="s">
        <v>43167</v>
      </c>
      <c r="P8498">
        <v>0</v>
      </c>
      <c r="Q8498">
        <v>0</v>
      </c>
      <c r="R8498" t="s">
        <v>43174</v>
      </c>
      <c r="S8498" t="s">
        <v>43396</v>
      </c>
      <c r="T8498" t="s">
        <v>44837</v>
      </c>
      <c r="U8498" t="s">
        <v>52023</v>
      </c>
      <c r="W8498" t="s">
        <v>42065</v>
      </c>
      <c r="X8498" t="s">
        <v>43175</v>
      </c>
    </row>
    <row r="8499" spans="1:24">
      <c r="A8499">
        <f>HYPERLINK("https://www.philgeps.gov.ph/GEPSNONPILOT/Tender/SplashBidNoticeAbstractUI.aspx?menuIndex=3&amp;refID=7074630&amp;Result=3","7074630")</f>
        <v>0</v>
      </c>
      <c r="B8499" t="s">
        <v>2556</v>
      </c>
      <c r="C8499" t="s">
        <v>11510</v>
      </c>
      <c r="D8499" t="s">
        <v>17414</v>
      </c>
      <c r="E8499" t="s">
        <v>24823</v>
      </c>
      <c r="F8499" t="s">
        <v>30052</v>
      </c>
      <c r="G8499" t="s">
        <v>30058</v>
      </c>
      <c r="H8499" t="s">
        <v>15498</v>
      </c>
      <c r="I8499" t="s">
        <v>30103</v>
      </c>
      <c r="J8499" t="s">
        <v>30286</v>
      </c>
      <c r="K8499" t="s">
        <v>39017</v>
      </c>
      <c r="M8499" t="s">
        <v>42063</v>
      </c>
      <c r="N8499" t="s">
        <v>43166</v>
      </c>
      <c r="O8499" t="s">
        <v>43167</v>
      </c>
      <c r="P8499">
        <v>0</v>
      </c>
      <c r="Q8499">
        <v>1</v>
      </c>
      <c r="R8499" t="s">
        <v>43174</v>
      </c>
      <c r="S8499" t="s">
        <v>43396</v>
      </c>
      <c r="T8499" t="s">
        <v>44753</v>
      </c>
      <c r="U8499" t="s">
        <v>52024</v>
      </c>
      <c r="W8499" t="s">
        <v>42063</v>
      </c>
      <c r="X8499" t="s">
        <v>43175</v>
      </c>
    </row>
    <row r="8500" spans="1:24">
      <c r="A8500">
        <f>HYPERLINK("https://www.philgeps.gov.ph/GEPSNONPILOT/Tender/SplashBidNoticeAbstractUI.aspx?menuIndex=3&amp;refID=7074443&amp;Result=3","7074443")</f>
        <v>0</v>
      </c>
      <c r="B8500" t="s">
        <v>1608</v>
      </c>
      <c r="C8500" t="s">
        <v>11511</v>
      </c>
      <c r="D8500" t="s">
        <v>17415</v>
      </c>
      <c r="E8500" t="s">
        <v>24824</v>
      </c>
      <c r="F8500" t="s">
        <v>30052</v>
      </c>
      <c r="G8500" t="s">
        <v>30058</v>
      </c>
      <c r="H8500" t="s">
        <v>15498</v>
      </c>
      <c r="I8500" t="s">
        <v>3852</v>
      </c>
      <c r="J8500" t="s">
        <v>30277</v>
      </c>
      <c r="K8500" t="s">
        <v>39019</v>
      </c>
      <c r="M8500" t="s">
        <v>41506</v>
      </c>
      <c r="N8500" t="s">
        <v>43166</v>
      </c>
      <c r="O8500" t="s">
        <v>43167</v>
      </c>
      <c r="P8500">
        <v>0</v>
      </c>
      <c r="Q8500">
        <v>0</v>
      </c>
      <c r="R8500" t="s">
        <v>43174</v>
      </c>
      <c r="S8500" t="s">
        <v>43396</v>
      </c>
      <c r="T8500" t="s">
        <v>44844</v>
      </c>
      <c r="U8500" t="s">
        <v>48908</v>
      </c>
      <c r="W8500" t="s">
        <v>41506</v>
      </c>
      <c r="X8500" t="s">
        <v>43175</v>
      </c>
    </row>
    <row r="8501" spans="1:24">
      <c r="A8501">
        <f>HYPERLINK("https://www.philgeps.gov.ph/GEPSNONPILOT/Tender/SplashBidNoticeAbstractUI.aspx?menuIndex=3&amp;refID=7074628&amp;Result=3","7074628")</f>
        <v>0</v>
      </c>
      <c r="B8501" t="s">
        <v>2571</v>
      </c>
      <c r="C8501" t="s">
        <v>11512</v>
      </c>
      <c r="D8501" t="s">
        <v>17452</v>
      </c>
      <c r="E8501" t="s">
        <v>24825</v>
      </c>
      <c r="F8501" t="s">
        <v>30052</v>
      </c>
      <c r="G8501" t="s">
        <v>30059</v>
      </c>
      <c r="H8501" t="s">
        <v>15498</v>
      </c>
      <c r="I8501" t="s">
        <v>30071</v>
      </c>
      <c r="J8501" t="s">
        <v>35375</v>
      </c>
      <c r="K8501" t="s">
        <v>39018</v>
      </c>
      <c r="M8501" t="s">
        <v>42078</v>
      </c>
      <c r="N8501" t="s">
        <v>43166</v>
      </c>
      <c r="O8501" t="s">
        <v>43167</v>
      </c>
      <c r="P8501">
        <v>0</v>
      </c>
      <c r="Q8501">
        <v>1</v>
      </c>
      <c r="R8501" t="s">
        <v>43174</v>
      </c>
      <c r="S8501" t="s">
        <v>43396</v>
      </c>
      <c r="T8501" t="s">
        <v>44843</v>
      </c>
      <c r="U8501" t="s">
        <v>52025</v>
      </c>
      <c r="W8501" t="s">
        <v>58678</v>
      </c>
      <c r="X8501" t="s">
        <v>43175</v>
      </c>
    </row>
    <row r="8502" spans="1:24">
      <c r="A8502">
        <f>HYPERLINK("https://www.philgeps.gov.ph/GEPSNONPILOT/Tender/SplashBidNoticeAbstractUI.aspx?menuIndex=3&amp;refID=7074590&amp;Result=3","7074590")</f>
        <v>0</v>
      </c>
      <c r="B8502" t="s">
        <v>2556</v>
      </c>
      <c r="C8502" t="s">
        <v>11513</v>
      </c>
      <c r="D8502" t="s">
        <v>17414</v>
      </c>
      <c r="E8502" t="s">
        <v>21030</v>
      </c>
      <c r="F8502" t="s">
        <v>30052</v>
      </c>
      <c r="G8502" t="s">
        <v>30058</v>
      </c>
      <c r="H8502" t="s">
        <v>15498</v>
      </c>
      <c r="I8502" t="s">
        <v>30078</v>
      </c>
      <c r="J8502" t="s">
        <v>35376</v>
      </c>
      <c r="K8502" t="s">
        <v>39017</v>
      </c>
      <c r="M8502" t="s">
        <v>42063</v>
      </c>
      <c r="N8502" t="s">
        <v>43166</v>
      </c>
      <c r="O8502" t="s">
        <v>43167</v>
      </c>
      <c r="P8502">
        <v>0</v>
      </c>
      <c r="Q8502">
        <v>0</v>
      </c>
      <c r="R8502" t="s">
        <v>43174</v>
      </c>
      <c r="S8502" t="s">
        <v>43396</v>
      </c>
      <c r="T8502" t="s">
        <v>44753</v>
      </c>
      <c r="U8502" t="s">
        <v>52026</v>
      </c>
      <c r="W8502" t="s">
        <v>42063</v>
      </c>
      <c r="X8502" t="s">
        <v>43175</v>
      </c>
    </row>
    <row r="8503" spans="1:24">
      <c r="A8503">
        <f>HYPERLINK("https://www.philgeps.gov.ph/GEPSNONPILOT/Tender/SplashBidNoticeAbstractUI.aspx?menuIndex=3&amp;refID=7074620&amp;Result=3","7074620")</f>
        <v>0</v>
      </c>
      <c r="B8503" t="s">
        <v>2476</v>
      </c>
      <c r="C8503" t="s">
        <v>11514</v>
      </c>
      <c r="D8503" t="s">
        <v>17472</v>
      </c>
      <c r="E8503" t="s">
        <v>24779</v>
      </c>
      <c r="F8503" t="s">
        <v>30052</v>
      </c>
      <c r="G8503" t="s">
        <v>30058</v>
      </c>
      <c r="H8503" t="s">
        <v>15498</v>
      </c>
      <c r="I8503" t="s">
        <v>3736</v>
      </c>
      <c r="J8503" t="s">
        <v>35377</v>
      </c>
      <c r="K8503" t="s">
        <v>39019</v>
      </c>
      <c r="M8503" t="s">
        <v>41976</v>
      </c>
      <c r="N8503" t="s">
        <v>43166</v>
      </c>
      <c r="O8503" t="s">
        <v>43167</v>
      </c>
      <c r="P8503">
        <v>0</v>
      </c>
      <c r="Q8503">
        <v>2</v>
      </c>
      <c r="R8503" t="s">
        <v>43174</v>
      </c>
      <c r="S8503" t="s">
        <v>43396</v>
      </c>
      <c r="T8503" t="s">
        <v>44870</v>
      </c>
      <c r="U8503" t="s">
        <v>51996</v>
      </c>
      <c r="W8503" t="s">
        <v>41976</v>
      </c>
      <c r="X8503" t="s">
        <v>43175</v>
      </c>
    </row>
    <row r="8504" spans="1:24">
      <c r="A8504">
        <f>HYPERLINK("https://www.philgeps.gov.ph/GEPSNONPILOT/Tender/SplashBidNoticeAbstractUI.aspx?menuIndex=3&amp;refID=7074674&amp;Result=3","7074674")</f>
        <v>0</v>
      </c>
      <c r="B8504" t="s">
        <v>719</v>
      </c>
      <c r="C8504" t="s">
        <v>11515</v>
      </c>
      <c r="D8504" t="s">
        <v>17461</v>
      </c>
      <c r="E8504" t="s">
        <v>24826</v>
      </c>
      <c r="F8504" t="s">
        <v>30052</v>
      </c>
      <c r="G8504" t="s">
        <v>30059</v>
      </c>
      <c r="H8504" t="s">
        <v>15498</v>
      </c>
      <c r="I8504" t="s">
        <v>3852</v>
      </c>
      <c r="J8504" t="s">
        <v>35378</v>
      </c>
      <c r="K8504" t="s">
        <v>39037</v>
      </c>
      <c r="M8504" t="s">
        <v>40029</v>
      </c>
      <c r="N8504" t="s">
        <v>43166</v>
      </c>
      <c r="O8504" t="s">
        <v>43167</v>
      </c>
      <c r="P8504">
        <v>0</v>
      </c>
      <c r="Q8504">
        <v>0</v>
      </c>
      <c r="R8504" t="s">
        <v>43174</v>
      </c>
      <c r="S8504" t="s">
        <v>43396</v>
      </c>
      <c r="T8504" t="s">
        <v>44717</v>
      </c>
      <c r="U8504" t="s">
        <v>52027</v>
      </c>
      <c r="W8504" t="s">
        <v>40029</v>
      </c>
      <c r="X8504" t="s">
        <v>43175</v>
      </c>
    </row>
    <row r="8505" spans="1:24">
      <c r="A8505">
        <f>HYPERLINK("https://www.philgeps.gov.ph/GEPSNONPILOT/Tender/SplashBidNoticeAbstractUI.aspx?menuIndex=3&amp;refID=7074697&amp;Result=3","7074697")</f>
        <v>0</v>
      </c>
      <c r="B8505" t="s">
        <v>2572</v>
      </c>
      <c r="C8505" t="s">
        <v>8344</v>
      </c>
      <c r="D8505" t="s">
        <v>17441</v>
      </c>
      <c r="E8505" t="s">
        <v>24827</v>
      </c>
      <c r="F8505" t="s">
        <v>30052</v>
      </c>
      <c r="G8505" t="s">
        <v>30058</v>
      </c>
      <c r="H8505" t="s">
        <v>30067</v>
      </c>
      <c r="I8505" t="s">
        <v>3693</v>
      </c>
      <c r="J8505" t="s">
        <v>30277</v>
      </c>
      <c r="K8505" t="s">
        <v>39025</v>
      </c>
      <c r="M8505" t="s">
        <v>42079</v>
      </c>
      <c r="N8505" t="s">
        <v>43166</v>
      </c>
      <c r="O8505" t="s">
        <v>43167</v>
      </c>
      <c r="P8505">
        <v>0</v>
      </c>
      <c r="Q8505">
        <v>2</v>
      </c>
      <c r="R8505" t="s">
        <v>43174</v>
      </c>
      <c r="S8505" t="s">
        <v>43396</v>
      </c>
      <c r="T8505" t="s">
        <v>44837</v>
      </c>
      <c r="U8505" t="s">
        <v>52028</v>
      </c>
      <c r="V8505" t="s">
        <v>57407</v>
      </c>
      <c r="W8505" t="s">
        <v>42079</v>
      </c>
      <c r="X8505" t="s">
        <v>43175</v>
      </c>
    </row>
    <row r="8506" spans="1:24">
      <c r="A8506">
        <f>HYPERLINK("https://www.philgeps.gov.ph/GEPSNONPILOT/Tender/SplashBidNoticeAbstractUI.aspx?menuIndex=3&amp;refID=7074597&amp;Result=3","7074597")</f>
        <v>0</v>
      </c>
      <c r="B8506" t="s">
        <v>2573</v>
      </c>
      <c r="C8506" t="s">
        <v>11516</v>
      </c>
      <c r="D8506" t="s">
        <v>17441</v>
      </c>
      <c r="E8506" t="s">
        <v>24828</v>
      </c>
      <c r="F8506" t="s">
        <v>30052</v>
      </c>
      <c r="G8506" t="s">
        <v>30058</v>
      </c>
      <c r="H8506" t="s">
        <v>30067</v>
      </c>
      <c r="I8506" t="s">
        <v>3693</v>
      </c>
      <c r="J8506" t="s">
        <v>31825</v>
      </c>
      <c r="K8506" t="s">
        <v>39025</v>
      </c>
      <c r="M8506" t="s">
        <v>42080</v>
      </c>
      <c r="N8506" t="s">
        <v>43166</v>
      </c>
      <c r="O8506" t="s">
        <v>43167</v>
      </c>
      <c r="P8506">
        <v>0</v>
      </c>
      <c r="Q8506">
        <v>2</v>
      </c>
      <c r="R8506" t="s">
        <v>43174</v>
      </c>
      <c r="S8506" t="s">
        <v>43396</v>
      </c>
      <c r="T8506" t="s">
        <v>44837</v>
      </c>
      <c r="U8506" t="s">
        <v>52029</v>
      </c>
      <c r="V8506" t="s">
        <v>57640</v>
      </c>
      <c r="W8506" t="s">
        <v>42080</v>
      </c>
      <c r="X8506" t="s">
        <v>43175</v>
      </c>
    </row>
    <row r="8507" spans="1:24">
      <c r="A8507">
        <f>HYPERLINK("https://www.philgeps.gov.ph/GEPSNONPILOT/Tender/SplashBidNoticeAbstractUI.aspx?menuIndex=3&amp;refID=7074696&amp;Result=3","7074696")</f>
        <v>0</v>
      </c>
      <c r="B8507" t="s">
        <v>1608</v>
      </c>
      <c r="C8507" t="s">
        <v>11517</v>
      </c>
      <c r="D8507" t="s">
        <v>17415</v>
      </c>
      <c r="E8507" t="s">
        <v>24829</v>
      </c>
      <c r="F8507" t="s">
        <v>30052</v>
      </c>
      <c r="G8507" t="s">
        <v>30058</v>
      </c>
      <c r="H8507" t="s">
        <v>15498</v>
      </c>
      <c r="I8507" t="s">
        <v>3852</v>
      </c>
      <c r="J8507" t="s">
        <v>31551</v>
      </c>
      <c r="K8507" t="s">
        <v>39019</v>
      </c>
      <c r="M8507" t="s">
        <v>41506</v>
      </c>
      <c r="N8507" t="s">
        <v>43166</v>
      </c>
      <c r="O8507" t="s">
        <v>43167</v>
      </c>
      <c r="P8507">
        <v>0</v>
      </c>
      <c r="Q8507">
        <v>1</v>
      </c>
      <c r="R8507" t="s">
        <v>43174</v>
      </c>
      <c r="S8507" t="s">
        <v>43396</v>
      </c>
      <c r="T8507" t="s">
        <v>44844</v>
      </c>
      <c r="U8507" t="s">
        <v>48908</v>
      </c>
      <c r="W8507" t="s">
        <v>41506</v>
      </c>
      <c r="X8507" t="s">
        <v>43175</v>
      </c>
    </row>
    <row r="8508" spans="1:24">
      <c r="A8508">
        <f>HYPERLINK("https://www.philgeps.gov.ph/GEPSNONPILOT/Tender/SplashBidNoticeAbstractUI.aspx?menuIndex=3&amp;refID=7074591&amp;Result=3","7074591")</f>
        <v>0</v>
      </c>
      <c r="B8508" t="s">
        <v>1134</v>
      </c>
      <c r="C8508" t="s">
        <v>11518</v>
      </c>
      <c r="D8508" t="s">
        <v>17459</v>
      </c>
      <c r="E8508" t="s">
        <v>24830</v>
      </c>
      <c r="F8508" t="s">
        <v>30052</v>
      </c>
      <c r="G8508" t="s">
        <v>30059</v>
      </c>
      <c r="H8508" t="s">
        <v>15498</v>
      </c>
      <c r="I8508" t="s">
        <v>30094</v>
      </c>
      <c r="J8508" t="s">
        <v>33399</v>
      </c>
      <c r="K8508" t="s">
        <v>39037</v>
      </c>
      <c r="M8508" t="s">
        <v>40477</v>
      </c>
      <c r="N8508" t="s">
        <v>43166</v>
      </c>
      <c r="O8508" t="s">
        <v>43167</v>
      </c>
      <c r="P8508">
        <v>0</v>
      </c>
      <c r="Q8508">
        <v>0</v>
      </c>
      <c r="R8508" t="s">
        <v>43174</v>
      </c>
      <c r="S8508" t="s">
        <v>43396</v>
      </c>
      <c r="T8508" t="s">
        <v>44717</v>
      </c>
      <c r="U8508" t="s">
        <v>52030</v>
      </c>
      <c r="W8508" t="s">
        <v>40477</v>
      </c>
      <c r="X8508" t="s">
        <v>43175</v>
      </c>
    </row>
    <row r="8509" spans="1:24">
      <c r="A8509">
        <f>HYPERLINK("https://www.philgeps.gov.ph/GEPSNONPILOT/Tender/SplashBidNoticeAbstractUI.aspx?menuIndex=3&amp;refID=7074685&amp;Result=3","7074685")</f>
        <v>0</v>
      </c>
      <c r="B8509" t="s">
        <v>2572</v>
      </c>
      <c r="C8509" t="s">
        <v>11519</v>
      </c>
      <c r="D8509" t="s">
        <v>17441</v>
      </c>
      <c r="E8509" t="s">
        <v>24831</v>
      </c>
      <c r="F8509" t="s">
        <v>30052</v>
      </c>
      <c r="G8509" t="s">
        <v>30058</v>
      </c>
      <c r="H8509" t="s">
        <v>30067</v>
      </c>
      <c r="I8509" t="s">
        <v>3693</v>
      </c>
      <c r="J8509" t="s">
        <v>35379</v>
      </c>
      <c r="K8509" t="s">
        <v>39025</v>
      </c>
      <c r="M8509" t="s">
        <v>42079</v>
      </c>
      <c r="N8509" t="s">
        <v>43166</v>
      </c>
      <c r="O8509" t="s">
        <v>43167</v>
      </c>
      <c r="P8509">
        <v>0</v>
      </c>
      <c r="Q8509">
        <v>2</v>
      </c>
      <c r="R8509" t="s">
        <v>43174</v>
      </c>
      <c r="S8509" t="s">
        <v>43396</v>
      </c>
      <c r="T8509" t="s">
        <v>44837</v>
      </c>
      <c r="U8509" t="s">
        <v>52031</v>
      </c>
      <c r="V8509" t="s">
        <v>57407</v>
      </c>
      <c r="W8509" t="s">
        <v>42079</v>
      </c>
      <c r="X8509" t="s">
        <v>43175</v>
      </c>
    </row>
    <row r="8510" spans="1:24">
      <c r="A8510">
        <f>HYPERLINK("https://www.philgeps.gov.ph/GEPSNONPILOT/Tender/SplashBidNoticeAbstractUI.aspx?menuIndex=3&amp;refID=7074632&amp;Result=3","7074632")</f>
        <v>0</v>
      </c>
      <c r="B8510" t="s">
        <v>2565</v>
      </c>
      <c r="C8510" t="s">
        <v>11520</v>
      </c>
      <c r="D8510" t="s">
        <v>17444</v>
      </c>
      <c r="E8510" t="s">
        <v>24832</v>
      </c>
      <c r="F8510" t="s">
        <v>30052</v>
      </c>
      <c r="G8510" t="s">
        <v>30058</v>
      </c>
      <c r="H8510" t="s">
        <v>30067</v>
      </c>
      <c r="I8510" t="s">
        <v>3693</v>
      </c>
      <c r="J8510" t="s">
        <v>35380</v>
      </c>
      <c r="K8510" t="s">
        <v>39031</v>
      </c>
      <c r="M8510" t="s">
        <v>42072</v>
      </c>
      <c r="N8510" t="s">
        <v>43166</v>
      </c>
      <c r="O8510" t="s">
        <v>43167</v>
      </c>
      <c r="P8510">
        <v>0</v>
      </c>
      <c r="Q8510">
        <v>0</v>
      </c>
      <c r="R8510" t="s">
        <v>43174</v>
      </c>
      <c r="S8510" t="s">
        <v>43396</v>
      </c>
      <c r="T8510" t="s">
        <v>44922</v>
      </c>
      <c r="U8510" t="s">
        <v>52032</v>
      </c>
      <c r="W8510" t="s">
        <v>42072</v>
      </c>
      <c r="X8510" t="s">
        <v>43175</v>
      </c>
    </row>
    <row r="8511" spans="1:24">
      <c r="A8511">
        <f>HYPERLINK("https://www.philgeps.gov.ph/GEPSNONPILOT/Tender/SplashBidNoticeAbstractUI.aspx?menuIndex=3&amp;refID=7074683&amp;Result=3","7074683")</f>
        <v>0</v>
      </c>
      <c r="B8511" t="s">
        <v>2574</v>
      </c>
      <c r="C8511" t="s">
        <v>11521</v>
      </c>
      <c r="D8511" t="s">
        <v>17455</v>
      </c>
      <c r="E8511" t="s">
        <v>24833</v>
      </c>
      <c r="F8511" t="s">
        <v>30052</v>
      </c>
      <c r="G8511" t="s">
        <v>30059</v>
      </c>
      <c r="H8511" t="s">
        <v>30069</v>
      </c>
      <c r="I8511" t="s">
        <v>3852</v>
      </c>
      <c r="J8511" t="s">
        <v>35381</v>
      </c>
      <c r="K8511" t="s">
        <v>39129</v>
      </c>
      <c r="M8511" t="s">
        <v>42081</v>
      </c>
      <c r="N8511" t="s">
        <v>43166</v>
      </c>
      <c r="O8511" t="s">
        <v>43167</v>
      </c>
      <c r="P8511">
        <v>0</v>
      </c>
      <c r="Q8511">
        <v>0</v>
      </c>
      <c r="R8511" t="s">
        <v>43174</v>
      </c>
      <c r="S8511" t="s">
        <v>43396</v>
      </c>
      <c r="T8511" t="s">
        <v>44777</v>
      </c>
      <c r="U8511" t="s">
        <v>52033</v>
      </c>
      <c r="W8511" t="s">
        <v>42081</v>
      </c>
      <c r="X8511" t="s">
        <v>43175</v>
      </c>
    </row>
    <row r="8512" spans="1:24">
      <c r="A8512">
        <f>HYPERLINK("https://www.philgeps.gov.ph/GEPSNONPILOT/Tender/SplashBidNoticeAbstractUI.aspx?menuIndex=3&amp;refID=7074340&amp;Result=3","7074340")</f>
        <v>0</v>
      </c>
      <c r="B8512" t="s">
        <v>2564</v>
      </c>
      <c r="C8512" t="s">
        <v>11522</v>
      </c>
      <c r="D8512" t="s">
        <v>17434</v>
      </c>
      <c r="E8512" t="s">
        <v>18568</v>
      </c>
      <c r="F8512" t="s">
        <v>30052</v>
      </c>
      <c r="G8512" t="s">
        <v>30058</v>
      </c>
      <c r="H8512" t="s">
        <v>15498</v>
      </c>
      <c r="I8512" t="s">
        <v>30092</v>
      </c>
      <c r="J8512" t="s">
        <v>32024</v>
      </c>
      <c r="K8512" t="s">
        <v>39025</v>
      </c>
      <c r="M8512" t="s">
        <v>42071</v>
      </c>
      <c r="N8512" t="s">
        <v>43166</v>
      </c>
      <c r="O8512" t="s">
        <v>43167</v>
      </c>
      <c r="P8512">
        <v>0</v>
      </c>
      <c r="Q8512">
        <v>1</v>
      </c>
      <c r="R8512" t="s">
        <v>43174</v>
      </c>
      <c r="S8512" t="s">
        <v>43396</v>
      </c>
      <c r="T8512" t="s">
        <v>44685</v>
      </c>
      <c r="U8512" t="s">
        <v>52034</v>
      </c>
      <c r="W8512" t="s">
        <v>42071</v>
      </c>
      <c r="X8512" t="s">
        <v>43175</v>
      </c>
    </row>
    <row r="8513" spans="1:24">
      <c r="A8513">
        <f>HYPERLINK("https://www.philgeps.gov.ph/GEPSNONPILOT/Tender/SplashBidNoticeAbstractUI.aspx?menuIndex=3&amp;refID=7074675&amp;Result=3","7074675")</f>
        <v>0</v>
      </c>
      <c r="B8513" t="s">
        <v>2158</v>
      </c>
      <c r="C8513" t="s">
        <v>11523</v>
      </c>
      <c r="D8513" t="s">
        <v>17483</v>
      </c>
      <c r="E8513" t="s">
        <v>24834</v>
      </c>
      <c r="F8513" t="s">
        <v>30052</v>
      </c>
      <c r="G8513" t="s">
        <v>30058</v>
      </c>
      <c r="H8513" t="s">
        <v>15498</v>
      </c>
      <c r="I8513" t="s">
        <v>30076</v>
      </c>
      <c r="J8513" t="s">
        <v>30402</v>
      </c>
      <c r="K8513" t="s">
        <v>39023</v>
      </c>
      <c r="M8513" t="s">
        <v>41625</v>
      </c>
      <c r="N8513" t="s">
        <v>43166</v>
      </c>
      <c r="O8513" t="s">
        <v>43167</v>
      </c>
      <c r="P8513">
        <v>0</v>
      </c>
      <c r="Q8513">
        <v>1</v>
      </c>
      <c r="R8513" t="s">
        <v>43174</v>
      </c>
      <c r="S8513" t="s">
        <v>43396</v>
      </c>
      <c r="T8513" t="s">
        <v>44717</v>
      </c>
      <c r="U8513" t="s">
        <v>52035</v>
      </c>
      <c r="W8513" t="s">
        <v>41625</v>
      </c>
      <c r="X8513" t="s">
        <v>43175</v>
      </c>
    </row>
    <row r="8514" spans="1:24">
      <c r="A8514">
        <f>HYPERLINK("https://www.philgeps.gov.ph/GEPSNONPILOT/Tender/SplashBidNoticeAbstractUI.aspx?menuIndex=3&amp;refID=7074640&amp;Result=3","7074640")</f>
        <v>0</v>
      </c>
      <c r="B8514" t="s">
        <v>2158</v>
      </c>
      <c r="C8514" t="s">
        <v>11524</v>
      </c>
      <c r="D8514" t="s">
        <v>17483</v>
      </c>
      <c r="E8514" t="s">
        <v>24835</v>
      </c>
      <c r="F8514" t="s">
        <v>30052</v>
      </c>
      <c r="G8514" t="s">
        <v>30058</v>
      </c>
      <c r="H8514" t="s">
        <v>15498</v>
      </c>
      <c r="I8514" t="s">
        <v>3736</v>
      </c>
      <c r="J8514" t="s">
        <v>35382</v>
      </c>
      <c r="K8514" t="s">
        <v>39023</v>
      </c>
      <c r="M8514" t="s">
        <v>41625</v>
      </c>
      <c r="N8514" t="s">
        <v>43166</v>
      </c>
      <c r="O8514" t="s">
        <v>43167</v>
      </c>
      <c r="P8514">
        <v>0</v>
      </c>
      <c r="Q8514">
        <v>0</v>
      </c>
      <c r="R8514" t="s">
        <v>43174</v>
      </c>
      <c r="S8514" t="s">
        <v>43396</v>
      </c>
      <c r="T8514" t="s">
        <v>44717</v>
      </c>
      <c r="U8514" t="s">
        <v>52036</v>
      </c>
      <c r="W8514" t="s">
        <v>41625</v>
      </c>
      <c r="X8514" t="s">
        <v>43175</v>
      </c>
    </row>
    <row r="8515" spans="1:24">
      <c r="A8515">
        <f>HYPERLINK("https://www.philgeps.gov.ph/GEPSNONPILOT/Tender/SplashBidNoticeAbstractUI.aspx?menuIndex=3&amp;refID=7074671&amp;Result=3","7074671")</f>
        <v>0</v>
      </c>
      <c r="B8515" t="s">
        <v>2476</v>
      </c>
      <c r="C8515" t="s">
        <v>11525</v>
      </c>
      <c r="D8515" t="s">
        <v>17472</v>
      </c>
      <c r="E8515" t="s">
        <v>24450</v>
      </c>
      <c r="F8515" t="s">
        <v>30052</v>
      </c>
      <c r="G8515" t="s">
        <v>30058</v>
      </c>
      <c r="H8515" t="s">
        <v>15498</v>
      </c>
      <c r="I8515" t="s">
        <v>3736</v>
      </c>
      <c r="J8515" t="s">
        <v>35383</v>
      </c>
      <c r="K8515" t="s">
        <v>39019</v>
      </c>
      <c r="M8515" t="s">
        <v>41976</v>
      </c>
      <c r="N8515" t="s">
        <v>43166</v>
      </c>
      <c r="O8515" t="s">
        <v>43167</v>
      </c>
      <c r="P8515">
        <v>0</v>
      </c>
      <c r="Q8515">
        <v>3</v>
      </c>
      <c r="R8515" t="s">
        <v>43174</v>
      </c>
      <c r="S8515" t="s">
        <v>43396</v>
      </c>
      <c r="T8515" t="s">
        <v>44711</v>
      </c>
      <c r="U8515" t="s">
        <v>52037</v>
      </c>
      <c r="W8515" t="s">
        <v>41976</v>
      </c>
      <c r="X8515" t="s">
        <v>43175</v>
      </c>
    </row>
    <row r="8516" spans="1:24">
      <c r="A8516">
        <f>HYPERLINK("https://www.philgeps.gov.ph/GEPSNONPILOT/Tender/SplashBidNoticeAbstractUI.aspx?menuIndex=3&amp;refID=7074665&amp;Result=3","7074665")</f>
        <v>0</v>
      </c>
      <c r="B8516" t="s">
        <v>2575</v>
      </c>
      <c r="C8516" t="s">
        <v>11526</v>
      </c>
      <c r="D8516" t="s">
        <v>17442</v>
      </c>
      <c r="E8516" t="s">
        <v>17892</v>
      </c>
      <c r="F8516" t="s">
        <v>30052</v>
      </c>
      <c r="G8516" t="s">
        <v>30061</v>
      </c>
      <c r="H8516" t="s">
        <v>15498</v>
      </c>
      <c r="I8516" t="s">
        <v>30070</v>
      </c>
      <c r="J8516" t="s">
        <v>35384</v>
      </c>
      <c r="K8516" t="s">
        <v>39039</v>
      </c>
      <c r="M8516" t="s">
        <v>42082</v>
      </c>
      <c r="N8516" t="s">
        <v>43166</v>
      </c>
      <c r="O8516" t="s">
        <v>43167</v>
      </c>
      <c r="P8516">
        <v>0</v>
      </c>
      <c r="Q8516">
        <v>3</v>
      </c>
      <c r="R8516" t="s">
        <v>43174</v>
      </c>
      <c r="S8516" t="s">
        <v>43396</v>
      </c>
      <c r="T8516" t="s">
        <v>45074</v>
      </c>
      <c r="U8516" t="s">
        <v>52038</v>
      </c>
      <c r="W8516" t="s">
        <v>42082</v>
      </c>
      <c r="X8516" t="s">
        <v>43175</v>
      </c>
    </row>
    <row r="8517" spans="1:24">
      <c r="A8517">
        <f>HYPERLINK("https://www.philgeps.gov.ph/GEPSNONPILOT/Tender/SplashBidNoticeAbstractUI.aspx?menuIndex=3&amp;refID=7074664&amp;Result=3","7074664")</f>
        <v>0</v>
      </c>
      <c r="B8517" t="s">
        <v>1608</v>
      </c>
      <c r="C8517" t="s">
        <v>11527</v>
      </c>
      <c r="D8517" t="s">
        <v>17415</v>
      </c>
      <c r="E8517" t="s">
        <v>24836</v>
      </c>
      <c r="F8517" t="s">
        <v>30052</v>
      </c>
      <c r="G8517" t="s">
        <v>30058</v>
      </c>
      <c r="H8517" t="s">
        <v>15498</v>
      </c>
      <c r="I8517" t="s">
        <v>3852</v>
      </c>
      <c r="J8517" t="s">
        <v>35335</v>
      </c>
      <c r="K8517" t="s">
        <v>39019</v>
      </c>
      <c r="M8517" t="s">
        <v>41506</v>
      </c>
      <c r="N8517" t="s">
        <v>43166</v>
      </c>
      <c r="O8517" t="s">
        <v>43167</v>
      </c>
      <c r="P8517">
        <v>0</v>
      </c>
      <c r="Q8517">
        <v>0</v>
      </c>
      <c r="R8517" t="s">
        <v>43174</v>
      </c>
      <c r="S8517" t="s">
        <v>43396</v>
      </c>
      <c r="T8517" t="s">
        <v>44844</v>
      </c>
      <c r="U8517" t="s">
        <v>48908</v>
      </c>
      <c r="W8517" t="s">
        <v>41506</v>
      </c>
      <c r="X8517" t="s">
        <v>43175</v>
      </c>
    </row>
    <row r="8518" spans="1:24">
      <c r="A8518">
        <f>HYPERLINK("https://www.philgeps.gov.ph/GEPSNONPILOT/Tender/SplashBidNoticeAbstractUI.aspx?menuIndex=3&amp;refID=7074653&amp;Result=3","7074653")</f>
        <v>0</v>
      </c>
      <c r="B8518" t="s">
        <v>1534</v>
      </c>
      <c r="C8518" t="s">
        <v>11528</v>
      </c>
      <c r="D8518" t="s">
        <v>17447</v>
      </c>
      <c r="E8518" t="s">
        <v>24837</v>
      </c>
      <c r="F8518" t="s">
        <v>30052</v>
      </c>
      <c r="G8518" t="s">
        <v>30058</v>
      </c>
      <c r="H8518" t="s">
        <v>15498</v>
      </c>
      <c r="I8518" t="s">
        <v>30074</v>
      </c>
      <c r="J8518" t="s">
        <v>35385</v>
      </c>
      <c r="K8518" t="s">
        <v>39025</v>
      </c>
      <c r="M8518" t="s">
        <v>40920</v>
      </c>
      <c r="N8518" t="s">
        <v>43166</v>
      </c>
      <c r="O8518" t="s">
        <v>43167</v>
      </c>
      <c r="P8518">
        <v>0</v>
      </c>
      <c r="Q8518">
        <v>2</v>
      </c>
      <c r="R8518" t="s">
        <v>43174</v>
      </c>
      <c r="S8518" t="s">
        <v>43396</v>
      </c>
      <c r="T8518" t="s">
        <v>44691</v>
      </c>
      <c r="U8518" t="s">
        <v>52039</v>
      </c>
      <c r="W8518" t="s">
        <v>40920</v>
      </c>
      <c r="X8518" t="s">
        <v>43175</v>
      </c>
    </row>
    <row r="8519" spans="1:24">
      <c r="A8519">
        <f>HYPERLINK("https://www.philgeps.gov.ph/GEPSNONPILOT/Tender/SplashBidNoticeAbstractUI.aspx?menuIndex=3&amp;refID=7074689&amp;Result=3","7074689")</f>
        <v>0</v>
      </c>
      <c r="B8519" t="s">
        <v>2576</v>
      </c>
      <c r="C8519" t="s">
        <v>8066</v>
      </c>
      <c r="D8519" t="s">
        <v>17435</v>
      </c>
      <c r="E8519" t="s">
        <v>17883</v>
      </c>
      <c r="F8519" t="s">
        <v>30054</v>
      </c>
      <c r="G8519" t="s">
        <v>30058</v>
      </c>
      <c r="H8519" t="s">
        <v>30067</v>
      </c>
      <c r="I8519" t="s">
        <v>3693</v>
      </c>
      <c r="J8519" t="s">
        <v>35386</v>
      </c>
      <c r="K8519" t="s">
        <v>39037</v>
      </c>
      <c r="M8519" t="s">
        <v>42083</v>
      </c>
      <c r="N8519" t="s">
        <v>43166</v>
      </c>
      <c r="O8519" t="s">
        <v>43167</v>
      </c>
      <c r="P8519">
        <v>0</v>
      </c>
      <c r="Q8519">
        <v>0</v>
      </c>
      <c r="R8519" t="s">
        <v>43174</v>
      </c>
      <c r="S8519" t="s">
        <v>43396</v>
      </c>
      <c r="T8519" t="s">
        <v>44753</v>
      </c>
      <c r="U8519" t="s">
        <v>52040</v>
      </c>
      <c r="W8519" t="s">
        <v>42083</v>
      </c>
      <c r="X8519" t="s">
        <v>43175</v>
      </c>
    </row>
    <row r="8520" spans="1:24">
      <c r="A8520">
        <f>HYPERLINK("https://www.philgeps.gov.ph/GEPSNONPILOT/Tender/SplashBidNoticeAbstractUI.aspx?menuIndex=3&amp;refID=7074650&amp;Result=3","7074650")</f>
        <v>0</v>
      </c>
      <c r="B8520" t="s">
        <v>2177</v>
      </c>
      <c r="C8520" t="s">
        <v>11529</v>
      </c>
      <c r="E8520" t="s">
        <v>20281</v>
      </c>
      <c r="F8520" t="s">
        <v>30052</v>
      </c>
      <c r="G8520" t="s">
        <v>30058</v>
      </c>
      <c r="H8520" t="s">
        <v>15498</v>
      </c>
      <c r="I8520" t="s">
        <v>30074</v>
      </c>
      <c r="J8520" t="s">
        <v>30876</v>
      </c>
      <c r="K8520" t="s">
        <v>39025</v>
      </c>
      <c r="M8520" t="s">
        <v>41645</v>
      </c>
      <c r="N8520" t="s">
        <v>43166</v>
      </c>
      <c r="O8520" t="s">
        <v>43167</v>
      </c>
      <c r="P8520">
        <v>0</v>
      </c>
      <c r="Q8520">
        <v>6</v>
      </c>
      <c r="R8520" t="s">
        <v>43174</v>
      </c>
      <c r="S8520" t="s">
        <v>43396</v>
      </c>
      <c r="T8520" t="s">
        <v>44773</v>
      </c>
      <c r="U8520" t="s">
        <v>52041</v>
      </c>
      <c r="V8520" t="s">
        <v>57724</v>
      </c>
      <c r="W8520" t="s">
        <v>41645</v>
      </c>
      <c r="X8520" t="s">
        <v>43175</v>
      </c>
    </row>
    <row r="8521" spans="1:24">
      <c r="A8521">
        <f>HYPERLINK("https://www.philgeps.gov.ph/GEPSNONPILOT/Tender/SplashBidNoticeAbstractUI.aspx?menuIndex=3&amp;refID=7074663&amp;Result=3","7074663")</f>
        <v>0</v>
      </c>
      <c r="B8521" t="s">
        <v>2473</v>
      </c>
      <c r="C8521" t="s">
        <v>11530</v>
      </c>
      <c r="D8521" t="s">
        <v>17437</v>
      </c>
      <c r="E8521" t="s">
        <v>24838</v>
      </c>
      <c r="F8521" t="s">
        <v>30052</v>
      </c>
      <c r="G8521" t="s">
        <v>30061</v>
      </c>
      <c r="H8521" t="s">
        <v>15498</v>
      </c>
      <c r="I8521" t="s">
        <v>3606</v>
      </c>
      <c r="J8521" t="s">
        <v>34071</v>
      </c>
      <c r="K8521" t="s">
        <v>39017</v>
      </c>
      <c r="M8521" t="s">
        <v>41973</v>
      </c>
      <c r="N8521" t="s">
        <v>43166</v>
      </c>
      <c r="O8521" t="s">
        <v>43167</v>
      </c>
      <c r="P8521">
        <v>0</v>
      </c>
      <c r="Q8521">
        <v>2</v>
      </c>
      <c r="R8521" t="s">
        <v>43174</v>
      </c>
      <c r="S8521" t="s">
        <v>43396</v>
      </c>
      <c r="T8521" t="s">
        <v>44844</v>
      </c>
      <c r="U8521" t="s">
        <v>52042</v>
      </c>
      <c r="W8521" t="s">
        <v>41973</v>
      </c>
      <c r="X8521" t="s">
        <v>43175</v>
      </c>
    </row>
    <row r="8522" spans="1:24">
      <c r="A8522">
        <f>HYPERLINK("https://www.philgeps.gov.ph/GEPSNONPILOT/Tender/SplashBidNoticeAbstractUI.aspx?menuIndex=3&amp;refID=7074690&amp;Result=3","7074690")</f>
        <v>0</v>
      </c>
      <c r="B8522" t="s">
        <v>1028</v>
      </c>
      <c r="C8522" t="s">
        <v>11531</v>
      </c>
      <c r="D8522" t="s">
        <v>17481</v>
      </c>
      <c r="E8522" t="s">
        <v>24839</v>
      </c>
      <c r="F8522" t="s">
        <v>30052</v>
      </c>
      <c r="G8522" t="s">
        <v>30059</v>
      </c>
      <c r="H8522" t="s">
        <v>15498</v>
      </c>
      <c r="I8522" t="s">
        <v>6691</v>
      </c>
      <c r="J8522" t="s">
        <v>35387</v>
      </c>
      <c r="K8522" t="s">
        <v>39035</v>
      </c>
      <c r="M8522" t="s">
        <v>40357</v>
      </c>
      <c r="N8522" t="s">
        <v>43166</v>
      </c>
      <c r="O8522" t="s">
        <v>43167</v>
      </c>
      <c r="P8522">
        <v>0</v>
      </c>
      <c r="Q8522">
        <v>0</v>
      </c>
      <c r="R8522" t="s">
        <v>43174</v>
      </c>
      <c r="S8522" t="s">
        <v>43396</v>
      </c>
      <c r="T8522" t="s">
        <v>44837</v>
      </c>
      <c r="U8522" t="s">
        <v>47341</v>
      </c>
      <c r="W8522" t="s">
        <v>40357</v>
      </c>
      <c r="X8522" t="s">
        <v>43175</v>
      </c>
    </row>
    <row r="8523" spans="1:24">
      <c r="A8523">
        <f>HYPERLINK("https://www.philgeps.gov.ph/GEPSNONPILOT/Tender/SplashBidNoticeAbstractUI.aspx?menuIndex=3&amp;refID=7074643&amp;Result=3","7074643")</f>
        <v>0</v>
      </c>
      <c r="B8523" t="s">
        <v>1585</v>
      </c>
      <c r="C8523" t="s">
        <v>11532</v>
      </c>
      <c r="D8523" t="s">
        <v>17476</v>
      </c>
      <c r="E8523" t="s">
        <v>24840</v>
      </c>
      <c r="F8523" t="s">
        <v>30052</v>
      </c>
      <c r="G8523" t="s">
        <v>30058</v>
      </c>
      <c r="H8523" t="s">
        <v>15498</v>
      </c>
      <c r="I8523" t="s">
        <v>30074</v>
      </c>
      <c r="J8523" t="s">
        <v>35388</v>
      </c>
      <c r="K8523" t="s">
        <v>39023</v>
      </c>
      <c r="M8523" t="s">
        <v>40978</v>
      </c>
      <c r="N8523" t="s">
        <v>43166</v>
      </c>
      <c r="O8523" t="s">
        <v>43167</v>
      </c>
      <c r="P8523">
        <v>0</v>
      </c>
      <c r="Q8523">
        <v>4</v>
      </c>
      <c r="R8523" t="s">
        <v>43174</v>
      </c>
      <c r="S8523" t="s">
        <v>43396</v>
      </c>
      <c r="T8523" t="s">
        <v>44702</v>
      </c>
      <c r="U8523" t="s">
        <v>52043</v>
      </c>
      <c r="W8523" t="s">
        <v>40978</v>
      </c>
      <c r="X8523" t="s">
        <v>43175</v>
      </c>
    </row>
    <row r="8524" spans="1:24">
      <c r="A8524">
        <f>HYPERLINK("https://www.philgeps.gov.ph/GEPSNONPILOT/Tender/SplashBidNoticeAbstractUI.aspx?menuIndex=3&amp;refID=7074649&amp;Result=3","7074649")</f>
        <v>0</v>
      </c>
      <c r="B8524" t="s">
        <v>2129</v>
      </c>
      <c r="C8524" t="s">
        <v>11533</v>
      </c>
      <c r="D8524" t="s">
        <v>17442</v>
      </c>
      <c r="E8524" t="s">
        <v>24841</v>
      </c>
      <c r="F8524" t="s">
        <v>30052</v>
      </c>
      <c r="G8524" t="s">
        <v>30058</v>
      </c>
      <c r="H8524" t="s">
        <v>15498</v>
      </c>
      <c r="I8524" t="s">
        <v>30111</v>
      </c>
      <c r="J8524" t="s">
        <v>35389</v>
      </c>
      <c r="K8524" t="s">
        <v>39019</v>
      </c>
      <c r="M8524" t="s">
        <v>41938</v>
      </c>
      <c r="N8524" t="s">
        <v>43166</v>
      </c>
      <c r="O8524" t="s">
        <v>43167</v>
      </c>
      <c r="P8524">
        <v>0</v>
      </c>
      <c r="Q8524">
        <v>1</v>
      </c>
      <c r="R8524" t="s">
        <v>43174</v>
      </c>
      <c r="S8524" t="s">
        <v>43396</v>
      </c>
      <c r="T8524" t="s">
        <v>44685</v>
      </c>
      <c r="U8524" t="s">
        <v>52044</v>
      </c>
      <c r="V8524" t="s">
        <v>57528</v>
      </c>
      <c r="W8524" t="s">
        <v>41938</v>
      </c>
      <c r="X8524" t="s">
        <v>43175</v>
      </c>
    </row>
    <row r="8525" spans="1:24">
      <c r="A8525">
        <f>HYPERLINK("https://www.philgeps.gov.ph/GEPSNONPILOT/Tender/SplashBidNoticeAbstractUI.aspx?menuIndex=3&amp;refID=7074702&amp;Result=3","7074702")</f>
        <v>0</v>
      </c>
      <c r="B8525" t="s">
        <v>797</v>
      </c>
      <c r="C8525" t="s">
        <v>11534</v>
      </c>
      <c r="E8525" t="s">
        <v>24842</v>
      </c>
      <c r="F8525" t="s">
        <v>30052</v>
      </c>
      <c r="G8525" t="s">
        <v>30059</v>
      </c>
      <c r="H8525" t="s">
        <v>15498</v>
      </c>
      <c r="I8525" t="s">
        <v>30084</v>
      </c>
      <c r="J8525" t="s">
        <v>35390</v>
      </c>
      <c r="K8525" t="s">
        <v>39025</v>
      </c>
      <c r="M8525" t="s">
        <v>40826</v>
      </c>
      <c r="N8525" t="s">
        <v>43166</v>
      </c>
      <c r="O8525" t="s">
        <v>43167</v>
      </c>
      <c r="P8525">
        <v>0</v>
      </c>
      <c r="Q8525">
        <v>3</v>
      </c>
      <c r="R8525" t="s">
        <v>43174</v>
      </c>
      <c r="S8525" t="s">
        <v>43396</v>
      </c>
      <c r="T8525" t="s">
        <v>44788</v>
      </c>
      <c r="U8525" t="s">
        <v>52045</v>
      </c>
      <c r="W8525" t="s">
        <v>40826</v>
      </c>
      <c r="X8525" t="s">
        <v>43175</v>
      </c>
    </row>
    <row r="8526" spans="1:24">
      <c r="A8526">
        <f>HYPERLINK("https://www.philgeps.gov.ph/GEPSNONPILOT/Tender/SplashBidNoticeAbstractUI.aspx?menuIndex=3&amp;refID=7074740&amp;Result=3","7074740")</f>
        <v>0</v>
      </c>
      <c r="B8526" t="s">
        <v>1028</v>
      </c>
      <c r="C8526" t="s">
        <v>11535</v>
      </c>
      <c r="D8526" t="s">
        <v>17481</v>
      </c>
      <c r="E8526" t="s">
        <v>24843</v>
      </c>
      <c r="F8526" t="s">
        <v>30052</v>
      </c>
      <c r="G8526" t="s">
        <v>30059</v>
      </c>
      <c r="H8526" t="s">
        <v>15498</v>
      </c>
      <c r="I8526" t="s">
        <v>6691</v>
      </c>
      <c r="J8526" t="s">
        <v>35391</v>
      </c>
      <c r="K8526" t="s">
        <v>39035</v>
      </c>
      <c r="M8526" t="s">
        <v>40357</v>
      </c>
      <c r="N8526" t="s">
        <v>43166</v>
      </c>
      <c r="O8526" t="s">
        <v>43167</v>
      </c>
      <c r="P8526">
        <v>0</v>
      </c>
      <c r="Q8526">
        <v>0</v>
      </c>
      <c r="R8526" t="s">
        <v>43174</v>
      </c>
      <c r="S8526" t="s">
        <v>43396</v>
      </c>
      <c r="T8526" t="s">
        <v>44837</v>
      </c>
      <c r="U8526" t="s">
        <v>47341</v>
      </c>
      <c r="W8526" t="s">
        <v>40357</v>
      </c>
      <c r="X8526" t="s">
        <v>43175</v>
      </c>
    </row>
    <row r="8527" spans="1:24">
      <c r="A8527">
        <f>HYPERLINK("https://www.philgeps.gov.ph/GEPSNONPILOT/Tender/SplashBidNoticeAbstractUI.aspx?menuIndex=3&amp;refID=7074738&amp;Result=3","7074738")</f>
        <v>0</v>
      </c>
      <c r="B8527" t="s">
        <v>2158</v>
      </c>
      <c r="C8527" t="s">
        <v>11536</v>
      </c>
      <c r="D8527" t="s">
        <v>17483</v>
      </c>
      <c r="E8527" t="s">
        <v>24844</v>
      </c>
      <c r="F8527" t="s">
        <v>30052</v>
      </c>
      <c r="G8527" t="s">
        <v>30058</v>
      </c>
      <c r="H8527" t="s">
        <v>15498</v>
      </c>
      <c r="I8527" t="s">
        <v>30097</v>
      </c>
      <c r="J8527" t="s">
        <v>35392</v>
      </c>
      <c r="K8527" t="s">
        <v>39023</v>
      </c>
      <c r="M8527" t="s">
        <v>41625</v>
      </c>
      <c r="N8527" t="s">
        <v>43166</v>
      </c>
      <c r="O8527" t="s">
        <v>43167</v>
      </c>
      <c r="P8527">
        <v>0</v>
      </c>
      <c r="Q8527">
        <v>0</v>
      </c>
      <c r="R8527" t="s">
        <v>43174</v>
      </c>
      <c r="S8527" t="s">
        <v>43396</v>
      </c>
      <c r="T8527" t="s">
        <v>44717</v>
      </c>
      <c r="U8527" t="s">
        <v>52046</v>
      </c>
      <c r="W8527" t="s">
        <v>41625</v>
      </c>
      <c r="X8527" t="s">
        <v>43175</v>
      </c>
    </row>
    <row r="8528" spans="1:24">
      <c r="A8528">
        <f>HYPERLINK("https://www.philgeps.gov.ph/GEPSNONPILOT/Tender/SplashBidNoticeAbstractUI.aspx?menuIndex=3&amp;refID=7074737&amp;Result=3","7074737")</f>
        <v>0</v>
      </c>
      <c r="B8528" t="s">
        <v>2577</v>
      </c>
      <c r="C8528" t="s">
        <v>11537</v>
      </c>
      <c r="D8528" t="s">
        <v>17422</v>
      </c>
      <c r="E8528" t="s">
        <v>24845</v>
      </c>
      <c r="F8528" t="s">
        <v>30052</v>
      </c>
      <c r="G8528" t="s">
        <v>30058</v>
      </c>
      <c r="H8528" t="s">
        <v>30067</v>
      </c>
      <c r="I8528" t="s">
        <v>3693</v>
      </c>
      <c r="J8528" t="s">
        <v>30218</v>
      </c>
      <c r="K8528" t="s">
        <v>39025</v>
      </c>
      <c r="M8528" t="s">
        <v>42084</v>
      </c>
      <c r="N8528" t="s">
        <v>43166</v>
      </c>
      <c r="O8528" t="s">
        <v>43167</v>
      </c>
      <c r="P8528">
        <v>0</v>
      </c>
      <c r="Q8528">
        <v>0</v>
      </c>
      <c r="R8528" t="s">
        <v>43174</v>
      </c>
      <c r="S8528" t="s">
        <v>43396</v>
      </c>
      <c r="T8528" t="s">
        <v>44773</v>
      </c>
      <c r="U8528" t="s">
        <v>52047</v>
      </c>
      <c r="W8528" t="s">
        <v>42084</v>
      </c>
      <c r="X8528" t="s">
        <v>43175</v>
      </c>
    </row>
    <row r="8529" spans="1:24">
      <c r="A8529">
        <f>HYPERLINK("https://www.philgeps.gov.ph/GEPSNONPILOT/Tender/SplashBidNoticeAbstractUI.aspx?menuIndex=3&amp;refID=7074736&amp;Result=3","7074736")</f>
        <v>0</v>
      </c>
      <c r="B8529" t="s">
        <v>719</v>
      </c>
      <c r="C8529" t="s">
        <v>11538</v>
      </c>
      <c r="D8529" t="s">
        <v>17461</v>
      </c>
      <c r="E8529" t="s">
        <v>24846</v>
      </c>
      <c r="F8529" t="s">
        <v>30052</v>
      </c>
      <c r="G8529" t="s">
        <v>30059</v>
      </c>
      <c r="H8529" t="s">
        <v>15498</v>
      </c>
      <c r="I8529" t="s">
        <v>30108</v>
      </c>
      <c r="J8529" t="s">
        <v>30299</v>
      </c>
      <c r="K8529" t="s">
        <v>39037</v>
      </c>
      <c r="M8529" t="s">
        <v>40029</v>
      </c>
      <c r="N8529" t="s">
        <v>43166</v>
      </c>
      <c r="O8529" t="s">
        <v>43167</v>
      </c>
      <c r="P8529">
        <v>0</v>
      </c>
      <c r="Q8529">
        <v>2</v>
      </c>
      <c r="R8529" t="s">
        <v>43174</v>
      </c>
      <c r="S8529" t="s">
        <v>43396</v>
      </c>
      <c r="T8529" t="s">
        <v>44717</v>
      </c>
      <c r="U8529" t="s">
        <v>52048</v>
      </c>
      <c r="W8529" t="s">
        <v>40029</v>
      </c>
      <c r="X8529" t="s">
        <v>43175</v>
      </c>
    </row>
    <row r="8530" spans="1:24">
      <c r="A8530">
        <f>HYPERLINK("https://www.philgeps.gov.ph/GEPSNONPILOT/Tender/SplashBidNoticeAbstractUI.aspx?menuIndex=3&amp;refID=7074726&amp;Result=3","7074726")</f>
        <v>0</v>
      </c>
      <c r="B8530" t="s">
        <v>39</v>
      </c>
      <c r="C8530" t="s">
        <v>11539</v>
      </c>
      <c r="D8530" t="s">
        <v>17419</v>
      </c>
      <c r="E8530" t="s">
        <v>24847</v>
      </c>
      <c r="F8530" t="s">
        <v>30052</v>
      </c>
      <c r="G8530" t="s">
        <v>30058</v>
      </c>
      <c r="H8530" t="s">
        <v>30067</v>
      </c>
      <c r="I8530" t="s">
        <v>3693</v>
      </c>
      <c r="J8530" t="s">
        <v>35393</v>
      </c>
      <c r="K8530" t="s">
        <v>39020</v>
      </c>
      <c r="M8530" t="s">
        <v>39329</v>
      </c>
      <c r="N8530" t="s">
        <v>43166</v>
      </c>
      <c r="O8530" t="s">
        <v>43167</v>
      </c>
      <c r="P8530">
        <v>0</v>
      </c>
      <c r="Q8530">
        <v>0</v>
      </c>
      <c r="R8530" t="s">
        <v>43174</v>
      </c>
      <c r="S8530" t="s">
        <v>43396</v>
      </c>
      <c r="T8530" t="s">
        <v>44703</v>
      </c>
      <c r="U8530" t="s">
        <v>52049</v>
      </c>
      <c r="W8530" t="s">
        <v>39329</v>
      </c>
      <c r="X8530" t="s">
        <v>43175</v>
      </c>
    </row>
    <row r="8531" spans="1:24">
      <c r="A8531">
        <f>HYPERLINK("https://www.philgeps.gov.ph/GEPSNONPILOT/Tender/SplashBidNoticeAbstractUI.aspx?menuIndex=3&amp;refID=7074721&amp;Result=3","7074721")</f>
        <v>0</v>
      </c>
      <c r="B8531" t="s">
        <v>2489</v>
      </c>
      <c r="C8531" t="s">
        <v>11540</v>
      </c>
      <c r="D8531" t="s">
        <v>17430</v>
      </c>
      <c r="E8531" t="s">
        <v>24521</v>
      </c>
      <c r="F8531" t="s">
        <v>30055</v>
      </c>
      <c r="G8531" t="s">
        <v>30058</v>
      </c>
      <c r="H8531" t="s">
        <v>15498</v>
      </c>
      <c r="I8531" t="s">
        <v>30133</v>
      </c>
      <c r="J8531" t="s">
        <v>35394</v>
      </c>
      <c r="K8531" t="s">
        <v>39029</v>
      </c>
      <c r="M8531" t="s">
        <v>41990</v>
      </c>
      <c r="N8531" t="s">
        <v>43166</v>
      </c>
      <c r="O8531" t="s">
        <v>43167</v>
      </c>
      <c r="P8531">
        <v>0</v>
      </c>
      <c r="Q8531">
        <v>9</v>
      </c>
      <c r="R8531" t="s">
        <v>43174</v>
      </c>
      <c r="S8531" t="s">
        <v>43396</v>
      </c>
      <c r="T8531" t="s">
        <v>44789</v>
      </c>
      <c r="U8531" t="s">
        <v>46634</v>
      </c>
      <c r="W8531" t="s">
        <v>41990</v>
      </c>
      <c r="X8531" t="s">
        <v>43175</v>
      </c>
    </row>
    <row r="8532" spans="1:24">
      <c r="A8532">
        <f>HYPERLINK("https://www.philgeps.gov.ph/GEPSNONPILOT/Tender/SplashBidNoticeAbstractUI.aspx?menuIndex=3&amp;refID=7074700&amp;Result=3","7074700")</f>
        <v>0</v>
      </c>
      <c r="B8532" t="s">
        <v>2577</v>
      </c>
      <c r="C8532" t="s">
        <v>11541</v>
      </c>
      <c r="D8532" t="s">
        <v>17422</v>
      </c>
      <c r="E8532" t="s">
        <v>24848</v>
      </c>
      <c r="F8532" t="s">
        <v>30052</v>
      </c>
      <c r="G8532" t="s">
        <v>30058</v>
      </c>
      <c r="H8532" t="s">
        <v>30067</v>
      </c>
      <c r="I8532" t="s">
        <v>3693</v>
      </c>
      <c r="J8532" t="s">
        <v>30281</v>
      </c>
      <c r="K8532" t="s">
        <v>39025</v>
      </c>
      <c r="M8532" t="s">
        <v>42084</v>
      </c>
      <c r="N8532" t="s">
        <v>43166</v>
      </c>
      <c r="O8532" t="s">
        <v>43167</v>
      </c>
      <c r="P8532">
        <v>0</v>
      </c>
      <c r="Q8532">
        <v>3</v>
      </c>
      <c r="R8532" t="s">
        <v>43174</v>
      </c>
      <c r="S8532" t="s">
        <v>43396</v>
      </c>
      <c r="T8532" t="s">
        <v>44716</v>
      </c>
      <c r="U8532" t="s">
        <v>52050</v>
      </c>
      <c r="W8532" t="s">
        <v>42084</v>
      </c>
      <c r="X8532" t="s">
        <v>43175</v>
      </c>
    </row>
    <row r="8533" spans="1:24">
      <c r="A8533">
        <f>HYPERLINK("https://www.philgeps.gov.ph/GEPSNONPILOT/Tender/SplashBidNoticeAbstractUI.aspx?menuIndex=3&amp;refID=7074714&amp;Result=3","7074714")</f>
        <v>0</v>
      </c>
      <c r="B8533" t="s">
        <v>1325</v>
      </c>
      <c r="C8533" t="s">
        <v>11542</v>
      </c>
      <c r="D8533" t="s">
        <v>17413</v>
      </c>
      <c r="E8533" t="s">
        <v>24849</v>
      </c>
      <c r="F8533" t="s">
        <v>30052</v>
      </c>
      <c r="G8533" t="s">
        <v>30058</v>
      </c>
      <c r="H8533" t="s">
        <v>30067</v>
      </c>
      <c r="I8533" t="s">
        <v>3693</v>
      </c>
      <c r="J8533" t="s">
        <v>35395</v>
      </c>
      <c r="K8533" t="s">
        <v>39112</v>
      </c>
      <c r="M8533" t="s">
        <v>40692</v>
      </c>
      <c r="N8533" t="s">
        <v>43166</v>
      </c>
      <c r="O8533" t="s">
        <v>43167</v>
      </c>
      <c r="P8533">
        <v>0</v>
      </c>
      <c r="Q8533">
        <v>0</v>
      </c>
      <c r="R8533" t="s">
        <v>43174</v>
      </c>
      <c r="S8533" t="s">
        <v>43396</v>
      </c>
      <c r="T8533" t="s">
        <v>44825</v>
      </c>
      <c r="U8533" t="s">
        <v>52051</v>
      </c>
      <c r="W8533" t="s">
        <v>40692</v>
      </c>
      <c r="X8533" t="s">
        <v>43175</v>
      </c>
    </row>
    <row r="8534" spans="1:24">
      <c r="A8534">
        <f>HYPERLINK("https://www.philgeps.gov.ph/GEPSNONPILOT/Tender/SplashBidNoticeAbstractUI.aspx?menuIndex=3&amp;refID=7074645&amp;Result=3","7074645")</f>
        <v>0</v>
      </c>
      <c r="B8534" t="s">
        <v>1608</v>
      </c>
      <c r="C8534" t="s">
        <v>11543</v>
      </c>
      <c r="D8534" t="s">
        <v>17415</v>
      </c>
      <c r="E8534" t="s">
        <v>24850</v>
      </c>
      <c r="F8534" t="s">
        <v>30052</v>
      </c>
      <c r="G8534" t="s">
        <v>30058</v>
      </c>
      <c r="H8534" t="s">
        <v>15498</v>
      </c>
      <c r="I8534" t="s">
        <v>30070</v>
      </c>
      <c r="J8534" t="s">
        <v>35297</v>
      </c>
      <c r="K8534" t="s">
        <v>39019</v>
      </c>
      <c r="M8534" t="s">
        <v>41506</v>
      </c>
      <c r="N8534" t="s">
        <v>43166</v>
      </c>
      <c r="O8534" t="s">
        <v>43167</v>
      </c>
      <c r="P8534">
        <v>0</v>
      </c>
      <c r="Q8534">
        <v>1</v>
      </c>
      <c r="R8534" t="s">
        <v>43174</v>
      </c>
      <c r="S8534" t="s">
        <v>43396</v>
      </c>
      <c r="T8534" t="s">
        <v>44844</v>
      </c>
      <c r="U8534" t="s">
        <v>45217</v>
      </c>
      <c r="W8534" t="s">
        <v>41506</v>
      </c>
      <c r="X8534" t="s">
        <v>43175</v>
      </c>
    </row>
    <row r="8535" spans="1:24">
      <c r="A8535">
        <f>HYPERLINK("https://www.philgeps.gov.ph/GEPSNONPILOT/Tender/SplashBidNoticeAbstractUI.aspx?menuIndex=3&amp;refID=7074755&amp;Result=3","7074755")</f>
        <v>0</v>
      </c>
      <c r="B8535" t="s">
        <v>199</v>
      </c>
      <c r="C8535" t="s">
        <v>11544</v>
      </c>
      <c r="D8535" t="s">
        <v>17424</v>
      </c>
      <c r="E8535" t="s">
        <v>24851</v>
      </c>
      <c r="F8535" t="s">
        <v>30052</v>
      </c>
      <c r="G8535" t="s">
        <v>30058</v>
      </c>
      <c r="H8535" t="s">
        <v>15498</v>
      </c>
      <c r="I8535" t="s">
        <v>30156</v>
      </c>
      <c r="J8535" t="s">
        <v>35396</v>
      </c>
      <c r="K8535" t="s">
        <v>39026</v>
      </c>
      <c r="M8535" t="s">
        <v>42085</v>
      </c>
      <c r="N8535" t="s">
        <v>43166</v>
      </c>
      <c r="O8535" t="s">
        <v>43167</v>
      </c>
      <c r="P8535">
        <v>0</v>
      </c>
      <c r="Q8535">
        <v>3</v>
      </c>
      <c r="R8535" t="s">
        <v>43174</v>
      </c>
      <c r="S8535" t="s">
        <v>43396</v>
      </c>
      <c r="T8535" t="s">
        <v>44725</v>
      </c>
      <c r="U8535" t="s">
        <v>52052</v>
      </c>
      <c r="W8535" t="s">
        <v>42085</v>
      </c>
      <c r="X8535" t="s">
        <v>43175</v>
      </c>
    </row>
    <row r="8536" spans="1:24">
      <c r="A8536">
        <f>HYPERLINK("https://www.philgeps.gov.ph/GEPSNONPILOT/Tender/SplashBidNoticeAbstractUI.aspx?menuIndex=3&amp;refID=7074679&amp;Result=3","7074679")</f>
        <v>0</v>
      </c>
      <c r="B8536" t="s">
        <v>2578</v>
      </c>
      <c r="C8536" t="s">
        <v>11545</v>
      </c>
      <c r="D8536" t="s">
        <v>17436</v>
      </c>
      <c r="E8536" t="s">
        <v>24852</v>
      </c>
      <c r="F8536" t="s">
        <v>30052</v>
      </c>
      <c r="G8536" t="s">
        <v>30059</v>
      </c>
      <c r="H8536" t="s">
        <v>15498</v>
      </c>
      <c r="I8536" t="s">
        <v>30084</v>
      </c>
      <c r="J8536" t="s">
        <v>31383</v>
      </c>
      <c r="K8536" t="s">
        <v>39019</v>
      </c>
      <c r="M8536" t="s">
        <v>42086</v>
      </c>
      <c r="N8536" t="s">
        <v>43166</v>
      </c>
      <c r="O8536" t="s">
        <v>43167</v>
      </c>
      <c r="P8536">
        <v>0</v>
      </c>
      <c r="Q8536">
        <v>1</v>
      </c>
      <c r="R8536" t="s">
        <v>43174</v>
      </c>
      <c r="S8536" t="s">
        <v>43396</v>
      </c>
      <c r="T8536" t="s">
        <v>44717</v>
      </c>
      <c r="U8536" t="s">
        <v>52053</v>
      </c>
      <c r="W8536" t="s">
        <v>42086</v>
      </c>
      <c r="X8536" t="s">
        <v>43175</v>
      </c>
    </row>
    <row r="8537" spans="1:24">
      <c r="A8537">
        <f>HYPERLINK("https://www.philgeps.gov.ph/GEPSNONPILOT/Tender/SplashBidNoticeAbstractUI.aspx?menuIndex=3&amp;refID=7074699&amp;Result=3","7074699")</f>
        <v>0</v>
      </c>
      <c r="B8537" t="s">
        <v>305</v>
      </c>
      <c r="C8537" t="s">
        <v>11546</v>
      </c>
      <c r="D8537" t="s">
        <v>17455</v>
      </c>
      <c r="E8537" t="s">
        <v>24853</v>
      </c>
      <c r="F8537" t="s">
        <v>30052</v>
      </c>
      <c r="G8537" t="s">
        <v>30062</v>
      </c>
      <c r="H8537" t="s">
        <v>15498</v>
      </c>
      <c r="I8537" t="s">
        <v>4119</v>
      </c>
      <c r="J8537" t="s">
        <v>32763</v>
      </c>
      <c r="K8537" t="s">
        <v>39029</v>
      </c>
      <c r="L8537" t="s">
        <v>305</v>
      </c>
      <c r="M8537" t="s">
        <v>39600</v>
      </c>
      <c r="N8537" t="s">
        <v>43166</v>
      </c>
      <c r="O8537" t="s">
        <v>43167</v>
      </c>
      <c r="P8537">
        <v>0</v>
      </c>
      <c r="Q8537">
        <v>9</v>
      </c>
      <c r="R8537" t="s">
        <v>43174</v>
      </c>
      <c r="S8537" t="s">
        <v>43396</v>
      </c>
      <c r="T8537" t="s">
        <v>44837</v>
      </c>
      <c r="U8537" t="s">
        <v>52054</v>
      </c>
      <c r="W8537" t="s">
        <v>39600</v>
      </c>
      <c r="X8537" t="s">
        <v>43175</v>
      </c>
    </row>
    <row r="8538" spans="1:24">
      <c r="A8538">
        <f>HYPERLINK("https://www.philgeps.gov.ph/GEPSNONPILOT/Tender/SplashBidNoticeAbstractUI.aspx?menuIndex=3&amp;refID=7074741&amp;Result=3","7074741")</f>
        <v>0</v>
      </c>
      <c r="B8538" t="s">
        <v>2579</v>
      </c>
      <c r="C8538" t="s">
        <v>11547</v>
      </c>
      <c r="D8538" t="s">
        <v>17450</v>
      </c>
      <c r="E8538" t="s">
        <v>17715</v>
      </c>
      <c r="F8538" t="s">
        <v>30052</v>
      </c>
      <c r="G8538" t="s">
        <v>30058</v>
      </c>
      <c r="H8538" t="s">
        <v>30067</v>
      </c>
      <c r="I8538" t="s">
        <v>3693</v>
      </c>
      <c r="J8538" t="s">
        <v>35397</v>
      </c>
      <c r="K8538" t="s">
        <v>39034</v>
      </c>
      <c r="M8538" t="s">
        <v>42087</v>
      </c>
      <c r="N8538" t="s">
        <v>43166</v>
      </c>
      <c r="O8538" t="s">
        <v>43167</v>
      </c>
      <c r="P8538">
        <v>0</v>
      </c>
      <c r="Q8538">
        <v>0</v>
      </c>
      <c r="R8538" t="s">
        <v>43174</v>
      </c>
      <c r="S8538" t="s">
        <v>43396</v>
      </c>
      <c r="T8538" t="s">
        <v>45090</v>
      </c>
      <c r="U8538" t="s">
        <v>52055</v>
      </c>
      <c r="V8538" t="s">
        <v>57702</v>
      </c>
      <c r="W8538" t="s">
        <v>42087</v>
      </c>
      <c r="X8538" t="s">
        <v>43175</v>
      </c>
    </row>
    <row r="8539" spans="1:24">
      <c r="A8539">
        <f>HYPERLINK("https://www.philgeps.gov.ph/GEPSNONPILOT/Tender/SplashBidNoticeAbstractUI.aspx?menuIndex=3&amp;refID=7074715&amp;Result=3","7074715")</f>
        <v>0</v>
      </c>
      <c r="B8539" t="s">
        <v>1608</v>
      </c>
      <c r="C8539" t="s">
        <v>11548</v>
      </c>
      <c r="D8539" t="s">
        <v>17415</v>
      </c>
      <c r="E8539" t="s">
        <v>24854</v>
      </c>
      <c r="F8539" t="s">
        <v>30052</v>
      </c>
      <c r="G8539" t="s">
        <v>30058</v>
      </c>
      <c r="H8539" t="s">
        <v>15498</v>
      </c>
      <c r="I8539" t="s">
        <v>3852</v>
      </c>
      <c r="J8539" t="s">
        <v>30605</v>
      </c>
      <c r="K8539" t="s">
        <v>39019</v>
      </c>
      <c r="M8539" t="s">
        <v>41506</v>
      </c>
      <c r="N8539" t="s">
        <v>43166</v>
      </c>
      <c r="O8539" t="s">
        <v>43167</v>
      </c>
      <c r="P8539">
        <v>0</v>
      </c>
      <c r="Q8539">
        <v>0</v>
      </c>
      <c r="R8539" t="s">
        <v>43174</v>
      </c>
      <c r="S8539" t="s">
        <v>43396</v>
      </c>
      <c r="T8539" t="s">
        <v>44844</v>
      </c>
      <c r="U8539" t="s">
        <v>48908</v>
      </c>
      <c r="W8539" t="s">
        <v>41506</v>
      </c>
      <c r="X8539" t="s">
        <v>43175</v>
      </c>
    </row>
    <row r="8540" spans="1:24">
      <c r="A8540">
        <f>HYPERLINK("https://www.philgeps.gov.ph/GEPSNONPILOT/Tender/SplashBidNoticeAbstractUI.aspx?menuIndex=3&amp;refID=7074712&amp;Result=3","7074712")</f>
        <v>0</v>
      </c>
      <c r="B8540" t="s">
        <v>2158</v>
      </c>
      <c r="C8540" t="s">
        <v>11549</v>
      </c>
      <c r="D8540" t="s">
        <v>17483</v>
      </c>
      <c r="E8540" t="s">
        <v>24855</v>
      </c>
      <c r="F8540" t="s">
        <v>30052</v>
      </c>
      <c r="G8540" t="s">
        <v>30058</v>
      </c>
      <c r="H8540" t="s">
        <v>15498</v>
      </c>
      <c r="I8540" t="s">
        <v>30070</v>
      </c>
      <c r="J8540" t="s">
        <v>35398</v>
      </c>
      <c r="K8540" t="s">
        <v>39023</v>
      </c>
      <c r="M8540" t="s">
        <v>41625</v>
      </c>
      <c r="N8540" t="s">
        <v>43166</v>
      </c>
      <c r="O8540" t="s">
        <v>43167</v>
      </c>
      <c r="P8540">
        <v>0</v>
      </c>
      <c r="Q8540">
        <v>0</v>
      </c>
      <c r="R8540" t="s">
        <v>43174</v>
      </c>
      <c r="S8540" t="s">
        <v>43396</v>
      </c>
      <c r="T8540" t="s">
        <v>44717</v>
      </c>
      <c r="U8540" t="s">
        <v>52056</v>
      </c>
      <c r="W8540" t="s">
        <v>41625</v>
      </c>
      <c r="X8540" t="s">
        <v>43175</v>
      </c>
    </row>
    <row r="8541" spans="1:24">
      <c r="A8541">
        <f>HYPERLINK("https://www.philgeps.gov.ph/GEPSNONPILOT/Tender/SplashBidNoticeAbstractUI.aspx?menuIndex=3&amp;refID=7074710&amp;Result=3","7074710")</f>
        <v>0</v>
      </c>
      <c r="B8541" t="s">
        <v>2580</v>
      </c>
      <c r="C8541" t="s">
        <v>11550</v>
      </c>
      <c r="D8541" t="s">
        <v>17421</v>
      </c>
      <c r="E8541" t="s">
        <v>24687</v>
      </c>
      <c r="F8541" t="s">
        <v>30052</v>
      </c>
      <c r="G8541" t="s">
        <v>30058</v>
      </c>
      <c r="H8541" t="s">
        <v>30067</v>
      </c>
      <c r="I8541" t="s">
        <v>3736</v>
      </c>
      <c r="J8541" t="s">
        <v>30230</v>
      </c>
      <c r="K8541" t="s">
        <v>39025</v>
      </c>
      <c r="M8541" t="s">
        <v>42088</v>
      </c>
      <c r="N8541" t="s">
        <v>43166</v>
      </c>
      <c r="O8541" t="s">
        <v>43167</v>
      </c>
      <c r="P8541">
        <v>0</v>
      </c>
      <c r="Q8541">
        <v>0</v>
      </c>
      <c r="R8541" t="s">
        <v>43174</v>
      </c>
      <c r="S8541" t="s">
        <v>43396</v>
      </c>
      <c r="T8541" t="s">
        <v>44777</v>
      </c>
      <c r="U8541" t="s">
        <v>52057</v>
      </c>
      <c r="W8541" t="s">
        <v>42088</v>
      </c>
      <c r="X8541" t="s">
        <v>43175</v>
      </c>
    </row>
    <row r="8542" spans="1:24">
      <c r="A8542">
        <f>HYPERLINK("https://www.philgeps.gov.ph/GEPSNONPILOT/Tender/SplashBidNoticeAbstractUI.aspx?menuIndex=3&amp;refID=7074703&amp;Result=3","7074703")</f>
        <v>0</v>
      </c>
      <c r="B8542" t="s">
        <v>2098</v>
      </c>
      <c r="C8542" t="s">
        <v>11551</v>
      </c>
      <c r="D8542" t="s">
        <v>17414</v>
      </c>
      <c r="E8542" t="s">
        <v>24856</v>
      </c>
      <c r="F8542" t="s">
        <v>30052</v>
      </c>
      <c r="G8542" t="s">
        <v>30059</v>
      </c>
      <c r="H8542" t="s">
        <v>15498</v>
      </c>
      <c r="I8542" t="s">
        <v>30073</v>
      </c>
      <c r="J8542" t="s">
        <v>35399</v>
      </c>
      <c r="K8542" t="s">
        <v>39017</v>
      </c>
      <c r="M8542" t="s">
        <v>42002</v>
      </c>
      <c r="N8542" t="s">
        <v>43166</v>
      </c>
      <c r="O8542" t="s">
        <v>43167</v>
      </c>
      <c r="P8542">
        <v>0</v>
      </c>
      <c r="Q8542">
        <v>0</v>
      </c>
      <c r="R8542" t="s">
        <v>43174</v>
      </c>
      <c r="S8542" t="s">
        <v>43396</v>
      </c>
      <c r="T8542" t="s">
        <v>44777</v>
      </c>
      <c r="U8542" t="s">
        <v>52058</v>
      </c>
      <c r="W8542" t="s">
        <v>42002</v>
      </c>
      <c r="X8542" t="s">
        <v>43175</v>
      </c>
    </row>
    <row r="8543" spans="1:24">
      <c r="A8543">
        <f>HYPERLINK("https://www.philgeps.gov.ph/GEPSNONPILOT/Tender/SplashBidNoticeAbstractUI.aspx?menuIndex=3&amp;refID=7074752&amp;Result=3","7074752")</f>
        <v>0</v>
      </c>
      <c r="B8543" t="s">
        <v>2581</v>
      </c>
      <c r="C8543" t="s">
        <v>11552</v>
      </c>
      <c r="D8543" t="s">
        <v>17441</v>
      </c>
      <c r="E8543" t="s">
        <v>24857</v>
      </c>
      <c r="F8543" t="s">
        <v>30052</v>
      </c>
      <c r="G8543" t="s">
        <v>30058</v>
      </c>
      <c r="H8543" t="s">
        <v>30067</v>
      </c>
      <c r="I8543" t="s">
        <v>3693</v>
      </c>
      <c r="J8543" t="s">
        <v>35400</v>
      </c>
      <c r="K8543" t="s">
        <v>39025</v>
      </c>
      <c r="M8543" t="s">
        <v>42089</v>
      </c>
      <c r="N8543" t="s">
        <v>43166</v>
      </c>
      <c r="O8543" t="s">
        <v>43167</v>
      </c>
      <c r="P8543">
        <v>0</v>
      </c>
      <c r="Q8543">
        <v>2</v>
      </c>
      <c r="R8543" t="s">
        <v>43174</v>
      </c>
      <c r="S8543" t="s">
        <v>43396</v>
      </c>
      <c r="T8543" t="s">
        <v>44837</v>
      </c>
      <c r="U8543" t="s">
        <v>52059</v>
      </c>
      <c r="V8543" t="s">
        <v>57725</v>
      </c>
      <c r="W8543" t="s">
        <v>42089</v>
      </c>
      <c r="X8543" t="s">
        <v>43175</v>
      </c>
    </row>
    <row r="8544" spans="1:24">
      <c r="A8544">
        <f>HYPERLINK("https://www.philgeps.gov.ph/GEPSNONPILOT/Tender/SplashBidNoticeAbstractUI.aspx?menuIndex=3&amp;refID=7074770&amp;Result=3","7074770")</f>
        <v>0</v>
      </c>
      <c r="B8544" t="s">
        <v>1689</v>
      </c>
      <c r="C8544" t="s">
        <v>11553</v>
      </c>
      <c r="D8544" t="s">
        <v>17474</v>
      </c>
      <c r="E8544" t="s">
        <v>24858</v>
      </c>
      <c r="F8544" t="s">
        <v>30052</v>
      </c>
      <c r="G8544" t="s">
        <v>30058</v>
      </c>
      <c r="H8544" t="s">
        <v>15498</v>
      </c>
      <c r="I8544" t="s">
        <v>30081</v>
      </c>
      <c r="J8544" t="s">
        <v>35401</v>
      </c>
      <c r="K8544" t="s">
        <v>39029</v>
      </c>
      <c r="M8544" t="s">
        <v>41098</v>
      </c>
      <c r="N8544" t="s">
        <v>43166</v>
      </c>
      <c r="O8544" t="s">
        <v>43167</v>
      </c>
      <c r="P8544">
        <v>0</v>
      </c>
      <c r="Q8544">
        <v>0</v>
      </c>
      <c r="R8544" t="s">
        <v>43174</v>
      </c>
      <c r="S8544" t="s">
        <v>43396</v>
      </c>
      <c r="T8544" t="s">
        <v>44856</v>
      </c>
      <c r="U8544" t="s">
        <v>52060</v>
      </c>
      <c r="W8544" t="s">
        <v>41098</v>
      </c>
      <c r="X8544" t="s">
        <v>43175</v>
      </c>
    </row>
    <row r="8545" spans="1:24">
      <c r="A8545">
        <f>HYPERLINK("https://www.philgeps.gov.ph/GEPSNONPILOT/Tender/SplashBidNoticeAbstractUI.aspx?menuIndex=3&amp;refID=7074809&amp;Result=3","7074809")</f>
        <v>0</v>
      </c>
      <c r="B8545" t="s">
        <v>208</v>
      </c>
      <c r="C8545" t="s">
        <v>11554</v>
      </c>
      <c r="D8545" t="s">
        <v>17415</v>
      </c>
      <c r="E8545" t="s">
        <v>24859</v>
      </c>
      <c r="F8545" t="s">
        <v>30052</v>
      </c>
      <c r="G8545" t="s">
        <v>30059</v>
      </c>
      <c r="H8545" t="s">
        <v>15498</v>
      </c>
      <c r="I8545" t="s">
        <v>30105</v>
      </c>
      <c r="J8545" t="s">
        <v>30230</v>
      </c>
      <c r="K8545" t="s">
        <v>39025</v>
      </c>
      <c r="M8545" t="s">
        <v>42090</v>
      </c>
      <c r="N8545" t="s">
        <v>43166</v>
      </c>
      <c r="O8545" t="s">
        <v>43167</v>
      </c>
      <c r="P8545">
        <v>0</v>
      </c>
      <c r="Q8545">
        <v>1</v>
      </c>
      <c r="R8545" t="s">
        <v>43174</v>
      </c>
      <c r="S8545" t="s">
        <v>43396</v>
      </c>
      <c r="T8545" t="s">
        <v>44844</v>
      </c>
      <c r="U8545" t="s">
        <v>52061</v>
      </c>
      <c r="W8545" t="s">
        <v>42090</v>
      </c>
      <c r="X8545" t="s">
        <v>43175</v>
      </c>
    </row>
    <row r="8546" spans="1:24">
      <c r="A8546">
        <f>HYPERLINK("https://www.philgeps.gov.ph/GEPSNONPILOT/Tender/SplashBidNoticeAbstractUI.aspx?menuIndex=3&amp;refID=7074599&amp;Result=3","7074599")</f>
        <v>0</v>
      </c>
      <c r="B8546" t="s">
        <v>2476</v>
      </c>
      <c r="C8546" t="s">
        <v>11555</v>
      </c>
      <c r="D8546" t="s">
        <v>17472</v>
      </c>
      <c r="E8546" t="s">
        <v>24779</v>
      </c>
      <c r="F8546" t="s">
        <v>30052</v>
      </c>
      <c r="G8546" t="s">
        <v>30058</v>
      </c>
      <c r="H8546" t="s">
        <v>15498</v>
      </c>
      <c r="I8546" t="s">
        <v>3736</v>
      </c>
      <c r="J8546" t="s">
        <v>35402</v>
      </c>
      <c r="K8546" t="s">
        <v>39019</v>
      </c>
      <c r="M8546" t="s">
        <v>41976</v>
      </c>
      <c r="N8546" t="s">
        <v>43166</v>
      </c>
      <c r="O8546" t="s">
        <v>43167</v>
      </c>
      <c r="P8546">
        <v>0</v>
      </c>
      <c r="Q8546">
        <v>2</v>
      </c>
      <c r="R8546" t="s">
        <v>43174</v>
      </c>
      <c r="S8546" t="s">
        <v>43396</v>
      </c>
      <c r="T8546" t="s">
        <v>44870</v>
      </c>
      <c r="U8546" t="s">
        <v>51996</v>
      </c>
      <c r="W8546" t="s">
        <v>41976</v>
      </c>
      <c r="X8546" t="s">
        <v>43175</v>
      </c>
    </row>
    <row r="8547" spans="1:24">
      <c r="A8547">
        <f>HYPERLINK("https://www.philgeps.gov.ph/GEPSNONPILOT/Tender/SplashBidNoticeAbstractUI.aspx?menuIndex=3&amp;refID=7074808&amp;Result=3","7074808")</f>
        <v>0</v>
      </c>
      <c r="B8547" t="s">
        <v>1608</v>
      </c>
      <c r="C8547" t="s">
        <v>11556</v>
      </c>
      <c r="D8547" t="s">
        <v>17415</v>
      </c>
      <c r="E8547" t="s">
        <v>24860</v>
      </c>
      <c r="F8547" t="s">
        <v>30052</v>
      </c>
      <c r="G8547" t="s">
        <v>30058</v>
      </c>
      <c r="H8547" t="s">
        <v>15498</v>
      </c>
      <c r="I8547" t="s">
        <v>3852</v>
      </c>
      <c r="J8547" t="s">
        <v>31846</v>
      </c>
      <c r="K8547" t="s">
        <v>39019</v>
      </c>
      <c r="M8547" t="s">
        <v>41506</v>
      </c>
      <c r="N8547" t="s">
        <v>43166</v>
      </c>
      <c r="O8547" t="s">
        <v>43167</v>
      </c>
      <c r="P8547">
        <v>0</v>
      </c>
      <c r="Q8547">
        <v>0</v>
      </c>
      <c r="R8547" t="s">
        <v>43174</v>
      </c>
      <c r="S8547" t="s">
        <v>43396</v>
      </c>
      <c r="T8547" t="s">
        <v>44844</v>
      </c>
      <c r="U8547" t="s">
        <v>48908</v>
      </c>
      <c r="W8547" t="s">
        <v>41506</v>
      </c>
      <c r="X8547" t="s">
        <v>43175</v>
      </c>
    </row>
    <row r="8548" spans="1:24">
      <c r="A8548">
        <f>HYPERLINK("https://www.philgeps.gov.ph/GEPSNONPILOT/Tender/SplashBidNoticeAbstractUI.aspx?menuIndex=3&amp;refID=7074792&amp;Result=3","7074792")</f>
        <v>0</v>
      </c>
      <c r="B8548" t="s">
        <v>202</v>
      </c>
      <c r="C8548" t="s">
        <v>11557</v>
      </c>
      <c r="D8548" t="s">
        <v>17461</v>
      </c>
      <c r="E8548" t="s">
        <v>24861</v>
      </c>
      <c r="F8548" t="s">
        <v>30052</v>
      </c>
      <c r="G8548" t="s">
        <v>30058</v>
      </c>
      <c r="H8548" t="s">
        <v>30067</v>
      </c>
      <c r="I8548" t="s">
        <v>3693</v>
      </c>
      <c r="J8548" t="s">
        <v>30230</v>
      </c>
      <c r="K8548" t="s">
        <v>39029</v>
      </c>
      <c r="M8548" t="s">
        <v>42091</v>
      </c>
      <c r="N8548" t="s">
        <v>43166</v>
      </c>
      <c r="O8548" t="s">
        <v>43167</v>
      </c>
      <c r="P8548">
        <v>0</v>
      </c>
      <c r="Q8548">
        <v>1</v>
      </c>
      <c r="R8548" t="s">
        <v>43174</v>
      </c>
      <c r="S8548" t="s">
        <v>43396</v>
      </c>
      <c r="T8548" t="s">
        <v>44678</v>
      </c>
      <c r="U8548" t="s">
        <v>52062</v>
      </c>
      <c r="W8548" t="s">
        <v>42091</v>
      </c>
      <c r="X8548" t="s">
        <v>43175</v>
      </c>
    </row>
    <row r="8549" spans="1:24">
      <c r="A8549">
        <f>HYPERLINK("https://www.philgeps.gov.ph/GEPSNONPILOT/Tender/SplashBidNoticeAbstractUI.aspx?menuIndex=3&amp;refID=7074707&amp;Result=3","7074707")</f>
        <v>0</v>
      </c>
      <c r="B8549" t="s">
        <v>2557</v>
      </c>
      <c r="C8549" t="s">
        <v>11558</v>
      </c>
      <c r="D8549" t="s">
        <v>17415</v>
      </c>
      <c r="E8549" t="s">
        <v>24862</v>
      </c>
      <c r="F8549" t="s">
        <v>30052</v>
      </c>
      <c r="G8549" t="s">
        <v>30059</v>
      </c>
      <c r="H8549" t="s">
        <v>15498</v>
      </c>
      <c r="I8549" t="s">
        <v>30100</v>
      </c>
      <c r="J8549" t="s">
        <v>30472</v>
      </c>
      <c r="K8549" t="s">
        <v>39059</v>
      </c>
      <c r="M8549" t="s">
        <v>42064</v>
      </c>
      <c r="N8549" t="s">
        <v>43166</v>
      </c>
      <c r="O8549" t="s">
        <v>43167</v>
      </c>
      <c r="P8549">
        <v>0</v>
      </c>
      <c r="Q8549">
        <v>0</v>
      </c>
      <c r="R8549" t="s">
        <v>43174</v>
      </c>
      <c r="S8549" t="s">
        <v>43396</v>
      </c>
      <c r="T8549" t="s">
        <v>44837</v>
      </c>
      <c r="U8549" t="s">
        <v>52063</v>
      </c>
      <c r="W8549" t="s">
        <v>42064</v>
      </c>
      <c r="X8549" t="s">
        <v>43175</v>
      </c>
    </row>
    <row r="8550" spans="1:24">
      <c r="A8550">
        <f>HYPERLINK("https://www.philgeps.gov.ph/GEPSNONPILOT/Tender/SplashBidNoticeAbstractUI.aspx?menuIndex=3&amp;refID=7074711&amp;Result=3","7074711")</f>
        <v>0</v>
      </c>
      <c r="B8550" t="s">
        <v>2582</v>
      </c>
      <c r="C8550" t="s">
        <v>11559</v>
      </c>
      <c r="D8550" t="s">
        <v>17439</v>
      </c>
      <c r="E8550" t="s">
        <v>24863</v>
      </c>
      <c r="F8550" t="s">
        <v>30052</v>
      </c>
      <c r="G8550" t="s">
        <v>30058</v>
      </c>
      <c r="H8550" t="s">
        <v>30067</v>
      </c>
      <c r="I8550" t="s">
        <v>3693</v>
      </c>
      <c r="J8550" t="s">
        <v>35210</v>
      </c>
      <c r="K8550" t="s">
        <v>39108</v>
      </c>
      <c r="L8550" t="s">
        <v>2582</v>
      </c>
      <c r="M8550" t="s">
        <v>42092</v>
      </c>
      <c r="N8550" t="s">
        <v>43166</v>
      </c>
      <c r="O8550" t="s">
        <v>43167</v>
      </c>
      <c r="P8550">
        <v>0</v>
      </c>
      <c r="Q8550">
        <v>0</v>
      </c>
      <c r="R8550" t="s">
        <v>43174</v>
      </c>
      <c r="S8550" t="s">
        <v>43396</v>
      </c>
      <c r="T8550" t="s">
        <v>44716</v>
      </c>
      <c r="U8550" t="s">
        <v>52064</v>
      </c>
      <c r="V8550" t="s">
        <v>57726</v>
      </c>
      <c r="W8550" t="s">
        <v>42092</v>
      </c>
      <c r="X8550" t="s">
        <v>43175</v>
      </c>
    </row>
    <row r="8551" spans="1:24">
      <c r="A8551">
        <f>HYPERLINK("https://www.philgeps.gov.ph/GEPSNONPILOT/Tender/SplashBidNoticeAbstractUI.aspx?menuIndex=3&amp;refID=7074742&amp;Result=3","7074742")</f>
        <v>0</v>
      </c>
      <c r="B8551" t="s">
        <v>2556</v>
      </c>
      <c r="C8551" t="s">
        <v>11560</v>
      </c>
      <c r="D8551" t="s">
        <v>17414</v>
      </c>
      <c r="E8551" t="s">
        <v>24864</v>
      </c>
      <c r="F8551" t="s">
        <v>30052</v>
      </c>
      <c r="G8551" t="s">
        <v>30058</v>
      </c>
      <c r="H8551" t="s">
        <v>15498</v>
      </c>
      <c r="I8551" t="s">
        <v>5961</v>
      </c>
      <c r="J8551" t="s">
        <v>35403</v>
      </c>
      <c r="K8551" t="s">
        <v>39017</v>
      </c>
      <c r="M8551" t="s">
        <v>42063</v>
      </c>
      <c r="N8551" t="s">
        <v>43166</v>
      </c>
      <c r="O8551" t="s">
        <v>43167</v>
      </c>
      <c r="P8551">
        <v>0</v>
      </c>
      <c r="Q8551">
        <v>0</v>
      </c>
      <c r="R8551" t="s">
        <v>43174</v>
      </c>
      <c r="S8551" t="s">
        <v>43396</v>
      </c>
      <c r="T8551" t="s">
        <v>44753</v>
      </c>
      <c r="U8551" t="s">
        <v>52065</v>
      </c>
      <c r="W8551" t="s">
        <v>42063</v>
      </c>
      <c r="X8551" t="s">
        <v>43175</v>
      </c>
    </row>
    <row r="8552" spans="1:24">
      <c r="A8552">
        <f>HYPERLINK("https://www.philgeps.gov.ph/GEPSNONPILOT/Tender/SplashBidNoticeAbstractUI.aspx?menuIndex=3&amp;refID=7074831&amp;Result=3","7074831")</f>
        <v>0</v>
      </c>
      <c r="B8552" t="s">
        <v>2574</v>
      </c>
      <c r="C8552" t="s">
        <v>11561</v>
      </c>
      <c r="D8552" t="s">
        <v>17455</v>
      </c>
      <c r="E8552" t="s">
        <v>24865</v>
      </c>
      <c r="F8552" t="s">
        <v>30052</v>
      </c>
      <c r="G8552" t="s">
        <v>30059</v>
      </c>
      <c r="H8552" t="s">
        <v>30069</v>
      </c>
      <c r="I8552" t="s">
        <v>3852</v>
      </c>
      <c r="J8552" t="s">
        <v>35404</v>
      </c>
      <c r="K8552" t="s">
        <v>39037</v>
      </c>
      <c r="M8552" t="s">
        <v>42081</v>
      </c>
      <c r="N8552" t="s">
        <v>43166</v>
      </c>
      <c r="O8552" t="s">
        <v>43167</v>
      </c>
      <c r="P8552">
        <v>0</v>
      </c>
      <c r="Q8552">
        <v>0</v>
      </c>
      <c r="R8552" t="s">
        <v>43174</v>
      </c>
      <c r="S8552" t="s">
        <v>43396</v>
      </c>
      <c r="T8552" t="s">
        <v>44777</v>
      </c>
      <c r="U8552" t="s">
        <v>52033</v>
      </c>
      <c r="W8552" t="s">
        <v>42081</v>
      </c>
      <c r="X8552" t="s">
        <v>43175</v>
      </c>
    </row>
    <row r="8553" spans="1:24">
      <c r="A8553">
        <f>HYPERLINK("https://www.philgeps.gov.ph/GEPSNONPILOT/Tender/SplashBidNoticeAbstractUI.aspx?menuIndex=3&amp;refID=7074830&amp;Result=3","7074830")</f>
        <v>0</v>
      </c>
      <c r="B8553" t="s">
        <v>1689</v>
      </c>
      <c r="C8553" t="s">
        <v>11562</v>
      </c>
      <c r="D8553" t="s">
        <v>17474</v>
      </c>
      <c r="E8553" t="s">
        <v>24866</v>
      </c>
      <c r="F8553" t="s">
        <v>30052</v>
      </c>
      <c r="G8553" t="s">
        <v>30058</v>
      </c>
      <c r="H8553" t="s">
        <v>15498</v>
      </c>
      <c r="I8553" t="s">
        <v>30081</v>
      </c>
      <c r="J8553" t="s">
        <v>35405</v>
      </c>
      <c r="K8553" t="s">
        <v>39029</v>
      </c>
      <c r="M8553" t="s">
        <v>41098</v>
      </c>
      <c r="N8553" t="s">
        <v>43166</v>
      </c>
      <c r="O8553" t="s">
        <v>43167</v>
      </c>
      <c r="P8553">
        <v>0</v>
      </c>
      <c r="Q8553">
        <v>0</v>
      </c>
      <c r="R8553" t="s">
        <v>43174</v>
      </c>
      <c r="S8553" t="s">
        <v>43396</v>
      </c>
      <c r="T8553" t="s">
        <v>44856</v>
      </c>
      <c r="U8553" t="s">
        <v>52066</v>
      </c>
      <c r="W8553" t="s">
        <v>41098</v>
      </c>
      <c r="X8553" t="s">
        <v>43175</v>
      </c>
    </row>
    <row r="8554" spans="1:24">
      <c r="A8554">
        <f>HYPERLINK("https://www.philgeps.gov.ph/GEPSNONPILOT/Tender/SplashBidNoticeAbstractUI.aspx?menuIndex=3&amp;refID=7074823&amp;Result=3","7074823")</f>
        <v>0</v>
      </c>
      <c r="B8554" t="s">
        <v>1260</v>
      </c>
      <c r="C8554" t="s">
        <v>11563</v>
      </c>
      <c r="D8554" t="s">
        <v>17478</v>
      </c>
      <c r="E8554" t="s">
        <v>24867</v>
      </c>
      <c r="F8554" t="s">
        <v>30052</v>
      </c>
      <c r="G8554" t="s">
        <v>30063</v>
      </c>
      <c r="H8554" t="s">
        <v>30067</v>
      </c>
      <c r="I8554" t="s">
        <v>3693</v>
      </c>
      <c r="J8554" t="s">
        <v>35406</v>
      </c>
      <c r="K8554" t="s">
        <v>39205</v>
      </c>
      <c r="M8554" t="s">
        <v>42093</v>
      </c>
      <c r="N8554" t="s">
        <v>43166</v>
      </c>
      <c r="O8554" t="s">
        <v>43167</v>
      </c>
      <c r="P8554">
        <v>0</v>
      </c>
      <c r="Q8554">
        <v>0</v>
      </c>
      <c r="R8554" t="s">
        <v>43174</v>
      </c>
      <c r="S8554" t="s">
        <v>43396</v>
      </c>
      <c r="T8554" t="s">
        <v>44758</v>
      </c>
      <c r="U8554" t="s">
        <v>52067</v>
      </c>
      <c r="V8554" t="s">
        <v>57727</v>
      </c>
      <c r="W8554" t="s">
        <v>58679</v>
      </c>
      <c r="X8554" t="s">
        <v>43175</v>
      </c>
    </row>
    <row r="8555" spans="1:24">
      <c r="A8555">
        <f>HYPERLINK("https://www.philgeps.gov.ph/GEPSNONPILOT/Tender/SplashBidNoticeAbstractUI.aspx?menuIndex=3&amp;refID=7074821&amp;Result=3","7074821")</f>
        <v>0</v>
      </c>
      <c r="B8555" t="s">
        <v>2489</v>
      </c>
      <c r="C8555" t="s">
        <v>11564</v>
      </c>
      <c r="D8555" t="s">
        <v>17430</v>
      </c>
      <c r="E8555" t="s">
        <v>17692</v>
      </c>
      <c r="F8555" t="s">
        <v>30055</v>
      </c>
      <c r="G8555" t="s">
        <v>30058</v>
      </c>
      <c r="H8555" t="s">
        <v>15498</v>
      </c>
      <c r="I8555" t="s">
        <v>9238</v>
      </c>
      <c r="J8555" t="s">
        <v>35407</v>
      </c>
      <c r="K8555" t="s">
        <v>39029</v>
      </c>
      <c r="M8555" t="s">
        <v>41990</v>
      </c>
      <c r="N8555" t="s">
        <v>43166</v>
      </c>
      <c r="O8555" t="s">
        <v>43167</v>
      </c>
      <c r="P8555">
        <v>0</v>
      </c>
      <c r="Q8555">
        <v>28</v>
      </c>
      <c r="R8555" t="s">
        <v>43174</v>
      </c>
      <c r="S8555" t="s">
        <v>43396</v>
      </c>
      <c r="T8555" t="s">
        <v>44789</v>
      </c>
      <c r="U8555" t="s">
        <v>46634</v>
      </c>
      <c r="W8555" t="s">
        <v>41990</v>
      </c>
      <c r="X8555" t="s">
        <v>43175</v>
      </c>
    </row>
    <row r="8556" spans="1:24">
      <c r="A8556">
        <f>HYPERLINK("https://www.philgeps.gov.ph/GEPSNONPILOT/Tender/SplashBidNoticeAbstractUI.aspx?menuIndex=3&amp;refID=7074757&amp;Result=3","7074757")</f>
        <v>0</v>
      </c>
      <c r="B8556" t="s">
        <v>1260</v>
      </c>
      <c r="C8556" t="s">
        <v>11565</v>
      </c>
      <c r="D8556" t="s">
        <v>17478</v>
      </c>
      <c r="E8556" t="s">
        <v>24868</v>
      </c>
      <c r="F8556" t="s">
        <v>30052</v>
      </c>
      <c r="G8556" t="s">
        <v>30063</v>
      </c>
      <c r="H8556" t="s">
        <v>30067</v>
      </c>
      <c r="I8556" t="s">
        <v>3693</v>
      </c>
      <c r="J8556" t="s">
        <v>35408</v>
      </c>
      <c r="K8556" t="s">
        <v>39031</v>
      </c>
      <c r="M8556" t="s">
        <v>42093</v>
      </c>
      <c r="N8556" t="s">
        <v>43166</v>
      </c>
      <c r="O8556" t="s">
        <v>43167</v>
      </c>
      <c r="P8556">
        <v>0</v>
      </c>
      <c r="Q8556">
        <v>0</v>
      </c>
      <c r="R8556" t="s">
        <v>43174</v>
      </c>
      <c r="S8556" t="s">
        <v>43396</v>
      </c>
      <c r="T8556" t="s">
        <v>44758</v>
      </c>
      <c r="U8556" t="s">
        <v>52067</v>
      </c>
      <c r="V8556" t="s">
        <v>57728</v>
      </c>
      <c r="W8556" t="s">
        <v>58679</v>
      </c>
      <c r="X8556" t="s">
        <v>43175</v>
      </c>
    </row>
    <row r="8557" spans="1:24">
      <c r="A8557">
        <f>HYPERLINK("https://www.philgeps.gov.ph/GEPSNONPILOT/Tender/SplashBidNoticeAbstractUI.aspx?menuIndex=3&amp;refID=7074815&amp;Result=3","7074815")</f>
        <v>0</v>
      </c>
      <c r="B8557" t="s">
        <v>2577</v>
      </c>
      <c r="C8557" t="s">
        <v>11566</v>
      </c>
      <c r="D8557" t="s">
        <v>17422</v>
      </c>
      <c r="E8557" t="s">
        <v>24869</v>
      </c>
      <c r="F8557" t="s">
        <v>30052</v>
      </c>
      <c r="G8557" t="s">
        <v>30058</v>
      </c>
      <c r="H8557" t="s">
        <v>30067</v>
      </c>
      <c r="I8557" t="s">
        <v>3693</v>
      </c>
      <c r="J8557" t="s">
        <v>30222</v>
      </c>
      <c r="K8557" t="s">
        <v>39025</v>
      </c>
      <c r="M8557" t="s">
        <v>42084</v>
      </c>
      <c r="N8557" t="s">
        <v>43166</v>
      </c>
      <c r="O8557" t="s">
        <v>43167</v>
      </c>
      <c r="P8557">
        <v>0</v>
      </c>
      <c r="Q8557">
        <v>3</v>
      </c>
      <c r="R8557" t="s">
        <v>43174</v>
      </c>
      <c r="S8557" t="s">
        <v>43396</v>
      </c>
      <c r="T8557" t="s">
        <v>44716</v>
      </c>
      <c r="U8557" t="s">
        <v>52068</v>
      </c>
      <c r="W8557" t="s">
        <v>42084</v>
      </c>
      <c r="X8557" t="s">
        <v>43175</v>
      </c>
    </row>
    <row r="8558" spans="1:24">
      <c r="A8558">
        <f>HYPERLINK("https://www.philgeps.gov.ph/GEPSNONPILOT/Tender/SplashBidNoticeAbstractUI.aspx?menuIndex=3&amp;refID=7074799&amp;Result=3","7074799")</f>
        <v>0</v>
      </c>
      <c r="B8558" t="s">
        <v>1953</v>
      </c>
      <c r="C8558" t="s">
        <v>11567</v>
      </c>
      <c r="E8558" t="s">
        <v>24870</v>
      </c>
      <c r="F8558" t="s">
        <v>30052</v>
      </c>
      <c r="G8558" t="s">
        <v>30059</v>
      </c>
      <c r="H8558" t="s">
        <v>15498</v>
      </c>
      <c r="I8558" t="s">
        <v>30074</v>
      </c>
      <c r="J8558" t="s">
        <v>30330</v>
      </c>
      <c r="K8558" t="s">
        <v>39029</v>
      </c>
      <c r="M8558" t="s">
        <v>41390</v>
      </c>
      <c r="N8558" t="s">
        <v>43166</v>
      </c>
      <c r="O8558" t="s">
        <v>43167</v>
      </c>
      <c r="P8558">
        <v>0</v>
      </c>
      <c r="Q8558">
        <v>0</v>
      </c>
      <c r="R8558" t="s">
        <v>43174</v>
      </c>
      <c r="S8558" t="s">
        <v>43396</v>
      </c>
      <c r="T8558" t="s">
        <v>44856</v>
      </c>
      <c r="U8558" t="s">
        <v>49133</v>
      </c>
      <c r="W8558" t="s">
        <v>41390</v>
      </c>
      <c r="X8558" t="s">
        <v>43175</v>
      </c>
    </row>
    <row r="8559" spans="1:24">
      <c r="A8559">
        <f>HYPERLINK("https://www.philgeps.gov.ph/GEPSNONPILOT/Tender/SplashBidNoticeAbstractUI.aspx?menuIndex=3&amp;refID=7074784&amp;Result=3","7074784")</f>
        <v>0</v>
      </c>
      <c r="B8559" t="s">
        <v>2098</v>
      </c>
      <c r="C8559" t="s">
        <v>11568</v>
      </c>
      <c r="D8559" t="s">
        <v>17414</v>
      </c>
      <c r="E8559" t="s">
        <v>24871</v>
      </c>
      <c r="F8559" t="s">
        <v>30052</v>
      </c>
      <c r="G8559" t="s">
        <v>30059</v>
      </c>
      <c r="H8559" t="s">
        <v>15498</v>
      </c>
      <c r="I8559" t="s">
        <v>30081</v>
      </c>
      <c r="J8559" t="s">
        <v>31501</v>
      </c>
      <c r="K8559" t="s">
        <v>39017</v>
      </c>
      <c r="M8559" t="s">
        <v>42002</v>
      </c>
      <c r="N8559" t="s">
        <v>43166</v>
      </c>
      <c r="O8559" t="s">
        <v>43167</v>
      </c>
      <c r="P8559">
        <v>0</v>
      </c>
      <c r="Q8559">
        <v>0</v>
      </c>
      <c r="R8559" t="s">
        <v>43174</v>
      </c>
      <c r="S8559" t="s">
        <v>43396</v>
      </c>
      <c r="T8559" t="s">
        <v>44777</v>
      </c>
      <c r="U8559" t="s">
        <v>52069</v>
      </c>
      <c r="W8559" t="s">
        <v>42002</v>
      </c>
      <c r="X8559" t="s">
        <v>43175</v>
      </c>
    </row>
    <row r="8560" spans="1:24">
      <c r="A8560">
        <f>HYPERLINK("https://www.philgeps.gov.ph/GEPSNONPILOT/Tender/SplashBidNoticeAbstractUI.aspx?menuIndex=3&amp;refID=7074654&amp;Result=3","7074654")</f>
        <v>0</v>
      </c>
      <c r="B8560" t="s">
        <v>2583</v>
      </c>
      <c r="C8560" t="s">
        <v>11569</v>
      </c>
      <c r="D8560" t="s">
        <v>17426</v>
      </c>
      <c r="E8560" t="s">
        <v>22906</v>
      </c>
      <c r="F8560" t="s">
        <v>30052</v>
      </c>
      <c r="G8560" t="s">
        <v>30058</v>
      </c>
      <c r="H8560" t="s">
        <v>30067</v>
      </c>
      <c r="I8560" t="s">
        <v>3693</v>
      </c>
      <c r="J8560" t="s">
        <v>35409</v>
      </c>
      <c r="K8560" t="s">
        <v>39046</v>
      </c>
      <c r="M8560" t="s">
        <v>42094</v>
      </c>
      <c r="N8560" t="s">
        <v>43166</v>
      </c>
      <c r="O8560" t="s">
        <v>43167</v>
      </c>
      <c r="P8560">
        <v>0</v>
      </c>
      <c r="Q8560">
        <v>1</v>
      </c>
      <c r="R8560" t="s">
        <v>43174</v>
      </c>
      <c r="S8560" t="s">
        <v>43396</v>
      </c>
      <c r="T8560" t="s">
        <v>44873</v>
      </c>
      <c r="U8560" t="s">
        <v>52070</v>
      </c>
      <c r="W8560" t="s">
        <v>42094</v>
      </c>
      <c r="X8560" t="s">
        <v>43175</v>
      </c>
    </row>
    <row r="8561" spans="1:24">
      <c r="A8561">
        <f>HYPERLINK("https://www.philgeps.gov.ph/GEPSNONPILOT/Tender/SplashBidNoticeAbstractUI.aspx?menuIndex=3&amp;refID=7074780&amp;Result=3","7074780")</f>
        <v>0</v>
      </c>
      <c r="B8561" t="s">
        <v>2584</v>
      </c>
      <c r="C8561" t="s">
        <v>11570</v>
      </c>
      <c r="D8561" t="s">
        <v>17470</v>
      </c>
      <c r="E8561" t="s">
        <v>22644</v>
      </c>
      <c r="F8561" t="s">
        <v>30052</v>
      </c>
      <c r="G8561" t="s">
        <v>30058</v>
      </c>
      <c r="H8561" t="s">
        <v>15498</v>
      </c>
      <c r="I8561" t="s">
        <v>3736</v>
      </c>
      <c r="J8561" t="s">
        <v>35410</v>
      </c>
      <c r="K8561" t="s">
        <v>39034</v>
      </c>
      <c r="M8561" t="s">
        <v>42095</v>
      </c>
      <c r="N8561" t="s">
        <v>43166</v>
      </c>
      <c r="O8561" t="s">
        <v>43167</v>
      </c>
      <c r="P8561">
        <v>0</v>
      </c>
      <c r="Q8561">
        <v>0</v>
      </c>
      <c r="R8561" t="s">
        <v>43174</v>
      </c>
      <c r="S8561" t="s">
        <v>43396</v>
      </c>
      <c r="T8561" t="s">
        <v>44716</v>
      </c>
      <c r="U8561" t="s">
        <v>52071</v>
      </c>
      <c r="W8561" t="s">
        <v>42095</v>
      </c>
      <c r="X8561" t="s">
        <v>43175</v>
      </c>
    </row>
    <row r="8562" spans="1:24">
      <c r="A8562">
        <f>HYPERLINK("https://www.philgeps.gov.ph/GEPSNONPILOT/Tender/SplashBidNoticeAbstractUI.aspx?menuIndex=3&amp;refID=7074779&amp;Result=3","7074779")</f>
        <v>0</v>
      </c>
      <c r="B8562" t="s">
        <v>2561</v>
      </c>
      <c r="C8562" t="s">
        <v>11571</v>
      </c>
      <c r="D8562" t="s">
        <v>17445</v>
      </c>
      <c r="E8562" t="s">
        <v>19077</v>
      </c>
      <c r="F8562" t="s">
        <v>30052</v>
      </c>
      <c r="G8562" t="s">
        <v>30058</v>
      </c>
      <c r="H8562" t="s">
        <v>15498</v>
      </c>
      <c r="I8562" t="s">
        <v>3736</v>
      </c>
      <c r="J8562" t="s">
        <v>35411</v>
      </c>
      <c r="K8562" t="s">
        <v>39017</v>
      </c>
      <c r="M8562" t="s">
        <v>42068</v>
      </c>
      <c r="N8562" t="s">
        <v>43166</v>
      </c>
      <c r="O8562" t="s">
        <v>43167</v>
      </c>
      <c r="P8562">
        <v>0</v>
      </c>
      <c r="Q8562">
        <v>0</v>
      </c>
      <c r="R8562" t="s">
        <v>43174</v>
      </c>
      <c r="S8562" t="s">
        <v>43396</v>
      </c>
      <c r="T8562" t="s">
        <v>44837</v>
      </c>
      <c r="U8562" t="s">
        <v>52072</v>
      </c>
      <c r="W8562" t="s">
        <v>42068</v>
      </c>
      <c r="X8562" t="s">
        <v>43175</v>
      </c>
    </row>
    <row r="8563" spans="1:24">
      <c r="A8563">
        <f>HYPERLINK("https://www.philgeps.gov.ph/GEPSNONPILOT/Tender/SplashBidNoticeAbstractUI.aspx?menuIndex=3&amp;refID=7074820&amp;Result=3","7074820")</f>
        <v>0</v>
      </c>
      <c r="B8563" t="s">
        <v>2158</v>
      </c>
      <c r="C8563" t="s">
        <v>11572</v>
      </c>
      <c r="D8563" t="s">
        <v>17483</v>
      </c>
      <c r="E8563" t="s">
        <v>24872</v>
      </c>
      <c r="F8563" t="s">
        <v>30052</v>
      </c>
      <c r="G8563" t="s">
        <v>30058</v>
      </c>
      <c r="H8563" t="s">
        <v>15498</v>
      </c>
      <c r="I8563" t="s">
        <v>3736</v>
      </c>
      <c r="J8563" t="s">
        <v>35412</v>
      </c>
      <c r="K8563" t="s">
        <v>39023</v>
      </c>
      <c r="M8563" t="s">
        <v>41625</v>
      </c>
      <c r="N8563" t="s">
        <v>43166</v>
      </c>
      <c r="O8563" t="s">
        <v>43167</v>
      </c>
      <c r="P8563">
        <v>0</v>
      </c>
      <c r="Q8563">
        <v>0</v>
      </c>
      <c r="R8563" t="s">
        <v>43174</v>
      </c>
      <c r="S8563" t="s">
        <v>43396</v>
      </c>
      <c r="T8563" t="s">
        <v>44717</v>
      </c>
      <c r="U8563" t="s">
        <v>52073</v>
      </c>
      <c r="W8563" t="s">
        <v>41625</v>
      </c>
      <c r="X8563" t="s">
        <v>43175</v>
      </c>
    </row>
    <row r="8564" spans="1:24">
      <c r="A8564">
        <f>HYPERLINK("https://www.philgeps.gov.ph/GEPSNONPILOT/Tender/SplashBidNoticeAbstractUI.aspx?menuIndex=3&amp;refID=7074811&amp;Result=3","7074811")</f>
        <v>0</v>
      </c>
      <c r="B8564" t="s">
        <v>2410</v>
      </c>
      <c r="C8564" t="s">
        <v>11573</v>
      </c>
      <c r="D8564" t="s">
        <v>17470</v>
      </c>
      <c r="E8564" t="s">
        <v>24873</v>
      </c>
      <c r="F8564" t="s">
        <v>30052</v>
      </c>
      <c r="G8564" t="s">
        <v>30058</v>
      </c>
      <c r="H8564" t="s">
        <v>15498</v>
      </c>
      <c r="I8564" t="s">
        <v>30074</v>
      </c>
      <c r="J8564" t="s">
        <v>30711</v>
      </c>
      <c r="K8564" t="s">
        <v>39029</v>
      </c>
      <c r="M8564" t="s">
        <v>41907</v>
      </c>
      <c r="N8564" t="s">
        <v>43166</v>
      </c>
      <c r="O8564" t="s">
        <v>43167</v>
      </c>
      <c r="P8564">
        <v>0</v>
      </c>
      <c r="Q8564">
        <v>5</v>
      </c>
      <c r="R8564" t="s">
        <v>43174</v>
      </c>
      <c r="S8564" t="s">
        <v>43396</v>
      </c>
      <c r="T8564" t="s">
        <v>44758</v>
      </c>
      <c r="U8564" t="s">
        <v>52074</v>
      </c>
      <c r="W8564" t="s">
        <v>41907</v>
      </c>
      <c r="X8564" t="s">
        <v>43175</v>
      </c>
    </row>
    <row r="8565" spans="1:24">
      <c r="A8565">
        <f>HYPERLINK("https://www.philgeps.gov.ph/GEPSNONPILOT/Tender/SplashBidNoticeAbstractUI.aspx?menuIndex=3&amp;refID=7074788&amp;Result=3","7074788")</f>
        <v>0</v>
      </c>
      <c r="B8565" t="s">
        <v>658</v>
      </c>
      <c r="C8565" t="s">
        <v>11574</v>
      </c>
      <c r="D8565" t="s">
        <v>17434</v>
      </c>
      <c r="E8565" t="s">
        <v>24874</v>
      </c>
      <c r="F8565" t="s">
        <v>30052</v>
      </c>
      <c r="G8565" t="s">
        <v>30058</v>
      </c>
      <c r="H8565" t="s">
        <v>15498</v>
      </c>
      <c r="I8565" t="s">
        <v>30079</v>
      </c>
      <c r="J8565" t="s">
        <v>35413</v>
      </c>
      <c r="K8565" t="s">
        <v>39029</v>
      </c>
      <c r="M8565" t="s">
        <v>40517</v>
      </c>
      <c r="N8565" t="s">
        <v>43166</v>
      </c>
      <c r="O8565" t="s">
        <v>43167</v>
      </c>
      <c r="P8565">
        <v>0</v>
      </c>
      <c r="Q8565">
        <v>1</v>
      </c>
      <c r="R8565" t="s">
        <v>43174</v>
      </c>
      <c r="S8565" t="s">
        <v>43396</v>
      </c>
      <c r="T8565" t="s">
        <v>44750</v>
      </c>
      <c r="U8565" t="s">
        <v>52075</v>
      </c>
      <c r="W8565" t="s">
        <v>40517</v>
      </c>
      <c r="X8565" t="s">
        <v>43175</v>
      </c>
    </row>
    <row r="8566" spans="1:24">
      <c r="A8566">
        <f>HYPERLINK("https://www.philgeps.gov.ph/GEPSNONPILOT/Tender/SplashBidNoticeAbstractUI.aspx?menuIndex=3&amp;refID=7074783&amp;Result=3","7074783")</f>
        <v>0</v>
      </c>
      <c r="B8566" t="s">
        <v>2476</v>
      </c>
      <c r="C8566" t="s">
        <v>11575</v>
      </c>
      <c r="D8566" t="s">
        <v>17472</v>
      </c>
      <c r="E8566" t="s">
        <v>24450</v>
      </c>
      <c r="F8566" t="s">
        <v>30052</v>
      </c>
      <c r="G8566" t="s">
        <v>30058</v>
      </c>
      <c r="H8566" t="s">
        <v>15498</v>
      </c>
      <c r="I8566" t="s">
        <v>3736</v>
      </c>
      <c r="J8566" t="s">
        <v>35414</v>
      </c>
      <c r="K8566" t="s">
        <v>39019</v>
      </c>
      <c r="M8566" t="s">
        <v>41976</v>
      </c>
      <c r="N8566" t="s">
        <v>43166</v>
      </c>
      <c r="O8566" t="s">
        <v>43167</v>
      </c>
      <c r="P8566">
        <v>0</v>
      </c>
      <c r="Q8566">
        <v>3</v>
      </c>
      <c r="R8566" t="s">
        <v>43174</v>
      </c>
      <c r="S8566" t="s">
        <v>43396</v>
      </c>
      <c r="T8566" t="s">
        <v>44711</v>
      </c>
      <c r="U8566" t="s">
        <v>52076</v>
      </c>
      <c r="W8566" t="s">
        <v>41976</v>
      </c>
      <c r="X8566" t="s">
        <v>43175</v>
      </c>
    </row>
    <row r="8567" spans="1:24">
      <c r="A8567">
        <f>HYPERLINK("https://www.philgeps.gov.ph/GEPSNONPILOT/Tender/SplashBidNoticeAbstractUI.aspx?menuIndex=3&amp;refID=7074834&amp;Result=3","7074834")</f>
        <v>0</v>
      </c>
      <c r="B8567" t="s">
        <v>592</v>
      </c>
      <c r="C8567" t="s">
        <v>11576</v>
      </c>
      <c r="D8567" t="s">
        <v>17461</v>
      </c>
      <c r="E8567" t="s">
        <v>24875</v>
      </c>
      <c r="F8567" t="s">
        <v>30052</v>
      </c>
      <c r="G8567" t="s">
        <v>30058</v>
      </c>
      <c r="H8567" t="s">
        <v>15498</v>
      </c>
      <c r="I8567" t="s">
        <v>30137</v>
      </c>
      <c r="J8567" t="s">
        <v>32313</v>
      </c>
      <c r="K8567" t="s">
        <v>39025</v>
      </c>
      <c r="M8567" t="s">
        <v>41301</v>
      </c>
      <c r="N8567" t="s">
        <v>43166</v>
      </c>
      <c r="O8567" t="s">
        <v>43167</v>
      </c>
      <c r="P8567">
        <v>0</v>
      </c>
      <c r="Q8567">
        <v>0</v>
      </c>
      <c r="R8567" t="s">
        <v>43174</v>
      </c>
      <c r="S8567" t="s">
        <v>43396</v>
      </c>
      <c r="T8567" t="s">
        <v>44678</v>
      </c>
      <c r="U8567" t="s">
        <v>52077</v>
      </c>
      <c r="W8567" t="s">
        <v>41301</v>
      </c>
      <c r="X8567" t="s">
        <v>43175</v>
      </c>
    </row>
    <row r="8568" spans="1:24">
      <c r="A8568">
        <f>HYPERLINK("https://www.philgeps.gov.ph/GEPSNONPILOT/Tender/SplashBidNoticeAbstractUI.aspx?menuIndex=3&amp;refID=7074857&amp;Result=3","7074857")</f>
        <v>0</v>
      </c>
      <c r="B8568" t="s">
        <v>2568</v>
      </c>
      <c r="C8568" t="s">
        <v>11577</v>
      </c>
      <c r="D8568" t="s">
        <v>17422</v>
      </c>
      <c r="E8568" t="s">
        <v>11577</v>
      </c>
      <c r="F8568" t="s">
        <v>30052</v>
      </c>
      <c r="G8568" t="s">
        <v>30059</v>
      </c>
      <c r="H8568" t="s">
        <v>15498</v>
      </c>
      <c r="I8568" t="s">
        <v>30070</v>
      </c>
      <c r="J8568" t="s">
        <v>34636</v>
      </c>
      <c r="K8568" t="s">
        <v>39017</v>
      </c>
      <c r="M8568" t="s">
        <v>42075</v>
      </c>
      <c r="N8568" t="s">
        <v>43166</v>
      </c>
      <c r="O8568" t="s">
        <v>43167</v>
      </c>
      <c r="P8568">
        <v>0</v>
      </c>
      <c r="Q8568">
        <v>0</v>
      </c>
      <c r="R8568" t="s">
        <v>43174</v>
      </c>
      <c r="S8568" t="s">
        <v>43396</v>
      </c>
      <c r="T8568" t="s">
        <v>44844</v>
      </c>
      <c r="U8568" t="s">
        <v>52078</v>
      </c>
      <c r="W8568" t="s">
        <v>42075</v>
      </c>
      <c r="X8568" t="s">
        <v>43175</v>
      </c>
    </row>
    <row r="8569" spans="1:24">
      <c r="A8569">
        <f>HYPERLINK("https://www.philgeps.gov.ph/GEPSNONPILOT/Tender/SplashBidNoticeAbstractUI.aspx?menuIndex=3&amp;refID=7074760&amp;Result=3","7074760")</f>
        <v>0</v>
      </c>
      <c r="B8569" t="s">
        <v>2574</v>
      </c>
      <c r="C8569" t="s">
        <v>11578</v>
      </c>
      <c r="D8569" t="s">
        <v>17455</v>
      </c>
      <c r="E8569" t="s">
        <v>24876</v>
      </c>
      <c r="F8569" t="s">
        <v>30052</v>
      </c>
      <c r="G8569" t="s">
        <v>30059</v>
      </c>
      <c r="H8569" t="s">
        <v>30069</v>
      </c>
      <c r="I8569" t="s">
        <v>30070</v>
      </c>
      <c r="J8569" t="s">
        <v>35415</v>
      </c>
      <c r="K8569" t="s">
        <v>39129</v>
      </c>
      <c r="M8569" t="s">
        <v>42081</v>
      </c>
      <c r="N8569" t="s">
        <v>43166</v>
      </c>
      <c r="O8569" t="s">
        <v>43167</v>
      </c>
      <c r="P8569">
        <v>0</v>
      </c>
      <c r="Q8569">
        <v>3</v>
      </c>
      <c r="R8569" t="s">
        <v>43174</v>
      </c>
      <c r="S8569" t="s">
        <v>43396</v>
      </c>
      <c r="T8569" t="s">
        <v>44777</v>
      </c>
      <c r="U8569" t="s">
        <v>52033</v>
      </c>
      <c r="W8569" t="s">
        <v>42081</v>
      </c>
      <c r="X8569" t="s">
        <v>43175</v>
      </c>
    </row>
    <row r="8570" spans="1:24">
      <c r="A8570">
        <f>HYPERLINK("https://www.philgeps.gov.ph/GEPSNONPILOT/Tender/SplashBidNoticeAbstractUI.aspx?menuIndex=3&amp;refID=7074837&amp;Result=3","7074837")</f>
        <v>0</v>
      </c>
      <c r="B8570" t="s">
        <v>2212</v>
      </c>
      <c r="C8570" t="s">
        <v>11579</v>
      </c>
      <c r="D8570" t="s">
        <v>17478</v>
      </c>
      <c r="E8570" t="s">
        <v>24877</v>
      </c>
      <c r="F8570" t="s">
        <v>30052</v>
      </c>
      <c r="G8570" t="s">
        <v>30058</v>
      </c>
      <c r="H8570" t="s">
        <v>30067</v>
      </c>
      <c r="I8570" t="s">
        <v>3693</v>
      </c>
      <c r="J8570" t="s">
        <v>35416</v>
      </c>
      <c r="K8570" t="s">
        <v>39025</v>
      </c>
      <c r="L8570" t="s">
        <v>2212</v>
      </c>
      <c r="M8570" t="s">
        <v>41682</v>
      </c>
      <c r="N8570" t="s">
        <v>43166</v>
      </c>
      <c r="O8570" t="s">
        <v>43167</v>
      </c>
      <c r="P8570">
        <v>0</v>
      </c>
      <c r="Q8570">
        <v>0</v>
      </c>
      <c r="R8570" t="s">
        <v>43174</v>
      </c>
      <c r="S8570" t="s">
        <v>43396</v>
      </c>
      <c r="T8570" t="s">
        <v>44965</v>
      </c>
      <c r="U8570" t="s">
        <v>52079</v>
      </c>
      <c r="W8570" t="s">
        <v>41682</v>
      </c>
      <c r="X8570" t="s">
        <v>43175</v>
      </c>
    </row>
    <row r="8571" spans="1:24">
      <c r="A8571">
        <f>HYPERLINK("https://www.philgeps.gov.ph/GEPSNONPILOT/Tender/SplashBidNoticeAbstractUI.aspx?menuIndex=3&amp;refID=7074858&amp;Result=3","7074858")</f>
        <v>0</v>
      </c>
      <c r="B8571" t="s">
        <v>2585</v>
      </c>
      <c r="C8571" t="s">
        <v>11580</v>
      </c>
      <c r="D8571" t="s">
        <v>17428</v>
      </c>
      <c r="E8571" t="s">
        <v>24878</v>
      </c>
      <c r="F8571" t="s">
        <v>30052</v>
      </c>
      <c r="G8571" t="s">
        <v>30059</v>
      </c>
      <c r="H8571" t="s">
        <v>15498</v>
      </c>
      <c r="I8571" t="s">
        <v>3852</v>
      </c>
      <c r="J8571" t="s">
        <v>35417</v>
      </c>
      <c r="K8571" t="s">
        <v>39036</v>
      </c>
      <c r="M8571" t="s">
        <v>42096</v>
      </c>
      <c r="N8571" t="s">
        <v>43166</v>
      </c>
      <c r="O8571" t="s">
        <v>43167</v>
      </c>
      <c r="P8571">
        <v>0</v>
      </c>
      <c r="Q8571">
        <v>0</v>
      </c>
      <c r="R8571" t="s">
        <v>43174</v>
      </c>
      <c r="S8571" t="s">
        <v>43396</v>
      </c>
      <c r="T8571" t="s">
        <v>44717</v>
      </c>
      <c r="U8571" t="s">
        <v>52080</v>
      </c>
      <c r="W8571" t="s">
        <v>42096</v>
      </c>
      <c r="X8571" t="s">
        <v>43175</v>
      </c>
    </row>
    <row r="8572" spans="1:24">
      <c r="A8572">
        <f>HYPERLINK("https://www.philgeps.gov.ph/GEPSNONPILOT/Tender/SplashBidNoticeAbstractUI.aspx?menuIndex=3&amp;refID=7074859&amp;Result=3","7074859")</f>
        <v>0</v>
      </c>
      <c r="B8572" t="s">
        <v>592</v>
      </c>
      <c r="C8572" t="s">
        <v>11581</v>
      </c>
      <c r="D8572" t="s">
        <v>17461</v>
      </c>
      <c r="E8572" t="s">
        <v>24879</v>
      </c>
      <c r="F8572" t="s">
        <v>30052</v>
      </c>
      <c r="G8572" t="s">
        <v>30058</v>
      </c>
      <c r="H8572" t="s">
        <v>15498</v>
      </c>
      <c r="I8572" t="s">
        <v>30094</v>
      </c>
      <c r="J8572" t="s">
        <v>34965</v>
      </c>
      <c r="K8572" t="s">
        <v>39029</v>
      </c>
      <c r="M8572" t="s">
        <v>41301</v>
      </c>
      <c r="N8572" t="s">
        <v>43166</v>
      </c>
      <c r="O8572" t="s">
        <v>43167</v>
      </c>
      <c r="P8572">
        <v>0</v>
      </c>
      <c r="Q8572">
        <v>0</v>
      </c>
      <c r="R8572" t="s">
        <v>43174</v>
      </c>
      <c r="S8572" t="s">
        <v>43396</v>
      </c>
      <c r="T8572" t="s">
        <v>44678</v>
      </c>
      <c r="U8572" t="s">
        <v>52081</v>
      </c>
      <c r="W8572" t="s">
        <v>41301</v>
      </c>
      <c r="X8572" t="s">
        <v>43175</v>
      </c>
    </row>
    <row r="8573" spans="1:24">
      <c r="A8573">
        <f>HYPERLINK("https://www.philgeps.gov.ph/GEPSNONPILOT/Tender/SplashBidNoticeAbstractUI.aspx?menuIndex=3&amp;refID=7074853&amp;Result=3","7074853")</f>
        <v>0</v>
      </c>
      <c r="B8573" t="s">
        <v>1772</v>
      </c>
      <c r="C8573" t="s">
        <v>11582</v>
      </c>
      <c r="D8573" t="s">
        <v>17425</v>
      </c>
      <c r="E8573" t="s">
        <v>24880</v>
      </c>
      <c r="F8573" t="s">
        <v>30052</v>
      </c>
      <c r="G8573" t="s">
        <v>30061</v>
      </c>
      <c r="H8573" t="s">
        <v>15498</v>
      </c>
      <c r="I8573" t="s">
        <v>30074</v>
      </c>
      <c r="J8573" t="s">
        <v>30256</v>
      </c>
      <c r="K8573" t="s">
        <v>39025</v>
      </c>
      <c r="M8573" t="s">
        <v>41192</v>
      </c>
      <c r="N8573" t="s">
        <v>43166</v>
      </c>
      <c r="O8573" t="s">
        <v>43167</v>
      </c>
      <c r="P8573">
        <v>0</v>
      </c>
      <c r="Q8573">
        <v>0</v>
      </c>
      <c r="R8573" t="s">
        <v>43174</v>
      </c>
      <c r="S8573" t="s">
        <v>43396</v>
      </c>
      <c r="T8573" t="s">
        <v>44773</v>
      </c>
      <c r="U8573" t="s">
        <v>52082</v>
      </c>
      <c r="W8573" t="s">
        <v>58655</v>
      </c>
      <c r="X8573" t="s">
        <v>43175</v>
      </c>
    </row>
    <row r="8574" spans="1:24">
      <c r="A8574">
        <f>HYPERLINK("https://www.philgeps.gov.ph/GEPSNONPILOT/Tender/SplashBidNoticeAbstractUI.aspx?menuIndex=3&amp;refID=7074778&amp;Result=3","7074778")</f>
        <v>0</v>
      </c>
      <c r="B8574" t="s">
        <v>2581</v>
      </c>
      <c r="C8574" t="s">
        <v>8315</v>
      </c>
      <c r="D8574" t="s">
        <v>17441</v>
      </c>
      <c r="E8574" t="s">
        <v>24881</v>
      </c>
      <c r="F8574" t="s">
        <v>30052</v>
      </c>
      <c r="G8574" t="s">
        <v>30058</v>
      </c>
      <c r="H8574" t="s">
        <v>15498</v>
      </c>
      <c r="I8574" t="s">
        <v>3606</v>
      </c>
      <c r="J8574" t="s">
        <v>30230</v>
      </c>
      <c r="K8574" t="s">
        <v>39025</v>
      </c>
      <c r="M8574" t="s">
        <v>42089</v>
      </c>
      <c r="N8574" t="s">
        <v>43166</v>
      </c>
      <c r="O8574" t="s">
        <v>43167</v>
      </c>
      <c r="P8574">
        <v>0</v>
      </c>
      <c r="Q8574">
        <v>1</v>
      </c>
      <c r="R8574" t="s">
        <v>43174</v>
      </c>
      <c r="S8574" t="s">
        <v>43396</v>
      </c>
      <c r="T8574" t="s">
        <v>44837</v>
      </c>
      <c r="U8574" t="s">
        <v>52083</v>
      </c>
      <c r="V8574" t="s">
        <v>57729</v>
      </c>
      <c r="W8574" t="s">
        <v>42089</v>
      </c>
      <c r="X8574" t="s">
        <v>43175</v>
      </c>
    </row>
    <row r="8575" spans="1:24">
      <c r="A8575">
        <f>HYPERLINK("https://www.philgeps.gov.ph/GEPSNONPILOT/Tender/SplashBidNoticeAbstractUI.aspx?menuIndex=3&amp;refID=7074867&amp;Result=3","7074867")</f>
        <v>0</v>
      </c>
      <c r="B8575" t="s">
        <v>1429</v>
      </c>
      <c r="C8575" t="s">
        <v>11583</v>
      </c>
      <c r="D8575" t="s">
        <v>17432</v>
      </c>
      <c r="E8575" t="s">
        <v>24882</v>
      </c>
      <c r="F8575" t="s">
        <v>30052</v>
      </c>
      <c r="G8575" t="s">
        <v>30059</v>
      </c>
      <c r="H8575" t="s">
        <v>15498</v>
      </c>
      <c r="I8575" t="s">
        <v>30073</v>
      </c>
      <c r="J8575" t="s">
        <v>30605</v>
      </c>
      <c r="K8575" t="s">
        <v>39017</v>
      </c>
      <c r="M8575" t="s">
        <v>40807</v>
      </c>
      <c r="N8575" t="s">
        <v>43166</v>
      </c>
      <c r="O8575" t="s">
        <v>43167</v>
      </c>
      <c r="P8575">
        <v>0</v>
      </c>
      <c r="Q8575">
        <v>0</v>
      </c>
      <c r="R8575" t="s">
        <v>43174</v>
      </c>
      <c r="S8575" t="s">
        <v>43396</v>
      </c>
      <c r="T8575" t="s">
        <v>44717</v>
      </c>
      <c r="U8575" t="s">
        <v>48399</v>
      </c>
      <c r="W8575" t="s">
        <v>40807</v>
      </c>
      <c r="X8575" t="s">
        <v>43175</v>
      </c>
    </row>
    <row r="8576" spans="1:24">
      <c r="A8576">
        <f>HYPERLINK("https://www.philgeps.gov.ph/GEPSNONPILOT/Tender/SplashBidNoticeAbstractUI.aspx?menuIndex=3&amp;refID=7074840&amp;Result=3","7074840")</f>
        <v>0</v>
      </c>
      <c r="B8576" t="s">
        <v>2586</v>
      </c>
      <c r="C8576" t="s">
        <v>11584</v>
      </c>
      <c r="D8576" t="s">
        <v>17414</v>
      </c>
      <c r="E8576" t="s">
        <v>24883</v>
      </c>
      <c r="F8576" t="s">
        <v>30052</v>
      </c>
      <c r="G8576" t="s">
        <v>30058</v>
      </c>
      <c r="H8576" t="s">
        <v>15498</v>
      </c>
      <c r="I8576" t="s">
        <v>3736</v>
      </c>
      <c r="J8576" t="s">
        <v>35418</v>
      </c>
      <c r="K8576" t="s">
        <v>39017</v>
      </c>
      <c r="M8576" t="s">
        <v>42097</v>
      </c>
      <c r="N8576" t="s">
        <v>43166</v>
      </c>
      <c r="O8576" t="s">
        <v>43167</v>
      </c>
      <c r="P8576">
        <v>0</v>
      </c>
      <c r="Q8576">
        <v>0</v>
      </c>
      <c r="R8576" t="s">
        <v>43174</v>
      </c>
      <c r="S8576" t="s">
        <v>43396</v>
      </c>
      <c r="T8576" t="s">
        <v>44717</v>
      </c>
      <c r="U8576" t="s">
        <v>52084</v>
      </c>
      <c r="W8576" t="s">
        <v>42097</v>
      </c>
      <c r="X8576" t="s">
        <v>43175</v>
      </c>
    </row>
    <row r="8577" spans="1:24">
      <c r="A8577">
        <f>HYPERLINK("https://www.philgeps.gov.ph/GEPSNONPILOT/Tender/SplashBidNoticeAbstractUI.aspx?menuIndex=3&amp;refID=7074864&amp;Result=3","7074864")</f>
        <v>0</v>
      </c>
      <c r="B8577" t="s">
        <v>2587</v>
      </c>
      <c r="C8577" t="s">
        <v>11585</v>
      </c>
      <c r="D8577" t="s">
        <v>17441</v>
      </c>
      <c r="E8577" t="s">
        <v>24884</v>
      </c>
      <c r="F8577" t="s">
        <v>30052</v>
      </c>
      <c r="G8577" t="s">
        <v>30058</v>
      </c>
      <c r="H8577" t="s">
        <v>30067</v>
      </c>
      <c r="I8577" t="s">
        <v>3693</v>
      </c>
      <c r="J8577" t="s">
        <v>35419</v>
      </c>
      <c r="K8577" t="s">
        <v>39025</v>
      </c>
      <c r="M8577" t="s">
        <v>42098</v>
      </c>
      <c r="N8577" t="s">
        <v>43166</v>
      </c>
      <c r="O8577" t="s">
        <v>43167</v>
      </c>
      <c r="P8577">
        <v>0</v>
      </c>
      <c r="Q8577">
        <v>2</v>
      </c>
      <c r="R8577" t="s">
        <v>43174</v>
      </c>
      <c r="S8577" t="s">
        <v>43396</v>
      </c>
      <c r="T8577" t="s">
        <v>44837</v>
      </c>
      <c r="U8577" t="s">
        <v>52085</v>
      </c>
      <c r="V8577" t="s">
        <v>57640</v>
      </c>
      <c r="W8577" t="s">
        <v>42098</v>
      </c>
      <c r="X8577" t="s">
        <v>43175</v>
      </c>
    </row>
    <row r="8578" spans="1:24">
      <c r="A8578">
        <f>HYPERLINK("https://www.philgeps.gov.ph/GEPSNONPILOT/Tender/SplashBidNoticeAbstractUI.aspx?menuIndex=3&amp;refID=7074849&amp;Result=3","7074849")</f>
        <v>0</v>
      </c>
      <c r="B8578" t="s">
        <v>1711</v>
      </c>
      <c r="C8578" t="s">
        <v>11586</v>
      </c>
      <c r="D8578" t="s">
        <v>17465</v>
      </c>
      <c r="E8578" t="s">
        <v>24885</v>
      </c>
      <c r="F8578" t="s">
        <v>30052</v>
      </c>
      <c r="G8578" t="s">
        <v>30058</v>
      </c>
      <c r="H8578" t="s">
        <v>15498</v>
      </c>
      <c r="I8578" t="s">
        <v>7228</v>
      </c>
      <c r="J8578" t="s">
        <v>35420</v>
      </c>
      <c r="K8578" t="s">
        <v>39034</v>
      </c>
      <c r="L8578" t="s">
        <v>1711</v>
      </c>
      <c r="M8578" t="s">
        <v>41126</v>
      </c>
      <c r="N8578" t="s">
        <v>43166</v>
      </c>
      <c r="O8578" t="s">
        <v>43167</v>
      </c>
      <c r="P8578">
        <v>0</v>
      </c>
      <c r="Q8578">
        <v>1</v>
      </c>
      <c r="R8578" t="s">
        <v>43174</v>
      </c>
      <c r="S8578" t="s">
        <v>43396</v>
      </c>
      <c r="T8578" t="s">
        <v>44832</v>
      </c>
      <c r="U8578" t="s">
        <v>52086</v>
      </c>
      <c r="V8578" t="s">
        <v>57730</v>
      </c>
      <c r="W8578" t="s">
        <v>41126</v>
      </c>
      <c r="X8578" t="s">
        <v>43175</v>
      </c>
    </row>
    <row r="8579" spans="1:24">
      <c r="A8579">
        <f>HYPERLINK("https://www.philgeps.gov.ph/GEPSNONPILOT/Tender/SplashBidNoticeAbstractUI.aspx?menuIndex=3&amp;refID=7074848&amp;Result=3","7074848")</f>
        <v>0</v>
      </c>
      <c r="B8579" t="s">
        <v>2098</v>
      </c>
      <c r="C8579" t="s">
        <v>11551</v>
      </c>
      <c r="D8579" t="s">
        <v>17414</v>
      </c>
      <c r="E8579" t="s">
        <v>24886</v>
      </c>
      <c r="F8579" t="s">
        <v>30052</v>
      </c>
      <c r="G8579" t="s">
        <v>30059</v>
      </c>
      <c r="H8579" t="s">
        <v>15498</v>
      </c>
      <c r="I8579" t="s">
        <v>30073</v>
      </c>
      <c r="J8579" t="s">
        <v>30252</v>
      </c>
      <c r="K8579" t="s">
        <v>39017</v>
      </c>
      <c r="M8579" t="s">
        <v>42002</v>
      </c>
      <c r="N8579" t="s">
        <v>43166</v>
      </c>
      <c r="O8579" t="s">
        <v>43167</v>
      </c>
      <c r="P8579">
        <v>0</v>
      </c>
      <c r="Q8579">
        <v>0</v>
      </c>
      <c r="R8579" t="s">
        <v>43174</v>
      </c>
      <c r="S8579" t="s">
        <v>43396</v>
      </c>
      <c r="T8579" t="s">
        <v>44777</v>
      </c>
      <c r="U8579" t="s">
        <v>52087</v>
      </c>
      <c r="W8579" t="s">
        <v>42002</v>
      </c>
      <c r="X8579" t="s">
        <v>43175</v>
      </c>
    </row>
    <row r="8580" spans="1:24">
      <c r="A8580">
        <f>HYPERLINK("https://www.philgeps.gov.ph/GEPSNONPILOT/Tender/SplashBidNoticeAbstractUI.aspx?menuIndex=3&amp;refID=7074847&amp;Result=3","7074847")</f>
        <v>0</v>
      </c>
      <c r="B8580" t="s">
        <v>2588</v>
      </c>
      <c r="C8580" t="s">
        <v>11587</v>
      </c>
      <c r="D8580" t="s">
        <v>17435</v>
      </c>
      <c r="E8580" t="s">
        <v>24887</v>
      </c>
      <c r="F8580" t="s">
        <v>30052</v>
      </c>
      <c r="G8580" t="s">
        <v>30058</v>
      </c>
      <c r="H8580" t="s">
        <v>30067</v>
      </c>
      <c r="I8580" t="s">
        <v>30152</v>
      </c>
      <c r="J8580" t="s">
        <v>35421</v>
      </c>
      <c r="K8580" t="s">
        <v>39206</v>
      </c>
      <c r="M8580" t="s">
        <v>42099</v>
      </c>
      <c r="N8580" t="s">
        <v>43166</v>
      </c>
      <c r="O8580" t="s">
        <v>43167</v>
      </c>
      <c r="P8580">
        <v>0</v>
      </c>
      <c r="Q8580">
        <v>0</v>
      </c>
      <c r="R8580" t="s">
        <v>43174</v>
      </c>
      <c r="S8580" t="s">
        <v>43396</v>
      </c>
      <c r="T8580" t="s">
        <v>44800</v>
      </c>
      <c r="U8580" t="s">
        <v>52088</v>
      </c>
      <c r="V8580" t="s">
        <v>57731</v>
      </c>
      <c r="W8580" t="s">
        <v>42099</v>
      </c>
      <c r="X8580" t="s">
        <v>43175</v>
      </c>
    </row>
    <row r="8581" spans="1:24">
      <c r="A8581">
        <f>HYPERLINK("https://www.philgeps.gov.ph/GEPSNONPILOT/Tender/SplashBidNoticeAbstractUI.aspx?menuIndex=3&amp;refID=7074846&amp;Result=3","7074846")</f>
        <v>0</v>
      </c>
      <c r="B8581" t="s">
        <v>592</v>
      </c>
      <c r="C8581" t="s">
        <v>11588</v>
      </c>
      <c r="D8581" t="s">
        <v>17461</v>
      </c>
      <c r="E8581" t="s">
        <v>11588</v>
      </c>
      <c r="F8581" t="s">
        <v>30052</v>
      </c>
      <c r="G8581" t="s">
        <v>30058</v>
      </c>
      <c r="H8581" t="s">
        <v>15498</v>
      </c>
      <c r="I8581" t="s">
        <v>8323</v>
      </c>
      <c r="J8581" t="s">
        <v>31033</v>
      </c>
      <c r="K8581" t="s">
        <v>39029</v>
      </c>
      <c r="M8581" t="s">
        <v>41301</v>
      </c>
      <c r="N8581" t="s">
        <v>43166</v>
      </c>
      <c r="O8581" t="s">
        <v>43167</v>
      </c>
      <c r="P8581">
        <v>0</v>
      </c>
      <c r="Q8581">
        <v>2</v>
      </c>
      <c r="R8581" t="s">
        <v>43174</v>
      </c>
      <c r="S8581" t="s">
        <v>43396</v>
      </c>
      <c r="T8581" t="s">
        <v>44678</v>
      </c>
      <c r="U8581" t="s">
        <v>52089</v>
      </c>
      <c r="W8581" t="s">
        <v>41301</v>
      </c>
      <c r="X8581" t="s">
        <v>43175</v>
      </c>
    </row>
    <row r="8582" spans="1:24">
      <c r="A8582">
        <f>HYPERLINK("https://www.philgeps.gov.ph/GEPSNONPILOT/Tender/SplashBidNoticeAbstractUI.aspx?menuIndex=3&amp;refID=7074843&amp;Result=3","7074843")</f>
        <v>0</v>
      </c>
      <c r="B8582" t="s">
        <v>1772</v>
      </c>
      <c r="C8582" t="s">
        <v>11589</v>
      </c>
      <c r="D8582" t="s">
        <v>17425</v>
      </c>
      <c r="E8582" t="s">
        <v>24888</v>
      </c>
      <c r="F8582" t="s">
        <v>30052</v>
      </c>
      <c r="G8582" t="s">
        <v>30061</v>
      </c>
      <c r="H8582" t="s">
        <v>15498</v>
      </c>
      <c r="I8582" t="s">
        <v>30084</v>
      </c>
      <c r="J8582" t="s">
        <v>32922</v>
      </c>
      <c r="K8582" t="s">
        <v>39025</v>
      </c>
      <c r="M8582" t="s">
        <v>41192</v>
      </c>
      <c r="N8582" t="s">
        <v>43166</v>
      </c>
      <c r="O8582" t="s">
        <v>43167</v>
      </c>
      <c r="P8582">
        <v>0</v>
      </c>
      <c r="Q8582">
        <v>2</v>
      </c>
      <c r="R8582" t="s">
        <v>43174</v>
      </c>
      <c r="S8582" t="s">
        <v>43396</v>
      </c>
      <c r="T8582" t="s">
        <v>44773</v>
      </c>
      <c r="U8582" t="s">
        <v>52090</v>
      </c>
      <c r="W8582" t="s">
        <v>58655</v>
      </c>
      <c r="X8582" t="s">
        <v>43175</v>
      </c>
    </row>
    <row r="8583" spans="1:24">
      <c r="A8583">
        <f>HYPERLINK("https://www.philgeps.gov.ph/GEPSNONPILOT/Tender/SplashBidNoticeAbstractUI.aspx?menuIndex=3&amp;refID=7074839&amp;Result=3","7074839")</f>
        <v>0</v>
      </c>
      <c r="B8583" t="s">
        <v>1468</v>
      </c>
      <c r="C8583" t="s">
        <v>11590</v>
      </c>
      <c r="D8583" t="s">
        <v>17423</v>
      </c>
      <c r="E8583" t="s">
        <v>24889</v>
      </c>
      <c r="F8583" t="s">
        <v>30052</v>
      </c>
      <c r="G8583" t="s">
        <v>30059</v>
      </c>
      <c r="H8583" t="s">
        <v>15498</v>
      </c>
      <c r="I8583" t="s">
        <v>30078</v>
      </c>
      <c r="J8583" t="s">
        <v>35422</v>
      </c>
      <c r="K8583" t="s">
        <v>39029</v>
      </c>
      <c r="M8583" t="s">
        <v>40850</v>
      </c>
      <c r="N8583" t="s">
        <v>43166</v>
      </c>
      <c r="O8583" t="s">
        <v>43167</v>
      </c>
      <c r="P8583">
        <v>0</v>
      </c>
      <c r="Q8583">
        <v>0</v>
      </c>
      <c r="R8583" t="s">
        <v>43174</v>
      </c>
      <c r="S8583" t="s">
        <v>43396</v>
      </c>
      <c r="T8583" t="s">
        <v>45083</v>
      </c>
      <c r="U8583" t="s">
        <v>52091</v>
      </c>
      <c r="V8583" t="s">
        <v>57732</v>
      </c>
      <c r="W8583" t="s">
        <v>40850</v>
      </c>
      <c r="X8583" t="s">
        <v>43175</v>
      </c>
    </row>
    <row r="8584" spans="1:24">
      <c r="A8584">
        <f>HYPERLINK("https://www.philgeps.gov.ph/GEPSNONPILOT/Tender/SplashBidNoticeAbstractUI.aspx?menuIndex=3&amp;refID=7074856&amp;Result=3","7074856")</f>
        <v>0</v>
      </c>
      <c r="B8584" t="s">
        <v>2589</v>
      </c>
      <c r="C8584" t="s">
        <v>11591</v>
      </c>
      <c r="D8584" t="s">
        <v>17415</v>
      </c>
      <c r="E8584" t="s">
        <v>18468</v>
      </c>
      <c r="F8584" t="s">
        <v>30052</v>
      </c>
      <c r="G8584" t="s">
        <v>30058</v>
      </c>
      <c r="H8584" t="s">
        <v>15498</v>
      </c>
      <c r="I8584" t="s">
        <v>3852</v>
      </c>
      <c r="J8584" t="s">
        <v>35423</v>
      </c>
      <c r="K8584" t="s">
        <v>39036</v>
      </c>
      <c r="M8584" t="s">
        <v>42100</v>
      </c>
      <c r="N8584" t="s">
        <v>43166</v>
      </c>
      <c r="O8584" t="s">
        <v>43167</v>
      </c>
      <c r="P8584">
        <v>0</v>
      </c>
      <c r="Q8584">
        <v>3</v>
      </c>
      <c r="R8584" t="s">
        <v>43174</v>
      </c>
      <c r="S8584" t="s">
        <v>43396</v>
      </c>
      <c r="T8584" t="s">
        <v>44870</v>
      </c>
      <c r="U8584" t="s">
        <v>52092</v>
      </c>
      <c r="W8584" t="s">
        <v>42100</v>
      </c>
      <c r="X8584" t="s">
        <v>43175</v>
      </c>
    </row>
    <row r="8585" spans="1:24">
      <c r="A8585">
        <f>HYPERLINK("https://www.philgeps.gov.ph/GEPSNONPILOT/Tender/SplashBidNoticeAbstractUI.aspx?menuIndex=3&amp;refID=7074844&amp;Result=3","7074844")</f>
        <v>0</v>
      </c>
      <c r="B8585" t="s">
        <v>2587</v>
      </c>
      <c r="C8585" t="s">
        <v>11592</v>
      </c>
      <c r="D8585" t="s">
        <v>17441</v>
      </c>
      <c r="E8585" t="s">
        <v>24890</v>
      </c>
      <c r="F8585" t="s">
        <v>30052</v>
      </c>
      <c r="G8585" t="s">
        <v>30058</v>
      </c>
      <c r="H8585" t="s">
        <v>30067</v>
      </c>
      <c r="I8585" t="s">
        <v>3693</v>
      </c>
      <c r="J8585" t="s">
        <v>35419</v>
      </c>
      <c r="K8585" t="s">
        <v>39025</v>
      </c>
      <c r="M8585" t="s">
        <v>42098</v>
      </c>
      <c r="N8585" t="s">
        <v>43166</v>
      </c>
      <c r="O8585" t="s">
        <v>43167</v>
      </c>
      <c r="P8585">
        <v>0</v>
      </c>
      <c r="Q8585">
        <v>2</v>
      </c>
      <c r="R8585" t="s">
        <v>43174</v>
      </c>
      <c r="S8585" t="s">
        <v>43396</v>
      </c>
      <c r="T8585" t="s">
        <v>44837</v>
      </c>
      <c r="U8585" t="s">
        <v>52093</v>
      </c>
      <c r="V8585" t="s">
        <v>57640</v>
      </c>
      <c r="W8585" t="s">
        <v>42098</v>
      </c>
      <c r="X8585" t="s">
        <v>43175</v>
      </c>
    </row>
    <row r="8586" spans="1:24">
      <c r="A8586">
        <f>HYPERLINK("https://www.philgeps.gov.ph/GEPSNONPILOT/Tender/SplashBidNoticeAbstractUI.aspx?menuIndex=3&amp;refID=7074866&amp;Result=3","7074866")</f>
        <v>0</v>
      </c>
      <c r="B8586" t="s">
        <v>2556</v>
      </c>
      <c r="C8586" t="s">
        <v>11593</v>
      </c>
      <c r="D8586" t="s">
        <v>17414</v>
      </c>
      <c r="E8586" t="s">
        <v>21166</v>
      </c>
      <c r="F8586" t="s">
        <v>30052</v>
      </c>
      <c r="G8586" t="s">
        <v>30058</v>
      </c>
      <c r="H8586" t="s">
        <v>15498</v>
      </c>
      <c r="I8586" t="s">
        <v>30125</v>
      </c>
      <c r="J8586" t="s">
        <v>30671</v>
      </c>
      <c r="K8586" t="s">
        <v>39017</v>
      </c>
      <c r="M8586" t="s">
        <v>42063</v>
      </c>
      <c r="N8586" t="s">
        <v>43166</v>
      </c>
      <c r="O8586" t="s">
        <v>43167</v>
      </c>
      <c r="P8586">
        <v>0</v>
      </c>
      <c r="Q8586">
        <v>1</v>
      </c>
      <c r="R8586" t="s">
        <v>43174</v>
      </c>
      <c r="S8586" t="s">
        <v>43396</v>
      </c>
      <c r="T8586" t="s">
        <v>44753</v>
      </c>
      <c r="U8586" t="s">
        <v>52094</v>
      </c>
      <c r="W8586" t="s">
        <v>42063</v>
      </c>
      <c r="X8586" t="s">
        <v>43175</v>
      </c>
    </row>
    <row r="8587" spans="1:24">
      <c r="A8587">
        <f>HYPERLINK("https://www.philgeps.gov.ph/GEPSNONPILOT/Tender/SplashBidNoticeAbstractUI.aspx?menuIndex=3&amp;refID=7074854&amp;Result=3","7074854")</f>
        <v>0</v>
      </c>
      <c r="B8587" t="s">
        <v>2590</v>
      </c>
      <c r="C8587" t="s">
        <v>11594</v>
      </c>
      <c r="D8587" t="s">
        <v>17450</v>
      </c>
      <c r="E8587" t="s">
        <v>17715</v>
      </c>
      <c r="F8587" t="s">
        <v>30052</v>
      </c>
      <c r="G8587" t="s">
        <v>30058</v>
      </c>
      <c r="H8587" t="s">
        <v>30067</v>
      </c>
      <c r="I8587" t="s">
        <v>3693</v>
      </c>
      <c r="J8587" t="s">
        <v>35424</v>
      </c>
      <c r="K8587" t="s">
        <v>39046</v>
      </c>
      <c r="M8587" t="s">
        <v>42101</v>
      </c>
      <c r="N8587" t="s">
        <v>43166</v>
      </c>
      <c r="O8587" t="s">
        <v>43167</v>
      </c>
      <c r="P8587">
        <v>0</v>
      </c>
      <c r="Q8587">
        <v>0</v>
      </c>
      <c r="R8587" t="s">
        <v>43174</v>
      </c>
      <c r="S8587" t="s">
        <v>43396</v>
      </c>
      <c r="T8587" t="s">
        <v>45098</v>
      </c>
      <c r="U8587" t="s">
        <v>52095</v>
      </c>
      <c r="V8587" t="s">
        <v>57702</v>
      </c>
      <c r="W8587" t="s">
        <v>42101</v>
      </c>
      <c r="X8587" t="s">
        <v>43175</v>
      </c>
    </row>
    <row r="8588" spans="1:24">
      <c r="A8588">
        <f>HYPERLINK("https://www.philgeps.gov.ph/GEPSNONPILOT/Tender/SplashBidNoticeAbstractUI.aspx?menuIndex=3&amp;refID=7074855&amp;Result=3","7074855")</f>
        <v>0</v>
      </c>
      <c r="B8588" t="s">
        <v>601</v>
      </c>
      <c r="C8588" t="s">
        <v>11595</v>
      </c>
      <c r="D8588" t="s">
        <v>17419</v>
      </c>
      <c r="E8588" t="s">
        <v>24891</v>
      </c>
      <c r="F8588" t="s">
        <v>30052</v>
      </c>
      <c r="G8588" t="s">
        <v>30058</v>
      </c>
      <c r="H8588" t="s">
        <v>15498</v>
      </c>
      <c r="I8588" t="s">
        <v>30072</v>
      </c>
      <c r="J8588" t="s">
        <v>35425</v>
      </c>
      <c r="K8588" t="s">
        <v>39025</v>
      </c>
      <c r="M8588" t="s">
        <v>39903</v>
      </c>
      <c r="N8588" t="s">
        <v>43166</v>
      </c>
      <c r="O8588" t="s">
        <v>43167</v>
      </c>
      <c r="P8588">
        <v>0</v>
      </c>
      <c r="Q8588">
        <v>1</v>
      </c>
      <c r="R8588" t="s">
        <v>43174</v>
      </c>
      <c r="S8588" t="s">
        <v>43396</v>
      </c>
      <c r="T8588" t="s">
        <v>44873</v>
      </c>
      <c r="U8588" t="s">
        <v>52096</v>
      </c>
      <c r="W8588" t="s">
        <v>39903</v>
      </c>
      <c r="X8588" t="s">
        <v>43175</v>
      </c>
    </row>
    <row r="8589" spans="1:24">
      <c r="A8589">
        <f>HYPERLINK("https://www.philgeps.gov.ph/GEPSNONPILOT/Tender/SplashBidNoticeAbstractUI.aspx?menuIndex=3&amp;refID=7074871&amp;Result=3","7074871")</f>
        <v>0</v>
      </c>
      <c r="B8589" t="s">
        <v>1772</v>
      </c>
      <c r="C8589" t="s">
        <v>11596</v>
      </c>
      <c r="D8589" t="s">
        <v>17425</v>
      </c>
      <c r="E8589" t="s">
        <v>24892</v>
      </c>
      <c r="F8589" t="s">
        <v>30052</v>
      </c>
      <c r="G8589" t="s">
        <v>30061</v>
      </c>
      <c r="H8589" t="s">
        <v>15498</v>
      </c>
      <c r="I8589" t="s">
        <v>30073</v>
      </c>
      <c r="J8589" t="s">
        <v>31727</v>
      </c>
      <c r="K8589" t="s">
        <v>39025</v>
      </c>
      <c r="M8589" t="s">
        <v>41192</v>
      </c>
      <c r="N8589" t="s">
        <v>43166</v>
      </c>
      <c r="O8589" t="s">
        <v>43167</v>
      </c>
      <c r="P8589">
        <v>0</v>
      </c>
      <c r="Q8589">
        <v>0</v>
      </c>
      <c r="R8589" t="s">
        <v>43174</v>
      </c>
      <c r="S8589" t="s">
        <v>43396</v>
      </c>
      <c r="T8589" t="s">
        <v>44773</v>
      </c>
      <c r="U8589" t="s">
        <v>52097</v>
      </c>
      <c r="W8589" t="s">
        <v>58655</v>
      </c>
      <c r="X8589" t="s">
        <v>43175</v>
      </c>
    </row>
    <row r="8590" spans="1:24">
      <c r="A8590">
        <f>HYPERLINK("https://www.philgeps.gov.ph/GEPSNONPILOT/Tender/SplashBidNoticeAbstractUI.aspx?menuIndex=3&amp;refID=7074908&amp;Result=3","7074908")</f>
        <v>0</v>
      </c>
      <c r="B8590" t="s">
        <v>1300</v>
      </c>
      <c r="C8590" t="s">
        <v>11597</v>
      </c>
      <c r="D8590" t="s">
        <v>17434</v>
      </c>
      <c r="E8590" t="s">
        <v>24893</v>
      </c>
      <c r="F8590" t="s">
        <v>30052</v>
      </c>
      <c r="G8590" t="s">
        <v>30058</v>
      </c>
      <c r="H8590" t="s">
        <v>30069</v>
      </c>
      <c r="I8590" t="s">
        <v>30075</v>
      </c>
      <c r="J8590" t="s">
        <v>35426</v>
      </c>
      <c r="K8590" t="s">
        <v>39031</v>
      </c>
      <c r="M8590" t="s">
        <v>40666</v>
      </c>
      <c r="N8590" t="s">
        <v>43166</v>
      </c>
      <c r="O8590" t="s">
        <v>43167</v>
      </c>
      <c r="P8590">
        <v>0</v>
      </c>
      <c r="Q8590">
        <v>5</v>
      </c>
      <c r="R8590" t="s">
        <v>43174</v>
      </c>
      <c r="S8590" t="s">
        <v>43396</v>
      </c>
      <c r="T8590" t="s">
        <v>44796</v>
      </c>
      <c r="U8590" t="s">
        <v>48064</v>
      </c>
      <c r="V8590" t="s">
        <v>57244</v>
      </c>
      <c r="W8590" t="s">
        <v>40666</v>
      </c>
      <c r="X8590" t="s">
        <v>43175</v>
      </c>
    </row>
    <row r="8591" spans="1:24">
      <c r="A8591">
        <f>HYPERLINK("https://www.philgeps.gov.ph/GEPSNONPILOT/Tender/SplashBidNoticeAbstractUI.aspx?menuIndex=3&amp;refID=7074901&amp;Result=3","7074901")</f>
        <v>0</v>
      </c>
      <c r="B8591" t="s">
        <v>592</v>
      </c>
      <c r="C8591" t="s">
        <v>11598</v>
      </c>
      <c r="D8591" t="s">
        <v>17461</v>
      </c>
      <c r="E8591" t="s">
        <v>11598</v>
      </c>
      <c r="F8591" t="s">
        <v>30052</v>
      </c>
      <c r="G8591" t="s">
        <v>30058</v>
      </c>
      <c r="H8591" t="s">
        <v>15498</v>
      </c>
      <c r="I8591" t="s">
        <v>30084</v>
      </c>
      <c r="J8591" t="s">
        <v>35427</v>
      </c>
      <c r="K8591" t="s">
        <v>39029</v>
      </c>
      <c r="M8591" t="s">
        <v>41301</v>
      </c>
      <c r="N8591" t="s">
        <v>43166</v>
      </c>
      <c r="O8591" t="s">
        <v>43167</v>
      </c>
      <c r="P8591">
        <v>0</v>
      </c>
      <c r="Q8591">
        <v>3</v>
      </c>
      <c r="R8591" t="s">
        <v>43174</v>
      </c>
      <c r="S8591" t="s">
        <v>43396</v>
      </c>
      <c r="T8591" t="s">
        <v>44678</v>
      </c>
      <c r="U8591" t="s">
        <v>52098</v>
      </c>
      <c r="W8591" t="s">
        <v>41301</v>
      </c>
      <c r="X8591" t="s">
        <v>43175</v>
      </c>
    </row>
    <row r="8592" spans="1:24">
      <c r="A8592">
        <f>HYPERLINK("https://www.philgeps.gov.ph/GEPSNONPILOT/Tender/SplashBidNoticeAbstractUI.aspx?menuIndex=3&amp;refID=7074910&amp;Result=3","7074910")</f>
        <v>0</v>
      </c>
      <c r="B8592" t="s">
        <v>1608</v>
      </c>
      <c r="C8592" t="s">
        <v>11599</v>
      </c>
      <c r="D8592" t="s">
        <v>17415</v>
      </c>
      <c r="E8592" t="s">
        <v>24894</v>
      </c>
      <c r="F8592" t="s">
        <v>30052</v>
      </c>
      <c r="G8592" t="s">
        <v>30058</v>
      </c>
      <c r="H8592" t="s">
        <v>15498</v>
      </c>
      <c r="I8592" t="s">
        <v>3852</v>
      </c>
      <c r="J8592" t="s">
        <v>30559</v>
      </c>
      <c r="K8592" t="s">
        <v>39019</v>
      </c>
      <c r="M8592" t="s">
        <v>41506</v>
      </c>
      <c r="N8592" t="s">
        <v>43166</v>
      </c>
      <c r="O8592" t="s">
        <v>43167</v>
      </c>
      <c r="P8592">
        <v>0</v>
      </c>
      <c r="Q8592">
        <v>1</v>
      </c>
      <c r="R8592" t="s">
        <v>43174</v>
      </c>
      <c r="S8592" t="s">
        <v>43396</v>
      </c>
      <c r="T8592" t="s">
        <v>44844</v>
      </c>
      <c r="U8592" t="s">
        <v>48908</v>
      </c>
      <c r="W8592" t="s">
        <v>41506</v>
      </c>
      <c r="X8592" t="s">
        <v>43175</v>
      </c>
    </row>
    <row r="8593" spans="1:24">
      <c r="A8593">
        <f>HYPERLINK("https://www.philgeps.gov.ph/GEPSNONPILOT/Tender/SplashBidNoticeAbstractUI.aspx?menuIndex=3&amp;refID=7074893&amp;Result=3","7074893")</f>
        <v>0</v>
      </c>
      <c r="B8593" t="s">
        <v>921</v>
      </c>
      <c r="C8593" t="s">
        <v>11600</v>
      </c>
      <c r="D8593" t="s">
        <v>17421</v>
      </c>
      <c r="E8593" t="s">
        <v>24895</v>
      </c>
      <c r="F8593" t="s">
        <v>30052</v>
      </c>
      <c r="G8593" t="s">
        <v>30058</v>
      </c>
      <c r="H8593" t="s">
        <v>15498</v>
      </c>
      <c r="I8593" t="s">
        <v>3736</v>
      </c>
      <c r="J8593" t="s">
        <v>35428</v>
      </c>
      <c r="K8593" t="s">
        <v>39025</v>
      </c>
      <c r="M8593" t="s">
        <v>40244</v>
      </c>
      <c r="N8593" t="s">
        <v>43166</v>
      </c>
      <c r="O8593" t="s">
        <v>43167</v>
      </c>
      <c r="P8593">
        <v>0</v>
      </c>
      <c r="Q8593">
        <v>0</v>
      </c>
      <c r="R8593" t="s">
        <v>43174</v>
      </c>
      <c r="S8593" t="s">
        <v>43396</v>
      </c>
      <c r="T8593" t="s">
        <v>44681</v>
      </c>
      <c r="U8593" t="s">
        <v>52099</v>
      </c>
      <c r="W8593" t="s">
        <v>40244</v>
      </c>
      <c r="X8593" t="s">
        <v>43175</v>
      </c>
    </row>
    <row r="8594" spans="1:24">
      <c r="A8594">
        <f>HYPERLINK("https://www.philgeps.gov.ph/GEPSNONPILOT/Tender/SplashBidNoticeAbstractUI.aspx?menuIndex=3&amp;refID=7074892&amp;Result=3","7074892")</f>
        <v>0</v>
      </c>
      <c r="B8594" t="s">
        <v>2591</v>
      </c>
      <c r="C8594" t="s">
        <v>11601</v>
      </c>
      <c r="D8594" t="s">
        <v>17440</v>
      </c>
      <c r="E8594" t="s">
        <v>24896</v>
      </c>
      <c r="F8594" t="s">
        <v>30052</v>
      </c>
      <c r="G8594" t="s">
        <v>30059</v>
      </c>
      <c r="H8594" t="s">
        <v>15498</v>
      </c>
      <c r="I8594" t="s">
        <v>3693</v>
      </c>
      <c r="J8594" t="s">
        <v>35429</v>
      </c>
      <c r="K8594" t="s">
        <v>39029</v>
      </c>
      <c r="M8594" t="s">
        <v>42102</v>
      </c>
      <c r="N8594" t="s">
        <v>43166</v>
      </c>
      <c r="O8594" t="s">
        <v>43167</v>
      </c>
      <c r="P8594">
        <v>0</v>
      </c>
      <c r="Q8594">
        <v>1</v>
      </c>
      <c r="R8594" t="s">
        <v>43174</v>
      </c>
      <c r="S8594" t="s">
        <v>43396</v>
      </c>
      <c r="T8594" t="s">
        <v>44717</v>
      </c>
      <c r="U8594" t="s">
        <v>52100</v>
      </c>
      <c r="W8594" t="s">
        <v>42102</v>
      </c>
      <c r="X8594" t="s">
        <v>43175</v>
      </c>
    </row>
    <row r="8595" spans="1:24">
      <c r="A8595">
        <f>HYPERLINK("https://www.philgeps.gov.ph/GEPSNONPILOT/Tender/SplashBidNoticeAbstractUI.aspx?menuIndex=3&amp;refID=7074890&amp;Result=3","7074890")</f>
        <v>0</v>
      </c>
      <c r="B8595" t="s">
        <v>1772</v>
      </c>
      <c r="C8595" t="s">
        <v>11602</v>
      </c>
      <c r="D8595" t="s">
        <v>17425</v>
      </c>
      <c r="E8595" t="s">
        <v>24892</v>
      </c>
      <c r="F8595" t="s">
        <v>30052</v>
      </c>
      <c r="G8595" t="s">
        <v>30061</v>
      </c>
      <c r="H8595" t="s">
        <v>15498</v>
      </c>
      <c r="I8595" t="s">
        <v>30081</v>
      </c>
      <c r="J8595" t="s">
        <v>35430</v>
      </c>
      <c r="K8595" t="s">
        <v>39025</v>
      </c>
      <c r="M8595" t="s">
        <v>41192</v>
      </c>
      <c r="N8595" t="s">
        <v>43166</v>
      </c>
      <c r="O8595" t="s">
        <v>43167</v>
      </c>
      <c r="P8595">
        <v>0</v>
      </c>
      <c r="Q8595">
        <v>1</v>
      </c>
      <c r="R8595" t="s">
        <v>43174</v>
      </c>
      <c r="S8595" t="s">
        <v>43396</v>
      </c>
      <c r="T8595" t="s">
        <v>44773</v>
      </c>
      <c r="U8595" t="s">
        <v>52101</v>
      </c>
      <c r="W8595" t="s">
        <v>58655</v>
      </c>
      <c r="X8595" t="s">
        <v>43175</v>
      </c>
    </row>
    <row r="8596" spans="1:24">
      <c r="A8596">
        <f>HYPERLINK("https://www.philgeps.gov.ph/GEPSNONPILOT/Tender/SplashBidNoticeAbstractUI.aspx?menuIndex=3&amp;refID=7074896&amp;Result=3","7074896")</f>
        <v>0</v>
      </c>
      <c r="B8596" t="s">
        <v>2098</v>
      </c>
      <c r="C8596" t="s">
        <v>11603</v>
      </c>
      <c r="D8596" t="s">
        <v>17414</v>
      </c>
      <c r="E8596" t="s">
        <v>24897</v>
      </c>
      <c r="F8596" t="s">
        <v>30052</v>
      </c>
      <c r="G8596" t="s">
        <v>30059</v>
      </c>
      <c r="H8596" t="s">
        <v>15498</v>
      </c>
      <c r="I8596" t="s">
        <v>3852</v>
      </c>
      <c r="J8596" t="s">
        <v>35431</v>
      </c>
      <c r="K8596" t="s">
        <v>39017</v>
      </c>
      <c r="M8596" t="s">
        <v>42002</v>
      </c>
      <c r="N8596" t="s">
        <v>43166</v>
      </c>
      <c r="O8596" t="s">
        <v>43167</v>
      </c>
      <c r="P8596">
        <v>0</v>
      </c>
      <c r="Q8596">
        <v>0</v>
      </c>
      <c r="R8596" t="s">
        <v>43174</v>
      </c>
      <c r="S8596" t="s">
        <v>43396</v>
      </c>
      <c r="T8596" t="s">
        <v>44777</v>
      </c>
      <c r="U8596" t="s">
        <v>52102</v>
      </c>
      <c r="W8596" t="s">
        <v>42002</v>
      </c>
      <c r="X8596" t="s">
        <v>43175</v>
      </c>
    </row>
    <row r="8597" spans="1:24">
      <c r="A8597">
        <f>HYPERLINK("https://www.philgeps.gov.ph/GEPSNONPILOT/Tender/SplashBidNoticeAbstractUI.aspx?menuIndex=3&amp;refID=7074883&amp;Result=3","7074883")</f>
        <v>0</v>
      </c>
      <c r="B8597" t="s">
        <v>2592</v>
      </c>
      <c r="C8597" t="s">
        <v>11604</v>
      </c>
      <c r="D8597" t="s">
        <v>17445</v>
      </c>
      <c r="E8597" t="s">
        <v>21400</v>
      </c>
      <c r="F8597" t="s">
        <v>30055</v>
      </c>
      <c r="G8597" t="s">
        <v>30058</v>
      </c>
      <c r="H8597" t="s">
        <v>15498</v>
      </c>
      <c r="I8597" t="s">
        <v>3852</v>
      </c>
      <c r="J8597" t="s">
        <v>35432</v>
      </c>
      <c r="K8597" t="s">
        <v>39025</v>
      </c>
      <c r="M8597" t="s">
        <v>42103</v>
      </c>
      <c r="N8597" t="s">
        <v>43166</v>
      </c>
      <c r="O8597" t="s">
        <v>43167</v>
      </c>
      <c r="P8597">
        <v>0</v>
      </c>
      <c r="Q8597">
        <v>1</v>
      </c>
      <c r="R8597" t="s">
        <v>43174</v>
      </c>
      <c r="S8597" t="s">
        <v>43396</v>
      </c>
      <c r="T8597" t="s">
        <v>44725</v>
      </c>
      <c r="U8597" t="s">
        <v>52103</v>
      </c>
      <c r="W8597" t="s">
        <v>42103</v>
      </c>
      <c r="X8597" t="s">
        <v>43175</v>
      </c>
    </row>
    <row r="8598" spans="1:24">
      <c r="A8598">
        <f>HYPERLINK("https://www.philgeps.gov.ph/GEPSNONPILOT/Tender/SplashBidNoticeAbstractUI.aspx?menuIndex=3&amp;refID=7074873&amp;Result=3","7074873")</f>
        <v>0</v>
      </c>
      <c r="B8598" t="s">
        <v>592</v>
      </c>
      <c r="C8598" t="s">
        <v>11605</v>
      </c>
      <c r="D8598" t="s">
        <v>17461</v>
      </c>
      <c r="E8598" t="s">
        <v>11605</v>
      </c>
      <c r="F8598" t="s">
        <v>30052</v>
      </c>
      <c r="G8598" t="s">
        <v>30058</v>
      </c>
      <c r="H8598" t="s">
        <v>15498</v>
      </c>
      <c r="I8598" t="s">
        <v>30197</v>
      </c>
      <c r="J8598" t="s">
        <v>35433</v>
      </c>
      <c r="K8598" t="s">
        <v>39029</v>
      </c>
      <c r="M8598" t="s">
        <v>41301</v>
      </c>
      <c r="N8598" t="s">
        <v>43166</v>
      </c>
      <c r="O8598" t="s">
        <v>43167</v>
      </c>
      <c r="P8598">
        <v>0</v>
      </c>
      <c r="Q8598">
        <v>0</v>
      </c>
      <c r="R8598" t="s">
        <v>43174</v>
      </c>
      <c r="S8598" t="s">
        <v>43396</v>
      </c>
      <c r="T8598" t="s">
        <v>44678</v>
      </c>
      <c r="U8598" t="s">
        <v>52104</v>
      </c>
      <c r="W8598" t="s">
        <v>41301</v>
      </c>
      <c r="X8598" t="s">
        <v>43175</v>
      </c>
    </row>
    <row r="8599" spans="1:24">
      <c r="A8599">
        <f>HYPERLINK("https://www.philgeps.gov.ph/GEPSNONPILOT/Tender/SplashBidNoticeAbstractUI.aspx?menuIndex=3&amp;refID=7074917&amp;Result=3","7074917")</f>
        <v>0</v>
      </c>
      <c r="B8599" t="s">
        <v>592</v>
      </c>
      <c r="C8599" t="s">
        <v>11606</v>
      </c>
      <c r="D8599" t="s">
        <v>17461</v>
      </c>
      <c r="E8599" t="s">
        <v>11606</v>
      </c>
      <c r="F8599" t="s">
        <v>30052</v>
      </c>
      <c r="G8599" t="s">
        <v>30058</v>
      </c>
      <c r="H8599" t="s">
        <v>15498</v>
      </c>
      <c r="I8599" t="s">
        <v>30076</v>
      </c>
      <c r="J8599" t="s">
        <v>35434</v>
      </c>
      <c r="K8599" t="s">
        <v>39029</v>
      </c>
      <c r="M8599" t="s">
        <v>41301</v>
      </c>
      <c r="N8599" t="s">
        <v>43166</v>
      </c>
      <c r="O8599" t="s">
        <v>43167</v>
      </c>
      <c r="P8599">
        <v>0</v>
      </c>
      <c r="Q8599">
        <v>4</v>
      </c>
      <c r="R8599" t="s">
        <v>43174</v>
      </c>
      <c r="S8599" t="s">
        <v>43396</v>
      </c>
      <c r="T8599" t="s">
        <v>44678</v>
      </c>
      <c r="U8599" t="s">
        <v>52105</v>
      </c>
      <c r="W8599" t="s">
        <v>41301</v>
      </c>
      <c r="X8599" t="s">
        <v>43175</v>
      </c>
    </row>
    <row r="8600" spans="1:24">
      <c r="A8600">
        <f>HYPERLINK("https://www.philgeps.gov.ph/GEPSNONPILOT/Tender/SplashBidNoticeAbstractUI.aspx?menuIndex=3&amp;refID=7074915&amp;Result=3","7074915")</f>
        <v>0</v>
      </c>
      <c r="B8600" t="s">
        <v>1772</v>
      </c>
      <c r="C8600" t="s">
        <v>11607</v>
      </c>
      <c r="D8600" t="s">
        <v>17425</v>
      </c>
      <c r="E8600" t="s">
        <v>24880</v>
      </c>
      <c r="F8600" t="s">
        <v>30052</v>
      </c>
      <c r="G8600" t="s">
        <v>30061</v>
      </c>
      <c r="H8600" t="s">
        <v>15498</v>
      </c>
      <c r="I8600" t="s">
        <v>4650</v>
      </c>
      <c r="J8600" t="s">
        <v>30538</v>
      </c>
      <c r="K8600" t="s">
        <v>39025</v>
      </c>
      <c r="M8600" t="s">
        <v>41192</v>
      </c>
      <c r="N8600" t="s">
        <v>43166</v>
      </c>
      <c r="O8600" t="s">
        <v>43167</v>
      </c>
      <c r="P8600">
        <v>0</v>
      </c>
      <c r="Q8600">
        <v>1</v>
      </c>
      <c r="R8600" t="s">
        <v>43174</v>
      </c>
      <c r="S8600" t="s">
        <v>43396</v>
      </c>
      <c r="T8600" t="s">
        <v>44773</v>
      </c>
      <c r="U8600" t="s">
        <v>52106</v>
      </c>
      <c r="W8600" t="s">
        <v>58655</v>
      </c>
      <c r="X8600" t="s">
        <v>43175</v>
      </c>
    </row>
    <row r="8601" spans="1:24">
      <c r="A8601">
        <f>HYPERLINK("https://www.philgeps.gov.ph/GEPSNONPILOT/Tender/SplashBidNoticeAbstractUI.aspx?menuIndex=3&amp;refID=7074914&amp;Result=3","7074914")</f>
        <v>0</v>
      </c>
      <c r="B8601" t="s">
        <v>921</v>
      </c>
      <c r="C8601" t="s">
        <v>11608</v>
      </c>
      <c r="D8601" t="s">
        <v>17421</v>
      </c>
      <c r="E8601" t="s">
        <v>24898</v>
      </c>
      <c r="F8601" t="s">
        <v>30052</v>
      </c>
      <c r="G8601" t="s">
        <v>30058</v>
      </c>
      <c r="H8601" t="s">
        <v>30067</v>
      </c>
      <c r="I8601" t="s">
        <v>30083</v>
      </c>
      <c r="J8601" t="s">
        <v>35435</v>
      </c>
      <c r="K8601" t="s">
        <v>39025</v>
      </c>
      <c r="M8601" t="s">
        <v>40244</v>
      </c>
      <c r="N8601" t="s">
        <v>43166</v>
      </c>
      <c r="O8601" t="s">
        <v>43167</v>
      </c>
      <c r="P8601">
        <v>0</v>
      </c>
      <c r="Q8601">
        <v>0</v>
      </c>
      <c r="R8601" t="s">
        <v>43174</v>
      </c>
      <c r="S8601" t="s">
        <v>43396</v>
      </c>
      <c r="T8601" t="s">
        <v>44681</v>
      </c>
      <c r="U8601" t="s">
        <v>52099</v>
      </c>
      <c r="W8601" t="s">
        <v>40244</v>
      </c>
      <c r="X8601" t="s">
        <v>43175</v>
      </c>
    </row>
    <row r="8602" spans="1:24">
      <c r="A8602">
        <f>HYPERLINK("https://www.philgeps.gov.ph/GEPSNONPILOT/Tender/SplashBidNoticeAbstractUI.aspx?menuIndex=3&amp;refID=7074882&amp;Result=3","7074882")</f>
        <v>0</v>
      </c>
      <c r="B8602" t="s">
        <v>2568</v>
      </c>
      <c r="C8602" t="s">
        <v>11609</v>
      </c>
      <c r="D8602" t="s">
        <v>17422</v>
      </c>
      <c r="E8602" t="s">
        <v>11609</v>
      </c>
      <c r="F8602" t="s">
        <v>30052</v>
      </c>
      <c r="G8602" t="s">
        <v>30059</v>
      </c>
      <c r="H8602" t="s">
        <v>15498</v>
      </c>
      <c r="I8602" t="s">
        <v>30070</v>
      </c>
      <c r="J8602" t="s">
        <v>35436</v>
      </c>
      <c r="K8602" t="s">
        <v>39025</v>
      </c>
      <c r="M8602" t="s">
        <v>42075</v>
      </c>
      <c r="N8602" t="s">
        <v>43166</v>
      </c>
      <c r="O8602" t="s">
        <v>43167</v>
      </c>
      <c r="P8602">
        <v>0</v>
      </c>
      <c r="Q8602">
        <v>1</v>
      </c>
      <c r="R8602" t="s">
        <v>43174</v>
      </c>
      <c r="S8602" t="s">
        <v>43396</v>
      </c>
      <c r="T8602" t="s">
        <v>44844</v>
      </c>
      <c r="U8602" t="s">
        <v>52107</v>
      </c>
      <c r="W8602" t="s">
        <v>42075</v>
      </c>
      <c r="X8602" t="s">
        <v>43175</v>
      </c>
    </row>
    <row r="8603" spans="1:24">
      <c r="A8603">
        <f>HYPERLINK("https://www.philgeps.gov.ph/GEPSNONPILOT/Tender/SplashBidNoticeAbstractUI.aspx?menuIndex=3&amp;refID=7074921&amp;Result=3","7074921")</f>
        <v>0</v>
      </c>
      <c r="B8603" t="s">
        <v>2477</v>
      </c>
      <c r="C8603" t="s">
        <v>11610</v>
      </c>
      <c r="D8603" t="s">
        <v>17417</v>
      </c>
      <c r="E8603" t="s">
        <v>24899</v>
      </c>
      <c r="F8603" t="s">
        <v>30052</v>
      </c>
      <c r="G8603" t="s">
        <v>30058</v>
      </c>
      <c r="H8603" t="s">
        <v>15498</v>
      </c>
      <c r="I8603" t="s">
        <v>3736</v>
      </c>
      <c r="J8603" t="s">
        <v>30207</v>
      </c>
      <c r="K8603" t="s">
        <v>39023</v>
      </c>
      <c r="M8603" t="s">
        <v>41977</v>
      </c>
      <c r="N8603" t="s">
        <v>43166</v>
      </c>
      <c r="O8603" t="s">
        <v>43167</v>
      </c>
      <c r="P8603">
        <v>0</v>
      </c>
      <c r="Q8603">
        <v>0</v>
      </c>
      <c r="R8603" t="s">
        <v>43174</v>
      </c>
      <c r="S8603" t="s">
        <v>43396</v>
      </c>
      <c r="T8603" t="s">
        <v>44815</v>
      </c>
      <c r="U8603" t="s">
        <v>52108</v>
      </c>
      <c r="W8603" t="s">
        <v>41977</v>
      </c>
      <c r="X8603" t="s">
        <v>43175</v>
      </c>
    </row>
    <row r="8604" spans="1:24">
      <c r="A8604">
        <f>HYPERLINK("https://www.philgeps.gov.ph/GEPSNONPILOT/Tender/SplashBidNoticeAbstractUI.aspx?menuIndex=3&amp;refID=7074965&amp;Result=3","7074965")</f>
        <v>0</v>
      </c>
      <c r="B8604" t="s">
        <v>1990</v>
      </c>
      <c r="C8604" t="s">
        <v>11611</v>
      </c>
      <c r="D8604" t="s">
        <v>17473</v>
      </c>
      <c r="E8604" t="s">
        <v>24900</v>
      </c>
      <c r="F8604" t="s">
        <v>30052</v>
      </c>
      <c r="G8604" t="s">
        <v>30058</v>
      </c>
      <c r="H8604" t="s">
        <v>30067</v>
      </c>
      <c r="I8604" t="s">
        <v>3693</v>
      </c>
      <c r="J8604" t="s">
        <v>31496</v>
      </c>
      <c r="K8604" t="s">
        <v>39207</v>
      </c>
      <c r="M8604" t="s">
        <v>41432</v>
      </c>
      <c r="N8604" t="s">
        <v>43166</v>
      </c>
      <c r="O8604" t="s">
        <v>43167</v>
      </c>
      <c r="P8604">
        <v>0</v>
      </c>
      <c r="Q8604">
        <v>1</v>
      </c>
      <c r="R8604" t="s">
        <v>43174</v>
      </c>
      <c r="S8604" t="s">
        <v>43396</v>
      </c>
      <c r="T8604" t="s">
        <v>44842</v>
      </c>
      <c r="U8604" t="s">
        <v>52109</v>
      </c>
      <c r="W8604" t="s">
        <v>41432</v>
      </c>
      <c r="X8604" t="s">
        <v>43175</v>
      </c>
    </row>
    <row r="8605" spans="1:24">
      <c r="A8605">
        <f>HYPERLINK("https://www.philgeps.gov.ph/GEPSNONPILOT/Tender/SplashBidNoticeAbstractUI.aspx?menuIndex=3&amp;refID=7074906&amp;Result=3","7074906")</f>
        <v>0</v>
      </c>
      <c r="B8605" t="s">
        <v>1260</v>
      </c>
      <c r="C8605" t="s">
        <v>11612</v>
      </c>
      <c r="D8605" t="s">
        <v>17478</v>
      </c>
      <c r="E8605" t="s">
        <v>24901</v>
      </c>
      <c r="F8605" t="s">
        <v>30052</v>
      </c>
      <c r="G8605" t="s">
        <v>30063</v>
      </c>
      <c r="H8605" t="s">
        <v>30067</v>
      </c>
      <c r="I8605" t="s">
        <v>3693</v>
      </c>
      <c r="J8605" t="s">
        <v>35437</v>
      </c>
      <c r="K8605" t="s">
        <v>39065</v>
      </c>
      <c r="M8605" t="s">
        <v>42093</v>
      </c>
      <c r="N8605" t="s">
        <v>43166</v>
      </c>
      <c r="O8605" t="s">
        <v>43167</v>
      </c>
      <c r="P8605">
        <v>0</v>
      </c>
      <c r="Q8605">
        <v>0</v>
      </c>
      <c r="R8605" t="s">
        <v>43174</v>
      </c>
      <c r="S8605" t="s">
        <v>43396</v>
      </c>
      <c r="T8605" t="s">
        <v>44758</v>
      </c>
      <c r="U8605" t="s">
        <v>52067</v>
      </c>
      <c r="V8605" t="s">
        <v>57733</v>
      </c>
      <c r="W8605" t="s">
        <v>58679</v>
      </c>
      <c r="X8605" t="s">
        <v>43175</v>
      </c>
    </row>
    <row r="8606" spans="1:24">
      <c r="A8606">
        <f>HYPERLINK("https://www.philgeps.gov.ph/GEPSNONPILOT/Tender/SplashBidNoticeAbstractUI.aspx?menuIndex=3&amp;refID=7074959&amp;Result=3","7074959")</f>
        <v>0</v>
      </c>
      <c r="B8606" t="s">
        <v>2593</v>
      </c>
      <c r="C8606" t="s">
        <v>11613</v>
      </c>
      <c r="D8606" t="s">
        <v>17488</v>
      </c>
      <c r="E8606" t="s">
        <v>24902</v>
      </c>
      <c r="F8606" t="s">
        <v>30052</v>
      </c>
      <c r="G8606" t="s">
        <v>30058</v>
      </c>
      <c r="H8606" t="s">
        <v>15498</v>
      </c>
      <c r="I8606" t="s">
        <v>30097</v>
      </c>
      <c r="J8606" t="s">
        <v>35438</v>
      </c>
      <c r="K8606" t="s">
        <v>39029</v>
      </c>
      <c r="M8606" t="s">
        <v>42104</v>
      </c>
      <c r="N8606" t="s">
        <v>43166</v>
      </c>
      <c r="O8606" t="s">
        <v>43167</v>
      </c>
      <c r="P8606">
        <v>0</v>
      </c>
      <c r="Q8606">
        <v>8</v>
      </c>
      <c r="R8606" t="s">
        <v>43174</v>
      </c>
      <c r="S8606" t="s">
        <v>43396</v>
      </c>
      <c r="T8606" t="s">
        <v>44841</v>
      </c>
      <c r="U8606" t="s">
        <v>52110</v>
      </c>
      <c r="V8606" t="s">
        <v>57734</v>
      </c>
      <c r="W8606" t="s">
        <v>42104</v>
      </c>
      <c r="X8606" t="s">
        <v>43175</v>
      </c>
    </row>
    <row r="8607" spans="1:24">
      <c r="A8607">
        <f>HYPERLINK("https://www.philgeps.gov.ph/GEPSNONPILOT/Tender/SplashBidNoticeAbstractUI.aspx?menuIndex=3&amp;refID=7074953&amp;Result=3","7074953")</f>
        <v>0</v>
      </c>
      <c r="B8607" t="s">
        <v>2594</v>
      </c>
      <c r="C8607" t="s">
        <v>11614</v>
      </c>
      <c r="D8607" t="s">
        <v>17448</v>
      </c>
      <c r="E8607" t="s">
        <v>24903</v>
      </c>
      <c r="F8607" t="s">
        <v>30052</v>
      </c>
      <c r="G8607" t="s">
        <v>30058</v>
      </c>
      <c r="H8607" t="s">
        <v>30067</v>
      </c>
      <c r="I8607" t="s">
        <v>3693</v>
      </c>
      <c r="J8607" t="s">
        <v>35439</v>
      </c>
      <c r="K8607" t="s">
        <v>39046</v>
      </c>
      <c r="M8607" t="s">
        <v>42105</v>
      </c>
      <c r="N8607" t="s">
        <v>43166</v>
      </c>
      <c r="O8607" t="s">
        <v>43167</v>
      </c>
      <c r="P8607">
        <v>0</v>
      </c>
      <c r="Q8607">
        <v>0</v>
      </c>
      <c r="R8607" t="s">
        <v>43174</v>
      </c>
      <c r="S8607" t="s">
        <v>43396</v>
      </c>
      <c r="T8607" t="s">
        <v>44864</v>
      </c>
      <c r="U8607" t="s">
        <v>52111</v>
      </c>
      <c r="W8607" t="s">
        <v>42105</v>
      </c>
      <c r="X8607" t="s">
        <v>43175</v>
      </c>
    </row>
    <row r="8608" spans="1:24">
      <c r="A8608">
        <f>HYPERLINK("https://www.philgeps.gov.ph/GEPSNONPILOT/Tender/SplashBidNoticeAbstractUI.aspx?menuIndex=3&amp;refID=7074920&amp;Result=3","7074920")</f>
        <v>0</v>
      </c>
      <c r="B8608" t="s">
        <v>2595</v>
      </c>
      <c r="C8608" t="s">
        <v>11585</v>
      </c>
      <c r="D8608" t="s">
        <v>17441</v>
      </c>
      <c r="E8608" t="s">
        <v>24904</v>
      </c>
      <c r="F8608" t="s">
        <v>30052</v>
      </c>
      <c r="G8608" t="s">
        <v>30060</v>
      </c>
      <c r="H8608" t="s">
        <v>30067</v>
      </c>
      <c r="I8608" t="s">
        <v>3693</v>
      </c>
      <c r="J8608" t="s">
        <v>30299</v>
      </c>
      <c r="K8608" t="s">
        <v>39025</v>
      </c>
      <c r="M8608" t="s">
        <v>42106</v>
      </c>
      <c r="N8608" t="s">
        <v>43166</v>
      </c>
      <c r="O8608" t="s">
        <v>43167</v>
      </c>
      <c r="P8608">
        <v>0</v>
      </c>
      <c r="Q8608">
        <v>2</v>
      </c>
      <c r="R8608" t="s">
        <v>43174</v>
      </c>
      <c r="S8608" t="s">
        <v>43396</v>
      </c>
      <c r="T8608" t="s">
        <v>44837</v>
      </c>
      <c r="U8608" t="s">
        <v>52112</v>
      </c>
      <c r="W8608" t="s">
        <v>42106</v>
      </c>
      <c r="X8608" t="s">
        <v>43175</v>
      </c>
    </row>
    <row r="8609" spans="1:24">
      <c r="A8609">
        <f>HYPERLINK("https://www.philgeps.gov.ph/GEPSNONPILOT/Tender/SplashBidNoticeAbstractUI.aspx?menuIndex=3&amp;refID=7074947&amp;Result=3","7074947")</f>
        <v>0</v>
      </c>
      <c r="B8609" t="s">
        <v>2595</v>
      </c>
      <c r="C8609" t="s">
        <v>8263</v>
      </c>
      <c r="D8609" t="s">
        <v>17441</v>
      </c>
      <c r="E8609" t="s">
        <v>24905</v>
      </c>
      <c r="F8609" t="s">
        <v>30052</v>
      </c>
      <c r="G8609" t="s">
        <v>30060</v>
      </c>
      <c r="H8609" t="s">
        <v>30067</v>
      </c>
      <c r="I8609" t="s">
        <v>3693</v>
      </c>
      <c r="J8609" t="s">
        <v>35440</v>
      </c>
      <c r="K8609" t="s">
        <v>39025</v>
      </c>
      <c r="M8609" t="s">
        <v>42106</v>
      </c>
      <c r="N8609" t="s">
        <v>43166</v>
      </c>
      <c r="O8609" t="s">
        <v>43167</v>
      </c>
      <c r="P8609">
        <v>0</v>
      </c>
      <c r="Q8609">
        <v>2</v>
      </c>
      <c r="R8609" t="s">
        <v>43174</v>
      </c>
      <c r="S8609" t="s">
        <v>43396</v>
      </c>
      <c r="T8609" t="s">
        <v>44837</v>
      </c>
      <c r="U8609" t="s">
        <v>52113</v>
      </c>
      <c r="W8609" t="s">
        <v>42106</v>
      </c>
      <c r="X8609" t="s">
        <v>43175</v>
      </c>
    </row>
    <row r="8610" spans="1:24">
      <c r="A8610">
        <f>HYPERLINK("https://www.philgeps.gov.ph/GEPSNONPILOT/Tender/SplashBidNoticeAbstractUI.aspx?menuIndex=3&amp;refID=7074902&amp;Result=3","7074902")</f>
        <v>0</v>
      </c>
      <c r="B8610" t="s">
        <v>2596</v>
      </c>
      <c r="C8610" t="s">
        <v>11615</v>
      </c>
      <c r="D8610" t="s">
        <v>17441</v>
      </c>
      <c r="E8610" t="s">
        <v>24906</v>
      </c>
      <c r="F8610" t="s">
        <v>30052</v>
      </c>
      <c r="G8610" t="s">
        <v>30058</v>
      </c>
      <c r="H8610" t="s">
        <v>15498</v>
      </c>
      <c r="I8610" t="s">
        <v>30097</v>
      </c>
      <c r="J8610" t="s">
        <v>35441</v>
      </c>
      <c r="K8610" t="s">
        <v>39019</v>
      </c>
      <c r="M8610" t="s">
        <v>42107</v>
      </c>
      <c r="N8610" t="s">
        <v>43166</v>
      </c>
      <c r="O8610" t="s">
        <v>43167</v>
      </c>
      <c r="P8610">
        <v>0</v>
      </c>
      <c r="Q8610">
        <v>0</v>
      </c>
      <c r="R8610" t="s">
        <v>43174</v>
      </c>
      <c r="S8610" t="s">
        <v>43396</v>
      </c>
      <c r="T8610" t="s">
        <v>44717</v>
      </c>
      <c r="U8610" t="s">
        <v>52114</v>
      </c>
      <c r="V8610" t="s">
        <v>57735</v>
      </c>
      <c r="W8610" t="s">
        <v>42107</v>
      </c>
      <c r="X8610" t="s">
        <v>43175</v>
      </c>
    </row>
    <row r="8611" spans="1:24">
      <c r="A8611">
        <f>HYPERLINK("https://www.philgeps.gov.ph/GEPSNONPILOT/Tender/SplashBidNoticeAbstractUI.aspx?menuIndex=3&amp;refID=7074954&amp;Result=3","7074954")</f>
        <v>0</v>
      </c>
      <c r="B8611" t="s">
        <v>1745</v>
      </c>
      <c r="C8611" t="s">
        <v>11616</v>
      </c>
      <c r="D8611" t="s">
        <v>17415</v>
      </c>
      <c r="E8611" t="s">
        <v>24907</v>
      </c>
      <c r="F8611" t="s">
        <v>30052</v>
      </c>
      <c r="G8611" t="s">
        <v>30058</v>
      </c>
      <c r="H8611" t="s">
        <v>15498</v>
      </c>
      <c r="I8611" t="s">
        <v>30074</v>
      </c>
      <c r="J8611" t="s">
        <v>30532</v>
      </c>
      <c r="K8611" t="s">
        <v>39029</v>
      </c>
      <c r="M8611" t="s">
        <v>41164</v>
      </c>
      <c r="N8611" t="s">
        <v>43166</v>
      </c>
      <c r="O8611" t="s">
        <v>43167</v>
      </c>
      <c r="P8611">
        <v>0</v>
      </c>
      <c r="Q8611">
        <v>4</v>
      </c>
      <c r="R8611" t="s">
        <v>43174</v>
      </c>
      <c r="S8611" t="s">
        <v>43396</v>
      </c>
      <c r="T8611" t="s">
        <v>44815</v>
      </c>
      <c r="U8611" t="s">
        <v>52115</v>
      </c>
      <c r="W8611" t="s">
        <v>41164</v>
      </c>
      <c r="X8611" t="s">
        <v>43175</v>
      </c>
    </row>
    <row r="8612" spans="1:24">
      <c r="A8612">
        <f>HYPERLINK("https://www.philgeps.gov.ph/GEPSNONPILOT/Tender/SplashBidNoticeAbstractUI.aspx?menuIndex=3&amp;refID=7074978&amp;Result=3","7074978")</f>
        <v>0</v>
      </c>
      <c r="B8612" t="s">
        <v>658</v>
      </c>
      <c r="C8612" t="s">
        <v>11617</v>
      </c>
      <c r="D8612" t="s">
        <v>17434</v>
      </c>
      <c r="E8612" t="s">
        <v>24908</v>
      </c>
      <c r="F8612" t="s">
        <v>30052</v>
      </c>
      <c r="G8612" t="s">
        <v>30058</v>
      </c>
      <c r="H8612" t="s">
        <v>15498</v>
      </c>
      <c r="I8612" t="s">
        <v>30079</v>
      </c>
      <c r="J8612" t="s">
        <v>35442</v>
      </c>
      <c r="K8612" t="s">
        <v>39029</v>
      </c>
      <c r="M8612" t="s">
        <v>40517</v>
      </c>
      <c r="N8612" t="s">
        <v>43166</v>
      </c>
      <c r="O8612" t="s">
        <v>43167</v>
      </c>
      <c r="P8612">
        <v>0</v>
      </c>
      <c r="Q8612">
        <v>1</v>
      </c>
      <c r="R8612" t="s">
        <v>43174</v>
      </c>
      <c r="S8612" t="s">
        <v>43396</v>
      </c>
      <c r="T8612" t="s">
        <v>44750</v>
      </c>
      <c r="U8612" t="s">
        <v>52075</v>
      </c>
      <c r="W8612" t="s">
        <v>40517</v>
      </c>
      <c r="X8612" t="s">
        <v>43175</v>
      </c>
    </row>
    <row r="8613" spans="1:24">
      <c r="A8613">
        <f>HYPERLINK("https://www.philgeps.gov.ph/GEPSNONPILOT/Tender/SplashBidNoticeAbstractUI.aspx?menuIndex=3&amp;refID=7074941&amp;Result=3","7074941")</f>
        <v>0</v>
      </c>
      <c r="B8613" t="s">
        <v>2594</v>
      </c>
      <c r="C8613" t="s">
        <v>11618</v>
      </c>
      <c r="D8613" t="s">
        <v>17448</v>
      </c>
      <c r="E8613" t="s">
        <v>24909</v>
      </c>
      <c r="F8613" t="s">
        <v>30052</v>
      </c>
      <c r="G8613" t="s">
        <v>30058</v>
      </c>
      <c r="H8613" t="s">
        <v>30067</v>
      </c>
      <c r="I8613" t="s">
        <v>3693</v>
      </c>
      <c r="J8613" t="s">
        <v>35443</v>
      </c>
      <c r="K8613" t="s">
        <v>39029</v>
      </c>
      <c r="M8613" t="s">
        <v>42105</v>
      </c>
      <c r="N8613" t="s">
        <v>43166</v>
      </c>
      <c r="O8613" t="s">
        <v>43167</v>
      </c>
      <c r="P8613">
        <v>0</v>
      </c>
      <c r="Q8613">
        <v>0</v>
      </c>
      <c r="R8613" t="s">
        <v>43174</v>
      </c>
      <c r="S8613" t="s">
        <v>43396</v>
      </c>
      <c r="T8613" t="s">
        <v>44864</v>
      </c>
      <c r="U8613" t="s">
        <v>52116</v>
      </c>
      <c r="W8613" t="s">
        <v>42105</v>
      </c>
      <c r="X8613" t="s">
        <v>43175</v>
      </c>
    </row>
    <row r="8614" spans="1:24">
      <c r="A8614">
        <f>HYPERLINK("https://www.philgeps.gov.ph/GEPSNONPILOT/Tender/SplashBidNoticeAbstractUI.aspx?menuIndex=3&amp;refID=7074880&amp;Result=3","7074880")</f>
        <v>0</v>
      </c>
      <c r="B8614" t="s">
        <v>601</v>
      </c>
      <c r="C8614" t="s">
        <v>11619</v>
      </c>
      <c r="D8614" t="s">
        <v>17419</v>
      </c>
      <c r="E8614" t="s">
        <v>24910</v>
      </c>
      <c r="F8614" t="s">
        <v>30052</v>
      </c>
      <c r="G8614" t="s">
        <v>30058</v>
      </c>
      <c r="H8614" t="s">
        <v>15498</v>
      </c>
      <c r="I8614" t="s">
        <v>30073</v>
      </c>
      <c r="J8614" t="s">
        <v>30212</v>
      </c>
      <c r="K8614" t="s">
        <v>39025</v>
      </c>
      <c r="M8614" t="s">
        <v>39903</v>
      </c>
      <c r="N8614" t="s">
        <v>43166</v>
      </c>
      <c r="O8614" t="s">
        <v>43167</v>
      </c>
      <c r="P8614">
        <v>0</v>
      </c>
      <c r="Q8614">
        <v>0</v>
      </c>
      <c r="R8614" t="s">
        <v>43174</v>
      </c>
      <c r="S8614" t="s">
        <v>43396</v>
      </c>
      <c r="T8614" t="s">
        <v>44873</v>
      </c>
      <c r="U8614" t="s">
        <v>52117</v>
      </c>
      <c r="W8614" t="s">
        <v>39903</v>
      </c>
      <c r="X8614" t="s">
        <v>43175</v>
      </c>
    </row>
    <row r="8615" spans="1:24">
      <c r="A8615">
        <f>HYPERLINK("https://www.philgeps.gov.ph/GEPSNONPILOT/Tender/SplashBidNoticeAbstractUI.aspx?menuIndex=3&amp;refID=7074907&amp;Result=3","7074907")</f>
        <v>0</v>
      </c>
      <c r="B8615" t="s">
        <v>1429</v>
      </c>
      <c r="C8615" t="s">
        <v>11620</v>
      </c>
      <c r="D8615" t="s">
        <v>17432</v>
      </c>
      <c r="E8615" t="s">
        <v>24911</v>
      </c>
      <c r="F8615" t="s">
        <v>30052</v>
      </c>
      <c r="G8615" t="s">
        <v>30059</v>
      </c>
      <c r="H8615" t="s">
        <v>15498</v>
      </c>
      <c r="I8615" t="s">
        <v>30070</v>
      </c>
      <c r="J8615" t="s">
        <v>35444</v>
      </c>
      <c r="K8615" t="s">
        <v>39017</v>
      </c>
      <c r="M8615" t="s">
        <v>40807</v>
      </c>
      <c r="N8615" t="s">
        <v>43166</v>
      </c>
      <c r="O8615" t="s">
        <v>43167</v>
      </c>
      <c r="P8615">
        <v>0</v>
      </c>
      <c r="Q8615">
        <v>2</v>
      </c>
      <c r="R8615" t="s">
        <v>43174</v>
      </c>
      <c r="S8615" t="s">
        <v>43396</v>
      </c>
      <c r="T8615" t="s">
        <v>44717</v>
      </c>
      <c r="U8615" t="s">
        <v>48399</v>
      </c>
      <c r="W8615" t="s">
        <v>40807</v>
      </c>
      <c r="X8615" t="s">
        <v>43175</v>
      </c>
    </row>
    <row r="8616" spans="1:24">
      <c r="A8616">
        <f>HYPERLINK("https://www.philgeps.gov.ph/GEPSNONPILOT/Tender/SplashBidNoticeAbstractUI.aspx?menuIndex=3&amp;refID=7074975&amp;Result=3","7074975")</f>
        <v>0</v>
      </c>
      <c r="B8616" t="s">
        <v>1038</v>
      </c>
      <c r="C8616" t="s">
        <v>11621</v>
      </c>
      <c r="D8616" t="s">
        <v>17436</v>
      </c>
      <c r="E8616" t="s">
        <v>24912</v>
      </c>
      <c r="F8616" t="s">
        <v>30052</v>
      </c>
      <c r="G8616" t="s">
        <v>30058</v>
      </c>
      <c r="H8616" t="s">
        <v>30067</v>
      </c>
      <c r="I8616" t="s">
        <v>3693</v>
      </c>
      <c r="J8616" t="s">
        <v>30252</v>
      </c>
      <c r="K8616" t="s">
        <v>39025</v>
      </c>
      <c r="M8616" t="s">
        <v>40369</v>
      </c>
      <c r="N8616" t="s">
        <v>43166</v>
      </c>
      <c r="O8616" t="s">
        <v>43167</v>
      </c>
      <c r="P8616">
        <v>0</v>
      </c>
      <c r="Q8616">
        <v>0</v>
      </c>
      <c r="R8616" t="s">
        <v>43174</v>
      </c>
      <c r="S8616" t="s">
        <v>43396</v>
      </c>
      <c r="T8616" t="s">
        <v>44705</v>
      </c>
      <c r="U8616" t="s">
        <v>52118</v>
      </c>
      <c r="W8616" t="s">
        <v>40369</v>
      </c>
      <c r="X8616" t="s">
        <v>43175</v>
      </c>
    </row>
    <row r="8617" spans="1:24">
      <c r="A8617">
        <f>HYPERLINK("https://www.philgeps.gov.ph/GEPSNONPILOT/Tender/SplashBidNoticeAbstractUI.aspx?menuIndex=3&amp;refID=7074939&amp;Result=3","7074939")</f>
        <v>0</v>
      </c>
      <c r="B8617" t="s">
        <v>2597</v>
      </c>
      <c r="C8617" t="s">
        <v>11622</v>
      </c>
      <c r="D8617" t="s">
        <v>17425</v>
      </c>
      <c r="E8617" t="s">
        <v>24913</v>
      </c>
      <c r="F8617" t="s">
        <v>30052</v>
      </c>
      <c r="G8617" t="s">
        <v>30059</v>
      </c>
      <c r="H8617" t="s">
        <v>15498</v>
      </c>
      <c r="I8617" t="s">
        <v>7228</v>
      </c>
      <c r="J8617" t="s">
        <v>30248</v>
      </c>
      <c r="K8617" t="s">
        <v>39017</v>
      </c>
      <c r="M8617" t="s">
        <v>42108</v>
      </c>
      <c r="N8617" t="s">
        <v>43166</v>
      </c>
      <c r="O8617" t="s">
        <v>43167</v>
      </c>
      <c r="P8617">
        <v>0</v>
      </c>
      <c r="Q8617">
        <v>0</v>
      </c>
      <c r="R8617" t="s">
        <v>43174</v>
      </c>
      <c r="S8617" t="s">
        <v>43396</v>
      </c>
      <c r="T8617" t="s">
        <v>44856</v>
      </c>
      <c r="U8617" t="s">
        <v>52119</v>
      </c>
      <c r="W8617" t="s">
        <v>42108</v>
      </c>
      <c r="X8617" t="s">
        <v>43175</v>
      </c>
    </row>
    <row r="8618" spans="1:24">
      <c r="A8618">
        <f>HYPERLINK("https://www.philgeps.gov.ph/GEPSNONPILOT/Tender/SplashBidNoticeAbstractUI.aspx?menuIndex=3&amp;refID=7074938&amp;Result=3","7074938")</f>
        <v>0</v>
      </c>
      <c r="B8618" t="s">
        <v>1329</v>
      </c>
      <c r="C8618" t="s">
        <v>11623</v>
      </c>
      <c r="D8618" t="s">
        <v>17413</v>
      </c>
      <c r="E8618" t="s">
        <v>24914</v>
      </c>
      <c r="F8618" t="s">
        <v>30052</v>
      </c>
      <c r="G8618" t="s">
        <v>30058</v>
      </c>
      <c r="H8618" t="s">
        <v>15498</v>
      </c>
      <c r="I8618" t="s">
        <v>30074</v>
      </c>
      <c r="J8618" t="s">
        <v>30856</v>
      </c>
      <c r="K8618" t="s">
        <v>39046</v>
      </c>
      <c r="M8618" t="s">
        <v>40696</v>
      </c>
      <c r="N8618" t="s">
        <v>43166</v>
      </c>
      <c r="O8618" t="s">
        <v>43167</v>
      </c>
      <c r="P8618">
        <v>0</v>
      </c>
      <c r="Q8618">
        <v>9</v>
      </c>
      <c r="R8618" t="s">
        <v>43174</v>
      </c>
      <c r="S8618" t="s">
        <v>43396</v>
      </c>
      <c r="T8618" t="s">
        <v>44725</v>
      </c>
      <c r="U8618" t="s">
        <v>52120</v>
      </c>
      <c r="W8618" t="s">
        <v>40696</v>
      </c>
      <c r="X8618" t="s">
        <v>43175</v>
      </c>
    </row>
    <row r="8619" spans="1:24">
      <c r="A8619">
        <f>HYPERLINK("https://www.philgeps.gov.ph/GEPSNONPILOT/Tender/SplashBidNoticeAbstractUI.aspx?menuIndex=3&amp;refID=7074948&amp;Result=3","7074948")</f>
        <v>0</v>
      </c>
      <c r="B8619" t="s">
        <v>1464</v>
      </c>
      <c r="C8619" t="s">
        <v>11624</v>
      </c>
      <c r="D8619" t="s">
        <v>17415</v>
      </c>
      <c r="E8619" t="s">
        <v>24915</v>
      </c>
      <c r="F8619" t="s">
        <v>30052</v>
      </c>
      <c r="G8619" t="s">
        <v>30062</v>
      </c>
      <c r="H8619" t="s">
        <v>15498</v>
      </c>
      <c r="I8619" t="s">
        <v>30084</v>
      </c>
      <c r="J8619" t="s">
        <v>30248</v>
      </c>
      <c r="K8619" t="s">
        <v>39019</v>
      </c>
      <c r="M8619" t="s">
        <v>40845</v>
      </c>
      <c r="N8619" t="s">
        <v>43166</v>
      </c>
      <c r="O8619" t="s">
        <v>43167</v>
      </c>
      <c r="P8619">
        <v>0</v>
      </c>
      <c r="Q8619">
        <v>20</v>
      </c>
      <c r="R8619" t="s">
        <v>43174</v>
      </c>
      <c r="S8619" t="s">
        <v>43396</v>
      </c>
      <c r="T8619" t="s">
        <v>44714</v>
      </c>
      <c r="U8619" t="s">
        <v>48465</v>
      </c>
      <c r="W8619" t="s">
        <v>40845</v>
      </c>
      <c r="X8619" t="s">
        <v>43175</v>
      </c>
    </row>
    <row r="8620" spans="1:24">
      <c r="A8620">
        <f>HYPERLINK("https://www.philgeps.gov.ph/GEPSNONPILOT/Tender/SplashBidNoticeAbstractUI.aspx?menuIndex=3&amp;refID=7074931&amp;Result=3","7074931")</f>
        <v>0</v>
      </c>
      <c r="B8620" t="s">
        <v>921</v>
      </c>
      <c r="C8620" t="s">
        <v>11625</v>
      </c>
      <c r="D8620" t="s">
        <v>17421</v>
      </c>
      <c r="E8620" t="s">
        <v>24916</v>
      </c>
      <c r="F8620" t="s">
        <v>30052</v>
      </c>
      <c r="G8620" t="s">
        <v>30058</v>
      </c>
      <c r="H8620" t="s">
        <v>30067</v>
      </c>
      <c r="I8620" t="s">
        <v>3693</v>
      </c>
      <c r="J8620" t="s">
        <v>35445</v>
      </c>
      <c r="K8620" t="s">
        <v>39025</v>
      </c>
      <c r="M8620" t="s">
        <v>40244</v>
      </c>
      <c r="N8620" t="s">
        <v>43166</v>
      </c>
      <c r="O8620" t="s">
        <v>43167</v>
      </c>
      <c r="P8620">
        <v>0</v>
      </c>
      <c r="Q8620">
        <v>0</v>
      </c>
      <c r="R8620" t="s">
        <v>43174</v>
      </c>
      <c r="S8620" t="s">
        <v>43396</v>
      </c>
      <c r="T8620" t="s">
        <v>44681</v>
      </c>
      <c r="U8620" t="s">
        <v>52121</v>
      </c>
      <c r="W8620" t="s">
        <v>40244</v>
      </c>
      <c r="X8620" t="s">
        <v>43175</v>
      </c>
    </row>
    <row r="8621" spans="1:24">
      <c r="A8621">
        <f>HYPERLINK("https://www.philgeps.gov.ph/GEPSNONPILOT/Tender/SplashBidNoticeAbstractUI.aspx?menuIndex=3&amp;refID=7074929&amp;Result=3","7074929")</f>
        <v>0</v>
      </c>
      <c r="B8621" t="s">
        <v>592</v>
      </c>
      <c r="C8621" t="s">
        <v>11626</v>
      </c>
      <c r="D8621" t="s">
        <v>17461</v>
      </c>
      <c r="E8621" t="s">
        <v>24917</v>
      </c>
      <c r="F8621" t="s">
        <v>30052</v>
      </c>
      <c r="G8621" t="s">
        <v>30058</v>
      </c>
      <c r="H8621" t="s">
        <v>15498</v>
      </c>
      <c r="I8621" t="s">
        <v>8323</v>
      </c>
      <c r="J8621" t="s">
        <v>30209</v>
      </c>
      <c r="K8621" t="s">
        <v>39029</v>
      </c>
      <c r="M8621" t="s">
        <v>41301</v>
      </c>
      <c r="N8621" t="s">
        <v>43166</v>
      </c>
      <c r="O8621" t="s">
        <v>43167</v>
      </c>
      <c r="P8621">
        <v>0</v>
      </c>
      <c r="Q8621">
        <v>4</v>
      </c>
      <c r="R8621" t="s">
        <v>43174</v>
      </c>
      <c r="S8621" t="s">
        <v>43396</v>
      </c>
      <c r="T8621" t="s">
        <v>44678</v>
      </c>
      <c r="U8621" t="s">
        <v>52122</v>
      </c>
      <c r="W8621" t="s">
        <v>41301</v>
      </c>
      <c r="X8621" t="s">
        <v>43175</v>
      </c>
    </row>
    <row r="8622" spans="1:24">
      <c r="A8622">
        <f>HYPERLINK("https://www.philgeps.gov.ph/GEPSNONPILOT/Tender/SplashBidNoticeAbstractUI.aspx?menuIndex=3&amp;refID=7074940&amp;Result=3","7074940")</f>
        <v>0</v>
      </c>
      <c r="B8622" t="s">
        <v>2279</v>
      </c>
      <c r="C8622" t="s">
        <v>11627</v>
      </c>
      <c r="D8622" t="s">
        <v>17472</v>
      </c>
      <c r="E8622" t="s">
        <v>24918</v>
      </c>
      <c r="F8622" t="s">
        <v>30052</v>
      </c>
      <c r="G8622" t="s">
        <v>30058</v>
      </c>
      <c r="H8622" t="s">
        <v>15498</v>
      </c>
      <c r="I8622" t="s">
        <v>3736</v>
      </c>
      <c r="J8622" t="s">
        <v>35446</v>
      </c>
      <c r="K8622" t="s">
        <v>39017</v>
      </c>
      <c r="M8622" t="s">
        <v>41761</v>
      </c>
      <c r="N8622" t="s">
        <v>43166</v>
      </c>
      <c r="O8622" t="s">
        <v>43167</v>
      </c>
      <c r="P8622">
        <v>0</v>
      </c>
      <c r="Q8622">
        <v>1</v>
      </c>
      <c r="R8622" t="s">
        <v>43174</v>
      </c>
      <c r="S8622" t="s">
        <v>43396</v>
      </c>
      <c r="T8622" t="s">
        <v>44714</v>
      </c>
      <c r="U8622" t="s">
        <v>52123</v>
      </c>
      <c r="W8622" t="s">
        <v>41761</v>
      </c>
      <c r="X8622" t="s">
        <v>43175</v>
      </c>
    </row>
    <row r="8623" spans="1:24">
      <c r="A8623">
        <f>HYPERLINK("https://www.philgeps.gov.ph/GEPSNONPILOT/Tender/SplashBidNoticeAbstractUI.aspx?menuIndex=3&amp;refID=7074983&amp;Result=3","7074983")</f>
        <v>0</v>
      </c>
      <c r="B8623" t="s">
        <v>2594</v>
      </c>
      <c r="C8623" t="s">
        <v>11628</v>
      </c>
      <c r="D8623" t="s">
        <v>17448</v>
      </c>
      <c r="E8623" t="s">
        <v>24919</v>
      </c>
      <c r="F8623" t="s">
        <v>30052</v>
      </c>
      <c r="G8623" t="s">
        <v>30058</v>
      </c>
      <c r="H8623" t="s">
        <v>30067</v>
      </c>
      <c r="I8623" t="s">
        <v>3693</v>
      </c>
      <c r="J8623" t="s">
        <v>35447</v>
      </c>
      <c r="K8623" t="s">
        <v>39029</v>
      </c>
      <c r="M8623" t="s">
        <v>42105</v>
      </c>
      <c r="N8623" t="s">
        <v>43166</v>
      </c>
      <c r="O8623" t="s">
        <v>43167</v>
      </c>
      <c r="P8623">
        <v>0</v>
      </c>
      <c r="Q8623">
        <v>0</v>
      </c>
      <c r="R8623" t="s">
        <v>43174</v>
      </c>
      <c r="S8623" t="s">
        <v>43396</v>
      </c>
      <c r="T8623" t="s">
        <v>44864</v>
      </c>
      <c r="U8623" t="s">
        <v>52124</v>
      </c>
      <c r="W8623" t="s">
        <v>42105</v>
      </c>
      <c r="X8623" t="s">
        <v>43175</v>
      </c>
    </row>
    <row r="8624" spans="1:24">
      <c r="A8624">
        <f>HYPERLINK("https://www.philgeps.gov.ph/GEPSNONPILOT/Tender/SplashBidNoticeAbstractUI.aspx?menuIndex=3&amp;refID=7074977&amp;Result=3","7074977")</f>
        <v>0</v>
      </c>
      <c r="B8624" t="s">
        <v>2598</v>
      </c>
      <c r="C8624" t="s">
        <v>11629</v>
      </c>
      <c r="D8624" t="s">
        <v>17441</v>
      </c>
      <c r="E8624" t="s">
        <v>23430</v>
      </c>
      <c r="F8624" t="s">
        <v>30052</v>
      </c>
      <c r="G8624" t="s">
        <v>30058</v>
      </c>
      <c r="H8624" t="s">
        <v>15498</v>
      </c>
      <c r="I8624" t="s">
        <v>3736</v>
      </c>
      <c r="J8624" t="s">
        <v>30230</v>
      </c>
      <c r="K8624" t="s">
        <v>39034</v>
      </c>
      <c r="L8624" t="s">
        <v>2598</v>
      </c>
      <c r="M8624" t="s">
        <v>42109</v>
      </c>
      <c r="N8624" t="s">
        <v>43166</v>
      </c>
      <c r="O8624" t="s">
        <v>43167</v>
      </c>
      <c r="P8624">
        <v>0</v>
      </c>
      <c r="Q8624">
        <v>5</v>
      </c>
      <c r="R8624" t="s">
        <v>43174</v>
      </c>
      <c r="S8624" t="s">
        <v>43396</v>
      </c>
      <c r="T8624" t="s">
        <v>44832</v>
      </c>
      <c r="U8624" t="s">
        <v>52125</v>
      </c>
      <c r="W8624" t="s">
        <v>42109</v>
      </c>
      <c r="X8624" t="s">
        <v>43175</v>
      </c>
    </row>
    <row r="8625" spans="1:24">
      <c r="A8625">
        <f>HYPERLINK("https://www.philgeps.gov.ph/GEPSNONPILOT/Tender/SplashBidNoticeAbstractUI.aspx?menuIndex=3&amp;refID=7075019&amp;Result=3","7075019")</f>
        <v>0</v>
      </c>
      <c r="B8625" t="s">
        <v>2599</v>
      </c>
      <c r="C8625" t="s">
        <v>11630</v>
      </c>
      <c r="D8625" t="s">
        <v>17415</v>
      </c>
      <c r="E8625" t="s">
        <v>24920</v>
      </c>
      <c r="F8625" t="s">
        <v>30052</v>
      </c>
      <c r="G8625" t="s">
        <v>30058</v>
      </c>
      <c r="H8625" t="s">
        <v>15498</v>
      </c>
      <c r="I8625" t="s">
        <v>3606</v>
      </c>
      <c r="J8625" t="s">
        <v>35448</v>
      </c>
      <c r="K8625" t="s">
        <v>39067</v>
      </c>
      <c r="M8625" t="s">
        <v>42110</v>
      </c>
      <c r="N8625" t="s">
        <v>43166</v>
      </c>
      <c r="O8625" t="s">
        <v>43167</v>
      </c>
      <c r="Q8625">
        <v>17</v>
      </c>
      <c r="R8625" t="s">
        <v>43174</v>
      </c>
      <c r="S8625" t="s">
        <v>43425</v>
      </c>
      <c r="T8625" t="s">
        <v>45093</v>
      </c>
      <c r="U8625" t="s">
        <v>52126</v>
      </c>
      <c r="W8625" t="s">
        <v>58680</v>
      </c>
      <c r="X8625" t="s">
        <v>43175</v>
      </c>
    </row>
    <row r="8626" spans="1:24">
      <c r="A8626">
        <f>HYPERLINK("https://www.philgeps.gov.ph/GEPSNONPILOT/Tender/SplashBidNoticeAbstractUI.aspx?menuIndex=3&amp;refID=7074932&amp;Result=3","7074932")</f>
        <v>0</v>
      </c>
      <c r="B8626" t="s">
        <v>820</v>
      </c>
      <c r="C8626" t="s">
        <v>11631</v>
      </c>
      <c r="E8626" t="s">
        <v>24921</v>
      </c>
      <c r="F8626" t="s">
        <v>30052</v>
      </c>
      <c r="G8626" t="s">
        <v>30059</v>
      </c>
      <c r="H8626" t="s">
        <v>15498</v>
      </c>
      <c r="I8626" t="s">
        <v>3606</v>
      </c>
      <c r="J8626" t="s">
        <v>35449</v>
      </c>
      <c r="K8626" t="s">
        <v>39034</v>
      </c>
      <c r="M8626" t="s">
        <v>40137</v>
      </c>
      <c r="N8626" t="s">
        <v>43166</v>
      </c>
      <c r="O8626" t="s">
        <v>43167</v>
      </c>
      <c r="P8626">
        <v>0</v>
      </c>
      <c r="Q8626">
        <v>3</v>
      </c>
      <c r="R8626" t="s">
        <v>43174</v>
      </c>
      <c r="S8626" t="s">
        <v>43396</v>
      </c>
      <c r="T8626" t="s">
        <v>44737</v>
      </c>
      <c r="U8626" t="s">
        <v>52127</v>
      </c>
      <c r="V8626" t="s">
        <v>57736</v>
      </c>
      <c r="W8626" t="s">
        <v>40137</v>
      </c>
      <c r="X8626" t="s">
        <v>43175</v>
      </c>
    </row>
    <row r="8627" spans="1:24">
      <c r="A8627">
        <f>HYPERLINK("https://www.philgeps.gov.ph/GEPSNONPILOT/Tender/SplashBidNoticeAbstractUI.aspx?menuIndex=3&amp;refID=7075032&amp;Result=3","7075032")</f>
        <v>0</v>
      </c>
      <c r="B8627" t="s">
        <v>2600</v>
      </c>
      <c r="C8627" t="s">
        <v>11632</v>
      </c>
      <c r="E8627" t="s">
        <v>24922</v>
      </c>
      <c r="F8627" t="s">
        <v>30052</v>
      </c>
      <c r="G8627" t="s">
        <v>30058</v>
      </c>
      <c r="H8627" t="s">
        <v>15498</v>
      </c>
      <c r="I8627" t="s">
        <v>5961</v>
      </c>
      <c r="J8627" t="s">
        <v>30377</v>
      </c>
      <c r="K8627" t="s">
        <v>39025</v>
      </c>
      <c r="M8627" t="s">
        <v>42111</v>
      </c>
      <c r="N8627" t="s">
        <v>43166</v>
      </c>
      <c r="O8627" t="s">
        <v>43167</v>
      </c>
      <c r="P8627">
        <v>0</v>
      </c>
      <c r="Q8627">
        <v>1</v>
      </c>
      <c r="R8627" t="s">
        <v>43174</v>
      </c>
      <c r="S8627" t="s">
        <v>43396</v>
      </c>
      <c r="T8627" t="s">
        <v>44832</v>
      </c>
      <c r="U8627" t="s">
        <v>52128</v>
      </c>
      <c r="W8627" t="s">
        <v>42111</v>
      </c>
      <c r="X8627" t="s">
        <v>43175</v>
      </c>
    </row>
    <row r="8628" spans="1:24">
      <c r="A8628">
        <f>HYPERLINK("https://www.philgeps.gov.ph/GEPSNONPILOT/Tender/SplashBidNoticeAbstractUI.aspx?menuIndex=3&amp;refID=7075026&amp;Result=3","7075026")</f>
        <v>0</v>
      </c>
      <c r="B8628" t="s">
        <v>658</v>
      </c>
      <c r="C8628" t="s">
        <v>11633</v>
      </c>
      <c r="D8628" t="s">
        <v>17434</v>
      </c>
      <c r="E8628" t="s">
        <v>24923</v>
      </c>
      <c r="F8628" t="s">
        <v>30052</v>
      </c>
      <c r="G8628" t="s">
        <v>30058</v>
      </c>
      <c r="H8628" t="s">
        <v>15498</v>
      </c>
      <c r="I8628" t="s">
        <v>30079</v>
      </c>
      <c r="J8628" t="s">
        <v>35450</v>
      </c>
      <c r="K8628" t="s">
        <v>39029</v>
      </c>
      <c r="M8628" t="s">
        <v>40517</v>
      </c>
      <c r="N8628" t="s">
        <v>43166</v>
      </c>
      <c r="O8628" t="s">
        <v>43167</v>
      </c>
      <c r="P8628">
        <v>0</v>
      </c>
      <c r="Q8628">
        <v>4</v>
      </c>
      <c r="R8628" t="s">
        <v>43174</v>
      </c>
      <c r="S8628" t="s">
        <v>43396</v>
      </c>
      <c r="T8628" t="s">
        <v>44750</v>
      </c>
      <c r="U8628" t="s">
        <v>52075</v>
      </c>
      <c r="W8628" t="s">
        <v>40517</v>
      </c>
      <c r="X8628" t="s">
        <v>43175</v>
      </c>
    </row>
    <row r="8629" spans="1:24">
      <c r="A8629">
        <f>HYPERLINK("https://www.philgeps.gov.ph/GEPSNONPILOT/Tender/SplashBidNoticeAbstractUI.aspx?menuIndex=3&amp;refID=7074984&amp;Result=3","7074984")</f>
        <v>0</v>
      </c>
      <c r="B8629" t="s">
        <v>2601</v>
      </c>
      <c r="C8629" t="s">
        <v>11634</v>
      </c>
      <c r="D8629" t="s">
        <v>17460</v>
      </c>
      <c r="E8629" t="s">
        <v>24924</v>
      </c>
      <c r="F8629" t="s">
        <v>30052</v>
      </c>
      <c r="G8629" t="s">
        <v>30058</v>
      </c>
      <c r="H8629" t="s">
        <v>30067</v>
      </c>
      <c r="I8629" t="s">
        <v>3693</v>
      </c>
      <c r="J8629" t="s">
        <v>31412</v>
      </c>
      <c r="K8629" t="s">
        <v>39046</v>
      </c>
      <c r="M8629" t="s">
        <v>42112</v>
      </c>
      <c r="N8629" t="s">
        <v>43166</v>
      </c>
      <c r="O8629" t="s">
        <v>43167</v>
      </c>
      <c r="P8629">
        <v>0</v>
      </c>
      <c r="Q8629">
        <v>3</v>
      </c>
      <c r="R8629" t="s">
        <v>43174</v>
      </c>
      <c r="S8629" t="s">
        <v>43396</v>
      </c>
      <c r="T8629" t="s">
        <v>44710</v>
      </c>
      <c r="U8629" t="s">
        <v>52129</v>
      </c>
      <c r="W8629" t="s">
        <v>42112</v>
      </c>
      <c r="X8629" t="s">
        <v>43175</v>
      </c>
    </row>
    <row r="8630" spans="1:24">
      <c r="A8630">
        <f>HYPERLINK("https://www.philgeps.gov.ph/GEPSNONPILOT/Tender/SplashBidNoticeAbstractUI.aspx?menuIndex=3&amp;refID=7074971&amp;Result=3","7074971")</f>
        <v>0</v>
      </c>
      <c r="B8630" t="s">
        <v>2309</v>
      </c>
      <c r="C8630" t="s">
        <v>11635</v>
      </c>
      <c r="D8630" t="s">
        <v>17419</v>
      </c>
      <c r="E8630" t="s">
        <v>24925</v>
      </c>
      <c r="F8630" t="s">
        <v>30052</v>
      </c>
      <c r="G8630" t="s">
        <v>30061</v>
      </c>
      <c r="H8630" t="s">
        <v>15498</v>
      </c>
      <c r="I8630" t="s">
        <v>30094</v>
      </c>
      <c r="J8630" t="s">
        <v>35451</v>
      </c>
      <c r="K8630" t="s">
        <v>39017</v>
      </c>
      <c r="M8630" t="s">
        <v>41795</v>
      </c>
      <c r="N8630" t="s">
        <v>43166</v>
      </c>
      <c r="O8630" t="s">
        <v>43167</v>
      </c>
      <c r="P8630">
        <v>0</v>
      </c>
      <c r="Q8630">
        <v>0</v>
      </c>
      <c r="R8630" t="s">
        <v>43174</v>
      </c>
      <c r="S8630" t="s">
        <v>43396</v>
      </c>
      <c r="T8630" t="s">
        <v>44717</v>
      </c>
      <c r="U8630" t="s">
        <v>52130</v>
      </c>
      <c r="W8630" t="s">
        <v>41795</v>
      </c>
      <c r="X8630" t="s">
        <v>43175</v>
      </c>
    </row>
    <row r="8631" spans="1:24">
      <c r="A8631">
        <f>HYPERLINK("https://www.philgeps.gov.ph/GEPSNONPILOT/Tender/SplashBidNoticeAbstractUI.aspx?menuIndex=3&amp;refID=7075022&amp;Result=3","7075022")</f>
        <v>0</v>
      </c>
      <c r="B8631" t="s">
        <v>2601</v>
      </c>
      <c r="C8631" t="s">
        <v>11636</v>
      </c>
      <c r="D8631" t="s">
        <v>17460</v>
      </c>
      <c r="E8631" t="s">
        <v>19752</v>
      </c>
      <c r="F8631" t="s">
        <v>30052</v>
      </c>
      <c r="G8631" t="s">
        <v>30058</v>
      </c>
      <c r="H8631" t="s">
        <v>30067</v>
      </c>
      <c r="I8631" t="s">
        <v>3693</v>
      </c>
      <c r="J8631" t="s">
        <v>30402</v>
      </c>
      <c r="K8631" t="s">
        <v>39046</v>
      </c>
      <c r="M8631" t="s">
        <v>42112</v>
      </c>
      <c r="N8631" t="s">
        <v>43166</v>
      </c>
      <c r="O8631" t="s">
        <v>43167</v>
      </c>
      <c r="P8631">
        <v>0</v>
      </c>
      <c r="Q8631">
        <v>3</v>
      </c>
      <c r="R8631" t="s">
        <v>43174</v>
      </c>
      <c r="S8631" t="s">
        <v>43396</v>
      </c>
      <c r="T8631" t="s">
        <v>44744</v>
      </c>
      <c r="U8631" t="s">
        <v>52131</v>
      </c>
      <c r="W8631" t="s">
        <v>42112</v>
      </c>
      <c r="X8631" t="s">
        <v>43175</v>
      </c>
    </row>
    <row r="8632" spans="1:24">
      <c r="A8632">
        <f>HYPERLINK("https://www.philgeps.gov.ph/GEPSNONPILOT/Tender/SplashBidNoticeAbstractUI.aspx?menuIndex=3&amp;refID=7074981&amp;Result=3","7074981")</f>
        <v>0</v>
      </c>
      <c r="B8632" t="s">
        <v>2602</v>
      </c>
      <c r="C8632" t="s">
        <v>11637</v>
      </c>
      <c r="D8632" t="s">
        <v>17473</v>
      </c>
      <c r="E8632" t="s">
        <v>24926</v>
      </c>
      <c r="F8632" t="s">
        <v>30052</v>
      </c>
      <c r="G8632" t="s">
        <v>30058</v>
      </c>
      <c r="H8632" t="s">
        <v>15498</v>
      </c>
      <c r="I8632" t="s">
        <v>3736</v>
      </c>
      <c r="J8632" t="s">
        <v>35452</v>
      </c>
      <c r="K8632" t="s">
        <v>39025</v>
      </c>
      <c r="M8632" t="s">
        <v>42113</v>
      </c>
      <c r="N8632" t="s">
        <v>43166</v>
      </c>
      <c r="O8632" t="s">
        <v>43167</v>
      </c>
      <c r="P8632">
        <v>0</v>
      </c>
      <c r="Q8632">
        <v>1</v>
      </c>
      <c r="R8632" t="s">
        <v>43174</v>
      </c>
      <c r="S8632" t="s">
        <v>43396</v>
      </c>
      <c r="T8632" t="s">
        <v>45099</v>
      </c>
      <c r="U8632" t="s">
        <v>52132</v>
      </c>
      <c r="V8632" t="s">
        <v>57737</v>
      </c>
      <c r="W8632" t="s">
        <v>42113</v>
      </c>
      <c r="X8632" t="s">
        <v>43175</v>
      </c>
    </row>
    <row r="8633" spans="1:24">
      <c r="A8633">
        <f>HYPERLINK("https://www.philgeps.gov.ph/GEPSNONPILOT/Tender/SplashBidNoticeAbstractUI.aspx?menuIndex=3&amp;refID=7075020&amp;Result=3","7075020")</f>
        <v>0</v>
      </c>
      <c r="B8633" t="s">
        <v>2603</v>
      </c>
      <c r="C8633" t="s">
        <v>8263</v>
      </c>
      <c r="D8633" t="s">
        <v>17441</v>
      </c>
      <c r="E8633" t="s">
        <v>24927</v>
      </c>
      <c r="F8633" t="s">
        <v>30052</v>
      </c>
      <c r="G8633" t="s">
        <v>30058</v>
      </c>
      <c r="H8633" t="s">
        <v>30067</v>
      </c>
      <c r="I8633" t="s">
        <v>3693</v>
      </c>
      <c r="J8633" t="s">
        <v>35453</v>
      </c>
      <c r="K8633" t="s">
        <v>39025</v>
      </c>
      <c r="M8633" t="s">
        <v>42114</v>
      </c>
      <c r="N8633" t="s">
        <v>43166</v>
      </c>
      <c r="O8633" t="s">
        <v>43167</v>
      </c>
      <c r="P8633">
        <v>0</v>
      </c>
      <c r="Q8633">
        <v>2</v>
      </c>
      <c r="R8633" t="s">
        <v>43174</v>
      </c>
      <c r="S8633" t="s">
        <v>43396</v>
      </c>
      <c r="T8633" t="s">
        <v>44837</v>
      </c>
      <c r="U8633" t="s">
        <v>52133</v>
      </c>
      <c r="V8633" t="s">
        <v>57640</v>
      </c>
      <c r="W8633" t="s">
        <v>42114</v>
      </c>
      <c r="X8633" t="s">
        <v>43175</v>
      </c>
    </row>
    <row r="8634" spans="1:24">
      <c r="A8634">
        <f>HYPERLINK("https://www.philgeps.gov.ph/GEPSNONPILOT/Tender/SplashBidNoticeAbstractUI.aspx?menuIndex=3&amp;refID=7075018&amp;Result=3","7075018")</f>
        <v>0</v>
      </c>
      <c r="B8634" t="s">
        <v>1512</v>
      </c>
      <c r="C8634" t="s">
        <v>11638</v>
      </c>
      <c r="D8634" t="s">
        <v>17465</v>
      </c>
      <c r="E8634" t="s">
        <v>24928</v>
      </c>
      <c r="F8634" t="s">
        <v>30052</v>
      </c>
      <c r="G8634" t="s">
        <v>30059</v>
      </c>
      <c r="H8634" t="s">
        <v>15498</v>
      </c>
      <c r="I8634" t="s">
        <v>30114</v>
      </c>
      <c r="J8634" t="s">
        <v>34392</v>
      </c>
      <c r="K8634" t="s">
        <v>39025</v>
      </c>
      <c r="M8634" t="s">
        <v>40897</v>
      </c>
      <c r="N8634" t="s">
        <v>43166</v>
      </c>
      <c r="O8634" t="s">
        <v>43167</v>
      </c>
      <c r="P8634">
        <v>0</v>
      </c>
      <c r="Q8634">
        <v>12</v>
      </c>
      <c r="R8634" t="s">
        <v>43174</v>
      </c>
      <c r="S8634" t="s">
        <v>43396</v>
      </c>
      <c r="T8634" t="s">
        <v>44696</v>
      </c>
      <c r="U8634" t="s">
        <v>49818</v>
      </c>
      <c r="W8634" t="s">
        <v>40897</v>
      </c>
      <c r="X8634" t="s">
        <v>43175</v>
      </c>
    </row>
    <row r="8635" spans="1:24">
      <c r="A8635">
        <f>HYPERLINK("https://www.philgeps.gov.ph/GEPSNONPILOT/Tender/SplashBidNoticeAbstractUI.aspx?menuIndex=3&amp;refID=7075008&amp;Result=3","7075008")</f>
        <v>0</v>
      </c>
      <c r="B8635" t="s">
        <v>1464</v>
      </c>
      <c r="C8635" t="s">
        <v>11639</v>
      </c>
      <c r="D8635" t="s">
        <v>17415</v>
      </c>
      <c r="E8635" t="s">
        <v>24929</v>
      </c>
      <c r="F8635" t="s">
        <v>30052</v>
      </c>
      <c r="G8635" t="s">
        <v>30059</v>
      </c>
      <c r="H8635" t="s">
        <v>15498</v>
      </c>
      <c r="I8635" t="s">
        <v>30070</v>
      </c>
      <c r="J8635" t="s">
        <v>35454</v>
      </c>
      <c r="K8635" t="s">
        <v>39019</v>
      </c>
      <c r="M8635" t="s">
        <v>40845</v>
      </c>
      <c r="N8635" t="s">
        <v>43166</v>
      </c>
      <c r="O8635" t="s">
        <v>43167</v>
      </c>
      <c r="P8635">
        <v>0</v>
      </c>
      <c r="Q8635">
        <v>12</v>
      </c>
      <c r="R8635" t="s">
        <v>43174</v>
      </c>
      <c r="S8635" t="s">
        <v>43396</v>
      </c>
      <c r="T8635" t="s">
        <v>44714</v>
      </c>
      <c r="U8635" t="s">
        <v>48465</v>
      </c>
      <c r="W8635" t="s">
        <v>40845</v>
      </c>
      <c r="X8635" t="s">
        <v>43175</v>
      </c>
    </row>
    <row r="8636" spans="1:24">
      <c r="A8636">
        <f>HYPERLINK("https://www.philgeps.gov.ph/GEPSNONPILOT/Tender/SplashBidNoticeAbstractUI.aspx?menuIndex=3&amp;refID=7075004&amp;Result=3","7075004")</f>
        <v>0</v>
      </c>
      <c r="B8636" t="s">
        <v>2408</v>
      </c>
      <c r="C8636" t="s">
        <v>11640</v>
      </c>
      <c r="D8636" t="s">
        <v>17426</v>
      </c>
      <c r="E8636" t="s">
        <v>24930</v>
      </c>
      <c r="F8636" t="s">
        <v>30052</v>
      </c>
      <c r="G8636" t="s">
        <v>30059</v>
      </c>
      <c r="H8636" t="s">
        <v>15498</v>
      </c>
      <c r="I8636" t="s">
        <v>3736</v>
      </c>
      <c r="J8636" t="s">
        <v>35455</v>
      </c>
      <c r="K8636" t="s">
        <v>39017</v>
      </c>
      <c r="M8636" t="s">
        <v>41905</v>
      </c>
      <c r="N8636" t="s">
        <v>43166</v>
      </c>
      <c r="O8636" t="s">
        <v>43167</v>
      </c>
      <c r="P8636">
        <v>0</v>
      </c>
      <c r="Q8636">
        <v>0</v>
      </c>
      <c r="R8636" t="s">
        <v>43174</v>
      </c>
      <c r="S8636" t="s">
        <v>43396</v>
      </c>
      <c r="T8636" t="s">
        <v>44691</v>
      </c>
      <c r="U8636" t="s">
        <v>52134</v>
      </c>
      <c r="V8636" t="s">
        <v>57738</v>
      </c>
      <c r="W8636" t="s">
        <v>58674</v>
      </c>
      <c r="X8636" t="s">
        <v>43175</v>
      </c>
    </row>
    <row r="8637" spans="1:24">
      <c r="A8637">
        <f>HYPERLINK("https://www.philgeps.gov.ph/GEPSNONPILOT/Tender/SplashBidNoticeAbstractUI.aspx?menuIndex=3&amp;refID=7075003&amp;Result=3","7075003")</f>
        <v>0</v>
      </c>
      <c r="B8637" t="s">
        <v>2604</v>
      </c>
      <c r="C8637" t="s">
        <v>11641</v>
      </c>
      <c r="D8637" t="s">
        <v>17474</v>
      </c>
      <c r="E8637" t="s">
        <v>24931</v>
      </c>
      <c r="F8637" t="s">
        <v>30052</v>
      </c>
      <c r="G8637" t="s">
        <v>30058</v>
      </c>
      <c r="H8637" t="s">
        <v>15498</v>
      </c>
      <c r="I8637" t="s">
        <v>30143</v>
      </c>
      <c r="J8637" t="s">
        <v>35456</v>
      </c>
      <c r="K8637" t="s">
        <v>39029</v>
      </c>
      <c r="M8637" t="s">
        <v>42115</v>
      </c>
      <c r="N8637" t="s">
        <v>43166</v>
      </c>
      <c r="O8637" t="s">
        <v>43167</v>
      </c>
      <c r="P8637">
        <v>0</v>
      </c>
      <c r="Q8637">
        <v>1</v>
      </c>
      <c r="R8637" t="s">
        <v>43174</v>
      </c>
      <c r="S8637" t="s">
        <v>43396</v>
      </c>
      <c r="T8637" t="s">
        <v>44708</v>
      </c>
      <c r="U8637" t="s">
        <v>52135</v>
      </c>
      <c r="V8637" t="s">
        <v>57739</v>
      </c>
      <c r="W8637" t="s">
        <v>42115</v>
      </c>
      <c r="X8637" t="s">
        <v>43175</v>
      </c>
    </row>
    <row r="8638" spans="1:24">
      <c r="A8638">
        <f>HYPERLINK("https://www.philgeps.gov.ph/GEPSNONPILOT/Tender/SplashBidNoticeAbstractUI.aspx?menuIndex=3&amp;refID=7075023&amp;Result=3","7075023")</f>
        <v>0</v>
      </c>
      <c r="B8638" t="s">
        <v>2605</v>
      </c>
      <c r="C8638" t="s">
        <v>11642</v>
      </c>
      <c r="D8638" t="s">
        <v>17437</v>
      </c>
      <c r="E8638" t="s">
        <v>21486</v>
      </c>
      <c r="F8638" t="s">
        <v>30052</v>
      </c>
      <c r="G8638" t="s">
        <v>30058</v>
      </c>
      <c r="H8638" t="s">
        <v>15498</v>
      </c>
      <c r="I8638" t="s">
        <v>3736</v>
      </c>
      <c r="J8638" t="s">
        <v>35457</v>
      </c>
      <c r="K8638" t="s">
        <v>39025</v>
      </c>
      <c r="M8638" t="s">
        <v>42116</v>
      </c>
      <c r="N8638" t="s">
        <v>43166</v>
      </c>
      <c r="O8638" t="s">
        <v>43167</v>
      </c>
      <c r="P8638">
        <v>0</v>
      </c>
      <c r="Q8638">
        <v>1</v>
      </c>
      <c r="R8638" t="s">
        <v>43174</v>
      </c>
      <c r="S8638" t="s">
        <v>43396</v>
      </c>
      <c r="T8638" t="s">
        <v>44716</v>
      </c>
      <c r="U8638" t="s">
        <v>52136</v>
      </c>
      <c r="W8638" t="s">
        <v>42116</v>
      </c>
      <c r="X8638" t="s">
        <v>43175</v>
      </c>
    </row>
    <row r="8639" spans="1:24">
      <c r="A8639">
        <f>HYPERLINK("https://www.philgeps.gov.ph/GEPSNONPILOT/Tender/SplashBidNoticeAbstractUI.aspx?menuIndex=3&amp;refID=7075015&amp;Result=3","7075015")</f>
        <v>0</v>
      </c>
      <c r="B8639" t="s">
        <v>2606</v>
      </c>
      <c r="C8639" t="s">
        <v>11643</v>
      </c>
      <c r="D8639" t="s">
        <v>17463</v>
      </c>
      <c r="E8639" t="s">
        <v>24932</v>
      </c>
      <c r="F8639" t="s">
        <v>30052</v>
      </c>
      <c r="G8639" t="s">
        <v>30058</v>
      </c>
      <c r="H8639" t="s">
        <v>15498</v>
      </c>
      <c r="I8639" t="s">
        <v>3693</v>
      </c>
      <c r="J8639" t="s">
        <v>35458</v>
      </c>
      <c r="K8639" t="s">
        <v>39019</v>
      </c>
      <c r="M8639" t="s">
        <v>42117</v>
      </c>
      <c r="N8639" t="s">
        <v>43166</v>
      </c>
      <c r="O8639" t="s">
        <v>43167</v>
      </c>
      <c r="P8639">
        <v>0</v>
      </c>
      <c r="Q8639">
        <v>1</v>
      </c>
      <c r="R8639" t="s">
        <v>43174</v>
      </c>
      <c r="S8639" t="s">
        <v>43396</v>
      </c>
      <c r="T8639" t="s">
        <v>44837</v>
      </c>
      <c r="U8639" t="s">
        <v>52137</v>
      </c>
      <c r="W8639" t="s">
        <v>42117</v>
      </c>
      <c r="X8639" t="s">
        <v>43175</v>
      </c>
    </row>
    <row r="8640" spans="1:24">
      <c r="A8640">
        <f>HYPERLINK("https://www.philgeps.gov.ph/GEPSNONPILOT/Tender/SplashBidNoticeAbstractUI.aspx?menuIndex=3&amp;refID=7074996&amp;Result=3","7074996")</f>
        <v>0</v>
      </c>
      <c r="B8640" t="s">
        <v>2607</v>
      </c>
      <c r="C8640" t="s">
        <v>3627</v>
      </c>
      <c r="D8640" t="s">
        <v>17432</v>
      </c>
      <c r="E8640" t="s">
        <v>24933</v>
      </c>
      <c r="F8640" t="s">
        <v>30055</v>
      </c>
      <c r="G8640" t="s">
        <v>30059</v>
      </c>
      <c r="H8640" t="s">
        <v>15498</v>
      </c>
      <c r="I8640" t="s">
        <v>4119</v>
      </c>
      <c r="J8640" t="s">
        <v>34494</v>
      </c>
      <c r="K8640" t="s">
        <v>39018</v>
      </c>
      <c r="M8640" t="s">
        <v>42118</v>
      </c>
      <c r="N8640" t="s">
        <v>43166</v>
      </c>
      <c r="O8640" t="s">
        <v>43167</v>
      </c>
      <c r="P8640">
        <v>0</v>
      </c>
      <c r="Q8640">
        <v>1</v>
      </c>
      <c r="R8640" t="s">
        <v>43174</v>
      </c>
      <c r="S8640" t="s">
        <v>43396</v>
      </c>
      <c r="T8640" t="s">
        <v>44888</v>
      </c>
      <c r="U8640" t="s">
        <v>46351</v>
      </c>
      <c r="W8640" t="s">
        <v>42118</v>
      </c>
      <c r="X8640" t="s">
        <v>43175</v>
      </c>
    </row>
    <row r="8641" spans="1:24">
      <c r="A8641">
        <f>HYPERLINK("https://www.philgeps.gov.ph/GEPSNONPILOT/Tender/SplashBidNoticeAbstractUI.aspx?menuIndex=3&amp;refID=7075009&amp;Result=3","7075009")</f>
        <v>0</v>
      </c>
      <c r="B8641" t="s">
        <v>1608</v>
      </c>
      <c r="C8641" t="s">
        <v>11644</v>
      </c>
      <c r="D8641" t="s">
        <v>17415</v>
      </c>
      <c r="E8641" t="s">
        <v>24934</v>
      </c>
      <c r="F8641" t="s">
        <v>30052</v>
      </c>
      <c r="G8641" t="s">
        <v>30058</v>
      </c>
      <c r="H8641" t="s">
        <v>15498</v>
      </c>
      <c r="I8641" t="s">
        <v>3852</v>
      </c>
      <c r="J8641" t="s">
        <v>35459</v>
      </c>
      <c r="K8641" t="s">
        <v>39019</v>
      </c>
      <c r="M8641" t="s">
        <v>41506</v>
      </c>
      <c r="N8641" t="s">
        <v>43166</v>
      </c>
      <c r="O8641" t="s">
        <v>43167</v>
      </c>
      <c r="P8641">
        <v>0</v>
      </c>
      <c r="Q8641">
        <v>0</v>
      </c>
      <c r="R8641" t="s">
        <v>43174</v>
      </c>
      <c r="S8641" t="s">
        <v>43396</v>
      </c>
      <c r="T8641" t="s">
        <v>44844</v>
      </c>
      <c r="U8641" t="s">
        <v>48908</v>
      </c>
      <c r="W8641" t="s">
        <v>41506</v>
      </c>
      <c r="X8641" t="s">
        <v>43175</v>
      </c>
    </row>
    <row r="8642" spans="1:24">
      <c r="A8642">
        <f>HYPERLINK("https://www.philgeps.gov.ph/GEPSNONPILOT/Tender/SplashBidNoticeAbstractUI.aspx?menuIndex=3&amp;refID=7074990&amp;Result=3","7074990")</f>
        <v>0</v>
      </c>
      <c r="B8642" t="s">
        <v>2600</v>
      </c>
      <c r="C8642" t="s">
        <v>11645</v>
      </c>
      <c r="E8642" t="s">
        <v>24935</v>
      </c>
      <c r="F8642" t="s">
        <v>30052</v>
      </c>
      <c r="G8642" t="s">
        <v>30058</v>
      </c>
      <c r="H8642" t="s">
        <v>15498</v>
      </c>
      <c r="I8642" t="s">
        <v>30074</v>
      </c>
      <c r="J8642" t="s">
        <v>30377</v>
      </c>
      <c r="K8642" t="s">
        <v>39025</v>
      </c>
      <c r="M8642" t="s">
        <v>42111</v>
      </c>
      <c r="N8642" t="s">
        <v>43166</v>
      </c>
      <c r="O8642" t="s">
        <v>43167</v>
      </c>
      <c r="P8642">
        <v>0</v>
      </c>
      <c r="Q8642">
        <v>0</v>
      </c>
      <c r="R8642" t="s">
        <v>43174</v>
      </c>
      <c r="S8642" t="s">
        <v>43396</v>
      </c>
      <c r="T8642" t="s">
        <v>44832</v>
      </c>
      <c r="U8642" t="s">
        <v>52138</v>
      </c>
      <c r="W8642" t="s">
        <v>42111</v>
      </c>
      <c r="X8642" t="s">
        <v>43175</v>
      </c>
    </row>
    <row r="8643" spans="1:24">
      <c r="A8643">
        <f>HYPERLINK("https://www.philgeps.gov.ph/GEPSNONPILOT/Tender/SplashBidNoticeAbstractUI.aspx?menuIndex=3&amp;refID=7074923&amp;Result=3","7074923")</f>
        <v>0</v>
      </c>
      <c r="B8643" t="s">
        <v>1025</v>
      </c>
      <c r="C8643" t="s">
        <v>11646</v>
      </c>
      <c r="D8643" t="s">
        <v>17455</v>
      </c>
      <c r="E8643" t="s">
        <v>24936</v>
      </c>
      <c r="F8643" t="s">
        <v>30052</v>
      </c>
      <c r="G8643" t="s">
        <v>30062</v>
      </c>
      <c r="H8643" t="s">
        <v>15498</v>
      </c>
      <c r="I8643" t="s">
        <v>4119</v>
      </c>
      <c r="J8643" t="s">
        <v>35460</v>
      </c>
      <c r="K8643" t="s">
        <v>39025</v>
      </c>
      <c r="M8643" t="s">
        <v>40354</v>
      </c>
      <c r="N8643" t="s">
        <v>43166</v>
      </c>
      <c r="O8643" t="s">
        <v>43167</v>
      </c>
      <c r="P8643">
        <v>0</v>
      </c>
      <c r="Q8643">
        <v>19</v>
      </c>
      <c r="R8643" t="s">
        <v>43174</v>
      </c>
      <c r="S8643" t="s">
        <v>43396</v>
      </c>
      <c r="T8643" t="s">
        <v>44837</v>
      </c>
      <c r="U8643" t="s">
        <v>52139</v>
      </c>
      <c r="W8643" t="s">
        <v>40354</v>
      </c>
      <c r="X8643" t="s">
        <v>43175</v>
      </c>
    </row>
    <row r="8644" spans="1:24">
      <c r="A8644">
        <f>HYPERLINK("https://www.philgeps.gov.ph/GEPSNONPILOT/Tender/SplashBidNoticeAbstractUI.aspx?menuIndex=3&amp;refID=7075036&amp;Result=3","7075036")</f>
        <v>0</v>
      </c>
      <c r="B8644" t="s">
        <v>2608</v>
      </c>
      <c r="C8644" t="s">
        <v>11647</v>
      </c>
      <c r="D8644" t="s">
        <v>17459</v>
      </c>
      <c r="E8644" t="s">
        <v>24937</v>
      </c>
      <c r="F8644" t="s">
        <v>30052</v>
      </c>
      <c r="G8644" t="s">
        <v>30059</v>
      </c>
      <c r="H8644" t="s">
        <v>15498</v>
      </c>
      <c r="I8644" t="s">
        <v>30134</v>
      </c>
      <c r="J8644" t="s">
        <v>30587</v>
      </c>
      <c r="K8644" t="s">
        <v>39025</v>
      </c>
      <c r="M8644" t="s">
        <v>42119</v>
      </c>
      <c r="N8644" t="s">
        <v>43166</v>
      </c>
      <c r="O8644" t="s">
        <v>43167</v>
      </c>
      <c r="P8644">
        <v>0</v>
      </c>
      <c r="Q8644">
        <v>2</v>
      </c>
      <c r="R8644" t="s">
        <v>43174</v>
      </c>
      <c r="S8644" t="s">
        <v>43396</v>
      </c>
      <c r="T8644" t="s">
        <v>44844</v>
      </c>
      <c r="U8644" t="s">
        <v>52140</v>
      </c>
      <c r="W8644" t="s">
        <v>42119</v>
      </c>
      <c r="X8644" t="s">
        <v>43175</v>
      </c>
    </row>
    <row r="8645" spans="1:24">
      <c r="A8645">
        <f>HYPERLINK("https://www.philgeps.gov.ph/GEPSNONPILOT/Tender/SplashBidNoticeAbstractUI.aspx?menuIndex=3&amp;refID=7074891&amp;Result=3","7074891")</f>
        <v>0</v>
      </c>
      <c r="B8645" t="s">
        <v>1429</v>
      </c>
      <c r="C8645" t="s">
        <v>11648</v>
      </c>
      <c r="D8645" t="s">
        <v>17432</v>
      </c>
      <c r="E8645" t="s">
        <v>24938</v>
      </c>
      <c r="F8645" t="s">
        <v>30052</v>
      </c>
      <c r="G8645" t="s">
        <v>30059</v>
      </c>
      <c r="H8645" t="s">
        <v>15498</v>
      </c>
      <c r="I8645" t="s">
        <v>30094</v>
      </c>
      <c r="J8645" t="s">
        <v>35461</v>
      </c>
      <c r="K8645" t="s">
        <v>39017</v>
      </c>
      <c r="M8645" t="s">
        <v>40807</v>
      </c>
      <c r="N8645" t="s">
        <v>43166</v>
      </c>
      <c r="O8645" t="s">
        <v>43167</v>
      </c>
      <c r="P8645">
        <v>0</v>
      </c>
      <c r="Q8645">
        <v>2</v>
      </c>
      <c r="R8645" t="s">
        <v>43174</v>
      </c>
      <c r="S8645" t="s">
        <v>43396</v>
      </c>
      <c r="T8645" t="s">
        <v>44717</v>
      </c>
      <c r="U8645" t="s">
        <v>48399</v>
      </c>
      <c r="W8645" t="s">
        <v>40807</v>
      </c>
      <c r="X8645" t="s">
        <v>43175</v>
      </c>
    </row>
    <row r="8646" spans="1:24">
      <c r="A8646">
        <f>HYPERLINK("https://www.philgeps.gov.ph/GEPSNONPILOT/Tender/SplashBidNoticeAbstractUI.aspx?menuIndex=3&amp;refID=7075035&amp;Result=3","7075035")</f>
        <v>0</v>
      </c>
      <c r="B8646" t="s">
        <v>2477</v>
      </c>
      <c r="C8646" t="s">
        <v>11649</v>
      </c>
      <c r="D8646" t="s">
        <v>17417</v>
      </c>
      <c r="E8646" t="s">
        <v>24939</v>
      </c>
      <c r="F8646" t="s">
        <v>30052</v>
      </c>
      <c r="G8646" t="s">
        <v>30058</v>
      </c>
      <c r="H8646" t="s">
        <v>15498</v>
      </c>
      <c r="I8646" t="s">
        <v>3736</v>
      </c>
      <c r="J8646" t="s">
        <v>30545</v>
      </c>
      <c r="K8646" t="s">
        <v>39023</v>
      </c>
      <c r="M8646" t="s">
        <v>41977</v>
      </c>
      <c r="N8646" t="s">
        <v>43166</v>
      </c>
      <c r="O8646" t="s">
        <v>43167</v>
      </c>
      <c r="P8646">
        <v>0</v>
      </c>
      <c r="Q8646">
        <v>0</v>
      </c>
      <c r="R8646" t="s">
        <v>43174</v>
      </c>
      <c r="S8646" t="s">
        <v>43396</v>
      </c>
      <c r="T8646" t="s">
        <v>44815</v>
      </c>
      <c r="U8646" t="s">
        <v>52141</v>
      </c>
      <c r="W8646" t="s">
        <v>41977</v>
      </c>
      <c r="X8646" t="s">
        <v>43175</v>
      </c>
    </row>
    <row r="8647" spans="1:24">
      <c r="A8647">
        <f>HYPERLINK("https://www.philgeps.gov.ph/GEPSNONPILOT/Tender/SplashBidNoticeAbstractUI.aspx?menuIndex=3&amp;refID=7075034&amp;Result=3","7075034")</f>
        <v>0</v>
      </c>
      <c r="B8647" t="s">
        <v>1464</v>
      </c>
      <c r="C8647" t="s">
        <v>8786</v>
      </c>
      <c r="D8647" t="s">
        <v>17415</v>
      </c>
      <c r="E8647" t="s">
        <v>24940</v>
      </c>
      <c r="F8647" t="s">
        <v>30052</v>
      </c>
      <c r="G8647" t="s">
        <v>30059</v>
      </c>
      <c r="H8647" t="s">
        <v>15498</v>
      </c>
      <c r="I8647" t="s">
        <v>30084</v>
      </c>
      <c r="J8647" t="s">
        <v>35462</v>
      </c>
      <c r="K8647" t="s">
        <v>39029</v>
      </c>
      <c r="M8647" t="s">
        <v>40845</v>
      </c>
      <c r="N8647" t="s">
        <v>43166</v>
      </c>
      <c r="O8647" t="s">
        <v>43167</v>
      </c>
      <c r="P8647">
        <v>0</v>
      </c>
      <c r="Q8647">
        <v>26</v>
      </c>
      <c r="R8647" t="s">
        <v>43174</v>
      </c>
      <c r="S8647" t="s">
        <v>43396</v>
      </c>
      <c r="T8647" t="s">
        <v>44714</v>
      </c>
      <c r="U8647" t="s">
        <v>48465</v>
      </c>
      <c r="W8647" t="s">
        <v>40845</v>
      </c>
      <c r="X8647" t="s">
        <v>43175</v>
      </c>
    </row>
    <row r="8648" spans="1:24">
      <c r="A8648">
        <f>HYPERLINK("https://www.philgeps.gov.ph/GEPSNONPILOT/Tender/SplashBidNoticeAbstractUI.aspx?menuIndex=3&amp;refID=7075068&amp;Result=3","7075068")</f>
        <v>0</v>
      </c>
      <c r="B8648" t="s">
        <v>1464</v>
      </c>
      <c r="C8648" t="s">
        <v>11650</v>
      </c>
      <c r="D8648" t="s">
        <v>17415</v>
      </c>
      <c r="E8648" t="s">
        <v>24941</v>
      </c>
      <c r="F8648" t="s">
        <v>30052</v>
      </c>
      <c r="G8648" t="s">
        <v>30062</v>
      </c>
      <c r="H8648" t="s">
        <v>15498</v>
      </c>
      <c r="I8648" t="s">
        <v>30103</v>
      </c>
      <c r="J8648" t="s">
        <v>30566</v>
      </c>
      <c r="K8648" t="s">
        <v>39019</v>
      </c>
      <c r="M8648" t="s">
        <v>40845</v>
      </c>
      <c r="N8648" t="s">
        <v>43166</v>
      </c>
      <c r="O8648" t="s">
        <v>43167</v>
      </c>
      <c r="P8648">
        <v>0</v>
      </c>
      <c r="Q8648">
        <v>5</v>
      </c>
      <c r="R8648" t="s">
        <v>43174</v>
      </c>
      <c r="S8648" t="s">
        <v>43396</v>
      </c>
      <c r="T8648" t="s">
        <v>44714</v>
      </c>
      <c r="U8648" t="s">
        <v>48465</v>
      </c>
      <c r="W8648" t="s">
        <v>40845</v>
      </c>
      <c r="X8648" t="s">
        <v>43175</v>
      </c>
    </row>
    <row r="8649" spans="1:24">
      <c r="A8649">
        <f>HYPERLINK("https://www.philgeps.gov.ph/GEPSNONPILOT/Tender/SplashBidNoticeAbstractUI.aspx?menuIndex=3&amp;refID=7075081&amp;Result=3","7075081")</f>
        <v>0</v>
      </c>
      <c r="B8649" t="s">
        <v>820</v>
      </c>
      <c r="C8649" t="s">
        <v>11651</v>
      </c>
      <c r="E8649" t="s">
        <v>24942</v>
      </c>
      <c r="F8649" t="s">
        <v>30052</v>
      </c>
      <c r="G8649" t="s">
        <v>30059</v>
      </c>
      <c r="H8649" t="s">
        <v>15498</v>
      </c>
      <c r="I8649" t="s">
        <v>30084</v>
      </c>
      <c r="J8649" t="s">
        <v>33107</v>
      </c>
      <c r="K8649" t="s">
        <v>39034</v>
      </c>
      <c r="M8649" t="s">
        <v>40137</v>
      </c>
      <c r="N8649" t="s">
        <v>43166</v>
      </c>
      <c r="O8649" t="s">
        <v>43167</v>
      </c>
      <c r="P8649">
        <v>0</v>
      </c>
      <c r="Q8649">
        <v>1</v>
      </c>
      <c r="R8649" t="s">
        <v>43174</v>
      </c>
      <c r="S8649" t="s">
        <v>43396</v>
      </c>
      <c r="T8649" t="s">
        <v>44737</v>
      </c>
      <c r="U8649" t="s">
        <v>52142</v>
      </c>
      <c r="V8649" t="s">
        <v>57736</v>
      </c>
      <c r="W8649" t="s">
        <v>40137</v>
      </c>
      <c r="X8649" t="s">
        <v>43175</v>
      </c>
    </row>
    <row r="8650" spans="1:24">
      <c r="A8650">
        <f>HYPERLINK("https://www.philgeps.gov.ph/GEPSNONPILOT/Tender/SplashBidNoticeAbstractUI.aspx?menuIndex=3&amp;refID=7075028&amp;Result=3","7075028")</f>
        <v>0</v>
      </c>
      <c r="B8650" t="s">
        <v>1546</v>
      </c>
      <c r="C8650" t="s">
        <v>11652</v>
      </c>
      <c r="D8650" t="s">
        <v>17431</v>
      </c>
      <c r="E8650" t="s">
        <v>24943</v>
      </c>
      <c r="F8650" t="s">
        <v>30052</v>
      </c>
      <c r="G8650" t="s">
        <v>30059</v>
      </c>
      <c r="H8650" t="s">
        <v>15498</v>
      </c>
      <c r="I8650" t="s">
        <v>3736</v>
      </c>
      <c r="J8650" t="s">
        <v>30209</v>
      </c>
      <c r="K8650" t="s">
        <v>39029</v>
      </c>
      <c r="M8650" t="s">
        <v>40934</v>
      </c>
      <c r="N8650" t="s">
        <v>43166</v>
      </c>
      <c r="O8650" t="s">
        <v>43167</v>
      </c>
      <c r="P8650">
        <v>0</v>
      </c>
      <c r="Q8650">
        <v>0</v>
      </c>
      <c r="R8650" t="s">
        <v>43174</v>
      </c>
      <c r="S8650" t="s">
        <v>43396</v>
      </c>
      <c r="T8650" t="s">
        <v>44773</v>
      </c>
      <c r="U8650" t="s">
        <v>52143</v>
      </c>
      <c r="V8650" t="s">
        <v>57740</v>
      </c>
      <c r="W8650" t="s">
        <v>40934</v>
      </c>
      <c r="X8650" t="s">
        <v>43175</v>
      </c>
    </row>
    <row r="8651" spans="1:24">
      <c r="A8651">
        <f>HYPERLINK("https://www.philgeps.gov.ph/GEPSNONPILOT/Tender/SplashBidNoticeAbstractUI.aspx?menuIndex=3&amp;refID=7075070&amp;Result=3","7075070")</f>
        <v>0</v>
      </c>
      <c r="B8651" t="s">
        <v>1608</v>
      </c>
      <c r="C8651" t="s">
        <v>11653</v>
      </c>
      <c r="D8651" t="s">
        <v>17415</v>
      </c>
      <c r="E8651" t="s">
        <v>24944</v>
      </c>
      <c r="F8651" t="s">
        <v>30052</v>
      </c>
      <c r="G8651" t="s">
        <v>30058</v>
      </c>
      <c r="H8651" t="s">
        <v>15498</v>
      </c>
      <c r="I8651" t="s">
        <v>3852</v>
      </c>
      <c r="J8651" t="s">
        <v>30574</v>
      </c>
      <c r="K8651" t="s">
        <v>39019</v>
      </c>
      <c r="M8651" t="s">
        <v>41506</v>
      </c>
      <c r="N8651" t="s">
        <v>43166</v>
      </c>
      <c r="O8651" t="s">
        <v>43167</v>
      </c>
      <c r="P8651">
        <v>0</v>
      </c>
      <c r="Q8651">
        <v>0</v>
      </c>
      <c r="R8651" t="s">
        <v>43174</v>
      </c>
      <c r="S8651" t="s">
        <v>43396</v>
      </c>
      <c r="T8651" t="s">
        <v>44844</v>
      </c>
      <c r="U8651" t="s">
        <v>48908</v>
      </c>
      <c r="W8651" t="s">
        <v>41506</v>
      </c>
      <c r="X8651" t="s">
        <v>43175</v>
      </c>
    </row>
    <row r="8652" spans="1:24">
      <c r="A8652">
        <f>HYPERLINK("https://www.philgeps.gov.ph/GEPSNONPILOT/Tender/SplashBidNoticeAbstractUI.aspx?menuIndex=3&amp;refID=7075001&amp;Result=3","7075001")</f>
        <v>0</v>
      </c>
      <c r="B8652" t="s">
        <v>2098</v>
      </c>
      <c r="C8652" t="s">
        <v>7929</v>
      </c>
      <c r="D8652" t="s">
        <v>17414</v>
      </c>
      <c r="E8652" t="s">
        <v>24945</v>
      </c>
      <c r="F8652" t="s">
        <v>30052</v>
      </c>
      <c r="G8652" t="s">
        <v>30059</v>
      </c>
      <c r="H8652" t="s">
        <v>15498</v>
      </c>
      <c r="I8652" t="s">
        <v>30076</v>
      </c>
      <c r="J8652" t="s">
        <v>35463</v>
      </c>
      <c r="K8652" t="s">
        <v>39017</v>
      </c>
      <c r="M8652" t="s">
        <v>42002</v>
      </c>
      <c r="N8652" t="s">
        <v>43166</v>
      </c>
      <c r="O8652" t="s">
        <v>43167</v>
      </c>
      <c r="P8652">
        <v>0</v>
      </c>
      <c r="Q8652">
        <v>1</v>
      </c>
      <c r="R8652" t="s">
        <v>43174</v>
      </c>
      <c r="S8652" t="s">
        <v>43396</v>
      </c>
      <c r="T8652" t="s">
        <v>44777</v>
      </c>
      <c r="U8652" t="s">
        <v>52144</v>
      </c>
      <c r="W8652" t="s">
        <v>42002</v>
      </c>
      <c r="X8652" t="s">
        <v>43175</v>
      </c>
    </row>
    <row r="8653" spans="1:24">
      <c r="A8653">
        <f>HYPERLINK("https://www.philgeps.gov.ph/GEPSNONPILOT/Tender/SplashBidNoticeAbstractUI.aspx?menuIndex=3&amp;refID=7075065&amp;Result=3","7075065")</f>
        <v>0</v>
      </c>
      <c r="B8653" t="s">
        <v>2279</v>
      </c>
      <c r="C8653" t="s">
        <v>11654</v>
      </c>
      <c r="D8653" t="s">
        <v>17472</v>
      </c>
      <c r="E8653" t="s">
        <v>24946</v>
      </c>
      <c r="F8653" t="s">
        <v>30052</v>
      </c>
      <c r="G8653" t="s">
        <v>30058</v>
      </c>
      <c r="H8653" t="s">
        <v>15498</v>
      </c>
      <c r="I8653" t="s">
        <v>3736</v>
      </c>
      <c r="J8653" t="s">
        <v>35464</v>
      </c>
      <c r="K8653" t="s">
        <v>39017</v>
      </c>
      <c r="M8653" t="s">
        <v>41761</v>
      </c>
      <c r="N8653" t="s">
        <v>43166</v>
      </c>
      <c r="O8653" t="s">
        <v>43167</v>
      </c>
      <c r="P8653">
        <v>0</v>
      </c>
      <c r="Q8653">
        <v>1</v>
      </c>
      <c r="R8653" t="s">
        <v>43174</v>
      </c>
      <c r="S8653" t="s">
        <v>43396</v>
      </c>
      <c r="T8653" t="s">
        <v>44714</v>
      </c>
      <c r="U8653" t="s">
        <v>52145</v>
      </c>
      <c r="W8653" t="s">
        <v>41761</v>
      </c>
      <c r="X8653" t="s">
        <v>43175</v>
      </c>
    </row>
    <row r="8654" spans="1:24">
      <c r="A8654">
        <f>HYPERLINK("https://www.philgeps.gov.ph/GEPSNONPILOT/Tender/SplashBidNoticeAbstractUI.aspx?menuIndex=3&amp;refID=7074998&amp;Result=3","7074998")</f>
        <v>0</v>
      </c>
      <c r="B8654" t="s">
        <v>1300</v>
      </c>
      <c r="C8654" t="s">
        <v>11655</v>
      </c>
      <c r="D8654" t="s">
        <v>17434</v>
      </c>
      <c r="E8654" t="s">
        <v>24947</v>
      </c>
      <c r="F8654" t="s">
        <v>30052</v>
      </c>
      <c r="G8654" t="s">
        <v>30058</v>
      </c>
      <c r="H8654" t="s">
        <v>30069</v>
      </c>
      <c r="I8654" t="s">
        <v>30075</v>
      </c>
      <c r="J8654" t="s">
        <v>35465</v>
      </c>
      <c r="K8654" t="s">
        <v>39031</v>
      </c>
      <c r="M8654" t="s">
        <v>40666</v>
      </c>
      <c r="N8654" t="s">
        <v>43166</v>
      </c>
      <c r="O8654" t="s">
        <v>43167</v>
      </c>
      <c r="P8654">
        <v>0</v>
      </c>
      <c r="Q8654">
        <v>6</v>
      </c>
      <c r="R8654" t="s">
        <v>43174</v>
      </c>
      <c r="S8654" t="s">
        <v>43396</v>
      </c>
      <c r="T8654" t="s">
        <v>44796</v>
      </c>
      <c r="U8654" t="s">
        <v>48064</v>
      </c>
      <c r="V8654" t="s">
        <v>57244</v>
      </c>
      <c r="W8654" t="s">
        <v>40666</v>
      </c>
      <c r="X8654" t="s">
        <v>43175</v>
      </c>
    </row>
    <row r="8655" spans="1:24">
      <c r="A8655">
        <f>HYPERLINK("https://www.philgeps.gov.ph/GEPSNONPILOT/Tender/SplashBidNoticeAbstractUI.aspx?menuIndex=3&amp;refID=7075076&amp;Result=3","7075076")</f>
        <v>0</v>
      </c>
      <c r="B8655" t="s">
        <v>1608</v>
      </c>
      <c r="C8655" t="s">
        <v>11656</v>
      </c>
      <c r="D8655" t="s">
        <v>17415</v>
      </c>
      <c r="E8655" t="s">
        <v>24948</v>
      </c>
      <c r="F8655" t="s">
        <v>30052</v>
      </c>
      <c r="G8655" t="s">
        <v>30058</v>
      </c>
      <c r="H8655" t="s">
        <v>15498</v>
      </c>
      <c r="I8655" t="s">
        <v>3852</v>
      </c>
      <c r="J8655" t="s">
        <v>35466</v>
      </c>
      <c r="K8655" t="s">
        <v>39019</v>
      </c>
      <c r="M8655" t="s">
        <v>41506</v>
      </c>
      <c r="N8655" t="s">
        <v>43166</v>
      </c>
      <c r="O8655" t="s">
        <v>43167</v>
      </c>
      <c r="P8655">
        <v>0</v>
      </c>
      <c r="Q8655">
        <v>0</v>
      </c>
      <c r="R8655" t="s">
        <v>43174</v>
      </c>
      <c r="S8655" t="s">
        <v>43396</v>
      </c>
      <c r="T8655" t="s">
        <v>44844</v>
      </c>
      <c r="U8655" t="s">
        <v>48908</v>
      </c>
      <c r="W8655" t="s">
        <v>41506</v>
      </c>
      <c r="X8655" t="s">
        <v>43175</v>
      </c>
    </row>
    <row r="8656" spans="1:24">
      <c r="A8656">
        <f>HYPERLINK("https://www.philgeps.gov.ph/GEPSNONPILOT/Tender/SplashBidNoticeAbstractUI.aspx?menuIndex=3&amp;refID=7075069&amp;Result=3","7075069")</f>
        <v>0</v>
      </c>
      <c r="B8656" t="s">
        <v>705</v>
      </c>
      <c r="C8656" t="s">
        <v>11657</v>
      </c>
      <c r="D8656" t="s">
        <v>17414</v>
      </c>
      <c r="E8656" t="s">
        <v>24949</v>
      </c>
      <c r="F8656" t="s">
        <v>30052</v>
      </c>
      <c r="G8656" t="s">
        <v>30058</v>
      </c>
      <c r="H8656" t="s">
        <v>15498</v>
      </c>
      <c r="I8656" t="s">
        <v>30081</v>
      </c>
      <c r="J8656" t="s">
        <v>30605</v>
      </c>
      <c r="K8656" t="s">
        <v>39017</v>
      </c>
      <c r="M8656" t="s">
        <v>40014</v>
      </c>
      <c r="N8656" t="s">
        <v>43166</v>
      </c>
      <c r="O8656" t="s">
        <v>43167</v>
      </c>
      <c r="P8656">
        <v>0</v>
      </c>
      <c r="Q8656">
        <v>1</v>
      </c>
      <c r="R8656" t="s">
        <v>43174</v>
      </c>
      <c r="S8656" t="s">
        <v>43396</v>
      </c>
      <c r="T8656" t="s">
        <v>45100</v>
      </c>
      <c r="U8656" t="s">
        <v>52146</v>
      </c>
      <c r="V8656" t="s">
        <v>57741</v>
      </c>
      <c r="W8656" t="s">
        <v>40014</v>
      </c>
      <c r="X8656" t="s">
        <v>43175</v>
      </c>
    </row>
    <row r="8657" spans="1:24">
      <c r="A8657">
        <f>HYPERLINK("https://www.philgeps.gov.ph/GEPSNONPILOT/Tender/SplashBidNoticeAbstractUI.aspx?menuIndex=3&amp;refID=7075014&amp;Result=3","7075014")</f>
        <v>0</v>
      </c>
      <c r="B8657" t="s">
        <v>2550</v>
      </c>
      <c r="C8657" t="s">
        <v>11658</v>
      </c>
      <c r="D8657" t="s">
        <v>17445</v>
      </c>
      <c r="E8657" t="s">
        <v>24950</v>
      </c>
      <c r="F8657" t="s">
        <v>30052</v>
      </c>
      <c r="G8657" t="s">
        <v>30059</v>
      </c>
      <c r="H8657" t="s">
        <v>15498</v>
      </c>
      <c r="I8657" t="s">
        <v>30082</v>
      </c>
      <c r="J8657" t="s">
        <v>30299</v>
      </c>
      <c r="K8657" t="s">
        <v>39034</v>
      </c>
      <c r="M8657" t="s">
        <v>42120</v>
      </c>
      <c r="N8657" t="s">
        <v>43166</v>
      </c>
      <c r="O8657" t="s">
        <v>43167</v>
      </c>
      <c r="P8657">
        <v>0</v>
      </c>
      <c r="Q8657">
        <v>1</v>
      </c>
      <c r="R8657" t="s">
        <v>43174</v>
      </c>
      <c r="S8657" t="s">
        <v>43396</v>
      </c>
      <c r="T8657" t="s">
        <v>45047</v>
      </c>
      <c r="U8657" t="s">
        <v>51993</v>
      </c>
      <c r="W8657" t="s">
        <v>42120</v>
      </c>
      <c r="X8657" t="s">
        <v>43175</v>
      </c>
    </row>
    <row r="8658" spans="1:24">
      <c r="A8658">
        <f>HYPERLINK("https://www.philgeps.gov.ph/GEPSNONPILOT/Tender/SplashBidNoticeAbstractUI.aspx?menuIndex=3&amp;refID=7075053&amp;Result=3","7075053")</f>
        <v>0</v>
      </c>
      <c r="B8658" t="s">
        <v>980</v>
      </c>
      <c r="C8658" t="s">
        <v>11659</v>
      </c>
      <c r="D8658" t="s">
        <v>17437</v>
      </c>
      <c r="E8658" t="s">
        <v>24951</v>
      </c>
      <c r="F8658" t="s">
        <v>30052</v>
      </c>
      <c r="G8658" t="s">
        <v>30058</v>
      </c>
      <c r="H8658" t="s">
        <v>15498</v>
      </c>
      <c r="I8658" t="s">
        <v>4119</v>
      </c>
      <c r="J8658" t="s">
        <v>35467</v>
      </c>
      <c r="K8658" t="s">
        <v>39017</v>
      </c>
      <c r="M8658" t="s">
        <v>40307</v>
      </c>
      <c r="N8658" t="s">
        <v>43166</v>
      </c>
      <c r="O8658" t="s">
        <v>43167</v>
      </c>
      <c r="P8658">
        <v>0</v>
      </c>
      <c r="Q8658">
        <v>2</v>
      </c>
      <c r="R8658" t="s">
        <v>43174</v>
      </c>
      <c r="S8658" t="s">
        <v>43396</v>
      </c>
      <c r="T8658" t="s">
        <v>44773</v>
      </c>
      <c r="U8658" t="s">
        <v>52147</v>
      </c>
      <c r="W8658" t="s">
        <v>40307</v>
      </c>
      <c r="X8658" t="s">
        <v>43175</v>
      </c>
    </row>
    <row r="8659" spans="1:24">
      <c r="A8659">
        <f>HYPERLINK("https://www.philgeps.gov.ph/GEPSNONPILOT/Tender/SplashBidNoticeAbstractUI.aspx?menuIndex=3&amp;refID=7075046&amp;Result=3","7075046")</f>
        <v>0</v>
      </c>
      <c r="B8659" t="s">
        <v>2309</v>
      </c>
      <c r="C8659" t="s">
        <v>11660</v>
      </c>
      <c r="D8659" t="s">
        <v>17419</v>
      </c>
      <c r="E8659" t="s">
        <v>24952</v>
      </c>
      <c r="F8659" t="s">
        <v>30052</v>
      </c>
      <c r="G8659" t="s">
        <v>30061</v>
      </c>
      <c r="H8659" t="s">
        <v>15498</v>
      </c>
      <c r="I8659" t="s">
        <v>4598</v>
      </c>
      <c r="J8659" t="s">
        <v>30333</v>
      </c>
      <c r="K8659" t="s">
        <v>39017</v>
      </c>
      <c r="M8659" t="s">
        <v>41795</v>
      </c>
      <c r="N8659" t="s">
        <v>43166</v>
      </c>
      <c r="O8659" t="s">
        <v>43167</v>
      </c>
      <c r="P8659">
        <v>0</v>
      </c>
      <c r="Q8659">
        <v>1</v>
      </c>
      <c r="R8659" t="s">
        <v>43174</v>
      </c>
      <c r="S8659" t="s">
        <v>43396</v>
      </c>
      <c r="T8659" t="s">
        <v>44717</v>
      </c>
      <c r="U8659" t="s">
        <v>52148</v>
      </c>
      <c r="W8659" t="s">
        <v>41795</v>
      </c>
      <c r="X8659" t="s">
        <v>43175</v>
      </c>
    </row>
    <row r="8660" spans="1:24">
      <c r="A8660">
        <f>HYPERLINK("https://www.philgeps.gov.ph/GEPSNONPILOT/Tender/SplashBidNoticeAbstractUI.aspx?menuIndex=3&amp;refID=7075063&amp;Result=3","7075063")</f>
        <v>0</v>
      </c>
      <c r="B8660" t="s">
        <v>1505</v>
      </c>
      <c r="C8660" t="s">
        <v>11661</v>
      </c>
      <c r="D8660" t="s">
        <v>17462</v>
      </c>
      <c r="E8660" t="s">
        <v>24953</v>
      </c>
      <c r="F8660" t="s">
        <v>30052</v>
      </c>
      <c r="G8660" t="s">
        <v>30058</v>
      </c>
      <c r="H8660" t="s">
        <v>30067</v>
      </c>
      <c r="I8660" t="s">
        <v>3693</v>
      </c>
      <c r="J8660" t="s">
        <v>33105</v>
      </c>
      <c r="K8660" t="s">
        <v>39023</v>
      </c>
      <c r="M8660" t="s">
        <v>40889</v>
      </c>
      <c r="N8660" t="s">
        <v>43166</v>
      </c>
      <c r="O8660" t="s">
        <v>43167</v>
      </c>
      <c r="P8660">
        <v>0</v>
      </c>
      <c r="Q8660">
        <v>7</v>
      </c>
      <c r="R8660" t="s">
        <v>43174</v>
      </c>
      <c r="S8660" t="s">
        <v>43396</v>
      </c>
      <c r="T8660" t="s">
        <v>44758</v>
      </c>
      <c r="U8660" t="s">
        <v>52149</v>
      </c>
      <c r="W8660" t="s">
        <v>58641</v>
      </c>
      <c r="X8660" t="s">
        <v>43175</v>
      </c>
    </row>
    <row r="8661" spans="1:24">
      <c r="A8661">
        <f>HYPERLINK("https://www.philgeps.gov.ph/GEPSNONPILOT/Tender/SplashBidNoticeAbstractUI.aspx?menuIndex=3&amp;refID=7075044&amp;Result=3","7075044")</f>
        <v>0</v>
      </c>
      <c r="B8661" t="s">
        <v>1240</v>
      </c>
      <c r="C8661" t="s">
        <v>11662</v>
      </c>
      <c r="D8661" t="s">
        <v>17424</v>
      </c>
      <c r="E8661" t="s">
        <v>24954</v>
      </c>
      <c r="F8661" t="s">
        <v>30052</v>
      </c>
      <c r="G8661" t="s">
        <v>30058</v>
      </c>
      <c r="H8661" t="s">
        <v>15498</v>
      </c>
      <c r="I8661" t="s">
        <v>30130</v>
      </c>
      <c r="J8661" t="s">
        <v>35468</v>
      </c>
      <c r="K8661" t="s">
        <v>39025</v>
      </c>
      <c r="M8661" t="s">
        <v>40596</v>
      </c>
      <c r="N8661" t="s">
        <v>43166</v>
      </c>
      <c r="O8661" t="s">
        <v>43167</v>
      </c>
      <c r="P8661">
        <v>0</v>
      </c>
      <c r="Q8661">
        <v>21</v>
      </c>
      <c r="R8661" t="s">
        <v>43174</v>
      </c>
      <c r="S8661" t="s">
        <v>43396</v>
      </c>
      <c r="T8661" t="s">
        <v>45093</v>
      </c>
      <c r="U8661" t="s">
        <v>52150</v>
      </c>
      <c r="V8661" t="s">
        <v>57742</v>
      </c>
      <c r="W8661" t="s">
        <v>40596</v>
      </c>
      <c r="X8661" t="s">
        <v>43175</v>
      </c>
    </row>
    <row r="8662" spans="1:24">
      <c r="A8662">
        <f>HYPERLINK("https://www.philgeps.gov.ph/GEPSNONPILOT/Tender/SplashBidNoticeAbstractUI.aspx?menuIndex=3&amp;refID=7075085&amp;Result=3","7075085")</f>
        <v>0</v>
      </c>
      <c r="B8662" t="s">
        <v>1464</v>
      </c>
      <c r="C8662" t="s">
        <v>8786</v>
      </c>
      <c r="D8662" t="s">
        <v>17415</v>
      </c>
      <c r="E8662" t="s">
        <v>24955</v>
      </c>
      <c r="F8662" t="s">
        <v>30052</v>
      </c>
      <c r="G8662" t="s">
        <v>30059</v>
      </c>
      <c r="H8662" t="s">
        <v>15498</v>
      </c>
      <c r="I8662" t="s">
        <v>30084</v>
      </c>
      <c r="J8662" t="s">
        <v>31055</v>
      </c>
      <c r="K8662" t="s">
        <v>39029</v>
      </c>
      <c r="M8662" t="s">
        <v>40845</v>
      </c>
      <c r="N8662" t="s">
        <v>43166</v>
      </c>
      <c r="O8662" t="s">
        <v>43167</v>
      </c>
      <c r="P8662">
        <v>0</v>
      </c>
      <c r="Q8662">
        <v>21</v>
      </c>
      <c r="R8662" t="s">
        <v>43174</v>
      </c>
      <c r="S8662" t="s">
        <v>43396</v>
      </c>
      <c r="T8662" t="s">
        <v>44714</v>
      </c>
      <c r="U8662" t="s">
        <v>48465</v>
      </c>
      <c r="W8662" t="s">
        <v>40845</v>
      </c>
      <c r="X8662" t="s">
        <v>43175</v>
      </c>
    </row>
    <row r="8663" spans="1:24">
      <c r="A8663">
        <f>HYPERLINK("https://www.philgeps.gov.ph/GEPSNONPILOT/Tender/SplashBidNoticeAbstractUI.aspx?menuIndex=3&amp;refID=7075060&amp;Result=3","7075060")</f>
        <v>0</v>
      </c>
      <c r="B8663" t="s">
        <v>121</v>
      </c>
      <c r="C8663" t="s">
        <v>11663</v>
      </c>
      <c r="D8663" t="s">
        <v>17440</v>
      </c>
      <c r="E8663" t="s">
        <v>24956</v>
      </c>
      <c r="F8663" t="s">
        <v>30052</v>
      </c>
      <c r="G8663" t="s">
        <v>30058</v>
      </c>
      <c r="H8663" t="s">
        <v>30067</v>
      </c>
      <c r="I8663" t="s">
        <v>3693</v>
      </c>
      <c r="J8663" t="s">
        <v>35469</v>
      </c>
      <c r="K8663" t="s">
        <v>39016</v>
      </c>
      <c r="M8663" t="s">
        <v>39410</v>
      </c>
      <c r="N8663" t="s">
        <v>43166</v>
      </c>
      <c r="O8663" t="s">
        <v>43167</v>
      </c>
      <c r="P8663">
        <v>0</v>
      </c>
      <c r="Q8663">
        <v>1</v>
      </c>
      <c r="R8663" t="s">
        <v>43174</v>
      </c>
      <c r="S8663" t="s">
        <v>43396</v>
      </c>
      <c r="T8663" t="s">
        <v>44925</v>
      </c>
      <c r="U8663" t="s">
        <v>52151</v>
      </c>
      <c r="W8663" t="s">
        <v>39410</v>
      </c>
      <c r="X8663" t="s">
        <v>43175</v>
      </c>
    </row>
    <row r="8664" spans="1:24">
      <c r="A8664">
        <f>HYPERLINK("https://www.philgeps.gov.ph/GEPSNONPILOT/Tender/SplashBidNoticeAbstractUI.aspx?menuIndex=3&amp;refID=7075114&amp;Result=3","7075114")</f>
        <v>0</v>
      </c>
      <c r="B8664" t="s">
        <v>1505</v>
      </c>
      <c r="C8664" t="s">
        <v>11664</v>
      </c>
      <c r="D8664" t="s">
        <v>17462</v>
      </c>
      <c r="E8664" t="s">
        <v>24957</v>
      </c>
      <c r="F8664" t="s">
        <v>30052</v>
      </c>
      <c r="G8664" t="s">
        <v>30058</v>
      </c>
      <c r="H8664" t="s">
        <v>30067</v>
      </c>
      <c r="I8664" t="s">
        <v>3693</v>
      </c>
      <c r="J8664" t="s">
        <v>31772</v>
      </c>
      <c r="K8664" t="s">
        <v>39046</v>
      </c>
      <c r="M8664" t="s">
        <v>40889</v>
      </c>
      <c r="N8664" t="s">
        <v>43166</v>
      </c>
      <c r="O8664" t="s">
        <v>43167</v>
      </c>
      <c r="P8664">
        <v>0</v>
      </c>
      <c r="Q8664">
        <v>6</v>
      </c>
      <c r="R8664" t="s">
        <v>43174</v>
      </c>
      <c r="S8664" t="s">
        <v>43396</v>
      </c>
      <c r="T8664" t="s">
        <v>44758</v>
      </c>
      <c r="U8664" t="s">
        <v>52149</v>
      </c>
      <c r="W8664" t="s">
        <v>58641</v>
      </c>
      <c r="X8664" t="s">
        <v>43175</v>
      </c>
    </row>
    <row r="8665" spans="1:24">
      <c r="A8665">
        <f>HYPERLINK("https://www.philgeps.gov.ph/GEPSNONPILOT/Tender/SplashBidNoticeAbstractUI.aspx?menuIndex=3&amp;refID=7075123&amp;Result=3","7075123")</f>
        <v>0</v>
      </c>
      <c r="B8665" t="s">
        <v>2550</v>
      </c>
      <c r="C8665" t="s">
        <v>11665</v>
      </c>
      <c r="D8665" t="s">
        <v>17445</v>
      </c>
      <c r="E8665" t="s">
        <v>24958</v>
      </c>
      <c r="F8665" t="s">
        <v>30052</v>
      </c>
      <c r="G8665" t="s">
        <v>30061</v>
      </c>
      <c r="H8665" t="s">
        <v>15498</v>
      </c>
      <c r="I8665" t="s">
        <v>30106</v>
      </c>
      <c r="J8665" t="s">
        <v>30900</v>
      </c>
      <c r="K8665" t="s">
        <v>39029</v>
      </c>
      <c r="M8665" t="s">
        <v>42120</v>
      </c>
      <c r="N8665" t="s">
        <v>43166</v>
      </c>
      <c r="O8665" t="s">
        <v>43167</v>
      </c>
      <c r="P8665">
        <v>0</v>
      </c>
      <c r="Q8665">
        <v>13</v>
      </c>
      <c r="R8665" t="s">
        <v>43174</v>
      </c>
      <c r="S8665" t="s">
        <v>43396</v>
      </c>
      <c r="T8665" t="s">
        <v>45047</v>
      </c>
      <c r="U8665" t="s">
        <v>51993</v>
      </c>
      <c r="W8665" t="s">
        <v>42120</v>
      </c>
      <c r="X8665" t="s">
        <v>43175</v>
      </c>
    </row>
    <row r="8666" spans="1:24">
      <c r="A8666">
        <f>HYPERLINK("https://www.philgeps.gov.ph/GEPSNONPILOT/Tender/SplashBidNoticeAbstractUI.aspx?menuIndex=3&amp;refID=7075057&amp;Result=3","7075057")</f>
        <v>0</v>
      </c>
      <c r="B8666" t="s">
        <v>2550</v>
      </c>
      <c r="C8666" t="s">
        <v>11666</v>
      </c>
      <c r="D8666" t="s">
        <v>17445</v>
      </c>
      <c r="E8666" t="s">
        <v>24959</v>
      </c>
      <c r="F8666" t="s">
        <v>30052</v>
      </c>
      <c r="G8666" t="s">
        <v>30061</v>
      </c>
      <c r="H8666" t="s">
        <v>15498</v>
      </c>
      <c r="I8666" t="s">
        <v>30135</v>
      </c>
      <c r="J8666" t="s">
        <v>35470</v>
      </c>
      <c r="K8666" t="s">
        <v>39029</v>
      </c>
      <c r="M8666" t="s">
        <v>42120</v>
      </c>
      <c r="N8666" t="s">
        <v>43166</v>
      </c>
      <c r="O8666" t="s">
        <v>43167</v>
      </c>
      <c r="P8666">
        <v>0</v>
      </c>
      <c r="Q8666">
        <v>7</v>
      </c>
      <c r="R8666" t="s">
        <v>43174</v>
      </c>
      <c r="S8666" t="s">
        <v>43396</v>
      </c>
      <c r="T8666" t="s">
        <v>45047</v>
      </c>
      <c r="U8666" t="s">
        <v>51993</v>
      </c>
      <c r="W8666" t="s">
        <v>42120</v>
      </c>
      <c r="X8666" t="s">
        <v>43175</v>
      </c>
    </row>
    <row r="8667" spans="1:24">
      <c r="A8667">
        <f>HYPERLINK("https://www.philgeps.gov.ph/GEPSNONPILOT/Tender/SplashBidNoticeAbstractUI.aspx?menuIndex=3&amp;refID=7075116&amp;Result=3","7075116")</f>
        <v>0</v>
      </c>
      <c r="B8667" t="s">
        <v>918</v>
      </c>
      <c r="C8667" t="s">
        <v>11667</v>
      </c>
      <c r="D8667" t="s">
        <v>17424</v>
      </c>
      <c r="E8667" t="s">
        <v>24960</v>
      </c>
      <c r="F8667" t="s">
        <v>30052</v>
      </c>
      <c r="G8667" t="s">
        <v>30063</v>
      </c>
      <c r="H8667" t="s">
        <v>30067</v>
      </c>
      <c r="I8667" t="s">
        <v>3693</v>
      </c>
      <c r="J8667" t="s">
        <v>35471</v>
      </c>
      <c r="K8667" t="s">
        <v>39020</v>
      </c>
      <c r="M8667" t="s">
        <v>40241</v>
      </c>
      <c r="N8667" t="s">
        <v>43166</v>
      </c>
      <c r="O8667" t="s">
        <v>43167</v>
      </c>
      <c r="P8667">
        <v>0</v>
      </c>
      <c r="Q8667">
        <v>6</v>
      </c>
      <c r="R8667" t="s">
        <v>43174</v>
      </c>
      <c r="S8667" t="s">
        <v>43396</v>
      </c>
      <c r="T8667" t="s">
        <v>44716</v>
      </c>
      <c r="U8667" t="s">
        <v>52152</v>
      </c>
      <c r="V8667" t="s">
        <v>57086</v>
      </c>
      <c r="W8667" t="s">
        <v>40241</v>
      </c>
      <c r="X8667" t="s">
        <v>43175</v>
      </c>
    </row>
    <row r="8668" spans="1:24">
      <c r="A8668">
        <f>HYPERLINK("https://www.philgeps.gov.ph/GEPSNONPILOT/Tender/SplashBidNoticeAbstractUI.aspx?menuIndex=3&amp;refID=7075110&amp;Result=3","7075110")</f>
        <v>0</v>
      </c>
      <c r="B8668" t="s">
        <v>2609</v>
      </c>
      <c r="C8668" t="s">
        <v>11668</v>
      </c>
      <c r="D8668" t="s">
        <v>17423</v>
      </c>
      <c r="E8668" t="s">
        <v>24961</v>
      </c>
      <c r="F8668" t="s">
        <v>30052</v>
      </c>
      <c r="G8668" t="s">
        <v>30058</v>
      </c>
      <c r="H8668" t="s">
        <v>30067</v>
      </c>
      <c r="I8668" t="s">
        <v>3693</v>
      </c>
      <c r="J8668" t="s">
        <v>33473</v>
      </c>
      <c r="K8668" t="s">
        <v>39019</v>
      </c>
      <c r="M8668" t="s">
        <v>42121</v>
      </c>
      <c r="N8668" t="s">
        <v>43166</v>
      </c>
      <c r="O8668" t="s">
        <v>43167</v>
      </c>
      <c r="P8668">
        <v>0</v>
      </c>
      <c r="Q8668">
        <v>0</v>
      </c>
      <c r="R8668" t="s">
        <v>43174</v>
      </c>
      <c r="S8668" t="s">
        <v>43396</v>
      </c>
      <c r="T8668" t="s">
        <v>44856</v>
      </c>
      <c r="U8668" t="s">
        <v>52153</v>
      </c>
      <c r="W8668" t="s">
        <v>42121</v>
      </c>
      <c r="X8668" t="s">
        <v>43175</v>
      </c>
    </row>
    <row r="8669" spans="1:24">
      <c r="A8669">
        <f>HYPERLINK("https://www.philgeps.gov.ph/GEPSNONPILOT/Tender/SplashBidNoticeAbstractUI.aspx?menuIndex=3&amp;refID=7075061&amp;Result=3","7075061")</f>
        <v>0</v>
      </c>
      <c r="B8669" t="s">
        <v>2098</v>
      </c>
      <c r="C8669" t="s">
        <v>11669</v>
      </c>
      <c r="D8669" t="s">
        <v>17414</v>
      </c>
      <c r="E8669" t="s">
        <v>24962</v>
      </c>
      <c r="F8669" t="s">
        <v>30052</v>
      </c>
      <c r="G8669" t="s">
        <v>30061</v>
      </c>
      <c r="H8669" t="s">
        <v>15498</v>
      </c>
      <c r="I8669" t="s">
        <v>30070</v>
      </c>
      <c r="J8669" t="s">
        <v>35472</v>
      </c>
      <c r="K8669" t="s">
        <v>39017</v>
      </c>
      <c r="M8669" t="s">
        <v>42002</v>
      </c>
      <c r="N8669" t="s">
        <v>43166</v>
      </c>
      <c r="O8669" t="s">
        <v>43167</v>
      </c>
      <c r="P8669">
        <v>0</v>
      </c>
      <c r="Q8669">
        <v>0</v>
      </c>
      <c r="R8669" t="s">
        <v>43174</v>
      </c>
      <c r="S8669" t="s">
        <v>43396</v>
      </c>
      <c r="T8669" t="s">
        <v>44777</v>
      </c>
      <c r="U8669" t="s">
        <v>52154</v>
      </c>
      <c r="W8669" t="s">
        <v>42002</v>
      </c>
      <c r="X8669" t="s">
        <v>43175</v>
      </c>
    </row>
    <row r="8670" spans="1:24">
      <c r="A8670">
        <f>HYPERLINK("https://www.philgeps.gov.ph/GEPSNONPILOT/Tender/SplashBidNoticeAbstractUI.aspx?menuIndex=3&amp;refID=7075107&amp;Result=3","7075107")</f>
        <v>0</v>
      </c>
      <c r="B8670" t="s">
        <v>2610</v>
      </c>
      <c r="C8670" t="s">
        <v>11670</v>
      </c>
      <c r="D8670" t="s">
        <v>17472</v>
      </c>
      <c r="E8670" t="s">
        <v>24963</v>
      </c>
      <c r="F8670" t="s">
        <v>30052</v>
      </c>
      <c r="G8670" t="s">
        <v>30058</v>
      </c>
      <c r="H8670" t="s">
        <v>30067</v>
      </c>
      <c r="I8670" t="s">
        <v>3693</v>
      </c>
      <c r="J8670" t="s">
        <v>31728</v>
      </c>
      <c r="K8670" t="s">
        <v>39025</v>
      </c>
      <c r="M8670" t="s">
        <v>42122</v>
      </c>
      <c r="N8670" t="s">
        <v>43166</v>
      </c>
      <c r="O8670" t="s">
        <v>43167</v>
      </c>
      <c r="P8670">
        <v>0</v>
      </c>
      <c r="Q8670">
        <v>0</v>
      </c>
      <c r="R8670" t="s">
        <v>43174</v>
      </c>
      <c r="S8670" t="s">
        <v>43396</v>
      </c>
      <c r="T8670" t="s">
        <v>44716</v>
      </c>
      <c r="U8670" t="s">
        <v>52155</v>
      </c>
      <c r="W8670" t="s">
        <v>42122</v>
      </c>
      <c r="X8670" t="s">
        <v>43175</v>
      </c>
    </row>
    <row r="8671" spans="1:24">
      <c r="A8671">
        <f>HYPERLINK("https://www.philgeps.gov.ph/GEPSNONPILOT/Tender/SplashBidNoticeAbstractUI.aspx?menuIndex=3&amp;refID=7075124&amp;Result=3","7075124")</f>
        <v>0</v>
      </c>
      <c r="B8671" t="s">
        <v>1636</v>
      </c>
      <c r="C8671" t="s">
        <v>11671</v>
      </c>
      <c r="D8671" t="s">
        <v>17466</v>
      </c>
      <c r="E8671" t="s">
        <v>24964</v>
      </c>
      <c r="F8671" t="s">
        <v>30052</v>
      </c>
      <c r="G8671" t="s">
        <v>30058</v>
      </c>
      <c r="H8671" t="s">
        <v>15498</v>
      </c>
      <c r="I8671" t="s">
        <v>30105</v>
      </c>
      <c r="J8671" t="s">
        <v>35473</v>
      </c>
      <c r="K8671" t="s">
        <v>39019</v>
      </c>
      <c r="M8671" t="s">
        <v>41038</v>
      </c>
      <c r="N8671" t="s">
        <v>43166</v>
      </c>
      <c r="O8671" t="s">
        <v>43167</v>
      </c>
      <c r="P8671">
        <v>0</v>
      </c>
      <c r="Q8671">
        <v>3</v>
      </c>
      <c r="R8671" t="s">
        <v>43174</v>
      </c>
      <c r="S8671" t="s">
        <v>43396</v>
      </c>
      <c r="T8671" t="s">
        <v>44841</v>
      </c>
      <c r="U8671" t="s">
        <v>50911</v>
      </c>
      <c r="W8671" t="s">
        <v>41038</v>
      </c>
      <c r="X8671" t="s">
        <v>43175</v>
      </c>
    </row>
    <row r="8672" spans="1:24">
      <c r="A8672">
        <f>HYPERLINK("https://www.philgeps.gov.ph/GEPSNONPILOT/Tender/SplashBidNoticeAbstractUI.aspx?menuIndex=3&amp;refID=7075105&amp;Result=3","7075105")</f>
        <v>0</v>
      </c>
      <c r="B8672" t="s">
        <v>1038</v>
      </c>
      <c r="C8672" t="s">
        <v>11672</v>
      </c>
      <c r="D8672" t="s">
        <v>17436</v>
      </c>
      <c r="E8672" t="s">
        <v>24965</v>
      </c>
      <c r="F8672" t="s">
        <v>30052</v>
      </c>
      <c r="G8672" t="s">
        <v>30058</v>
      </c>
      <c r="H8672" t="s">
        <v>15498</v>
      </c>
      <c r="I8672" t="s">
        <v>3693</v>
      </c>
      <c r="J8672" t="s">
        <v>30252</v>
      </c>
      <c r="K8672" t="s">
        <v>39025</v>
      </c>
      <c r="M8672" t="s">
        <v>40369</v>
      </c>
      <c r="N8672" t="s">
        <v>43166</v>
      </c>
      <c r="O8672" t="s">
        <v>43167</v>
      </c>
      <c r="P8672">
        <v>0</v>
      </c>
      <c r="Q8672">
        <v>0</v>
      </c>
      <c r="R8672" t="s">
        <v>43174</v>
      </c>
      <c r="S8672" t="s">
        <v>43396</v>
      </c>
      <c r="T8672" t="s">
        <v>44705</v>
      </c>
      <c r="U8672" t="s">
        <v>52156</v>
      </c>
      <c r="W8672" t="s">
        <v>40369</v>
      </c>
      <c r="X8672" t="s">
        <v>43175</v>
      </c>
    </row>
    <row r="8673" spans="1:24">
      <c r="A8673">
        <f>HYPERLINK("https://www.philgeps.gov.ph/GEPSNONPILOT/Tender/SplashBidNoticeAbstractUI.aspx?menuIndex=3&amp;refID=7075099&amp;Result=3","7075099")</f>
        <v>0</v>
      </c>
      <c r="B8673" t="s">
        <v>2126</v>
      </c>
      <c r="C8673" t="s">
        <v>11673</v>
      </c>
      <c r="D8673" t="s">
        <v>17432</v>
      </c>
      <c r="E8673" t="s">
        <v>24966</v>
      </c>
      <c r="F8673" t="s">
        <v>30052</v>
      </c>
      <c r="G8673" t="s">
        <v>30058</v>
      </c>
      <c r="H8673" t="s">
        <v>30067</v>
      </c>
      <c r="I8673" t="s">
        <v>3693</v>
      </c>
      <c r="J8673" t="s">
        <v>35474</v>
      </c>
      <c r="K8673" t="s">
        <v>39065</v>
      </c>
      <c r="M8673" t="s">
        <v>41590</v>
      </c>
      <c r="N8673" t="s">
        <v>43166</v>
      </c>
      <c r="O8673" t="s">
        <v>43167</v>
      </c>
      <c r="P8673">
        <v>0</v>
      </c>
      <c r="Q8673">
        <v>0</v>
      </c>
      <c r="R8673" t="s">
        <v>43174</v>
      </c>
      <c r="S8673" t="s">
        <v>43396</v>
      </c>
      <c r="T8673" t="s">
        <v>44991</v>
      </c>
      <c r="U8673" t="s">
        <v>52157</v>
      </c>
      <c r="V8673" t="s">
        <v>57526</v>
      </c>
      <c r="W8673" t="s">
        <v>41590</v>
      </c>
      <c r="X8673" t="s">
        <v>43175</v>
      </c>
    </row>
    <row r="8674" spans="1:24">
      <c r="A8674">
        <f>HYPERLINK("https://www.philgeps.gov.ph/GEPSNONPILOT/Tender/SplashBidNoticeAbstractUI.aspx?menuIndex=3&amp;refID=7075118&amp;Result=3","7075118")</f>
        <v>0</v>
      </c>
      <c r="B8674" t="s">
        <v>1682</v>
      </c>
      <c r="C8674" t="s">
        <v>11674</v>
      </c>
      <c r="D8674" t="s">
        <v>17453</v>
      </c>
      <c r="E8674" t="s">
        <v>24967</v>
      </c>
      <c r="F8674" t="s">
        <v>30052</v>
      </c>
      <c r="G8674" t="s">
        <v>30059</v>
      </c>
      <c r="H8674" t="s">
        <v>15498</v>
      </c>
      <c r="I8674" t="s">
        <v>30117</v>
      </c>
      <c r="J8674" t="s">
        <v>35475</v>
      </c>
      <c r="K8674" t="s">
        <v>39019</v>
      </c>
      <c r="M8674" t="s">
        <v>41118</v>
      </c>
      <c r="N8674" t="s">
        <v>43166</v>
      </c>
      <c r="O8674" t="s">
        <v>43167</v>
      </c>
      <c r="P8674">
        <v>0</v>
      </c>
      <c r="Q8674">
        <v>4</v>
      </c>
      <c r="R8674" t="s">
        <v>43174</v>
      </c>
      <c r="S8674" t="s">
        <v>43396</v>
      </c>
      <c r="T8674" t="s">
        <v>44870</v>
      </c>
      <c r="U8674" t="s">
        <v>52158</v>
      </c>
      <c r="W8674" t="s">
        <v>41118</v>
      </c>
      <c r="X8674" t="s">
        <v>43175</v>
      </c>
    </row>
    <row r="8675" spans="1:24">
      <c r="A8675">
        <f>HYPERLINK("https://www.philgeps.gov.ph/GEPSNONPILOT/Tender/SplashBidNoticeAbstractUI.aspx?menuIndex=3&amp;refID=7075111&amp;Result=3","7075111")</f>
        <v>0</v>
      </c>
      <c r="B8675" t="s">
        <v>820</v>
      </c>
      <c r="C8675" t="s">
        <v>11675</v>
      </c>
      <c r="E8675" t="s">
        <v>24968</v>
      </c>
      <c r="F8675" t="s">
        <v>30052</v>
      </c>
      <c r="G8675" t="s">
        <v>30059</v>
      </c>
      <c r="H8675" t="s">
        <v>15498</v>
      </c>
      <c r="I8675" t="s">
        <v>30084</v>
      </c>
      <c r="J8675" t="s">
        <v>30277</v>
      </c>
      <c r="K8675" t="s">
        <v>39034</v>
      </c>
      <c r="M8675" t="s">
        <v>40137</v>
      </c>
      <c r="N8675" t="s">
        <v>43166</v>
      </c>
      <c r="O8675" t="s">
        <v>43167</v>
      </c>
      <c r="P8675">
        <v>0</v>
      </c>
      <c r="Q8675">
        <v>0</v>
      </c>
      <c r="R8675" t="s">
        <v>43174</v>
      </c>
      <c r="S8675" t="s">
        <v>43396</v>
      </c>
      <c r="T8675" t="s">
        <v>44737</v>
      </c>
      <c r="U8675" t="s">
        <v>52159</v>
      </c>
      <c r="V8675" t="s">
        <v>57736</v>
      </c>
      <c r="W8675" t="s">
        <v>40137</v>
      </c>
      <c r="X8675" t="s">
        <v>43175</v>
      </c>
    </row>
    <row r="8676" spans="1:24">
      <c r="A8676">
        <f>HYPERLINK("https://www.philgeps.gov.ph/GEPSNONPILOT/Tender/SplashBidNoticeAbstractUI.aspx?menuIndex=3&amp;refID=7075098&amp;Result=3","7075098")</f>
        <v>0</v>
      </c>
      <c r="B8676" t="s">
        <v>146</v>
      </c>
      <c r="C8676" t="s">
        <v>11676</v>
      </c>
      <c r="D8676" t="s">
        <v>17432</v>
      </c>
      <c r="E8676" t="s">
        <v>24969</v>
      </c>
      <c r="F8676" t="s">
        <v>30052</v>
      </c>
      <c r="G8676" t="s">
        <v>30058</v>
      </c>
      <c r="H8676" t="s">
        <v>15498</v>
      </c>
      <c r="I8676" t="s">
        <v>3736</v>
      </c>
      <c r="J8676" t="s">
        <v>35476</v>
      </c>
      <c r="K8676" t="s">
        <v>39034</v>
      </c>
      <c r="M8676" t="s">
        <v>39435</v>
      </c>
      <c r="N8676" t="s">
        <v>43166</v>
      </c>
      <c r="O8676" t="s">
        <v>43167</v>
      </c>
      <c r="P8676">
        <v>0</v>
      </c>
      <c r="Q8676">
        <v>1</v>
      </c>
      <c r="R8676" t="s">
        <v>43174</v>
      </c>
      <c r="S8676" t="s">
        <v>43396</v>
      </c>
      <c r="T8676" t="s">
        <v>45039</v>
      </c>
      <c r="U8676" t="s">
        <v>52160</v>
      </c>
      <c r="V8676" t="s">
        <v>57743</v>
      </c>
      <c r="W8676" t="s">
        <v>39435</v>
      </c>
      <c r="X8676" t="s">
        <v>43175</v>
      </c>
    </row>
    <row r="8677" spans="1:24">
      <c r="A8677">
        <f>HYPERLINK("https://www.philgeps.gov.ph/GEPSNONPILOT/Tender/SplashBidNoticeAbstractUI.aspx?menuIndex=3&amp;refID=7075106&amp;Result=3","7075106")</f>
        <v>0</v>
      </c>
      <c r="B8677" t="s">
        <v>2611</v>
      </c>
      <c r="C8677" t="s">
        <v>11677</v>
      </c>
      <c r="D8677" t="s">
        <v>17422</v>
      </c>
      <c r="E8677" t="s">
        <v>24931</v>
      </c>
      <c r="F8677" t="s">
        <v>30052</v>
      </c>
      <c r="G8677" t="s">
        <v>30061</v>
      </c>
      <c r="H8677" t="s">
        <v>30067</v>
      </c>
      <c r="I8677" t="s">
        <v>3736</v>
      </c>
      <c r="J8677" t="s">
        <v>35477</v>
      </c>
      <c r="K8677" t="s">
        <v>39029</v>
      </c>
      <c r="M8677" t="s">
        <v>42123</v>
      </c>
      <c r="N8677" t="s">
        <v>43166</v>
      </c>
      <c r="O8677" t="s">
        <v>43167</v>
      </c>
      <c r="P8677">
        <v>0</v>
      </c>
      <c r="Q8677">
        <v>1</v>
      </c>
      <c r="R8677" t="s">
        <v>43174</v>
      </c>
      <c r="S8677" t="s">
        <v>43396</v>
      </c>
      <c r="T8677" t="s">
        <v>44837</v>
      </c>
      <c r="U8677" t="s">
        <v>52161</v>
      </c>
      <c r="W8677" t="s">
        <v>42123</v>
      </c>
      <c r="X8677" t="s">
        <v>43175</v>
      </c>
    </row>
    <row r="8678" spans="1:24">
      <c r="A8678">
        <f>HYPERLINK("https://www.philgeps.gov.ph/GEPSNONPILOT/Tender/SplashBidNoticeAbstractUI.aspx?menuIndex=3&amp;refID=7075121&amp;Result=3","7075121")</f>
        <v>0</v>
      </c>
      <c r="B8678" t="s">
        <v>1439</v>
      </c>
      <c r="C8678" t="s">
        <v>11678</v>
      </c>
      <c r="D8678" t="s">
        <v>17479</v>
      </c>
      <c r="E8678" t="s">
        <v>24970</v>
      </c>
      <c r="F8678" t="s">
        <v>30052</v>
      </c>
      <c r="G8678" t="s">
        <v>30064</v>
      </c>
      <c r="H8678" t="s">
        <v>15498</v>
      </c>
      <c r="I8678" t="s">
        <v>6691</v>
      </c>
      <c r="J8678" t="s">
        <v>30218</v>
      </c>
      <c r="K8678" t="s">
        <v>39017</v>
      </c>
      <c r="M8678" t="s">
        <v>40817</v>
      </c>
      <c r="N8678" t="s">
        <v>43166</v>
      </c>
      <c r="O8678" t="s">
        <v>43167</v>
      </c>
      <c r="P8678">
        <v>0</v>
      </c>
      <c r="Q8678">
        <v>0</v>
      </c>
      <c r="R8678" t="s">
        <v>43174</v>
      </c>
      <c r="S8678" t="s">
        <v>43396</v>
      </c>
      <c r="T8678" t="s">
        <v>44837</v>
      </c>
      <c r="U8678" t="s">
        <v>52162</v>
      </c>
      <c r="W8678" t="s">
        <v>40817</v>
      </c>
      <c r="X8678" t="s">
        <v>43175</v>
      </c>
    </row>
    <row r="8679" spans="1:24">
      <c r="A8679">
        <f>HYPERLINK("https://www.philgeps.gov.ph/GEPSNONPILOT/Tender/SplashBidNoticeAbstractUI.aspx?menuIndex=3&amp;refID=7075102&amp;Result=3","7075102")</f>
        <v>0</v>
      </c>
      <c r="B8679" t="s">
        <v>2098</v>
      </c>
      <c r="C8679" t="s">
        <v>7929</v>
      </c>
      <c r="D8679" t="s">
        <v>17414</v>
      </c>
      <c r="E8679" t="s">
        <v>24971</v>
      </c>
      <c r="F8679" t="s">
        <v>30052</v>
      </c>
      <c r="G8679" t="s">
        <v>30059</v>
      </c>
      <c r="H8679" t="s">
        <v>15498</v>
      </c>
      <c r="I8679" t="s">
        <v>30076</v>
      </c>
      <c r="J8679" t="s">
        <v>35222</v>
      </c>
      <c r="K8679" t="s">
        <v>39017</v>
      </c>
      <c r="M8679" t="s">
        <v>42002</v>
      </c>
      <c r="N8679" t="s">
        <v>43166</v>
      </c>
      <c r="O8679" t="s">
        <v>43167</v>
      </c>
      <c r="P8679">
        <v>0</v>
      </c>
      <c r="Q8679">
        <v>2</v>
      </c>
      <c r="R8679" t="s">
        <v>43174</v>
      </c>
      <c r="S8679" t="s">
        <v>43396</v>
      </c>
      <c r="T8679" t="s">
        <v>44777</v>
      </c>
      <c r="U8679" t="s">
        <v>52163</v>
      </c>
      <c r="W8679" t="s">
        <v>42002</v>
      </c>
      <c r="X8679" t="s">
        <v>43175</v>
      </c>
    </row>
    <row r="8680" spans="1:24">
      <c r="A8680">
        <f>HYPERLINK("https://www.philgeps.gov.ph/GEPSNONPILOT/Tender/SplashBidNoticeAbstractUI.aspx?menuIndex=3&amp;refID=7075074&amp;Result=3","7075074")</f>
        <v>0</v>
      </c>
      <c r="B8680" t="s">
        <v>2612</v>
      </c>
      <c r="C8680" t="s">
        <v>11679</v>
      </c>
      <c r="E8680" t="s">
        <v>24972</v>
      </c>
      <c r="F8680" t="s">
        <v>30052</v>
      </c>
      <c r="G8680" t="s">
        <v>30058</v>
      </c>
      <c r="H8680" t="s">
        <v>15498</v>
      </c>
      <c r="I8680" t="s">
        <v>30124</v>
      </c>
      <c r="J8680" t="s">
        <v>35478</v>
      </c>
      <c r="K8680" t="s">
        <v>39026</v>
      </c>
      <c r="M8680" t="s">
        <v>42124</v>
      </c>
      <c r="N8680" t="s">
        <v>43166</v>
      </c>
      <c r="O8680" t="s">
        <v>43167</v>
      </c>
      <c r="P8680">
        <v>0</v>
      </c>
      <c r="Q8680">
        <v>6</v>
      </c>
      <c r="R8680" t="s">
        <v>43174</v>
      </c>
      <c r="S8680" t="s">
        <v>43396</v>
      </c>
      <c r="T8680" t="s">
        <v>45101</v>
      </c>
      <c r="U8680" t="s">
        <v>52164</v>
      </c>
      <c r="W8680" t="s">
        <v>58681</v>
      </c>
      <c r="X8680" t="s">
        <v>43175</v>
      </c>
    </row>
    <row r="8681" spans="1:24">
      <c r="A8681">
        <f>HYPERLINK("https://www.philgeps.gov.ph/GEPSNONPILOT/Tender/SplashBidNoticeAbstractUI.aspx?menuIndex=3&amp;refID=7075095&amp;Result=3","7075095")</f>
        <v>0</v>
      </c>
      <c r="B8681" t="s">
        <v>658</v>
      </c>
      <c r="C8681" t="s">
        <v>11680</v>
      </c>
      <c r="D8681" t="s">
        <v>17434</v>
      </c>
      <c r="E8681" t="s">
        <v>24973</v>
      </c>
      <c r="F8681" t="s">
        <v>30052</v>
      </c>
      <c r="G8681" t="s">
        <v>30058</v>
      </c>
      <c r="H8681" t="s">
        <v>15498</v>
      </c>
      <c r="I8681" t="s">
        <v>30079</v>
      </c>
      <c r="J8681" t="s">
        <v>35479</v>
      </c>
      <c r="K8681" t="s">
        <v>39029</v>
      </c>
      <c r="M8681" t="s">
        <v>40517</v>
      </c>
      <c r="N8681" t="s">
        <v>43166</v>
      </c>
      <c r="O8681" t="s">
        <v>43167</v>
      </c>
      <c r="P8681">
        <v>0</v>
      </c>
      <c r="Q8681">
        <v>4</v>
      </c>
      <c r="R8681" t="s">
        <v>43174</v>
      </c>
      <c r="S8681" t="s">
        <v>43396</v>
      </c>
      <c r="T8681" t="s">
        <v>44750</v>
      </c>
      <c r="U8681" t="s">
        <v>52075</v>
      </c>
      <c r="W8681" t="s">
        <v>40517</v>
      </c>
      <c r="X8681" t="s">
        <v>43175</v>
      </c>
    </row>
    <row r="8682" spans="1:24">
      <c r="A8682">
        <f>HYPERLINK("https://www.philgeps.gov.ph/GEPSNONPILOT/Tender/SplashBidNoticeAbstractUI.aspx?menuIndex=3&amp;refID=7075171&amp;Result=3","7075171")</f>
        <v>0</v>
      </c>
      <c r="B8682" t="s">
        <v>2387</v>
      </c>
      <c r="C8682" t="s">
        <v>11681</v>
      </c>
      <c r="D8682" t="s">
        <v>17431</v>
      </c>
      <c r="E8682" t="s">
        <v>24974</v>
      </c>
      <c r="F8682" t="s">
        <v>30052</v>
      </c>
      <c r="G8682" t="s">
        <v>30059</v>
      </c>
      <c r="H8682" t="s">
        <v>15498</v>
      </c>
      <c r="I8682" t="s">
        <v>3852</v>
      </c>
      <c r="J8682" t="s">
        <v>35480</v>
      </c>
      <c r="K8682" t="s">
        <v>39017</v>
      </c>
      <c r="M8682" t="s">
        <v>41882</v>
      </c>
      <c r="N8682" t="s">
        <v>43166</v>
      </c>
      <c r="O8682" t="s">
        <v>43167</v>
      </c>
      <c r="P8682">
        <v>0</v>
      </c>
      <c r="Q8682">
        <v>2</v>
      </c>
      <c r="R8682" t="s">
        <v>43174</v>
      </c>
      <c r="S8682" t="s">
        <v>43396</v>
      </c>
      <c r="T8682" t="s">
        <v>44717</v>
      </c>
      <c r="U8682" t="s">
        <v>52165</v>
      </c>
      <c r="W8682" t="s">
        <v>41882</v>
      </c>
      <c r="X8682" t="s">
        <v>43175</v>
      </c>
    </row>
    <row r="8683" spans="1:24">
      <c r="A8683">
        <f>HYPERLINK("https://www.philgeps.gov.ph/GEPSNONPILOT/Tender/SplashBidNoticeAbstractUI.aspx?menuIndex=3&amp;refID=7075169&amp;Result=3","7075169")</f>
        <v>0</v>
      </c>
      <c r="B8683" t="s">
        <v>1608</v>
      </c>
      <c r="C8683" t="s">
        <v>11682</v>
      </c>
      <c r="D8683" t="s">
        <v>17415</v>
      </c>
      <c r="E8683" t="s">
        <v>24975</v>
      </c>
      <c r="F8683" t="s">
        <v>30052</v>
      </c>
      <c r="G8683" t="s">
        <v>30058</v>
      </c>
      <c r="H8683" t="s">
        <v>15498</v>
      </c>
      <c r="I8683" t="s">
        <v>3852</v>
      </c>
      <c r="J8683" t="s">
        <v>35481</v>
      </c>
      <c r="K8683" t="s">
        <v>39019</v>
      </c>
      <c r="M8683" t="s">
        <v>41506</v>
      </c>
      <c r="N8683" t="s">
        <v>43166</v>
      </c>
      <c r="O8683" t="s">
        <v>43167</v>
      </c>
      <c r="P8683">
        <v>0</v>
      </c>
      <c r="Q8683">
        <v>0</v>
      </c>
      <c r="R8683" t="s">
        <v>43174</v>
      </c>
      <c r="S8683" t="s">
        <v>43396</v>
      </c>
      <c r="T8683" t="s">
        <v>44844</v>
      </c>
      <c r="U8683" t="s">
        <v>48908</v>
      </c>
      <c r="W8683" t="s">
        <v>41506</v>
      </c>
      <c r="X8683" t="s">
        <v>43175</v>
      </c>
    </row>
    <row r="8684" spans="1:24">
      <c r="A8684">
        <f>HYPERLINK("https://www.philgeps.gov.ph/GEPSNONPILOT/Tender/SplashBidNoticeAbstractUI.aspx?menuIndex=3&amp;refID=7075156&amp;Result=3","7075156")</f>
        <v>0</v>
      </c>
      <c r="B8684" t="s">
        <v>2550</v>
      </c>
      <c r="C8684" t="s">
        <v>11683</v>
      </c>
      <c r="D8684" t="s">
        <v>17421</v>
      </c>
      <c r="E8684" t="s">
        <v>24976</v>
      </c>
      <c r="F8684" t="s">
        <v>30052</v>
      </c>
      <c r="G8684" t="s">
        <v>30061</v>
      </c>
      <c r="H8684" t="s">
        <v>15498</v>
      </c>
      <c r="I8684" t="s">
        <v>3852</v>
      </c>
      <c r="J8684" t="s">
        <v>35482</v>
      </c>
      <c r="K8684" t="s">
        <v>39029</v>
      </c>
      <c r="M8684" t="s">
        <v>42120</v>
      </c>
      <c r="N8684" t="s">
        <v>43166</v>
      </c>
      <c r="O8684" t="s">
        <v>43167</v>
      </c>
      <c r="P8684">
        <v>0</v>
      </c>
      <c r="Q8684">
        <v>7</v>
      </c>
      <c r="R8684" t="s">
        <v>43174</v>
      </c>
      <c r="S8684" t="s">
        <v>43396</v>
      </c>
      <c r="T8684" t="s">
        <v>45047</v>
      </c>
      <c r="U8684" t="s">
        <v>51993</v>
      </c>
      <c r="W8684" t="s">
        <v>42120</v>
      </c>
      <c r="X8684" t="s">
        <v>43175</v>
      </c>
    </row>
    <row r="8685" spans="1:24">
      <c r="A8685">
        <f>HYPERLINK("https://www.philgeps.gov.ph/GEPSNONPILOT/Tender/SplashBidNoticeAbstractUI.aspx?menuIndex=3&amp;refID=7075167&amp;Result=3","7075167")</f>
        <v>0</v>
      </c>
      <c r="B8685" t="s">
        <v>953</v>
      </c>
      <c r="C8685" t="s">
        <v>11684</v>
      </c>
      <c r="D8685" t="s">
        <v>17419</v>
      </c>
      <c r="E8685" t="s">
        <v>24977</v>
      </c>
      <c r="F8685" t="s">
        <v>30052</v>
      </c>
      <c r="G8685" t="s">
        <v>30059</v>
      </c>
      <c r="H8685" t="s">
        <v>15498</v>
      </c>
      <c r="I8685" t="s">
        <v>30169</v>
      </c>
      <c r="J8685" t="s">
        <v>30256</v>
      </c>
      <c r="K8685" t="s">
        <v>39019</v>
      </c>
      <c r="M8685" t="s">
        <v>40278</v>
      </c>
      <c r="N8685" t="s">
        <v>43166</v>
      </c>
      <c r="O8685" t="s">
        <v>43167</v>
      </c>
      <c r="P8685">
        <v>0</v>
      </c>
      <c r="Q8685">
        <v>1</v>
      </c>
      <c r="R8685" t="s">
        <v>43174</v>
      </c>
      <c r="S8685" t="s">
        <v>43396</v>
      </c>
      <c r="T8685" t="s">
        <v>44826</v>
      </c>
      <c r="U8685" t="s">
        <v>52166</v>
      </c>
      <c r="W8685" t="s">
        <v>40278</v>
      </c>
      <c r="X8685" t="s">
        <v>43175</v>
      </c>
    </row>
    <row r="8686" spans="1:24">
      <c r="A8686">
        <f>HYPERLINK("https://www.philgeps.gov.ph/GEPSNONPILOT/Tender/SplashBidNoticeAbstractUI.aspx?menuIndex=3&amp;refID=7075152&amp;Result=3","7075152")</f>
        <v>0</v>
      </c>
      <c r="B8686" t="s">
        <v>259</v>
      </c>
      <c r="C8686" t="s">
        <v>11685</v>
      </c>
      <c r="D8686" t="s">
        <v>17464</v>
      </c>
      <c r="E8686" t="s">
        <v>24978</v>
      </c>
      <c r="F8686" t="s">
        <v>30052</v>
      </c>
      <c r="G8686" t="s">
        <v>30058</v>
      </c>
      <c r="H8686" t="s">
        <v>30067</v>
      </c>
      <c r="I8686" t="s">
        <v>3693</v>
      </c>
      <c r="J8686" t="s">
        <v>30397</v>
      </c>
      <c r="K8686" t="s">
        <v>39046</v>
      </c>
      <c r="M8686" t="s">
        <v>39550</v>
      </c>
      <c r="N8686" t="s">
        <v>43166</v>
      </c>
      <c r="O8686" t="s">
        <v>43167</v>
      </c>
      <c r="P8686">
        <v>0</v>
      </c>
      <c r="Q8686">
        <v>0</v>
      </c>
      <c r="R8686" t="s">
        <v>43174</v>
      </c>
      <c r="S8686" t="s">
        <v>43396</v>
      </c>
      <c r="T8686" t="s">
        <v>44718</v>
      </c>
      <c r="U8686" t="s">
        <v>52167</v>
      </c>
      <c r="W8686" t="s">
        <v>39550</v>
      </c>
      <c r="X8686" t="s">
        <v>43175</v>
      </c>
    </row>
    <row r="8687" spans="1:24">
      <c r="A8687">
        <f>HYPERLINK("https://www.philgeps.gov.ph/GEPSNONPILOT/Tender/SplashBidNoticeAbstractUI.aspx?menuIndex=3&amp;refID=7075166&amp;Result=3","7075166")</f>
        <v>0</v>
      </c>
      <c r="B8687" t="s">
        <v>2613</v>
      </c>
      <c r="C8687" t="s">
        <v>11686</v>
      </c>
      <c r="D8687" t="s">
        <v>17441</v>
      </c>
      <c r="E8687" t="s">
        <v>24979</v>
      </c>
      <c r="F8687" t="s">
        <v>30052</v>
      </c>
      <c r="G8687" t="s">
        <v>30060</v>
      </c>
      <c r="H8687" t="s">
        <v>30067</v>
      </c>
      <c r="I8687" t="s">
        <v>3693</v>
      </c>
      <c r="J8687" t="s">
        <v>30292</v>
      </c>
      <c r="K8687" t="s">
        <v>39025</v>
      </c>
      <c r="M8687" t="s">
        <v>42125</v>
      </c>
      <c r="N8687" t="s">
        <v>43166</v>
      </c>
      <c r="O8687" t="s">
        <v>43167</v>
      </c>
      <c r="P8687">
        <v>0</v>
      </c>
      <c r="Q8687">
        <v>2</v>
      </c>
      <c r="R8687" t="s">
        <v>43174</v>
      </c>
      <c r="S8687" t="s">
        <v>43396</v>
      </c>
      <c r="T8687" t="s">
        <v>44837</v>
      </c>
      <c r="U8687" t="s">
        <v>52168</v>
      </c>
      <c r="W8687" t="s">
        <v>42125</v>
      </c>
      <c r="X8687" t="s">
        <v>43175</v>
      </c>
    </row>
    <row r="8688" spans="1:24">
      <c r="A8688">
        <f>HYPERLINK("https://www.philgeps.gov.ph/GEPSNONPILOT/Tender/SplashBidNoticeAbstractUI.aspx?menuIndex=3&amp;refID=7075150&amp;Result=3","7075150")</f>
        <v>0</v>
      </c>
      <c r="B8688" t="s">
        <v>256</v>
      </c>
      <c r="C8688" t="s">
        <v>11687</v>
      </c>
      <c r="D8688" t="s">
        <v>17415</v>
      </c>
      <c r="E8688" t="s">
        <v>24980</v>
      </c>
      <c r="F8688" t="s">
        <v>30052</v>
      </c>
      <c r="G8688" t="s">
        <v>30058</v>
      </c>
      <c r="H8688" t="s">
        <v>30069</v>
      </c>
      <c r="I8688" t="s">
        <v>30100</v>
      </c>
      <c r="J8688" t="s">
        <v>35483</v>
      </c>
      <c r="K8688" t="s">
        <v>39095</v>
      </c>
      <c r="M8688" t="s">
        <v>39547</v>
      </c>
      <c r="N8688" t="s">
        <v>43166</v>
      </c>
      <c r="O8688" t="s">
        <v>43167</v>
      </c>
      <c r="P8688">
        <v>0</v>
      </c>
      <c r="Q8688">
        <v>1</v>
      </c>
      <c r="R8688" t="s">
        <v>43174</v>
      </c>
      <c r="S8688" t="s">
        <v>43396</v>
      </c>
      <c r="T8688" t="s">
        <v>45038</v>
      </c>
      <c r="U8688" t="s">
        <v>52169</v>
      </c>
      <c r="W8688" t="s">
        <v>39547</v>
      </c>
      <c r="X8688" t="s">
        <v>43175</v>
      </c>
    </row>
    <row r="8689" spans="1:24">
      <c r="A8689">
        <f>HYPERLINK("https://www.philgeps.gov.ph/GEPSNONPILOT/Tender/SplashBidNoticeAbstractUI.aspx?menuIndex=3&amp;refID=7075148&amp;Result=3","7075148")</f>
        <v>0</v>
      </c>
      <c r="B8689" t="s">
        <v>2597</v>
      </c>
      <c r="C8689" t="s">
        <v>11688</v>
      </c>
      <c r="D8689" t="s">
        <v>17425</v>
      </c>
      <c r="E8689" t="s">
        <v>24981</v>
      </c>
      <c r="F8689" t="s">
        <v>30052</v>
      </c>
      <c r="G8689" t="s">
        <v>30059</v>
      </c>
      <c r="H8689" t="s">
        <v>15498</v>
      </c>
      <c r="I8689" t="s">
        <v>30083</v>
      </c>
      <c r="J8689" t="s">
        <v>30248</v>
      </c>
      <c r="K8689" t="s">
        <v>39017</v>
      </c>
      <c r="M8689" t="s">
        <v>42108</v>
      </c>
      <c r="N8689" t="s">
        <v>43166</v>
      </c>
      <c r="O8689" t="s">
        <v>43167</v>
      </c>
      <c r="P8689">
        <v>0</v>
      </c>
      <c r="Q8689">
        <v>0</v>
      </c>
      <c r="R8689" t="s">
        <v>43174</v>
      </c>
      <c r="S8689" t="s">
        <v>43396</v>
      </c>
      <c r="T8689" t="s">
        <v>44856</v>
      </c>
      <c r="U8689" t="s">
        <v>52170</v>
      </c>
      <c r="W8689" t="s">
        <v>42108</v>
      </c>
      <c r="X8689" t="s">
        <v>43175</v>
      </c>
    </row>
    <row r="8690" spans="1:24">
      <c r="A8690">
        <f>HYPERLINK("https://www.philgeps.gov.ph/GEPSNONPILOT/Tender/SplashBidNoticeAbstractUI.aspx?menuIndex=3&amp;refID=7075144&amp;Result=3","7075144")</f>
        <v>0</v>
      </c>
      <c r="B8690" t="s">
        <v>2614</v>
      </c>
      <c r="C8690" t="s">
        <v>11689</v>
      </c>
      <c r="D8690" t="s">
        <v>17454</v>
      </c>
      <c r="E8690" t="s">
        <v>24982</v>
      </c>
      <c r="F8690" t="s">
        <v>30055</v>
      </c>
      <c r="G8690" t="s">
        <v>30059</v>
      </c>
      <c r="H8690" t="s">
        <v>30067</v>
      </c>
      <c r="I8690" t="s">
        <v>3693</v>
      </c>
      <c r="J8690" t="s">
        <v>35484</v>
      </c>
      <c r="K8690" t="s">
        <v>39023</v>
      </c>
      <c r="M8690" t="s">
        <v>42126</v>
      </c>
      <c r="N8690" t="s">
        <v>43166</v>
      </c>
      <c r="O8690" t="s">
        <v>43167</v>
      </c>
      <c r="P8690">
        <v>0</v>
      </c>
      <c r="Q8690">
        <v>0</v>
      </c>
      <c r="R8690" t="s">
        <v>43174</v>
      </c>
      <c r="S8690" t="s">
        <v>43396</v>
      </c>
      <c r="T8690" t="s">
        <v>44837</v>
      </c>
      <c r="U8690" t="s">
        <v>45799</v>
      </c>
      <c r="W8690" t="s">
        <v>42126</v>
      </c>
      <c r="X8690" t="s">
        <v>43175</v>
      </c>
    </row>
    <row r="8691" spans="1:24">
      <c r="A8691">
        <f>HYPERLINK("https://www.philgeps.gov.ph/GEPSNONPILOT/Tender/SplashBidNoticeAbstractUI.aspx?menuIndex=3&amp;refID=7075216&amp;Result=3","7075216")</f>
        <v>0</v>
      </c>
      <c r="B8691" t="s">
        <v>658</v>
      </c>
      <c r="C8691" t="s">
        <v>11690</v>
      </c>
      <c r="D8691" t="s">
        <v>17434</v>
      </c>
      <c r="E8691" t="s">
        <v>24983</v>
      </c>
      <c r="F8691" t="s">
        <v>30052</v>
      </c>
      <c r="G8691" t="s">
        <v>30058</v>
      </c>
      <c r="H8691" t="s">
        <v>15498</v>
      </c>
      <c r="I8691" t="s">
        <v>30079</v>
      </c>
      <c r="J8691" t="s">
        <v>35485</v>
      </c>
      <c r="K8691" t="s">
        <v>39029</v>
      </c>
      <c r="M8691" t="s">
        <v>40517</v>
      </c>
      <c r="N8691" t="s">
        <v>43166</v>
      </c>
      <c r="O8691" t="s">
        <v>43167</v>
      </c>
      <c r="P8691">
        <v>0</v>
      </c>
      <c r="Q8691">
        <v>1</v>
      </c>
      <c r="R8691" t="s">
        <v>43174</v>
      </c>
      <c r="S8691" t="s">
        <v>43396</v>
      </c>
      <c r="T8691" t="s">
        <v>44750</v>
      </c>
      <c r="U8691" t="s">
        <v>52075</v>
      </c>
      <c r="W8691" t="s">
        <v>40517</v>
      </c>
      <c r="X8691" t="s">
        <v>43175</v>
      </c>
    </row>
    <row r="8692" spans="1:24">
      <c r="A8692">
        <f>HYPERLINK("https://www.philgeps.gov.ph/GEPSNONPILOT/Tender/SplashBidNoticeAbstractUI.aspx?menuIndex=3&amp;refID=7075093&amp;Result=3","7075093")</f>
        <v>0</v>
      </c>
      <c r="B8692" t="s">
        <v>259</v>
      </c>
      <c r="C8692" t="s">
        <v>11691</v>
      </c>
      <c r="D8692" t="s">
        <v>17464</v>
      </c>
      <c r="E8692" t="s">
        <v>23847</v>
      </c>
      <c r="F8692" t="s">
        <v>30052</v>
      </c>
      <c r="G8692" t="s">
        <v>30058</v>
      </c>
      <c r="H8692" t="s">
        <v>30067</v>
      </c>
      <c r="I8692" t="s">
        <v>3693</v>
      </c>
      <c r="J8692" t="s">
        <v>35486</v>
      </c>
      <c r="K8692" t="s">
        <v>39029</v>
      </c>
      <c r="M8692" t="s">
        <v>39550</v>
      </c>
      <c r="N8692" t="s">
        <v>43166</v>
      </c>
      <c r="O8692" t="s">
        <v>43167</v>
      </c>
      <c r="P8692">
        <v>0</v>
      </c>
      <c r="Q8692">
        <v>0</v>
      </c>
      <c r="R8692" t="s">
        <v>43174</v>
      </c>
      <c r="S8692" t="s">
        <v>43396</v>
      </c>
      <c r="T8692" t="s">
        <v>44718</v>
      </c>
      <c r="U8692" t="s">
        <v>52171</v>
      </c>
      <c r="W8692" t="s">
        <v>39550</v>
      </c>
      <c r="X8692" t="s">
        <v>43175</v>
      </c>
    </row>
    <row r="8693" spans="1:24">
      <c r="A8693">
        <f>HYPERLINK("https://www.philgeps.gov.ph/GEPSNONPILOT/Tender/SplashBidNoticeAbstractUI.aspx?menuIndex=3&amp;refID=7075215&amp;Result=3","7075215")</f>
        <v>0</v>
      </c>
      <c r="B8693" t="s">
        <v>1300</v>
      </c>
      <c r="C8693" t="s">
        <v>11692</v>
      </c>
      <c r="D8693" t="s">
        <v>17434</v>
      </c>
      <c r="E8693" t="s">
        <v>24984</v>
      </c>
      <c r="F8693" t="s">
        <v>30052</v>
      </c>
      <c r="G8693" t="s">
        <v>30058</v>
      </c>
      <c r="H8693" t="s">
        <v>30069</v>
      </c>
      <c r="I8693" t="s">
        <v>30075</v>
      </c>
      <c r="J8693" t="s">
        <v>35487</v>
      </c>
      <c r="K8693" t="s">
        <v>39031</v>
      </c>
      <c r="M8693" t="s">
        <v>40666</v>
      </c>
      <c r="N8693" t="s">
        <v>43166</v>
      </c>
      <c r="O8693" t="s">
        <v>43167</v>
      </c>
      <c r="P8693">
        <v>0</v>
      </c>
      <c r="Q8693">
        <v>7</v>
      </c>
      <c r="R8693" t="s">
        <v>43174</v>
      </c>
      <c r="S8693" t="s">
        <v>43396</v>
      </c>
      <c r="T8693" t="s">
        <v>44796</v>
      </c>
      <c r="U8693" t="s">
        <v>48064</v>
      </c>
      <c r="V8693" t="s">
        <v>57244</v>
      </c>
      <c r="W8693" t="s">
        <v>40666</v>
      </c>
      <c r="X8693" t="s">
        <v>43175</v>
      </c>
    </row>
    <row r="8694" spans="1:24">
      <c r="A8694">
        <f>HYPERLINK("https://www.philgeps.gov.ph/GEPSNONPILOT/Tender/SplashBidNoticeAbstractUI.aspx?menuIndex=3&amp;refID=7075213&amp;Result=3","7075213")</f>
        <v>0</v>
      </c>
      <c r="B8694" t="s">
        <v>256</v>
      </c>
      <c r="C8694" t="s">
        <v>11693</v>
      </c>
      <c r="D8694" t="s">
        <v>17415</v>
      </c>
      <c r="E8694" t="s">
        <v>24985</v>
      </c>
      <c r="F8694" t="s">
        <v>30052</v>
      </c>
      <c r="G8694" t="s">
        <v>30058</v>
      </c>
      <c r="H8694" t="s">
        <v>15498</v>
      </c>
      <c r="I8694" t="s">
        <v>3736</v>
      </c>
      <c r="J8694" t="s">
        <v>35488</v>
      </c>
      <c r="K8694" t="s">
        <v>39025</v>
      </c>
      <c r="M8694" t="s">
        <v>39547</v>
      </c>
      <c r="N8694" t="s">
        <v>43166</v>
      </c>
      <c r="O8694" t="s">
        <v>43167</v>
      </c>
      <c r="P8694">
        <v>0</v>
      </c>
      <c r="Q8694">
        <v>1</v>
      </c>
      <c r="R8694" t="s">
        <v>43174</v>
      </c>
      <c r="S8694" t="s">
        <v>43396</v>
      </c>
      <c r="T8694" t="s">
        <v>45038</v>
      </c>
      <c r="U8694" t="s">
        <v>52172</v>
      </c>
      <c r="W8694" t="s">
        <v>39547</v>
      </c>
      <c r="X8694" t="s">
        <v>43175</v>
      </c>
    </row>
    <row r="8695" spans="1:24">
      <c r="A8695">
        <f>HYPERLINK("https://www.philgeps.gov.ph/GEPSNONPILOT/Tender/SplashBidNoticeAbstractUI.aspx?menuIndex=3&amp;refID=7075211&amp;Result=3","7075211")</f>
        <v>0</v>
      </c>
      <c r="B8695" t="s">
        <v>2237</v>
      </c>
      <c r="C8695" t="s">
        <v>11694</v>
      </c>
      <c r="D8695" t="s">
        <v>17471</v>
      </c>
      <c r="E8695" t="s">
        <v>24931</v>
      </c>
      <c r="F8695" t="s">
        <v>30052</v>
      </c>
      <c r="G8695" t="s">
        <v>30058</v>
      </c>
      <c r="H8695" t="s">
        <v>15498</v>
      </c>
      <c r="I8695" t="s">
        <v>30092</v>
      </c>
      <c r="J8695" t="s">
        <v>35489</v>
      </c>
      <c r="K8695" t="s">
        <v>39019</v>
      </c>
      <c r="M8695" t="s">
        <v>41712</v>
      </c>
      <c r="N8695" t="s">
        <v>43166</v>
      </c>
      <c r="O8695" t="s">
        <v>43167</v>
      </c>
      <c r="P8695">
        <v>0</v>
      </c>
      <c r="Q8695">
        <v>2</v>
      </c>
      <c r="R8695" t="s">
        <v>43174</v>
      </c>
      <c r="S8695" t="s">
        <v>43396</v>
      </c>
      <c r="T8695" t="s">
        <v>44704</v>
      </c>
      <c r="U8695" t="s">
        <v>52173</v>
      </c>
      <c r="W8695" t="s">
        <v>41712</v>
      </c>
      <c r="X8695" t="s">
        <v>43175</v>
      </c>
    </row>
    <row r="8696" spans="1:24">
      <c r="A8696">
        <f>HYPERLINK("https://www.philgeps.gov.ph/GEPSNONPILOT/Tender/SplashBidNoticeAbstractUI.aspx?menuIndex=3&amp;refID=7075177&amp;Result=3","7075177")</f>
        <v>0</v>
      </c>
      <c r="B8696" t="s">
        <v>2279</v>
      </c>
      <c r="C8696" t="s">
        <v>11695</v>
      </c>
      <c r="D8696" t="s">
        <v>17472</v>
      </c>
      <c r="E8696" t="s">
        <v>24986</v>
      </c>
      <c r="F8696" t="s">
        <v>30052</v>
      </c>
      <c r="G8696" t="s">
        <v>30058</v>
      </c>
      <c r="H8696" t="s">
        <v>15498</v>
      </c>
      <c r="I8696" t="s">
        <v>3736</v>
      </c>
      <c r="J8696" t="s">
        <v>35490</v>
      </c>
      <c r="K8696" t="s">
        <v>39017</v>
      </c>
      <c r="M8696" t="s">
        <v>41761</v>
      </c>
      <c r="N8696" t="s">
        <v>43166</v>
      </c>
      <c r="O8696" t="s">
        <v>43167</v>
      </c>
      <c r="P8696">
        <v>0</v>
      </c>
      <c r="Q8696">
        <v>1</v>
      </c>
      <c r="R8696" t="s">
        <v>43174</v>
      </c>
      <c r="S8696" t="s">
        <v>43396</v>
      </c>
      <c r="T8696" t="s">
        <v>44714</v>
      </c>
      <c r="U8696" t="s">
        <v>52174</v>
      </c>
      <c r="W8696" t="s">
        <v>41761</v>
      </c>
      <c r="X8696" t="s">
        <v>43175</v>
      </c>
    </row>
    <row r="8697" spans="1:24">
      <c r="A8697">
        <f>HYPERLINK("https://www.philgeps.gov.ph/GEPSNONPILOT/Tender/SplashBidNoticeAbstractUI.aspx?menuIndex=3&amp;refID=7075038&amp;Result=3","7075038")</f>
        <v>0</v>
      </c>
      <c r="B8697" t="s">
        <v>2611</v>
      </c>
      <c r="C8697" t="s">
        <v>11696</v>
      </c>
      <c r="D8697" t="s">
        <v>17422</v>
      </c>
      <c r="E8697" t="s">
        <v>24931</v>
      </c>
      <c r="F8697" t="s">
        <v>30052</v>
      </c>
      <c r="G8697" t="s">
        <v>30061</v>
      </c>
      <c r="H8697" t="s">
        <v>15498</v>
      </c>
      <c r="I8697" t="s">
        <v>5961</v>
      </c>
      <c r="J8697" t="s">
        <v>30292</v>
      </c>
      <c r="K8697" t="s">
        <v>39019</v>
      </c>
      <c r="M8697" t="s">
        <v>42123</v>
      </c>
      <c r="N8697" t="s">
        <v>43166</v>
      </c>
      <c r="O8697" t="s">
        <v>43167</v>
      </c>
      <c r="P8697">
        <v>0</v>
      </c>
      <c r="Q8697">
        <v>3</v>
      </c>
      <c r="R8697" t="s">
        <v>43174</v>
      </c>
      <c r="S8697" t="s">
        <v>43396</v>
      </c>
      <c r="T8697" t="s">
        <v>44837</v>
      </c>
      <c r="U8697" t="s">
        <v>52175</v>
      </c>
      <c r="W8697" t="s">
        <v>42123</v>
      </c>
      <c r="X8697" t="s">
        <v>43175</v>
      </c>
    </row>
    <row r="8698" spans="1:24">
      <c r="A8698">
        <f>HYPERLINK("https://www.philgeps.gov.ph/GEPSNONPILOT/Tender/SplashBidNoticeAbstractUI.aspx?menuIndex=3&amp;refID=7075202&amp;Result=3","7075202")</f>
        <v>0</v>
      </c>
      <c r="B8698" t="s">
        <v>1608</v>
      </c>
      <c r="C8698" t="s">
        <v>11697</v>
      </c>
      <c r="D8698" t="s">
        <v>17415</v>
      </c>
      <c r="E8698" t="s">
        <v>24987</v>
      </c>
      <c r="F8698" t="s">
        <v>30052</v>
      </c>
      <c r="G8698" t="s">
        <v>30058</v>
      </c>
      <c r="H8698" t="s">
        <v>15498</v>
      </c>
      <c r="I8698" t="s">
        <v>30070</v>
      </c>
      <c r="J8698" t="s">
        <v>35491</v>
      </c>
      <c r="K8698" t="s">
        <v>39019</v>
      </c>
      <c r="M8698" t="s">
        <v>41506</v>
      </c>
      <c r="N8698" t="s">
        <v>43166</v>
      </c>
      <c r="O8698" t="s">
        <v>43167</v>
      </c>
      <c r="P8698">
        <v>0</v>
      </c>
      <c r="Q8698">
        <v>0</v>
      </c>
      <c r="R8698" t="s">
        <v>43174</v>
      </c>
      <c r="S8698" t="s">
        <v>43396</v>
      </c>
      <c r="T8698" t="s">
        <v>44844</v>
      </c>
      <c r="U8698" t="s">
        <v>45217</v>
      </c>
      <c r="W8698" t="s">
        <v>41506</v>
      </c>
      <c r="X8698" t="s">
        <v>43175</v>
      </c>
    </row>
    <row r="8699" spans="1:24">
      <c r="A8699">
        <f>HYPERLINK("https://www.philgeps.gov.ph/GEPSNONPILOT/Tender/SplashBidNoticeAbstractUI.aspx?menuIndex=3&amp;refID=7075200&amp;Result=3","7075200")</f>
        <v>0</v>
      </c>
      <c r="B8699" t="s">
        <v>2487</v>
      </c>
      <c r="C8699" t="s">
        <v>11698</v>
      </c>
      <c r="D8699" t="s">
        <v>17444</v>
      </c>
      <c r="E8699" t="s">
        <v>24988</v>
      </c>
      <c r="F8699" t="s">
        <v>30052</v>
      </c>
      <c r="G8699" t="s">
        <v>30059</v>
      </c>
      <c r="H8699" t="s">
        <v>15498</v>
      </c>
      <c r="I8699" t="s">
        <v>3736</v>
      </c>
      <c r="J8699" t="s">
        <v>35492</v>
      </c>
      <c r="K8699" t="s">
        <v>39025</v>
      </c>
      <c r="M8699" t="s">
        <v>41988</v>
      </c>
      <c r="N8699" t="s">
        <v>43166</v>
      </c>
      <c r="O8699" t="s">
        <v>43167</v>
      </c>
      <c r="P8699">
        <v>0</v>
      </c>
      <c r="Q8699">
        <v>1</v>
      </c>
      <c r="R8699" t="s">
        <v>43174</v>
      </c>
      <c r="S8699" t="s">
        <v>43396</v>
      </c>
      <c r="T8699" t="s">
        <v>44717</v>
      </c>
      <c r="U8699" t="s">
        <v>52176</v>
      </c>
      <c r="W8699" t="s">
        <v>41988</v>
      </c>
      <c r="X8699" t="s">
        <v>43175</v>
      </c>
    </row>
    <row r="8700" spans="1:24">
      <c r="A8700">
        <f>HYPERLINK("https://www.philgeps.gov.ph/GEPSNONPILOT/Tender/SplashBidNoticeAbstractUI.aspx?menuIndex=3&amp;refID=7075196&amp;Result=3","7075196")</f>
        <v>0</v>
      </c>
      <c r="B8700" t="s">
        <v>2550</v>
      </c>
      <c r="C8700" t="s">
        <v>11699</v>
      </c>
      <c r="D8700" t="s">
        <v>17445</v>
      </c>
      <c r="E8700" t="s">
        <v>24989</v>
      </c>
      <c r="F8700" t="s">
        <v>30052</v>
      </c>
      <c r="G8700" t="s">
        <v>30061</v>
      </c>
      <c r="H8700" t="s">
        <v>15498</v>
      </c>
      <c r="I8700" t="s">
        <v>30135</v>
      </c>
      <c r="J8700" t="s">
        <v>35493</v>
      </c>
      <c r="K8700" t="s">
        <v>39029</v>
      </c>
      <c r="M8700" t="s">
        <v>42120</v>
      </c>
      <c r="N8700" t="s">
        <v>43166</v>
      </c>
      <c r="O8700" t="s">
        <v>43167</v>
      </c>
      <c r="P8700">
        <v>0</v>
      </c>
      <c r="Q8700">
        <v>5</v>
      </c>
      <c r="R8700" t="s">
        <v>43174</v>
      </c>
      <c r="S8700" t="s">
        <v>43396</v>
      </c>
      <c r="T8700" t="s">
        <v>45047</v>
      </c>
      <c r="U8700" t="s">
        <v>51993</v>
      </c>
      <c r="W8700" t="s">
        <v>42120</v>
      </c>
      <c r="X8700" t="s">
        <v>43175</v>
      </c>
    </row>
    <row r="8701" spans="1:24">
      <c r="A8701">
        <f>HYPERLINK("https://www.philgeps.gov.ph/GEPSNONPILOT/Tender/SplashBidNoticeAbstractUI.aspx?menuIndex=3&amp;refID=7075217&amp;Result=3","7075217")</f>
        <v>0</v>
      </c>
      <c r="B8701" t="s">
        <v>2615</v>
      </c>
      <c r="C8701" t="s">
        <v>11700</v>
      </c>
      <c r="D8701" t="s">
        <v>17436</v>
      </c>
      <c r="E8701" t="s">
        <v>24990</v>
      </c>
      <c r="F8701" t="s">
        <v>30052</v>
      </c>
      <c r="G8701" t="s">
        <v>30058</v>
      </c>
      <c r="H8701" t="s">
        <v>30067</v>
      </c>
      <c r="I8701" t="s">
        <v>3693</v>
      </c>
      <c r="J8701" t="s">
        <v>35494</v>
      </c>
      <c r="K8701" t="s">
        <v>39031</v>
      </c>
      <c r="M8701" t="s">
        <v>42127</v>
      </c>
      <c r="N8701" t="s">
        <v>43166</v>
      </c>
      <c r="O8701" t="s">
        <v>43167</v>
      </c>
      <c r="P8701">
        <v>0</v>
      </c>
      <c r="Q8701">
        <v>0</v>
      </c>
      <c r="R8701" t="s">
        <v>43174</v>
      </c>
      <c r="S8701" t="s">
        <v>43396</v>
      </c>
      <c r="T8701" t="s">
        <v>44796</v>
      </c>
      <c r="U8701" t="s">
        <v>52177</v>
      </c>
      <c r="W8701" t="s">
        <v>42127</v>
      </c>
      <c r="X8701" t="s">
        <v>43175</v>
      </c>
    </row>
    <row r="8702" spans="1:24">
      <c r="A8702">
        <f>HYPERLINK("https://www.philgeps.gov.ph/GEPSNONPILOT/Tender/SplashBidNoticeAbstractUI.aspx?menuIndex=3&amp;refID=7075198&amp;Result=3","7075198")</f>
        <v>0</v>
      </c>
      <c r="B8702" t="s">
        <v>2609</v>
      </c>
      <c r="C8702" t="s">
        <v>11701</v>
      </c>
      <c r="D8702" t="s">
        <v>17423</v>
      </c>
      <c r="E8702" t="s">
        <v>24991</v>
      </c>
      <c r="F8702" t="s">
        <v>30052</v>
      </c>
      <c r="G8702" t="s">
        <v>30058</v>
      </c>
      <c r="H8702" t="s">
        <v>30067</v>
      </c>
      <c r="I8702" t="s">
        <v>3693</v>
      </c>
      <c r="J8702" t="s">
        <v>30230</v>
      </c>
      <c r="K8702" t="s">
        <v>39019</v>
      </c>
      <c r="M8702" t="s">
        <v>42121</v>
      </c>
      <c r="N8702" t="s">
        <v>43166</v>
      </c>
      <c r="O8702" t="s">
        <v>43167</v>
      </c>
      <c r="P8702">
        <v>0</v>
      </c>
      <c r="Q8702">
        <v>0</v>
      </c>
      <c r="R8702" t="s">
        <v>43174</v>
      </c>
      <c r="S8702" t="s">
        <v>43396</v>
      </c>
      <c r="T8702" t="s">
        <v>44870</v>
      </c>
      <c r="U8702" t="s">
        <v>52178</v>
      </c>
      <c r="W8702" t="s">
        <v>42121</v>
      </c>
      <c r="X8702" t="s">
        <v>43175</v>
      </c>
    </row>
    <row r="8703" spans="1:24">
      <c r="A8703">
        <f>HYPERLINK("https://www.philgeps.gov.ph/GEPSNONPILOT/Tender/SplashBidNoticeAbstractUI.aspx?menuIndex=3&amp;refID=7075193&amp;Result=3","7075193")</f>
        <v>0</v>
      </c>
      <c r="B8703" t="s">
        <v>1464</v>
      </c>
      <c r="C8703" t="s">
        <v>11702</v>
      </c>
      <c r="D8703" t="s">
        <v>17415</v>
      </c>
      <c r="E8703" t="s">
        <v>24992</v>
      </c>
      <c r="F8703" t="s">
        <v>30052</v>
      </c>
      <c r="G8703" t="s">
        <v>30059</v>
      </c>
      <c r="H8703" t="s">
        <v>15498</v>
      </c>
      <c r="I8703" t="s">
        <v>30119</v>
      </c>
      <c r="J8703" t="s">
        <v>35495</v>
      </c>
      <c r="K8703" t="s">
        <v>39019</v>
      </c>
      <c r="M8703" t="s">
        <v>40845</v>
      </c>
      <c r="N8703" t="s">
        <v>43166</v>
      </c>
      <c r="O8703" t="s">
        <v>43167</v>
      </c>
      <c r="P8703">
        <v>0</v>
      </c>
      <c r="Q8703">
        <v>12</v>
      </c>
      <c r="R8703" t="s">
        <v>43174</v>
      </c>
      <c r="S8703" t="s">
        <v>43396</v>
      </c>
      <c r="T8703" t="s">
        <v>44714</v>
      </c>
      <c r="U8703" t="s">
        <v>48465</v>
      </c>
      <c r="W8703" t="s">
        <v>40845</v>
      </c>
      <c r="X8703" t="s">
        <v>43175</v>
      </c>
    </row>
    <row r="8704" spans="1:24">
      <c r="A8704">
        <f>HYPERLINK("https://www.philgeps.gov.ph/GEPSNONPILOT/Tender/SplashBidNoticeAbstractUI.aspx?menuIndex=3&amp;refID=7075151&amp;Result=3","7075151")</f>
        <v>0</v>
      </c>
      <c r="B8704" t="s">
        <v>696</v>
      </c>
      <c r="C8704" t="s">
        <v>11703</v>
      </c>
      <c r="D8704" t="s">
        <v>17432</v>
      </c>
      <c r="E8704" t="s">
        <v>24993</v>
      </c>
      <c r="F8704" t="s">
        <v>30052</v>
      </c>
      <c r="G8704" t="s">
        <v>30059</v>
      </c>
      <c r="H8704" t="s">
        <v>15498</v>
      </c>
      <c r="I8704" t="s">
        <v>30094</v>
      </c>
      <c r="J8704" t="s">
        <v>35496</v>
      </c>
      <c r="K8704" t="s">
        <v>39064</v>
      </c>
      <c r="M8704" t="s">
        <v>40004</v>
      </c>
      <c r="N8704" t="s">
        <v>43166</v>
      </c>
      <c r="O8704" t="s">
        <v>43167</v>
      </c>
      <c r="P8704">
        <v>0</v>
      </c>
      <c r="Q8704">
        <v>0</v>
      </c>
      <c r="R8704" t="s">
        <v>43174</v>
      </c>
      <c r="S8704" t="s">
        <v>43396</v>
      </c>
      <c r="T8704" t="s">
        <v>44856</v>
      </c>
      <c r="U8704" t="s">
        <v>52179</v>
      </c>
      <c r="W8704" t="s">
        <v>40004</v>
      </c>
      <c r="X8704" t="s">
        <v>43175</v>
      </c>
    </row>
    <row r="8705" spans="1:24">
      <c r="A8705">
        <f>HYPERLINK("https://www.philgeps.gov.ph/GEPSNONPILOT/Tender/SplashBidNoticeAbstractUI.aspx?menuIndex=3&amp;refID=7075187&amp;Result=3","7075187")</f>
        <v>0</v>
      </c>
      <c r="B8705" t="s">
        <v>1608</v>
      </c>
      <c r="C8705" t="s">
        <v>11704</v>
      </c>
      <c r="D8705" t="s">
        <v>17415</v>
      </c>
      <c r="E8705" t="s">
        <v>24994</v>
      </c>
      <c r="F8705" t="s">
        <v>30052</v>
      </c>
      <c r="G8705" t="s">
        <v>30058</v>
      </c>
      <c r="H8705" t="s">
        <v>15498</v>
      </c>
      <c r="I8705" t="s">
        <v>3852</v>
      </c>
      <c r="J8705" t="s">
        <v>35497</v>
      </c>
      <c r="K8705" t="s">
        <v>39019</v>
      </c>
      <c r="M8705" t="s">
        <v>41506</v>
      </c>
      <c r="N8705" t="s">
        <v>43166</v>
      </c>
      <c r="O8705" t="s">
        <v>43167</v>
      </c>
      <c r="P8705">
        <v>0</v>
      </c>
      <c r="Q8705">
        <v>0</v>
      </c>
      <c r="R8705" t="s">
        <v>43174</v>
      </c>
      <c r="S8705" t="s">
        <v>43396</v>
      </c>
      <c r="T8705" t="s">
        <v>44844</v>
      </c>
      <c r="U8705" t="s">
        <v>48908</v>
      </c>
      <c r="W8705" t="s">
        <v>41506</v>
      </c>
      <c r="X8705" t="s">
        <v>43175</v>
      </c>
    </row>
    <row r="8706" spans="1:24">
      <c r="A8706">
        <f>HYPERLINK("https://www.philgeps.gov.ph/GEPSNONPILOT/Tender/SplashBidNoticeAbstractUI.aspx?menuIndex=3&amp;refID=7075265&amp;Result=3","7075265")</f>
        <v>0</v>
      </c>
      <c r="B8706" t="s">
        <v>2616</v>
      </c>
      <c r="C8706" t="s">
        <v>11705</v>
      </c>
      <c r="D8706" t="s">
        <v>17436</v>
      </c>
      <c r="E8706" t="s">
        <v>18038</v>
      </c>
      <c r="F8706" t="s">
        <v>30052</v>
      </c>
      <c r="G8706" t="s">
        <v>30060</v>
      </c>
      <c r="H8706" t="s">
        <v>30067</v>
      </c>
      <c r="I8706" t="s">
        <v>3693</v>
      </c>
      <c r="J8706" t="s">
        <v>35498</v>
      </c>
      <c r="K8706" t="s">
        <v>39031</v>
      </c>
      <c r="M8706" t="s">
        <v>42128</v>
      </c>
      <c r="N8706" t="s">
        <v>43166</v>
      </c>
      <c r="O8706" t="s">
        <v>43167</v>
      </c>
      <c r="P8706">
        <v>0</v>
      </c>
      <c r="Q8706">
        <v>0</v>
      </c>
      <c r="R8706" t="s">
        <v>43174</v>
      </c>
      <c r="S8706" t="s">
        <v>43396</v>
      </c>
      <c r="T8706" t="s">
        <v>44844</v>
      </c>
      <c r="U8706" t="s">
        <v>52180</v>
      </c>
      <c r="W8706" t="s">
        <v>42128</v>
      </c>
      <c r="X8706" t="s">
        <v>43175</v>
      </c>
    </row>
    <row r="8707" spans="1:24">
      <c r="A8707">
        <f>HYPERLINK("https://www.philgeps.gov.ph/GEPSNONPILOT/Tender/SplashBidNoticeAbstractUI.aspx?menuIndex=3&amp;refID=7075158&amp;Result=3","7075158")</f>
        <v>0</v>
      </c>
      <c r="B8707" t="s">
        <v>1464</v>
      </c>
      <c r="C8707" t="s">
        <v>11624</v>
      </c>
      <c r="D8707" t="s">
        <v>17415</v>
      </c>
      <c r="E8707" t="s">
        <v>24995</v>
      </c>
      <c r="F8707" t="s">
        <v>30052</v>
      </c>
      <c r="G8707" t="s">
        <v>30062</v>
      </c>
      <c r="H8707" t="s">
        <v>15498</v>
      </c>
      <c r="I8707" t="s">
        <v>30084</v>
      </c>
      <c r="J8707" t="s">
        <v>35499</v>
      </c>
      <c r="K8707" t="s">
        <v>39019</v>
      </c>
      <c r="M8707" t="s">
        <v>40845</v>
      </c>
      <c r="N8707" t="s">
        <v>43166</v>
      </c>
      <c r="O8707" t="s">
        <v>43167</v>
      </c>
      <c r="P8707">
        <v>0</v>
      </c>
      <c r="Q8707">
        <v>19</v>
      </c>
      <c r="R8707" t="s">
        <v>43174</v>
      </c>
      <c r="S8707" t="s">
        <v>43396</v>
      </c>
      <c r="T8707" t="s">
        <v>44714</v>
      </c>
      <c r="U8707" t="s">
        <v>48465</v>
      </c>
      <c r="W8707" t="s">
        <v>40845</v>
      </c>
      <c r="X8707" t="s">
        <v>43175</v>
      </c>
    </row>
    <row r="8708" spans="1:24">
      <c r="A8708">
        <f>HYPERLINK("https://www.philgeps.gov.ph/GEPSNONPILOT/Tender/SplashBidNoticeAbstractUI.aspx?menuIndex=3&amp;refID=7075190&amp;Result=3","7075190")</f>
        <v>0</v>
      </c>
      <c r="B8708" t="s">
        <v>2613</v>
      </c>
      <c r="C8708" t="s">
        <v>8263</v>
      </c>
      <c r="D8708" t="s">
        <v>17441</v>
      </c>
      <c r="E8708" t="s">
        <v>24996</v>
      </c>
      <c r="F8708" t="s">
        <v>30052</v>
      </c>
      <c r="G8708" t="s">
        <v>30060</v>
      </c>
      <c r="H8708" t="s">
        <v>30067</v>
      </c>
      <c r="I8708" t="s">
        <v>3693</v>
      </c>
      <c r="J8708" t="s">
        <v>30218</v>
      </c>
      <c r="K8708" t="s">
        <v>39025</v>
      </c>
      <c r="M8708" t="s">
        <v>42125</v>
      </c>
      <c r="N8708" t="s">
        <v>43166</v>
      </c>
      <c r="O8708" t="s">
        <v>43167</v>
      </c>
      <c r="P8708">
        <v>0</v>
      </c>
      <c r="Q8708">
        <v>2</v>
      </c>
      <c r="R8708" t="s">
        <v>43174</v>
      </c>
      <c r="S8708" t="s">
        <v>43396</v>
      </c>
      <c r="T8708" t="s">
        <v>44837</v>
      </c>
      <c r="U8708" t="s">
        <v>52181</v>
      </c>
      <c r="W8708" t="s">
        <v>42125</v>
      </c>
      <c r="X8708" t="s">
        <v>43175</v>
      </c>
    </row>
    <row r="8709" spans="1:24">
      <c r="A8709">
        <f>HYPERLINK("https://www.philgeps.gov.ph/GEPSNONPILOT/Tender/SplashBidNoticeAbstractUI.aspx?menuIndex=3&amp;refID=7075258&amp;Result=3","7075258")</f>
        <v>0</v>
      </c>
      <c r="B8709" t="s">
        <v>2237</v>
      </c>
      <c r="C8709" t="s">
        <v>11706</v>
      </c>
      <c r="D8709" t="s">
        <v>17471</v>
      </c>
      <c r="E8709" t="s">
        <v>24997</v>
      </c>
      <c r="F8709" t="s">
        <v>30052</v>
      </c>
      <c r="G8709" t="s">
        <v>30058</v>
      </c>
      <c r="H8709" t="s">
        <v>15498</v>
      </c>
      <c r="I8709" t="s">
        <v>30071</v>
      </c>
      <c r="J8709" t="s">
        <v>35500</v>
      </c>
      <c r="K8709" t="s">
        <v>39019</v>
      </c>
      <c r="M8709" t="s">
        <v>41712</v>
      </c>
      <c r="N8709" t="s">
        <v>43166</v>
      </c>
      <c r="O8709" t="s">
        <v>43167</v>
      </c>
      <c r="P8709">
        <v>0</v>
      </c>
      <c r="Q8709">
        <v>0</v>
      </c>
      <c r="R8709" t="s">
        <v>43174</v>
      </c>
      <c r="S8709" t="s">
        <v>43396</v>
      </c>
      <c r="T8709" t="s">
        <v>44704</v>
      </c>
      <c r="U8709" t="s">
        <v>52182</v>
      </c>
      <c r="W8709" t="s">
        <v>41712</v>
      </c>
      <c r="X8709" t="s">
        <v>43175</v>
      </c>
    </row>
    <row r="8710" spans="1:24">
      <c r="A8710">
        <f>HYPERLINK("https://www.philgeps.gov.ph/GEPSNONPILOT/Tender/SplashBidNoticeAbstractUI.aspx?menuIndex=3&amp;refID=7075250&amp;Result=3","7075250")</f>
        <v>0</v>
      </c>
      <c r="B8710" t="s">
        <v>2615</v>
      </c>
      <c r="C8710" t="s">
        <v>11707</v>
      </c>
      <c r="D8710" t="s">
        <v>17436</v>
      </c>
      <c r="E8710" t="s">
        <v>24998</v>
      </c>
      <c r="F8710" t="s">
        <v>30052</v>
      </c>
      <c r="G8710" t="s">
        <v>30058</v>
      </c>
      <c r="H8710" t="s">
        <v>30067</v>
      </c>
      <c r="I8710" t="s">
        <v>3693</v>
      </c>
      <c r="J8710" t="s">
        <v>30747</v>
      </c>
      <c r="K8710" t="s">
        <v>39046</v>
      </c>
      <c r="M8710" t="s">
        <v>42127</v>
      </c>
      <c r="N8710" t="s">
        <v>43166</v>
      </c>
      <c r="O8710" t="s">
        <v>43167</v>
      </c>
      <c r="P8710">
        <v>0</v>
      </c>
      <c r="Q8710">
        <v>0</v>
      </c>
      <c r="R8710" t="s">
        <v>43174</v>
      </c>
      <c r="S8710" t="s">
        <v>43396</v>
      </c>
      <c r="T8710" t="s">
        <v>44777</v>
      </c>
      <c r="U8710" t="s">
        <v>52183</v>
      </c>
      <c r="W8710" t="s">
        <v>42127</v>
      </c>
      <c r="X8710" t="s">
        <v>43175</v>
      </c>
    </row>
    <row r="8711" spans="1:24">
      <c r="A8711">
        <f>HYPERLINK("https://www.philgeps.gov.ph/GEPSNONPILOT/Tender/SplashBidNoticeAbstractUI.aspx?menuIndex=3&amp;refID=7075254&amp;Result=3","7075254")</f>
        <v>0</v>
      </c>
      <c r="B8711" t="s">
        <v>1505</v>
      </c>
      <c r="C8711" t="s">
        <v>11708</v>
      </c>
      <c r="D8711" t="s">
        <v>17462</v>
      </c>
      <c r="E8711" t="s">
        <v>24999</v>
      </c>
      <c r="F8711" t="s">
        <v>30052</v>
      </c>
      <c r="G8711" t="s">
        <v>30058</v>
      </c>
      <c r="H8711" t="s">
        <v>30067</v>
      </c>
      <c r="I8711" t="s">
        <v>3693</v>
      </c>
      <c r="J8711" t="s">
        <v>31772</v>
      </c>
      <c r="K8711" t="s">
        <v>39023</v>
      </c>
      <c r="M8711" t="s">
        <v>40889</v>
      </c>
      <c r="N8711" t="s">
        <v>43166</v>
      </c>
      <c r="O8711" t="s">
        <v>43167</v>
      </c>
      <c r="P8711">
        <v>0</v>
      </c>
      <c r="Q8711">
        <v>5</v>
      </c>
      <c r="R8711" t="s">
        <v>43174</v>
      </c>
      <c r="S8711" t="s">
        <v>43396</v>
      </c>
      <c r="T8711" t="s">
        <v>44758</v>
      </c>
      <c r="U8711" t="s">
        <v>52149</v>
      </c>
      <c r="W8711" t="s">
        <v>58641</v>
      </c>
      <c r="X8711" t="s">
        <v>43175</v>
      </c>
    </row>
    <row r="8712" spans="1:24">
      <c r="A8712">
        <f>HYPERLINK("https://www.philgeps.gov.ph/GEPSNONPILOT/Tender/SplashBidNoticeAbstractUI.aspx?menuIndex=3&amp;refID=7075247&amp;Result=3","7075247")</f>
        <v>0</v>
      </c>
      <c r="B8712" t="s">
        <v>1804</v>
      </c>
      <c r="C8712" t="s">
        <v>11709</v>
      </c>
      <c r="E8712" t="s">
        <v>25000</v>
      </c>
      <c r="F8712" t="s">
        <v>30052</v>
      </c>
      <c r="G8712" t="s">
        <v>30060</v>
      </c>
      <c r="H8712" t="s">
        <v>15498</v>
      </c>
      <c r="I8712" t="s">
        <v>5961</v>
      </c>
      <c r="J8712" t="s">
        <v>35501</v>
      </c>
      <c r="K8712" t="s">
        <v>39025</v>
      </c>
      <c r="M8712" t="s">
        <v>41227</v>
      </c>
      <c r="N8712" t="s">
        <v>43166</v>
      </c>
      <c r="O8712" t="s">
        <v>43167</v>
      </c>
      <c r="P8712">
        <v>0</v>
      </c>
      <c r="Q8712">
        <v>2</v>
      </c>
      <c r="R8712" t="s">
        <v>43174</v>
      </c>
      <c r="S8712" t="s">
        <v>43396</v>
      </c>
      <c r="T8712" t="s">
        <v>44773</v>
      </c>
      <c r="U8712" t="s">
        <v>52184</v>
      </c>
      <c r="W8712" t="s">
        <v>41227</v>
      </c>
      <c r="X8712" t="s">
        <v>43175</v>
      </c>
    </row>
    <row r="8713" spans="1:24">
      <c r="A8713">
        <f>HYPERLINK("https://www.philgeps.gov.ph/GEPSNONPILOT/Tender/SplashBidNoticeAbstractUI.aspx?menuIndex=3&amp;refID=7075245&amp;Result=3","7075245")</f>
        <v>0</v>
      </c>
      <c r="B8713" t="s">
        <v>190</v>
      </c>
      <c r="C8713" t="s">
        <v>11710</v>
      </c>
      <c r="D8713" t="s">
        <v>17478</v>
      </c>
      <c r="E8713" t="s">
        <v>25001</v>
      </c>
      <c r="F8713" t="s">
        <v>30052</v>
      </c>
      <c r="G8713" t="s">
        <v>30058</v>
      </c>
      <c r="H8713" t="s">
        <v>30067</v>
      </c>
      <c r="I8713" t="s">
        <v>3693</v>
      </c>
      <c r="J8713" t="s">
        <v>35502</v>
      </c>
      <c r="K8713" t="s">
        <v>39031</v>
      </c>
      <c r="M8713" t="s">
        <v>42033</v>
      </c>
      <c r="N8713" t="s">
        <v>43166</v>
      </c>
      <c r="O8713" t="s">
        <v>43167</v>
      </c>
      <c r="P8713">
        <v>0</v>
      </c>
      <c r="Q8713">
        <v>0</v>
      </c>
      <c r="R8713" t="s">
        <v>43174</v>
      </c>
      <c r="S8713" t="s">
        <v>43396</v>
      </c>
      <c r="T8713" t="s">
        <v>44725</v>
      </c>
      <c r="U8713" t="s">
        <v>51891</v>
      </c>
      <c r="W8713" t="s">
        <v>42033</v>
      </c>
      <c r="X8713" t="s">
        <v>43175</v>
      </c>
    </row>
    <row r="8714" spans="1:24">
      <c r="A8714">
        <f>HYPERLINK("https://www.philgeps.gov.ph/GEPSNONPILOT/Tender/SplashBidNoticeAbstractUI.aspx?menuIndex=3&amp;refID=7075199&amp;Result=3","7075199")</f>
        <v>0</v>
      </c>
      <c r="B8714" t="s">
        <v>1505</v>
      </c>
      <c r="C8714" t="s">
        <v>11711</v>
      </c>
      <c r="D8714" t="s">
        <v>17462</v>
      </c>
      <c r="E8714" t="s">
        <v>25002</v>
      </c>
      <c r="F8714" t="s">
        <v>30052</v>
      </c>
      <c r="G8714" t="s">
        <v>30058</v>
      </c>
      <c r="H8714" t="s">
        <v>30067</v>
      </c>
      <c r="I8714" t="s">
        <v>3693</v>
      </c>
      <c r="J8714" t="s">
        <v>33105</v>
      </c>
      <c r="K8714" t="s">
        <v>39046</v>
      </c>
      <c r="M8714" t="s">
        <v>40889</v>
      </c>
      <c r="N8714" t="s">
        <v>43166</v>
      </c>
      <c r="O8714" t="s">
        <v>43167</v>
      </c>
      <c r="P8714">
        <v>0</v>
      </c>
      <c r="Q8714">
        <v>6</v>
      </c>
      <c r="R8714" t="s">
        <v>43174</v>
      </c>
      <c r="S8714" t="s">
        <v>43396</v>
      </c>
      <c r="T8714" t="s">
        <v>44758</v>
      </c>
      <c r="U8714" t="s">
        <v>52149</v>
      </c>
      <c r="W8714" t="s">
        <v>58641</v>
      </c>
      <c r="X8714" t="s">
        <v>43175</v>
      </c>
    </row>
    <row r="8715" spans="1:24">
      <c r="A8715">
        <f>HYPERLINK("https://www.philgeps.gov.ph/GEPSNONPILOT/Tender/SplashBidNoticeAbstractUI.aspx?menuIndex=3&amp;refID=7075261&amp;Result=3","7075261")</f>
        <v>0</v>
      </c>
      <c r="B8715" t="s">
        <v>2617</v>
      </c>
      <c r="C8715" t="s">
        <v>11712</v>
      </c>
      <c r="D8715" t="s">
        <v>17441</v>
      </c>
      <c r="E8715" t="s">
        <v>25003</v>
      </c>
      <c r="F8715" t="s">
        <v>30052</v>
      </c>
      <c r="G8715" t="s">
        <v>30060</v>
      </c>
      <c r="H8715" t="s">
        <v>30067</v>
      </c>
      <c r="I8715" t="s">
        <v>3693</v>
      </c>
      <c r="J8715" t="s">
        <v>35503</v>
      </c>
      <c r="K8715" t="s">
        <v>39025</v>
      </c>
      <c r="M8715" t="s">
        <v>42129</v>
      </c>
      <c r="N8715" t="s">
        <v>43166</v>
      </c>
      <c r="O8715" t="s">
        <v>43167</v>
      </c>
      <c r="P8715">
        <v>0</v>
      </c>
      <c r="Q8715">
        <v>2</v>
      </c>
      <c r="R8715" t="s">
        <v>43174</v>
      </c>
      <c r="S8715" t="s">
        <v>43396</v>
      </c>
      <c r="T8715" t="s">
        <v>44837</v>
      </c>
      <c r="U8715" t="s">
        <v>52185</v>
      </c>
      <c r="W8715" t="s">
        <v>42129</v>
      </c>
      <c r="X8715" t="s">
        <v>43175</v>
      </c>
    </row>
    <row r="8716" spans="1:24">
      <c r="A8716">
        <f>HYPERLINK("https://www.philgeps.gov.ph/GEPSNONPILOT/Tender/SplashBidNoticeAbstractUI.aspx?menuIndex=3&amp;refID=7075244&amp;Result=3","7075244")</f>
        <v>0</v>
      </c>
      <c r="B8716" t="s">
        <v>2618</v>
      </c>
      <c r="C8716" t="s">
        <v>11713</v>
      </c>
      <c r="D8716" t="s">
        <v>17415</v>
      </c>
      <c r="E8716" t="s">
        <v>25004</v>
      </c>
      <c r="F8716" t="s">
        <v>30052</v>
      </c>
      <c r="G8716" t="s">
        <v>30059</v>
      </c>
      <c r="H8716" t="s">
        <v>15498</v>
      </c>
      <c r="I8716" t="s">
        <v>30098</v>
      </c>
      <c r="J8716" t="s">
        <v>30292</v>
      </c>
      <c r="K8716" t="s">
        <v>39025</v>
      </c>
      <c r="M8716" t="s">
        <v>42130</v>
      </c>
      <c r="N8716" t="s">
        <v>43166</v>
      </c>
      <c r="O8716" t="s">
        <v>43167</v>
      </c>
      <c r="Q8716">
        <v>8</v>
      </c>
      <c r="R8716" t="s">
        <v>43174</v>
      </c>
      <c r="S8716" t="s">
        <v>43426</v>
      </c>
      <c r="T8716" t="s">
        <v>44717</v>
      </c>
      <c r="U8716" t="s">
        <v>48877</v>
      </c>
      <c r="V8716" t="s">
        <v>57744</v>
      </c>
      <c r="W8716" t="s">
        <v>42130</v>
      </c>
      <c r="X8716" t="s">
        <v>43175</v>
      </c>
    </row>
    <row r="8717" spans="1:24">
      <c r="A8717">
        <f>HYPERLINK("https://www.philgeps.gov.ph/GEPSNONPILOT/Tender/SplashBidNoticeAbstractUI.aspx?menuIndex=3&amp;refID=7075242&amp;Result=3","7075242")</f>
        <v>0</v>
      </c>
      <c r="B8717" t="s">
        <v>623</v>
      </c>
      <c r="C8717" t="s">
        <v>11714</v>
      </c>
      <c r="D8717" t="s">
        <v>17449</v>
      </c>
      <c r="E8717" t="s">
        <v>25005</v>
      </c>
      <c r="F8717" t="s">
        <v>30052</v>
      </c>
      <c r="G8717" t="s">
        <v>30058</v>
      </c>
      <c r="H8717" t="s">
        <v>30067</v>
      </c>
      <c r="I8717" t="s">
        <v>3693</v>
      </c>
      <c r="J8717" t="s">
        <v>35504</v>
      </c>
      <c r="K8717" t="s">
        <v>39208</v>
      </c>
      <c r="M8717" t="s">
        <v>42131</v>
      </c>
      <c r="N8717" t="s">
        <v>43166</v>
      </c>
      <c r="O8717" t="s">
        <v>43167</v>
      </c>
      <c r="P8717">
        <v>0</v>
      </c>
      <c r="Q8717">
        <v>0</v>
      </c>
      <c r="R8717" t="s">
        <v>43174</v>
      </c>
      <c r="S8717" t="s">
        <v>43396</v>
      </c>
      <c r="T8717" t="s">
        <v>45000</v>
      </c>
      <c r="U8717" t="s">
        <v>52186</v>
      </c>
      <c r="V8717" t="s">
        <v>57745</v>
      </c>
      <c r="W8717" t="s">
        <v>42131</v>
      </c>
      <c r="X8717" t="s">
        <v>43175</v>
      </c>
    </row>
    <row r="8718" spans="1:24">
      <c r="A8718">
        <f>HYPERLINK("https://www.philgeps.gov.ph/GEPSNONPILOT/Tender/SplashBidNoticeAbstractUI.aspx?menuIndex=3&amp;refID=7075210&amp;Result=3","7075210")</f>
        <v>0</v>
      </c>
      <c r="B8718" t="s">
        <v>918</v>
      </c>
      <c r="C8718" t="s">
        <v>11715</v>
      </c>
      <c r="D8718" t="s">
        <v>17424</v>
      </c>
      <c r="E8718" t="s">
        <v>25006</v>
      </c>
      <c r="F8718" t="s">
        <v>30052</v>
      </c>
      <c r="G8718" t="s">
        <v>30063</v>
      </c>
      <c r="H8718" t="s">
        <v>30067</v>
      </c>
      <c r="I8718" t="s">
        <v>3693</v>
      </c>
      <c r="J8718" t="s">
        <v>35505</v>
      </c>
      <c r="K8718" t="s">
        <v>39020</v>
      </c>
      <c r="M8718" t="s">
        <v>40241</v>
      </c>
      <c r="N8718" t="s">
        <v>43166</v>
      </c>
      <c r="O8718" t="s">
        <v>43167</v>
      </c>
      <c r="P8718">
        <v>0</v>
      </c>
      <c r="Q8718">
        <v>4</v>
      </c>
      <c r="R8718" t="s">
        <v>43174</v>
      </c>
      <c r="S8718" t="s">
        <v>43396</v>
      </c>
      <c r="T8718" t="s">
        <v>44716</v>
      </c>
      <c r="U8718" t="s">
        <v>52187</v>
      </c>
      <c r="V8718" t="s">
        <v>57086</v>
      </c>
      <c r="W8718" t="s">
        <v>40241</v>
      </c>
      <c r="X8718" t="s">
        <v>43175</v>
      </c>
    </row>
    <row r="8719" spans="1:24">
      <c r="A8719">
        <f>HYPERLINK("https://www.philgeps.gov.ph/GEPSNONPILOT/Tender/SplashBidNoticeAbstractUI.aspx?menuIndex=3&amp;refID=7075249&amp;Result=3","7075249")</f>
        <v>0</v>
      </c>
      <c r="B8719" t="s">
        <v>705</v>
      </c>
      <c r="C8719" t="s">
        <v>11716</v>
      </c>
      <c r="D8719" t="s">
        <v>17414</v>
      </c>
      <c r="E8719" t="s">
        <v>25007</v>
      </c>
      <c r="F8719" t="s">
        <v>30052</v>
      </c>
      <c r="G8719" t="s">
        <v>30058</v>
      </c>
      <c r="H8719" t="s">
        <v>15498</v>
      </c>
      <c r="I8719" t="s">
        <v>30081</v>
      </c>
      <c r="J8719" t="s">
        <v>30555</v>
      </c>
      <c r="K8719" t="s">
        <v>39029</v>
      </c>
      <c r="M8719" t="s">
        <v>40014</v>
      </c>
      <c r="N8719" t="s">
        <v>43166</v>
      </c>
      <c r="O8719" t="s">
        <v>43167</v>
      </c>
      <c r="P8719">
        <v>0</v>
      </c>
      <c r="Q8719">
        <v>3</v>
      </c>
      <c r="R8719" t="s">
        <v>43174</v>
      </c>
      <c r="S8719" t="s">
        <v>43396</v>
      </c>
      <c r="T8719" t="s">
        <v>44722</v>
      </c>
      <c r="U8719" t="s">
        <v>52188</v>
      </c>
      <c r="V8719" t="s">
        <v>57746</v>
      </c>
      <c r="W8719" t="s">
        <v>40014</v>
      </c>
      <c r="X8719" t="s">
        <v>43175</v>
      </c>
    </row>
    <row r="8720" spans="1:24">
      <c r="A8720">
        <f>HYPERLINK("https://www.philgeps.gov.ph/GEPSNONPILOT/Tender/SplashBidNoticeAbstractUI.aspx?menuIndex=3&amp;refID=7075238&amp;Result=3","7075238")</f>
        <v>0</v>
      </c>
      <c r="B8720" t="s">
        <v>2610</v>
      </c>
      <c r="C8720" t="s">
        <v>11717</v>
      </c>
      <c r="D8720" t="s">
        <v>17472</v>
      </c>
      <c r="E8720" t="s">
        <v>25008</v>
      </c>
      <c r="F8720" t="s">
        <v>30052</v>
      </c>
      <c r="G8720" t="s">
        <v>30058</v>
      </c>
      <c r="H8720" t="s">
        <v>30067</v>
      </c>
      <c r="I8720" t="s">
        <v>3693</v>
      </c>
      <c r="J8720" t="s">
        <v>35506</v>
      </c>
      <c r="K8720" t="s">
        <v>39025</v>
      </c>
      <c r="M8720" t="s">
        <v>42122</v>
      </c>
      <c r="N8720" t="s">
        <v>43166</v>
      </c>
      <c r="O8720" t="s">
        <v>43167</v>
      </c>
      <c r="P8720">
        <v>0</v>
      </c>
      <c r="Q8720">
        <v>0</v>
      </c>
      <c r="R8720" t="s">
        <v>43174</v>
      </c>
      <c r="S8720" t="s">
        <v>43396</v>
      </c>
      <c r="T8720" t="s">
        <v>44716</v>
      </c>
      <c r="U8720" t="s">
        <v>52189</v>
      </c>
      <c r="W8720" t="s">
        <v>42122</v>
      </c>
      <c r="X8720" t="s">
        <v>43175</v>
      </c>
    </row>
    <row r="8721" spans="1:24">
      <c r="A8721">
        <f>HYPERLINK("https://www.philgeps.gov.ph/GEPSNONPILOT/Tender/SplashBidNoticeAbstractUI.aspx?menuIndex=3&amp;refID=7075308&amp;Result=3","7075308")</f>
        <v>0</v>
      </c>
      <c r="B8721" t="s">
        <v>2615</v>
      </c>
      <c r="C8721" t="s">
        <v>11718</v>
      </c>
      <c r="D8721" t="s">
        <v>17436</v>
      </c>
      <c r="E8721" t="s">
        <v>25009</v>
      </c>
      <c r="F8721" t="s">
        <v>30052</v>
      </c>
      <c r="G8721" t="s">
        <v>30058</v>
      </c>
      <c r="H8721" t="s">
        <v>15498</v>
      </c>
      <c r="I8721" t="s">
        <v>30094</v>
      </c>
      <c r="J8721" t="s">
        <v>30208</v>
      </c>
      <c r="K8721" t="s">
        <v>39019</v>
      </c>
      <c r="M8721" t="s">
        <v>42127</v>
      </c>
      <c r="N8721" t="s">
        <v>43166</v>
      </c>
      <c r="O8721" t="s">
        <v>43167</v>
      </c>
      <c r="P8721">
        <v>0</v>
      </c>
      <c r="Q8721">
        <v>1</v>
      </c>
      <c r="R8721" t="s">
        <v>43174</v>
      </c>
      <c r="S8721" t="s">
        <v>43396</v>
      </c>
      <c r="T8721" t="s">
        <v>44777</v>
      </c>
      <c r="U8721" t="s">
        <v>52190</v>
      </c>
      <c r="W8721" t="s">
        <v>42127</v>
      </c>
      <c r="X8721" t="s">
        <v>43175</v>
      </c>
    </row>
    <row r="8722" spans="1:24">
      <c r="A8722">
        <f>HYPERLINK("https://www.philgeps.gov.ph/GEPSNONPILOT/Tender/SplashBidNoticeAbstractUI.aspx?menuIndex=3&amp;refID=7075306&amp;Result=3","7075306")</f>
        <v>0</v>
      </c>
      <c r="B8722" t="s">
        <v>2619</v>
      </c>
      <c r="C8722" t="s">
        <v>11719</v>
      </c>
      <c r="D8722" t="s">
        <v>17476</v>
      </c>
      <c r="E8722" t="s">
        <v>25010</v>
      </c>
      <c r="F8722" t="s">
        <v>30052</v>
      </c>
      <c r="G8722" t="s">
        <v>30058</v>
      </c>
      <c r="H8722" t="s">
        <v>30067</v>
      </c>
      <c r="I8722" t="s">
        <v>3693</v>
      </c>
      <c r="J8722" t="s">
        <v>35507</v>
      </c>
      <c r="K8722" t="s">
        <v>39031</v>
      </c>
      <c r="M8722" t="s">
        <v>42132</v>
      </c>
      <c r="N8722" t="s">
        <v>43166</v>
      </c>
      <c r="O8722" t="s">
        <v>43167</v>
      </c>
      <c r="P8722">
        <v>0</v>
      </c>
      <c r="Q8722">
        <v>0</v>
      </c>
      <c r="R8722" t="s">
        <v>43174</v>
      </c>
      <c r="S8722" t="s">
        <v>43396</v>
      </c>
      <c r="T8722" t="s">
        <v>44734</v>
      </c>
      <c r="U8722" t="s">
        <v>52191</v>
      </c>
      <c r="W8722" t="s">
        <v>42132</v>
      </c>
      <c r="X8722" t="s">
        <v>43175</v>
      </c>
    </row>
    <row r="8723" spans="1:24">
      <c r="A8723">
        <f>HYPERLINK("https://www.philgeps.gov.ph/GEPSNONPILOT/Tender/SplashBidNoticeAbstractUI.aspx?menuIndex=3&amp;refID=7075304&amp;Result=3","7075304")</f>
        <v>0</v>
      </c>
      <c r="B8723" t="s">
        <v>1505</v>
      </c>
      <c r="C8723" t="s">
        <v>11720</v>
      </c>
      <c r="D8723" t="s">
        <v>17462</v>
      </c>
      <c r="E8723" t="s">
        <v>25011</v>
      </c>
      <c r="F8723" t="s">
        <v>30052</v>
      </c>
      <c r="G8723" t="s">
        <v>30058</v>
      </c>
      <c r="H8723" t="s">
        <v>30067</v>
      </c>
      <c r="I8723" t="s">
        <v>3693</v>
      </c>
      <c r="J8723" t="s">
        <v>31185</v>
      </c>
      <c r="K8723" t="s">
        <v>39023</v>
      </c>
      <c r="M8723" t="s">
        <v>40889</v>
      </c>
      <c r="N8723" t="s">
        <v>43166</v>
      </c>
      <c r="O8723" t="s">
        <v>43167</v>
      </c>
      <c r="P8723">
        <v>0</v>
      </c>
      <c r="Q8723">
        <v>5</v>
      </c>
      <c r="R8723" t="s">
        <v>43174</v>
      </c>
      <c r="S8723" t="s">
        <v>43396</v>
      </c>
      <c r="T8723" t="s">
        <v>44758</v>
      </c>
      <c r="U8723" t="s">
        <v>52149</v>
      </c>
      <c r="W8723" t="s">
        <v>58641</v>
      </c>
      <c r="X8723" t="s">
        <v>43175</v>
      </c>
    </row>
    <row r="8724" spans="1:24">
      <c r="A8724">
        <f>HYPERLINK("https://www.philgeps.gov.ph/GEPSNONPILOT/Tender/SplashBidNoticeAbstractUI.aspx?menuIndex=3&amp;refID=7075301&amp;Result=3","7075301")</f>
        <v>0</v>
      </c>
      <c r="B8724" t="s">
        <v>2620</v>
      </c>
      <c r="C8724" t="s">
        <v>11721</v>
      </c>
      <c r="D8724" t="s">
        <v>17459</v>
      </c>
      <c r="E8724" t="s">
        <v>25012</v>
      </c>
      <c r="F8724" t="s">
        <v>30052</v>
      </c>
      <c r="G8724" t="s">
        <v>30058</v>
      </c>
      <c r="H8724" t="s">
        <v>15498</v>
      </c>
      <c r="I8724" t="s">
        <v>30072</v>
      </c>
      <c r="J8724" t="s">
        <v>35508</v>
      </c>
      <c r="K8724" t="s">
        <v>39125</v>
      </c>
      <c r="M8724" t="s">
        <v>42133</v>
      </c>
      <c r="N8724" t="s">
        <v>43166</v>
      </c>
      <c r="O8724" t="s">
        <v>43167</v>
      </c>
      <c r="Q8724">
        <v>1</v>
      </c>
      <c r="R8724" t="s">
        <v>43174</v>
      </c>
      <c r="S8724" t="s">
        <v>43427</v>
      </c>
      <c r="T8724" t="s">
        <v>44716</v>
      </c>
      <c r="U8724" t="s">
        <v>52192</v>
      </c>
      <c r="W8724" t="s">
        <v>42133</v>
      </c>
      <c r="X8724" t="s">
        <v>43175</v>
      </c>
    </row>
    <row r="8725" spans="1:24">
      <c r="A8725">
        <f>HYPERLINK("https://www.philgeps.gov.ph/GEPSNONPILOT/Tender/SplashBidNoticeAbstractUI.aspx?menuIndex=3&amp;refID=7075212&amp;Result=3","7075212")</f>
        <v>0</v>
      </c>
      <c r="B8725" t="s">
        <v>1505</v>
      </c>
      <c r="C8725" t="s">
        <v>11722</v>
      </c>
      <c r="D8725" t="s">
        <v>17462</v>
      </c>
      <c r="E8725" t="s">
        <v>25013</v>
      </c>
      <c r="F8725" t="s">
        <v>30052</v>
      </c>
      <c r="G8725" t="s">
        <v>30058</v>
      </c>
      <c r="H8725" t="s">
        <v>30067</v>
      </c>
      <c r="I8725" t="s">
        <v>3693</v>
      </c>
      <c r="J8725" t="s">
        <v>31772</v>
      </c>
      <c r="K8725" t="s">
        <v>39023</v>
      </c>
      <c r="M8725" t="s">
        <v>40889</v>
      </c>
      <c r="N8725" t="s">
        <v>43166</v>
      </c>
      <c r="O8725" t="s">
        <v>43167</v>
      </c>
      <c r="P8725">
        <v>0</v>
      </c>
      <c r="Q8725">
        <v>5</v>
      </c>
      <c r="R8725" t="s">
        <v>43174</v>
      </c>
      <c r="S8725" t="s">
        <v>43396</v>
      </c>
      <c r="T8725" t="s">
        <v>44758</v>
      </c>
      <c r="U8725" t="s">
        <v>52149</v>
      </c>
      <c r="W8725" t="s">
        <v>58641</v>
      </c>
      <c r="X8725" t="s">
        <v>43175</v>
      </c>
    </row>
    <row r="8726" spans="1:24">
      <c r="A8726">
        <f>HYPERLINK("https://www.philgeps.gov.ph/GEPSNONPILOT/Tender/SplashBidNoticeAbstractUI.aspx?menuIndex=3&amp;refID=7075295&amp;Result=3","7075295")</f>
        <v>0</v>
      </c>
      <c r="B8726" t="s">
        <v>2621</v>
      </c>
      <c r="C8726" t="s">
        <v>11723</v>
      </c>
      <c r="D8726" t="s">
        <v>17456</v>
      </c>
      <c r="E8726" t="s">
        <v>25014</v>
      </c>
      <c r="F8726" t="s">
        <v>30052</v>
      </c>
      <c r="G8726" t="s">
        <v>30058</v>
      </c>
      <c r="H8726" t="s">
        <v>30067</v>
      </c>
      <c r="I8726" t="s">
        <v>3693</v>
      </c>
      <c r="J8726" t="s">
        <v>35509</v>
      </c>
      <c r="K8726" t="s">
        <v>39026</v>
      </c>
      <c r="M8726" t="s">
        <v>42134</v>
      </c>
      <c r="N8726" t="s">
        <v>43166</v>
      </c>
      <c r="O8726" t="s">
        <v>43167</v>
      </c>
      <c r="P8726">
        <v>0</v>
      </c>
      <c r="Q8726">
        <v>7</v>
      </c>
      <c r="R8726" t="s">
        <v>43174</v>
      </c>
      <c r="S8726" t="s">
        <v>43396</v>
      </c>
      <c r="T8726" t="s">
        <v>44725</v>
      </c>
      <c r="U8726" t="s">
        <v>52193</v>
      </c>
      <c r="V8726" t="s">
        <v>57027</v>
      </c>
      <c r="W8726" t="s">
        <v>42134</v>
      </c>
      <c r="X8726" t="s">
        <v>43175</v>
      </c>
    </row>
    <row r="8727" spans="1:24">
      <c r="A8727">
        <f>HYPERLINK("https://www.philgeps.gov.ph/GEPSNONPILOT/Tender/SplashBidNoticeAbstractUI.aspx?menuIndex=3&amp;refID=7075240&amp;Result=3","7075240")</f>
        <v>0</v>
      </c>
      <c r="B8727" t="s">
        <v>1505</v>
      </c>
      <c r="C8727" t="s">
        <v>11724</v>
      </c>
      <c r="D8727" t="s">
        <v>17462</v>
      </c>
      <c r="E8727" t="s">
        <v>25015</v>
      </c>
      <c r="F8727" t="s">
        <v>30052</v>
      </c>
      <c r="G8727" t="s">
        <v>30058</v>
      </c>
      <c r="H8727" t="s">
        <v>30067</v>
      </c>
      <c r="I8727" t="s">
        <v>3693</v>
      </c>
      <c r="J8727" t="s">
        <v>31772</v>
      </c>
      <c r="K8727" t="s">
        <v>39046</v>
      </c>
      <c r="M8727" t="s">
        <v>40889</v>
      </c>
      <c r="N8727" t="s">
        <v>43166</v>
      </c>
      <c r="O8727" t="s">
        <v>43167</v>
      </c>
      <c r="P8727">
        <v>0</v>
      </c>
      <c r="Q8727">
        <v>5</v>
      </c>
      <c r="R8727" t="s">
        <v>43174</v>
      </c>
      <c r="S8727" t="s">
        <v>43396</v>
      </c>
      <c r="T8727" t="s">
        <v>44758</v>
      </c>
      <c r="U8727" t="s">
        <v>52149</v>
      </c>
      <c r="W8727" t="s">
        <v>58641</v>
      </c>
      <c r="X8727" t="s">
        <v>43175</v>
      </c>
    </row>
    <row r="8728" spans="1:24">
      <c r="A8728">
        <f>HYPERLINK("https://www.philgeps.gov.ph/GEPSNONPILOT/Tender/SplashBidNoticeAbstractUI.aspx?menuIndex=3&amp;refID=7075290&amp;Result=3","7075290")</f>
        <v>0</v>
      </c>
      <c r="B8728" t="s">
        <v>2622</v>
      </c>
      <c r="C8728" t="s">
        <v>11725</v>
      </c>
      <c r="D8728" t="s">
        <v>17416</v>
      </c>
      <c r="E8728" t="s">
        <v>21989</v>
      </c>
      <c r="F8728" t="s">
        <v>30052</v>
      </c>
      <c r="G8728" t="s">
        <v>30058</v>
      </c>
      <c r="H8728" t="s">
        <v>30067</v>
      </c>
      <c r="I8728" t="s">
        <v>3693</v>
      </c>
      <c r="J8728" t="s">
        <v>35510</v>
      </c>
      <c r="K8728" t="s">
        <v>39065</v>
      </c>
      <c r="M8728" t="s">
        <v>42135</v>
      </c>
      <c r="N8728" t="s">
        <v>43166</v>
      </c>
      <c r="O8728" t="s">
        <v>43167</v>
      </c>
      <c r="P8728">
        <v>0</v>
      </c>
      <c r="Q8728">
        <v>0</v>
      </c>
      <c r="R8728" t="s">
        <v>43174</v>
      </c>
      <c r="S8728" t="s">
        <v>43396</v>
      </c>
      <c r="T8728" t="s">
        <v>44955</v>
      </c>
      <c r="U8728" t="s">
        <v>52194</v>
      </c>
      <c r="W8728" t="s">
        <v>58682</v>
      </c>
      <c r="X8728" t="s">
        <v>43175</v>
      </c>
    </row>
    <row r="8729" spans="1:24">
      <c r="A8729">
        <f>HYPERLINK("https://www.philgeps.gov.ph/GEPSNONPILOT/Tender/SplashBidNoticeAbstractUI.aspx?menuIndex=3&amp;refID=7075263&amp;Result=3","7075263")</f>
        <v>0</v>
      </c>
      <c r="B8729" t="s">
        <v>1439</v>
      </c>
      <c r="C8729" t="s">
        <v>7147</v>
      </c>
      <c r="D8729" t="s">
        <v>17479</v>
      </c>
      <c r="E8729" t="s">
        <v>25016</v>
      </c>
      <c r="F8729" t="s">
        <v>30052</v>
      </c>
      <c r="G8729" t="s">
        <v>30064</v>
      </c>
      <c r="H8729" t="s">
        <v>15498</v>
      </c>
      <c r="I8729" t="s">
        <v>30076</v>
      </c>
      <c r="J8729" t="s">
        <v>30230</v>
      </c>
      <c r="K8729" t="s">
        <v>39017</v>
      </c>
      <c r="M8729" t="s">
        <v>40817</v>
      </c>
      <c r="N8729" t="s">
        <v>43166</v>
      </c>
      <c r="O8729" t="s">
        <v>43167</v>
      </c>
      <c r="P8729">
        <v>0</v>
      </c>
      <c r="Q8729">
        <v>2</v>
      </c>
      <c r="R8729" t="s">
        <v>43174</v>
      </c>
      <c r="S8729" t="s">
        <v>43396</v>
      </c>
      <c r="T8729" t="s">
        <v>44837</v>
      </c>
      <c r="U8729" t="s">
        <v>52195</v>
      </c>
      <c r="W8729" t="s">
        <v>40817</v>
      </c>
      <c r="X8729" t="s">
        <v>43175</v>
      </c>
    </row>
    <row r="8730" spans="1:24">
      <c r="A8730">
        <f>HYPERLINK("https://www.philgeps.gov.ph/GEPSNONPILOT/Tender/SplashBidNoticeAbstractUI.aspx?menuIndex=3&amp;refID=7075305&amp;Result=3","7075305")</f>
        <v>0</v>
      </c>
      <c r="B8730" t="s">
        <v>2318</v>
      </c>
      <c r="C8730" t="s">
        <v>11726</v>
      </c>
      <c r="D8730" t="s">
        <v>17473</v>
      </c>
      <c r="E8730" t="s">
        <v>25017</v>
      </c>
      <c r="F8730" t="s">
        <v>30052</v>
      </c>
      <c r="G8730" t="s">
        <v>30059</v>
      </c>
      <c r="H8730" t="s">
        <v>30067</v>
      </c>
      <c r="I8730" t="s">
        <v>3693</v>
      </c>
      <c r="J8730" t="s">
        <v>35511</v>
      </c>
      <c r="K8730" t="s">
        <v>39029</v>
      </c>
      <c r="M8730" t="s">
        <v>41804</v>
      </c>
      <c r="N8730" t="s">
        <v>43166</v>
      </c>
      <c r="O8730" t="s">
        <v>43167</v>
      </c>
      <c r="P8730">
        <v>0</v>
      </c>
      <c r="Q8730">
        <v>0</v>
      </c>
      <c r="R8730" t="s">
        <v>43174</v>
      </c>
      <c r="S8730" t="s">
        <v>43396</v>
      </c>
      <c r="T8730" t="s">
        <v>44806</v>
      </c>
      <c r="U8730" t="s">
        <v>52196</v>
      </c>
      <c r="W8730" t="s">
        <v>41804</v>
      </c>
      <c r="X8730" t="s">
        <v>43175</v>
      </c>
    </row>
    <row r="8731" spans="1:24">
      <c r="A8731">
        <f>HYPERLINK("https://www.philgeps.gov.ph/GEPSNONPILOT/Tender/SplashBidNoticeAbstractUI.aspx?menuIndex=3&amp;refID=7075287&amp;Result=3","7075287")</f>
        <v>0</v>
      </c>
      <c r="B8731" t="s">
        <v>820</v>
      </c>
      <c r="C8731" t="s">
        <v>11727</v>
      </c>
      <c r="E8731" t="s">
        <v>25018</v>
      </c>
      <c r="F8731" t="s">
        <v>30052</v>
      </c>
      <c r="G8731" t="s">
        <v>30059</v>
      </c>
      <c r="H8731" t="s">
        <v>15498</v>
      </c>
      <c r="I8731" t="s">
        <v>3736</v>
      </c>
      <c r="J8731" t="s">
        <v>35512</v>
      </c>
      <c r="K8731" t="s">
        <v>39034</v>
      </c>
      <c r="M8731" t="s">
        <v>40137</v>
      </c>
      <c r="N8731" t="s">
        <v>43166</v>
      </c>
      <c r="O8731" t="s">
        <v>43167</v>
      </c>
      <c r="P8731">
        <v>0</v>
      </c>
      <c r="Q8731">
        <v>2</v>
      </c>
      <c r="R8731" t="s">
        <v>43174</v>
      </c>
      <c r="S8731" t="s">
        <v>43396</v>
      </c>
      <c r="T8731" t="s">
        <v>44737</v>
      </c>
      <c r="U8731" t="s">
        <v>52197</v>
      </c>
      <c r="V8731" t="s">
        <v>57736</v>
      </c>
      <c r="W8731" t="s">
        <v>40137</v>
      </c>
      <c r="X8731" t="s">
        <v>43175</v>
      </c>
    </row>
    <row r="8732" spans="1:24">
      <c r="A8732">
        <f>HYPERLINK("https://www.philgeps.gov.ph/GEPSNONPILOT/Tender/SplashBidNoticeAbstractUI.aspx?menuIndex=3&amp;refID=7075280&amp;Result=3","7075280")</f>
        <v>0</v>
      </c>
      <c r="B8732" t="s">
        <v>956</v>
      </c>
      <c r="C8732" t="s">
        <v>11728</v>
      </c>
      <c r="D8732" t="s">
        <v>17441</v>
      </c>
      <c r="E8732" t="s">
        <v>11728</v>
      </c>
      <c r="F8732" t="s">
        <v>30052</v>
      </c>
      <c r="G8732" t="s">
        <v>30058</v>
      </c>
      <c r="H8732" t="s">
        <v>15498</v>
      </c>
      <c r="I8732" t="s">
        <v>30106</v>
      </c>
      <c r="J8732" t="s">
        <v>32296</v>
      </c>
      <c r="K8732" t="s">
        <v>39025</v>
      </c>
      <c r="M8732" t="s">
        <v>40282</v>
      </c>
      <c r="N8732" t="s">
        <v>43166</v>
      </c>
      <c r="O8732" t="s">
        <v>43167</v>
      </c>
      <c r="P8732">
        <v>0</v>
      </c>
      <c r="Q8732">
        <v>7</v>
      </c>
      <c r="R8732" t="s">
        <v>43174</v>
      </c>
      <c r="S8732" t="s">
        <v>43396</v>
      </c>
      <c r="T8732" t="s">
        <v>45102</v>
      </c>
      <c r="U8732" t="s">
        <v>52198</v>
      </c>
      <c r="W8732" t="s">
        <v>40282</v>
      </c>
      <c r="X8732" t="s">
        <v>43175</v>
      </c>
    </row>
    <row r="8733" spans="1:24">
      <c r="A8733">
        <f>HYPERLINK("https://www.philgeps.gov.ph/GEPSNONPILOT/Tender/SplashBidNoticeAbstractUI.aspx?menuIndex=3&amp;refID=7075281&amp;Result=3","7075281")</f>
        <v>0</v>
      </c>
      <c r="B8733" t="s">
        <v>1505</v>
      </c>
      <c r="C8733" t="s">
        <v>11729</v>
      </c>
      <c r="D8733" t="s">
        <v>17462</v>
      </c>
      <c r="E8733" t="s">
        <v>25019</v>
      </c>
      <c r="F8733" t="s">
        <v>30052</v>
      </c>
      <c r="G8733" t="s">
        <v>30058</v>
      </c>
      <c r="H8733" t="s">
        <v>30067</v>
      </c>
      <c r="I8733" t="s">
        <v>3693</v>
      </c>
      <c r="J8733" t="s">
        <v>30240</v>
      </c>
      <c r="K8733" t="s">
        <v>39046</v>
      </c>
      <c r="M8733" t="s">
        <v>40889</v>
      </c>
      <c r="N8733" t="s">
        <v>43166</v>
      </c>
      <c r="O8733" t="s">
        <v>43167</v>
      </c>
      <c r="P8733">
        <v>0</v>
      </c>
      <c r="Q8733">
        <v>5</v>
      </c>
      <c r="R8733" t="s">
        <v>43174</v>
      </c>
      <c r="S8733" t="s">
        <v>43396</v>
      </c>
      <c r="T8733" t="s">
        <v>44758</v>
      </c>
      <c r="U8733" t="s">
        <v>52149</v>
      </c>
      <c r="W8733" t="s">
        <v>58641</v>
      </c>
      <c r="X8733" t="s">
        <v>43175</v>
      </c>
    </row>
    <row r="8734" spans="1:24">
      <c r="A8734">
        <f>HYPERLINK("https://www.philgeps.gov.ph/GEPSNONPILOT/Tender/SplashBidNoticeAbstractUI.aspx?menuIndex=3&amp;refID=7075278&amp;Result=3","7075278")</f>
        <v>0</v>
      </c>
      <c r="B8734" t="s">
        <v>2619</v>
      </c>
      <c r="C8734" t="s">
        <v>11730</v>
      </c>
      <c r="D8734" t="s">
        <v>17476</v>
      </c>
      <c r="E8734" t="s">
        <v>25020</v>
      </c>
      <c r="F8734" t="s">
        <v>30052</v>
      </c>
      <c r="G8734" t="s">
        <v>30058</v>
      </c>
      <c r="H8734" t="s">
        <v>30067</v>
      </c>
      <c r="I8734" t="s">
        <v>3693</v>
      </c>
      <c r="J8734" t="s">
        <v>35513</v>
      </c>
      <c r="K8734" t="s">
        <v>39031</v>
      </c>
      <c r="M8734" t="s">
        <v>42132</v>
      </c>
      <c r="N8734" t="s">
        <v>43166</v>
      </c>
      <c r="O8734" t="s">
        <v>43167</v>
      </c>
      <c r="P8734">
        <v>0</v>
      </c>
      <c r="Q8734">
        <v>0</v>
      </c>
      <c r="R8734" t="s">
        <v>43174</v>
      </c>
      <c r="S8734" t="s">
        <v>43396</v>
      </c>
      <c r="T8734" t="s">
        <v>44777</v>
      </c>
      <c r="U8734" t="s">
        <v>52199</v>
      </c>
      <c r="W8734" t="s">
        <v>42132</v>
      </c>
      <c r="X8734" t="s">
        <v>43175</v>
      </c>
    </row>
    <row r="8735" spans="1:24">
      <c r="A8735">
        <f>HYPERLINK("https://www.philgeps.gov.ph/GEPSNONPILOT/Tender/SplashBidNoticeAbstractUI.aspx?menuIndex=3&amp;refID=7075352&amp;Result=3","7075352")</f>
        <v>0</v>
      </c>
      <c r="B8735" t="s">
        <v>1004</v>
      </c>
      <c r="C8735" t="s">
        <v>11731</v>
      </c>
      <c r="D8735" t="s">
        <v>17454</v>
      </c>
      <c r="E8735" t="s">
        <v>25021</v>
      </c>
      <c r="F8735" t="s">
        <v>30052</v>
      </c>
      <c r="G8735" t="s">
        <v>30058</v>
      </c>
      <c r="H8735" t="s">
        <v>15498</v>
      </c>
      <c r="I8735" t="s">
        <v>30130</v>
      </c>
      <c r="J8735" t="s">
        <v>30873</v>
      </c>
      <c r="K8735" t="s">
        <v>39029</v>
      </c>
      <c r="M8735" t="s">
        <v>42136</v>
      </c>
      <c r="N8735" t="s">
        <v>43166</v>
      </c>
      <c r="O8735" t="s">
        <v>43167</v>
      </c>
      <c r="Q8735">
        <v>25</v>
      </c>
      <c r="R8735" t="s">
        <v>43174</v>
      </c>
      <c r="S8735" t="s">
        <v>43428</v>
      </c>
      <c r="T8735" t="s">
        <v>44873</v>
      </c>
      <c r="U8735" t="s">
        <v>52200</v>
      </c>
      <c r="W8735" t="s">
        <v>42136</v>
      </c>
      <c r="X8735" t="s">
        <v>43175</v>
      </c>
    </row>
    <row r="8736" spans="1:24">
      <c r="A8736">
        <f>HYPERLINK("https://www.philgeps.gov.ph/GEPSNONPILOT/Tender/SplashBidNoticeAbstractUI.aspx?menuIndex=3&amp;refID=7075286&amp;Result=3","7075286")</f>
        <v>0</v>
      </c>
      <c r="B8736" t="s">
        <v>2617</v>
      </c>
      <c r="C8736" t="s">
        <v>11732</v>
      </c>
      <c r="D8736" t="s">
        <v>17441</v>
      </c>
      <c r="E8736" t="s">
        <v>25022</v>
      </c>
      <c r="F8736" t="s">
        <v>30052</v>
      </c>
      <c r="G8736" t="s">
        <v>30060</v>
      </c>
      <c r="H8736" t="s">
        <v>30067</v>
      </c>
      <c r="I8736" t="s">
        <v>3693</v>
      </c>
      <c r="J8736" t="s">
        <v>35503</v>
      </c>
      <c r="K8736" t="s">
        <v>39025</v>
      </c>
      <c r="M8736" t="s">
        <v>42129</v>
      </c>
      <c r="N8736" t="s">
        <v>43166</v>
      </c>
      <c r="O8736" t="s">
        <v>43167</v>
      </c>
      <c r="P8736">
        <v>0</v>
      </c>
      <c r="Q8736">
        <v>2</v>
      </c>
      <c r="R8736" t="s">
        <v>43174</v>
      </c>
      <c r="S8736" t="s">
        <v>43396</v>
      </c>
      <c r="T8736" t="s">
        <v>44837</v>
      </c>
      <c r="U8736" t="s">
        <v>52201</v>
      </c>
      <c r="W8736" t="s">
        <v>42129</v>
      </c>
      <c r="X8736" t="s">
        <v>43175</v>
      </c>
    </row>
    <row r="8737" spans="1:24">
      <c r="A8737">
        <f>HYPERLINK("https://www.philgeps.gov.ph/GEPSNONPILOT/Tender/SplashBidNoticeAbstractUI.aspx?menuIndex=3&amp;refID=7075350&amp;Result=3","7075350")</f>
        <v>0</v>
      </c>
      <c r="B8737" t="s">
        <v>2126</v>
      </c>
      <c r="C8737" t="s">
        <v>11733</v>
      </c>
      <c r="D8737" t="s">
        <v>17432</v>
      </c>
      <c r="E8737" t="s">
        <v>25023</v>
      </c>
      <c r="F8737" t="s">
        <v>30052</v>
      </c>
      <c r="G8737" t="s">
        <v>30058</v>
      </c>
      <c r="H8737" t="s">
        <v>15498</v>
      </c>
      <c r="I8737" t="s">
        <v>30106</v>
      </c>
      <c r="J8737" t="s">
        <v>35514</v>
      </c>
      <c r="K8737" t="s">
        <v>39046</v>
      </c>
      <c r="M8737" t="s">
        <v>41590</v>
      </c>
      <c r="N8737" t="s">
        <v>43166</v>
      </c>
      <c r="O8737" t="s">
        <v>43167</v>
      </c>
      <c r="P8737">
        <v>0</v>
      </c>
      <c r="Q8737">
        <v>4</v>
      </c>
      <c r="R8737" t="s">
        <v>43174</v>
      </c>
      <c r="S8737" t="s">
        <v>43396</v>
      </c>
      <c r="T8737" t="s">
        <v>44991</v>
      </c>
      <c r="U8737" t="s">
        <v>52202</v>
      </c>
      <c r="V8737" t="s">
        <v>57526</v>
      </c>
      <c r="W8737" t="s">
        <v>41590</v>
      </c>
      <c r="X8737" t="s">
        <v>43175</v>
      </c>
    </row>
    <row r="8738" spans="1:24">
      <c r="A8738">
        <f>HYPERLINK("https://www.philgeps.gov.ph/GEPSNONPILOT/Tender/SplashBidNoticeAbstractUI.aspx?menuIndex=3&amp;refID=7075348&amp;Result=3","7075348")</f>
        <v>0</v>
      </c>
      <c r="B8738" t="s">
        <v>2623</v>
      </c>
      <c r="C8738" t="s">
        <v>11734</v>
      </c>
      <c r="D8738" t="s">
        <v>17454</v>
      </c>
      <c r="E8738" t="s">
        <v>24659</v>
      </c>
      <c r="F8738" t="s">
        <v>30052</v>
      </c>
      <c r="G8738" t="s">
        <v>30058</v>
      </c>
      <c r="H8738" t="s">
        <v>15498</v>
      </c>
      <c r="I8738" t="s">
        <v>3736</v>
      </c>
      <c r="J8738" t="s">
        <v>35515</v>
      </c>
      <c r="K8738" t="s">
        <v>39029</v>
      </c>
      <c r="M8738" t="s">
        <v>42137</v>
      </c>
      <c r="N8738" t="s">
        <v>43166</v>
      </c>
      <c r="O8738" t="s">
        <v>43167</v>
      </c>
      <c r="P8738">
        <v>0</v>
      </c>
      <c r="Q8738">
        <v>1</v>
      </c>
      <c r="R8738" t="s">
        <v>43174</v>
      </c>
      <c r="S8738" t="s">
        <v>43396</v>
      </c>
      <c r="T8738" t="s">
        <v>44844</v>
      </c>
      <c r="U8738" t="s">
        <v>52203</v>
      </c>
      <c r="W8738" t="s">
        <v>42137</v>
      </c>
      <c r="X8738" t="s">
        <v>43175</v>
      </c>
    </row>
    <row r="8739" spans="1:24">
      <c r="A8739">
        <f>HYPERLINK("https://www.philgeps.gov.ph/GEPSNONPILOT/Tender/SplashBidNoticeAbstractUI.aspx?menuIndex=3&amp;refID=7075293&amp;Result=3","7075293")</f>
        <v>0</v>
      </c>
      <c r="B8739" t="s">
        <v>2615</v>
      </c>
      <c r="C8739" t="s">
        <v>11735</v>
      </c>
      <c r="D8739" t="s">
        <v>17436</v>
      </c>
      <c r="E8739" t="s">
        <v>25024</v>
      </c>
      <c r="F8739" t="s">
        <v>30052</v>
      </c>
      <c r="G8739" t="s">
        <v>30058</v>
      </c>
      <c r="H8739" t="s">
        <v>15498</v>
      </c>
      <c r="I8739" t="s">
        <v>30140</v>
      </c>
      <c r="J8739" t="s">
        <v>35516</v>
      </c>
      <c r="K8739" t="s">
        <v>39026</v>
      </c>
      <c r="M8739" t="s">
        <v>42127</v>
      </c>
      <c r="N8739" t="s">
        <v>43166</v>
      </c>
      <c r="O8739" t="s">
        <v>43167</v>
      </c>
      <c r="P8739">
        <v>0</v>
      </c>
      <c r="Q8739">
        <v>4</v>
      </c>
      <c r="R8739" t="s">
        <v>43174</v>
      </c>
      <c r="S8739" t="s">
        <v>43396</v>
      </c>
      <c r="T8739" t="s">
        <v>44796</v>
      </c>
      <c r="U8739" t="s">
        <v>52204</v>
      </c>
      <c r="W8739" t="s">
        <v>42127</v>
      </c>
      <c r="X8739" t="s">
        <v>43175</v>
      </c>
    </row>
    <row r="8740" spans="1:24">
      <c r="A8740">
        <f>HYPERLINK("https://www.philgeps.gov.ph/GEPSNONPILOT/Tender/SplashBidNoticeAbstractUI.aspx?menuIndex=3&amp;refID=7075288&amp;Result=3","7075288")</f>
        <v>0</v>
      </c>
      <c r="B8740" t="s">
        <v>918</v>
      </c>
      <c r="C8740" t="s">
        <v>11736</v>
      </c>
      <c r="D8740" t="s">
        <v>17424</v>
      </c>
      <c r="E8740" t="s">
        <v>25025</v>
      </c>
      <c r="F8740" t="s">
        <v>30052</v>
      </c>
      <c r="G8740" t="s">
        <v>30063</v>
      </c>
      <c r="H8740" t="s">
        <v>30067</v>
      </c>
      <c r="I8740" t="s">
        <v>3693</v>
      </c>
      <c r="J8740" t="s">
        <v>35517</v>
      </c>
      <c r="K8740" t="s">
        <v>39020</v>
      </c>
      <c r="M8740" t="s">
        <v>40241</v>
      </c>
      <c r="N8740" t="s">
        <v>43166</v>
      </c>
      <c r="O8740" t="s">
        <v>43167</v>
      </c>
      <c r="P8740">
        <v>0</v>
      </c>
      <c r="Q8740">
        <v>7</v>
      </c>
      <c r="R8740" t="s">
        <v>43174</v>
      </c>
      <c r="S8740" t="s">
        <v>43396</v>
      </c>
      <c r="T8740" t="s">
        <v>44716</v>
      </c>
      <c r="U8740" t="s">
        <v>52205</v>
      </c>
      <c r="V8740" t="s">
        <v>57086</v>
      </c>
      <c r="W8740" t="s">
        <v>40241</v>
      </c>
      <c r="X8740" t="s">
        <v>43175</v>
      </c>
    </row>
    <row r="8741" spans="1:24">
      <c r="A8741">
        <f>HYPERLINK("https://www.philgeps.gov.ph/GEPSNONPILOT/Tender/SplashBidNoticeAbstractUI.aspx?menuIndex=3&amp;refID=7075344&amp;Result=3","7075344")</f>
        <v>0</v>
      </c>
      <c r="B8741" t="s">
        <v>658</v>
      </c>
      <c r="C8741" t="s">
        <v>11737</v>
      </c>
      <c r="D8741" t="s">
        <v>17434</v>
      </c>
      <c r="E8741" t="s">
        <v>25026</v>
      </c>
      <c r="F8741" t="s">
        <v>30052</v>
      </c>
      <c r="G8741" t="s">
        <v>30058</v>
      </c>
      <c r="H8741" t="s">
        <v>15498</v>
      </c>
      <c r="I8741" t="s">
        <v>30079</v>
      </c>
      <c r="J8741" t="s">
        <v>35518</v>
      </c>
      <c r="K8741" t="s">
        <v>39029</v>
      </c>
      <c r="M8741" t="s">
        <v>40517</v>
      </c>
      <c r="N8741" t="s">
        <v>43166</v>
      </c>
      <c r="O8741" t="s">
        <v>43167</v>
      </c>
      <c r="P8741">
        <v>0</v>
      </c>
      <c r="Q8741">
        <v>2</v>
      </c>
      <c r="R8741" t="s">
        <v>43174</v>
      </c>
      <c r="S8741" t="s">
        <v>43396</v>
      </c>
      <c r="T8741" t="s">
        <v>44750</v>
      </c>
      <c r="U8741" t="s">
        <v>52075</v>
      </c>
      <c r="W8741" t="s">
        <v>40517</v>
      </c>
      <c r="X8741" t="s">
        <v>43175</v>
      </c>
    </row>
    <row r="8742" spans="1:24">
      <c r="A8742">
        <f>HYPERLINK("https://www.philgeps.gov.ph/GEPSNONPILOT/Tender/SplashBidNoticeAbstractUI.aspx?menuIndex=3&amp;refID=7075349&amp;Result=3","7075349")</f>
        <v>0</v>
      </c>
      <c r="B8742" t="s">
        <v>2624</v>
      </c>
      <c r="C8742" t="s">
        <v>11738</v>
      </c>
      <c r="D8742" t="s">
        <v>17464</v>
      </c>
      <c r="E8742" t="s">
        <v>25027</v>
      </c>
      <c r="F8742" t="s">
        <v>30052</v>
      </c>
      <c r="G8742" t="s">
        <v>30058</v>
      </c>
      <c r="H8742" t="s">
        <v>15498</v>
      </c>
      <c r="I8742" t="s">
        <v>30098</v>
      </c>
      <c r="J8742" t="s">
        <v>35519</v>
      </c>
      <c r="K8742" t="s">
        <v>39029</v>
      </c>
      <c r="M8742" t="s">
        <v>42138</v>
      </c>
      <c r="N8742" t="s">
        <v>43166</v>
      </c>
      <c r="O8742" t="s">
        <v>43167</v>
      </c>
      <c r="P8742">
        <v>0</v>
      </c>
      <c r="Q8742">
        <v>2</v>
      </c>
      <c r="R8742" t="s">
        <v>43174</v>
      </c>
      <c r="S8742" t="s">
        <v>43396</v>
      </c>
      <c r="T8742" t="s">
        <v>44773</v>
      </c>
      <c r="U8742" t="s">
        <v>52206</v>
      </c>
      <c r="W8742" t="s">
        <v>42138</v>
      </c>
      <c r="X8742" t="s">
        <v>43175</v>
      </c>
    </row>
    <row r="8743" spans="1:24">
      <c r="A8743">
        <f>HYPERLINK("https://www.philgeps.gov.ph/GEPSNONPILOT/Tender/SplashBidNoticeAbstractUI.aspx?menuIndex=3&amp;refID=7075338&amp;Result=3","7075338")</f>
        <v>0</v>
      </c>
      <c r="B8743" t="s">
        <v>592</v>
      </c>
      <c r="C8743" t="s">
        <v>11739</v>
      </c>
      <c r="D8743" t="s">
        <v>17461</v>
      </c>
      <c r="E8743" t="s">
        <v>25028</v>
      </c>
      <c r="F8743" t="s">
        <v>30052</v>
      </c>
      <c r="G8743" t="s">
        <v>30058</v>
      </c>
      <c r="H8743" t="s">
        <v>15498</v>
      </c>
      <c r="I8743" t="s">
        <v>30086</v>
      </c>
      <c r="J8743" t="s">
        <v>35520</v>
      </c>
      <c r="K8743" t="s">
        <v>39025</v>
      </c>
      <c r="M8743" t="s">
        <v>41301</v>
      </c>
      <c r="N8743" t="s">
        <v>43166</v>
      </c>
      <c r="O8743" t="s">
        <v>43167</v>
      </c>
      <c r="P8743">
        <v>0</v>
      </c>
      <c r="Q8743">
        <v>0</v>
      </c>
      <c r="R8743" t="s">
        <v>43174</v>
      </c>
      <c r="S8743" t="s">
        <v>43396</v>
      </c>
      <c r="T8743" t="s">
        <v>44678</v>
      </c>
      <c r="U8743" t="s">
        <v>52207</v>
      </c>
      <c r="W8743" t="s">
        <v>41301</v>
      </c>
      <c r="X8743" t="s">
        <v>43175</v>
      </c>
    </row>
    <row r="8744" spans="1:24">
      <c r="A8744">
        <f>HYPERLINK("https://www.philgeps.gov.ph/GEPSNONPILOT/Tender/SplashBidNoticeAbstractUI.aspx?menuIndex=3&amp;refID=7075337&amp;Result=3","7075337")</f>
        <v>0</v>
      </c>
      <c r="B8744" t="s">
        <v>2612</v>
      </c>
      <c r="C8744" t="s">
        <v>11740</v>
      </c>
      <c r="E8744" t="s">
        <v>25029</v>
      </c>
      <c r="F8744" t="s">
        <v>30052</v>
      </c>
      <c r="G8744" t="s">
        <v>30058</v>
      </c>
      <c r="H8744" t="s">
        <v>15498</v>
      </c>
      <c r="I8744" t="s">
        <v>30124</v>
      </c>
      <c r="J8744" t="s">
        <v>35521</v>
      </c>
      <c r="K8744" t="s">
        <v>39026</v>
      </c>
      <c r="M8744" t="s">
        <v>42124</v>
      </c>
      <c r="N8744" t="s">
        <v>43166</v>
      </c>
      <c r="O8744" t="s">
        <v>43167</v>
      </c>
      <c r="P8744">
        <v>0</v>
      </c>
      <c r="Q8744">
        <v>16</v>
      </c>
      <c r="R8744" t="s">
        <v>43174</v>
      </c>
      <c r="S8744" t="s">
        <v>43396</v>
      </c>
      <c r="T8744" t="s">
        <v>44765</v>
      </c>
      <c r="U8744" t="s">
        <v>52208</v>
      </c>
      <c r="W8744" t="s">
        <v>58681</v>
      </c>
      <c r="X8744" t="s">
        <v>43175</v>
      </c>
    </row>
    <row r="8745" spans="1:24">
      <c r="A8745">
        <f>HYPERLINK("https://www.philgeps.gov.ph/GEPSNONPILOT/Tender/SplashBidNoticeAbstractUI.aspx?menuIndex=3&amp;refID=7075334&amp;Result=3","7075334")</f>
        <v>0</v>
      </c>
      <c r="B8745" t="s">
        <v>2237</v>
      </c>
      <c r="C8745" t="s">
        <v>11741</v>
      </c>
      <c r="D8745" t="s">
        <v>17471</v>
      </c>
      <c r="E8745" t="s">
        <v>25030</v>
      </c>
      <c r="F8745" t="s">
        <v>30052</v>
      </c>
      <c r="G8745" t="s">
        <v>30058</v>
      </c>
      <c r="H8745" t="s">
        <v>15498</v>
      </c>
      <c r="I8745" t="s">
        <v>30074</v>
      </c>
      <c r="J8745" t="s">
        <v>30222</v>
      </c>
      <c r="K8745" t="s">
        <v>39019</v>
      </c>
      <c r="M8745" t="s">
        <v>41712</v>
      </c>
      <c r="N8745" t="s">
        <v>43166</v>
      </c>
      <c r="O8745" t="s">
        <v>43167</v>
      </c>
      <c r="P8745">
        <v>0</v>
      </c>
      <c r="Q8745">
        <v>0</v>
      </c>
      <c r="R8745" t="s">
        <v>43174</v>
      </c>
      <c r="S8745" t="s">
        <v>43396</v>
      </c>
      <c r="T8745" t="s">
        <v>44704</v>
      </c>
      <c r="U8745" t="s">
        <v>52209</v>
      </c>
      <c r="W8745" t="s">
        <v>41712</v>
      </c>
      <c r="X8745" t="s">
        <v>43175</v>
      </c>
    </row>
    <row r="8746" spans="1:24">
      <c r="A8746">
        <f>HYPERLINK("https://www.philgeps.gov.ph/GEPSNONPILOT/Tender/SplashBidNoticeAbstractUI.aspx?menuIndex=3&amp;refID=7075246&amp;Result=3","7075246")</f>
        <v>0</v>
      </c>
      <c r="B8746" t="s">
        <v>2625</v>
      </c>
      <c r="C8746" t="s">
        <v>3786</v>
      </c>
      <c r="D8746" t="s">
        <v>17415</v>
      </c>
      <c r="E8746" t="s">
        <v>18468</v>
      </c>
      <c r="F8746" t="s">
        <v>30052</v>
      </c>
      <c r="G8746" t="s">
        <v>30058</v>
      </c>
      <c r="H8746" t="s">
        <v>15498</v>
      </c>
      <c r="I8746" t="s">
        <v>3852</v>
      </c>
      <c r="J8746" t="s">
        <v>30358</v>
      </c>
      <c r="K8746" t="s">
        <v>39036</v>
      </c>
      <c r="M8746" t="s">
        <v>42139</v>
      </c>
      <c r="N8746" t="s">
        <v>43166</v>
      </c>
      <c r="O8746" t="s">
        <v>43167</v>
      </c>
      <c r="P8746">
        <v>0</v>
      </c>
      <c r="Q8746">
        <v>3</v>
      </c>
      <c r="R8746" t="s">
        <v>43174</v>
      </c>
      <c r="S8746" t="s">
        <v>43396</v>
      </c>
      <c r="T8746" t="s">
        <v>44856</v>
      </c>
      <c r="U8746" t="s">
        <v>52210</v>
      </c>
      <c r="W8746" t="s">
        <v>42139</v>
      </c>
      <c r="X8746" t="s">
        <v>43175</v>
      </c>
    </row>
    <row r="8747" spans="1:24">
      <c r="A8747">
        <f>HYPERLINK("https://www.philgeps.gov.ph/GEPSNONPILOT/Tender/SplashBidNoticeAbstractUI.aspx?menuIndex=3&amp;refID=7075332&amp;Result=3","7075332")</f>
        <v>0</v>
      </c>
      <c r="B8747" t="s">
        <v>820</v>
      </c>
      <c r="C8747" t="s">
        <v>11742</v>
      </c>
      <c r="E8747" t="s">
        <v>25031</v>
      </c>
      <c r="F8747" t="s">
        <v>30052</v>
      </c>
      <c r="G8747" t="s">
        <v>30059</v>
      </c>
      <c r="H8747" t="s">
        <v>15498</v>
      </c>
      <c r="I8747" t="s">
        <v>4650</v>
      </c>
      <c r="J8747" t="s">
        <v>30358</v>
      </c>
      <c r="K8747" t="s">
        <v>39034</v>
      </c>
      <c r="M8747" t="s">
        <v>40137</v>
      </c>
      <c r="N8747" t="s">
        <v>43166</v>
      </c>
      <c r="O8747" t="s">
        <v>43167</v>
      </c>
      <c r="P8747">
        <v>0</v>
      </c>
      <c r="Q8747">
        <v>1</v>
      </c>
      <c r="R8747" t="s">
        <v>43174</v>
      </c>
      <c r="S8747" t="s">
        <v>43396</v>
      </c>
      <c r="T8747" t="s">
        <v>44737</v>
      </c>
      <c r="U8747" t="s">
        <v>52211</v>
      </c>
      <c r="V8747" t="s">
        <v>57736</v>
      </c>
      <c r="W8747" t="s">
        <v>40137</v>
      </c>
      <c r="X8747" t="s">
        <v>43175</v>
      </c>
    </row>
    <row r="8748" spans="1:24">
      <c r="A8748">
        <f>HYPERLINK("https://www.philgeps.gov.ph/GEPSNONPILOT/Tender/SplashBidNoticeAbstractUI.aspx?menuIndex=3&amp;refID=7075409&amp;Result=3","7075409")</f>
        <v>0</v>
      </c>
      <c r="B8748" t="s">
        <v>2626</v>
      </c>
      <c r="C8748" t="s">
        <v>11743</v>
      </c>
      <c r="E8748" t="s">
        <v>25032</v>
      </c>
      <c r="F8748" t="s">
        <v>30052</v>
      </c>
      <c r="G8748" t="s">
        <v>30058</v>
      </c>
      <c r="H8748" t="s">
        <v>30067</v>
      </c>
      <c r="I8748" t="s">
        <v>3693</v>
      </c>
      <c r="J8748" t="s">
        <v>35522</v>
      </c>
      <c r="K8748" t="s">
        <v>39029</v>
      </c>
      <c r="M8748" t="s">
        <v>42140</v>
      </c>
      <c r="N8748" t="s">
        <v>43166</v>
      </c>
      <c r="O8748" t="s">
        <v>43167</v>
      </c>
      <c r="P8748">
        <v>0</v>
      </c>
      <c r="Q8748">
        <v>1</v>
      </c>
      <c r="R8748" t="s">
        <v>43174</v>
      </c>
      <c r="S8748" t="s">
        <v>43396</v>
      </c>
      <c r="T8748" t="s">
        <v>44717</v>
      </c>
      <c r="U8748" t="s">
        <v>52212</v>
      </c>
      <c r="W8748" t="s">
        <v>42140</v>
      </c>
      <c r="X8748" t="s">
        <v>43175</v>
      </c>
    </row>
    <row r="8749" spans="1:24">
      <c r="A8749">
        <f>HYPERLINK("https://www.philgeps.gov.ph/GEPSNONPILOT/Tender/SplashBidNoticeAbstractUI.aspx?menuIndex=3&amp;refID=7075343&amp;Result=3","7075343")</f>
        <v>0</v>
      </c>
      <c r="B8749" t="s">
        <v>2627</v>
      </c>
      <c r="C8749" t="s">
        <v>11744</v>
      </c>
      <c r="D8749" t="s">
        <v>17446</v>
      </c>
      <c r="E8749" t="s">
        <v>25033</v>
      </c>
      <c r="F8749" t="s">
        <v>30052</v>
      </c>
      <c r="G8749" t="s">
        <v>30058</v>
      </c>
      <c r="H8749" t="s">
        <v>30067</v>
      </c>
      <c r="I8749" t="s">
        <v>3693</v>
      </c>
      <c r="J8749" t="s">
        <v>35523</v>
      </c>
      <c r="K8749" t="s">
        <v>39209</v>
      </c>
      <c r="M8749" t="s">
        <v>42141</v>
      </c>
      <c r="N8749" t="s">
        <v>43166</v>
      </c>
      <c r="O8749" t="s">
        <v>43167</v>
      </c>
      <c r="P8749">
        <v>0</v>
      </c>
      <c r="Q8749">
        <v>6</v>
      </c>
      <c r="R8749" t="s">
        <v>43174</v>
      </c>
      <c r="S8749" t="s">
        <v>43396</v>
      </c>
      <c r="T8749" t="s">
        <v>44725</v>
      </c>
      <c r="U8749" t="s">
        <v>52213</v>
      </c>
      <c r="W8749" t="s">
        <v>58683</v>
      </c>
      <c r="X8749" t="s">
        <v>43175</v>
      </c>
    </row>
    <row r="8750" spans="1:24">
      <c r="A8750">
        <f>HYPERLINK("https://www.philgeps.gov.ph/GEPSNONPILOT/Tender/SplashBidNoticeAbstractUI.aspx?menuIndex=3&amp;refID=7075408&amp;Result=3","7075408")</f>
        <v>0</v>
      </c>
      <c r="B8750" t="s">
        <v>298</v>
      </c>
      <c r="C8750" t="s">
        <v>11745</v>
      </c>
      <c r="D8750" t="s">
        <v>17468</v>
      </c>
      <c r="E8750" t="s">
        <v>25034</v>
      </c>
      <c r="F8750" t="s">
        <v>30052</v>
      </c>
      <c r="G8750" t="s">
        <v>30060</v>
      </c>
      <c r="H8750" t="s">
        <v>15498</v>
      </c>
      <c r="I8750" t="s">
        <v>30076</v>
      </c>
      <c r="J8750" t="s">
        <v>31710</v>
      </c>
      <c r="K8750" t="s">
        <v>39019</v>
      </c>
      <c r="M8750" t="s">
        <v>39593</v>
      </c>
      <c r="N8750" t="s">
        <v>43166</v>
      </c>
      <c r="O8750" t="s">
        <v>43167</v>
      </c>
      <c r="P8750">
        <v>0</v>
      </c>
      <c r="Q8750">
        <v>2</v>
      </c>
      <c r="R8750" t="s">
        <v>43174</v>
      </c>
      <c r="S8750" t="s">
        <v>43396</v>
      </c>
      <c r="T8750" t="s">
        <v>44832</v>
      </c>
      <c r="U8750" t="s">
        <v>52214</v>
      </c>
      <c r="W8750" t="s">
        <v>39593</v>
      </c>
      <c r="X8750" t="s">
        <v>43175</v>
      </c>
    </row>
    <row r="8751" spans="1:24">
      <c r="A8751">
        <f>HYPERLINK("https://www.philgeps.gov.ph/GEPSNONPILOT/Tender/SplashBidNoticeAbstractUI.aspx?menuIndex=3&amp;refID=7075405&amp;Result=3","7075405")</f>
        <v>0</v>
      </c>
      <c r="B8751" t="s">
        <v>2628</v>
      </c>
      <c r="C8751" t="s">
        <v>11746</v>
      </c>
      <c r="D8751" t="s">
        <v>17448</v>
      </c>
      <c r="E8751" t="s">
        <v>25035</v>
      </c>
      <c r="F8751" t="s">
        <v>30052</v>
      </c>
      <c r="G8751" t="s">
        <v>30058</v>
      </c>
      <c r="H8751" t="s">
        <v>30067</v>
      </c>
      <c r="I8751" t="s">
        <v>3693</v>
      </c>
      <c r="J8751" t="s">
        <v>35524</v>
      </c>
      <c r="K8751" t="s">
        <v>39019</v>
      </c>
      <c r="M8751" t="s">
        <v>42142</v>
      </c>
      <c r="N8751" t="s">
        <v>43166</v>
      </c>
      <c r="O8751" t="s">
        <v>43167</v>
      </c>
      <c r="P8751">
        <v>0</v>
      </c>
      <c r="Q8751">
        <v>0</v>
      </c>
      <c r="R8751" t="s">
        <v>43174</v>
      </c>
      <c r="S8751" t="s">
        <v>43396</v>
      </c>
      <c r="T8751" t="s">
        <v>45103</v>
      </c>
      <c r="U8751" t="s">
        <v>52215</v>
      </c>
      <c r="W8751" t="s">
        <v>42142</v>
      </c>
      <c r="X8751" t="s">
        <v>43175</v>
      </c>
    </row>
    <row r="8752" spans="1:24">
      <c r="A8752">
        <f>HYPERLINK("https://www.philgeps.gov.ph/GEPSNONPILOT/Tender/SplashBidNoticeAbstractUI.aspx?menuIndex=3&amp;refID=7075347&amp;Result=3","7075347")</f>
        <v>0</v>
      </c>
      <c r="B8752" t="s">
        <v>1804</v>
      </c>
      <c r="C8752" t="s">
        <v>11747</v>
      </c>
      <c r="E8752" t="s">
        <v>25036</v>
      </c>
      <c r="F8752" t="s">
        <v>30052</v>
      </c>
      <c r="G8752" t="s">
        <v>30060</v>
      </c>
      <c r="H8752" t="s">
        <v>15498</v>
      </c>
      <c r="I8752" t="s">
        <v>30088</v>
      </c>
      <c r="J8752" t="s">
        <v>35525</v>
      </c>
      <c r="K8752" t="s">
        <v>39025</v>
      </c>
      <c r="M8752" t="s">
        <v>41227</v>
      </c>
      <c r="N8752" t="s">
        <v>43166</v>
      </c>
      <c r="O8752" t="s">
        <v>43167</v>
      </c>
      <c r="P8752">
        <v>0</v>
      </c>
      <c r="Q8752">
        <v>7</v>
      </c>
      <c r="R8752" t="s">
        <v>43174</v>
      </c>
      <c r="S8752" t="s">
        <v>43396</v>
      </c>
      <c r="T8752" t="s">
        <v>44773</v>
      </c>
      <c r="U8752" t="s">
        <v>52216</v>
      </c>
      <c r="W8752" t="s">
        <v>41227</v>
      </c>
      <c r="X8752" t="s">
        <v>43175</v>
      </c>
    </row>
    <row r="8753" spans="1:24">
      <c r="A8753">
        <f>HYPERLINK("https://www.philgeps.gov.ph/GEPSNONPILOT/Tender/SplashBidNoticeAbstractUI.aspx?menuIndex=3&amp;refID=7075398&amp;Result=3","7075398")</f>
        <v>0</v>
      </c>
      <c r="B8753" t="s">
        <v>195</v>
      </c>
      <c r="C8753" t="s">
        <v>11748</v>
      </c>
      <c r="D8753" t="s">
        <v>17479</v>
      </c>
      <c r="E8753" t="s">
        <v>25037</v>
      </c>
      <c r="F8753" t="s">
        <v>30052</v>
      </c>
      <c r="G8753" t="s">
        <v>30058</v>
      </c>
      <c r="H8753" t="s">
        <v>30067</v>
      </c>
      <c r="I8753" t="s">
        <v>3693</v>
      </c>
      <c r="J8753" t="s">
        <v>35526</v>
      </c>
      <c r="K8753" t="s">
        <v>39031</v>
      </c>
      <c r="M8753" t="s">
        <v>39485</v>
      </c>
      <c r="N8753" t="s">
        <v>43166</v>
      </c>
      <c r="O8753" t="s">
        <v>43167</v>
      </c>
      <c r="P8753">
        <v>0</v>
      </c>
      <c r="Q8753">
        <v>39</v>
      </c>
      <c r="R8753" t="s">
        <v>43174</v>
      </c>
      <c r="S8753" t="s">
        <v>43396</v>
      </c>
      <c r="T8753" t="s">
        <v>44716</v>
      </c>
      <c r="U8753" t="s">
        <v>52217</v>
      </c>
      <c r="W8753" t="s">
        <v>39485</v>
      </c>
      <c r="X8753" t="s">
        <v>43175</v>
      </c>
    </row>
    <row r="8754" spans="1:24">
      <c r="A8754">
        <f>HYPERLINK("https://www.philgeps.gov.ph/GEPSNONPILOT/Tender/SplashBidNoticeAbstractUI.aspx?menuIndex=3&amp;refID=7075346&amp;Result=3","7075346")</f>
        <v>0</v>
      </c>
      <c r="B8754" t="s">
        <v>195</v>
      </c>
      <c r="C8754" t="s">
        <v>11749</v>
      </c>
      <c r="D8754" t="s">
        <v>17479</v>
      </c>
      <c r="E8754" t="s">
        <v>25038</v>
      </c>
      <c r="F8754" t="s">
        <v>30052</v>
      </c>
      <c r="G8754" t="s">
        <v>30058</v>
      </c>
      <c r="H8754" t="s">
        <v>30067</v>
      </c>
      <c r="I8754" t="s">
        <v>3693</v>
      </c>
      <c r="J8754" t="s">
        <v>35527</v>
      </c>
      <c r="K8754" t="s">
        <v>39031</v>
      </c>
      <c r="M8754" t="s">
        <v>39485</v>
      </c>
      <c r="N8754" t="s">
        <v>43166</v>
      </c>
      <c r="O8754" t="s">
        <v>43167</v>
      </c>
      <c r="P8754">
        <v>0</v>
      </c>
      <c r="Q8754">
        <v>41</v>
      </c>
      <c r="R8754" t="s">
        <v>43174</v>
      </c>
      <c r="S8754" t="s">
        <v>43396</v>
      </c>
      <c r="T8754" t="s">
        <v>44716</v>
      </c>
      <c r="U8754" t="s">
        <v>52218</v>
      </c>
      <c r="W8754" t="s">
        <v>39485</v>
      </c>
      <c r="X8754" t="s">
        <v>43175</v>
      </c>
    </row>
    <row r="8755" spans="1:24">
      <c r="A8755">
        <f>HYPERLINK("https://www.philgeps.gov.ph/GEPSNONPILOT/Tender/SplashBidNoticeAbstractUI.aspx?menuIndex=3&amp;refID=7075394&amp;Result=3","7075394")</f>
        <v>0</v>
      </c>
      <c r="B8755" t="s">
        <v>2629</v>
      </c>
      <c r="C8755" t="s">
        <v>11750</v>
      </c>
      <c r="D8755" t="s">
        <v>17435</v>
      </c>
      <c r="E8755" t="s">
        <v>25039</v>
      </c>
      <c r="F8755" t="s">
        <v>30052</v>
      </c>
      <c r="G8755" t="s">
        <v>30058</v>
      </c>
      <c r="H8755" t="s">
        <v>15498</v>
      </c>
      <c r="I8755" t="s">
        <v>30110</v>
      </c>
      <c r="J8755" t="s">
        <v>30555</v>
      </c>
      <c r="K8755" t="s">
        <v>39029</v>
      </c>
      <c r="M8755" t="s">
        <v>42143</v>
      </c>
      <c r="N8755" t="s">
        <v>43166</v>
      </c>
      <c r="O8755" t="s">
        <v>43167</v>
      </c>
      <c r="P8755">
        <v>0</v>
      </c>
      <c r="Q8755">
        <v>7</v>
      </c>
      <c r="R8755" t="s">
        <v>43174</v>
      </c>
      <c r="S8755" t="s">
        <v>43396</v>
      </c>
      <c r="T8755" t="s">
        <v>44725</v>
      </c>
      <c r="U8755" t="s">
        <v>52219</v>
      </c>
      <c r="W8755" t="s">
        <v>42143</v>
      </c>
      <c r="X8755" t="s">
        <v>43175</v>
      </c>
    </row>
    <row r="8756" spans="1:24">
      <c r="A8756">
        <f>HYPERLINK("https://www.philgeps.gov.ph/GEPSNONPILOT/Tender/SplashBidNoticeAbstractUI.aspx?menuIndex=3&amp;refID=7075298&amp;Result=3","7075298")</f>
        <v>0</v>
      </c>
      <c r="B8756" t="s">
        <v>2630</v>
      </c>
      <c r="C8756" t="s">
        <v>10244</v>
      </c>
      <c r="D8756" t="s">
        <v>17448</v>
      </c>
      <c r="E8756" t="s">
        <v>24673</v>
      </c>
      <c r="F8756" t="s">
        <v>30052</v>
      </c>
      <c r="G8756" t="s">
        <v>30058</v>
      </c>
      <c r="H8756" t="s">
        <v>15498</v>
      </c>
      <c r="I8756" t="s">
        <v>3606</v>
      </c>
      <c r="J8756" t="s">
        <v>30207</v>
      </c>
      <c r="K8756" t="s">
        <v>39034</v>
      </c>
      <c r="M8756" t="s">
        <v>42144</v>
      </c>
      <c r="N8756" t="s">
        <v>43166</v>
      </c>
      <c r="O8756" t="s">
        <v>43167</v>
      </c>
      <c r="P8756">
        <v>0</v>
      </c>
      <c r="Q8756">
        <v>1</v>
      </c>
      <c r="R8756" t="s">
        <v>43174</v>
      </c>
      <c r="S8756" t="s">
        <v>43396</v>
      </c>
      <c r="T8756" t="s">
        <v>44856</v>
      </c>
      <c r="U8756" t="s">
        <v>52220</v>
      </c>
      <c r="W8756" t="s">
        <v>42144</v>
      </c>
      <c r="X8756" t="s">
        <v>43175</v>
      </c>
    </row>
    <row r="8757" spans="1:24">
      <c r="A8757">
        <f>HYPERLINK("https://www.philgeps.gov.ph/GEPSNONPILOT/Tender/SplashBidNoticeAbstractUI.aspx?menuIndex=3&amp;refID=7075393&amp;Result=3","7075393")</f>
        <v>0</v>
      </c>
      <c r="B8757" t="s">
        <v>182</v>
      </c>
      <c r="C8757" t="s">
        <v>11751</v>
      </c>
      <c r="D8757" t="s">
        <v>17420</v>
      </c>
      <c r="E8757" t="s">
        <v>25040</v>
      </c>
      <c r="F8757" t="s">
        <v>30052</v>
      </c>
      <c r="G8757" t="s">
        <v>30058</v>
      </c>
      <c r="H8757" t="s">
        <v>15498</v>
      </c>
      <c r="I8757" t="s">
        <v>30094</v>
      </c>
      <c r="J8757" t="s">
        <v>35528</v>
      </c>
      <c r="K8757" t="s">
        <v>39017</v>
      </c>
      <c r="M8757" t="s">
        <v>39471</v>
      </c>
      <c r="N8757" t="s">
        <v>43166</v>
      </c>
      <c r="O8757" t="s">
        <v>43167</v>
      </c>
      <c r="P8757">
        <v>0</v>
      </c>
      <c r="Q8757">
        <v>1</v>
      </c>
      <c r="R8757" t="s">
        <v>43174</v>
      </c>
      <c r="S8757" t="s">
        <v>43396</v>
      </c>
      <c r="T8757" t="s">
        <v>44789</v>
      </c>
      <c r="U8757" t="s">
        <v>52221</v>
      </c>
      <c r="V8757" t="s">
        <v>57747</v>
      </c>
      <c r="W8757" t="s">
        <v>39471</v>
      </c>
      <c r="X8757" t="s">
        <v>43175</v>
      </c>
    </row>
    <row r="8758" spans="1:24">
      <c r="A8758">
        <f>HYPERLINK("https://www.philgeps.gov.ph/GEPSNONPILOT/Tender/SplashBidNoticeAbstractUI.aspx?menuIndex=3&amp;refID=7075335&amp;Result=3","7075335")</f>
        <v>0</v>
      </c>
      <c r="B8758" t="s">
        <v>2631</v>
      </c>
      <c r="C8758" t="s">
        <v>11752</v>
      </c>
      <c r="D8758" t="s">
        <v>17441</v>
      </c>
      <c r="E8758" t="s">
        <v>25041</v>
      </c>
      <c r="F8758" t="s">
        <v>30052</v>
      </c>
      <c r="G8758" t="s">
        <v>30060</v>
      </c>
      <c r="H8758" t="s">
        <v>30067</v>
      </c>
      <c r="I8758" t="s">
        <v>3693</v>
      </c>
      <c r="J8758" t="s">
        <v>35529</v>
      </c>
      <c r="K8758" t="s">
        <v>39025</v>
      </c>
      <c r="M8758" t="s">
        <v>42145</v>
      </c>
      <c r="N8758" t="s">
        <v>43166</v>
      </c>
      <c r="O8758" t="s">
        <v>43167</v>
      </c>
      <c r="P8758">
        <v>0</v>
      </c>
      <c r="Q8758">
        <v>1</v>
      </c>
      <c r="R8758" t="s">
        <v>43174</v>
      </c>
      <c r="S8758" t="s">
        <v>43396</v>
      </c>
      <c r="T8758" t="s">
        <v>44837</v>
      </c>
      <c r="U8758" t="s">
        <v>52222</v>
      </c>
      <c r="W8758" t="s">
        <v>42145</v>
      </c>
      <c r="X8758" t="s">
        <v>43175</v>
      </c>
    </row>
    <row r="8759" spans="1:24">
      <c r="A8759">
        <f>HYPERLINK("https://www.philgeps.gov.ph/GEPSNONPILOT/Tender/SplashBidNoticeAbstractUI.aspx?menuIndex=3&amp;refID=7075392&amp;Result=3","7075392")</f>
        <v>0</v>
      </c>
      <c r="B8759" t="s">
        <v>1505</v>
      </c>
      <c r="C8759" t="s">
        <v>11753</v>
      </c>
      <c r="D8759" t="s">
        <v>17462</v>
      </c>
      <c r="E8759" t="s">
        <v>25042</v>
      </c>
      <c r="F8759" t="s">
        <v>30052</v>
      </c>
      <c r="G8759" t="s">
        <v>30058</v>
      </c>
      <c r="H8759" t="s">
        <v>30067</v>
      </c>
      <c r="I8759" t="s">
        <v>3693</v>
      </c>
      <c r="J8759" t="s">
        <v>30645</v>
      </c>
      <c r="K8759" t="s">
        <v>39031</v>
      </c>
      <c r="M8759" t="s">
        <v>40889</v>
      </c>
      <c r="N8759" t="s">
        <v>43166</v>
      </c>
      <c r="O8759" t="s">
        <v>43167</v>
      </c>
      <c r="P8759">
        <v>0</v>
      </c>
      <c r="Q8759">
        <v>5</v>
      </c>
      <c r="R8759" t="s">
        <v>43174</v>
      </c>
      <c r="S8759" t="s">
        <v>43396</v>
      </c>
      <c r="T8759" t="s">
        <v>44758</v>
      </c>
      <c r="U8759" t="s">
        <v>52149</v>
      </c>
      <c r="W8759" t="s">
        <v>58641</v>
      </c>
      <c r="X8759" t="s">
        <v>43175</v>
      </c>
    </row>
    <row r="8760" spans="1:24">
      <c r="A8760">
        <f>HYPERLINK("https://www.philgeps.gov.ph/GEPSNONPILOT/Tender/SplashBidNoticeAbstractUI.aspx?menuIndex=3&amp;refID=7075386&amp;Result=3","7075386")</f>
        <v>0</v>
      </c>
      <c r="B8760" t="s">
        <v>820</v>
      </c>
      <c r="C8760" t="s">
        <v>11754</v>
      </c>
      <c r="E8760" t="s">
        <v>25043</v>
      </c>
      <c r="F8760" t="s">
        <v>30052</v>
      </c>
      <c r="G8760" t="s">
        <v>30059</v>
      </c>
      <c r="H8760" t="s">
        <v>15498</v>
      </c>
      <c r="I8760" t="s">
        <v>30084</v>
      </c>
      <c r="J8760" t="s">
        <v>30538</v>
      </c>
      <c r="K8760" t="s">
        <v>39034</v>
      </c>
      <c r="M8760" t="s">
        <v>40137</v>
      </c>
      <c r="N8760" t="s">
        <v>43166</v>
      </c>
      <c r="O8760" t="s">
        <v>43167</v>
      </c>
      <c r="P8760">
        <v>0</v>
      </c>
      <c r="Q8760">
        <v>1</v>
      </c>
      <c r="R8760" t="s">
        <v>43174</v>
      </c>
      <c r="S8760" t="s">
        <v>43396</v>
      </c>
      <c r="T8760" t="s">
        <v>44737</v>
      </c>
      <c r="U8760" t="s">
        <v>52223</v>
      </c>
      <c r="V8760" t="s">
        <v>57736</v>
      </c>
      <c r="W8760" t="s">
        <v>40137</v>
      </c>
      <c r="X8760" t="s">
        <v>43175</v>
      </c>
    </row>
    <row r="8761" spans="1:24">
      <c r="A8761">
        <f>HYPERLINK("https://www.philgeps.gov.ph/GEPSNONPILOT/Tender/SplashBidNoticeAbstractUI.aspx?menuIndex=3&amp;refID=7075399&amp;Result=3","7075399")</f>
        <v>0</v>
      </c>
      <c r="B8761" t="s">
        <v>2610</v>
      </c>
      <c r="C8761" t="s">
        <v>11755</v>
      </c>
      <c r="D8761" t="s">
        <v>17472</v>
      </c>
      <c r="E8761" t="s">
        <v>25044</v>
      </c>
      <c r="F8761" t="s">
        <v>30052</v>
      </c>
      <c r="G8761" t="s">
        <v>30058</v>
      </c>
      <c r="H8761" t="s">
        <v>30067</v>
      </c>
      <c r="I8761" t="s">
        <v>3693</v>
      </c>
      <c r="J8761" t="s">
        <v>30588</v>
      </c>
      <c r="K8761" t="s">
        <v>39025</v>
      </c>
      <c r="M8761" t="s">
        <v>42122</v>
      </c>
      <c r="N8761" t="s">
        <v>43166</v>
      </c>
      <c r="O8761" t="s">
        <v>43167</v>
      </c>
      <c r="Q8761">
        <v>0</v>
      </c>
      <c r="R8761" t="s">
        <v>43174</v>
      </c>
      <c r="S8761" t="s">
        <v>43429</v>
      </c>
      <c r="T8761" t="s">
        <v>44716</v>
      </c>
      <c r="U8761" t="s">
        <v>52189</v>
      </c>
      <c r="W8761" t="s">
        <v>42122</v>
      </c>
      <c r="X8761" t="s">
        <v>43175</v>
      </c>
    </row>
    <row r="8762" spans="1:24">
      <c r="A8762">
        <f>HYPERLINK("https://www.philgeps.gov.ph/GEPSNONPILOT/Tender/SplashBidNoticeAbstractUI.aspx?menuIndex=3&amp;refID=7075385&amp;Result=3","7075385")</f>
        <v>0</v>
      </c>
      <c r="B8762" t="s">
        <v>146</v>
      </c>
      <c r="C8762" t="s">
        <v>11756</v>
      </c>
      <c r="D8762" t="s">
        <v>17432</v>
      </c>
      <c r="E8762" t="s">
        <v>25045</v>
      </c>
      <c r="F8762" t="s">
        <v>30052</v>
      </c>
      <c r="G8762" t="s">
        <v>30058</v>
      </c>
      <c r="H8762" t="s">
        <v>30067</v>
      </c>
      <c r="I8762" t="s">
        <v>3693</v>
      </c>
      <c r="J8762" t="s">
        <v>35530</v>
      </c>
      <c r="K8762" t="s">
        <v>39026</v>
      </c>
      <c r="M8762" t="s">
        <v>39435</v>
      </c>
      <c r="N8762" t="s">
        <v>43166</v>
      </c>
      <c r="O8762" t="s">
        <v>43167</v>
      </c>
      <c r="P8762">
        <v>0</v>
      </c>
      <c r="Q8762">
        <v>0</v>
      </c>
      <c r="R8762" t="s">
        <v>43174</v>
      </c>
      <c r="S8762" t="s">
        <v>43396</v>
      </c>
      <c r="T8762" t="s">
        <v>44842</v>
      </c>
      <c r="U8762" t="s">
        <v>52224</v>
      </c>
      <c r="V8762" t="s">
        <v>57748</v>
      </c>
      <c r="W8762" t="s">
        <v>39435</v>
      </c>
      <c r="X8762" t="s">
        <v>43175</v>
      </c>
    </row>
    <row r="8763" spans="1:24">
      <c r="A8763">
        <f>HYPERLINK("https://www.philgeps.gov.ph/GEPSNONPILOT/Tender/SplashBidNoticeAbstractUI.aspx?menuIndex=3&amp;refID=7075374&amp;Result=3","7075374")</f>
        <v>0</v>
      </c>
      <c r="B8763" t="s">
        <v>2632</v>
      </c>
      <c r="C8763" t="s">
        <v>11757</v>
      </c>
      <c r="D8763" t="s">
        <v>17443</v>
      </c>
      <c r="E8763" t="s">
        <v>17715</v>
      </c>
      <c r="F8763" t="s">
        <v>30052</v>
      </c>
      <c r="G8763" t="s">
        <v>30058</v>
      </c>
      <c r="H8763" t="s">
        <v>15498</v>
      </c>
      <c r="I8763" t="s">
        <v>3736</v>
      </c>
      <c r="J8763" t="s">
        <v>35531</v>
      </c>
      <c r="K8763" t="s">
        <v>39019</v>
      </c>
      <c r="M8763" t="s">
        <v>42146</v>
      </c>
      <c r="N8763" t="s">
        <v>43166</v>
      </c>
      <c r="O8763" t="s">
        <v>43167</v>
      </c>
      <c r="P8763">
        <v>0</v>
      </c>
      <c r="Q8763">
        <v>0</v>
      </c>
      <c r="R8763" t="s">
        <v>43174</v>
      </c>
      <c r="S8763" t="s">
        <v>43396</v>
      </c>
      <c r="T8763" t="s">
        <v>44717</v>
      </c>
      <c r="U8763" t="s">
        <v>52225</v>
      </c>
      <c r="W8763" t="s">
        <v>42146</v>
      </c>
      <c r="X8763" t="s">
        <v>43175</v>
      </c>
    </row>
    <row r="8764" spans="1:24">
      <c r="A8764">
        <f>HYPERLINK("https://www.philgeps.gov.ph/GEPSNONPILOT/Tender/SplashBidNoticeAbstractUI.aspx?menuIndex=3&amp;refID=7075362&amp;Result=3","7075362")</f>
        <v>0</v>
      </c>
      <c r="B8764" t="s">
        <v>2610</v>
      </c>
      <c r="C8764" t="s">
        <v>11758</v>
      </c>
      <c r="D8764" t="s">
        <v>17472</v>
      </c>
      <c r="E8764" t="s">
        <v>25046</v>
      </c>
      <c r="F8764" t="s">
        <v>30052</v>
      </c>
      <c r="G8764" t="s">
        <v>30058</v>
      </c>
      <c r="H8764" t="s">
        <v>30067</v>
      </c>
      <c r="I8764" t="s">
        <v>3693</v>
      </c>
      <c r="J8764" t="s">
        <v>30252</v>
      </c>
      <c r="K8764" t="s">
        <v>39025</v>
      </c>
      <c r="M8764" t="s">
        <v>42122</v>
      </c>
      <c r="N8764" t="s">
        <v>43166</v>
      </c>
      <c r="O8764" t="s">
        <v>43167</v>
      </c>
      <c r="Q8764">
        <v>0</v>
      </c>
      <c r="R8764" t="s">
        <v>43174</v>
      </c>
      <c r="S8764" t="s">
        <v>43430</v>
      </c>
      <c r="T8764" t="s">
        <v>44716</v>
      </c>
      <c r="U8764" t="s">
        <v>52189</v>
      </c>
      <c r="W8764" t="s">
        <v>42122</v>
      </c>
      <c r="X8764" t="s">
        <v>43175</v>
      </c>
    </row>
    <row r="8765" spans="1:24">
      <c r="A8765">
        <f>HYPERLINK("https://www.philgeps.gov.ph/GEPSNONPILOT/Tender/SplashBidNoticeAbstractUI.aspx?menuIndex=3&amp;refID=7075268&amp;Result=3","7075268")</f>
        <v>0</v>
      </c>
      <c r="B8765" t="s">
        <v>1512</v>
      </c>
      <c r="C8765" t="s">
        <v>11759</v>
      </c>
      <c r="D8765" t="s">
        <v>17465</v>
      </c>
      <c r="E8765" t="s">
        <v>25047</v>
      </c>
      <c r="F8765" t="s">
        <v>30052</v>
      </c>
      <c r="G8765" t="s">
        <v>30059</v>
      </c>
      <c r="H8765" t="s">
        <v>15498</v>
      </c>
      <c r="I8765" t="s">
        <v>30081</v>
      </c>
      <c r="J8765" t="s">
        <v>35532</v>
      </c>
      <c r="K8765" t="s">
        <v>39025</v>
      </c>
      <c r="M8765" t="s">
        <v>40897</v>
      </c>
      <c r="N8765" t="s">
        <v>43166</v>
      </c>
      <c r="O8765" t="s">
        <v>43167</v>
      </c>
      <c r="P8765">
        <v>0</v>
      </c>
      <c r="Q8765">
        <v>2</v>
      </c>
      <c r="R8765" t="s">
        <v>43174</v>
      </c>
      <c r="S8765" t="s">
        <v>43396</v>
      </c>
      <c r="T8765" t="s">
        <v>44696</v>
      </c>
      <c r="U8765" t="s">
        <v>49818</v>
      </c>
      <c r="W8765" t="s">
        <v>40897</v>
      </c>
      <c r="X8765" t="s">
        <v>43175</v>
      </c>
    </row>
    <row r="8766" spans="1:24">
      <c r="A8766">
        <f>HYPERLINK("https://www.philgeps.gov.ph/GEPSNONPILOT/Tender/SplashBidNoticeAbstractUI.aspx?menuIndex=3&amp;refID=7075358&amp;Result=3","7075358")</f>
        <v>0</v>
      </c>
      <c r="B8766" t="s">
        <v>592</v>
      </c>
      <c r="C8766" t="s">
        <v>11760</v>
      </c>
      <c r="D8766" t="s">
        <v>17461</v>
      </c>
      <c r="E8766" t="s">
        <v>11760</v>
      </c>
      <c r="F8766" t="s">
        <v>30052</v>
      </c>
      <c r="G8766" t="s">
        <v>30058</v>
      </c>
      <c r="H8766" t="s">
        <v>15498</v>
      </c>
      <c r="I8766" t="s">
        <v>30091</v>
      </c>
      <c r="J8766" t="s">
        <v>35533</v>
      </c>
      <c r="K8766" t="s">
        <v>39029</v>
      </c>
      <c r="M8766" t="s">
        <v>41301</v>
      </c>
      <c r="N8766" t="s">
        <v>43166</v>
      </c>
      <c r="O8766" t="s">
        <v>43167</v>
      </c>
      <c r="P8766">
        <v>0</v>
      </c>
      <c r="Q8766">
        <v>1</v>
      </c>
      <c r="R8766" t="s">
        <v>43174</v>
      </c>
      <c r="S8766" t="s">
        <v>43396</v>
      </c>
      <c r="T8766" t="s">
        <v>44678</v>
      </c>
      <c r="U8766" t="s">
        <v>52226</v>
      </c>
      <c r="W8766" t="s">
        <v>41301</v>
      </c>
      <c r="X8766" t="s">
        <v>43175</v>
      </c>
    </row>
    <row r="8767" spans="1:24">
      <c r="A8767">
        <f>HYPERLINK("https://www.philgeps.gov.ph/GEPSNONPILOT/Tender/SplashBidNoticeAbstractUI.aspx?menuIndex=3&amp;refID=7075327&amp;Result=3","7075327")</f>
        <v>0</v>
      </c>
      <c r="B8767" t="s">
        <v>1992</v>
      </c>
      <c r="C8767" t="s">
        <v>11761</v>
      </c>
      <c r="D8767" t="s">
        <v>17459</v>
      </c>
      <c r="E8767" t="s">
        <v>25048</v>
      </c>
      <c r="F8767" t="s">
        <v>30052</v>
      </c>
      <c r="G8767" t="s">
        <v>30061</v>
      </c>
      <c r="H8767" t="s">
        <v>15498</v>
      </c>
      <c r="I8767" t="s">
        <v>30073</v>
      </c>
      <c r="J8767" t="s">
        <v>35534</v>
      </c>
      <c r="K8767" t="s">
        <v>39019</v>
      </c>
      <c r="M8767" t="s">
        <v>41434</v>
      </c>
      <c r="N8767" t="s">
        <v>43166</v>
      </c>
      <c r="O8767" t="s">
        <v>43167</v>
      </c>
      <c r="P8767">
        <v>0</v>
      </c>
      <c r="Q8767">
        <v>2</v>
      </c>
      <c r="R8767" t="s">
        <v>43174</v>
      </c>
      <c r="S8767" t="s">
        <v>43396</v>
      </c>
      <c r="T8767" t="s">
        <v>44844</v>
      </c>
      <c r="U8767" t="s">
        <v>52227</v>
      </c>
      <c r="W8767" t="s">
        <v>41434</v>
      </c>
      <c r="X8767" t="s">
        <v>43175</v>
      </c>
    </row>
    <row r="8768" spans="1:24">
      <c r="A8768">
        <f>HYPERLINK("https://www.philgeps.gov.ph/GEPSNONPILOT/Tender/SplashBidNoticeAbstractUI.aspx?menuIndex=3&amp;refID=7075403&amp;Result=3","7075403")</f>
        <v>0</v>
      </c>
      <c r="B8768" t="s">
        <v>2126</v>
      </c>
      <c r="C8768" t="s">
        <v>11762</v>
      </c>
      <c r="D8768" t="s">
        <v>17432</v>
      </c>
      <c r="E8768" t="s">
        <v>25049</v>
      </c>
      <c r="F8768" t="s">
        <v>30052</v>
      </c>
      <c r="G8768" t="s">
        <v>30058</v>
      </c>
      <c r="H8768" t="s">
        <v>15498</v>
      </c>
      <c r="I8768" t="s">
        <v>30106</v>
      </c>
      <c r="J8768" t="s">
        <v>35535</v>
      </c>
      <c r="K8768" t="s">
        <v>39046</v>
      </c>
      <c r="M8768" t="s">
        <v>41590</v>
      </c>
      <c r="N8768" t="s">
        <v>43166</v>
      </c>
      <c r="O8768" t="s">
        <v>43167</v>
      </c>
      <c r="P8768">
        <v>0</v>
      </c>
      <c r="Q8768">
        <v>5</v>
      </c>
      <c r="R8768" t="s">
        <v>43174</v>
      </c>
      <c r="S8768" t="s">
        <v>43396</v>
      </c>
      <c r="T8768" t="s">
        <v>44991</v>
      </c>
      <c r="U8768" t="s">
        <v>52228</v>
      </c>
      <c r="V8768" t="s">
        <v>57526</v>
      </c>
      <c r="W8768" t="s">
        <v>41590</v>
      </c>
      <c r="X8768" t="s">
        <v>43175</v>
      </c>
    </row>
    <row r="8769" spans="1:24">
      <c r="A8769">
        <f>HYPERLINK("https://www.philgeps.gov.ph/GEPSNONPILOT/Tender/SplashBidNoticeAbstractUI.aspx?menuIndex=3&amp;refID=7075368&amp;Result=3","7075368")</f>
        <v>0</v>
      </c>
      <c r="B8769" t="s">
        <v>1682</v>
      </c>
      <c r="C8769" t="s">
        <v>11763</v>
      </c>
      <c r="D8769" t="s">
        <v>17453</v>
      </c>
      <c r="E8769" t="s">
        <v>24967</v>
      </c>
      <c r="F8769" t="s">
        <v>30052</v>
      </c>
      <c r="G8769" t="s">
        <v>30059</v>
      </c>
      <c r="H8769" t="s">
        <v>15498</v>
      </c>
      <c r="I8769" t="s">
        <v>30144</v>
      </c>
      <c r="J8769" t="s">
        <v>30267</v>
      </c>
      <c r="K8769" t="s">
        <v>39019</v>
      </c>
      <c r="M8769" t="s">
        <v>41118</v>
      </c>
      <c r="N8769" t="s">
        <v>43166</v>
      </c>
      <c r="O8769" t="s">
        <v>43167</v>
      </c>
      <c r="P8769">
        <v>0</v>
      </c>
      <c r="Q8769">
        <v>0</v>
      </c>
      <c r="R8769" t="s">
        <v>43174</v>
      </c>
      <c r="S8769" t="s">
        <v>43396</v>
      </c>
      <c r="T8769" t="s">
        <v>44870</v>
      </c>
      <c r="U8769" t="s">
        <v>52229</v>
      </c>
      <c r="W8769" t="s">
        <v>41118</v>
      </c>
      <c r="X8769" t="s">
        <v>43175</v>
      </c>
    </row>
    <row r="8770" spans="1:24">
      <c r="A8770">
        <f>HYPERLINK("https://www.philgeps.gov.ph/GEPSNONPILOT/Tender/SplashBidNoticeAbstractUI.aspx?menuIndex=3&amp;refID=7075326&amp;Result=3","7075326")</f>
        <v>0</v>
      </c>
      <c r="B8770" t="s">
        <v>1505</v>
      </c>
      <c r="C8770" t="s">
        <v>11764</v>
      </c>
      <c r="D8770" t="s">
        <v>17462</v>
      </c>
      <c r="E8770" t="s">
        <v>25050</v>
      </c>
      <c r="F8770" t="s">
        <v>30052</v>
      </c>
      <c r="G8770" t="s">
        <v>30058</v>
      </c>
      <c r="H8770" t="s">
        <v>30067</v>
      </c>
      <c r="I8770" t="s">
        <v>3693</v>
      </c>
      <c r="J8770" t="s">
        <v>31185</v>
      </c>
      <c r="K8770" t="s">
        <v>39023</v>
      </c>
      <c r="M8770" t="s">
        <v>40889</v>
      </c>
      <c r="N8770" t="s">
        <v>43166</v>
      </c>
      <c r="O8770" t="s">
        <v>43167</v>
      </c>
      <c r="P8770">
        <v>0</v>
      </c>
      <c r="Q8770">
        <v>5</v>
      </c>
      <c r="R8770" t="s">
        <v>43174</v>
      </c>
      <c r="S8770" t="s">
        <v>43396</v>
      </c>
      <c r="T8770" t="s">
        <v>44758</v>
      </c>
      <c r="U8770" t="s">
        <v>52149</v>
      </c>
      <c r="W8770" t="s">
        <v>58641</v>
      </c>
      <c r="X8770" t="s">
        <v>43175</v>
      </c>
    </row>
    <row r="8771" spans="1:24">
      <c r="A8771">
        <f>HYPERLINK("https://www.philgeps.gov.ph/GEPSNONPILOT/Tender/SplashBidNoticeAbstractUI.aspx?menuIndex=3&amp;refID=7075324&amp;Result=3","7075324")</f>
        <v>0</v>
      </c>
      <c r="B8771" t="s">
        <v>2621</v>
      </c>
      <c r="C8771" t="s">
        <v>11765</v>
      </c>
      <c r="D8771" t="s">
        <v>17456</v>
      </c>
      <c r="E8771" t="s">
        <v>25051</v>
      </c>
      <c r="F8771" t="s">
        <v>30052</v>
      </c>
      <c r="G8771" t="s">
        <v>30058</v>
      </c>
      <c r="H8771" t="s">
        <v>30067</v>
      </c>
      <c r="I8771" t="s">
        <v>3693</v>
      </c>
      <c r="J8771" t="s">
        <v>35509</v>
      </c>
      <c r="K8771" t="s">
        <v>39026</v>
      </c>
      <c r="M8771" t="s">
        <v>42134</v>
      </c>
      <c r="N8771" t="s">
        <v>43166</v>
      </c>
      <c r="O8771" t="s">
        <v>43167</v>
      </c>
      <c r="P8771">
        <v>0</v>
      </c>
      <c r="Q8771">
        <v>8</v>
      </c>
      <c r="R8771" t="s">
        <v>43174</v>
      </c>
      <c r="S8771" t="s">
        <v>43396</v>
      </c>
      <c r="T8771" t="s">
        <v>44725</v>
      </c>
      <c r="U8771" t="s">
        <v>52193</v>
      </c>
      <c r="V8771" t="s">
        <v>57027</v>
      </c>
      <c r="W8771" t="s">
        <v>42134</v>
      </c>
      <c r="X8771" t="s">
        <v>43175</v>
      </c>
    </row>
    <row r="8772" spans="1:24">
      <c r="A8772">
        <f>HYPERLINK("https://www.philgeps.gov.ph/GEPSNONPILOT/Tender/SplashBidNoticeAbstractUI.aspx?menuIndex=3&amp;refID=7075318&amp;Result=3","7075318")</f>
        <v>0</v>
      </c>
      <c r="B8772" t="s">
        <v>658</v>
      </c>
      <c r="C8772" t="s">
        <v>11766</v>
      </c>
      <c r="D8772" t="s">
        <v>17434</v>
      </c>
      <c r="E8772" t="s">
        <v>25052</v>
      </c>
      <c r="F8772" t="s">
        <v>30052</v>
      </c>
      <c r="G8772" t="s">
        <v>30058</v>
      </c>
      <c r="H8772" t="s">
        <v>15498</v>
      </c>
      <c r="I8772" t="s">
        <v>30079</v>
      </c>
      <c r="J8772" t="s">
        <v>35536</v>
      </c>
      <c r="K8772" t="s">
        <v>39029</v>
      </c>
      <c r="M8772" t="s">
        <v>40517</v>
      </c>
      <c r="N8772" t="s">
        <v>43166</v>
      </c>
      <c r="O8772" t="s">
        <v>43167</v>
      </c>
      <c r="P8772">
        <v>0</v>
      </c>
      <c r="Q8772">
        <v>2</v>
      </c>
      <c r="R8772" t="s">
        <v>43174</v>
      </c>
      <c r="S8772" t="s">
        <v>43396</v>
      </c>
      <c r="T8772" t="s">
        <v>44750</v>
      </c>
      <c r="U8772" t="s">
        <v>52075</v>
      </c>
      <c r="W8772" t="s">
        <v>40517</v>
      </c>
      <c r="X8772" t="s">
        <v>43175</v>
      </c>
    </row>
    <row r="8773" spans="1:24">
      <c r="A8773">
        <f>HYPERLINK("https://www.philgeps.gov.ph/GEPSNONPILOT/Tender/SplashBidNoticeAbstractUI.aspx?menuIndex=3&amp;refID=7075354&amp;Result=3","7075354")</f>
        <v>0</v>
      </c>
      <c r="B8773" t="s">
        <v>1687</v>
      </c>
      <c r="C8773" t="s">
        <v>11767</v>
      </c>
      <c r="D8773" t="s">
        <v>17466</v>
      </c>
      <c r="E8773" t="s">
        <v>25053</v>
      </c>
      <c r="F8773" t="s">
        <v>30052</v>
      </c>
      <c r="G8773" t="s">
        <v>30058</v>
      </c>
      <c r="H8773" t="s">
        <v>15498</v>
      </c>
      <c r="I8773" t="s">
        <v>3736</v>
      </c>
      <c r="J8773" t="s">
        <v>35537</v>
      </c>
      <c r="K8773" t="s">
        <v>39025</v>
      </c>
      <c r="M8773" t="s">
        <v>41096</v>
      </c>
      <c r="N8773" t="s">
        <v>43166</v>
      </c>
      <c r="O8773" t="s">
        <v>43167</v>
      </c>
      <c r="P8773">
        <v>0</v>
      </c>
      <c r="Q8773">
        <v>2</v>
      </c>
      <c r="R8773" t="s">
        <v>43174</v>
      </c>
      <c r="S8773" t="s">
        <v>43396</v>
      </c>
      <c r="T8773" t="s">
        <v>44969</v>
      </c>
      <c r="U8773" t="s">
        <v>52230</v>
      </c>
      <c r="V8773" t="s">
        <v>57352</v>
      </c>
      <c r="W8773" t="s">
        <v>41096</v>
      </c>
      <c r="X8773" t="s">
        <v>43175</v>
      </c>
    </row>
    <row r="8774" spans="1:24">
      <c r="A8774">
        <f>HYPERLINK("https://www.philgeps.gov.ph/GEPSNONPILOT/Tender/SplashBidNoticeAbstractUI.aspx?menuIndex=3&amp;refID=7075361&amp;Result=3","7075361")</f>
        <v>0</v>
      </c>
      <c r="B8774" t="s">
        <v>820</v>
      </c>
      <c r="C8774" t="s">
        <v>11768</v>
      </c>
      <c r="E8774" t="s">
        <v>25054</v>
      </c>
      <c r="F8774" t="s">
        <v>30052</v>
      </c>
      <c r="G8774" t="s">
        <v>30059</v>
      </c>
      <c r="H8774" t="s">
        <v>15498</v>
      </c>
      <c r="I8774" t="s">
        <v>30084</v>
      </c>
      <c r="J8774" t="s">
        <v>30358</v>
      </c>
      <c r="K8774" t="s">
        <v>39034</v>
      </c>
      <c r="M8774" t="s">
        <v>40137</v>
      </c>
      <c r="N8774" t="s">
        <v>43166</v>
      </c>
      <c r="O8774" t="s">
        <v>43167</v>
      </c>
      <c r="P8774">
        <v>0</v>
      </c>
      <c r="Q8774">
        <v>2</v>
      </c>
      <c r="R8774" t="s">
        <v>43174</v>
      </c>
      <c r="S8774" t="s">
        <v>43396</v>
      </c>
      <c r="T8774" t="s">
        <v>44737</v>
      </c>
      <c r="U8774" t="s">
        <v>52231</v>
      </c>
      <c r="V8774" t="s">
        <v>57736</v>
      </c>
      <c r="W8774" t="s">
        <v>40137</v>
      </c>
      <c r="X8774" t="s">
        <v>43175</v>
      </c>
    </row>
    <row r="8775" spans="1:24">
      <c r="A8775">
        <f>HYPERLINK("https://www.philgeps.gov.ph/GEPSNONPILOT/Tender/SplashBidNoticeAbstractUI.aspx?menuIndex=3&amp;refID=7075369&amp;Result=3","7075369")</f>
        <v>0</v>
      </c>
      <c r="B8775" t="s">
        <v>658</v>
      </c>
      <c r="C8775" t="s">
        <v>11769</v>
      </c>
      <c r="D8775" t="s">
        <v>17434</v>
      </c>
      <c r="E8775" t="s">
        <v>25055</v>
      </c>
      <c r="F8775" t="s">
        <v>30052</v>
      </c>
      <c r="G8775" t="s">
        <v>30058</v>
      </c>
      <c r="H8775" t="s">
        <v>15498</v>
      </c>
      <c r="I8775" t="s">
        <v>30079</v>
      </c>
      <c r="J8775" t="s">
        <v>35538</v>
      </c>
      <c r="K8775" t="s">
        <v>39029</v>
      </c>
      <c r="M8775" t="s">
        <v>40517</v>
      </c>
      <c r="N8775" t="s">
        <v>43166</v>
      </c>
      <c r="O8775" t="s">
        <v>43167</v>
      </c>
      <c r="P8775">
        <v>0</v>
      </c>
      <c r="Q8775">
        <v>1</v>
      </c>
      <c r="R8775" t="s">
        <v>43174</v>
      </c>
      <c r="S8775" t="s">
        <v>43396</v>
      </c>
      <c r="T8775" t="s">
        <v>44750</v>
      </c>
      <c r="U8775" t="s">
        <v>52075</v>
      </c>
      <c r="W8775" t="s">
        <v>40517</v>
      </c>
      <c r="X8775" t="s">
        <v>43175</v>
      </c>
    </row>
    <row r="8776" spans="1:24">
      <c r="A8776">
        <f>HYPERLINK("https://www.philgeps.gov.ph/GEPSNONPILOT/Tender/SplashBidNoticeAbstractUI.aspx?menuIndex=3&amp;refID=7075317&amp;Result=3","7075317")</f>
        <v>0</v>
      </c>
      <c r="B8776" t="s">
        <v>592</v>
      </c>
      <c r="C8776" t="s">
        <v>11770</v>
      </c>
      <c r="D8776" t="s">
        <v>17461</v>
      </c>
      <c r="E8776" t="s">
        <v>11770</v>
      </c>
      <c r="F8776" t="s">
        <v>30052</v>
      </c>
      <c r="G8776" t="s">
        <v>30058</v>
      </c>
      <c r="H8776" t="s">
        <v>15498</v>
      </c>
      <c r="I8776" t="s">
        <v>4650</v>
      </c>
      <c r="J8776" t="s">
        <v>30895</v>
      </c>
      <c r="K8776" t="s">
        <v>39029</v>
      </c>
      <c r="M8776" t="s">
        <v>41301</v>
      </c>
      <c r="N8776" t="s">
        <v>43166</v>
      </c>
      <c r="O8776" t="s">
        <v>43167</v>
      </c>
      <c r="P8776">
        <v>0</v>
      </c>
      <c r="Q8776">
        <v>0</v>
      </c>
      <c r="R8776" t="s">
        <v>43174</v>
      </c>
      <c r="S8776" t="s">
        <v>43396</v>
      </c>
      <c r="T8776" t="s">
        <v>44678</v>
      </c>
      <c r="U8776" t="s">
        <v>52232</v>
      </c>
      <c r="W8776" t="s">
        <v>41301</v>
      </c>
      <c r="X8776" t="s">
        <v>43175</v>
      </c>
    </row>
    <row r="8777" spans="1:24">
      <c r="A8777">
        <f>HYPERLINK("https://www.philgeps.gov.ph/GEPSNONPILOT/Tender/SplashBidNoticeAbstractUI.aspx?menuIndex=3&amp;refID=7075460&amp;Result=3","7075460")</f>
        <v>0</v>
      </c>
      <c r="B8777" t="s">
        <v>2318</v>
      </c>
      <c r="C8777" t="s">
        <v>11771</v>
      </c>
      <c r="D8777" t="s">
        <v>17473</v>
      </c>
      <c r="E8777" t="s">
        <v>25056</v>
      </c>
      <c r="F8777" t="s">
        <v>30052</v>
      </c>
      <c r="G8777" t="s">
        <v>30059</v>
      </c>
      <c r="H8777" t="s">
        <v>30067</v>
      </c>
      <c r="I8777" t="s">
        <v>3693</v>
      </c>
      <c r="J8777" t="s">
        <v>35539</v>
      </c>
      <c r="K8777" t="s">
        <v>39029</v>
      </c>
      <c r="M8777" t="s">
        <v>41804</v>
      </c>
      <c r="N8777" t="s">
        <v>43166</v>
      </c>
      <c r="O8777" t="s">
        <v>43167</v>
      </c>
      <c r="P8777">
        <v>0</v>
      </c>
      <c r="Q8777">
        <v>0</v>
      </c>
      <c r="R8777" t="s">
        <v>43174</v>
      </c>
      <c r="S8777" t="s">
        <v>43396</v>
      </c>
      <c r="T8777" t="s">
        <v>44806</v>
      </c>
      <c r="U8777" t="s">
        <v>52233</v>
      </c>
      <c r="W8777" t="s">
        <v>41804</v>
      </c>
      <c r="X8777" t="s">
        <v>43175</v>
      </c>
    </row>
    <row r="8778" spans="1:24">
      <c r="A8778">
        <f>HYPERLINK("https://www.philgeps.gov.ph/GEPSNONPILOT/Tender/SplashBidNoticeAbstractUI.aspx?menuIndex=3&amp;refID=7075453&amp;Result=3","7075453")</f>
        <v>0</v>
      </c>
      <c r="B8778" t="s">
        <v>2543</v>
      </c>
      <c r="C8778" t="s">
        <v>11772</v>
      </c>
      <c r="D8778" t="s">
        <v>17480</v>
      </c>
      <c r="E8778" t="s">
        <v>25057</v>
      </c>
      <c r="F8778" t="s">
        <v>30052</v>
      </c>
      <c r="G8778" t="s">
        <v>30058</v>
      </c>
      <c r="H8778" t="s">
        <v>15498</v>
      </c>
      <c r="I8778" t="s">
        <v>30169</v>
      </c>
      <c r="J8778" t="s">
        <v>35540</v>
      </c>
      <c r="K8778" t="s">
        <v>39031</v>
      </c>
      <c r="M8778" t="s">
        <v>42050</v>
      </c>
      <c r="N8778" t="s">
        <v>43166</v>
      </c>
      <c r="O8778" t="s">
        <v>43167</v>
      </c>
      <c r="Q8778">
        <v>1</v>
      </c>
      <c r="R8778" t="s">
        <v>43174</v>
      </c>
      <c r="S8778" t="s">
        <v>43431</v>
      </c>
      <c r="T8778" t="s">
        <v>44789</v>
      </c>
      <c r="U8778" t="s">
        <v>52234</v>
      </c>
      <c r="W8778" t="s">
        <v>42050</v>
      </c>
      <c r="X8778" t="s">
        <v>43175</v>
      </c>
    </row>
    <row r="8779" spans="1:24">
      <c r="A8779">
        <f>HYPERLINK("https://www.philgeps.gov.ph/GEPSNONPILOT/Tender/SplashBidNoticeAbstractUI.aspx?menuIndex=3&amp;refID=7075462&amp;Result=3","7075462")</f>
        <v>0</v>
      </c>
      <c r="B8779" t="s">
        <v>298</v>
      </c>
      <c r="C8779" t="s">
        <v>11773</v>
      </c>
      <c r="D8779" t="s">
        <v>17468</v>
      </c>
      <c r="E8779" t="s">
        <v>19021</v>
      </c>
      <c r="F8779" t="s">
        <v>30052</v>
      </c>
      <c r="G8779" t="s">
        <v>30058</v>
      </c>
      <c r="H8779" t="s">
        <v>15498</v>
      </c>
      <c r="I8779" t="s">
        <v>30124</v>
      </c>
      <c r="J8779" t="s">
        <v>35541</v>
      </c>
      <c r="K8779" t="s">
        <v>39019</v>
      </c>
      <c r="M8779" t="s">
        <v>39593</v>
      </c>
      <c r="N8779" t="s">
        <v>43166</v>
      </c>
      <c r="O8779" t="s">
        <v>43167</v>
      </c>
      <c r="P8779">
        <v>0</v>
      </c>
      <c r="Q8779">
        <v>1</v>
      </c>
      <c r="R8779" t="s">
        <v>43174</v>
      </c>
      <c r="S8779" t="s">
        <v>43396</v>
      </c>
      <c r="T8779" t="s">
        <v>44832</v>
      </c>
      <c r="U8779" t="s">
        <v>52235</v>
      </c>
      <c r="W8779" t="s">
        <v>39593</v>
      </c>
      <c r="X8779" t="s">
        <v>43175</v>
      </c>
    </row>
    <row r="8780" spans="1:24">
      <c r="A8780">
        <f>HYPERLINK("https://www.philgeps.gov.ph/GEPSNONPILOT/Tender/SplashBidNoticeAbstractUI.aspx?menuIndex=3&amp;refID=7075395&amp;Result=3","7075395")</f>
        <v>0</v>
      </c>
      <c r="B8780" t="s">
        <v>2621</v>
      </c>
      <c r="C8780" t="s">
        <v>11774</v>
      </c>
      <c r="D8780" t="s">
        <v>17456</v>
      </c>
      <c r="E8780" t="s">
        <v>25058</v>
      </c>
      <c r="F8780" t="s">
        <v>30052</v>
      </c>
      <c r="G8780" t="s">
        <v>30058</v>
      </c>
      <c r="H8780" t="s">
        <v>30067</v>
      </c>
      <c r="I8780" t="s">
        <v>3693</v>
      </c>
      <c r="J8780" t="s">
        <v>35509</v>
      </c>
      <c r="K8780" t="s">
        <v>39026</v>
      </c>
      <c r="M8780" t="s">
        <v>42134</v>
      </c>
      <c r="N8780" t="s">
        <v>43166</v>
      </c>
      <c r="O8780" t="s">
        <v>43167</v>
      </c>
      <c r="P8780">
        <v>0</v>
      </c>
      <c r="Q8780">
        <v>8</v>
      </c>
      <c r="R8780" t="s">
        <v>43174</v>
      </c>
      <c r="S8780" t="s">
        <v>43396</v>
      </c>
      <c r="T8780" t="s">
        <v>44725</v>
      </c>
      <c r="U8780" t="s">
        <v>52193</v>
      </c>
      <c r="V8780" t="s">
        <v>57027</v>
      </c>
      <c r="W8780" t="s">
        <v>42134</v>
      </c>
      <c r="X8780" t="s">
        <v>43175</v>
      </c>
    </row>
    <row r="8781" spans="1:24">
      <c r="A8781">
        <f>HYPERLINK("https://www.philgeps.gov.ph/GEPSNONPILOT/Tender/SplashBidNoticeAbstractUI.aspx?menuIndex=3&amp;refID=7075365&amp;Result=3","7075365")</f>
        <v>0</v>
      </c>
      <c r="B8781" t="s">
        <v>2621</v>
      </c>
      <c r="C8781" t="s">
        <v>11775</v>
      </c>
      <c r="D8781" t="s">
        <v>17456</v>
      </c>
      <c r="E8781" t="s">
        <v>25059</v>
      </c>
      <c r="F8781" t="s">
        <v>30052</v>
      </c>
      <c r="G8781" t="s">
        <v>30058</v>
      </c>
      <c r="H8781" t="s">
        <v>30067</v>
      </c>
      <c r="I8781" t="s">
        <v>3693</v>
      </c>
      <c r="J8781" t="s">
        <v>35509</v>
      </c>
      <c r="K8781" t="s">
        <v>39026</v>
      </c>
      <c r="M8781" t="s">
        <v>42134</v>
      </c>
      <c r="N8781" t="s">
        <v>43166</v>
      </c>
      <c r="O8781" t="s">
        <v>43167</v>
      </c>
      <c r="P8781">
        <v>0</v>
      </c>
      <c r="Q8781">
        <v>8</v>
      </c>
      <c r="R8781" t="s">
        <v>43174</v>
      </c>
      <c r="S8781" t="s">
        <v>43396</v>
      </c>
      <c r="T8781" t="s">
        <v>44725</v>
      </c>
      <c r="U8781" t="s">
        <v>52193</v>
      </c>
      <c r="V8781" t="s">
        <v>57027</v>
      </c>
      <c r="W8781" t="s">
        <v>42134</v>
      </c>
      <c r="X8781" t="s">
        <v>43175</v>
      </c>
    </row>
    <row r="8782" spans="1:24">
      <c r="A8782">
        <f>HYPERLINK("https://www.philgeps.gov.ph/GEPSNONPILOT/Tender/SplashBidNoticeAbstractUI.aspx?menuIndex=3&amp;refID=7075461&amp;Result=3","7075461")</f>
        <v>0</v>
      </c>
      <c r="B8782" t="s">
        <v>820</v>
      </c>
      <c r="C8782" t="s">
        <v>11776</v>
      </c>
      <c r="E8782" t="s">
        <v>25060</v>
      </c>
      <c r="F8782" t="s">
        <v>30052</v>
      </c>
      <c r="G8782" t="s">
        <v>30059</v>
      </c>
      <c r="H8782" t="s">
        <v>15498</v>
      </c>
      <c r="I8782" t="s">
        <v>3736</v>
      </c>
      <c r="J8782" t="s">
        <v>35542</v>
      </c>
      <c r="K8782" t="s">
        <v>39034</v>
      </c>
      <c r="M8782" t="s">
        <v>40137</v>
      </c>
      <c r="N8782" t="s">
        <v>43166</v>
      </c>
      <c r="O8782" t="s">
        <v>43167</v>
      </c>
      <c r="P8782">
        <v>0</v>
      </c>
      <c r="Q8782">
        <v>2</v>
      </c>
      <c r="R8782" t="s">
        <v>43174</v>
      </c>
      <c r="S8782" t="s">
        <v>43396</v>
      </c>
      <c r="T8782" t="s">
        <v>44737</v>
      </c>
      <c r="U8782" t="s">
        <v>52236</v>
      </c>
      <c r="V8782" t="s">
        <v>57736</v>
      </c>
      <c r="W8782" t="s">
        <v>40137</v>
      </c>
      <c r="X8782" t="s">
        <v>43175</v>
      </c>
    </row>
    <row r="8783" spans="1:24">
      <c r="A8783">
        <f>HYPERLINK("https://www.philgeps.gov.ph/GEPSNONPILOT/Tender/SplashBidNoticeAbstractUI.aspx?menuIndex=3&amp;refID=7075444&amp;Result=3","7075444")</f>
        <v>0</v>
      </c>
      <c r="B8783" t="s">
        <v>2633</v>
      </c>
      <c r="C8783" t="s">
        <v>11777</v>
      </c>
      <c r="D8783" t="s">
        <v>17462</v>
      </c>
      <c r="E8783" t="s">
        <v>25061</v>
      </c>
      <c r="F8783" t="s">
        <v>30052</v>
      </c>
      <c r="G8783" t="s">
        <v>30058</v>
      </c>
      <c r="H8783" t="s">
        <v>15498</v>
      </c>
      <c r="I8783" t="s">
        <v>30096</v>
      </c>
      <c r="J8783" t="s">
        <v>35543</v>
      </c>
      <c r="K8783" t="s">
        <v>39019</v>
      </c>
      <c r="M8783" t="s">
        <v>42147</v>
      </c>
      <c r="N8783" t="s">
        <v>43166</v>
      </c>
      <c r="O8783" t="s">
        <v>43167</v>
      </c>
      <c r="P8783">
        <v>0</v>
      </c>
      <c r="Q8783">
        <v>3</v>
      </c>
      <c r="R8783" t="s">
        <v>43174</v>
      </c>
      <c r="S8783" t="s">
        <v>43396</v>
      </c>
      <c r="T8783" t="s">
        <v>44872</v>
      </c>
      <c r="U8783" t="s">
        <v>52237</v>
      </c>
      <c r="V8783" t="s">
        <v>57749</v>
      </c>
      <c r="W8783" t="s">
        <v>42147</v>
      </c>
      <c r="X8783" t="s">
        <v>43175</v>
      </c>
    </row>
    <row r="8784" spans="1:24">
      <c r="A8784">
        <f>HYPERLINK("https://www.philgeps.gov.ph/GEPSNONPILOT/Tender/SplashBidNoticeAbstractUI.aspx?menuIndex=3&amp;refID=7075441&amp;Result=3","7075441")</f>
        <v>0</v>
      </c>
      <c r="B8784" t="s">
        <v>2610</v>
      </c>
      <c r="C8784" t="s">
        <v>11778</v>
      </c>
      <c r="D8784" t="s">
        <v>17472</v>
      </c>
      <c r="E8784" t="s">
        <v>25062</v>
      </c>
      <c r="F8784" t="s">
        <v>30052</v>
      </c>
      <c r="G8784" t="s">
        <v>30058</v>
      </c>
      <c r="H8784" t="s">
        <v>30067</v>
      </c>
      <c r="I8784" t="s">
        <v>3693</v>
      </c>
      <c r="J8784" t="s">
        <v>30555</v>
      </c>
      <c r="K8784" t="s">
        <v>39025</v>
      </c>
      <c r="M8784" t="s">
        <v>42122</v>
      </c>
      <c r="N8784" t="s">
        <v>43166</v>
      </c>
      <c r="O8784" t="s">
        <v>43167</v>
      </c>
      <c r="Q8784">
        <v>0</v>
      </c>
      <c r="R8784" t="s">
        <v>43174</v>
      </c>
      <c r="S8784" t="s">
        <v>43432</v>
      </c>
      <c r="T8784" t="s">
        <v>44716</v>
      </c>
      <c r="U8784" t="s">
        <v>52189</v>
      </c>
      <c r="W8784" t="s">
        <v>42122</v>
      </c>
      <c r="X8784" t="s">
        <v>43175</v>
      </c>
    </row>
    <row r="8785" spans="1:24">
      <c r="A8785">
        <f>HYPERLINK("https://www.philgeps.gov.ph/GEPSNONPILOT/Tender/SplashBidNoticeAbstractUI.aspx?menuIndex=3&amp;refID=7075439&amp;Result=3","7075439")</f>
        <v>0</v>
      </c>
      <c r="B8785" t="s">
        <v>820</v>
      </c>
      <c r="C8785" t="s">
        <v>11779</v>
      </c>
      <c r="E8785" t="s">
        <v>25063</v>
      </c>
      <c r="F8785" t="s">
        <v>30052</v>
      </c>
      <c r="G8785" t="s">
        <v>30059</v>
      </c>
      <c r="H8785" t="s">
        <v>15498</v>
      </c>
      <c r="I8785" t="s">
        <v>3736</v>
      </c>
      <c r="J8785" t="s">
        <v>35544</v>
      </c>
      <c r="K8785" t="s">
        <v>39034</v>
      </c>
      <c r="M8785" t="s">
        <v>40137</v>
      </c>
      <c r="N8785" t="s">
        <v>43166</v>
      </c>
      <c r="O8785" t="s">
        <v>43167</v>
      </c>
      <c r="P8785">
        <v>0</v>
      </c>
      <c r="Q8785">
        <v>1</v>
      </c>
      <c r="R8785" t="s">
        <v>43174</v>
      </c>
      <c r="S8785" t="s">
        <v>43396</v>
      </c>
      <c r="T8785" t="s">
        <v>44737</v>
      </c>
      <c r="U8785" t="s">
        <v>52238</v>
      </c>
      <c r="V8785" t="s">
        <v>57736</v>
      </c>
      <c r="W8785" t="s">
        <v>40137</v>
      </c>
      <c r="X8785" t="s">
        <v>43175</v>
      </c>
    </row>
    <row r="8786" spans="1:24">
      <c r="A8786">
        <f>HYPERLINK("https://www.philgeps.gov.ph/GEPSNONPILOT/Tender/SplashBidNoticeAbstractUI.aspx?menuIndex=3&amp;refID=7075446&amp;Result=3","7075446")</f>
        <v>0</v>
      </c>
      <c r="B8786" t="s">
        <v>195</v>
      </c>
      <c r="C8786" t="s">
        <v>11780</v>
      </c>
      <c r="D8786" t="s">
        <v>17479</v>
      </c>
      <c r="E8786" t="s">
        <v>25064</v>
      </c>
      <c r="F8786" t="s">
        <v>30052</v>
      </c>
      <c r="G8786" t="s">
        <v>30058</v>
      </c>
      <c r="H8786" t="s">
        <v>30067</v>
      </c>
      <c r="I8786" t="s">
        <v>3693</v>
      </c>
      <c r="J8786" t="s">
        <v>35545</v>
      </c>
      <c r="K8786" t="s">
        <v>39031</v>
      </c>
      <c r="M8786" t="s">
        <v>39485</v>
      </c>
      <c r="N8786" t="s">
        <v>43166</v>
      </c>
      <c r="O8786" t="s">
        <v>43167</v>
      </c>
      <c r="P8786">
        <v>0</v>
      </c>
      <c r="Q8786">
        <v>39</v>
      </c>
      <c r="R8786" t="s">
        <v>43174</v>
      </c>
      <c r="S8786" t="s">
        <v>43396</v>
      </c>
      <c r="T8786" t="s">
        <v>44716</v>
      </c>
      <c r="U8786" t="s">
        <v>52239</v>
      </c>
      <c r="W8786" t="s">
        <v>39485</v>
      </c>
      <c r="X8786" t="s">
        <v>43175</v>
      </c>
    </row>
    <row r="8787" spans="1:24">
      <c r="A8787">
        <f>HYPERLINK("https://www.philgeps.gov.ph/GEPSNONPILOT/Tender/SplashBidNoticeAbstractUI.aspx?menuIndex=3&amp;refID=7075443&amp;Result=3","7075443")</f>
        <v>0</v>
      </c>
      <c r="B8787" t="s">
        <v>1727</v>
      </c>
      <c r="C8787" t="s">
        <v>11781</v>
      </c>
      <c r="D8787" t="s">
        <v>17436</v>
      </c>
      <c r="E8787" t="s">
        <v>25065</v>
      </c>
      <c r="F8787" t="s">
        <v>30052</v>
      </c>
      <c r="G8787" t="s">
        <v>30058</v>
      </c>
      <c r="H8787" t="s">
        <v>15498</v>
      </c>
      <c r="I8787" t="s">
        <v>3736</v>
      </c>
      <c r="J8787" t="s">
        <v>35546</v>
      </c>
      <c r="K8787" t="s">
        <v>39034</v>
      </c>
      <c r="M8787" t="s">
        <v>42148</v>
      </c>
      <c r="N8787" t="s">
        <v>43166</v>
      </c>
      <c r="O8787" t="s">
        <v>43167</v>
      </c>
      <c r="P8787">
        <v>0</v>
      </c>
      <c r="Q8787">
        <v>1</v>
      </c>
      <c r="R8787" t="s">
        <v>43174</v>
      </c>
      <c r="S8787" t="s">
        <v>43396</v>
      </c>
      <c r="T8787" t="s">
        <v>44728</v>
      </c>
      <c r="U8787" t="s">
        <v>52240</v>
      </c>
      <c r="W8787" t="s">
        <v>42148</v>
      </c>
      <c r="X8787" t="s">
        <v>43175</v>
      </c>
    </row>
    <row r="8788" spans="1:24">
      <c r="A8788">
        <f>HYPERLINK("https://www.philgeps.gov.ph/GEPSNONPILOT/Tender/SplashBidNoticeAbstractUI.aspx?menuIndex=3&amp;refID=7075420&amp;Result=3","7075420")</f>
        <v>0</v>
      </c>
      <c r="B8788" t="s">
        <v>2555</v>
      </c>
      <c r="C8788" t="s">
        <v>11782</v>
      </c>
      <c r="D8788" t="s">
        <v>17435</v>
      </c>
      <c r="E8788" t="s">
        <v>25066</v>
      </c>
      <c r="F8788" t="s">
        <v>30052</v>
      </c>
      <c r="G8788" t="s">
        <v>30058</v>
      </c>
      <c r="H8788" t="s">
        <v>15498</v>
      </c>
      <c r="I8788" t="s">
        <v>3736</v>
      </c>
      <c r="J8788" t="s">
        <v>35547</v>
      </c>
      <c r="K8788" t="s">
        <v>39019</v>
      </c>
      <c r="M8788" t="s">
        <v>42062</v>
      </c>
      <c r="N8788" t="s">
        <v>43166</v>
      </c>
      <c r="O8788" t="s">
        <v>43167</v>
      </c>
      <c r="P8788">
        <v>0</v>
      </c>
      <c r="Q8788">
        <v>1</v>
      </c>
      <c r="R8788" t="s">
        <v>43174</v>
      </c>
      <c r="S8788" t="s">
        <v>43396</v>
      </c>
      <c r="T8788" t="s">
        <v>44696</v>
      </c>
      <c r="U8788" t="s">
        <v>52241</v>
      </c>
      <c r="W8788" t="s">
        <v>42062</v>
      </c>
      <c r="X8788" t="s">
        <v>43175</v>
      </c>
    </row>
    <row r="8789" spans="1:24">
      <c r="A8789">
        <f>HYPERLINK("https://www.philgeps.gov.ph/GEPSNONPILOT/Tender/SplashBidNoticeAbstractUI.aspx?menuIndex=3&amp;refID=7075507&amp;Result=3","7075507")</f>
        <v>0</v>
      </c>
      <c r="B8789" t="s">
        <v>1727</v>
      </c>
      <c r="C8789" t="s">
        <v>11783</v>
      </c>
      <c r="D8789" t="s">
        <v>17436</v>
      </c>
      <c r="E8789" t="s">
        <v>25067</v>
      </c>
      <c r="F8789" t="s">
        <v>30052</v>
      </c>
      <c r="G8789" t="s">
        <v>30058</v>
      </c>
      <c r="H8789" t="s">
        <v>15498</v>
      </c>
      <c r="I8789" t="s">
        <v>3736</v>
      </c>
      <c r="J8789" t="s">
        <v>35548</v>
      </c>
      <c r="K8789" t="s">
        <v>39034</v>
      </c>
      <c r="M8789" t="s">
        <v>42148</v>
      </c>
      <c r="N8789" t="s">
        <v>43166</v>
      </c>
      <c r="O8789" t="s">
        <v>43167</v>
      </c>
      <c r="P8789">
        <v>0</v>
      </c>
      <c r="Q8789">
        <v>2</v>
      </c>
      <c r="R8789" t="s">
        <v>43174</v>
      </c>
      <c r="S8789" t="s">
        <v>43396</v>
      </c>
      <c r="T8789" t="s">
        <v>44728</v>
      </c>
      <c r="U8789" t="s">
        <v>52242</v>
      </c>
      <c r="W8789" t="s">
        <v>42148</v>
      </c>
      <c r="X8789" t="s">
        <v>43175</v>
      </c>
    </row>
    <row r="8790" spans="1:24">
      <c r="A8790">
        <f>HYPERLINK("https://www.philgeps.gov.ph/GEPSNONPILOT/Tender/SplashBidNoticeAbstractUI.aspx?menuIndex=3&amp;refID=7075437&amp;Result=3","7075437")</f>
        <v>0</v>
      </c>
      <c r="B8790" t="s">
        <v>980</v>
      </c>
      <c r="C8790" t="s">
        <v>11784</v>
      </c>
      <c r="D8790" t="s">
        <v>17437</v>
      </c>
      <c r="E8790" t="s">
        <v>25068</v>
      </c>
      <c r="F8790" t="s">
        <v>30052</v>
      </c>
      <c r="G8790" t="s">
        <v>30058</v>
      </c>
      <c r="H8790" t="s">
        <v>30067</v>
      </c>
      <c r="I8790" t="s">
        <v>3693</v>
      </c>
      <c r="J8790" t="s">
        <v>30252</v>
      </c>
      <c r="K8790" t="s">
        <v>39023</v>
      </c>
      <c r="M8790" t="s">
        <v>40307</v>
      </c>
      <c r="N8790" t="s">
        <v>43166</v>
      </c>
      <c r="O8790" t="s">
        <v>43167</v>
      </c>
      <c r="P8790">
        <v>0</v>
      </c>
      <c r="Q8790">
        <v>0</v>
      </c>
      <c r="R8790" t="s">
        <v>43174</v>
      </c>
      <c r="S8790" t="s">
        <v>43396</v>
      </c>
      <c r="T8790" t="s">
        <v>44773</v>
      </c>
      <c r="U8790" t="s">
        <v>52243</v>
      </c>
      <c r="W8790" t="s">
        <v>40307</v>
      </c>
      <c r="X8790" t="s">
        <v>43175</v>
      </c>
    </row>
    <row r="8791" spans="1:24">
      <c r="A8791">
        <f>HYPERLINK("https://www.philgeps.gov.ph/GEPSNONPILOT/Tender/SplashBidNoticeAbstractUI.aspx?menuIndex=3&amp;refID=7075500&amp;Result=3","7075500")</f>
        <v>0</v>
      </c>
      <c r="B8791" t="s">
        <v>2126</v>
      </c>
      <c r="C8791" t="s">
        <v>11785</v>
      </c>
      <c r="D8791" t="s">
        <v>17432</v>
      </c>
      <c r="E8791" t="s">
        <v>25069</v>
      </c>
      <c r="F8791" t="s">
        <v>30052</v>
      </c>
      <c r="G8791" t="s">
        <v>30058</v>
      </c>
      <c r="H8791" t="s">
        <v>30067</v>
      </c>
      <c r="I8791" t="s">
        <v>3693</v>
      </c>
      <c r="J8791" t="s">
        <v>35549</v>
      </c>
      <c r="K8791" t="s">
        <v>39210</v>
      </c>
      <c r="M8791" t="s">
        <v>41590</v>
      </c>
      <c r="N8791" t="s">
        <v>43166</v>
      </c>
      <c r="O8791" t="s">
        <v>43167</v>
      </c>
      <c r="P8791">
        <v>0</v>
      </c>
      <c r="Q8791">
        <v>0</v>
      </c>
      <c r="R8791" t="s">
        <v>43174</v>
      </c>
      <c r="S8791" t="s">
        <v>43396</v>
      </c>
      <c r="T8791" t="s">
        <v>44991</v>
      </c>
      <c r="U8791" t="s">
        <v>52244</v>
      </c>
      <c r="V8791" t="s">
        <v>57526</v>
      </c>
      <c r="W8791" t="s">
        <v>41590</v>
      </c>
      <c r="X8791" t="s">
        <v>43175</v>
      </c>
    </row>
    <row r="8792" spans="1:24">
      <c r="A8792">
        <f>HYPERLINK("https://www.philgeps.gov.ph/GEPSNONPILOT/Tender/SplashBidNoticeAbstractUI.aspx?menuIndex=3&amp;refID=7075505&amp;Result=3","7075505")</f>
        <v>0</v>
      </c>
      <c r="B8792" t="s">
        <v>2634</v>
      </c>
      <c r="C8792" t="s">
        <v>11786</v>
      </c>
      <c r="D8792" t="s">
        <v>17435</v>
      </c>
      <c r="E8792" t="s">
        <v>25070</v>
      </c>
      <c r="F8792" t="s">
        <v>30052</v>
      </c>
      <c r="G8792" t="s">
        <v>30058</v>
      </c>
      <c r="H8792" t="s">
        <v>15498</v>
      </c>
      <c r="I8792" t="s">
        <v>4650</v>
      </c>
      <c r="J8792" t="s">
        <v>35550</v>
      </c>
      <c r="K8792" t="s">
        <v>39019</v>
      </c>
      <c r="M8792" t="s">
        <v>42149</v>
      </c>
      <c r="N8792" t="s">
        <v>43166</v>
      </c>
      <c r="O8792" t="s">
        <v>43167</v>
      </c>
      <c r="P8792">
        <v>0</v>
      </c>
      <c r="Q8792">
        <v>11</v>
      </c>
      <c r="R8792" t="s">
        <v>43174</v>
      </c>
      <c r="S8792" t="s">
        <v>43396</v>
      </c>
      <c r="T8792" t="s">
        <v>44922</v>
      </c>
      <c r="U8792" t="s">
        <v>52245</v>
      </c>
      <c r="W8792" t="s">
        <v>42149</v>
      </c>
      <c r="X8792" t="s">
        <v>43175</v>
      </c>
    </row>
    <row r="8793" spans="1:24">
      <c r="A8793">
        <f>HYPERLINK("https://www.philgeps.gov.ph/GEPSNONPILOT/Tender/SplashBidNoticeAbstractUI.aspx?menuIndex=3&amp;refID=7075516&amp;Result=3","7075516")</f>
        <v>0</v>
      </c>
      <c r="B8793" t="s">
        <v>1682</v>
      </c>
      <c r="C8793" t="s">
        <v>11787</v>
      </c>
      <c r="D8793" t="s">
        <v>17453</v>
      </c>
      <c r="E8793" t="s">
        <v>25071</v>
      </c>
      <c r="F8793" t="s">
        <v>30052</v>
      </c>
      <c r="G8793" t="s">
        <v>30059</v>
      </c>
      <c r="H8793" t="s">
        <v>15498</v>
      </c>
      <c r="I8793" t="s">
        <v>9238</v>
      </c>
      <c r="J8793" t="s">
        <v>35551</v>
      </c>
      <c r="K8793" t="s">
        <v>39019</v>
      </c>
      <c r="M8793" t="s">
        <v>41118</v>
      </c>
      <c r="N8793" t="s">
        <v>43166</v>
      </c>
      <c r="O8793" t="s">
        <v>43167</v>
      </c>
      <c r="P8793">
        <v>0</v>
      </c>
      <c r="Q8793">
        <v>23</v>
      </c>
      <c r="R8793" t="s">
        <v>43174</v>
      </c>
      <c r="S8793" t="s">
        <v>43396</v>
      </c>
      <c r="T8793" t="s">
        <v>44870</v>
      </c>
      <c r="U8793" t="s">
        <v>52246</v>
      </c>
      <c r="W8793" t="s">
        <v>41118</v>
      </c>
      <c r="X8793" t="s">
        <v>43175</v>
      </c>
    </row>
    <row r="8794" spans="1:24">
      <c r="A8794">
        <f>HYPERLINK("https://www.philgeps.gov.ph/GEPSNONPILOT/Tender/SplashBidNoticeAbstractUI.aspx?menuIndex=3&amp;refID=7075499&amp;Result=3","7075499")</f>
        <v>0</v>
      </c>
      <c r="B8794" t="s">
        <v>2318</v>
      </c>
      <c r="C8794" t="s">
        <v>11788</v>
      </c>
      <c r="D8794" t="s">
        <v>17473</v>
      </c>
      <c r="E8794" t="s">
        <v>25072</v>
      </c>
      <c r="F8794" t="s">
        <v>30052</v>
      </c>
      <c r="G8794" t="s">
        <v>30059</v>
      </c>
      <c r="H8794" t="s">
        <v>30067</v>
      </c>
      <c r="I8794" t="s">
        <v>3693</v>
      </c>
      <c r="J8794" t="s">
        <v>35552</v>
      </c>
      <c r="K8794" t="s">
        <v>39029</v>
      </c>
      <c r="M8794" t="s">
        <v>41804</v>
      </c>
      <c r="N8794" t="s">
        <v>43166</v>
      </c>
      <c r="O8794" t="s">
        <v>43167</v>
      </c>
      <c r="P8794">
        <v>0</v>
      </c>
      <c r="Q8794">
        <v>0</v>
      </c>
      <c r="R8794" t="s">
        <v>43174</v>
      </c>
      <c r="S8794" t="s">
        <v>43396</v>
      </c>
      <c r="T8794" t="s">
        <v>44806</v>
      </c>
      <c r="U8794" t="s">
        <v>52247</v>
      </c>
      <c r="W8794" t="s">
        <v>41804</v>
      </c>
      <c r="X8794" t="s">
        <v>43175</v>
      </c>
    </row>
    <row r="8795" spans="1:24">
      <c r="A8795">
        <f>HYPERLINK("https://www.philgeps.gov.ph/GEPSNONPILOT/Tender/SplashBidNoticeAbstractUI.aspx?menuIndex=3&amp;refID=7075491&amp;Result=3","7075491")</f>
        <v>0</v>
      </c>
      <c r="B8795" t="s">
        <v>820</v>
      </c>
      <c r="C8795" t="s">
        <v>11789</v>
      </c>
      <c r="E8795" t="s">
        <v>25073</v>
      </c>
      <c r="F8795" t="s">
        <v>30052</v>
      </c>
      <c r="G8795" t="s">
        <v>30059</v>
      </c>
      <c r="H8795" t="s">
        <v>15498</v>
      </c>
      <c r="I8795" t="s">
        <v>3736</v>
      </c>
      <c r="J8795" t="s">
        <v>35553</v>
      </c>
      <c r="K8795" t="s">
        <v>39034</v>
      </c>
      <c r="M8795" t="s">
        <v>40137</v>
      </c>
      <c r="N8795" t="s">
        <v>43166</v>
      </c>
      <c r="O8795" t="s">
        <v>43167</v>
      </c>
      <c r="P8795">
        <v>0</v>
      </c>
      <c r="Q8795">
        <v>1</v>
      </c>
      <c r="R8795" t="s">
        <v>43174</v>
      </c>
      <c r="S8795" t="s">
        <v>43396</v>
      </c>
      <c r="T8795" t="s">
        <v>44737</v>
      </c>
      <c r="U8795" t="s">
        <v>52248</v>
      </c>
      <c r="V8795" t="s">
        <v>57736</v>
      </c>
      <c r="W8795" t="s">
        <v>40137</v>
      </c>
      <c r="X8795" t="s">
        <v>43175</v>
      </c>
    </row>
    <row r="8796" spans="1:24">
      <c r="A8796">
        <f>HYPERLINK("https://www.philgeps.gov.ph/GEPSNONPILOT/Tender/SplashBidNoticeAbstractUI.aspx?menuIndex=3&amp;refID=7075513&amp;Result=3","7075513")</f>
        <v>0</v>
      </c>
      <c r="B8796" t="s">
        <v>588</v>
      </c>
      <c r="C8796" t="s">
        <v>11790</v>
      </c>
      <c r="D8796" t="s">
        <v>17425</v>
      </c>
      <c r="E8796" t="s">
        <v>18568</v>
      </c>
      <c r="F8796" t="s">
        <v>30052</v>
      </c>
      <c r="G8796" t="s">
        <v>30058</v>
      </c>
      <c r="H8796" t="s">
        <v>15498</v>
      </c>
      <c r="I8796" t="s">
        <v>3736</v>
      </c>
      <c r="J8796" t="s">
        <v>35554</v>
      </c>
      <c r="K8796" t="s">
        <v>39019</v>
      </c>
      <c r="M8796" t="s">
        <v>39890</v>
      </c>
      <c r="N8796" t="s">
        <v>43166</v>
      </c>
      <c r="O8796" t="s">
        <v>43167</v>
      </c>
      <c r="P8796">
        <v>0</v>
      </c>
      <c r="Q8796">
        <v>0</v>
      </c>
      <c r="R8796" t="s">
        <v>43174</v>
      </c>
      <c r="S8796" t="s">
        <v>43396</v>
      </c>
      <c r="T8796" t="s">
        <v>44773</v>
      </c>
      <c r="U8796" t="s">
        <v>52249</v>
      </c>
      <c r="W8796" t="s">
        <v>39890</v>
      </c>
      <c r="X8796" t="s">
        <v>43175</v>
      </c>
    </row>
    <row r="8797" spans="1:24">
      <c r="A8797">
        <f>HYPERLINK("https://www.philgeps.gov.ph/GEPSNONPILOT/Tender/SplashBidNoticeAbstractUI.aspx?menuIndex=3&amp;refID=7075458&amp;Result=3","7075458")</f>
        <v>0</v>
      </c>
      <c r="B8797" t="s">
        <v>1727</v>
      </c>
      <c r="C8797" t="s">
        <v>11791</v>
      </c>
      <c r="D8797" t="s">
        <v>17436</v>
      </c>
      <c r="E8797" t="s">
        <v>25074</v>
      </c>
      <c r="F8797" t="s">
        <v>30052</v>
      </c>
      <c r="G8797" t="s">
        <v>30058</v>
      </c>
      <c r="H8797" t="s">
        <v>15498</v>
      </c>
      <c r="I8797" t="s">
        <v>30073</v>
      </c>
      <c r="J8797" t="s">
        <v>35555</v>
      </c>
      <c r="K8797" t="s">
        <v>39034</v>
      </c>
      <c r="M8797" t="s">
        <v>42148</v>
      </c>
      <c r="N8797" t="s">
        <v>43166</v>
      </c>
      <c r="O8797" t="s">
        <v>43167</v>
      </c>
      <c r="P8797">
        <v>0</v>
      </c>
      <c r="Q8797">
        <v>0</v>
      </c>
      <c r="R8797" t="s">
        <v>43174</v>
      </c>
      <c r="S8797" t="s">
        <v>43396</v>
      </c>
      <c r="T8797" t="s">
        <v>44728</v>
      </c>
      <c r="U8797" t="s">
        <v>52250</v>
      </c>
      <c r="W8797" t="s">
        <v>42148</v>
      </c>
      <c r="X8797" t="s">
        <v>43175</v>
      </c>
    </row>
    <row r="8798" spans="1:24">
      <c r="A8798">
        <f>HYPERLINK("https://www.philgeps.gov.ph/GEPSNONPILOT/Tender/SplashBidNoticeAbstractUI.aspx?menuIndex=3&amp;refID=7075485&amp;Result=3","7075485")</f>
        <v>0</v>
      </c>
      <c r="B8798" t="s">
        <v>701</v>
      </c>
      <c r="C8798" t="s">
        <v>11792</v>
      </c>
      <c r="D8798" t="s">
        <v>17419</v>
      </c>
      <c r="E8798" t="s">
        <v>25075</v>
      </c>
      <c r="F8798" t="s">
        <v>30052</v>
      </c>
      <c r="G8798" t="s">
        <v>30058</v>
      </c>
      <c r="H8798" t="s">
        <v>15498</v>
      </c>
      <c r="I8798" t="s">
        <v>3736</v>
      </c>
      <c r="J8798" t="s">
        <v>35556</v>
      </c>
      <c r="K8798" t="s">
        <v>39025</v>
      </c>
      <c r="M8798" t="s">
        <v>40858</v>
      </c>
      <c r="N8798" t="s">
        <v>43166</v>
      </c>
      <c r="O8798" t="s">
        <v>43167</v>
      </c>
      <c r="P8798">
        <v>0</v>
      </c>
      <c r="Q8798">
        <v>0</v>
      </c>
      <c r="R8798" t="s">
        <v>43174</v>
      </c>
      <c r="S8798" t="s">
        <v>43396</v>
      </c>
      <c r="T8798" t="s">
        <v>44758</v>
      </c>
      <c r="U8798" t="s">
        <v>52251</v>
      </c>
      <c r="W8798" t="s">
        <v>40858</v>
      </c>
      <c r="X8798" t="s">
        <v>43175</v>
      </c>
    </row>
    <row r="8799" spans="1:24">
      <c r="A8799">
        <f>HYPERLINK("https://www.philgeps.gov.ph/GEPSNONPILOT/Tender/SplashBidNoticeAbstractUI.aspx?menuIndex=3&amp;refID=7075521&amp;Result=3","7075521")</f>
        <v>0</v>
      </c>
      <c r="B8799" t="s">
        <v>298</v>
      </c>
      <c r="C8799" t="s">
        <v>11793</v>
      </c>
      <c r="D8799" t="s">
        <v>17468</v>
      </c>
      <c r="E8799" t="s">
        <v>25076</v>
      </c>
      <c r="F8799" t="s">
        <v>30052</v>
      </c>
      <c r="G8799" t="s">
        <v>30058</v>
      </c>
      <c r="H8799" t="s">
        <v>15498</v>
      </c>
      <c r="I8799" t="s">
        <v>30081</v>
      </c>
      <c r="J8799" t="s">
        <v>35557</v>
      </c>
      <c r="K8799" t="s">
        <v>39019</v>
      </c>
      <c r="M8799" t="s">
        <v>39593</v>
      </c>
      <c r="N8799" t="s">
        <v>43166</v>
      </c>
      <c r="O8799" t="s">
        <v>43167</v>
      </c>
      <c r="P8799">
        <v>0</v>
      </c>
      <c r="Q8799">
        <v>0</v>
      </c>
      <c r="R8799" t="s">
        <v>43174</v>
      </c>
      <c r="S8799" t="s">
        <v>43396</v>
      </c>
      <c r="T8799" t="s">
        <v>44832</v>
      </c>
      <c r="U8799" t="s">
        <v>52252</v>
      </c>
      <c r="W8799" t="s">
        <v>39593</v>
      </c>
      <c r="X8799" t="s">
        <v>43175</v>
      </c>
    </row>
    <row r="8800" spans="1:24">
      <c r="A8800">
        <f>HYPERLINK("https://www.philgeps.gov.ph/GEPSNONPILOT/Tender/SplashBidNoticeAbstractUI.aspx?menuIndex=3&amp;refID=7075450&amp;Result=3","7075450")</f>
        <v>0</v>
      </c>
      <c r="B8800" t="s">
        <v>1505</v>
      </c>
      <c r="C8800" t="s">
        <v>11794</v>
      </c>
      <c r="D8800" t="s">
        <v>17462</v>
      </c>
      <c r="E8800" t="s">
        <v>25077</v>
      </c>
      <c r="F8800" t="s">
        <v>30052</v>
      </c>
      <c r="G8800" t="s">
        <v>30058</v>
      </c>
      <c r="H8800" t="s">
        <v>30067</v>
      </c>
      <c r="I8800" t="s">
        <v>3693</v>
      </c>
      <c r="J8800" t="s">
        <v>31772</v>
      </c>
      <c r="K8800" t="s">
        <v>39046</v>
      </c>
      <c r="M8800" t="s">
        <v>40889</v>
      </c>
      <c r="N8800" t="s">
        <v>43166</v>
      </c>
      <c r="O8800" t="s">
        <v>43167</v>
      </c>
      <c r="P8800">
        <v>0</v>
      </c>
      <c r="Q8800">
        <v>5</v>
      </c>
      <c r="R8800" t="s">
        <v>43174</v>
      </c>
      <c r="S8800" t="s">
        <v>43396</v>
      </c>
      <c r="T8800" t="s">
        <v>44758</v>
      </c>
      <c r="U8800" t="s">
        <v>52149</v>
      </c>
      <c r="W8800" t="s">
        <v>58641</v>
      </c>
      <c r="X8800" t="s">
        <v>43175</v>
      </c>
    </row>
    <row r="8801" spans="1:24">
      <c r="A8801">
        <f>HYPERLINK("https://www.philgeps.gov.ph/GEPSNONPILOT/Tender/SplashBidNoticeAbstractUI.aspx?menuIndex=3&amp;refID=7075561&amp;Result=3","7075561")</f>
        <v>0</v>
      </c>
      <c r="B8801" t="s">
        <v>2635</v>
      </c>
      <c r="C8801" t="s">
        <v>11795</v>
      </c>
      <c r="D8801" t="s">
        <v>17453</v>
      </c>
      <c r="E8801" t="s">
        <v>25078</v>
      </c>
      <c r="F8801" t="s">
        <v>30052</v>
      </c>
      <c r="G8801" t="s">
        <v>30058</v>
      </c>
      <c r="H8801" t="s">
        <v>30067</v>
      </c>
      <c r="I8801" t="s">
        <v>3693</v>
      </c>
      <c r="J8801" t="s">
        <v>30252</v>
      </c>
      <c r="K8801" t="s">
        <v>39106</v>
      </c>
      <c r="M8801" t="s">
        <v>42150</v>
      </c>
      <c r="N8801" t="s">
        <v>43166</v>
      </c>
      <c r="O8801" t="s">
        <v>43167</v>
      </c>
      <c r="P8801">
        <v>0</v>
      </c>
      <c r="Q8801">
        <v>0</v>
      </c>
      <c r="R8801" t="s">
        <v>43174</v>
      </c>
      <c r="S8801" t="s">
        <v>43396</v>
      </c>
      <c r="T8801" t="s">
        <v>44724</v>
      </c>
      <c r="U8801" t="s">
        <v>52253</v>
      </c>
      <c r="V8801" t="s">
        <v>57750</v>
      </c>
      <c r="W8801" t="s">
        <v>42150</v>
      </c>
      <c r="X8801" t="s">
        <v>43175</v>
      </c>
    </row>
    <row r="8802" spans="1:24">
      <c r="A8802">
        <f>HYPERLINK("https://www.philgeps.gov.ph/GEPSNONPILOT/Tender/SplashBidNoticeAbstractUI.aspx?menuIndex=3&amp;refID=7075494&amp;Result=3","7075494")</f>
        <v>0</v>
      </c>
      <c r="B8802" t="s">
        <v>720</v>
      </c>
      <c r="C8802" t="s">
        <v>11796</v>
      </c>
      <c r="E8802" t="s">
        <v>23529</v>
      </c>
      <c r="F8802" t="s">
        <v>30052</v>
      </c>
      <c r="G8802" t="s">
        <v>30058</v>
      </c>
      <c r="H8802" t="s">
        <v>30067</v>
      </c>
      <c r="I8802" t="s">
        <v>3736</v>
      </c>
      <c r="J8802" t="s">
        <v>30252</v>
      </c>
      <c r="K8802" t="s">
        <v>39025</v>
      </c>
      <c r="M8802" t="s">
        <v>40030</v>
      </c>
      <c r="N8802" t="s">
        <v>43166</v>
      </c>
      <c r="O8802" t="s">
        <v>43167</v>
      </c>
      <c r="P8802">
        <v>0</v>
      </c>
      <c r="Q8802">
        <v>1</v>
      </c>
      <c r="R8802" t="s">
        <v>43174</v>
      </c>
      <c r="S8802" t="s">
        <v>43396</v>
      </c>
      <c r="T8802" t="s">
        <v>44710</v>
      </c>
      <c r="U8802" t="s">
        <v>52254</v>
      </c>
      <c r="W8802" t="s">
        <v>40030</v>
      </c>
      <c r="X8802" t="s">
        <v>43175</v>
      </c>
    </row>
    <row r="8803" spans="1:24">
      <c r="A8803">
        <f>HYPERLINK("https://www.philgeps.gov.ph/GEPSNONPILOT/Tender/SplashBidNoticeAbstractUI.aspx?menuIndex=3&amp;refID=7075559&amp;Result=3","7075559")</f>
        <v>0</v>
      </c>
      <c r="B8803" t="s">
        <v>2636</v>
      </c>
      <c r="C8803" t="s">
        <v>11797</v>
      </c>
      <c r="D8803" t="s">
        <v>17492</v>
      </c>
      <c r="E8803" t="s">
        <v>25079</v>
      </c>
      <c r="F8803" t="s">
        <v>30052</v>
      </c>
      <c r="G8803" t="s">
        <v>30058</v>
      </c>
      <c r="H8803" t="s">
        <v>30067</v>
      </c>
      <c r="I8803" t="s">
        <v>3693</v>
      </c>
      <c r="J8803" t="s">
        <v>35558</v>
      </c>
      <c r="K8803" t="s">
        <v>39025</v>
      </c>
      <c r="M8803" t="s">
        <v>42151</v>
      </c>
      <c r="N8803" t="s">
        <v>43166</v>
      </c>
      <c r="O8803" t="s">
        <v>43167</v>
      </c>
      <c r="P8803">
        <v>0</v>
      </c>
      <c r="Q8803">
        <v>0</v>
      </c>
      <c r="R8803" t="s">
        <v>43174</v>
      </c>
      <c r="S8803" t="s">
        <v>43396</v>
      </c>
      <c r="T8803" t="s">
        <v>44716</v>
      </c>
      <c r="U8803" t="s">
        <v>52255</v>
      </c>
      <c r="W8803" t="s">
        <v>42151</v>
      </c>
      <c r="X8803" t="s">
        <v>43175</v>
      </c>
    </row>
    <row r="8804" spans="1:24">
      <c r="A8804">
        <f>HYPERLINK("https://www.philgeps.gov.ph/GEPSNONPILOT/Tender/SplashBidNoticeAbstractUI.aspx?menuIndex=3&amp;refID=7075558&amp;Result=3","7075558")</f>
        <v>0</v>
      </c>
      <c r="B8804" t="s">
        <v>324</v>
      </c>
      <c r="C8804" t="s">
        <v>11798</v>
      </c>
      <c r="D8804" t="s">
        <v>17440</v>
      </c>
      <c r="E8804" t="s">
        <v>25080</v>
      </c>
      <c r="F8804" t="s">
        <v>30052</v>
      </c>
      <c r="G8804" t="s">
        <v>30058</v>
      </c>
      <c r="H8804" t="s">
        <v>30067</v>
      </c>
      <c r="I8804" t="s">
        <v>3693</v>
      </c>
      <c r="J8804" t="s">
        <v>35559</v>
      </c>
      <c r="K8804" t="s">
        <v>39080</v>
      </c>
      <c r="M8804" t="s">
        <v>42152</v>
      </c>
      <c r="N8804" t="s">
        <v>43166</v>
      </c>
      <c r="O8804" t="s">
        <v>43167</v>
      </c>
      <c r="P8804">
        <v>0</v>
      </c>
      <c r="Q8804">
        <v>4</v>
      </c>
      <c r="R8804" t="s">
        <v>43174</v>
      </c>
      <c r="S8804" t="s">
        <v>43396</v>
      </c>
      <c r="T8804" t="s">
        <v>44716</v>
      </c>
      <c r="U8804" t="s">
        <v>52256</v>
      </c>
      <c r="W8804" t="s">
        <v>42152</v>
      </c>
      <c r="X8804" t="s">
        <v>43175</v>
      </c>
    </row>
    <row r="8805" spans="1:24">
      <c r="A8805">
        <f>HYPERLINK("https://www.philgeps.gov.ph/GEPSNONPILOT/Tender/SplashBidNoticeAbstractUI.aspx?menuIndex=3&amp;refID=7075556&amp;Result=3","7075556")</f>
        <v>0</v>
      </c>
      <c r="B8805" t="s">
        <v>1930</v>
      </c>
      <c r="C8805" t="s">
        <v>11799</v>
      </c>
      <c r="D8805" t="s">
        <v>17442</v>
      </c>
      <c r="E8805" t="s">
        <v>25081</v>
      </c>
      <c r="F8805" t="s">
        <v>30052</v>
      </c>
      <c r="G8805" t="s">
        <v>30058</v>
      </c>
      <c r="H8805" t="s">
        <v>30067</v>
      </c>
      <c r="I8805" t="s">
        <v>3693</v>
      </c>
      <c r="J8805" t="s">
        <v>35560</v>
      </c>
      <c r="K8805" t="s">
        <v>39031</v>
      </c>
      <c r="M8805" t="s">
        <v>41363</v>
      </c>
      <c r="N8805" t="s">
        <v>43166</v>
      </c>
      <c r="O8805" t="s">
        <v>43167</v>
      </c>
      <c r="P8805">
        <v>0</v>
      </c>
      <c r="Q8805">
        <v>0</v>
      </c>
      <c r="R8805" t="s">
        <v>43174</v>
      </c>
      <c r="S8805" t="s">
        <v>43396</v>
      </c>
      <c r="T8805" t="s">
        <v>45104</v>
      </c>
      <c r="U8805" t="s">
        <v>49915</v>
      </c>
      <c r="V8805" t="s">
        <v>57443</v>
      </c>
      <c r="W8805" t="s">
        <v>41363</v>
      </c>
      <c r="X8805" t="s">
        <v>43175</v>
      </c>
    </row>
    <row r="8806" spans="1:24">
      <c r="A8806">
        <f>HYPERLINK("https://www.philgeps.gov.ph/GEPSNONPILOT/Tender/SplashBidNoticeAbstractUI.aspx?menuIndex=3&amp;refID=7075552&amp;Result=3","7075552")</f>
        <v>0</v>
      </c>
      <c r="B8806" t="s">
        <v>298</v>
      </c>
      <c r="C8806" t="s">
        <v>11800</v>
      </c>
      <c r="D8806" t="s">
        <v>17468</v>
      </c>
      <c r="E8806" t="s">
        <v>25082</v>
      </c>
      <c r="F8806" t="s">
        <v>30052</v>
      </c>
      <c r="G8806" t="s">
        <v>30058</v>
      </c>
      <c r="H8806" t="s">
        <v>15498</v>
      </c>
      <c r="I8806" t="s">
        <v>3852</v>
      </c>
      <c r="J8806" t="s">
        <v>30222</v>
      </c>
      <c r="K8806" t="s">
        <v>39019</v>
      </c>
      <c r="M8806" t="s">
        <v>39593</v>
      </c>
      <c r="N8806" t="s">
        <v>43166</v>
      </c>
      <c r="O8806" t="s">
        <v>43167</v>
      </c>
      <c r="P8806">
        <v>0</v>
      </c>
      <c r="Q8806">
        <v>5</v>
      </c>
      <c r="R8806" t="s">
        <v>43174</v>
      </c>
      <c r="S8806" t="s">
        <v>43396</v>
      </c>
      <c r="T8806" t="s">
        <v>44832</v>
      </c>
      <c r="U8806" t="s">
        <v>52257</v>
      </c>
      <c r="W8806" t="s">
        <v>39593</v>
      </c>
      <c r="X8806" t="s">
        <v>43175</v>
      </c>
    </row>
    <row r="8807" spans="1:24">
      <c r="A8807">
        <f>HYPERLINK("https://www.philgeps.gov.ph/GEPSNONPILOT/Tender/SplashBidNoticeAbstractUI.aspx?menuIndex=3&amp;refID=7075523&amp;Result=3","7075523")</f>
        <v>0</v>
      </c>
      <c r="B8807" t="s">
        <v>195</v>
      </c>
      <c r="C8807" t="s">
        <v>11801</v>
      </c>
      <c r="D8807" t="s">
        <v>17479</v>
      </c>
      <c r="E8807" t="s">
        <v>25083</v>
      </c>
      <c r="F8807" t="s">
        <v>30052</v>
      </c>
      <c r="G8807" t="s">
        <v>30058</v>
      </c>
      <c r="H8807" t="s">
        <v>30067</v>
      </c>
      <c r="I8807" t="s">
        <v>3693</v>
      </c>
      <c r="J8807" t="s">
        <v>35561</v>
      </c>
      <c r="K8807" t="s">
        <v>39031</v>
      </c>
      <c r="M8807" t="s">
        <v>39485</v>
      </c>
      <c r="N8807" t="s">
        <v>43166</v>
      </c>
      <c r="O8807" t="s">
        <v>43167</v>
      </c>
      <c r="P8807">
        <v>0</v>
      </c>
      <c r="Q8807">
        <v>37</v>
      </c>
      <c r="R8807" t="s">
        <v>43174</v>
      </c>
      <c r="S8807" t="s">
        <v>43396</v>
      </c>
      <c r="T8807" t="s">
        <v>44825</v>
      </c>
      <c r="U8807" t="s">
        <v>52258</v>
      </c>
      <c r="W8807" t="s">
        <v>39485</v>
      </c>
      <c r="X8807" t="s">
        <v>43175</v>
      </c>
    </row>
    <row r="8808" spans="1:24">
      <c r="A8808">
        <f>HYPERLINK("https://www.philgeps.gov.ph/GEPSNONPILOT/Tender/SplashBidNoticeAbstractUI.aspx?menuIndex=3&amp;refID=7075549&amp;Result=3","7075549")</f>
        <v>0</v>
      </c>
      <c r="B8808" t="s">
        <v>2635</v>
      </c>
      <c r="C8808" t="s">
        <v>11802</v>
      </c>
      <c r="D8808" t="s">
        <v>17453</v>
      </c>
      <c r="E8808" t="s">
        <v>25084</v>
      </c>
      <c r="F8808" t="s">
        <v>30052</v>
      </c>
      <c r="G8808" t="s">
        <v>30058</v>
      </c>
      <c r="H8808" t="s">
        <v>30067</v>
      </c>
      <c r="I8808" t="s">
        <v>3693</v>
      </c>
      <c r="J8808" t="s">
        <v>30252</v>
      </c>
      <c r="K8808" t="s">
        <v>39029</v>
      </c>
      <c r="M8808" t="s">
        <v>42153</v>
      </c>
      <c r="N8808" t="s">
        <v>43166</v>
      </c>
      <c r="O8808" t="s">
        <v>43167</v>
      </c>
      <c r="P8808">
        <v>0</v>
      </c>
      <c r="Q8808">
        <v>0</v>
      </c>
      <c r="R8808" t="s">
        <v>43174</v>
      </c>
      <c r="S8808" t="s">
        <v>43396</v>
      </c>
      <c r="T8808" t="s">
        <v>44724</v>
      </c>
      <c r="U8808" t="s">
        <v>52259</v>
      </c>
      <c r="V8808" t="s">
        <v>57751</v>
      </c>
      <c r="W8808" t="s">
        <v>42153</v>
      </c>
      <c r="X8808" t="s">
        <v>43175</v>
      </c>
    </row>
    <row r="8809" spans="1:24">
      <c r="A8809">
        <f>HYPERLINK("https://www.philgeps.gov.ph/GEPSNONPILOT/Tender/SplashBidNoticeAbstractUI.aspx?menuIndex=3&amp;refID=7075546&amp;Result=3","7075546")</f>
        <v>0</v>
      </c>
      <c r="B8809" t="s">
        <v>1682</v>
      </c>
      <c r="C8809" t="s">
        <v>11803</v>
      </c>
      <c r="D8809" t="s">
        <v>17451</v>
      </c>
      <c r="E8809" t="s">
        <v>25085</v>
      </c>
      <c r="F8809" t="s">
        <v>30052</v>
      </c>
      <c r="G8809" t="s">
        <v>30059</v>
      </c>
      <c r="H8809" t="s">
        <v>15498</v>
      </c>
      <c r="I8809" t="s">
        <v>30134</v>
      </c>
      <c r="J8809" t="s">
        <v>35562</v>
      </c>
      <c r="K8809" t="s">
        <v>39019</v>
      </c>
      <c r="M8809" t="s">
        <v>41118</v>
      </c>
      <c r="N8809" t="s">
        <v>43166</v>
      </c>
      <c r="O8809" t="s">
        <v>43167</v>
      </c>
      <c r="P8809">
        <v>0</v>
      </c>
      <c r="Q8809">
        <v>1</v>
      </c>
      <c r="R8809" t="s">
        <v>43174</v>
      </c>
      <c r="S8809" t="s">
        <v>43396</v>
      </c>
      <c r="T8809" t="s">
        <v>44870</v>
      </c>
      <c r="U8809" t="s">
        <v>52260</v>
      </c>
      <c r="W8809" t="s">
        <v>41118</v>
      </c>
      <c r="X8809" t="s">
        <v>43175</v>
      </c>
    </row>
    <row r="8810" spans="1:24">
      <c r="A8810">
        <f>HYPERLINK("https://www.philgeps.gov.ph/GEPSNONPILOT/Tender/SplashBidNoticeAbstractUI.aspx?menuIndex=3&amp;refID=7075492&amp;Result=3","7075492")</f>
        <v>0</v>
      </c>
      <c r="B8810" t="s">
        <v>1682</v>
      </c>
      <c r="C8810" t="s">
        <v>11804</v>
      </c>
      <c r="D8810" t="s">
        <v>17453</v>
      </c>
      <c r="E8810" t="s">
        <v>25086</v>
      </c>
      <c r="F8810" t="s">
        <v>30052</v>
      </c>
      <c r="G8810" t="s">
        <v>30059</v>
      </c>
      <c r="H8810" t="s">
        <v>15498</v>
      </c>
      <c r="I8810" t="s">
        <v>30074</v>
      </c>
      <c r="J8810" t="s">
        <v>35563</v>
      </c>
      <c r="K8810" t="s">
        <v>39019</v>
      </c>
      <c r="M8810" t="s">
        <v>41118</v>
      </c>
      <c r="N8810" t="s">
        <v>43166</v>
      </c>
      <c r="O8810" t="s">
        <v>43167</v>
      </c>
      <c r="P8810">
        <v>0</v>
      </c>
      <c r="Q8810">
        <v>1</v>
      </c>
      <c r="R8810" t="s">
        <v>43174</v>
      </c>
      <c r="S8810" t="s">
        <v>43396</v>
      </c>
      <c r="T8810" t="s">
        <v>44870</v>
      </c>
      <c r="U8810" t="s">
        <v>52261</v>
      </c>
      <c r="W8810" t="s">
        <v>41118</v>
      </c>
      <c r="X8810" t="s">
        <v>43175</v>
      </c>
    </row>
    <row r="8811" spans="1:24">
      <c r="A8811">
        <f>HYPERLINK("https://www.philgeps.gov.ph/GEPSNONPILOT/Tender/SplashBidNoticeAbstractUI.aspx?menuIndex=3&amp;refID=7075545&amp;Result=3","7075545")</f>
        <v>0</v>
      </c>
      <c r="B8811" t="s">
        <v>195</v>
      </c>
      <c r="C8811" t="s">
        <v>11805</v>
      </c>
      <c r="D8811" t="s">
        <v>17479</v>
      </c>
      <c r="E8811" t="s">
        <v>25087</v>
      </c>
      <c r="F8811" t="s">
        <v>30052</v>
      </c>
      <c r="G8811" t="s">
        <v>30058</v>
      </c>
      <c r="H8811" t="s">
        <v>30067</v>
      </c>
      <c r="I8811" t="s">
        <v>3693</v>
      </c>
      <c r="J8811" t="s">
        <v>35564</v>
      </c>
      <c r="K8811" t="s">
        <v>39031</v>
      </c>
      <c r="M8811" t="s">
        <v>39485</v>
      </c>
      <c r="N8811" t="s">
        <v>43166</v>
      </c>
      <c r="O8811" t="s">
        <v>43167</v>
      </c>
      <c r="P8811">
        <v>0</v>
      </c>
      <c r="Q8811">
        <v>39</v>
      </c>
      <c r="R8811" t="s">
        <v>43174</v>
      </c>
      <c r="S8811" t="s">
        <v>43396</v>
      </c>
      <c r="T8811" t="s">
        <v>44716</v>
      </c>
      <c r="U8811" t="s">
        <v>52262</v>
      </c>
      <c r="W8811" t="s">
        <v>39485</v>
      </c>
      <c r="X8811" t="s">
        <v>43175</v>
      </c>
    </row>
    <row r="8812" spans="1:24">
      <c r="A8812">
        <f>HYPERLINK("https://www.philgeps.gov.ph/GEPSNONPILOT/Tender/SplashBidNoticeAbstractUI.aspx?menuIndex=3&amp;refID=7075542&amp;Result=3","7075542")</f>
        <v>0</v>
      </c>
      <c r="B8812" t="s">
        <v>1524</v>
      </c>
      <c r="C8812" t="s">
        <v>11806</v>
      </c>
      <c r="D8812" t="s">
        <v>17443</v>
      </c>
      <c r="E8812" t="s">
        <v>25088</v>
      </c>
      <c r="F8812" t="s">
        <v>30052</v>
      </c>
      <c r="G8812" t="s">
        <v>30060</v>
      </c>
      <c r="H8812" t="s">
        <v>15498</v>
      </c>
      <c r="I8812" t="s">
        <v>30127</v>
      </c>
      <c r="J8812" t="s">
        <v>30277</v>
      </c>
      <c r="K8812" t="s">
        <v>39019</v>
      </c>
      <c r="M8812" t="s">
        <v>40910</v>
      </c>
      <c r="N8812" t="s">
        <v>43166</v>
      </c>
      <c r="O8812" t="s">
        <v>43167</v>
      </c>
      <c r="P8812">
        <v>0</v>
      </c>
      <c r="Q8812">
        <v>2</v>
      </c>
      <c r="R8812" t="s">
        <v>43174</v>
      </c>
      <c r="S8812" t="s">
        <v>43396</v>
      </c>
      <c r="T8812" t="s">
        <v>44856</v>
      </c>
      <c r="U8812" t="s">
        <v>52263</v>
      </c>
      <c r="W8812" t="s">
        <v>40910</v>
      </c>
      <c r="X8812" t="s">
        <v>43175</v>
      </c>
    </row>
    <row r="8813" spans="1:24">
      <c r="A8813">
        <f>HYPERLINK("https://www.philgeps.gov.ph/GEPSNONPILOT/Tender/SplashBidNoticeAbstractUI.aspx?menuIndex=3&amp;refID=7075539&amp;Result=3","7075539")</f>
        <v>0</v>
      </c>
      <c r="B8813" t="s">
        <v>1300</v>
      </c>
      <c r="C8813" t="s">
        <v>11807</v>
      </c>
      <c r="D8813" t="s">
        <v>17434</v>
      </c>
      <c r="E8813" t="s">
        <v>25089</v>
      </c>
      <c r="F8813" t="s">
        <v>30052</v>
      </c>
      <c r="G8813" t="s">
        <v>30058</v>
      </c>
      <c r="H8813" t="s">
        <v>30069</v>
      </c>
      <c r="I8813" t="s">
        <v>30079</v>
      </c>
      <c r="J8813" t="s">
        <v>35565</v>
      </c>
      <c r="K8813" t="s">
        <v>39023</v>
      </c>
      <c r="M8813" t="s">
        <v>40666</v>
      </c>
      <c r="N8813" t="s">
        <v>43166</v>
      </c>
      <c r="O8813" t="s">
        <v>43167</v>
      </c>
      <c r="P8813">
        <v>0</v>
      </c>
      <c r="Q8813">
        <v>6</v>
      </c>
      <c r="R8813" t="s">
        <v>43174</v>
      </c>
      <c r="S8813" t="s">
        <v>43396</v>
      </c>
      <c r="T8813" t="s">
        <v>44796</v>
      </c>
      <c r="U8813" t="s">
        <v>48064</v>
      </c>
      <c r="V8813" t="s">
        <v>57244</v>
      </c>
      <c r="W8813" t="s">
        <v>40666</v>
      </c>
      <c r="X8813" t="s">
        <v>43175</v>
      </c>
    </row>
    <row r="8814" spans="1:24">
      <c r="A8814">
        <f>HYPERLINK("https://www.philgeps.gov.ph/GEPSNONPILOT/Tender/SplashBidNoticeAbstractUI.aspx?menuIndex=3&amp;refID=7075557&amp;Result=3","7075557")</f>
        <v>0</v>
      </c>
      <c r="B8814" t="s">
        <v>2634</v>
      </c>
      <c r="C8814" t="s">
        <v>11808</v>
      </c>
      <c r="D8814" t="s">
        <v>17435</v>
      </c>
      <c r="E8814" t="s">
        <v>25090</v>
      </c>
      <c r="F8814" t="s">
        <v>30052</v>
      </c>
      <c r="G8814" t="s">
        <v>30058</v>
      </c>
      <c r="H8814" t="s">
        <v>15498</v>
      </c>
      <c r="I8814" t="s">
        <v>30150</v>
      </c>
      <c r="J8814" t="s">
        <v>34148</v>
      </c>
      <c r="K8814" t="s">
        <v>39019</v>
      </c>
      <c r="M8814" t="s">
        <v>42149</v>
      </c>
      <c r="N8814" t="s">
        <v>43166</v>
      </c>
      <c r="O8814" t="s">
        <v>43167</v>
      </c>
      <c r="P8814">
        <v>0</v>
      </c>
      <c r="Q8814">
        <v>1</v>
      </c>
      <c r="R8814" t="s">
        <v>43174</v>
      </c>
      <c r="S8814" t="s">
        <v>43396</v>
      </c>
      <c r="T8814" t="s">
        <v>44922</v>
      </c>
      <c r="U8814" t="s">
        <v>52264</v>
      </c>
      <c r="W8814" t="s">
        <v>42149</v>
      </c>
      <c r="X8814" t="s">
        <v>43175</v>
      </c>
    </row>
    <row r="8815" spans="1:24">
      <c r="A8815">
        <f>HYPERLINK("https://www.philgeps.gov.ph/GEPSNONPILOT/Tender/SplashBidNoticeAbstractUI.aspx?menuIndex=3&amp;refID=7075555&amp;Result=3","7075555")</f>
        <v>0</v>
      </c>
      <c r="B8815" t="s">
        <v>1484</v>
      </c>
      <c r="C8815" t="s">
        <v>11809</v>
      </c>
      <c r="D8815" t="s">
        <v>17415</v>
      </c>
      <c r="E8815" t="s">
        <v>25091</v>
      </c>
      <c r="F8815" t="s">
        <v>30052</v>
      </c>
      <c r="G8815" t="s">
        <v>30058</v>
      </c>
      <c r="H8815" t="s">
        <v>30067</v>
      </c>
      <c r="I8815" t="s">
        <v>3693</v>
      </c>
      <c r="J8815" t="s">
        <v>30321</v>
      </c>
      <c r="K8815" t="s">
        <v>39031</v>
      </c>
      <c r="M8815" t="s">
        <v>40868</v>
      </c>
      <c r="N8815" t="s">
        <v>43166</v>
      </c>
      <c r="O8815" t="s">
        <v>43167</v>
      </c>
      <c r="P8815">
        <v>0</v>
      </c>
      <c r="Q8815">
        <v>3</v>
      </c>
      <c r="R8815" t="s">
        <v>43174</v>
      </c>
      <c r="S8815" t="s">
        <v>43396</v>
      </c>
      <c r="T8815" t="s">
        <v>45105</v>
      </c>
      <c r="U8815" t="s">
        <v>52265</v>
      </c>
      <c r="V8815" t="s">
        <v>57752</v>
      </c>
      <c r="W8815" t="s">
        <v>40868</v>
      </c>
      <c r="X8815" t="s">
        <v>43175</v>
      </c>
    </row>
    <row r="8816" spans="1:24">
      <c r="A8816">
        <f>HYPERLINK("https://www.philgeps.gov.ph/GEPSNONPILOT/Tender/SplashBidNoticeAbstractUI.aspx?menuIndex=3&amp;refID=7075501&amp;Result=3","7075501")</f>
        <v>0</v>
      </c>
      <c r="B8816" t="s">
        <v>2610</v>
      </c>
      <c r="C8816" t="s">
        <v>11810</v>
      </c>
      <c r="D8816" t="s">
        <v>17472</v>
      </c>
      <c r="E8816" t="s">
        <v>25092</v>
      </c>
      <c r="F8816" t="s">
        <v>30052</v>
      </c>
      <c r="G8816" t="s">
        <v>30058</v>
      </c>
      <c r="H8816" t="s">
        <v>30067</v>
      </c>
      <c r="I8816" t="s">
        <v>3693</v>
      </c>
      <c r="J8816" t="s">
        <v>34923</v>
      </c>
      <c r="K8816" t="s">
        <v>39025</v>
      </c>
      <c r="M8816" t="s">
        <v>42122</v>
      </c>
      <c r="N8816" t="s">
        <v>43166</v>
      </c>
      <c r="O8816" t="s">
        <v>43167</v>
      </c>
      <c r="Q8816">
        <v>0</v>
      </c>
      <c r="R8816" t="s">
        <v>43174</v>
      </c>
      <c r="S8816" t="s">
        <v>43433</v>
      </c>
      <c r="T8816" t="s">
        <v>44716</v>
      </c>
      <c r="U8816" t="s">
        <v>52266</v>
      </c>
      <c r="W8816" t="s">
        <v>42122</v>
      </c>
      <c r="X8816" t="s">
        <v>43175</v>
      </c>
    </row>
    <row r="8817" spans="1:24">
      <c r="A8817">
        <f>HYPERLINK("https://www.philgeps.gov.ph/GEPSNONPILOT/Tender/SplashBidNoticeAbstractUI.aspx?menuIndex=3&amp;refID=7075528&amp;Result=3","7075528")</f>
        <v>0</v>
      </c>
      <c r="B8817" t="s">
        <v>2637</v>
      </c>
      <c r="C8817" t="s">
        <v>11811</v>
      </c>
      <c r="D8817" t="s">
        <v>17453</v>
      </c>
      <c r="E8817" t="s">
        <v>25093</v>
      </c>
      <c r="F8817" t="s">
        <v>30052</v>
      </c>
      <c r="G8817" t="s">
        <v>30062</v>
      </c>
      <c r="H8817" t="s">
        <v>15498</v>
      </c>
      <c r="I8817" t="s">
        <v>30070</v>
      </c>
      <c r="J8817" t="s">
        <v>35566</v>
      </c>
      <c r="K8817" t="s">
        <v>39019</v>
      </c>
      <c r="M8817" t="s">
        <v>42154</v>
      </c>
      <c r="N8817" t="s">
        <v>43166</v>
      </c>
      <c r="O8817" t="s">
        <v>43167</v>
      </c>
      <c r="P8817">
        <v>0</v>
      </c>
      <c r="Q8817">
        <v>5</v>
      </c>
      <c r="R8817" t="s">
        <v>43174</v>
      </c>
      <c r="S8817" t="s">
        <v>43396</v>
      </c>
      <c r="T8817" t="s">
        <v>44773</v>
      </c>
      <c r="U8817" t="s">
        <v>52267</v>
      </c>
      <c r="W8817" t="s">
        <v>42154</v>
      </c>
      <c r="X8817" t="s">
        <v>43175</v>
      </c>
    </row>
    <row r="8818" spans="1:24">
      <c r="A8818">
        <f>HYPERLINK("https://www.philgeps.gov.ph/GEPSNONPILOT/Tender/SplashBidNoticeAbstractUI.aspx?menuIndex=3&amp;refID=7075518&amp;Result=3","7075518")</f>
        <v>0</v>
      </c>
      <c r="B8818" t="s">
        <v>820</v>
      </c>
      <c r="C8818" t="s">
        <v>11812</v>
      </c>
      <c r="E8818" t="s">
        <v>25094</v>
      </c>
      <c r="F8818" t="s">
        <v>30052</v>
      </c>
      <c r="G8818" t="s">
        <v>30059</v>
      </c>
      <c r="H8818" t="s">
        <v>15498</v>
      </c>
      <c r="I8818" t="s">
        <v>3736</v>
      </c>
      <c r="J8818" t="s">
        <v>35567</v>
      </c>
      <c r="K8818" t="s">
        <v>39034</v>
      </c>
      <c r="M8818" t="s">
        <v>40137</v>
      </c>
      <c r="N8818" t="s">
        <v>43166</v>
      </c>
      <c r="O8818" t="s">
        <v>43167</v>
      </c>
      <c r="P8818">
        <v>0</v>
      </c>
      <c r="Q8818">
        <v>1</v>
      </c>
      <c r="R8818" t="s">
        <v>43174</v>
      </c>
      <c r="S8818" t="s">
        <v>43396</v>
      </c>
      <c r="T8818" t="s">
        <v>44737</v>
      </c>
      <c r="U8818" t="s">
        <v>52268</v>
      </c>
      <c r="V8818" t="s">
        <v>57736</v>
      </c>
      <c r="W8818" t="s">
        <v>40137</v>
      </c>
      <c r="X8818" t="s">
        <v>43175</v>
      </c>
    </row>
    <row r="8819" spans="1:24">
      <c r="A8819">
        <f>HYPERLINK("https://www.philgeps.gov.ph/GEPSNONPILOT/Tender/SplashBidNoticeAbstractUI.aspx?menuIndex=3&amp;refID=7075481&amp;Result=3","7075481")</f>
        <v>0</v>
      </c>
      <c r="B8819" t="s">
        <v>2109</v>
      </c>
      <c r="C8819" t="s">
        <v>11813</v>
      </c>
      <c r="D8819" t="s">
        <v>17447</v>
      </c>
      <c r="E8819" t="s">
        <v>25095</v>
      </c>
      <c r="F8819" t="s">
        <v>30052</v>
      </c>
      <c r="G8819" t="s">
        <v>30065</v>
      </c>
      <c r="H8819" t="s">
        <v>30068</v>
      </c>
      <c r="I8819" t="s">
        <v>30068</v>
      </c>
      <c r="J8819" t="s">
        <v>35568</v>
      </c>
      <c r="K8819" t="s">
        <v>39046</v>
      </c>
      <c r="M8819" t="s">
        <v>41571</v>
      </c>
      <c r="N8819" t="s">
        <v>43166</v>
      </c>
      <c r="O8819" t="s">
        <v>43167</v>
      </c>
      <c r="P8819">
        <v>0</v>
      </c>
      <c r="Q8819">
        <v>4</v>
      </c>
      <c r="R8819" t="s">
        <v>43174</v>
      </c>
      <c r="S8819" t="s">
        <v>43396</v>
      </c>
      <c r="T8819" t="s">
        <v>44722</v>
      </c>
      <c r="U8819" t="s">
        <v>52269</v>
      </c>
      <c r="V8819" t="s">
        <v>57753</v>
      </c>
      <c r="W8819" t="s">
        <v>58673</v>
      </c>
      <c r="X8819" t="s">
        <v>43175</v>
      </c>
    </row>
    <row r="8820" spans="1:24">
      <c r="A8820">
        <f>HYPERLINK("https://www.philgeps.gov.ph/GEPSNONPILOT/Tender/SplashBidNoticeAbstractUI.aspx?menuIndex=3&amp;refID=7075486&amp;Result=3","7075486")</f>
        <v>0</v>
      </c>
      <c r="B8820" t="s">
        <v>195</v>
      </c>
      <c r="C8820" t="s">
        <v>11814</v>
      </c>
      <c r="D8820" t="s">
        <v>17479</v>
      </c>
      <c r="E8820" t="s">
        <v>25096</v>
      </c>
      <c r="F8820" t="s">
        <v>30052</v>
      </c>
      <c r="G8820" t="s">
        <v>30058</v>
      </c>
      <c r="H8820" t="s">
        <v>30067</v>
      </c>
      <c r="I8820" t="s">
        <v>3693</v>
      </c>
      <c r="J8820" t="s">
        <v>35569</v>
      </c>
      <c r="K8820" t="s">
        <v>39031</v>
      </c>
      <c r="M8820" t="s">
        <v>39485</v>
      </c>
      <c r="N8820" t="s">
        <v>43166</v>
      </c>
      <c r="O8820" t="s">
        <v>43167</v>
      </c>
      <c r="P8820">
        <v>0</v>
      </c>
      <c r="Q8820">
        <v>40</v>
      </c>
      <c r="R8820" t="s">
        <v>43174</v>
      </c>
      <c r="S8820" t="s">
        <v>43396</v>
      </c>
      <c r="T8820" t="s">
        <v>44716</v>
      </c>
      <c r="U8820" t="s">
        <v>52270</v>
      </c>
      <c r="W8820" t="s">
        <v>39485</v>
      </c>
      <c r="X8820" t="s">
        <v>43175</v>
      </c>
    </row>
    <row r="8821" spans="1:24">
      <c r="A8821">
        <f>HYPERLINK("https://www.philgeps.gov.ph/GEPSNONPILOT/Tender/SplashBidNoticeAbstractUI.aspx?menuIndex=3&amp;refID=7075538&amp;Result=3","7075538")</f>
        <v>0</v>
      </c>
      <c r="B8821" t="s">
        <v>588</v>
      </c>
      <c r="C8821" t="s">
        <v>11815</v>
      </c>
      <c r="D8821" t="s">
        <v>17425</v>
      </c>
      <c r="E8821" t="s">
        <v>24816</v>
      </c>
      <c r="F8821" t="s">
        <v>30052</v>
      </c>
      <c r="G8821" t="s">
        <v>30058</v>
      </c>
      <c r="H8821" t="s">
        <v>15498</v>
      </c>
      <c r="I8821" t="s">
        <v>3736</v>
      </c>
      <c r="J8821" t="s">
        <v>35570</v>
      </c>
      <c r="K8821" t="s">
        <v>39019</v>
      </c>
      <c r="M8821" t="s">
        <v>39890</v>
      </c>
      <c r="N8821" t="s">
        <v>43166</v>
      </c>
      <c r="O8821" t="s">
        <v>43167</v>
      </c>
      <c r="P8821">
        <v>0</v>
      </c>
      <c r="Q8821">
        <v>0</v>
      </c>
      <c r="R8821" t="s">
        <v>43174</v>
      </c>
      <c r="S8821" t="s">
        <v>43396</v>
      </c>
      <c r="T8821" t="s">
        <v>44773</v>
      </c>
      <c r="U8821" t="s">
        <v>52271</v>
      </c>
      <c r="W8821" t="s">
        <v>39890</v>
      </c>
      <c r="X8821" t="s">
        <v>43175</v>
      </c>
    </row>
    <row r="8822" spans="1:24">
      <c r="A8822">
        <f>HYPERLINK("https://www.philgeps.gov.ph/GEPSNONPILOT/Tender/SplashBidNoticeAbstractUI.aspx?menuIndex=3&amp;refID=7075537&amp;Result=3","7075537")</f>
        <v>0</v>
      </c>
      <c r="B8822" t="s">
        <v>2543</v>
      </c>
      <c r="C8822" t="s">
        <v>11816</v>
      </c>
      <c r="D8822" t="s">
        <v>17480</v>
      </c>
      <c r="E8822" t="s">
        <v>25097</v>
      </c>
      <c r="F8822" t="s">
        <v>30052</v>
      </c>
      <c r="G8822" t="s">
        <v>30058</v>
      </c>
      <c r="H8822" t="s">
        <v>30068</v>
      </c>
      <c r="I8822" t="s">
        <v>30068</v>
      </c>
      <c r="J8822" t="s">
        <v>35571</v>
      </c>
      <c r="K8822" t="s">
        <v>39195</v>
      </c>
      <c r="M8822" t="s">
        <v>42050</v>
      </c>
      <c r="N8822" t="s">
        <v>43166</v>
      </c>
      <c r="O8822" t="s">
        <v>43167</v>
      </c>
      <c r="Q8822">
        <v>10</v>
      </c>
      <c r="R8822" t="s">
        <v>43174</v>
      </c>
      <c r="S8822" t="s">
        <v>43434</v>
      </c>
      <c r="T8822" t="s">
        <v>44696</v>
      </c>
      <c r="U8822" t="s">
        <v>52272</v>
      </c>
      <c r="W8822" t="s">
        <v>42050</v>
      </c>
      <c r="X8822" t="s">
        <v>43175</v>
      </c>
    </row>
    <row r="8823" spans="1:24">
      <c r="A8823">
        <f>HYPERLINK("https://www.philgeps.gov.ph/GEPSNONPILOT/Tender/SplashBidNoticeAbstractUI.aspx?menuIndex=3&amp;refID=7075471&amp;Result=3","7075471")</f>
        <v>0</v>
      </c>
      <c r="B8823" t="s">
        <v>2222</v>
      </c>
      <c r="C8823" t="s">
        <v>10076</v>
      </c>
      <c r="D8823" t="s">
        <v>17471</v>
      </c>
      <c r="E8823" t="s">
        <v>25098</v>
      </c>
      <c r="F8823" t="s">
        <v>30052</v>
      </c>
      <c r="G8823" t="s">
        <v>30059</v>
      </c>
      <c r="H8823" t="s">
        <v>15498</v>
      </c>
      <c r="I8823" t="s">
        <v>30169</v>
      </c>
      <c r="J8823" t="s">
        <v>31697</v>
      </c>
      <c r="K8823" t="s">
        <v>39017</v>
      </c>
      <c r="M8823" t="s">
        <v>41694</v>
      </c>
      <c r="N8823" t="s">
        <v>43166</v>
      </c>
      <c r="O8823" t="s">
        <v>43167</v>
      </c>
      <c r="P8823">
        <v>0</v>
      </c>
      <c r="Q8823">
        <v>2</v>
      </c>
      <c r="R8823" t="s">
        <v>43174</v>
      </c>
      <c r="S8823" t="s">
        <v>43396</v>
      </c>
      <c r="T8823" t="s">
        <v>44870</v>
      </c>
      <c r="U8823" t="s">
        <v>52273</v>
      </c>
      <c r="W8823" t="s">
        <v>41694</v>
      </c>
      <c r="X8823" t="s">
        <v>43175</v>
      </c>
    </row>
    <row r="8824" spans="1:24">
      <c r="A8824">
        <f>HYPERLINK("https://www.philgeps.gov.ph/GEPSNONPILOT/Tender/SplashBidNoticeAbstractUI.aspx?menuIndex=3&amp;refID=7075473&amp;Result=3","7075473")</f>
        <v>0</v>
      </c>
      <c r="B8824" t="s">
        <v>2555</v>
      </c>
      <c r="C8824" t="s">
        <v>11817</v>
      </c>
      <c r="D8824" t="s">
        <v>17435</v>
      </c>
      <c r="E8824" t="s">
        <v>25099</v>
      </c>
      <c r="F8824" t="s">
        <v>30052</v>
      </c>
      <c r="G8824" t="s">
        <v>30058</v>
      </c>
      <c r="H8824" t="s">
        <v>30067</v>
      </c>
      <c r="I8824" t="s">
        <v>3693</v>
      </c>
      <c r="J8824" t="s">
        <v>35572</v>
      </c>
      <c r="K8824" t="s">
        <v>39026</v>
      </c>
      <c r="M8824" t="s">
        <v>42062</v>
      </c>
      <c r="N8824" t="s">
        <v>43166</v>
      </c>
      <c r="O8824" t="s">
        <v>43167</v>
      </c>
      <c r="P8824">
        <v>0</v>
      </c>
      <c r="Q8824">
        <v>1</v>
      </c>
      <c r="R8824" t="s">
        <v>43174</v>
      </c>
      <c r="S8824" t="s">
        <v>43396</v>
      </c>
      <c r="T8824" t="s">
        <v>44696</v>
      </c>
      <c r="U8824" t="s">
        <v>52241</v>
      </c>
      <c r="W8824" t="s">
        <v>42062</v>
      </c>
      <c r="X8824" t="s">
        <v>43175</v>
      </c>
    </row>
    <row r="8825" spans="1:24">
      <c r="A8825">
        <f>HYPERLINK("https://www.philgeps.gov.ph/GEPSNONPILOT/Tender/SplashBidNoticeAbstractUI.aspx?menuIndex=3&amp;refID=7075470&amp;Result=3","7075470")</f>
        <v>0</v>
      </c>
      <c r="B8825" t="s">
        <v>2610</v>
      </c>
      <c r="C8825" t="s">
        <v>11818</v>
      </c>
      <c r="D8825" t="s">
        <v>17472</v>
      </c>
      <c r="E8825" t="s">
        <v>25100</v>
      </c>
      <c r="F8825" t="s">
        <v>30052</v>
      </c>
      <c r="G8825" t="s">
        <v>30058</v>
      </c>
      <c r="H8825" t="s">
        <v>30067</v>
      </c>
      <c r="I8825" t="s">
        <v>3693</v>
      </c>
      <c r="J8825" t="s">
        <v>34923</v>
      </c>
      <c r="K8825" t="s">
        <v>39025</v>
      </c>
      <c r="M8825" t="s">
        <v>42122</v>
      </c>
      <c r="N8825" t="s">
        <v>43166</v>
      </c>
      <c r="O8825" t="s">
        <v>43167</v>
      </c>
      <c r="P8825">
        <v>0</v>
      </c>
      <c r="Q8825">
        <v>0</v>
      </c>
      <c r="R8825" t="s">
        <v>43174</v>
      </c>
      <c r="S8825" t="s">
        <v>43396</v>
      </c>
      <c r="T8825" t="s">
        <v>44716</v>
      </c>
      <c r="U8825" t="s">
        <v>52266</v>
      </c>
      <c r="W8825" t="s">
        <v>42122</v>
      </c>
      <c r="X8825" t="s">
        <v>43175</v>
      </c>
    </row>
    <row r="8826" spans="1:24">
      <c r="A8826">
        <f>HYPERLINK("https://www.philgeps.gov.ph/GEPSNONPILOT/Tender/SplashBidNoticeAbstractUI.aspx?menuIndex=3&amp;refID=7075483&amp;Result=3","7075483")</f>
        <v>0</v>
      </c>
      <c r="B8826" t="s">
        <v>1930</v>
      </c>
      <c r="C8826" t="s">
        <v>11819</v>
      </c>
      <c r="D8826" t="s">
        <v>17442</v>
      </c>
      <c r="E8826" t="s">
        <v>25101</v>
      </c>
      <c r="F8826" t="s">
        <v>30052</v>
      </c>
      <c r="G8826" t="s">
        <v>30058</v>
      </c>
      <c r="H8826" t="s">
        <v>15498</v>
      </c>
      <c r="I8826" t="s">
        <v>3693</v>
      </c>
      <c r="J8826" t="s">
        <v>35573</v>
      </c>
      <c r="K8826" t="s">
        <v>39031</v>
      </c>
      <c r="M8826" t="s">
        <v>41363</v>
      </c>
      <c r="N8826" t="s">
        <v>43166</v>
      </c>
      <c r="O8826" t="s">
        <v>43167</v>
      </c>
      <c r="P8826">
        <v>0</v>
      </c>
      <c r="Q8826">
        <v>0</v>
      </c>
      <c r="R8826" t="s">
        <v>43174</v>
      </c>
      <c r="S8826" t="s">
        <v>43396</v>
      </c>
      <c r="T8826" t="s">
        <v>45104</v>
      </c>
      <c r="U8826" t="s">
        <v>49915</v>
      </c>
      <c r="V8826" t="s">
        <v>57443</v>
      </c>
      <c r="W8826" t="s">
        <v>41363</v>
      </c>
      <c r="X8826" t="s">
        <v>43175</v>
      </c>
    </row>
    <row r="8827" spans="1:24">
      <c r="A8827">
        <f>HYPERLINK("https://www.philgeps.gov.ph/GEPSNONPILOT/Tender/SplashBidNoticeAbstractUI.aspx?menuIndex=3&amp;refID=7075466&amp;Result=3","7075466")</f>
        <v>0</v>
      </c>
      <c r="B8827" t="s">
        <v>2636</v>
      </c>
      <c r="C8827" t="s">
        <v>11820</v>
      </c>
      <c r="D8827" t="s">
        <v>17492</v>
      </c>
      <c r="E8827" t="s">
        <v>25102</v>
      </c>
      <c r="F8827" t="s">
        <v>30052</v>
      </c>
      <c r="G8827" t="s">
        <v>30058</v>
      </c>
      <c r="H8827" t="s">
        <v>30067</v>
      </c>
      <c r="I8827" t="s">
        <v>3693</v>
      </c>
      <c r="J8827" t="s">
        <v>35574</v>
      </c>
      <c r="K8827" t="s">
        <v>39025</v>
      </c>
      <c r="M8827" t="s">
        <v>42151</v>
      </c>
      <c r="N8827" t="s">
        <v>43166</v>
      </c>
      <c r="O8827" t="s">
        <v>43167</v>
      </c>
      <c r="P8827">
        <v>0</v>
      </c>
      <c r="Q8827">
        <v>0</v>
      </c>
      <c r="R8827" t="s">
        <v>43174</v>
      </c>
      <c r="S8827" t="s">
        <v>43396</v>
      </c>
      <c r="T8827" t="s">
        <v>44716</v>
      </c>
      <c r="U8827" t="s">
        <v>52274</v>
      </c>
      <c r="W8827" t="s">
        <v>42151</v>
      </c>
      <c r="X8827" t="s">
        <v>43175</v>
      </c>
    </row>
    <row r="8828" spans="1:24">
      <c r="A8828">
        <f>HYPERLINK("https://www.philgeps.gov.ph/GEPSNONPILOT/Tender/SplashBidNoticeAbstractUI.aspx?menuIndex=3&amp;refID=7075433&amp;Result=3","7075433")</f>
        <v>0</v>
      </c>
      <c r="B8828" t="s">
        <v>182</v>
      </c>
      <c r="C8828" t="s">
        <v>11821</v>
      </c>
      <c r="D8828" t="s">
        <v>17420</v>
      </c>
      <c r="E8828" t="s">
        <v>25103</v>
      </c>
      <c r="F8828" t="s">
        <v>30052</v>
      </c>
      <c r="G8828" t="s">
        <v>30058</v>
      </c>
      <c r="H8828" t="s">
        <v>15498</v>
      </c>
      <c r="I8828" t="s">
        <v>30076</v>
      </c>
      <c r="J8828" t="s">
        <v>35575</v>
      </c>
      <c r="K8828" t="s">
        <v>39017</v>
      </c>
      <c r="M8828" t="s">
        <v>39471</v>
      </c>
      <c r="N8828" t="s">
        <v>43166</v>
      </c>
      <c r="O8828" t="s">
        <v>43167</v>
      </c>
      <c r="P8828">
        <v>0</v>
      </c>
      <c r="Q8828">
        <v>3</v>
      </c>
      <c r="R8828" t="s">
        <v>43174</v>
      </c>
      <c r="S8828" t="s">
        <v>43396</v>
      </c>
      <c r="T8828" t="s">
        <v>44856</v>
      </c>
      <c r="U8828" t="s">
        <v>52275</v>
      </c>
      <c r="V8828" t="s">
        <v>57754</v>
      </c>
      <c r="W8828" t="s">
        <v>39471</v>
      </c>
      <c r="X8828" t="s">
        <v>43175</v>
      </c>
    </row>
    <row r="8829" spans="1:24">
      <c r="A8829">
        <f>HYPERLINK("https://www.philgeps.gov.ph/GEPSNONPILOT/Tender/SplashBidNoticeAbstractUI.aspx?menuIndex=3&amp;refID=7075536&amp;Result=3","7075536")</f>
        <v>0</v>
      </c>
      <c r="B8829" t="s">
        <v>2638</v>
      </c>
      <c r="C8829" t="s">
        <v>11822</v>
      </c>
      <c r="D8829" t="s">
        <v>17417</v>
      </c>
      <c r="E8829" t="s">
        <v>17779</v>
      </c>
      <c r="F8829" t="s">
        <v>30052</v>
      </c>
      <c r="G8829" t="s">
        <v>30058</v>
      </c>
      <c r="H8829" t="s">
        <v>30067</v>
      </c>
      <c r="I8829" t="s">
        <v>3693</v>
      </c>
      <c r="J8829" t="s">
        <v>30594</v>
      </c>
      <c r="K8829" t="s">
        <v>39029</v>
      </c>
      <c r="M8829" t="s">
        <v>42155</v>
      </c>
      <c r="N8829" t="s">
        <v>43166</v>
      </c>
      <c r="O8829" t="s">
        <v>43167</v>
      </c>
      <c r="P8829">
        <v>0</v>
      </c>
      <c r="Q8829">
        <v>0</v>
      </c>
      <c r="R8829" t="s">
        <v>43174</v>
      </c>
      <c r="S8829" t="s">
        <v>43396</v>
      </c>
      <c r="T8829" t="s">
        <v>44813</v>
      </c>
      <c r="U8829" t="s">
        <v>52276</v>
      </c>
      <c r="W8829" t="s">
        <v>42155</v>
      </c>
      <c r="X8829" t="s">
        <v>43175</v>
      </c>
    </row>
    <row r="8830" spans="1:24">
      <c r="A8830">
        <f>HYPERLINK("https://www.philgeps.gov.ph/GEPSNONPILOT/Tender/SplashBidNoticeAbstractUI.aspx?menuIndex=3&amp;refID=7075421&amp;Result=3","7075421")</f>
        <v>0</v>
      </c>
      <c r="B8830" t="s">
        <v>1727</v>
      </c>
      <c r="C8830" t="s">
        <v>11823</v>
      </c>
      <c r="D8830" t="s">
        <v>17436</v>
      </c>
      <c r="E8830" t="s">
        <v>25074</v>
      </c>
      <c r="F8830" t="s">
        <v>30052</v>
      </c>
      <c r="G8830" t="s">
        <v>30058</v>
      </c>
      <c r="H8830" t="s">
        <v>15498</v>
      </c>
      <c r="I8830" t="s">
        <v>3736</v>
      </c>
      <c r="J8830" t="s">
        <v>35576</v>
      </c>
      <c r="K8830" t="s">
        <v>39034</v>
      </c>
      <c r="M8830" t="s">
        <v>42148</v>
      </c>
      <c r="N8830" t="s">
        <v>43166</v>
      </c>
      <c r="O8830" t="s">
        <v>43167</v>
      </c>
      <c r="P8830">
        <v>0</v>
      </c>
      <c r="Q8830">
        <v>2</v>
      </c>
      <c r="R8830" t="s">
        <v>43174</v>
      </c>
      <c r="S8830" t="s">
        <v>43396</v>
      </c>
      <c r="T8830" t="s">
        <v>44728</v>
      </c>
      <c r="U8830" t="s">
        <v>52277</v>
      </c>
      <c r="W8830" t="s">
        <v>42148</v>
      </c>
      <c r="X8830" t="s">
        <v>43175</v>
      </c>
    </row>
    <row r="8831" spans="1:24">
      <c r="A8831">
        <f>HYPERLINK("https://www.philgeps.gov.ph/GEPSNONPILOT/Tender/SplashBidNoticeAbstractUI.aspx?menuIndex=3&amp;refID=7075418&amp;Result=3","7075418")</f>
        <v>0</v>
      </c>
      <c r="B8831" t="s">
        <v>820</v>
      </c>
      <c r="C8831" t="s">
        <v>11824</v>
      </c>
      <c r="E8831" t="s">
        <v>25104</v>
      </c>
      <c r="F8831" t="s">
        <v>30052</v>
      </c>
      <c r="G8831" t="s">
        <v>30059</v>
      </c>
      <c r="H8831" t="s">
        <v>15498</v>
      </c>
      <c r="I8831" t="s">
        <v>3736</v>
      </c>
      <c r="J8831" t="s">
        <v>35577</v>
      </c>
      <c r="K8831" t="s">
        <v>39034</v>
      </c>
      <c r="M8831" t="s">
        <v>40137</v>
      </c>
      <c r="N8831" t="s">
        <v>43166</v>
      </c>
      <c r="O8831" t="s">
        <v>43167</v>
      </c>
      <c r="P8831">
        <v>0</v>
      </c>
      <c r="Q8831">
        <v>1</v>
      </c>
      <c r="R8831" t="s">
        <v>43174</v>
      </c>
      <c r="S8831" t="s">
        <v>43396</v>
      </c>
      <c r="T8831" t="s">
        <v>44737</v>
      </c>
      <c r="U8831" t="s">
        <v>52278</v>
      </c>
      <c r="V8831" t="s">
        <v>57736</v>
      </c>
      <c r="W8831" t="s">
        <v>40137</v>
      </c>
      <c r="X8831" t="s">
        <v>43175</v>
      </c>
    </row>
    <row r="8832" spans="1:24">
      <c r="A8832">
        <f>HYPERLINK("https://www.philgeps.gov.ph/GEPSNONPILOT/Tender/SplashBidNoticeAbstractUI.aspx?menuIndex=3&amp;refID=7075410&amp;Result=3","7075410")</f>
        <v>0</v>
      </c>
      <c r="B8832" t="s">
        <v>1505</v>
      </c>
      <c r="C8832" t="s">
        <v>11825</v>
      </c>
      <c r="D8832" t="s">
        <v>17462</v>
      </c>
      <c r="E8832" t="s">
        <v>25105</v>
      </c>
      <c r="F8832" t="s">
        <v>30052</v>
      </c>
      <c r="G8832" t="s">
        <v>30058</v>
      </c>
      <c r="H8832" t="s">
        <v>30067</v>
      </c>
      <c r="I8832" t="s">
        <v>3693</v>
      </c>
      <c r="J8832" t="s">
        <v>30222</v>
      </c>
      <c r="K8832" t="s">
        <v>39046</v>
      </c>
      <c r="M8832" t="s">
        <v>40889</v>
      </c>
      <c r="N8832" t="s">
        <v>43166</v>
      </c>
      <c r="O8832" t="s">
        <v>43167</v>
      </c>
      <c r="P8832">
        <v>0</v>
      </c>
      <c r="Q8832">
        <v>5</v>
      </c>
      <c r="R8832" t="s">
        <v>43174</v>
      </c>
      <c r="S8832" t="s">
        <v>43396</v>
      </c>
      <c r="T8832" t="s">
        <v>44758</v>
      </c>
      <c r="U8832" t="s">
        <v>52149</v>
      </c>
      <c r="W8832" t="s">
        <v>58641</v>
      </c>
      <c r="X8832" t="s">
        <v>43175</v>
      </c>
    </row>
    <row r="8833" spans="1:24">
      <c r="A8833">
        <f>HYPERLINK("https://www.philgeps.gov.ph/GEPSNONPILOT/Tender/SplashBidNoticeAbstractUI.aspx?menuIndex=3&amp;refID=7075314&amp;Result=3","7075314")</f>
        <v>0</v>
      </c>
      <c r="B8833" t="s">
        <v>2609</v>
      </c>
      <c r="C8833" t="s">
        <v>11826</v>
      </c>
      <c r="D8833" t="s">
        <v>17423</v>
      </c>
      <c r="E8833" t="s">
        <v>25106</v>
      </c>
      <c r="F8833" t="s">
        <v>30052</v>
      </c>
      <c r="G8833" t="s">
        <v>30058</v>
      </c>
      <c r="H8833" t="s">
        <v>30067</v>
      </c>
      <c r="I8833" t="s">
        <v>3693</v>
      </c>
      <c r="J8833" t="s">
        <v>30208</v>
      </c>
      <c r="K8833" t="s">
        <v>39019</v>
      </c>
      <c r="M8833" t="s">
        <v>42121</v>
      </c>
      <c r="N8833" t="s">
        <v>43166</v>
      </c>
      <c r="O8833" t="s">
        <v>43167</v>
      </c>
      <c r="P8833">
        <v>0</v>
      </c>
      <c r="Q8833">
        <v>0</v>
      </c>
      <c r="R8833" t="s">
        <v>43174</v>
      </c>
      <c r="S8833" t="s">
        <v>43396</v>
      </c>
      <c r="T8833" t="s">
        <v>44870</v>
      </c>
      <c r="U8833" t="s">
        <v>52279</v>
      </c>
      <c r="W8833" t="s">
        <v>42121</v>
      </c>
      <c r="X8833" t="s">
        <v>43175</v>
      </c>
    </row>
    <row r="8834" spans="1:24">
      <c r="A8834">
        <f>HYPERLINK("https://www.philgeps.gov.ph/GEPSNONPILOT/Tender/SplashBidNoticeAbstractUI.aspx?menuIndex=3&amp;refID=7075476&amp;Result=3","7075476")</f>
        <v>0</v>
      </c>
      <c r="B8834" t="s">
        <v>1727</v>
      </c>
      <c r="C8834" t="s">
        <v>11827</v>
      </c>
      <c r="D8834" t="s">
        <v>17436</v>
      </c>
      <c r="E8834" t="s">
        <v>25107</v>
      </c>
      <c r="F8834" t="s">
        <v>30052</v>
      </c>
      <c r="G8834" t="s">
        <v>30058</v>
      </c>
      <c r="H8834" t="s">
        <v>15498</v>
      </c>
      <c r="I8834" t="s">
        <v>30073</v>
      </c>
      <c r="J8834" t="s">
        <v>35578</v>
      </c>
      <c r="K8834" t="s">
        <v>39034</v>
      </c>
      <c r="M8834" t="s">
        <v>42148</v>
      </c>
      <c r="N8834" t="s">
        <v>43166</v>
      </c>
      <c r="O8834" t="s">
        <v>43167</v>
      </c>
      <c r="P8834">
        <v>0</v>
      </c>
      <c r="Q8834">
        <v>0</v>
      </c>
      <c r="R8834" t="s">
        <v>43174</v>
      </c>
      <c r="S8834" t="s">
        <v>43396</v>
      </c>
      <c r="T8834" t="s">
        <v>44728</v>
      </c>
      <c r="U8834" t="s">
        <v>52280</v>
      </c>
      <c r="W8834" t="s">
        <v>42148</v>
      </c>
      <c r="X8834" t="s">
        <v>43175</v>
      </c>
    </row>
    <row r="8835" spans="1:24">
      <c r="A8835">
        <f>HYPERLINK("https://www.philgeps.gov.ph/GEPSNONPILOT/Tender/SplashBidNoticeAbstractUI.aspx?menuIndex=3&amp;refID=7075276&amp;Result=3","7075276")</f>
        <v>0</v>
      </c>
      <c r="B8835" t="s">
        <v>2622</v>
      </c>
      <c r="C8835" t="s">
        <v>11828</v>
      </c>
      <c r="D8835" t="s">
        <v>17416</v>
      </c>
      <c r="E8835" t="s">
        <v>23837</v>
      </c>
      <c r="F8835" t="s">
        <v>30052</v>
      </c>
      <c r="G8835" t="s">
        <v>30058</v>
      </c>
      <c r="H8835" t="s">
        <v>30067</v>
      </c>
      <c r="I8835" t="s">
        <v>3693</v>
      </c>
      <c r="J8835" t="s">
        <v>35579</v>
      </c>
      <c r="K8835" t="s">
        <v>39153</v>
      </c>
      <c r="M8835" t="s">
        <v>42135</v>
      </c>
      <c r="N8835" t="s">
        <v>43166</v>
      </c>
      <c r="O8835" t="s">
        <v>43167</v>
      </c>
      <c r="P8835">
        <v>0</v>
      </c>
      <c r="Q8835">
        <v>0</v>
      </c>
      <c r="R8835" t="s">
        <v>43174</v>
      </c>
      <c r="S8835" t="s">
        <v>43396</v>
      </c>
      <c r="T8835" t="s">
        <v>44936</v>
      </c>
      <c r="U8835" t="s">
        <v>52281</v>
      </c>
      <c r="W8835" t="s">
        <v>58682</v>
      </c>
      <c r="X8835" t="s">
        <v>43175</v>
      </c>
    </row>
    <row r="8836" spans="1:24">
      <c r="A8836">
        <f>HYPERLINK("https://www.philgeps.gov.ph/GEPSNONPILOT/Tender/SplashBidNoticeAbstractUI.aspx?menuIndex=3&amp;refID=7075275&amp;Result=3","7075275")</f>
        <v>0</v>
      </c>
      <c r="B8836" t="s">
        <v>741</v>
      </c>
      <c r="C8836" t="s">
        <v>11829</v>
      </c>
      <c r="D8836" t="s">
        <v>17425</v>
      </c>
      <c r="E8836" t="s">
        <v>25108</v>
      </c>
      <c r="F8836" t="s">
        <v>30054</v>
      </c>
      <c r="G8836" t="s">
        <v>30059</v>
      </c>
      <c r="H8836" t="s">
        <v>15498</v>
      </c>
      <c r="I8836" t="s">
        <v>30128</v>
      </c>
      <c r="J8836" t="s">
        <v>35580</v>
      </c>
      <c r="K8836" t="s">
        <v>39019</v>
      </c>
      <c r="M8836" t="s">
        <v>40055</v>
      </c>
      <c r="N8836" t="s">
        <v>43166</v>
      </c>
      <c r="O8836" t="s">
        <v>43167</v>
      </c>
      <c r="P8836">
        <v>0</v>
      </c>
      <c r="Q8836">
        <v>2</v>
      </c>
      <c r="R8836" t="s">
        <v>43174</v>
      </c>
      <c r="S8836" t="s">
        <v>43396</v>
      </c>
      <c r="T8836" t="s">
        <v>44856</v>
      </c>
      <c r="U8836" t="s">
        <v>52282</v>
      </c>
      <c r="W8836" t="s">
        <v>40055</v>
      </c>
      <c r="X8836" t="s">
        <v>43175</v>
      </c>
    </row>
    <row r="8837" spans="1:24">
      <c r="A8837">
        <f>HYPERLINK("https://www.philgeps.gov.ph/GEPSNONPILOT/Tender/SplashBidNoticeAbstractUI.aspx?menuIndex=3&amp;refID=7075272&amp;Result=3","7075272")</f>
        <v>0</v>
      </c>
      <c r="B8837" t="s">
        <v>1505</v>
      </c>
      <c r="C8837" t="s">
        <v>11830</v>
      </c>
      <c r="D8837" t="s">
        <v>17462</v>
      </c>
      <c r="E8837" t="s">
        <v>25109</v>
      </c>
      <c r="F8837" t="s">
        <v>30052</v>
      </c>
      <c r="G8837" t="s">
        <v>30058</v>
      </c>
      <c r="H8837" t="s">
        <v>30067</v>
      </c>
      <c r="I8837" t="s">
        <v>3693</v>
      </c>
      <c r="J8837" t="s">
        <v>31564</v>
      </c>
      <c r="K8837" t="s">
        <v>39031</v>
      </c>
      <c r="M8837" t="s">
        <v>40889</v>
      </c>
      <c r="N8837" t="s">
        <v>43166</v>
      </c>
      <c r="O8837" t="s">
        <v>43167</v>
      </c>
      <c r="P8837">
        <v>0</v>
      </c>
      <c r="Q8837">
        <v>5</v>
      </c>
      <c r="R8837" t="s">
        <v>43174</v>
      </c>
      <c r="S8837" t="s">
        <v>43396</v>
      </c>
      <c r="T8837" t="s">
        <v>44758</v>
      </c>
      <c r="U8837" t="s">
        <v>52149</v>
      </c>
      <c r="W8837" t="s">
        <v>58641</v>
      </c>
      <c r="X8837" t="s">
        <v>43175</v>
      </c>
    </row>
    <row r="8838" spans="1:24">
      <c r="A8838">
        <f>HYPERLINK("https://www.philgeps.gov.ph/GEPSNONPILOT/Tender/SplashBidNoticeAbstractUI.aspx?menuIndex=3&amp;refID=7075309&amp;Result=3","7075309")</f>
        <v>0</v>
      </c>
      <c r="B8838" t="s">
        <v>2610</v>
      </c>
      <c r="C8838" t="s">
        <v>11831</v>
      </c>
      <c r="D8838" t="s">
        <v>17472</v>
      </c>
      <c r="E8838" t="s">
        <v>25110</v>
      </c>
      <c r="F8838" t="s">
        <v>30052</v>
      </c>
      <c r="G8838" t="s">
        <v>30058</v>
      </c>
      <c r="H8838" t="s">
        <v>30067</v>
      </c>
      <c r="I8838" t="s">
        <v>3693</v>
      </c>
      <c r="J8838" t="s">
        <v>35581</v>
      </c>
      <c r="K8838" t="s">
        <v>39025</v>
      </c>
      <c r="M8838" t="s">
        <v>42122</v>
      </c>
      <c r="N8838" t="s">
        <v>43166</v>
      </c>
      <c r="O8838" t="s">
        <v>43167</v>
      </c>
      <c r="Q8838">
        <v>0</v>
      </c>
      <c r="R8838" t="s">
        <v>43174</v>
      </c>
      <c r="S8838" t="s">
        <v>43369</v>
      </c>
      <c r="T8838" t="s">
        <v>44716</v>
      </c>
      <c r="U8838" t="s">
        <v>52189</v>
      </c>
      <c r="W8838" t="s">
        <v>42122</v>
      </c>
      <c r="X8838" t="s">
        <v>43175</v>
      </c>
    </row>
    <row r="8839" spans="1:24">
      <c r="A8839">
        <f>HYPERLINK("https://www.philgeps.gov.ph/GEPSNONPILOT/Tender/SplashBidNoticeAbstractUI.aspx?menuIndex=3&amp;refID=7075431&amp;Result=3","7075431")</f>
        <v>0</v>
      </c>
      <c r="B8839" t="s">
        <v>1505</v>
      </c>
      <c r="C8839" t="s">
        <v>11832</v>
      </c>
      <c r="D8839" t="s">
        <v>17462</v>
      </c>
      <c r="E8839" t="s">
        <v>25111</v>
      </c>
      <c r="F8839" t="s">
        <v>30052</v>
      </c>
      <c r="G8839" t="s">
        <v>30058</v>
      </c>
      <c r="H8839" t="s">
        <v>30067</v>
      </c>
      <c r="I8839" t="s">
        <v>3693</v>
      </c>
      <c r="J8839" t="s">
        <v>31772</v>
      </c>
      <c r="K8839" t="s">
        <v>39029</v>
      </c>
      <c r="M8839" t="s">
        <v>40889</v>
      </c>
      <c r="N8839" t="s">
        <v>43166</v>
      </c>
      <c r="O8839" t="s">
        <v>43167</v>
      </c>
      <c r="P8839">
        <v>0</v>
      </c>
      <c r="Q8839">
        <v>5</v>
      </c>
      <c r="R8839" t="s">
        <v>43174</v>
      </c>
      <c r="S8839" t="s">
        <v>43396</v>
      </c>
      <c r="T8839" t="s">
        <v>44758</v>
      </c>
      <c r="U8839" t="s">
        <v>52149</v>
      </c>
      <c r="W8839" t="s">
        <v>58641</v>
      </c>
      <c r="X8839" t="s">
        <v>43175</v>
      </c>
    </row>
    <row r="8840" spans="1:24">
      <c r="A8840">
        <f>HYPERLINK("https://www.philgeps.gov.ph/GEPSNONPILOT/Tender/SplashBidNoticeAbstractUI.aspx?menuIndex=3&amp;refID=7075609&amp;Result=3","7075609")</f>
        <v>0</v>
      </c>
      <c r="B8840" t="s">
        <v>1682</v>
      </c>
      <c r="C8840" t="s">
        <v>11833</v>
      </c>
      <c r="D8840" t="s">
        <v>17492</v>
      </c>
      <c r="E8840" t="s">
        <v>25085</v>
      </c>
      <c r="F8840" t="s">
        <v>30052</v>
      </c>
      <c r="G8840" t="s">
        <v>30059</v>
      </c>
      <c r="H8840" t="s">
        <v>15498</v>
      </c>
      <c r="I8840" t="s">
        <v>30134</v>
      </c>
      <c r="J8840" t="s">
        <v>35582</v>
      </c>
      <c r="K8840" t="s">
        <v>39019</v>
      </c>
      <c r="M8840" t="s">
        <v>41118</v>
      </c>
      <c r="N8840" t="s">
        <v>43166</v>
      </c>
      <c r="O8840" t="s">
        <v>43167</v>
      </c>
      <c r="P8840">
        <v>0</v>
      </c>
      <c r="Q8840">
        <v>1</v>
      </c>
      <c r="R8840" t="s">
        <v>43174</v>
      </c>
      <c r="S8840" t="s">
        <v>43396</v>
      </c>
      <c r="T8840" t="s">
        <v>44870</v>
      </c>
      <c r="U8840" t="s">
        <v>52283</v>
      </c>
      <c r="W8840" t="s">
        <v>41118</v>
      </c>
      <c r="X8840" t="s">
        <v>43175</v>
      </c>
    </row>
    <row r="8841" spans="1:24">
      <c r="A8841">
        <f>HYPERLINK("https://www.philgeps.gov.ph/GEPSNONPILOT/Tender/SplashBidNoticeAbstractUI.aspx?menuIndex=3&amp;refID=7075464&amp;Result=3","7075464")</f>
        <v>0</v>
      </c>
      <c r="B8841" t="s">
        <v>2638</v>
      </c>
      <c r="C8841" t="s">
        <v>11834</v>
      </c>
      <c r="D8841" t="s">
        <v>17417</v>
      </c>
      <c r="E8841" t="s">
        <v>17892</v>
      </c>
      <c r="F8841" t="s">
        <v>30052</v>
      </c>
      <c r="G8841" t="s">
        <v>30058</v>
      </c>
      <c r="H8841" t="s">
        <v>30067</v>
      </c>
      <c r="I8841" t="s">
        <v>3693</v>
      </c>
      <c r="J8841" t="s">
        <v>35583</v>
      </c>
      <c r="K8841" t="s">
        <v>39029</v>
      </c>
      <c r="M8841" t="s">
        <v>42155</v>
      </c>
      <c r="N8841" t="s">
        <v>43166</v>
      </c>
      <c r="O8841" t="s">
        <v>43167</v>
      </c>
      <c r="P8841">
        <v>0</v>
      </c>
      <c r="Q8841">
        <v>0</v>
      </c>
      <c r="R8841" t="s">
        <v>43174</v>
      </c>
      <c r="S8841" t="s">
        <v>43396</v>
      </c>
      <c r="T8841" t="s">
        <v>44813</v>
      </c>
      <c r="U8841" t="s">
        <v>52284</v>
      </c>
      <c r="W8841" t="s">
        <v>42155</v>
      </c>
      <c r="X8841" t="s">
        <v>43175</v>
      </c>
    </row>
    <row r="8842" spans="1:24">
      <c r="A8842">
        <f>HYPERLINK("https://www.philgeps.gov.ph/GEPSNONPILOT/Tender/SplashBidNoticeAbstractUI.aspx?menuIndex=3&amp;refID=7075606&amp;Result=3","7075606")</f>
        <v>0</v>
      </c>
      <c r="B8842" t="s">
        <v>588</v>
      </c>
      <c r="C8842" t="s">
        <v>11835</v>
      </c>
      <c r="D8842" t="s">
        <v>17425</v>
      </c>
      <c r="E8842" t="s">
        <v>19725</v>
      </c>
      <c r="F8842" t="s">
        <v>30052</v>
      </c>
      <c r="G8842" t="s">
        <v>30058</v>
      </c>
      <c r="H8842" t="s">
        <v>15498</v>
      </c>
      <c r="I8842" t="s">
        <v>3736</v>
      </c>
      <c r="J8842" t="s">
        <v>35584</v>
      </c>
      <c r="K8842" t="s">
        <v>39019</v>
      </c>
      <c r="M8842" t="s">
        <v>39890</v>
      </c>
      <c r="N8842" t="s">
        <v>43166</v>
      </c>
      <c r="O8842" t="s">
        <v>43167</v>
      </c>
      <c r="P8842">
        <v>0</v>
      </c>
      <c r="Q8842">
        <v>0</v>
      </c>
      <c r="R8842" t="s">
        <v>43174</v>
      </c>
      <c r="S8842" t="s">
        <v>43396</v>
      </c>
      <c r="T8842" t="s">
        <v>44773</v>
      </c>
      <c r="U8842" t="s">
        <v>52285</v>
      </c>
      <c r="W8842" t="s">
        <v>39890</v>
      </c>
      <c r="X8842" t="s">
        <v>43175</v>
      </c>
    </row>
    <row r="8843" spans="1:24">
      <c r="A8843">
        <f>HYPERLINK("https://www.philgeps.gov.ph/GEPSNONPILOT/Tender/SplashBidNoticeAbstractUI.aspx?menuIndex=3&amp;refID=7075599&amp;Result=3","7075599")</f>
        <v>0</v>
      </c>
      <c r="B8843" t="s">
        <v>2639</v>
      </c>
      <c r="C8843" t="s">
        <v>11836</v>
      </c>
      <c r="D8843" t="s">
        <v>17425</v>
      </c>
      <c r="E8843" t="s">
        <v>25112</v>
      </c>
      <c r="F8843" t="s">
        <v>30052</v>
      </c>
      <c r="G8843" t="s">
        <v>30059</v>
      </c>
      <c r="H8843" t="s">
        <v>15498</v>
      </c>
      <c r="I8843" t="s">
        <v>6304</v>
      </c>
      <c r="J8843" t="s">
        <v>35585</v>
      </c>
      <c r="K8843" t="s">
        <v>39019</v>
      </c>
      <c r="M8843" t="s">
        <v>42156</v>
      </c>
      <c r="N8843" t="s">
        <v>43166</v>
      </c>
      <c r="O8843" t="s">
        <v>43167</v>
      </c>
      <c r="P8843">
        <v>0</v>
      </c>
      <c r="Q8843">
        <v>0</v>
      </c>
      <c r="R8843" t="s">
        <v>43174</v>
      </c>
      <c r="S8843" t="s">
        <v>43396</v>
      </c>
      <c r="T8843" t="s">
        <v>44888</v>
      </c>
      <c r="U8843" t="s">
        <v>52286</v>
      </c>
      <c r="W8843" t="s">
        <v>42156</v>
      </c>
      <c r="X8843" t="s">
        <v>43175</v>
      </c>
    </row>
    <row r="8844" spans="1:24">
      <c r="A8844">
        <f>HYPERLINK("https://www.philgeps.gov.ph/GEPSNONPILOT/Tender/SplashBidNoticeAbstractUI.aspx?menuIndex=3&amp;refID=7075273&amp;Result=3","7075273")</f>
        <v>0</v>
      </c>
      <c r="B8844" t="s">
        <v>2615</v>
      </c>
      <c r="C8844" t="s">
        <v>11837</v>
      </c>
      <c r="D8844" t="s">
        <v>17436</v>
      </c>
      <c r="E8844" t="s">
        <v>25113</v>
      </c>
      <c r="F8844" t="s">
        <v>30052</v>
      </c>
      <c r="G8844" t="s">
        <v>30058</v>
      </c>
      <c r="H8844" t="s">
        <v>15498</v>
      </c>
      <c r="I8844" t="s">
        <v>30073</v>
      </c>
      <c r="J8844" t="s">
        <v>35586</v>
      </c>
      <c r="K8844" t="s">
        <v>39029</v>
      </c>
      <c r="M8844" t="s">
        <v>42127</v>
      </c>
      <c r="N8844" t="s">
        <v>43166</v>
      </c>
      <c r="O8844" t="s">
        <v>43167</v>
      </c>
      <c r="P8844">
        <v>0</v>
      </c>
      <c r="Q8844">
        <v>0</v>
      </c>
      <c r="R8844" t="s">
        <v>43174</v>
      </c>
      <c r="S8844" t="s">
        <v>43396</v>
      </c>
      <c r="T8844" t="s">
        <v>44777</v>
      </c>
      <c r="U8844" t="s">
        <v>52287</v>
      </c>
      <c r="W8844" t="s">
        <v>42127</v>
      </c>
      <c r="X8844" t="s">
        <v>43175</v>
      </c>
    </row>
    <row r="8845" spans="1:24">
      <c r="A8845">
        <f>HYPERLINK("https://www.philgeps.gov.ph/GEPSNONPILOT/Tender/SplashBidNoticeAbstractUI.aspx?menuIndex=3&amp;refID=7075597&amp;Result=3","7075597")</f>
        <v>0</v>
      </c>
      <c r="B8845" t="s">
        <v>636</v>
      </c>
      <c r="C8845" t="s">
        <v>11838</v>
      </c>
      <c r="D8845" t="s">
        <v>17466</v>
      </c>
      <c r="E8845" t="s">
        <v>25114</v>
      </c>
      <c r="F8845" t="s">
        <v>30052</v>
      </c>
      <c r="G8845" t="s">
        <v>30058</v>
      </c>
      <c r="H8845" t="s">
        <v>15498</v>
      </c>
      <c r="I8845" t="s">
        <v>30074</v>
      </c>
      <c r="J8845" t="s">
        <v>35587</v>
      </c>
      <c r="K8845" t="s">
        <v>39025</v>
      </c>
      <c r="M8845" t="s">
        <v>39940</v>
      </c>
      <c r="N8845" t="s">
        <v>43166</v>
      </c>
      <c r="O8845" t="s">
        <v>43167</v>
      </c>
      <c r="P8845">
        <v>0</v>
      </c>
      <c r="Q8845">
        <v>9</v>
      </c>
      <c r="R8845" t="s">
        <v>43174</v>
      </c>
      <c r="S8845" t="s">
        <v>43396</v>
      </c>
      <c r="T8845" t="s">
        <v>45106</v>
      </c>
      <c r="U8845" t="s">
        <v>52288</v>
      </c>
      <c r="W8845" t="s">
        <v>39940</v>
      </c>
      <c r="X8845" t="s">
        <v>43175</v>
      </c>
    </row>
    <row r="8846" spans="1:24">
      <c r="A8846">
        <f>HYPERLINK("https://www.philgeps.gov.ph/GEPSNONPILOT/Tender/SplashBidNoticeAbstractUI.aspx?menuIndex=3&amp;refID=7075608&amp;Result=3","7075608")</f>
        <v>0</v>
      </c>
      <c r="B8846" t="s">
        <v>2634</v>
      </c>
      <c r="C8846" t="s">
        <v>11839</v>
      </c>
      <c r="D8846" t="s">
        <v>17435</v>
      </c>
      <c r="E8846" t="s">
        <v>25115</v>
      </c>
      <c r="F8846" t="s">
        <v>30052</v>
      </c>
      <c r="G8846" t="s">
        <v>30058</v>
      </c>
      <c r="H8846" t="s">
        <v>15498</v>
      </c>
      <c r="I8846" t="s">
        <v>30085</v>
      </c>
      <c r="J8846" t="s">
        <v>30222</v>
      </c>
      <c r="K8846" t="s">
        <v>39029</v>
      </c>
      <c r="M8846" t="s">
        <v>42149</v>
      </c>
      <c r="N8846" t="s">
        <v>43166</v>
      </c>
      <c r="O8846" t="s">
        <v>43167</v>
      </c>
      <c r="P8846">
        <v>0</v>
      </c>
      <c r="Q8846">
        <v>3</v>
      </c>
      <c r="R8846" t="s">
        <v>43174</v>
      </c>
      <c r="S8846" t="s">
        <v>43396</v>
      </c>
      <c r="T8846" t="s">
        <v>44922</v>
      </c>
      <c r="U8846" t="s">
        <v>52289</v>
      </c>
      <c r="W8846" t="s">
        <v>42149</v>
      </c>
      <c r="X8846" t="s">
        <v>43175</v>
      </c>
    </row>
    <row r="8847" spans="1:24">
      <c r="A8847">
        <f>HYPERLINK("https://www.philgeps.gov.ph/GEPSNONPILOT/Tender/SplashBidNoticeAbstractUI.aspx?menuIndex=3&amp;refID=7075593&amp;Result=3","7075593")</f>
        <v>0</v>
      </c>
      <c r="B8847" t="s">
        <v>2640</v>
      </c>
      <c r="C8847" t="s">
        <v>11840</v>
      </c>
      <c r="D8847" t="s">
        <v>17488</v>
      </c>
      <c r="E8847" t="s">
        <v>25116</v>
      </c>
      <c r="F8847" t="s">
        <v>30052</v>
      </c>
      <c r="G8847" t="s">
        <v>30058</v>
      </c>
      <c r="H8847" t="s">
        <v>15498</v>
      </c>
      <c r="I8847" t="s">
        <v>30074</v>
      </c>
      <c r="J8847" t="s">
        <v>30247</v>
      </c>
      <c r="K8847" t="s">
        <v>39031</v>
      </c>
      <c r="M8847" t="s">
        <v>42157</v>
      </c>
      <c r="N8847" t="s">
        <v>43166</v>
      </c>
      <c r="O8847" t="s">
        <v>43167</v>
      </c>
      <c r="P8847">
        <v>0</v>
      </c>
      <c r="Q8847">
        <v>4</v>
      </c>
      <c r="R8847" t="s">
        <v>43174</v>
      </c>
      <c r="S8847" t="s">
        <v>43396</v>
      </c>
      <c r="T8847" t="s">
        <v>44815</v>
      </c>
      <c r="U8847" t="s">
        <v>52290</v>
      </c>
      <c r="V8847" t="s">
        <v>57755</v>
      </c>
      <c r="W8847" t="s">
        <v>42157</v>
      </c>
      <c r="X8847" t="s">
        <v>43175</v>
      </c>
    </row>
    <row r="8848" spans="1:24">
      <c r="A8848">
        <f>HYPERLINK("https://www.philgeps.gov.ph/GEPSNONPILOT/Tender/SplashBidNoticeAbstractUI.aspx?menuIndex=3&amp;refID=7075582&amp;Result=3","7075582")</f>
        <v>0</v>
      </c>
      <c r="B8848" t="s">
        <v>2126</v>
      </c>
      <c r="C8848" t="s">
        <v>11841</v>
      </c>
      <c r="D8848" t="s">
        <v>17432</v>
      </c>
      <c r="E8848" t="s">
        <v>25117</v>
      </c>
      <c r="F8848" t="s">
        <v>30052</v>
      </c>
      <c r="G8848" t="s">
        <v>30058</v>
      </c>
      <c r="H8848" t="s">
        <v>30067</v>
      </c>
      <c r="I8848" t="s">
        <v>3693</v>
      </c>
      <c r="J8848" t="s">
        <v>35588</v>
      </c>
      <c r="K8848" t="s">
        <v>39026</v>
      </c>
      <c r="M8848" t="s">
        <v>41590</v>
      </c>
      <c r="N8848" t="s">
        <v>43166</v>
      </c>
      <c r="O8848" t="s">
        <v>43167</v>
      </c>
      <c r="P8848">
        <v>0</v>
      </c>
      <c r="Q8848">
        <v>1</v>
      </c>
      <c r="R8848" t="s">
        <v>43174</v>
      </c>
      <c r="S8848" t="s">
        <v>43396</v>
      </c>
      <c r="T8848" t="s">
        <v>44991</v>
      </c>
      <c r="U8848" t="s">
        <v>52291</v>
      </c>
      <c r="V8848" t="s">
        <v>57526</v>
      </c>
      <c r="W8848" t="s">
        <v>41590</v>
      </c>
      <c r="X8848" t="s">
        <v>43175</v>
      </c>
    </row>
    <row r="8849" spans="1:24">
      <c r="A8849">
        <f>HYPERLINK("https://www.philgeps.gov.ph/GEPSNONPILOT/Tender/SplashBidNoticeAbstractUI.aspx?menuIndex=3&amp;refID=7075423&amp;Result=3","7075423")</f>
        <v>0</v>
      </c>
      <c r="B8849" t="s">
        <v>658</v>
      </c>
      <c r="C8849" t="s">
        <v>11842</v>
      </c>
      <c r="D8849" t="s">
        <v>17434</v>
      </c>
      <c r="E8849" t="s">
        <v>25118</v>
      </c>
      <c r="F8849" t="s">
        <v>30052</v>
      </c>
      <c r="G8849" t="s">
        <v>30058</v>
      </c>
      <c r="H8849" t="s">
        <v>15498</v>
      </c>
      <c r="I8849" t="s">
        <v>30079</v>
      </c>
      <c r="J8849" t="s">
        <v>35589</v>
      </c>
      <c r="K8849" t="s">
        <v>39029</v>
      </c>
      <c r="M8849" t="s">
        <v>40517</v>
      </c>
      <c r="N8849" t="s">
        <v>43166</v>
      </c>
      <c r="O8849" t="s">
        <v>43167</v>
      </c>
      <c r="P8849">
        <v>0</v>
      </c>
      <c r="Q8849">
        <v>1</v>
      </c>
      <c r="R8849" t="s">
        <v>43174</v>
      </c>
      <c r="S8849" t="s">
        <v>43396</v>
      </c>
      <c r="T8849" t="s">
        <v>44750</v>
      </c>
      <c r="U8849" t="s">
        <v>52075</v>
      </c>
      <c r="W8849" t="s">
        <v>40517</v>
      </c>
      <c r="X8849" t="s">
        <v>43175</v>
      </c>
    </row>
    <row r="8850" spans="1:24">
      <c r="A8850">
        <f>HYPERLINK("https://www.philgeps.gov.ph/GEPSNONPILOT/Tender/SplashBidNoticeAbstractUI.aspx?menuIndex=3&amp;refID=7075614&amp;Result=3","7075614")</f>
        <v>0</v>
      </c>
      <c r="B8850" t="s">
        <v>1003</v>
      </c>
      <c r="C8850" t="s">
        <v>11843</v>
      </c>
      <c r="D8850" t="s">
        <v>17437</v>
      </c>
      <c r="E8850" t="s">
        <v>25119</v>
      </c>
      <c r="F8850" t="s">
        <v>30052</v>
      </c>
      <c r="G8850" t="s">
        <v>30058</v>
      </c>
      <c r="H8850" t="s">
        <v>30067</v>
      </c>
      <c r="I8850" t="s">
        <v>3693</v>
      </c>
      <c r="J8850" t="s">
        <v>35590</v>
      </c>
      <c r="K8850" t="s">
        <v>39023</v>
      </c>
      <c r="M8850" t="s">
        <v>40332</v>
      </c>
      <c r="N8850" t="s">
        <v>43166</v>
      </c>
      <c r="O8850" t="s">
        <v>43167</v>
      </c>
      <c r="P8850">
        <v>0</v>
      </c>
      <c r="Q8850">
        <v>1</v>
      </c>
      <c r="R8850" t="s">
        <v>43174</v>
      </c>
      <c r="S8850" t="s">
        <v>43396</v>
      </c>
      <c r="T8850" t="s">
        <v>44815</v>
      </c>
      <c r="U8850" t="s">
        <v>52292</v>
      </c>
      <c r="W8850" t="s">
        <v>40332</v>
      </c>
      <c r="X8850" t="s">
        <v>43175</v>
      </c>
    </row>
    <row r="8851" spans="1:24">
      <c r="A8851">
        <f>HYPERLINK("https://www.philgeps.gov.ph/GEPSNONPILOT/Tender/SplashBidNoticeAbstractUI.aspx?menuIndex=3&amp;refID=7075595&amp;Result=3","7075595")</f>
        <v>0</v>
      </c>
      <c r="B8851" t="s">
        <v>2318</v>
      </c>
      <c r="C8851" t="s">
        <v>11844</v>
      </c>
      <c r="D8851" t="s">
        <v>17473</v>
      </c>
      <c r="E8851" t="s">
        <v>25120</v>
      </c>
      <c r="F8851" t="s">
        <v>30052</v>
      </c>
      <c r="G8851" t="s">
        <v>30059</v>
      </c>
      <c r="H8851" t="s">
        <v>30067</v>
      </c>
      <c r="I8851" t="s">
        <v>3693</v>
      </c>
      <c r="J8851" t="s">
        <v>30506</v>
      </c>
      <c r="K8851" t="s">
        <v>39071</v>
      </c>
      <c r="M8851" t="s">
        <v>41804</v>
      </c>
      <c r="N8851" t="s">
        <v>43166</v>
      </c>
      <c r="O8851" t="s">
        <v>43167</v>
      </c>
      <c r="P8851">
        <v>0</v>
      </c>
      <c r="Q8851">
        <v>0</v>
      </c>
      <c r="R8851" t="s">
        <v>43174</v>
      </c>
      <c r="S8851" t="s">
        <v>43396</v>
      </c>
      <c r="T8851" t="s">
        <v>44806</v>
      </c>
      <c r="U8851" t="s">
        <v>52293</v>
      </c>
      <c r="W8851" t="s">
        <v>41804</v>
      </c>
      <c r="X8851" t="s">
        <v>43175</v>
      </c>
    </row>
    <row r="8852" spans="1:24">
      <c r="A8852">
        <f>HYPERLINK("https://www.philgeps.gov.ph/GEPSNONPILOT/Tender/SplashBidNoticeAbstractUI.aspx?menuIndex=3&amp;refID=7075665&amp;Result=3","7075665")</f>
        <v>0</v>
      </c>
      <c r="B8852" t="s">
        <v>941</v>
      </c>
      <c r="C8852" t="s">
        <v>11845</v>
      </c>
      <c r="D8852" t="s">
        <v>17415</v>
      </c>
      <c r="E8852" t="s">
        <v>25121</v>
      </c>
      <c r="F8852" t="s">
        <v>30052</v>
      </c>
      <c r="G8852" t="s">
        <v>30058</v>
      </c>
      <c r="H8852" t="s">
        <v>15498</v>
      </c>
      <c r="I8852" t="s">
        <v>30074</v>
      </c>
      <c r="J8852" t="s">
        <v>35591</v>
      </c>
      <c r="K8852" t="s">
        <v>39025</v>
      </c>
      <c r="M8852" t="s">
        <v>42158</v>
      </c>
      <c r="N8852" t="s">
        <v>43166</v>
      </c>
      <c r="O8852" t="s">
        <v>43167</v>
      </c>
      <c r="Q8852">
        <v>3</v>
      </c>
      <c r="R8852" t="s">
        <v>43174</v>
      </c>
      <c r="S8852" t="s">
        <v>43435</v>
      </c>
      <c r="T8852" t="s">
        <v>45093</v>
      </c>
      <c r="U8852" t="s">
        <v>52294</v>
      </c>
      <c r="W8852" t="s">
        <v>42158</v>
      </c>
      <c r="X8852" t="s">
        <v>43175</v>
      </c>
    </row>
    <row r="8853" spans="1:24">
      <c r="A8853">
        <f>HYPERLINK("https://www.philgeps.gov.ph/GEPSNONPILOT/Tender/SplashBidNoticeAbstractUI.aspx?menuIndex=3&amp;refID=7075656&amp;Result=3","7075656")</f>
        <v>0</v>
      </c>
      <c r="B8853" t="s">
        <v>2318</v>
      </c>
      <c r="C8853" t="s">
        <v>11846</v>
      </c>
      <c r="D8853" t="s">
        <v>17473</v>
      </c>
      <c r="E8853" t="s">
        <v>25122</v>
      </c>
      <c r="F8853" t="s">
        <v>30052</v>
      </c>
      <c r="G8853" t="s">
        <v>30059</v>
      </c>
      <c r="H8853" t="s">
        <v>15498</v>
      </c>
      <c r="I8853" t="s">
        <v>3736</v>
      </c>
      <c r="J8853" t="s">
        <v>35592</v>
      </c>
      <c r="K8853" t="s">
        <v>39029</v>
      </c>
      <c r="M8853" t="s">
        <v>41804</v>
      </c>
      <c r="N8853" t="s">
        <v>43166</v>
      </c>
      <c r="O8853" t="s">
        <v>43167</v>
      </c>
      <c r="P8853">
        <v>0</v>
      </c>
      <c r="Q8853">
        <v>0</v>
      </c>
      <c r="R8853" t="s">
        <v>43174</v>
      </c>
      <c r="S8853" t="s">
        <v>43396</v>
      </c>
      <c r="T8853" t="s">
        <v>44806</v>
      </c>
      <c r="U8853" t="s">
        <v>52295</v>
      </c>
      <c r="W8853" t="s">
        <v>41804</v>
      </c>
      <c r="X8853" t="s">
        <v>43175</v>
      </c>
    </row>
    <row r="8854" spans="1:24">
      <c r="A8854">
        <f>HYPERLINK("https://www.philgeps.gov.ph/GEPSNONPILOT/Tender/SplashBidNoticeAbstractUI.aspx?menuIndex=3&amp;refID=7075651&amp;Result=3","7075651")</f>
        <v>0</v>
      </c>
      <c r="B8854" t="s">
        <v>1003</v>
      </c>
      <c r="C8854" t="s">
        <v>11847</v>
      </c>
      <c r="D8854" t="s">
        <v>17437</v>
      </c>
      <c r="E8854" t="s">
        <v>25123</v>
      </c>
      <c r="F8854" t="s">
        <v>30052</v>
      </c>
      <c r="G8854" t="s">
        <v>30058</v>
      </c>
      <c r="H8854" t="s">
        <v>30067</v>
      </c>
      <c r="I8854" t="s">
        <v>3693</v>
      </c>
      <c r="J8854" t="s">
        <v>35593</v>
      </c>
      <c r="K8854" t="s">
        <v>39026</v>
      </c>
      <c r="M8854" t="s">
        <v>40332</v>
      </c>
      <c r="N8854" t="s">
        <v>43166</v>
      </c>
      <c r="O8854" t="s">
        <v>43167</v>
      </c>
      <c r="P8854">
        <v>0</v>
      </c>
      <c r="Q8854">
        <v>2</v>
      </c>
      <c r="R8854" t="s">
        <v>43174</v>
      </c>
      <c r="S8854" t="s">
        <v>43396</v>
      </c>
      <c r="T8854" t="s">
        <v>44815</v>
      </c>
      <c r="U8854" t="s">
        <v>52296</v>
      </c>
      <c r="W8854" t="s">
        <v>40332</v>
      </c>
      <c r="X8854" t="s">
        <v>43175</v>
      </c>
    </row>
    <row r="8855" spans="1:24">
      <c r="A8855">
        <f>HYPERLINK("https://www.philgeps.gov.ph/GEPSNONPILOT/Tender/SplashBidNoticeAbstractUI.aspx?menuIndex=3&amp;refID=7075581&amp;Result=3","7075581")</f>
        <v>0</v>
      </c>
      <c r="B8855" t="s">
        <v>1682</v>
      </c>
      <c r="C8855" t="s">
        <v>11848</v>
      </c>
      <c r="D8855" t="s">
        <v>17489</v>
      </c>
      <c r="E8855" t="s">
        <v>25085</v>
      </c>
      <c r="F8855" t="s">
        <v>30052</v>
      </c>
      <c r="G8855" t="s">
        <v>30059</v>
      </c>
      <c r="H8855" t="s">
        <v>15498</v>
      </c>
      <c r="I8855" t="s">
        <v>30134</v>
      </c>
      <c r="J8855" t="s">
        <v>35594</v>
      </c>
      <c r="K8855" t="s">
        <v>39019</v>
      </c>
      <c r="M8855" t="s">
        <v>41118</v>
      </c>
      <c r="N8855" t="s">
        <v>43166</v>
      </c>
      <c r="O8855" t="s">
        <v>43167</v>
      </c>
      <c r="P8855">
        <v>0</v>
      </c>
      <c r="Q8855">
        <v>1</v>
      </c>
      <c r="R8855" t="s">
        <v>43174</v>
      </c>
      <c r="S8855" t="s">
        <v>43396</v>
      </c>
      <c r="T8855" t="s">
        <v>44870</v>
      </c>
      <c r="U8855" t="s">
        <v>52297</v>
      </c>
      <c r="W8855" t="s">
        <v>41118</v>
      </c>
      <c r="X8855" t="s">
        <v>43175</v>
      </c>
    </row>
    <row r="8856" spans="1:24">
      <c r="A8856">
        <f>HYPERLINK("https://www.philgeps.gov.ph/GEPSNONPILOT/Tender/SplashBidNoticeAbstractUI.aspx?menuIndex=3&amp;refID=7075424&amp;Result=3","7075424")</f>
        <v>0</v>
      </c>
      <c r="B8856" t="s">
        <v>1505</v>
      </c>
      <c r="C8856" t="s">
        <v>11849</v>
      </c>
      <c r="D8856" t="s">
        <v>17462</v>
      </c>
      <c r="E8856" t="s">
        <v>25124</v>
      </c>
      <c r="F8856" t="s">
        <v>30052</v>
      </c>
      <c r="G8856" t="s">
        <v>30058</v>
      </c>
      <c r="H8856" t="s">
        <v>30067</v>
      </c>
      <c r="I8856" t="s">
        <v>3693</v>
      </c>
      <c r="J8856" t="s">
        <v>33968</v>
      </c>
      <c r="K8856" t="s">
        <v>39029</v>
      </c>
      <c r="M8856" t="s">
        <v>40889</v>
      </c>
      <c r="N8856" t="s">
        <v>43166</v>
      </c>
      <c r="O8856" t="s">
        <v>43167</v>
      </c>
      <c r="P8856">
        <v>0</v>
      </c>
      <c r="Q8856">
        <v>5</v>
      </c>
      <c r="R8856" t="s">
        <v>43174</v>
      </c>
      <c r="S8856" t="s">
        <v>43396</v>
      </c>
      <c r="T8856" t="s">
        <v>44758</v>
      </c>
      <c r="U8856" t="s">
        <v>52149</v>
      </c>
      <c r="W8856" t="s">
        <v>58641</v>
      </c>
      <c r="X8856" t="s">
        <v>43175</v>
      </c>
    </row>
    <row r="8857" spans="1:24">
      <c r="A8857">
        <f>HYPERLINK("https://www.philgeps.gov.ph/GEPSNONPILOT/Tender/SplashBidNoticeAbstractUI.aspx?menuIndex=3&amp;refID=7075650&amp;Result=3","7075650")</f>
        <v>0</v>
      </c>
      <c r="B8857" t="s">
        <v>1486</v>
      </c>
      <c r="C8857" t="s">
        <v>11850</v>
      </c>
      <c r="D8857" t="s">
        <v>17448</v>
      </c>
      <c r="E8857" t="s">
        <v>25125</v>
      </c>
      <c r="F8857" t="s">
        <v>30052</v>
      </c>
      <c r="G8857" t="s">
        <v>30058</v>
      </c>
      <c r="H8857" t="s">
        <v>30067</v>
      </c>
      <c r="I8857" t="s">
        <v>3693</v>
      </c>
      <c r="J8857" t="s">
        <v>34927</v>
      </c>
      <c r="K8857" t="s">
        <v>39211</v>
      </c>
      <c r="M8857" t="s">
        <v>40870</v>
      </c>
      <c r="N8857" t="s">
        <v>43166</v>
      </c>
      <c r="O8857" t="s">
        <v>43167</v>
      </c>
      <c r="P8857">
        <v>0</v>
      </c>
      <c r="Q8857">
        <v>10</v>
      </c>
      <c r="R8857" t="s">
        <v>43174</v>
      </c>
      <c r="S8857" t="s">
        <v>43396</v>
      </c>
      <c r="T8857" t="s">
        <v>44873</v>
      </c>
      <c r="U8857" t="s">
        <v>52298</v>
      </c>
      <c r="W8857" t="s">
        <v>40870</v>
      </c>
      <c r="X8857" t="s">
        <v>43175</v>
      </c>
    </row>
    <row r="8858" spans="1:24">
      <c r="A8858">
        <f>HYPERLINK("https://www.philgeps.gov.ph/GEPSNONPILOT/Tender/SplashBidNoticeAbstractUI.aspx?menuIndex=3&amp;refID=7075647&amp;Result=3","7075647")</f>
        <v>0</v>
      </c>
      <c r="B8858" t="s">
        <v>851</v>
      </c>
      <c r="C8858" t="s">
        <v>11851</v>
      </c>
      <c r="D8858" t="s">
        <v>17416</v>
      </c>
      <c r="E8858" t="s">
        <v>23242</v>
      </c>
      <c r="F8858" t="s">
        <v>30052</v>
      </c>
      <c r="G8858" t="s">
        <v>30059</v>
      </c>
      <c r="H8858" t="s">
        <v>15498</v>
      </c>
      <c r="I8858" t="s">
        <v>4650</v>
      </c>
      <c r="J8858" t="s">
        <v>30248</v>
      </c>
      <c r="K8858" t="s">
        <v>39053</v>
      </c>
      <c r="L8858" t="s">
        <v>851</v>
      </c>
      <c r="M8858" t="s">
        <v>40168</v>
      </c>
      <c r="N8858" t="s">
        <v>43166</v>
      </c>
      <c r="O8858" t="s">
        <v>43167</v>
      </c>
      <c r="P8858">
        <v>0</v>
      </c>
      <c r="Q8858">
        <v>1</v>
      </c>
      <c r="R8858" t="s">
        <v>43174</v>
      </c>
      <c r="S8858" t="s">
        <v>43396</v>
      </c>
      <c r="T8858" t="s">
        <v>44862</v>
      </c>
      <c r="U8858" t="s">
        <v>52299</v>
      </c>
      <c r="W8858" t="s">
        <v>40168</v>
      </c>
      <c r="X8858" t="s">
        <v>43175</v>
      </c>
    </row>
    <row r="8859" spans="1:24">
      <c r="A8859">
        <f>HYPERLINK("https://www.philgeps.gov.ph/GEPSNONPILOT/Tender/SplashBidNoticeAbstractUI.aspx?menuIndex=3&amp;refID=7075646&amp;Result=3","7075646")</f>
        <v>0</v>
      </c>
      <c r="B8859" t="s">
        <v>2318</v>
      </c>
      <c r="C8859" t="s">
        <v>11852</v>
      </c>
      <c r="D8859" t="s">
        <v>17473</v>
      </c>
      <c r="E8859" t="s">
        <v>25126</v>
      </c>
      <c r="F8859" t="s">
        <v>30052</v>
      </c>
      <c r="G8859" t="s">
        <v>30059</v>
      </c>
      <c r="H8859" t="s">
        <v>15498</v>
      </c>
      <c r="I8859" t="s">
        <v>3693</v>
      </c>
      <c r="J8859" t="s">
        <v>35595</v>
      </c>
      <c r="K8859" t="s">
        <v>39029</v>
      </c>
      <c r="M8859" t="s">
        <v>41804</v>
      </c>
      <c r="N8859" t="s">
        <v>43166</v>
      </c>
      <c r="O8859" t="s">
        <v>43167</v>
      </c>
      <c r="P8859">
        <v>0</v>
      </c>
      <c r="Q8859">
        <v>0</v>
      </c>
      <c r="R8859" t="s">
        <v>43174</v>
      </c>
      <c r="S8859" t="s">
        <v>43396</v>
      </c>
      <c r="T8859" t="s">
        <v>44806</v>
      </c>
      <c r="U8859" t="s">
        <v>52300</v>
      </c>
      <c r="W8859" t="s">
        <v>41804</v>
      </c>
      <c r="X8859" t="s">
        <v>43175</v>
      </c>
    </row>
    <row r="8860" spans="1:24">
      <c r="A8860">
        <f>HYPERLINK("https://www.philgeps.gov.ph/GEPSNONPILOT/Tender/SplashBidNoticeAbstractUI.aspx?menuIndex=3&amp;refID=7075584&amp;Result=3","7075584")</f>
        <v>0</v>
      </c>
      <c r="B8860" t="s">
        <v>588</v>
      </c>
      <c r="C8860" t="s">
        <v>11853</v>
      </c>
      <c r="D8860" t="s">
        <v>17425</v>
      </c>
      <c r="E8860" t="s">
        <v>19655</v>
      </c>
      <c r="F8860" t="s">
        <v>30052</v>
      </c>
      <c r="G8860" t="s">
        <v>30058</v>
      </c>
      <c r="H8860" t="s">
        <v>15498</v>
      </c>
      <c r="I8860" t="s">
        <v>3736</v>
      </c>
      <c r="J8860" t="s">
        <v>35596</v>
      </c>
      <c r="K8860" t="s">
        <v>39019</v>
      </c>
      <c r="M8860" t="s">
        <v>39890</v>
      </c>
      <c r="N8860" t="s">
        <v>43166</v>
      </c>
      <c r="O8860" t="s">
        <v>43167</v>
      </c>
      <c r="P8860">
        <v>0</v>
      </c>
      <c r="Q8860">
        <v>0</v>
      </c>
      <c r="R8860" t="s">
        <v>43174</v>
      </c>
      <c r="S8860" t="s">
        <v>43396</v>
      </c>
      <c r="T8860" t="s">
        <v>44773</v>
      </c>
      <c r="U8860" t="s">
        <v>52301</v>
      </c>
      <c r="W8860" t="s">
        <v>39890</v>
      </c>
      <c r="X8860" t="s">
        <v>43175</v>
      </c>
    </row>
    <row r="8861" spans="1:24">
      <c r="A8861">
        <f>HYPERLINK("https://www.philgeps.gov.ph/GEPSNONPILOT/Tender/SplashBidNoticeAbstractUI.aspx?menuIndex=3&amp;refID=7075636&amp;Result=3","7075636")</f>
        <v>0</v>
      </c>
      <c r="B8861" t="s">
        <v>2641</v>
      </c>
      <c r="C8861" t="s">
        <v>11854</v>
      </c>
      <c r="D8861" t="s">
        <v>17441</v>
      </c>
      <c r="E8861" t="s">
        <v>25127</v>
      </c>
      <c r="F8861" t="s">
        <v>30052</v>
      </c>
      <c r="G8861" t="s">
        <v>30060</v>
      </c>
      <c r="H8861" t="s">
        <v>30067</v>
      </c>
      <c r="I8861" t="s">
        <v>3693</v>
      </c>
      <c r="J8861" t="s">
        <v>30218</v>
      </c>
      <c r="K8861" t="s">
        <v>39025</v>
      </c>
      <c r="M8861" t="s">
        <v>42159</v>
      </c>
      <c r="N8861" t="s">
        <v>43166</v>
      </c>
      <c r="O8861" t="s">
        <v>43167</v>
      </c>
      <c r="P8861">
        <v>0</v>
      </c>
      <c r="Q8861">
        <v>2</v>
      </c>
      <c r="R8861" t="s">
        <v>43174</v>
      </c>
      <c r="S8861" t="s">
        <v>43396</v>
      </c>
      <c r="T8861" t="s">
        <v>44837</v>
      </c>
      <c r="U8861" t="s">
        <v>52302</v>
      </c>
      <c r="W8861" t="s">
        <v>42159</v>
      </c>
      <c r="X8861" t="s">
        <v>43175</v>
      </c>
    </row>
    <row r="8862" spans="1:24">
      <c r="A8862">
        <f>HYPERLINK("https://www.philgeps.gov.ph/GEPSNONPILOT/Tender/SplashBidNoticeAbstractUI.aspx?menuIndex=3&amp;refID=7075653&amp;Result=3","7075653")</f>
        <v>0</v>
      </c>
      <c r="B8862" t="s">
        <v>2642</v>
      </c>
      <c r="C8862" t="s">
        <v>8263</v>
      </c>
      <c r="D8862" t="s">
        <v>17441</v>
      </c>
      <c r="E8862" t="s">
        <v>25128</v>
      </c>
      <c r="F8862" t="s">
        <v>30052</v>
      </c>
      <c r="G8862" t="s">
        <v>30060</v>
      </c>
      <c r="H8862" t="s">
        <v>30067</v>
      </c>
      <c r="I8862" t="s">
        <v>3693</v>
      </c>
      <c r="J8862" t="s">
        <v>35597</v>
      </c>
      <c r="K8862" t="s">
        <v>39025</v>
      </c>
      <c r="M8862" t="s">
        <v>42160</v>
      </c>
      <c r="N8862" t="s">
        <v>43166</v>
      </c>
      <c r="O8862" t="s">
        <v>43167</v>
      </c>
      <c r="P8862">
        <v>0</v>
      </c>
      <c r="Q8862">
        <v>2</v>
      </c>
      <c r="R8862" t="s">
        <v>43174</v>
      </c>
      <c r="S8862" t="s">
        <v>43396</v>
      </c>
      <c r="T8862" t="s">
        <v>44837</v>
      </c>
      <c r="U8862" t="s">
        <v>52303</v>
      </c>
      <c r="W8862" t="s">
        <v>42160</v>
      </c>
      <c r="X8862" t="s">
        <v>43175</v>
      </c>
    </row>
    <row r="8863" spans="1:24">
      <c r="A8863">
        <f>HYPERLINK("https://www.philgeps.gov.ph/GEPSNONPILOT/Tender/SplashBidNoticeAbstractUI.aspx?menuIndex=3&amp;refID=7075633&amp;Result=3","7075633")</f>
        <v>0</v>
      </c>
      <c r="B8863" t="s">
        <v>2318</v>
      </c>
      <c r="C8863" t="s">
        <v>11855</v>
      </c>
      <c r="D8863" t="s">
        <v>17473</v>
      </c>
      <c r="E8863" t="s">
        <v>25129</v>
      </c>
      <c r="F8863" t="s">
        <v>30052</v>
      </c>
      <c r="G8863" t="s">
        <v>30059</v>
      </c>
      <c r="H8863" t="s">
        <v>15498</v>
      </c>
      <c r="I8863" t="s">
        <v>3736</v>
      </c>
      <c r="J8863" t="s">
        <v>35598</v>
      </c>
      <c r="K8863" t="s">
        <v>39029</v>
      </c>
      <c r="M8863" t="s">
        <v>41804</v>
      </c>
      <c r="N8863" t="s">
        <v>43166</v>
      </c>
      <c r="O8863" t="s">
        <v>43167</v>
      </c>
      <c r="P8863">
        <v>0</v>
      </c>
      <c r="Q8863">
        <v>0</v>
      </c>
      <c r="R8863" t="s">
        <v>43174</v>
      </c>
      <c r="S8863" t="s">
        <v>43396</v>
      </c>
      <c r="T8863" t="s">
        <v>44806</v>
      </c>
      <c r="U8863" t="s">
        <v>52304</v>
      </c>
      <c r="W8863" t="s">
        <v>41804</v>
      </c>
      <c r="X8863" t="s">
        <v>43175</v>
      </c>
    </row>
    <row r="8864" spans="1:24">
      <c r="A8864">
        <f>HYPERLINK("https://www.philgeps.gov.ph/GEPSNONPILOT/Tender/SplashBidNoticeAbstractUI.aspx?menuIndex=3&amp;refID=7075632&amp;Result=3","7075632")</f>
        <v>0</v>
      </c>
      <c r="B8864" t="s">
        <v>1484</v>
      </c>
      <c r="C8864" t="s">
        <v>11856</v>
      </c>
      <c r="D8864" t="s">
        <v>17415</v>
      </c>
      <c r="E8864" t="s">
        <v>25130</v>
      </c>
      <c r="F8864" t="s">
        <v>30052</v>
      </c>
      <c r="G8864" t="s">
        <v>30058</v>
      </c>
      <c r="H8864" t="s">
        <v>30067</v>
      </c>
      <c r="I8864" t="s">
        <v>3693</v>
      </c>
      <c r="J8864" t="s">
        <v>30215</v>
      </c>
      <c r="K8864" t="s">
        <v>39031</v>
      </c>
      <c r="M8864" t="s">
        <v>40868</v>
      </c>
      <c r="N8864" t="s">
        <v>43166</v>
      </c>
      <c r="O8864" t="s">
        <v>43167</v>
      </c>
      <c r="P8864">
        <v>0</v>
      </c>
      <c r="Q8864">
        <v>2</v>
      </c>
      <c r="R8864" t="s">
        <v>43174</v>
      </c>
      <c r="S8864" t="s">
        <v>43396</v>
      </c>
      <c r="T8864" t="s">
        <v>45107</v>
      </c>
      <c r="U8864" t="s">
        <v>52305</v>
      </c>
      <c r="V8864" t="s">
        <v>57756</v>
      </c>
      <c r="W8864" t="s">
        <v>40868</v>
      </c>
      <c r="X8864" t="s">
        <v>43175</v>
      </c>
    </row>
    <row r="8865" spans="1:24">
      <c r="A8865">
        <f>HYPERLINK("https://www.philgeps.gov.ph/GEPSNONPILOT/Tender/SplashBidNoticeAbstractUI.aspx?menuIndex=3&amp;refID=7075658&amp;Result=3","7075658")</f>
        <v>0</v>
      </c>
      <c r="B8865" t="s">
        <v>2643</v>
      </c>
      <c r="C8865" t="s">
        <v>11857</v>
      </c>
      <c r="D8865" t="s">
        <v>17427</v>
      </c>
      <c r="E8865" t="s">
        <v>25131</v>
      </c>
      <c r="F8865" t="s">
        <v>30052</v>
      </c>
      <c r="G8865" t="s">
        <v>30058</v>
      </c>
      <c r="H8865" t="s">
        <v>30067</v>
      </c>
      <c r="I8865" t="s">
        <v>3693</v>
      </c>
      <c r="J8865" t="s">
        <v>35599</v>
      </c>
      <c r="K8865" t="s">
        <v>39025</v>
      </c>
      <c r="M8865" t="s">
        <v>42161</v>
      </c>
      <c r="N8865" t="s">
        <v>43166</v>
      </c>
      <c r="O8865" t="s">
        <v>43167</v>
      </c>
      <c r="P8865">
        <v>0</v>
      </c>
      <c r="Q8865">
        <v>0</v>
      </c>
      <c r="R8865" t="s">
        <v>43174</v>
      </c>
      <c r="S8865" t="s">
        <v>43396</v>
      </c>
      <c r="T8865" t="s">
        <v>44844</v>
      </c>
      <c r="U8865" t="s">
        <v>52306</v>
      </c>
      <c r="W8865" t="s">
        <v>42161</v>
      </c>
      <c r="X8865" t="s">
        <v>43175</v>
      </c>
    </row>
    <row r="8866" spans="1:24">
      <c r="A8866">
        <f>HYPERLINK("https://www.philgeps.gov.ph/GEPSNONPILOT/Tender/SplashBidNoticeAbstractUI.aspx?menuIndex=3&amp;refID=7075713&amp;Result=3","7075713")</f>
        <v>0</v>
      </c>
      <c r="B8866" t="s">
        <v>2644</v>
      </c>
      <c r="C8866" t="s">
        <v>8263</v>
      </c>
      <c r="D8866" t="s">
        <v>17441</v>
      </c>
      <c r="E8866" t="s">
        <v>25132</v>
      </c>
      <c r="F8866" t="s">
        <v>30052</v>
      </c>
      <c r="G8866" t="s">
        <v>30058</v>
      </c>
      <c r="H8866" t="s">
        <v>30067</v>
      </c>
      <c r="I8866" t="s">
        <v>3693</v>
      </c>
      <c r="J8866" t="s">
        <v>35600</v>
      </c>
      <c r="K8866" t="s">
        <v>39025</v>
      </c>
      <c r="M8866" t="s">
        <v>42162</v>
      </c>
      <c r="N8866" t="s">
        <v>43166</v>
      </c>
      <c r="O8866" t="s">
        <v>43167</v>
      </c>
      <c r="P8866">
        <v>0</v>
      </c>
      <c r="Q8866">
        <v>2</v>
      </c>
      <c r="R8866" t="s">
        <v>43174</v>
      </c>
      <c r="S8866" t="s">
        <v>43396</v>
      </c>
      <c r="T8866" t="s">
        <v>44837</v>
      </c>
      <c r="U8866" t="s">
        <v>52307</v>
      </c>
      <c r="V8866" t="s">
        <v>57397</v>
      </c>
      <c r="W8866" t="s">
        <v>42162</v>
      </c>
      <c r="X8866" t="s">
        <v>43175</v>
      </c>
    </row>
    <row r="8867" spans="1:24">
      <c r="A8867">
        <f>HYPERLINK("https://www.philgeps.gov.ph/GEPSNONPILOT/Tender/SplashBidNoticeAbstractUI.aspx?menuIndex=3&amp;refID=7075712&amp;Result=3","7075712")</f>
        <v>0</v>
      </c>
      <c r="B8867" t="s">
        <v>1405</v>
      </c>
      <c r="C8867" t="s">
        <v>11858</v>
      </c>
      <c r="D8867" t="s">
        <v>17415</v>
      </c>
      <c r="E8867" t="s">
        <v>25133</v>
      </c>
      <c r="F8867" t="s">
        <v>30052</v>
      </c>
      <c r="G8867" t="s">
        <v>30058</v>
      </c>
      <c r="H8867" t="s">
        <v>15498</v>
      </c>
      <c r="I8867" t="s">
        <v>30088</v>
      </c>
      <c r="J8867" t="s">
        <v>35601</v>
      </c>
      <c r="K8867" t="s">
        <v>39025</v>
      </c>
      <c r="M8867" t="s">
        <v>40834</v>
      </c>
      <c r="N8867" t="s">
        <v>43166</v>
      </c>
      <c r="O8867" t="s">
        <v>43167</v>
      </c>
      <c r="P8867">
        <v>0</v>
      </c>
      <c r="Q8867">
        <v>23</v>
      </c>
      <c r="R8867" t="s">
        <v>43174</v>
      </c>
      <c r="S8867" t="s">
        <v>43396</v>
      </c>
      <c r="T8867" t="s">
        <v>45093</v>
      </c>
      <c r="U8867" t="s">
        <v>52308</v>
      </c>
      <c r="W8867" t="s">
        <v>40834</v>
      </c>
      <c r="X8867" t="s">
        <v>43175</v>
      </c>
    </row>
    <row r="8868" spans="1:24">
      <c r="A8868">
        <f>HYPERLINK("https://www.philgeps.gov.ph/GEPSNONPILOT/Tender/SplashBidNoticeAbstractUI.aspx?menuIndex=3&amp;refID=7075643&amp;Result=3","7075643")</f>
        <v>0</v>
      </c>
      <c r="B8868" t="s">
        <v>845</v>
      </c>
      <c r="C8868" t="s">
        <v>11859</v>
      </c>
      <c r="E8868" t="s">
        <v>25134</v>
      </c>
      <c r="F8868" t="s">
        <v>30052</v>
      </c>
      <c r="G8868" t="s">
        <v>30058</v>
      </c>
      <c r="H8868" t="s">
        <v>15498</v>
      </c>
      <c r="I8868" t="s">
        <v>30153</v>
      </c>
      <c r="J8868" t="s">
        <v>35602</v>
      </c>
      <c r="K8868" t="s">
        <v>39025</v>
      </c>
      <c r="M8868" t="s">
        <v>40162</v>
      </c>
      <c r="N8868" t="s">
        <v>43166</v>
      </c>
      <c r="O8868" t="s">
        <v>43167</v>
      </c>
      <c r="Q8868">
        <v>1</v>
      </c>
      <c r="R8868" t="s">
        <v>43174</v>
      </c>
      <c r="S8868" t="s">
        <v>43436</v>
      </c>
      <c r="T8868" t="s">
        <v>44844</v>
      </c>
      <c r="U8868" t="s">
        <v>52309</v>
      </c>
      <c r="V8868" t="s">
        <v>57757</v>
      </c>
      <c r="W8868" t="s">
        <v>40162</v>
      </c>
      <c r="X8868" t="s">
        <v>43175</v>
      </c>
    </row>
    <row r="8869" spans="1:24">
      <c r="A8869">
        <f>HYPERLINK("https://www.philgeps.gov.ph/GEPSNONPILOT/Tender/SplashBidNoticeAbstractUI.aspx?menuIndex=3&amp;refID=7075708&amp;Result=3","7075708")</f>
        <v>0</v>
      </c>
      <c r="B8869" t="s">
        <v>2645</v>
      </c>
      <c r="C8869" t="s">
        <v>11860</v>
      </c>
      <c r="D8869" t="s">
        <v>17422</v>
      </c>
      <c r="E8869" t="s">
        <v>25135</v>
      </c>
      <c r="F8869" t="s">
        <v>30052</v>
      </c>
      <c r="G8869" t="s">
        <v>30058</v>
      </c>
      <c r="H8869" t="s">
        <v>15498</v>
      </c>
      <c r="I8869" t="s">
        <v>3736</v>
      </c>
      <c r="J8869" t="s">
        <v>35603</v>
      </c>
      <c r="K8869" t="s">
        <v>39034</v>
      </c>
      <c r="M8869" t="s">
        <v>42163</v>
      </c>
      <c r="N8869" t="s">
        <v>43166</v>
      </c>
      <c r="O8869" t="s">
        <v>43167</v>
      </c>
      <c r="P8869">
        <v>0</v>
      </c>
      <c r="Q8869">
        <v>0</v>
      </c>
      <c r="R8869" t="s">
        <v>43174</v>
      </c>
      <c r="S8869" t="s">
        <v>43396</v>
      </c>
      <c r="T8869" t="s">
        <v>44717</v>
      </c>
      <c r="U8869" t="s">
        <v>52310</v>
      </c>
      <c r="W8869" t="s">
        <v>42163</v>
      </c>
      <c r="X8869" t="s">
        <v>43175</v>
      </c>
    </row>
    <row r="8870" spans="1:24">
      <c r="A8870">
        <f>HYPERLINK("https://www.philgeps.gov.ph/GEPSNONPILOT/Tender/SplashBidNoticeAbstractUI.aspx?menuIndex=3&amp;refID=7075701&amp;Result=3","7075701")</f>
        <v>0</v>
      </c>
      <c r="B8870" t="s">
        <v>2318</v>
      </c>
      <c r="C8870" t="s">
        <v>11861</v>
      </c>
      <c r="D8870" t="s">
        <v>17473</v>
      </c>
      <c r="E8870" t="s">
        <v>25136</v>
      </c>
      <c r="F8870" t="s">
        <v>30052</v>
      </c>
      <c r="G8870" t="s">
        <v>30059</v>
      </c>
      <c r="H8870" t="s">
        <v>15498</v>
      </c>
      <c r="I8870" t="s">
        <v>30084</v>
      </c>
      <c r="J8870" t="s">
        <v>34538</v>
      </c>
      <c r="K8870" t="s">
        <v>39029</v>
      </c>
      <c r="M8870" t="s">
        <v>41804</v>
      </c>
      <c r="N8870" t="s">
        <v>43166</v>
      </c>
      <c r="O8870" t="s">
        <v>43167</v>
      </c>
      <c r="P8870">
        <v>0</v>
      </c>
      <c r="Q8870">
        <v>4</v>
      </c>
      <c r="R8870" t="s">
        <v>43174</v>
      </c>
      <c r="S8870" t="s">
        <v>43396</v>
      </c>
      <c r="T8870" t="s">
        <v>44856</v>
      </c>
      <c r="U8870" t="s">
        <v>52311</v>
      </c>
      <c r="W8870" t="s">
        <v>41804</v>
      </c>
      <c r="X8870" t="s">
        <v>43175</v>
      </c>
    </row>
    <row r="8871" spans="1:24">
      <c r="A8871">
        <f>HYPERLINK("https://www.philgeps.gov.ph/GEPSNONPILOT/Tender/SplashBidNoticeAbstractUI.aspx?menuIndex=3&amp;refID=7075700&amp;Result=3","7075700")</f>
        <v>0</v>
      </c>
      <c r="B8871" t="s">
        <v>2646</v>
      </c>
      <c r="C8871" t="s">
        <v>11862</v>
      </c>
      <c r="D8871" t="s">
        <v>17466</v>
      </c>
      <c r="E8871" t="s">
        <v>25137</v>
      </c>
      <c r="F8871" t="s">
        <v>30052</v>
      </c>
      <c r="G8871" t="s">
        <v>30058</v>
      </c>
      <c r="H8871" t="s">
        <v>15498</v>
      </c>
      <c r="I8871" t="s">
        <v>3852</v>
      </c>
      <c r="J8871" t="s">
        <v>30230</v>
      </c>
      <c r="K8871" t="s">
        <v>39145</v>
      </c>
      <c r="M8871" t="s">
        <v>42164</v>
      </c>
      <c r="N8871" t="s">
        <v>43166</v>
      </c>
      <c r="O8871" t="s">
        <v>43167</v>
      </c>
      <c r="P8871">
        <v>0</v>
      </c>
      <c r="Q8871">
        <v>1</v>
      </c>
      <c r="R8871" t="s">
        <v>43174</v>
      </c>
      <c r="S8871" t="s">
        <v>43396</v>
      </c>
      <c r="T8871" t="s">
        <v>44873</v>
      </c>
      <c r="U8871" t="s">
        <v>52312</v>
      </c>
      <c r="W8871" t="s">
        <v>42164</v>
      </c>
      <c r="X8871" t="s">
        <v>43175</v>
      </c>
    </row>
    <row r="8872" spans="1:24">
      <c r="A8872">
        <f>HYPERLINK("https://www.philgeps.gov.ph/GEPSNONPILOT/Tender/SplashBidNoticeAbstractUI.aspx?menuIndex=3&amp;refID=7075707&amp;Result=3","7075707")</f>
        <v>0</v>
      </c>
      <c r="B8872" t="s">
        <v>2647</v>
      </c>
      <c r="C8872" t="s">
        <v>11863</v>
      </c>
      <c r="D8872" t="s">
        <v>17488</v>
      </c>
      <c r="E8872" t="s">
        <v>25138</v>
      </c>
      <c r="F8872" t="s">
        <v>30052</v>
      </c>
      <c r="G8872" t="s">
        <v>30058</v>
      </c>
      <c r="H8872" t="s">
        <v>30067</v>
      </c>
      <c r="I8872" t="s">
        <v>3693</v>
      </c>
      <c r="J8872" t="s">
        <v>35604</v>
      </c>
      <c r="K8872" t="s">
        <v>39073</v>
      </c>
      <c r="M8872" t="s">
        <v>42165</v>
      </c>
      <c r="N8872" t="s">
        <v>43166</v>
      </c>
      <c r="O8872" t="s">
        <v>43167</v>
      </c>
      <c r="P8872">
        <v>0</v>
      </c>
      <c r="Q8872">
        <v>0</v>
      </c>
      <c r="R8872" t="s">
        <v>43174</v>
      </c>
      <c r="S8872" t="s">
        <v>43396</v>
      </c>
      <c r="T8872" t="s">
        <v>44716</v>
      </c>
      <c r="U8872" t="s">
        <v>52313</v>
      </c>
      <c r="W8872" t="s">
        <v>42165</v>
      </c>
      <c r="X8872" t="s">
        <v>43175</v>
      </c>
    </row>
    <row r="8873" spans="1:24">
      <c r="A8873">
        <f>HYPERLINK("https://www.philgeps.gov.ph/GEPSNONPILOT/Tender/SplashBidNoticeAbstractUI.aspx?menuIndex=3&amp;refID=7075648&amp;Result=3","7075648")</f>
        <v>0</v>
      </c>
      <c r="B8873" t="s">
        <v>1300</v>
      </c>
      <c r="C8873" t="s">
        <v>11864</v>
      </c>
      <c r="D8873" t="s">
        <v>17434</v>
      </c>
      <c r="E8873" t="s">
        <v>25139</v>
      </c>
      <c r="F8873" t="s">
        <v>30052</v>
      </c>
      <c r="G8873" t="s">
        <v>30058</v>
      </c>
      <c r="H8873" t="s">
        <v>30069</v>
      </c>
      <c r="I8873" t="s">
        <v>30075</v>
      </c>
      <c r="J8873" t="s">
        <v>35605</v>
      </c>
      <c r="K8873" t="s">
        <v>39026</v>
      </c>
      <c r="M8873" t="s">
        <v>40666</v>
      </c>
      <c r="N8873" t="s">
        <v>43166</v>
      </c>
      <c r="O8873" t="s">
        <v>43167</v>
      </c>
      <c r="P8873">
        <v>0</v>
      </c>
      <c r="Q8873">
        <v>4</v>
      </c>
      <c r="R8873" t="s">
        <v>43174</v>
      </c>
      <c r="S8873" t="s">
        <v>43396</v>
      </c>
      <c r="T8873" t="s">
        <v>44796</v>
      </c>
      <c r="U8873" t="s">
        <v>48064</v>
      </c>
      <c r="V8873" t="s">
        <v>57244</v>
      </c>
      <c r="W8873" t="s">
        <v>40666</v>
      </c>
      <c r="X8873" t="s">
        <v>43175</v>
      </c>
    </row>
    <row r="8874" spans="1:24">
      <c r="A8874">
        <f>HYPERLINK("https://www.philgeps.gov.ph/GEPSNONPILOT/Tender/SplashBidNoticeAbstractUI.aspx?menuIndex=3&amp;refID=7075695&amp;Result=3","7075695")</f>
        <v>0</v>
      </c>
      <c r="B8874" t="s">
        <v>2648</v>
      </c>
      <c r="C8874" t="s">
        <v>11865</v>
      </c>
      <c r="D8874" t="s">
        <v>17415</v>
      </c>
      <c r="E8874" t="s">
        <v>25140</v>
      </c>
      <c r="F8874" t="s">
        <v>30052</v>
      </c>
      <c r="G8874" t="s">
        <v>30058</v>
      </c>
      <c r="H8874" t="s">
        <v>30067</v>
      </c>
      <c r="I8874" t="s">
        <v>3693</v>
      </c>
      <c r="J8874" t="s">
        <v>35606</v>
      </c>
      <c r="K8874" t="s">
        <v>39020</v>
      </c>
      <c r="M8874" t="s">
        <v>42166</v>
      </c>
      <c r="N8874" t="s">
        <v>43166</v>
      </c>
      <c r="O8874" t="s">
        <v>43167</v>
      </c>
      <c r="P8874">
        <v>0</v>
      </c>
      <c r="Q8874">
        <v>6</v>
      </c>
      <c r="R8874" t="s">
        <v>43174</v>
      </c>
      <c r="S8874" t="s">
        <v>43396</v>
      </c>
      <c r="T8874" t="s">
        <v>44716</v>
      </c>
      <c r="U8874" t="s">
        <v>52314</v>
      </c>
      <c r="W8874" t="s">
        <v>42166</v>
      </c>
      <c r="X8874" t="s">
        <v>43175</v>
      </c>
    </row>
    <row r="8875" spans="1:24">
      <c r="A8875">
        <f>HYPERLINK("https://www.philgeps.gov.ph/GEPSNONPILOT/Tender/SplashBidNoticeAbstractUI.aspx?menuIndex=3&amp;refID=7075689&amp;Result=3","7075689")</f>
        <v>0</v>
      </c>
      <c r="B8875" t="s">
        <v>2649</v>
      </c>
      <c r="C8875" t="s">
        <v>11866</v>
      </c>
      <c r="E8875" t="s">
        <v>25141</v>
      </c>
      <c r="F8875" t="s">
        <v>30052</v>
      </c>
      <c r="G8875" t="s">
        <v>30058</v>
      </c>
      <c r="H8875" t="s">
        <v>15498</v>
      </c>
      <c r="I8875" t="s">
        <v>30088</v>
      </c>
      <c r="J8875" t="s">
        <v>34779</v>
      </c>
      <c r="K8875" t="s">
        <v>39025</v>
      </c>
      <c r="M8875" t="s">
        <v>42167</v>
      </c>
      <c r="N8875" t="s">
        <v>43166</v>
      </c>
      <c r="O8875" t="s">
        <v>43167</v>
      </c>
      <c r="Q8875">
        <v>13</v>
      </c>
      <c r="R8875" t="s">
        <v>43174</v>
      </c>
      <c r="S8875" t="s">
        <v>43437</v>
      </c>
      <c r="T8875" t="s">
        <v>44828</v>
      </c>
      <c r="U8875" t="s">
        <v>52315</v>
      </c>
      <c r="V8875" t="s">
        <v>57758</v>
      </c>
      <c r="W8875" t="s">
        <v>42167</v>
      </c>
      <c r="X8875" t="s">
        <v>43175</v>
      </c>
    </row>
    <row r="8876" spans="1:24">
      <c r="A8876">
        <f>HYPERLINK("https://www.philgeps.gov.ph/GEPSNONPILOT/Tender/SplashBidNoticeAbstractUI.aspx?menuIndex=3&amp;refID=7075600&amp;Result=3","7075600")</f>
        <v>0</v>
      </c>
      <c r="B8876" t="s">
        <v>1321</v>
      </c>
      <c r="C8876" t="s">
        <v>11867</v>
      </c>
      <c r="D8876" t="s">
        <v>17431</v>
      </c>
      <c r="E8876" t="s">
        <v>25142</v>
      </c>
      <c r="F8876" t="s">
        <v>30052</v>
      </c>
      <c r="G8876" t="s">
        <v>30059</v>
      </c>
      <c r="H8876" t="s">
        <v>30067</v>
      </c>
      <c r="I8876" t="s">
        <v>3693</v>
      </c>
      <c r="J8876" t="s">
        <v>30350</v>
      </c>
      <c r="K8876" t="s">
        <v>39046</v>
      </c>
      <c r="M8876" t="s">
        <v>40688</v>
      </c>
      <c r="N8876" t="s">
        <v>43166</v>
      </c>
      <c r="O8876" t="s">
        <v>43167</v>
      </c>
      <c r="P8876">
        <v>0</v>
      </c>
      <c r="Q8876">
        <v>2</v>
      </c>
      <c r="R8876" t="s">
        <v>43174</v>
      </c>
      <c r="S8876" t="s">
        <v>43396</v>
      </c>
      <c r="T8876" t="s">
        <v>44705</v>
      </c>
      <c r="U8876" t="s">
        <v>52316</v>
      </c>
      <c r="W8876" t="s">
        <v>40688</v>
      </c>
      <c r="X8876" t="s">
        <v>43175</v>
      </c>
    </row>
    <row r="8877" spans="1:24">
      <c r="A8877">
        <f>HYPERLINK("https://www.philgeps.gov.ph/GEPSNONPILOT/Tender/SplashBidNoticeAbstractUI.aspx?menuIndex=3&amp;refID=7075687&amp;Result=3","7075687")</f>
        <v>0</v>
      </c>
      <c r="B8877" t="s">
        <v>2318</v>
      </c>
      <c r="C8877" t="s">
        <v>11868</v>
      </c>
      <c r="D8877" t="s">
        <v>17473</v>
      </c>
      <c r="E8877" t="s">
        <v>25143</v>
      </c>
      <c r="F8877" t="s">
        <v>30052</v>
      </c>
      <c r="G8877" t="s">
        <v>30059</v>
      </c>
      <c r="H8877" t="s">
        <v>15498</v>
      </c>
      <c r="I8877" t="s">
        <v>3736</v>
      </c>
      <c r="J8877" t="s">
        <v>35607</v>
      </c>
      <c r="K8877" t="s">
        <v>39029</v>
      </c>
      <c r="M8877" t="s">
        <v>41804</v>
      </c>
      <c r="N8877" t="s">
        <v>43166</v>
      </c>
      <c r="O8877" t="s">
        <v>43167</v>
      </c>
      <c r="P8877">
        <v>0</v>
      </c>
      <c r="Q8877">
        <v>0</v>
      </c>
      <c r="R8877" t="s">
        <v>43174</v>
      </c>
      <c r="S8877" t="s">
        <v>43396</v>
      </c>
      <c r="T8877" t="s">
        <v>44806</v>
      </c>
      <c r="U8877" t="s">
        <v>52317</v>
      </c>
      <c r="W8877" t="s">
        <v>41804</v>
      </c>
      <c r="X8877" t="s">
        <v>43175</v>
      </c>
    </row>
    <row r="8878" spans="1:24">
      <c r="A8878">
        <f>HYPERLINK("https://www.philgeps.gov.ph/GEPSNONPILOT/Tender/SplashBidNoticeAbstractUI.aspx?menuIndex=3&amp;refID=7075702&amp;Result=3","7075702")</f>
        <v>0</v>
      </c>
      <c r="B8878" t="s">
        <v>1297</v>
      </c>
      <c r="C8878" t="s">
        <v>11869</v>
      </c>
      <c r="D8878" t="s">
        <v>17488</v>
      </c>
      <c r="E8878" t="s">
        <v>25144</v>
      </c>
      <c r="F8878" t="s">
        <v>30052</v>
      </c>
      <c r="G8878" t="s">
        <v>30058</v>
      </c>
      <c r="H8878" t="s">
        <v>30067</v>
      </c>
      <c r="I8878" t="s">
        <v>3693</v>
      </c>
      <c r="J8878" t="s">
        <v>35608</v>
      </c>
      <c r="K8878" t="s">
        <v>39079</v>
      </c>
      <c r="M8878" t="s">
        <v>40663</v>
      </c>
      <c r="N8878" t="s">
        <v>43166</v>
      </c>
      <c r="O8878" t="s">
        <v>43167</v>
      </c>
      <c r="P8878">
        <v>0</v>
      </c>
      <c r="Q8878">
        <v>0</v>
      </c>
      <c r="R8878" t="s">
        <v>43174</v>
      </c>
      <c r="S8878" t="s">
        <v>43396</v>
      </c>
      <c r="T8878" t="s">
        <v>44717</v>
      </c>
      <c r="U8878" t="s">
        <v>52318</v>
      </c>
      <c r="V8878" t="s">
        <v>54145</v>
      </c>
      <c r="W8878" t="s">
        <v>40663</v>
      </c>
      <c r="X8878" t="s">
        <v>43175</v>
      </c>
    </row>
    <row r="8879" spans="1:24">
      <c r="A8879">
        <f>HYPERLINK("https://www.philgeps.gov.ph/GEPSNONPILOT/Tender/SplashBidNoticeAbstractUI.aspx?menuIndex=3&amp;refID=7075681&amp;Result=3","7075681")</f>
        <v>0</v>
      </c>
      <c r="B8879" t="s">
        <v>1405</v>
      </c>
      <c r="C8879" t="s">
        <v>11870</v>
      </c>
      <c r="D8879" t="s">
        <v>17415</v>
      </c>
      <c r="E8879" t="s">
        <v>25145</v>
      </c>
      <c r="F8879" t="s">
        <v>30052</v>
      </c>
      <c r="G8879" t="s">
        <v>30058</v>
      </c>
      <c r="H8879" t="s">
        <v>15498</v>
      </c>
      <c r="I8879" t="s">
        <v>30088</v>
      </c>
      <c r="J8879" t="s">
        <v>30397</v>
      </c>
      <c r="K8879" t="s">
        <v>39025</v>
      </c>
      <c r="M8879" t="s">
        <v>40834</v>
      </c>
      <c r="N8879" t="s">
        <v>43166</v>
      </c>
      <c r="O8879" t="s">
        <v>43167</v>
      </c>
      <c r="P8879">
        <v>0</v>
      </c>
      <c r="Q8879">
        <v>13</v>
      </c>
      <c r="R8879" t="s">
        <v>43174</v>
      </c>
      <c r="S8879" t="s">
        <v>43396</v>
      </c>
      <c r="T8879" t="s">
        <v>44993</v>
      </c>
      <c r="U8879" t="s">
        <v>52319</v>
      </c>
      <c r="W8879" t="s">
        <v>40834</v>
      </c>
      <c r="X8879" t="s">
        <v>43175</v>
      </c>
    </row>
    <row r="8880" spans="1:24">
      <c r="A8880">
        <f>HYPERLINK("https://www.philgeps.gov.ph/GEPSNONPILOT/Tender/SplashBidNoticeAbstractUI.aspx?menuIndex=3&amp;refID=7075541&amp;Result=3","7075541")</f>
        <v>0</v>
      </c>
      <c r="B8880" t="s">
        <v>820</v>
      </c>
      <c r="C8880" t="s">
        <v>11871</v>
      </c>
      <c r="E8880" t="s">
        <v>25146</v>
      </c>
      <c r="F8880" t="s">
        <v>30052</v>
      </c>
      <c r="G8880" t="s">
        <v>30059</v>
      </c>
      <c r="H8880" t="s">
        <v>15498</v>
      </c>
      <c r="I8880" t="s">
        <v>3736</v>
      </c>
      <c r="J8880" t="s">
        <v>35609</v>
      </c>
      <c r="K8880" t="s">
        <v>39034</v>
      </c>
      <c r="M8880" t="s">
        <v>40137</v>
      </c>
      <c r="N8880" t="s">
        <v>43166</v>
      </c>
      <c r="O8880" t="s">
        <v>43167</v>
      </c>
      <c r="P8880">
        <v>0</v>
      </c>
      <c r="Q8880">
        <v>1</v>
      </c>
      <c r="R8880" t="s">
        <v>43174</v>
      </c>
      <c r="S8880" t="s">
        <v>43396</v>
      </c>
      <c r="T8880" t="s">
        <v>44737</v>
      </c>
      <c r="U8880" t="s">
        <v>52320</v>
      </c>
      <c r="V8880" t="s">
        <v>57736</v>
      </c>
      <c r="W8880" t="s">
        <v>40137</v>
      </c>
      <c r="X8880" t="s">
        <v>43175</v>
      </c>
    </row>
    <row r="8881" spans="1:24">
      <c r="A8881">
        <f>HYPERLINK("https://www.philgeps.gov.ph/GEPSNONPILOT/Tender/SplashBidNoticeAbstractUI.aspx?menuIndex=3&amp;refID=7075680&amp;Result=3","7075680")</f>
        <v>0</v>
      </c>
      <c r="B8881" t="s">
        <v>1297</v>
      </c>
      <c r="C8881" t="s">
        <v>11872</v>
      </c>
      <c r="D8881" t="s">
        <v>17488</v>
      </c>
      <c r="E8881" t="s">
        <v>25147</v>
      </c>
      <c r="F8881" t="s">
        <v>30052</v>
      </c>
      <c r="G8881" t="s">
        <v>30058</v>
      </c>
      <c r="H8881" t="s">
        <v>15498</v>
      </c>
      <c r="I8881" t="s">
        <v>30096</v>
      </c>
      <c r="J8881" t="s">
        <v>35610</v>
      </c>
      <c r="K8881" t="s">
        <v>39019</v>
      </c>
      <c r="M8881" t="s">
        <v>40663</v>
      </c>
      <c r="N8881" t="s">
        <v>43166</v>
      </c>
      <c r="O8881" t="s">
        <v>43167</v>
      </c>
      <c r="P8881">
        <v>0</v>
      </c>
      <c r="Q8881">
        <v>4</v>
      </c>
      <c r="R8881" t="s">
        <v>43174</v>
      </c>
      <c r="S8881" t="s">
        <v>43396</v>
      </c>
      <c r="T8881" t="s">
        <v>44717</v>
      </c>
      <c r="U8881" t="s">
        <v>52321</v>
      </c>
      <c r="V8881" t="s">
        <v>54145</v>
      </c>
      <c r="W8881" t="s">
        <v>40663</v>
      </c>
      <c r="X8881" t="s">
        <v>43175</v>
      </c>
    </row>
    <row r="8882" spans="1:24">
      <c r="A8882">
        <f>HYPERLINK("https://www.philgeps.gov.ph/GEPSNONPILOT/Tender/SplashBidNoticeAbstractUI.aspx?menuIndex=3&amp;refID=7075693&amp;Result=3","7075693")</f>
        <v>0</v>
      </c>
      <c r="B8882" t="s">
        <v>2647</v>
      </c>
      <c r="C8882" t="s">
        <v>11873</v>
      </c>
      <c r="D8882" t="s">
        <v>17488</v>
      </c>
      <c r="E8882" t="s">
        <v>25148</v>
      </c>
      <c r="F8882" t="s">
        <v>30052</v>
      </c>
      <c r="G8882" t="s">
        <v>30058</v>
      </c>
      <c r="H8882" t="s">
        <v>30067</v>
      </c>
      <c r="I8882" t="s">
        <v>3693</v>
      </c>
      <c r="J8882" t="s">
        <v>35611</v>
      </c>
      <c r="K8882" t="s">
        <v>39082</v>
      </c>
      <c r="M8882" t="s">
        <v>42165</v>
      </c>
      <c r="N8882" t="s">
        <v>43166</v>
      </c>
      <c r="O8882" t="s">
        <v>43167</v>
      </c>
      <c r="P8882">
        <v>0</v>
      </c>
      <c r="Q8882">
        <v>0</v>
      </c>
      <c r="R8882" t="s">
        <v>43174</v>
      </c>
      <c r="S8882" t="s">
        <v>43396</v>
      </c>
      <c r="T8882" t="s">
        <v>44716</v>
      </c>
      <c r="U8882" t="s">
        <v>52322</v>
      </c>
      <c r="W8882" t="s">
        <v>42165</v>
      </c>
      <c r="X8882" t="s">
        <v>43175</v>
      </c>
    </row>
    <row r="8883" spans="1:24">
      <c r="A8883">
        <f>HYPERLINK("https://www.philgeps.gov.ph/GEPSNONPILOT/Tender/SplashBidNoticeAbstractUI.aspx?menuIndex=3&amp;refID=7075688&amp;Result=3","7075688")</f>
        <v>0</v>
      </c>
      <c r="B8883" t="s">
        <v>2650</v>
      </c>
      <c r="C8883" t="s">
        <v>11874</v>
      </c>
      <c r="D8883" t="s">
        <v>17441</v>
      </c>
      <c r="E8883" t="s">
        <v>25149</v>
      </c>
      <c r="F8883" t="s">
        <v>30052</v>
      </c>
      <c r="G8883" t="s">
        <v>30058</v>
      </c>
      <c r="H8883" t="s">
        <v>30067</v>
      </c>
      <c r="I8883" t="s">
        <v>3693</v>
      </c>
      <c r="J8883" t="s">
        <v>35612</v>
      </c>
      <c r="K8883" t="s">
        <v>39025</v>
      </c>
      <c r="M8883" t="s">
        <v>42168</v>
      </c>
      <c r="N8883" t="s">
        <v>43166</v>
      </c>
      <c r="O8883" t="s">
        <v>43167</v>
      </c>
      <c r="P8883">
        <v>0</v>
      </c>
      <c r="Q8883">
        <v>2</v>
      </c>
      <c r="R8883" t="s">
        <v>43174</v>
      </c>
      <c r="S8883" t="s">
        <v>43396</v>
      </c>
      <c r="T8883" t="s">
        <v>44837</v>
      </c>
      <c r="U8883" t="s">
        <v>52323</v>
      </c>
      <c r="V8883" t="s">
        <v>57407</v>
      </c>
      <c r="W8883" t="s">
        <v>42168</v>
      </c>
      <c r="X8883" t="s">
        <v>43175</v>
      </c>
    </row>
    <row r="8884" spans="1:24">
      <c r="A8884">
        <f>HYPERLINK("https://www.philgeps.gov.ph/GEPSNONPILOT/Tender/SplashBidNoticeAbstractUI.aspx?menuIndex=3&amp;refID=7075685&amp;Result=3","7075685")</f>
        <v>0</v>
      </c>
      <c r="B8884" t="s">
        <v>2015</v>
      </c>
      <c r="C8884" t="s">
        <v>11875</v>
      </c>
      <c r="D8884" t="s">
        <v>17416</v>
      </c>
      <c r="E8884" t="s">
        <v>25150</v>
      </c>
      <c r="F8884" t="s">
        <v>30052</v>
      </c>
      <c r="G8884" t="s">
        <v>30058</v>
      </c>
      <c r="H8884" t="s">
        <v>30067</v>
      </c>
      <c r="I8884" t="s">
        <v>3693</v>
      </c>
      <c r="J8884" t="s">
        <v>35613</v>
      </c>
      <c r="K8884" t="s">
        <v>39033</v>
      </c>
      <c r="L8884" t="s">
        <v>2015</v>
      </c>
      <c r="M8884" t="s">
        <v>41460</v>
      </c>
      <c r="N8884" t="s">
        <v>43166</v>
      </c>
      <c r="O8884" t="s">
        <v>43167</v>
      </c>
      <c r="P8884">
        <v>0</v>
      </c>
      <c r="Q8884">
        <v>0</v>
      </c>
      <c r="R8884" t="s">
        <v>43174</v>
      </c>
      <c r="S8884" t="s">
        <v>43396</v>
      </c>
      <c r="T8884" t="s">
        <v>44716</v>
      </c>
      <c r="U8884" t="s">
        <v>52324</v>
      </c>
      <c r="V8884" t="s">
        <v>57759</v>
      </c>
      <c r="W8884" t="s">
        <v>41460</v>
      </c>
      <c r="X8884" t="s">
        <v>43175</v>
      </c>
    </row>
    <row r="8885" spans="1:24">
      <c r="A8885">
        <f>HYPERLINK("https://www.philgeps.gov.ph/GEPSNONPILOT/Tender/SplashBidNoticeAbstractUI.aspx?menuIndex=3&amp;refID=7075628&amp;Result=3","7075628")</f>
        <v>0</v>
      </c>
      <c r="B8885" t="s">
        <v>861</v>
      </c>
      <c r="C8885" t="s">
        <v>11876</v>
      </c>
      <c r="D8885" t="s">
        <v>17413</v>
      </c>
      <c r="E8885" t="s">
        <v>25151</v>
      </c>
      <c r="F8885" t="s">
        <v>30052</v>
      </c>
      <c r="G8885" t="s">
        <v>30058</v>
      </c>
      <c r="H8885" t="s">
        <v>30067</v>
      </c>
      <c r="I8885" t="s">
        <v>3693</v>
      </c>
      <c r="J8885" t="s">
        <v>35614</v>
      </c>
      <c r="K8885" t="s">
        <v>39061</v>
      </c>
      <c r="M8885" t="s">
        <v>40178</v>
      </c>
      <c r="N8885" t="s">
        <v>43166</v>
      </c>
      <c r="O8885" t="s">
        <v>43167</v>
      </c>
      <c r="P8885">
        <v>0</v>
      </c>
      <c r="Q8885">
        <v>1</v>
      </c>
      <c r="R8885" t="s">
        <v>43174</v>
      </c>
      <c r="S8885" t="s">
        <v>43396</v>
      </c>
      <c r="T8885" t="s">
        <v>44679</v>
      </c>
      <c r="U8885" t="s">
        <v>52325</v>
      </c>
      <c r="W8885" t="s">
        <v>40178</v>
      </c>
      <c r="X8885" t="s">
        <v>43175</v>
      </c>
    </row>
    <row r="8886" spans="1:24">
      <c r="A8886">
        <f>HYPERLINK("https://www.philgeps.gov.ph/GEPSNONPILOT/Tender/SplashBidNoticeAbstractUI.aspx?menuIndex=3&amp;refID=7075627&amp;Result=3","7075627")</f>
        <v>0</v>
      </c>
      <c r="B8886" t="s">
        <v>2651</v>
      </c>
      <c r="C8886" t="s">
        <v>11877</v>
      </c>
      <c r="D8886" t="s">
        <v>17480</v>
      </c>
      <c r="E8886" t="s">
        <v>24636</v>
      </c>
      <c r="F8886" t="s">
        <v>30052</v>
      </c>
      <c r="G8886" t="s">
        <v>30058</v>
      </c>
      <c r="H8886" t="s">
        <v>15498</v>
      </c>
      <c r="I8886" t="s">
        <v>30074</v>
      </c>
      <c r="J8886" t="s">
        <v>31496</v>
      </c>
      <c r="K8886" t="s">
        <v>39034</v>
      </c>
      <c r="M8886" t="s">
        <v>42169</v>
      </c>
      <c r="N8886" t="s">
        <v>43166</v>
      </c>
      <c r="O8886" t="s">
        <v>43167</v>
      </c>
      <c r="P8886">
        <v>0</v>
      </c>
      <c r="Q8886">
        <v>9</v>
      </c>
      <c r="R8886" t="s">
        <v>43174</v>
      </c>
      <c r="S8886" t="s">
        <v>43396</v>
      </c>
      <c r="T8886" t="s">
        <v>44993</v>
      </c>
      <c r="U8886" t="s">
        <v>52326</v>
      </c>
      <c r="V8886" t="s">
        <v>57760</v>
      </c>
      <c r="W8886" t="s">
        <v>42169</v>
      </c>
      <c r="X8886" t="s">
        <v>43175</v>
      </c>
    </row>
    <row r="8887" spans="1:24">
      <c r="A8887">
        <f>HYPERLINK("https://www.philgeps.gov.ph/GEPSNONPILOT/Tender/SplashBidNoticeAbstractUI.aspx?menuIndex=3&amp;refID=7075623&amp;Result=3","7075623")</f>
        <v>0</v>
      </c>
      <c r="B8887" t="s">
        <v>1682</v>
      </c>
      <c r="C8887" t="s">
        <v>11878</v>
      </c>
      <c r="D8887" t="s">
        <v>17478</v>
      </c>
      <c r="E8887" t="s">
        <v>25085</v>
      </c>
      <c r="F8887" t="s">
        <v>30052</v>
      </c>
      <c r="G8887" t="s">
        <v>30059</v>
      </c>
      <c r="H8887" t="s">
        <v>15498</v>
      </c>
      <c r="I8887" t="s">
        <v>30134</v>
      </c>
      <c r="J8887" t="s">
        <v>35615</v>
      </c>
      <c r="K8887" t="s">
        <v>39019</v>
      </c>
      <c r="M8887" t="s">
        <v>41118</v>
      </c>
      <c r="N8887" t="s">
        <v>43166</v>
      </c>
      <c r="O8887" t="s">
        <v>43167</v>
      </c>
      <c r="P8887">
        <v>0</v>
      </c>
      <c r="Q8887">
        <v>1</v>
      </c>
      <c r="R8887" t="s">
        <v>43174</v>
      </c>
      <c r="S8887" t="s">
        <v>43396</v>
      </c>
      <c r="T8887" t="s">
        <v>44870</v>
      </c>
      <c r="U8887" t="s">
        <v>52327</v>
      </c>
      <c r="W8887" t="s">
        <v>41118</v>
      </c>
      <c r="X8887" t="s">
        <v>43175</v>
      </c>
    </row>
    <row r="8888" spans="1:24">
      <c r="A8888">
        <f>HYPERLINK("https://www.philgeps.gov.ph/GEPSNONPILOT/Tender/SplashBidNoticeAbstractUI.aspx?menuIndex=3&amp;refID=7075709&amp;Result=3","7075709")</f>
        <v>0</v>
      </c>
      <c r="B8888" t="s">
        <v>792</v>
      </c>
      <c r="C8888" t="s">
        <v>11879</v>
      </c>
      <c r="D8888" t="s">
        <v>17415</v>
      </c>
      <c r="E8888" t="s">
        <v>25152</v>
      </c>
      <c r="F8888" t="s">
        <v>30052</v>
      </c>
      <c r="G8888" t="s">
        <v>30059</v>
      </c>
      <c r="H8888" t="s">
        <v>15498</v>
      </c>
      <c r="I8888" t="s">
        <v>30084</v>
      </c>
      <c r="J8888" t="s">
        <v>35616</v>
      </c>
      <c r="K8888" t="s">
        <v>39025</v>
      </c>
      <c r="M8888" t="s">
        <v>41765</v>
      </c>
      <c r="N8888" t="s">
        <v>43166</v>
      </c>
      <c r="O8888" t="s">
        <v>43167</v>
      </c>
      <c r="P8888">
        <v>0</v>
      </c>
      <c r="Q8888">
        <v>4</v>
      </c>
      <c r="R8888" t="s">
        <v>43174</v>
      </c>
      <c r="S8888" t="s">
        <v>43396</v>
      </c>
      <c r="T8888" t="s">
        <v>44714</v>
      </c>
      <c r="U8888" t="s">
        <v>52328</v>
      </c>
      <c r="V8888" t="s">
        <v>57761</v>
      </c>
      <c r="W8888" t="s">
        <v>41765</v>
      </c>
      <c r="X8888" t="s">
        <v>43175</v>
      </c>
    </row>
    <row r="8889" spans="1:24">
      <c r="A8889">
        <f>HYPERLINK("https://www.philgeps.gov.ph/GEPSNONPILOT/Tender/SplashBidNoticeAbstractUI.aspx?menuIndex=3&amp;refID=7075672&amp;Result=3","7075672")</f>
        <v>0</v>
      </c>
      <c r="B8889" t="s">
        <v>2652</v>
      </c>
      <c r="C8889" t="s">
        <v>11880</v>
      </c>
      <c r="D8889" t="s">
        <v>17441</v>
      </c>
      <c r="E8889" t="s">
        <v>25153</v>
      </c>
      <c r="F8889" t="s">
        <v>30052</v>
      </c>
      <c r="G8889" t="s">
        <v>30058</v>
      </c>
      <c r="H8889" t="s">
        <v>30067</v>
      </c>
      <c r="I8889" t="s">
        <v>3693</v>
      </c>
      <c r="J8889" t="s">
        <v>35617</v>
      </c>
      <c r="K8889" t="s">
        <v>39025</v>
      </c>
      <c r="M8889" t="s">
        <v>42170</v>
      </c>
      <c r="N8889" t="s">
        <v>43166</v>
      </c>
      <c r="O8889" t="s">
        <v>43167</v>
      </c>
      <c r="P8889">
        <v>0</v>
      </c>
      <c r="Q8889">
        <v>2</v>
      </c>
      <c r="R8889" t="s">
        <v>43174</v>
      </c>
      <c r="S8889" t="s">
        <v>43396</v>
      </c>
      <c r="T8889" t="s">
        <v>44837</v>
      </c>
      <c r="U8889" t="s">
        <v>52329</v>
      </c>
      <c r="V8889" t="s">
        <v>57762</v>
      </c>
      <c r="W8889" t="s">
        <v>42170</v>
      </c>
      <c r="X8889" t="s">
        <v>43175</v>
      </c>
    </row>
    <row r="8890" spans="1:24">
      <c r="A8890">
        <f>HYPERLINK("https://www.philgeps.gov.ph/GEPSNONPILOT/Tender/SplashBidNoticeAbstractUI.aspx?menuIndex=3&amp;refID=7075669&amp;Result=3","7075669")</f>
        <v>0</v>
      </c>
      <c r="B8890" t="s">
        <v>2323</v>
      </c>
      <c r="C8890" t="s">
        <v>11881</v>
      </c>
      <c r="D8890" t="s">
        <v>17422</v>
      </c>
      <c r="E8890" t="s">
        <v>25154</v>
      </c>
      <c r="F8890" t="s">
        <v>30055</v>
      </c>
      <c r="G8890" t="s">
        <v>30059</v>
      </c>
      <c r="H8890" t="s">
        <v>30067</v>
      </c>
      <c r="I8890" t="s">
        <v>3693</v>
      </c>
      <c r="J8890" t="s">
        <v>34768</v>
      </c>
      <c r="K8890" t="s">
        <v>39029</v>
      </c>
      <c r="M8890" t="s">
        <v>41810</v>
      </c>
      <c r="N8890" t="s">
        <v>43166</v>
      </c>
      <c r="O8890" t="s">
        <v>43167</v>
      </c>
      <c r="P8890">
        <v>0</v>
      </c>
      <c r="Q8890">
        <v>1</v>
      </c>
      <c r="R8890" t="s">
        <v>43174</v>
      </c>
      <c r="S8890" t="s">
        <v>43396</v>
      </c>
      <c r="T8890" t="s">
        <v>44773</v>
      </c>
      <c r="U8890" t="s">
        <v>52330</v>
      </c>
      <c r="V8890" t="s">
        <v>57763</v>
      </c>
      <c r="W8890" t="s">
        <v>41810</v>
      </c>
      <c r="X8890" t="s">
        <v>43175</v>
      </c>
    </row>
    <row r="8891" spans="1:24">
      <c r="A8891">
        <f>HYPERLINK("https://www.philgeps.gov.ph/GEPSNONPILOT/Tender/SplashBidNoticeAbstractUI.aspx?menuIndex=3&amp;refID=7075617&amp;Result=3","7075617")</f>
        <v>0</v>
      </c>
      <c r="B8891" t="s">
        <v>2653</v>
      </c>
      <c r="C8891" t="s">
        <v>11882</v>
      </c>
      <c r="E8891" t="s">
        <v>25155</v>
      </c>
      <c r="F8891" t="s">
        <v>30052</v>
      </c>
      <c r="G8891" t="s">
        <v>30058</v>
      </c>
      <c r="H8891" t="s">
        <v>15498</v>
      </c>
      <c r="I8891" t="s">
        <v>30074</v>
      </c>
      <c r="J8891" t="s">
        <v>34779</v>
      </c>
      <c r="K8891" t="s">
        <v>39025</v>
      </c>
      <c r="M8891" t="s">
        <v>42171</v>
      </c>
      <c r="N8891" t="s">
        <v>43166</v>
      </c>
      <c r="O8891" t="s">
        <v>43167</v>
      </c>
      <c r="P8891">
        <v>0</v>
      </c>
      <c r="Q8891">
        <v>5</v>
      </c>
      <c r="R8891" t="s">
        <v>43174</v>
      </c>
      <c r="S8891" t="s">
        <v>43396</v>
      </c>
      <c r="T8891" t="s">
        <v>44825</v>
      </c>
      <c r="U8891" t="s">
        <v>52331</v>
      </c>
      <c r="W8891" t="s">
        <v>42171</v>
      </c>
      <c r="X8891" t="s">
        <v>43175</v>
      </c>
    </row>
    <row r="8892" spans="1:24">
      <c r="A8892">
        <f>HYPERLINK("https://www.philgeps.gov.ph/GEPSNONPILOT/Tender/SplashBidNoticeAbstractUI.aspx?menuIndex=3&amp;refID=7075576&amp;Result=3","7075576")</f>
        <v>0</v>
      </c>
      <c r="B8892" t="s">
        <v>195</v>
      </c>
      <c r="C8892" t="s">
        <v>11883</v>
      </c>
      <c r="D8892" t="s">
        <v>17479</v>
      </c>
      <c r="E8892" t="s">
        <v>25156</v>
      </c>
      <c r="F8892" t="s">
        <v>30052</v>
      </c>
      <c r="G8892" t="s">
        <v>30058</v>
      </c>
      <c r="H8892" t="s">
        <v>30067</v>
      </c>
      <c r="I8892" t="s">
        <v>3693</v>
      </c>
      <c r="J8892" t="s">
        <v>35618</v>
      </c>
      <c r="K8892" t="s">
        <v>39031</v>
      </c>
      <c r="M8892" t="s">
        <v>39485</v>
      </c>
      <c r="N8892" t="s">
        <v>43166</v>
      </c>
      <c r="O8892" t="s">
        <v>43167</v>
      </c>
      <c r="P8892">
        <v>0</v>
      </c>
      <c r="Q8892">
        <v>40</v>
      </c>
      <c r="R8892" t="s">
        <v>43174</v>
      </c>
      <c r="S8892" t="s">
        <v>43396</v>
      </c>
      <c r="T8892" t="s">
        <v>44716</v>
      </c>
      <c r="U8892" t="s">
        <v>52332</v>
      </c>
      <c r="W8892" t="s">
        <v>39485</v>
      </c>
      <c r="X8892" t="s">
        <v>43175</v>
      </c>
    </row>
    <row r="8893" spans="1:24">
      <c r="A8893">
        <f>HYPERLINK("https://www.philgeps.gov.ph/GEPSNONPILOT/Tender/SplashBidNoticeAbstractUI.aspx?menuIndex=3&amp;refID=7075750&amp;Result=3","7075750")</f>
        <v>0</v>
      </c>
      <c r="B8893" t="s">
        <v>2654</v>
      </c>
      <c r="C8893" t="s">
        <v>11884</v>
      </c>
      <c r="D8893" t="s">
        <v>17476</v>
      </c>
      <c r="E8893" t="s">
        <v>25157</v>
      </c>
      <c r="F8893" t="s">
        <v>30052</v>
      </c>
      <c r="G8893" t="s">
        <v>30058</v>
      </c>
      <c r="H8893" t="s">
        <v>30067</v>
      </c>
      <c r="I8893" t="s">
        <v>30152</v>
      </c>
      <c r="J8893" t="s">
        <v>35619</v>
      </c>
      <c r="K8893" t="s">
        <v>39022</v>
      </c>
      <c r="M8893" t="s">
        <v>42172</v>
      </c>
      <c r="N8893" t="s">
        <v>43166</v>
      </c>
      <c r="O8893" t="s">
        <v>43167</v>
      </c>
      <c r="P8893">
        <v>0</v>
      </c>
      <c r="Q8893">
        <v>1</v>
      </c>
      <c r="R8893" t="s">
        <v>43174</v>
      </c>
      <c r="S8893" t="s">
        <v>43396</v>
      </c>
      <c r="T8893" t="s">
        <v>44796</v>
      </c>
      <c r="U8893" t="s">
        <v>52333</v>
      </c>
      <c r="W8893" t="s">
        <v>42172</v>
      </c>
      <c r="X8893" t="s">
        <v>43175</v>
      </c>
    </row>
    <row r="8894" spans="1:24">
      <c r="A8894">
        <f>HYPERLINK("https://www.philgeps.gov.ph/GEPSNONPILOT/Tender/SplashBidNoticeAbstractUI.aspx?menuIndex=3&amp;refID=7075622&amp;Result=3","7075622")</f>
        <v>0</v>
      </c>
      <c r="B8894" t="s">
        <v>2655</v>
      </c>
      <c r="C8894" t="s">
        <v>11885</v>
      </c>
      <c r="D8894" t="s">
        <v>17423</v>
      </c>
      <c r="E8894" t="s">
        <v>25158</v>
      </c>
      <c r="F8894" t="s">
        <v>30052</v>
      </c>
      <c r="G8894" t="s">
        <v>30058</v>
      </c>
      <c r="H8894" t="s">
        <v>30067</v>
      </c>
      <c r="I8894" t="s">
        <v>3693</v>
      </c>
      <c r="J8894" t="s">
        <v>30230</v>
      </c>
      <c r="K8894" t="s">
        <v>39019</v>
      </c>
      <c r="M8894" t="s">
        <v>42173</v>
      </c>
      <c r="N8894" t="s">
        <v>43166</v>
      </c>
      <c r="O8894" t="s">
        <v>43167</v>
      </c>
      <c r="P8894">
        <v>0</v>
      </c>
      <c r="Q8894">
        <v>0</v>
      </c>
      <c r="R8894" t="s">
        <v>43174</v>
      </c>
      <c r="S8894" t="s">
        <v>43396</v>
      </c>
      <c r="T8894" t="s">
        <v>44773</v>
      </c>
      <c r="U8894" t="s">
        <v>52334</v>
      </c>
      <c r="V8894" t="s">
        <v>57764</v>
      </c>
      <c r="W8894" t="s">
        <v>42173</v>
      </c>
      <c r="X8894" t="s">
        <v>43175</v>
      </c>
    </row>
    <row r="8895" spans="1:24">
      <c r="A8895">
        <f>HYPERLINK("https://www.philgeps.gov.ph/GEPSNONPILOT/Tender/SplashBidNoticeAbstractUI.aspx?menuIndex=3&amp;refID=7075753&amp;Result=3","7075753")</f>
        <v>0</v>
      </c>
      <c r="B8895" t="s">
        <v>1405</v>
      </c>
      <c r="C8895" t="s">
        <v>11886</v>
      </c>
      <c r="D8895" t="s">
        <v>17415</v>
      </c>
      <c r="E8895" t="s">
        <v>25159</v>
      </c>
      <c r="F8895" t="s">
        <v>30052</v>
      </c>
      <c r="G8895" t="s">
        <v>30058</v>
      </c>
      <c r="H8895" t="s">
        <v>15498</v>
      </c>
      <c r="I8895" t="s">
        <v>30088</v>
      </c>
      <c r="J8895" t="s">
        <v>35620</v>
      </c>
      <c r="K8895" t="s">
        <v>39025</v>
      </c>
      <c r="M8895" t="s">
        <v>40834</v>
      </c>
      <c r="N8895" t="s">
        <v>43166</v>
      </c>
      <c r="O8895" t="s">
        <v>43167</v>
      </c>
      <c r="P8895">
        <v>0</v>
      </c>
      <c r="Q8895">
        <v>23</v>
      </c>
      <c r="R8895" t="s">
        <v>43174</v>
      </c>
      <c r="S8895" t="s">
        <v>43396</v>
      </c>
      <c r="T8895" t="s">
        <v>44921</v>
      </c>
      <c r="U8895" t="s">
        <v>52335</v>
      </c>
      <c r="W8895" t="s">
        <v>40834</v>
      </c>
      <c r="X8895" t="s">
        <v>43175</v>
      </c>
    </row>
    <row r="8896" spans="1:24">
      <c r="A8896">
        <f>HYPERLINK("https://www.philgeps.gov.ph/GEPSNONPILOT/Tender/SplashBidNoticeAbstractUI.aspx?menuIndex=3&amp;refID=7075580&amp;Result=3","7075580")</f>
        <v>0</v>
      </c>
      <c r="B8896" t="s">
        <v>820</v>
      </c>
      <c r="C8896" t="s">
        <v>11887</v>
      </c>
      <c r="E8896" t="s">
        <v>25160</v>
      </c>
      <c r="F8896" t="s">
        <v>30052</v>
      </c>
      <c r="G8896" t="s">
        <v>30059</v>
      </c>
      <c r="H8896" t="s">
        <v>15498</v>
      </c>
      <c r="I8896" t="s">
        <v>3736</v>
      </c>
      <c r="J8896" t="s">
        <v>35621</v>
      </c>
      <c r="K8896" t="s">
        <v>39034</v>
      </c>
      <c r="M8896" t="s">
        <v>40137</v>
      </c>
      <c r="N8896" t="s">
        <v>43166</v>
      </c>
      <c r="O8896" t="s">
        <v>43167</v>
      </c>
      <c r="P8896">
        <v>0</v>
      </c>
      <c r="Q8896">
        <v>0</v>
      </c>
      <c r="R8896" t="s">
        <v>43174</v>
      </c>
      <c r="S8896" t="s">
        <v>43396</v>
      </c>
      <c r="T8896" t="s">
        <v>44737</v>
      </c>
      <c r="U8896" t="s">
        <v>52336</v>
      </c>
      <c r="V8896" t="s">
        <v>57736</v>
      </c>
      <c r="W8896" t="s">
        <v>40137</v>
      </c>
      <c r="X8896" t="s">
        <v>43175</v>
      </c>
    </row>
    <row r="8897" spans="1:24">
      <c r="A8897">
        <f>HYPERLINK("https://www.philgeps.gov.ph/GEPSNONPILOT/Tender/SplashBidNoticeAbstractUI.aspx?menuIndex=3&amp;refID=7075751&amp;Result=3","7075751")</f>
        <v>0</v>
      </c>
      <c r="B8897" t="s">
        <v>2656</v>
      </c>
      <c r="C8897" t="s">
        <v>11888</v>
      </c>
      <c r="D8897" t="s">
        <v>17458</v>
      </c>
      <c r="E8897" t="s">
        <v>25161</v>
      </c>
      <c r="F8897" t="s">
        <v>30052</v>
      </c>
      <c r="G8897" t="s">
        <v>30058</v>
      </c>
      <c r="H8897" t="s">
        <v>30067</v>
      </c>
      <c r="I8897" t="s">
        <v>3693</v>
      </c>
      <c r="J8897" t="s">
        <v>31732</v>
      </c>
      <c r="K8897" t="s">
        <v>39025</v>
      </c>
      <c r="L8897" t="s">
        <v>2656</v>
      </c>
      <c r="M8897" t="s">
        <v>42174</v>
      </c>
      <c r="N8897" t="s">
        <v>43166</v>
      </c>
      <c r="O8897" t="s">
        <v>43167</v>
      </c>
      <c r="Q8897">
        <v>4</v>
      </c>
      <c r="R8897" t="s">
        <v>43174</v>
      </c>
      <c r="S8897" t="s">
        <v>43438</v>
      </c>
      <c r="T8897" t="s">
        <v>44702</v>
      </c>
      <c r="U8897" t="s">
        <v>52337</v>
      </c>
      <c r="V8897" t="s">
        <v>57765</v>
      </c>
      <c r="W8897" t="s">
        <v>42174</v>
      </c>
      <c r="X8897" t="s">
        <v>43175</v>
      </c>
    </row>
    <row r="8898" spans="1:24">
      <c r="A8898">
        <f>HYPERLINK("https://www.philgeps.gov.ph/GEPSNONPILOT/Tender/SplashBidNoticeAbstractUI.aspx?menuIndex=3&amp;refID=7075625&amp;Result=3","7075625")</f>
        <v>0</v>
      </c>
      <c r="B8898" t="s">
        <v>1300</v>
      </c>
      <c r="C8898" t="s">
        <v>11889</v>
      </c>
      <c r="D8898" t="s">
        <v>17434</v>
      </c>
      <c r="E8898" t="s">
        <v>25139</v>
      </c>
      <c r="F8898" t="s">
        <v>30052</v>
      </c>
      <c r="G8898" t="s">
        <v>30058</v>
      </c>
      <c r="H8898" t="s">
        <v>30069</v>
      </c>
      <c r="I8898" t="s">
        <v>30075</v>
      </c>
      <c r="J8898" t="s">
        <v>35622</v>
      </c>
      <c r="K8898" t="s">
        <v>39026</v>
      </c>
      <c r="M8898" t="s">
        <v>40666</v>
      </c>
      <c r="N8898" t="s">
        <v>43166</v>
      </c>
      <c r="O8898" t="s">
        <v>43167</v>
      </c>
      <c r="P8898">
        <v>0</v>
      </c>
      <c r="Q8898">
        <v>4</v>
      </c>
      <c r="R8898" t="s">
        <v>43174</v>
      </c>
      <c r="S8898" t="s">
        <v>43396</v>
      </c>
      <c r="T8898" t="s">
        <v>44796</v>
      </c>
      <c r="U8898" t="s">
        <v>48064</v>
      </c>
      <c r="V8898" t="s">
        <v>57230</v>
      </c>
      <c r="W8898" t="s">
        <v>40666</v>
      </c>
      <c r="X8898" t="s">
        <v>43175</v>
      </c>
    </row>
    <row r="8899" spans="1:24">
      <c r="A8899">
        <f>HYPERLINK("https://www.philgeps.gov.ph/GEPSNONPILOT/Tender/SplashBidNoticeAbstractUI.aspx?menuIndex=3&amp;refID=7075620&amp;Result=3","7075620")</f>
        <v>0</v>
      </c>
      <c r="B8899" t="s">
        <v>810</v>
      </c>
      <c r="C8899" t="s">
        <v>11890</v>
      </c>
      <c r="D8899" t="s">
        <v>17458</v>
      </c>
      <c r="E8899" t="s">
        <v>11890</v>
      </c>
      <c r="F8899" t="s">
        <v>30052</v>
      </c>
      <c r="G8899" t="s">
        <v>30058</v>
      </c>
      <c r="H8899" t="s">
        <v>30067</v>
      </c>
      <c r="I8899" t="s">
        <v>30082</v>
      </c>
      <c r="J8899" t="s">
        <v>35623</v>
      </c>
      <c r="K8899" t="s">
        <v>39025</v>
      </c>
      <c r="M8899" t="s">
        <v>40778</v>
      </c>
      <c r="N8899" t="s">
        <v>43166</v>
      </c>
      <c r="O8899" t="s">
        <v>43167</v>
      </c>
      <c r="P8899">
        <v>0</v>
      </c>
      <c r="Q8899">
        <v>0</v>
      </c>
      <c r="R8899" t="s">
        <v>43174</v>
      </c>
      <c r="S8899" t="s">
        <v>43396</v>
      </c>
      <c r="T8899" t="s">
        <v>45049</v>
      </c>
      <c r="U8899" t="s">
        <v>52338</v>
      </c>
      <c r="W8899" t="s">
        <v>40778</v>
      </c>
      <c r="X8899" t="s">
        <v>43175</v>
      </c>
    </row>
    <row r="8900" spans="1:24">
      <c r="A8900">
        <f>HYPERLINK("https://www.philgeps.gov.ph/GEPSNONPILOT/Tender/SplashBidNoticeAbstractUI.aspx?menuIndex=3&amp;refID=7075746&amp;Result=3","7075746")</f>
        <v>0</v>
      </c>
      <c r="B8900" t="s">
        <v>141</v>
      </c>
      <c r="C8900" t="s">
        <v>11891</v>
      </c>
      <c r="D8900" t="s">
        <v>17476</v>
      </c>
      <c r="E8900" t="s">
        <v>25162</v>
      </c>
      <c r="F8900" t="s">
        <v>30052</v>
      </c>
      <c r="G8900" t="s">
        <v>30058</v>
      </c>
      <c r="H8900" t="s">
        <v>15498</v>
      </c>
      <c r="I8900" t="s">
        <v>30100</v>
      </c>
      <c r="J8900" t="s">
        <v>35624</v>
      </c>
      <c r="K8900" t="s">
        <v>39017</v>
      </c>
      <c r="M8900" t="s">
        <v>40426</v>
      </c>
      <c r="N8900" t="s">
        <v>43166</v>
      </c>
      <c r="O8900" t="s">
        <v>43167</v>
      </c>
      <c r="P8900">
        <v>0</v>
      </c>
      <c r="Q8900">
        <v>6</v>
      </c>
      <c r="R8900" t="s">
        <v>43174</v>
      </c>
      <c r="S8900" t="s">
        <v>43396</v>
      </c>
      <c r="T8900" t="s">
        <v>45005</v>
      </c>
      <c r="U8900" t="s">
        <v>52339</v>
      </c>
      <c r="W8900" t="s">
        <v>40426</v>
      </c>
      <c r="X8900" t="s">
        <v>43175</v>
      </c>
    </row>
    <row r="8901" spans="1:24">
      <c r="A8901">
        <f>HYPERLINK("https://www.philgeps.gov.ph/GEPSNONPILOT/Tender/SplashBidNoticeAbstractUI.aspx?menuIndex=3&amp;refID=7075755&amp;Result=3","7075755")</f>
        <v>0</v>
      </c>
      <c r="B8901" t="s">
        <v>2656</v>
      </c>
      <c r="C8901" t="s">
        <v>11892</v>
      </c>
      <c r="D8901" t="s">
        <v>17458</v>
      </c>
      <c r="E8901" t="s">
        <v>25163</v>
      </c>
      <c r="F8901" t="s">
        <v>30052</v>
      </c>
      <c r="G8901" t="s">
        <v>30058</v>
      </c>
      <c r="H8901" t="s">
        <v>30067</v>
      </c>
      <c r="I8901" t="s">
        <v>3693</v>
      </c>
      <c r="J8901" t="s">
        <v>35625</v>
      </c>
      <c r="K8901" t="s">
        <v>39025</v>
      </c>
      <c r="L8901" t="s">
        <v>2656</v>
      </c>
      <c r="M8901" t="s">
        <v>42174</v>
      </c>
      <c r="N8901" t="s">
        <v>43166</v>
      </c>
      <c r="O8901" t="s">
        <v>43167</v>
      </c>
      <c r="Q8901">
        <v>1</v>
      </c>
      <c r="R8901" t="s">
        <v>43174</v>
      </c>
      <c r="S8901" t="s">
        <v>43438</v>
      </c>
      <c r="T8901" t="s">
        <v>44702</v>
      </c>
      <c r="U8901" t="s">
        <v>52337</v>
      </c>
      <c r="V8901" t="s">
        <v>57765</v>
      </c>
      <c r="W8901" t="s">
        <v>42174</v>
      </c>
      <c r="X8901" t="s">
        <v>43175</v>
      </c>
    </row>
    <row r="8902" spans="1:24">
      <c r="A8902">
        <f>HYPERLINK("https://www.philgeps.gov.ph/GEPSNONPILOT/Tender/SplashBidNoticeAbstractUI.aspx?menuIndex=3&amp;refID=7075738&amp;Result=3","7075738")</f>
        <v>0</v>
      </c>
      <c r="B8902" t="s">
        <v>2657</v>
      </c>
      <c r="C8902" t="s">
        <v>8263</v>
      </c>
      <c r="D8902" t="s">
        <v>17441</v>
      </c>
      <c r="E8902" t="s">
        <v>25164</v>
      </c>
      <c r="F8902" t="s">
        <v>30052</v>
      </c>
      <c r="G8902" t="s">
        <v>30058</v>
      </c>
      <c r="H8902" t="s">
        <v>30067</v>
      </c>
      <c r="I8902" t="s">
        <v>3693</v>
      </c>
      <c r="J8902" t="s">
        <v>34027</v>
      </c>
      <c r="K8902" t="s">
        <v>39025</v>
      </c>
      <c r="M8902" t="s">
        <v>42175</v>
      </c>
      <c r="N8902" t="s">
        <v>43166</v>
      </c>
      <c r="O8902" t="s">
        <v>43167</v>
      </c>
      <c r="P8902">
        <v>0</v>
      </c>
      <c r="Q8902">
        <v>3</v>
      </c>
      <c r="R8902" t="s">
        <v>43174</v>
      </c>
      <c r="S8902" t="s">
        <v>43396</v>
      </c>
      <c r="T8902" t="s">
        <v>44837</v>
      </c>
      <c r="U8902" t="s">
        <v>52340</v>
      </c>
      <c r="V8902" t="s">
        <v>57397</v>
      </c>
      <c r="W8902" t="s">
        <v>42175</v>
      </c>
      <c r="X8902" t="s">
        <v>43175</v>
      </c>
    </row>
    <row r="8903" spans="1:24">
      <c r="A8903">
        <f>HYPERLINK("https://www.philgeps.gov.ph/GEPSNONPILOT/Tender/SplashBidNoticeAbstractUI.aspx?menuIndex=3&amp;refID=7075737&amp;Result=3","7075737")</f>
        <v>0</v>
      </c>
      <c r="B8903" t="s">
        <v>2318</v>
      </c>
      <c r="C8903" t="s">
        <v>11893</v>
      </c>
      <c r="D8903" t="s">
        <v>17473</v>
      </c>
      <c r="E8903" t="s">
        <v>25165</v>
      </c>
      <c r="F8903" t="s">
        <v>30052</v>
      </c>
      <c r="G8903" t="s">
        <v>30059</v>
      </c>
      <c r="H8903" t="s">
        <v>15498</v>
      </c>
      <c r="I8903" t="s">
        <v>9238</v>
      </c>
      <c r="J8903" t="s">
        <v>35626</v>
      </c>
      <c r="K8903" t="s">
        <v>39029</v>
      </c>
      <c r="M8903" t="s">
        <v>41804</v>
      </c>
      <c r="N8903" t="s">
        <v>43166</v>
      </c>
      <c r="O8903" t="s">
        <v>43167</v>
      </c>
      <c r="P8903">
        <v>0</v>
      </c>
      <c r="Q8903">
        <v>3</v>
      </c>
      <c r="R8903" t="s">
        <v>43174</v>
      </c>
      <c r="S8903" t="s">
        <v>43396</v>
      </c>
      <c r="T8903" t="s">
        <v>44856</v>
      </c>
      <c r="U8903" t="s">
        <v>52341</v>
      </c>
      <c r="W8903" t="s">
        <v>41804</v>
      </c>
      <c r="X8903" t="s">
        <v>43175</v>
      </c>
    </row>
    <row r="8904" spans="1:24">
      <c r="A8904">
        <f>HYPERLINK("https://www.philgeps.gov.ph/GEPSNONPILOT/Tender/SplashBidNoticeAbstractUI.aspx?menuIndex=3&amp;refID=7075735&amp;Result=3","7075735")</f>
        <v>0</v>
      </c>
      <c r="B8904" t="s">
        <v>2658</v>
      </c>
      <c r="C8904" t="s">
        <v>11894</v>
      </c>
      <c r="D8904" t="s">
        <v>17466</v>
      </c>
      <c r="E8904" t="s">
        <v>25166</v>
      </c>
      <c r="F8904" t="s">
        <v>30052</v>
      </c>
      <c r="G8904" t="s">
        <v>30058</v>
      </c>
      <c r="H8904" t="s">
        <v>15498</v>
      </c>
      <c r="I8904" t="s">
        <v>30101</v>
      </c>
      <c r="J8904" t="s">
        <v>35627</v>
      </c>
      <c r="K8904" t="s">
        <v>39029</v>
      </c>
      <c r="M8904" t="s">
        <v>42176</v>
      </c>
      <c r="N8904" t="s">
        <v>43166</v>
      </c>
      <c r="O8904" t="s">
        <v>43167</v>
      </c>
      <c r="P8904">
        <v>0</v>
      </c>
      <c r="Q8904">
        <v>26</v>
      </c>
      <c r="R8904" t="s">
        <v>43174</v>
      </c>
      <c r="S8904" t="s">
        <v>43396</v>
      </c>
      <c r="T8904" t="s">
        <v>44758</v>
      </c>
      <c r="U8904" t="s">
        <v>52342</v>
      </c>
      <c r="W8904" t="s">
        <v>42176</v>
      </c>
      <c r="X8904" t="s">
        <v>43175</v>
      </c>
    </row>
    <row r="8905" spans="1:24">
      <c r="A8905">
        <f>HYPERLINK("https://www.philgeps.gov.ph/GEPSNONPILOT/Tender/SplashBidNoticeAbstractUI.aspx?menuIndex=3&amp;refID=7075797&amp;Result=3","7075797")</f>
        <v>0</v>
      </c>
      <c r="B8905" t="s">
        <v>2659</v>
      </c>
      <c r="C8905" t="s">
        <v>11895</v>
      </c>
      <c r="D8905" t="s">
        <v>17415</v>
      </c>
      <c r="E8905" t="s">
        <v>25167</v>
      </c>
      <c r="F8905" t="s">
        <v>30052</v>
      </c>
      <c r="G8905" t="s">
        <v>30058</v>
      </c>
      <c r="H8905" t="s">
        <v>30068</v>
      </c>
      <c r="I8905" t="s">
        <v>30090</v>
      </c>
      <c r="J8905" t="s">
        <v>30248</v>
      </c>
      <c r="K8905" t="s">
        <v>39017</v>
      </c>
      <c r="M8905" t="s">
        <v>42177</v>
      </c>
      <c r="N8905" t="s">
        <v>43166</v>
      </c>
      <c r="O8905" t="s">
        <v>43167</v>
      </c>
      <c r="P8905">
        <v>0</v>
      </c>
      <c r="Q8905">
        <v>1</v>
      </c>
      <c r="R8905" t="s">
        <v>43174</v>
      </c>
      <c r="S8905" t="s">
        <v>43396</v>
      </c>
      <c r="T8905" t="s">
        <v>44698</v>
      </c>
      <c r="U8905" t="s">
        <v>52343</v>
      </c>
      <c r="W8905" t="s">
        <v>42177</v>
      </c>
      <c r="X8905" t="s">
        <v>43175</v>
      </c>
    </row>
    <row r="8906" spans="1:24">
      <c r="A8906">
        <f>HYPERLINK("https://www.philgeps.gov.ph/GEPSNONPILOT/Tender/SplashBidNoticeAbstractUI.aspx?menuIndex=3&amp;refID=7075756&amp;Result=3","7075756")</f>
        <v>0</v>
      </c>
      <c r="B8906" t="s">
        <v>2543</v>
      </c>
      <c r="C8906" t="s">
        <v>11896</v>
      </c>
      <c r="D8906" t="s">
        <v>17415</v>
      </c>
      <c r="E8906" t="s">
        <v>21120</v>
      </c>
      <c r="F8906" t="s">
        <v>30052</v>
      </c>
      <c r="G8906" t="s">
        <v>30059</v>
      </c>
      <c r="H8906" t="s">
        <v>15498</v>
      </c>
      <c r="I8906" t="s">
        <v>4650</v>
      </c>
      <c r="J8906" t="s">
        <v>35207</v>
      </c>
      <c r="K8906" t="s">
        <v>39037</v>
      </c>
      <c r="M8906" t="s">
        <v>42178</v>
      </c>
      <c r="N8906" t="s">
        <v>43166</v>
      </c>
      <c r="O8906" t="s">
        <v>43167</v>
      </c>
      <c r="Q8906">
        <v>1</v>
      </c>
      <c r="R8906" t="s">
        <v>43174</v>
      </c>
      <c r="S8906" t="s">
        <v>43439</v>
      </c>
      <c r="T8906" t="s">
        <v>44728</v>
      </c>
      <c r="U8906" t="s">
        <v>52344</v>
      </c>
      <c r="W8906" t="s">
        <v>42178</v>
      </c>
      <c r="X8906" t="s">
        <v>43175</v>
      </c>
    </row>
    <row r="8907" spans="1:24">
      <c r="A8907">
        <f>HYPERLINK("https://www.philgeps.gov.ph/GEPSNONPILOT/Tender/SplashBidNoticeAbstractUI.aspx?menuIndex=3&amp;refID=7075805&amp;Result=3","7075805")</f>
        <v>0</v>
      </c>
      <c r="B8907" t="s">
        <v>1181</v>
      </c>
      <c r="C8907" t="s">
        <v>11897</v>
      </c>
      <c r="D8907" t="s">
        <v>17444</v>
      </c>
      <c r="E8907" t="s">
        <v>25168</v>
      </c>
      <c r="F8907" t="s">
        <v>30052</v>
      </c>
      <c r="G8907" t="s">
        <v>30061</v>
      </c>
      <c r="H8907" t="s">
        <v>15498</v>
      </c>
      <c r="I8907" t="s">
        <v>7228</v>
      </c>
      <c r="J8907" t="s">
        <v>35628</v>
      </c>
      <c r="K8907" t="s">
        <v>39025</v>
      </c>
      <c r="M8907" t="s">
        <v>40531</v>
      </c>
      <c r="N8907" t="s">
        <v>43166</v>
      </c>
      <c r="O8907" t="s">
        <v>43167</v>
      </c>
      <c r="P8907">
        <v>0</v>
      </c>
      <c r="Q8907">
        <v>0</v>
      </c>
      <c r="R8907" t="s">
        <v>43174</v>
      </c>
      <c r="S8907" t="s">
        <v>43396</v>
      </c>
      <c r="T8907" t="s">
        <v>44870</v>
      </c>
      <c r="U8907" t="s">
        <v>52345</v>
      </c>
      <c r="W8907" t="s">
        <v>40531</v>
      </c>
      <c r="X8907" t="s">
        <v>43175</v>
      </c>
    </row>
    <row r="8908" spans="1:24">
      <c r="A8908">
        <f>HYPERLINK("https://www.philgeps.gov.ph/GEPSNONPILOT/Tender/SplashBidNoticeAbstractUI.aspx?menuIndex=3&amp;refID=7075742&amp;Result=3","7075742")</f>
        <v>0</v>
      </c>
      <c r="B8908" t="s">
        <v>2318</v>
      </c>
      <c r="C8908" t="s">
        <v>11898</v>
      </c>
      <c r="D8908" t="s">
        <v>17473</v>
      </c>
      <c r="E8908" t="s">
        <v>25169</v>
      </c>
      <c r="F8908" t="s">
        <v>30052</v>
      </c>
      <c r="G8908" t="s">
        <v>30059</v>
      </c>
      <c r="H8908" t="s">
        <v>15498</v>
      </c>
      <c r="I8908" t="s">
        <v>30076</v>
      </c>
      <c r="J8908" t="s">
        <v>30218</v>
      </c>
      <c r="K8908" t="s">
        <v>39029</v>
      </c>
      <c r="M8908" t="s">
        <v>41804</v>
      </c>
      <c r="N8908" t="s">
        <v>43166</v>
      </c>
      <c r="O8908" t="s">
        <v>43167</v>
      </c>
      <c r="P8908">
        <v>0</v>
      </c>
      <c r="Q8908">
        <v>2</v>
      </c>
      <c r="R8908" t="s">
        <v>43174</v>
      </c>
      <c r="S8908" t="s">
        <v>43396</v>
      </c>
      <c r="T8908" t="s">
        <v>44856</v>
      </c>
      <c r="U8908" t="s">
        <v>52346</v>
      </c>
      <c r="W8908" t="s">
        <v>41804</v>
      </c>
      <c r="X8908" t="s">
        <v>43175</v>
      </c>
    </row>
    <row r="8909" spans="1:24">
      <c r="A8909">
        <f>HYPERLINK("https://www.philgeps.gov.ph/GEPSNONPILOT/Tender/SplashBidNoticeAbstractUI.aspx?menuIndex=3&amp;refID=7075799&amp;Result=3","7075799")</f>
        <v>0</v>
      </c>
      <c r="B8909" t="s">
        <v>2656</v>
      </c>
      <c r="C8909" t="s">
        <v>11899</v>
      </c>
      <c r="D8909" t="s">
        <v>17458</v>
      </c>
      <c r="E8909" t="s">
        <v>25170</v>
      </c>
      <c r="F8909" t="s">
        <v>30052</v>
      </c>
      <c r="G8909" t="s">
        <v>30058</v>
      </c>
      <c r="H8909" t="s">
        <v>30067</v>
      </c>
      <c r="I8909" t="s">
        <v>3693</v>
      </c>
      <c r="J8909" t="s">
        <v>35629</v>
      </c>
      <c r="K8909" t="s">
        <v>39025</v>
      </c>
      <c r="L8909" t="s">
        <v>2656</v>
      </c>
      <c r="M8909" t="s">
        <v>42174</v>
      </c>
      <c r="N8909" t="s">
        <v>43166</v>
      </c>
      <c r="O8909" t="s">
        <v>43167</v>
      </c>
      <c r="Q8909">
        <v>0</v>
      </c>
      <c r="R8909" t="s">
        <v>43174</v>
      </c>
      <c r="S8909" t="s">
        <v>43440</v>
      </c>
      <c r="T8909" t="s">
        <v>44702</v>
      </c>
      <c r="U8909" t="s">
        <v>52337</v>
      </c>
      <c r="V8909" t="s">
        <v>57765</v>
      </c>
      <c r="W8909" t="s">
        <v>42174</v>
      </c>
      <c r="X8909" t="s">
        <v>43175</v>
      </c>
    </row>
    <row r="8910" spans="1:24">
      <c r="A8910">
        <f>HYPERLINK("https://www.philgeps.gov.ph/GEPSNONPILOT/Tender/SplashBidNoticeAbstractUI.aspx?menuIndex=3&amp;refID=7075794&amp;Result=3","7075794")</f>
        <v>0</v>
      </c>
      <c r="B8910" t="s">
        <v>2660</v>
      </c>
      <c r="C8910" t="s">
        <v>11900</v>
      </c>
      <c r="D8910" t="s">
        <v>17415</v>
      </c>
      <c r="E8910" t="s">
        <v>25171</v>
      </c>
      <c r="F8910" t="s">
        <v>30052</v>
      </c>
      <c r="G8910" t="s">
        <v>30058</v>
      </c>
      <c r="H8910" t="s">
        <v>30067</v>
      </c>
      <c r="I8910" t="s">
        <v>3693</v>
      </c>
      <c r="J8910" t="s">
        <v>35630</v>
      </c>
      <c r="K8910" t="s">
        <v>39031</v>
      </c>
      <c r="M8910" t="s">
        <v>42179</v>
      </c>
      <c r="N8910" t="s">
        <v>43166</v>
      </c>
      <c r="O8910" t="s">
        <v>43167</v>
      </c>
      <c r="P8910">
        <v>0</v>
      </c>
      <c r="Q8910">
        <v>4</v>
      </c>
      <c r="R8910" t="s">
        <v>43174</v>
      </c>
      <c r="S8910" t="s">
        <v>43396</v>
      </c>
      <c r="T8910" t="s">
        <v>44892</v>
      </c>
      <c r="U8910" t="s">
        <v>52347</v>
      </c>
      <c r="V8910" t="s">
        <v>57766</v>
      </c>
      <c r="W8910" t="s">
        <v>42179</v>
      </c>
      <c r="X8910" t="s">
        <v>43175</v>
      </c>
    </row>
    <row r="8911" spans="1:24">
      <c r="A8911">
        <f>HYPERLINK("https://www.philgeps.gov.ph/GEPSNONPILOT/Tender/SplashBidNoticeAbstractUI.aspx?menuIndex=3&amp;refID=7075741&amp;Result=3","7075741")</f>
        <v>0</v>
      </c>
      <c r="B8911" t="s">
        <v>2657</v>
      </c>
      <c r="C8911" t="s">
        <v>11519</v>
      </c>
      <c r="D8911" t="s">
        <v>17441</v>
      </c>
      <c r="E8911" t="s">
        <v>25172</v>
      </c>
      <c r="F8911" t="s">
        <v>30052</v>
      </c>
      <c r="G8911" t="s">
        <v>30058</v>
      </c>
      <c r="H8911" t="s">
        <v>30067</v>
      </c>
      <c r="I8911" t="s">
        <v>3693</v>
      </c>
      <c r="J8911" t="s">
        <v>35631</v>
      </c>
      <c r="K8911" t="s">
        <v>39025</v>
      </c>
      <c r="M8911" t="s">
        <v>42175</v>
      </c>
      <c r="N8911" t="s">
        <v>43166</v>
      </c>
      <c r="O8911" t="s">
        <v>43167</v>
      </c>
      <c r="P8911">
        <v>0</v>
      </c>
      <c r="Q8911">
        <v>3</v>
      </c>
      <c r="R8911" t="s">
        <v>43174</v>
      </c>
      <c r="S8911" t="s">
        <v>43396</v>
      </c>
      <c r="T8911" t="s">
        <v>44837</v>
      </c>
      <c r="U8911" t="s">
        <v>52348</v>
      </c>
      <c r="V8911" t="s">
        <v>57640</v>
      </c>
      <c r="W8911" t="s">
        <v>42175</v>
      </c>
      <c r="X8911" t="s">
        <v>43175</v>
      </c>
    </row>
    <row r="8912" spans="1:24">
      <c r="A8912">
        <f>HYPERLINK("https://www.philgeps.gov.ph/GEPSNONPILOT/Tender/SplashBidNoticeAbstractUI.aspx?menuIndex=3&amp;refID=7075791&amp;Result=3","7075791")</f>
        <v>0</v>
      </c>
      <c r="B8912" t="s">
        <v>2656</v>
      </c>
      <c r="C8912" t="s">
        <v>11901</v>
      </c>
      <c r="D8912" t="s">
        <v>17458</v>
      </c>
      <c r="E8912" t="s">
        <v>25173</v>
      </c>
      <c r="F8912" t="s">
        <v>30052</v>
      </c>
      <c r="G8912" t="s">
        <v>30058</v>
      </c>
      <c r="H8912" t="s">
        <v>30067</v>
      </c>
      <c r="I8912" t="s">
        <v>3693</v>
      </c>
      <c r="J8912" t="s">
        <v>34506</v>
      </c>
      <c r="K8912" t="s">
        <v>39025</v>
      </c>
      <c r="L8912" t="s">
        <v>2656</v>
      </c>
      <c r="M8912" t="s">
        <v>42174</v>
      </c>
      <c r="N8912" t="s">
        <v>43166</v>
      </c>
      <c r="O8912" t="s">
        <v>43167</v>
      </c>
      <c r="P8912">
        <v>0</v>
      </c>
      <c r="Q8912">
        <v>1</v>
      </c>
      <c r="R8912" t="s">
        <v>43174</v>
      </c>
      <c r="S8912" t="s">
        <v>43396</v>
      </c>
      <c r="T8912" t="s">
        <v>44758</v>
      </c>
      <c r="U8912" t="s">
        <v>52337</v>
      </c>
      <c r="V8912" t="s">
        <v>57765</v>
      </c>
      <c r="W8912" t="s">
        <v>42174</v>
      </c>
      <c r="X8912" t="s">
        <v>43175</v>
      </c>
    </row>
    <row r="8913" spans="1:24">
      <c r="A8913">
        <f>HYPERLINK("https://www.philgeps.gov.ph/GEPSNONPILOT/Tender/SplashBidNoticeAbstractUI.aspx?menuIndex=3&amp;refID=7075788&amp;Result=3","7075788")</f>
        <v>0</v>
      </c>
      <c r="B8913" t="s">
        <v>2656</v>
      </c>
      <c r="C8913" t="s">
        <v>11902</v>
      </c>
      <c r="D8913" t="s">
        <v>17458</v>
      </c>
      <c r="E8913" t="s">
        <v>25174</v>
      </c>
      <c r="F8913" t="s">
        <v>30052</v>
      </c>
      <c r="G8913" t="s">
        <v>30058</v>
      </c>
      <c r="H8913" t="s">
        <v>30067</v>
      </c>
      <c r="I8913" t="s">
        <v>3693</v>
      </c>
      <c r="J8913" t="s">
        <v>31835</v>
      </c>
      <c r="K8913" t="s">
        <v>39025</v>
      </c>
      <c r="L8913" t="s">
        <v>2656</v>
      </c>
      <c r="M8913" t="s">
        <v>42174</v>
      </c>
      <c r="N8913" t="s">
        <v>43166</v>
      </c>
      <c r="O8913" t="s">
        <v>43167</v>
      </c>
      <c r="P8913">
        <v>0</v>
      </c>
      <c r="Q8913">
        <v>0</v>
      </c>
      <c r="R8913" t="s">
        <v>43174</v>
      </c>
      <c r="S8913" t="s">
        <v>43396</v>
      </c>
      <c r="T8913" t="s">
        <v>44758</v>
      </c>
      <c r="U8913" t="s">
        <v>52337</v>
      </c>
      <c r="V8913" t="s">
        <v>57765</v>
      </c>
      <c r="W8913" t="s">
        <v>42174</v>
      </c>
      <c r="X8913" t="s">
        <v>43175</v>
      </c>
    </row>
    <row r="8914" spans="1:24">
      <c r="A8914">
        <f>HYPERLINK("https://www.philgeps.gov.ph/GEPSNONPILOT/Tender/SplashBidNoticeAbstractUI.aspx?menuIndex=3&amp;refID=7075774&amp;Result=3","7075774")</f>
        <v>0</v>
      </c>
      <c r="B8914" t="s">
        <v>1405</v>
      </c>
      <c r="C8914" t="s">
        <v>11903</v>
      </c>
      <c r="D8914" t="s">
        <v>17415</v>
      </c>
      <c r="E8914" t="s">
        <v>25175</v>
      </c>
      <c r="F8914" t="s">
        <v>30052</v>
      </c>
      <c r="G8914" t="s">
        <v>30058</v>
      </c>
      <c r="H8914" t="s">
        <v>15498</v>
      </c>
      <c r="I8914" t="s">
        <v>30088</v>
      </c>
      <c r="J8914" t="s">
        <v>30205</v>
      </c>
      <c r="K8914" t="s">
        <v>39025</v>
      </c>
      <c r="M8914" t="s">
        <v>40834</v>
      </c>
      <c r="N8914" t="s">
        <v>43166</v>
      </c>
      <c r="O8914" t="s">
        <v>43167</v>
      </c>
      <c r="P8914">
        <v>0</v>
      </c>
      <c r="Q8914">
        <v>23</v>
      </c>
      <c r="R8914" t="s">
        <v>43174</v>
      </c>
      <c r="S8914" t="s">
        <v>43396</v>
      </c>
      <c r="T8914" t="s">
        <v>45108</v>
      </c>
      <c r="U8914" t="s">
        <v>52349</v>
      </c>
      <c r="W8914" t="s">
        <v>40834</v>
      </c>
      <c r="X8914" t="s">
        <v>43175</v>
      </c>
    </row>
    <row r="8915" spans="1:24">
      <c r="A8915">
        <f>HYPERLINK("https://www.philgeps.gov.ph/GEPSNONPILOT/Tender/SplashBidNoticeAbstractUI.aspx?menuIndex=3&amp;refID=7075744&amp;Result=3","7075744")</f>
        <v>0</v>
      </c>
      <c r="B8915" t="s">
        <v>1607</v>
      </c>
      <c r="C8915" t="s">
        <v>11904</v>
      </c>
      <c r="E8915" t="s">
        <v>25176</v>
      </c>
      <c r="F8915" t="s">
        <v>30052</v>
      </c>
      <c r="G8915" t="s">
        <v>30058</v>
      </c>
      <c r="H8915" t="s">
        <v>15498</v>
      </c>
      <c r="I8915" t="s">
        <v>30140</v>
      </c>
      <c r="J8915" t="s">
        <v>30555</v>
      </c>
      <c r="K8915" t="s">
        <v>39025</v>
      </c>
      <c r="M8915" t="s">
        <v>41006</v>
      </c>
      <c r="N8915" t="s">
        <v>43166</v>
      </c>
      <c r="O8915" t="s">
        <v>43167</v>
      </c>
      <c r="P8915">
        <v>0</v>
      </c>
      <c r="Q8915">
        <v>20</v>
      </c>
      <c r="R8915" t="s">
        <v>43174</v>
      </c>
      <c r="S8915" t="s">
        <v>43396</v>
      </c>
      <c r="T8915" t="s">
        <v>44922</v>
      </c>
      <c r="U8915" t="s">
        <v>52350</v>
      </c>
      <c r="W8915" t="s">
        <v>41006</v>
      </c>
      <c r="X8915" t="s">
        <v>43175</v>
      </c>
    </row>
    <row r="8916" spans="1:24">
      <c r="A8916">
        <f>HYPERLINK("https://www.philgeps.gov.ph/GEPSNONPILOT/Tender/SplashBidNoticeAbstractUI.aspx?menuIndex=3&amp;refID=7075671&amp;Result=3","7075671")</f>
        <v>0</v>
      </c>
      <c r="B8916" t="s">
        <v>2318</v>
      </c>
      <c r="C8916" t="s">
        <v>11905</v>
      </c>
      <c r="D8916" t="s">
        <v>17473</v>
      </c>
      <c r="E8916" t="s">
        <v>25177</v>
      </c>
      <c r="F8916" t="s">
        <v>30052</v>
      </c>
      <c r="G8916" t="s">
        <v>30059</v>
      </c>
      <c r="H8916" t="s">
        <v>15498</v>
      </c>
      <c r="I8916" t="s">
        <v>3736</v>
      </c>
      <c r="J8916" t="s">
        <v>35632</v>
      </c>
      <c r="K8916" t="s">
        <v>39029</v>
      </c>
      <c r="M8916" t="s">
        <v>41804</v>
      </c>
      <c r="N8916" t="s">
        <v>43166</v>
      </c>
      <c r="O8916" t="s">
        <v>43167</v>
      </c>
      <c r="P8916">
        <v>0</v>
      </c>
      <c r="Q8916">
        <v>0</v>
      </c>
      <c r="R8916" t="s">
        <v>43174</v>
      </c>
      <c r="S8916" t="s">
        <v>43396</v>
      </c>
      <c r="T8916" t="s">
        <v>44806</v>
      </c>
      <c r="U8916" t="s">
        <v>52351</v>
      </c>
      <c r="W8916" t="s">
        <v>41804</v>
      </c>
      <c r="X8916" t="s">
        <v>43175</v>
      </c>
    </row>
    <row r="8917" spans="1:24">
      <c r="A8917">
        <f>HYPERLINK("https://www.philgeps.gov.ph/GEPSNONPILOT/Tender/SplashBidNoticeAbstractUI.aspx?menuIndex=3&amp;refID=7075783&amp;Result=3","7075783")</f>
        <v>0</v>
      </c>
      <c r="B8917" t="s">
        <v>2656</v>
      </c>
      <c r="C8917" t="s">
        <v>11906</v>
      </c>
      <c r="D8917" t="s">
        <v>17458</v>
      </c>
      <c r="E8917" t="s">
        <v>25178</v>
      </c>
      <c r="F8917" t="s">
        <v>30052</v>
      </c>
      <c r="G8917" t="s">
        <v>30058</v>
      </c>
      <c r="H8917" t="s">
        <v>30067</v>
      </c>
      <c r="I8917" t="s">
        <v>3693</v>
      </c>
      <c r="J8917" t="s">
        <v>35633</v>
      </c>
      <c r="K8917" t="s">
        <v>39025</v>
      </c>
      <c r="L8917" t="s">
        <v>2656</v>
      </c>
      <c r="M8917" t="s">
        <v>42174</v>
      </c>
      <c r="N8917" t="s">
        <v>43166</v>
      </c>
      <c r="O8917" t="s">
        <v>43167</v>
      </c>
      <c r="Q8917">
        <v>0</v>
      </c>
      <c r="R8917" t="s">
        <v>43174</v>
      </c>
      <c r="S8917" t="s">
        <v>43440</v>
      </c>
      <c r="T8917" t="s">
        <v>44702</v>
      </c>
      <c r="U8917" t="s">
        <v>52337</v>
      </c>
      <c r="V8917" t="s">
        <v>57765</v>
      </c>
      <c r="W8917" t="s">
        <v>42174</v>
      </c>
      <c r="X8917" t="s">
        <v>43175</v>
      </c>
    </row>
    <row r="8918" spans="1:24">
      <c r="A8918">
        <f>HYPERLINK("https://www.philgeps.gov.ph/GEPSNONPILOT/Tender/SplashBidNoticeAbstractUI.aspx?menuIndex=3&amp;refID=7075771&amp;Result=3","7075771")</f>
        <v>0</v>
      </c>
      <c r="B8918" t="s">
        <v>2660</v>
      </c>
      <c r="C8918" t="s">
        <v>11907</v>
      </c>
      <c r="D8918" t="s">
        <v>17415</v>
      </c>
      <c r="E8918" t="s">
        <v>25179</v>
      </c>
      <c r="F8918" t="s">
        <v>30052</v>
      </c>
      <c r="G8918" t="s">
        <v>30058</v>
      </c>
      <c r="H8918" t="s">
        <v>30067</v>
      </c>
      <c r="I8918" t="s">
        <v>3693</v>
      </c>
      <c r="J8918" t="s">
        <v>35634</v>
      </c>
      <c r="K8918" t="s">
        <v>39031</v>
      </c>
      <c r="M8918" t="s">
        <v>42179</v>
      </c>
      <c r="N8918" t="s">
        <v>43166</v>
      </c>
      <c r="O8918" t="s">
        <v>43167</v>
      </c>
      <c r="P8918">
        <v>0</v>
      </c>
      <c r="Q8918">
        <v>5</v>
      </c>
      <c r="R8918" t="s">
        <v>43174</v>
      </c>
      <c r="S8918" t="s">
        <v>43396</v>
      </c>
      <c r="T8918" t="s">
        <v>44896</v>
      </c>
      <c r="U8918" t="s">
        <v>52352</v>
      </c>
      <c r="V8918" t="s">
        <v>57766</v>
      </c>
      <c r="W8918" t="s">
        <v>42179</v>
      </c>
      <c r="X8918" t="s">
        <v>43175</v>
      </c>
    </row>
    <row r="8919" spans="1:24">
      <c r="A8919">
        <f>HYPERLINK("https://www.philgeps.gov.ph/GEPSNONPILOT/Tender/SplashBidNoticeAbstractUI.aspx?menuIndex=3&amp;refID=7075764&amp;Result=3","7075764")</f>
        <v>0</v>
      </c>
      <c r="B8919" t="s">
        <v>202</v>
      </c>
      <c r="C8919" t="s">
        <v>11908</v>
      </c>
      <c r="D8919" t="s">
        <v>17461</v>
      </c>
      <c r="E8919" t="s">
        <v>25180</v>
      </c>
      <c r="F8919" t="s">
        <v>30052</v>
      </c>
      <c r="G8919" t="s">
        <v>30058</v>
      </c>
      <c r="H8919" t="s">
        <v>15498</v>
      </c>
      <c r="I8919" t="s">
        <v>30078</v>
      </c>
      <c r="J8919" t="s">
        <v>35635</v>
      </c>
      <c r="K8919" t="s">
        <v>39019</v>
      </c>
      <c r="L8919" t="s">
        <v>202</v>
      </c>
      <c r="M8919" t="s">
        <v>39492</v>
      </c>
      <c r="N8919" t="s">
        <v>43166</v>
      </c>
      <c r="O8919" t="s">
        <v>43167</v>
      </c>
      <c r="P8919">
        <v>0</v>
      </c>
      <c r="Q8919">
        <v>1</v>
      </c>
      <c r="R8919" t="s">
        <v>43174</v>
      </c>
      <c r="S8919" t="s">
        <v>43396</v>
      </c>
      <c r="T8919" t="s">
        <v>44862</v>
      </c>
      <c r="U8919" t="s">
        <v>52353</v>
      </c>
      <c r="W8919" t="s">
        <v>39492</v>
      </c>
      <c r="X8919" t="s">
        <v>43175</v>
      </c>
    </row>
    <row r="8920" spans="1:24">
      <c r="A8920">
        <f>HYPERLINK("https://www.philgeps.gov.ph/GEPSNONPILOT/Tender/SplashBidNoticeAbstractUI.aspx?menuIndex=3&amp;refID=7075772&amp;Result=3","7075772")</f>
        <v>0</v>
      </c>
      <c r="B8920" t="s">
        <v>2661</v>
      </c>
      <c r="C8920" t="s">
        <v>11909</v>
      </c>
      <c r="D8920" t="s">
        <v>17422</v>
      </c>
      <c r="E8920" t="s">
        <v>25181</v>
      </c>
      <c r="F8920" t="s">
        <v>30052</v>
      </c>
      <c r="G8920" t="s">
        <v>30058</v>
      </c>
      <c r="H8920" t="s">
        <v>15498</v>
      </c>
      <c r="I8920" t="s">
        <v>4650</v>
      </c>
      <c r="J8920" t="s">
        <v>35636</v>
      </c>
      <c r="K8920" t="s">
        <v>39029</v>
      </c>
      <c r="M8920" t="s">
        <v>42180</v>
      </c>
      <c r="N8920" t="s">
        <v>43166</v>
      </c>
      <c r="O8920" t="s">
        <v>43167</v>
      </c>
      <c r="P8920">
        <v>0</v>
      </c>
      <c r="Q8920">
        <v>9</v>
      </c>
      <c r="R8920" t="s">
        <v>43174</v>
      </c>
      <c r="S8920" t="s">
        <v>43396</v>
      </c>
      <c r="T8920" t="s">
        <v>44804</v>
      </c>
      <c r="U8920" t="s">
        <v>52354</v>
      </c>
      <c r="W8920" t="s">
        <v>42180</v>
      </c>
      <c r="X8920" t="s">
        <v>43175</v>
      </c>
    </row>
    <row r="8921" spans="1:24">
      <c r="A8921">
        <f>HYPERLINK("https://www.philgeps.gov.ph/GEPSNONPILOT/Tender/SplashBidNoticeAbstractUI.aspx?menuIndex=3&amp;refID=7075762&amp;Result=3","7075762")</f>
        <v>0</v>
      </c>
      <c r="B8921" t="s">
        <v>2662</v>
      </c>
      <c r="C8921" t="s">
        <v>11910</v>
      </c>
      <c r="D8921" t="s">
        <v>17448</v>
      </c>
      <c r="E8921" t="s">
        <v>25182</v>
      </c>
      <c r="F8921" t="s">
        <v>30052</v>
      </c>
      <c r="G8921" t="s">
        <v>30058</v>
      </c>
      <c r="H8921" t="s">
        <v>15498</v>
      </c>
      <c r="I8921" t="s">
        <v>30076</v>
      </c>
      <c r="J8921" t="s">
        <v>35637</v>
      </c>
      <c r="K8921" t="s">
        <v>39019</v>
      </c>
      <c r="M8921" t="s">
        <v>42181</v>
      </c>
      <c r="N8921" t="s">
        <v>43166</v>
      </c>
      <c r="O8921" t="s">
        <v>43167</v>
      </c>
      <c r="Q8921">
        <v>2</v>
      </c>
      <c r="R8921" t="s">
        <v>43174</v>
      </c>
      <c r="S8921" t="s">
        <v>43441</v>
      </c>
      <c r="T8921" t="s">
        <v>44862</v>
      </c>
      <c r="U8921" t="s">
        <v>52355</v>
      </c>
      <c r="W8921" t="s">
        <v>42181</v>
      </c>
      <c r="X8921" t="s">
        <v>43175</v>
      </c>
    </row>
    <row r="8922" spans="1:24">
      <c r="A8922">
        <f>HYPERLINK("https://www.philgeps.gov.ph/GEPSNONPILOT/Tender/SplashBidNoticeAbstractUI.aspx?menuIndex=3&amp;refID=7075761&amp;Result=3","7075761")</f>
        <v>0</v>
      </c>
      <c r="B8922" t="s">
        <v>1486</v>
      </c>
      <c r="C8922" t="s">
        <v>11911</v>
      </c>
      <c r="D8922" t="s">
        <v>17448</v>
      </c>
      <c r="E8922" t="s">
        <v>25183</v>
      </c>
      <c r="F8922" t="s">
        <v>30052</v>
      </c>
      <c r="G8922" t="s">
        <v>30058</v>
      </c>
      <c r="H8922" t="s">
        <v>30067</v>
      </c>
      <c r="I8922" t="s">
        <v>3693</v>
      </c>
      <c r="J8922" t="s">
        <v>35638</v>
      </c>
      <c r="K8922" t="s">
        <v>39212</v>
      </c>
      <c r="M8922" t="s">
        <v>40870</v>
      </c>
      <c r="N8922" t="s">
        <v>43166</v>
      </c>
      <c r="O8922" t="s">
        <v>43167</v>
      </c>
      <c r="P8922">
        <v>0</v>
      </c>
      <c r="Q8922">
        <v>6</v>
      </c>
      <c r="R8922" t="s">
        <v>43174</v>
      </c>
      <c r="S8922" t="s">
        <v>43396</v>
      </c>
      <c r="T8922" t="s">
        <v>44873</v>
      </c>
      <c r="U8922" t="s">
        <v>52356</v>
      </c>
      <c r="W8922" t="s">
        <v>40870</v>
      </c>
      <c r="X8922" t="s">
        <v>43175</v>
      </c>
    </row>
    <row r="8923" spans="1:24">
      <c r="A8923">
        <f>HYPERLINK("https://www.philgeps.gov.ph/GEPSNONPILOT/Tender/SplashBidNoticeAbstractUI.aspx?menuIndex=3&amp;refID=7075760&amp;Result=3","7075760")</f>
        <v>0</v>
      </c>
      <c r="B8923" t="s">
        <v>1048</v>
      </c>
      <c r="C8923" t="s">
        <v>11912</v>
      </c>
      <c r="D8923" t="s">
        <v>17415</v>
      </c>
      <c r="E8923" t="s">
        <v>25184</v>
      </c>
      <c r="F8923" t="s">
        <v>30052</v>
      </c>
      <c r="G8923" t="s">
        <v>30058</v>
      </c>
      <c r="H8923" t="s">
        <v>15498</v>
      </c>
      <c r="I8923" t="s">
        <v>30136</v>
      </c>
      <c r="J8923" t="s">
        <v>35639</v>
      </c>
      <c r="K8923" t="s">
        <v>39046</v>
      </c>
      <c r="M8923" t="s">
        <v>40381</v>
      </c>
      <c r="N8923" t="s">
        <v>43166</v>
      </c>
      <c r="O8923" t="s">
        <v>43167</v>
      </c>
      <c r="P8923">
        <v>0</v>
      </c>
      <c r="Q8923">
        <v>5</v>
      </c>
      <c r="R8923" t="s">
        <v>43174</v>
      </c>
      <c r="S8923" t="s">
        <v>43396</v>
      </c>
      <c r="T8923" t="s">
        <v>44726</v>
      </c>
      <c r="U8923" t="s">
        <v>52357</v>
      </c>
      <c r="W8923" t="s">
        <v>40381</v>
      </c>
      <c r="X8923" t="s">
        <v>43175</v>
      </c>
    </row>
    <row r="8924" spans="1:24">
      <c r="A8924">
        <f>HYPERLINK("https://www.philgeps.gov.ph/GEPSNONPILOT/Tender/SplashBidNoticeAbstractUI.aspx?menuIndex=3&amp;refID=7075734&amp;Result=3","7075734")</f>
        <v>0</v>
      </c>
      <c r="B8924" t="s">
        <v>2318</v>
      </c>
      <c r="C8924" t="s">
        <v>11913</v>
      </c>
      <c r="D8924" t="s">
        <v>17473</v>
      </c>
      <c r="E8924" t="s">
        <v>25185</v>
      </c>
      <c r="F8924" t="s">
        <v>30052</v>
      </c>
      <c r="G8924" t="s">
        <v>30059</v>
      </c>
      <c r="H8924" t="s">
        <v>15498</v>
      </c>
      <c r="I8924" t="s">
        <v>9238</v>
      </c>
      <c r="J8924" t="s">
        <v>35640</v>
      </c>
      <c r="K8924" t="s">
        <v>39029</v>
      </c>
      <c r="M8924" t="s">
        <v>41804</v>
      </c>
      <c r="N8924" t="s">
        <v>43166</v>
      </c>
      <c r="O8924" t="s">
        <v>43167</v>
      </c>
      <c r="P8924">
        <v>0</v>
      </c>
      <c r="Q8924">
        <v>3</v>
      </c>
      <c r="R8924" t="s">
        <v>43174</v>
      </c>
      <c r="S8924" t="s">
        <v>43396</v>
      </c>
      <c r="T8924" t="s">
        <v>44856</v>
      </c>
      <c r="U8924" t="s">
        <v>52358</v>
      </c>
      <c r="W8924" t="s">
        <v>41804</v>
      </c>
      <c r="X8924" t="s">
        <v>43175</v>
      </c>
    </row>
    <row r="8925" spans="1:24">
      <c r="A8925">
        <f>HYPERLINK("https://www.philgeps.gov.ph/GEPSNONPILOT/Tender/SplashBidNoticeAbstractUI.aspx?menuIndex=3&amp;refID=7075773&amp;Result=3","7075773")</f>
        <v>0</v>
      </c>
      <c r="B8925" t="s">
        <v>2656</v>
      </c>
      <c r="C8925" t="s">
        <v>11914</v>
      </c>
      <c r="D8925" t="s">
        <v>17458</v>
      </c>
      <c r="E8925" t="s">
        <v>25186</v>
      </c>
      <c r="F8925" t="s">
        <v>30052</v>
      </c>
      <c r="G8925" t="s">
        <v>30058</v>
      </c>
      <c r="H8925" t="s">
        <v>30067</v>
      </c>
      <c r="I8925" t="s">
        <v>3693</v>
      </c>
      <c r="J8925" t="s">
        <v>35255</v>
      </c>
      <c r="K8925" t="s">
        <v>39025</v>
      </c>
      <c r="L8925" t="s">
        <v>2656</v>
      </c>
      <c r="M8925" t="s">
        <v>42174</v>
      </c>
      <c r="N8925" t="s">
        <v>43166</v>
      </c>
      <c r="O8925" t="s">
        <v>43167</v>
      </c>
      <c r="Q8925">
        <v>1</v>
      </c>
      <c r="R8925" t="s">
        <v>43174</v>
      </c>
      <c r="S8925" t="s">
        <v>43442</v>
      </c>
      <c r="T8925" t="s">
        <v>44702</v>
      </c>
      <c r="U8925" t="s">
        <v>52337</v>
      </c>
      <c r="V8925" t="s">
        <v>57765</v>
      </c>
      <c r="W8925" t="s">
        <v>42174</v>
      </c>
      <c r="X8925" t="s">
        <v>43175</v>
      </c>
    </row>
    <row r="8926" spans="1:24">
      <c r="A8926">
        <f>HYPERLINK("https://www.philgeps.gov.ph/GEPSNONPILOT/Tender/SplashBidNoticeAbstractUI.aspx?menuIndex=3&amp;refID=7075804&amp;Result=3","7075804")</f>
        <v>0</v>
      </c>
      <c r="B8926" t="s">
        <v>2656</v>
      </c>
      <c r="C8926" t="s">
        <v>11915</v>
      </c>
      <c r="D8926" t="s">
        <v>17458</v>
      </c>
      <c r="E8926" t="s">
        <v>25187</v>
      </c>
      <c r="F8926" t="s">
        <v>30052</v>
      </c>
      <c r="G8926" t="s">
        <v>30058</v>
      </c>
      <c r="H8926" t="s">
        <v>30067</v>
      </c>
      <c r="I8926" t="s">
        <v>3693</v>
      </c>
      <c r="J8926" t="s">
        <v>34927</v>
      </c>
      <c r="K8926" t="s">
        <v>39025</v>
      </c>
      <c r="L8926" t="s">
        <v>2656</v>
      </c>
      <c r="M8926" t="s">
        <v>42174</v>
      </c>
      <c r="N8926" t="s">
        <v>43166</v>
      </c>
      <c r="O8926" t="s">
        <v>43167</v>
      </c>
      <c r="Q8926">
        <v>2</v>
      </c>
      <c r="R8926" t="s">
        <v>43174</v>
      </c>
      <c r="S8926" t="s">
        <v>43443</v>
      </c>
      <c r="T8926" t="s">
        <v>44702</v>
      </c>
      <c r="U8926" t="s">
        <v>52337</v>
      </c>
      <c r="V8926" t="s">
        <v>57765</v>
      </c>
      <c r="W8926" t="s">
        <v>42174</v>
      </c>
      <c r="X8926" t="s">
        <v>43175</v>
      </c>
    </row>
    <row r="8927" spans="1:24">
      <c r="A8927">
        <f>HYPERLINK("https://www.philgeps.gov.ph/GEPSNONPILOT/Tender/SplashBidNoticeAbstractUI.aspx?menuIndex=3&amp;refID=7075730&amp;Result=3","7075730")</f>
        <v>0</v>
      </c>
      <c r="B8927" t="s">
        <v>1486</v>
      </c>
      <c r="C8927" t="s">
        <v>11916</v>
      </c>
      <c r="D8927" t="s">
        <v>17448</v>
      </c>
      <c r="E8927" t="s">
        <v>25188</v>
      </c>
      <c r="F8927" t="s">
        <v>30052</v>
      </c>
      <c r="G8927" t="s">
        <v>30058</v>
      </c>
      <c r="H8927" t="s">
        <v>30067</v>
      </c>
      <c r="I8927" t="s">
        <v>3693</v>
      </c>
      <c r="J8927" t="s">
        <v>34923</v>
      </c>
      <c r="K8927" t="s">
        <v>39213</v>
      </c>
      <c r="M8927" t="s">
        <v>40870</v>
      </c>
      <c r="N8927" t="s">
        <v>43166</v>
      </c>
      <c r="O8927" t="s">
        <v>43167</v>
      </c>
      <c r="P8927">
        <v>0</v>
      </c>
      <c r="Q8927">
        <v>2</v>
      </c>
      <c r="R8927" t="s">
        <v>43174</v>
      </c>
      <c r="S8927" t="s">
        <v>43396</v>
      </c>
      <c r="T8927" t="s">
        <v>44873</v>
      </c>
      <c r="U8927" t="s">
        <v>52359</v>
      </c>
      <c r="W8927" t="s">
        <v>40870</v>
      </c>
      <c r="X8927" t="s">
        <v>43175</v>
      </c>
    </row>
    <row r="8928" spans="1:24">
      <c r="A8928">
        <f>HYPERLINK("https://www.philgeps.gov.ph/GEPSNONPILOT/Tender/SplashBidNoticeAbstractUI.aspx?menuIndex=3&amp;refID=7075727&amp;Result=3","7075727")</f>
        <v>0</v>
      </c>
      <c r="B8928" t="s">
        <v>2318</v>
      </c>
      <c r="C8928" t="s">
        <v>11917</v>
      </c>
      <c r="D8928" t="s">
        <v>17473</v>
      </c>
      <c r="E8928" t="s">
        <v>25136</v>
      </c>
      <c r="F8928" t="s">
        <v>30052</v>
      </c>
      <c r="G8928" t="s">
        <v>30059</v>
      </c>
      <c r="H8928" t="s">
        <v>15498</v>
      </c>
      <c r="I8928" t="s">
        <v>4650</v>
      </c>
      <c r="J8928" t="s">
        <v>31509</v>
      </c>
      <c r="K8928" t="s">
        <v>39029</v>
      </c>
      <c r="M8928" t="s">
        <v>41804</v>
      </c>
      <c r="N8928" t="s">
        <v>43166</v>
      </c>
      <c r="O8928" t="s">
        <v>43167</v>
      </c>
      <c r="P8928">
        <v>0</v>
      </c>
      <c r="Q8928">
        <v>8</v>
      </c>
      <c r="R8928" t="s">
        <v>43174</v>
      </c>
      <c r="S8928" t="s">
        <v>43396</v>
      </c>
      <c r="T8928" t="s">
        <v>44856</v>
      </c>
      <c r="U8928" t="s">
        <v>52360</v>
      </c>
      <c r="W8928" t="s">
        <v>41804</v>
      </c>
      <c r="X8928" t="s">
        <v>43175</v>
      </c>
    </row>
    <row r="8929" spans="1:24">
      <c r="A8929">
        <f>HYPERLINK("https://www.philgeps.gov.ph/GEPSNONPILOT/Tender/SplashBidNoticeAbstractUI.aspx?menuIndex=3&amp;refID=7075723&amp;Result=3","7075723")</f>
        <v>0</v>
      </c>
      <c r="B8929" t="s">
        <v>2648</v>
      </c>
      <c r="C8929" t="s">
        <v>11918</v>
      </c>
      <c r="D8929" t="s">
        <v>17415</v>
      </c>
      <c r="E8929" t="s">
        <v>25189</v>
      </c>
      <c r="F8929" t="s">
        <v>30052</v>
      </c>
      <c r="G8929" t="s">
        <v>30058</v>
      </c>
      <c r="H8929" t="s">
        <v>15498</v>
      </c>
      <c r="I8929" t="s">
        <v>9238</v>
      </c>
      <c r="J8929" t="s">
        <v>30588</v>
      </c>
      <c r="K8929" t="s">
        <v>39025</v>
      </c>
      <c r="M8929" t="s">
        <v>42166</v>
      </c>
      <c r="N8929" t="s">
        <v>43166</v>
      </c>
      <c r="O8929" t="s">
        <v>43167</v>
      </c>
      <c r="P8929">
        <v>0</v>
      </c>
      <c r="Q8929">
        <v>15</v>
      </c>
      <c r="R8929" t="s">
        <v>43174</v>
      </c>
      <c r="S8929" t="s">
        <v>43396</v>
      </c>
      <c r="T8929" t="s">
        <v>44922</v>
      </c>
      <c r="U8929" t="s">
        <v>52361</v>
      </c>
      <c r="W8929" t="s">
        <v>42166</v>
      </c>
      <c r="X8929" t="s">
        <v>43175</v>
      </c>
    </row>
    <row r="8930" spans="1:24">
      <c r="A8930">
        <f>HYPERLINK("https://www.philgeps.gov.ph/GEPSNONPILOT/Tender/SplashBidNoticeAbstractUI.aspx?menuIndex=3&amp;refID=7075782&amp;Result=3","7075782")</f>
        <v>0</v>
      </c>
      <c r="B8930" t="s">
        <v>2663</v>
      </c>
      <c r="C8930" t="s">
        <v>11919</v>
      </c>
      <c r="D8930" t="s">
        <v>17466</v>
      </c>
      <c r="E8930" t="s">
        <v>25190</v>
      </c>
      <c r="F8930" t="s">
        <v>30052</v>
      </c>
      <c r="G8930" t="s">
        <v>30058</v>
      </c>
      <c r="H8930" t="s">
        <v>15498</v>
      </c>
      <c r="I8930" t="s">
        <v>8323</v>
      </c>
      <c r="J8930" t="s">
        <v>30763</v>
      </c>
      <c r="K8930" t="s">
        <v>39039</v>
      </c>
      <c r="M8930" t="s">
        <v>42182</v>
      </c>
      <c r="N8930" t="s">
        <v>43166</v>
      </c>
      <c r="O8930" t="s">
        <v>43167</v>
      </c>
      <c r="P8930">
        <v>0</v>
      </c>
      <c r="Q8930">
        <v>1</v>
      </c>
      <c r="R8930" t="s">
        <v>43174</v>
      </c>
      <c r="S8930" t="s">
        <v>43396</v>
      </c>
      <c r="T8930" t="s">
        <v>44813</v>
      </c>
      <c r="U8930" t="s">
        <v>52362</v>
      </c>
      <c r="W8930" t="s">
        <v>42182</v>
      </c>
      <c r="X8930" t="s">
        <v>43175</v>
      </c>
    </row>
    <row r="8931" spans="1:24">
      <c r="A8931">
        <f>HYPERLINK("https://www.philgeps.gov.ph/GEPSNONPILOT/Tender/SplashBidNoticeAbstractUI.aspx?menuIndex=3&amp;refID=7075720&amp;Result=3","7075720")</f>
        <v>0</v>
      </c>
      <c r="B8931" t="s">
        <v>2646</v>
      </c>
      <c r="C8931" t="s">
        <v>11920</v>
      </c>
      <c r="D8931" t="s">
        <v>17466</v>
      </c>
      <c r="E8931" t="s">
        <v>25191</v>
      </c>
      <c r="F8931" t="s">
        <v>30052</v>
      </c>
      <c r="G8931" t="s">
        <v>30058</v>
      </c>
      <c r="H8931" t="s">
        <v>15498</v>
      </c>
      <c r="I8931" t="s">
        <v>3852</v>
      </c>
      <c r="J8931" t="s">
        <v>35641</v>
      </c>
      <c r="K8931" t="s">
        <v>39145</v>
      </c>
      <c r="M8931" t="s">
        <v>42164</v>
      </c>
      <c r="N8931" t="s">
        <v>43166</v>
      </c>
      <c r="O8931" t="s">
        <v>43167</v>
      </c>
      <c r="P8931">
        <v>0</v>
      </c>
      <c r="Q8931">
        <v>0</v>
      </c>
      <c r="R8931" t="s">
        <v>43174</v>
      </c>
      <c r="S8931" t="s">
        <v>43396</v>
      </c>
      <c r="T8931" t="s">
        <v>44873</v>
      </c>
      <c r="U8931" t="s">
        <v>52363</v>
      </c>
      <c r="W8931" t="s">
        <v>42164</v>
      </c>
      <c r="X8931" t="s">
        <v>43175</v>
      </c>
    </row>
    <row r="8932" spans="1:24">
      <c r="A8932">
        <f>HYPERLINK("https://www.philgeps.gov.ph/GEPSNONPILOT/Tender/SplashBidNoticeAbstractUI.aspx?menuIndex=3&amp;refID=7075719&amp;Result=3","7075719")</f>
        <v>0</v>
      </c>
      <c r="B8932" t="s">
        <v>2644</v>
      </c>
      <c r="C8932" t="s">
        <v>11921</v>
      </c>
      <c r="D8932" t="s">
        <v>17441</v>
      </c>
      <c r="E8932" t="s">
        <v>25192</v>
      </c>
      <c r="F8932" t="s">
        <v>30052</v>
      </c>
      <c r="G8932" t="s">
        <v>30058</v>
      </c>
      <c r="H8932" t="s">
        <v>30067</v>
      </c>
      <c r="I8932" t="s">
        <v>3693</v>
      </c>
      <c r="J8932" t="s">
        <v>30248</v>
      </c>
      <c r="K8932" t="s">
        <v>39025</v>
      </c>
      <c r="M8932" t="s">
        <v>42162</v>
      </c>
      <c r="N8932" t="s">
        <v>43166</v>
      </c>
      <c r="O8932" t="s">
        <v>43167</v>
      </c>
      <c r="P8932">
        <v>0</v>
      </c>
      <c r="Q8932">
        <v>2</v>
      </c>
      <c r="R8932" t="s">
        <v>43174</v>
      </c>
      <c r="S8932" t="s">
        <v>43396</v>
      </c>
      <c r="T8932" t="s">
        <v>44837</v>
      </c>
      <c r="U8932" t="s">
        <v>52364</v>
      </c>
      <c r="V8932" t="s">
        <v>57397</v>
      </c>
      <c r="W8932" t="s">
        <v>42162</v>
      </c>
      <c r="X8932" t="s">
        <v>43175</v>
      </c>
    </row>
    <row r="8933" spans="1:24">
      <c r="A8933">
        <f>HYPERLINK("https://www.philgeps.gov.ph/GEPSNONPILOT/Tender/SplashBidNoticeAbstractUI.aspx?menuIndex=3&amp;refID=7075758&amp;Result=3","7075758")</f>
        <v>0</v>
      </c>
      <c r="B8933" t="s">
        <v>2557</v>
      </c>
      <c r="C8933" t="s">
        <v>11922</v>
      </c>
      <c r="D8933" t="s">
        <v>17415</v>
      </c>
      <c r="E8933" t="s">
        <v>25193</v>
      </c>
      <c r="F8933" t="s">
        <v>30052</v>
      </c>
      <c r="G8933" t="s">
        <v>30058</v>
      </c>
      <c r="H8933" t="s">
        <v>30069</v>
      </c>
      <c r="I8933" t="s">
        <v>30100</v>
      </c>
      <c r="J8933" t="s">
        <v>35642</v>
      </c>
      <c r="K8933" t="s">
        <v>39095</v>
      </c>
      <c r="M8933" t="s">
        <v>42064</v>
      </c>
      <c r="N8933" t="s">
        <v>43166</v>
      </c>
      <c r="O8933" t="s">
        <v>43167</v>
      </c>
      <c r="P8933">
        <v>0</v>
      </c>
      <c r="Q8933">
        <v>2</v>
      </c>
      <c r="R8933" t="s">
        <v>43174</v>
      </c>
      <c r="S8933" t="s">
        <v>43396</v>
      </c>
      <c r="T8933" t="s">
        <v>45020</v>
      </c>
      <c r="U8933" t="s">
        <v>52365</v>
      </c>
      <c r="W8933" t="s">
        <v>42064</v>
      </c>
      <c r="X8933" t="s">
        <v>43175</v>
      </c>
    </row>
    <row r="8934" spans="1:24">
      <c r="A8934">
        <f>HYPERLINK("https://www.philgeps.gov.ph/GEPSNONPILOT/Tender/SplashBidNoticeAbstractUI.aspx?menuIndex=3&amp;refID=7075846&amp;Result=3","7075846")</f>
        <v>0</v>
      </c>
      <c r="B8934" t="s">
        <v>2663</v>
      </c>
      <c r="C8934" t="s">
        <v>11923</v>
      </c>
      <c r="D8934" t="s">
        <v>17466</v>
      </c>
      <c r="E8934" t="s">
        <v>25194</v>
      </c>
      <c r="F8934" t="s">
        <v>30052</v>
      </c>
      <c r="G8934" t="s">
        <v>30063</v>
      </c>
      <c r="H8934" t="s">
        <v>30069</v>
      </c>
      <c r="I8934" t="s">
        <v>30076</v>
      </c>
      <c r="J8934" t="s">
        <v>32303</v>
      </c>
      <c r="K8934" t="s">
        <v>39039</v>
      </c>
      <c r="M8934" t="s">
        <v>42182</v>
      </c>
      <c r="N8934" t="s">
        <v>43166</v>
      </c>
      <c r="O8934" t="s">
        <v>43167</v>
      </c>
      <c r="P8934">
        <v>0</v>
      </c>
      <c r="Q8934">
        <v>5</v>
      </c>
      <c r="R8934" t="s">
        <v>43174</v>
      </c>
      <c r="S8934" t="s">
        <v>43396</v>
      </c>
      <c r="T8934" t="s">
        <v>44813</v>
      </c>
      <c r="U8934" t="s">
        <v>52366</v>
      </c>
      <c r="W8934" t="s">
        <v>42182</v>
      </c>
      <c r="X8934" t="s">
        <v>43175</v>
      </c>
    </row>
    <row r="8935" spans="1:24">
      <c r="A8935">
        <f>HYPERLINK("https://www.philgeps.gov.ph/GEPSNONPILOT/Tender/SplashBidNoticeAbstractUI.aspx?menuIndex=3&amp;refID=7075757&amp;Result=3","7075757")</f>
        <v>0</v>
      </c>
      <c r="B8935" t="s">
        <v>2656</v>
      </c>
      <c r="C8935" t="s">
        <v>11924</v>
      </c>
      <c r="D8935" t="s">
        <v>17458</v>
      </c>
      <c r="E8935" t="s">
        <v>25195</v>
      </c>
      <c r="F8935" t="s">
        <v>30052</v>
      </c>
      <c r="G8935" t="s">
        <v>30058</v>
      </c>
      <c r="H8935" t="s">
        <v>30067</v>
      </c>
      <c r="I8935" t="s">
        <v>3693</v>
      </c>
      <c r="J8935" t="s">
        <v>30823</v>
      </c>
      <c r="K8935" t="s">
        <v>39025</v>
      </c>
      <c r="L8935" t="s">
        <v>2656</v>
      </c>
      <c r="M8935" t="s">
        <v>42174</v>
      </c>
      <c r="N8935" t="s">
        <v>43166</v>
      </c>
      <c r="O8935" t="s">
        <v>43167</v>
      </c>
      <c r="Q8935">
        <v>0</v>
      </c>
      <c r="R8935" t="s">
        <v>43174</v>
      </c>
      <c r="S8935" t="s">
        <v>43444</v>
      </c>
      <c r="T8935" t="s">
        <v>44702</v>
      </c>
      <c r="U8935" t="s">
        <v>52337</v>
      </c>
      <c r="V8935" t="s">
        <v>57765</v>
      </c>
      <c r="W8935" t="s">
        <v>42174</v>
      </c>
      <c r="X8935" t="s">
        <v>43175</v>
      </c>
    </row>
    <row r="8936" spans="1:24">
      <c r="A8936">
        <f>HYPERLINK("https://www.philgeps.gov.ph/GEPSNONPILOT/Tender/SplashBidNoticeAbstractUI.aspx?menuIndex=3&amp;refID=7075842&amp;Result=3","7075842")</f>
        <v>0</v>
      </c>
      <c r="B8936" t="s">
        <v>2664</v>
      </c>
      <c r="C8936" t="s">
        <v>11925</v>
      </c>
      <c r="D8936" t="s">
        <v>17488</v>
      </c>
      <c r="E8936" t="s">
        <v>25196</v>
      </c>
      <c r="F8936" t="s">
        <v>30052</v>
      </c>
      <c r="G8936" t="s">
        <v>30058</v>
      </c>
      <c r="H8936" t="s">
        <v>15498</v>
      </c>
      <c r="I8936" t="s">
        <v>3736</v>
      </c>
      <c r="J8936" t="s">
        <v>35643</v>
      </c>
      <c r="K8936" t="s">
        <v>39025</v>
      </c>
      <c r="M8936" t="s">
        <v>42183</v>
      </c>
      <c r="N8936" t="s">
        <v>43166</v>
      </c>
      <c r="O8936" t="s">
        <v>43167</v>
      </c>
      <c r="P8936">
        <v>0</v>
      </c>
      <c r="Q8936">
        <v>1</v>
      </c>
      <c r="R8936" t="s">
        <v>43174</v>
      </c>
      <c r="S8936" t="s">
        <v>43396</v>
      </c>
      <c r="T8936" t="s">
        <v>44720</v>
      </c>
      <c r="U8936" t="s">
        <v>52367</v>
      </c>
      <c r="W8936" t="s">
        <v>42183</v>
      </c>
      <c r="X8936" t="s">
        <v>43175</v>
      </c>
    </row>
    <row r="8937" spans="1:24">
      <c r="A8937">
        <f>HYPERLINK("https://www.philgeps.gov.ph/GEPSNONPILOT/Tender/SplashBidNoticeAbstractUI.aspx?menuIndex=3&amp;refID=7075840&amp;Result=3","7075840")</f>
        <v>0</v>
      </c>
      <c r="B8937" t="s">
        <v>459</v>
      </c>
      <c r="C8937" t="s">
        <v>11926</v>
      </c>
      <c r="D8937" t="s">
        <v>17435</v>
      </c>
      <c r="E8937" t="s">
        <v>25197</v>
      </c>
      <c r="F8937" t="s">
        <v>30052</v>
      </c>
      <c r="G8937" t="s">
        <v>30058</v>
      </c>
      <c r="H8937" t="s">
        <v>30067</v>
      </c>
      <c r="I8937" t="s">
        <v>3693</v>
      </c>
      <c r="J8937" t="s">
        <v>35644</v>
      </c>
      <c r="K8937" t="s">
        <v>39069</v>
      </c>
      <c r="M8937" t="s">
        <v>39759</v>
      </c>
      <c r="N8937" t="s">
        <v>43166</v>
      </c>
      <c r="O8937" t="s">
        <v>43167</v>
      </c>
      <c r="P8937">
        <v>0</v>
      </c>
      <c r="Q8937">
        <v>1</v>
      </c>
      <c r="R8937" t="s">
        <v>43174</v>
      </c>
      <c r="S8937" t="s">
        <v>43396</v>
      </c>
      <c r="T8937" t="s">
        <v>44750</v>
      </c>
      <c r="U8937" t="s">
        <v>52368</v>
      </c>
      <c r="W8937" t="s">
        <v>39759</v>
      </c>
      <c r="X8937" t="s">
        <v>43175</v>
      </c>
    </row>
    <row r="8938" spans="1:24">
      <c r="A8938">
        <f>HYPERLINK("https://www.philgeps.gov.ph/GEPSNONPILOT/Tender/SplashBidNoticeAbstractUI.aspx?menuIndex=3&amp;refID=7075835&amp;Result=3","7075835")</f>
        <v>0</v>
      </c>
      <c r="B8938" t="s">
        <v>2665</v>
      </c>
      <c r="C8938" t="s">
        <v>10780</v>
      </c>
      <c r="D8938" t="s">
        <v>17434</v>
      </c>
      <c r="E8938" t="s">
        <v>17715</v>
      </c>
      <c r="F8938" t="s">
        <v>30052</v>
      </c>
      <c r="G8938" t="s">
        <v>30059</v>
      </c>
      <c r="H8938" t="s">
        <v>15498</v>
      </c>
      <c r="I8938" t="s">
        <v>3736</v>
      </c>
      <c r="J8938" t="s">
        <v>30447</v>
      </c>
      <c r="K8938" t="s">
        <v>39039</v>
      </c>
      <c r="M8938" t="s">
        <v>42184</v>
      </c>
      <c r="N8938" t="s">
        <v>43166</v>
      </c>
      <c r="O8938" t="s">
        <v>43167</v>
      </c>
      <c r="P8938">
        <v>0</v>
      </c>
      <c r="Q8938">
        <v>0</v>
      </c>
      <c r="R8938" t="s">
        <v>43174</v>
      </c>
      <c r="S8938" t="s">
        <v>43396</v>
      </c>
      <c r="T8938" t="s">
        <v>44837</v>
      </c>
      <c r="U8938" t="s">
        <v>52369</v>
      </c>
      <c r="W8938" t="s">
        <v>42184</v>
      </c>
      <c r="X8938" t="s">
        <v>43175</v>
      </c>
    </row>
    <row r="8939" spans="1:24">
      <c r="A8939">
        <f>HYPERLINK("https://www.philgeps.gov.ph/GEPSNONPILOT/Tender/SplashBidNoticeAbstractUI.aspx?menuIndex=3&amp;refID=7075725&amp;Result=3","7075725")</f>
        <v>0</v>
      </c>
      <c r="B8939" t="s">
        <v>2645</v>
      </c>
      <c r="C8939" t="s">
        <v>11927</v>
      </c>
      <c r="D8939" t="s">
        <v>17422</v>
      </c>
      <c r="E8939" t="s">
        <v>25198</v>
      </c>
      <c r="F8939" t="s">
        <v>30052</v>
      </c>
      <c r="G8939" t="s">
        <v>30058</v>
      </c>
      <c r="H8939" t="s">
        <v>30067</v>
      </c>
      <c r="I8939" t="s">
        <v>3693</v>
      </c>
      <c r="J8939" t="s">
        <v>35645</v>
      </c>
      <c r="K8939" t="s">
        <v>39062</v>
      </c>
      <c r="M8939" t="s">
        <v>42163</v>
      </c>
      <c r="N8939" t="s">
        <v>43166</v>
      </c>
      <c r="O8939" t="s">
        <v>43167</v>
      </c>
      <c r="P8939">
        <v>0</v>
      </c>
      <c r="Q8939">
        <v>5</v>
      </c>
      <c r="R8939" t="s">
        <v>43174</v>
      </c>
      <c r="S8939" t="s">
        <v>43396</v>
      </c>
      <c r="T8939" t="s">
        <v>44758</v>
      </c>
      <c r="U8939" t="s">
        <v>52370</v>
      </c>
      <c r="W8939" t="s">
        <v>42163</v>
      </c>
      <c r="X8939" t="s">
        <v>43175</v>
      </c>
    </row>
    <row r="8940" spans="1:24">
      <c r="A8940">
        <f>HYPERLINK("https://www.philgeps.gov.ph/GEPSNONPILOT/Tender/SplashBidNoticeAbstractUI.aspx?menuIndex=3&amp;refID=7075832&amp;Result=3","7075832")</f>
        <v>0</v>
      </c>
      <c r="B8940" t="s">
        <v>2666</v>
      </c>
      <c r="C8940" t="s">
        <v>11928</v>
      </c>
      <c r="D8940" t="s">
        <v>17464</v>
      </c>
      <c r="E8940" t="s">
        <v>25199</v>
      </c>
      <c r="F8940" t="s">
        <v>30052</v>
      </c>
      <c r="G8940" t="s">
        <v>30058</v>
      </c>
      <c r="H8940" t="s">
        <v>15498</v>
      </c>
      <c r="I8940" t="s">
        <v>3736</v>
      </c>
      <c r="J8940" t="s">
        <v>35646</v>
      </c>
      <c r="K8940" t="s">
        <v>39029</v>
      </c>
      <c r="M8940" t="s">
        <v>42185</v>
      </c>
      <c r="N8940" t="s">
        <v>43166</v>
      </c>
      <c r="O8940" t="s">
        <v>43167</v>
      </c>
      <c r="P8940">
        <v>0</v>
      </c>
      <c r="Q8940">
        <v>3</v>
      </c>
      <c r="R8940" t="s">
        <v>43174</v>
      </c>
      <c r="S8940" t="s">
        <v>43396</v>
      </c>
      <c r="T8940" t="s">
        <v>44807</v>
      </c>
      <c r="U8940" t="s">
        <v>52371</v>
      </c>
      <c r="W8940" t="s">
        <v>42185</v>
      </c>
      <c r="X8940" t="s">
        <v>43175</v>
      </c>
    </row>
    <row r="8941" spans="1:24">
      <c r="A8941">
        <f>HYPERLINK("https://www.philgeps.gov.ph/GEPSNONPILOT/Tender/SplashBidNoticeAbstractUI.aspx?menuIndex=3&amp;refID=7075827&amp;Result=3","7075827")</f>
        <v>0</v>
      </c>
      <c r="B8941" t="s">
        <v>1505</v>
      </c>
      <c r="C8941" t="s">
        <v>11929</v>
      </c>
      <c r="D8941" t="s">
        <v>17462</v>
      </c>
      <c r="E8941" t="s">
        <v>25200</v>
      </c>
      <c r="F8941" t="s">
        <v>30052</v>
      </c>
      <c r="G8941" t="s">
        <v>30058</v>
      </c>
      <c r="H8941" t="s">
        <v>30067</v>
      </c>
      <c r="I8941" t="s">
        <v>3693</v>
      </c>
      <c r="J8941" t="s">
        <v>31728</v>
      </c>
      <c r="K8941" t="s">
        <v>39092</v>
      </c>
      <c r="M8941" t="s">
        <v>40889</v>
      </c>
      <c r="N8941" t="s">
        <v>43166</v>
      </c>
      <c r="O8941" t="s">
        <v>43167</v>
      </c>
      <c r="P8941">
        <v>0</v>
      </c>
      <c r="Q8941">
        <v>5</v>
      </c>
      <c r="R8941" t="s">
        <v>43174</v>
      </c>
      <c r="S8941" t="s">
        <v>43396</v>
      </c>
      <c r="T8941" t="s">
        <v>44758</v>
      </c>
      <c r="U8941" t="s">
        <v>52149</v>
      </c>
      <c r="W8941" t="s">
        <v>58641</v>
      </c>
      <c r="X8941" t="s">
        <v>43175</v>
      </c>
    </row>
    <row r="8942" spans="1:24">
      <c r="A8942">
        <f>HYPERLINK("https://www.philgeps.gov.ph/GEPSNONPILOT/Tender/SplashBidNoticeAbstractUI.aspx?menuIndex=3&amp;refID=7075683&amp;Result=3","7075683")</f>
        <v>0</v>
      </c>
      <c r="B8942" t="s">
        <v>2015</v>
      </c>
      <c r="C8942" t="s">
        <v>11930</v>
      </c>
      <c r="D8942" t="s">
        <v>17416</v>
      </c>
      <c r="E8942" t="s">
        <v>25201</v>
      </c>
      <c r="F8942" t="s">
        <v>30052</v>
      </c>
      <c r="G8942" t="s">
        <v>30058</v>
      </c>
      <c r="H8942" t="s">
        <v>30067</v>
      </c>
      <c r="I8942" t="s">
        <v>3693</v>
      </c>
      <c r="J8942" t="s">
        <v>35613</v>
      </c>
      <c r="K8942" t="s">
        <v>39033</v>
      </c>
      <c r="L8942" t="s">
        <v>2015</v>
      </c>
      <c r="M8942" t="s">
        <v>41460</v>
      </c>
      <c r="N8942" t="s">
        <v>43166</v>
      </c>
      <c r="O8942" t="s">
        <v>43167</v>
      </c>
      <c r="P8942">
        <v>0</v>
      </c>
      <c r="Q8942">
        <v>0</v>
      </c>
      <c r="R8942" t="s">
        <v>43174</v>
      </c>
      <c r="S8942" t="s">
        <v>43396</v>
      </c>
      <c r="T8942" t="s">
        <v>44716</v>
      </c>
      <c r="U8942" t="s">
        <v>52372</v>
      </c>
      <c r="V8942" t="s">
        <v>57767</v>
      </c>
      <c r="W8942" t="s">
        <v>41460</v>
      </c>
      <c r="X8942" t="s">
        <v>43175</v>
      </c>
    </row>
    <row r="8943" spans="1:24">
      <c r="A8943">
        <f>HYPERLINK("https://www.philgeps.gov.ph/GEPSNONPILOT/Tender/SplashBidNoticeAbstractUI.aspx?menuIndex=3&amp;refID=7075821&amp;Result=3","7075821")</f>
        <v>0</v>
      </c>
      <c r="B8943" t="s">
        <v>1505</v>
      </c>
      <c r="C8943" t="s">
        <v>11931</v>
      </c>
      <c r="D8943" t="s">
        <v>17462</v>
      </c>
      <c r="E8943" t="s">
        <v>25202</v>
      </c>
      <c r="F8943" t="s">
        <v>30052</v>
      </c>
      <c r="G8943" t="s">
        <v>30058</v>
      </c>
      <c r="H8943" t="s">
        <v>30067</v>
      </c>
      <c r="I8943" t="s">
        <v>3693</v>
      </c>
      <c r="J8943" t="s">
        <v>30645</v>
      </c>
      <c r="K8943" t="s">
        <v>39023</v>
      </c>
      <c r="M8943" t="s">
        <v>40889</v>
      </c>
      <c r="N8943" t="s">
        <v>43166</v>
      </c>
      <c r="O8943" t="s">
        <v>43167</v>
      </c>
      <c r="P8943">
        <v>0</v>
      </c>
      <c r="Q8943">
        <v>5</v>
      </c>
      <c r="R8943" t="s">
        <v>43174</v>
      </c>
      <c r="S8943" t="s">
        <v>43396</v>
      </c>
      <c r="T8943" t="s">
        <v>44758</v>
      </c>
      <c r="U8943" t="s">
        <v>52149</v>
      </c>
      <c r="W8943" t="s">
        <v>58641</v>
      </c>
      <c r="X8943" t="s">
        <v>43175</v>
      </c>
    </row>
    <row r="8944" spans="1:24">
      <c r="A8944">
        <f>HYPERLINK("https://www.philgeps.gov.ph/GEPSNONPILOT/Tender/SplashBidNoticeAbstractUI.aspx?menuIndex=3&amp;refID=7075851&amp;Result=3","7075851")</f>
        <v>0</v>
      </c>
      <c r="B8944" t="s">
        <v>2275</v>
      </c>
      <c r="C8944" t="s">
        <v>11932</v>
      </c>
      <c r="D8944" t="s">
        <v>17422</v>
      </c>
      <c r="E8944" t="s">
        <v>25203</v>
      </c>
      <c r="F8944" t="s">
        <v>30052</v>
      </c>
      <c r="G8944" t="s">
        <v>30058</v>
      </c>
      <c r="H8944" t="s">
        <v>30069</v>
      </c>
      <c r="I8944" t="s">
        <v>30072</v>
      </c>
      <c r="J8944" t="s">
        <v>35647</v>
      </c>
      <c r="K8944" t="s">
        <v>39095</v>
      </c>
      <c r="M8944" t="s">
        <v>41756</v>
      </c>
      <c r="N8944" t="s">
        <v>43166</v>
      </c>
      <c r="O8944" t="s">
        <v>43167</v>
      </c>
      <c r="P8944">
        <v>0</v>
      </c>
      <c r="Q8944">
        <v>1</v>
      </c>
      <c r="R8944" t="s">
        <v>43174</v>
      </c>
      <c r="S8944" t="s">
        <v>43396</v>
      </c>
      <c r="T8944" t="s">
        <v>44873</v>
      </c>
      <c r="U8944" t="s">
        <v>52373</v>
      </c>
      <c r="W8944" t="s">
        <v>41756</v>
      </c>
      <c r="X8944" t="s">
        <v>43175</v>
      </c>
    </row>
    <row r="8945" spans="1:24">
      <c r="A8945">
        <f>HYPERLINK("https://www.philgeps.gov.ph/GEPSNONPILOT/Tender/SplashBidNoticeAbstractUI.aspx?menuIndex=3&amp;refID=7075818&amp;Result=3","7075818")</f>
        <v>0</v>
      </c>
      <c r="B8945" t="s">
        <v>1505</v>
      </c>
      <c r="C8945" t="s">
        <v>11933</v>
      </c>
      <c r="D8945" t="s">
        <v>17462</v>
      </c>
      <c r="E8945" t="s">
        <v>25204</v>
      </c>
      <c r="F8945" t="s">
        <v>30052</v>
      </c>
      <c r="G8945" t="s">
        <v>30058</v>
      </c>
      <c r="H8945" t="s">
        <v>30067</v>
      </c>
      <c r="I8945" t="s">
        <v>3693</v>
      </c>
      <c r="J8945" t="s">
        <v>33576</v>
      </c>
      <c r="K8945" t="s">
        <v>39031</v>
      </c>
      <c r="M8945" t="s">
        <v>40889</v>
      </c>
      <c r="N8945" t="s">
        <v>43166</v>
      </c>
      <c r="O8945" t="s">
        <v>43167</v>
      </c>
      <c r="P8945">
        <v>0</v>
      </c>
      <c r="Q8945">
        <v>5</v>
      </c>
      <c r="R8945" t="s">
        <v>43174</v>
      </c>
      <c r="S8945" t="s">
        <v>43396</v>
      </c>
      <c r="T8945" t="s">
        <v>44758</v>
      </c>
      <c r="U8945" t="s">
        <v>52149</v>
      </c>
      <c r="W8945" t="s">
        <v>58641</v>
      </c>
      <c r="X8945" t="s">
        <v>43175</v>
      </c>
    </row>
    <row r="8946" spans="1:24">
      <c r="A8946">
        <f>HYPERLINK("https://www.philgeps.gov.ph/GEPSNONPILOT/Tender/SplashBidNoticeAbstractUI.aspx?menuIndex=3&amp;refID=7075833&amp;Result=3","7075833")</f>
        <v>0</v>
      </c>
      <c r="B8946" t="s">
        <v>2667</v>
      </c>
      <c r="C8946" t="s">
        <v>11934</v>
      </c>
      <c r="D8946" t="s">
        <v>17435</v>
      </c>
      <c r="E8946" t="s">
        <v>25205</v>
      </c>
      <c r="F8946" t="s">
        <v>30052</v>
      </c>
      <c r="G8946" t="s">
        <v>30058</v>
      </c>
      <c r="H8946" t="s">
        <v>15498</v>
      </c>
      <c r="I8946" t="s">
        <v>3736</v>
      </c>
      <c r="J8946" t="s">
        <v>30592</v>
      </c>
      <c r="K8946" t="s">
        <v>39034</v>
      </c>
      <c r="M8946" t="s">
        <v>42186</v>
      </c>
      <c r="N8946" t="s">
        <v>43166</v>
      </c>
      <c r="O8946" t="s">
        <v>43167</v>
      </c>
      <c r="P8946">
        <v>0</v>
      </c>
      <c r="Q8946">
        <v>0</v>
      </c>
      <c r="R8946" t="s">
        <v>43174</v>
      </c>
      <c r="S8946" t="s">
        <v>43396</v>
      </c>
      <c r="T8946" t="s">
        <v>44844</v>
      </c>
      <c r="U8946" t="s">
        <v>52374</v>
      </c>
      <c r="W8946" t="s">
        <v>42186</v>
      </c>
      <c r="X8946" t="s">
        <v>43175</v>
      </c>
    </row>
    <row r="8947" spans="1:24">
      <c r="A8947">
        <f>HYPERLINK("https://www.philgeps.gov.ph/GEPSNONPILOT/Tender/SplashBidNoticeAbstractUI.aspx?menuIndex=3&amp;refID=7075813&amp;Result=3","7075813")</f>
        <v>0</v>
      </c>
      <c r="B8947" t="s">
        <v>1505</v>
      </c>
      <c r="C8947" t="s">
        <v>11935</v>
      </c>
      <c r="D8947" t="s">
        <v>17462</v>
      </c>
      <c r="E8947" t="s">
        <v>25206</v>
      </c>
      <c r="F8947" t="s">
        <v>30052</v>
      </c>
      <c r="G8947" t="s">
        <v>30058</v>
      </c>
      <c r="H8947" t="s">
        <v>30067</v>
      </c>
      <c r="I8947" t="s">
        <v>3693</v>
      </c>
      <c r="J8947" t="s">
        <v>31772</v>
      </c>
      <c r="K8947" t="s">
        <v>39023</v>
      </c>
      <c r="M8947" t="s">
        <v>40889</v>
      </c>
      <c r="N8947" t="s">
        <v>43166</v>
      </c>
      <c r="O8947" t="s">
        <v>43167</v>
      </c>
      <c r="P8947">
        <v>0</v>
      </c>
      <c r="Q8947">
        <v>5</v>
      </c>
      <c r="R8947" t="s">
        <v>43174</v>
      </c>
      <c r="S8947" t="s">
        <v>43396</v>
      </c>
      <c r="T8947" t="s">
        <v>44758</v>
      </c>
      <c r="U8947" t="s">
        <v>52149</v>
      </c>
      <c r="W8947" t="s">
        <v>58641</v>
      </c>
      <c r="X8947" t="s">
        <v>43175</v>
      </c>
    </row>
    <row r="8948" spans="1:24">
      <c r="A8948">
        <f>HYPERLINK("https://www.philgeps.gov.ph/GEPSNONPILOT/Tender/SplashBidNoticeAbstractUI.aspx?menuIndex=3&amp;refID=7075822&amp;Result=3","7075822")</f>
        <v>0</v>
      </c>
      <c r="B8948" t="s">
        <v>2656</v>
      </c>
      <c r="C8948" t="s">
        <v>11936</v>
      </c>
      <c r="D8948" t="s">
        <v>17458</v>
      </c>
      <c r="E8948" t="s">
        <v>25207</v>
      </c>
      <c r="F8948" t="s">
        <v>30052</v>
      </c>
      <c r="G8948" t="s">
        <v>30058</v>
      </c>
      <c r="H8948" t="s">
        <v>30067</v>
      </c>
      <c r="I8948" t="s">
        <v>3693</v>
      </c>
      <c r="J8948" t="s">
        <v>33996</v>
      </c>
      <c r="K8948" t="s">
        <v>39025</v>
      </c>
      <c r="L8948" t="s">
        <v>2656</v>
      </c>
      <c r="M8948" t="s">
        <v>42174</v>
      </c>
      <c r="N8948" t="s">
        <v>43166</v>
      </c>
      <c r="O8948" t="s">
        <v>43167</v>
      </c>
      <c r="P8948">
        <v>0</v>
      </c>
      <c r="Q8948">
        <v>0</v>
      </c>
      <c r="R8948" t="s">
        <v>43174</v>
      </c>
      <c r="S8948" t="s">
        <v>43396</v>
      </c>
      <c r="T8948" t="s">
        <v>44758</v>
      </c>
      <c r="U8948" t="s">
        <v>52337</v>
      </c>
      <c r="V8948" t="s">
        <v>57765</v>
      </c>
      <c r="W8948" t="s">
        <v>42174</v>
      </c>
      <c r="X8948" t="s">
        <v>43175</v>
      </c>
    </row>
    <row r="8949" spans="1:24">
      <c r="A8949">
        <f>HYPERLINK("https://www.philgeps.gov.ph/GEPSNONPILOT/Tender/SplashBidNoticeAbstractUI.aspx?menuIndex=3&amp;refID=7075810&amp;Result=3","7075810")</f>
        <v>0</v>
      </c>
      <c r="B8949" t="s">
        <v>1486</v>
      </c>
      <c r="C8949" t="s">
        <v>11937</v>
      </c>
      <c r="D8949" t="s">
        <v>17448</v>
      </c>
      <c r="E8949" t="s">
        <v>25208</v>
      </c>
      <c r="F8949" t="s">
        <v>30052</v>
      </c>
      <c r="G8949" t="s">
        <v>30058</v>
      </c>
      <c r="H8949" t="s">
        <v>30067</v>
      </c>
      <c r="I8949" t="s">
        <v>3693</v>
      </c>
      <c r="J8949" t="s">
        <v>34923</v>
      </c>
      <c r="K8949" t="s">
        <v>39212</v>
      </c>
      <c r="M8949" t="s">
        <v>40870</v>
      </c>
      <c r="N8949" t="s">
        <v>43166</v>
      </c>
      <c r="O8949" t="s">
        <v>43167</v>
      </c>
      <c r="P8949">
        <v>0</v>
      </c>
      <c r="Q8949">
        <v>4</v>
      </c>
      <c r="R8949" t="s">
        <v>43174</v>
      </c>
      <c r="S8949" t="s">
        <v>43396</v>
      </c>
      <c r="T8949" t="s">
        <v>44873</v>
      </c>
      <c r="U8949" t="s">
        <v>52298</v>
      </c>
      <c r="W8949" t="s">
        <v>40870</v>
      </c>
      <c r="X8949" t="s">
        <v>43175</v>
      </c>
    </row>
    <row r="8950" spans="1:24">
      <c r="A8950">
        <f>HYPERLINK("https://www.philgeps.gov.ph/GEPSNONPILOT/Tender/SplashBidNoticeAbstractUI.aspx?menuIndex=3&amp;refID=7075816&amp;Result=3","7075816")</f>
        <v>0</v>
      </c>
      <c r="B8950" t="s">
        <v>1505</v>
      </c>
      <c r="C8950" t="s">
        <v>11938</v>
      </c>
      <c r="D8950" t="s">
        <v>17462</v>
      </c>
      <c r="E8950" t="s">
        <v>25209</v>
      </c>
      <c r="F8950" t="s">
        <v>30052</v>
      </c>
      <c r="G8950" t="s">
        <v>30058</v>
      </c>
      <c r="H8950" t="s">
        <v>30067</v>
      </c>
      <c r="I8950" t="s">
        <v>3693</v>
      </c>
      <c r="J8950" t="s">
        <v>31772</v>
      </c>
      <c r="K8950" t="s">
        <v>39029</v>
      </c>
      <c r="M8950" t="s">
        <v>40889</v>
      </c>
      <c r="N8950" t="s">
        <v>43166</v>
      </c>
      <c r="O8950" t="s">
        <v>43167</v>
      </c>
      <c r="P8950">
        <v>0</v>
      </c>
      <c r="Q8950">
        <v>5</v>
      </c>
      <c r="R8950" t="s">
        <v>43174</v>
      </c>
      <c r="S8950" t="s">
        <v>43396</v>
      </c>
      <c r="T8950" t="s">
        <v>44758</v>
      </c>
      <c r="U8950" t="s">
        <v>52149</v>
      </c>
      <c r="W8950" t="s">
        <v>58641</v>
      </c>
      <c r="X8950" t="s">
        <v>43175</v>
      </c>
    </row>
    <row r="8951" spans="1:24">
      <c r="A8951">
        <f>HYPERLINK("https://www.philgeps.gov.ph/GEPSNONPILOT/Tender/SplashBidNoticeAbstractUI.aspx?menuIndex=3&amp;refID=7075895&amp;Result=3","7075895")</f>
        <v>0</v>
      </c>
      <c r="B8951" t="s">
        <v>2649</v>
      </c>
      <c r="C8951" t="s">
        <v>11939</v>
      </c>
      <c r="E8951" t="s">
        <v>25210</v>
      </c>
      <c r="F8951" t="s">
        <v>30052</v>
      </c>
      <c r="G8951" t="s">
        <v>30058</v>
      </c>
      <c r="H8951" t="s">
        <v>15498</v>
      </c>
      <c r="I8951" t="s">
        <v>30088</v>
      </c>
      <c r="J8951" t="s">
        <v>31207</v>
      </c>
      <c r="K8951" t="s">
        <v>39025</v>
      </c>
      <c r="M8951" t="s">
        <v>42167</v>
      </c>
      <c r="N8951" t="s">
        <v>43166</v>
      </c>
      <c r="O8951" t="s">
        <v>43167</v>
      </c>
      <c r="Q8951">
        <v>11</v>
      </c>
      <c r="R8951" t="s">
        <v>43174</v>
      </c>
      <c r="S8951" t="s">
        <v>43445</v>
      </c>
      <c r="T8951" t="s">
        <v>44828</v>
      </c>
      <c r="U8951" t="s">
        <v>52315</v>
      </c>
      <c r="V8951" t="s">
        <v>57758</v>
      </c>
      <c r="W8951" t="s">
        <v>42167</v>
      </c>
      <c r="X8951" t="s">
        <v>43175</v>
      </c>
    </row>
    <row r="8952" spans="1:24">
      <c r="A8952">
        <f>HYPERLINK("https://www.philgeps.gov.ph/GEPSNONPILOT/Tender/SplashBidNoticeAbstractUI.aspx?menuIndex=3&amp;refID=7075823&amp;Result=3","7075823")</f>
        <v>0</v>
      </c>
      <c r="B8952" t="s">
        <v>1505</v>
      </c>
      <c r="C8952" t="s">
        <v>11940</v>
      </c>
      <c r="D8952" t="s">
        <v>17462</v>
      </c>
      <c r="E8952" t="s">
        <v>25211</v>
      </c>
      <c r="F8952" t="s">
        <v>30052</v>
      </c>
      <c r="G8952" t="s">
        <v>30058</v>
      </c>
      <c r="H8952" t="s">
        <v>30067</v>
      </c>
      <c r="I8952" t="s">
        <v>3693</v>
      </c>
      <c r="J8952" t="s">
        <v>30873</v>
      </c>
      <c r="K8952" t="s">
        <v>39031</v>
      </c>
      <c r="M8952" t="s">
        <v>40889</v>
      </c>
      <c r="N8952" t="s">
        <v>43166</v>
      </c>
      <c r="O8952" t="s">
        <v>43167</v>
      </c>
      <c r="P8952">
        <v>0</v>
      </c>
      <c r="Q8952">
        <v>5</v>
      </c>
      <c r="R8952" t="s">
        <v>43174</v>
      </c>
      <c r="S8952" t="s">
        <v>43396</v>
      </c>
      <c r="T8952" t="s">
        <v>44758</v>
      </c>
      <c r="U8952" t="s">
        <v>52149</v>
      </c>
      <c r="W8952" t="s">
        <v>58641</v>
      </c>
      <c r="X8952" t="s">
        <v>43175</v>
      </c>
    </row>
    <row r="8953" spans="1:24">
      <c r="A8953">
        <f>HYPERLINK("https://www.philgeps.gov.ph/GEPSNONPILOT/Tender/SplashBidNoticeAbstractUI.aspx?menuIndex=3&amp;refID=7075812&amp;Result=3","7075812")</f>
        <v>0</v>
      </c>
      <c r="B8953" t="s">
        <v>1505</v>
      </c>
      <c r="C8953" t="s">
        <v>11941</v>
      </c>
      <c r="D8953" t="s">
        <v>17462</v>
      </c>
      <c r="E8953" t="s">
        <v>25212</v>
      </c>
      <c r="F8953" t="s">
        <v>30052</v>
      </c>
      <c r="G8953" t="s">
        <v>30058</v>
      </c>
      <c r="H8953" t="s">
        <v>30067</v>
      </c>
      <c r="I8953" t="s">
        <v>3693</v>
      </c>
      <c r="J8953" t="s">
        <v>31772</v>
      </c>
      <c r="K8953" t="s">
        <v>39023</v>
      </c>
      <c r="M8953" t="s">
        <v>40889</v>
      </c>
      <c r="N8953" t="s">
        <v>43166</v>
      </c>
      <c r="O8953" t="s">
        <v>43167</v>
      </c>
      <c r="P8953">
        <v>0</v>
      </c>
      <c r="Q8953">
        <v>5</v>
      </c>
      <c r="R8953" t="s">
        <v>43174</v>
      </c>
      <c r="S8953" t="s">
        <v>43396</v>
      </c>
      <c r="T8953" t="s">
        <v>44758</v>
      </c>
      <c r="U8953" t="s">
        <v>52149</v>
      </c>
      <c r="W8953" t="s">
        <v>58641</v>
      </c>
      <c r="X8953" t="s">
        <v>43175</v>
      </c>
    </row>
    <row r="8954" spans="1:24">
      <c r="A8954">
        <f>HYPERLINK("https://www.philgeps.gov.ph/GEPSNONPILOT/Tender/SplashBidNoticeAbstractUI.aspx?menuIndex=3&amp;refID=7075882&amp;Result=3","7075882")</f>
        <v>0</v>
      </c>
      <c r="B8954" t="s">
        <v>1207</v>
      </c>
      <c r="C8954" t="s">
        <v>11942</v>
      </c>
      <c r="D8954" t="s">
        <v>17462</v>
      </c>
      <c r="E8954" t="s">
        <v>25213</v>
      </c>
      <c r="F8954" t="s">
        <v>30052</v>
      </c>
      <c r="G8954" t="s">
        <v>30061</v>
      </c>
      <c r="H8954" t="s">
        <v>15498</v>
      </c>
      <c r="I8954" t="s">
        <v>30076</v>
      </c>
      <c r="J8954" t="s">
        <v>35648</v>
      </c>
      <c r="K8954" t="s">
        <v>39025</v>
      </c>
      <c r="M8954" t="s">
        <v>40561</v>
      </c>
      <c r="N8954" t="s">
        <v>43166</v>
      </c>
      <c r="O8954" t="s">
        <v>43167</v>
      </c>
      <c r="P8954">
        <v>0</v>
      </c>
      <c r="Q8954">
        <v>17</v>
      </c>
      <c r="R8954" t="s">
        <v>43174</v>
      </c>
      <c r="S8954" t="s">
        <v>43396</v>
      </c>
      <c r="T8954" t="s">
        <v>44843</v>
      </c>
      <c r="U8954" t="s">
        <v>52375</v>
      </c>
      <c r="V8954" t="s">
        <v>57193</v>
      </c>
      <c r="W8954" t="s">
        <v>40561</v>
      </c>
      <c r="X8954" t="s">
        <v>43175</v>
      </c>
    </row>
    <row r="8955" spans="1:24">
      <c r="A8955">
        <f>HYPERLINK("https://www.philgeps.gov.ph/GEPSNONPILOT/Tender/SplashBidNoticeAbstractUI.aspx?menuIndex=3&amp;refID=7075884&amp;Result=3","7075884")</f>
        <v>0</v>
      </c>
      <c r="B8955" t="s">
        <v>2649</v>
      </c>
      <c r="C8955" t="s">
        <v>11943</v>
      </c>
      <c r="E8955" t="s">
        <v>25214</v>
      </c>
      <c r="F8955" t="s">
        <v>30052</v>
      </c>
      <c r="G8955" t="s">
        <v>30058</v>
      </c>
      <c r="H8955" t="s">
        <v>15498</v>
      </c>
      <c r="I8955" t="s">
        <v>30088</v>
      </c>
      <c r="J8955" t="s">
        <v>30281</v>
      </c>
      <c r="K8955" t="s">
        <v>39025</v>
      </c>
      <c r="M8955" t="s">
        <v>42167</v>
      </c>
      <c r="N8955" t="s">
        <v>43166</v>
      </c>
      <c r="O8955" t="s">
        <v>43167</v>
      </c>
      <c r="Q8955">
        <v>11</v>
      </c>
      <c r="R8955" t="s">
        <v>43174</v>
      </c>
      <c r="S8955" t="s">
        <v>43446</v>
      </c>
      <c r="T8955" t="s">
        <v>44828</v>
      </c>
      <c r="U8955" t="s">
        <v>52315</v>
      </c>
      <c r="V8955" t="s">
        <v>57758</v>
      </c>
      <c r="W8955" t="s">
        <v>42167</v>
      </c>
      <c r="X8955" t="s">
        <v>43175</v>
      </c>
    </row>
    <row r="8956" spans="1:24">
      <c r="A8956">
        <f>HYPERLINK("https://www.philgeps.gov.ph/GEPSNONPILOT/Tender/SplashBidNoticeAbstractUI.aspx?menuIndex=3&amp;refID=7075896&amp;Result=3","7075896")</f>
        <v>0</v>
      </c>
      <c r="B8956" t="s">
        <v>2627</v>
      </c>
      <c r="C8956" t="s">
        <v>11944</v>
      </c>
      <c r="D8956" t="s">
        <v>17446</v>
      </c>
      <c r="E8956" t="s">
        <v>25215</v>
      </c>
      <c r="F8956" t="s">
        <v>30052</v>
      </c>
      <c r="G8956" t="s">
        <v>30058</v>
      </c>
      <c r="H8956" t="s">
        <v>30067</v>
      </c>
      <c r="I8956" t="s">
        <v>30068</v>
      </c>
      <c r="J8956" t="s">
        <v>35649</v>
      </c>
      <c r="K8956" t="s">
        <v>39160</v>
      </c>
      <c r="M8956" t="s">
        <v>42141</v>
      </c>
      <c r="N8956" t="s">
        <v>43166</v>
      </c>
      <c r="O8956" t="s">
        <v>43167</v>
      </c>
      <c r="P8956">
        <v>0</v>
      </c>
      <c r="Q8956">
        <v>6</v>
      </c>
      <c r="R8956" t="s">
        <v>43174</v>
      </c>
      <c r="S8956" t="s">
        <v>43396</v>
      </c>
      <c r="T8956" t="s">
        <v>44725</v>
      </c>
      <c r="U8956" t="s">
        <v>52213</v>
      </c>
      <c r="W8956" t="s">
        <v>58683</v>
      </c>
      <c r="X8956" t="s">
        <v>43175</v>
      </c>
    </row>
    <row r="8957" spans="1:24">
      <c r="A8957">
        <f>HYPERLINK("https://www.philgeps.gov.ph/GEPSNONPILOT/Tender/SplashBidNoticeAbstractUI.aspx?menuIndex=3&amp;refID=7075855&amp;Result=3","7075855")</f>
        <v>0</v>
      </c>
      <c r="B8957" t="s">
        <v>2668</v>
      </c>
      <c r="C8957" t="s">
        <v>11945</v>
      </c>
      <c r="D8957" t="s">
        <v>17473</v>
      </c>
      <c r="E8957" t="s">
        <v>25216</v>
      </c>
      <c r="F8957" t="s">
        <v>30052</v>
      </c>
      <c r="G8957" t="s">
        <v>30059</v>
      </c>
      <c r="H8957" t="s">
        <v>30067</v>
      </c>
      <c r="I8957" t="s">
        <v>3693</v>
      </c>
      <c r="J8957" t="s">
        <v>30252</v>
      </c>
      <c r="K8957" t="s">
        <v>39037</v>
      </c>
      <c r="M8957" t="s">
        <v>42187</v>
      </c>
      <c r="N8957" t="s">
        <v>43166</v>
      </c>
      <c r="O8957" t="s">
        <v>43167</v>
      </c>
      <c r="P8957">
        <v>0</v>
      </c>
      <c r="Q8957">
        <v>1</v>
      </c>
      <c r="R8957" t="s">
        <v>43174</v>
      </c>
      <c r="S8957" t="s">
        <v>43396</v>
      </c>
      <c r="T8957" t="s">
        <v>44717</v>
      </c>
      <c r="U8957" t="s">
        <v>52376</v>
      </c>
      <c r="V8957" t="s">
        <v>57768</v>
      </c>
      <c r="W8957" t="s">
        <v>42187</v>
      </c>
      <c r="X8957" t="s">
        <v>43175</v>
      </c>
    </row>
    <row r="8958" spans="1:24">
      <c r="A8958">
        <f>HYPERLINK("https://www.philgeps.gov.ph/GEPSNONPILOT/Tender/SplashBidNoticeAbstractUI.aspx?menuIndex=3&amp;refID=7075874&amp;Result=3","7075874")</f>
        <v>0</v>
      </c>
      <c r="B8958" t="s">
        <v>2663</v>
      </c>
      <c r="C8958" t="s">
        <v>11946</v>
      </c>
      <c r="D8958" t="s">
        <v>17466</v>
      </c>
      <c r="E8958" t="s">
        <v>25217</v>
      </c>
      <c r="F8958" t="s">
        <v>30052</v>
      </c>
      <c r="G8958" t="s">
        <v>30063</v>
      </c>
      <c r="H8958" t="s">
        <v>30069</v>
      </c>
      <c r="I8958" t="s">
        <v>30070</v>
      </c>
      <c r="J8958" t="s">
        <v>35650</v>
      </c>
      <c r="K8958" t="s">
        <v>39098</v>
      </c>
      <c r="M8958" t="s">
        <v>42182</v>
      </c>
      <c r="N8958" t="s">
        <v>43166</v>
      </c>
      <c r="O8958" t="s">
        <v>43167</v>
      </c>
      <c r="P8958">
        <v>0</v>
      </c>
      <c r="Q8958">
        <v>1</v>
      </c>
      <c r="R8958" t="s">
        <v>43174</v>
      </c>
      <c r="S8958" t="s">
        <v>43396</v>
      </c>
      <c r="T8958" t="s">
        <v>44813</v>
      </c>
      <c r="U8958" t="s">
        <v>52377</v>
      </c>
      <c r="W8958" t="s">
        <v>42182</v>
      </c>
      <c r="X8958" t="s">
        <v>43175</v>
      </c>
    </row>
    <row r="8959" spans="1:24">
      <c r="A8959">
        <f>HYPERLINK("https://www.philgeps.gov.ph/GEPSNONPILOT/Tender/SplashBidNoticeAbstractUI.aspx?menuIndex=3&amp;refID=7075875&amp;Result=3","7075875")</f>
        <v>0</v>
      </c>
      <c r="B8959" t="s">
        <v>2649</v>
      </c>
      <c r="C8959" t="s">
        <v>11947</v>
      </c>
      <c r="E8959" t="s">
        <v>25218</v>
      </c>
      <c r="F8959" t="s">
        <v>30052</v>
      </c>
      <c r="G8959" t="s">
        <v>30058</v>
      </c>
      <c r="H8959" t="s">
        <v>15498</v>
      </c>
      <c r="I8959" t="s">
        <v>30088</v>
      </c>
      <c r="J8959" t="s">
        <v>31447</v>
      </c>
      <c r="K8959" t="s">
        <v>39025</v>
      </c>
      <c r="M8959" t="s">
        <v>42167</v>
      </c>
      <c r="N8959" t="s">
        <v>43166</v>
      </c>
      <c r="O8959" t="s">
        <v>43167</v>
      </c>
      <c r="Q8959">
        <v>13</v>
      </c>
      <c r="R8959" t="s">
        <v>43174</v>
      </c>
      <c r="S8959" t="s">
        <v>43447</v>
      </c>
      <c r="T8959" t="s">
        <v>44828</v>
      </c>
      <c r="U8959" t="s">
        <v>52315</v>
      </c>
      <c r="V8959" t="s">
        <v>57758</v>
      </c>
      <c r="W8959" t="s">
        <v>42167</v>
      </c>
      <c r="X8959" t="s">
        <v>43175</v>
      </c>
    </row>
    <row r="8960" spans="1:24">
      <c r="A8960">
        <f>HYPERLINK("https://www.philgeps.gov.ph/GEPSNONPILOT/Tender/SplashBidNoticeAbstractUI.aspx?menuIndex=3&amp;refID=7075890&amp;Result=3","7075890")</f>
        <v>0</v>
      </c>
      <c r="B8960" t="s">
        <v>861</v>
      </c>
      <c r="C8960" t="s">
        <v>11948</v>
      </c>
      <c r="D8960" t="s">
        <v>17413</v>
      </c>
      <c r="E8960" t="s">
        <v>25219</v>
      </c>
      <c r="F8960" t="s">
        <v>30052</v>
      </c>
      <c r="G8960" t="s">
        <v>30058</v>
      </c>
      <c r="H8960" t="s">
        <v>30067</v>
      </c>
      <c r="I8960" t="s">
        <v>3693</v>
      </c>
      <c r="J8960" t="s">
        <v>35651</v>
      </c>
      <c r="K8960" t="s">
        <v>39157</v>
      </c>
      <c r="M8960" t="s">
        <v>40178</v>
      </c>
      <c r="N8960" t="s">
        <v>43166</v>
      </c>
      <c r="O8960" t="s">
        <v>43167</v>
      </c>
      <c r="P8960">
        <v>0</v>
      </c>
      <c r="Q8960">
        <v>1</v>
      </c>
      <c r="R8960" t="s">
        <v>43174</v>
      </c>
      <c r="S8960" t="s">
        <v>43396</v>
      </c>
      <c r="T8960" t="s">
        <v>44718</v>
      </c>
      <c r="U8960" t="s">
        <v>52378</v>
      </c>
      <c r="W8960" t="s">
        <v>40178</v>
      </c>
      <c r="X8960" t="s">
        <v>43175</v>
      </c>
    </row>
    <row r="8961" spans="1:24">
      <c r="A8961">
        <f>HYPERLINK("https://www.philgeps.gov.ph/GEPSNONPILOT/Tender/SplashBidNoticeAbstractUI.aspx?menuIndex=3&amp;refID=7075873&amp;Result=3","7075873")</f>
        <v>0</v>
      </c>
      <c r="B8961" t="s">
        <v>1207</v>
      </c>
      <c r="C8961" t="s">
        <v>11949</v>
      </c>
      <c r="D8961" t="s">
        <v>17462</v>
      </c>
      <c r="E8961" t="s">
        <v>25220</v>
      </c>
      <c r="F8961" t="s">
        <v>30052</v>
      </c>
      <c r="G8961" t="s">
        <v>30061</v>
      </c>
      <c r="H8961" t="s">
        <v>15498</v>
      </c>
      <c r="I8961" t="s">
        <v>30130</v>
      </c>
      <c r="J8961" t="s">
        <v>35652</v>
      </c>
      <c r="K8961" t="s">
        <v>39025</v>
      </c>
      <c r="M8961" t="s">
        <v>40561</v>
      </c>
      <c r="N8961" t="s">
        <v>43166</v>
      </c>
      <c r="O8961" t="s">
        <v>43167</v>
      </c>
      <c r="P8961">
        <v>0</v>
      </c>
      <c r="Q8961">
        <v>2</v>
      </c>
      <c r="R8961" t="s">
        <v>43174</v>
      </c>
      <c r="S8961" t="s">
        <v>43396</v>
      </c>
      <c r="T8961" t="s">
        <v>44843</v>
      </c>
      <c r="U8961" t="s">
        <v>52379</v>
      </c>
      <c r="V8961" t="s">
        <v>57193</v>
      </c>
      <c r="W8961" t="s">
        <v>40561</v>
      </c>
      <c r="X8961" t="s">
        <v>43175</v>
      </c>
    </row>
    <row r="8962" spans="1:24">
      <c r="A8962">
        <f>HYPERLINK("https://www.philgeps.gov.ph/GEPSNONPILOT/Tender/SplashBidNoticeAbstractUI.aspx?menuIndex=3&amp;refID=7075886&amp;Result=3","7075886")</f>
        <v>0</v>
      </c>
      <c r="B8962" t="s">
        <v>2669</v>
      </c>
      <c r="C8962" t="s">
        <v>11950</v>
      </c>
      <c r="D8962" t="s">
        <v>17473</v>
      </c>
      <c r="E8962" t="s">
        <v>25221</v>
      </c>
      <c r="F8962" t="s">
        <v>30052</v>
      </c>
      <c r="G8962" t="s">
        <v>30058</v>
      </c>
      <c r="H8962" t="s">
        <v>30067</v>
      </c>
      <c r="I8962" t="s">
        <v>30163</v>
      </c>
      <c r="J8962" t="s">
        <v>35653</v>
      </c>
      <c r="K8962" t="s">
        <v>39128</v>
      </c>
      <c r="M8962" t="s">
        <v>42188</v>
      </c>
      <c r="N8962" t="s">
        <v>43166</v>
      </c>
      <c r="O8962" t="s">
        <v>43167</v>
      </c>
      <c r="P8962">
        <v>0</v>
      </c>
      <c r="Q8962">
        <v>0</v>
      </c>
      <c r="R8962" t="s">
        <v>43174</v>
      </c>
      <c r="S8962" t="s">
        <v>43396</v>
      </c>
      <c r="T8962" t="s">
        <v>44970</v>
      </c>
      <c r="U8962" t="s">
        <v>52380</v>
      </c>
      <c r="W8962" t="s">
        <v>42188</v>
      </c>
      <c r="X8962" t="s">
        <v>43175</v>
      </c>
    </row>
    <row r="8963" spans="1:24">
      <c r="A8963">
        <f>HYPERLINK("https://www.philgeps.gov.ph/GEPSNONPILOT/Tender/SplashBidNoticeAbstractUI.aspx?menuIndex=3&amp;refID=7075925&amp;Result=3","7075925")</f>
        <v>0</v>
      </c>
      <c r="B8963" t="s">
        <v>511</v>
      </c>
      <c r="C8963" t="s">
        <v>11951</v>
      </c>
      <c r="D8963" t="s">
        <v>17480</v>
      </c>
      <c r="E8963" t="s">
        <v>25222</v>
      </c>
      <c r="F8963" t="s">
        <v>30052</v>
      </c>
      <c r="G8963" t="s">
        <v>30058</v>
      </c>
      <c r="H8963" t="s">
        <v>15498</v>
      </c>
      <c r="I8963" t="s">
        <v>30135</v>
      </c>
      <c r="J8963" t="s">
        <v>35654</v>
      </c>
      <c r="K8963" t="s">
        <v>39031</v>
      </c>
      <c r="M8963" t="s">
        <v>39812</v>
      </c>
      <c r="N8963" t="s">
        <v>43166</v>
      </c>
      <c r="O8963" t="s">
        <v>43167</v>
      </c>
      <c r="P8963">
        <v>0</v>
      </c>
      <c r="Q8963">
        <v>8</v>
      </c>
      <c r="R8963" t="s">
        <v>43174</v>
      </c>
      <c r="S8963" t="s">
        <v>43396</v>
      </c>
      <c r="T8963" t="s">
        <v>45093</v>
      </c>
      <c r="U8963" t="s">
        <v>52381</v>
      </c>
      <c r="V8963" t="s">
        <v>57769</v>
      </c>
      <c r="W8963" t="s">
        <v>39812</v>
      </c>
      <c r="X8963" t="s">
        <v>43175</v>
      </c>
    </row>
    <row r="8964" spans="1:24">
      <c r="A8964">
        <f>HYPERLINK("https://www.philgeps.gov.ph/GEPSNONPILOT/Tender/SplashBidNoticeAbstractUI.aspx?menuIndex=3&amp;refID=7075879&amp;Result=3","7075879")</f>
        <v>0</v>
      </c>
      <c r="B8964" t="s">
        <v>2627</v>
      </c>
      <c r="C8964" t="s">
        <v>11952</v>
      </c>
      <c r="D8964" t="s">
        <v>17446</v>
      </c>
      <c r="E8964" t="s">
        <v>25223</v>
      </c>
      <c r="F8964" t="s">
        <v>30052</v>
      </c>
      <c r="G8964" t="s">
        <v>30058</v>
      </c>
      <c r="H8964" t="s">
        <v>30067</v>
      </c>
      <c r="I8964" t="s">
        <v>3693</v>
      </c>
      <c r="J8964" t="s">
        <v>35655</v>
      </c>
      <c r="K8964" t="s">
        <v>39178</v>
      </c>
      <c r="M8964" t="s">
        <v>42141</v>
      </c>
      <c r="N8964" t="s">
        <v>43166</v>
      </c>
      <c r="O8964" t="s">
        <v>43167</v>
      </c>
      <c r="P8964">
        <v>0</v>
      </c>
      <c r="Q8964">
        <v>6</v>
      </c>
      <c r="R8964" t="s">
        <v>43174</v>
      </c>
      <c r="S8964" t="s">
        <v>43396</v>
      </c>
      <c r="T8964" t="s">
        <v>44718</v>
      </c>
      <c r="U8964" t="s">
        <v>52382</v>
      </c>
      <c r="W8964" t="s">
        <v>58683</v>
      </c>
      <c r="X8964" t="s">
        <v>43175</v>
      </c>
    </row>
    <row r="8965" spans="1:24">
      <c r="A8965">
        <f>HYPERLINK("https://www.philgeps.gov.ph/GEPSNONPILOT/Tender/SplashBidNoticeAbstractUI.aspx?menuIndex=3&amp;refID=7075924&amp;Result=3","7075924")</f>
        <v>0</v>
      </c>
      <c r="B8965" t="s">
        <v>2670</v>
      </c>
      <c r="C8965" t="s">
        <v>11953</v>
      </c>
      <c r="D8965" t="s">
        <v>17456</v>
      </c>
      <c r="E8965" t="s">
        <v>25224</v>
      </c>
      <c r="F8965" t="s">
        <v>30052</v>
      </c>
      <c r="G8965" t="s">
        <v>30058</v>
      </c>
      <c r="H8965" t="s">
        <v>15498</v>
      </c>
      <c r="I8965" t="s">
        <v>3736</v>
      </c>
      <c r="J8965" t="s">
        <v>35656</v>
      </c>
      <c r="K8965" t="s">
        <v>39025</v>
      </c>
      <c r="M8965" t="s">
        <v>42189</v>
      </c>
      <c r="N8965" t="s">
        <v>43166</v>
      </c>
      <c r="O8965" t="s">
        <v>43167</v>
      </c>
      <c r="P8965">
        <v>0</v>
      </c>
      <c r="Q8965">
        <v>2</v>
      </c>
      <c r="R8965" t="s">
        <v>43174</v>
      </c>
      <c r="S8965" t="s">
        <v>43396</v>
      </c>
      <c r="T8965" t="s">
        <v>44949</v>
      </c>
      <c r="U8965" t="s">
        <v>52383</v>
      </c>
      <c r="W8965" t="s">
        <v>42189</v>
      </c>
      <c r="X8965" t="s">
        <v>43175</v>
      </c>
    </row>
    <row r="8966" spans="1:24">
      <c r="A8966">
        <f>HYPERLINK("https://www.philgeps.gov.ph/GEPSNONPILOT/Tender/SplashBidNoticeAbstractUI.aspx?menuIndex=3&amp;refID=7075814&amp;Result=3","7075814")</f>
        <v>0</v>
      </c>
      <c r="B8966" t="s">
        <v>2671</v>
      </c>
      <c r="C8966" t="s">
        <v>11954</v>
      </c>
      <c r="D8966" t="s">
        <v>17415</v>
      </c>
      <c r="E8966" t="s">
        <v>25225</v>
      </c>
      <c r="F8966" t="s">
        <v>30052</v>
      </c>
      <c r="G8966" t="s">
        <v>30059</v>
      </c>
      <c r="H8966" t="s">
        <v>15498</v>
      </c>
      <c r="I8966" t="s">
        <v>4642</v>
      </c>
      <c r="J8966" t="s">
        <v>35657</v>
      </c>
      <c r="K8966" t="s">
        <v>39034</v>
      </c>
      <c r="M8966" t="s">
        <v>42190</v>
      </c>
      <c r="N8966" t="s">
        <v>43166</v>
      </c>
      <c r="O8966" t="s">
        <v>43167</v>
      </c>
      <c r="P8966">
        <v>0</v>
      </c>
      <c r="Q8966">
        <v>4</v>
      </c>
      <c r="R8966" t="s">
        <v>43174</v>
      </c>
      <c r="S8966" t="s">
        <v>43396</v>
      </c>
      <c r="T8966" t="s">
        <v>44837</v>
      </c>
      <c r="U8966" t="s">
        <v>52384</v>
      </c>
      <c r="V8966" t="s">
        <v>57770</v>
      </c>
      <c r="W8966" t="s">
        <v>42190</v>
      </c>
      <c r="X8966" t="s">
        <v>43175</v>
      </c>
    </row>
    <row r="8967" spans="1:24">
      <c r="A8967">
        <f>HYPERLINK("https://www.philgeps.gov.ph/GEPSNONPILOT/Tender/SplashBidNoticeAbstractUI.aspx?menuIndex=3&amp;refID=7075900&amp;Result=3","7075900")</f>
        <v>0</v>
      </c>
      <c r="B8967" t="s">
        <v>588</v>
      </c>
      <c r="C8967" t="s">
        <v>11955</v>
      </c>
      <c r="D8967" t="s">
        <v>17425</v>
      </c>
      <c r="E8967" t="s">
        <v>22983</v>
      </c>
      <c r="F8967" t="s">
        <v>30052</v>
      </c>
      <c r="G8967" t="s">
        <v>30058</v>
      </c>
      <c r="H8967" t="s">
        <v>15498</v>
      </c>
      <c r="I8967" t="s">
        <v>3693</v>
      </c>
      <c r="J8967" t="s">
        <v>30247</v>
      </c>
      <c r="K8967" t="s">
        <v>39022</v>
      </c>
      <c r="M8967" t="s">
        <v>39890</v>
      </c>
      <c r="N8967" t="s">
        <v>43166</v>
      </c>
      <c r="O8967" t="s">
        <v>43167</v>
      </c>
      <c r="P8967">
        <v>0</v>
      </c>
      <c r="Q8967">
        <v>1</v>
      </c>
      <c r="R8967" t="s">
        <v>43174</v>
      </c>
      <c r="S8967" t="s">
        <v>43396</v>
      </c>
      <c r="T8967" t="s">
        <v>44716</v>
      </c>
      <c r="U8967" t="s">
        <v>52385</v>
      </c>
      <c r="V8967" t="s">
        <v>57771</v>
      </c>
      <c r="W8967" t="s">
        <v>39890</v>
      </c>
      <c r="X8967" t="s">
        <v>43175</v>
      </c>
    </row>
    <row r="8968" spans="1:24">
      <c r="A8968">
        <f>HYPERLINK("https://www.philgeps.gov.ph/GEPSNONPILOT/Tender/SplashBidNoticeAbstractUI.aspx?menuIndex=3&amp;refID=7075919&amp;Result=3","7075919")</f>
        <v>0</v>
      </c>
      <c r="B8968" t="s">
        <v>2636</v>
      </c>
      <c r="C8968" t="s">
        <v>11956</v>
      </c>
      <c r="D8968" t="s">
        <v>17492</v>
      </c>
      <c r="E8968" t="s">
        <v>25226</v>
      </c>
      <c r="F8968" t="s">
        <v>30052</v>
      </c>
      <c r="G8968" t="s">
        <v>30058</v>
      </c>
      <c r="H8968" t="s">
        <v>30067</v>
      </c>
      <c r="I8968" t="s">
        <v>3693</v>
      </c>
      <c r="J8968" t="s">
        <v>35658</v>
      </c>
      <c r="K8968" t="s">
        <v>39025</v>
      </c>
      <c r="M8968" t="s">
        <v>42151</v>
      </c>
      <c r="N8968" t="s">
        <v>43166</v>
      </c>
      <c r="O8968" t="s">
        <v>43167</v>
      </c>
      <c r="P8968">
        <v>0</v>
      </c>
      <c r="Q8968">
        <v>0</v>
      </c>
      <c r="R8968" t="s">
        <v>43174</v>
      </c>
      <c r="S8968" t="s">
        <v>43396</v>
      </c>
      <c r="T8968" t="s">
        <v>44716</v>
      </c>
      <c r="U8968" t="s">
        <v>52255</v>
      </c>
      <c r="W8968" t="s">
        <v>42151</v>
      </c>
      <c r="X8968" t="s">
        <v>43175</v>
      </c>
    </row>
    <row r="8969" spans="1:24">
      <c r="A8969">
        <f>HYPERLINK("https://www.philgeps.gov.ph/GEPSNONPILOT/Tender/SplashBidNoticeAbstractUI.aspx?menuIndex=3&amp;refID=7075928&amp;Result=3","7075928")</f>
        <v>0</v>
      </c>
      <c r="B8969" t="s">
        <v>2649</v>
      </c>
      <c r="C8969" t="s">
        <v>11957</v>
      </c>
      <c r="E8969" t="s">
        <v>25227</v>
      </c>
      <c r="F8969" t="s">
        <v>30052</v>
      </c>
      <c r="G8969" t="s">
        <v>30058</v>
      </c>
      <c r="H8969" t="s">
        <v>15498</v>
      </c>
      <c r="I8969" t="s">
        <v>30088</v>
      </c>
      <c r="J8969" t="s">
        <v>32005</v>
      </c>
      <c r="K8969" t="s">
        <v>39025</v>
      </c>
      <c r="M8969" t="s">
        <v>42191</v>
      </c>
      <c r="N8969" t="s">
        <v>43166</v>
      </c>
      <c r="O8969" t="s">
        <v>43167</v>
      </c>
      <c r="Q8969">
        <v>11</v>
      </c>
      <c r="R8969" t="s">
        <v>43174</v>
      </c>
      <c r="S8969" t="s">
        <v>43401</v>
      </c>
      <c r="T8969" t="s">
        <v>44934</v>
      </c>
      <c r="U8969" t="s">
        <v>52315</v>
      </c>
      <c r="V8969" t="s">
        <v>57758</v>
      </c>
      <c r="W8969" t="s">
        <v>42191</v>
      </c>
      <c r="X8969" t="s">
        <v>43175</v>
      </c>
    </row>
    <row r="8970" spans="1:24">
      <c r="A8970">
        <f>HYPERLINK("https://www.philgeps.gov.ph/GEPSNONPILOT/Tender/SplashBidNoticeAbstractUI.aspx?menuIndex=3&amp;refID=7075918&amp;Result=3","7075918")</f>
        <v>0</v>
      </c>
      <c r="B8970" t="s">
        <v>511</v>
      </c>
      <c r="C8970" t="s">
        <v>11958</v>
      </c>
      <c r="D8970" t="s">
        <v>17440</v>
      </c>
      <c r="E8970" t="s">
        <v>25228</v>
      </c>
      <c r="F8970" t="s">
        <v>30052</v>
      </c>
      <c r="G8970" t="s">
        <v>30058</v>
      </c>
      <c r="H8970" t="s">
        <v>30067</v>
      </c>
      <c r="I8970" t="s">
        <v>3693</v>
      </c>
      <c r="J8970" t="s">
        <v>35659</v>
      </c>
      <c r="K8970" t="s">
        <v>39031</v>
      </c>
      <c r="M8970" t="s">
        <v>39812</v>
      </c>
      <c r="N8970" t="s">
        <v>43166</v>
      </c>
      <c r="O8970" t="s">
        <v>43167</v>
      </c>
      <c r="Q8970">
        <v>5</v>
      </c>
      <c r="R8970" t="s">
        <v>43174</v>
      </c>
      <c r="S8970" t="s">
        <v>43448</v>
      </c>
      <c r="T8970" t="s">
        <v>45093</v>
      </c>
      <c r="U8970" t="s">
        <v>52381</v>
      </c>
      <c r="V8970" t="s">
        <v>57772</v>
      </c>
      <c r="W8970" t="s">
        <v>39812</v>
      </c>
      <c r="X8970" t="s">
        <v>43175</v>
      </c>
    </row>
    <row r="8971" spans="1:24">
      <c r="A8971">
        <f>HYPERLINK("https://www.philgeps.gov.ph/GEPSNONPILOT/Tender/SplashBidNoticeAbstractUI.aspx?menuIndex=3&amp;refID=7075916&amp;Result=3","7075916")</f>
        <v>0</v>
      </c>
      <c r="B8971" t="s">
        <v>2649</v>
      </c>
      <c r="C8971" t="s">
        <v>11959</v>
      </c>
      <c r="E8971" t="s">
        <v>25229</v>
      </c>
      <c r="F8971" t="s">
        <v>30052</v>
      </c>
      <c r="G8971" t="s">
        <v>30058</v>
      </c>
      <c r="H8971" t="s">
        <v>15498</v>
      </c>
      <c r="I8971" t="s">
        <v>30088</v>
      </c>
      <c r="J8971" t="s">
        <v>35210</v>
      </c>
      <c r="K8971" t="s">
        <v>39025</v>
      </c>
      <c r="M8971" t="s">
        <v>42191</v>
      </c>
      <c r="N8971" t="s">
        <v>43166</v>
      </c>
      <c r="O8971" t="s">
        <v>43167</v>
      </c>
      <c r="Q8971">
        <v>16</v>
      </c>
      <c r="R8971" t="s">
        <v>43174</v>
      </c>
      <c r="S8971" t="s">
        <v>43449</v>
      </c>
      <c r="T8971" t="s">
        <v>44934</v>
      </c>
      <c r="U8971" t="s">
        <v>52315</v>
      </c>
      <c r="V8971" t="s">
        <v>57773</v>
      </c>
      <c r="W8971" t="s">
        <v>42191</v>
      </c>
      <c r="X8971" t="s">
        <v>43175</v>
      </c>
    </row>
    <row r="8972" spans="1:24">
      <c r="A8972">
        <f>HYPERLINK("https://www.philgeps.gov.ph/GEPSNONPILOT/Tender/SplashBidNoticeAbstractUI.aspx?menuIndex=3&amp;refID=7075922&amp;Result=3","7075922")</f>
        <v>0</v>
      </c>
      <c r="B8972" t="s">
        <v>2649</v>
      </c>
      <c r="C8972" t="s">
        <v>11960</v>
      </c>
      <c r="E8972" t="s">
        <v>25230</v>
      </c>
      <c r="F8972" t="s">
        <v>30052</v>
      </c>
      <c r="G8972" t="s">
        <v>30058</v>
      </c>
      <c r="H8972" t="s">
        <v>15498</v>
      </c>
      <c r="I8972" t="s">
        <v>30088</v>
      </c>
      <c r="J8972" t="s">
        <v>35660</v>
      </c>
      <c r="K8972" t="s">
        <v>39025</v>
      </c>
      <c r="M8972" t="s">
        <v>42191</v>
      </c>
      <c r="N8972" t="s">
        <v>43166</v>
      </c>
      <c r="O8972" t="s">
        <v>43167</v>
      </c>
      <c r="Q8972">
        <v>11</v>
      </c>
      <c r="R8972" t="s">
        <v>43174</v>
      </c>
      <c r="S8972" t="s">
        <v>43403</v>
      </c>
      <c r="T8972" t="s">
        <v>44934</v>
      </c>
      <c r="U8972" t="s">
        <v>52315</v>
      </c>
      <c r="V8972" t="s">
        <v>57758</v>
      </c>
      <c r="W8972" t="s">
        <v>42191</v>
      </c>
      <c r="X8972" t="s">
        <v>43175</v>
      </c>
    </row>
    <row r="8973" spans="1:24">
      <c r="A8973">
        <f>HYPERLINK("https://www.philgeps.gov.ph/GEPSNONPILOT/Tender/SplashBidNoticeAbstractUI.aspx?menuIndex=3&amp;refID=7075920&amp;Result=3","7075920")</f>
        <v>0</v>
      </c>
      <c r="B8973" t="s">
        <v>2672</v>
      </c>
      <c r="C8973" t="s">
        <v>11961</v>
      </c>
      <c r="D8973" t="s">
        <v>17435</v>
      </c>
      <c r="E8973" t="s">
        <v>17715</v>
      </c>
      <c r="F8973" t="s">
        <v>30052</v>
      </c>
      <c r="G8973" t="s">
        <v>30058</v>
      </c>
      <c r="H8973" t="s">
        <v>15498</v>
      </c>
      <c r="I8973" t="s">
        <v>3736</v>
      </c>
      <c r="J8973" t="s">
        <v>35661</v>
      </c>
      <c r="K8973" t="s">
        <v>39019</v>
      </c>
      <c r="M8973" t="s">
        <v>42192</v>
      </c>
      <c r="N8973" t="s">
        <v>43166</v>
      </c>
      <c r="O8973" t="s">
        <v>43167</v>
      </c>
      <c r="P8973">
        <v>0</v>
      </c>
      <c r="Q8973">
        <v>1</v>
      </c>
      <c r="R8973" t="s">
        <v>43174</v>
      </c>
      <c r="S8973" t="s">
        <v>43396</v>
      </c>
      <c r="T8973" t="s">
        <v>44893</v>
      </c>
      <c r="U8973" t="s">
        <v>52386</v>
      </c>
      <c r="W8973" t="s">
        <v>42192</v>
      </c>
      <c r="X8973" t="s">
        <v>43175</v>
      </c>
    </row>
    <row r="8974" spans="1:24">
      <c r="A8974">
        <f>HYPERLINK("https://www.philgeps.gov.ph/GEPSNONPILOT/Tender/SplashBidNoticeAbstractUI.aspx?menuIndex=3&amp;refID=7075912&amp;Result=3","7075912")</f>
        <v>0</v>
      </c>
      <c r="B8974" t="s">
        <v>2673</v>
      </c>
      <c r="C8974" t="s">
        <v>11962</v>
      </c>
      <c r="D8974" t="s">
        <v>17448</v>
      </c>
      <c r="E8974" t="s">
        <v>25231</v>
      </c>
      <c r="F8974" t="s">
        <v>30052</v>
      </c>
      <c r="G8974" t="s">
        <v>30063</v>
      </c>
      <c r="H8974" t="s">
        <v>15498</v>
      </c>
      <c r="I8974" t="s">
        <v>30103</v>
      </c>
      <c r="J8974" t="s">
        <v>31054</v>
      </c>
      <c r="K8974" t="s">
        <v>39031</v>
      </c>
      <c r="M8974" t="s">
        <v>42193</v>
      </c>
      <c r="N8974" t="s">
        <v>43166</v>
      </c>
      <c r="O8974" t="s">
        <v>43167</v>
      </c>
      <c r="P8974">
        <v>0</v>
      </c>
      <c r="Q8974">
        <v>23</v>
      </c>
      <c r="R8974" t="s">
        <v>43174</v>
      </c>
      <c r="S8974" t="s">
        <v>43396</v>
      </c>
      <c r="T8974" t="s">
        <v>44825</v>
      </c>
      <c r="U8974" t="s">
        <v>52387</v>
      </c>
      <c r="W8974" t="s">
        <v>42193</v>
      </c>
      <c r="X8974" t="s">
        <v>43175</v>
      </c>
    </row>
    <row r="8975" spans="1:24">
      <c r="A8975">
        <f>HYPERLINK("https://www.philgeps.gov.ph/GEPSNONPILOT/Tender/SplashBidNoticeAbstractUI.aspx?menuIndex=3&amp;refID=7075909&amp;Result=3","7075909")</f>
        <v>0</v>
      </c>
      <c r="B8975" t="s">
        <v>2649</v>
      </c>
      <c r="C8975" t="s">
        <v>11963</v>
      </c>
      <c r="E8975" t="s">
        <v>25232</v>
      </c>
      <c r="F8975" t="s">
        <v>30052</v>
      </c>
      <c r="G8975" t="s">
        <v>30058</v>
      </c>
      <c r="H8975" t="s">
        <v>15498</v>
      </c>
      <c r="I8975" t="s">
        <v>30088</v>
      </c>
      <c r="J8975" t="s">
        <v>35662</v>
      </c>
      <c r="K8975" t="s">
        <v>39025</v>
      </c>
      <c r="M8975" t="s">
        <v>42191</v>
      </c>
      <c r="N8975" t="s">
        <v>43166</v>
      </c>
      <c r="O8975" t="s">
        <v>43167</v>
      </c>
      <c r="Q8975">
        <v>3</v>
      </c>
      <c r="R8975" t="s">
        <v>43174</v>
      </c>
      <c r="S8975" t="s">
        <v>43397</v>
      </c>
      <c r="T8975" t="s">
        <v>44934</v>
      </c>
      <c r="U8975" t="s">
        <v>52315</v>
      </c>
      <c r="V8975" t="s">
        <v>57758</v>
      </c>
      <c r="W8975" t="s">
        <v>42191</v>
      </c>
      <c r="X8975" t="s">
        <v>43175</v>
      </c>
    </row>
    <row r="8976" spans="1:24">
      <c r="A8976">
        <f>HYPERLINK("https://www.philgeps.gov.ph/GEPSNONPILOT/Tender/SplashBidNoticeAbstractUI.aspx?menuIndex=3&amp;refID=7075917&amp;Result=3","7075917")</f>
        <v>0</v>
      </c>
      <c r="B8976" t="s">
        <v>2670</v>
      </c>
      <c r="C8976" t="s">
        <v>11964</v>
      </c>
      <c r="D8976" t="s">
        <v>17456</v>
      </c>
      <c r="E8976" t="s">
        <v>25233</v>
      </c>
      <c r="F8976" t="s">
        <v>30052</v>
      </c>
      <c r="G8976" t="s">
        <v>30058</v>
      </c>
      <c r="H8976" t="s">
        <v>15498</v>
      </c>
      <c r="I8976" t="s">
        <v>3736</v>
      </c>
      <c r="J8976" t="s">
        <v>35663</v>
      </c>
      <c r="K8976" t="s">
        <v>39025</v>
      </c>
      <c r="M8976" t="s">
        <v>42189</v>
      </c>
      <c r="N8976" t="s">
        <v>43166</v>
      </c>
      <c r="O8976" t="s">
        <v>43167</v>
      </c>
      <c r="P8976">
        <v>0</v>
      </c>
      <c r="Q8976">
        <v>1</v>
      </c>
      <c r="R8976" t="s">
        <v>43174</v>
      </c>
      <c r="S8976" t="s">
        <v>43396</v>
      </c>
      <c r="T8976" t="s">
        <v>44949</v>
      </c>
      <c r="U8976" t="s">
        <v>52388</v>
      </c>
      <c r="W8976" t="s">
        <v>42189</v>
      </c>
      <c r="X8976" t="s">
        <v>43175</v>
      </c>
    </row>
    <row r="8977" spans="1:24">
      <c r="A8977">
        <f>HYPERLINK("https://www.philgeps.gov.ph/GEPSNONPILOT/Tender/SplashBidNoticeAbstractUI.aspx?menuIndex=3&amp;refID=7075769&amp;Result=3","7075769")</f>
        <v>0</v>
      </c>
      <c r="B8977" t="s">
        <v>202</v>
      </c>
      <c r="C8977" t="s">
        <v>11965</v>
      </c>
      <c r="D8977" t="s">
        <v>17461</v>
      </c>
      <c r="E8977" t="s">
        <v>25234</v>
      </c>
      <c r="F8977" t="s">
        <v>30052</v>
      </c>
      <c r="G8977" t="s">
        <v>30058</v>
      </c>
      <c r="H8977" t="s">
        <v>15498</v>
      </c>
      <c r="I8977" t="s">
        <v>30094</v>
      </c>
      <c r="J8977" t="s">
        <v>35664</v>
      </c>
      <c r="K8977" t="s">
        <v>39029</v>
      </c>
      <c r="L8977" t="s">
        <v>202</v>
      </c>
      <c r="M8977" t="s">
        <v>39492</v>
      </c>
      <c r="N8977" t="s">
        <v>43166</v>
      </c>
      <c r="O8977" t="s">
        <v>43167</v>
      </c>
      <c r="P8977">
        <v>0</v>
      </c>
      <c r="Q8977">
        <v>0</v>
      </c>
      <c r="R8977" t="s">
        <v>43174</v>
      </c>
      <c r="S8977" t="s">
        <v>43396</v>
      </c>
      <c r="T8977" t="s">
        <v>44862</v>
      </c>
      <c r="U8977" t="s">
        <v>52389</v>
      </c>
      <c r="W8977" t="s">
        <v>39492</v>
      </c>
      <c r="X8977" t="s">
        <v>43175</v>
      </c>
    </row>
    <row r="8978" spans="1:24">
      <c r="A8978">
        <f>HYPERLINK("https://www.philgeps.gov.ph/GEPSNONPILOT/Tender/SplashBidNoticeAbstractUI.aspx?menuIndex=3&amp;refID=7075915&amp;Result=3","7075915")</f>
        <v>0</v>
      </c>
      <c r="B8978" t="s">
        <v>511</v>
      </c>
      <c r="C8978" t="s">
        <v>11966</v>
      </c>
      <c r="D8978" t="s">
        <v>17480</v>
      </c>
      <c r="E8978" t="s">
        <v>25235</v>
      </c>
      <c r="F8978" t="s">
        <v>30052</v>
      </c>
      <c r="G8978" t="s">
        <v>30058</v>
      </c>
      <c r="H8978" t="s">
        <v>15498</v>
      </c>
      <c r="I8978" t="s">
        <v>30135</v>
      </c>
      <c r="J8978" t="s">
        <v>35665</v>
      </c>
      <c r="K8978" t="s">
        <v>39031</v>
      </c>
      <c r="M8978" t="s">
        <v>39812</v>
      </c>
      <c r="N8978" t="s">
        <v>43166</v>
      </c>
      <c r="O8978" t="s">
        <v>43167</v>
      </c>
      <c r="Q8978">
        <v>6</v>
      </c>
      <c r="R8978" t="s">
        <v>43174</v>
      </c>
      <c r="S8978" t="s">
        <v>43450</v>
      </c>
      <c r="T8978" t="s">
        <v>45093</v>
      </c>
      <c r="U8978" t="s">
        <v>52381</v>
      </c>
      <c r="V8978" t="s">
        <v>57769</v>
      </c>
      <c r="W8978" t="s">
        <v>39812</v>
      </c>
      <c r="X8978" t="s">
        <v>43175</v>
      </c>
    </row>
    <row r="8979" spans="1:24">
      <c r="A8979">
        <f>HYPERLINK("https://www.philgeps.gov.ph/GEPSNONPILOT/Tender/SplashBidNoticeAbstractUI.aspx?menuIndex=3&amp;refID=7075904&amp;Result=3","7075904")</f>
        <v>0</v>
      </c>
      <c r="B8979" t="s">
        <v>2674</v>
      </c>
      <c r="C8979" t="s">
        <v>11967</v>
      </c>
      <c r="D8979" t="s">
        <v>17443</v>
      </c>
      <c r="E8979" t="s">
        <v>25236</v>
      </c>
      <c r="F8979" t="s">
        <v>30052</v>
      </c>
      <c r="G8979" t="s">
        <v>30059</v>
      </c>
      <c r="H8979" t="s">
        <v>15498</v>
      </c>
      <c r="I8979" t="s">
        <v>30097</v>
      </c>
      <c r="J8979" t="s">
        <v>35666</v>
      </c>
      <c r="K8979" t="s">
        <v>39039</v>
      </c>
      <c r="M8979" t="s">
        <v>42194</v>
      </c>
      <c r="N8979" t="s">
        <v>43166</v>
      </c>
      <c r="O8979" t="s">
        <v>43167</v>
      </c>
      <c r="P8979">
        <v>0</v>
      </c>
      <c r="Q8979">
        <v>2</v>
      </c>
      <c r="R8979" t="s">
        <v>43174</v>
      </c>
      <c r="S8979" t="s">
        <v>43396</v>
      </c>
      <c r="T8979" t="s">
        <v>44856</v>
      </c>
      <c r="U8979" t="s">
        <v>52390</v>
      </c>
      <c r="W8979" t="s">
        <v>42194</v>
      </c>
      <c r="X8979" t="s">
        <v>43175</v>
      </c>
    </row>
    <row r="8980" spans="1:24">
      <c r="A8980">
        <f>HYPERLINK("https://www.philgeps.gov.ph/GEPSNONPILOT/Tender/SplashBidNoticeAbstractUI.aspx?menuIndex=3&amp;refID=7075910&amp;Result=3","7075910")</f>
        <v>0</v>
      </c>
      <c r="B8980" t="s">
        <v>2670</v>
      </c>
      <c r="C8980" t="s">
        <v>11968</v>
      </c>
      <c r="D8980" t="s">
        <v>17456</v>
      </c>
      <c r="E8980" t="s">
        <v>25237</v>
      </c>
      <c r="F8980" t="s">
        <v>30052</v>
      </c>
      <c r="G8980" t="s">
        <v>30058</v>
      </c>
      <c r="H8980" t="s">
        <v>15498</v>
      </c>
      <c r="I8980" t="s">
        <v>30097</v>
      </c>
      <c r="J8980" t="s">
        <v>30538</v>
      </c>
      <c r="K8980" t="s">
        <v>39025</v>
      </c>
      <c r="M8980" t="s">
        <v>42189</v>
      </c>
      <c r="N8980" t="s">
        <v>43166</v>
      </c>
      <c r="O8980" t="s">
        <v>43167</v>
      </c>
      <c r="P8980">
        <v>0</v>
      </c>
      <c r="Q8980">
        <v>0</v>
      </c>
      <c r="R8980" t="s">
        <v>43174</v>
      </c>
      <c r="S8980" t="s">
        <v>43396</v>
      </c>
      <c r="T8980" t="s">
        <v>44949</v>
      </c>
      <c r="U8980" t="s">
        <v>52391</v>
      </c>
      <c r="W8980" t="s">
        <v>42189</v>
      </c>
      <c r="X8980" t="s">
        <v>43175</v>
      </c>
    </row>
    <row r="8981" spans="1:24">
      <c r="A8981">
        <f>HYPERLINK("https://www.philgeps.gov.ph/GEPSNONPILOT/Tender/SplashBidNoticeAbstractUI.aspx?menuIndex=3&amp;refID=7075914&amp;Result=3","7075914")</f>
        <v>0</v>
      </c>
      <c r="B8981" t="s">
        <v>457</v>
      </c>
      <c r="C8981" t="s">
        <v>11969</v>
      </c>
      <c r="D8981" t="s">
        <v>17435</v>
      </c>
      <c r="E8981" t="s">
        <v>18038</v>
      </c>
      <c r="F8981" t="s">
        <v>30052</v>
      </c>
      <c r="G8981" t="s">
        <v>30058</v>
      </c>
      <c r="H8981" t="s">
        <v>15498</v>
      </c>
      <c r="I8981" t="s">
        <v>3736</v>
      </c>
      <c r="J8981" t="s">
        <v>35667</v>
      </c>
      <c r="K8981" t="s">
        <v>39034</v>
      </c>
      <c r="M8981" t="s">
        <v>39757</v>
      </c>
      <c r="N8981" t="s">
        <v>43166</v>
      </c>
      <c r="O8981" t="s">
        <v>43167</v>
      </c>
      <c r="P8981">
        <v>0</v>
      </c>
      <c r="Q8981">
        <v>1</v>
      </c>
      <c r="R8981" t="s">
        <v>43174</v>
      </c>
      <c r="S8981" t="s">
        <v>43396</v>
      </c>
      <c r="T8981" t="s">
        <v>44841</v>
      </c>
      <c r="U8981" t="s">
        <v>46061</v>
      </c>
      <c r="W8981" t="s">
        <v>39757</v>
      </c>
      <c r="X8981" t="s">
        <v>43175</v>
      </c>
    </row>
    <row r="8982" spans="1:24">
      <c r="A8982">
        <f>HYPERLINK("https://www.philgeps.gov.ph/GEPSNONPILOT/Tender/SplashBidNoticeAbstractUI.aspx?menuIndex=3&amp;refID=7075872&amp;Result=3","7075872")</f>
        <v>0</v>
      </c>
      <c r="B8982" t="s">
        <v>2660</v>
      </c>
      <c r="C8982" t="s">
        <v>11970</v>
      </c>
      <c r="D8982" t="s">
        <v>17415</v>
      </c>
      <c r="E8982" t="s">
        <v>25238</v>
      </c>
      <c r="F8982" t="s">
        <v>30052</v>
      </c>
      <c r="G8982" t="s">
        <v>30058</v>
      </c>
      <c r="H8982" t="s">
        <v>30067</v>
      </c>
      <c r="I8982" t="s">
        <v>3693</v>
      </c>
      <c r="J8982" t="s">
        <v>35668</v>
      </c>
      <c r="K8982" t="s">
        <v>39057</v>
      </c>
      <c r="M8982" t="s">
        <v>42179</v>
      </c>
      <c r="N8982" t="s">
        <v>43166</v>
      </c>
      <c r="O8982" t="s">
        <v>43167</v>
      </c>
      <c r="P8982">
        <v>0</v>
      </c>
      <c r="Q8982">
        <v>12</v>
      </c>
      <c r="R8982" t="s">
        <v>43174</v>
      </c>
      <c r="S8982" t="s">
        <v>43396</v>
      </c>
      <c r="T8982" t="s">
        <v>44702</v>
      </c>
      <c r="U8982" t="s">
        <v>52392</v>
      </c>
      <c r="V8982" t="s">
        <v>57766</v>
      </c>
      <c r="W8982" t="s">
        <v>42179</v>
      </c>
      <c r="X8982" t="s">
        <v>43175</v>
      </c>
    </row>
    <row r="8983" spans="1:24">
      <c r="A8983">
        <f>HYPERLINK("https://www.philgeps.gov.ph/GEPSNONPILOT/Tender/SplashBidNoticeAbstractUI.aspx?menuIndex=3&amp;refID=7075870&amp;Result=3","7075870")</f>
        <v>0</v>
      </c>
      <c r="B8983" t="s">
        <v>2670</v>
      </c>
      <c r="C8983" t="s">
        <v>11971</v>
      </c>
      <c r="D8983" t="s">
        <v>17456</v>
      </c>
      <c r="E8983" t="s">
        <v>25239</v>
      </c>
      <c r="F8983" t="s">
        <v>30052</v>
      </c>
      <c r="G8983" t="s">
        <v>30058</v>
      </c>
      <c r="H8983" t="s">
        <v>15498</v>
      </c>
      <c r="I8983" t="s">
        <v>3736</v>
      </c>
      <c r="J8983" t="s">
        <v>35669</v>
      </c>
      <c r="K8983" t="s">
        <v>39025</v>
      </c>
      <c r="M8983" t="s">
        <v>42189</v>
      </c>
      <c r="N8983" t="s">
        <v>43166</v>
      </c>
      <c r="O8983" t="s">
        <v>43167</v>
      </c>
      <c r="P8983">
        <v>0</v>
      </c>
      <c r="Q8983">
        <v>0</v>
      </c>
      <c r="R8983" t="s">
        <v>43174</v>
      </c>
      <c r="S8983" t="s">
        <v>43396</v>
      </c>
      <c r="T8983" t="s">
        <v>44949</v>
      </c>
      <c r="U8983" t="s">
        <v>52393</v>
      </c>
      <c r="W8983" t="s">
        <v>42189</v>
      </c>
      <c r="X8983" t="s">
        <v>43175</v>
      </c>
    </row>
    <row r="8984" spans="1:24">
      <c r="A8984">
        <f>HYPERLINK("https://www.philgeps.gov.ph/GEPSNONPILOT/Tender/SplashBidNoticeAbstractUI.aspx?menuIndex=3&amp;refID=7075864&amp;Result=3","7075864")</f>
        <v>0</v>
      </c>
      <c r="B8984" t="s">
        <v>1207</v>
      </c>
      <c r="C8984" t="s">
        <v>11972</v>
      </c>
      <c r="D8984" t="s">
        <v>17462</v>
      </c>
      <c r="E8984" t="s">
        <v>25240</v>
      </c>
      <c r="F8984" t="s">
        <v>30052</v>
      </c>
      <c r="G8984" t="s">
        <v>30061</v>
      </c>
      <c r="H8984" t="s">
        <v>15498</v>
      </c>
      <c r="I8984" t="s">
        <v>30098</v>
      </c>
      <c r="J8984" t="s">
        <v>35670</v>
      </c>
      <c r="K8984" t="s">
        <v>39025</v>
      </c>
      <c r="M8984" t="s">
        <v>40561</v>
      </c>
      <c r="N8984" t="s">
        <v>43166</v>
      </c>
      <c r="O8984" t="s">
        <v>43167</v>
      </c>
      <c r="P8984">
        <v>0</v>
      </c>
      <c r="Q8984">
        <v>2</v>
      </c>
      <c r="R8984" t="s">
        <v>43174</v>
      </c>
      <c r="S8984" t="s">
        <v>43396</v>
      </c>
      <c r="T8984" t="s">
        <v>44843</v>
      </c>
      <c r="U8984" t="s">
        <v>52394</v>
      </c>
      <c r="V8984" t="s">
        <v>57193</v>
      </c>
      <c r="W8984" t="s">
        <v>40561</v>
      </c>
      <c r="X8984" t="s">
        <v>43175</v>
      </c>
    </row>
    <row r="8985" spans="1:24">
      <c r="A8985">
        <f>HYPERLINK("https://www.philgeps.gov.ph/GEPSNONPILOT/Tender/SplashBidNoticeAbstractUI.aspx?menuIndex=3&amp;refID=7075863&amp;Result=3","7075863")</f>
        <v>0</v>
      </c>
      <c r="B8985" t="s">
        <v>2275</v>
      </c>
      <c r="C8985" t="s">
        <v>11973</v>
      </c>
      <c r="D8985" t="s">
        <v>17422</v>
      </c>
      <c r="E8985" t="s">
        <v>25241</v>
      </c>
      <c r="F8985" t="s">
        <v>30052</v>
      </c>
      <c r="G8985" t="s">
        <v>30059</v>
      </c>
      <c r="H8985" t="s">
        <v>15498</v>
      </c>
      <c r="I8985" t="s">
        <v>30076</v>
      </c>
      <c r="J8985" t="s">
        <v>35671</v>
      </c>
      <c r="K8985" t="s">
        <v>39029</v>
      </c>
      <c r="M8985" t="s">
        <v>41756</v>
      </c>
      <c r="N8985" t="s">
        <v>43166</v>
      </c>
      <c r="O8985" t="s">
        <v>43167</v>
      </c>
      <c r="P8985">
        <v>0</v>
      </c>
      <c r="Q8985">
        <v>12</v>
      </c>
      <c r="R8985" t="s">
        <v>43174</v>
      </c>
      <c r="S8985" t="s">
        <v>43396</v>
      </c>
      <c r="T8985" t="s">
        <v>44837</v>
      </c>
      <c r="U8985" t="s">
        <v>52395</v>
      </c>
      <c r="W8985" t="s">
        <v>41756</v>
      </c>
      <c r="X8985" t="s">
        <v>43175</v>
      </c>
    </row>
    <row r="8986" spans="1:24">
      <c r="A8986">
        <f>HYPERLINK("https://www.philgeps.gov.ph/GEPSNONPILOT/Tender/SplashBidNoticeAbstractUI.aspx?menuIndex=3&amp;refID=7075861&amp;Result=3","7075861")</f>
        <v>0</v>
      </c>
      <c r="B8986" t="s">
        <v>2663</v>
      </c>
      <c r="C8986" t="s">
        <v>11974</v>
      </c>
      <c r="D8986" t="s">
        <v>17466</v>
      </c>
      <c r="E8986" t="s">
        <v>25242</v>
      </c>
      <c r="F8986" t="s">
        <v>30052</v>
      </c>
      <c r="G8986" t="s">
        <v>30063</v>
      </c>
      <c r="H8986" t="s">
        <v>30069</v>
      </c>
      <c r="I8986" t="s">
        <v>30105</v>
      </c>
      <c r="J8986" t="s">
        <v>31853</v>
      </c>
      <c r="K8986" t="s">
        <v>39039</v>
      </c>
      <c r="M8986" t="s">
        <v>42182</v>
      </c>
      <c r="N8986" t="s">
        <v>43166</v>
      </c>
      <c r="O8986" t="s">
        <v>43167</v>
      </c>
      <c r="P8986">
        <v>0</v>
      </c>
      <c r="Q8986">
        <v>1</v>
      </c>
      <c r="R8986" t="s">
        <v>43174</v>
      </c>
      <c r="S8986" t="s">
        <v>43396</v>
      </c>
      <c r="T8986" t="s">
        <v>44813</v>
      </c>
      <c r="U8986" t="s">
        <v>52396</v>
      </c>
      <c r="W8986" t="s">
        <v>42182</v>
      </c>
      <c r="X8986" t="s">
        <v>43175</v>
      </c>
    </row>
    <row r="8987" spans="1:24">
      <c r="A8987">
        <f>HYPERLINK("https://www.philgeps.gov.ph/GEPSNONPILOT/Tender/SplashBidNoticeAbstractUI.aspx?menuIndex=3&amp;refID=7075899&amp;Result=3","7075899")</f>
        <v>0</v>
      </c>
      <c r="B8987" t="s">
        <v>2670</v>
      </c>
      <c r="C8987" t="s">
        <v>11975</v>
      </c>
      <c r="D8987" t="s">
        <v>17456</v>
      </c>
      <c r="E8987" t="s">
        <v>25243</v>
      </c>
      <c r="F8987" t="s">
        <v>30052</v>
      </c>
      <c r="G8987" t="s">
        <v>30058</v>
      </c>
      <c r="H8987" t="s">
        <v>30067</v>
      </c>
      <c r="I8987" t="s">
        <v>3693</v>
      </c>
      <c r="J8987" t="s">
        <v>32865</v>
      </c>
      <c r="K8987" t="s">
        <v>39025</v>
      </c>
      <c r="M8987" t="s">
        <v>42189</v>
      </c>
      <c r="N8987" t="s">
        <v>43166</v>
      </c>
      <c r="O8987" t="s">
        <v>43167</v>
      </c>
      <c r="P8987">
        <v>0</v>
      </c>
      <c r="Q8987">
        <v>1</v>
      </c>
      <c r="R8987" t="s">
        <v>43174</v>
      </c>
      <c r="S8987" t="s">
        <v>43396</v>
      </c>
      <c r="T8987" t="s">
        <v>45021</v>
      </c>
      <c r="U8987" t="s">
        <v>52397</v>
      </c>
      <c r="W8987" t="s">
        <v>42189</v>
      </c>
      <c r="X8987" t="s">
        <v>43175</v>
      </c>
    </row>
    <row r="8988" spans="1:24">
      <c r="A8988">
        <f>HYPERLINK("https://www.philgeps.gov.ph/GEPSNONPILOT/Tender/SplashBidNoticeAbstractUI.aspx?menuIndex=3&amp;refID=7075860&amp;Result=3","7075860")</f>
        <v>0</v>
      </c>
      <c r="B8988" t="s">
        <v>2675</v>
      </c>
      <c r="C8988" t="s">
        <v>11976</v>
      </c>
      <c r="D8988" t="s">
        <v>17422</v>
      </c>
      <c r="E8988" t="s">
        <v>24816</v>
      </c>
      <c r="F8988" t="s">
        <v>30052</v>
      </c>
      <c r="G8988" t="s">
        <v>30058</v>
      </c>
      <c r="H8988" t="s">
        <v>15498</v>
      </c>
      <c r="I8988" t="s">
        <v>30074</v>
      </c>
      <c r="J8988" t="s">
        <v>31564</v>
      </c>
      <c r="K8988" t="s">
        <v>39026</v>
      </c>
      <c r="M8988" t="s">
        <v>42195</v>
      </c>
      <c r="N8988" t="s">
        <v>43166</v>
      </c>
      <c r="O8988" t="s">
        <v>43167</v>
      </c>
      <c r="P8988">
        <v>0</v>
      </c>
      <c r="Q8988">
        <v>3</v>
      </c>
      <c r="R8988" t="s">
        <v>43174</v>
      </c>
      <c r="S8988" t="s">
        <v>43396</v>
      </c>
      <c r="T8988" t="s">
        <v>44722</v>
      </c>
      <c r="U8988" t="s">
        <v>52398</v>
      </c>
      <c r="V8988" t="s">
        <v>57774</v>
      </c>
      <c r="W8988" t="s">
        <v>42195</v>
      </c>
      <c r="X8988" t="s">
        <v>43175</v>
      </c>
    </row>
    <row r="8989" spans="1:24">
      <c r="A8989">
        <f>HYPERLINK("https://www.philgeps.gov.ph/GEPSNONPILOT/Tender/SplashBidNoticeAbstractUI.aspx?menuIndex=3&amp;refID=7075859&amp;Result=3","7075859")</f>
        <v>0</v>
      </c>
      <c r="B8989" t="s">
        <v>2633</v>
      </c>
      <c r="C8989" t="s">
        <v>11977</v>
      </c>
      <c r="D8989" t="s">
        <v>17462</v>
      </c>
      <c r="E8989" t="s">
        <v>25244</v>
      </c>
      <c r="F8989" t="s">
        <v>30052</v>
      </c>
      <c r="G8989" t="s">
        <v>30058</v>
      </c>
      <c r="H8989" t="s">
        <v>15498</v>
      </c>
      <c r="I8989" t="s">
        <v>30096</v>
      </c>
      <c r="J8989" t="s">
        <v>35672</v>
      </c>
      <c r="K8989" t="s">
        <v>39019</v>
      </c>
      <c r="L8989" t="s">
        <v>2633</v>
      </c>
      <c r="M8989" t="s">
        <v>42147</v>
      </c>
      <c r="N8989" t="s">
        <v>43166</v>
      </c>
      <c r="O8989" t="s">
        <v>43167</v>
      </c>
      <c r="P8989">
        <v>0</v>
      </c>
      <c r="Q8989">
        <v>1</v>
      </c>
      <c r="R8989" t="s">
        <v>43174</v>
      </c>
      <c r="S8989" t="s">
        <v>43396</v>
      </c>
      <c r="T8989" t="s">
        <v>44872</v>
      </c>
      <c r="U8989" t="s">
        <v>52399</v>
      </c>
      <c r="V8989" t="s">
        <v>57749</v>
      </c>
      <c r="W8989" t="s">
        <v>42147</v>
      </c>
      <c r="X8989" t="s">
        <v>43175</v>
      </c>
    </row>
    <row r="8990" spans="1:24">
      <c r="A8990">
        <f>HYPERLINK("https://www.philgeps.gov.ph/GEPSNONPILOT/Tender/SplashBidNoticeAbstractUI.aspx?menuIndex=3&amp;refID=7075906&amp;Result=3","7075906")</f>
        <v>0</v>
      </c>
      <c r="B8990" t="s">
        <v>588</v>
      </c>
      <c r="C8990" t="s">
        <v>11955</v>
      </c>
      <c r="D8990" t="s">
        <v>17425</v>
      </c>
      <c r="E8990" t="s">
        <v>21094</v>
      </c>
      <c r="F8990" t="s">
        <v>30052</v>
      </c>
      <c r="G8990" t="s">
        <v>30058</v>
      </c>
      <c r="H8990" t="s">
        <v>15498</v>
      </c>
      <c r="I8990" t="s">
        <v>3693</v>
      </c>
      <c r="J8990" t="s">
        <v>30247</v>
      </c>
      <c r="K8990" t="s">
        <v>39022</v>
      </c>
      <c r="M8990" t="s">
        <v>39890</v>
      </c>
      <c r="N8990" t="s">
        <v>43166</v>
      </c>
      <c r="O8990" t="s">
        <v>43167</v>
      </c>
      <c r="P8990">
        <v>0</v>
      </c>
      <c r="Q8990">
        <v>0</v>
      </c>
      <c r="R8990" t="s">
        <v>43174</v>
      </c>
      <c r="S8990" t="s">
        <v>43396</v>
      </c>
      <c r="T8990" t="s">
        <v>44716</v>
      </c>
      <c r="U8990" t="s">
        <v>52400</v>
      </c>
      <c r="V8990" t="s">
        <v>57775</v>
      </c>
      <c r="W8990" t="s">
        <v>39890</v>
      </c>
      <c r="X8990" t="s">
        <v>43175</v>
      </c>
    </row>
    <row r="8991" spans="1:24">
      <c r="A8991">
        <f>HYPERLINK("https://www.philgeps.gov.ph/GEPSNONPILOT/Tender/SplashBidNoticeAbstractUI.aspx?menuIndex=3&amp;refID=7075868&amp;Result=3","7075868")</f>
        <v>0</v>
      </c>
      <c r="B8991" t="s">
        <v>861</v>
      </c>
      <c r="C8991" t="s">
        <v>11978</v>
      </c>
      <c r="D8991" t="s">
        <v>17413</v>
      </c>
      <c r="E8991" t="s">
        <v>25245</v>
      </c>
      <c r="F8991" t="s">
        <v>30052</v>
      </c>
      <c r="G8991" t="s">
        <v>30058</v>
      </c>
      <c r="H8991" t="s">
        <v>30067</v>
      </c>
      <c r="I8991" t="s">
        <v>3693</v>
      </c>
      <c r="J8991" t="s">
        <v>35673</v>
      </c>
      <c r="K8991" t="s">
        <v>39189</v>
      </c>
      <c r="M8991" t="s">
        <v>40178</v>
      </c>
      <c r="N8991" t="s">
        <v>43166</v>
      </c>
      <c r="O8991" t="s">
        <v>43167</v>
      </c>
      <c r="P8991">
        <v>0</v>
      </c>
      <c r="Q8991">
        <v>1</v>
      </c>
      <c r="R8991" t="s">
        <v>43174</v>
      </c>
      <c r="S8991" t="s">
        <v>43396</v>
      </c>
      <c r="T8991" t="s">
        <v>44679</v>
      </c>
      <c r="U8991" t="s">
        <v>52401</v>
      </c>
      <c r="W8991" t="s">
        <v>40178</v>
      </c>
      <c r="X8991" t="s">
        <v>43175</v>
      </c>
    </row>
    <row r="8992" spans="1:24">
      <c r="A8992">
        <f>HYPERLINK("https://www.philgeps.gov.ph/GEPSNONPILOT/Tender/SplashBidNoticeAbstractUI.aspx?menuIndex=3&amp;refID=7075572&amp;Result=3","7075572")</f>
        <v>0</v>
      </c>
      <c r="B8992" t="s">
        <v>1321</v>
      </c>
      <c r="C8992" t="s">
        <v>11979</v>
      </c>
      <c r="D8992" t="s">
        <v>17424</v>
      </c>
      <c r="E8992" t="s">
        <v>25246</v>
      </c>
      <c r="F8992" t="s">
        <v>30052</v>
      </c>
      <c r="G8992" t="s">
        <v>30059</v>
      </c>
      <c r="H8992" t="s">
        <v>15498</v>
      </c>
      <c r="I8992" t="s">
        <v>30162</v>
      </c>
      <c r="J8992" t="s">
        <v>30218</v>
      </c>
      <c r="K8992" t="s">
        <v>39029</v>
      </c>
      <c r="M8992" t="s">
        <v>40688</v>
      </c>
      <c r="N8992" t="s">
        <v>43166</v>
      </c>
      <c r="O8992" t="s">
        <v>43167</v>
      </c>
      <c r="P8992">
        <v>0</v>
      </c>
      <c r="Q8992">
        <v>2</v>
      </c>
      <c r="R8992" t="s">
        <v>43174</v>
      </c>
      <c r="S8992" t="s">
        <v>43396</v>
      </c>
      <c r="T8992" t="s">
        <v>44705</v>
      </c>
      <c r="U8992" t="s">
        <v>52402</v>
      </c>
      <c r="W8992" t="s">
        <v>40688</v>
      </c>
      <c r="X8992" t="s">
        <v>43175</v>
      </c>
    </row>
    <row r="8993" spans="1:24">
      <c r="A8993">
        <f>HYPERLINK("https://www.philgeps.gov.ph/GEPSNONPILOT/Tender/SplashBidNoticeAbstractUI.aspx?menuIndex=3&amp;refID=7075949&amp;Result=3","7075949")</f>
        <v>0</v>
      </c>
      <c r="B8993" t="s">
        <v>2670</v>
      </c>
      <c r="C8993" t="s">
        <v>11980</v>
      </c>
      <c r="D8993" t="s">
        <v>17456</v>
      </c>
      <c r="E8993" t="s">
        <v>25247</v>
      </c>
      <c r="F8993" t="s">
        <v>30052</v>
      </c>
      <c r="G8993" t="s">
        <v>30058</v>
      </c>
      <c r="H8993" t="s">
        <v>15498</v>
      </c>
      <c r="I8993" t="s">
        <v>3736</v>
      </c>
      <c r="J8993" t="s">
        <v>35674</v>
      </c>
      <c r="K8993" t="s">
        <v>39025</v>
      </c>
      <c r="M8993" t="s">
        <v>42189</v>
      </c>
      <c r="N8993" t="s">
        <v>43166</v>
      </c>
      <c r="O8993" t="s">
        <v>43167</v>
      </c>
      <c r="P8993">
        <v>0</v>
      </c>
      <c r="Q8993">
        <v>0</v>
      </c>
      <c r="R8993" t="s">
        <v>43174</v>
      </c>
      <c r="S8993" t="s">
        <v>43396</v>
      </c>
      <c r="T8993" t="s">
        <v>44949</v>
      </c>
      <c r="U8993" t="s">
        <v>52403</v>
      </c>
      <c r="W8993" t="s">
        <v>42189</v>
      </c>
      <c r="X8993" t="s">
        <v>43175</v>
      </c>
    </row>
    <row r="8994" spans="1:24">
      <c r="A8994">
        <f>HYPERLINK("https://www.philgeps.gov.ph/GEPSNONPILOT/Tender/SplashBidNoticeAbstractUI.aspx?menuIndex=3&amp;refID=7075903&amp;Result=3","7075903")</f>
        <v>0</v>
      </c>
      <c r="B8994" t="s">
        <v>2649</v>
      </c>
      <c r="C8994" t="s">
        <v>11981</v>
      </c>
      <c r="E8994" t="s">
        <v>25248</v>
      </c>
      <c r="F8994" t="s">
        <v>30052</v>
      </c>
      <c r="G8994" t="s">
        <v>30058</v>
      </c>
      <c r="H8994" t="s">
        <v>15498</v>
      </c>
      <c r="I8994" t="s">
        <v>30088</v>
      </c>
      <c r="J8994" t="s">
        <v>30205</v>
      </c>
      <c r="K8994" t="s">
        <v>39025</v>
      </c>
      <c r="M8994" t="s">
        <v>42167</v>
      </c>
      <c r="N8994" t="s">
        <v>43166</v>
      </c>
      <c r="O8994" t="s">
        <v>43167</v>
      </c>
      <c r="Q8994">
        <v>22</v>
      </c>
      <c r="R8994" t="s">
        <v>43174</v>
      </c>
      <c r="S8994" t="s">
        <v>43451</v>
      </c>
      <c r="T8994" t="s">
        <v>44828</v>
      </c>
      <c r="U8994" t="s">
        <v>52315</v>
      </c>
      <c r="V8994" t="s">
        <v>57758</v>
      </c>
      <c r="W8994" t="s">
        <v>42167</v>
      </c>
      <c r="X8994" t="s">
        <v>43175</v>
      </c>
    </row>
    <row r="8995" spans="1:24">
      <c r="A8995">
        <f>HYPERLINK("https://www.philgeps.gov.ph/GEPSNONPILOT/Tender/SplashBidNoticeAbstractUI.aspx?menuIndex=3&amp;refID=7075907&amp;Result=3","7075907")</f>
        <v>0</v>
      </c>
      <c r="B8995" t="s">
        <v>861</v>
      </c>
      <c r="C8995" t="s">
        <v>11982</v>
      </c>
      <c r="D8995" t="s">
        <v>17413</v>
      </c>
      <c r="E8995" t="s">
        <v>25249</v>
      </c>
      <c r="F8995" t="s">
        <v>30052</v>
      </c>
      <c r="G8995" t="s">
        <v>30058</v>
      </c>
      <c r="H8995" t="s">
        <v>30067</v>
      </c>
      <c r="I8995" t="s">
        <v>3693</v>
      </c>
      <c r="J8995" t="s">
        <v>35675</v>
      </c>
      <c r="K8995" t="s">
        <v>39214</v>
      </c>
      <c r="M8995" t="s">
        <v>40178</v>
      </c>
      <c r="N8995" t="s">
        <v>43166</v>
      </c>
      <c r="O8995" t="s">
        <v>43167</v>
      </c>
      <c r="P8995">
        <v>0</v>
      </c>
      <c r="Q8995">
        <v>1</v>
      </c>
      <c r="R8995" t="s">
        <v>43174</v>
      </c>
      <c r="S8995" t="s">
        <v>43396</v>
      </c>
      <c r="T8995" t="s">
        <v>44718</v>
      </c>
      <c r="U8995" t="s">
        <v>52404</v>
      </c>
      <c r="W8995" t="s">
        <v>40178</v>
      </c>
      <c r="X8995" t="s">
        <v>43175</v>
      </c>
    </row>
    <row r="8996" spans="1:24">
      <c r="A8996">
        <f>HYPERLINK("https://www.philgeps.gov.ph/GEPSNONPILOT/Tender/SplashBidNoticeAbstractUI.aspx?menuIndex=3&amp;refID=7075964&amp;Result=3","7075964")</f>
        <v>0</v>
      </c>
      <c r="B8996" t="s">
        <v>937</v>
      </c>
      <c r="C8996" t="s">
        <v>11983</v>
      </c>
      <c r="D8996" t="s">
        <v>17428</v>
      </c>
      <c r="E8996" t="s">
        <v>25250</v>
      </c>
      <c r="F8996" t="s">
        <v>30052</v>
      </c>
      <c r="G8996" t="s">
        <v>30058</v>
      </c>
      <c r="H8996" t="s">
        <v>30067</v>
      </c>
      <c r="I8996" t="s">
        <v>3693</v>
      </c>
      <c r="J8996" t="s">
        <v>35676</v>
      </c>
      <c r="K8996" t="s">
        <v>39024</v>
      </c>
      <c r="M8996" t="s">
        <v>40261</v>
      </c>
      <c r="N8996" t="s">
        <v>43166</v>
      </c>
      <c r="O8996" t="s">
        <v>43167</v>
      </c>
      <c r="P8996">
        <v>0</v>
      </c>
      <c r="Q8996">
        <v>0</v>
      </c>
      <c r="R8996" t="s">
        <v>43174</v>
      </c>
      <c r="S8996" t="s">
        <v>43396</v>
      </c>
      <c r="T8996" t="s">
        <v>44807</v>
      </c>
      <c r="U8996" t="s">
        <v>52405</v>
      </c>
      <c r="W8996" t="s">
        <v>40261</v>
      </c>
      <c r="X8996" t="s">
        <v>43175</v>
      </c>
    </row>
    <row r="8997" spans="1:24">
      <c r="A8997">
        <f>HYPERLINK("https://www.philgeps.gov.ph/GEPSNONPILOT/Tender/SplashBidNoticeAbstractUI.aspx?menuIndex=3&amp;refID=7075856&amp;Result=3","7075856")</f>
        <v>0</v>
      </c>
      <c r="B8997" t="s">
        <v>2660</v>
      </c>
      <c r="C8997" t="s">
        <v>11984</v>
      </c>
      <c r="D8997" t="s">
        <v>17415</v>
      </c>
      <c r="E8997" t="s">
        <v>25251</v>
      </c>
      <c r="F8997" t="s">
        <v>30052</v>
      </c>
      <c r="G8997" t="s">
        <v>30058</v>
      </c>
      <c r="H8997" t="s">
        <v>30067</v>
      </c>
      <c r="I8997" t="s">
        <v>30083</v>
      </c>
      <c r="J8997" t="s">
        <v>35677</v>
      </c>
      <c r="K8997" t="s">
        <v>39125</v>
      </c>
      <c r="M8997" t="s">
        <v>42179</v>
      </c>
      <c r="N8997" t="s">
        <v>43166</v>
      </c>
      <c r="O8997" t="s">
        <v>43167</v>
      </c>
      <c r="P8997">
        <v>0</v>
      </c>
      <c r="Q8997">
        <v>7</v>
      </c>
      <c r="R8997" t="s">
        <v>43174</v>
      </c>
      <c r="S8997" t="s">
        <v>43396</v>
      </c>
      <c r="T8997" t="s">
        <v>44684</v>
      </c>
      <c r="U8997" t="s">
        <v>52406</v>
      </c>
      <c r="V8997" t="s">
        <v>57766</v>
      </c>
      <c r="W8997" t="s">
        <v>42179</v>
      </c>
      <c r="X8997" t="s">
        <v>43175</v>
      </c>
    </row>
    <row r="8998" spans="1:24">
      <c r="A8998">
        <f>HYPERLINK("https://www.philgeps.gov.ph/GEPSNONPILOT/Tender/SplashBidNoticeAbstractUI.aspx?menuIndex=3&amp;refID=7075807&amp;Result=3","7075807")</f>
        <v>0</v>
      </c>
      <c r="B8998" t="s">
        <v>2643</v>
      </c>
      <c r="C8998" t="s">
        <v>11985</v>
      </c>
      <c r="D8998" t="s">
        <v>17427</v>
      </c>
      <c r="E8998" t="s">
        <v>24595</v>
      </c>
      <c r="F8998" t="s">
        <v>30052</v>
      </c>
      <c r="G8998" t="s">
        <v>30058</v>
      </c>
      <c r="H8998" t="s">
        <v>15498</v>
      </c>
      <c r="I8998" t="s">
        <v>3736</v>
      </c>
      <c r="J8998" t="s">
        <v>30350</v>
      </c>
      <c r="K8998" t="s">
        <v>39025</v>
      </c>
      <c r="M8998" t="s">
        <v>42161</v>
      </c>
      <c r="N8998" t="s">
        <v>43166</v>
      </c>
      <c r="O8998" t="s">
        <v>43167</v>
      </c>
      <c r="P8998">
        <v>0</v>
      </c>
      <c r="Q8998">
        <v>0</v>
      </c>
      <c r="R8998" t="s">
        <v>43174</v>
      </c>
      <c r="S8998" t="s">
        <v>43396</v>
      </c>
      <c r="T8998" t="s">
        <v>44844</v>
      </c>
      <c r="U8998" t="s">
        <v>52407</v>
      </c>
      <c r="W8998" t="s">
        <v>42161</v>
      </c>
      <c r="X8998" t="s">
        <v>43175</v>
      </c>
    </row>
    <row r="8999" spans="1:24">
      <c r="A8999">
        <f>HYPERLINK("https://www.philgeps.gov.ph/GEPSNONPILOT/Tender/SplashBidNoticeAbstractUI.aspx?menuIndex=3&amp;refID=7075962&amp;Result=3","7075962")</f>
        <v>0</v>
      </c>
      <c r="B8999" t="s">
        <v>2676</v>
      </c>
      <c r="C8999" t="s">
        <v>11986</v>
      </c>
      <c r="D8999" t="s">
        <v>17448</v>
      </c>
      <c r="E8999" t="s">
        <v>25252</v>
      </c>
      <c r="F8999" t="s">
        <v>30052</v>
      </c>
      <c r="G8999" t="s">
        <v>30058</v>
      </c>
      <c r="H8999" t="s">
        <v>15498</v>
      </c>
      <c r="I8999" t="s">
        <v>30084</v>
      </c>
      <c r="J8999" t="s">
        <v>35678</v>
      </c>
      <c r="K8999" t="s">
        <v>39025</v>
      </c>
      <c r="L8999" t="s">
        <v>2676</v>
      </c>
      <c r="M8999" t="s">
        <v>42196</v>
      </c>
      <c r="N8999" t="s">
        <v>43166</v>
      </c>
      <c r="O8999" t="s">
        <v>43167</v>
      </c>
      <c r="P8999">
        <v>0</v>
      </c>
      <c r="Q8999">
        <v>14</v>
      </c>
      <c r="R8999" t="s">
        <v>43174</v>
      </c>
      <c r="S8999" t="s">
        <v>43396</v>
      </c>
      <c r="T8999" t="s">
        <v>44807</v>
      </c>
      <c r="U8999" t="s">
        <v>52408</v>
      </c>
      <c r="W8999" t="s">
        <v>42196</v>
      </c>
      <c r="X8999" t="s">
        <v>43175</v>
      </c>
    </row>
    <row r="9000" spans="1:24">
      <c r="A9000">
        <f>HYPERLINK("https://www.philgeps.gov.ph/GEPSNONPILOT/Tender/SplashBidNoticeAbstractUI.aspx?menuIndex=3&amp;refID=7075877&amp;Result=3","7075877")</f>
        <v>0</v>
      </c>
      <c r="B9000" t="s">
        <v>1207</v>
      </c>
      <c r="C9000" t="s">
        <v>11987</v>
      </c>
      <c r="D9000" t="s">
        <v>17462</v>
      </c>
      <c r="E9000" t="s">
        <v>25253</v>
      </c>
      <c r="F9000" t="s">
        <v>30052</v>
      </c>
      <c r="G9000" t="s">
        <v>30061</v>
      </c>
      <c r="H9000" t="s">
        <v>15498</v>
      </c>
      <c r="I9000" t="s">
        <v>3606</v>
      </c>
      <c r="J9000" t="s">
        <v>35679</v>
      </c>
      <c r="K9000" t="s">
        <v>39025</v>
      </c>
      <c r="M9000" t="s">
        <v>40561</v>
      </c>
      <c r="N9000" t="s">
        <v>43166</v>
      </c>
      <c r="O9000" t="s">
        <v>43167</v>
      </c>
      <c r="P9000">
        <v>0</v>
      </c>
      <c r="Q9000">
        <v>15</v>
      </c>
      <c r="R9000" t="s">
        <v>43174</v>
      </c>
      <c r="S9000" t="s">
        <v>43396</v>
      </c>
      <c r="T9000" t="s">
        <v>44843</v>
      </c>
      <c r="U9000" t="s">
        <v>52409</v>
      </c>
      <c r="V9000" t="s">
        <v>57193</v>
      </c>
      <c r="W9000" t="s">
        <v>40561</v>
      </c>
      <c r="X9000" t="s">
        <v>43175</v>
      </c>
    </row>
    <row r="9001" spans="1:24">
      <c r="A9001">
        <f>HYPERLINK("https://www.philgeps.gov.ph/GEPSNONPILOT/Tender/SplashBidNoticeAbstractUI.aspx?menuIndex=3&amp;refID=7075959&amp;Result=3","7075959")</f>
        <v>0</v>
      </c>
      <c r="B9001" t="s">
        <v>2306</v>
      </c>
      <c r="C9001" t="s">
        <v>11988</v>
      </c>
      <c r="D9001" t="s">
        <v>17415</v>
      </c>
      <c r="E9001" t="s">
        <v>25254</v>
      </c>
      <c r="F9001" t="s">
        <v>30052</v>
      </c>
      <c r="G9001" t="s">
        <v>30058</v>
      </c>
      <c r="H9001" t="s">
        <v>15498</v>
      </c>
      <c r="I9001" t="s">
        <v>30070</v>
      </c>
      <c r="J9001" t="s">
        <v>35680</v>
      </c>
      <c r="K9001" t="s">
        <v>39023</v>
      </c>
      <c r="M9001" t="s">
        <v>41792</v>
      </c>
      <c r="N9001" t="s">
        <v>43166</v>
      </c>
      <c r="O9001" t="s">
        <v>43167</v>
      </c>
      <c r="P9001">
        <v>0</v>
      </c>
      <c r="Q9001">
        <v>1</v>
      </c>
      <c r="R9001" t="s">
        <v>43174</v>
      </c>
      <c r="S9001" t="s">
        <v>43396</v>
      </c>
      <c r="T9001" t="s">
        <v>45000</v>
      </c>
      <c r="U9001" t="s">
        <v>52410</v>
      </c>
      <c r="W9001" t="s">
        <v>41792</v>
      </c>
      <c r="X9001" t="s">
        <v>43175</v>
      </c>
    </row>
    <row r="9002" spans="1:24">
      <c r="A9002">
        <f>HYPERLINK("https://www.philgeps.gov.ph/GEPSNONPILOT/Tender/SplashBidNoticeAbstractUI.aspx?menuIndex=3&amp;refID=7075954&amp;Result=3","7075954")</f>
        <v>0</v>
      </c>
      <c r="B9002" t="s">
        <v>2669</v>
      </c>
      <c r="C9002" t="s">
        <v>11989</v>
      </c>
      <c r="D9002" t="s">
        <v>17473</v>
      </c>
      <c r="E9002" t="s">
        <v>25255</v>
      </c>
      <c r="F9002" t="s">
        <v>30052</v>
      </c>
      <c r="G9002" t="s">
        <v>30058</v>
      </c>
      <c r="H9002" t="s">
        <v>30067</v>
      </c>
      <c r="I9002" t="s">
        <v>30163</v>
      </c>
      <c r="J9002" t="s">
        <v>35681</v>
      </c>
      <c r="K9002" t="s">
        <v>39023</v>
      </c>
      <c r="M9002" t="s">
        <v>42188</v>
      </c>
      <c r="N9002" t="s">
        <v>43166</v>
      </c>
      <c r="O9002" t="s">
        <v>43167</v>
      </c>
      <c r="P9002">
        <v>0</v>
      </c>
      <c r="Q9002">
        <v>0</v>
      </c>
      <c r="R9002" t="s">
        <v>43174</v>
      </c>
      <c r="S9002" t="s">
        <v>43396</v>
      </c>
      <c r="T9002" t="s">
        <v>44879</v>
      </c>
      <c r="U9002" t="s">
        <v>52411</v>
      </c>
      <c r="W9002" t="s">
        <v>42188</v>
      </c>
      <c r="X9002" t="s">
        <v>43175</v>
      </c>
    </row>
    <row r="9003" spans="1:24">
      <c r="A9003">
        <f>HYPERLINK("https://www.philgeps.gov.ph/GEPSNONPILOT/Tender/SplashBidNoticeAbstractUI.aspx?menuIndex=3&amp;refID=7075953&amp;Result=3","7075953")</f>
        <v>0</v>
      </c>
      <c r="B9003" t="s">
        <v>861</v>
      </c>
      <c r="C9003" t="s">
        <v>11990</v>
      </c>
      <c r="D9003" t="s">
        <v>17413</v>
      </c>
      <c r="E9003" t="s">
        <v>25256</v>
      </c>
      <c r="F9003" t="s">
        <v>30052</v>
      </c>
      <c r="G9003" t="s">
        <v>30058</v>
      </c>
      <c r="H9003" t="s">
        <v>30067</v>
      </c>
      <c r="I9003" t="s">
        <v>3693</v>
      </c>
      <c r="J9003" t="s">
        <v>35682</v>
      </c>
      <c r="K9003" t="s">
        <v>39107</v>
      </c>
      <c r="M9003" t="s">
        <v>40178</v>
      </c>
      <c r="N9003" t="s">
        <v>43166</v>
      </c>
      <c r="O9003" t="s">
        <v>43167</v>
      </c>
      <c r="P9003">
        <v>0</v>
      </c>
      <c r="Q9003">
        <v>1</v>
      </c>
      <c r="R9003" t="s">
        <v>43174</v>
      </c>
      <c r="S9003" t="s">
        <v>43396</v>
      </c>
      <c r="T9003" t="s">
        <v>44718</v>
      </c>
      <c r="U9003" t="s">
        <v>52404</v>
      </c>
      <c r="W9003" t="s">
        <v>40178</v>
      </c>
      <c r="X9003" t="s">
        <v>43175</v>
      </c>
    </row>
    <row r="9004" spans="1:24">
      <c r="A9004">
        <f>HYPERLINK("https://www.philgeps.gov.ph/GEPSNONPILOT/Tender/SplashBidNoticeAbstractUI.aspx?menuIndex=3&amp;refID=7075951&amp;Result=3","7075951")</f>
        <v>0</v>
      </c>
      <c r="B9004" t="s">
        <v>2676</v>
      </c>
      <c r="C9004" t="s">
        <v>11991</v>
      </c>
      <c r="D9004" t="s">
        <v>17448</v>
      </c>
      <c r="E9004" t="s">
        <v>25257</v>
      </c>
      <c r="F9004" t="s">
        <v>30052</v>
      </c>
      <c r="G9004" t="s">
        <v>30058</v>
      </c>
      <c r="H9004" t="s">
        <v>15498</v>
      </c>
      <c r="I9004" t="s">
        <v>30084</v>
      </c>
      <c r="J9004" t="s">
        <v>35683</v>
      </c>
      <c r="K9004" t="s">
        <v>39025</v>
      </c>
      <c r="L9004" t="s">
        <v>2676</v>
      </c>
      <c r="M9004" t="s">
        <v>42196</v>
      </c>
      <c r="N9004" t="s">
        <v>43166</v>
      </c>
      <c r="O9004" t="s">
        <v>43167</v>
      </c>
      <c r="P9004">
        <v>0</v>
      </c>
      <c r="Q9004">
        <v>11</v>
      </c>
      <c r="R9004" t="s">
        <v>43174</v>
      </c>
      <c r="S9004" t="s">
        <v>43396</v>
      </c>
      <c r="T9004" t="s">
        <v>44807</v>
      </c>
      <c r="U9004" t="s">
        <v>52412</v>
      </c>
      <c r="W9004" t="s">
        <v>42196</v>
      </c>
      <c r="X9004" t="s">
        <v>43175</v>
      </c>
    </row>
    <row r="9005" spans="1:24">
      <c r="A9005">
        <f>HYPERLINK("https://www.philgeps.gov.ph/GEPSNONPILOT/Tender/SplashBidNoticeAbstractUI.aspx?menuIndex=3&amp;refID=7075946&amp;Result=3","7075946")</f>
        <v>0</v>
      </c>
      <c r="B9005" t="s">
        <v>511</v>
      </c>
      <c r="C9005" t="s">
        <v>11992</v>
      </c>
      <c r="D9005" t="s">
        <v>17480</v>
      </c>
      <c r="E9005" t="s">
        <v>25258</v>
      </c>
      <c r="F9005" t="s">
        <v>30052</v>
      </c>
      <c r="G9005" t="s">
        <v>30058</v>
      </c>
      <c r="H9005" t="s">
        <v>15498</v>
      </c>
      <c r="I9005" t="s">
        <v>30135</v>
      </c>
      <c r="J9005" t="s">
        <v>35684</v>
      </c>
      <c r="K9005" t="s">
        <v>39031</v>
      </c>
      <c r="M9005" t="s">
        <v>39812</v>
      </c>
      <c r="N9005" t="s">
        <v>43166</v>
      </c>
      <c r="O9005" t="s">
        <v>43167</v>
      </c>
      <c r="P9005">
        <v>0</v>
      </c>
      <c r="Q9005">
        <v>6</v>
      </c>
      <c r="R9005" t="s">
        <v>43174</v>
      </c>
      <c r="S9005" t="s">
        <v>43396</v>
      </c>
      <c r="T9005" t="s">
        <v>45093</v>
      </c>
      <c r="U9005" t="s">
        <v>52381</v>
      </c>
      <c r="V9005" t="s">
        <v>57769</v>
      </c>
      <c r="W9005" t="s">
        <v>39812</v>
      </c>
      <c r="X9005" t="s">
        <v>43175</v>
      </c>
    </row>
    <row r="9006" spans="1:24">
      <c r="A9006">
        <f>HYPERLINK("https://www.philgeps.gov.ph/GEPSNONPILOT/Tender/SplashBidNoticeAbstractUI.aspx?menuIndex=3&amp;refID=7075809&amp;Result=3","7075809")</f>
        <v>0</v>
      </c>
      <c r="B9006" t="s">
        <v>2677</v>
      </c>
      <c r="C9006" t="s">
        <v>11993</v>
      </c>
      <c r="E9006" t="s">
        <v>25259</v>
      </c>
      <c r="F9006" t="s">
        <v>30052</v>
      </c>
      <c r="G9006" t="s">
        <v>30059</v>
      </c>
      <c r="H9006" t="s">
        <v>30067</v>
      </c>
      <c r="I9006" t="s">
        <v>6304</v>
      </c>
      <c r="J9006" t="s">
        <v>35685</v>
      </c>
      <c r="K9006" t="s">
        <v>39023</v>
      </c>
      <c r="M9006" t="s">
        <v>42197</v>
      </c>
      <c r="N9006" t="s">
        <v>43166</v>
      </c>
      <c r="O9006" t="s">
        <v>43167</v>
      </c>
      <c r="P9006">
        <v>0</v>
      </c>
      <c r="Q9006">
        <v>1</v>
      </c>
      <c r="R9006" t="s">
        <v>43174</v>
      </c>
      <c r="S9006" t="s">
        <v>43396</v>
      </c>
      <c r="T9006" t="s">
        <v>44733</v>
      </c>
      <c r="U9006" t="s">
        <v>52413</v>
      </c>
      <c r="W9006" t="s">
        <v>58684</v>
      </c>
      <c r="X9006" t="s">
        <v>43175</v>
      </c>
    </row>
    <row r="9007" spans="1:24">
      <c r="A9007">
        <f>HYPERLINK("https://www.philgeps.gov.ph/GEPSNONPILOT/Tender/SplashBidNoticeAbstractUI.aspx?menuIndex=3&amp;refID=7075950&amp;Result=3","7075950")</f>
        <v>0</v>
      </c>
      <c r="B9007" t="s">
        <v>2678</v>
      </c>
      <c r="C9007" t="s">
        <v>11994</v>
      </c>
      <c r="D9007" t="s">
        <v>17442</v>
      </c>
      <c r="E9007" t="s">
        <v>25260</v>
      </c>
      <c r="F9007" t="s">
        <v>30052</v>
      </c>
      <c r="G9007" t="s">
        <v>30058</v>
      </c>
      <c r="H9007" t="s">
        <v>30067</v>
      </c>
      <c r="I9007" t="s">
        <v>3693</v>
      </c>
      <c r="J9007" t="s">
        <v>35686</v>
      </c>
      <c r="K9007" t="s">
        <v>39058</v>
      </c>
      <c r="M9007" t="s">
        <v>42198</v>
      </c>
      <c r="N9007" t="s">
        <v>43166</v>
      </c>
      <c r="O9007" t="s">
        <v>43167</v>
      </c>
      <c r="P9007">
        <v>0</v>
      </c>
      <c r="Q9007">
        <v>1</v>
      </c>
      <c r="R9007" t="s">
        <v>43174</v>
      </c>
      <c r="S9007" t="s">
        <v>43396</v>
      </c>
      <c r="T9007" t="s">
        <v>44722</v>
      </c>
      <c r="U9007" t="s">
        <v>52414</v>
      </c>
      <c r="W9007" t="s">
        <v>42198</v>
      </c>
      <c r="X9007" t="s">
        <v>43175</v>
      </c>
    </row>
    <row r="9008" spans="1:24">
      <c r="A9008">
        <f>HYPERLINK("https://www.philgeps.gov.ph/GEPSNONPILOT/Tender/SplashBidNoticeAbstractUI.aspx?menuIndex=3&amp;refID=7075940&amp;Result=3","7075940")</f>
        <v>0</v>
      </c>
      <c r="B9008" t="s">
        <v>2670</v>
      </c>
      <c r="C9008" t="s">
        <v>11995</v>
      </c>
      <c r="D9008" t="s">
        <v>17456</v>
      </c>
      <c r="E9008" t="s">
        <v>25261</v>
      </c>
      <c r="F9008" t="s">
        <v>30052</v>
      </c>
      <c r="G9008" t="s">
        <v>30058</v>
      </c>
      <c r="H9008" t="s">
        <v>15498</v>
      </c>
      <c r="I9008" t="s">
        <v>3736</v>
      </c>
      <c r="J9008" t="s">
        <v>35687</v>
      </c>
      <c r="K9008" t="s">
        <v>39025</v>
      </c>
      <c r="M9008" t="s">
        <v>42189</v>
      </c>
      <c r="N9008" t="s">
        <v>43166</v>
      </c>
      <c r="O9008" t="s">
        <v>43167</v>
      </c>
      <c r="P9008">
        <v>0</v>
      </c>
      <c r="Q9008">
        <v>1</v>
      </c>
      <c r="R9008" t="s">
        <v>43174</v>
      </c>
      <c r="S9008" t="s">
        <v>43396</v>
      </c>
      <c r="T9008" t="s">
        <v>44949</v>
      </c>
      <c r="U9008" t="s">
        <v>52415</v>
      </c>
      <c r="W9008" t="s">
        <v>42189</v>
      </c>
      <c r="X9008" t="s">
        <v>43175</v>
      </c>
    </row>
    <row r="9009" spans="1:24">
      <c r="A9009">
        <f>HYPERLINK("https://www.philgeps.gov.ph/GEPSNONPILOT/Tender/SplashBidNoticeAbstractUI.aspx?menuIndex=3&amp;refID=7075936&amp;Result=3","7075936")</f>
        <v>0</v>
      </c>
      <c r="B9009" t="s">
        <v>2670</v>
      </c>
      <c r="C9009" t="s">
        <v>11996</v>
      </c>
      <c r="D9009" t="s">
        <v>17456</v>
      </c>
      <c r="E9009" t="s">
        <v>25262</v>
      </c>
      <c r="F9009" t="s">
        <v>30052</v>
      </c>
      <c r="G9009" t="s">
        <v>30058</v>
      </c>
      <c r="H9009" t="s">
        <v>15498</v>
      </c>
      <c r="I9009" t="s">
        <v>3736</v>
      </c>
      <c r="J9009" t="s">
        <v>35688</v>
      </c>
      <c r="K9009" t="s">
        <v>39025</v>
      </c>
      <c r="M9009" t="s">
        <v>42189</v>
      </c>
      <c r="N9009" t="s">
        <v>43166</v>
      </c>
      <c r="O9009" t="s">
        <v>43167</v>
      </c>
      <c r="P9009">
        <v>0</v>
      </c>
      <c r="Q9009">
        <v>0</v>
      </c>
      <c r="R9009" t="s">
        <v>43174</v>
      </c>
      <c r="S9009" t="s">
        <v>43396</v>
      </c>
      <c r="T9009" t="s">
        <v>44949</v>
      </c>
      <c r="U9009" t="s">
        <v>52416</v>
      </c>
      <c r="W9009" t="s">
        <v>42189</v>
      </c>
      <c r="X9009" t="s">
        <v>43175</v>
      </c>
    </row>
    <row r="9010" spans="1:24">
      <c r="A9010">
        <f>HYPERLINK("https://www.philgeps.gov.ph/GEPSNONPILOT/Tender/SplashBidNoticeAbstractUI.aspx?menuIndex=3&amp;refID=7075943&amp;Result=3","7075943")</f>
        <v>0</v>
      </c>
      <c r="B9010" t="s">
        <v>2679</v>
      </c>
      <c r="C9010" t="s">
        <v>11997</v>
      </c>
      <c r="D9010" t="s">
        <v>17445</v>
      </c>
      <c r="E9010" t="s">
        <v>25263</v>
      </c>
      <c r="F9010" t="s">
        <v>30052</v>
      </c>
      <c r="G9010" t="s">
        <v>30058</v>
      </c>
      <c r="H9010" t="s">
        <v>30067</v>
      </c>
      <c r="I9010" t="s">
        <v>3693</v>
      </c>
      <c r="J9010" t="s">
        <v>35689</v>
      </c>
      <c r="K9010" t="s">
        <v>39026</v>
      </c>
      <c r="M9010" t="s">
        <v>42199</v>
      </c>
      <c r="N9010" t="s">
        <v>43166</v>
      </c>
      <c r="O9010" t="s">
        <v>43167</v>
      </c>
      <c r="P9010">
        <v>0</v>
      </c>
      <c r="Q9010">
        <v>1</v>
      </c>
      <c r="R9010" t="s">
        <v>43174</v>
      </c>
      <c r="S9010" t="s">
        <v>43396</v>
      </c>
      <c r="T9010" t="s">
        <v>44815</v>
      </c>
      <c r="U9010" t="s">
        <v>52417</v>
      </c>
      <c r="W9010" t="s">
        <v>42199</v>
      </c>
      <c r="X9010" t="s">
        <v>43175</v>
      </c>
    </row>
    <row r="9011" spans="1:24">
      <c r="A9011">
        <f>HYPERLINK("https://www.philgeps.gov.ph/GEPSNONPILOT/Tender/SplashBidNoticeAbstractUI.aspx?menuIndex=3&amp;refID=7075933&amp;Result=3","7075933")</f>
        <v>0</v>
      </c>
      <c r="B9011" t="s">
        <v>2674</v>
      </c>
      <c r="C9011" t="s">
        <v>11998</v>
      </c>
      <c r="D9011" t="s">
        <v>17443</v>
      </c>
      <c r="E9011" t="s">
        <v>25264</v>
      </c>
      <c r="F9011" t="s">
        <v>30052</v>
      </c>
      <c r="G9011" t="s">
        <v>30059</v>
      </c>
      <c r="H9011" t="s">
        <v>15498</v>
      </c>
      <c r="I9011" t="s">
        <v>3736</v>
      </c>
      <c r="J9011" t="s">
        <v>35690</v>
      </c>
      <c r="K9011" t="s">
        <v>39039</v>
      </c>
      <c r="M9011" t="s">
        <v>42194</v>
      </c>
      <c r="N9011" t="s">
        <v>43166</v>
      </c>
      <c r="O9011" t="s">
        <v>43167</v>
      </c>
      <c r="P9011">
        <v>0</v>
      </c>
      <c r="Q9011">
        <v>0</v>
      </c>
      <c r="R9011" t="s">
        <v>43174</v>
      </c>
      <c r="S9011" t="s">
        <v>43396</v>
      </c>
      <c r="T9011" t="s">
        <v>44856</v>
      </c>
      <c r="U9011" t="s">
        <v>52418</v>
      </c>
      <c r="W9011" t="s">
        <v>42194</v>
      </c>
      <c r="X9011" t="s">
        <v>43175</v>
      </c>
    </row>
    <row r="9012" spans="1:24">
      <c r="A9012">
        <f>HYPERLINK("https://www.philgeps.gov.ph/GEPSNONPILOT/Tender/SplashBidNoticeAbstractUI.aspx?menuIndex=3&amp;refID=7075960&amp;Result=3","7075960")</f>
        <v>0</v>
      </c>
      <c r="B9012" t="s">
        <v>1486</v>
      </c>
      <c r="C9012" t="s">
        <v>11999</v>
      </c>
      <c r="D9012" t="s">
        <v>17448</v>
      </c>
      <c r="E9012" t="s">
        <v>25265</v>
      </c>
      <c r="F9012" t="s">
        <v>30052</v>
      </c>
      <c r="G9012" t="s">
        <v>30058</v>
      </c>
      <c r="H9012" t="s">
        <v>30067</v>
      </c>
      <c r="I9012" t="s">
        <v>3693</v>
      </c>
      <c r="J9012" t="s">
        <v>35691</v>
      </c>
      <c r="K9012" t="s">
        <v>39215</v>
      </c>
      <c r="M9012" t="s">
        <v>40870</v>
      </c>
      <c r="N9012" t="s">
        <v>43166</v>
      </c>
      <c r="O9012" t="s">
        <v>43167</v>
      </c>
      <c r="P9012">
        <v>0</v>
      </c>
      <c r="Q9012">
        <v>10</v>
      </c>
      <c r="R9012" t="s">
        <v>43174</v>
      </c>
      <c r="S9012" t="s">
        <v>43396</v>
      </c>
      <c r="T9012" t="s">
        <v>44873</v>
      </c>
      <c r="U9012" t="s">
        <v>52419</v>
      </c>
      <c r="W9012" t="s">
        <v>40870</v>
      </c>
      <c r="X9012" t="s">
        <v>43175</v>
      </c>
    </row>
    <row r="9013" spans="1:24">
      <c r="A9013">
        <f>HYPERLINK("https://www.philgeps.gov.ph/GEPSNONPILOT/Tender/SplashBidNoticeAbstractUI.aspx?menuIndex=3&amp;refID=7075930&amp;Result=3","7075930")</f>
        <v>0</v>
      </c>
      <c r="B9013" t="s">
        <v>2673</v>
      </c>
      <c r="C9013" t="s">
        <v>12000</v>
      </c>
      <c r="D9013" t="s">
        <v>17448</v>
      </c>
      <c r="E9013" t="s">
        <v>21990</v>
      </c>
      <c r="F9013" t="s">
        <v>30052</v>
      </c>
      <c r="G9013" t="s">
        <v>30063</v>
      </c>
      <c r="H9013" t="s">
        <v>15498</v>
      </c>
      <c r="I9013" t="s">
        <v>30084</v>
      </c>
      <c r="J9013" t="s">
        <v>35692</v>
      </c>
      <c r="K9013" t="s">
        <v>39019</v>
      </c>
      <c r="M9013" t="s">
        <v>42193</v>
      </c>
      <c r="N9013" t="s">
        <v>43166</v>
      </c>
      <c r="O9013" t="s">
        <v>43167</v>
      </c>
      <c r="P9013">
        <v>0</v>
      </c>
      <c r="Q9013">
        <v>11</v>
      </c>
      <c r="R9013" t="s">
        <v>43174</v>
      </c>
      <c r="S9013" t="s">
        <v>43396</v>
      </c>
      <c r="T9013" t="s">
        <v>44953</v>
      </c>
      <c r="U9013" t="s">
        <v>52420</v>
      </c>
      <c r="W9013" t="s">
        <v>42193</v>
      </c>
      <c r="X9013" t="s">
        <v>43175</v>
      </c>
    </row>
    <row r="9014" spans="1:24">
      <c r="A9014">
        <f>HYPERLINK("https://www.philgeps.gov.ph/GEPSNONPILOT/Tender/SplashBidNoticeAbstractUI.aspx?menuIndex=3&amp;refID=7075570&amp;Result=3","7075570")</f>
        <v>0</v>
      </c>
      <c r="B9014" t="s">
        <v>1727</v>
      </c>
      <c r="C9014" t="s">
        <v>12001</v>
      </c>
      <c r="D9014" t="s">
        <v>17436</v>
      </c>
      <c r="E9014" t="s">
        <v>25266</v>
      </c>
      <c r="F9014" t="s">
        <v>30052</v>
      </c>
      <c r="G9014" t="s">
        <v>30058</v>
      </c>
      <c r="H9014" t="s">
        <v>15498</v>
      </c>
      <c r="I9014" t="s">
        <v>3736</v>
      </c>
      <c r="J9014" t="s">
        <v>35693</v>
      </c>
      <c r="K9014" t="s">
        <v>39034</v>
      </c>
      <c r="M9014" t="s">
        <v>42148</v>
      </c>
      <c r="N9014" t="s">
        <v>43166</v>
      </c>
      <c r="O9014" t="s">
        <v>43167</v>
      </c>
      <c r="P9014">
        <v>0</v>
      </c>
      <c r="Q9014">
        <v>0</v>
      </c>
      <c r="R9014" t="s">
        <v>43174</v>
      </c>
      <c r="S9014" t="s">
        <v>43396</v>
      </c>
      <c r="T9014" t="s">
        <v>44728</v>
      </c>
      <c r="U9014" t="s">
        <v>52421</v>
      </c>
      <c r="W9014" t="s">
        <v>42148</v>
      </c>
      <c r="X9014" t="s">
        <v>43175</v>
      </c>
    </row>
    <row r="9015" spans="1:24">
      <c r="A9015">
        <f>HYPERLINK("https://www.philgeps.gov.ph/GEPSNONPILOT/Tender/SplashBidNoticeAbstractUI.aspx?menuIndex=3&amp;refID=7075567&amp;Result=3","7075567")</f>
        <v>0</v>
      </c>
      <c r="B9015" t="s">
        <v>1682</v>
      </c>
      <c r="C9015" t="s">
        <v>12002</v>
      </c>
      <c r="D9015" t="s">
        <v>17453</v>
      </c>
      <c r="E9015" t="s">
        <v>25085</v>
      </c>
      <c r="F9015" t="s">
        <v>30052</v>
      </c>
      <c r="G9015" t="s">
        <v>30059</v>
      </c>
      <c r="H9015" t="s">
        <v>15498</v>
      </c>
      <c r="I9015" t="s">
        <v>30074</v>
      </c>
      <c r="J9015" t="s">
        <v>30230</v>
      </c>
      <c r="K9015" t="s">
        <v>39019</v>
      </c>
      <c r="M9015" t="s">
        <v>41118</v>
      </c>
      <c r="N9015" t="s">
        <v>43166</v>
      </c>
      <c r="O9015" t="s">
        <v>43167</v>
      </c>
      <c r="P9015">
        <v>0</v>
      </c>
      <c r="Q9015">
        <v>1</v>
      </c>
      <c r="R9015" t="s">
        <v>43174</v>
      </c>
      <c r="S9015" t="s">
        <v>43396</v>
      </c>
      <c r="T9015" t="s">
        <v>44870</v>
      </c>
      <c r="U9015" t="s">
        <v>52422</v>
      </c>
      <c r="W9015" t="s">
        <v>41118</v>
      </c>
      <c r="X9015" t="s">
        <v>43175</v>
      </c>
    </row>
    <row r="9016" spans="1:24">
      <c r="A9016">
        <f>HYPERLINK("https://www.philgeps.gov.ph/GEPSNONPILOT/Tender/SplashBidNoticeAbstractUI.aspx?menuIndex=3&amp;refID=7075938&amp;Result=3","7075938")</f>
        <v>0</v>
      </c>
      <c r="B9016" t="s">
        <v>511</v>
      </c>
      <c r="C9016" t="s">
        <v>12003</v>
      </c>
      <c r="D9016" t="s">
        <v>17480</v>
      </c>
      <c r="E9016" t="s">
        <v>25267</v>
      </c>
      <c r="F9016" t="s">
        <v>30052</v>
      </c>
      <c r="G9016" t="s">
        <v>30058</v>
      </c>
      <c r="H9016" t="s">
        <v>15498</v>
      </c>
      <c r="I9016" t="s">
        <v>30135</v>
      </c>
      <c r="J9016" t="s">
        <v>35694</v>
      </c>
      <c r="K9016" t="s">
        <v>39031</v>
      </c>
      <c r="M9016" t="s">
        <v>39812</v>
      </c>
      <c r="N9016" t="s">
        <v>43166</v>
      </c>
      <c r="O9016" t="s">
        <v>43167</v>
      </c>
      <c r="P9016">
        <v>0</v>
      </c>
      <c r="Q9016">
        <v>9</v>
      </c>
      <c r="R9016" t="s">
        <v>43174</v>
      </c>
      <c r="S9016" t="s">
        <v>43396</v>
      </c>
      <c r="T9016" t="s">
        <v>45093</v>
      </c>
      <c r="U9016" t="s">
        <v>52381</v>
      </c>
      <c r="V9016" t="s">
        <v>57769</v>
      </c>
      <c r="W9016" t="s">
        <v>39812</v>
      </c>
      <c r="X9016" t="s">
        <v>43175</v>
      </c>
    </row>
    <row r="9017" spans="1:24">
      <c r="A9017">
        <f>HYPERLINK("https://www.philgeps.gov.ph/GEPSNONPILOT/Tender/SplashBidNoticeAbstractUI.aspx?menuIndex=3&amp;refID=7075935&amp;Result=3","7075935")</f>
        <v>0</v>
      </c>
      <c r="B9017" t="s">
        <v>2636</v>
      </c>
      <c r="C9017" t="s">
        <v>12004</v>
      </c>
      <c r="D9017" t="s">
        <v>17492</v>
      </c>
      <c r="E9017" t="s">
        <v>25268</v>
      </c>
      <c r="F9017" t="s">
        <v>30052</v>
      </c>
      <c r="G9017" t="s">
        <v>30058</v>
      </c>
      <c r="H9017" t="s">
        <v>30067</v>
      </c>
      <c r="I9017" t="s">
        <v>3693</v>
      </c>
      <c r="J9017" t="s">
        <v>35695</v>
      </c>
      <c r="K9017" t="s">
        <v>39025</v>
      </c>
      <c r="M9017" t="s">
        <v>42151</v>
      </c>
      <c r="N9017" t="s">
        <v>43166</v>
      </c>
      <c r="O9017" t="s">
        <v>43167</v>
      </c>
      <c r="P9017">
        <v>0</v>
      </c>
      <c r="Q9017">
        <v>0</v>
      </c>
      <c r="R9017" t="s">
        <v>43174</v>
      </c>
      <c r="S9017" t="s">
        <v>43396</v>
      </c>
      <c r="T9017" t="s">
        <v>44716</v>
      </c>
      <c r="U9017" t="s">
        <v>52255</v>
      </c>
      <c r="W9017" t="s">
        <v>42151</v>
      </c>
      <c r="X9017" t="s">
        <v>43175</v>
      </c>
    </row>
    <row r="9018" spans="1:24">
      <c r="A9018">
        <f>HYPERLINK("https://www.philgeps.gov.ph/GEPSNONPILOT/Tender/SplashBidNoticeAbstractUI.aspx?menuIndex=3&amp;refID=7075970&amp;Result=3","7075970")</f>
        <v>0</v>
      </c>
      <c r="B9018" t="s">
        <v>1291</v>
      </c>
      <c r="C9018" t="s">
        <v>12005</v>
      </c>
      <c r="D9018" t="s">
        <v>17464</v>
      </c>
      <c r="E9018" t="s">
        <v>25269</v>
      </c>
      <c r="F9018" t="s">
        <v>30052</v>
      </c>
      <c r="G9018" t="s">
        <v>30063</v>
      </c>
      <c r="H9018" t="s">
        <v>30067</v>
      </c>
      <c r="I9018" t="s">
        <v>3693</v>
      </c>
      <c r="J9018" t="s">
        <v>35696</v>
      </c>
      <c r="K9018" t="s">
        <v>39216</v>
      </c>
      <c r="M9018" t="s">
        <v>40657</v>
      </c>
      <c r="N9018" t="s">
        <v>43166</v>
      </c>
      <c r="O9018" t="s">
        <v>43167</v>
      </c>
      <c r="P9018">
        <v>0</v>
      </c>
      <c r="Q9018">
        <v>13</v>
      </c>
      <c r="R9018" t="s">
        <v>43174</v>
      </c>
      <c r="S9018" t="s">
        <v>43396</v>
      </c>
      <c r="T9018" t="s">
        <v>44758</v>
      </c>
      <c r="U9018" t="s">
        <v>52423</v>
      </c>
      <c r="V9018" t="s">
        <v>57776</v>
      </c>
      <c r="W9018" t="s">
        <v>40657</v>
      </c>
      <c r="X9018" t="s">
        <v>43175</v>
      </c>
    </row>
    <row r="9019" spans="1:24">
      <c r="A9019">
        <f>HYPERLINK("https://www.philgeps.gov.ph/GEPSNONPILOT/Tender/SplashBidNoticeAbstractUI.aspx?menuIndex=3&amp;refID=7075931&amp;Result=3","7075931")</f>
        <v>0</v>
      </c>
      <c r="B9019" t="s">
        <v>2669</v>
      </c>
      <c r="C9019" t="s">
        <v>12006</v>
      </c>
      <c r="D9019" t="s">
        <v>17473</v>
      </c>
      <c r="E9019" t="s">
        <v>25270</v>
      </c>
      <c r="F9019" t="s">
        <v>30052</v>
      </c>
      <c r="G9019" t="s">
        <v>30058</v>
      </c>
      <c r="H9019" t="s">
        <v>30067</v>
      </c>
      <c r="I9019" t="s">
        <v>30163</v>
      </c>
      <c r="J9019" t="s">
        <v>35697</v>
      </c>
      <c r="K9019" t="s">
        <v>39023</v>
      </c>
      <c r="M9019" t="s">
        <v>42188</v>
      </c>
      <c r="N9019" t="s">
        <v>43166</v>
      </c>
      <c r="O9019" t="s">
        <v>43167</v>
      </c>
      <c r="P9019">
        <v>0</v>
      </c>
      <c r="Q9019">
        <v>0</v>
      </c>
      <c r="R9019" t="s">
        <v>43174</v>
      </c>
      <c r="S9019" t="s">
        <v>43396</v>
      </c>
      <c r="T9019" t="s">
        <v>44744</v>
      </c>
      <c r="U9019" t="s">
        <v>52424</v>
      </c>
      <c r="W9019" t="s">
        <v>42188</v>
      </c>
      <c r="X9019" t="s">
        <v>43175</v>
      </c>
    </row>
    <row r="9020" spans="1:24">
      <c r="A9020">
        <f>HYPERLINK("https://www.philgeps.gov.ph/GEPSNONPILOT/Tender/SplashBidNoticeAbstractUI.aspx?menuIndex=3&amp;refID=7075994&amp;Result=3","7075994")</f>
        <v>0</v>
      </c>
      <c r="B9020" t="s">
        <v>2679</v>
      </c>
      <c r="C9020" t="s">
        <v>12007</v>
      </c>
      <c r="D9020" t="s">
        <v>17445</v>
      </c>
      <c r="E9020" t="s">
        <v>25271</v>
      </c>
      <c r="F9020" t="s">
        <v>30052</v>
      </c>
      <c r="G9020" t="s">
        <v>30058</v>
      </c>
      <c r="H9020" t="s">
        <v>30067</v>
      </c>
      <c r="I9020" t="s">
        <v>3693</v>
      </c>
      <c r="J9020" t="s">
        <v>35698</v>
      </c>
      <c r="K9020" t="s">
        <v>39065</v>
      </c>
      <c r="M9020" t="s">
        <v>42199</v>
      </c>
      <c r="N9020" t="s">
        <v>43166</v>
      </c>
      <c r="O9020" t="s">
        <v>43167</v>
      </c>
      <c r="P9020">
        <v>0</v>
      </c>
      <c r="Q9020">
        <v>1</v>
      </c>
      <c r="R9020" t="s">
        <v>43174</v>
      </c>
      <c r="S9020" t="s">
        <v>43396</v>
      </c>
      <c r="T9020" t="s">
        <v>44815</v>
      </c>
      <c r="U9020" t="s">
        <v>52417</v>
      </c>
      <c r="W9020" t="s">
        <v>42199</v>
      </c>
      <c r="X9020" t="s">
        <v>43175</v>
      </c>
    </row>
    <row r="9021" spans="1:24">
      <c r="A9021">
        <f>HYPERLINK("https://www.philgeps.gov.ph/GEPSNONPILOT/Tender/SplashBidNoticeAbstractUI.aspx?menuIndex=3&amp;refID=7075564&amp;Result=3","7075564")</f>
        <v>0</v>
      </c>
      <c r="B9021" t="s">
        <v>861</v>
      </c>
      <c r="C9021" t="s">
        <v>12008</v>
      </c>
      <c r="D9021" t="s">
        <v>17413</v>
      </c>
      <c r="E9021" t="s">
        <v>25272</v>
      </c>
      <c r="F9021" t="s">
        <v>30052</v>
      </c>
      <c r="G9021" t="s">
        <v>30058</v>
      </c>
      <c r="H9021" t="s">
        <v>15498</v>
      </c>
      <c r="I9021" t="s">
        <v>30097</v>
      </c>
      <c r="J9021" t="s">
        <v>35699</v>
      </c>
      <c r="K9021" t="s">
        <v>39029</v>
      </c>
      <c r="M9021" t="s">
        <v>40178</v>
      </c>
      <c r="N9021" t="s">
        <v>43166</v>
      </c>
      <c r="O9021" t="s">
        <v>43167</v>
      </c>
      <c r="P9021">
        <v>0</v>
      </c>
      <c r="Q9021">
        <v>1</v>
      </c>
      <c r="R9021" t="s">
        <v>43174</v>
      </c>
      <c r="S9021" t="s">
        <v>43396</v>
      </c>
      <c r="T9021" t="s">
        <v>44718</v>
      </c>
      <c r="U9021" t="s">
        <v>52425</v>
      </c>
      <c r="W9021" t="s">
        <v>40178</v>
      </c>
      <c r="X9021" t="s">
        <v>43175</v>
      </c>
    </row>
    <row r="9022" spans="1:24">
      <c r="A9022">
        <f>HYPERLINK("https://www.philgeps.gov.ph/GEPSNONPILOT/Tender/SplashBidNoticeAbstractUI.aspx?menuIndex=3&amp;refID=7075942&amp;Result=3","7075942")</f>
        <v>0</v>
      </c>
      <c r="B9022" t="s">
        <v>2627</v>
      </c>
      <c r="C9022" t="s">
        <v>12009</v>
      </c>
      <c r="D9022" t="s">
        <v>17446</v>
      </c>
      <c r="E9022" t="s">
        <v>25273</v>
      </c>
      <c r="F9022" t="s">
        <v>30052</v>
      </c>
      <c r="G9022" t="s">
        <v>30058</v>
      </c>
      <c r="H9022" t="s">
        <v>15498</v>
      </c>
      <c r="I9022" t="s">
        <v>30084</v>
      </c>
      <c r="J9022" t="s">
        <v>32032</v>
      </c>
      <c r="K9022" t="s">
        <v>39037</v>
      </c>
      <c r="M9022" t="s">
        <v>42141</v>
      </c>
      <c r="N9022" t="s">
        <v>43166</v>
      </c>
      <c r="O9022" t="s">
        <v>43167</v>
      </c>
      <c r="P9022">
        <v>0</v>
      </c>
      <c r="Q9022">
        <v>4</v>
      </c>
      <c r="R9022" t="s">
        <v>43174</v>
      </c>
      <c r="S9022" t="s">
        <v>43396</v>
      </c>
      <c r="T9022" t="s">
        <v>44718</v>
      </c>
      <c r="U9022" t="s">
        <v>52426</v>
      </c>
      <c r="W9022" t="s">
        <v>58683</v>
      </c>
      <c r="X9022" t="s">
        <v>43175</v>
      </c>
    </row>
    <row r="9023" spans="1:24">
      <c r="A9023">
        <f>HYPERLINK("https://www.philgeps.gov.ph/GEPSNONPILOT/Tender/SplashBidNoticeAbstractUI.aspx?menuIndex=3&amp;refID=7075990&amp;Result=3","7075990")</f>
        <v>0</v>
      </c>
      <c r="B9023" t="s">
        <v>2670</v>
      </c>
      <c r="C9023" t="s">
        <v>12010</v>
      </c>
      <c r="D9023" t="s">
        <v>17456</v>
      </c>
      <c r="E9023" t="s">
        <v>25274</v>
      </c>
      <c r="F9023" t="s">
        <v>30052</v>
      </c>
      <c r="G9023" t="s">
        <v>30058</v>
      </c>
      <c r="H9023" t="s">
        <v>15498</v>
      </c>
      <c r="I9023" t="s">
        <v>3736</v>
      </c>
      <c r="J9023" t="s">
        <v>35700</v>
      </c>
      <c r="K9023" t="s">
        <v>39025</v>
      </c>
      <c r="M9023" t="s">
        <v>42189</v>
      </c>
      <c r="N9023" t="s">
        <v>43166</v>
      </c>
      <c r="O9023" t="s">
        <v>43167</v>
      </c>
      <c r="P9023">
        <v>0</v>
      </c>
      <c r="Q9023">
        <v>0</v>
      </c>
      <c r="R9023" t="s">
        <v>43174</v>
      </c>
      <c r="S9023" t="s">
        <v>43396</v>
      </c>
      <c r="T9023" t="s">
        <v>44949</v>
      </c>
      <c r="U9023" t="s">
        <v>52427</v>
      </c>
      <c r="W9023" t="s">
        <v>42189</v>
      </c>
      <c r="X9023" t="s">
        <v>43175</v>
      </c>
    </row>
    <row r="9024" spans="1:24">
      <c r="A9024">
        <f>HYPERLINK("https://www.philgeps.gov.ph/GEPSNONPILOT/Tender/SplashBidNoticeAbstractUI.aspx?menuIndex=3&amp;refID=7075987&amp;Result=3","7075987")</f>
        <v>0</v>
      </c>
      <c r="B9024" t="s">
        <v>2306</v>
      </c>
      <c r="C9024" t="s">
        <v>12011</v>
      </c>
      <c r="D9024" t="s">
        <v>17415</v>
      </c>
      <c r="E9024" t="s">
        <v>25275</v>
      </c>
      <c r="F9024" t="s">
        <v>30052</v>
      </c>
      <c r="G9024" t="s">
        <v>30058</v>
      </c>
      <c r="H9024" t="s">
        <v>15498</v>
      </c>
      <c r="I9024" t="s">
        <v>30070</v>
      </c>
      <c r="J9024" t="s">
        <v>35701</v>
      </c>
      <c r="K9024" t="s">
        <v>39023</v>
      </c>
      <c r="M9024" t="s">
        <v>41792</v>
      </c>
      <c r="N9024" t="s">
        <v>43166</v>
      </c>
      <c r="O9024" t="s">
        <v>43167</v>
      </c>
      <c r="P9024">
        <v>0</v>
      </c>
      <c r="Q9024">
        <v>1</v>
      </c>
      <c r="R9024" t="s">
        <v>43174</v>
      </c>
      <c r="S9024" t="s">
        <v>43396</v>
      </c>
      <c r="T9024" t="s">
        <v>45000</v>
      </c>
      <c r="U9024" t="s">
        <v>52428</v>
      </c>
      <c r="W9024" t="s">
        <v>41792</v>
      </c>
      <c r="X9024" t="s">
        <v>43175</v>
      </c>
    </row>
    <row r="9025" spans="1:24">
      <c r="A9025">
        <f>HYPERLINK("https://www.philgeps.gov.ph/GEPSNONPILOT/Tender/SplashBidNoticeAbstractUI.aspx?menuIndex=3&amp;refID=7075985&amp;Result=3","7075985")</f>
        <v>0</v>
      </c>
      <c r="B9025" t="s">
        <v>2649</v>
      </c>
      <c r="C9025" t="s">
        <v>12012</v>
      </c>
      <c r="E9025" t="s">
        <v>25276</v>
      </c>
      <c r="F9025" t="s">
        <v>30052</v>
      </c>
      <c r="G9025" t="s">
        <v>30058</v>
      </c>
      <c r="H9025" t="s">
        <v>15498</v>
      </c>
      <c r="I9025" t="s">
        <v>30088</v>
      </c>
      <c r="J9025" t="s">
        <v>35702</v>
      </c>
      <c r="K9025" t="s">
        <v>39025</v>
      </c>
      <c r="M9025" t="s">
        <v>42200</v>
      </c>
      <c r="N9025" t="s">
        <v>43166</v>
      </c>
      <c r="O9025" t="s">
        <v>43167</v>
      </c>
      <c r="Q9025">
        <v>14</v>
      </c>
      <c r="R9025" t="s">
        <v>43174</v>
      </c>
      <c r="S9025" t="s">
        <v>43452</v>
      </c>
      <c r="T9025" t="s">
        <v>44752</v>
      </c>
      <c r="U9025" t="s">
        <v>52315</v>
      </c>
      <c r="V9025" t="s">
        <v>57758</v>
      </c>
      <c r="W9025" t="s">
        <v>42200</v>
      </c>
      <c r="X9025" t="s">
        <v>43175</v>
      </c>
    </row>
    <row r="9026" spans="1:24">
      <c r="A9026">
        <f>HYPERLINK("https://www.philgeps.gov.ph/GEPSNONPILOT/Tender/SplashBidNoticeAbstractUI.aspx?menuIndex=3&amp;refID=7075993&amp;Result=3","7075993")</f>
        <v>0</v>
      </c>
      <c r="B9026" t="s">
        <v>2649</v>
      </c>
      <c r="C9026" t="s">
        <v>12013</v>
      </c>
      <c r="E9026" t="s">
        <v>25277</v>
      </c>
      <c r="F9026" t="s">
        <v>30052</v>
      </c>
      <c r="G9026" t="s">
        <v>30058</v>
      </c>
      <c r="H9026" t="s">
        <v>15498</v>
      </c>
      <c r="I9026" t="s">
        <v>30088</v>
      </c>
      <c r="J9026" t="s">
        <v>35703</v>
      </c>
      <c r="K9026" t="s">
        <v>39025</v>
      </c>
      <c r="M9026" t="s">
        <v>42200</v>
      </c>
      <c r="N9026" t="s">
        <v>43166</v>
      </c>
      <c r="O9026" t="s">
        <v>43167</v>
      </c>
      <c r="Q9026">
        <v>13</v>
      </c>
      <c r="R9026" t="s">
        <v>43174</v>
      </c>
      <c r="S9026" t="s">
        <v>43453</v>
      </c>
      <c r="T9026" t="s">
        <v>44752</v>
      </c>
      <c r="U9026" t="s">
        <v>52315</v>
      </c>
      <c r="V9026" t="s">
        <v>57758</v>
      </c>
      <c r="W9026" t="s">
        <v>42200</v>
      </c>
      <c r="X9026" t="s">
        <v>43175</v>
      </c>
    </row>
    <row r="9027" spans="1:24">
      <c r="A9027">
        <f>HYPERLINK("https://www.philgeps.gov.ph/GEPSNONPILOT/Tender/SplashBidNoticeAbstractUI.aspx?menuIndex=3&amp;refID=7075991&amp;Result=3","7075991")</f>
        <v>0</v>
      </c>
      <c r="B9027" t="s">
        <v>2680</v>
      </c>
      <c r="C9027" t="s">
        <v>12014</v>
      </c>
      <c r="D9027" t="s">
        <v>17464</v>
      </c>
      <c r="E9027" t="s">
        <v>23772</v>
      </c>
      <c r="F9027" t="s">
        <v>30052</v>
      </c>
      <c r="G9027" t="s">
        <v>30058</v>
      </c>
      <c r="H9027" t="s">
        <v>30067</v>
      </c>
      <c r="I9027" t="s">
        <v>3693</v>
      </c>
      <c r="J9027" t="s">
        <v>35704</v>
      </c>
      <c r="K9027" t="s">
        <v>39025</v>
      </c>
      <c r="M9027" t="s">
        <v>42201</v>
      </c>
      <c r="N9027" t="s">
        <v>43166</v>
      </c>
      <c r="O9027" t="s">
        <v>43167</v>
      </c>
      <c r="P9027">
        <v>0</v>
      </c>
      <c r="Q9027">
        <v>0</v>
      </c>
      <c r="R9027" t="s">
        <v>43174</v>
      </c>
      <c r="S9027" t="s">
        <v>43396</v>
      </c>
      <c r="T9027" t="s">
        <v>44717</v>
      </c>
      <c r="U9027" t="s">
        <v>52429</v>
      </c>
      <c r="W9027" t="s">
        <v>42201</v>
      </c>
      <c r="X9027" t="s">
        <v>43175</v>
      </c>
    </row>
    <row r="9028" spans="1:24">
      <c r="A9028">
        <f>HYPERLINK("https://www.philgeps.gov.ph/GEPSNONPILOT/Tender/SplashBidNoticeAbstractUI.aspx?menuIndex=3&amp;refID=7075986&amp;Result=3","7075986")</f>
        <v>0</v>
      </c>
      <c r="B9028" t="s">
        <v>2679</v>
      </c>
      <c r="C9028" t="s">
        <v>12015</v>
      </c>
      <c r="D9028" t="s">
        <v>17445</v>
      </c>
      <c r="E9028" t="s">
        <v>25278</v>
      </c>
      <c r="F9028" t="s">
        <v>30052</v>
      </c>
      <c r="G9028" t="s">
        <v>30058</v>
      </c>
      <c r="H9028" t="s">
        <v>30067</v>
      </c>
      <c r="I9028" t="s">
        <v>3693</v>
      </c>
      <c r="J9028" t="s">
        <v>35705</v>
      </c>
      <c r="K9028" t="s">
        <v>39086</v>
      </c>
      <c r="M9028" t="s">
        <v>42199</v>
      </c>
      <c r="N9028" t="s">
        <v>43166</v>
      </c>
      <c r="O9028" t="s">
        <v>43167</v>
      </c>
      <c r="P9028">
        <v>0</v>
      </c>
      <c r="Q9028">
        <v>1</v>
      </c>
      <c r="R9028" t="s">
        <v>43174</v>
      </c>
      <c r="S9028" t="s">
        <v>43396</v>
      </c>
      <c r="T9028" t="s">
        <v>44815</v>
      </c>
      <c r="U9028" t="s">
        <v>52417</v>
      </c>
      <c r="W9028" t="s">
        <v>42199</v>
      </c>
      <c r="X9028" t="s">
        <v>43175</v>
      </c>
    </row>
    <row r="9029" spans="1:24">
      <c r="A9029">
        <f>HYPERLINK("https://www.philgeps.gov.ph/GEPSNONPILOT/Tender/SplashBidNoticeAbstractUI.aspx?menuIndex=3&amp;refID=7075981&amp;Result=3","7075981")</f>
        <v>0</v>
      </c>
      <c r="B9029" t="s">
        <v>2433</v>
      </c>
      <c r="C9029" t="s">
        <v>12016</v>
      </c>
      <c r="D9029" t="s">
        <v>17435</v>
      </c>
      <c r="E9029" t="s">
        <v>25279</v>
      </c>
      <c r="F9029" t="s">
        <v>30052</v>
      </c>
      <c r="G9029" t="s">
        <v>30058</v>
      </c>
      <c r="H9029" t="s">
        <v>15498</v>
      </c>
      <c r="I9029" t="s">
        <v>30122</v>
      </c>
      <c r="J9029" t="s">
        <v>35706</v>
      </c>
      <c r="K9029" t="s">
        <v>39023</v>
      </c>
      <c r="M9029" t="s">
        <v>41931</v>
      </c>
      <c r="N9029" t="s">
        <v>43166</v>
      </c>
      <c r="O9029" t="s">
        <v>43167</v>
      </c>
      <c r="P9029">
        <v>0</v>
      </c>
      <c r="Q9029">
        <v>0</v>
      </c>
      <c r="R9029" t="s">
        <v>43174</v>
      </c>
      <c r="S9029" t="s">
        <v>43396</v>
      </c>
      <c r="T9029" t="s">
        <v>44678</v>
      </c>
      <c r="U9029" t="s">
        <v>51589</v>
      </c>
      <c r="W9029" t="s">
        <v>41931</v>
      </c>
      <c r="X9029" t="s">
        <v>43175</v>
      </c>
    </row>
    <row r="9030" spans="1:24">
      <c r="A9030">
        <f>HYPERLINK("https://www.philgeps.gov.ph/GEPSNONPILOT/Tender/SplashBidNoticeAbstractUI.aspx?menuIndex=3&amp;refID=7075966&amp;Result=3","7075966")</f>
        <v>0</v>
      </c>
      <c r="B9030" t="s">
        <v>1291</v>
      </c>
      <c r="C9030" t="s">
        <v>12017</v>
      </c>
      <c r="D9030" t="s">
        <v>17464</v>
      </c>
      <c r="E9030" t="s">
        <v>25280</v>
      </c>
      <c r="F9030" t="s">
        <v>30052</v>
      </c>
      <c r="G9030" t="s">
        <v>30063</v>
      </c>
      <c r="H9030" t="s">
        <v>30067</v>
      </c>
      <c r="I9030" t="s">
        <v>3693</v>
      </c>
      <c r="J9030" t="s">
        <v>35707</v>
      </c>
      <c r="K9030" t="s">
        <v>39022</v>
      </c>
      <c r="M9030" t="s">
        <v>40657</v>
      </c>
      <c r="N9030" t="s">
        <v>43166</v>
      </c>
      <c r="O9030" t="s">
        <v>43167</v>
      </c>
      <c r="P9030">
        <v>0</v>
      </c>
      <c r="Q9030">
        <v>25</v>
      </c>
      <c r="R9030" t="s">
        <v>43174</v>
      </c>
      <c r="S9030" t="s">
        <v>43396</v>
      </c>
      <c r="T9030" t="s">
        <v>44758</v>
      </c>
      <c r="U9030" t="s">
        <v>52430</v>
      </c>
      <c r="V9030" t="s">
        <v>57777</v>
      </c>
      <c r="W9030" t="s">
        <v>40657</v>
      </c>
      <c r="X9030" t="s">
        <v>43175</v>
      </c>
    </row>
    <row r="9031" spans="1:24">
      <c r="A9031">
        <f>HYPERLINK("https://www.philgeps.gov.ph/GEPSNONPILOT/Tender/SplashBidNoticeAbstractUI.aspx?menuIndex=3&amp;refID=7075979&amp;Result=3","7075979")</f>
        <v>0</v>
      </c>
      <c r="B9031" t="s">
        <v>2670</v>
      </c>
      <c r="C9031" t="s">
        <v>12018</v>
      </c>
      <c r="D9031" t="s">
        <v>17456</v>
      </c>
      <c r="E9031" t="s">
        <v>25281</v>
      </c>
      <c r="F9031" t="s">
        <v>30052</v>
      </c>
      <c r="G9031" t="s">
        <v>30058</v>
      </c>
      <c r="H9031" t="s">
        <v>15498</v>
      </c>
      <c r="I9031" t="s">
        <v>3736</v>
      </c>
      <c r="J9031" t="s">
        <v>35708</v>
      </c>
      <c r="K9031" t="s">
        <v>39025</v>
      </c>
      <c r="M9031" t="s">
        <v>42189</v>
      </c>
      <c r="N9031" t="s">
        <v>43166</v>
      </c>
      <c r="O9031" t="s">
        <v>43167</v>
      </c>
      <c r="P9031">
        <v>0</v>
      </c>
      <c r="Q9031">
        <v>2</v>
      </c>
      <c r="R9031" t="s">
        <v>43174</v>
      </c>
      <c r="S9031" t="s">
        <v>43396</v>
      </c>
      <c r="T9031" t="s">
        <v>45021</v>
      </c>
      <c r="U9031" t="s">
        <v>52431</v>
      </c>
      <c r="W9031" t="s">
        <v>42189</v>
      </c>
      <c r="X9031" t="s">
        <v>43175</v>
      </c>
    </row>
    <row r="9032" spans="1:24">
      <c r="A9032">
        <f>HYPERLINK("https://www.philgeps.gov.ph/GEPSNONPILOT/Tender/SplashBidNoticeAbstractUI.aspx?menuIndex=3&amp;refID=7075977&amp;Result=3","7075977")</f>
        <v>0</v>
      </c>
      <c r="B9032" t="s">
        <v>2649</v>
      </c>
      <c r="C9032" t="s">
        <v>12019</v>
      </c>
      <c r="E9032" t="s">
        <v>25282</v>
      </c>
      <c r="F9032" t="s">
        <v>30052</v>
      </c>
      <c r="G9032" t="s">
        <v>30058</v>
      </c>
      <c r="H9032" t="s">
        <v>15498</v>
      </c>
      <c r="I9032" t="s">
        <v>30088</v>
      </c>
      <c r="J9032" t="s">
        <v>30222</v>
      </c>
      <c r="K9032" t="s">
        <v>39025</v>
      </c>
      <c r="M9032" t="s">
        <v>42191</v>
      </c>
      <c r="N9032" t="s">
        <v>43166</v>
      </c>
      <c r="O9032" t="s">
        <v>43167</v>
      </c>
      <c r="Q9032">
        <v>8</v>
      </c>
      <c r="R9032" t="s">
        <v>43174</v>
      </c>
      <c r="S9032" t="s">
        <v>43454</v>
      </c>
      <c r="T9032" t="s">
        <v>44934</v>
      </c>
      <c r="U9032" t="s">
        <v>52315</v>
      </c>
      <c r="V9032" t="s">
        <v>57758</v>
      </c>
      <c r="W9032" t="s">
        <v>42191</v>
      </c>
      <c r="X9032" t="s">
        <v>43175</v>
      </c>
    </row>
    <row r="9033" spans="1:24">
      <c r="A9033">
        <f>HYPERLINK("https://www.philgeps.gov.ph/GEPSNONPILOT/Tender/SplashBidNoticeAbstractUI.aspx?menuIndex=3&amp;refID=7075976&amp;Result=3","7075976")</f>
        <v>0</v>
      </c>
      <c r="B9033" t="s">
        <v>2676</v>
      </c>
      <c r="C9033" t="s">
        <v>12020</v>
      </c>
      <c r="D9033" t="s">
        <v>17448</v>
      </c>
      <c r="E9033" t="s">
        <v>25283</v>
      </c>
      <c r="F9033" t="s">
        <v>30052</v>
      </c>
      <c r="G9033" t="s">
        <v>30058</v>
      </c>
      <c r="H9033" t="s">
        <v>15498</v>
      </c>
      <c r="I9033" t="s">
        <v>30084</v>
      </c>
      <c r="J9033" t="s">
        <v>30321</v>
      </c>
      <c r="K9033" t="s">
        <v>39025</v>
      </c>
      <c r="L9033" t="s">
        <v>2676</v>
      </c>
      <c r="M9033" t="s">
        <v>42196</v>
      </c>
      <c r="N9033" t="s">
        <v>43166</v>
      </c>
      <c r="O9033" t="s">
        <v>43167</v>
      </c>
      <c r="P9033">
        <v>0</v>
      </c>
      <c r="Q9033">
        <v>16</v>
      </c>
      <c r="R9033" t="s">
        <v>43174</v>
      </c>
      <c r="S9033" t="s">
        <v>43396</v>
      </c>
      <c r="T9033" t="s">
        <v>44807</v>
      </c>
      <c r="U9033" t="s">
        <v>52432</v>
      </c>
      <c r="W9033" t="s">
        <v>42196</v>
      </c>
      <c r="X9033" t="s">
        <v>43175</v>
      </c>
    </row>
    <row r="9034" spans="1:24">
      <c r="A9034">
        <f>HYPERLINK("https://www.philgeps.gov.ph/GEPSNONPILOT/Tender/SplashBidNoticeAbstractUI.aspx?menuIndex=3&amp;refID=7075983&amp;Result=3","7075983")</f>
        <v>0</v>
      </c>
      <c r="B9034" t="s">
        <v>2681</v>
      </c>
      <c r="C9034" t="s">
        <v>12021</v>
      </c>
      <c r="D9034" t="s">
        <v>17468</v>
      </c>
      <c r="E9034" t="s">
        <v>20306</v>
      </c>
      <c r="F9034" t="s">
        <v>30055</v>
      </c>
      <c r="G9034" t="s">
        <v>30058</v>
      </c>
      <c r="H9034" t="s">
        <v>15498</v>
      </c>
      <c r="I9034" t="s">
        <v>3736</v>
      </c>
      <c r="J9034" t="s">
        <v>33719</v>
      </c>
      <c r="K9034" t="s">
        <v>39034</v>
      </c>
      <c r="M9034" t="s">
        <v>42202</v>
      </c>
      <c r="N9034" t="s">
        <v>43166</v>
      </c>
      <c r="O9034" t="s">
        <v>43167</v>
      </c>
      <c r="P9034">
        <v>0</v>
      </c>
      <c r="Q9034">
        <v>1</v>
      </c>
      <c r="R9034" t="s">
        <v>43174</v>
      </c>
      <c r="S9034" t="s">
        <v>43396</v>
      </c>
      <c r="T9034" t="s">
        <v>44704</v>
      </c>
      <c r="U9034" t="s">
        <v>52433</v>
      </c>
      <c r="W9034" t="s">
        <v>42202</v>
      </c>
      <c r="X9034" t="s">
        <v>43175</v>
      </c>
    </row>
    <row r="9035" spans="1:24">
      <c r="A9035">
        <f>HYPERLINK("https://www.philgeps.gov.ph/GEPSNONPILOT/Tender/SplashBidNoticeAbstractUI.aspx?menuIndex=3&amp;refID=7076022&amp;Result=3","7076022")</f>
        <v>0</v>
      </c>
      <c r="B9035" t="s">
        <v>2627</v>
      </c>
      <c r="C9035" t="s">
        <v>12022</v>
      </c>
      <c r="D9035" t="s">
        <v>17446</v>
      </c>
      <c r="E9035" t="s">
        <v>25223</v>
      </c>
      <c r="F9035" t="s">
        <v>30052</v>
      </c>
      <c r="G9035" t="s">
        <v>30058</v>
      </c>
      <c r="H9035" t="s">
        <v>15498</v>
      </c>
      <c r="I9035" t="s">
        <v>30074</v>
      </c>
      <c r="J9035" t="s">
        <v>35662</v>
      </c>
      <c r="K9035" t="s">
        <v>39046</v>
      </c>
      <c r="M9035" t="s">
        <v>42141</v>
      </c>
      <c r="N9035" t="s">
        <v>43166</v>
      </c>
      <c r="O9035" t="s">
        <v>43167</v>
      </c>
      <c r="P9035">
        <v>0</v>
      </c>
      <c r="Q9035">
        <v>8</v>
      </c>
      <c r="R9035" t="s">
        <v>43174</v>
      </c>
      <c r="S9035" t="s">
        <v>43396</v>
      </c>
      <c r="T9035" t="s">
        <v>44725</v>
      </c>
      <c r="U9035" t="s">
        <v>52426</v>
      </c>
      <c r="W9035" t="s">
        <v>58683</v>
      </c>
      <c r="X9035" t="s">
        <v>43175</v>
      </c>
    </row>
    <row r="9036" spans="1:24">
      <c r="A9036">
        <f>HYPERLINK("https://www.philgeps.gov.ph/GEPSNONPILOT/Tender/SplashBidNoticeAbstractUI.aspx?menuIndex=3&amp;refID=7075717&amp;Result=3","7075717")</f>
        <v>0</v>
      </c>
      <c r="B9036" t="s">
        <v>2318</v>
      </c>
      <c r="C9036" t="s">
        <v>12023</v>
      </c>
      <c r="D9036" t="s">
        <v>17473</v>
      </c>
      <c r="E9036" t="s">
        <v>25284</v>
      </c>
      <c r="F9036" t="s">
        <v>30052</v>
      </c>
      <c r="G9036" t="s">
        <v>30059</v>
      </c>
      <c r="H9036" t="s">
        <v>15498</v>
      </c>
      <c r="I9036" t="s">
        <v>30084</v>
      </c>
      <c r="J9036" t="s">
        <v>30248</v>
      </c>
      <c r="K9036" t="s">
        <v>39029</v>
      </c>
      <c r="M9036" t="s">
        <v>41804</v>
      </c>
      <c r="N9036" t="s">
        <v>43166</v>
      </c>
      <c r="O9036" t="s">
        <v>43167</v>
      </c>
      <c r="P9036">
        <v>0</v>
      </c>
      <c r="Q9036">
        <v>1</v>
      </c>
      <c r="R9036" t="s">
        <v>43174</v>
      </c>
      <c r="S9036" t="s">
        <v>43396</v>
      </c>
      <c r="T9036" t="s">
        <v>44856</v>
      </c>
      <c r="U9036" t="s">
        <v>52434</v>
      </c>
      <c r="W9036" t="s">
        <v>41804</v>
      </c>
      <c r="X9036" t="s">
        <v>43175</v>
      </c>
    </row>
    <row r="9037" spans="1:24">
      <c r="A9037">
        <f>HYPERLINK("https://www.philgeps.gov.ph/GEPSNONPILOT/Tender/SplashBidNoticeAbstractUI.aspx?menuIndex=3&amp;refID=7076018&amp;Result=3","7076018")</f>
        <v>0</v>
      </c>
      <c r="B9037" t="s">
        <v>2433</v>
      </c>
      <c r="C9037" t="s">
        <v>12024</v>
      </c>
      <c r="D9037" t="s">
        <v>17435</v>
      </c>
      <c r="E9037" t="s">
        <v>25285</v>
      </c>
      <c r="F9037" t="s">
        <v>30052</v>
      </c>
      <c r="G9037" t="s">
        <v>30058</v>
      </c>
      <c r="H9037" t="s">
        <v>30067</v>
      </c>
      <c r="I9037" t="s">
        <v>3693</v>
      </c>
      <c r="J9037" t="s">
        <v>35709</v>
      </c>
      <c r="K9037" t="s">
        <v>39053</v>
      </c>
      <c r="M9037" t="s">
        <v>41931</v>
      </c>
      <c r="N9037" t="s">
        <v>43166</v>
      </c>
      <c r="O9037" t="s">
        <v>43167</v>
      </c>
      <c r="P9037">
        <v>0</v>
      </c>
      <c r="Q9037">
        <v>2</v>
      </c>
      <c r="R9037" t="s">
        <v>43174</v>
      </c>
      <c r="S9037" t="s">
        <v>43396</v>
      </c>
      <c r="T9037" t="s">
        <v>44678</v>
      </c>
      <c r="U9037" t="s">
        <v>52435</v>
      </c>
      <c r="W9037" t="s">
        <v>41931</v>
      </c>
      <c r="X9037" t="s">
        <v>43175</v>
      </c>
    </row>
    <row r="9038" spans="1:24">
      <c r="A9038">
        <f>HYPERLINK("https://www.philgeps.gov.ph/GEPSNONPILOT/Tender/SplashBidNoticeAbstractUI.aspx?menuIndex=3&amp;refID=7076017&amp;Result=3","7076017")</f>
        <v>0</v>
      </c>
      <c r="B9038" t="s">
        <v>2417</v>
      </c>
      <c r="C9038" t="s">
        <v>12025</v>
      </c>
      <c r="D9038" t="s">
        <v>17414</v>
      </c>
      <c r="E9038" t="s">
        <v>25286</v>
      </c>
      <c r="F9038" t="s">
        <v>30052</v>
      </c>
      <c r="G9038" t="s">
        <v>30058</v>
      </c>
      <c r="H9038" t="s">
        <v>15498</v>
      </c>
      <c r="I9038" t="s">
        <v>3736</v>
      </c>
      <c r="J9038" t="s">
        <v>35710</v>
      </c>
      <c r="K9038" t="s">
        <v>39029</v>
      </c>
      <c r="M9038" t="s">
        <v>41914</v>
      </c>
      <c r="N9038" t="s">
        <v>43166</v>
      </c>
      <c r="O9038" t="s">
        <v>43167</v>
      </c>
      <c r="P9038">
        <v>0</v>
      </c>
      <c r="Q9038">
        <v>0</v>
      </c>
      <c r="R9038" t="s">
        <v>43174</v>
      </c>
      <c r="S9038" t="s">
        <v>43396</v>
      </c>
      <c r="T9038" t="s">
        <v>44815</v>
      </c>
      <c r="U9038" t="s">
        <v>51539</v>
      </c>
      <c r="W9038" t="s">
        <v>41914</v>
      </c>
      <c r="X9038" t="s">
        <v>43175</v>
      </c>
    </row>
    <row r="9039" spans="1:24">
      <c r="A9039">
        <f>HYPERLINK("https://www.philgeps.gov.ph/GEPSNONPILOT/Tender/SplashBidNoticeAbstractUI.aspx?menuIndex=3&amp;refID=7076013&amp;Result=3","7076013")</f>
        <v>0</v>
      </c>
      <c r="B9039" t="s">
        <v>2679</v>
      </c>
      <c r="C9039" t="s">
        <v>12026</v>
      </c>
      <c r="D9039" t="s">
        <v>17445</v>
      </c>
      <c r="E9039" t="s">
        <v>25287</v>
      </c>
      <c r="F9039" t="s">
        <v>30052</v>
      </c>
      <c r="G9039" t="s">
        <v>30058</v>
      </c>
      <c r="H9039" t="s">
        <v>15498</v>
      </c>
      <c r="I9039" t="s">
        <v>4650</v>
      </c>
      <c r="J9039" t="s">
        <v>35711</v>
      </c>
      <c r="K9039" t="s">
        <v>39029</v>
      </c>
      <c r="M9039" t="s">
        <v>42199</v>
      </c>
      <c r="N9039" t="s">
        <v>43166</v>
      </c>
      <c r="O9039" t="s">
        <v>43167</v>
      </c>
      <c r="P9039">
        <v>0</v>
      </c>
      <c r="Q9039">
        <v>8</v>
      </c>
      <c r="R9039" t="s">
        <v>43174</v>
      </c>
      <c r="S9039" t="s">
        <v>43396</v>
      </c>
      <c r="T9039" t="s">
        <v>44815</v>
      </c>
      <c r="U9039" t="s">
        <v>52417</v>
      </c>
      <c r="W9039" t="s">
        <v>42199</v>
      </c>
      <c r="X9039" t="s">
        <v>43175</v>
      </c>
    </row>
    <row r="9040" spans="1:24">
      <c r="A9040">
        <f>HYPERLINK("https://www.philgeps.gov.ph/GEPSNONPILOT/Tender/SplashBidNoticeAbstractUI.aspx?menuIndex=3&amp;refID=7075563&amp;Result=3","7075563")</f>
        <v>0</v>
      </c>
      <c r="B9040" t="s">
        <v>74</v>
      </c>
      <c r="C9040" t="s">
        <v>12027</v>
      </c>
      <c r="E9040" t="s">
        <v>25288</v>
      </c>
      <c r="F9040" t="s">
        <v>30052</v>
      </c>
      <c r="G9040" t="s">
        <v>30058</v>
      </c>
      <c r="H9040" t="s">
        <v>30067</v>
      </c>
      <c r="I9040" t="s">
        <v>3693</v>
      </c>
      <c r="J9040" t="s">
        <v>35712</v>
      </c>
      <c r="K9040" t="s">
        <v>39025</v>
      </c>
      <c r="M9040" t="s">
        <v>39363</v>
      </c>
      <c r="N9040" t="s">
        <v>43166</v>
      </c>
      <c r="O9040" t="s">
        <v>43167</v>
      </c>
      <c r="Q9040">
        <v>0</v>
      </c>
      <c r="R9040" t="s">
        <v>43174</v>
      </c>
      <c r="S9040" t="s">
        <v>43455</v>
      </c>
      <c r="T9040" t="s">
        <v>44725</v>
      </c>
      <c r="U9040" t="s">
        <v>52436</v>
      </c>
      <c r="W9040" t="s">
        <v>39363</v>
      </c>
      <c r="X9040" t="s">
        <v>43175</v>
      </c>
    </row>
    <row r="9041" spans="1:24">
      <c r="A9041">
        <f>HYPERLINK("https://www.philgeps.gov.ph/GEPSNONPILOT/Tender/SplashBidNoticeAbstractUI.aspx?menuIndex=3&amp;refID=7075975&amp;Result=3","7075975")</f>
        <v>0</v>
      </c>
      <c r="B9041" t="s">
        <v>2679</v>
      </c>
      <c r="C9041" t="s">
        <v>12028</v>
      </c>
      <c r="D9041" t="s">
        <v>17445</v>
      </c>
      <c r="E9041" t="s">
        <v>25289</v>
      </c>
      <c r="F9041" t="s">
        <v>30052</v>
      </c>
      <c r="G9041" t="s">
        <v>30058</v>
      </c>
      <c r="H9041" t="s">
        <v>30067</v>
      </c>
      <c r="I9041" t="s">
        <v>3693</v>
      </c>
      <c r="J9041" t="s">
        <v>35713</v>
      </c>
      <c r="K9041" t="s">
        <v>39031</v>
      </c>
      <c r="M9041" t="s">
        <v>42199</v>
      </c>
      <c r="N9041" t="s">
        <v>43166</v>
      </c>
      <c r="O9041" t="s">
        <v>43167</v>
      </c>
      <c r="P9041">
        <v>0</v>
      </c>
      <c r="Q9041">
        <v>2</v>
      </c>
      <c r="R9041" t="s">
        <v>43174</v>
      </c>
      <c r="S9041" t="s">
        <v>43396</v>
      </c>
      <c r="T9041" t="s">
        <v>44815</v>
      </c>
      <c r="U9041" t="s">
        <v>52417</v>
      </c>
      <c r="W9041" t="s">
        <v>42199</v>
      </c>
      <c r="X9041" t="s">
        <v>43175</v>
      </c>
    </row>
    <row r="9042" spans="1:24">
      <c r="A9042">
        <f>HYPERLINK("https://www.philgeps.gov.ph/GEPSNONPILOT/Tender/SplashBidNoticeAbstractUI.aspx?menuIndex=3&amp;refID=7076011&amp;Result=3","7076011")</f>
        <v>0</v>
      </c>
      <c r="B9042" t="s">
        <v>2433</v>
      </c>
      <c r="C9042" t="s">
        <v>12029</v>
      </c>
      <c r="D9042" t="s">
        <v>17435</v>
      </c>
      <c r="E9042" t="s">
        <v>25290</v>
      </c>
      <c r="F9042" t="s">
        <v>30052</v>
      </c>
      <c r="G9042" t="s">
        <v>30058</v>
      </c>
      <c r="H9042" t="s">
        <v>15498</v>
      </c>
      <c r="I9042" t="s">
        <v>3736</v>
      </c>
      <c r="J9042" t="s">
        <v>35714</v>
      </c>
      <c r="K9042" t="s">
        <v>39029</v>
      </c>
      <c r="M9042" t="s">
        <v>41931</v>
      </c>
      <c r="N9042" t="s">
        <v>43166</v>
      </c>
      <c r="O9042" t="s">
        <v>43167</v>
      </c>
      <c r="P9042">
        <v>0</v>
      </c>
      <c r="Q9042">
        <v>1</v>
      </c>
      <c r="R9042" t="s">
        <v>43174</v>
      </c>
      <c r="S9042" t="s">
        <v>43396</v>
      </c>
      <c r="T9042" t="s">
        <v>44678</v>
      </c>
      <c r="U9042" t="s">
        <v>51589</v>
      </c>
      <c r="W9042" t="s">
        <v>41931</v>
      </c>
      <c r="X9042" t="s">
        <v>43175</v>
      </c>
    </row>
    <row r="9043" spans="1:24">
      <c r="A9043">
        <f>HYPERLINK("https://www.philgeps.gov.ph/GEPSNONPILOT/Tender/SplashBidNoticeAbstractUI.aspx?menuIndex=3&amp;refID=7076008&amp;Result=3","7076008")</f>
        <v>0</v>
      </c>
      <c r="B9043" t="s">
        <v>2670</v>
      </c>
      <c r="C9043" t="s">
        <v>5081</v>
      </c>
      <c r="D9043" t="s">
        <v>17456</v>
      </c>
      <c r="E9043" t="s">
        <v>25291</v>
      </c>
      <c r="F9043" t="s">
        <v>30052</v>
      </c>
      <c r="G9043" t="s">
        <v>30058</v>
      </c>
      <c r="H9043" t="s">
        <v>30067</v>
      </c>
      <c r="I9043" t="s">
        <v>3693</v>
      </c>
      <c r="J9043" t="s">
        <v>30555</v>
      </c>
      <c r="K9043" t="s">
        <v>39025</v>
      </c>
      <c r="M9043" t="s">
        <v>42189</v>
      </c>
      <c r="N9043" t="s">
        <v>43166</v>
      </c>
      <c r="O9043" t="s">
        <v>43167</v>
      </c>
      <c r="P9043">
        <v>0</v>
      </c>
      <c r="Q9043">
        <v>1</v>
      </c>
      <c r="R9043" t="s">
        <v>43174</v>
      </c>
      <c r="S9043" t="s">
        <v>43396</v>
      </c>
      <c r="T9043" t="s">
        <v>45021</v>
      </c>
      <c r="U9043" t="s">
        <v>52437</v>
      </c>
      <c r="W9043" t="s">
        <v>42189</v>
      </c>
      <c r="X9043" t="s">
        <v>43175</v>
      </c>
    </row>
    <row r="9044" spans="1:24">
      <c r="A9044">
        <f>HYPERLINK("https://www.philgeps.gov.ph/GEPSNONPILOT/Tender/SplashBidNoticeAbstractUI.aspx?menuIndex=3&amp;refID=7076007&amp;Result=3","7076007")</f>
        <v>0</v>
      </c>
      <c r="B9044" t="s">
        <v>2679</v>
      </c>
      <c r="C9044" t="s">
        <v>12030</v>
      </c>
      <c r="D9044" t="s">
        <v>17445</v>
      </c>
      <c r="E9044" t="s">
        <v>25292</v>
      </c>
      <c r="F9044" t="s">
        <v>30052</v>
      </c>
      <c r="G9044" t="s">
        <v>30058</v>
      </c>
      <c r="H9044" t="s">
        <v>30067</v>
      </c>
      <c r="I9044" t="s">
        <v>3693</v>
      </c>
      <c r="J9044" t="s">
        <v>35715</v>
      </c>
      <c r="K9044" t="s">
        <v>39023</v>
      </c>
      <c r="M9044" t="s">
        <v>42199</v>
      </c>
      <c r="N9044" t="s">
        <v>43166</v>
      </c>
      <c r="O9044" t="s">
        <v>43167</v>
      </c>
      <c r="P9044">
        <v>0</v>
      </c>
      <c r="Q9044">
        <v>1</v>
      </c>
      <c r="R9044" t="s">
        <v>43174</v>
      </c>
      <c r="S9044" t="s">
        <v>43396</v>
      </c>
      <c r="T9044" t="s">
        <v>44815</v>
      </c>
      <c r="U9044" t="s">
        <v>52417</v>
      </c>
      <c r="W9044" t="s">
        <v>42199</v>
      </c>
      <c r="X9044" t="s">
        <v>43175</v>
      </c>
    </row>
    <row r="9045" spans="1:24">
      <c r="A9045">
        <f>HYPERLINK("https://www.philgeps.gov.ph/GEPSNONPILOT/Tender/SplashBidNoticeAbstractUI.aspx?menuIndex=3&amp;refID=7076004&amp;Result=3","7076004")</f>
        <v>0</v>
      </c>
      <c r="B9045" t="s">
        <v>2682</v>
      </c>
      <c r="C9045" t="s">
        <v>12031</v>
      </c>
      <c r="D9045" t="s">
        <v>17441</v>
      </c>
      <c r="E9045" t="s">
        <v>17715</v>
      </c>
      <c r="F9045" t="s">
        <v>30052</v>
      </c>
      <c r="G9045" t="s">
        <v>30058</v>
      </c>
      <c r="H9045" t="s">
        <v>15498</v>
      </c>
      <c r="I9045" t="s">
        <v>3736</v>
      </c>
      <c r="J9045" t="s">
        <v>35716</v>
      </c>
      <c r="K9045" t="s">
        <v>39036</v>
      </c>
      <c r="M9045" t="s">
        <v>42203</v>
      </c>
      <c r="N9045" t="s">
        <v>43166</v>
      </c>
      <c r="O9045" t="s">
        <v>43167</v>
      </c>
      <c r="P9045">
        <v>0</v>
      </c>
      <c r="Q9045">
        <v>2</v>
      </c>
      <c r="R9045" t="s">
        <v>43174</v>
      </c>
      <c r="S9045" t="s">
        <v>43396</v>
      </c>
      <c r="T9045" t="s">
        <v>44820</v>
      </c>
      <c r="U9045" t="s">
        <v>52438</v>
      </c>
      <c r="W9045" t="s">
        <v>42203</v>
      </c>
      <c r="X9045" t="s">
        <v>43175</v>
      </c>
    </row>
    <row r="9046" spans="1:24">
      <c r="A9046">
        <f>HYPERLINK("https://www.philgeps.gov.ph/GEPSNONPILOT/Tender/SplashBidNoticeAbstractUI.aspx?menuIndex=3&amp;refID=7076003&amp;Result=3","7076003")</f>
        <v>0</v>
      </c>
      <c r="B9046" t="s">
        <v>2649</v>
      </c>
      <c r="C9046" t="s">
        <v>12032</v>
      </c>
      <c r="E9046" t="s">
        <v>25293</v>
      </c>
      <c r="F9046" t="s">
        <v>30052</v>
      </c>
      <c r="G9046" t="s">
        <v>30058</v>
      </c>
      <c r="H9046" t="s">
        <v>15498</v>
      </c>
      <c r="I9046" t="s">
        <v>30088</v>
      </c>
      <c r="J9046" t="s">
        <v>33939</v>
      </c>
      <c r="K9046" t="s">
        <v>39025</v>
      </c>
      <c r="M9046" t="s">
        <v>42200</v>
      </c>
      <c r="N9046" t="s">
        <v>43166</v>
      </c>
      <c r="O9046" t="s">
        <v>43167</v>
      </c>
      <c r="Q9046">
        <v>16</v>
      </c>
      <c r="R9046" t="s">
        <v>43174</v>
      </c>
      <c r="S9046" t="s">
        <v>43456</v>
      </c>
      <c r="T9046" t="s">
        <v>44752</v>
      </c>
      <c r="U9046" t="s">
        <v>52315</v>
      </c>
      <c r="V9046" t="s">
        <v>57758</v>
      </c>
      <c r="W9046" t="s">
        <v>42200</v>
      </c>
      <c r="X9046" t="s">
        <v>43175</v>
      </c>
    </row>
    <row r="9047" spans="1:24">
      <c r="A9047">
        <f>HYPERLINK("https://www.philgeps.gov.ph/GEPSNONPILOT/Tender/SplashBidNoticeAbstractUI.aspx?menuIndex=3&amp;refID=7076002&amp;Result=3","7076002")</f>
        <v>0</v>
      </c>
      <c r="B9047" t="s">
        <v>1065</v>
      </c>
      <c r="C9047" t="s">
        <v>12033</v>
      </c>
      <c r="D9047" t="s">
        <v>17456</v>
      </c>
      <c r="E9047" t="s">
        <v>17838</v>
      </c>
      <c r="F9047" t="s">
        <v>30052</v>
      </c>
      <c r="G9047" t="s">
        <v>30058</v>
      </c>
      <c r="H9047" t="s">
        <v>15498</v>
      </c>
      <c r="I9047" t="s">
        <v>3736</v>
      </c>
      <c r="J9047" t="s">
        <v>35717</v>
      </c>
      <c r="K9047" t="s">
        <v>39034</v>
      </c>
      <c r="M9047" t="s">
        <v>40400</v>
      </c>
      <c r="N9047" t="s">
        <v>43166</v>
      </c>
      <c r="O9047" t="s">
        <v>43167</v>
      </c>
      <c r="P9047">
        <v>0</v>
      </c>
      <c r="Q9047">
        <v>1</v>
      </c>
      <c r="R9047" t="s">
        <v>43174</v>
      </c>
      <c r="S9047" t="s">
        <v>43396</v>
      </c>
      <c r="T9047" t="s">
        <v>45000</v>
      </c>
      <c r="U9047" t="s">
        <v>52439</v>
      </c>
      <c r="W9047" t="s">
        <v>40400</v>
      </c>
      <c r="X9047" t="s">
        <v>43175</v>
      </c>
    </row>
    <row r="9048" spans="1:24">
      <c r="A9048">
        <f>HYPERLINK("https://www.philgeps.gov.ph/GEPSNONPILOT/Tender/SplashBidNoticeAbstractUI.aspx?menuIndex=3&amp;refID=7076055&amp;Result=3","7076055")</f>
        <v>0</v>
      </c>
      <c r="B9048" t="s">
        <v>1011</v>
      </c>
      <c r="C9048" t="s">
        <v>12034</v>
      </c>
      <c r="D9048" t="s">
        <v>17476</v>
      </c>
      <c r="E9048" t="s">
        <v>25294</v>
      </c>
      <c r="F9048" t="s">
        <v>30052</v>
      </c>
      <c r="G9048" t="s">
        <v>30061</v>
      </c>
      <c r="H9048" t="s">
        <v>15498</v>
      </c>
      <c r="I9048" t="s">
        <v>3736</v>
      </c>
      <c r="J9048" t="s">
        <v>35718</v>
      </c>
      <c r="K9048" t="s">
        <v>39029</v>
      </c>
      <c r="M9048" t="s">
        <v>40340</v>
      </c>
      <c r="N9048" t="s">
        <v>43166</v>
      </c>
      <c r="O9048" t="s">
        <v>43167</v>
      </c>
      <c r="P9048">
        <v>0</v>
      </c>
      <c r="Q9048">
        <v>0</v>
      </c>
      <c r="R9048" t="s">
        <v>43174</v>
      </c>
      <c r="S9048" t="s">
        <v>43396</v>
      </c>
      <c r="T9048" t="s">
        <v>44717</v>
      </c>
      <c r="U9048" t="s">
        <v>52440</v>
      </c>
      <c r="W9048" t="s">
        <v>40340</v>
      </c>
      <c r="X9048" t="s">
        <v>43175</v>
      </c>
    </row>
    <row r="9049" spans="1:24">
      <c r="A9049">
        <f>HYPERLINK("https://www.philgeps.gov.ph/GEPSNONPILOT/Tender/SplashBidNoticeAbstractUI.aspx?menuIndex=3&amp;refID=7076012&amp;Result=3","7076012")</f>
        <v>0</v>
      </c>
      <c r="B9049" t="s">
        <v>2683</v>
      </c>
      <c r="C9049" t="s">
        <v>12035</v>
      </c>
      <c r="E9049" t="s">
        <v>25295</v>
      </c>
      <c r="F9049" t="s">
        <v>30052</v>
      </c>
      <c r="G9049" t="s">
        <v>30058</v>
      </c>
      <c r="H9049" t="s">
        <v>15498</v>
      </c>
      <c r="I9049" t="s">
        <v>3736</v>
      </c>
      <c r="J9049" t="s">
        <v>30252</v>
      </c>
      <c r="K9049" t="s">
        <v>39029</v>
      </c>
      <c r="M9049" t="s">
        <v>42204</v>
      </c>
      <c r="N9049" t="s">
        <v>43166</v>
      </c>
      <c r="O9049" t="s">
        <v>43167</v>
      </c>
      <c r="P9049">
        <v>0</v>
      </c>
      <c r="Q9049">
        <v>0</v>
      </c>
      <c r="R9049" t="s">
        <v>43174</v>
      </c>
      <c r="S9049" t="s">
        <v>43396</v>
      </c>
      <c r="T9049" t="s">
        <v>45047</v>
      </c>
      <c r="U9049" t="s">
        <v>52441</v>
      </c>
      <c r="V9049" t="s">
        <v>57778</v>
      </c>
      <c r="W9049" t="s">
        <v>42204</v>
      </c>
      <c r="X9049" t="s">
        <v>43175</v>
      </c>
    </row>
    <row r="9050" spans="1:24">
      <c r="A9050">
        <f>HYPERLINK("https://www.philgeps.gov.ph/GEPSNONPILOT/Tender/SplashBidNoticeAbstractUI.aspx?menuIndex=3&amp;refID=7076058&amp;Result=3","7076058")</f>
        <v>0</v>
      </c>
      <c r="B9050" t="s">
        <v>1011</v>
      </c>
      <c r="C9050" t="s">
        <v>12036</v>
      </c>
      <c r="D9050" t="s">
        <v>17476</v>
      </c>
      <c r="E9050" t="s">
        <v>25296</v>
      </c>
      <c r="F9050" t="s">
        <v>30052</v>
      </c>
      <c r="G9050" t="s">
        <v>30061</v>
      </c>
      <c r="H9050" t="s">
        <v>15498</v>
      </c>
      <c r="I9050" t="s">
        <v>4650</v>
      </c>
      <c r="J9050" t="s">
        <v>35719</v>
      </c>
      <c r="K9050" t="s">
        <v>39029</v>
      </c>
      <c r="M9050" t="s">
        <v>40340</v>
      </c>
      <c r="N9050" t="s">
        <v>43166</v>
      </c>
      <c r="O9050" t="s">
        <v>43167</v>
      </c>
      <c r="P9050">
        <v>0</v>
      </c>
      <c r="Q9050">
        <v>4</v>
      </c>
      <c r="R9050" t="s">
        <v>43174</v>
      </c>
      <c r="S9050" t="s">
        <v>43396</v>
      </c>
      <c r="T9050" t="s">
        <v>44717</v>
      </c>
      <c r="U9050" t="s">
        <v>52442</v>
      </c>
      <c r="W9050" t="s">
        <v>40340</v>
      </c>
      <c r="X9050" t="s">
        <v>43175</v>
      </c>
    </row>
    <row r="9051" spans="1:24">
      <c r="A9051">
        <f>HYPERLINK("https://www.philgeps.gov.ph/GEPSNONPILOT/Tender/SplashBidNoticeAbstractUI.aspx?menuIndex=3&amp;refID=7076010&amp;Result=3","7076010")</f>
        <v>0</v>
      </c>
      <c r="B9051" t="s">
        <v>2649</v>
      </c>
      <c r="C9051" t="s">
        <v>12037</v>
      </c>
      <c r="E9051" t="s">
        <v>25297</v>
      </c>
      <c r="F9051" t="s">
        <v>30052</v>
      </c>
      <c r="G9051" t="s">
        <v>30058</v>
      </c>
      <c r="H9051" t="s">
        <v>15498</v>
      </c>
      <c r="I9051" t="s">
        <v>30088</v>
      </c>
      <c r="J9051" t="s">
        <v>30222</v>
      </c>
      <c r="K9051" t="s">
        <v>39025</v>
      </c>
      <c r="M9051" t="s">
        <v>42200</v>
      </c>
      <c r="N9051" t="s">
        <v>43166</v>
      </c>
      <c r="O9051" t="s">
        <v>43167</v>
      </c>
      <c r="Q9051">
        <v>9</v>
      </c>
      <c r="R9051" t="s">
        <v>43174</v>
      </c>
      <c r="S9051" t="s">
        <v>43457</v>
      </c>
      <c r="T9051" t="s">
        <v>44752</v>
      </c>
      <c r="U9051" t="s">
        <v>52315</v>
      </c>
      <c r="V9051" t="s">
        <v>57758</v>
      </c>
      <c r="W9051" t="s">
        <v>42200</v>
      </c>
      <c r="X9051" t="s">
        <v>43175</v>
      </c>
    </row>
    <row r="9052" spans="1:24">
      <c r="A9052">
        <f>HYPERLINK("https://www.philgeps.gov.ph/GEPSNONPILOT/Tender/SplashBidNoticeAbstractUI.aspx?menuIndex=3&amp;refID=7076057&amp;Result=3","7076057")</f>
        <v>0</v>
      </c>
      <c r="B9052" t="s">
        <v>199</v>
      </c>
      <c r="C9052" t="s">
        <v>12038</v>
      </c>
      <c r="D9052" t="s">
        <v>17415</v>
      </c>
      <c r="E9052" t="s">
        <v>25298</v>
      </c>
      <c r="F9052" t="s">
        <v>30052</v>
      </c>
      <c r="G9052" t="s">
        <v>30059</v>
      </c>
      <c r="H9052" t="s">
        <v>15498</v>
      </c>
      <c r="I9052" t="s">
        <v>30074</v>
      </c>
      <c r="J9052" t="s">
        <v>35720</v>
      </c>
      <c r="K9052" t="s">
        <v>39029</v>
      </c>
      <c r="M9052" t="s">
        <v>39489</v>
      </c>
      <c r="N9052" t="s">
        <v>43166</v>
      </c>
      <c r="O9052" t="s">
        <v>43167</v>
      </c>
      <c r="P9052">
        <v>0</v>
      </c>
      <c r="Q9052">
        <v>2</v>
      </c>
      <c r="R9052" t="s">
        <v>43174</v>
      </c>
      <c r="S9052" t="s">
        <v>43396</v>
      </c>
      <c r="T9052" t="s">
        <v>44862</v>
      </c>
      <c r="U9052" t="s">
        <v>52443</v>
      </c>
      <c r="W9052" t="s">
        <v>39489</v>
      </c>
      <c r="X9052" t="s">
        <v>43175</v>
      </c>
    </row>
    <row r="9053" spans="1:24">
      <c r="A9053">
        <f>HYPERLINK("https://www.philgeps.gov.ph/GEPSNONPILOT/Tender/SplashBidNoticeAbstractUI.aspx?menuIndex=3&amp;refID=7076056&amp;Result=3","7076056")</f>
        <v>0</v>
      </c>
      <c r="B9053" t="s">
        <v>1065</v>
      </c>
      <c r="C9053" t="s">
        <v>12039</v>
      </c>
      <c r="D9053" t="s">
        <v>17456</v>
      </c>
      <c r="E9053" t="s">
        <v>17882</v>
      </c>
      <c r="F9053" t="s">
        <v>30052</v>
      </c>
      <c r="G9053" t="s">
        <v>30058</v>
      </c>
      <c r="H9053" t="s">
        <v>30067</v>
      </c>
      <c r="I9053" t="s">
        <v>3693</v>
      </c>
      <c r="J9053" t="s">
        <v>35721</v>
      </c>
      <c r="K9053" t="s">
        <v>39157</v>
      </c>
      <c r="M9053" t="s">
        <v>40400</v>
      </c>
      <c r="N9053" t="s">
        <v>43166</v>
      </c>
      <c r="O9053" t="s">
        <v>43167</v>
      </c>
      <c r="P9053">
        <v>0</v>
      </c>
      <c r="Q9053">
        <v>2</v>
      </c>
      <c r="R9053" t="s">
        <v>43174</v>
      </c>
      <c r="S9053" t="s">
        <v>43396</v>
      </c>
      <c r="T9053" t="s">
        <v>45000</v>
      </c>
      <c r="U9053" t="s">
        <v>52444</v>
      </c>
      <c r="W9053" t="s">
        <v>40400</v>
      </c>
      <c r="X9053" t="s">
        <v>43175</v>
      </c>
    </row>
    <row r="9054" spans="1:24">
      <c r="A9054">
        <f>HYPERLINK("https://www.philgeps.gov.ph/GEPSNONPILOT/Tender/SplashBidNoticeAbstractUI.aspx?menuIndex=3&amp;refID=7076020&amp;Result=3","7076020")</f>
        <v>0</v>
      </c>
      <c r="B9054" t="s">
        <v>2679</v>
      </c>
      <c r="C9054" t="s">
        <v>12040</v>
      </c>
      <c r="D9054" t="s">
        <v>17445</v>
      </c>
      <c r="E9054" t="s">
        <v>25299</v>
      </c>
      <c r="F9054" t="s">
        <v>30052</v>
      </c>
      <c r="G9054" t="s">
        <v>30058</v>
      </c>
      <c r="H9054" t="s">
        <v>15498</v>
      </c>
      <c r="I9054" t="s">
        <v>30096</v>
      </c>
      <c r="J9054" t="s">
        <v>35722</v>
      </c>
      <c r="K9054" t="s">
        <v>39029</v>
      </c>
      <c r="M9054" t="s">
        <v>42199</v>
      </c>
      <c r="N9054" t="s">
        <v>43166</v>
      </c>
      <c r="O9054" t="s">
        <v>43167</v>
      </c>
      <c r="P9054">
        <v>0</v>
      </c>
      <c r="Q9054">
        <v>8</v>
      </c>
      <c r="R9054" t="s">
        <v>43174</v>
      </c>
      <c r="S9054" t="s">
        <v>43396</v>
      </c>
      <c r="T9054" t="s">
        <v>44815</v>
      </c>
      <c r="U9054" t="s">
        <v>52417</v>
      </c>
      <c r="W9054" t="s">
        <v>42199</v>
      </c>
      <c r="X9054" t="s">
        <v>43175</v>
      </c>
    </row>
    <row r="9055" spans="1:24">
      <c r="A9055">
        <f>HYPERLINK("https://www.philgeps.gov.ph/GEPSNONPILOT/Tender/SplashBidNoticeAbstractUI.aspx?menuIndex=3&amp;refID=7076049&amp;Result=3","7076049")</f>
        <v>0</v>
      </c>
      <c r="B9055" t="s">
        <v>1065</v>
      </c>
      <c r="C9055" t="s">
        <v>12041</v>
      </c>
      <c r="D9055" t="s">
        <v>17456</v>
      </c>
      <c r="E9055" t="s">
        <v>17883</v>
      </c>
      <c r="F9055" t="s">
        <v>30052</v>
      </c>
      <c r="G9055" t="s">
        <v>30058</v>
      </c>
      <c r="H9055" t="s">
        <v>30067</v>
      </c>
      <c r="I9055" t="s">
        <v>3693</v>
      </c>
      <c r="J9055" t="s">
        <v>35723</v>
      </c>
      <c r="K9055" t="s">
        <v>39031</v>
      </c>
      <c r="M9055" t="s">
        <v>40400</v>
      </c>
      <c r="N9055" t="s">
        <v>43166</v>
      </c>
      <c r="O9055" t="s">
        <v>43167</v>
      </c>
      <c r="Q9055">
        <v>0</v>
      </c>
      <c r="R9055" t="s">
        <v>43174</v>
      </c>
      <c r="S9055" t="s">
        <v>43458</v>
      </c>
      <c r="T9055" t="s">
        <v>45000</v>
      </c>
      <c r="U9055" t="s">
        <v>52444</v>
      </c>
      <c r="W9055" t="s">
        <v>40400</v>
      </c>
      <c r="X9055" t="s">
        <v>43175</v>
      </c>
    </row>
    <row r="9056" spans="1:24">
      <c r="A9056">
        <f>HYPERLINK("https://www.philgeps.gov.ph/GEPSNONPILOT/Tender/SplashBidNoticeAbstractUI.aspx?menuIndex=3&amp;refID=7076044&amp;Result=3","7076044")</f>
        <v>0</v>
      </c>
      <c r="B9056" t="s">
        <v>1011</v>
      </c>
      <c r="C9056" t="s">
        <v>12042</v>
      </c>
      <c r="D9056" t="s">
        <v>17476</v>
      </c>
      <c r="E9056" t="s">
        <v>25300</v>
      </c>
      <c r="F9056" t="s">
        <v>30052</v>
      </c>
      <c r="G9056" t="s">
        <v>30061</v>
      </c>
      <c r="H9056" t="s">
        <v>15498</v>
      </c>
      <c r="I9056" t="s">
        <v>4650</v>
      </c>
      <c r="J9056" t="s">
        <v>30402</v>
      </c>
      <c r="K9056" t="s">
        <v>39029</v>
      </c>
      <c r="M9056" t="s">
        <v>40340</v>
      </c>
      <c r="N9056" t="s">
        <v>43166</v>
      </c>
      <c r="O9056" t="s">
        <v>43167</v>
      </c>
      <c r="P9056">
        <v>0</v>
      </c>
      <c r="Q9056">
        <v>2</v>
      </c>
      <c r="R9056" t="s">
        <v>43174</v>
      </c>
      <c r="S9056" t="s">
        <v>43396</v>
      </c>
      <c r="T9056" t="s">
        <v>44717</v>
      </c>
      <c r="U9056" t="s">
        <v>52445</v>
      </c>
      <c r="W9056" t="s">
        <v>40340</v>
      </c>
      <c r="X9056" t="s">
        <v>43175</v>
      </c>
    </row>
    <row r="9057" spans="1:24">
      <c r="A9057">
        <f>HYPERLINK("https://www.philgeps.gov.ph/GEPSNONPILOT/Tender/SplashBidNoticeAbstractUI.aspx?menuIndex=3&amp;refID=7076001&amp;Result=3","7076001")</f>
        <v>0</v>
      </c>
      <c r="B9057" t="s">
        <v>2684</v>
      </c>
      <c r="C9057" t="s">
        <v>12043</v>
      </c>
      <c r="D9057" t="s">
        <v>17468</v>
      </c>
      <c r="E9057" t="s">
        <v>19903</v>
      </c>
      <c r="F9057" t="s">
        <v>30055</v>
      </c>
      <c r="G9057" t="s">
        <v>30058</v>
      </c>
      <c r="H9057" t="s">
        <v>15498</v>
      </c>
      <c r="I9057" t="s">
        <v>3736</v>
      </c>
      <c r="J9057" t="s">
        <v>31344</v>
      </c>
      <c r="K9057" t="s">
        <v>39023</v>
      </c>
      <c r="M9057" t="s">
        <v>42205</v>
      </c>
      <c r="N9057" t="s">
        <v>43166</v>
      </c>
      <c r="O9057" t="s">
        <v>43167</v>
      </c>
      <c r="P9057">
        <v>0</v>
      </c>
      <c r="Q9057">
        <v>1</v>
      </c>
      <c r="R9057" t="s">
        <v>43174</v>
      </c>
      <c r="S9057" t="s">
        <v>43396</v>
      </c>
      <c r="T9057" t="s">
        <v>44764</v>
      </c>
      <c r="U9057" t="s">
        <v>52446</v>
      </c>
      <c r="W9057" t="s">
        <v>42205</v>
      </c>
      <c r="X9057" t="s">
        <v>43175</v>
      </c>
    </row>
    <row r="9058" spans="1:24">
      <c r="A9058">
        <f>HYPERLINK("https://www.philgeps.gov.ph/GEPSNONPILOT/Tender/SplashBidNoticeAbstractUI.aspx?menuIndex=3&amp;refID=7076040&amp;Result=3","7076040")</f>
        <v>0</v>
      </c>
      <c r="B9058" t="s">
        <v>2682</v>
      </c>
      <c r="C9058" t="s">
        <v>12044</v>
      </c>
      <c r="D9058" t="s">
        <v>17441</v>
      </c>
      <c r="E9058" t="s">
        <v>21642</v>
      </c>
      <c r="F9058" t="s">
        <v>30052</v>
      </c>
      <c r="G9058" t="s">
        <v>30058</v>
      </c>
      <c r="H9058" t="s">
        <v>15498</v>
      </c>
      <c r="I9058" t="s">
        <v>3736</v>
      </c>
      <c r="J9058" t="s">
        <v>35724</v>
      </c>
      <c r="K9058" t="s">
        <v>39036</v>
      </c>
      <c r="M9058" t="s">
        <v>42203</v>
      </c>
      <c r="N9058" t="s">
        <v>43166</v>
      </c>
      <c r="O9058" t="s">
        <v>43167</v>
      </c>
      <c r="P9058">
        <v>0</v>
      </c>
      <c r="Q9058">
        <v>2</v>
      </c>
      <c r="R9058" t="s">
        <v>43174</v>
      </c>
      <c r="S9058" t="s">
        <v>43396</v>
      </c>
      <c r="T9058" t="s">
        <v>44820</v>
      </c>
      <c r="U9058" t="s">
        <v>46351</v>
      </c>
      <c r="W9058" t="s">
        <v>42203</v>
      </c>
      <c r="X9058" t="s">
        <v>43175</v>
      </c>
    </row>
    <row r="9059" spans="1:24">
      <c r="A9059">
        <f>HYPERLINK("https://www.philgeps.gov.ph/GEPSNONPILOT/Tender/SplashBidNoticeAbstractUI.aspx?menuIndex=3&amp;refID=7075980&amp;Result=3","7075980")</f>
        <v>0</v>
      </c>
      <c r="B9059" t="s">
        <v>2679</v>
      </c>
      <c r="C9059" t="s">
        <v>12045</v>
      </c>
      <c r="D9059" t="s">
        <v>17445</v>
      </c>
      <c r="E9059" t="s">
        <v>25301</v>
      </c>
      <c r="F9059" t="s">
        <v>30052</v>
      </c>
      <c r="G9059" t="s">
        <v>30058</v>
      </c>
      <c r="H9059" t="s">
        <v>30067</v>
      </c>
      <c r="I9059" t="s">
        <v>3693</v>
      </c>
      <c r="J9059" t="s">
        <v>35725</v>
      </c>
      <c r="K9059" t="s">
        <v>39046</v>
      </c>
      <c r="M9059" t="s">
        <v>42199</v>
      </c>
      <c r="N9059" t="s">
        <v>43166</v>
      </c>
      <c r="O9059" t="s">
        <v>43167</v>
      </c>
      <c r="P9059">
        <v>0</v>
      </c>
      <c r="Q9059">
        <v>1</v>
      </c>
      <c r="R9059" t="s">
        <v>43174</v>
      </c>
      <c r="S9059" t="s">
        <v>43396</v>
      </c>
      <c r="T9059" t="s">
        <v>44815</v>
      </c>
      <c r="U9059" t="s">
        <v>52417</v>
      </c>
      <c r="W9059" t="s">
        <v>42199</v>
      </c>
      <c r="X9059" t="s">
        <v>43175</v>
      </c>
    </row>
    <row r="9060" spans="1:24">
      <c r="A9060">
        <f>HYPERLINK("https://www.philgeps.gov.ph/GEPSNONPILOT/Tender/SplashBidNoticeAbstractUI.aspx?menuIndex=3&amp;refID=7076014&amp;Result=3","7076014")</f>
        <v>0</v>
      </c>
      <c r="B9060" t="s">
        <v>2417</v>
      </c>
      <c r="C9060" t="s">
        <v>12046</v>
      </c>
      <c r="D9060" t="s">
        <v>17414</v>
      </c>
      <c r="E9060" t="s">
        <v>25302</v>
      </c>
      <c r="F9060" t="s">
        <v>30052</v>
      </c>
      <c r="G9060" t="s">
        <v>30058</v>
      </c>
      <c r="H9060" t="s">
        <v>15498</v>
      </c>
      <c r="I9060" t="s">
        <v>3736</v>
      </c>
      <c r="J9060" t="s">
        <v>35726</v>
      </c>
      <c r="K9060" t="s">
        <v>39029</v>
      </c>
      <c r="M9060" t="s">
        <v>41914</v>
      </c>
      <c r="N9060" t="s">
        <v>43166</v>
      </c>
      <c r="O9060" t="s">
        <v>43167</v>
      </c>
      <c r="P9060">
        <v>0</v>
      </c>
      <c r="Q9060">
        <v>0</v>
      </c>
      <c r="R9060" t="s">
        <v>43174</v>
      </c>
      <c r="S9060" t="s">
        <v>43396</v>
      </c>
      <c r="T9060" t="s">
        <v>44815</v>
      </c>
      <c r="U9060" t="s">
        <v>51539</v>
      </c>
      <c r="W9060" t="s">
        <v>41914</v>
      </c>
      <c r="X9060" t="s">
        <v>43175</v>
      </c>
    </row>
    <row r="9061" spans="1:24">
      <c r="A9061">
        <f>HYPERLINK("https://www.philgeps.gov.ph/GEPSNONPILOT/Tender/SplashBidNoticeAbstractUI.aspx?menuIndex=3&amp;refID=7076037&amp;Result=3","7076037")</f>
        <v>0</v>
      </c>
      <c r="B9061" t="s">
        <v>2649</v>
      </c>
      <c r="C9061" t="s">
        <v>12047</v>
      </c>
      <c r="E9061" t="s">
        <v>25303</v>
      </c>
      <c r="F9061" t="s">
        <v>30052</v>
      </c>
      <c r="G9061" t="s">
        <v>30058</v>
      </c>
      <c r="H9061" t="s">
        <v>15498</v>
      </c>
      <c r="I9061" t="s">
        <v>30088</v>
      </c>
      <c r="J9061" t="s">
        <v>30227</v>
      </c>
      <c r="K9061" t="s">
        <v>39025</v>
      </c>
      <c r="M9061" t="s">
        <v>42200</v>
      </c>
      <c r="N9061" t="s">
        <v>43166</v>
      </c>
      <c r="O9061" t="s">
        <v>43167</v>
      </c>
      <c r="Q9061">
        <v>14</v>
      </c>
      <c r="R9061" t="s">
        <v>43174</v>
      </c>
      <c r="S9061" t="s">
        <v>43459</v>
      </c>
      <c r="T9061" t="s">
        <v>44752</v>
      </c>
      <c r="U9061" t="s">
        <v>52315</v>
      </c>
      <c r="V9061" t="s">
        <v>57758</v>
      </c>
      <c r="W9061" t="s">
        <v>42200</v>
      </c>
      <c r="X9061" t="s">
        <v>43175</v>
      </c>
    </row>
    <row r="9062" spans="1:24">
      <c r="A9062">
        <f>HYPERLINK("https://www.philgeps.gov.ph/GEPSNONPILOT/Tender/SplashBidNoticeAbstractUI.aspx?menuIndex=3&amp;refID=7076048&amp;Result=3","7076048")</f>
        <v>0</v>
      </c>
      <c r="B9062" t="s">
        <v>1011</v>
      </c>
      <c r="C9062" t="s">
        <v>12048</v>
      </c>
      <c r="D9062" t="s">
        <v>17476</v>
      </c>
      <c r="E9062" t="s">
        <v>25304</v>
      </c>
      <c r="F9062" t="s">
        <v>30052</v>
      </c>
      <c r="G9062" t="s">
        <v>30061</v>
      </c>
      <c r="H9062" t="s">
        <v>15498</v>
      </c>
      <c r="I9062" t="s">
        <v>4650</v>
      </c>
      <c r="J9062" t="s">
        <v>30398</v>
      </c>
      <c r="K9062" t="s">
        <v>39029</v>
      </c>
      <c r="M9062" t="s">
        <v>40340</v>
      </c>
      <c r="N9062" t="s">
        <v>43166</v>
      </c>
      <c r="O9062" t="s">
        <v>43167</v>
      </c>
      <c r="P9062">
        <v>0</v>
      </c>
      <c r="Q9062">
        <v>3</v>
      </c>
      <c r="R9062" t="s">
        <v>43174</v>
      </c>
      <c r="S9062" t="s">
        <v>43396</v>
      </c>
      <c r="T9062" t="s">
        <v>44717</v>
      </c>
      <c r="U9062" t="s">
        <v>52447</v>
      </c>
      <c r="W9062" t="s">
        <v>40340</v>
      </c>
      <c r="X9062" t="s">
        <v>43175</v>
      </c>
    </row>
    <row r="9063" spans="1:24">
      <c r="A9063">
        <f>HYPERLINK("https://www.philgeps.gov.ph/GEPSNONPILOT/Tender/SplashBidNoticeAbstractUI.aspx?menuIndex=3&amp;refID=7076036&amp;Result=3","7076036")</f>
        <v>0</v>
      </c>
      <c r="B9063" t="s">
        <v>1011</v>
      </c>
      <c r="C9063" t="s">
        <v>12049</v>
      </c>
      <c r="D9063" t="s">
        <v>17476</v>
      </c>
      <c r="E9063" t="s">
        <v>25305</v>
      </c>
      <c r="F9063" t="s">
        <v>30052</v>
      </c>
      <c r="G9063" t="s">
        <v>30061</v>
      </c>
      <c r="H9063" t="s">
        <v>15498</v>
      </c>
      <c r="I9063" t="s">
        <v>30097</v>
      </c>
      <c r="J9063" t="s">
        <v>35727</v>
      </c>
      <c r="K9063" t="s">
        <v>39029</v>
      </c>
      <c r="M9063" t="s">
        <v>40340</v>
      </c>
      <c r="N9063" t="s">
        <v>43166</v>
      </c>
      <c r="O9063" t="s">
        <v>43167</v>
      </c>
      <c r="P9063">
        <v>0</v>
      </c>
      <c r="Q9063">
        <v>0</v>
      </c>
      <c r="R9063" t="s">
        <v>43174</v>
      </c>
      <c r="S9063" t="s">
        <v>43396</v>
      </c>
      <c r="T9063" t="s">
        <v>44717</v>
      </c>
      <c r="U9063" t="s">
        <v>52448</v>
      </c>
      <c r="W9063" t="s">
        <v>40340</v>
      </c>
      <c r="X9063" t="s">
        <v>43175</v>
      </c>
    </row>
    <row r="9064" spans="1:24">
      <c r="A9064">
        <f>HYPERLINK("https://www.philgeps.gov.ph/GEPSNONPILOT/Tender/SplashBidNoticeAbstractUI.aspx?menuIndex=3&amp;refID=7076035&amp;Result=3","7076035")</f>
        <v>0</v>
      </c>
      <c r="B9064" t="s">
        <v>272</v>
      </c>
      <c r="C9064" t="s">
        <v>12050</v>
      </c>
      <c r="E9064" t="s">
        <v>25306</v>
      </c>
      <c r="F9064" t="s">
        <v>30052</v>
      </c>
      <c r="G9064" t="s">
        <v>30058</v>
      </c>
      <c r="H9064" t="s">
        <v>15498</v>
      </c>
      <c r="I9064" t="s">
        <v>4650</v>
      </c>
      <c r="J9064" t="s">
        <v>35728</v>
      </c>
      <c r="K9064" t="s">
        <v>39025</v>
      </c>
      <c r="M9064" t="s">
        <v>40472</v>
      </c>
      <c r="N9064" t="s">
        <v>43166</v>
      </c>
      <c r="O9064" t="s">
        <v>43167</v>
      </c>
      <c r="P9064">
        <v>0</v>
      </c>
      <c r="Q9064">
        <v>9</v>
      </c>
      <c r="R9064" t="s">
        <v>43174</v>
      </c>
      <c r="S9064" t="s">
        <v>43396</v>
      </c>
      <c r="T9064" t="s">
        <v>44856</v>
      </c>
      <c r="U9064" t="s">
        <v>52449</v>
      </c>
      <c r="W9064" t="s">
        <v>40472</v>
      </c>
      <c r="X9064" t="s">
        <v>43175</v>
      </c>
    </row>
    <row r="9065" spans="1:24">
      <c r="A9065">
        <f>HYPERLINK("https://www.philgeps.gov.ph/GEPSNONPILOT/Tender/SplashBidNoticeAbstractUI.aspx?menuIndex=3&amp;refID=7076034&amp;Result=3","7076034")</f>
        <v>0</v>
      </c>
      <c r="B9065" t="s">
        <v>2682</v>
      </c>
      <c r="C9065" t="s">
        <v>12051</v>
      </c>
      <c r="D9065" t="s">
        <v>17441</v>
      </c>
      <c r="E9065" t="s">
        <v>17650</v>
      </c>
      <c r="F9065" t="s">
        <v>30052</v>
      </c>
      <c r="G9065" t="s">
        <v>30058</v>
      </c>
      <c r="H9065" t="s">
        <v>15498</v>
      </c>
      <c r="I9065" t="s">
        <v>3736</v>
      </c>
      <c r="J9065" t="s">
        <v>35729</v>
      </c>
      <c r="K9065" t="s">
        <v>39036</v>
      </c>
      <c r="M9065" t="s">
        <v>42203</v>
      </c>
      <c r="N9065" t="s">
        <v>43166</v>
      </c>
      <c r="O9065" t="s">
        <v>43167</v>
      </c>
      <c r="P9065">
        <v>0</v>
      </c>
      <c r="Q9065">
        <v>2</v>
      </c>
      <c r="R9065" t="s">
        <v>43174</v>
      </c>
      <c r="S9065" t="s">
        <v>43396</v>
      </c>
      <c r="T9065" t="s">
        <v>44820</v>
      </c>
      <c r="U9065" t="s">
        <v>52450</v>
      </c>
      <c r="W9065" t="s">
        <v>42203</v>
      </c>
      <c r="X9065" t="s">
        <v>43175</v>
      </c>
    </row>
    <row r="9066" spans="1:24">
      <c r="A9066">
        <f>HYPERLINK("https://www.philgeps.gov.ph/GEPSNONPILOT/Tender/SplashBidNoticeAbstractUI.aspx?menuIndex=3&amp;refID=7076042&amp;Result=3","7076042")</f>
        <v>0</v>
      </c>
      <c r="B9066" t="s">
        <v>1065</v>
      </c>
      <c r="C9066" t="s">
        <v>12052</v>
      </c>
      <c r="D9066" t="s">
        <v>17456</v>
      </c>
      <c r="E9066" t="s">
        <v>17838</v>
      </c>
      <c r="F9066" t="s">
        <v>30052</v>
      </c>
      <c r="G9066" t="s">
        <v>30058</v>
      </c>
      <c r="H9066" t="s">
        <v>30067</v>
      </c>
      <c r="I9066" t="s">
        <v>3693</v>
      </c>
      <c r="J9066" t="s">
        <v>35730</v>
      </c>
      <c r="K9066" t="s">
        <v>39031</v>
      </c>
      <c r="M9066" t="s">
        <v>40400</v>
      </c>
      <c r="N9066" t="s">
        <v>43166</v>
      </c>
      <c r="O9066" t="s">
        <v>43167</v>
      </c>
      <c r="P9066">
        <v>0</v>
      </c>
      <c r="Q9066">
        <v>1</v>
      </c>
      <c r="R9066" t="s">
        <v>43174</v>
      </c>
      <c r="S9066" t="s">
        <v>43396</v>
      </c>
      <c r="T9066" t="s">
        <v>45000</v>
      </c>
      <c r="U9066" t="s">
        <v>52444</v>
      </c>
      <c r="W9066" t="s">
        <v>40400</v>
      </c>
      <c r="X9066" t="s">
        <v>43175</v>
      </c>
    </row>
    <row r="9067" spans="1:24">
      <c r="A9067">
        <f>HYPERLINK("https://www.philgeps.gov.ph/GEPSNONPILOT/Tender/SplashBidNoticeAbstractUI.aspx?menuIndex=3&amp;refID=7076026&amp;Result=3","7076026")</f>
        <v>0</v>
      </c>
      <c r="B9067" t="s">
        <v>2685</v>
      </c>
      <c r="C9067" t="s">
        <v>12053</v>
      </c>
      <c r="D9067" t="s">
        <v>17499</v>
      </c>
      <c r="E9067" t="s">
        <v>18191</v>
      </c>
      <c r="F9067" t="s">
        <v>30052</v>
      </c>
      <c r="G9067" t="s">
        <v>30058</v>
      </c>
      <c r="H9067" t="s">
        <v>15498</v>
      </c>
      <c r="I9067" t="s">
        <v>3736</v>
      </c>
      <c r="J9067" t="s">
        <v>35731</v>
      </c>
      <c r="K9067" t="s">
        <v>39017</v>
      </c>
      <c r="M9067" t="s">
        <v>42206</v>
      </c>
      <c r="N9067" t="s">
        <v>43166</v>
      </c>
      <c r="O9067" t="s">
        <v>43167</v>
      </c>
      <c r="P9067">
        <v>0</v>
      </c>
      <c r="Q9067">
        <v>0</v>
      </c>
      <c r="R9067" t="s">
        <v>43174</v>
      </c>
      <c r="S9067" t="s">
        <v>43396</v>
      </c>
      <c r="T9067" t="s">
        <v>44717</v>
      </c>
      <c r="U9067" t="s">
        <v>52451</v>
      </c>
      <c r="W9067" t="s">
        <v>42206</v>
      </c>
      <c r="X9067" t="s">
        <v>43175</v>
      </c>
    </row>
    <row r="9068" spans="1:24">
      <c r="A9068">
        <f>HYPERLINK("https://www.philgeps.gov.ph/GEPSNONPILOT/Tender/SplashBidNoticeAbstractUI.aspx?menuIndex=3&amp;refID=7076024&amp;Result=3","7076024")</f>
        <v>0</v>
      </c>
      <c r="B9068" t="s">
        <v>2679</v>
      </c>
      <c r="C9068" t="s">
        <v>12054</v>
      </c>
      <c r="D9068" t="s">
        <v>17445</v>
      </c>
      <c r="E9068" t="s">
        <v>25307</v>
      </c>
      <c r="F9068" t="s">
        <v>30052</v>
      </c>
      <c r="G9068" t="s">
        <v>30058</v>
      </c>
      <c r="H9068" t="s">
        <v>15498</v>
      </c>
      <c r="I9068" t="s">
        <v>30085</v>
      </c>
      <c r="J9068" t="s">
        <v>35732</v>
      </c>
      <c r="K9068" t="s">
        <v>39029</v>
      </c>
      <c r="M9068" t="s">
        <v>42199</v>
      </c>
      <c r="N9068" t="s">
        <v>43166</v>
      </c>
      <c r="O9068" t="s">
        <v>43167</v>
      </c>
      <c r="P9068">
        <v>0</v>
      </c>
      <c r="Q9068">
        <v>1</v>
      </c>
      <c r="R9068" t="s">
        <v>43174</v>
      </c>
      <c r="S9068" t="s">
        <v>43396</v>
      </c>
      <c r="T9068" t="s">
        <v>44815</v>
      </c>
      <c r="U9068" t="s">
        <v>52417</v>
      </c>
      <c r="W9068" t="s">
        <v>42199</v>
      </c>
      <c r="X9068" t="s">
        <v>43175</v>
      </c>
    </row>
    <row r="9069" spans="1:24">
      <c r="A9069">
        <f>HYPERLINK("https://www.philgeps.gov.ph/GEPSNONPILOT/Tender/SplashBidNoticeAbstractUI.aspx?menuIndex=3&amp;refID=7076000&amp;Result=3","7076000")</f>
        <v>0</v>
      </c>
      <c r="B9069" t="s">
        <v>2679</v>
      </c>
      <c r="C9069" t="s">
        <v>12055</v>
      </c>
      <c r="D9069" t="s">
        <v>17445</v>
      </c>
      <c r="E9069" t="s">
        <v>25308</v>
      </c>
      <c r="F9069" t="s">
        <v>30052</v>
      </c>
      <c r="G9069" t="s">
        <v>30058</v>
      </c>
      <c r="H9069" t="s">
        <v>30067</v>
      </c>
      <c r="I9069" t="s">
        <v>3693</v>
      </c>
      <c r="J9069" t="s">
        <v>35733</v>
      </c>
      <c r="K9069" t="s">
        <v>39023</v>
      </c>
      <c r="M9069" t="s">
        <v>42199</v>
      </c>
      <c r="N9069" t="s">
        <v>43166</v>
      </c>
      <c r="O9069" t="s">
        <v>43167</v>
      </c>
      <c r="P9069">
        <v>0</v>
      </c>
      <c r="Q9069">
        <v>1</v>
      </c>
      <c r="R9069" t="s">
        <v>43174</v>
      </c>
      <c r="S9069" t="s">
        <v>43396</v>
      </c>
      <c r="T9069" t="s">
        <v>44815</v>
      </c>
      <c r="U9069" t="s">
        <v>52417</v>
      </c>
      <c r="W9069" t="s">
        <v>42199</v>
      </c>
      <c r="X9069" t="s">
        <v>43175</v>
      </c>
    </row>
    <row r="9070" spans="1:24">
      <c r="A9070">
        <f>HYPERLINK("https://www.philgeps.gov.ph/GEPSNONPILOT/Tender/SplashBidNoticeAbstractUI.aspx?menuIndex=3&amp;refID=7076039&amp;Result=3","7076039")</f>
        <v>0</v>
      </c>
      <c r="B9070" t="s">
        <v>1065</v>
      </c>
      <c r="C9070" t="s">
        <v>12056</v>
      </c>
      <c r="D9070" t="s">
        <v>17456</v>
      </c>
      <c r="E9070" t="s">
        <v>17882</v>
      </c>
      <c r="F9070" t="s">
        <v>30052</v>
      </c>
      <c r="G9070" t="s">
        <v>30058</v>
      </c>
      <c r="H9070" t="s">
        <v>15498</v>
      </c>
      <c r="I9070" t="s">
        <v>3736</v>
      </c>
      <c r="J9070" t="s">
        <v>35734</v>
      </c>
      <c r="K9070" t="s">
        <v>39034</v>
      </c>
      <c r="M9070" t="s">
        <v>40400</v>
      </c>
      <c r="N9070" t="s">
        <v>43166</v>
      </c>
      <c r="O9070" t="s">
        <v>43167</v>
      </c>
      <c r="P9070">
        <v>0</v>
      </c>
      <c r="Q9070">
        <v>0</v>
      </c>
      <c r="R9070" t="s">
        <v>43174</v>
      </c>
      <c r="S9070" t="s">
        <v>43396</v>
      </c>
      <c r="T9070" t="s">
        <v>45000</v>
      </c>
      <c r="U9070" t="s">
        <v>52439</v>
      </c>
      <c r="W9070" t="s">
        <v>40400</v>
      </c>
      <c r="X9070" t="s">
        <v>43175</v>
      </c>
    </row>
    <row r="9071" spans="1:24">
      <c r="A9071">
        <f>HYPERLINK("https://www.philgeps.gov.ph/GEPSNONPILOT/Tender/SplashBidNoticeAbstractUI.aspx?menuIndex=3&amp;refID=7075984&amp;Result=3","7075984")</f>
        <v>0</v>
      </c>
      <c r="B9071" t="s">
        <v>1639</v>
      </c>
      <c r="C9071" t="s">
        <v>12057</v>
      </c>
      <c r="D9071" t="s">
        <v>17482</v>
      </c>
      <c r="E9071" t="s">
        <v>23180</v>
      </c>
      <c r="F9071" t="s">
        <v>30052</v>
      </c>
      <c r="G9071" t="s">
        <v>30058</v>
      </c>
      <c r="H9071" t="s">
        <v>15498</v>
      </c>
      <c r="I9071" t="s">
        <v>3693</v>
      </c>
      <c r="J9071" t="s">
        <v>35735</v>
      </c>
      <c r="K9071" t="s">
        <v>39046</v>
      </c>
      <c r="M9071" t="s">
        <v>41042</v>
      </c>
      <c r="N9071" t="s">
        <v>43166</v>
      </c>
      <c r="O9071" t="s">
        <v>43167</v>
      </c>
      <c r="P9071">
        <v>0</v>
      </c>
      <c r="Q9071">
        <v>7</v>
      </c>
      <c r="R9071" t="s">
        <v>43174</v>
      </c>
      <c r="S9071" t="s">
        <v>43396</v>
      </c>
      <c r="T9071" t="s">
        <v>44717</v>
      </c>
      <c r="U9071" t="s">
        <v>52452</v>
      </c>
      <c r="W9071" t="s">
        <v>58648</v>
      </c>
      <c r="X9071" t="s">
        <v>43175</v>
      </c>
    </row>
    <row r="9072" spans="1:24">
      <c r="A9072">
        <f>HYPERLINK("https://www.philgeps.gov.ph/GEPSNONPILOT/Tender/SplashBidNoticeAbstractUI.aspx?menuIndex=3&amp;refID=7076046&amp;Result=3","7076046")</f>
        <v>0</v>
      </c>
      <c r="B9072" t="s">
        <v>2417</v>
      </c>
      <c r="C9072" t="s">
        <v>12058</v>
      </c>
      <c r="D9072" t="s">
        <v>17414</v>
      </c>
      <c r="E9072" t="s">
        <v>25309</v>
      </c>
      <c r="F9072" t="s">
        <v>30052</v>
      </c>
      <c r="G9072" t="s">
        <v>30058</v>
      </c>
      <c r="H9072" t="s">
        <v>15498</v>
      </c>
      <c r="I9072" t="s">
        <v>3736</v>
      </c>
      <c r="J9072" t="s">
        <v>35736</v>
      </c>
      <c r="K9072" t="s">
        <v>39029</v>
      </c>
      <c r="M9072" t="s">
        <v>41914</v>
      </c>
      <c r="N9072" t="s">
        <v>43166</v>
      </c>
      <c r="O9072" t="s">
        <v>43167</v>
      </c>
      <c r="P9072">
        <v>0</v>
      </c>
      <c r="Q9072">
        <v>0</v>
      </c>
      <c r="R9072" t="s">
        <v>43174</v>
      </c>
      <c r="S9072" t="s">
        <v>43396</v>
      </c>
      <c r="T9072" t="s">
        <v>44815</v>
      </c>
      <c r="U9072" t="s">
        <v>51539</v>
      </c>
      <c r="W9072" t="s">
        <v>41914</v>
      </c>
      <c r="X9072" t="s">
        <v>43175</v>
      </c>
    </row>
    <row r="9073" spans="1:24">
      <c r="A9073">
        <f>HYPERLINK("https://www.philgeps.gov.ph/GEPSNONPILOT/Tender/SplashBidNoticeAbstractUI.aspx?menuIndex=3&amp;refID=7076032&amp;Result=3","7076032")</f>
        <v>0</v>
      </c>
      <c r="B9073" t="s">
        <v>1065</v>
      </c>
      <c r="C9073" t="s">
        <v>12059</v>
      </c>
      <c r="D9073" t="s">
        <v>17456</v>
      </c>
      <c r="E9073" t="s">
        <v>17883</v>
      </c>
      <c r="F9073" t="s">
        <v>30052</v>
      </c>
      <c r="G9073" t="s">
        <v>30058</v>
      </c>
      <c r="H9073" t="s">
        <v>15498</v>
      </c>
      <c r="I9073" t="s">
        <v>3736</v>
      </c>
      <c r="J9073" t="s">
        <v>35737</v>
      </c>
      <c r="K9073" t="s">
        <v>39037</v>
      </c>
      <c r="M9073" t="s">
        <v>40400</v>
      </c>
      <c r="N9073" t="s">
        <v>43166</v>
      </c>
      <c r="O9073" t="s">
        <v>43167</v>
      </c>
      <c r="P9073">
        <v>0</v>
      </c>
      <c r="Q9073">
        <v>2</v>
      </c>
      <c r="R9073" t="s">
        <v>43174</v>
      </c>
      <c r="S9073" t="s">
        <v>43396</v>
      </c>
      <c r="T9073" t="s">
        <v>45000</v>
      </c>
      <c r="U9073" t="s">
        <v>52439</v>
      </c>
      <c r="W9073" t="s">
        <v>40400</v>
      </c>
      <c r="X9073" t="s">
        <v>43175</v>
      </c>
    </row>
    <row r="9074" spans="1:24">
      <c r="A9074">
        <f>HYPERLINK("https://www.philgeps.gov.ph/GEPSNONPILOT/Tender/SplashBidNoticeAbstractUI.aspx?menuIndex=3&amp;refID=7076025&amp;Result=3","7076025")</f>
        <v>0</v>
      </c>
      <c r="B9074" t="s">
        <v>2686</v>
      </c>
      <c r="C9074" t="s">
        <v>4130</v>
      </c>
      <c r="D9074" t="s">
        <v>17413</v>
      </c>
      <c r="E9074" t="s">
        <v>25310</v>
      </c>
      <c r="F9074" t="s">
        <v>30052</v>
      </c>
      <c r="G9074" t="s">
        <v>30058</v>
      </c>
      <c r="H9074" t="s">
        <v>30069</v>
      </c>
      <c r="I9074" t="s">
        <v>30106</v>
      </c>
      <c r="J9074" t="s">
        <v>35738</v>
      </c>
      <c r="K9074" t="s">
        <v>39017</v>
      </c>
      <c r="L9074" t="s">
        <v>2686</v>
      </c>
      <c r="M9074" t="s">
        <v>42207</v>
      </c>
      <c r="N9074" t="s">
        <v>43166</v>
      </c>
      <c r="O9074" t="s">
        <v>43167</v>
      </c>
      <c r="P9074">
        <v>0</v>
      </c>
      <c r="Q9074">
        <v>0</v>
      </c>
      <c r="R9074" t="s">
        <v>43174</v>
      </c>
      <c r="S9074" t="s">
        <v>43396</v>
      </c>
      <c r="T9074" t="s">
        <v>44717</v>
      </c>
      <c r="U9074" t="s">
        <v>52453</v>
      </c>
      <c r="W9074" t="s">
        <v>42207</v>
      </c>
      <c r="X9074" t="s">
        <v>43175</v>
      </c>
    </row>
    <row r="9075" spans="1:24">
      <c r="A9075">
        <f>HYPERLINK("https://www.philgeps.gov.ph/GEPSNONPILOT/Tender/SplashBidNoticeAbstractUI.aspx?menuIndex=3&amp;refID=7044009&amp;Result=3","7044009")</f>
        <v>0</v>
      </c>
      <c r="B9075" t="s">
        <v>311</v>
      </c>
      <c r="C9075" t="s">
        <v>12060</v>
      </c>
      <c r="D9075" t="s">
        <v>17429</v>
      </c>
      <c r="E9075" t="s">
        <v>19764</v>
      </c>
      <c r="F9075" t="s">
        <v>30052</v>
      </c>
      <c r="G9075" t="s">
        <v>30058</v>
      </c>
      <c r="H9075" t="s">
        <v>30067</v>
      </c>
      <c r="I9075" t="s">
        <v>3693</v>
      </c>
      <c r="J9075" t="s">
        <v>30222</v>
      </c>
      <c r="K9075" t="s">
        <v>39065</v>
      </c>
      <c r="M9075" t="s">
        <v>39607</v>
      </c>
      <c r="N9075" t="s">
        <v>43166</v>
      </c>
      <c r="O9075" t="s">
        <v>43167</v>
      </c>
      <c r="P9075">
        <v>0</v>
      </c>
      <c r="Q9075">
        <v>0</v>
      </c>
      <c r="R9075" t="s">
        <v>43175</v>
      </c>
      <c r="S9075" t="s">
        <v>43460</v>
      </c>
      <c r="T9075" t="s">
        <v>44758</v>
      </c>
      <c r="U9075" t="s">
        <v>52454</v>
      </c>
      <c r="W9075" t="s">
        <v>39607</v>
      </c>
      <c r="X9075" t="s">
        <v>43285</v>
      </c>
    </row>
    <row r="9076" spans="1:24">
      <c r="A9076">
        <f>HYPERLINK("https://www.philgeps.gov.ph/GEPSNONPILOT/Tender/SplashBidNoticeAbstractUI.aspx?menuIndex=3&amp;refID=7044005&amp;Result=3","7044005")</f>
        <v>0</v>
      </c>
      <c r="B9076" t="s">
        <v>311</v>
      </c>
      <c r="C9076" t="s">
        <v>12061</v>
      </c>
      <c r="D9076" t="s">
        <v>17429</v>
      </c>
      <c r="E9076" t="s">
        <v>19518</v>
      </c>
      <c r="F9076" t="s">
        <v>30052</v>
      </c>
      <c r="G9076" t="s">
        <v>30058</v>
      </c>
      <c r="H9076" t="s">
        <v>30067</v>
      </c>
      <c r="I9076" t="s">
        <v>3693</v>
      </c>
      <c r="J9076" t="s">
        <v>30281</v>
      </c>
      <c r="K9076" t="s">
        <v>39031</v>
      </c>
      <c r="M9076" t="s">
        <v>39607</v>
      </c>
      <c r="N9076" t="s">
        <v>43166</v>
      </c>
      <c r="O9076" t="s">
        <v>43167</v>
      </c>
      <c r="P9076">
        <v>0</v>
      </c>
      <c r="Q9076">
        <v>0</v>
      </c>
      <c r="R9076" t="s">
        <v>43175</v>
      </c>
      <c r="S9076" t="s">
        <v>43460</v>
      </c>
      <c r="T9076" t="s">
        <v>44758</v>
      </c>
      <c r="U9076" t="s">
        <v>52455</v>
      </c>
      <c r="W9076" t="s">
        <v>39607</v>
      </c>
      <c r="X9076" t="s">
        <v>43285</v>
      </c>
    </row>
    <row r="9077" spans="1:24">
      <c r="A9077">
        <f>HYPERLINK("https://www.philgeps.gov.ph/GEPSNONPILOT/Tender/SplashBidNoticeAbstractUI.aspx?menuIndex=3&amp;refID=7035276&amp;Result=3","7035276")</f>
        <v>0</v>
      </c>
      <c r="B9077" t="s">
        <v>2687</v>
      </c>
      <c r="C9077" t="s">
        <v>12062</v>
      </c>
      <c r="D9077" t="s">
        <v>17444</v>
      </c>
      <c r="E9077" t="s">
        <v>25311</v>
      </c>
      <c r="F9077" t="s">
        <v>30052</v>
      </c>
      <c r="G9077" t="s">
        <v>30058</v>
      </c>
      <c r="H9077" t="s">
        <v>15498</v>
      </c>
      <c r="I9077" t="s">
        <v>30132</v>
      </c>
      <c r="J9077" t="s">
        <v>35739</v>
      </c>
      <c r="K9077" t="s">
        <v>39026</v>
      </c>
      <c r="M9077" t="s">
        <v>42208</v>
      </c>
      <c r="N9077" t="s">
        <v>43166</v>
      </c>
      <c r="O9077" t="s">
        <v>43167</v>
      </c>
      <c r="P9077">
        <v>0</v>
      </c>
      <c r="Q9077">
        <v>6</v>
      </c>
      <c r="R9077" t="s">
        <v>43175</v>
      </c>
      <c r="S9077" t="s">
        <v>43460</v>
      </c>
      <c r="T9077" t="s">
        <v>45093</v>
      </c>
      <c r="U9077" t="s">
        <v>52456</v>
      </c>
      <c r="V9077" t="s">
        <v>57779</v>
      </c>
      <c r="W9077" t="s">
        <v>42208</v>
      </c>
      <c r="X9077" t="s">
        <v>43195</v>
      </c>
    </row>
    <row r="9078" spans="1:24">
      <c r="A9078">
        <f>HYPERLINK("https://www.philgeps.gov.ph/GEPSNONPILOT/Tender/SplashBidNoticeAbstractUI.aspx?menuIndex=3&amp;refID=7009730&amp;Result=3","7009730")</f>
        <v>0</v>
      </c>
      <c r="B9078" t="s">
        <v>2688</v>
      </c>
      <c r="C9078" t="s">
        <v>12063</v>
      </c>
      <c r="D9078" t="s">
        <v>17471</v>
      </c>
      <c r="E9078" t="s">
        <v>18907</v>
      </c>
      <c r="F9078" t="s">
        <v>30052</v>
      </c>
      <c r="G9078" t="s">
        <v>30058</v>
      </c>
      <c r="H9078" t="s">
        <v>15498</v>
      </c>
      <c r="I9078" t="s">
        <v>3736</v>
      </c>
      <c r="J9078" t="s">
        <v>35740</v>
      </c>
      <c r="K9078" t="s">
        <v>39029</v>
      </c>
      <c r="M9078" t="s">
        <v>42209</v>
      </c>
      <c r="N9078" t="s">
        <v>43166</v>
      </c>
      <c r="O9078" t="s">
        <v>43167</v>
      </c>
      <c r="P9078">
        <v>0</v>
      </c>
      <c r="Q9078">
        <v>1</v>
      </c>
      <c r="R9078" t="s">
        <v>43175</v>
      </c>
      <c r="S9078" t="s">
        <v>43460</v>
      </c>
      <c r="T9078" t="s">
        <v>44702</v>
      </c>
      <c r="U9078" t="s">
        <v>52457</v>
      </c>
      <c r="W9078" t="s">
        <v>42209</v>
      </c>
      <c r="X9078" t="s">
        <v>43206</v>
      </c>
    </row>
    <row r="9079" spans="1:24">
      <c r="A9079">
        <f>HYPERLINK("https://www.philgeps.gov.ph/GEPSNONPILOT/Tender/SplashBidNoticeAbstractUI.aspx?menuIndex=3&amp;refID=6781805&amp;Result=3","6781805")</f>
        <v>0</v>
      </c>
      <c r="B9079" t="s">
        <v>2688</v>
      </c>
      <c r="C9079" t="s">
        <v>12064</v>
      </c>
      <c r="D9079" t="s">
        <v>17471</v>
      </c>
      <c r="E9079" t="s">
        <v>17933</v>
      </c>
      <c r="F9079" t="s">
        <v>30052</v>
      </c>
      <c r="G9079" t="s">
        <v>30058</v>
      </c>
      <c r="H9079" t="s">
        <v>15498</v>
      </c>
      <c r="I9079" t="s">
        <v>3736</v>
      </c>
      <c r="J9079" t="s">
        <v>30407</v>
      </c>
      <c r="K9079" t="s">
        <v>39029</v>
      </c>
      <c r="M9079" t="s">
        <v>42209</v>
      </c>
      <c r="N9079" t="s">
        <v>43166</v>
      </c>
      <c r="O9079" t="s">
        <v>43167</v>
      </c>
      <c r="P9079">
        <v>0</v>
      </c>
      <c r="Q9079">
        <v>0</v>
      </c>
      <c r="R9079" t="s">
        <v>43175</v>
      </c>
      <c r="S9079" t="s">
        <v>43460</v>
      </c>
      <c r="T9079" t="s">
        <v>44702</v>
      </c>
      <c r="U9079" t="s">
        <v>52458</v>
      </c>
      <c r="W9079" t="s">
        <v>42209</v>
      </c>
      <c r="X9079" t="s">
        <v>58733</v>
      </c>
    </row>
    <row r="9080" spans="1:24">
      <c r="A9080">
        <f>HYPERLINK("https://www.philgeps.gov.ph/GEPSNONPILOT/Tender/SplashBidNoticeAbstractUI.aspx?menuIndex=3&amp;refID=7075997&amp;Result=3","7075997")</f>
        <v>0</v>
      </c>
      <c r="B9080" t="s">
        <v>2683</v>
      </c>
      <c r="C9080" t="s">
        <v>12065</v>
      </c>
      <c r="D9080" t="s">
        <v>17442</v>
      </c>
      <c r="E9080" t="s">
        <v>25295</v>
      </c>
      <c r="F9080" t="s">
        <v>30052</v>
      </c>
      <c r="G9080" t="s">
        <v>30058</v>
      </c>
      <c r="H9080" t="s">
        <v>15498</v>
      </c>
      <c r="I9080" t="s">
        <v>3736</v>
      </c>
      <c r="J9080" t="s">
        <v>35741</v>
      </c>
      <c r="K9080" t="s">
        <v>39017</v>
      </c>
      <c r="M9080" t="s">
        <v>42204</v>
      </c>
      <c r="N9080" t="s">
        <v>43166</v>
      </c>
      <c r="O9080" t="s">
        <v>43167</v>
      </c>
      <c r="Q9080">
        <v>0</v>
      </c>
      <c r="R9080" t="s">
        <v>43174</v>
      </c>
      <c r="S9080" t="s">
        <v>43461</v>
      </c>
      <c r="T9080" t="s">
        <v>45047</v>
      </c>
      <c r="U9080" t="s">
        <v>52459</v>
      </c>
      <c r="V9080" t="s">
        <v>57778</v>
      </c>
      <c r="W9080" t="s">
        <v>42204</v>
      </c>
      <c r="X9080" t="s">
        <v>43175</v>
      </c>
    </row>
    <row r="9081" spans="1:24">
      <c r="A9081">
        <f>HYPERLINK("https://www.philgeps.gov.ph/GEPSNONPILOT/Tender/SplashBidNoticeAbstractUI.aspx?menuIndex=3&amp;refID=6469261&amp;Result=3","6469261")</f>
        <v>0</v>
      </c>
      <c r="B9081" t="s">
        <v>2688</v>
      </c>
      <c r="C9081" t="s">
        <v>12066</v>
      </c>
      <c r="D9081" t="s">
        <v>17471</v>
      </c>
      <c r="E9081" t="s">
        <v>18907</v>
      </c>
      <c r="F9081" t="s">
        <v>30052</v>
      </c>
      <c r="G9081" t="s">
        <v>30058</v>
      </c>
      <c r="H9081" t="s">
        <v>15498</v>
      </c>
      <c r="I9081" t="s">
        <v>3736</v>
      </c>
      <c r="J9081" t="s">
        <v>30514</v>
      </c>
      <c r="K9081" t="s">
        <v>39029</v>
      </c>
      <c r="M9081" t="s">
        <v>42209</v>
      </c>
      <c r="N9081" t="s">
        <v>43166</v>
      </c>
      <c r="O9081" t="s">
        <v>43167</v>
      </c>
      <c r="P9081">
        <v>0</v>
      </c>
      <c r="Q9081">
        <v>0</v>
      </c>
      <c r="R9081" t="s">
        <v>43175</v>
      </c>
      <c r="S9081" t="s">
        <v>43460</v>
      </c>
      <c r="T9081" t="s">
        <v>44702</v>
      </c>
      <c r="U9081" t="s">
        <v>52460</v>
      </c>
      <c r="W9081" t="s">
        <v>42209</v>
      </c>
      <c r="X9081" t="s">
        <v>58734</v>
      </c>
    </row>
    <row r="9082" spans="1:24">
      <c r="A9082">
        <f>HYPERLINK("https://www.philgeps.gov.ph/GEPSNONPILOT/Tender/SplashBidNoticeAbstractUI.aspx?menuIndex=3&amp;refID=7076083&amp;Result=3","7076083")</f>
        <v>0</v>
      </c>
      <c r="B9082" t="s">
        <v>1134</v>
      </c>
      <c r="C9082" t="s">
        <v>12067</v>
      </c>
      <c r="D9082" t="s">
        <v>17459</v>
      </c>
      <c r="E9082" t="s">
        <v>25312</v>
      </c>
      <c r="F9082" t="s">
        <v>30052</v>
      </c>
      <c r="G9082" t="s">
        <v>30059</v>
      </c>
      <c r="H9082" t="s">
        <v>15498</v>
      </c>
      <c r="I9082" t="s">
        <v>30081</v>
      </c>
      <c r="J9082" t="s">
        <v>35742</v>
      </c>
      <c r="K9082" t="s">
        <v>39037</v>
      </c>
      <c r="M9082" t="s">
        <v>40477</v>
      </c>
      <c r="N9082" t="s">
        <v>43166</v>
      </c>
      <c r="O9082" t="s">
        <v>43167</v>
      </c>
      <c r="P9082">
        <v>0</v>
      </c>
      <c r="Q9082">
        <v>0</v>
      </c>
      <c r="R9082" t="s">
        <v>43174</v>
      </c>
      <c r="S9082" t="s">
        <v>43396</v>
      </c>
      <c r="T9082" t="s">
        <v>44717</v>
      </c>
      <c r="U9082" t="s">
        <v>52461</v>
      </c>
      <c r="W9082" t="s">
        <v>40477</v>
      </c>
      <c r="X9082" t="s">
        <v>43175</v>
      </c>
    </row>
    <row r="9083" spans="1:24">
      <c r="A9083">
        <f>HYPERLINK("https://www.philgeps.gov.ph/GEPSNONPILOT/Tender/SplashBidNoticeAbstractUI.aspx?menuIndex=3&amp;refID=7076082&amp;Result=3","7076082")</f>
        <v>0</v>
      </c>
      <c r="B9083" t="s">
        <v>2409</v>
      </c>
      <c r="C9083" t="s">
        <v>12068</v>
      </c>
      <c r="D9083" t="s">
        <v>17466</v>
      </c>
      <c r="E9083" t="s">
        <v>25313</v>
      </c>
      <c r="F9083" t="s">
        <v>30052</v>
      </c>
      <c r="G9083" t="s">
        <v>30058</v>
      </c>
      <c r="H9083" t="s">
        <v>30069</v>
      </c>
      <c r="I9083" t="s">
        <v>3736</v>
      </c>
      <c r="J9083" t="s">
        <v>30398</v>
      </c>
      <c r="K9083" t="s">
        <v>39039</v>
      </c>
      <c r="M9083" t="s">
        <v>41906</v>
      </c>
      <c r="N9083" t="s">
        <v>43166</v>
      </c>
      <c r="O9083" t="s">
        <v>43167</v>
      </c>
      <c r="P9083">
        <v>0</v>
      </c>
      <c r="Q9083">
        <v>0</v>
      </c>
      <c r="R9083" t="s">
        <v>43174</v>
      </c>
      <c r="S9083" t="s">
        <v>43396</v>
      </c>
      <c r="T9083" t="s">
        <v>44873</v>
      </c>
      <c r="U9083" t="s">
        <v>52462</v>
      </c>
      <c r="W9083" t="s">
        <v>41906</v>
      </c>
      <c r="X9083" t="s">
        <v>43175</v>
      </c>
    </row>
    <row r="9084" spans="1:24">
      <c r="A9084">
        <f>HYPERLINK("https://www.philgeps.gov.ph/GEPSNONPILOT/Tender/SplashBidNoticeAbstractUI.aspx?menuIndex=3&amp;refID=7075998&amp;Result=3","7075998")</f>
        <v>0</v>
      </c>
      <c r="B9084" t="s">
        <v>2649</v>
      </c>
      <c r="C9084" t="s">
        <v>12069</v>
      </c>
      <c r="E9084" t="s">
        <v>25314</v>
      </c>
      <c r="F9084" t="s">
        <v>30052</v>
      </c>
      <c r="G9084" t="s">
        <v>30058</v>
      </c>
      <c r="H9084" t="s">
        <v>15498</v>
      </c>
      <c r="I9084" t="s">
        <v>30088</v>
      </c>
      <c r="J9084" t="s">
        <v>33261</v>
      </c>
      <c r="K9084" t="s">
        <v>39025</v>
      </c>
      <c r="M9084" t="s">
        <v>42200</v>
      </c>
      <c r="N9084" t="s">
        <v>43166</v>
      </c>
      <c r="O9084" t="s">
        <v>43167</v>
      </c>
      <c r="Q9084">
        <v>8</v>
      </c>
      <c r="R9084" t="s">
        <v>43174</v>
      </c>
      <c r="S9084" t="s">
        <v>43453</v>
      </c>
      <c r="T9084" t="s">
        <v>44752</v>
      </c>
      <c r="U9084" t="s">
        <v>52315</v>
      </c>
      <c r="V9084" t="s">
        <v>57758</v>
      </c>
      <c r="W9084" t="s">
        <v>42200</v>
      </c>
      <c r="X9084" t="s">
        <v>43175</v>
      </c>
    </row>
    <row r="9085" spans="1:24">
      <c r="A9085">
        <f>HYPERLINK("https://www.philgeps.gov.ph/GEPSNONPILOT/Tender/SplashBidNoticeAbstractUI.aspx?menuIndex=3&amp;refID=7076080&amp;Result=3","7076080")</f>
        <v>0</v>
      </c>
      <c r="B9085" t="s">
        <v>559</v>
      </c>
      <c r="C9085" t="s">
        <v>12070</v>
      </c>
      <c r="E9085" t="s">
        <v>18645</v>
      </c>
      <c r="F9085" t="s">
        <v>30052</v>
      </c>
      <c r="G9085" t="s">
        <v>30058</v>
      </c>
      <c r="H9085" t="s">
        <v>30067</v>
      </c>
      <c r="I9085" t="s">
        <v>30082</v>
      </c>
      <c r="J9085" t="s">
        <v>35743</v>
      </c>
      <c r="K9085" t="s">
        <v>39019</v>
      </c>
      <c r="M9085" t="s">
        <v>39861</v>
      </c>
      <c r="N9085" t="s">
        <v>43166</v>
      </c>
      <c r="O9085" t="s">
        <v>43167</v>
      </c>
      <c r="P9085">
        <v>0</v>
      </c>
      <c r="Q9085">
        <v>0</v>
      </c>
      <c r="R9085" t="s">
        <v>43174</v>
      </c>
      <c r="S9085" t="s">
        <v>43396</v>
      </c>
      <c r="T9085" t="s">
        <v>44717</v>
      </c>
      <c r="U9085" t="s">
        <v>46277</v>
      </c>
      <c r="W9085" t="s">
        <v>39861</v>
      </c>
      <c r="X9085" t="s">
        <v>43175</v>
      </c>
    </row>
    <row r="9086" spans="1:24">
      <c r="A9086">
        <f>HYPERLINK("https://www.philgeps.gov.ph/GEPSNONPILOT/Tender/SplashBidNoticeAbstractUI.aspx?menuIndex=3&amp;refID=7076028&amp;Result=3","7076028")</f>
        <v>0</v>
      </c>
      <c r="B9086" t="s">
        <v>2670</v>
      </c>
      <c r="C9086" t="s">
        <v>12071</v>
      </c>
      <c r="D9086" t="s">
        <v>17456</v>
      </c>
      <c r="E9086" t="s">
        <v>25315</v>
      </c>
      <c r="F9086" t="s">
        <v>30052</v>
      </c>
      <c r="G9086" t="s">
        <v>30058</v>
      </c>
      <c r="H9086" t="s">
        <v>30067</v>
      </c>
      <c r="I9086" t="s">
        <v>3693</v>
      </c>
      <c r="J9086" t="s">
        <v>35744</v>
      </c>
      <c r="K9086" t="s">
        <v>39025</v>
      </c>
      <c r="M9086" t="s">
        <v>42189</v>
      </c>
      <c r="N9086" t="s">
        <v>43166</v>
      </c>
      <c r="O9086" t="s">
        <v>43167</v>
      </c>
      <c r="P9086">
        <v>0</v>
      </c>
      <c r="Q9086">
        <v>4</v>
      </c>
      <c r="R9086" t="s">
        <v>43174</v>
      </c>
      <c r="S9086" t="s">
        <v>43396</v>
      </c>
      <c r="T9086" t="s">
        <v>45021</v>
      </c>
      <c r="U9086" t="s">
        <v>52463</v>
      </c>
      <c r="W9086" t="s">
        <v>42189</v>
      </c>
      <c r="X9086" t="s">
        <v>43175</v>
      </c>
    </row>
    <row r="9087" spans="1:24">
      <c r="A9087">
        <f>HYPERLINK("https://www.philgeps.gov.ph/GEPSNONPILOT/Tender/SplashBidNoticeAbstractUI.aspx?menuIndex=3&amp;refID=7076071&amp;Result=3","7076071")</f>
        <v>0</v>
      </c>
      <c r="B9087" t="s">
        <v>99</v>
      </c>
      <c r="C9087" t="s">
        <v>12072</v>
      </c>
      <c r="D9087" t="s">
        <v>17447</v>
      </c>
      <c r="E9087" t="s">
        <v>20706</v>
      </c>
      <c r="F9087" t="s">
        <v>30052</v>
      </c>
      <c r="G9087" t="s">
        <v>30058</v>
      </c>
      <c r="H9087" t="s">
        <v>30069</v>
      </c>
      <c r="I9087" t="s">
        <v>30129</v>
      </c>
      <c r="J9087" t="s">
        <v>30247</v>
      </c>
      <c r="K9087" t="s">
        <v>39067</v>
      </c>
      <c r="M9087" t="s">
        <v>42210</v>
      </c>
      <c r="N9087" t="s">
        <v>43166</v>
      </c>
      <c r="O9087" t="s">
        <v>43167</v>
      </c>
      <c r="P9087">
        <v>0</v>
      </c>
      <c r="Q9087">
        <v>1</v>
      </c>
      <c r="R9087" t="s">
        <v>43174</v>
      </c>
      <c r="S9087" t="s">
        <v>43396</v>
      </c>
      <c r="T9087" t="s">
        <v>44837</v>
      </c>
      <c r="U9087" t="s">
        <v>52464</v>
      </c>
      <c r="V9087" t="s">
        <v>57780</v>
      </c>
      <c r="W9087" t="s">
        <v>58590</v>
      </c>
      <c r="X9087" t="s">
        <v>43175</v>
      </c>
    </row>
    <row r="9088" spans="1:24">
      <c r="A9088">
        <f>HYPERLINK("https://www.philgeps.gov.ph/GEPSNONPILOT/Tender/SplashBidNoticeAbstractUI.aspx?menuIndex=3&amp;refID=6987014&amp;Result=3","6987014")</f>
        <v>0</v>
      </c>
      <c r="B9088" t="s">
        <v>340</v>
      </c>
      <c r="C9088" t="s">
        <v>12073</v>
      </c>
      <c r="D9088" t="s">
        <v>17486</v>
      </c>
      <c r="E9088" t="s">
        <v>18877</v>
      </c>
      <c r="F9088" t="s">
        <v>30052</v>
      </c>
      <c r="G9088" t="s">
        <v>30058</v>
      </c>
      <c r="H9088" t="s">
        <v>15498</v>
      </c>
      <c r="I9088" t="s">
        <v>3606</v>
      </c>
      <c r="J9088" t="s">
        <v>35745</v>
      </c>
      <c r="K9088" t="s">
        <v>39019</v>
      </c>
      <c r="M9088" t="s">
        <v>39636</v>
      </c>
      <c r="N9088" t="s">
        <v>43166</v>
      </c>
      <c r="O9088" t="s">
        <v>43167</v>
      </c>
      <c r="P9088">
        <v>0</v>
      </c>
      <c r="Q9088">
        <v>14</v>
      </c>
      <c r="R9088" t="s">
        <v>43175</v>
      </c>
      <c r="S9088" t="s">
        <v>43460</v>
      </c>
      <c r="T9088" t="s">
        <v>44815</v>
      </c>
      <c r="U9088" t="s">
        <v>52465</v>
      </c>
      <c r="V9088" t="s">
        <v>57781</v>
      </c>
      <c r="W9088" t="s">
        <v>39636</v>
      </c>
      <c r="X9088" t="s">
        <v>43217</v>
      </c>
    </row>
    <row r="9089" spans="1:24">
      <c r="A9089">
        <f>HYPERLINK("https://www.philgeps.gov.ph/GEPSNONPILOT/Tender/SplashBidNoticeAbstractUI.aspx?menuIndex=3&amp;refID=7044007&amp;Result=3","7044007")</f>
        <v>0</v>
      </c>
      <c r="B9089" t="s">
        <v>311</v>
      </c>
      <c r="C9089" t="s">
        <v>12074</v>
      </c>
      <c r="D9089" t="s">
        <v>17429</v>
      </c>
      <c r="E9089" t="s">
        <v>19630</v>
      </c>
      <c r="F9089" t="s">
        <v>30052</v>
      </c>
      <c r="G9089" t="s">
        <v>30058</v>
      </c>
      <c r="H9089" t="s">
        <v>30067</v>
      </c>
      <c r="I9089" t="s">
        <v>3693</v>
      </c>
      <c r="J9089" t="s">
        <v>30281</v>
      </c>
      <c r="K9089" t="s">
        <v>39031</v>
      </c>
      <c r="M9089" t="s">
        <v>39607</v>
      </c>
      <c r="N9089" t="s">
        <v>43166</v>
      </c>
      <c r="O9089" t="s">
        <v>43167</v>
      </c>
      <c r="P9089">
        <v>0</v>
      </c>
      <c r="Q9089">
        <v>0</v>
      </c>
      <c r="R9089" t="s">
        <v>43175</v>
      </c>
      <c r="S9089" t="s">
        <v>43460</v>
      </c>
      <c r="T9089" t="s">
        <v>44758</v>
      </c>
      <c r="U9089" t="s">
        <v>52466</v>
      </c>
      <c r="W9089" t="s">
        <v>39607</v>
      </c>
      <c r="X9089" t="s">
        <v>43285</v>
      </c>
    </row>
    <row r="9090" spans="1:24">
      <c r="A9090">
        <f>HYPERLINK("https://www.philgeps.gov.ph/GEPSNONPILOT/Tender/SplashBidNoticeAbstractUI.aspx?menuIndex=3&amp;refID=7068438&amp;Result=3","7068438")</f>
        <v>0</v>
      </c>
      <c r="B9090" t="s">
        <v>2689</v>
      </c>
      <c r="C9090" t="s">
        <v>12075</v>
      </c>
      <c r="D9090" t="s">
        <v>17422</v>
      </c>
      <c r="E9090" t="s">
        <v>25316</v>
      </c>
      <c r="F9090" t="s">
        <v>30052</v>
      </c>
      <c r="G9090" t="s">
        <v>30058</v>
      </c>
      <c r="H9090" t="s">
        <v>15498</v>
      </c>
      <c r="I9090" t="s">
        <v>3852</v>
      </c>
      <c r="J9090" t="s">
        <v>35746</v>
      </c>
      <c r="K9090" t="s">
        <v>39025</v>
      </c>
      <c r="M9090" t="s">
        <v>42211</v>
      </c>
      <c r="N9090" t="s">
        <v>43166</v>
      </c>
      <c r="O9090" t="s">
        <v>43167</v>
      </c>
      <c r="P9090">
        <v>0</v>
      </c>
      <c r="Q9090">
        <v>9</v>
      </c>
      <c r="R9090" t="s">
        <v>43175</v>
      </c>
      <c r="S9090" t="s">
        <v>43460</v>
      </c>
      <c r="T9090" t="s">
        <v>44796</v>
      </c>
      <c r="U9090" t="s">
        <v>52467</v>
      </c>
      <c r="V9090" t="s">
        <v>57782</v>
      </c>
      <c r="W9090" t="s">
        <v>42211</v>
      </c>
      <c r="X9090" t="s">
        <v>43179</v>
      </c>
    </row>
    <row r="9091" spans="1:24">
      <c r="A9091">
        <f>HYPERLINK("https://www.philgeps.gov.ph/GEPSNONPILOT/Tender/SplashBidNoticeAbstractUI.aspx?menuIndex=3&amp;refID=7075999&amp;Result=3","7075999")</f>
        <v>0</v>
      </c>
      <c r="B9091" t="s">
        <v>2670</v>
      </c>
      <c r="C9091" t="s">
        <v>12076</v>
      </c>
      <c r="D9091" t="s">
        <v>17456</v>
      </c>
      <c r="E9091" t="s">
        <v>25317</v>
      </c>
      <c r="F9091" t="s">
        <v>30052</v>
      </c>
      <c r="G9091" t="s">
        <v>30058</v>
      </c>
      <c r="H9091" t="s">
        <v>15498</v>
      </c>
      <c r="I9091" t="s">
        <v>3736</v>
      </c>
      <c r="J9091" t="s">
        <v>35747</v>
      </c>
      <c r="K9091" t="s">
        <v>39025</v>
      </c>
      <c r="M9091" t="s">
        <v>42189</v>
      </c>
      <c r="N9091" t="s">
        <v>43166</v>
      </c>
      <c r="O9091" t="s">
        <v>43167</v>
      </c>
      <c r="P9091">
        <v>0</v>
      </c>
      <c r="Q9091">
        <v>1</v>
      </c>
      <c r="R9091" t="s">
        <v>43174</v>
      </c>
      <c r="S9091" t="s">
        <v>43396</v>
      </c>
      <c r="T9091" t="s">
        <v>44949</v>
      </c>
      <c r="U9091" t="s">
        <v>52468</v>
      </c>
      <c r="W9091" t="s">
        <v>42189</v>
      </c>
      <c r="X9091" t="s">
        <v>43175</v>
      </c>
    </row>
    <row r="9092" spans="1:24">
      <c r="A9092">
        <f>HYPERLINK("https://www.philgeps.gov.ph/GEPSNONPILOT/Tender/SplashBidNoticeAbstractUI.aspx?menuIndex=3&amp;refID=7076061&amp;Result=3","7076061")</f>
        <v>0</v>
      </c>
      <c r="B9092" t="s">
        <v>2409</v>
      </c>
      <c r="C9092" t="s">
        <v>12077</v>
      </c>
      <c r="D9092" t="s">
        <v>17466</v>
      </c>
      <c r="E9092" t="s">
        <v>22694</v>
      </c>
      <c r="F9092" t="s">
        <v>30052</v>
      </c>
      <c r="G9092" t="s">
        <v>30058</v>
      </c>
      <c r="H9092" t="s">
        <v>30069</v>
      </c>
      <c r="I9092" t="s">
        <v>30070</v>
      </c>
      <c r="J9092" t="s">
        <v>32451</v>
      </c>
      <c r="K9092" t="s">
        <v>39039</v>
      </c>
      <c r="M9092" t="s">
        <v>41906</v>
      </c>
      <c r="N9092" t="s">
        <v>43166</v>
      </c>
      <c r="O9092" t="s">
        <v>43167</v>
      </c>
      <c r="P9092">
        <v>0</v>
      </c>
      <c r="Q9092">
        <v>0</v>
      </c>
      <c r="R9092" t="s">
        <v>43174</v>
      </c>
      <c r="S9092" t="s">
        <v>43396</v>
      </c>
      <c r="T9092" t="s">
        <v>44873</v>
      </c>
      <c r="U9092" t="s">
        <v>52469</v>
      </c>
      <c r="W9092" t="s">
        <v>41906</v>
      </c>
      <c r="X9092" t="s">
        <v>43175</v>
      </c>
    </row>
    <row r="9093" spans="1:24">
      <c r="A9093">
        <f>HYPERLINK("https://www.philgeps.gov.ph/GEPSNONPILOT/Tender/SplashBidNoticeAbstractUI.aspx?menuIndex=3&amp;refID=7076085&amp;Result=3","7076085")</f>
        <v>0</v>
      </c>
      <c r="B9093" t="s">
        <v>2409</v>
      </c>
      <c r="C9093" t="s">
        <v>12078</v>
      </c>
      <c r="D9093" t="s">
        <v>17466</v>
      </c>
      <c r="E9093" t="s">
        <v>25318</v>
      </c>
      <c r="F9093" t="s">
        <v>30052</v>
      </c>
      <c r="G9093" t="s">
        <v>30058</v>
      </c>
      <c r="H9093" t="s">
        <v>15498</v>
      </c>
      <c r="I9093" t="s">
        <v>3736</v>
      </c>
      <c r="J9093" t="s">
        <v>30398</v>
      </c>
      <c r="K9093" t="s">
        <v>39039</v>
      </c>
      <c r="M9093" t="s">
        <v>41906</v>
      </c>
      <c r="N9093" t="s">
        <v>43166</v>
      </c>
      <c r="O9093" t="s">
        <v>43167</v>
      </c>
      <c r="P9093">
        <v>0</v>
      </c>
      <c r="Q9093">
        <v>0</v>
      </c>
      <c r="R9093" t="s">
        <v>43174</v>
      </c>
      <c r="S9093" t="s">
        <v>43396</v>
      </c>
      <c r="T9093" t="s">
        <v>44873</v>
      </c>
      <c r="U9093" t="s">
        <v>52470</v>
      </c>
      <c r="W9093" t="s">
        <v>41906</v>
      </c>
      <c r="X9093" t="s">
        <v>43175</v>
      </c>
    </row>
    <row r="9094" spans="1:24">
      <c r="A9094">
        <f>HYPERLINK("https://www.philgeps.gov.ph/GEPSNONPILOT/Tender/SplashBidNoticeAbstractUI.aspx?menuIndex=3&amp;refID=7068423&amp;Result=3","7068423")</f>
        <v>0</v>
      </c>
      <c r="B9094" t="s">
        <v>2689</v>
      </c>
      <c r="C9094" t="s">
        <v>12079</v>
      </c>
      <c r="D9094" t="s">
        <v>17422</v>
      </c>
      <c r="E9094" t="s">
        <v>25319</v>
      </c>
      <c r="F9094" t="s">
        <v>30052</v>
      </c>
      <c r="G9094" t="s">
        <v>30058</v>
      </c>
      <c r="H9094" t="s">
        <v>15498</v>
      </c>
      <c r="I9094" t="s">
        <v>30096</v>
      </c>
      <c r="J9094" t="s">
        <v>35748</v>
      </c>
      <c r="K9094" t="s">
        <v>39025</v>
      </c>
      <c r="M9094" t="s">
        <v>42211</v>
      </c>
      <c r="N9094" t="s">
        <v>43166</v>
      </c>
      <c r="O9094" t="s">
        <v>43167</v>
      </c>
      <c r="P9094">
        <v>0</v>
      </c>
      <c r="Q9094">
        <v>7</v>
      </c>
      <c r="R9094" t="s">
        <v>43175</v>
      </c>
      <c r="S9094" t="s">
        <v>43460</v>
      </c>
      <c r="T9094" t="s">
        <v>44796</v>
      </c>
      <c r="U9094" t="s">
        <v>52471</v>
      </c>
      <c r="V9094" t="s">
        <v>57783</v>
      </c>
      <c r="W9094" t="s">
        <v>42211</v>
      </c>
      <c r="X9094" t="s">
        <v>43179</v>
      </c>
    </row>
    <row r="9095" spans="1:24">
      <c r="A9095">
        <f>HYPERLINK("https://www.philgeps.gov.ph/GEPSNONPILOT/Tender/SplashBidNoticeAbstractUI.aspx?menuIndex=3&amp;refID=7068108&amp;Result=3","7068108")</f>
        <v>0</v>
      </c>
      <c r="B9095" t="s">
        <v>2689</v>
      </c>
      <c r="C9095" t="s">
        <v>12080</v>
      </c>
      <c r="D9095" t="s">
        <v>17422</v>
      </c>
      <c r="E9095" t="s">
        <v>25320</v>
      </c>
      <c r="F9095" t="s">
        <v>30052</v>
      </c>
      <c r="G9095" t="s">
        <v>30058</v>
      </c>
      <c r="H9095" t="s">
        <v>15498</v>
      </c>
      <c r="I9095" t="s">
        <v>30128</v>
      </c>
      <c r="J9095" t="s">
        <v>30417</v>
      </c>
      <c r="K9095" t="s">
        <v>39025</v>
      </c>
      <c r="M9095" t="s">
        <v>42211</v>
      </c>
      <c r="N9095" t="s">
        <v>43166</v>
      </c>
      <c r="O9095" t="s">
        <v>43167</v>
      </c>
      <c r="P9095">
        <v>0</v>
      </c>
      <c r="Q9095">
        <v>1</v>
      </c>
      <c r="R9095" t="s">
        <v>43175</v>
      </c>
      <c r="S9095" t="s">
        <v>43460</v>
      </c>
      <c r="T9095" t="s">
        <v>44844</v>
      </c>
      <c r="U9095" t="s">
        <v>52472</v>
      </c>
      <c r="V9095" t="s">
        <v>57784</v>
      </c>
      <c r="W9095" t="s">
        <v>42211</v>
      </c>
      <c r="X9095" t="s">
        <v>43179</v>
      </c>
    </row>
    <row r="9096" spans="1:24">
      <c r="A9096">
        <f>HYPERLINK("https://www.philgeps.gov.ph/GEPSNONPILOT/Tender/SplashBidNoticeAbstractUI.aspx?menuIndex=3&amp;refID=7068059&amp;Result=3","7068059")</f>
        <v>0</v>
      </c>
      <c r="B9096" t="s">
        <v>2689</v>
      </c>
      <c r="C9096" t="s">
        <v>12081</v>
      </c>
      <c r="D9096" t="s">
        <v>17422</v>
      </c>
      <c r="E9096" t="s">
        <v>25321</v>
      </c>
      <c r="F9096" t="s">
        <v>30052</v>
      </c>
      <c r="G9096" t="s">
        <v>30058</v>
      </c>
      <c r="H9096" t="s">
        <v>15498</v>
      </c>
      <c r="I9096" t="s">
        <v>30128</v>
      </c>
      <c r="J9096" t="s">
        <v>30230</v>
      </c>
      <c r="K9096" t="s">
        <v>39025</v>
      </c>
      <c r="M9096" t="s">
        <v>42211</v>
      </c>
      <c r="N9096" t="s">
        <v>43166</v>
      </c>
      <c r="O9096" t="s">
        <v>43167</v>
      </c>
      <c r="P9096">
        <v>0</v>
      </c>
      <c r="Q9096">
        <v>1</v>
      </c>
      <c r="R9096" t="s">
        <v>43175</v>
      </c>
      <c r="S9096" t="s">
        <v>43460</v>
      </c>
      <c r="T9096" t="s">
        <v>44844</v>
      </c>
      <c r="U9096" t="s">
        <v>52473</v>
      </c>
      <c r="V9096" t="s">
        <v>57785</v>
      </c>
      <c r="W9096" t="s">
        <v>42211</v>
      </c>
      <c r="X9096" t="s">
        <v>43179</v>
      </c>
    </row>
    <row r="9097" spans="1:24">
      <c r="A9097">
        <f>HYPERLINK("https://www.philgeps.gov.ph/GEPSNONPILOT/Tender/SplashBidNoticeAbstractUI.aspx?menuIndex=3&amp;refID=7076072&amp;Result=3","7076072")</f>
        <v>0</v>
      </c>
      <c r="B9097" t="s">
        <v>2660</v>
      </c>
      <c r="C9097" t="s">
        <v>12082</v>
      </c>
      <c r="D9097" t="s">
        <v>17415</v>
      </c>
      <c r="E9097" t="s">
        <v>25322</v>
      </c>
      <c r="F9097" t="s">
        <v>30052</v>
      </c>
      <c r="G9097" t="s">
        <v>30058</v>
      </c>
      <c r="H9097" t="s">
        <v>30067</v>
      </c>
      <c r="I9097" t="s">
        <v>3693</v>
      </c>
      <c r="J9097" t="s">
        <v>35749</v>
      </c>
      <c r="K9097" t="s">
        <v>39023</v>
      </c>
      <c r="M9097" t="s">
        <v>42179</v>
      </c>
      <c r="N9097" t="s">
        <v>43166</v>
      </c>
      <c r="O9097" t="s">
        <v>43167</v>
      </c>
      <c r="P9097">
        <v>0</v>
      </c>
      <c r="Q9097">
        <v>4</v>
      </c>
      <c r="R9097" t="s">
        <v>43174</v>
      </c>
      <c r="S9097" t="s">
        <v>43396</v>
      </c>
      <c r="T9097" t="s">
        <v>44842</v>
      </c>
      <c r="U9097" t="s">
        <v>52474</v>
      </c>
      <c r="V9097" t="s">
        <v>57766</v>
      </c>
      <c r="W9097" t="s">
        <v>42179</v>
      </c>
      <c r="X9097" t="s">
        <v>43175</v>
      </c>
    </row>
    <row r="9098" spans="1:24">
      <c r="A9098">
        <f>HYPERLINK("https://www.philgeps.gov.ph/GEPSNONPILOT/Tender/SplashBidNoticeAbstractUI.aspx?menuIndex=3&amp;refID=7066032&amp;Result=3","7066032")</f>
        <v>0</v>
      </c>
      <c r="B9098" t="s">
        <v>2690</v>
      </c>
      <c r="C9098" t="s">
        <v>12083</v>
      </c>
      <c r="D9098" t="s">
        <v>17432</v>
      </c>
      <c r="E9098" t="s">
        <v>25323</v>
      </c>
      <c r="F9098" t="s">
        <v>30052</v>
      </c>
      <c r="G9098" t="s">
        <v>30058</v>
      </c>
      <c r="H9098" t="s">
        <v>15498</v>
      </c>
      <c r="I9098" t="s">
        <v>30097</v>
      </c>
      <c r="J9098" t="s">
        <v>35750</v>
      </c>
      <c r="K9098" t="s">
        <v>39046</v>
      </c>
      <c r="M9098" t="s">
        <v>42212</v>
      </c>
      <c r="N9098" t="s">
        <v>43166</v>
      </c>
      <c r="O9098" t="s">
        <v>43167</v>
      </c>
      <c r="P9098">
        <v>0</v>
      </c>
      <c r="Q9098">
        <v>7</v>
      </c>
      <c r="R9098" t="s">
        <v>43175</v>
      </c>
      <c r="S9098" t="s">
        <v>43460</v>
      </c>
      <c r="T9098" t="s">
        <v>44837</v>
      </c>
      <c r="U9098" t="s">
        <v>52475</v>
      </c>
      <c r="W9098" t="s">
        <v>42212</v>
      </c>
      <c r="X9098" t="s">
        <v>43180</v>
      </c>
    </row>
    <row r="9099" spans="1:24">
      <c r="A9099">
        <f>HYPERLINK("https://www.philgeps.gov.ph/GEPSNONPILOT/Tender/SplashBidNoticeAbstractUI.aspx?menuIndex=3&amp;refID=7065483&amp;Result=3","7065483")</f>
        <v>0</v>
      </c>
      <c r="B9099" t="s">
        <v>176</v>
      </c>
      <c r="C9099" t="s">
        <v>12084</v>
      </c>
      <c r="D9099" t="s">
        <v>17427</v>
      </c>
      <c r="E9099" t="s">
        <v>17620</v>
      </c>
      <c r="F9099" t="s">
        <v>30052</v>
      </c>
      <c r="G9099" t="s">
        <v>30058</v>
      </c>
      <c r="H9099" t="s">
        <v>30067</v>
      </c>
      <c r="I9099" t="s">
        <v>3693</v>
      </c>
      <c r="J9099" t="s">
        <v>30281</v>
      </c>
      <c r="K9099" t="s">
        <v>39031</v>
      </c>
      <c r="M9099" t="s">
        <v>39465</v>
      </c>
      <c r="N9099" t="s">
        <v>43166</v>
      </c>
      <c r="O9099" t="s">
        <v>43167</v>
      </c>
      <c r="P9099">
        <v>0</v>
      </c>
      <c r="Q9099">
        <v>0</v>
      </c>
      <c r="R9099" t="s">
        <v>43175</v>
      </c>
      <c r="S9099" t="s">
        <v>43460</v>
      </c>
      <c r="T9099" t="s">
        <v>44716</v>
      </c>
      <c r="U9099" t="s">
        <v>52476</v>
      </c>
      <c r="V9099" t="s">
        <v>57786</v>
      </c>
      <c r="W9099" t="s">
        <v>39465</v>
      </c>
      <c r="X9099" t="s">
        <v>43180</v>
      </c>
    </row>
    <row r="9100" spans="1:24">
      <c r="A9100">
        <f>HYPERLINK("https://www.philgeps.gov.ph/GEPSNONPILOT/Tender/SplashBidNoticeAbstractUI.aspx?menuIndex=3&amp;refID=7065416&amp;Result=3","7065416")</f>
        <v>0</v>
      </c>
      <c r="B9100" t="s">
        <v>176</v>
      </c>
      <c r="C9100" t="s">
        <v>12085</v>
      </c>
      <c r="D9100" t="s">
        <v>17427</v>
      </c>
      <c r="E9100" t="s">
        <v>25324</v>
      </c>
      <c r="F9100" t="s">
        <v>30052</v>
      </c>
      <c r="G9100" t="s">
        <v>30058</v>
      </c>
      <c r="H9100" t="s">
        <v>30067</v>
      </c>
      <c r="I9100" t="s">
        <v>3693</v>
      </c>
      <c r="J9100" t="s">
        <v>30247</v>
      </c>
      <c r="K9100" t="s">
        <v>39026</v>
      </c>
      <c r="M9100" t="s">
        <v>39465</v>
      </c>
      <c r="N9100" t="s">
        <v>43166</v>
      </c>
      <c r="O9100" t="s">
        <v>43167</v>
      </c>
      <c r="P9100">
        <v>0</v>
      </c>
      <c r="Q9100">
        <v>0</v>
      </c>
      <c r="R9100" t="s">
        <v>43175</v>
      </c>
      <c r="S9100" t="s">
        <v>43460</v>
      </c>
      <c r="T9100" t="s">
        <v>44873</v>
      </c>
      <c r="U9100" t="s">
        <v>49311</v>
      </c>
      <c r="V9100" t="s">
        <v>57786</v>
      </c>
      <c r="W9100" t="s">
        <v>39465</v>
      </c>
      <c r="X9100" t="s">
        <v>43180</v>
      </c>
    </row>
    <row r="9101" spans="1:24">
      <c r="A9101">
        <f>HYPERLINK("https://www.philgeps.gov.ph/GEPSNONPILOT/Tender/SplashBidNoticeAbstractUI.aspx?menuIndex=3&amp;refID=7061540&amp;Result=3","7061540")</f>
        <v>0</v>
      </c>
      <c r="B9101" t="s">
        <v>2440</v>
      </c>
      <c r="C9101" t="s">
        <v>12086</v>
      </c>
      <c r="D9101" t="s">
        <v>17444</v>
      </c>
      <c r="E9101" t="s">
        <v>25325</v>
      </c>
      <c r="F9101" t="s">
        <v>30052</v>
      </c>
      <c r="G9101" t="s">
        <v>30058</v>
      </c>
      <c r="H9101" t="s">
        <v>30067</v>
      </c>
      <c r="I9101" t="s">
        <v>3693</v>
      </c>
      <c r="J9101" t="s">
        <v>35751</v>
      </c>
      <c r="K9101" t="s">
        <v>39023</v>
      </c>
      <c r="M9101" t="s">
        <v>41939</v>
      </c>
      <c r="N9101" t="s">
        <v>43166</v>
      </c>
      <c r="O9101" t="s">
        <v>43167</v>
      </c>
      <c r="P9101">
        <v>0</v>
      </c>
      <c r="Q9101">
        <v>0</v>
      </c>
      <c r="R9101" t="s">
        <v>43175</v>
      </c>
      <c r="S9101" t="s">
        <v>43460</v>
      </c>
      <c r="T9101" t="s">
        <v>44856</v>
      </c>
      <c r="U9101" t="s">
        <v>52477</v>
      </c>
      <c r="W9101" t="s">
        <v>41939</v>
      </c>
      <c r="X9101" t="s">
        <v>43182</v>
      </c>
    </row>
    <row r="9102" spans="1:24">
      <c r="A9102">
        <f>HYPERLINK("https://www.philgeps.gov.ph/GEPSNONPILOT/Tender/SplashBidNoticeAbstractUI.aspx?menuIndex=3&amp;refID=7068448&amp;Result=3","7068448")</f>
        <v>0</v>
      </c>
      <c r="B9102" t="s">
        <v>2689</v>
      </c>
      <c r="C9102" t="s">
        <v>12087</v>
      </c>
      <c r="D9102" t="s">
        <v>17422</v>
      </c>
      <c r="E9102" t="s">
        <v>25326</v>
      </c>
      <c r="F9102" t="s">
        <v>30052</v>
      </c>
      <c r="G9102" t="s">
        <v>30058</v>
      </c>
      <c r="H9102" t="s">
        <v>15498</v>
      </c>
      <c r="I9102" t="s">
        <v>30084</v>
      </c>
      <c r="J9102" t="s">
        <v>30236</v>
      </c>
      <c r="K9102" t="s">
        <v>39025</v>
      </c>
      <c r="M9102" t="s">
        <v>42211</v>
      </c>
      <c r="N9102" t="s">
        <v>43166</v>
      </c>
      <c r="O9102" t="s">
        <v>43167</v>
      </c>
      <c r="P9102">
        <v>0</v>
      </c>
      <c r="Q9102">
        <v>4</v>
      </c>
      <c r="R9102" t="s">
        <v>43175</v>
      </c>
      <c r="S9102" t="s">
        <v>43460</v>
      </c>
      <c r="T9102" t="s">
        <v>44796</v>
      </c>
      <c r="U9102" t="s">
        <v>52478</v>
      </c>
      <c r="V9102" t="s">
        <v>57787</v>
      </c>
      <c r="W9102" t="s">
        <v>42211</v>
      </c>
      <c r="X9102" t="s">
        <v>43179</v>
      </c>
    </row>
    <row r="9103" spans="1:24">
      <c r="A9103">
        <f>HYPERLINK("https://www.philgeps.gov.ph/GEPSNONPILOT/Tender/SplashBidNoticeAbstractUI.aspx?menuIndex=3&amp;refID=7068432&amp;Result=3","7068432")</f>
        <v>0</v>
      </c>
      <c r="B9103" t="s">
        <v>2689</v>
      </c>
      <c r="C9103" t="s">
        <v>12088</v>
      </c>
      <c r="E9103" t="s">
        <v>22826</v>
      </c>
      <c r="F9103" t="s">
        <v>30052</v>
      </c>
      <c r="G9103" t="s">
        <v>30058</v>
      </c>
      <c r="H9103" t="s">
        <v>15498</v>
      </c>
      <c r="I9103" t="s">
        <v>30165</v>
      </c>
      <c r="J9103" t="s">
        <v>30592</v>
      </c>
      <c r="K9103" t="s">
        <v>39025</v>
      </c>
      <c r="M9103" t="s">
        <v>42211</v>
      </c>
      <c r="N9103" t="s">
        <v>43166</v>
      </c>
      <c r="O9103" t="s">
        <v>43167</v>
      </c>
      <c r="P9103">
        <v>0</v>
      </c>
      <c r="Q9103">
        <v>0</v>
      </c>
      <c r="R9103" t="s">
        <v>43175</v>
      </c>
      <c r="S9103" t="s">
        <v>43460</v>
      </c>
      <c r="T9103" t="s">
        <v>44796</v>
      </c>
      <c r="U9103" t="s">
        <v>52479</v>
      </c>
      <c r="V9103" t="s">
        <v>57788</v>
      </c>
      <c r="W9103" t="s">
        <v>42211</v>
      </c>
      <c r="X9103" t="s">
        <v>43179</v>
      </c>
    </row>
    <row r="9104" spans="1:24">
      <c r="A9104">
        <f>HYPERLINK("https://www.philgeps.gov.ph/GEPSNONPILOT/Tender/SplashBidNoticeAbstractUI.aspx?menuIndex=3&amp;refID=7068459&amp;Result=3","7068459")</f>
        <v>0</v>
      </c>
      <c r="B9104" t="s">
        <v>2689</v>
      </c>
      <c r="C9104" t="s">
        <v>12089</v>
      </c>
      <c r="E9104" t="s">
        <v>25327</v>
      </c>
      <c r="F9104" t="s">
        <v>30052</v>
      </c>
      <c r="G9104" t="s">
        <v>30058</v>
      </c>
      <c r="H9104" t="s">
        <v>15498</v>
      </c>
      <c r="I9104" t="s">
        <v>30165</v>
      </c>
      <c r="J9104" t="s">
        <v>35752</v>
      </c>
      <c r="K9104" t="s">
        <v>39025</v>
      </c>
      <c r="M9104" t="s">
        <v>42211</v>
      </c>
      <c r="N9104" t="s">
        <v>43166</v>
      </c>
      <c r="O9104" t="s">
        <v>43167</v>
      </c>
      <c r="P9104">
        <v>0</v>
      </c>
      <c r="Q9104">
        <v>0</v>
      </c>
      <c r="R9104" t="s">
        <v>43175</v>
      </c>
      <c r="S9104" t="s">
        <v>43460</v>
      </c>
      <c r="T9104" t="s">
        <v>44796</v>
      </c>
      <c r="U9104" t="s">
        <v>52480</v>
      </c>
      <c r="V9104" t="s">
        <v>57789</v>
      </c>
      <c r="W9104" t="s">
        <v>42211</v>
      </c>
      <c r="X9104" t="s">
        <v>43179</v>
      </c>
    </row>
    <row r="9105" spans="1:24">
      <c r="A9105">
        <f>HYPERLINK("https://www.philgeps.gov.ph/GEPSNONPILOT/Tender/SplashBidNoticeAbstractUI.aspx?menuIndex=3&amp;refID=7066602&amp;Result=3","7066602")</f>
        <v>0</v>
      </c>
      <c r="B9105" t="s">
        <v>689</v>
      </c>
      <c r="C9105" t="s">
        <v>12090</v>
      </c>
      <c r="D9105" t="s">
        <v>17475</v>
      </c>
      <c r="E9105" t="s">
        <v>24777</v>
      </c>
      <c r="F9105" t="s">
        <v>30052</v>
      </c>
      <c r="G9105" t="s">
        <v>30058</v>
      </c>
      <c r="H9105" t="s">
        <v>15498</v>
      </c>
      <c r="I9105" t="s">
        <v>30073</v>
      </c>
      <c r="J9105" t="s">
        <v>35753</v>
      </c>
      <c r="K9105" t="s">
        <v>39017</v>
      </c>
      <c r="M9105" t="s">
        <v>39995</v>
      </c>
      <c r="N9105" t="s">
        <v>43166</v>
      </c>
      <c r="O9105" t="s">
        <v>43167</v>
      </c>
      <c r="P9105">
        <v>0</v>
      </c>
      <c r="Q9105">
        <v>0</v>
      </c>
      <c r="R9105" t="s">
        <v>43175</v>
      </c>
      <c r="S9105" t="s">
        <v>43460</v>
      </c>
      <c r="T9105" t="s">
        <v>44933</v>
      </c>
      <c r="U9105" t="s">
        <v>52481</v>
      </c>
      <c r="V9105" t="s">
        <v>56830</v>
      </c>
      <c r="W9105" t="s">
        <v>39995</v>
      </c>
      <c r="X9105" t="s">
        <v>43180</v>
      </c>
    </row>
    <row r="9106" spans="1:24">
      <c r="A9106">
        <f>HYPERLINK("https://www.philgeps.gov.ph/GEPSNONPILOT/Tender/SplashBidNoticeAbstractUI.aspx?menuIndex=3&amp;refID=7061552&amp;Result=3","7061552")</f>
        <v>0</v>
      </c>
      <c r="B9106" t="s">
        <v>2440</v>
      </c>
      <c r="C9106" t="s">
        <v>12091</v>
      </c>
      <c r="D9106" t="s">
        <v>17444</v>
      </c>
      <c r="E9106" t="s">
        <v>25328</v>
      </c>
      <c r="F9106" t="s">
        <v>30052</v>
      </c>
      <c r="G9106" t="s">
        <v>30058</v>
      </c>
      <c r="H9106" t="s">
        <v>30067</v>
      </c>
      <c r="I9106" t="s">
        <v>3693</v>
      </c>
      <c r="J9106" t="s">
        <v>35754</v>
      </c>
      <c r="K9106" t="s">
        <v>39031</v>
      </c>
      <c r="M9106" t="s">
        <v>41939</v>
      </c>
      <c r="N9106" t="s">
        <v>43166</v>
      </c>
      <c r="O9106" t="s">
        <v>43167</v>
      </c>
      <c r="P9106">
        <v>0</v>
      </c>
      <c r="Q9106">
        <v>1</v>
      </c>
      <c r="R9106" t="s">
        <v>43175</v>
      </c>
      <c r="S9106" t="s">
        <v>43460</v>
      </c>
      <c r="T9106" t="s">
        <v>44856</v>
      </c>
      <c r="U9106" t="s">
        <v>52482</v>
      </c>
      <c r="W9106" t="s">
        <v>41939</v>
      </c>
      <c r="X9106" t="s">
        <v>43182</v>
      </c>
    </row>
    <row r="9107" spans="1:24">
      <c r="A9107">
        <f>HYPERLINK("https://www.philgeps.gov.ph/GEPSNONPILOT/Tender/SplashBidNoticeAbstractUI.aspx?menuIndex=3&amp;refID=7069378&amp;Result=3","7069378")</f>
        <v>0</v>
      </c>
      <c r="B9107" t="s">
        <v>2366</v>
      </c>
      <c r="C9107" t="s">
        <v>12092</v>
      </c>
      <c r="D9107" t="s">
        <v>17486</v>
      </c>
      <c r="E9107" t="s">
        <v>25329</v>
      </c>
      <c r="F9107" t="s">
        <v>30052</v>
      </c>
      <c r="G9107" t="s">
        <v>30058</v>
      </c>
      <c r="H9107" t="s">
        <v>30067</v>
      </c>
      <c r="I9107" t="s">
        <v>3693</v>
      </c>
      <c r="J9107" t="s">
        <v>35755</v>
      </c>
      <c r="K9107" t="s">
        <v>39020</v>
      </c>
      <c r="M9107" t="s">
        <v>42213</v>
      </c>
      <c r="N9107" t="s">
        <v>43166</v>
      </c>
      <c r="O9107" t="s">
        <v>43167</v>
      </c>
      <c r="P9107">
        <v>0</v>
      </c>
      <c r="Q9107">
        <v>1</v>
      </c>
      <c r="R9107" t="s">
        <v>43175</v>
      </c>
      <c r="S9107" t="s">
        <v>43460</v>
      </c>
      <c r="T9107" t="s">
        <v>44830</v>
      </c>
      <c r="U9107" t="s">
        <v>52483</v>
      </c>
      <c r="W9107" t="s">
        <v>42213</v>
      </c>
      <c r="X9107" t="s">
        <v>43179</v>
      </c>
    </row>
    <row r="9108" spans="1:24">
      <c r="A9108">
        <f>HYPERLINK("https://www.philgeps.gov.ph/GEPSNONPILOT/Tender/SplashBidNoticeAbstractUI.aspx?menuIndex=3&amp;refID=7061310&amp;Result=3","7061310")</f>
        <v>0</v>
      </c>
      <c r="B9108" t="s">
        <v>39</v>
      </c>
      <c r="C9108" t="s">
        <v>12093</v>
      </c>
      <c r="D9108" t="s">
        <v>17419</v>
      </c>
      <c r="E9108" t="s">
        <v>21364</v>
      </c>
      <c r="F9108" t="s">
        <v>30052</v>
      </c>
      <c r="G9108" t="s">
        <v>30058</v>
      </c>
      <c r="H9108" t="s">
        <v>30067</v>
      </c>
      <c r="I9108" t="s">
        <v>3693</v>
      </c>
      <c r="J9108" t="s">
        <v>35756</v>
      </c>
      <c r="K9108" t="s">
        <v>39047</v>
      </c>
      <c r="M9108" t="s">
        <v>39329</v>
      </c>
      <c r="N9108" t="s">
        <v>43166</v>
      </c>
      <c r="O9108" t="s">
        <v>43167</v>
      </c>
      <c r="P9108">
        <v>0</v>
      </c>
      <c r="Q9108">
        <v>0</v>
      </c>
      <c r="R9108" t="s">
        <v>43175</v>
      </c>
      <c r="S9108" t="s">
        <v>43460</v>
      </c>
      <c r="T9108" t="s">
        <v>44874</v>
      </c>
      <c r="U9108" t="s">
        <v>52484</v>
      </c>
      <c r="W9108" t="s">
        <v>39329</v>
      </c>
      <c r="X9108" t="s">
        <v>43182</v>
      </c>
    </row>
    <row r="9109" spans="1:24">
      <c r="A9109">
        <f>HYPERLINK("https://www.philgeps.gov.ph/GEPSNONPILOT/Tender/SplashBidNoticeAbstractUI.aspx?menuIndex=3&amp;refID=7069648&amp;Result=3","7069648")</f>
        <v>0</v>
      </c>
      <c r="B9109" t="s">
        <v>2366</v>
      </c>
      <c r="C9109" t="s">
        <v>12094</v>
      </c>
      <c r="D9109" t="s">
        <v>17486</v>
      </c>
      <c r="E9109" t="s">
        <v>25330</v>
      </c>
      <c r="F9109" t="s">
        <v>30052</v>
      </c>
      <c r="G9109" t="s">
        <v>30058</v>
      </c>
      <c r="H9109" t="s">
        <v>30067</v>
      </c>
      <c r="I9109" t="s">
        <v>3693</v>
      </c>
      <c r="J9109" t="s">
        <v>35757</v>
      </c>
      <c r="K9109" t="s">
        <v>39061</v>
      </c>
      <c r="M9109" t="s">
        <v>42213</v>
      </c>
      <c r="N9109" t="s">
        <v>43166</v>
      </c>
      <c r="O9109" t="s">
        <v>43167</v>
      </c>
      <c r="P9109">
        <v>0</v>
      </c>
      <c r="Q9109">
        <v>1</v>
      </c>
      <c r="R9109" t="s">
        <v>43175</v>
      </c>
      <c r="S9109" t="s">
        <v>43460</v>
      </c>
      <c r="T9109" t="s">
        <v>44830</v>
      </c>
      <c r="U9109" t="s">
        <v>52485</v>
      </c>
      <c r="W9109" t="s">
        <v>42213</v>
      </c>
      <c r="X9109" t="s">
        <v>43179</v>
      </c>
    </row>
    <row r="9110" spans="1:24">
      <c r="A9110">
        <f>HYPERLINK("https://www.philgeps.gov.ph/GEPSNONPILOT/Tender/SplashBidNoticeAbstractUI.aspx?menuIndex=3&amp;refID=7068295&amp;Result=3","7068295")</f>
        <v>0</v>
      </c>
      <c r="B9110" t="s">
        <v>2691</v>
      </c>
      <c r="C9110" t="s">
        <v>12095</v>
      </c>
      <c r="D9110" t="s">
        <v>17468</v>
      </c>
      <c r="E9110" t="s">
        <v>25331</v>
      </c>
      <c r="F9110" t="s">
        <v>30052</v>
      </c>
      <c r="G9110" t="s">
        <v>30058</v>
      </c>
      <c r="H9110" t="s">
        <v>15498</v>
      </c>
      <c r="I9110" t="s">
        <v>30084</v>
      </c>
      <c r="J9110" t="s">
        <v>35758</v>
      </c>
      <c r="K9110" t="s">
        <v>39031</v>
      </c>
      <c r="M9110" t="s">
        <v>42214</v>
      </c>
      <c r="N9110" t="s">
        <v>43166</v>
      </c>
      <c r="O9110" t="s">
        <v>43167</v>
      </c>
      <c r="P9110">
        <v>0</v>
      </c>
      <c r="Q9110">
        <v>6</v>
      </c>
      <c r="R9110" t="s">
        <v>43175</v>
      </c>
      <c r="S9110" t="s">
        <v>43460</v>
      </c>
      <c r="T9110" t="s">
        <v>44734</v>
      </c>
      <c r="U9110" t="s">
        <v>52486</v>
      </c>
      <c r="W9110" t="s">
        <v>42214</v>
      </c>
      <c r="X9110" t="s">
        <v>43179</v>
      </c>
    </row>
    <row r="9111" spans="1:24">
      <c r="A9111">
        <f>HYPERLINK("https://www.philgeps.gov.ph/GEPSNONPILOT/Tender/SplashBidNoticeAbstractUI.aspx?menuIndex=3&amp;refID=7069569&amp;Result=3","7069569")</f>
        <v>0</v>
      </c>
      <c r="B9111" t="s">
        <v>2366</v>
      </c>
      <c r="C9111" t="s">
        <v>12096</v>
      </c>
      <c r="D9111" t="s">
        <v>17486</v>
      </c>
      <c r="E9111" t="s">
        <v>25332</v>
      </c>
      <c r="F9111" t="s">
        <v>30052</v>
      </c>
      <c r="G9111" t="s">
        <v>30058</v>
      </c>
      <c r="H9111" t="s">
        <v>30067</v>
      </c>
      <c r="I9111" t="s">
        <v>3693</v>
      </c>
      <c r="J9111" t="s">
        <v>35759</v>
      </c>
      <c r="K9111" t="s">
        <v>39157</v>
      </c>
      <c r="M9111" t="s">
        <v>42213</v>
      </c>
      <c r="N9111" t="s">
        <v>43166</v>
      </c>
      <c r="O9111" t="s">
        <v>43167</v>
      </c>
      <c r="P9111">
        <v>0</v>
      </c>
      <c r="Q9111">
        <v>1</v>
      </c>
      <c r="R9111" t="s">
        <v>43175</v>
      </c>
      <c r="S9111" t="s">
        <v>43460</v>
      </c>
      <c r="T9111" t="s">
        <v>44830</v>
      </c>
      <c r="U9111" t="s">
        <v>52487</v>
      </c>
      <c r="W9111" t="s">
        <v>42213</v>
      </c>
      <c r="X9111" t="s">
        <v>43179</v>
      </c>
    </row>
    <row r="9112" spans="1:24">
      <c r="A9112">
        <f>HYPERLINK("https://www.philgeps.gov.ph/GEPSNONPILOT/Tender/SplashBidNoticeAbstractUI.aspx?menuIndex=3&amp;refID=7069502&amp;Result=3","7069502")</f>
        <v>0</v>
      </c>
      <c r="B9112" t="s">
        <v>2366</v>
      </c>
      <c r="C9112" t="s">
        <v>12097</v>
      </c>
      <c r="D9112" t="s">
        <v>17486</v>
      </c>
      <c r="E9112" t="s">
        <v>25333</v>
      </c>
      <c r="F9112" t="s">
        <v>30052</v>
      </c>
      <c r="G9112" t="s">
        <v>30058</v>
      </c>
      <c r="H9112" t="s">
        <v>30067</v>
      </c>
      <c r="I9112" t="s">
        <v>3693</v>
      </c>
      <c r="J9112" t="s">
        <v>35760</v>
      </c>
      <c r="K9112" t="s">
        <v>39085</v>
      </c>
      <c r="M9112" t="s">
        <v>42213</v>
      </c>
      <c r="N9112" t="s">
        <v>43166</v>
      </c>
      <c r="O9112" t="s">
        <v>43167</v>
      </c>
      <c r="P9112">
        <v>0</v>
      </c>
      <c r="Q9112">
        <v>0</v>
      </c>
      <c r="R9112" t="s">
        <v>43175</v>
      </c>
      <c r="S9112" t="s">
        <v>43460</v>
      </c>
      <c r="T9112" t="s">
        <v>44830</v>
      </c>
      <c r="U9112" t="s">
        <v>52488</v>
      </c>
      <c r="W9112" t="s">
        <v>42213</v>
      </c>
      <c r="X9112" t="s">
        <v>43179</v>
      </c>
    </row>
    <row r="9113" spans="1:24">
      <c r="A9113">
        <f>HYPERLINK("https://www.philgeps.gov.ph/GEPSNONPILOT/Tender/SplashBidNoticeAbstractUI.aspx?menuIndex=3&amp;refID=7069464&amp;Result=3","7069464")</f>
        <v>0</v>
      </c>
      <c r="B9113" t="s">
        <v>2692</v>
      </c>
      <c r="C9113" t="s">
        <v>12098</v>
      </c>
      <c r="D9113" t="s">
        <v>17461</v>
      </c>
      <c r="E9113" t="s">
        <v>20087</v>
      </c>
      <c r="F9113" t="s">
        <v>30052</v>
      </c>
      <c r="G9113" t="s">
        <v>30058</v>
      </c>
      <c r="H9113" t="s">
        <v>15498</v>
      </c>
      <c r="I9113" t="s">
        <v>30170</v>
      </c>
      <c r="J9113" t="s">
        <v>35761</v>
      </c>
      <c r="K9113" t="s">
        <v>39046</v>
      </c>
      <c r="M9113" t="s">
        <v>42215</v>
      </c>
      <c r="N9113" t="s">
        <v>43166</v>
      </c>
      <c r="O9113" t="s">
        <v>43167</v>
      </c>
      <c r="P9113">
        <v>0</v>
      </c>
      <c r="Q9113">
        <v>5</v>
      </c>
      <c r="R9113" t="s">
        <v>43175</v>
      </c>
      <c r="S9113" t="s">
        <v>43460</v>
      </c>
      <c r="T9113" t="s">
        <v>45020</v>
      </c>
      <c r="U9113" t="s">
        <v>52489</v>
      </c>
      <c r="V9113" t="s">
        <v>57790</v>
      </c>
      <c r="W9113" t="s">
        <v>42215</v>
      </c>
      <c r="X9113" t="s">
        <v>43179</v>
      </c>
    </row>
    <row r="9114" spans="1:24">
      <c r="A9114">
        <f>HYPERLINK("https://www.philgeps.gov.ph/GEPSNONPILOT/Tender/SplashBidNoticeAbstractUI.aspx?menuIndex=3&amp;refID=7069421&amp;Result=3","7069421")</f>
        <v>0</v>
      </c>
      <c r="B9114" t="s">
        <v>2366</v>
      </c>
      <c r="C9114" t="s">
        <v>12099</v>
      </c>
      <c r="D9114" t="s">
        <v>17486</v>
      </c>
      <c r="E9114" t="s">
        <v>25334</v>
      </c>
      <c r="F9114" t="s">
        <v>30052</v>
      </c>
      <c r="G9114" t="s">
        <v>30058</v>
      </c>
      <c r="H9114" t="s">
        <v>30067</v>
      </c>
      <c r="I9114" t="s">
        <v>3693</v>
      </c>
      <c r="J9114" t="s">
        <v>35762</v>
      </c>
      <c r="K9114" t="s">
        <v>39057</v>
      </c>
      <c r="M9114" t="s">
        <v>42213</v>
      </c>
      <c r="N9114" t="s">
        <v>43166</v>
      </c>
      <c r="O9114" t="s">
        <v>43167</v>
      </c>
      <c r="P9114">
        <v>0</v>
      </c>
      <c r="Q9114">
        <v>0</v>
      </c>
      <c r="R9114" t="s">
        <v>43175</v>
      </c>
      <c r="S9114" t="s">
        <v>43460</v>
      </c>
      <c r="T9114" t="s">
        <v>44830</v>
      </c>
      <c r="U9114" t="s">
        <v>52490</v>
      </c>
      <c r="W9114" t="s">
        <v>42213</v>
      </c>
      <c r="X9114" t="s">
        <v>43179</v>
      </c>
    </row>
    <row r="9115" spans="1:24">
      <c r="A9115">
        <f>HYPERLINK("https://www.philgeps.gov.ph/GEPSNONPILOT/Tender/SplashBidNoticeAbstractUI.aspx?menuIndex=3&amp;refID=7069339&amp;Result=3","7069339")</f>
        <v>0</v>
      </c>
      <c r="B9115" t="s">
        <v>2366</v>
      </c>
      <c r="C9115" t="s">
        <v>12100</v>
      </c>
      <c r="D9115" t="s">
        <v>17486</v>
      </c>
      <c r="E9115" t="s">
        <v>25335</v>
      </c>
      <c r="F9115" t="s">
        <v>30052</v>
      </c>
      <c r="G9115" t="s">
        <v>30058</v>
      </c>
      <c r="H9115" t="s">
        <v>30067</v>
      </c>
      <c r="I9115" t="s">
        <v>3693</v>
      </c>
      <c r="J9115" t="s">
        <v>35763</v>
      </c>
      <c r="K9115" t="s">
        <v>39020</v>
      </c>
      <c r="M9115" t="s">
        <v>42213</v>
      </c>
      <c r="N9115" t="s">
        <v>43166</v>
      </c>
      <c r="O9115" t="s">
        <v>43167</v>
      </c>
      <c r="P9115">
        <v>0</v>
      </c>
      <c r="Q9115">
        <v>2</v>
      </c>
      <c r="R9115" t="s">
        <v>43175</v>
      </c>
      <c r="S9115" t="s">
        <v>43460</v>
      </c>
      <c r="T9115" t="s">
        <v>44830</v>
      </c>
      <c r="U9115" t="s">
        <v>52491</v>
      </c>
      <c r="W9115" t="s">
        <v>42213</v>
      </c>
      <c r="X9115" t="s">
        <v>43179</v>
      </c>
    </row>
    <row r="9116" spans="1:24">
      <c r="A9116">
        <f>HYPERLINK("https://www.philgeps.gov.ph/GEPSNONPILOT/Tender/SplashBidNoticeAbstractUI.aspx?menuIndex=3&amp;refID=7069058&amp;Result=3","7069058")</f>
        <v>0</v>
      </c>
      <c r="B9116" t="s">
        <v>689</v>
      </c>
      <c r="C9116" t="s">
        <v>12101</v>
      </c>
      <c r="D9116" t="s">
        <v>17475</v>
      </c>
      <c r="E9116" t="s">
        <v>21067</v>
      </c>
      <c r="F9116" t="s">
        <v>30052</v>
      </c>
      <c r="G9116" t="s">
        <v>30058</v>
      </c>
      <c r="H9116" t="s">
        <v>15498</v>
      </c>
      <c r="I9116" t="s">
        <v>30073</v>
      </c>
      <c r="J9116" t="s">
        <v>35764</v>
      </c>
      <c r="K9116" t="s">
        <v>39017</v>
      </c>
      <c r="M9116" t="s">
        <v>39995</v>
      </c>
      <c r="N9116" t="s">
        <v>43166</v>
      </c>
      <c r="O9116" t="s">
        <v>43167</v>
      </c>
      <c r="P9116">
        <v>0</v>
      </c>
      <c r="Q9116">
        <v>0</v>
      </c>
      <c r="R9116" t="s">
        <v>43175</v>
      </c>
      <c r="S9116" t="s">
        <v>43460</v>
      </c>
      <c r="T9116" t="s">
        <v>45109</v>
      </c>
      <c r="U9116" t="s">
        <v>52492</v>
      </c>
      <c r="V9116" t="s">
        <v>57002</v>
      </c>
      <c r="W9116" t="s">
        <v>39995</v>
      </c>
      <c r="X9116" t="s">
        <v>43179</v>
      </c>
    </row>
    <row r="9117" spans="1:24">
      <c r="A9117">
        <f>HYPERLINK("https://www.philgeps.gov.ph/GEPSNONPILOT/Tender/SplashBidNoticeAbstractUI.aspx?menuIndex=3&amp;refID=7068829&amp;Result=3","7068829")</f>
        <v>0</v>
      </c>
      <c r="B9117" t="s">
        <v>2689</v>
      </c>
      <c r="C9117" t="s">
        <v>12102</v>
      </c>
      <c r="E9117" t="s">
        <v>24749</v>
      </c>
      <c r="F9117" t="s">
        <v>30052</v>
      </c>
      <c r="G9117" t="s">
        <v>30058</v>
      </c>
      <c r="H9117" t="s">
        <v>15498</v>
      </c>
      <c r="I9117" t="s">
        <v>30124</v>
      </c>
      <c r="J9117" t="s">
        <v>34414</v>
      </c>
      <c r="K9117" t="s">
        <v>39025</v>
      </c>
      <c r="M9117" t="s">
        <v>42211</v>
      </c>
      <c r="N9117" t="s">
        <v>43166</v>
      </c>
      <c r="O9117" t="s">
        <v>43167</v>
      </c>
      <c r="P9117">
        <v>0</v>
      </c>
      <c r="Q9117">
        <v>5</v>
      </c>
      <c r="R9117" t="s">
        <v>43175</v>
      </c>
      <c r="S9117" t="s">
        <v>43460</v>
      </c>
      <c r="T9117" t="s">
        <v>44796</v>
      </c>
      <c r="U9117" t="s">
        <v>52493</v>
      </c>
      <c r="V9117" t="s">
        <v>57791</v>
      </c>
      <c r="W9117" t="s">
        <v>42211</v>
      </c>
      <c r="X9117" t="s">
        <v>43179</v>
      </c>
    </row>
    <row r="9118" spans="1:24">
      <c r="A9118">
        <f>HYPERLINK("https://www.philgeps.gov.ph/GEPSNONPILOT/Tender/SplashBidNoticeAbstractUI.aspx?menuIndex=3&amp;refID=7064371&amp;Result=3","7064371")</f>
        <v>0</v>
      </c>
      <c r="B9118" t="s">
        <v>2693</v>
      </c>
      <c r="C9118" t="s">
        <v>12103</v>
      </c>
      <c r="D9118" t="s">
        <v>17458</v>
      </c>
      <c r="E9118" t="s">
        <v>25336</v>
      </c>
      <c r="F9118" t="s">
        <v>30052</v>
      </c>
      <c r="G9118" t="s">
        <v>30061</v>
      </c>
      <c r="H9118" t="s">
        <v>15498</v>
      </c>
      <c r="I9118" t="s">
        <v>3852</v>
      </c>
      <c r="J9118" t="s">
        <v>35765</v>
      </c>
      <c r="K9118" t="s">
        <v>39019</v>
      </c>
      <c r="M9118" t="s">
        <v>42216</v>
      </c>
      <c r="N9118" t="s">
        <v>43166</v>
      </c>
      <c r="O9118" t="s">
        <v>43167</v>
      </c>
      <c r="P9118">
        <v>0</v>
      </c>
      <c r="Q9118">
        <v>1</v>
      </c>
      <c r="R9118" t="s">
        <v>43175</v>
      </c>
      <c r="S9118" t="s">
        <v>43460</v>
      </c>
      <c r="T9118" t="s">
        <v>44757</v>
      </c>
      <c r="U9118" t="s">
        <v>52494</v>
      </c>
      <c r="W9118" t="s">
        <v>42216</v>
      </c>
      <c r="X9118" t="s">
        <v>43181</v>
      </c>
    </row>
    <row r="9119" spans="1:24">
      <c r="A9119">
        <f>HYPERLINK("https://www.philgeps.gov.ph/GEPSNONPILOT/Tender/SplashBidNoticeAbstractUI.aspx?menuIndex=3&amp;refID=7068750&amp;Result=3","7068750")</f>
        <v>0</v>
      </c>
      <c r="B9119" t="s">
        <v>2689</v>
      </c>
      <c r="C9119" t="s">
        <v>12104</v>
      </c>
      <c r="E9119" t="s">
        <v>24777</v>
      </c>
      <c r="F9119" t="s">
        <v>30052</v>
      </c>
      <c r="G9119" t="s">
        <v>30058</v>
      </c>
      <c r="H9119" t="s">
        <v>15498</v>
      </c>
      <c r="I9119" t="s">
        <v>30110</v>
      </c>
      <c r="J9119" t="s">
        <v>30555</v>
      </c>
      <c r="K9119" t="s">
        <v>39025</v>
      </c>
      <c r="M9119" t="s">
        <v>42211</v>
      </c>
      <c r="N9119" t="s">
        <v>43166</v>
      </c>
      <c r="O9119" t="s">
        <v>43167</v>
      </c>
      <c r="P9119">
        <v>0</v>
      </c>
      <c r="Q9119">
        <v>2</v>
      </c>
      <c r="R9119" t="s">
        <v>43175</v>
      </c>
      <c r="S9119" t="s">
        <v>43460</v>
      </c>
      <c r="T9119" t="s">
        <v>44796</v>
      </c>
      <c r="U9119" t="s">
        <v>52495</v>
      </c>
      <c r="V9119" t="s">
        <v>57792</v>
      </c>
      <c r="W9119" t="s">
        <v>42211</v>
      </c>
      <c r="X9119" t="s">
        <v>43179</v>
      </c>
    </row>
    <row r="9120" spans="1:24">
      <c r="A9120">
        <f>HYPERLINK("https://www.philgeps.gov.ph/GEPSNONPILOT/Tender/SplashBidNoticeAbstractUI.aspx?menuIndex=3&amp;refID=7068881&amp;Result=3","7068881")</f>
        <v>0</v>
      </c>
      <c r="B9120" t="s">
        <v>2689</v>
      </c>
      <c r="C9120" t="s">
        <v>12105</v>
      </c>
      <c r="E9120" t="s">
        <v>22349</v>
      </c>
      <c r="F9120" t="s">
        <v>30052</v>
      </c>
      <c r="G9120" t="s">
        <v>30058</v>
      </c>
      <c r="H9120" t="s">
        <v>15498</v>
      </c>
      <c r="I9120" t="s">
        <v>3852</v>
      </c>
      <c r="J9120" t="s">
        <v>30252</v>
      </c>
      <c r="K9120" t="s">
        <v>39025</v>
      </c>
      <c r="M9120" t="s">
        <v>42211</v>
      </c>
      <c r="N9120" t="s">
        <v>43166</v>
      </c>
      <c r="O9120" t="s">
        <v>43167</v>
      </c>
      <c r="P9120">
        <v>0</v>
      </c>
      <c r="Q9120">
        <v>3</v>
      </c>
      <c r="R9120" t="s">
        <v>43175</v>
      </c>
      <c r="S9120" t="s">
        <v>43460</v>
      </c>
      <c r="T9120" t="s">
        <v>44796</v>
      </c>
      <c r="U9120" t="s">
        <v>52496</v>
      </c>
      <c r="V9120" t="s">
        <v>57793</v>
      </c>
      <c r="W9120" t="s">
        <v>42211</v>
      </c>
      <c r="X9120" t="s">
        <v>43179</v>
      </c>
    </row>
    <row r="9121" spans="1:24">
      <c r="A9121">
        <f>HYPERLINK("https://www.philgeps.gov.ph/GEPSNONPILOT/Tender/SplashBidNoticeAbstractUI.aspx?menuIndex=3&amp;refID=7068861&amp;Result=3","7068861")</f>
        <v>0</v>
      </c>
      <c r="B9121" t="s">
        <v>2689</v>
      </c>
      <c r="C9121" t="s">
        <v>12106</v>
      </c>
      <c r="E9121" t="s">
        <v>21067</v>
      </c>
      <c r="F9121" t="s">
        <v>30052</v>
      </c>
      <c r="G9121" t="s">
        <v>30058</v>
      </c>
      <c r="H9121" t="s">
        <v>15498</v>
      </c>
      <c r="I9121" t="s">
        <v>30096</v>
      </c>
      <c r="J9121" t="s">
        <v>30248</v>
      </c>
      <c r="K9121" t="s">
        <v>39025</v>
      </c>
      <c r="M9121" t="s">
        <v>42211</v>
      </c>
      <c r="N9121" t="s">
        <v>43166</v>
      </c>
      <c r="O9121" t="s">
        <v>43167</v>
      </c>
      <c r="P9121">
        <v>0</v>
      </c>
      <c r="Q9121">
        <v>3</v>
      </c>
      <c r="R9121" t="s">
        <v>43175</v>
      </c>
      <c r="S9121" t="s">
        <v>43460</v>
      </c>
      <c r="T9121" t="s">
        <v>44844</v>
      </c>
      <c r="U9121" t="s">
        <v>52497</v>
      </c>
      <c r="V9121" t="s">
        <v>57794</v>
      </c>
      <c r="W9121" t="s">
        <v>42211</v>
      </c>
      <c r="X9121" t="s">
        <v>43179</v>
      </c>
    </row>
    <row r="9122" spans="1:24">
      <c r="A9122">
        <f>HYPERLINK("https://www.philgeps.gov.ph/GEPSNONPILOT/Tender/SplashBidNoticeAbstractUI.aspx?menuIndex=3&amp;refID=7061300&amp;Result=3","7061300")</f>
        <v>0</v>
      </c>
      <c r="B9122" t="s">
        <v>39</v>
      </c>
      <c r="C9122" t="s">
        <v>12107</v>
      </c>
      <c r="D9122" t="s">
        <v>17419</v>
      </c>
      <c r="E9122" t="s">
        <v>25337</v>
      </c>
      <c r="F9122" t="s">
        <v>30052</v>
      </c>
      <c r="G9122" t="s">
        <v>30058</v>
      </c>
      <c r="H9122" t="s">
        <v>30067</v>
      </c>
      <c r="I9122" t="s">
        <v>3693</v>
      </c>
      <c r="J9122" t="s">
        <v>35766</v>
      </c>
      <c r="K9122" t="s">
        <v>39086</v>
      </c>
      <c r="M9122" t="s">
        <v>39329</v>
      </c>
      <c r="N9122" t="s">
        <v>43166</v>
      </c>
      <c r="O9122" t="s">
        <v>43167</v>
      </c>
      <c r="Q9122">
        <v>0</v>
      </c>
      <c r="R9122" t="s">
        <v>43175</v>
      </c>
      <c r="S9122" t="s">
        <v>43462</v>
      </c>
      <c r="T9122" t="s">
        <v>44703</v>
      </c>
      <c r="U9122" t="s">
        <v>52498</v>
      </c>
      <c r="W9122" t="s">
        <v>39329</v>
      </c>
      <c r="X9122" t="s">
        <v>43182</v>
      </c>
    </row>
    <row r="9123" spans="1:24">
      <c r="A9123">
        <f>HYPERLINK("https://www.philgeps.gov.ph/GEPSNONPILOT/Tender/SplashBidNoticeAbstractUI.aspx?menuIndex=3&amp;refID=7068511&amp;Result=3","7068511")</f>
        <v>0</v>
      </c>
      <c r="B9123" t="s">
        <v>2689</v>
      </c>
      <c r="C9123" t="s">
        <v>12108</v>
      </c>
      <c r="E9123" t="s">
        <v>24804</v>
      </c>
      <c r="F9123" t="s">
        <v>30052</v>
      </c>
      <c r="G9123" t="s">
        <v>30058</v>
      </c>
      <c r="H9123" t="s">
        <v>15498</v>
      </c>
      <c r="I9123" t="s">
        <v>30181</v>
      </c>
      <c r="J9123" t="s">
        <v>32032</v>
      </c>
      <c r="K9123" t="s">
        <v>39025</v>
      </c>
      <c r="M9123" t="s">
        <v>42211</v>
      </c>
      <c r="N9123" t="s">
        <v>43166</v>
      </c>
      <c r="O9123" t="s">
        <v>43167</v>
      </c>
      <c r="P9123">
        <v>0</v>
      </c>
      <c r="Q9123">
        <v>2</v>
      </c>
      <c r="R9123" t="s">
        <v>43175</v>
      </c>
      <c r="S9123" t="s">
        <v>43460</v>
      </c>
      <c r="T9123" t="s">
        <v>44796</v>
      </c>
      <c r="U9123" t="s">
        <v>52499</v>
      </c>
      <c r="V9123" t="s">
        <v>57795</v>
      </c>
      <c r="W9123" t="s">
        <v>42211</v>
      </c>
      <c r="X9123" t="s">
        <v>43179</v>
      </c>
    </row>
    <row r="9124" spans="1:24">
      <c r="A9124">
        <f>HYPERLINK("https://www.philgeps.gov.ph/GEPSNONPILOT/Tender/SplashBidNoticeAbstractUI.aspx?menuIndex=3&amp;refID=7069618&amp;Result=3","7069618")</f>
        <v>0</v>
      </c>
      <c r="B9124" t="s">
        <v>2366</v>
      </c>
      <c r="C9124" t="s">
        <v>12109</v>
      </c>
      <c r="D9124" t="s">
        <v>17486</v>
      </c>
      <c r="E9124" t="s">
        <v>25338</v>
      </c>
      <c r="F9124" t="s">
        <v>30052</v>
      </c>
      <c r="G9124" t="s">
        <v>30058</v>
      </c>
      <c r="H9124" t="s">
        <v>30067</v>
      </c>
      <c r="I9124" t="s">
        <v>3693</v>
      </c>
      <c r="J9124" t="s">
        <v>35767</v>
      </c>
      <c r="K9124" t="s">
        <v>39217</v>
      </c>
      <c r="M9124" t="s">
        <v>42213</v>
      </c>
      <c r="N9124" t="s">
        <v>43166</v>
      </c>
      <c r="O9124" t="s">
        <v>43167</v>
      </c>
      <c r="P9124">
        <v>0</v>
      </c>
      <c r="Q9124">
        <v>0</v>
      </c>
      <c r="R9124" t="s">
        <v>43175</v>
      </c>
      <c r="S9124" t="s">
        <v>43460</v>
      </c>
      <c r="T9124" t="s">
        <v>44830</v>
      </c>
      <c r="U9124" t="s">
        <v>52500</v>
      </c>
      <c r="W9124" t="s">
        <v>42213</v>
      </c>
      <c r="X9124" t="s">
        <v>43179</v>
      </c>
    </row>
    <row r="9125" spans="1:24">
      <c r="A9125">
        <f>HYPERLINK("https://www.philgeps.gov.ph/GEPSNONPILOT/Tender/SplashBidNoticeAbstractUI.aspx?menuIndex=3&amp;refID=7070513&amp;Result=3","7070513")</f>
        <v>0</v>
      </c>
      <c r="B9125" t="s">
        <v>2694</v>
      </c>
      <c r="C9125" t="s">
        <v>12110</v>
      </c>
      <c r="D9125" t="s">
        <v>17471</v>
      </c>
      <c r="E9125" t="s">
        <v>18907</v>
      </c>
      <c r="F9125" t="s">
        <v>30052</v>
      </c>
      <c r="G9125" t="s">
        <v>30058</v>
      </c>
      <c r="H9125" t="s">
        <v>30067</v>
      </c>
      <c r="I9125" t="s">
        <v>3693</v>
      </c>
      <c r="J9125" t="s">
        <v>35768</v>
      </c>
      <c r="K9125" t="s">
        <v>39029</v>
      </c>
      <c r="M9125" t="s">
        <v>42217</v>
      </c>
      <c r="N9125" t="s">
        <v>43166</v>
      </c>
      <c r="O9125" t="s">
        <v>43167</v>
      </c>
      <c r="P9125">
        <v>0</v>
      </c>
      <c r="Q9125">
        <v>0</v>
      </c>
      <c r="R9125" t="s">
        <v>43175</v>
      </c>
      <c r="S9125" t="s">
        <v>43460</v>
      </c>
      <c r="T9125" t="s">
        <v>44684</v>
      </c>
      <c r="U9125" t="s">
        <v>52501</v>
      </c>
      <c r="W9125" t="s">
        <v>42217</v>
      </c>
      <c r="X9125" t="s">
        <v>43178</v>
      </c>
    </row>
    <row r="9126" spans="1:24">
      <c r="A9126">
        <f>HYPERLINK("https://www.philgeps.gov.ph/GEPSNONPILOT/Tender/SplashBidNoticeAbstractUI.aspx?menuIndex=3&amp;refID=7070510&amp;Result=3","7070510")</f>
        <v>0</v>
      </c>
      <c r="B9126" t="s">
        <v>2695</v>
      </c>
      <c r="C9126" t="s">
        <v>12111</v>
      </c>
      <c r="D9126" t="s">
        <v>17422</v>
      </c>
      <c r="E9126" t="s">
        <v>18666</v>
      </c>
      <c r="F9126" t="s">
        <v>30052</v>
      </c>
      <c r="G9126" t="s">
        <v>30058</v>
      </c>
      <c r="H9126" t="s">
        <v>15498</v>
      </c>
      <c r="I9126" t="s">
        <v>30074</v>
      </c>
      <c r="J9126" t="s">
        <v>33190</v>
      </c>
      <c r="K9126" t="s">
        <v>39029</v>
      </c>
      <c r="M9126" t="s">
        <v>42218</v>
      </c>
      <c r="N9126" t="s">
        <v>43166</v>
      </c>
      <c r="O9126" t="s">
        <v>43167</v>
      </c>
      <c r="P9126">
        <v>0</v>
      </c>
      <c r="Q9126">
        <v>2</v>
      </c>
      <c r="R9126" t="s">
        <v>43175</v>
      </c>
      <c r="S9126" t="s">
        <v>43460</v>
      </c>
      <c r="T9126" t="s">
        <v>44712</v>
      </c>
      <c r="U9126" t="s">
        <v>52502</v>
      </c>
      <c r="W9126" t="s">
        <v>42218</v>
      </c>
      <c r="X9126" t="s">
        <v>43178</v>
      </c>
    </row>
    <row r="9127" spans="1:24">
      <c r="A9127">
        <f>HYPERLINK("https://www.philgeps.gov.ph/GEPSNONPILOT/Tender/SplashBidNoticeAbstractUI.aspx?menuIndex=3&amp;refID=7070486&amp;Result=3","7070486")</f>
        <v>0</v>
      </c>
      <c r="B9127" t="s">
        <v>2696</v>
      </c>
      <c r="C9127" t="s">
        <v>8466</v>
      </c>
      <c r="D9127" t="s">
        <v>17448</v>
      </c>
      <c r="E9127" t="s">
        <v>21966</v>
      </c>
      <c r="F9127" t="s">
        <v>30052</v>
      </c>
      <c r="G9127" t="s">
        <v>30058</v>
      </c>
      <c r="H9127" t="s">
        <v>15498</v>
      </c>
      <c r="I9127" t="s">
        <v>3852</v>
      </c>
      <c r="J9127" t="s">
        <v>30218</v>
      </c>
      <c r="K9127" t="s">
        <v>39025</v>
      </c>
      <c r="M9127" t="s">
        <v>42219</v>
      </c>
      <c r="N9127" t="s">
        <v>43166</v>
      </c>
      <c r="O9127" t="s">
        <v>43167</v>
      </c>
      <c r="P9127">
        <v>0</v>
      </c>
      <c r="Q9127">
        <v>2</v>
      </c>
      <c r="R9127" t="s">
        <v>43175</v>
      </c>
      <c r="S9127" t="s">
        <v>43460</v>
      </c>
      <c r="T9127" t="s">
        <v>44832</v>
      </c>
      <c r="U9127" t="s">
        <v>52503</v>
      </c>
      <c r="W9127" t="s">
        <v>42219</v>
      </c>
      <c r="X9127" t="s">
        <v>43178</v>
      </c>
    </row>
    <row r="9128" spans="1:24">
      <c r="A9128">
        <f>HYPERLINK("https://www.philgeps.gov.ph/GEPSNONPILOT/Tender/SplashBidNoticeAbstractUI.aspx?menuIndex=3&amp;refID=7069678&amp;Result=3","7069678")</f>
        <v>0</v>
      </c>
      <c r="B9128" t="s">
        <v>2366</v>
      </c>
      <c r="C9128" t="s">
        <v>12112</v>
      </c>
      <c r="D9128" t="s">
        <v>17486</v>
      </c>
      <c r="E9128" t="s">
        <v>25339</v>
      </c>
      <c r="F9128" t="s">
        <v>30052</v>
      </c>
      <c r="G9128" t="s">
        <v>30058</v>
      </c>
      <c r="H9128" t="s">
        <v>30067</v>
      </c>
      <c r="I9128" t="s">
        <v>3693</v>
      </c>
      <c r="J9128" t="s">
        <v>35769</v>
      </c>
      <c r="K9128" t="s">
        <v>39026</v>
      </c>
      <c r="M9128" t="s">
        <v>42213</v>
      </c>
      <c r="N9128" t="s">
        <v>43166</v>
      </c>
      <c r="O9128" t="s">
        <v>43167</v>
      </c>
      <c r="P9128">
        <v>0</v>
      </c>
      <c r="Q9128">
        <v>1</v>
      </c>
      <c r="R9128" t="s">
        <v>43175</v>
      </c>
      <c r="S9128" t="s">
        <v>43460</v>
      </c>
      <c r="T9128" t="s">
        <v>44830</v>
      </c>
      <c r="U9128" t="s">
        <v>52504</v>
      </c>
      <c r="W9128" t="s">
        <v>42213</v>
      </c>
      <c r="X9128" t="s">
        <v>43179</v>
      </c>
    </row>
    <row r="9129" spans="1:24">
      <c r="A9129">
        <f>HYPERLINK("https://www.philgeps.gov.ph/GEPSNONPILOT/Tender/SplashBidNoticeAbstractUI.aspx?menuIndex=3&amp;refID=7070433&amp;Result=3","7070433")</f>
        <v>0</v>
      </c>
      <c r="B9129" t="s">
        <v>2366</v>
      </c>
      <c r="C9129" t="s">
        <v>12113</v>
      </c>
      <c r="D9129" t="s">
        <v>17486</v>
      </c>
      <c r="E9129" t="s">
        <v>25340</v>
      </c>
      <c r="F9129" t="s">
        <v>30052</v>
      </c>
      <c r="G9129" t="s">
        <v>30058</v>
      </c>
      <c r="H9129" t="s">
        <v>30067</v>
      </c>
      <c r="I9129" t="s">
        <v>3693</v>
      </c>
      <c r="J9129" t="s">
        <v>35770</v>
      </c>
      <c r="K9129" t="s">
        <v>39203</v>
      </c>
      <c r="M9129" t="s">
        <v>42213</v>
      </c>
      <c r="N9129" t="s">
        <v>43166</v>
      </c>
      <c r="O9129" t="s">
        <v>43167</v>
      </c>
      <c r="P9129">
        <v>0</v>
      </c>
      <c r="Q9129">
        <v>1</v>
      </c>
      <c r="R9129" t="s">
        <v>43175</v>
      </c>
      <c r="S9129" t="s">
        <v>43460</v>
      </c>
      <c r="T9129" t="s">
        <v>44830</v>
      </c>
      <c r="U9129" t="s">
        <v>52505</v>
      </c>
      <c r="W9129" t="s">
        <v>42213</v>
      </c>
      <c r="X9129" t="s">
        <v>43178</v>
      </c>
    </row>
    <row r="9130" spans="1:24">
      <c r="A9130">
        <f>HYPERLINK("https://www.philgeps.gov.ph/GEPSNONPILOT/Tender/SplashBidNoticeAbstractUI.aspx?menuIndex=3&amp;refID=7070404&amp;Result=3","7070404")</f>
        <v>0</v>
      </c>
      <c r="B9130" t="s">
        <v>145</v>
      </c>
      <c r="C9130" t="s">
        <v>12114</v>
      </c>
      <c r="E9130" t="s">
        <v>25341</v>
      </c>
      <c r="F9130" t="s">
        <v>30052</v>
      </c>
      <c r="G9130" t="s">
        <v>30058</v>
      </c>
      <c r="H9130" t="s">
        <v>15498</v>
      </c>
      <c r="I9130" t="s">
        <v>30083</v>
      </c>
      <c r="J9130" t="s">
        <v>30555</v>
      </c>
      <c r="K9130" t="s">
        <v>39046</v>
      </c>
      <c r="M9130" t="s">
        <v>39434</v>
      </c>
      <c r="N9130" t="s">
        <v>43166</v>
      </c>
      <c r="O9130" t="s">
        <v>43167</v>
      </c>
      <c r="Q9130">
        <v>2</v>
      </c>
      <c r="R9130" t="s">
        <v>43175</v>
      </c>
      <c r="S9130" t="s">
        <v>43463</v>
      </c>
      <c r="T9130" t="s">
        <v>44993</v>
      </c>
      <c r="U9130" t="s">
        <v>52506</v>
      </c>
      <c r="W9130" t="s">
        <v>40626</v>
      </c>
      <c r="X9130" t="s">
        <v>43178</v>
      </c>
    </row>
    <row r="9131" spans="1:24">
      <c r="A9131">
        <f>HYPERLINK("https://www.philgeps.gov.ph/GEPSNONPILOT/Tender/SplashBidNoticeAbstractUI.aspx?menuIndex=3&amp;refID=7068558&amp;Result=3","7068558")</f>
        <v>0</v>
      </c>
      <c r="B9131" t="s">
        <v>1170</v>
      </c>
      <c r="C9131" t="s">
        <v>12115</v>
      </c>
      <c r="D9131" t="s">
        <v>17482</v>
      </c>
      <c r="E9131" t="s">
        <v>25342</v>
      </c>
      <c r="F9131" t="s">
        <v>30056</v>
      </c>
      <c r="G9131" t="s">
        <v>30061</v>
      </c>
      <c r="H9131" t="s">
        <v>15498</v>
      </c>
      <c r="I9131" t="s">
        <v>30074</v>
      </c>
      <c r="J9131" t="s">
        <v>32397</v>
      </c>
      <c r="K9131" t="s">
        <v>39023</v>
      </c>
      <c r="M9131" t="s">
        <v>40518</v>
      </c>
      <c r="N9131" t="s">
        <v>43166</v>
      </c>
      <c r="O9131" t="s">
        <v>43167</v>
      </c>
      <c r="Q9131">
        <v>6</v>
      </c>
      <c r="R9131" t="s">
        <v>43175</v>
      </c>
      <c r="S9131" t="s">
        <v>43464</v>
      </c>
      <c r="T9131" t="s">
        <v>44743</v>
      </c>
      <c r="U9131" t="s">
        <v>52507</v>
      </c>
      <c r="W9131" t="s">
        <v>40518</v>
      </c>
      <c r="X9131" t="s">
        <v>43179</v>
      </c>
    </row>
    <row r="9132" spans="1:24">
      <c r="A9132">
        <f>HYPERLINK("https://www.philgeps.gov.ph/GEPSNONPILOT/Tender/SplashBidNoticeAbstractUI.aspx?menuIndex=3&amp;refID=7058251&amp;Result=3","7058251")</f>
        <v>0</v>
      </c>
      <c r="B9132" t="s">
        <v>974</v>
      </c>
      <c r="C9132" t="s">
        <v>12116</v>
      </c>
      <c r="D9132" t="s">
        <v>17453</v>
      </c>
      <c r="E9132" t="s">
        <v>25343</v>
      </c>
      <c r="F9132" t="s">
        <v>30052</v>
      </c>
      <c r="G9132" t="s">
        <v>30058</v>
      </c>
      <c r="H9132" t="s">
        <v>30067</v>
      </c>
      <c r="I9132" t="s">
        <v>3693</v>
      </c>
      <c r="J9132" t="s">
        <v>35771</v>
      </c>
      <c r="K9132" t="s">
        <v>39198</v>
      </c>
      <c r="M9132" t="s">
        <v>42220</v>
      </c>
      <c r="N9132" t="s">
        <v>43166</v>
      </c>
      <c r="O9132" t="s">
        <v>43167</v>
      </c>
      <c r="P9132">
        <v>0</v>
      </c>
      <c r="Q9132">
        <v>3</v>
      </c>
      <c r="R9132" t="s">
        <v>43175</v>
      </c>
      <c r="S9132" t="s">
        <v>43460</v>
      </c>
      <c r="T9132" t="s">
        <v>44853</v>
      </c>
      <c r="U9132" t="s">
        <v>52508</v>
      </c>
      <c r="W9132" t="s">
        <v>42220</v>
      </c>
      <c r="X9132" t="s">
        <v>43184</v>
      </c>
    </row>
    <row r="9133" spans="1:24">
      <c r="A9133">
        <f>HYPERLINK("https://www.philgeps.gov.ph/GEPSNONPILOT/Tender/SplashBidNoticeAbstractUI.aspx?menuIndex=3&amp;refID=7068499&amp;Result=3","7068499")</f>
        <v>0</v>
      </c>
      <c r="B9133" t="s">
        <v>2697</v>
      </c>
      <c r="C9133" t="s">
        <v>12117</v>
      </c>
      <c r="E9133" t="s">
        <v>25344</v>
      </c>
      <c r="F9133" t="s">
        <v>30052</v>
      </c>
      <c r="G9133" t="s">
        <v>30058</v>
      </c>
      <c r="H9133" t="s">
        <v>15498</v>
      </c>
      <c r="I9133" t="s">
        <v>7228</v>
      </c>
      <c r="J9133" t="s">
        <v>35772</v>
      </c>
      <c r="K9133" t="s">
        <v>39025</v>
      </c>
      <c r="M9133" t="s">
        <v>42221</v>
      </c>
      <c r="N9133" t="s">
        <v>43166</v>
      </c>
      <c r="O9133" t="s">
        <v>43167</v>
      </c>
      <c r="P9133">
        <v>0</v>
      </c>
      <c r="Q9133">
        <v>5</v>
      </c>
      <c r="R9133" t="s">
        <v>43175</v>
      </c>
      <c r="S9133" t="s">
        <v>43460</v>
      </c>
      <c r="T9133" t="s">
        <v>44716</v>
      </c>
      <c r="U9133" t="s">
        <v>46519</v>
      </c>
      <c r="W9133" t="s">
        <v>58685</v>
      </c>
      <c r="X9133" t="s">
        <v>43179</v>
      </c>
    </row>
    <row r="9134" spans="1:24">
      <c r="A9134">
        <f>HYPERLINK("https://www.philgeps.gov.ph/GEPSNONPILOT/Tender/SplashBidNoticeAbstractUI.aspx?menuIndex=3&amp;refID=7070340&amp;Result=3","7070340")</f>
        <v>0</v>
      </c>
      <c r="B9134" t="s">
        <v>2698</v>
      </c>
      <c r="C9134" t="s">
        <v>8332</v>
      </c>
      <c r="D9134" t="s">
        <v>17448</v>
      </c>
      <c r="E9134" t="s">
        <v>21902</v>
      </c>
      <c r="F9134" t="s">
        <v>30052</v>
      </c>
      <c r="G9134" t="s">
        <v>30058</v>
      </c>
      <c r="H9134" t="s">
        <v>15498</v>
      </c>
      <c r="I9134" t="s">
        <v>3852</v>
      </c>
      <c r="J9134" t="s">
        <v>30358</v>
      </c>
      <c r="K9134" t="s">
        <v>39025</v>
      </c>
      <c r="M9134" t="s">
        <v>42222</v>
      </c>
      <c r="N9134" t="s">
        <v>43166</v>
      </c>
      <c r="O9134" t="s">
        <v>43167</v>
      </c>
      <c r="P9134">
        <v>0</v>
      </c>
      <c r="Q9134">
        <v>0</v>
      </c>
      <c r="R9134" t="s">
        <v>43175</v>
      </c>
      <c r="S9134" t="s">
        <v>43460</v>
      </c>
      <c r="T9134" t="s">
        <v>44888</v>
      </c>
      <c r="U9134" t="s">
        <v>52509</v>
      </c>
      <c r="W9134" t="s">
        <v>42222</v>
      </c>
      <c r="X9134" t="s">
        <v>43178</v>
      </c>
    </row>
    <row r="9135" spans="1:24">
      <c r="A9135">
        <f>HYPERLINK("https://www.philgeps.gov.ph/GEPSNONPILOT/Tender/SplashBidNoticeAbstractUI.aspx?menuIndex=3&amp;refID=7070334&amp;Result=3","7070334")</f>
        <v>0</v>
      </c>
      <c r="B9135" t="s">
        <v>1906</v>
      </c>
      <c r="C9135" t="s">
        <v>12118</v>
      </c>
      <c r="D9135" t="s">
        <v>17442</v>
      </c>
      <c r="E9135" t="s">
        <v>22349</v>
      </c>
      <c r="F9135" t="s">
        <v>30052</v>
      </c>
      <c r="G9135" t="s">
        <v>30058</v>
      </c>
      <c r="H9135" t="s">
        <v>15498</v>
      </c>
      <c r="I9135" t="s">
        <v>30100</v>
      </c>
      <c r="J9135" t="s">
        <v>35773</v>
      </c>
      <c r="K9135" t="s">
        <v>39019</v>
      </c>
      <c r="M9135" t="s">
        <v>41337</v>
      </c>
      <c r="N9135" t="s">
        <v>43166</v>
      </c>
      <c r="O9135" t="s">
        <v>43167</v>
      </c>
      <c r="P9135">
        <v>0</v>
      </c>
      <c r="Q9135">
        <v>0</v>
      </c>
      <c r="R9135" t="s">
        <v>43175</v>
      </c>
      <c r="S9135" t="s">
        <v>43460</v>
      </c>
      <c r="T9135" t="s">
        <v>44716</v>
      </c>
      <c r="U9135" t="s">
        <v>52510</v>
      </c>
      <c r="V9135" t="s">
        <v>57796</v>
      </c>
      <c r="W9135" t="s">
        <v>41337</v>
      </c>
      <c r="X9135" t="s">
        <v>43178</v>
      </c>
    </row>
    <row r="9136" spans="1:24">
      <c r="A9136">
        <f>HYPERLINK("https://www.philgeps.gov.ph/GEPSNONPILOT/Tender/SplashBidNoticeAbstractUI.aspx?menuIndex=3&amp;refID=7069978&amp;Result=3","7069978")</f>
        <v>0</v>
      </c>
      <c r="B9136" t="s">
        <v>2366</v>
      </c>
      <c r="C9136" t="s">
        <v>12119</v>
      </c>
      <c r="D9136" t="s">
        <v>17486</v>
      </c>
      <c r="E9136" t="s">
        <v>25345</v>
      </c>
      <c r="F9136" t="s">
        <v>30052</v>
      </c>
      <c r="G9136" t="s">
        <v>30058</v>
      </c>
      <c r="H9136" t="s">
        <v>30067</v>
      </c>
      <c r="I9136" t="s">
        <v>3693</v>
      </c>
      <c r="J9136" t="s">
        <v>35774</v>
      </c>
      <c r="K9136" t="s">
        <v>39082</v>
      </c>
      <c r="M9136" t="s">
        <v>42213</v>
      </c>
      <c r="N9136" t="s">
        <v>43166</v>
      </c>
      <c r="O9136" t="s">
        <v>43167</v>
      </c>
      <c r="P9136">
        <v>0</v>
      </c>
      <c r="Q9136">
        <v>1</v>
      </c>
      <c r="R9136" t="s">
        <v>43175</v>
      </c>
      <c r="S9136" t="s">
        <v>43460</v>
      </c>
      <c r="T9136" t="s">
        <v>44830</v>
      </c>
      <c r="U9136" t="s">
        <v>52511</v>
      </c>
      <c r="W9136" t="s">
        <v>42213</v>
      </c>
      <c r="X9136" t="s">
        <v>43179</v>
      </c>
    </row>
    <row r="9137" spans="1:24">
      <c r="A9137">
        <f>HYPERLINK("https://www.philgeps.gov.ph/GEPSNONPILOT/Tender/SplashBidNoticeAbstractUI.aspx?menuIndex=3&amp;refID=7070426&amp;Result=3","7070426")</f>
        <v>0</v>
      </c>
      <c r="B9137" t="s">
        <v>2366</v>
      </c>
      <c r="C9137" t="s">
        <v>12120</v>
      </c>
      <c r="D9137" t="s">
        <v>17486</v>
      </c>
      <c r="E9137" t="s">
        <v>25346</v>
      </c>
      <c r="F9137" t="s">
        <v>30052</v>
      </c>
      <c r="G9137" t="s">
        <v>30058</v>
      </c>
      <c r="H9137" t="s">
        <v>30067</v>
      </c>
      <c r="I9137" t="s">
        <v>3693</v>
      </c>
      <c r="J9137" t="s">
        <v>35775</v>
      </c>
      <c r="K9137" t="s">
        <v>39020</v>
      </c>
      <c r="M9137" t="s">
        <v>42213</v>
      </c>
      <c r="N9137" t="s">
        <v>43166</v>
      </c>
      <c r="O9137" t="s">
        <v>43167</v>
      </c>
      <c r="P9137">
        <v>0</v>
      </c>
      <c r="Q9137">
        <v>0</v>
      </c>
      <c r="R9137" t="s">
        <v>43175</v>
      </c>
      <c r="S9137" t="s">
        <v>43460</v>
      </c>
      <c r="T9137" t="s">
        <v>44830</v>
      </c>
      <c r="U9137" t="s">
        <v>52512</v>
      </c>
      <c r="W9137" t="s">
        <v>42213</v>
      </c>
      <c r="X9137" t="s">
        <v>43178</v>
      </c>
    </row>
    <row r="9138" spans="1:24">
      <c r="A9138">
        <f>HYPERLINK("https://www.philgeps.gov.ph/GEPSNONPILOT/Tender/SplashBidNoticeAbstractUI.aspx?menuIndex=3&amp;refID=7069959&amp;Result=3","7069959")</f>
        <v>0</v>
      </c>
      <c r="B9138" t="s">
        <v>2366</v>
      </c>
      <c r="C9138" t="s">
        <v>12121</v>
      </c>
      <c r="D9138" t="s">
        <v>17486</v>
      </c>
      <c r="E9138" t="s">
        <v>25347</v>
      </c>
      <c r="F9138" t="s">
        <v>30052</v>
      </c>
      <c r="G9138" t="s">
        <v>30058</v>
      </c>
      <c r="H9138" t="s">
        <v>30067</v>
      </c>
      <c r="I9138" t="s">
        <v>3693</v>
      </c>
      <c r="J9138" t="s">
        <v>35776</v>
      </c>
      <c r="K9138" t="s">
        <v>39075</v>
      </c>
      <c r="M9138" t="s">
        <v>42213</v>
      </c>
      <c r="N9138" t="s">
        <v>43166</v>
      </c>
      <c r="O9138" t="s">
        <v>43167</v>
      </c>
      <c r="P9138">
        <v>0</v>
      </c>
      <c r="Q9138">
        <v>1</v>
      </c>
      <c r="R9138" t="s">
        <v>43175</v>
      </c>
      <c r="S9138" t="s">
        <v>43460</v>
      </c>
      <c r="T9138" t="s">
        <v>44830</v>
      </c>
      <c r="U9138" t="s">
        <v>52513</v>
      </c>
      <c r="W9138" t="s">
        <v>42213</v>
      </c>
      <c r="X9138" t="s">
        <v>43179</v>
      </c>
    </row>
    <row r="9139" spans="1:24">
      <c r="A9139">
        <f>HYPERLINK("https://www.philgeps.gov.ph/GEPSNONPILOT/Tender/SplashBidNoticeAbstractUI.aspx?menuIndex=3&amp;refID=7069943&amp;Result=3","7069943")</f>
        <v>0</v>
      </c>
      <c r="B9139" t="s">
        <v>2366</v>
      </c>
      <c r="C9139" t="s">
        <v>12122</v>
      </c>
      <c r="D9139" t="s">
        <v>17486</v>
      </c>
      <c r="E9139" t="s">
        <v>25348</v>
      </c>
      <c r="F9139" t="s">
        <v>30052</v>
      </c>
      <c r="G9139" t="s">
        <v>30058</v>
      </c>
      <c r="H9139" t="s">
        <v>30067</v>
      </c>
      <c r="I9139" t="s">
        <v>3693</v>
      </c>
      <c r="J9139" t="s">
        <v>35777</v>
      </c>
      <c r="K9139" t="s">
        <v>39061</v>
      </c>
      <c r="M9139" t="s">
        <v>42213</v>
      </c>
      <c r="N9139" t="s">
        <v>43166</v>
      </c>
      <c r="O9139" t="s">
        <v>43167</v>
      </c>
      <c r="P9139">
        <v>0</v>
      </c>
      <c r="Q9139">
        <v>1</v>
      </c>
      <c r="R9139" t="s">
        <v>43175</v>
      </c>
      <c r="S9139" t="s">
        <v>43460</v>
      </c>
      <c r="T9139" t="s">
        <v>44830</v>
      </c>
      <c r="U9139" t="s">
        <v>52514</v>
      </c>
      <c r="W9139" t="s">
        <v>42213</v>
      </c>
      <c r="X9139" t="s">
        <v>43179</v>
      </c>
    </row>
    <row r="9140" spans="1:24">
      <c r="A9140">
        <f>HYPERLINK("https://www.philgeps.gov.ph/GEPSNONPILOT/Tender/SplashBidNoticeAbstractUI.aspx?menuIndex=3&amp;refID=7069835&amp;Result=3","7069835")</f>
        <v>0</v>
      </c>
      <c r="B9140" t="s">
        <v>2366</v>
      </c>
      <c r="C9140" t="s">
        <v>12123</v>
      </c>
      <c r="D9140" t="s">
        <v>17486</v>
      </c>
      <c r="E9140" t="s">
        <v>25349</v>
      </c>
      <c r="F9140" t="s">
        <v>30052</v>
      </c>
      <c r="G9140" t="s">
        <v>30058</v>
      </c>
      <c r="H9140" t="s">
        <v>30067</v>
      </c>
      <c r="I9140" t="s">
        <v>3693</v>
      </c>
      <c r="J9140" t="s">
        <v>35778</v>
      </c>
      <c r="K9140" t="s">
        <v>39075</v>
      </c>
      <c r="M9140" t="s">
        <v>42213</v>
      </c>
      <c r="N9140" t="s">
        <v>43166</v>
      </c>
      <c r="O9140" t="s">
        <v>43167</v>
      </c>
      <c r="P9140">
        <v>0</v>
      </c>
      <c r="Q9140">
        <v>1</v>
      </c>
      <c r="R9140" t="s">
        <v>43175</v>
      </c>
      <c r="S9140" t="s">
        <v>43460</v>
      </c>
      <c r="T9140" t="s">
        <v>44830</v>
      </c>
      <c r="U9140" t="s">
        <v>52515</v>
      </c>
      <c r="W9140" t="s">
        <v>42213</v>
      </c>
      <c r="X9140" t="s">
        <v>43179</v>
      </c>
    </row>
    <row r="9141" spans="1:24">
      <c r="A9141">
        <f>HYPERLINK("https://www.philgeps.gov.ph/GEPSNONPILOT/Tender/SplashBidNoticeAbstractUI.aspx?menuIndex=3&amp;refID=7068595&amp;Result=3","7068595")</f>
        <v>0</v>
      </c>
      <c r="B9141" t="s">
        <v>689</v>
      </c>
      <c r="C9141" t="s">
        <v>12124</v>
      </c>
      <c r="D9141" t="s">
        <v>17475</v>
      </c>
      <c r="E9141" t="s">
        <v>24749</v>
      </c>
      <c r="F9141" t="s">
        <v>30052</v>
      </c>
      <c r="G9141" t="s">
        <v>30058</v>
      </c>
      <c r="H9141" t="s">
        <v>15498</v>
      </c>
      <c r="I9141" t="s">
        <v>30073</v>
      </c>
      <c r="J9141" t="s">
        <v>35779</v>
      </c>
      <c r="K9141" t="s">
        <v>39017</v>
      </c>
      <c r="M9141" t="s">
        <v>39995</v>
      </c>
      <c r="N9141" t="s">
        <v>43166</v>
      </c>
      <c r="O9141" t="s">
        <v>43167</v>
      </c>
      <c r="P9141">
        <v>0</v>
      </c>
      <c r="Q9141">
        <v>0</v>
      </c>
      <c r="R9141" t="s">
        <v>43175</v>
      </c>
      <c r="S9141" t="s">
        <v>43460</v>
      </c>
      <c r="T9141" t="s">
        <v>45110</v>
      </c>
      <c r="U9141" t="s">
        <v>52492</v>
      </c>
      <c r="V9141" t="s">
        <v>57002</v>
      </c>
      <c r="W9141" t="s">
        <v>39995</v>
      </c>
      <c r="X9141" t="s">
        <v>43179</v>
      </c>
    </row>
    <row r="9142" spans="1:24">
      <c r="A9142">
        <f>HYPERLINK("https://www.philgeps.gov.ph/GEPSNONPILOT/Tender/SplashBidNoticeAbstractUI.aspx?menuIndex=3&amp;refID=7069744&amp;Result=3","7069744")</f>
        <v>0</v>
      </c>
      <c r="B9142" t="s">
        <v>2699</v>
      </c>
      <c r="C9142" t="s">
        <v>12125</v>
      </c>
      <c r="E9142" t="s">
        <v>24978</v>
      </c>
      <c r="F9142" t="s">
        <v>30052</v>
      </c>
      <c r="G9142" t="s">
        <v>30063</v>
      </c>
      <c r="H9142" t="s">
        <v>15498</v>
      </c>
      <c r="I9142" t="s">
        <v>3852</v>
      </c>
      <c r="J9142" t="s">
        <v>35780</v>
      </c>
      <c r="K9142" t="s">
        <v>39025</v>
      </c>
      <c r="M9142" t="s">
        <v>42223</v>
      </c>
      <c r="N9142" t="s">
        <v>43166</v>
      </c>
      <c r="O9142" t="s">
        <v>43167</v>
      </c>
      <c r="P9142">
        <v>0</v>
      </c>
      <c r="Q9142">
        <v>7</v>
      </c>
      <c r="R9142" t="s">
        <v>43175</v>
      </c>
      <c r="S9142" t="s">
        <v>43460</v>
      </c>
      <c r="T9142" t="s">
        <v>45049</v>
      </c>
      <c r="U9142" t="s">
        <v>52516</v>
      </c>
      <c r="W9142" t="s">
        <v>42223</v>
      </c>
      <c r="X9142" t="s">
        <v>43179</v>
      </c>
    </row>
    <row r="9143" spans="1:24">
      <c r="A9143">
        <f>HYPERLINK("https://www.philgeps.gov.ph/GEPSNONPILOT/Tender/SplashBidNoticeAbstractUI.aspx?menuIndex=3&amp;refID=7070354&amp;Result=3","7070354")</f>
        <v>0</v>
      </c>
      <c r="B9143" t="s">
        <v>2700</v>
      </c>
      <c r="C9143" t="s">
        <v>12126</v>
      </c>
      <c r="D9143" t="s">
        <v>17421</v>
      </c>
      <c r="E9143" t="s">
        <v>25350</v>
      </c>
      <c r="F9143" t="s">
        <v>30052</v>
      </c>
      <c r="G9143" t="s">
        <v>30059</v>
      </c>
      <c r="H9143" t="s">
        <v>15498</v>
      </c>
      <c r="I9143" t="s">
        <v>30170</v>
      </c>
      <c r="J9143" t="s">
        <v>35781</v>
      </c>
      <c r="K9143" t="s">
        <v>39029</v>
      </c>
      <c r="M9143" t="s">
        <v>42224</v>
      </c>
      <c r="N9143" t="s">
        <v>43166</v>
      </c>
      <c r="O9143" t="s">
        <v>43167</v>
      </c>
      <c r="P9143">
        <v>0</v>
      </c>
      <c r="Q9143">
        <v>4</v>
      </c>
      <c r="R9143" t="s">
        <v>43175</v>
      </c>
      <c r="S9143" t="s">
        <v>43460</v>
      </c>
      <c r="T9143" t="s">
        <v>44732</v>
      </c>
      <c r="U9143" t="s">
        <v>52517</v>
      </c>
      <c r="W9143" t="s">
        <v>42224</v>
      </c>
      <c r="X9143" t="s">
        <v>43178</v>
      </c>
    </row>
    <row r="9144" spans="1:24">
      <c r="A9144">
        <f>HYPERLINK("https://www.philgeps.gov.ph/GEPSNONPILOT/Tender/SplashBidNoticeAbstractUI.aspx?menuIndex=3&amp;refID=7069651&amp;Result=3","7069651")</f>
        <v>0</v>
      </c>
      <c r="B9144" t="s">
        <v>689</v>
      </c>
      <c r="C9144" t="s">
        <v>12127</v>
      </c>
      <c r="D9144" t="s">
        <v>17475</v>
      </c>
      <c r="E9144" t="s">
        <v>22349</v>
      </c>
      <c r="F9144" t="s">
        <v>30052</v>
      </c>
      <c r="G9144" t="s">
        <v>30058</v>
      </c>
      <c r="H9144" t="s">
        <v>30067</v>
      </c>
      <c r="I9144" t="s">
        <v>3693</v>
      </c>
      <c r="J9144" t="s">
        <v>35782</v>
      </c>
      <c r="K9144" t="s">
        <v>39073</v>
      </c>
      <c r="M9144" t="s">
        <v>39995</v>
      </c>
      <c r="N9144" t="s">
        <v>43166</v>
      </c>
      <c r="O9144" t="s">
        <v>43167</v>
      </c>
      <c r="P9144">
        <v>0</v>
      </c>
      <c r="Q9144">
        <v>0</v>
      </c>
      <c r="R9144" t="s">
        <v>43175</v>
      </c>
      <c r="S9144" t="s">
        <v>43460</v>
      </c>
      <c r="T9144" t="s">
        <v>45111</v>
      </c>
      <c r="U9144" t="s">
        <v>52518</v>
      </c>
      <c r="V9144" t="s">
        <v>57002</v>
      </c>
      <c r="W9144" t="s">
        <v>39995</v>
      </c>
      <c r="X9144" t="s">
        <v>43179</v>
      </c>
    </row>
    <row r="9145" spans="1:24">
      <c r="A9145">
        <f>HYPERLINK("https://www.philgeps.gov.ph/GEPSNONPILOT/Tender/SplashBidNoticeAbstractUI.aspx?menuIndex=3&amp;refID=7069374&amp;Result=3","7069374")</f>
        <v>0</v>
      </c>
      <c r="B9145" t="s">
        <v>2701</v>
      </c>
      <c r="C9145" t="s">
        <v>12128</v>
      </c>
      <c r="E9145" t="s">
        <v>18583</v>
      </c>
      <c r="F9145" t="s">
        <v>30056</v>
      </c>
      <c r="G9145" t="s">
        <v>30058</v>
      </c>
      <c r="H9145" t="s">
        <v>15498</v>
      </c>
      <c r="I9145" t="s">
        <v>30085</v>
      </c>
      <c r="J9145" t="s">
        <v>32397</v>
      </c>
      <c r="K9145" t="s">
        <v>39025</v>
      </c>
      <c r="M9145" t="s">
        <v>42225</v>
      </c>
      <c r="N9145" t="s">
        <v>43166</v>
      </c>
      <c r="O9145" t="s">
        <v>43167</v>
      </c>
      <c r="P9145">
        <v>0</v>
      </c>
      <c r="Q9145">
        <v>1</v>
      </c>
      <c r="R9145" t="s">
        <v>43175</v>
      </c>
      <c r="S9145" t="s">
        <v>43460</v>
      </c>
      <c r="T9145" t="s">
        <v>44736</v>
      </c>
      <c r="U9145" t="s">
        <v>52519</v>
      </c>
      <c r="W9145" t="s">
        <v>42225</v>
      </c>
      <c r="X9145" t="s">
        <v>43179</v>
      </c>
    </row>
    <row r="9146" spans="1:24">
      <c r="A9146">
        <f>HYPERLINK("https://www.philgeps.gov.ph/GEPSNONPILOT/Tender/SplashBidNoticeAbstractUI.aspx?menuIndex=3&amp;refID=7069796&amp;Result=3","7069796")</f>
        <v>0</v>
      </c>
      <c r="B9146" t="s">
        <v>2366</v>
      </c>
      <c r="C9146" t="s">
        <v>12129</v>
      </c>
      <c r="D9146" t="s">
        <v>17486</v>
      </c>
      <c r="E9146" t="s">
        <v>25351</v>
      </c>
      <c r="F9146" t="s">
        <v>30052</v>
      </c>
      <c r="G9146" t="s">
        <v>30058</v>
      </c>
      <c r="H9146" t="s">
        <v>30067</v>
      </c>
      <c r="I9146" t="s">
        <v>3693</v>
      </c>
      <c r="J9146" t="s">
        <v>35783</v>
      </c>
      <c r="K9146" t="s">
        <v>39023</v>
      </c>
      <c r="M9146" t="s">
        <v>42213</v>
      </c>
      <c r="N9146" t="s">
        <v>43166</v>
      </c>
      <c r="O9146" t="s">
        <v>43167</v>
      </c>
      <c r="P9146">
        <v>0</v>
      </c>
      <c r="Q9146">
        <v>1</v>
      </c>
      <c r="R9146" t="s">
        <v>43175</v>
      </c>
      <c r="S9146" t="s">
        <v>43460</v>
      </c>
      <c r="T9146" t="s">
        <v>44830</v>
      </c>
      <c r="U9146" t="s">
        <v>52520</v>
      </c>
      <c r="W9146" t="s">
        <v>42213</v>
      </c>
      <c r="X9146" t="s">
        <v>43179</v>
      </c>
    </row>
    <row r="9147" spans="1:24">
      <c r="A9147">
        <f>HYPERLINK("https://www.philgeps.gov.ph/GEPSNONPILOT/Tender/SplashBidNoticeAbstractUI.aspx?menuIndex=3&amp;refID=7069717&amp;Result=3","7069717")</f>
        <v>0</v>
      </c>
      <c r="B9147" t="s">
        <v>689</v>
      </c>
      <c r="C9147" t="s">
        <v>12130</v>
      </c>
      <c r="D9147" t="s">
        <v>17475</v>
      </c>
      <c r="E9147" t="s">
        <v>22582</v>
      </c>
      <c r="F9147" t="s">
        <v>30052</v>
      </c>
      <c r="G9147" t="s">
        <v>30058</v>
      </c>
      <c r="H9147" t="s">
        <v>15498</v>
      </c>
      <c r="I9147" t="s">
        <v>3693</v>
      </c>
      <c r="J9147" t="s">
        <v>35784</v>
      </c>
      <c r="K9147" t="s">
        <v>39017</v>
      </c>
      <c r="M9147" t="s">
        <v>39995</v>
      </c>
      <c r="N9147" t="s">
        <v>43166</v>
      </c>
      <c r="O9147" t="s">
        <v>43167</v>
      </c>
      <c r="P9147">
        <v>0</v>
      </c>
      <c r="Q9147">
        <v>0</v>
      </c>
      <c r="R9147" t="s">
        <v>43175</v>
      </c>
      <c r="S9147" t="s">
        <v>43460</v>
      </c>
      <c r="T9147" t="s">
        <v>45112</v>
      </c>
      <c r="U9147" t="s">
        <v>52521</v>
      </c>
      <c r="V9147" t="s">
        <v>57002</v>
      </c>
      <c r="W9147" t="s">
        <v>39995</v>
      </c>
      <c r="X9147" t="s">
        <v>43179</v>
      </c>
    </row>
    <row r="9148" spans="1:24">
      <c r="A9148">
        <f>HYPERLINK("https://www.philgeps.gov.ph/GEPSNONPILOT/Tender/SplashBidNoticeAbstractUI.aspx?menuIndex=3&amp;refID=7044012&amp;Result=3","7044012")</f>
        <v>0</v>
      </c>
      <c r="B9148" t="s">
        <v>311</v>
      </c>
      <c r="C9148" t="s">
        <v>12131</v>
      </c>
      <c r="D9148" t="s">
        <v>17429</v>
      </c>
      <c r="E9148" t="s">
        <v>19820</v>
      </c>
      <c r="F9148" t="s">
        <v>30052</v>
      </c>
      <c r="G9148" t="s">
        <v>30058</v>
      </c>
      <c r="H9148" t="s">
        <v>30067</v>
      </c>
      <c r="I9148" t="s">
        <v>3693</v>
      </c>
      <c r="J9148" t="s">
        <v>30222</v>
      </c>
      <c r="K9148" t="s">
        <v>39065</v>
      </c>
      <c r="M9148" t="s">
        <v>39607</v>
      </c>
      <c r="N9148" t="s">
        <v>43166</v>
      </c>
      <c r="O9148" t="s">
        <v>43167</v>
      </c>
      <c r="P9148">
        <v>0</v>
      </c>
      <c r="Q9148">
        <v>0</v>
      </c>
      <c r="R9148" t="s">
        <v>43175</v>
      </c>
      <c r="S9148" t="s">
        <v>43460</v>
      </c>
      <c r="T9148" t="s">
        <v>44758</v>
      </c>
      <c r="U9148" t="s">
        <v>52522</v>
      </c>
      <c r="W9148" t="s">
        <v>39607</v>
      </c>
      <c r="X9148" t="s">
        <v>43285</v>
      </c>
    </row>
    <row r="9149" spans="1:24">
      <c r="A9149">
        <f>HYPERLINK("https://www.philgeps.gov.ph/GEPSNONPILOT/Tender/SplashBidNoticeAbstractUI.aspx?menuIndex=3&amp;refID=7069972&amp;Result=3","7069972")</f>
        <v>0</v>
      </c>
      <c r="B9149" t="s">
        <v>2366</v>
      </c>
      <c r="C9149" t="s">
        <v>12132</v>
      </c>
      <c r="D9149" t="s">
        <v>17486</v>
      </c>
      <c r="E9149" t="s">
        <v>25352</v>
      </c>
      <c r="F9149" t="s">
        <v>30052</v>
      </c>
      <c r="G9149" t="s">
        <v>30058</v>
      </c>
      <c r="H9149" t="s">
        <v>30067</v>
      </c>
      <c r="I9149" t="s">
        <v>3693</v>
      </c>
      <c r="J9149" t="s">
        <v>35785</v>
      </c>
      <c r="K9149" t="s">
        <v>39116</v>
      </c>
      <c r="M9149" t="s">
        <v>42213</v>
      </c>
      <c r="N9149" t="s">
        <v>43166</v>
      </c>
      <c r="O9149" t="s">
        <v>43167</v>
      </c>
      <c r="P9149">
        <v>0</v>
      </c>
      <c r="Q9149">
        <v>2</v>
      </c>
      <c r="R9149" t="s">
        <v>43175</v>
      </c>
      <c r="S9149" t="s">
        <v>43460</v>
      </c>
      <c r="T9149" t="s">
        <v>44830</v>
      </c>
      <c r="U9149" t="s">
        <v>52523</v>
      </c>
      <c r="W9149" t="s">
        <v>42213</v>
      </c>
      <c r="X9149" t="s">
        <v>43179</v>
      </c>
    </row>
    <row r="9150" spans="1:24">
      <c r="A9150">
        <f>HYPERLINK("https://www.philgeps.gov.ph/GEPSNONPILOT/Tender/SplashBidNoticeAbstractUI.aspx?menuIndex=3&amp;refID=7052583&amp;Result=3","7052583")</f>
        <v>0</v>
      </c>
      <c r="B9150" t="s">
        <v>2702</v>
      </c>
      <c r="C9150" t="s">
        <v>12133</v>
      </c>
      <c r="D9150" t="s">
        <v>17432</v>
      </c>
      <c r="E9150" t="s">
        <v>18659</v>
      </c>
      <c r="F9150" t="s">
        <v>30052</v>
      </c>
      <c r="G9150" t="s">
        <v>30058</v>
      </c>
      <c r="H9150" t="s">
        <v>15498</v>
      </c>
      <c r="I9150" t="s">
        <v>30070</v>
      </c>
      <c r="J9150" t="s">
        <v>35786</v>
      </c>
      <c r="K9150" t="s">
        <v>39036</v>
      </c>
      <c r="M9150" t="s">
        <v>42226</v>
      </c>
      <c r="N9150" t="s">
        <v>43166</v>
      </c>
      <c r="O9150" t="s">
        <v>43167</v>
      </c>
      <c r="P9150">
        <v>0</v>
      </c>
      <c r="Q9150">
        <v>1</v>
      </c>
      <c r="R9150" t="s">
        <v>43175</v>
      </c>
      <c r="S9150" t="s">
        <v>43460</v>
      </c>
      <c r="T9150" t="s">
        <v>44837</v>
      </c>
      <c r="U9150" t="s">
        <v>52524</v>
      </c>
      <c r="W9150" t="s">
        <v>42226</v>
      </c>
      <c r="X9150" t="s">
        <v>43187</v>
      </c>
    </row>
    <row r="9151" spans="1:24">
      <c r="A9151">
        <f>HYPERLINK("https://www.philgeps.gov.ph/GEPSNONPILOT/Tender/SplashBidNoticeAbstractUI.aspx?menuIndex=3&amp;refID=7069740&amp;Result=3","7069740")</f>
        <v>0</v>
      </c>
      <c r="B9151" t="s">
        <v>2366</v>
      </c>
      <c r="C9151" t="s">
        <v>12134</v>
      </c>
      <c r="D9151" t="s">
        <v>17486</v>
      </c>
      <c r="E9151" t="s">
        <v>25353</v>
      </c>
      <c r="F9151" t="s">
        <v>30052</v>
      </c>
      <c r="G9151" t="s">
        <v>30058</v>
      </c>
      <c r="H9151" t="s">
        <v>30067</v>
      </c>
      <c r="I9151" t="s">
        <v>3693</v>
      </c>
      <c r="J9151" t="s">
        <v>35787</v>
      </c>
      <c r="K9151" t="s">
        <v>39082</v>
      </c>
      <c r="M9151" t="s">
        <v>42213</v>
      </c>
      <c r="N9151" t="s">
        <v>43166</v>
      </c>
      <c r="O9151" t="s">
        <v>43167</v>
      </c>
      <c r="P9151">
        <v>0</v>
      </c>
      <c r="Q9151">
        <v>1</v>
      </c>
      <c r="R9151" t="s">
        <v>43175</v>
      </c>
      <c r="S9151" t="s">
        <v>43460</v>
      </c>
      <c r="T9151" t="s">
        <v>44830</v>
      </c>
      <c r="U9151" t="s">
        <v>52525</v>
      </c>
      <c r="W9151" t="s">
        <v>42213</v>
      </c>
      <c r="X9151" t="s">
        <v>43179</v>
      </c>
    </row>
    <row r="9152" spans="1:24">
      <c r="A9152">
        <f>HYPERLINK("https://www.philgeps.gov.ph/GEPSNONPILOT/Tender/SplashBidNoticeAbstractUI.aspx?menuIndex=3&amp;refID=7076060&amp;Result=3","7076060")</f>
        <v>0</v>
      </c>
      <c r="B9152" t="s">
        <v>1065</v>
      </c>
      <c r="C9152" t="s">
        <v>12135</v>
      </c>
      <c r="D9152" t="s">
        <v>17456</v>
      </c>
      <c r="E9152" t="s">
        <v>17861</v>
      </c>
      <c r="F9152" t="s">
        <v>30052</v>
      </c>
      <c r="G9152" t="s">
        <v>30058</v>
      </c>
      <c r="H9152" t="s">
        <v>30067</v>
      </c>
      <c r="I9152" t="s">
        <v>3693</v>
      </c>
      <c r="J9152" t="s">
        <v>35788</v>
      </c>
      <c r="K9152" t="s">
        <v>39031</v>
      </c>
      <c r="M9152" t="s">
        <v>40400</v>
      </c>
      <c r="N9152" t="s">
        <v>43166</v>
      </c>
      <c r="O9152" t="s">
        <v>43167</v>
      </c>
      <c r="P9152">
        <v>0</v>
      </c>
      <c r="Q9152">
        <v>1</v>
      </c>
      <c r="R9152" t="s">
        <v>43174</v>
      </c>
      <c r="S9152" t="s">
        <v>43396</v>
      </c>
      <c r="T9152" t="s">
        <v>45000</v>
      </c>
      <c r="U9152" t="s">
        <v>52444</v>
      </c>
      <c r="W9152" t="s">
        <v>40400</v>
      </c>
      <c r="X9152" t="s">
        <v>43175</v>
      </c>
    </row>
    <row r="9153" spans="1:24">
      <c r="A9153">
        <f>HYPERLINK("https://www.philgeps.gov.ph/GEPSNONPILOT/Tender/SplashBidNoticeAbstractUI.aspx?menuIndex=3&amp;refID=7076068&amp;Result=3","7076068")</f>
        <v>0</v>
      </c>
      <c r="B9153" t="s">
        <v>1056</v>
      </c>
      <c r="C9153" t="s">
        <v>12136</v>
      </c>
      <c r="D9153" t="s">
        <v>17422</v>
      </c>
      <c r="E9153" t="s">
        <v>25354</v>
      </c>
      <c r="F9153" t="s">
        <v>30052</v>
      </c>
      <c r="G9153" t="s">
        <v>30058</v>
      </c>
      <c r="H9153" t="s">
        <v>15498</v>
      </c>
      <c r="I9153" t="s">
        <v>30076</v>
      </c>
      <c r="J9153" t="s">
        <v>35789</v>
      </c>
      <c r="K9153" t="s">
        <v>39025</v>
      </c>
      <c r="M9153" t="s">
        <v>40391</v>
      </c>
      <c r="N9153" t="s">
        <v>43166</v>
      </c>
      <c r="O9153" t="s">
        <v>43167</v>
      </c>
      <c r="P9153">
        <v>0</v>
      </c>
      <c r="Q9153">
        <v>18</v>
      </c>
      <c r="R9153" t="s">
        <v>43174</v>
      </c>
      <c r="S9153" t="s">
        <v>43396</v>
      </c>
      <c r="T9153" t="s">
        <v>44716</v>
      </c>
      <c r="U9153" t="s">
        <v>52526</v>
      </c>
      <c r="W9153" t="s">
        <v>40391</v>
      </c>
      <c r="X9153" t="s">
        <v>43175</v>
      </c>
    </row>
    <row r="9154" spans="1:24">
      <c r="A9154">
        <f>HYPERLINK("https://www.philgeps.gov.ph/GEPSNONPILOT/Tender/SplashBidNoticeAbstractUI.aspx?menuIndex=3&amp;refID=7076066&amp;Result=3","7076066")</f>
        <v>0</v>
      </c>
      <c r="B9154" t="s">
        <v>2409</v>
      </c>
      <c r="C9154" t="s">
        <v>12137</v>
      </c>
      <c r="D9154" t="s">
        <v>17466</v>
      </c>
      <c r="E9154" t="s">
        <v>22764</v>
      </c>
      <c r="F9154" t="s">
        <v>30052</v>
      </c>
      <c r="G9154" t="s">
        <v>30058</v>
      </c>
      <c r="H9154" t="s">
        <v>30069</v>
      </c>
      <c r="I9154" t="s">
        <v>30070</v>
      </c>
      <c r="J9154" t="s">
        <v>35790</v>
      </c>
      <c r="K9154" t="s">
        <v>39039</v>
      </c>
      <c r="M9154" t="s">
        <v>41906</v>
      </c>
      <c r="N9154" t="s">
        <v>43166</v>
      </c>
      <c r="O9154" t="s">
        <v>43167</v>
      </c>
      <c r="P9154">
        <v>0</v>
      </c>
      <c r="Q9154">
        <v>0</v>
      </c>
      <c r="R9154" t="s">
        <v>43174</v>
      </c>
      <c r="S9154" t="s">
        <v>43396</v>
      </c>
      <c r="T9154" t="s">
        <v>44873</v>
      </c>
      <c r="U9154" t="s">
        <v>52527</v>
      </c>
      <c r="W9154" t="s">
        <v>41906</v>
      </c>
      <c r="X9154" t="s">
        <v>43175</v>
      </c>
    </row>
    <row r="9155" spans="1:24">
      <c r="A9155">
        <f>HYPERLINK("https://www.philgeps.gov.ph/GEPSNONPILOT/Tender/SplashBidNoticeAbstractUI.aspx?menuIndex=3&amp;refID=7075974&amp;Result=3","7075974")</f>
        <v>0</v>
      </c>
      <c r="B9155" t="s">
        <v>2306</v>
      </c>
      <c r="C9155" t="s">
        <v>12138</v>
      </c>
      <c r="D9155" t="s">
        <v>17415</v>
      </c>
      <c r="E9155" t="s">
        <v>25355</v>
      </c>
      <c r="F9155" t="s">
        <v>30052</v>
      </c>
      <c r="G9155" t="s">
        <v>30058</v>
      </c>
      <c r="H9155" t="s">
        <v>15498</v>
      </c>
      <c r="I9155" t="s">
        <v>30084</v>
      </c>
      <c r="J9155" t="s">
        <v>35791</v>
      </c>
      <c r="K9155" t="s">
        <v>39023</v>
      </c>
      <c r="M9155" t="s">
        <v>41792</v>
      </c>
      <c r="N9155" t="s">
        <v>43166</v>
      </c>
      <c r="O9155" t="s">
        <v>43167</v>
      </c>
      <c r="P9155">
        <v>0</v>
      </c>
      <c r="Q9155">
        <v>11</v>
      </c>
      <c r="R9155" t="s">
        <v>43174</v>
      </c>
      <c r="S9155" t="s">
        <v>43396</v>
      </c>
      <c r="T9155" t="s">
        <v>45000</v>
      </c>
      <c r="U9155" t="s">
        <v>52528</v>
      </c>
      <c r="W9155" t="s">
        <v>41792</v>
      </c>
      <c r="X9155" t="s">
        <v>43175</v>
      </c>
    </row>
    <row r="9156" spans="1:24">
      <c r="A9156">
        <f>HYPERLINK("https://www.philgeps.gov.ph/GEPSNONPILOT/Tender/SplashBidNoticeAbstractUI.aspx?menuIndex=3&amp;refID=7075971&amp;Result=3","7075971")</f>
        <v>0</v>
      </c>
      <c r="B9156" t="s">
        <v>937</v>
      </c>
      <c r="C9156" t="s">
        <v>12139</v>
      </c>
      <c r="D9156" t="s">
        <v>17428</v>
      </c>
      <c r="E9156" t="s">
        <v>25356</v>
      </c>
      <c r="F9156" t="s">
        <v>30052</v>
      </c>
      <c r="G9156" t="s">
        <v>30058</v>
      </c>
      <c r="H9156" t="s">
        <v>30067</v>
      </c>
      <c r="I9156" t="s">
        <v>3693</v>
      </c>
      <c r="J9156" t="s">
        <v>35792</v>
      </c>
      <c r="K9156" t="s">
        <v>39029</v>
      </c>
      <c r="M9156" t="s">
        <v>40261</v>
      </c>
      <c r="N9156" t="s">
        <v>43166</v>
      </c>
      <c r="O9156" t="s">
        <v>43167</v>
      </c>
      <c r="P9156">
        <v>0</v>
      </c>
      <c r="Q9156">
        <v>0</v>
      </c>
      <c r="R9156" t="s">
        <v>43174</v>
      </c>
      <c r="S9156" t="s">
        <v>43396</v>
      </c>
      <c r="T9156" t="s">
        <v>44807</v>
      </c>
      <c r="U9156" t="s">
        <v>52529</v>
      </c>
      <c r="W9156" t="s">
        <v>40261</v>
      </c>
      <c r="X9156" t="s">
        <v>43175</v>
      </c>
    </row>
    <row r="9157" spans="1:24">
      <c r="A9157">
        <f>HYPERLINK("https://www.philgeps.gov.ph/GEPSNONPILOT/Tender/SplashBidNoticeAbstractUI.aspx?menuIndex=3&amp;refID=7070630&amp;Result=3","7070630")</f>
        <v>0</v>
      </c>
      <c r="B9157" t="s">
        <v>2703</v>
      </c>
      <c r="C9157" t="s">
        <v>5375</v>
      </c>
      <c r="D9157" t="s">
        <v>17444</v>
      </c>
      <c r="E9157" t="s">
        <v>5375</v>
      </c>
      <c r="F9157" t="s">
        <v>30052</v>
      </c>
      <c r="G9157" t="s">
        <v>30059</v>
      </c>
      <c r="H9157" t="s">
        <v>15498</v>
      </c>
      <c r="I9157" t="s">
        <v>30076</v>
      </c>
      <c r="J9157" t="s">
        <v>30337</v>
      </c>
      <c r="K9157" t="s">
        <v>39017</v>
      </c>
      <c r="M9157" t="s">
        <v>42227</v>
      </c>
      <c r="N9157" t="s">
        <v>43166</v>
      </c>
      <c r="O9157" t="s">
        <v>43167</v>
      </c>
      <c r="P9157">
        <v>0</v>
      </c>
      <c r="Q9157">
        <v>0</v>
      </c>
      <c r="R9157" t="s">
        <v>43175</v>
      </c>
      <c r="S9157" t="s">
        <v>43460</v>
      </c>
      <c r="T9157" t="s">
        <v>44734</v>
      </c>
      <c r="U9157" t="s">
        <v>52530</v>
      </c>
      <c r="W9157" t="s">
        <v>42227</v>
      </c>
      <c r="X9157" t="s">
        <v>43178</v>
      </c>
    </row>
    <row r="9158" spans="1:24">
      <c r="A9158">
        <f>HYPERLINK("https://www.philgeps.gov.ph/GEPSNONPILOT/Tender/SplashBidNoticeAbstractUI.aspx?menuIndex=3&amp;refID=7076065&amp;Result=3","7076065")</f>
        <v>0</v>
      </c>
      <c r="B9158" t="s">
        <v>1065</v>
      </c>
      <c r="C9158" t="s">
        <v>12140</v>
      </c>
      <c r="D9158" t="s">
        <v>17456</v>
      </c>
      <c r="E9158" t="s">
        <v>17890</v>
      </c>
      <c r="F9158" t="s">
        <v>30052</v>
      </c>
      <c r="G9158" t="s">
        <v>30058</v>
      </c>
      <c r="H9158" t="s">
        <v>30067</v>
      </c>
      <c r="I9158" t="s">
        <v>3693</v>
      </c>
      <c r="J9158" t="s">
        <v>35793</v>
      </c>
      <c r="K9158" t="s">
        <v>39026</v>
      </c>
      <c r="M9158" t="s">
        <v>40400</v>
      </c>
      <c r="N9158" t="s">
        <v>43166</v>
      </c>
      <c r="O9158" t="s">
        <v>43167</v>
      </c>
      <c r="P9158">
        <v>0</v>
      </c>
      <c r="Q9158">
        <v>2</v>
      </c>
      <c r="R9158" t="s">
        <v>43174</v>
      </c>
      <c r="S9158" t="s">
        <v>43396</v>
      </c>
      <c r="T9158" t="s">
        <v>45000</v>
      </c>
      <c r="U9158" t="s">
        <v>52444</v>
      </c>
      <c r="W9158" t="s">
        <v>40400</v>
      </c>
      <c r="X9158" t="s">
        <v>43175</v>
      </c>
    </row>
    <row r="9159" spans="1:24">
      <c r="A9159">
        <f>HYPERLINK("https://www.philgeps.gov.ph/GEPSNONPILOT/Tender/SplashBidNoticeAbstractUI.aspx?menuIndex=3&amp;refID=7075972&amp;Result=3","7075972")</f>
        <v>0</v>
      </c>
      <c r="B9159" t="s">
        <v>2649</v>
      </c>
      <c r="C9159" t="s">
        <v>12141</v>
      </c>
      <c r="E9159" t="s">
        <v>25357</v>
      </c>
      <c r="F9159" t="s">
        <v>30052</v>
      </c>
      <c r="G9159" t="s">
        <v>30058</v>
      </c>
      <c r="H9159" t="s">
        <v>15498</v>
      </c>
      <c r="I9159" t="s">
        <v>30088</v>
      </c>
      <c r="J9159" t="s">
        <v>30281</v>
      </c>
      <c r="K9159" t="s">
        <v>39025</v>
      </c>
      <c r="M9159" t="s">
        <v>42191</v>
      </c>
      <c r="N9159" t="s">
        <v>43166</v>
      </c>
      <c r="O9159" t="s">
        <v>43167</v>
      </c>
      <c r="Q9159">
        <v>3</v>
      </c>
      <c r="R9159" t="s">
        <v>43174</v>
      </c>
      <c r="S9159" t="s">
        <v>43401</v>
      </c>
      <c r="T9159" t="s">
        <v>44934</v>
      </c>
      <c r="U9159" t="s">
        <v>52315</v>
      </c>
      <c r="V9159" t="s">
        <v>57758</v>
      </c>
      <c r="W9159" t="s">
        <v>42191</v>
      </c>
      <c r="X9159" t="s">
        <v>43175</v>
      </c>
    </row>
    <row r="9160" spans="1:24">
      <c r="A9160">
        <f>HYPERLINK("https://www.philgeps.gov.ph/GEPSNONPILOT/Tender/SplashBidNoticeAbstractUI.aspx?menuIndex=3&amp;refID=7076064&amp;Result=3","7076064")</f>
        <v>0</v>
      </c>
      <c r="B9160" t="s">
        <v>2417</v>
      </c>
      <c r="C9160" t="s">
        <v>12142</v>
      </c>
      <c r="D9160" t="s">
        <v>17414</v>
      </c>
      <c r="E9160" t="s">
        <v>25358</v>
      </c>
      <c r="F9160" t="s">
        <v>30052</v>
      </c>
      <c r="G9160" t="s">
        <v>30058</v>
      </c>
      <c r="H9160" t="s">
        <v>15498</v>
      </c>
      <c r="I9160" t="s">
        <v>3736</v>
      </c>
      <c r="J9160" t="s">
        <v>35794</v>
      </c>
      <c r="K9160" t="s">
        <v>39029</v>
      </c>
      <c r="M9160" t="s">
        <v>41914</v>
      </c>
      <c r="N9160" t="s">
        <v>43166</v>
      </c>
      <c r="O9160" t="s">
        <v>43167</v>
      </c>
      <c r="P9160">
        <v>0</v>
      </c>
      <c r="Q9160">
        <v>0</v>
      </c>
      <c r="R9160" t="s">
        <v>43174</v>
      </c>
      <c r="S9160" t="s">
        <v>43396</v>
      </c>
      <c r="T9160" t="s">
        <v>44825</v>
      </c>
      <c r="U9160" t="s">
        <v>51539</v>
      </c>
      <c r="W9160" t="s">
        <v>41914</v>
      </c>
      <c r="X9160" t="s">
        <v>43175</v>
      </c>
    </row>
    <row r="9161" spans="1:24">
      <c r="A9161">
        <f>HYPERLINK("https://www.philgeps.gov.ph/GEPSNONPILOT/Tender/SplashBidNoticeAbstractUI.aspx?menuIndex=3&amp;refID=7070672&amp;Result=3","7070672")</f>
        <v>0</v>
      </c>
      <c r="B9161" t="s">
        <v>1730</v>
      </c>
      <c r="C9161" t="s">
        <v>12143</v>
      </c>
      <c r="D9161" t="s">
        <v>17423</v>
      </c>
      <c r="E9161" t="s">
        <v>25359</v>
      </c>
      <c r="F9161" t="s">
        <v>30052</v>
      </c>
      <c r="G9161" t="s">
        <v>30058</v>
      </c>
      <c r="H9161" t="s">
        <v>30067</v>
      </c>
      <c r="I9161" t="s">
        <v>3693</v>
      </c>
      <c r="J9161" t="s">
        <v>35795</v>
      </c>
      <c r="K9161" t="s">
        <v>39042</v>
      </c>
      <c r="M9161" t="s">
        <v>42228</v>
      </c>
      <c r="N9161" t="s">
        <v>43166</v>
      </c>
      <c r="O9161" t="s">
        <v>43167</v>
      </c>
      <c r="P9161">
        <v>0</v>
      </c>
      <c r="Q9161">
        <v>1</v>
      </c>
      <c r="R9161" t="s">
        <v>43175</v>
      </c>
      <c r="S9161" t="s">
        <v>43460</v>
      </c>
      <c r="T9161" t="s">
        <v>44696</v>
      </c>
      <c r="U9161" t="s">
        <v>52531</v>
      </c>
      <c r="V9161" t="s">
        <v>57797</v>
      </c>
      <c r="W9161" t="s">
        <v>42228</v>
      </c>
      <c r="X9161" t="s">
        <v>43178</v>
      </c>
    </row>
    <row r="9162" spans="1:24">
      <c r="A9162">
        <f>HYPERLINK("https://www.philgeps.gov.ph/GEPSNONPILOT/Tender/SplashBidNoticeAbstractUI.aspx?menuIndex=3&amp;refID=7070690&amp;Result=3","7070690")</f>
        <v>0</v>
      </c>
      <c r="B9162" t="s">
        <v>2703</v>
      </c>
      <c r="C9162" t="s">
        <v>12144</v>
      </c>
      <c r="D9162" t="s">
        <v>17444</v>
      </c>
      <c r="E9162" t="s">
        <v>25360</v>
      </c>
      <c r="F9162" t="s">
        <v>30052</v>
      </c>
      <c r="G9162" t="s">
        <v>30059</v>
      </c>
      <c r="H9162" t="s">
        <v>15498</v>
      </c>
      <c r="I9162" t="s">
        <v>30146</v>
      </c>
      <c r="J9162" t="s">
        <v>30417</v>
      </c>
      <c r="K9162" t="s">
        <v>39017</v>
      </c>
      <c r="M9162" t="s">
        <v>42227</v>
      </c>
      <c r="N9162" t="s">
        <v>43166</v>
      </c>
      <c r="O9162" t="s">
        <v>43167</v>
      </c>
      <c r="P9162">
        <v>0</v>
      </c>
      <c r="Q9162">
        <v>1</v>
      </c>
      <c r="R9162" t="s">
        <v>43175</v>
      </c>
      <c r="S9162" t="s">
        <v>43460</v>
      </c>
      <c r="T9162" t="s">
        <v>44777</v>
      </c>
      <c r="U9162" t="s">
        <v>52532</v>
      </c>
      <c r="W9162" t="s">
        <v>42227</v>
      </c>
      <c r="X9162" t="s">
        <v>43178</v>
      </c>
    </row>
    <row r="9163" spans="1:24">
      <c r="A9163">
        <f>HYPERLINK("https://www.philgeps.gov.ph/GEPSNONPILOT/Tender/SplashBidNoticeAbstractUI.aspx?menuIndex=3&amp;refID=7070629&amp;Result=3","7070629")</f>
        <v>0</v>
      </c>
      <c r="B9163" t="s">
        <v>1730</v>
      </c>
      <c r="C9163" t="s">
        <v>12145</v>
      </c>
      <c r="D9163" t="s">
        <v>17423</v>
      </c>
      <c r="E9163" t="s">
        <v>25361</v>
      </c>
      <c r="F9163" t="s">
        <v>30052</v>
      </c>
      <c r="G9163" t="s">
        <v>30058</v>
      </c>
      <c r="H9163" t="s">
        <v>30067</v>
      </c>
      <c r="I9163" t="s">
        <v>3693</v>
      </c>
      <c r="J9163" t="s">
        <v>35796</v>
      </c>
      <c r="K9163" t="s">
        <v>39111</v>
      </c>
      <c r="M9163" t="s">
        <v>42228</v>
      </c>
      <c r="N9163" t="s">
        <v>43166</v>
      </c>
      <c r="O9163" t="s">
        <v>43167</v>
      </c>
      <c r="P9163">
        <v>0</v>
      </c>
      <c r="Q9163">
        <v>0</v>
      </c>
      <c r="R9163" t="s">
        <v>43175</v>
      </c>
      <c r="S9163" t="s">
        <v>43460</v>
      </c>
      <c r="T9163" t="s">
        <v>44696</v>
      </c>
      <c r="U9163" t="s">
        <v>52533</v>
      </c>
      <c r="V9163" t="s">
        <v>57798</v>
      </c>
      <c r="W9163" t="s">
        <v>42228</v>
      </c>
      <c r="X9163" t="s">
        <v>43178</v>
      </c>
    </row>
    <row r="9164" spans="1:24">
      <c r="A9164">
        <f>HYPERLINK("https://www.philgeps.gov.ph/GEPSNONPILOT/Tender/SplashBidNoticeAbstractUI.aspx?menuIndex=3&amp;refID=7075996&amp;Result=3","7075996")</f>
        <v>0</v>
      </c>
      <c r="B9164" t="s">
        <v>2680</v>
      </c>
      <c r="C9164" t="s">
        <v>12146</v>
      </c>
      <c r="D9164" t="s">
        <v>17464</v>
      </c>
      <c r="E9164" t="s">
        <v>25362</v>
      </c>
      <c r="F9164" t="s">
        <v>30052</v>
      </c>
      <c r="G9164" t="s">
        <v>30058</v>
      </c>
      <c r="H9164" t="s">
        <v>30067</v>
      </c>
      <c r="I9164" t="s">
        <v>3693</v>
      </c>
      <c r="J9164" t="s">
        <v>35797</v>
      </c>
      <c r="K9164" t="s">
        <v>39025</v>
      </c>
      <c r="M9164" t="s">
        <v>42201</v>
      </c>
      <c r="N9164" t="s">
        <v>43166</v>
      </c>
      <c r="O9164" t="s">
        <v>43167</v>
      </c>
      <c r="P9164">
        <v>0</v>
      </c>
      <c r="Q9164">
        <v>0</v>
      </c>
      <c r="R9164" t="s">
        <v>43174</v>
      </c>
      <c r="S9164" t="s">
        <v>43396</v>
      </c>
      <c r="T9164" t="s">
        <v>44717</v>
      </c>
      <c r="U9164" t="s">
        <v>52534</v>
      </c>
      <c r="W9164" t="s">
        <v>42201</v>
      </c>
      <c r="X9164" t="s">
        <v>43175</v>
      </c>
    </row>
    <row r="9165" spans="1:24">
      <c r="A9165">
        <f>HYPERLINK("https://www.philgeps.gov.ph/GEPSNONPILOT/Tender/SplashBidNoticeAbstractUI.aspx?menuIndex=3&amp;refID=7070621&amp;Result=3","7070621")</f>
        <v>0</v>
      </c>
      <c r="B9165" t="s">
        <v>2426</v>
      </c>
      <c r="C9165" t="s">
        <v>12147</v>
      </c>
      <c r="D9165" t="s">
        <v>17435</v>
      </c>
      <c r="E9165" t="s">
        <v>24279</v>
      </c>
      <c r="F9165" t="s">
        <v>30055</v>
      </c>
      <c r="G9165" t="s">
        <v>30058</v>
      </c>
      <c r="H9165" t="s">
        <v>30067</v>
      </c>
      <c r="I9165" t="s">
        <v>3693</v>
      </c>
      <c r="J9165" t="s">
        <v>35015</v>
      </c>
      <c r="K9165" t="s">
        <v>39105</v>
      </c>
      <c r="L9165" t="s">
        <v>2426</v>
      </c>
      <c r="M9165" t="s">
        <v>41923</v>
      </c>
      <c r="N9165" t="s">
        <v>43166</v>
      </c>
      <c r="O9165" t="s">
        <v>43167</v>
      </c>
      <c r="P9165">
        <v>0</v>
      </c>
      <c r="Q9165">
        <v>0</v>
      </c>
      <c r="R9165" t="s">
        <v>43175</v>
      </c>
      <c r="S9165" t="s">
        <v>43460</v>
      </c>
      <c r="T9165" t="s">
        <v>44716</v>
      </c>
      <c r="U9165" t="s">
        <v>52535</v>
      </c>
      <c r="W9165" t="s">
        <v>41923</v>
      </c>
      <c r="X9165" t="s">
        <v>43178</v>
      </c>
    </row>
    <row r="9166" spans="1:24">
      <c r="A9166">
        <f>HYPERLINK("https://www.philgeps.gov.ph/GEPSNONPILOT/Tender/SplashBidNoticeAbstractUI.aspx?menuIndex=3&amp;refID=7070596&amp;Result=3","7070596")</f>
        <v>0</v>
      </c>
      <c r="B9166" t="s">
        <v>145</v>
      </c>
      <c r="C9166" t="s">
        <v>12148</v>
      </c>
      <c r="E9166" t="s">
        <v>25363</v>
      </c>
      <c r="F9166" t="s">
        <v>30052</v>
      </c>
      <c r="G9166" t="s">
        <v>30058</v>
      </c>
      <c r="H9166" t="s">
        <v>15498</v>
      </c>
      <c r="I9166" t="s">
        <v>30083</v>
      </c>
      <c r="J9166" t="s">
        <v>30557</v>
      </c>
      <c r="K9166" t="s">
        <v>39046</v>
      </c>
      <c r="M9166" t="s">
        <v>39434</v>
      </c>
      <c r="N9166" t="s">
        <v>43166</v>
      </c>
      <c r="O9166" t="s">
        <v>43167</v>
      </c>
      <c r="P9166">
        <v>0</v>
      </c>
      <c r="Q9166">
        <v>1</v>
      </c>
      <c r="R9166" t="s">
        <v>43175</v>
      </c>
      <c r="S9166" t="s">
        <v>43460</v>
      </c>
      <c r="T9166" t="s">
        <v>44993</v>
      </c>
      <c r="U9166" t="s">
        <v>52536</v>
      </c>
      <c r="W9166" t="s">
        <v>40626</v>
      </c>
      <c r="X9166" t="s">
        <v>43178</v>
      </c>
    </row>
    <row r="9167" spans="1:24">
      <c r="A9167">
        <f>HYPERLINK("https://www.philgeps.gov.ph/GEPSNONPILOT/Tender/SplashBidNoticeAbstractUI.aspx?menuIndex=3&amp;refID=7070670&amp;Result=3","7070670")</f>
        <v>0</v>
      </c>
      <c r="B9167" t="s">
        <v>2703</v>
      </c>
      <c r="C9167" t="s">
        <v>12149</v>
      </c>
      <c r="D9167" t="s">
        <v>17444</v>
      </c>
      <c r="E9167" t="s">
        <v>18734</v>
      </c>
      <c r="F9167" t="s">
        <v>30052</v>
      </c>
      <c r="G9167" t="s">
        <v>30059</v>
      </c>
      <c r="H9167" t="s">
        <v>15498</v>
      </c>
      <c r="I9167" t="s">
        <v>30146</v>
      </c>
      <c r="J9167" t="s">
        <v>30895</v>
      </c>
      <c r="K9167" t="s">
        <v>39017</v>
      </c>
      <c r="M9167" t="s">
        <v>42227</v>
      </c>
      <c r="N9167" t="s">
        <v>43166</v>
      </c>
      <c r="O9167" t="s">
        <v>43167</v>
      </c>
      <c r="P9167">
        <v>0</v>
      </c>
      <c r="Q9167">
        <v>1</v>
      </c>
      <c r="R9167" t="s">
        <v>43175</v>
      </c>
      <c r="S9167" t="s">
        <v>43460</v>
      </c>
      <c r="T9167" t="s">
        <v>44734</v>
      </c>
      <c r="U9167" t="s">
        <v>52537</v>
      </c>
      <c r="W9167" t="s">
        <v>42227</v>
      </c>
      <c r="X9167" t="s">
        <v>43178</v>
      </c>
    </row>
    <row r="9168" spans="1:24">
      <c r="A9168">
        <f>HYPERLINK("https://www.philgeps.gov.ph/GEPSNONPILOT/Tender/SplashBidNoticeAbstractUI.aspx?menuIndex=3&amp;refID=7070654&amp;Result=3","7070654")</f>
        <v>0</v>
      </c>
      <c r="B9168" t="s">
        <v>1730</v>
      </c>
      <c r="C9168" t="s">
        <v>12150</v>
      </c>
      <c r="D9168" t="s">
        <v>17423</v>
      </c>
      <c r="E9168" t="s">
        <v>25364</v>
      </c>
      <c r="F9168" t="s">
        <v>30052</v>
      </c>
      <c r="G9168" t="s">
        <v>30058</v>
      </c>
      <c r="H9168" t="s">
        <v>30067</v>
      </c>
      <c r="I9168" t="s">
        <v>3693</v>
      </c>
      <c r="J9168" t="s">
        <v>35798</v>
      </c>
      <c r="K9168" t="s">
        <v>39034</v>
      </c>
      <c r="M9168" t="s">
        <v>42228</v>
      </c>
      <c r="N9168" t="s">
        <v>43166</v>
      </c>
      <c r="O9168" t="s">
        <v>43167</v>
      </c>
      <c r="P9168">
        <v>0</v>
      </c>
      <c r="Q9168">
        <v>0</v>
      </c>
      <c r="R9168" t="s">
        <v>43175</v>
      </c>
      <c r="S9168" t="s">
        <v>43460</v>
      </c>
      <c r="T9168" t="s">
        <v>44696</v>
      </c>
      <c r="U9168" t="s">
        <v>52538</v>
      </c>
      <c r="V9168" t="s">
        <v>57799</v>
      </c>
      <c r="W9168" t="s">
        <v>42228</v>
      </c>
      <c r="X9168" t="s">
        <v>43178</v>
      </c>
    </row>
    <row r="9169" spans="1:24">
      <c r="A9169">
        <f>HYPERLINK("https://www.philgeps.gov.ph/GEPSNONPILOT/Tender/SplashBidNoticeAbstractUI.aspx?menuIndex=3&amp;refID=7070833&amp;Result=3","7070833")</f>
        <v>0</v>
      </c>
      <c r="B9169" t="s">
        <v>196</v>
      </c>
      <c r="C9169" t="s">
        <v>12151</v>
      </c>
      <c r="D9169" t="s">
        <v>17476</v>
      </c>
      <c r="E9169" t="s">
        <v>25365</v>
      </c>
      <c r="F9169" t="s">
        <v>30052</v>
      </c>
      <c r="G9169" t="s">
        <v>30058</v>
      </c>
      <c r="H9169" t="s">
        <v>15498</v>
      </c>
      <c r="I9169" t="s">
        <v>30103</v>
      </c>
      <c r="J9169" t="s">
        <v>35799</v>
      </c>
      <c r="K9169" t="s">
        <v>39029</v>
      </c>
      <c r="M9169" t="s">
        <v>39486</v>
      </c>
      <c r="N9169" t="s">
        <v>43166</v>
      </c>
      <c r="O9169" t="s">
        <v>43167</v>
      </c>
      <c r="P9169">
        <v>0</v>
      </c>
      <c r="Q9169">
        <v>7</v>
      </c>
      <c r="R9169" t="s">
        <v>43175</v>
      </c>
      <c r="S9169" t="s">
        <v>43460</v>
      </c>
      <c r="T9169" t="s">
        <v>45057</v>
      </c>
      <c r="U9169" t="s">
        <v>52539</v>
      </c>
      <c r="V9169" t="s">
        <v>57800</v>
      </c>
      <c r="W9169" t="s">
        <v>39486</v>
      </c>
      <c r="X9169" t="s">
        <v>43178</v>
      </c>
    </row>
    <row r="9170" spans="1:24">
      <c r="A9170">
        <f>HYPERLINK("https://www.philgeps.gov.ph/GEPSNONPILOT/Tender/SplashBidNoticeAbstractUI.aspx?menuIndex=3&amp;refID=7070829&amp;Result=3","7070829")</f>
        <v>0</v>
      </c>
      <c r="B9170" t="s">
        <v>244</v>
      </c>
      <c r="C9170" t="s">
        <v>12152</v>
      </c>
      <c r="D9170" t="s">
        <v>17414</v>
      </c>
      <c r="E9170" t="s">
        <v>25366</v>
      </c>
      <c r="F9170" t="s">
        <v>30052</v>
      </c>
      <c r="G9170" t="s">
        <v>30058</v>
      </c>
      <c r="H9170" t="s">
        <v>15498</v>
      </c>
      <c r="I9170" t="s">
        <v>3736</v>
      </c>
      <c r="J9170" t="s">
        <v>35800</v>
      </c>
      <c r="K9170" t="s">
        <v>39063</v>
      </c>
      <c r="M9170" t="s">
        <v>39534</v>
      </c>
      <c r="N9170" t="s">
        <v>43166</v>
      </c>
      <c r="O9170" t="s">
        <v>43167</v>
      </c>
      <c r="P9170">
        <v>0</v>
      </c>
      <c r="Q9170">
        <v>0</v>
      </c>
      <c r="R9170" t="s">
        <v>43175</v>
      </c>
      <c r="S9170" t="s">
        <v>43460</v>
      </c>
      <c r="T9170" t="s">
        <v>44873</v>
      </c>
      <c r="U9170" t="s">
        <v>52540</v>
      </c>
      <c r="V9170" t="s">
        <v>56883</v>
      </c>
      <c r="W9170" t="s">
        <v>39534</v>
      </c>
      <c r="X9170" t="s">
        <v>43178</v>
      </c>
    </row>
    <row r="9171" spans="1:24">
      <c r="A9171">
        <f>HYPERLINK("https://www.philgeps.gov.ph/GEPSNONPILOT/Tender/SplashBidNoticeAbstractUI.aspx?menuIndex=3&amp;refID=7070820&amp;Result=3","7070820")</f>
        <v>0</v>
      </c>
      <c r="B9171" t="s">
        <v>2688</v>
      </c>
      <c r="C9171" t="s">
        <v>12153</v>
      </c>
      <c r="D9171" t="s">
        <v>17471</v>
      </c>
      <c r="E9171" t="s">
        <v>18342</v>
      </c>
      <c r="F9171" t="s">
        <v>30052</v>
      </c>
      <c r="G9171" t="s">
        <v>30058</v>
      </c>
      <c r="H9171" t="s">
        <v>15498</v>
      </c>
      <c r="I9171" t="s">
        <v>3736</v>
      </c>
      <c r="J9171" t="s">
        <v>35260</v>
      </c>
      <c r="K9171" t="s">
        <v>39029</v>
      </c>
      <c r="M9171" t="s">
        <v>42209</v>
      </c>
      <c r="N9171" t="s">
        <v>43166</v>
      </c>
      <c r="O9171" t="s">
        <v>43167</v>
      </c>
      <c r="P9171">
        <v>0</v>
      </c>
      <c r="Q9171">
        <v>0</v>
      </c>
      <c r="R9171" t="s">
        <v>43175</v>
      </c>
      <c r="S9171" t="s">
        <v>43460</v>
      </c>
      <c r="T9171" t="s">
        <v>44702</v>
      </c>
      <c r="U9171" t="s">
        <v>52541</v>
      </c>
      <c r="W9171" t="s">
        <v>42209</v>
      </c>
      <c r="X9171" t="s">
        <v>43178</v>
      </c>
    </row>
    <row r="9172" spans="1:24">
      <c r="A9172">
        <f>HYPERLINK("https://www.philgeps.gov.ph/GEPSNONPILOT/Tender/SplashBidNoticeAbstractUI.aspx?menuIndex=3&amp;refID=7070815&amp;Result=3","7070815")</f>
        <v>0</v>
      </c>
      <c r="B9172" t="s">
        <v>2688</v>
      </c>
      <c r="C9172" t="s">
        <v>12154</v>
      </c>
      <c r="D9172" t="s">
        <v>17471</v>
      </c>
      <c r="E9172" t="s">
        <v>18907</v>
      </c>
      <c r="F9172" t="s">
        <v>30052</v>
      </c>
      <c r="G9172" t="s">
        <v>30058</v>
      </c>
      <c r="H9172" t="s">
        <v>15498</v>
      </c>
      <c r="I9172" t="s">
        <v>3736</v>
      </c>
      <c r="J9172" t="s">
        <v>30407</v>
      </c>
      <c r="K9172" t="s">
        <v>39029</v>
      </c>
      <c r="M9172" t="s">
        <v>42209</v>
      </c>
      <c r="N9172" t="s">
        <v>43166</v>
      </c>
      <c r="O9172" t="s">
        <v>43167</v>
      </c>
      <c r="P9172">
        <v>0</v>
      </c>
      <c r="Q9172">
        <v>0</v>
      </c>
      <c r="R9172" t="s">
        <v>43175</v>
      </c>
      <c r="S9172" t="s">
        <v>43460</v>
      </c>
      <c r="T9172" t="s">
        <v>44702</v>
      </c>
      <c r="U9172" t="s">
        <v>52542</v>
      </c>
      <c r="W9172" t="s">
        <v>42209</v>
      </c>
      <c r="X9172" t="s">
        <v>43178</v>
      </c>
    </row>
    <row r="9173" spans="1:24">
      <c r="A9173">
        <f>HYPERLINK("https://www.philgeps.gov.ph/GEPSNONPILOT/Tender/SplashBidNoticeAbstractUI.aspx?menuIndex=3&amp;refID=7053593&amp;Result=3","7053593")</f>
        <v>0</v>
      </c>
      <c r="B9173" t="s">
        <v>2704</v>
      </c>
      <c r="C9173" t="s">
        <v>12155</v>
      </c>
      <c r="D9173" t="s">
        <v>17447</v>
      </c>
      <c r="E9173" t="s">
        <v>25367</v>
      </c>
      <c r="F9173" t="s">
        <v>30052</v>
      </c>
      <c r="G9173" t="s">
        <v>30058</v>
      </c>
      <c r="H9173" t="s">
        <v>15498</v>
      </c>
      <c r="I9173" t="s">
        <v>3736</v>
      </c>
      <c r="J9173" t="s">
        <v>35801</v>
      </c>
      <c r="K9173" t="s">
        <v>39034</v>
      </c>
      <c r="M9173" t="s">
        <v>42229</v>
      </c>
      <c r="N9173" t="s">
        <v>43166</v>
      </c>
      <c r="O9173" t="s">
        <v>43167</v>
      </c>
      <c r="P9173">
        <v>0</v>
      </c>
      <c r="Q9173">
        <v>3</v>
      </c>
      <c r="R9173" t="s">
        <v>43175</v>
      </c>
      <c r="S9173" t="s">
        <v>43460</v>
      </c>
      <c r="T9173" t="s">
        <v>45113</v>
      </c>
      <c r="U9173" t="s">
        <v>52543</v>
      </c>
      <c r="V9173" t="s">
        <v>57801</v>
      </c>
      <c r="W9173" t="s">
        <v>42229</v>
      </c>
      <c r="X9173" t="s">
        <v>43186</v>
      </c>
    </row>
    <row r="9174" spans="1:24">
      <c r="A9174">
        <f>HYPERLINK("https://www.philgeps.gov.ph/GEPSNONPILOT/Tender/SplashBidNoticeAbstractUI.aspx?menuIndex=3&amp;refID=7070609&amp;Result=3","7070609")</f>
        <v>0</v>
      </c>
      <c r="B9174" t="s">
        <v>2705</v>
      </c>
      <c r="C9174" t="s">
        <v>12156</v>
      </c>
      <c r="D9174" t="s">
        <v>17475</v>
      </c>
      <c r="E9174" t="s">
        <v>17897</v>
      </c>
      <c r="F9174" t="s">
        <v>30052</v>
      </c>
      <c r="G9174" t="s">
        <v>30059</v>
      </c>
      <c r="H9174" t="s">
        <v>15498</v>
      </c>
      <c r="I9174" t="s">
        <v>3736</v>
      </c>
      <c r="J9174" t="s">
        <v>35802</v>
      </c>
      <c r="K9174" t="s">
        <v>39018</v>
      </c>
      <c r="M9174" t="s">
        <v>42230</v>
      </c>
      <c r="N9174" t="s">
        <v>43166</v>
      </c>
      <c r="O9174" t="s">
        <v>43167</v>
      </c>
      <c r="P9174">
        <v>0</v>
      </c>
      <c r="Q9174">
        <v>0</v>
      </c>
      <c r="R9174" t="s">
        <v>43175</v>
      </c>
      <c r="S9174" t="s">
        <v>43460</v>
      </c>
      <c r="T9174" t="s">
        <v>44698</v>
      </c>
      <c r="U9174" t="s">
        <v>52544</v>
      </c>
      <c r="W9174" t="s">
        <v>42230</v>
      </c>
      <c r="X9174" t="s">
        <v>43178</v>
      </c>
    </row>
    <row r="9175" spans="1:24">
      <c r="A9175">
        <f>HYPERLINK("https://www.philgeps.gov.ph/GEPSNONPILOT/Tender/SplashBidNoticeAbstractUI.aspx?menuIndex=3&amp;refID=7070786&amp;Result=3","7070786")</f>
        <v>0</v>
      </c>
      <c r="B9175" t="s">
        <v>196</v>
      </c>
      <c r="C9175" t="s">
        <v>12157</v>
      </c>
      <c r="D9175" t="s">
        <v>17476</v>
      </c>
      <c r="E9175" t="s">
        <v>25368</v>
      </c>
      <c r="F9175" t="s">
        <v>30052</v>
      </c>
      <c r="G9175" t="s">
        <v>30058</v>
      </c>
      <c r="H9175" t="s">
        <v>15498</v>
      </c>
      <c r="I9175" t="s">
        <v>3852</v>
      </c>
      <c r="J9175" t="s">
        <v>32634</v>
      </c>
      <c r="K9175" t="s">
        <v>39017</v>
      </c>
      <c r="M9175" t="s">
        <v>39486</v>
      </c>
      <c r="N9175" t="s">
        <v>43166</v>
      </c>
      <c r="O9175" t="s">
        <v>43167</v>
      </c>
      <c r="P9175">
        <v>0</v>
      </c>
      <c r="Q9175">
        <v>1</v>
      </c>
      <c r="R9175" t="s">
        <v>43175</v>
      </c>
      <c r="S9175" t="s">
        <v>43460</v>
      </c>
      <c r="T9175" t="s">
        <v>44832</v>
      </c>
      <c r="U9175" t="s">
        <v>52545</v>
      </c>
      <c r="W9175" t="s">
        <v>39486</v>
      </c>
      <c r="X9175" t="s">
        <v>43178</v>
      </c>
    </row>
    <row r="9176" spans="1:24">
      <c r="A9176">
        <f>HYPERLINK("https://www.philgeps.gov.ph/GEPSNONPILOT/Tender/SplashBidNoticeAbstractUI.aspx?menuIndex=3&amp;refID=7070783&amp;Result=3","7070783")</f>
        <v>0</v>
      </c>
      <c r="B9176" t="s">
        <v>187</v>
      </c>
      <c r="C9176" t="s">
        <v>12158</v>
      </c>
      <c r="D9176" t="s">
        <v>17436</v>
      </c>
      <c r="E9176" t="s">
        <v>25369</v>
      </c>
      <c r="F9176" t="s">
        <v>30052</v>
      </c>
      <c r="G9176" t="s">
        <v>30058</v>
      </c>
      <c r="H9176" t="s">
        <v>30067</v>
      </c>
      <c r="I9176" t="s">
        <v>3693</v>
      </c>
      <c r="J9176" t="s">
        <v>35803</v>
      </c>
      <c r="K9176" t="s">
        <v>39031</v>
      </c>
      <c r="M9176" t="s">
        <v>39476</v>
      </c>
      <c r="N9176" t="s">
        <v>43166</v>
      </c>
      <c r="O9176" t="s">
        <v>43167</v>
      </c>
      <c r="P9176">
        <v>0</v>
      </c>
      <c r="Q9176">
        <v>0</v>
      </c>
      <c r="R9176" t="s">
        <v>43175</v>
      </c>
      <c r="S9176" t="s">
        <v>43460</v>
      </c>
      <c r="T9176" t="s">
        <v>45114</v>
      </c>
      <c r="U9176" t="s">
        <v>52546</v>
      </c>
      <c r="V9176" t="s">
        <v>57802</v>
      </c>
      <c r="W9176" t="s">
        <v>39476</v>
      </c>
      <c r="X9176" t="s">
        <v>43178</v>
      </c>
    </row>
    <row r="9177" spans="1:24">
      <c r="A9177">
        <f>HYPERLINK("https://www.philgeps.gov.ph/GEPSNONPILOT/Tender/SplashBidNoticeAbstractUI.aspx?menuIndex=3&amp;refID=7070778&amp;Result=3","7070778")</f>
        <v>0</v>
      </c>
      <c r="B9177" t="s">
        <v>1339</v>
      </c>
      <c r="C9177" t="s">
        <v>12159</v>
      </c>
      <c r="D9177" t="s">
        <v>17474</v>
      </c>
      <c r="E9177" t="s">
        <v>25370</v>
      </c>
      <c r="F9177" t="s">
        <v>30052</v>
      </c>
      <c r="G9177" t="s">
        <v>30058</v>
      </c>
      <c r="H9177" t="s">
        <v>15498</v>
      </c>
      <c r="I9177" t="s">
        <v>30109</v>
      </c>
      <c r="J9177" t="s">
        <v>35804</v>
      </c>
      <c r="K9177" t="s">
        <v>39029</v>
      </c>
      <c r="M9177" t="s">
        <v>41073</v>
      </c>
      <c r="N9177" t="s">
        <v>43166</v>
      </c>
      <c r="O9177" t="s">
        <v>43167</v>
      </c>
      <c r="P9177">
        <v>0</v>
      </c>
      <c r="Q9177">
        <v>2</v>
      </c>
      <c r="R9177" t="s">
        <v>43175</v>
      </c>
      <c r="S9177" t="s">
        <v>43460</v>
      </c>
      <c r="T9177" t="s">
        <v>44844</v>
      </c>
      <c r="U9177" t="s">
        <v>48174</v>
      </c>
      <c r="V9177" t="s">
        <v>57248</v>
      </c>
      <c r="W9177" t="s">
        <v>41073</v>
      </c>
      <c r="X9177" t="s">
        <v>43178</v>
      </c>
    </row>
    <row r="9178" spans="1:24">
      <c r="A9178">
        <f>HYPERLINK("https://www.philgeps.gov.ph/GEPSNONPILOT/Tender/SplashBidNoticeAbstractUI.aspx?menuIndex=3&amp;refID=7070776&amp;Result=3","7070776")</f>
        <v>0</v>
      </c>
      <c r="B9178" t="s">
        <v>2706</v>
      </c>
      <c r="C9178" t="s">
        <v>12160</v>
      </c>
      <c r="D9178" t="s">
        <v>17430</v>
      </c>
      <c r="E9178" t="s">
        <v>24389</v>
      </c>
      <c r="F9178" t="s">
        <v>30052</v>
      </c>
      <c r="G9178" t="s">
        <v>30058</v>
      </c>
      <c r="H9178" t="s">
        <v>15498</v>
      </c>
      <c r="I9178" t="s">
        <v>30071</v>
      </c>
      <c r="J9178" t="s">
        <v>35805</v>
      </c>
      <c r="K9178" t="s">
        <v>39029</v>
      </c>
      <c r="M9178" t="s">
        <v>42231</v>
      </c>
      <c r="N9178" t="s">
        <v>43166</v>
      </c>
      <c r="O9178" t="s">
        <v>43167</v>
      </c>
      <c r="P9178">
        <v>0</v>
      </c>
      <c r="Q9178">
        <v>0</v>
      </c>
      <c r="R9178" t="s">
        <v>43175</v>
      </c>
      <c r="S9178" t="s">
        <v>43460</v>
      </c>
      <c r="T9178" t="s">
        <v>45004</v>
      </c>
      <c r="U9178" t="s">
        <v>51668</v>
      </c>
      <c r="V9178" t="s">
        <v>57803</v>
      </c>
      <c r="W9178" t="s">
        <v>42231</v>
      </c>
      <c r="X9178" t="s">
        <v>43178</v>
      </c>
    </row>
    <row r="9179" spans="1:24">
      <c r="A9179">
        <f>HYPERLINK("https://www.philgeps.gov.ph/GEPSNONPILOT/Tender/SplashBidNoticeAbstractUI.aspx?menuIndex=3&amp;refID=7070764&amp;Result=3","7070764")</f>
        <v>0</v>
      </c>
      <c r="B9179" t="s">
        <v>2707</v>
      </c>
      <c r="C9179" t="s">
        <v>12161</v>
      </c>
      <c r="D9179" t="s">
        <v>17481</v>
      </c>
      <c r="E9179" t="s">
        <v>25371</v>
      </c>
      <c r="F9179" t="s">
        <v>30056</v>
      </c>
      <c r="G9179" t="s">
        <v>30058</v>
      </c>
      <c r="H9179" t="s">
        <v>15498</v>
      </c>
      <c r="I9179" t="s">
        <v>30144</v>
      </c>
      <c r="J9179" t="s">
        <v>35806</v>
      </c>
      <c r="K9179" t="s">
        <v>39029</v>
      </c>
      <c r="M9179" t="s">
        <v>42232</v>
      </c>
      <c r="N9179" t="s">
        <v>43166</v>
      </c>
      <c r="O9179" t="s">
        <v>43167</v>
      </c>
      <c r="P9179">
        <v>0</v>
      </c>
      <c r="Q9179">
        <v>0</v>
      </c>
      <c r="R9179" t="s">
        <v>43175</v>
      </c>
      <c r="S9179" t="s">
        <v>43460</v>
      </c>
      <c r="T9179" t="s">
        <v>44716</v>
      </c>
      <c r="U9179" t="s">
        <v>52547</v>
      </c>
      <c r="W9179" t="s">
        <v>42232</v>
      </c>
      <c r="X9179" t="s">
        <v>43178</v>
      </c>
    </row>
    <row r="9180" spans="1:24">
      <c r="A9180">
        <f>HYPERLINK("https://www.philgeps.gov.ph/GEPSNONPILOT/Tender/SplashBidNoticeAbstractUI.aspx?menuIndex=3&amp;refID=7070760&amp;Result=3","7070760")</f>
        <v>0</v>
      </c>
      <c r="B9180" t="s">
        <v>2302</v>
      </c>
      <c r="C9180" t="s">
        <v>12162</v>
      </c>
      <c r="D9180" t="s">
        <v>17464</v>
      </c>
      <c r="E9180" t="s">
        <v>25372</v>
      </c>
      <c r="F9180" t="s">
        <v>30052</v>
      </c>
      <c r="G9180" t="s">
        <v>30061</v>
      </c>
      <c r="H9180" t="s">
        <v>15498</v>
      </c>
      <c r="I9180" t="s">
        <v>30168</v>
      </c>
      <c r="J9180" t="s">
        <v>30605</v>
      </c>
      <c r="K9180" t="s">
        <v>39034</v>
      </c>
      <c r="M9180" t="s">
        <v>41787</v>
      </c>
      <c r="N9180" t="s">
        <v>43166</v>
      </c>
      <c r="O9180" t="s">
        <v>43167</v>
      </c>
      <c r="P9180">
        <v>0</v>
      </c>
      <c r="Q9180">
        <v>13</v>
      </c>
      <c r="R9180" t="s">
        <v>43175</v>
      </c>
      <c r="S9180" t="s">
        <v>43460</v>
      </c>
      <c r="T9180" t="s">
        <v>44717</v>
      </c>
      <c r="U9180" t="s">
        <v>52548</v>
      </c>
      <c r="W9180" t="s">
        <v>41787</v>
      </c>
      <c r="X9180" t="s">
        <v>43178</v>
      </c>
    </row>
    <row r="9181" spans="1:24">
      <c r="A9181">
        <f>HYPERLINK("https://www.philgeps.gov.ph/GEPSNONPILOT/Tender/SplashBidNoticeAbstractUI.aspx?menuIndex=3&amp;refID=7070792&amp;Result=3","7070792")</f>
        <v>0</v>
      </c>
      <c r="B9181" t="s">
        <v>2708</v>
      </c>
      <c r="C9181" t="s">
        <v>12163</v>
      </c>
      <c r="D9181" t="s">
        <v>17442</v>
      </c>
      <c r="E9181" t="s">
        <v>25373</v>
      </c>
      <c r="F9181" t="s">
        <v>30052</v>
      </c>
      <c r="G9181" t="s">
        <v>30058</v>
      </c>
      <c r="H9181" t="s">
        <v>15498</v>
      </c>
      <c r="I9181" t="s">
        <v>3852</v>
      </c>
      <c r="J9181" t="s">
        <v>35807</v>
      </c>
      <c r="K9181" t="s">
        <v>39034</v>
      </c>
      <c r="M9181" t="s">
        <v>42233</v>
      </c>
      <c r="N9181" t="s">
        <v>43166</v>
      </c>
      <c r="O9181" t="s">
        <v>43167</v>
      </c>
      <c r="P9181">
        <v>0</v>
      </c>
      <c r="Q9181">
        <v>0</v>
      </c>
      <c r="R9181" t="s">
        <v>43175</v>
      </c>
      <c r="S9181" t="s">
        <v>43460</v>
      </c>
      <c r="T9181" t="s">
        <v>44862</v>
      </c>
      <c r="U9181" t="s">
        <v>52549</v>
      </c>
      <c r="W9181" t="s">
        <v>42233</v>
      </c>
      <c r="X9181" t="s">
        <v>43178</v>
      </c>
    </row>
    <row r="9182" spans="1:24">
      <c r="A9182">
        <f>HYPERLINK("https://www.philgeps.gov.ph/GEPSNONPILOT/Tender/SplashBidNoticeAbstractUI.aspx?menuIndex=3&amp;refID=7070745&amp;Result=3","7070745")</f>
        <v>0</v>
      </c>
      <c r="B9182" t="s">
        <v>1730</v>
      </c>
      <c r="C9182" t="s">
        <v>12164</v>
      </c>
      <c r="D9182" t="s">
        <v>17423</v>
      </c>
      <c r="E9182" t="s">
        <v>25374</v>
      </c>
      <c r="F9182" t="s">
        <v>30052</v>
      </c>
      <c r="G9182" t="s">
        <v>30058</v>
      </c>
      <c r="H9182" t="s">
        <v>30067</v>
      </c>
      <c r="I9182" t="s">
        <v>3693</v>
      </c>
      <c r="J9182" t="s">
        <v>30252</v>
      </c>
      <c r="K9182" t="s">
        <v>39178</v>
      </c>
      <c r="M9182" t="s">
        <v>42228</v>
      </c>
      <c r="N9182" t="s">
        <v>43166</v>
      </c>
      <c r="O9182" t="s">
        <v>43167</v>
      </c>
      <c r="P9182">
        <v>0</v>
      </c>
      <c r="Q9182">
        <v>0</v>
      </c>
      <c r="R9182" t="s">
        <v>43175</v>
      </c>
      <c r="S9182" t="s">
        <v>43460</v>
      </c>
      <c r="T9182" t="s">
        <v>44696</v>
      </c>
      <c r="U9182" t="s">
        <v>52550</v>
      </c>
      <c r="V9182" t="s">
        <v>57804</v>
      </c>
      <c r="W9182" t="s">
        <v>42228</v>
      </c>
      <c r="X9182" t="s">
        <v>43178</v>
      </c>
    </row>
    <row r="9183" spans="1:24">
      <c r="A9183">
        <f>HYPERLINK("https://www.philgeps.gov.ph/GEPSNONPILOT/Tender/SplashBidNoticeAbstractUI.aspx?menuIndex=3&amp;refID=7070731&amp;Result=3","7070731")</f>
        <v>0</v>
      </c>
      <c r="B9183" t="s">
        <v>1730</v>
      </c>
      <c r="C9183" t="s">
        <v>12165</v>
      </c>
      <c r="D9183" t="s">
        <v>17423</v>
      </c>
      <c r="E9183" t="s">
        <v>25375</v>
      </c>
      <c r="F9183" t="s">
        <v>30052</v>
      </c>
      <c r="G9183" t="s">
        <v>30058</v>
      </c>
      <c r="H9183" t="s">
        <v>30067</v>
      </c>
      <c r="I9183" t="s">
        <v>3693</v>
      </c>
      <c r="J9183" t="s">
        <v>35808</v>
      </c>
      <c r="K9183" t="s">
        <v>39028</v>
      </c>
      <c r="M9183" t="s">
        <v>42228</v>
      </c>
      <c r="N9183" t="s">
        <v>43166</v>
      </c>
      <c r="O9183" t="s">
        <v>43167</v>
      </c>
      <c r="P9183">
        <v>0</v>
      </c>
      <c r="Q9183">
        <v>0</v>
      </c>
      <c r="R9183" t="s">
        <v>43175</v>
      </c>
      <c r="S9183" t="s">
        <v>43460</v>
      </c>
      <c r="T9183" t="s">
        <v>44696</v>
      </c>
      <c r="U9183" t="s">
        <v>52551</v>
      </c>
      <c r="V9183" t="s">
        <v>57805</v>
      </c>
      <c r="W9183" t="s">
        <v>42228</v>
      </c>
      <c r="X9183" t="s">
        <v>43178</v>
      </c>
    </row>
    <row r="9184" spans="1:24">
      <c r="A9184">
        <f>HYPERLINK("https://www.philgeps.gov.ph/GEPSNONPILOT/Tender/SplashBidNoticeAbstractUI.aspx?menuIndex=3&amp;refID=7070714&amp;Result=3","7070714")</f>
        <v>0</v>
      </c>
      <c r="B9184" t="s">
        <v>1730</v>
      </c>
      <c r="C9184" t="s">
        <v>12166</v>
      </c>
      <c r="D9184" t="s">
        <v>17423</v>
      </c>
      <c r="E9184" t="s">
        <v>25376</v>
      </c>
      <c r="F9184" t="s">
        <v>30052</v>
      </c>
      <c r="G9184" t="s">
        <v>30058</v>
      </c>
      <c r="H9184" t="s">
        <v>30067</v>
      </c>
      <c r="I9184" t="s">
        <v>3693</v>
      </c>
      <c r="J9184" t="s">
        <v>35809</v>
      </c>
      <c r="K9184" t="s">
        <v>39045</v>
      </c>
      <c r="M9184" t="s">
        <v>42228</v>
      </c>
      <c r="N9184" t="s">
        <v>43166</v>
      </c>
      <c r="O9184" t="s">
        <v>43167</v>
      </c>
      <c r="P9184">
        <v>0</v>
      </c>
      <c r="Q9184">
        <v>0</v>
      </c>
      <c r="R9184" t="s">
        <v>43175</v>
      </c>
      <c r="S9184" t="s">
        <v>43460</v>
      </c>
      <c r="T9184" t="s">
        <v>44696</v>
      </c>
      <c r="U9184" t="s">
        <v>52552</v>
      </c>
      <c r="V9184" t="s">
        <v>57806</v>
      </c>
      <c r="W9184" t="s">
        <v>42228</v>
      </c>
      <c r="X9184" t="s">
        <v>43178</v>
      </c>
    </row>
    <row r="9185" spans="1:24">
      <c r="A9185">
        <f>HYPERLINK("https://www.philgeps.gov.ph/GEPSNONPILOT/Tender/SplashBidNoticeAbstractUI.aspx?menuIndex=3&amp;refID=7070688&amp;Result=3","7070688")</f>
        <v>0</v>
      </c>
      <c r="B9185" t="s">
        <v>2709</v>
      </c>
      <c r="C9185" t="s">
        <v>12167</v>
      </c>
      <c r="D9185" t="s">
        <v>17459</v>
      </c>
      <c r="E9185" t="s">
        <v>25377</v>
      </c>
      <c r="F9185" t="s">
        <v>30052</v>
      </c>
      <c r="G9185" t="s">
        <v>30058</v>
      </c>
      <c r="H9185" t="s">
        <v>15498</v>
      </c>
      <c r="I9185" t="s">
        <v>30084</v>
      </c>
      <c r="J9185" t="s">
        <v>35810</v>
      </c>
      <c r="K9185" t="s">
        <v>39029</v>
      </c>
      <c r="M9185" t="s">
        <v>42234</v>
      </c>
      <c r="N9185" t="s">
        <v>43166</v>
      </c>
      <c r="O9185" t="s">
        <v>43167</v>
      </c>
      <c r="P9185">
        <v>0</v>
      </c>
      <c r="Q9185">
        <v>9</v>
      </c>
      <c r="R9185" t="s">
        <v>43175</v>
      </c>
      <c r="S9185" t="s">
        <v>43460</v>
      </c>
      <c r="T9185" t="s">
        <v>44688</v>
      </c>
      <c r="U9185" t="s">
        <v>52553</v>
      </c>
      <c r="W9185" t="s">
        <v>42234</v>
      </c>
      <c r="X9185" t="s">
        <v>43178</v>
      </c>
    </row>
    <row r="9186" spans="1:24">
      <c r="A9186">
        <f>HYPERLINK("https://www.philgeps.gov.ph/GEPSNONPILOT/Tender/SplashBidNoticeAbstractUI.aspx?menuIndex=3&amp;refID=7070700&amp;Result=3","7070700")</f>
        <v>0</v>
      </c>
      <c r="B9186" t="s">
        <v>454</v>
      </c>
      <c r="C9186" t="s">
        <v>12168</v>
      </c>
      <c r="D9186" t="s">
        <v>17452</v>
      </c>
      <c r="E9186" t="s">
        <v>25378</v>
      </c>
      <c r="F9186" t="s">
        <v>30052</v>
      </c>
      <c r="G9186" t="s">
        <v>30058</v>
      </c>
      <c r="H9186" t="s">
        <v>30067</v>
      </c>
      <c r="I9186" t="s">
        <v>3693</v>
      </c>
      <c r="J9186" t="s">
        <v>35811</v>
      </c>
      <c r="K9186" t="s">
        <v>39192</v>
      </c>
      <c r="M9186" t="s">
        <v>39754</v>
      </c>
      <c r="N9186" t="s">
        <v>43166</v>
      </c>
      <c r="O9186" t="s">
        <v>43167</v>
      </c>
      <c r="P9186">
        <v>0</v>
      </c>
      <c r="Q9186">
        <v>1</v>
      </c>
      <c r="R9186" t="s">
        <v>43175</v>
      </c>
      <c r="S9186" t="s">
        <v>43460</v>
      </c>
      <c r="T9186" t="s">
        <v>44716</v>
      </c>
      <c r="U9186" t="s">
        <v>52554</v>
      </c>
      <c r="W9186" t="s">
        <v>39754</v>
      </c>
      <c r="X9186" t="s">
        <v>43178</v>
      </c>
    </row>
    <row r="9187" spans="1:24">
      <c r="A9187">
        <f>HYPERLINK("https://www.philgeps.gov.ph/GEPSNONPILOT/Tender/SplashBidNoticeAbstractUI.aspx?menuIndex=3&amp;refID=7070804&amp;Result=3","7070804")</f>
        <v>0</v>
      </c>
      <c r="B9187" t="s">
        <v>2706</v>
      </c>
      <c r="C9187" t="s">
        <v>12169</v>
      </c>
      <c r="D9187" t="s">
        <v>17430</v>
      </c>
      <c r="E9187" t="s">
        <v>25379</v>
      </c>
      <c r="F9187" t="s">
        <v>30052</v>
      </c>
      <c r="G9187" t="s">
        <v>30058</v>
      </c>
      <c r="H9187" t="s">
        <v>15498</v>
      </c>
      <c r="I9187" t="s">
        <v>30071</v>
      </c>
      <c r="J9187" t="s">
        <v>35812</v>
      </c>
      <c r="K9187" t="s">
        <v>39029</v>
      </c>
      <c r="M9187" t="s">
        <v>42231</v>
      </c>
      <c r="N9187" t="s">
        <v>43166</v>
      </c>
      <c r="O9187" t="s">
        <v>43167</v>
      </c>
      <c r="P9187">
        <v>0</v>
      </c>
      <c r="Q9187">
        <v>0</v>
      </c>
      <c r="R9187" t="s">
        <v>43175</v>
      </c>
      <c r="S9187" t="s">
        <v>43460</v>
      </c>
      <c r="T9187" t="s">
        <v>45004</v>
      </c>
      <c r="U9187" t="s">
        <v>51668</v>
      </c>
      <c r="V9187" t="s">
        <v>57807</v>
      </c>
      <c r="W9187" t="s">
        <v>42231</v>
      </c>
      <c r="X9187" t="s">
        <v>43178</v>
      </c>
    </row>
    <row r="9188" spans="1:24">
      <c r="A9188">
        <f>HYPERLINK("https://www.philgeps.gov.ph/GEPSNONPILOT/Tender/SplashBidNoticeAbstractUI.aspx?menuIndex=3&amp;refID=7068493&amp;Result=3","7068493")</f>
        <v>0</v>
      </c>
      <c r="B9188" t="s">
        <v>2689</v>
      </c>
      <c r="C9188" t="s">
        <v>12170</v>
      </c>
      <c r="E9188" t="s">
        <v>24704</v>
      </c>
      <c r="F9188" t="s">
        <v>30052</v>
      </c>
      <c r="G9188" t="s">
        <v>30058</v>
      </c>
      <c r="H9188" t="s">
        <v>15498</v>
      </c>
      <c r="I9188" t="s">
        <v>4119</v>
      </c>
      <c r="J9188" t="s">
        <v>30218</v>
      </c>
      <c r="K9188" t="s">
        <v>39025</v>
      </c>
      <c r="M9188" t="s">
        <v>42211</v>
      </c>
      <c r="N9188" t="s">
        <v>43166</v>
      </c>
      <c r="O9188" t="s">
        <v>43167</v>
      </c>
      <c r="P9188">
        <v>0</v>
      </c>
      <c r="Q9188">
        <v>2</v>
      </c>
      <c r="R9188" t="s">
        <v>43175</v>
      </c>
      <c r="S9188" t="s">
        <v>43460</v>
      </c>
      <c r="T9188" t="s">
        <v>44844</v>
      </c>
      <c r="U9188" t="s">
        <v>52555</v>
      </c>
      <c r="V9188" t="s">
        <v>57808</v>
      </c>
      <c r="W9188" t="s">
        <v>42211</v>
      </c>
      <c r="X9188" t="s">
        <v>43179</v>
      </c>
    </row>
    <row r="9189" spans="1:24">
      <c r="A9189">
        <f>HYPERLINK("https://www.philgeps.gov.ph/GEPSNONPILOT/Tender/SplashBidNoticeAbstractUI.aspx?menuIndex=3&amp;refID=7070620&amp;Result=3","7070620")</f>
        <v>0</v>
      </c>
      <c r="B9189" t="s">
        <v>2710</v>
      </c>
      <c r="C9189" t="s">
        <v>12171</v>
      </c>
      <c r="D9189" t="s">
        <v>17482</v>
      </c>
      <c r="E9189" t="s">
        <v>25380</v>
      </c>
      <c r="F9189" t="s">
        <v>30055</v>
      </c>
      <c r="G9189" t="s">
        <v>30058</v>
      </c>
      <c r="H9189" t="s">
        <v>15498</v>
      </c>
      <c r="I9189" t="s">
        <v>4650</v>
      </c>
      <c r="J9189" t="s">
        <v>35813</v>
      </c>
      <c r="K9189" t="s">
        <v>39017</v>
      </c>
      <c r="L9189" t="s">
        <v>2710</v>
      </c>
      <c r="M9189" t="s">
        <v>42235</v>
      </c>
      <c r="N9189" t="s">
        <v>43166</v>
      </c>
      <c r="O9189" t="s">
        <v>43167</v>
      </c>
      <c r="P9189">
        <v>0</v>
      </c>
      <c r="Q9189">
        <v>0</v>
      </c>
      <c r="R9189" t="s">
        <v>43175</v>
      </c>
      <c r="S9189" t="s">
        <v>43460</v>
      </c>
      <c r="T9189" t="s">
        <v>45115</v>
      </c>
      <c r="U9189" t="s">
        <v>52556</v>
      </c>
      <c r="W9189" t="s">
        <v>42235</v>
      </c>
      <c r="X9189" t="s">
        <v>43178</v>
      </c>
    </row>
    <row r="9190" spans="1:24">
      <c r="A9190">
        <f>HYPERLINK("https://www.philgeps.gov.ph/GEPSNONPILOT/Tender/SplashBidNoticeAbstractUI.aspx?menuIndex=3&amp;refID=7071404&amp;Result=3","7071404")</f>
        <v>0</v>
      </c>
      <c r="B9190" t="s">
        <v>2711</v>
      </c>
      <c r="C9190" t="s">
        <v>12172</v>
      </c>
      <c r="D9190" t="s">
        <v>17450</v>
      </c>
      <c r="E9190" t="s">
        <v>25381</v>
      </c>
      <c r="F9190" t="s">
        <v>30052</v>
      </c>
      <c r="G9190" t="s">
        <v>30058</v>
      </c>
      <c r="H9190" t="s">
        <v>15498</v>
      </c>
      <c r="I9190" t="s">
        <v>30073</v>
      </c>
      <c r="J9190" t="s">
        <v>35814</v>
      </c>
      <c r="K9190" t="s">
        <v>39031</v>
      </c>
      <c r="M9190" t="s">
        <v>42236</v>
      </c>
      <c r="N9190" t="s">
        <v>43166</v>
      </c>
      <c r="O9190" t="s">
        <v>43167</v>
      </c>
      <c r="P9190">
        <v>0</v>
      </c>
      <c r="Q9190">
        <v>0</v>
      </c>
      <c r="R9190" t="s">
        <v>43175</v>
      </c>
      <c r="S9190" t="s">
        <v>43460</v>
      </c>
      <c r="T9190" t="s">
        <v>44716</v>
      </c>
      <c r="U9190" t="s">
        <v>52557</v>
      </c>
      <c r="W9190" t="s">
        <v>42236</v>
      </c>
      <c r="X9190" t="s">
        <v>43178</v>
      </c>
    </row>
    <row r="9191" spans="1:24">
      <c r="A9191">
        <f>HYPERLINK("https://www.philgeps.gov.ph/GEPSNONPILOT/Tender/SplashBidNoticeAbstractUI.aspx?menuIndex=3&amp;refID=7070707&amp;Result=3","7070707")</f>
        <v>0</v>
      </c>
      <c r="B9191" t="s">
        <v>2703</v>
      </c>
      <c r="C9191" t="s">
        <v>12173</v>
      </c>
      <c r="D9191" t="s">
        <v>17444</v>
      </c>
      <c r="E9191" t="s">
        <v>22644</v>
      </c>
      <c r="F9191" t="s">
        <v>30052</v>
      </c>
      <c r="G9191" t="s">
        <v>30059</v>
      </c>
      <c r="H9191" t="s">
        <v>15498</v>
      </c>
      <c r="I9191" t="s">
        <v>30111</v>
      </c>
      <c r="J9191" t="s">
        <v>30337</v>
      </c>
      <c r="K9191" t="s">
        <v>39017</v>
      </c>
      <c r="M9191" t="s">
        <v>42227</v>
      </c>
      <c r="N9191" t="s">
        <v>43166</v>
      </c>
      <c r="O9191" t="s">
        <v>43167</v>
      </c>
      <c r="P9191">
        <v>0</v>
      </c>
      <c r="Q9191">
        <v>1</v>
      </c>
      <c r="R9191" t="s">
        <v>43175</v>
      </c>
      <c r="S9191" t="s">
        <v>43460</v>
      </c>
      <c r="T9191" t="s">
        <v>44777</v>
      </c>
      <c r="U9191" t="s">
        <v>52558</v>
      </c>
      <c r="W9191" t="s">
        <v>42227</v>
      </c>
      <c r="X9191" t="s">
        <v>43178</v>
      </c>
    </row>
    <row r="9192" spans="1:24">
      <c r="A9192">
        <f>HYPERLINK("https://www.philgeps.gov.ph/GEPSNONPILOT/Tender/SplashBidNoticeAbstractUI.aspx?menuIndex=3&amp;refID=7071397&amp;Result=3","7071397")</f>
        <v>0</v>
      </c>
      <c r="B9192" t="s">
        <v>2712</v>
      </c>
      <c r="C9192" t="s">
        <v>12174</v>
      </c>
      <c r="D9192" t="s">
        <v>17478</v>
      </c>
      <c r="E9192" t="s">
        <v>25382</v>
      </c>
      <c r="F9192" t="s">
        <v>30052</v>
      </c>
      <c r="G9192" t="s">
        <v>30058</v>
      </c>
      <c r="H9192" t="s">
        <v>30067</v>
      </c>
      <c r="I9192" t="s">
        <v>3693</v>
      </c>
      <c r="J9192" t="s">
        <v>35815</v>
      </c>
      <c r="K9192" t="s">
        <v>39022</v>
      </c>
      <c r="M9192" t="s">
        <v>42237</v>
      </c>
      <c r="N9192" t="s">
        <v>43166</v>
      </c>
      <c r="O9192" t="s">
        <v>43167</v>
      </c>
      <c r="P9192">
        <v>0</v>
      </c>
      <c r="Q9192">
        <v>0</v>
      </c>
      <c r="R9192" t="s">
        <v>43175</v>
      </c>
      <c r="S9192" t="s">
        <v>43460</v>
      </c>
      <c r="T9192" t="s">
        <v>45116</v>
      </c>
      <c r="U9192" t="s">
        <v>52559</v>
      </c>
      <c r="W9192" t="s">
        <v>42237</v>
      </c>
      <c r="X9192" t="s">
        <v>43178</v>
      </c>
    </row>
    <row r="9193" spans="1:24">
      <c r="A9193">
        <f>HYPERLINK("https://www.philgeps.gov.ph/GEPSNONPILOT/Tender/SplashBidNoticeAbstractUI.aspx?menuIndex=3&amp;refID=7071197&amp;Result=3","7071197")</f>
        <v>0</v>
      </c>
      <c r="B9193" t="s">
        <v>244</v>
      </c>
      <c r="C9193" t="s">
        <v>12175</v>
      </c>
      <c r="D9193" t="s">
        <v>17414</v>
      </c>
      <c r="E9193" t="s">
        <v>25383</v>
      </c>
      <c r="F9193" t="s">
        <v>30052</v>
      </c>
      <c r="G9193" t="s">
        <v>30058</v>
      </c>
      <c r="H9193" t="s">
        <v>30067</v>
      </c>
      <c r="I9193" t="s">
        <v>3693</v>
      </c>
      <c r="J9193" t="s">
        <v>31664</v>
      </c>
      <c r="K9193" t="s">
        <v>39031</v>
      </c>
      <c r="M9193" t="s">
        <v>39534</v>
      </c>
      <c r="N9193" t="s">
        <v>43166</v>
      </c>
      <c r="O9193" t="s">
        <v>43167</v>
      </c>
      <c r="P9193">
        <v>0</v>
      </c>
      <c r="Q9193">
        <v>1</v>
      </c>
      <c r="R9193" t="s">
        <v>43175</v>
      </c>
      <c r="S9193" t="s">
        <v>43460</v>
      </c>
      <c r="T9193" t="s">
        <v>44873</v>
      </c>
      <c r="U9193" t="s">
        <v>52560</v>
      </c>
      <c r="V9193" t="s">
        <v>56883</v>
      </c>
      <c r="W9193" t="s">
        <v>39534</v>
      </c>
      <c r="X9193" t="s">
        <v>43178</v>
      </c>
    </row>
    <row r="9194" spans="1:24">
      <c r="A9194">
        <f>HYPERLINK("https://www.philgeps.gov.ph/GEPSNONPILOT/Tender/SplashBidNoticeAbstractUI.aspx?menuIndex=3&amp;refID=7071253&amp;Result=3","7071253")</f>
        <v>0</v>
      </c>
      <c r="B9194" t="s">
        <v>2713</v>
      </c>
      <c r="C9194" t="s">
        <v>12176</v>
      </c>
      <c r="D9194" t="s">
        <v>17444</v>
      </c>
      <c r="E9194" t="s">
        <v>18065</v>
      </c>
      <c r="F9194" t="s">
        <v>30052</v>
      </c>
      <c r="G9194" t="s">
        <v>30058</v>
      </c>
      <c r="H9194" t="s">
        <v>15498</v>
      </c>
      <c r="I9194" t="s">
        <v>9238</v>
      </c>
      <c r="J9194" t="s">
        <v>35816</v>
      </c>
      <c r="K9194" t="s">
        <v>39029</v>
      </c>
      <c r="M9194" t="s">
        <v>42238</v>
      </c>
      <c r="N9194" t="s">
        <v>43166</v>
      </c>
      <c r="O9194" t="s">
        <v>43167</v>
      </c>
      <c r="Q9194">
        <v>31</v>
      </c>
      <c r="R9194" t="s">
        <v>43175</v>
      </c>
      <c r="S9194" t="s">
        <v>43465</v>
      </c>
      <c r="T9194" t="s">
        <v>45093</v>
      </c>
      <c r="U9194" t="s">
        <v>52561</v>
      </c>
      <c r="W9194" t="s">
        <v>42238</v>
      </c>
      <c r="X9194" t="s">
        <v>43178</v>
      </c>
    </row>
    <row r="9195" spans="1:24">
      <c r="A9195">
        <f>HYPERLINK("https://www.philgeps.gov.ph/GEPSNONPILOT/Tender/SplashBidNoticeAbstractUI.aspx?menuIndex=3&amp;refID=7070744&amp;Result=3","7070744")</f>
        <v>0</v>
      </c>
      <c r="B9195" t="s">
        <v>2710</v>
      </c>
      <c r="C9195" t="s">
        <v>12177</v>
      </c>
      <c r="D9195" t="s">
        <v>17482</v>
      </c>
      <c r="E9195" t="s">
        <v>25384</v>
      </c>
      <c r="F9195" t="s">
        <v>30055</v>
      </c>
      <c r="G9195" t="s">
        <v>30059</v>
      </c>
      <c r="H9195" t="s">
        <v>15498</v>
      </c>
      <c r="I9195" t="s">
        <v>30111</v>
      </c>
      <c r="J9195" t="s">
        <v>30472</v>
      </c>
      <c r="K9195" t="s">
        <v>39017</v>
      </c>
      <c r="L9195" t="s">
        <v>2710</v>
      </c>
      <c r="M9195" t="s">
        <v>42235</v>
      </c>
      <c r="N9195" t="s">
        <v>43166</v>
      </c>
      <c r="O9195" t="s">
        <v>43167</v>
      </c>
      <c r="P9195">
        <v>0</v>
      </c>
      <c r="Q9195">
        <v>0</v>
      </c>
      <c r="R9195" t="s">
        <v>43175</v>
      </c>
      <c r="S9195" t="s">
        <v>43460</v>
      </c>
      <c r="T9195" t="s">
        <v>44965</v>
      </c>
      <c r="U9195" t="s">
        <v>52562</v>
      </c>
      <c r="W9195" t="s">
        <v>42235</v>
      </c>
      <c r="X9195" t="s">
        <v>43178</v>
      </c>
    </row>
    <row r="9196" spans="1:24">
      <c r="A9196">
        <f>HYPERLINK("https://www.philgeps.gov.ph/GEPSNONPILOT/Tender/SplashBidNoticeAbstractUI.aspx?menuIndex=3&amp;refID=7071422&amp;Result=3","7071422")</f>
        <v>0</v>
      </c>
      <c r="B9196" t="s">
        <v>1404</v>
      </c>
      <c r="C9196" t="s">
        <v>12178</v>
      </c>
      <c r="D9196" t="s">
        <v>17443</v>
      </c>
      <c r="E9196" t="s">
        <v>25385</v>
      </c>
      <c r="F9196" t="s">
        <v>30052</v>
      </c>
      <c r="G9196" t="s">
        <v>30058</v>
      </c>
      <c r="H9196" t="s">
        <v>15498</v>
      </c>
      <c r="I9196" t="s">
        <v>3736</v>
      </c>
      <c r="J9196" t="s">
        <v>35817</v>
      </c>
      <c r="K9196" t="s">
        <v>39034</v>
      </c>
      <c r="M9196" t="s">
        <v>40781</v>
      </c>
      <c r="N9196" t="s">
        <v>43166</v>
      </c>
      <c r="O9196" t="s">
        <v>43167</v>
      </c>
      <c r="P9196">
        <v>0</v>
      </c>
      <c r="Q9196">
        <v>0</v>
      </c>
      <c r="R9196" t="s">
        <v>43175</v>
      </c>
      <c r="S9196" t="s">
        <v>43460</v>
      </c>
      <c r="T9196" t="s">
        <v>44717</v>
      </c>
      <c r="U9196" t="s">
        <v>52563</v>
      </c>
      <c r="W9196" t="s">
        <v>40781</v>
      </c>
      <c r="X9196" t="s">
        <v>43178</v>
      </c>
    </row>
    <row r="9197" spans="1:24">
      <c r="A9197">
        <f>HYPERLINK("https://www.philgeps.gov.ph/GEPSNONPILOT/Tender/SplashBidNoticeAbstractUI.aspx?menuIndex=3&amp;refID=7071325&amp;Result=3","7071325")</f>
        <v>0</v>
      </c>
      <c r="B9197" t="s">
        <v>1397</v>
      </c>
      <c r="C9197" t="s">
        <v>12179</v>
      </c>
      <c r="D9197" t="s">
        <v>17455</v>
      </c>
      <c r="E9197" t="s">
        <v>25386</v>
      </c>
      <c r="F9197" t="s">
        <v>30052</v>
      </c>
      <c r="G9197" t="s">
        <v>30058</v>
      </c>
      <c r="H9197" t="s">
        <v>15498</v>
      </c>
      <c r="I9197" t="s">
        <v>30171</v>
      </c>
      <c r="J9197" t="s">
        <v>30216</v>
      </c>
      <c r="K9197" t="s">
        <v>39018</v>
      </c>
      <c r="M9197" t="s">
        <v>40773</v>
      </c>
      <c r="N9197" t="s">
        <v>43166</v>
      </c>
      <c r="O9197" t="s">
        <v>43167</v>
      </c>
      <c r="P9197">
        <v>0</v>
      </c>
      <c r="Q9197">
        <v>1</v>
      </c>
      <c r="R9197" t="s">
        <v>43175</v>
      </c>
      <c r="S9197" t="s">
        <v>43460</v>
      </c>
      <c r="T9197" t="s">
        <v>44717</v>
      </c>
      <c r="U9197" t="s">
        <v>48331</v>
      </c>
      <c r="W9197" t="s">
        <v>40773</v>
      </c>
      <c r="X9197" t="s">
        <v>43178</v>
      </c>
    </row>
    <row r="9198" spans="1:24">
      <c r="A9198">
        <f>HYPERLINK("https://www.philgeps.gov.ph/GEPSNONPILOT/Tender/SplashBidNoticeAbstractUI.aspx?menuIndex=3&amp;refID=7071117&amp;Result=3","7071117")</f>
        <v>0</v>
      </c>
      <c r="B9198" t="s">
        <v>204</v>
      </c>
      <c r="C9198" t="s">
        <v>12180</v>
      </c>
      <c r="D9198" t="s">
        <v>17435</v>
      </c>
      <c r="E9198" t="s">
        <v>25387</v>
      </c>
      <c r="F9198" t="s">
        <v>30052</v>
      </c>
      <c r="G9198" t="s">
        <v>30058</v>
      </c>
      <c r="H9198" t="s">
        <v>15498</v>
      </c>
      <c r="I9198" t="s">
        <v>30074</v>
      </c>
      <c r="J9198" t="s">
        <v>35818</v>
      </c>
      <c r="K9198" t="s">
        <v>39031</v>
      </c>
      <c r="M9198" t="s">
        <v>39494</v>
      </c>
      <c r="N9198" t="s">
        <v>43166</v>
      </c>
      <c r="O9198" t="s">
        <v>43167</v>
      </c>
      <c r="P9198">
        <v>0</v>
      </c>
      <c r="Q9198">
        <v>6</v>
      </c>
      <c r="R9198" t="s">
        <v>43175</v>
      </c>
      <c r="S9198" t="s">
        <v>43460</v>
      </c>
      <c r="T9198" t="s">
        <v>44721</v>
      </c>
      <c r="U9198" t="s">
        <v>52564</v>
      </c>
      <c r="W9198" t="s">
        <v>39494</v>
      </c>
      <c r="X9198" t="s">
        <v>43178</v>
      </c>
    </row>
    <row r="9199" spans="1:24">
      <c r="A9199">
        <f>HYPERLINK("https://www.philgeps.gov.ph/GEPSNONPILOT/Tender/SplashBidNoticeAbstractUI.aspx?menuIndex=3&amp;refID=7071408&amp;Result=3","7071408")</f>
        <v>0</v>
      </c>
      <c r="B9199" t="s">
        <v>2714</v>
      </c>
      <c r="C9199" t="s">
        <v>12181</v>
      </c>
      <c r="D9199" t="s">
        <v>17474</v>
      </c>
      <c r="E9199" t="s">
        <v>25388</v>
      </c>
      <c r="F9199" t="s">
        <v>30052</v>
      </c>
      <c r="G9199" t="s">
        <v>30059</v>
      </c>
      <c r="H9199" t="s">
        <v>15498</v>
      </c>
      <c r="I9199" t="s">
        <v>3736</v>
      </c>
      <c r="J9199" t="s">
        <v>35819</v>
      </c>
      <c r="K9199" t="s">
        <v>39052</v>
      </c>
      <c r="M9199" t="s">
        <v>42239</v>
      </c>
      <c r="N9199" t="s">
        <v>43166</v>
      </c>
      <c r="O9199" t="s">
        <v>43167</v>
      </c>
      <c r="P9199">
        <v>0</v>
      </c>
      <c r="Q9199">
        <v>0</v>
      </c>
      <c r="R9199" t="s">
        <v>43175</v>
      </c>
      <c r="S9199" t="s">
        <v>43460</v>
      </c>
      <c r="T9199" t="s">
        <v>44705</v>
      </c>
      <c r="U9199" t="s">
        <v>52565</v>
      </c>
      <c r="W9199" t="s">
        <v>42239</v>
      </c>
      <c r="X9199" t="s">
        <v>43178</v>
      </c>
    </row>
    <row r="9200" spans="1:24">
      <c r="A9200">
        <f>HYPERLINK("https://www.philgeps.gov.ph/GEPSNONPILOT/Tender/SplashBidNoticeAbstractUI.aspx?menuIndex=3&amp;refID=7071109&amp;Result=3","7071109")</f>
        <v>0</v>
      </c>
      <c r="B9200" t="s">
        <v>1585</v>
      </c>
      <c r="C9200" t="s">
        <v>12182</v>
      </c>
      <c r="D9200" t="s">
        <v>17476</v>
      </c>
      <c r="E9200" t="s">
        <v>25389</v>
      </c>
      <c r="F9200" t="s">
        <v>30052</v>
      </c>
      <c r="G9200" t="s">
        <v>30058</v>
      </c>
      <c r="H9200" t="s">
        <v>15498</v>
      </c>
      <c r="I9200" t="s">
        <v>30074</v>
      </c>
      <c r="J9200" t="s">
        <v>35820</v>
      </c>
      <c r="K9200" t="s">
        <v>39031</v>
      </c>
      <c r="M9200" t="s">
        <v>40978</v>
      </c>
      <c r="N9200" t="s">
        <v>43166</v>
      </c>
      <c r="O9200" t="s">
        <v>43167</v>
      </c>
      <c r="P9200">
        <v>0</v>
      </c>
      <c r="Q9200">
        <v>19</v>
      </c>
      <c r="R9200" t="s">
        <v>43175</v>
      </c>
      <c r="S9200" t="s">
        <v>43460</v>
      </c>
      <c r="T9200" t="s">
        <v>44684</v>
      </c>
      <c r="U9200" t="s">
        <v>52566</v>
      </c>
      <c r="W9200" t="s">
        <v>40978</v>
      </c>
      <c r="X9200" t="s">
        <v>43178</v>
      </c>
    </row>
    <row r="9201" spans="1:24">
      <c r="A9201">
        <f>HYPERLINK("https://www.philgeps.gov.ph/GEPSNONPILOT/Tender/SplashBidNoticeAbstractUI.aspx?menuIndex=3&amp;refID=7071494&amp;Result=3","7071494")</f>
        <v>0</v>
      </c>
      <c r="B9201" t="s">
        <v>2715</v>
      </c>
      <c r="C9201" t="s">
        <v>12183</v>
      </c>
      <c r="D9201" t="s">
        <v>17453</v>
      </c>
      <c r="E9201" t="s">
        <v>25390</v>
      </c>
      <c r="F9201" t="s">
        <v>30052</v>
      </c>
      <c r="G9201" t="s">
        <v>30058</v>
      </c>
      <c r="H9201" t="s">
        <v>30067</v>
      </c>
      <c r="I9201" t="s">
        <v>3693</v>
      </c>
      <c r="J9201" t="s">
        <v>34404</v>
      </c>
      <c r="K9201" t="s">
        <v>39023</v>
      </c>
      <c r="M9201" t="s">
        <v>42240</v>
      </c>
      <c r="N9201" t="s">
        <v>43166</v>
      </c>
      <c r="O9201" t="s">
        <v>43167</v>
      </c>
      <c r="P9201">
        <v>0</v>
      </c>
      <c r="Q9201">
        <v>0</v>
      </c>
      <c r="R9201" t="s">
        <v>43175</v>
      </c>
      <c r="S9201" t="s">
        <v>43460</v>
      </c>
      <c r="T9201" t="s">
        <v>44814</v>
      </c>
      <c r="U9201" t="s">
        <v>52567</v>
      </c>
      <c r="V9201" t="s">
        <v>57809</v>
      </c>
      <c r="W9201" t="s">
        <v>42240</v>
      </c>
      <c r="X9201" t="s">
        <v>43178</v>
      </c>
    </row>
    <row r="9202" spans="1:24">
      <c r="A9202">
        <f>HYPERLINK("https://www.philgeps.gov.ph/GEPSNONPILOT/Tender/SplashBidNoticeAbstractUI.aspx?menuIndex=3&amp;refID=7071849&amp;Result=3","7071849")</f>
        <v>0</v>
      </c>
      <c r="B9202" t="s">
        <v>138</v>
      </c>
      <c r="C9202" t="s">
        <v>12184</v>
      </c>
      <c r="D9202" t="s">
        <v>17422</v>
      </c>
      <c r="E9202" t="s">
        <v>25391</v>
      </c>
      <c r="F9202" t="s">
        <v>30052</v>
      </c>
      <c r="G9202" t="s">
        <v>30059</v>
      </c>
      <c r="H9202" t="s">
        <v>15498</v>
      </c>
      <c r="I9202" t="s">
        <v>4119</v>
      </c>
      <c r="J9202" t="s">
        <v>34919</v>
      </c>
      <c r="K9202" t="s">
        <v>39019</v>
      </c>
      <c r="M9202" t="s">
        <v>39427</v>
      </c>
      <c r="N9202" t="s">
        <v>43166</v>
      </c>
      <c r="O9202" t="s">
        <v>43167</v>
      </c>
      <c r="Q9202">
        <v>5</v>
      </c>
      <c r="R9202" t="s">
        <v>43175</v>
      </c>
      <c r="S9202" t="s">
        <v>43388</v>
      </c>
      <c r="T9202" t="s">
        <v>44736</v>
      </c>
      <c r="U9202" t="s">
        <v>52568</v>
      </c>
      <c r="W9202" t="s">
        <v>39427</v>
      </c>
      <c r="X9202" t="s">
        <v>43178</v>
      </c>
    </row>
    <row r="9203" spans="1:24">
      <c r="A9203">
        <f>HYPERLINK("https://www.philgeps.gov.ph/GEPSNONPILOT/Tender/SplashBidNoticeAbstractUI.aspx?menuIndex=3&amp;refID=7071165&amp;Result=3","7071165")</f>
        <v>0</v>
      </c>
      <c r="B9203" t="s">
        <v>244</v>
      </c>
      <c r="C9203" t="s">
        <v>12185</v>
      </c>
      <c r="D9203" t="s">
        <v>17414</v>
      </c>
      <c r="E9203" t="s">
        <v>25392</v>
      </c>
      <c r="F9203" t="s">
        <v>30052</v>
      </c>
      <c r="G9203" t="s">
        <v>30058</v>
      </c>
      <c r="H9203" t="s">
        <v>30067</v>
      </c>
      <c r="I9203" t="s">
        <v>3693</v>
      </c>
      <c r="J9203" t="s">
        <v>31198</v>
      </c>
      <c r="K9203" t="s">
        <v>39161</v>
      </c>
      <c r="M9203" t="s">
        <v>39534</v>
      </c>
      <c r="N9203" t="s">
        <v>43166</v>
      </c>
      <c r="O9203" t="s">
        <v>43167</v>
      </c>
      <c r="P9203">
        <v>0</v>
      </c>
      <c r="Q9203">
        <v>0</v>
      </c>
      <c r="R9203" t="s">
        <v>43175</v>
      </c>
      <c r="S9203" t="s">
        <v>43460</v>
      </c>
      <c r="T9203" t="s">
        <v>44873</v>
      </c>
      <c r="U9203" t="s">
        <v>52569</v>
      </c>
      <c r="V9203" t="s">
        <v>56883</v>
      </c>
      <c r="W9203" t="s">
        <v>39534</v>
      </c>
      <c r="X9203" t="s">
        <v>43178</v>
      </c>
    </row>
    <row r="9204" spans="1:24">
      <c r="A9204">
        <f>HYPERLINK("https://www.philgeps.gov.ph/GEPSNONPILOT/Tender/SplashBidNoticeAbstractUI.aspx?menuIndex=3&amp;refID=7071778&amp;Result=3","7071778")</f>
        <v>0</v>
      </c>
      <c r="B9204" t="s">
        <v>306</v>
      </c>
      <c r="C9204" t="s">
        <v>12186</v>
      </c>
      <c r="D9204" t="s">
        <v>17415</v>
      </c>
      <c r="E9204" t="s">
        <v>25393</v>
      </c>
      <c r="F9204" t="s">
        <v>30052</v>
      </c>
      <c r="G9204" t="s">
        <v>30058</v>
      </c>
      <c r="H9204" t="s">
        <v>15498</v>
      </c>
      <c r="I9204" t="s">
        <v>30124</v>
      </c>
      <c r="J9204" t="s">
        <v>35821</v>
      </c>
      <c r="K9204" t="s">
        <v>39029</v>
      </c>
      <c r="M9204" t="s">
        <v>39601</v>
      </c>
      <c r="N9204" t="s">
        <v>43166</v>
      </c>
      <c r="O9204" t="s">
        <v>43167</v>
      </c>
      <c r="P9204">
        <v>0</v>
      </c>
      <c r="Q9204">
        <v>2</v>
      </c>
      <c r="R9204" t="s">
        <v>43175</v>
      </c>
      <c r="S9204" t="s">
        <v>43460</v>
      </c>
      <c r="T9204" t="s">
        <v>44825</v>
      </c>
      <c r="U9204" t="s">
        <v>52570</v>
      </c>
      <c r="W9204" t="s">
        <v>39601</v>
      </c>
      <c r="X9204" t="s">
        <v>43178</v>
      </c>
    </row>
    <row r="9205" spans="1:24">
      <c r="A9205">
        <f>HYPERLINK("https://www.philgeps.gov.ph/GEPSNONPILOT/Tender/SplashBidNoticeAbstractUI.aspx?menuIndex=3&amp;refID=7071085&amp;Result=3","7071085")</f>
        <v>0</v>
      </c>
      <c r="B9205" t="s">
        <v>2716</v>
      </c>
      <c r="C9205" t="s">
        <v>12187</v>
      </c>
      <c r="D9205" t="s">
        <v>17415</v>
      </c>
      <c r="E9205" t="s">
        <v>25394</v>
      </c>
      <c r="F9205" t="s">
        <v>30052</v>
      </c>
      <c r="G9205" t="s">
        <v>30058</v>
      </c>
      <c r="H9205" t="s">
        <v>15498</v>
      </c>
      <c r="I9205" t="s">
        <v>4119</v>
      </c>
      <c r="J9205" t="s">
        <v>35822</v>
      </c>
      <c r="K9205" t="s">
        <v>39025</v>
      </c>
      <c r="M9205" t="s">
        <v>42241</v>
      </c>
      <c r="N9205" t="s">
        <v>43166</v>
      </c>
      <c r="O9205" t="s">
        <v>43167</v>
      </c>
      <c r="P9205">
        <v>0</v>
      </c>
      <c r="Q9205">
        <v>9</v>
      </c>
      <c r="R9205" t="s">
        <v>43175</v>
      </c>
      <c r="S9205" t="s">
        <v>43460</v>
      </c>
      <c r="T9205" t="s">
        <v>44758</v>
      </c>
      <c r="U9205" t="s">
        <v>52571</v>
      </c>
      <c r="V9205" t="s">
        <v>57810</v>
      </c>
      <c r="W9205" t="s">
        <v>42241</v>
      </c>
      <c r="X9205" t="s">
        <v>43178</v>
      </c>
    </row>
    <row r="9206" spans="1:24">
      <c r="A9206">
        <f>HYPERLINK("https://www.philgeps.gov.ph/GEPSNONPILOT/Tender/SplashBidNoticeAbstractUI.aspx?menuIndex=3&amp;refID=7071772&amp;Result=3","7071772")</f>
        <v>0</v>
      </c>
      <c r="B9206" t="s">
        <v>2717</v>
      </c>
      <c r="C9206" t="s">
        <v>12188</v>
      </c>
      <c r="D9206" t="s">
        <v>17464</v>
      </c>
      <c r="E9206" t="s">
        <v>18364</v>
      </c>
      <c r="F9206" t="s">
        <v>30055</v>
      </c>
      <c r="G9206" t="s">
        <v>30058</v>
      </c>
      <c r="H9206" t="s">
        <v>30067</v>
      </c>
      <c r="I9206" t="s">
        <v>3693</v>
      </c>
      <c r="J9206" t="s">
        <v>35823</v>
      </c>
      <c r="K9206" t="s">
        <v>39019</v>
      </c>
      <c r="M9206" t="s">
        <v>42242</v>
      </c>
      <c r="N9206" t="s">
        <v>43166</v>
      </c>
      <c r="O9206" t="s">
        <v>43167</v>
      </c>
      <c r="P9206">
        <v>0</v>
      </c>
      <c r="Q9206">
        <v>0</v>
      </c>
      <c r="R9206" t="s">
        <v>43175</v>
      </c>
      <c r="S9206" t="s">
        <v>43460</v>
      </c>
      <c r="T9206" t="s">
        <v>44922</v>
      </c>
      <c r="U9206" t="s">
        <v>52572</v>
      </c>
      <c r="V9206" t="s">
        <v>56838</v>
      </c>
      <c r="W9206" t="s">
        <v>42242</v>
      </c>
      <c r="X9206" t="s">
        <v>43178</v>
      </c>
    </row>
    <row r="9207" spans="1:24">
      <c r="A9207">
        <f>HYPERLINK("https://www.philgeps.gov.ph/GEPSNONPILOT/Tender/SplashBidNoticeAbstractUI.aspx?menuIndex=3&amp;refID=7071706&amp;Result=3","7071706")</f>
        <v>0</v>
      </c>
      <c r="B9207" t="s">
        <v>974</v>
      </c>
      <c r="C9207" t="s">
        <v>12189</v>
      </c>
      <c r="D9207" t="s">
        <v>17453</v>
      </c>
      <c r="E9207" t="s">
        <v>25395</v>
      </c>
      <c r="F9207" t="s">
        <v>30052</v>
      </c>
      <c r="G9207" t="s">
        <v>30058</v>
      </c>
      <c r="H9207" t="s">
        <v>30067</v>
      </c>
      <c r="I9207" t="s">
        <v>3693</v>
      </c>
      <c r="J9207" t="s">
        <v>30281</v>
      </c>
      <c r="K9207" t="s">
        <v>39086</v>
      </c>
      <c r="M9207" t="s">
        <v>42220</v>
      </c>
      <c r="N9207" t="s">
        <v>43166</v>
      </c>
      <c r="O9207" t="s">
        <v>43167</v>
      </c>
      <c r="P9207">
        <v>0</v>
      </c>
      <c r="Q9207">
        <v>2</v>
      </c>
      <c r="R9207" t="s">
        <v>43175</v>
      </c>
      <c r="S9207" t="s">
        <v>43460</v>
      </c>
      <c r="T9207" t="s">
        <v>44853</v>
      </c>
      <c r="U9207" t="s">
        <v>52508</v>
      </c>
      <c r="W9207" t="s">
        <v>42220</v>
      </c>
      <c r="X9207" t="s">
        <v>43178</v>
      </c>
    </row>
    <row r="9208" spans="1:24">
      <c r="A9208">
        <f>HYPERLINK("https://www.philgeps.gov.ph/GEPSNONPILOT/Tender/SplashBidNoticeAbstractUI.aspx?menuIndex=3&amp;refID=7070692&amp;Result=3","7070692")</f>
        <v>0</v>
      </c>
      <c r="B9208" t="s">
        <v>1730</v>
      </c>
      <c r="C9208" t="s">
        <v>12190</v>
      </c>
      <c r="D9208" t="s">
        <v>17423</v>
      </c>
      <c r="E9208" t="s">
        <v>25396</v>
      </c>
      <c r="F9208" t="s">
        <v>30052</v>
      </c>
      <c r="G9208" t="s">
        <v>30058</v>
      </c>
      <c r="H9208" t="s">
        <v>30067</v>
      </c>
      <c r="I9208" t="s">
        <v>3693</v>
      </c>
      <c r="J9208" t="s">
        <v>35824</v>
      </c>
      <c r="K9208" t="s">
        <v>39131</v>
      </c>
      <c r="M9208" t="s">
        <v>42228</v>
      </c>
      <c r="N9208" t="s">
        <v>43166</v>
      </c>
      <c r="O9208" t="s">
        <v>43167</v>
      </c>
      <c r="P9208">
        <v>0</v>
      </c>
      <c r="Q9208">
        <v>0</v>
      </c>
      <c r="R9208" t="s">
        <v>43175</v>
      </c>
      <c r="S9208" t="s">
        <v>43460</v>
      </c>
      <c r="T9208" t="s">
        <v>44696</v>
      </c>
      <c r="U9208" t="s">
        <v>52573</v>
      </c>
      <c r="V9208" t="s">
        <v>57811</v>
      </c>
      <c r="W9208" t="s">
        <v>42228</v>
      </c>
      <c r="X9208" t="s">
        <v>43178</v>
      </c>
    </row>
    <row r="9209" spans="1:24">
      <c r="A9209">
        <f>HYPERLINK("https://www.philgeps.gov.ph/GEPSNONPILOT/Tender/SplashBidNoticeAbstractUI.aspx?menuIndex=3&amp;refID=7071199&amp;Result=3","7071199")</f>
        <v>0</v>
      </c>
      <c r="B9209" t="s">
        <v>792</v>
      </c>
      <c r="C9209" t="s">
        <v>12191</v>
      </c>
      <c r="D9209" t="s">
        <v>17415</v>
      </c>
      <c r="E9209" t="s">
        <v>25397</v>
      </c>
      <c r="F9209" t="s">
        <v>30052</v>
      </c>
      <c r="G9209" t="s">
        <v>30058</v>
      </c>
      <c r="H9209" t="s">
        <v>15498</v>
      </c>
      <c r="I9209" t="s">
        <v>30184</v>
      </c>
      <c r="J9209" t="s">
        <v>35193</v>
      </c>
      <c r="K9209" t="s">
        <v>39025</v>
      </c>
      <c r="M9209" t="s">
        <v>41765</v>
      </c>
      <c r="N9209" t="s">
        <v>43166</v>
      </c>
      <c r="O9209" t="s">
        <v>43167</v>
      </c>
      <c r="Q9209">
        <v>13</v>
      </c>
      <c r="R9209" t="s">
        <v>43175</v>
      </c>
      <c r="S9209" t="s">
        <v>43466</v>
      </c>
      <c r="T9209" t="s">
        <v>44716</v>
      </c>
      <c r="U9209" t="s">
        <v>52574</v>
      </c>
      <c r="V9209" t="s">
        <v>57812</v>
      </c>
      <c r="W9209" t="s">
        <v>41765</v>
      </c>
      <c r="X9209" t="s">
        <v>43178</v>
      </c>
    </row>
    <row r="9210" spans="1:24">
      <c r="A9210">
        <f>HYPERLINK("https://www.philgeps.gov.ph/GEPSNONPILOT/Tender/SplashBidNoticeAbstractUI.aspx?menuIndex=3&amp;refID=7071758&amp;Result=3","7071758")</f>
        <v>0</v>
      </c>
      <c r="B9210" t="s">
        <v>1250</v>
      </c>
      <c r="C9210" t="s">
        <v>12192</v>
      </c>
      <c r="D9210" t="s">
        <v>17415</v>
      </c>
      <c r="E9210" t="s">
        <v>12192</v>
      </c>
      <c r="F9210" t="s">
        <v>30052</v>
      </c>
      <c r="G9210" t="s">
        <v>30058</v>
      </c>
      <c r="H9210" t="s">
        <v>15498</v>
      </c>
      <c r="I9210" t="s">
        <v>30138</v>
      </c>
      <c r="J9210" t="s">
        <v>31207</v>
      </c>
      <c r="K9210" t="s">
        <v>39099</v>
      </c>
      <c r="M9210" t="s">
        <v>42243</v>
      </c>
      <c r="N9210" t="s">
        <v>43166</v>
      </c>
      <c r="O9210" t="s">
        <v>43167</v>
      </c>
      <c r="P9210">
        <v>0</v>
      </c>
      <c r="Q9210">
        <v>17</v>
      </c>
      <c r="R9210" t="s">
        <v>43175</v>
      </c>
      <c r="S9210" t="s">
        <v>43460</v>
      </c>
      <c r="T9210" t="s">
        <v>45093</v>
      </c>
      <c r="U9210" t="s">
        <v>52575</v>
      </c>
      <c r="V9210" t="s">
        <v>57813</v>
      </c>
      <c r="W9210" t="s">
        <v>42243</v>
      </c>
      <c r="X9210" t="s">
        <v>43178</v>
      </c>
    </row>
    <row r="9211" spans="1:24">
      <c r="A9211">
        <f>HYPERLINK("https://www.philgeps.gov.ph/GEPSNONPILOT/Tender/SplashBidNoticeAbstractUI.aspx?menuIndex=3&amp;refID=7071654&amp;Result=3","7071654")</f>
        <v>0</v>
      </c>
      <c r="B9211" t="s">
        <v>196</v>
      </c>
      <c r="C9211" t="s">
        <v>12193</v>
      </c>
      <c r="D9211" t="s">
        <v>17476</v>
      </c>
      <c r="E9211" t="s">
        <v>25398</v>
      </c>
      <c r="F9211" t="s">
        <v>30052</v>
      </c>
      <c r="G9211" t="s">
        <v>30058</v>
      </c>
      <c r="H9211" t="s">
        <v>15498</v>
      </c>
      <c r="I9211" t="s">
        <v>30150</v>
      </c>
      <c r="J9211" t="s">
        <v>35825</v>
      </c>
      <c r="K9211" t="s">
        <v>39017</v>
      </c>
      <c r="M9211" t="s">
        <v>39486</v>
      </c>
      <c r="N9211" t="s">
        <v>43166</v>
      </c>
      <c r="O9211" t="s">
        <v>43167</v>
      </c>
      <c r="P9211">
        <v>0</v>
      </c>
      <c r="Q9211">
        <v>3</v>
      </c>
      <c r="R9211" t="s">
        <v>43175</v>
      </c>
      <c r="S9211" t="s">
        <v>43460</v>
      </c>
      <c r="T9211" t="s">
        <v>44826</v>
      </c>
      <c r="U9211" t="s">
        <v>52576</v>
      </c>
      <c r="W9211" t="s">
        <v>39486</v>
      </c>
      <c r="X9211" t="s">
        <v>43178</v>
      </c>
    </row>
    <row r="9212" spans="1:24">
      <c r="A9212">
        <f>HYPERLINK("https://www.philgeps.gov.ph/GEPSNONPILOT/Tender/SplashBidNoticeAbstractUI.aspx?menuIndex=3&amp;refID=7071581&amp;Result=3","7071581")</f>
        <v>0</v>
      </c>
      <c r="B9212" t="s">
        <v>1500</v>
      </c>
      <c r="C9212" t="s">
        <v>12194</v>
      </c>
      <c r="D9212" t="s">
        <v>17462</v>
      </c>
      <c r="E9212" t="s">
        <v>25399</v>
      </c>
      <c r="F9212" t="s">
        <v>30052</v>
      </c>
      <c r="G9212" t="s">
        <v>30061</v>
      </c>
      <c r="H9212" t="s">
        <v>15498</v>
      </c>
      <c r="I9212" t="s">
        <v>8323</v>
      </c>
      <c r="J9212" t="s">
        <v>30358</v>
      </c>
      <c r="K9212" t="s">
        <v>39017</v>
      </c>
      <c r="M9212" t="s">
        <v>40884</v>
      </c>
      <c r="N9212" t="s">
        <v>43166</v>
      </c>
      <c r="O9212" t="s">
        <v>43167</v>
      </c>
      <c r="P9212">
        <v>0</v>
      </c>
      <c r="Q9212">
        <v>7</v>
      </c>
      <c r="R9212" t="s">
        <v>43175</v>
      </c>
      <c r="S9212" t="s">
        <v>43460</v>
      </c>
      <c r="T9212" t="s">
        <v>44856</v>
      </c>
      <c r="U9212" t="s">
        <v>52577</v>
      </c>
      <c r="W9212" t="s">
        <v>40884</v>
      </c>
      <c r="X9212" t="s">
        <v>43178</v>
      </c>
    </row>
    <row r="9213" spans="1:24">
      <c r="A9213">
        <f>HYPERLINK("https://www.philgeps.gov.ph/GEPSNONPILOT/Tender/SplashBidNoticeAbstractUI.aspx?menuIndex=3&amp;refID=7071569&amp;Result=3","7071569")</f>
        <v>0</v>
      </c>
      <c r="B9213" t="s">
        <v>2715</v>
      </c>
      <c r="C9213" t="s">
        <v>12195</v>
      </c>
      <c r="D9213" t="s">
        <v>17453</v>
      </c>
      <c r="E9213" t="s">
        <v>25400</v>
      </c>
      <c r="F9213" t="s">
        <v>30052</v>
      </c>
      <c r="G9213" t="s">
        <v>30058</v>
      </c>
      <c r="H9213" t="s">
        <v>30067</v>
      </c>
      <c r="I9213" t="s">
        <v>3693</v>
      </c>
      <c r="J9213" t="s">
        <v>31060</v>
      </c>
      <c r="K9213" t="s">
        <v>39023</v>
      </c>
      <c r="M9213" t="s">
        <v>42240</v>
      </c>
      <c r="N9213" t="s">
        <v>43166</v>
      </c>
      <c r="O9213" t="s">
        <v>43167</v>
      </c>
      <c r="P9213">
        <v>0</v>
      </c>
      <c r="Q9213">
        <v>1</v>
      </c>
      <c r="R9213" t="s">
        <v>43175</v>
      </c>
      <c r="S9213" t="s">
        <v>43460</v>
      </c>
      <c r="T9213" t="s">
        <v>44814</v>
      </c>
      <c r="U9213" t="s">
        <v>52578</v>
      </c>
      <c r="V9213" t="s">
        <v>57809</v>
      </c>
      <c r="W9213" t="s">
        <v>42240</v>
      </c>
      <c r="X9213" t="s">
        <v>43178</v>
      </c>
    </row>
    <row r="9214" spans="1:24">
      <c r="A9214">
        <f>HYPERLINK("https://www.philgeps.gov.ph/GEPSNONPILOT/Tender/SplashBidNoticeAbstractUI.aspx?menuIndex=3&amp;refID=7071554&amp;Result=3","7071554")</f>
        <v>0</v>
      </c>
      <c r="B9214" t="s">
        <v>2718</v>
      </c>
      <c r="C9214" t="s">
        <v>12196</v>
      </c>
      <c r="D9214" t="s">
        <v>17450</v>
      </c>
      <c r="E9214" t="s">
        <v>22675</v>
      </c>
      <c r="F9214" t="s">
        <v>30052</v>
      </c>
      <c r="G9214" t="s">
        <v>30058</v>
      </c>
      <c r="H9214" t="s">
        <v>30067</v>
      </c>
      <c r="I9214" t="s">
        <v>3693</v>
      </c>
      <c r="J9214" t="s">
        <v>32377</v>
      </c>
      <c r="K9214" t="s">
        <v>39023</v>
      </c>
      <c r="M9214" t="s">
        <v>42244</v>
      </c>
      <c r="N9214" t="s">
        <v>43166</v>
      </c>
      <c r="O9214" t="s">
        <v>43167</v>
      </c>
      <c r="P9214">
        <v>0</v>
      </c>
      <c r="Q9214">
        <v>5</v>
      </c>
      <c r="R9214" t="s">
        <v>43175</v>
      </c>
      <c r="S9214" t="s">
        <v>43460</v>
      </c>
      <c r="T9214" t="s">
        <v>44922</v>
      </c>
      <c r="U9214" t="s">
        <v>52579</v>
      </c>
      <c r="V9214" t="s">
        <v>57814</v>
      </c>
      <c r="W9214" t="s">
        <v>42244</v>
      </c>
      <c r="X9214" t="s">
        <v>43178</v>
      </c>
    </row>
    <row r="9215" spans="1:24">
      <c r="A9215">
        <f>HYPERLINK("https://www.philgeps.gov.ph/GEPSNONPILOT/Tender/SplashBidNoticeAbstractUI.aspx?menuIndex=3&amp;refID=7071534&amp;Result=3","7071534")</f>
        <v>0</v>
      </c>
      <c r="B9215" t="s">
        <v>2715</v>
      </c>
      <c r="C9215" t="s">
        <v>12197</v>
      </c>
      <c r="D9215" t="s">
        <v>17453</v>
      </c>
      <c r="E9215" t="s">
        <v>25401</v>
      </c>
      <c r="F9215" t="s">
        <v>30052</v>
      </c>
      <c r="G9215" t="s">
        <v>30058</v>
      </c>
      <c r="H9215" t="s">
        <v>30067</v>
      </c>
      <c r="I9215" t="s">
        <v>3693</v>
      </c>
      <c r="J9215" t="s">
        <v>35826</v>
      </c>
      <c r="K9215" t="s">
        <v>39061</v>
      </c>
      <c r="M9215" t="s">
        <v>42240</v>
      </c>
      <c r="N9215" t="s">
        <v>43166</v>
      </c>
      <c r="O9215" t="s">
        <v>43167</v>
      </c>
      <c r="P9215">
        <v>0</v>
      </c>
      <c r="Q9215">
        <v>0</v>
      </c>
      <c r="R9215" t="s">
        <v>43175</v>
      </c>
      <c r="S9215" t="s">
        <v>43460</v>
      </c>
      <c r="T9215" t="s">
        <v>44814</v>
      </c>
      <c r="U9215" t="s">
        <v>52580</v>
      </c>
      <c r="V9215" t="s">
        <v>57809</v>
      </c>
      <c r="W9215" t="s">
        <v>42240</v>
      </c>
      <c r="X9215" t="s">
        <v>43178</v>
      </c>
    </row>
    <row r="9216" spans="1:24">
      <c r="A9216">
        <f>HYPERLINK("https://www.philgeps.gov.ph/GEPSNONPILOT/Tender/SplashBidNoticeAbstractUI.aspx?menuIndex=3&amp;refID=7071521&amp;Result=3","7071521")</f>
        <v>0</v>
      </c>
      <c r="B9216" t="s">
        <v>2719</v>
      </c>
      <c r="C9216" t="s">
        <v>12198</v>
      </c>
      <c r="D9216" t="s">
        <v>17476</v>
      </c>
      <c r="E9216" t="s">
        <v>17650</v>
      </c>
      <c r="F9216" t="s">
        <v>30052</v>
      </c>
      <c r="G9216" t="s">
        <v>30058</v>
      </c>
      <c r="H9216" t="s">
        <v>30067</v>
      </c>
      <c r="I9216" t="s">
        <v>30152</v>
      </c>
      <c r="J9216" t="s">
        <v>35827</v>
      </c>
      <c r="K9216" t="s">
        <v>39022</v>
      </c>
      <c r="M9216" t="s">
        <v>42245</v>
      </c>
      <c r="N9216" t="s">
        <v>43166</v>
      </c>
      <c r="O9216" t="s">
        <v>43167</v>
      </c>
      <c r="Q9216">
        <v>1</v>
      </c>
      <c r="R9216" t="s">
        <v>43175</v>
      </c>
      <c r="S9216" t="s">
        <v>43467</v>
      </c>
      <c r="T9216" t="s">
        <v>44725</v>
      </c>
      <c r="U9216" t="s">
        <v>52581</v>
      </c>
      <c r="W9216" t="s">
        <v>42245</v>
      </c>
      <c r="X9216" t="s">
        <v>43178</v>
      </c>
    </row>
    <row r="9217" spans="1:24">
      <c r="A9217">
        <f>HYPERLINK("https://www.philgeps.gov.ph/GEPSNONPILOT/Tender/SplashBidNoticeAbstractUI.aspx?menuIndex=3&amp;refID=7071898&amp;Result=3","7071898")</f>
        <v>0</v>
      </c>
      <c r="B9217" t="s">
        <v>2435</v>
      </c>
      <c r="C9217" t="s">
        <v>12199</v>
      </c>
      <c r="D9217" t="s">
        <v>17462</v>
      </c>
      <c r="E9217" t="s">
        <v>25402</v>
      </c>
      <c r="F9217" t="s">
        <v>30052</v>
      </c>
      <c r="G9217" t="s">
        <v>30058</v>
      </c>
      <c r="H9217" t="s">
        <v>15498</v>
      </c>
      <c r="I9217" t="s">
        <v>30084</v>
      </c>
      <c r="J9217" t="s">
        <v>35828</v>
      </c>
      <c r="K9217" t="s">
        <v>39023</v>
      </c>
      <c r="M9217" t="s">
        <v>41933</v>
      </c>
      <c r="N9217" t="s">
        <v>43166</v>
      </c>
      <c r="O9217" t="s">
        <v>43167</v>
      </c>
      <c r="P9217">
        <v>0</v>
      </c>
      <c r="Q9217">
        <v>19</v>
      </c>
      <c r="R9217" t="s">
        <v>43175</v>
      </c>
      <c r="S9217" t="s">
        <v>43460</v>
      </c>
      <c r="T9217" t="s">
        <v>44716</v>
      </c>
      <c r="U9217" t="s">
        <v>52582</v>
      </c>
      <c r="V9217" t="s">
        <v>57666</v>
      </c>
      <c r="W9217" t="s">
        <v>41933</v>
      </c>
      <c r="X9217" t="s">
        <v>43178</v>
      </c>
    </row>
    <row r="9218" spans="1:24">
      <c r="A9218">
        <f>HYPERLINK("https://www.philgeps.gov.ph/GEPSNONPILOT/Tender/SplashBidNoticeAbstractUI.aspx?menuIndex=3&amp;refID=7071845&amp;Result=3","7071845")</f>
        <v>0</v>
      </c>
      <c r="B9218" t="s">
        <v>1572</v>
      </c>
      <c r="C9218" t="s">
        <v>12200</v>
      </c>
      <c r="D9218" t="s">
        <v>17476</v>
      </c>
      <c r="E9218" t="s">
        <v>25403</v>
      </c>
      <c r="F9218" t="s">
        <v>30052</v>
      </c>
      <c r="G9218" t="s">
        <v>30058</v>
      </c>
      <c r="H9218" t="s">
        <v>15498</v>
      </c>
      <c r="I9218" t="s">
        <v>4642</v>
      </c>
      <c r="J9218" t="s">
        <v>35829</v>
      </c>
      <c r="K9218" t="s">
        <v>39029</v>
      </c>
      <c r="M9218" t="s">
        <v>40963</v>
      </c>
      <c r="N9218" t="s">
        <v>43166</v>
      </c>
      <c r="O9218" t="s">
        <v>43167</v>
      </c>
      <c r="P9218">
        <v>0</v>
      </c>
      <c r="Q9218">
        <v>0</v>
      </c>
      <c r="R9218" t="s">
        <v>43175</v>
      </c>
      <c r="S9218" t="s">
        <v>43460</v>
      </c>
      <c r="T9218" t="s">
        <v>44804</v>
      </c>
      <c r="U9218" t="s">
        <v>52583</v>
      </c>
      <c r="W9218" t="s">
        <v>40963</v>
      </c>
      <c r="X9218" t="s">
        <v>43178</v>
      </c>
    </row>
    <row r="9219" spans="1:24">
      <c r="A9219">
        <f>HYPERLINK("https://www.philgeps.gov.ph/GEPSNONPILOT/Tender/SplashBidNoticeAbstractUI.aspx?menuIndex=3&amp;refID=7072208&amp;Result=3","7072208")</f>
        <v>0</v>
      </c>
      <c r="B9219" t="s">
        <v>29</v>
      </c>
      <c r="C9219" t="s">
        <v>12201</v>
      </c>
      <c r="D9219" t="s">
        <v>17418</v>
      </c>
      <c r="E9219" t="s">
        <v>25404</v>
      </c>
      <c r="F9219" t="s">
        <v>30052</v>
      </c>
      <c r="G9219" t="s">
        <v>30058</v>
      </c>
      <c r="H9219" t="s">
        <v>30067</v>
      </c>
      <c r="I9219" t="s">
        <v>3693</v>
      </c>
      <c r="J9219" t="s">
        <v>35830</v>
      </c>
      <c r="K9219" t="s">
        <v>39110</v>
      </c>
      <c r="M9219" t="s">
        <v>39319</v>
      </c>
      <c r="N9219" t="s">
        <v>43166</v>
      </c>
      <c r="O9219" t="s">
        <v>43167</v>
      </c>
      <c r="P9219">
        <v>0</v>
      </c>
      <c r="Q9219">
        <v>0</v>
      </c>
      <c r="R9219" t="s">
        <v>43175</v>
      </c>
      <c r="S9219" t="s">
        <v>43460</v>
      </c>
      <c r="T9219" t="s">
        <v>45089</v>
      </c>
      <c r="U9219" t="s">
        <v>52584</v>
      </c>
      <c r="W9219" t="s">
        <v>39319</v>
      </c>
      <c r="X9219" t="s">
        <v>43178</v>
      </c>
    </row>
    <row r="9220" spans="1:24">
      <c r="A9220">
        <f>HYPERLINK("https://www.philgeps.gov.ph/GEPSNONPILOT/Tender/SplashBidNoticeAbstractUI.aspx?menuIndex=3&amp;refID=7071606&amp;Result=3","7071606")</f>
        <v>0</v>
      </c>
      <c r="B9220" t="s">
        <v>1500</v>
      </c>
      <c r="C9220" t="s">
        <v>12202</v>
      </c>
      <c r="D9220" t="s">
        <v>17462</v>
      </c>
      <c r="E9220" t="s">
        <v>25405</v>
      </c>
      <c r="F9220" t="s">
        <v>30052</v>
      </c>
      <c r="G9220" t="s">
        <v>30061</v>
      </c>
      <c r="H9220" t="s">
        <v>15498</v>
      </c>
      <c r="I9220" t="s">
        <v>30137</v>
      </c>
      <c r="J9220" t="s">
        <v>30330</v>
      </c>
      <c r="K9220" t="s">
        <v>39017</v>
      </c>
      <c r="M9220" t="s">
        <v>40884</v>
      </c>
      <c r="N9220" t="s">
        <v>43166</v>
      </c>
      <c r="O9220" t="s">
        <v>43167</v>
      </c>
      <c r="P9220">
        <v>0</v>
      </c>
      <c r="Q9220">
        <v>3</v>
      </c>
      <c r="R9220" t="s">
        <v>43175</v>
      </c>
      <c r="S9220" t="s">
        <v>43460</v>
      </c>
      <c r="T9220" t="s">
        <v>44856</v>
      </c>
      <c r="U9220" t="s">
        <v>52585</v>
      </c>
      <c r="W9220" t="s">
        <v>40884</v>
      </c>
      <c r="X9220" t="s">
        <v>43178</v>
      </c>
    </row>
    <row r="9221" spans="1:24">
      <c r="A9221">
        <f>HYPERLINK("https://www.philgeps.gov.ph/GEPSNONPILOT/Tender/SplashBidNoticeAbstractUI.aspx?menuIndex=3&amp;refID=7071173&amp;Result=3","7071173")</f>
        <v>0</v>
      </c>
      <c r="B9221" t="s">
        <v>2720</v>
      </c>
      <c r="C9221" t="s">
        <v>12203</v>
      </c>
      <c r="D9221" t="s">
        <v>17424</v>
      </c>
      <c r="E9221" t="s">
        <v>18583</v>
      </c>
      <c r="F9221" t="s">
        <v>30052</v>
      </c>
      <c r="G9221" t="s">
        <v>30059</v>
      </c>
      <c r="H9221" t="s">
        <v>15498</v>
      </c>
      <c r="I9221" t="s">
        <v>4119</v>
      </c>
      <c r="J9221" t="s">
        <v>35831</v>
      </c>
      <c r="K9221" t="s">
        <v>39017</v>
      </c>
      <c r="M9221" t="s">
        <v>42246</v>
      </c>
      <c r="N9221" t="s">
        <v>43166</v>
      </c>
      <c r="O9221" t="s">
        <v>43167</v>
      </c>
      <c r="P9221">
        <v>0</v>
      </c>
      <c r="Q9221">
        <v>1</v>
      </c>
      <c r="R9221" t="s">
        <v>43175</v>
      </c>
      <c r="S9221" t="s">
        <v>43460</v>
      </c>
      <c r="T9221" t="s">
        <v>44734</v>
      </c>
      <c r="U9221" t="s">
        <v>52586</v>
      </c>
      <c r="W9221" t="s">
        <v>42246</v>
      </c>
      <c r="X9221" t="s">
        <v>43178</v>
      </c>
    </row>
    <row r="9222" spans="1:24">
      <c r="A9222">
        <f>HYPERLINK("https://www.philgeps.gov.ph/GEPSNONPILOT/Tender/SplashBidNoticeAbstractUI.aspx?menuIndex=3&amp;refID=7072061&amp;Result=3","7072061")</f>
        <v>0</v>
      </c>
      <c r="B9222" t="s">
        <v>2721</v>
      </c>
      <c r="C9222" t="s">
        <v>12204</v>
      </c>
      <c r="D9222" t="s">
        <v>17458</v>
      </c>
      <c r="E9222" t="s">
        <v>25406</v>
      </c>
      <c r="F9222" t="s">
        <v>30052</v>
      </c>
      <c r="G9222" t="s">
        <v>30058</v>
      </c>
      <c r="H9222" t="s">
        <v>30069</v>
      </c>
      <c r="I9222" t="s">
        <v>30137</v>
      </c>
      <c r="J9222" t="s">
        <v>35832</v>
      </c>
      <c r="K9222" t="s">
        <v>39048</v>
      </c>
      <c r="M9222" t="s">
        <v>42247</v>
      </c>
      <c r="N9222" t="s">
        <v>43166</v>
      </c>
      <c r="O9222" t="s">
        <v>43167</v>
      </c>
      <c r="P9222">
        <v>0</v>
      </c>
      <c r="Q9222">
        <v>1</v>
      </c>
      <c r="R9222" t="s">
        <v>43175</v>
      </c>
      <c r="S9222" t="s">
        <v>43460</v>
      </c>
      <c r="T9222" t="s">
        <v>44873</v>
      </c>
      <c r="U9222" t="s">
        <v>52587</v>
      </c>
      <c r="W9222" t="s">
        <v>42247</v>
      </c>
      <c r="X9222" t="s">
        <v>43178</v>
      </c>
    </row>
    <row r="9223" spans="1:24">
      <c r="A9223">
        <f>HYPERLINK("https://www.philgeps.gov.ph/GEPSNONPILOT/Tender/SplashBidNoticeAbstractUI.aspx?menuIndex=3&amp;refID=7071610&amp;Result=3","7071610")</f>
        <v>0</v>
      </c>
      <c r="B9223" t="s">
        <v>2722</v>
      </c>
      <c r="C9223" t="s">
        <v>12205</v>
      </c>
      <c r="D9223" t="s">
        <v>17422</v>
      </c>
      <c r="E9223" t="s">
        <v>25407</v>
      </c>
      <c r="F9223" t="s">
        <v>30052</v>
      </c>
      <c r="G9223" t="s">
        <v>30058</v>
      </c>
      <c r="H9223" t="s">
        <v>15498</v>
      </c>
      <c r="I9223" t="s">
        <v>3736</v>
      </c>
      <c r="J9223" t="s">
        <v>35833</v>
      </c>
      <c r="K9223" t="s">
        <v>39029</v>
      </c>
      <c r="M9223" t="s">
        <v>42248</v>
      </c>
      <c r="N9223" t="s">
        <v>43166</v>
      </c>
      <c r="O9223" t="s">
        <v>43167</v>
      </c>
      <c r="P9223">
        <v>0</v>
      </c>
      <c r="Q9223">
        <v>0</v>
      </c>
      <c r="R9223" t="s">
        <v>43175</v>
      </c>
      <c r="S9223" t="s">
        <v>43460</v>
      </c>
      <c r="T9223" t="s">
        <v>45117</v>
      </c>
      <c r="U9223" t="s">
        <v>52588</v>
      </c>
      <c r="V9223" t="s">
        <v>57815</v>
      </c>
      <c r="W9223" t="s">
        <v>42248</v>
      </c>
      <c r="X9223" t="s">
        <v>43178</v>
      </c>
    </row>
    <row r="9224" spans="1:24">
      <c r="A9224">
        <f>HYPERLINK("https://www.philgeps.gov.ph/GEPSNONPILOT/Tender/SplashBidNoticeAbstractUI.aspx?menuIndex=3&amp;refID=7071961&amp;Result=3","7071961")</f>
        <v>0</v>
      </c>
      <c r="B9224" t="s">
        <v>1784</v>
      </c>
      <c r="C9224" t="s">
        <v>12206</v>
      </c>
      <c r="D9224" t="s">
        <v>17459</v>
      </c>
      <c r="E9224" t="s">
        <v>25408</v>
      </c>
      <c r="F9224" t="s">
        <v>30052</v>
      </c>
      <c r="G9224" t="s">
        <v>30058</v>
      </c>
      <c r="H9224" t="s">
        <v>15498</v>
      </c>
      <c r="I9224" t="s">
        <v>3606</v>
      </c>
      <c r="J9224" t="s">
        <v>35834</v>
      </c>
      <c r="K9224" t="s">
        <v>39029</v>
      </c>
      <c r="M9224" t="s">
        <v>41422</v>
      </c>
      <c r="N9224" t="s">
        <v>43166</v>
      </c>
      <c r="O9224" t="s">
        <v>43167</v>
      </c>
      <c r="P9224">
        <v>0</v>
      </c>
      <c r="Q9224">
        <v>4</v>
      </c>
      <c r="R9224" t="s">
        <v>43175</v>
      </c>
      <c r="S9224" t="s">
        <v>43460</v>
      </c>
      <c r="T9224" t="s">
        <v>44807</v>
      </c>
      <c r="U9224" t="s">
        <v>52589</v>
      </c>
      <c r="W9224" t="s">
        <v>41422</v>
      </c>
      <c r="X9224" t="s">
        <v>43178</v>
      </c>
    </row>
    <row r="9225" spans="1:24">
      <c r="A9225">
        <f>HYPERLINK("https://www.philgeps.gov.ph/GEPSNONPILOT/Tender/SplashBidNoticeAbstractUI.aspx?menuIndex=3&amp;refID=7072039&amp;Result=3","7072039")</f>
        <v>0</v>
      </c>
      <c r="B9225" t="s">
        <v>1267</v>
      </c>
      <c r="C9225" t="s">
        <v>12207</v>
      </c>
      <c r="D9225" t="s">
        <v>17415</v>
      </c>
      <c r="E9225" t="s">
        <v>25409</v>
      </c>
      <c r="F9225" t="s">
        <v>30052</v>
      </c>
      <c r="G9225" t="s">
        <v>30058</v>
      </c>
      <c r="H9225" t="s">
        <v>15498</v>
      </c>
      <c r="I9225" t="s">
        <v>30068</v>
      </c>
      <c r="J9225" t="s">
        <v>35835</v>
      </c>
      <c r="K9225" t="s">
        <v>39026</v>
      </c>
      <c r="M9225" t="s">
        <v>40625</v>
      </c>
      <c r="N9225" t="s">
        <v>43166</v>
      </c>
      <c r="O9225" t="s">
        <v>43167</v>
      </c>
      <c r="Q9225">
        <v>7</v>
      </c>
      <c r="R9225" t="s">
        <v>43175</v>
      </c>
      <c r="S9225" t="s">
        <v>43468</v>
      </c>
      <c r="T9225" t="s">
        <v>45118</v>
      </c>
      <c r="U9225" t="s">
        <v>52590</v>
      </c>
      <c r="V9225" t="s">
        <v>57816</v>
      </c>
      <c r="W9225" t="s">
        <v>40625</v>
      </c>
      <c r="X9225" t="s">
        <v>43178</v>
      </c>
    </row>
    <row r="9226" spans="1:24">
      <c r="A9226">
        <f>HYPERLINK("https://www.philgeps.gov.ph/GEPSNONPILOT/Tender/SplashBidNoticeAbstractUI.aspx?menuIndex=3&amp;refID=7071940&amp;Result=3","7071940")</f>
        <v>0</v>
      </c>
      <c r="B9226" t="s">
        <v>2723</v>
      </c>
      <c r="C9226" t="s">
        <v>12208</v>
      </c>
      <c r="D9226" t="s">
        <v>17488</v>
      </c>
      <c r="E9226" t="s">
        <v>17744</v>
      </c>
      <c r="F9226" t="s">
        <v>30052</v>
      </c>
      <c r="G9226" t="s">
        <v>30058</v>
      </c>
      <c r="H9226" t="s">
        <v>15498</v>
      </c>
      <c r="I9226" t="s">
        <v>3736</v>
      </c>
      <c r="J9226" t="s">
        <v>35836</v>
      </c>
      <c r="K9226" t="s">
        <v>39029</v>
      </c>
      <c r="M9226" t="s">
        <v>42249</v>
      </c>
      <c r="N9226" t="s">
        <v>43166</v>
      </c>
      <c r="O9226" t="s">
        <v>43167</v>
      </c>
      <c r="P9226">
        <v>0</v>
      </c>
      <c r="Q9226">
        <v>0</v>
      </c>
      <c r="R9226" t="s">
        <v>43175</v>
      </c>
      <c r="S9226" t="s">
        <v>43460</v>
      </c>
      <c r="T9226" t="s">
        <v>44734</v>
      </c>
      <c r="U9226" t="s">
        <v>52591</v>
      </c>
      <c r="W9226" t="s">
        <v>42249</v>
      </c>
      <c r="X9226" t="s">
        <v>43178</v>
      </c>
    </row>
    <row r="9227" spans="1:24">
      <c r="A9227">
        <f>HYPERLINK("https://www.philgeps.gov.ph/GEPSNONPILOT/Tender/SplashBidNoticeAbstractUI.aspx?menuIndex=3&amp;refID=7071932&amp;Result=3","7071932")</f>
        <v>0</v>
      </c>
      <c r="B9227" t="s">
        <v>138</v>
      </c>
      <c r="C9227" t="s">
        <v>12209</v>
      </c>
      <c r="D9227" t="s">
        <v>17507</v>
      </c>
      <c r="E9227" t="s">
        <v>25410</v>
      </c>
      <c r="F9227" t="s">
        <v>30052</v>
      </c>
      <c r="G9227" t="s">
        <v>30058</v>
      </c>
      <c r="H9227" t="s">
        <v>15498</v>
      </c>
      <c r="I9227" t="s">
        <v>30087</v>
      </c>
      <c r="J9227" t="s">
        <v>35837</v>
      </c>
      <c r="K9227" t="s">
        <v>39023</v>
      </c>
      <c r="M9227" t="s">
        <v>41707</v>
      </c>
      <c r="N9227" t="s">
        <v>43166</v>
      </c>
      <c r="O9227" t="s">
        <v>43167</v>
      </c>
      <c r="P9227">
        <v>0</v>
      </c>
      <c r="Q9227">
        <v>4</v>
      </c>
      <c r="R9227" t="s">
        <v>43175</v>
      </c>
      <c r="S9227" t="s">
        <v>43460</v>
      </c>
      <c r="T9227" t="s">
        <v>44725</v>
      </c>
      <c r="U9227" t="s">
        <v>52592</v>
      </c>
      <c r="W9227" t="s">
        <v>41707</v>
      </c>
      <c r="X9227" t="s">
        <v>43178</v>
      </c>
    </row>
    <row r="9228" spans="1:24">
      <c r="A9228">
        <f>HYPERLINK("https://www.philgeps.gov.ph/GEPSNONPILOT/Tender/SplashBidNoticeAbstractUI.aspx?menuIndex=3&amp;refID=7072108&amp;Result=3","7072108")</f>
        <v>0</v>
      </c>
      <c r="B9228" t="s">
        <v>2317</v>
      </c>
      <c r="C9228" t="s">
        <v>12210</v>
      </c>
      <c r="D9228" t="s">
        <v>17466</v>
      </c>
      <c r="E9228" t="s">
        <v>25411</v>
      </c>
      <c r="F9228" t="s">
        <v>30052</v>
      </c>
      <c r="G9228" t="s">
        <v>30058</v>
      </c>
      <c r="H9228" t="s">
        <v>15498</v>
      </c>
      <c r="I9228" t="s">
        <v>3736</v>
      </c>
      <c r="J9228" t="s">
        <v>35838</v>
      </c>
      <c r="K9228" t="s">
        <v>39026</v>
      </c>
      <c r="M9228" t="s">
        <v>41803</v>
      </c>
      <c r="N9228" t="s">
        <v>43166</v>
      </c>
      <c r="O9228" t="s">
        <v>43167</v>
      </c>
      <c r="P9228">
        <v>0</v>
      </c>
      <c r="Q9228">
        <v>3</v>
      </c>
      <c r="R9228" t="s">
        <v>43175</v>
      </c>
      <c r="S9228" t="s">
        <v>43460</v>
      </c>
      <c r="T9228" t="s">
        <v>44758</v>
      </c>
      <c r="U9228" t="s">
        <v>52593</v>
      </c>
      <c r="V9228" t="s">
        <v>57817</v>
      </c>
      <c r="W9228" t="s">
        <v>41803</v>
      </c>
      <c r="X9228" t="s">
        <v>43178</v>
      </c>
    </row>
    <row r="9229" spans="1:24">
      <c r="A9229">
        <f>HYPERLINK("https://www.philgeps.gov.ph/GEPSNONPILOT/Tender/SplashBidNoticeAbstractUI.aspx?menuIndex=3&amp;refID=7071740&amp;Result=3","7071740")</f>
        <v>0</v>
      </c>
      <c r="B9229" t="s">
        <v>2724</v>
      </c>
      <c r="C9229" t="s">
        <v>12211</v>
      </c>
      <c r="D9229" t="s">
        <v>17458</v>
      </c>
      <c r="E9229" t="s">
        <v>25412</v>
      </c>
      <c r="F9229" t="s">
        <v>30052</v>
      </c>
      <c r="G9229" t="s">
        <v>30061</v>
      </c>
      <c r="H9229" t="s">
        <v>15498</v>
      </c>
      <c r="I9229" t="s">
        <v>30105</v>
      </c>
      <c r="J9229" t="s">
        <v>35839</v>
      </c>
      <c r="K9229" t="s">
        <v>39034</v>
      </c>
      <c r="M9229" t="s">
        <v>42250</v>
      </c>
      <c r="N9229" t="s">
        <v>43166</v>
      </c>
      <c r="O9229" t="s">
        <v>43167</v>
      </c>
      <c r="P9229">
        <v>0</v>
      </c>
      <c r="Q9229">
        <v>2</v>
      </c>
      <c r="R9229" t="s">
        <v>43175</v>
      </c>
      <c r="S9229" t="s">
        <v>43460</v>
      </c>
      <c r="T9229" t="s">
        <v>44715</v>
      </c>
      <c r="U9229" t="s">
        <v>52594</v>
      </c>
      <c r="V9229" t="s">
        <v>57818</v>
      </c>
      <c r="W9229" t="s">
        <v>42250</v>
      </c>
      <c r="X9229" t="s">
        <v>43178</v>
      </c>
    </row>
    <row r="9230" spans="1:24">
      <c r="A9230">
        <f>HYPERLINK("https://www.philgeps.gov.ph/GEPSNONPILOT/Tender/SplashBidNoticeAbstractUI.aspx?menuIndex=3&amp;refID=7071972&amp;Result=3","7071972")</f>
        <v>0</v>
      </c>
      <c r="B9230" t="s">
        <v>2725</v>
      </c>
      <c r="C9230" t="s">
        <v>12212</v>
      </c>
      <c r="D9230" t="s">
        <v>17422</v>
      </c>
      <c r="E9230" t="s">
        <v>24213</v>
      </c>
      <c r="F9230" t="s">
        <v>30052</v>
      </c>
      <c r="G9230" t="s">
        <v>30058</v>
      </c>
      <c r="H9230" t="s">
        <v>30067</v>
      </c>
      <c r="I9230" t="s">
        <v>3693</v>
      </c>
      <c r="J9230" t="s">
        <v>30207</v>
      </c>
      <c r="K9230" t="s">
        <v>39019</v>
      </c>
      <c r="M9230" t="s">
        <v>42251</v>
      </c>
      <c r="N9230" t="s">
        <v>43166</v>
      </c>
      <c r="O9230" t="s">
        <v>43167</v>
      </c>
      <c r="P9230">
        <v>0</v>
      </c>
      <c r="Q9230">
        <v>0</v>
      </c>
      <c r="R9230" t="s">
        <v>43175</v>
      </c>
      <c r="S9230" t="s">
        <v>43460</v>
      </c>
      <c r="T9230" t="s">
        <v>44717</v>
      </c>
      <c r="U9230" t="s">
        <v>52595</v>
      </c>
      <c r="V9230" t="s">
        <v>57819</v>
      </c>
      <c r="W9230" t="s">
        <v>42251</v>
      </c>
      <c r="X9230" t="s">
        <v>43178</v>
      </c>
    </row>
    <row r="9231" spans="1:24">
      <c r="A9231">
        <f>HYPERLINK("https://www.philgeps.gov.ph/GEPSNONPILOT/Tender/SplashBidNoticeAbstractUI.aspx?menuIndex=3&amp;refID=7072184&amp;Result=3","7072184")</f>
        <v>0</v>
      </c>
      <c r="B9231" t="s">
        <v>29</v>
      </c>
      <c r="C9231" t="s">
        <v>12213</v>
      </c>
      <c r="D9231" t="s">
        <v>17418</v>
      </c>
      <c r="E9231" t="s">
        <v>25413</v>
      </c>
      <c r="F9231" t="s">
        <v>30052</v>
      </c>
      <c r="G9231" t="s">
        <v>30058</v>
      </c>
      <c r="H9231" t="s">
        <v>30067</v>
      </c>
      <c r="I9231" t="s">
        <v>3693</v>
      </c>
      <c r="J9231" t="s">
        <v>35840</v>
      </c>
      <c r="K9231" t="s">
        <v>39204</v>
      </c>
      <c r="M9231" t="s">
        <v>39319</v>
      </c>
      <c r="N9231" t="s">
        <v>43166</v>
      </c>
      <c r="O9231" t="s">
        <v>43167</v>
      </c>
      <c r="P9231">
        <v>0</v>
      </c>
      <c r="Q9231">
        <v>0</v>
      </c>
      <c r="R9231" t="s">
        <v>43175</v>
      </c>
      <c r="S9231" t="s">
        <v>43460</v>
      </c>
      <c r="T9231" t="s">
        <v>45089</v>
      </c>
      <c r="U9231" t="s">
        <v>52596</v>
      </c>
      <c r="W9231" t="s">
        <v>39319</v>
      </c>
      <c r="X9231" t="s">
        <v>43178</v>
      </c>
    </row>
    <row r="9232" spans="1:24">
      <c r="A9232">
        <f>HYPERLINK("https://www.philgeps.gov.ph/GEPSNONPILOT/Tender/SplashBidNoticeAbstractUI.aspx?menuIndex=3&amp;refID=7071957&amp;Result=3","7071957")</f>
        <v>0</v>
      </c>
      <c r="B9232" t="s">
        <v>138</v>
      </c>
      <c r="C9232" t="s">
        <v>12214</v>
      </c>
      <c r="D9232" t="s">
        <v>17422</v>
      </c>
      <c r="E9232" t="s">
        <v>25414</v>
      </c>
      <c r="F9232" t="s">
        <v>30052</v>
      </c>
      <c r="G9232" t="s">
        <v>30058</v>
      </c>
      <c r="H9232" t="s">
        <v>30069</v>
      </c>
      <c r="I9232" t="s">
        <v>8323</v>
      </c>
      <c r="J9232" t="s">
        <v>35841</v>
      </c>
      <c r="K9232" t="s">
        <v>39031</v>
      </c>
      <c r="M9232" t="s">
        <v>41707</v>
      </c>
      <c r="N9232" t="s">
        <v>43166</v>
      </c>
      <c r="O9232" t="s">
        <v>43167</v>
      </c>
      <c r="P9232">
        <v>0</v>
      </c>
      <c r="Q9232">
        <v>11</v>
      </c>
      <c r="R9232" t="s">
        <v>43175</v>
      </c>
      <c r="S9232" t="s">
        <v>43460</v>
      </c>
      <c r="T9232" t="s">
        <v>44725</v>
      </c>
      <c r="U9232" t="s">
        <v>52597</v>
      </c>
      <c r="W9232" t="s">
        <v>41707</v>
      </c>
      <c r="X9232" t="s">
        <v>43178</v>
      </c>
    </row>
    <row r="9233" spans="1:24">
      <c r="A9233">
        <f>HYPERLINK("https://www.philgeps.gov.ph/GEPSNONPILOT/Tender/SplashBidNoticeAbstractUI.aspx?menuIndex=3&amp;refID=7071918&amp;Result=3","7071918")</f>
        <v>0</v>
      </c>
      <c r="B9233" t="s">
        <v>290</v>
      </c>
      <c r="C9233" t="s">
        <v>12215</v>
      </c>
      <c r="D9233" t="s">
        <v>17481</v>
      </c>
      <c r="E9233" t="s">
        <v>25415</v>
      </c>
      <c r="F9233" t="s">
        <v>30052</v>
      </c>
      <c r="G9233" t="s">
        <v>30058</v>
      </c>
      <c r="H9233" t="s">
        <v>15498</v>
      </c>
      <c r="I9233" t="s">
        <v>30130</v>
      </c>
      <c r="J9233" t="s">
        <v>30239</v>
      </c>
      <c r="K9233" t="s">
        <v>39046</v>
      </c>
      <c r="M9233" t="s">
        <v>39585</v>
      </c>
      <c r="N9233" t="s">
        <v>43166</v>
      </c>
      <c r="O9233" t="s">
        <v>43167</v>
      </c>
      <c r="P9233">
        <v>0</v>
      </c>
      <c r="Q9233">
        <v>12</v>
      </c>
      <c r="R9233" t="s">
        <v>43175</v>
      </c>
      <c r="S9233" t="s">
        <v>43460</v>
      </c>
      <c r="T9233" t="s">
        <v>44758</v>
      </c>
      <c r="U9233" t="s">
        <v>52598</v>
      </c>
      <c r="W9233" t="s">
        <v>39585</v>
      </c>
      <c r="X9233" t="s">
        <v>43178</v>
      </c>
    </row>
    <row r="9234" spans="1:24">
      <c r="A9234">
        <f>HYPERLINK("https://www.philgeps.gov.ph/GEPSNONPILOT/Tender/SplashBidNoticeAbstractUI.aspx?menuIndex=3&amp;refID=7071839&amp;Result=3","7071839")</f>
        <v>0</v>
      </c>
      <c r="B9234" t="s">
        <v>306</v>
      </c>
      <c r="C9234" t="s">
        <v>12216</v>
      </c>
      <c r="D9234" t="s">
        <v>17415</v>
      </c>
      <c r="E9234" t="s">
        <v>25416</v>
      </c>
      <c r="F9234" t="s">
        <v>30052</v>
      </c>
      <c r="G9234" t="s">
        <v>30058</v>
      </c>
      <c r="H9234" t="s">
        <v>15498</v>
      </c>
      <c r="I9234" t="s">
        <v>30084</v>
      </c>
      <c r="J9234" t="s">
        <v>35842</v>
      </c>
      <c r="K9234" t="s">
        <v>39046</v>
      </c>
      <c r="M9234" t="s">
        <v>39601</v>
      </c>
      <c r="N9234" t="s">
        <v>43166</v>
      </c>
      <c r="O9234" t="s">
        <v>43167</v>
      </c>
      <c r="P9234">
        <v>0</v>
      </c>
      <c r="Q9234">
        <v>8</v>
      </c>
      <c r="R9234" t="s">
        <v>43175</v>
      </c>
      <c r="S9234" t="s">
        <v>43460</v>
      </c>
      <c r="T9234" t="s">
        <v>44815</v>
      </c>
      <c r="U9234" t="s">
        <v>52599</v>
      </c>
      <c r="W9234" t="s">
        <v>39601</v>
      </c>
      <c r="X9234" t="s">
        <v>43178</v>
      </c>
    </row>
    <row r="9235" spans="1:24">
      <c r="A9235">
        <f>HYPERLINK("https://www.philgeps.gov.ph/GEPSNONPILOT/Tender/SplashBidNoticeAbstractUI.aspx?menuIndex=3&amp;refID=7072120&amp;Result=3","7072120")</f>
        <v>0</v>
      </c>
      <c r="B9235" t="s">
        <v>2044</v>
      </c>
      <c r="C9235" t="s">
        <v>12217</v>
      </c>
      <c r="D9235" t="s">
        <v>17427</v>
      </c>
      <c r="E9235" t="s">
        <v>25417</v>
      </c>
      <c r="F9235" t="s">
        <v>30052</v>
      </c>
      <c r="G9235" t="s">
        <v>30059</v>
      </c>
      <c r="H9235" t="s">
        <v>15498</v>
      </c>
      <c r="I9235" t="s">
        <v>30137</v>
      </c>
      <c r="J9235" t="s">
        <v>30605</v>
      </c>
      <c r="K9235" t="s">
        <v>39019</v>
      </c>
      <c r="M9235" t="s">
        <v>41496</v>
      </c>
      <c r="N9235" t="s">
        <v>43166</v>
      </c>
      <c r="O9235" t="s">
        <v>43167</v>
      </c>
      <c r="P9235">
        <v>0</v>
      </c>
      <c r="Q9235">
        <v>1</v>
      </c>
      <c r="R9235" t="s">
        <v>43175</v>
      </c>
      <c r="S9235" t="s">
        <v>43460</v>
      </c>
      <c r="T9235" t="s">
        <v>44717</v>
      </c>
      <c r="U9235" t="s">
        <v>52600</v>
      </c>
      <c r="W9235" t="s">
        <v>58660</v>
      </c>
      <c r="X9235" t="s">
        <v>43178</v>
      </c>
    </row>
    <row r="9236" spans="1:24">
      <c r="A9236">
        <f>HYPERLINK("https://www.philgeps.gov.ph/GEPSNONPILOT/Tender/SplashBidNoticeAbstractUI.aspx?menuIndex=3&amp;refID=7072477&amp;Result=3","7072477")</f>
        <v>0</v>
      </c>
      <c r="B9236" t="s">
        <v>1723</v>
      </c>
      <c r="C9236" t="s">
        <v>12218</v>
      </c>
      <c r="D9236" t="s">
        <v>17458</v>
      </c>
      <c r="E9236" t="s">
        <v>25418</v>
      </c>
      <c r="F9236" t="s">
        <v>30052</v>
      </c>
      <c r="G9236" t="s">
        <v>30058</v>
      </c>
      <c r="H9236" t="s">
        <v>30067</v>
      </c>
      <c r="I9236" t="s">
        <v>3693</v>
      </c>
      <c r="J9236" t="s">
        <v>30252</v>
      </c>
      <c r="K9236" t="s">
        <v>39023</v>
      </c>
      <c r="L9236" t="s">
        <v>1723</v>
      </c>
      <c r="M9236" t="s">
        <v>41139</v>
      </c>
      <c r="N9236" t="s">
        <v>43166</v>
      </c>
      <c r="O9236" t="s">
        <v>43167</v>
      </c>
      <c r="P9236">
        <v>0</v>
      </c>
      <c r="Q9236">
        <v>0</v>
      </c>
      <c r="R9236" t="s">
        <v>43175</v>
      </c>
      <c r="S9236" t="s">
        <v>43460</v>
      </c>
      <c r="T9236" t="s">
        <v>44705</v>
      </c>
      <c r="U9236" t="s">
        <v>52601</v>
      </c>
      <c r="V9236" t="s">
        <v>57381</v>
      </c>
      <c r="W9236" t="s">
        <v>41139</v>
      </c>
      <c r="X9236" t="s">
        <v>43177</v>
      </c>
    </row>
    <row r="9237" spans="1:24">
      <c r="A9237">
        <f>HYPERLINK("https://www.philgeps.gov.ph/GEPSNONPILOT/Tender/SplashBidNoticeAbstractUI.aspx?menuIndex=3&amp;refID=7072385&amp;Result=3","7072385")</f>
        <v>0</v>
      </c>
      <c r="B9237" t="s">
        <v>1267</v>
      </c>
      <c r="C9237" t="s">
        <v>12219</v>
      </c>
      <c r="D9237" t="s">
        <v>17415</v>
      </c>
      <c r="E9237" t="s">
        <v>25419</v>
      </c>
      <c r="F9237" t="s">
        <v>30052</v>
      </c>
      <c r="G9237" t="s">
        <v>30058</v>
      </c>
      <c r="H9237" t="s">
        <v>15498</v>
      </c>
      <c r="I9237" t="s">
        <v>30068</v>
      </c>
      <c r="J9237" t="s">
        <v>35835</v>
      </c>
      <c r="K9237" t="s">
        <v>39026</v>
      </c>
      <c r="M9237" t="s">
        <v>40625</v>
      </c>
      <c r="N9237" t="s">
        <v>43166</v>
      </c>
      <c r="O9237" t="s">
        <v>43167</v>
      </c>
      <c r="Q9237">
        <v>2</v>
      </c>
      <c r="R9237" t="s">
        <v>43175</v>
      </c>
      <c r="S9237" t="s">
        <v>43469</v>
      </c>
      <c r="T9237" t="s">
        <v>45118</v>
      </c>
      <c r="U9237" t="s">
        <v>52602</v>
      </c>
      <c r="V9237" t="s">
        <v>57820</v>
      </c>
      <c r="W9237" t="s">
        <v>40625</v>
      </c>
      <c r="X9237" t="s">
        <v>43177</v>
      </c>
    </row>
    <row r="9238" spans="1:24">
      <c r="A9238">
        <f>HYPERLINK("https://www.philgeps.gov.ph/GEPSNONPILOT/Tender/SplashBidNoticeAbstractUI.aspx?menuIndex=3&amp;refID=7072394&amp;Result=3","7072394")</f>
        <v>0</v>
      </c>
      <c r="B9238" t="s">
        <v>1267</v>
      </c>
      <c r="C9238" t="s">
        <v>12207</v>
      </c>
      <c r="D9238" t="s">
        <v>17415</v>
      </c>
      <c r="E9238" t="s">
        <v>25420</v>
      </c>
      <c r="F9238" t="s">
        <v>30052</v>
      </c>
      <c r="G9238" t="s">
        <v>30058</v>
      </c>
      <c r="H9238" t="s">
        <v>15498</v>
      </c>
      <c r="I9238" t="s">
        <v>30068</v>
      </c>
      <c r="J9238" t="s">
        <v>35835</v>
      </c>
      <c r="K9238" t="s">
        <v>39026</v>
      </c>
      <c r="M9238" t="s">
        <v>40625</v>
      </c>
      <c r="N9238" t="s">
        <v>43166</v>
      </c>
      <c r="O9238" t="s">
        <v>43167</v>
      </c>
      <c r="Q9238">
        <v>3</v>
      </c>
      <c r="R9238" t="s">
        <v>43175</v>
      </c>
      <c r="S9238" t="s">
        <v>43470</v>
      </c>
      <c r="T9238" t="s">
        <v>45118</v>
      </c>
      <c r="U9238" t="s">
        <v>52603</v>
      </c>
      <c r="V9238" t="s">
        <v>57820</v>
      </c>
      <c r="W9238" t="s">
        <v>40625</v>
      </c>
      <c r="X9238" t="s">
        <v>43177</v>
      </c>
    </row>
    <row r="9239" spans="1:24">
      <c r="A9239">
        <f>HYPERLINK("https://www.philgeps.gov.ph/GEPSNONPILOT/Tender/SplashBidNoticeAbstractUI.aspx?menuIndex=3&amp;refID=7072527&amp;Result=3","7072527")</f>
        <v>0</v>
      </c>
      <c r="B9239" t="s">
        <v>354</v>
      </c>
      <c r="C9239" t="s">
        <v>12220</v>
      </c>
      <c r="D9239" t="s">
        <v>17437</v>
      </c>
      <c r="E9239" t="s">
        <v>25421</v>
      </c>
      <c r="F9239" t="s">
        <v>30052</v>
      </c>
      <c r="G9239" t="s">
        <v>30058</v>
      </c>
      <c r="H9239" t="s">
        <v>15498</v>
      </c>
      <c r="I9239" t="s">
        <v>3606</v>
      </c>
      <c r="J9239" t="s">
        <v>35843</v>
      </c>
      <c r="K9239" t="s">
        <v>39034</v>
      </c>
      <c r="M9239" t="s">
        <v>39651</v>
      </c>
      <c r="N9239" t="s">
        <v>43166</v>
      </c>
      <c r="O9239" t="s">
        <v>43167</v>
      </c>
      <c r="P9239">
        <v>0</v>
      </c>
      <c r="Q9239">
        <v>11</v>
      </c>
      <c r="R9239" t="s">
        <v>43175</v>
      </c>
      <c r="S9239" t="s">
        <v>43460</v>
      </c>
      <c r="T9239" t="s">
        <v>44758</v>
      </c>
      <c r="U9239" t="s">
        <v>52604</v>
      </c>
      <c r="W9239" t="s">
        <v>39651</v>
      </c>
      <c r="X9239" t="s">
        <v>43177</v>
      </c>
    </row>
    <row r="9240" spans="1:24">
      <c r="A9240">
        <f>HYPERLINK("https://www.philgeps.gov.ph/GEPSNONPILOT/Tender/SplashBidNoticeAbstractUI.aspx?menuIndex=3&amp;refID=7072378&amp;Result=3","7072378")</f>
        <v>0</v>
      </c>
      <c r="B9240" t="s">
        <v>974</v>
      </c>
      <c r="C9240" t="s">
        <v>12221</v>
      </c>
      <c r="D9240" t="s">
        <v>17453</v>
      </c>
      <c r="E9240" t="s">
        <v>25422</v>
      </c>
      <c r="F9240" t="s">
        <v>30052</v>
      </c>
      <c r="G9240" t="s">
        <v>30058</v>
      </c>
      <c r="H9240" t="s">
        <v>30067</v>
      </c>
      <c r="I9240" t="s">
        <v>3693</v>
      </c>
      <c r="J9240" t="s">
        <v>35844</v>
      </c>
      <c r="K9240" t="s">
        <v>39020</v>
      </c>
      <c r="M9240" t="s">
        <v>42220</v>
      </c>
      <c r="N9240" t="s">
        <v>43166</v>
      </c>
      <c r="O9240" t="s">
        <v>43167</v>
      </c>
      <c r="P9240">
        <v>0</v>
      </c>
      <c r="Q9240">
        <v>1</v>
      </c>
      <c r="R9240" t="s">
        <v>43175</v>
      </c>
      <c r="S9240" t="s">
        <v>43460</v>
      </c>
      <c r="T9240" t="s">
        <v>44853</v>
      </c>
      <c r="U9240" t="s">
        <v>52508</v>
      </c>
      <c r="W9240" t="s">
        <v>42220</v>
      </c>
      <c r="X9240" t="s">
        <v>43177</v>
      </c>
    </row>
    <row r="9241" spans="1:24">
      <c r="A9241">
        <f>HYPERLINK("https://www.philgeps.gov.ph/GEPSNONPILOT/Tender/SplashBidNoticeAbstractUI.aspx?menuIndex=3&amp;refID=7072486&amp;Result=3","7072486")</f>
        <v>0</v>
      </c>
      <c r="B9241" t="s">
        <v>1723</v>
      </c>
      <c r="C9241" t="s">
        <v>12222</v>
      </c>
      <c r="D9241" t="s">
        <v>17458</v>
      </c>
      <c r="E9241" t="s">
        <v>25423</v>
      </c>
      <c r="F9241" t="s">
        <v>30052</v>
      </c>
      <c r="G9241" t="s">
        <v>30058</v>
      </c>
      <c r="H9241" t="s">
        <v>30067</v>
      </c>
      <c r="I9241" t="s">
        <v>3693</v>
      </c>
      <c r="J9241" t="s">
        <v>30252</v>
      </c>
      <c r="K9241" t="s">
        <v>39046</v>
      </c>
      <c r="L9241" t="s">
        <v>1723</v>
      </c>
      <c r="M9241" t="s">
        <v>41139</v>
      </c>
      <c r="N9241" t="s">
        <v>43166</v>
      </c>
      <c r="O9241" t="s">
        <v>43167</v>
      </c>
      <c r="P9241">
        <v>0</v>
      </c>
      <c r="Q9241">
        <v>0</v>
      </c>
      <c r="R9241" t="s">
        <v>43175</v>
      </c>
      <c r="S9241" t="s">
        <v>43460</v>
      </c>
      <c r="T9241" t="s">
        <v>44705</v>
      </c>
      <c r="U9241" t="s">
        <v>49243</v>
      </c>
      <c r="V9241" t="s">
        <v>57381</v>
      </c>
      <c r="W9241" t="s">
        <v>41139</v>
      </c>
      <c r="X9241" t="s">
        <v>43177</v>
      </c>
    </row>
    <row r="9242" spans="1:24">
      <c r="A9242">
        <f>HYPERLINK("https://www.philgeps.gov.ph/GEPSNONPILOT/Tender/SplashBidNoticeAbstractUI.aspx?menuIndex=3&amp;refID=7072364&amp;Result=3","7072364")</f>
        <v>0</v>
      </c>
      <c r="B9242" t="s">
        <v>1112</v>
      </c>
      <c r="C9242" t="s">
        <v>12223</v>
      </c>
      <c r="D9242" t="s">
        <v>17479</v>
      </c>
      <c r="E9242" t="s">
        <v>25424</v>
      </c>
      <c r="F9242" t="s">
        <v>30052</v>
      </c>
      <c r="G9242" t="s">
        <v>30058</v>
      </c>
      <c r="H9242" t="s">
        <v>15498</v>
      </c>
      <c r="I9242" t="s">
        <v>30098</v>
      </c>
      <c r="J9242" t="s">
        <v>30594</v>
      </c>
      <c r="K9242" t="s">
        <v>39037</v>
      </c>
      <c r="M9242" t="s">
        <v>40452</v>
      </c>
      <c r="N9242" t="s">
        <v>43166</v>
      </c>
      <c r="O9242" t="s">
        <v>43167</v>
      </c>
      <c r="P9242">
        <v>0</v>
      </c>
      <c r="Q9242">
        <v>0</v>
      </c>
      <c r="R9242" t="s">
        <v>43175</v>
      </c>
      <c r="S9242" t="s">
        <v>43460</v>
      </c>
      <c r="T9242" t="s">
        <v>44788</v>
      </c>
      <c r="U9242" t="s">
        <v>52605</v>
      </c>
      <c r="V9242" t="s">
        <v>57821</v>
      </c>
      <c r="W9242" t="s">
        <v>40452</v>
      </c>
      <c r="X9242" t="s">
        <v>43177</v>
      </c>
    </row>
    <row r="9243" spans="1:24">
      <c r="A9243">
        <f>HYPERLINK("https://www.philgeps.gov.ph/GEPSNONPILOT/Tender/SplashBidNoticeAbstractUI.aspx?menuIndex=3&amp;refID=7072359&amp;Result=3","7072359")</f>
        <v>0</v>
      </c>
      <c r="B9243" t="s">
        <v>1267</v>
      </c>
      <c r="C9243" t="s">
        <v>12224</v>
      </c>
      <c r="D9243" t="s">
        <v>17415</v>
      </c>
      <c r="E9243" t="s">
        <v>25425</v>
      </c>
      <c r="F9243" t="s">
        <v>30052</v>
      </c>
      <c r="G9243" t="s">
        <v>30058</v>
      </c>
      <c r="H9243" t="s">
        <v>15498</v>
      </c>
      <c r="I9243" t="s">
        <v>30068</v>
      </c>
      <c r="J9243" t="s">
        <v>35835</v>
      </c>
      <c r="K9243" t="s">
        <v>39026</v>
      </c>
      <c r="M9243" t="s">
        <v>40625</v>
      </c>
      <c r="N9243" t="s">
        <v>43166</v>
      </c>
      <c r="O9243" t="s">
        <v>43167</v>
      </c>
      <c r="Q9243">
        <v>5</v>
      </c>
      <c r="R9243" t="s">
        <v>43175</v>
      </c>
      <c r="S9243" t="s">
        <v>43471</v>
      </c>
      <c r="T9243" t="s">
        <v>45118</v>
      </c>
      <c r="U9243" t="s">
        <v>52606</v>
      </c>
      <c r="V9243" t="s">
        <v>57820</v>
      </c>
      <c r="W9243" t="s">
        <v>40625</v>
      </c>
      <c r="X9243" t="s">
        <v>43177</v>
      </c>
    </row>
    <row r="9244" spans="1:24">
      <c r="A9244">
        <f>HYPERLINK("https://www.philgeps.gov.ph/GEPSNONPILOT/Tender/SplashBidNoticeAbstractUI.aspx?menuIndex=3&amp;refID=7072723&amp;Result=3","7072723")</f>
        <v>0</v>
      </c>
      <c r="B9244" t="s">
        <v>2726</v>
      </c>
      <c r="C9244" t="s">
        <v>12225</v>
      </c>
      <c r="D9244" t="s">
        <v>17466</v>
      </c>
      <c r="E9244" t="s">
        <v>22558</v>
      </c>
      <c r="F9244" t="s">
        <v>30052</v>
      </c>
      <c r="G9244" t="s">
        <v>30058</v>
      </c>
      <c r="H9244" t="s">
        <v>15498</v>
      </c>
      <c r="I9244" t="s">
        <v>4119</v>
      </c>
      <c r="J9244" t="s">
        <v>32582</v>
      </c>
      <c r="K9244" t="s">
        <v>39039</v>
      </c>
      <c r="M9244" t="s">
        <v>42252</v>
      </c>
      <c r="N9244" t="s">
        <v>43166</v>
      </c>
      <c r="O9244" t="s">
        <v>43167</v>
      </c>
      <c r="P9244">
        <v>0</v>
      </c>
      <c r="Q9244">
        <v>3</v>
      </c>
      <c r="R9244" t="s">
        <v>43175</v>
      </c>
      <c r="S9244" t="s">
        <v>43460</v>
      </c>
      <c r="T9244" t="s">
        <v>44926</v>
      </c>
      <c r="U9244" t="s">
        <v>52607</v>
      </c>
      <c r="W9244" t="s">
        <v>42252</v>
      </c>
      <c r="X9244" t="s">
        <v>43177</v>
      </c>
    </row>
    <row r="9245" spans="1:24">
      <c r="A9245">
        <f>HYPERLINK("https://www.philgeps.gov.ph/GEPSNONPILOT/Tender/SplashBidNoticeAbstractUI.aspx?menuIndex=3&amp;refID=7072704&amp;Result=3","7072704")</f>
        <v>0</v>
      </c>
      <c r="B9245" t="s">
        <v>2029</v>
      </c>
      <c r="C9245" t="s">
        <v>12226</v>
      </c>
      <c r="D9245" t="s">
        <v>17492</v>
      </c>
      <c r="E9245" t="s">
        <v>25319</v>
      </c>
      <c r="F9245" t="s">
        <v>30052</v>
      </c>
      <c r="G9245" t="s">
        <v>30058</v>
      </c>
      <c r="H9245" t="s">
        <v>30067</v>
      </c>
      <c r="I9245" t="s">
        <v>3693</v>
      </c>
      <c r="J9245" t="s">
        <v>35845</v>
      </c>
      <c r="K9245" t="s">
        <v>39104</v>
      </c>
      <c r="M9245" t="s">
        <v>41477</v>
      </c>
      <c r="N9245" t="s">
        <v>43166</v>
      </c>
      <c r="O9245" t="s">
        <v>43167</v>
      </c>
      <c r="P9245">
        <v>0</v>
      </c>
      <c r="Q9245">
        <v>0</v>
      </c>
      <c r="R9245" t="s">
        <v>43175</v>
      </c>
      <c r="S9245" t="s">
        <v>43460</v>
      </c>
      <c r="T9245" t="s">
        <v>44716</v>
      </c>
      <c r="U9245" t="s">
        <v>52608</v>
      </c>
      <c r="W9245" t="s">
        <v>41477</v>
      </c>
      <c r="X9245" t="s">
        <v>43177</v>
      </c>
    </row>
    <row r="9246" spans="1:24">
      <c r="A9246">
        <f>HYPERLINK("https://www.philgeps.gov.ph/GEPSNONPILOT/Tender/SplashBidNoticeAbstractUI.aspx?menuIndex=3&amp;refID=7072409&amp;Result=3","7072409")</f>
        <v>0</v>
      </c>
      <c r="B9246" t="s">
        <v>1267</v>
      </c>
      <c r="C9246" t="s">
        <v>12227</v>
      </c>
      <c r="D9246" t="s">
        <v>17415</v>
      </c>
      <c r="E9246" t="s">
        <v>25426</v>
      </c>
      <c r="F9246" t="s">
        <v>30052</v>
      </c>
      <c r="G9246" t="s">
        <v>30058</v>
      </c>
      <c r="H9246" t="s">
        <v>15498</v>
      </c>
      <c r="I9246" t="s">
        <v>30068</v>
      </c>
      <c r="J9246" t="s">
        <v>35835</v>
      </c>
      <c r="K9246" t="s">
        <v>39026</v>
      </c>
      <c r="M9246" t="s">
        <v>40625</v>
      </c>
      <c r="N9246" t="s">
        <v>43166</v>
      </c>
      <c r="O9246" t="s">
        <v>43167</v>
      </c>
      <c r="Q9246">
        <v>3</v>
      </c>
      <c r="R9246" t="s">
        <v>43175</v>
      </c>
      <c r="S9246" t="s">
        <v>43472</v>
      </c>
      <c r="T9246" t="s">
        <v>45118</v>
      </c>
      <c r="U9246" t="s">
        <v>52609</v>
      </c>
      <c r="V9246" t="s">
        <v>57822</v>
      </c>
      <c r="W9246" t="s">
        <v>40625</v>
      </c>
      <c r="X9246" t="s">
        <v>43177</v>
      </c>
    </row>
    <row r="9247" spans="1:24">
      <c r="A9247">
        <f>HYPERLINK("https://www.philgeps.gov.ph/GEPSNONPILOT/Tender/SplashBidNoticeAbstractUI.aspx?menuIndex=3&amp;refID=7072654&amp;Result=3","7072654")</f>
        <v>0</v>
      </c>
      <c r="B9247" t="s">
        <v>2440</v>
      </c>
      <c r="C9247" t="s">
        <v>12228</v>
      </c>
      <c r="D9247" t="s">
        <v>17444</v>
      </c>
      <c r="E9247" t="s">
        <v>25427</v>
      </c>
      <c r="F9247" t="s">
        <v>30052</v>
      </c>
      <c r="G9247" t="s">
        <v>30058</v>
      </c>
      <c r="H9247" t="s">
        <v>30067</v>
      </c>
      <c r="I9247" t="s">
        <v>3693</v>
      </c>
      <c r="J9247" t="s">
        <v>35846</v>
      </c>
      <c r="K9247" t="s">
        <v>39026</v>
      </c>
      <c r="M9247" t="s">
        <v>41939</v>
      </c>
      <c r="N9247" t="s">
        <v>43166</v>
      </c>
      <c r="O9247" t="s">
        <v>43167</v>
      </c>
      <c r="P9247">
        <v>0</v>
      </c>
      <c r="Q9247">
        <v>1</v>
      </c>
      <c r="R9247" t="s">
        <v>43175</v>
      </c>
      <c r="S9247" t="s">
        <v>43460</v>
      </c>
      <c r="T9247" t="s">
        <v>44856</v>
      </c>
      <c r="U9247" t="s">
        <v>52610</v>
      </c>
      <c r="W9247" t="s">
        <v>41939</v>
      </c>
      <c r="X9247" t="s">
        <v>43177</v>
      </c>
    </row>
    <row r="9248" spans="1:24">
      <c r="A9248">
        <f>HYPERLINK("https://www.philgeps.gov.ph/GEPSNONPILOT/Tender/SplashBidNoticeAbstractUI.aspx?menuIndex=3&amp;refID=7072514&amp;Result=3","7072514")</f>
        <v>0</v>
      </c>
      <c r="B9248" t="s">
        <v>1073</v>
      </c>
      <c r="C9248" t="s">
        <v>12229</v>
      </c>
      <c r="D9248" t="s">
        <v>17415</v>
      </c>
      <c r="E9248" t="s">
        <v>18840</v>
      </c>
      <c r="F9248" t="s">
        <v>30052</v>
      </c>
      <c r="G9248" t="s">
        <v>30058</v>
      </c>
      <c r="H9248" t="s">
        <v>30069</v>
      </c>
      <c r="I9248" t="s">
        <v>30072</v>
      </c>
      <c r="J9248" t="s">
        <v>30212</v>
      </c>
      <c r="K9248" t="s">
        <v>39125</v>
      </c>
      <c r="M9248" t="s">
        <v>40408</v>
      </c>
      <c r="N9248" t="s">
        <v>43166</v>
      </c>
      <c r="O9248" t="s">
        <v>43167</v>
      </c>
      <c r="P9248">
        <v>0</v>
      </c>
      <c r="Q9248">
        <v>9</v>
      </c>
      <c r="R9248" t="s">
        <v>43175</v>
      </c>
      <c r="S9248" t="s">
        <v>43460</v>
      </c>
      <c r="T9248" t="s">
        <v>44996</v>
      </c>
      <c r="U9248" t="s">
        <v>52611</v>
      </c>
      <c r="V9248" t="s">
        <v>57823</v>
      </c>
      <c r="W9248" t="s">
        <v>40408</v>
      </c>
      <c r="X9248" t="s">
        <v>43177</v>
      </c>
    </row>
    <row r="9249" spans="1:24">
      <c r="A9249">
        <f>HYPERLINK("https://www.philgeps.gov.ph/GEPSNONPILOT/Tender/SplashBidNoticeAbstractUI.aspx?menuIndex=3&amp;refID=7072375&amp;Result=3","7072375")</f>
        <v>0</v>
      </c>
      <c r="B9249" t="s">
        <v>1267</v>
      </c>
      <c r="C9249" t="s">
        <v>12224</v>
      </c>
      <c r="D9249" t="s">
        <v>17415</v>
      </c>
      <c r="E9249" t="s">
        <v>25425</v>
      </c>
      <c r="F9249" t="s">
        <v>30052</v>
      </c>
      <c r="G9249" t="s">
        <v>30058</v>
      </c>
      <c r="H9249" t="s">
        <v>15498</v>
      </c>
      <c r="I9249" t="s">
        <v>30068</v>
      </c>
      <c r="J9249" t="s">
        <v>35835</v>
      </c>
      <c r="K9249" t="s">
        <v>39026</v>
      </c>
      <c r="M9249" t="s">
        <v>40625</v>
      </c>
      <c r="N9249" t="s">
        <v>43166</v>
      </c>
      <c r="O9249" t="s">
        <v>43167</v>
      </c>
      <c r="Q9249">
        <v>3</v>
      </c>
      <c r="R9249" t="s">
        <v>43175</v>
      </c>
      <c r="S9249" t="s">
        <v>43473</v>
      </c>
      <c r="T9249" t="s">
        <v>45118</v>
      </c>
      <c r="U9249" t="s">
        <v>52612</v>
      </c>
      <c r="V9249" t="s">
        <v>57820</v>
      </c>
      <c r="W9249" t="s">
        <v>40625</v>
      </c>
      <c r="X9249" t="s">
        <v>43177</v>
      </c>
    </row>
    <row r="9250" spans="1:24">
      <c r="A9250">
        <f>HYPERLINK("https://www.philgeps.gov.ph/GEPSNONPILOT/Tender/SplashBidNoticeAbstractUI.aspx?menuIndex=3&amp;refID=7072650&amp;Result=3","7072650")</f>
        <v>0</v>
      </c>
      <c r="B9250" t="s">
        <v>2727</v>
      </c>
      <c r="C9250" t="s">
        <v>12230</v>
      </c>
      <c r="D9250" t="s">
        <v>17458</v>
      </c>
      <c r="E9250" t="s">
        <v>25428</v>
      </c>
      <c r="F9250" t="s">
        <v>30052</v>
      </c>
      <c r="G9250" t="s">
        <v>30058</v>
      </c>
      <c r="H9250" t="s">
        <v>30067</v>
      </c>
      <c r="I9250" t="s">
        <v>3693</v>
      </c>
      <c r="J9250" t="s">
        <v>35847</v>
      </c>
      <c r="K9250" t="s">
        <v>39092</v>
      </c>
      <c r="M9250" t="s">
        <v>42253</v>
      </c>
      <c r="N9250" t="s">
        <v>43166</v>
      </c>
      <c r="O9250" t="s">
        <v>43167</v>
      </c>
      <c r="P9250">
        <v>0</v>
      </c>
      <c r="Q9250">
        <v>1</v>
      </c>
      <c r="R9250" t="s">
        <v>43175</v>
      </c>
      <c r="S9250" t="s">
        <v>43460</v>
      </c>
      <c r="T9250" t="s">
        <v>44828</v>
      </c>
      <c r="U9250" t="s">
        <v>52613</v>
      </c>
      <c r="W9250" t="s">
        <v>42253</v>
      </c>
      <c r="X9250" t="s">
        <v>43177</v>
      </c>
    </row>
    <row r="9251" spans="1:24">
      <c r="A9251">
        <f>HYPERLINK("https://www.philgeps.gov.ph/GEPSNONPILOT/Tender/SplashBidNoticeAbstractUI.aspx?menuIndex=3&amp;refID=7072641&amp;Result=3","7072641")</f>
        <v>0</v>
      </c>
      <c r="B9251" t="s">
        <v>2727</v>
      </c>
      <c r="C9251" t="s">
        <v>12231</v>
      </c>
      <c r="D9251" t="s">
        <v>17458</v>
      </c>
      <c r="E9251" t="s">
        <v>25429</v>
      </c>
      <c r="F9251" t="s">
        <v>30052</v>
      </c>
      <c r="G9251" t="s">
        <v>30058</v>
      </c>
      <c r="H9251" t="s">
        <v>30067</v>
      </c>
      <c r="I9251" t="s">
        <v>3693</v>
      </c>
      <c r="J9251" t="s">
        <v>30252</v>
      </c>
      <c r="K9251" t="s">
        <v>39029</v>
      </c>
      <c r="M9251" t="s">
        <v>42253</v>
      </c>
      <c r="N9251" t="s">
        <v>43166</v>
      </c>
      <c r="O9251" t="s">
        <v>43167</v>
      </c>
      <c r="P9251">
        <v>0</v>
      </c>
      <c r="Q9251">
        <v>3</v>
      </c>
      <c r="R9251" t="s">
        <v>43175</v>
      </c>
      <c r="S9251" t="s">
        <v>43460</v>
      </c>
      <c r="T9251" t="s">
        <v>44828</v>
      </c>
      <c r="U9251" t="s">
        <v>52614</v>
      </c>
      <c r="W9251" t="s">
        <v>42253</v>
      </c>
      <c r="X9251" t="s">
        <v>43177</v>
      </c>
    </row>
    <row r="9252" spans="1:24">
      <c r="A9252">
        <f>HYPERLINK("https://www.philgeps.gov.ph/GEPSNONPILOT/Tender/SplashBidNoticeAbstractUI.aspx?menuIndex=3&amp;refID=7072658&amp;Result=3","7072658")</f>
        <v>0</v>
      </c>
      <c r="B9252" t="s">
        <v>2440</v>
      </c>
      <c r="C9252" t="s">
        <v>12232</v>
      </c>
      <c r="D9252" t="s">
        <v>17444</v>
      </c>
      <c r="E9252" t="s">
        <v>25430</v>
      </c>
      <c r="F9252" t="s">
        <v>30052</v>
      </c>
      <c r="G9252" t="s">
        <v>30058</v>
      </c>
      <c r="H9252" t="s">
        <v>30067</v>
      </c>
      <c r="I9252" t="s">
        <v>3693</v>
      </c>
      <c r="J9252" t="s">
        <v>35848</v>
      </c>
      <c r="K9252" t="s">
        <v>39026</v>
      </c>
      <c r="M9252" t="s">
        <v>41939</v>
      </c>
      <c r="N9252" t="s">
        <v>43166</v>
      </c>
      <c r="O9252" t="s">
        <v>43167</v>
      </c>
      <c r="P9252">
        <v>0</v>
      </c>
      <c r="Q9252">
        <v>2</v>
      </c>
      <c r="R9252" t="s">
        <v>43175</v>
      </c>
      <c r="S9252" t="s">
        <v>43460</v>
      </c>
      <c r="T9252" t="s">
        <v>44856</v>
      </c>
      <c r="U9252" t="s">
        <v>52615</v>
      </c>
      <c r="W9252" t="s">
        <v>41939</v>
      </c>
      <c r="X9252" t="s">
        <v>43177</v>
      </c>
    </row>
    <row r="9253" spans="1:24">
      <c r="A9253">
        <f>HYPERLINK("https://www.philgeps.gov.ph/GEPSNONPILOT/Tender/SplashBidNoticeAbstractUI.aspx?menuIndex=3&amp;refID=7072651&amp;Result=3","7072651")</f>
        <v>0</v>
      </c>
      <c r="B9253" t="s">
        <v>2728</v>
      </c>
      <c r="C9253" t="s">
        <v>12233</v>
      </c>
      <c r="D9253" t="s">
        <v>17456</v>
      </c>
      <c r="E9253" t="s">
        <v>25431</v>
      </c>
      <c r="F9253" t="s">
        <v>30055</v>
      </c>
      <c r="G9253" t="s">
        <v>30059</v>
      </c>
      <c r="H9253" t="s">
        <v>15498</v>
      </c>
      <c r="I9253" t="s">
        <v>30070</v>
      </c>
      <c r="J9253" t="s">
        <v>35849</v>
      </c>
      <c r="K9253" t="s">
        <v>39029</v>
      </c>
      <c r="M9253" t="s">
        <v>42254</v>
      </c>
      <c r="N9253" t="s">
        <v>43166</v>
      </c>
      <c r="O9253" t="s">
        <v>43167</v>
      </c>
      <c r="P9253">
        <v>0</v>
      </c>
      <c r="Q9253">
        <v>1</v>
      </c>
      <c r="R9253" t="s">
        <v>43175</v>
      </c>
      <c r="S9253" t="s">
        <v>43460</v>
      </c>
      <c r="T9253" t="s">
        <v>44882</v>
      </c>
      <c r="U9253" t="s">
        <v>52616</v>
      </c>
      <c r="W9253" t="s">
        <v>42254</v>
      </c>
      <c r="X9253" t="s">
        <v>43177</v>
      </c>
    </row>
    <row r="9254" spans="1:24">
      <c r="A9254">
        <f>HYPERLINK("https://www.philgeps.gov.ph/GEPSNONPILOT/Tender/SplashBidNoticeAbstractUI.aspx?menuIndex=3&amp;refID=7072589&amp;Result=3","7072589")</f>
        <v>0</v>
      </c>
      <c r="B9254" t="s">
        <v>2729</v>
      </c>
      <c r="C9254" t="s">
        <v>12234</v>
      </c>
      <c r="D9254" t="s">
        <v>17458</v>
      </c>
      <c r="E9254" t="s">
        <v>25432</v>
      </c>
      <c r="F9254" t="s">
        <v>30054</v>
      </c>
      <c r="G9254" t="s">
        <v>30058</v>
      </c>
      <c r="H9254" t="s">
        <v>15498</v>
      </c>
      <c r="I9254" t="s">
        <v>30074</v>
      </c>
      <c r="J9254" t="s">
        <v>30711</v>
      </c>
      <c r="K9254" t="s">
        <v>39029</v>
      </c>
      <c r="M9254" t="s">
        <v>42255</v>
      </c>
      <c r="N9254" t="s">
        <v>43166</v>
      </c>
      <c r="O9254" t="s">
        <v>43167</v>
      </c>
      <c r="P9254">
        <v>0</v>
      </c>
      <c r="Q9254">
        <v>3</v>
      </c>
      <c r="R9254" t="s">
        <v>43175</v>
      </c>
      <c r="S9254" t="s">
        <v>43460</v>
      </c>
      <c r="T9254" t="s">
        <v>44733</v>
      </c>
      <c r="U9254" t="s">
        <v>52617</v>
      </c>
      <c r="V9254" t="s">
        <v>57824</v>
      </c>
      <c r="W9254" t="s">
        <v>42255</v>
      </c>
      <c r="X9254" t="s">
        <v>43177</v>
      </c>
    </row>
    <row r="9255" spans="1:24">
      <c r="A9255">
        <f>HYPERLINK("https://www.philgeps.gov.ph/GEPSNONPILOT/Tender/SplashBidNoticeAbstractUI.aspx?menuIndex=3&amp;refID=7072583&amp;Result=3","7072583")</f>
        <v>0</v>
      </c>
      <c r="B9255" t="s">
        <v>61</v>
      </c>
      <c r="C9255" t="s">
        <v>12235</v>
      </c>
      <c r="D9255" t="s">
        <v>17442</v>
      </c>
      <c r="E9255" t="s">
        <v>17715</v>
      </c>
      <c r="F9255" t="s">
        <v>30052</v>
      </c>
      <c r="G9255" t="s">
        <v>30058</v>
      </c>
      <c r="H9255" t="s">
        <v>30067</v>
      </c>
      <c r="I9255" t="s">
        <v>3693</v>
      </c>
      <c r="J9255" t="s">
        <v>30277</v>
      </c>
      <c r="K9255" t="s">
        <v>39019</v>
      </c>
      <c r="M9255" t="s">
        <v>39350</v>
      </c>
      <c r="N9255" t="s">
        <v>43166</v>
      </c>
      <c r="O9255" t="s">
        <v>43167</v>
      </c>
      <c r="P9255">
        <v>0</v>
      </c>
      <c r="Q9255">
        <v>0</v>
      </c>
      <c r="R9255" t="s">
        <v>43175</v>
      </c>
      <c r="S9255" t="s">
        <v>43460</v>
      </c>
      <c r="T9255" t="s">
        <v>44730</v>
      </c>
      <c r="U9255" t="s">
        <v>52618</v>
      </c>
      <c r="W9255" t="s">
        <v>39350</v>
      </c>
      <c r="X9255" t="s">
        <v>43177</v>
      </c>
    </row>
    <row r="9256" spans="1:24">
      <c r="A9256">
        <f>HYPERLINK("https://www.philgeps.gov.ph/GEPSNONPILOT/Tender/SplashBidNoticeAbstractUI.aspx?menuIndex=3&amp;refID=7072646&amp;Result=3","7072646")</f>
        <v>0</v>
      </c>
      <c r="B9256" t="s">
        <v>2727</v>
      </c>
      <c r="C9256" t="s">
        <v>12236</v>
      </c>
      <c r="D9256" t="s">
        <v>17458</v>
      </c>
      <c r="E9256" t="s">
        <v>25433</v>
      </c>
      <c r="F9256" t="s">
        <v>30052</v>
      </c>
      <c r="G9256" t="s">
        <v>30058</v>
      </c>
      <c r="H9256" t="s">
        <v>30067</v>
      </c>
      <c r="I9256" t="s">
        <v>3693</v>
      </c>
      <c r="J9256" t="s">
        <v>35850</v>
      </c>
      <c r="K9256" t="s">
        <v>39054</v>
      </c>
      <c r="M9256" t="s">
        <v>42253</v>
      </c>
      <c r="N9256" t="s">
        <v>43166</v>
      </c>
      <c r="O9256" t="s">
        <v>43167</v>
      </c>
      <c r="P9256">
        <v>0</v>
      </c>
      <c r="Q9256">
        <v>0</v>
      </c>
      <c r="R9256" t="s">
        <v>43175</v>
      </c>
      <c r="S9256" t="s">
        <v>43460</v>
      </c>
      <c r="T9256" t="s">
        <v>44828</v>
      </c>
      <c r="U9256" t="s">
        <v>52619</v>
      </c>
      <c r="W9256" t="s">
        <v>42253</v>
      </c>
      <c r="X9256" t="s">
        <v>43177</v>
      </c>
    </row>
    <row r="9257" spans="1:24">
      <c r="A9257">
        <f>HYPERLINK("https://www.philgeps.gov.ph/GEPSNONPILOT/Tender/SplashBidNoticeAbstractUI.aspx?menuIndex=3&amp;refID=7072581&amp;Result=3","7072581")</f>
        <v>0</v>
      </c>
      <c r="B9257" t="s">
        <v>176</v>
      </c>
      <c r="C9257" t="s">
        <v>12237</v>
      </c>
      <c r="D9257" t="s">
        <v>17427</v>
      </c>
      <c r="E9257" t="s">
        <v>19699</v>
      </c>
      <c r="F9257" t="s">
        <v>30052</v>
      </c>
      <c r="G9257" t="s">
        <v>30058</v>
      </c>
      <c r="H9257" t="s">
        <v>30069</v>
      </c>
      <c r="I9257" t="s">
        <v>30096</v>
      </c>
      <c r="J9257" t="s">
        <v>35851</v>
      </c>
      <c r="K9257" t="s">
        <v>39046</v>
      </c>
      <c r="M9257" t="s">
        <v>39465</v>
      </c>
      <c r="N9257" t="s">
        <v>43166</v>
      </c>
      <c r="O9257" t="s">
        <v>43167</v>
      </c>
      <c r="P9257">
        <v>0</v>
      </c>
      <c r="Q9257">
        <v>6</v>
      </c>
      <c r="R9257" t="s">
        <v>43175</v>
      </c>
      <c r="S9257" t="s">
        <v>43460</v>
      </c>
      <c r="T9257" t="s">
        <v>44953</v>
      </c>
      <c r="U9257" t="s">
        <v>52620</v>
      </c>
      <c r="V9257" t="s">
        <v>57786</v>
      </c>
      <c r="W9257" t="s">
        <v>39465</v>
      </c>
      <c r="X9257" t="s">
        <v>43177</v>
      </c>
    </row>
    <row r="9258" spans="1:24">
      <c r="A9258">
        <f>HYPERLINK("https://www.philgeps.gov.ph/GEPSNONPILOT/Tender/SplashBidNoticeAbstractUI.aspx?menuIndex=3&amp;refID=7072616&amp;Result=3","7072616")</f>
        <v>0</v>
      </c>
      <c r="B9258" t="s">
        <v>177</v>
      </c>
      <c r="C9258" t="s">
        <v>12238</v>
      </c>
      <c r="D9258" t="s">
        <v>17465</v>
      </c>
      <c r="E9258" t="s">
        <v>17892</v>
      </c>
      <c r="F9258" t="s">
        <v>30052</v>
      </c>
      <c r="G9258" t="s">
        <v>30058</v>
      </c>
      <c r="H9258" t="s">
        <v>15498</v>
      </c>
      <c r="I9258" t="s">
        <v>3736</v>
      </c>
      <c r="J9258" t="s">
        <v>35852</v>
      </c>
      <c r="K9258" t="s">
        <v>39025</v>
      </c>
      <c r="M9258" t="s">
        <v>39466</v>
      </c>
      <c r="N9258" t="s">
        <v>43166</v>
      </c>
      <c r="O9258" t="s">
        <v>43167</v>
      </c>
      <c r="P9258">
        <v>0</v>
      </c>
      <c r="Q9258">
        <v>5</v>
      </c>
      <c r="R9258" t="s">
        <v>43175</v>
      </c>
      <c r="S9258" t="s">
        <v>43460</v>
      </c>
      <c r="T9258" t="s">
        <v>44815</v>
      </c>
      <c r="U9258" t="s">
        <v>52621</v>
      </c>
      <c r="W9258" t="s">
        <v>39466</v>
      </c>
      <c r="X9258" t="s">
        <v>43177</v>
      </c>
    </row>
    <row r="9259" spans="1:24">
      <c r="A9259">
        <f>HYPERLINK("https://www.philgeps.gov.ph/GEPSNONPILOT/Tender/SplashBidNoticeAbstractUI.aspx?menuIndex=3&amp;refID=7072565&amp;Result=3","7072565")</f>
        <v>0</v>
      </c>
      <c r="B9259" t="s">
        <v>2730</v>
      </c>
      <c r="C9259" t="s">
        <v>12239</v>
      </c>
      <c r="D9259" t="s">
        <v>17456</v>
      </c>
      <c r="E9259" t="s">
        <v>18907</v>
      </c>
      <c r="F9259" t="s">
        <v>30052</v>
      </c>
      <c r="G9259" t="s">
        <v>30058</v>
      </c>
      <c r="H9259" t="s">
        <v>15498</v>
      </c>
      <c r="I9259" t="s">
        <v>3736</v>
      </c>
      <c r="J9259" t="s">
        <v>35853</v>
      </c>
      <c r="K9259" t="s">
        <v>39025</v>
      </c>
      <c r="M9259" t="s">
        <v>42256</v>
      </c>
      <c r="N9259" t="s">
        <v>43166</v>
      </c>
      <c r="O9259" t="s">
        <v>43167</v>
      </c>
      <c r="P9259">
        <v>0</v>
      </c>
      <c r="Q9259">
        <v>1</v>
      </c>
      <c r="R9259" t="s">
        <v>43175</v>
      </c>
      <c r="S9259" t="s">
        <v>43460</v>
      </c>
      <c r="T9259" t="s">
        <v>44714</v>
      </c>
      <c r="U9259" t="s">
        <v>52622</v>
      </c>
      <c r="V9259" t="s">
        <v>57825</v>
      </c>
      <c r="W9259" t="s">
        <v>42256</v>
      </c>
      <c r="X9259" t="s">
        <v>43177</v>
      </c>
    </row>
    <row r="9260" spans="1:24">
      <c r="A9260">
        <f>HYPERLINK("https://www.philgeps.gov.ph/GEPSNONPILOT/Tender/SplashBidNoticeAbstractUI.aspx?menuIndex=3&amp;refID=7072482&amp;Result=3","7072482")</f>
        <v>0</v>
      </c>
      <c r="B9260" t="s">
        <v>1723</v>
      </c>
      <c r="C9260" t="s">
        <v>12240</v>
      </c>
      <c r="D9260" t="s">
        <v>17458</v>
      </c>
      <c r="E9260" t="s">
        <v>25434</v>
      </c>
      <c r="F9260" t="s">
        <v>30052</v>
      </c>
      <c r="G9260" t="s">
        <v>30058</v>
      </c>
      <c r="H9260" t="s">
        <v>30067</v>
      </c>
      <c r="I9260" t="s">
        <v>3693</v>
      </c>
      <c r="J9260" t="s">
        <v>30218</v>
      </c>
      <c r="K9260" t="s">
        <v>39046</v>
      </c>
      <c r="L9260" t="s">
        <v>1723</v>
      </c>
      <c r="M9260" t="s">
        <v>41139</v>
      </c>
      <c r="N9260" t="s">
        <v>43166</v>
      </c>
      <c r="O9260" t="s">
        <v>43167</v>
      </c>
      <c r="P9260">
        <v>0</v>
      </c>
      <c r="Q9260">
        <v>0</v>
      </c>
      <c r="R9260" t="s">
        <v>43175</v>
      </c>
      <c r="S9260" t="s">
        <v>43460</v>
      </c>
      <c r="T9260" t="s">
        <v>44705</v>
      </c>
      <c r="U9260" t="s">
        <v>52623</v>
      </c>
      <c r="V9260" t="s">
        <v>57381</v>
      </c>
      <c r="W9260" t="s">
        <v>41139</v>
      </c>
      <c r="X9260" t="s">
        <v>43177</v>
      </c>
    </row>
    <row r="9261" spans="1:24">
      <c r="A9261">
        <f>HYPERLINK("https://www.philgeps.gov.ph/GEPSNONPILOT/Tender/SplashBidNoticeAbstractUI.aspx?menuIndex=3&amp;refID=7072597&amp;Result=3","7072597")</f>
        <v>0</v>
      </c>
      <c r="B9261" t="s">
        <v>61</v>
      </c>
      <c r="C9261" t="s">
        <v>12241</v>
      </c>
      <c r="D9261" t="s">
        <v>17442</v>
      </c>
      <c r="E9261" t="s">
        <v>17650</v>
      </c>
      <c r="F9261" t="s">
        <v>30052</v>
      </c>
      <c r="G9261" t="s">
        <v>30058</v>
      </c>
      <c r="H9261" t="s">
        <v>30067</v>
      </c>
      <c r="I9261" t="s">
        <v>3693</v>
      </c>
      <c r="J9261" t="s">
        <v>31945</v>
      </c>
      <c r="K9261" t="s">
        <v>39019</v>
      </c>
      <c r="M9261" t="s">
        <v>39350</v>
      </c>
      <c r="N9261" t="s">
        <v>43166</v>
      </c>
      <c r="O9261" t="s">
        <v>43167</v>
      </c>
      <c r="P9261">
        <v>0</v>
      </c>
      <c r="Q9261">
        <v>0</v>
      </c>
      <c r="R9261" t="s">
        <v>43175</v>
      </c>
      <c r="S9261" t="s">
        <v>43460</v>
      </c>
      <c r="T9261" t="s">
        <v>44730</v>
      </c>
      <c r="U9261" t="s">
        <v>52624</v>
      </c>
      <c r="W9261" t="s">
        <v>39350</v>
      </c>
      <c r="X9261" t="s">
        <v>43177</v>
      </c>
    </row>
    <row r="9262" spans="1:24">
      <c r="A9262">
        <f>HYPERLINK("https://www.philgeps.gov.ph/GEPSNONPILOT/Tender/SplashBidNoticeAbstractUI.aspx?menuIndex=3&amp;refID=7072531&amp;Result=3","7072531")</f>
        <v>0</v>
      </c>
      <c r="B9262" t="s">
        <v>354</v>
      </c>
      <c r="C9262" t="s">
        <v>12242</v>
      </c>
      <c r="D9262" t="s">
        <v>17437</v>
      </c>
      <c r="E9262" t="s">
        <v>25435</v>
      </c>
      <c r="F9262" t="s">
        <v>30052</v>
      </c>
      <c r="G9262" t="s">
        <v>30058</v>
      </c>
      <c r="H9262" t="s">
        <v>15498</v>
      </c>
      <c r="I9262" t="s">
        <v>9238</v>
      </c>
      <c r="J9262" t="s">
        <v>35854</v>
      </c>
      <c r="K9262" t="s">
        <v>39034</v>
      </c>
      <c r="M9262" t="s">
        <v>39651</v>
      </c>
      <c r="N9262" t="s">
        <v>43166</v>
      </c>
      <c r="O9262" t="s">
        <v>43167</v>
      </c>
      <c r="P9262">
        <v>0</v>
      </c>
      <c r="Q9262">
        <v>17</v>
      </c>
      <c r="R9262" t="s">
        <v>43175</v>
      </c>
      <c r="S9262" t="s">
        <v>43460</v>
      </c>
      <c r="T9262" t="s">
        <v>44758</v>
      </c>
      <c r="U9262" t="s">
        <v>52625</v>
      </c>
      <c r="W9262" t="s">
        <v>39651</v>
      </c>
      <c r="X9262" t="s">
        <v>43177</v>
      </c>
    </row>
    <row r="9263" spans="1:24">
      <c r="A9263">
        <f>HYPERLINK("https://www.philgeps.gov.ph/GEPSNONPILOT/Tender/SplashBidNoticeAbstractUI.aspx?menuIndex=3&amp;refID=7072334&amp;Result=3","7072334")</f>
        <v>0</v>
      </c>
      <c r="B9263" t="s">
        <v>2731</v>
      </c>
      <c r="C9263" t="s">
        <v>10231</v>
      </c>
      <c r="D9263" t="s">
        <v>17475</v>
      </c>
      <c r="E9263" t="s">
        <v>23689</v>
      </c>
      <c r="F9263" t="s">
        <v>30052</v>
      </c>
      <c r="G9263" t="s">
        <v>30058</v>
      </c>
      <c r="H9263" t="s">
        <v>15498</v>
      </c>
      <c r="I9263" t="s">
        <v>30114</v>
      </c>
      <c r="J9263" t="s">
        <v>30915</v>
      </c>
      <c r="K9263" t="s">
        <v>39017</v>
      </c>
      <c r="M9263" t="s">
        <v>42257</v>
      </c>
      <c r="N9263" t="s">
        <v>43166</v>
      </c>
      <c r="O9263" t="s">
        <v>43167</v>
      </c>
      <c r="P9263">
        <v>0</v>
      </c>
      <c r="Q9263">
        <v>1</v>
      </c>
      <c r="R9263" t="s">
        <v>43175</v>
      </c>
      <c r="S9263" t="s">
        <v>43460</v>
      </c>
      <c r="T9263" t="s">
        <v>44717</v>
      </c>
      <c r="U9263" t="s">
        <v>52626</v>
      </c>
      <c r="W9263" t="s">
        <v>42257</v>
      </c>
      <c r="X9263" t="s">
        <v>43177</v>
      </c>
    </row>
    <row r="9264" spans="1:24">
      <c r="A9264">
        <f>HYPERLINK("https://www.philgeps.gov.ph/GEPSNONPILOT/Tender/SplashBidNoticeAbstractUI.aspx?menuIndex=3&amp;refID=7072633&amp;Result=3","7072633")</f>
        <v>0</v>
      </c>
      <c r="B9264" t="s">
        <v>2727</v>
      </c>
      <c r="C9264" t="s">
        <v>12243</v>
      </c>
      <c r="D9264" t="s">
        <v>17458</v>
      </c>
      <c r="E9264" t="s">
        <v>25436</v>
      </c>
      <c r="F9264" t="s">
        <v>30052</v>
      </c>
      <c r="G9264" t="s">
        <v>30058</v>
      </c>
      <c r="H9264" t="s">
        <v>30067</v>
      </c>
      <c r="I9264" t="s">
        <v>3693</v>
      </c>
      <c r="J9264" t="s">
        <v>35855</v>
      </c>
      <c r="K9264" t="s">
        <v>39118</v>
      </c>
      <c r="M9264" t="s">
        <v>42253</v>
      </c>
      <c r="N9264" t="s">
        <v>43166</v>
      </c>
      <c r="O9264" t="s">
        <v>43167</v>
      </c>
      <c r="P9264">
        <v>0</v>
      </c>
      <c r="Q9264">
        <v>0</v>
      </c>
      <c r="R9264" t="s">
        <v>43175</v>
      </c>
      <c r="S9264" t="s">
        <v>43460</v>
      </c>
      <c r="T9264" t="s">
        <v>44828</v>
      </c>
      <c r="U9264" t="s">
        <v>52627</v>
      </c>
      <c r="W9264" t="s">
        <v>42253</v>
      </c>
      <c r="X9264" t="s">
        <v>43177</v>
      </c>
    </row>
    <row r="9265" spans="1:24">
      <c r="A9265">
        <f>HYPERLINK("https://www.philgeps.gov.ph/GEPSNONPILOT/Tender/SplashBidNoticeAbstractUI.aspx?menuIndex=3&amp;refID=7072746&amp;Result=3","7072746")</f>
        <v>0</v>
      </c>
      <c r="B9265" t="s">
        <v>2726</v>
      </c>
      <c r="C9265" t="s">
        <v>12244</v>
      </c>
      <c r="D9265" t="s">
        <v>17466</v>
      </c>
      <c r="E9265" t="s">
        <v>22671</v>
      </c>
      <c r="F9265" t="s">
        <v>30052</v>
      </c>
      <c r="G9265" t="s">
        <v>30058</v>
      </c>
      <c r="H9265" t="s">
        <v>15498</v>
      </c>
      <c r="I9265" t="s">
        <v>4119</v>
      </c>
      <c r="J9265" t="s">
        <v>35856</v>
      </c>
      <c r="K9265" t="s">
        <v>39039</v>
      </c>
      <c r="M9265" t="s">
        <v>42252</v>
      </c>
      <c r="N9265" t="s">
        <v>43166</v>
      </c>
      <c r="O9265" t="s">
        <v>43167</v>
      </c>
      <c r="P9265">
        <v>0</v>
      </c>
      <c r="Q9265">
        <v>2</v>
      </c>
      <c r="R9265" t="s">
        <v>43175</v>
      </c>
      <c r="S9265" t="s">
        <v>43460</v>
      </c>
      <c r="T9265" t="s">
        <v>44926</v>
      </c>
      <c r="U9265" t="s">
        <v>52628</v>
      </c>
      <c r="W9265" t="s">
        <v>42252</v>
      </c>
      <c r="X9265" t="s">
        <v>43177</v>
      </c>
    </row>
    <row r="9266" spans="1:24">
      <c r="A9266">
        <f>HYPERLINK("https://www.philgeps.gov.ph/GEPSNONPILOT/Tender/SplashBidNoticeAbstractUI.aspx?menuIndex=3&amp;refID=7072826&amp;Result=3","7072826")</f>
        <v>0</v>
      </c>
      <c r="B9266" t="s">
        <v>2087</v>
      </c>
      <c r="C9266" t="s">
        <v>12245</v>
      </c>
      <c r="D9266" t="s">
        <v>17458</v>
      </c>
      <c r="E9266" t="s">
        <v>25437</v>
      </c>
      <c r="F9266" t="s">
        <v>30052</v>
      </c>
      <c r="G9266" t="s">
        <v>30058</v>
      </c>
      <c r="H9266" t="s">
        <v>15498</v>
      </c>
      <c r="I9266" t="s">
        <v>3736</v>
      </c>
      <c r="J9266" t="s">
        <v>35857</v>
      </c>
      <c r="K9266" t="s">
        <v>39029</v>
      </c>
      <c r="M9266" t="s">
        <v>42258</v>
      </c>
      <c r="N9266" t="s">
        <v>43166</v>
      </c>
      <c r="O9266" t="s">
        <v>43167</v>
      </c>
      <c r="P9266">
        <v>0</v>
      </c>
      <c r="Q9266">
        <v>1</v>
      </c>
      <c r="R9266" t="s">
        <v>43175</v>
      </c>
      <c r="S9266" t="s">
        <v>43460</v>
      </c>
      <c r="T9266" t="s">
        <v>44717</v>
      </c>
      <c r="U9266" t="s">
        <v>52629</v>
      </c>
      <c r="W9266" t="s">
        <v>42258</v>
      </c>
      <c r="X9266" t="s">
        <v>43176</v>
      </c>
    </row>
    <row r="9267" spans="1:24">
      <c r="A9267">
        <f>HYPERLINK("https://www.philgeps.gov.ph/GEPSNONPILOT/Tender/SplashBidNoticeAbstractUI.aspx?menuIndex=3&amp;refID=7072555&amp;Result=3","7072555")</f>
        <v>0</v>
      </c>
      <c r="B9267" t="s">
        <v>1067</v>
      </c>
      <c r="C9267" t="s">
        <v>12246</v>
      </c>
      <c r="D9267" t="s">
        <v>17422</v>
      </c>
      <c r="E9267" t="s">
        <v>25438</v>
      </c>
      <c r="F9267" t="s">
        <v>30052</v>
      </c>
      <c r="G9267" t="s">
        <v>30058</v>
      </c>
      <c r="H9267" t="s">
        <v>15498</v>
      </c>
      <c r="I9267" t="s">
        <v>4119</v>
      </c>
      <c r="J9267" t="s">
        <v>35858</v>
      </c>
      <c r="K9267" t="s">
        <v>39029</v>
      </c>
      <c r="M9267" t="s">
        <v>40402</v>
      </c>
      <c r="N9267" t="s">
        <v>43166</v>
      </c>
      <c r="O9267" t="s">
        <v>43167</v>
      </c>
      <c r="Q9267">
        <v>5</v>
      </c>
      <c r="R9267" t="s">
        <v>43175</v>
      </c>
      <c r="S9267" t="s">
        <v>43474</v>
      </c>
      <c r="T9267" t="s">
        <v>44830</v>
      </c>
      <c r="U9267" t="s">
        <v>52630</v>
      </c>
      <c r="V9267" t="s">
        <v>57826</v>
      </c>
      <c r="W9267" t="s">
        <v>40402</v>
      </c>
      <c r="X9267" t="s">
        <v>43177</v>
      </c>
    </row>
    <row r="9268" spans="1:24">
      <c r="A9268">
        <f>HYPERLINK("https://www.philgeps.gov.ph/GEPSNONPILOT/Tender/SplashBidNoticeAbstractUI.aspx?menuIndex=3&amp;refID=7072551&amp;Result=3","7072551")</f>
        <v>0</v>
      </c>
      <c r="B9268" t="s">
        <v>1067</v>
      </c>
      <c r="C9268" t="s">
        <v>12247</v>
      </c>
      <c r="D9268" t="s">
        <v>17422</v>
      </c>
      <c r="E9268" t="s">
        <v>25439</v>
      </c>
      <c r="F9268" t="s">
        <v>30052</v>
      </c>
      <c r="G9268" t="s">
        <v>30058</v>
      </c>
      <c r="H9268" t="s">
        <v>15498</v>
      </c>
      <c r="I9268" t="s">
        <v>4119</v>
      </c>
      <c r="J9268" t="s">
        <v>35859</v>
      </c>
      <c r="K9268" t="s">
        <v>39029</v>
      </c>
      <c r="M9268" t="s">
        <v>40402</v>
      </c>
      <c r="N9268" t="s">
        <v>43166</v>
      </c>
      <c r="O9268" t="s">
        <v>43167</v>
      </c>
      <c r="Q9268">
        <v>3</v>
      </c>
      <c r="R9268" t="s">
        <v>43175</v>
      </c>
      <c r="S9268" t="s">
        <v>43475</v>
      </c>
      <c r="T9268" t="s">
        <v>44757</v>
      </c>
      <c r="U9268" t="s">
        <v>52631</v>
      </c>
      <c r="V9268" t="s">
        <v>57827</v>
      </c>
      <c r="W9268" t="s">
        <v>40402</v>
      </c>
      <c r="X9268" t="s">
        <v>43177</v>
      </c>
    </row>
    <row r="9269" spans="1:24">
      <c r="A9269">
        <f>HYPERLINK("https://www.philgeps.gov.ph/GEPSNONPILOT/Tender/SplashBidNoticeAbstractUI.aspx?menuIndex=3&amp;refID=7072820&amp;Result=3","7072820")</f>
        <v>0</v>
      </c>
      <c r="B9269" t="s">
        <v>1377</v>
      </c>
      <c r="C9269" t="s">
        <v>12248</v>
      </c>
      <c r="D9269" t="s">
        <v>17415</v>
      </c>
      <c r="E9269" t="s">
        <v>25440</v>
      </c>
      <c r="F9269" t="s">
        <v>30052</v>
      </c>
      <c r="G9269" t="s">
        <v>30058</v>
      </c>
      <c r="H9269" t="s">
        <v>15498</v>
      </c>
      <c r="I9269" t="s">
        <v>9238</v>
      </c>
      <c r="J9269" t="s">
        <v>35860</v>
      </c>
      <c r="K9269" t="s">
        <v>39031</v>
      </c>
      <c r="M9269" t="s">
        <v>42259</v>
      </c>
      <c r="N9269" t="s">
        <v>43166</v>
      </c>
      <c r="O9269" t="s">
        <v>43167</v>
      </c>
      <c r="P9269">
        <v>0</v>
      </c>
      <c r="Q9269">
        <v>11</v>
      </c>
      <c r="R9269" t="s">
        <v>43175</v>
      </c>
      <c r="S9269" t="s">
        <v>43460</v>
      </c>
      <c r="T9269" t="s">
        <v>44828</v>
      </c>
      <c r="U9269" t="s">
        <v>52632</v>
      </c>
      <c r="W9269" t="s">
        <v>42259</v>
      </c>
      <c r="X9269" t="s">
        <v>43176</v>
      </c>
    </row>
    <row r="9270" spans="1:24">
      <c r="A9270">
        <f>HYPERLINK("https://www.philgeps.gov.ph/GEPSNONPILOT/Tender/SplashBidNoticeAbstractUI.aspx?menuIndex=3&amp;refID=7072817&amp;Result=3","7072817")</f>
        <v>0</v>
      </c>
      <c r="B9270" t="s">
        <v>917</v>
      </c>
      <c r="C9270" t="s">
        <v>12249</v>
      </c>
      <c r="D9270" t="s">
        <v>17415</v>
      </c>
      <c r="E9270" t="s">
        <v>25441</v>
      </c>
      <c r="F9270" t="s">
        <v>30052</v>
      </c>
      <c r="G9270" t="s">
        <v>30058</v>
      </c>
      <c r="H9270" t="s">
        <v>15498</v>
      </c>
      <c r="I9270" t="s">
        <v>30073</v>
      </c>
      <c r="J9270" t="s">
        <v>35861</v>
      </c>
      <c r="K9270" t="s">
        <v>39048</v>
      </c>
      <c r="M9270" t="s">
        <v>42260</v>
      </c>
      <c r="N9270" t="s">
        <v>43166</v>
      </c>
      <c r="O9270" t="s">
        <v>43167</v>
      </c>
      <c r="P9270">
        <v>0</v>
      </c>
      <c r="Q9270">
        <v>1</v>
      </c>
      <c r="R9270" t="s">
        <v>43175</v>
      </c>
      <c r="S9270" t="s">
        <v>43460</v>
      </c>
      <c r="T9270" t="s">
        <v>44828</v>
      </c>
      <c r="U9270" t="s">
        <v>52633</v>
      </c>
      <c r="V9270" t="s">
        <v>57828</v>
      </c>
      <c r="W9270" t="s">
        <v>42260</v>
      </c>
      <c r="X9270" t="s">
        <v>43176</v>
      </c>
    </row>
    <row r="9271" spans="1:24">
      <c r="A9271">
        <f>HYPERLINK("https://www.philgeps.gov.ph/GEPSNONPILOT/Tender/SplashBidNoticeAbstractUI.aspx?menuIndex=3&amp;refID=7072793&amp;Result=3","7072793")</f>
        <v>0</v>
      </c>
      <c r="B9271" t="s">
        <v>354</v>
      </c>
      <c r="C9271" t="s">
        <v>12250</v>
      </c>
      <c r="D9271" t="s">
        <v>17437</v>
      </c>
      <c r="E9271" t="s">
        <v>25442</v>
      </c>
      <c r="F9271" t="s">
        <v>30052</v>
      </c>
      <c r="G9271" t="s">
        <v>30058</v>
      </c>
      <c r="H9271" t="s">
        <v>30067</v>
      </c>
      <c r="I9271" t="s">
        <v>3693</v>
      </c>
      <c r="J9271" t="s">
        <v>30215</v>
      </c>
      <c r="K9271" t="s">
        <v>39046</v>
      </c>
      <c r="M9271" t="s">
        <v>39651</v>
      </c>
      <c r="N9271" t="s">
        <v>43166</v>
      </c>
      <c r="O9271" t="s">
        <v>43167</v>
      </c>
      <c r="P9271">
        <v>0</v>
      </c>
      <c r="Q9271">
        <v>0</v>
      </c>
      <c r="R9271" t="s">
        <v>43175</v>
      </c>
      <c r="S9271" t="s">
        <v>43460</v>
      </c>
      <c r="T9271" t="s">
        <v>44758</v>
      </c>
      <c r="U9271" t="s">
        <v>52634</v>
      </c>
      <c r="W9271" t="s">
        <v>39651</v>
      </c>
      <c r="X9271" t="s">
        <v>43177</v>
      </c>
    </row>
    <row r="9272" spans="1:24">
      <c r="A9272">
        <f>HYPERLINK("https://www.philgeps.gov.ph/GEPSNONPILOT/Tender/SplashBidNoticeAbstractUI.aspx?menuIndex=3&amp;refID=7072785&amp;Result=3","7072785")</f>
        <v>0</v>
      </c>
      <c r="B9272" t="s">
        <v>313</v>
      </c>
      <c r="C9272" t="s">
        <v>12251</v>
      </c>
      <c r="D9272" t="s">
        <v>17425</v>
      </c>
      <c r="E9272" t="s">
        <v>25443</v>
      </c>
      <c r="F9272" t="s">
        <v>30052</v>
      </c>
      <c r="G9272" t="s">
        <v>30058</v>
      </c>
      <c r="H9272" t="s">
        <v>30067</v>
      </c>
      <c r="I9272" t="s">
        <v>3693</v>
      </c>
      <c r="J9272" t="s">
        <v>35862</v>
      </c>
      <c r="K9272" t="s">
        <v>39026</v>
      </c>
      <c r="M9272" t="s">
        <v>39609</v>
      </c>
      <c r="N9272" t="s">
        <v>43166</v>
      </c>
      <c r="O9272" t="s">
        <v>43167</v>
      </c>
      <c r="P9272">
        <v>0</v>
      </c>
      <c r="Q9272">
        <v>0</v>
      </c>
      <c r="R9272" t="s">
        <v>43175</v>
      </c>
      <c r="S9272" t="s">
        <v>43460</v>
      </c>
      <c r="T9272" t="s">
        <v>44815</v>
      </c>
      <c r="U9272" t="s">
        <v>52635</v>
      </c>
      <c r="V9272" t="s">
        <v>57829</v>
      </c>
      <c r="W9272" t="s">
        <v>39609</v>
      </c>
      <c r="X9272" t="s">
        <v>43177</v>
      </c>
    </row>
    <row r="9273" spans="1:24">
      <c r="A9273">
        <f>HYPERLINK("https://www.philgeps.gov.ph/GEPSNONPILOT/Tender/SplashBidNoticeAbstractUI.aspx?menuIndex=3&amp;refID=7072784&amp;Result=3","7072784")</f>
        <v>0</v>
      </c>
      <c r="B9273" t="s">
        <v>313</v>
      </c>
      <c r="C9273" t="s">
        <v>12252</v>
      </c>
      <c r="D9273" t="s">
        <v>17425</v>
      </c>
      <c r="E9273" t="s">
        <v>25444</v>
      </c>
      <c r="F9273" t="s">
        <v>30052</v>
      </c>
      <c r="G9273" t="s">
        <v>30058</v>
      </c>
      <c r="H9273" t="s">
        <v>15498</v>
      </c>
      <c r="I9273" t="s">
        <v>30074</v>
      </c>
      <c r="J9273" t="s">
        <v>30247</v>
      </c>
      <c r="K9273" t="s">
        <v>39029</v>
      </c>
      <c r="M9273" t="s">
        <v>39609</v>
      </c>
      <c r="N9273" t="s">
        <v>43166</v>
      </c>
      <c r="O9273" t="s">
        <v>43167</v>
      </c>
      <c r="P9273">
        <v>0</v>
      </c>
      <c r="Q9273">
        <v>5</v>
      </c>
      <c r="R9273" t="s">
        <v>43175</v>
      </c>
      <c r="S9273" t="s">
        <v>43460</v>
      </c>
      <c r="T9273" t="s">
        <v>44815</v>
      </c>
      <c r="U9273" t="s">
        <v>52636</v>
      </c>
      <c r="V9273" t="s">
        <v>56894</v>
      </c>
      <c r="W9273" t="s">
        <v>39609</v>
      </c>
      <c r="X9273" t="s">
        <v>43177</v>
      </c>
    </row>
    <row r="9274" spans="1:24">
      <c r="A9274">
        <f>HYPERLINK("https://www.philgeps.gov.ph/GEPSNONPILOT/Tender/SplashBidNoticeAbstractUI.aspx?menuIndex=3&amp;refID=7072567&amp;Result=3","7072567")</f>
        <v>0</v>
      </c>
      <c r="B9274" t="s">
        <v>2732</v>
      </c>
      <c r="C9274" t="s">
        <v>12253</v>
      </c>
      <c r="D9274" t="s">
        <v>17424</v>
      </c>
      <c r="E9274" t="s">
        <v>25445</v>
      </c>
      <c r="F9274" t="s">
        <v>30052</v>
      </c>
      <c r="G9274" t="s">
        <v>30058</v>
      </c>
      <c r="H9274" t="s">
        <v>15498</v>
      </c>
      <c r="I9274" t="s">
        <v>30151</v>
      </c>
      <c r="J9274" t="s">
        <v>35863</v>
      </c>
      <c r="K9274" t="s">
        <v>39095</v>
      </c>
      <c r="M9274" t="s">
        <v>42261</v>
      </c>
      <c r="N9274" t="s">
        <v>43166</v>
      </c>
      <c r="O9274" t="s">
        <v>43167</v>
      </c>
      <c r="Q9274">
        <v>5</v>
      </c>
      <c r="R9274" t="s">
        <v>43175</v>
      </c>
      <c r="S9274" t="s">
        <v>43476</v>
      </c>
      <c r="T9274" t="s">
        <v>44807</v>
      </c>
      <c r="U9274" t="s">
        <v>52637</v>
      </c>
      <c r="V9274" t="s">
        <v>57830</v>
      </c>
      <c r="W9274" t="s">
        <v>42261</v>
      </c>
      <c r="X9274" t="s">
        <v>43177</v>
      </c>
    </row>
    <row r="9275" spans="1:24">
      <c r="A9275">
        <f>HYPERLINK("https://www.philgeps.gov.ph/GEPSNONPILOT/Tender/SplashBidNoticeAbstractUI.aspx?menuIndex=3&amp;refID=7072772&amp;Result=3","7072772")</f>
        <v>0</v>
      </c>
      <c r="B9275" t="s">
        <v>354</v>
      </c>
      <c r="C9275" t="s">
        <v>12254</v>
      </c>
      <c r="D9275" t="s">
        <v>17437</v>
      </c>
      <c r="E9275" t="s">
        <v>25446</v>
      </c>
      <c r="F9275" t="s">
        <v>30052</v>
      </c>
      <c r="G9275" t="s">
        <v>30058</v>
      </c>
      <c r="H9275" t="s">
        <v>30067</v>
      </c>
      <c r="I9275" t="s">
        <v>3693</v>
      </c>
      <c r="J9275" t="s">
        <v>30247</v>
      </c>
      <c r="K9275" t="s">
        <v>39046</v>
      </c>
      <c r="M9275" t="s">
        <v>39651</v>
      </c>
      <c r="N9275" t="s">
        <v>43166</v>
      </c>
      <c r="O9275" t="s">
        <v>43167</v>
      </c>
      <c r="P9275">
        <v>0</v>
      </c>
      <c r="Q9275">
        <v>0</v>
      </c>
      <c r="R9275" t="s">
        <v>43175</v>
      </c>
      <c r="S9275" t="s">
        <v>43460</v>
      </c>
      <c r="T9275" t="s">
        <v>44758</v>
      </c>
      <c r="U9275" t="s">
        <v>52638</v>
      </c>
      <c r="W9275" t="s">
        <v>39651</v>
      </c>
      <c r="X9275" t="s">
        <v>43177</v>
      </c>
    </row>
    <row r="9276" spans="1:24">
      <c r="A9276">
        <f>HYPERLINK("https://www.philgeps.gov.ph/GEPSNONPILOT/Tender/SplashBidNoticeAbstractUI.aspx?menuIndex=3&amp;refID=7071927&amp;Result=3","7071927")</f>
        <v>0</v>
      </c>
      <c r="B9276" t="s">
        <v>2725</v>
      </c>
      <c r="C9276" t="s">
        <v>12255</v>
      </c>
      <c r="D9276" t="s">
        <v>17422</v>
      </c>
      <c r="E9276" t="s">
        <v>22644</v>
      </c>
      <c r="F9276" t="s">
        <v>30052</v>
      </c>
      <c r="G9276" t="s">
        <v>30058</v>
      </c>
      <c r="H9276" t="s">
        <v>30067</v>
      </c>
      <c r="I9276" t="s">
        <v>3693</v>
      </c>
      <c r="J9276" t="s">
        <v>35864</v>
      </c>
      <c r="K9276" t="s">
        <v>39029</v>
      </c>
      <c r="M9276" t="s">
        <v>42251</v>
      </c>
      <c r="N9276" t="s">
        <v>43166</v>
      </c>
      <c r="O9276" t="s">
        <v>43167</v>
      </c>
      <c r="P9276">
        <v>0</v>
      </c>
      <c r="Q9276">
        <v>0</v>
      </c>
      <c r="R9276" t="s">
        <v>43175</v>
      </c>
      <c r="S9276" t="s">
        <v>43460</v>
      </c>
      <c r="T9276" t="s">
        <v>44717</v>
      </c>
      <c r="U9276" t="s">
        <v>52639</v>
      </c>
      <c r="V9276" t="s">
        <v>57819</v>
      </c>
      <c r="W9276" t="s">
        <v>42251</v>
      </c>
      <c r="X9276" t="s">
        <v>43178</v>
      </c>
    </row>
    <row r="9277" spans="1:24">
      <c r="A9277">
        <f>HYPERLINK("https://www.philgeps.gov.ph/GEPSNONPILOT/Tender/SplashBidNoticeAbstractUI.aspx?menuIndex=3&amp;refID=7072768&amp;Result=3","7072768")</f>
        <v>0</v>
      </c>
      <c r="B9277" t="s">
        <v>354</v>
      </c>
      <c r="C9277" t="s">
        <v>12256</v>
      </c>
      <c r="D9277" t="s">
        <v>17437</v>
      </c>
      <c r="E9277" t="s">
        <v>25447</v>
      </c>
      <c r="F9277" t="s">
        <v>30052</v>
      </c>
      <c r="G9277" t="s">
        <v>30058</v>
      </c>
      <c r="H9277" t="s">
        <v>30067</v>
      </c>
      <c r="I9277" t="s">
        <v>3693</v>
      </c>
      <c r="J9277" t="s">
        <v>35865</v>
      </c>
      <c r="K9277" t="s">
        <v>39023</v>
      </c>
      <c r="M9277" t="s">
        <v>39651</v>
      </c>
      <c r="N9277" t="s">
        <v>43166</v>
      </c>
      <c r="O9277" t="s">
        <v>43167</v>
      </c>
      <c r="P9277">
        <v>0</v>
      </c>
      <c r="Q9277">
        <v>0</v>
      </c>
      <c r="R9277" t="s">
        <v>43175</v>
      </c>
      <c r="S9277" t="s">
        <v>43460</v>
      </c>
      <c r="T9277" t="s">
        <v>44758</v>
      </c>
      <c r="U9277" t="s">
        <v>52640</v>
      </c>
      <c r="W9277" t="s">
        <v>39651</v>
      </c>
      <c r="X9277" t="s">
        <v>43177</v>
      </c>
    </row>
    <row r="9278" spans="1:24">
      <c r="A9278">
        <f>HYPERLINK("https://www.philgeps.gov.ph/GEPSNONPILOT/Tender/SplashBidNoticeAbstractUI.aspx?menuIndex=3&amp;refID=7072766&amp;Result=3","7072766")</f>
        <v>0</v>
      </c>
      <c r="B9278" t="s">
        <v>1377</v>
      </c>
      <c r="C9278" t="s">
        <v>12257</v>
      </c>
      <c r="D9278" t="s">
        <v>17415</v>
      </c>
      <c r="E9278" t="s">
        <v>23481</v>
      </c>
      <c r="F9278" t="s">
        <v>30052</v>
      </c>
      <c r="G9278" t="s">
        <v>30058</v>
      </c>
      <c r="H9278" t="s">
        <v>15498</v>
      </c>
      <c r="I9278" t="s">
        <v>3852</v>
      </c>
      <c r="J9278" t="s">
        <v>35866</v>
      </c>
      <c r="K9278" t="s">
        <v>39046</v>
      </c>
      <c r="M9278" t="s">
        <v>40752</v>
      </c>
      <c r="N9278" t="s">
        <v>43166</v>
      </c>
      <c r="O9278" t="s">
        <v>43167</v>
      </c>
      <c r="P9278">
        <v>0</v>
      </c>
      <c r="Q9278">
        <v>16</v>
      </c>
      <c r="R9278" t="s">
        <v>43175</v>
      </c>
      <c r="S9278" t="s">
        <v>43460</v>
      </c>
      <c r="T9278" t="s">
        <v>44796</v>
      </c>
      <c r="U9278" t="s">
        <v>52641</v>
      </c>
      <c r="W9278" t="s">
        <v>40752</v>
      </c>
      <c r="X9278" t="s">
        <v>43177</v>
      </c>
    </row>
    <row r="9279" spans="1:24">
      <c r="A9279">
        <f>HYPERLINK("https://www.philgeps.gov.ph/GEPSNONPILOT/Tender/SplashBidNoticeAbstractUI.aspx?menuIndex=3&amp;refID=7072549&amp;Result=3","7072549")</f>
        <v>0</v>
      </c>
      <c r="B9279" t="s">
        <v>1067</v>
      </c>
      <c r="C9279" t="s">
        <v>12258</v>
      </c>
      <c r="D9279" t="s">
        <v>17422</v>
      </c>
      <c r="E9279" t="s">
        <v>25448</v>
      </c>
      <c r="F9279" t="s">
        <v>30052</v>
      </c>
      <c r="G9279" t="s">
        <v>30058</v>
      </c>
      <c r="H9279" t="s">
        <v>15498</v>
      </c>
      <c r="I9279" t="s">
        <v>3736</v>
      </c>
      <c r="J9279" t="s">
        <v>35867</v>
      </c>
      <c r="K9279" t="s">
        <v>39029</v>
      </c>
      <c r="M9279" t="s">
        <v>40402</v>
      </c>
      <c r="N9279" t="s">
        <v>43166</v>
      </c>
      <c r="O9279" t="s">
        <v>43167</v>
      </c>
      <c r="Q9279">
        <v>0</v>
      </c>
      <c r="R9279" t="s">
        <v>43175</v>
      </c>
      <c r="S9279" t="s">
        <v>43477</v>
      </c>
      <c r="T9279" t="s">
        <v>44710</v>
      </c>
      <c r="U9279" t="s">
        <v>52642</v>
      </c>
      <c r="V9279" t="s">
        <v>57831</v>
      </c>
      <c r="W9279" t="s">
        <v>40402</v>
      </c>
      <c r="X9279" t="s">
        <v>43177</v>
      </c>
    </row>
    <row r="9280" spans="1:24">
      <c r="A9280">
        <f>HYPERLINK("https://www.philgeps.gov.ph/GEPSNONPILOT/Tender/SplashBidNoticeAbstractUI.aspx?menuIndex=3&amp;refID=7072762&amp;Result=3","7072762")</f>
        <v>0</v>
      </c>
      <c r="B9280" t="s">
        <v>2733</v>
      </c>
      <c r="C9280" t="s">
        <v>12259</v>
      </c>
      <c r="D9280" t="s">
        <v>17448</v>
      </c>
      <c r="E9280" t="s">
        <v>18583</v>
      </c>
      <c r="F9280" t="s">
        <v>30052</v>
      </c>
      <c r="G9280" t="s">
        <v>30058</v>
      </c>
      <c r="H9280" t="s">
        <v>15498</v>
      </c>
      <c r="I9280" t="s">
        <v>3736</v>
      </c>
      <c r="J9280" t="s">
        <v>35868</v>
      </c>
      <c r="K9280" t="s">
        <v>39019</v>
      </c>
      <c r="M9280" t="s">
        <v>42262</v>
      </c>
      <c r="N9280" t="s">
        <v>43166</v>
      </c>
      <c r="O9280" t="s">
        <v>43167</v>
      </c>
      <c r="P9280">
        <v>0</v>
      </c>
      <c r="Q9280">
        <v>1</v>
      </c>
      <c r="R9280" t="s">
        <v>43175</v>
      </c>
      <c r="S9280" t="s">
        <v>43460</v>
      </c>
      <c r="T9280" t="s">
        <v>44717</v>
      </c>
      <c r="U9280" t="s">
        <v>52643</v>
      </c>
      <c r="W9280" t="s">
        <v>42262</v>
      </c>
      <c r="X9280" t="s">
        <v>43177</v>
      </c>
    </row>
    <row r="9281" spans="1:24">
      <c r="A9281">
        <f>HYPERLINK("https://www.philgeps.gov.ph/GEPSNONPILOT/Tender/SplashBidNoticeAbstractUI.aspx?menuIndex=3&amp;refID=7072816&amp;Result=3","7072816")</f>
        <v>0</v>
      </c>
      <c r="B9281" t="s">
        <v>1400</v>
      </c>
      <c r="C9281" t="s">
        <v>12260</v>
      </c>
      <c r="D9281" t="s">
        <v>17415</v>
      </c>
      <c r="E9281" t="s">
        <v>25449</v>
      </c>
      <c r="F9281" t="s">
        <v>30052</v>
      </c>
      <c r="G9281" t="s">
        <v>30058</v>
      </c>
      <c r="H9281" t="s">
        <v>30069</v>
      </c>
      <c r="I9281" t="s">
        <v>30150</v>
      </c>
      <c r="J9281" t="s">
        <v>34092</v>
      </c>
      <c r="K9281" t="s">
        <v>39026</v>
      </c>
      <c r="M9281" t="s">
        <v>42263</v>
      </c>
      <c r="N9281" t="s">
        <v>43166</v>
      </c>
      <c r="O9281" t="s">
        <v>43167</v>
      </c>
      <c r="P9281">
        <v>0</v>
      </c>
      <c r="Q9281">
        <v>5</v>
      </c>
      <c r="R9281" t="s">
        <v>43175</v>
      </c>
      <c r="S9281" t="s">
        <v>43460</v>
      </c>
      <c r="T9281" t="s">
        <v>44796</v>
      </c>
      <c r="U9281" t="s">
        <v>52644</v>
      </c>
      <c r="W9281" t="s">
        <v>58686</v>
      </c>
      <c r="X9281" t="s">
        <v>43176</v>
      </c>
    </row>
    <row r="9282" spans="1:24">
      <c r="A9282">
        <f>HYPERLINK("https://www.philgeps.gov.ph/GEPSNONPILOT/Tender/SplashBidNoticeAbstractUI.aspx?menuIndex=3&amp;refID=7072760&amp;Result=3","7072760")</f>
        <v>0</v>
      </c>
      <c r="B9282" t="s">
        <v>2726</v>
      </c>
      <c r="C9282" t="s">
        <v>12261</v>
      </c>
      <c r="D9282" t="s">
        <v>17466</v>
      </c>
      <c r="E9282" t="s">
        <v>20583</v>
      </c>
      <c r="F9282" t="s">
        <v>30052</v>
      </c>
      <c r="G9282" t="s">
        <v>30058</v>
      </c>
      <c r="H9282" t="s">
        <v>15498</v>
      </c>
      <c r="I9282" t="s">
        <v>30137</v>
      </c>
      <c r="J9282" t="s">
        <v>31014</v>
      </c>
      <c r="K9282" t="s">
        <v>39039</v>
      </c>
      <c r="M9282" t="s">
        <v>42252</v>
      </c>
      <c r="N9282" t="s">
        <v>43166</v>
      </c>
      <c r="O9282" t="s">
        <v>43167</v>
      </c>
      <c r="P9282">
        <v>0</v>
      </c>
      <c r="Q9282">
        <v>1</v>
      </c>
      <c r="R9282" t="s">
        <v>43175</v>
      </c>
      <c r="S9282" t="s">
        <v>43460</v>
      </c>
      <c r="T9282" t="s">
        <v>45119</v>
      </c>
      <c r="U9282" t="s">
        <v>52645</v>
      </c>
      <c r="W9282" t="s">
        <v>42252</v>
      </c>
      <c r="X9282" t="s">
        <v>43177</v>
      </c>
    </row>
    <row r="9283" spans="1:24">
      <c r="A9283">
        <f>HYPERLINK("https://www.philgeps.gov.ph/GEPSNONPILOT/Tender/SplashBidNoticeAbstractUI.aspx?menuIndex=3&amp;refID=7072834&amp;Result=3","7072834")</f>
        <v>0</v>
      </c>
      <c r="B9283" t="s">
        <v>354</v>
      </c>
      <c r="C9283" t="s">
        <v>12262</v>
      </c>
      <c r="D9283" t="s">
        <v>17437</v>
      </c>
      <c r="E9283" t="s">
        <v>25450</v>
      </c>
      <c r="F9283" t="s">
        <v>30052</v>
      </c>
      <c r="G9283" t="s">
        <v>30058</v>
      </c>
      <c r="H9283" t="s">
        <v>30067</v>
      </c>
      <c r="I9283" t="s">
        <v>3693</v>
      </c>
      <c r="J9283" t="s">
        <v>35869</v>
      </c>
      <c r="K9283" t="s">
        <v>39037</v>
      </c>
      <c r="M9283" t="s">
        <v>39651</v>
      </c>
      <c r="N9283" t="s">
        <v>43166</v>
      </c>
      <c r="O9283" t="s">
        <v>43167</v>
      </c>
      <c r="P9283">
        <v>0</v>
      </c>
      <c r="Q9283">
        <v>0</v>
      </c>
      <c r="R9283" t="s">
        <v>43175</v>
      </c>
      <c r="S9283" t="s">
        <v>43460</v>
      </c>
      <c r="T9283" t="s">
        <v>44758</v>
      </c>
      <c r="U9283" t="s">
        <v>52646</v>
      </c>
      <c r="W9283" t="s">
        <v>39651</v>
      </c>
      <c r="X9283" t="s">
        <v>43176</v>
      </c>
    </row>
    <row r="9284" spans="1:24">
      <c r="A9284">
        <f>HYPERLINK("https://www.philgeps.gov.ph/GEPSNONPILOT/Tender/SplashBidNoticeAbstractUI.aspx?menuIndex=3&amp;refID=7072939&amp;Result=3","7072939")</f>
        <v>0</v>
      </c>
      <c r="B9284" t="s">
        <v>2734</v>
      </c>
      <c r="C9284" t="s">
        <v>12263</v>
      </c>
      <c r="D9284" t="s">
        <v>17445</v>
      </c>
      <c r="E9284" t="s">
        <v>18173</v>
      </c>
      <c r="F9284" t="s">
        <v>30054</v>
      </c>
      <c r="G9284" t="s">
        <v>30058</v>
      </c>
      <c r="H9284" t="s">
        <v>15498</v>
      </c>
      <c r="I9284" t="s">
        <v>4650</v>
      </c>
      <c r="J9284" t="s">
        <v>31248</v>
      </c>
      <c r="K9284" t="s">
        <v>39017</v>
      </c>
      <c r="M9284" t="s">
        <v>42264</v>
      </c>
      <c r="N9284" t="s">
        <v>43166</v>
      </c>
      <c r="O9284" t="s">
        <v>43167</v>
      </c>
      <c r="P9284">
        <v>0</v>
      </c>
      <c r="Q9284">
        <v>4</v>
      </c>
      <c r="R9284" t="s">
        <v>43175</v>
      </c>
      <c r="S9284" t="s">
        <v>43460</v>
      </c>
      <c r="T9284" t="s">
        <v>44721</v>
      </c>
      <c r="U9284" t="s">
        <v>52647</v>
      </c>
      <c r="V9284" t="s">
        <v>57832</v>
      </c>
      <c r="W9284" t="s">
        <v>42264</v>
      </c>
      <c r="X9284" t="s">
        <v>43176</v>
      </c>
    </row>
    <row r="9285" spans="1:24">
      <c r="A9285">
        <f>HYPERLINK("https://www.philgeps.gov.ph/GEPSNONPILOT/Tender/SplashBidNoticeAbstractUI.aspx?menuIndex=3&amp;refID=7072932&amp;Result=3","7072932")</f>
        <v>0</v>
      </c>
      <c r="B9285" t="s">
        <v>2735</v>
      </c>
      <c r="C9285" t="s">
        <v>12264</v>
      </c>
      <c r="D9285" t="s">
        <v>17470</v>
      </c>
      <c r="E9285" t="s">
        <v>25313</v>
      </c>
      <c r="F9285" t="s">
        <v>30052</v>
      </c>
      <c r="G9285" t="s">
        <v>30058</v>
      </c>
      <c r="H9285" t="s">
        <v>15498</v>
      </c>
      <c r="I9285" t="s">
        <v>30084</v>
      </c>
      <c r="J9285" t="s">
        <v>30857</v>
      </c>
      <c r="K9285" t="s">
        <v>39029</v>
      </c>
      <c r="M9285" t="s">
        <v>42265</v>
      </c>
      <c r="N9285" t="s">
        <v>43166</v>
      </c>
      <c r="O9285" t="s">
        <v>43167</v>
      </c>
      <c r="P9285">
        <v>0</v>
      </c>
      <c r="Q9285">
        <v>4</v>
      </c>
      <c r="R9285" t="s">
        <v>43175</v>
      </c>
      <c r="S9285" t="s">
        <v>43460</v>
      </c>
      <c r="T9285" t="s">
        <v>45093</v>
      </c>
      <c r="U9285" t="s">
        <v>52648</v>
      </c>
      <c r="W9285" t="s">
        <v>42265</v>
      </c>
      <c r="X9285" t="s">
        <v>43176</v>
      </c>
    </row>
    <row r="9286" spans="1:24">
      <c r="A9286">
        <f>HYPERLINK("https://www.philgeps.gov.ph/GEPSNONPILOT/Tender/SplashBidNoticeAbstractUI.aspx?menuIndex=3&amp;refID=7072781&amp;Result=3","7072781")</f>
        <v>0</v>
      </c>
      <c r="B9286" t="s">
        <v>313</v>
      </c>
      <c r="C9286" t="s">
        <v>12265</v>
      </c>
      <c r="D9286" t="s">
        <v>17425</v>
      </c>
      <c r="E9286" t="s">
        <v>25451</v>
      </c>
      <c r="F9286" t="s">
        <v>30052</v>
      </c>
      <c r="G9286" t="s">
        <v>30058</v>
      </c>
      <c r="H9286" t="s">
        <v>15498</v>
      </c>
      <c r="I9286" t="s">
        <v>30144</v>
      </c>
      <c r="J9286" t="s">
        <v>35870</v>
      </c>
      <c r="K9286" t="s">
        <v>39029</v>
      </c>
      <c r="M9286" t="s">
        <v>39609</v>
      </c>
      <c r="N9286" t="s">
        <v>43166</v>
      </c>
      <c r="O9286" t="s">
        <v>43167</v>
      </c>
      <c r="P9286">
        <v>0</v>
      </c>
      <c r="Q9286">
        <v>3</v>
      </c>
      <c r="R9286" t="s">
        <v>43175</v>
      </c>
      <c r="S9286" t="s">
        <v>43460</v>
      </c>
      <c r="T9286" t="s">
        <v>44815</v>
      </c>
      <c r="U9286" t="s">
        <v>52649</v>
      </c>
      <c r="V9286" t="s">
        <v>56894</v>
      </c>
      <c r="W9286" t="s">
        <v>39609</v>
      </c>
      <c r="X9286" t="s">
        <v>43177</v>
      </c>
    </row>
    <row r="9287" spans="1:24">
      <c r="A9287">
        <f>HYPERLINK("https://www.philgeps.gov.ph/GEPSNONPILOT/Tender/SplashBidNoticeAbstractUI.aspx?menuIndex=3&amp;refID=7072828&amp;Result=3","7072828")</f>
        <v>0</v>
      </c>
      <c r="B9287" t="s">
        <v>354</v>
      </c>
      <c r="C9287" t="s">
        <v>12266</v>
      </c>
      <c r="D9287" t="s">
        <v>17437</v>
      </c>
      <c r="E9287" t="s">
        <v>25452</v>
      </c>
      <c r="F9287" t="s">
        <v>30052</v>
      </c>
      <c r="G9287" t="s">
        <v>30058</v>
      </c>
      <c r="H9287" t="s">
        <v>30067</v>
      </c>
      <c r="I9287" t="s">
        <v>3693</v>
      </c>
      <c r="J9287" t="s">
        <v>31198</v>
      </c>
      <c r="K9287" t="s">
        <v>39046</v>
      </c>
      <c r="M9287" t="s">
        <v>39651</v>
      </c>
      <c r="N9287" t="s">
        <v>43166</v>
      </c>
      <c r="O9287" t="s">
        <v>43167</v>
      </c>
      <c r="P9287">
        <v>0</v>
      </c>
      <c r="Q9287">
        <v>2</v>
      </c>
      <c r="R9287" t="s">
        <v>43175</v>
      </c>
      <c r="S9287" t="s">
        <v>43460</v>
      </c>
      <c r="T9287" t="s">
        <v>44758</v>
      </c>
      <c r="U9287" t="s">
        <v>52650</v>
      </c>
      <c r="W9287" t="s">
        <v>39651</v>
      </c>
      <c r="X9287" t="s">
        <v>43176</v>
      </c>
    </row>
    <row r="9288" spans="1:24">
      <c r="A9288">
        <f>HYPERLINK("https://www.philgeps.gov.ph/GEPSNONPILOT/Tender/SplashBidNoticeAbstractUI.aspx?menuIndex=3&amp;refID=7072824&amp;Result=3","7072824")</f>
        <v>0</v>
      </c>
      <c r="B9288" t="s">
        <v>2736</v>
      </c>
      <c r="C9288" t="s">
        <v>12267</v>
      </c>
      <c r="D9288" t="s">
        <v>17416</v>
      </c>
      <c r="E9288" t="s">
        <v>25453</v>
      </c>
      <c r="F9288" t="s">
        <v>30052</v>
      </c>
      <c r="G9288" t="s">
        <v>30058</v>
      </c>
      <c r="H9288" t="s">
        <v>30067</v>
      </c>
      <c r="I9288" t="s">
        <v>3693</v>
      </c>
      <c r="J9288" t="s">
        <v>35871</v>
      </c>
      <c r="K9288" t="s">
        <v>39025</v>
      </c>
      <c r="M9288" t="s">
        <v>42266</v>
      </c>
      <c r="N9288" t="s">
        <v>43166</v>
      </c>
      <c r="O9288" t="s">
        <v>43167</v>
      </c>
      <c r="P9288">
        <v>0</v>
      </c>
      <c r="Q9288">
        <v>0</v>
      </c>
      <c r="R9288" t="s">
        <v>43175</v>
      </c>
      <c r="S9288" t="s">
        <v>43460</v>
      </c>
      <c r="T9288" t="s">
        <v>44787</v>
      </c>
      <c r="U9288" t="s">
        <v>52651</v>
      </c>
      <c r="W9288" t="s">
        <v>42266</v>
      </c>
      <c r="X9288" t="s">
        <v>43176</v>
      </c>
    </row>
    <row r="9289" spans="1:24">
      <c r="A9289">
        <f>HYPERLINK("https://www.philgeps.gov.ph/GEPSNONPILOT/Tender/SplashBidNoticeAbstractUI.aspx?menuIndex=3&amp;refID=7072924&amp;Result=3","7072924")</f>
        <v>0</v>
      </c>
      <c r="B9289" t="s">
        <v>390</v>
      </c>
      <c r="C9289" t="s">
        <v>12268</v>
      </c>
      <c r="D9289" t="s">
        <v>17415</v>
      </c>
      <c r="E9289" t="s">
        <v>25454</v>
      </c>
      <c r="F9289" t="s">
        <v>30052</v>
      </c>
      <c r="G9289" t="s">
        <v>30058</v>
      </c>
      <c r="H9289" t="s">
        <v>15498</v>
      </c>
      <c r="I9289" t="s">
        <v>30075</v>
      </c>
      <c r="J9289" t="s">
        <v>35872</v>
      </c>
      <c r="K9289" t="s">
        <v>39059</v>
      </c>
      <c r="M9289" t="s">
        <v>42267</v>
      </c>
      <c r="N9289" t="s">
        <v>43166</v>
      </c>
      <c r="O9289" t="s">
        <v>43167</v>
      </c>
      <c r="P9289">
        <v>0</v>
      </c>
      <c r="Q9289">
        <v>5</v>
      </c>
      <c r="R9289" t="s">
        <v>43175</v>
      </c>
      <c r="S9289" t="s">
        <v>43460</v>
      </c>
      <c r="T9289" t="s">
        <v>44725</v>
      </c>
      <c r="U9289" t="s">
        <v>52652</v>
      </c>
      <c r="W9289" t="s">
        <v>42267</v>
      </c>
      <c r="X9289" t="s">
        <v>43176</v>
      </c>
    </row>
    <row r="9290" spans="1:24">
      <c r="A9290">
        <f>HYPERLINK("https://www.philgeps.gov.ph/GEPSNONPILOT/Tender/SplashBidNoticeAbstractUI.aspx?menuIndex=3&amp;refID=7072917&amp;Result=3","7072917")</f>
        <v>0</v>
      </c>
      <c r="B9290" t="s">
        <v>813</v>
      </c>
      <c r="C9290" t="s">
        <v>12269</v>
      </c>
      <c r="D9290" t="s">
        <v>17426</v>
      </c>
      <c r="E9290" t="s">
        <v>25455</v>
      </c>
      <c r="F9290" t="s">
        <v>30052</v>
      </c>
      <c r="G9290" t="s">
        <v>30058</v>
      </c>
      <c r="H9290" t="s">
        <v>30067</v>
      </c>
      <c r="I9290" t="s">
        <v>3693</v>
      </c>
      <c r="J9290" t="s">
        <v>30252</v>
      </c>
      <c r="K9290" t="s">
        <v>39046</v>
      </c>
      <c r="M9290" t="s">
        <v>40130</v>
      </c>
      <c r="N9290" t="s">
        <v>43166</v>
      </c>
      <c r="O9290" t="s">
        <v>43167</v>
      </c>
      <c r="P9290">
        <v>0</v>
      </c>
      <c r="Q9290">
        <v>0</v>
      </c>
      <c r="R9290" t="s">
        <v>43175</v>
      </c>
      <c r="S9290" t="s">
        <v>43460</v>
      </c>
      <c r="T9290" t="s">
        <v>44944</v>
      </c>
      <c r="U9290" t="s">
        <v>46896</v>
      </c>
      <c r="W9290" t="s">
        <v>40130</v>
      </c>
      <c r="X9290" t="s">
        <v>43176</v>
      </c>
    </row>
    <row r="9291" spans="1:24">
      <c r="A9291">
        <f>HYPERLINK("https://www.philgeps.gov.ph/GEPSNONPILOT/Tender/SplashBidNoticeAbstractUI.aspx?menuIndex=3&amp;refID=7072905&amp;Result=3","7072905")</f>
        <v>0</v>
      </c>
      <c r="B9291" t="s">
        <v>2737</v>
      </c>
      <c r="C9291" t="s">
        <v>12270</v>
      </c>
      <c r="D9291" t="s">
        <v>17471</v>
      </c>
      <c r="E9291" t="s">
        <v>25456</v>
      </c>
      <c r="F9291" t="s">
        <v>30052</v>
      </c>
      <c r="G9291" t="s">
        <v>30058</v>
      </c>
      <c r="H9291" t="s">
        <v>30067</v>
      </c>
      <c r="I9291" t="s">
        <v>3693</v>
      </c>
      <c r="J9291" t="s">
        <v>35873</v>
      </c>
      <c r="K9291" t="s">
        <v>39046</v>
      </c>
      <c r="M9291" t="s">
        <v>42268</v>
      </c>
      <c r="N9291" t="s">
        <v>43166</v>
      </c>
      <c r="O9291" t="s">
        <v>43167</v>
      </c>
      <c r="P9291">
        <v>0</v>
      </c>
      <c r="Q9291">
        <v>2</v>
      </c>
      <c r="R9291" t="s">
        <v>43175</v>
      </c>
      <c r="S9291" t="s">
        <v>43460</v>
      </c>
      <c r="T9291" t="s">
        <v>44716</v>
      </c>
      <c r="U9291" t="s">
        <v>52653</v>
      </c>
      <c r="W9291" t="s">
        <v>42268</v>
      </c>
      <c r="X9291" t="s">
        <v>43176</v>
      </c>
    </row>
    <row r="9292" spans="1:24">
      <c r="A9292">
        <f>HYPERLINK("https://www.philgeps.gov.ph/GEPSNONPILOT/Tender/SplashBidNoticeAbstractUI.aspx?menuIndex=3&amp;refID=7072765&amp;Result=3","7072765")</f>
        <v>0</v>
      </c>
      <c r="B9292" t="s">
        <v>354</v>
      </c>
      <c r="C9292" t="s">
        <v>12271</v>
      </c>
      <c r="D9292" t="s">
        <v>17437</v>
      </c>
      <c r="E9292" t="s">
        <v>25457</v>
      </c>
      <c r="F9292" t="s">
        <v>30052</v>
      </c>
      <c r="G9292" t="s">
        <v>30058</v>
      </c>
      <c r="H9292" t="s">
        <v>30067</v>
      </c>
      <c r="I9292" t="s">
        <v>3693</v>
      </c>
      <c r="J9292" t="s">
        <v>35874</v>
      </c>
      <c r="K9292" t="s">
        <v>39022</v>
      </c>
      <c r="M9292" t="s">
        <v>39651</v>
      </c>
      <c r="N9292" t="s">
        <v>43166</v>
      </c>
      <c r="O9292" t="s">
        <v>43167</v>
      </c>
      <c r="P9292">
        <v>0</v>
      </c>
      <c r="Q9292">
        <v>0</v>
      </c>
      <c r="R9292" t="s">
        <v>43175</v>
      </c>
      <c r="S9292" t="s">
        <v>43460</v>
      </c>
      <c r="T9292" t="s">
        <v>44758</v>
      </c>
      <c r="U9292" t="s">
        <v>52654</v>
      </c>
      <c r="W9292" t="s">
        <v>39651</v>
      </c>
      <c r="X9292" t="s">
        <v>43177</v>
      </c>
    </row>
    <row r="9293" spans="1:24">
      <c r="A9293">
        <f>HYPERLINK("https://www.philgeps.gov.ph/GEPSNONPILOT/Tender/SplashBidNoticeAbstractUI.aspx?menuIndex=3&amp;refID=7072896&amp;Result=3","7072896")</f>
        <v>0</v>
      </c>
      <c r="B9293" t="s">
        <v>29</v>
      </c>
      <c r="C9293" t="s">
        <v>12272</v>
      </c>
      <c r="D9293" t="s">
        <v>17418</v>
      </c>
      <c r="E9293" t="s">
        <v>25458</v>
      </c>
      <c r="F9293" t="s">
        <v>30052</v>
      </c>
      <c r="G9293" t="s">
        <v>30058</v>
      </c>
      <c r="H9293" t="s">
        <v>30067</v>
      </c>
      <c r="I9293" t="s">
        <v>3693</v>
      </c>
      <c r="J9293" t="s">
        <v>35875</v>
      </c>
      <c r="K9293" t="s">
        <v>39081</v>
      </c>
      <c r="M9293" t="s">
        <v>39319</v>
      </c>
      <c r="N9293" t="s">
        <v>43166</v>
      </c>
      <c r="O9293" t="s">
        <v>43167</v>
      </c>
      <c r="P9293">
        <v>0</v>
      </c>
      <c r="Q9293">
        <v>0</v>
      </c>
      <c r="R9293" t="s">
        <v>43175</v>
      </c>
      <c r="S9293" t="s">
        <v>43460</v>
      </c>
      <c r="T9293" t="s">
        <v>45089</v>
      </c>
      <c r="U9293" t="s">
        <v>52655</v>
      </c>
      <c r="W9293" t="s">
        <v>39319</v>
      </c>
      <c r="X9293" t="s">
        <v>43176</v>
      </c>
    </row>
    <row r="9294" spans="1:24">
      <c r="A9294">
        <f>HYPERLINK("https://www.philgeps.gov.ph/GEPSNONPILOT/Tender/SplashBidNoticeAbstractUI.aspx?menuIndex=3&amp;refID=7072895&amp;Result=3","7072895")</f>
        <v>0</v>
      </c>
      <c r="B9294" t="s">
        <v>2738</v>
      </c>
      <c r="C9294" t="s">
        <v>12273</v>
      </c>
      <c r="D9294" t="s">
        <v>17468</v>
      </c>
      <c r="E9294" t="s">
        <v>19196</v>
      </c>
      <c r="F9294" t="s">
        <v>30055</v>
      </c>
      <c r="G9294" t="s">
        <v>30064</v>
      </c>
      <c r="H9294" t="s">
        <v>15498</v>
      </c>
      <c r="I9294" t="s">
        <v>3736</v>
      </c>
      <c r="J9294" t="s">
        <v>34018</v>
      </c>
      <c r="K9294" t="s">
        <v>39017</v>
      </c>
      <c r="M9294" t="s">
        <v>42269</v>
      </c>
      <c r="N9294" t="s">
        <v>43166</v>
      </c>
      <c r="O9294" t="s">
        <v>43167</v>
      </c>
      <c r="P9294">
        <v>0</v>
      </c>
      <c r="Q9294">
        <v>1</v>
      </c>
      <c r="R9294" t="s">
        <v>43175</v>
      </c>
      <c r="S9294" t="s">
        <v>43460</v>
      </c>
      <c r="T9294" t="s">
        <v>44724</v>
      </c>
      <c r="U9294" t="s">
        <v>52656</v>
      </c>
      <c r="W9294" t="s">
        <v>42269</v>
      </c>
      <c r="X9294" t="s">
        <v>43176</v>
      </c>
    </row>
    <row r="9295" spans="1:24">
      <c r="A9295">
        <f>HYPERLINK("https://www.philgeps.gov.ph/GEPSNONPILOT/Tender/SplashBidNoticeAbstractUI.aspx?menuIndex=3&amp;refID=7072886&amp;Result=3","7072886")</f>
        <v>0</v>
      </c>
      <c r="B9295" t="s">
        <v>2739</v>
      </c>
      <c r="C9295" t="s">
        <v>10717</v>
      </c>
      <c r="D9295" t="s">
        <v>17471</v>
      </c>
      <c r="E9295" t="s">
        <v>25459</v>
      </c>
      <c r="F9295" t="s">
        <v>30052</v>
      </c>
      <c r="G9295" t="s">
        <v>30058</v>
      </c>
      <c r="H9295" t="s">
        <v>30067</v>
      </c>
      <c r="I9295" t="s">
        <v>3693</v>
      </c>
      <c r="J9295" t="s">
        <v>35876</v>
      </c>
      <c r="K9295" t="s">
        <v>39031</v>
      </c>
      <c r="M9295" t="s">
        <v>42270</v>
      </c>
      <c r="N9295" t="s">
        <v>43166</v>
      </c>
      <c r="O9295" t="s">
        <v>43167</v>
      </c>
      <c r="P9295">
        <v>0</v>
      </c>
      <c r="Q9295">
        <v>0</v>
      </c>
      <c r="R9295" t="s">
        <v>43175</v>
      </c>
      <c r="S9295" t="s">
        <v>43460</v>
      </c>
      <c r="T9295" t="s">
        <v>44758</v>
      </c>
      <c r="U9295" t="s">
        <v>52657</v>
      </c>
      <c r="W9295" t="s">
        <v>42270</v>
      </c>
      <c r="X9295" t="s">
        <v>43176</v>
      </c>
    </row>
    <row r="9296" spans="1:24">
      <c r="A9296">
        <f>HYPERLINK("https://www.philgeps.gov.ph/GEPSNONPILOT/Tender/SplashBidNoticeAbstractUI.aspx?menuIndex=3&amp;refID=7072870&amp;Result=3","7072870")</f>
        <v>0</v>
      </c>
      <c r="B9296" t="s">
        <v>263</v>
      </c>
      <c r="C9296" t="s">
        <v>12274</v>
      </c>
      <c r="D9296" t="s">
        <v>17456</v>
      </c>
      <c r="E9296" t="s">
        <v>25460</v>
      </c>
      <c r="F9296" t="s">
        <v>30052</v>
      </c>
      <c r="G9296" t="s">
        <v>30058</v>
      </c>
      <c r="H9296" t="s">
        <v>15498</v>
      </c>
      <c r="I9296" t="s">
        <v>30106</v>
      </c>
      <c r="J9296" t="s">
        <v>30397</v>
      </c>
      <c r="K9296" t="s">
        <v>39029</v>
      </c>
      <c r="M9296" t="s">
        <v>39555</v>
      </c>
      <c r="N9296" t="s">
        <v>43166</v>
      </c>
      <c r="O9296" t="s">
        <v>43167</v>
      </c>
      <c r="P9296">
        <v>0</v>
      </c>
      <c r="Q9296">
        <v>7</v>
      </c>
      <c r="R9296" t="s">
        <v>43175</v>
      </c>
      <c r="S9296" t="s">
        <v>43460</v>
      </c>
      <c r="T9296" t="s">
        <v>44687</v>
      </c>
      <c r="U9296" t="s">
        <v>52658</v>
      </c>
      <c r="W9296" t="s">
        <v>39555</v>
      </c>
      <c r="X9296" t="s">
        <v>43176</v>
      </c>
    </row>
    <row r="9297" spans="1:24">
      <c r="A9297">
        <f>HYPERLINK("https://www.philgeps.gov.ph/GEPSNONPILOT/Tender/SplashBidNoticeAbstractUI.aspx?menuIndex=3&amp;refID=7072929&amp;Result=3","7072929")</f>
        <v>0</v>
      </c>
      <c r="B9297" t="s">
        <v>813</v>
      </c>
      <c r="C9297" t="s">
        <v>12275</v>
      </c>
      <c r="D9297" t="s">
        <v>17426</v>
      </c>
      <c r="E9297" t="s">
        <v>25461</v>
      </c>
      <c r="F9297" t="s">
        <v>30052</v>
      </c>
      <c r="G9297" t="s">
        <v>30058</v>
      </c>
      <c r="H9297" t="s">
        <v>30067</v>
      </c>
      <c r="I9297" t="s">
        <v>3693</v>
      </c>
      <c r="J9297" t="s">
        <v>30252</v>
      </c>
      <c r="K9297" t="s">
        <v>39046</v>
      </c>
      <c r="M9297" t="s">
        <v>40130</v>
      </c>
      <c r="N9297" t="s">
        <v>43166</v>
      </c>
      <c r="O9297" t="s">
        <v>43167</v>
      </c>
      <c r="P9297">
        <v>0</v>
      </c>
      <c r="Q9297">
        <v>0</v>
      </c>
      <c r="R9297" t="s">
        <v>43175</v>
      </c>
      <c r="S9297" t="s">
        <v>43460</v>
      </c>
      <c r="T9297" t="s">
        <v>44944</v>
      </c>
      <c r="U9297" t="s">
        <v>46896</v>
      </c>
      <c r="W9297" t="s">
        <v>40130</v>
      </c>
      <c r="X9297" t="s">
        <v>43176</v>
      </c>
    </row>
    <row r="9298" spans="1:24">
      <c r="A9298">
        <f>HYPERLINK("https://www.philgeps.gov.ph/GEPSNONPILOT/Tender/SplashBidNoticeAbstractUI.aspx?menuIndex=3&amp;refID=7072845&amp;Result=3","7072845")</f>
        <v>0</v>
      </c>
      <c r="B9298" t="s">
        <v>2740</v>
      </c>
      <c r="C9298" t="s">
        <v>12276</v>
      </c>
      <c r="D9298" t="s">
        <v>17471</v>
      </c>
      <c r="E9298" t="s">
        <v>25462</v>
      </c>
      <c r="F9298" t="s">
        <v>30052</v>
      </c>
      <c r="G9298" t="s">
        <v>30058</v>
      </c>
      <c r="H9298" t="s">
        <v>30067</v>
      </c>
      <c r="I9298" t="s">
        <v>3693</v>
      </c>
      <c r="J9298" t="s">
        <v>35877</v>
      </c>
      <c r="K9298" t="s">
        <v>39026</v>
      </c>
      <c r="M9298" t="s">
        <v>42271</v>
      </c>
      <c r="N9298" t="s">
        <v>43166</v>
      </c>
      <c r="O9298" t="s">
        <v>43167</v>
      </c>
      <c r="P9298">
        <v>0</v>
      </c>
      <c r="Q9298">
        <v>2</v>
      </c>
      <c r="R9298" t="s">
        <v>43175</v>
      </c>
      <c r="S9298" t="s">
        <v>43460</v>
      </c>
      <c r="T9298" t="s">
        <v>44758</v>
      </c>
      <c r="U9298" t="s">
        <v>52659</v>
      </c>
      <c r="W9298" t="s">
        <v>42271</v>
      </c>
      <c r="X9298" t="s">
        <v>43176</v>
      </c>
    </row>
    <row r="9299" spans="1:24">
      <c r="A9299">
        <f>HYPERLINK("https://www.philgeps.gov.ph/GEPSNONPILOT/Tender/SplashBidNoticeAbstractUI.aspx?menuIndex=3&amp;refID=7072903&amp;Result=3","7072903")</f>
        <v>0</v>
      </c>
      <c r="B9299" t="s">
        <v>2741</v>
      </c>
      <c r="C9299" t="s">
        <v>10717</v>
      </c>
      <c r="D9299" t="s">
        <v>17471</v>
      </c>
      <c r="E9299" t="s">
        <v>25463</v>
      </c>
      <c r="F9299" t="s">
        <v>30052</v>
      </c>
      <c r="G9299" t="s">
        <v>30058</v>
      </c>
      <c r="H9299" t="s">
        <v>30067</v>
      </c>
      <c r="I9299" t="s">
        <v>3693</v>
      </c>
      <c r="J9299" t="s">
        <v>35878</v>
      </c>
      <c r="K9299" t="s">
        <v>39031</v>
      </c>
      <c r="M9299" t="s">
        <v>42272</v>
      </c>
      <c r="N9299" t="s">
        <v>43166</v>
      </c>
      <c r="O9299" t="s">
        <v>43167</v>
      </c>
      <c r="P9299">
        <v>0</v>
      </c>
      <c r="Q9299">
        <v>1</v>
      </c>
      <c r="R9299" t="s">
        <v>43175</v>
      </c>
      <c r="S9299" t="s">
        <v>43460</v>
      </c>
      <c r="T9299" t="s">
        <v>44716</v>
      </c>
      <c r="U9299" t="s">
        <v>52660</v>
      </c>
      <c r="W9299" t="s">
        <v>42272</v>
      </c>
      <c r="X9299" t="s">
        <v>43176</v>
      </c>
    </row>
    <row r="9300" spans="1:24">
      <c r="A9300">
        <f>HYPERLINK("https://www.philgeps.gov.ph/GEPSNONPILOT/Tender/SplashBidNoticeAbstractUI.aspx?menuIndex=3&amp;refID=7072832&amp;Result=3","7072832")</f>
        <v>0</v>
      </c>
      <c r="B9300" t="s">
        <v>354</v>
      </c>
      <c r="C9300" t="s">
        <v>12277</v>
      </c>
      <c r="D9300" t="s">
        <v>17437</v>
      </c>
      <c r="E9300" t="s">
        <v>25464</v>
      </c>
      <c r="F9300" t="s">
        <v>30052</v>
      </c>
      <c r="G9300" t="s">
        <v>30058</v>
      </c>
      <c r="H9300" t="s">
        <v>30067</v>
      </c>
      <c r="I9300" t="s">
        <v>3693</v>
      </c>
      <c r="J9300" t="s">
        <v>35879</v>
      </c>
      <c r="K9300" t="s">
        <v>39029</v>
      </c>
      <c r="M9300" t="s">
        <v>39651</v>
      </c>
      <c r="N9300" t="s">
        <v>43166</v>
      </c>
      <c r="O9300" t="s">
        <v>43167</v>
      </c>
      <c r="P9300">
        <v>0</v>
      </c>
      <c r="Q9300">
        <v>2</v>
      </c>
      <c r="R9300" t="s">
        <v>43175</v>
      </c>
      <c r="S9300" t="s">
        <v>43460</v>
      </c>
      <c r="T9300" t="s">
        <v>44758</v>
      </c>
      <c r="U9300" t="s">
        <v>52661</v>
      </c>
      <c r="W9300" t="s">
        <v>39651</v>
      </c>
      <c r="X9300" t="s">
        <v>43176</v>
      </c>
    </row>
    <row r="9301" spans="1:24">
      <c r="A9301">
        <f>HYPERLINK("https://www.philgeps.gov.ph/GEPSNONPILOT/Tender/SplashBidNoticeAbstractUI.aspx?menuIndex=3&amp;refID=7072887&amp;Result=3","7072887")</f>
        <v>0</v>
      </c>
      <c r="B9301" t="s">
        <v>2742</v>
      </c>
      <c r="C9301" t="s">
        <v>12278</v>
      </c>
      <c r="D9301" t="s">
        <v>17488</v>
      </c>
      <c r="E9301" t="s">
        <v>25465</v>
      </c>
      <c r="F9301" t="s">
        <v>30052</v>
      </c>
      <c r="G9301" t="s">
        <v>30058</v>
      </c>
      <c r="H9301" t="s">
        <v>15498</v>
      </c>
      <c r="I9301" t="s">
        <v>3736</v>
      </c>
      <c r="J9301" t="s">
        <v>35880</v>
      </c>
      <c r="K9301" t="s">
        <v>39029</v>
      </c>
      <c r="M9301" t="s">
        <v>42273</v>
      </c>
      <c r="N9301" t="s">
        <v>43166</v>
      </c>
      <c r="O9301" t="s">
        <v>43167</v>
      </c>
      <c r="P9301">
        <v>0</v>
      </c>
      <c r="Q9301">
        <v>0</v>
      </c>
      <c r="R9301" t="s">
        <v>43175</v>
      </c>
      <c r="S9301" t="s">
        <v>43460</v>
      </c>
      <c r="T9301" t="s">
        <v>45093</v>
      </c>
      <c r="U9301" t="s">
        <v>52662</v>
      </c>
      <c r="W9301" t="s">
        <v>42273</v>
      </c>
      <c r="X9301" t="s">
        <v>43176</v>
      </c>
    </row>
    <row r="9302" spans="1:24">
      <c r="A9302">
        <f>HYPERLINK("https://www.philgeps.gov.ph/GEPSNONPILOT/Tender/SplashBidNoticeAbstractUI.aspx?menuIndex=3&amp;refID=7072755&amp;Result=3","7072755")</f>
        <v>0</v>
      </c>
      <c r="B9302" t="s">
        <v>2726</v>
      </c>
      <c r="C9302" t="s">
        <v>12279</v>
      </c>
      <c r="D9302" t="s">
        <v>17466</v>
      </c>
      <c r="E9302" t="s">
        <v>20440</v>
      </c>
      <c r="F9302" t="s">
        <v>30052</v>
      </c>
      <c r="G9302" t="s">
        <v>30058</v>
      </c>
      <c r="H9302" t="s">
        <v>15498</v>
      </c>
      <c r="I9302" t="s">
        <v>30097</v>
      </c>
      <c r="J9302" t="s">
        <v>30891</v>
      </c>
      <c r="K9302" t="s">
        <v>39039</v>
      </c>
      <c r="M9302" t="s">
        <v>42252</v>
      </c>
      <c r="N9302" t="s">
        <v>43166</v>
      </c>
      <c r="O9302" t="s">
        <v>43167</v>
      </c>
      <c r="P9302">
        <v>0</v>
      </c>
      <c r="Q9302">
        <v>0</v>
      </c>
      <c r="R9302" t="s">
        <v>43175</v>
      </c>
      <c r="S9302" t="s">
        <v>43460</v>
      </c>
      <c r="T9302" t="s">
        <v>44926</v>
      </c>
      <c r="U9302" t="s">
        <v>52663</v>
      </c>
      <c r="W9302" t="s">
        <v>42252</v>
      </c>
      <c r="X9302" t="s">
        <v>43177</v>
      </c>
    </row>
    <row r="9303" spans="1:24">
      <c r="A9303">
        <f>HYPERLINK("https://www.philgeps.gov.ph/GEPSNONPILOT/Tender/SplashBidNoticeAbstractUI.aspx?menuIndex=3&amp;refID=7072866&amp;Result=3","7072866")</f>
        <v>0</v>
      </c>
      <c r="B9303" t="s">
        <v>910</v>
      </c>
      <c r="C9303" t="s">
        <v>12280</v>
      </c>
      <c r="D9303" t="s">
        <v>17427</v>
      </c>
      <c r="E9303" t="s">
        <v>25466</v>
      </c>
      <c r="F9303" t="s">
        <v>30052</v>
      </c>
      <c r="G9303" t="s">
        <v>30058</v>
      </c>
      <c r="H9303" t="s">
        <v>15498</v>
      </c>
      <c r="I9303" t="s">
        <v>30081</v>
      </c>
      <c r="J9303" t="s">
        <v>35881</v>
      </c>
      <c r="K9303" t="s">
        <v>39029</v>
      </c>
      <c r="M9303" t="s">
        <v>41159</v>
      </c>
      <c r="N9303" t="s">
        <v>43166</v>
      </c>
      <c r="O9303" t="s">
        <v>43167</v>
      </c>
      <c r="P9303">
        <v>0</v>
      </c>
      <c r="Q9303">
        <v>4</v>
      </c>
      <c r="R9303" t="s">
        <v>43175</v>
      </c>
      <c r="S9303" t="s">
        <v>43460</v>
      </c>
      <c r="T9303" t="s">
        <v>44796</v>
      </c>
      <c r="U9303" t="s">
        <v>52664</v>
      </c>
      <c r="W9303" t="s">
        <v>41159</v>
      </c>
      <c r="X9303" t="s">
        <v>43176</v>
      </c>
    </row>
    <row r="9304" spans="1:24">
      <c r="A9304">
        <f>HYPERLINK("https://www.philgeps.gov.ph/GEPSNONPILOT/Tender/SplashBidNoticeAbstractUI.aspx?menuIndex=3&amp;refID=7072754&amp;Result=3","7072754")</f>
        <v>0</v>
      </c>
      <c r="B9304" t="s">
        <v>2726</v>
      </c>
      <c r="C9304" t="s">
        <v>12281</v>
      </c>
      <c r="D9304" t="s">
        <v>17466</v>
      </c>
      <c r="E9304" t="s">
        <v>23002</v>
      </c>
      <c r="F9304" t="s">
        <v>30052</v>
      </c>
      <c r="G9304" t="s">
        <v>30058</v>
      </c>
      <c r="H9304" t="s">
        <v>15498</v>
      </c>
      <c r="I9304" t="s">
        <v>30085</v>
      </c>
      <c r="J9304" t="s">
        <v>35882</v>
      </c>
      <c r="K9304" t="s">
        <v>39039</v>
      </c>
      <c r="M9304" t="s">
        <v>42252</v>
      </c>
      <c r="N9304" t="s">
        <v>43166</v>
      </c>
      <c r="O9304" t="s">
        <v>43167</v>
      </c>
      <c r="P9304">
        <v>0</v>
      </c>
      <c r="Q9304">
        <v>1</v>
      </c>
      <c r="R9304" t="s">
        <v>43175</v>
      </c>
      <c r="S9304" t="s">
        <v>43460</v>
      </c>
      <c r="T9304" t="s">
        <v>44926</v>
      </c>
      <c r="U9304" t="s">
        <v>52628</v>
      </c>
      <c r="W9304" t="s">
        <v>42252</v>
      </c>
      <c r="X9304" t="s">
        <v>43177</v>
      </c>
    </row>
    <row r="9305" spans="1:24">
      <c r="A9305">
        <f>HYPERLINK("https://www.philgeps.gov.ph/GEPSNONPILOT/Tender/SplashBidNoticeAbstractUI.aspx?menuIndex=3&amp;refID=7072327&amp;Result=3","7072327")</f>
        <v>0</v>
      </c>
      <c r="B9305" t="s">
        <v>1479</v>
      </c>
      <c r="C9305" t="s">
        <v>12282</v>
      </c>
      <c r="D9305" t="s">
        <v>17432</v>
      </c>
      <c r="E9305" t="s">
        <v>25467</v>
      </c>
      <c r="F9305" t="s">
        <v>30052</v>
      </c>
      <c r="G9305" t="s">
        <v>30058</v>
      </c>
      <c r="H9305" t="s">
        <v>30067</v>
      </c>
      <c r="I9305" t="s">
        <v>30127</v>
      </c>
      <c r="J9305" t="s">
        <v>35883</v>
      </c>
      <c r="K9305" t="s">
        <v>39033</v>
      </c>
      <c r="M9305" t="s">
        <v>40862</v>
      </c>
      <c r="N9305" t="s">
        <v>43166</v>
      </c>
      <c r="O9305" t="s">
        <v>43167</v>
      </c>
      <c r="P9305">
        <v>0</v>
      </c>
      <c r="Q9305">
        <v>2</v>
      </c>
      <c r="R9305" t="s">
        <v>43175</v>
      </c>
      <c r="S9305" t="s">
        <v>43460</v>
      </c>
      <c r="T9305" t="s">
        <v>45093</v>
      </c>
      <c r="U9305" t="s">
        <v>52665</v>
      </c>
      <c r="W9305" t="s">
        <v>40862</v>
      </c>
      <c r="X9305" t="s">
        <v>43177</v>
      </c>
    </row>
    <row r="9306" spans="1:24">
      <c r="A9306">
        <f>HYPERLINK("https://www.philgeps.gov.ph/GEPSNONPILOT/Tender/SplashBidNoticeAbstractUI.aspx?menuIndex=3&amp;refID=7072864&amp;Result=3","7072864")</f>
        <v>0</v>
      </c>
      <c r="B9306" t="s">
        <v>263</v>
      </c>
      <c r="C9306" t="s">
        <v>12283</v>
      </c>
      <c r="D9306" t="s">
        <v>17456</v>
      </c>
      <c r="E9306" t="s">
        <v>25468</v>
      </c>
      <c r="F9306" t="s">
        <v>30052</v>
      </c>
      <c r="G9306" t="s">
        <v>30058</v>
      </c>
      <c r="H9306" t="s">
        <v>15498</v>
      </c>
      <c r="I9306" t="s">
        <v>30076</v>
      </c>
      <c r="J9306" t="s">
        <v>35884</v>
      </c>
      <c r="K9306" t="s">
        <v>39029</v>
      </c>
      <c r="M9306" t="s">
        <v>39555</v>
      </c>
      <c r="N9306" t="s">
        <v>43166</v>
      </c>
      <c r="O9306" t="s">
        <v>43167</v>
      </c>
      <c r="P9306">
        <v>0</v>
      </c>
      <c r="Q9306">
        <v>5</v>
      </c>
      <c r="R9306" t="s">
        <v>43175</v>
      </c>
      <c r="S9306" t="s">
        <v>43460</v>
      </c>
      <c r="T9306" t="s">
        <v>44687</v>
      </c>
      <c r="U9306" t="s">
        <v>52666</v>
      </c>
      <c r="W9306" t="s">
        <v>39555</v>
      </c>
      <c r="X9306" t="s">
        <v>43176</v>
      </c>
    </row>
    <row r="9307" spans="1:24">
      <c r="A9307">
        <f>HYPERLINK("https://www.philgeps.gov.ph/GEPSNONPILOT/Tender/SplashBidNoticeAbstractUI.aspx?menuIndex=3&amp;refID=7072898&amp;Result=3","7072898")</f>
        <v>0</v>
      </c>
      <c r="B9307" t="s">
        <v>2743</v>
      </c>
      <c r="C9307" t="s">
        <v>12284</v>
      </c>
      <c r="D9307" t="s">
        <v>17415</v>
      </c>
      <c r="E9307" t="s">
        <v>25469</v>
      </c>
      <c r="F9307" t="s">
        <v>30052</v>
      </c>
      <c r="G9307" t="s">
        <v>30058</v>
      </c>
      <c r="H9307" t="s">
        <v>15498</v>
      </c>
      <c r="I9307" t="s">
        <v>30114</v>
      </c>
      <c r="J9307" t="s">
        <v>30542</v>
      </c>
      <c r="K9307" t="s">
        <v>39017</v>
      </c>
      <c r="M9307" t="s">
        <v>42274</v>
      </c>
      <c r="N9307" t="s">
        <v>43166</v>
      </c>
      <c r="O9307" t="s">
        <v>43167</v>
      </c>
      <c r="P9307">
        <v>0</v>
      </c>
      <c r="Q9307">
        <v>3</v>
      </c>
      <c r="R9307" t="s">
        <v>43175</v>
      </c>
      <c r="S9307" t="s">
        <v>43460</v>
      </c>
      <c r="T9307" t="s">
        <v>44714</v>
      </c>
      <c r="U9307" t="s">
        <v>52667</v>
      </c>
      <c r="W9307" t="s">
        <v>42274</v>
      </c>
      <c r="X9307" t="s">
        <v>43176</v>
      </c>
    </row>
    <row r="9308" spans="1:24">
      <c r="A9308">
        <f>HYPERLINK("https://www.philgeps.gov.ph/GEPSNONPILOT/Tender/SplashBidNoticeAbstractUI.aspx?menuIndex=3&amp;refID=7072833&amp;Result=3","7072833")</f>
        <v>0</v>
      </c>
      <c r="B9308" t="s">
        <v>2087</v>
      </c>
      <c r="C9308" t="s">
        <v>12285</v>
      </c>
      <c r="D9308" t="s">
        <v>17458</v>
      </c>
      <c r="E9308" t="s">
        <v>25470</v>
      </c>
      <c r="F9308" t="s">
        <v>30052</v>
      </c>
      <c r="G9308" t="s">
        <v>30058</v>
      </c>
      <c r="H9308" t="s">
        <v>15498</v>
      </c>
      <c r="I9308" t="s">
        <v>3736</v>
      </c>
      <c r="J9308" t="s">
        <v>35885</v>
      </c>
      <c r="K9308" t="s">
        <v>39029</v>
      </c>
      <c r="M9308" t="s">
        <v>42258</v>
      </c>
      <c r="N9308" t="s">
        <v>43166</v>
      </c>
      <c r="O9308" t="s">
        <v>43167</v>
      </c>
      <c r="P9308">
        <v>0</v>
      </c>
      <c r="Q9308">
        <v>1</v>
      </c>
      <c r="R9308" t="s">
        <v>43175</v>
      </c>
      <c r="S9308" t="s">
        <v>43460</v>
      </c>
      <c r="T9308" t="s">
        <v>44716</v>
      </c>
      <c r="U9308" t="s">
        <v>52668</v>
      </c>
      <c r="W9308" t="s">
        <v>42258</v>
      </c>
      <c r="X9308" t="s">
        <v>43176</v>
      </c>
    </row>
    <row r="9309" spans="1:24">
      <c r="A9309">
        <f>HYPERLINK("https://www.philgeps.gov.ph/GEPSNONPILOT/Tender/SplashBidNoticeAbstractUI.aspx?menuIndex=3&amp;refID=7072246&amp;Result=3","7072246")</f>
        <v>0</v>
      </c>
      <c r="B9309" t="s">
        <v>2145</v>
      </c>
      <c r="C9309" t="s">
        <v>12286</v>
      </c>
      <c r="D9309" t="s">
        <v>17414</v>
      </c>
      <c r="E9309" t="s">
        <v>25471</v>
      </c>
      <c r="F9309" t="s">
        <v>30052</v>
      </c>
      <c r="G9309" t="s">
        <v>30058</v>
      </c>
      <c r="H9309" t="s">
        <v>30067</v>
      </c>
      <c r="I9309" t="s">
        <v>3693</v>
      </c>
      <c r="J9309" t="s">
        <v>30239</v>
      </c>
      <c r="K9309" t="s">
        <v>39057</v>
      </c>
      <c r="M9309" t="s">
        <v>41609</v>
      </c>
      <c r="N9309" t="s">
        <v>43166</v>
      </c>
      <c r="O9309" t="s">
        <v>43167</v>
      </c>
      <c r="P9309">
        <v>0</v>
      </c>
      <c r="Q9309">
        <v>3</v>
      </c>
      <c r="R9309" t="s">
        <v>43175</v>
      </c>
      <c r="S9309" t="s">
        <v>43460</v>
      </c>
      <c r="T9309" t="s">
        <v>44815</v>
      </c>
      <c r="U9309" t="s">
        <v>52669</v>
      </c>
      <c r="W9309" t="s">
        <v>41609</v>
      </c>
      <c r="X9309" t="s">
        <v>43178</v>
      </c>
    </row>
    <row r="9310" spans="1:24">
      <c r="A9310">
        <f>HYPERLINK("https://www.philgeps.gov.ph/GEPSNONPILOT/Tender/SplashBidNoticeAbstractUI.aspx?menuIndex=3&amp;refID=7072236&amp;Result=3","7072236")</f>
        <v>0</v>
      </c>
      <c r="B9310" t="s">
        <v>2145</v>
      </c>
      <c r="C9310" t="s">
        <v>12287</v>
      </c>
      <c r="D9310" t="s">
        <v>17414</v>
      </c>
      <c r="E9310" t="s">
        <v>25472</v>
      </c>
      <c r="F9310" t="s">
        <v>30052</v>
      </c>
      <c r="G9310" t="s">
        <v>30058</v>
      </c>
      <c r="H9310" t="s">
        <v>15498</v>
      </c>
      <c r="I9310" t="s">
        <v>3736</v>
      </c>
      <c r="J9310" t="s">
        <v>35886</v>
      </c>
      <c r="K9310" t="s">
        <v>39029</v>
      </c>
      <c r="M9310" t="s">
        <v>41609</v>
      </c>
      <c r="N9310" t="s">
        <v>43166</v>
      </c>
      <c r="O9310" t="s">
        <v>43167</v>
      </c>
      <c r="P9310">
        <v>0</v>
      </c>
      <c r="Q9310">
        <v>0</v>
      </c>
      <c r="R9310" t="s">
        <v>43175</v>
      </c>
      <c r="S9310" t="s">
        <v>43460</v>
      </c>
      <c r="T9310" t="s">
        <v>44832</v>
      </c>
      <c r="U9310" t="s">
        <v>52670</v>
      </c>
      <c r="W9310" t="s">
        <v>41609</v>
      </c>
      <c r="X9310" t="s">
        <v>43178</v>
      </c>
    </row>
    <row r="9311" spans="1:24">
      <c r="A9311">
        <f>HYPERLINK("https://www.philgeps.gov.ph/GEPSNONPILOT/Tender/SplashBidNoticeAbstractUI.aspx?menuIndex=3&amp;refID=7072317&amp;Result=3","7072317")</f>
        <v>0</v>
      </c>
      <c r="B9311" t="s">
        <v>2744</v>
      </c>
      <c r="C9311" t="s">
        <v>12288</v>
      </c>
      <c r="D9311" t="s">
        <v>17454</v>
      </c>
      <c r="E9311" t="s">
        <v>19608</v>
      </c>
      <c r="F9311" t="s">
        <v>30052</v>
      </c>
      <c r="G9311" t="s">
        <v>30058</v>
      </c>
      <c r="H9311" t="s">
        <v>30067</v>
      </c>
      <c r="I9311" t="s">
        <v>30106</v>
      </c>
      <c r="J9311" t="s">
        <v>30588</v>
      </c>
      <c r="K9311" t="s">
        <v>39046</v>
      </c>
      <c r="M9311" t="s">
        <v>42275</v>
      </c>
      <c r="N9311" t="s">
        <v>43166</v>
      </c>
      <c r="O9311" t="s">
        <v>43167</v>
      </c>
      <c r="P9311">
        <v>0</v>
      </c>
      <c r="Q9311">
        <v>3</v>
      </c>
      <c r="R9311" t="s">
        <v>43175</v>
      </c>
      <c r="S9311" t="s">
        <v>43460</v>
      </c>
      <c r="T9311" t="s">
        <v>44873</v>
      </c>
      <c r="U9311" t="s">
        <v>52671</v>
      </c>
      <c r="W9311" t="s">
        <v>42275</v>
      </c>
      <c r="X9311" t="s">
        <v>43177</v>
      </c>
    </row>
    <row r="9312" spans="1:24">
      <c r="A9312">
        <f>HYPERLINK("https://www.philgeps.gov.ph/GEPSNONPILOT/Tender/SplashBidNoticeAbstractUI.aspx?menuIndex=3&amp;refID=7071910&amp;Result=3","7071910")</f>
        <v>0</v>
      </c>
      <c r="B9312" t="s">
        <v>2435</v>
      </c>
      <c r="C9312" t="s">
        <v>12289</v>
      </c>
      <c r="D9312" t="s">
        <v>17462</v>
      </c>
      <c r="E9312" t="s">
        <v>25473</v>
      </c>
      <c r="F9312" t="s">
        <v>30052</v>
      </c>
      <c r="G9312" t="s">
        <v>30058</v>
      </c>
      <c r="H9312" t="s">
        <v>15498</v>
      </c>
      <c r="I9312" t="s">
        <v>30098</v>
      </c>
      <c r="J9312" t="s">
        <v>35887</v>
      </c>
      <c r="K9312" t="s">
        <v>39029</v>
      </c>
      <c r="M9312" t="s">
        <v>41933</v>
      </c>
      <c r="N9312" t="s">
        <v>43166</v>
      </c>
      <c r="O9312" t="s">
        <v>43167</v>
      </c>
      <c r="P9312">
        <v>0</v>
      </c>
      <c r="Q9312">
        <v>15</v>
      </c>
      <c r="R9312" t="s">
        <v>43175</v>
      </c>
      <c r="S9312" t="s">
        <v>43460</v>
      </c>
      <c r="T9312" t="s">
        <v>44815</v>
      </c>
      <c r="U9312" t="s">
        <v>52672</v>
      </c>
      <c r="V9312" t="s">
        <v>57666</v>
      </c>
      <c r="W9312" t="s">
        <v>41933</v>
      </c>
      <c r="X9312" t="s">
        <v>43178</v>
      </c>
    </row>
    <row r="9313" spans="1:24">
      <c r="A9313">
        <f>HYPERLINK("https://www.philgeps.gov.ph/GEPSNONPILOT/Tender/SplashBidNoticeAbstractUI.aspx?menuIndex=3&amp;refID=7072253&amp;Result=3","7072253")</f>
        <v>0</v>
      </c>
      <c r="B9313" t="s">
        <v>246</v>
      </c>
      <c r="C9313" t="s">
        <v>12290</v>
      </c>
      <c r="D9313" t="s">
        <v>17439</v>
      </c>
      <c r="E9313" t="s">
        <v>25474</v>
      </c>
      <c r="F9313" t="s">
        <v>30052</v>
      </c>
      <c r="G9313" t="s">
        <v>30058</v>
      </c>
      <c r="H9313" t="s">
        <v>30067</v>
      </c>
      <c r="I9313" t="s">
        <v>3693</v>
      </c>
      <c r="J9313" t="s">
        <v>33637</v>
      </c>
      <c r="K9313" t="s">
        <v>39022</v>
      </c>
      <c r="M9313" t="s">
        <v>39536</v>
      </c>
      <c r="N9313" t="s">
        <v>43166</v>
      </c>
      <c r="O9313" t="s">
        <v>43167</v>
      </c>
      <c r="P9313">
        <v>0</v>
      </c>
      <c r="Q9313">
        <v>3</v>
      </c>
      <c r="R9313" t="s">
        <v>43175</v>
      </c>
      <c r="S9313" t="s">
        <v>43460</v>
      </c>
      <c r="T9313" t="s">
        <v>44714</v>
      </c>
      <c r="U9313" t="s">
        <v>52673</v>
      </c>
      <c r="W9313" t="s">
        <v>39536</v>
      </c>
      <c r="X9313" t="s">
        <v>43178</v>
      </c>
    </row>
    <row r="9314" spans="1:24">
      <c r="A9314">
        <f>HYPERLINK("https://www.philgeps.gov.ph/GEPSNONPILOT/Tender/SplashBidNoticeAbstractUI.aspx?menuIndex=3&amp;refID=7071901&amp;Result=3","7071901")</f>
        <v>0</v>
      </c>
      <c r="B9314" t="s">
        <v>974</v>
      </c>
      <c r="C9314" t="s">
        <v>12291</v>
      </c>
      <c r="D9314" t="s">
        <v>17453</v>
      </c>
      <c r="E9314" t="s">
        <v>25475</v>
      </c>
      <c r="F9314" t="s">
        <v>30052</v>
      </c>
      <c r="G9314" t="s">
        <v>30058</v>
      </c>
      <c r="H9314" t="s">
        <v>30067</v>
      </c>
      <c r="I9314" t="s">
        <v>3693</v>
      </c>
      <c r="J9314" t="s">
        <v>35888</v>
      </c>
      <c r="K9314" t="s">
        <v>39016</v>
      </c>
      <c r="M9314" t="s">
        <v>42220</v>
      </c>
      <c r="N9314" t="s">
        <v>43166</v>
      </c>
      <c r="O9314" t="s">
        <v>43167</v>
      </c>
      <c r="P9314">
        <v>0</v>
      </c>
      <c r="Q9314">
        <v>3</v>
      </c>
      <c r="R9314" t="s">
        <v>43175</v>
      </c>
      <c r="S9314" t="s">
        <v>43460</v>
      </c>
      <c r="T9314" t="s">
        <v>44853</v>
      </c>
      <c r="U9314" t="s">
        <v>52508</v>
      </c>
      <c r="W9314" t="s">
        <v>42220</v>
      </c>
      <c r="X9314" t="s">
        <v>43178</v>
      </c>
    </row>
    <row r="9315" spans="1:24">
      <c r="A9315">
        <f>HYPERLINK("https://www.philgeps.gov.ph/GEPSNONPILOT/Tender/SplashBidNoticeAbstractUI.aspx?menuIndex=3&amp;refID=7072231&amp;Result=3","7072231")</f>
        <v>0</v>
      </c>
      <c r="B9315" t="s">
        <v>2145</v>
      </c>
      <c r="C9315" t="s">
        <v>12292</v>
      </c>
      <c r="D9315" t="s">
        <v>17414</v>
      </c>
      <c r="E9315" t="s">
        <v>25476</v>
      </c>
      <c r="F9315" t="s">
        <v>30052</v>
      </c>
      <c r="G9315" t="s">
        <v>30058</v>
      </c>
      <c r="H9315" t="s">
        <v>15498</v>
      </c>
      <c r="I9315" t="s">
        <v>30081</v>
      </c>
      <c r="J9315" t="s">
        <v>35889</v>
      </c>
      <c r="K9315" t="s">
        <v>39029</v>
      </c>
      <c r="M9315" t="s">
        <v>41609</v>
      </c>
      <c r="N9315" t="s">
        <v>43166</v>
      </c>
      <c r="O9315" t="s">
        <v>43167</v>
      </c>
      <c r="P9315">
        <v>0</v>
      </c>
      <c r="Q9315">
        <v>0</v>
      </c>
      <c r="R9315" t="s">
        <v>43175</v>
      </c>
      <c r="S9315" t="s">
        <v>43460</v>
      </c>
      <c r="T9315" t="s">
        <v>44832</v>
      </c>
      <c r="U9315" t="s">
        <v>52674</v>
      </c>
      <c r="W9315" t="s">
        <v>41609</v>
      </c>
      <c r="X9315" t="s">
        <v>43178</v>
      </c>
    </row>
    <row r="9316" spans="1:24">
      <c r="A9316">
        <f>HYPERLINK("https://www.philgeps.gov.ph/GEPSNONPILOT/Tender/SplashBidNoticeAbstractUI.aspx?menuIndex=3&amp;refID=7071862&amp;Result=3","7071862")</f>
        <v>0</v>
      </c>
      <c r="B9316" t="s">
        <v>2745</v>
      </c>
      <c r="C9316" t="s">
        <v>12293</v>
      </c>
      <c r="D9316" t="s">
        <v>17484</v>
      </c>
      <c r="E9316" t="s">
        <v>22293</v>
      </c>
      <c r="F9316" t="s">
        <v>30052</v>
      </c>
      <c r="G9316" t="s">
        <v>30063</v>
      </c>
      <c r="H9316" t="s">
        <v>15498</v>
      </c>
      <c r="I9316" t="s">
        <v>3736</v>
      </c>
      <c r="J9316" t="s">
        <v>35890</v>
      </c>
      <c r="K9316" t="s">
        <v>39019</v>
      </c>
      <c r="M9316" t="s">
        <v>42276</v>
      </c>
      <c r="N9316" t="s">
        <v>43166</v>
      </c>
      <c r="O9316" t="s">
        <v>43167</v>
      </c>
      <c r="P9316">
        <v>0</v>
      </c>
      <c r="Q9316">
        <v>0</v>
      </c>
      <c r="R9316" t="s">
        <v>43175</v>
      </c>
      <c r="S9316" t="s">
        <v>43460</v>
      </c>
      <c r="T9316" t="s">
        <v>44699</v>
      </c>
      <c r="U9316" t="s">
        <v>52675</v>
      </c>
      <c r="W9316" t="s">
        <v>42276</v>
      </c>
      <c r="X9316" t="s">
        <v>43178</v>
      </c>
    </row>
    <row r="9317" spans="1:24">
      <c r="A9317">
        <f>HYPERLINK("https://www.philgeps.gov.ph/GEPSNONPILOT/Tender/SplashBidNoticeAbstractUI.aspx?menuIndex=3&amp;refID=7072737&amp;Result=3","7072737")</f>
        <v>0</v>
      </c>
      <c r="B9317" t="s">
        <v>354</v>
      </c>
      <c r="C9317" t="s">
        <v>12294</v>
      </c>
      <c r="D9317" t="s">
        <v>17437</v>
      </c>
      <c r="E9317" t="s">
        <v>25477</v>
      </c>
      <c r="F9317" t="s">
        <v>30052</v>
      </c>
      <c r="G9317" t="s">
        <v>30058</v>
      </c>
      <c r="H9317" t="s">
        <v>15498</v>
      </c>
      <c r="I9317" t="s">
        <v>30074</v>
      </c>
      <c r="J9317" t="s">
        <v>35891</v>
      </c>
      <c r="K9317" t="s">
        <v>39029</v>
      </c>
      <c r="M9317" t="s">
        <v>39651</v>
      </c>
      <c r="N9317" t="s">
        <v>43166</v>
      </c>
      <c r="O9317" t="s">
        <v>43167</v>
      </c>
      <c r="P9317">
        <v>0</v>
      </c>
      <c r="Q9317">
        <v>1</v>
      </c>
      <c r="R9317" t="s">
        <v>43175</v>
      </c>
      <c r="S9317" t="s">
        <v>43460</v>
      </c>
      <c r="T9317" t="s">
        <v>44758</v>
      </c>
      <c r="U9317" t="s">
        <v>52676</v>
      </c>
      <c r="W9317" t="s">
        <v>39651</v>
      </c>
      <c r="X9317" t="s">
        <v>43177</v>
      </c>
    </row>
    <row r="9318" spans="1:24">
      <c r="A9318">
        <f>HYPERLINK("https://www.philgeps.gov.ph/GEPSNONPILOT/Tender/SplashBidNoticeAbstractUI.aspx?menuIndex=3&amp;refID=7072935&amp;Result=3","7072935")</f>
        <v>0</v>
      </c>
      <c r="B9318" t="s">
        <v>1950</v>
      </c>
      <c r="C9318" t="s">
        <v>12295</v>
      </c>
      <c r="D9318" t="s">
        <v>17415</v>
      </c>
      <c r="E9318" t="s">
        <v>25478</v>
      </c>
      <c r="F9318" t="s">
        <v>30052</v>
      </c>
      <c r="G9318" t="s">
        <v>30058</v>
      </c>
      <c r="H9318" t="s">
        <v>30067</v>
      </c>
      <c r="I9318" t="s">
        <v>30170</v>
      </c>
      <c r="J9318" t="s">
        <v>35892</v>
      </c>
      <c r="K9318" t="s">
        <v>39057</v>
      </c>
      <c r="M9318" t="s">
        <v>42277</v>
      </c>
      <c r="N9318" t="s">
        <v>43166</v>
      </c>
      <c r="O9318" t="s">
        <v>43167</v>
      </c>
      <c r="P9318">
        <v>0</v>
      </c>
      <c r="Q9318">
        <v>11</v>
      </c>
      <c r="R9318" t="s">
        <v>43175</v>
      </c>
      <c r="S9318" t="s">
        <v>43460</v>
      </c>
      <c r="T9318" t="s">
        <v>44922</v>
      </c>
      <c r="U9318" t="s">
        <v>52677</v>
      </c>
      <c r="W9318" t="s">
        <v>42277</v>
      </c>
      <c r="X9318" t="s">
        <v>43176</v>
      </c>
    </row>
    <row r="9319" spans="1:24">
      <c r="A9319">
        <f>HYPERLINK("https://www.philgeps.gov.ph/GEPSNONPILOT/Tender/SplashBidNoticeAbstractUI.aspx?menuIndex=3&amp;refID=7071445&amp;Result=3","7071445")</f>
        <v>0</v>
      </c>
      <c r="B9319" t="s">
        <v>2715</v>
      </c>
      <c r="C9319" t="s">
        <v>12296</v>
      </c>
      <c r="D9319" t="s">
        <v>17453</v>
      </c>
      <c r="E9319" t="s">
        <v>25479</v>
      </c>
      <c r="F9319" t="s">
        <v>30052</v>
      </c>
      <c r="G9319" t="s">
        <v>30058</v>
      </c>
      <c r="H9319" t="s">
        <v>15498</v>
      </c>
      <c r="I9319" t="s">
        <v>30074</v>
      </c>
      <c r="J9319" t="s">
        <v>31198</v>
      </c>
      <c r="K9319" t="s">
        <v>39052</v>
      </c>
      <c r="M9319" t="s">
        <v>42240</v>
      </c>
      <c r="N9319" t="s">
        <v>43166</v>
      </c>
      <c r="O9319" t="s">
        <v>43167</v>
      </c>
      <c r="P9319">
        <v>0</v>
      </c>
      <c r="Q9319">
        <v>4</v>
      </c>
      <c r="R9319" t="s">
        <v>43175</v>
      </c>
      <c r="S9319" t="s">
        <v>43460</v>
      </c>
      <c r="T9319" t="s">
        <v>44853</v>
      </c>
      <c r="U9319" t="s">
        <v>52678</v>
      </c>
      <c r="V9319" t="s">
        <v>57809</v>
      </c>
      <c r="W9319" t="s">
        <v>42240</v>
      </c>
      <c r="X9319" t="s">
        <v>43178</v>
      </c>
    </row>
    <row r="9320" spans="1:24">
      <c r="A9320">
        <f>HYPERLINK("https://www.philgeps.gov.ph/GEPSNONPILOT/Tender/SplashBidNoticeAbstractUI.aspx?menuIndex=3&amp;refID=7072244&amp;Result=3","7072244")</f>
        <v>0</v>
      </c>
      <c r="B9320" t="s">
        <v>2145</v>
      </c>
      <c r="C9320" t="s">
        <v>12297</v>
      </c>
      <c r="D9320" t="s">
        <v>17414</v>
      </c>
      <c r="E9320" t="s">
        <v>25480</v>
      </c>
      <c r="F9320" t="s">
        <v>30052</v>
      </c>
      <c r="G9320" t="s">
        <v>30058</v>
      </c>
      <c r="H9320" t="s">
        <v>15498</v>
      </c>
      <c r="I9320" t="s">
        <v>3852</v>
      </c>
      <c r="J9320" t="s">
        <v>35893</v>
      </c>
      <c r="K9320" t="s">
        <v>39029</v>
      </c>
      <c r="M9320" t="s">
        <v>41609</v>
      </c>
      <c r="N9320" t="s">
        <v>43166</v>
      </c>
      <c r="O9320" t="s">
        <v>43167</v>
      </c>
      <c r="P9320">
        <v>0</v>
      </c>
      <c r="Q9320">
        <v>0</v>
      </c>
      <c r="R9320" t="s">
        <v>43175</v>
      </c>
      <c r="S9320" t="s">
        <v>43460</v>
      </c>
      <c r="T9320" t="s">
        <v>44832</v>
      </c>
      <c r="U9320" t="s">
        <v>52679</v>
      </c>
      <c r="W9320" t="s">
        <v>41609</v>
      </c>
      <c r="X9320" t="s">
        <v>43178</v>
      </c>
    </row>
    <row r="9321" spans="1:24">
      <c r="A9321">
        <f>HYPERLINK("https://www.philgeps.gov.ph/GEPSNONPILOT/Tender/SplashBidNoticeAbstractUI.aspx?menuIndex=3&amp;refID=7071905&amp;Result=3","7071905")</f>
        <v>0</v>
      </c>
      <c r="B9321" t="s">
        <v>138</v>
      </c>
      <c r="C9321" t="s">
        <v>12298</v>
      </c>
      <c r="D9321" t="s">
        <v>17508</v>
      </c>
      <c r="E9321" t="s">
        <v>25481</v>
      </c>
      <c r="F9321" t="s">
        <v>30052</v>
      </c>
      <c r="G9321" t="s">
        <v>30058</v>
      </c>
      <c r="H9321" t="s">
        <v>15498</v>
      </c>
      <c r="I9321" t="s">
        <v>30092</v>
      </c>
      <c r="J9321" t="s">
        <v>35620</v>
      </c>
      <c r="K9321" t="s">
        <v>39029</v>
      </c>
      <c r="M9321" t="s">
        <v>41707</v>
      </c>
      <c r="N9321" t="s">
        <v>43166</v>
      </c>
      <c r="O9321" t="s">
        <v>43167</v>
      </c>
      <c r="P9321">
        <v>0</v>
      </c>
      <c r="Q9321">
        <v>1</v>
      </c>
      <c r="R9321" t="s">
        <v>43175</v>
      </c>
      <c r="S9321" t="s">
        <v>43460</v>
      </c>
      <c r="T9321" t="s">
        <v>44725</v>
      </c>
      <c r="U9321" t="s">
        <v>52680</v>
      </c>
      <c r="W9321" t="s">
        <v>41707</v>
      </c>
      <c r="X9321" t="s">
        <v>43178</v>
      </c>
    </row>
    <row r="9322" spans="1:24">
      <c r="A9322">
        <f>HYPERLINK("https://www.philgeps.gov.ph/GEPSNONPILOT/Tender/SplashBidNoticeAbstractUI.aspx?menuIndex=3&amp;refID=7073054&amp;Result=3","7073054")</f>
        <v>0</v>
      </c>
      <c r="B9322" t="s">
        <v>1137</v>
      </c>
      <c r="C9322" t="s">
        <v>12299</v>
      </c>
      <c r="D9322" t="s">
        <v>17435</v>
      </c>
      <c r="E9322" t="s">
        <v>25482</v>
      </c>
      <c r="F9322" t="s">
        <v>30052</v>
      </c>
      <c r="G9322" t="s">
        <v>30058</v>
      </c>
      <c r="H9322" t="s">
        <v>30067</v>
      </c>
      <c r="I9322" t="s">
        <v>3693</v>
      </c>
      <c r="J9322" t="s">
        <v>35894</v>
      </c>
      <c r="K9322" t="s">
        <v>39031</v>
      </c>
      <c r="M9322" t="s">
        <v>40480</v>
      </c>
      <c r="N9322" t="s">
        <v>43166</v>
      </c>
      <c r="O9322" t="s">
        <v>43167</v>
      </c>
      <c r="P9322">
        <v>0</v>
      </c>
      <c r="Q9322">
        <v>2</v>
      </c>
      <c r="R9322" t="s">
        <v>43175</v>
      </c>
      <c r="S9322" t="s">
        <v>43460</v>
      </c>
      <c r="T9322" t="s">
        <v>44791</v>
      </c>
      <c r="U9322" t="s">
        <v>52681</v>
      </c>
      <c r="W9322" t="s">
        <v>40480</v>
      </c>
      <c r="X9322" t="s">
        <v>43176</v>
      </c>
    </row>
    <row r="9323" spans="1:24">
      <c r="A9323">
        <f>HYPERLINK("https://www.philgeps.gov.ph/GEPSNONPILOT/Tender/SplashBidNoticeAbstractUI.aspx?menuIndex=3&amp;refID=7071856&amp;Result=3","7071856")</f>
        <v>0</v>
      </c>
      <c r="B9323" t="s">
        <v>306</v>
      </c>
      <c r="C9323" t="s">
        <v>12300</v>
      </c>
      <c r="D9323" t="s">
        <v>17415</v>
      </c>
      <c r="E9323" t="s">
        <v>25483</v>
      </c>
      <c r="F9323" t="s">
        <v>30052</v>
      </c>
      <c r="G9323" t="s">
        <v>30058</v>
      </c>
      <c r="H9323" t="s">
        <v>15498</v>
      </c>
      <c r="I9323" t="s">
        <v>30081</v>
      </c>
      <c r="J9323" t="s">
        <v>35895</v>
      </c>
      <c r="K9323" t="s">
        <v>39029</v>
      </c>
      <c r="M9323" t="s">
        <v>39601</v>
      </c>
      <c r="N9323" t="s">
        <v>43166</v>
      </c>
      <c r="O9323" t="s">
        <v>43167</v>
      </c>
      <c r="P9323">
        <v>0</v>
      </c>
      <c r="Q9323">
        <v>2</v>
      </c>
      <c r="R9323" t="s">
        <v>43175</v>
      </c>
      <c r="S9323" t="s">
        <v>43460</v>
      </c>
      <c r="T9323" t="s">
        <v>44815</v>
      </c>
      <c r="U9323" t="s">
        <v>52682</v>
      </c>
      <c r="W9323" t="s">
        <v>39601</v>
      </c>
      <c r="X9323" t="s">
        <v>43178</v>
      </c>
    </row>
    <row r="9324" spans="1:24">
      <c r="A9324">
        <f>HYPERLINK("https://www.philgeps.gov.ph/GEPSNONPILOT/Tender/SplashBidNoticeAbstractUI.aspx?menuIndex=3&amp;refID=7071503&amp;Result=3","7071503")</f>
        <v>0</v>
      </c>
      <c r="B9324" t="s">
        <v>2711</v>
      </c>
      <c r="C9324" t="s">
        <v>12301</v>
      </c>
      <c r="D9324" t="s">
        <v>17450</v>
      </c>
      <c r="E9324" t="s">
        <v>25484</v>
      </c>
      <c r="F9324" t="s">
        <v>30052</v>
      </c>
      <c r="G9324" t="s">
        <v>30058</v>
      </c>
      <c r="H9324" t="s">
        <v>15498</v>
      </c>
      <c r="I9324" t="s">
        <v>30073</v>
      </c>
      <c r="J9324" t="s">
        <v>30252</v>
      </c>
      <c r="K9324" t="s">
        <v>39031</v>
      </c>
      <c r="M9324" t="s">
        <v>42236</v>
      </c>
      <c r="N9324" t="s">
        <v>43166</v>
      </c>
      <c r="O9324" t="s">
        <v>43167</v>
      </c>
      <c r="P9324">
        <v>0</v>
      </c>
      <c r="Q9324">
        <v>0</v>
      </c>
      <c r="R9324" t="s">
        <v>43175</v>
      </c>
      <c r="S9324" t="s">
        <v>43460</v>
      </c>
      <c r="T9324" t="s">
        <v>44773</v>
      </c>
      <c r="U9324" t="s">
        <v>52683</v>
      </c>
      <c r="W9324" t="s">
        <v>42236</v>
      </c>
      <c r="X9324" t="s">
        <v>43178</v>
      </c>
    </row>
    <row r="9325" spans="1:24">
      <c r="A9325">
        <f>HYPERLINK("https://www.philgeps.gov.ph/GEPSNONPILOT/Tender/SplashBidNoticeAbstractUI.aspx?menuIndex=3&amp;refID=7071456&amp;Result=3","7071456")</f>
        <v>0</v>
      </c>
      <c r="B9325" t="s">
        <v>2746</v>
      </c>
      <c r="C9325" t="s">
        <v>12302</v>
      </c>
      <c r="D9325" t="s">
        <v>17413</v>
      </c>
      <c r="E9325" t="s">
        <v>25485</v>
      </c>
      <c r="F9325" t="s">
        <v>30052</v>
      </c>
      <c r="G9325" t="s">
        <v>30058</v>
      </c>
      <c r="H9325" t="s">
        <v>30067</v>
      </c>
      <c r="I9325" t="s">
        <v>3693</v>
      </c>
      <c r="J9325" t="s">
        <v>35896</v>
      </c>
      <c r="K9325" t="s">
        <v>39116</v>
      </c>
      <c r="M9325" t="s">
        <v>42278</v>
      </c>
      <c r="N9325" t="s">
        <v>43166</v>
      </c>
      <c r="O9325" t="s">
        <v>43167</v>
      </c>
      <c r="P9325">
        <v>0</v>
      </c>
      <c r="Q9325">
        <v>1</v>
      </c>
      <c r="R9325" t="s">
        <v>43175</v>
      </c>
      <c r="S9325" t="s">
        <v>43460</v>
      </c>
      <c r="T9325" t="s">
        <v>45078</v>
      </c>
      <c r="U9325" t="s">
        <v>52684</v>
      </c>
      <c r="W9325" t="s">
        <v>42278</v>
      </c>
      <c r="X9325" t="s">
        <v>43178</v>
      </c>
    </row>
    <row r="9326" spans="1:24">
      <c r="A9326">
        <f>HYPERLINK("https://www.philgeps.gov.ph/GEPSNONPILOT/Tender/SplashBidNoticeAbstractUI.aspx?menuIndex=3&amp;refID=7073033&amp;Result=3","7073033")</f>
        <v>0</v>
      </c>
      <c r="B9326" t="s">
        <v>2747</v>
      </c>
      <c r="C9326" t="s">
        <v>9910</v>
      </c>
      <c r="D9326" t="s">
        <v>17413</v>
      </c>
      <c r="E9326" t="s">
        <v>17745</v>
      </c>
      <c r="F9326" t="s">
        <v>30052</v>
      </c>
      <c r="G9326" t="s">
        <v>30058</v>
      </c>
      <c r="H9326" t="s">
        <v>30067</v>
      </c>
      <c r="I9326" t="s">
        <v>3736</v>
      </c>
      <c r="J9326" t="s">
        <v>35897</v>
      </c>
      <c r="K9326" t="s">
        <v>39017</v>
      </c>
      <c r="M9326" t="s">
        <v>42279</v>
      </c>
      <c r="N9326" t="s">
        <v>43166</v>
      </c>
      <c r="O9326" t="s">
        <v>43167</v>
      </c>
      <c r="P9326">
        <v>0</v>
      </c>
      <c r="Q9326">
        <v>1</v>
      </c>
      <c r="R9326" t="s">
        <v>43175</v>
      </c>
      <c r="S9326" t="s">
        <v>43460</v>
      </c>
      <c r="T9326" t="s">
        <v>44746</v>
      </c>
      <c r="U9326" t="s">
        <v>52685</v>
      </c>
      <c r="W9326" t="s">
        <v>42279</v>
      </c>
      <c r="X9326" t="s">
        <v>43176</v>
      </c>
    </row>
    <row r="9327" spans="1:24">
      <c r="A9327">
        <f>HYPERLINK("https://www.philgeps.gov.ph/GEPSNONPILOT/Tender/SplashBidNoticeAbstractUI.aspx?menuIndex=3&amp;refID=7071915&amp;Result=3","7071915")</f>
        <v>0</v>
      </c>
      <c r="B9327" t="s">
        <v>306</v>
      </c>
      <c r="C9327" t="s">
        <v>12303</v>
      </c>
      <c r="D9327" t="s">
        <v>17415</v>
      </c>
      <c r="E9327" t="s">
        <v>25486</v>
      </c>
      <c r="F9327" t="s">
        <v>30052</v>
      </c>
      <c r="G9327" t="s">
        <v>30058</v>
      </c>
      <c r="H9327" t="s">
        <v>15498</v>
      </c>
      <c r="I9327" t="s">
        <v>30079</v>
      </c>
      <c r="J9327" t="s">
        <v>35898</v>
      </c>
      <c r="K9327" t="s">
        <v>39019</v>
      </c>
      <c r="M9327" t="s">
        <v>39601</v>
      </c>
      <c r="N9327" t="s">
        <v>43166</v>
      </c>
      <c r="O9327" t="s">
        <v>43167</v>
      </c>
      <c r="P9327">
        <v>0</v>
      </c>
      <c r="Q9327">
        <v>6</v>
      </c>
      <c r="R9327" t="s">
        <v>43175</v>
      </c>
      <c r="S9327" t="s">
        <v>43460</v>
      </c>
      <c r="T9327" t="s">
        <v>44815</v>
      </c>
      <c r="U9327" t="s">
        <v>52686</v>
      </c>
      <c r="W9327" t="s">
        <v>39601</v>
      </c>
      <c r="X9327" t="s">
        <v>43178</v>
      </c>
    </row>
    <row r="9328" spans="1:24">
      <c r="A9328">
        <f>HYPERLINK("https://www.philgeps.gov.ph/GEPSNONPILOT/Tender/SplashBidNoticeAbstractUI.aspx?menuIndex=3&amp;refID=7073029&amp;Result=3","7073029")</f>
        <v>0</v>
      </c>
      <c r="B9328" t="s">
        <v>64</v>
      </c>
      <c r="C9328" t="s">
        <v>12304</v>
      </c>
      <c r="D9328" t="s">
        <v>17415</v>
      </c>
      <c r="E9328" t="s">
        <v>18184</v>
      </c>
      <c r="F9328" t="s">
        <v>30052</v>
      </c>
      <c r="G9328" t="s">
        <v>30058</v>
      </c>
      <c r="H9328" t="s">
        <v>15498</v>
      </c>
      <c r="I9328" t="s">
        <v>4119</v>
      </c>
      <c r="J9328" t="s">
        <v>34613</v>
      </c>
      <c r="K9328" t="s">
        <v>39019</v>
      </c>
      <c r="M9328" t="s">
        <v>42280</v>
      </c>
      <c r="N9328" t="s">
        <v>43166</v>
      </c>
      <c r="O9328" t="s">
        <v>43167</v>
      </c>
      <c r="P9328">
        <v>0</v>
      </c>
      <c r="Q9328">
        <v>4</v>
      </c>
      <c r="R9328" t="s">
        <v>43175</v>
      </c>
      <c r="S9328" t="s">
        <v>43460</v>
      </c>
      <c r="T9328" t="s">
        <v>44806</v>
      </c>
      <c r="U9328" t="s">
        <v>52687</v>
      </c>
      <c r="V9328" t="s">
        <v>57833</v>
      </c>
      <c r="W9328" t="s">
        <v>42280</v>
      </c>
      <c r="X9328" t="s">
        <v>43176</v>
      </c>
    </row>
    <row r="9329" spans="1:24">
      <c r="A9329">
        <f>HYPERLINK("https://www.philgeps.gov.ph/GEPSNONPILOT/Tender/SplashBidNoticeAbstractUI.aspx?menuIndex=3&amp;refID=7073016&amp;Result=3","7073016")</f>
        <v>0</v>
      </c>
      <c r="B9329" t="s">
        <v>64</v>
      </c>
      <c r="C9329" t="s">
        <v>12305</v>
      </c>
      <c r="D9329" t="s">
        <v>17415</v>
      </c>
      <c r="E9329" t="s">
        <v>18240</v>
      </c>
      <c r="F9329" t="s">
        <v>30052</v>
      </c>
      <c r="G9329" t="s">
        <v>30058</v>
      </c>
      <c r="H9329" t="s">
        <v>15498</v>
      </c>
      <c r="I9329" t="s">
        <v>3852</v>
      </c>
      <c r="J9329" t="s">
        <v>33092</v>
      </c>
      <c r="K9329" t="s">
        <v>39019</v>
      </c>
      <c r="M9329" t="s">
        <v>42280</v>
      </c>
      <c r="N9329" t="s">
        <v>43166</v>
      </c>
      <c r="O9329" t="s">
        <v>43167</v>
      </c>
      <c r="P9329">
        <v>0</v>
      </c>
      <c r="Q9329">
        <v>2</v>
      </c>
      <c r="R9329" t="s">
        <v>43175</v>
      </c>
      <c r="S9329" t="s">
        <v>43460</v>
      </c>
      <c r="T9329" t="s">
        <v>44806</v>
      </c>
      <c r="U9329" t="s">
        <v>52688</v>
      </c>
      <c r="V9329" t="s">
        <v>57833</v>
      </c>
      <c r="W9329" t="s">
        <v>42280</v>
      </c>
      <c r="X9329" t="s">
        <v>43176</v>
      </c>
    </row>
    <row r="9330" spans="1:24">
      <c r="A9330">
        <f>HYPERLINK("https://www.philgeps.gov.ph/GEPSNONPILOT/Tender/SplashBidNoticeAbstractUI.aspx?menuIndex=3&amp;refID=7073008&amp;Result=3","7073008")</f>
        <v>0</v>
      </c>
      <c r="B9330" t="s">
        <v>532</v>
      </c>
      <c r="C9330" t="s">
        <v>12306</v>
      </c>
      <c r="D9330" t="s">
        <v>17467</v>
      </c>
      <c r="E9330" t="s">
        <v>25487</v>
      </c>
      <c r="F9330" t="s">
        <v>30052</v>
      </c>
      <c r="G9330" t="s">
        <v>30058</v>
      </c>
      <c r="H9330" t="s">
        <v>30067</v>
      </c>
      <c r="I9330" t="s">
        <v>3693</v>
      </c>
      <c r="J9330" t="s">
        <v>35899</v>
      </c>
      <c r="K9330" t="s">
        <v>39029</v>
      </c>
      <c r="M9330" t="s">
        <v>39834</v>
      </c>
      <c r="N9330" t="s">
        <v>43166</v>
      </c>
      <c r="O9330" t="s">
        <v>43167</v>
      </c>
      <c r="P9330">
        <v>0</v>
      </c>
      <c r="Q9330">
        <v>0</v>
      </c>
      <c r="R9330" t="s">
        <v>43175</v>
      </c>
      <c r="S9330" t="s">
        <v>43460</v>
      </c>
      <c r="T9330" t="s">
        <v>44751</v>
      </c>
      <c r="U9330" t="s">
        <v>52689</v>
      </c>
      <c r="W9330" t="s">
        <v>39834</v>
      </c>
      <c r="X9330" t="s">
        <v>43176</v>
      </c>
    </row>
    <row r="9331" spans="1:24">
      <c r="A9331">
        <f>HYPERLINK("https://www.philgeps.gov.ph/GEPSNONPILOT/Tender/SplashBidNoticeAbstractUI.aspx?menuIndex=3&amp;refID=7071070&amp;Result=3","7071070")</f>
        <v>0</v>
      </c>
      <c r="B9331" t="s">
        <v>2109</v>
      </c>
      <c r="C9331" t="s">
        <v>12307</v>
      </c>
      <c r="D9331" t="s">
        <v>17447</v>
      </c>
      <c r="E9331" t="s">
        <v>25488</v>
      </c>
      <c r="F9331" t="s">
        <v>30052</v>
      </c>
      <c r="G9331" t="s">
        <v>30065</v>
      </c>
      <c r="H9331" t="s">
        <v>30068</v>
      </c>
      <c r="I9331" t="s">
        <v>30068</v>
      </c>
      <c r="J9331" t="s">
        <v>34761</v>
      </c>
      <c r="K9331" t="s">
        <v>39065</v>
      </c>
      <c r="M9331" t="s">
        <v>41571</v>
      </c>
      <c r="N9331" t="s">
        <v>43166</v>
      </c>
      <c r="O9331" t="s">
        <v>43167</v>
      </c>
      <c r="P9331">
        <v>0</v>
      </c>
      <c r="Q9331">
        <v>6</v>
      </c>
      <c r="R9331" t="s">
        <v>43175</v>
      </c>
      <c r="S9331" t="s">
        <v>43460</v>
      </c>
      <c r="T9331" t="s">
        <v>44758</v>
      </c>
      <c r="U9331" t="s">
        <v>52690</v>
      </c>
      <c r="V9331" t="s">
        <v>57834</v>
      </c>
      <c r="W9331" t="s">
        <v>58673</v>
      </c>
      <c r="X9331" t="s">
        <v>43178</v>
      </c>
    </row>
    <row r="9332" spans="1:24">
      <c r="A9332">
        <f>HYPERLINK("https://www.philgeps.gov.ph/GEPSNONPILOT/Tender/SplashBidNoticeAbstractUI.aspx?menuIndex=3&amp;refID=7073050&amp;Result=3","7073050")</f>
        <v>0</v>
      </c>
      <c r="B9332" t="s">
        <v>2748</v>
      </c>
      <c r="C9332" t="s">
        <v>12308</v>
      </c>
      <c r="D9332" t="s">
        <v>17458</v>
      </c>
      <c r="E9332" t="s">
        <v>25489</v>
      </c>
      <c r="F9332" t="s">
        <v>30052</v>
      </c>
      <c r="G9332" t="s">
        <v>30063</v>
      </c>
      <c r="H9332" t="s">
        <v>15498</v>
      </c>
      <c r="I9332" t="s">
        <v>30151</v>
      </c>
      <c r="J9332" t="s">
        <v>35900</v>
      </c>
      <c r="K9332" t="s">
        <v>39029</v>
      </c>
      <c r="M9332" t="s">
        <v>42281</v>
      </c>
      <c r="N9332" t="s">
        <v>43166</v>
      </c>
      <c r="O9332" t="s">
        <v>43167</v>
      </c>
      <c r="P9332">
        <v>0</v>
      </c>
      <c r="Q9332">
        <v>2</v>
      </c>
      <c r="R9332" t="s">
        <v>43175</v>
      </c>
      <c r="S9332" t="s">
        <v>43460</v>
      </c>
      <c r="T9332" t="s">
        <v>45049</v>
      </c>
      <c r="U9332" t="s">
        <v>52691</v>
      </c>
      <c r="W9332" t="s">
        <v>42281</v>
      </c>
      <c r="X9332" t="s">
        <v>43176</v>
      </c>
    </row>
    <row r="9333" spans="1:24">
      <c r="A9333">
        <f>HYPERLINK("https://www.philgeps.gov.ph/GEPSNONPILOT/Tender/SplashBidNoticeAbstractUI.aspx?menuIndex=3&amp;refID=7072998&amp;Result=3","7072998")</f>
        <v>0</v>
      </c>
      <c r="B9333" t="s">
        <v>64</v>
      </c>
      <c r="C9333" t="s">
        <v>12309</v>
      </c>
      <c r="D9333" t="s">
        <v>17415</v>
      </c>
      <c r="E9333" t="s">
        <v>17715</v>
      </c>
      <c r="F9333" t="s">
        <v>30052</v>
      </c>
      <c r="G9333" t="s">
        <v>30058</v>
      </c>
      <c r="H9333" t="s">
        <v>15498</v>
      </c>
      <c r="I9333" t="s">
        <v>3852</v>
      </c>
      <c r="J9333" t="s">
        <v>30900</v>
      </c>
      <c r="K9333" t="s">
        <v>39017</v>
      </c>
      <c r="M9333" t="s">
        <v>42280</v>
      </c>
      <c r="N9333" t="s">
        <v>43166</v>
      </c>
      <c r="O9333" t="s">
        <v>43167</v>
      </c>
      <c r="P9333">
        <v>0</v>
      </c>
      <c r="Q9333">
        <v>2</v>
      </c>
      <c r="R9333" t="s">
        <v>43175</v>
      </c>
      <c r="S9333" t="s">
        <v>43460</v>
      </c>
      <c r="T9333" t="s">
        <v>44806</v>
      </c>
      <c r="U9333" t="s">
        <v>52692</v>
      </c>
      <c r="V9333" t="s">
        <v>57835</v>
      </c>
      <c r="W9333" t="s">
        <v>42280</v>
      </c>
      <c r="X9333" t="s">
        <v>43176</v>
      </c>
    </row>
    <row r="9334" spans="1:24">
      <c r="A9334">
        <f>HYPERLINK("https://www.philgeps.gov.ph/GEPSNONPILOT/Tender/SplashBidNoticeAbstractUI.aspx?menuIndex=3&amp;refID=7073044&amp;Result=3","7073044")</f>
        <v>0</v>
      </c>
      <c r="B9334" t="s">
        <v>2747</v>
      </c>
      <c r="C9334" t="s">
        <v>12310</v>
      </c>
      <c r="D9334" t="s">
        <v>17413</v>
      </c>
      <c r="E9334" t="s">
        <v>17745</v>
      </c>
      <c r="F9334" t="s">
        <v>30052</v>
      </c>
      <c r="G9334" t="s">
        <v>30058</v>
      </c>
      <c r="H9334" t="s">
        <v>15498</v>
      </c>
      <c r="I9334" t="s">
        <v>30091</v>
      </c>
      <c r="J9334" t="s">
        <v>30292</v>
      </c>
      <c r="K9334" t="s">
        <v>39017</v>
      </c>
      <c r="M9334" t="s">
        <v>42279</v>
      </c>
      <c r="N9334" t="s">
        <v>43166</v>
      </c>
      <c r="O9334" t="s">
        <v>43167</v>
      </c>
      <c r="P9334">
        <v>0</v>
      </c>
      <c r="Q9334">
        <v>2</v>
      </c>
      <c r="R9334" t="s">
        <v>43175</v>
      </c>
      <c r="S9334" t="s">
        <v>43460</v>
      </c>
      <c r="T9334" t="s">
        <v>45120</v>
      </c>
      <c r="U9334" t="s">
        <v>52693</v>
      </c>
      <c r="W9334" t="s">
        <v>42279</v>
      </c>
      <c r="X9334" t="s">
        <v>43176</v>
      </c>
    </row>
    <row r="9335" spans="1:24">
      <c r="A9335">
        <f>HYPERLINK("https://www.philgeps.gov.ph/GEPSNONPILOT/Tender/SplashBidNoticeAbstractUI.aspx?menuIndex=3&amp;refID=7072994&amp;Result=3","7072994")</f>
        <v>0</v>
      </c>
      <c r="B9335" t="s">
        <v>2749</v>
      </c>
      <c r="C9335" t="s">
        <v>10868</v>
      </c>
      <c r="D9335" t="s">
        <v>17448</v>
      </c>
      <c r="E9335" t="s">
        <v>24677</v>
      </c>
      <c r="F9335" t="s">
        <v>30052</v>
      </c>
      <c r="G9335" t="s">
        <v>30058</v>
      </c>
      <c r="H9335" t="s">
        <v>15498</v>
      </c>
      <c r="I9335" t="s">
        <v>30074</v>
      </c>
      <c r="J9335" t="s">
        <v>30555</v>
      </c>
      <c r="K9335" t="s">
        <v>39037</v>
      </c>
      <c r="M9335" t="s">
        <v>42282</v>
      </c>
      <c r="N9335" t="s">
        <v>43166</v>
      </c>
      <c r="O9335" t="s">
        <v>43167</v>
      </c>
      <c r="P9335">
        <v>0</v>
      </c>
      <c r="Q9335">
        <v>4</v>
      </c>
      <c r="R9335" t="s">
        <v>43175</v>
      </c>
      <c r="S9335" t="s">
        <v>43460</v>
      </c>
      <c r="T9335" t="s">
        <v>44787</v>
      </c>
      <c r="U9335" t="s">
        <v>52694</v>
      </c>
      <c r="W9335" t="s">
        <v>42282</v>
      </c>
      <c r="X9335" t="s">
        <v>43176</v>
      </c>
    </row>
    <row r="9336" spans="1:24">
      <c r="A9336">
        <f>HYPERLINK("https://www.philgeps.gov.ph/GEPSNONPILOT/Tender/SplashBidNoticeAbstractUI.aspx?menuIndex=3&amp;refID=7073022&amp;Result=3","7073022")</f>
        <v>0</v>
      </c>
      <c r="B9336" t="s">
        <v>64</v>
      </c>
      <c r="C9336" t="s">
        <v>12311</v>
      </c>
      <c r="D9336" t="s">
        <v>17415</v>
      </c>
      <c r="E9336" t="s">
        <v>18173</v>
      </c>
      <c r="F9336" t="s">
        <v>30052</v>
      </c>
      <c r="G9336" t="s">
        <v>30058</v>
      </c>
      <c r="H9336" t="s">
        <v>15498</v>
      </c>
      <c r="I9336" t="s">
        <v>4598</v>
      </c>
      <c r="J9336" t="s">
        <v>32664</v>
      </c>
      <c r="K9336" t="s">
        <v>39019</v>
      </c>
      <c r="M9336" t="s">
        <v>42280</v>
      </c>
      <c r="N9336" t="s">
        <v>43166</v>
      </c>
      <c r="O9336" t="s">
        <v>43167</v>
      </c>
      <c r="P9336">
        <v>0</v>
      </c>
      <c r="Q9336">
        <v>4</v>
      </c>
      <c r="R9336" t="s">
        <v>43175</v>
      </c>
      <c r="S9336" t="s">
        <v>43460</v>
      </c>
      <c r="T9336" t="s">
        <v>44806</v>
      </c>
      <c r="U9336" t="s">
        <v>52695</v>
      </c>
      <c r="V9336" t="s">
        <v>57833</v>
      </c>
      <c r="W9336" t="s">
        <v>42280</v>
      </c>
      <c r="X9336" t="s">
        <v>43176</v>
      </c>
    </row>
    <row r="9337" spans="1:24">
      <c r="A9337">
        <f>HYPERLINK("https://www.philgeps.gov.ph/GEPSNONPILOT/Tender/SplashBidNoticeAbstractUI.aspx?menuIndex=3&amp;refID=7072981&amp;Result=3","7072981")</f>
        <v>0</v>
      </c>
      <c r="B9337" t="s">
        <v>2750</v>
      </c>
      <c r="C9337" t="s">
        <v>12312</v>
      </c>
      <c r="D9337" t="s">
        <v>17413</v>
      </c>
      <c r="E9337" t="s">
        <v>17745</v>
      </c>
      <c r="F9337" t="s">
        <v>30052</v>
      </c>
      <c r="G9337" t="s">
        <v>30058</v>
      </c>
      <c r="H9337" t="s">
        <v>15498</v>
      </c>
      <c r="I9337" t="s">
        <v>30091</v>
      </c>
      <c r="J9337" t="s">
        <v>30230</v>
      </c>
      <c r="K9337" t="s">
        <v>39017</v>
      </c>
      <c r="M9337" t="s">
        <v>42283</v>
      </c>
      <c r="N9337" t="s">
        <v>43166</v>
      </c>
      <c r="O9337" t="s">
        <v>43167</v>
      </c>
      <c r="P9337">
        <v>0</v>
      </c>
      <c r="Q9337">
        <v>1</v>
      </c>
      <c r="R9337" t="s">
        <v>43175</v>
      </c>
      <c r="S9337" t="s">
        <v>43460</v>
      </c>
      <c r="T9337" t="s">
        <v>44918</v>
      </c>
      <c r="U9337" t="s">
        <v>52696</v>
      </c>
      <c r="W9337" t="s">
        <v>42283</v>
      </c>
      <c r="X9337" t="s">
        <v>43176</v>
      </c>
    </row>
    <row r="9338" spans="1:24">
      <c r="A9338">
        <f>HYPERLINK("https://www.philgeps.gov.ph/GEPSNONPILOT/Tender/SplashBidNoticeAbstractUI.aspx?menuIndex=3&amp;refID=7073010&amp;Result=3","7073010")</f>
        <v>0</v>
      </c>
      <c r="B9338" t="s">
        <v>64</v>
      </c>
      <c r="C9338" t="s">
        <v>12313</v>
      </c>
      <c r="D9338" t="s">
        <v>17415</v>
      </c>
      <c r="E9338" t="s">
        <v>21642</v>
      </c>
      <c r="F9338" t="s">
        <v>30052</v>
      </c>
      <c r="G9338" t="s">
        <v>30058</v>
      </c>
      <c r="H9338" t="s">
        <v>15498</v>
      </c>
      <c r="I9338" t="s">
        <v>3852</v>
      </c>
      <c r="J9338" t="s">
        <v>30218</v>
      </c>
      <c r="K9338" t="s">
        <v>39017</v>
      </c>
      <c r="M9338" t="s">
        <v>42280</v>
      </c>
      <c r="N9338" t="s">
        <v>43166</v>
      </c>
      <c r="O9338" t="s">
        <v>43167</v>
      </c>
      <c r="P9338">
        <v>0</v>
      </c>
      <c r="Q9338">
        <v>3</v>
      </c>
      <c r="R9338" t="s">
        <v>43175</v>
      </c>
      <c r="S9338" t="s">
        <v>43460</v>
      </c>
      <c r="T9338" t="s">
        <v>44806</v>
      </c>
      <c r="U9338" t="s">
        <v>52697</v>
      </c>
      <c r="V9338" t="s">
        <v>57835</v>
      </c>
      <c r="W9338" t="s">
        <v>42280</v>
      </c>
      <c r="X9338" t="s">
        <v>43176</v>
      </c>
    </row>
    <row r="9339" spans="1:24">
      <c r="A9339">
        <f>HYPERLINK("https://www.philgeps.gov.ph/GEPSNONPILOT/Tender/SplashBidNoticeAbstractUI.aspx?menuIndex=3&amp;refID=7072951&amp;Result=3","7072951")</f>
        <v>0</v>
      </c>
      <c r="B9339" t="s">
        <v>2751</v>
      </c>
      <c r="C9339" t="s">
        <v>12314</v>
      </c>
      <c r="D9339" t="s">
        <v>17424</v>
      </c>
      <c r="E9339" t="s">
        <v>21642</v>
      </c>
      <c r="F9339" t="s">
        <v>30052</v>
      </c>
      <c r="G9339" t="s">
        <v>30058</v>
      </c>
      <c r="H9339" t="s">
        <v>15498</v>
      </c>
      <c r="I9339" t="s">
        <v>3736</v>
      </c>
      <c r="J9339" t="s">
        <v>35901</v>
      </c>
      <c r="K9339" t="s">
        <v>39029</v>
      </c>
      <c r="M9339" t="s">
        <v>42284</v>
      </c>
      <c r="N9339" t="s">
        <v>43166</v>
      </c>
      <c r="O9339" t="s">
        <v>43167</v>
      </c>
      <c r="P9339">
        <v>0</v>
      </c>
      <c r="Q9339">
        <v>0</v>
      </c>
      <c r="R9339" t="s">
        <v>43175</v>
      </c>
      <c r="S9339" t="s">
        <v>43460</v>
      </c>
      <c r="T9339" t="s">
        <v>44691</v>
      </c>
      <c r="U9339" t="s">
        <v>52698</v>
      </c>
      <c r="W9339" t="s">
        <v>42284</v>
      </c>
      <c r="X9339" t="s">
        <v>43176</v>
      </c>
    </row>
    <row r="9340" spans="1:24">
      <c r="A9340">
        <f>HYPERLINK("https://www.philgeps.gov.ph/GEPSNONPILOT/Tender/SplashBidNoticeAbstractUI.aspx?menuIndex=3&amp;refID=7072950&amp;Result=3","7072950")</f>
        <v>0</v>
      </c>
      <c r="B9340" t="s">
        <v>2726</v>
      </c>
      <c r="C9340" t="s">
        <v>12315</v>
      </c>
      <c r="D9340" t="s">
        <v>17466</v>
      </c>
      <c r="E9340" t="s">
        <v>20582</v>
      </c>
      <c r="F9340" t="s">
        <v>30052</v>
      </c>
      <c r="G9340" t="s">
        <v>30058</v>
      </c>
      <c r="H9340" t="s">
        <v>15498</v>
      </c>
      <c r="I9340" t="s">
        <v>8323</v>
      </c>
      <c r="J9340" t="s">
        <v>35902</v>
      </c>
      <c r="K9340" t="s">
        <v>39039</v>
      </c>
      <c r="M9340" t="s">
        <v>42252</v>
      </c>
      <c r="N9340" t="s">
        <v>43166</v>
      </c>
      <c r="O9340" t="s">
        <v>43167</v>
      </c>
      <c r="P9340">
        <v>0</v>
      </c>
      <c r="Q9340">
        <v>1</v>
      </c>
      <c r="R9340" t="s">
        <v>43175</v>
      </c>
      <c r="S9340" t="s">
        <v>43460</v>
      </c>
      <c r="T9340" t="s">
        <v>44926</v>
      </c>
      <c r="U9340" t="s">
        <v>52699</v>
      </c>
      <c r="W9340" t="s">
        <v>42252</v>
      </c>
      <c r="X9340" t="s">
        <v>43176</v>
      </c>
    </row>
    <row r="9341" spans="1:24">
      <c r="A9341">
        <f>HYPERLINK("https://www.philgeps.gov.ph/GEPSNONPILOT/Tender/SplashBidNoticeAbstractUI.aspx?menuIndex=3&amp;refID=7073023&amp;Result=3","7073023")</f>
        <v>0</v>
      </c>
      <c r="B9341" t="s">
        <v>76</v>
      </c>
      <c r="C9341" t="s">
        <v>12316</v>
      </c>
      <c r="D9341" t="s">
        <v>17443</v>
      </c>
      <c r="E9341" t="s">
        <v>17585</v>
      </c>
      <c r="F9341" t="s">
        <v>30052</v>
      </c>
      <c r="G9341" t="s">
        <v>30058</v>
      </c>
      <c r="H9341" t="s">
        <v>30067</v>
      </c>
      <c r="I9341" t="s">
        <v>3693</v>
      </c>
      <c r="J9341" t="s">
        <v>35903</v>
      </c>
      <c r="K9341" t="s">
        <v>39029</v>
      </c>
      <c r="M9341" t="s">
        <v>39365</v>
      </c>
      <c r="N9341" t="s">
        <v>43166</v>
      </c>
      <c r="O9341" t="s">
        <v>43167</v>
      </c>
      <c r="P9341">
        <v>0</v>
      </c>
      <c r="Q9341">
        <v>1</v>
      </c>
      <c r="R9341" t="s">
        <v>43175</v>
      </c>
      <c r="S9341" t="s">
        <v>43460</v>
      </c>
      <c r="T9341" t="s">
        <v>45093</v>
      </c>
      <c r="U9341" t="s">
        <v>52700</v>
      </c>
      <c r="W9341" t="s">
        <v>39365</v>
      </c>
      <c r="X9341" t="s">
        <v>43176</v>
      </c>
    </row>
    <row r="9342" spans="1:24">
      <c r="A9342">
        <f>HYPERLINK("https://www.philgeps.gov.ph/GEPSNONPILOT/Tender/SplashBidNoticeAbstractUI.aspx?menuIndex=3&amp;refID=7072987&amp;Result=3","7072987")</f>
        <v>0</v>
      </c>
      <c r="B9342" t="s">
        <v>2752</v>
      </c>
      <c r="C9342" t="s">
        <v>12317</v>
      </c>
      <c r="D9342" t="s">
        <v>17471</v>
      </c>
      <c r="E9342" t="s">
        <v>25490</v>
      </c>
      <c r="F9342" t="s">
        <v>30052</v>
      </c>
      <c r="G9342" t="s">
        <v>30058</v>
      </c>
      <c r="H9342" t="s">
        <v>30067</v>
      </c>
      <c r="I9342" t="s">
        <v>3693</v>
      </c>
      <c r="J9342" t="s">
        <v>35904</v>
      </c>
      <c r="K9342" t="s">
        <v>39026</v>
      </c>
      <c r="M9342" t="s">
        <v>42285</v>
      </c>
      <c r="N9342" t="s">
        <v>43166</v>
      </c>
      <c r="O9342" t="s">
        <v>43167</v>
      </c>
      <c r="Q9342">
        <v>1</v>
      </c>
      <c r="R9342" t="s">
        <v>43175</v>
      </c>
      <c r="S9342" t="s">
        <v>43478</v>
      </c>
      <c r="T9342" t="s">
        <v>44758</v>
      </c>
      <c r="U9342" t="s">
        <v>52701</v>
      </c>
      <c r="W9342" t="s">
        <v>42285</v>
      </c>
      <c r="X9342" t="s">
        <v>43176</v>
      </c>
    </row>
    <row r="9343" spans="1:24">
      <c r="A9343">
        <f>HYPERLINK("https://www.philgeps.gov.ph/GEPSNONPILOT/Tender/SplashBidNoticeAbstractUI.aspx?menuIndex=3&amp;refID=7070980&amp;Result=3","7070980")</f>
        <v>0</v>
      </c>
      <c r="B9343" t="s">
        <v>244</v>
      </c>
      <c r="C9343" t="s">
        <v>12318</v>
      </c>
      <c r="D9343" t="s">
        <v>17414</v>
      </c>
      <c r="E9343" t="s">
        <v>25491</v>
      </c>
      <c r="F9343" t="s">
        <v>30052</v>
      </c>
      <c r="G9343" t="s">
        <v>30058</v>
      </c>
      <c r="H9343" t="s">
        <v>30067</v>
      </c>
      <c r="I9343" t="s">
        <v>3693</v>
      </c>
      <c r="J9343" t="s">
        <v>30281</v>
      </c>
      <c r="K9343" t="s">
        <v>39161</v>
      </c>
      <c r="M9343" t="s">
        <v>39534</v>
      </c>
      <c r="N9343" t="s">
        <v>43166</v>
      </c>
      <c r="O9343" t="s">
        <v>43167</v>
      </c>
      <c r="P9343">
        <v>0</v>
      </c>
      <c r="Q9343">
        <v>2</v>
      </c>
      <c r="R9343" t="s">
        <v>43175</v>
      </c>
      <c r="S9343" t="s">
        <v>43460</v>
      </c>
      <c r="T9343" t="s">
        <v>44873</v>
      </c>
      <c r="U9343" t="s">
        <v>52702</v>
      </c>
      <c r="V9343" t="s">
        <v>56883</v>
      </c>
      <c r="W9343" t="s">
        <v>39534</v>
      </c>
      <c r="X9343" t="s">
        <v>43178</v>
      </c>
    </row>
    <row r="9344" spans="1:24">
      <c r="A9344">
        <f>HYPERLINK("https://www.philgeps.gov.ph/GEPSNONPILOT/Tender/SplashBidNoticeAbstractUI.aspx?menuIndex=3&amp;refID=7070955&amp;Result=3","7070955")</f>
        <v>0</v>
      </c>
      <c r="B9344" t="s">
        <v>2753</v>
      </c>
      <c r="C9344" t="s">
        <v>12319</v>
      </c>
      <c r="D9344" t="s">
        <v>17432</v>
      </c>
      <c r="E9344" t="s">
        <v>22644</v>
      </c>
      <c r="F9344" t="s">
        <v>30052</v>
      </c>
      <c r="G9344" t="s">
        <v>30058</v>
      </c>
      <c r="H9344" t="s">
        <v>15498</v>
      </c>
      <c r="I9344" t="s">
        <v>3736</v>
      </c>
      <c r="J9344" t="s">
        <v>35905</v>
      </c>
      <c r="K9344" t="s">
        <v>39029</v>
      </c>
      <c r="M9344" t="s">
        <v>42286</v>
      </c>
      <c r="N9344" t="s">
        <v>43166</v>
      </c>
      <c r="O9344" t="s">
        <v>43167</v>
      </c>
      <c r="P9344">
        <v>0</v>
      </c>
      <c r="Q9344">
        <v>2</v>
      </c>
      <c r="R9344" t="s">
        <v>43175</v>
      </c>
      <c r="S9344" t="s">
        <v>43460</v>
      </c>
      <c r="T9344" t="s">
        <v>44724</v>
      </c>
      <c r="U9344" t="s">
        <v>52703</v>
      </c>
      <c r="W9344" t="s">
        <v>42286</v>
      </c>
      <c r="X9344" t="s">
        <v>43178</v>
      </c>
    </row>
    <row r="9345" spans="1:24">
      <c r="A9345">
        <f>HYPERLINK("https://www.philgeps.gov.ph/GEPSNONPILOT/Tender/SplashBidNoticeAbstractUI.aspx?menuIndex=3&amp;refID=7072954&amp;Result=3","7072954")</f>
        <v>0</v>
      </c>
      <c r="B9345" t="s">
        <v>2726</v>
      </c>
      <c r="C9345" t="s">
        <v>12244</v>
      </c>
      <c r="D9345" t="s">
        <v>17466</v>
      </c>
      <c r="E9345" t="s">
        <v>20712</v>
      </c>
      <c r="F9345" t="s">
        <v>30052</v>
      </c>
      <c r="G9345" t="s">
        <v>30058</v>
      </c>
      <c r="H9345" t="s">
        <v>15498</v>
      </c>
      <c r="I9345" t="s">
        <v>4119</v>
      </c>
      <c r="J9345" t="s">
        <v>35906</v>
      </c>
      <c r="K9345" t="s">
        <v>39039</v>
      </c>
      <c r="M9345" t="s">
        <v>42252</v>
      </c>
      <c r="N9345" t="s">
        <v>43166</v>
      </c>
      <c r="O9345" t="s">
        <v>43167</v>
      </c>
      <c r="P9345">
        <v>0</v>
      </c>
      <c r="Q9345">
        <v>4</v>
      </c>
      <c r="R9345" t="s">
        <v>43175</v>
      </c>
      <c r="S9345" t="s">
        <v>43460</v>
      </c>
      <c r="T9345" t="s">
        <v>44926</v>
      </c>
      <c r="U9345" t="s">
        <v>46842</v>
      </c>
      <c r="W9345" t="s">
        <v>42252</v>
      </c>
      <c r="X9345" t="s">
        <v>43176</v>
      </c>
    </row>
    <row r="9346" spans="1:24">
      <c r="A9346">
        <f>HYPERLINK("https://www.philgeps.gov.ph/GEPSNONPILOT/Tender/SplashBidNoticeAbstractUI.aspx?menuIndex=3&amp;refID=7070900&amp;Result=3","7070900")</f>
        <v>0</v>
      </c>
      <c r="B9346" t="s">
        <v>2753</v>
      </c>
      <c r="C9346" t="s">
        <v>12320</v>
      </c>
      <c r="D9346" t="s">
        <v>17432</v>
      </c>
      <c r="E9346" t="s">
        <v>25360</v>
      </c>
      <c r="F9346" t="s">
        <v>30052</v>
      </c>
      <c r="G9346" t="s">
        <v>30058</v>
      </c>
      <c r="H9346" t="s">
        <v>15498</v>
      </c>
      <c r="I9346" t="s">
        <v>30098</v>
      </c>
      <c r="J9346" t="s">
        <v>30207</v>
      </c>
      <c r="K9346" t="s">
        <v>39029</v>
      </c>
      <c r="M9346" t="s">
        <v>42286</v>
      </c>
      <c r="N9346" t="s">
        <v>43166</v>
      </c>
      <c r="O9346" t="s">
        <v>43167</v>
      </c>
      <c r="P9346">
        <v>0</v>
      </c>
      <c r="Q9346">
        <v>0</v>
      </c>
      <c r="R9346" t="s">
        <v>43175</v>
      </c>
      <c r="S9346" t="s">
        <v>43460</v>
      </c>
      <c r="T9346" t="s">
        <v>44724</v>
      </c>
      <c r="U9346" t="s">
        <v>52704</v>
      </c>
      <c r="W9346" t="s">
        <v>42286</v>
      </c>
      <c r="X9346" t="s">
        <v>43178</v>
      </c>
    </row>
    <row r="9347" spans="1:24">
      <c r="A9347">
        <f>HYPERLINK("https://www.philgeps.gov.ph/GEPSNONPILOT/Tender/SplashBidNoticeAbstractUI.aspx?menuIndex=3&amp;refID=7070589&amp;Result=3","7070589")</f>
        <v>0</v>
      </c>
      <c r="B9347" t="s">
        <v>2703</v>
      </c>
      <c r="C9347" t="s">
        <v>3971</v>
      </c>
      <c r="D9347" t="s">
        <v>17444</v>
      </c>
      <c r="E9347" t="s">
        <v>17745</v>
      </c>
      <c r="F9347" t="s">
        <v>30052</v>
      </c>
      <c r="G9347" t="s">
        <v>30059</v>
      </c>
      <c r="H9347" t="s">
        <v>15498</v>
      </c>
      <c r="I9347" t="s">
        <v>30070</v>
      </c>
      <c r="J9347" t="s">
        <v>30292</v>
      </c>
      <c r="K9347" t="s">
        <v>39017</v>
      </c>
      <c r="M9347" t="s">
        <v>42227</v>
      </c>
      <c r="N9347" t="s">
        <v>43166</v>
      </c>
      <c r="O9347" t="s">
        <v>43167</v>
      </c>
      <c r="P9347">
        <v>0</v>
      </c>
      <c r="Q9347">
        <v>1</v>
      </c>
      <c r="R9347" t="s">
        <v>43175</v>
      </c>
      <c r="S9347" t="s">
        <v>43460</v>
      </c>
      <c r="T9347" t="s">
        <v>44777</v>
      </c>
      <c r="U9347" t="s">
        <v>52705</v>
      </c>
      <c r="W9347" t="s">
        <v>42227</v>
      </c>
      <c r="X9347" t="s">
        <v>43178</v>
      </c>
    </row>
    <row r="9348" spans="1:24">
      <c r="A9348">
        <f>HYPERLINK("https://www.philgeps.gov.ph/GEPSNONPILOT/Tender/SplashBidNoticeAbstractUI.aspx?menuIndex=3&amp;refID=7070569&amp;Result=3","7070569")</f>
        <v>0</v>
      </c>
      <c r="B9348" t="s">
        <v>1730</v>
      </c>
      <c r="C9348" t="s">
        <v>12321</v>
      </c>
      <c r="D9348" t="s">
        <v>17423</v>
      </c>
      <c r="E9348" t="s">
        <v>25492</v>
      </c>
      <c r="F9348" t="s">
        <v>30052</v>
      </c>
      <c r="G9348" t="s">
        <v>30058</v>
      </c>
      <c r="H9348" t="s">
        <v>30067</v>
      </c>
      <c r="I9348" t="s">
        <v>3693</v>
      </c>
      <c r="J9348" t="s">
        <v>35907</v>
      </c>
      <c r="K9348" t="s">
        <v>39111</v>
      </c>
      <c r="M9348" t="s">
        <v>42228</v>
      </c>
      <c r="N9348" t="s">
        <v>43166</v>
      </c>
      <c r="O9348" t="s">
        <v>43167</v>
      </c>
      <c r="P9348">
        <v>0</v>
      </c>
      <c r="Q9348">
        <v>0</v>
      </c>
      <c r="R9348" t="s">
        <v>43175</v>
      </c>
      <c r="S9348" t="s">
        <v>43460</v>
      </c>
      <c r="T9348" t="s">
        <v>44696</v>
      </c>
      <c r="U9348" t="s">
        <v>52706</v>
      </c>
      <c r="V9348" t="s">
        <v>57836</v>
      </c>
      <c r="W9348" t="s">
        <v>42228</v>
      </c>
      <c r="X9348" t="s">
        <v>43178</v>
      </c>
    </row>
    <row r="9349" spans="1:24">
      <c r="A9349">
        <f>HYPERLINK("https://www.philgeps.gov.ph/GEPSNONPILOT/Tender/SplashBidNoticeAbstractUI.aspx?menuIndex=3&amp;refID=7070912&amp;Result=3","7070912")</f>
        <v>0</v>
      </c>
      <c r="B9349" t="s">
        <v>138</v>
      </c>
      <c r="C9349" t="s">
        <v>12322</v>
      </c>
      <c r="D9349" t="s">
        <v>17509</v>
      </c>
      <c r="E9349" t="s">
        <v>25493</v>
      </c>
      <c r="F9349" t="s">
        <v>30052</v>
      </c>
      <c r="G9349" t="s">
        <v>30059</v>
      </c>
      <c r="H9349" t="s">
        <v>15498</v>
      </c>
      <c r="I9349" t="s">
        <v>30092</v>
      </c>
      <c r="J9349" t="s">
        <v>35908</v>
      </c>
      <c r="K9349" t="s">
        <v>39029</v>
      </c>
      <c r="M9349" t="s">
        <v>39427</v>
      </c>
      <c r="N9349" t="s">
        <v>43166</v>
      </c>
      <c r="O9349" t="s">
        <v>43167</v>
      </c>
      <c r="Q9349">
        <v>1</v>
      </c>
      <c r="R9349" t="s">
        <v>43175</v>
      </c>
      <c r="S9349" t="s">
        <v>43479</v>
      </c>
      <c r="T9349" t="s">
        <v>44760</v>
      </c>
      <c r="U9349" t="s">
        <v>52707</v>
      </c>
      <c r="W9349" t="s">
        <v>39427</v>
      </c>
      <c r="X9349" t="s">
        <v>43178</v>
      </c>
    </row>
    <row r="9350" spans="1:24">
      <c r="A9350">
        <f>HYPERLINK("https://www.philgeps.gov.ph/GEPSNONPILOT/Tender/SplashBidNoticeAbstractUI.aspx?menuIndex=3&amp;refID=7070555&amp;Result=3","7070555")</f>
        <v>0</v>
      </c>
      <c r="B9350" t="s">
        <v>2746</v>
      </c>
      <c r="C9350" t="s">
        <v>12323</v>
      </c>
      <c r="D9350" t="s">
        <v>17413</v>
      </c>
      <c r="E9350" t="s">
        <v>25494</v>
      </c>
      <c r="F9350" t="s">
        <v>30052</v>
      </c>
      <c r="G9350" t="s">
        <v>30058</v>
      </c>
      <c r="H9350" t="s">
        <v>30067</v>
      </c>
      <c r="I9350" t="s">
        <v>3693</v>
      </c>
      <c r="J9350" t="s">
        <v>35909</v>
      </c>
      <c r="K9350" t="s">
        <v>39076</v>
      </c>
      <c r="M9350" t="s">
        <v>42278</v>
      </c>
      <c r="N9350" t="s">
        <v>43166</v>
      </c>
      <c r="O9350" t="s">
        <v>43167</v>
      </c>
      <c r="P9350">
        <v>0</v>
      </c>
      <c r="Q9350">
        <v>0</v>
      </c>
      <c r="R9350" t="s">
        <v>43175</v>
      </c>
      <c r="S9350" t="s">
        <v>43460</v>
      </c>
      <c r="T9350" t="s">
        <v>45078</v>
      </c>
      <c r="U9350" t="s">
        <v>52708</v>
      </c>
      <c r="W9350" t="s">
        <v>42278</v>
      </c>
      <c r="X9350" t="s">
        <v>43178</v>
      </c>
    </row>
    <row r="9351" spans="1:24">
      <c r="A9351">
        <f>HYPERLINK("https://www.philgeps.gov.ph/GEPSNONPILOT/Tender/SplashBidNoticeAbstractUI.aspx?menuIndex=3&amp;refID=7070691&amp;Result=3","7070691")</f>
        <v>0</v>
      </c>
      <c r="B9351" t="s">
        <v>145</v>
      </c>
      <c r="C9351" t="s">
        <v>12324</v>
      </c>
      <c r="E9351" t="s">
        <v>25495</v>
      </c>
      <c r="F9351" t="s">
        <v>30052</v>
      </c>
      <c r="G9351" t="s">
        <v>30058</v>
      </c>
      <c r="H9351" t="s">
        <v>15498</v>
      </c>
      <c r="I9351" t="s">
        <v>3736</v>
      </c>
      <c r="J9351" t="s">
        <v>35910</v>
      </c>
      <c r="K9351" t="s">
        <v>39029</v>
      </c>
      <c r="M9351" t="s">
        <v>39434</v>
      </c>
      <c r="N9351" t="s">
        <v>43166</v>
      </c>
      <c r="O9351" t="s">
        <v>43167</v>
      </c>
      <c r="Q9351">
        <v>3</v>
      </c>
      <c r="R9351" t="s">
        <v>43175</v>
      </c>
      <c r="S9351" t="s">
        <v>43480</v>
      </c>
      <c r="T9351" t="s">
        <v>44993</v>
      </c>
      <c r="U9351" t="s">
        <v>52709</v>
      </c>
      <c r="W9351" t="s">
        <v>40626</v>
      </c>
      <c r="X9351" t="s">
        <v>43178</v>
      </c>
    </row>
    <row r="9352" spans="1:24">
      <c r="A9352">
        <f>HYPERLINK("https://www.philgeps.gov.ph/GEPSNONPILOT/Tender/SplashBidNoticeAbstractUI.aspx?menuIndex=3&amp;refID=7072940&amp;Result=3","7072940")</f>
        <v>0</v>
      </c>
      <c r="B9352" t="s">
        <v>1950</v>
      </c>
      <c r="C9352" t="s">
        <v>12325</v>
      </c>
      <c r="D9352" t="s">
        <v>17415</v>
      </c>
      <c r="E9352" t="s">
        <v>25496</v>
      </c>
      <c r="F9352" t="s">
        <v>30052</v>
      </c>
      <c r="G9352" t="s">
        <v>30058</v>
      </c>
      <c r="H9352" t="s">
        <v>30067</v>
      </c>
      <c r="I9352" t="s">
        <v>30135</v>
      </c>
      <c r="J9352" t="s">
        <v>35911</v>
      </c>
      <c r="K9352" t="s">
        <v>39031</v>
      </c>
      <c r="M9352" t="s">
        <v>42277</v>
      </c>
      <c r="N9352" t="s">
        <v>43166</v>
      </c>
      <c r="O9352" t="s">
        <v>43167</v>
      </c>
      <c r="P9352">
        <v>0</v>
      </c>
      <c r="Q9352">
        <v>11</v>
      </c>
      <c r="R9352" t="s">
        <v>43175</v>
      </c>
      <c r="S9352" t="s">
        <v>43460</v>
      </c>
      <c r="T9352" t="s">
        <v>44922</v>
      </c>
      <c r="U9352" t="s">
        <v>52677</v>
      </c>
      <c r="W9352" t="s">
        <v>42277</v>
      </c>
      <c r="X9352" t="s">
        <v>43176</v>
      </c>
    </row>
    <row r="9353" spans="1:24">
      <c r="A9353">
        <f>HYPERLINK("https://www.philgeps.gov.ph/GEPSNONPILOT/Tender/SplashBidNoticeAbstractUI.aspx?menuIndex=3&amp;refID=7072958&amp;Result=3","7072958")</f>
        <v>0</v>
      </c>
      <c r="B9353" t="s">
        <v>422</v>
      </c>
      <c r="C9353" t="s">
        <v>12326</v>
      </c>
      <c r="D9353" t="s">
        <v>17455</v>
      </c>
      <c r="E9353" t="s">
        <v>25497</v>
      </c>
      <c r="F9353" t="s">
        <v>30052</v>
      </c>
      <c r="G9353" t="s">
        <v>30058</v>
      </c>
      <c r="H9353" t="s">
        <v>15498</v>
      </c>
      <c r="I9353" t="s">
        <v>30098</v>
      </c>
      <c r="J9353" t="s">
        <v>35912</v>
      </c>
      <c r="K9353" t="s">
        <v>39029</v>
      </c>
      <c r="M9353" t="s">
        <v>39762</v>
      </c>
      <c r="N9353" t="s">
        <v>43166</v>
      </c>
      <c r="O9353" t="s">
        <v>43167</v>
      </c>
      <c r="P9353">
        <v>0</v>
      </c>
      <c r="Q9353">
        <v>8</v>
      </c>
      <c r="R9353" t="s">
        <v>43175</v>
      </c>
      <c r="S9353" t="s">
        <v>43460</v>
      </c>
      <c r="T9353" t="s">
        <v>44922</v>
      </c>
      <c r="U9353" t="s">
        <v>52710</v>
      </c>
      <c r="W9353" t="s">
        <v>39762</v>
      </c>
      <c r="X9353" t="s">
        <v>43176</v>
      </c>
    </row>
    <row r="9354" spans="1:24">
      <c r="A9354">
        <f>HYPERLINK("https://www.philgeps.gov.ph/GEPSNONPILOT/Tender/SplashBidNoticeAbstractUI.aspx?menuIndex=3&amp;refID=7070563&amp;Result=3","7070563")</f>
        <v>0</v>
      </c>
      <c r="B9354" t="s">
        <v>98</v>
      </c>
      <c r="C9354" t="s">
        <v>12327</v>
      </c>
      <c r="D9354" t="s">
        <v>17432</v>
      </c>
      <c r="E9354" t="s">
        <v>25498</v>
      </c>
      <c r="F9354" t="s">
        <v>30052</v>
      </c>
      <c r="G9354" t="s">
        <v>30063</v>
      </c>
      <c r="H9354" t="s">
        <v>30068</v>
      </c>
      <c r="I9354" t="s">
        <v>30068</v>
      </c>
      <c r="J9354" t="s">
        <v>35913</v>
      </c>
      <c r="K9354" t="s">
        <v>39025</v>
      </c>
      <c r="L9354" t="s">
        <v>98</v>
      </c>
      <c r="M9354" t="s">
        <v>40536</v>
      </c>
      <c r="N9354" t="s">
        <v>43166</v>
      </c>
      <c r="O9354" t="s">
        <v>43167</v>
      </c>
      <c r="P9354">
        <v>0</v>
      </c>
      <c r="Q9354">
        <v>5</v>
      </c>
      <c r="R9354" t="s">
        <v>43175</v>
      </c>
      <c r="S9354" t="s">
        <v>43460</v>
      </c>
      <c r="T9354" t="s">
        <v>44930</v>
      </c>
      <c r="U9354" t="s">
        <v>52711</v>
      </c>
      <c r="W9354" t="s">
        <v>40536</v>
      </c>
      <c r="X9354" t="s">
        <v>43178</v>
      </c>
    </row>
    <row r="9355" spans="1:24">
      <c r="A9355">
        <f>HYPERLINK("https://www.philgeps.gov.ph/GEPSNONPILOT/Tender/SplashBidNoticeAbstractUI.aspx?menuIndex=3&amp;refID=7070835&amp;Result=3","7070835")</f>
        <v>0</v>
      </c>
      <c r="B9355" t="s">
        <v>2688</v>
      </c>
      <c r="C9355" t="s">
        <v>12328</v>
      </c>
      <c r="D9355" t="s">
        <v>17471</v>
      </c>
      <c r="E9355" t="s">
        <v>17919</v>
      </c>
      <c r="F9355" t="s">
        <v>30052</v>
      </c>
      <c r="G9355" t="s">
        <v>30058</v>
      </c>
      <c r="H9355" t="s">
        <v>15498</v>
      </c>
      <c r="I9355" t="s">
        <v>3736</v>
      </c>
      <c r="J9355" t="s">
        <v>31189</v>
      </c>
      <c r="K9355" t="s">
        <v>39029</v>
      </c>
      <c r="M9355" t="s">
        <v>42209</v>
      </c>
      <c r="N9355" t="s">
        <v>43166</v>
      </c>
      <c r="O9355" t="s">
        <v>43167</v>
      </c>
      <c r="P9355">
        <v>0</v>
      </c>
      <c r="Q9355">
        <v>0</v>
      </c>
      <c r="R9355" t="s">
        <v>43175</v>
      </c>
      <c r="S9355" t="s">
        <v>43460</v>
      </c>
      <c r="T9355" t="s">
        <v>44702</v>
      </c>
      <c r="U9355" t="s">
        <v>52712</v>
      </c>
      <c r="W9355" t="s">
        <v>42209</v>
      </c>
      <c r="X9355" t="s">
        <v>43178</v>
      </c>
    </row>
    <row r="9356" spans="1:24">
      <c r="A9356">
        <f>HYPERLINK("https://www.philgeps.gov.ph/GEPSNONPILOT/Tender/SplashBidNoticeAbstractUI.aspx?menuIndex=3&amp;refID=7073156&amp;Result=3","7073156")</f>
        <v>0</v>
      </c>
      <c r="B9356" t="s">
        <v>2754</v>
      </c>
      <c r="C9356" t="s">
        <v>12329</v>
      </c>
      <c r="E9356" t="s">
        <v>10245</v>
      </c>
      <c r="F9356" t="s">
        <v>30052</v>
      </c>
      <c r="G9356" t="s">
        <v>30062</v>
      </c>
      <c r="H9356" t="s">
        <v>15498</v>
      </c>
      <c r="I9356" t="s">
        <v>3736</v>
      </c>
      <c r="J9356" t="s">
        <v>35914</v>
      </c>
      <c r="K9356" t="s">
        <v>39018</v>
      </c>
      <c r="N9356" t="s">
        <v>43166</v>
      </c>
      <c r="O9356" t="s">
        <v>43167</v>
      </c>
      <c r="P9356">
        <v>0</v>
      </c>
      <c r="Q9356">
        <v>0</v>
      </c>
      <c r="R9356" t="s">
        <v>43175</v>
      </c>
      <c r="S9356" t="s">
        <v>43460</v>
      </c>
      <c r="T9356" t="s">
        <v>44734</v>
      </c>
      <c r="U9356" t="s">
        <v>52713</v>
      </c>
      <c r="V9356" t="s">
        <v>57837</v>
      </c>
      <c r="W9356" t="s">
        <v>58687</v>
      </c>
      <c r="X9356" t="s">
        <v>43176</v>
      </c>
    </row>
    <row r="9357" spans="1:24">
      <c r="A9357">
        <f>HYPERLINK("https://www.philgeps.gov.ph/GEPSNONPILOT/Tender/SplashBidNoticeAbstractUI.aspx?menuIndex=3&amp;refID=7073145&amp;Result=3","7073145")</f>
        <v>0</v>
      </c>
      <c r="B9357" t="s">
        <v>2755</v>
      </c>
      <c r="C9357" t="s">
        <v>12330</v>
      </c>
      <c r="D9357" t="s">
        <v>17460</v>
      </c>
      <c r="E9357" t="s">
        <v>25499</v>
      </c>
      <c r="F9357" t="s">
        <v>30052</v>
      </c>
      <c r="G9357" t="s">
        <v>30058</v>
      </c>
      <c r="H9357" t="s">
        <v>15498</v>
      </c>
      <c r="I9357" t="s">
        <v>30146</v>
      </c>
      <c r="J9357" t="s">
        <v>35915</v>
      </c>
      <c r="K9357" t="s">
        <v>39086</v>
      </c>
      <c r="M9357" t="s">
        <v>42287</v>
      </c>
      <c r="N9357" t="s">
        <v>43166</v>
      </c>
      <c r="O9357" t="s">
        <v>43167</v>
      </c>
      <c r="P9357">
        <v>0</v>
      </c>
      <c r="Q9357">
        <v>6</v>
      </c>
      <c r="R9357" t="s">
        <v>43175</v>
      </c>
      <c r="S9357" t="s">
        <v>43460</v>
      </c>
      <c r="T9357" t="s">
        <v>44796</v>
      </c>
      <c r="U9357" t="s">
        <v>52714</v>
      </c>
      <c r="V9357" t="s">
        <v>56830</v>
      </c>
      <c r="W9357" t="s">
        <v>42287</v>
      </c>
      <c r="X9357" t="s">
        <v>43176</v>
      </c>
    </row>
    <row r="9358" spans="1:24">
      <c r="A9358">
        <f>HYPERLINK("https://www.philgeps.gov.ph/GEPSNONPILOT/Tender/SplashBidNoticeAbstractUI.aspx?menuIndex=3&amp;refID=7073005&amp;Result=3","7073005")</f>
        <v>0</v>
      </c>
      <c r="B9358" t="s">
        <v>64</v>
      </c>
      <c r="C9358" t="s">
        <v>12331</v>
      </c>
      <c r="D9358" t="s">
        <v>17415</v>
      </c>
      <c r="E9358" t="s">
        <v>17650</v>
      </c>
      <c r="F9358" t="s">
        <v>30052</v>
      </c>
      <c r="G9358" t="s">
        <v>30058</v>
      </c>
      <c r="H9358" t="s">
        <v>15498</v>
      </c>
      <c r="I9358" t="s">
        <v>3852</v>
      </c>
      <c r="J9358" t="s">
        <v>30277</v>
      </c>
      <c r="K9358" t="s">
        <v>39017</v>
      </c>
      <c r="M9358" t="s">
        <v>42280</v>
      </c>
      <c r="N9358" t="s">
        <v>43166</v>
      </c>
      <c r="O9358" t="s">
        <v>43167</v>
      </c>
      <c r="P9358">
        <v>0</v>
      </c>
      <c r="Q9358">
        <v>1</v>
      </c>
      <c r="R9358" t="s">
        <v>43175</v>
      </c>
      <c r="S9358" t="s">
        <v>43460</v>
      </c>
      <c r="T9358" t="s">
        <v>44806</v>
      </c>
      <c r="U9358" t="s">
        <v>52715</v>
      </c>
      <c r="V9358" t="s">
        <v>57838</v>
      </c>
      <c r="W9358" t="s">
        <v>42280</v>
      </c>
      <c r="X9358" t="s">
        <v>43176</v>
      </c>
    </row>
    <row r="9359" spans="1:24">
      <c r="A9359">
        <f>HYPERLINK("https://www.philgeps.gov.ph/GEPSNONPILOT/Tender/SplashBidNoticeAbstractUI.aspx?menuIndex=3&amp;refID=7073158&amp;Result=3","7073158")</f>
        <v>0</v>
      </c>
      <c r="B9359" t="s">
        <v>2756</v>
      </c>
      <c r="C9359" t="s">
        <v>12332</v>
      </c>
      <c r="E9359" t="s">
        <v>25500</v>
      </c>
      <c r="F9359" t="s">
        <v>30052</v>
      </c>
      <c r="G9359" t="s">
        <v>30058</v>
      </c>
      <c r="H9359" t="s">
        <v>30067</v>
      </c>
      <c r="I9359" t="s">
        <v>3693</v>
      </c>
      <c r="J9359" t="s">
        <v>35916</v>
      </c>
      <c r="K9359" t="s">
        <v>39156</v>
      </c>
      <c r="M9359" t="s">
        <v>42288</v>
      </c>
      <c r="N9359" t="s">
        <v>43166</v>
      </c>
      <c r="O9359" t="s">
        <v>43167</v>
      </c>
      <c r="P9359">
        <v>0</v>
      </c>
      <c r="Q9359">
        <v>2</v>
      </c>
      <c r="R9359" t="s">
        <v>43175</v>
      </c>
      <c r="S9359" t="s">
        <v>43460</v>
      </c>
      <c r="T9359" t="s">
        <v>44856</v>
      </c>
      <c r="U9359" t="s">
        <v>52716</v>
      </c>
      <c r="W9359" t="s">
        <v>42288</v>
      </c>
      <c r="X9359" t="s">
        <v>43176</v>
      </c>
    </row>
    <row r="9360" spans="1:24">
      <c r="A9360">
        <f>HYPERLINK("https://www.philgeps.gov.ph/GEPSNONPILOT/Tender/SplashBidNoticeAbstractUI.aspx?menuIndex=3&amp;refID=7073152&amp;Result=3","7073152")</f>
        <v>0</v>
      </c>
      <c r="B9360" t="s">
        <v>2755</v>
      </c>
      <c r="C9360" t="s">
        <v>12333</v>
      </c>
      <c r="D9360" t="s">
        <v>17460</v>
      </c>
      <c r="E9360" t="s">
        <v>25501</v>
      </c>
      <c r="F9360" t="s">
        <v>30052</v>
      </c>
      <c r="G9360" t="s">
        <v>30058</v>
      </c>
      <c r="H9360" t="s">
        <v>15498</v>
      </c>
      <c r="I9360" t="s">
        <v>4598</v>
      </c>
      <c r="J9360" t="s">
        <v>31446</v>
      </c>
      <c r="K9360" t="s">
        <v>39029</v>
      </c>
      <c r="M9360" t="s">
        <v>42287</v>
      </c>
      <c r="N9360" t="s">
        <v>43166</v>
      </c>
      <c r="O9360" t="s">
        <v>43167</v>
      </c>
      <c r="P9360">
        <v>0</v>
      </c>
      <c r="Q9360">
        <v>11</v>
      </c>
      <c r="R9360" t="s">
        <v>43175</v>
      </c>
      <c r="S9360" t="s">
        <v>43460</v>
      </c>
      <c r="T9360" t="s">
        <v>44796</v>
      </c>
      <c r="U9360" t="s">
        <v>52717</v>
      </c>
      <c r="V9360" t="s">
        <v>56830</v>
      </c>
      <c r="W9360" t="s">
        <v>42287</v>
      </c>
      <c r="X9360" t="s">
        <v>43176</v>
      </c>
    </row>
    <row r="9361" spans="1:24">
      <c r="A9361">
        <f>HYPERLINK("https://www.philgeps.gov.ph/GEPSNONPILOT/Tender/SplashBidNoticeAbstractUI.aspx?menuIndex=3&amp;refID=7073141&amp;Result=3","7073141")</f>
        <v>0</v>
      </c>
      <c r="B9361" t="s">
        <v>2757</v>
      </c>
      <c r="C9361" t="s">
        <v>12334</v>
      </c>
      <c r="E9361" t="s">
        <v>25502</v>
      </c>
      <c r="F9361" t="s">
        <v>30054</v>
      </c>
      <c r="G9361" t="s">
        <v>30058</v>
      </c>
      <c r="H9361" t="s">
        <v>15498</v>
      </c>
      <c r="I9361" t="s">
        <v>30074</v>
      </c>
      <c r="J9361" t="s">
        <v>30377</v>
      </c>
      <c r="K9361" t="s">
        <v>39029</v>
      </c>
      <c r="M9361" t="s">
        <v>42289</v>
      </c>
      <c r="N9361" t="s">
        <v>43166</v>
      </c>
      <c r="O9361" t="s">
        <v>43167</v>
      </c>
      <c r="P9361">
        <v>0</v>
      </c>
      <c r="Q9361">
        <v>0</v>
      </c>
      <c r="R9361" t="s">
        <v>43175</v>
      </c>
      <c r="S9361" t="s">
        <v>43460</v>
      </c>
      <c r="T9361" t="s">
        <v>44733</v>
      </c>
      <c r="U9361" t="s">
        <v>52718</v>
      </c>
      <c r="W9361" t="s">
        <v>42289</v>
      </c>
      <c r="X9361" t="s">
        <v>43176</v>
      </c>
    </row>
    <row r="9362" spans="1:24">
      <c r="A9362">
        <f>HYPERLINK("https://www.philgeps.gov.ph/GEPSNONPILOT/Tender/SplashBidNoticeAbstractUI.aspx?menuIndex=3&amp;refID=7073150&amp;Result=3","7073150")</f>
        <v>0</v>
      </c>
      <c r="B9362" t="s">
        <v>2758</v>
      </c>
      <c r="C9362" t="s">
        <v>12335</v>
      </c>
      <c r="D9362" t="s">
        <v>17415</v>
      </c>
      <c r="E9362" t="s">
        <v>25503</v>
      </c>
      <c r="F9362" t="s">
        <v>30052</v>
      </c>
      <c r="G9362" t="s">
        <v>30058</v>
      </c>
      <c r="H9362" t="s">
        <v>15498</v>
      </c>
      <c r="I9362" t="s">
        <v>3852</v>
      </c>
      <c r="J9362" t="s">
        <v>35917</v>
      </c>
      <c r="K9362" t="s">
        <v>39036</v>
      </c>
      <c r="M9362" t="s">
        <v>42290</v>
      </c>
      <c r="N9362" t="s">
        <v>43166</v>
      </c>
      <c r="O9362" t="s">
        <v>43167</v>
      </c>
      <c r="P9362">
        <v>0</v>
      </c>
      <c r="Q9362">
        <v>4</v>
      </c>
      <c r="R9362" t="s">
        <v>43175</v>
      </c>
      <c r="S9362" t="s">
        <v>43460</v>
      </c>
      <c r="T9362" t="s">
        <v>44717</v>
      </c>
      <c r="U9362" t="s">
        <v>52719</v>
      </c>
      <c r="V9362" t="s">
        <v>57839</v>
      </c>
      <c r="W9362" t="s">
        <v>42290</v>
      </c>
      <c r="X9362" t="s">
        <v>43176</v>
      </c>
    </row>
    <row r="9363" spans="1:24">
      <c r="A9363">
        <f>HYPERLINK("https://www.philgeps.gov.ph/GEPSNONPILOT/Tender/SplashBidNoticeAbstractUI.aspx?menuIndex=3&amp;refID=7073140&amp;Result=3","7073140")</f>
        <v>0</v>
      </c>
      <c r="B9363" t="s">
        <v>1784</v>
      </c>
      <c r="C9363" t="s">
        <v>12336</v>
      </c>
      <c r="D9363" t="s">
        <v>17459</v>
      </c>
      <c r="E9363" t="s">
        <v>25504</v>
      </c>
      <c r="F9363" t="s">
        <v>30052</v>
      </c>
      <c r="G9363" t="s">
        <v>30058</v>
      </c>
      <c r="H9363" t="s">
        <v>30067</v>
      </c>
      <c r="I9363" t="s">
        <v>3693</v>
      </c>
      <c r="J9363" t="s">
        <v>35918</v>
      </c>
      <c r="K9363" t="s">
        <v>39023</v>
      </c>
      <c r="M9363" t="s">
        <v>41422</v>
      </c>
      <c r="N9363" t="s">
        <v>43166</v>
      </c>
      <c r="O9363" t="s">
        <v>43167</v>
      </c>
      <c r="P9363">
        <v>0</v>
      </c>
      <c r="Q9363">
        <v>4</v>
      </c>
      <c r="R9363" t="s">
        <v>43175</v>
      </c>
      <c r="S9363" t="s">
        <v>43460</v>
      </c>
      <c r="T9363" t="s">
        <v>44807</v>
      </c>
      <c r="U9363" t="s">
        <v>52720</v>
      </c>
      <c r="W9363" t="s">
        <v>41422</v>
      </c>
      <c r="X9363" t="s">
        <v>43176</v>
      </c>
    </row>
    <row r="9364" spans="1:24">
      <c r="A9364">
        <f>HYPERLINK("https://www.philgeps.gov.ph/GEPSNONPILOT/Tender/SplashBidNoticeAbstractUI.aspx?menuIndex=3&amp;refID=7073144&amp;Result=3","7073144")</f>
        <v>0</v>
      </c>
      <c r="B9364" t="s">
        <v>1038</v>
      </c>
      <c r="C9364" t="s">
        <v>12337</v>
      </c>
      <c r="D9364" t="s">
        <v>17436</v>
      </c>
      <c r="E9364" t="s">
        <v>25505</v>
      </c>
      <c r="F9364" t="s">
        <v>30052</v>
      </c>
      <c r="G9364" t="s">
        <v>30058</v>
      </c>
      <c r="H9364" t="s">
        <v>30067</v>
      </c>
      <c r="I9364" t="s">
        <v>3693</v>
      </c>
      <c r="J9364" t="s">
        <v>30227</v>
      </c>
      <c r="K9364" t="s">
        <v>39025</v>
      </c>
      <c r="M9364" t="s">
        <v>40369</v>
      </c>
      <c r="N9364" t="s">
        <v>43166</v>
      </c>
      <c r="O9364" t="s">
        <v>43167</v>
      </c>
      <c r="P9364">
        <v>0</v>
      </c>
      <c r="Q9364">
        <v>0</v>
      </c>
      <c r="R9364" t="s">
        <v>43175</v>
      </c>
      <c r="S9364" t="s">
        <v>43460</v>
      </c>
      <c r="T9364" t="s">
        <v>44705</v>
      </c>
      <c r="U9364" t="s">
        <v>52721</v>
      </c>
      <c r="W9364" t="s">
        <v>40369</v>
      </c>
      <c r="X9364" t="s">
        <v>43176</v>
      </c>
    </row>
    <row r="9365" spans="1:24">
      <c r="A9365">
        <f>HYPERLINK("https://www.philgeps.gov.ph/GEPSNONPILOT/Tender/SplashBidNoticeAbstractUI.aspx?menuIndex=3&amp;refID=7073109&amp;Result=3","7073109")</f>
        <v>0</v>
      </c>
      <c r="B9365" t="s">
        <v>2755</v>
      </c>
      <c r="C9365" t="s">
        <v>12338</v>
      </c>
      <c r="D9365" t="s">
        <v>17460</v>
      </c>
      <c r="E9365" t="s">
        <v>25506</v>
      </c>
      <c r="F9365" t="s">
        <v>30052</v>
      </c>
      <c r="G9365" t="s">
        <v>30058</v>
      </c>
      <c r="H9365" t="s">
        <v>15498</v>
      </c>
      <c r="I9365" t="s">
        <v>30114</v>
      </c>
      <c r="J9365" t="s">
        <v>33409</v>
      </c>
      <c r="K9365" t="s">
        <v>39019</v>
      </c>
      <c r="M9365" t="s">
        <v>42287</v>
      </c>
      <c r="N9365" t="s">
        <v>43166</v>
      </c>
      <c r="O9365" t="s">
        <v>43167</v>
      </c>
      <c r="P9365">
        <v>0</v>
      </c>
      <c r="Q9365">
        <v>9</v>
      </c>
      <c r="R9365" t="s">
        <v>43175</v>
      </c>
      <c r="S9365" t="s">
        <v>43460</v>
      </c>
      <c r="T9365" t="s">
        <v>44796</v>
      </c>
      <c r="U9365" t="s">
        <v>52722</v>
      </c>
      <c r="V9365" t="s">
        <v>56830</v>
      </c>
      <c r="W9365" t="s">
        <v>42287</v>
      </c>
      <c r="X9365" t="s">
        <v>43176</v>
      </c>
    </row>
    <row r="9366" spans="1:24">
      <c r="A9366">
        <f>HYPERLINK("https://www.philgeps.gov.ph/GEPSNONPILOT/Tender/SplashBidNoticeAbstractUI.aspx?menuIndex=3&amp;refID=7073151&amp;Result=3","7073151")</f>
        <v>0</v>
      </c>
      <c r="B9366" t="s">
        <v>2759</v>
      </c>
      <c r="C9366" t="s">
        <v>12339</v>
      </c>
      <c r="E9366" t="s">
        <v>25507</v>
      </c>
      <c r="F9366" t="s">
        <v>30052</v>
      </c>
      <c r="G9366" t="s">
        <v>30058</v>
      </c>
      <c r="H9366" t="s">
        <v>30067</v>
      </c>
      <c r="I9366" t="s">
        <v>3693</v>
      </c>
      <c r="J9366" t="s">
        <v>35919</v>
      </c>
      <c r="K9366" t="s">
        <v>39156</v>
      </c>
      <c r="M9366" t="s">
        <v>42291</v>
      </c>
      <c r="N9366" t="s">
        <v>43166</v>
      </c>
      <c r="O9366" t="s">
        <v>43167</v>
      </c>
      <c r="P9366">
        <v>0</v>
      </c>
      <c r="Q9366">
        <v>1</v>
      </c>
      <c r="R9366" t="s">
        <v>43175</v>
      </c>
      <c r="S9366" t="s">
        <v>43460</v>
      </c>
      <c r="T9366" t="s">
        <v>44864</v>
      </c>
      <c r="U9366" t="s">
        <v>52723</v>
      </c>
      <c r="W9366" t="s">
        <v>42291</v>
      </c>
      <c r="X9366" t="s">
        <v>43176</v>
      </c>
    </row>
    <row r="9367" spans="1:24">
      <c r="A9367">
        <f>HYPERLINK("https://www.philgeps.gov.ph/GEPSNONPILOT/Tender/SplashBidNoticeAbstractUI.aspx?menuIndex=3&amp;refID=7073119&amp;Result=3","7073119")</f>
        <v>0</v>
      </c>
      <c r="B9367" t="s">
        <v>1646</v>
      </c>
      <c r="C9367" t="s">
        <v>12340</v>
      </c>
      <c r="E9367" t="s">
        <v>25508</v>
      </c>
      <c r="F9367" t="s">
        <v>30052</v>
      </c>
      <c r="G9367" t="s">
        <v>30060</v>
      </c>
      <c r="H9367" t="s">
        <v>15498</v>
      </c>
      <c r="I9367" t="s">
        <v>4650</v>
      </c>
      <c r="J9367" t="s">
        <v>35920</v>
      </c>
      <c r="K9367" t="s">
        <v>39025</v>
      </c>
      <c r="M9367" t="s">
        <v>41107</v>
      </c>
      <c r="N9367" t="s">
        <v>43166</v>
      </c>
      <c r="O9367" t="s">
        <v>43167</v>
      </c>
      <c r="P9367">
        <v>0</v>
      </c>
      <c r="Q9367">
        <v>20</v>
      </c>
      <c r="R9367" t="s">
        <v>43175</v>
      </c>
      <c r="S9367" t="s">
        <v>43460</v>
      </c>
      <c r="T9367" t="s">
        <v>44678</v>
      </c>
      <c r="U9367" t="s">
        <v>49135</v>
      </c>
      <c r="W9367" t="s">
        <v>41107</v>
      </c>
      <c r="X9367" t="s">
        <v>43176</v>
      </c>
    </row>
    <row r="9368" spans="1:24">
      <c r="A9368">
        <f>HYPERLINK("https://www.philgeps.gov.ph/GEPSNONPILOT/Tender/SplashBidNoticeAbstractUI.aspx?menuIndex=3&amp;refID=7071854&amp;Result=3","7071854")</f>
        <v>0</v>
      </c>
      <c r="B9368" t="s">
        <v>382</v>
      </c>
      <c r="C9368" t="s">
        <v>12341</v>
      </c>
      <c r="D9368" t="s">
        <v>17474</v>
      </c>
      <c r="E9368" t="s">
        <v>25509</v>
      </c>
      <c r="F9368" t="s">
        <v>30052</v>
      </c>
      <c r="G9368" t="s">
        <v>30058</v>
      </c>
      <c r="H9368" t="s">
        <v>15498</v>
      </c>
      <c r="I9368" t="s">
        <v>30076</v>
      </c>
      <c r="J9368" t="s">
        <v>35921</v>
      </c>
      <c r="K9368" t="s">
        <v>39025</v>
      </c>
      <c r="M9368" t="s">
        <v>39680</v>
      </c>
      <c r="N9368" t="s">
        <v>43166</v>
      </c>
      <c r="O9368" t="s">
        <v>43167</v>
      </c>
      <c r="P9368">
        <v>0</v>
      </c>
      <c r="Q9368">
        <v>1</v>
      </c>
      <c r="R9368" t="s">
        <v>43176</v>
      </c>
      <c r="S9368" t="s">
        <v>43481</v>
      </c>
      <c r="T9368" t="s">
        <v>44969</v>
      </c>
      <c r="U9368" t="s">
        <v>52724</v>
      </c>
      <c r="W9368" t="s">
        <v>39680</v>
      </c>
      <c r="X9368" t="s">
        <v>43178</v>
      </c>
    </row>
    <row r="9369" spans="1:24">
      <c r="A9369">
        <f>HYPERLINK("https://www.philgeps.gov.ph/GEPSNONPILOT/Tender/SplashBidNoticeAbstractUI.aspx?menuIndex=3&amp;refID=7071822&amp;Result=3","7071822")</f>
        <v>0</v>
      </c>
      <c r="B9369" t="s">
        <v>2760</v>
      </c>
      <c r="C9369" t="s">
        <v>12342</v>
      </c>
      <c r="D9369" t="s">
        <v>17445</v>
      </c>
      <c r="E9369" t="s">
        <v>25510</v>
      </c>
      <c r="F9369" t="s">
        <v>30052</v>
      </c>
      <c r="G9369" t="s">
        <v>30058</v>
      </c>
      <c r="H9369" t="s">
        <v>30067</v>
      </c>
      <c r="I9369" t="s">
        <v>3736</v>
      </c>
      <c r="J9369" t="s">
        <v>35922</v>
      </c>
      <c r="K9369" t="s">
        <v>39019</v>
      </c>
      <c r="M9369" t="s">
        <v>42292</v>
      </c>
      <c r="N9369" t="s">
        <v>43166</v>
      </c>
      <c r="O9369" t="s">
        <v>43167</v>
      </c>
      <c r="P9369">
        <v>0</v>
      </c>
      <c r="Q9369">
        <v>0</v>
      </c>
      <c r="R9369" t="s">
        <v>43176</v>
      </c>
      <c r="S9369" t="s">
        <v>43481</v>
      </c>
      <c r="T9369" t="s">
        <v>44710</v>
      </c>
      <c r="U9369" t="s">
        <v>52725</v>
      </c>
      <c r="V9369" t="s">
        <v>56875</v>
      </c>
      <c r="W9369" t="s">
        <v>42292</v>
      </c>
      <c r="X9369" t="s">
        <v>43178</v>
      </c>
    </row>
    <row r="9370" spans="1:24">
      <c r="A9370">
        <f>HYPERLINK("https://www.philgeps.gov.ph/GEPSNONPILOT/Tender/SplashBidNoticeAbstractUI.aspx?menuIndex=3&amp;refID=7071035&amp;Result=3","7071035")</f>
        <v>0</v>
      </c>
      <c r="B9370" t="s">
        <v>244</v>
      </c>
      <c r="C9370" t="s">
        <v>12343</v>
      </c>
      <c r="D9370" t="s">
        <v>17414</v>
      </c>
      <c r="E9370" t="s">
        <v>25511</v>
      </c>
      <c r="F9370" t="s">
        <v>30052</v>
      </c>
      <c r="G9370" t="s">
        <v>30058</v>
      </c>
      <c r="H9370" t="s">
        <v>30067</v>
      </c>
      <c r="I9370" t="s">
        <v>3693</v>
      </c>
      <c r="J9370" t="s">
        <v>30281</v>
      </c>
      <c r="K9370" t="s">
        <v>39161</v>
      </c>
      <c r="M9370" t="s">
        <v>39534</v>
      </c>
      <c r="N9370" t="s">
        <v>43166</v>
      </c>
      <c r="O9370" t="s">
        <v>43167</v>
      </c>
      <c r="P9370">
        <v>0</v>
      </c>
      <c r="Q9370">
        <v>1</v>
      </c>
      <c r="R9370" t="s">
        <v>43175</v>
      </c>
      <c r="S9370" t="s">
        <v>43460</v>
      </c>
      <c r="T9370" t="s">
        <v>44873</v>
      </c>
      <c r="U9370" t="s">
        <v>52726</v>
      </c>
      <c r="V9370" t="s">
        <v>56883</v>
      </c>
      <c r="W9370" t="s">
        <v>39534</v>
      </c>
      <c r="X9370" t="s">
        <v>43178</v>
      </c>
    </row>
    <row r="9371" spans="1:24">
      <c r="A9371">
        <f>HYPERLINK("https://www.philgeps.gov.ph/GEPSNONPILOT/Tender/SplashBidNoticeAbstractUI.aspx?menuIndex=3&amp;refID=7072057&amp;Result=3","7072057")</f>
        <v>0</v>
      </c>
      <c r="B9371" t="s">
        <v>2761</v>
      </c>
      <c r="C9371" t="s">
        <v>12344</v>
      </c>
      <c r="D9371" t="s">
        <v>17417</v>
      </c>
      <c r="E9371" t="s">
        <v>25512</v>
      </c>
      <c r="F9371" t="s">
        <v>30052</v>
      </c>
      <c r="G9371" t="s">
        <v>30058</v>
      </c>
      <c r="H9371" t="s">
        <v>30067</v>
      </c>
      <c r="I9371" t="s">
        <v>3693</v>
      </c>
      <c r="J9371" t="s">
        <v>35923</v>
      </c>
      <c r="K9371" t="s">
        <v>39092</v>
      </c>
      <c r="M9371" t="s">
        <v>42293</v>
      </c>
      <c r="N9371" t="s">
        <v>43166</v>
      </c>
      <c r="O9371" t="s">
        <v>43167</v>
      </c>
      <c r="P9371">
        <v>0</v>
      </c>
      <c r="Q9371">
        <v>0</v>
      </c>
      <c r="R9371" t="s">
        <v>43176</v>
      </c>
      <c r="S9371" t="s">
        <v>43481</v>
      </c>
      <c r="T9371" t="s">
        <v>44926</v>
      </c>
      <c r="U9371" t="s">
        <v>52727</v>
      </c>
      <c r="W9371" t="s">
        <v>42293</v>
      </c>
      <c r="X9371" t="s">
        <v>43178</v>
      </c>
    </row>
    <row r="9372" spans="1:24">
      <c r="A9372">
        <f>HYPERLINK("https://www.philgeps.gov.ph/GEPSNONPILOT/Tender/SplashBidNoticeAbstractUI.aspx?menuIndex=3&amp;refID=7071676&amp;Result=3","7071676")</f>
        <v>0</v>
      </c>
      <c r="B9372" t="s">
        <v>2762</v>
      </c>
      <c r="C9372" t="s">
        <v>12345</v>
      </c>
      <c r="D9372" t="s">
        <v>17431</v>
      </c>
      <c r="E9372" t="s">
        <v>25513</v>
      </c>
      <c r="F9372" t="s">
        <v>30052</v>
      </c>
      <c r="G9372" t="s">
        <v>30058</v>
      </c>
      <c r="H9372" t="s">
        <v>30067</v>
      </c>
      <c r="I9372" t="s">
        <v>3693</v>
      </c>
      <c r="J9372" t="s">
        <v>35924</v>
      </c>
      <c r="K9372" t="s">
        <v>39026</v>
      </c>
      <c r="M9372" t="s">
        <v>42294</v>
      </c>
      <c r="N9372" t="s">
        <v>43166</v>
      </c>
      <c r="O9372" t="s">
        <v>43167</v>
      </c>
      <c r="P9372">
        <v>0</v>
      </c>
      <c r="Q9372">
        <v>0</v>
      </c>
      <c r="R9372" t="s">
        <v>43176</v>
      </c>
      <c r="S9372" t="s">
        <v>43481</v>
      </c>
      <c r="T9372" t="s">
        <v>44716</v>
      </c>
      <c r="U9372" t="s">
        <v>52728</v>
      </c>
      <c r="W9372" t="s">
        <v>42294</v>
      </c>
      <c r="X9372" t="s">
        <v>43178</v>
      </c>
    </row>
    <row r="9373" spans="1:24">
      <c r="A9373">
        <f>HYPERLINK("https://www.philgeps.gov.ph/GEPSNONPILOT/Tender/SplashBidNoticeAbstractUI.aspx?menuIndex=3&amp;refID=7062363&amp;Result=3","7062363")</f>
        <v>0</v>
      </c>
      <c r="B9373" t="s">
        <v>490</v>
      </c>
      <c r="C9373" t="s">
        <v>12346</v>
      </c>
      <c r="D9373" t="s">
        <v>17435</v>
      </c>
      <c r="E9373" t="s">
        <v>25514</v>
      </c>
      <c r="F9373" t="s">
        <v>30052</v>
      </c>
      <c r="G9373" t="s">
        <v>30058</v>
      </c>
      <c r="H9373" t="s">
        <v>15498</v>
      </c>
      <c r="I9373" t="s">
        <v>30076</v>
      </c>
      <c r="J9373" t="s">
        <v>35925</v>
      </c>
      <c r="K9373" t="s">
        <v>39029</v>
      </c>
      <c r="M9373" t="s">
        <v>39791</v>
      </c>
      <c r="N9373" t="s">
        <v>43166</v>
      </c>
      <c r="O9373" t="s">
        <v>43167</v>
      </c>
      <c r="Q9373">
        <v>1</v>
      </c>
      <c r="R9373" t="s">
        <v>43176</v>
      </c>
      <c r="S9373" t="s">
        <v>43482</v>
      </c>
      <c r="T9373" t="s">
        <v>44716</v>
      </c>
      <c r="U9373" t="s">
        <v>52729</v>
      </c>
      <c r="V9373" t="s">
        <v>57840</v>
      </c>
      <c r="W9373" t="s">
        <v>39791</v>
      </c>
      <c r="X9373" t="s">
        <v>43181</v>
      </c>
    </row>
    <row r="9374" spans="1:24">
      <c r="A9374">
        <f>HYPERLINK("https://www.philgeps.gov.ph/GEPSNONPILOT/Tender/SplashBidNoticeAbstractUI.aspx?menuIndex=3&amp;refID=7073063&amp;Result=3","7073063")</f>
        <v>0</v>
      </c>
      <c r="B9374" t="s">
        <v>1137</v>
      </c>
      <c r="C9374" t="s">
        <v>12347</v>
      </c>
      <c r="D9374" t="s">
        <v>17435</v>
      </c>
      <c r="E9374" t="s">
        <v>25515</v>
      </c>
      <c r="F9374" t="s">
        <v>30052</v>
      </c>
      <c r="G9374" t="s">
        <v>30058</v>
      </c>
      <c r="H9374" t="s">
        <v>30067</v>
      </c>
      <c r="I9374" t="s">
        <v>3693</v>
      </c>
      <c r="J9374" t="s">
        <v>35239</v>
      </c>
      <c r="K9374" t="s">
        <v>39016</v>
      </c>
      <c r="M9374" t="s">
        <v>40480</v>
      </c>
      <c r="N9374" t="s">
        <v>43166</v>
      </c>
      <c r="O9374" t="s">
        <v>43167</v>
      </c>
      <c r="P9374">
        <v>0</v>
      </c>
      <c r="Q9374">
        <v>4</v>
      </c>
      <c r="R9374" t="s">
        <v>43175</v>
      </c>
      <c r="S9374" t="s">
        <v>43460</v>
      </c>
      <c r="T9374" t="s">
        <v>44791</v>
      </c>
      <c r="U9374" t="s">
        <v>52681</v>
      </c>
      <c r="W9374" t="s">
        <v>40480</v>
      </c>
      <c r="X9374" t="s">
        <v>43176</v>
      </c>
    </row>
    <row r="9375" spans="1:24">
      <c r="A9375">
        <f>HYPERLINK("https://www.philgeps.gov.ph/GEPSNONPILOT/Tender/SplashBidNoticeAbstractUI.aspx?menuIndex=3&amp;refID=7062326&amp;Result=3","7062326")</f>
        <v>0</v>
      </c>
      <c r="B9375" t="s">
        <v>490</v>
      </c>
      <c r="C9375" t="s">
        <v>12348</v>
      </c>
      <c r="D9375" t="s">
        <v>17435</v>
      </c>
      <c r="E9375" t="s">
        <v>25516</v>
      </c>
      <c r="F9375" t="s">
        <v>30052</v>
      </c>
      <c r="G9375" t="s">
        <v>30058</v>
      </c>
      <c r="H9375" t="s">
        <v>15498</v>
      </c>
      <c r="I9375" t="s">
        <v>3606</v>
      </c>
      <c r="J9375" t="s">
        <v>35926</v>
      </c>
      <c r="K9375" t="s">
        <v>39029</v>
      </c>
      <c r="M9375" t="s">
        <v>39791</v>
      </c>
      <c r="N9375" t="s">
        <v>43166</v>
      </c>
      <c r="O9375" t="s">
        <v>43167</v>
      </c>
      <c r="Q9375">
        <v>4</v>
      </c>
      <c r="R9375" t="s">
        <v>43176</v>
      </c>
      <c r="S9375" t="s">
        <v>43483</v>
      </c>
      <c r="T9375" t="s">
        <v>44716</v>
      </c>
      <c r="U9375" t="s">
        <v>52730</v>
      </c>
      <c r="V9375" t="s">
        <v>57841</v>
      </c>
      <c r="W9375" t="s">
        <v>39791</v>
      </c>
      <c r="X9375" t="s">
        <v>43181</v>
      </c>
    </row>
    <row r="9376" spans="1:24">
      <c r="A9376">
        <f>HYPERLINK("https://www.philgeps.gov.ph/GEPSNONPILOT/Tender/SplashBidNoticeAbstractUI.aspx?menuIndex=3&amp;refID=7072145&amp;Result=3","7072145")</f>
        <v>0</v>
      </c>
      <c r="B9376" t="s">
        <v>2760</v>
      </c>
      <c r="C9376" t="s">
        <v>12349</v>
      </c>
      <c r="D9376" t="s">
        <v>17445</v>
      </c>
      <c r="E9376" t="s">
        <v>25517</v>
      </c>
      <c r="F9376" t="s">
        <v>30052</v>
      </c>
      <c r="G9376" t="s">
        <v>30058</v>
      </c>
      <c r="H9376" t="s">
        <v>15498</v>
      </c>
      <c r="I9376" t="s">
        <v>30106</v>
      </c>
      <c r="J9376" t="s">
        <v>30551</v>
      </c>
      <c r="K9376" t="s">
        <v>39019</v>
      </c>
      <c r="M9376" t="s">
        <v>42292</v>
      </c>
      <c r="N9376" t="s">
        <v>43166</v>
      </c>
      <c r="O9376" t="s">
        <v>43167</v>
      </c>
      <c r="P9376">
        <v>0</v>
      </c>
      <c r="Q9376">
        <v>0</v>
      </c>
      <c r="R9376" t="s">
        <v>43176</v>
      </c>
      <c r="S9376" t="s">
        <v>43481</v>
      </c>
      <c r="T9376" t="s">
        <v>44744</v>
      </c>
      <c r="U9376" t="s">
        <v>52731</v>
      </c>
      <c r="V9376" t="s">
        <v>56875</v>
      </c>
      <c r="W9376" t="s">
        <v>42292</v>
      </c>
      <c r="X9376" t="s">
        <v>43178</v>
      </c>
    </row>
    <row r="9377" spans="1:24">
      <c r="A9377">
        <f>HYPERLINK("https://www.philgeps.gov.ph/GEPSNONPILOT/Tender/SplashBidNoticeAbstractUI.aspx?menuIndex=3&amp;refID=7060133&amp;Result=3","7060133")</f>
        <v>0</v>
      </c>
      <c r="B9377" t="s">
        <v>490</v>
      </c>
      <c r="C9377" t="s">
        <v>12350</v>
      </c>
      <c r="D9377" t="s">
        <v>17435</v>
      </c>
      <c r="E9377" t="s">
        <v>25518</v>
      </c>
      <c r="F9377" t="s">
        <v>30052</v>
      </c>
      <c r="G9377" t="s">
        <v>30058</v>
      </c>
      <c r="H9377" t="s">
        <v>15498</v>
      </c>
      <c r="I9377" t="s">
        <v>30076</v>
      </c>
      <c r="J9377" t="s">
        <v>35927</v>
      </c>
      <c r="K9377" t="s">
        <v>39029</v>
      </c>
      <c r="M9377" t="s">
        <v>39791</v>
      </c>
      <c r="N9377" t="s">
        <v>43166</v>
      </c>
      <c r="O9377" t="s">
        <v>43167</v>
      </c>
      <c r="Q9377">
        <v>0</v>
      </c>
      <c r="R9377" t="s">
        <v>43176</v>
      </c>
      <c r="S9377" t="s">
        <v>43484</v>
      </c>
      <c r="T9377" t="s">
        <v>44716</v>
      </c>
      <c r="U9377" t="s">
        <v>52732</v>
      </c>
      <c r="V9377" t="s">
        <v>57840</v>
      </c>
      <c r="W9377" t="s">
        <v>39791</v>
      </c>
      <c r="X9377" t="s">
        <v>43182</v>
      </c>
    </row>
    <row r="9378" spans="1:24">
      <c r="A9378">
        <f>HYPERLINK("https://www.philgeps.gov.ph/GEPSNONPILOT/Tender/SplashBidNoticeAbstractUI.aspx?menuIndex=3&amp;refID=7073100&amp;Result=3","7073100")</f>
        <v>0</v>
      </c>
      <c r="B9378" t="s">
        <v>2763</v>
      </c>
      <c r="C9378" t="s">
        <v>12351</v>
      </c>
      <c r="D9378" t="s">
        <v>17466</v>
      </c>
      <c r="E9378" t="s">
        <v>25519</v>
      </c>
      <c r="F9378" t="s">
        <v>30052</v>
      </c>
      <c r="G9378" t="s">
        <v>30058</v>
      </c>
      <c r="H9378" t="s">
        <v>15498</v>
      </c>
      <c r="I9378" t="s">
        <v>4119</v>
      </c>
      <c r="J9378" t="s">
        <v>35928</v>
      </c>
      <c r="K9378" t="s">
        <v>39039</v>
      </c>
      <c r="M9378" t="s">
        <v>42295</v>
      </c>
      <c r="N9378" t="s">
        <v>43166</v>
      </c>
      <c r="O9378" t="s">
        <v>43167</v>
      </c>
      <c r="P9378">
        <v>0</v>
      </c>
      <c r="Q9378">
        <v>2</v>
      </c>
      <c r="R9378" t="s">
        <v>43175</v>
      </c>
      <c r="S9378" t="s">
        <v>43460</v>
      </c>
      <c r="T9378" t="s">
        <v>44677</v>
      </c>
      <c r="U9378" t="s">
        <v>52733</v>
      </c>
      <c r="V9378" t="s">
        <v>57842</v>
      </c>
      <c r="W9378" t="s">
        <v>42295</v>
      </c>
      <c r="X9378" t="s">
        <v>43176</v>
      </c>
    </row>
    <row r="9379" spans="1:24">
      <c r="A9379">
        <f>HYPERLINK("https://www.philgeps.gov.ph/GEPSNONPILOT/Tender/SplashBidNoticeAbstractUI.aspx?menuIndex=3&amp;refID=7023994-2&amp;Result=3","7023994-2")</f>
        <v>0</v>
      </c>
      <c r="B9379" t="s">
        <v>1654</v>
      </c>
      <c r="C9379" t="s">
        <v>12352</v>
      </c>
      <c r="E9379" t="s">
        <v>25520</v>
      </c>
      <c r="F9379" t="s">
        <v>30052</v>
      </c>
      <c r="G9379" t="s">
        <v>30058</v>
      </c>
      <c r="H9379" t="s">
        <v>30068</v>
      </c>
      <c r="I9379" t="s">
        <v>30068</v>
      </c>
      <c r="J9379" t="s">
        <v>30205</v>
      </c>
      <c r="K9379" t="s">
        <v>39095</v>
      </c>
      <c r="M9379" t="s">
        <v>41090</v>
      </c>
      <c r="N9379" t="s">
        <v>43166</v>
      </c>
      <c r="O9379" t="s">
        <v>43167</v>
      </c>
      <c r="Q9379">
        <v>1</v>
      </c>
      <c r="R9379" t="s">
        <v>43176</v>
      </c>
      <c r="S9379" t="s">
        <v>43485</v>
      </c>
      <c r="T9379" t="s">
        <v>44999</v>
      </c>
      <c r="U9379" t="s">
        <v>52734</v>
      </c>
      <c r="W9379" t="s">
        <v>41090</v>
      </c>
      <c r="X9379" t="s">
        <v>43177</v>
      </c>
    </row>
    <row r="9380" spans="1:24">
      <c r="A9380">
        <f>HYPERLINK("https://www.philgeps.gov.ph/GEPSNONPILOT/Tender/SplashBidNoticeAbstractUI.aspx?menuIndex=3&amp;refID=7072484&amp;Result=3","7072484")</f>
        <v>0</v>
      </c>
      <c r="B9380" t="s">
        <v>2462</v>
      </c>
      <c r="C9380" t="s">
        <v>12353</v>
      </c>
      <c r="D9380" t="s">
        <v>17415</v>
      </c>
      <c r="E9380" t="s">
        <v>25521</v>
      </c>
      <c r="F9380" t="s">
        <v>30052</v>
      </c>
      <c r="G9380" t="s">
        <v>30058</v>
      </c>
      <c r="H9380" t="s">
        <v>30067</v>
      </c>
      <c r="I9380" t="s">
        <v>3693</v>
      </c>
      <c r="J9380" t="s">
        <v>35929</v>
      </c>
      <c r="K9380" t="s">
        <v>39057</v>
      </c>
      <c r="M9380" t="s">
        <v>42296</v>
      </c>
      <c r="N9380" t="s">
        <v>43166</v>
      </c>
      <c r="O9380" t="s">
        <v>43167</v>
      </c>
      <c r="P9380">
        <v>0</v>
      </c>
      <c r="Q9380">
        <v>73</v>
      </c>
      <c r="R9380" t="s">
        <v>43176</v>
      </c>
      <c r="S9380" t="s">
        <v>43481</v>
      </c>
      <c r="T9380" t="s">
        <v>44757</v>
      </c>
      <c r="U9380" t="s">
        <v>52735</v>
      </c>
      <c r="V9380" t="s">
        <v>57843</v>
      </c>
      <c r="W9380" t="s">
        <v>42296</v>
      </c>
      <c r="X9380" t="s">
        <v>43177</v>
      </c>
    </row>
    <row r="9381" spans="1:24">
      <c r="A9381">
        <f>HYPERLINK("https://www.philgeps.gov.ph/GEPSNONPILOT/Tender/SplashBidNoticeAbstractUI.aspx?menuIndex=3&amp;refID=7070480&amp;Result=3","7070480")</f>
        <v>0</v>
      </c>
      <c r="B9381" t="s">
        <v>2296</v>
      </c>
      <c r="C9381" t="s">
        <v>12354</v>
      </c>
      <c r="E9381" t="s">
        <v>25522</v>
      </c>
      <c r="F9381" t="s">
        <v>30052</v>
      </c>
      <c r="G9381" t="s">
        <v>30058</v>
      </c>
      <c r="H9381" t="s">
        <v>15498</v>
      </c>
      <c r="I9381" t="s">
        <v>4598</v>
      </c>
      <c r="J9381" t="s">
        <v>35930</v>
      </c>
      <c r="K9381" t="s">
        <v>39029</v>
      </c>
      <c r="M9381" t="s">
        <v>42297</v>
      </c>
      <c r="N9381" t="s">
        <v>43166</v>
      </c>
      <c r="O9381" t="s">
        <v>43167</v>
      </c>
      <c r="Q9381">
        <v>5</v>
      </c>
      <c r="R9381" t="s">
        <v>43176</v>
      </c>
      <c r="S9381" t="s">
        <v>43486</v>
      </c>
      <c r="T9381" t="s">
        <v>44716</v>
      </c>
      <c r="U9381" t="s">
        <v>51119</v>
      </c>
      <c r="W9381" t="s">
        <v>42297</v>
      </c>
      <c r="X9381" t="s">
        <v>43178</v>
      </c>
    </row>
    <row r="9382" spans="1:24">
      <c r="A9382">
        <f>HYPERLINK("https://www.philgeps.gov.ph/GEPSNONPILOT/Tender/SplashBidNoticeAbstractUI.aspx?menuIndex=3&amp;refID=7073142&amp;Result=3","7073142")</f>
        <v>0</v>
      </c>
      <c r="B9382" t="s">
        <v>390</v>
      </c>
      <c r="C9382" t="s">
        <v>12355</v>
      </c>
      <c r="D9382" t="s">
        <v>17415</v>
      </c>
      <c r="E9382" t="s">
        <v>25523</v>
      </c>
      <c r="F9382" t="s">
        <v>30052</v>
      </c>
      <c r="G9382" t="s">
        <v>30058</v>
      </c>
      <c r="H9382" t="s">
        <v>30069</v>
      </c>
      <c r="I9382" t="s">
        <v>30081</v>
      </c>
      <c r="J9382" t="s">
        <v>32173</v>
      </c>
      <c r="K9382" t="s">
        <v>39026</v>
      </c>
      <c r="M9382" t="s">
        <v>41508</v>
      </c>
      <c r="N9382" t="s">
        <v>43166</v>
      </c>
      <c r="O9382" t="s">
        <v>43167</v>
      </c>
      <c r="Q9382">
        <v>2</v>
      </c>
      <c r="R9382" t="s">
        <v>43175</v>
      </c>
      <c r="S9382" t="s">
        <v>43487</v>
      </c>
      <c r="T9382" t="s">
        <v>44725</v>
      </c>
      <c r="U9382" t="s">
        <v>50347</v>
      </c>
      <c r="W9382" t="s">
        <v>41508</v>
      </c>
      <c r="X9382" t="s">
        <v>43176</v>
      </c>
    </row>
    <row r="9383" spans="1:24">
      <c r="A9383">
        <f>HYPERLINK("https://www.philgeps.gov.ph/GEPSNONPILOT/Tender/SplashBidNoticeAbstractUI.aspx?menuIndex=3&amp;refID=7072483&amp;Result=3","7072483")</f>
        <v>0</v>
      </c>
      <c r="B9383" t="s">
        <v>382</v>
      </c>
      <c r="C9383" t="s">
        <v>12356</v>
      </c>
      <c r="D9383" t="s">
        <v>17474</v>
      </c>
      <c r="E9383" t="s">
        <v>25524</v>
      </c>
      <c r="F9383" t="s">
        <v>30052</v>
      </c>
      <c r="G9383" t="s">
        <v>30058</v>
      </c>
      <c r="H9383" t="s">
        <v>15498</v>
      </c>
      <c r="I9383" t="s">
        <v>30084</v>
      </c>
      <c r="J9383" t="s">
        <v>30743</v>
      </c>
      <c r="K9383" t="s">
        <v>39025</v>
      </c>
      <c r="M9383" t="s">
        <v>39680</v>
      </c>
      <c r="N9383" t="s">
        <v>43166</v>
      </c>
      <c r="O9383" t="s">
        <v>43167</v>
      </c>
      <c r="P9383">
        <v>0</v>
      </c>
      <c r="Q9383">
        <v>1</v>
      </c>
      <c r="R9383" t="s">
        <v>43176</v>
      </c>
      <c r="S9383" t="s">
        <v>43481</v>
      </c>
      <c r="T9383" t="s">
        <v>44969</v>
      </c>
      <c r="U9383" t="s">
        <v>52736</v>
      </c>
      <c r="W9383" t="s">
        <v>39680</v>
      </c>
      <c r="X9383" t="s">
        <v>43177</v>
      </c>
    </row>
    <row r="9384" spans="1:24">
      <c r="A9384">
        <f>HYPERLINK("https://www.philgeps.gov.ph/GEPSNONPILOT/Tender/SplashBidNoticeAbstractUI.aspx?menuIndex=3&amp;refID=7072479&amp;Result=3","7072479")</f>
        <v>0</v>
      </c>
      <c r="B9384" t="s">
        <v>1024</v>
      </c>
      <c r="C9384" t="s">
        <v>12357</v>
      </c>
      <c r="E9384" t="s">
        <v>25525</v>
      </c>
      <c r="F9384" t="s">
        <v>30052</v>
      </c>
      <c r="G9384" t="s">
        <v>30058</v>
      </c>
      <c r="H9384" t="s">
        <v>30067</v>
      </c>
      <c r="I9384" t="s">
        <v>3693</v>
      </c>
      <c r="J9384" t="s">
        <v>32005</v>
      </c>
      <c r="K9384" t="s">
        <v>39078</v>
      </c>
      <c r="M9384" t="s">
        <v>40353</v>
      </c>
      <c r="N9384" t="s">
        <v>43166</v>
      </c>
      <c r="O9384" t="s">
        <v>43167</v>
      </c>
      <c r="P9384">
        <v>0</v>
      </c>
      <c r="Q9384">
        <v>6</v>
      </c>
      <c r="R9384" t="s">
        <v>43176</v>
      </c>
      <c r="S9384" t="s">
        <v>43481</v>
      </c>
      <c r="T9384" t="s">
        <v>45009</v>
      </c>
      <c r="U9384" t="s">
        <v>52737</v>
      </c>
      <c r="W9384" t="s">
        <v>40353</v>
      </c>
      <c r="X9384" t="s">
        <v>43177</v>
      </c>
    </row>
    <row r="9385" spans="1:24">
      <c r="A9385">
        <f>HYPERLINK("https://www.philgeps.gov.ph/GEPSNONPILOT/Tender/SplashBidNoticeAbstractUI.aspx?menuIndex=3&amp;refID=7072478&amp;Result=3","7072478")</f>
        <v>0</v>
      </c>
      <c r="B9385" t="s">
        <v>1024</v>
      </c>
      <c r="C9385" t="s">
        <v>12358</v>
      </c>
      <c r="D9385" t="s">
        <v>17432</v>
      </c>
      <c r="E9385" t="s">
        <v>25526</v>
      </c>
      <c r="F9385" t="s">
        <v>30052</v>
      </c>
      <c r="G9385" t="s">
        <v>30058</v>
      </c>
      <c r="H9385" t="s">
        <v>30067</v>
      </c>
      <c r="I9385" t="s">
        <v>3693</v>
      </c>
      <c r="J9385" t="s">
        <v>32005</v>
      </c>
      <c r="K9385" t="s">
        <v>39078</v>
      </c>
      <c r="M9385" t="s">
        <v>40353</v>
      </c>
      <c r="N9385" t="s">
        <v>43166</v>
      </c>
      <c r="O9385" t="s">
        <v>43167</v>
      </c>
      <c r="P9385">
        <v>0</v>
      </c>
      <c r="Q9385">
        <v>6</v>
      </c>
      <c r="R9385" t="s">
        <v>43176</v>
      </c>
      <c r="S9385" t="s">
        <v>43481</v>
      </c>
      <c r="T9385" t="s">
        <v>44758</v>
      </c>
      <c r="U9385" t="s">
        <v>52738</v>
      </c>
      <c r="W9385" t="s">
        <v>40353</v>
      </c>
      <c r="X9385" t="s">
        <v>43177</v>
      </c>
    </row>
    <row r="9386" spans="1:24">
      <c r="A9386">
        <f>HYPERLINK("https://www.philgeps.gov.ph/GEPSNONPILOT/Tender/SplashBidNoticeAbstractUI.aspx?menuIndex=3&amp;refID=7072476&amp;Result=3","7072476")</f>
        <v>0</v>
      </c>
      <c r="B9386" t="s">
        <v>1024</v>
      </c>
      <c r="C9386" t="s">
        <v>12359</v>
      </c>
      <c r="D9386" t="s">
        <v>17432</v>
      </c>
      <c r="E9386" t="s">
        <v>25527</v>
      </c>
      <c r="F9386" t="s">
        <v>30052</v>
      </c>
      <c r="G9386" t="s">
        <v>30058</v>
      </c>
      <c r="H9386" t="s">
        <v>30067</v>
      </c>
      <c r="I9386" t="s">
        <v>3693</v>
      </c>
      <c r="J9386" t="s">
        <v>35931</v>
      </c>
      <c r="K9386" t="s">
        <v>39061</v>
      </c>
      <c r="M9386" t="s">
        <v>40353</v>
      </c>
      <c r="N9386" t="s">
        <v>43166</v>
      </c>
      <c r="O9386" t="s">
        <v>43167</v>
      </c>
      <c r="P9386">
        <v>0</v>
      </c>
      <c r="Q9386">
        <v>8</v>
      </c>
      <c r="R9386" t="s">
        <v>43176</v>
      </c>
      <c r="S9386" t="s">
        <v>43481</v>
      </c>
      <c r="T9386" t="s">
        <v>44758</v>
      </c>
      <c r="U9386" t="s">
        <v>52739</v>
      </c>
      <c r="W9386" t="s">
        <v>40353</v>
      </c>
      <c r="X9386" t="s">
        <v>43177</v>
      </c>
    </row>
    <row r="9387" spans="1:24">
      <c r="A9387">
        <f>HYPERLINK("https://www.philgeps.gov.ph/GEPSNONPILOT/Tender/SplashBidNoticeAbstractUI.aspx?menuIndex=3&amp;refID=7072472&amp;Result=3","7072472")</f>
        <v>0</v>
      </c>
      <c r="B9387" t="s">
        <v>813</v>
      </c>
      <c r="C9387" t="s">
        <v>12360</v>
      </c>
      <c r="D9387" t="s">
        <v>17426</v>
      </c>
      <c r="E9387" t="s">
        <v>25528</v>
      </c>
      <c r="F9387" t="s">
        <v>30052</v>
      </c>
      <c r="G9387" t="s">
        <v>30058</v>
      </c>
      <c r="H9387" t="s">
        <v>30067</v>
      </c>
      <c r="I9387" t="s">
        <v>3693</v>
      </c>
      <c r="J9387" t="s">
        <v>30252</v>
      </c>
      <c r="K9387" t="s">
        <v>39046</v>
      </c>
      <c r="M9387" t="s">
        <v>40130</v>
      </c>
      <c r="N9387" t="s">
        <v>43166</v>
      </c>
      <c r="O9387" t="s">
        <v>43167</v>
      </c>
      <c r="P9387">
        <v>0</v>
      </c>
      <c r="Q9387">
        <v>0</v>
      </c>
      <c r="R9387" t="s">
        <v>43176</v>
      </c>
      <c r="S9387" t="s">
        <v>43481</v>
      </c>
      <c r="T9387" t="s">
        <v>44921</v>
      </c>
      <c r="U9387" t="s">
        <v>46896</v>
      </c>
      <c r="W9387" t="s">
        <v>40130</v>
      </c>
      <c r="X9387" t="s">
        <v>43177</v>
      </c>
    </row>
    <row r="9388" spans="1:24">
      <c r="A9388">
        <f>HYPERLINK("https://www.philgeps.gov.ph/GEPSNONPILOT/Tender/SplashBidNoticeAbstractUI.aspx?menuIndex=3&amp;refID=7072300&amp;Result=3","7072300")</f>
        <v>0</v>
      </c>
      <c r="B9388" t="s">
        <v>2764</v>
      </c>
      <c r="C9388" t="s">
        <v>12361</v>
      </c>
      <c r="D9388" t="s">
        <v>17458</v>
      </c>
      <c r="E9388" t="s">
        <v>25529</v>
      </c>
      <c r="F9388" t="s">
        <v>30052</v>
      </c>
      <c r="G9388" t="s">
        <v>30058</v>
      </c>
      <c r="H9388" t="s">
        <v>15498</v>
      </c>
      <c r="I9388" t="s">
        <v>30075</v>
      </c>
      <c r="J9388" t="s">
        <v>30299</v>
      </c>
      <c r="K9388" t="s">
        <v>39019</v>
      </c>
      <c r="M9388" t="s">
        <v>42298</v>
      </c>
      <c r="N9388" t="s">
        <v>43166</v>
      </c>
      <c r="O9388" t="s">
        <v>43167</v>
      </c>
      <c r="P9388">
        <v>0</v>
      </c>
      <c r="Q9388">
        <v>4</v>
      </c>
      <c r="R9388" t="s">
        <v>43176</v>
      </c>
      <c r="S9388" t="s">
        <v>43481</v>
      </c>
      <c r="T9388" t="s">
        <v>44754</v>
      </c>
      <c r="U9388" t="s">
        <v>52740</v>
      </c>
      <c r="V9388" t="s">
        <v>57844</v>
      </c>
      <c r="W9388" t="s">
        <v>42298</v>
      </c>
      <c r="X9388" t="s">
        <v>43177</v>
      </c>
    </row>
    <row r="9389" spans="1:24">
      <c r="A9389">
        <f>HYPERLINK("https://www.philgeps.gov.ph/GEPSNONPILOT/Tender/SplashBidNoticeAbstractUI.aspx?menuIndex=3&amp;refID=7072440&amp;Result=3","7072440")</f>
        <v>0</v>
      </c>
      <c r="B9389" t="s">
        <v>1429</v>
      </c>
      <c r="C9389" t="s">
        <v>12362</v>
      </c>
      <c r="D9389" t="s">
        <v>17432</v>
      </c>
      <c r="E9389" t="s">
        <v>25530</v>
      </c>
      <c r="F9389" t="s">
        <v>30052</v>
      </c>
      <c r="G9389" t="s">
        <v>30059</v>
      </c>
      <c r="H9389" t="s">
        <v>15498</v>
      </c>
      <c r="I9389" t="s">
        <v>30130</v>
      </c>
      <c r="J9389" t="s">
        <v>35932</v>
      </c>
      <c r="K9389" t="s">
        <v>39019</v>
      </c>
      <c r="M9389" t="s">
        <v>42299</v>
      </c>
      <c r="N9389" t="s">
        <v>43166</v>
      </c>
      <c r="O9389" t="s">
        <v>43167</v>
      </c>
      <c r="Q9389">
        <v>43</v>
      </c>
      <c r="R9389" t="s">
        <v>43176</v>
      </c>
      <c r="S9389" t="s">
        <v>43488</v>
      </c>
      <c r="T9389" t="s">
        <v>44717</v>
      </c>
      <c r="U9389" t="s">
        <v>52741</v>
      </c>
      <c r="V9389" t="s">
        <v>57845</v>
      </c>
      <c r="W9389" t="s">
        <v>42299</v>
      </c>
      <c r="X9389" t="s">
        <v>43177</v>
      </c>
    </row>
    <row r="9390" spans="1:24">
      <c r="A9390">
        <f>HYPERLINK("https://www.philgeps.gov.ph/GEPSNONPILOT/Tender/SplashBidNoticeAbstractUI.aspx?menuIndex=3&amp;refID=7072402&amp;Result=3","7072402")</f>
        <v>0</v>
      </c>
      <c r="B9390" t="s">
        <v>1189</v>
      </c>
      <c r="C9390" t="s">
        <v>12363</v>
      </c>
      <c r="D9390" t="s">
        <v>17444</v>
      </c>
      <c r="E9390" t="s">
        <v>25531</v>
      </c>
      <c r="F9390" t="s">
        <v>30052</v>
      </c>
      <c r="G9390" t="s">
        <v>30058</v>
      </c>
      <c r="H9390" t="s">
        <v>15498</v>
      </c>
      <c r="I9390" t="s">
        <v>30074</v>
      </c>
      <c r="J9390" t="s">
        <v>35933</v>
      </c>
      <c r="K9390" t="s">
        <v>39046</v>
      </c>
      <c r="M9390" t="s">
        <v>40542</v>
      </c>
      <c r="N9390" t="s">
        <v>43166</v>
      </c>
      <c r="O9390" t="s">
        <v>43167</v>
      </c>
      <c r="P9390">
        <v>0</v>
      </c>
      <c r="Q9390">
        <v>2</v>
      </c>
      <c r="R9390" t="s">
        <v>43176</v>
      </c>
      <c r="S9390" t="s">
        <v>43481</v>
      </c>
      <c r="T9390" t="s">
        <v>44922</v>
      </c>
      <c r="U9390" t="s">
        <v>52742</v>
      </c>
      <c r="W9390" t="s">
        <v>40542</v>
      </c>
      <c r="X9390" t="s">
        <v>43177</v>
      </c>
    </row>
    <row r="9391" spans="1:24">
      <c r="A9391">
        <f>HYPERLINK("https://www.philgeps.gov.ph/GEPSNONPILOT/Tender/SplashBidNoticeAbstractUI.aspx?menuIndex=3&amp;refID=7072485&amp;Result=3","7072485")</f>
        <v>0</v>
      </c>
      <c r="B9391" t="s">
        <v>382</v>
      </c>
      <c r="C9391" t="s">
        <v>12364</v>
      </c>
      <c r="D9391" t="s">
        <v>17474</v>
      </c>
      <c r="E9391" t="s">
        <v>25532</v>
      </c>
      <c r="F9391" t="s">
        <v>30052</v>
      </c>
      <c r="G9391" t="s">
        <v>30058</v>
      </c>
      <c r="H9391" t="s">
        <v>15498</v>
      </c>
      <c r="I9391" t="s">
        <v>3852</v>
      </c>
      <c r="J9391" t="s">
        <v>30207</v>
      </c>
      <c r="K9391" t="s">
        <v>39025</v>
      </c>
      <c r="M9391" t="s">
        <v>39680</v>
      </c>
      <c r="N9391" t="s">
        <v>43166</v>
      </c>
      <c r="O9391" t="s">
        <v>43167</v>
      </c>
      <c r="P9391">
        <v>0</v>
      </c>
      <c r="Q9391">
        <v>2</v>
      </c>
      <c r="R9391" t="s">
        <v>43176</v>
      </c>
      <c r="S9391" t="s">
        <v>43481</v>
      </c>
      <c r="T9391" t="s">
        <v>44969</v>
      </c>
      <c r="U9391" t="s">
        <v>52736</v>
      </c>
      <c r="W9391" t="s">
        <v>39680</v>
      </c>
      <c r="X9391" t="s">
        <v>43177</v>
      </c>
    </row>
    <row r="9392" spans="1:24">
      <c r="A9392">
        <f>HYPERLINK("https://www.philgeps.gov.ph/GEPSNONPILOT/Tender/SplashBidNoticeAbstractUI.aspx?menuIndex=3&amp;refID=7072480&amp;Result=3","7072480")</f>
        <v>0</v>
      </c>
      <c r="B9392" t="s">
        <v>2462</v>
      </c>
      <c r="C9392" t="s">
        <v>12365</v>
      </c>
      <c r="D9392" t="s">
        <v>17415</v>
      </c>
      <c r="E9392" t="s">
        <v>25533</v>
      </c>
      <c r="F9392" t="s">
        <v>30052</v>
      </c>
      <c r="G9392" t="s">
        <v>30058</v>
      </c>
      <c r="H9392" t="s">
        <v>30067</v>
      </c>
      <c r="I9392" t="s">
        <v>3693</v>
      </c>
      <c r="J9392" t="s">
        <v>35934</v>
      </c>
      <c r="K9392" t="s">
        <v>39057</v>
      </c>
      <c r="M9392" t="s">
        <v>42296</v>
      </c>
      <c r="N9392" t="s">
        <v>43166</v>
      </c>
      <c r="O9392" t="s">
        <v>43167</v>
      </c>
      <c r="P9392">
        <v>0</v>
      </c>
      <c r="Q9392">
        <v>85</v>
      </c>
      <c r="R9392" t="s">
        <v>43176</v>
      </c>
      <c r="S9392" t="s">
        <v>43481</v>
      </c>
      <c r="T9392" t="s">
        <v>44757</v>
      </c>
      <c r="U9392" t="s">
        <v>52743</v>
      </c>
      <c r="V9392" t="s">
        <v>57846</v>
      </c>
      <c r="W9392" t="s">
        <v>42296</v>
      </c>
      <c r="X9392" t="s">
        <v>43177</v>
      </c>
    </row>
    <row r="9393" spans="1:24">
      <c r="A9393">
        <f>HYPERLINK("https://www.philgeps.gov.ph/GEPSNONPILOT/Tender/SplashBidNoticeAbstractUI.aspx?menuIndex=3&amp;refID=7072391&amp;Result=3","7072391")</f>
        <v>0</v>
      </c>
      <c r="B9393" t="s">
        <v>2055</v>
      </c>
      <c r="C9393" t="s">
        <v>12366</v>
      </c>
      <c r="D9393" t="s">
        <v>17419</v>
      </c>
      <c r="E9393" t="s">
        <v>25534</v>
      </c>
      <c r="F9393" t="s">
        <v>30052</v>
      </c>
      <c r="G9393" t="s">
        <v>30058</v>
      </c>
      <c r="H9393" t="s">
        <v>15498</v>
      </c>
      <c r="I9393" t="s">
        <v>30084</v>
      </c>
      <c r="J9393" t="s">
        <v>30247</v>
      </c>
      <c r="K9393" t="s">
        <v>39025</v>
      </c>
      <c r="M9393" t="s">
        <v>42300</v>
      </c>
      <c r="N9393" t="s">
        <v>43166</v>
      </c>
      <c r="O9393" t="s">
        <v>43167</v>
      </c>
      <c r="P9393">
        <v>0</v>
      </c>
      <c r="Q9393">
        <v>9</v>
      </c>
      <c r="R9393" t="s">
        <v>43176</v>
      </c>
      <c r="S9393" t="s">
        <v>43481</v>
      </c>
      <c r="T9393" t="s">
        <v>44716</v>
      </c>
      <c r="U9393" t="s">
        <v>52744</v>
      </c>
      <c r="W9393" t="s">
        <v>42300</v>
      </c>
      <c r="X9393" t="s">
        <v>43177</v>
      </c>
    </row>
    <row r="9394" spans="1:24">
      <c r="A9394">
        <f>HYPERLINK("https://www.philgeps.gov.ph/GEPSNONPILOT/Tender/SplashBidNoticeAbstractUI.aspx?menuIndex=3&amp;refID=7072323&amp;Result=3","7072323")</f>
        <v>0</v>
      </c>
      <c r="B9394" t="s">
        <v>2765</v>
      </c>
      <c r="C9394" t="s">
        <v>12367</v>
      </c>
      <c r="D9394" t="s">
        <v>17416</v>
      </c>
      <c r="E9394" t="s">
        <v>24163</v>
      </c>
      <c r="F9394" t="s">
        <v>30052</v>
      </c>
      <c r="G9394" t="s">
        <v>30058</v>
      </c>
      <c r="H9394" t="s">
        <v>15498</v>
      </c>
      <c r="I9394" t="s">
        <v>3736</v>
      </c>
      <c r="J9394" t="s">
        <v>35935</v>
      </c>
      <c r="K9394" t="s">
        <v>39017</v>
      </c>
      <c r="M9394" t="s">
        <v>42301</v>
      </c>
      <c r="N9394" t="s">
        <v>43166</v>
      </c>
      <c r="O9394" t="s">
        <v>43167</v>
      </c>
      <c r="P9394">
        <v>0</v>
      </c>
      <c r="Q9394">
        <v>0</v>
      </c>
      <c r="R9394" t="s">
        <v>43176</v>
      </c>
      <c r="S9394" t="s">
        <v>43481</v>
      </c>
      <c r="T9394" t="s">
        <v>44717</v>
      </c>
      <c r="U9394" t="s">
        <v>52745</v>
      </c>
      <c r="W9394" t="s">
        <v>42301</v>
      </c>
      <c r="X9394" t="s">
        <v>43177</v>
      </c>
    </row>
    <row r="9395" spans="1:24">
      <c r="A9395">
        <f>HYPERLINK("https://www.philgeps.gov.ph/GEPSNONPILOT/Tender/SplashBidNoticeAbstractUI.aspx?menuIndex=3&amp;refID=7062384&amp;Result=3","7062384")</f>
        <v>0</v>
      </c>
      <c r="B9395" t="s">
        <v>490</v>
      </c>
      <c r="C9395" t="s">
        <v>12368</v>
      </c>
      <c r="D9395" t="s">
        <v>17435</v>
      </c>
      <c r="E9395" t="s">
        <v>25535</v>
      </c>
      <c r="F9395" t="s">
        <v>30052</v>
      </c>
      <c r="G9395" t="s">
        <v>30058</v>
      </c>
      <c r="H9395" t="s">
        <v>15498</v>
      </c>
      <c r="I9395" t="s">
        <v>30076</v>
      </c>
      <c r="J9395" t="s">
        <v>35936</v>
      </c>
      <c r="K9395" t="s">
        <v>39029</v>
      </c>
      <c r="M9395" t="s">
        <v>39791</v>
      </c>
      <c r="N9395" t="s">
        <v>43166</v>
      </c>
      <c r="O9395" t="s">
        <v>43167</v>
      </c>
      <c r="Q9395">
        <v>0</v>
      </c>
      <c r="R9395" t="s">
        <v>43176</v>
      </c>
      <c r="S9395" t="s">
        <v>43489</v>
      </c>
      <c r="T9395" t="s">
        <v>44716</v>
      </c>
      <c r="U9395" t="s">
        <v>52746</v>
      </c>
      <c r="V9395" t="s">
        <v>57840</v>
      </c>
      <c r="W9395" t="s">
        <v>39791</v>
      </c>
      <c r="X9395" t="s">
        <v>43181</v>
      </c>
    </row>
    <row r="9396" spans="1:24">
      <c r="A9396">
        <f>HYPERLINK("https://www.philgeps.gov.ph/GEPSNONPILOT/Tender/SplashBidNoticeAbstractUI.aspx?menuIndex=3&amp;refID=7072400&amp;Result=3","7072400")</f>
        <v>0</v>
      </c>
      <c r="B9396" t="s">
        <v>813</v>
      </c>
      <c r="C9396" t="s">
        <v>12369</v>
      </c>
      <c r="D9396" t="s">
        <v>17426</v>
      </c>
      <c r="E9396" t="s">
        <v>25536</v>
      </c>
      <c r="F9396" t="s">
        <v>30052</v>
      </c>
      <c r="G9396" t="s">
        <v>30058</v>
      </c>
      <c r="H9396" t="s">
        <v>30067</v>
      </c>
      <c r="I9396" t="s">
        <v>3693</v>
      </c>
      <c r="J9396" t="s">
        <v>30252</v>
      </c>
      <c r="K9396" t="s">
        <v>39046</v>
      </c>
      <c r="M9396" t="s">
        <v>40130</v>
      </c>
      <c r="N9396" t="s">
        <v>43166</v>
      </c>
      <c r="O9396" t="s">
        <v>43167</v>
      </c>
      <c r="P9396">
        <v>0</v>
      </c>
      <c r="Q9396">
        <v>0</v>
      </c>
      <c r="R9396" t="s">
        <v>43176</v>
      </c>
      <c r="S9396" t="s">
        <v>43481</v>
      </c>
      <c r="T9396" t="s">
        <v>44921</v>
      </c>
      <c r="U9396" t="s">
        <v>46896</v>
      </c>
      <c r="W9396" t="s">
        <v>40130</v>
      </c>
      <c r="X9396" t="s">
        <v>43177</v>
      </c>
    </row>
    <row r="9397" spans="1:24">
      <c r="A9397">
        <f>HYPERLINK("https://www.philgeps.gov.ph/GEPSNONPILOT/Tender/SplashBidNoticeAbstractUI.aspx?menuIndex=3&amp;refID=7072397&amp;Result=3","7072397")</f>
        <v>0</v>
      </c>
      <c r="B9397" t="s">
        <v>1189</v>
      </c>
      <c r="C9397" t="s">
        <v>12370</v>
      </c>
      <c r="D9397" t="s">
        <v>17444</v>
      </c>
      <c r="E9397" t="s">
        <v>25537</v>
      </c>
      <c r="F9397" t="s">
        <v>30052</v>
      </c>
      <c r="G9397" t="s">
        <v>30058</v>
      </c>
      <c r="H9397" t="s">
        <v>15498</v>
      </c>
      <c r="I9397" t="s">
        <v>30074</v>
      </c>
      <c r="J9397" t="s">
        <v>30711</v>
      </c>
      <c r="K9397" t="s">
        <v>39046</v>
      </c>
      <c r="M9397" t="s">
        <v>40542</v>
      </c>
      <c r="N9397" t="s">
        <v>43166</v>
      </c>
      <c r="O9397" t="s">
        <v>43167</v>
      </c>
      <c r="P9397">
        <v>0</v>
      </c>
      <c r="Q9397">
        <v>3</v>
      </c>
      <c r="R9397" t="s">
        <v>43176</v>
      </c>
      <c r="S9397" t="s">
        <v>43481</v>
      </c>
      <c r="T9397" t="s">
        <v>44922</v>
      </c>
      <c r="U9397" t="s">
        <v>52747</v>
      </c>
      <c r="W9397" t="s">
        <v>40542</v>
      </c>
      <c r="X9397" t="s">
        <v>43177</v>
      </c>
    </row>
    <row r="9398" spans="1:24">
      <c r="A9398">
        <f>HYPERLINK("https://www.philgeps.gov.ph/GEPSNONPILOT/Tender/SplashBidNoticeAbstractUI.aspx?menuIndex=3&amp;refID=7072298&amp;Result=3","7072298")</f>
        <v>0</v>
      </c>
      <c r="B9398" t="s">
        <v>2764</v>
      </c>
      <c r="C9398" t="s">
        <v>12371</v>
      </c>
      <c r="D9398" t="s">
        <v>17458</v>
      </c>
      <c r="E9398" t="s">
        <v>25538</v>
      </c>
      <c r="F9398" t="s">
        <v>30052</v>
      </c>
      <c r="G9398" t="s">
        <v>30058</v>
      </c>
      <c r="H9398" t="s">
        <v>15498</v>
      </c>
      <c r="I9398" t="s">
        <v>4598</v>
      </c>
      <c r="J9398" t="s">
        <v>30440</v>
      </c>
      <c r="K9398" t="s">
        <v>39019</v>
      </c>
      <c r="M9398" t="s">
        <v>42298</v>
      </c>
      <c r="N9398" t="s">
        <v>43166</v>
      </c>
      <c r="O9398" t="s">
        <v>43167</v>
      </c>
      <c r="P9398">
        <v>0</v>
      </c>
      <c r="Q9398">
        <v>7</v>
      </c>
      <c r="R9398" t="s">
        <v>43176</v>
      </c>
      <c r="S9398" t="s">
        <v>43481</v>
      </c>
      <c r="T9398" t="s">
        <v>44754</v>
      </c>
      <c r="U9398" t="s">
        <v>52748</v>
      </c>
      <c r="V9398" t="s">
        <v>57844</v>
      </c>
      <c r="W9398" t="s">
        <v>42298</v>
      </c>
      <c r="X9398" t="s">
        <v>43177</v>
      </c>
    </row>
    <row r="9399" spans="1:24">
      <c r="A9399">
        <f>HYPERLINK("https://www.philgeps.gov.ph/GEPSNONPILOT/Tender/SplashBidNoticeAbstractUI.aspx?menuIndex=3&amp;refID=7073225&amp;Result=3","7073225")</f>
        <v>0</v>
      </c>
      <c r="B9399" t="s">
        <v>2766</v>
      </c>
      <c r="C9399" t="s">
        <v>12372</v>
      </c>
      <c r="D9399" t="s">
        <v>17494</v>
      </c>
      <c r="E9399" t="s">
        <v>25539</v>
      </c>
      <c r="F9399" t="s">
        <v>30052</v>
      </c>
      <c r="G9399" t="s">
        <v>30058</v>
      </c>
      <c r="H9399" t="s">
        <v>15498</v>
      </c>
      <c r="I9399" t="s">
        <v>30109</v>
      </c>
      <c r="J9399" t="s">
        <v>35937</v>
      </c>
      <c r="K9399" t="s">
        <v>39019</v>
      </c>
      <c r="M9399" t="s">
        <v>42302</v>
      </c>
      <c r="N9399" t="s">
        <v>43166</v>
      </c>
      <c r="O9399" t="s">
        <v>43167</v>
      </c>
      <c r="P9399">
        <v>0</v>
      </c>
      <c r="Q9399">
        <v>1</v>
      </c>
      <c r="R9399" t="s">
        <v>43175</v>
      </c>
      <c r="S9399" t="s">
        <v>43460</v>
      </c>
      <c r="T9399" t="s">
        <v>44969</v>
      </c>
      <c r="U9399" t="s">
        <v>52749</v>
      </c>
      <c r="W9399" t="s">
        <v>42302</v>
      </c>
      <c r="X9399" t="s">
        <v>43176</v>
      </c>
    </row>
    <row r="9400" spans="1:24">
      <c r="A9400">
        <f>HYPERLINK("https://www.philgeps.gov.ph/GEPSNONPILOT/Tender/SplashBidNoticeAbstractUI.aspx?menuIndex=3&amp;refID=7072322&amp;Result=3","7072322")</f>
        <v>0</v>
      </c>
      <c r="B9400" t="s">
        <v>2767</v>
      </c>
      <c r="C9400" t="s">
        <v>12373</v>
      </c>
      <c r="D9400" t="s">
        <v>17416</v>
      </c>
      <c r="E9400" t="s">
        <v>18691</v>
      </c>
      <c r="F9400" t="s">
        <v>30052</v>
      </c>
      <c r="G9400" t="s">
        <v>30058</v>
      </c>
      <c r="H9400" t="s">
        <v>15498</v>
      </c>
      <c r="I9400" t="s">
        <v>3736</v>
      </c>
      <c r="J9400" t="s">
        <v>35938</v>
      </c>
      <c r="K9400" t="s">
        <v>39017</v>
      </c>
      <c r="M9400" t="s">
        <v>42303</v>
      </c>
      <c r="N9400" t="s">
        <v>43166</v>
      </c>
      <c r="O9400" t="s">
        <v>43167</v>
      </c>
      <c r="P9400">
        <v>0</v>
      </c>
      <c r="Q9400">
        <v>0</v>
      </c>
      <c r="R9400" t="s">
        <v>43176</v>
      </c>
      <c r="S9400" t="s">
        <v>43481</v>
      </c>
      <c r="T9400" t="s">
        <v>44856</v>
      </c>
      <c r="U9400" t="s">
        <v>52750</v>
      </c>
      <c r="W9400" t="s">
        <v>42303</v>
      </c>
      <c r="X9400" t="s">
        <v>43177</v>
      </c>
    </row>
    <row r="9401" spans="1:24">
      <c r="A9401">
        <f>HYPERLINK("https://www.philgeps.gov.ph/GEPSNONPILOT/Tender/SplashBidNoticeAbstractUI.aspx?menuIndex=3&amp;refID=7072319&amp;Result=3","7072319")</f>
        <v>0</v>
      </c>
      <c r="B9401" t="s">
        <v>494</v>
      </c>
      <c r="C9401" t="s">
        <v>12374</v>
      </c>
      <c r="E9401" t="s">
        <v>25540</v>
      </c>
      <c r="F9401" t="s">
        <v>30052</v>
      </c>
      <c r="G9401" t="s">
        <v>30058</v>
      </c>
      <c r="H9401" t="s">
        <v>15498</v>
      </c>
      <c r="I9401" t="s">
        <v>30137</v>
      </c>
      <c r="J9401" t="s">
        <v>35939</v>
      </c>
      <c r="K9401" t="s">
        <v>39025</v>
      </c>
      <c r="M9401" t="s">
        <v>39795</v>
      </c>
      <c r="N9401" t="s">
        <v>43166</v>
      </c>
      <c r="O9401" t="s">
        <v>43167</v>
      </c>
      <c r="P9401">
        <v>0</v>
      </c>
      <c r="Q9401">
        <v>2</v>
      </c>
      <c r="R9401" t="s">
        <v>43176</v>
      </c>
      <c r="S9401" t="s">
        <v>43481</v>
      </c>
      <c r="T9401" t="s">
        <v>44796</v>
      </c>
      <c r="U9401" t="s">
        <v>52751</v>
      </c>
      <c r="W9401" t="s">
        <v>39795</v>
      </c>
      <c r="X9401" t="s">
        <v>43177</v>
      </c>
    </row>
    <row r="9402" spans="1:24">
      <c r="A9402">
        <f>HYPERLINK("https://www.philgeps.gov.ph/GEPSNONPILOT/Tender/SplashBidNoticeAbstractUI.aspx?menuIndex=3&amp;refID=7073211&amp;Result=3","7073211")</f>
        <v>0</v>
      </c>
      <c r="B9402" t="s">
        <v>2768</v>
      </c>
      <c r="C9402" t="s">
        <v>12375</v>
      </c>
      <c r="D9402" t="s">
        <v>17415</v>
      </c>
      <c r="E9402" t="s">
        <v>25541</v>
      </c>
      <c r="F9402" t="s">
        <v>30052</v>
      </c>
      <c r="G9402" t="s">
        <v>30058</v>
      </c>
      <c r="H9402" t="s">
        <v>30069</v>
      </c>
      <c r="I9402" t="s">
        <v>3606</v>
      </c>
      <c r="J9402" t="s">
        <v>30277</v>
      </c>
      <c r="K9402" t="s">
        <v>39029</v>
      </c>
      <c r="M9402" t="s">
        <v>42304</v>
      </c>
      <c r="N9402" t="s">
        <v>43166</v>
      </c>
      <c r="O9402" t="s">
        <v>43167</v>
      </c>
      <c r="P9402">
        <v>0</v>
      </c>
      <c r="Q9402">
        <v>3</v>
      </c>
      <c r="R9402" t="s">
        <v>43175</v>
      </c>
      <c r="S9402" t="s">
        <v>43460</v>
      </c>
      <c r="T9402" t="s">
        <v>44710</v>
      </c>
      <c r="U9402" t="s">
        <v>52752</v>
      </c>
      <c r="V9402" t="s">
        <v>57847</v>
      </c>
      <c r="W9402" t="s">
        <v>42304</v>
      </c>
      <c r="X9402" t="s">
        <v>43176</v>
      </c>
    </row>
    <row r="9403" spans="1:24">
      <c r="A9403">
        <f>HYPERLINK("https://www.philgeps.gov.ph/GEPSNONPILOT/Tender/SplashBidNoticeAbstractUI.aspx?menuIndex=3&amp;refID=7073198&amp;Result=3","7073198")</f>
        <v>0</v>
      </c>
      <c r="B9403" t="s">
        <v>1784</v>
      </c>
      <c r="C9403" t="s">
        <v>12376</v>
      </c>
      <c r="D9403" t="s">
        <v>17459</v>
      </c>
      <c r="E9403" t="s">
        <v>25542</v>
      </c>
      <c r="F9403" t="s">
        <v>30052</v>
      </c>
      <c r="G9403" t="s">
        <v>30058</v>
      </c>
      <c r="H9403" t="s">
        <v>15498</v>
      </c>
      <c r="I9403" t="s">
        <v>30092</v>
      </c>
      <c r="J9403" t="s">
        <v>35940</v>
      </c>
      <c r="K9403" t="s">
        <v>39029</v>
      </c>
      <c r="M9403" t="s">
        <v>41422</v>
      </c>
      <c r="N9403" t="s">
        <v>43166</v>
      </c>
      <c r="O9403" t="s">
        <v>43167</v>
      </c>
      <c r="P9403">
        <v>0</v>
      </c>
      <c r="Q9403">
        <v>3</v>
      </c>
      <c r="R9403" t="s">
        <v>43175</v>
      </c>
      <c r="S9403" t="s">
        <v>43460</v>
      </c>
      <c r="T9403" t="s">
        <v>44807</v>
      </c>
      <c r="U9403" t="s">
        <v>52753</v>
      </c>
      <c r="W9403" t="s">
        <v>41422</v>
      </c>
      <c r="X9403" t="s">
        <v>43176</v>
      </c>
    </row>
    <row r="9404" spans="1:24">
      <c r="A9404">
        <f>HYPERLINK("https://www.philgeps.gov.ph/GEPSNONPILOT/Tender/SplashBidNoticeAbstractUI.aspx?menuIndex=3&amp;refID=7073173&amp;Result=3","7073173")</f>
        <v>0</v>
      </c>
      <c r="B9404" t="s">
        <v>476</v>
      </c>
      <c r="C9404" t="s">
        <v>12377</v>
      </c>
      <c r="D9404" t="s">
        <v>17442</v>
      </c>
      <c r="E9404" t="s">
        <v>25543</v>
      </c>
      <c r="F9404" t="s">
        <v>30052</v>
      </c>
      <c r="G9404" t="s">
        <v>30058</v>
      </c>
      <c r="H9404" t="s">
        <v>15498</v>
      </c>
      <c r="I9404" t="s">
        <v>30076</v>
      </c>
      <c r="J9404" t="s">
        <v>35941</v>
      </c>
      <c r="K9404" t="s">
        <v>39019</v>
      </c>
      <c r="M9404" t="s">
        <v>39777</v>
      </c>
      <c r="N9404" t="s">
        <v>43166</v>
      </c>
      <c r="O9404" t="s">
        <v>43167</v>
      </c>
      <c r="P9404">
        <v>0</v>
      </c>
      <c r="Q9404">
        <v>17</v>
      </c>
      <c r="R9404" t="s">
        <v>43175</v>
      </c>
      <c r="S9404" t="s">
        <v>43460</v>
      </c>
      <c r="T9404" t="s">
        <v>44953</v>
      </c>
      <c r="U9404" t="s">
        <v>52754</v>
      </c>
      <c r="W9404" t="s">
        <v>58602</v>
      </c>
      <c r="X9404" t="s">
        <v>43176</v>
      </c>
    </row>
    <row r="9405" spans="1:24">
      <c r="A9405">
        <f>HYPERLINK("https://www.philgeps.gov.ph/GEPSNONPILOT/Tender/SplashBidNoticeAbstractUI.aspx?menuIndex=3&amp;refID=7073228&amp;Result=3","7073228")</f>
        <v>0</v>
      </c>
      <c r="B9405" t="s">
        <v>2766</v>
      </c>
      <c r="C9405" t="s">
        <v>12378</v>
      </c>
      <c r="D9405" t="s">
        <v>17494</v>
      </c>
      <c r="E9405" t="s">
        <v>25544</v>
      </c>
      <c r="F9405" t="s">
        <v>30052</v>
      </c>
      <c r="G9405" t="s">
        <v>30058</v>
      </c>
      <c r="H9405" t="s">
        <v>15498</v>
      </c>
      <c r="I9405" t="s">
        <v>3852</v>
      </c>
      <c r="J9405" t="s">
        <v>35942</v>
      </c>
      <c r="K9405" t="s">
        <v>39019</v>
      </c>
      <c r="M9405" t="s">
        <v>42302</v>
      </c>
      <c r="N9405" t="s">
        <v>43166</v>
      </c>
      <c r="O9405" t="s">
        <v>43167</v>
      </c>
      <c r="P9405">
        <v>0</v>
      </c>
      <c r="Q9405">
        <v>0</v>
      </c>
      <c r="R9405" t="s">
        <v>43175</v>
      </c>
      <c r="S9405" t="s">
        <v>43460</v>
      </c>
      <c r="T9405" t="s">
        <v>44969</v>
      </c>
      <c r="U9405" t="s">
        <v>52755</v>
      </c>
      <c r="W9405" t="s">
        <v>42302</v>
      </c>
      <c r="X9405" t="s">
        <v>43176</v>
      </c>
    </row>
    <row r="9406" spans="1:24">
      <c r="A9406">
        <f>HYPERLINK("https://www.philgeps.gov.ph/GEPSNONPILOT/Tender/SplashBidNoticeAbstractUI.aspx?menuIndex=3&amp;refID=7073099&amp;Result=3","7073099")</f>
        <v>0</v>
      </c>
      <c r="B9406" t="s">
        <v>1704</v>
      </c>
      <c r="C9406" t="s">
        <v>12379</v>
      </c>
      <c r="D9406" t="s">
        <v>17476</v>
      </c>
      <c r="E9406" t="s">
        <v>25545</v>
      </c>
      <c r="F9406" t="s">
        <v>30052</v>
      </c>
      <c r="G9406" t="s">
        <v>30058</v>
      </c>
      <c r="H9406" t="s">
        <v>30067</v>
      </c>
      <c r="I9406" t="s">
        <v>3693</v>
      </c>
      <c r="J9406" t="s">
        <v>30645</v>
      </c>
      <c r="K9406" t="s">
        <v>39031</v>
      </c>
      <c r="M9406" t="s">
        <v>41116</v>
      </c>
      <c r="N9406" t="s">
        <v>43166</v>
      </c>
      <c r="O9406" t="s">
        <v>43167</v>
      </c>
      <c r="P9406">
        <v>0</v>
      </c>
      <c r="Q9406">
        <v>0</v>
      </c>
      <c r="R9406" t="s">
        <v>43175</v>
      </c>
      <c r="S9406" t="s">
        <v>43460</v>
      </c>
      <c r="T9406" t="s">
        <v>44830</v>
      </c>
      <c r="U9406" t="s">
        <v>49153</v>
      </c>
      <c r="W9406" t="s">
        <v>41116</v>
      </c>
      <c r="X9406" t="s">
        <v>43176</v>
      </c>
    </row>
    <row r="9407" spans="1:24">
      <c r="A9407">
        <f>HYPERLINK("https://www.philgeps.gov.ph/GEPSNONPILOT/Tender/SplashBidNoticeAbstractUI.aspx?menuIndex=3&amp;refID=7073213&amp;Result=3","7073213")</f>
        <v>0</v>
      </c>
      <c r="B9407" t="s">
        <v>476</v>
      </c>
      <c r="C9407" t="s">
        <v>12380</v>
      </c>
      <c r="D9407" t="s">
        <v>17442</v>
      </c>
      <c r="E9407" t="s">
        <v>25546</v>
      </c>
      <c r="F9407" t="s">
        <v>30052</v>
      </c>
      <c r="G9407" t="s">
        <v>30058</v>
      </c>
      <c r="H9407" t="s">
        <v>15498</v>
      </c>
      <c r="I9407" t="s">
        <v>30101</v>
      </c>
      <c r="J9407" t="s">
        <v>35943</v>
      </c>
      <c r="K9407" t="s">
        <v>39019</v>
      </c>
      <c r="M9407" t="s">
        <v>39777</v>
      </c>
      <c r="N9407" t="s">
        <v>43166</v>
      </c>
      <c r="O9407" t="s">
        <v>43167</v>
      </c>
      <c r="P9407">
        <v>0</v>
      </c>
      <c r="Q9407">
        <v>10</v>
      </c>
      <c r="R9407" t="s">
        <v>43175</v>
      </c>
      <c r="S9407" t="s">
        <v>43460</v>
      </c>
      <c r="T9407" t="s">
        <v>44953</v>
      </c>
      <c r="U9407" t="s">
        <v>52756</v>
      </c>
      <c r="W9407" t="s">
        <v>58602</v>
      </c>
      <c r="X9407" t="s">
        <v>43176</v>
      </c>
    </row>
    <row r="9408" spans="1:24">
      <c r="A9408">
        <f>HYPERLINK("https://www.philgeps.gov.ph/GEPSNONPILOT/Tender/SplashBidNoticeAbstractUI.aspx?menuIndex=3&amp;refID=7073073&amp;Result=3","7073073")</f>
        <v>0</v>
      </c>
      <c r="B9408" t="s">
        <v>2769</v>
      </c>
      <c r="C9408" t="s">
        <v>12317</v>
      </c>
      <c r="D9408" t="s">
        <v>17471</v>
      </c>
      <c r="E9408" t="s">
        <v>25547</v>
      </c>
      <c r="F9408" t="s">
        <v>30052</v>
      </c>
      <c r="G9408" t="s">
        <v>30058</v>
      </c>
      <c r="H9408" t="s">
        <v>30067</v>
      </c>
      <c r="I9408" t="s">
        <v>3693</v>
      </c>
      <c r="J9408" t="s">
        <v>35944</v>
      </c>
      <c r="K9408" t="s">
        <v>39026</v>
      </c>
      <c r="M9408" t="s">
        <v>42305</v>
      </c>
      <c r="N9408" t="s">
        <v>43166</v>
      </c>
      <c r="O9408" t="s">
        <v>43167</v>
      </c>
      <c r="P9408">
        <v>0</v>
      </c>
      <c r="Q9408">
        <v>1</v>
      </c>
      <c r="R9408" t="s">
        <v>43175</v>
      </c>
      <c r="S9408" t="s">
        <v>43460</v>
      </c>
      <c r="T9408" t="s">
        <v>44725</v>
      </c>
      <c r="U9408" t="s">
        <v>52757</v>
      </c>
      <c r="W9408" t="s">
        <v>42305</v>
      </c>
      <c r="X9408" t="s">
        <v>43176</v>
      </c>
    </row>
    <row r="9409" spans="1:24">
      <c r="A9409">
        <f>HYPERLINK("https://www.philgeps.gov.ph/GEPSNONPILOT/Tender/SplashBidNoticeAbstractUI.aspx?menuIndex=3&amp;refID=7072411&amp;Result=3","7072411")</f>
        <v>0</v>
      </c>
      <c r="B9409" t="s">
        <v>2055</v>
      </c>
      <c r="C9409" t="s">
        <v>12381</v>
      </c>
      <c r="D9409" t="s">
        <v>17419</v>
      </c>
      <c r="E9409" t="s">
        <v>25548</v>
      </c>
      <c r="F9409" t="s">
        <v>30052</v>
      </c>
      <c r="G9409" t="s">
        <v>30060</v>
      </c>
      <c r="H9409" t="s">
        <v>15498</v>
      </c>
      <c r="I9409" t="s">
        <v>30198</v>
      </c>
      <c r="J9409" t="s">
        <v>35945</v>
      </c>
      <c r="K9409" t="s">
        <v>39025</v>
      </c>
      <c r="M9409" t="s">
        <v>42300</v>
      </c>
      <c r="N9409" t="s">
        <v>43166</v>
      </c>
      <c r="O9409" t="s">
        <v>43167</v>
      </c>
      <c r="Q9409">
        <v>6</v>
      </c>
      <c r="R9409" t="s">
        <v>43176</v>
      </c>
      <c r="S9409" t="s">
        <v>43490</v>
      </c>
      <c r="T9409" t="s">
        <v>44953</v>
      </c>
      <c r="U9409" t="s">
        <v>52758</v>
      </c>
      <c r="W9409" t="s">
        <v>42300</v>
      </c>
      <c r="X9409" t="s">
        <v>43177</v>
      </c>
    </row>
    <row r="9410" spans="1:24">
      <c r="A9410">
        <f>HYPERLINK("https://www.philgeps.gov.ph/GEPSNONPILOT/Tender/SplashBidNoticeAbstractUI.aspx?menuIndex=3&amp;refID=7073069&amp;Result=3","7073069")</f>
        <v>0</v>
      </c>
      <c r="B9410" t="s">
        <v>1137</v>
      </c>
      <c r="C9410" t="s">
        <v>12382</v>
      </c>
      <c r="D9410" t="s">
        <v>17435</v>
      </c>
      <c r="E9410" t="s">
        <v>25549</v>
      </c>
      <c r="F9410" t="s">
        <v>30052</v>
      </c>
      <c r="G9410" t="s">
        <v>30058</v>
      </c>
      <c r="H9410" t="s">
        <v>30067</v>
      </c>
      <c r="I9410" t="s">
        <v>3693</v>
      </c>
      <c r="J9410" t="s">
        <v>35946</v>
      </c>
      <c r="K9410" t="s">
        <v>39218</v>
      </c>
      <c r="M9410" t="s">
        <v>40480</v>
      </c>
      <c r="N9410" t="s">
        <v>43166</v>
      </c>
      <c r="O9410" t="s">
        <v>43167</v>
      </c>
      <c r="P9410">
        <v>0</v>
      </c>
      <c r="Q9410">
        <v>4</v>
      </c>
      <c r="R9410" t="s">
        <v>43175</v>
      </c>
      <c r="S9410" t="s">
        <v>43460</v>
      </c>
      <c r="T9410" t="s">
        <v>44791</v>
      </c>
      <c r="U9410" t="s">
        <v>52681</v>
      </c>
      <c r="W9410" t="s">
        <v>40480</v>
      </c>
      <c r="X9410" t="s">
        <v>43176</v>
      </c>
    </row>
    <row r="9411" spans="1:24">
      <c r="A9411">
        <f>HYPERLINK("https://www.philgeps.gov.ph/GEPSNONPILOT/Tender/SplashBidNoticeAbstractUI.aspx?menuIndex=3&amp;refID=7072753&amp;Result=3","7072753")</f>
        <v>0</v>
      </c>
      <c r="B9411" t="s">
        <v>2770</v>
      </c>
      <c r="C9411" t="s">
        <v>12383</v>
      </c>
      <c r="E9411" t="s">
        <v>25550</v>
      </c>
      <c r="F9411" t="s">
        <v>30052</v>
      </c>
      <c r="G9411" t="s">
        <v>30058</v>
      </c>
      <c r="H9411" t="s">
        <v>30067</v>
      </c>
      <c r="I9411" t="s">
        <v>3693</v>
      </c>
      <c r="J9411" t="s">
        <v>35947</v>
      </c>
      <c r="K9411" t="s">
        <v>39029</v>
      </c>
      <c r="M9411" t="s">
        <v>42306</v>
      </c>
      <c r="N9411" t="s">
        <v>43166</v>
      </c>
      <c r="O9411" t="s">
        <v>43167</v>
      </c>
      <c r="P9411">
        <v>0</v>
      </c>
      <c r="Q9411">
        <v>0</v>
      </c>
      <c r="R9411" t="s">
        <v>43176</v>
      </c>
      <c r="S9411" t="s">
        <v>43481</v>
      </c>
      <c r="T9411" t="s">
        <v>44718</v>
      </c>
      <c r="U9411" t="s">
        <v>52759</v>
      </c>
      <c r="W9411" t="s">
        <v>42306</v>
      </c>
      <c r="X9411" t="s">
        <v>43177</v>
      </c>
    </row>
    <row r="9412" spans="1:24">
      <c r="A9412">
        <f>HYPERLINK("https://www.philgeps.gov.ph/GEPSNONPILOT/Tender/SplashBidNoticeAbstractUI.aspx?menuIndex=3&amp;refID=7072751&amp;Result=3","7072751")</f>
        <v>0</v>
      </c>
      <c r="B9412" t="s">
        <v>2130</v>
      </c>
      <c r="C9412" t="s">
        <v>12384</v>
      </c>
      <c r="D9412" t="s">
        <v>17458</v>
      </c>
      <c r="E9412" t="s">
        <v>21238</v>
      </c>
      <c r="F9412" t="s">
        <v>30052</v>
      </c>
      <c r="G9412" t="s">
        <v>30058</v>
      </c>
      <c r="H9412" t="s">
        <v>30067</v>
      </c>
      <c r="I9412" t="s">
        <v>3693</v>
      </c>
      <c r="J9412" t="s">
        <v>35948</v>
      </c>
      <c r="K9412" t="s">
        <v>39029</v>
      </c>
      <c r="M9412" t="s">
        <v>41594</v>
      </c>
      <c r="N9412" t="s">
        <v>43166</v>
      </c>
      <c r="O9412" t="s">
        <v>43167</v>
      </c>
      <c r="P9412">
        <v>0</v>
      </c>
      <c r="Q9412">
        <v>0</v>
      </c>
      <c r="R9412" t="s">
        <v>43176</v>
      </c>
      <c r="S9412" t="s">
        <v>43481</v>
      </c>
      <c r="T9412" t="s">
        <v>44856</v>
      </c>
      <c r="U9412" t="s">
        <v>52760</v>
      </c>
      <c r="W9412" t="s">
        <v>41594</v>
      </c>
      <c r="X9412" t="s">
        <v>43177</v>
      </c>
    </row>
    <row r="9413" spans="1:24">
      <c r="A9413">
        <f>HYPERLINK("https://www.philgeps.gov.ph/GEPSNONPILOT/Tender/SplashBidNoticeAbstractUI.aspx?menuIndex=3&amp;refID=7072310&amp;Result=3","7072310")</f>
        <v>0</v>
      </c>
      <c r="B9413" t="s">
        <v>2771</v>
      </c>
      <c r="C9413" t="s">
        <v>12385</v>
      </c>
      <c r="D9413" t="s">
        <v>17484</v>
      </c>
      <c r="E9413" t="s">
        <v>25551</v>
      </c>
      <c r="F9413" t="s">
        <v>30052</v>
      </c>
      <c r="G9413" t="s">
        <v>30058</v>
      </c>
      <c r="H9413" t="s">
        <v>15498</v>
      </c>
      <c r="I9413" t="s">
        <v>3736</v>
      </c>
      <c r="J9413" t="s">
        <v>35949</v>
      </c>
      <c r="K9413" t="s">
        <v>39023</v>
      </c>
      <c r="M9413" t="s">
        <v>42307</v>
      </c>
      <c r="N9413" t="s">
        <v>43166</v>
      </c>
      <c r="O9413" t="s">
        <v>43167</v>
      </c>
      <c r="P9413">
        <v>0</v>
      </c>
      <c r="Q9413">
        <v>1</v>
      </c>
      <c r="R9413" t="s">
        <v>43176</v>
      </c>
      <c r="S9413" t="s">
        <v>43481</v>
      </c>
      <c r="T9413" t="s">
        <v>45121</v>
      </c>
      <c r="U9413" t="s">
        <v>52761</v>
      </c>
      <c r="V9413" t="s">
        <v>57848</v>
      </c>
      <c r="W9413" t="s">
        <v>42307</v>
      </c>
      <c r="X9413" t="s">
        <v>43177</v>
      </c>
    </row>
    <row r="9414" spans="1:24">
      <c r="A9414">
        <f>HYPERLINK("https://www.philgeps.gov.ph/GEPSNONPILOT/Tender/SplashBidNoticeAbstractUI.aspx?menuIndex=3&amp;refID=7072748&amp;Result=3","7072748")</f>
        <v>0</v>
      </c>
      <c r="B9414" t="s">
        <v>2770</v>
      </c>
      <c r="C9414" t="s">
        <v>12386</v>
      </c>
      <c r="E9414" t="s">
        <v>25552</v>
      </c>
      <c r="F9414" t="s">
        <v>30052</v>
      </c>
      <c r="G9414" t="s">
        <v>30058</v>
      </c>
      <c r="H9414" t="s">
        <v>30067</v>
      </c>
      <c r="I9414" t="s">
        <v>3693</v>
      </c>
      <c r="J9414" t="s">
        <v>35950</v>
      </c>
      <c r="K9414" t="s">
        <v>39029</v>
      </c>
      <c r="M9414" t="s">
        <v>42306</v>
      </c>
      <c r="N9414" t="s">
        <v>43166</v>
      </c>
      <c r="O9414" t="s">
        <v>43167</v>
      </c>
      <c r="P9414">
        <v>0</v>
      </c>
      <c r="Q9414">
        <v>0</v>
      </c>
      <c r="R9414" t="s">
        <v>43176</v>
      </c>
      <c r="S9414" t="s">
        <v>43481</v>
      </c>
      <c r="T9414" t="s">
        <v>44718</v>
      </c>
      <c r="U9414" t="s">
        <v>52762</v>
      </c>
      <c r="W9414" t="s">
        <v>42306</v>
      </c>
      <c r="X9414" t="s">
        <v>43177</v>
      </c>
    </row>
    <row r="9415" spans="1:24">
      <c r="A9415">
        <f>HYPERLINK("https://www.philgeps.gov.ph/GEPSNONPILOT/Tender/SplashBidNoticeAbstractUI.aspx?menuIndex=3&amp;refID=7072732&amp;Result=3","7072732")</f>
        <v>0</v>
      </c>
      <c r="B9415" t="s">
        <v>2770</v>
      </c>
      <c r="C9415" t="s">
        <v>12387</v>
      </c>
      <c r="E9415" t="s">
        <v>25553</v>
      </c>
      <c r="F9415" t="s">
        <v>30052</v>
      </c>
      <c r="G9415" t="s">
        <v>30058</v>
      </c>
      <c r="H9415" t="s">
        <v>30067</v>
      </c>
      <c r="I9415" t="s">
        <v>3693</v>
      </c>
      <c r="J9415" t="s">
        <v>35951</v>
      </c>
      <c r="K9415" t="s">
        <v>39023</v>
      </c>
      <c r="M9415" t="s">
        <v>42306</v>
      </c>
      <c r="N9415" t="s">
        <v>43166</v>
      </c>
      <c r="O9415" t="s">
        <v>43167</v>
      </c>
      <c r="P9415">
        <v>0</v>
      </c>
      <c r="Q9415">
        <v>0</v>
      </c>
      <c r="R9415" t="s">
        <v>43176</v>
      </c>
      <c r="S9415" t="s">
        <v>43481</v>
      </c>
      <c r="T9415" t="s">
        <v>44718</v>
      </c>
      <c r="U9415" t="s">
        <v>52763</v>
      </c>
      <c r="W9415" t="s">
        <v>42306</v>
      </c>
      <c r="X9415" t="s">
        <v>43177</v>
      </c>
    </row>
    <row r="9416" spans="1:24">
      <c r="A9416">
        <f>HYPERLINK("https://www.philgeps.gov.ph/GEPSNONPILOT/Tender/SplashBidNoticeAbstractUI.aspx?menuIndex=3&amp;refID=7072722&amp;Result=3","7072722")</f>
        <v>0</v>
      </c>
      <c r="B9416" t="s">
        <v>2772</v>
      </c>
      <c r="C9416" t="s">
        <v>12388</v>
      </c>
      <c r="D9416" t="s">
        <v>17434</v>
      </c>
      <c r="E9416" t="s">
        <v>17919</v>
      </c>
      <c r="F9416" t="s">
        <v>30052</v>
      </c>
      <c r="G9416" t="s">
        <v>30058</v>
      </c>
      <c r="H9416" t="s">
        <v>15498</v>
      </c>
      <c r="I9416" t="s">
        <v>30096</v>
      </c>
      <c r="J9416" t="s">
        <v>30962</v>
      </c>
      <c r="K9416" t="s">
        <v>39029</v>
      </c>
      <c r="M9416" t="s">
        <v>42308</v>
      </c>
      <c r="N9416" t="s">
        <v>43166</v>
      </c>
      <c r="O9416" t="s">
        <v>43167</v>
      </c>
      <c r="P9416">
        <v>0</v>
      </c>
      <c r="Q9416">
        <v>1</v>
      </c>
      <c r="R9416" t="s">
        <v>43176</v>
      </c>
      <c r="S9416" t="s">
        <v>43481</v>
      </c>
      <c r="T9416" t="s">
        <v>44780</v>
      </c>
      <c r="U9416" t="s">
        <v>52764</v>
      </c>
      <c r="W9416" t="s">
        <v>42308</v>
      </c>
      <c r="X9416" t="s">
        <v>43177</v>
      </c>
    </row>
    <row r="9417" spans="1:24">
      <c r="A9417">
        <f>HYPERLINK("https://www.philgeps.gov.ph/GEPSNONPILOT/Tender/SplashBidNoticeAbstractUI.aspx?menuIndex=3&amp;refID=7072643&amp;Result=3","7072643")</f>
        <v>0</v>
      </c>
      <c r="B9417" t="s">
        <v>2773</v>
      </c>
      <c r="C9417" t="s">
        <v>12389</v>
      </c>
      <c r="D9417" t="s">
        <v>17449</v>
      </c>
      <c r="E9417" t="s">
        <v>25554</v>
      </c>
      <c r="F9417" t="s">
        <v>30052</v>
      </c>
      <c r="G9417" t="s">
        <v>30058</v>
      </c>
      <c r="H9417" t="s">
        <v>15498</v>
      </c>
      <c r="I9417" t="s">
        <v>30151</v>
      </c>
      <c r="J9417" t="s">
        <v>30209</v>
      </c>
      <c r="K9417" t="s">
        <v>39025</v>
      </c>
      <c r="M9417" t="s">
        <v>42309</v>
      </c>
      <c r="N9417" t="s">
        <v>43166</v>
      </c>
      <c r="O9417" t="s">
        <v>43167</v>
      </c>
      <c r="P9417">
        <v>0</v>
      </c>
      <c r="Q9417">
        <v>4</v>
      </c>
      <c r="R9417" t="s">
        <v>43176</v>
      </c>
      <c r="S9417" t="s">
        <v>43481</v>
      </c>
      <c r="T9417" t="s">
        <v>44837</v>
      </c>
      <c r="U9417" t="s">
        <v>52765</v>
      </c>
      <c r="W9417" t="s">
        <v>42309</v>
      </c>
      <c r="X9417" t="s">
        <v>43177</v>
      </c>
    </row>
    <row r="9418" spans="1:24">
      <c r="A9418">
        <f>HYPERLINK("https://www.philgeps.gov.ph/GEPSNONPILOT/Tender/SplashBidNoticeAbstractUI.aspx?menuIndex=3&amp;refID=7072739&amp;Result=3","7072739")</f>
        <v>0</v>
      </c>
      <c r="B9418" t="s">
        <v>2774</v>
      </c>
      <c r="C9418" t="s">
        <v>12390</v>
      </c>
      <c r="D9418" t="s">
        <v>17457</v>
      </c>
      <c r="E9418" t="s">
        <v>25555</v>
      </c>
      <c r="F9418" t="s">
        <v>30052</v>
      </c>
      <c r="G9418" t="s">
        <v>30058</v>
      </c>
      <c r="H9418" t="s">
        <v>30067</v>
      </c>
      <c r="I9418" t="s">
        <v>3693</v>
      </c>
      <c r="J9418" t="s">
        <v>35952</v>
      </c>
      <c r="K9418" t="s">
        <v>39022</v>
      </c>
      <c r="L9418" t="s">
        <v>2774</v>
      </c>
      <c r="M9418" t="s">
        <v>42310</v>
      </c>
      <c r="N9418" t="s">
        <v>43166</v>
      </c>
      <c r="O9418" t="s">
        <v>43167</v>
      </c>
      <c r="P9418">
        <v>0</v>
      </c>
      <c r="Q9418">
        <v>1</v>
      </c>
      <c r="R9418" t="s">
        <v>43176</v>
      </c>
      <c r="S9418" t="s">
        <v>43481</v>
      </c>
      <c r="T9418" t="s">
        <v>45005</v>
      </c>
      <c r="U9418" t="s">
        <v>52766</v>
      </c>
      <c r="W9418" t="s">
        <v>42310</v>
      </c>
      <c r="X9418" t="s">
        <v>43177</v>
      </c>
    </row>
    <row r="9419" spans="1:24">
      <c r="A9419">
        <f>HYPERLINK("https://www.philgeps.gov.ph/GEPSNONPILOT/Tender/SplashBidNoticeAbstractUI.aspx?menuIndex=3&amp;refID=7072554&amp;Result=3","7072554")</f>
        <v>0</v>
      </c>
      <c r="B9419" t="s">
        <v>2535</v>
      </c>
      <c r="C9419" t="s">
        <v>12391</v>
      </c>
      <c r="E9419" t="s">
        <v>25556</v>
      </c>
      <c r="F9419" t="s">
        <v>30052</v>
      </c>
      <c r="G9419" t="s">
        <v>30058</v>
      </c>
      <c r="H9419" t="s">
        <v>15498</v>
      </c>
      <c r="I9419" t="s">
        <v>30096</v>
      </c>
      <c r="J9419" t="s">
        <v>35953</v>
      </c>
      <c r="K9419" t="s">
        <v>39025</v>
      </c>
      <c r="M9419" t="s">
        <v>42042</v>
      </c>
      <c r="N9419" t="s">
        <v>43166</v>
      </c>
      <c r="O9419" t="s">
        <v>43167</v>
      </c>
      <c r="Q9419">
        <v>8</v>
      </c>
      <c r="R9419" t="s">
        <v>43176</v>
      </c>
      <c r="S9419" t="s">
        <v>43491</v>
      </c>
      <c r="T9419" t="s">
        <v>45007</v>
      </c>
      <c r="U9419" t="s">
        <v>52767</v>
      </c>
      <c r="W9419" t="s">
        <v>42042</v>
      </c>
      <c r="X9419" t="s">
        <v>43177</v>
      </c>
    </row>
    <row r="9420" spans="1:24">
      <c r="A9420">
        <f>HYPERLINK("https://www.philgeps.gov.ph/GEPSNONPILOT/Tender/SplashBidNoticeAbstractUI.aspx?menuIndex=3&amp;refID=7072545&amp;Result=3","7072545")</f>
        <v>0</v>
      </c>
      <c r="B9420" t="s">
        <v>1525</v>
      </c>
      <c r="C9420" t="s">
        <v>12392</v>
      </c>
      <c r="D9420" t="s">
        <v>17434</v>
      </c>
      <c r="E9420" t="s">
        <v>25557</v>
      </c>
      <c r="F9420" t="s">
        <v>30052</v>
      </c>
      <c r="G9420" t="s">
        <v>30058</v>
      </c>
      <c r="H9420" t="s">
        <v>30067</v>
      </c>
      <c r="I9420" t="s">
        <v>3693</v>
      </c>
      <c r="J9420" t="s">
        <v>33318</v>
      </c>
      <c r="K9420" t="s">
        <v>39025</v>
      </c>
      <c r="M9420" t="s">
        <v>40911</v>
      </c>
      <c r="N9420" t="s">
        <v>43166</v>
      </c>
      <c r="O9420" t="s">
        <v>43167</v>
      </c>
      <c r="P9420">
        <v>0</v>
      </c>
      <c r="Q9420">
        <v>3</v>
      </c>
      <c r="R9420" t="s">
        <v>43176</v>
      </c>
      <c r="S9420" t="s">
        <v>43481</v>
      </c>
      <c r="T9420" t="s">
        <v>44750</v>
      </c>
      <c r="U9420" t="s">
        <v>52768</v>
      </c>
      <c r="W9420" t="s">
        <v>40911</v>
      </c>
      <c r="X9420" t="s">
        <v>43177</v>
      </c>
    </row>
    <row r="9421" spans="1:24">
      <c r="A9421">
        <f>HYPERLINK("https://www.philgeps.gov.ph/GEPSNONPILOT/Tender/SplashBidNoticeAbstractUI.aspx?menuIndex=3&amp;refID=7073168&amp;Result=3","7073168")</f>
        <v>0</v>
      </c>
      <c r="B9421" t="s">
        <v>476</v>
      </c>
      <c r="C9421" t="s">
        <v>12393</v>
      </c>
      <c r="D9421" t="s">
        <v>17442</v>
      </c>
      <c r="E9421" t="s">
        <v>25558</v>
      </c>
      <c r="F9421" t="s">
        <v>30052</v>
      </c>
      <c r="G9421" t="s">
        <v>30058</v>
      </c>
      <c r="H9421" t="s">
        <v>15498</v>
      </c>
      <c r="I9421" t="s">
        <v>30144</v>
      </c>
      <c r="J9421" t="s">
        <v>30397</v>
      </c>
      <c r="K9421" t="s">
        <v>39019</v>
      </c>
      <c r="M9421" t="s">
        <v>39777</v>
      </c>
      <c r="N9421" t="s">
        <v>43166</v>
      </c>
      <c r="O9421" t="s">
        <v>43167</v>
      </c>
      <c r="P9421">
        <v>0</v>
      </c>
      <c r="Q9421">
        <v>3</v>
      </c>
      <c r="R9421" t="s">
        <v>43175</v>
      </c>
      <c r="S9421" t="s">
        <v>43460</v>
      </c>
      <c r="T9421" t="s">
        <v>44953</v>
      </c>
      <c r="U9421" t="s">
        <v>52769</v>
      </c>
      <c r="W9421" t="s">
        <v>58602</v>
      </c>
      <c r="X9421" t="s">
        <v>43176</v>
      </c>
    </row>
    <row r="9422" spans="1:24">
      <c r="A9422">
        <f>HYPERLINK("https://www.philgeps.gov.ph/GEPSNONPILOT/Tender/SplashBidNoticeAbstractUI.aspx?menuIndex=3&amp;refID=7072520&amp;Result=3","7072520")</f>
        <v>0</v>
      </c>
      <c r="B9422" t="s">
        <v>1394</v>
      </c>
      <c r="C9422" t="s">
        <v>12394</v>
      </c>
      <c r="D9422" t="s">
        <v>17499</v>
      </c>
      <c r="E9422" t="s">
        <v>25559</v>
      </c>
      <c r="F9422" t="s">
        <v>30052</v>
      </c>
      <c r="G9422" t="s">
        <v>30058</v>
      </c>
      <c r="H9422" t="s">
        <v>15498</v>
      </c>
      <c r="I9422" t="s">
        <v>30074</v>
      </c>
      <c r="J9422" t="s">
        <v>30247</v>
      </c>
      <c r="K9422" t="s">
        <v>39017</v>
      </c>
      <c r="M9422" t="s">
        <v>40770</v>
      </c>
      <c r="N9422" t="s">
        <v>43166</v>
      </c>
      <c r="O9422" t="s">
        <v>43167</v>
      </c>
      <c r="P9422">
        <v>0</v>
      </c>
      <c r="Q9422">
        <v>6</v>
      </c>
      <c r="R9422" t="s">
        <v>43176</v>
      </c>
      <c r="S9422" t="s">
        <v>43481</v>
      </c>
      <c r="T9422" t="s">
        <v>44820</v>
      </c>
      <c r="U9422" t="s">
        <v>52770</v>
      </c>
      <c r="V9422" t="s">
        <v>57849</v>
      </c>
      <c r="W9422" t="s">
        <v>40770</v>
      </c>
      <c r="X9422" t="s">
        <v>43177</v>
      </c>
    </row>
    <row r="9423" spans="1:24">
      <c r="A9423">
        <f>HYPERLINK("https://www.philgeps.gov.ph/GEPSNONPILOT/Tender/SplashBidNoticeAbstractUI.aspx?menuIndex=3&amp;refID=7072516&amp;Result=3","7072516")</f>
        <v>0</v>
      </c>
      <c r="B9423" t="s">
        <v>382</v>
      </c>
      <c r="C9423" t="s">
        <v>12395</v>
      </c>
      <c r="D9423" t="s">
        <v>17474</v>
      </c>
      <c r="E9423" t="s">
        <v>22289</v>
      </c>
      <c r="F9423" t="s">
        <v>30052</v>
      </c>
      <c r="G9423" t="s">
        <v>30059</v>
      </c>
      <c r="H9423" t="s">
        <v>15498</v>
      </c>
      <c r="I9423" t="s">
        <v>30158</v>
      </c>
      <c r="J9423" t="s">
        <v>32477</v>
      </c>
      <c r="K9423" t="s">
        <v>39025</v>
      </c>
      <c r="M9423" t="s">
        <v>39680</v>
      </c>
      <c r="N9423" t="s">
        <v>43166</v>
      </c>
      <c r="O9423" t="s">
        <v>43167</v>
      </c>
      <c r="P9423">
        <v>0</v>
      </c>
      <c r="Q9423">
        <v>1</v>
      </c>
      <c r="R9423" t="s">
        <v>43176</v>
      </c>
      <c r="S9423" t="s">
        <v>43481</v>
      </c>
      <c r="T9423" t="s">
        <v>44969</v>
      </c>
      <c r="U9423" t="s">
        <v>49659</v>
      </c>
      <c r="W9423" t="s">
        <v>39680</v>
      </c>
      <c r="X9423" t="s">
        <v>43177</v>
      </c>
    </row>
    <row r="9424" spans="1:24">
      <c r="A9424">
        <f>HYPERLINK("https://www.philgeps.gov.ph/GEPSNONPILOT/Tender/SplashBidNoticeAbstractUI.aspx?menuIndex=3&amp;refID=7072505&amp;Result=3","7072505")</f>
        <v>0</v>
      </c>
      <c r="B9424" t="s">
        <v>382</v>
      </c>
      <c r="C9424" t="s">
        <v>12396</v>
      </c>
      <c r="D9424" t="s">
        <v>17474</v>
      </c>
      <c r="E9424" t="s">
        <v>25560</v>
      </c>
      <c r="F9424" t="s">
        <v>30052</v>
      </c>
      <c r="G9424" t="s">
        <v>30059</v>
      </c>
      <c r="H9424" t="s">
        <v>15498</v>
      </c>
      <c r="I9424" t="s">
        <v>6691</v>
      </c>
      <c r="J9424" t="s">
        <v>30280</v>
      </c>
      <c r="K9424" t="s">
        <v>39025</v>
      </c>
      <c r="M9424" t="s">
        <v>39680</v>
      </c>
      <c r="N9424" t="s">
        <v>43166</v>
      </c>
      <c r="O9424" t="s">
        <v>43167</v>
      </c>
      <c r="P9424">
        <v>0</v>
      </c>
      <c r="Q9424">
        <v>0</v>
      </c>
      <c r="R9424" t="s">
        <v>43176</v>
      </c>
      <c r="S9424" t="s">
        <v>43481</v>
      </c>
      <c r="T9424" t="s">
        <v>44969</v>
      </c>
      <c r="U9424" t="s">
        <v>49659</v>
      </c>
      <c r="W9424" t="s">
        <v>39680</v>
      </c>
      <c r="X9424" t="s">
        <v>43177</v>
      </c>
    </row>
    <row r="9425" spans="1:24">
      <c r="A9425">
        <f>HYPERLINK("https://www.philgeps.gov.ph/GEPSNONPILOT/Tender/SplashBidNoticeAbstractUI.aspx?menuIndex=3&amp;refID=7072493&amp;Result=3","7072493")</f>
        <v>0</v>
      </c>
      <c r="B9425" t="s">
        <v>382</v>
      </c>
      <c r="C9425" t="s">
        <v>12397</v>
      </c>
      <c r="D9425" t="s">
        <v>17474</v>
      </c>
      <c r="E9425" t="s">
        <v>25561</v>
      </c>
      <c r="F9425" t="s">
        <v>30052</v>
      </c>
      <c r="G9425" t="s">
        <v>30058</v>
      </c>
      <c r="H9425" t="s">
        <v>15498</v>
      </c>
      <c r="I9425" t="s">
        <v>30084</v>
      </c>
      <c r="J9425" t="s">
        <v>30398</v>
      </c>
      <c r="K9425" t="s">
        <v>39025</v>
      </c>
      <c r="M9425" t="s">
        <v>39680</v>
      </c>
      <c r="N9425" t="s">
        <v>43166</v>
      </c>
      <c r="O9425" t="s">
        <v>43167</v>
      </c>
      <c r="P9425">
        <v>0</v>
      </c>
      <c r="Q9425">
        <v>1</v>
      </c>
      <c r="R9425" t="s">
        <v>43176</v>
      </c>
      <c r="S9425" t="s">
        <v>43481</v>
      </c>
      <c r="T9425" t="s">
        <v>44969</v>
      </c>
      <c r="U9425" t="s">
        <v>52736</v>
      </c>
      <c r="W9425" t="s">
        <v>39680</v>
      </c>
      <c r="X9425" t="s">
        <v>43177</v>
      </c>
    </row>
    <row r="9426" spans="1:24">
      <c r="A9426">
        <f>HYPERLINK("https://www.philgeps.gov.ph/GEPSNONPILOT/Tender/SplashBidNoticeAbstractUI.aspx?menuIndex=3&amp;refID=7068404&amp;Result=3","7068404")</f>
        <v>0</v>
      </c>
      <c r="B9426" t="s">
        <v>2775</v>
      </c>
      <c r="C9426" t="s">
        <v>12398</v>
      </c>
      <c r="D9426" t="s">
        <v>17445</v>
      </c>
      <c r="E9426" t="s">
        <v>25562</v>
      </c>
      <c r="F9426" t="s">
        <v>30052</v>
      </c>
      <c r="G9426" t="s">
        <v>30058</v>
      </c>
      <c r="H9426" t="s">
        <v>15498</v>
      </c>
      <c r="I9426" t="s">
        <v>30096</v>
      </c>
      <c r="J9426" t="s">
        <v>32820</v>
      </c>
      <c r="K9426" t="s">
        <v>39046</v>
      </c>
      <c r="M9426" t="s">
        <v>42311</v>
      </c>
      <c r="N9426" t="s">
        <v>43166</v>
      </c>
      <c r="O9426" t="s">
        <v>43167</v>
      </c>
      <c r="Q9426">
        <v>10</v>
      </c>
      <c r="R9426" t="s">
        <v>43177</v>
      </c>
      <c r="S9426" t="s">
        <v>43492</v>
      </c>
      <c r="T9426" t="s">
        <v>44953</v>
      </c>
      <c r="U9426" t="s">
        <v>52771</v>
      </c>
      <c r="W9426" t="s">
        <v>42311</v>
      </c>
      <c r="X9426" t="s">
        <v>43179</v>
      </c>
    </row>
    <row r="9427" spans="1:24">
      <c r="A9427">
        <f>HYPERLINK("https://www.philgeps.gov.ph/GEPSNONPILOT/Tender/SplashBidNoticeAbstractUI.aspx?menuIndex=3&amp;refID=7068397&amp;Result=3","7068397")</f>
        <v>0</v>
      </c>
      <c r="B9427" t="s">
        <v>2775</v>
      </c>
      <c r="C9427" t="s">
        <v>12399</v>
      </c>
      <c r="D9427" t="s">
        <v>17445</v>
      </c>
      <c r="E9427" t="s">
        <v>25563</v>
      </c>
      <c r="F9427" t="s">
        <v>30052</v>
      </c>
      <c r="G9427" t="s">
        <v>30058</v>
      </c>
      <c r="H9427" t="s">
        <v>15498</v>
      </c>
      <c r="I9427" t="s">
        <v>30084</v>
      </c>
      <c r="J9427" t="s">
        <v>35954</v>
      </c>
      <c r="K9427" t="s">
        <v>39046</v>
      </c>
      <c r="M9427" t="s">
        <v>42311</v>
      </c>
      <c r="N9427" t="s">
        <v>43166</v>
      </c>
      <c r="O9427" t="s">
        <v>43167</v>
      </c>
      <c r="Q9427">
        <v>11</v>
      </c>
      <c r="R9427" t="s">
        <v>43177</v>
      </c>
      <c r="S9427" t="s">
        <v>43493</v>
      </c>
      <c r="T9427" t="s">
        <v>44716</v>
      </c>
      <c r="U9427" t="s">
        <v>52772</v>
      </c>
      <c r="W9427" t="s">
        <v>42311</v>
      </c>
      <c r="X9427" t="s">
        <v>43179</v>
      </c>
    </row>
    <row r="9428" spans="1:24">
      <c r="A9428">
        <f>HYPERLINK("https://www.philgeps.gov.ph/GEPSNONPILOT/Tender/SplashBidNoticeAbstractUI.aspx?menuIndex=3&amp;refID=7068063&amp;Result=3","7068063")</f>
        <v>0</v>
      </c>
      <c r="B9428" t="s">
        <v>2776</v>
      </c>
      <c r="C9428" t="s">
        <v>12400</v>
      </c>
      <c r="D9428" t="s">
        <v>17445</v>
      </c>
      <c r="E9428" t="s">
        <v>12400</v>
      </c>
      <c r="F9428" t="s">
        <v>30055</v>
      </c>
      <c r="G9428" t="s">
        <v>30061</v>
      </c>
      <c r="H9428" t="s">
        <v>15498</v>
      </c>
      <c r="I9428" t="s">
        <v>5961</v>
      </c>
      <c r="J9428" t="s">
        <v>30861</v>
      </c>
      <c r="K9428" t="s">
        <v>39019</v>
      </c>
      <c r="M9428" t="s">
        <v>42312</v>
      </c>
      <c r="N9428" t="s">
        <v>43166</v>
      </c>
      <c r="O9428" t="s">
        <v>43167</v>
      </c>
      <c r="P9428">
        <v>0</v>
      </c>
      <c r="Q9428">
        <v>2</v>
      </c>
      <c r="R9428" t="s">
        <v>43177</v>
      </c>
      <c r="S9428" t="s">
        <v>43494</v>
      </c>
      <c r="T9428" t="s">
        <v>45042</v>
      </c>
      <c r="U9428" t="s">
        <v>52773</v>
      </c>
      <c r="W9428" t="s">
        <v>42312</v>
      </c>
      <c r="X9428" t="s">
        <v>43179</v>
      </c>
    </row>
    <row r="9429" spans="1:24">
      <c r="A9429">
        <f>HYPERLINK("https://www.philgeps.gov.ph/GEPSNONPILOT/Tender/SplashBidNoticeAbstractUI.aspx?menuIndex=3&amp;refID=7067557&amp;Result=3","7067557")</f>
        <v>0</v>
      </c>
      <c r="B9429" t="s">
        <v>2777</v>
      </c>
      <c r="C9429" t="s">
        <v>12401</v>
      </c>
      <c r="D9429" t="s">
        <v>17435</v>
      </c>
      <c r="E9429" t="s">
        <v>17861</v>
      </c>
      <c r="F9429" t="s">
        <v>30054</v>
      </c>
      <c r="G9429" t="s">
        <v>30058</v>
      </c>
      <c r="H9429" t="s">
        <v>30067</v>
      </c>
      <c r="I9429" t="s">
        <v>3693</v>
      </c>
      <c r="J9429" t="s">
        <v>35955</v>
      </c>
      <c r="K9429" t="s">
        <v>39032</v>
      </c>
      <c r="M9429" t="s">
        <v>42313</v>
      </c>
      <c r="N9429" t="s">
        <v>43166</v>
      </c>
      <c r="O9429" t="s">
        <v>43167</v>
      </c>
      <c r="P9429">
        <v>0</v>
      </c>
      <c r="Q9429">
        <v>0</v>
      </c>
      <c r="R9429" t="s">
        <v>43177</v>
      </c>
      <c r="S9429" t="s">
        <v>43494</v>
      </c>
      <c r="T9429" t="s">
        <v>44724</v>
      </c>
      <c r="U9429" t="s">
        <v>52774</v>
      </c>
      <c r="W9429" t="s">
        <v>42313</v>
      </c>
      <c r="X9429" t="s">
        <v>43179</v>
      </c>
    </row>
    <row r="9430" spans="1:24">
      <c r="A9430">
        <f>HYPERLINK("https://www.philgeps.gov.ph/GEPSNONPILOT/Tender/SplashBidNoticeAbstractUI.aspx?menuIndex=3&amp;refID=7072512&amp;Result=3","7072512")</f>
        <v>0</v>
      </c>
      <c r="B9430" t="s">
        <v>382</v>
      </c>
      <c r="C9430" t="s">
        <v>12402</v>
      </c>
      <c r="D9430" t="s">
        <v>17474</v>
      </c>
      <c r="E9430" t="s">
        <v>25564</v>
      </c>
      <c r="F9430" t="s">
        <v>30052</v>
      </c>
      <c r="G9430" t="s">
        <v>30059</v>
      </c>
      <c r="H9430" t="s">
        <v>15498</v>
      </c>
      <c r="I9430" t="s">
        <v>30070</v>
      </c>
      <c r="J9430" t="s">
        <v>35956</v>
      </c>
      <c r="K9430" t="s">
        <v>39025</v>
      </c>
      <c r="M9430" t="s">
        <v>39680</v>
      </c>
      <c r="N9430" t="s">
        <v>43166</v>
      </c>
      <c r="O9430" t="s">
        <v>43167</v>
      </c>
      <c r="P9430">
        <v>0</v>
      </c>
      <c r="Q9430">
        <v>1</v>
      </c>
      <c r="R9430" t="s">
        <v>43176</v>
      </c>
      <c r="S9430" t="s">
        <v>43481</v>
      </c>
      <c r="T9430" t="s">
        <v>44969</v>
      </c>
      <c r="U9430" t="s">
        <v>49659</v>
      </c>
      <c r="W9430" t="s">
        <v>39680</v>
      </c>
      <c r="X9430" t="s">
        <v>43177</v>
      </c>
    </row>
    <row r="9431" spans="1:24">
      <c r="A9431">
        <f>HYPERLINK("https://www.philgeps.gov.ph/GEPSNONPILOT/Tender/SplashBidNoticeAbstractUI.aspx?menuIndex=3&amp;refID=7065030&amp;Result=3","7065030")</f>
        <v>0</v>
      </c>
      <c r="B9431" t="s">
        <v>2778</v>
      </c>
      <c r="C9431" t="s">
        <v>12403</v>
      </c>
      <c r="D9431" t="s">
        <v>17417</v>
      </c>
      <c r="E9431" t="s">
        <v>25565</v>
      </c>
      <c r="F9431" t="s">
        <v>30052</v>
      </c>
      <c r="G9431" t="s">
        <v>30058</v>
      </c>
      <c r="H9431" t="s">
        <v>30067</v>
      </c>
      <c r="I9431" t="s">
        <v>3693</v>
      </c>
      <c r="J9431" t="s">
        <v>30207</v>
      </c>
      <c r="K9431" t="s">
        <v>39041</v>
      </c>
      <c r="M9431" t="s">
        <v>42314</v>
      </c>
      <c r="N9431" t="s">
        <v>43166</v>
      </c>
      <c r="O9431" t="s">
        <v>43167</v>
      </c>
      <c r="P9431">
        <v>0</v>
      </c>
      <c r="Q9431">
        <v>0</v>
      </c>
      <c r="R9431" t="s">
        <v>43177</v>
      </c>
      <c r="S9431" t="s">
        <v>43494</v>
      </c>
      <c r="T9431" t="s">
        <v>44926</v>
      </c>
      <c r="U9431" t="s">
        <v>52775</v>
      </c>
      <c r="W9431" t="s">
        <v>42314</v>
      </c>
      <c r="X9431" t="s">
        <v>43180</v>
      </c>
    </row>
    <row r="9432" spans="1:24">
      <c r="A9432">
        <f>HYPERLINK("https://www.philgeps.gov.ph/GEPSNONPILOT/Tender/SplashBidNoticeAbstractUI.aspx?menuIndex=3&amp;refID=7072741&amp;Result=3","7072741")</f>
        <v>0</v>
      </c>
      <c r="B9432" t="s">
        <v>2770</v>
      </c>
      <c r="C9432" t="s">
        <v>12404</v>
      </c>
      <c r="E9432" t="s">
        <v>25566</v>
      </c>
      <c r="F9432" t="s">
        <v>30052</v>
      </c>
      <c r="G9432" t="s">
        <v>30058</v>
      </c>
      <c r="H9432" t="s">
        <v>30067</v>
      </c>
      <c r="I9432" t="s">
        <v>3693</v>
      </c>
      <c r="J9432" t="s">
        <v>35957</v>
      </c>
      <c r="K9432" t="s">
        <v>39029</v>
      </c>
      <c r="M9432" t="s">
        <v>42306</v>
      </c>
      <c r="N9432" t="s">
        <v>43166</v>
      </c>
      <c r="O9432" t="s">
        <v>43167</v>
      </c>
      <c r="P9432">
        <v>0</v>
      </c>
      <c r="Q9432">
        <v>0</v>
      </c>
      <c r="R9432" t="s">
        <v>43176</v>
      </c>
      <c r="S9432" t="s">
        <v>43481</v>
      </c>
      <c r="T9432" t="s">
        <v>44718</v>
      </c>
      <c r="U9432" t="s">
        <v>52776</v>
      </c>
      <c r="W9432" t="s">
        <v>42306</v>
      </c>
      <c r="X9432" t="s">
        <v>43177</v>
      </c>
    </row>
    <row r="9433" spans="1:24">
      <c r="A9433">
        <f>HYPERLINK("https://www.philgeps.gov.ph/GEPSNONPILOT/Tender/SplashBidNoticeAbstractUI.aspx?menuIndex=3&amp;refID=7063568&amp;Result=3","7063568")</f>
        <v>0</v>
      </c>
      <c r="B9433" t="s">
        <v>2777</v>
      </c>
      <c r="C9433" t="s">
        <v>8066</v>
      </c>
      <c r="D9433" t="s">
        <v>17435</v>
      </c>
      <c r="E9433" t="s">
        <v>17882</v>
      </c>
      <c r="F9433" t="s">
        <v>30054</v>
      </c>
      <c r="G9433" t="s">
        <v>30058</v>
      </c>
      <c r="H9433" t="s">
        <v>30067</v>
      </c>
      <c r="I9433" t="s">
        <v>3693</v>
      </c>
      <c r="J9433" t="s">
        <v>30218</v>
      </c>
      <c r="K9433" t="s">
        <v>39029</v>
      </c>
      <c r="M9433" t="s">
        <v>42313</v>
      </c>
      <c r="N9433" t="s">
        <v>43166</v>
      </c>
      <c r="O9433" t="s">
        <v>43167</v>
      </c>
      <c r="P9433">
        <v>0</v>
      </c>
      <c r="Q9433">
        <v>0</v>
      </c>
      <c r="R9433" t="s">
        <v>43177</v>
      </c>
      <c r="S9433" t="s">
        <v>43494</v>
      </c>
      <c r="T9433" t="s">
        <v>44724</v>
      </c>
      <c r="U9433" t="s">
        <v>52774</v>
      </c>
      <c r="W9433" t="s">
        <v>42313</v>
      </c>
      <c r="X9433" t="s">
        <v>43181</v>
      </c>
    </row>
    <row r="9434" spans="1:24">
      <c r="A9434">
        <f>HYPERLINK("https://www.philgeps.gov.ph/GEPSNONPILOT/Tender/SplashBidNoticeAbstractUI.aspx?menuIndex=3&amp;refID=7072721&amp;Result=3","7072721")</f>
        <v>0</v>
      </c>
      <c r="B9434" t="s">
        <v>1038</v>
      </c>
      <c r="C9434" t="s">
        <v>12405</v>
      </c>
      <c r="D9434" t="s">
        <v>17436</v>
      </c>
      <c r="E9434" t="s">
        <v>25567</v>
      </c>
      <c r="F9434" t="s">
        <v>30052</v>
      </c>
      <c r="G9434" t="s">
        <v>30058</v>
      </c>
      <c r="H9434" t="s">
        <v>30067</v>
      </c>
      <c r="I9434" t="s">
        <v>3693</v>
      </c>
      <c r="J9434" t="s">
        <v>30281</v>
      </c>
      <c r="K9434" t="s">
        <v>39025</v>
      </c>
      <c r="M9434" t="s">
        <v>40369</v>
      </c>
      <c r="N9434" t="s">
        <v>43166</v>
      </c>
      <c r="O9434" t="s">
        <v>43167</v>
      </c>
      <c r="P9434">
        <v>0</v>
      </c>
      <c r="Q9434">
        <v>0</v>
      </c>
      <c r="R9434" t="s">
        <v>43176</v>
      </c>
      <c r="S9434" t="s">
        <v>43481</v>
      </c>
      <c r="T9434" t="s">
        <v>44796</v>
      </c>
      <c r="U9434" t="s">
        <v>52777</v>
      </c>
      <c r="W9434" t="s">
        <v>40369</v>
      </c>
      <c r="X9434" t="s">
        <v>43177</v>
      </c>
    </row>
    <row r="9435" spans="1:24">
      <c r="A9435">
        <f>HYPERLINK("https://www.philgeps.gov.ph/GEPSNONPILOT/Tender/SplashBidNoticeAbstractUI.aspx?menuIndex=3&amp;refID=7066043&amp;Result=3","7066043")</f>
        <v>0</v>
      </c>
      <c r="B9435" t="s">
        <v>2779</v>
      </c>
      <c r="C9435" t="s">
        <v>12406</v>
      </c>
      <c r="D9435" t="s">
        <v>17458</v>
      </c>
      <c r="E9435" t="s">
        <v>25568</v>
      </c>
      <c r="F9435" t="s">
        <v>30052</v>
      </c>
      <c r="G9435" t="s">
        <v>30058</v>
      </c>
      <c r="H9435" t="s">
        <v>30069</v>
      </c>
      <c r="I9435" t="s">
        <v>30173</v>
      </c>
      <c r="J9435" t="s">
        <v>35958</v>
      </c>
      <c r="K9435" t="s">
        <v>39046</v>
      </c>
      <c r="M9435" t="s">
        <v>42315</v>
      </c>
      <c r="N9435" t="s">
        <v>43166</v>
      </c>
      <c r="O9435" t="s">
        <v>43167</v>
      </c>
      <c r="Q9435">
        <v>3</v>
      </c>
      <c r="R9435" t="s">
        <v>43177</v>
      </c>
      <c r="S9435" t="s">
        <v>43495</v>
      </c>
      <c r="T9435" t="s">
        <v>44796</v>
      </c>
      <c r="U9435" t="s">
        <v>52778</v>
      </c>
      <c r="V9435" t="s">
        <v>57850</v>
      </c>
      <c r="W9435" t="s">
        <v>42315</v>
      </c>
      <c r="X9435" t="s">
        <v>43180</v>
      </c>
    </row>
    <row r="9436" spans="1:24">
      <c r="A9436">
        <f>HYPERLINK("https://www.philgeps.gov.ph/GEPSNONPILOT/Tender/SplashBidNoticeAbstractUI.aspx?menuIndex=3&amp;refID=7047734&amp;Result=3","7047734")</f>
        <v>0</v>
      </c>
      <c r="B9436" t="s">
        <v>939</v>
      </c>
      <c r="C9436" t="s">
        <v>12407</v>
      </c>
      <c r="D9436" t="s">
        <v>17476</v>
      </c>
      <c r="E9436" t="s">
        <v>25569</v>
      </c>
      <c r="F9436" t="s">
        <v>30052</v>
      </c>
      <c r="G9436" t="s">
        <v>30058</v>
      </c>
      <c r="H9436" t="s">
        <v>15498</v>
      </c>
      <c r="I9436" t="s">
        <v>9238</v>
      </c>
      <c r="J9436" t="s">
        <v>30683</v>
      </c>
      <c r="K9436" t="s">
        <v>39029</v>
      </c>
      <c r="M9436" t="s">
        <v>40263</v>
      </c>
      <c r="N9436" t="s">
        <v>43166</v>
      </c>
      <c r="O9436" t="s">
        <v>43167</v>
      </c>
      <c r="P9436">
        <v>0</v>
      </c>
      <c r="Q9436">
        <v>17</v>
      </c>
      <c r="R9436" t="s">
        <v>43177</v>
      </c>
      <c r="S9436" t="s">
        <v>43494</v>
      </c>
      <c r="T9436" t="s">
        <v>44853</v>
      </c>
      <c r="U9436" t="s">
        <v>52779</v>
      </c>
      <c r="V9436" t="s">
        <v>57851</v>
      </c>
      <c r="W9436" t="s">
        <v>40263</v>
      </c>
      <c r="X9436" t="s">
        <v>43188</v>
      </c>
    </row>
    <row r="9437" spans="1:24">
      <c r="A9437">
        <f>HYPERLINK("https://www.philgeps.gov.ph/GEPSNONPILOT/Tender/SplashBidNoticeAbstractUI.aspx?menuIndex=3&amp;refID=7070224&amp;Result=3","7070224")</f>
        <v>0</v>
      </c>
      <c r="B9437" t="s">
        <v>2345</v>
      </c>
      <c r="C9437" t="s">
        <v>12408</v>
      </c>
      <c r="D9437" t="s">
        <v>17415</v>
      </c>
      <c r="E9437" t="s">
        <v>25570</v>
      </c>
      <c r="F9437" t="s">
        <v>30052</v>
      </c>
      <c r="G9437" t="s">
        <v>30058</v>
      </c>
      <c r="H9437" t="s">
        <v>15498</v>
      </c>
      <c r="I9437" t="s">
        <v>30084</v>
      </c>
      <c r="J9437" t="s">
        <v>35959</v>
      </c>
      <c r="K9437" t="s">
        <v>39023</v>
      </c>
      <c r="M9437" t="s">
        <v>41836</v>
      </c>
      <c r="N9437" t="s">
        <v>43166</v>
      </c>
      <c r="O9437" t="s">
        <v>43167</v>
      </c>
      <c r="P9437">
        <v>0</v>
      </c>
      <c r="Q9437">
        <v>17</v>
      </c>
      <c r="R9437" t="s">
        <v>43177</v>
      </c>
      <c r="S9437" t="s">
        <v>43494</v>
      </c>
      <c r="T9437" t="s">
        <v>45042</v>
      </c>
      <c r="U9437" t="s">
        <v>52780</v>
      </c>
      <c r="W9437" t="s">
        <v>41836</v>
      </c>
      <c r="X9437" t="s">
        <v>43179</v>
      </c>
    </row>
    <row r="9438" spans="1:24">
      <c r="A9438">
        <f>HYPERLINK("https://www.philgeps.gov.ph/GEPSNONPILOT/Tender/SplashBidNoticeAbstractUI.aspx?menuIndex=3&amp;refID=7072727&amp;Result=3","7072727")</f>
        <v>0</v>
      </c>
      <c r="B9438" t="s">
        <v>1038</v>
      </c>
      <c r="C9438" t="s">
        <v>12409</v>
      </c>
      <c r="D9438" t="s">
        <v>17436</v>
      </c>
      <c r="E9438" t="s">
        <v>25571</v>
      </c>
      <c r="F9438" t="s">
        <v>30052</v>
      </c>
      <c r="G9438" t="s">
        <v>30058</v>
      </c>
      <c r="H9438" t="s">
        <v>15498</v>
      </c>
      <c r="I9438" t="s">
        <v>30168</v>
      </c>
      <c r="J9438" t="s">
        <v>35960</v>
      </c>
      <c r="K9438" t="s">
        <v>39025</v>
      </c>
      <c r="M9438" t="s">
        <v>40369</v>
      </c>
      <c r="N9438" t="s">
        <v>43166</v>
      </c>
      <c r="O9438" t="s">
        <v>43167</v>
      </c>
      <c r="P9438">
        <v>0</v>
      </c>
      <c r="Q9438">
        <v>2</v>
      </c>
      <c r="R9438" t="s">
        <v>43176</v>
      </c>
      <c r="S9438" t="s">
        <v>43481</v>
      </c>
      <c r="T9438" t="s">
        <v>44705</v>
      </c>
      <c r="U9438" t="s">
        <v>52781</v>
      </c>
      <c r="W9438" t="s">
        <v>40369</v>
      </c>
      <c r="X9438" t="s">
        <v>43177</v>
      </c>
    </row>
    <row r="9439" spans="1:24">
      <c r="A9439">
        <f>HYPERLINK("https://www.philgeps.gov.ph/GEPSNONPILOT/Tender/SplashBidNoticeAbstractUI.aspx?menuIndex=3&amp;refID=7068030&amp;Result=3","7068030")</f>
        <v>0</v>
      </c>
      <c r="B9439" t="s">
        <v>2776</v>
      </c>
      <c r="C9439" t="s">
        <v>12410</v>
      </c>
      <c r="D9439" t="s">
        <v>17445</v>
      </c>
      <c r="E9439" t="s">
        <v>12410</v>
      </c>
      <c r="F9439" t="s">
        <v>30055</v>
      </c>
      <c r="G9439" t="s">
        <v>30058</v>
      </c>
      <c r="H9439" t="s">
        <v>15498</v>
      </c>
      <c r="I9439" t="s">
        <v>30074</v>
      </c>
      <c r="J9439" t="s">
        <v>30281</v>
      </c>
      <c r="K9439" t="s">
        <v>39019</v>
      </c>
      <c r="M9439" t="s">
        <v>42312</v>
      </c>
      <c r="N9439" t="s">
        <v>43166</v>
      </c>
      <c r="O9439" t="s">
        <v>43167</v>
      </c>
      <c r="P9439">
        <v>0</v>
      </c>
      <c r="Q9439">
        <v>5</v>
      </c>
      <c r="R9439" t="s">
        <v>43177</v>
      </c>
      <c r="S9439" t="s">
        <v>43494</v>
      </c>
      <c r="T9439" t="s">
        <v>45042</v>
      </c>
      <c r="U9439" t="s">
        <v>52782</v>
      </c>
      <c r="W9439" t="s">
        <v>42312</v>
      </c>
      <c r="X9439" t="s">
        <v>43179</v>
      </c>
    </row>
    <row r="9440" spans="1:24">
      <c r="A9440">
        <f>HYPERLINK("https://www.philgeps.gov.ph/GEPSNONPILOT/Tender/SplashBidNoticeAbstractUI.aspx?menuIndex=3&amp;refID=7070452&amp;Result=3","7070452")</f>
        <v>0</v>
      </c>
      <c r="B9440" t="s">
        <v>2780</v>
      </c>
      <c r="C9440" t="s">
        <v>12411</v>
      </c>
      <c r="D9440" t="s">
        <v>17466</v>
      </c>
      <c r="E9440" t="s">
        <v>25572</v>
      </c>
      <c r="F9440" t="s">
        <v>30052</v>
      </c>
      <c r="G9440" t="s">
        <v>30058</v>
      </c>
      <c r="H9440" t="s">
        <v>15498</v>
      </c>
      <c r="I9440" t="s">
        <v>30087</v>
      </c>
      <c r="J9440" t="s">
        <v>35961</v>
      </c>
      <c r="K9440" t="s">
        <v>39029</v>
      </c>
      <c r="M9440" t="s">
        <v>42316</v>
      </c>
      <c r="N9440" t="s">
        <v>43166</v>
      </c>
      <c r="O9440" t="s">
        <v>43167</v>
      </c>
      <c r="Q9440">
        <v>3</v>
      </c>
      <c r="R9440" t="s">
        <v>43177</v>
      </c>
      <c r="S9440" t="s">
        <v>43496</v>
      </c>
      <c r="T9440" t="s">
        <v>45009</v>
      </c>
      <c r="U9440" t="s">
        <v>52783</v>
      </c>
      <c r="W9440" t="s">
        <v>42316</v>
      </c>
      <c r="X9440" t="s">
        <v>43178</v>
      </c>
    </row>
    <row r="9441" spans="1:24">
      <c r="A9441">
        <f>HYPERLINK("https://www.philgeps.gov.ph/GEPSNONPILOT/Tender/SplashBidNoticeAbstractUI.aspx?menuIndex=3&amp;refID=7070442&amp;Result=3","7070442")</f>
        <v>0</v>
      </c>
      <c r="B9441" t="s">
        <v>2274</v>
      </c>
      <c r="C9441" t="s">
        <v>12412</v>
      </c>
      <c r="D9441" t="s">
        <v>17419</v>
      </c>
      <c r="E9441" t="s">
        <v>25573</v>
      </c>
      <c r="F9441" t="s">
        <v>30055</v>
      </c>
      <c r="G9441" t="s">
        <v>30058</v>
      </c>
      <c r="H9441" t="s">
        <v>15498</v>
      </c>
      <c r="I9441" t="s">
        <v>30140</v>
      </c>
      <c r="J9441" t="s">
        <v>30559</v>
      </c>
      <c r="K9441" t="s">
        <v>39029</v>
      </c>
      <c r="M9441" t="s">
        <v>41755</v>
      </c>
      <c r="N9441" t="s">
        <v>43166</v>
      </c>
      <c r="O9441" t="s">
        <v>43167</v>
      </c>
      <c r="P9441">
        <v>0</v>
      </c>
      <c r="Q9441">
        <v>4</v>
      </c>
      <c r="R9441" t="s">
        <v>43177</v>
      </c>
      <c r="S9441" t="s">
        <v>43494</v>
      </c>
      <c r="T9441" t="s">
        <v>44681</v>
      </c>
      <c r="U9441" t="s">
        <v>52784</v>
      </c>
      <c r="W9441" t="s">
        <v>41755</v>
      </c>
      <c r="X9441" t="s">
        <v>43178</v>
      </c>
    </row>
    <row r="9442" spans="1:24">
      <c r="A9442">
        <f>HYPERLINK("https://www.philgeps.gov.ph/GEPSNONPILOT/Tender/SplashBidNoticeAbstractUI.aspx?menuIndex=3&amp;refID=7070413&amp;Result=3","7070413")</f>
        <v>0</v>
      </c>
      <c r="B9442" t="s">
        <v>1327</v>
      </c>
      <c r="C9442" t="s">
        <v>12413</v>
      </c>
      <c r="D9442" t="s">
        <v>17430</v>
      </c>
      <c r="E9442" t="s">
        <v>19016</v>
      </c>
      <c r="F9442" t="s">
        <v>30052</v>
      </c>
      <c r="G9442" t="s">
        <v>30059</v>
      </c>
      <c r="H9442" t="s">
        <v>15498</v>
      </c>
      <c r="I9442" t="s">
        <v>30073</v>
      </c>
      <c r="J9442" t="s">
        <v>35962</v>
      </c>
      <c r="K9442" t="s">
        <v>39029</v>
      </c>
      <c r="M9442" t="s">
        <v>40694</v>
      </c>
      <c r="N9442" t="s">
        <v>43166</v>
      </c>
      <c r="O9442" t="s">
        <v>43167</v>
      </c>
      <c r="P9442">
        <v>0</v>
      </c>
      <c r="Q9442">
        <v>0</v>
      </c>
      <c r="R9442" t="s">
        <v>43177</v>
      </c>
      <c r="S9442" t="s">
        <v>43494</v>
      </c>
      <c r="T9442" t="s">
        <v>44685</v>
      </c>
      <c r="U9442" t="s">
        <v>52785</v>
      </c>
      <c r="V9442" t="s">
        <v>57852</v>
      </c>
      <c r="W9442" t="s">
        <v>40694</v>
      </c>
      <c r="X9442" t="s">
        <v>43178</v>
      </c>
    </row>
    <row r="9443" spans="1:24">
      <c r="A9443">
        <f>HYPERLINK("https://www.philgeps.gov.ph/GEPSNONPILOT/Tender/SplashBidNoticeAbstractUI.aspx?menuIndex=3&amp;refID=7070389&amp;Result=3","7070389")</f>
        <v>0</v>
      </c>
      <c r="B9443" t="s">
        <v>2004</v>
      </c>
      <c r="C9443" t="s">
        <v>12414</v>
      </c>
      <c r="D9443" t="s">
        <v>17453</v>
      </c>
      <c r="E9443" t="s">
        <v>25574</v>
      </c>
      <c r="F9443" t="s">
        <v>30052</v>
      </c>
      <c r="G9443" t="s">
        <v>30059</v>
      </c>
      <c r="H9443" t="s">
        <v>15498</v>
      </c>
      <c r="I9443" t="s">
        <v>30070</v>
      </c>
      <c r="J9443" t="s">
        <v>35963</v>
      </c>
      <c r="K9443" t="s">
        <v>39019</v>
      </c>
      <c r="M9443" t="s">
        <v>42317</v>
      </c>
      <c r="N9443" t="s">
        <v>43166</v>
      </c>
      <c r="O9443" t="s">
        <v>43167</v>
      </c>
      <c r="P9443">
        <v>0</v>
      </c>
      <c r="Q9443">
        <v>5</v>
      </c>
      <c r="R9443" t="s">
        <v>43177</v>
      </c>
      <c r="S9443" t="s">
        <v>43494</v>
      </c>
      <c r="T9443" t="s">
        <v>44837</v>
      </c>
      <c r="U9443" t="s">
        <v>52786</v>
      </c>
      <c r="W9443" t="s">
        <v>42317</v>
      </c>
      <c r="X9443" t="s">
        <v>43178</v>
      </c>
    </row>
    <row r="9444" spans="1:24">
      <c r="A9444">
        <f>HYPERLINK("https://www.philgeps.gov.ph/GEPSNONPILOT/Tender/SplashBidNoticeAbstractUI.aspx?menuIndex=3&amp;refID=7070385&amp;Result=3","7070385")</f>
        <v>0</v>
      </c>
      <c r="B9444" t="s">
        <v>723</v>
      </c>
      <c r="C9444" t="s">
        <v>12415</v>
      </c>
      <c r="D9444" t="s">
        <v>17459</v>
      </c>
      <c r="E9444" t="s">
        <v>25575</v>
      </c>
      <c r="F9444" t="s">
        <v>30052</v>
      </c>
      <c r="G9444" t="s">
        <v>30058</v>
      </c>
      <c r="H9444" t="s">
        <v>15498</v>
      </c>
      <c r="I9444" t="s">
        <v>3852</v>
      </c>
      <c r="J9444" t="s">
        <v>35964</v>
      </c>
      <c r="K9444" t="s">
        <v>39034</v>
      </c>
      <c r="M9444" t="s">
        <v>40034</v>
      </c>
      <c r="N9444" t="s">
        <v>43166</v>
      </c>
      <c r="O9444" t="s">
        <v>43167</v>
      </c>
      <c r="P9444">
        <v>0</v>
      </c>
      <c r="Q9444">
        <v>1</v>
      </c>
      <c r="R9444" t="s">
        <v>43177</v>
      </c>
      <c r="S9444" t="s">
        <v>43494</v>
      </c>
      <c r="T9444" t="s">
        <v>44815</v>
      </c>
      <c r="U9444" t="s">
        <v>52787</v>
      </c>
      <c r="W9444" t="s">
        <v>40034</v>
      </c>
      <c r="X9444" t="s">
        <v>43178</v>
      </c>
    </row>
    <row r="9445" spans="1:24">
      <c r="A9445">
        <f>HYPERLINK("https://www.philgeps.gov.ph/GEPSNONPILOT/Tender/SplashBidNoticeAbstractUI.aspx?menuIndex=3&amp;refID=7070353&amp;Result=3","7070353")</f>
        <v>0</v>
      </c>
      <c r="B9445" t="s">
        <v>1881</v>
      </c>
      <c r="C9445" t="s">
        <v>12416</v>
      </c>
      <c r="D9445" t="s">
        <v>17468</v>
      </c>
      <c r="E9445" t="s">
        <v>25576</v>
      </c>
      <c r="F9445" t="s">
        <v>30052</v>
      </c>
      <c r="G9445" t="s">
        <v>30058</v>
      </c>
      <c r="H9445" t="s">
        <v>30067</v>
      </c>
      <c r="I9445" t="s">
        <v>3693</v>
      </c>
      <c r="J9445" t="s">
        <v>35965</v>
      </c>
      <c r="K9445" t="s">
        <v>39023</v>
      </c>
      <c r="M9445" t="s">
        <v>41312</v>
      </c>
      <c r="N9445" t="s">
        <v>43166</v>
      </c>
      <c r="O9445" t="s">
        <v>43167</v>
      </c>
      <c r="P9445">
        <v>0</v>
      </c>
      <c r="Q9445">
        <v>0</v>
      </c>
      <c r="R9445" t="s">
        <v>43177</v>
      </c>
      <c r="S9445" t="s">
        <v>43494</v>
      </c>
      <c r="T9445" t="s">
        <v>45121</v>
      </c>
      <c r="U9445" t="s">
        <v>49695</v>
      </c>
      <c r="W9445" t="s">
        <v>41312</v>
      </c>
      <c r="X9445" t="s">
        <v>43178</v>
      </c>
    </row>
    <row r="9446" spans="1:24">
      <c r="A9446">
        <f>HYPERLINK("https://www.philgeps.gov.ph/GEPSNONPILOT/Tender/SplashBidNoticeAbstractUI.aspx?menuIndex=3&amp;refID=7047990&amp;Result=3","7047990")</f>
        <v>0</v>
      </c>
      <c r="B9446" t="s">
        <v>939</v>
      </c>
      <c r="C9446" t="s">
        <v>12417</v>
      </c>
      <c r="D9446" t="s">
        <v>17476</v>
      </c>
      <c r="E9446" t="s">
        <v>25577</v>
      </c>
      <c r="F9446" t="s">
        <v>30052</v>
      </c>
      <c r="G9446" t="s">
        <v>30058</v>
      </c>
      <c r="H9446" t="s">
        <v>15498</v>
      </c>
      <c r="I9446" t="s">
        <v>9238</v>
      </c>
      <c r="J9446" t="s">
        <v>32072</v>
      </c>
      <c r="K9446" t="s">
        <v>39029</v>
      </c>
      <c r="M9446" t="s">
        <v>40263</v>
      </c>
      <c r="N9446" t="s">
        <v>43166</v>
      </c>
      <c r="O9446" t="s">
        <v>43167</v>
      </c>
      <c r="P9446">
        <v>0</v>
      </c>
      <c r="Q9446">
        <v>11</v>
      </c>
      <c r="R9446" t="s">
        <v>43177</v>
      </c>
      <c r="S9446" t="s">
        <v>43494</v>
      </c>
      <c r="T9446" t="s">
        <v>44853</v>
      </c>
      <c r="U9446" t="s">
        <v>52788</v>
      </c>
      <c r="V9446" t="s">
        <v>57851</v>
      </c>
      <c r="W9446" t="s">
        <v>40263</v>
      </c>
      <c r="X9446" t="s">
        <v>43188</v>
      </c>
    </row>
    <row r="9447" spans="1:24">
      <c r="A9447">
        <f>HYPERLINK("https://www.philgeps.gov.ph/GEPSNONPILOT/Tender/SplashBidNoticeAbstractUI.aspx?menuIndex=3&amp;refID=7070322&amp;Result=3","7070322")</f>
        <v>0</v>
      </c>
      <c r="B9447" t="s">
        <v>1881</v>
      </c>
      <c r="C9447" t="s">
        <v>12418</v>
      </c>
      <c r="D9447" t="s">
        <v>17468</v>
      </c>
      <c r="E9447" t="s">
        <v>25578</v>
      </c>
      <c r="F9447" t="s">
        <v>30052</v>
      </c>
      <c r="G9447" t="s">
        <v>30058</v>
      </c>
      <c r="H9447" t="s">
        <v>30067</v>
      </c>
      <c r="I9447" t="s">
        <v>3693</v>
      </c>
      <c r="J9447" t="s">
        <v>30222</v>
      </c>
      <c r="K9447" t="s">
        <v>39023</v>
      </c>
      <c r="M9447" t="s">
        <v>41312</v>
      </c>
      <c r="N9447" t="s">
        <v>43166</v>
      </c>
      <c r="O9447" t="s">
        <v>43167</v>
      </c>
      <c r="Q9447">
        <v>0</v>
      </c>
      <c r="R9447" t="s">
        <v>43177</v>
      </c>
      <c r="S9447" t="s">
        <v>43497</v>
      </c>
      <c r="T9447" t="s">
        <v>44922</v>
      </c>
      <c r="U9447" t="s">
        <v>49695</v>
      </c>
      <c r="W9447" t="s">
        <v>41312</v>
      </c>
      <c r="X9447" t="s">
        <v>43178</v>
      </c>
    </row>
    <row r="9448" spans="1:24">
      <c r="A9448">
        <f>HYPERLINK("https://www.philgeps.gov.ph/GEPSNONPILOT/Tender/SplashBidNoticeAbstractUI.aspx?menuIndex=3&amp;refID=7073224&amp;Result=3","7073224")</f>
        <v>0</v>
      </c>
      <c r="B9448" t="s">
        <v>2766</v>
      </c>
      <c r="C9448" t="s">
        <v>12419</v>
      </c>
      <c r="D9448" t="s">
        <v>17494</v>
      </c>
      <c r="E9448" t="s">
        <v>25539</v>
      </c>
      <c r="F9448" t="s">
        <v>30052</v>
      </c>
      <c r="G9448" t="s">
        <v>30058</v>
      </c>
      <c r="H9448" t="s">
        <v>15498</v>
      </c>
      <c r="I9448" t="s">
        <v>30070</v>
      </c>
      <c r="J9448" t="s">
        <v>35966</v>
      </c>
      <c r="K9448" t="s">
        <v>39019</v>
      </c>
      <c r="M9448" t="s">
        <v>42302</v>
      </c>
      <c r="N9448" t="s">
        <v>43166</v>
      </c>
      <c r="O9448" t="s">
        <v>43167</v>
      </c>
      <c r="P9448">
        <v>0</v>
      </c>
      <c r="Q9448">
        <v>1</v>
      </c>
      <c r="R9448" t="s">
        <v>43175</v>
      </c>
      <c r="S9448" t="s">
        <v>43460</v>
      </c>
      <c r="T9448" t="s">
        <v>44969</v>
      </c>
      <c r="U9448" t="s">
        <v>52789</v>
      </c>
      <c r="W9448" t="s">
        <v>42302</v>
      </c>
      <c r="X9448" t="s">
        <v>43176</v>
      </c>
    </row>
    <row r="9449" spans="1:24">
      <c r="A9449">
        <f>HYPERLINK("https://www.philgeps.gov.ph/GEPSNONPILOT/Tender/SplashBidNoticeAbstractUI.aspx?menuIndex=3&amp;refID=7070311&amp;Result=3","7070311")</f>
        <v>0</v>
      </c>
      <c r="B9449" t="s">
        <v>193</v>
      </c>
      <c r="C9449" t="s">
        <v>12420</v>
      </c>
      <c r="D9449" t="s">
        <v>17471</v>
      </c>
      <c r="E9449" t="s">
        <v>25579</v>
      </c>
      <c r="F9449" t="s">
        <v>30052</v>
      </c>
      <c r="G9449" t="s">
        <v>30058</v>
      </c>
      <c r="H9449" t="s">
        <v>30067</v>
      </c>
      <c r="I9449" t="s">
        <v>3693</v>
      </c>
      <c r="J9449" t="s">
        <v>30645</v>
      </c>
      <c r="K9449" t="s">
        <v>39026</v>
      </c>
      <c r="M9449" t="s">
        <v>39483</v>
      </c>
      <c r="N9449" t="s">
        <v>43166</v>
      </c>
      <c r="O9449" t="s">
        <v>43167</v>
      </c>
      <c r="Q9449">
        <v>0</v>
      </c>
      <c r="R9449" t="s">
        <v>43177</v>
      </c>
      <c r="S9449" t="s">
        <v>43289</v>
      </c>
      <c r="T9449" t="s">
        <v>44925</v>
      </c>
      <c r="U9449" t="s">
        <v>52790</v>
      </c>
      <c r="W9449" t="s">
        <v>39483</v>
      </c>
      <c r="X9449" t="s">
        <v>43178</v>
      </c>
    </row>
    <row r="9450" spans="1:24">
      <c r="A9450">
        <f>HYPERLINK("https://www.philgeps.gov.ph/GEPSNONPILOT/Tender/SplashBidNoticeAbstractUI.aspx?menuIndex=3&amp;refID=7070328&amp;Result=3","7070328")</f>
        <v>0</v>
      </c>
      <c r="B9450" t="s">
        <v>511</v>
      </c>
      <c r="C9450" t="s">
        <v>12421</v>
      </c>
      <c r="D9450" t="s">
        <v>17455</v>
      </c>
      <c r="E9450" t="s">
        <v>25580</v>
      </c>
      <c r="F9450" t="s">
        <v>30052</v>
      </c>
      <c r="G9450" t="s">
        <v>30062</v>
      </c>
      <c r="H9450" t="s">
        <v>15498</v>
      </c>
      <c r="I9450" t="s">
        <v>3852</v>
      </c>
      <c r="J9450" t="s">
        <v>35967</v>
      </c>
      <c r="K9450" t="s">
        <v>39037</v>
      </c>
      <c r="M9450" t="s">
        <v>42318</v>
      </c>
      <c r="N9450" t="s">
        <v>43166</v>
      </c>
      <c r="O9450" t="s">
        <v>43167</v>
      </c>
      <c r="Q9450">
        <v>10</v>
      </c>
      <c r="R9450" t="s">
        <v>43177</v>
      </c>
      <c r="S9450" t="s">
        <v>43498</v>
      </c>
      <c r="T9450" t="s">
        <v>44806</v>
      </c>
      <c r="U9450" t="s">
        <v>52791</v>
      </c>
      <c r="V9450" t="s">
        <v>57853</v>
      </c>
      <c r="W9450" t="s">
        <v>42318</v>
      </c>
      <c r="X9450" t="s">
        <v>43178</v>
      </c>
    </row>
    <row r="9451" spans="1:24">
      <c r="A9451">
        <f>HYPERLINK("https://www.philgeps.gov.ph/GEPSNONPILOT/Tender/SplashBidNoticeAbstractUI.aspx?menuIndex=3&amp;refID=7070410&amp;Result=3","7070410")</f>
        <v>0</v>
      </c>
      <c r="B9451" t="s">
        <v>924</v>
      </c>
      <c r="C9451" t="s">
        <v>12422</v>
      </c>
      <c r="E9451" t="s">
        <v>25581</v>
      </c>
      <c r="F9451" t="s">
        <v>30052</v>
      </c>
      <c r="G9451" t="s">
        <v>30058</v>
      </c>
      <c r="H9451" t="s">
        <v>15498</v>
      </c>
      <c r="I9451" t="s">
        <v>3736</v>
      </c>
      <c r="J9451" t="s">
        <v>35968</v>
      </c>
      <c r="K9451" t="s">
        <v>39025</v>
      </c>
      <c r="M9451" t="s">
        <v>40247</v>
      </c>
      <c r="N9451" t="s">
        <v>43166</v>
      </c>
      <c r="O9451" t="s">
        <v>43167</v>
      </c>
      <c r="P9451">
        <v>0</v>
      </c>
      <c r="Q9451">
        <v>1</v>
      </c>
      <c r="R9451" t="s">
        <v>43177</v>
      </c>
      <c r="S9451" t="s">
        <v>43494</v>
      </c>
      <c r="T9451" t="s">
        <v>44791</v>
      </c>
      <c r="U9451" t="s">
        <v>52792</v>
      </c>
      <c r="W9451" t="s">
        <v>40247</v>
      </c>
      <c r="X9451" t="s">
        <v>43178</v>
      </c>
    </row>
    <row r="9452" spans="1:24">
      <c r="A9452">
        <f>HYPERLINK("https://www.philgeps.gov.ph/GEPSNONPILOT/Tender/SplashBidNoticeAbstractUI.aspx?menuIndex=3&amp;refID=7063788&amp;Result=3","7063788")</f>
        <v>0</v>
      </c>
      <c r="B9452" t="s">
        <v>2781</v>
      </c>
      <c r="C9452" t="s">
        <v>12423</v>
      </c>
      <c r="D9452" t="s">
        <v>17475</v>
      </c>
      <c r="E9452" t="s">
        <v>25582</v>
      </c>
      <c r="F9452" t="s">
        <v>30052</v>
      </c>
      <c r="G9452" t="s">
        <v>30058</v>
      </c>
      <c r="H9452" t="s">
        <v>15498</v>
      </c>
      <c r="I9452" t="s">
        <v>30074</v>
      </c>
      <c r="J9452" t="s">
        <v>30683</v>
      </c>
      <c r="K9452" t="s">
        <v>39023</v>
      </c>
      <c r="M9452" t="s">
        <v>42319</v>
      </c>
      <c r="N9452" t="s">
        <v>43166</v>
      </c>
      <c r="O9452" t="s">
        <v>43167</v>
      </c>
      <c r="P9452">
        <v>0</v>
      </c>
      <c r="Q9452">
        <v>5</v>
      </c>
      <c r="R9452" t="s">
        <v>43176</v>
      </c>
      <c r="S9452" t="s">
        <v>43481</v>
      </c>
      <c r="T9452" t="s">
        <v>44721</v>
      </c>
      <c r="U9452" t="s">
        <v>52793</v>
      </c>
      <c r="W9452" t="s">
        <v>42319</v>
      </c>
      <c r="X9452" t="s">
        <v>43181</v>
      </c>
    </row>
    <row r="9453" spans="1:24">
      <c r="A9453">
        <f>HYPERLINK("https://www.philgeps.gov.ph/GEPSNONPILOT/Tender/SplashBidNoticeAbstractUI.aspx?menuIndex=3&amp;refID=7070302&amp;Result=3","7070302")</f>
        <v>0</v>
      </c>
      <c r="B9453" t="s">
        <v>193</v>
      </c>
      <c r="C9453" t="s">
        <v>12424</v>
      </c>
      <c r="D9453" t="s">
        <v>17471</v>
      </c>
      <c r="E9453" t="s">
        <v>25583</v>
      </c>
      <c r="F9453" t="s">
        <v>30052</v>
      </c>
      <c r="G9453" t="s">
        <v>30058</v>
      </c>
      <c r="H9453" t="s">
        <v>30067</v>
      </c>
      <c r="I9453" t="s">
        <v>3693</v>
      </c>
      <c r="J9453" t="s">
        <v>30645</v>
      </c>
      <c r="K9453" t="s">
        <v>39026</v>
      </c>
      <c r="M9453" t="s">
        <v>39483</v>
      </c>
      <c r="N9453" t="s">
        <v>43166</v>
      </c>
      <c r="O9453" t="s">
        <v>43167</v>
      </c>
      <c r="Q9453">
        <v>0</v>
      </c>
      <c r="R9453" t="s">
        <v>43177</v>
      </c>
      <c r="S9453" t="s">
        <v>43499</v>
      </c>
      <c r="T9453" t="s">
        <v>44925</v>
      </c>
      <c r="U9453" t="s">
        <v>52790</v>
      </c>
      <c r="W9453" t="s">
        <v>39483</v>
      </c>
      <c r="X9453" t="s">
        <v>43178</v>
      </c>
    </row>
    <row r="9454" spans="1:24">
      <c r="A9454">
        <f>HYPERLINK("https://www.philgeps.gov.ph/GEPSNONPILOT/Tender/SplashBidNoticeAbstractUI.aspx?menuIndex=3&amp;refID=7070351&amp;Result=3","7070351")</f>
        <v>0</v>
      </c>
      <c r="B9454" t="s">
        <v>2782</v>
      </c>
      <c r="C9454" t="s">
        <v>12425</v>
      </c>
      <c r="D9454" t="s">
        <v>17474</v>
      </c>
      <c r="E9454" t="s">
        <v>25584</v>
      </c>
      <c r="F9454" t="s">
        <v>30052</v>
      </c>
      <c r="G9454" t="s">
        <v>30058</v>
      </c>
      <c r="H9454" t="s">
        <v>15498</v>
      </c>
      <c r="I9454" t="s">
        <v>30084</v>
      </c>
      <c r="J9454" t="s">
        <v>32301</v>
      </c>
      <c r="K9454" t="s">
        <v>39029</v>
      </c>
      <c r="M9454" t="s">
        <v>42320</v>
      </c>
      <c r="N9454" t="s">
        <v>43166</v>
      </c>
      <c r="O9454" t="s">
        <v>43167</v>
      </c>
      <c r="P9454">
        <v>0</v>
      </c>
      <c r="Q9454">
        <v>0</v>
      </c>
      <c r="R9454" t="s">
        <v>43177</v>
      </c>
      <c r="S9454" t="s">
        <v>43494</v>
      </c>
      <c r="T9454" t="s">
        <v>44705</v>
      </c>
      <c r="U9454" t="s">
        <v>52794</v>
      </c>
      <c r="W9454" t="s">
        <v>42320</v>
      </c>
      <c r="X9454" t="s">
        <v>43178</v>
      </c>
    </row>
    <row r="9455" spans="1:24">
      <c r="A9455">
        <f>HYPERLINK("https://www.philgeps.gov.ph/GEPSNONPILOT/Tender/SplashBidNoticeAbstractUI.aspx?menuIndex=3&amp;refID=7070274&amp;Result=3","7070274")</f>
        <v>0</v>
      </c>
      <c r="B9455" t="s">
        <v>534</v>
      </c>
      <c r="C9455" t="s">
        <v>12426</v>
      </c>
      <c r="D9455" t="s">
        <v>17467</v>
      </c>
      <c r="E9455" t="s">
        <v>24735</v>
      </c>
      <c r="F9455" t="s">
        <v>30052</v>
      </c>
      <c r="G9455" t="s">
        <v>30058</v>
      </c>
      <c r="H9455" t="s">
        <v>30067</v>
      </c>
      <c r="I9455" t="s">
        <v>3693</v>
      </c>
      <c r="J9455" t="s">
        <v>35969</v>
      </c>
      <c r="K9455" t="s">
        <v>39022</v>
      </c>
      <c r="M9455" t="s">
        <v>39836</v>
      </c>
      <c r="N9455" t="s">
        <v>43166</v>
      </c>
      <c r="O9455" t="s">
        <v>43167</v>
      </c>
      <c r="P9455">
        <v>0</v>
      </c>
      <c r="Q9455">
        <v>0</v>
      </c>
      <c r="R9455" t="s">
        <v>43177</v>
      </c>
      <c r="S9455" t="s">
        <v>43494</v>
      </c>
      <c r="T9455" t="s">
        <v>44791</v>
      </c>
      <c r="U9455" t="s">
        <v>52795</v>
      </c>
      <c r="W9455" t="s">
        <v>39836</v>
      </c>
      <c r="X9455" t="s">
        <v>43178</v>
      </c>
    </row>
    <row r="9456" spans="1:24">
      <c r="A9456">
        <f>HYPERLINK("https://www.philgeps.gov.ph/GEPSNONPILOT/Tender/SplashBidNoticeAbstractUI.aspx?menuIndex=3&amp;refID=7070301&amp;Result=3","7070301")</f>
        <v>0</v>
      </c>
      <c r="B9456" t="s">
        <v>193</v>
      </c>
      <c r="C9456" t="s">
        <v>12427</v>
      </c>
      <c r="D9456" t="s">
        <v>17471</v>
      </c>
      <c r="E9456" t="s">
        <v>25585</v>
      </c>
      <c r="F9456" t="s">
        <v>30052</v>
      </c>
      <c r="G9456" t="s">
        <v>30058</v>
      </c>
      <c r="H9456" t="s">
        <v>30067</v>
      </c>
      <c r="I9456" t="s">
        <v>3693</v>
      </c>
      <c r="J9456" t="s">
        <v>35970</v>
      </c>
      <c r="K9456" t="s">
        <v>39065</v>
      </c>
      <c r="M9456" t="s">
        <v>39483</v>
      </c>
      <c r="N9456" t="s">
        <v>43166</v>
      </c>
      <c r="O9456" t="s">
        <v>43167</v>
      </c>
      <c r="P9456">
        <v>0</v>
      </c>
      <c r="Q9456">
        <v>0</v>
      </c>
      <c r="R9456" t="s">
        <v>43177</v>
      </c>
      <c r="S9456" t="s">
        <v>43494</v>
      </c>
      <c r="T9456" t="s">
        <v>44925</v>
      </c>
      <c r="U9456" t="s">
        <v>52790</v>
      </c>
      <c r="W9456" t="s">
        <v>39483</v>
      </c>
      <c r="X9456" t="s">
        <v>43178</v>
      </c>
    </row>
    <row r="9457" spans="1:24">
      <c r="A9457">
        <f>HYPERLINK("https://www.philgeps.gov.ph/GEPSNONPILOT/Tender/SplashBidNoticeAbstractUI.aspx?menuIndex=3&amp;refID=7070271&amp;Result=3","7070271")</f>
        <v>0</v>
      </c>
      <c r="B9457" t="s">
        <v>2764</v>
      </c>
      <c r="C9457" t="s">
        <v>12428</v>
      </c>
      <c r="D9457" t="s">
        <v>17458</v>
      </c>
      <c r="E9457" t="s">
        <v>25586</v>
      </c>
      <c r="F9457" t="s">
        <v>30052</v>
      </c>
      <c r="G9457" t="s">
        <v>30058</v>
      </c>
      <c r="H9457" t="s">
        <v>15498</v>
      </c>
      <c r="I9457" t="s">
        <v>30074</v>
      </c>
      <c r="J9457" t="s">
        <v>30343</v>
      </c>
      <c r="K9457" t="s">
        <v>39019</v>
      </c>
      <c r="M9457" t="s">
        <v>42298</v>
      </c>
      <c r="N9457" t="s">
        <v>43166</v>
      </c>
      <c r="O9457" t="s">
        <v>43167</v>
      </c>
      <c r="P9457">
        <v>0</v>
      </c>
      <c r="Q9457">
        <v>2</v>
      </c>
      <c r="R9457" t="s">
        <v>43177</v>
      </c>
      <c r="S9457" t="s">
        <v>43494</v>
      </c>
      <c r="T9457" t="s">
        <v>44754</v>
      </c>
      <c r="U9457" t="s">
        <v>52796</v>
      </c>
      <c r="V9457" t="s">
        <v>57854</v>
      </c>
      <c r="W9457" t="s">
        <v>42298</v>
      </c>
      <c r="X9457" t="s">
        <v>43179</v>
      </c>
    </row>
    <row r="9458" spans="1:24">
      <c r="A9458">
        <f>HYPERLINK("https://www.philgeps.gov.ph/GEPSNONPILOT/Tender/SplashBidNoticeAbstractUI.aspx?menuIndex=3&amp;refID=7043167-2&amp;Result=3","7043167-2")</f>
        <v>0</v>
      </c>
      <c r="B9458" t="s">
        <v>919</v>
      </c>
      <c r="C9458" t="s">
        <v>12429</v>
      </c>
      <c r="E9458" t="s">
        <v>25587</v>
      </c>
      <c r="F9458" t="s">
        <v>30052</v>
      </c>
      <c r="G9458" t="s">
        <v>30058</v>
      </c>
      <c r="H9458" t="s">
        <v>30068</v>
      </c>
      <c r="I9458" t="s">
        <v>3693</v>
      </c>
      <c r="J9458" t="s">
        <v>32406</v>
      </c>
      <c r="K9458" t="s">
        <v>39025</v>
      </c>
      <c r="M9458" t="s">
        <v>40242</v>
      </c>
      <c r="N9458" t="s">
        <v>43166</v>
      </c>
      <c r="O9458" t="s">
        <v>43167</v>
      </c>
      <c r="P9458">
        <v>0</v>
      </c>
      <c r="Q9458">
        <v>1</v>
      </c>
      <c r="R9458" t="s">
        <v>43177</v>
      </c>
      <c r="S9458" t="s">
        <v>43494</v>
      </c>
      <c r="T9458" t="s">
        <v>44681</v>
      </c>
      <c r="U9458" t="s">
        <v>52797</v>
      </c>
      <c r="V9458" t="s">
        <v>57855</v>
      </c>
      <c r="W9458" t="s">
        <v>43101</v>
      </c>
      <c r="X9458" t="s">
        <v>43178</v>
      </c>
    </row>
    <row r="9459" spans="1:24">
      <c r="A9459">
        <f>HYPERLINK("https://www.philgeps.gov.ph/GEPSNONPILOT/Tender/SplashBidNoticeAbstractUI.aspx?menuIndex=3&amp;refID=7070650&amp;Result=3","7070650")</f>
        <v>0</v>
      </c>
      <c r="B9459" t="s">
        <v>2468</v>
      </c>
      <c r="C9459" t="s">
        <v>12430</v>
      </c>
      <c r="D9459" t="s">
        <v>17458</v>
      </c>
      <c r="E9459" t="s">
        <v>25588</v>
      </c>
      <c r="F9459" t="s">
        <v>30052</v>
      </c>
      <c r="G9459" t="s">
        <v>30061</v>
      </c>
      <c r="H9459" t="s">
        <v>15498</v>
      </c>
      <c r="I9459" t="s">
        <v>30070</v>
      </c>
      <c r="J9459" t="s">
        <v>35971</v>
      </c>
      <c r="K9459" t="s">
        <v>39025</v>
      </c>
      <c r="M9459" t="s">
        <v>41968</v>
      </c>
      <c r="N9459" t="s">
        <v>43166</v>
      </c>
      <c r="O9459" t="s">
        <v>43167</v>
      </c>
      <c r="P9459">
        <v>0</v>
      </c>
      <c r="Q9459">
        <v>2</v>
      </c>
      <c r="R9459" t="s">
        <v>43177</v>
      </c>
      <c r="S9459" t="s">
        <v>43494</v>
      </c>
      <c r="T9459" t="s">
        <v>44822</v>
      </c>
      <c r="U9459" t="s">
        <v>51712</v>
      </c>
      <c r="W9459" t="s">
        <v>41968</v>
      </c>
      <c r="X9459" t="s">
        <v>43178</v>
      </c>
    </row>
    <row r="9460" spans="1:24">
      <c r="A9460">
        <f>HYPERLINK("https://www.philgeps.gov.ph/GEPSNONPILOT/Tender/SplashBidNoticeAbstractUI.aspx?menuIndex=3&amp;refID=7070643&amp;Result=3","7070643")</f>
        <v>0</v>
      </c>
      <c r="B9460" t="s">
        <v>2488</v>
      </c>
      <c r="C9460" t="s">
        <v>12431</v>
      </c>
      <c r="D9460" t="s">
        <v>17458</v>
      </c>
      <c r="E9460" t="s">
        <v>18583</v>
      </c>
      <c r="F9460" t="s">
        <v>30052</v>
      </c>
      <c r="G9460" t="s">
        <v>30058</v>
      </c>
      <c r="H9460" t="s">
        <v>15498</v>
      </c>
      <c r="I9460" t="s">
        <v>30074</v>
      </c>
      <c r="J9460" t="s">
        <v>35972</v>
      </c>
      <c r="K9460" t="s">
        <v>39036</v>
      </c>
      <c r="M9460" t="s">
        <v>41989</v>
      </c>
      <c r="N9460" t="s">
        <v>43166</v>
      </c>
      <c r="O9460" t="s">
        <v>43167</v>
      </c>
      <c r="P9460">
        <v>0</v>
      </c>
      <c r="Q9460">
        <v>5</v>
      </c>
      <c r="R9460" t="s">
        <v>43177</v>
      </c>
      <c r="S9460" t="s">
        <v>43494</v>
      </c>
      <c r="T9460" t="s">
        <v>44717</v>
      </c>
      <c r="U9460" t="s">
        <v>52798</v>
      </c>
      <c r="V9460" t="s">
        <v>57856</v>
      </c>
      <c r="W9460" t="s">
        <v>41989</v>
      </c>
      <c r="X9460" t="s">
        <v>43178</v>
      </c>
    </row>
    <row r="9461" spans="1:24">
      <c r="A9461">
        <f>HYPERLINK("https://www.philgeps.gov.ph/GEPSNONPILOT/Tender/SplashBidNoticeAbstractUI.aspx?menuIndex=3&amp;refID=7070639&amp;Result=3","7070639")</f>
        <v>0</v>
      </c>
      <c r="B9461" t="s">
        <v>1319</v>
      </c>
      <c r="C9461" t="s">
        <v>12432</v>
      </c>
      <c r="D9461" t="s">
        <v>17474</v>
      </c>
      <c r="E9461" t="s">
        <v>25589</v>
      </c>
      <c r="F9461" t="s">
        <v>30052</v>
      </c>
      <c r="G9461" t="s">
        <v>30059</v>
      </c>
      <c r="H9461" t="s">
        <v>15498</v>
      </c>
      <c r="I9461" t="s">
        <v>4650</v>
      </c>
      <c r="J9461" t="s">
        <v>30528</v>
      </c>
      <c r="K9461" t="s">
        <v>39029</v>
      </c>
      <c r="L9461" t="s">
        <v>1319</v>
      </c>
      <c r="M9461" t="s">
        <v>40686</v>
      </c>
      <c r="N9461" t="s">
        <v>43166</v>
      </c>
      <c r="O9461" t="s">
        <v>43167</v>
      </c>
      <c r="P9461">
        <v>0</v>
      </c>
      <c r="Q9461">
        <v>1</v>
      </c>
      <c r="R9461" t="s">
        <v>43177</v>
      </c>
      <c r="S9461" t="s">
        <v>43494</v>
      </c>
      <c r="T9461" t="s">
        <v>44844</v>
      </c>
      <c r="U9461" t="s">
        <v>52799</v>
      </c>
      <c r="V9461" t="s">
        <v>57236</v>
      </c>
      <c r="W9461" t="s">
        <v>40686</v>
      </c>
      <c r="X9461" t="s">
        <v>43178</v>
      </c>
    </row>
    <row r="9462" spans="1:24">
      <c r="A9462">
        <f>HYPERLINK("https://www.philgeps.gov.ph/GEPSNONPILOT/Tender/SplashBidNoticeAbstractUI.aspx?menuIndex=3&amp;refID=7070636&amp;Result=3","7070636")</f>
        <v>0</v>
      </c>
      <c r="B9462" t="s">
        <v>1327</v>
      </c>
      <c r="C9462" t="s">
        <v>6813</v>
      </c>
      <c r="D9462" t="s">
        <v>17430</v>
      </c>
      <c r="E9462" t="s">
        <v>20546</v>
      </c>
      <c r="F9462" t="s">
        <v>30052</v>
      </c>
      <c r="G9462" t="s">
        <v>30059</v>
      </c>
      <c r="H9462" t="s">
        <v>15498</v>
      </c>
      <c r="I9462" t="s">
        <v>30070</v>
      </c>
      <c r="J9462" t="s">
        <v>35973</v>
      </c>
      <c r="K9462" t="s">
        <v>39029</v>
      </c>
      <c r="M9462" t="s">
        <v>40694</v>
      </c>
      <c r="N9462" t="s">
        <v>43166</v>
      </c>
      <c r="O9462" t="s">
        <v>43167</v>
      </c>
      <c r="P9462">
        <v>0</v>
      </c>
      <c r="Q9462">
        <v>0</v>
      </c>
      <c r="R9462" t="s">
        <v>43177</v>
      </c>
      <c r="S9462" t="s">
        <v>43494</v>
      </c>
      <c r="T9462" t="s">
        <v>44685</v>
      </c>
      <c r="U9462" t="s">
        <v>45217</v>
      </c>
      <c r="V9462" t="s">
        <v>57852</v>
      </c>
      <c r="W9462" t="s">
        <v>40694</v>
      </c>
      <c r="X9462" t="s">
        <v>43178</v>
      </c>
    </row>
    <row r="9463" spans="1:24">
      <c r="A9463">
        <f>HYPERLINK("https://www.philgeps.gov.ph/GEPSNONPILOT/Tender/SplashBidNoticeAbstractUI.aspx?menuIndex=3&amp;refID=7070623&amp;Result=3","7070623")</f>
        <v>0</v>
      </c>
      <c r="B9463" t="s">
        <v>2320</v>
      </c>
      <c r="C9463" t="s">
        <v>12433</v>
      </c>
      <c r="D9463" t="s">
        <v>17462</v>
      </c>
      <c r="E9463" t="s">
        <v>25590</v>
      </c>
      <c r="F9463" t="s">
        <v>30052</v>
      </c>
      <c r="G9463" t="s">
        <v>30058</v>
      </c>
      <c r="H9463" t="s">
        <v>30067</v>
      </c>
      <c r="I9463" t="s">
        <v>3693</v>
      </c>
      <c r="J9463" t="s">
        <v>30321</v>
      </c>
      <c r="K9463" t="s">
        <v>39020</v>
      </c>
      <c r="M9463" t="s">
        <v>42321</v>
      </c>
      <c r="N9463" t="s">
        <v>43166</v>
      </c>
      <c r="O9463" t="s">
        <v>43167</v>
      </c>
      <c r="P9463">
        <v>0</v>
      </c>
      <c r="Q9463">
        <v>19</v>
      </c>
      <c r="R9463" t="s">
        <v>43177</v>
      </c>
      <c r="S9463" t="s">
        <v>43494</v>
      </c>
      <c r="T9463" t="s">
        <v>44711</v>
      </c>
      <c r="U9463" t="s">
        <v>52800</v>
      </c>
      <c r="V9463" t="s">
        <v>57857</v>
      </c>
      <c r="W9463" t="s">
        <v>58688</v>
      </c>
      <c r="X9463" t="s">
        <v>43178</v>
      </c>
    </row>
    <row r="9464" spans="1:24">
      <c r="A9464">
        <f>HYPERLINK("https://www.philgeps.gov.ph/GEPSNONPILOT/Tender/SplashBidNoticeAbstractUI.aspx?menuIndex=3&amp;refID=7070606&amp;Result=3","7070606")</f>
        <v>0</v>
      </c>
      <c r="B9464" t="s">
        <v>2468</v>
      </c>
      <c r="C9464" t="s">
        <v>12434</v>
      </c>
      <c r="D9464" t="s">
        <v>17458</v>
      </c>
      <c r="E9464" t="s">
        <v>25591</v>
      </c>
      <c r="F9464" t="s">
        <v>30052</v>
      </c>
      <c r="G9464" t="s">
        <v>30059</v>
      </c>
      <c r="H9464" t="s">
        <v>15498</v>
      </c>
      <c r="I9464" t="s">
        <v>30077</v>
      </c>
      <c r="J9464" t="s">
        <v>30384</v>
      </c>
      <c r="K9464" t="s">
        <v>39025</v>
      </c>
      <c r="M9464" t="s">
        <v>41968</v>
      </c>
      <c r="N9464" t="s">
        <v>43166</v>
      </c>
      <c r="O9464" t="s">
        <v>43167</v>
      </c>
      <c r="P9464">
        <v>0</v>
      </c>
      <c r="Q9464">
        <v>3</v>
      </c>
      <c r="R9464" t="s">
        <v>43177</v>
      </c>
      <c r="S9464" t="s">
        <v>43494</v>
      </c>
      <c r="T9464" t="s">
        <v>44822</v>
      </c>
      <c r="U9464" t="s">
        <v>51712</v>
      </c>
      <c r="W9464" t="s">
        <v>41968</v>
      </c>
      <c r="X9464" t="s">
        <v>43178</v>
      </c>
    </row>
    <row r="9465" spans="1:24">
      <c r="A9465">
        <f>HYPERLINK("https://www.philgeps.gov.ph/GEPSNONPILOT/Tender/SplashBidNoticeAbstractUI.aspx?menuIndex=3&amp;refID=7070286&amp;Result=3","7070286")</f>
        <v>0</v>
      </c>
      <c r="B9465" t="s">
        <v>2290</v>
      </c>
      <c r="C9465" t="s">
        <v>12435</v>
      </c>
      <c r="D9465" t="s">
        <v>17453</v>
      </c>
      <c r="E9465" t="s">
        <v>25592</v>
      </c>
      <c r="F9465" t="s">
        <v>30052</v>
      </c>
      <c r="G9465" t="s">
        <v>30058</v>
      </c>
      <c r="H9465" t="s">
        <v>30067</v>
      </c>
      <c r="I9465" t="s">
        <v>3693</v>
      </c>
      <c r="J9465" t="s">
        <v>35974</v>
      </c>
      <c r="K9465" t="s">
        <v>39031</v>
      </c>
      <c r="M9465" t="s">
        <v>42322</v>
      </c>
      <c r="N9465" t="s">
        <v>43166</v>
      </c>
      <c r="O9465" t="s">
        <v>43167</v>
      </c>
      <c r="P9465">
        <v>0</v>
      </c>
      <c r="Q9465">
        <v>0</v>
      </c>
      <c r="R9465" t="s">
        <v>43177</v>
      </c>
      <c r="S9465" t="s">
        <v>43494</v>
      </c>
      <c r="T9465" t="s">
        <v>44699</v>
      </c>
      <c r="U9465" t="s">
        <v>52801</v>
      </c>
      <c r="W9465" t="s">
        <v>42322</v>
      </c>
      <c r="X9465" t="s">
        <v>43178</v>
      </c>
    </row>
    <row r="9466" spans="1:24">
      <c r="A9466">
        <f>HYPERLINK("https://www.philgeps.gov.ph/GEPSNONPILOT/Tender/SplashBidNoticeAbstractUI.aspx?menuIndex=3&amp;refID=7070602&amp;Result=3","7070602")</f>
        <v>0</v>
      </c>
      <c r="B9466" t="s">
        <v>2320</v>
      </c>
      <c r="C9466" t="s">
        <v>12436</v>
      </c>
      <c r="D9466" t="s">
        <v>17462</v>
      </c>
      <c r="E9466" t="s">
        <v>25593</v>
      </c>
      <c r="F9466" t="s">
        <v>30052</v>
      </c>
      <c r="G9466" t="s">
        <v>30058</v>
      </c>
      <c r="H9466" t="s">
        <v>30067</v>
      </c>
      <c r="I9466" t="s">
        <v>3693</v>
      </c>
      <c r="J9466" t="s">
        <v>30212</v>
      </c>
      <c r="K9466" t="s">
        <v>39020</v>
      </c>
      <c r="M9466" t="s">
        <v>41819</v>
      </c>
      <c r="N9466" t="s">
        <v>43166</v>
      </c>
      <c r="O9466" t="s">
        <v>43167</v>
      </c>
      <c r="P9466">
        <v>0</v>
      </c>
      <c r="Q9466">
        <v>17</v>
      </c>
      <c r="R9466" t="s">
        <v>43177</v>
      </c>
      <c r="S9466" t="s">
        <v>43494</v>
      </c>
      <c r="T9466" t="s">
        <v>44711</v>
      </c>
      <c r="U9466" t="s">
        <v>52800</v>
      </c>
      <c r="V9466" t="s">
        <v>57857</v>
      </c>
      <c r="W9466" t="s">
        <v>58688</v>
      </c>
      <c r="X9466" t="s">
        <v>43178</v>
      </c>
    </row>
    <row r="9467" spans="1:24">
      <c r="A9467">
        <f>HYPERLINK("https://www.philgeps.gov.ph/GEPSNONPILOT/Tender/SplashBidNoticeAbstractUI.aspx?menuIndex=3&amp;refID=7070583&amp;Result=3","7070583")</f>
        <v>0</v>
      </c>
      <c r="B9467" t="s">
        <v>2468</v>
      </c>
      <c r="C9467" t="s">
        <v>12437</v>
      </c>
      <c r="D9467" t="s">
        <v>17458</v>
      </c>
      <c r="E9467" t="s">
        <v>25594</v>
      </c>
      <c r="F9467" t="s">
        <v>30052</v>
      </c>
      <c r="G9467" t="s">
        <v>30059</v>
      </c>
      <c r="H9467" t="s">
        <v>15498</v>
      </c>
      <c r="I9467" t="s">
        <v>6691</v>
      </c>
      <c r="J9467" t="s">
        <v>35975</v>
      </c>
      <c r="K9467" t="s">
        <v>39025</v>
      </c>
      <c r="M9467" t="s">
        <v>41968</v>
      </c>
      <c r="N9467" t="s">
        <v>43166</v>
      </c>
      <c r="O9467" t="s">
        <v>43167</v>
      </c>
      <c r="P9467">
        <v>0</v>
      </c>
      <c r="Q9467">
        <v>0</v>
      </c>
      <c r="R9467" t="s">
        <v>43177</v>
      </c>
      <c r="S9467" t="s">
        <v>43494</v>
      </c>
      <c r="T9467" t="s">
        <v>44822</v>
      </c>
      <c r="U9467" t="s">
        <v>51712</v>
      </c>
      <c r="W9467" t="s">
        <v>41968</v>
      </c>
      <c r="X9467" t="s">
        <v>43178</v>
      </c>
    </row>
    <row r="9468" spans="1:24">
      <c r="A9468">
        <f>HYPERLINK("https://www.philgeps.gov.ph/GEPSNONPILOT/Tender/SplashBidNoticeAbstractUI.aspx?menuIndex=3&amp;refID=7070570&amp;Result=3","7070570")</f>
        <v>0</v>
      </c>
      <c r="B9468" t="s">
        <v>2783</v>
      </c>
      <c r="C9468" t="s">
        <v>12438</v>
      </c>
      <c r="D9468" t="s">
        <v>17453</v>
      </c>
      <c r="E9468" t="s">
        <v>25595</v>
      </c>
      <c r="F9468" t="s">
        <v>30052</v>
      </c>
      <c r="G9468" t="s">
        <v>30058</v>
      </c>
      <c r="H9468" t="s">
        <v>15498</v>
      </c>
      <c r="I9468" t="s">
        <v>7228</v>
      </c>
      <c r="J9468" t="s">
        <v>35976</v>
      </c>
      <c r="K9468" t="s">
        <v>39025</v>
      </c>
      <c r="M9468" t="s">
        <v>42323</v>
      </c>
      <c r="N9468" t="s">
        <v>43166</v>
      </c>
      <c r="O9468" t="s">
        <v>43167</v>
      </c>
      <c r="P9468">
        <v>0</v>
      </c>
      <c r="Q9468">
        <v>0</v>
      </c>
      <c r="R9468" t="s">
        <v>43177</v>
      </c>
      <c r="S9468" t="s">
        <v>43494</v>
      </c>
      <c r="T9468" t="s">
        <v>44787</v>
      </c>
      <c r="U9468" t="s">
        <v>52802</v>
      </c>
      <c r="V9468" t="s">
        <v>57858</v>
      </c>
      <c r="W9468" t="s">
        <v>42323</v>
      </c>
      <c r="X9468" t="s">
        <v>43178</v>
      </c>
    </row>
    <row r="9469" spans="1:24">
      <c r="A9469">
        <f>HYPERLINK("https://www.philgeps.gov.ph/GEPSNONPILOT/Tender/SplashBidNoticeAbstractUI.aspx?menuIndex=3&amp;refID=7070291&amp;Result=3","7070291")</f>
        <v>0</v>
      </c>
      <c r="B9469" t="s">
        <v>2290</v>
      </c>
      <c r="C9469" t="s">
        <v>12439</v>
      </c>
      <c r="D9469" t="s">
        <v>17453</v>
      </c>
      <c r="E9469" t="s">
        <v>25596</v>
      </c>
      <c r="F9469" t="s">
        <v>30052</v>
      </c>
      <c r="G9469" t="s">
        <v>30060</v>
      </c>
      <c r="H9469" t="s">
        <v>30067</v>
      </c>
      <c r="I9469" t="s">
        <v>3693</v>
      </c>
      <c r="J9469" t="s">
        <v>35977</v>
      </c>
      <c r="K9469" t="s">
        <v>39031</v>
      </c>
      <c r="M9469" t="s">
        <v>42322</v>
      </c>
      <c r="N9469" t="s">
        <v>43166</v>
      </c>
      <c r="O9469" t="s">
        <v>43167</v>
      </c>
      <c r="P9469">
        <v>0</v>
      </c>
      <c r="Q9469">
        <v>1</v>
      </c>
      <c r="R9469" t="s">
        <v>43177</v>
      </c>
      <c r="S9469" t="s">
        <v>43494</v>
      </c>
      <c r="T9469" t="s">
        <v>44717</v>
      </c>
      <c r="U9469" t="s">
        <v>52803</v>
      </c>
      <c r="W9469" t="s">
        <v>42322</v>
      </c>
      <c r="X9469" t="s">
        <v>43178</v>
      </c>
    </row>
    <row r="9470" spans="1:24">
      <c r="A9470">
        <f>HYPERLINK("https://www.philgeps.gov.ph/GEPSNONPILOT/Tender/SplashBidNoticeAbstractUI.aspx?menuIndex=3&amp;refID=7070562&amp;Result=3","7070562")</f>
        <v>0</v>
      </c>
      <c r="B9470" t="s">
        <v>2468</v>
      </c>
      <c r="C9470" t="s">
        <v>12437</v>
      </c>
      <c r="D9470" t="s">
        <v>17458</v>
      </c>
      <c r="E9470" t="s">
        <v>25597</v>
      </c>
      <c r="F9470" t="s">
        <v>30052</v>
      </c>
      <c r="G9470" t="s">
        <v>30059</v>
      </c>
      <c r="H9470" t="s">
        <v>15498</v>
      </c>
      <c r="I9470" t="s">
        <v>6691</v>
      </c>
      <c r="J9470" t="s">
        <v>35975</v>
      </c>
      <c r="K9470" t="s">
        <v>39025</v>
      </c>
      <c r="M9470" t="s">
        <v>41968</v>
      </c>
      <c r="N9470" t="s">
        <v>43166</v>
      </c>
      <c r="O9470" t="s">
        <v>43167</v>
      </c>
      <c r="P9470">
        <v>0</v>
      </c>
      <c r="Q9470">
        <v>1</v>
      </c>
      <c r="R9470" t="s">
        <v>43177</v>
      </c>
      <c r="S9470" t="s">
        <v>43494</v>
      </c>
      <c r="T9470" t="s">
        <v>44822</v>
      </c>
      <c r="U9470" t="s">
        <v>51712</v>
      </c>
      <c r="W9470" t="s">
        <v>41968</v>
      </c>
      <c r="X9470" t="s">
        <v>43178</v>
      </c>
    </row>
    <row r="9471" spans="1:24">
      <c r="A9471">
        <f>HYPERLINK("https://www.philgeps.gov.ph/GEPSNONPILOT/Tender/SplashBidNoticeAbstractUI.aspx?menuIndex=3&amp;refID=7070530&amp;Result=3","7070530")</f>
        <v>0</v>
      </c>
      <c r="B9471" t="s">
        <v>2784</v>
      </c>
      <c r="C9471" t="s">
        <v>12440</v>
      </c>
      <c r="D9471" t="s">
        <v>17459</v>
      </c>
      <c r="E9471" t="s">
        <v>17937</v>
      </c>
      <c r="F9471" t="s">
        <v>30052</v>
      </c>
      <c r="G9471" t="s">
        <v>30058</v>
      </c>
      <c r="H9471" t="s">
        <v>30067</v>
      </c>
      <c r="I9471" t="s">
        <v>3693</v>
      </c>
      <c r="J9471" t="s">
        <v>35978</v>
      </c>
      <c r="K9471" t="s">
        <v>39071</v>
      </c>
      <c r="M9471" t="s">
        <v>42324</v>
      </c>
      <c r="N9471" t="s">
        <v>43166</v>
      </c>
      <c r="O9471" t="s">
        <v>43167</v>
      </c>
      <c r="P9471">
        <v>0</v>
      </c>
      <c r="Q9471">
        <v>0</v>
      </c>
      <c r="R9471" t="s">
        <v>43177</v>
      </c>
      <c r="S9471" t="s">
        <v>43494</v>
      </c>
      <c r="T9471" t="s">
        <v>45004</v>
      </c>
      <c r="U9471" t="s">
        <v>52804</v>
      </c>
      <c r="V9471" t="s">
        <v>57859</v>
      </c>
      <c r="W9471" t="s">
        <v>42324</v>
      </c>
      <c r="X9471" t="s">
        <v>43178</v>
      </c>
    </row>
    <row r="9472" spans="1:24">
      <c r="A9472">
        <f>HYPERLINK("https://www.philgeps.gov.ph/GEPSNONPILOT/Tender/SplashBidNoticeAbstractUI.aspx?menuIndex=3&amp;refID=7070279&amp;Result=3","7070279")</f>
        <v>0</v>
      </c>
      <c r="B9472" t="s">
        <v>2785</v>
      </c>
      <c r="C9472" t="s">
        <v>12441</v>
      </c>
      <c r="D9472" t="s">
        <v>17413</v>
      </c>
      <c r="E9472" t="s">
        <v>25598</v>
      </c>
      <c r="F9472" t="s">
        <v>30052</v>
      </c>
      <c r="G9472" t="s">
        <v>30058</v>
      </c>
      <c r="H9472" t="s">
        <v>15498</v>
      </c>
      <c r="I9472" t="s">
        <v>30074</v>
      </c>
      <c r="J9472" t="s">
        <v>30292</v>
      </c>
      <c r="K9472" t="s">
        <v>39017</v>
      </c>
      <c r="M9472" t="s">
        <v>42325</v>
      </c>
      <c r="N9472" t="s">
        <v>43166</v>
      </c>
      <c r="O9472" t="s">
        <v>43167</v>
      </c>
      <c r="P9472">
        <v>0</v>
      </c>
      <c r="Q9472">
        <v>2</v>
      </c>
      <c r="R9472" t="s">
        <v>43177</v>
      </c>
      <c r="S9472" t="s">
        <v>43494</v>
      </c>
      <c r="T9472" t="s">
        <v>44781</v>
      </c>
      <c r="U9472" t="s">
        <v>52805</v>
      </c>
      <c r="W9472" t="s">
        <v>42325</v>
      </c>
      <c r="X9472" t="s">
        <v>43178</v>
      </c>
    </row>
    <row r="9473" spans="1:24">
      <c r="A9473">
        <f>HYPERLINK("https://www.philgeps.gov.ph/GEPSNONPILOT/Tender/SplashBidNoticeAbstractUI.aspx?menuIndex=3&amp;refID=7070578&amp;Result=3","7070578")</f>
        <v>0</v>
      </c>
      <c r="B9473" t="s">
        <v>723</v>
      </c>
      <c r="C9473" t="s">
        <v>12442</v>
      </c>
      <c r="D9473" t="s">
        <v>17459</v>
      </c>
      <c r="E9473" t="s">
        <v>25599</v>
      </c>
      <c r="F9473" t="s">
        <v>30052</v>
      </c>
      <c r="G9473" t="s">
        <v>30058</v>
      </c>
      <c r="H9473" t="s">
        <v>15498</v>
      </c>
      <c r="I9473" t="s">
        <v>4598</v>
      </c>
      <c r="J9473" t="s">
        <v>31189</v>
      </c>
      <c r="K9473" t="s">
        <v>39029</v>
      </c>
      <c r="M9473" t="s">
        <v>40034</v>
      </c>
      <c r="N9473" t="s">
        <v>43166</v>
      </c>
      <c r="O9473" t="s">
        <v>43167</v>
      </c>
      <c r="P9473">
        <v>0</v>
      </c>
      <c r="Q9473">
        <v>3</v>
      </c>
      <c r="R9473" t="s">
        <v>43177</v>
      </c>
      <c r="S9473" t="s">
        <v>43494</v>
      </c>
      <c r="T9473" t="s">
        <v>44815</v>
      </c>
      <c r="U9473" t="s">
        <v>52806</v>
      </c>
      <c r="W9473" t="s">
        <v>40034</v>
      </c>
      <c r="X9473" t="s">
        <v>43178</v>
      </c>
    </row>
    <row r="9474" spans="1:24">
      <c r="A9474">
        <f>HYPERLINK("https://www.philgeps.gov.ph/GEPSNONPILOT/Tender/SplashBidNoticeAbstractUI.aspx?menuIndex=3&amp;refID=7070614&amp;Result=3","7070614")</f>
        <v>0</v>
      </c>
      <c r="B9474" t="s">
        <v>1327</v>
      </c>
      <c r="C9474" t="s">
        <v>12443</v>
      </c>
      <c r="D9474" t="s">
        <v>17430</v>
      </c>
      <c r="E9474" t="s">
        <v>18594</v>
      </c>
      <c r="F9474" t="s">
        <v>30052</v>
      </c>
      <c r="G9474" t="s">
        <v>30059</v>
      </c>
      <c r="H9474" t="s">
        <v>15498</v>
      </c>
      <c r="I9474" t="s">
        <v>30070</v>
      </c>
      <c r="J9474" t="s">
        <v>35979</v>
      </c>
      <c r="K9474" t="s">
        <v>39029</v>
      </c>
      <c r="M9474" t="s">
        <v>40694</v>
      </c>
      <c r="N9474" t="s">
        <v>43166</v>
      </c>
      <c r="O9474" t="s">
        <v>43167</v>
      </c>
      <c r="P9474">
        <v>0</v>
      </c>
      <c r="Q9474">
        <v>0</v>
      </c>
      <c r="R9474" t="s">
        <v>43177</v>
      </c>
      <c r="S9474" t="s">
        <v>43494</v>
      </c>
      <c r="T9474" t="s">
        <v>44685</v>
      </c>
      <c r="U9474" t="s">
        <v>45217</v>
      </c>
      <c r="V9474" t="s">
        <v>57852</v>
      </c>
      <c r="W9474" t="s">
        <v>40694</v>
      </c>
      <c r="X9474" t="s">
        <v>43178</v>
      </c>
    </row>
    <row r="9475" spans="1:24">
      <c r="A9475">
        <f>HYPERLINK("https://www.philgeps.gov.ph/GEPSNONPILOT/Tender/SplashBidNoticeAbstractUI.aspx?menuIndex=3&amp;refID=7070491&amp;Result=3","7070491")</f>
        <v>0</v>
      </c>
      <c r="B9475" t="s">
        <v>2786</v>
      </c>
      <c r="C9475" t="s">
        <v>12444</v>
      </c>
      <c r="D9475" t="s">
        <v>17470</v>
      </c>
      <c r="E9475" t="s">
        <v>25600</v>
      </c>
      <c r="F9475" t="s">
        <v>30052</v>
      </c>
      <c r="G9475" t="s">
        <v>30058</v>
      </c>
      <c r="H9475" t="s">
        <v>15498</v>
      </c>
      <c r="I9475" t="s">
        <v>30087</v>
      </c>
      <c r="J9475" t="s">
        <v>35980</v>
      </c>
      <c r="K9475" t="s">
        <v>39019</v>
      </c>
      <c r="M9475" t="s">
        <v>42326</v>
      </c>
      <c r="N9475" t="s">
        <v>43166</v>
      </c>
      <c r="O9475" t="s">
        <v>43167</v>
      </c>
      <c r="P9475">
        <v>0</v>
      </c>
      <c r="Q9475">
        <v>2</v>
      </c>
      <c r="R9475" t="s">
        <v>43177</v>
      </c>
      <c r="S9475" t="s">
        <v>43494</v>
      </c>
      <c r="T9475" t="s">
        <v>44873</v>
      </c>
      <c r="U9475" t="s">
        <v>52807</v>
      </c>
      <c r="W9475" t="s">
        <v>42326</v>
      </c>
      <c r="X9475" t="s">
        <v>43178</v>
      </c>
    </row>
    <row r="9476" spans="1:24">
      <c r="A9476">
        <f>HYPERLINK("https://www.philgeps.gov.ph/GEPSNONPILOT/Tender/SplashBidNoticeAbstractUI.aspx?menuIndex=3&amp;refID=7070453&amp;Result=3","7070453")</f>
        <v>0</v>
      </c>
      <c r="B9476" t="s">
        <v>723</v>
      </c>
      <c r="C9476" t="s">
        <v>12445</v>
      </c>
      <c r="D9476" t="s">
        <v>17459</v>
      </c>
      <c r="E9476" t="s">
        <v>25601</v>
      </c>
      <c r="F9476" t="s">
        <v>30052</v>
      </c>
      <c r="G9476" t="s">
        <v>30058</v>
      </c>
      <c r="H9476" t="s">
        <v>15498</v>
      </c>
      <c r="I9476" t="s">
        <v>3852</v>
      </c>
      <c r="J9476" t="s">
        <v>35981</v>
      </c>
      <c r="K9476" t="s">
        <v>39034</v>
      </c>
      <c r="M9476" t="s">
        <v>40034</v>
      </c>
      <c r="N9476" t="s">
        <v>43166</v>
      </c>
      <c r="O9476" t="s">
        <v>43167</v>
      </c>
      <c r="P9476">
        <v>0</v>
      </c>
      <c r="Q9476">
        <v>0</v>
      </c>
      <c r="R9476" t="s">
        <v>43177</v>
      </c>
      <c r="S9476" t="s">
        <v>43494</v>
      </c>
      <c r="T9476" t="s">
        <v>44815</v>
      </c>
      <c r="U9476" t="s">
        <v>52808</v>
      </c>
      <c r="W9476" t="s">
        <v>40034</v>
      </c>
      <c r="X9476" t="s">
        <v>43178</v>
      </c>
    </row>
    <row r="9477" spans="1:24">
      <c r="A9477">
        <f>HYPERLINK("https://www.philgeps.gov.ph/GEPSNONPILOT/Tender/SplashBidNoticeAbstractUI.aspx?menuIndex=3&amp;refID=7043161-2&amp;Result=3","7043161-2")</f>
        <v>0</v>
      </c>
      <c r="B9477" t="s">
        <v>919</v>
      </c>
      <c r="C9477" t="s">
        <v>12446</v>
      </c>
      <c r="E9477" t="s">
        <v>25602</v>
      </c>
      <c r="F9477" t="s">
        <v>30052</v>
      </c>
      <c r="G9477" t="s">
        <v>30058</v>
      </c>
      <c r="H9477" t="s">
        <v>30068</v>
      </c>
      <c r="I9477" t="s">
        <v>30068</v>
      </c>
      <c r="J9477" t="s">
        <v>35752</v>
      </c>
      <c r="K9477" t="s">
        <v>39025</v>
      </c>
      <c r="M9477" t="s">
        <v>40242</v>
      </c>
      <c r="N9477" t="s">
        <v>43166</v>
      </c>
      <c r="O9477" t="s">
        <v>43167</v>
      </c>
      <c r="P9477">
        <v>0</v>
      </c>
      <c r="Q9477">
        <v>1</v>
      </c>
      <c r="R9477" t="s">
        <v>43177</v>
      </c>
      <c r="S9477" t="s">
        <v>43494</v>
      </c>
      <c r="T9477" t="s">
        <v>44681</v>
      </c>
      <c r="U9477" t="s">
        <v>52797</v>
      </c>
      <c r="V9477" t="s">
        <v>57860</v>
      </c>
      <c r="W9477" t="s">
        <v>43101</v>
      </c>
      <c r="X9477" t="s">
        <v>43178</v>
      </c>
    </row>
    <row r="9478" spans="1:24">
      <c r="A9478">
        <f>HYPERLINK("https://www.philgeps.gov.ph/GEPSNONPILOT/Tender/SplashBidNoticeAbstractUI.aspx?menuIndex=3&amp;refID=7070277&amp;Result=3","7070277")</f>
        <v>0</v>
      </c>
      <c r="B9478" t="s">
        <v>2787</v>
      </c>
      <c r="C9478" t="s">
        <v>12441</v>
      </c>
      <c r="D9478" t="s">
        <v>17413</v>
      </c>
      <c r="E9478" t="s">
        <v>25598</v>
      </c>
      <c r="F9478" t="s">
        <v>30052</v>
      </c>
      <c r="G9478" t="s">
        <v>30058</v>
      </c>
      <c r="H9478" t="s">
        <v>15498</v>
      </c>
      <c r="I9478" t="s">
        <v>30074</v>
      </c>
      <c r="J9478" t="s">
        <v>30292</v>
      </c>
      <c r="K9478" t="s">
        <v>39017</v>
      </c>
      <c r="M9478" t="s">
        <v>42327</v>
      </c>
      <c r="N9478" t="s">
        <v>43166</v>
      </c>
      <c r="O9478" t="s">
        <v>43167</v>
      </c>
      <c r="P9478">
        <v>0</v>
      </c>
      <c r="Q9478">
        <v>3</v>
      </c>
      <c r="R9478" t="s">
        <v>43177</v>
      </c>
      <c r="S9478" t="s">
        <v>43494</v>
      </c>
      <c r="T9478" t="s">
        <v>44926</v>
      </c>
      <c r="U9478" t="s">
        <v>52809</v>
      </c>
      <c r="W9478" t="s">
        <v>42327</v>
      </c>
      <c r="X9478" t="s">
        <v>43178</v>
      </c>
    </row>
    <row r="9479" spans="1:24">
      <c r="A9479">
        <f>HYPERLINK("https://www.philgeps.gov.ph/GEPSNONPILOT/Tender/SplashBidNoticeAbstractUI.aspx?menuIndex=3&amp;refID=7070503&amp;Result=3","7070503")</f>
        <v>0</v>
      </c>
      <c r="B9479" t="s">
        <v>1730</v>
      </c>
      <c r="C9479" t="s">
        <v>12447</v>
      </c>
      <c r="D9479" t="s">
        <v>17423</v>
      </c>
      <c r="E9479" t="s">
        <v>25603</v>
      </c>
      <c r="F9479" t="s">
        <v>30052</v>
      </c>
      <c r="G9479" t="s">
        <v>30058</v>
      </c>
      <c r="H9479" t="s">
        <v>30067</v>
      </c>
      <c r="I9479" t="s">
        <v>3693</v>
      </c>
      <c r="J9479" t="s">
        <v>35982</v>
      </c>
      <c r="K9479" t="s">
        <v>39052</v>
      </c>
      <c r="M9479" t="s">
        <v>42228</v>
      </c>
      <c r="N9479" t="s">
        <v>43166</v>
      </c>
      <c r="O9479" t="s">
        <v>43167</v>
      </c>
      <c r="P9479">
        <v>0</v>
      </c>
      <c r="Q9479">
        <v>0</v>
      </c>
      <c r="R9479" t="s">
        <v>43177</v>
      </c>
      <c r="S9479" t="s">
        <v>43494</v>
      </c>
      <c r="T9479" t="s">
        <v>44696</v>
      </c>
      <c r="U9479" t="s">
        <v>52810</v>
      </c>
      <c r="V9479" t="s">
        <v>57861</v>
      </c>
      <c r="W9479" t="s">
        <v>42228</v>
      </c>
      <c r="X9479" t="s">
        <v>43178</v>
      </c>
    </row>
    <row r="9480" spans="1:24">
      <c r="A9480">
        <f>HYPERLINK("https://www.philgeps.gov.ph/GEPSNONPILOT/Tender/SplashBidNoticeAbstractUI.aspx?menuIndex=3&amp;refID=7070663&amp;Result=3","7070663")</f>
        <v>0</v>
      </c>
      <c r="B9480" t="s">
        <v>723</v>
      </c>
      <c r="C9480" t="s">
        <v>5044</v>
      </c>
      <c r="D9480" t="s">
        <v>17459</v>
      </c>
      <c r="E9480" t="s">
        <v>25604</v>
      </c>
      <c r="F9480" t="s">
        <v>30052</v>
      </c>
      <c r="G9480" t="s">
        <v>30058</v>
      </c>
      <c r="H9480" t="s">
        <v>15498</v>
      </c>
      <c r="I9480" t="s">
        <v>30070</v>
      </c>
      <c r="J9480" t="s">
        <v>35983</v>
      </c>
      <c r="K9480" t="s">
        <v>39034</v>
      </c>
      <c r="M9480" t="s">
        <v>40034</v>
      </c>
      <c r="N9480" t="s">
        <v>43166</v>
      </c>
      <c r="O9480" t="s">
        <v>43167</v>
      </c>
      <c r="P9480">
        <v>0</v>
      </c>
      <c r="Q9480">
        <v>1</v>
      </c>
      <c r="R9480" t="s">
        <v>43177</v>
      </c>
      <c r="S9480" t="s">
        <v>43494</v>
      </c>
      <c r="T9480" t="s">
        <v>44815</v>
      </c>
      <c r="U9480" t="s">
        <v>52811</v>
      </c>
      <c r="W9480" t="s">
        <v>40034</v>
      </c>
      <c r="X9480" t="s">
        <v>43178</v>
      </c>
    </row>
    <row r="9481" spans="1:24">
      <c r="A9481">
        <f>HYPERLINK("https://www.philgeps.gov.ph/GEPSNONPILOT/Tender/SplashBidNoticeAbstractUI.aspx?menuIndex=3&amp;refID=7070857&amp;Result=3","7070857")</f>
        <v>0</v>
      </c>
      <c r="B9481" t="s">
        <v>2788</v>
      </c>
      <c r="C9481" t="s">
        <v>12448</v>
      </c>
      <c r="D9481" t="s">
        <v>17421</v>
      </c>
      <c r="E9481" t="s">
        <v>25605</v>
      </c>
      <c r="F9481" t="s">
        <v>30052</v>
      </c>
      <c r="G9481" t="s">
        <v>30058</v>
      </c>
      <c r="H9481" t="s">
        <v>15498</v>
      </c>
      <c r="I9481" t="s">
        <v>3736</v>
      </c>
      <c r="J9481" t="s">
        <v>35984</v>
      </c>
      <c r="K9481" t="s">
        <v>39034</v>
      </c>
      <c r="L9481" t="s">
        <v>2788</v>
      </c>
      <c r="M9481" t="s">
        <v>42328</v>
      </c>
      <c r="N9481" t="s">
        <v>43166</v>
      </c>
      <c r="O9481" t="s">
        <v>43167</v>
      </c>
      <c r="P9481">
        <v>0</v>
      </c>
      <c r="Q9481">
        <v>0</v>
      </c>
      <c r="R9481" t="s">
        <v>43177</v>
      </c>
      <c r="S9481" t="s">
        <v>43494</v>
      </c>
      <c r="T9481" t="s">
        <v>44724</v>
      </c>
      <c r="U9481" t="s">
        <v>52812</v>
      </c>
      <c r="W9481" t="s">
        <v>42328</v>
      </c>
      <c r="X9481" t="s">
        <v>43178</v>
      </c>
    </row>
    <row r="9482" spans="1:24">
      <c r="A9482">
        <f>HYPERLINK("https://www.philgeps.gov.ph/GEPSNONPILOT/Tender/SplashBidNoticeAbstractUI.aspx?menuIndex=3&amp;refID=7070837&amp;Result=3","7070837")</f>
        <v>0</v>
      </c>
      <c r="B9482" t="s">
        <v>2789</v>
      </c>
      <c r="C9482" t="s">
        <v>12449</v>
      </c>
      <c r="D9482" t="s">
        <v>17449</v>
      </c>
      <c r="E9482" t="s">
        <v>21791</v>
      </c>
      <c r="F9482" t="s">
        <v>30052</v>
      </c>
      <c r="G9482" t="s">
        <v>30058</v>
      </c>
      <c r="H9482" t="s">
        <v>30067</v>
      </c>
      <c r="I9482" t="s">
        <v>30106</v>
      </c>
      <c r="J9482" t="s">
        <v>30321</v>
      </c>
      <c r="K9482" t="s">
        <v>39026</v>
      </c>
      <c r="M9482" t="s">
        <v>42329</v>
      </c>
      <c r="N9482" t="s">
        <v>43166</v>
      </c>
      <c r="O9482" t="s">
        <v>43167</v>
      </c>
      <c r="P9482">
        <v>0</v>
      </c>
      <c r="Q9482">
        <v>4</v>
      </c>
      <c r="R9482" t="s">
        <v>43177</v>
      </c>
      <c r="S9482" t="s">
        <v>43494</v>
      </c>
      <c r="T9482" t="s">
        <v>44830</v>
      </c>
      <c r="U9482" t="s">
        <v>52813</v>
      </c>
      <c r="V9482" t="s">
        <v>57862</v>
      </c>
      <c r="W9482" t="s">
        <v>42329</v>
      </c>
      <c r="X9482" t="s">
        <v>43178</v>
      </c>
    </row>
    <row r="9483" spans="1:24">
      <c r="A9483">
        <f>HYPERLINK("https://www.philgeps.gov.ph/GEPSNONPILOT/Tender/SplashBidNoticeAbstractUI.aspx?menuIndex=3&amp;refID=7070505&amp;Result=3","7070505")</f>
        <v>0</v>
      </c>
      <c r="B9483" t="s">
        <v>1248</v>
      </c>
      <c r="C9483" t="s">
        <v>12450</v>
      </c>
      <c r="D9483" t="s">
        <v>17469</v>
      </c>
      <c r="E9483" t="s">
        <v>25606</v>
      </c>
      <c r="F9483" t="s">
        <v>30052</v>
      </c>
      <c r="G9483" t="s">
        <v>30061</v>
      </c>
      <c r="H9483" t="s">
        <v>15498</v>
      </c>
      <c r="I9483" t="s">
        <v>30070</v>
      </c>
      <c r="J9483" t="s">
        <v>35985</v>
      </c>
      <c r="K9483" t="s">
        <v>39019</v>
      </c>
      <c r="M9483" t="s">
        <v>40604</v>
      </c>
      <c r="N9483" t="s">
        <v>43166</v>
      </c>
      <c r="O9483" t="s">
        <v>43167</v>
      </c>
      <c r="P9483">
        <v>0</v>
      </c>
      <c r="Q9483">
        <v>10</v>
      </c>
      <c r="R9483" t="s">
        <v>43177</v>
      </c>
      <c r="S9483" t="s">
        <v>43494</v>
      </c>
      <c r="T9483" t="s">
        <v>44710</v>
      </c>
      <c r="U9483" t="s">
        <v>52814</v>
      </c>
      <c r="W9483" t="s">
        <v>40604</v>
      </c>
      <c r="X9483" t="s">
        <v>43178</v>
      </c>
    </row>
    <row r="9484" spans="1:24">
      <c r="A9484">
        <f>HYPERLINK("https://www.philgeps.gov.ph/GEPSNONPILOT/Tender/SplashBidNoticeAbstractUI.aspx?menuIndex=3&amp;refID=6941585-2&amp;Result=3","6941585-2")</f>
        <v>0</v>
      </c>
      <c r="B9484" t="s">
        <v>919</v>
      </c>
      <c r="C9484" t="s">
        <v>12451</v>
      </c>
      <c r="E9484" t="s">
        <v>25607</v>
      </c>
      <c r="F9484" t="s">
        <v>30052</v>
      </c>
      <c r="G9484" t="s">
        <v>30058</v>
      </c>
      <c r="H9484" t="s">
        <v>30068</v>
      </c>
      <c r="I9484" t="s">
        <v>3693</v>
      </c>
      <c r="J9484" t="s">
        <v>35986</v>
      </c>
      <c r="K9484" t="s">
        <v>39025</v>
      </c>
      <c r="M9484" t="s">
        <v>40242</v>
      </c>
      <c r="N9484" t="s">
        <v>43166</v>
      </c>
      <c r="O9484" t="s">
        <v>43167</v>
      </c>
      <c r="P9484">
        <v>0</v>
      </c>
      <c r="Q9484">
        <v>2</v>
      </c>
      <c r="R9484" t="s">
        <v>43177</v>
      </c>
      <c r="S9484" t="s">
        <v>43494</v>
      </c>
      <c r="T9484" t="s">
        <v>44681</v>
      </c>
      <c r="U9484" t="s">
        <v>52815</v>
      </c>
      <c r="V9484" t="s">
        <v>57863</v>
      </c>
      <c r="W9484" t="s">
        <v>43101</v>
      </c>
      <c r="X9484" t="s">
        <v>43178</v>
      </c>
    </row>
    <row r="9485" spans="1:24">
      <c r="A9485">
        <f>HYPERLINK("https://www.philgeps.gov.ph/GEPSNONPILOT/Tender/SplashBidNoticeAbstractUI.aspx?menuIndex=3&amp;refID=7070806&amp;Result=3","7070806")</f>
        <v>0</v>
      </c>
      <c r="B9485" t="s">
        <v>841</v>
      </c>
      <c r="C9485" t="s">
        <v>12452</v>
      </c>
      <c r="D9485" t="s">
        <v>17456</v>
      </c>
      <c r="E9485" t="s">
        <v>25608</v>
      </c>
      <c r="F9485" t="s">
        <v>30052</v>
      </c>
      <c r="G9485" t="s">
        <v>30058</v>
      </c>
      <c r="H9485" t="s">
        <v>15498</v>
      </c>
      <c r="I9485" t="s">
        <v>30074</v>
      </c>
      <c r="J9485" t="s">
        <v>30252</v>
      </c>
      <c r="K9485" t="s">
        <v>39046</v>
      </c>
      <c r="M9485" t="s">
        <v>40158</v>
      </c>
      <c r="N9485" t="s">
        <v>43166</v>
      </c>
      <c r="O9485" t="s">
        <v>43167</v>
      </c>
      <c r="P9485">
        <v>0</v>
      </c>
      <c r="Q9485">
        <v>3</v>
      </c>
      <c r="R9485" t="s">
        <v>43177</v>
      </c>
      <c r="S9485" t="s">
        <v>43494</v>
      </c>
      <c r="T9485" t="s">
        <v>44803</v>
      </c>
      <c r="U9485" t="s">
        <v>52816</v>
      </c>
      <c r="W9485" t="s">
        <v>40158</v>
      </c>
      <c r="X9485" t="s">
        <v>43178</v>
      </c>
    </row>
    <row r="9486" spans="1:24">
      <c r="A9486">
        <f>HYPERLINK("https://www.philgeps.gov.ph/GEPSNONPILOT/Tender/SplashBidNoticeAbstractUI.aspx?menuIndex=3&amp;refID=7070469&amp;Result=3","7070469")</f>
        <v>0</v>
      </c>
      <c r="B9486" t="s">
        <v>1791</v>
      </c>
      <c r="C9486" t="s">
        <v>12453</v>
      </c>
      <c r="D9486" t="s">
        <v>17424</v>
      </c>
      <c r="E9486" t="s">
        <v>25609</v>
      </c>
      <c r="F9486" t="s">
        <v>30052</v>
      </c>
      <c r="G9486" t="s">
        <v>30058</v>
      </c>
      <c r="H9486" t="s">
        <v>30067</v>
      </c>
      <c r="I9486" t="s">
        <v>30106</v>
      </c>
      <c r="J9486" t="s">
        <v>35987</v>
      </c>
      <c r="K9486" t="s">
        <v>39031</v>
      </c>
      <c r="M9486" t="s">
        <v>41213</v>
      </c>
      <c r="N9486" t="s">
        <v>43166</v>
      </c>
      <c r="O9486" t="s">
        <v>43167</v>
      </c>
      <c r="P9486">
        <v>0</v>
      </c>
      <c r="Q9486">
        <v>5</v>
      </c>
      <c r="R9486" t="s">
        <v>43177</v>
      </c>
      <c r="S9486" t="s">
        <v>43494</v>
      </c>
      <c r="T9486" t="s">
        <v>44993</v>
      </c>
      <c r="U9486" t="s">
        <v>52817</v>
      </c>
      <c r="W9486" t="s">
        <v>41213</v>
      </c>
      <c r="X9486" t="s">
        <v>43178</v>
      </c>
    </row>
    <row r="9487" spans="1:24">
      <c r="A9487">
        <f>HYPERLINK("https://www.philgeps.gov.ph/GEPSNONPILOT/Tender/SplashBidNoticeAbstractUI.aspx?menuIndex=3&amp;refID=7070818&amp;Result=3","7070818")</f>
        <v>0</v>
      </c>
      <c r="B9487" t="s">
        <v>2790</v>
      </c>
      <c r="C9487" t="s">
        <v>12454</v>
      </c>
      <c r="D9487" t="s">
        <v>17466</v>
      </c>
      <c r="E9487" t="s">
        <v>25610</v>
      </c>
      <c r="F9487" t="s">
        <v>30052</v>
      </c>
      <c r="G9487" t="s">
        <v>30058</v>
      </c>
      <c r="H9487" t="s">
        <v>30067</v>
      </c>
      <c r="I9487" t="s">
        <v>3693</v>
      </c>
      <c r="J9487" t="s">
        <v>34891</v>
      </c>
      <c r="K9487" t="s">
        <v>39026</v>
      </c>
      <c r="M9487" t="s">
        <v>42330</v>
      </c>
      <c r="N9487" t="s">
        <v>43166</v>
      </c>
      <c r="O9487" t="s">
        <v>43167</v>
      </c>
      <c r="P9487">
        <v>0</v>
      </c>
      <c r="Q9487">
        <v>0</v>
      </c>
      <c r="R9487" t="s">
        <v>43177</v>
      </c>
      <c r="S9487" t="s">
        <v>43494</v>
      </c>
      <c r="T9487" t="s">
        <v>44708</v>
      </c>
      <c r="U9487" t="s">
        <v>52818</v>
      </c>
      <c r="W9487" t="s">
        <v>42330</v>
      </c>
      <c r="X9487" t="s">
        <v>43178</v>
      </c>
    </row>
    <row r="9488" spans="1:24">
      <c r="A9488">
        <f>HYPERLINK("https://www.philgeps.gov.ph/GEPSNONPILOT/Tender/SplashBidNoticeAbstractUI.aspx?menuIndex=3&amp;refID=7070553&amp;Result=3","7070553")</f>
        <v>0</v>
      </c>
      <c r="B9488" t="s">
        <v>2320</v>
      </c>
      <c r="C9488" t="s">
        <v>12455</v>
      </c>
      <c r="D9488" t="s">
        <v>17462</v>
      </c>
      <c r="E9488" t="s">
        <v>25611</v>
      </c>
      <c r="F9488" t="s">
        <v>30052</v>
      </c>
      <c r="G9488" t="s">
        <v>30058</v>
      </c>
      <c r="H9488" t="s">
        <v>30067</v>
      </c>
      <c r="I9488" t="s">
        <v>3693</v>
      </c>
      <c r="J9488" t="s">
        <v>30247</v>
      </c>
      <c r="K9488" t="s">
        <v>39023</v>
      </c>
      <c r="M9488" t="s">
        <v>41819</v>
      </c>
      <c r="N9488" t="s">
        <v>43166</v>
      </c>
      <c r="O9488" t="s">
        <v>43167</v>
      </c>
      <c r="P9488">
        <v>0</v>
      </c>
      <c r="Q9488">
        <v>19</v>
      </c>
      <c r="R9488" t="s">
        <v>43177</v>
      </c>
      <c r="S9488" t="s">
        <v>43494</v>
      </c>
      <c r="T9488" t="s">
        <v>44711</v>
      </c>
      <c r="U9488" t="s">
        <v>52800</v>
      </c>
      <c r="V9488" t="s">
        <v>57857</v>
      </c>
      <c r="W9488" t="s">
        <v>58688</v>
      </c>
      <c r="X9488" t="s">
        <v>43178</v>
      </c>
    </row>
    <row r="9489" spans="1:24">
      <c r="A9489">
        <f>HYPERLINK("https://www.philgeps.gov.ph/GEPSNONPILOT/Tender/SplashBidNoticeAbstractUI.aspx?menuIndex=3&amp;refID=7070788&amp;Result=3","7070788")</f>
        <v>0</v>
      </c>
      <c r="B9489" t="s">
        <v>2791</v>
      </c>
      <c r="C9489" t="s">
        <v>12456</v>
      </c>
      <c r="D9489" t="s">
        <v>17417</v>
      </c>
      <c r="E9489" t="s">
        <v>17892</v>
      </c>
      <c r="F9489" t="s">
        <v>30052</v>
      </c>
      <c r="G9489" t="s">
        <v>30058</v>
      </c>
      <c r="H9489" t="s">
        <v>30067</v>
      </c>
      <c r="I9489" t="s">
        <v>3693</v>
      </c>
      <c r="J9489" t="s">
        <v>30277</v>
      </c>
      <c r="K9489" t="s">
        <v>39029</v>
      </c>
      <c r="M9489" t="s">
        <v>42331</v>
      </c>
      <c r="N9489" t="s">
        <v>43166</v>
      </c>
      <c r="O9489" t="s">
        <v>43167</v>
      </c>
      <c r="P9489">
        <v>0</v>
      </c>
      <c r="Q9489">
        <v>2</v>
      </c>
      <c r="R9489" t="s">
        <v>43177</v>
      </c>
      <c r="S9489" t="s">
        <v>43494</v>
      </c>
      <c r="T9489" t="s">
        <v>45008</v>
      </c>
      <c r="U9489" t="s">
        <v>52819</v>
      </c>
      <c r="W9489" t="s">
        <v>42331</v>
      </c>
      <c r="X9489" t="s">
        <v>43178</v>
      </c>
    </row>
    <row r="9490" spans="1:24">
      <c r="A9490">
        <f>HYPERLINK("https://www.philgeps.gov.ph/GEPSNONPILOT/Tender/SplashBidNoticeAbstractUI.aspx?menuIndex=3&amp;refID=7070799&amp;Result=3","7070799")</f>
        <v>0</v>
      </c>
      <c r="B9490" t="s">
        <v>2792</v>
      </c>
      <c r="C9490" t="s">
        <v>7909</v>
      </c>
      <c r="D9490" t="s">
        <v>17445</v>
      </c>
      <c r="E9490" t="s">
        <v>25612</v>
      </c>
      <c r="F9490" t="s">
        <v>30052</v>
      </c>
      <c r="G9490" t="s">
        <v>30058</v>
      </c>
      <c r="H9490" t="s">
        <v>30067</v>
      </c>
      <c r="I9490" t="s">
        <v>3693</v>
      </c>
      <c r="J9490" t="s">
        <v>35988</v>
      </c>
      <c r="K9490" t="s">
        <v>39046</v>
      </c>
      <c r="M9490" t="s">
        <v>42332</v>
      </c>
      <c r="N9490" t="s">
        <v>43166</v>
      </c>
      <c r="O9490" t="s">
        <v>43167</v>
      </c>
      <c r="P9490">
        <v>0</v>
      </c>
      <c r="Q9490">
        <v>0</v>
      </c>
      <c r="R9490" t="s">
        <v>43177</v>
      </c>
      <c r="S9490" t="s">
        <v>43494</v>
      </c>
      <c r="T9490" t="s">
        <v>44750</v>
      </c>
      <c r="U9490" t="s">
        <v>52820</v>
      </c>
      <c r="W9490" t="s">
        <v>42332</v>
      </c>
      <c r="X9490" t="s">
        <v>43178</v>
      </c>
    </row>
    <row r="9491" spans="1:24">
      <c r="A9491">
        <f>HYPERLINK("https://www.philgeps.gov.ph/GEPSNONPILOT/Tender/SplashBidNoticeAbstractUI.aspx?menuIndex=3&amp;refID=7070766&amp;Result=3","7070766")</f>
        <v>0</v>
      </c>
      <c r="B9491" t="s">
        <v>1134</v>
      </c>
      <c r="C9491" t="s">
        <v>12457</v>
      </c>
      <c r="D9491" t="s">
        <v>17459</v>
      </c>
      <c r="E9491" t="s">
        <v>25613</v>
      </c>
      <c r="F9491" t="s">
        <v>30052</v>
      </c>
      <c r="G9491" t="s">
        <v>30059</v>
      </c>
      <c r="H9491" t="s">
        <v>30069</v>
      </c>
      <c r="I9491" t="s">
        <v>6691</v>
      </c>
      <c r="J9491" t="s">
        <v>30890</v>
      </c>
      <c r="K9491" t="s">
        <v>39039</v>
      </c>
      <c r="M9491" t="s">
        <v>40477</v>
      </c>
      <c r="N9491" t="s">
        <v>43166</v>
      </c>
      <c r="O9491" t="s">
        <v>43167</v>
      </c>
      <c r="P9491">
        <v>0</v>
      </c>
      <c r="Q9491">
        <v>1</v>
      </c>
      <c r="R9491" t="s">
        <v>43177</v>
      </c>
      <c r="S9491" t="s">
        <v>43494</v>
      </c>
      <c r="T9491" t="s">
        <v>44717</v>
      </c>
      <c r="U9491" t="s">
        <v>52821</v>
      </c>
      <c r="W9491" t="s">
        <v>40477</v>
      </c>
      <c r="X9491" t="s">
        <v>43178</v>
      </c>
    </row>
    <row r="9492" spans="1:24">
      <c r="A9492">
        <f>HYPERLINK("https://www.philgeps.gov.ph/GEPSNONPILOT/Tender/SplashBidNoticeAbstractUI.aspx?menuIndex=3&amp;refID=7070798&amp;Result=3","7070798")</f>
        <v>0</v>
      </c>
      <c r="B9492" t="s">
        <v>2320</v>
      </c>
      <c r="C9492" t="s">
        <v>12458</v>
      </c>
      <c r="D9492" t="s">
        <v>17462</v>
      </c>
      <c r="E9492" t="s">
        <v>25614</v>
      </c>
      <c r="F9492" t="s">
        <v>30052</v>
      </c>
      <c r="G9492" t="s">
        <v>30058</v>
      </c>
      <c r="H9492" t="s">
        <v>30067</v>
      </c>
      <c r="I9492" t="s">
        <v>3693</v>
      </c>
      <c r="J9492" t="s">
        <v>30321</v>
      </c>
      <c r="K9492" t="s">
        <v>39061</v>
      </c>
      <c r="M9492" t="s">
        <v>41807</v>
      </c>
      <c r="N9492" t="s">
        <v>43166</v>
      </c>
      <c r="O9492" t="s">
        <v>43167</v>
      </c>
      <c r="P9492">
        <v>0</v>
      </c>
      <c r="Q9492">
        <v>18</v>
      </c>
      <c r="R9492" t="s">
        <v>43177</v>
      </c>
      <c r="S9492" t="s">
        <v>43494</v>
      </c>
      <c r="T9492" t="s">
        <v>44711</v>
      </c>
      <c r="U9492" t="s">
        <v>52800</v>
      </c>
      <c r="V9492" t="s">
        <v>57857</v>
      </c>
      <c r="W9492" t="s">
        <v>58688</v>
      </c>
      <c r="X9492" t="s">
        <v>43178</v>
      </c>
    </row>
    <row r="9493" spans="1:24">
      <c r="A9493">
        <f>HYPERLINK("https://www.philgeps.gov.ph/GEPSNONPILOT/Tender/SplashBidNoticeAbstractUI.aspx?menuIndex=3&amp;refID=7070740&amp;Result=3","7070740")</f>
        <v>0</v>
      </c>
      <c r="B9493" t="s">
        <v>2793</v>
      </c>
      <c r="C9493" t="s">
        <v>12459</v>
      </c>
      <c r="D9493" t="s">
        <v>17417</v>
      </c>
      <c r="E9493" t="s">
        <v>25615</v>
      </c>
      <c r="F9493" t="s">
        <v>30052</v>
      </c>
      <c r="G9493" t="s">
        <v>30058</v>
      </c>
      <c r="H9493" t="s">
        <v>30067</v>
      </c>
      <c r="I9493" t="s">
        <v>3693</v>
      </c>
      <c r="J9493" t="s">
        <v>30343</v>
      </c>
      <c r="K9493" t="s">
        <v>39026</v>
      </c>
      <c r="M9493" t="s">
        <v>42333</v>
      </c>
      <c r="N9493" t="s">
        <v>43166</v>
      </c>
      <c r="O9493" t="s">
        <v>43167</v>
      </c>
      <c r="P9493">
        <v>0</v>
      </c>
      <c r="Q9493">
        <v>2</v>
      </c>
      <c r="R9493" t="s">
        <v>43177</v>
      </c>
      <c r="S9493" t="s">
        <v>43494</v>
      </c>
      <c r="T9493" t="s">
        <v>45008</v>
      </c>
      <c r="U9493" t="s">
        <v>52822</v>
      </c>
      <c r="W9493" t="s">
        <v>42333</v>
      </c>
      <c r="X9493" t="s">
        <v>43178</v>
      </c>
    </row>
    <row r="9494" spans="1:24">
      <c r="A9494">
        <f>HYPERLINK("https://www.philgeps.gov.ph/GEPSNONPILOT/Tender/SplashBidNoticeAbstractUI.aspx?menuIndex=3&amp;refID=7070752&amp;Result=3","7070752")</f>
        <v>0</v>
      </c>
      <c r="B9494" t="s">
        <v>2468</v>
      </c>
      <c r="C9494" t="s">
        <v>12460</v>
      </c>
      <c r="D9494" t="s">
        <v>17458</v>
      </c>
      <c r="E9494" t="s">
        <v>25616</v>
      </c>
      <c r="F9494" t="s">
        <v>30052</v>
      </c>
      <c r="G9494" t="s">
        <v>30061</v>
      </c>
      <c r="H9494" t="s">
        <v>15498</v>
      </c>
      <c r="I9494" t="s">
        <v>30070</v>
      </c>
      <c r="J9494" t="s">
        <v>35989</v>
      </c>
      <c r="K9494" t="s">
        <v>39025</v>
      </c>
      <c r="M9494" t="s">
        <v>41968</v>
      </c>
      <c r="N9494" t="s">
        <v>43166</v>
      </c>
      <c r="O9494" t="s">
        <v>43167</v>
      </c>
      <c r="P9494">
        <v>0</v>
      </c>
      <c r="Q9494">
        <v>1</v>
      </c>
      <c r="R9494" t="s">
        <v>43177</v>
      </c>
      <c r="S9494" t="s">
        <v>43494</v>
      </c>
      <c r="T9494" t="s">
        <v>44822</v>
      </c>
      <c r="U9494" t="s">
        <v>51712</v>
      </c>
      <c r="W9494" t="s">
        <v>41968</v>
      </c>
      <c r="X9494" t="s">
        <v>43178</v>
      </c>
    </row>
    <row r="9495" spans="1:24">
      <c r="A9495">
        <f>HYPERLINK("https://www.philgeps.gov.ph/GEPSNONPILOT/Tender/SplashBidNoticeAbstractUI.aspx?menuIndex=3&amp;refID=7070718&amp;Result=3","7070718")</f>
        <v>0</v>
      </c>
      <c r="B9495" t="s">
        <v>2320</v>
      </c>
      <c r="C9495" t="s">
        <v>12458</v>
      </c>
      <c r="D9495" t="s">
        <v>17462</v>
      </c>
      <c r="E9495" t="s">
        <v>25617</v>
      </c>
      <c r="F9495" t="s">
        <v>30052</v>
      </c>
      <c r="G9495" t="s">
        <v>30058</v>
      </c>
      <c r="H9495" t="s">
        <v>30067</v>
      </c>
      <c r="I9495" t="s">
        <v>3693</v>
      </c>
      <c r="J9495" t="s">
        <v>31054</v>
      </c>
      <c r="K9495" t="s">
        <v>39031</v>
      </c>
      <c r="M9495" t="s">
        <v>42321</v>
      </c>
      <c r="N9495" t="s">
        <v>43166</v>
      </c>
      <c r="O9495" t="s">
        <v>43167</v>
      </c>
      <c r="P9495">
        <v>0</v>
      </c>
      <c r="Q9495">
        <v>19</v>
      </c>
      <c r="R9495" t="s">
        <v>43177</v>
      </c>
      <c r="S9495" t="s">
        <v>43494</v>
      </c>
      <c r="T9495" t="s">
        <v>44711</v>
      </c>
      <c r="U9495" t="s">
        <v>52800</v>
      </c>
      <c r="V9495" t="s">
        <v>57857</v>
      </c>
      <c r="W9495" t="s">
        <v>58688</v>
      </c>
      <c r="X9495" t="s">
        <v>43178</v>
      </c>
    </row>
    <row r="9496" spans="1:24">
      <c r="A9496">
        <f>HYPERLINK("https://www.philgeps.gov.ph/GEPSNONPILOT/Tender/SplashBidNoticeAbstractUI.aspx?menuIndex=3&amp;refID=7070706&amp;Result=3","7070706")</f>
        <v>0</v>
      </c>
      <c r="B9496" t="s">
        <v>1327</v>
      </c>
      <c r="C9496" t="s">
        <v>12461</v>
      </c>
      <c r="D9496" t="s">
        <v>17430</v>
      </c>
      <c r="E9496" t="s">
        <v>20358</v>
      </c>
      <c r="F9496" t="s">
        <v>30052</v>
      </c>
      <c r="G9496" t="s">
        <v>30059</v>
      </c>
      <c r="H9496" t="s">
        <v>15498</v>
      </c>
      <c r="I9496" t="s">
        <v>30077</v>
      </c>
      <c r="J9496" t="s">
        <v>35990</v>
      </c>
      <c r="K9496" t="s">
        <v>39029</v>
      </c>
      <c r="M9496" t="s">
        <v>40694</v>
      </c>
      <c r="N9496" t="s">
        <v>43166</v>
      </c>
      <c r="O9496" t="s">
        <v>43167</v>
      </c>
      <c r="P9496">
        <v>0</v>
      </c>
      <c r="Q9496">
        <v>2</v>
      </c>
      <c r="R9496" t="s">
        <v>43177</v>
      </c>
      <c r="S9496" t="s">
        <v>43494</v>
      </c>
      <c r="T9496" t="s">
        <v>44685</v>
      </c>
      <c r="U9496" t="s">
        <v>52823</v>
      </c>
      <c r="V9496" t="s">
        <v>57852</v>
      </c>
      <c r="W9496" t="s">
        <v>40694</v>
      </c>
      <c r="X9496" t="s">
        <v>43178</v>
      </c>
    </row>
    <row r="9497" spans="1:24">
      <c r="A9497">
        <f>HYPERLINK("https://www.philgeps.gov.ph/GEPSNONPILOT/Tender/SplashBidNoticeAbstractUI.aspx?menuIndex=3&amp;refID=7070557&amp;Result=3","7070557")</f>
        <v>0</v>
      </c>
      <c r="B9497" t="s">
        <v>2479</v>
      </c>
      <c r="C9497" t="s">
        <v>12462</v>
      </c>
      <c r="D9497" t="s">
        <v>17444</v>
      </c>
      <c r="E9497" t="s">
        <v>25618</v>
      </c>
      <c r="F9497" t="s">
        <v>30052</v>
      </c>
      <c r="G9497" t="s">
        <v>30059</v>
      </c>
      <c r="H9497" t="s">
        <v>15498</v>
      </c>
      <c r="I9497" t="s">
        <v>30106</v>
      </c>
      <c r="J9497" t="s">
        <v>35991</v>
      </c>
      <c r="K9497" t="s">
        <v>39017</v>
      </c>
      <c r="M9497" t="s">
        <v>41979</v>
      </c>
      <c r="N9497" t="s">
        <v>43166</v>
      </c>
      <c r="O9497" t="s">
        <v>43167</v>
      </c>
      <c r="P9497">
        <v>0</v>
      </c>
      <c r="Q9497">
        <v>1</v>
      </c>
      <c r="R9497" t="s">
        <v>43177</v>
      </c>
      <c r="S9497" t="s">
        <v>43494</v>
      </c>
      <c r="T9497" t="s">
        <v>44870</v>
      </c>
      <c r="U9497" t="s">
        <v>52824</v>
      </c>
      <c r="W9497" t="s">
        <v>41979</v>
      </c>
      <c r="X9497" t="s">
        <v>43178</v>
      </c>
    </row>
    <row r="9498" spans="1:24">
      <c r="A9498">
        <f>HYPERLINK("https://www.philgeps.gov.ph/GEPSNONPILOT/Tender/SplashBidNoticeAbstractUI.aspx?menuIndex=3&amp;refID=7070684&amp;Result=3","7070684")</f>
        <v>0</v>
      </c>
      <c r="B9498" t="s">
        <v>1327</v>
      </c>
      <c r="C9498" t="s">
        <v>12463</v>
      </c>
      <c r="D9498" t="s">
        <v>17430</v>
      </c>
      <c r="E9498" t="s">
        <v>20613</v>
      </c>
      <c r="F9498" t="s">
        <v>30052</v>
      </c>
      <c r="G9498" t="s">
        <v>30059</v>
      </c>
      <c r="H9498" t="s">
        <v>15498</v>
      </c>
      <c r="I9498" t="s">
        <v>30071</v>
      </c>
      <c r="J9498" t="s">
        <v>35992</v>
      </c>
      <c r="K9498" t="s">
        <v>39029</v>
      </c>
      <c r="M9498" t="s">
        <v>40694</v>
      </c>
      <c r="N9498" t="s">
        <v>43166</v>
      </c>
      <c r="O9498" t="s">
        <v>43167</v>
      </c>
      <c r="P9498">
        <v>0</v>
      </c>
      <c r="Q9498">
        <v>0</v>
      </c>
      <c r="R9498" t="s">
        <v>43177</v>
      </c>
      <c r="S9498" t="s">
        <v>43494</v>
      </c>
      <c r="T9498" t="s">
        <v>44685</v>
      </c>
      <c r="U9498" t="s">
        <v>52825</v>
      </c>
      <c r="V9498" t="s">
        <v>57852</v>
      </c>
      <c r="W9498" t="s">
        <v>40694</v>
      </c>
      <c r="X9498" t="s">
        <v>43178</v>
      </c>
    </row>
    <row r="9499" spans="1:24">
      <c r="A9499">
        <f>HYPERLINK("https://www.philgeps.gov.ph/GEPSNONPILOT/Tender/SplashBidNoticeAbstractUI.aspx?menuIndex=3&amp;refID=7071132&amp;Result=3","7071132")</f>
        <v>0</v>
      </c>
      <c r="B9499" t="s">
        <v>1585</v>
      </c>
      <c r="C9499" t="s">
        <v>12464</v>
      </c>
      <c r="D9499" t="s">
        <v>17476</v>
      </c>
      <c r="E9499" t="s">
        <v>25619</v>
      </c>
      <c r="F9499" t="s">
        <v>30052</v>
      </c>
      <c r="G9499" t="s">
        <v>30058</v>
      </c>
      <c r="H9499" t="s">
        <v>30067</v>
      </c>
      <c r="I9499" t="s">
        <v>3693</v>
      </c>
      <c r="J9499" t="s">
        <v>35993</v>
      </c>
      <c r="K9499" t="s">
        <v>39219</v>
      </c>
      <c r="M9499" t="s">
        <v>40978</v>
      </c>
      <c r="N9499" t="s">
        <v>43166</v>
      </c>
      <c r="O9499" t="s">
        <v>43167</v>
      </c>
      <c r="P9499">
        <v>0</v>
      </c>
      <c r="Q9499">
        <v>0</v>
      </c>
      <c r="R9499" t="s">
        <v>43177</v>
      </c>
      <c r="S9499" t="s">
        <v>43494</v>
      </c>
      <c r="T9499" t="s">
        <v>44716</v>
      </c>
      <c r="U9499" t="s">
        <v>52826</v>
      </c>
      <c r="W9499" t="s">
        <v>40978</v>
      </c>
      <c r="X9499" t="s">
        <v>43178</v>
      </c>
    </row>
    <row r="9500" spans="1:24">
      <c r="A9500">
        <f>HYPERLINK("https://www.philgeps.gov.ph/GEPSNONPILOT/Tender/SplashBidNoticeAbstractUI.aspx?menuIndex=3&amp;refID=7062864&amp;Result=3","7062864")</f>
        <v>0</v>
      </c>
      <c r="B9500" t="s">
        <v>2779</v>
      </c>
      <c r="C9500" t="s">
        <v>12465</v>
      </c>
      <c r="D9500" t="s">
        <v>17458</v>
      </c>
      <c r="E9500" t="s">
        <v>25620</v>
      </c>
      <c r="F9500" t="s">
        <v>30052</v>
      </c>
      <c r="G9500" t="s">
        <v>30058</v>
      </c>
      <c r="H9500" t="s">
        <v>30069</v>
      </c>
      <c r="I9500" t="s">
        <v>30136</v>
      </c>
      <c r="J9500" t="s">
        <v>35958</v>
      </c>
      <c r="K9500" t="s">
        <v>39046</v>
      </c>
      <c r="M9500" t="s">
        <v>42315</v>
      </c>
      <c r="N9500" t="s">
        <v>43166</v>
      </c>
      <c r="O9500" t="s">
        <v>43167</v>
      </c>
      <c r="Q9500">
        <v>1</v>
      </c>
      <c r="R9500" t="s">
        <v>43177</v>
      </c>
      <c r="S9500" t="s">
        <v>43500</v>
      </c>
      <c r="T9500" t="s">
        <v>44796</v>
      </c>
      <c r="U9500" t="s">
        <v>52827</v>
      </c>
      <c r="V9500" t="s">
        <v>57864</v>
      </c>
      <c r="W9500" t="s">
        <v>42315</v>
      </c>
      <c r="X9500" t="s">
        <v>43181</v>
      </c>
    </row>
    <row r="9501" spans="1:24">
      <c r="A9501">
        <f>HYPERLINK("https://www.philgeps.gov.ph/GEPSNONPILOT/Tender/SplashBidNoticeAbstractUI.aspx?menuIndex=3&amp;refID=7071105&amp;Result=3","7071105")</f>
        <v>0</v>
      </c>
      <c r="B9501" t="s">
        <v>2248</v>
      </c>
      <c r="C9501" t="s">
        <v>12466</v>
      </c>
      <c r="D9501" t="s">
        <v>17424</v>
      </c>
      <c r="E9501" t="s">
        <v>25621</v>
      </c>
      <c r="F9501" t="s">
        <v>30052</v>
      </c>
      <c r="G9501" t="s">
        <v>30058</v>
      </c>
      <c r="H9501" t="s">
        <v>30067</v>
      </c>
      <c r="I9501" t="s">
        <v>3693</v>
      </c>
      <c r="J9501" t="s">
        <v>35994</v>
      </c>
      <c r="K9501" t="s">
        <v>39026</v>
      </c>
      <c r="M9501" t="s">
        <v>41726</v>
      </c>
      <c r="N9501" t="s">
        <v>43166</v>
      </c>
      <c r="O9501" t="s">
        <v>43167</v>
      </c>
      <c r="Q9501">
        <v>38</v>
      </c>
      <c r="R9501" t="s">
        <v>43177</v>
      </c>
      <c r="S9501" t="s">
        <v>43369</v>
      </c>
      <c r="T9501" t="s">
        <v>44781</v>
      </c>
      <c r="U9501" t="s">
        <v>52828</v>
      </c>
      <c r="W9501" t="s">
        <v>41726</v>
      </c>
      <c r="X9501" t="s">
        <v>43178</v>
      </c>
    </row>
    <row r="9502" spans="1:24">
      <c r="A9502">
        <f>HYPERLINK("https://www.philgeps.gov.ph/GEPSNONPILOT/Tender/SplashBidNoticeAbstractUI.aspx?menuIndex=3&amp;refID=7071103&amp;Result=3","7071103")</f>
        <v>0</v>
      </c>
      <c r="B9502" t="s">
        <v>2550</v>
      </c>
      <c r="C9502" t="s">
        <v>12467</v>
      </c>
      <c r="D9502" t="s">
        <v>17445</v>
      </c>
      <c r="E9502" t="s">
        <v>25622</v>
      </c>
      <c r="F9502" t="s">
        <v>30052</v>
      </c>
      <c r="G9502" t="s">
        <v>30058</v>
      </c>
      <c r="H9502" t="s">
        <v>15498</v>
      </c>
      <c r="I9502" t="s">
        <v>30135</v>
      </c>
      <c r="J9502" t="s">
        <v>35995</v>
      </c>
      <c r="K9502" t="s">
        <v>39031</v>
      </c>
      <c r="M9502" t="s">
        <v>42120</v>
      </c>
      <c r="N9502" t="s">
        <v>43166</v>
      </c>
      <c r="O9502" t="s">
        <v>43167</v>
      </c>
      <c r="P9502">
        <v>0</v>
      </c>
      <c r="Q9502">
        <v>8</v>
      </c>
      <c r="R9502" t="s">
        <v>43177</v>
      </c>
      <c r="S9502" t="s">
        <v>43494</v>
      </c>
      <c r="T9502" t="s">
        <v>44945</v>
      </c>
      <c r="U9502" t="s">
        <v>52829</v>
      </c>
      <c r="W9502" t="s">
        <v>42120</v>
      </c>
      <c r="X9502" t="s">
        <v>43178</v>
      </c>
    </row>
    <row r="9503" spans="1:24">
      <c r="A9503">
        <f>HYPERLINK("https://www.philgeps.gov.ph/GEPSNONPILOT/Tender/SplashBidNoticeAbstractUI.aspx?menuIndex=3&amp;refID=7070725&amp;Result=3","7070725")</f>
        <v>0</v>
      </c>
      <c r="B9503" t="s">
        <v>2794</v>
      </c>
      <c r="C9503" t="s">
        <v>12468</v>
      </c>
      <c r="D9503" t="s">
        <v>17414</v>
      </c>
      <c r="E9503" t="s">
        <v>25623</v>
      </c>
      <c r="F9503" t="s">
        <v>30052</v>
      </c>
      <c r="G9503" t="s">
        <v>30061</v>
      </c>
      <c r="H9503" t="s">
        <v>15498</v>
      </c>
      <c r="I9503" t="s">
        <v>3852</v>
      </c>
      <c r="J9503" t="s">
        <v>31177</v>
      </c>
      <c r="K9503" t="s">
        <v>39029</v>
      </c>
      <c r="M9503" t="s">
        <v>42334</v>
      </c>
      <c r="N9503" t="s">
        <v>43166</v>
      </c>
      <c r="O9503" t="s">
        <v>43167</v>
      </c>
      <c r="Q9503">
        <v>3</v>
      </c>
      <c r="R9503" t="s">
        <v>43177</v>
      </c>
      <c r="S9503" t="s">
        <v>43501</v>
      </c>
      <c r="T9503" t="s">
        <v>44710</v>
      </c>
      <c r="U9503" t="s">
        <v>52830</v>
      </c>
      <c r="V9503" t="s">
        <v>57865</v>
      </c>
      <c r="W9503" t="s">
        <v>42334</v>
      </c>
      <c r="X9503" t="s">
        <v>43178</v>
      </c>
    </row>
    <row r="9504" spans="1:24">
      <c r="A9504">
        <f>HYPERLINK("https://www.philgeps.gov.ph/GEPSNONPILOT/Tender/SplashBidNoticeAbstractUI.aspx?menuIndex=3&amp;refID=7071082&amp;Result=3","7071082")</f>
        <v>0</v>
      </c>
      <c r="B9504" t="s">
        <v>1818</v>
      </c>
      <c r="C9504" t="s">
        <v>12469</v>
      </c>
      <c r="D9504" t="s">
        <v>17458</v>
      </c>
      <c r="E9504" t="s">
        <v>25624</v>
      </c>
      <c r="F9504" t="s">
        <v>30053</v>
      </c>
      <c r="G9504" t="s">
        <v>30058</v>
      </c>
      <c r="H9504" t="s">
        <v>30068</v>
      </c>
      <c r="I9504" t="s">
        <v>30166</v>
      </c>
      <c r="J9504" t="s">
        <v>35996</v>
      </c>
      <c r="K9504" t="s">
        <v>39025</v>
      </c>
      <c r="M9504" t="s">
        <v>41241</v>
      </c>
      <c r="N9504" t="s">
        <v>43166</v>
      </c>
      <c r="O9504" t="s">
        <v>43167</v>
      </c>
      <c r="P9504">
        <v>0</v>
      </c>
      <c r="Q9504">
        <v>7</v>
      </c>
      <c r="R9504" t="s">
        <v>43177</v>
      </c>
      <c r="S9504" t="s">
        <v>43494</v>
      </c>
      <c r="T9504" t="s">
        <v>44873</v>
      </c>
      <c r="U9504" t="s">
        <v>52831</v>
      </c>
      <c r="W9504" t="s">
        <v>41241</v>
      </c>
      <c r="X9504" t="s">
        <v>43178</v>
      </c>
    </row>
    <row r="9505" spans="1:24">
      <c r="A9505">
        <f>HYPERLINK("https://www.philgeps.gov.ph/GEPSNONPILOT/Tender/SplashBidNoticeAbstractUI.aspx?menuIndex=3&amp;refID=7071062&amp;Result=3","7071062")</f>
        <v>0</v>
      </c>
      <c r="B9505" t="s">
        <v>2468</v>
      </c>
      <c r="C9505" t="s">
        <v>12470</v>
      </c>
      <c r="D9505" t="s">
        <v>17458</v>
      </c>
      <c r="E9505" t="s">
        <v>25625</v>
      </c>
      <c r="F9505" t="s">
        <v>30052</v>
      </c>
      <c r="G9505" t="s">
        <v>30061</v>
      </c>
      <c r="H9505" t="s">
        <v>15498</v>
      </c>
      <c r="I9505" t="s">
        <v>30070</v>
      </c>
      <c r="J9505" t="s">
        <v>35997</v>
      </c>
      <c r="K9505" t="s">
        <v>39025</v>
      </c>
      <c r="M9505" t="s">
        <v>41968</v>
      </c>
      <c r="N9505" t="s">
        <v>43166</v>
      </c>
      <c r="O9505" t="s">
        <v>43167</v>
      </c>
      <c r="P9505">
        <v>0</v>
      </c>
      <c r="Q9505">
        <v>0</v>
      </c>
      <c r="R9505" t="s">
        <v>43177</v>
      </c>
      <c r="S9505" t="s">
        <v>43494</v>
      </c>
      <c r="T9505" t="s">
        <v>44822</v>
      </c>
      <c r="U9505" t="s">
        <v>51712</v>
      </c>
      <c r="W9505" t="s">
        <v>41968</v>
      </c>
      <c r="X9505" t="s">
        <v>43178</v>
      </c>
    </row>
    <row r="9506" spans="1:24">
      <c r="A9506">
        <f>HYPERLINK("https://www.philgeps.gov.ph/GEPSNONPILOT/Tender/SplashBidNoticeAbstractUI.aspx?menuIndex=3&amp;refID=7071059&amp;Result=3","7071059")</f>
        <v>0</v>
      </c>
      <c r="B9506" t="s">
        <v>636</v>
      </c>
      <c r="C9506" t="s">
        <v>12471</v>
      </c>
      <c r="D9506" t="s">
        <v>17466</v>
      </c>
      <c r="E9506" t="s">
        <v>25626</v>
      </c>
      <c r="F9506" t="s">
        <v>30052</v>
      </c>
      <c r="G9506" t="s">
        <v>30058</v>
      </c>
      <c r="H9506" t="s">
        <v>15498</v>
      </c>
      <c r="I9506" t="s">
        <v>3606</v>
      </c>
      <c r="J9506" t="s">
        <v>31977</v>
      </c>
      <c r="K9506" t="s">
        <v>39025</v>
      </c>
      <c r="M9506" t="s">
        <v>39940</v>
      </c>
      <c r="N9506" t="s">
        <v>43166</v>
      </c>
      <c r="O9506" t="s">
        <v>43167</v>
      </c>
      <c r="P9506">
        <v>0</v>
      </c>
      <c r="Q9506">
        <v>13</v>
      </c>
      <c r="R9506" t="s">
        <v>43177</v>
      </c>
      <c r="S9506" t="s">
        <v>43494</v>
      </c>
      <c r="T9506" t="s">
        <v>45078</v>
      </c>
      <c r="U9506" t="s">
        <v>52832</v>
      </c>
      <c r="W9506" t="s">
        <v>39940</v>
      </c>
      <c r="X9506" t="s">
        <v>43178</v>
      </c>
    </row>
    <row r="9507" spans="1:24">
      <c r="A9507">
        <f>HYPERLINK("https://www.philgeps.gov.ph/GEPSNONPILOT/Tender/SplashBidNoticeAbstractUI.aspx?menuIndex=3&amp;refID=7070791&amp;Result=3","7070791")</f>
        <v>0</v>
      </c>
      <c r="B9507" t="s">
        <v>2788</v>
      </c>
      <c r="C9507" t="s">
        <v>12472</v>
      </c>
      <c r="D9507" t="s">
        <v>17421</v>
      </c>
      <c r="E9507" t="s">
        <v>25605</v>
      </c>
      <c r="F9507" t="s">
        <v>30052</v>
      </c>
      <c r="G9507" t="s">
        <v>30058</v>
      </c>
      <c r="H9507" t="s">
        <v>15498</v>
      </c>
      <c r="I9507" t="s">
        <v>3736</v>
      </c>
      <c r="J9507" t="s">
        <v>30890</v>
      </c>
      <c r="K9507" t="s">
        <v>39034</v>
      </c>
      <c r="M9507" t="s">
        <v>42328</v>
      </c>
      <c r="N9507" t="s">
        <v>43166</v>
      </c>
      <c r="O9507" t="s">
        <v>43167</v>
      </c>
      <c r="P9507">
        <v>0</v>
      </c>
      <c r="Q9507">
        <v>0</v>
      </c>
      <c r="R9507" t="s">
        <v>43177</v>
      </c>
      <c r="S9507" t="s">
        <v>43494</v>
      </c>
      <c r="T9507" t="s">
        <v>44681</v>
      </c>
      <c r="U9507" t="s">
        <v>52833</v>
      </c>
      <c r="W9507" t="s">
        <v>42328</v>
      </c>
      <c r="X9507" t="s">
        <v>43178</v>
      </c>
    </row>
    <row r="9508" spans="1:24">
      <c r="A9508">
        <f>HYPERLINK("https://www.philgeps.gov.ph/GEPSNONPILOT/Tender/SplashBidNoticeAbstractUI.aspx?menuIndex=3&amp;refID=7071043&amp;Result=3","7071043")</f>
        <v>0</v>
      </c>
      <c r="B9508" t="s">
        <v>2550</v>
      </c>
      <c r="C9508" t="s">
        <v>12473</v>
      </c>
      <c r="D9508" t="s">
        <v>17445</v>
      </c>
      <c r="E9508" t="s">
        <v>25627</v>
      </c>
      <c r="F9508" t="s">
        <v>30052</v>
      </c>
      <c r="G9508" t="s">
        <v>30058</v>
      </c>
      <c r="H9508" t="s">
        <v>15498</v>
      </c>
      <c r="I9508" t="s">
        <v>30135</v>
      </c>
      <c r="J9508" t="s">
        <v>35998</v>
      </c>
      <c r="K9508" t="s">
        <v>39031</v>
      </c>
      <c r="M9508" t="s">
        <v>42120</v>
      </c>
      <c r="N9508" t="s">
        <v>43166</v>
      </c>
      <c r="O9508" t="s">
        <v>43167</v>
      </c>
      <c r="P9508">
        <v>0</v>
      </c>
      <c r="Q9508">
        <v>8</v>
      </c>
      <c r="R9508" t="s">
        <v>43177</v>
      </c>
      <c r="S9508" t="s">
        <v>43494</v>
      </c>
      <c r="T9508" t="s">
        <v>44945</v>
      </c>
      <c r="U9508" t="s">
        <v>52829</v>
      </c>
      <c r="W9508" t="s">
        <v>42120</v>
      </c>
      <c r="X9508" t="s">
        <v>43178</v>
      </c>
    </row>
    <row r="9509" spans="1:24">
      <c r="A9509">
        <f>HYPERLINK("https://www.philgeps.gov.ph/GEPSNONPILOT/Tender/SplashBidNoticeAbstractUI.aspx?menuIndex=3&amp;refID=7070771&amp;Result=3","7070771")</f>
        <v>0</v>
      </c>
      <c r="B9509" t="s">
        <v>760</v>
      </c>
      <c r="C9509" t="s">
        <v>12474</v>
      </c>
      <c r="D9509" t="s">
        <v>17415</v>
      </c>
      <c r="E9509" t="s">
        <v>25628</v>
      </c>
      <c r="F9509" t="s">
        <v>30052</v>
      </c>
      <c r="G9509" t="s">
        <v>30058</v>
      </c>
      <c r="H9509" t="s">
        <v>15498</v>
      </c>
      <c r="I9509" t="s">
        <v>3606</v>
      </c>
      <c r="J9509" t="s">
        <v>35752</v>
      </c>
      <c r="K9509" t="s">
        <v>39064</v>
      </c>
      <c r="M9509" t="s">
        <v>40074</v>
      </c>
      <c r="N9509" t="s">
        <v>43166</v>
      </c>
      <c r="O9509" t="s">
        <v>43167</v>
      </c>
      <c r="Q9509">
        <v>5</v>
      </c>
      <c r="R9509" t="s">
        <v>43177</v>
      </c>
      <c r="S9509" t="s">
        <v>43502</v>
      </c>
      <c r="T9509" t="s">
        <v>44873</v>
      </c>
      <c r="U9509" t="s">
        <v>52834</v>
      </c>
      <c r="W9509" t="s">
        <v>40074</v>
      </c>
      <c r="X9509" t="s">
        <v>43178</v>
      </c>
    </row>
    <row r="9510" spans="1:24">
      <c r="A9510">
        <f>HYPERLINK("https://www.philgeps.gov.ph/GEPSNONPILOT/Tender/SplashBidNoticeAbstractUI.aspx?menuIndex=3&amp;refID=7071042&amp;Result=3","7071042")</f>
        <v>0</v>
      </c>
      <c r="B9510" t="s">
        <v>636</v>
      </c>
      <c r="C9510" t="s">
        <v>12475</v>
      </c>
      <c r="D9510" t="s">
        <v>17466</v>
      </c>
      <c r="E9510" t="s">
        <v>25629</v>
      </c>
      <c r="F9510" t="s">
        <v>30052</v>
      </c>
      <c r="G9510" t="s">
        <v>30058</v>
      </c>
      <c r="H9510" t="s">
        <v>15498</v>
      </c>
      <c r="I9510" t="s">
        <v>4650</v>
      </c>
      <c r="J9510" t="s">
        <v>30374</v>
      </c>
      <c r="K9510" t="s">
        <v>39025</v>
      </c>
      <c r="M9510" t="s">
        <v>39940</v>
      </c>
      <c r="N9510" t="s">
        <v>43166</v>
      </c>
      <c r="O9510" t="s">
        <v>43167</v>
      </c>
      <c r="P9510">
        <v>0</v>
      </c>
      <c r="Q9510">
        <v>2</v>
      </c>
      <c r="R9510" t="s">
        <v>43177</v>
      </c>
      <c r="S9510" t="s">
        <v>43494</v>
      </c>
      <c r="T9510" t="s">
        <v>45078</v>
      </c>
      <c r="U9510" t="s">
        <v>52835</v>
      </c>
      <c r="W9510" t="s">
        <v>39940</v>
      </c>
      <c r="X9510" t="s">
        <v>43178</v>
      </c>
    </row>
    <row r="9511" spans="1:24">
      <c r="A9511">
        <f>HYPERLINK("https://www.philgeps.gov.ph/GEPSNONPILOT/Tender/SplashBidNoticeAbstractUI.aspx?menuIndex=3&amp;refID=7071073&amp;Result=3","7071073")</f>
        <v>0</v>
      </c>
      <c r="B9511" t="s">
        <v>636</v>
      </c>
      <c r="C9511" t="s">
        <v>12476</v>
      </c>
      <c r="D9511" t="s">
        <v>17466</v>
      </c>
      <c r="E9511" t="s">
        <v>25630</v>
      </c>
      <c r="F9511" t="s">
        <v>30052</v>
      </c>
      <c r="G9511" t="s">
        <v>30058</v>
      </c>
      <c r="H9511" t="s">
        <v>15498</v>
      </c>
      <c r="I9511" t="s">
        <v>3736</v>
      </c>
      <c r="J9511" t="s">
        <v>35999</v>
      </c>
      <c r="K9511" t="s">
        <v>39025</v>
      </c>
      <c r="M9511" t="s">
        <v>39940</v>
      </c>
      <c r="N9511" t="s">
        <v>43166</v>
      </c>
      <c r="O9511" t="s">
        <v>43167</v>
      </c>
      <c r="P9511">
        <v>0</v>
      </c>
      <c r="Q9511">
        <v>0</v>
      </c>
      <c r="R9511" t="s">
        <v>43177</v>
      </c>
      <c r="S9511" t="s">
        <v>43494</v>
      </c>
      <c r="T9511" t="s">
        <v>45078</v>
      </c>
      <c r="U9511" t="s">
        <v>52836</v>
      </c>
      <c r="W9511" t="s">
        <v>39940</v>
      </c>
      <c r="X9511" t="s">
        <v>43178</v>
      </c>
    </row>
    <row r="9512" spans="1:24">
      <c r="A9512">
        <f>HYPERLINK("https://www.philgeps.gov.ph/GEPSNONPILOT/Tender/SplashBidNoticeAbstractUI.aspx?menuIndex=3&amp;refID=7071084&amp;Result=3","7071084")</f>
        <v>0</v>
      </c>
      <c r="B9512" t="s">
        <v>1151</v>
      </c>
      <c r="C9512" t="s">
        <v>12477</v>
      </c>
      <c r="D9512" t="s">
        <v>17472</v>
      </c>
      <c r="E9512" t="s">
        <v>25631</v>
      </c>
      <c r="F9512" t="s">
        <v>30052</v>
      </c>
      <c r="G9512" t="s">
        <v>30061</v>
      </c>
      <c r="H9512" t="s">
        <v>15498</v>
      </c>
      <c r="I9512" t="s">
        <v>30135</v>
      </c>
      <c r="J9512" t="s">
        <v>31291</v>
      </c>
      <c r="K9512" t="s">
        <v>39029</v>
      </c>
      <c r="M9512" t="s">
        <v>40495</v>
      </c>
      <c r="N9512" t="s">
        <v>43166</v>
      </c>
      <c r="O9512" t="s">
        <v>43167</v>
      </c>
      <c r="P9512">
        <v>0</v>
      </c>
      <c r="Q9512">
        <v>8</v>
      </c>
      <c r="R9512" t="s">
        <v>43177</v>
      </c>
      <c r="S9512" t="s">
        <v>43494</v>
      </c>
      <c r="T9512" t="s">
        <v>44732</v>
      </c>
      <c r="U9512" t="s">
        <v>52837</v>
      </c>
      <c r="W9512" t="s">
        <v>40495</v>
      </c>
      <c r="X9512" t="s">
        <v>43178</v>
      </c>
    </row>
    <row r="9513" spans="1:24">
      <c r="A9513">
        <f>HYPERLINK("https://www.philgeps.gov.ph/GEPSNONPILOT/Tender/SplashBidNoticeAbstractUI.aspx?menuIndex=3&amp;refID=7071058&amp;Result=3","7071058")</f>
        <v>0</v>
      </c>
      <c r="B9513" t="s">
        <v>1766</v>
      </c>
      <c r="C9513" t="s">
        <v>12478</v>
      </c>
      <c r="D9513" t="s">
        <v>17466</v>
      </c>
      <c r="E9513" t="s">
        <v>25632</v>
      </c>
      <c r="F9513" t="s">
        <v>30052</v>
      </c>
      <c r="G9513" t="s">
        <v>30059</v>
      </c>
      <c r="H9513" t="s">
        <v>15498</v>
      </c>
      <c r="I9513" t="s">
        <v>30096</v>
      </c>
      <c r="J9513" t="s">
        <v>30248</v>
      </c>
      <c r="K9513" t="s">
        <v>39019</v>
      </c>
      <c r="M9513" t="s">
        <v>41186</v>
      </c>
      <c r="N9513" t="s">
        <v>43166</v>
      </c>
      <c r="O9513" t="s">
        <v>43167</v>
      </c>
      <c r="P9513">
        <v>0</v>
      </c>
      <c r="Q9513">
        <v>3</v>
      </c>
      <c r="R9513" t="s">
        <v>43177</v>
      </c>
      <c r="S9513" t="s">
        <v>43494</v>
      </c>
      <c r="T9513" t="s">
        <v>44865</v>
      </c>
      <c r="U9513" t="s">
        <v>52838</v>
      </c>
      <c r="W9513" t="s">
        <v>41186</v>
      </c>
      <c r="X9513" t="s">
        <v>43178</v>
      </c>
    </row>
    <row r="9514" spans="1:24">
      <c r="A9514">
        <f>HYPERLINK("https://www.philgeps.gov.ph/GEPSNONPILOT/Tender/SplashBidNoticeAbstractUI.aspx?menuIndex=3&amp;refID=7071052&amp;Result=3","7071052")</f>
        <v>0</v>
      </c>
      <c r="B9514" t="s">
        <v>1151</v>
      </c>
      <c r="C9514" t="s">
        <v>12479</v>
      </c>
      <c r="D9514" t="s">
        <v>17472</v>
      </c>
      <c r="E9514" t="s">
        <v>25633</v>
      </c>
      <c r="F9514" t="s">
        <v>30052</v>
      </c>
      <c r="G9514" t="s">
        <v>30061</v>
      </c>
      <c r="H9514" t="s">
        <v>15498</v>
      </c>
      <c r="I9514" t="s">
        <v>30096</v>
      </c>
      <c r="J9514" t="s">
        <v>30358</v>
      </c>
      <c r="K9514" t="s">
        <v>39029</v>
      </c>
      <c r="M9514" t="s">
        <v>40495</v>
      </c>
      <c r="N9514" t="s">
        <v>43166</v>
      </c>
      <c r="O9514" t="s">
        <v>43167</v>
      </c>
      <c r="P9514">
        <v>0</v>
      </c>
      <c r="Q9514">
        <v>6</v>
      </c>
      <c r="R9514" t="s">
        <v>43177</v>
      </c>
      <c r="S9514" t="s">
        <v>43494</v>
      </c>
      <c r="T9514" t="s">
        <v>44732</v>
      </c>
      <c r="U9514" t="s">
        <v>52839</v>
      </c>
      <c r="W9514" t="s">
        <v>40495</v>
      </c>
      <c r="X9514" t="s">
        <v>43178</v>
      </c>
    </row>
    <row r="9515" spans="1:24">
      <c r="A9515">
        <f>HYPERLINK("https://www.philgeps.gov.ph/GEPSNONPILOT/Tender/SplashBidNoticeAbstractUI.aspx?menuIndex=3&amp;refID=7070902&amp;Result=3","7070902")</f>
        <v>0</v>
      </c>
      <c r="B9515" t="s">
        <v>2795</v>
      </c>
      <c r="C9515" t="s">
        <v>12480</v>
      </c>
      <c r="E9515" t="s">
        <v>17856</v>
      </c>
      <c r="F9515" t="s">
        <v>30052</v>
      </c>
      <c r="G9515" t="s">
        <v>30058</v>
      </c>
      <c r="H9515" t="s">
        <v>30067</v>
      </c>
      <c r="I9515" t="s">
        <v>3693</v>
      </c>
      <c r="J9515" t="s">
        <v>30218</v>
      </c>
      <c r="K9515" t="s">
        <v>39025</v>
      </c>
      <c r="M9515" t="s">
        <v>42335</v>
      </c>
      <c r="N9515" t="s">
        <v>43166</v>
      </c>
      <c r="O9515" t="s">
        <v>43167</v>
      </c>
      <c r="P9515">
        <v>0</v>
      </c>
      <c r="Q9515">
        <v>0</v>
      </c>
      <c r="R9515" t="s">
        <v>43177</v>
      </c>
      <c r="S9515" t="s">
        <v>43494</v>
      </c>
      <c r="T9515" t="s">
        <v>44844</v>
      </c>
      <c r="U9515" t="s">
        <v>52840</v>
      </c>
      <c r="W9515" t="s">
        <v>42335</v>
      </c>
      <c r="X9515" t="s">
        <v>43178</v>
      </c>
    </row>
    <row r="9516" spans="1:24">
      <c r="A9516">
        <f>HYPERLINK("https://www.philgeps.gov.ph/GEPSNONPILOT/Tender/SplashBidNoticeAbstractUI.aspx?menuIndex=3&amp;refID=7071267&amp;Result=3","7071267")</f>
        <v>0</v>
      </c>
      <c r="B9516" t="s">
        <v>2796</v>
      </c>
      <c r="C9516" t="s">
        <v>12481</v>
      </c>
      <c r="D9516" t="s">
        <v>17499</v>
      </c>
      <c r="E9516" t="s">
        <v>25634</v>
      </c>
      <c r="F9516" t="s">
        <v>30052</v>
      </c>
      <c r="G9516" t="s">
        <v>30058</v>
      </c>
      <c r="H9516" t="s">
        <v>30067</v>
      </c>
      <c r="I9516" t="s">
        <v>3693</v>
      </c>
      <c r="J9516" t="s">
        <v>36000</v>
      </c>
      <c r="K9516" t="s">
        <v>39057</v>
      </c>
      <c r="M9516" t="s">
        <v>42336</v>
      </c>
      <c r="N9516" t="s">
        <v>43166</v>
      </c>
      <c r="O9516" t="s">
        <v>43167</v>
      </c>
      <c r="P9516">
        <v>0</v>
      </c>
      <c r="Q9516">
        <v>6</v>
      </c>
      <c r="R9516" t="s">
        <v>43177</v>
      </c>
      <c r="S9516" t="s">
        <v>43494</v>
      </c>
      <c r="T9516" t="s">
        <v>44716</v>
      </c>
      <c r="U9516" t="s">
        <v>45987</v>
      </c>
      <c r="W9516" t="s">
        <v>42336</v>
      </c>
      <c r="X9516" t="s">
        <v>43178</v>
      </c>
    </row>
    <row r="9517" spans="1:24">
      <c r="A9517">
        <f>HYPERLINK("https://www.philgeps.gov.ph/GEPSNONPILOT/Tender/SplashBidNoticeAbstractUI.aspx?menuIndex=3&amp;refID=7070982&amp;Result=3","7070982")</f>
        <v>0</v>
      </c>
      <c r="B9517" t="s">
        <v>1319</v>
      </c>
      <c r="C9517" t="s">
        <v>12482</v>
      </c>
      <c r="D9517" t="s">
        <v>17474</v>
      </c>
      <c r="E9517" t="s">
        <v>25635</v>
      </c>
      <c r="F9517" t="s">
        <v>30052</v>
      </c>
      <c r="G9517" t="s">
        <v>30058</v>
      </c>
      <c r="H9517" t="s">
        <v>15498</v>
      </c>
      <c r="I9517" t="s">
        <v>7228</v>
      </c>
      <c r="J9517" t="s">
        <v>33131</v>
      </c>
      <c r="K9517" t="s">
        <v>39029</v>
      </c>
      <c r="L9517" t="s">
        <v>1319</v>
      </c>
      <c r="M9517" t="s">
        <v>40686</v>
      </c>
      <c r="N9517" t="s">
        <v>43166</v>
      </c>
      <c r="O9517" t="s">
        <v>43167</v>
      </c>
      <c r="P9517">
        <v>0</v>
      </c>
      <c r="Q9517">
        <v>0</v>
      </c>
      <c r="R9517" t="s">
        <v>43177</v>
      </c>
      <c r="S9517" t="s">
        <v>43494</v>
      </c>
      <c r="T9517" t="s">
        <v>44844</v>
      </c>
      <c r="U9517" t="s">
        <v>52841</v>
      </c>
      <c r="V9517" t="s">
        <v>57236</v>
      </c>
      <c r="W9517" t="s">
        <v>40686</v>
      </c>
      <c r="X9517" t="s">
        <v>43178</v>
      </c>
    </row>
    <row r="9518" spans="1:24">
      <c r="A9518">
        <f>HYPERLINK("https://www.philgeps.gov.ph/GEPSNONPILOT/Tender/SplashBidNoticeAbstractUI.aspx?menuIndex=3&amp;refID=7071256&amp;Result=3","7071256")</f>
        <v>0</v>
      </c>
      <c r="B9518" t="s">
        <v>2550</v>
      </c>
      <c r="C9518" t="s">
        <v>12483</v>
      </c>
      <c r="D9518" t="s">
        <v>17445</v>
      </c>
      <c r="E9518" t="s">
        <v>25636</v>
      </c>
      <c r="F9518" t="s">
        <v>30052</v>
      </c>
      <c r="G9518" t="s">
        <v>30058</v>
      </c>
      <c r="H9518" t="s">
        <v>15498</v>
      </c>
      <c r="I9518" t="s">
        <v>30135</v>
      </c>
      <c r="J9518" t="s">
        <v>36001</v>
      </c>
      <c r="K9518" t="s">
        <v>39031</v>
      </c>
      <c r="M9518" t="s">
        <v>42120</v>
      </c>
      <c r="N9518" t="s">
        <v>43166</v>
      </c>
      <c r="O9518" t="s">
        <v>43167</v>
      </c>
      <c r="P9518">
        <v>0</v>
      </c>
      <c r="Q9518">
        <v>5</v>
      </c>
      <c r="R9518" t="s">
        <v>43177</v>
      </c>
      <c r="S9518" t="s">
        <v>43494</v>
      </c>
      <c r="T9518" t="s">
        <v>44945</v>
      </c>
      <c r="U9518" t="s">
        <v>52829</v>
      </c>
      <c r="W9518" t="s">
        <v>42120</v>
      </c>
      <c r="X9518" t="s">
        <v>43178</v>
      </c>
    </row>
    <row r="9519" spans="1:24">
      <c r="A9519">
        <f>HYPERLINK("https://www.philgeps.gov.ph/GEPSNONPILOT/Tender/SplashBidNoticeAbstractUI.aspx?menuIndex=3&amp;refID=7071237&amp;Result=3","7071237")</f>
        <v>0</v>
      </c>
      <c r="B9519" t="s">
        <v>1151</v>
      </c>
      <c r="C9519" t="s">
        <v>12484</v>
      </c>
      <c r="D9519" t="s">
        <v>17472</v>
      </c>
      <c r="E9519" t="s">
        <v>25637</v>
      </c>
      <c r="F9519" t="s">
        <v>30052</v>
      </c>
      <c r="G9519" t="s">
        <v>30061</v>
      </c>
      <c r="H9519" t="s">
        <v>15498</v>
      </c>
      <c r="I9519" t="s">
        <v>30097</v>
      </c>
      <c r="J9519" t="s">
        <v>36002</v>
      </c>
      <c r="K9519" t="s">
        <v>39029</v>
      </c>
      <c r="M9519" t="s">
        <v>40495</v>
      </c>
      <c r="N9519" t="s">
        <v>43166</v>
      </c>
      <c r="O9519" t="s">
        <v>43167</v>
      </c>
      <c r="Q9519">
        <v>10</v>
      </c>
      <c r="R9519" t="s">
        <v>43177</v>
      </c>
      <c r="S9519" t="s">
        <v>43503</v>
      </c>
      <c r="T9519" t="s">
        <v>44721</v>
      </c>
      <c r="U9519" t="s">
        <v>52842</v>
      </c>
      <c r="W9519" t="s">
        <v>40495</v>
      </c>
      <c r="X9519" t="s">
        <v>43178</v>
      </c>
    </row>
    <row r="9520" spans="1:24">
      <c r="A9520">
        <f>HYPERLINK("https://www.philgeps.gov.ph/GEPSNONPILOT/Tender/SplashBidNoticeAbstractUI.aspx?menuIndex=3&amp;refID=7070911&amp;Result=3","7070911")</f>
        <v>0</v>
      </c>
      <c r="B9520" t="s">
        <v>995</v>
      </c>
      <c r="C9520" t="s">
        <v>11595</v>
      </c>
      <c r="D9520" t="s">
        <v>17441</v>
      </c>
      <c r="E9520" t="s">
        <v>25638</v>
      </c>
      <c r="F9520" t="s">
        <v>30052</v>
      </c>
      <c r="G9520" t="s">
        <v>30058</v>
      </c>
      <c r="H9520" t="s">
        <v>15498</v>
      </c>
      <c r="I9520" t="s">
        <v>30072</v>
      </c>
      <c r="J9520" t="s">
        <v>30828</v>
      </c>
      <c r="K9520" t="s">
        <v>39048</v>
      </c>
      <c r="M9520" t="s">
        <v>40322</v>
      </c>
      <c r="N9520" t="s">
        <v>43166</v>
      </c>
      <c r="O9520" t="s">
        <v>43167</v>
      </c>
      <c r="P9520">
        <v>0</v>
      </c>
      <c r="Q9520">
        <v>1</v>
      </c>
      <c r="R9520" t="s">
        <v>43177</v>
      </c>
      <c r="S9520" t="s">
        <v>43494</v>
      </c>
      <c r="T9520" t="s">
        <v>44841</v>
      </c>
      <c r="U9520" t="s">
        <v>52843</v>
      </c>
      <c r="W9520" t="s">
        <v>40322</v>
      </c>
      <c r="X9520" t="s">
        <v>43178</v>
      </c>
    </row>
    <row r="9521" spans="1:24">
      <c r="A9521">
        <f>HYPERLINK("https://www.philgeps.gov.ph/GEPSNONPILOT/Tender/SplashBidNoticeAbstractUI.aspx?menuIndex=3&amp;refID=7071210&amp;Result=3","7071210")</f>
        <v>0</v>
      </c>
      <c r="B9521" t="s">
        <v>1960</v>
      </c>
      <c r="C9521" t="s">
        <v>12485</v>
      </c>
      <c r="D9521" t="s">
        <v>17427</v>
      </c>
      <c r="E9521" t="s">
        <v>12485</v>
      </c>
      <c r="F9521" t="s">
        <v>30052</v>
      </c>
      <c r="G9521" t="s">
        <v>30058</v>
      </c>
      <c r="H9521" t="s">
        <v>15498</v>
      </c>
      <c r="I9521" t="s">
        <v>30088</v>
      </c>
      <c r="J9521" t="s">
        <v>36003</v>
      </c>
      <c r="K9521" t="s">
        <v>39025</v>
      </c>
      <c r="M9521" t="s">
        <v>41397</v>
      </c>
      <c r="N9521" t="s">
        <v>43166</v>
      </c>
      <c r="O9521" t="s">
        <v>43167</v>
      </c>
      <c r="P9521">
        <v>0</v>
      </c>
      <c r="Q9521">
        <v>31</v>
      </c>
      <c r="R9521" t="s">
        <v>43177</v>
      </c>
      <c r="S9521" t="s">
        <v>43494</v>
      </c>
      <c r="T9521" t="s">
        <v>44796</v>
      </c>
      <c r="U9521" t="s">
        <v>52844</v>
      </c>
      <c r="V9521" t="s">
        <v>57866</v>
      </c>
      <c r="W9521" t="s">
        <v>41397</v>
      </c>
      <c r="X9521" t="s">
        <v>43178</v>
      </c>
    </row>
    <row r="9522" spans="1:24">
      <c r="A9522">
        <f>HYPERLINK("https://www.philgeps.gov.ph/GEPSNONPILOT/Tender/SplashBidNoticeAbstractUI.aspx?menuIndex=3&amp;refID=7071198&amp;Result=3","7071198")</f>
        <v>0</v>
      </c>
      <c r="B9522" t="s">
        <v>1327</v>
      </c>
      <c r="C9522" t="s">
        <v>12486</v>
      </c>
      <c r="D9522" t="s">
        <v>17430</v>
      </c>
      <c r="E9522" t="s">
        <v>25639</v>
      </c>
      <c r="F9522" t="s">
        <v>30052</v>
      </c>
      <c r="G9522" t="s">
        <v>30058</v>
      </c>
      <c r="H9522" t="s">
        <v>15498</v>
      </c>
      <c r="I9522" t="s">
        <v>4119</v>
      </c>
      <c r="J9522" t="s">
        <v>36004</v>
      </c>
      <c r="K9522" t="s">
        <v>39029</v>
      </c>
      <c r="M9522" t="s">
        <v>40694</v>
      </c>
      <c r="N9522" t="s">
        <v>43166</v>
      </c>
      <c r="O9522" t="s">
        <v>43167</v>
      </c>
      <c r="P9522">
        <v>0</v>
      </c>
      <c r="Q9522">
        <v>3</v>
      </c>
      <c r="R9522" t="s">
        <v>43177</v>
      </c>
      <c r="S9522" t="s">
        <v>43494</v>
      </c>
      <c r="T9522" t="s">
        <v>44796</v>
      </c>
      <c r="U9522" t="s">
        <v>52845</v>
      </c>
      <c r="V9522" t="s">
        <v>57852</v>
      </c>
      <c r="W9522" t="s">
        <v>40694</v>
      </c>
      <c r="X9522" t="s">
        <v>43178</v>
      </c>
    </row>
    <row r="9523" spans="1:24">
      <c r="A9523">
        <f>HYPERLINK("https://www.philgeps.gov.ph/GEPSNONPILOT/Tender/SplashBidNoticeAbstractUI.aspx?menuIndex=3&amp;refID=7071263&amp;Result=3","7071263")</f>
        <v>0</v>
      </c>
      <c r="B9523" t="s">
        <v>2797</v>
      </c>
      <c r="C9523" t="s">
        <v>12487</v>
      </c>
      <c r="D9523" t="s">
        <v>17494</v>
      </c>
      <c r="E9523" t="s">
        <v>25640</v>
      </c>
      <c r="F9523" t="s">
        <v>30052</v>
      </c>
      <c r="G9523" t="s">
        <v>30058</v>
      </c>
      <c r="H9523" t="s">
        <v>15498</v>
      </c>
      <c r="I9523" t="s">
        <v>30097</v>
      </c>
      <c r="J9523" t="s">
        <v>36005</v>
      </c>
      <c r="K9523" t="s">
        <v>39029</v>
      </c>
      <c r="M9523" t="s">
        <v>42337</v>
      </c>
      <c r="N9523" t="s">
        <v>43166</v>
      </c>
      <c r="O9523" t="s">
        <v>43167</v>
      </c>
      <c r="P9523">
        <v>0</v>
      </c>
      <c r="Q9523">
        <v>15</v>
      </c>
      <c r="R9523" t="s">
        <v>43177</v>
      </c>
      <c r="S9523" t="s">
        <v>43494</v>
      </c>
      <c r="T9523" t="s">
        <v>44807</v>
      </c>
      <c r="U9523" t="s">
        <v>52846</v>
      </c>
      <c r="W9523" t="s">
        <v>42337</v>
      </c>
      <c r="X9523" t="s">
        <v>43178</v>
      </c>
    </row>
    <row r="9524" spans="1:24">
      <c r="A9524">
        <f>HYPERLINK("https://www.philgeps.gov.ph/GEPSNONPILOT/Tender/SplashBidNoticeAbstractUI.aspx?menuIndex=3&amp;refID=7071191&amp;Result=3","7071191")</f>
        <v>0</v>
      </c>
      <c r="B9524" t="s">
        <v>1151</v>
      </c>
      <c r="C9524" t="s">
        <v>12488</v>
      </c>
      <c r="D9524" t="s">
        <v>17472</v>
      </c>
      <c r="E9524" t="s">
        <v>25641</v>
      </c>
      <c r="F9524" t="s">
        <v>30052</v>
      </c>
      <c r="G9524" t="s">
        <v>30061</v>
      </c>
      <c r="H9524" t="s">
        <v>15498</v>
      </c>
      <c r="I9524" t="s">
        <v>30151</v>
      </c>
      <c r="J9524" t="s">
        <v>34538</v>
      </c>
      <c r="K9524" t="s">
        <v>39029</v>
      </c>
      <c r="M9524" t="s">
        <v>40495</v>
      </c>
      <c r="N9524" t="s">
        <v>43166</v>
      </c>
      <c r="O9524" t="s">
        <v>43167</v>
      </c>
      <c r="Q9524">
        <v>4</v>
      </c>
      <c r="R9524" t="s">
        <v>43177</v>
      </c>
      <c r="S9524" t="s">
        <v>43504</v>
      </c>
      <c r="T9524" t="s">
        <v>44679</v>
      </c>
      <c r="U9524" t="s">
        <v>52847</v>
      </c>
      <c r="W9524" t="s">
        <v>40495</v>
      </c>
      <c r="X9524" t="s">
        <v>43178</v>
      </c>
    </row>
    <row r="9525" spans="1:24">
      <c r="A9525">
        <f>HYPERLINK("https://www.philgeps.gov.ph/GEPSNONPILOT/Tender/SplashBidNoticeAbstractUI.aspx?menuIndex=3&amp;refID=7071233&amp;Result=3","7071233")</f>
        <v>0</v>
      </c>
      <c r="B9525" t="s">
        <v>2602</v>
      </c>
      <c r="C9525" t="s">
        <v>12489</v>
      </c>
      <c r="E9525" t="s">
        <v>25642</v>
      </c>
      <c r="F9525" t="s">
        <v>30052</v>
      </c>
      <c r="G9525" t="s">
        <v>30058</v>
      </c>
      <c r="H9525" t="s">
        <v>30067</v>
      </c>
      <c r="I9525" t="s">
        <v>3693</v>
      </c>
      <c r="J9525" t="s">
        <v>36006</v>
      </c>
      <c r="K9525" t="s">
        <v>39025</v>
      </c>
      <c r="M9525" t="s">
        <v>42113</v>
      </c>
      <c r="N9525" t="s">
        <v>43166</v>
      </c>
      <c r="O9525" t="s">
        <v>43167</v>
      </c>
      <c r="Q9525">
        <v>7</v>
      </c>
      <c r="R9525" t="s">
        <v>43177</v>
      </c>
      <c r="S9525" t="s">
        <v>43505</v>
      </c>
      <c r="T9525" t="s">
        <v>45122</v>
      </c>
      <c r="U9525" t="s">
        <v>52848</v>
      </c>
      <c r="V9525" t="s">
        <v>57867</v>
      </c>
      <c r="W9525" t="s">
        <v>42113</v>
      </c>
      <c r="X9525" t="s">
        <v>43178</v>
      </c>
    </row>
    <row r="9526" spans="1:24">
      <c r="A9526">
        <f>HYPERLINK("https://www.philgeps.gov.ph/GEPSNONPILOT/Tender/SplashBidNoticeAbstractUI.aspx?menuIndex=3&amp;refID=7071170&amp;Result=3","7071170")</f>
        <v>0</v>
      </c>
      <c r="B9526" t="s">
        <v>878</v>
      </c>
      <c r="C9526" t="s">
        <v>12490</v>
      </c>
      <c r="D9526" t="s">
        <v>17416</v>
      </c>
      <c r="E9526" t="s">
        <v>25643</v>
      </c>
      <c r="F9526" t="s">
        <v>30052</v>
      </c>
      <c r="G9526" t="s">
        <v>30058</v>
      </c>
      <c r="H9526" t="s">
        <v>15498</v>
      </c>
      <c r="I9526" t="s">
        <v>3852</v>
      </c>
      <c r="J9526" t="s">
        <v>34238</v>
      </c>
      <c r="K9526" t="s">
        <v>39029</v>
      </c>
      <c r="M9526" t="s">
        <v>40197</v>
      </c>
      <c r="N9526" t="s">
        <v>43166</v>
      </c>
      <c r="O9526" t="s">
        <v>43167</v>
      </c>
      <c r="P9526">
        <v>0</v>
      </c>
      <c r="Q9526">
        <v>1</v>
      </c>
      <c r="R9526" t="s">
        <v>43177</v>
      </c>
      <c r="S9526" t="s">
        <v>43494</v>
      </c>
      <c r="T9526" t="s">
        <v>44841</v>
      </c>
      <c r="U9526" t="s">
        <v>52849</v>
      </c>
      <c r="W9526" t="s">
        <v>40197</v>
      </c>
      <c r="X9526" t="s">
        <v>43178</v>
      </c>
    </row>
    <row r="9527" spans="1:24">
      <c r="A9527">
        <f>HYPERLINK("https://www.philgeps.gov.ph/GEPSNONPILOT/Tender/SplashBidNoticeAbstractUI.aspx?menuIndex=3&amp;refID=7071212&amp;Result=3","7071212")</f>
        <v>0</v>
      </c>
      <c r="B9527" t="s">
        <v>1465</v>
      </c>
      <c r="C9527" t="s">
        <v>12491</v>
      </c>
      <c r="D9527" t="s">
        <v>17473</v>
      </c>
      <c r="E9527" t="s">
        <v>25644</v>
      </c>
      <c r="F9527" t="s">
        <v>30052</v>
      </c>
      <c r="G9527" t="s">
        <v>30058</v>
      </c>
      <c r="H9527" t="s">
        <v>15498</v>
      </c>
      <c r="I9527" t="s">
        <v>30117</v>
      </c>
      <c r="J9527" t="s">
        <v>36007</v>
      </c>
      <c r="K9527" t="s">
        <v>39048</v>
      </c>
      <c r="M9527" t="s">
        <v>40846</v>
      </c>
      <c r="N9527" t="s">
        <v>43166</v>
      </c>
      <c r="O9527" t="s">
        <v>43167</v>
      </c>
      <c r="P9527">
        <v>0</v>
      </c>
      <c r="Q9527">
        <v>2</v>
      </c>
      <c r="R9527" t="s">
        <v>43177</v>
      </c>
      <c r="S9527" t="s">
        <v>43494</v>
      </c>
      <c r="T9527" t="s">
        <v>45123</v>
      </c>
      <c r="U9527" t="s">
        <v>48466</v>
      </c>
      <c r="W9527" t="s">
        <v>40846</v>
      </c>
      <c r="X9527" t="s">
        <v>43178</v>
      </c>
    </row>
    <row r="9528" spans="1:24">
      <c r="A9528">
        <f>HYPERLINK("https://www.philgeps.gov.ph/GEPSNONPILOT/Tender/SplashBidNoticeAbstractUI.aspx?menuIndex=3&amp;refID=7071162&amp;Result=3","7071162")</f>
        <v>0</v>
      </c>
      <c r="B9528" t="s">
        <v>1327</v>
      </c>
      <c r="C9528" t="s">
        <v>12492</v>
      </c>
      <c r="D9528" t="s">
        <v>17430</v>
      </c>
      <c r="E9528" t="s">
        <v>25645</v>
      </c>
      <c r="F9528" t="s">
        <v>30052</v>
      </c>
      <c r="G9528" t="s">
        <v>30058</v>
      </c>
      <c r="H9528" t="s">
        <v>15498</v>
      </c>
      <c r="I9528" t="s">
        <v>7228</v>
      </c>
      <c r="J9528" t="s">
        <v>36008</v>
      </c>
      <c r="K9528" t="s">
        <v>39046</v>
      </c>
      <c r="M9528" t="s">
        <v>40694</v>
      </c>
      <c r="N9528" t="s">
        <v>43166</v>
      </c>
      <c r="O9528" t="s">
        <v>43167</v>
      </c>
      <c r="P9528">
        <v>0</v>
      </c>
      <c r="Q9528">
        <v>0</v>
      </c>
      <c r="R9528" t="s">
        <v>43177</v>
      </c>
      <c r="S9528" t="s">
        <v>43494</v>
      </c>
      <c r="T9528" t="s">
        <v>44796</v>
      </c>
      <c r="U9528" t="s">
        <v>52850</v>
      </c>
      <c r="V9528" t="s">
        <v>57852</v>
      </c>
      <c r="W9528" t="s">
        <v>40694</v>
      </c>
      <c r="X9528" t="s">
        <v>43178</v>
      </c>
    </row>
    <row r="9529" spans="1:24">
      <c r="A9529">
        <f>HYPERLINK("https://www.philgeps.gov.ph/GEPSNONPILOT/Tender/SplashBidNoticeAbstractUI.aspx?menuIndex=3&amp;refID=7071091&amp;Result=3","7071091")</f>
        <v>0</v>
      </c>
      <c r="B9529" t="s">
        <v>2550</v>
      </c>
      <c r="C9529" t="s">
        <v>12493</v>
      </c>
      <c r="D9529" t="s">
        <v>17445</v>
      </c>
      <c r="E9529" t="s">
        <v>25646</v>
      </c>
      <c r="F9529" t="s">
        <v>30052</v>
      </c>
      <c r="G9529" t="s">
        <v>30058</v>
      </c>
      <c r="H9529" t="s">
        <v>15498</v>
      </c>
      <c r="I9529" t="s">
        <v>30135</v>
      </c>
      <c r="J9529" t="s">
        <v>36009</v>
      </c>
      <c r="K9529" t="s">
        <v>39031</v>
      </c>
      <c r="M9529" t="s">
        <v>42120</v>
      </c>
      <c r="N9529" t="s">
        <v>43166</v>
      </c>
      <c r="O9529" t="s">
        <v>43167</v>
      </c>
      <c r="P9529">
        <v>0</v>
      </c>
      <c r="Q9529">
        <v>7</v>
      </c>
      <c r="R9529" t="s">
        <v>43177</v>
      </c>
      <c r="S9529" t="s">
        <v>43494</v>
      </c>
      <c r="T9529" t="s">
        <v>44945</v>
      </c>
      <c r="U9529" t="s">
        <v>52829</v>
      </c>
      <c r="W9529" t="s">
        <v>42120</v>
      </c>
      <c r="X9529" t="s">
        <v>43178</v>
      </c>
    </row>
    <row r="9530" spans="1:24">
      <c r="A9530">
        <f>HYPERLINK("https://www.philgeps.gov.ph/GEPSNONPILOT/Tender/SplashBidNoticeAbstractUI.aspx?menuIndex=3&amp;refID=7070929&amp;Result=3","7070929")</f>
        <v>0</v>
      </c>
      <c r="B9530" t="s">
        <v>2320</v>
      </c>
      <c r="C9530" t="s">
        <v>12494</v>
      </c>
      <c r="D9530" t="s">
        <v>17462</v>
      </c>
      <c r="E9530" t="s">
        <v>25647</v>
      </c>
      <c r="F9530" t="s">
        <v>30052</v>
      </c>
      <c r="G9530" t="s">
        <v>30058</v>
      </c>
      <c r="H9530" t="s">
        <v>15498</v>
      </c>
      <c r="I9530" t="s">
        <v>30070</v>
      </c>
      <c r="J9530" t="s">
        <v>36010</v>
      </c>
      <c r="K9530" t="s">
        <v>39029</v>
      </c>
      <c r="M9530" t="s">
        <v>41819</v>
      </c>
      <c r="N9530" t="s">
        <v>43166</v>
      </c>
      <c r="O9530" t="s">
        <v>43167</v>
      </c>
      <c r="P9530">
        <v>0</v>
      </c>
      <c r="Q9530">
        <v>7</v>
      </c>
      <c r="R9530" t="s">
        <v>43177</v>
      </c>
      <c r="S9530" t="s">
        <v>43494</v>
      </c>
      <c r="T9530" t="s">
        <v>44711</v>
      </c>
      <c r="U9530" t="s">
        <v>52800</v>
      </c>
      <c r="V9530" t="s">
        <v>57857</v>
      </c>
      <c r="W9530" t="s">
        <v>58688</v>
      </c>
      <c r="X9530" t="s">
        <v>43178</v>
      </c>
    </row>
    <row r="9531" spans="1:24">
      <c r="A9531">
        <f>HYPERLINK("https://www.philgeps.gov.ph/GEPSNONPILOT/Tender/SplashBidNoticeAbstractUI.aspx?menuIndex=3&amp;refID=7071187&amp;Result=3","7071187")</f>
        <v>0</v>
      </c>
      <c r="B9531" t="s">
        <v>878</v>
      </c>
      <c r="C9531" t="s">
        <v>12495</v>
      </c>
      <c r="D9531" t="s">
        <v>17416</v>
      </c>
      <c r="E9531" t="s">
        <v>25648</v>
      </c>
      <c r="F9531" t="s">
        <v>30052</v>
      </c>
      <c r="G9531" t="s">
        <v>30058</v>
      </c>
      <c r="H9531" t="s">
        <v>15498</v>
      </c>
      <c r="I9531" t="s">
        <v>4598</v>
      </c>
      <c r="J9531" t="s">
        <v>36011</v>
      </c>
      <c r="K9531" t="s">
        <v>39029</v>
      </c>
      <c r="M9531" t="s">
        <v>40197</v>
      </c>
      <c r="N9531" t="s">
        <v>43166</v>
      </c>
      <c r="O9531" t="s">
        <v>43167</v>
      </c>
      <c r="P9531">
        <v>0</v>
      </c>
      <c r="Q9531">
        <v>5</v>
      </c>
      <c r="R9531" t="s">
        <v>43177</v>
      </c>
      <c r="S9531" t="s">
        <v>43494</v>
      </c>
      <c r="T9531" t="s">
        <v>44841</v>
      </c>
      <c r="U9531" t="s">
        <v>52851</v>
      </c>
      <c r="W9531" t="s">
        <v>40197</v>
      </c>
      <c r="X9531" t="s">
        <v>43178</v>
      </c>
    </row>
    <row r="9532" spans="1:24">
      <c r="A9532">
        <f>HYPERLINK("https://www.philgeps.gov.ph/GEPSNONPILOT/Tender/SplashBidNoticeAbstractUI.aspx?menuIndex=3&amp;refID=7071213&amp;Result=3","7071213")</f>
        <v>0</v>
      </c>
      <c r="B9532" t="s">
        <v>2020</v>
      </c>
      <c r="C9532" t="s">
        <v>12496</v>
      </c>
      <c r="D9532" t="s">
        <v>17445</v>
      </c>
      <c r="E9532" t="s">
        <v>25649</v>
      </c>
      <c r="F9532" t="s">
        <v>30052</v>
      </c>
      <c r="G9532" t="s">
        <v>30058</v>
      </c>
      <c r="H9532" t="s">
        <v>15498</v>
      </c>
      <c r="I9532" t="s">
        <v>30177</v>
      </c>
      <c r="J9532" t="s">
        <v>31236</v>
      </c>
      <c r="K9532" t="s">
        <v>39017</v>
      </c>
      <c r="M9532" t="s">
        <v>41465</v>
      </c>
      <c r="N9532" t="s">
        <v>43166</v>
      </c>
      <c r="O9532" t="s">
        <v>43167</v>
      </c>
      <c r="P9532">
        <v>0</v>
      </c>
      <c r="Q9532">
        <v>0</v>
      </c>
      <c r="R9532" t="s">
        <v>43177</v>
      </c>
      <c r="S9532" t="s">
        <v>43494</v>
      </c>
      <c r="T9532" t="s">
        <v>44832</v>
      </c>
      <c r="U9532" t="s">
        <v>52852</v>
      </c>
      <c r="V9532" t="s">
        <v>57469</v>
      </c>
      <c r="W9532" t="s">
        <v>41465</v>
      </c>
      <c r="X9532" t="s">
        <v>43178</v>
      </c>
    </row>
    <row r="9533" spans="1:24">
      <c r="A9533">
        <f>HYPERLINK("https://www.philgeps.gov.ph/GEPSNONPILOT/Tender/SplashBidNoticeAbstractUI.aspx?menuIndex=3&amp;refID=7071469&amp;Result=3","7071469")</f>
        <v>0</v>
      </c>
      <c r="B9533" t="s">
        <v>777</v>
      </c>
      <c r="C9533" t="s">
        <v>12497</v>
      </c>
      <c r="E9533" t="s">
        <v>25650</v>
      </c>
      <c r="F9533" t="s">
        <v>30052</v>
      </c>
      <c r="G9533" t="s">
        <v>30058</v>
      </c>
      <c r="H9533" t="s">
        <v>15498</v>
      </c>
      <c r="I9533" t="s">
        <v>30091</v>
      </c>
      <c r="J9533" t="s">
        <v>36012</v>
      </c>
      <c r="K9533" t="s">
        <v>39025</v>
      </c>
      <c r="M9533" t="s">
        <v>40092</v>
      </c>
      <c r="N9533" t="s">
        <v>43166</v>
      </c>
      <c r="O9533" t="s">
        <v>43167</v>
      </c>
      <c r="P9533">
        <v>0</v>
      </c>
      <c r="Q9533">
        <v>8</v>
      </c>
      <c r="R9533" t="s">
        <v>43177</v>
      </c>
      <c r="S9533" t="s">
        <v>43494</v>
      </c>
      <c r="T9533" t="s">
        <v>44690</v>
      </c>
      <c r="U9533" t="s">
        <v>52853</v>
      </c>
      <c r="W9533" t="s">
        <v>40092</v>
      </c>
      <c r="X9533" t="s">
        <v>43178</v>
      </c>
    </row>
    <row r="9534" spans="1:24">
      <c r="A9534">
        <f>HYPERLINK("https://www.philgeps.gov.ph/GEPSNONPILOT/Tender/SplashBidNoticeAbstractUI.aspx?menuIndex=3&amp;refID=7071435&amp;Result=3","7071435")</f>
        <v>0</v>
      </c>
      <c r="B9534" t="s">
        <v>553</v>
      </c>
      <c r="C9534" t="s">
        <v>12498</v>
      </c>
      <c r="D9534" t="s">
        <v>17419</v>
      </c>
      <c r="E9534" t="s">
        <v>25651</v>
      </c>
      <c r="F9534" t="s">
        <v>30052</v>
      </c>
      <c r="G9534" t="s">
        <v>30058</v>
      </c>
      <c r="H9534" t="s">
        <v>15498</v>
      </c>
      <c r="I9534" t="s">
        <v>30076</v>
      </c>
      <c r="J9534" t="s">
        <v>36013</v>
      </c>
      <c r="K9534" t="s">
        <v>39029</v>
      </c>
      <c r="M9534" t="s">
        <v>39855</v>
      </c>
      <c r="N9534" t="s">
        <v>43166</v>
      </c>
      <c r="O9534" t="s">
        <v>43167</v>
      </c>
      <c r="P9534">
        <v>0</v>
      </c>
      <c r="Q9534">
        <v>4</v>
      </c>
      <c r="R9534" t="s">
        <v>43177</v>
      </c>
      <c r="S9534" t="s">
        <v>43494</v>
      </c>
      <c r="T9534" t="s">
        <v>44882</v>
      </c>
      <c r="U9534" t="s">
        <v>52854</v>
      </c>
      <c r="V9534" t="s">
        <v>57549</v>
      </c>
      <c r="W9534" t="s">
        <v>39855</v>
      </c>
      <c r="X9534" t="s">
        <v>43178</v>
      </c>
    </row>
    <row r="9535" spans="1:24">
      <c r="A9535">
        <f>HYPERLINK("https://www.philgeps.gov.ph/GEPSNONPILOT/Tender/SplashBidNoticeAbstractUI.aspx?menuIndex=3&amp;refID=7071405&amp;Result=3","7071405")</f>
        <v>0</v>
      </c>
      <c r="B9535" t="s">
        <v>2550</v>
      </c>
      <c r="C9535" t="s">
        <v>12499</v>
      </c>
      <c r="D9535" t="s">
        <v>17445</v>
      </c>
      <c r="E9535" t="s">
        <v>25652</v>
      </c>
      <c r="F9535" t="s">
        <v>30052</v>
      </c>
      <c r="G9535" t="s">
        <v>30058</v>
      </c>
      <c r="H9535" t="s">
        <v>15498</v>
      </c>
      <c r="I9535" t="s">
        <v>30135</v>
      </c>
      <c r="J9535" t="s">
        <v>36014</v>
      </c>
      <c r="K9535" t="s">
        <v>39031</v>
      </c>
      <c r="M9535" t="s">
        <v>42120</v>
      </c>
      <c r="N9535" t="s">
        <v>43166</v>
      </c>
      <c r="O9535" t="s">
        <v>43167</v>
      </c>
      <c r="P9535">
        <v>0</v>
      </c>
      <c r="Q9535">
        <v>7</v>
      </c>
      <c r="R9535" t="s">
        <v>43177</v>
      </c>
      <c r="S9535" t="s">
        <v>43494</v>
      </c>
      <c r="T9535" t="s">
        <v>44945</v>
      </c>
      <c r="U9535" t="s">
        <v>52829</v>
      </c>
      <c r="W9535" t="s">
        <v>42120</v>
      </c>
      <c r="X9535" t="s">
        <v>43178</v>
      </c>
    </row>
    <row r="9536" spans="1:24">
      <c r="A9536">
        <f>HYPERLINK("https://www.philgeps.gov.ph/GEPSNONPILOT/Tender/SplashBidNoticeAbstractUI.aspx?menuIndex=3&amp;refID=7071357&amp;Result=3","7071357")</f>
        <v>0</v>
      </c>
      <c r="B9536" t="s">
        <v>2798</v>
      </c>
      <c r="C9536" t="s">
        <v>12500</v>
      </c>
      <c r="D9536" t="s">
        <v>17441</v>
      </c>
      <c r="E9536" t="s">
        <v>25653</v>
      </c>
      <c r="F9536" t="s">
        <v>30052</v>
      </c>
      <c r="G9536" t="s">
        <v>30059</v>
      </c>
      <c r="H9536" t="s">
        <v>30069</v>
      </c>
      <c r="I9536" t="s">
        <v>30152</v>
      </c>
      <c r="J9536" t="s">
        <v>30900</v>
      </c>
      <c r="K9536" t="s">
        <v>39023</v>
      </c>
      <c r="M9536" t="s">
        <v>42338</v>
      </c>
      <c r="N9536" t="s">
        <v>43166</v>
      </c>
      <c r="O9536" t="s">
        <v>43167</v>
      </c>
      <c r="P9536">
        <v>0</v>
      </c>
      <c r="Q9536">
        <v>2</v>
      </c>
      <c r="R9536" t="s">
        <v>43177</v>
      </c>
      <c r="S9536" t="s">
        <v>43494</v>
      </c>
      <c r="T9536" t="s">
        <v>44870</v>
      </c>
      <c r="U9536" t="s">
        <v>52855</v>
      </c>
      <c r="W9536" t="s">
        <v>42338</v>
      </c>
      <c r="X9536" t="s">
        <v>43178</v>
      </c>
    </row>
    <row r="9537" spans="1:24">
      <c r="A9537">
        <f>HYPERLINK("https://www.philgeps.gov.ph/GEPSNONPILOT/Tender/SplashBidNoticeAbstractUI.aspx?menuIndex=3&amp;refID=7071355&amp;Result=3","7071355")</f>
        <v>0</v>
      </c>
      <c r="B9537" t="s">
        <v>2550</v>
      </c>
      <c r="C9537" t="s">
        <v>12501</v>
      </c>
      <c r="D9537" t="s">
        <v>17445</v>
      </c>
      <c r="E9537" t="s">
        <v>25654</v>
      </c>
      <c r="F9537" t="s">
        <v>30052</v>
      </c>
      <c r="G9537" t="s">
        <v>30058</v>
      </c>
      <c r="H9537" t="s">
        <v>15498</v>
      </c>
      <c r="I9537" t="s">
        <v>30135</v>
      </c>
      <c r="J9537" t="s">
        <v>36015</v>
      </c>
      <c r="K9537" t="s">
        <v>39031</v>
      </c>
      <c r="M9537" t="s">
        <v>42120</v>
      </c>
      <c r="N9537" t="s">
        <v>43166</v>
      </c>
      <c r="O9537" t="s">
        <v>43167</v>
      </c>
      <c r="P9537">
        <v>0</v>
      </c>
      <c r="Q9537">
        <v>6</v>
      </c>
      <c r="R9537" t="s">
        <v>43177</v>
      </c>
      <c r="S9537" t="s">
        <v>43494</v>
      </c>
      <c r="T9537" t="s">
        <v>44945</v>
      </c>
      <c r="U9537" t="s">
        <v>52829</v>
      </c>
      <c r="W9537" t="s">
        <v>42120</v>
      </c>
      <c r="X9537" t="s">
        <v>43178</v>
      </c>
    </row>
    <row r="9538" spans="1:24">
      <c r="A9538">
        <f>HYPERLINK("https://www.philgeps.gov.ph/GEPSNONPILOT/Tender/SplashBidNoticeAbstractUI.aspx?menuIndex=3&amp;refID=7071453&amp;Result=3","7071453")</f>
        <v>0</v>
      </c>
      <c r="B9538" t="s">
        <v>2592</v>
      </c>
      <c r="C9538" t="s">
        <v>12502</v>
      </c>
      <c r="D9538" t="s">
        <v>17445</v>
      </c>
      <c r="E9538" t="s">
        <v>25655</v>
      </c>
      <c r="F9538" t="s">
        <v>30055</v>
      </c>
      <c r="G9538" t="s">
        <v>30058</v>
      </c>
      <c r="H9538" t="s">
        <v>15498</v>
      </c>
      <c r="I9538" t="s">
        <v>3852</v>
      </c>
      <c r="J9538" t="s">
        <v>30966</v>
      </c>
      <c r="K9538" t="s">
        <v>39025</v>
      </c>
      <c r="M9538" t="s">
        <v>42103</v>
      </c>
      <c r="N9538" t="s">
        <v>43166</v>
      </c>
      <c r="O9538" t="s">
        <v>43167</v>
      </c>
      <c r="P9538">
        <v>0</v>
      </c>
      <c r="Q9538">
        <v>0</v>
      </c>
      <c r="R9538" t="s">
        <v>43177</v>
      </c>
      <c r="S9538" t="s">
        <v>43494</v>
      </c>
      <c r="T9538" t="s">
        <v>44725</v>
      </c>
      <c r="U9538" t="s">
        <v>52856</v>
      </c>
      <c r="W9538" t="s">
        <v>42103</v>
      </c>
      <c r="X9538" t="s">
        <v>43178</v>
      </c>
    </row>
    <row r="9539" spans="1:24">
      <c r="A9539">
        <f>HYPERLINK("https://www.philgeps.gov.ph/GEPSNONPILOT/Tender/SplashBidNoticeAbstractUI.aspx?menuIndex=3&amp;refID=7071348&amp;Result=3","7071348")</f>
        <v>0</v>
      </c>
      <c r="B9539" t="s">
        <v>2794</v>
      </c>
      <c r="C9539" t="s">
        <v>12503</v>
      </c>
      <c r="D9539" t="s">
        <v>17414</v>
      </c>
      <c r="E9539" t="s">
        <v>25656</v>
      </c>
      <c r="F9539" t="s">
        <v>30052</v>
      </c>
      <c r="G9539" t="s">
        <v>30061</v>
      </c>
      <c r="H9539" t="s">
        <v>15498</v>
      </c>
      <c r="I9539" t="s">
        <v>3852</v>
      </c>
      <c r="J9539" t="s">
        <v>30337</v>
      </c>
      <c r="K9539" t="s">
        <v>39029</v>
      </c>
      <c r="M9539" t="s">
        <v>42334</v>
      </c>
      <c r="N9539" t="s">
        <v>43166</v>
      </c>
      <c r="O9539" t="s">
        <v>43167</v>
      </c>
      <c r="Q9539">
        <v>5</v>
      </c>
      <c r="R9539" t="s">
        <v>43177</v>
      </c>
      <c r="S9539" t="s">
        <v>43506</v>
      </c>
      <c r="T9539" t="s">
        <v>44710</v>
      </c>
      <c r="U9539" t="s">
        <v>52857</v>
      </c>
      <c r="V9539" t="s">
        <v>57865</v>
      </c>
      <c r="W9539" t="s">
        <v>42334</v>
      </c>
      <c r="X9539" t="s">
        <v>43178</v>
      </c>
    </row>
    <row r="9540" spans="1:24">
      <c r="A9540">
        <f>HYPERLINK("https://www.philgeps.gov.ph/GEPSNONPILOT/Tender/SplashBidNoticeAbstractUI.aspx?menuIndex=3&amp;refID=7071156&amp;Result=3","7071156")</f>
        <v>0</v>
      </c>
      <c r="B9540" t="s">
        <v>878</v>
      </c>
      <c r="C9540" t="s">
        <v>12504</v>
      </c>
      <c r="D9540" t="s">
        <v>17416</v>
      </c>
      <c r="E9540" t="s">
        <v>19462</v>
      </c>
      <c r="F9540" t="s">
        <v>30052</v>
      </c>
      <c r="G9540" t="s">
        <v>30058</v>
      </c>
      <c r="H9540" t="s">
        <v>15498</v>
      </c>
      <c r="I9540" t="s">
        <v>3852</v>
      </c>
      <c r="J9540" t="s">
        <v>35537</v>
      </c>
      <c r="K9540" t="s">
        <v>39029</v>
      </c>
      <c r="M9540" t="s">
        <v>40197</v>
      </c>
      <c r="N9540" t="s">
        <v>43166</v>
      </c>
      <c r="O9540" t="s">
        <v>43167</v>
      </c>
      <c r="P9540">
        <v>0</v>
      </c>
      <c r="Q9540">
        <v>1</v>
      </c>
      <c r="R9540" t="s">
        <v>43177</v>
      </c>
      <c r="S9540" t="s">
        <v>43494</v>
      </c>
      <c r="T9540" t="s">
        <v>44841</v>
      </c>
      <c r="U9540" t="s">
        <v>52858</v>
      </c>
      <c r="W9540" t="s">
        <v>40197</v>
      </c>
      <c r="X9540" t="s">
        <v>43178</v>
      </c>
    </row>
    <row r="9541" spans="1:24">
      <c r="A9541">
        <f>HYPERLINK("https://www.philgeps.gov.ph/GEPSNONPILOT/Tender/SplashBidNoticeAbstractUI.aspx?menuIndex=3&amp;refID=7071343&amp;Result=3","7071343")</f>
        <v>0</v>
      </c>
      <c r="B9541" t="s">
        <v>2799</v>
      </c>
      <c r="C9541" t="s">
        <v>12505</v>
      </c>
      <c r="D9541" t="s">
        <v>17458</v>
      </c>
      <c r="E9541" t="s">
        <v>24595</v>
      </c>
      <c r="F9541" t="s">
        <v>30052</v>
      </c>
      <c r="G9541" t="s">
        <v>30058</v>
      </c>
      <c r="H9541" t="s">
        <v>30067</v>
      </c>
      <c r="I9541" t="s">
        <v>3693</v>
      </c>
      <c r="J9541" t="s">
        <v>36016</v>
      </c>
      <c r="K9541" t="s">
        <v>39031</v>
      </c>
      <c r="M9541" t="s">
        <v>42339</v>
      </c>
      <c r="N9541" t="s">
        <v>43166</v>
      </c>
      <c r="O9541" t="s">
        <v>43167</v>
      </c>
      <c r="P9541">
        <v>0</v>
      </c>
      <c r="Q9541">
        <v>0</v>
      </c>
      <c r="R9541" t="s">
        <v>43177</v>
      </c>
      <c r="S9541" t="s">
        <v>43494</v>
      </c>
      <c r="T9541" t="s">
        <v>44815</v>
      </c>
      <c r="U9541" t="s">
        <v>52859</v>
      </c>
      <c r="W9541" t="s">
        <v>42339</v>
      </c>
      <c r="X9541" t="s">
        <v>43178</v>
      </c>
    </row>
    <row r="9542" spans="1:24">
      <c r="A9542">
        <f>HYPERLINK("https://www.philgeps.gov.ph/GEPSNONPILOT/Tender/SplashBidNoticeAbstractUI.aspx?menuIndex=3&amp;refID=7071339&amp;Result=3","7071339")</f>
        <v>0</v>
      </c>
      <c r="B9542" t="s">
        <v>2320</v>
      </c>
      <c r="C9542" t="s">
        <v>12506</v>
      </c>
      <c r="D9542" t="s">
        <v>17462</v>
      </c>
      <c r="E9542" t="s">
        <v>25657</v>
      </c>
      <c r="F9542" t="s">
        <v>30052</v>
      </c>
      <c r="G9542" t="s">
        <v>30058</v>
      </c>
      <c r="H9542" t="s">
        <v>30067</v>
      </c>
      <c r="I9542" t="s">
        <v>3693</v>
      </c>
      <c r="J9542" t="s">
        <v>36017</v>
      </c>
      <c r="K9542" t="s">
        <v>39046</v>
      </c>
      <c r="M9542" t="s">
        <v>41807</v>
      </c>
      <c r="N9542" t="s">
        <v>43166</v>
      </c>
      <c r="O9542" t="s">
        <v>43167</v>
      </c>
      <c r="P9542">
        <v>0</v>
      </c>
      <c r="Q9542">
        <v>6</v>
      </c>
      <c r="R9542" t="s">
        <v>43177</v>
      </c>
      <c r="S9542" t="s">
        <v>43494</v>
      </c>
      <c r="T9542" t="s">
        <v>44717</v>
      </c>
      <c r="U9542" t="s">
        <v>51193</v>
      </c>
      <c r="V9542" t="s">
        <v>57595</v>
      </c>
      <c r="W9542" t="s">
        <v>58669</v>
      </c>
      <c r="X9542" t="s">
        <v>43178</v>
      </c>
    </row>
    <row r="9543" spans="1:24">
      <c r="A9543">
        <f>HYPERLINK("https://www.philgeps.gov.ph/GEPSNONPILOT/Tender/SplashBidNoticeAbstractUI.aspx?menuIndex=3&amp;refID=7071675&amp;Result=3","7071675")</f>
        <v>0</v>
      </c>
      <c r="B9543" t="s">
        <v>743</v>
      </c>
      <c r="C9543" t="s">
        <v>12507</v>
      </c>
      <c r="D9543" t="s">
        <v>17458</v>
      </c>
      <c r="E9543" t="s">
        <v>25658</v>
      </c>
      <c r="F9543" t="s">
        <v>30052</v>
      </c>
      <c r="G9543" t="s">
        <v>30061</v>
      </c>
      <c r="H9543" t="s">
        <v>15498</v>
      </c>
      <c r="I9543" t="s">
        <v>9238</v>
      </c>
      <c r="J9543" t="s">
        <v>31133</v>
      </c>
      <c r="K9543" t="s">
        <v>39023</v>
      </c>
      <c r="M9543" t="s">
        <v>40057</v>
      </c>
      <c r="N9543" t="s">
        <v>43166</v>
      </c>
      <c r="O9543" t="s">
        <v>43167</v>
      </c>
      <c r="Q9543">
        <v>22</v>
      </c>
      <c r="R9543" t="s">
        <v>43177</v>
      </c>
      <c r="S9543" t="s">
        <v>43304</v>
      </c>
      <c r="T9543" t="s">
        <v>44691</v>
      </c>
      <c r="U9543" t="s">
        <v>46613</v>
      </c>
      <c r="W9543" t="s">
        <v>40057</v>
      </c>
      <c r="X9543" t="s">
        <v>43178</v>
      </c>
    </row>
    <row r="9544" spans="1:24">
      <c r="A9544">
        <f>HYPERLINK("https://www.philgeps.gov.ph/GEPSNONPILOT/Tender/SplashBidNoticeAbstractUI.aspx?menuIndex=3&amp;refID=7071354&amp;Result=3","7071354")</f>
        <v>0</v>
      </c>
      <c r="B9544" t="s">
        <v>722</v>
      </c>
      <c r="C9544" t="s">
        <v>12508</v>
      </c>
      <c r="D9544" t="s">
        <v>17474</v>
      </c>
      <c r="E9544" t="s">
        <v>25659</v>
      </c>
      <c r="F9544" t="s">
        <v>30055</v>
      </c>
      <c r="G9544" t="s">
        <v>30058</v>
      </c>
      <c r="H9544" t="s">
        <v>15498</v>
      </c>
      <c r="I9544" t="s">
        <v>30097</v>
      </c>
      <c r="J9544" t="s">
        <v>36018</v>
      </c>
      <c r="K9544" t="s">
        <v>39029</v>
      </c>
      <c r="M9544" t="s">
        <v>40033</v>
      </c>
      <c r="N9544" t="s">
        <v>43166</v>
      </c>
      <c r="O9544" t="s">
        <v>43167</v>
      </c>
      <c r="P9544">
        <v>0</v>
      </c>
      <c r="Q9544">
        <v>10</v>
      </c>
      <c r="R9544" t="s">
        <v>43177</v>
      </c>
      <c r="S9544" t="s">
        <v>43494</v>
      </c>
      <c r="T9544" t="s">
        <v>44733</v>
      </c>
      <c r="U9544" t="s">
        <v>46565</v>
      </c>
      <c r="V9544" t="s">
        <v>57014</v>
      </c>
      <c r="W9544" t="s">
        <v>58611</v>
      </c>
      <c r="X9544" t="s">
        <v>43178</v>
      </c>
    </row>
    <row r="9545" spans="1:24">
      <c r="A9545">
        <f>HYPERLINK("https://www.philgeps.gov.ph/GEPSNONPILOT/Tender/SplashBidNoticeAbstractUI.aspx?menuIndex=3&amp;refID=7071467&amp;Result=3","7071467")</f>
        <v>0</v>
      </c>
      <c r="B9545" t="s">
        <v>1057</v>
      </c>
      <c r="C9545" t="s">
        <v>12509</v>
      </c>
      <c r="D9545" t="s">
        <v>17423</v>
      </c>
      <c r="E9545" t="s">
        <v>25660</v>
      </c>
      <c r="F9545" t="s">
        <v>30052</v>
      </c>
      <c r="G9545" t="s">
        <v>30060</v>
      </c>
      <c r="H9545" t="s">
        <v>15498</v>
      </c>
      <c r="I9545" t="s">
        <v>3606</v>
      </c>
      <c r="J9545" t="s">
        <v>36019</v>
      </c>
      <c r="K9545" t="s">
        <v>39034</v>
      </c>
      <c r="M9545" t="s">
        <v>42340</v>
      </c>
      <c r="N9545" t="s">
        <v>43166</v>
      </c>
      <c r="O9545" t="s">
        <v>43167</v>
      </c>
      <c r="P9545">
        <v>0</v>
      </c>
      <c r="Q9545">
        <v>11</v>
      </c>
      <c r="R9545" t="s">
        <v>43177</v>
      </c>
      <c r="S9545" t="s">
        <v>43494</v>
      </c>
      <c r="T9545" t="s">
        <v>44797</v>
      </c>
      <c r="U9545" t="s">
        <v>52860</v>
      </c>
      <c r="V9545" t="s">
        <v>57868</v>
      </c>
      <c r="W9545" t="s">
        <v>42340</v>
      </c>
      <c r="X9545" t="s">
        <v>43178</v>
      </c>
    </row>
    <row r="9546" spans="1:24">
      <c r="A9546">
        <f>HYPERLINK("https://www.philgeps.gov.ph/GEPSNONPILOT/Tender/SplashBidNoticeAbstractUI.aspx?menuIndex=3&amp;refID=7071683&amp;Result=3","7071683")</f>
        <v>0</v>
      </c>
      <c r="B9546" t="s">
        <v>2300</v>
      </c>
      <c r="C9546" t="s">
        <v>12510</v>
      </c>
      <c r="D9546" t="s">
        <v>17434</v>
      </c>
      <c r="E9546" t="s">
        <v>25661</v>
      </c>
      <c r="F9546" t="s">
        <v>30052</v>
      </c>
      <c r="G9546" t="s">
        <v>30058</v>
      </c>
      <c r="H9546" t="s">
        <v>30067</v>
      </c>
      <c r="I9546" t="s">
        <v>3693</v>
      </c>
      <c r="J9546" t="s">
        <v>36020</v>
      </c>
      <c r="K9546" t="s">
        <v>39022</v>
      </c>
      <c r="M9546" t="s">
        <v>41785</v>
      </c>
      <c r="N9546" t="s">
        <v>43166</v>
      </c>
      <c r="O9546" t="s">
        <v>43167</v>
      </c>
      <c r="P9546">
        <v>0</v>
      </c>
      <c r="Q9546">
        <v>25</v>
      </c>
      <c r="R9546" t="s">
        <v>43177</v>
      </c>
      <c r="S9546" t="s">
        <v>43494</v>
      </c>
      <c r="T9546" t="s">
        <v>44750</v>
      </c>
      <c r="U9546" t="s">
        <v>52861</v>
      </c>
      <c r="V9546" t="s">
        <v>57428</v>
      </c>
      <c r="W9546" t="s">
        <v>41785</v>
      </c>
      <c r="X9546" t="s">
        <v>43178</v>
      </c>
    </row>
    <row r="9547" spans="1:24">
      <c r="A9547">
        <f>HYPERLINK("https://www.philgeps.gov.ph/GEPSNONPILOT/Tender/SplashBidNoticeAbstractUI.aspx?menuIndex=3&amp;refID=7071396&amp;Result=3","7071396")</f>
        <v>0</v>
      </c>
      <c r="B9547" t="s">
        <v>1442</v>
      </c>
      <c r="C9547" t="s">
        <v>12511</v>
      </c>
      <c r="D9547" t="s">
        <v>17421</v>
      </c>
      <c r="E9547" t="s">
        <v>25662</v>
      </c>
      <c r="F9547" t="s">
        <v>30052</v>
      </c>
      <c r="G9547" t="s">
        <v>30058</v>
      </c>
      <c r="H9547" t="s">
        <v>30067</v>
      </c>
      <c r="I9547" t="s">
        <v>3693</v>
      </c>
      <c r="J9547" t="s">
        <v>34853</v>
      </c>
      <c r="K9547" t="s">
        <v>39219</v>
      </c>
      <c r="M9547" t="s">
        <v>40820</v>
      </c>
      <c r="N9547" t="s">
        <v>43166</v>
      </c>
      <c r="O9547" t="s">
        <v>43167</v>
      </c>
      <c r="P9547">
        <v>0</v>
      </c>
      <c r="Q9547">
        <v>1</v>
      </c>
      <c r="R9547" t="s">
        <v>43177</v>
      </c>
      <c r="S9547" t="s">
        <v>43494</v>
      </c>
      <c r="T9547" t="s">
        <v>44754</v>
      </c>
      <c r="U9547" t="s">
        <v>52862</v>
      </c>
      <c r="W9547" t="s">
        <v>40820</v>
      </c>
      <c r="X9547" t="s">
        <v>43178</v>
      </c>
    </row>
    <row r="9548" spans="1:24">
      <c r="A9548">
        <f>HYPERLINK("https://www.philgeps.gov.ph/GEPSNONPILOT/Tender/SplashBidNoticeAbstractUI.aspx?menuIndex=3&amp;refID=7071657&amp;Result=3","7071657")</f>
        <v>0</v>
      </c>
      <c r="B9548" t="s">
        <v>743</v>
      </c>
      <c r="C9548" t="s">
        <v>12512</v>
      </c>
      <c r="D9548" t="s">
        <v>17458</v>
      </c>
      <c r="E9548" t="s">
        <v>25663</v>
      </c>
      <c r="F9548" t="s">
        <v>30052</v>
      </c>
      <c r="G9548" t="s">
        <v>30061</v>
      </c>
      <c r="H9548" t="s">
        <v>15498</v>
      </c>
      <c r="I9548" t="s">
        <v>9238</v>
      </c>
      <c r="J9548" t="s">
        <v>31397</v>
      </c>
      <c r="K9548" t="s">
        <v>39046</v>
      </c>
      <c r="M9548" t="s">
        <v>40057</v>
      </c>
      <c r="N9548" t="s">
        <v>43166</v>
      </c>
      <c r="O9548" t="s">
        <v>43167</v>
      </c>
      <c r="Q9548">
        <v>17</v>
      </c>
      <c r="R9548" t="s">
        <v>43177</v>
      </c>
      <c r="S9548" t="s">
        <v>43507</v>
      </c>
      <c r="T9548" t="s">
        <v>44691</v>
      </c>
      <c r="U9548" t="s">
        <v>46613</v>
      </c>
      <c r="W9548" t="s">
        <v>40057</v>
      </c>
      <c r="X9548" t="s">
        <v>43178</v>
      </c>
    </row>
    <row r="9549" spans="1:24">
      <c r="A9549">
        <f>HYPERLINK("https://www.philgeps.gov.ph/GEPSNONPILOT/Tender/SplashBidNoticeAbstractUI.aspx?menuIndex=3&amp;refID=7071625&amp;Result=3","7071625")</f>
        <v>0</v>
      </c>
      <c r="B9549" t="s">
        <v>743</v>
      </c>
      <c r="C9549" t="s">
        <v>12513</v>
      </c>
      <c r="D9549" t="s">
        <v>17458</v>
      </c>
      <c r="E9549" t="s">
        <v>25664</v>
      </c>
      <c r="F9549" t="s">
        <v>30052</v>
      </c>
      <c r="G9549" t="s">
        <v>30061</v>
      </c>
      <c r="H9549" t="s">
        <v>15498</v>
      </c>
      <c r="I9549" t="s">
        <v>30125</v>
      </c>
      <c r="J9549" t="s">
        <v>30292</v>
      </c>
      <c r="K9549" t="s">
        <v>39029</v>
      </c>
      <c r="M9549" t="s">
        <v>40057</v>
      </c>
      <c r="N9549" t="s">
        <v>43166</v>
      </c>
      <c r="O9549" t="s">
        <v>43167</v>
      </c>
      <c r="Q9549">
        <v>5</v>
      </c>
      <c r="R9549" t="s">
        <v>43177</v>
      </c>
      <c r="S9549" t="s">
        <v>43508</v>
      </c>
      <c r="T9549" t="s">
        <v>44691</v>
      </c>
      <c r="U9549" t="s">
        <v>46613</v>
      </c>
      <c r="W9549" t="s">
        <v>40057</v>
      </c>
      <c r="X9549" t="s">
        <v>43178</v>
      </c>
    </row>
    <row r="9550" spans="1:24">
      <c r="A9550">
        <f>HYPERLINK("https://www.philgeps.gov.ph/GEPSNONPILOT/Tender/SplashBidNoticeAbstractUI.aspx?menuIndex=3&amp;refID=7071164&amp;Result=3","7071164")</f>
        <v>0</v>
      </c>
      <c r="B9550" t="s">
        <v>878</v>
      </c>
      <c r="C9550" t="s">
        <v>12514</v>
      </c>
      <c r="D9550" t="s">
        <v>17416</v>
      </c>
      <c r="E9550" t="s">
        <v>19485</v>
      </c>
      <c r="F9550" t="s">
        <v>30052</v>
      </c>
      <c r="G9550" t="s">
        <v>30058</v>
      </c>
      <c r="H9550" t="s">
        <v>15498</v>
      </c>
      <c r="I9550" t="s">
        <v>3736</v>
      </c>
      <c r="J9550" t="s">
        <v>36021</v>
      </c>
      <c r="K9550" t="s">
        <v>39029</v>
      </c>
      <c r="M9550" t="s">
        <v>40197</v>
      </c>
      <c r="N9550" t="s">
        <v>43166</v>
      </c>
      <c r="O9550" t="s">
        <v>43167</v>
      </c>
      <c r="P9550">
        <v>0</v>
      </c>
      <c r="Q9550">
        <v>0</v>
      </c>
      <c r="R9550" t="s">
        <v>43177</v>
      </c>
      <c r="S9550" t="s">
        <v>43494</v>
      </c>
      <c r="T9550" t="s">
        <v>44841</v>
      </c>
      <c r="U9550" t="s">
        <v>52863</v>
      </c>
      <c r="W9550" t="s">
        <v>40197</v>
      </c>
      <c r="X9550" t="s">
        <v>43178</v>
      </c>
    </row>
    <row r="9551" spans="1:24">
      <c r="A9551">
        <f>HYPERLINK("https://www.philgeps.gov.ph/GEPSNONPILOT/Tender/SplashBidNoticeAbstractUI.aspx?menuIndex=3&amp;refID=7071623&amp;Result=3","7071623")</f>
        <v>0</v>
      </c>
      <c r="B9551" t="s">
        <v>2300</v>
      </c>
      <c r="C9551" t="s">
        <v>12515</v>
      </c>
      <c r="D9551" t="s">
        <v>17434</v>
      </c>
      <c r="E9551" t="s">
        <v>25665</v>
      </c>
      <c r="F9551" t="s">
        <v>30052</v>
      </c>
      <c r="G9551" t="s">
        <v>30058</v>
      </c>
      <c r="H9551" t="s">
        <v>30067</v>
      </c>
      <c r="I9551" t="s">
        <v>3693</v>
      </c>
      <c r="J9551" t="s">
        <v>36022</v>
      </c>
      <c r="K9551" t="s">
        <v>39026</v>
      </c>
      <c r="M9551" t="s">
        <v>41785</v>
      </c>
      <c r="N9551" t="s">
        <v>43166</v>
      </c>
      <c r="O9551" t="s">
        <v>43167</v>
      </c>
      <c r="P9551">
        <v>0</v>
      </c>
      <c r="Q9551">
        <v>26</v>
      </c>
      <c r="R9551" t="s">
        <v>43177</v>
      </c>
      <c r="S9551" t="s">
        <v>43494</v>
      </c>
      <c r="T9551" t="s">
        <v>44750</v>
      </c>
      <c r="U9551" t="s">
        <v>51124</v>
      </c>
      <c r="V9551" t="s">
        <v>57428</v>
      </c>
      <c r="W9551" t="s">
        <v>41785</v>
      </c>
      <c r="X9551" t="s">
        <v>43178</v>
      </c>
    </row>
    <row r="9552" spans="1:24">
      <c r="A9552">
        <f>HYPERLINK("https://www.philgeps.gov.ph/GEPSNONPILOT/Tender/SplashBidNoticeAbstractUI.aspx?menuIndex=3&amp;refID=7071488&amp;Result=3","7071488")</f>
        <v>0</v>
      </c>
      <c r="B9552" t="s">
        <v>1442</v>
      </c>
      <c r="C9552" t="s">
        <v>12516</v>
      </c>
      <c r="D9552" t="s">
        <v>17421</v>
      </c>
      <c r="E9552" t="s">
        <v>25666</v>
      </c>
      <c r="F9552" t="s">
        <v>30052</v>
      </c>
      <c r="G9552" t="s">
        <v>30058</v>
      </c>
      <c r="H9552" t="s">
        <v>30067</v>
      </c>
      <c r="I9552" t="s">
        <v>3693</v>
      </c>
      <c r="J9552" t="s">
        <v>34853</v>
      </c>
      <c r="K9552" t="s">
        <v>39220</v>
      </c>
      <c r="M9552" t="s">
        <v>40820</v>
      </c>
      <c r="N9552" t="s">
        <v>43166</v>
      </c>
      <c r="O9552" t="s">
        <v>43167</v>
      </c>
      <c r="P9552">
        <v>0</v>
      </c>
      <c r="Q9552">
        <v>4</v>
      </c>
      <c r="R9552" t="s">
        <v>43177</v>
      </c>
      <c r="S9552" t="s">
        <v>43494</v>
      </c>
      <c r="T9552" t="s">
        <v>44754</v>
      </c>
      <c r="U9552" t="s">
        <v>48416</v>
      </c>
      <c r="W9552" t="s">
        <v>40820</v>
      </c>
      <c r="X9552" t="s">
        <v>43178</v>
      </c>
    </row>
    <row r="9553" spans="1:24">
      <c r="A9553">
        <f>HYPERLINK("https://www.philgeps.gov.ph/GEPSNONPILOT/Tender/SplashBidNoticeAbstractUI.aspx?menuIndex=3&amp;refID=7071609&amp;Result=3","7071609")</f>
        <v>0</v>
      </c>
      <c r="B9553" t="s">
        <v>743</v>
      </c>
      <c r="C9553" t="s">
        <v>12517</v>
      </c>
      <c r="D9553" t="s">
        <v>17458</v>
      </c>
      <c r="E9553" t="s">
        <v>25667</v>
      </c>
      <c r="F9553" t="s">
        <v>30052</v>
      </c>
      <c r="G9553" t="s">
        <v>30061</v>
      </c>
      <c r="H9553" t="s">
        <v>15498</v>
      </c>
      <c r="I9553" t="s">
        <v>30084</v>
      </c>
      <c r="J9553" t="s">
        <v>30252</v>
      </c>
      <c r="K9553" t="s">
        <v>39025</v>
      </c>
      <c r="M9553" t="s">
        <v>40057</v>
      </c>
      <c r="N9553" t="s">
        <v>43166</v>
      </c>
      <c r="O9553" t="s">
        <v>43167</v>
      </c>
      <c r="Q9553">
        <v>13</v>
      </c>
      <c r="R9553" t="s">
        <v>43177</v>
      </c>
      <c r="S9553" t="s">
        <v>43509</v>
      </c>
      <c r="T9553" t="s">
        <v>44691</v>
      </c>
      <c r="U9553" t="s">
        <v>46613</v>
      </c>
      <c r="W9553" t="s">
        <v>40057</v>
      </c>
      <c r="X9553" t="s">
        <v>43178</v>
      </c>
    </row>
    <row r="9554" spans="1:24">
      <c r="A9554">
        <f>HYPERLINK("https://www.philgeps.gov.ph/GEPSNONPILOT/Tender/SplashBidNoticeAbstractUI.aspx?menuIndex=3&amp;refID=7071682&amp;Result=3","7071682")</f>
        <v>0</v>
      </c>
      <c r="B9554" t="s">
        <v>2800</v>
      </c>
      <c r="C9554" t="s">
        <v>12518</v>
      </c>
      <c r="D9554" t="s">
        <v>17444</v>
      </c>
      <c r="E9554" t="s">
        <v>25668</v>
      </c>
      <c r="F9554" t="s">
        <v>30052</v>
      </c>
      <c r="G9554" t="s">
        <v>30058</v>
      </c>
      <c r="H9554" t="s">
        <v>15498</v>
      </c>
      <c r="I9554" t="s">
        <v>3736</v>
      </c>
      <c r="J9554" t="s">
        <v>36023</v>
      </c>
      <c r="K9554" t="s">
        <v>39025</v>
      </c>
      <c r="M9554" t="s">
        <v>42341</v>
      </c>
      <c r="N9554" t="s">
        <v>43166</v>
      </c>
      <c r="O9554" t="s">
        <v>43167</v>
      </c>
      <c r="P9554">
        <v>0</v>
      </c>
      <c r="Q9554">
        <v>0</v>
      </c>
      <c r="R9554" t="s">
        <v>43177</v>
      </c>
      <c r="S9554" t="s">
        <v>43494</v>
      </c>
      <c r="T9554" t="s">
        <v>44922</v>
      </c>
      <c r="U9554" t="s">
        <v>52864</v>
      </c>
      <c r="W9554" t="s">
        <v>42341</v>
      </c>
      <c r="X9554" t="s">
        <v>43178</v>
      </c>
    </row>
    <row r="9555" spans="1:24">
      <c r="A9555">
        <f>HYPERLINK("https://www.philgeps.gov.ph/GEPSNONPILOT/Tender/SplashBidNoticeAbstractUI.aspx?menuIndex=3&amp;refID=7070834&amp;Result=3","7070834")</f>
        <v>0</v>
      </c>
      <c r="B9555" t="s">
        <v>2801</v>
      </c>
      <c r="C9555" t="s">
        <v>12519</v>
      </c>
      <c r="D9555" t="s">
        <v>17466</v>
      </c>
      <c r="E9555" t="s">
        <v>23698</v>
      </c>
      <c r="F9555" t="s">
        <v>30052</v>
      </c>
      <c r="G9555" t="s">
        <v>30058</v>
      </c>
      <c r="H9555" t="s">
        <v>15498</v>
      </c>
      <c r="I9555" t="s">
        <v>30070</v>
      </c>
      <c r="J9555" t="s">
        <v>36024</v>
      </c>
      <c r="K9555" t="s">
        <v>39039</v>
      </c>
      <c r="M9555" t="s">
        <v>42342</v>
      </c>
      <c r="N9555" t="s">
        <v>43166</v>
      </c>
      <c r="O9555" t="s">
        <v>43167</v>
      </c>
      <c r="P9555">
        <v>0</v>
      </c>
      <c r="Q9555">
        <v>1</v>
      </c>
      <c r="R9555" t="s">
        <v>43177</v>
      </c>
      <c r="S9555" t="s">
        <v>43494</v>
      </c>
      <c r="T9555" t="s">
        <v>44813</v>
      </c>
      <c r="U9555" t="s">
        <v>52865</v>
      </c>
      <c r="W9555" t="s">
        <v>42342</v>
      </c>
      <c r="X9555" t="s">
        <v>43178</v>
      </c>
    </row>
    <row r="9556" spans="1:24">
      <c r="A9556">
        <f>HYPERLINK("https://www.philgeps.gov.ph/GEPSNONPILOT/Tender/SplashBidNoticeAbstractUI.aspx?menuIndex=3&amp;refID=7071714&amp;Result=3","7071714")</f>
        <v>0</v>
      </c>
      <c r="B9556" t="s">
        <v>2300</v>
      </c>
      <c r="C9556" t="s">
        <v>12520</v>
      </c>
      <c r="D9556" t="s">
        <v>17434</v>
      </c>
      <c r="E9556" t="s">
        <v>25669</v>
      </c>
      <c r="F9556" t="s">
        <v>30052</v>
      </c>
      <c r="G9556" t="s">
        <v>30058</v>
      </c>
      <c r="H9556" t="s">
        <v>30067</v>
      </c>
      <c r="I9556" t="s">
        <v>3693</v>
      </c>
      <c r="J9556" t="s">
        <v>36025</v>
      </c>
      <c r="K9556" t="s">
        <v>39031</v>
      </c>
      <c r="M9556" t="s">
        <v>41785</v>
      </c>
      <c r="N9556" t="s">
        <v>43166</v>
      </c>
      <c r="O9556" t="s">
        <v>43167</v>
      </c>
      <c r="P9556">
        <v>0</v>
      </c>
      <c r="Q9556">
        <v>33</v>
      </c>
      <c r="R9556" t="s">
        <v>43177</v>
      </c>
      <c r="S9556" t="s">
        <v>43494</v>
      </c>
      <c r="T9556" t="s">
        <v>44750</v>
      </c>
      <c r="U9556" t="s">
        <v>52866</v>
      </c>
      <c r="V9556" t="s">
        <v>57869</v>
      </c>
      <c r="W9556" t="s">
        <v>41785</v>
      </c>
      <c r="X9556" t="s">
        <v>43178</v>
      </c>
    </row>
    <row r="9557" spans="1:24">
      <c r="A9557">
        <f>HYPERLINK("https://www.philgeps.gov.ph/GEPSNONPILOT/Tender/SplashBidNoticeAbstractUI.aspx?menuIndex=3&amp;refID=7071560&amp;Result=3","7071560")</f>
        <v>0</v>
      </c>
      <c r="B9557" t="s">
        <v>1134</v>
      </c>
      <c r="C9557" t="s">
        <v>12521</v>
      </c>
      <c r="D9557" t="s">
        <v>17459</v>
      </c>
      <c r="E9557" t="s">
        <v>25670</v>
      </c>
      <c r="F9557" t="s">
        <v>30052</v>
      </c>
      <c r="G9557" t="s">
        <v>30059</v>
      </c>
      <c r="H9557" t="s">
        <v>15498</v>
      </c>
      <c r="I9557" t="s">
        <v>30070</v>
      </c>
      <c r="J9557" t="s">
        <v>36026</v>
      </c>
      <c r="K9557" t="s">
        <v>39037</v>
      </c>
      <c r="M9557" t="s">
        <v>40477</v>
      </c>
      <c r="N9557" t="s">
        <v>43166</v>
      </c>
      <c r="O9557" t="s">
        <v>43167</v>
      </c>
      <c r="P9557">
        <v>0</v>
      </c>
      <c r="Q9557">
        <v>1</v>
      </c>
      <c r="R9557" t="s">
        <v>43177</v>
      </c>
      <c r="S9557" t="s">
        <v>43494</v>
      </c>
      <c r="T9557" t="s">
        <v>44717</v>
      </c>
      <c r="U9557" t="s">
        <v>52867</v>
      </c>
      <c r="W9557" t="s">
        <v>40477</v>
      </c>
      <c r="X9557" t="s">
        <v>43178</v>
      </c>
    </row>
    <row r="9558" spans="1:24">
      <c r="A9558">
        <f>HYPERLINK("https://www.philgeps.gov.ph/GEPSNONPILOT/Tender/SplashBidNoticeAbstractUI.aspx?menuIndex=3&amp;refID=7071618&amp;Result=3","7071618")</f>
        <v>0</v>
      </c>
      <c r="B9558" t="s">
        <v>2550</v>
      </c>
      <c r="C9558" t="s">
        <v>12522</v>
      </c>
      <c r="D9558" t="s">
        <v>17445</v>
      </c>
      <c r="E9558" t="s">
        <v>25671</v>
      </c>
      <c r="F9558" t="s">
        <v>30052</v>
      </c>
      <c r="G9558" t="s">
        <v>30058</v>
      </c>
      <c r="H9558" t="s">
        <v>15498</v>
      </c>
      <c r="I9558" t="s">
        <v>30135</v>
      </c>
      <c r="J9558" t="s">
        <v>36027</v>
      </c>
      <c r="K9558" t="s">
        <v>39031</v>
      </c>
      <c r="M9558" t="s">
        <v>42120</v>
      </c>
      <c r="N9558" t="s">
        <v>43166</v>
      </c>
      <c r="O9558" t="s">
        <v>43167</v>
      </c>
      <c r="P9558">
        <v>0</v>
      </c>
      <c r="Q9558">
        <v>7</v>
      </c>
      <c r="R9558" t="s">
        <v>43177</v>
      </c>
      <c r="S9558" t="s">
        <v>43494</v>
      </c>
      <c r="T9558" t="s">
        <v>44945</v>
      </c>
      <c r="U9558" t="s">
        <v>52829</v>
      </c>
      <c r="W9558" t="s">
        <v>42120</v>
      </c>
      <c r="X9558" t="s">
        <v>43178</v>
      </c>
    </row>
    <row r="9559" spans="1:24">
      <c r="A9559">
        <f>HYPERLINK("https://www.philgeps.gov.ph/GEPSNONPILOT/Tender/SplashBidNoticeAbstractUI.aspx?menuIndex=3&amp;refID=7071600&amp;Result=3","7071600")</f>
        <v>0</v>
      </c>
      <c r="B9559" t="s">
        <v>2802</v>
      </c>
      <c r="C9559" t="s">
        <v>12523</v>
      </c>
      <c r="D9559" t="s">
        <v>17430</v>
      </c>
      <c r="E9559" t="s">
        <v>25672</v>
      </c>
      <c r="F9559" t="s">
        <v>30052</v>
      </c>
      <c r="G9559" t="s">
        <v>30058</v>
      </c>
      <c r="H9559" t="s">
        <v>30067</v>
      </c>
      <c r="I9559" t="s">
        <v>3693</v>
      </c>
      <c r="J9559" t="s">
        <v>36028</v>
      </c>
      <c r="K9559" t="s">
        <v>39023</v>
      </c>
      <c r="M9559" t="s">
        <v>42343</v>
      </c>
      <c r="N9559" t="s">
        <v>43166</v>
      </c>
      <c r="O9559" t="s">
        <v>43167</v>
      </c>
      <c r="P9559">
        <v>0</v>
      </c>
      <c r="Q9559">
        <v>1</v>
      </c>
      <c r="R9559" t="s">
        <v>43177</v>
      </c>
      <c r="S9559" t="s">
        <v>43494</v>
      </c>
      <c r="T9559" t="s">
        <v>44690</v>
      </c>
      <c r="U9559" t="s">
        <v>52868</v>
      </c>
      <c r="V9559" t="s">
        <v>57870</v>
      </c>
      <c r="W9559" t="s">
        <v>42343</v>
      </c>
      <c r="X9559" t="s">
        <v>43178</v>
      </c>
    </row>
    <row r="9560" spans="1:24">
      <c r="A9560">
        <f>HYPERLINK("https://www.philgeps.gov.ph/GEPSNONPILOT/Tender/SplashBidNoticeAbstractUI.aspx?menuIndex=3&amp;refID=7071859&amp;Result=3","7071859")</f>
        <v>0</v>
      </c>
      <c r="B9560" t="s">
        <v>2803</v>
      </c>
      <c r="C9560" t="s">
        <v>12524</v>
      </c>
      <c r="D9560" t="s">
        <v>17471</v>
      </c>
      <c r="E9560" t="s">
        <v>25673</v>
      </c>
      <c r="F9560" t="s">
        <v>30057</v>
      </c>
      <c r="G9560" t="s">
        <v>30058</v>
      </c>
      <c r="H9560" t="s">
        <v>15498</v>
      </c>
      <c r="I9560" t="s">
        <v>3736</v>
      </c>
      <c r="J9560" t="s">
        <v>36029</v>
      </c>
      <c r="K9560" t="s">
        <v>39019</v>
      </c>
      <c r="M9560" t="s">
        <v>42344</v>
      </c>
      <c r="N9560" t="s">
        <v>43166</v>
      </c>
      <c r="O9560" t="s">
        <v>43167</v>
      </c>
      <c r="P9560">
        <v>0</v>
      </c>
      <c r="Q9560">
        <v>0</v>
      </c>
      <c r="R9560" t="s">
        <v>43177</v>
      </c>
      <c r="S9560" t="s">
        <v>43494</v>
      </c>
      <c r="T9560" t="s">
        <v>44704</v>
      </c>
      <c r="U9560" t="s">
        <v>52869</v>
      </c>
      <c r="W9560" t="s">
        <v>42344</v>
      </c>
      <c r="X9560" t="s">
        <v>43178</v>
      </c>
    </row>
    <row r="9561" spans="1:24">
      <c r="A9561">
        <f>HYPERLINK("https://www.philgeps.gov.ph/GEPSNONPILOT/Tender/SplashBidNoticeAbstractUI.aspx?menuIndex=3&amp;refID=7071595&amp;Result=3","7071595")</f>
        <v>0</v>
      </c>
      <c r="B9561" t="s">
        <v>553</v>
      </c>
      <c r="C9561" t="s">
        <v>12525</v>
      </c>
      <c r="D9561" t="s">
        <v>17419</v>
      </c>
      <c r="E9561" t="s">
        <v>25674</v>
      </c>
      <c r="F9561" t="s">
        <v>30052</v>
      </c>
      <c r="G9561" t="s">
        <v>30058</v>
      </c>
      <c r="H9561" t="s">
        <v>15498</v>
      </c>
      <c r="I9561" t="s">
        <v>30076</v>
      </c>
      <c r="J9561" t="s">
        <v>36030</v>
      </c>
      <c r="K9561" t="s">
        <v>39029</v>
      </c>
      <c r="M9561" t="s">
        <v>39855</v>
      </c>
      <c r="N9561" t="s">
        <v>43166</v>
      </c>
      <c r="O9561" t="s">
        <v>43167</v>
      </c>
      <c r="P9561">
        <v>0</v>
      </c>
      <c r="Q9561">
        <v>3</v>
      </c>
      <c r="R9561" t="s">
        <v>43177</v>
      </c>
      <c r="S9561" t="s">
        <v>43494</v>
      </c>
      <c r="T9561" t="s">
        <v>44882</v>
      </c>
      <c r="U9561" t="s">
        <v>52870</v>
      </c>
      <c r="V9561" t="s">
        <v>57549</v>
      </c>
      <c r="W9561" t="s">
        <v>39855</v>
      </c>
      <c r="X9561" t="s">
        <v>43178</v>
      </c>
    </row>
    <row r="9562" spans="1:24">
      <c r="A9562">
        <f>HYPERLINK("https://www.philgeps.gov.ph/GEPSNONPILOT/Tender/SplashBidNoticeAbstractUI.aspx?menuIndex=3&amp;refID=7071647&amp;Result=3","7071647")</f>
        <v>0</v>
      </c>
      <c r="B9562" t="s">
        <v>1969</v>
      </c>
      <c r="C9562" t="s">
        <v>12526</v>
      </c>
      <c r="D9562" t="s">
        <v>17437</v>
      </c>
      <c r="E9562" t="s">
        <v>23407</v>
      </c>
      <c r="F9562" t="s">
        <v>30052</v>
      </c>
      <c r="G9562" t="s">
        <v>30058</v>
      </c>
      <c r="H9562" t="s">
        <v>15498</v>
      </c>
      <c r="I9562" t="s">
        <v>30074</v>
      </c>
      <c r="J9562" t="s">
        <v>32072</v>
      </c>
      <c r="K9562" t="s">
        <v>39025</v>
      </c>
      <c r="M9562" t="s">
        <v>41408</v>
      </c>
      <c r="N9562" t="s">
        <v>43166</v>
      </c>
      <c r="O9562" t="s">
        <v>43167</v>
      </c>
      <c r="P9562">
        <v>0</v>
      </c>
      <c r="Q9562">
        <v>3</v>
      </c>
      <c r="R9562" t="s">
        <v>43177</v>
      </c>
      <c r="S9562" t="s">
        <v>43494</v>
      </c>
      <c r="T9562" t="s">
        <v>44716</v>
      </c>
      <c r="U9562" t="s">
        <v>52871</v>
      </c>
      <c r="V9562" t="s">
        <v>57871</v>
      </c>
      <c r="W9562" t="s">
        <v>41408</v>
      </c>
      <c r="X9562" t="s">
        <v>43178</v>
      </c>
    </row>
    <row r="9563" spans="1:24">
      <c r="A9563">
        <f>HYPERLINK("https://www.philgeps.gov.ph/GEPSNONPILOT/Tender/SplashBidNoticeAbstractUI.aspx?menuIndex=3&amp;refID=7071852&amp;Result=3","7071852")</f>
        <v>0</v>
      </c>
      <c r="B9563" t="s">
        <v>2804</v>
      </c>
      <c r="C9563" t="s">
        <v>12527</v>
      </c>
      <c r="D9563" t="s">
        <v>17465</v>
      </c>
      <c r="E9563" t="s">
        <v>17799</v>
      </c>
      <c r="F9563" t="s">
        <v>30055</v>
      </c>
      <c r="G9563" t="s">
        <v>30058</v>
      </c>
      <c r="H9563" t="s">
        <v>15498</v>
      </c>
      <c r="I9563" t="s">
        <v>3852</v>
      </c>
      <c r="J9563" t="s">
        <v>36031</v>
      </c>
      <c r="K9563" t="s">
        <v>39019</v>
      </c>
      <c r="M9563" t="s">
        <v>42345</v>
      </c>
      <c r="N9563" t="s">
        <v>43166</v>
      </c>
      <c r="O9563" t="s">
        <v>43167</v>
      </c>
      <c r="P9563">
        <v>0</v>
      </c>
      <c r="Q9563">
        <v>4</v>
      </c>
      <c r="R9563" t="s">
        <v>43177</v>
      </c>
      <c r="S9563" t="s">
        <v>43494</v>
      </c>
      <c r="T9563" t="s">
        <v>44724</v>
      </c>
      <c r="U9563" t="s">
        <v>52872</v>
      </c>
      <c r="W9563" t="s">
        <v>42345</v>
      </c>
      <c r="X9563" t="s">
        <v>43178</v>
      </c>
    </row>
    <row r="9564" spans="1:24">
      <c r="A9564">
        <f>HYPERLINK("https://www.philgeps.gov.ph/GEPSNONPILOT/Tender/SplashBidNoticeAbstractUI.aspx?menuIndex=3&amp;refID=7071833&amp;Result=3","7071833")</f>
        <v>0</v>
      </c>
      <c r="B9564" t="s">
        <v>2803</v>
      </c>
      <c r="C9564" t="s">
        <v>12528</v>
      </c>
      <c r="D9564" t="s">
        <v>17471</v>
      </c>
      <c r="E9564" t="s">
        <v>25675</v>
      </c>
      <c r="F9564" t="s">
        <v>30052</v>
      </c>
      <c r="G9564" t="s">
        <v>30058</v>
      </c>
      <c r="H9564" t="s">
        <v>15498</v>
      </c>
      <c r="I9564" t="s">
        <v>3736</v>
      </c>
      <c r="J9564" t="s">
        <v>34598</v>
      </c>
      <c r="K9564" t="s">
        <v>39019</v>
      </c>
      <c r="M9564" t="s">
        <v>42344</v>
      </c>
      <c r="N9564" t="s">
        <v>43166</v>
      </c>
      <c r="O9564" t="s">
        <v>43167</v>
      </c>
      <c r="P9564">
        <v>0</v>
      </c>
      <c r="Q9564">
        <v>0</v>
      </c>
      <c r="R9564" t="s">
        <v>43177</v>
      </c>
      <c r="S9564" t="s">
        <v>43494</v>
      </c>
      <c r="T9564" t="s">
        <v>44724</v>
      </c>
      <c r="U9564" t="s">
        <v>52873</v>
      </c>
      <c r="W9564" t="s">
        <v>42344</v>
      </c>
      <c r="X9564" t="s">
        <v>43178</v>
      </c>
    </row>
    <row r="9565" spans="1:24">
      <c r="A9565">
        <f>HYPERLINK("https://www.philgeps.gov.ph/GEPSNONPILOT/Tender/SplashBidNoticeAbstractUI.aspx?menuIndex=3&amp;refID=7071825&amp;Result=3","7071825")</f>
        <v>0</v>
      </c>
      <c r="B9565" t="s">
        <v>968</v>
      </c>
      <c r="C9565" t="s">
        <v>12529</v>
      </c>
      <c r="D9565" t="s">
        <v>17444</v>
      </c>
      <c r="E9565" t="s">
        <v>25676</v>
      </c>
      <c r="F9565" t="s">
        <v>30052</v>
      </c>
      <c r="G9565" t="s">
        <v>30059</v>
      </c>
      <c r="H9565" t="s">
        <v>15498</v>
      </c>
      <c r="I9565" t="s">
        <v>30110</v>
      </c>
      <c r="J9565" t="s">
        <v>30766</v>
      </c>
      <c r="K9565" t="s">
        <v>39031</v>
      </c>
      <c r="M9565" t="s">
        <v>40294</v>
      </c>
      <c r="N9565" t="s">
        <v>43166</v>
      </c>
      <c r="O9565" t="s">
        <v>43167</v>
      </c>
      <c r="P9565">
        <v>0</v>
      </c>
      <c r="Q9565">
        <v>4</v>
      </c>
      <c r="R9565" t="s">
        <v>43177</v>
      </c>
      <c r="S9565" t="s">
        <v>43494</v>
      </c>
      <c r="T9565" t="s">
        <v>44710</v>
      </c>
      <c r="U9565" t="s">
        <v>52874</v>
      </c>
      <c r="W9565" t="s">
        <v>40294</v>
      </c>
      <c r="X9565" t="s">
        <v>43178</v>
      </c>
    </row>
    <row r="9566" spans="1:24">
      <c r="A9566">
        <f>HYPERLINK("https://www.philgeps.gov.ph/GEPSNONPILOT/Tender/SplashBidNoticeAbstractUI.aspx?menuIndex=3&amp;refID=7071828&amp;Result=3","7071828")</f>
        <v>0</v>
      </c>
      <c r="B9566" t="s">
        <v>2805</v>
      </c>
      <c r="C9566" t="s">
        <v>12530</v>
      </c>
      <c r="D9566" t="s">
        <v>17471</v>
      </c>
      <c r="E9566" t="s">
        <v>25677</v>
      </c>
      <c r="F9566" t="s">
        <v>30052</v>
      </c>
      <c r="G9566" t="s">
        <v>30058</v>
      </c>
      <c r="H9566" t="s">
        <v>30067</v>
      </c>
      <c r="I9566" t="s">
        <v>3693</v>
      </c>
      <c r="J9566" t="s">
        <v>30218</v>
      </c>
      <c r="K9566" t="s">
        <v>39029</v>
      </c>
      <c r="M9566" t="s">
        <v>42346</v>
      </c>
      <c r="N9566" t="s">
        <v>43166</v>
      </c>
      <c r="O9566" t="s">
        <v>43167</v>
      </c>
      <c r="P9566">
        <v>0</v>
      </c>
      <c r="Q9566">
        <v>0</v>
      </c>
      <c r="R9566" t="s">
        <v>43177</v>
      </c>
      <c r="S9566" t="s">
        <v>43494</v>
      </c>
      <c r="T9566" t="s">
        <v>44815</v>
      </c>
      <c r="U9566" t="s">
        <v>52875</v>
      </c>
      <c r="W9566" t="s">
        <v>42346</v>
      </c>
      <c r="X9566" t="s">
        <v>43178</v>
      </c>
    </row>
    <row r="9567" spans="1:24">
      <c r="A9567">
        <f>HYPERLINK("https://www.philgeps.gov.ph/GEPSNONPILOT/Tender/SplashBidNoticeAbstractUI.aspx?menuIndex=3&amp;refID=7071790&amp;Result=3","7071790")</f>
        <v>0</v>
      </c>
      <c r="B9567" t="s">
        <v>2300</v>
      </c>
      <c r="C9567" t="s">
        <v>12531</v>
      </c>
      <c r="D9567" t="s">
        <v>17434</v>
      </c>
      <c r="E9567" t="s">
        <v>25678</v>
      </c>
      <c r="F9567" t="s">
        <v>30052</v>
      </c>
      <c r="G9567" t="s">
        <v>30058</v>
      </c>
      <c r="H9567" t="s">
        <v>30067</v>
      </c>
      <c r="I9567" t="s">
        <v>3693</v>
      </c>
      <c r="J9567" t="s">
        <v>36032</v>
      </c>
      <c r="K9567" t="s">
        <v>39033</v>
      </c>
      <c r="M9567" t="s">
        <v>41785</v>
      </c>
      <c r="N9567" t="s">
        <v>43166</v>
      </c>
      <c r="O9567" t="s">
        <v>43167</v>
      </c>
      <c r="P9567">
        <v>0</v>
      </c>
      <c r="Q9567">
        <v>26</v>
      </c>
      <c r="R9567" t="s">
        <v>43177</v>
      </c>
      <c r="S9567" t="s">
        <v>43494</v>
      </c>
      <c r="T9567" t="s">
        <v>44750</v>
      </c>
      <c r="U9567" t="s">
        <v>52876</v>
      </c>
      <c r="V9567" t="s">
        <v>57428</v>
      </c>
      <c r="W9567" t="s">
        <v>41785</v>
      </c>
      <c r="X9567" t="s">
        <v>43178</v>
      </c>
    </row>
    <row r="9568" spans="1:24">
      <c r="A9568">
        <f>HYPERLINK("https://www.philgeps.gov.ph/GEPSNONPILOT/Tender/SplashBidNoticeAbstractUI.aspx?menuIndex=3&amp;refID=7071784&amp;Result=3","7071784")</f>
        <v>0</v>
      </c>
      <c r="B9568" t="s">
        <v>2806</v>
      </c>
      <c r="C9568" t="s">
        <v>12532</v>
      </c>
      <c r="D9568" t="s">
        <v>17422</v>
      </c>
      <c r="E9568" t="s">
        <v>25679</v>
      </c>
      <c r="F9568" t="s">
        <v>30052</v>
      </c>
      <c r="G9568" t="s">
        <v>30058</v>
      </c>
      <c r="H9568" t="s">
        <v>30067</v>
      </c>
      <c r="I9568" t="s">
        <v>3693</v>
      </c>
      <c r="J9568" t="s">
        <v>36033</v>
      </c>
      <c r="K9568" t="s">
        <v>39029</v>
      </c>
      <c r="M9568" t="s">
        <v>42347</v>
      </c>
      <c r="N9568" t="s">
        <v>43166</v>
      </c>
      <c r="O9568" t="s">
        <v>43167</v>
      </c>
      <c r="P9568">
        <v>0</v>
      </c>
      <c r="Q9568">
        <v>1</v>
      </c>
      <c r="R9568" t="s">
        <v>43177</v>
      </c>
      <c r="S9568" t="s">
        <v>43494</v>
      </c>
      <c r="T9568" t="s">
        <v>44773</v>
      </c>
      <c r="U9568" t="s">
        <v>52877</v>
      </c>
      <c r="V9568" t="s">
        <v>57872</v>
      </c>
      <c r="W9568" t="s">
        <v>42347</v>
      </c>
      <c r="X9568" t="s">
        <v>43178</v>
      </c>
    </row>
    <row r="9569" spans="1:24">
      <c r="A9569">
        <f>HYPERLINK("https://www.philgeps.gov.ph/GEPSNONPILOT/Tender/SplashBidNoticeAbstractUI.aspx?menuIndex=3&amp;refID=7071782&amp;Result=3","7071782")</f>
        <v>0</v>
      </c>
      <c r="B9569" t="s">
        <v>2800</v>
      </c>
      <c r="C9569" t="s">
        <v>12533</v>
      </c>
      <c r="D9569" t="s">
        <v>17444</v>
      </c>
      <c r="E9569" t="s">
        <v>25680</v>
      </c>
      <c r="F9569" t="s">
        <v>30052</v>
      </c>
      <c r="G9569" t="s">
        <v>30058</v>
      </c>
      <c r="H9569" t="s">
        <v>15498</v>
      </c>
      <c r="I9569" t="s">
        <v>30130</v>
      </c>
      <c r="J9569" t="s">
        <v>30343</v>
      </c>
      <c r="K9569" t="s">
        <v>39025</v>
      </c>
      <c r="M9569" t="s">
        <v>42341</v>
      </c>
      <c r="N9569" t="s">
        <v>43166</v>
      </c>
      <c r="O9569" t="s">
        <v>43167</v>
      </c>
      <c r="P9569">
        <v>0</v>
      </c>
      <c r="Q9569">
        <v>7</v>
      </c>
      <c r="R9569" t="s">
        <v>43177</v>
      </c>
      <c r="S9569" t="s">
        <v>43494</v>
      </c>
      <c r="T9569" t="s">
        <v>44922</v>
      </c>
      <c r="U9569" t="s">
        <v>52878</v>
      </c>
      <c r="W9569" t="s">
        <v>42341</v>
      </c>
      <c r="X9569" t="s">
        <v>43178</v>
      </c>
    </row>
    <row r="9570" spans="1:24">
      <c r="A9570">
        <f>HYPERLINK("https://www.philgeps.gov.ph/GEPSNONPILOT/Tender/SplashBidNoticeAbstractUI.aspx?menuIndex=3&amp;refID=7071827&amp;Result=3","7071827")</f>
        <v>0</v>
      </c>
      <c r="B9570" t="s">
        <v>2804</v>
      </c>
      <c r="C9570" t="s">
        <v>12534</v>
      </c>
      <c r="D9570" t="s">
        <v>17465</v>
      </c>
      <c r="E9570" t="s">
        <v>17843</v>
      </c>
      <c r="F9570" t="s">
        <v>30055</v>
      </c>
      <c r="G9570" t="s">
        <v>30058</v>
      </c>
      <c r="H9570" t="s">
        <v>15498</v>
      </c>
      <c r="I9570" t="s">
        <v>3852</v>
      </c>
      <c r="J9570" t="s">
        <v>36034</v>
      </c>
      <c r="K9570" t="s">
        <v>39019</v>
      </c>
      <c r="M9570" t="s">
        <v>42345</v>
      </c>
      <c r="N9570" t="s">
        <v>43166</v>
      </c>
      <c r="O9570" t="s">
        <v>43167</v>
      </c>
      <c r="P9570">
        <v>0</v>
      </c>
      <c r="Q9570">
        <v>3</v>
      </c>
      <c r="R9570" t="s">
        <v>43177</v>
      </c>
      <c r="S9570" t="s">
        <v>43494</v>
      </c>
      <c r="T9570" t="s">
        <v>44724</v>
      </c>
      <c r="U9570" t="s">
        <v>52879</v>
      </c>
      <c r="W9570" t="s">
        <v>42345</v>
      </c>
      <c r="X9570" t="s">
        <v>43178</v>
      </c>
    </row>
    <row r="9571" spans="1:24">
      <c r="A9571">
        <f>HYPERLINK("https://www.philgeps.gov.ph/GEPSNONPILOT/Tender/SplashBidNoticeAbstractUI.aspx?menuIndex=3&amp;refID=7071746&amp;Result=3","7071746")</f>
        <v>0</v>
      </c>
      <c r="B9571" t="s">
        <v>2807</v>
      </c>
      <c r="C9571" t="s">
        <v>12532</v>
      </c>
      <c r="D9571" t="s">
        <v>17422</v>
      </c>
      <c r="E9571" t="s">
        <v>25681</v>
      </c>
      <c r="F9571" t="s">
        <v>30052</v>
      </c>
      <c r="G9571" t="s">
        <v>30058</v>
      </c>
      <c r="H9571" t="s">
        <v>15498</v>
      </c>
      <c r="I9571" t="s">
        <v>3693</v>
      </c>
      <c r="J9571" t="s">
        <v>36035</v>
      </c>
      <c r="K9571" t="s">
        <v>39029</v>
      </c>
      <c r="M9571" t="s">
        <v>42348</v>
      </c>
      <c r="N9571" t="s">
        <v>43166</v>
      </c>
      <c r="O9571" t="s">
        <v>43167</v>
      </c>
      <c r="P9571">
        <v>0</v>
      </c>
      <c r="Q9571">
        <v>1</v>
      </c>
      <c r="R9571" t="s">
        <v>43177</v>
      </c>
      <c r="S9571" t="s">
        <v>43494</v>
      </c>
      <c r="T9571" t="s">
        <v>44717</v>
      </c>
      <c r="U9571" t="s">
        <v>52877</v>
      </c>
      <c r="V9571" t="s">
        <v>57873</v>
      </c>
      <c r="W9571" t="s">
        <v>42348</v>
      </c>
      <c r="X9571" t="s">
        <v>43178</v>
      </c>
    </row>
    <row r="9572" spans="1:24">
      <c r="A9572">
        <f>HYPERLINK("https://www.philgeps.gov.ph/GEPSNONPILOT/Tender/SplashBidNoticeAbstractUI.aspx?menuIndex=3&amp;refID=7071699&amp;Result=3","7071699")</f>
        <v>0</v>
      </c>
      <c r="B9572" t="s">
        <v>2808</v>
      </c>
      <c r="C9572" t="s">
        <v>12535</v>
      </c>
      <c r="D9572" t="s">
        <v>17445</v>
      </c>
      <c r="E9572" t="s">
        <v>25682</v>
      </c>
      <c r="F9572" t="s">
        <v>30052</v>
      </c>
      <c r="G9572" t="s">
        <v>30058</v>
      </c>
      <c r="H9572" t="s">
        <v>15498</v>
      </c>
      <c r="I9572" t="s">
        <v>30137</v>
      </c>
      <c r="J9572" t="s">
        <v>36036</v>
      </c>
      <c r="K9572" t="s">
        <v>39019</v>
      </c>
      <c r="M9572" t="s">
        <v>42349</v>
      </c>
      <c r="N9572" t="s">
        <v>43166</v>
      </c>
      <c r="O9572" t="s">
        <v>43167</v>
      </c>
      <c r="P9572">
        <v>0</v>
      </c>
      <c r="Q9572">
        <v>2</v>
      </c>
      <c r="R9572" t="s">
        <v>43177</v>
      </c>
      <c r="S9572" t="s">
        <v>43494</v>
      </c>
      <c r="T9572" t="s">
        <v>44712</v>
      </c>
      <c r="U9572" t="s">
        <v>52880</v>
      </c>
      <c r="W9572" t="s">
        <v>42349</v>
      </c>
      <c r="X9572" t="s">
        <v>43178</v>
      </c>
    </row>
    <row r="9573" spans="1:24">
      <c r="A9573">
        <f>HYPERLINK("https://www.philgeps.gov.ph/GEPSNONPILOT/Tender/SplashBidNoticeAbstractUI.aspx?menuIndex=3&amp;refID=7071824&amp;Result=3","7071824")</f>
        <v>0</v>
      </c>
      <c r="B9573" t="s">
        <v>2300</v>
      </c>
      <c r="C9573" t="s">
        <v>12536</v>
      </c>
      <c r="D9573" t="s">
        <v>17434</v>
      </c>
      <c r="E9573" t="s">
        <v>25683</v>
      </c>
      <c r="F9573" t="s">
        <v>30052</v>
      </c>
      <c r="G9573" t="s">
        <v>30058</v>
      </c>
      <c r="H9573" t="s">
        <v>30067</v>
      </c>
      <c r="I9573" t="s">
        <v>3693</v>
      </c>
      <c r="J9573" t="s">
        <v>36037</v>
      </c>
      <c r="K9573" t="s">
        <v>39092</v>
      </c>
      <c r="M9573" t="s">
        <v>41785</v>
      </c>
      <c r="N9573" t="s">
        <v>43166</v>
      </c>
      <c r="O9573" t="s">
        <v>43167</v>
      </c>
      <c r="P9573">
        <v>0</v>
      </c>
      <c r="Q9573">
        <v>27</v>
      </c>
      <c r="R9573" t="s">
        <v>43177</v>
      </c>
      <c r="S9573" t="s">
        <v>43494</v>
      </c>
      <c r="T9573" t="s">
        <v>44750</v>
      </c>
      <c r="U9573" t="s">
        <v>52881</v>
      </c>
      <c r="V9573" t="s">
        <v>57874</v>
      </c>
      <c r="W9573" t="s">
        <v>41785</v>
      </c>
      <c r="X9573" t="s">
        <v>43178</v>
      </c>
    </row>
    <row r="9574" spans="1:24">
      <c r="A9574">
        <f>HYPERLINK("https://www.philgeps.gov.ph/GEPSNONPILOT/Tender/SplashBidNoticeAbstractUI.aspx?menuIndex=3&amp;refID=7071733&amp;Result=3","7071733")</f>
        <v>0</v>
      </c>
      <c r="B9574" t="s">
        <v>743</v>
      </c>
      <c r="C9574" t="s">
        <v>12537</v>
      </c>
      <c r="D9574" t="s">
        <v>17458</v>
      </c>
      <c r="E9574" t="s">
        <v>25684</v>
      </c>
      <c r="F9574" t="s">
        <v>30052</v>
      </c>
      <c r="G9574" t="s">
        <v>30059</v>
      </c>
      <c r="H9574" t="s">
        <v>15498</v>
      </c>
      <c r="I9574" t="s">
        <v>30199</v>
      </c>
      <c r="J9574" t="s">
        <v>30230</v>
      </c>
      <c r="K9574" t="s">
        <v>39025</v>
      </c>
      <c r="M9574" t="s">
        <v>40057</v>
      </c>
      <c r="N9574" t="s">
        <v>43166</v>
      </c>
      <c r="O9574" t="s">
        <v>43167</v>
      </c>
      <c r="Q9574">
        <v>0</v>
      </c>
      <c r="R9574" t="s">
        <v>43177</v>
      </c>
      <c r="S9574" t="s">
        <v>43510</v>
      </c>
      <c r="T9574" t="s">
        <v>44691</v>
      </c>
      <c r="U9574" t="s">
        <v>46613</v>
      </c>
      <c r="W9574" t="s">
        <v>40057</v>
      </c>
      <c r="X9574" t="s">
        <v>43178</v>
      </c>
    </row>
    <row r="9575" spans="1:24">
      <c r="A9575">
        <f>HYPERLINK("https://www.philgeps.gov.ph/GEPSNONPILOT/Tender/SplashBidNoticeAbstractUI.aspx?menuIndex=3&amp;refID=7071848&amp;Result=3","7071848")</f>
        <v>0</v>
      </c>
      <c r="B9575" t="s">
        <v>2300</v>
      </c>
      <c r="C9575" t="s">
        <v>12538</v>
      </c>
      <c r="D9575" t="s">
        <v>17434</v>
      </c>
      <c r="E9575" t="s">
        <v>25685</v>
      </c>
      <c r="F9575" t="s">
        <v>30052</v>
      </c>
      <c r="G9575" t="s">
        <v>30058</v>
      </c>
      <c r="H9575" t="s">
        <v>30067</v>
      </c>
      <c r="I9575" t="s">
        <v>3693</v>
      </c>
      <c r="J9575" t="s">
        <v>36038</v>
      </c>
      <c r="K9575" t="s">
        <v>39190</v>
      </c>
      <c r="M9575" t="s">
        <v>41785</v>
      </c>
      <c r="N9575" t="s">
        <v>43166</v>
      </c>
      <c r="O9575" t="s">
        <v>43167</v>
      </c>
      <c r="P9575">
        <v>0</v>
      </c>
      <c r="Q9575">
        <v>27</v>
      </c>
      <c r="R9575" t="s">
        <v>43177</v>
      </c>
      <c r="S9575" t="s">
        <v>43494</v>
      </c>
      <c r="T9575" t="s">
        <v>44750</v>
      </c>
      <c r="U9575" t="s">
        <v>52882</v>
      </c>
      <c r="V9575" t="s">
        <v>57428</v>
      </c>
      <c r="W9575" t="s">
        <v>41785</v>
      </c>
      <c r="X9575" t="s">
        <v>43178</v>
      </c>
    </row>
    <row r="9576" spans="1:24">
      <c r="A9576">
        <f>HYPERLINK("https://www.philgeps.gov.ph/GEPSNONPILOT/Tender/SplashBidNoticeAbstractUI.aspx?menuIndex=3&amp;refID=7071765&amp;Result=3","7071765")</f>
        <v>0</v>
      </c>
      <c r="B9576" t="s">
        <v>2300</v>
      </c>
      <c r="C9576" t="s">
        <v>12539</v>
      </c>
      <c r="D9576" t="s">
        <v>17434</v>
      </c>
      <c r="E9576" t="s">
        <v>25686</v>
      </c>
      <c r="F9576" t="s">
        <v>30052</v>
      </c>
      <c r="G9576" t="s">
        <v>30058</v>
      </c>
      <c r="H9576" t="s">
        <v>30067</v>
      </c>
      <c r="I9576" t="s">
        <v>3693</v>
      </c>
      <c r="J9576" t="s">
        <v>36039</v>
      </c>
      <c r="K9576" t="s">
        <v>39166</v>
      </c>
      <c r="M9576" t="s">
        <v>41785</v>
      </c>
      <c r="N9576" t="s">
        <v>43166</v>
      </c>
      <c r="O9576" t="s">
        <v>43167</v>
      </c>
      <c r="Q9576">
        <v>36</v>
      </c>
      <c r="R9576" t="s">
        <v>43177</v>
      </c>
      <c r="S9576" t="s">
        <v>43511</v>
      </c>
      <c r="T9576" t="s">
        <v>44750</v>
      </c>
      <c r="U9576" t="s">
        <v>52883</v>
      </c>
      <c r="V9576" t="s">
        <v>57428</v>
      </c>
      <c r="W9576" t="s">
        <v>41785</v>
      </c>
      <c r="X9576" t="s">
        <v>43178</v>
      </c>
    </row>
    <row r="9577" spans="1:24">
      <c r="A9577">
        <f>HYPERLINK("https://www.philgeps.gov.ph/GEPSNONPILOT/Tender/SplashBidNoticeAbstractUI.aspx?menuIndex=3&amp;refID=7071983&amp;Result=3","7071983")</f>
        <v>0</v>
      </c>
      <c r="B9577" t="s">
        <v>2318</v>
      </c>
      <c r="C9577" t="s">
        <v>12540</v>
      </c>
      <c r="D9577" t="s">
        <v>17473</v>
      </c>
      <c r="E9577" t="s">
        <v>18380</v>
      </c>
      <c r="F9577" t="s">
        <v>30052</v>
      </c>
      <c r="G9577" t="s">
        <v>30058</v>
      </c>
      <c r="H9577" t="s">
        <v>30067</v>
      </c>
      <c r="I9577" t="s">
        <v>3693</v>
      </c>
      <c r="J9577" t="s">
        <v>36040</v>
      </c>
      <c r="K9577" t="s">
        <v>39125</v>
      </c>
      <c r="M9577" t="s">
        <v>41804</v>
      </c>
      <c r="N9577" t="s">
        <v>43166</v>
      </c>
      <c r="O9577" t="s">
        <v>43167</v>
      </c>
      <c r="Q9577">
        <v>5</v>
      </c>
      <c r="R9577" t="s">
        <v>43177</v>
      </c>
      <c r="S9577" t="s">
        <v>43512</v>
      </c>
      <c r="T9577" t="s">
        <v>44796</v>
      </c>
      <c r="U9577" t="s">
        <v>52884</v>
      </c>
      <c r="W9577" t="s">
        <v>41804</v>
      </c>
      <c r="X9577" t="s">
        <v>43178</v>
      </c>
    </row>
    <row r="9578" spans="1:24">
      <c r="A9578">
        <f>HYPERLINK("https://www.philgeps.gov.ph/GEPSNONPILOT/Tender/SplashBidNoticeAbstractUI.aspx?menuIndex=3&amp;refID=7071970&amp;Result=3","7071970")</f>
        <v>0</v>
      </c>
      <c r="B9578" t="s">
        <v>2550</v>
      </c>
      <c r="C9578" t="s">
        <v>12541</v>
      </c>
      <c r="D9578" t="s">
        <v>17445</v>
      </c>
      <c r="E9578" t="s">
        <v>25687</v>
      </c>
      <c r="F9578" t="s">
        <v>30052</v>
      </c>
      <c r="G9578" t="s">
        <v>30058</v>
      </c>
      <c r="H9578" t="s">
        <v>15498</v>
      </c>
      <c r="I9578" t="s">
        <v>30135</v>
      </c>
      <c r="J9578" t="s">
        <v>36041</v>
      </c>
      <c r="K9578" t="s">
        <v>39031</v>
      </c>
      <c r="M9578" t="s">
        <v>42120</v>
      </c>
      <c r="N9578" t="s">
        <v>43166</v>
      </c>
      <c r="O9578" t="s">
        <v>43167</v>
      </c>
      <c r="P9578">
        <v>0</v>
      </c>
      <c r="Q9578">
        <v>7</v>
      </c>
      <c r="R9578" t="s">
        <v>43177</v>
      </c>
      <c r="S9578" t="s">
        <v>43494</v>
      </c>
      <c r="T9578" t="s">
        <v>44945</v>
      </c>
      <c r="U9578" t="s">
        <v>52829</v>
      </c>
      <c r="W9578" t="s">
        <v>42120</v>
      </c>
      <c r="X9578" t="s">
        <v>43178</v>
      </c>
    </row>
    <row r="9579" spans="1:24">
      <c r="A9579">
        <f>HYPERLINK("https://www.philgeps.gov.ph/GEPSNONPILOT/Tender/SplashBidNoticeAbstractUI.aspx?menuIndex=3&amp;refID=7071730&amp;Result=3","7071730")</f>
        <v>0</v>
      </c>
      <c r="B9579" t="s">
        <v>511</v>
      </c>
      <c r="C9579" t="s">
        <v>12542</v>
      </c>
      <c r="D9579" t="s">
        <v>17415</v>
      </c>
      <c r="E9579" t="s">
        <v>25688</v>
      </c>
      <c r="F9579" t="s">
        <v>30052</v>
      </c>
      <c r="G9579" t="s">
        <v>30062</v>
      </c>
      <c r="H9579" t="s">
        <v>15498</v>
      </c>
      <c r="I9579" t="s">
        <v>30101</v>
      </c>
      <c r="J9579" t="s">
        <v>30472</v>
      </c>
      <c r="K9579" t="s">
        <v>39019</v>
      </c>
      <c r="M9579" t="s">
        <v>42318</v>
      </c>
      <c r="N9579" t="s">
        <v>43166</v>
      </c>
      <c r="O9579" t="s">
        <v>43167</v>
      </c>
      <c r="P9579">
        <v>0</v>
      </c>
      <c r="Q9579">
        <v>8</v>
      </c>
      <c r="R9579" t="s">
        <v>43177</v>
      </c>
      <c r="S9579" t="s">
        <v>43494</v>
      </c>
      <c r="T9579" t="s">
        <v>44856</v>
      </c>
      <c r="U9579" t="s">
        <v>52791</v>
      </c>
      <c r="V9579" t="s">
        <v>57853</v>
      </c>
      <c r="W9579" t="s">
        <v>42318</v>
      </c>
      <c r="X9579" t="s">
        <v>43178</v>
      </c>
    </row>
    <row r="9580" spans="1:24">
      <c r="A9580">
        <f>HYPERLINK("https://www.philgeps.gov.ph/GEPSNONPILOT/Tender/SplashBidNoticeAbstractUI.aspx?menuIndex=3&amp;refID=7071946&amp;Result=3","7071946")</f>
        <v>0</v>
      </c>
      <c r="B9580" t="s">
        <v>2805</v>
      </c>
      <c r="C9580" t="s">
        <v>12543</v>
      </c>
      <c r="D9580" t="s">
        <v>17471</v>
      </c>
      <c r="E9580" t="s">
        <v>25689</v>
      </c>
      <c r="F9580" t="s">
        <v>30052</v>
      </c>
      <c r="G9580" t="s">
        <v>30058</v>
      </c>
      <c r="H9580" t="s">
        <v>30067</v>
      </c>
      <c r="I9580" t="s">
        <v>3693</v>
      </c>
      <c r="J9580" t="s">
        <v>30343</v>
      </c>
      <c r="K9580" t="s">
        <v>39023</v>
      </c>
      <c r="M9580" t="s">
        <v>42346</v>
      </c>
      <c r="N9580" t="s">
        <v>43166</v>
      </c>
      <c r="O9580" t="s">
        <v>43167</v>
      </c>
      <c r="P9580">
        <v>0</v>
      </c>
      <c r="Q9580">
        <v>0</v>
      </c>
      <c r="R9580" t="s">
        <v>43177</v>
      </c>
      <c r="S9580" t="s">
        <v>43494</v>
      </c>
      <c r="T9580" t="s">
        <v>44815</v>
      </c>
      <c r="U9580" t="s">
        <v>52885</v>
      </c>
      <c r="W9580" t="s">
        <v>42346</v>
      </c>
      <c r="X9580" t="s">
        <v>43178</v>
      </c>
    </row>
    <row r="9581" spans="1:24">
      <c r="A9581">
        <f>HYPERLINK("https://www.philgeps.gov.ph/GEPSNONPILOT/Tender/SplashBidNoticeAbstractUI.aspx?menuIndex=3&amp;refID=7071934&amp;Result=3","7071934")</f>
        <v>0</v>
      </c>
      <c r="B9581" t="s">
        <v>2300</v>
      </c>
      <c r="C9581" t="s">
        <v>12544</v>
      </c>
      <c r="D9581" t="s">
        <v>17434</v>
      </c>
      <c r="E9581" t="s">
        <v>25690</v>
      </c>
      <c r="F9581" t="s">
        <v>30052</v>
      </c>
      <c r="G9581" t="s">
        <v>30058</v>
      </c>
      <c r="H9581" t="s">
        <v>30067</v>
      </c>
      <c r="I9581" t="s">
        <v>3693</v>
      </c>
      <c r="J9581" t="s">
        <v>36042</v>
      </c>
      <c r="K9581" t="s">
        <v>39117</v>
      </c>
      <c r="M9581" t="s">
        <v>41785</v>
      </c>
      <c r="N9581" t="s">
        <v>43166</v>
      </c>
      <c r="O9581" t="s">
        <v>43167</v>
      </c>
      <c r="P9581">
        <v>0</v>
      </c>
      <c r="Q9581">
        <v>25</v>
      </c>
      <c r="R9581" t="s">
        <v>43177</v>
      </c>
      <c r="S9581" t="s">
        <v>43494</v>
      </c>
      <c r="T9581" t="s">
        <v>44750</v>
      </c>
      <c r="U9581" t="s">
        <v>52886</v>
      </c>
      <c r="V9581" t="s">
        <v>57428</v>
      </c>
      <c r="W9581" t="s">
        <v>41785</v>
      </c>
      <c r="X9581" t="s">
        <v>43178</v>
      </c>
    </row>
    <row r="9582" spans="1:24">
      <c r="A9582">
        <f>HYPERLINK("https://www.philgeps.gov.ph/GEPSNONPILOT/Tender/SplashBidNoticeAbstractUI.aspx?menuIndex=3&amp;refID=7071916&amp;Result=3","7071916")</f>
        <v>0</v>
      </c>
      <c r="B9582" t="s">
        <v>543</v>
      </c>
      <c r="C9582" t="s">
        <v>12545</v>
      </c>
      <c r="E9582" t="s">
        <v>25691</v>
      </c>
      <c r="F9582" t="s">
        <v>30052</v>
      </c>
      <c r="G9582" t="s">
        <v>30058</v>
      </c>
      <c r="H9582" t="s">
        <v>30067</v>
      </c>
      <c r="I9582" t="s">
        <v>3693</v>
      </c>
      <c r="J9582" t="s">
        <v>36043</v>
      </c>
      <c r="K9582" t="s">
        <v>39025</v>
      </c>
      <c r="M9582" t="s">
        <v>39845</v>
      </c>
      <c r="N9582" t="s">
        <v>43166</v>
      </c>
      <c r="O9582" t="s">
        <v>43167</v>
      </c>
      <c r="P9582">
        <v>0</v>
      </c>
      <c r="Q9582">
        <v>0</v>
      </c>
      <c r="R9582" t="s">
        <v>43177</v>
      </c>
      <c r="S9582" t="s">
        <v>43494</v>
      </c>
      <c r="T9582" t="s">
        <v>44725</v>
      </c>
      <c r="U9582" t="s">
        <v>52887</v>
      </c>
      <c r="W9582" t="s">
        <v>39845</v>
      </c>
      <c r="X9582" t="s">
        <v>43178</v>
      </c>
    </row>
    <row r="9583" spans="1:24">
      <c r="A9583">
        <f>HYPERLINK("https://www.philgeps.gov.ph/GEPSNONPILOT/Tender/SplashBidNoticeAbstractUI.aspx?menuIndex=3&amp;refID=7071954&amp;Result=3","7071954")</f>
        <v>0</v>
      </c>
      <c r="B9583" t="s">
        <v>2300</v>
      </c>
      <c r="C9583" t="s">
        <v>12546</v>
      </c>
      <c r="D9583" t="s">
        <v>17434</v>
      </c>
      <c r="E9583" t="s">
        <v>25692</v>
      </c>
      <c r="F9583" t="s">
        <v>30052</v>
      </c>
      <c r="G9583" t="s">
        <v>30058</v>
      </c>
      <c r="H9583" t="s">
        <v>30067</v>
      </c>
      <c r="I9583" t="s">
        <v>3693</v>
      </c>
      <c r="J9583" t="s">
        <v>36044</v>
      </c>
      <c r="K9583" t="s">
        <v>39221</v>
      </c>
      <c r="M9583" t="s">
        <v>41785</v>
      </c>
      <c r="N9583" t="s">
        <v>43166</v>
      </c>
      <c r="O9583" t="s">
        <v>43167</v>
      </c>
      <c r="Q9583">
        <v>25</v>
      </c>
      <c r="R9583" t="s">
        <v>43177</v>
      </c>
      <c r="S9583" t="s">
        <v>43513</v>
      </c>
      <c r="T9583" t="s">
        <v>44750</v>
      </c>
      <c r="U9583" t="s">
        <v>52888</v>
      </c>
      <c r="V9583" t="s">
        <v>57428</v>
      </c>
      <c r="W9583" t="s">
        <v>41785</v>
      </c>
      <c r="X9583" t="s">
        <v>43178</v>
      </c>
    </row>
    <row r="9584" spans="1:24">
      <c r="A9584">
        <f>HYPERLINK("https://www.philgeps.gov.ph/GEPSNONPILOT/Tender/SplashBidNoticeAbstractUI.aspx?menuIndex=3&amp;refID=7071909&amp;Result=3","7071909")</f>
        <v>0</v>
      </c>
      <c r="B9584" t="s">
        <v>2778</v>
      </c>
      <c r="C9584" t="s">
        <v>12547</v>
      </c>
      <c r="D9584" t="s">
        <v>17417</v>
      </c>
      <c r="E9584" t="s">
        <v>25693</v>
      </c>
      <c r="F9584" t="s">
        <v>30052</v>
      </c>
      <c r="G9584" t="s">
        <v>30058</v>
      </c>
      <c r="H9584" t="s">
        <v>15498</v>
      </c>
      <c r="I9584" t="s">
        <v>30084</v>
      </c>
      <c r="J9584" t="s">
        <v>31553</v>
      </c>
      <c r="K9584" t="s">
        <v>39018</v>
      </c>
      <c r="M9584" t="s">
        <v>42314</v>
      </c>
      <c r="N9584" t="s">
        <v>43166</v>
      </c>
      <c r="O9584" t="s">
        <v>43167</v>
      </c>
      <c r="P9584">
        <v>0</v>
      </c>
      <c r="Q9584">
        <v>2</v>
      </c>
      <c r="R9584" t="s">
        <v>43177</v>
      </c>
      <c r="S9584" t="s">
        <v>43494</v>
      </c>
      <c r="T9584" t="s">
        <v>44813</v>
      </c>
      <c r="U9584" t="s">
        <v>52889</v>
      </c>
      <c r="W9584" t="s">
        <v>42314</v>
      </c>
      <c r="X9584" t="s">
        <v>43178</v>
      </c>
    </row>
    <row r="9585" spans="1:24">
      <c r="A9585">
        <f>HYPERLINK("https://www.philgeps.gov.ph/GEPSNONPILOT/Tender/SplashBidNoticeAbstractUI.aspx?menuIndex=3&amp;refID=7071942&amp;Result=3","7071942")</f>
        <v>0</v>
      </c>
      <c r="B9585" t="s">
        <v>2809</v>
      </c>
      <c r="C9585" t="s">
        <v>12548</v>
      </c>
      <c r="D9585" t="s">
        <v>17444</v>
      </c>
      <c r="E9585" t="s">
        <v>25694</v>
      </c>
      <c r="F9585" t="s">
        <v>30052</v>
      </c>
      <c r="G9585" t="s">
        <v>30058</v>
      </c>
      <c r="H9585" t="s">
        <v>15498</v>
      </c>
      <c r="I9585" t="s">
        <v>4119</v>
      </c>
      <c r="J9585" t="s">
        <v>36045</v>
      </c>
      <c r="K9585" t="s">
        <v>39029</v>
      </c>
      <c r="M9585" t="s">
        <v>42350</v>
      </c>
      <c r="N9585" t="s">
        <v>43166</v>
      </c>
      <c r="O9585" t="s">
        <v>43167</v>
      </c>
      <c r="P9585">
        <v>0</v>
      </c>
      <c r="Q9585">
        <v>4</v>
      </c>
      <c r="R9585" t="s">
        <v>43177</v>
      </c>
      <c r="S9585" t="s">
        <v>43494</v>
      </c>
      <c r="T9585" t="s">
        <v>44698</v>
      </c>
      <c r="U9585" t="s">
        <v>52890</v>
      </c>
      <c r="V9585" t="s">
        <v>57875</v>
      </c>
      <c r="W9585" t="s">
        <v>42350</v>
      </c>
      <c r="X9585" t="s">
        <v>43178</v>
      </c>
    </row>
    <row r="9586" spans="1:24">
      <c r="A9586">
        <f>HYPERLINK("https://www.philgeps.gov.ph/GEPSNONPILOT/Tender/SplashBidNoticeAbstractUI.aspx?menuIndex=3&amp;refID=7071908&amp;Result=3","7071908")</f>
        <v>0</v>
      </c>
      <c r="B9586" t="s">
        <v>2810</v>
      </c>
      <c r="C9586" t="s">
        <v>12549</v>
      </c>
      <c r="D9586" t="s">
        <v>17496</v>
      </c>
      <c r="E9586" t="s">
        <v>25695</v>
      </c>
      <c r="F9586" t="s">
        <v>30052</v>
      </c>
      <c r="G9586" t="s">
        <v>30058</v>
      </c>
      <c r="H9586" t="s">
        <v>15498</v>
      </c>
      <c r="I9586" t="s">
        <v>3852</v>
      </c>
      <c r="J9586" t="s">
        <v>31055</v>
      </c>
      <c r="K9586" t="s">
        <v>39019</v>
      </c>
      <c r="M9586" t="s">
        <v>42351</v>
      </c>
      <c r="N9586" t="s">
        <v>43166</v>
      </c>
      <c r="O9586" t="s">
        <v>43167</v>
      </c>
      <c r="P9586">
        <v>0</v>
      </c>
      <c r="Q9586">
        <v>2</v>
      </c>
      <c r="R9586" t="s">
        <v>43177</v>
      </c>
      <c r="S9586" t="s">
        <v>43494</v>
      </c>
      <c r="T9586" t="s">
        <v>44762</v>
      </c>
      <c r="U9586" t="s">
        <v>52891</v>
      </c>
      <c r="W9586" t="s">
        <v>42351</v>
      </c>
      <c r="X9586" t="s">
        <v>43178</v>
      </c>
    </row>
    <row r="9587" spans="1:24">
      <c r="A9587">
        <f>HYPERLINK("https://www.philgeps.gov.ph/GEPSNONPILOT/Tender/SplashBidNoticeAbstractUI.aspx?menuIndex=3&amp;refID=7071810&amp;Result=3","7071810")</f>
        <v>0</v>
      </c>
      <c r="B9587" t="s">
        <v>2811</v>
      </c>
      <c r="C9587" t="s">
        <v>12550</v>
      </c>
      <c r="E9587" t="s">
        <v>25696</v>
      </c>
      <c r="F9587" t="s">
        <v>30052</v>
      </c>
      <c r="G9587" t="s">
        <v>30058</v>
      </c>
      <c r="H9587" t="s">
        <v>15498</v>
      </c>
      <c r="I9587" t="s">
        <v>8323</v>
      </c>
      <c r="J9587" t="s">
        <v>30417</v>
      </c>
      <c r="K9587" t="s">
        <v>39025</v>
      </c>
      <c r="M9587" t="s">
        <v>42352</v>
      </c>
      <c r="N9587" t="s">
        <v>43166</v>
      </c>
      <c r="O9587" t="s">
        <v>43167</v>
      </c>
      <c r="P9587">
        <v>0</v>
      </c>
      <c r="Q9587">
        <v>4</v>
      </c>
      <c r="R9587" t="s">
        <v>43177</v>
      </c>
      <c r="S9587" t="s">
        <v>43494</v>
      </c>
      <c r="T9587" t="s">
        <v>44762</v>
      </c>
      <c r="U9587" t="s">
        <v>52892</v>
      </c>
      <c r="W9587" t="s">
        <v>42352</v>
      </c>
      <c r="X9587" t="s">
        <v>43178</v>
      </c>
    </row>
    <row r="9588" spans="1:24">
      <c r="A9588">
        <f>HYPERLINK("https://www.philgeps.gov.ph/GEPSNONPILOT/Tender/SplashBidNoticeAbstractUI.aspx?menuIndex=3&amp;refID=7071724&amp;Result=3","7071724")</f>
        <v>0</v>
      </c>
      <c r="B9588" t="s">
        <v>2550</v>
      </c>
      <c r="C9588" t="s">
        <v>12551</v>
      </c>
      <c r="D9588" t="s">
        <v>17445</v>
      </c>
      <c r="E9588" t="s">
        <v>25697</v>
      </c>
      <c r="F9588" t="s">
        <v>30052</v>
      </c>
      <c r="G9588" t="s">
        <v>30058</v>
      </c>
      <c r="H9588" t="s">
        <v>15498</v>
      </c>
      <c r="I9588" t="s">
        <v>30135</v>
      </c>
      <c r="J9588" t="s">
        <v>36046</v>
      </c>
      <c r="K9588" t="s">
        <v>39031</v>
      </c>
      <c r="M9588" t="s">
        <v>42120</v>
      </c>
      <c r="N9588" t="s">
        <v>43166</v>
      </c>
      <c r="O9588" t="s">
        <v>43167</v>
      </c>
      <c r="P9588">
        <v>0</v>
      </c>
      <c r="Q9588">
        <v>6</v>
      </c>
      <c r="R9588" t="s">
        <v>43177</v>
      </c>
      <c r="S9588" t="s">
        <v>43494</v>
      </c>
      <c r="T9588" t="s">
        <v>44945</v>
      </c>
      <c r="U9588" t="s">
        <v>52829</v>
      </c>
      <c r="W9588" t="s">
        <v>42120</v>
      </c>
      <c r="X9588" t="s">
        <v>43178</v>
      </c>
    </row>
    <row r="9589" spans="1:24">
      <c r="A9589">
        <f>HYPERLINK("https://www.philgeps.gov.ph/GEPSNONPILOT/Tender/SplashBidNoticeAbstractUI.aspx?menuIndex=3&amp;refID=7071579&amp;Result=3","7071579")</f>
        <v>0</v>
      </c>
      <c r="B9589" t="s">
        <v>2812</v>
      </c>
      <c r="C9589" t="s">
        <v>12552</v>
      </c>
      <c r="D9589" t="s">
        <v>17426</v>
      </c>
      <c r="E9589" t="s">
        <v>25698</v>
      </c>
      <c r="F9589" t="s">
        <v>30052</v>
      </c>
      <c r="G9589" t="s">
        <v>30058</v>
      </c>
      <c r="H9589" t="s">
        <v>15498</v>
      </c>
      <c r="I9589" t="s">
        <v>30074</v>
      </c>
      <c r="J9589" t="s">
        <v>30230</v>
      </c>
      <c r="K9589" t="s">
        <v>39029</v>
      </c>
      <c r="M9589" t="s">
        <v>42353</v>
      </c>
      <c r="N9589" t="s">
        <v>43166</v>
      </c>
      <c r="O9589" t="s">
        <v>43167</v>
      </c>
      <c r="P9589">
        <v>0</v>
      </c>
      <c r="Q9589">
        <v>1</v>
      </c>
      <c r="R9589" t="s">
        <v>43177</v>
      </c>
      <c r="S9589" t="s">
        <v>43494</v>
      </c>
      <c r="T9589" t="s">
        <v>44815</v>
      </c>
      <c r="U9589" t="s">
        <v>52893</v>
      </c>
      <c r="W9589" t="s">
        <v>42353</v>
      </c>
      <c r="X9589" t="s">
        <v>43178</v>
      </c>
    </row>
    <row r="9590" spans="1:24">
      <c r="A9590">
        <f>HYPERLINK("https://www.philgeps.gov.ph/GEPSNONPILOT/Tender/SplashBidNoticeAbstractUI.aspx?menuIndex=3&amp;refID=7071914&amp;Result=3","7071914")</f>
        <v>0</v>
      </c>
      <c r="B9590" t="s">
        <v>2300</v>
      </c>
      <c r="C9590" t="s">
        <v>12553</v>
      </c>
      <c r="D9590" t="s">
        <v>17434</v>
      </c>
      <c r="E9590" t="s">
        <v>25699</v>
      </c>
      <c r="F9590" t="s">
        <v>30052</v>
      </c>
      <c r="G9590" t="s">
        <v>30058</v>
      </c>
      <c r="H9590" t="s">
        <v>30067</v>
      </c>
      <c r="I9590" t="s">
        <v>3693</v>
      </c>
      <c r="J9590" t="s">
        <v>36047</v>
      </c>
      <c r="K9590" t="s">
        <v>39222</v>
      </c>
      <c r="M9590" t="s">
        <v>41785</v>
      </c>
      <c r="N9590" t="s">
        <v>43166</v>
      </c>
      <c r="O9590" t="s">
        <v>43167</v>
      </c>
      <c r="P9590">
        <v>0</v>
      </c>
      <c r="Q9590">
        <v>26</v>
      </c>
      <c r="R9590" t="s">
        <v>43177</v>
      </c>
      <c r="S9590" t="s">
        <v>43494</v>
      </c>
      <c r="T9590" t="s">
        <v>44750</v>
      </c>
      <c r="U9590" t="s">
        <v>52894</v>
      </c>
      <c r="V9590" t="s">
        <v>57428</v>
      </c>
      <c r="W9590" t="s">
        <v>41785</v>
      </c>
      <c r="X9590" t="s">
        <v>43178</v>
      </c>
    </row>
    <row r="9591" spans="1:24">
      <c r="A9591">
        <f>HYPERLINK("https://www.philgeps.gov.ph/GEPSNONPILOT/Tender/SplashBidNoticeAbstractUI.aspx?menuIndex=3&amp;refID=7072149&amp;Result=3","7072149")</f>
        <v>0</v>
      </c>
      <c r="B9591" t="s">
        <v>1945</v>
      </c>
      <c r="C9591" t="s">
        <v>12554</v>
      </c>
      <c r="D9591" t="s">
        <v>17427</v>
      </c>
      <c r="E9591" t="s">
        <v>12554</v>
      </c>
      <c r="F9591" t="s">
        <v>30052</v>
      </c>
      <c r="G9591" t="s">
        <v>30058</v>
      </c>
      <c r="H9591" t="s">
        <v>15498</v>
      </c>
      <c r="I9591" t="s">
        <v>30097</v>
      </c>
      <c r="J9591" t="s">
        <v>36048</v>
      </c>
      <c r="K9591" t="s">
        <v>39029</v>
      </c>
      <c r="M9591" t="s">
        <v>42354</v>
      </c>
      <c r="N9591" t="s">
        <v>43166</v>
      </c>
      <c r="O9591" t="s">
        <v>43167</v>
      </c>
      <c r="P9591">
        <v>0</v>
      </c>
      <c r="Q9591">
        <v>10</v>
      </c>
      <c r="R9591" t="s">
        <v>43177</v>
      </c>
      <c r="S9591" t="s">
        <v>43494</v>
      </c>
      <c r="T9591" t="s">
        <v>44796</v>
      </c>
      <c r="U9591" t="s">
        <v>52895</v>
      </c>
      <c r="W9591" t="s">
        <v>42354</v>
      </c>
      <c r="X9591" t="s">
        <v>43178</v>
      </c>
    </row>
    <row r="9592" spans="1:24">
      <c r="A9592">
        <f>HYPERLINK("https://www.philgeps.gov.ph/GEPSNONPILOT/Tender/SplashBidNoticeAbstractUI.aspx?menuIndex=3&amp;refID=7072144&amp;Result=3","7072144")</f>
        <v>0</v>
      </c>
      <c r="B9592" t="s">
        <v>199</v>
      </c>
      <c r="C9592" t="s">
        <v>12555</v>
      </c>
      <c r="D9592" t="s">
        <v>17415</v>
      </c>
      <c r="E9592" t="s">
        <v>25700</v>
      </c>
      <c r="F9592" t="s">
        <v>30052</v>
      </c>
      <c r="G9592" t="s">
        <v>30058</v>
      </c>
      <c r="H9592" t="s">
        <v>15498</v>
      </c>
      <c r="I9592" t="s">
        <v>9238</v>
      </c>
      <c r="J9592" t="s">
        <v>36049</v>
      </c>
      <c r="K9592" t="s">
        <v>39029</v>
      </c>
      <c r="M9592" t="s">
        <v>42355</v>
      </c>
      <c r="N9592" t="s">
        <v>43166</v>
      </c>
      <c r="O9592" t="s">
        <v>43167</v>
      </c>
      <c r="P9592">
        <v>0</v>
      </c>
      <c r="Q9592">
        <v>8</v>
      </c>
      <c r="R9592" t="s">
        <v>43177</v>
      </c>
      <c r="S9592" t="s">
        <v>43494</v>
      </c>
      <c r="T9592" t="s">
        <v>44953</v>
      </c>
      <c r="U9592" t="s">
        <v>52896</v>
      </c>
      <c r="W9592" t="s">
        <v>42355</v>
      </c>
      <c r="X9592" t="s">
        <v>43178</v>
      </c>
    </row>
    <row r="9593" spans="1:24">
      <c r="A9593">
        <f>HYPERLINK("https://www.philgeps.gov.ph/GEPSNONPILOT/Tender/SplashBidNoticeAbstractUI.aspx?menuIndex=3&amp;refID=7072123&amp;Result=3","7072123")</f>
        <v>0</v>
      </c>
      <c r="B9593" t="s">
        <v>1057</v>
      </c>
      <c r="C9593" t="s">
        <v>12556</v>
      </c>
      <c r="D9593" t="s">
        <v>17423</v>
      </c>
      <c r="E9593" t="s">
        <v>25701</v>
      </c>
      <c r="F9593" t="s">
        <v>30052</v>
      </c>
      <c r="G9593" t="s">
        <v>30058</v>
      </c>
      <c r="H9593" t="s">
        <v>15498</v>
      </c>
      <c r="I9593" t="s">
        <v>4642</v>
      </c>
      <c r="J9593" t="s">
        <v>31684</v>
      </c>
      <c r="K9593" t="s">
        <v>39020</v>
      </c>
      <c r="M9593" t="s">
        <v>42340</v>
      </c>
      <c r="N9593" t="s">
        <v>43166</v>
      </c>
      <c r="O9593" t="s">
        <v>43167</v>
      </c>
      <c r="P9593">
        <v>0</v>
      </c>
      <c r="Q9593">
        <v>5</v>
      </c>
      <c r="R9593" t="s">
        <v>43177</v>
      </c>
      <c r="S9593" t="s">
        <v>43494</v>
      </c>
      <c r="T9593" t="s">
        <v>44815</v>
      </c>
      <c r="U9593" t="s">
        <v>52897</v>
      </c>
      <c r="V9593" t="s">
        <v>57876</v>
      </c>
      <c r="W9593" t="s">
        <v>42340</v>
      </c>
      <c r="X9593" t="s">
        <v>43178</v>
      </c>
    </row>
    <row r="9594" spans="1:24">
      <c r="A9594">
        <f>HYPERLINK("https://www.philgeps.gov.ph/GEPSNONPILOT/Tender/SplashBidNoticeAbstractUI.aspx?menuIndex=3&amp;refID=7071902&amp;Result=3","7071902")</f>
        <v>0</v>
      </c>
      <c r="B9594" t="s">
        <v>2550</v>
      </c>
      <c r="C9594" t="s">
        <v>12557</v>
      </c>
      <c r="D9594" t="s">
        <v>17445</v>
      </c>
      <c r="E9594" t="s">
        <v>25702</v>
      </c>
      <c r="F9594" t="s">
        <v>30052</v>
      </c>
      <c r="G9594" t="s">
        <v>30058</v>
      </c>
      <c r="H9594" t="s">
        <v>15498</v>
      </c>
      <c r="I9594" t="s">
        <v>30135</v>
      </c>
      <c r="J9594" t="s">
        <v>36050</v>
      </c>
      <c r="K9594" t="s">
        <v>39031</v>
      </c>
      <c r="M9594" t="s">
        <v>42120</v>
      </c>
      <c r="N9594" t="s">
        <v>43166</v>
      </c>
      <c r="O9594" t="s">
        <v>43167</v>
      </c>
      <c r="P9594">
        <v>0</v>
      </c>
      <c r="Q9594">
        <v>5</v>
      </c>
      <c r="R9594" t="s">
        <v>43177</v>
      </c>
      <c r="S9594" t="s">
        <v>43494</v>
      </c>
      <c r="T9594" t="s">
        <v>44945</v>
      </c>
      <c r="U9594" t="s">
        <v>52829</v>
      </c>
      <c r="W9594" t="s">
        <v>42120</v>
      </c>
      <c r="X9594" t="s">
        <v>43178</v>
      </c>
    </row>
    <row r="9595" spans="1:24">
      <c r="A9595">
        <f>HYPERLINK("https://www.philgeps.gov.ph/GEPSNONPILOT/Tender/SplashBidNoticeAbstractUI.aspx?menuIndex=3&amp;refID=7072151&amp;Result=3","7072151")</f>
        <v>0</v>
      </c>
      <c r="B9595" t="s">
        <v>1945</v>
      </c>
      <c r="C9595" t="s">
        <v>12558</v>
      </c>
      <c r="D9595" t="s">
        <v>17427</v>
      </c>
      <c r="E9595" t="s">
        <v>25703</v>
      </c>
      <c r="F9595" t="s">
        <v>30052</v>
      </c>
      <c r="G9595" t="s">
        <v>30058</v>
      </c>
      <c r="H9595" t="s">
        <v>15498</v>
      </c>
      <c r="I9595" t="s">
        <v>30110</v>
      </c>
      <c r="J9595" t="s">
        <v>35148</v>
      </c>
      <c r="K9595" t="s">
        <v>39023</v>
      </c>
      <c r="M9595" t="s">
        <v>42354</v>
      </c>
      <c r="N9595" t="s">
        <v>43166</v>
      </c>
      <c r="O9595" t="s">
        <v>43167</v>
      </c>
      <c r="P9595">
        <v>0</v>
      </c>
      <c r="Q9595">
        <v>4</v>
      </c>
      <c r="R9595" t="s">
        <v>43177</v>
      </c>
      <c r="S9595" t="s">
        <v>43494</v>
      </c>
      <c r="T9595" t="s">
        <v>44996</v>
      </c>
      <c r="U9595" t="s">
        <v>52898</v>
      </c>
      <c r="W9595" t="s">
        <v>42354</v>
      </c>
      <c r="X9595" t="s">
        <v>43178</v>
      </c>
    </row>
    <row r="9596" spans="1:24">
      <c r="A9596">
        <f>HYPERLINK("https://www.philgeps.gov.ph/GEPSNONPILOT/Tender/SplashBidNoticeAbstractUI.aspx?menuIndex=3&amp;refID=7072101&amp;Result=3","7072101")</f>
        <v>0</v>
      </c>
      <c r="B9596" t="s">
        <v>2813</v>
      </c>
      <c r="C9596" t="s">
        <v>12559</v>
      </c>
      <c r="D9596" t="s">
        <v>17476</v>
      </c>
      <c r="E9596" t="s">
        <v>25704</v>
      </c>
      <c r="F9596" t="s">
        <v>30052</v>
      </c>
      <c r="G9596" t="s">
        <v>30058</v>
      </c>
      <c r="H9596" t="s">
        <v>30067</v>
      </c>
      <c r="I9596" t="s">
        <v>3693</v>
      </c>
      <c r="J9596" t="s">
        <v>36051</v>
      </c>
      <c r="K9596" t="s">
        <v>39026</v>
      </c>
      <c r="M9596" t="s">
        <v>42356</v>
      </c>
      <c r="N9596" t="s">
        <v>43166</v>
      </c>
      <c r="O9596" t="s">
        <v>43167</v>
      </c>
      <c r="P9596">
        <v>0</v>
      </c>
      <c r="Q9596">
        <v>0</v>
      </c>
      <c r="R9596" t="s">
        <v>43177</v>
      </c>
      <c r="S9596" t="s">
        <v>43494</v>
      </c>
      <c r="T9596" t="s">
        <v>44758</v>
      </c>
      <c r="U9596" t="s">
        <v>52899</v>
      </c>
      <c r="W9596" t="s">
        <v>42356</v>
      </c>
      <c r="X9596" t="s">
        <v>43178</v>
      </c>
    </row>
    <row r="9597" spans="1:24">
      <c r="A9597">
        <f>HYPERLINK("https://www.philgeps.gov.ph/GEPSNONPILOT/Tender/SplashBidNoticeAbstractUI.aspx?menuIndex=3&amp;refID=7072093&amp;Result=3","7072093")</f>
        <v>0</v>
      </c>
      <c r="B9597" t="s">
        <v>2814</v>
      </c>
      <c r="C9597" t="s">
        <v>12560</v>
      </c>
      <c r="D9597" t="s">
        <v>17414</v>
      </c>
      <c r="E9597" t="s">
        <v>25705</v>
      </c>
      <c r="F9597" t="s">
        <v>30052</v>
      </c>
      <c r="G9597" t="s">
        <v>30058</v>
      </c>
      <c r="H9597" t="s">
        <v>15498</v>
      </c>
      <c r="I9597" t="s">
        <v>30076</v>
      </c>
      <c r="J9597" t="s">
        <v>36052</v>
      </c>
      <c r="K9597" t="s">
        <v>39046</v>
      </c>
      <c r="M9597" t="s">
        <v>42357</v>
      </c>
      <c r="N9597" t="s">
        <v>43166</v>
      </c>
      <c r="O9597" t="s">
        <v>43167</v>
      </c>
      <c r="Q9597">
        <v>22</v>
      </c>
      <c r="R9597" t="s">
        <v>43177</v>
      </c>
      <c r="S9597" t="s">
        <v>43514</v>
      </c>
      <c r="T9597" t="s">
        <v>44716</v>
      </c>
      <c r="U9597" t="s">
        <v>52900</v>
      </c>
      <c r="W9597" t="s">
        <v>42357</v>
      </c>
      <c r="X9597" t="s">
        <v>43178</v>
      </c>
    </row>
    <row r="9598" spans="1:24">
      <c r="A9598">
        <f>HYPERLINK("https://www.philgeps.gov.ph/GEPSNONPILOT/Tender/SplashBidNoticeAbstractUI.aspx?menuIndex=3&amp;refID=7072140&amp;Result=3","7072140")</f>
        <v>0</v>
      </c>
      <c r="B9598" t="s">
        <v>2303</v>
      </c>
      <c r="C9598" t="s">
        <v>9679</v>
      </c>
      <c r="D9598" t="s">
        <v>17472</v>
      </c>
      <c r="E9598" t="s">
        <v>25706</v>
      </c>
      <c r="F9598" t="s">
        <v>30052</v>
      </c>
      <c r="G9598" t="s">
        <v>30058</v>
      </c>
      <c r="H9598" t="s">
        <v>30067</v>
      </c>
      <c r="I9598" t="s">
        <v>3693</v>
      </c>
      <c r="J9598" t="s">
        <v>36053</v>
      </c>
      <c r="K9598" t="s">
        <v>39057</v>
      </c>
      <c r="M9598" t="s">
        <v>41789</v>
      </c>
      <c r="N9598" t="s">
        <v>43166</v>
      </c>
      <c r="O9598" t="s">
        <v>43167</v>
      </c>
      <c r="P9598">
        <v>0</v>
      </c>
      <c r="Q9598">
        <v>0</v>
      </c>
      <c r="R9598" t="s">
        <v>43177</v>
      </c>
      <c r="S9598" t="s">
        <v>43494</v>
      </c>
      <c r="T9598" t="s">
        <v>44721</v>
      </c>
      <c r="U9598" t="s">
        <v>52901</v>
      </c>
      <c r="W9598" t="s">
        <v>41789</v>
      </c>
      <c r="X9598" t="s">
        <v>43178</v>
      </c>
    </row>
    <row r="9599" spans="1:24">
      <c r="A9599">
        <f>HYPERLINK("https://www.philgeps.gov.ph/GEPSNONPILOT/Tender/SplashBidNoticeAbstractUI.aspx?menuIndex=3&amp;refID=7072072&amp;Result=3","7072072")</f>
        <v>0</v>
      </c>
      <c r="B9599" t="s">
        <v>2794</v>
      </c>
      <c r="C9599" t="s">
        <v>12561</v>
      </c>
      <c r="D9599" t="s">
        <v>17414</v>
      </c>
      <c r="E9599" t="s">
        <v>25707</v>
      </c>
      <c r="F9599" t="s">
        <v>30052</v>
      </c>
      <c r="G9599" t="s">
        <v>30061</v>
      </c>
      <c r="H9599" t="s">
        <v>15498</v>
      </c>
      <c r="I9599" t="s">
        <v>30081</v>
      </c>
      <c r="J9599" t="s">
        <v>36054</v>
      </c>
      <c r="K9599" t="s">
        <v>39029</v>
      </c>
      <c r="M9599" t="s">
        <v>42334</v>
      </c>
      <c r="N9599" t="s">
        <v>43166</v>
      </c>
      <c r="O9599" t="s">
        <v>43167</v>
      </c>
      <c r="Q9599">
        <v>2</v>
      </c>
      <c r="R9599" t="s">
        <v>43177</v>
      </c>
      <c r="S9599" t="s">
        <v>43515</v>
      </c>
      <c r="T9599" t="s">
        <v>44710</v>
      </c>
      <c r="U9599" t="s">
        <v>52902</v>
      </c>
      <c r="V9599" t="s">
        <v>57865</v>
      </c>
      <c r="W9599" t="s">
        <v>42334</v>
      </c>
      <c r="X9599" t="s">
        <v>43178</v>
      </c>
    </row>
    <row r="9600" spans="1:24">
      <c r="A9600">
        <f>HYPERLINK("https://www.philgeps.gov.ph/GEPSNONPILOT/Tender/SplashBidNoticeAbstractUI.aspx?menuIndex=3&amp;refID=7072135&amp;Result=3","7072135")</f>
        <v>0</v>
      </c>
      <c r="B9600" t="s">
        <v>2815</v>
      </c>
      <c r="C9600" t="s">
        <v>12562</v>
      </c>
      <c r="D9600" t="s">
        <v>17415</v>
      </c>
      <c r="E9600" t="s">
        <v>25708</v>
      </c>
      <c r="F9600" t="s">
        <v>30052</v>
      </c>
      <c r="G9600" t="s">
        <v>30058</v>
      </c>
      <c r="H9600" t="s">
        <v>30067</v>
      </c>
      <c r="I9600" t="s">
        <v>3693</v>
      </c>
      <c r="J9600" t="s">
        <v>36055</v>
      </c>
      <c r="K9600" t="s">
        <v>39187</v>
      </c>
      <c r="M9600" t="s">
        <v>42358</v>
      </c>
      <c r="N9600" t="s">
        <v>43166</v>
      </c>
      <c r="O9600" t="s">
        <v>43167</v>
      </c>
      <c r="P9600">
        <v>0</v>
      </c>
      <c r="Q9600">
        <v>4</v>
      </c>
      <c r="R9600" t="s">
        <v>43177</v>
      </c>
      <c r="S9600" t="s">
        <v>43494</v>
      </c>
      <c r="T9600" t="s">
        <v>44873</v>
      </c>
      <c r="U9600" t="s">
        <v>52903</v>
      </c>
      <c r="W9600" t="s">
        <v>42358</v>
      </c>
      <c r="X9600" t="s">
        <v>43178</v>
      </c>
    </row>
    <row r="9601" spans="1:24">
      <c r="A9601">
        <f>HYPERLINK("https://www.philgeps.gov.ph/GEPSNONPILOT/Tender/SplashBidNoticeAbstractUI.aspx?menuIndex=3&amp;refID=7072064&amp;Result=3","7072064")</f>
        <v>0</v>
      </c>
      <c r="B9601" t="s">
        <v>2816</v>
      </c>
      <c r="C9601" t="s">
        <v>12563</v>
      </c>
      <c r="E9601" t="s">
        <v>25709</v>
      </c>
      <c r="F9601" t="s">
        <v>30052</v>
      </c>
      <c r="G9601" t="s">
        <v>30059</v>
      </c>
      <c r="H9601" t="s">
        <v>30067</v>
      </c>
      <c r="I9601" t="s">
        <v>3693</v>
      </c>
      <c r="J9601" t="s">
        <v>30343</v>
      </c>
      <c r="K9601" t="s">
        <v>39063</v>
      </c>
      <c r="M9601" t="s">
        <v>42359</v>
      </c>
      <c r="N9601" t="s">
        <v>43166</v>
      </c>
      <c r="O9601" t="s">
        <v>43167</v>
      </c>
      <c r="P9601">
        <v>0</v>
      </c>
      <c r="Q9601">
        <v>1</v>
      </c>
      <c r="R9601" t="s">
        <v>43177</v>
      </c>
      <c r="S9601" t="s">
        <v>43494</v>
      </c>
      <c r="T9601" t="s">
        <v>44737</v>
      </c>
      <c r="U9601" t="s">
        <v>52904</v>
      </c>
      <c r="W9601" t="s">
        <v>42359</v>
      </c>
      <c r="X9601" t="s">
        <v>43178</v>
      </c>
    </row>
    <row r="9602" spans="1:24">
      <c r="A9602">
        <f>HYPERLINK("https://www.philgeps.gov.ph/GEPSNONPILOT/Tender/SplashBidNoticeAbstractUI.aspx?menuIndex=3&amp;refID=7072110&amp;Result=3","7072110")</f>
        <v>0</v>
      </c>
      <c r="B9602" t="s">
        <v>550</v>
      </c>
      <c r="C9602" t="s">
        <v>12564</v>
      </c>
      <c r="D9602" t="s">
        <v>17453</v>
      </c>
      <c r="E9602" t="s">
        <v>25710</v>
      </c>
      <c r="F9602" t="s">
        <v>30052</v>
      </c>
      <c r="G9602" t="s">
        <v>30058</v>
      </c>
      <c r="H9602" t="s">
        <v>30067</v>
      </c>
      <c r="I9602" t="s">
        <v>3693</v>
      </c>
      <c r="J9602" t="s">
        <v>36056</v>
      </c>
      <c r="K9602" t="s">
        <v>39044</v>
      </c>
      <c r="M9602" t="s">
        <v>39852</v>
      </c>
      <c r="N9602" t="s">
        <v>43166</v>
      </c>
      <c r="O9602" t="s">
        <v>43167</v>
      </c>
      <c r="P9602">
        <v>0</v>
      </c>
      <c r="Q9602">
        <v>0</v>
      </c>
      <c r="R9602" t="s">
        <v>43177</v>
      </c>
      <c r="S9602" t="s">
        <v>43494</v>
      </c>
      <c r="T9602" t="s">
        <v>45037</v>
      </c>
      <c r="U9602" t="s">
        <v>52905</v>
      </c>
      <c r="W9602" t="s">
        <v>39852</v>
      </c>
      <c r="X9602" t="s">
        <v>43178</v>
      </c>
    </row>
    <row r="9603" spans="1:24">
      <c r="A9603">
        <f>HYPERLINK("https://www.philgeps.gov.ph/GEPSNONPILOT/Tender/SplashBidNoticeAbstractUI.aspx?menuIndex=3&amp;refID=7071756&amp;Result=3","7071756")</f>
        <v>0</v>
      </c>
      <c r="B9603" t="s">
        <v>1468</v>
      </c>
      <c r="C9603" t="s">
        <v>12565</v>
      </c>
      <c r="D9603" t="s">
        <v>17423</v>
      </c>
      <c r="E9603" t="s">
        <v>25711</v>
      </c>
      <c r="F9603" t="s">
        <v>30052</v>
      </c>
      <c r="G9603" t="s">
        <v>30058</v>
      </c>
      <c r="H9603" t="s">
        <v>15498</v>
      </c>
      <c r="I9603" t="s">
        <v>3852</v>
      </c>
      <c r="J9603" t="s">
        <v>30222</v>
      </c>
      <c r="K9603" t="s">
        <v>39031</v>
      </c>
      <c r="M9603" t="s">
        <v>40850</v>
      </c>
      <c r="N9603" t="s">
        <v>43166</v>
      </c>
      <c r="O9603" t="s">
        <v>43167</v>
      </c>
      <c r="P9603">
        <v>0</v>
      </c>
      <c r="Q9603">
        <v>2</v>
      </c>
      <c r="R9603" t="s">
        <v>43177</v>
      </c>
      <c r="S9603" t="s">
        <v>43494</v>
      </c>
      <c r="T9603" t="s">
        <v>44815</v>
      </c>
      <c r="U9603" t="s">
        <v>52906</v>
      </c>
      <c r="V9603" t="s">
        <v>57286</v>
      </c>
      <c r="W9603" t="s">
        <v>40850</v>
      </c>
      <c r="X9603" t="s">
        <v>43178</v>
      </c>
    </row>
    <row r="9604" spans="1:24">
      <c r="A9604">
        <f>HYPERLINK("https://www.philgeps.gov.ph/GEPSNONPILOT/Tender/SplashBidNoticeAbstractUI.aspx?menuIndex=3&amp;refID=7072230&amp;Result=3","7072230")</f>
        <v>0</v>
      </c>
      <c r="B9604" t="s">
        <v>2395</v>
      </c>
      <c r="C9604" t="s">
        <v>12566</v>
      </c>
      <c r="E9604" t="s">
        <v>25712</v>
      </c>
      <c r="F9604" t="s">
        <v>30052</v>
      </c>
      <c r="G9604" t="s">
        <v>30058</v>
      </c>
      <c r="H9604" t="s">
        <v>30067</v>
      </c>
      <c r="I9604" t="s">
        <v>3693</v>
      </c>
      <c r="J9604" t="s">
        <v>35970</v>
      </c>
      <c r="K9604" t="s">
        <v>39022</v>
      </c>
      <c r="M9604" t="s">
        <v>41891</v>
      </c>
      <c r="N9604" t="s">
        <v>43166</v>
      </c>
      <c r="O9604" t="s">
        <v>43167</v>
      </c>
      <c r="Q9604">
        <v>0</v>
      </c>
      <c r="R9604" t="s">
        <v>43177</v>
      </c>
      <c r="S9604" t="s">
        <v>43516</v>
      </c>
      <c r="T9604" t="s">
        <v>44763</v>
      </c>
      <c r="U9604" t="s">
        <v>52907</v>
      </c>
      <c r="V9604" t="s">
        <v>57649</v>
      </c>
      <c r="W9604" t="s">
        <v>41891</v>
      </c>
      <c r="X9604" t="s">
        <v>43178</v>
      </c>
    </row>
    <row r="9605" spans="1:24">
      <c r="A9605">
        <f>HYPERLINK("https://www.philgeps.gov.ph/GEPSNONPILOT/Tender/SplashBidNoticeAbstractUI.aspx?menuIndex=3&amp;refID=7072141&amp;Result=3","7072141")</f>
        <v>0</v>
      </c>
      <c r="B9605" t="s">
        <v>2303</v>
      </c>
      <c r="C9605" t="s">
        <v>12567</v>
      </c>
      <c r="D9605" t="s">
        <v>17472</v>
      </c>
      <c r="E9605" t="s">
        <v>25713</v>
      </c>
      <c r="F9605" t="s">
        <v>30052</v>
      </c>
      <c r="G9605" t="s">
        <v>30058</v>
      </c>
      <c r="H9605" t="s">
        <v>15498</v>
      </c>
      <c r="I9605" t="s">
        <v>3852</v>
      </c>
      <c r="J9605" t="s">
        <v>32173</v>
      </c>
      <c r="K9605" t="s">
        <v>39017</v>
      </c>
      <c r="M9605" t="s">
        <v>41789</v>
      </c>
      <c r="N9605" t="s">
        <v>43166</v>
      </c>
      <c r="O9605" t="s">
        <v>43167</v>
      </c>
      <c r="P9605">
        <v>0</v>
      </c>
      <c r="Q9605">
        <v>3</v>
      </c>
      <c r="R9605" t="s">
        <v>43177</v>
      </c>
      <c r="S9605" t="s">
        <v>43494</v>
      </c>
      <c r="T9605" t="s">
        <v>44721</v>
      </c>
      <c r="U9605" t="s">
        <v>52908</v>
      </c>
      <c r="W9605" t="s">
        <v>41789</v>
      </c>
      <c r="X9605" t="s">
        <v>43178</v>
      </c>
    </row>
    <row r="9606" spans="1:24">
      <c r="A9606">
        <f>HYPERLINK("https://www.philgeps.gov.ph/GEPSNONPILOT/Tender/SplashBidNoticeAbstractUI.aspx?menuIndex=3&amp;refID=7072065&amp;Result=3","7072065")</f>
        <v>0</v>
      </c>
      <c r="B9606" t="s">
        <v>2794</v>
      </c>
      <c r="C9606" t="s">
        <v>12568</v>
      </c>
      <c r="D9606" t="s">
        <v>17414</v>
      </c>
      <c r="E9606" t="s">
        <v>25714</v>
      </c>
      <c r="F9606" t="s">
        <v>30052</v>
      </c>
      <c r="G9606" t="s">
        <v>30061</v>
      </c>
      <c r="H9606" t="s">
        <v>15498</v>
      </c>
      <c r="I9606" t="s">
        <v>30071</v>
      </c>
      <c r="J9606" t="s">
        <v>36057</v>
      </c>
      <c r="K9606" t="s">
        <v>39029</v>
      </c>
      <c r="M9606" t="s">
        <v>42334</v>
      </c>
      <c r="N9606" t="s">
        <v>43166</v>
      </c>
      <c r="O9606" t="s">
        <v>43167</v>
      </c>
      <c r="Q9606">
        <v>3</v>
      </c>
      <c r="R9606" t="s">
        <v>43177</v>
      </c>
      <c r="S9606" t="s">
        <v>43517</v>
      </c>
      <c r="T9606" t="s">
        <v>44710</v>
      </c>
      <c r="U9606" t="s">
        <v>52909</v>
      </c>
      <c r="V9606" t="s">
        <v>57865</v>
      </c>
      <c r="W9606" t="s">
        <v>42334</v>
      </c>
      <c r="X9606" t="s">
        <v>43178</v>
      </c>
    </row>
    <row r="9607" spans="1:24">
      <c r="A9607">
        <f>HYPERLINK("https://www.philgeps.gov.ph/GEPSNONPILOT/Tender/SplashBidNoticeAbstractUI.aspx?menuIndex=3&amp;refID=7072226&amp;Result=3","7072226")</f>
        <v>0</v>
      </c>
      <c r="B9607" t="s">
        <v>2395</v>
      </c>
      <c r="C9607" t="s">
        <v>12569</v>
      </c>
      <c r="E9607" t="s">
        <v>25715</v>
      </c>
      <c r="F9607" t="s">
        <v>30052</v>
      </c>
      <c r="G9607" t="s">
        <v>30058</v>
      </c>
      <c r="H9607" t="s">
        <v>30067</v>
      </c>
      <c r="I9607" t="s">
        <v>3693</v>
      </c>
      <c r="J9607" t="s">
        <v>34923</v>
      </c>
      <c r="K9607" t="s">
        <v>39092</v>
      </c>
      <c r="M9607" t="s">
        <v>41891</v>
      </c>
      <c r="N9607" t="s">
        <v>43166</v>
      </c>
      <c r="O9607" t="s">
        <v>43167</v>
      </c>
      <c r="Q9607">
        <v>8</v>
      </c>
      <c r="R9607" t="s">
        <v>43177</v>
      </c>
      <c r="S9607" t="s">
        <v>43518</v>
      </c>
      <c r="T9607" t="s">
        <v>44763</v>
      </c>
      <c r="U9607" t="s">
        <v>52907</v>
      </c>
      <c r="V9607" t="s">
        <v>57649</v>
      </c>
      <c r="W9607" t="s">
        <v>41891</v>
      </c>
      <c r="X9607" t="s">
        <v>43178</v>
      </c>
    </row>
    <row r="9608" spans="1:24">
      <c r="A9608">
        <f>HYPERLINK("https://www.philgeps.gov.ph/GEPSNONPILOT/Tender/SplashBidNoticeAbstractUI.aspx?menuIndex=3&amp;refID=7072222&amp;Result=3","7072222")</f>
        <v>0</v>
      </c>
      <c r="B9608" t="s">
        <v>2395</v>
      </c>
      <c r="C9608" t="s">
        <v>12570</v>
      </c>
      <c r="E9608" t="s">
        <v>25716</v>
      </c>
      <c r="F9608" t="s">
        <v>30052</v>
      </c>
      <c r="G9608" t="s">
        <v>30058</v>
      </c>
      <c r="H9608" t="s">
        <v>30067</v>
      </c>
      <c r="I9608" t="s">
        <v>3693</v>
      </c>
      <c r="J9608" t="s">
        <v>35151</v>
      </c>
      <c r="K9608" t="s">
        <v>39057</v>
      </c>
      <c r="M9608" t="s">
        <v>41891</v>
      </c>
      <c r="N9608" t="s">
        <v>43166</v>
      </c>
      <c r="O9608" t="s">
        <v>43167</v>
      </c>
      <c r="Q9608">
        <v>2</v>
      </c>
      <c r="R9608" t="s">
        <v>43177</v>
      </c>
      <c r="S9608" t="s">
        <v>43519</v>
      </c>
      <c r="T9608" t="s">
        <v>44763</v>
      </c>
      <c r="U9608" t="s">
        <v>52907</v>
      </c>
      <c r="V9608" t="s">
        <v>57649</v>
      </c>
      <c r="W9608" t="s">
        <v>41891</v>
      </c>
      <c r="X9608" t="s">
        <v>43178</v>
      </c>
    </row>
    <row r="9609" spans="1:24">
      <c r="A9609">
        <f>HYPERLINK("https://www.philgeps.gov.ph/GEPSNONPILOT/Tender/SplashBidNoticeAbstractUI.aspx?menuIndex=3&amp;refID=7072216&amp;Result=3","7072216")</f>
        <v>0</v>
      </c>
      <c r="B9609" t="s">
        <v>2809</v>
      </c>
      <c r="C9609" t="s">
        <v>12571</v>
      </c>
      <c r="D9609" t="s">
        <v>17444</v>
      </c>
      <c r="E9609" t="s">
        <v>25717</v>
      </c>
      <c r="F9609" t="s">
        <v>30052</v>
      </c>
      <c r="G9609" t="s">
        <v>30058</v>
      </c>
      <c r="H9609" t="s">
        <v>15498</v>
      </c>
      <c r="I9609" t="s">
        <v>4598</v>
      </c>
      <c r="J9609" t="s">
        <v>36058</v>
      </c>
      <c r="K9609" t="s">
        <v>39029</v>
      </c>
      <c r="M9609" t="s">
        <v>42350</v>
      </c>
      <c r="N9609" t="s">
        <v>43166</v>
      </c>
      <c r="O9609" t="s">
        <v>43167</v>
      </c>
      <c r="P9609">
        <v>0</v>
      </c>
      <c r="Q9609">
        <v>9</v>
      </c>
      <c r="R9609" t="s">
        <v>43177</v>
      </c>
      <c r="S9609" t="s">
        <v>43494</v>
      </c>
      <c r="T9609" t="s">
        <v>44702</v>
      </c>
      <c r="U9609" t="s">
        <v>52910</v>
      </c>
      <c r="V9609" t="s">
        <v>57877</v>
      </c>
      <c r="W9609" t="s">
        <v>42350</v>
      </c>
      <c r="X9609" t="s">
        <v>43178</v>
      </c>
    </row>
    <row r="9610" spans="1:24">
      <c r="A9610">
        <f>HYPERLINK("https://www.philgeps.gov.ph/GEPSNONPILOT/Tender/SplashBidNoticeAbstractUI.aspx?menuIndex=3&amp;refID=7072210&amp;Result=3","7072210")</f>
        <v>0</v>
      </c>
      <c r="B9610" t="s">
        <v>1624</v>
      </c>
      <c r="C9610" t="s">
        <v>12572</v>
      </c>
      <c r="D9610" t="s">
        <v>17448</v>
      </c>
      <c r="E9610" t="s">
        <v>25718</v>
      </c>
      <c r="F9610" t="s">
        <v>30052</v>
      </c>
      <c r="G9610" t="s">
        <v>30058</v>
      </c>
      <c r="H9610" t="s">
        <v>30067</v>
      </c>
      <c r="I9610" t="s">
        <v>3693</v>
      </c>
      <c r="J9610" t="s">
        <v>36059</v>
      </c>
      <c r="K9610" t="s">
        <v>39031</v>
      </c>
      <c r="L9610" t="s">
        <v>1624</v>
      </c>
      <c r="M9610" t="s">
        <v>41024</v>
      </c>
      <c r="N9610" t="s">
        <v>43166</v>
      </c>
      <c r="O9610" t="s">
        <v>43167</v>
      </c>
      <c r="P9610">
        <v>0</v>
      </c>
      <c r="Q9610">
        <v>3</v>
      </c>
      <c r="R9610" t="s">
        <v>43177</v>
      </c>
      <c r="S9610" t="s">
        <v>43494</v>
      </c>
      <c r="T9610" t="s">
        <v>44791</v>
      </c>
      <c r="U9610" t="s">
        <v>52911</v>
      </c>
      <c r="V9610" t="s">
        <v>57878</v>
      </c>
      <c r="W9610" t="s">
        <v>41024</v>
      </c>
      <c r="X9610" t="s">
        <v>43178</v>
      </c>
    </row>
    <row r="9611" spans="1:24">
      <c r="A9611">
        <f>HYPERLINK("https://www.philgeps.gov.ph/GEPSNONPILOT/Tender/SplashBidNoticeAbstractUI.aspx?menuIndex=3&amp;refID=7072207&amp;Result=3","7072207")</f>
        <v>0</v>
      </c>
      <c r="B9611" t="s">
        <v>2817</v>
      </c>
      <c r="C9611" t="s">
        <v>12573</v>
      </c>
      <c r="D9611" t="s">
        <v>17474</v>
      </c>
      <c r="E9611" t="s">
        <v>25719</v>
      </c>
      <c r="F9611" t="s">
        <v>30052</v>
      </c>
      <c r="G9611" t="s">
        <v>30058</v>
      </c>
      <c r="H9611" t="s">
        <v>15498</v>
      </c>
      <c r="I9611" t="s">
        <v>30084</v>
      </c>
      <c r="J9611" t="s">
        <v>30308</v>
      </c>
      <c r="K9611" t="s">
        <v>39034</v>
      </c>
      <c r="M9611" t="s">
        <v>42360</v>
      </c>
      <c r="N9611" t="s">
        <v>43166</v>
      </c>
      <c r="O9611" t="s">
        <v>43167</v>
      </c>
      <c r="P9611">
        <v>0</v>
      </c>
      <c r="Q9611">
        <v>3</v>
      </c>
      <c r="R9611" t="s">
        <v>43177</v>
      </c>
      <c r="S9611" t="s">
        <v>43494</v>
      </c>
      <c r="T9611" t="s">
        <v>44705</v>
      </c>
      <c r="U9611" t="s">
        <v>52912</v>
      </c>
      <c r="W9611" t="s">
        <v>42360</v>
      </c>
      <c r="X9611" t="s">
        <v>43178</v>
      </c>
    </row>
    <row r="9612" spans="1:24">
      <c r="A9612">
        <f>HYPERLINK("https://www.philgeps.gov.ph/GEPSNONPILOT/Tender/SplashBidNoticeAbstractUI.aspx?menuIndex=3&amp;refID=7072228&amp;Result=3","7072228")</f>
        <v>0</v>
      </c>
      <c r="B9612" t="s">
        <v>2395</v>
      </c>
      <c r="C9612" t="s">
        <v>12574</v>
      </c>
      <c r="E9612" t="s">
        <v>25720</v>
      </c>
      <c r="F9612" t="s">
        <v>30052</v>
      </c>
      <c r="G9612" t="s">
        <v>30058</v>
      </c>
      <c r="H9612" t="s">
        <v>30067</v>
      </c>
      <c r="I9612" t="s">
        <v>3693</v>
      </c>
      <c r="J9612" t="s">
        <v>31160</v>
      </c>
      <c r="K9612" t="s">
        <v>39033</v>
      </c>
      <c r="M9612" t="s">
        <v>41891</v>
      </c>
      <c r="N9612" t="s">
        <v>43166</v>
      </c>
      <c r="O9612" t="s">
        <v>43167</v>
      </c>
      <c r="Q9612">
        <v>3</v>
      </c>
      <c r="R9612" t="s">
        <v>43177</v>
      </c>
      <c r="S9612" t="s">
        <v>43516</v>
      </c>
      <c r="T9612" t="s">
        <v>44763</v>
      </c>
      <c r="U9612" t="s">
        <v>52907</v>
      </c>
      <c r="V9612" t="s">
        <v>57649</v>
      </c>
      <c r="W9612" t="s">
        <v>41891</v>
      </c>
      <c r="X9612" t="s">
        <v>43178</v>
      </c>
    </row>
    <row r="9613" spans="1:24">
      <c r="A9613">
        <f>HYPERLINK("https://www.philgeps.gov.ph/GEPSNONPILOT/Tender/SplashBidNoticeAbstractUI.aspx?menuIndex=3&amp;refID=7072199&amp;Result=3","7072199")</f>
        <v>0</v>
      </c>
      <c r="B9613" t="s">
        <v>1624</v>
      </c>
      <c r="C9613" t="s">
        <v>12575</v>
      </c>
      <c r="D9613" t="s">
        <v>17448</v>
      </c>
      <c r="E9613" t="s">
        <v>25721</v>
      </c>
      <c r="F9613" t="s">
        <v>30052</v>
      </c>
      <c r="G9613" t="s">
        <v>30058</v>
      </c>
      <c r="H9613" t="s">
        <v>30067</v>
      </c>
      <c r="I9613" t="s">
        <v>3693</v>
      </c>
      <c r="J9613" t="s">
        <v>36060</v>
      </c>
      <c r="K9613" t="s">
        <v>39057</v>
      </c>
      <c r="L9613" t="s">
        <v>1624</v>
      </c>
      <c r="M9613" t="s">
        <v>41024</v>
      </c>
      <c r="N9613" t="s">
        <v>43166</v>
      </c>
      <c r="O9613" t="s">
        <v>43167</v>
      </c>
      <c r="P9613">
        <v>0</v>
      </c>
      <c r="Q9613">
        <v>5</v>
      </c>
      <c r="R9613" t="s">
        <v>43177</v>
      </c>
      <c r="S9613" t="s">
        <v>43494</v>
      </c>
      <c r="T9613" t="s">
        <v>44791</v>
      </c>
      <c r="U9613" t="s">
        <v>52911</v>
      </c>
      <c r="V9613" t="s">
        <v>57879</v>
      </c>
      <c r="W9613" t="s">
        <v>41024</v>
      </c>
      <c r="X9613" t="s">
        <v>43178</v>
      </c>
    </row>
    <row r="9614" spans="1:24">
      <c r="A9614">
        <f>HYPERLINK("https://www.philgeps.gov.ph/GEPSNONPILOT/Tender/SplashBidNoticeAbstractUI.aspx?menuIndex=3&amp;refID=7072063&amp;Result=3","7072063")</f>
        <v>0</v>
      </c>
      <c r="B9614" t="s">
        <v>749</v>
      </c>
      <c r="C9614" t="s">
        <v>12576</v>
      </c>
      <c r="D9614" t="s">
        <v>17444</v>
      </c>
      <c r="E9614" t="s">
        <v>25722</v>
      </c>
      <c r="F9614" t="s">
        <v>30052</v>
      </c>
      <c r="G9614" t="s">
        <v>30058</v>
      </c>
      <c r="H9614" t="s">
        <v>30067</v>
      </c>
      <c r="I9614" t="s">
        <v>3693</v>
      </c>
      <c r="J9614" t="s">
        <v>31207</v>
      </c>
      <c r="K9614" t="s">
        <v>39193</v>
      </c>
      <c r="M9614" t="s">
        <v>40063</v>
      </c>
      <c r="N9614" t="s">
        <v>43166</v>
      </c>
      <c r="O9614" t="s">
        <v>43167</v>
      </c>
      <c r="P9614">
        <v>0</v>
      </c>
      <c r="Q9614">
        <v>4</v>
      </c>
      <c r="R9614" t="s">
        <v>43177</v>
      </c>
      <c r="S9614" t="s">
        <v>43494</v>
      </c>
      <c r="T9614" t="s">
        <v>44918</v>
      </c>
      <c r="U9614" t="s">
        <v>52913</v>
      </c>
      <c r="W9614" t="s">
        <v>40063</v>
      </c>
      <c r="X9614" t="s">
        <v>43178</v>
      </c>
    </row>
    <row r="9615" spans="1:24">
      <c r="A9615">
        <f>HYPERLINK("https://www.philgeps.gov.ph/GEPSNONPILOT/Tender/SplashBidNoticeAbstractUI.aspx?menuIndex=3&amp;refID=7072192&amp;Result=3","7072192")</f>
        <v>0</v>
      </c>
      <c r="B9615" t="s">
        <v>1624</v>
      </c>
      <c r="C9615" t="s">
        <v>12577</v>
      </c>
      <c r="D9615" t="s">
        <v>17448</v>
      </c>
      <c r="E9615" t="s">
        <v>25723</v>
      </c>
      <c r="F9615" t="s">
        <v>30052</v>
      </c>
      <c r="G9615" t="s">
        <v>30058</v>
      </c>
      <c r="H9615" t="s">
        <v>30067</v>
      </c>
      <c r="I9615" t="s">
        <v>3693</v>
      </c>
      <c r="J9615" t="s">
        <v>36061</v>
      </c>
      <c r="K9615" t="s">
        <v>39057</v>
      </c>
      <c r="L9615" t="s">
        <v>1624</v>
      </c>
      <c r="M9615" t="s">
        <v>41024</v>
      </c>
      <c r="N9615" t="s">
        <v>43166</v>
      </c>
      <c r="O9615" t="s">
        <v>43167</v>
      </c>
      <c r="P9615">
        <v>0</v>
      </c>
      <c r="Q9615">
        <v>3</v>
      </c>
      <c r="R9615" t="s">
        <v>43177</v>
      </c>
      <c r="S9615" t="s">
        <v>43494</v>
      </c>
      <c r="T9615" t="s">
        <v>44791</v>
      </c>
      <c r="U9615" t="s">
        <v>52911</v>
      </c>
      <c r="V9615" t="s">
        <v>57880</v>
      </c>
      <c r="W9615" t="s">
        <v>41024</v>
      </c>
      <c r="X9615" t="s">
        <v>43178</v>
      </c>
    </row>
    <row r="9616" spans="1:24">
      <c r="A9616">
        <f>HYPERLINK("https://www.philgeps.gov.ph/GEPSNONPILOT/Tender/SplashBidNoticeAbstractUI.aspx?menuIndex=3&amp;refID=7071975&amp;Result=3","7071975")</f>
        <v>0</v>
      </c>
      <c r="B9616" t="s">
        <v>2809</v>
      </c>
      <c r="C9616" t="s">
        <v>12578</v>
      </c>
      <c r="D9616" t="s">
        <v>17444</v>
      </c>
      <c r="E9616" t="s">
        <v>25724</v>
      </c>
      <c r="F9616" t="s">
        <v>30052</v>
      </c>
      <c r="G9616" t="s">
        <v>30058</v>
      </c>
      <c r="H9616" t="s">
        <v>15498</v>
      </c>
      <c r="I9616" t="s">
        <v>30071</v>
      </c>
      <c r="J9616" t="s">
        <v>36062</v>
      </c>
      <c r="K9616" t="s">
        <v>39029</v>
      </c>
      <c r="M9616" t="s">
        <v>42350</v>
      </c>
      <c r="N9616" t="s">
        <v>43166</v>
      </c>
      <c r="O9616" t="s">
        <v>43167</v>
      </c>
      <c r="P9616">
        <v>0</v>
      </c>
      <c r="Q9616">
        <v>0</v>
      </c>
      <c r="R9616" t="s">
        <v>43177</v>
      </c>
      <c r="S9616" t="s">
        <v>43494</v>
      </c>
      <c r="T9616" t="s">
        <v>44698</v>
      </c>
      <c r="U9616" t="s">
        <v>52914</v>
      </c>
      <c r="V9616" t="s">
        <v>57875</v>
      </c>
      <c r="W9616" t="s">
        <v>42350</v>
      </c>
      <c r="X9616" t="s">
        <v>43178</v>
      </c>
    </row>
    <row r="9617" spans="1:24">
      <c r="A9617">
        <f>HYPERLINK("https://www.philgeps.gov.ph/GEPSNONPILOT/Tender/SplashBidNoticeAbstractUI.aspx?menuIndex=3&amp;refID=7072209&amp;Result=3","7072209")</f>
        <v>0</v>
      </c>
      <c r="B9617" t="s">
        <v>2809</v>
      </c>
      <c r="C9617" t="s">
        <v>12579</v>
      </c>
      <c r="D9617" t="s">
        <v>17444</v>
      </c>
      <c r="E9617" t="s">
        <v>25725</v>
      </c>
      <c r="F9617" t="s">
        <v>30052</v>
      </c>
      <c r="G9617" t="s">
        <v>30058</v>
      </c>
      <c r="H9617" t="s">
        <v>15498</v>
      </c>
      <c r="I9617" t="s">
        <v>4119</v>
      </c>
      <c r="J9617" t="s">
        <v>36063</v>
      </c>
      <c r="K9617" t="s">
        <v>39032</v>
      </c>
      <c r="M9617" t="s">
        <v>42350</v>
      </c>
      <c r="N9617" t="s">
        <v>43166</v>
      </c>
      <c r="O9617" t="s">
        <v>43167</v>
      </c>
      <c r="P9617">
        <v>0</v>
      </c>
      <c r="Q9617">
        <v>5</v>
      </c>
      <c r="R9617" t="s">
        <v>43177</v>
      </c>
      <c r="S9617" t="s">
        <v>43494</v>
      </c>
      <c r="T9617" t="s">
        <v>44698</v>
      </c>
      <c r="U9617" t="s">
        <v>52915</v>
      </c>
      <c r="V9617" t="s">
        <v>57875</v>
      </c>
      <c r="W9617" t="s">
        <v>42350</v>
      </c>
      <c r="X9617" t="s">
        <v>43178</v>
      </c>
    </row>
    <row r="9618" spans="1:24">
      <c r="A9618">
        <f>HYPERLINK("https://www.philgeps.gov.ph/GEPSNONPILOT/Tender/SplashBidNoticeAbstractUI.aspx?menuIndex=3&amp;refID=7072234&amp;Result=3","7072234")</f>
        <v>0</v>
      </c>
      <c r="B9618" t="s">
        <v>228</v>
      </c>
      <c r="C9618" t="s">
        <v>12580</v>
      </c>
      <c r="D9618" t="s">
        <v>17415</v>
      </c>
      <c r="E9618" t="s">
        <v>25726</v>
      </c>
      <c r="F9618" t="s">
        <v>30052</v>
      </c>
      <c r="G9618" t="s">
        <v>30058</v>
      </c>
      <c r="H9618" t="s">
        <v>30067</v>
      </c>
      <c r="I9618" t="s">
        <v>3693</v>
      </c>
      <c r="J9618" t="s">
        <v>36064</v>
      </c>
      <c r="K9618" t="s">
        <v>39057</v>
      </c>
      <c r="M9618" t="s">
        <v>42361</v>
      </c>
      <c r="N9618" t="s">
        <v>43166</v>
      </c>
      <c r="O9618" t="s">
        <v>43167</v>
      </c>
      <c r="P9618">
        <v>0</v>
      </c>
      <c r="Q9618">
        <v>174</v>
      </c>
      <c r="R9618" t="s">
        <v>43177</v>
      </c>
      <c r="S9618" t="s">
        <v>43494</v>
      </c>
      <c r="T9618" t="s">
        <v>44791</v>
      </c>
      <c r="U9618" t="s">
        <v>52916</v>
      </c>
      <c r="W9618" t="s">
        <v>42361</v>
      </c>
      <c r="X9618" t="s">
        <v>43178</v>
      </c>
    </row>
    <row r="9619" spans="1:24">
      <c r="A9619">
        <f>HYPERLINK("https://www.philgeps.gov.ph/GEPSNONPILOT/Tender/SplashBidNoticeAbstractUI.aspx?menuIndex=3&amp;refID=7072283&amp;Result=3","7072283")</f>
        <v>0</v>
      </c>
      <c r="B9619" t="s">
        <v>2818</v>
      </c>
      <c r="C9619" t="s">
        <v>12581</v>
      </c>
      <c r="D9619" t="s">
        <v>17486</v>
      </c>
      <c r="E9619" t="s">
        <v>25727</v>
      </c>
      <c r="F9619" t="s">
        <v>30052</v>
      </c>
      <c r="G9619" t="s">
        <v>30058</v>
      </c>
      <c r="H9619" t="s">
        <v>30067</v>
      </c>
      <c r="I9619" t="s">
        <v>3693</v>
      </c>
      <c r="J9619" t="s">
        <v>32334</v>
      </c>
      <c r="K9619" t="s">
        <v>39223</v>
      </c>
      <c r="M9619" t="s">
        <v>42362</v>
      </c>
      <c r="N9619" t="s">
        <v>43166</v>
      </c>
      <c r="O9619" t="s">
        <v>43167</v>
      </c>
      <c r="Q9619">
        <v>17</v>
      </c>
      <c r="R9619" t="s">
        <v>43177</v>
      </c>
      <c r="S9619" t="s">
        <v>43520</v>
      </c>
      <c r="T9619" t="s">
        <v>44763</v>
      </c>
      <c r="U9619" t="s">
        <v>52917</v>
      </c>
      <c r="V9619" t="s">
        <v>57881</v>
      </c>
      <c r="W9619" t="s">
        <v>42362</v>
      </c>
      <c r="X9619" t="s">
        <v>43178</v>
      </c>
    </row>
    <row r="9620" spans="1:24">
      <c r="A9620">
        <f>HYPERLINK("https://www.philgeps.gov.ph/GEPSNONPILOT/Tender/SplashBidNoticeAbstractUI.aspx?menuIndex=3&amp;refID=7072227&amp;Result=3","7072227")</f>
        <v>0</v>
      </c>
      <c r="B9620" t="s">
        <v>228</v>
      </c>
      <c r="C9620" t="s">
        <v>12582</v>
      </c>
      <c r="D9620" t="s">
        <v>17415</v>
      </c>
      <c r="E9620" t="s">
        <v>25728</v>
      </c>
      <c r="F9620" t="s">
        <v>30052</v>
      </c>
      <c r="G9620" t="s">
        <v>30058</v>
      </c>
      <c r="H9620" t="s">
        <v>30067</v>
      </c>
      <c r="I9620" t="s">
        <v>3693</v>
      </c>
      <c r="J9620" t="s">
        <v>36065</v>
      </c>
      <c r="K9620" t="s">
        <v>39057</v>
      </c>
      <c r="M9620" t="s">
        <v>42361</v>
      </c>
      <c r="N9620" t="s">
        <v>43166</v>
      </c>
      <c r="O9620" t="s">
        <v>43167</v>
      </c>
      <c r="P9620">
        <v>0</v>
      </c>
      <c r="Q9620">
        <v>174</v>
      </c>
      <c r="R9620" t="s">
        <v>43177</v>
      </c>
      <c r="S9620" t="s">
        <v>43494</v>
      </c>
      <c r="T9620" t="s">
        <v>44791</v>
      </c>
      <c r="U9620" t="s">
        <v>52916</v>
      </c>
      <c r="W9620" t="s">
        <v>42361</v>
      </c>
      <c r="X9620" t="s">
        <v>43178</v>
      </c>
    </row>
    <row r="9621" spans="1:24">
      <c r="A9621">
        <f>HYPERLINK("https://www.philgeps.gov.ph/GEPSNONPILOT/Tender/SplashBidNoticeAbstractUI.aspx?menuIndex=3&amp;refID=7072206&amp;Result=3","7072206")</f>
        <v>0</v>
      </c>
      <c r="B9621" t="s">
        <v>1624</v>
      </c>
      <c r="C9621" t="s">
        <v>12583</v>
      </c>
      <c r="D9621" t="s">
        <v>17448</v>
      </c>
      <c r="E9621" t="s">
        <v>25729</v>
      </c>
      <c r="F9621" t="s">
        <v>30052</v>
      </c>
      <c r="G9621" t="s">
        <v>30058</v>
      </c>
      <c r="H9621" t="s">
        <v>30067</v>
      </c>
      <c r="I9621" t="s">
        <v>3693</v>
      </c>
      <c r="J9621" t="s">
        <v>36066</v>
      </c>
      <c r="K9621" t="s">
        <v>39057</v>
      </c>
      <c r="L9621" t="s">
        <v>1624</v>
      </c>
      <c r="M9621" t="s">
        <v>41024</v>
      </c>
      <c r="N9621" t="s">
        <v>43166</v>
      </c>
      <c r="O9621" t="s">
        <v>43167</v>
      </c>
      <c r="P9621">
        <v>0</v>
      </c>
      <c r="Q9621">
        <v>3</v>
      </c>
      <c r="R9621" t="s">
        <v>43177</v>
      </c>
      <c r="S9621" t="s">
        <v>43494</v>
      </c>
      <c r="T9621" t="s">
        <v>44791</v>
      </c>
      <c r="U9621" t="s">
        <v>52911</v>
      </c>
      <c r="V9621" t="s">
        <v>57882</v>
      </c>
      <c r="W9621" t="s">
        <v>41024</v>
      </c>
      <c r="X9621" t="s">
        <v>43178</v>
      </c>
    </row>
    <row r="9622" spans="1:24">
      <c r="A9622">
        <f>HYPERLINK("https://www.philgeps.gov.ph/GEPSNONPILOT/Tender/SplashBidNoticeAbstractUI.aspx?menuIndex=3&amp;refID=7072278&amp;Result=3","7072278")</f>
        <v>0</v>
      </c>
      <c r="B9622" t="s">
        <v>2462</v>
      </c>
      <c r="C9622" t="s">
        <v>12584</v>
      </c>
      <c r="D9622" t="s">
        <v>17415</v>
      </c>
      <c r="E9622" t="s">
        <v>25730</v>
      </c>
      <c r="F9622" t="s">
        <v>30052</v>
      </c>
      <c r="G9622" t="s">
        <v>30058</v>
      </c>
      <c r="H9622" t="s">
        <v>30067</v>
      </c>
      <c r="I9622" t="s">
        <v>3693</v>
      </c>
      <c r="J9622" t="s">
        <v>36067</v>
      </c>
      <c r="K9622" t="s">
        <v>39033</v>
      </c>
      <c r="M9622" t="s">
        <v>42296</v>
      </c>
      <c r="N9622" t="s">
        <v>43166</v>
      </c>
      <c r="O9622" t="s">
        <v>43167</v>
      </c>
      <c r="P9622">
        <v>0</v>
      </c>
      <c r="Q9622">
        <v>39</v>
      </c>
      <c r="R9622" t="s">
        <v>43177</v>
      </c>
      <c r="S9622" t="s">
        <v>43494</v>
      </c>
      <c r="T9622" t="s">
        <v>44781</v>
      </c>
      <c r="U9622" t="s">
        <v>52743</v>
      </c>
      <c r="V9622" t="s">
        <v>57883</v>
      </c>
      <c r="W9622" t="s">
        <v>42296</v>
      </c>
      <c r="X9622" t="s">
        <v>43178</v>
      </c>
    </row>
    <row r="9623" spans="1:24">
      <c r="A9623">
        <f>HYPERLINK("https://www.philgeps.gov.ph/GEPSNONPILOT/Tender/SplashBidNoticeAbstractUI.aspx?menuIndex=3&amp;refID=7072189&amp;Result=3","7072189")</f>
        <v>0</v>
      </c>
      <c r="B9623" t="s">
        <v>2805</v>
      </c>
      <c r="C9623" t="s">
        <v>12585</v>
      </c>
      <c r="D9623" t="s">
        <v>17471</v>
      </c>
      <c r="E9623" t="s">
        <v>25731</v>
      </c>
      <c r="F9623" t="s">
        <v>30052</v>
      </c>
      <c r="G9623" t="s">
        <v>30058</v>
      </c>
      <c r="H9623" t="s">
        <v>15498</v>
      </c>
      <c r="I9623" t="s">
        <v>30096</v>
      </c>
      <c r="J9623" t="s">
        <v>36068</v>
      </c>
      <c r="K9623" t="s">
        <v>39029</v>
      </c>
      <c r="M9623" t="s">
        <v>42346</v>
      </c>
      <c r="N9623" t="s">
        <v>43166</v>
      </c>
      <c r="O9623" t="s">
        <v>43167</v>
      </c>
      <c r="P9623">
        <v>0</v>
      </c>
      <c r="Q9623">
        <v>1</v>
      </c>
      <c r="R9623" t="s">
        <v>43177</v>
      </c>
      <c r="S9623" t="s">
        <v>43494</v>
      </c>
      <c r="T9623" t="s">
        <v>44815</v>
      </c>
      <c r="U9623" t="s">
        <v>52918</v>
      </c>
      <c r="W9623" t="s">
        <v>42346</v>
      </c>
      <c r="X9623" t="s">
        <v>43178</v>
      </c>
    </row>
    <row r="9624" spans="1:24">
      <c r="A9624">
        <f>HYPERLINK("https://www.philgeps.gov.ph/GEPSNONPILOT/Tender/SplashBidNoticeAbstractUI.aspx?menuIndex=3&amp;refID=7072270&amp;Result=3","7072270")</f>
        <v>0</v>
      </c>
      <c r="B9624" t="s">
        <v>228</v>
      </c>
      <c r="C9624" t="s">
        <v>12586</v>
      </c>
      <c r="D9624" t="s">
        <v>17415</v>
      </c>
      <c r="E9624" t="s">
        <v>25732</v>
      </c>
      <c r="F9624" t="s">
        <v>30052</v>
      </c>
      <c r="G9624" t="s">
        <v>30058</v>
      </c>
      <c r="H9624" t="s">
        <v>30067</v>
      </c>
      <c r="I9624" t="s">
        <v>3693</v>
      </c>
      <c r="J9624" t="s">
        <v>36069</v>
      </c>
      <c r="K9624" t="s">
        <v>39069</v>
      </c>
      <c r="M9624" t="s">
        <v>42361</v>
      </c>
      <c r="N9624" t="s">
        <v>43166</v>
      </c>
      <c r="O9624" t="s">
        <v>43167</v>
      </c>
      <c r="P9624">
        <v>0</v>
      </c>
      <c r="Q9624">
        <v>170</v>
      </c>
      <c r="R9624" t="s">
        <v>43177</v>
      </c>
      <c r="S9624" t="s">
        <v>43494</v>
      </c>
      <c r="T9624" t="s">
        <v>44791</v>
      </c>
      <c r="U9624" t="s">
        <v>52919</v>
      </c>
      <c r="W9624" t="s">
        <v>42361</v>
      </c>
      <c r="X9624" t="s">
        <v>43178</v>
      </c>
    </row>
    <row r="9625" spans="1:24">
      <c r="A9625">
        <f>HYPERLINK("https://www.philgeps.gov.ph/GEPSNONPILOT/Tender/SplashBidNoticeAbstractUI.aspx?menuIndex=3&amp;refID=7072261&amp;Result=3","7072261")</f>
        <v>0</v>
      </c>
      <c r="B9625" t="s">
        <v>228</v>
      </c>
      <c r="C9625" t="s">
        <v>12587</v>
      </c>
      <c r="D9625" t="s">
        <v>17415</v>
      </c>
      <c r="E9625" t="s">
        <v>25733</v>
      </c>
      <c r="F9625" t="s">
        <v>30052</v>
      </c>
      <c r="G9625" t="s">
        <v>30058</v>
      </c>
      <c r="H9625" t="s">
        <v>30067</v>
      </c>
      <c r="I9625" t="s">
        <v>3693</v>
      </c>
      <c r="J9625" t="s">
        <v>36070</v>
      </c>
      <c r="K9625" t="s">
        <v>39023</v>
      </c>
      <c r="M9625" t="s">
        <v>42361</v>
      </c>
      <c r="N9625" t="s">
        <v>43166</v>
      </c>
      <c r="O9625" t="s">
        <v>43167</v>
      </c>
      <c r="P9625">
        <v>0</v>
      </c>
      <c r="Q9625">
        <v>136</v>
      </c>
      <c r="R9625" t="s">
        <v>43177</v>
      </c>
      <c r="S9625" t="s">
        <v>43494</v>
      </c>
      <c r="T9625" t="s">
        <v>44791</v>
      </c>
      <c r="U9625" t="s">
        <v>52920</v>
      </c>
      <c r="W9625" t="s">
        <v>42361</v>
      </c>
      <c r="X9625" t="s">
        <v>43178</v>
      </c>
    </row>
    <row r="9626" spans="1:24">
      <c r="A9626">
        <f>HYPERLINK("https://www.philgeps.gov.ph/GEPSNONPILOT/Tender/SplashBidNoticeAbstractUI.aspx?menuIndex=3&amp;refID=7072257&amp;Result=3","7072257")</f>
        <v>0</v>
      </c>
      <c r="B9626" t="s">
        <v>228</v>
      </c>
      <c r="C9626" t="s">
        <v>12588</v>
      </c>
      <c r="D9626" t="s">
        <v>17415</v>
      </c>
      <c r="E9626" t="s">
        <v>25734</v>
      </c>
      <c r="F9626" t="s">
        <v>30052</v>
      </c>
      <c r="G9626" t="s">
        <v>30058</v>
      </c>
      <c r="H9626" t="s">
        <v>30067</v>
      </c>
      <c r="I9626" t="s">
        <v>3693</v>
      </c>
      <c r="J9626" t="s">
        <v>36071</v>
      </c>
      <c r="K9626" t="s">
        <v>39065</v>
      </c>
      <c r="M9626" t="s">
        <v>42361</v>
      </c>
      <c r="N9626" t="s">
        <v>43166</v>
      </c>
      <c r="O9626" t="s">
        <v>43167</v>
      </c>
      <c r="P9626">
        <v>0</v>
      </c>
      <c r="Q9626">
        <v>136</v>
      </c>
      <c r="R9626" t="s">
        <v>43177</v>
      </c>
      <c r="S9626" t="s">
        <v>43494</v>
      </c>
      <c r="T9626" t="s">
        <v>44791</v>
      </c>
      <c r="U9626" t="s">
        <v>52921</v>
      </c>
      <c r="W9626" t="s">
        <v>42361</v>
      </c>
      <c r="X9626" t="s">
        <v>43178</v>
      </c>
    </row>
    <row r="9627" spans="1:24">
      <c r="A9627">
        <f>HYPERLINK("https://www.philgeps.gov.ph/GEPSNONPILOT/Tender/SplashBidNoticeAbstractUI.aspx?menuIndex=3&amp;refID=7072055&amp;Result=3","7072055")</f>
        <v>0</v>
      </c>
      <c r="B9627" t="s">
        <v>2794</v>
      </c>
      <c r="C9627" t="s">
        <v>12589</v>
      </c>
      <c r="D9627" t="s">
        <v>17414</v>
      </c>
      <c r="E9627" t="s">
        <v>25735</v>
      </c>
      <c r="F9627" t="s">
        <v>30052</v>
      </c>
      <c r="G9627" t="s">
        <v>30061</v>
      </c>
      <c r="H9627" t="s">
        <v>15498</v>
      </c>
      <c r="I9627" t="s">
        <v>3852</v>
      </c>
      <c r="J9627" t="s">
        <v>36072</v>
      </c>
      <c r="K9627" t="s">
        <v>39029</v>
      </c>
      <c r="M9627" t="s">
        <v>42334</v>
      </c>
      <c r="N9627" t="s">
        <v>43166</v>
      </c>
      <c r="O9627" t="s">
        <v>43167</v>
      </c>
      <c r="Q9627">
        <v>4</v>
      </c>
      <c r="R9627" t="s">
        <v>43177</v>
      </c>
      <c r="S9627" t="s">
        <v>43521</v>
      </c>
      <c r="T9627" t="s">
        <v>44710</v>
      </c>
      <c r="U9627" t="s">
        <v>52922</v>
      </c>
      <c r="V9627" t="s">
        <v>57865</v>
      </c>
      <c r="W9627" t="s">
        <v>42334</v>
      </c>
      <c r="X9627" t="s">
        <v>43178</v>
      </c>
    </row>
    <row r="9628" spans="1:24">
      <c r="A9628">
        <f>HYPERLINK("https://www.philgeps.gov.ph/GEPSNONPILOT/Tender/SplashBidNoticeAbstractUI.aspx?menuIndex=3&amp;refID=7072282&amp;Result=3","7072282")</f>
        <v>0</v>
      </c>
      <c r="B9628" t="s">
        <v>2818</v>
      </c>
      <c r="C9628" t="s">
        <v>12590</v>
      </c>
      <c r="D9628" t="s">
        <v>17486</v>
      </c>
      <c r="E9628" t="s">
        <v>25736</v>
      </c>
      <c r="F9628" t="s">
        <v>30052</v>
      </c>
      <c r="G9628" t="s">
        <v>30058</v>
      </c>
      <c r="H9628" t="s">
        <v>30067</v>
      </c>
      <c r="I9628" t="s">
        <v>3693</v>
      </c>
      <c r="J9628" t="s">
        <v>32334</v>
      </c>
      <c r="K9628" t="s">
        <v>39223</v>
      </c>
      <c r="M9628" t="s">
        <v>42362</v>
      </c>
      <c r="N9628" t="s">
        <v>43166</v>
      </c>
      <c r="O9628" t="s">
        <v>43167</v>
      </c>
      <c r="Q9628">
        <v>20</v>
      </c>
      <c r="R9628" t="s">
        <v>43177</v>
      </c>
      <c r="S9628" t="s">
        <v>43402</v>
      </c>
      <c r="T9628" t="s">
        <v>44763</v>
      </c>
      <c r="U9628" t="s">
        <v>52923</v>
      </c>
      <c r="V9628" t="s">
        <v>57884</v>
      </c>
      <c r="W9628" t="s">
        <v>42362</v>
      </c>
      <c r="X9628" t="s">
        <v>43178</v>
      </c>
    </row>
    <row r="9629" spans="1:24">
      <c r="A9629">
        <f>HYPERLINK("https://www.philgeps.gov.ph/GEPSNONPILOT/Tender/SplashBidNoticeAbstractUI.aspx?menuIndex=3&amp;refID=7072255&amp;Result=3","7072255")</f>
        <v>0</v>
      </c>
      <c r="B9629" t="s">
        <v>2809</v>
      </c>
      <c r="C9629" t="s">
        <v>12591</v>
      </c>
      <c r="D9629" t="s">
        <v>17444</v>
      </c>
      <c r="E9629" t="s">
        <v>25737</v>
      </c>
      <c r="F9629" t="s">
        <v>30052</v>
      </c>
      <c r="G9629" t="s">
        <v>30058</v>
      </c>
      <c r="H9629" t="s">
        <v>15498</v>
      </c>
      <c r="I9629" t="s">
        <v>9238</v>
      </c>
      <c r="J9629" t="s">
        <v>31393</v>
      </c>
      <c r="K9629" t="s">
        <v>39029</v>
      </c>
      <c r="M9629" t="s">
        <v>42350</v>
      </c>
      <c r="N9629" t="s">
        <v>43166</v>
      </c>
      <c r="O9629" t="s">
        <v>43167</v>
      </c>
      <c r="P9629">
        <v>0</v>
      </c>
      <c r="Q9629">
        <v>6</v>
      </c>
      <c r="R9629" t="s">
        <v>43177</v>
      </c>
      <c r="S9629" t="s">
        <v>43494</v>
      </c>
      <c r="T9629" t="s">
        <v>44698</v>
      </c>
      <c r="U9629" t="s">
        <v>52924</v>
      </c>
      <c r="V9629" t="s">
        <v>57875</v>
      </c>
      <c r="W9629" t="s">
        <v>42350</v>
      </c>
      <c r="X9629" t="s">
        <v>43178</v>
      </c>
    </row>
    <row r="9630" spans="1:24">
      <c r="A9630">
        <f>HYPERLINK("https://www.philgeps.gov.ph/GEPSNONPILOT/Tender/SplashBidNoticeAbstractUI.aspx?menuIndex=3&amp;refID=7072249&amp;Result=3","7072249")</f>
        <v>0</v>
      </c>
      <c r="B9630" t="s">
        <v>2819</v>
      </c>
      <c r="C9630" t="s">
        <v>12592</v>
      </c>
      <c r="D9630" t="s">
        <v>17427</v>
      </c>
      <c r="E9630" t="s">
        <v>25738</v>
      </c>
      <c r="F9630" t="s">
        <v>30052</v>
      </c>
      <c r="G9630" t="s">
        <v>30058</v>
      </c>
      <c r="H9630" t="s">
        <v>15498</v>
      </c>
      <c r="I9630" t="s">
        <v>3852</v>
      </c>
      <c r="J9630" t="s">
        <v>36073</v>
      </c>
      <c r="K9630" t="s">
        <v>39025</v>
      </c>
      <c r="M9630" t="s">
        <v>42363</v>
      </c>
      <c r="N9630" t="s">
        <v>43166</v>
      </c>
      <c r="O9630" t="s">
        <v>43167</v>
      </c>
      <c r="P9630">
        <v>0</v>
      </c>
      <c r="Q9630">
        <v>12</v>
      </c>
      <c r="R9630" t="s">
        <v>43177</v>
      </c>
      <c r="S9630" t="s">
        <v>43494</v>
      </c>
      <c r="T9630" t="s">
        <v>44916</v>
      </c>
      <c r="U9630" t="s">
        <v>52925</v>
      </c>
      <c r="W9630" t="s">
        <v>42363</v>
      </c>
      <c r="X9630" t="s">
        <v>43178</v>
      </c>
    </row>
    <row r="9631" spans="1:24">
      <c r="A9631">
        <f>HYPERLINK("https://www.philgeps.gov.ph/GEPSNONPILOT/Tender/SplashBidNoticeAbstractUI.aspx?menuIndex=3&amp;refID=7072274&amp;Result=3","7072274")</f>
        <v>0</v>
      </c>
      <c r="B9631" t="s">
        <v>2462</v>
      </c>
      <c r="C9631" t="s">
        <v>12593</v>
      </c>
      <c r="D9631" t="s">
        <v>17415</v>
      </c>
      <c r="E9631" t="s">
        <v>25739</v>
      </c>
      <c r="F9631" t="s">
        <v>30052</v>
      </c>
      <c r="G9631" t="s">
        <v>30058</v>
      </c>
      <c r="H9631" t="s">
        <v>30067</v>
      </c>
      <c r="I9631" t="s">
        <v>3693</v>
      </c>
      <c r="J9631" t="s">
        <v>36074</v>
      </c>
      <c r="K9631" t="s">
        <v>39092</v>
      </c>
      <c r="M9631" t="s">
        <v>42296</v>
      </c>
      <c r="N9631" t="s">
        <v>43166</v>
      </c>
      <c r="O9631" t="s">
        <v>43167</v>
      </c>
      <c r="P9631">
        <v>0</v>
      </c>
      <c r="Q9631">
        <v>40</v>
      </c>
      <c r="R9631" t="s">
        <v>43177</v>
      </c>
      <c r="S9631" t="s">
        <v>43494</v>
      </c>
      <c r="T9631" t="s">
        <v>44781</v>
      </c>
      <c r="U9631" t="s">
        <v>52743</v>
      </c>
      <c r="V9631" t="s">
        <v>57885</v>
      </c>
      <c r="W9631" t="s">
        <v>42296</v>
      </c>
      <c r="X9631" t="s">
        <v>43178</v>
      </c>
    </row>
    <row r="9632" spans="1:24">
      <c r="A9632">
        <f>HYPERLINK("https://www.philgeps.gov.ph/GEPSNONPILOT/Tender/SplashBidNoticeAbstractUI.aspx?menuIndex=3&amp;refID=7072247&amp;Result=3","7072247")</f>
        <v>0</v>
      </c>
      <c r="B9632" t="s">
        <v>228</v>
      </c>
      <c r="C9632" t="s">
        <v>12594</v>
      </c>
      <c r="D9632" t="s">
        <v>17415</v>
      </c>
      <c r="E9632" t="s">
        <v>25740</v>
      </c>
      <c r="F9632" t="s">
        <v>30052</v>
      </c>
      <c r="G9632" t="s">
        <v>30058</v>
      </c>
      <c r="H9632" t="s">
        <v>30067</v>
      </c>
      <c r="I9632" t="s">
        <v>3693</v>
      </c>
      <c r="J9632" t="s">
        <v>36075</v>
      </c>
      <c r="K9632" t="s">
        <v>39031</v>
      </c>
      <c r="M9632" t="s">
        <v>42361</v>
      </c>
      <c r="N9632" t="s">
        <v>43166</v>
      </c>
      <c r="O9632" t="s">
        <v>43167</v>
      </c>
      <c r="P9632">
        <v>0</v>
      </c>
      <c r="Q9632">
        <v>144</v>
      </c>
      <c r="R9632" t="s">
        <v>43177</v>
      </c>
      <c r="S9632" t="s">
        <v>43494</v>
      </c>
      <c r="T9632" t="s">
        <v>44791</v>
      </c>
      <c r="U9632" t="s">
        <v>52926</v>
      </c>
      <c r="W9632" t="s">
        <v>42361</v>
      </c>
      <c r="X9632" t="s">
        <v>43178</v>
      </c>
    </row>
    <row r="9633" spans="1:24">
      <c r="A9633">
        <f>HYPERLINK("https://www.philgeps.gov.ph/GEPSNONPILOT/Tender/SplashBidNoticeAbstractUI.aspx?menuIndex=3&amp;refID=7072245&amp;Result=3","7072245")</f>
        <v>0</v>
      </c>
      <c r="B9633" t="s">
        <v>228</v>
      </c>
      <c r="C9633" t="s">
        <v>12595</v>
      </c>
      <c r="D9633" t="s">
        <v>17415</v>
      </c>
      <c r="E9633" t="s">
        <v>25741</v>
      </c>
      <c r="F9633" t="s">
        <v>30052</v>
      </c>
      <c r="G9633" t="s">
        <v>30058</v>
      </c>
      <c r="H9633" t="s">
        <v>30067</v>
      </c>
      <c r="I9633" t="s">
        <v>3693</v>
      </c>
      <c r="J9633" t="s">
        <v>36076</v>
      </c>
      <c r="K9633" t="s">
        <v>39031</v>
      </c>
      <c r="M9633" t="s">
        <v>42361</v>
      </c>
      <c r="N9633" t="s">
        <v>43166</v>
      </c>
      <c r="O9633" t="s">
        <v>43167</v>
      </c>
      <c r="P9633">
        <v>0</v>
      </c>
      <c r="Q9633">
        <v>99</v>
      </c>
      <c r="R9633" t="s">
        <v>43177</v>
      </c>
      <c r="S9633" t="s">
        <v>43494</v>
      </c>
      <c r="T9633" t="s">
        <v>44791</v>
      </c>
      <c r="U9633" t="s">
        <v>52927</v>
      </c>
      <c r="W9633" t="s">
        <v>42361</v>
      </c>
      <c r="X9633" t="s">
        <v>43178</v>
      </c>
    </row>
    <row r="9634" spans="1:24">
      <c r="A9634">
        <f>HYPERLINK("https://www.philgeps.gov.ph/GEPSNONPILOT/Tender/SplashBidNoticeAbstractUI.aspx?menuIndex=3&amp;refID=7072267&amp;Result=3","7072267")</f>
        <v>0</v>
      </c>
      <c r="B9634" t="s">
        <v>2809</v>
      </c>
      <c r="C9634" t="s">
        <v>12596</v>
      </c>
      <c r="D9634" t="s">
        <v>17444</v>
      </c>
      <c r="E9634" t="s">
        <v>25742</v>
      </c>
      <c r="F9634" t="s">
        <v>30052</v>
      </c>
      <c r="G9634" t="s">
        <v>30058</v>
      </c>
      <c r="H9634" t="s">
        <v>15498</v>
      </c>
      <c r="I9634" t="s">
        <v>30084</v>
      </c>
      <c r="J9634" t="s">
        <v>30248</v>
      </c>
      <c r="K9634" t="s">
        <v>39029</v>
      </c>
      <c r="M9634" t="s">
        <v>42350</v>
      </c>
      <c r="N9634" t="s">
        <v>43166</v>
      </c>
      <c r="O9634" t="s">
        <v>43167</v>
      </c>
      <c r="P9634">
        <v>0</v>
      </c>
      <c r="Q9634">
        <v>2</v>
      </c>
      <c r="R9634" t="s">
        <v>43177</v>
      </c>
      <c r="S9634" t="s">
        <v>43494</v>
      </c>
      <c r="T9634" t="s">
        <v>44698</v>
      </c>
      <c r="U9634" t="s">
        <v>52928</v>
      </c>
      <c r="V9634" t="s">
        <v>57875</v>
      </c>
      <c r="W9634" t="s">
        <v>42350</v>
      </c>
      <c r="X9634" t="s">
        <v>43178</v>
      </c>
    </row>
    <row r="9635" spans="1:24">
      <c r="A9635">
        <f>HYPERLINK("https://www.philgeps.gov.ph/GEPSNONPILOT/Tender/SplashBidNoticeAbstractUI.aspx?menuIndex=3&amp;refID=7058243&amp;Result=3","7058243")</f>
        <v>0</v>
      </c>
      <c r="B9635" t="s">
        <v>2820</v>
      </c>
      <c r="C9635" t="s">
        <v>12597</v>
      </c>
      <c r="D9635" t="s">
        <v>17449</v>
      </c>
      <c r="E9635" t="s">
        <v>25743</v>
      </c>
      <c r="F9635" t="s">
        <v>30052</v>
      </c>
      <c r="G9635" t="s">
        <v>30058</v>
      </c>
      <c r="H9635" t="s">
        <v>30067</v>
      </c>
      <c r="I9635" t="s">
        <v>3693</v>
      </c>
      <c r="J9635" t="s">
        <v>36077</v>
      </c>
      <c r="K9635" t="s">
        <v>39025</v>
      </c>
      <c r="M9635" t="s">
        <v>42364</v>
      </c>
      <c r="N9635" t="s">
        <v>43166</v>
      </c>
      <c r="O9635" t="s">
        <v>43167</v>
      </c>
      <c r="P9635">
        <v>0</v>
      </c>
      <c r="Q9635">
        <v>3</v>
      </c>
      <c r="R9635" t="s">
        <v>43178</v>
      </c>
      <c r="S9635" t="s">
        <v>43522</v>
      </c>
      <c r="T9635" t="s">
        <v>44713</v>
      </c>
      <c r="U9635" t="s">
        <v>52929</v>
      </c>
      <c r="W9635" t="s">
        <v>42364</v>
      </c>
      <c r="X9635" t="s">
        <v>43184</v>
      </c>
    </row>
    <row r="9636" spans="1:24">
      <c r="A9636">
        <f>HYPERLINK("https://www.philgeps.gov.ph/GEPSNONPILOT/Tender/SplashBidNoticeAbstractUI.aspx?menuIndex=3&amp;refID=7058240&amp;Result=3","7058240")</f>
        <v>0</v>
      </c>
      <c r="B9636" t="s">
        <v>2820</v>
      </c>
      <c r="C9636" t="s">
        <v>12598</v>
      </c>
      <c r="D9636" t="s">
        <v>17449</v>
      </c>
      <c r="E9636" t="s">
        <v>25744</v>
      </c>
      <c r="F9636" t="s">
        <v>30052</v>
      </c>
      <c r="G9636" t="s">
        <v>30058</v>
      </c>
      <c r="H9636" t="s">
        <v>30067</v>
      </c>
      <c r="I9636" t="s">
        <v>3693</v>
      </c>
      <c r="J9636" t="s">
        <v>36078</v>
      </c>
      <c r="K9636" t="s">
        <v>39025</v>
      </c>
      <c r="M9636" t="s">
        <v>42364</v>
      </c>
      <c r="N9636" t="s">
        <v>43166</v>
      </c>
      <c r="O9636" t="s">
        <v>43167</v>
      </c>
      <c r="P9636">
        <v>0</v>
      </c>
      <c r="Q9636">
        <v>2</v>
      </c>
      <c r="R9636" t="s">
        <v>43178</v>
      </c>
      <c r="S9636" t="s">
        <v>43522</v>
      </c>
      <c r="T9636" t="s">
        <v>44830</v>
      </c>
      <c r="U9636" t="s">
        <v>52930</v>
      </c>
      <c r="W9636" t="s">
        <v>42364</v>
      </c>
      <c r="X9636" t="s">
        <v>43184</v>
      </c>
    </row>
    <row r="9637" spans="1:24">
      <c r="A9637">
        <f>HYPERLINK("https://www.philgeps.gov.ph/GEPSNONPILOT/Tender/SplashBidNoticeAbstractUI.aspx?menuIndex=3&amp;refID=7072258&amp;Result=3","7072258")</f>
        <v>0</v>
      </c>
      <c r="B9637" t="s">
        <v>2809</v>
      </c>
      <c r="C9637" t="s">
        <v>12599</v>
      </c>
      <c r="D9637" t="s">
        <v>17444</v>
      </c>
      <c r="E9637" t="s">
        <v>25745</v>
      </c>
      <c r="F9637" t="s">
        <v>30052</v>
      </c>
      <c r="G9637" t="s">
        <v>30058</v>
      </c>
      <c r="H9637" t="s">
        <v>15498</v>
      </c>
      <c r="I9637" t="s">
        <v>30084</v>
      </c>
      <c r="J9637" t="s">
        <v>30688</v>
      </c>
      <c r="K9637" t="s">
        <v>39029</v>
      </c>
      <c r="M9637" t="s">
        <v>42350</v>
      </c>
      <c r="N9637" t="s">
        <v>43166</v>
      </c>
      <c r="O9637" t="s">
        <v>43167</v>
      </c>
      <c r="P9637">
        <v>0</v>
      </c>
      <c r="Q9637">
        <v>4</v>
      </c>
      <c r="R9637" t="s">
        <v>43177</v>
      </c>
      <c r="S9637" t="s">
        <v>43494</v>
      </c>
      <c r="T9637" t="s">
        <v>44698</v>
      </c>
      <c r="U9637" t="s">
        <v>52931</v>
      </c>
      <c r="V9637" t="s">
        <v>57875</v>
      </c>
      <c r="W9637" t="s">
        <v>42350</v>
      </c>
      <c r="X9637" t="s">
        <v>43178</v>
      </c>
    </row>
    <row r="9638" spans="1:24">
      <c r="A9638">
        <f>HYPERLINK("https://www.philgeps.gov.ph/GEPSNONPILOT/Tender/SplashBidNoticeAbstractUI.aspx?menuIndex=3&amp;refID=7057293&amp;Result=3","7057293")</f>
        <v>0</v>
      </c>
      <c r="B9638" t="s">
        <v>1667</v>
      </c>
      <c r="C9638" t="s">
        <v>12600</v>
      </c>
      <c r="D9638" t="s">
        <v>17416</v>
      </c>
      <c r="E9638" t="s">
        <v>25746</v>
      </c>
      <c r="F9638" t="s">
        <v>30052</v>
      </c>
      <c r="G9638" t="s">
        <v>30058</v>
      </c>
      <c r="H9638" t="s">
        <v>30067</v>
      </c>
      <c r="I9638" t="s">
        <v>3693</v>
      </c>
      <c r="J9638" t="s">
        <v>36079</v>
      </c>
      <c r="K9638" t="s">
        <v>39224</v>
      </c>
      <c r="M9638" t="s">
        <v>41681</v>
      </c>
      <c r="N9638" t="s">
        <v>43166</v>
      </c>
      <c r="O9638" t="s">
        <v>43167</v>
      </c>
      <c r="P9638">
        <v>0</v>
      </c>
      <c r="Q9638">
        <v>1</v>
      </c>
      <c r="R9638" t="s">
        <v>43178</v>
      </c>
      <c r="S9638" t="s">
        <v>43522</v>
      </c>
      <c r="T9638" t="s">
        <v>45124</v>
      </c>
      <c r="U9638" t="s">
        <v>52932</v>
      </c>
      <c r="W9638" t="s">
        <v>41681</v>
      </c>
      <c r="X9638" t="s">
        <v>43185</v>
      </c>
    </row>
    <row r="9639" spans="1:24">
      <c r="A9639">
        <f>HYPERLINK("https://www.philgeps.gov.ph/GEPSNONPILOT/Tender/SplashBidNoticeAbstractUI.aspx?menuIndex=3&amp;refID=7051846&amp;Result=3","7051846")</f>
        <v>0</v>
      </c>
      <c r="B9639" t="s">
        <v>1730</v>
      </c>
      <c r="C9639" t="s">
        <v>12601</v>
      </c>
      <c r="D9639" t="s">
        <v>17423</v>
      </c>
      <c r="E9639" t="s">
        <v>25747</v>
      </c>
      <c r="F9639" t="s">
        <v>30052</v>
      </c>
      <c r="G9639" t="s">
        <v>30058</v>
      </c>
      <c r="H9639" t="s">
        <v>30067</v>
      </c>
      <c r="I9639" t="s">
        <v>3693</v>
      </c>
      <c r="J9639" t="s">
        <v>36080</v>
      </c>
      <c r="K9639" t="s">
        <v>39034</v>
      </c>
      <c r="M9639" t="s">
        <v>42228</v>
      </c>
      <c r="N9639" t="s">
        <v>43166</v>
      </c>
      <c r="O9639" t="s">
        <v>43167</v>
      </c>
      <c r="P9639">
        <v>0</v>
      </c>
      <c r="Q9639">
        <v>0</v>
      </c>
      <c r="R9639" t="s">
        <v>43178</v>
      </c>
      <c r="S9639" t="s">
        <v>43522</v>
      </c>
      <c r="T9639" t="s">
        <v>44856</v>
      </c>
      <c r="U9639" t="s">
        <v>52933</v>
      </c>
      <c r="V9639" t="s">
        <v>57886</v>
      </c>
      <c r="W9639" t="s">
        <v>42228</v>
      </c>
      <c r="X9639" t="s">
        <v>43187</v>
      </c>
    </row>
    <row r="9640" spans="1:24">
      <c r="A9640">
        <f>HYPERLINK("https://www.philgeps.gov.ph/GEPSNONPILOT/Tender/SplashBidNoticeAbstractUI.aspx?menuIndex=3&amp;refID=7051433&amp;Result=3","7051433")</f>
        <v>0</v>
      </c>
      <c r="B9640" t="s">
        <v>2821</v>
      </c>
      <c r="C9640" t="s">
        <v>12602</v>
      </c>
      <c r="D9640" t="s">
        <v>17468</v>
      </c>
      <c r="E9640" t="s">
        <v>18659</v>
      </c>
      <c r="F9640" t="s">
        <v>30054</v>
      </c>
      <c r="G9640" t="s">
        <v>30058</v>
      </c>
      <c r="H9640" t="s">
        <v>15498</v>
      </c>
      <c r="I9640" t="s">
        <v>30074</v>
      </c>
      <c r="J9640" t="s">
        <v>30292</v>
      </c>
      <c r="K9640" t="s">
        <v>39023</v>
      </c>
      <c r="M9640" t="s">
        <v>42365</v>
      </c>
      <c r="N9640" t="s">
        <v>43166</v>
      </c>
      <c r="O9640" t="s">
        <v>43167</v>
      </c>
      <c r="P9640">
        <v>0</v>
      </c>
      <c r="Q9640">
        <v>0</v>
      </c>
      <c r="R9640" t="s">
        <v>43178</v>
      </c>
      <c r="S9640" t="s">
        <v>43522</v>
      </c>
      <c r="T9640" t="s">
        <v>44715</v>
      </c>
      <c r="U9640" t="s">
        <v>52934</v>
      </c>
      <c r="W9640" t="s">
        <v>42365</v>
      </c>
      <c r="X9640" t="s">
        <v>43187</v>
      </c>
    </row>
    <row r="9641" spans="1:24">
      <c r="A9641">
        <f>HYPERLINK("https://www.philgeps.gov.ph/GEPSNONPILOT/Tender/SplashBidNoticeAbstractUI.aspx?menuIndex=3&amp;refID=7072251&amp;Result=3","7072251")</f>
        <v>0</v>
      </c>
      <c r="B9641" t="s">
        <v>228</v>
      </c>
      <c r="C9641" t="s">
        <v>12603</v>
      </c>
      <c r="D9641" t="s">
        <v>17415</v>
      </c>
      <c r="E9641" t="s">
        <v>25748</v>
      </c>
      <c r="F9641" t="s">
        <v>30052</v>
      </c>
      <c r="G9641" t="s">
        <v>30058</v>
      </c>
      <c r="H9641" t="s">
        <v>30067</v>
      </c>
      <c r="I9641" t="s">
        <v>3693</v>
      </c>
      <c r="J9641" t="s">
        <v>36081</v>
      </c>
      <c r="K9641" t="s">
        <v>39065</v>
      </c>
      <c r="M9641" t="s">
        <v>42361</v>
      </c>
      <c r="N9641" t="s">
        <v>43166</v>
      </c>
      <c r="O9641" t="s">
        <v>43167</v>
      </c>
      <c r="P9641">
        <v>0</v>
      </c>
      <c r="Q9641">
        <v>138</v>
      </c>
      <c r="R9641" t="s">
        <v>43177</v>
      </c>
      <c r="S9641" t="s">
        <v>43494</v>
      </c>
      <c r="T9641" t="s">
        <v>44791</v>
      </c>
      <c r="U9641" t="s">
        <v>52927</v>
      </c>
      <c r="W9641" t="s">
        <v>42361</v>
      </c>
      <c r="X9641" t="s">
        <v>43178</v>
      </c>
    </row>
    <row r="9642" spans="1:24">
      <c r="A9642">
        <f>HYPERLINK("https://www.philgeps.gov.ph/GEPSNONPILOT/Tender/SplashBidNoticeAbstractUI.aspx?menuIndex=3&amp;refID=7072265&amp;Result=3","7072265")</f>
        <v>0</v>
      </c>
      <c r="B9642" t="s">
        <v>228</v>
      </c>
      <c r="C9642" t="s">
        <v>12604</v>
      </c>
      <c r="D9642" t="s">
        <v>17415</v>
      </c>
      <c r="E9642" t="s">
        <v>25749</v>
      </c>
      <c r="F9642" t="s">
        <v>30052</v>
      </c>
      <c r="G9642" t="s">
        <v>30058</v>
      </c>
      <c r="H9642" t="s">
        <v>30067</v>
      </c>
      <c r="I9642" t="s">
        <v>3693</v>
      </c>
      <c r="J9642" t="s">
        <v>36082</v>
      </c>
      <c r="K9642" t="s">
        <v>39026</v>
      </c>
      <c r="M9642" t="s">
        <v>42361</v>
      </c>
      <c r="N9642" t="s">
        <v>43166</v>
      </c>
      <c r="O9642" t="s">
        <v>43167</v>
      </c>
      <c r="P9642">
        <v>0</v>
      </c>
      <c r="Q9642">
        <v>143</v>
      </c>
      <c r="R9642" t="s">
        <v>43177</v>
      </c>
      <c r="S9642" t="s">
        <v>43494</v>
      </c>
      <c r="T9642" t="s">
        <v>44791</v>
      </c>
      <c r="U9642" t="s">
        <v>52920</v>
      </c>
      <c r="W9642" t="s">
        <v>42361</v>
      </c>
      <c r="X9642" t="s">
        <v>43178</v>
      </c>
    </row>
    <row r="9643" spans="1:24">
      <c r="A9643">
        <f>HYPERLINK("https://www.philgeps.gov.ph/GEPSNONPILOT/Tender/SplashBidNoticeAbstractUI.aspx?menuIndex=3&amp;refID=7043420&amp;Result=3","7043420")</f>
        <v>0</v>
      </c>
      <c r="B9643" t="s">
        <v>2261</v>
      </c>
      <c r="C9643" t="s">
        <v>12605</v>
      </c>
      <c r="D9643" t="s">
        <v>17422</v>
      </c>
      <c r="E9643" t="s">
        <v>25750</v>
      </c>
      <c r="F9643" t="s">
        <v>30052</v>
      </c>
      <c r="G9643" t="s">
        <v>30058</v>
      </c>
      <c r="H9643" t="s">
        <v>15498</v>
      </c>
      <c r="I9643" t="s">
        <v>30130</v>
      </c>
      <c r="J9643" t="s">
        <v>36083</v>
      </c>
      <c r="K9643" t="s">
        <v>39019</v>
      </c>
      <c r="M9643" t="s">
        <v>41739</v>
      </c>
      <c r="N9643" t="s">
        <v>43166</v>
      </c>
      <c r="O9643" t="s">
        <v>43167</v>
      </c>
      <c r="P9643">
        <v>0</v>
      </c>
      <c r="Q9643">
        <v>5</v>
      </c>
      <c r="R9643" t="s">
        <v>43178</v>
      </c>
      <c r="S9643" t="s">
        <v>43522</v>
      </c>
      <c r="T9643" t="s">
        <v>44873</v>
      </c>
      <c r="U9643" t="s">
        <v>52935</v>
      </c>
      <c r="W9643" t="s">
        <v>41739</v>
      </c>
      <c r="X9643" t="s">
        <v>43190</v>
      </c>
    </row>
    <row r="9644" spans="1:24">
      <c r="A9644">
        <f>HYPERLINK("https://www.philgeps.gov.ph/GEPSNONPILOT/Tender/SplashBidNoticeAbstractUI.aspx?menuIndex=3&amp;refID=7029484-2&amp;Result=3","7029484-2")</f>
        <v>0</v>
      </c>
      <c r="B9644" t="s">
        <v>2454</v>
      </c>
      <c r="C9644" t="s">
        <v>12606</v>
      </c>
      <c r="D9644" t="s">
        <v>17486</v>
      </c>
      <c r="E9644" t="s">
        <v>25751</v>
      </c>
      <c r="F9644" t="s">
        <v>30052</v>
      </c>
      <c r="G9644" t="s">
        <v>30058</v>
      </c>
      <c r="H9644" t="s">
        <v>30068</v>
      </c>
      <c r="I9644" t="s">
        <v>30068</v>
      </c>
      <c r="J9644" t="s">
        <v>30404</v>
      </c>
      <c r="K9644" t="s">
        <v>39025</v>
      </c>
      <c r="M9644" t="s">
        <v>41953</v>
      </c>
      <c r="N9644" t="s">
        <v>43166</v>
      </c>
      <c r="O9644" t="s">
        <v>43167</v>
      </c>
      <c r="P9644">
        <v>0</v>
      </c>
      <c r="Q9644">
        <v>0</v>
      </c>
      <c r="R9644" t="s">
        <v>43178</v>
      </c>
      <c r="S9644" t="s">
        <v>43522</v>
      </c>
      <c r="T9644" t="s">
        <v>44717</v>
      </c>
      <c r="U9644" t="s">
        <v>52936</v>
      </c>
      <c r="W9644" t="s">
        <v>41953</v>
      </c>
      <c r="X9644" t="s">
        <v>43179</v>
      </c>
    </row>
    <row r="9645" spans="1:24">
      <c r="A9645">
        <f>HYPERLINK("https://www.philgeps.gov.ph/GEPSNONPILOT/Tender/SplashBidNoticeAbstractUI.aspx?menuIndex=3&amp;refID=7057401&amp;Result=3","7057401")</f>
        <v>0</v>
      </c>
      <c r="B9645" t="s">
        <v>2802</v>
      </c>
      <c r="C9645" t="s">
        <v>12607</v>
      </c>
      <c r="D9645" t="s">
        <v>17430</v>
      </c>
      <c r="E9645" t="s">
        <v>25752</v>
      </c>
      <c r="F9645" t="s">
        <v>30052</v>
      </c>
      <c r="G9645" t="s">
        <v>30058</v>
      </c>
      <c r="H9645" t="s">
        <v>15498</v>
      </c>
      <c r="I9645" t="s">
        <v>4650</v>
      </c>
      <c r="J9645" t="s">
        <v>34031</v>
      </c>
      <c r="K9645" t="s">
        <v>39029</v>
      </c>
      <c r="M9645" t="s">
        <v>42343</v>
      </c>
      <c r="N9645" t="s">
        <v>43166</v>
      </c>
      <c r="O9645" t="s">
        <v>43167</v>
      </c>
      <c r="P9645">
        <v>0</v>
      </c>
      <c r="Q9645">
        <v>2</v>
      </c>
      <c r="R9645" t="s">
        <v>43178</v>
      </c>
      <c r="S9645" t="s">
        <v>43522</v>
      </c>
      <c r="T9645" t="s">
        <v>44753</v>
      </c>
      <c r="U9645" t="s">
        <v>52937</v>
      </c>
      <c r="V9645" t="s">
        <v>57887</v>
      </c>
      <c r="W9645" t="s">
        <v>42343</v>
      </c>
      <c r="X9645" t="s">
        <v>43185</v>
      </c>
    </row>
    <row r="9646" spans="1:24">
      <c r="A9646">
        <f>HYPERLINK("https://www.philgeps.gov.ph/GEPSNONPILOT/Tender/SplashBidNoticeAbstractUI.aspx?menuIndex=3&amp;refID=7027047-2&amp;Result=3","7027047-2")</f>
        <v>0</v>
      </c>
      <c r="B9646" t="s">
        <v>2822</v>
      </c>
      <c r="C9646" t="s">
        <v>12608</v>
      </c>
      <c r="D9646" t="s">
        <v>17423</v>
      </c>
      <c r="E9646" t="s">
        <v>18868</v>
      </c>
      <c r="F9646" t="s">
        <v>30052</v>
      </c>
      <c r="G9646" t="s">
        <v>30058</v>
      </c>
      <c r="H9646" t="s">
        <v>15498</v>
      </c>
      <c r="I9646" t="s">
        <v>30084</v>
      </c>
      <c r="J9646" t="s">
        <v>36084</v>
      </c>
      <c r="K9646" t="s">
        <v>39019</v>
      </c>
      <c r="M9646" t="s">
        <v>42366</v>
      </c>
      <c r="N9646" t="s">
        <v>43166</v>
      </c>
      <c r="O9646" t="s">
        <v>43167</v>
      </c>
      <c r="P9646">
        <v>0</v>
      </c>
      <c r="Q9646">
        <v>1</v>
      </c>
      <c r="R9646" t="s">
        <v>43178</v>
      </c>
      <c r="S9646" t="s">
        <v>43522</v>
      </c>
      <c r="T9646" t="s">
        <v>44753</v>
      </c>
      <c r="U9646" t="s">
        <v>52938</v>
      </c>
      <c r="V9646" t="s">
        <v>57888</v>
      </c>
      <c r="W9646" t="s">
        <v>42366</v>
      </c>
      <c r="X9646" t="s">
        <v>43179</v>
      </c>
    </row>
    <row r="9647" spans="1:24">
      <c r="A9647">
        <f>HYPERLINK("https://www.philgeps.gov.ph/GEPSNONPILOT/Tender/SplashBidNoticeAbstractUI.aspx?menuIndex=3&amp;refID=7021487-2&amp;Result=3","7021487-2")</f>
        <v>0</v>
      </c>
      <c r="B9647" t="s">
        <v>1137</v>
      </c>
      <c r="C9647" t="s">
        <v>12609</v>
      </c>
      <c r="D9647" t="s">
        <v>17435</v>
      </c>
      <c r="E9647" t="s">
        <v>25753</v>
      </c>
      <c r="F9647" t="s">
        <v>30052</v>
      </c>
      <c r="G9647" t="s">
        <v>30058</v>
      </c>
      <c r="H9647" t="s">
        <v>30068</v>
      </c>
      <c r="I9647" t="s">
        <v>30068</v>
      </c>
      <c r="J9647" t="s">
        <v>30683</v>
      </c>
      <c r="K9647" t="s">
        <v>39031</v>
      </c>
      <c r="M9647" t="s">
        <v>40480</v>
      </c>
      <c r="N9647" t="s">
        <v>43166</v>
      </c>
      <c r="O9647" t="s">
        <v>43167</v>
      </c>
      <c r="P9647">
        <v>0</v>
      </c>
      <c r="Q9647">
        <v>2</v>
      </c>
      <c r="R9647" t="s">
        <v>43178</v>
      </c>
      <c r="S9647" t="s">
        <v>43522</v>
      </c>
      <c r="T9647" t="s">
        <v>44777</v>
      </c>
      <c r="U9647" t="s">
        <v>52939</v>
      </c>
      <c r="W9647" t="s">
        <v>40480</v>
      </c>
      <c r="X9647" t="s">
        <v>43179</v>
      </c>
    </row>
    <row r="9648" spans="1:24">
      <c r="A9648">
        <f>HYPERLINK("https://www.philgeps.gov.ph/GEPSNONPILOT/Tender/SplashBidNoticeAbstractUI.aspx?menuIndex=3&amp;refID=7049931&amp;Result=3","7049931")</f>
        <v>0</v>
      </c>
      <c r="B9648" t="s">
        <v>2823</v>
      </c>
      <c r="C9648" t="s">
        <v>12610</v>
      </c>
      <c r="E9648" t="s">
        <v>25754</v>
      </c>
      <c r="F9648" t="s">
        <v>30052</v>
      </c>
      <c r="G9648" t="s">
        <v>30058</v>
      </c>
      <c r="H9648" t="s">
        <v>15498</v>
      </c>
      <c r="I9648" t="s">
        <v>30091</v>
      </c>
      <c r="J9648" t="s">
        <v>36085</v>
      </c>
      <c r="K9648" t="s">
        <v>39025</v>
      </c>
      <c r="M9648" t="s">
        <v>42367</v>
      </c>
      <c r="N9648" t="s">
        <v>43166</v>
      </c>
      <c r="O9648" t="s">
        <v>43167</v>
      </c>
      <c r="P9648">
        <v>0</v>
      </c>
      <c r="Q9648">
        <v>4</v>
      </c>
      <c r="R9648" t="s">
        <v>43178</v>
      </c>
      <c r="S9648" t="s">
        <v>43522</v>
      </c>
      <c r="T9648" t="s">
        <v>44750</v>
      </c>
      <c r="U9648" t="s">
        <v>52940</v>
      </c>
      <c r="W9648" t="s">
        <v>42367</v>
      </c>
      <c r="X9648" t="s">
        <v>43187</v>
      </c>
    </row>
    <row r="9649" spans="1:24">
      <c r="A9649">
        <f>HYPERLINK("https://www.philgeps.gov.ph/GEPSNONPILOT/Tender/SplashBidNoticeAbstractUI.aspx?menuIndex=3&amp;refID=7021478-2&amp;Result=3","7021478-2")</f>
        <v>0</v>
      </c>
      <c r="B9649" t="s">
        <v>1137</v>
      </c>
      <c r="C9649" t="s">
        <v>12611</v>
      </c>
      <c r="D9649" t="s">
        <v>17435</v>
      </c>
      <c r="E9649" t="s">
        <v>25755</v>
      </c>
      <c r="F9649" t="s">
        <v>30052</v>
      </c>
      <c r="G9649" t="s">
        <v>30058</v>
      </c>
      <c r="H9649" t="s">
        <v>30068</v>
      </c>
      <c r="I9649" t="s">
        <v>30068</v>
      </c>
      <c r="J9649" t="s">
        <v>31060</v>
      </c>
      <c r="K9649" t="s">
        <v>39054</v>
      </c>
      <c r="M9649" t="s">
        <v>40480</v>
      </c>
      <c r="N9649" t="s">
        <v>43166</v>
      </c>
      <c r="O9649" t="s">
        <v>43167</v>
      </c>
      <c r="P9649">
        <v>0</v>
      </c>
      <c r="Q9649">
        <v>1</v>
      </c>
      <c r="R9649" t="s">
        <v>43178</v>
      </c>
      <c r="S9649" t="s">
        <v>43522</v>
      </c>
      <c r="T9649" t="s">
        <v>44777</v>
      </c>
      <c r="U9649" t="s">
        <v>52941</v>
      </c>
      <c r="W9649" t="s">
        <v>40480</v>
      </c>
      <c r="X9649" t="s">
        <v>43179</v>
      </c>
    </row>
    <row r="9650" spans="1:24">
      <c r="A9650">
        <f>HYPERLINK("https://www.philgeps.gov.ph/GEPSNONPILOT/Tender/SplashBidNoticeAbstractUI.aspx?menuIndex=3&amp;refID=7043061-2&amp;Result=3","7043061-2")</f>
        <v>0</v>
      </c>
      <c r="B9650" t="s">
        <v>1991</v>
      </c>
      <c r="C9650" t="s">
        <v>12612</v>
      </c>
      <c r="E9650" t="s">
        <v>25756</v>
      </c>
      <c r="F9650" t="s">
        <v>30052</v>
      </c>
      <c r="G9650" t="s">
        <v>30058</v>
      </c>
      <c r="H9650" t="s">
        <v>30068</v>
      </c>
      <c r="I9650" t="s">
        <v>30068</v>
      </c>
      <c r="J9650" t="s">
        <v>36086</v>
      </c>
      <c r="K9650" t="s">
        <v>39092</v>
      </c>
      <c r="M9650" t="s">
        <v>41433</v>
      </c>
      <c r="N9650" t="s">
        <v>43166</v>
      </c>
      <c r="O9650" t="s">
        <v>43167</v>
      </c>
      <c r="P9650">
        <v>0</v>
      </c>
      <c r="Q9650">
        <v>4</v>
      </c>
      <c r="R9650" t="s">
        <v>43178</v>
      </c>
      <c r="S9650" t="s">
        <v>43522</v>
      </c>
      <c r="T9650" t="s">
        <v>44764</v>
      </c>
      <c r="U9650" t="s">
        <v>52942</v>
      </c>
      <c r="W9650" t="s">
        <v>41433</v>
      </c>
      <c r="X9650" t="s">
        <v>43179</v>
      </c>
    </row>
    <row r="9651" spans="1:24">
      <c r="A9651">
        <f>HYPERLINK("https://www.philgeps.gov.ph/GEPSNONPILOT/Tender/SplashBidNoticeAbstractUI.aspx?menuIndex=3&amp;refID=7021464-2&amp;Result=3","7021464-2")</f>
        <v>0</v>
      </c>
      <c r="B9651" t="s">
        <v>1137</v>
      </c>
      <c r="C9651" t="s">
        <v>12613</v>
      </c>
      <c r="D9651" t="s">
        <v>17435</v>
      </c>
      <c r="E9651" t="s">
        <v>25757</v>
      </c>
      <c r="F9651" t="s">
        <v>30052</v>
      </c>
      <c r="G9651" t="s">
        <v>30058</v>
      </c>
      <c r="H9651" t="s">
        <v>30068</v>
      </c>
      <c r="I9651" t="s">
        <v>30068</v>
      </c>
      <c r="J9651" t="s">
        <v>30683</v>
      </c>
      <c r="K9651" t="s">
        <v>39031</v>
      </c>
      <c r="M9651" t="s">
        <v>40480</v>
      </c>
      <c r="N9651" t="s">
        <v>43166</v>
      </c>
      <c r="O9651" t="s">
        <v>43167</v>
      </c>
      <c r="P9651">
        <v>0</v>
      </c>
      <c r="Q9651">
        <v>1</v>
      </c>
      <c r="R9651" t="s">
        <v>43178</v>
      </c>
      <c r="S9651" t="s">
        <v>43522</v>
      </c>
      <c r="T9651" t="s">
        <v>44777</v>
      </c>
      <c r="U9651" t="s">
        <v>52943</v>
      </c>
      <c r="W9651" t="s">
        <v>40480</v>
      </c>
      <c r="X9651" t="s">
        <v>43179</v>
      </c>
    </row>
    <row r="9652" spans="1:24">
      <c r="A9652">
        <f>HYPERLINK("https://www.philgeps.gov.ph/GEPSNONPILOT/Tender/SplashBidNoticeAbstractUI.aspx?menuIndex=3&amp;refID=7021444-2&amp;Result=3","7021444-2")</f>
        <v>0</v>
      </c>
      <c r="B9652" t="s">
        <v>1137</v>
      </c>
      <c r="C9652" t="s">
        <v>12613</v>
      </c>
      <c r="D9652" t="s">
        <v>17435</v>
      </c>
      <c r="E9652" t="s">
        <v>25758</v>
      </c>
      <c r="F9652" t="s">
        <v>30052</v>
      </c>
      <c r="G9652" t="s">
        <v>30058</v>
      </c>
      <c r="H9652" t="s">
        <v>30068</v>
      </c>
      <c r="I9652" t="s">
        <v>30068</v>
      </c>
      <c r="J9652" t="s">
        <v>30683</v>
      </c>
      <c r="K9652" t="s">
        <v>39031</v>
      </c>
      <c r="M9652" t="s">
        <v>40480</v>
      </c>
      <c r="N9652" t="s">
        <v>43166</v>
      </c>
      <c r="O9652" t="s">
        <v>43167</v>
      </c>
      <c r="P9652">
        <v>0</v>
      </c>
      <c r="Q9652">
        <v>1</v>
      </c>
      <c r="R9652" t="s">
        <v>43178</v>
      </c>
      <c r="S9652" t="s">
        <v>43522</v>
      </c>
      <c r="T9652" t="s">
        <v>44777</v>
      </c>
      <c r="U9652" t="s">
        <v>52941</v>
      </c>
      <c r="W9652" t="s">
        <v>40480</v>
      </c>
      <c r="X9652" t="s">
        <v>43179</v>
      </c>
    </row>
    <row r="9653" spans="1:24">
      <c r="A9653">
        <f>HYPERLINK("https://www.philgeps.gov.ph/GEPSNONPILOT/Tender/SplashBidNoticeAbstractUI.aspx?menuIndex=3&amp;refID=7021492-2&amp;Result=3","7021492-2")</f>
        <v>0</v>
      </c>
      <c r="B9653" t="s">
        <v>1137</v>
      </c>
      <c r="C9653" t="s">
        <v>12609</v>
      </c>
      <c r="D9653" t="s">
        <v>17435</v>
      </c>
      <c r="E9653" t="s">
        <v>25759</v>
      </c>
      <c r="F9653" t="s">
        <v>30052</v>
      </c>
      <c r="G9653" t="s">
        <v>30058</v>
      </c>
      <c r="H9653" t="s">
        <v>30068</v>
      </c>
      <c r="I9653" t="s">
        <v>30068</v>
      </c>
      <c r="J9653" t="s">
        <v>35662</v>
      </c>
      <c r="K9653" t="s">
        <v>39210</v>
      </c>
      <c r="M9653" t="s">
        <v>40480</v>
      </c>
      <c r="N9653" t="s">
        <v>43166</v>
      </c>
      <c r="O9653" t="s">
        <v>43167</v>
      </c>
      <c r="P9653">
        <v>0</v>
      </c>
      <c r="Q9653">
        <v>2</v>
      </c>
      <c r="R9653" t="s">
        <v>43178</v>
      </c>
      <c r="S9653" t="s">
        <v>43522</v>
      </c>
      <c r="T9653" t="s">
        <v>44777</v>
      </c>
      <c r="U9653" t="s">
        <v>52939</v>
      </c>
      <c r="W9653" t="s">
        <v>40480</v>
      </c>
      <c r="X9653" t="s">
        <v>43179</v>
      </c>
    </row>
    <row r="9654" spans="1:24">
      <c r="A9654">
        <f>HYPERLINK("https://www.philgeps.gov.ph/GEPSNONPILOT/Tender/SplashBidNoticeAbstractUI.aspx?menuIndex=3&amp;refID=7072242&amp;Result=3","7072242")</f>
        <v>0</v>
      </c>
      <c r="B9654" t="s">
        <v>2809</v>
      </c>
      <c r="C9654" t="s">
        <v>12614</v>
      </c>
      <c r="D9654" t="s">
        <v>17444</v>
      </c>
      <c r="E9654" t="s">
        <v>25760</v>
      </c>
      <c r="F9654" t="s">
        <v>30052</v>
      </c>
      <c r="G9654" t="s">
        <v>30058</v>
      </c>
      <c r="H9654" t="s">
        <v>15498</v>
      </c>
      <c r="I9654" t="s">
        <v>30108</v>
      </c>
      <c r="J9654" t="s">
        <v>36087</v>
      </c>
      <c r="K9654" t="s">
        <v>39029</v>
      </c>
      <c r="M9654" t="s">
        <v>42350</v>
      </c>
      <c r="N9654" t="s">
        <v>43166</v>
      </c>
      <c r="O9654" t="s">
        <v>43167</v>
      </c>
      <c r="P9654">
        <v>0</v>
      </c>
      <c r="Q9654">
        <v>3</v>
      </c>
      <c r="R9654" t="s">
        <v>43177</v>
      </c>
      <c r="S9654" t="s">
        <v>43494</v>
      </c>
      <c r="T9654" t="s">
        <v>44698</v>
      </c>
      <c r="U9654" t="s">
        <v>52944</v>
      </c>
      <c r="V9654" t="s">
        <v>57875</v>
      </c>
      <c r="W9654" t="s">
        <v>42350</v>
      </c>
      <c r="X9654" t="s">
        <v>43178</v>
      </c>
    </row>
    <row r="9655" spans="1:24">
      <c r="A9655">
        <f>HYPERLINK("https://www.philgeps.gov.ph/GEPSNONPILOT/Tender/SplashBidNoticeAbstractUI.aspx?menuIndex=3&amp;refID=7072240&amp;Result=3","7072240")</f>
        <v>0</v>
      </c>
      <c r="B9655" t="s">
        <v>228</v>
      </c>
      <c r="C9655" t="s">
        <v>12615</v>
      </c>
      <c r="D9655" t="s">
        <v>17415</v>
      </c>
      <c r="E9655" t="s">
        <v>25761</v>
      </c>
      <c r="F9655" t="s">
        <v>30052</v>
      </c>
      <c r="G9655" t="s">
        <v>30058</v>
      </c>
      <c r="H9655" t="s">
        <v>30067</v>
      </c>
      <c r="I9655" t="s">
        <v>3693</v>
      </c>
      <c r="J9655" t="s">
        <v>36088</v>
      </c>
      <c r="K9655" t="s">
        <v>39046</v>
      </c>
      <c r="M9655" t="s">
        <v>42361</v>
      </c>
      <c r="N9655" t="s">
        <v>43166</v>
      </c>
      <c r="O9655" t="s">
        <v>43167</v>
      </c>
      <c r="P9655">
        <v>0</v>
      </c>
      <c r="Q9655">
        <v>105</v>
      </c>
      <c r="R9655" t="s">
        <v>43177</v>
      </c>
      <c r="S9655" t="s">
        <v>43494</v>
      </c>
      <c r="T9655" t="s">
        <v>44791</v>
      </c>
      <c r="U9655" t="s">
        <v>52927</v>
      </c>
      <c r="W9655" t="s">
        <v>42361</v>
      </c>
      <c r="X9655" t="s">
        <v>43178</v>
      </c>
    </row>
    <row r="9656" spans="1:24">
      <c r="A9656">
        <f>HYPERLINK("https://www.philgeps.gov.ph/GEPSNONPILOT/Tender/SplashBidNoticeAbstractUI.aspx?menuIndex=3&amp;refID=7072232&amp;Result=3","7072232")</f>
        <v>0</v>
      </c>
      <c r="B9656" t="s">
        <v>2395</v>
      </c>
      <c r="C9656" t="s">
        <v>12616</v>
      </c>
      <c r="E9656" t="s">
        <v>25762</v>
      </c>
      <c r="F9656" t="s">
        <v>30052</v>
      </c>
      <c r="G9656" t="s">
        <v>30058</v>
      </c>
      <c r="H9656" t="s">
        <v>30067</v>
      </c>
      <c r="I9656" t="s">
        <v>3693</v>
      </c>
      <c r="J9656" t="s">
        <v>30222</v>
      </c>
      <c r="K9656" t="s">
        <v>39046</v>
      </c>
      <c r="M9656" t="s">
        <v>41891</v>
      </c>
      <c r="N9656" t="s">
        <v>43166</v>
      </c>
      <c r="O9656" t="s">
        <v>43167</v>
      </c>
      <c r="Q9656">
        <v>0</v>
      </c>
      <c r="R9656" t="s">
        <v>43177</v>
      </c>
      <c r="S9656" t="s">
        <v>43523</v>
      </c>
      <c r="T9656" t="s">
        <v>44763</v>
      </c>
      <c r="U9656" t="s">
        <v>52907</v>
      </c>
      <c r="V9656" t="s">
        <v>57649</v>
      </c>
      <c r="W9656" t="s">
        <v>41891</v>
      </c>
      <c r="X9656" t="s">
        <v>43178</v>
      </c>
    </row>
    <row r="9657" spans="1:24">
      <c r="A9657">
        <f>HYPERLINK("https://www.philgeps.gov.ph/GEPSNONPILOT/Tender/SplashBidNoticeAbstractUI.aspx?menuIndex=3&amp;refID=7029694&amp;Result=3","7029694")</f>
        <v>0</v>
      </c>
      <c r="B9657" t="s">
        <v>2824</v>
      </c>
      <c r="C9657" t="s">
        <v>12617</v>
      </c>
      <c r="D9657" t="s">
        <v>17466</v>
      </c>
      <c r="E9657" t="s">
        <v>18907</v>
      </c>
      <c r="F9657" t="s">
        <v>30052</v>
      </c>
      <c r="G9657" t="s">
        <v>30058</v>
      </c>
      <c r="H9657" t="s">
        <v>15498</v>
      </c>
      <c r="I9657" t="s">
        <v>30074</v>
      </c>
      <c r="J9657" t="s">
        <v>30218</v>
      </c>
      <c r="K9657" t="s">
        <v>39017</v>
      </c>
      <c r="M9657" t="s">
        <v>42368</v>
      </c>
      <c r="N9657" t="s">
        <v>43166</v>
      </c>
      <c r="O9657" t="s">
        <v>43167</v>
      </c>
      <c r="P9657">
        <v>0</v>
      </c>
      <c r="Q9657">
        <v>0</v>
      </c>
      <c r="R9657" t="s">
        <v>43178</v>
      </c>
      <c r="S9657" t="s">
        <v>43522</v>
      </c>
      <c r="T9657" t="s">
        <v>44737</v>
      </c>
      <c r="U9657" t="s">
        <v>52945</v>
      </c>
      <c r="V9657" t="s">
        <v>56861</v>
      </c>
      <c r="W9657" t="s">
        <v>42368</v>
      </c>
      <c r="X9657" t="s">
        <v>43198</v>
      </c>
    </row>
    <row r="9658" spans="1:24">
      <c r="A9658">
        <f>HYPERLINK("https://www.philgeps.gov.ph/GEPSNONPILOT/Tender/SplashBidNoticeAbstractUI.aspx?menuIndex=3&amp;refID=7072188&amp;Result=3","7072188")</f>
        <v>0</v>
      </c>
      <c r="B9658" t="s">
        <v>2640</v>
      </c>
      <c r="C9658" t="s">
        <v>12618</v>
      </c>
      <c r="D9658" t="s">
        <v>17488</v>
      </c>
      <c r="E9658" t="s">
        <v>25763</v>
      </c>
      <c r="F9658" t="s">
        <v>30052</v>
      </c>
      <c r="G9658" t="s">
        <v>30058</v>
      </c>
      <c r="H9658" t="s">
        <v>30067</v>
      </c>
      <c r="I9658" t="s">
        <v>3693</v>
      </c>
      <c r="J9658" t="s">
        <v>36089</v>
      </c>
      <c r="K9658" t="s">
        <v>39031</v>
      </c>
      <c r="M9658" t="s">
        <v>42157</v>
      </c>
      <c r="N9658" t="s">
        <v>43166</v>
      </c>
      <c r="O9658" t="s">
        <v>43167</v>
      </c>
      <c r="P9658">
        <v>0</v>
      </c>
      <c r="Q9658">
        <v>0</v>
      </c>
      <c r="R9658" t="s">
        <v>43177</v>
      </c>
      <c r="S9658" t="s">
        <v>43494</v>
      </c>
      <c r="T9658" t="s">
        <v>44815</v>
      </c>
      <c r="U9658" t="s">
        <v>52946</v>
      </c>
      <c r="V9658" t="s">
        <v>57755</v>
      </c>
      <c r="W9658" t="s">
        <v>42157</v>
      </c>
      <c r="X9658" t="s">
        <v>43178</v>
      </c>
    </row>
    <row r="9659" spans="1:24">
      <c r="A9659">
        <f>HYPERLINK("https://www.philgeps.gov.ph/GEPSNONPILOT/Tender/SplashBidNoticeAbstractUI.aspx?menuIndex=3&amp;refID=7072235&amp;Result=3","7072235")</f>
        <v>0</v>
      </c>
      <c r="B9659" t="s">
        <v>2395</v>
      </c>
      <c r="C9659" t="s">
        <v>12619</v>
      </c>
      <c r="E9659" t="s">
        <v>25764</v>
      </c>
      <c r="F9659" t="s">
        <v>30052</v>
      </c>
      <c r="G9659" t="s">
        <v>30058</v>
      </c>
      <c r="H9659" t="s">
        <v>30067</v>
      </c>
      <c r="I9659" t="s">
        <v>3693</v>
      </c>
      <c r="J9659" t="s">
        <v>31185</v>
      </c>
      <c r="K9659" t="s">
        <v>39031</v>
      </c>
      <c r="M9659" t="s">
        <v>41891</v>
      </c>
      <c r="N9659" t="s">
        <v>43166</v>
      </c>
      <c r="O9659" t="s">
        <v>43167</v>
      </c>
      <c r="Q9659">
        <v>0</v>
      </c>
      <c r="R9659" t="s">
        <v>43177</v>
      </c>
      <c r="S9659" t="s">
        <v>43524</v>
      </c>
      <c r="T9659" t="s">
        <v>44763</v>
      </c>
      <c r="U9659" t="s">
        <v>52907</v>
      </c>
      <c r="V9659" t="s">
        <v>57649</v>
      </c>
      <c r="W9659" t="s">
        <v>41891</v>
      </c>
      <c r="X9659" t="s">
        <v>43178</v>
      </c>
    </row>
    <row r="9660" spans="1:24">
      <c r="A9660">
        <f>HYPERLINK("https://www.philgeps.gov.ph/GEPSNONPILOT/Tender/SplashBidNoticeAbstractUI.aspx?menuIndex=3&amp;refID=7072166&amp;Result=3","7072166")</f>
        <v>0</v>
      </c>
      <c r="B9660" t="s">
        <v>2805</v>
      </c>
      <c r="C9660" t="s">
        <v>12620</v>
      </c>
      <c r="D9660" t="s">
        <v>17471</v>
      </c>
      <c r="E9660" t="s">
        <v>25765</v>
      </c>
      <c r="F9660" t="s">
        <v>30052</v>
      </c>
      <c r="G9660" t="s">
        <v>30058</v>
      </c>
      <c r="H9660" t="s">
        <v>15498</v>
      </c>
      <c r="I9660" t="s">
        <v>30081</v>
      </c>
      <c r="J9660" t="s">
        <v>36090</v>
      </c>
      <c r="K9660" t="s">
        <v>39019</v>
      </c>
      <c r="M9660" t="s">
        <v>42346</v>
      </c>
      <c r="N9660" t="s">
        <v>43166</v>
      </c>
      <c r="O9660" t="s">
        <v>43167</v>
      </c>
      <c r="P9660">
        <v>0</v>
      </c>
      <c r="Q9660">
        <v>0</v>
      </c>
      <c r="R9660" t="s">
        <v>43177</v>
      </c>
      <c r="S9660" t="s">
        <v>43494</v>
      </c>
      <c r="T9660" t="s">
        <v>44815</v>
      </c>
      <c r="U9660" t="s">
        <v>52947</v>
      </c>
      <c r="W9660" t="s">
        <v>42346</v>
      </c>
      <c r="X9660" t="s">
        <v>43178</v>
      </c>
    </row>
    <row r="9661" spans="1:24">
      <c r="A9661">
        <f>HYPERLINK("https://www.philgeps.gov.ph/GEPSNONPILOT/Tender/SplashBidNoticeAbstractUI.aspx?menuIndex=3&amp;refID=7072155&amp;Result=3","7072155")</f>
        <v>0</v>
      </c>
      <c r="B9661" t="s">
        <v>2825</v>
      </c>
      <c r="C9661" t="s">
        <v>12621</v>
      </c>
      <c r="D9661" t="s">
        <v>17448</v>
      </c>
      <c r="E9661" t="s">
        <v>17620</v>
      </c>
      <c r="F9661" t="s">
        <v>30052</v>
      </c>
      <c r="G9661" t="s">
        <v>30058</v>
      </c>
      <c r="H9661" t="s">
        <v>30067</v>
      </c>
      <c r="I9661" t="s">
        <v>30152</v>
      </c>
      <c r="J9661" t="s">
        <v>34480</v>
      </c>
      <c r="K9661" t="s">
        <v>39023</v>
      </c>
      <c r="M9661" t="s">
        <v>42369</v>
      </c>
      <c r="N9661" t="s">
        <v>43166</v>
      </c>
      <c r="O9661" t="s">
        <v>43167</v>
      </c>
      <c r="P9661">
        <v>0</v>
      </c>
      <c r="Q9661">
        <v>1</v>
      </c>
      <c r="R9661" t="s">
        <v>43177</v>
      </c>
      <c r="S9661" t="s">
        <v>43494</v>
      </c>
      <c r="T9661" t="s">
        <v>44757</v>
      </c>
      <c r="U9661" t="s">
        <v>52948</v>
      </c>
      <c r="W9661" t="s">
        <v>42369</v>
      </c>
      <c r="X9661" t="s">
        <v>43178</v>
      </c>
    </row>
    <row r="9662" spans="1:24">
      <c r="A9662">
        <f>HYPERLINK("https://www.philgeps.gov.ph/GEPSNONPILOT/Tender/SplashBidNoticeAbstractUI.aspx?menuIndex=3&amp;refID=7072181&amp;Result=3","7072181")</f>
        <v>0</v>
      </c>
      <c r="B9662" t="s">
        <v>2826</v>
      </c>
      <c r="C9662" t="s">
        <v>12622</v>
      </c>
      <c r="D9662" t="s">
        <v>17445</v>
      </c>
      <c r="E9662" t="s">
        <v>25766</v>
      </c>
      <c r="F9662" t="s">
        <v>30052</v>
      </c>
      <c r="G9662" t="s">
        <v>30058</v>
      </c>
      <c r="H9662" t="s">
        <v>15498</v>
      </c>
      <c r="I9662" t="s">
        <v>30084</v>
      </c>
      <c r="J9662" t="s">
        <v>30555</v>
      </c>
      <c r="K9662" t="s">
        <v>39029</v>
      </c>
      <c r="M9662" t="s">
        <v>42370</v>
      </c>
      <c r="N9662" t="s">
        <v>43166</v>
      </c>
      <c r="O9662" t="s">
        <v>43167</v>
      </c>
      <c r="Q9662">
        <v>8</v>
      </c>
      <c r="R9662" t="s">
        <v>43177</v>
      </c>
      <c r="S9662" t="s">
        <v>43525</v>
      </c>
      <c r="T9662" t="s">
        <v>44725</v>
      </c>
      <c r="U9662" t="s">
        <v>52949</v>
      </c>
      <c r="W9662" t="s">
        <v>42370</v>
      </c>
      <c r="X9662" t="s">
        <v>43178</v>
      </c>
    </row>
    <row r="9663" spans="1:24">
      <c r="A9663">
        <f>HYPERLINK("https://www.philgeps.gov.ph/GEPSNONPILOT/Tender/SplashBidNoticeAbstractUI.aspx?menuIndex=3&amp;refID=7072154&amp;Result=3","7072154")</f>
        <v>0</v>
      </c>
      <c r="B9663" t="s">
        <v>2827</v>
      </c>
      <c r="C9663" t="s">
        <v>12623</v>
      </c>
      <c r="D9663" t="s">
        <v>17421</v>
      </c>
      <c r="E9663" t="s">
        <v>17715</v>
      </c>
      <c r="F9663" t="s">
        <v>30052</v>
      </c>
      <c r="G9663" t="s">
        <v>30058</v>
      </c>
      <c r="H9663" t="s">
        <v>30067</v>
      </c>
      <c r="I9663" t="s">
        <v>3693</v>
      </c>
      <c r="J9663" t="s">
        <v>36091</v>
      </c>
      <c r="K9663" t="s">
        <v>39019</v>
      </c>
      <c r="M9663" t="s">
        <v>42371</v>
      </c>
      <c r="N9663" t="s">
        <v>43166</v>
      </c>
      <c r="O9663" t="s">
        <v>43167</v>
      </c>
      <c r="P9663">
        <v>0</v>
      </c>
      <c r="Q9663">
        <v>0</v>
      </c>
      <c r="R9663" t="s">
        <v>43177</v>
      </c>
      <c r="S9663" t="s">
        <v>43494</v>
      </c>
      <c r="T9663" t="s">
        <v>44925</v>
      </c>
      <c r="U9663" t="s">
        <v>52950</v>
      </c>
      <c r="W9663" t="s">
        <v>42371</v>
      </c>
      <c r="X9663" t="s">
        <v>43178</v>
      </c>
    </row>
    <row r="9664" spans="1:24">
      <c r="A9664">
        <f>HYPERLINK("https://www.philgeps.gov.ph/GEPSNONPILOT/Tender/SplashBidNoticeAbstractUI.aspx?menuIndex=3&amp;refID=7058245&amp;Result=3","7058245")</f>
        <v>0</v>
      </c>
      <c r="B9664" t="s">
        <v>2820</v>
      </c>
      <c r="C9664" t="s">
        <v>12624</v>
      </c>
      <c r="D9664" t="s">
        <v>17449</v>
      </c>
      <c r="E9664" t="s">
        <v>25767</v>
      </c>
      <c r="F9664" t="s">
        <v>30052</v>
      </c>
      <c r="G9664" t="s">
        <v>30058</v>
      </c>
      <c r="H9664" t="s">
        <v>30067</v>
      </c>
      <c r="I9664" t="s">
        <v>3693</v>
      </c>
      <c r="J9664" t="s">
        <v>36092</v>
      </c>
      <c r="K9664" t="s">
        <v>39025</v>
      </c>
      <c r="M9664" t="s">
        <v>42364</v>
      </c>
      <c r="N9664" t="s">
        <v>43166</v>
      </c>
      <c r="O9664" t="s">
        <v>43167</v>
      </c>
      <c r="P9664">
        <v>0</v>
      </c>
      <c r="Q9664">
        <v>2</v>
      </c>
      <c r="R9664" t="s">
        <v>43178</v>
      </c>
      <c r="S9664" t="s">
        <v>43522</v>
      </c>
      <c r="T9664" t="s">
        <v>44830</v>
      </c>
      <c r="U9664" t="s">
        <v>52951</v>
      </c>
      <c r="W9664" t="s">
        <v>42364</v>
      </c>
      <c r="X9664" t="s">
        <v>43184</v>
      </c>
    </row>
    <row r="9665" spans="1:24">
      <c r="A9665">
        <f>HYPERLINK("https://www.philgeps.gov.ph/GEPSNONPILOT/Tender/SplashBidNoticeAbstractUI.aspx?menuIndex=3&amp;refID=7072162&amp;Result=3","7072162")</f>
        <v>0</v>
      </c>
      <c r="B9665" t="s">
        <v>360</v>
      </c>
      <c r="C9665" t="s">
        <v>12625</v>
      </c>
      <c r="D9665" t="s">
        <v>17432</v>
      </c>
      <c r="E9665" t="s">
        <v>25768</v>
      </c>
      <c r="F9665" t="s">
        <v>30052</v>
      </c>
      <c r="G9665" t="s">
        <v>30060</v>
      </c>
      <c r="H9665" t="s">
        <v>15498</v>
      </c>
      <c r="I9665" t="s">
        <v>30144</v>
      </c>
      <c r="J9665" t="s">
        <v>32820</v>
      </c>
      <c r="K9665" t="s">
        <v>39031</v>
      </c>
      <c r="M9665" t="s">
        <v>39657</v>
      </c>
      <c r="N9665" t="s">
        <v>43166</v>
      </c>
      <c r="O9665" t="s">
        <v>43167</v>
      </c>
      <c r="Q9665">
        <v>1</v>
      </c>
      <c r="R9665" t="s">
        <v>43177</v>
      </c>
      <c r="S9665" t="s">
        <v>43526</v>
      </c>
      <c r="T9665" t="s">
        <v>44759</v>
      </c>
      <c r="U9665" t="s">
        <v>52952</v>
      </c>
      <c r="V9665" t="s">
        <v>56908</v>
      </c>
      <c r="W9665" t="s">
        <v>39657</v>
      </c>
      <c r="X9665" t="s">
        <v>43178</v>
      </c>
    </row>
    <row r="9666" spans="1:24">
      <c r="A9666">
        <f>HYPERLINK("https://www.philgeps.gov.ph/GEPSNONPILOT/Tender/SplashBidNoticeAbstractUI.aspx?menuIndex=3&amp;refID=7072284&amp;Result=3","7072284")</f>
        <v>0</v>
      </c>
      <c r="B9666" t="s">
        <v>2818</v>
      </c>
      <c r="C9666" t="s">
        <v>12626</v>
      </c>
      <c r="D9666" t="s">
        <v>17486</v>
      </c>
      <c r="E9666" t="s">
        <v>25769</v>
      </c>
      <c r="F9666" t="s">
        <v>30052</v>
      </c>
      <c r="G9666" t="s">
        <v>30058</v>
      </c>
      <c r="H9666" t="s">
        <v>30067</v>
      </c>
      <c r="I9666" t="s">
        <v>3693</v>
      </c>
      <c r="J9666" t="s">
        <v>36093</v>
      </c>
      <c r="K9666" t="s">
        <v>39023</v>
      </c>
      <c r="M9666" t="s">
        <v>42362</v>
      </c>
      <c r="N9666" t="s">
        <v>43166</v>
      </c>
      <c r="O9666" t="s">
        <v>43167</v>
      </c>
      <c r="Q9666">
        <v>11</v>
      </c>
      <c r="R9666" t="s">
        <v>43177</v>
      </c>
      <c r="S9666" t="s">
        <v>43398</v>
      </c>
      <c r="T9666" t="s">
        <v>44763</v>
      </c>
      <c r="U9666" t="s">
        <v>52953</v>
      </c>
      <c r="V9666" t="s">
        <v>57889</v>
      </c>
      <c r="W9666" t="s">
        <v>42362</v>
      </c>
      <c r="X9666" t="s">
        <v>43178</v>
      </c>
    </row>
    <row r="9667" spans="1:24">
      <c r="A9667">
        <f>HYPERLINK("https://www.philgeps.gov.ph/GEPSNONPILOT/Tender/SplashBidNoticeAbstractUI.aspx?menuIndex=3&amp;refID=7072174&amp;Result=3","7072174")</f>
        <v>0</v>
      </c>
      <c r="B9667" t="s">
        <v>2809</v>
      </c>
      <c r="C9667" t="s">
        <v>12627</v>
      </c>
      <c r="D9667" t="s">
        <v>17444</v>
      </c>
      <c r="E9667" t="s">
        <v>25770</v>
      </c>
      <c r="F9667" t="s">
        <v>30052</v>
      </c>
      <c r="G9667" t="s">
        <v>30058</v>
      </c>
      <c r="H9667" t="s">
        <v>15498</v>
      </c>
      <c r="I9667" t="s">
        <v>30084</v>
      </c>
      <c r="J9667" t="s">
        <v>36094</v>
      </c>
      <c r="K9667" t="s">
        <v>39029</v>
      </c>
      <c r="M9667" t="s">
        <v>42350</v>
      </c>
      <c r="N9667" t="s">
        <v>43166</v>
      </c>
      <c r="O9667" t="s">
        <v>43167</v>
      </c>
      <c r="P9667">
        <v>0</v>
      </c>
      <c r="Q9667">
        <v>4</v>
      </c>
      <c r="R9667" t="s">
        <v>43177</v>
      </c>
      <c r="S9667" t="s">
        <v>43494</v>
      </c>
      <c r="T9667" t="s">
        <v>44698</v>
      </c>
      <c r="U9667" t="s">
        <v>52954</v>
      </c>
      <c r="V9667" t="s">
        <v>57875</v>
      </c>
      <c r="W9667" t="s">
        <v>42350</v>
      </c>
      <c r="X9667" t="s">
        <v>43178</v>
      </c>
    </row>
    <row r="9668" spans="1:24">
      <c r="A9668">
        <f>HYPERLINK("https://www.philgeps.gov.ph/GEPSNONPILOT/Tender/SplashBidNoticeAbstractUI.aspx?menuIndex=3&amp;refID=7072044&amp;Result=3","7072044")</f>
        <v>0</v>
      </c>
      <c r="B9668" t="s">
        <v>2794</v>
      </c>
      <c r="C9668" t="s">
        <v>12628</v>
      </c>
      <c r="D9668" t="s">
        <v>17414</v>
      </c>
      <c r="E9668" t="s">
        <v>25771</v>
      </c>
      <c r="F9668" t="s">
        <v>30052</v>
      </c>
      <c r="G9668" t="s">
        <v>30061</v>
      </c>
      <c r="H9668" t="s">
        <v>15498</v>
      </c>
      <c r="I9668" t="s">
        <v>30071</v>
      </c>
      <c r="J9668" t="s">
        <v>36095</v>
      </c>
      <c r="K9668" t="s">
        <v>39029</v>
      </c>
      <c r="M9668" t="s">
        <v>42334</v>
      </c>
      <c r="N9668" t="s">
        <v>43166</v>
      </c>
      <c r="O9668" t="s">
        <v>43167</v>
      </c>
      <c r="Q9668">
        <v>5</v>
      </c>
      <c r="R9668" t="s">
        <v>43177</v>
      </c>
      <c r="S9668" t="s">
        <v>43527</v>
      </c>
      <c r="T9668" t="s">
        <v>44710</v>
      </c>
      <c r="U9668" t="s">
        <v>52922</v>
      </c>
      <c r="V9668" t="s">
        <v>57865</v>
      </c>
      <c r="W9668" t="s">
        <v>42334</v>
      </c>
      <c r="X9668" t="s">
        <v>43178</v>
      </c>
    </row>
    <row r="9669" spans="1:24">
      <c r="A9669">
        <f>HYPERLINK("https://www.philgeps.gov.ph/GEPSNONPILOT/Tender/SplashBidNoticeAbstractUI.aspx?menuIndex=3&amp;refID=7064433&amp;Result=3","7064433")</f>
        <v>0</v>
      </c>
      <c r="B9669" t="s">
        <v>1180</v>
      </c>
      <c r="C9669" t="s">
        <v>12629</v>
      </c>
      <c r="D9669" t="s">
        <v>17455</v>
      </c>
      <c r="E9669" t="s">
        <v>25772</v>
      </c>
      <c r="F9669" t="s">
        <v>30052</v>
      </c>
      <c r="G9669" t="s">
        <v>30058</v>
      </c>
      <c r="H9669" t="s">
        <v>15498</v>
      </c>
      <c r="I9669" t="s">
        <v>30074</v>
      </c>
      <c r="J9669" t="s">
        <v>36096</v>
      </c>
      <c r="K9669" t="s">
        <v>39029</v>
      </c>
      <c r="M9669" t="s">
        <v>40530</v>
      </c>
      <c r="N9669" t="s">
        <v>43166</v>
      </c>
      <c r="O9669" t="s">
        <v>43167</v>
      </c>
      <c r="P9669">
        <v>0</v>
      </c>
      <c r="Q9669">
        <v>15</v>
      </c>
      <c r="R9669" t="s">
        <v>43178</v>
      </c>
      <c r="S9669" t="s">
        <v>43522</v>
      </c>
      <c r="T9669" t="s">
        <v>44830</v>
      </c>
      <c r="U9669" t="s">
        <v>52955</v>
      </c>
      <c r="W9669" t="s">
        <v>40530</v>
      </c>
      <c r="X9669" t="s">
        <v>43181</v>
      </c>
    </row>
    <row r="9670" spans="1:24">
      <c r="A9670">
        <f>HYPERLINK("https://www.philgeps.gov.ph/GEPSNONPILOT/Tender/SplashBidNoticeAbstractUI.aspx?menuIndex=3&amp;refID=7043425&amp;Result=3","7043425")</f>
        <v>0</v>
      </c>
      <c r="B9670" t="s">
        <v>2261</v>
      </c>
      <c r="C9670" t="s">
        <v>12630</v>
      </c>
      <c r="D9670" t="s">
        <v>17422</v>
      </c>
      <c r="E9670" t="s">
        <v>25773</v>
      </c>
      <c r="F9670" t="s">
        <v>30052</v>
      </c>
      <c r="G9670" t="s">
        <v>30058</v>
      </c>
      <c r="H9670" t="s">
        <v>15498</v>
      </c>
      <c r="I9670" t="s">
        <v>3852</v>
      </c>
      <c r="J9670" t="s">
        <v>32865</v>
      </c>
      <c r="K9670" t="s">
        <v>39017</v>
      </c>
      <c r="M9670" t="s">
        <v>41739</v>
      </c>
      <c r="N9670" t="s">
        <v>43166</v>
      </c>
      <c r="O9670" t="s">
        <v>43167</v>
      </c>
      <c r="P9670">
        <v>0</v>
      </c>
      <c r="Q9670">
        <v>1</v>
      </c>
      <c r="R9670" t="s">
        <v>43178</v>
      </c>
      <c r="S9670" t="s">
        <v>43522</v>
      </c>
      <c r="T9670" t="s">
        <v>44922</v>
      </c>
      <c r="U9670" t="s">
        <v>52956</v>
      </c>
      <c r="W9670" t="s">
        <v>41739</v>
      </c>
      <c r="X9670" t="s">
        <v>43190</v>
      </c>
    </row>
    <row r="9671" spans="1:24">
      <c r="A9671">
        <f>HYPERLINK("https://www.philgeps.gov.ph/GEPSNONPILOT/Tender/SplashBidNoticeAbstractUI.aspx?menuIndex=3&amp;refID=7064410&amp;Result=3","7064410")</f>
        <v>0</v>
      </c>
      <c r="B9671" t="s">
        <v>1180</v>
      </c>
      <c r="C9671" t="s">
        <v>12631</v>
      </c>
      <c r="D9671" t="s">
        <v>17455</v>
      </c>
      <c r="E9671" t="s">
        <v>25774</v>
      </c>
      <c r="F9671" t="s">
        <v>30052</v>
      </c>
      <c r="G9671" t="s">
        <v>30058</v>
      </c>
      <c r="H9671" t="s">
        <v>15498</v>
      </c>
      <c r="I9671" t="s">
        <v>3852</v>
      </c>
      <c r="J9671" t="s">
        <v>35129</v>
      </c>
      <c r="K9671" t="s">
        <v>39064</v>
      </c>
      <c r="M9671" t="s">
        <v>40530</v>
      </c>
      <c r="N9671" t="s">
        <v>43166</v>
      </c>
      <c r="O9671" t="s">
        <v>43167</v>
      </c>
      <c r="P9671">
        <v>0</v>
      </c>
      <c r="Q9671">
        <v>4</v>
      </c>
      <c r="R9671" t="s">
        <v>43178</v>
      </c>
      <c r="S9671" t="s">
        <v>43522</v>
      </c>
      <c r="T9671" t="s">
        <v>44830</v>
      </c>
      <c r="U9671" t="s">
        <v>52957</v>
      </c>
      <c r="W9671" t="s">
        <v>40530</v>
      </c>
      <c r="X9671" t="s">
        <v>43181</v>
      </c>
    </row>
    <row r="9672" spans="1:24">
      <c r="A9672">
        <f>HYPERLINK("https://www.philgeps.gov.ph/GEPSNONPILOT/Tender/SplashBidNoticeAbstractUI.aspx?menuIndex=3&amp;refID=7064399&amp;Result=3","7064399")</f>
        <v>0</v>
      </c>
      <c r="B9672" t="s">
        <v>1180</v>
      </c>
      <c r="C9672" t="s">
        <v>12632</v>
      </c>
      <c r="D9672" t="s">
        <v>17455</v>
      </c>
      <c r="E9672" t="s">
        <v>25775</v>
      </c>
      <c r="F9672" t="s">
        <v>30052</v>
      </c>
      <c r="G9672" t="s">
        <v>30058</v>
      </c>
      <c r="H9672" t="s">
        <v>15498</v>
      </c>
      <c r="I9672" t="s">
        <v>3852</v>
      </c>
      <c r="J9672" t="s">
        <v>36097</v>
      </c>
      <c r="K9672" t="s">
        <v>39064</v>
      </c>
      <c r="M9672" t="s">
        <v>40530</v>
      </c>
      <c r="N9672" t="s">
        <v>43166</v>
      </c>
      <c r="O9672" t="s">
        <v>43167</v>
      </c>
      <c r="P9672">
        <v>0</v>
      </c>
      <c r="Q9672">
        <v>5</v>
      </c>
      <c r="R9672" t="s">
        <v>43178</v>
      </c>
      <c r="S9672" t="s">
        <v>43522</v>
      </c>
      <c r="T9672" t="s">
        <v>44830</v>
      </c>
      <c r="U9672" t="s">
        <v>52958</v>
      </c>
      <c r="W9672" t="s">
        <v>40530</v>
      </c>
      <c r="X9672" t="s">
        <v>43181</v>
      </c>
    </row>
    <row r="9673" spans="1:24">
      <c r="A9673">
        <f>HYPERLINK("https://www.philgeps.gov.ph/GEPSNONPILOT/Tender/SplashBidNoticeAbstractUI.aspx?menuIndex=3&amp;refID=7064373&amp;Result=3","7064373")</f>
        <v>0</v>
      </c>
      <c r="B9673" t="s">
        <v>1180</v>
      </c>
      <c r="C9673" t="s">
        <v>12633</v>
      </c>
      <c r="D9673" t="s">
        <v>17455</v>
      </c>
      <c r="E9673" t="s">
        <v>25776</v>
      </c>
      <c r="F9673" t="s">
        <v>30052</v>
      </c>
      <c r="G9673" t="s">
        <v>30058</v>
      </c>
      <c r="H9673" t="s">
        <v>15498</v>
      </c>
      <c r="I9673" t="s">
        <v>3852</v>
      </c>
      <c r="J9673" t="s">
        <v>36098</v>
      </c>
      <c r="K9673" t="s">
        <v>39064</v>
      </c>
      <c r="M9673" t="s">
        <v>40530</v>
      </c>
      <c r="N9673" t="s">
        <v>43166</v>
      </c>
      <c r="O9673" t="s">
        <v>43167</v>
      </c>
      <c r="P9673">
        <v>0</v>
      </c>
      <c r="Q9673">
        <v>6</v>
      </c>
      <c r="R9673" t="s">
        <v>43178</v>
      </c>
      <c r="S9673" t="s">
        <v>43522</v>
      </c>
      <c r="T9673" t="s">
        <v>44830</v>
      </c>
      <c r="U9673" t="s">
        <v>52959</v>
      </c>
      <c r="W9673" t="s">
        <v>40530</v>
      </c>
      <c r="X9673" t="s">
        <v>43181</v>
      </c>
    </row>
    <row r="9674" spans="1:24">
      <c r="A9674">
        <f>HYPERLINK("https://www.philgeps.gov.ph/GEPSNONPILOT/Tender/SplashBidNoticeAbstractUI.aspx?menuIndex=3&amp;refID=7064367&amp;Result=3","7064367")</f>
        <v>0</v>
      </c>
      <c r="B9674" t="s">
        <v>1180</v>
      </c>
      <c r="C9674" t="s">
        <v>12634</v>
      </c>
      <c r="D9674" t="s">
        <v>17455</v>
      </c>
      <c r="E9674" t="s">
        <v>25777</v>
      </c>
      <c r="F9674" t="s">
        <v>30052</v>
      </c>
      <c r="G9674" t="s">
        <v>30058</v>
      </c>
      <c r="H9674" t="s">
        <v>15498</v>
      </c>
      <c r="I9674" t="s">
        <v>3852</v>
      </c>
      <c r="J9674" t="s">
        <v>36099</v>
      </c>
      <c r="K9674" t="s">
        <v>39029</v>
      </c>
      <c r="M9674" t="s">
        <v>40530</v>
      </c>
      <c r="N9674" t="s">
        <v>43166</v>
      </c>
      <c r="O9674" t="s">
        <v>43167</v>
      </c>
      <c r="Q9674">
        <v>5</v>
      </c>
      <c r="R9674" t="s">
        <v>43178</v>
      </c>
      <c r="S9674" t="s">
        <v>43528</v>
      </c>
      <c r="T9674" t="s">
        <v>44830</v>
      </c>
      <c r="U9674" t="s">
        <v>52960</v>
      </c>
      <c r="W9674" t="s">
        <v>40530</v>
      </c>
      <c r="X9674" t="s">
        <v>43181</v>
      </c>
    </row>
    <row r="9675" spans="1:24">
      <c r="A9675">
        <f>HYPERLINK("https://www.philgeps.gov.ph/GEPSNONPILOT/Tender/SplashBidNoticeAbstractUI.aspx?menuIndex=3&amp;refID=7064014&amp;Result=3","7064014")</f>
        <v>0</v>
      </c>
      <c r="B9675" t="s">
        <v>1170</v>
      </c>
      <c r="C9675" t="s">
        <v>12635</v>
      </c>
      <c r="D9675" t="s">
        <v>17482</v>
      </c>
      <c r="E9675" t="s">
        <v>25778</v>
      </c>
      <c r="F9675" t="s">
        <v>30052</v>
      </c>
      <c r="G9675" t="s">
        <v>30058</v>
      </c>
      <c r="H9675" t="s">
        <v>30067</v>
      </c>
      <c r="I9675" t="s">
        <v>3693</v>
      </c>
      <c r="J9675" t="s">
        <v>36100</v>
      </c>
      <c r="K9675" t="s">
        <v>39031</v>
      </c>
      <c r="M9675" t="s">
        <v>40518</v>
      </c>
      <c r="N9675" t="s">
        <v>43166</v>
      </c>
      <c r="O9675" t="s">
        <v>43167</v>
      </c>
      <c r="P9675">
        <v>0</v>
      </c>
      <c r="Q9675">
        <v>1</v>
      </c>
      <c r="R9675" t="s">
        <v>43178</v>
      </c>
      <c r="S9675" t="s">
        <v>43522</v>
      </c>
      <c r="T9675" t="s">
        <v>44807</v>
      </c>
      <c r="U9675" t="s">
        <v>52961</v>
      </c>
      <c r="W9675" t="s">
        <v>40518</v>
      </c>
      <c r="X9675" t="s">
        <v>43181</v>
      </c>
    </row>
    <row r="9676" spans="1:24">
      <c r="A9676">
        <f>HYPERLINK("https://www.philgeps.gov.ph/GEPSNONPILOT/Tender/SplashBidNoticeAbstractUI.aspx?menuIndex=3&amp;refID=7063532&amp;Result=3","7063532")</f>
        <v>0</v>
      </c>
      <c r="B9676" t="s">
        <v>2828</v>
      </c>
      <c r="C9676" t="s">
        <v>12636</v>
      </c>
      <c r="D9676" t="s">
        <v>17459</v>
      </c>
      <c r="E9676" t="s">
        <v>25779</v>
      </c>
      <c r="F9676" t="s">
        <v>30052</v>
      </c>
      <c r="G9676" t="s">
        <v>30058</v>
      </c>
      <c r="H9676" t="s">
        <v>15498</v>
      </c>
      <c r="I9676" t="s">
        <v>30125</v>
      </c>
      <c r="J9676" t="s">
        <v>30230</v>
      </c>
      <c r="K9676" t="s">
        <v>39018</v>
      </c>
      <c r="M9676" t="s">
        <v>42372</v>
      </c>
      <c r="N9676" t="s">
        <v>43166</v>
      </c>
      <c r="O9676" t="s">
        <v>43167</v>
      </c>
      <c r="P9676">
        <v>0</v>
      </c>
      <c r="Q9676">
        <v>2</v>
      </c>
      <c r="R9676" t="s">
        <v>43178</v>
      </c>
      <c r="S9676" t="s">
        <v>43522</v>
      </c>
      <c r="T9676" t="s">
        <v>44844</v>
      </c>
      <c r="U9676" t="s">
        <v>48271</v>
      </c>
      <c r="W9676" t="s">
        <v>42372</v>
      </c>
      <c r="X9676" t="s">
        <v>43181</v>
      </c>
    </row>
    <row r="9677" spans="1:24">
      <c r="A9677">
        <f>HYPERLINK("https://www.philgeps.gov.ph/GEPSNONPILOT/Tender/SplashBidNoticeAbstractUI.aspx?menuIndex=3&amp;refID=7064392&amp;Result=3","7064392")</f>
        <v>0</v>
      </c>
      <c r="B9677" t="s">
        <v>1180</v>
      </c>
      <c r="C9677" t="s">
        <v>12637</v>
      </c>
      <c r="D9677" t="s">
        <v>17455</v>
      </c>
      <c r="E9677" t="s">
        <v>25780</v>
      </c>
      <c r="F9677" t="s">
        <v>30052</v>
      </c>
      <c r="G9677" t="s">
        <v>30058</v>
      </c>
      <c r="H9677" t="s">
        <v>15498</v>
      </c>
      <c r="I9677" t="s">
        <v>3852</v>
      </c>
      <c r="J9677" t="s">
        <v>34871</v>
      </c>
      <c r="K9677" t="s">
        <v>39064</v>
      </c>
      <c r="M9677" t="s">
        <v>40530</v>
      </c>
      <c r="N9677" t="s">
        <v>43166</v>
      </c>
      <c r="O9677" t="s">
        <v>43167</v>
      </c>
      <c r="P9677">
        <v>0</v>
      </c>
      <c r="Q9677">
        <v>11</v>
      </c>
      <c r="R9677" t="s">
        <v>43178</v>
      </c>
      <c r="S9677" t="s">
        <v>43522</v>
      </c>
      <c r="T9677" t="s">
        <v>44830</v>
      </c>
      <c r="U9677" t="s">
        <v>52962</v>
      </c>
      <c r="W9677" t="s">
        <v>40530</v>
      </c>
      <c r="X9677" t="s">
        <v>43181</v>
      </c>
    </row>
    <row r="9678" spans="1:24">
      <c r="A9678">
        <f>HYPERLINK("https://www.philgeps.gov.ph/GEPSNONPILOT/Tender/SplashBidNoticeAbstractUI.aspx?menuIndex=3&amp;refID=6938174&amp;Result=3","6938174")</f>
        <v>0</v>
      </c>
      <c r="B9678" t="s">
        <v>2829</v>
      </c>
      <c r="C9678" t="s">
        <v>12638</v>
      </c>
      <c r="D9678" t="s">
        <v>17459</v>
      </c>
      <c r="E9678" t="s">
        <v>23180</v>
      </c>
      <c r="F9678" t="s">
        <v>30052</v>
      </c>
      <c r="G9678" t="s">
        <v>30058</v>
      </c>
      <c r="H9678" t="s">
        <v>30067</v>
      </c>
      <c r="I9678" t="s">
        <v>3693</v>
      </c>
      <c r="J9678" t="s">
        <v>31199</v>
      </c>
      <c r="K9678" t="s">
        <v>39156</v>
      </c>
      <c r="M9678" t="s">
        <v>42373</v>
      </c>
      <c r="N9678" t="s">
        <v>43166</v>
      </c>
      <c r="O9678" t="s">
        <v>43167</v>
      </c>
      <c r="P9678">
        <v>0</v>
      </c>
      <c r="Q9678">
        <v>0</v>
      </c>
      <c r="R9678" t="s">
        <v>43178</v>
      </c>
      <c r="S9678" t="s">
        <v>43522</v>
      </c>
      <c r="T9678" t="s">
        <v>44762</v>
      </c>
      <c r="U9678" t="s">
        <v>52963</v>
      </c>
      <c r="W9678" t="s">
        <v>42373</v>
      </c>
      <c r="X9678" t="s">
        <v>43229</v>
      </c>
    </row>
    <row r="9679" spans="1:24">
      <c r="A9679">
        <f>HYPERLINK("https://www.philgeps.gov.ph/GEPSNONPILOT/Tender/SplashBidNoticeAbstractUI.aspx?menuIndex=3&amp;refID=7061871&amp;Result=3","7061871")</f>
        <v>0</v>
      </c>
      <c r="B9679" t="s">
        <v>2830</v>
      </c>
      <c r="C9679" t="s">
        <v>12639</v>
      </c>
      <c r="D9679" t="s">
        <v>17432</v>
      </c>
      <c r="E9679" t="s">
        <v>25781</v>
      </c>
      <c r="F9679" t="s">
        <v>30052</v>
      </c>
      <c r="G9679" t="s">
        <v>30058</v>
      </c>
      <c r="H9679" t="s">
        <v>30067</v>
      </c>
      <c r="I9679" t="s">
        <v>3693</v>
      </c>
      <c r="J9679" t="s">
        <v>33141</v>
      </c>
      <c r="K9679" t="s">
        <v>39020</v>
      </c>
      <c r="M9679" t="s">
        <v>42374</v>
      </c>
      <c r="N9679" t="s">
        <v>43166</v>
      </c>
      <c r="O9679" t="s">
        <v>43167</v>
      </c>
      <c r="P9679">
        <v>0</v>
      </c>
      <c r="Q9679">
        <v>1</v>
      </c>
      <c r="R9679" t="s">
        <v>43178</v>
      </c>
      <c r="S9679" t="s">
        <v>43522</v>
      </c>
      <c r="T9679" t="s">
        <v>44729</v>
      </c>
      <c r="U9679" t="s">
        <v>52964</v>
      </c>
      <c r="V9679" t="s">
        <v>57890</v>
      </c>
      <c r="W9679" t="s">
        <v>42374</v>
      </c>
      <c r="X9679" t="s">
        <v>43181</v>
      </c>
    </row>
    <row r="9680" spans="1:24">
      <c r="A9680">
        <f>HYPERLINK("https://www.philgeps.gov.ph/GEPSNONPILOT/Tender/SplashBidNoticeAbstractUI.aspx?menuIndex=3&amp;refID=7061314&amp;Result=3","7061314")</f>
        <v>0</v>
      </c>
      <c r="B9680" t="s">
        <v>2015</v>
      </c>
      <c r="C9680" t="s">
        <v>12640</v>
      </c>
      <c r="D9680" t="s">
        <v>17416</v>
      </c>
      <c r="E9680" t="s">
        <v>25782</v>
      </c>
      <c r="F9680" t="s">
        <v>30052</v>
      </c>
      <c r="G9680" t="s">
        <v>30058</v>
      </c>
      <c r="H9680" t="s">
        <v>30067</v>
      </c>
      <c r="I9680" t="s">
        <v>3736</v>
      </c>
      <c r="J9680" t="s">
        <v>36101</v>
      </c>
      <c r="K9680" t="s">
        <v>39029</v>
      </c>
      <c r="L9680" t="s">
        <v>2015</v>
      </c>
      <c r="M9680" t="s">
        <v>41460</v>
      </c>
      <c r="N9680" t="s">
        <v>43166</v>
      </c>
      <c r="O9680" t="s">
        <v>43167</v>
      </c>
      <c r="P9680">
        <v>0</v>
      </c>
      <c r="Q9680">
        <v>0</v>
      </c>
      <c r="R9680" t="s">
        <v>43178</v>
      </c>
      <c r="S9680" t="s">
        <v>43522</v>
      </c>
      <c r="T9680" t="s">
        <v>44791</v>
      </c>
      <c r="U9680" t="s">
        <v>52965</v>
      </c>
      <c r="V9680" t="s">
        <v>57891</v>
      </c>
      <c r="W9680" t="s">
        <v>41460</v>
      </c>
      <c r="X9680" t="s">
        <v>43182</v>
      </c>
    </row>
    <row r="9681" spans="1:24">
      <c r="A9681">
        <f>HYPERLINK("https://www.philgeps.gov.ph/GEPSNONPILOT/Tender/SplashBidNoticeAbstractUI.aspx?menuIndex=3&amp;refID=7061305&amp;Result=3","7061305")</f>
        <v>0</v>
      </c>
      <c r="B9681" t="s">
        <v>2015</v>
      </c>
      <c r="C9681" t="s">
        <v>12641</v>
      </c>
      <c r="D9681" t="s">
        <v>17416</v>
      </c>
      <c r="E9681" t="s">
        <v>25783</v>
      </c>
      <c r="F9681" t="s">
        <v>30052</v>
      </c>
      <c r="G9681" t="s">
        <v>30058</v>
      </c>
      <c r="H9681" t="s">
        <v>30067</v>
      </c>
      <c r="I9681" t="s">
        <v>3736</v>
      </c>
      <c r="J9681" t="s">
        <v>36102</v>
      </c>
      <c r="K9681" t="s">
        <v>39029</v>
      </c>
      <c r="L9681" t="s">
        <v>2015</v>
      </c>
      <c r="M9681" t="s">
        <v>41460</v>
      </c>
      <c r="N9681" t="s">
        <v>43166</v>
      </c>
      <c r="O9681" t="s">
        <v>43167</v>
      </c>
      <c r="P9681">
        <v>0</v>
      </c>
      <c r="Q9681">
        <v>0</v>
      </c>
      <c r="R9681" t="s">
        <v>43178</v>
      </c>
      <c r="S9681" t="s">
        <v>43522</v>
      </c>
      <c r="T9681" t="s">
        <v>44791</v>
      </c>
      <c r="U9681" t="s">
        <v>52966</v>
      </c>
      <c r="V9681" t="s">
        <v>57892</v>
      </c>
      <c r="W9681" t="s">
        <v>41460</v>
      </c>
      <c r="X9681" t="s">
        <v>43182</v>
      </c>
    </row>
    <row r="9682" spans="1:24">
      <c r="A9682">
        <f>HYPERLINK("https://www.philgeps.gov.ph/GEPSNONPILOT/Tender/SplashBidNoticeAbstractUI.aspx?menuIndex=3&amp;refID=7058594&amp;Result=3","7058594")</f>
        <v>0</v>
      </c>
      <c r="B9682" t="s">
        <v>870</v>
      </c>
      <c r="C9682" t="s">
        <v>12642</v>
      </c>
      <c r="E9682" t="s">
        <v>25784</v>
      </c>
      <c r="F9682" t="s">
        <v>30052</v>
      </c>
      <c r="G9682" t="s">
        <v>30058</v>
      </c>
      <c r="H9682" t="s">
        <v>15498</v>
      </c>
      <c r="I9682" t="s">
        <v>30093</v>
      </c>
      <c r="J9682" t="s">
        <v>33348</v>
      </c>
      <c r="K9682" t="s">
        <v>39023</v>
      </c>
      <c r="M9682" t="s">
        <v>40189</v>
      </c>
      <c r="N9682" t="s">
        <v>43166</v>
      </c>
      <c r="O9682" t="s">
        <v>43167</v>
      </c>
      <c r="P9682">
        <v>0</v>
      </c>
      <c r="Q9682">
        <v>4</v>
      </c>
      <c r="R9682" t="s">
        <v>43178</v>
      </c>
      <c r="S9682" t="s">
        <v>43522</v>
      </c>
      <c r="T9682" t="s">
        <v>45028</v>
      </c>
      <c r="U9682" t="s">
        <v>52967</v>
      </c>
      <c r="W9682" t="s">
        <v>40189</v>
      </c>
      <c r="X9682" t="s">
        <v>43183</v>
      </c>
    </row>
    <row r="9683" spans="1:24">
      <c r="A9683">
        <f>HYPERLINK("https://www.philgeps.gov.ph/GEPSNONPILOT/Tender/SplashBidNoticeAbstractUI.aspx?menuIndex=3&amp;refID=7064420&amp;Result=3","7064420")</f>
        <v>0</v>
      </c>
      <c r="B9683" t="s">
        <v>1180</v>
      </c>
      <c r="C9683" t="s">
        <v>12643</v>
      </c>
      <c r="D9683" t="s">
        <v>17455</v>
      </c>
      <c r="E9683" t="s">
        <v>25785</v>
      </c>
      <c r="F9683" t="s">
        <v>30052</v>
      </c>
      <c r="G9683" t="s">
        <v>30058</v>
      </c>
      <c r="H9683" t="s">
        <v>15498</v>
      </c>
      <c r="I9683" t="s">
        <v>3606</v>
      </c>
      <c r="J9683" t="s">
        <v>36103</v>
      </c>
      <c r="K9683" t="s">
        <v>39052</v>
      </c>
      <c r="M9683" t="s">
        <v>40530</v>
      </c>
      <c r="N9683" t="s">
        <v>43166</v>
      </c>
      <c r="O9683" t="s">
        <v>43167</v>
      </c>
      <c r="P9683">
        <v>0</v>
      </c>
      <c r="Q9683">
        <v>14</v>
      </c>
      <c r="R9683" t="s">
        <v>43178</v>
      </c>
      <c r="S9683" t="s">
        <v>43522</v>
      </c>
      <c r="T9683" t="s">
        <v>44830</v>
      </c>
      <c r="U9683" t="s">
        <v>52968</v>
      </c>
      <c r="W9683" t="s">
        <v>40530</v>
      </c>
      <c r="X9683" t="s">
        <v>43181</v>
      </c>
    </row>
    <row r="9684" spans="1:24">
      <c r="A9684">
        <f>HYPERLINK("https://www.philgeps.gov.ph/GEPSNONPILOT/Tender/SplashBidNoticeAbstractUI.aspx?menuIndex=3&amp;refID=7063179&amp;Result=3","7063179")</f>
        <v>0</v>
      </c>
      <c r="B9684" t="s">
        <v>326</v>
      </c>
      <c r="C9684" t="s">
        <v>12644</v>
      </c>
      <c r="D9684" t="s">
        <v>17427</v>
      </c>
      <c r="E9684" t="s">
        <v>19685</v>
      </c>
      <c r="F9684" t="s">
        <v>30052</v>
      </c>
      <c r="G9684" t="s">
        <v>30058</v>
      </c>
      <c r="H9684" t="s">
        <v>15498</v>
      </c>
      <c r="I9684" t="s">
        <v>30087</v>
      </c>
      <c r="J9684" t="s">
        <v>36104</v>
      </c>
      <c r="K9684" t="s">
        <v>39029</v>
      </c>
      <c r="L9684" t="s">
        <v>326</v>
      </c>
      <c r="M9684" t="s">
        <v>39622</v>
      </c>
      <c r="N9684" t="s">
        <v>43166</v>
      </c>
      <c r="O9684" t="s">
        <v>43167</v>
      </c>
      <c r="P9684">
        <v>0</v>
      </c>
      <c r="Q9684">
        <v>1</v>
      </c>
      <c r="R9684" t="s">
        <v>43178</v>
      </c>
      <c r="S9684" t="s">
        <v>43522</v>
      </c>
      <c r="T9684" t="s">
        <v>44925</v>
      </c>
      <c r="U9684" t="s">
        <v>52969</v>
      </c>
      <c r="W9684" t="s">
        <v>39622</v>
      </c>
      <c r="X9684" t="s">
        <v>43181</v>
      </c>
    </row>
    <row r="9685" spans="1:24">
      <c r="A9685">
        <f>HYPERLINK("https://www.philgeps.gov.ph/GEPSNONPILOT/Tender/SplashBidNoticeAbstractUI.aspx?menuIndex=3&amp;refID=7072032&amp;Result=3","7072032")</f>
        <v>0</v>
      </c>
      <c r="B9685" t="s">
        <v>2794</v>
      </c>
      <c r="C9685" t="s">
        <v>12645</v>
      </c>
      <c r="D9685" t="s">
        <v>17414</v>
      </c>
      <c r="E9685" t="s">
        <v>25786</v>
      </c>
      <c r="F9685" t="s">
        <v>30052</v>
      </c>
      <c r="G9685" t="s">
        <v>30061</v>
      </c>
      <c r="H9685" t="s">
        <v>15498</v>
      </c>
      <c r="I9685" t="s">
        <v>30071</v>
      </c>
      <c r="J9685" t="s">
        <v>36105</v>
      </c>
      <c r="K9685" t="s">
        <v>39029</v>
      </c>
      <c r="M9685" t="s">
        <v>42334</v>
      </c>
      <c r="N9685" t="s">
        <v>43166</v>
      </c>
      <c r="O9685" t="s">
        <v>43167</v>
      </c>
      <c r="Q9685">
        <v>5</v>
      </c>
      <c r="R9685" t="s">
        <v>43177</v>
      </c>
      <c r="S9685" t="s">
        <v>43529</v>
      </c>
      <c r="T9685" t="s">
        <v>44710</v>
      </c>
      <c r="U9685" t="s">
        <v>52970</v>
      </c>
      <c r="V9685" t="s">
        <v>57865</v>
      </c>
      <c r="W9685" t="s">
        <v>42334</v>
      </c>
      <c r="X9685" t="s">
        <v>43178</v>
      </c>
    </row>
    <row r="9686" spans="1:24">
      <c r="A9686">
        <f>HYPERLINK("https://www.philgeps.gov.ph/GEPSNONPILOT/Tender/SplashBidNoticeAbstractUI.aspx?menuIndex=3&amp;refID=7072018&amp;Result=3","7072018")</f>
        <v>0</v>
      </c>
      <c r="B9686" t="s">
        <v>2794</v>
      </c>
      <c r="C9686" t="s">
        <v>12646</v>
      </c>
      <c r="D9686" t="s">
        <v>17414</v>
      </c>
      <c r="E9686" t="s">
        <v>25787</v>
      </c>
      <c r="F9686" t="s">
        <v>30052</v>
      </c>
      <c r="G9686" t="s">
        <v>30061</v>
      </c>
      <c r="H9686" t="s">
        <v>15498</v>
      </c>
      <c r="I9686" t="s">
        <v>30071</v>
      </c>
      <c r="J9686" t="s">
        <v>36106</v>
      </c>
      <c r="K9686" t="s">
        <v>39029</v>
      </c>
      <c r="M9686" t="s">
        <v>42334</v>
      </c>
      <c r="N9686" t="s">
        <v>43166</v>
      </c>
      <c r="O9686" t="s">
        <v>43167</v>
      </c>
      <c r="Q9686">
        <v>4</v>
      </c>
      <c r="R9686" t="s">
        <v>43177</v>
      </c>
      <c r="S9686" t="s">
        <v>43530</v>
      </c>
      <c r="T9686" t="s">
        <v>44710</v>
      </c>
      <c r="U9686" t="s">
        <v>52971</v>
      </c>
      <c r="V9686" t="s">
        <v>57893</v>
      </c>
      <c r="W9686" t="s">
        <v>42334</v>
      </c>
      <c r="X9686" t="s">
        <v>43178</v>
      </c>
    </row>
    <row r="9687" spans="1:24">
      <c r="A9687">
        <f>HYPERLINK("https://www.philgeps.gov.ph/GEPSNONPILOT/Tender/SplashBidNoticeAbstractUI.aspx?menuIndex=3&amp;refID=7071998&amp;Result=3","7071998")</f>
        <v>0</v>
      </c>
      <c r="B9687" t="s">
        <v>2550</v>
      </c>
      <c r="C9687" t="s">
        <v>12647</v>
      </c>
      <c r="D9687" t="s">
        <v>17445</v>
      </c>
      <c r="E9687" t="s">
        <v>25788</v>
      </c>
      <c r="F9687" t="s">
        <v>30052</v>
      </c>
      <c r="G9687" t="s">
        <v>30058</v>
      </c>
      <c r="H9687" t="s">
        <v>15498</v>
      </c>
      <c r="I9687" t="s">
        <v>30135</v>
      </c>
      <c r="J9687" t="s">
        <v>36107</v>
      </c>
      <c r="K9687" t="s">
        <v>39031</v>
      </c>
      <c r="M9687" t="s">
        <v>42120</v>
      </c>
      <c r="N9687" t="s">
        <v>43166</v>
      </c>
      <c r="O9687" t="s">
        <v>43167</v>
      </c>
      <c r="P9687">
        <v>0</v>
      </c>
      <c r="Q9687">
        <v>5</v>
      </c>
      <c r="R9687" t="s">
        <v>43177</v>
      </c>
      <c r="S9687" t="s">
        <v>43494</v>
      </c>
      <c r="T9687" t="s">
        <v>44945</v>
      </c>
      <c r="U9687" t="s">
        <v>52829</v>
      </c>
      <c r="W9687" t="s">
        <v>42120</v>
      </c>
      <c r="X9687" t="s">
        <v>43178</v>
      </c>
    </row>
    <row r="9688" spans="1:24">
      <c r="A9688">
        <f>HYPERLINK("https://www.philgeps.gov.ph/GEPSNONPILOT/Tender/SplashBidNoticeAbstractUI.aspx?menuIndex=3&amp;refID=7071890&amp;Result=3","7071890")</f>
        <v>0</v>
      </c>
      <c r="B9688" t="s">
        <v>2805</v>
      </c>
      <c r="C9688" t="s">
        <v>12648</v>
      </c>
      <c r="D9688" t="s">
        <v>17471</v>
      </c>
      <c r="E9688" t="s">
        <v>25789</v>
      </c>
      <c r="F9688" t="s">
        <v>30052</v>
      </c>
      <c r="G9688" t="s">
        <v>30058</v>
      </c>
      <c r="H9688" t="s">
        <v>30067</v>
      </c>
      <c r="I9688" t="s">
        <v>3693</v>
      </c>
      <c r="J9688" t="s">
        <v>30222</v>
      </c>
      <c r="K9688" t="s">
        <v>39026</v>
      </c>
      <c r="M9688" t="s">
        <v>42346</v>
      </c>
      <c r="N9688" t="s">
        <v>43166</v>
      </c>
      <c r="O9688" t="s">
        <v>43167</v>
      </c>
      <c r="P9688">
        <v>0</v>
      </c>
      <c r="Q9688">
        <v>0</v>
      </c>
      <c r="R9688" t="s">
        <v>43177</v>
      </c>
      <c r="S9688" t="s">
        <v>43494</v>
      </c>
      <c r="T9688" t="s">
        <v>44815</v>
      </c>
      <c r="U9688" t="s">
        <v>52972</v>
      </c>
      <c r="W9688" t="s">
        <v>42346</v>
      </c>
      <c r="X9688" t="s">
        <v>43178</v>
      </c>
    </row>
    <row r="9689" spans="1:24">
      <c r="A9689">
        <f>HYPERLINK("https://www.philgeps.gov.ph/GEPSNONPILOT/Tender/SplashBidNoticeAbstractUI.aspx?menuIndex=3&amp;refID=7058835&amp;Result=3","7058835")</f>
        <v>0</v>
      </c>
      <c r="B9689" t="s">
        <v>1180</v>
      </c>
      <c r="C9689" t="s">
        <v>12649</v>
      </c>
      <c r="D9689" t="s">
        <v>17455</v>
      </c>
      <c r="E9689" t="s">
        <v>25790</v>
      </c>
      <c r="F9689" t="s">
        <v>30052</v>
      </c>
      <c r="G9689" t="s">
        <v>30058</v>
      </c>
      <c r="H9689" t="s">
        <v>15498</v>
      </c>
      <c r="I9689" t="s">
        <v>30074</v>
      </c>
      <c r="J9689" t="s">
        <v>36108</v>
      </c>
      <c r="K9689" t="s">
        <v>39029</v>
      </c>
      <c r="M9689" t="s">
        <v>40530</v>
      </c>
      <c r="N9689" t="s">
        <v>43166</v>
      </c>
      <c r="O9689" t="s">
        <v>43167</v>
      </c>
      <c r="P9689">
        <v>0</v>
      </c>
      <c r="Q9689">
        <v>9</v>
      </c>
      <c r="R9689" t="s">
        <v>43178</v>
      </c>
      <c r="S9689" t="s">
        <v>43522</v>
      </c>
      <c r="T9689" t="s">
        <v>44830</v>
      </c>
      <c r="U9689" t="s">
        <v>52973</v>
      </c>
      <c r="W9689" t="s">
        <v>40530</v>
      </c>
      <c r="X9689" t="s">
        <v>43183</v>
      </c>
    </row>
    <row r="9690" spans="1:24">
      <c r="A9690">
        <f>HYPERLINK("https://www.philgeps.gov.ph/GEPSNONPILOT/Tender/SplashBidNoticeAbstractUI.aspx?menuIndex=3&amp;refID=7058252&amp;Result=3","7058252")</f>
        <v>0</v>
      </c>
      <c r="B9690" t="s">
        <v>2820</v>
      </c>
      <c r="C9690" t="s">
        <v>12650</v>
      </c>
      <c r="D9690" t="s">
        <v>17449</v>
      </c>
      <c r="E9690" t="s">
        <v>25791</v>
      </c>
      <c r="F9690" t="s">
        <v>30052</v>
      </c>
      <c r="G9690" t="s">
        <v>30058</v>
      </c>
      <c r="H9690" t="s">
        <v>15498</v>
      </c>
      <c r="I9690" t="s">
        <v>3736</v>
      </c>
      <c r="J9690" t="s">
        <v>36109</v>
      </c>
      <c r="K9690" t="s">
        <v>39025</v>
      </c>
      <c r="M9690" t="s">
        <v>42364</v>
      </c>
      <c r="N9690" t="s">
        <v>43166</v>
      </c>
      <c r="O9690" t="s">
        <v>43167</v>
      </c>
      <c r="P9690">
        <v>0</v>
      </c>
      <c r="Q9690">
        <v>0</v>
      </c>
      <c r="R9690" t="s">
        <v>43178</v>
      </c>
      <c r="S9690" t="s">
        <v>43522</v>
      </c>
      <c r="T9690" t="s">
        <v>44830</v>
      </c>
      <c r="U9690" t="s">
        <v>52974</v>
      </c>
      <c r="W9690" t="s">
        <v>42364</v>
      </c>
      <c r="X9690" t="s">
        <v>43184</v>
      </c>
    </row>
    <row r="9691" spans="1:24">
      <c r="A9691">
        <f>HYPERLINK("https://www.philgeps.gov.ph/GEPSNONPILOT/Tender/SplashBidNoticeAbstractUI.aspx?menuIndex=3&amp;refID=7066194&amp;Result=3","7066194")</f>
        <v>0</v>
      </c>
      <c r="B9691" t="s">
        <v>2831</v>
      </c>
      <c r="C9691" t="s">
        <v>12651</v>
      </c>
      <c r="D9691" t="s">
        <v>17415</v>
      </c>
      <c r="E9691" t="s">
        <v>21791</v>
      </c>
      <c r="F9691" t="s">
        <v>30052</v>
      </c>
      <c r="G9691" t="s">
        <v>30058</v>
      </c>
      <c r="H9691" t="s">
        <v>15498</v>
      </c>
      <c r="I9691" t="s">
        <v>3852</v>
      </c>
      <c r="J9691" t="s">
        <v>36110</v>
      </c>
      <c r="K9691" t="s">
        <v>39029</v>
      </c>
      <c r="M9691" t="s">
        <v>42375</v>
      </c>
      <c r="N9691" t="s">
        <v>43166</v>
      </c>
      <c r="O9691" t="s">
        <v>43167</v>
      </c>
      <c r="P9691">
        <v>0</v>
      </c>
      <c r="Q9691">
        <v>1</v>
      </c>
      <c r="R9691" t="s">
        <v>43178</v>
      </c>
      <c r="S9691" t="s">
        <v>43522</v>
      </c>
      <c r="T9691" t="s">
        <v>44705</v>
      </c>
      <c r="U9691" t="s">
        <v>52975</v>
      </c>
      <c r="W9691" t="s">
        <v>42375</v>
      </c>
      <c r="X9691" t="s">
        <v>43180</v>
      </c>
    </row>
    <row r="9692" spans="1:24">
      <c r="A9692">
        <f>HYPERLINK("https://www.philgeps.gov.ph/GEPSNONPILOT/Tender/SplashBidNoticeAbstractUI.aspx?menuIndex=3&amp;refID=7066113&amp;Result=3","7066113")</f>
        <v>0</v>
      </c>
      <c r="B9692" t="s">
        <v>194</v>
      </c>
      <c r="C9692" t="s">
        <v>12652</v>
      </c>
      <c r="D9692" t="s">
        <v>17438</v>
      </c>
      <c r="E9692" t="s">
        <v>25792</v>
      </c>
      <c r="F9692" t="s">
        <v>30052</v>
      </c>
      <c r="G9692" t="s">
        <v>30058</v>
      </c>
      <c r="H9692" t="s">
        <v>15498</v>
      </c>
      <c r="I9692" t="s">
        <v>3606</v>
      </c>
      <c r="J9692" t="s">
        <v>30281</v>
      </c>
      <c r="K9692" t="s">
        <v>39029</v>
      </c>
      <c r="M9692" t="s">
        <v>39484</v>
      </c>
      <c r="N9692" t="s">
        <v>43166</v>
      </c>
      <c r="O9692" t="s">
        <v>43167</v>
      </c>
      <c r="P9692">
        <v>0</v>
      </c>
      <c r="Q9692">
        <v>6</v>
      </c>
      <c r="R9692" t="s">
        <v>43178</v>
      </c>
      <c r="S9692" t="s">
        <v>43522</v>
      </c>
      <c r="T9692" t="s">
        <v>44758</v>
      </c>
      <c r="U9692" t="s">
        <v>52976</v>
      </c>
      <c r="V9692" t="s">
        <v>57894</v>
      </c>
      <c r="W9692" t="s">
        <v>39484</v>
      </c>
      <c r="X9692" t="s">
        <v>43180</v>
      </c>
    </row>
    <row r="9693" spans="1:24">
      <c r="A9693">
        <f>HYPERLINK("https://www.philgeps.gov.ph/GEPSNONPILOT/Tender/SplashBidNoticeAbstractUI.aspx?menuIndex=3&amp;refID=7063629&amp;Result=3","7063629")</f>
        <v>0</v>
      </c>
      <c r="B9693" t="s">
        <v>2417</v>
      </c>
      <c r="C9693" t="s">
        <v>12653</v>
      </c>
      <c r="D9693" t="s">
        <v>17414</v>
      </c>
      <c r="E9693" t="s">
        <v>25793</v>
      </c>
      <c r="F9693" t="s">
        <v>30052</v>
      </c>
      <c r="G9693" t="s">
        <v>30058</v>
      </c>
      <c r="H9693" t="s">
        <v>15498</v>
      </c>
      <c r="I9693" t="s">
        <v>3852</v>
      </c>
      <c r="J9693" t="s">
        <v>31186</v>
      </c>
      <c r="K9693" t="s">
        <v>39029</v>
      </c>
      <c r="M9693" t="s">
        <v>41914</v>
      </c>
      <c r="N9693" t="s">
        <v>43166</v>
      </c>
      <c r="O9693" t="s">
        <v>43167</v>
      </c>
      <c r="P9693">
        <v>0</v>
      </c>
      <c r="Q9693">
        <v>0</v>
      </c>
      <c r="R9693" t="s">
        <v>43178</v>
      </c>
      <c r="S9693" t="s">
        <v>43522</v>
      </c>
      <c r="T9693" t="s">
        <v>44713</v>
      </c>
      <c r="U9693" t="s">
        <v>52977</v>
      </c>
      <c r="W9693" t="s">
        <v>41914</v>
      </c>
      <c r="X9693" t="s">
        <v>43181</v>
      </c>
    </row>
    <row r="9694" spans="1:24">
      <c r="A9694">
        <f>HYPERLINK("https://www.philgeps.gov.ph/GEPSNONPILOT/Tender/SplashBidNoticeAbstractUI.aspx?menuIndex=3&amp;refID=7071897&amp;Result=3","7071897")</f>
        <v>0</v>
      </c>
      <c r="B9694" t="s">
        <v>679</v>
      </c>
      <c r="C9694" t="s">
        <v>12654</v>
      </c>
      <c r="D9694" t="s">
        <v>17419</v>
      </c>
      <c r="E9694" t="s">
        <v>25794</v>
      </c>
      <c r="F9694" t="s">
        <v>30052</v>
      </c>
      <c r="G9694" t="s">
        <v>30058</v>
      </c>
      <c r="H9694" t="s">
        <v>15498</v>
      </c>
      <c r="I9694" t="s">
        <v>5961</v>
      </c>
      <c r="J9694" t="s">
        <v>36111</v>
      </c>
      <c r="K9694" t="s">
        <v>39034</v>
      </c>
      <c r="M9694" t="s">
        <v>39985</v>
      </c>
      <c r="N9694" t="s">
        <v>43166</v>
      </c>
      <c r="O9694" t="s">
        <v>43167</v>
      </c>
      <c r="P9694">
        <v>0</v>
      </c>
      <c r="Q9694">
        <v>0</v>
      </c>
      <c r="R9694" t="s">
        <v>43177</v>
      </c>
      <c r="S9694" t="s">
        <v>43494</v>
      </c>
      <c r="T9694" t="s">
        <v>44717</v>
      </c>
      <c r="U9694" t="s">
        <v>52978</v>
      </c>
      <c r="W9694" t="s">
        <v>39985</v>
      </c>
      <c r="X9694" t="s">
        <v>43178</v>
      </c>
    </row>
    <row r="9695" spans="1:24">
      <c r="A9695">
        <f>HYPERLINK("https://www.philgeps.gov.ph/GEPSNONPILOT/Tender/SplashBidNoticeAbstractUI.aspx?menuIndex=3&amp;refID=7066092&amp;Result=3","7066092")</f>
        <v>0</v>
      </c>
      <c r="B9695" t="s">
        <v>1990</v>
      </c>
      <c r="C9695" t="s">
        <v>12655</v>
      </c>
      <c r="D9695" t="s">
        <v>17473</v>
      </c>
      <c r="E9695" t="s">
        <v>25795</v>
      </c>
      <c r="F9695" t="s">
        <v>30052</v>
      </c>
      <c r="G9695" t="s">
        <v>30058</v>
      </c>
      <c r="H9695" t="s">
        <v>15498</v>
      </c>
      <c r="I9695" t="s">
        <v>30073</v>
      </c>
      <c r="J9695" t="s">
        <v>30227</v>
      </c>
      <c r="K9695" t="s">
        <v>39023</v>
      </c>
      <c r="M9695" t="s">
        <v>41432</v>
      </c>
      <c r="N9695" t="s">
        <v>43166</v>
      </c>
      <c r="O9695" t="s">
        <v>43167</v>
      </c>
      <c r="P9695">
        <v>0</v>
      </c>
      <c r="Q9695">
        <v>0</v>
      </c>
      <c r="R9695" t="s">
        <v>43178</v>
      </c>
      <c r="S9695" t="s">
        <v>43522</v>
      </c>
      <c r="T9695" t="s">
        <v>44842</v>
      </c>
      <c r="U9695" t="s">
        <v>52979</v>
      </c>
      <c r="W9695" t="s">
        <v>41432</v>
      </c>
      <c r="X9695" t="s">
        <v>43180</v>
      </c>
    </row>
    <row r="9696" spans="1:24">
      <c r="A9696">
        <f>HYPERLINK("https://www.philgeps.gov.ph/GEPSNONPILOT/Tender/SplashBidNoticeAbstractUI.aspx?menuIndex=3&amp;refID=7066014&amp;Result=3","7066014")</f>
        <v>0</v>
      </c>
      <c r="B9696" t="s">
        <v>2820</v>
      </c>
      <c r="C9696" t="s">
        <v>12656</v>
      </c>
      <c r="D9696" t="s">
        <v>17449</v>
      </c>
      <c r="E9696" t="s">
        <v>25796</v>
      </c>
      <c r="F9696" t="s">
        <v>30052</v>
      </c>
      <c r="G9696" t="s">
        <v>30058</v>
      </c>
      <c r="H9696" t="s">
        <v>15498</v>
      </c>
      <c r="I9696" t="s">
        <v>3736</v>
      </c>
      <c r="J9696" t="s">
        <v>36112</v>
      </c>
      <c r="K9696" t="s">
        <v>39025</v>
      </c>
      <c r="M9696" t="s">
        <v>42364</v>
      </c>
      <c r="N9696" t="s">
        <v>43166</v>
      </c>
      <c r="O9696" t="s">
        <v>43167</v>
      </c>
      <c r="P9696">
        <v>0</v>
      </c>
      <c r="Q9696">
        <v>1</v>
      </c>
      <c r="R9696" t="s">
        <v>43178</v>
      </c>
      <c r="S9696" t="s">
        <v>43522</v>
      </c>
      <c r="T9696" t="s">
        <v>44830</v>
      </c>
      <c r="U9696" t="s">
        <v>52980</v>
      </c>
      <c r="W9696" t="s">
        <v>42364</v>
      </c>
      <c r="X9696" t="s">
        <v>43180</v>
      </c>
    </row>
    <row r="9697" spans="1:24">
      <c r="A9697">
        <f>HYPERLINK("https://www.philgeps.gov.ph/GEPSNONPILOT/Tender/SplashBidNoticeAbstractUI.aspx?menuIndex=3&amp;refID=7065986&amp;Result=3","7065986")</f>
        <v>0</v>
      </c>
      <c r="B9697" t="s">
        <v>216</v>
      </c>
      <c r="C9697" t="s">
        <v>12657</v>
      </c>
      <c r="D9697" t="s">
        <v>17419</v>
      </c>
      <c r="E9697" t="s">
        <v>25797</v>
      </c>
      <c r="F9697" t="s">
        <v>30052</v>
      </c>
      <c r="G9697" t="s">
        <v>30058</v>
      </c>
      <c r="H9697" t="s">
        <v>30067</v>
      </c>
      <c r="I9697" t="s">
        <v>3693</v>
      </c>
      <c r="J9697" t="s">
        <v>36113</v>
      </c>
      <c r="K9697" t="s">
        <v>39031</v>
      </c>
      <c r="M9697" t="s">
        <v>42376</v>
      </c>
      <c r="N9697" t="s">
        <v>43166</v>
      </c>
      <c r="O9697" t="s">
        <v>43167</v>
      </c>
      <c r="P9697">
        <v>0</v>
      </c>
      <c r="Q9697">
        <v>0</v>
      </c>
      <c r="R9697" t="s">
        <v>43178</v>
      </c>
      <c r="S9697" t="s">
        <v>43522</v>
      </c>
      <c r="T9697" t="s">
        <v>44795</v>
      </c>
      <c r="U9697" t="s">
        <v>52981</v>
      </c>
      <c r="V9697" t="s">
        <v>57895</v>
      </c>
      <c r="W9697" t="s">
        <v>42376</v>
      </c>
      <c r="X9697" t="s">
        <v>43180</v>
      </c>
    </row>
    <row r="9698" spans="1:24">
      <c r="A9698">
        <f>HYPERLINK("https://www.philgeps.gov.ph/GEPSNONPILOT/Tender/SplashBidNoticeAbstractUI.aspx?menuIndex=3&amp;refID=7065910&amp;Result=3","7065910")</f>
        <v>0</v>
      </c>
      <c r="B9698" t="s">
        <v>216</v>
      </c>
      <c r="C9698" t="s">
        <v>12658</v>
      </c>
      <c r="D9698" t="s">
        <v>17419</v>
      </c>
      <c r="E9698" t="s">
        <v>25798</v>
      </c>
      <c r="F9698" t="s">
        <v>30052</v>
      </c>
      <c r="G9698" t="s">
        <v>30058</v>
      </c>
      <c r="H9698" t="s">
        <v>30067</v>
      </c>
      <c r="I9698" t="s">
        <v>3693</v>
      </c>
      <c r="J9698" t="s">
        <v>36114</v>
      </c>
      <c r="K9698" t="s">
        <v>39023</v>
      </c>
      <c r="M9698" t="s">
        <v>42376</v>
      </c>
      <c r="N9698" t="s">
        <v>43166</v>
      </c>
      <c r="O9698" t="s">
        <v>43167</v>
      </c>
      <c r="P9698">
        <v>0</v>
      </c>
      <c r="Q9698">
        <v>1</v>
      </c>
      <c r="R9698" t="s">
        <v>43178</v>
      </c>
      <c r="S9698" t="s">
        <v>43522</v>
      </c>
      <c r="T9698" t="s">
        <v>44795</v>
      </c>
      <c r="U9698" t="s">
        <v>52982</v>
      </c>
      <c r="V9698" t="s">
        <v>57896</v>
      </c>
      <c r="W9698" t="s">
        <v>42376</v>
      </c>
      <c r="X9698" t="s">
        <v>43180</v>
      </c>
    </row>
    <row r="9699" spans="1:24">
      <c r="A9699">
        <f>HYPERLINK("https://www.philgeps.gov.ph/GEPSNONPILOT/Tender/SplashBidNoticeAbstractUI.aspx?menuIndex=3&amp;refID=7065809&amp;Result=3","7065809")</f>
        <v>0</v>
      </c>
      <c r="B9699" t="s">
        <v>246</v>
      </c>
      <c r="C9699" t="s">
        <v>12659</v>
      </c>
      <c r="D9699" t="s">
        <v>17439</v>
      </c>
      <c r="E9699" t="s">
        <v>25799</v>
      </c>
      <c r="F9699" t="s">
        <v>30052</v>
      </c>
      <c r="G9699" t="s">
        <v>30058</v>
      </c>
      <c r="H9699" t="s">
        <v>30067</v>
      </c>
      <c r="I9699" t="s">
        <v>3693</v>
      </c>
      <c r="J9699" t="s">
        <v>36115</v>
      </c>
      <c r="K9699" t="s">
        <v>39026</v>
      </c>
      <c r="M9699" t="s">
        <v>39536</v>
      </c>
      <c r="N9699" t="s">
        <v>43166</v>
      </c>
      <c r="O9699" t="s">
        <v>43167</v>
      </c>
      <c r="P9699">
        <v>0</v>
      </c>
      <c r="Q9699">
        <v>2</v>
      </c>
      <c r="R9699" t="s">
        <v>43178</v>
      </c>
      <c r="S9699" t="s">
        <v>43522</v>
      </c>
      <c r="T9699" t="s">
        <v>44837</v>
      </c>
      <c r="U9699" t="s">
        <v>52983</v>
      </c>
      <c r="W9699" t="s">
        <v>39536</v>
      </c>
      <c r="X9699" t="s">
        <v>43180</v>
      </c>
    </row>
    <row r="9700" spans="1:24">
      <c r="A9700">
        <f>HYPERLINK("https://www.philgeps.gov.ph/GEPSNONPILOT/Tender/SplashBidNoticeAbstractUI.aspx?menuIndex=3&amp;refID=7072033&amp;Result=3","7072033")</f>
        <v>0</v>
      </c>
      <c r="B9700" t="s">
        <v>541</v>
      </c>
      <c r="C9700" t="s">
        <v>12660</v>
      </c>
      <c r="D9700" t="s">
        <v>17458</v>
      </c>
      <c r="E9700" t="s">
        <v>25800</v>
      </c>
      <c r="F9700" t="s">
        <v>30052</v>
      </c>
      <c r="G9700" t="s">
        <v>30058</v>
      </c>
      <c r="H9700" t="s">
        <v>15498</v>
      </c>
      <c r="I9700" t="s">
        <v>30073</v>
      </c>
      <c r="J9700" t="s">
        <v>36116</v>
      </c>
      <c r="K9700" t="s">
        <v>39017</v>
      </c>
      <c r="M9700" t="s">
        <v>39843</v>
      </c>
      <c r="N9700" t="s">
        <v>43166</v>
      </c>
      <c r="O9700" t="s">
        <v>43167</v>
      </c>
      <c r="P9700">
        <v>0</v>
      </c>
      <c r="Q9700">
        <v>0</v>
      </c>
      <c r="R9700" t="s">
        <v>43177</v>
      </c>
      <c r="S9700" t="s">
        <v>43494</v>
      </c>
      <c r="T9700" t="s">
        <v>44773</v>
      </c>
      <c r="U9700" t="s">
        <v>52984</v>
      </c>
      <c r="W9700" t="s">
        <v>58604</v>
      </c>
      <c r="X9700" t="s">
        <v>43178</v>
      </c>
    </row>
    <row r="9701" spans="1:24">
      <c r="A9701">
        <f>HYPERLINK("https://www.philgeps.gov.ph/GEPSNONPILOT/Tender/SplashBidNoticeAbstractUI.aspx?menuIndex=3&amp;refID=7064028&amp;Result=3","7064028")</f>
        <v>0</v>
      </c>
      <c r="B9701" t="s">
        <v>1170</v>
      </c>
      <c r="C9701" t="s">
        <v>12661</v>
      </c>
      <c r="D9701" t="s">
        <v>17482</v>
      </c>
      <c r="E9701" t="s">
        <v>25801</v>
      </c>
      <c r="F9701" t="s">
        <v>30052</v>
      </c>
      <c r="G9701" t="s">
        <v>30058</v>
      </c>
      <c r="H9701" t="s">
        <v>30067</v>
      </c>
      <c r="I9701" t="s">
        <v>3693</v>
      </c>
      <c r="J9701" t="s">
        <v>36117</v>
      </c>
      <c r="K9701" t="s">
        <v>39022</v>
      </c>
      <c r="M9701" t="s">
        <v>40518</v>
      </c>
      <c r="N9701" t="s">
        <v>43166</v>
      </c>
      <c r="O9701" t="s">
        <v>43167</v>
      </c>
      <c r="P9701">
        <v>0</v>
      </c>
      <c r="Q9701">
        <v>2</v>
      </c>
      <c r="R9701" t="s">
        <v>43178</v>
      </c>
      <c r="S9701" t="s">
        <v>43522</v>
      </c>
      <c r="T9701" t="s">
        <v>44807</v>
      </c>
      <c r="U9701" t="s">
        <v>52985</v>
      </c>
      <c r="W9701" t="s">
        <v>40518</v>
      </c>
      <c r="X9701" t="s">
        <v>43181</v>
      </c>
    </row>
    <row r="9702" spans="1:24">
      <c r="A9702">
        <f>HYPERLINK("https://www.philgeps.gov.ph/GEPSNONPILOT/Tender/SplashBidNoticeAbstractUI.aspx?menuIndex=3&amp;refID=7065290&amp;Result=3","7065290")</f>
        <v>0</v>
      </c>
      <c r="B9702" t="s">
        <v>2452</v>
      </c>
      <c r="C9702" t="s">
        <v>12662</v>
      </c>
      <c r="D9702" t="s">
        <v>17459</v>
      </c>
      <c r="E9702" t="s">
        <v>25802</v>
      </c>
      <c r="F9702" t="s">
        <v>30052</v>
      </c>
      <c r="G9702" t="s">
        <v>30058</v>
      </c>
      <c r="H9702" t="s">
        <v>15498</v>
      </c>
      <c r="I9702" t="s">
        <v>3736</v>
      </c>
      <c r="J9702" t="s">
        <v>36118</v>
      </c>
      <c r="K9702" t="s">
        <v>39019</v>
      </c>
      <c r="M9702" t="s">
        <v>42377</v>
      </c>
      <c r="N9702" t="s">
        <v>43166</v>
      </c>
      <c r="O9702" t="s">
        <v>43167</v>
      </c>
      <c r="P9702">
        <v>0</v>
      </c>
      <c r="Q9702">
        <v>1</v>
      </c>
      <c r="R9702" t="s">
        <v>43178</v>
      </c>
      <c r="S9702" t="s">
        <v>43522</v>
      </c>
      <c r="T9702" t="s">
        <v>45008</v>
      </c>
      <c r="U9702" t="s">
        <v>52986</v>
      </c>
      <c r="W9702" t="s">
        <v>42377</v>
      </c>
      <c r="X9702" t="s">
        <v>43180</v>
      </c>
    </row>
    <row r="9703" spans="1:24">
      <c r="A9703">
        <f>HYPERLINK("https://www.philgeps.gov.ph/GEPSNONPILOT/Tender/SplashBidNoticeAbstractUI.aspx?menuIndex=3&amp;refID=7065173&amp;Result=3","7065173")</f>
        <v>0</v>
      </c>
      <c r="B9703" t="s">
        <v>2452</v>
      </c>
      <c r="C9703" t="s">
        <v>12663</v>
      </c>
      <c r="D9703" t="s">
        <v>17459</v>
      </c>
      <c r="E9703" t="s">
        <v>25803</v>
      </c>
      <c r="F9703" t="s">
        <v>30052</v>
      </c>
      <c r="G9703" t="s">
        <v>30058</v>
      </c>
      <c r="H9703" t="s">
        <v>15498</v>
      </c>
      <c r="I9703" t="s">
        <v>3736</v>
      </c>
      <c r="J9703" t="s">
        <v>36119</v>
      </c>
      <c r="K9703" t="s">
        <v>39019</v>
      </c>
      <c r="M9703" t="s">
        <v>42377</v>
      </c>
      <c r="N9703" t="s">
        <v>43166</v>
      </c>
      <c r="O9703" t="s">
        <v>43167</v>
      </c>
      <c r="P9703">
        <v>0</v>
      </c>
      <c r="Q9703">
        <v>1</v>
      </c>
      <c r="R9703" t="s">
        <v>43178</v>
      </c>
      <c r="S9703" t="s">
        <v>43522</v>
      </c>
      <c r="T9703" t="s">
        <v>45008</v>
      </c>
      <c r="U9703" t="s">
        <v>52986</v>
      </c>
      <c r="W9703" t="s">
        <v>42377</v>
      </c>
      <c r="X9703" t="s">
        <v>43180</v>
      </c>
    </row>
    <row r="9704" spans="1:24">
      <c r="A9704">
        <f>HYPERLINK("https://www.philgeps.gov.ph/GEPSNONPILOT/Tender/SplashBidNoticeAbstractUI.aspx?menuIndex=3&amp;refID=7064452&amp;Result=3","7064452")</f>
        <v>0</v>
      </c>
      <c r="B9704" t="s">
        <v>1180</v>
      </c>
      <c r="C9704" t="s">
        <v>12664</v>
      </c>
      <c r="D9704" t="s">
        <v>17455</v>
      </c>
      <c r="E9704" t="s">
        <v>25804</v>
      </c>
      <c r="F9704" t="s">
        <v>30052</v>
      </c>
      <c r="G9704" t="s">
        <v>30058</v>
      </c>
      <c r="H9704" t="s">
        <v>15498</v>
      </c>
      <c r="I9704" t="s">
        <v>3852</v>
      </c>
      <c r="J9704" t="s">
        <v>36120</v>
      </c>
      <c r="K9704" t="s">
        <v>39052</v>
      </c>
      <c r="M9704" t="s">
        <v>40530</v>
      </c>
      <c r="N9704" t="s">
        <v>43166</v>
      </c>
      <c r="O9704" t="s">
        <v>43167</v>
      </c>
      <c r="P9704">
        <v>0</v>
      </c>
      <c r="Q9704">
        <v>3</v>
      </c>
      <c r="R9704" t="s">
        <v>43178</v>
      </c>
      <c r="S9704" t="s">
        <v>43522</v>
      </c>
      <c r="T9704" t="s">
        <v>44830</v>
      </c>
      <c r="U9704" t="s">
        <v>52987</v>
      </c>
      <c r="W9704" t="s">
        <v>40530</v>
      </c>
      <c r="X9704" t="s">
        <v>43181</v>
      </c>
    </row>
    <row r="9705" spans="1:24">
      <c r="A9705">
        <f>HYPERLINK("https://www.philgeps.gov.ph/GEPSNONPILOT/Tender/SplashBidNoticeAbstractUI.aspx?menuIndex=3&amp;refID=7065129&amp;Result=3","7065129")</f>
        <v>0</v>
      </c>
      <c r="B9705" t="s">
        <v>2832</v>
      </c>
      <c r="C9705" t="s">
        <v>12665</v>
      </c>
      <c r="D9705" t="s">
        <v>17422</v>
      </c>
      <c r="E9705" t="s">
        <v>25805</v>
      </c>
      <c r="F9705" t="s">
        <v>30052</v>
      </c>
      <c r="G9705" t="s">
        <v>30058</v>
      </c>
      <c r="H9705" t="s">
        <v>15498</v>
      </c>
      <c r="I9705" t="s">
        <v>4119</v>
      </c>
      <c r="J9705" t="s">
        <v>36121</v>
      </c>
      <c r="K9705" t="s">
        <v>39019</v>
      </c>
      <c r="M9705" t="s">
        <v>42378</v>
      </c>
      <c r="N9705" t="s">
        <v>43166</v>
      </c>
      <c r="O9705" t="s">
        <v>43167</v>
      </c>
      <c r="P9705">
        <v>0</v>
      </c>
      <c r="Q9705">
        <v>3</v>
      </c>
      <c r="R9705" t="s">
        <v>43178</v>
      </c>
      <c r="S9705" t="s">
        <v>43522</v>
      </c>
      <c r="T9705" t="s">
        <v>44722</v>
      </c>
      <c r="U9705" t="s">
        <v>52988</v>
      </c>
      <c r="V9705" t="s">
        <v>57897</v>
      </c>
      <c r="W9705" t="s">
        <v>42378</v>
      </c>
      <c r="X9705" t="s">
        <v>43180</v>
      </c>
    </row>
    <row r="9706" spans="1:24">
      <c r="A9706">
        <f>HYPERLINK("https://www.philgeps.gov.ph/GEPSNONPILOT/Tender/SplashBidNoticeAbstractUI.aspx?menuIndex=3&amp;refID=7064497&amp;Result=3","7064497")</f>
        <v>0</v>
      </c>
      <c r="B9706" t="s">
        <v>1180</v>
      </c>
      <c r="C9706" t="s">
        <v>12666</v>
      </c>
      <c r="D9706" t="s">
        <v>17455</v>
      </c>
      <c r="E9706" t="s">
        <v>25806</v>
      </c>
      <c r="F9706" t="s">
        <v>30052</v>
      </c>
      <c r="G9706" t="s">
        <v>30058</v>
      </c>
      <c r="H9706" t="s">
        <v>15498</v>
      </c>
      <c r="I9706" t="s">
        <v>6304</v>
      </c>
      <c r="J9706" t="s">
        <v>36122</v>
      </c>
      <c r="K9706" t="s">
        <v>39052</v>
      </c>
      <c r="M9706" t="s">
        <v>40530</v>
      </c>
      <c r="N9706" t="s">
        <v>43166</v>
      </c>
      <c r="O9706" t="s">
        <v>43167</v>
      </c>
      <c r="P9706">
        <v>0</v>
      </c>
      <c r="Q9706">
        <v>1</v>
      </c>
      <c r="R9706" t="s">
        <v>43178</v>
      </c>
      <c r="S9706" t="s">
        <v>43522</v>
      </c>
      <c r="T9706" t="s">
        <v>44830</v>
      </c>
      <c r="U9706" t="s">
        <v>52989</v>
      </c>
      <c r="W9706" t="s">
        <v>40530</v>
      </c>
      <c r="X9706" t="s">
        <v>43181</v>
      </c>
    </row>
    <row r="9707" spans="1:24">
      <c r="A9707">
        <f>HYPERLINK("https://www.philgeps.gov.ph/GEPSNONPILOT/Tender/SplashBidNoticeAbstractUI.aspx?menuIndex=3&amp;refID=7064494&amp;Result=3","7064494")</f>
        <v>0</v>
      </c>
      <c r="B9707" t="s">
        <v>1180</v>
      </c>
      <c r="C9707" t="s">
        <v>12667</v>
      </c>
      <c r="D9707" t="s">
        <v>17455</v>
      </c>
      <c r="E9707" t="s">
        <v>25807</v>
      </c>
      <c r="F9707" t="s">
        <v>30052</v>
      </c>
      <c r="G9707" t="s">
        <v>30058</v>
      </c>
      <c r="H9707" t="s">
        <v>15498</v>
      </c>
      <c r="I9707" t="s">
        <v>30088</v>
      </c>
      <c r="J9707" t="s">
        <v>36123</v>
      </c>
      <c r="K9707" t="s">
        <v>39017</v>
      </c>
      <c r="M9707" t="s">
        <v>40530</v>
      </c>
      <c r="N9707" t="s">
        <v>43166</v>
      </c>
      <c r="O9707" t="s">
        <v>43167</v>
      </c>
      <c r="P9707">
        <v>0</v>
      </c>
      <c r="Q9707">
        <v>16</v>
      </c>
      <c r="R9707" t="s">
        <v>43178</v>
      </c>
      <c r="S9707" t="s">
        <v>43522</v>
      </c>
      <c r="T9707" t="s">
        <v>44830</v>
      </c>
      <c r="U9707" t="s">
        <v>52990</v>
      </c>
      <c r="W9707" t="s">
        <v>40530</v>
      </c>
      <c r="X9707" t="s">
        <v>43181</v>
      </c>
    </row>
    <row r="9708" spans="1:24">
      <c r="A9708">
        <f>HYPERLINK("https://www.philgeps.gov.ph/GEPSNONPILOT/Tender/SplashBidNoticeAbstractUI.aspx?menuIndex=3&amp;refID=7064485&amp;Result=3","7064485")</f>
        <v>0</v>
      </c>
      <c r="B9708" t="s">
        <v>1180</v>
      </c>
      <c r="C9708" t="s">
        <v>12668</v>
      </c>
      <c r="D9708" t="s">
        <v>17455</v>
      </c>
      <c r="E9708" t="s">
        <v>25808</v>
      </c>
      <c r="F9708" t="s">
        <v>30052</v>
      </c>
      <c r="G9708" t="s">
        <v>30058</v>
      </c>
      <c r="H9708" t="s">
        <v>15498</v>
      </c>
      <c r="I9708" t="s">
        <v>30092</v>
      </c>
      <c r="J9708" t="s">
        <v>36124</v>
      </c>
      <c r="K9708" t="s">
        <v>39064</v>
      </c>
      <c r="M9708" t="s">
        <v>40530</v>
      </c>
      <c r="N9708" t="s">
        <v>43166</v>
      </c>
      <c r="O9708" t="s">
        <v>43167</v>
      </c>
      <c r="P9708">
        <v>0</v>
      </c>
      <c r="Q9708">
        <v>1</v>
      </c>
      <c r="R9708" t="s">
        <v>43178</v>
      </c>
      <c r="S9708" t="s">
        <v>43522</v>
      </c>
      <c r="T9708" t="s">
        <v>44830</v>
      </c>
      <c r="U9708" t="s">
        <v>52991</v>
      </c>
      <c r="W9708" t="s">
        <v>40530</v>
      </c>
      <c r="X9708" t="s">
        <v>43181</v>
      </c>
    </row>
    <row r="9709" spans="1:24">
      <c r="A9709">
        <f>HYPERLINK("https://www.philgeps.gov.ph/GEPSNONPILOT/Tender/SplashBidNoticeAbstractUI.aspx?menuIndex=3&amp;refID=7064480&amp;Result=3","7064480")</f>
        <v>0</v>
      </c>
      <c r="B9709" t="s">
        <v>1180</v>
      </c>
      <c r="C9709" t="s">
        <v>12669</v>
      </c>
      <c r="D9709" t="s">
        <v>17455</v>
      </c>
      <c r="E9709" t="s">
        <v>25809</v>
      </c>
      <c r="F9709" t="s">
        <v>30052</v>
      </c>
      <c r="G9709" t="s">
        <v>30058</v>
      </c>
      <c r="H9709" t="s">
        <v>15498</v>
      </c>
      <c r="I9709" t="s">
        <v>30088</v>
      </c>
      <c r="J9709" t="s">
        <v>36125</v>
      </c>
      <c r="K9709" t="s">
        <v>39052</v>
      </c>
      <c r="M9709" t="s">
        <v>40530</v>
      </c>
      <c r="N9709" t="s">
        <v>43166</v>
      </c>
      <c r="O9709" t="s">
        <v>43167</v>
      </c>
      <c r="P9709">
        <v>0</v>
      </c>
      <c r="Q9709">
        <v>12</v>
      </c>
      <c r="R9709" t="s">
        <v>43178</v>
      </c>
      <c r="S9709" t="s">
        <v>43522</v>
      </c>
      <c r="T9709" t="s">
        <v>44830</v>
      </c>
      <c r="U9709" t="s">
        <v>52992</v>
      </c>
      <c r="W9709" t="s">
        <v>40530</v>
      </c>
      <c r="X9709" t="s">
        <v>43181</v>
      </c>
    </row>
    <row r="9710" spans="1:24">
      <c r="A9710">
        <f>HYPERLINK("https://www.philgeps.gov.ph/GEPSNONPILOT/Tender/SplashBidNoticeAbstractUI.aspx?menuIndex=3&amp;refID=7071886&amp;Result=3","7071886")</f>
        <v>0</v>
      </c>
      <c r="B9710" t="s">
        <v>2300</v>
      </c>
      <c r="C9710" t="s">
        <v>12670</v>
      </c>
      <c r="D9710" t="s">
        <v>17434</v>
      </c>
      <c r="E9710" t="s">
        <v>25810</v>
      </c>
      <c r="F9710" t="s">
        <v>30052</v>
      </c>
      <c r="G9710" t="s">
        <v>30058</v>
      </c>
      <c r="H9710" t="s">
        <v>30067</v>
      </c>
      <c r="I9710" t="s">
        <v>3693</v>
      </c>
      <c r="J9710" t="s">
        <v>36126</v>
      </c>
      <c r="K9710" t="s">
        <v>39225</v>
      </c>
      <c r="M9710" t="s">
        <v>41785</v>
      </c>
      <c r="N9710" t="s">
        <v>43166</v>
      </c>
      <c r="O9710" t="s">
        <v>43167</v>
      </c>
      <c r="P9710">
        <v>0</v>
      </c>
      <c r="Q9710">
        <v>25</v>
      </c>
      <c r="R9710" t="s">
        <v>43177</v>
      </c>
      <c r="S9710" t="s">
        <v>43494</v>
      </c>
      <c r="T9710" t="s">
        <v>44750</v>
      </c>
      <c r="U9710" t="s">
        <v>52993</v>
      </c>
      <c r="V9710" t="s">
        <v>57428</v>
      </c>
      <c r="W9710" t="s">
        <v>41785</v>
      </c>
      <c r="X9710" t="s">
        <v>43178</v>
      </c>
    </row>
    <row r="9711" spans="1:24">
      <c r="A9711">
        <f>HYPERLINK("https://www.philgeps.gov.ph/GEPSNONPILOT/Tender/SplashBidNoticeAbstractUI.aspx?menuIndex=3&amp;refID=7064874&amp;Result=3","7064874")</f>
        <v>0</v>
      </c>
      <c r="B9711" t="s">
        <v>1673</v>
      </c>
      <c r="C9711" t="s">
        <v>12671</v>
      </c>
      <c r="D9711" t="s">
        <v>17476</v>
      </c>
      <c r="E9711" t="s">
        <v>25811</v>
      </c>
      <c r="F9711" t="s">
        <v>30052</v>
      </c>
      <c r="G9711" t="s">
        <v>30058</v>
      </c>
      <c r="H9711" t="s">
        <v>30067</v>
      </c>
      <c r="I9711" t="s">
        <v>3693</v>
      </c>
      <c r="J9711" t="s">
        <v>36127</v>
      </c>
      <c r="K9711" t="s">
        <v>39077</v>
      </c>
      <c r="M9711" t="s">
        <v>41080</v>
      </c>
      <c r="N9711" t="s">
        <v>43166</v>
      </c>
      <c r="O9711" t="s">
        <v>43167</v>
      </c>
      <c r="P9711">
        <v>0</v>
      </c>
      <c r="Q9711">
        <v>0</v>
      </c>
      <c r="R9711" t="s">
        <v>43178</v>
      </c>
      <c r="S9711" t="s">
        <v>43522</v>
      </c>
      <c r="T9711" t="s">
        <v>44690</v>
      </c>
      <c r="U9711" t="s">
        <v>49083</v>
      </c>
      <c r="W9711" t="s">
        <v>41080</v>
      </c>
      <c r="X9711" t="s">
        <v>43180</v>
      </c>
    </row>
    <row r="9712" spans="1:24">
      <c r="A9712">
        <f>HYPERLINK("https://www.philgeps.gov.ph/GEPSNONPILOT/Tender/SplashBidNoticeAbstractUI.aspx?menuIndex=3&amp;refID=7067154&amp;Result=3","7067154")</f>
        <v>0</v>
      </c>
      <c r="B9712" t="s">
        <v>2109</v>
      </c>
      <c r="C9712" t="s">
        <v>12672</v>
      </c>
      <c r="D9712" t="s">
        <v>17447</v>
      </c>
      <c r="E9712" t="s">
        <v>25812</v>
      </c>
      <c r="F9712" t="s">
        <v>30052</v>
      </c>
      <c r="G9712" t="s">
        <v>30058</v>
      </c>
      <c r="H9712" t="s">
        <v>30067</v>
      </c>
      <c r="I9712" t="s">
        <v>3693</v>
      </c>
      <c r="J9712" t="s">
        <v>36128</v>
      </c>
      <c r="K9712" t="s">
        <v>39112</v>
      </c>
      <c r="M9712" t="s">
        <v>41571</v>
      </c>
      <c r="N9712" t="s">
        <v>43166</v>
      </c>
      <c r="O9712" t="s">
        <v>43167</v>
      </c>
      <c r="P9712">
        <v>0</v>
      </c>
      <c r="Q9712">
        <v>3</v>
      </c>
      <c r="R9712" t="s">
        <v>43178</v>
      </c>
      <c r="S9712" t="s">
        <v>43522</v>
      </c>
      <c r="T9712" t="s">
        <v>44750</v>
      </c>
      <c r="U9712" t="s">
        <v>52994</v>
      </c>
      <c r="V9712" t="s">
        <v>57898</v>
      </c>
      <c r="W9712" t="s">
        <v>58673</v>
      </c>
      <c r="X9712" t="s">
        <v>43180</v>
      </c>
    </row>
    <row r="9713" spans="1:24">
      <c r="A9713">
        <f>HYPERLINK("https://www.philgeps.gov.ph/GEPSNONPILOT/Tender/SplashBidNoticeAbstractUI.aspx?menuIndex=3&amp;refID=7067152&amp;Result=3","7067152")</f>
        <v>0</v>
      </c>
      <c r="B9713" t="s">
        <v>2109</v>
      </c>
      <c r="C9713" t="s">
        <v>12673</v>
      </c>
      <c r="D9713" t="s">
        <v>17447</v>
      </c>
      <c r="E9713" t="s">
        <v>25813</v>
      </c>
      <c r="F9713" t="s">
        <v>30052</v>
      </c>
      <c r="G9713" t="s">
        <v>30058</v>
      </c>
      <c r="H9713" t="s">
        <v>30067</v>
      </c>
      <c r="I9713" t="s">
        <v>3693</v>
      </c>
      <c r="J9713" t="s">
        <v>32171</v>
      </c>
      <c r="K9713" t="s">
        <v>39159</v>
      </c>
      <c r="M9713" t="s">
        <v>41571</v>
      </c>
      <c r="N9713" t="s">
        <v>43166</v>
      </c>
      <c r="O9713" t="s">
        <v>43167</v>
      </c>
      <c r="P9713">
        <v>0</v>
      </c>
      <c r="Q9713">
        <v>3</v>
      </c>
      <c r="R9713" t="s">
        <v>43178</v>
      </c>
      <c r="S9713" t="s">
        <v>43522</v>
      </c>
      <c r="T9713" t="s">
        <v>44750</v>
      </c>
      <c r="U9713" t="s">
        <v>52995</v>
      </c>
      <c r="V9713" t="s">
        <v>57899</v>
      </c>
      <c r="W9713" t="s">
        <v>58673</v>
      </c>
      <c r="X9713" t="s">
        <v>43180</v>
      </c>
    </row>
    <row r="9714" spans="1:24">
      <c r="A9714">
        <f>HYPERLINK("https://www.philgeps.gov.ph/GEPSNONPILOT/Tender/SplashBidNoticeAbstractUI.aspx?menuIndex=3&amp;refID=7065954&amp;Result=3","7065954")</f>
        <v>0</v>
      </c>
      <c r="B9714" t="s">
        <v>2820</v>
      </c>
      <c r="C9714" t="s">
        <v>12674</v>
      </c>
      <c r="D9714" t="s">
        <v>17449</v>
      </c>
      <c r="E9714" t="s">
        <v>25814</v>
      </c>
      <c r="F9714" t="s">
        <v>30052</v>
      </c>
      <c r="G9714" t="s">
        <v>30058</v>
      </c>
      <c r="H9714" t="s">
        <v>30067</v>
      </c>
      <c r="I9714" t="s">
        <v>3693</v>
      </c>
      <c r="J9714" t="s">
        <v>32005</v>
      </c>
      <c r="K9714" t="s">
        <v>39025</v>
      </c>
      <c r="M9714" t="s">
        <v>42364</v>
      </c>
      <c r="N9714" t="s">
        <v>43166</v>
      </c>
      <c r="O9714" t="s">
        <v>43167</v>
      </c>
      <c r="P9714">
        <v>0</v>
      </c>
      <c r="Q9714">
        <v>2</v>
      </c>
      <c r="R9714" t="s">
        <v>43178</v>
      </c>
      <c r="S9714" t="s">
        <v>43522</v>
      </c>
      <c r="T9714" t="s">
        <v>44830</v>
      </c>
      <c r="U9714" t="s">
        <v>52996</v>
      </c>
      <c r="W9714" t="s">
        <v>42364</v>
      </c>
      <c r="X9714" t="s">
        <v>43180</v>
      </c>
    </row>
    <row r="9715" spans="1:24">
      <c r="A9715">
        <f>HYPERLINK("https://www.philgeps.gov.ph/GEPSNONPILOT/Tender/SplashBidNoticeAbstractUI.aspx?menuIndex=3&amp;refID=7065509&amp;Result=3","7065509")</f>
        <v>0</v>
      </c>
      <c r="B9715" t="s">
        <v>2452</v>
      </c>
      <c r="C9715" t="s">
        <v>12675</v>
      </c>
      <c r="D9715" t="s">
        <v>17459</v>
      </c>
      <c r="E9715" t="s">
        <v>25815</v>
      </c>
      <c r="F9715" t="s">
        <v>30052</v>
      </c>
      <c r="G9715" t="s">
        <v>30058</v>
      </c>
      <c r="H9715" t="s">
        <v>15498</v>
      </c>
      <c r="I9715" t="s">
        <v>3736</v>
      </c>
      <c r="J9715" t="s">
        <v>36129</v>
      </c>
      <c r="K9715" t="s">
        <v>39019</v>
      </c>
      <c r="M9715" t="s">
        <v>42377</v>
      </c>
      <c r="N9715" t="s">
        <v>43166</v>
      </c>
      <c r="O9715" t="s">
        <v>43167</v>
      </c>
      <c r="P9715">
        <v>0</v>
      </c>
      <c r="Q9715">
        <v>2</v>
      </c>
      <c r="R9715" t="s">
        <v>43178</v>
      </c>
      <c r="S9715" t="s">
        <v>43522</v>
      </c>
      <c r="T9715" t="s">
        <v>45008</v>
      </c>
      <c r="U9715" t="s">
        <v>52986</v>
      </c>
      <c r="W9715" t="s">
        <v>42377</v>
      </c>
      <c r="X9715" t="s">
        <v>43180</v>
      </c>
    </row>
    <row r="9716" spans="1:24">
      <c r="A9716">
        <f>HYPERLINK("https://www.philgeps.gov.ph/GEPSNONPILOT/Tender/SplashBidNoticeAbstractUI.aspx?menuIndex=3&amp;refID=7065499&amp;Result=3","7065499")</f>
        <v>0</v>
      </c>
      <c r="B9716" t="s">
        <v>2258</v>
      </c>
      <c r="C9716" t="s">
        <v>5411</v>
      </c>
      <c r="D9716" t="s">
        <v>17454</v>
      </c>
      <c r="E9716" t="s">
        <v>25816</v>
      </c>
      <c r="F9716" t="s">
        <v>30052</v>
      </c>
      <c r="G9716" t="s">
        <v>30058</v>
      </c>
      <c r="H9716" t="s">
        <v>30067</v>
      </c>
      <c r="I9716" t="s">
        <v>3693</v>
      </c>
      <c r="J9716" t="s">
        <v>30343</v>
      </c>
      <c r="K9716" t="s">
        <v>39034</v>
      </c>
      <c r="M9716" t="s">
        <v>41736</v>
      </c>
      <c r="N9716" t="s">
        <v>43166</v>
      </c>
      <c r="O9716" t="s">
        <v>43167</v>
      </c>
      <c r="P9716">
        <v>0</v>
      </c>
      <c r="Q9716">
        <v>1</v>
      </c>
      <c r="R9716" t="s">
        <v>43178</v>
      </c>
      <c r="S9716" t="s">
        <v>43522</v>
      </c>
      <c r="T9716" t="s">
        <v>44903</v>
      </c>
      <c r="U9716" t="s">
        <v>52997</v>
      </c>
      <c r="V9716" t="s">
        <v>57900</v>
      </c>
      <c r="W9716" t="s">
        <v>41736</v>
      </c>
      <c r="X9716" t="s">
        <v>43180</v>
      </c>
    </row>
    <row r="9717" spans="1:24">
      <c r="A9717">
        <f>HYPERLINK("https://www.philgeps.gov.ph/GEPSNONPILOT/Tender/SplashBidNoticeAbstractUI.aspx?menuIndex=3&amp;refID=7071889&amp;Result=3","7071889")</f>
        <v>0</v>
      </c>
      <c r="B9717" t="s">
        <v>543</v>
      </c>
      <c r="C9717" t="s">
        <v>12676</v>
      </c>
      <c r="E9717" t="s">
        <v>25817</v>
      </c>
      <c r="F9717" t="s">
        <v>30052</v>
      </c>
      <c r="G9717" t="s">
        <v>30058</v>
      </c>
      <c r="H9717" t="s">
        <v>30067</v>
      </c>
      <c r="I9717" t="s">
        <v>3693</v>
      </c>
      <c r="J9717" t="s">
        <v>36130</v>
      </c>
      <c r="K9717" t="s">
        <v>39025</v>
      </c>
      <c r="M9717" t="s">
        <v>39845</v>
      </c>
      <c r="N9717" t="s">
        <v>43166</v>
      </c>
      <c r="O9717" t="s">
        <v>43167</v>
      </c>
      <c r="P9717">
        <v>0</v>
      </c>
      <c r="Q9717">
        <v>0</v>
      </c>
      <c r="R9717" t="s">
        <v>43177</v>
      </c>
      <c r="S9717" t="s">
        <v>43494</v>
      </c>
      <c r="T9717" t="s">
        <v>44725</v>
      </c>
      <c r="U9717" t="s">
        <v>52998</v>
      </c>
      <c r="W9717" t="s">
        <v>39845</v>
      </c>
      <c r="X9717" t="s">
        <v>43178</v>
      </c>
    </row>
    <row r="9718" spans="1:24">
      <c r="A9718">
        <f>HYPERLINK("https://www.philgeps.gov.ph/GEPSNONPILOT/Tender/SplashBidNoticeAbstractUI.aspx?menuIndex=3&amp;refID=7067143&amp;Result=3","7067143")</f>
        <v>0</v>
      </c>
      <c r="B9718" t="s">
        <v>2109</v>
      </c>
      <c r="C9718" t="s">
        <v>12677</v>
      </c>
      <c r="D9718" t="s">
        <v>17447</v>
      </c>
      <c r="E9718" t="s">
        <v>25818</v>
      </c>
      <c r="F9718" t="s">
        <v>30052</v>
      </c>
      <c r="G9718" t="s">
        <v>30058</v>
      </c>
      <c r="H9718" t="s">
        <v>30067</v>
      </c>
      <c r="I9718" t="s">
        <v>3693</v>
      </c>
      <c r="J9718" t="s">
        <v>32171</v>
      </c>
      <c r="K9718" t="s">
        <v>39208</v>
      </c>
      <c r="M9718" t="s">
        <v>41571</v>
      </c>
      <c r="N9718" t="s">
        <v>43166</v>
      </c>
      <c r="O9718" t="s">
        <v>43167</v>
      </c>
      <c r="P9718">
        <v>0</v>
      </c>
      <c r="Q9718">
        <v>3</v>
      </c>
      <c r="R9718" t="s">
        <v>43178</v>
      </c>
      <c r="S9718" t="s">
        <v>43522</v>
      </c>
      <c r="T9718" t="s">
        <v>44750</v>
      </c>
      <c r="U9718" t="s">
        <v>52999</v>
      </c>
      <c r="V9718" t="s">
        <v>57901</v>
      </c>
      <c r="W9718" t="s">
        <v>58673</v>
      </c>
      <c r="X9718" t="s">
        <v>43180</v>
      </c>
    </row>
    <row r="9719" spans="1:24">
      <c r="A9719">
        <f>HYPERLINK("https://www.philgeps.gov.ph/GEPSNONPILOT/Tender/SplashBidNoticeAbstractUI.aspx?menuIndex=3&amp;refID=7067137&amp;Result=3","7067137")</f>
        <v>0</v>
      </c>
      <c r="B9719" t="s">
        <v>2109</v>
      </c>
      <c r="C9719" t="s">
        <v>12678</v>
      </c>
      <c r="D9719" t="s">
        <v>17447</v>
      </c>
      <c r="E9719" t="s">
        <v>25819</v>
      </c>
      <c r="F9719" t="s">
        <v>30052</v>
      </c>
      <c r="G9719" t="s">
        <v>30058</v>
      </c>
      <c r="H9719" t="s">
        <v>30067</v>
      </c>
      <c r="I9719" t="s">
        <v>3693</v>
      </c>
      <c r="J9719" t="s">
        <v>35913</v>
      </c>
      <c r="K9719" t="s">
        <v>39057</v>
      </c>
      <c r="M9719" t="s">
        <v>41571</v>
      </c>
      <c r="N9719" t="s">
        <v>43166</v>
      </c>
      <c r="O9719" t="s">
        <v>43167</v>
      </c>
      <c r="P9719">
        <v>0</v>
      </c>
      <c r="Q9719">
        <v>3</v>
      </c>
      <c r="R9719" t="s">
        <v>43178</v>
      </c>
      <c r="S9719" t="s">
        <v>43522</v>
      </c>
      <c r="T9719" t="s">
        <v>44750</v>
      </c>
      <c r="U9719" t="s">
        <v>53000</v>
      </c>
      <c r="V9719" t="s">
        <v>57902</v>
      </c>
      <c r="W9719" t="s">
        <v>58673</v>
      </c>
      <c r="X9719" t="s">
        <v>43180</v>
      </c>
    </row>
    <row r="9720" spans="1:24">
      <c r="A9720">
        <f>HYPERLINK("https://www.philgeps.gov.ph/GEPSNONPILOT/Tender/SplashBidNoticeAbstractUI.aspx?menuIndex=3&amp;refID=7066993&amp;Result=3","7066993")</f>
        <v>0</v>
      </c>
      <c r="B9720" t="s">
        <v>1082</v>
      </c>
      <c r="C9720" t="s">
        <v>12679</v>
      </c>
      <c r="D9720" t="s">
        <v>17438</v>
      </c>
      <c r="E9720" t="s">
        <v>25820</v>
      </c>
      <c r="F9720" t="s">
        <v>30052</v>
      </c>
      <c r="G9720" t="s">
        <v>30058</v>
      </c>
      <c r="H9720" t="s">
        <v>15498</v>
      </c>
      <c r="I9720" t="s">
        <v>3852</v>
      </c>
      <c r="J9720" t="s">
        <v>36131</v>
      </c>
      <c r="K9720" t="s">
        <v>39017</v>
      </c>
      <c r="M9720" t="s">
        <v>40418</v>
      </c>
      <c r="N9720" t="s">
        <v>43166</v>
      </c>
      <c r="O9720" t="s">
        <v>43167</v>
      </c>
      <c r="P9720">
        <v>0</v>
      </c>
      <c r="Q9720">
        <v>9</v>
      </c>
      <c r="R9720" t="s">
        <v>43178</v>
      </c>
      <c r="S9720" t="s">
        <v>43522</v>
      </c>
      <c r="T9720" t="s">
        <v>44754</v>
      </c>
      <c r="U9720" t="s">
        <v>53001</v>
      </c>
      <c r="W9720" t="s">
        <v>40418</v>
      </c>
      <c r="X9720" t="s">
        <v>43180</v>
      </c>
    </row>
    <row r="9721" spans="1:24">
      <c r="A9721">
        <f>HYPERLINK("https://www.philgeps.gov.ph/GEPSNONPILOT/Tender/SplashBidNoticeAbstractUI.aspx?menuIndex=3&amp;refID=7066989&amp;Result=3","7066989")</f>
        <v>0</v>
      </c>
      <c r="B9721" t="s">
        <v>2833</v>
      </c>
      <c r="C9721" t="s">
        <v>12680</v>
      </c>
      <c r="D9721" t="s">
        <v>17415</v>
      </c>
      <c r="E9721" t="s">
        <v>25821</v>
      </c>
      <c r="F9721" t="s">
        <v>30054</v>
      </c>
      <c r="G9721" t="s">
        <v>30058</v>
      </c>
      <c r="H9721" t="s">
        <v>15498</v>
      </c>
      <c r="I9721" t="s">
        <v>3852</v>
      </c>
      <c r="J9721" t="s">
        <v>30330</v>
      </c>
      <c r="K9721" t="s">
        <v>39017</v>
      </c>
      <c r="M9721" t="s">
        <v>42379</v>
      </c>
      <c r="N9721" t="s">
        <v>43166</v>
      </c>
      <c r="O9721" t="s">
        <v>43167</v>
      </c>
      <c r="P9721">
        <v>0</v>
      </c>
      <c r="Q9721">
        <v>1</v>
      </c>
      <c r="R9721" t="s">
        <v>43178</v>
      </c>
      <c r="S9721" t="s">
        <v>43522</v>
      </c>
      <c r="T9721" t="s">
        <v>44787</v>
      </c>
      <c r="U9721" t="s">
        <v>53002</v>
      </c>
      <c r="W9721" t="s">
        <v>42379</v>
      </c>
      <c r="X9721" t="s">
        <v>43180</v>
      </c>
    </row>
    <row r="9722" spans="1:24">
      <c r="A9722">
        <f>HYPERLINK("https://www.philgeps.gov.ph/GEPSNONPILOT/Tender/SplashBidNoticeAbstractUI.aspx?menuIndex=3&amp;refID=7067128&amp;Result=3","7067128")</f>
        <v>0</v>
      </c>
      <c r="B9722" t="s">
        <v>2109</v>
      </c>
      <c r="C9722" t="s">
        <v>12681</v>
      </c>
      <c r="D9722" t="s">
        <v>17447</v>
      </c>
      <c r="E9722" t="s">
        <v>25822</v>
      </c>
      <c r="F9722" t="s">
        <v>30052</v>
      </c>
      <c r="G9722" t="s">
        <v>30058</v>
      </c>
      <c r="H9722" t="s">
        <v>30067</v>
      </c>
      <c r="I9722" t="s">
        <v>3693</v>
      </c>
      <c r="J9722" t="s">
        <v>32171</v>
      </c>
      <c r="K9722" t="s">
        <v>39208</v>
      </c>
      <c r="M9722" t="s">
        <v>41571</v>
      </c>
      <c r="N9722" t="s">
        <v>43166</v>
      </c>
      <c r="O9722" t="s">
        <v>43167</v>
      </c>
      <c r="P9722">
        <v>0</v>
      </c>
      <c r="Q9722">
        <v>3</v>
      </c>
      <c r="R9722" t="s">
        <v>43178</v>
      </c>
      <c r="S9722" t="s">
        <v>43522</v>
      </c>
      <c r="T9722" t="s">
        <v>44750</v>
      </c>
      <c r="U9722" t="s">
        <v>53003</v>
      </c>
      <c r="V9722" t="s">
        <v>57903</v>
      </c>
      <c r="W9722" t="s">
        <v>58673</v>
      </c>
      <c r="X9722" t="s">
        <v>43180</v>
      </c>
    </row>
    <row r="9723" spans="1:24">
      <c r="A9723">
        <f>HYPERLINK("https://www.philgeps.gov.ph/GEPSNONPILOT/Tender/SplashBidNoticeAbstractUI.aspx?menuIndex=3&amp;refID=7066968&amp;Result=3","7066968")</f>
        <v>0</v>
      </c>
      <c r="B9723" t="s">
        <v>1082</v>
      </c>
      <c r="C9723" t="s">
        <v>12682</v>
      </c>
      <c r="D9723" t="s">
        <v>17438</v>
      </c>
      <c r="E9723" t="s">
        <v>25823</v>
      </c>
      <c r="F9723" t="s">
        <v>30052</v>
      </c>
      <c r="G9723" t="s">
        <v>30058</v>
      </c>
      <c r="H9723" t="s">
        <v>15498</v>
      </c>
      <c r="I9723" t="s">
        <v>30070</v>
      </c>
      <c r="J9723" t="s">
        <v>30761</v>
      </c>
      <c r="K9723" t="s">
        <v>39017</v>
      </c>
      <c r="M9723" t="s">
        <v>40418</v>
      </c>
      <c r="N9723" t="s">
        <v>43166</v>
      </c>
      <c r="O9723" t="s">
        <v>43167</v>
      </c>
      <c r="P9723">
        <v>0</v>
      </c>
      <c r="Q9723">
        <v>5</v>
      </c>
      <c r="R9723" t="s">
        <v>43178</v>
      </c>
      <c r="S9723" t="s">
        <v>43522</v>
      </c>
      <c r="T9723" t="s">
        <v>44754</v>
      </c>
      <c r="U9723" t="s">
        <v>53004</v>
      </c>
      <c r="W9723" t="s">
        <v>40418</v>
      </c>
      <c r="X9723" t="s">
        <v>43180</v>
      </c>
    </row>
    <row r="9724" spans="1:24">
      <c r="A9724">
        <f>HYPERLINK("https://www.philgeps.gov.ph/GEPSNONPILOT/Tender/SplashBidNoticeAbstractUI.aspx?menuIndex=3&amp;refID=7067419&amp;Result=3","7067419")</f>
        <v>0</v>
      </c>
      <c r="B9724" t="s">
        <v>2834</v>
      </c>
      <c r="C9724" t="s">
        <v>12683</v>
      </c>
      <c r="D9724" t="s">
        <v>17416</v>
      </c>
      <c r="E9724" t="s">
        <v>25824</v>
      </c>
      <c r="F9724" t="s">
        <v>30052</v>
      </c>
      <c r="G9724" t="s">
        <v>30058</v>
      </c>
      <c r="H9724" t="s">
        <v>15498</v>
      </c>
      <c r="I9724" t="s">
        <v>3736</v>
      </c>
      <c r="J9724" t="s">
        <v>36132</v>
      </c>
      <c r="K9724" t="s">
        <v>39022</v>
      </c>
      <c r="M9724" t="s">
        <v>42380</v>
      </c>
      <c r="N9724" t="s">
        <v>43166</v>
      </c>
      <c r="O9724" t="s">
        <v>43167</v>
      </c>
      <c r="P9724">
        <v>0</v>
      </c>
      <c r="Q9724">
        <v>0</v>
      </c>
      <c r="R9724" t="s">
        <v>43178</v>
      </c>
      <c r="S9724" t="s">
        <v>43522</v>
      </c>
      <c r="T9724" t="s">
        <v>44825</v>
      </c>
      <c r="U9724" t="s">
        <v>53005</v>
      </c>
      <c r="W9724" t="s">
        <v>42380</v>
      </c>
      <c r="X9724" t="s">
        <v>43179</v>
      </c>
    </row>
    <row r="9725" spans="1:24">
      <c r="A9725">
        <f>HYPERLINK("https://www.philgeps.gov.ph/GEPSNONPILOT/Tender/SplashBidNoticeAbstractUI.aspx?menuIndex=3&amp;refID=7067020&amp;Result=3","7067020")</f>
        <v>0</v>
      </c>
      <c r="B9725" t="s">
        <v>1373</v>
      </c>
      <c r="C9725" t="s">
        <v>12684</v>
      </c>
      <c r="D9725" t="s">
        <v>17501</v>
      </c>
      <c r="E9725" t="s">
        <v>25825</v>
      </c>
      <c r="F9725" t="s">
        <v>30052</v>
      </c>
      <c r="G9725" t="s">
        <v>30058</v>
      </c>
      <c r="H9725" t="s">
        <v>15498</v>
      </c>
      <c r="I9725" t="s">
        <v>9238</v>
      </c>
      <c r="J9725" t="s">
        <v>30397</v>
      </c>
      <c r="K9725" t="s">
        <v>39029</v>
      </c>
      <c r="M9725" t="s">
        <v>40745</v>
      </c>
      <c r="N9725" t="s">
        <v>43166</v>
      </c>
      <c r="O9725" t="s">
        <v>43167</v>
      </c>
      <c r="P9725">
        <v>0</v>
      </c>
      <c r="Q9725">
        <v>29</v>
      </c>
      <c r="R9725" t="s">
        <v>43178</v>
      </c>
      <c r="S9725" t="s">
        <v>43522</v>
      </c>
      <c r="T9725" t="s">
        <v>45125</v>
      </c>
      <c r="U9725" t="s">
        <v>53006</v>
      </c>
      <c r="W9725" t="s">
        <v>40745</v>
      </c>
      <c r="X9725" t="s">
        <v>43180</v>
      </c>
    </row>
    <row r="9726" spans="1:24">
      <c r="A9726">
        <f>HYPERLINK("https://www.philgeps.gov.ph/GEPSNONPILOT/Tender/SplashBidNoticeAbstractUI.aspx?menuIndex=3&amp;refID=7067395&amp;Result=3","7067395")</f>
        <v>0</v>
      </c>
      <c r="B9726" t="s">
        <v>2401</v>
      </c>
      <c r="C9726" t="s">
        <v>10815</v>
      </c>
      <c r="D9726" t="s">
        <v>17435</v>
      </c>
      <c r="E9726" t="s">
        <v>25826</v>
      </c>
      <c r="F9726" t="s">
        <v>30052</v>
      </c>
      <c r="G9726" t="s">
        <v>30058</v>
      </c>
      <c r="H9726" t="s">
        <v>15498</v>
      </c>
      <c r="I9726" t="s">
        <v>3606</v>
      </c>
      <c r="J9726" t="s">
        <v>36133</v>
      </c>
      <c r="K9726" t="s">
        <v>39037</v>
      </c>
      <c r="M9726" t="s">
        <v>41897</v>
      </c>
      <c r="N9726" t="s">
        <v>43166</v>
      </c>
      <c r="O9726" t="s">
        <v>43167</v>
      </c>
      <c r="P9726">
        <v>0</v>
      </c>
      <c r="Q9726">
        <v>10</v>
      </c>
      <c r="R9726" t="s">
        <v>43178</v>
      </c>
      <c r="S9726" t="s">
        <v>43522</v>
      </c>
      <c r="T9726" t="s">
        <v>44856</v>
      </c>
      <c r="U9726" t="s">
        <v>51488</v>
      </c>
      <c r="W9726" t="s">
        <v>41897</v>
      </c>
      <c r="X9726" t="s">
        <v>43179</v>
      </c>
    </row>
    <row r="9727" spans="1:24">
      <c r="A9727">
        <f>HYPERLINK("https://www.philgeps.gov.ph/GEPSNONPILOT/Tender/SplashBidNoticeAbstractUI.aspx?menuIndex=3&amp;refID=7067391&amp;Result=3","7067391")</f>
        <v>0</v>
      </c>
      <c r="B9727" t="s">
        <v>2391</v>
      </c>
      <c r="C9727" t="s">
        <v>12685</v>
      </c>
      <c r="D9727" t="s">
        <v>17441</v>
      </c>
      <c r="E9727" t="s">
        <v>25827</v>
      </c>
      <c r="F9727" t="s">
        <v>30052</v>
      </c>
      <c r="G9727" t="s">
        <v>30058</v>
      </c>
      <c r="H9727" t="s">
        <v>15498</v>
      </c>
      <c r="I9727" t="s">
        <v>3736</v>
      </c>
      <c r="J9727" t="s">
        <v>36134</v>
      </c>
      <c r="K9727" t="s">
        <v>39034</v>
      </c>
      <c r="M9727" t="s">
        <v>41887</v>
      </c>
      <c r="N9727" t="s">
        <v>43166</v>
      </c>
      <c r="O9727" t="s">
        <v>43167</v>
      </c>
      <c r="P9727">
        <v>0</v>
      </c>
      <c r="Q9727">
        <v>2</v>
      </c>
      <c r="R9727" t="s">
        <v>43178</v>
      </c>
      <c r="S9727" t="s">
        <v>43522</v>
      </c>
      <c r="T9727" t="s">
        <v>44696</v>
      </c>
      <c r="U9727" t="s">
        <v>53007</v>
      </c>
      <c r="W9727" t="s">
        <v>41887</v>
      </c>
      <c r="X9727" t="s">
        <v>43179</v>
      </c>
    </row>
    <row r="9728" spans="1:24">
      <c r="A9728">
        <f>HYPERLINK("https://www.philgeps.gov.ph/GEPSNONPILOT/Tender/SplashBidNoticeAbstractUI.aspx?menuIndex=3&amp;refID=7067370&amp;Result=3","7067370")</f>
        <v>0</v>
      </c>
      <c r="B9728" t="s">
        <v>2835</v>
      </c>
      <c r="C9728" t="s">
        <v>12686</v>
      </c>
      <c r="D9728" t="s">
        <v>17445</v>
      </c>
      <c r="E9728" t="s">
        <v>25828</v>
      </c>
      <c r="F9728" t="s">
        <v>30052</v>
      </c>
      <c r="G9728" t="s">
        <v>30058</v>
      </c>
      <c r="H9728" t="s">
        <v>30067</v>
      </c>
      <c r="I9728" t="s">
        <v>30106</v>
      </c>
      <c r="J9728" t="s">
        <v>30230</v>
      </c>
      <c r="K9728" t="s">
        <v>39226</v>
      </c>
      <c r="L9728" t="s">
        <v>2835</v>
      </c>
      <c r="M9728" t="s">
        <v>42381</v>
      </c>
      <c r="N9728" t="s">
        <v>43166</v>
      </c>
      <c r="O9728" t="s">
        <v>43167</v>
      </c>
      <c r="P9728">
        <v>0</v>
      </c>
      <c r="Q9728">
        <v>0</v>
      </c>
      <c r="R9728" t="s">
        <v>43178</v>
      </c>
      <c r="S9728" t="s">
        <v>43522</v>
      </c>
      <c r="T9728" t="s">
        <v>44718</v>
      </c>
      <c r="U9728" t="s">
        <v>53008</v>
      </c>
      <c r="W9728" t="s">
        <v>42381</v>
      </c>
      <c r="X9728" t="s">
        <v>43179</v>
      </c>
    </row>
    <row r="9729" spans="1:24">
      <c r="A9729">
        <f>HYPERLINK("https://www.philgeps.gov.ph/GEPSNONPILOT/Tender/SplashBidNoticeAbstractUI.aspx?menuIndex=3&amp;refID=7067366&amp;Result=3","7067366")</f>
        <v>0</v>
      </c>
      <c r="B9729" t="s">
        <v>2764</v>
      </c>
      <c r="C9729" t="s">
        <v>12687</v>
      </c>
      <c r="E9729" t="s">
        <v>25829</v>
      </c>
      <c r="F9729" t="s">
        <v>30052</v>
      </c>
      <c r="G9729" t="s">
        <v>30058</v>
      </c>
      <c r="H9729" t="s">
        <v>30067</v>
      </c>
      <c r="I9729" t="s">
        <v>3693</v>
      </c>
      <c r="J9729" t="s">
        <v>31198</v>
      </c>
      <c r="K9729" t="s">
        <v>39019</v>
      </c>
      <c r="N9729" t="s">
        <v>43166</v>
      </c>
      <c r="O9729" t="s">
        <v>43167</v>
      </c>
      <c r="P9729">
        <v>0</v>
      </c>
      <c r="Q9729">
        <v>3</v>
      </c>
      <c r="R9729" t="s">
        <v>43178</v>
      </c>
      <c r="S9729" t="s">
        <v>43522</v>
      </c>
      <c r="T9729" t="s">
        <v>44806</v>
      </c>
      <c r="U9729" t="s">
        <v>53009</v>
      </c>
      <c r="V9729" t="s">
        <v>57904</v>
      </c>
      <c r="W9729" t="s">
        <v>42298</v>
      </c>
      <c r="X9729" t="s">
        <v>43179</v>
      </c>
    </row>
    <row r="9730" spans="1:24">
      <c r="A9730">
        <f>HYPERLINK("https://www.philgeps.gov.ph/GEPSNONPILOT/Tender/SplashBidNoticeAbstractUI.aspx?menuIndex=3&amp;refID=7067320&amp;Result=3","7067320")</f>
        <v>0</v>
      </c>
      <c r="B9730" t="s">
        <v>2836</v>
      </c>
      <c r="C9730" t="s">
        <v>12688</v>
      </c>
      <c r="D9730" t="s">
        <v>17484</v>
      </c>
      <c r="E9730" t="s">
        <v>18839</v>
      </c>
      <c r="F9730" t="s">
        <v>30052</v>
      </c>
      <c r="G9730" t="s">
        <v>30058</v>
      </c>
      <c r="H9730" t="s">
        <v>15498</v>
      </c>
      <c r="I9730" t="s">
        <v>3736</v>
      </c>
      <c r="J9730" t="s">
        <v>36135</v>
      </c>
      <c r="K9730" t="s">
        <v>39034</v>
      </c>
      <c r="M9730" t="s">
        <v>42382</v>
      </c>
      <c r="N9730" t="s">
        <v>43166</v>
      </c>
      <c r="O9730" t="s">
        <v>43167</v>
      </c>
      <c r="P9730">
        <v>0</v>
      </c>
      <c r="Q9730">
        <v>0</v>
      </c>
      <c r="R9730" t="s">
        <v>43178</v>
      </c>
      <c r="S9730" t="s">
        <v>43522</v>
      </c>
      <c r="T9730" t="s">
        <v>44763</v>
      </c>
      <c r="U9730" t="s">
        <v>53010</v>
      </c>
      <c r="W9730" t="s">
        <v>42382</v>
      </c>
      <c r="X9730" t="s">
        <v>43180</v>
      </c>
    </row>
    <row r="9731" spans="1:24">
      <c r="A9731">
        <f>HYPERLINK("https://www.philgeps.gov.ph/GEPSNONPILOT/Tender/SplashBidNoticeAbstractUI.aspx?menuIndex=3&amp;refID=7067224&amp;Result=3","7067224")</f>
        <v>0</v>
      </c>
      <c r="B9731" t="s">
        <v>2109</v>
      </c>
      <c r="C9731" t="s">
        <v>12689</v>
      </c>
      <c r="D9731" t="s">
        <v>17447</v>
      </c>
      <c r="E9731" t="s">
        <v>25830</v>
      </c>
      <c r="F9731" t="s">
        <v>30052</v>
      </c>
      <c r="G9731" t="s">
        <v>30059</v>
      </c>
      <c r="H9731" t="s">
        <v>30067</v>
      </c>
      <c r="I9731" t="s">
        <v>3693</v>
      </c>
      <c r="J9731" t="s">
        <v>36136</v>
      </c>
      <c r="K9731" t="s">
        <v>39127</v>
      </c>
      <c r="M9731" t="s">
        <v>41571</v>
      </c>
      <c r="N9731" t="s">
        <v>43166</v>
      </c>
      <c r="O9731" t="s">
        <v>43167</v>
      </c>
      <c r="P9731">
        <v>0</v>
      </c>
      <c r="Q9731">
        <v>1</v>
      </c>
      <c r="R9731" t="s">
        <v>43178</v>
      </c>
      <c r="S9731" t="s">
        <v>43522</v>
      </c>
      <c r="T9731" t="s">
        <v>44750</v>
      </c>
      <c r="U9731" t="s">
        <v>53011</v>
      </c>
      <c r="V9731" t="s">
        <v>57905</v>
      </c>
      <c r="W9731" t="s">
        <v>58673</v>
      </c>
      <c r="X9731" t="s">
        <v>43180</v>
      </c>
    </row>
    <row r="9732" spans="1:24">
      <c r="A9732">
        <f>HYPERLINK("https://www.philgeps.gov.ph/GEPSNONPILOT/Tender/SplashBidNoticeAbstractUI.aspx?menuIndex=3&amp;refID=7067139&amp;Result=3","7067139")</f>
        <v>0</v>
      </c>
      <c r="B9732" t="s">
        <v>2109</v>
      </c>
      <c r="C9732" t="s">
        <v>12690</v>
      </c>
      <c r="D9732" t="s">
        <v>17447</v>
      </c>
      <c r="E9732" t="s">
        <v>25831</v>
      </c>
      <c r="F9732" t="s">
        <v>30052</v>
      </c>
      <c r="G9732" t="s">
        <v>30058</v>
      </c>
      <c r="H9732" t="s">
        <v>30067</v>
      </c>
      <c r="I9732" t="s">
        <v>3693</v>
      </c>
      <c r="J9732" t="s">
        <v>32171</v>
      </c>
      <c r="K9732" t="s">
        <v>39208</v>
      </c>
      <c r="M9732" t="s">
        <v>41571</v>
      </c>
      <c r="N9732" t="s">
        <v>43166</v>
      </c>
      <c r="O9732" t="s">
        <v>43167</v>
      </c>
      <c r="P9732">
        <v>0</v>
      </c>
      <c r="Q9732">
        <v>3</v>
      </c>
      <c r="R9732" t="s">
        <v>43178</v>
      </c>
      <c r="S9732" t="s">
        <v>43522</v>
      </c>
      <c r="T9732" t="s">
        <v>44750</v>
      </c>
      <c r="U9732" t="s">
        <v>53012</v>
      </c>
      <c r="V9732" t="s">
        <v>57906</v>
      </c>
      <c r="W9732" t="s">
        <v>58673</v>
      </c>
      <c r="X9732" t="s">
        <v>43180</v>
      </c>
    </row>
    <row r="9733" spans="1:24">
      <c r="A9733">
        <f>HYPERLINK("https://www.philgeps.gov.ph/GEPSNONPILOT/Tender/SplashBidNoticeAbstractUI.aspx?menuIndex=3&amp;refID=7067218&amp;Result=3","7067218")</f>
        <v>0</v>
      </c>
      <c r="B9733" t="s">
        <v>2109</v>
      </c>
      <c r="C9733" t="s">
        <v>12691</v>
      </c>
      <c r="D9733" t="s">
        <v>17447</v>
      </c>
      <c r="E9733" t="s">
        <v>25832</v>
      </c>
      <c r="F9733" t="s">
        <v>30052</v>
      </c>
      <c r="G9733" t="s">
        <v>30059</v>
      </c>
      <c r="H9733" t="s">
        <v>30067</v>
      </c>
      <c r="I9733" t="s">
        <v>3693</v>
      </c>
      <c r="J9733" t="s">
        <v>32017</v>
      </c>
      <c r="K9733" t="s">
        <v>39107</v>
      </c>
      <c r="M9733" t="s">
        <v>41571</v>
      </c>
      <c r="N9733" t="s">
        <v>43166</v>
      </c>
      <c r="O9733" t="s">
        <v>43167</v>
      </c>
      <c r="P9733">
        <v>0</v>
      </c>
      <c r="Q9733">
        <v>1</v>
      </c>
      <c r="R9733" t="s">
        <v>43178</v>
      </c>
      <c r="S9733" t="s">
        <v>43522</v>
      </c>
      <c r="T9733" t="s">
        <v>44750</v>
      </c>
      <c r="U9733" t="s">
        <v>53011</v>
      </c>
      <c r="V9733" t="s">
        <v>57907</v>
      </c>
      <c r="W9733" t="s">
        <v>58673</v>
      </c>
      <c r="X9733" t="s">
        <v>43180</v>
      </c>
    </row>
    <row r="9734" spans="1:24">
      <c r="A9734">
        <f>HYPERLINK("https://www.philgeps.gov.ph/GEPSNONPILOT/Tender/SplashBidNoticeAbstractUI.aspx?menuIndex=3&amp;refID=7067214&amp;Result=3","7067214")</f>
        <v>0</v>
      </c>
      <c r="B9734" t="s">
        <v>2109</v>
      </c>
      <c r="C9734" t="s">
        <v>12692</v>
      </c>
      <c r="D9734" t="s">
        <v>17447</v>
      </c>
      <c r="E9734" t="s">
        <v>25833</v>
      </c>
      <c r="F9734" t="s">
        <v>30052</v>
      </c>
      <c r="G9734" t="s">
        <v>30059</v>
      </c>
      <c r="H9734" t="s">
        <v>30067</v>
      </c>
      <c r="I9734" t="s">
        <v>3693</v>
      </c>
      <c r="J9734" t="s">
        <v>36137</v>
      </c>
      <c r="K9734" t="s">
        <v>39107</v>
      </c>
      <c r="M9734" t="s">
        <v>41571</v>
      </c>
      <c r="N9734" t="s">
        <v>43166</v>
      </c>
      <c r="O9734" t="s">
        <v>43167</v>
      </c>
      <c r="P9734">
        <v>0</v>
      </c>
      <c r="Q9734">
        <v>1</v>
      </c>
      <c r="R9734" t="s">
        <v>43178</v>
      </c>
      <c r="S9734" t="s">
        <v>43522</v>
      </c>
      <c r="T9734" t="s">
        <v>44750</v>
      </c>
      <c r="U9734" t="s">
        <v>53011</v>
      </c>
      <c r="V9734" t="s">
        <v>57908</v>
      </c>
      <c r="W9734" t="s">
        <v>58673</v>
      </c>
      <c r="X9734" t="s">
        <v>43180</v>
      </c>
    </row>
    <row r="9735" spans="1:24">
      <c r="A9735">
        <f>HYPERLINK("https://www.philgeps.gov.ph/GEPSNONPILOT/Tender/SplashBidNoticeAbstractUI.aspx?menuIndex=3&amp;refID=7067183&amp;Result=3","7067183")</f>
        <v>0</v>
      </c>
      <c r="B9735" t="s">
        <v>2109</v>
      </c>
      <c r="C9735" t="s">
        <v>12693</v>
      </c>
      <c r="D9735" t="s">
        <v>17447</v>
      </c>
      <c r="E9735" t="s">
        <v>25834</v>
      </c>
      <c r="F9735" t="s">
        <v>30052</v>
      </c>
      <c r="G9735" t="s">
        <v>30058</v>
      </c>
      <c r="H9735" t="s">
        <v>30067</v>
      </c>
      <c r="I9735" t="s">
        <v>3693</v>
      </c>
      <c r="J9735" t="s">
        <v>36138</v>
      </c>
      <c r="K9735" t="s">
        <v>39023</v>
      </c>
      <c r="M9735" t="s">
        <v>41571</v>
      </c>
      <c r="N9735" t="s">
        <v>43166</v>
      </c>
      <c r="O9735" t="s">
        <v>43167</v>
      </c>
      <c r="P9735">
        <v>0</v>
      </c>
      <c r="Q9735">
        <v>2</v>
      </c>
      <c r="R9735" t="s">
        <v>43178</v>
      </c>
      <c r="S9735" t="s">
        <v>43522</v>
      </c>
      <c r="T9735" t="s">
        <v>44750</v>
      </c>
      <c r="U9735" t="s">
        <v>53013</v>
      </c>
      <c r="V9735" t="s">
        <v>57909</v>
      </c>
      <c r="W9735" t="s">
        <v>58673</v>
      </c>
      <c r="X9735" t="s">
        <v>43180</v>
      </c>
    </row>
    <row r="9736" spans="1:24">
      <c r="A9736">
        <f>HYPERLINK("https://www.philgeps.gov.ph/GEPSNONPILOT/Tender/SplashBidNoticeAbstractUI.aspx?menuIndex=3&amp;refID=7066986&amp;Result=3","7066986")</f>
        <v>0</v>
      </c>
      <c r="B9736" t="s">
        <v>1373</v>
      </c>
      <c r="C9736" t="s">
        <v>12694</v>
      </c>
      <c r="D9736" t="s">
        <v>17501</v>
      </c>
      <c r="E9736" t="s">
        <v>25835</v>
      </c>
      <c r="F9736" t="s">
        <v>30052</v>
      </c>
      <c r="G9736" t="s">
        <v>30058</v>
      </c>
      <c r="H9736" t="s">
        <v>30067</v>
      </c>
      <c r="I9736" t="s">
        <v>3693</v>
      </c>
      <c r="J9736" t="s">
        <v>36139</v>
      </c>
      <c r="K9736" t="s">
        <v>39023</v>
      </c>
      <c r="M9736" t="s">
        <v>40745</v>
      </c>
      <c r="N9736" t="s">
        <v>43166</v>
      </c>
      <c r="O9736" t="s">
        <v>43167</v>
      </c>
      <c r="P9736">
        <v>0</v>
      </c>
      <c r="Q9736">
        <v>4</v>
      </c>
      <c r="R9736" t="s">
        <v>43178</v>
      </c>
      <c r="S9736" t="s">
        <v>43522</v>
      </c>
      <c r="T9736" t="s">
        <v>45125</v>
      </c>
      <c r="U9736" t="s">
        <v>53014</v>
      </c>
      <c r="W9736" t="s">
        <v>40745</v>
      </c>
      <c r="X9736" t="s">
        <v>43180</v>
      </c>
    </row>
    <row r="9737" spans="1:24">
      <c r="A9737">
        <f>HYPERLINK("https://www.philgeps.gov.ph/GEPSNONPILOT/Tender/SplashBidNoticeAbstractUI.aspx?menuIndex=3&amp;refID=7067177&amp;Result=3","7067177")</f>
        <v>0</v>
      </c>
      <c r="B9737" t="s">
        <v>2109</v>
      </c>
      <c r="C9737" t="s">
        <v>12695</v>
      </c>
      <c r="D9737" t="s">
        <v>17447</v>
      </c>
      <c r="E9737" t="s">
        <v>25836</v>
      </c>
      <c r="F9737" t="s">
        <v>30052</v>
      </c>
      <c r="G9737" t="s">
        <v>30058</v>
      </c>
      <c r="H9737" t="s">
        <v>30067</v>
      </c>
      <c r="I9737" t="s">
        <v>3693</v>
      </c>
      <c r="J9737" t="s">
        <v>33637</v>
      </c>
      <c r="K9737" t="s">
        <v>39023</v>
      </c>
      <c r="M9737" t="s">
        <v>41571</v>
      </c>
      <c r="N9737" t="s">
        <v>43166</v>
      </c>
      <c r="O9737" t="s">
        <v>43167</v>
      </c>
      <c r="P9737">
        <v>0</v>
      </c>
      <c r="Q9737">
        <v>2</v>
      </c>
      <c r="R9737" t="s">
        <v>43178</v>
      </c>
      <c r="S9737" t="s">
        <v>43522</v>
      </c>
      <c r="T9737" t="s">
        <v>44750</v>
      </c>
      <c r="U9737" t="s">
        <v>53015</v>
      </c>
      <c r="V9737" t="s">
        <v>57910</v>
      </c>
      <c r="W9737" t="s">
        <v>58673</v>
      </c>
      <c r="X9737" t="s">
        <v>43180</v>
      </c>
    </row>
    <row r="9738" spans="1:24">
      <c r="A9738">
        <f>HYPERLINK("https://www.philgeps.gov.ph/GEPSNONPILOT/Tender/SplashBidNoticeAbstractUI.aspx?menuIndex=3&amp;refID=7067230&amp;Result=3","7067230")</f>
        <v>0</v>
      </c>
      <c r="B9738" t="s">
        <v>2109</v>
      </c>
      <c r="C9738" t="s">
        <v>12696</v>
      </c>
      <c r="D9738" t="s">
        <v>17447</v>
      </c>
      <c r="E9738" t="s">
        <v>25837</v>
      </c>
      <c r="F9738" t="s">
        <v>30052</v>
      </c>
      <c r="G9738" t="s">
        <v>30059</v>
      </c>
      <c r="H9738" t="s">
        <v>30067</v>
      </c>
      <c r="I9738" t="s">
        <v>3693</v>
      </c>
      <c r="J9738" t="s">
        <v>32481</v>
      </c>
      <c r="K9738" t="s">
        <v>39065</v>
      </c>
      <c r="M9738" t="s">
        <v>41571</v>
      </c>
      <c r="N9738" t="s">
        <v>43166</v>
      </c>
      <c r="O9738" t="s">
        <v>43167</v>
      </c>
      <c r="P9738">
        <v>0</v>
      </c>
      <c r="Q9738">
        <v>1</v>
      </c>
      <c r="R9738" t="s">
        <v>43178</v>
      </c>
      <c r="S9738" t="s">
        <v>43522</v>
      </c>
      <c r="T9738" t="s">
        <v>44750</v>
      </c>
      <c r="U9738" t="s">
        <v>53011</v>
      </c>
      <c r="V9738" t="s">
        <v>57911</v>
      </c>
      <c r="W9738" t="s">
        <v>58673</v>
      </c>
      <c r="X9738" t="s">
        <v>43180</v>
      </c>
    </row>
    <row r="9739" spans="1:24">
      <c r="A9739">
        <f>HYPERLINK("https://www.philgeps.gov.ph/GEPSNONPILOT/Tender/SplashBidNoticeAbstractUI.aspx?menuIndex=3&amp;refID=7067175&amp;Result=3","7067175")</f>
        <v>0</v>
      </c>
      <c r="B9739" t="s">
        <v>2109</v>
      </c>
      <c r="C9739" t="s">
        <v>12697</v>
      </c>
      <c r="D9739" t="s">
        <v>17447</v>
      </c>
      <c r="E9739" t="s">
        <v>25838</v>
      </c>
      <c r="F9739" t="s">
        <v>30052</v>
      </c>
      <c r="G9739" t="s">
        <v>30058</v>
      </c>
      <c r="H9739" t="s">
        <v>30067</v>
      </c>
      <c r="I9739" t="s">
        <v>3693</v>
      </c>
      <c r="J9739" t="s">
        <v>33637</v>
      </c>
      <c r="K9739" t="s">
        <v>39023</v>
      </c>
      <c r="M9739" t="s">
        <v>41571</v>
      </c>
      <c r="N9739" t="s">
        <v>43166</v>
      </c>
      <c r="O9739" t="s">
        <v>43167</v>
      </c>
      <c r="P9739">
        <v>0</v>
      </c>
      <c r="Q9739">
        <v>2</v>
      </c>
      <c r="R9739" t="s">
        <v>43178</v>
      </c>
      <c r="S9739" t="s">
        <v>43522</v>
      </c>
      <c r="T9739" t="s">
        <v>44750</v>
      </c>
      <c r="U9739" t="s">
        <v>53016</v>
      </c>
      <c r="V9739" t="s">
        <v>57912</v>
      </c>
      <c r="W9739" t="s">
        <v>58673</v>
      </c>
      <c r="X9739" t="s">
        <v>43180</v>
      </c>
    </row>
    <row r="9740" spans="1:24">
      <c r="A9740">
        <f>HYPERLINK("https://www.philgeps.gov.ph/GEPSNONPILOT/Tender/SplashBidNoticeAbstractUI.aspx?menuIndex=3&amp;refID=7067514&amp;Result=3","7067514")</f>
        <v>0</v>
      </c>
      <c r="B9740" t="s">
        <v>1811</v>
      </c>
      <c r="C9740" t="s">
        <v>12698</v>
      </c>
      <c r="D9740" t="s">
        <v>17450</v>
      </c>
      <c r="E9740" t="s">
        <v>25839</v>
      </c>
      <c r="F9740" t="s">
        <v>30052</v>
      </c>
      <c r="G9740" t="s">
        <v>30058</v>
      </c>
      <c r="H9740" t="s">
        <v>30067</v>
      </c>
      <c r="I9740" t="s">
        <v>3693</v>
      </c>
      <c r="J9740" t="s">
        <v>33105</v>
      </c>
      <c r="K9740" t="s">
        <v>39065</v>
      </c>
      <c r="M9740" t="s">
        <v>41234</v>
      </c>
      <c r="N9740" t="s">
        <v>43166</v>
      </c>
      <c r="O9740" t="s">
        <v>43167</v>
      </c>
      <c r="P9740">
        <v>0</v>
      </c>
      <c r="Q9740">
        <v>0</v>
      </c>
      <c r="R9740" t="s">
        <v>43178</v>
      </c>
      <c r="S9740" t="s">
        <v>43522</v>
      </c>
      <c r="T9740" t="s">
        <v>44791</v>
      </c>
      <c r="U9740" t="s">
        <v>53017</v>
      </c>
      <c r="V9740" t="s">
        <v>57913</v>
      </c>
      <c r="W9740" t="s">
        <v>41234</v>
      </c>
      <c r="X9740" t="s">
        <v>43179</v>
      </c>
    </row>
    <row r="9741" spans="1:24">
      <c r="A9741">
        <f>HYPERLINK("https://www.philgeps.gov.ph/GEPSNONPILOT/Tender/SplashBidNoticeAbstractUI.aspx?menuIndex=3&amp;refID=7067133&amp;Result=3","7067133")</f>
        <v>0</v>
      </c>
      <c r="B9741" t="s">
        <v>2109</v>
      </c>
      <c r="C9741" t="s">
        <v>12699</v>
      </c>
      <c r="D9741" t="s">
        <v>17447</v>
      </c>
      <c r="E9741" t="s">
        <v>25840</v>
      </c>
      <c r="F9741" t="s">
        <v>30052</v>
      </c>
      <c r="G9741" t="s">
        <v>30058</v>
      </c>
      <c r="H9741" t="s">
        <v>30067</v>
      </c>
      <c r="I9741" t="s">
        <v>3693</v>
      </c>
      <c r="J9741" t="s">
        <v>33340</v>
      </c>
      <c r="K9741" t="s">
        <v>39159</v>
      </c>
      <c r="M9741" t="s">
        <v>41571</v>
      </c>
      <c r="N9741" t="s">
        <v>43166</v>
      </c>
      <c r="O9741" t="s">
        <v>43167</v>
      </c>
      <c r="P9741">
        <v>0</v>
      </c>
      <c r="Q9741">
        <v>3</v>
      </c>
      <c r="R9741" t="s">
        <v>43178</v>
      </c>
      <c r="S9741" t="s">
        <v>43522</v>
      </c>
      <c r="T9741" t="s">
        <v>44750</v>
      </c>
      <c r="U9741" t="s">
        <v>53018</v>
      </c>
      <c r="V9741" t="s">
        <v>57914</v>
      </c>
      <c r="W9741" t="s">
        <v>58673</v>
      </c>
      <c r="X9741" t="s">
        <v>43180</v>
      </c>
    </row>
    <row r="9742" spans="1:24">
      <c r="A9742">
        <f>HYPERLINK("https://www.philgeps.gov.ph/GEPSNONPILOT/Tender/SplashBidNoticeAbstractUI.aspx?menuIndex=3&amp;refID=7067362&amp;Result=3","7067362")</f>
        <v>0</v>
      </c>
      <c r="B9742" t="s">
        <v>2074</v>
      </c>
      <c r="C9742" t="s">
        <v>12700</v>
      </c>
      <c r="D9742" t="s">
        <v>17466</v>
      </c>
      <c r="E9742" t="s">
        <v>25841</v>
      </c>
      <c r="F9742" t="s">
        <v>30052</v>
      </c>
      <c r="G9742" t="s">
        <v>30058</v>
      </c>
      <c r="H9742" t="s">
        <v>15498</v>
      </c>
      <c r="I9742" t="s">
        <v>5961</v>
      </c>
      <c r="J9742" t="s">
        <v>31967</v>
      </c>
      <c r="K9742" t="s">
        <v>39156</v>
      </c>
      <c r="M9742" t="s">
        <v>41534</v>
      </c>
      <c r="N9742" t="s">
        <v>43166</v>
      </c>
      <c r="O9742" t="s">
        <v>43167</v>
      </c>
      <c r="P9742">
        <v>0</v>
      </c>
      <c r="Q9742">
        <v>0</v>
      </c>
      <c r="R9742" t="s">
        <v>43178</v>
      </c>
      <c r="S9742" t="s">
        <v>43522</v>
      </c>
      <c r="T9742" t="s">
        <v>44844</v>
      </c>
      <c r="U9742" t="s">
        <v>53019</v>
      </c>
      <c r="W9742" t="s">
        <v>41534</v>
      </c>
      <c r="X9742" t="s">
        <v>43180</v>
      </c>
    </row>
    <row r="9743" spans="1:24">
      <c r="A9743">
        <f>HYPERLINK("https://www.philgeps.gov.ph/GEPSNONPILOT/Tender/SplashBidNoticeAbstractUI.aspx?menuIndex=3&amp;refID=7067495&amp;Result=3","7067495")</f>
        <v>0</v>
      </c>
      <c r="B9743" t="s">
        <v>1443</v>
      </c>
      <c r="C9743" t="s">
        <v>12701</v>
      </c>
      <c r="D9743" t="s">
        <v>17436</v>
      </c>
      <c r="E9743" t="s">
        <v>25842</v>
      </c>
      <c r="F9743" t="s">
        <v>30052</v>
      </c>
      <c r="G9743" t="s">
        <v>30058</v>
      </c>
      <c r="H9743" t="s">
        <v>30067</v>
      </c>
      <c r="I9743" t="s">
        <v>3693</v>
      </c>
      <c r="J9743" t="s">
        <v>36140</v>
      </c>
      <c r="K9743" t="s">
        <v>39025</v>
      </c>
      <c r="M9743" t="s">
        <v>40821</v>
      </c>
      <c r="N9743" t="s">
        <v>43166</v>
      </c>
      <c r="O9743" t="s">
        <v>43167</v>
      </c>
      <c r="P9743">
        <v>0</v>
      </c>
      <c r="Q9743">
        <v>0</v>
      </c>
      <c r="R9743" t="s">
        <v>43178</v>
      </c>
      <c r="S9743" t="s">
        <v>43522</v>
      </c>
      <c r="T9743" t="s">
        <v>44815</v>
      </c>
      <c r="U9743" t="s">
        <v>53020</v>
      </c>
      <c r="W9743" t="s">
        <v>40821</v>
      </c>
      <c r="X9743" t="s">
        <v>43179</v>
      </c>
    </row>
    <row r="9744" spans="1:24">
      <c r="A9744">
        <f>HYPERLINK("https://www.philgeps.gov.ph/GEPSNONPILOT/Tender/SplashBidNoticeAbstractUI.aspx?menuIndex=3&amp;refID=7067491&amp;Result=3","7067491")</f>
        <v>0</v>
      </c>
      <c r="B9744" t="s">
        <v>2837</v>
      </c>
      <c r="C9744" t="s">
        <v>5044</v>
      </c>
      <c r="D9744" t="s">
        <v>17418</v>
      </c>
      <c r="E9744" t="s">
        <v>25843</v>
      </c>
      <c r="F9744" t="s">
        <v>30052</v>
      </c>
      <c r="G9744" t="s">
        <v>30058</v>
      </c>
      <c r="H9744" t="s">
        <v>15498</v>
      </c>
      <c r="I9744" t="s">
        <v>30070</v>
      </c>
      <c r="J9744" t="s">
        <v>36141</v>
      </c>
      <c r="K9744" t="s">
        <v>39034</v>
      </c>
      <c r="M9744" t="s">
        <v>42383</v>
      </c>
      <c r="N9744" t="s">
        <v>43166</v>
      </c>
      <c r="O9744" t="s">
        <v>43167</v>
      </c>
      <c r="P9744">
        <v>0</v>
      </c>
      <c r="Q9744">
        <v>1</v>
      </c>
      <c r="R9744" t="s">
        <v>43178</v>
      </c>
      <c r="S9744" t="s">
        <v>43522</v>
      </c>
      <c r="T9744" t="s">
        <v>44780</v>
      </c>
      <c r="U9744" t="s">
        <v>48877</v>
      </c>
      <c r="W9744" t="s">
        <v>42383</v>
      </c>
      <c r="X9744" t="s">
        <v>43179</v>
      </c>
    </row>
    <row r="9745" spans="1:24">
      <c r="A9745">
        <f>HYPERLINK("https://www.philgeps.gov.ph/GEPSNONPILOT/Tender/SplashBidNoticeAbstractUI.aspx?menuIndex=3&amp;refID=7067490&amp;Result=3","7067490")</f>
        <v>0</v>
      </c>
      <c r="B9745" t="s">
        <v>860</v>
      </c>
      <c r="C9745" t="s">
        <v>12702</v>
      </c>
      <c r="D9745" t="s">
        <v>17484</v>
      </c>
      <c r="E9745" t="s">
        <v>25844</v>
      </c>
      <c r="F9745" t="s">
        <v>30052</v>
      </c>
      <c r="G9745" t="s">
        <v>30058</v>
      </c>
      <c r="H9745" t="s">
        <v>15498</v>
      </c>
      <c r="I9745" t="s">
        <v>30080</v>
      </c>
      <c r="J9745" t="s">
        <v>32337</v>
      </c>
      <c r="K9745" t="s">
        <v>39029</v>
      </c>
      <c r="M9745" t="s">
        <v>40177</v>
      </c>
      <c r="N9745" t="s">
        <v>43166</v>
      </c>
      <c r="O9745" t="s">
        <v>43167</v>
      </c>
      <c r="P9745">
        <v>0</v>
      </c>
      <c r="Q9745">
        <v>9</v>
      </c>
      <c r="R9745" t="s">
        <v>43178</v>
      </c>
      <c r="S9745" t="s">
        <v>43522</v>
      </c>
      <c r="T9745" t="s">
        <v>44750</v>
      </c>
      <c r="U9745" t="s">
        <v>46900</v>
      </c>
      <c r="W9745" t="s">
        <v>40177</v>
      </c>
      <c r="X9745" t="s">
        <v>43179</v>
      </c>
    </row>
    <row r="9746" spans="1:24">
      <c r="A9746">
        <f>HYPERLINK("https://www.philgeps.gov.ph/GEPSNONPILOT/Tender/SplashBidNoticeAbstractUI.aspx?menuIndex=3&amp;refID=7067489&amp;Result=3","7067489")</f>
        <v>0</v>
      </c>
      <c r="B9746" t="s">
        <v>820</v>
      </c>
      <c r="C9746" t="s">
        <v>12703</v>
      </c>
      <c r="D9746" t="s">
        <v>17472</v>
      </c>
      <c r="E9746" t="s">
        <v>25845</v>
      </c>
      <c r="F9746" t="s">
        <v>30052</v>
      </c>
      <c r="G9746" t="s">
        <v>30058</v>
      </c>
      <c r="H9746" t="s">
        <v>30067</v>
      </c>
      <c r="I9746" t="s">
        <v>3693</v>
      </c>
      <c r="J9746" t="s">
        <v>36142</v>
      </c>
      <c r="K9746" t="s">
        <v>39031</v>
      </c>
      <c r="M9746" t="s">
        <v>40137</v>
      </c>
      <c r="N9746" t="s">
        <v>43166</v>
      </c>
      <c r="O9746" t="s">
        <v>43167</v>
      </c>
      <c r="P9746">
        <v>0</v>
      </c>
      <c r="Q9746">
        <v>1</v>
      </c>
      <c r="R9746" t="s">
        <v>43178</v>
      </c>
      <c r="S9746" t="s">
        <v>43522</v>
      </c>
      <c r="T9746" t="s">
        <v>44768</v>
      </c>
      <c r="U9746" t="s">
        <v>53021</v>
      </c>
      <c r="V9746" t="s">
        <v>57915</v>
      </c>
      <c r="W9746" t="s">
        <v>40137</v>
      </c>
      <c r="X9746" t="s">
        <v>43179</v>
      </c>
    </row>
    <row r="9747" spans="1:24">
      <c r="A9747">
        <f>HYPERLINK("https://www.philgeps.gov.ph/GEPSNONPILOT/Tender/SplashBidNoticeAbstractUI.aspx?menuIndex=3&amp;refID=7067513&amp;Result=3","7067513")</f>
        <v>0</v>
      </c>
      <c r="B9747" t="s">
        <v>2258</v>
      </c>
      <c r="C9747" t="s">
        <v>12704</v>
      </c>
      <c r="D9747" t="s">
        <v>17454</v>
      </c>
      <c r="E9747" t="s">
        <v>25846</v>
      </c>
      <c r="F9747" t="s">
        <v>30052</v>
      </c>
      <c r="G9747" t="s">
        <v>30058</v>
      </c>
      <c r="H9747" t="s">
        <v>30067</v>
      </c>
      <c r="I9747" t="s">
        <v>3693</v>
      </c>
      <c r="J9747" t="s">
        <v>36143</v>
      </c>
      <c r="K9747" t="s">
        <v>39029</v>
      </c>
      <c r="M9747" t="s">
        <v>41736</v>
      </c>
      <c r="N9747" t="s">
        <v>43166</v>
      </c>
      <c r="O9747" t="s">
        <v>43167</v>
      </c>
      <c r="P9747">
        <v>0</v>
      </c>
      <c r="Q9747">
        <v>1</v>
      </c>
      <c r="R9747" t="s">
        <v>43178</v>
      </c>
      <c r="S9747" t="s">
        <v>43522</v>
      </c>
      <c r="T9747" t="s">
        <v>44903</v>
      </c>
      <c r="U9747" t="s">
        <v>53022</v>
      </c>
      <c r="V9747" t="s">
        <v>57916</v>
      </c>
      <c r="W9747" t="s">
        <v>41736</v>
      </c>
      <c r="X9747" t="s">
        <v>43179</v>
      </c>
    </row>
    <row r="9748" spans="1:24">
      <c r="A9748">
        <f>HYPERLINK("https://www.philgeps.gov.ph/GEPSNONPILOT/Tender/SplashBidNoticeAbstractUI.aspx?menuIndex=3&amp;refID=7067483&amp;Result=3","7067483")</f>
        <v>0</v>
      </c>
      <c r="B9748" t="s">
        <v>2838</v>
      </c>
      <c r="C9748" t="s">
        <v>12705</v>
      </c>
      <c r="D9748" t="s">
        <v>17445</v>
      </c>
      <c r="E9748" t="s">
        <v>25847</v>
      </c>
      <c r="F9748" t="s">
        <v>30055</v>
      </c>
      <c r="G9748" t="s">
        <v>30058</v>
      </c>
      <c r="H9748" t="s">
        <v>15498</v>
      </c>
      <c r="I9748" t="s">
        <v>3606</v>
      </c>
      <c r="J9748" t="s">
        <v>36144</v>
      </c>
      <c r="K9748" t="s">
        <v>39029</v>
      </c>
      <c r="M9748" t="s">
        <v>42384</v>
      </c>
      <c r="N9748" t="s">
        <v>43166</v>
      </c>
      <c r="O9748" t="s">
        <v>43167</v>
      </c>
      <c r="P9748">
        <v>0</v>
      </c>
      <c r="Q9748">
        <v>2</v>
      </c>
      <c r="R9748" t="s">
        <v>43178</v>
      </c>
      <c r="S9748" t="s">
        <v>43522</v>
      </c>
      <c r="T9748" t="s">
        <v>44730</v>
      </c>
      <c r="U9748" t="s">
        <v>53023</v>
      </c>
      <c r="V9748" t="s">
        <v>57917</v>
      </c>
      <c r="W9748" t="s">
        <v>42384</v>
      </c>
      <c r="X9748" t="s">
        <v>43179</v>
      </c>
    </row>
    <row r="9749" spans="1:24">
      <c r="A9749">
        <f>HYPERLINK("https://www.philgeps.gov.ph/GEPSNONPILOT/Tender/SplashBidNoticeAbstractUI.aspx?menuIndex=3&amp;refID=7067476&amp;Result=3","7067476")</f>
        <v>0</v>
      </c>
      <c r="B9749" t="s">
        <v>529</v>
      </c>
      <c r="C9749" t="s">
        <v>12706</v>
      </c>
      <c r="D9749" t="s">
        <v>17474</v>
      </c>
      <c r="E9749" t="s">
        <v>25848</v>
      </c>
      <c r="F9749" t="s">
        <v>30052</v>
      </c>
      <c r="G9749" t="s">
        <v>30058</v>
      </c>
      <c r="H9749" t="s">
        <v>15498</v>
      </c>
      <c r="I9749" t="s">
        <v>30073</v>
      </c>
      <c r="J9749" t="s">
        <v>36145</v>
      </c>
      <c r="K9749" t="s">
        <v>39034</v>
      </c>
      <c r="M9749" t="s">
        <v>39831</v>
      </c>
      <c r="N9749" t="s">
        <v>43166</v>
      </c>
      <c r="O9749" t="s">
        <v>43167</v>
      </c>
      <c r="P9749">
        <v>0</v>
      </c>
      <c r="Q9749">
        <v>0</v>
      </c>
      <c r="R9749" t="s">
        <v>43178</v>
      </c>
      <c r="S9749" t="s">
        <v>43522</v>
      </c>
      <c r="T9749" t="s">
        <v>44844</v>
      </c>
      <c r="U9749" t="s">
        <v>53024</v>
      </c>
      <c r="V9749" t="s">
        <v>57918</v>
      </c>
      <c r="W9749" t="s">
        <v>39831</v>
      </c>
      <c r="X9749" t="s">
        <v>43179</v>
      </c>
    </row>
    <row r="9750" spans="1:24">
      <c r="A9750">
        <f>HYPERLINK("https://www.philgeps.gov.ph/GEPSNONPILOT/Tender/SplashBidNoticeAbstractUI.aspx?menuIndex=3&amp;refID=7067472&amp;Result=3","7067472")</f>
        <v>0</v>
      </c>
      <c r="B9750" t="s">
        <v>1149</v>
      </c>
      <c r="C9750" t="s">
        <v>12707</v>
      </c>
      <c r="D9750" t="s">
        <v>17415</v>
      </c>
      <c r="E9750" t="s">
        <v>25849</v>
      </c>
      <c r="F9750" t="s">
        <v>30052</v>
      </c>
      <c r="G9750" t="s">
        <v>30058</v>
      </c>
      <c r="H9750" t="s">
        <v>30067</v>
      </c>
      <c r="I9750" t="s">
        <v>3693</v>
      </c>
      <c r="J9750" t="s">
        <v>36146</v>
      </c>
      <c r="K9750" t="s">
        <v>39025</v>
      </c>
      <c r="M9750" t="s">
        <v>40493</v>
      </c>
      <c r="N9750" t="s">
        <v>43166</v>
      </c>
      <c r="O9750" t="s">
        <v>43167</v>
      </c>
      <c r="P9750">
        <v>0</v>
      </c>
      <c r="Q9750">
        <v>11</v>
      </c>
      <c r="R9750" t="s">
        <v>43178</v>
      </c>
      <c r="S9750" t="s">
        <v>43522</v>
      </c>
      <c r="T9750" t="s">
        <v>44762</v>
      </c>
      <c r="U9750" t="s">
        <v>53025</v>
      </c>
      <c r="W9750" t="s">
        <v>40493</v>
      </c>
      <c r="X9750" t="s">
        <v>43179</v>
      </c>
    </row>
    <row r="9751" spans="1:24">
      <c r="A9751">
        <f>HYPERLINK("https://www.philgeps.gov.ph/GEPSNONPILOT/Tender/SplashBidNoticeAbstractUI.aspx?menuIndex=3&amp;refID=7067455&amp;Result=3","7067455")</f>
        <v>0</v>
      </c>
      <c r="B9751" t="s">
        <v>1811</v>
      </c>
      <c r="C9751" t="s">
        <v>12708</v>
      </c>
      <c r="D9751" t="s">
        <v>17450</v>
      </c>
      <c r="E9751" t="s">
        <v>25850</v>
      </c>
      <c r="F9751" t="s">
        <v>30052</v>
      </c>
      <c r="G9751" t="s">
        <v>30058</v>
      </c>
      <c r="H9751" t="s">
        <v>30067</v>
      </c>
      <c r="I9751" t="s">
        <v>3693</v>
      </c>
      <c r="J9751" t="s">
        <v>33105</v>
      </c>
      <c r="K9751" t="s">
        <v>39065</v>
      </c>
      <c r="M9751" t="s">
        <v>41234</v>
      </c>
      <c r="N9751" t="s">
        <v>43166</v>
      </c>
      <c r="O9751" t="s">
        <v>43167</v>
      </c>
      <c r="P9751">
        <v>0</v>
      </c>
      <c r="Q9751">
        <v>1</v>
      </c>
      <c r="R9751" t="s">
        <v>43178</v>
      </c>
      <c r="S9751" t="s">
        <v>43522</v>
      </c>
      <c r="T9751" t="s">
        <v>44791</v>
      </c>
      <c r="U9751" t="s">
        <v>53017</v>
      </c>
      <c r="V9751" t="s">
        <v>57919</v>
      </c>
      <c r="W9751" t="s">
        <v>41234</v>
      </c>
      <c r="X9751" t="s">
        <v>43179</v>
      </c>
    </row>
    <row r="9752" spans="1:24">
      <c r="A9752">
        <f>HYPERLINK("https://www.philgeps.gov.ph/GEPSNONPILOT/Tender/SplashBidNoticeAbstractUI.aspx?menuIndex=3&amp;refID=7067523&amp;Result=3","7067523")</f>
        <v>0</v>
      </c>
      <c r="B9752" t="s">
        <v>860</v>
      </c>
      <c r="C9752" t="s">
        <v>12709</v>
      </c>
      <c r="D9752" t="s">
        <v>17484</v>
      </c>
      <c r="E9752" t="s">
        <v>25851</v>
      </c>
      <c r="F9752" t="s">
        <v>30052</v>
      </c>
      <c r="G9752" t="s">
        <v>30058</v>
      </c>
      <c r="H9752" t="s">
        <v>15498</v>
      </c>
      <c r="I9752" t="s">
        <v>30096</v>
      </c>
      <c r="J9752" t="s">
        <v>36147</v>
      </c>
      <c r="K9752" t="s">
        <v>39029</v>
      </c>
      <c r="M9752" t="s">
        <v>40177</v>
      </c>
      <c r="N9752" t="s">
        <v>43166</v>
      </c>
      <c r="O9752" t="s">
        <v>43167</v>
      </c>
      <c r="P9752">
        <v>0</v>
      </c>
      <c r="Q9752">
        <v>4</v>
      </c>
      <c r="R9752" t="s">
        <v>43178</v>
      </c>
      <c r="S9752" t="s">
        <v>43522</v>
      </c>
      <c r="T9752" t="s">
        <v>44750</v>
      </c>
      <c r="U9752" t="s">
        <v>46900</v>
      </c>
      <c r="W9752" t="s">
        <v>40177</v>
      </c>
      <c r="X9752" t="s">
        <v>43179</v>
      </c>
    </row>
    <row r="9753" spans="1:24">
      <c r="A9753">
        <f>HYPERLINK("https://www.philgeps.gov.ph/GEPSNONPILOT/Tender/SplashBidNoticeAbstractUI.aspx?menuIndex=3&amp;refID=7065406&amp;Result=3","7065406")</f>
        <v>0</v>
      </c>
      <c r="B9753" t="s">
        <v>2452</v>
      </c>
      <c r="C9753" t="s">
        <v>12710</v>
      </c>
      <c r="D9753" t="s">
        <v>17459</v>
      </c>
      <c r="E9753" t="s">
        <v>25852</v>
      </c>
      <c r="F9753" t="s">
        <v>30052</v>
      </c>
      <c r="G9753" t="s">
        <v>30058</v>
      </c>
      <c r="H9753" t="s">
        <v>15498</v>
      </c>
      <c r="I9753" t="s">
        <v>3736</v>
      </c>
      <c r="J9753" t="s">
        <v>36148</v>
      </c>
      <c r="K9753" t="s">
        <v>39019</v>
      </c>
      <c r="M9753" t="s">
        <v>42377</v>
      </c>
      <c r="N9753" t="s">
        <v>43166</v>
      </c>
      <c r="O9753" t="s">
        <v>43167</v>
      </c>
      <c r="P9753">
        <v>0</v>
      </c>
      <c r="Q9753">
        <v>1</v>
      </c>
      <c r="R9753" t="s">
        <v>43178</v>
      </c>
      <c r="S9753" t="s">
        <v>43522</v>
      </c>
      <c r="T9753" t="s">
        <v>45008</v>
      </c>
      <c r="U9753" t="s">
        <v>53026</v>
      </c>
      <c r="W9753" t="s">
        <v>42377</v>
      </c>
      <c r="X9753" t="s">
        <v>43180</v>
      </c>
    </row>
    <row r="9754" spans="1:24">
      <c r="A9754">
        <f>HYPERLINK("https://www.philgeps.gov.ph/GEPSNONPILOT/Tender/SplashBidNoticeAbstractUI.aspx?menuIndex=3&amp;refID=7067511&amp;Result=3","7067511")</f>
        <v>0</v>
      </c>
      <c r="B9754" t="s">
        <v>820</v>
      </c>
      <c r="C9754" t="s">
        <v>12711</v>
      </c>
      <c r="D9754" t="s">
        <v>17472</v>
      </c>
      <c r="E9754" t="s">
        <v>25853</v>
      </c>
      <c r="F9754" t="s">
        <v>30052</v>
      </c>
      <c r="G9754" t="s">
        <v>30058</v>
      </c>
      <c r="H9754" t="s">
        <v>30067</v>
      </c>
      <c r="I9754" t="s">
        <v>3693</v>
      </c>
      <c r="J9754" t="s">
        <v>36149</v>
      </c>
      <c r="K9754" t="s">
        <v>39065</v>
      </c>
      <c r="M9754" t="s">
        <v>40137</v>
      </c>
      <c r="N9754" t="s">
        <v>43166</v>
      </c>
      <c r="O9754" t="s">
        <v>43167</v>
      </c>
      <c r="P9754">
        <v>0</v>
      </c>
      <c r="Q9754">
        <v>0</v>
      </c>
      <c r="R9754" t="s">
        <v>43178</v>
      </c>
      <c r="S9754" t="s">
        <v>43522</v>
      </c>
      <c r="T9754" t="s">
        <v>44768</v>
      </c>
      <c r="U9754" t="s">
        <v>53027</v>
      </c>
      <c r="V9754" t="s">
        <v>57915</v>
      </c>
      <c r="W9754" t="s">
        <v>40137</v>
      </c>
      <c r="X9754" t="s">
        <v>43179</v>
      </c>
    </row>
    <row r="9755" spans="1:24">
      <c r="A9755">
        <f>HYPERLINK("https://www.philgeps.gov.ph/GEPSNONPILOT/Tender/SplashBidNoticeAbstractUI.aspx?menuIndex=3&amp;refID=7067470&amp;Result=3","7067470")</f>
        <v>0</v>
      </c>
      <c r="B9755" t="s">
        <v>820</v>
      </c>
      <c r="C9755" t="s">
        <v>12712</v>
      </c>
      <c r="D9755" t="s">
        <v>17472</v>
      </c>
      <c r="E9755" t="s">
        <v>25854</v>
      </c>
      <c r="F9755" t="s">
        <v>30052</v>
      </c>
      <c r="G9755" t="s">
        <v>30058</v>
      </c>
      <c r="H9755" t="s">
        <v>30067</v>
      </c>
      <c r="I9755" t="s">
        <v>3693</v>
      </c>
      <c r="J9755" t="s">
        <v>36150</v>
      </c>
      <c r="K9755" t="s">
        <v>39086</v>
      </c>
      <c r="M9755" t="s">
        <v>40137</v>
      </c>
      <c r="N9755" t="s">
        <v>43166</v>
      </c>
      <c r="O9755" t="s">
        <v>43167</v>
      </c>
      <c r="P9755">
        <v>0</v>
      </c>
      <c r="Q9755">
        <v>0</v>
      </c>
      <c r="R9755" t="s">
        <v>43178</v>
      </c>
      <c r="S9755" t="s">
        <v>43522</v>
      </c>
      <c r="T9755" t="s">
        <v>44768</v>
      </c>
      <c r="U9755" t="s">
        <v>53028</v>
      </c>
      <c r="V9755" t="s">
        <v>57920</v>
      </c>
      <c r="W9755" t="s">
        <v>40137</v>
      </c>
      <c r="X9755" t="s">
        <v>43179</v>
      </c>
    </row>
    <row r="9756" spans="1:24">
      <c r="A9756">
        <f>HYPERLINK("https://www.philgeps.gov.ph/GEPSNONPILOT/Tender/SplashBidNoticeAbstractUI.aspx?menuIndex=3&amp;refID=7067604&amp;Result=3","7067604")</f>
        <v>0</v>
      </c>
      <c r="B9756" t="s">
        <v>820</v>
      </c>
      <c r="C9756" t="s">
        <v>12713</v>
      </c>
      <c r="D9756" t="s">
        <v>17472</v>
      </c>
      <c r="E9756" t="s">
        <v>25855</v>
      </c>
      <c r="F9756" t="s">
        <v>30052</v>
      </c>
      <c r="G9756" t="s">
        <v>30058</v>
      </c>
      <c r="H9756" t="s">
        <v>30067</v>
      </c>
      <c r="I9756" t="s">
        <v>3693</v>
      </c>
      <c r="J9756" t="s">
        <v>36151</v>
      </c>
      <c r="K9756" t="s">
        <v>39031</v>
      </c>
      <c r="M9756" t="s">
        <v>40137</v>
      </c>
      <c r="N9756" t="s">
        <v>43166</v>
      </c>
      <c r="O9756" t="s">
        <v>43167</v>
      </c>
      <c r="P9756">
        <v>0</v>
      </c>
      <c r="Q9756">
        <v>0</v>
      </c>
      <c r="R9756" t="s">
        <v>43178</v>
      </c>
      <c r="S9756" t="s">
        <v>43522</v>
      </c>
      <c r="T9756" t="s">
        <v>44768</v>
      </c>
      <c r="U9756" t="s">
        <v>53029</v>
      </c>
      <c r="V9756" t="s">
        <v>57920</v>
      </c>
      <c r="W9756" t="s">
        <v>40137</v>
      </c>
      <c r="X9756" t="s">
        <v>43179</v>
      </c>
    </row>
    <row r="9757" spans="1:24">
      <c r="A9757">
        <f>HYPERLINK("https://www.philgeps.gov.ph/GEPSNONPILOT/Tender/SplashBidNoticeAbstractUI.aspx?menuIndex=3&amp;refID=7067456&amp;Result=3","7067456")</f>
        <v>0</v>
      </c>
      <c r="B9757" t="s">
        <v>820</v>
      </c>
      <c r="C9757" t="s">
        <v>12714</v>
      </c>
      <c r="D9757" t="s">
        <v>17472</v>
      </c>
      <c r="E9757" t="s">
        <v>25856</v>
      </c>
      <c r="F9757" t="s">
        <v>30052</v>
      </c>
      <c r="G9757" t="s">
        <v>30058</v>
      </c>
      <c r="H9757" t="s">
        <v>30067</v>
      </c>
      <c r="I9757" t="s">
        <v>3693</v>
      </c>
      <c r="J9757" t="s">
        <v>36152</v>
      </c>
      <c r="K9757" t="s">
        <v>39026</v>
      </c>
      <c r="M9757" t="s">
        <v>40137</v>
      </c>
      <c r="N9757" t="s">
        <v>43166</v>
      </c>
      <c r="O9757" t="s">
        <v>43167</v>
      </c>
      <c r="P9757">
        <v>0</v>
      </c>
      <c r="Q9757">
        <v>0</v>
      </c>
      <c r="R9757" t="s">
        <v>43178</v>
      </c>
      <c r="S9757" t="s">
        <v>43522</v>
      </c>
      <c r="T9757" t="s">
        <v>44768</v>
      </c>
      <c r="U9757" t="s">
        <v>53030</v>
      </c>
      <c r="V9757" t="s">
        <v>57915</v>
      </c>
      <c r="W9757" t="s">
        <v>40137</v>
      </c>
      <c r="X9757" t="s">
        <v>43179</v>
      </c>
    </row>
    <row r="9758" spans="1:24">
      <c r="A9758">
        <f>HYPERLINK("https://www.philgeps.gov.ph/GEPSNONPILOT/Tender/SplashBidNoticeAbstractUI.aspx?menuIndex=3&amp;refID=7067594&amp;Result=3","7067594")</f>
        <v>0</v>
      </c>
      <c r="B9758" t="s">
        <v>2839</v>
      </c>
      <c r="C9758" t="s">
        <v>12715</v>
      </c>
      <c r="D9758" t="s">
        <v>17453</v>
      </c>
      <c r="E9758" t="s">
        <v>25857</v>
      </c>
      <c r="F9758" t="s">
        <v>30052</v>
      </c>
      <c r="G9758" t="s">
        <v>30058</v>
      </c>
      <c r="H9758" t="s">
        <v>30067</v>
      </c>
      <c r="I9758" t="s">
        <v>3693</v>
      </c>
      <c r="J9758" t="s">
        <v>36153</v>
      </c>
      <c r="K9758" t="s">
        <v>39025</v>
      </c>
      <c r="M9758" t="s">
        <v>42385</v>
      </c>
      <c r="N9758" t="s">
        <v>43166</v>
      </c>
      <c r="O9758" t="s">
        <v>43167</v>
      </c>
      <c r="P9758">
        <v>0</v>
      </c>
      <c r="Q9758">
        <v>0</v>
      </c>
      <c r="R9758" t="s">
        <v>43178</v>
      </c>
      <c r="S9758" t="s">
        <v>43522</v>
      </c>
      <c r="T9758" t="s">
        <v>44777</v>
      </c>
      <c r="U9758" t="s">
        <v>53031</v>
      </c>
      <c r="W9758" t="s">
        <v>42385</v>
      </c>
      <c r="X9758" t="s">
        <v>43179</v>
      </c>
    </row>
    <row r="9759" spans="1:24">
      <c r="A9759">
        <f>HYPERLINK("https://www.philgeps.gov.ph/GEPSNONPILOT/Tender/SplashBidNoticeAbstractUI.aspx?menuIndex=3&amp;refID=7067576&amp;Result=3","7067576")</f>
        <v>0</v>
      </c>
      <c r="B9759" t="s">
        <v>2839</v>
      </c>
      <c r="C9759" t="s">
        <v>12716</v>
      </c>
      <c r="D9759" t="s">
        <v>17453</v>
      </c>
      <c r="E9759" t="s">
        <v>25858</v>
      </c>
      <c r="F9759" t="s">
        <v>30052</v>
      </c>
      <c r="G9759" t="s">
        <v>30058</v>
      </c>
      <c r="H9759" t="s">
        <v>30067</v>
      </c>
      <c r="I9759" t="s">
        <v>3693</v>
      </c>
      <c r="J9759" t="s">
        <v>36154</v>
      </c>
      <c r="K9759" t="s">
        <v>39025</v>
      </c>
      <c r="M9759" t="s">
        <v>42385</v>
      </c>
      <c r="N9759" t="s">
        <v>43166</v>
      </c>
      <c r="O9759" t="s">
        <v>43167</v>
      </c>
      <c r="P9759">
        <v>0</v>
      </c>
      <c r="Q9759">
        <v>0</v>
      </c>
      <c r="R9759" t="s">
        <v>43178</v>
      </c>
      <c r="S9759" t="s">
        <v>43522</v>
      </c>
      <c r="T9759" t="s">
        <v>44734</v>
      </c>
      <c r="U9759" t="s">
        <v>53032</v>
      </c>
      <c r="W9759" t="s">
        <v>42385</v>
      </c>
      <c r="X9759" t="s">
        <v>43179</v>
      </c>
    </row>
    <row r="9760" spans="1:24">
      <c r="A9760">
        <f>HYPERLINK("https://www.philgeps.gov.ph/GEPSNONPILOT/Tender/SplashBidNoticeAbstractUI.aspx?menuIndex=3&amp;refID=7058249&amp;Result=3","7058249")</f>
        <v>0</v>
      </c>
      <c r="B9760" t="s">
        <v>2820</v>
      </c>
      <c r="C9760" t="s">
        <v>12717</v>
      </c>
      <c r="D9760" t="s">
        <v>17449</v>
      </c>
      <c r="E9760" t="s">
        <v>25859</v>
      </c>
      <c r="F9760" t="s">
        <v>30052</v>
      </c>
      <c r="G9760" t="s">
        <v>30058</v>
      </c>
      <c r="H9760" t="s">
        <v>15498</v>
      </c>
      <c r="I9760" t="s">
        <v>3736</v>
      </c>
      <c r="J9760" t="s">
        <v>36155</v>
      </c>
      <c r="K9760" t="s">
        <v>39025</v>
      </c>
      <c r="M9760" t="s">
        <v>42364</v>
      </c>
      <c r="N9760" t="s">
        <v>43166</v>
      </c>
      <c r="O9760" t="s">
        <v>43167</v>
      </c>
      <c r="P9760">
        <v>0</v>
      </c>
      <c r="Q9760">
        <v>1</v>
      </c>
      <c r="R9760" t="s">
        <v>43178</v>
      </c>
      <c r="S9760" t="s">
        <v>43522</v>
      </c>
      <c r="T9760" t="s">
        <v>44830</v>
      </c>
      <c r="U9760" t="s">
        <v>53033</v>
      </c>
      <c r="W9760" t="s">
        <v>42364</v>
      </c>
      <c r="X9760" t="s">
        <v>43184</v>
      </c>
    </row>
    <row r="9761" spans="1:24">
      <c r="A9761">
        <f>HYPERLINK("https://www.philgeps.gov.ph/GEPSNONPILOT/Tender/SplashBidNoticeAbstractUI.aspx?menuIndex=3&amp;refID=7067565&amp;Result=3","7067565")</f>
        <v>0</v>
      </c>
      <c r="B9761" t="s">
        <v>2220</v>
      </c>
      <c r="C9761" t="s">
        <v>12718</v>
      </c>
      <c r="D9761" t="s">
        <v>17427</v>
      </c>
      <c r="E9761" t="s">
        <v>25860</v>
      </c>
      <c r="F9761" t="s">
        <v>30052</v>
      </c>
      <c r="G9761" t="s">
        <v>30058</v>
      </c>
      <c r="H9761" t="s">
        <v>15498</v>
      </c>
      <c r="I9761" t="s">
        <v>4650</v>
      </c>
      <c r="J9761" t="s">
        <v>30292</v>
      </c>
      <c r="K9761" t="s">
        <v>39019</v>
      </c>
      <c r="M9761" t="s">
        <v>41691</v>
      </c>
      <c r="N9761" t="s">
        <v>43166</v>
      </c>
      <c r="O9761" t="s">
        <v>43167</v>
      </c>
      <c r="P9761">
        <v>0</v>
      </c>
      <c r="Q9761">
        <v>3</v>
      </c>
      <c r="R9761" t="s">
        <v>43178</v>
      </c>
      <c r="S9761" t="s">
        <v>43522</v>
      </c>
      <c r="T9761" t="s">
        <v>44710</v>
      </c>
      <c r="U9761" t="s">
        <v>53034</v>
      </c>
      <c r="W9761" t="s">
        <v>41691</v>
      </c>
      <c r="X9761" t="s">
        <v>43179</v>
      </c>
    </row>
    <row r="9762" spans="1:24">
      <c r="A9762">
        <f>HYPERLINK("https://www.philgeps.gov.ph/GEPSNONPILOT/Tender/SplashBidNoticeAbstractUI.aspx?menuIndex=3&amp;refID=7067564&amp;Result=3","7067564")</f>
        <v>0</v>
      </c>
      <c r="B9762" t="s">
        <v>2562</v>
      </c>
      <c r="C9762" t="s">
        <v>12719</v>
      </c>
      <c r="D9762" t="s">
        <v>17492</v>
      </c>
      <c r="E9762" t="s">
        <v>21262</v>
      </c>
      <c r="F9762" t="s">
        <v>30052</v>
      </c>
      <c r="G9762" t="s">
        <v>30058</v>
      </c>
      <c r="H9762" t="s">
        <v>30067</v>
      </c>
      <c r="I9762" t="s">
        <v>3693</v>
      </c>
      <c r="J9762" t="s">
        <v>36156</v>
      </c>
      <c r="K9762" t="s">
        <v>39139</v>
      </c>
      <c r="M9762" t="s">
        <v>42069</v>
      </c>
      <c r="N9762" t="s">
        <v>43166</v>
      </c>
      <c r="O9762" t="s">
        <v>43167</v>
      </c>
      <c r="P9762">
        <v>0</v>
      </c>
      <c r="Q9762">
        <v>0</v>
      </c>
      <c r="R9762" t="s">
        <v>43178</v>
      </c>
      <c r="S9762" t="s">
        <v>43522</v>
      </c>
      <c r="T9762" t="s">
        <v>45126</v>
      </c>
      <c r="U9762" t="s">
        <v>53035</v>
      </c>
      <c r="V9762" t="s">
        <v>57921</v>
      </c>
      <c r="W9762" t="s">
        <v>42069</v>
      </c>
      <c r="X9762" t="s">
        <v>43179</v>
      </c>
    </row>
    <row r="9763" spans="1:24">
      <c r="A9763">
        <f>HYPERLINK("https://www.philgeps.gov.ph/GEPSNONPILOT/Tender/SplashBidNoticeAbstractUI.aspx?menuIndex=3&amp;refID=7067558&amp;Result=3","7067558")</f>
        <v>0</v>
      </c>
      <c r="B9763" t="s">
        <v>820</v>
      </c>
      <c r="C9763" t="s">
        <v>12720</v>
      </c>
      <c r="D9763" t="s">
        <v>17472</v>
      </c>
      <c r="E9763" t="s">
        <v>25861</v>
      </c>
      <c r="F9763" t="s">
        <v>30052</v>
      </c>
      <c r="G9763" t="s">
        <v>30058</v>
      </c>
      <c r="H9763" t="s">
        <v>30067</v>
      </c>
      <c r="I9763" t="s">
        <v>3693</v>
      </c>
      <c r="J9763" t="s">
        <v>36157</v>
      </c>
      <c r="K9763" t="s">
        <v>39065</v>
      </c>
      <c r="M9763" t="s">
        <v>40137</v>
      </c>
      <c r="N9763" t="s">
        <v>43166</v>
      </c>
      <c r="O9763" t="s">
        <v>43167</v>
      </c>
      <c r="P9763">
        <v>0</v>
      </c>
      <c r="Q9763">
        <v>0</v>
      </c>
      <c r="R9763" t="s">
        <v>43178</v>
      </c>
      <c r="S9763" t="s">
        <v>43522</v>
      </c>
      <c r="T9763" t="s">
        <v>44768</v>
      </c>
      <c r="U9763" t="s">
        <v>53036</v>
      </c>
      <c r="V9763" t="s">
        <v>57920</v>
      </c>
      <c r="W9763" t="s">
        <v>40137</v>
      </c>
      <c r="X9763" t="s">
        <v>43179</v>
      </c>
    </row>
    <row r="9764" spans="1:24">
      <c r="A9764">
        <f>HYPERLINK("https://www.philgeps.gov.ph/GEPSNONPILOT/Tender/SplashBidNoticeAbstractUI.aspx?menuIndex=3&amp;refID=7067580&amp;Result=3","7067580")</f>
        <v>0</v>
      </c>
      <c r="B9764" t="s">
        <v>1443</v>
      </c>
      <c r="C9764" t="s">
        <v>12721</v>
      </c>
      <c r="D9764" t="s">
        <v>17436</v>
      </c>
      <c r="E9764" t="s">
        <v>25862</v>
      </c>
      <c r="F9764" t="s">
        <v>30052</v>
      </c>
      <c r="G9764" t="s">
        <v>30058</v>
      </c>
      <c r="H9764" t="s">
        <v>30067</v>
      </c>
      <c r="I9764" t="s">
        <v>3693</v>
      </c>
      <c r="J9764" t="s">
        <v>36158</v>
      </c>
      <c r="K9764" t="s">
        <v>39025</v>
      </c>
      <c r="M9764" t="s">
        <v>40821</v>
      </c>
      <c r="N9764" t="s">
        <v>43166</v>
      </c>
      <c r="O9764" t="s">
        <v>43167</v>
      </c>
      <c r="P9764">
        <v>0</v>
      </c>
      <c r="Q9764">
        <v>0</v>
      </c>
      <c r="R9764" t="s">
        <v>43178</v>
      </c>
      <c r="S9764" t="s">
        <v>43522</v>
      </c>
      <c r="T9764" t="s">
        <v>44815</v>
      </c>
      <c r="U9764" t="s">
        <v>53037</v>
      </c>
      <c r="W9764" t="s">
        <v>40821</v>
      </c>
      <c r="X9764" t="s">
        <v>43179</v>
      </c>
    </row>
    <row r="9765" spans="1:24">
      <c r="A9765">
        <f>HYPERLINK("https://www.philgeps.gov.ph/GEPSNONPILOT/Tender/SplashBidNoticeAbstractUI.aspx?menuIndex=3&amp;refID=7067545&amp;Result=3","7067545")</f>
        <v>0</v>
      </c>
      <c r="B9765" t="s">
        <v>860</v>
      </c>
      <c r="C9765" t="s">
        <v>12722</v>
      </c>
      <c r="D9765" t="s">
        <v>17484</v>
      </c>
      <c r="E9765" t="s">
        <v>25863</v>
      </c>
      <c r="F9765" t="s">
        <v>30052</v>
      </c>
      <c r="G9765" t="s">
        <v>30058</v>
      </c>
      <c r="H9765" t="s">
        <v>15498</v>
      </c>
      <c r="I9765" t="s">
        <v>30096</v>
      </c>
      <c r="J9765" t="s">
        <v>36159</v>
      </c>
      <c r="K9765" t="s">
        <v>39029</v>
      </c>
      <c r="M9765" t="s">
        <v>40177</v>
      </c>
      <c r="N9765" t="s">
        <v>43166</v>
      </c>
      <c r="O9765" t="s">
        <v>43167</v>
      </c>
      <c r="P9765">
        <v>0</v>
      </c>
      <c r="Q9765">
        <v>3</v>
      </c>
      <c r="R9765" t="s">
        <v>43178</v>
      </c>
      <c r="S9765" t="s">
        <v>43522</v>
      </c>
      <c r="T9765" t="s">
        <v>44750</v>
      </c>
      <c r="U9765" t="s">
        <v>46900</v>
      </c>
      <c r="W9765" t="s">
        <v>40177</v>
      </c>
      <c r="X9765" t="s">
        <v>43179</v>
      </c>
    </row>
    <row r="9766" spans="1:24">
      <c r="A9766">
        <f>HYPERLINK("https://www.philgeps.gov.ph/GEPSNONPILOT/Tender/SplashBidNoticeAbstractUI.aspx?menuIndex=3&amp;refID=7067606&amp;Result=3","7067606")</f>
        <v>0</v>
      </c>
      <c r="B9766" t="s">
        <v>2839</v>
      </c>
      <c r="C9766" t="s">
        <v>12723</v>
      </c>
      <c r="D9766" t="s">
        <v>17453</v>
      </c>
      <c r="E9766" t="s">
        <v>25864</v>
      </c>
      <c r="F9766" t="s">
        <v>30052</v>
      </c>
      <c r="G9766" t="s">
        <v>30058</v>
      </c>
      <c r="H9766" t="s">
        <v>30067</v>
      </c>
      <c r="I9766" t="s">
        <v>3693</v>
      </c>
      <c r="J9766" t="s">
        <v>36160</v>
      </c>
      <c r="K9766" t="s">
        <v>39025</v>
      </c>
      <c r="M9766" t="s">
        <v>42385</v>
      </c>
      <c r="N9766" t="s">
        <v>43166</v>
      </c>
      <c r="O9766" t="s">
        <v>43167</v>
      </c>
      <c r="P9766">
        <v>0</v>
      </c>
      <c r="Q9766">
        <v>0</v>
      </c>
      <c r="R9766" t="s">
        <v>43178</v>
      </c>
      <c r="S9766" t="s">
        <v>43522</v>
      </c>
      <c r="T9766" t="s">
        <v>44777</v>
      </c>
      <c r="U9766" t="s">
        <v>53038</v>
      </c>
      <c r="W9766" t="s">
        <v>42385</v>
      </c>
      <c r="X9766" t="s">
        <v>43179</v>
      </c>
    </row>
    <row r="9767" spans="1:24">
      <c r="A9767">
        <f>HYPERLINK("https://www.philgeps.gov.ph/GEPSNONPILOT/Tender/SplashBidNoticeAbstractUI.aspx?menuIndex=3&amp;refID=7067593&amp;Result=3","7067593")</f>
        <v>0</v>
      </c>
      <c r="B9767" t="s">
        <v>1446</v>
      </c>
      <c r="C9767" t="s">
        <v>12724</v>
      </c>
      <c r="D9767" t="s">
        <v>17447</v>
      </c>
      <c r="E9767" t="s">
        <v>25865</v>
      </c>
      <c r="F9767" t="s">
        <v>30052</v>
      </c>
      <c r="G9767" t="s">
        <v>30058</v>
      </c>
      <c r="H9767" t="s">
        <v>30067</v>
      </c>
      <c r="I9767" t="s">
        <v>3693</v>
      </c>
      <c r="J9767" t="s">
        <v>36161</v>
      </c>
      <c r="K9767" t="s">
        <v>39023</v>
      </c>
      <c r="M9767" t="s">
        <v>40824</v>
      </c>
      <c r="N9767" t="s">
        <v>43166</v>
      </c>
      <c r="O9767" t="s">
        <v>43167</v>
      </c>
      <c r="P9767">
        <v>0</v>
      </c>
      <c r="Q9767">
        <v>2</v>
      </c>
      <c r="R9767" t="s">
        <v>43178</v>
      </c>
      <c r="S9767" t="s">
        <v>43522</v>
      </c>
      <c r="T9767" t="s">
        <v>44750</v>
      </c>
      <c r="U9767" t="s">
        <v>48423</v>
      </c>
      <c r="V9767" t="s">
        <v>57283</v>
      </c>
      <c r="W9767" t="s">
        <v>40824</v>
      </c>
      <c r="X9767" t="s">
        <v>43179</v>
      </c>
    </row>
    <row r="9768" spans="1:24">
      <c r="A9768">
        <f>HYPERLINK("https://www.philgeps.gov.ph/GEPSNONPILOT/Tender/SplashBidNoticeAbstractUI.aspx?menuIndex=3&amp;refID=7067549&amp;Result=3","7067549")</f>
        <v>0</v>
      </c>
      <c r="B9768" t="s">
        <v>684</v>
      </c>
      <c r="C9768" t="s">
        <v>12725</v>
      </c>
      <c r="D9768" t="s">
        <v>17473</v>
      </c>
      <c r="E9768" t="s">
        <v>25866</v>
      </c>
      <c r="F9768" t="s">
        <v>30052</v>
      </c>
      <c r="G9768" t="s">
        <v>30062</v>
      </c>
      <c r="H9768" t="s">
        <v>15498</v>
      </c>
      <c r="I9768" t="s">
        <v>5961</v>
      </c>
      <c r="J9768" t="s">
        <v>30559</v>
      </c>
      <c r="K9768" t="s">
        <v>39029</v>
      </c>
      <c r="M9768" t="s">
        <v>39990</v>
      </c>
      <c r="N9768" t="s">
        <v>43166</v>
      </c>
      <c r="O9768" t="s">
        <v>43167</v>
      </c>
      <c r="P9768">
        <v>0</v>
      </c>
      <c r="Q9768">
        <v>8</v>
      </c>
      <c r="R9768" t="s">
        <v>43178</v>
      </c>
      <c r="S9768" t="s">
        <v>43522</v>
      </c>
      <c r="T9768" t="s">
        <v>44773</v>
      </c>
      <c r="U9768" t="s">
        <v>53039</v>
      </c>
      <c r="W9768" t="s">
        <v>39990</v>
      </c>
      <c r="X9768" t="s">
        <v>43179</v>
      </c>
    </row>
    <row r="9769" spans="1:24">
      <c r="A9769">
        <f>HYPERLINK("https://www.philgeps.gov.ph/GEPSNONPILOT/Tender/SplashBidNoticeAbstractUI.aspx?menuIndex=3&amp;refID=7067190&amp;Result=3","7067190")</f>
        <v>0</v>
      </c>
      <c r="B9769" t="s">
        <v>2109</v>
      </c>
      <c r="C9769" t="s">
        <v>12726</v>
      </c>
      <c r="D9769" t="s">
        <v>17447</v>
      </c>
      <c r="E9769" t="s">
        <v>25867</v>
      </c>
      <c r="F9769" t="s">
        <v>30052</v>
      </c>
      <c r="G9769" t="s">
        <v>30058</v>
      </c>
      <c r="H9769" t="s">
        <v>30067</v>
      </c>
      <c r="I9769" t="s">
        <v>3693</v>
      </c>
      <c r="J9769" t="s">
        <v>31564</v>
      </c>
      <c r="K9769" t="s">
        <v>39086</v>
      </c>
      <c r="M9769" t="s">
        <v>41571</v>
      </c>
      <c r="N9769" t="s">
        <v>43166</v>
      </c>
      <c r="O9769" t="s">
        <v>43167</v>
      </c>
      <c r="P9769">
        <v>0</v>
      </c>
      <c r="Q9769">
        <v>2</v>
      </c>
      <c r="R9769" t="s">
        <v>43178</v>
      </c>
      <c r="S9769" t="s">
        <v>43522</v>
      </c>
      <c r="T9769" t="s">
        <v>44750</v>
      </c>
      <c r="U9769" t="s">
        <v>53040</v>
      </c>
      <c r="V9769" t="s">
        <v>57922</v>
      </c>
      <c r="W9769" t="s">
        <v>58673</v>
      </c>
      <c r="X9769" t="s">
        <v>43180</v>
      </c>
    </row>
    <row r="9770" spans="1:24">
      <c r="A9770">
        <f>HYPERLINK("https://www.philgeps.gov.ph/GEPSNONPILOT/Tender/SplashBidNoticeAbstractUI.aspx?menuIndex=3&amp;refID=7067494&amp;Result=3","7067494")</f>
        <v>0</v>
      </c>
      <c r="B9770" t="s">
        <v>529</v>
      </c>
      <c r="C9770" t="s">
        <v>12727</v>
      </c>
      <c r="D9770" t="s">
        <v>17474</v>
      </c>
      <c r="E9770" t="s">
        <v>25868</v>
      </c>
      <c r="F9770" t="s">
        <v>30052</v>
      </c>
      <c r="G9770" t="s">
        <v>30058</v>
      </c>
      <c r="H9770" t="s">
        <v>15498</v>
      </c>
      <c r="I9770" t="s">
        <v>30098</v>
      </c>
      <c r="J9770" t="s">
        <v>36162</v>
      </c>
      <c r="K9770" t="s">
        <v>39034</v>
      </c>
      <c r="M9770" t="s">
        <v>39831</v>
      </c>
      <c r="N9770" t="s">
        <v>43166</v>
      </c>
      <c r="O9770" t="s">
        <v>43167</v>
      </c>
      <c r="P9770">
        <v>0</v>
      </c>
      <c r="Q9770">
        <v>0</v>
      </c>
      <c r="R9770" t="s">
        <v>43178</v>
      </c>
      <c r="S9770" t="s">
        <v>43522</v>
      </c>
      <c r="T9770" t="s">
        <v>44844</v>
      </c>
      <c r="U9770" t="s">
        <v>53041</v>
      </c>
      <c r="V9770" t="s">
        <v>57923</v>
      </c>
      <c r="W9770" t="s">
        <v>39831</v>
      </c>
      <c r="X9770" t="s">
        <v>43179</v>
      </c>
    </row>
    <row r="9771" spans="1:24">
      <c r="A9771">
        <f>HYPERLINK("https://www.philgeps.gov.ph/GEPSNONPILOT/Tender/SplashBidNoticeAbstractUI.aspx?menuIndex=3&amp;refID=7067740&amp;Result=3","7067740")</f>
        <v>0</v>
      </c>
      <c r="B9771" t="s">
        <v>820</v>
      </c>
      <c r="C9771" t="s">
        <v>12728</v>
      </c>
      <c r="D9771" t="s">
        <v>17472</v>
      </c>
      <c r="E9771" t="s">
        <v>25869</v>
      </c>
      <c r="F9771" t="s">
        <v>30052</v>
      </c>
      <c r="G9771" t="s">
        <v>30058</v>
      </c>
      <c r="H9771" t="s">
        <v>30067</v>
      </c>
      <c r="I9771" t="s">
        <v>3693</v>
      </c>
      <c r="J9771" t="s">
        <v>36163</v>
      </c>
      <c r="K9771" t="s">
        <v>39065</v>
      </c>
      <c r="M9771" t="s">
        <v>40137</v>
      </c>
      <c r="N9771" t="s">
        <v>43166</v>
      </c>
      <c r="O9771" t="s">
        <v>43167</v>
      </c>
      <c r="P9771">
        <v>0</v>
      </c>
      <c r="Q9771">
        <v>0</v>
      </c>
      <c r="R9771" t="s">
        <v>43178</v>
      </c>
      <c r="S9771" t="s">
        <v>43522</v>
      </c>
      <c r="T9771" t="s">
        <v>44768</v>
      </c>
      <c r="U9771" t="s">
        <v>53042</v>
      </c>
      <c r="V9771" t="s">
        <v>57920</v>
      </c>
      <c r="W9771" t="s">
        <v>40137</v>
      </c>
      <c r="X9771" t="s">
        <v>43179</v>
      </c>
    </row>
    <row r="9772" spans="1:24">
      <c r="A9772">
        <f>HYPERLINK("https://www.philgeps.gov.ph/GEPSNONPILOT/Tender/SplashBidNoticeAbstractUI.aspx?menuIndex=3&amp;refID=7067717&amp;Result=3","7067717")</f>
        <v>0</v>
      </c>
      <c r="B9772" t="s">
        <v>2839</v>
      </c>
      <c r="C9772" t="s">
        <v>12729</v>
      </c>
      <c r="D9772" t="s">
        <v>17453</v>
      </c>
      <c r="E9772" t="s">
        <v>25870</v>
      </c>
      <c r="F9772" t="s">
        <v>30052</v>
      </c>
      <c r="G9772" t="s">
        <v>30058</v>
      </c>
      <c r="H9772" t="s">
        <v>30067</v>
      </c>
      <c r="I9772" t="s">
        <v>3693</v>
      </c>
      <c r="J9772" t="s">
        <v>36164</v>
      </c>
      <c r="K9772" t="s">
        <v>39025</v>
      </c>
      <c r="M9772" t="s">
        <v>42385</v>
      </c>
      <c r="N9772" t="s">
        <v>43166</v>
      </c>
      <c r="O9772" t="s">
        <v>43167</v>
      </c>
      <c r="P9772">
        <v>0</v>
      </c>
      <c r="Q9772">
        <v>0</v>
      </c>
      <c r="R9772" t="s">
        <v>43178</v>
      </c>
      <c r="S9772" t="s">
        <v>43522</v>
      </c>
      <c r="T9772" t="s">
        <v>44777</v>
      </c>
      <c r="U9772" t="s">
        <v>53043</v>
      </c>
      <c r="W9772" t="s">
        <v>42385</v>
      </c>
      <c r="X9772" t="s">
        <v>43179</v>
      </c>
    </row>
    <row r="9773" spans="1:24">
      <c r="A9773">
        <f>HYPERLINK("https://www.philgeps.gov.ph/GEPSNONPILOT/Tender/SplashBidNoticeAbstractUI.aspx?menuIndex=3&amp;refID=7067719&amp;Result=3","7067719")</f>
        <v>0</v>
      </c>
      <c r="B9773" t="s">
        <v>820</v>
      </c>
      <c r="C9773" t="s">
        <v>12730</v>
      </c>
      <c r="D9773" t="s">
        <v>17472</v>
      </c>
      <c r="E9773" t="s">
        <v>25871</v>
      </c>
      <c r="F9773" t="s">
        <v>30052</v>
      </c>
      <c r="G9773" t="s">
        <v>30058</v>
      </c>
      <c r="H9773" t="s">
        <v>30067</v>
      </c>
      <c r="I9773" t="s">
        <v>3693</v>
      </c>
      <c r="J9773" t="s">
        <v>36165</v>
      </c>
      <c r="K9773" t="s">
        <v>39020</v>
      </c>
      <c r="M9773" t="s">
        <v>40137</v>
      </c>
      <c r="N9773" t="s">
        <v>43166</v>
      </c>
      <c r="O9773" t="s">
        <v>43167</v>
      </c>
      <c r="P9773">
        <v>0</v>
      </c>
      <c r="Q9773">
        <v>0</v>
      </c>
      <c r="R9773" t="s">
        <v>43178</v>
      </c>
      <c r="S9773" t="s">
        <v>43522</v>
      </c>
      <c r="T9773" t="s">
        <v>44768</v>
      </c>
      <c r="U9773" t="s">
        <v>53044</v>
      </c>
      <c r="V9773" t="s">
        <v>57920</v>
      </c>
      <c r="W9773" t="s">
        <v>40137</v>
      </c>
      <c r="X9773" t="s">
        <v>43179</v>
      </c>
    </row>
    <row r="9774" spans="1:24">
      <c r="A9774">
        <f>HYPERLINK("https://www.philgeps.gov.ph/GEPSNONPILOT/Tender/SplashBidNoticeAbstractUI.aspx?menuIndex=3&amp;refID=7067540&amp;Result=3","7067540")</f>
        <v>0</v>
      </c>
      <c r="B9774" t="s">
        <v>684</v>
      </c>
      <c r="C9774" t="s">
        <v>10843</v>
      </c>
      <c r="D9774" t="s">
        <v>17473</v>
      </c>
      <c r="E9774" t="s">
        <v>25872</v>
      </c>
      <c r="F9774" t="s">
        <v>30052</v>
      </c>
      <c r="G9774" t="s">
        <v>30062</v>
      </c>
      <c r="H9774" t="s">
        <v>15498</v>
      </c>
      <c r="I9774" t="s">
        <v>4650</v>
      </c>
      <c r="J9774" t="s">
        <v>30218</v>
      </c>
      <c r="K9774" t="s">
        <v>39029</v>
      </c>
      <c r="M9774" t="s">
        <v>39990</v>
      </c>
      <c r="N9774" t="s">
        <v>43166</v>
      </c>
      <c r="O9774" t="s">
        <v>43167</v>
      </c>
      <c r="P9774">
        <v>0</v>
      </c>
      <c r="Q9774">
        <v>2</v>
      </c>
      <c r="R9774" t="s">
        <v>43178</v>
      </c>
      <c r="S9774" t="s">
        <v>43522</v>
      </c>
      <c r="T9774" t="s">
        <v>44773</v>
      </c>
      <c r="U9774" t="s">
        <v>53045</v>
      </c>
      <c r="W9774" t="s">
        <v>39990</v>
      </c>
      <c r="X9774" t="s">
        <v>43179</v>
      </c>
    </row>
    <row r="9775" spans="1:24">
      <c r="A9775">
        <f>HYPERLINK("https://www.philgeps.gov.ph/GEPSNONPILOT/Tender/SplashBidNoticeAbstractUI.aspx?menuIndex=3&amp;refID=7067715&amp;Result=3","7067715")</f>
        <v>0</v>
      </c>
      <c r="B9775" t="s">
        <v>2562</v>
      </c>
      <c r="C9775" t="s">
        <v>12731</v>
      </c>
      <c r="D9775" t="s">
        <v>17492</v>
      </c>
      <c r="E9775" t="s">
        <v>20553</v>
      </c>
      <c r="F9775" t="s">
        <v>30052</v>
      </c>
      <c r="G9775" t="s">
        <v>30058</v>
      </c>
      <c r="H9775" t="s">
        <v>30067</v>
      </c>
      <c r="I9775" t="s">
        <v>3693</v>
      </c>
      <c r="J9775" t="s">
        <v>36166</v>
      </c>
      <c r="K9775" t="s">
        <v>39047</v>
      </c>
      <c r="M9775" t="s">
        <v>42069</v>
      </c>
      <c r="N9775" t="s">
        <v>43166</v>
      </c>
      <c r="O9775" t="s">
        <v>43167</v>
      </c>
      <c r="P9775">
        <v>0</v>
      </c>
      <c r="Q9775">
        <v>0</v>
      </c>
      <c r="R9775" t="s">
        <v>43178</v>
      </c>
      <c r="S9775" t="s">
        <v>43522</v>
      </c>
      <c r="T9775" t="s">
        <v>45127</v>
      </c>
      <c r="U9775" t="s">
        <v>53046</v>
      </c>
      <c r="V9775" t="s">
        <v>57924</v>
      </c>
      <c r="W9775" t="s">
        <v>42069</v>
      </c>
      <c r="X9775" t="s">
        <v>43179</v>
      </c>
    </row>
    <row r="9776" spans="1:24">
      <c r="A9776">
        <f>HYPERLINK("https://www.philgeps.gov.ph/GEPSNONPILOT/Tender/SplashBidNoticeAbstractUI.aspx?menuIndex=3&amp;refID=7067698&amp;Result=3","7067698")</f>
        <v>0</v>
      </c>
      <c r="B9776" t="s">
        <v>1443</v>
      </c>
      <c r="C9776" t="s">
        <v>12732</v>
      </c>
      <c r="D9776" t="s">
        <v>17436</v>
      </c>
      <c r="E9776" t="s">
        <v>25873</v>
      </c>
      <c r="F9776" t="s">
        <v>30052</v>
      </c>
      <c r="G9776" t="s">
        <v>30058</v>
      </c>
      <c r="H9776" t="s">
        <v>30067</v>
      </c>
      <c r="I9776" t="s">
        <v>3693</v>
      </c>
      <c r="J9776" t="s">
        <v>36158</v>
      </c>
      <c r="K9776" t="s">
        <v>39025</v>
      </c>
      <c r="M9776" t="s">
        <v>40821</v>
      </c>
      <c r="N9776" t="s">
        <v>43166</v>
      </c>
      <c r="O9776" t="s">
        <v>43167</v>
      </c>
      <c r="P9776">
        <v>0</v>
      </c>
      <c r="Q9776">
        <v>0</v>
      </c>
      <c r="R9776" t="s">
        <v>43178</v>
      </c>
      <c r="S9776" t="s">
        <v>43522</v>
      </c>
      <c r="T9776" t="s">
        <v>44815</v>
      </c>
      <c r="U9776" t="s">
        <v>53047</v>
      </c>
      <c r="W9776" t="s">
        <v>40821</v>
      </c>
      <c r="X9776" t="s">
        <v>43179</v>
      </c>
    </row>
    <row r="9777" spans="1:24">
      <c r="A9777">
        <f>HYPERLINK("https://www.philgeps.gov.ph/GEPSNONPILOT/Tender/SplashBidNoticeAbstractUI.aspx?menuIndex=3&amp;refID=7067693&amp;Result=3","7067693")</f>
        <v>0</v>
      </c>
      <c r="B9777" t="s">
        <v>820</v>
      </c>
      <c r="C9777" t="s">
        <v>12733</v>
      </c>
      <c r="D9777" t="s">
        <v>17472</v>
      </c>
      <c r="E9777" t="s">
        <v>25874</v>
      </c>
      <c r="F9777" t="s">
        <v>30052</v>
      </c>
      <c r="G9777" t="s">
        <v>30058</v>
      </c>
      <c r="H9777" t="s">
        <v>30067</v>
      </c>
      <c r="I9777" t="s">
        <v>3693</v>
      </c>
      <c r="J9777" t="s">
        <v>36167</v>
      </c>
      <c r="K9777" t="s">
        <v>39031</v>
      </c>
      <c r="M9777" t="s">
        <v>40137</v>
      </c>
      <c r="N9777" t="s">
        <v>43166</v>
      </c>
      <c r="O9777" t="s">
        <v>43167</v>
      </c>
      <c r="P9777">
        <v>0</v>
      </c>
      <c r="Q9777">
        <v>0</v>
      </c>
      <c r="R9777" t="s">
        <v>43178</v>
      </c>
      <c r="S9777" t="s">
        <v>43522</v>
      </c>
      <c r="T9777" t="s">
        <v>44768</v>
      </c>
      <c r="U9777" t="s">
        <v>53048</v>
      </c>
      <c r="V9777" t="s">
        <v>57920</v>
      </c>
      <c r="W9777" t="s">
        <v>40137</v>
      </c>
      <c r="X9777" t="s">
        <v>43179</v>
      </c>
    </row>
    <row r="9778" spans="1:24">
      <c r="A9778">
        <f>HYPERLINK("https://www.philgeps.gov.ph/GEPSNONPILOT/Tender/SplashBidNoticeAbstractUI.aspx?menuIndex=3&amp;refID=7067690&amp;Result=3","7067690")</f>
        <v>0</v>
      </c>
      <c r="B9778" t="s">
        <v>2839</v>
      </c>
      <c r="C9778" t="s">
        <v>12734</v>
      </c>
      <c r="D9778" t="s">
        <v>17453</v>
      </c>
      <c r="E9778" t="s">
        <v>25875</v>
      </c>
      <c r="F9778" t="s">
        <v>30052</v>
      </c>
      <c r="G9778" t="s">
        <v>30058</v>
      </c>
      <c r="H9778" t="s">
        <v>30067</v>
      </c>
      <c r="I9778" t="s">
        <v>3693</v>
      </c>
      <c r="J9778" t="s">
        <v>36168</v>
      </c>
      <c r="K9778" t="s">
        <v>39025</v>
      </c>
      <c r="M9778" t="s">
        <v>42385</v>
      </c>
      <c r="N9778" t="s">
        <v>43166</v>
      </c>
      <c r="O9778" t="s">
        <v>43167</v>
      </c>
      <c r="P9778">
        <v>0</v>
      </c>
      <c r="Q9778">
        <v>0</v>
      </c>
      <c r="R9778" t="s">
        <v>43178</v>
      </c>
      <c r="S9778" t="s">
        <v>43522</v>
      </c>
      <c r="T9778" t="s">
        <v>44777</v>
      </c>
      <c r="U9778" t="s">
        <v>53049</v>
      </c>
      <c r="W9778" t="s">
        <v>42385</v>
      </c>
      <c r="X9778" t="s">
        <v>43179</v>
      </c>
    </row>
    <row r="9779" spans="1:24">
      <c r="A9779">
        <f>HYPERLINK("https://www.philgeps.gov.ph/GEPSNONPILOT/Tender/SplashBidNoticeAbstractUI.aspx?menuIndex=3&amp;refID=7067710&amp;Result=3","7067710")</f>
        <v>0</v>
      </c>
      <c r="B9779" t="s">
        <v>2646</v>
      </c>
      <c r="C9779" t="s">
        <v>12735</v>
      </c>
      <c r="D9779" t="s">
        <v>17466</v>
      </c>
      <c r="E9779" t="s">
        <v>25137</v>
      </c>
      <c r="F9779" t="s">
        <v>30052</v>
      </c>
      <c r="G9779" t="s">
        <v>30058</v>
      </c>
      <c r="H9779" t="s">
        <v>15498</v>
      </c>
      <c r="I9779" t="s">
        <v>3852</v>
      </c>
      <c r="J9779" t="s">
        <v>36169</v>
      </c>
      <c r="K9779" t="s">
        <v>39145</v>
      </c>
      <c r="M9779" t="s">
        <v>42164</v>
      </c>
      <c r="N9779" t="s">
        <v>43166</v>
      </c>
      <c r="O9779" t="s">
        <v>43167</v>
      </c>
      <c r="P9779">
        <v>0</v>
      </c>
      <c r="Q9779">
        <v>0</v>
      </c>
      <c r="R9779" t="s">
        <v>43178</v>
      </c>
      <c r="S9779" t="s">
        <v>43522</v>
      </c>
      <c r="T9779" t="s">
        <v>44764</v>
      </c>
      <c r="U9779" t="s">
        <v>53050</v>
      </c>
      <c r="W9779" t="s">
        <v>42164</v>
      </c>
      <c r="X9779" t="s">
        <v>43179</v>
      </c>
    </row>
    <row r="9780" spans="1:24">
      <c r="A9780">
        <f>HYPERLINK("https://www.philgeps.gov.ph/GEPSNONPILOT/Tender/SplashBidNoticeAbstractUI.aspx?menuIndex=3&amp;refID=7067671&amp;Result=3","7067671")</f>
        <v>0</v>
      </c>
      <c r="B9780" t="s">
        <v>2840</v>
      </c>
      <c r="C9780" t="s">
        <v>12736</v>
      </c>
      <c r="D9780" t="s">
        <v>17456</v>
      </c>
      <c r="E9780" t="s">
        <v>25876</v>
      </c>
      <c r="F9780" t="s">
        <v>30052</v>
      </c>
      <c r="G9780" t="s">
        <v>30058</v>
      </c>
      <c r="H9780" t="s">
        <v>15498</v>
      </c>
      <c r="I9780" t="s">
        <v>30074</v>
      </c>
      <c r="J9780" t="s">
        <v>30711</v>
      </c>
      <c r="K9780" t="s">
        <v>39064</v>
      </c>
      <c r="M9780" t="s">
        <v>42386</v>
      </c>
      <c r="N9780" t="s">
        <v>43166</v>
      </c>
      <c r="O9780" t="s">
        <v>43167</v>
      </c>
      <c r="P9780">
        <v>0</v>
      </c>
      <c r="Q9780">
        <v>5</v>
      </c>
      <c r="R9780" t="s">
        <v>43178</v>
      </c>
      <c r="S9780" t="s">
        <v>43522</v>
      </c>
      <c r="T9780" t="s">
        <v>44763</v>
      </c>
      <c r="U9780" t="s">
        <v>53051</v>
      </c>
      <c r="V9780" t="s">
        <v>57925</v>
      </c>
      <c r="W9780" t="s">
        <v>42386</v>
      </c>
      <c r="X9780" t="s">
        <v>43179</v>
      </c>
    </row>
    <row r="9781" spans="1:24">
      <c r="A9781">
        <f>HYPERLINK("https://www.philgeps.gov.ph/GEPSNONPILOT/Tender/SplashBidNoticeAbstractUI.aspx?menuIndex=3&amp;refID=7067676&amp;Result=3","7067676")</f>
        <v>0</v>
      </c>
      <c r="B9781" t="s">
        <v>374</v>
      </c>
      <c r="C9781" t="s">
        <v>12737</v>
      </c>
      <c r="D9781" t="s">
        <v>17417</v>
      </c>
      <c r="E9781" t="s">
        <v>20804</v>
      </c>
      <c r="F9781" t="s">
        <v>30052</v>
      </c>
      <c r="G9781" t="s">
        <v>30058</v>
      </c>
      <c r="H9781" t="s">
        <v>15498</v>
      </c>
      <c r="I9781" t="s">
        <v>30092</v>
      </c>
      <c r="J9781" t="s">
        <v>30215</v>
      </c>
      <c r="K9781" t="s">
        <v>39023</v>
      </c>
      <c r="M9781" t="s">
        <v>39672</v>
      </c>
      <c r="N9781" t="s">
        <v>43166</v>
      </c>
      <c r="O9781" t="s">
        <v>43167</v>
      </c>
      <c r="P9781">
        <v>0</v>
      </c>
      <c r="Q9781">
        <v>2</v>
      </c>
      <c r="R9781" t="s">
        <v>43178</v>
      </c>
      <c r="S9781" t="s">
        <v>43522</v>
      </c>
      <c r="T9781" t="s">
        <v>44780</v>
      </c>
      <c r="U9781" t="s">
        <v>53052</v>
      </c>
      <c r="W9781" t="s">
        <v>39672</v>
      </c>
      <c r="X9781" t="s">
        <v>43179</v>
      </c>
    </row>
    <row r="9782" spans="1:24">
      <c r="A9782">
        <f>HYPERLINK("https://www.philgeps.gov.ph/GEPSNONPILOT/Tender/SplashBidNoticeAbstractUI.aspx?menuIndex=3&amp;refID=7067714&amp;Result=3","7067714")</f>
        <v>0</v>
      </c>
      <c r="B9782" t="s">
        <v>374</v>
      </c>
      <c r="C9782" t="s">
        <v>12738</v>
      </c>
      <c r="D9782" t="s">
        <v>17417</v>
      </c>
      <c r="E9782" t="s">
        <v>18734</v>
      </c>
      <c r="F9782" t="s">
        <v>30052</v>
      </c>
      <c r="G9782" t="s">
        <v>30058</v>
      </c>
      <c r="H9782" t="s">
        <v>15498</v>
      </c>
      <c r="I9782" t="s">
        <v>30092</v>
      </c>
      <c r="J9782" t="s">
        <v>30281</v>
      </c>
      <c r="K9782" t="s">
        <v>39023</v>
      </c>
      <c r="M9782" t="s">
        <v>39672</v>
      </c>
      <c r="N9782" t="s">
        <v>43166</v>
      </c>
      <c r="O9782" t="s">
        <v>43167</v>
      </c>
      <c r="P9782">
        <v>0</v>
      </c>
      <c r="Q9782">
        <v>3</v>
      </c>
      <c r="R9782" t="s">
        <v>43178</v>
      </c>
      <c r="S9782" t="s">
        <v>43522</v>
      </c>
      <c r="T9782" t="s">
        <v>44780</v>
      </c>
      <c r="U9782" t="s">
        <v>53053</v>
      </c>
      <c r="W9782" t="s">
        <v>39672</v>
      </c>
      <c r="X9782" t="s">
        <v>43179</v>
      </c>
    </row>
    <row r="9783" spans="1:24">
      <c r="A9783">
        <f>HYPERLINK("https://www.philgeps.gov.ph/GEPSNONPILOT/Tender/SplashBidNoticeAbstractUI.aspx?menuIndex=3&amp;refID=7067675&amp;Result=3","7067675")</f>
        <v>0</v>
      </c>
      <c r="B9783" t="s">
        <v>2646</v>
      </c>
      <c r="C9783" t="s">
        <v>12739</v>
      </c>
      <c r="D9783" t="s">
        <v>17466</v>
      </c>
      <c r="E9783" t="s">
        <v>21603</v>
      </c>
      <c r="F9783" t="s">
        <v>30052</v>
      </c>
      <c r="G9783" t="s">
        <v>30058</v>
      </c>
      <c r="H9783" t="s">
        <v>15498</v>
      </c>
      <c r="I9783" t="s">
        <v>3852</v>
      </c>
      <c r="J9783" t="s">
        <v>30327</v>
      </c>
      <c r="K9783" t="s">
        <v>39145</v>
      </c>
      <c r="M9783" t="s">
        <v>42164</v>
      </c>
      <c r="N9783" t="s">
        <v>43166</v>
      </c>
      <c r="O9783" t="s">
        <v>43167</v>
      </c>
      <c r="P9783">
        <v>0</v>
      </c>
      <c r="Q9783">
        <v>0</v>
      </c>
      <c r="R9783" t="s">
        <v>43178</v>
      </c>
      <c r="S9783" t="s">
        <v>43522</v>
      </c>
      <c r="T9783" t="s">
        <v>44704</v>
      </c>
      <c r="U9783" t="s">
        <v>53054</v>
      </c>
      <c r="W9783" t="s">
        <v>42164</v>
      </c>
      <c r="X9783" t="s">
        <v>43179</v>
      </c>
    </row>
    <row r="9784" spans="1:24">
      <c r="A9784">
        <f>HYPERLINK("https://www.philgeps.gov.ph/GEPSNONPILOT/Tender/SplashBidNoticeAbstractUI.aspx?menuIndex=3&amp;refID=7067641&amp;Result=3","7067641")</f>
        <v>0</v>
      </c>
      <c r="B9784" t="s">
        <v>820</v>
      </c>
      <c r="C9784" t="s">
        <v>12740</v>
      </c>
      <c r="D9784" t="s">
        <v>17472</v>
      </c>
      <c r="E9784" t="s">
        <v>25877</v>
      </c>
      <c r="F9784" t="s">
        <v>30052</v>
      </c>
      <c r="G9784" t="s">
        <v>30058</v>
      </c>
      <c r="H9784" t="s">
        <v>30067</v>
      </c>
      <c r="I9784" t="s">
        <v>3693</v>
      </c>
      <c r="J9784" t="s">
        <v>36170</v>
      </c>
      <c r="K9784" t="s">
        <v>39065</v>
      </c>
      <c r="M9784" t="s">
        <v>40137</v>
      </c>
      <c r="N9784" t="s">
        <v>43166</v>
      </c>
      <c r="O9784" t="s">
        <v>43167</v>
      </c>
      <c r="P9784">
        <v>0</v>
      </c>
      <c r="Q9784">
        <v>0</v>
      </c>
      <c r="R9784" t="s">
        <v>43178</v>
      </c>
      <c r="S9784" t="s">
        <v>43522</v>
      </c>
      <c r="T9784" t="s">
        <v>44768</v>
      </c>
      <c r="U9784" t="s">
        <v>53055</v>
      </c>
      <c r="V9784" t="s">
        <v>57920</v>
      </c>
      <c r="W9784" t="s">
        <v>40137</v>
      </c>
      <c r="X9784" t="s">
        <v>43179</v>
      </c>
    </row>
    <row r="9785" spans="1:24">
      <c r="A9785">
        <f>HYPERLINK("https://www.philgeps.gov.ph/GEPSNONPILOT/Tender/SplashBidNoticeAbstractUI.aspx?menuIndex=3&amp;refID=7067640&amp;Result=3","7067640")</f>
        <v>0</v>
      </c>
      <c r="B9785" t="s">
        <v>2220</v>
      </c>
      <c r="C9785" t="s">
        <v>12741</v>
      </c>
      <c r="D9785" t="s">
        <v>17427</v>
      </c>
      <c r="E9785" t="s">
        <v>25878</v>
      </c>
      <c r="F9785" t="s">
        <v>30052</v>
      </c>
      <c r="G9785" t="s">
        <v>30058</v>
      </c>
      <c r="H9785" t="s">
        <v>15498</v>
      </c>
      <c r="I9785" t="s">
        <v>30096</v>
      </c>
      <c r="J9785" t="s">
        <v>30230</v>
      </c>
      <c r="K9785" t="s">
        <v>39019</v>
      </c>
      <c r="M9785" t="s">
        <v>41691</v>
      </c>
      <c r="N9785" t="s">
        <v>43166</v>
      </c>
      <c r="O9785" t="s">
        <v>43167</v>
      </c>
      <c r="P9785">
        <v>0</v>
      </c>
      <c r="Q9785">
        <v>0</v>
      </c>
      <c r="R9785" t="s">
        <v>43178</v>
      </c>
      <c r="S9785" t="s">
        <v>43522</v>
      </c>
      <c r="T9785" t="s">
        <v>44710</v>
      </c>
      <c r="U9785" t="s">
        <v>53056</v>
      </c>
      <c r="W9785" t="s">
        <v>41691</v>
      </c>
      <c r="X9785" t="s">
        <v>43179</v>
      </c>
    </row>
    <row r="9786" spans="1:24">
      <c r="A9786">
        <f>HYPERLINK("https://www.philgeps.gov.ph/GEPSNONPILOT/Tender/SplashBidNoticeAbstractUI.aspx?menuIndex=3&amp;refID=7067644&amp;Result=3","7067644")</f>
        <v>0</v>
      </c>
      <c r="B9786" t="s">
        <v>2839</v>
      </c>
      <c r="C9786" t="s">
        <v>12742</v>
      </c>
      <c r="D9786" t="s">
        <v>17453</v>
      </c>
      <c r="E9786" t="s">
        <v>25879</v>
      </c>
      <c r="F9786" t="s">
        <v>30052</v>
      </c>
      <c r="G9786" t="s">
        <v>30058</v>
      </c>
      <c r="H9786" t="s">
        <v>30067</v>
      </c>
      <c r="I9786" t="s">
        <v>3693</v>
      </c>
      <c r="J9786" t="s">
        <v>36171</v>
      </c>
      <c r="K9786" t="s">
        <v>39025</v>
      </c>
      <c r="M9786" t="s">
        <v>42385</v>
      </c>
      <c r="N9786" t="s">
        <v>43166</v>
      </c>
      <c r="O9786" t="s">
        <v>43167</v>
      </c>
      <c r="P9786">
        <v>0</v>
      </c>
      <c r="Q9786">
        <v>0</v>
      </c>
      <c r="R9786" t="s">
        <v>43178</v>
      </c>
      <c r="S9786" t="s">
        <v>43522</v>
      </c>
      <c r="T9786" t="s">
        <v>44777</v>
      </c>
      <c r="U9786" t="s">
        <v>53057</v>
      </c>
      <c r="W9786" t="s">
        <v>42385</v>
      </c>
      <c r="X9786" t="s">
        <v>43179</v>
      </c>
    </row>
    <row r="9787" spans="1:24">
      <c r="A9787">
        <f>HYPERLINK("https://www.philgeps.gov.ph/GEPSNONPILOT/Tender/SplashBidNoticeAbstractUI.aspx?menuIndex=3&amp;refID=7067616&amp;Result=3","7067616")</f>
        <v>0</v>
      </c>
      <c r="B9787" t="s">
        <v>1446</v>
      </c>
      <c r="C9787" t="s">
        <v>12743</v>
      </c>
      <c r="D9787" t="s">
        <v>17447</v>
      </c>
      <c r="E9787" t="s">
        <v>25880</v>
      </c>
      <c r="F9787" t="s">
        <v>30052</v>
      </c>
      <c r="G9787" t="s">
        <v>30058</v>
      </c>
      <c r="H9787" t="s">
        <v>30067</v>
      </c>
      <c r="I9787" t="s">
        <v>3693</v>
      </c>
      <c r="J9787" t="s">
        <v>36172</v>
      </c>
      <c r="K9787" t="s">
        <v>39023</v>
      </c>
      <c r="M9787" t="s">
        <v>40824</v>
      </c>
      <c r="N9787" t="s">
        <v>43166</v>
      </c>
      <c r="O9787" t="s">
        <v>43167</v>
      </c>
      <c r="P9787">
        <v>0</v>
      </c>
      <c r="Q9787">
        <v>3</v>
      </c>
      <c r="R9787" t="s">
        <v>43178</v>
      </c>
      <c r="S9787" t="s">
        <v>43522</v>
      </c>
      <c r="T9787" t="s">
        <v>44750</v>
      </c>
      <c r="U9787" t="s">
        <v>48423</v>
      </c>
      <c r="V9787" t="s">
        <v>57283</v>
      </c>
      <c r="W9787" t="s">
        <v>40824</v>
      </c>
      <c r="X9787" t="s">
        <v>43179</v>
      </c>
    </row>
    <row r="9788" spans="1:24">
      <c r="A9788">
        <f>HYPERLINK("https://www.philgeps.gov.ph/GEPSNONPILOT/Tender/SplashBidNoticeAbstractUI.aspx?menuIndex=3&amp;refID=7067645&amp;Result=3","7067645")</f>
        <v>0</v>
      </c>
      <c r="B9788" t="s">
        <v>2646</v>
      </c>
      <c r="C9788" t="s">
        <v>12744</v>
      </c>
      <c r="D9788" t="s">
        <v>17466</v>
      </c>
      <c r="E9788" t="s">
        <v>20737</v>
      </c>
      <c r="F9788" t="s">
        <v>30052</v>
      </c>
      <c r="G9788" t="s">
        <v>30058</v>
      </c>
      <c r="H9788" t="s">
        <v>15498</v>
      </c>
      <c r="I9788" t="s">
        <v>3852</v>
      </c>
      <c r="J9788" t="s">
        <v>36173</v>
      </c>
      <c r="K9788" t="s">
        <v>39145</v>
      </c>
      <c r="M9788" t="s">
        <v>42164</v>
      </c>
      <c r="N9788" t="s">
        <v>43166</v>
      </c>
      <c r="O9788" t="s">
        <v>43167</v>
      </c>
      <c r="P9788">
        <v>0</v>
      </c>
      <c r="Q9788">
        <v>0</v>
      </c>
      <c r="R9788" t="s">
        <v>43178</v>
      </c>
      <c r="S9788" t="s">
        <v>43522</v>
      </c>
      <c r="T9788" t="s">
        <v>44704</v>
      </c>
      <c r="U9788" t="s">
        <v>53058</v>
      </c>
      <c r="W9788" t="s">
        <v>42164</v>
      </c>
      <c r="X9788" t="s">
        <v>43179</v>
      </c>
    </row>
    <row r="9789" spans="1:24">
      <c r="A9789">
        <f>HYPERLINK("https://www.philgeps.gov.ph/GEPSNONPILOT/Tender/SplashBidNoticeAbstractUI.aspx?menuIndex=3&amp;refID=7067843&amp;Result=3","7067843")</f>
        <v>0</v>
      </c>
      <c r="B9789" t="s">
        <v>121</v>
      </c>
      <c r="C9789" t="s">
        <v>12745</v>
      </c>
      <c r="D9789" t="s">
        <v>17440</v>
      </c>
      <c r="E9789" t="s">
        <v>25881</v>
      </c>
      <c r="F9789" t="s">
        <v>30052</v>
      </c>
      <c r="G9789" t="s">
        <v>30058</v>
      </c>
      <c r="H9789" t="s">
        <v>15498</v>
      </c>
      <c r="I9789" t="s">
        <v>30083</v>
      </c>
      <c r="J9789" t="s">
        <v>30227</v>
      </c>
      <c r="K9789" t="s">
        <v>39019</v>
      </c>
      <c r="M9789" t="s">
        <v>39410</v>
      </c>
      <c r="N9789" t="s">
        <v>43166</v>
      </c>
      <c r="O9789" t="s">
        <v>43167</v>
      </c>
      <c r="P9789">
        <v>0</v>
      </c>
      <c r="Q9789">
        <v>2</v>
      </c>
      <c r="R9789" t="s">
        <v>43178</v>
      </c>
      <c r="S9789" t="s">
        <v>43522</v>
      </c>
      <c r="T9789" t="s">
        <v>44737</v>
      </c>
      <c r="U9789" t="s">
        <v>53059</v>
      </c>
      <c r="W9789" t="s">
        <v>39410</v>
      </c>
      <c r="X9789" t="s">
        <v>43179</v>
      </c>
    </row>
    <row r="9790" spans="1:24">
      <c r="A9790">
        <f>HYPERLINK("https://www.philgeps.gov.ph/GEPSNONPILOT/Tender/SplashBidNoticeAbstractUI.aspx?menuIndex=3&amp;refID=7067842&amp;Result=3","7067842")</f>
        <v>0</v>
      </c>
      <c r="B9790" t="s">
        <v>820</v>
      </c>
      <c r="C9790" t="s">
        <v>12746</v>
      </c>
      <c r="E9790" t="s">
        <v>23543</v>
      </c>
      <c r="F9790" t="s">
        <v>30052</v>
      </c>
      <c r="G9790" t="s">
        <v>30058</v>
      </c>
      <c r="H9790" t="s">
        <v>15498</v>
      </c>
      <c r="I9790" t="s">
        <v>5961</v>
      </c>
      <c r="J9790" t="s">
        <v>36174</v>
      </c>
      <c r="K9790" t="s">
        <v>39029</v>
      </c>
      <c r="M9790" t="s">
        <v>40137</v>
      </c>
      <c r="N9790" t="s">
        <v>43166</v>
      </c>
      <c r="O9790" t="s">
        <v>43167</v>
      </c>
      <c r="P9790">
        <v>0</v>
      </c>
      <c r="Q9790">
        <v>0</v>
      </c>
      <c r="R9790" t="s">
        <v>43178</v>
      </c>
      <c r="S9790" t="s">
        <v>43522</v>
      </c>
      <c r="T9790" t="s">
        <v>44768</v>
      </c>
      <c r="U9790" t="s">
        <v>53060</v>
      </c>
      <c r="V9790" t="s">
        <v>57926</v>
      </c>
      <c r="W9790" t="s">
        <v>40137</v>
      </c>
      <c r="X9790" t="s">
        <v>43179</v>
      </c>
    </row>
    <row r="9791" spans="1:24">
      <c r="A9791">
        <f>HYPERLINK("https://www.philgeps.gov.ph/GEPSNONPILOT/Tender/SplashBidNoticeAbstractUI.aspx?menuIndex=3&amp;refID=7067836&amp;Result=3","7067836")</f>
        <v>0</v>
      </c>
      <c r="B9791" t="s">
        <v>1881</v>
      </c>
      <c r="C9791" t="s">
        <v>12747</v>
      </c>
      <c r="D9791" t="s">
        <v>17468</v>
      </c>
      <c r="E9791" t="s">
        <v>25882</v>
      </c>
      <c r="F9791" t="s">
        <v>30052</v>
      </c>
      <c r="G9791" t="s">
        <v>30058</v>
      </c>
      <c r="H9791" t="s">
        <v>15498</v>
      </c>
      <c r="I9791" t="s">
        <v>3736</v>
      </c>
      <c r="J9791" t="s">
        <v>36175</v>
      </c>
      <c r="K9791" t="s">
        <v>39034</v>
      </c>
      <c r="M9791" t="s">
        <v>41312</v>
      </c>
      <c r="N9791" t="s">
        <v>43166</v>
      </c>
      <c r="O9791" t="s">
        <v>43167</v>
      </c>
      <c r="P9791">
        <v>0</v>
      </c>
      <c r="Q9791">
        <v>0</v>
      </c>
      <c r="R9791" t="s">
        <v>43178</v>
      </c>
      <c r="S9791" t="s">
        <v>43522</v>
      </c>
      <c r="T9791" t="s">
        <v>44795</v>
      </c>
      <c r="U9791" t="s">
        <v>49695</v>
      </c>
      <c r="W9791" t="s">
        <v>41312</v>
      </c>
      <c r="X9791" t="s">
        <v>43179</v>
      </c>
    </row>
    <row r="9792" spans="1:24">
      <c r="A9792">
        <f>HYPERLINK("https://www.philgeps.gov.ph/GEPSNONPILOT/Tender/SplashBidNoticeAbstractUI.aspx?menuIndex=3&amp;refID=7067819&amp;Result=3","7067819")</f>
        <v>0</v>
      </c>
      <c r="B9792" t="s">
        <v>1100</v>
      </c>
      <c r="C9792" t="s">
        <v>12748</v>
      </c>
      <c r="D9792" t="s">
        <v>17466</v>
      </c>
      <c r="E9792" t="s">
        <v>25883</v>
      </c>
      <c r="F9792" t="s">
        <v>30052</v>
      </c>
      <c r="G9792" t="s">
        <v>30058</v>
      </c>
      <c r="H9792" t="s">
        <v>15498</v>
      </c>
      <c r="I9792" t="s">
        <v>3736</v>
      </c>
      <c r="J9792" t="s">
        <v>36176</v>
      </c>
      <c r="K9792" t="s">
        <v>39025</v>
      </c>
      <c r="M9792" t="s">
        <v>40439</v>
      </c>
      <c r="N9792" t="s">
        <v>43166</v>
      </c>
      <c r="O9792" t="s">
        <v>43167</v>
      </c>
      <c r="P9792">
        <v>0</v>
      </c>
      <c r="Q9792">
        <v>0</v>
      </c>
      <c r="R9792" t="s">
        <v>43178</v>
      </c>
      <c r="S9792" t="s">
        <v>43522</v>
      </c>
      <c r="T9792" t="s">
        <v>44710</v>
      </c>
      <c r="U9792" t="s">
        <v>47508</v>
      </c>
      <c r="W9792" t="s">
        <v>40439</v>
      </c>
      <c r="X9792" t="s">
        <v>43179</v>
      </c>
    </row>
    <row r="9793" spans="1:24">
      <c r="A9793">
        <f>HYPERLINK("https://www.philgeps.gov.ph/GEPSNONPILOT/Tender/SplashBidNoticeAbstractUI.aspx?menuIndex=3&amp;refID=7067649&amp;Result=3","7067649")</f>
        <v>0</v>
      </c>
      <c r="B9793" t="s">
        <v>1443</v>
      </c>
      <c r="C9793" t="s">
        <v>12749</v>
      </c>
      <c r="D9793" t="s">
        <v>17436</v>
      </c>
      <c r="E9793" t="s">
        <v>25884</v>
      </c>
      <c r="F9793" t="s">
        <v>30052</v>
      </c>
      <c r="G9793" t="s">
        <v>30058</v>
      </c>
      <c r="H9793" t="s">
        <v>30067</v>
      </c>
      <c r="I9793" t="s">
        <v>3693</v>
      </c>
      <c r="J9793" t="s">
        <v>36177</v>
      </c>
      <c r="K9793" t="s">
        <v>39025</v>
      </c>
      <c r="M9793" t="s">
        <v>40821</v>
      </c>
      <c r="N9793" t="s">
        <v>43166</v>
      </c>
      <c r="O9793" t="s">
        <v>43167</v>
      </c>
      <c r="P9793">
        <v>0</v>
      </c>
      <c r="Q9793">
        <v>0</v>
      </c>
      <c r="R9793" t="s">
        <v>43178</v>
      </c>
      <c r="S9793" t="s">
        <v>43522</v>
      </c>
      <c r="T9793" t="s">
        <v>44815</v>
      </c>
      <c r="U9793" t="s">
        <v>53061</v>
      </c>
      <c r="W9793" t="s">
        <v>40821</v>
      </c>
      <c r="X9793" t="s">
        <v>43179</v>
      </c>
    </row>
    <row r="9794" spans="1:24">
      <c r="A9794">
        <f>HYPERLINK("https://www.philgeps.gov.ph/GEPSNONPILOT/Tender/SplashBidNoticeAbstractUI.aspx?menuIndex=3&amp;refID=7067817&amp;Result=3","7067817")</f>
        <v>0</v>
      </c>
      <c r="B9794" t="s">
        <v>121</v>
      </c>
      <c r="C9794" t="s">
        <v>12750</v>
      </c>
      <c r="D9794" t="s">
        <v>17440</v>
      </c>
      <c r="E9794" t="s">
        <v>25885</v>
      </c>
      <c r="F9794" t="s">
        <v>30052</v>
      </c>
      <c r="G9794" t="s">
        <v>30058</v>
      </c>
      <c r="H9794" t="s">
        <v>15498</v>
      </c>
      <c r="I9794" t="s">
        <v>30083</v>
      </c>
      <c r="J9794" t="s">
        <v>36178</v>
      </c>
      <c r="K9794" t="s">
        <v>39019</v>
      </c>
      <c r="M9794" t="s">
        <v>39410</v>
      </c>
      <c r="N9794" t="s">
        <v>43166</v>
      </c>
      <c r="O9794" t="s">
        <v>43167</v>
      </c>
      <c r="P9794">
        <v>0</v>
      </c>
      <c r="Q9794">
        <v>0</v>
      </c>
      <c r="R9794" t="s">
        <v>43178</v>
      </c>
      <c r="S9794" t="s">
        <v>43522</v>
      </c>
      <c r="T9794" t="s">
        <v>44737</v>
      </c>
      <c r="U9794" t="s">
        <v>53062</v>
      </c>
      <c r="W9794" t="s">
        <v>39410</v>
      </c>
      <c r="X9794" t="s">
        <v>43179</v>
      </c>
    </row>
    <row r="9795" spans="1:24">
      <c r="A9795">
        <f>HYPERLINK("https://www.philgeps.gov.ph/GEPSNONPILOT/Tender/SplashBidNoticeAbstractUI.aspx?menuIndex=3&amp;refID=7067815&amp;Result=3","7067815")</f>
        <v>0</v>
      </c>
      <c r="B9795" t="s">
        <v>2841</v>
      </c>
      <c r="C9795" t="s">
        <v>12751</v>
      </c>
      <c r="D9795" t="s">
        <v>17456</v>
      </c>
      <c r="E9795" t="s">
        <v>24113</v>
      </c>
      <c r="F9795" t="s">
        <v>30052</v>
      </c>
      <c r="G9795" t="s">
        <v>30058</v>
      </c>
      <c r="H9795" t="s">
        <v>15498</v>
      </c>
      <c r="I9795" t="s">
        <v>30097</v>
      </c>
      <c r="J9795" t="s">
        <v>36179</v>
      </c>
      <c r="K9795" t="s">
        <v>39029</v>
      </c>
      <c r="M9795" t="s">
        <v>42387</v>
      </c>
      <c r="N9795" t="s">
        <v>43166</v>
      </c>
      <c r="O9795" t="s">
        <v>43167</v>
      </c>
      <c r="P9795">
        <v>0</v>
      </c>
      <c r="Q9795">
        <v>10</v>
      </c>
      <c r="R9795" t="s">
        <v>43178</v>
      </c>
      <c r="S9795" t="s">
        <v>43522</v>
      </c>
      <c r="T9795" t="s">
        <v>44687</v>
      </c>
      <c r="U9795" t="s">
        <v>53063</v>
      </c>
      <c r="V9795" t="s">
        <v>57927</v>
      </c>
      <c r="W9795" t="s">
        <v>42387</v>
      </c>
      <c r="X9795" t="s">
        <v>43179</v>
      </c>
    </row>
    <row r="9796" spans="1:24">
      <c r="A9796">
        <f>HYPERLINK("https://www.philgeps.gov.ph/GEPSNONPILOT/Tender/SplashBidNoticeAbstractUI.aspx?menuIndex=3&amp;refID=7067814&amp;Result=3","7067814")</f>
        <v>0</v>
      </c>
      <c r="B9796" t="s">
        <v>679</v>
      </c>
      <c r="C9796" t="s">
        <v>12752</v>
      </c>
      <c r="D9796" t="s">
        <v>17419</v>
      </c>
      <c r="E9796" t="s">
        <v>25886</v>
      </c>
      <c r="F9796" t="s">
        <v>30052</v>
      </c>
      <c r="G9796" t="s">
        <v>30058</v>
      </c>
      <c r="H9796" t="s">
        <v>15498</v>
      </c>
      <c r="I9796" t="s">
        <v>3736</v>
      </c>
      <c r="J9796" t="s">
        <v>36180</v>
      </c>
      <c r="K9796" t="s">
        <v>39034</v>
      </c>
      <c r="M9796" t="s">
        <v>39985</v>
      </c>
      <c r="N9796" t="s">
        <v>43166</v>
      </c>
      <c r="O9796" t="s">
        <v>43167</v>
      </c>
      <c r="P9796">
        <v>0</v>
      </c>
      <c r="Q9796">
        <v>0</v>
      </c>
      <c r="R9796" t="s">
        <v>43178</v>
      </c>
      <c r="S9796" t="s">
        <v>43522</v>
      </c>
      <c r="T9796" t="s">
        <v>44717</v>
      </c>
      <c r="U9796" t="s">
        <v>53064</v>
      </c>
      <c r="W9796" t="s">
        <v>39985</v>
      </c>
      <c r="X9796" t="s">
        <v>43179</v>
      </c>
    </row>
    <row r="9797" spans="1:24">
      <c r="A9797">
        <f>HYPERLINK("https://www.philgeps.gov.ph/GEPSNONPILOT/Tender/SplashBidNoticeAbstractUI.aspx?menuIndex=3&amp;refID=7067790&amp;Result=3","7067790")</f>
        <v>0</v>
      </c>
      <c r="B9797" t="s">
        <v>2839</v>
      </c>
      <c r="C9797" t="s">
        <v>12753</v>
      </c>
      <c r="D9797" t="s">
        <v>17453</v>
      </c>
      <c r="E9797" t="s">
        <v>25887</v>
      </c>
      <c r="F9797" t="s">
        <v>30052</v>
      </c>
      <c r="G9797" t="s">
        <v>30058</v>
      </c>
      <c r="H9797" t="s">
        <v>30067</v>
      </c>
      <c r="I9797" t="s">
        <v>3693</v>
      </c>
      <c r="J9797" t="s">
        <v>36181</v>
      </c>
      <c r="K9797" t="s">
        <v>39025</v>
      </c>
      <c r="M9797" t="s">
        <v>42385</v>
      </c>
      <c r="N9797" t="s">
        <v>43166</v>
      </c>
      <c r="O9797" t="s">
        <v>43167</v>
      </c>
      <c r="P9797">
        <v>0</v>
      </c>
      <c r="Q9797">
        <v>0</v>
      </c>
      <c r="R9797" t="s">
        <v>43178</v>
      </c>
      <c r="S9797" t="s">
        <v>43522</v>
      </c>
      <c r="T9797" t="s">
        <v>44777</v>
      </c>
      <c r="U9797" t="s">
        <v>53065</v>
      </c>
      <c r="W9797" t="s">
        <v>42385</v>
      </c>
      <c r="X9797" t="s">
        <v>43179</v>
      </c>
    </row>
    <row r="9798" spans="1:24">
      <c r="A9798">
        <f>HYPERLINK("https://www.philgeps.gov.ph/GEPSNONPILOT/Tender/SplashBidNoticeAbstractUI.aspx?menuIndex=3&amp;refID=7067780&amp;Result=3","7067780")</f>
        <v>0</v>
      </c>
      <c r="B9798" t="s">
        <v>2839</v>
      </c>
      <c r="C9798" t="s">
        <v>12754</v>
      </c>
      <c r="D9798" t="s">
        <v>17453</v>
      </c>
      <c r="E9798" t="s">
        <v>25888</v>
      </c>
      <c r="F9798" t="s">
        <v>30052</v>
      </c>
      <c r="G9798" t="s">
        <v>30058</v>
      </c>
      <c r="H9798" t="s">
        <v>30067</v>
      </c>
      <c r="I9798" t="s">
        <v>3693</v>
      </c>
      <c r="J9798" t="s">
        <v>36182</v>
      </c>
      <c r="K9798" t="s">
        <v>39025</v>
      </c>
      <c r="M9798" t="s">
        <v>42385</v>
      </c>
      <c r="N9798" t="s">
        <v>43166</v>
      </c>
      <c r="O9798" t="s">
        <v>43167</v>
      </c>
      <c r="Q9798">
        <v>0</v>
      </c>
      <c r="R9798" t="s">
        <v>43178</v>
      </c>
      <c r="S9798" t="s">
        <v>43531</v>
      </c>
      <c r="T9798" t="s">
        <v>44788</v>
      </c>
      <c r="U9798" t="s">
        <v>53066</v>
      </c>
      <c r="W9798" t="s">
        <v>42385</v>
      </c>
      <c r="X9798" t="s">
        <v>43179</v>
      </c>
    </row>
    <row r="9799" spans="1:24">
      <c r="A9799">
        <f>HYPERLINK("https://www.philgeps.gov.ph/GEPSNONPILOT/Tender/SplashBidNoticeAbstractUI.aspx?menuIndex=3&amp;refID=7067803&amp;Result=3","7067803")</f>
        <v>0</v>
      </c>
      <c r="B9799" t="s">
        <v>2842</v>
      </c>
      <c r="C9799" t="s">
        <v>12755</v>
      </c>
      <c r="D9799" t="s">
        <v>17421</v>
      </c>
      <c r="E9799" t="s">
        <v>25889</v>
      </c>
      <c r="F9799" t="s">
        <v>30052</v>
      </c>
      <c r="G9799" t="s">
        <v>30058</v>
      </c>
      <c r="H9799" t="s">
        <v>15498</v>
      </c>
      <c r="I9799" t="s">
        <v>30096</v>
      </c>
      <c r="J9799" t="s">
        <v>36183</v>
      </c>
      <c r="K9799" t="s">
        <v>39029</v>
      </c>
      <c r="M9799" t="s">
        <v>42388</v>
      </c>
      <c r="N9799" t="s">
        <v>43166</v>
      </c>
      <c r="O9799" t="s">
        <v>43167</v>
      </c>
      <c r="P9799">
        <v>0</v>
      </c>
      <c r="Q9799">
        <v>0</v>
      </c>
      <c r="R9799" t="s">
        <v>43178</v>
      </c>
      <c r="S9799" t="s">
        <v>43522</v>
      </c>
      <c r="T9799" t="s">
        <v>44945</v>
      </c>
      <c r="U9799" t="s">
        <v>53067</v>
      </c>
      <c r="V9799" t="s">
        <v>57928</v>
      </c>
      <c r="W9799" t="s">
        <v>42388</v>
      </c>
      <c r="X9799" t="s">
        <v>43179</v>
      </c>
    </row>
    <row r="9800" spans="1:24">
      <c r="A9800">
        <f>HYPERLINK("https://www.philgeps.gov.ph/GEPSNONPILOT/Tender/SplashBidNoticeAbstractUI.aspx?menuIndex=3&amp;refID=7067624&amp;Result=3","7067624")</f>
        <v>0</v>
      </c>
      <c r="B9800" t="s">
        <v>820</v>
      </c>
      <c r="C9800" t="s">
        <v>12756</v>
      </c>
      <c r="D9800" t="s">
        <v>17472</v>
      </c>
      <c r="E9800" t="s">
        <v>25890</v>
      </c>
      <c r="F9800" t="s">
        <v>30052</v>
      </c>
      <c r="G9800" t="s">
        <v>30058</v>
      </c>
      <c r="H9800" t="s">
        <v>15498</v>
      </c>
      <c r="I9800" t="s">
        <v>30097</v>
      </c>
      <c r="J9800" t="s">
        <v>36184</v>
      </c>
      <c r="K9800" t="s">
        <v>39017</v>
      </c>
      <c r="M9800" t="s">
        <v>40137</v>
      </c>
      <c r="N9800" t="s">
        <v>43166</v>
      </c>
      <c r="O9800" t="s">
        <v>43167</v>
      </c>
      <c r="P9800">
        <v>0</v>
      </c>
      <c r="Q9800">
        <v>3</v>
      </c>
      <c r="R9800" t="s">
        <v>43178</v>
      </c>
      <c r="S9800" t="s">
        <v>43522</v>
      </c>
      <c r="T9800" t="s">
        <v>44768</v>
      </c>
      <c r="U9800" t="s">
        <v>53068</v>
      </c>
      <c r="V9800" t="s">
        <v>57929</v>
      </c>
      <c r="W9800" t="s">
        <v>40137</v>
      </c>
      <c r="X9800" t="s">
        <v>43179</v>
      </c>
    </row>
    <row r="9801" spans="1:24">
      <c r="A9801">
        <f>HYPERLINK("https://www.philgeps.gov.ph/GEPSNONPILOT/Tender/SplashBidNoticeAbstractUI.aspx?menuIndex=3&amp;refID=7067990&amp;Result=3","7067990")</f>
        <v>0</v>
      </c>
      <c r="B9801" t="s">
        <v>1100</v>
      </c>
      <c r="C9801" t="s">
        <v>12757</v>
      </c>
      <c r="D9801" t="s">
        <v>17466</v>
      </c>
      <c r="E9801" t="s">
        <v>25891</v>
      </c>
      <c r="F9801" t="s">
        <v>30052</v>
      </c>
      <c r="G9801" t="s">
        <v>30058</v>
      </c>
      <c r="H9801" t="s">
        <v>15498</v>
      </c>
      <c r="I9801" t="s">
        <v>3736</v>
      </c>
      <c r="J9801" t="s">
        <v>36185</v>
      </c>
      <c r="K9801" t="s">
        <v>39025</v>
      </c>
      <c r="M9801" t="s">
        <v>40439</v>
      </c>
      <c r="N9801" t="s">
        <v>43166</v>
      </c>
      <c r="O9801" t="s">
        <v>43167</v>
      </c>
      <c r="P9801">
        <v>0</v>
      </c>
      <c r="Q9801">
        <v>0</v>
      </c>
      <c r="R9801" t="s">
        <v>43178</v>
      </c>
      <c r="S9801" t="s">
        <v>43522</v>
      </c>
      <c r="T9801" t="s">
        <v>44750</v>
      </c>
      <c r="U9801" t="s">
        <v>47508</v>
      </c>
      <c r="W9801" t="s">
        <v>40439</v>
      </c>
      <c r="X9801" t="s">
        <v>43179</v>
      </c>
    </row>
    <row r="9802" spans="1:24">
      <c r="A9802">
        <f>HYPERLINK("https://www.philgeps.gov.ph/GEPSNONPILOT/Tender/SplashBidNoticeAbstractUI.aspx?menuIndex=3&amp;refID=7067987&amp;Result=3","7067987")</f>
        <v>0</v>
      </c>
      <c r="B9802" t="s">
        <v>2460</v>
      </c>
      <c r="C9802" t="s">
        <v>12758</v>
      </c>
      <c r="D9802" t="s">
        <v>17458</v>
      </c>
      <c r="E9802" t="s">
        <v>25892</v>
      </c>
      <c r="F9802" t="s">
        <v>30052</v>
      </c>
      <c r="G9802" t="s">
        <v>30058</v>
      </c>
      <c r="H9802" t="s">
        <v>15498</v>
      </c>
      <c r="I9802" t="s">
        <v>3736</v>
      </c>
      <c r="J9802" t="s">
        <v>36186</v>
      </c>
      <c r="K9802" t="s">
        <v>39029</v>
      </c>
      <c r="M9802" t="s">
        <v>41959</v>
      </c>
      <c r="N9802" t="s">
        <v>43166</v>
      </c>
      <c r="O9802" t="s">
        <v>43167</v>
      </c>
      <c r="P9802">
        <v>0</v>
      </c>
      <c r="Q9802">
        <v>0</v>
      </c>
      <c r="R9802" t="s">
        <v>43178</v>
      </c>
      <c r="S9802" t="s">
        <v>43522</v>
      </c>
      <c r="T9802" t="s">
        <v>44714</v>
      </c>
      <c r="U9802" t="s">
        <v>53069</v>
      </c>
      <c r="W9802" t="s">
        <v>41959</v>
      </c>
      <c r="X9802" t="s">
        <v>43179</v>
      </c>
    </row>
    <row r="9803" spans="1:24">
      <c r="A9803">
        <f>HYPERLINK("https://www.philgeps.gov.ph/GEPSNONPILOT/Tender/SplashBidNoticeAbstractUI.aspx?menuIndex=3&amp;refID=7067985&amp;Result=3","7067985")</f>
        <v>0</v>
      </c>
      <c r="B9803" t="s">
        <v>98</v>
      </c>
      <c r="C9803" t="s">
        <v>12759</v>
      </c>
      <c r="D9803" t="s">
        <v>17456</v>
      </c>
      <c r="E9803" t="s">
        <v>25893</v>
      </c>
      <c r="F9803" t="s">
        <v>30052</v>
      </c>
      <c r="G9803" t="s">
        <v>30058</v>
      </c>
      <c r="H9803" t="s">
        <v>15498</v>
      </c>
      <c r="I9803" t="s">
        <v>30084</v>
      </c>
      <c r="J9803" t="s">
        <v>36187</v>
      </c>
      <c r="K9803" t="s">
        <v>39025</v>
      </c>
      <c r="L9803" t="s">
        <v>98</v>
      </c>
      <c r="M9803" t="s">
        <v>39387</v>
      </c>
      <c r="N9803" t="s">
        <v>43166</v>
      </c>
      <c r="O9803" t="s">
        <v>43167</v>
      </c>
      <c r="Q9803">
        <v>6</v>
      </c>
      <c r="R9803" t="s">
        <v>43178</v>
      </c>
      <c r="S9803" t="s">
        <v>43532</v>
      </c>
      <c r="T9803" t="s">
        <v>44754</v>
      </c>
      <c r="U9803" t="s">
        <v>53070</v>
      </c>
      <c r="W9803" t="s">
        <v>39387</v>
      </c>
      <c r="X9803" t="s">
        <v>43179</v>
      </c>
    </row>
    <row r="9804" spans="1:24">
      <c r="A9804">
        <f>HYPERLINK("https://www.philgeps.gov.ph/GEPSNONPILOT/Tender/SplashBidNoticeAbstractUI.aspx?menuIndex=3&amp;refID=7067960&amp;Result=3","7067960")</f>
        <v>0</v>
      </c>
      <c r="B9804" t="s">
        <v>1100</v>
      </c>
      <c r="C9804" t="s">
        <v>12760</v>
      </c>
      <c r="D9804" t="s">
        <v>17466</v>
      </c>
      <c r="E9804" t="s">
        <v>25894</v>
      </c>
      <c r="F9804" t="s">
        <v>30052</v>
      </c>
      <c r="G9804" t="s">
        <v>30058</v>
      </c>
      <c r="H9804" t="s">
        <v>15498</v>
      </c>
      <c r="I9804" t="s">
        <v>3736</v>
      </c>
      <c r="J9804" t="s">
        <v>36188</v>
      </c>
      <c r="K9804" t="s">
        <v>39025</v>
      </c>
      <c r="M9804" t="s">
        <v>40439</v>
      </c>
      <c r="N9804" t="s">
        <v>43166</v>
      </c>
      <c r="O9804" t="s">
        <v>43167</v>
      </c>
      <c r="P9804">
        <v>0</v>
      </c>
      <c r="Q9804">
        <v>0</v>
      </c>
      <c r="R9804" t="s">
        <v>43178</v>
      </c>
      <c r="S9804" t="s">
        <v>43522</v>
      </c>
      <c r="T9804" t="s">
        <v>44681</v>
      </c>
      <c r="U9804" t="s">
        <v>53071</v>
      </c>
      <c r="W9804" t="s">
        <v>40439</v>
      </c>
      <c r="X9804" t="s">
        <v>43179</v>
      </c>
    </row>
    <row r="9805" spans="1:24">
      <c r="A9805">
        <f>HYPERLINK("https://www.philgeps.gov.ph/GEPSNONPILOT/Tender/SplashBidNoticeAbstractUI.aspx?menuIndex=3&amp;refID=7067970&amp;Result=3","7067970")</f>
        <v>0</v>
      </c>
      <c r="B9805" t="s">
        <v>820</v>
      </c>
      <c r="C9805" t="s">
        <v>12761</v>
      </c>
      <c r="E9805" t="s">
        <v>25895</v>
      </c>
      <c r="F9805" t="s">
        <v>30052</v>
      </c>
      <c r="G9805" t="s">
        <v>30058</v>
      </c>
      <c r="H9805" t="s">
        <v>15498</v>
      </c>
      <c r="I9805" t="s">
        <v>3736</v>
      </c>
      <c r="J9805" t="s">
        <v>36189</v>
      </c>
      <c r="K9805" t="s">
        <v>39038</v>
      </c>
      <c r="M9805" t="s">
        <v>40137</v>
      </c>
      <c r="N9805" t="s">
        <v>43166</v>
      </c>
      <c r="O9805" t="s">
        <v>43167</v>
      </c>
      <c r="P9805">
        <v>0</v>
      </c>
      <c r="Q9805">
        <v>1</v>
      </c>
      <c r="R9805" t="s">
        <v>43178</v>
      </c>
      <c r="S9805" t="s">
        <v>43522</v>
      </c>
      <c r="T9805" t="s">
        <v>44768</v>
      </c>
      <c r="U9805" t="s">
        <v>53072</v>
      </c>
      <c r="V9805" t="s">
        <v>57926</v>
      </c>
      <c r="W9805" t="s">
        <v>40137</v>
      </c>
      <c r="X9805" t="s">
        <v>43179</v>
      </c>
    </row>
    <row r="9806" spans="1:24">
      <c r="A9806">
        <f>HYPERLINK("https://www.philgeps.gov.ph/GEPSNONPILOT/Tender/SplashBidNoticeAbstractUI.aspx?menuIndex=3&amp;refID=7067955&amp;Result=3","7067955")</f>
        <v>0</v>
      </c>
      <c r="B9806" t="s">
        <v>2843</v>
      </c>
      <c r="C9806" t="s">
        <v>12762</v>
      </c>
      <c r="D9806" t="s">
        <v>17422</v>
      </c>
      <c r="E9806" t="s">
        <v>18907</v>
      </c>
      <c r="F9806" t="s">
        <v>30052</v>
      </c>
      <c r="G9806" t="s">
        <v>30058</v>
      </c>
      <c r="H9806" t="s">
        <v>30067</v>
      </c>
      <c r="I9806" t="s">
        <v>3693</v>
      </c>
      <c r="J9806" t="s">
        <v>36190</v>
      </c>
      <c r="K9806" t="s">
        <v>39046</v>
      </c>
      <c r="M9806" t="s">
        <v>42389</v>
      </c>
      <c r="N9806" t="s">
        <v>43166</v>
      </c>
      <c r="O9806" t="s">
        <v>43167</v>
      </c>
      <c r="P9806">
        <v>0</v>
      </c>
      <c r="Q9806">
        <v>0</v>
      </c>
      <c r="R9806" t="s">
        <v>43178</v>
      </c>
      <c r="S9806" t="s">
        <v>43522</v>
      </c>
      <c r="T9806" t="s">
        <v>44791</v>
      </c>
      <c r="U9806" t="s">
        <v>53073</v>
      </c>
      <c r="W9806" t="s">
        <v>42389</v>
      </c>
      <c r="X9806" t="s">
        <v>43179</v>
      </c>
    </row>
    <row r="9807" spans="1:24">
      <c r="A9807">
        <f>HYPERLINK("https://www.philgeps.gov.ph/GEPSNONPILOT/Tender/SplashBidNoticeAbstractUI.aspx?menuIndex=3&amp;refID=7067941&amp;Result=3","7067941")</f>
        <v>0</v>
      </c>
      <c r="B9807" t="s">
        <v>820</v>
      </c>
      <c r="C9807" t="s">
        <v>12763</v>
      </c>
      <c r="E9807" t="s">
        <v>25896</v>
      </c>
      <c r="F9807" t="s">
        <v>30052</v>
      </c>
      <c r="G9807" t="s">
        <v>30058</v>
      </c>
      <c r="H9807" t="s">
        <v>15498</v>
      </c>
      <c r="I9807" t="s">
        <v>3736</v>
      </c>
      <c r="J9807" t="s">
        <v>36191</v>
      </c>
      <c r="K9807" t="s">
        <v>39017</v>
      </c>
      <c r="M9807" t="s">
        <v>40137</v>
      </c>
      <c r="N9807" t="s">
        <v>43166</v>
      </c>
      <c r="O9807" t="s">
        <v>43167</v>
      </c>
      <c r="P9807">
        <v>0</v>
      </c>
      <c r="Q9807">
        <v>1</v>
      </c>
      <c r="R9807" t="s">
        <v>43178</v>
      </c>
      <c r="S9807" t="s">
        <v>43522</v>
      </c>
      <c r="T9807" t="s">
        <v>44768</v>
      </c>
      <c r="U9807" t="s">
        <v>53074</v>
      </c>
      <c r="V9807" t="s">
        <v>57926</v>
      </c>
      <c r="W9807" t="s">
        <v>40137</v>
      </c>
      <c r="X9807" t="s">
        <v>43179</v>
      </c>
    </row>
    <row r="9808" spans="1:24">
      <c r="A9808">
        <f>HYPERLINK("https://www.philgeps.gov.ph/GEPSNONPILOT/Tender/SplashBidNoticeAbstractUI.aspx?menuIndex=3&amp;refID=7067934&amp;Result=3","7067934")</f>
        <v>0</v>
      </c>
      <c r="B9808" t="s">
        <v>2460</v>
      </c>
      <c r="C9808" t="s">
        <v>12764</v>
      </c>
      <c r="D9808" t="s">
        <v>17458</v>
      </c>
      <c r="E9808" t="s">
        <v>20910</v>
      </c>
      <c r="F9808" t="s">
        <v>30052</v>
      </c>
      <c r="G9808" t="s">
        <v>30058</v>
      </c>
      <c r="H9808" t="s">
        <v>15498</v>
      </c>
      <c r="I9808" t="s">
        <v>30073</v>
      </c>
      <c r="J9808" t="s">
        <v>30605</v>
      </c>
      <c r="K9808" t="s">
        <v>39037</v>
      </c>
      <c r="M9808" t="s">
        <v>41959</v>
      </c>
      <c r="N9808" t="s">
        <v>43166</v>
      </c>
      <c r="O9808" t="s">
        <v>43167</v>
      </c>
      <c r="P9808">
        <v>0</v>
      </c>
      <c r="Q9808">
        <v>0</v>
      </c>
      <c r="R9808" t="s">
        <v>43178</v>
      </c>
      <c r="S9808" t="s">
        <v>43522</v>
      </c>
      <c r="T9808" t="s">
        <v>44714</v>
      </c>
      <c r="U9808" t="s">
        <v>53075</v>
      </c>
      <c r="W9808" t="s">
        <v>41959</v>
      </c>
      <c r="X9808" t="s">
        <v>43179</v>
      </c>
    </row>
    <row r="9809" spans="1:24">
      <c r="A9809">
        <f>HYPERLINK("https://www.philgeps.gov.ph/GEPSNONPILOT/Tender/SplashBidNoticeAbstractUI.aspx?menuIndex=3&amp;refID=7067921&amp;Result=3","7067921")</f>
        <v>0</v>
      </c>
      <c r="B9809" t="s">
        <v>1412</v>
      </c>
      <c r="C9809" t="s">
        <v>12765</v>
      </c>
      <c r="D9809" t="s">
        <v>17444</v>
      </c>
      <c r="E9809" t="s">
        <v>25897</v>
      </c>
      <c r="F9809" t="s">
        <v>30052</v>
      </c>
      <c r="G9809" t="s">
        <v>30058</v>
      </c>
      <c r="H9809" t="s">
        <v>30067</v>
      </c>
      <c r="I9809" t="s">
        <v>3693</v>
      </c>
      <c r="J9809" t="s">
        <v>36192</v>
      </c>
      <c r="K9809" t="s">
        <v>39029</v>
      </c>
      <c r="M9809" t="s">
        <v>40790</v>
      </c>
      <c r="N9809" t="s">
        <v>43166</v>
      </c>
      <c r="O9809" t="s">
        <v>43167</v>
      </c>
      <c r="P9809">
        <v>0</v>
      </c>
      <c r="Q9809">
        <v>0</v>
      </c>
      <c r="R9809" t="s">
        <v>43178</v>
      </c>
      <c r="S9809" t="s">
        <v>43522</v>
      </c>
      <c r="T9809" t="s">
        <v>44816</v>
      </c>
      <c r="U9809" t="s">
        <v>48365</v>
      </c>
      <c r="V9809" t="s">
        <v>57275</v>
      </c>
      <c r="W9809" t="s">
        <v>40790</v>
      </c>
      <c r="X9809" t="s">
        <v>43179</v>
      </c>
    </row>
    <row r="9810" spans="1:24">
      <c r="A9810">
        <f>HYPERLINK("https://www.philgeps.gov.ph/GEPSNONPILOT/Tender/SplashBidNoticeAbstractUI.aspx?menuIndex=3&amp;refID=7067920&amp;Result=3","7067920")</f>
        <v>0</v>
      </c>
      <c r="B9810" t="s">
        <v>298</v>
      </c>
      <c r="C9810" t="s">
        <v>12766</v>
      </c>
      <c r="D9810" t="s">
        <v>17468</v>
      </c>
      <c r="E9810" t="s">
        <v>25898</v>
      </c>
      <c r="F9810" t="s">
        <v>30052</v>
      </c>
      <c r="G9810" t="s">
        <v>30058</v>
      </c>
      <c r="H9810" t="s">
        <v>30067</v>
      </c>
      <c r="I9810" t="s">
        <v>3693</v>
      </c>
      <c r="J9810" t="s">
        <v>36193</v>
      </c>
      <c r="K9810" t="s">
        <v>39227</v>
      </c>
      <c r="M9810" t="s">
        <v>39593</v>
      </c>
      <c r="N9810" t="s">
        <v>43166</v>
      </c>
      <c r="O9810" t="s">
        <v>43167</v>
      </c>
      <c r="P9810">
        <v>0</v>
      </c>
      <c r="Q9810">
        <v>1</v>
      </c>
      <c r="R9810" t="s">
        <v>43178</v>
      </c>
      <c r="S9810" t="s">
        <v>43522</v>
      </c>
      <c r="T9810" t="s">
        <v>44815</v>
      </c>
      <c r="U9810" t="s">
        <v>53076</v>
      </c>
      <c r="W9810" t="s">
        <v>39593</v>
      </c>
      <c r="X9810" t="s">
        <v>43179</v>
      </c>
    </row>
    <row r="9811" spans="1:24">
      <c r="A9811">
        <f>HYPERLINK("https://www.philgeps.gov.ph/GEPSNONPILOT/Tender/SplashBidNoticeAbstractUI.aspx?menuIndex=3&amp;refID=7067889&amp;Result=3","7067889")</f>
        <v>0</v>
      </c>
      <c r="B9811" t="s">
        <v>2311</v>
      </c>
      <c r="C9811" t="s">
        <v>12767</v>
      </c>
      <c r="D9811" t="s">
        <v>17462</v>
      </c>
      <c r="E9811" t="s">
        <v>25899</v>
      </c>
      <c r="F9811" t="s">
        <v>30052</v>
      </c>
      <c r="G9811" t="s">
        <v>30058</v>
      </c>
      <c r="H9811" t="s">
        <v>15498</v>
      </c>
      <c r="I9811" t="s">
        <v>7228</v>
      </c>
      <c r="J9811" t="s">
        <v>36194</v>
      </c>
      <c r="K9811" t="s">
        <v>39029</v>
      </c>
      <c r="M9811" t="s">
        <v>41797</v>
      </c>
      <c r="N9811" t="s">
        <v>43166</v>
      </c>
      <c r="O9811" t="s">
        <v>43167</v>
      </c>
      <c r="P9811">
        <v>0</v>
      </c>
      <c r="Q9811">
        <v>6</v>
      </c>
      <c r="R9811" t="s">
        <v>43178</v>
      </c>
      <c r="S9811" t="s">
        <v>43522</v>
      </c>
      <c r="T9811" t="s">
        <v>44816</v>
      </c>
      <c r="U9811" t="s">
        <v>53077</v>
      </c>
      <c r="W9811" t="s">
        <v>41797</v>
      </c>
      <c r="X9811" t="s">
        <v>43179</v>
      </c>
    </row>
    <row r="9812" spans="1:24">
      <c r="A9812">
        <f>HYPERLINK("https://www.philgeps.gov.ph/GEPSNONPILOT/Tender/SplashBidNoticeAbstractUI.aspx?menuIndex=3&amp;refID=7067721&amp;Result=3","7067721")</f>
        <v>0</v>
      </c>
      <c r="B9812" t="s">
        <v>1883</v>
      </c>
      <c r="C9812" t="s">
        <v>12768</v>
      </c>
      <c r="D9812" t="s">
        <v>17432</v>
      </c>
      <c r="E9812" t="s">
        <v>25900</v>
      </c>
      <c r="F9812" t="s">
        <v>30055</v>
      </c>
      <c r="G9812" t="s">
        <v>30058</v>
      </c>
      <c r="H9812" t="s">
        <v>15498</v>
      </c>
      <c r="I9812" t="s">
        <v>3736</v>
      </c>
      <c r="J9812" t="s">
        <v>36195</v>
      </c>
      <c r="K9812" t="s">
        <v>39034</v>
      </c>
      <c r="M9812" t="s">
        <v>41314</v>
      </c>
      <c r="N9812" t="s">
        <v>43166</v>
      </c>
      <c r="O9812" t="s">
        <v>43167</v>
      </c>
      <c r="P9812">
        <v>0</v>
      </c>
      <c r="Q9812">
        <v>3</v>
      </c>
      <c r="R9812" t="s">
        <v>43178</v>
      </c>
      <c r="S9812" t="s">
        <v>43522</v>
      </c>
      <c r="T9812" t="s">
        <v>44763</v>
      </c>
      <c r="U9812" t="s">
        <v>53078</v>
      </c>
      <c r="W9812" t="s">
        <v>41314</v>
      </c>
      <c r="X9812" t="s">
        <v>43179</v>
      </c>
    </row>
    <row r="9813" spans="1:24">
      <c r="A9813">
        <f>HYPERLINK("https://www.philgeps.gov.ph/GEPSNONPILOT/Tender/SplashBidNoticeAbstractUI.aspx?menuIndex=3&amp;refID=7067883&amp;Result=3","7067883")</f>
        <v>0</v>
      </c>
      <c r="B9813" t="s">
        <v>820</v>
      </c>
      <c r="C9813" t="s">
        <v>12769</v>
      </c>
      <c r="E9813" t="s">
        <v>25901</v>
      </c>
      <c r="F9813" t="s">
        <v>30052</v>
      </c>
      <c r="G9813" t="s">
        <v>30058</v>
      </c>
      <c r="H9813" t="s">
        <v>15498</v>
      </c>
      <c r="I9813" t="s">
        <v>5961</v>
      </c>
      <c r="J9813" t="s">
        <v>36196</v>
      </c>
      <c r="K9813" t="s">
        <v>39019</v>
      </c>
      <c r="M9813" t="s">
        <v>40137</v>
      </c>
      <c r="N9813" t="s">
        <v>43166</v>
      </c>
      <c r="O9813" t="s">
        <v>43167</v>
      </c>
      <c r="P9813">
        <v>0</v>
      </c>
      <c r="Q9813">
        <v>2</v>
      </c>
      <c r="R9813" t="s">
        <v>43178</v>
      </c>
      <c r="S9813" t="s">
        <v>43522</v>
      </c>
      <c r="T9813" t="s">
        <v>44768</v>
      </c>
      <c r="U9813" t="s">
        <v>53079</v>
      </c>
      <c r="V9813" t="s">
        <v>57926</v>
      </c>
      <c r="W9813" t="s">
        <v>40137</v>
      </c>
      <c r="X9813" t="s">
        <v>43179</v>
      </c>
    </row>
    <row r="9814" spans="1:24">
      <c r="A9814">
        <f>HYPERLINK("https://www.philgeps.gov.ph/GEPSNONPILOT/Tender/SplashBidNoticeAbstractUI.aspx?menuIndex=3&amp;refID=7068113&amp;Result=3","7068113")</f>
        <v>0</v>
      </c>
      <c r="B9814" t="s">
        <v>2844</v>
      </c>
      <c r="C9814" t="s">
        <v>12770</v>
      </c>
      <c r="D9814" t="s">
        <v>17456</v>
      </c>
      <c r="E9814" t="s">
        <v>25902</v>
      </c>
      <c r="F9814" t="s">
        <v>30052</v>
      </c>
      <c r="G9814" t="s">
        <v>30059</v>
      </c>
      <c r="H9814" t="s">
        <v>15498</v>
      </c>
      <c r="I9814" t="s">
        <v>30155</v>
      </c>
      <c r="J9814" t="s">
        <v>36197</v>
      </c>
      <c r="K9814" t="s">
        <v>39063</v>
      </c>
      <c r="M9814" t="s">
        <v>42390</v>
      </c>
      <c r="N9814" t="s">
        <v>43166</v>
      </c>
      <c r="O9814" t="s">
        <v>43167</v>
      </c>
      <c r="P9814">
        <v>0</v>
      </c>
      <c r="Q9814">
        <v>0</v>
      </c>
      <c r="R9814" t="s">
        <v>43178</v>
      </c>
      <c r="S9814" t="s">
        <v>43522</v>
      </c>
      <c r="T9814" t="s">
        <v>44862</v>
      </c>
      <c r="U9814" t="s">
        <v>53080</v>
      </c>
      <c r="W9814" t="s">
        <v>42390</v>
      </c>
      <c r="X9814" t="s">
        <v>43179</v>
      </c>
    </row>
    <row r="9815" spans="1:24">
      <c r="A9815">
        <f>HYPERLINK("https://www.philgeps.gov.ph/GEPSNONPILOT/Tender/SplashBidNoticeAbstractUI.aspx?menuIndex=3&amp;refID=7068174&amp;Result=3","7068174")</f>
        <v>0</v>
      </c>
      <c r="B9815" t="s">
        <v>2820</v>
      </c>
      <c r="C9815" t="s">
        <v>12771</v>
      </c>
      <c r="D9815" t="s">
        <v>17449</v>
      </c>
      <c r="E9815" t="s">
        <v>25796</v>
      </c>
      <c r="F9815" t="s">
        <v>30052</v>
      </c>
      <c r="G9815" t="s">
        <v>30058</v>
      </c>
      <c r="H9815" t="s">
        <v>30067</v>
      </c>
      <c r="I9815" t="s">
        <v>3693</v>
      </c>
      <c r="J9815" t="s">
        <v>36198</v>
      </c>
      <c r="K9815" t="s">
        <v>39025</v>
      </c>
      <c r="M9815" t="s">
        <v>42364</v>
      </c>
      <c r="N9815" t="s">
        <v>43166</v>
      </c>
      <c r="O9815" t="s">
        <v>43167</v>
      </c>
      <c r="P9815">
        <v>0</v>
      </c>
      <c r="Q9815">
        <v>3</v>
      </c>
      <c r="R9815" t="s">
        <v>43178</v>
      </c>
      <c r="S9815" t="s">
        <v>43522</v>
      </c>
      <c r="T9815" t="s">
        <v>44830</v>
      </c>
      <c r="U9815" t="s">
        <v>53081</v>
      </c>
      <c r="W9815" t="s">
        <v>42364</v>
      </c>
      <c r="X9815" t="s">
        <v>43179</v>
      </c>
    </row>
    <row r="9816" spans="1:24">
      <c r="A9816">
        <f>HYPERLINK("https://www.philgeps.gov.ph/GEPSNONPILOT/Tender/SplashBidNoticeAbstractUI.aspx?menuIndex=3&amp;refID=7068173&amp;Result=3","7068173")</f>
        <v>0</v>
      </c>
      <c r="B9816" t="s">
        <v>2845</v>
      </c>
      <c r="C9816" t="s">
        <v>12772</v>
      </c>
      <c r="D9816" t="s">
        <v>17422</v>
      </c>
      <c r="E9816" t="s">
        <v>25903</v>
      </c>
      <c r="F9816" t="s">
        <v>30052</v>
      </c>
      <c r="G9816" t="s">
        <v>30058</v>
      </c>
      <c r="H9816" t="s">
        <v>30067</v>
      </c>
      <c r="I9816" t="s">
        <v>3693</v>
      </c>
      <c r="J9816" t="s">
        <v>30402</v>
      </c>
      <c r="K9816" t="s">
        <v>39034</v>
      </c>
      <c r="M9816" t="s">
        <v>42391</v>
      </c>
      <c r="N9816" t="s">
        <v>43166</v>
      </c>
      <c r="O9816" t="s">
        <v>43167</v>
      </c>
      <c r="Q9816">
        <v>0</v>
      </c>
      <c r="R9816" t="s">
        <v>43178</v>
      </c>
      <c r="S9816" t="s">
        <v>43533</v>
      </c>
      <c r="T9816" t="s">
        <v>44841</v>
      </c>
      <c r="U9816" t="s">
        <v>53082</v>
      </c>
      <c r="W9816" t="s">
        <v>42391</v>
      </c>
      <c r="X9816" t="s">
        <v>43179</v>
      </c>
    </row>
    <row r="9817" spans="1:24">
      <c r="A9817">
        <f>HYPERLINK("https://www.philgeps.gov.ph/GEPSNONPILOT/Tender/SplashBidNoticeAbstractUI.aspx?menuIndex=3&amp;refID=7068172&amp;Result=3","7068172")</f>
        <v>0</v>
      </c>
      <c r="B9817" t="s">
        <v>1465</v>
      </c>
      <c r="C9817" t="s">
        <v>12773</v>
      </c>
      <c r="D9817" t="s">
        <v>17488</v>
      </c>
      <c r="E9817" t="s">
        <v>22729</v>
      </c>
      <c r="F9817" t="s">
        <v>30052</v>
      </c>
      <c r="G9817" t="s">
        <v>30058</v>
      </c>
      <c r="H9817" t="s">
        <v>15498</v>
      </c>
      <c r="I9817" t="s">
        <v>3852</v>
      </c>
      <c r="J9817" t="s">
        <v>36199</v>
      </c>
      <c r="K9817" t="s">
        <v>39029</v>
      </c>
      <c r="M9817" t="s">
        <v>40846</v>
      </c>
      <c r="N9817" t="s">
        <v>43166</v>
      </c>
      <c r="O9817" t="s">
        <v>43167</v>
      </c>
      <c r="P9817">
        <v>0</v>
      </c>
      <c r="Q9817">
        <v>4</v>
      </c>
      <c r="R9817" t="s">
        <v>43178</v>
      </c>
      <c r="S9817" t="s">
        <v>43522</v>
      </c>
      <c r="T9817" t="s">
        <v>45128</v>
      </c>
      <c r="U9817" t="s">
        <v>53083</v>
      </c>
      <c r="W9817" t="s">
        <v>40846</v>
      </c>
      <c r="X9817" t="s">
        <v>43179</v>
      </c>
    </row>
    <row r="9818" spans="1:24">
      <c r="A9818">
        <f>HYPERLINK("https://www.philgeps.gov.ph/GEPSNONPILOT/Tender/SplashBidNoticeAbstractUI.aspx?menuIndex=3&amp;refID=7068153&amp;Result=3","7068153")</f>
        <v>0</v>
      </c>
      <c r="B9818" t="s">
        <v>2846</v>
      </c>
      <c r="C9818" t="s">
        <v>12774</v>
      </c>
      <c r="D9818" t="s">
        <v>17448</v>
      </c>
      <c r="E9818" t="s">
        <v>18173</v>
      </c>
      <c r="F9818" t="s">
        <v>30052</v>
      </c>
      <c r="G9818" t="s">
        <v>30058</v>
      </c>
      <c r="H9818" t="s">
        <v>15498</v>
      </c>
      <c r="I9818" t="s">
        <v>3852</v>
      </c>
      <c r="J9818" t="s">
        <v>30384</v>
      </c>
      <c r="K9818" t="s">
        <v>39025</v>
      </c>
      <c r="M9818" t="s">
        <v>42392</v>
      </c>
      <c r="N9818" t="s">
        <v>43166</v>
      </c>
      <c r="O9818" t="s">
        <v>43167</v>
      </c>
      <c r="P9818">
        <v>0</v>
      </c>
      <c r="Q9818">
        <v>2</v>
      </c>
      <c r="R9818" t="s">
        <v>43178</v>
      </c>
      <c r="S9818" t="s">
        <v>43522</v>
      </c>
      <c r="T9818" t="s">
        <v>44806</v>
      </c>
      <c r="U9818" t="s">
        <v>53084</v>
      </c>
      <c r="W9818" t="s">
        <v>42392</v>
      </c>
      <c r="X9818" t="s">
        <v>43179</v>
      </c>
    </row>
    <row r="9819" spans="1:24">
      <c r="A9819">
        <f>HYPERLINK("https://www.philgeps.gov.ph/GEPSNONPILOT/Tender/SplashBidNoticeAbstractUI.aspx?menuIndex=3&amp;refID=7068138&amp;Result=3","7068138")</f>
        <v>0</v>
      </c>
      <c r="B9819" t="s">
        <v>924</v>
      </c>
      <c r="C9819" t="s">
        <v>12775</v>
      </c>
      <c r="E9819" t="s">
        <v>25904</v>
      </c>
      <c r="F9819" t="s">
        <v>30052</v>
      </c>
      <c r="G9819" t="s">
        <v>30058</v>
      </c>
      <c r="H9819" t="s">
        <v>30067</v>
      </c>
      <c r="I9819" t="s">
        <v>3693</v>
      </c>
      <c r="J9819" t="s">
        <v>36200</v>
      </c>
      <c r="K9819" t="s">
        <v>39025</v>
      </c>
      <c r="M9819" t="s">
        <v>40247</v>
      </c>
      <c r="N9819" t="s">
        <v>43166</v>
      </c>
      <c r="O9819" t="s">
        <v>43167</v>
      </c>
      <c r="P9819">
        <v>0</v>
      </c>
      <c r="Q9819">
        <v>24</v>
      </c>
      <c r="R9819" t="s">
        <v>43178</v>
      </c>
      <c r="S9819" t="s">
        <v>43522</v>
      </c>
      <c r="T9819" t="s">
        <v>44820</v>
      </c>
      <c r="U9819" t="s">
        <v>47052</v>
      </c>
      <c r="W9819" t="s">
        <v>58617</v>
      </c>
      <c r="X9819" t="s">
        <v>43179</v>
      </c>
    </row>
    <row r="9820" spans="1:24">
      <c r="A9820">
        <f>HYPERLINK("https://www.philgeps.gov.ph/GEPSNONPILOT/Tender/SplashBidNoticeAbstractUI.aspx?menuIndex=3&amp;refID=7068098&amp;Result=3","7068098")</f>
        <v>0</v>
      </c>
      <c r="B9820" t="s">
        <v>924</v>
      </c>
      <c r="C9820" t="s">
        <v>12776</v>
      </c>
      <c r="E9820" t="s">
        <v>25905</v>
      </c>
      <c r="F9820" t="s">
        <v>30052</v>
      </c>
      <c r="G9820" t="s">
        <v>30058</v>
      </c>
      <c r="H9820" t="s">
        <v>30067</v>
      </c>
      <c r="I9820" t="s">
        <v>3693</v>
      </c>
      <c r="J9820" t="s">
        <v>36200</v>
      </c>
      <c r="K9820" t="s">
        <v>39025</v>
      </c>
      <c r="M9820" t="s">
        <v>40247</v>
      </c>
      <c r="N9820" t="s">
        <v>43166</v>
      </c>
      <c r="O9820" t="s">
        <v>43167</v>
      </c>
      <c r="P9820">
        <v>0</v>
      </c>
      <c r="Q9820">
        <v>22</v>
      </c>
      <c r="R9820" t="s">
        <v>43178</v>
      </c>
      <c r="S9820" t="s">
        <v>43522</v>
      </c>
      <c r="T9820" t="s">
        <v>44750</v>
      </c>
      <c r="U9820" t="s">
        <v>47052</v>
      </c>
      <c r="W9820" t="s">
        <v>58617</v>
      </c>
      <c r="X9820" t="s">
        <v>43179</v>
      </c>
    </row>
    <row r="9821" spans="1:24">
      <c r="A9821">
        <f>HYPERLINK("https://www.philgeps.gov.ph/GEPSNONPILOT/Tender/SplashBidNoticeAbstractUI.aspx?menuIndex=3&amp;refID=7067984&amp;Result=3","7067984")</f>
        <v>0</v>
      </c>
      <c r="B9821" t="s">
        <v>2847</v>
      </c>
      <c r="C9821" t="s">
        <v>12777</v>
      </c>
      <c r="D9821" t="s">
        <v>17445</v>
      </c>
      <c r="E9821" t="s">
        <v>25906</v>
      </c>
      <c r="F9821" t="s">
        <v>30052</v>
      </c>
      <c r="G9821" t="s">
        <v>30061</v>
      </c>
      <c r="H9821" t="s">
        <v>30069</v>
      </c>
      <c r="I9821" t="s">
        <v>30072</v>
      </c>
      <c r="J9821" t="s">
        <v>30248</v>
      </c>
      <c r="K9821" t="s">
        <v>39145</v>
      </c>
      <c r="M9821" t="s">
        <v>42393</v>
      </c>
      <c r="N9821" t="s">
        <v>43166</v>
      </c>
      <c r="O9821" t="s">
        <v>43167</v>
      </c>
      <c r="P9821">
        <v>0</v>
      </c>
      <c r="Q9821">
        <v>0</v>
      </c>
      <c r="R9821" t="s">
        <v>43178</v>
      </c>
      <c r="S9821" t="s">
        <v>43522</v>
      </c>
      <c r="T9821" t="s">
        <v>44715</v>
      </c>
      <c r="U9821" t="s">
        <v>53085</v>
      </c>
      <c r="W9821" t="s">
        <v>42393</v>
      </c>
      <c r="X9821" t="s">
        <v>43179</v>
      </c>
    </row>
    <row r="9822" spans="1:24">
      <c r="A9822">
        <f>HYPERLINK("https://www.philgeps.gov.ph/GEPSNONPILOT/Tender/SplashBidNoticeAbstractUI.aspx?menuIndex=3&amp;refID=7068084&amp;Result=3","7068084")</f>
        <v>0</v>
      </c>
      <c r="B9822" t="s">
        <v>1646</v>
      </c>
      <c r="C9822" t="s">
        <v>12778</v>
      </c>
      <c r="E9822" t="s">
        <v>25907</v>
      </c>
      <c r="F9822" t="s">
        <v>30052</v>
      </c>
      <c r="G9822" t="s">
        <v>30059</v>
      </c>
      <c r="H9822" t="s">
        <v>15498</v>
      </c>
      <c r="I9822" t="s">
        <v>30100</v>
      </c>
      <c r="J9822" t="s">
        <v>36201</v>
      </c>
      <c r="K9822" t="s">
        <v>39025</v>
      </c>
      <c r="M9822" t="s">
        <v>41107</v>
      </c>
      <c r="N9822" t="s">
        <v>43166</v>
      </c>
      <c r="O9822" t="s">
        <v>43167</v>
      </c>
      <c r="Q9822">
        <v>3</v>
      </c>
      <c r="R9822" t="s">
        <v>43178</v>
      </c>
      <c r="S9822" t="s">
        <v>43534</v>
      </c>
      <c r="T9822" t="s">
        <v>44862</v>
      </c>
      <c r="U9822" t="s">
        <v>46812</v>
      </c>
      <c r="W9822" t="s">
        <v>41107</v>
      </c>
      <c r="X9822" t="s">
        <v>43179</v>
      </c>
    </row>
    <row r="9823" spans="1:24">
      <c r="A9823">
        <f>HYPERLINK("https://www.philgeps.gov.ph/GEPSNONPILOT/Tender/SplashBidNoticeAbstractUI.aspx?menuIndex=3&amp;refID=7068074&amp;Result=3","7068074")</f>
        <v>0</v>
      </c>
      <c r="B9823" t="s">
        <v>2820</v>
      </c>
      <c r="C9823" t="s">
        <v>12779</v>
      </c>
      <c r="D9823" t="s">
        <v>17449</v>
      </c>
      <c r="E9823" t="s">
        <v>25908</v>
      </c>
      <c r="F9823" t="s">
        <v>30052</v>
      </c>
      <c r="G9823" t="s">
        <v>30058</v>
      </c>
      <c r="H9823" t="s">
        <v>15498</v>
      </c>
      <c r="I9823" t="s">
        <v>30074</v>
      </c>
      <c r="J9823" t="s">
        <v>36202</v>
      </c>
      <c r="K9823" t="s">
        <v>39025</v>
      </c>
      <c r="M9823" t="s">
        <v>42364</v>
      </c>
      <c r="N9823" t="s">
        <v>43166</v>
      </c>
      <c r="O9823" t="s">
        <v>43167</v>
      </c>
      <c r="P9823">
        <v>0</v>
      </c>
      <c r="Q9823">
        <v>3</v>
      </c>
      <c r="R9823" t="s">
        <v>43178</v>
      </c>
      <c r="S9823" t="s">
        <v>43522</v>
      </c>
      <c r="T9823" t="s">
        <v>44830</v>
      </c>
      <c r="U9823" t="s">
        <v>53086</v>
      </c>
      <c r="W9823" t="s">
        <v>42364</v>
      </c>
      <c r="X9823" t="s">
        <v>43179</v>
      </c>
    </row>
    <row r="9824" spans="1:24">
      <c r="A9824">
        <f>HYPERLINK("https://www.philgeps.gov.ph/GEPSNONPILOT/Tender/SplashBidNoticeAbstractUI.aspx?menuIndex=3&amp;refID=7068114&amp;Result=3","7068114")</f>
        <v>0</v>
      </c>
      <c r="B9824" t="s">
        <v>1412</v>
      </c>
      <c r="C9824" t="s">
        <v>12780</v>
      </c>
      <c r="D9824" t="s">
        <v>17444</v>
      </c>
      <c r="E9824" t="s">
        <v>25909</v>
      </c>
      <c r="F9824" t="s">
        <v>30052</v>
      </c>
      <c r="G9824" t="s">
        <v>30058</v>
      </c>
      <c r="H9824" t="s">
        <v>30067</v>
      </c>
      <c r="I9824" t="s">
        <v>3693</v>
      </c>
      <c r="J9824" t="s">
        <v>36203</v>
      </c>
      <c r="K9824" t="s">
        <v>39057</v>
      </c>
      <c r="M9824" t="s">
        <v>40790</v>
      </c>
      <c r="N9824" t="s">
        <v>43166</v>
      </c>
      <c r="O9824" t="s">
        <v>43167</v>
      </c>
      <c r="P9824">
        <v>0</v>
      </c>
      <c r="Q9824">
        <v>4</v>
      </c>
      <c r="R9824" t="s">
        <v>43178</v>
      </c>
      <c r="S9824" t="s">
        <v>43522</v>
      </c>
      <c r="T9824" t="s">
        <v>45008</v>
      </c>
      <c r="U9824" t="s">
        <v>48365</v>
      </c>
      <c r="V9824" t="s">
        <v>57275</v>
      </c>
      <c r="W9824" t="s">
        <v>40790</v>
      </c>
      <c r="X9824" t="s">
        <v>43179</v>
      </c>
    </row>
    <row r="9825" spans="1:24">
      <c r="A9825">
        <f>HYPERLINK("https://www.philgeps.gov.ph/GEPSNONPILOT/Tender/SplashBidNoticeAbstractUI.aspx?menuIndex=3&amp;refID=7067544&amp;Result=3","7067544")</f>
        <v>0</v>
      </c>
      <c r="B9825" t="s">
        <v>820</v>
      </c>
      <c r="C9825" t="s">
        <v>12781</v>
      </c>
      <c r="D9825" t="s">
        <v>17472</v>
      </c>
      <c r="E9825" t="s">
        <v>25910</v>
      </c>
      <c r="F9825" t="s">
        <v>30052</v>
      </c>
      <c r="G9825" t="s">
        <v>30058</v>
      </c>
      <c r="H9825" t="s">
        <v>30067</v>
      </c>
      <c r="I9825" t="s">
        <v>3693</v>
      </c>
      <c r="J9825" t="s">
        <v>36204</v>
      </c>
      <c r="K9825" t="s">
        <v>39023</v>
      </c>
      <c r="M9825" t="s">
        <v>40137</v>
      </c>
      <c r="N9825" t="s">
        <v>43166</v>
      </c>
      <c r="O9825" t="s">
        <v>43167</v>
      </c>
      <c r="P9825">
        <v>0</v>
      </c>
      <c r="Q9825">
        <v>1</v>
      </c>
      <c r="R9825" t="s">
        <v>43178</v>
      </c>
      <c r="S9825" t="s">
        <v>43522</v>
      </c>
      <c r="T9825" t="s">
        <v>44768</v>
      </c>
      <c r="U9825" t="s">
        <v>53087</v>
      </c>
      <c r="V9825" t="s">
        <v>57920</v>
      </c>
      <c r="W9825" t="s">
        <v>40137</v>
      </c>
      <c r="X9825" t="s">
        <v>43179</v>
      </c>
    </row>
    <row r="9826" spans="1:24">
      <c r="A9826">
        <f>HYPERLINK("https://www.philgeps.gov.ph/GEPSNONPILOT/Tender/SplashBidNoticeAbstractUI.aspx?menuIndex=3&amp;refID=7068047&amp;Result=3","7068047")</f>
        <v>0</v>
      </c>
      <c r="B9826" t="s">
        <v>1412</v>
      </c>
      <c r="C9826" t="s">
        <v>12782</v>
      </c>
      <c r="D9826" t="s">
        <v>17444</v>
      </c>
      <c r="E9826" t="s">
        <v>25911</v>
      </c>
      <c r="F9826" t="s">
        <v>30052</v>
      </c>
      <c r="G9826" t="s">
        <v>30058</v>
      </c>
      <c r="H9826" t="s">
        <v>30067</v>
      </c>
      <c r="I9826" t="s">
        <v>3693</v>
      </c>
      <c r="J9826" t="s">
        <v>36205</v>
      </c>
      <c r="K9826" t="s">
        <v>39057</v>
      </c>
      <c r="M9826" t="s">
        <v>40790</v>
      </c>
      <c r="N9826" t="s">
        <v>43166</v>
      </c>
      <c r="O9826" t="s">
        <v>43167</v>
      </c>
      <c r="P9826">
        <v>0</v>
      </c>
      <c r="Q9826">
        <v>4</v>
      </c>
      <c r="R9826" t="s">
        <v>43178</v>
      </c>
      <c r="S9826" t="s">
        <v>43522</v>
      </c>
      <c r="T9826" t="s">
        <v>45008</v>
      </c>
      <c r="U9826" t="s">
        <v>48365</v>
      </c>
      <c r="V9826" t="s">
        <v>57275</v>
      </c>
      <c r="W9826" t="s">
        <v>40790</v>
      </c>
      <c r="X9826" t="s">
        <v>43179</v>
      </c>
    </row>
    <row r="9827" spans="1:24">
      <c r="A9827">
        <f>HYPERLINK("https://www.philgeps.gov.ph/GEPSNONPILOT/Tender/SplashBidNoticeAbstractUI.aspx?menuIndex=3&amp;refID=7068027&amp;Result=3","7068027")</f>
        <v>0</v>
      </c>
      <c r="B9827" t="s">
        <v>1609</v>
      </c>
      <c r="C9827" t="s">
        <v>12783</v>
      </c>
      <c r="D9827" t="s">
        <v>17415</v>
      </c>
      <c r="E9827" t="s">
        <v>25912</v>
      </c>
      <c r="F9827" t="s">
        <v>30052</v>
      </c>
      <c r="G9827" t="s">
        <v>30060</v>
      </c>
      <c r="H9827" t="s">
        <v>30067</v>
      </c>
      <c r="I9827" t="s">
        <v>3693</v>
      </c>
      <c r="J9827" t="s">
        <v>30239</v>
      </c>
      <c r="K9827" t="s">
        <v>39023</v>
      </c>
      <c r="M9827" t="s">
        <v>41008</v>
      </c>
      <c r="N9827" t="s">
        <v>43166</v>
      </c>
      <c r="O9827" t="s">
        <v>43167</v>
      </c>
      <c r="P9827">
        <v>0</v>
      </c>
      <c r="Q9827">
        <v>1</v>
      </c>
      <c r="R9827" t="s">
        <v>43178</v>
      </c>
      <c r="S9827" t="s">
        <v>43522</v>
      </c>
      <c r="T9827" t="s">
        <v>45000</v>
      </c>
      <c r="U9827" t="s">
        <v>53088</v>
      </c>
      <c r="V9827" t="s">
        <v>57324</v>
      </c>
      <c r="W9827" t="s">
        <v>41008</v>
      </c>
      <c r="X9827" t="s">
        <v>43179</v>
      </c>
    </row>
    <row r="9828" spans="1:24">
      <c r="A9828">
        <f>HYPERLINK("https://www.philgeps.gov.ph/GEPSNONPILOT/Tender/SplashBidNoticeAbstractUI.aspx?menuIndex=3&amp;refID=7068090&amp;Result=3","7068090")</f>
        <v>0</v>
      </c>
      <c r="B9828" t="s">
        <v>1302</v>
      </c>
      <c r="C9828" t="s">
        <v>12784</v>
      </c>
      <c r="D9828" t="s">
        <v>17425</v>
      </c>
      <c r="E9828" t="s">
        <v>25913</v>
      </c>
      <c r="F9828" t="s">
        <v>30055</v>
      </c>
      <c r="G9828" t="s">
        <v>30058</v>
      </c>
      <c r="H9828" t="s">
        <v>30067</v>
      </c>
      <c r="I9828" t="s">
        <v>3693</v>
      </c>
      <c r="J9828" t="s">
        <v>36206</v>
      </c>
      <c r="K9828" t="s">
        <v>39019</v>
      </c>
      <c r="M9828" t="s">
        <v>40669</v>
      </c>
      <c r="N9828" t="s">
        <v>43166</v>
      </c>
      <c r="O9828" t="s">
        <v>43167</v>
      </c>
      <c r="P9828">
        <v>0</v>
      </c>
      <c r="Q9828">
        <v>1</v>
      </c>
      <c r="R9828" t="s">
        <v>43178</v>
      </c>
      <c r="S9828" t="s">
        <v>43522</v>
      </c>
      <c r="T9828" t="s">
        <v>44806</v>
      </c>
      <c r="U9828" t="s">
        <v>48071</v>
      </c>
      <c r="W9828" t="s">
        <v>40669</v>
      </c>
      <c r="X9828" t="s">
        <v>43179</v>
      </c>
    </row>
    <row r="9829" spans="1:24">
      <c r="A9829">
        <f>HYPERLINK("https://www.philgeps.gov.ph/GEPSNONPILOT/Tender/SplashBidNoticeAbstractUI.aspx?menuIndex=3&amp;refID=7068008&amp;Result=3","7068008")</f>
        <v>0</v>
      </c>
      <c r="B9829" t="s">
        <v>2848</v>
      </c>
      <c r="C9829" t="s">
        <v>11122</v>
      </c>
      <c r="D9829" t="s">
        <v>17475</v>
      </c>
      <c r="E9829" t="s">
        <v>18583</v>
      </c>
      <c r="F9829" t="s">
        <v>30052</v>
      </c>
      <c r="G9829" t="s">
        <v>30058</v>
      </c>
      <c r="H9829" t="s">
        <v>15498</v>
      </c>
      <c r="I9829" t="s">
        <v>30075</v>
      </c>
      <c r="J9829" t="s">
        <v>30377</v>
      </c>
      <c r="K9829" t="s">
        <v>39034</v>
      </c>
      <c r="M9829" t="s">
        <v>42394</v>
      </c>
      <c r="N9829" t="s">
        <v>43166</v>
      </c>
      <c r="O9829" t="s">
        <v>43167</v>
      </c>
      <c r="P9829">
        <v>0</v>
      </c>
      <c r="Q9829">
        <v>2</v>
      </c>
      <c r="R9829" t="s">
        <v>43178</v>
      </c>
      <c r="S9829" t="s">
        <v>43522</v>
      </c>
      <c r="T9829" t="s">
        <v>44856</v>
      </c>
      <c r="U9829" t="s">
        <v>53089</v>
      </c>
      <c r="W9829" t="s">
        <v>42394</v>
      </c>
      <c r="X9829" t="s">
        <v>43179</v>
      </c>
    </row>
    <row r="9830" spans="1:24">
      <c r="A9830">
        <f>HYPERLINK("https://www.philgeps.gov.ph/GEPSNONPILOT/Tender/SplashBidNoticeAbstractUI.aspx?menuIndex=3&amp;refID=7068003&amp;Result=3","7068003")</f>
        <v>0</v>
      </c>
      <c r="B9830" t="s">
        <v>820</v>
      </c>
      <c r="C9830" t="s">
        <v>12785</v>
      </c>
      <c r="E9830" t="s">
        <v>25914</v>
      </c>
      <c r="F9830" t="s">
        <v>30052</v>
      </c>
      <c r="G9830" t="s">
        <v>30058</v>
      </c>
      <c r="H9830" t="s">
        <v>15498</v>
      </c>
      <c r="I9830" t="s">
        <v>5961</v>
      </c>
      <c r="J9830" t="s">
        <v>36207</v>
      </c>
      <c r="K9830" t="s">
        <v>39046</v>
      </c>
      <c r="M9830" t="s">
        <v>40137</v>
      </c>
      <c r="N9830" t="s">
        <v>43166</v>
      </c>
      <c r="O9830" t="s">
        <v>43167</v>
      </c>
      <c r="P9830">
        <v>0</v>
      </c>
      <c r="Q9830">
        <v>0</v>
      </c>
      <c r="R9830" t="s">
        <v>43178</v>
      </c>
      <c r="S9830" t="s">
        <v>43522</v>
      </c>
      <c r="T9830" t="s">
        <v>44768</v>
      </c>
      <c r="U9830" t="s">
        <v>53090</v>
      </c>
      <c r="V9830" t="s">
        <v>57926</v>
      </c>
      <c r="W9830" t="s">
        <v>40137</v>
      </c>
      <c r="X9830" t="s">
        <v>43179</v>
      </c>
    </row>
    <row r="9831" spans="1:24">
      <c r="A9831">
        <f>HYPERLINK("https://www.philgeps.gov.ph/GEPSNONPILOT/Tender/SplashBidNoticeAbstractUI.aspx?menuIndex=3&amp;refID=7068071&amp;Result=3","7068071")</f>
        <v>0</v>
      </c>
      <c r="B9831" t="s">
        <v>2849</v>
      </c>
      <c r="C9831" t="s">
        <v>12786</v>
      </c>
      <c r="D9831" t="s">
        <v>17459</v>
      </c>
      <c r="E9831" t="s">
        <v>25915</v>
      </c>
      <c r="F9831" t="s">
        <v>30052</v>
      </c>
      <c r="G9831" t="s">
        <v>30058</v>
      </c>
      <c r="H9831" t="s">
        <v>30067</v>
      </c>
      <c r="I9831" t="s">
        <v>30071</v>
      </c>
      <c r="J9831" t="s">
        <v>30292</v>
      </c>
      <c r="K9831" t="s">
        <v>39037</v>
      </c>
      <c r="M9831" t="s">
        <v>42395</v>
      </c>
      <c r="N9831" t="s">
        <v>43166</v>
      </c>
      <c r="O9831" t="s">
        <v>43167</v>
      </c>
      <c r="P9831">
        <v>0</v>
      </c>
      <c r="Q9831">
        <v>0</v>
      </c>
      <c r="R9831" t="s">
        <v>43178</v>
      </c>
      <c r="S9831" t="s">
        <v>43522</v>
      </c>
      <c r="T9831" t="s">
        <v>44756</v>
      </c>
      <c r="U9831" t="s">
        <v>53091</v>
      </c>
      <c r="V9831" t="s">
        <v>57930</v>
      </c>
      <c r="W9831" t="s">
        <v>42395</v>
      </c>
      <c r="X9831" t="s">
        <v>43179</v>
      </c>
    </row>
    <row r="9832" spans="1:24">
      <c r="A9832">
        <f>HYPERLINK("https://www.philgeps.gov.ph/GEPSNONPILOT/Tender/SplashBidNoticeAbstractUI.aspx?menuIndex=3&amp;refID=7067881&amp;Result=3","7067881")</f>
        <v>0</v>
      </c>
      <c r="B9832" t="s">
        <v>2839</v>
      </c>
      <c r="C9832" t="s">
        <v>12787</v>
      </c>
      <c r="D9832" t="s">
        <v>17453</v>
      </c>
      <c r="E9832" t="s">
        <v>25916</v>
      </c>
      <c r="F9832" t="s">
        <v>30052</v>
      </c>
      <c r="G9832" t="s">
        <v>30058</v>
      </c>
      <c r="H9832" t="s">
        <v>30067</v>
      </c>
      <c r="I9832" t="s">
        <v>3693</v>
      </c>
      <c r="J9832" t="s">
        <v>36208</v>
      </c>
      <c r="K9832" t="s">
        <v>39025</v>
      </c>
      <c r="M9832" t="s">
        <v>42385</v>
      </c>
      <c r="N9832" t="s">
        <v>43166</v>
      </c>
      <c r="O9832" t="s">
        <v>43167</v>
      </c>
      <c r="P9832">
        <v>0</v>
      </c>
      <c r="Q9832">
        <v>1</v>
      </c>
      <c r="R9832" t="s">
        <v>43178</v>
      </c>
      <c r="S9832" t="s">
        <v>43522</v>
      </c>
      <c r="T9832" t="s">
        <v>44777</v>
      </c>
      <c r="U9832" t="s">
        <v>53092</v>
      </c>
      <c r="W9832" t="s">
        <v>42385</v>
      </c>
      <c r="X9832" t="s">
        <v>43179</v>
      </c>
    </row>
    <row r="9833" spans="1:24">
      <c r="A9833">
        <f>HYPERLINK("https://www.philgeps.gov.ph/GEPSNONPILOT/Tender/SplashBidNoticeAbstractUI.aspx?menuIndex=3&amp;refID=7068064&amp;Result=3","7068064")</f>
        <v>0</v>
      </c>
      <c r="B9833" t="s">
        <v>2470</v>
      </c>
      <c r="C9833" t="s">
        <v>12788</v>
      </c>
      <c r="D9833" t="s">
        <v>17419</v>
      </c>
      <c r="E9833" t="s">
        <v>25917</v>
      </c>
      <c r="F9833" t="s">
        <v>30052</v>
      </c>
      <c r="G9833" t="s">
        <v>30058</v>
      </c>
      <c r="H9833" t="s">
        <v>15498</v>
      </c>
      <c r="I9833" t="s">
        <v>3736</v>
      </c>
      <c r="J9833" t="s">
        <v>36209</v>
      </c>
      <c r="K9833" t="s">
        <v>39017</v>
      </c>
      <c r="M9833" t="s">
        <v>41970</v>
      </c>
      <c r="N9833" t="s">
        <v>43166</v>
      </c>
      <c r="O9833" t="s">
        <v>43167</v>
      </c>
      <c r="P9833">
        <v>0</v>
      </c>
      <c r="Q9833">
        <v>0</v>
      </c>
      <c r="R9833" t="s">
        <v>43178</v>
      </c>
      <c r="S9833" t="s">
        <v>43522</v>
      </c>
      <c r="T9833" t="s">
        <v>45044</v>
      </c>
      <c r="U9833" t="s">
        <v>53093</v>
      </c>
      <c r="W9833" t="s">
        <v>41970</v>
      </c>
      <c r="X9833" t="s">
        <v>43179</v>
      </c>
    </row>
    <row r="9834" spans="1:24">
      <c r="A9834">
        <f>HYPERLINK("https://www.philgeps.gov.ph/GEPSNONPILOT/Tender/SplashBidNoticeAbstractUI.aspx?menuIndex=3&amp;refID=7067876&amp;Result=3","7067876")</f>
        <v>0</v>
      </c>
      <c r="B9834" t="s">
        <v>2460</v>
      </c>
      <c r="C9834" t="s">
        <v>12789</v>
      </c>
      <c r="D9834" t="s">
        <v>17458</v>
      </c>
      <c r="E9834" t="s">
        <v>17613</v>
      </c>
      <c r="F9834" t="s">
        <v>30052</v>
      </c>
      <c r="G9834" t="s">
        <v>30058</v>
      </c>
      <c r="H9834" t="s">
        <v>15498</v>
      </c>
      <c r="I9834" t="s">
        <v>30142</v>
      </c>
      <c r="J9834" t="s">
        <v>30208</v>
      </c>
      <c r="K9834" t="s">
        <v>39037</v>
      </c>
      <c r="M9834" t="s">
        <v>41959</v>
      </c>
      <c r="N9834" t="s">
        <v>43166</v>
      </c>
      <c r="O9834" t="s">
        <v>43167</v>
      </c>
      <c r="P9834">
        <v>0</v>
      </c>
      <c r="Q9834">
        <v>2</v>
      </c>
      <c r="R9834" t="s">
        <v>43178</v>
      </c>
      <c r="S9834" t="s">
        <v>43522</v>
      </c>
      <c r="T9834" t="s">
        <v>44714</v>
      </c>
      <c r="U9834" t="s">
        <v>53075</v>
      </c>
      <c r="W9834" t="s">
        <v>41959</v>
      </c>
      <c r="X9834" t="s">
        <v>43179</v>
      </c>
    </row>
    <row r="9835" spans="1:24">
      <c r="A9835">
        <f>HYPERLINK("https://www.philgeps.gov.ph/GEPSNONPILOT/Tender/SplashBidNoticeAbstractUI.aspx?menuIndex=3&amp;refID=7068327&amp;Result=3","7068327")</f>
        <v>0</v>
      </c>
      <c r="B9835" t="s">
        <v>2850</v>
      </c>
      <c r="C9835" t="s">
        <v>12790</v>
      </c>
      <c r="E9835" t="s">
        <v>25918</v>
      </c>
      <c r="F9835" t="s">
        <v>30052</v>
      </c>
      <c r="G9835" t="s">
        <v>30058</v>
      </c>
      <c r="H9835" t="s">
        <v>30067</v>
      </c>
      <c r="I9835" t="s">
        <v>3693</v>
      </c>
      <c r="J9835" t="s">
        <v>36210</v>
      </c>
      <c r="K9835" t="s">
        <v>39029</v>
      </c>
      <c r="M9835" t="s">
        <v>42396</v>
      </c>
      <c r="N9835" t="s">
        <v>43166</v>
      </c>
      <c r="O9835" t="s">
        <v>43167</v>
      </c>
      <c r="P9835">
        <v>0</v>
      </c>
      <c r="Q9835">
        <v>2</v>
      </c>
      <c r="R9835" t="s">
        <v>43178</v>
      </c>
      <c r="S9835" t="s">
        <v>43522</v>
      </c>
      <c r="T9835" t="s">
        <v>44717</v>
      </c>
      <c r="U9835" t="s">
        <v>53094</v>
      </c>
      <c r="W9835" t="s">
        <v>42396</v>
      </c>
      <c r="X9835" t="s">
        <v>43179</v>
      </c>
    </row>
    <row r="9836" spans="1:24">
      <c r="A9836">
        <f>HYPERLINK("https://www.philgeps.gov.ph/GEPSNONPILOT/Tender/SplashBidNoticeAbstractUI.aspx?menuIndex=3&amp;refID=7068006&amp;Result=3","7068006")</f>
        <v>0</v>
      </c>
      <c r="B9836" t="s">
        <v>2851</v>
      </c>
      <c r="C9836" t="s">
        <v>12791</v>
      </c>
      <c r="D9836" t="s">
        <v>17422</v>
      </c>
      <c r="E9836" t="s">
        <v>25919</v>
      </c>
      <c r="F9836" t="s">
        <v>30052</v>
      </c>
      <c r="G9836" t="s">
        <v>30058</v>
      </c>
      <c r="H9836" t="s">
        <v>15498</v>
      </c>
      <c r="I9836" t="s">
        <v>30153</v>
      </c>
      <c r="J9836" t="s">
        <v>36211</v>
      </c>
      <c r="K9836" t="s">
        <v>39023</v>
      </c>
      <c r="M9836" t="s">
        <v>42397</v>
      </c>
      <c r="N9836" t="s">
        <v>43166</v>
      </c>
      <c r="O9836" t="s">
        <v>43167</v>
      </c>
      <c r="P9836">
        <v>0</v>
      </c>
      <c r="Q9836">
        <v>6</v>
      </c>
      <c r="R9836" t="s">
        <v>43178</v>
      </c>
      <c r="S9836" t="s">
        <v>43522</v>
      </c>
      <c r="T9836" t="s">
        <v>44716</v>
      </c>
      <c r="U9836" t="s">
        <v>53095</v>
      </c>
      <c r="W9836" t="s">
        <v>42397</v>
      </c>
      <c r="X9836" t="s">
        <v>43179</v>
      </c>
    </row>
    <row r="9837" spans="1:24">
      <c r="A9837">
        <f>HYPERLINK("https://www.philgeps.gov.ph/GEPSNONPILOT/Tender/SplashBidNoticeAbstractUI.aspx?menuIndex=3&amp;refID=7067812&amp;Result=3","7067812")</f>
        <v>0</v>
      </c>
      <c r="B9837" t="s">
        <v>2852</v>
      </c>
      <c r="C9837" t="s">
        <v>12792</v>
      </c>
      <c r="D9837" t="s">
        <v>17459</v>
      </c>
      <c r="E9837" t="s">
        <v>25920</v>
      </c>
      <c r="F9837" t="s">
        <v>30052</v>
      </c>
      <c r="G9837" t="s">
        <v>30058</v>
      </c>
      <c r="H9837" t="s">
        <v>15498</v>
      </c>
      <c r="I9837" t="s">
        <v>9238</v>
      </c>
      <c r="J9837" t="s">
        <v>36212</v>
      </c>
      <c r="K9837" t="s">
        <v>39029</v>
      </c>
      <c r="M9837" t="s">
        <v>42398</v>
      </c>
      <c r="N9837" t="s">
        <v>43166</v>
      </c>
      <c r="O9837" t="s">
        <v>43167</v>
      </c>
      <c r="P9837">
        <v>0</v>
      </c>
      <c r="Q9837">
        <v>12</v>
      </c>
      <c r="R9837" t="s">
        <v>43178</v>
      </c>
      <c r="S9837" t="s">
        <v>43522</v>
      </c>
      <c r="T9837" t="s">
        <v>44753</v>
      </c>
      <c r="U9837" t="s">
        <v>53096</v>
      </c>
      <c r="W9837" t="s">
        <v>42398</v>
      </c>
      <c r="X9837" t="s">
        <v>43179</v>
      </c>
    </row>
    <row r="9838" spans="1:24">
      <c r="A9838">
        <f>HYPERLINK("https://www.philgeps.gov.ph/GEPSNONPILOT/Tender/SplashBidNoticeAbstractUI.aspx?menuIndex=3&amp;refID=7067992&amp;Result=3","7067992")</f>
        <v>0</v>
      </c>
      <c r="B9838" t="s">
        <v>1412</v>
      </c>
      <c r="C9838" t="s">
        <v>12793</v>
      </c>
      <c r="D9838" t="s">
        <v>17444</v>
      </c>
      <c r="E9838" t="s">
        <v>25921</v>
      </c>
      <c r="F9838" t="s">
        <v>30052</v>
      </c>
      <c r="G9838" t="s">
        <v>30058</v>
      </c>
      <c r="H9838" t="s">
        <v>30067</v>
      </c>
      <c r="I9838" t="s">
        <v>3693</v>
      </c>
      <c r="J9838" t="s">
        <v>30321</v>
      </c>
      <c r="K9838" t="s">
        <v>39022</v>
      </c>
      <c r="M9838" t="s">
        <v>40790</v>
      </c>
      <c r="N9838" t="s">
        <v>43166</v>
      </c>
      <c r="O9838" t="s">
        <v>43167</v>
      </c>
      <c r="P9838">
        <v>0</v>
      </c>
      <c r="Q9838">
        <v>3</v>
      </c>
      <c r="R9838" t="s">
        <v>43178</v>
      </c>
      <c r="S9838" t="s">
        <v>43522</v>
      </c>
      <c r="T9838" t="s">
        <v>44781</v>
      </c>
      <c r="U9838" t="s">
        <v>48365</v>
      </c>
      <c r="V9838" t="s">
        <v>57275</v>
      </c>
      <c r="W9838" t="s">
        <v>40790</v>
      </c>
      <c r="X9838" t="s">
        <v>43179</v>
      </c>
    </row>
    <row r="9839" spans="1:24">
      <c r="A9839">
        <f>HYPERLINK("https://www.philgeps.gov.ph/GEPSNONPILOT/Tender/SplashBidNoticeAbstractUI.aspx?menuIndex=3&amp;refID=7068335&amp;Result=3","7068335")</f>
        <v>0</v>
      </c>
      <c r="B9839" t="s">
        <v>1478</v>
      </c>
      <c r="C9839" t="s">
        <v>12794</v>
      </c>
      <c r="D9839" t="s">
        <v>17434</v>
      </c>
      <c r="E9839" t="s">
        <v>25922</v>
      </c>
      <c r="F9839" t="s">
        <v>30052</v>
      </c>
      <c r="G9839" t="s">
        <v>30058</v>
      </c>
      <c r="H9839" t="s">
        <v>15498</v>
      </c>
      <c r="I9839" t="s">
        <v>30074</v>
      </c>
      <c r="J9839" t="s">
        <v>32481</v>
      </c>
      <c r="K9839" t="s">
        <v>39029</v>
      </c>
      <c r="M9839" t="s">
        <v>40861</v>
      </c>
      <c r="N9839" t="s">
        <v>43166</v>
      </c>
      <c r="O9839" t="s">
        <v>43167</v>
      </c>
      <c r="P9839">
        <v>0</v>
      </c>
      <c r="Q9839">
        <v>2</v>
      </c>
      <c r="R9839" t="s">
        <v>43178</v>
      </c>
      <c r="S9839" t="s">
        <v>43522</v>
      </c>
      <c r="T9839" t="s">
        <v>44942</v>
      </c>
      <c r="U9839" t="s">
        <v>53097</v>
      </c>
      <c r="W9839" t="s">
        <v>40861</v>
      </c>
      <c r="X9839" t="s">
        <v>43179</v>
      </c>
    </row>
    <row r="9840" spans="1:24">
      <c r="A9840">
        <f>HYPERLINK("https://www.philgeps.gov.ph/GEPSNONPILOT/Tender/SplashBidNoticeAbstractUI.aspx?menuIndex=3&amp;refID=7068037&amp;Result=3","7068037")</f>
        <v>0</v>
      </c>
      <c r="B9840" t="s">
        <v>2289</v>
      </c>
      <c r="C9840" t="s">
        <v>12795</v>
      </c>
      <c r="D9840" t="s">
        <v>17474</v>
      </c>
      <c r="E9840" t="s">
        <v>25923</v>
      </c>
      <c r="F9840" t="s">
        <v>30055</v>
      </c>
      <c r="G9840" t="s">
        <v>30061</v>
      </c>
      <c r="H9840" t="s">
        <v>15498</v>
      </c>
      <c r="I9840" t="s">
        <v>30071</v>
      </c>
      <c r="J9840" t="s">
        <v>30207</v>
      </c>
      <c r="K9840" t="s">
        <v>39029</v>
      </c>
      <c r="M9840" t="s">
        <v>41772</v>
      </c>
      <c r="N9840" t="s">
        <v>43166</v>
      </c>
      <c r="O9840" t="s">
        <v>43167</v>
      </c>
      <c r="P9840">
        <v>0</v>
      </c>
      <c r="Q9840">
        <v>0</v>
      </c>
      <c r="R9840" t="s">
        <v>43178</v>
      </c>
      <c r="S9840" t="s">
        <v>43522</v>
      </c>
      <c r="T9840" t="s">
        <v>44830</v>
      </c>
      <c r="U9840" t="s">
        <v>53098</v>
      </c>
      <c r="W9840" t="s">
        <v>41772</v>
      </c>
      <c r="X9840" t="s">
        <v>43179</v>
      </c>
    </row>
    <row r="9841" spans="1:24">
      <c r="A9841">
        <f>HYPERLINK("https://www.philgeps.gov.ph/GEPSNONPILOT/Tender/SplashBidNoticeAbstractUI.aspx?menuIndex=3&amp;refID=7067869&amp;Result=3","7067869")</f>
        <v>0</v>
      </c>
      <c r="B9841" t="s">
        <v>722</v>
      </c>
      <c r="C9841" t="s">
        <v>12796</v>
      </c>
      <c r="D9841" t="s">
        <v>17474</v>
      </c>
      <c r="E9841" t="s">
        <v>25924</v>
      </c>
      <c r="F9841" t="s">
        <v>30055</v>
      </c>
      <c r="G9841" t="s">
        <v>30059</v>
      </c>
      <c r="H9841" t="s">
        <v>15498</v>
      </c>
      <c r="I9841" t="s">
        <v>3736</v>
      </c>
      <c r="J9841" t="s">
        <v>36213</v>
      </c>
      <c r="K9841" t="s">
        <v>39019</v>
      </c>
      <c r="M9841" t="s">
        <v>40033</v>
      </c>
      <c r="N9841" t="s">
        <v>43166</v>
      </c>
      <c r="O9841" t="s">
        <v>43167</v>
      </c>
      <c r="P9841">
        <v>0</v>
      </c>
      <c r="Q9841">
        <v>1</v>
      </c>
      <c r="R9841" t="s">
        <v>43178</v>
      </c>
      <c r="S9841" t="s">
        <v>43522</v>
      </c>
      <c r="T9841" t="s">
        <v>44832</v>
      </c>
      <c r="U9841" t="s">
        <v>46565</v>
      </c>
      <c r="V9841" t="s">
        <v>57014</v>
      </c>
      <c r="W9841" t="s">
        <v>58611</v>
      </c>
      <c r="X9841" t="s">
        <v>43179</v>
      </c>
    </row>
    <row r="9842" spans="1:24">
      <c r="A9842">
        <f>HYPERLINK("https://www.philgeps.gov.ph/GEPSNONPILOT/Tender/SplashBidNoticeAbstractUI.aspx?menuIndex=3&amp;refID=7068328&amp;Result=3","7068328")</f>
        <v>0</v>
      </c>
      <c r="B9842" t="s">
        <v>1251</v>
      </c>
      <c r="C9842" t="s">
        <v>12797</v>
      </c>
      <c r="D9842" t="s">
        <v>17463</v>
      </c>
      <c r="E9842" t="s">
        <v>25925</v>
      </c>
      <c r="F9842" t="s">
        <v>30052</v>
      </c>
      <c r="G9842" t="s">
        <v>30058</v>
      </c>
      <c r="H9842" t="s">
        <v>15498</v>
      </c>
      <c r="I9842" t="s">
        <v>4650</v>
      </c>
      <c r="J9842" t="s">
        <v>36214</v>
      </c>
      <c r="K9842" t="s">
        <v>39029</v>
      </c>
      <c r="M9842" t="s">
        <v>42399</v>
      </c>
      <c r="N9842" t="s">
        <v>43166</v>
      </c>
      <c r="O9842" t="s">
        <v>43167</v>
      </c>
      <c r="P9842">
        <v>0</v>
      </c>
      <c r="Q9842">
        <v>5</v>
      </c>
      <c r="R9842" t="s">
        <v>43178</v>
      </c>
      <c r="S9842" t="s">
        <v>43522</v>
      </c>
      <c r="T9842" t="s">
        <v>44716</v>
      </c>
      <c r="U9842" t="s">
        <v>53099</v>
      </c>
      <c r="W9842" t="s">
        <v>40956</v>
      </c>
      <c r="X9842" t="s">
        <v>43179</v>
      </c>
    </row>
    <row r="9843" spans="1:24">
      <c r="A9843">
        <f>HYPERLINK("https://www.philgeps.gov.ph/GEPSNONPILOT/Tender/SplashBidNoticeAbstractUI.aspx?menuIndex=3&amp;refID=7067553&amp;Result=3","7067553")</f>
        <v>0</v>
      </c>
      <c r="B9843" t="s">
        <v>2258</v>
      </c>
      <c r="C9843" t="s">
        <v>12798</v>
      </c>
      <c r="D9843" t="s">
        <v>17454</v>
      </c>
      <c r="E9843" t="s">
        <v>25926</v>
      </c>
      <c r="F9843" t="s">
        <v>30052</v>
      </c>
      <c r="G9843" t="s">
        <v>30058</v>
      </c>
      <c r="H9843" t="s">
        <v>30067</v>
      </c>
      <c r="I9843" t="s">
        <v>3736</v>
      </c>
      <c r="J9843" t="s">
        <v>36215</v>
      </c>
      <c r="K9843" t="s">
        <v>39029</v>
      </c>
      <c r="M9843" t="s">
        <v>41736</v>
      </c>
      <c r="N9843" t="s">
        <v>43166</v>
      </c>
      <c r="O9843" t="s">
        <v>43167</v>
      </c>
      <c r="P9843">
        <v>0</v>
      </c>
      <c r="Q9843">
        <v>2</v>
      </c>
      <c r="R9843" t="s">
        <v>43178</v>
      </c>
      <c r="S9843" t="s">
        <v>43522</v>
      </c>
      <c r="T9843" t="s">
        <v>44903</v>
      </c>
      <c r="U9843" t="s">
        <v>53100</v>
      </c>
      <c r="V9843" t="s">
        <v>57916</v>
      </c>
      <c r="W9843" t="s">
        <v>41736</v>
      </c>
      <c r="X9843" t="s">
        <v>43179</v>
      </c>
    </row>
    <row r="9844" spans="1:24">
      <c r="A9844">
        <f>HYPERLINK("https://www.philgeps.gov.ph/GEPSNONPILOT/Tender/SplashBidNoticeAbstractUI.aspx?menuIndex=3&amp;refID=7068310&amp;Result=3","7068310")</f>
        <v>0</v>
      </c>
      <c r="B9844" t="s">
        <v>1302</v>
      </c>
      <c r="C9844" t="s">
        <v>6743</v>
      </c>
      <c r="D9844" t="s">
        <v>17425</v>
      </c>
      <c r="E9844" t="s">
        <v>20523</v>
      </c>
      <c r="F9844" t="s">
        <v>30055</v>
      </c>
      <c r="G9844" t="s">
        <v>30058</v>
      </c>
      <c r="H9844" t="s">
        <v>30067</v>
      </c>
      <c r="I9844" t="s">
        <v>3693</v>
      </c>
      <c r="J9844" t="s">
        <v>32496</v>
      </c>
      <c r="K9844" t="s">
        <v>39126</v>
      </c>
      <c r="M9844" t="s">
        <v>40669</v>
      </c>
      <c r="N9844" t="s">
        <v>43166</v>
      </c>
      <c r="O9844" t="s">
        <v>43167</v>
      </c>
      <c r="P9844">
        <v>0</v>
      </c>
      <c r="Q9844">
        <v>2</v>
      </c>
      <c r="R9844" t="s">
        <v>43178</v>
      </c>
      <c r="S9844" t="s">
        <v>43522</v>
      </c>
      <c r="T9844" t="s">
        <v>44733</v>
      </c>
      <c r="U9844" t="s">
        <v>48071</v>
      </c>
      <c r="W9844" t="s">
        <v>40669</v>
      </c>
      <c r="X9844" t="s">
        <v>43179</v>
      </c>
    </row>
    <row r="9845" spans="1:24">
      <c r="A9845">
        <f>HYPERLINK("https://www.philgeps.gov.ph/GEPSNONPILOT/Tender/SplashBidNoticeAbstractUI.aspx?menuIndex=3&amp;refID=7068297&amp;Result=3","7068297")</f>
        <v>0</v>
      </c>
      <c r="B9845" t="s">
        <v>2654</v>
      </c>
      <c r="C9845" t="s">
        <v>12799</v>
      </c>
      <c r="D9845" t="s">
        <v>17476</v>
      </c>
      <c r="E9845" t="s">
        <v>25927</v>
      </c>
      <c r="F9845" t="s">
        <v>30052</v>
      </c>
      <c r="G9845" t="s">
        <v>30058</v>
      </c>
      <c r="H9845" t="s">
        <v>30067</v>
      </c>
      <c r="I9845" t="s">
        <v>30152</v>
      </c>
      <c r="J9845" t="s">
        <v>36216</v>
      </c>
      <c r="K9845" t="s">
        <v>39023</v>
      </c>
      <c r="M9845" t="s">
        <v>42172</v>
      </c>
      <c r="N9845" t="s">
        <v>43166</v>
      </c>
      <c r="O9845" t="s">
        <v>43167</v>
      </c>
      <c r="P9845">
        <v>0</v>
      </c>
      <c r="Q9845">
        <v>0</v>
      </c>
      <c r="R9845" t="s">
        <v>43178</v>
      </c>
      <c r="S9845" t="s">
        <v>43522</v>
      </c>
      <c r="T9845" t="s">
        <v>44873</v>
      </c>
      <c r="U9845" t="s">
        <v>53101</v>
      </c>
      <c r="W9845" t="s">
        <v>42172</v>
      </c>
      <c r="X9845" t="s">
        <v>43179</v>
      </c>
    </row>
    <row r="9846" spans="1:24">
      <c r="A9846">
        <f>HYPERLINK("https://www.philgeps.gov.ph/GEPSNONPILOT/Tender/SplashBidNoticeAbstractUI.aspx?menuIndex=3&amp;refID=7068277&amp;Result=3","7068277")</f>
        <v>0</v>
      </c>
      <c r="B9846" t="s">
        <v>1581</v>
      </c>
      <c r="C9846" t="s">
        <v>12800</v>
      </c>
      <c r="E9846" t="s">
        <v>25928</v>
      </c>
      <c r="F9846" t="s">
        <v>30052</v>
      </c>
      <c r="G9846" t="s">
        <v>30058</v>
      </c>
      <c r="H9846" t="s">
        <v>15498</v>
      </c>
      <c r="I9846" t="s">
        <v>7228</v>
      </c>
      <c r="J9846" t="s">
        <v>36217</v>
      </c>
      <c r="K9846" t="s">
        <v>39025</v>
      </c>
      <c r="M9846" t="s">
        <v>40974</v>
      </c>
      <c r="N9846" t="s">
        <v>43166</v>
      </c>
      <c r="O9846" t="s">
        <v>43167</v>
      </c>
      <c r="Q9846">
        <v>3</v>
      </c>
      <c r="R9846" t="s">
        <v>43178</v>
      </c>
      <c r="S9846" t="s">
        <v>43535</v>
      </c>
      <c r="T9846" t="s">
        <v>45129</v>
      </c>
      <c r="U9846" t="s">
        <v>53102</v>
      </c>
      <c r="W9846" t="s">
        <v>40974</v>
      </c>
      <c r="X9846" t="s">
        <v>43179</v>
      </c>
    </row>
    <row r="9847" spans="1:24">
      <c r="A9847">
        <f>HYPERLINK("https://www.philgeps.gov.ph/GEPSNONPILOT/Tender/SplashBidNoticeAbstractUI.aspx?menuIndex=3&amp;refID=7068340&amp;Result=3","7068340")</f>
        <v>0</v>
      </c>
      <c r="B9847" t="s">
        <v>2853</v>
      </c>
      <c r="C9847" t="s">
        <v>12801</v>
      </c>
      <c r="D9847" t="s">
        <v>17415</v>
      </c>
      <c r="E9847" t="s">
        <v>18698</v>
      </c>
      <c r="F9847" t="s">
        <v>30052</v>
      </c>
      <c r="G9847" t="s">
        <v>30059</v>
      </c>
      <c r="H9847" t="s">
        <v>30069</v>
      </c>
      <c r="I9847" t="s">
        <v>6304</v>
      </c>
      <c r="J9847" t="s">
        <v>31710</v>
      </c>
      <c r="K9847" t="s">
        <v>39064</v>
      </c>
      <c r="M9847" t="s">
        <v>42400</v>
      </c>
      <c r="N9847" t="s">
        <v>43166</v>
      </c>
      <c r="O9847" t="s">
        <v>43167</v>
      </c>
      <c r="P9847">
        <v>0</v>
      </c>
      <c r="Q9847">
        <v>4</v>
      </c>
      <c r="R9847" t="s">
        <v>43178</v>
      </c>
      <c r="S9847" t="s">
        <v>43522</v>
      </c>
      <c r="T9847" t="s">
        <v>44870</v>
      </c>
      <c r="U9847" t="s">
        <v>53103</v>
      </c>
      <c r="W9847" t="s">
        <v>42400</v>
      </c>
      <c r="X9847" t="s">
        <v>43179</v>
      </c>
    </row>
    <row r="9848" spans="1:24">
      <c r="A9848">
        <f>HYPERLINK("https://www.philgeps.gov.ph/GEPSNONPILOT/Tender/SplashBidNoticeAbstractUI.aspx?menuIndex=3&amp;refID=7068270&amp;Result=3","7068270")</f>
        <v>0</v>
      </c>
      <c r="B9848" t="s">
        <v>2849</v>
      </c>
      <c r="C9848" t="s">
        <v>12802</v>
      </c>
      <c r="D9848" t="s">
        <v>17459</v>
      </c>
      <c r="E9848" t="s">
        <v>25929</v>
      </c>
      <c r="F9848" t="s">
        <v>30052</v>
      </c>
      <c r="G9848" t="s">
        <v>30058</v>
      </c>
      <c r="H9848" t="s">
        <v>30067</v>
      </c>
      <c r="I9848" t="s">
        <v>3693</v>
      </c>
      <c r="J9848" t="s">
        <v>30377</v>
      </c>
      <c r="K9848" t="s">
        <v>39105</v>
      </c>
      <c r="M9848" t="s">
        <v>42395</v>
      </c>
      <c r="N9848" t="s">
        <v>43166</v>
      </c>
      <c r="O9848" t="s">
        <v>43167</v>
      </c>
      <c r="P9848">
        <v>0</v>
      </c>
      <c r="Q9848">
        <v>0</v>
      </c>
      <c r="R9848" t="s">
        <v>43178</v>
      </c>
      <c r="S9848" t="s">
        <v>43522</v>
      </c>
      <c r="T9848" t="s">
        <v>44756</v>
      </c>
      <c r="U9848" t="s">
        <v>53104</v>
      </c>
      <c r="V9848" t="s">
        <v>57931</v>
      </c>
      <c r="W9848" t="s">
        <v>42395</v>
      </c>
      <c r="X9848" t="s">
        <v>43179</v>
      </c>
    </row>
    <row r="9849" spans="1:24">
      <c r="A9849">
        <f>HYPERLINK("https://www.philgeps.gov.ph/GEPSNONPILOT/Tender/SplashBidNoticeAbstractUI.aspx?menuIndex=3&amp;refID=7068318&amp;Result=3","7068318")</f>
        <v>0</v>
      </c>
      <c r="B9849" t="s">
        <v>2839</v>
      </c>
      <c r="C9849" t="s">
        <v>12803</v>
      </c>
      <c r="D9849" t="s">
        <v>17453</v>
      </c>
      <c r="E9849" t="s">
        <v>25930</v>
      </c>
      <c r="F9849" t="s">
        <v>30052</v>
      </c>
      <c r="G9849" t="s">
        <v>30058</v>
      </c>
      <c r="H9849" t="s">
        <v>30067</v>
      </c>
      <c r="I9849" t="s">
        <v>3693</v>
      </c>
      <c r="J9849" t="s">
        <v>36218</v>
      </c>
      <c r="K9849" t="s">
        <v>39025</v>
      </c>
      <c r="M9849" t="s">
        <v>42385</v>
      </c>
      <c r="N9849" t="s">
        <v>43166</v>
      </c>
      <c r="O9849" t="s">
        <v>43167</v>
      </c>
      <c r="P9849">
        <v>0</v>
      </c>
      <c r="Q9849">
        <v>0</v>
      </c>
      <c r="R9849" t="s">
        <v>43178</v>
      </c>
      <c r="S9849" t="s">
        <v>43522</v>
      </c>
      <c r="T9849" t="s">
        <v>44780</v>
      </c>
      <c r="U9849" t="s">
        <v>53105</v>
      </c>
      <c r="W9849" t="s">
        <v>42385</v>
      </c>
      <c r="X9849" t="s">
        <v>43179</v>
      </c>
    </row>
    <row r="9850" spans="1:24">
      <c r="A9850">
        <f>HYPERLINK("https://www.philgeps.gov.ph/GEPSNONPILOT/Tender/SplashBidNoticeAbstractUI.aspx?menuIndex=3&amp;refID=7067584&amp;Result=3","7067584")</f>
        <v>0</v>
      </c>
      <c r="B9850" t="s">
        <v>820</v>
      </c>
      <c r="C9850" t="s">
        <v>12804</v>
      </c>
      <c r="D9850" t="s">
        <v>17472</v>
      </c>
      <c r="E9850" t="s">
        <v>25931</v>
      </c>
      <c r="F9850" t="s">
        <v>30052</v>
      </c>
      <c r="G9850" t="s">
        <v>30058</v>
      </c>
      <c r="H9850" t="s">
        <v>30067</v>
      </c>
      <c r="I9850" t="s">
        <v>3693</v>
      </c>
      <c r="J9850" t="s">
        <v>36219</v>
      </c>
      <c r="K9850" t="s">
        <v>39065</v>
      </c>
      <c r="M9850" t="s">
        <v>40137</v>
      </c>
      <c r="N9850" t="s">
        <v>43166</v>
      </c>
      <c r="O9850" t="s">
        <v>43167</v>
      </c>
      <c r="P9850">
        <v>0</v>
      </c>
      <c r="Q9850">
        <v>0</v>
      </c>
      <c r="R9850" t="s">
        <v>43178</v>
      </c>
      <c r="S9850" t="s">
        <v>43522</v>
      </c>
      <c r="T9850" t="s">
        <v>44768</v>
      </c>
      <c r="U9850" t="s">
        <v>53106</v>
      </c>
      <c r="V9850" t="s">
        <v>57915</v>
      </c>
      <c r="W9850" t="s">
        <v>40137</v>
      </c>
      <c r="X9850" t="s">
        <v>43179</v>
      </c>
    </row>
    <row r="9851" spans="1:24">
      <c r="A9851">
        <f>HYPERLINK("https://www.philgeps.gov.ph/GEPSNONPILOT/Tender/SplashBidNoticeAbstractUI.aspx?menuIndex=3&amp;refID=7068226&amp;Result=3","7068226")</f>
        <v>0</v>
      </c>
      <c r="B9851" t="s">
        <v>924</v>
      </c>
      <c r="C9851" t="s">
        <v>12805</v>
      </c>
      <c r="E9851" t="s">
        <v>25932</v>
      </c>
      <c r="F9851" t="s">
        <v>30052</v>
      </c>
      <c r="G9851" t="s">
        <v>30058</v>
      </c>
      <c r="H9851" t="s">
        <v>30067</v>
      </c>
      <c r="I9851" t="s">
        <v>3693</v>
      </c>
      <c r="J9851" t="s">
        <v>36220</v>
      </c>
      <c r="K9851" t="s">
        <v>39025</v>
      </c>
      <c r="M9851" t="s">
        <v>40247</v>
      </c>
      <c r="N9851" t="s">
        <v>43166</v>
      </c>
      <c r="O9851" t="s">
        <v>43167</v>
      </c>
      <c r="Q9851">
        <v>17</v>
      </c>
      <c r="R9851" t="s">
        <v>43178</v>
      </c>
      <c r="S9851" t="s">
        <v>43536</v>
      </c>
      <c r="T9851" t="s">
        <v>44750</v>
      </c>
      <c r="U9851" t="s">
        <v>47052</v>
      </c>
      <c r="W9851" t="s">
        <v>58617</v>
      </c>
      <c r="X9851" t="s">
        <v>43179</v>
      </c>
    </row>
    <row r="9852" spans="1:24">
      <c r="A9852">
        <f>HYPERLINK("https://www.philgeps.gov.ph/GEPSNONPILOT/Tender/SplashBidNoticeAbstractUI.aspx?menuIndex=3&amp;refID=7068249&amp;Result=3","7068249")</f>
        <v>0</v>
      </c>
      <c r="B9852" t="s">
        <v>924</v>
      </c>
      <c r="C9852" t="s">
        <v>12806</v>
      </c>
      <c r="E9852" t="s">
        <v>25933</v>
      </c>
      <c r="F9852" t="s">
        <v>30052</v>
      </c>
      <c r="G9852" t="s">
        <v>30058</v>
      </c>
      <c r="H9852" t="s">
        <v>30067</v>
      </c>
      <c r="I9852" t="s">
        <v>3693</v>
      </c>
      <c r="J9852" t="s">
        <v>36221</v>
      </c>
      <c r="K9852" t="s">
        <v>39025</v>
      </c>
      <c r="M9852" t="s">
        <v>40247</v>
      </c>
      <c r="N9852" t="s">
        <v>43166</v>
      </c>
      <c r="O9852" t="s">
        <v>43167</v>
      </c>
      <c r="Q9852">
        <v>18</v>
      </c>
      <c r="R9852" t="s">
        <v>43178</v>
      </c>
      <c r="S9852" t="s">
        <v>43537</v>
      </c>
      <c r="T9852" t="s">
        <v>44750</v>
      </c>
      <c r="U9852" t="s">
        <v>47052</v>
      </c>
      <c r="W9852" t="s">
        <v>58617</v>
      </c>
      <c r="X9852" t="s">
        <v>43179</v>
      </c>
    </row>
    <row r="9853" spans="1:24">
      <c r="A9853">
        <f>HYPERLINK("https://www.philgeps.gov.ph/GEPSNONPILOT/Tender/SplashBidNoticeAbstractUI.aspx?menuIndex=3&amp;refID=7068301&amp;Result=3","7068301")</f>
        <v>0</v>
      </c>
      <c r="B9853" t="s">
        <v>422</v>
      </c>
      <c r="C9853" t="s">
        <v>12807</v>
      </c>
      <c r="D9853" t="s">
        <v>17455</v>
      </c>
      <c r="E9853" t="s">
        <v>25934</v>
      </c>
      <c r="F9853" t="s">
        <v>30052</v>
      </c>
      <c r="G9853" t="s">
        <v>30059</v>
      </c>
      <c r="H9853" t="s">
        <v>15498</v>
      </c>
      <c r="I9853" t="s">
        <v>9238</v>
      </c>
      <c r="J9853" t="s">
        <v>34470</v>
      </c>
      <c r="K9853" t="s">
        <v>39025</v>
      </c>
      <c r="M9853" t="s">
        <v>40641</v>
      </c>
      <c r="N9853" t="s">
        <v>43166</v>
      </c>
      <c r="O9853" t="s">
        <v>43167</v>
      </c>
      <c r="Q9853">
        <v>22</v>
      </c>
      <c r="R9853" t="s">
        <v>43178</v>
      </c>
      <c r="S9853" t="s">
        <v>43538</v>
      </c>
      <c r="T9853" t="s">
        <v>44844</v>
      </c>
      <c r="U9853" t="s">
        <v>48012</v>
      </c>
      <c r="W9853" t="s">
        <v>40641</v>
      </c>
      <c r="X9853" t="s">
        <v>43179</v>
      </c>
    </row>
    <row r="9854" spans="1:24">
      <c r="A9854">
        <f>HYPERLINK("https://www.philgeps.gov.ph/GEPSNONPILOT/Tender/SplashBidNoticeAbstractUI.aspx?menuIndex=3&amp;refID=7068331&amp;Result=3","7068331")</f>
        <v>0</v>
      </c>
      <c r="B9854" t="s">
        <v>2839</v>
      </c>
      <c r="C9854" t="s">
        <v>12808</v>
      </c>
      <c r="D9854" t="s">
        <v>17453</v>
      </c>
      <c r="E9854" t="s">
        <v>25935</v>
      </c>
      <c r="F9854" t="s">
        <v>30052</v>
      </c>
      <c r="G9854" t="s">
        <v>30058</v>
      </c>
      <c r="H9854" t="s">
        <v>30067</v>
      </c>
      <c r="I9854" t="s">
        <v>3693</v>
      </c>
      <c r="J9854" t="s">
        <v>36222</v>
      </c>
      <c r="K9854" t="s">
        <v>39025</v>
      </c>
      <c r="M9854" t="s">
        <v>42385</v>
      </c>
      <c r="N9854" t="s">
        <v>43166</v>
      </c>
      <c r="O9854" t="s">
        <v>43167</v>
      </c>
      <c r="P9854">
        <v>0</v>
      </c>
      <c r="Q9854">
        <v>0</v>
      </c>
      <c r="R9854" t="s">
        <v>43178</v>
      </c>
      <c r="S9854" t="s">
        <v>43522</v>
      </c>
      <c r="T9854" t="s">
        <v>44780</v>
      </c>
      <c r="U9854" t="s">
        <v>53107</v>
      </c>
      <c r="W9854" t="s">
        <v>42385</v>
      </c>
      <c r="X9854" t="s">
        <v>43179</v>
      </c>
    </row>
    <row r="9855" spans="1:24">
      <c r="A9855">
        <f>HYPERLINK("https://www.philgeps.gov.ph/GEPSNONPILOT/Tender/SplashBidNoticeAbstractUI.aspx?menuIndex=3&amp;refID=7068178&amp;Result=3","7068178")</f>
        <v>0</v>
      </c>
      <c r="B9855" t="s">
        <v>1361</v>
      </c>
      <c r="C9855" t="s">
        <v>12809</v>
      </c>
      <c r="D9855" t="s">
        <v>17484</v>
      </c>
      <c r="E9855" t="s">
        <v>24064</v>
      </c>
      <c r="F9855" t="s">
        <v>30052</v>
      </c>
      <c r="G9855" t="s">
        <v>30058</v>
      </c>
      <c r="H9855" t="s">
        <v>30067</v>
      </c>
      <c r="I9855" t="s">
        <v>3693</v>
      </c>
      <c r="J9855" t="s">
        <v>35179</v>
      </c>
      <c r="K9855" t="s">
        <v>39026</v>
      </c>
      <c r="M9855" t="s">
        <v>40730</v>
      </c>
      <c r="N9855" t="s">
        <v>43166</v>
      </c>
      <c r="O9855" t="s">
        <v>43167</v>
      </c>
      <c r="P9855">
        <v>0</v>
      </c>
      <c r="Q9855">
        <v>1</v>
      </c>
      <c r="R9855" t="s">
        <v>43178</v>
      </c>
      <c r="S9855" t="s">
        <v>43522</v>
      </c>
      <c r="T9855" t="s">
        <v>44763</v>
      </c>
      <c r="U9855" t="s">
        <v>53108</v>
      </c>
      <c r="W9855" t="s">
        <v>40730</v>
      </c>
      <c r="X9855" t="s">
        <v>43179</v>
      </c>
    </row>
    <row r="9856" spans="1:24">
      <c r="A9856">
        <f>HYPERLINK("https://www.philgeps.gov.ph/GEPSNONPILOT/Tender/SplashBidNoticeAbstractUI.aspx?menuIndex=3&amp;refID=7067868&amp;Result=3","7067868")</f>
        <v>0</v>
      </c>
      <c r="B9856" t="s">
        <v>2854</v>
      </c>
      <c r="C9856" t="s">
        <v>12810</v>
      </c>
      <c r="D9856" t="s">
        <v>17444</v>
      </c>
      <c r="E9856" t="s">
        <v>18583</v>
      </c>
      <c r="F9856" t="s">
        <v>30052</v>
      </c>
      <c r="G9856" t="s">
        <v>30058</v>
      </c>
      <c r="H9856" t="s">
        <v>15498</v>
      </c>
      <c r="I9856" t="s">
        <v>30073</v>
      </c>
      <c r="J9856" t="s">
        <v>30358</v>
      </c>
      <c r="K9856" t="s">
        <v>39034</v>
      </c>
      <c r="L9856" t="s">
        <v>2854</v>
      </c>
      <c r="M9856" t="s">
        <v>42401</v>
      </c>
      <c r="N9856" t="s">
        <v>43166</v>
      </c>
      <c r="O9856" t="s">
        <v>43167</v>
      </c>
      <c r="P9856">
        <v>0</v>
      </c>
      <c r="Q9856">
        <v>1</v>
      </c>
      <c r="R9856" t="s">
        <v>43178</v>
      </c>
      <c r="S9856" t="s">
        <v>43522</v>
      </c>
      <c r="T9856" t="s">
        <v>45002</v>
      </c>
      <c r="U9856" t="s">
        <v>53109</v>
      </c>
      <c r="W9856" t="s">
        <v>42401</v>
      </c>
      <c r="X9856" t="s">
        <v>43179</v>
      </c>
    </row>
    <row r="9857" spans="1:24">
      <c r="A9857">
        <f>HYPERLINK("https://www.philgeps.gov.ph/GEPSNONPILOT/Tender/SplashBidNoticeAbstractUI.aspx?menuIndex=3&amp;refID=7068348&amp;Result=3","7068348")</f>
        <v>0</v>
      </c>
      <c r="B9857" t="s">
        <v>2839</v>
      </c>
      <c r="C9857" t="s">
        <v>12811</v>
      </c>
      <c r="D9857" t="s">
        <v>17453</v>
      </c>
      <c r="E9857" t="s">
        <v>18857</v>
      </c>
      <c r="F9857" t="s">
        <v>30052</v>
      </c>
      <c r="G9857" t="s">
        <v>30058</v>
      </c>
      <c r="H9857" t="s">
        <v>30067</v>
      </c>
      <c r="I9857" t="s">
        <v>3693</v>
      </c>
      <c r="J9857" t="s">
        <v>30559</v>
      </c>
      <c r="K9857" t="s">
        <v>39025</v>
      </c>
      <c r="M9857" t="s">
        <v>42385</v>
      </c>
      <c r="N9857" t="s">
        <v>43166</v>
      </c>
      <c r="O9857" t="s">
        <v>43167</v>
      </c>
      <c r="P9857">
        <v>0</v>
      </c>
      <c r="Q9857">
        <v>0</v>
      </c>
      <c r="R9857" t="s">
        <v>43178</v>
      </c>
      <c r="S9857" t="s">
        <v>43522</v>
      </c>
      <c r="T9857" t="s">
        <v>44780</v>
      </c>
      <c r="U9857" t="s">
        <v>53110</v>
      </c>
      <c r="W9857" t="s">
        <v>42385</v>
      </c>
      <c r="X9857" t="s">
        <v>43179</v>
      </c>
    </row>
    <row r="9858" spans="1:24">
      <c r="A9858">
        <f>HYPERLINK("https://www.philgeps.gov.ph/GEPSNONPILOT/Tender/SplashBidNoticeAbstractUI.aspx?menuIndex=3&amp;refID=7068399&amp;Result=3","7068399")</f>
        <v>0</v>
      </c>
      <c r="B9858" t="s">
        <v>2839</v>
      </c>
      <c r="C9858" t="s">
        <v>12812</v>
      </c>
      <c r="D9858" t="s">
        <v>17453</v>
      </c>
      <c r="E9858" t="s">
        <v>25936</v>
      </c>
      <c r="F9858" t="s">
        <v>30052</v>
      </c>
      <c r="G9858" t="s">
        <v>30058</v>
      </c>
      <c r="H9858" t="s">
        <v>30067</v>
      </c>
      <c r="I9858" t="s">
        <v>3693</v>
      </c>
      <c r="J9858" t="s">
        <v>36223</v>
      </c>
      <c r="K9858" t="s">
        <v>39025</v>
      </c>
      <c r="M9858" t="s">
        <v>42385</v>
      </c>
      <c r="N9858" t="s">
        <v>43166</v>
      </c>
      <c r="O9858" t="s">
        <v>43167</v>
      </c>
      <c r="P9858">
        <v>0</v>
      </c>
      <c r="Q9858">
        <v>0</v>
      </c>
      <c r="R9858" t="s">
        <v>43178</v>
      </c>
      <c r="S9858" t="s">
        <v>43522</v>
      </c>
      <c r="T9858" t="s">
        <v>44828</v>
      </c>
      <c r="U9858" t="s">
        <v>53111</v>
      </c>
      <c r="W9858" t="s">
        <v>42385</v>
      </c>
      <c r="X9858" t="s">
        <v>43179</v>
      </c>
    </row>
    <row r="9859" spans="1:24">
      <c r="A9859">
        <f>HYPERLINK("https://www.philgeps.gov.ph/GEPSNONPILOT/Tender/SplashBidNoticeAbstractUI.aspx?menuIndex=3&amp;refID=7068197&amp;Result=3","7068197")</f>
        <v>0</v>
      </c>
      <c r="B9859" t="s">
        <v>2014</v>
      </c>
      <c r="C9859" t="s">
        <v>12813</v>
      </c>
      <c r="D9859" t="s">
        <v>17413</v>
      </c>
      <c r="E9859" t="s">
        <v>25937</v>
      </c>
      <c r="F9859" t="s">
        <v>30052</v>
      </c>
      <c r="G9859" t="s">
        <v>30058</v>
      </c>
      <c r="H9859" t="s">
        <v>15498</v>
      </c>
      <c r="I9859" t="s">
        <v>3693</v>
      </c>
      <c r="J9859" t="s">
        <v>36224</v>
      </c>
      <c r="K9859" t="s">
        <v>39026</v>
      </c>
      <c r="M9859" t="s">
        <v>41459</v>
      </c>
      <c r="N9859" t="s">
        <v>43166</v>
      </c>
      <c r="O9859" t="s">
        <v>43167</v>
      </c>
      <c r="P9859">
        <v>0</v>
      </c>
      <c r="Q9859">
        <v>6</v>
      </c>
      <c r="R9859" t="s">
        <v>43178</v>
      </c>
      <c r="S9859" t="s">
        <v>43522</v>
      </c>
      <c r="T9859" t="s">
        <v>44750</v>
      </c>
      <c r="U9859" t="s">
        <v>53112</v>
      </c>
      <c r="W9859" t="s">
        <v>41459</v>
      </c>
      <c r="X9859" t="s">
        <v>43179</v>
      </c>
    </row>
    <row r="9860" spans="1:24">
      <c r="A9860">
        <f>HYPERLINK("https://www.philgeps.gov.ph/GEPSNONPILOT/Tender/SplashBidNoticeAbstractUI.aspx?menuIndex=3&amp;refID=7068457&amp;Result=3","7068457")</f>
        <v>0</v>
      </c>
      <c r="B9860" t="s">
        <v>2780</v>
      </c>
      <c r="C9860" t="s">
        <v>12814</v>
      </c>
      <c r="D9860" t="s">
        <v>17466</v>
      </c>
      <c r="E9860" t="s">
        <v>25938</v>
      </c>
      <c r="F9860" t="s">
        <v>30052</v>
      </c>
      <c r="G9860" t="s">
        <v>30059</v>
      </c>
      <c r="H9860" t="s">
        <v>15498</v>
      </c>
      <c r="I9860" t="s">
        <v>9238</v>
      </c>
      <c r="J9860" t="s">
        <v>36225</v>
      </c>
      <c r="K9860" t="s">
        <v>39023</v>
      </c>
      <c r="M9860" t="s">
        <v>42316</v>
      </c>
      <c r="N9860" t="s">
        <v>43166</v>
      </c>
      <c r="O9860" t="s">
        <v>43167</v>
      </c>
      <c r="P9860">
        <v>0</v>
      </c>
      <c r="Q9860">
        <v>32</v>
      </c>
      <c r="R9860" t="s">
        <v>43178</v>
      </c>
      <c r="S9860" t="s">
        <v>43522</v>
      </c>
      <c r="T9860" t="s">
        <v>44732</v>
      </c>
      <c r="U9860" t="s">
        <v>53113</v>
      </c>
      <c r="W9860" t="s">
        <v>42316</v>
      </c>
      <c r="X9860" t="s">
        <v>43179</v>
      </c>
    </row>
    <row r="9861" spans="1:24">
      <c r="A9861">
        <f>HYPERLINK("https://www.philgeps.gov.ph/GEPSNONPILOT/Tender/SplashBidNoticeAbstractUI.aspx?menuIndex=3&amp;refID=7068188&amp;Result=3","7068188")</f>
        <v>0</v>
      </c>
      <c r="B9861" t="s">
        <v>2289</v>
      </c>
      <c r="C9861" t="s">
        <v>12815</v>
      </c>
      <c r="D9861" t="s">
        <v>17474</v>
      </c>
      <c r="E9861" t="s">
        <v>25939</v>
      </c>
      <c r="F9861" t="s">
        <v>30055</v>
      </c>
      <c r="G9861" t="s">
        <v>30058</v>
      </c>
      <c r="H9861" t="s">
        <v>30067</v>
      </c>
      <c r="I9861" t="s">
        <v>3693</v>
      </c>
      <c r="J9861" t="s">
        <v>30297</v>
      </c>
      <c r="K9861" t="s">
        <v>39035</v>
      </c>
      <c r="M9861" t="s">
        <v>41772</v>
      </c>
      <c r="N9861" t="s">
        <v>43166</v>
      </c>
      <c r="O9861" t="s">
        <v>43167</v>
      </c>
      <c r="P9861">
        <v>0</v>
      </c>
      <c r="Q9861">
        <v>1</v>
      </c>
      <c r="R9861" t="s">
        <v>43178</v>
      </c>
      <c r="S9861" t="s">
        <v>43522</v>
      </c>
      <c r="T9861" t="s">
        <v>44794</v>
      </c>
      <c r="U9861" t="s">
        <v>53114</v>
      </c>
      <c r="V9861" t="s">
        <v>57932</v>
      </c>
      <c r="W9861" t="s">
        <v>41772</v>
      </c>
      <c r="X9861" t="s">
        <v>43179</v>
      </c>
    </row>
    <row r="9862" spans="1:24">
      <c r="A9862">
        <f>HYPERLINK("https://www.philgeps.gov.ph/GEPSNONPILOT/Tender/SplashBidNoticeAbstractUI.aspx?menuIndex=3&amp;refID=7068450&amp;Result=3","7068450")</f>
        <v>0</v>
      </c>
      <c r="B9862" t="s">
        <v>2055</v>
      </c>
      <c r="C9862" t="s">
        <v>12816</v>
      </c>
      <c r="D9862" t="s">
        <v>17419</v>
      </c>
      <c r="E9862" t="s">
        <v>25940</v>
      </c>
      <c r="F9862" t="s">
        <v>30052</v>
      </c>
      <c r="G9862" t="s">
        <v>30058</v>
      </c>
      <c r="H9862" t="s">
        <v>15498</v>
      </c>
      <c r="I9862" t="s">
        <v>9238</v>
      </c>
      <c r="J9862" t="s">
        <v>33141</v>
      </c>
      <c r="K9862" t="s">
        <v>39025</v>
      </c>
      <c r="M9862" t="s">
        <v>42300</v>
      </c>
      <c r="N9862" t="s">
        <v>43166</v>
      </c>
      <c r="O9862" t="s">
        <v>43167</v>
      </c>
      <c r="P9862">
        <v>0</v>
      </c>
      <c r="Q9862">
        <v>22</v>
      </c>
      <c r="R9862" t="s">
        <v>43178</v>
      </c>
      <c r="S9862" t="s">
        <v>43522</v>
      </c>
      <c r="T9862" t="s">
        <v>44830</v>
      </c>
      <c r="U9862" t="s">
        <v>53115</v>
      </c>
      <c r="W9862" t="s">
        <v>42300</v>
      </c>
      <c r="X9862" t="s">
        <v>43179</v>
      </c>
    </row>
    <row r="9863" spans="1:24">
      <c r="A9863">
        <f>HYPERLINK("https://www.philgeps.gov.ph/GEPSNONPILOT/Tender/SplashBidNoticeAbstractUI.aspx?menuIndex=3&amp;refID=7068272&amp;Result=3","7068272")</f>
        <v>0</v>
      </c>
      <c r="B9863" t="s">
        <v>2843</v>
      </c>
      <c r="C9863" t="s">
        <v>12817</v>
      </c>
      <c r="D9863" t="s">
        <v>17422</v>
      </c>
      <c r="E9863" t="s">
        <v>18342</v>
      </c>
      <c r="F9863" t="s">
        <v>30052</v>
      </c>
      <c r="G9863" t="s">
        <v>30058</v>
      </c>
      <c r="H9863" t="s">
        <v>30067</v>
      </c>
      <c r="I9863" t="s">
        <v>3693</v>
      </c>
      <c r="J9863" t="s">
        <v>36226</v>
      </c>
      <c r="K9863" t="s">
        <v>39046</v>
      </c>
      <c r="M9863" t="s">
        <v>42389</v>
      </c>
      <c r="N9863" t="s">
        <v>43166</v>
      </c>
      <c r="O9863" t="s">
        <v>43167</v>
      </c>
      <c r="P9863">
        <v>0</v>
      </c>
      <c r="Q9863">
        <v>0</v>
      </c>
      <c r="R9863" t="s">
        <v>43178</v>
      </c>
      <c r="S9863" t="s">
        <v>43522</v>
      </c>
      <c r="T9863" t="s">
        <v>44751</v>
      </c>
      <c r="U9863" t="s">
        <v>53116</v>
      </c>
      <c r="W9863" t="s">
        <v>42389</v>
      </c>
      <c r="X9863" t="s">
        <v>43179</v>
      </c>
    </row>
    <row r="9864" spans="1:24">
      <c r="A9864">
        <f>HYPERLINK("https://www.philgeps.gov.ph/GEPSNONPILOT/Tender/SplashBidNoticeAbstractUI.aspx?menuIndex=3&amp;refID=7068443&amp;Result=3","7068443")</f>
        <v>0</v>
      </c>
      <c r="B9864" t="s">
        <v>2855</v>
      </c>
      <c r="C9864" t="s">
        <v>12818</v>
      </c>
      <c r="D9864" t="s">
        <v>17442</v>
      </c>
      <c r="E9864" t="s">
        <v>25941</v>
      </c>
      <c r="F9864" t="s">
        <v>30052</v>
      </c>
      <c r="G9864" t="s">
        <v>30058</v>
      </c>
      <c r="H9864" t="s">
        <v>15498</v>
      </c>
      <c r="I9864" t="s">
        <v>3736</v>
      </c>
      <c r="J9864" t="s">
        <v>36227</v>
      </c>
      <c r="K9864" t="s">
        <v>39029</v>
      </c>
      <c r="M9864" t="s">
        <v>42402</v>
      </c>
      <c r="N9864" t="s">
        <v>43166</v>
      </c>
      <c r="O9864" t="s">
        <v>43167</v>
      </c>
      <c r="P9864">
        <v>0</v>
      </c>
      <c r="Q9864">
        <v>1</v>
      </c>
      <c r="R9864" t="s">
        <v>43178</v>
      </c>
      <c r="S9864" t="s">
        <v>43522</v>
      </c>
      <c r="T9864" t="s">
        <v>44716</v>
      </c>
      <c r="U9864" t="s">
        <v>53117</v>
      </c>
      <c r="W9864" t="s">
        <v>42402</v>
      </c>
      <c r="X9864" t="s">
        <v>43179</v>
      </c>
    </row>
    <row r="9865" spans="1:24">
      <c r="A9865">
        <f>HYPERLINK("https://www.philgeps.gov.ph/GEPSNONPILOT/Tender/SplashBidNoticeAbstractUI.aspx?menuIndex=3&amp;refID=7068433&amp;Result=3","7068433")</f>
        <v>0</v>
      </c>
      <c r="B9865" t="s">
        <v>439</v>
      </c>
      <c r="C9865" t="s">
        <v>12819</v>
      </c>
      <c r="D9865" t="s">
        <v>17415</v>
      </c>
      <c r="E9865" t="s">
        <v>25942</v>
      </c>
      <c r="F9865" t="s">
        <v>30052</v>
      </c>
      <c r="G9865" t="s">
        <v>30060</v>
      </c>
      <c r="H9865" t="s">
        <v>15498</v>
      </c>
      <c r="I9865" t="s">
        <v>30105</v>
      </c>
      <c r="J9865" t="s">
        <v>36228</v>
      </c>
      <c r="K9865" t="s">
        <v>39029</v>
      </c>
      <c r="M9865" t="s">
        <v>42403</v>
      </c>
      <c r="N9865" t="s">
        <v>43166</v>
      </c>
      <c r="O9865" t="s">
        <v>43167</v>
      </c>
      <c r="Q9865">
        <v>10</v>
      </c>
      <c r="R9865" t="s">
        <v>43178</v>
      </c>
      <c r="S9865" t="s">
        <v>43539</v>
      </c>
      <c r="T9865" t="s">
        <v>44802</v>
      </c>
      <c r="U9865" t="s">
        <v>53118</v>
      </c>
      <c r="V9865" t="s">
        <v>57933</v>
      </c>
      <c r="W9865" t="s">
        <v>42403</v>
      </c>
      <c r="X9865" t="s">
        <v>43179</v>
      </c>
    </row>
    <row r="9866" spans="1:24">
      <c r="A9866">
        <f>HYPERLINK("https://www.philgeps.gov.ph/GEPSNONPILOT/Tender/SplashBidNoticeAbstractUI.aspx?menuIndex=3&amp;refID=7068429&amp;Result=3","7068429")</f>
        <v>0</v>
      </c>
      <c r="B9866" t="s">
        <v>2780</v>
      </c>
      <c r="C9866" t="s">
        <v>12820</v>
      </c>
      <c r="D9866" t="s">
        <v>17466</v>
      </c>
      <c r="E9866" t="s">
        <v>25943</v>
      </c>
      <c r="F9866" t="s">
        <v>30052</v>
      </c>
      <c r="G9866" t="s">
        <v>30059</v>
      </c>
      <c r="H9866" t="s">
        <v>15498</v>
      </c>
      <c r="I9866" t="s">
        <v>9238</v>
      </c>
      <c r="J9866" t="s">
        <v>30230</v>
      </c>
      <c r="K9866" t="s">
        <v>39023</v>
      </c>
      <c r="M9866" t="s">
        <v>42316</v>
      </c>
      <c r="N9866" t="s">
        <v>43166</v>
      </c>
      <c r="O9866" t="s">
        <v>43167</v>
      </c>
      <c r="P9866">
        <v>0</v>
      </c>
      <c r="Q9866">
        <v>31</v>
      </c>
      <c r="R9866" t="s">
        <v>43178</v>
      </c>
      <c r="S9866" t="s">
        <v>43522</v>
      </c>
      <c r="T9866" t="s">
        <v>44732</v>
      </c>
      <c r="U9866" t="s">
        <v>53119</v>
      </c>
      <c r="W9866" t="s">
        <v>42316</v>
      </c>
      <c r="X9866" t="s">
        <v>43179</v>
      </c>
    </row>
    <row r="9867" spans="1:24">
      <c r="A9867">
        <f>HYPERLINK("https://www.philgeps.gov.ph/GEPSNONPILOT/Tender/SplashBidNoticeAbstractUI.aspx?menuIndex=3&amp;refID=7068413&amp;Result=3","7068413")</f>
        <v>0</v>
      </c>
      <c r="B9867" t="s">
        <v>2856</v>
      </c>
      <c r="C9867" t="s">
        <v>12821</v>
      </c>
      <c r="D9867" t="s">
        <v>17464</v>
      </c>
      <c r="E9867" t="s">
        <v>25944</v>
      </c>
      <c r="F9867" t="s">
        <v>30052</v>
      </c>
      <c r="G9867" t="s">
        <v>30058</v>
      </c>
      <c r="H9867" t="s">
        <v>15498</v>
      </c>
      <c r="I9867" t="s">
        <v>8323</v>
      </c>
      <c r="J9867" t="s">
        <v>36229</v>
      </c>
      <c r="K9867" t="s">
        <v>39029</v>
      </c>
      <c r="M9867" t="s">
        <v>42404</v>
      </c>
      <c r="N9867" t="s">
        <v>43166</v>
      </c>
      <c r="O9867" t="s">
        <v>43167</v>
      </c>
      <c r="P9867">
        <v>0</v>
      </c>
      <c r="Q9867">
        <v>9</v>
      </c>
      <c r="R9867" t="s">
        <v>43178</v>
      </c>
      <c r="S9867" t="s">
        <v>43522</v>
      </c>
      <c r="T9867" t="s">
        <v>44720</v>
      </c>
      <c r="U9867" t="s">
        <v>53120</v>
      </c>
      <c r="V9867" t="s">
        <v>57934</v>
      </c>
      <c r="W9867" t="s">
        <v>42404</v>
      </c>
      <c r="X9867" t="s">
        <v>43179</v>
      </c>
    </row>
    <row r="9868" spans="1:24">
      <c r="A9868">
        <f>HYPERLINK("https://www.philgeps.gov.ph/GEPSNONPILOT/Tender/SplashBidNoticeAbstractUI.aspx?menuIndex=3&amp;refID=7068205&amp;Result=3","7068205")</f>
        <v>0</v>
      </c>
      <c r="B9868" t="s">
        <v>924</v>
      </c>
      <c r="C9868" t="s">
        <v>12822</v>
      </c>
      <c r="E9868" t="s">
        <v>25945</v>
      </c>
      <c r="F9868" t="s">
        <v>30052</v>
      </c>
      <c r="G9868" t="s">
        <v>30058</v>
      </c>
      <c r="H9868" t="s">
        <v>30067</v>
      </c>
      <c r="I9868" t="s">
        <v>3693</v>
      </c>
      <c r="J9868" t="s">
        <v>36230</v>
      </c>
      <c r="K9868" t="s">
        <v>39025</v>
      </c>
      <c r="M9868" t="s">
        <v>40247</v>
      </c>
      <c r="N9868" t="s">
        <v>43166</v>
      </c>
      <c r="O9868" t="s">
        <v>43167</v>
      </c>
      <c r="Q9868">
        <v>15</v>
      </c>
      <c r="R9868" t="s">
        <v>43178</v>
      </c>
      <c r="S9868" t="s">
        <v>43540</v>
      </c>
      <c r="T9868" t="s">
        <v>44750</v>
      </c>
      <c r="U9868" t="s">
        <v>47052</v>
      </c>
      <c r="W9868" t="s">
        <v>58617</v>
      </c>
      <c r="X9868" t="s">
        <v>43179</v>
      </c>
    </row>
    <row r="9869" spans="1:24">
      <c r="A9869">
        <f>HYPERLINK("https://www.philgeps.gov.ph/GEPSNONPILOT/Tender/SplashBidNoticeAbstractUI.aspx?menuIndex=3&amp;refID=7068409&amp;Result=3","7068409")</f>
        <v>0</v>
      </c>
      <c r="B9869" t="s">
        <v>820</v>
      </c>
      <c r="C9869" t="s">
        <v>12823</v>
      </c>
      <c r="E9869" t="s">
        <v>25946</v>
      </c>
      <c r="F9869" t="s">
        <v>30052</v>
      </c>
      <c r="G9869" t="s">
        <v>30058</v>
      </c>
      <c r="H9869" t="s">
        <v>15498</v>
      </c>
      <c r="I9869" t="s">
        <v>30074</v>
      </c>
      <c r="J9869" t="s">
        <v>30212</v>
      </c>
      <c r="K9869" t="s">
        <v>39017</v>
      </c>
      <c r="M9869" t="s">
        <v>40137</v>
      </c>
      <c r="N9869" t="s">
        <v>43166</v>
      </c>
      <c r="O9869" t="s">
        <v>43167</v>
      </c>
      <c r="P9869">
        <v>0</v>
      </c>
      <c r="Q9869">
        <v>9</v>
      </c>
      <c r="R9869" t="s">
        <v>43178</v>
      </c>
      <c r="S9869" t="s">
        <v>43522</v>
      </c>
      <c r="T9869" t="s">
        <v>44768</v>
      </c>
      <c r="U9869" t="s">
        <v>53121</v>
      </c>
      <c r="V9869" t="s">
        <v>57935</v>
      </c>
      <c r="W9869" t="s">
        <v>40137</v>
      </c>
      <c r="X9869" t="s">
        <v>43179</v>
      </c>
    </row>
    <row r="9870" spans="1:24">
      <c r="A9870">
        <f>HYPERLINK("https://www.philgeps.gov.ph/GEPSNONPILOT/Tender/SplashBidNoticeAbstractUI.aspx?menuIndex=3&amp;refID=7068372&amp;Result=3","7068372")</f>
        <v>0</v>
      </c>
      <c r="B9870" t="s">
        <v>2839</v>
      </c>
      <c r="C9870" t="s">
        <v>12824</v>
      </c>
      <c r="D9870" t="s">
        <v>17453</v>
      </c>
      <c r="E9870" t="s">
        <v>25947</v>
      </c>
      <c r="F9870" t="s">
        <v>30052</v>
      </c>
      <c r="G9870" t="s">
        <v>30058</v>
      </c>
      <c r="H9870" t="s">
        <v>30067</v>
      </c>
      <c r="I9870" t="s">
        <v>3693</v>
      </c>
      <c r="J9870" t="s">
        <v>36231</v>
      </c>
      <c r="K9870" t="s">
        <v>39025</v>
      </c>
      <c r="M9870" t="s">
        <v>42385</v>
      </c>
      <c r="N9870" t="s">
        <v>43166</v>
      </c>
      <c r="O9870" t="s">
        <v>43167</v>
      </c>
      <c r="P9870">
        <v>0</v>
      </c>
      <c r="Q9870">
        <v>0</v>
      </c>
      <c r="R9870" t="s">
        <v>43178</v>
      </c>
      <c r="S9870" t="s">
        <v>43522</v>
      </c>
      <c r="T9870" t="s">
        <v>44780</v>
      </c>
      <c r="U9870" t="s">
        <v>53122</v>
      </c>
      <c r="W9870" t="s">
        <v>42385</v>
      </c>
      <c r="X9870" t="s">
        <v>43179</v>
      </c>
    </row>
    <row r="9871" spans="1:24">
      <c r="A9871">
        <f>HYPERLINK("https://www.philgeps.gov.ph/GEPSNONPILOT/Tender/SplashBidNoticeAbstractUI.aspx?menuIndex=3&amp;refID=7068323&amp;Result=3","7068323")</f>
        <v>0</v>
      </c>
      <c r="B9871" t="s">
        <v>2839</v>
      </c>
      <c r="C9871" t="s">
        <v>12825</v>
      </c>
      <c r="D9871" t="s">
        <v>17453</v>
      </c>
      <c r="E9871" t="s">
        <v>25948</v>
      </c>
      <c r="F9871" t="s">
        <v>30052</v>
      </c>
      <c r="G9871" t="s">
        <v>30058</v>
      </c>
      <c r="H9871" t="s">
        <v>30067</v>
      </c>
      <c r="I9871" t="s">
        <v>3693</v>
      </c>
      <c r="J9871" t="s">
        <v>36232</v>
      </c>
      <c r="K9871" t="s">
        <v>39025</v>
      </c>
      <c r="M9871" t="s">
        <v>42385</v>
      </c>
      <c r="N9871" t="s">
        <v>43166</v>
      </c>
      <c r="O9871" t="s">
        <v>43167</v>
      </c>
      <c r="P9871">
        <v>0</v>
      </c>
      <c r="Q9871">
        <v>0</v>
      </c>
      <c r="R9871" t="s">
        <v>43178</v>
      </c>
      <c r="S9871" t="s">
        <v>43522</v>
      </c>
      <c r="T9871" t="s">
        <v>44780</v>
      </c>
      <c r="U9871" t="s">
        <v>53123</v>
      </c>
      <c r="W9871" t="s">
        <v>42385</v>
      </c>
      <c r="X9871" t="s">
        <v>43179</v>
      </c>
    </row>
    <row r="9872" spans="1:24">
      <c r="A9872">
        <f>HYPERLINK("https://www.philgeps.gov.ph/GEPSNONPILOT/Tender/SplashBidNoticeAbstractUI.aspx?menuIndex=3&amp;refID=7068363&amp;Result=3","7068363")</f>
        <v>0</v>
      </c>
      <c r="B9872" t="s">
        <v>2839</v>
      </c>
      <c r="C9872" t="s">
        <v>12826</v>
      </c>
      <c r="D9872" t="s">
        <v>17453</v>
      </c>
      <c r="E9872" t="s">
        <v>25949</v>
      </c>
      <c r="F9872" t="s">
        <v>30052</v>
      </c>
      <c r="G9872" t="s">
        <v>30058</v>
      </c>
      <c r="H9872" t="s">
        <v>30067</v>
      </c>
      <c r="I9872" t="s">
        <v>3693</v>
      </c>
      <c r="J9872" t="s">
        <v>36233</v>
      </c>
      <c r="K9872" t="s">
        <v>39025</v>
      </c>
      <c r="M9872" t="s">
        <v>42385</v>
      </c>
      <c r="N9872" t="s">
        <v>43166</v>
      </c>
      <c r="O9872" t="s">
        <v>43167</v>
      </c>
      <c r="P9872">
        <v>0</v>
      </c>
      <c r="Q9872">
        <v>1</v>
      </c>
      <c r="R9872" t="s">
        <v>43178</v>
      </c>
      <c r="S9872" t="s">
        <v>43522</v>
      </c>
      <c r="T9872" t="s">
        <v>44780</v>
      </c>
      <c r="U9872" t="s">
        <v>53124</v>
      </c>
      <c r="W9872" t="s">
        <v>42385</v>
      </c>
      <c r="X9872" t="s">
        <v>43179</v>
      </c>
    </row>
    <row r="9873" spans="1:24">
      <c r="A9873">
        <f>HYPERLINK("https://www.philgeps.gov.ph/GEPSNONPILOT/Tender/SplashBidNoticeAbstractUI.aspx?menuIndex=3&amp;refID=7068360&amp;Result=3","7068360")</f>
        <v>0</v>
      </c>
      <c r="B9873" t="s">
        <v>955</v>
      </c>
      <c r="C9873" t="s">
        <v>12827</v>
      </c>
      <c r="D9873" t="s">
        <v>17494</v>
      </c>
      <c r="E9873" t="s">
        <v>25950</v>
      </c>
      <c r="F9873" t="s">
        <v>30055</v>
      </c>
      <c r="G9873" t="s">
        <v>30058</v>
      </c>
      <c r="H9873" t="s">
        <v>30067</v>
      </c>
      <c r="I9873" t="s">
        <v>3693</v>
      </c>
      <c r="J9873" t="s">
        <v>36234</v>
      </c>
      <c r="K9873" t="s">
        <v>39025</v>
      </c>
      <c r="M9873" t="s">
        <v>40281</v>
      </c>
      <c r="N9873" t="s">
        <v>43166</v>
      </c>
      <c r="O9873" t="s">
        <v>43167</v>
      </c>
      <c r="P9873">
        <v>0</v>
      </c>
      <c r="Q9873">
        <v>0</v>
      </c>
      <c r="R9873" t="s">
        <v>43178</v>
      </c>
      <c r="S9873" t="s">
        <v>43522</v>
      </c>
      <c r="T9873" t="s">
        <v>44729</v>
      </c>
      <c r="U9873" t="s">
        <v>53125</v>
      </c>
      <c r="W9873" t="s">
        <v>40281</v>
      </c>
      <c r="X9873" t="s">
        <v>43179</v>
      </c>
    </row>
    <row r="9874" spans="1:24">
      <c r="A9874">
        <f>HYPERLINK("https://www.philgeps.gov.ph/GEPSNONPILOT/Tender/SplashBidNoticeAbstractUI.aspx?menuIndex=3&amp;refID=7068356&amp;Result=3","7068356")</f>
        <v>0</v>
      </c>
      <c r="B9874" t="s">
        <v>2853</v>
      </c>
      <c r="C9874" t="s">
        <v>12828</v>
      </c>
      <c r="D9874" t="s">
        <v>17415</v>
      </c>
      <c r="E9874" t="s">
        <v>24576</v>
      </c>
      <c r="F9874" t="s">
        <v>30052</v>
      </c>
      <c r="G9874" t="s">
        <v>30059</v>
      </c>
      <c r="H9874" t="s">
        <v>30069</v>
      </c>
      <c r="I9874" t="s">
        <v>6304</v>
      </c>
      <c r="J9874" t="s">
        <v>31710</v>
      </c>
      <c r="K9874" t="s">
        <v>39064</v>
      </c>
      <c r="M9874" t="s">
        <v>42400</v>
      </c>
      <c r="N9874" t="s">
        <v>43166</v>
      </c>
      <c r="O9874" t="s">
        <v>43167</v>
      </c>
      <c r="P9874">
        <v>0</v>
      </c>
      <c r="Q9874">
        <v>3</v>
      </c>
      <c r="R9874" t="s">
        <v>43178</v>
      </c>
      <c r="S9874" t="s">
        <v>43522</v>
      </c>
      <c r="T9874" t="s">
        <v>44870</v>
      </c>
      <c r="U9874" t="s">
        <v>53103</v>
      </c>
      <c r="W9874" t="s">
        <v>42400</v>
      </c>
      <c r="X9874" t="s">
        <v>43179</v>
      </c>
    </row>
    <row r="9875" spans="1:24">
      <c r="A9875">
        <f>HYPERLINK("https://www.philgeps.gov.ph/GEPSNONPILOT/Tender/SplashBidNoticeAbstractUI.aspx?menuIndex=3&amp;refID=7068414&amp;Result=3","7068414")</f>
        <v>0</v>
      </c>
      <c r="B9875" t="s">
        <v>541</v>
      </c>
      <c r="C9875" t="s">
        <v>12829</v>
      </c>
      <c r="D9875" t="s">
        <v>17458</v>
      </c>
      <c r="E9875" t="s">
        <v>25951</v>
      </c>
      <c r="F9875" t="s">
        <v>30052</v>
      </c>
      <c r="G9875" t="s">
        <v>30058</v>
      </c>
      <c r="H9875" t="s">
        <v>15498</v>
      </c>
      <c r="I9875" t="s">
        <v>30074</v>
      </c>
      <c r="J9875" t="s">
        <v>33642</v>
      </c>
      <c r="K9875" t="s">
        <v>39017</v>
      </c>
      <c r="M9875" t="s">
        <v>39843</v>
      </c>
      <c r="N9875" t="s">
        <v>43166</v>
      </c>
      <c r="O9875" t="s">
        <v>43167</v>
      </c>
      <c r="P9875">
        <v>0</v>
      </c>
      <c r="Q9875">
        <v>3</v>
      </c>
      <c r="R9875" t="s">
        <v>43178</v>
      </c>
      <c r="S9875" t="s">
        <v>43522</v>
      </c>
      <c r="T9875" t="s">
        <v>44750</v>
      </c>
      <c r="U9875" t="s">
        <v>53126</v>
      </c>
      <c r="W9875" t="s">
        <v>58604</v>
      </c>
      <c r="X9875" t="s">
        <v>43179</v>
      </c>
    </row>
    <row r="9876" spans="1:24">
      <c r="A9876">
        <f>HYPERLINK("https://www.philgeps.gov.ph/GEPSNONPILOT/Tender/SplashBidNoticeAbstractUI.aspx?menuIndex=3&amp;refID=7068353&amp;Result=3","7068353")</f>
        <v>0</v>
      </c>
      <c r="B9876" t="s">
        <v>2839</v>
      </c>
      <c r="C9876" t="s">
        <v>12830</v>
      </c>
      <c r="D9876" t="s">
        <v>17453</v>
      </c>
      <c r="E9876" t="s">
        <v>19264</v>
      </c>
      <c r="F9876" t="s">
        <v>30052</v>
      </c>
      <c r="G9876" t="s">
        <v>30058</v>
      </c>
      <c r="H9876" t="s">
        <v>30067</v>
      </c>
      <c r="I9876" t="s">
        <v>3693</v>
      </c>
      <c r="J9876" t="s">
        <v>36235</v>
      </c>
      <c r="K9876" t="s">
        <v>39025</v>
      </c>
      <c r="M9876" t="s">
        <v>42385</v>
      </c>
      <c r="N9876" t="s">
        <v>43166</v>
      </c>
      <c r="O9876" t="s">
        <v>43167</v>
      </c>
      <c r="P9876">
        <v>0</v>
      </c>
      <c r="Q9876">
        <v>0</v>
      </c>
      <c r="R9876" t="s">
        <v>43178</v>
      </c>
      <c r="S9876" t="s">
        <v>43522</v>
      </c>
      <c r="T9876" t="s">
        <v>44780</v>
      </c>
      <c r="U9876" t="s">
        <v>53127</v>
      </c>
      <c r="W9876" t="s">
        <v>42385</v>
      </c>
      <c r="X9876" t="s">
        <v>43179</v>
      </c>
    </row>
    <row r="9877" spans="1:24">
      <c r="A9877">
        <f>HYPERLINK("https://www.philgeps.gov.ph/GEPSNONPILOT/Tender/SplashBidNoticeAbstractUI.aspx?menuIndex=3&amp;refID=7068350&amp;Result=3","7068350")</f>
        <v>0</v>
      </c>
      <c r="B9877" t="s">
        <v>1478</v>
      </c>
      <c r="C9877" t="s">
        <v>12831</v>
      </c>
      <c r="D9877" t="s">
        <v>17434</v>
      </c>
      <c r="E9877" t="s">
        <v>25952</v>
      </c>
      <c r="F9877" t="s">
        <v>30052</v>
      </c>
      <c r="G9877" t="s">
        <v>30058</v>
      </c>
      <c r="H9877" t="s">
        <v>15498</v>
      </c>
      <c r="I9877" t="s">
        <v>30151</v>
      </c>
      <c r="J9877" t="s">
        <v>30810</v>
      </c>
      <c r="K9877" t="s">
        <v>39029</v>
      </c>
      <c r="M9877" t="s">
        <v>40861</v>
      </c>
      <c r="N9877" t="s">
        <v>43166</v>
      </c>
      <c r="O9877" t="s">
        <v>43167</v>
      </c>
      <c r="P9877">
        <v>0</v>
      </c>
      <c r="Q9877">
        <v>6</v>
      </c>
      <c r="R9877" t="s">
        <v>43178</v>
      </c>
      <c r="S9877" t="s">
        <v>43522</v>
      </c>
      <c r="T9877" t="s">
        <v>44942</v>
      </c>
      <c r="U9877" t="s">
        <v>48509</v>
      </c>
      <c r="W9877" t="s">
        <v>40861</v>
      </c>
      <c r="X9877" t="s">
        <v>43179</v>
      </c>
    </row>
    <row r="9878" spans="1:24">
      <c r="A9878">
        <f>HYPERLINK("https://www.philgeps.gov.ph/GEPSNONPILOT/Tender/SplashBidNoticeAbstractUI.aspx?menuIndex=3&amp;refID=7068376&amp;Result=3","7068376")</f>
        <v>0</v>
      </c>
      <c r="B9878" t="s">
        <v>2839</v>
      </c>
      <c r="C9878" t="s">
        <v>12832</v>
      </c>
      <c r="D9878" t="s">
        <v>17453</v>
      </c>
      <c r="E9878" t="s">
        <v>25953</v>
      </c>
      <c r="F9878" t="s">
        <v>30052</v>
      </c>
      <c r="G9878" t="s">
        <v>30058</v>
      </c>
      <c r="H9878" t="s">
        <v>30067</v>
      </c>
      <c r="I9878" t="s">
        <v>3693</v>
      </c>
      <c r="J9878" t="s">
        <v>36236</v>
      </c>
      <c r="K9878" t="s">
        <v>39025</v>
      </c>
      <c r="M9878" t="s">
        <v>42385</v>
      </c>
      <c r="N9878" t="s">
        <v>43166</v>
      </c>
      <c r="O9878" t="s">
        <v>43167</v>
      </c>
      <c r="P9878">
        <v>0</v>
      </c>
      <c r="Q9878">
        <v>0</v>
      </c>
      <c r="R9878" t="s">
        <v>43178</v>
      </c>
      <c r="S9878" t="s">
        <v>43522</v>
      </c>
      <c r="T9878" t="s">
        <v>44780</v>
      </c>
      <c r="U9878" t="s">
        <v>53128</v>
      </c>
      <c r="W9878" t="s">
        <v>42385</v>
      </c>
      <c r="X9878" t="s">
        <v>43179</v>
      </c>
    </row>
    <row r="9879" spans="1:24">
      <c r="A9879">
        <f>HYPERLINK("https://www.philgeps.gov.ph/GEPSNONPILOT/Tender/SplashBidNoticeAbstractUI.aspx?menuIndex=3&amp;refID=7067850&amp;Result=3","7067850")</f>
        <v>0</v>
      </c>
      <c r="B9879" t="s">
        <v>2857</v>
      </c>
      <c r="C9879" t="s">
        <v>12833</v>
      </c>
      <c r="D9879" t="s">
        <v>17415</v>
      </c>
      <c r="E9879" t="s">
        <v>17667</v>
      </c>
      <c r="F9879" t="s">
        <v>30052</v>
      </c>
      <c r="G9879" t="s">
        <v>30061</v>
      </c>
      <c r="H9879" t="s">
        <v>15498</v>
      </c>
      <c r="I9879" t="s">
        <v>30084</v>
      </c>
      <c r="J9879" t="s">
        <v>30222</v>
      </c>
      <c r="K9879" t="s">
        <v>39017</v>
      </c>
      <c r="M9879" t="s">
        <v>42405</v>
      </c>
      <c r="N9879" t="s">
        <v>43166</v>
      </c>
      <c r="O9879" t="s">
        <v>43167</v>
      </c>
      <c r="Q9879">
        <v>7</v>
      </c>
      <c r="R9879" t="s">
        <v>43178</v>
      </c>
      <c r="S9879" t="s">
        <v>43541</v>
      </c>
      <c r="T9879" t="s">
        <v>44859</v>
      </c>
      <c r="U9879" t="s">
        <v>53129</v>
      </c>
      <c r="V9879" t="s">
        <v>57936</v>
      </c>
      <c r="W9879" t="s">
        <v>42405</v>
      </c>
      <c r="X9879" t="s">
        <v>43179</v>
      </c>
    </row>
    <row r="9880" spans="1:24">
      <c r="A9880">
        <f>HYPERLINK("https://www.philgeps.gov.ph/GEPSNONPILOT/Tender/SplashBidNoticeAbstractUI.aspx?menuIndex=3&amp;refID=7067779&amp;Result=3","7067779")</f>
        <v>0</v>
      </c>
      <c r="B9880" t="s">
        <v>98</v>
      </c>
      <c r="C9880" t="s">
        <v>12834</v>
      </c>
      <c r="D9880" t="s">
        <v>17456</v>
      </c>
      <c r="E9880" t="s">
        <v>25954</v>
      </c>
      <c r="F9880" t="s">
        <v>30052</v>
      </c>
      <c r="G9880" t="s">
        <v>30058</v>
      </c>
      <c r="H9880" t="s">
        <v>15498</v>
      </c>
      <c r="I9880" t="s">
        <v>30083</v>
      </c>
      <c r="J9880" t="s">
        <v>36237</v>
      </c>
      <c r="K9880" t="s">
        <v>39025</v>
      </c>
      <c r="L9880" t="s">
        <v>98</v>
      </c>
      <c r="M9880" t="s">
        <v>39387</v>
      </c>
      <c r="N9880" t="s">
        <v>43166</v>
      </c>
      <c r="O9880" t="s">
        <v>43167</v>
      </c>
      <c r="Q9880">
        <v>3</v>
      </c>
      <c r="R9880" t="s">
        <v>43178</v>
      </c>
      <c r="S9880" t="s">
        <v>43542</v>
      </c>
      <c r="T9880" t="s">
        <v>44754</v>
      </c>
      <c r="U9880" t="s">
        <v>53130</v>
      </c>
      <c r="W9880" t="s">
        <v>39387</v>
      </c>
      <c r="X9880" t="s">
        <v>43179</v>
      </c>
    </row>
    <row r="9881" spans="1:24">
      <c r="A9881">
        <f>HYPERLINK("https://www.philgeps.gov.ph/GEPSNONPILOT/Tender/SplashBidNoticeAbstractUI.aspx?menuIndex=3&amp;refID=7067854&amp;Result=3","7067854")</f>
        <v>0</v>
      </c>
      <c r="B9881" t="s">
        <v>98</v>
      </c>
      <c r="C9881" t="s">
        <v>12835</v>
      </c>
      <c r="D9881" t="s">
        <v>17456</v>
      </c>
      <c r="E9881" t="s">
        <v>25955</v>
      </c>
      <c r="F9881" t="s">
        <v>30052</v>
      </c>
      <c r="G9881" t="s">
        <v>30058</v>
      </c>
      <c r="H9881" t="s">
        <v>15498</v>
      </c>
      <c r="I9881" t="s">
        <v>4119</v>
      </c>
      <c r="J9881" t="s">
        <v>36238</v>
      </c>
      <c r="K9881" t="s">
        <v>39025</v>
      </c>
      <c r="L9881" t="s">
        <v>98</v>
      </c>
      <c r="M9881" t="s">
        <v>39387</v>
      </c>
      <c r="N9881" t="s">
        <v>43166</v>
      </c>
      <c r="O9881" t="s">
        <v>43167</v>
      </c>
      <c r="Q9881">
        <v>9</v>
      </c>
      <c r="R9881" t="s">
        <v>43178</v>
      </c>
      <c r="S9881" t="s">
        <v>43543</v>
      </c>
      <c r="T9881" t="s">
        <v>44754</v>
      </c>
      <c r="U9881" t="s">
        <v>53131</v>
      </c>
      <c r="W9881" t="s">
        <v>39387</v>
      </c>
      <c r="X9881" t="s">
        <v>43179</v>
      </c>
    </row>
    <row r="9882" spans="1:24">
      <c r="A9882">
        <f>HYPERLINK("https://www.philgeps.gov.ph/GEPSNONPILOT/Tender/SplashBidNoticeAbstractUI.aspx?menuIndex=3&amp;refID=7068195&amp;Result=3","7068195")</f>
        <v>0</v>
      </c>
      <c r="B9882" t="s">
        <v>1361</v>
      </c>
      <c r="C9882" t="s">
        <v>12836</v>
      </c>
      <c r="D9882" t="s">
        <v>17484</v>
      </c>
      <c r="E9882" t="s">
        <v>25956</v>
      </c>
      <c r="F9882" t="s">
        <v>30052</v>
      </c>
      <c r="G9882" t="s">
        <v>30058</v>
      </c>
      <c r="H9882" t="s">
        <v>30067</v>
      </c>
      <c r="I9882" t="s">
        <v>3693</v>
      </c>
      <c r="J9882" t="s">
        <v>35179</v>
      </c>
      <c r="K9882" t="s">
        <v>39026</v>
      </c>
      <c r="M9882" t="s">
        <v>40730</v>
      </c>
      <c r="N9882" t="s">
        <v>43166</v>
      </c>
      <c r="O9882" t="s">
        <v>43167</v>
      </c>
      <c r="P9882">
        <v>0</v>
      </c>
      <c r="Q9882">
        <v>1</v>
      </c>
      <c r="R9882" t="s">
        <v>43178</v>
      </c>
      <c r="S9882" t="s">
        <v>43522</v>
      </c>
      <c r="T9882" t="s">
        <v>44763</v>
      </c>
      <c r="U9882" t="s">
        <v>53108</v>
      </c>
      <c r="W9882" t="s">
        <v>40730</v>
      </c>
      <c r="X9882" t="s">
        <v>43179</v>
      </c>
    </row>
    <row r="9883" spans="1:24">
      <c r="A9883">
        <f>HYPERLINK("https://www.philgeps.gov.ph/GEPSNONPILOT/Tender/SplashBidNoticeAbstractUI.aspx?menuIndex=3&amp;refID=7068570&amp;Result=3","7068570")</f>
        <v>0</v>
      </c>
      <c r="B9883" t="s">
        <v>1161</v>
      </c>
      <c r="C9883" t="s">
        <v>12837</v>
      </c>
      <c r="D9883" t="s">
        <v>17468</v>
      </c>
      <c r="E9883" t="s">
        <v>25957</v>
      </c>
      <c r="F9883" t="s">
        <v>30052</v>
      </c>
      <c r="G9883" t="s">
        <v>30058</v>
      </c>
      <c r="H9883" t="s">
        <v>15498</v>
      </c>
      <c r="I9883" t="s">
        <v>3736</v>
      </c>
      <c r="J9883" t="s">
        <v>36239</v>
      </c>
      <c r="K9883" t="s">
        <v>39032</v>
      </c>
      <c r="M9883" t="s">
        <v>40507</v>
      </c>
      <c r="N9883" t="s">
        <v>43166</v>
      </c>
      <c r="O9883" t="s">
        <v>43167</v>
      </c>
      <c r="P9883">
        <v>0</v>
      </c>
      <c r="Q9883">
        <v>2</v>
      </c>
      <c r="R9883" t="s">
        <v>43178</v>
      </c>
      <c r="S9883" t="s">
        <v>43522</v>
      </c>
      <c r="T9883" t="s">
        <v>44716</v>
      </c>
      <c r="U9883" t="s">
        <v>53132</v>
      </c>
      <c r="V9883" t="s">
        <v>57937</v>
      </c>
      <c r="W9883" t="s">
        <v>40507</v>
      </c>
      <c r="X9883" t="s">
        <v>43179</v>
      </c>
    </row>
    <row r="9884" spans="1:24">
      <c r="A9884">
        <f>HYPERLINK("https://www.philgeps.gov.ph/GEPSNONPILOT/Tender/SplashBidNoticeAbstractUI.aspx?menuIndex=3&amp;refID=7067773&amp;Result=3","7067773")</f>
        <v>0</v>
      </c>
      <c r="B9884" t="s">
        <v>723</v>
      </c>
      <c r="C9884" t="s">
        <v>12838</v>
      </c>
      <c r="D9884" t="s">
        <v>17459</v>
      </c>
      <c r="E9884" t="s">
        <v>25958</v>
      </c>
      <c r="F9884" t="s">
        <v>30052</v>
      </c>
      <c r="G9884" t="s">
        <v>30058</v>
      </c>
      <c r="H9884" t="s">
        <v>30067</v>
      </c>
      <c r="I9884" t="s">
        <v>3693</v>
      </c>
      <c r="J9884" t="s">
        <v>31207</v>
      </c>
      <c r="K9884" t="s">
        <v>39026</v>
      </c>
      <c r="M9884" t="s">
        <v>40034</v>
      </c>
      <c r="N9884" t="s">
        <v>43166</v>
      </c>
      <c r="O9884" t="s">
        <v>43167</v>
      </c>
      <c r="P9884">
        <v>0</v>
      </c>
      <c r="Q9884">
        <v>4</v>
      </c>
      <c r="R9884" t="s">
        <v>43178</v>
      </c>
      <c r="S9884" t="s">
        <v>43522</v>
      </c>
      <c r="T9884" t="s">
        <v>44815</v>
      </c>
      <c r="U9884" t="s">
        <v>49860</v>
      </c>
      <c r="W9884" t="s">
        <v>40034</v>
      </c>
      <c r="X9884" t="s">
        <v>43179</v>
      </c>
    </row>
    <row r="9885" spans="1:24">
      <c r="A9885">
        <f>HYPERLINK("https://www.philgeps.gov.ph/GEPSNONPILOT/Tender/SplashBidNoticeAbstractUI.aspx?menuIndex=3&amp;refID=7068562&amp;Result=3","7068562")</f>
        <v>0</v>
      </c>
      <c r="B9885" t="s">
        <v>2858</v>
      </c>
      <c r="C9885" t="s">
        <v>12839</v>
      </c>
      <c r="D9885" t="s">
        <v>17448</v>
      </c>
      <c r="E9885" t="s">
        <v>25959</v>
      </c>
      <c r="F9885" t="s">
        <v>30052</v>
      </c>
      <c r="G9885" t="s">
        <v>30058</v>
      </c>
      <c r="H9885" t="s">
        <v>15498</v>
      </c>
      <c r="I9885" t="s">
        <v>3693</v>
      </c>
      <c r="J9885" t="s">
        <v>36240</v>
      </c>
      <c r="K9885" t="s">
        <v>39029</v>
      </c>
      <c r="M9885" t="s">
        <v>42406</v>
      </c>
      <c r="N9885" t="s">
        <v>43166</v>
      </c>
      <c r="O9885" t="s">
        <v>43167</v>
      </c>
      <c r="P9885">
        <v>0</v>
      </c>
      <c r="Q9885">
        <v>0</v>
      </c>
      <c r="R9885" t="s">
        <v>43178</v>
      </c>
      <c r="S9885" t="s">
        <v>43522</v>
      </c>
      <c r="T9885" t="s">
        <v>44781</v>
      </c>
      <c r="U9885" t="s">
        <v>53133</v>
      </c>
      <c r="W9885" t="s">
        <v>42406</v>
      </c>
      <c r="X9885" t="s">
        <v>43179</v>
      </c>
    </row>
    <row r="9886" spans="1:24">
      <c r="A9886">
        <f>HYPERLINK("https://www.philgeps.gov.ph/GEPSNONPILOT/Tender/SplashBidNoticeAbstractUI.aspx?menuIndex=3&amp;refID=7068534&amp;Result=3","7068534")</f>
        <v>0</v>
      </c>
      <c r="B9886" t="s">
        <v>2780</v>
      </c>
      <c r="C9886" t="s">
        <v>12840</v>
      </c>
      <c r="D9886" t="s">
        <v>17466</v>
      </c>
      <c r="E9886" t="s">
        <v>25960</v>
      </c>
      <c r="F9886" t="s">
        <v>30052</v>
      </c>
      <c r="G9886" t="s">
        <v>30059</v>
      </c>
      <c r="H9886" t="s">
        <v>15498</v>
      </c>
      <c r="I9886" t="s">
        <v>9238</v>
      </c>
      <c r="J9886" t="s">
        <v>30209</v>
      </c>
      <c r="K9886" t="s">
        <v>39023</v>
      </c>
      <c r="M9886" t="s">
        <v>42316</v>
      </c>
      <c r="N9886" t="s">
        <v>43166</v>
      </c>
      <c r="O9886" t="s">
        <v>43167</v>
      </c>
      <c r="P9886">
        <v>0</v>
      </c>
      <c r="Q9886">
        <v>28</v>
      </c>
      <c r="R9886" t="s">
        <v>43178</v>
      </c>
      <c r="S9886" t="s">
        <v>43522</v>
      </c>
      <c r="T9886" t="s">
        <v>44732</v>
      </c>
      <c r="U9886" t="s">
        <v>53134</v>
      </c>
      <c r="W9886" t="s">
        <v>42316</v>
      </c>
      <c r="X9886" t="s">
        <v>43179</v>
      </c>
    </row>
    <row r="9887" spans="1:24">
      <c r="A9887">
        <f>HYPERLINK("https://www.philgeps.gov.ph/GEPSNONPILOT/Tender/SplashBidNoticeAbstractUI.aspx?menuIndex=3&amp;refID=7068554&amp;Result=3","7068554")</f>
        <v>0</v>
      </c>
      <c r="B9887" t="s">
        <v>1730</v>
      </c>
      <c r="C9887" t="s">
        <v>12841</v>
      </c>
      <c r="D9887" t="s">
        <v>17423</v>
      </c>
      <c r="E9887" t="s">
        <v>25961</v>
      </c>
      <c r="F9887" t="s">
        <v>30052</v>
      </c>
      <c r="G9887" t="s">
        <v>30058</v>
      </c>
      <c r="H9887" t="s">
        <v>30067</v>
      </c>
      <c r="I9887" t="s">
        <v>3693</v>
      </c>
      <c r="J9887" t="s">
        <v>36241</v>
      </c>
      <c r="K9887" t="s">
        <v>39086</v>
      </c>
      <c r="M9887" t="s">
        <v>42228</v>
      </c>
      <c r="N9887" t="s">
        <v>43166</v>
      </c>
      <c r="O9887" t="s">
        <v>43167</v>
      </c>
      <c r="P9887">
        <v>0</v>
      </c>
      <c r="Q9887">
        <v>0</v>
      </c>
      <c r="R9887" t="s">
        <v>43178</v>
      </c>
      <c r="S9887" t="s">
        <v>43522</v>
      </c>
      <c r="T9887" t="s">
        <v>44753</v>
      </c>
      <c r="U9887" t="s">
        <v>53135</v>
      </c>
      <c r="V9887" t="s">
        <v>57938</v>
      </c>
      <c r="W9887" t="s">
        <v>42228</v>
      </c>
      <c r="X9887" t="s">
        <v>43179</v>
      </c>
    </row>
    <row r="9888" spans="1:24">
      <c r="A9888">
        <f>HYPERLINK("https://www.philgeps.gov.ph/GEPSNONPILOT/Tender/SplashBidNoticeAbstractUI.aspx?menuIndex=3&amp;refID=7068550&amp;Result=3","7068550")</f>
        <v>0</v>
      </c>
      <c r="B9888" t="s">
        <v>2839</v>
      </c>
      <c r="C9888" t="s">
        <v>12842</v>
      </c>
      <c r="D9888" t="s">
        <v>17453</v>
      </c>
      <c r="E9888" t="s">
        <v>25962</v>
      </c>
      <c r="F9888" t="s">
        <v>30052</v>
      </c>
      <c r="G9888" t="s">
        <v>30058</v>
      </c>
      <c r="H9888" t="s">
        <v>30067</v>
      </c>
      <c r="I9888" t="s">
        <v>3693</v>
      </c>
      <c r="J9888" t="s">
        <v>36242</v>
      </c>
      <c r="K9888" t="s">
        <v>39025</v>
      </c>
      <c r="M9888" t="s">
        <v>42385</v>
      </c>
      <c r="N9888" t="s">
        <v>43166</v>
      </c>
      <c r="O9888" t="s">
        <v>43167</v>
      </c>
      <c r="P9888">
        <v>0</v>
      </c>
      <c r="Q9888">
        <v>0</v>
      </c>
      <c r="R9888" t="s">
        <v>43178</v>
      </c>
      <c r="S9888" t="s">
        <v>43522</v>
      </c>
      <c r="T9888" t="s">
        <v>44828</v>
      </c>
      <c r="U9888" t="s">
        <v>53136</v>
      </c>
      <c r="W9888" t="s">
        <v>42385</v>
      </c>
      <c r="X9888" t="s">
        <v>43179</v>
      </c>
    </row>
    <row r="9889" spans="1:24">
      <c r="A9889">
        <f>HYPERLINK("https://www.philgeps.gov.ph/GEPSNONPILOT/Tender/SplashBidNoticeAbstractUI.aspx?menuIndex=3&amp;refID=7068545&amp;Result=3","7068545")</f>
        <v>0</v>
      </c>
      <c r="B9889" t="s">
        <v>2858</v>
      </c>
      <c r="C9889" t="s">
        <v>12843</v>
      </c>
      <c r="D9889" t="s">
        <v>17448</v>
      </c>
      <c r="E9889" t="s">
        <v>25963</v>
      </c>
      <c r="F9889" t="s">
        <v>30052</v>
      </c>
      <c r="G9889" t="s">
        <v>30058</v>
      </c>
      <c r="H9889" t="s">
        <v>15498</v>
      </c>
      <c r="I9889" t="s">
        <v>3693</v>
      </c>
      <c r="J9889" t="s">
        <v>36243</v>
      </c>
      <c r="K9889" t="s">
        <v>39073</v>
      </c>
      <c r="M9889" t="s">
        <v>42406</v>
      </c>
      <c r="N9889" t="s">
        <v>43166</v>
      </c>
      <c r="O9889" t="s">
        <v>43167</v>
      </c>
      <c r="P9889">
        <v>0</v>
      </c>
      <c r="Q9889">
        <v>0</v>
      </c>
      <c r="R9889" t="s">
        <v>43178</v>
      </c>
      <c r="S9889" t="s">
        <v>43522</v>
      </c>
      <c r="T9889" t="s">
        <v>44781</v>
      </c>
      <c r="U9889" t="s">
        <v>53133</v>
      </c>
      <c r="W9889" t="s">
        <v>42406</v>
      </c>
      <c r="X9889" t="s">
        <v>43179</v>
      </c>
    </row>
    <row r="9890" spans="1:24">
      <c r="A9890">
        <f>HYPERLINK("https://www.philgeps.gov.ph/GEPSNONPILOT/Tender/SplashBidNoticeAbstractUI.aspx?menuIndex=3&amp;refID=7068541&amp;Result=3","7068541")</f>
        <v>0</v>
      </c>
      <c r="B9890" t="s">
        <v>885</v>
      </c>
      <c r="C9890" t="s">
        <v>12844</v>
      </c>
      <c r="D9890" t="s">
        <v>17424</v>
      </c>
      <c r="E9890" t="s">
        <v>25964</v>
      </c>
      <c r="F9890" t="s">
        <v>30052</v>
      </c>
      <c r="G9890" t="s">
        <v>30058</v>
      </c>
      <c r="H9890" t="s">
        <v>30067</v>
      </c>
      <c r="I9890" t="s">
        <v>3693</v>
      </c>
      <c r="J9890" t="s">
        <v>36244</v>
      </c>
      <c r="K9890" t="s">
        <v>39026</v>
      </c>
      <c r="M9890" t="s">
        <v>40204</v>
      </c>
      <c r="N9890" t="s">
        <v>43166</v>
      </c>
      <c r="O9890" t="s">
        <v>43167</v>
      </c>
      <c r="P9890">
        <v>0</v>
      </c>
      <c r="Q9890">
        <v>30</v>
      </c>
      <c r="R9890" t="s">
        <v>43178</v>
      </c>
      <c r="S9890" t="s">
        <v>43522</v>
      </c>
      <c r="T9890" t="s">
        <v>44834</v>
      </c>
      <c r="U9890" t="s">
        <v>53137</v>
      </c>
      <c r="W9890" t="s">
        <v>40204</v>
      </c>
      <c r="X9890" t="s">
        <v>43179</v>
      </c>
    </row>
    <row r="9891" spans="1:24">
      <c r="A9891">
        <f>HYPERLINK("https://www.philgeps.gov.ph/GEPSNONPILOT/Tender/SplashBidNoticeAbstractUI.aspx?menuIndex=3&amp;refID=7068530&amp;Result=3","7068530")</f>
        <v>0</v>
      </c>
      <c r="B9891" t="s">
        <v>2858</v>
      </c>
      <c r="C9891" t="s">
        <v>12845</v>
      </c>
      <c r="D9891" t="s">
        <v>17448</v>
      </c>
      <c r="E9891" t="s">
        <v>25965</v>
      </c>
      <c r="F9891" t="s">
        <v>30052</v>
      </c>
      <c r="G9891" t="s">
        <v>30058</v>
      </c>
      <c r="H9891" t="s">
        <v>15498</v>
      </c>
      <c r="I9891" t="s">
        <v>3693</v>
      </c>
      <c r="J9891" t="s">
        <v>36245</v>
      </c>
      <c r="K9891" t="s">
        <v>39046</v>
      </c>
      <c r="M9891" t="s">
        <v>42406</v>
      </c>
      <c r="N9891" t="s">
        <v>43166</v>
      </c>
      <c r="O9891" t="s">
        <v>43167</v>
      </c>
      <c r="P9891">
        <v>0</v>
      </c>
      <c r="Q9891">
        <v>0</v>
      </c>
      <c r="R9891" t="s">
        <v>43178</v>
      </c>
      <c r="S9891" t="s">
        <v>43522</v>
      </c>
      <c r="T9891" t="s">
        <v>44781</v>
      </c>
      <c r="U9891" t="s">
        <v>53133</v>
      </c>
      <c r="W9891" t="s">
        <v>42406</v>
      </c>
      <c r="X9891" t="s">
        <v>43179</v>
      </c>
    </row>
    <row r="9892" spans="1:24">
      <c r="A9892">
        <f>HYPERLINK("https://www.philgeps.gov.ph/GEPSNONPILOT/Tender/SplashBidNoticeAbstractUI.aspx?menuIndex=3&amp;refID=7068527&amp;Result=3","7068527")</f>
        <v>0</v>
      </c>
      <c r="B9892" t="s">
        <v>1730</v>
      </c>
      <c r="C9892" t="s">
        <v>12846</v>
      </c>
      <c r="D9892" t="s">
        <v>17423</v>
      </c>
      <c r="E9892" t="s">
        <v>25966</v>
      </c>
      <c r="F9892" t="s">
        <v>30052</v>
      </c>
      <c r="G9892" t="s">
        <v>30058</v>
      </c>
      <c r="H9892" t="s">
        <v>30067</v>
      </c>
      <c r="I9892" t="s">
        <v>3693</v>
      </c>
      <c r="J9892" t="s">
        <v>30222</v>
      </c>
      <c r="K9892" t="s">
        <v>39072</v>
      </c>
      <c r="M9892" t="s">
        <v>42228</v>
      </c>
      <c r="N9892" t="s">
        <v>43166</v>
      </c>
      <c r="O9892" t="s">
        <v>43167</v>
      </c>
      <c r="P9892">
        <v>0</v>
      </c>
      <c r="Q9892">
        <v>0</v>
      </c>
      <c r="R9892" t="s">
        <v>43178</v>
      </c>
      <c r="S9892" t="s">
        <v>43522</v>
      </c>
      <c r="T9892" t="s">
        <v>44753</v>
      </c>
      <c r="U9892" t="s">
        <v>53138</v>
      </c>
      <c r="V9892" t="s">
        <v>57939</v>
      </c>
      <c r="W9892" t="s">
        <v>42228</v>
      </c>
      <c r="X9892" t="s">
        <v>43179</v>
      </c>
    </row>
    <row r="9893" spans="1:24">
      <c r="A9893">
        <f>HYPERLINK("https://www.philgeps.gov.ph/GEPSNONPILOT/Tender/SplashBidNoticeAbstractUI.aspx?menuIndex=3&amp;refID=7068566&amp;Result=3","7068566")</f>
        <v>0</v>
      </c>
      <c r="B9893" t="s">
        <v>885</v>
      </c>
      <c r="C9893" t="s">
        <v>5150</v>
      </c>
      <c r="D9893" t="s">
        <v>17424</v>
      </c>
      <c r="E9893" t="s">
        <v>19907</v>
      </c>
      <c r="F9893" t="s">
        <v>30052</v>
      </c>
      <c r="G9893" t="s">
        <v>30058</v>
      </c>
      <c r="H9893" t="s">
        <v>15498</v>
      </c>
      <c r="I9893" t="s">
        <v>30076</v>
      </c>
      <c r="J9893" t="s">
        <v>36246</v>
      </c>
      <c r="K9893" t="s">
        <v>39029</v>
      </c>
      <c r="M9893" t="s">
        <v>40204</v>
      </c>
      <c r="N9893" t="s">
        <v>43166</v>
      </c>
      <c r="O9893" t="s">
        <v>43167</v>
      </c>
      <c r="P9893">
        <v>0</v>
      </c>
      <c r="Q9893">
        <v>13</v>
      </c>
      <c r="R9893" t="s">
        <v>43178</v>
      </c>
      <c r="S9893" t="s">
        <v>43522</v>
      </c>
      <c r="T9893" t="s">
        <v>44834</v>
      </c>
      <c r="U9893" t="s">
        <v>53139</v>
      </c>
      <c r="W9893" t="s">
        <v>40204</v>
      </c>
      <c r="X9893" t="s">
        <v>43179</v>
      </c>
    </row>
    <row r="9894" spans="1:24">
      <c r="A9894">
        <f>HYPERLINK("https://www.philgeps.gov.ph/GEPSNONPILOT/Tender/SplashBidNoticeAbstractUI.aspx?menuIndex=3&amp;refID=7068513&amp;Result=3","7068513")</f>
        <v>0</v>
      </c>
      <c r="B9894" t="s">
        <v>885</v>
      </c>
      <c r="C9894" t="s">
        <v>12847</v>
      </c>
      <c r="D9894" t="s">
        <v>17424</v>
      </c>
      <c r="E9894" t="s">
        <v>25967</v>
      </c>
      <c r="F9894" t="s">
        <v>30052</v>
      </c>
      <c r="G9894" t="s">
        <v>30058</v>
      </c>
      <c r="H9894" t="s">
        <v>30067</v>
      </c>
      <c r="I9894" t="s">
        <v>3693</v>
      </c>
      <c r="J9894" t="s">
        <v>36247</v>
      </c>
      <c r="K9894" t="s">
        <v>39024</v>
      </c>
      <c r="M9894" t="s">
        <v>40204</v>
      </c>
      <c r="N9894" t="s">
        <v>43166</v>
      </c>
      <c r="O9894" t="s">
        <v>43167</v>
      </c>
      <c r="P9894">
        <v>0</v>
      </c>
      <c r="Q9894">
        <v>29</v>
      </c>
      <c r="R9894" t="s">
        <v>43178</v>
      </c>
      <c r="S9894" t="s">
        <v>43522</v>
      </c>
      <c r="T9894" t="s">
        <v>44834</v>
      </c>
      <c r="U9894" t="s">
        <v>53140</v>
      </c>
      <c r="W9894" t="s">
        <v>40204</v>
      </c>
      <c r="X9894" t="s">
        <v>43179</v>
      </c>
    </row>
    <row r="9895" spans="1:24">
      <c r="A9895">
        <f>HYPERLINK("https://www.philgeps.gov.ph/GEPSNONPILOT/Tender/SplashBidNoticeAbstractUI.aspx?menuIndex=3&amp;refID=7068510&amp;Result=3","7068510")</f>
        <v>0</v>
      </c>
      <c r="B9895" t="s">
        <v>1429</v>
      </c>
      <c r="C9895" t="s">
        <v>12848</v>
      </c>
      <c r="D9895" t="s">
        <v>17432</v>
      </c>
      <c r="E9895" t="s">
        <v>25968</v>
      </c>
      <c r="F9895" t="s">
        <v>30052</v>
      </c>
      <c r="G9895" t="s">
        <v>30058</v>
      </c>
      <c r="H9895" t="s">
        <v>15498</v>
      </c>
      <c r="I9895" t="s">
        <v>30074</v>
      </c>
      <c r="J9895" t="s">
        <v>36248</v>
      </c>
      <c r="K9895" t="s">
        <v>39029</v>
      </c>
      <c r="M9895" t="s">
        <v>41690</v>
      </c>
      <c r="N9895" t="s">
        <v>43166</v>
      </c>
      <c r="O9895" t="s">
        <v>43167</v>
      </c>
      <c r="P9895">
        <v>0</v>
      </c>
      <c r="Q9895">
        <v>6</v>
      </c>
      <c r="R9895" t="s">
        <v>43178</v>
      </c>
      <c r="S9895" t="s">
        <v>43522</v>
      </c>
      <c r="T9895" t="s">
        <v>44791</v>
      </c>
      <c r="U9895" t="s">
        <v>53141</v>
      </c>
      <c r="W9895" t="s">
        <v>41690</v>
      </c>
      <c r="X9895" t="s">
        <v>43179</v>
      </c>
    </row>
    <row r="9896" spans="1:24">
      <c r="A9896">
        <f>HYPERLINK("https://www.philgeps.gov.ph/GEPSNONPILOT/Tender/SplashBidNoticeAbstractUI.aspx?menuIndex=3&amp;refID=7067864&amp;Result=3","7067864")</f>
        <v>0</v>
      </c>
      <c r="B9896" t="s">
        <v>2015</v>
      </c>
      <c r="C9896" t="s">
        <v>12849</v>
      </c>
      <c r="D9896" t="s">
        <v>17416</v>
      </c>
      <c r="E9896" t="s">
        <v>25969</v>
      </c>
      <c r="F9896" t="s">
        <v>30052</v>
      </c>
      <c r="G9896" t="s">
        <v>30058</v>
      </c>
      <c r="H9896" t="s">
        <v>15498</v>
      </c>
      <c r="I9896" t="s">
        <v>3736</v>
      </c>
      <c r="J9896" t="s">
        <v>36249</v>
      </c>
      <c r="K9896" t="s">
        <v>39019</v>
      </c>
      <c r="L9896" t="s">
        <v>2015</v>
      </c>
      <c r="M9896" t="s">
        <v>41460</v>
      </c>
      <c r="N9896" t="s">
        <v>43166</v>
      </c>
      <c r="O9896" t="s">
        <v>43167</v>
      </c>
      <c r="P9896">
        <v>0</v>
      </c>
      <c r="Q9896">
        <v>0</v>
      </c>
      <c r="R9896" t="s">
        <v>43178</v>
      </c>
      <c r="S9896" t="s">
        <v>43522</v>
      </c>
      <c r="T9896" t="s">
        <v>44791</v>
      </c>
      <c r="U9896" t="s">
        <v>53142</v>
      </c>
      <c r="V9896" t="s">
        <v>57940</v>
      </c>
      <c r="W9896" t="s">
        <v>41460</v>
      </c>
      <c r="X9896" t="s">
        <v>43179</v>
      </c>
    </row>
    <row r="9897" spans="1:24">
      <c r="A9897">
        <f>HYPERLINK("https://www.philgeps.gov.ph/GEPSNONPILOT/Tender/SplashBidNoticeAbstractUI.aspx?menuIndex=3&amp;refID=7068573&amp;Result=3","7068573")</f>
        <v>0</v>
      </c>
      <c r="B9897" t="s">
        <v>2780</v>
      </c>
      <c r="C9897" t="s">
        <v>12850</v>
      </c>
      <c r="D9897" t="s">
        <v>17466</v>
      </c>
      <c r="E9897" t="s">
        <v>25970</v>
      </c>
      <c r="F9897" t="s">
        <v>30052</v>
      </c>
      <c r="G9897" t="s">
        <v>30059</v>
      </c>
      <c r="H9897" t="s">
        <v>15498</v>
      </c>
      <c r="I9897" t="s">
        <v>9238</v>
      </c>
      <c r="J9897" t="s">
        <v>30277</v>
      </c>
      <c r="K9897" t="s">
        <v>39023</v>
      </c>
      <c r="M9897" t="s">
        <v>42316</v>
      </c>
      <c r="N9897" t="s">
        <v>43166</v>
      </c>
      <c r="O9897" t="s">
        <v>43167</v>
      </c>
      <c r="P9897">
        <v>0</v>
      </c>
      <c r="Q9897">
        <v>28</v>
      </c>
      <c r="R9897" t="s">
        <v>43178</v>
      </c>
      <c r="S9897" t="s">
        <v>43522</v>
      </c>
      <c r="T9897" t="s">
        <v>44732</v>
      </c>
      <c r="U9897" t="s">
        <v>53143</v>
      </c>
      <c r="W9897" t="s">
        <v>42316</v>
      </c>
      <c r="X9897" t="s">
        <v>43179</v>
      </c>
    </row>
    <row r="9898" spans="1:24">
      <c r="A9898">
        <f>HYPERLINK("https://www.philgeps.gov.ph/GEPSNONPILOT/Tender/SplashBidNoticeAbstractUI.aspx?menuIndex=3&amp;refID=7068547&amp;Result=3","7068547")</f>
        <v>0</v>
      </c>
      <c r="B9898" t="s">
        <v>2859</v>
      </c>
      <c r="C9898" t="s">
        <v>12851</v>
      </c>
      <c r="D9898" t="s">
        <v>17422</v>
      </c>
      <c r="E9898" t="s">
        <v>25971</v>
      </c>
      <c r="F9898" t="s">
        <v>30052</v>
      </c>
      <c r="G9898" t="s">
        <v>30058</v>
      </c>
      <c r="H9898" t="s">
        <v>30067</v>
      </c>
      <c r="I9898" t="s">
        <v>6304</v>
      </c>
      <c r="J9898" t="s">
        <v>36250</v>
      </c>
      <c r="K9898" t="s">
        <v>39022</v>
      </c>
      <c r="M9898" t="s">
        <v>42407</v>
      </c>
      <c r="N9898" t="s">
        <v>43166</v>
      </c>
      <c r="O9898" t="s">
        <v>43167</v>
      </c>
      <c r="P9898">
        <v>0</v>
      </c>
      <c r="Q9898">
        <v>1</v>
      </c>
      <c r="R9898" t="s">
        <v>43178</v>
      </c>
      <c r="S9898" t="s">
        <v>43522</v>
      </c>
      <c r="T9898" t="s">
        <v>44815</v>
      </c>
      <c r="U9898" t="s">
        <v>53144</v>
      </c>
      <c r="W9898" t="s">
        <v>42407</v>
      </c>
      <c r="X9898" t="s">
        <v>43179</v>
      </c>
    </row>
    <row r="9899" spans="1:24">
      <c r="A9899">
        <f>HYPERLINK("https://www.philgeps.gov.ph/GEPSNONPILOT/Tender/SplashBidNoticeAbstractUI.aspx?menuIndex=3&amp;refID=7068670&amp;Result=3","7068670")</f>
        <v>0</v>
      </c>
      <c r="B9899" t="s">
        <v>2858</v>
      </c>
      <c r="C9899" t="s">
        <v>12852</v>
      </c>
      <c r="D9899" t="s">
        <v>17448</v>
      </c>
      <c r="E9899" t="s">
        <v>25972</v>
      </c>
      <c r="F9899" t="s">
        <v>30052</v>
      </c>
      <c r="G9899" t="s">
        <v>30058</v>
      </c>
      <c r="H9899" t="s">
        <v>15498</v>
      </c>
      <c r="I9899" t="s">
        <v>30153</v>
      </c>
      <c r="J9899" t="s">
        <v>30252</v>
      </c>
      <c r="K9899" t="s">
        <v>39029</v>
      </c>
      <c r="M9899" t="s">
        <v>42406</v>
      </c>
      <c r="N9899" t="s">
        <v>43166</v>
      </c>
      <c r="O9899" t="s">
        <v>43167</v>
      </c>
      <c r="P9899">
        <v>0</v>
      </c>
      <c r="Q9899">
        <v>3</v>
      </c>
      <c r="R9899" t="s">
        <v>43178</v>
      </c>
      <c r="S9899" t="s">
        <v>43522</v>
      </c>
      <c r="T9899" t="s">
        <v>44781</v>
      </c>
      <c r="U9899" t="s">
        <v>53133</v>
      </c>
      <c r="W9899" t="s">
        <v>42406</v>
      </c>
      <c r="X9899" t="s">
        <v>43179</v>
      </c>
    </row>
    <row r="9900" spans="1:24">
      <c r="A9900">
        <f>HYPERLINK("https://www.philgeps.gov.ph/GEPSNONPILOT/Tender/SplashBidNoticeAbstractUI.aspx?menuIndex=3&amp;refID=7068358&amp;Result=3","7068358")</f>
        <v>0</v>
      </c>
      <c r="B9900" t="s">
        <v>2839</v>
      </c>
      <c r="C9900" t="s">
        <v>12853</v>
      </c>
      <c r="D9900" t="s">
        <v>17453</v>
      </c>
      <c r="E9900" t="s">
        <v>25973</v>
      </c>
      <c r="F9900" t="s">
        <v>30052</v>
      </c>
      <c r="G9900" t="s">
        <v>30058</v>
      </c>
      <c r="H9900" t="s">
        <v>30067</v>
      </c>
      <c r="I9900" t="s">
        <v>3693</v>
      </c>
      <c r="J9900" t="s">
        <v>36251</v>
      </c>
      <c r="K9900" t="s">
        <v>39025</v>
      </c>
      <c r="M9900" t="s">
        <v>42385</v>
      </c>
      <c r="N9900" t="s">
        <v>43166</v>
      </c>
      <c r="O9900" t="s">
        <v>43167</v>
      </c>
      <c r="P9900">
        <v>0</v>
      </c>
      <c r="Q9900">
        <v>0</v>
      </c>
      <c r="R9900" t="s">
        <v>43178</v>
      </c>
      <c r="S9900" t="s">
        <v>43522</v>
      </c>
      <c r="T9900" t="s">
        <v>44780</v>
      </c>
      <c r="U9900" t="s">
        <v>53145</v>
      </c>
      <c r="W9900" t="s">
        <v>42385</v>
      </c>
      <c r="X9900" t="s">
        <v>43179</v>
      </c>
    </row>
    <row r="9901" spans="1:24">
      <c r="A9901">
        <f>HYPERLINK("https://www.philgeps.gov.ph/GEPSNONPILOT/Tender/SplashBidNoticeAbstractUI.aspx?menuIndex=3&amp;refID=7068656&amp;Result=3","7068656")</f>
        <v>0</v>
      </c>
      <c r="B9901" t="s">
        <v>1730</v>
      </c>
      <c r="C9901" t="s">
        <v>12854</v>
      </c>
      <c r="D9901" t="s">
        <v>17423</v>
      </c>
      <c r="E9901" t="s">
        <v>25974</v>
      </c>
      <c r="F9901" t="s">
        <v>30052</v>
      </c>
      <c r="G9901" t="s">
        <v>30058</v>
      </c>
      <c r="H9901" t="s">
        <v>30067</v>
      </c>
      <c r="I9901" t="s">
        <v>3693</v>
      </c>
      <c r="J9901" t="s">
        <v>36252</v>
      </c>
      <c r="K9901" t="s">
        <v>39106</v>
      </c>
      <c r="M9901" t="s">
        <v>42228</v>
      </c>
      <c r="N9901" t="s">
        <v>43166</v>
      </c>
      <c r="O9901" t="s">
        <v>43167</v>
      </c>
      <c r="P9901">
        <v>0</v>
      </c>
      <c r="Q9901">
        <v>0</v>
      </c>
      <c r="R9901" t="s">
        <v>43178</v>
      </c>
      <c r="S9901" t="s">
        <v>43522</v>
      </c>
      <c r="T9901" t="s">
        <v>44753</v>
      </c>
      <c r="U9901" t="s">
        <v>53146</v>
      </c>
      <c r="V9901" t="s">
        <v>57941</v>
      </c>
      <c r="W9901" t="s">
        <v>42228</v>
      </c>
      <c r="X9901" t="s">
        <v>43179</v>
      </c>
    </row>
    <row r="9902" spans="1:24">
      <c r="A9902">
        <f>HYPERLINK("https://www.philgeps.gov.ph/GEPSNONPILOT/Tender/SplashBidNoticeAbstractUI.aspx?menuIndex=3&amp;refID=7068655&amp;Result=3","7068655")</f>
        <v>0</v>
      </c>
      <c r="B9902" t="s">
        <v>1339</v>
      </c>
      <c r="C9902" t="s">
        <v>12855</v>
      </c>
      <c r="D9902" t="s">
        <v>17474</v>
      </c>
      <c r="E9902" t="s">
        <v>25975</v>
      </c>
      <c r="F9902" t="s">
        <v>30052</v>
      </c>
      <c r="G9902" t="s">
        <v>30058</v>
      </c>
      <c r="H9902" t="s">
        <v>15498</v>
      </c>
      <c r="I9902" t="s">
        <v>3736</v>
      </c>
      <c r="J9902" t="s">
        <v>36253</v>
      </c>
      <c r="K9902" t="s">
        <v>39029</v>
      </c>
      <c r="M9902" t="s">
        <v>41073</v>
      </c>
      <c r="N9902" t="s">
        <v>43166</v>
      </c>
      <c r="O9902" t="s">
        <v>43167</v>
      </c>
      <c r="P9902">
        <v>0</v>
      </c>
      <c r="Q9902">
        <v>0</v>
      </c>
      <c r="R9902" t="s">
        <v>43178</v>
      </c>
      <c r="S9902" t="s">
        <v>43522</v>
      </c>
      <c r="T9902" t="s">
        <v>44844</v>
      </c>
      <c r="U9902" t="s">
        <v>48174</v>
      </c>
      <c r="V9902" t="s">
        <v>57248</v>
      </c>
      <c r="W9902" t="s">
        <v>41073</v>
      </c>
      <c r="X9902" t="s">
        <v>43179</v>
      </c>
    </row>
    <row r="9903" spans="1:24">
      <c r="A9903">
        <f>HYPERLINK("https://www.philgeps.gov.ph/GEPSNONPILOT/Tender/SplashBidNoticeAbstractUI.aspx?menuIndex=3&amp;refID=7068505&amp;Result=3","7068505")</f>
        <v>0</v>
      </c>
      <c r="B9903" t="s">
        <v>2654</v>
      </c>
      <c r="C9903" t="s">
        <v>12856</v>
      </c>
      <c r="D9903" t="s">
        <v>17476</v>
      </c>
      <c r="E9903" t="s">
        <v>25976</v>
      </c>
      <c r="F9903" t="s">
        <v>30052</v>
      </c>
      <c r="G9903" t="s">
        <v>30058</v>
      </c>
      <c r="H9903" t="s">
        <v>30067</v>
      </c>
      <c r="I9903" t="s">
        <v>30152</v>
      </c>
      <c r="J9903" t="s">
        <v>36216</v>
      </c>
      <c r="K9903" t="s">
        <v>39023</v>
      </c>
      <c r="M9903" t="s">
        <v>42172</v>
      </c>
      <c r="N9903" t="s">
        <v>43166</v>
      </c>
      <c r="O9903" t="s">
        <v>43167</v>
      </c>
      <c r="P9903">
        <v>0</v>
      </c>
      <c r="Q9903">
        <v>0</v>
      </c>
      <c r="R9903" t="s">
        <v>43178</v>
      </c>
      <c r="S9903" t="s">
        <v>43522</v>
      </c>
      <c r="T9903" t="s">
        <v>44873</v>
      </c>
      <c r="U9903" t="s">
        <v>53147</v>
      </c>
      <c r="W9903" t="s">
        <v>42172</v>
      </c>
      <c r="X9903" t="s">
        <v>43179</v>
      </c>
    </row>
    <row r="9904" spans="1:24">
      <c r="A9904">
        <f>HYPERLINK("https://www.philgeps.gov.ph/GEPSNONPILOT/Tender/SplashBidNoticeAbstractUI.aspx?menuIndex=3&amp;refID=7068638&amp;Result=3","7068638")</f>
        <v>0</v>
      </c>
      <c r="B9904" t="s">
        <v>2780</v>
      </c>
      <c r="C9904" t="s">
        <v>12857</v>
      </c>
      <c r="D9904" t="s">
        <v>17466</v>
      </c>
      <c r="E9904" t="s">
        <v>25977</v>
      </c>
      <c r="F9904" t="s">
        <v>30052</v>
      </c>
      <c r="G9904" t="s">
        <v>30059</v>
      </c>
      <c r="H9904" t="s">
        <v>15498</v>
      </c>
      <c r="I9904" t="s">
        <v>9238</v>
      </c>
      <c r="J9904" t="s">
        <v>30218</v>
      </c>
      <c r="K9904" t="s">
        <v>39029</v>
      </c>
      <c r="M9904" t="s">
        <v>42316</v>
      </c>
      <c r="N9904" t="s">
        <v>43166</v>
      </c>
      <c r="O9904" t="s">
        <v>43167</v>
      </c>
      <c r="P9904">
        <v>0</v>
      </c>
      <c r="Q9904">
        <v>29</v>
      </c>
      <c r="R9904" t="s">
        <v>43178</v>
      </c>
      <c r="S9904" t="s">
        <v>43522</v>
      </c>
      <c r="T9904" t="s">
        <v>44732</v>
      </c>
      <c r="U9904" t="s">
        <v>53148</v>
      </c>
      <c r="W9904" t="s">
        <v>42316</v>
      </c>
      <c r="X9904" t="s">
        <v>43179</v>
      </c>
    </row>
    <row r="9905" spans="1:24">
      <c r="A9905">
        <f>HYPERLINK("https://www.philgeps.gov.ph/GEPSNONPILOT/Tender/SplashBidNoticeAbstractUI.aspx?menuIndex=3&amp;refID=7068630&amp;Result=3","7068630")</f>
        <v>0</v>
      </c>
      <c r="B9905" t="s">
        <v>2858</v>
      </c>
      <c r="C9905" t="s">
        <v>12858</v>
      </c>
      <c r="D9905" t="s">
        <v>17448</v>
      </c>
      <c r="E9905" t="s">
        <v>25978</v>
      </c>
      <c r="F9905" t="s">
        <v>30052</v>
      </c>
      <c r="G9905" t="s">
        <v>30058</v>
      </c>
      <c r="H9905" t="s">
        <v>15498</v>
      </c>
      <c r="I9905" t="s">
        <v>3693</v>
      </c>
      <c r="J9905" t="s">
        <v>36254</v>
      </c>
      <c r="K9905" t="s">
        <v>39023</v>
      </c>
      <c r="M9905" t="s">
        <v>42406</v>
      </c>
      <c r="N9905" t="s">
        <v>43166</v>
      </c>
      <c r="O9905" t="s">
        <v>43167</v>
      </c>
      <c r="P9905">
        <v>0</v>
      </c>
      <c r="Q9905">
        <v>0</v>
      </c>
      <c r="R9905" t="s">
        <v>43178</v>
      </c>
      <c r="S9905" t="s">
        <v>43522</v>
      </c>
      <c r="T9905" t="s">
        <v>44781</v>
      </c>
      <c r="U9905" t="s">
        <v>53133</v>
      </c>
      <c r="W9905" t="s">
        <v>42406</v>
      </c>
      <c r="X9905" t="s">
        <v>43179</v>
      </c>
    </row>
    <row r="9906" spans="1:24">
      <c r="A9906">
        <f>HYPERLINK("https://www.philgeps.gov.ph/GEPSNONPILOT/Tender/SplashBidNoticeAbstractUI.aspx?menuIndex=3&amp;refID=7068427&amp;Result=3","7068427")</f>
        <v>0</v>
      </c>
      <c r="B9906" t="s">
        <v>2855</v>
      </c>
      <c r="C9906" t="s">
        <v>12859</v>
      </c>
      <c r="D9906" t="s">
        <v>17442</v>
      </c>
      <c r="E9906" t="s">
        <v>25979</v>
      </c>
      <c r="F9906" t="s">
        <v>30052</v>
      </c>
      <c r="G9906" t="s">
        <v>30058</v>
      </c>
      <c r="H9906" t="s">
        <v>15498</v>
      </c>
      <c r="I9906" t="s">
        <v>3736</v>
      </c>
      <c r="J9906" t="s">
        <v>36255</v>
      </c>
      <c r="K9906" t="s">
        <v>39029</v>
      </c>
      <c r="M9906" t="s">
        <v>42402</v>
      </c>
      <c r="N9906" t="s">
        <v>43166</v>
      </c>
      <c r="O9906" t="s">
        <v>43167</v>
      </c>
      <c r="P9906">
        <v>0</v>
      </c>
      <c r="Q9906">
        <v>2</v>
      </c>
      <c r="R9906" t="s">
        <v>43178</v>
      </c>
      <c r="S9906" t="s">
        <v>43522</v>
      </c>
      <c r="T9906" t="s">
        <v>44716</v>
      </c>
      <c r="U9906" t="s">
        <v>53117</v>
      </c>
      <c r="W9906" t="s">
        <v>42402</v>
      </c>
      <c r="X9906" t="s">
        <v>43179</v>
      </c>
    </row>
    <row r="9907" spans="1:24">
      <c r="A9907">
        <f>HYPERLINK("https://www.philgeps.gov.ph/GEPSNONPILOT/Tender/SplashBidNoticeAbstractUI.aspx?menuIndex=3&amp;refID=7068624&amp;Result=3","7068624")</f>
        <v>0</v>
      </c>
      <c r="B9907" t="s">
        <v>1730</v>
      </c>
      <c r="C9907" t="s">
        <v>12860</v>
      </c>
      <c r="D9907" t="s">
        <v>17423</v>
      </c>
      <c r="E9907" t="s">
        <v>25974</v>
      </c>
      <c r="F9907" t="s">
        <v>30052</v>
      </c>
      <c r="G9907" t="s">
        <v>30058</v>
      </c>
      <c r="H9907" t="s">
        <v>30067</v>
      </c>
      <c r="I9907" t="s">
        <v>3693</v>
      </c>
      <c r="J9907" t="s">
        <v>36256</v>
      </c>
      <c r="K9907" t="s">
        <v>39167</v>
      </c>
      <c r="M9907" t="s">
        <v>42228</v>
      </c>
      <c r="N9907" t="s">
        <v>43166</v>
      </c>
      <c r="O9907" t="s">
        <v>43167</v>
      </c>
      <c r="P9907">
        <v>0</v>
      </c>
      <c r="Q9907">
        <v>0</v>
      </c>
      <c r="R9907" t="s">
        <v>43178</v>
      </c>
      <c r="S9907" t="s">
        <v>43522</v>
      </c>
      <c r="T9907" t="s">
        <v>44753</v>
      </c>
      <c r="U9907" t="s">
        <v>53149</v>
      </c>
      <c r="V9907" t="s">
        <v>57942</v>
      </c>
      <c r="W9907" t="s">
        <v>42228</v>
      </c>
      <c r="X9907" t="s">
        <v>43179</v>
      </c>
    </row>
    <row r="9908" spans="1:24">
      <c r="A9908">
        <f>HYPERLINK("https://www.philgeps.gov.ph/GEPSNONPILOT/Tender/SplashBidNoticeAbstractUI.aspx?menuIndex=3&amp;refID=7068646&amp;Result=3","7068646")</f>
        <v>0</v>
      </c>
      <c r="B9908" t="s">
        <v>696</v>
      </c>
      <c r="C9908" t="s">
        <v>12861</v>
      </c>
      <c r="D9908" t="s">
        <v>17432</v>
      </c>
      <c r="E9908" t="s">
        <v>19158</v>
      </c>
      <c r="F9908" t="s">
        <v>30052</v>
      </c>
      <c r="G9908" t="s">
        <v>30058</v>
      </c>
      <c r="H9908" t="s">
        <v>15498</v>
      </c>
      <c r="I9908" t="s">
        <v>30074</v>
      </c>
      <c r="J9908" t="s">
        <v>33141</v>
      </c>
      <c r="K9908" t="s">
        <v>39064</v>
      </c>
      <c r="M9908" t="s">
        <v>40004</v>
      </c>
      <c r="N9908" t="s">
        <v>43166</v>
      </c>
      <c r="O9908" t="s">
        <v>43167</v>
      </c>
      <c r="P9908">
        <v>0</v>
      </c>
      <c r="Q9908">
        <v>3</v>
      </c>
      <c r="R9908" t="s">
        <v>43178</v>
      </c>
      <c r="S9908" t="s">
        <v>43522</v>
      </c>
      <c r="T9908" t="s">
        <v>44789</v>
      </c>
      <c r="U9908" t="s">
        <v>53150</v>
      </c>
      <c r="W9908" t="s">
        <v>40004</v>
      </c>
      <c r="X9908" t="s">
        <v>43179</v>
      </c>
    </row>
    <row r="9909" spans="1:24">
      <c r="A9909">
        <f>HYPERLINK("https://www.philgeps.gov.ph/GEPSNONPILOT/Tender/SplashBidNoticeAbstractUI.aspx?menuIndex=3&amp;refID=7068654&amp;Result=3","7068654")</f>
        <v>0</v>
      </c>
      <c r="B9909" t="s">
        <v>2858</v>
      </c>
      <c r="C9909" t="s">
        <v>12862</v>
      </c>
      <c r="D9909" t="s">
        <v>17448</v>
      </c>
      <c r="E9909" t="s">
        <v>25980</v>
      </c>
      <c r="F9909" t="s">
        <v>30052</v>
      </c>
      <c r="G9909" t="s">
        <v>30058</v>
      </c>
      <c r="H9909" t="s">
        <v>15498</v>
      </c>
      <c r="I9909" t="s">
        <v>3693</v>
      </c>
      <c r="J9909" t="s">
        <v>36257</v>
      </c>
      <c r="K9909" t="s">
        <v>39038</v>
      </c>
      <c r="M9909" t="s">
        <v>42406</v>
      </c>
      <c r="N9909" t="s">
        <v>43166</v>
      </c>
      <c r="O9909" t="s">
        <v>43167</v>
      </c>
      <c r="P9909">
        <v>0</v>
      </c>
      <c r="Q9909">
        <v>0</v>
      </c>
      <c r="R9909" t="s">
        <v>43178</v>
      </c>
      <c r="S9909" t="s">
        <v>43522</v>
      </c>
      <c r="T9909" t="s">
        <v>44781</v>
      </c>
      <c r="U9909" t="s">
        <v>53133</v>
      </c>
      <c r="W9909" t="s">
        <v>42406</v>
      </c>
      <c r="X9909" t="s">
        <v>43179</v>
      </c>
    </row>
    <row r="9910" spans="1:24">
      <c r="A9910">
        <f>HYPERLINK("https://www.philgeps.gov.ph/GEPSNONPILOT/Tender/SplashBidNoticeAbstractUI.aspx?menuIndex=3&amp;refID=7068606&amp;Result=3","7068606")</f>
        <v>0</v>
      </c>
      <c r="B9910" t="s">
        <v>2860</v>
      </c>
      <c r="C9910" t="s">
        <v>12863</v>
      </c>
      <c r="D9910" t="s">
        <v>17435</v>
      </c>
      <c r="E9910" t="s">
        <v>25981</v>
      </c>
      <c r="F9910" t="s">
        <v>30052</v>
      </c>
      <c r="G9910" t="s">
        <v>30058</v>
      </c>
      <c r="H9910" t="s">
        <v>30067</v>
      </c>
      <c r="I9910" t="s">
        <v>3693</v>
      </c>
      <c r="J9910" t="s">
        <v>36258</v>
      </c>
      <c r="K9910" t="s">
        <v>39022</v>
      </c>
      <c r="M9910" t="s">
        <v>42408</v>
      </c>
      <c r="N9910" t="s">
        <v>43166</v>
      </c>
      <c r="O9910" t="s">
        <v>43167</v>
      </c>
      <c r="P9910">
        <v>0</v>
      </c>
      <c r="Q9910">
        <v>0</v>
      </c>
      <c r="R9910" t="s">
        <v>43178</v>
      </c>
      <c r="S9910" t="s">
        <v>43522</v>
      </c>
      <c r="T9910" t="s">
        <v>44690</v>
      </c>
      <c r="U9910" t="s">
        <v>53151</v>
      </c>
      <c r="W9910" t="s">
        <v>42408</v>
      </c>
      <c r="X9910" t="s">
        <v>43179</v>
      </c>
    </row>
    <row r="9911" spans="1:24">
      <c r="A9911">
        <f>HYPERLINK("https://www.philgeps.gov.ph/GEPSNONPILOT/Tender/SplashBidNoticeAbstractUI.aspx?menuIndex=3&amp;refID=7068605&amp;Result=3","7068605")</f>
        <v>0</v>
      </c>
      <c r="B9911" t="s">
        <v>1429</v>
      </c>
      <c r="C9911" t="s">
        <v>12864</v>
      </c>
      <c r="D9911" t="s">
        <v>17432</v>
      </c>
      <c r="E9911" t="s">
        <v>25982</v>
      </c>
      <c r="F9911" t="s">
        <v>30052</v>
      </c>
      <c r="G9911" t="s">
        <v>30058</v>
      </c>
      <c r="H9911" t="s">
        <v>15498</v>
      </c>
      <c r="I9911" t="s">
        <v>30074</v>
      </c>
      <c r="J9911" t="s">
        <v>30247</v>
      </c>
      <c r="K9911" t="s">
        <v>39023</v>
      </c>
      <c r="M9911" t="s">
        <v>41690</v>
      </c>
      <c r="N9911" t="s">
        <v>43166</v>
      </c>
      <c r="O9911" t="s">
        <v>43167</v>
      </c>
      <c r="P9911">
        <v>0</v>
      </c>
      <c r="Q9911">
        <v>8</v>
      </c>
      <c r="R9911" t="s">
        <v>43178</v>
      </c>
      <c r="S9911" t="s">
        <v>43522</v>
      </c>
      <c r="T9911" t="s">
        <v>44791</v>
      </c>
      <c r="U9911" t="s">
        <v>50850</v>
      </c>
      <c r="W9911" t="s">
        <v>41690</v>
      </c>
      <c r="X9911" t="s">
        <v>43179</v>
      </c>
    </row>
    <row r="9912" spans="1:24">
      <c r="A9912">
        <f>HYPERLINK("https://www.philgeps.gov.ph/GEPSNONPILOT/Tender/SplashBidNoticeAbstractUI.aspx?menuIndex=3&amp;refID=7068596&amp;Result=3","7068596")</f>
        <v>0</v>
      </c>
      <c r="B9912" t="s">
        <v>2858</v>
      </c>
      <c r="C9912" t="s">
        <v>12865</v>
      </c>
      <c r="D9912" t="s">
        <v>17448</v>
      </c>
      <c r="E9912" t="s">
        <v>25983</v>
      </c>
      <c r="F9912" t="s">
        <v>30052</v>
      </c>
      <c r="G9912" t="s">
        <v>30058</v>
      </c>
      <c r="H9912" t="s">
        <v>15498</v>
      </c>
      <c r="I9912" t="s">
        <v>3693</v>
      </c>
      <c r="J9912" t="s">
        <v>36259</v>
      </c>
      <c r="K9912" t="s">
        <v>39046</v>
      </c>
      <c r="M9912" t="s">
        <v>42406</v>
      </c>
      <c r="N9912" t="s">
        <v>43166</v>
      </c>
      <c r="O9912" t="s">
        <v>43167</v>
      </c>
      <c r="P9912">
        <v>0</v>
      </c>
      <c r="Q9912">
        <v>0</v>
      </c>
      <c r="R9912" t="s">
        <v>43178</v>
      </c>
      <c r="S9912" t="s">
        <v>43522</v>
      </c>
      <c r="T9912" t="s">
        <v>44781</v>
      </c>
      <c r="U9912" t="s">
        <v>53133</v>
      </c>
      <c r="W9912" t="s">
        <v>42406</v>
      </c>
      <c r="X9912" t="s">
        <v>43179</v>
      </c>
    </row>
    <row r="9913" spans="1:24">
      <c r="A9913">
        <f>HYPERLINK("https://www.philgeps.gov.ph/GEPSNONPILOT/Tender/SplashBidNoticeAbstractUI.aspx?menuIndex=3&amp;refID=7068584&amp;Result=3","7068584")</f>
        <v>0</v>
      </c>
      <c r="B9913" t="s">
        <v>1339</v>
      </c>
      <c r="C9913" t="s">
        <v>12866</v>
      </c>
      <c r="D9913" t="s">
        <v>17474</v>
      </c>
      <c r="E9913" t="s">
        <v>25984</v>
      </c>
      <c r="F9913" t="s">
        <v>30052</v>
      </c>
      <c r="G9913" t="s">
        <v>30058</v>
      </c>
      <c r="H9913" t="s">
        <v>15498</v>
      </c>
      <c r="I9913" t="s">
        <v>3736</v>
      </c>
      <c r="J9913" t="s">
        <v>31867</v>
      </c>
      <c r="K9913" t="s">
        <v>39029</v>
      </c>
      <c r="M9913" t="s">
        <v>41073</v>
      </c>
      <c r="N9913" t="s">
        <v>43166</v>
      </c>
      <c r="O9913" t="s">
        <v>43167</v>
      </c>
      <c r="P9913">
        <v>0</v>
      </c>
      <c r="Q9913">
        <v>0</v>
      </c>
      <c r="R9913" t="s">
        <v>43178</v>
      </c>
      <c r="S9913" t="s">
        <v>43522</v>
      </c>
      <c r="T9913" t="s">
        <v>44844</v>
      </c>
      <c r="U9913" t="s">
        <v>48174</v>
      </c>
      <c r="V9913" t="s">
        <v>57248</v>
      </c>
      <c r="W9913" t="s">
        <v>41073</v>
      </c>
      <c r="X9913" t="s">
        <v>43179</v>
      </c>
    </row>
    <row r="9914" spans="1:24">
      <c r="A9914">
        <f>HYPERLINK("https://www.philgeps.gov.ph/GEPSNONPILOT/Tender/SplashBidNoticeAbstractUI.aspx?menuIndex=3&amp;refID=7068574&amp;Result=3","7068574")</f>
        <v>0</v>
      </c>
      <c r="B9914" t="s">
        <v>2858</v>
      </c>
      <c r="C9914" t="s">
        <v>12867</v>
      </c>
      <c r="D9914" t="s">
        <v>17448</v>
      </c>
      <c r="E9914" t="s">
        <v>25985</v>
      </c>
      <c r="F9914" t="s">
        <v>30052</v>
      </c>
      <c r="G9914" t="s">
        <v>30058</v>
      </c>
      <c r="H9914" t="s">
        <v>15498</v>
      </c>
      <c r="I9914" t="s">
        <v>3693</v>
      </c>
      <c r="J9914" t="s">
        <v>36260</v>
      </c>
      <c r="K9914" t="s">
        <v>39046</v>
      </c>
      <c r="M9914" t="s">
        <v>42406</v>
      </c>
      <c r="N9914" t="s">
        <v>43166</v>
      </c>
      <c r="O9914" t="s">
        <v>43167</v>
      </c>
      <c r="P9914">
        <v>0</v>
      </c>
      <c r="Q9914">
        <v>0</v>
      </c>
      <c r="R9914" t="s">
        <v>43178</v>
      </c>
      <c r="S9914" t="s">
        <v>43522</v>
      </c>
      <c r="T9914" t="s">
        <v>44781</v>
      </c>
      <c r="U9914" t="s">
        <v>53133</v>
      </c>
      <c r="W9914" t="s">
        <v>42406</v>
      </c>
      <c r="X9914" t="s">
        <v>43179</v>
      </c>
    </row>
    <row r="9915" spans="1:24">
      <c r="A9915">
        <f>HYPERLINK("https://www.philgeps.gov.ph/GEPSNONPILOT/Tender/SplashBidNoticeAbstractUI.aspx?menuIndex=3&amp;refID=7068594&amp;Result=3","7068594")</f>
        <v>0</v>
      </c>
      <c r="B9915" t="s">
        <v>2861</v>
      </c>
      <c r="C9915" t="s">
        <v>12868</v>
      </c>
      <c r="D9915" t="s">
        <v>17468</v>
      </c>
      <c r="E9915" t="s">
        <v>25986</v>
      </c>
      <c r="F9915" t="s">
        <v>30052</v>
      </c>
      <c r="G9915" t="s">
        <v>30058</v>
      </c>
      <c r="H9915" t="s">
        <v>15498</v>
      </c>
      <c r="I9915" t="s">
        <v>30096</v>
      </c>
      <c r="J9915" t="s">
        <v>36261</v>
      </c>
      <c r="K9915" t="s">
        <v>39029</v>
      </c>
      <c r="M9915" t="s">
        <v>42409</v>
      </c>
      <c r="N9915" t="s">
        <v>43166</v>
      </c>
      <c r="O9915" t="s">
        <v>43167</v>
      </c>
      <c r="P9915">
        <v>0</v>
      </c>
      <c r="Q9915">
        <v>5</v>
      </c>
      <c r="R9915" t="s">
        <v>43178</v>
      </c>
      <c r="S9915" t="s">
        <v>43522</v>
      </c>
      <c r="T9915" t="s">
        <v>44780</v>
      </c>
      <c r="U9915" t="s">
        <v>53152</v>
      </c>
      <c r="W9915" t="s">
        <v>42409</v>
      </c>
      <c r="X9915" t="s">
        <v>43179</v>
      </c>
    </row>
    <row r="9916" spans="1:24">
      <c r="A9916">
        <f>HYPERLINK("https://www.philgeps.gov.ph/GEPSNONPILOT/Tender/SplashBidNoticeAbstractUI.aspx?menuIndex=3&amp;refID=7068572&amp;Result=3","7068572")</f>
        <v>0</v>
      </c>
      <c r="B9916" t="s">
        <v>1730</v>
      </c>
      <c r="C9916" t="s">
        <v>12869</v>
      </c>
      <c r="D9916" t="s">
        <v>17423</v>
      </c>
      <c r="E9916" t="s">
        <v>25987</v>
      </c>
      <c r="F9916" t="s">
        <v>30052</v>
      </c>
      <c r="G9916" t="s">
        <v>30058</v>
      </c>
      <c r="H9916" t="s">
        <v>30067</v>
      </c>
      <c r="I9916" t="s">
        <v>3693</v>
      </c>
      <c r="J9916" t="s">
        <v>36262</v>
      </c>
      <c r="K9916" t="s">
        <v>39143</v>
      </c>
      <c r="M9916" t="s">
        <v>42228</v>
      </c>
      <c r="N9916" t="s">
        <v>43166</v>
      </c>
      <c r="O9916" t="s">
        <v>43167</v>
      </c>
      <c r="P9916">
        <v>0</v>
      </c>
      <c r="Q9916">
        <v>0</v>
      </c>
      <c r="R9916" t="s">
        <v>43178</v>
      </c>
      <c r="S9916" t="s">
        <v>43522</v>
      </c>
      <c r="T9916" t="s">
        <v>44753</v>
      </c>
      <c r="U9916" t="s">
        <v>53153</v>
      </c>
      <c r="V9916" t="s">
        <v>57943</v>
      </c>
      <c r="W9916" t="s">
        <v>42228</v>
      </c>
      <c r="X9916" t="s">
        <v>43179</v>
      </c>
    </row>
    <row r="9917" spans="1:24">
      <c r="A9917">
        <f>HYPERLINK("https://www.philgeps.gov.ph/GEPSNONPILOT/Tender/SplashBidNoticeAbstractUI.aspx?menuIndex=3&amp;refID=7068495&amp;Result=3","7068495")</f>
        <v>0</v>
      </c>
      <c r="B9917" t="s">
        <v>2855</v>
      </c>
      <c r="C9917" t="s">
        <v>12870</v>
      </c>
      <c r="D9917" t="s">
        <v>17442</v>
      </c>
      <c r="E9917" t="s">
        <v>25988</v>
      </c>
      <c r="F9917" t="s">
        <v>30052</v>
      </c>
      <c r="G9917" t="s">
        <v>30058</v>
      </c>
      <c r="H9917" t="s">
        <v>15498</v>
      </c>
      <c r="I9917" t="s">
        <v>3736</v>
      </c>
      <c r="J9917" t="s">
        <v>36263</v>
      </c>
      <c r="K9917" t="s">
        <v>39029</v>
      </c>
      <c r="M9917" t="s">
        <v>42402</v>
      </c>
      <c r="N9917" t="s">
        <v>43166</v>
      </c>
      <c r="O9917" t="s">
        <v>43167</v>
      </c>
      <c r="P9917">
        <v>0</v>
      </c>
      <c r="Q9917">
        <v>2</v>
      </c>
      <c r="R9917" t="s">
        <v>43178</v>
      </c>
      <c r="S9917" t="s">
        <v>43522</v>
      </c>
      <c r="T9917" t="s">
        <v>44716</v>
      </c>
      <c r="U9917" t="s">
        <v>53117</v>
      </c>
      <c r="W9917" t="s">
        <v>42402</v>
      </c>
      <c r="X9917" t="s">
        <v>43179</v>
      </c>
    </row>
    <row r="9918" spans="1:24">
      <c r="A9918">
        <f>HYPERLINK("https://www.philgeps.gov.ph/GEPSNONPILOT/Tender/SplashBidNoticeAbstractUI.aspx?menuIndex=3&amp;refID=7068625&amp;Result=3","7068625")</f>
        <v>0</v>
      </c>
      <c r="B9918" t="s">
        <v>1339</v>
      </c>
      <c r="C9918" t="s">
        <v>12871</v>
      </c>
      <c r="D9918" t="s">
        <v>17474</v>
      </c>
      <c r="E9918" t="s">
        <v>25989</v>
      </c>
      <c r="F9918" t="s">
        <v>30052</v>
      </c>
      <c r="G9918" t="s">
        <v>30058</v>
      </c>
      <c r="H9918" t="s">
        <v>15498</v>
      </c>
      <c r="I9918" t="s">
        <v>5961</v>
      </c>
      <c r="J9918" t="s">
        <v>36264</v>
      </c>
      <c r="K9918" t="s">
        <v>39029</v>
      </c>
      <c r="M9918" t="s">
        <v>41073</v>
      </c>
      <c r="N9918" t="s">
        <v>43166</v>
      </c>
      <c r="O9918" t="s">
        <v>43167</v>
      </c>
      <c r="P9918">
        <v>0</v>
      </c>
      <c r="Q9918">
        <v>0</v>
      </c>
      <c r="R9918" t="s">
        <v>43178</v>
      </c>
      <c r="S9918" t="s">
        <v>43522</v>
      </c>
      <c r="T9918" t="s">
        <v>44844</v>
      </c>
      <c r="U9918" t="s">
        <v>48174</v>
      </c>
      <c r="V9918" t="s">
        <v>57248</v>
      </c>
      <c r="W9918" t="s">
        <v>41073</v>
      </c>
      <c r="X9918" t="s">
        <v>43179</v>
      </c>
    </row>
    <row r="9919" spans="1:24">
      <c r="A9919">
        <f>HYPERLINK("https://www.philgeps.gov.ph/GEPSNONPILOT/Tender/SplashBidNoticeAbstractUI.aspx?menuIndex=3&amp;refID=7068501&amp;Result=3","7068501")</f>
        <v>0</v>
      </c>
      <c r="B9919" t="s">
        <v>1730</v>
      </c>
      <c r="C9919" t="s">
        <v>12872</v>
      </c>
      <c r="D9919" t="s">
        <v>17423</v>
      </c>
      <c r="E9919" t="s">
        <v>25990</v>
      </c>
      <c r="F9919" t="s">
        <v>30052</v>
      </c>
      <c r="G9919" t="s">
        <v>30058</v>
      </c>
      <c r="H9919" t="s">
        <v>30067</v>
      </c>
      <c r="I9919" t="s">
        <v>3693</v>
      </c>
      <c r="J9919" t="s">
        <v>36265</v>
      </c>
      <c r="K9919" t="s">
        <v>39162</v>
      </c>
      <c r="M9919" t="s">
        <v>42228</v>
      </c>
      <c r="N9919" t="s">
        <v>43166</v>
      </c>
      <c r="O9919" t="s">
        <v>43167</v>
      </c>
      <c r="P9919">
        <v>0</v>
      </c>
      <c r="Q9919">
        <v>0</v>
      </c>
      <c r="R9919" t="s">
        <v>43178</v>
      </c>
      <c r="S9919" t="s">
        <v>43522</v>
      </c>
      <c r="T9919" t="s">
        <v>44753</v>
      </c>
      <c r="U9919" t="s">
        <v>53154</v>
      </c>
      <c r="V9919" t="s">
        <v>57944</v>
      </c>
      <c r="W9919" t="s">
        <v>42228</v>
      </c>
      <c r="X9919" t="s">
        <v>43179</v>
      </c>
    </row>
    <row r="9920" spans="1:24">
      <c r="A9920">
        <f>HYPERLINK("https://www.philgeps.gov.ph/GEPSNONPILOT/Tender/SplashBidNoticeAbstractUI.aspx?menuIndex=3&amp;refID=7068480&amp;Result=3","7068480")</f>
        <v>0</v>
      </c>
      <c r="B9920" t="s">
        <v>1465</v>
      </c>
      <c r="C9920" t="s">
        <v>12873</v>
      </c>
      <c r="D9920" t="s">
        <v>17488</v>
      </c>
      <c r="E9920" t="s">
        <v>22729</v>
      </c>
      <c r="F9920" t="s">
        <v>30052</v>
      </c>
      <c r="G9920" t="s">
        <v>30058</v>
      </c>
      <c r="H9920" t="s">
        <v>15498</v>
      </c>
      <c r="I9920" t="s">
        <v>30122</v>
      </c>
      <c r="J9920" t="s">
        <v>36266</v>
      </c>
      <c r="K9920" t="s">
        <v>39023</v>
      </c>
      <c r="M9920" t="s">
        <v>40846</v>
      </c>
      <c r="N9920" t="s">
        <v>43166</v>
      </c>
      <c r="O9920" t="s">
        <v>43167</v>
      </c>
      <c r="P9920">
        <v>0</v>
      </c>
      <c r="Q9920">
        <v>6</v>
      </c>
      <c r="R9920" t="s">
        <v>43178</v>
      </c>
      <c r="S9920" t="s">
        <v>43522</v>
      </c>
      <c r="T9920" t="s">
        <v>45130</v>
      </c>
      <c r="U9920" t="s">
        <v>48466</v>
      </c>
      <c r="W9920" t="s">
        <v>40846</v>
      </c>
      <c r="X9920" t="s">
        <v>43179</v>
      </c>
    </row>
    <row r="9921" spans="1:24">
      <c r="A9921">
        <f>HYPERLINK("https://www.philgeps.gov.ph/GEPSNONPILOT/Tender/SplashBidNoticeAbstractUI.aspx?menuIndex=3&amp;refID=7068591&amp;Result=3","7068591")</f>
        <v>0</v>
      </c>
      <c r="B9921" t="s">
        <v>2856</v>
      </c>
      <c r="C9921" t="s">
        <v>12874</v>
      </c>
      <c r="D9921" t="s">
        <v>17464</v>
      </c>
      <c r="E9921" t="s">
        <v>25991</v>
      </c>
      <c r="F9921" t="s">
        <v>30052</v>
      </c>
      <c r="G9921" t="s">
        <v>30058</v>
      </c>
      <c r="H9921" t="s">
        <v>15498</v>
      </c>
      <c r="I9921" t="s">
        <v>30153</v>
      </c>
      <c r="J9921" t="s">
        <v>36267</v>
      </c>
      <c r="K9921" t="s">
        <v>39029</v>
      </c>
      <c r="M9921" t="s">
        <v>42404</v>
      </c>
      <c r="N9921" t="s">
        <v>43166</v>
      </c>
      <c r="O9921" t="s">
        <v>43167</v>
      </c>
      <c r="P9921">
        <v>0</v>
      </c>
      <c r="Q9921">
        <v>2</v>
      </c>
      <c r="R9921" t="s">
        <v>43178</v>
      </c>
      <c r="S9921" t="s">
        <v>43522</v>
      </c>
      <c r="T9921" t="s">
        <v>44696</v>
      </c>
      <c r="U9921" t="s">
        <v>53155</v>
      </c>
      <c r="V9921" t="s">
        <v>57934</v>
      </c>
      <c r="W9921" t="s">
        <v>42404</v>
      </c>
      <c r="X9921" t="s">
        <v>43179</v>
      </c>
    </row>
    <row r="9922" spans="1:24">
      <c r="A9922">
        <f>HYPERLINK("https://www.philgeps.gov.ph/GEPSNONPILOT/Tender/SplashBidNoticeAbstractUI.aspx?menuIndex=3&amp;refID=7068795&amp;Result=3","7068795")</f>
        <v>0</v>
      </c>
      <c r="B9922" t="s">
        <v>2862</v>
      </c>
      <c r="C9922" t="s">
        <v>12875</v>
      </c>
      <c r="D9922" t="s">
        <v>17443</v>
      </c>
      <c r="E9922" t="s">
        <v>25992</v>
      </c>
      <c r="F9922" t="s">
        <v>30052</v>
      </c>
      <c r="G9922" t="s">
        <v>30058</v>
      </c>
      <c r="H9922" t="s">
        <v>15498</v>
      </c>
      <c r="I9922" t="s">
        <v>3736</v>
      </c>
      <c r="J9922" t="s">
        <v>30230</v>
      </c>
      <c r="K9922" t="s">
        <v>39029</v>
      </c>
      <c r="M9922" t="s">
        <v>42410</v>
      </c>
      <c r="N9922" t="s">
        <v>43166</v>
      </c>
      <c r="O9922" t="s">
        <v>43167</v>
      </c>
      <c r="P9922">
        <v>0</v>
      </c>
      <c r="Q9922">
        <v>0</v>
      </c>
      <c r="R9922" t="s">
        <v>43178</v>
      </c>
      <c r="S9922" t="s">
        <v>43522</v>
      </c>
      <c r="T9922" t="s">
        <v>44763</v>
      </c>
      <c r="U9922" t="s">
        <v>53156</v>
      </c>
      <c r="V9922" t="s">
        <v>57945</v>
      </c>
      <c r="W9922" t="s">
        <v>42410</v>
      </c>
      <c r="X9922" t="s">
        <v>43179</v>
      </c>
    </row>
    <row r="9923" spans="1:24">
      <c r="A9923">
        <f>HYPERLINK("https://www.philgeps.gov.ph/GEPSNONPILOT/Tender/SplashBidNoticeAbstractUI.aspx?menuIndex=3&amp;refID=7068785&amp;Result=3","7068785")</f>
        <v>0</v>
      </c>
      <c r="B9923" t="s">
        <v>2863</v>
      </c>
      <c r="C9923" t="s">
        <v>12876</v>
      </c>
      <c r="D9923" t="s">
        <v>17468</v>
      </c>
      <c r="E9923" t="s">
        <v>25993</v>
      </c>
      <c r="F9923" t="s">
        <v>30052</v>
      </c>
      <c r="G9923" t="s">
        <v>30059</v>
      </c>
      <c r="H9923" t="s">
        <v>15498</v>
      </c>
      <c r="I9923" t="s">
        <v>30073</v>
      </c>
      <c r="J9923" t="s">
        <v>31224</v>
      </c>
      <c r="K9923" t="s">
        <v>39025</v>
      </c>
      <c r="M9923" t="s">
        <v>42411</v>
      </c>
      <c r="N9923" t="s">
        <v>43166</v>
      </c>
      <c r="O9923" t="s">
        <v>43167</v>
      </c>
      <c r="P9923">
        <v>0</v>
      </c>
      <c r="Q9923">
        <v>1</v>
      </c>
      <c r="R9923" t="s">
        <v>43178</v>
      </c>
      <c r="S9923" t="s">
        <v>43522</v>
      </c>
      <c r="T9923" t="s">
        <v>45131</v>
      </c>
      <c r="U9923" t="s">
        <v>53157</v>
      </c>
      <c r="W9923" t="s">
        <v>58689</v>
      </c>
      <c r="X9923" t="s">
        <v>43179</v>
      </c>
    </row>
    <row r="9924" spans="1:24">
      <c r="A9924">
        <f>HYPERLINK("https://www.philgeps.gov.ph/GEPSNONPILOT/Tender/SplashBidNoticeAbstractUI.aspx?menuIndex=3&amp;refID=7068774&amp;Result=3","7068774")</f>
        <v>0</v>
      </c>
      <c r="B9924" t="s">
        <v>1730</v>
      </c>
      <c r="C9924" t="s">
        <v>12877</v>
      </c>
      <c r="D9924" t="s">
        <v>17423</v>
      </c>
      <c r="E9924" t="s">
        <v>25994</v>
      </c>
      <c r="F9924" t="s">
        <v>30052</v>
      </c>
      <c r="G9924" t="s">
        <v>30058</v>
      </c>
      <c r="H9924" t="s">
        <v>30067</v>
      </c>
      <c r="I9924" t="s">
        <v>3693</v>
      </c>
      <c r="J9924" t="s">
        <v>30222</v>
      </c>
      <c r="K9924" t="s">
        <v>39072</v>
      </c>
      <c r="M9924" t="s">
        <v>42228</v>
      </c>
      <c r="N9924" t="s">
        <v>43166</v>
      </c>
      <c r="O9924" t="s">
        <v>43167</v>
      </c>
      <c r="P9924">
        <v>0</v>
      </c>
      <c r="Q9924">
        <v>0</v>
      </c>
      <c r="R9924" t="s">
        <v>43178</v>
      </c>
      <c r="S9924" t="s">
        <v>43522</v>
      </c>
      <c r="T9924" t="s">
        <v>44753</v>
      </c>
      <c r="U9924" t="s">
        <v>53158</v>
      </c>
      <c r="V9924" t="s">
        <v>57946</v>
      </c>
      <c r="W9924" t="s">
        <v>42228</v>
      </c>
      <c r="X9924" t="s">
        <v>43179</v>
      </c>
    </row>
    <row r="9925" spans="1:24">
      <c r="A9925">
        <f>HYPERLINK("https://www.philgeps.gov.ph/GEPSNONPILOT/Tender/SplashBidNoticeAbstractUI.aspx?menuIndex=3&amp;refID=7068760&amp;Result=3","7068760")</f>
        <v>0</v>
      </c>
      <c r="B9925" t="s">
        <v>1339</v>
      </c>
      <c r="C9925" t="s">
        <v>12878</v>
      </c>
      <c r="D9925" t="s">
        <v>17474</v>
      </c>
      <c r="E9925" t="s">
        <v>25995</v>
      </c>
      <c r="F9925" t="s">
        <v>30052</v>
      </c>
      <c r="G9925" t="s">
        <v>30058</v>
      </c>
      <c r="H9925" t="s">
        <v>15498</v>
      </c>
      <c r="I9925" t="s">
        <v>30081</v>
      </c>
      <c r="J9925" t="s">
        <v>36268</v>
      </c>
      <c r="K9925" t="s">
        <v>39029</v>
      </c>
      <c r="M9925" t="s">
        <v>41073</v>
      </c>
      <c r="N9925" t="s">
        <v>43166</v>
      </c>
      <c r="O9925" t="s">
        <v>43167</v>
      </c>
      <c r="P9925">
        <v>0</v>
      </c>
      <c r="Q9925">
        <v>0</v>
      </c>
      <c r="R9925" t="s">
        <v>43178</v>
      </c>
      <c r="S9925" t="s">
        <v>43522</v>
      </c>
      <c r="T9925" t="s">
        <v>44844</v>
      </c>
      <c r="U9925" t="s">
        <v>48174</v>
      </c>
      <c r="V9925" t="s">
        <v>57248</v>
      </c>
      <c r="W9925" t="s">
        <v>41073</v>
      </c>
      <c r="X9925" t="s">
        <v>43179</v>
      </c>
    </row>
    <row r="9926" spans="1:24">
      <c r="A9926">
        <f>HYPERLINK("https://www.philgeps.gov.ph/GEPSNONPILOT/Tender/SplashBidNoticeAbstractUI.aspx?menuIndex=3&amp;refID=7068749&amp;Result=3","7068749")</f>
        <v>0</v>
      </c>
      <c r="B9926" t="s">
        <v>1730</v>
      </c>
      <c r="C9926" t="s">
        <v>12879</v>
      </c>
      <c r="D9926" t="s">
        <v>17423</v>
      </c>
      <c r="E9926" t="s">
        <v>25996</v>
      </c>
      <c r="F9926" t="s">
        <v>30052</v>
      </c>
      <c r="G9926" t="s">
        <v>30058</v>
      </c>
      <c r="H9926" t="s">
        <v>30067</v>
      </c>
      <c r="I9926" t="s">
        <v>3693</v>
      </c>
      <c r="J9926" t="s">
        <v>36269</v>
      </c>
      <c r="K9926" t="s">
        <v>39044</v>
      </c>
      <c r="M9926" t="s">
        <v>42228</v>
      </c>
      <c r="N9926" t="s">
        <v>43166</v>
      </c>
      <c r="O9926" t="s">
        <v>43167</v>
      </c>
      <c r="P9926">
        <v>0</v>
      </c>
      <c r="Q9926">
        <v>0</v>
      </c>
      <c r="R9926" t="s">
        <v>43178</v>
      </c>
      <c r="S9926" t="s">
        <v>43522</v>
      </c>
      <c r="T9926" t="s">
        <v>44753</v>
      </c>
      <c r="U9926" t="s">
        <v>53159</v>
      </c>
      <c r="V9926" t="s">
        <v>57947</v>
      </c>
      <c r="W9926" t="s">
        <v>42228</v>
      </c>
      <c r="X9926" t="s">
        <v>43179</v>
      </c>
    </row>
    <row r="9927" spans="1:24">
      <c r="A9927">
        <f>HYPERLINK("https://www.philgeps.gov.ph/GEPSNONPILOT/Tender/SplashBidNoticeAbstractUI.aspx?menuIndex=3&amp;refID=7068745&amp;Result=3","7068745")</f>
        <v>0</v>
      </c>
      <c r="B9927" t="s">
        <v>1339</v>
      </c>
      <c r="C9927" t="s">
        <v>12880</v>
      </c>
      <c r="D9927" t="s">
        <v>17474</v>
      </c>
      <c r="E9927" t="s">
        <v>25997</v>
      </c>
      <c r="F9927" t="s">
        <v>30052</v>
      </c>
      <c r="G9927" t="s">
        <v>30058</v>
      </c>
      <c r="H9927" t="s">
        <v>15498</v>
      </c>
      <c r="I9927" t="s">
        <v>30081</v>
      </c>
      <c r="J9927" t="s">
        <v>36270</v>
      </c>
      <c r="K9927" t="s">
        <v>39029</v>
      </c>
      <c r="M9927" t="s">
        <v>41073</v>
      </c>
      <c r="N9927" t="s">
        <v>43166</v>
      </c>
      <c r="O9927" t="s">
        <v>43167</v>
      </c>
      <c r="P9927">
        <v>0</v>
      </c>
      <c r="Q9927">
        <v>0</v>
      </c>
      <c r="R9927" t="s">
        <v>43178</v>
      </c>
      <c r="S9927" t="s">
        <v>43522</v>
      </c>
      <c r="T9927" t="s">
        <v>44844</v>
      </c>
      <c r="U9927" t="s">
        <v>48174</v>
      </c>
      <c r="V9927" t="s">
        <v>57248</v>
      </c>
      <c r="W9927" t="s">
        <v>41073</v>
      </c>
      <c r="X9927" t="s">
        <v>43179</v>
      </c>
    </row>
    <row r="9928" spans="1:24">
      <c r="A9928">
        <f>HYPERLINK("https://www.philgeps.gov.ph/GEPSNONPILOT/Tender/SplashBidNoticeAbstractUI.aspx?menuIndex=3&amp;refID=7068733&amp;Result=3","7068733")</f>
        <v>0</v>
      </c>
      <c r="B9928" t="s">
        <v>2864</v>
      </c>
      <c r="C9928" t="s">
        <v>12881</v>
      </c>
      <c r="D9928" t="s">
        <v>17475</v>
      </c>
      <c r="E9928" t="s">
        <v>12881</v>
      </c>
      <c r="F9928" t="s">
        <v>30052</v>
      </c>
      <c r="G9928" t="s">
        <v>30058</v>
      </c>
      <c r="H9928" t="s">
        <v>15498</v>
      </c>
      <c r="I9928" t="s">
        <v>30109</v>
      </c>
      <c r="J9928" t="s">
        <v>36271</v>
      </c>
      <c r="K9928" t="s">
        <v>39025</v>
      </c>
      <c r="M9928" t="s">
        <v>42412</v>
      </c>
      <c r="N9928" t="s">
        <v>43166</v>
      </c>
      <c r="O9928" t="s">
        <v>43167</v>
      </c>
      <c r="P9928">
        <v>0</v>
      </c>
      <c r="Q9928">
        <v>8</v>
      </c>
      <c r="R9928" t="s">
        <v>43178</v>
      </c>
      <c r="S9928" t="s">
        <v>43522</v>
      </c>
      <c r="T9928" t="s">
        <v>44807</v>
      </c>
      <c r="U9928" t="s">
        <v>53160</v>
      </c>
      <c r="W9928" t="s">
        <v>42412</v>
      </c>
      <c r="X9928" t="s">
        <v>43179</v>
      </c>
    </row>
    <row r="9929" spans="1:24">
      <c r="A9929">
        <f>HYPERLINK("https://www.philgeps.gov.ph/GEPSNONPILOT/Tender/SplashBidNoticeAbstractUI.aspx?menuIndex=3&amp;refID=7068755&amp;Result=3","7068755")</f>
        <v>0</v>
      </c>
      <c r="B9929" t="s">
        <v>2861</v>
      </c>
      <c r="C9929" t="s">
        <v>3458</v>
      </c>
      <c r="D9929" t="s">
        <v>17468</v>
      </c>
      <c r="E9929" t="s">
        <v>25998</v>
      </c>
      <c r="F9929" t="s">
        <v>30052</v>
      </c>
      <c r="G9929" t="s">
        <v>30058</v>
      </c>
      <c r="H9929" t="s">
        <v>15498</v>
      </c>
      <c r="I9929" t="s">
        <v>30070</v>
      </c>
      <c r="J9929" t="s">
        <v>36272</v>
      </c>
      <c r="K9929" t="s">
        <v>39029</v>
      </c>
      <c r="M9929" t="s">
        <v>42409</v>
      </c>
      <c r="N9929" t="s">
        <v>43166</v>
      </c>
      <c r="O9929" t="s">
        <v>43167</v>
      </c>
      <c r="P9929">
        <v>0</v>
      </c>
      <c r="Q9929">
        <v>2</v>
      </c>
      <c r="R9929" t="s">
        <v>43178</v>
      </c>
      <c r="S9929" t="s">
        <v>43522</v>
      </c>
      <c r="T9929" t="s">
        <v>44780</v>
      </c>
      <c r="U9929" t="s">
        <v>53161</v>
      </c>
      <c r="W9929" t="s">
        <v>42409</v>
      </c>
      <c r="X9929" t="s">
        <v>43179</v>
      </c>
    </row>
    <row r="9930" spans="1:24">
      <c r="A9930">
        <f>HYPERLINK("https://www.philgeps.gov.ph/GEPSNONPILOT/Tender/SplashBidNoticeAbstractUI.aspx?menuIndex=3&amp;refID=7068732&amp;Result=3","7068732")</f>
        <v>0</v>
      </c>
      <c r="B9930" t="s">
        <v>2862</v>
      </c>
      <c r="C9930" t="s">
        <v>12882</v>
      </c>
      <c r="D9930" t="s">
        <v>17443</v>
      </c>
      <c r="E9930" t="s">
        <v>25999</v>
      </c>
      <c r="F9930" t="s">
        <v>30052</v>
      </c>
      <c r="G9930" t="s">
        <v>30058</v>
      </c>
      <c r="H9930" t="s">
        <v>15498</v>
      </c>
      <c r="I9930" t="s">
        <v>3736</v>
      </c>
      <c r="J9930" t="s">
        <v>30230</v>
      </c>
      <c r="K9930" t="s">
        <v>39029</v>
      </c>
      <c r="M9930" t="s">
        <v>42410</v>
      </c>
      <c r="N9930" t="s">
        <v>43166</v>
      </c>
      <c r="O9930" t="s">
        <v>43167</v>
      </c>
      <c r="P9930">
        <v>0</v>
      </c>
      <c r="Q9930">
        <v>0</v>
      </c>
      <c r="R9930" t="s">
        <v>43178</v>
      </c>
      <c r="S9930" t="s">
        <v>43522</v>
      </c>
      <c r="T9930" t="s">
        <v>44763</v>
      </c>
      <c r="U9930" t="s">
        <v>53156</v>
      </c>
      <c r="V9930" t="s">
        <v>57948</v>
      </c>
      <c r="W9930" t="s">
        <v>42410</v>
      </c>
      <c r="X9930" t="s">
        <v>43179</v>
      </c>
    </row>
    <row r="9931" spans="1:24">
      <c r="A9931">
        <f>HYPERLINK("https://www.philgeps.gov.ph/GEPSNONPILOT/Tender/SplashBidNoticeAbstractUI.aspx?menuIndex=3&amp;refID=7068731&amp;Result=3","7068731")</f>
        <v>0</v>
      </c>
      <c r="B9931" t="s">
        <v>2865</v>
      </c>
      <c r="C9931" t="s">
        <v>12883</v>
      </c>
      <c r="D9931" t="s">
        <v>17422</v>
      </c>
      <c r="E9931" t="s">
        <v>26000</v>
      </c>
      <c r="F9931" t="s">
        <v>30052</v>
      </c>
      <c r="G9931" t="s">
        <v>30061</v>
      </c>
      <c r="H9931" t="s">
        <v>15498</v>
      </c>
      <c r="I9931" t="s">
        <v>30084</v>
      </c>
      <c r="J9931" t="s">
        <v>30277</v>
      </c>
      <c r="K9931" t="s">
        <v>39029</v>
      </c>
      <c r="M9931" t="s">
        <v>42413</v>
      </c>
      <c r="N9931" t="s">
        <v>43166</v>
      </c>
      <c r="O9931" t="s">
        <v>43167</v>
      </c>
      <c r="P9931">
        <v>0</v>
      </c>
      <c r="Q9931">
        <v>2</v>
      </c>
      <c r="R9931" t="s">
        <v>43178</v>
      </c>
      <c r="S9931" t="s">
        <v>43522</v>
      </c>
      <c r="T9931" t="s">
        <v>44696</v>
      </c>
      <c r="U9931" t="s">
        <v>53162</v>
      </c>
      <c r="V9931" t="s">
        <v>57949</v>
      </c>
      <c r="W9931" t="s">
        <v>42413</v>
      </c>
      <c r="X9931" t="s">
        <v>43179</v>
      </c>
    </row>
    <row r="9932" spans="1:24">
      <c r="A9932">
        <f>HYPERLINK("https://www.philgeps.gov.ph/GEPSNONPILOT/Tender/SplashBidNoticeAbstractUI.aspx?menuIndex=3&amp;refID=7068729&amp;Result=3","7068729")</f>
        <v>0</v>
      </c>
      <c r="B9932" t="s">
        <v>1339</v>
      </c>
      <c r="C9932" t="s">
        <v>12884</v>
      </c>
      <c r="D9932" t="s">
        <v>17474</v>
      </c>
      <c r="E9932" t="s">
        <v>26001</v>
      </c>
      <c r="F9932" t="s">
        <v>30052</v>
      </c>
      <c r="G9932" t="s">
        <v>30058</v>
      </c>
      <c r="H9932" t="s">
        <v>15498</v>
      </c>
      <c r="I9932" t="s">
        <v>30081</v>
      </c>
      <c r="J9932" t="s">
        <v>36273</v>
      </c>
      <c r="K9932" t="s">
        <v>39029</v>
      </c>
      <c r="M9932" t="s">
        <v>41073</v>
      </c>
      <c r="N9932" t="s">
        <v>43166</v>
      </c>
      <c r="O9932" t="s">
        <v>43167</v>
      </c>
      <c r="P9932">
        <v>0</v>
      </c>
      <c r="Q9932">
        <v>0</v>
      </c>
      <c r="R9932" t="s">
        <v>43178</v>
      </c>
      <c r="S9932" t="s">
        <v>43522</v>
      </c>
      <c r="T9932" t="s">
        <v>44844</v>
      </c>
      <c r="U9932" t="s">
        <v>48174</v>
      </c>
      <c r="V9932" t="s">
        <v>57248</v>
      </c>
      <c r="W9932" t="s">
        <v>41073</v>
      </c>
      <c r="X9932" t="s">
        <v>43179</v>
      </c>
    </row>
    <row r="9933" spans="1:24">
      <c r="A9933">
        <f>HYPERLINK("https://www.philgeps.gov.ph/GEPSNONPILOT/Tender/SplashBidNoticeAbstractUI.aspx?menuIndex=3&amp;refID=7068723&amp;Result=3","7068723")</f>
        <v>0</v>
      </c>
      <c r="B9933" t="s">
        <v>2866</v>
      </c>
      <c r="C9933" t="s">
        <v>12885</v>
      </c>
      <c r="D9933" t="s">
        <v>17458</v>
      </c>
      <c r="E9933" t="s">
        <v>26002</v>
      </c>
      <c r="F9933" t="s">
        <v>30052</v>
      </c>
      <c r="G9933" t="s">
        <v>30058</v>
      </c>
      <c r="H9933" t="s">
        <v>30069</v>
      </c>
      <c r="I9933" t="s">
        <v>12885</v>
      </c>
      <c r="J9933" t="s">
        <v>36274</v>
      </c>
      <c r="K9933" t="s">
        <v>39067</v>
      </c>
      <c r="M9933" t="s">
        <v>42414</v>
      </c>
      <c r="N9933" t="s">
        <v>43166</v>
      </c>
      <c r="O9933" t="s">
        <v>43167</v>
      </c>
      <c r="P9933">
        <v>0</v>
      </c>
      <c r="Q9933">
        <v>3</v>
      </c>
      <c r="R9933" t="s">
        <v>43178</v>
      </c>
      <c r="S9933" t="s">
        <v>43522</v>
      </c>
      <c r="T9933" t="s">
        <v>44718</v>
      </c>
      <c r="U9933" t="s">
        <v>53163</v>
      </c>
      <c r="W9933" t="s">
        <v>42414</v>
      </c>
      <c r="X9933" t="s">
        <v>43179</v>
      </c>
    </row>
    <row r="9934" spans="1:24">
      <c r="A9934">
        <f>HYPERLINK("https://www.philgeps.gov.ph/GEPSNONPILOT/Tender/SplashBidNoticeAbstractUI.aspx?menuIndex=3&amp;refID=7068813&amp;Result=3","7068813")</f>
        <v>0</v>
      </c>
      <c r="B9934" t="s">
        <v>2867</v>
      </c>
      <c r="C9934" t="s">
        <v>12886</v>
      </c>
      <c r="D9934" t="s">
        <v>17478</v>
      </c>
      <c r="E9934" t="s">
        <v>26003</v>
      </c>
      <c r="F9934" t="s">
        <v>30052</v>
      </c>
      <c r="G9934" t="s">
        <v>30058</v>
      </c>
      <c r="H9934" t="s">
        <v>30067</v>
      </c>
      <c r="I9934" t="s">
        <v>3693</v>
      </c>
      <c r="J9934" t="s">
        <v>32337</v>
      </c>
      <c r="K9934" t="s">
        <v>39082</v>
      </c>
      <c r="M9934" t="s">
        <v>42415</v>
      </c>
      <c r="N9934" t="s">
        <v>43166</v>
      </c>
      <c r="O9934" t="s">
        <v>43167</v>
      </c>
      <c r="P9934">
        <v>0</v>
      </c>
      <c r="Q9934">
        <v>0</v>
      </c>
      <c r="R9934" t="s">
        <v>43178</v>
      </c>
      <c r="S9934" t="s">
        <v>43522</v>
      </c>
      <c r="T9934" t="s">
        <v>44685</v>
      </c>
      <c r="U9934" t="s">
        <v>53164</v>
      </c>
      <c r="W9934" t="s">
        <v>42415</v>
      </c>
      <c r="X9934" t="s">
        <v>43179</v>
      </c>
    </row>
    <row r="9935" spans="1:24">
      <c r="A9935">
        <f>HYPERLINK("https://www.philgeps.gov.ph/GEPSNONPILOT/Tender/SplashBidNoticeAbstractUI.aspx?menuIndex=3&amp;refID=7068927&amp;Result=3","7068927")</f>
        <v>0</v>
      </c>
      <c r="B9935" t="s">
        <v>1636</v>
      </c>
      <c r="C9935" t="s">
        <v>12887</v>
      </c>
      <c r="D9935" t="s">
        <v>17466</v>
      </c>
      <c r="E9935" t="s">
        <v>26004</v>
      </c>
      <c r="F9935" t="s">
        <v>30052</v>
      </c>
      <c r="G9935" t="s">
        <v>30058</v>
      </c>
      <c r="H9935" t="s">
        <v>15498</v>
      </c>
      <c r="I9935" t="s">
        <v>3606</v>
      </c>
      <c r="J9935" t="s">
        <v>36275</v>
      </c>
      <c r="K9935" t="s">
        <v>39019</v>
      </c>
      <c r="M9935" t="s">
        <v>41038</v>
      </c>
      <c r="N9935" t="s">
        <v>43166</v>
      </c>
      <c r="O9935" t="s">
        <v>43167</v>
      </c>
      <c r="P9935">
        <v>0</v>
      </c>
      <c r="Q9935">
        <v>8</v>
      </c>
      <c r="R9935" t="s">
        <v>43178</v>
      </c>
      <c r="S9935" t="s">
        <v>43522</v>
      </c>
      <c r="T9935" t="s">
        <v>44841</v>
      </c>
      <c r="U9935" t="s">
        <v>50911</v>
      </c>
      <c r="W9935" t="s">
        <v>41038</v>
      </c>
      <c r="X9935" t="s">
        <v>43179</v>
      </c>
    </row>
    <row r="9936" spans="1:24">
      <c r="A9936">
        <f>HYPERLINK("https://www.philgeps.gov.ph/GEPSNONPILOT/Tender/SplashBidNoticeAbstractUI.aspx?menuIndex=3&amp;refID=7068682&amp;Result=3","7068682")</f>
        <v>0</v>
      </c>
      <c r="B9936" t="s">
        <v>2780</v>
      </c>
      <c r="C9936" t="s">
        <v>12888</v>
      </c>
      <c r="D9936" t="s">
        <v>17466</v>
      </c>
      <c r="E9936" t="s">
        <v>26005</v>
      </c>
      <c r="F9936" t="s">
        <v>30052</v>
      </c>
      <c r="G9936" t="s">
        <v>30059</v>
      </c>
      <c r="H9936" t="s">
        <v>15498</v>
      </c>
      <c r="I9936" t="s">
        <v>9238</v>
      </c>
      <c r="J9936" t="s">
        <v>30248</v>
      </c>
      <c r="K9936" t="s">
        <v>39023</v>
      </c>
      <c r="M9936" t="s">
        <v>42316</v>
      </c>
      <c r="N9936" t="s">
        <v>43166</v>
      </c>
      <c r="O9936" t="s">
        <v>43167</v>
      </c>
      <c r="P9936">
        <v>0</v>
      </c>
      <c r="Q9936">
        <v>25</v>
      </c>
      <c r="R9936" t="s">
        <v>43178</v>
      </c>
      <c r="S9936" t="s">
        <v>43522</v>
      </c>
      <c r="T9936" t="s">
        <v>44732</v>
      </c>
      <c r="U9936" t="s">
        <v>53165</v>
      </c>
      <c r="W9936" t="s">
        <v>42316</v>
      </c>
      <c r="X9936" t="s">
        <v>43179</v>
      </c>
    </row>
    <row r="9937" spans="1:24">
      <c r="A9937">
        <f>HYPERLINK("https://www.philgeps.gov.ph/GEPSNONPILOT/Tender/SplashBidNoticeAbstractUI.aspx?menuIndex=3&amp;refID=7068924&amp;Result=3","7068924")</f>
        <v>0</v>
      </c>
      <c r="B9937" t="s">
        <v>2863</v>
      </c>
      <c r="C9937" t="s">
        <v>12889</v>
      </c>
      <c r="D9937" t="s">
        <v>17468</v>
      </c>
      <c r="E9937" t="s">
        <v>26006</v>
      </c>
      <c r="F9937" t="s">
        <v>30052</v>
      </c>
      <c r="G9937" t="s">
        <v>30059</v>
      </c>
      <c r="H9937" t="s">
        <v>15498</v>
      </c>
      <c r="I9937" t="s">
        <v>30163</v>
      </c>
      <c r="J9937" t="s">
        <v>30248</v>
      </c>
      <c r="K9937" t="s">
        <v>39025</v>
      </c>
      <c r="M9937" t="s">
        <v>42411</v>
      </c>
      <c r="N9937" t="s">
        <v>43166</v>
      </c>
      <c r="O9937" t="s">
        <v>43167</v>
      </c>
      <c r="P9937">
        <v>0</v>
      </c>
      <c r="Q9937">
        <v>0</v>
      </c>
      <c r="R9937" t="s">
        <v>43178</v>
      </c>
      <c r="S9937" t="s">
        <v>43522</v>
      </c>
      <c r="T9937" t="s">
        <v>45131</v>
      </c>
      <c r="U9937" t="s">
        <v>53166</v>
      </c>
      <c r="W9937" t="s">
        <v>58689</v>
      </c>
      <c r="X9937" t="s">
        <v>43179</v>
      </c>
    </row>
    <row r="9938" spans="1:24">
      <c r="A9938">
        <f>HYPERLINK("https://www.philgeps.gov.ph/GEPSNONPILOT/Tender/SplashBidNoticeAbstractUI.aspx?menuIndex=3&amp;refID=7068761&amp;Result=3","7068761")</f>
        <v>0</v>
      </c>
      <c r="B9938" t="s">
        <v>2860</v>
      </c>
      <c r="C9938" t="s">
        <v>12890</v>
      </c>
      <c r="D9938" t="s">
        <v>17435</v>
      </c>
      <c r="E9938" t="s">
        <v>25981</v>
      </c>
      <c r="F9938" t="s">
        <v>30052</v>
      </c>
      <c r="G9938" t="s">
        <v>30058</v>
      </c>
      <c r="H9938" t="s">
        <v>30067</v>
      </c>
      <c r="I9938" t="s">
        <v>3693</v>
      </c>
      <c r="J9938" t="s">
        <v>36276</v>
      </c>
      <c r="K9938" t="s">
        <v>39022</v>
      </c>
      <c r="M9938" t="s">
        <v>42408</v>
      </c>
      <c r="N9938" t="s">
        <v>43166</v>
      </c>
      <c r="O9938" t="s">
        <v>43167</v>
      </c>
      <c r="P9938">
        <v>0</v>
      </c>
      <c r="Q9938">
        <v>0</v>
      </c>
      <c r="R9938" t="s">
        <v>43178</v>
      </c>
      <c r="S9938" t="s">
        <v>43522</v>
      </c>
      <c r="T9938" t="s">
        <v>44690</v>
      </c>
      <c r="U9938" t="s">
        <v>53167</v>
      </c>
      <c r="W9938" t="s">
        <v>42408</v>
      </c>
      <c r="X9938" t="s">
        <v>43179</v>
      </c>
    </row>
    <row r="9939" spans="1:24">
      <c r="A9939">
        <f>HYPERLINK("https://www.philgeps.gov.ph/GEPSNONPILOT/Tender/SplashBidNoticeAbstractUI.aspx?menuIndex=3&amp;refID=7068913&amp;Result=3","7068913")</f>
        <v>0</v>
      </c>
      <c r="B9939" t="s">
        <v>289</v>
      </c>
      <c r="C9939" t="s">
        <v>12891</v>
      </c>
      <c r="D9939" t="s">
        <v>17442</v>
      </c>
      <c r="E9939" t="s">
        <v>26007</v>
      </c>
      <c r="F9939" t="s">
        <v>30052</v>
      </c>
      <c r="G9939" t="s">
        <v>30058</v>
      </c>
      <c r="H9939" t="s">
        <v>30067</v>
      </c>
      <c r="I9939" t="s">
        <v>3693</v>
      </c>
      <c r="J9939" t="s">
        <v>36277</v>
      </c>
      <c r="K9939" t="s">
        <v>39046</v>
      </c>
      <c r="M9939" t="s">
        <v>39584</v>
      </c>
      <c r="N9939" t="s">
        <v>43166</v>
      </c>
      <c r="O9939" t="s">
        <v>43167</v>
      </c>
      <c r="P9939">
        <v>0</v>
      </c>
      <c r="Q9939">
        <v>0</v>
      </c>
      <c r="R9939" t="s">
        <v>43178</v>
      </c>
      <c r="S9939" t="s">
        <v>43522</v>
      </c>
      <c r="T9939" t="s">
        <v>44689</v>
      </c>
      <c r="U9939" t="s">
        <v>53168</v>
      </c>
      <c r="W9939" t="s">
        <v>39584</v>
      </c>
      <c r="X9939" t="s">
        <v>43179</v>
      </c>
    </row>
    <row r="9940" spans="1:24">
      <c r="A9940">
        <f>HYPERLINK("https://www.philgeps.gov.ph/GEPSNONPILOT/Tender/SplashBidNoticeAbstractUI.aspx?menuIndex=3&amp;refID=7068922&amp;Result=3","7068922")</f>
        <v>0</v>
      </c>
      <c r="B9940" t="s">
        <v>2868</v>
      </c>
      <c r="C9940" t="s">
        <v>12892</v>
      </c>
      <c r="D9940" t="s">
        <v>17455</v>
      </c>
      <c r="E9940" t="s">
        <v>26008</v>
      </c>
      <c r="F9940" t="s">
        <v>30052</v>
      </c>
      <c r="G9940" t="s">
        <v>30058</v>
      </c>
      <c r="H9940" t="s">
        <v>15498</v>
      </c>
      <c r="I9940" t="s">
        <v>30151</v>
      </c>
      <c r="J9940" t="s">
        <v>36278</v>
      </c>
      <c r="K9940" t="s">
        <v>39063</v>
      </c>
      <c r="M9940" t="s">
        <v>42416</v>
      </c>
      <c r="N9940" t="s">
        <v>43166</v>
      </c>
      <c r="O9940" t="s">
        <v>43167</v>
      </c>
      <c r="P9940">
        <v>0</v>
      </c>
      <c r="Q9940">
        <v>8</v>
      </c>
      <c r="R9940" t="s">
        <v>43178</v>
      </c>
      <c r="S9940" t="s">
        <v>43522</v>
      </c>
      <c r="T9940" t="s">
        <v>44730</v>
      </c>
      <c r="U9940" t="s">
        <v>53169</v>
      </c>
      <c r="V9940" t="s">
        <v>57950</v>
      </c>
      <c r="W9940" t="s">
        <v>42416</v>
      </c>
      <c r="X9940" t="s">
        <v>43179</v>
      </c>
    </row>
    <row r="9941" spans="1:24">
      <c r="A9941">
        <f>HYPERLINK("https://www.philgeps.gov.ph/GEPSNONPILOT/Tender/SplashBidNoticeAbstractUI.aspx?menuIndex=3&amp;refID=7068919&amp;Result=3","7068919")</f>
        <v>0</v>
      </c>
      <c r="B9941" t="s">
        <v>1339</v>
      </c>
      <c r="C9941" t="s">
        <v>12893</v>
      </c>
      <c r="D9941" t="s">
        <v>17474</v>
      </c>
      <c r="E9941" t="s">
        <v>26009</v>
      </c>
      <c r="F9941" t="s">
        <v>30052</v>
      </c>
      <c r="G9941" t="s">
        <v>30058</v>
      </c>
      <c r="H9941" t="s">
        <v>15498</v>
      </c>
      <c r="I9941" t="s">
        <v>7228</v>
      </c>
      <c r="J9941" t="s">
        <v>30440</v>
      </c>
      <c r="K9941" t="s">
        <v>39029</v>
      </c>
      <c r="M9941" t="s">
        <v>41073</v>
      </c>
      <c r="N9941" t="s">
        <v>43166</v>
      </c>
      <c r="O9941" t="s">
        <v>43167</v>
      </c>
      <c r="P9941">
        <v>0</v>
      </c>
      <c r="Q9941">
        <v>0</v>
      </c>
      <c r="R9941" t="s">
        <v>43178</v>
      </c>
      <c r="S9941" t="s">
        <v>43522</v>
      </c>
      <c r="T9941" t="s">
        <v>44844</v>
      </c>
      <c r="U9941" t="s">
        <v>48174</v>
      </c>
      <c r="V9941" t="s">
        <v>57248</v>
      </c>
      <c r="W9941" t="s">
        <v>41073</v>
      </c>
      <c r="X9941" t="s">
        <v>43179</v>
      </c>
    </row>
    <row r="9942" spans="1:24">
      <c r="A9942">
        <f>HYPERLINK("https://www.philgeps.gov.ph/GEPSNONPILOT/Tender/SplashBidNoticeAbstractUI.aspx?menuIndex=3&amp;refID=7068892&amp;Result=3","7068892")</f>
        <v>0</v>
      </c>
      <c r="B9942" t="s">
        <v>2780</v>
      </c>
      <c r="C9942" t="s">
        <v>12894</v>
      </c>
      <c r="D9942" t="s">
        <v>17466</v>
      </c>
      <c r="E9942" t="s">
        <v>26010</v>
      </c>
      <c r="F9942" t="s">
        <v>30052</v>
      </c>
      <c r="G9942" t="s">
        <v>30059</v>
      </c>
      <c r="H9942" t="s">
        <v>15498</v>
      </c>
      <c r="I9942" t="s">
        <v>9238</v>
      </c>
      <c r="J9942" t="s">
        <v>30207</v>
      </c>
      <c r="K9942" t="s">
        <v>39023</v>
      </c>
      <c r="M9942" t="s">
        <v>42316</v>
      </c>
      <c r="N9942" t="s">
        <v>43166</v>
      </c>
      <c r="O9942" t="s">
        <v>43167</v>
      </c>
      <c r="P9942">
        <v>0</v>
      </c>
      <c r="Q9942">
        <v>22</v>
      </c>
      <c r="R9942" t="s">
        <v>43178</v>
      </c>
      <c r="S9942" t="s">
        <v>43522</v>
      </c>
      <c r="T9942" t="s">
        <v>44732</v>
      </c>
      <c r="U9942" t="s">
        <v>53170</v>
      </c>
      <c r="W9942" t="s">
        <v>42316</v>
      </c>
      <c r="X9942" t="s">
        <v>43179</v>
      </c>
    </row>
    <row r="9943" spans="1:24">
      <c r="A9943">
        <f>HYPERLINK("https://www.philgeps.gov.ph/GEPSNONPILOT/Tender/SplashBidNoticeAbstractUI.aspx?menuIndex=3&amp;refID=7068920&amp;Result=3","7068920")</f>
        <v>0</v>
      </c>
      <c r="B9943" t="s">
        <v>860</v>
      </c>
      <c r="C9943" t="s">
        <v>12895</v>
      </c>
      <c r="D9943" t="s">
        <v>17484</v>
      </c>
      <c r="E9943" t="s">
        <v>26011</v>
      </c>
      <c r="F9943" t="s">
        <v>30052</v>
      </c>
      <c r="G9943" t="s">
        <v>30058</v>
      </c>
      <c r="H9943" t="s">
        <v>15498</v>
      </c>
      <c r="I9943" t="s">
        <v>4650</v>
      </c>
      <c r="J9943" t="s">
        <v>36279</v>
      </c>
      <c r="K9943" t="s">
        <v>39029</v>
      </c>
      <c r="M9943" t="s">
        <v>40177</v>
      </c>
      <c r="N9943" t="s">
        <v>43166</v>
      </c>
      <c r="O9943" t="s">
        <v>43167</v>
      </c>
      <c r="P9943">
        <v>0</v>
      </c>
      <c r="Q9943">
        <v>6</v>
      </c>
      <c r="R9943" t="s">
        <v>43178</v>
      </c>
      <c r="S9943" t="s">
        <v>43522</v>
      </c>
      <c r="T9943" t="s">
        <v>44750</v>
      </c>
      <c r="U9943" t="s">
        <v>46900</v>
      </c>
      <c r="W9943" t="s">
        <v>40177</v>
      </c>
      <c r="X9943" t="s">
        <v>43179</v>
      </c>
    </row>
    <row r="9944" spans="1:24">
      <c r="A9944">
        <f>HYPERLINK("https://www.philgeps.gov.ph/GEPSNONPILOT/Tender/SplashBidNoticeAbstractUI.aspx?menuIndex=3&amp;refID=7068891&amp;Result=3","7068891")</f>
        <v>0</v>
      </c>
      <c r="B9944" t="s">
        <v>797</v>
      </c>
      <c r="C9944" t="s">
        <v>12896</v>
      </c>
      <c r="E9944" t="s">
        <v>26012</v>
      </c>
      <c r="F9944" t="s">
        <v>30052</v>
      </c>
      <c r="G9944" t="s">
        <v>30059</v>
      </c>
      <c r="H9944" t="s">
        <v>15498</v>
      </c>
      <c r="I9944" t="s">
        <v>30146</v>
      </c>
      <c r="J9944" t="s">
        <v>33109</v>
      </c>
      <c r="K9944" t="s">
        <v>39025</v>
      </c>
      <c r="M9944" t="s">
        <v>40826</v>
      </c>
      <c r="N9944" t="s">
        <v>43166</v>
      </c>
      <c r="O9944" t="s">
        <v>43167</v>
      </c>
      <c r="Q9944">
        <v>5</v>
      </c>
      <c r="R9944" t="s">
        <v>43178</v>
      </c>
      <c r="S9944" t="s">
        <v>43544</v>
      </c>
      <c r="T9944" t="s">
        <v>44777</v>
      </c>
      <c r="U9944" t="s">
        <v>53171</v>
      </c>
      <c r="W9944" t="s">
        <v>40826</v>
      </c>
      <c r="X9944" t="s">
        <v>43179</v>
      </c>
    </row>
    <row r="9945" spans="1:24">
      <c r="A9945">
        <f>HYPERLINK("https://www.philgeps.gov.ph/GEPSNONPILOT/Tender/SplashBidNoticeAbstractUI.aspx?menuIndex=3&amp;refID=7068901&amp;Result=3","7068901")</f>
        <v>0</v>
      </c>
      <c r="B9945" t="s">
        <v>679</v>
      </c>
      <c r="C9945" t="s">
        <v>12897</v>
      </c>
      <c r="D9945" t="s">
        <v>17419</v>
      </c>
      <c r="E9945" t="s">
        <v>26013</v>
      </c>
      <c r="F9945" t="s">
        <v>30052</v>
      </c>
      <c r="G9945" t="s">
        <v>30058</v>
      </c>
      <c r="H9945" t="s">
        <v>15498</v>
      </c>
      <c r="I9945" t="s">
        <v>3736</v>
      </c>
      <c r="J9945" t="s">
        <v>36280</v>
      </c>
      <c r="K9945" t="s">
        <v>39034</v>
      </c>
      <c r="M9945" t="s">
        <v>39985</v>
      </c>
      <c r="N9945" t="s">
        <v>43166</v>
      </c>
      <c r="O9945" t="s">
        <v>43167</v>
      </c>
      <c r="P9945">
        <v>0</v>
      </c>
      <c r="Q9945">
        <v>0</v>
      </c>
      <c r="R9945" t="s">
        <v>43178</v>
      </c>
      <c r="S9945" t="s">
        <v>43522</v>
      </c>
      <c r="T9945" t="s">
        <v>44717</v>
      </c>
      <c r="U9945" t="s">
        <v>53172</v>
      </c>
      <c r="W9945" t="s">
        <v>39985</v>
      </c>
      <c r="X9945" t="s">
        <v>43179</v>
      </c>
    </row>
    <row r="9946" spans="1:24">
      <c r="A9946">
        <f>HYPERLINK("https://www.philgeps.gov.ph/GEPSNONPILOT/Tender/SplashBidNoticeAbstractUI.aspx?menuIndex=3&amp;refID=7068882&amp;Result=3","7068882")</f>
        <v>0</v>
      </c>
      <c r="B9946" t="s">
        <v>2274</v>
      </c>
      <c r="C9946" t="s">
        <v>12898</v>
      </c>
      <c r="D9946" t="s">
        <v>17419</v>
      </c>
      <c r="E9946" t="s">
        <v>26014</v>
      </c>
      <c r="F9946" t="s">
        <v>30055</v>
      </c>
      <c r="G9946" t="s">
        <v>30058</v>
      </c>
      <c r="H9946" t="s">
        <v>15498</v>
      </c>
      <c r="I9946" t="s">
        <v>3736</v>
      </c>
      <c r="J9946" t="s">
        <v>36281</v>
      </c>
      <c r="K9946" t="s">
        <v>39029</v>
      </c>
      <c r="M9946" t="s">
        <v>41755</v>
      </c>
      <c r="N9946" t="s">
        <v>43166</v>
      </c>
      <c r="O9946" t="s">
        <v>43167</v>
      </c>
      <c r="P9946">
        <v>0</v>
      </c>
      <c r="Q9946">
        <v>1</v>
      </c>
      <c r="R9946" t="s">
        <v>43178</v>
      </c>
      <c r="S9946" t="s">
        <v>43522</v>
      </c>
      <c r="T9946" t="s">
        <v>44705</v>
      </c>
      <c r="U9946" t="s">
        <v>53173</v>
      </c>
      <c r="W9946" t="s">
        <v>41755</v>
      </c>
      <c r="X9946" t="s">
        <v>43179</v>
      </c>
    </row>
    <row r="9947" spans="1:24">
      <c r="A9947">
        <f>HYPERLINK("https://www.philgeps.gov.ph/GEPSNONPILOT/Tender/SplashBidNoticeAbstractUI.aspx?menuIndex=3&amp;refID=7068876&amp;Result=3","7068876")</f>
        <v>0</v>
      </c>
      <c r="B9947" t="s">
        <v>2867</v>
      </c>
      <c r="C9947" t="s">
        <v>12899</v>
      </c>
      <c r="D9947" t="s">
        <v>17478</v>
      </c>
      <c r="E9947" t="s">
        <v>26015</v>
      </c>
      <c r="F9947" t="s">
        <v>30052</v>
      </c>
      <c r="G9947" t="s">
        <v>30058</v>
      </c>
      <c r="H9947" t="s">
        <v>30067</v>
      </c>
      <c r="I9947" t="s">
        <v>3693</v>
      </c>
      <c r="J9947" t="s">
        <v>32337</v>
      </c>
      <c r="K9947" t="s">
        <v>39228</v>
      </c>
      <c r="M9947" t="s">
        <v>42415</v>
      </c>
      <c r="N9947" t="s">
        <v>43166</v>
      </c>
      <c r="O9947" t="s">
        <v>43167</v>
      </c>
      <c r="P9947">
        <v>0</v>
      </c>
      <c r="Q9947">
        <v>0</v>
      </c>
      <c r="R9947" t="s">
        <v>43178</v>
      </c>
      <c r="S9947" t="s">
        <v>43522</v>
      </c>
      <c r="T9947" t="s">
        <v>44685</v>
      </c>
      <c r="U9947" t="s">
        <v>53174</v>
      </c>
      <c r="W9947" t="s">
        <v>42415</v>
      </c>
      <c r="X9947" t="s">
        <v>43179</v>
      </c>
    </row>
    <row r="9948" spans="1:24">
      <c r="A9948">
        <f>HYPERLINK("https://www.philgeps.gov.ph/GEPSNONPILOT/Tender/SplashBidNoticeAbstractUI.aspx?menuIndex=3&amp;refID=7069080&amp;Result=3","7069080")</f>
        <v>0</v>
      </c>
      <c r="B9948" t="s">
        <v>2869</v>
      </c>
      <c r="C9948" t="s">
        <v>12900</v>
      </c>
      <c r="D9948" t="s">
        <v>17422</v>
      </c>
      <c r="E9948" t="s">
        <v>26016</v>
      </c>
      <c r="F9948" t="s">
        <v>30052</v>
      </c>
      <c r="G9948" t="s">
        <v>30058</v>
      </c>
      <c r="H9948" t="s">
        <v>30067</v>
      </c>
      <c r="I9948" t="s">
        <v>3693</v>
      </c>
      <c r="J9948" t="s">
        <v>36282</v>
      </c>
      <c r="K9948" t="s">
        <v>39022</v>
      </c>
      <c r="M9948" t="s">
        <v>42417</v>
      </c>
      <c r="N9948" t="s">
        <v>43166</v>
      </c>
      <c r="O9948" t="s">
        <v>43167</v>
      </c>
      <c r="P9948">
        <v>0</v>
      </c>
      <c r="Q9948">
        <v>5</v>
      </c>
      <c r="R9948" t="s">
        <v>43178</v>
      </c>
      <c r="S9948" t="s">
        <v>43522</v>
      </c>
      <c r="T9948" t="s">
        <v>44771</v>
      </c>
      <c r="U9948" t="s">
        <v>53175</v>
      </c>
      <c r="W9948" t="s">
        <v>42417</v>
      </c>
      <c r="X9948" t="s">
        <v>43179</v>
      </c>
    </row>
    <row r="9949" spans="1:24">
      <c r="A9949">
        <f>HYPERLINK("https://www.philgeps.gov.ph/GEPSNONPILOT/Tender/SplashBidNoticeAbstractUI.aspx?menuIndex=3&amp;refID=7068610&amp;Result=3","7068610")</f>
        <v>0</v>
      </c>
      <c r="B9949" t="s">
        <v>2858</v>
      </c>
      <c r="C9949" t="s">
        <v>12901</v>
      </c>
      <c r="D9949" t="s">
        <v>17448</v>
      </c>
      <c r="E9949" t="s">
        <v>26017</v>
      </c>
      <c r="F9949" t="s">
        <v>30052</v>
      </c>
      <c r="G9949" t="s">
        <v>30058</v>
      </c>
      <c r="H9949" t="s">
        <v>15498</v>
      </c>
      <c r="I9949" t="s">
        <v>3693</v>
      </c>
      <c r="J9949" t="s">
        <v>36283</v>
      </c>
      <c r="K9949" t="s">
        <v>39031</v>
      </c>
      <c r="M9949" t="s">
        <v>42406</v>
      </c>
      <c r="N9949" t="s">
        <v>43166</v>
      </c>
      <c r="O9949" t="s">
        <v>43167</v>
      </c>
      <c r="P9949">
        <v>0</v>
      </c>
      <c r="Q9949">
        <v>0</v>
      </c>
      <c r="R9949" t="s">
        <v>43178</v>
      </c>
      <c r="S9949" t="s">
        <v>43522</v>
      </c>
      <c r="T9949" t="s">
        <v>44781</v>
      </c>
      <c r="U9949" t="s">
        <v>53133</v>
      </c>
      <c r="W9949" t="s">
        <v>42406</v>
      </c>
      <c r="X9949" t="s">
        <v>43179</v>
      </c>
    </row>
    <row r="9950" spans="1:24">
      <c r="A9950">
        <f>HYPERLINK("https://www.philgeps.gov.ph/GEPSNONPILOT/Tender/SplashBidNoticeAbstractUI.aspx?menuIndex=3&amp;refID=7069053&amp;Result=3","7069053")</f>
        <v>0</v>
      </c>
      <c r="B9950" t="s">
        <v>2870</v>
      </c>
      <c r="C9950" t="s">
        <v>12902</v>
      </c>
      <c r="D9950" t="s">
        <v>17466</v>
      </c>
      <c r="E9950" t="s">
        <v>20548</v>
      </c>
      <c r="F9950" t="s">
        <v>30052</v>
      </c>
      <c r="G9950" t="s">
        <v>30058</v>
      </c>
      <c r="H9950" t="s">
        <v>15498</v>
      </c>
      <c r="I9950" t="s">
        <v>30096</v>
      </c>
      <c r="J9950" t="s">
        <v>36284</v>
      </c>
      <c r="K9950" t="s">
        <v>39025</v>
      </c>
      <c r="M9950" t="s">
        <v>42418</v>
      </c>
      <c r="N9950" t="s">
        <v>43166</v>
      </c>
      <c r="O9950" t="s">
        <v>43167</v>
      </c>
      <c r="P9950">
        <v>0</v>
      </c>
      <c r="Q9950">
        <v>1</v>
      </c>
      <c r="R9950" t="s">
        <v>43178</v>
      </c>
      <c r="S9950" t="s">
        <v>43522</v>
      </c>
      <c r="T9950" t="s">
        <v>44806</v>
      </c>
      <c r="U9950" t="s">
        <v>53176</v>
      </c>
      <c r="W9950" t="s">
        <v>42418</v>
      </c>
      <c r="X9950" t="s">
        <v>43179</v>
      </c>
    </row>
    <row r="9951" spans="1:24">
      <c r="A9951">
        <f>HYPERLINK("https://www.philgeps.gov.ph/GEPSNONPILOT/Tender/SplashBidNoticeAbstractUI.aspx?menuIndex=3&amp;refID=7068889&amp;Result=3","7068889")</f>
        <v>0</v>
      </c>
      <c r="B9951" t="s">
        <v>2870</v>
      </c>
      <c r="C9951" t="s">
        <v>12903</v>
      </c>
      <c r="D9951" t="s">
        <v>17466</v>
      </c>
      <c r="E9951" t="s">
        <v>26018</v>
      </c>
      <c r="F9951" t="s">
        <v>30052</v>
      </c>
      <c r="G9951" t="s">
        <v>30058</v>
      </c>
      <c r="H9951" t="s">
        <v>15498</v>
      </c>
      <c r="I9951" t="s">
        <v>3606</v>
      </c>
      <c r="J9951" t="s">
        <v>31637</v>
      </c>
      <c r="K9951" t="s">
        <v>39025</v>
      </c>
      <c r="M9951" t="s">
        <v>42418</v>
      </c>
      <c r="N9951" t="s">
        <v>43166</v>
      </c>
      <c r="O9951" t="s">
        <v>43167</v>
      </c>
      <c r="P9951">
        <v>0</v>
      </c>
      <c r="Q9951">
        <v>3</v>
      </c>
      <c r="R9951" t="s">
        <v>43178</v>
      </c>
      <c r="S9951" t="s">
        <v>43522</v>
      </c>
      <c r="T9951" t="s">
        <v>44806</v>
      </c>
      <c r="U9951" t="s">
        <v>53177</v>
      </c>
      <c r="W9951" t="s">
        <v>42418</v>
      </c>
      <c r="X9951" t="s">
        <v>43179</v>
      </c>
    </row>
    <row r="9952" spans="1:24">
      <c r="A9952">
        <f>HYPERLINK("https://www.philgeps.gov.ph/GEPSNONPILOT/Tender/SplashBidNoticeAbstractUI.aspx?menuIndex=3&amp;refID=7069033&amp;Result=3","7069033")</f>
        <v>0</v>
      </c>
      <c r="B9952" t="s">
        <v>2867</v>
      </c>
      <c r="C9952" t="s">
        <v>12904</v>
      </c>
      <c r="D9952" t="s">
        <v>17478</v>
      </c>
      <c r="E9952" t="s">
        <v>26019</v>
      </c>
      <c r="F9952" t="s">
        <v>30052</v>
      </c>
      <c r="G9952" t="s">
        <v>30058</v>
      </c>
      <c r="H9952" t="s">
        <v>15498</v>
      </c>
      <c r="I9952" t="s">
        <v>30091</v>
      </c>
      <c r="J9952" t="s">
        <v>36285</v>
      </c>
      <c r="K9952" t="s">
        <v>39025</v>
      </c>
      <c r="M9952" t="s">
        <v>42415</v>
      </c>
      <c r="N9952" t="s">
        <v>43166</v>
      </c>
      <c r="O9952" t="s">
        <v>43167</v>
      </c>
      <c r="P9952">
        <v>0</v>
      </c>
      <c r="Q9952">
        <v>5</v>
      </c>
      <c r="R9952" t="s">
        <v>43178</v>
      </c>
      <c r="S9952" t="s">
        <v>43522</v>
      </c>
      <c r="T9952" t="s">
        <v>44685</v>
      </c>
      <c r="U9952" t="s">
        <v>53178</v>
      </c>
      <c r="W9952" t="s">
        <v>42415</v>
      </c>
      <c r="X9952" t="s">
        <v>43179</v>
      </c>
    </row>
    <row r="9953" spans="1:24">
      <c r="A9953">
        <f>HYPERLINK("https://www.philgeps.gov.ph/GEPSNONPILOT/Tender/SplashBidNoticeAbstractUI.aspx?menuIndex=3&amp;refID=7069025&amp;Result=3","7069025")</f>
        <v>0</v>
      </c>
      <c r="B9953" t="s">
        <v>1636</v>
      </c>
      <c r="C9953" t="s">
        <v>12905</v>
      </c>
      <c r="D9953" t="s">
        <v>17466</v>
      </c>
      <c r="E9953" t="s">
        <v>26020</v>
      </c>
      <c r="F9953" t="s">
        <v>30052</v>
      </c>
      <c r="G9953" t="s">
        <v>30058</v>
      </c>
      <c r="H9953" t="s">
        <v>15498</v>
      </c>
      <c r="I9953" t="s">
        <v>30166</v>
      </c>
      <c r="J9953" t="s">
        <v>30343</v>
      </c>
      <c r="K9953" t="s">
        <v>39037</v>
      </c>
      <c r="M9953" t="s">
        <v>41038</v>
      </c>
      <c r="N9953" t="s">
        <v>43166</v>
      </c>
      <c r="O9953" t="s">
        <v>43167</v>
      </c>
      <c r="P9953">
        <v>0</v>
      </c>
      <c r="Q9953">
        <v>2</v>
      </c>
      <c r="R9953" t="s">
        <v>43178</v>
      </c>
      <c r="S9953" t="s">
        <v>43522</v>
      </c>
      <c r="T9953" t="s">
        <v>44841</v>
      </c>
      <c r="U9953" t="s">
        <v>50911</v>
      </c>
      <c r="W9953" t="s">
        <v>41038</v>
      </c>
      <c r="X9953" t="s">
        <v>43179</v>
      </c>
    </row>
    <row r="9954" spans="1:24">
      <c r="A9954">
        <f>HYPERLINK("https://www.philgeps.gov.ph/GEPSNONPILOT/Tender/SplashBidNoticeAbstractUI.aspx?menuIndex=3&amp;refID=7069052&amp;Result=3","7069052")</f>
        <v>0</v>
      </c>
      <c r="B9954" t="s">
        <v>203</v>
      </c>
      <c r="C9954" t="s">
        <v>12906</v>
      </c>
      <c r="D9954" t="s">
        <v>17447</v>
      </c>
      <c r="E9954" t="s">
        <v>26021</v>
      </c>
      <c r="F9954" t="s">
        <v>30052</v>
      </c>
      <c r="G9954" t="s">
        <v>30058</v>
      </c>
      <c r="H9954" t="s">
        <v>15498</v>
      </c>
      <c r="I9954" t="s">
        <v>30088</v>
      </c>
      <c r="J9954" t="s">
        <v>36286</v>
      </c>
      <c r="K9954" t="s">
        <v>39025</v>
      </c>
      <c r="M9954" t="s">
        <v>39493</v>
      </c>
      <c r="N9954" t="s">
        <v>43166</v>
      </c>
      <c r="O9954" t="s">
        <v>43167</v>
      </c>
      <c r="P9954">
        <v>0</v>
      </c>
      <c r="Q9954">
        <v>47</v>
      </c>
      <c r="R9954" t="s">
        <v>43178</v>
      </c>
      <c r="S9954" t="s">
        <v>43522</v>
      </c>
      <c r="T9954" t="s">
        <v>44873</v>
      </c>
      <c r="U9954" t="s">
        <v>53179</v>
      </c>
      <c r="W9954" t="s">
        <v>39493</v>
      </c>
      <c r="X9954" t="s">
        <v>43179</v>
      </c>
    </row>
    <row r="9955" spans="1:24">
      <c r="A9955">
        <f>HYPERLINK("https://www.philgeps.gov.ph/GEPSNONPILOT/Tender/SplashBidNoticeAbstractUI.aspx?menuIndex=3&amp;refID=7069015&amp;Result=3","7069015")</f>
        <v>0</v>
      </c>
      <c r="B9955" t="s">
        <v>2870</v>
      </c>
      <c r="C9955" t="s">
        <v>12907</v>
      </c>
      <c r="D9955" t="s">
        <v>17466</v>
      </c>
      <c r="E9955" t="s">
        <v>26022</v>
      </c>
      <c r="F9955" t="s">
        <v>30052</v>
      </c>
      <c r="G9955" t="s">
        <v>30058</v>
      </c>
      <c r="H9955" t="s">
        <v>15498</v>
      </c>
      <c r="I9955" t="s">
        <v>3606</v>
      </c>
      <c r="J9955" t="s">
        <v>30426</v>
      </c>
      <c r="K9955" t="s">
        <v>39025</v>
      </c>
      <c r="M9955" t="s">
        <v>42418</v>
      </c>
      <c r="N9955" t="s">
        <v>43166</v>
      </c>
      <c r="O9955" t="s">
        <v>43167</v>
      </c>
      <c r="P9955">
        <v>0</v>
      </c>
      <c r="Q9955">
        <v>0</v>
      </c>
      <c r="R9955" t="s">
        <v>43178</v>
      </c>
      <c r="S9955" t="s">
        <v>43522</v>
      </c>
      <c r="T9955" t="s">
        <v>44806</v>
      </c>
      <c r="U9955" t="s">
        <v>53180</v>
      </c>
      <c r="W9955" t="s">
        <v>42418</v>
      </c>
      <c r="X9955" t="s">
        <v>43179</v>
      </c>
    </row>
    <row r="9956" spans="1:24">
      <c r="A9956">
        <f>HYPERLINK("https://www.philgeps.gov.ph/GEPSNONPILOT/Tender/SplashBidNoticeAbstractUI.aspx?menuIndex=3&amp;refID=7069026&amp;Result=3","7069026")</f>
        <v>0</v>
      </c>
      <c r="B9956" t="s">
        <v>289</v>
      </c>
      <c r="C9956" t="s">
        <v>12908</v>
      </c>
      <c r="D9956" t="s">
        <v>17442</v>
      </c>
      <c r="E9956" t="s">
        <v>26023</v>
      </c>
      <c r="F9956" t="s">
        <v>30052</v>
      </c>
      <c r="G9956" t="s">
        <v>30058</v>
      </c>
      <c r="H9956" t="s">
        <v>30067</v>
      </c>
      <c r="I9956" t="s">
        <v>3693</v>
      </c>
      <c r="J9956" t="s">
        <v>36287</v>
      </c>
      <c r="K9956" t="s">
        <v>39026</v>
      </c>
      <c r="M9956" t="s">
        <v>39584</v>
      </c>
      <c r="N9956" t="s">
        <v>43166</v>
      </c>
      <c r="O9956" t="s">
        <v>43167</v>
      </c>
      <c r="P9956">
        <v>0</v>
      </c>
      <c r="Q9956">
        <v>0</v>
      </c>
      <c r="R9956" t="s">
        <v>43178</v>
      </c>
      <c r="S9956" t="s">
        <v>43522</v>
      </c>
      <c r="T9956" t="s">
        <v>45043</v>
      </c>
      <c r="U9956" t="s">
        <v>53181</v>
      </c>
      <c r="W9956" t="s">
        <v>39584</v>
      </c>
      <c r="X9956" t="s">
        <v>43179</v>
      </c>
    </row>
    <row r="9957" spans="1:24">
      <c r="A9957">
        <f>HYPERLINK("https://www.philgeps.gov.ph/GEPSNONPILOT/Tender/SplashBidNoticeAbstractUI.aspx?menuIndex=3&amp;refID=7069007&amp;Result=3","7069007")</f>
        <v>0</v>
      </c>
      <c r="B9957" t="s">
        <v>2860</v>
      </c>
      <c r="C9957" t="s">
        <v>12909</v>
      </c>
      <c r="E9957" t="s">
        <v>26024</v>
      </c>
      <c r="F9957" t="s">
        <v>30052</v>
      </c>
      <c r="G9957" t="s">
        <v>30058</v>
      </c>
      <c r="H9957" t="s">
        <v>30067</v>
      </c>
      <c r="I9957" t="s">
        <v>3693</v>
      </c>
      <c r="J9957" t="s">
        <v>32072</v>
      </c>
      <c r="K9957" t="s">
        <v>39023</v>
      </c>
      <c r="M9957" t="s">
        <v>42408</v>
      </c>
      <c r="N9957" t="s">
        <v>43166</v>
      </c>
      <c r="O9957" t="s">
        <v>43167</v>
      </c>
      <c r="P9957">
        <v>0</v>
      </c>
      <c r="Q9957">
        <v>2</v>
      </c>
      <c r="R9957" t="s">
        <v>43178</v>
      </c>
      <c r="S9957" t="s">
        <v>43522</v>
      </c>
      <c r="T9957" t="s">
        <v>44690</v>
      </c>
      <c r="U9957" t="s">
        <v>53182</v>
      </c>
      <c r="W9957" t="s">
        <v>42408</v>
      </c>
      <c r="X9957" t="s">
        <v>43179</v>
      </c>
    </row>
    <row r="9958" spans="1:24">
      <c r="A9958">
        <f>HYPERLINK("https://www.philgeps.gov.ph/GEPSNONPILOT/Tender/SplashBidNoticeAbstractUI.aspx?menuIndex=3&amp;refID=7069002&amp;Result=3","7069002")</f>
        <v>0</v>
      </c>
      <c r="B9958" t="s">
        <v>2871</v>
      </c>
      <c r="C9958" t="s">
        <v>12910</v>
      </c>
      <c r="D9958" t="s">
        <v>17475</v>
      </c>
      <c r="E9958" t="s">
        <v>18372</v>
      </c>
      <c r="F9958" t="s">
        <v>30052</v>
      </c>
      <c r="G9958" t="s">
        <v>30058</v>
      </c>
      <c r="H9958" t="s">
        <v>15498</v>
      </c>
      <c r="I9958" t="s">
        <v>5961</v>
      </c>
      <c r="J9958" t="s">
        <v>30218</v>
      </c>
      <c r="K9958" t="s">
        <v>39019</v>
      </c>
      <c r="M9958" t="s">
        <v>42419</v>
      </c>
      <c r="N9958" t="s">
        <v>43166</v>
      </c>
      <c r="O9958" t="s">
        <v>43167</v>
      </c>
      <c r="P9958">
        <v>0</v>
      </c>
      <c r="Q9958">
        <v>2</v>
      </c>
      <c r="R9958" t="s">
        <v>43178</v>
      </c>
      <c r="S9958" t="s">
        <v>43522</v>
      </c>
      <c r="T9958" t="s">
        <v>44753</v>
      </c>
      <c r="U9958" t="s">
        <v>53183</v>
      </c>
      <c r="W9958" t="s">
        <v>42419</v>
      </c>
      <c r="X9958" t="s">
        <v>43179</v>
      </c>
    </row>
    <row r="9959" spans="1:24">
      <c r="A9959">
        <f>HYPERLINK("https://www.philgeps.gov.ph/GEPSNONPILOT/Tender/SplashBidNoticeAbstractUI.aspx?menuIndex=3&amp;refID=7069021&amp;Result=3","7069021")</f>
        <v>0</v>
      </c>
      <c r="B9959" t="s">
        <v>2871</v>
      </c>
      <c r="C9959" t="s">
        <v>12911</v>
      </c>
      <c r="D9959" t="s">
        <v>17475</v>
      </c>
      <c r="E9959" t="s">
        <v>17938</v>
      </c>
      <c r="F9959" t="s">
        <v>30052</v>
      </c>
      <c r="G9959" t="s">
        <v>30058</v>
      </c>
      <c r="H9959" t="s">
        <v>15498</v>
      </c>
      <c r="I9959" t="s">
        <v>30084</v>
      </c>
      <c r="J9959" t="s">
        <v>30343</v>
      </c>
      <c r="K9959" t="s">
        <v>39025</v>
      </c>
      <c r="M9959" t="s">
        <v>42419</v>
      </c>
      <c r="N9959" t="s">
        <v>43166</v>
      </c>
      <c r="O9959" t="s">
        <v>43167</v>
      </c>
      <c r="P9959">
        <v>0</v>
      </c>
      <c r="Q9959">
        <v>1</v>
      </c>
      <c r="R9959" t="s">
        <v>43178</v>
      </c>
      <c r="S9959" t="s">
        <v>43522</v>
      </c>
      <c r="T9959" t="s">
        <v>44753</v>
      </c>
      <c r="U9959" t="s">
        <v>53184</v>
      </c>
      <c r="W9959" t="s">
        <v>42419</v>
      </c>
      <c r="X9959" t="s">
        <v>43179</v>
      </c>
    </row>
    <row r="9960" spans="1:24">
      <c r="A9960">
        <f>HYPERLINK("https://www.philgeps.gov.ph/GEPSNONPILOT/Tender/SplashBidNoticeAbstractUI.aspx?menuIndex=3&amp;refID=7068976&amp;Result=3","7068976")</f>
        <v>0</v>
      </c>
      <c r="B9960" t="s">
        <v>289</v>
      </c>
      <c r="C9960" t="s">
        <v>12912</v>
      </c>
      <c r="D9960" t="s">
        <v>17442</v>
      </c>
      <c r="E9960" t="s">
        <v>26025</v>
      </c>
      <c r="F9960" t="s">
        <v>30052</v>
      </c>
      <c r="G9960" t="s">
        <v>30058</v>
      </c>
      <c r="H9960" t="s">
        <v>30067</v>
      </c>
      <c r="I9960" t="s">
        <v>3693</v>
      </c>
      <c r="J9960" t="s">
        <v>36288</v>
      </c>
      <c r="K9960" t="s">
        <v>39026</v>
      </c>
      <c r="M9960" t="s">
        <v>39584</v>
      </c>
      <c r="N9960" t="s">
        <v>43166</v>
      </c>
      <c r="O9960" t="s">
        <v>43167</v>
      </c>
      <c r="P9960">
        <v>0</v>
      </c>
      <c r="Q9960">
        <v>0</v>
      </c>
      <c r="R9960" t="s">
        <v>43178</v>
      </c>
      <c r="S9960" t="s">
        <v>43522</v>
      </c>
      <c r="T9960" t="s">
        <v>44753</v>
      </c>
      <c r="U9960" t="s">
        <v>53185</v>
      </c>
      <c r="W9960" t="s">
        <v>39584</v>
      </c>
      <c r="X9960" t="s">
        <v>43179</v>
      </c>
    </row>
    <row r="9961" spans="1:24">
      <c r="A9961">
        <f>HYPERLINK("https://www.philgeps.gov.ph/GEPSNONPILOT/Tender/SplashBidNoticeAbstractUI.aspx?menuIndex=3&amp;refID=7068955&amp;Result=3","7068955")</f>
        <v>0</v>
      </c>
      <c r="B9961" t="s">
        <v>2872</v>
      </c>
      <c r="C9961" t="s">
        <v>12913</v>
      </c>
      <c r="D9961" t="s">
        <v>17424</v>
      </c>
      <c r="E9961" t="s">
        <v>26026</v>
      </c>
      <c r="F9961" t="s">
        <v>30052</v>
      </c>
      <c r="G9961" t="s">
        <v>30058</v>
      </c>
      <c r="H9961" t="s">
        <v>15498</v>
      </c>
      <c r="I9961" t="s">
        <v>4119</v>
      </c>
      <c r="J9961" t="s">
        <v>36289</v>
      </c>
      <c r="K9961" t="s">
        <v>39019</v>
      </c>
      <c r="M9961" t="s">
        <v>42420</v>
      </c>
      <c r="N9961" t="s">
        <v>43166</v>
      </c>
      <c r="O9961" t="s">
        <v>43167</v>
      </c>
      <c r="Q9961">
        <v>1</v>
      </c>
      <c r="R9961" t="s">
        <v>43178</v>
      </c>
      <c r="S9961" t="s">
        <v>43545</v>
      </c>
      <c r="T9961" t="s">
        <v>44716</v>
      </c>
      <c r="U9961" t="s">
        <v>53186</v>
      </c>
      <c r="V9961" t="s">
        <v>57951</v>
      </c>
      <c r="W9961" t="s">
        <v>42420</v>
      </c>
      <c r="X9961" t="s">
        <v>43179</v>
      </c>
    </row>
    <row r="9962" spans="1:24">
      <c r="A9962">
        <f>HYPERLINK("https://www.philgeps.gov.ph/GEPSNONPILOT/Tender/SplashBidNoticeAbstractUI.aspx?menuIndex=3&amp;refID=7069212&amp;Result=3","7069212")</f>
        <v>0</v>
      </c>
      <c r="B9962" t="s">
        <v>2869</v>
      </c>
      <c r="C9962" t="s">
        <v>12914</v>
      </c>
      <c r="D9962" t="s">
        <v>17422</v>
      </c>
      <c r="E9962" t="s">
        <v>26027</v>
      </c>
      <c r="F9962" t="s">
        <v>30052</v>
      </c>
      <c r="G9962" t="s">
        <v>30058</v>
      </c>
      <c r="H9962" t="s">
        <v>30067</v>
      </c>
      <c r="I9962" t="s">
        <v>3693</v>
      </c>
      <c r="J9962" t="s">
        <v>36290</v>
      </c>
      <c r="K9962" t="s">
        <v>39022</v>
      </c>
      <c r="M9962" t="s">
        <v>42417</v>
      </c>
      <c r="N9962" t="s">
        <v>43166</v>
      </c>
      <c r="O9962" t="s">
        <v>43167</v>
      </c>
      <c r="P9962">
        <v>0</v>
      </c>
      <c r="Q9962">
        <v>4</v>
      </c>
      <c r="R9962" t="s">
        <v>43178</v>
      </c>
      <c r="S9962" t="s">
        <v>43522</v>
      </c>
      <c r="T9962" t="s">
        <v>44771</v>
      </c>
      <c r="U9962" t="s">
        <v>53187</v>
      </c>
      <c r="W9962" t="s">
        <v>42417</v>
      </c>
      <c r="X9962" t="s">
        <v>43179</v>
      </c>
    </row>
    <row r="9963" spans="1:24">
      <c r="A9963">
        <f>HYPERLINK("https://www.philgeps.gov.ph/GEPSNONPILOT/Tender/SplashBidNoticeAbstractUI.aspx?menuIndex=3&amp;refID=7069207&amp;Result=3","7069207")</f>
        <v>0</v>
      </c>
      <c r="B9963" t="s">
        <v>2873</v>
      </c>
      <c r="C9963" t="s">
        <v>12915</v>
      </c>
      <c r="D9963" t="s">
        <v>17447</v>
      </c>
      <c r="E9963" t="s">
        <v>17620</v>
      </c>
      <c r="F9963" t="s">
        <v>30052</v>
      </c>
      <c r="G9963" t="s">
        <v>30058</v>
      </c>
      <c r="H9963" t="s">
        <v>30067</v>
      </c>
      <c r="I9963" t="s">
        <v>3693</v>
      </c>
      <c r="J9963" t="s">
        <v>30277</v>
      </c>
      <c r="K9963" t="s">
        <v>39029</v>
      </c>
      <c r="M9963" t="s">
        <v>42421</v>
      </c>
      <c r="N9963" t="s">
        <v>43166</v>
      </c>
      <c r="O9963" t="s">
        <v>43167</v>
      </c>
      <c r="P9963">
        <v>0</v>
      </c>
      <c r="Q9963">
        <v>0</v>
      </c>
      <c r="R9963" t="s">
        <v>43178</v>
      </c>
      <c r="S9963" t="s">
        <v>43522</v>
      </c>
      <c r="T9963" t="s">
        <v>44715</v>
      </c>
      <c r="U9963" t="s">
        <v>53188</v>
      </c>
      <c r="W9963" t="s">
        <v>42421</v>
      </c>
      <c r="X9963" t="s">
        <v>43179</v>
      </c>
    </row>
    <row r="9964" spans="1:24">
      <c r="A9964">
        <f>HYPERLINK("https://www.philgeps.gov.ph/GEPSNONPILOT/Tender/SplashBidNoticeAbstractUI.aspx?menuIndex=3&amp;refID=7068958&amp;Result=3","7068958")</f>
        <v>0</v>
      </c>
      <c r="B9964" t="s">
        <v>2868</v>
      </c>
      <c r="C9964" t="s">
        <v>12916</v>
      </c>
      <c r="D9964" t="s">
        <v>17455</v>
      </c>
      <c r="E9964" t="s">
        <v>26028</v>
      </c>
      <c r="F9964" t="s">
        <v>30052</v>
      </c>
      <c r="G9964" t="s">
        <v>30058</v>
      </c>
      <c r="H9964" t="s">
        <v>30067</v>
      </c>
      <c r="I9964" t="s">
        <v>3693</v>
      </c>
      <c r="J9964" t="s">
        <v>36291</v>
      </c>
      <c r="K9964" t="s">
        <v>39164</v>
      </c>
      <c r="M9964" t="s">
        <v>42416</v>
      </c>
      <c r="N9964" t="s">
        <v>43166</v>
      </c>
      <c r="O9964" t="s">
        <v>43167</v>
      </c>
      <c r="P9964">
        <v>0</v>
      </c>
      <c r="Q9964">
        <v>1</v>
      </c>
      <c r="R9964" t="s">
        <v>43178</v>
      </c>
      <c r="S9964" t="s">
        <v>43522</v>
      </c>
      <c r="T9964" t="s">
        <v>44754</v>
      </c>
      <c r="U9964" t="s">
        <v>53189</v>
      </c>
      <c r="V9964" t="s">
        <v>57952</v>
      </c>
      <c r="W9964" t="s">
        <v>42416</v>
      </c>
      <c r="X9964" t="s">
        <v>43179</v>
      </c>
    </row>
    <row r="9965" spans="1:24">
      <c r="A9965">
        <f>HYPERLINK("https://www.philgeps.gov.ph/GEPSNONPILOT/Tender/SplashBidNoticeAbstractUI.aspx?menuIndex=3&amp;refID=7069203&amp;Result=3","7069203")</f>
        <v>0</v>
      </c>
      <c r="B9965" t="s">
        <v>2417</v>
      </c>
      <c r="C9965" t="s">
        <v>12917</v>
      </c>
      <c r="D9965" t="s">
        <v>17414</v>
      </c>
      <c r="E9965" t="s">
        <v>26029</v>
      </c>
      <c r="F9965" t="s">
        <v>30052</v>
      </c>
      <c r="G9965" t="s">
        <v>30058</v>
      </c>
      <c r="H9965" t="s">
        <v>15498</v>
      </c>
      <c r="I9965" t="s">
        <v>30125</v>
      </c>
      <c r="J9965" t="s">
        <v>30472</v>
      </c>
      <c r="K9965" t="s">
        <v>39029</v>
      </c>
      <c r="M9965" t="s">
        <v>41914</v>
      </c>
      <c r="N9965" t="s">
        <v>43166</v>
      </c>
      <c r="O9965" t="s">
        <v>43167</v>
      </c>
      <c r="P9965">
        <v>0</v>
      </c>
      <c r="Q9965">
        <v>0</v>
      </c>
      <c r="R9965" t="s">
        <v>43178</v>
      </c>
      <c r="S9965" t="s">
        <v>43522</v>
      </c>
      <c r="T9965" t="s">
        <v>44754</v>
      </c>
      <c r="U9965" t="s">
        <v>51539</v>
      </c>
      <c r="W9965" t="s">
        <v>41914</v>
      </c>
      <c r="X9965" t="s">
        <v>43179</v>
      </c>
    </row>
    <row r="9966" spans="1:24">
      <c r="A9966">
        <f>HYPERLINK("https://www.philgeps.gov.ph/GEPSNONPILOT/Tender/SplashBidNoticeAbstractUI.aspx?menuIndex=3&amp;refID=7069187&amp;Result=3","7069187")</f>
        <v>0</v>
      </c>
      <c r="B9966" t="s">
        <v>2874</v>
      </c>
      <c r="C9966" t="s">
        <v>12918</v>
      </c>
      <c r="D9966" t="s">
        <v>17432</v>
      </c>
      <c r="E9966" t="s">
        <v>26030</v>
      </c>
      <c r="F9966" t="s">
        <v>30052</v>
      </c>
      <c r="G9966" t="s">
        <v>30058</v>
      </c>
      <c r="H9966" t="s">
        <v>30067</v>
      </c>
      <c r="I9966" t="s">
        <v>3693</v>
      </c>
      <c r="J9966" t="s">
        <v>30215</v>
      </c>
      <c r="K9966" t="s">
        <v>39022</v>
      </c>
      <c r="M9966" t="s">
        <v>42422</v>
      </c>
      <c r="N9966" t="s">
        <v>43166</v>
      </c>
      <c r="O9966" t="s">
        <v>43167</v>
      </c>
      <c r="P9966">
        <v>0</v>
      </c>
      <c r="Q9966">
        <v>0</v>
      </c>
      <c r="R9966" t="s">
        <v>43178</v>
      </c>
      <c r="S9966" t="s">
        <v>43522</v>
      </c>
      <c r="T9966" t="s">
        <v>44699</v>
      </c>
      <c r="U9966" t="s">
        <v>53190</v>
      </c>
      <c r="V9966" t="s">
        <v>57953</v>
      </c>
      <c r="W9966" t="s">
        <v>42422</v>
      </c>
      <c r="X9966" t="s">
        <v>43179</v>
      </c>
    </row>
    <row r="9967" spans="1:24">
      <c r="A9967">
        <f>HYPERLINK("https://www.philgeps.gov.ph/GEPSNONPILOT/Tender/SplashBidNoticeAbstractUI.aspx?menuIndex=3&amp;refID=7069001&amp;Result=3","7069001")</f>
        <v>0</v>
      </c>
      <c r="B9967" t="s">
        <v>2856</v>
      </c>
      <c r="C9967" t="s">
        <v>12919</v>
      </c>
      <c r="D9967" t="s">
        <v>17464</v>
      </c>
      <c r="E9967" t="s">
        <v>26031</v>
      </c>
      <c r="F9967" t="s">
        <v>30052</v>
      </c>
      <c r="G9967" t="s">
        <v>30058</v>
      </c>
      <c r="H9967" t="s">
        <v>15498</v>
      </c>
      <c r="I9967" t="s">
        <v>4598</v>
      </c>
      <c r="J9967" t="s">
        <v>36292</v>
      </c>
      <c r="K9967" t="s">
        <v>39046</v>
      </c>
      <c r="M9967" t="s">
        <v>42404</v>
      </c>
      <c r="N9967" t="s">
        <v>43166</v>
      </c>
      <c r="O9967" t="s">
        <v>43167</v>
      </c>
      <c r="P9967">
        <v>0</v>
      </c>
      <c r="Q9967">
        <v>8</v>
      </c>
      <c r="R9967" t="s">
        <v>43178</v>
      </c>
      <c r="S9967" t="s">
        <v>43522</v>
      </c>
      <c r="T9967" t="s">
        <v>44733</v>
      </c>
      <c r="U9967" t="s">
        <v>53191</v>
      </c>
      <c r="V9967" t="s">
        <v>57934</v>
      </c>
      <c r="W9967" t="s">
        <v>42404</v>
      </c>
      <c r="X9967" t="s">
        <v>43179</v>
      </c>
    </row>
    <row r="9968" spans="1:24">
      <c r="A9968">
        <f>HYPERLINK("https://www.philgeps.gov.ph/GEPSNONPILOT/Tender/SplashBidNoticeAbstractUI.aspx?menuIndex=3&amp;refID=7069177&amp;Result=3","7069177")</f>
        <v>0</v>
      </c>
      <c r="B9968" t="s">
        <v>2875</v>
      </c>
      <c r="C9968" t="s">
        <v>12920</v>
      </c>
      <c r="D9968" t="s">
        <v>17450</v>
      </c>
      <c r="E9968" t="s">
        <v>17585</v>
      </c>
      <c r="F9968" t="s">
        <v>30052</v>
      </c>
      <c r="G9968" t="s">
        <v>30058</v>
      </c>
      <c r="H9968" t="s">
        <v>30067</v>
      </c>
      <c r="I9968" t="s">
        <v>3693</v>
      </c>
      <c r="J9968" t="s">
        <v>30281</v>
      </c>
      <c r="K9968" t="s">
        <v>39022</v>
      </c>
      <c r="M9968" t="s">
        <v>42423</v>
      </c>
      <c r="N9968" t="s">
        <v>43166</v>
      </c>
      <c r="O9968" t="s">
        <v>43167</v>
      </c>
      <c r="P9968">
        <v>0</v>
      </c>
      <c r="Q9968">
        <v>1</v>
      </c>
      <c r="R9968" t="s">
        <v>43178</v>
      </c>
      <c r="S9968" t="s">
        <v>43522</v>
      </c>
      <c r="T9968" t="s">
        <v>44832</v>
      </c>
      <c r="U9968" t="s">
        <v>53192</v>
      </c>
      <c r="W9968" t="s">
        <v>42423</v>
      </c>
      <c r="X9968" t="s">
        <v>43179</v>
      </c>
    </row>
    <row r="9969" spans="1:24">
      <c r="A9969">
        <f>HYPERLINK("https://www.philgeps.gov.ph/GEPSNONPILOT/Tender/SplashBidNoticeAbstractUI.aspx?menuIndex=3&amp;refID=7069167&amp;Result=3","7069167")</f>
        <v>0</v>
      </c>
      <c r="B9969" t="s">
        <v>422</v>
      </c>
      <c r="C9969" t="s">
        <v>12921</v>
      </c>
      <c r="D9969" t="s">
        <v>17455</v>
      </c>
      <c r="E9969" t="s">
        <v>26032</v>
      </c>
      <c r="F9969" t="s">
        <v>30052</v>
      </c>
      <c r="G9969" t="s">
        <v>30058</v>
      </c>
      <c r="H9969" t="s">
        <v>30067</v>
      </c>
      <c r="I9969" t="s">
        <v>3693</v>
      </c>
      <c r="J9969" t="s">
        <v>36293</v>
      </c>
      <c r="K9969" t="s">
        <v>39057</v>
      </c>
      <c r="M9969" t="s">
        <v>42424</v>
      </c>
      <c r="N9969" t="s">
        <v>43166</v>
      </c>
      <c r="O9969" t="s">
        <v>43167</v>
      </c>
      <c r="P9969">
        <v>0</v>
      </c>
      <c r="Q9969">
        <v>8</v>
      </c>
      <c r="R9969" t="s">
        <v>43178</v>
      </c>
      <c r="S9969" t="s">
        <v>43522</v>
      </c>
      <c r="T9969" t="s">
        <v>45132</v>
      </c>
      <c r="U9969" t="s">
        <v>53193</v>
      </c>
      <c r="W9969" t="s">
        <v>42424</v>
      </c>
      <c r="X9969" t="s">
        <v>43179</v>
      </c>
    </row>
    <row r="9970" spans="1:24">
      <c r="A9970">
        <f>HYPERLINK("https://www.philgeps.gov.ph/GEPSNONPILOT/Tender/SplashBidNoticeAbstractUI.aspx?menuIndex=3&amp;refID=7069198&amp;Result=3","7069198")</f>
        <v>0</v>
      </c>
      <c r="B9970" t="s">
        <v>2861</v>
      </c>
      <c r="C9970" t="s">
        <v>12922</v>
      </c>
      <c r="E9970" t="s">
        <v>26033</v>
      </c>
      <c r="F9970" t="s">
        <v>30052</v>
      </c>
      <c r="G9970" t="s">
        <v>30058</v>
      </c>
      <c r="H9970" t="s">
        <v>30067</v>
      </c>
      <c r="I9970" t="s">
        <v>30089</v>
      </c>
      <c r="J9970" t="s">
        <v>36294</v>
      </c>
      <c r="K9970" t="s">
        <v>39073</v>
      </c>
      <c r="M9970" t="s">
        <v>42409</v>
      </c>
      <c r="N9970" t="s">
        <v>43166</v>
      </c>
      <c r="O9970" t="s">
        <v>43167</v>
      </c>
      <c r="P9970">
        <v>0</v>
      </c>
      <c r="Q9970">
        <v>0</v>
      </c>
      <c r="R9970" t="s">
        <v>43178</v>
      </c>
      <c r="S9970" t="s">
        <v>43522</v>
      </c>
      <c r="T9970" t="s">
        <v>44780</v>
      </c>
      <c r="U9970" t="s">
        <v>53194</v>
      </c>
      <c r="W9970" t="s">
        <v>42409</v>
      </c>
      <c r="X9970" t="s">
        <v>43179</v>
      </c>
    </row>
    <row r="9971" spans="1:24">
      <c r="A9971">
        <f>HYPERLINK("https://www.philgeps.gov.ph/GEPSNONPILOT/Tender/SplashBidNoticeAbstractUI.aspx?menuIndex=3&amp;refID=7069054&amp;Result=3","7069054")</f>
        <v>0</v>
      </c>
      <c r="B9971" t="s">
        <v>2876</v>
      </c>
      <c r="C9971" t="s">
        <v>12923</v>
      </c>
      <c r="D9971" t="s">
        <v>17492</v>
      </c>
      <c r="E9971" t="s">
        <v>26034</v>
      </c>
      <c r="F9971" t="s">
        <v>30052</v>
      </c>
      <c r="G9971" t="s">
        <v>30058</v>
      </c>
      <c r="H9971" t="s">
        <v>30067</v>
      </c>
      <c r="I9971" t="s">
        <v>3693</v>
      </c>
      <c r="J9971" t="s">
        <v>36295</v>
      </c>
      <c r="K9971" t="s">
        <v>39019</v>
      </c>
      <c r="M9971" t="s">
        <v>42425</v>
      </c>
      <c r="N9971" t="s">
        <v>43166</v>
      </c>
      <c r="O9971" t="s">
        <v>43167</v>
      </c>
      <c r="P9971">
        <v>0</v>
      </c>
      <c r="Q9971">
        <v>0</v>
      </c>
      <c r="R9971" t="s">
        <v>43178</v>
      </c>
      <c r="S9971" t="s">
        <v>43522</v>
      </c>
      <c r="T9971" t="s">
        <v>44780</v>
      </c>
      <c r="U9971" t="s">
        <v>53195</v>
      </c>
      <c r="W9971" t="s">
        <v>42425</v>
      </c>
      <c r="X9971" t="s">
        <v>43179</v>
      </c>
    </row>
    <row r="9972" spans="1:24">
      <c r="A9972">
        <f>HYPERLINK("https://www.philgeps.gov.ph/GEPSNONPILOT/Tender/SplashBidNoticeAbstractUI.aspx?menuIndex=3&amp;refID=7069307&amp;Result=3","7069307")</f>
        <v>0</v>
      </c>
      <c r="B9972" t="s">
        <v>2877</v>
      </c>
      <c r="C9972" t="s">
        <v>12924</v>
      </c>
      <c r="D9972" t="s">
        <v>17419</v>
      </c>
      <c r="E9972" t="s">
        <v>26035</v>
      </c>
      <c r="F9972" t="s">
        <v>30052</v>
      </c>
      <c r="G9972" t="s">
        <v>30058</v>
      </c>
      <c r="H9972" t="s">
        <v>30067</v>
      </c>
      <c r="I9972" t="s">
        <v>3693</v>
      </c>
      <c r="J9972" t="s">
        <v>36296</v>
      </c>
      <c r="K9972" t="s">
        <v>39071</v>
      </c>
      <c r="M9972" t="s">
        <v>42426</v>
      </c>
      <c r="N9972" t="s">
        <v>43166</v>
      </c>
      <c r="O9972" t="s">
        <v>43167</v>
      </c>
      <c r="P9972">
        <v>0</v>
      </c>
      <c r="Q9972">
        <v>2</v>
      </c>
      <c r="R9972" t="s">
        <v>43178</v>
      </c>
      <c r="S9972" t="s">
        <v>43522</v>
      </c>
      <c r="T9972" t="s">
        <v>44791</v>
      </c>
      <c r="U9972" t="s">
        <v>53196</v>
      </c>
      <c r="W9972" t="s">
        <v>42426</v>
      </c>
      <c r="X9972" t="s">
        <v>43179</v>
      </c>
    </row>
    <row r="9973" spans="1:24">
      <c r="A9973">
        <f>HYPERLINK("https://www.philgeps.gov.ph/GEPSNONPILOT/Tender/SplashBidNoticeAbstractUI.aspx?menuIndex=3&amp;refID=7069347&amp;Result=3","7069347")</f>
        <v>0</v>
      </c>
      <c r="B9973" t="s">
        <v>1962</v>
      </c>
      <c r="C9973" t="s">
        <v>12925</v>
      </c>
      <c r="D9973" t="s">
        <v>17415</v>
      </c>
      <c r="E9973" t="s">
        <v>26036</v>
      </c>
      <c r="F9973" t="s">
        <v>30052</v>
      </c>
      <c r="G9973" t="s">
        <v>30058</v>
      </c>
      <c r="H9973" t="s">
        <v>15498</v>
      </c>
      <c r="I9973" t="s">
        <v>30072</v>
      </c>
      <c r="J9973" t="s">
        <v>36297</v>
      </c>
      <c r="K9973" t="s">
        <v>39067</v>
      </c>
      <c r="M9973" t="s">
        <v>41399</v>
      </c>
      <c r="N9973" t="s">
        <v>43166</v>
      </c>
      <c r="O9973" t="s">
        <v>43167</v>
      </c>
      <c r="P9973">
        <v>0</v>
      </c>
      <c r="Q9973">
        <v>4</v>
      </c>
      <c r="R9973" t="s">
        <v>43178</v>
      </c>
      <c r="S9973" t="s">
        <v>43522</v>
      </c>
      <c r="T9973" t="s">
        <v>44758</v>
      </c>
      <c r="U9973" t="s">
        <v>53197</v>
      </c>
      <c r="W9973" t="s">
        <v>41399</v>
      </c>
      <c r="X9973" t="s">
        <v>43179</v>
      </c>
    </row>
    <row r="9974" spans="1:24">
      <c r="A9974">
        <f>HYPERLINK("https://www.philgeps.gov.ph/GEPSNONPILOT/Tender/SplashBidNoticeAbstractUI.aspx?menuIndex=3&amp;refID=7069164&amp;Result=3","7069164")</f>
        <v>0</v>
      </c>
      <c r="B9974" t="s">
        <v>2417</v>
      </c>
      <c r="C9974" t="s">
        <v>12926</v>
      </c>
      <c r="D9974" t="s">
        <v>17414</v>
      </c>
      <c r="E9974" t="s">
        <v>26037</v>
      </c>
      <c r="F9974" t="s">
        <v>30052</v>
      </c>
      <c r="G9974" t="s">
        <v>30058</v>
      </c>
      <c r="H9974" t="s">
        <v>15498</v>
      </c>
      <c r="I9974" t="s">
        <v>30098</v>
      </c>
      <c r="J9974" t="s">
        <v>31186</v>
      </c>
      <c r="K9974" t="s">
        <v>39029</v>
      </c>
      <c r="M9974" t="s">
        <v>41914</v>
      </c>
      <c r="N9974" t="s">
        <v>43166</v>
      </c>
      <c r="O9974" t="s">
        <v>43167</v>
      </c>
      <c r="P9974">
        <v>0</v>
      </c>
      <c r="Q9974">
        <v>1</v>
      </c>
      <c r="R9974" t="s">
        <v>43178</v>
      </c>
      <c r="S9974" t="s">
        <v>43522</v>
      </c>
      <c r="T9974" t="s">
        <v>44754</v>
      </c>
      <c r="U9974" t="s">
        <v>51539</v>
      </c>
      <c r="W9974" t="s">
        <v>41914</v>
      </c>
      <c r="X9974" t="s">
        <v>43179</v>
      </c>
    </row>
    <row r="9975" spans="1:24">
      <c r="A9975">
        <f>HYPERLINK("https://www.philgeps.gov.ph/GEPSNONPILOT/Tender/SplashBidNoticeAbstractUI.aspx?menuIndex=3&amp;refID=7069345&amp;Result=3","7069345")</f>
        <v>0</v>
      </c>
      <c r="B9975" t="s">
        <v>2878</v>
      </c>
      <c r="C9975" t="s">
        <v>12927</v>
      </c>
      <c r="D9975" t="s">
        <v>17474</v>
      </c>
      <c r="E9975" t="s">
        <v>26038</v>
      </c>
      <c r="F9975" t="s">
        <v>30052</v>
      </c>
      <c r="G9975" t="s">
        <v>30059</v>
      </c>
      <c r="H9975" t="s">
        <v>15498</v>
      </c>
      <c r="I9975" t="s">
        <v>30096</v>
      </c>
      <c r="J9975" t="s">
        <v>30248</v>
      </c>
      <c r="K9975" t="s">
        <v>39029</v>
      </c>
      <c r="M9975" t="s">
        <v>42427</v>
      </c>
      <c r="N9975" t="s">
        <v>43166</v>
      </c>
      <c r="O9975" t="s">
        <v>43167</v>
      </c>
      <c r="P9975">
        <v>0</v>
      </c>
      <c r="Q9975">
        <v>1</v>
      </c>
      <c r="R9975" t="s">
        <v>43178</v>
      </c>
      <c r="S9975" t="s">
        <v>43522</v>
      </c>
      <c r="T9975" t="s">
        <v>44750</v>
      </c>
      <c r="U9975" t="s">
        <v>53198</v>
      </c>
      <c r="W9975" t="s">
        <v>42427</v>
      </c>
      <c r="X9975" t="s">
        <v>43179</v>
      </c>
    </row>
    <row r="9976" spans="1:24">
      <c r="A9976">
        <f>HYPERLINK("https://www.philgeps.gov.ph/GEPSNONPILOT/Tender/SplashBidNoticeAbstractUI.aspx?menuIndex=3&amp;refID=7069338&amp;Result=3","7069338")</f>
        <v>0</v>
      </c>
      <c r="B9976" t="s">
        <v>59</v>
      </c>
      <c r="C9976" t="s">
        <v>12928</v>
      </c>
      <c r="D9976" t="s">
        <v>17441</v>
      </c>
      <c r="E9976" t="s">
        <v>26039</v>
      </c>
      <c r="F9976" t="s">
        <v>30052</v>
      </c>
      <c r="G9976" t="s">
        <v>30058</v>
      </c>
      <c r="H9976" t="s">
        <v>30067</v>
      </c>
      <c r="I9976" t="s">
        <v>3693</v>
      </c>
      <c r="J9976" t="s">
        <v>36298</v>
      </c>
      <c r="K9976" t="s">
        <v>39016</v>
      </c>
      <c r="M9976" t="s">
        <v>39348</v>
      </c>
      <c r="N9976" t="s">
        <v>43166</v>
      </c>
      <c r="O9976" t="s">
        <v>43167</v>
      </c>
      <c r="P9976">
        <v>0</v>
      </c>
      <c r="Q9976">
        <v>31</v>
      </c>
      <c r="R9976" t="s">
        <v>43178</v>
      </c>
      <c r="S9976" t="s">
        <v>43522</v>
      </c>
      <c r="T9976" t="s">
        <v>44750</v>
      </c>
      <c r="U9976" t="s">
        <v>53199</v>
      </c>
      <c r="V9976" t="s">
        <v>56820</v>
      </c>
      <c r="W9976" t="s">
        <v>39348</v>
      </c>
      <c r="X9976" t="s">
        <v>43179</v>
      </c>
    </row>
    <row r="9977" spans="1:24">
      <c r="A9977">
        <f>HYPERLINK("https://www.philgeps.gov.ph/GEPSNONPILOT/Tender/SplashBidNoticeAbstractUI.aspx?menuIndex=3&amp;refID=7069326&amp;Result=3","7069326")</f>
        <v>0</v>
      </c>
      <c r="B9977" t="s">
        <v>741</v>
      </c>
      <c r="C9977" t="s">
        <v>12929</v>
      </c>
      <c r="D9977" t="s">
        <v>17425</v>
      </c>
      <c r="E9977" t="s">
        <v>26040</v>
      </c>
      <c r="F9977" t="s">
        <v>30052</v>
      </c>
      <c r="G9977" t="s">
        <v>30058</v>
      </c>
      <c r="H9977" t="s">
        <v>30067</v>
      </c>
      <c r="I9977" t="s">
        <v>3693</v>
      </c>
      <c r="J9977" t="s">
        <v>30397</v>
      </c>
      <c r="K9977" t="s">
        <v>39088</v>
      </c>
      <c r="M9977" t="s">
        <v>40055</v>
      </c>
      <c r="N9977" t="s">
        <v>43166</v>
      </c>
      <c r="O9977" t="s">
        <v>43167</v>
      </c>
      <c r="P9977">
        <v>0</v>
      </c>
      <c r="Q9977">
        <v>0</v>
      </c>
      <c r="R9977" t="s">
        <v>43178</v>
      </c>
      <c r="S9977" t="s">
        <v>43522</v>
      </c>
      <c r="T9977" t="s">
        <v>44690</v>
      </c>
      <c r="U9977" t="s">
        <v>53200</v>
      </c>
      <c r="W9977" t="s">
        <v>40055</v>
      </c>
      <c r="X9977" t="s">
        <v>43179</v>
      </c>
    </row>
    <row r="9978" spans="1:24">
      <c r="A9978">
        <f>HYPERLINK("https://www.philgeps.gov.ph/GEPSNONPILOT/Tender/SplashBidNoticeAbstractUI.aspx?menuIndex=3&amp;refID=7069325&amp;Result=3","7069325")</f>
        <v>0</v>
      </c>
      <c r="B9978" t="s">
        <v>1636</v>
      </c>
      <c r="C9978" t="s">
        <v>12930</v>
      </c>
      <c r="D9978" t="s">
        <v>17466</v>
      </c>
      <c r="E9978" t="s">
        <v>26041</v>
      </c>
      <c r="F9978" t="s">
        <v>30052</v>
      </c>
      <c r="G9978" t="s">
        <v>30058</v>
      </c>
      <c r="H9978" t="s">
        <v>15498</v>
      </c>
      <c r="I9978" t="s">
        <v>30151</v>
      </c>
      <c r="J9978" t="s">
        <v>35806</v>
      </c>
      <c r="K9978" t="s">
        <v>39019</v>
      </c>
      <c r="M9978" t="s">
        <v>41038</v>
      </c>
      <c r="N9978" t="s">
        <v>43166</v>
      </c>
      <c r="O9978" t="s">
        <v>43167</v>
      </c>
      <c r="P9978">
        <v>0</v>
      </c>
      <c r="Q9978">
        <v>2</v>
      </c>
      <c r="R9978" t="s">
        <v>43178</v>
      </c>
      <c r="S9978" t="s">
        <v>43522</v>
      </c>
      <c r="T9978" t="s">
        <v>44841</v>
      </c>
      <c r="U9978" t="s">
        <v>50911</v>
      </c>
      <c r="W9978" t="s">
        <v>41038</v>
      </c>
      <c r="X9978" t="s">
        <v>43179</v>
      </c>
    </row>
    <row r="9979" spans="1:24">
      <c r="A9979">
        <f>HYPERLINK("https://www.philgeps.gov.ph/GEPSNONPILOT/Tender/SplashBidNoticeAbstractUI.aspx?menuIndex=3&amp;refID=7069305&amp;Result=3","7069305")</f>
        <v>0</v>
      </c>
      <c r="B9979" t="s">
        <v>2875</v>
      </c>
      <c r="C9979" t="s">
        <v>12931</v>
      </c>
      <c r="D9979" t="s">
        <v>17450</v>
      </c>
      <c r="E9979" t="s">
        <v>17673</v>
      </c>
      <c r="F9979" t="s">
        <v>30052</v>
      </c>
      <c r="G9979" t="s">
        <v>30058</v>
      </c>
      <c r="H9979" t="s">
        <v>30067</v>
      </c>
      <c r="I9979" t="s">
        <v>3693</v>
      </c>
      <c r="J9979" t="s">
        <v>30281</v>
      </c>
      <c r="K9979" t="s">
        <v>39022</v>
      </c>
      <c r="M9979" t="s">
        <v>42423</v>
      </c>
      <c r="N9979" t="s">
        <v>43166</v>
      </c>
      <c r="O9979" t="s">
        <v>43167</v>
      </c>
      <c r="P9979">
        <v>0</v>
      </c>
      <c r="Q9979">
        <v>0</v>
      </c>
      <c r="R9979" t="s">
        <v>43178</v>
      </c>
      <c r="S9979" t="s">
        <v>43522</v>
      </c>
      <c r="T9979" t="s">
        <v>44832</v>
      </c>
      <c r="U9979" t="s">
        <v>53201</v>
      </c>
      <c r="W9979" t="s">
        <v>42423</v>
      </c>
      <c r="X9979" t="s">
        <v>43179</v>
      </c>
    </row>
    <row r="9980" spans="1:24">
      <c r="A9980">
        <f>HYPERLINK("https://www.philgeps.gov.ph/GEPSNONPILOT/Tender/SplashBidNoticeAbstractUI.aspx?menuIndex=3&amp;refID=7069304&amp;Result=3","7069304")</f>
        <v>0</v>
      </c>
      <c r="B9980" t="s">
        <v>1251</v>
      </c>
      <c r="C9980" t="s">
        <v>12932</v>
      </c>
      <c r="D9980" t="s">
        <v>17463</v>
      </c>
      <c r="E9980" t="s">
        <v>26042</v>
      </c>
      <c r="F9980" t="s">
        <v>30052</v>
      </c>
      <c r="G9980" t="s">
        <v>30058</v>
      </c>
      <c r="H9980" t="s">
        <v>15498</v>
      </c>
      <c r="I9980" t="s">
        <v>30073</v>
      </c>
      <c r="J9980" t="s">
        <v>36299</v>
      </c>
      <c r="K9980" t="s">
        <v>39019</v>
      </c>
      <c r="M9980" t="s">
        <v>42399</v>
      </c>
      <c r="N9980" t="s">
        <v>43166</v>
      </c>
      <c r="O9980" t="s">
        <v>43167</v>
      </c>
      <c r="P9980">
        <v>0</v>
      </c>
      <c r="Q9980">
        <v>0</v>
      </c>
      <c r="R9980" t="s">
        <v>43178</v>
      </c>
      <c r="S9980" t="s">
        <v>43522</v>
      </c>
      <c r="T9980" t="s">
        <v>44716</v>
      </c>
      <c r="U9980" t="s">
        <v>53202</v>
      </c>
      <c r="W9980" t="s">
        <v>40956</v>
      </c>
      <c r="X9980" t="s">
        <v>43179</v>
      </c>
    </row>
    <row r="9981" spans="1:24">
      <c r="A9981">
        <f>HYPERLINK("https://www.philgeps.gov.ph/GEPSNONPILOT/Tender/SplashBidNoticeAbstractUI.aspx?menuIndex=3&amp;refID=7069295&amp;Result=3","7069295")</f>
        <v>0</v>
      </c>
      <c r="B9981" t="s">
        <v>2879</v>
      </c>
      <c r="C9981" t="s">
        <v>12933</v>
      </c>
      <c r="D9981" t="s">
        <v>17455</v>
      </c>
      <c r="E9981" t="s">
        <v>26043</v>
      </c>
      <c r="F9981" t="s">
        <v>30052</v>
      </c>
      <c r="G9981" t="s">
        <v>30058</v>
      </c>
      <c r="H9981" t="s">
        <v>30067</v>
      </c>
      <c r="I9981" t="s">
        <v>3693</v>
      </c>
      <c r="J9981" t="s">
        <v>36300</v>
      </c>
      <c r="K9981" t="s">
        <v>39029</v>
      </c>
      <c r="M9981" t="s">
        <v>42428</v>
      </c>
      <c r="N9981" t="s">
        <v>43166</v>
      </c>
      <c r="O9981" t="s">
        <v>43167</v>
      </c>
      <c r="P9981">
        <v>0</v>
      </c>
      <c r="Q9981">
        <v>2</v>
      </c>
      <c r="R9981" t="s">
        <v>43178</v>
      </c>
      <c r="S9981" t="s">
        <v>43522</v>
      </c>
      <c r="T9981" t="s">
        <v>44815</v>
      </c>
      <c r="U9981" t="s">
        <v>53203</v>
      </c>
      <c r="V9981" t="s">
        <v>57954</v>
      </c>
      <c r="W9981" t="s">
        <v>42428</v>
      </c>
      <c r="X9981" t="s">
        <v>43179</v>
      </c>
    </row>
    <row r="9982" spans="1:24">
      <c r="A9982">
        <f>HYPERLINK("https://www.philgeps.gov.ph/GEPSNONPILOT/Tender/SplashBidNoticeAbstractUI.aspx?menuIndex=3&amp;refID=7069289&amp;Result=3","7069289")</f>
        <v>0</v>
      </c>
      <c r="B9982" t="s">
        <v>2047</v>
      </c>
      <c r="C9982" t="s">
        <v>12934</v>
      </c>
      <c r="D9982" t="s">
        <v>17468</v>
      </c>
      <c r="E9982" t="s">
        <v>26044</v>
      </c>
      <c r="F9982" t="s">
        <v>30052</v>
      </c>
      <c r="G9982" t="s">
        <v>30058</v>
      </c>
      <c r="H9982" t="s">
        <v>30067</v>
      </c>
      <c r="I9982" t="s">
        <v>3693</v>
      </c>
      <c r="J9982" t="s">
        <v>36301</v>
      </c>
      <c r="K9982" t="s">
        <v>39031</v>
      </c>
      <c r="M9982" t="s">
        <v>41499</v>
      </c>
      <c r="N9982" t="s">
        <v>43166</v>
      </c>
      <c r="O9982" t="s">
        <v>43167</v>
      </c>
      <c r="P9982">
        <v>0</v>
      </c>
      <c r="Q9982">
        <v>1</v>
      </c>
      <c r="R9982" t="s">
        <v>43178</v>
      </c>
      <c r="S9982" t="s">
        <v>43522</v>
      </c>
      <c r="T9982" t="s">
        <v>44754</v>
      </c>
      <c r="U9982" t="s">
        <v>53204</v>
      </c>
      <c r="V9982" t="s">
        <v>57955</v>
      </c>
      <c r="W9982" t="s">
        <v>41499</v>
      </c>
      <c r="X9982" t="s">
        <v>43179</v>
      </c>
    </row>
    <row r="9983" spans="1:24">
      <c r="A9983">
        <f>HYPERLINK("https://www.philgeps.gov.ph/GEPSNONPILOT/Tender/SplashBidNoticeAbstractUI.aspx?menuIndex=3&amp;refID=7069287&amp;Result=3","7069287")</f>
        <v>0</v>
      </c>
      <c r="B9983" t="s">
        <v>742</v>
      </c>
      <c r="C9983" t="s">
        <v>12935</v>
      </c>
      <c r="D9983" t="s">
        <v>17455</v>
      </c>
      <c r="E9983" t="s">
        <v>26045</v>
      </c>
      <c r="F9983" t="s">
        <v>30052</v>
      </c>
      <c r="G9983" t="s">
        <v>30058</v>
      </c>
      <c r="H9983" t="s">
        <v>15498</v>
      </c>
      <c r="I9983" t="s">
        <v>4650</v>
      </c>
      <c r="J9983" t="s">
        <v>36302</v>
      </c>
      <c r="K9983" t="s">
        <v>39031</v>
      </c>
      <c r="M9983" t="s">
        <v>40056</v>
      </c>
      <c r="N9983" t="s">
        <v>43166</v>
      </c>
      <c r="O9983" t="s">
        <v>43167</v>
      </c>
      <c r="P9983">
        <v>0</v>
      </c>
      <c r="Q9983">
        <v>9</v>
      </c>
      <c r="R9983" t="s">
        <v>43178</v>
      </c>
      <c r="S9983" t="s">
        <v>43522</v>
      </c>
      <c r="T9983" t="s">
        <v>44791</v>
      </c>
      <c r="U9983" t="s">
        <v>53205</v>
      </c>
      <c r="W9983" t="s">
        <v>58614</v>
      </c>
      <c r="X9983" t="s">
        <v>43179</v>
      </c>
    </row>
    <row r="9984" spans="1:24">
      <c r="A9984">
        <f>HYPERLINK("https://www.philgeps.gov.ph/GEPSNONPILOT/Tender/SplashBidNoticeAbstractUI.aspx?menuIndex=3&amp;refID=7069266&amp;Result=3","7069266")</f>
        <v>0</v>
      </c>
      <c r="B9984" t="s">
        <v>1114</v>
      </c>
      <c r="C9984" t="s">
        <v>12936</v>
      </c>
      <c r="D9984" t="s">
        <v>17466</v>
      </c>
      <c r="E9984" t="s">
        <v>26046</v>
      </c>
      <c r="F9984" t="s">
        <v>30052</v>
      </c>
      <c r="G9984" t="s">
        <v>30058</v>
      </c>
      <c r="H9984" t="s">
        <v>30067</v>
      </c>
      <c r="I9984" t="s">
        <v>3693</v>
      </c>
      <c r="J9984" t="s">
        <v>36303</v>
      </c>
      <c r="K9984" t="s">
        <v>39033</v>
      </c>
      <c r="M9984" t="s">
        <v>42429</v>
      </c>
      <c r="N9984" t="s">
        <v>43166</v>
      </c>
      <c r="O9984" t="s">
        <v>43167</v>
      </c>
      <c r="P9984">
        <v>0</v>
      </c>
      <c r="Q9984">
        <v>4</v>
      </c>
      <c r="R9984" t="s">
        <v>43178</v>
      </c>
      <c r="S9984" t="s">
        <v>43522</v>
      </c>
      <c r="T9984" t="s">
        <v>44839</v>
      </c>
      <c r="U9984" t="s">
        <v>53206</v>
      </c>
      <c r="V9984" t="s">
        <v>57956</v>
      </c>
      <c r="W9984" t="s">
        <v>42429</v>
      </c>
      <c r="X9984" t="s">
        <v>43179</v>
      </c>
    </row>
    <row r="9985" spans="1:24">
      <c r="A9985">
        <f>HYPERLINK("https://www.philgeps.gov.ph/GEPSNONPILOT/Tender/SplashBidNoticeAbstractUI.aspx?menuIndex=3&amp;refID=7069259&amp;Result=3","7069259")</f>
        <v>0</v>
      </c>
      <c r="B9985" t="s">
        <v>2880</v>
      </c>
      <c r="C9985" t="s">
        <v>12937</v>
      </c>
      <c r="D9985" t="s">
        <v>17425</v>
      </c>
      <c r="E9985" t="s">
        <v>26047</v>
      </c>
      <c r="F9985" t="s">
        <v>30052</v>
      </c>
      <c r="G9985" t="s">
        <v>30058</v>
      </c>
      <c r="H9985" t="s">
        <v>15498</v>
      </c>
      <c r="I9985" t="s">
        <v>30111</v>
      </c>
      <c r="J9985" t="s">
        <v>32255</v>
      </c>
      <c r="K9985" t="s">
        <v>39046</v>
      </c>
      <c r="M9985" t="s">
        <v>42430</v>
      </c>
      <c r="N9985" t="s">
        <v>43166</v>
      </c>
      <c r="O9985" t="s">
        <v>43167</v>
      </c>
      <c r="P9985">
        <v>0</v>
      </c>
      <c r="Q9985">
        <v>5</v>
      </c>
      <c r="R9985" t="s">
        <v>43178</v>
      </c>
      <c r="S9985" t="s">
        <v>43522</v>
      </c>
      <c r="T9985" t="s">
        <v>44687</v>
      </c>
      <c r="U9985" t="s">
        <v>53207</v>
      </c>
      <c r="W9985" t="s">
        <v>42430</v>
      </c>
      <c r="X9985" t="s">
        <v>43179</v>
      </c>
    </row>
    <row r="9986" spans="1:24">
      <c r="A9986">
        <f>HYPERLINK("https://www.philgeps.gov.ph/GEPSNONPILOT/Tender/SplashBidNoticeAbstractUI.aspx?menuIndex=3&amp;refID=7069253&amp;Result=3","7069253")</f>
        <v>0</v>
      </c>
      <c r="B9986" t="s">
        <v>2417</v>
      </c>
      <c r="C9986" t="s">
        <v>12938</v>
      </c>
      <c r="D9986" t="s">
        <v>17414</v>
      </c>
      <c r="E9986" t="s">
        <v>26048</v>
      </c>
      <c r="F9986" t="s">
        <v>30052</v>
      </c>
      <c r="G9986" t="s">
        <v>30058</v>
      </c>
      <c r="H9986" t="s">
        <v>15498</v>
      </c>
      <c r="I9986" t="s">
        <v>4650</v>
      </c>
      <c r="J9986" t="s">
        <v>30594</v>
      </c>
      <c r="K9986" t="s">
        <v>39029</v>
      </c>
      <c r="M9986" t="s">
        <v>41914</v>
      </c>
      <c r="N9986" t="s">
        <v>43166</v>
      </c>
      <c r="O9986" t="s">
        <v>43167</v>
      </c>
      <c r="P9986">
        <v>0</v>
      </c>
      <c r="Q9986">
        <v>2</v>
      </c>
      <c r="R9986" t="s">
        <v>43178</v>
      </c>
      <c r="S9986" t="s">
        <v>43522</v>
      </c>
      <c r="T9986" t="s">
        <v>44754</v>
      </c>
      <c r="U9986" t="s">
        <v>51539</v>
      </c>
      <c r="W9986" t="s">
        <v>41914</v>
      </c>
      <c r="X9986" t="s">
        <v>43179</v>
      </c>
    </row>
    <row r="9987" spans="1:24">
      <c r="A9987">
        <f>HYPERLINK("https://www.philgeps.gov.ph/GEPSNONPILOT/Tender/SplashBidNoticeAbstractUI.aspx?menuIndex=3&amp;refID=7069244&amp;Result=3","7069244")</f>
        <v>0</v>
      </c>
      <c r="B9987" t="s">
        <v>2881</v>
      </c>
      <c r="C9987" t="s">
        <v>12939</v>
      </c>
      <c r="E9987" t="s">
        <v>26049</v>
      </c>
      <c r="F9987" t="s">
        <v>30052</v>
      </c>
      <c r="G9987" t="s">
        <v>30058</v>
      </c>
      <c r="H9987" t="s">
        <v>30067</v>
      </c>
      <c r="I9987" t="s">
        <v>3693</v>
      </c>
      <c r="J9987" t="s">
        <v>36304</v>
      </c>
      <c r="K9987" t="s">
        <v>39037</v>
      </c>
      <c r="M9987" t="s">
        <v>42431</v>
      </c>
      <c r="N9987" t="s">
        <v>43166</v>
      </c>
      <c r="O9987" t="s">
        <v>43167</v>
      </c>
      <c r="P9987">
        <v>0</v>
      </c>
      <c r="Q9987">
        <v>0</v>
      </c>
      <c r="R9987" t="s">
        <v>43178</v>
      </c>
      <c r="S9987" t="s">
        <v>43522</v>
      </c>
      <c r="T9987" t="s">
        <v>44717</v>
      </c>
      <c r="U9987" t="s">
        <v>53208</v>
      </c>
      <c r="W9987" t="s">
        <v>42431</v>
      </c>
      <c r="X9987" t="s">
        <v>43179</v>
      </c>
    </row>
    <row r="9988" spans="1:24">
      <c r="A9988">
        <f>HYPERLINK("https://www.philgeps.gov.ph/GEPSNONPILOT/Tender/SplashBidNoticeAbstractUI.aspx?menuIndex=3&amp;refID=7069271&amp;Result=3","7069271")</f>
        <v>0</v>
      </c>
      <c r="B9988" t="s">
        <v>2877</v>
      </c>
      <c r="C9988" t="s">
        <v>12940</v>
      </c>
      <c r="D9988" t="s">
        <v>17419</v>
      </c>
      <c r="E9988" t="s">
        <v>26050</v>
      </c>
      <c r="F9988" t="s">
        <v>30052</v>
      </c>
      <c r="G9988" t="s">
        <v>30058</v>
      </c>
      <c r="H9988" t="s">
        <v>30067</v>
      </c>
      <c r="I9988" t="s">
        <v>3693</v>
      </c>
      <c r="J9988" t="s">
        <v>36305</v>
      </c>
      <c r="K9988" t="s">
        <v>39031</v>
      </c>
      <c r="M9988" t="s">
        <v>42426</v>
      </c>
      <c r="N9988" t="s">
        <v>43166</v>
      </c>
      <c r="O9988" t="s">
        <v>43167</v>
      </c>
      <c r="P9988">
        <v>0</v>
      </c>
      <c r="Q9988">
        <v>2</v>
      </c>
      <c r="R9988" t="s">
        <v>43178</v>
      </c>
      <c r="S9988" t="s">
        <v>43522</v>
      </c>
      <c r="T9988" t="s">
        <v>44791</v>
      </c>
      <c r="U9988" t="s">
        <v>53209</v>
      </c>
      <c r="W9988" t="s">
        <v>42426</v>
      </c>
      <c r="X9988" t="s">
        <v>43179</v>
      </c>
    </row>
    <row r="9989" spans="1:24">
      <c r="A9989">
        <f>HYPERLINK("https://www.philgeps.gov.ph/GEPSNONPILOT/Tender/SplashBidNoticeAbstractUI.aspx?menuIndex=3&amp;refID=7069240&amp;Result=3","7069240")</f>
        <v>0</v>
      </c>
      <c r="B9989" t="s">
        <v>1855</v>
      </c>
      <c r="C9989" t="s">
        <v>12941</v>
      </c>
      <c r="D9989" t="s">
        <v>17437</v>
      </c>
      <c r="E9989" t="s">
        <v>26051</v>
      </c>
      <c r="F9989" t="s">
        <v>30052</v>
      </c>
      <c r="G9989" t="s">
        <v>30058</v>
      </c>
      <c r="H9989" t="s">
        <v>30067</v>
      </c>
      <c r="I9989" t="s">
        <v>3693</v>
      </c>
      <c r="J9989" t="s">
        <v>36306</v>
      </c>
      <c r="K9989" t="s">
        <v>39029</v>
      </c>
      <c r="M9989" t="s">
        <v>41283</v>
      </c>
      <c r="N9989" t="s">
        <v>43166</v>
      </c>
      <c r="O9989" t="s">
        <v>43167</v>
      </c>
      <c r="P9989">
        <v>0</v>
      </c>
      <c r="Q9989">
        <v>0</v>
      </c>
      <c r="R9989" t="s">
        <v>43178</v>
      </c>
      <c r="S9989" t="s">
        <v>43522</v>
      </c>
      <c r="T9989" t="s">
        <v>44791</v>
      </c>
      <c r="U9989" t="s">
        <v>53210</v>
      </c>
      <c r="W9989" t="s">
        <v>58657</v>
      </c>
      <c r="X9989" t="s">
        <v>43179</v>
      </c>
    </row>
    <row r="9990" spans="1:24">
      <c r="A9990">
        <f>HYPERLINK("https://www.philgeps.gov.ph/GEPSNONPILOT/Tender/SplashBidNoticeAbstractUI.aspx?menuIndex=3&amp;refID=7068904&amp;Result=3","7068904")</f>
        <v>0</v>
      </c>
      <c r="B9990" t="s">
        <v>2882</v>
      </c>
      <c r="C9990" t="s">
        <v>4603</v>
      </c>
      <c r="D9990" t="s">
        <v>17419</v>
      </c>
      <c r="E9990" t="s">
        <v>26052</v>
      </c>
      <c r="F9990" t="s">
        <v>30054</v>
      </c>
      <c r="G9990" t="s">
        <v>30058</v>
      </c>
      <c r="H9990" t="s">
        <v>15498</v>
      </c>
      <c r="I9990" t="s">
        <v>3736</v>
      </c>
      <c r="J9990" t="s">
        <v>32397</v>
      </c>
      <c r="K9990" t="s">
        <v>39019</v>
      </c>
      <c r="M9990" t="s">
        <v>42432</v>
      </c>
      <c r="N9990" t="s">
        <v>43166</v>
      </c>
      <c r="O9990" t="s">
        <v>43167</v>
      </c>
      <c r="P9990">
        <v>0</v>
      </c>
      <c r="Q9990">
        <v>0</v>
      </c>
      <c r="R9990" t="s">
        <v>43178</v>
      </c>
      <c r="S9990" t="s">
        <v>43522</v>
      </c>
      <c r="T9990" t="s">
        <v>44710</v>
      </c>
      <c r="U9990" t="s">
        <v>48411</v>
      </c>
      <c r="W9990" t="s">
        <v>42432</v>
      </c>
      <c r="X9990" t="s">
        <v>43179</v>
      </c>
    </row>
    <row r="9991" spans="1:24">
      <c r="A9991">
        <f>HYPERLINK("https://www.philgeps.gov.ph/GEPSNONPILOT/Tender/SplashBidNoticeAbstractUI.aspx?menuIndex=3&amp;refID=7069220&amp;Result=3","7069220")</f>
        <v>0</v>
      </c>
      <c r="B9991" t="s">
        <v>1811</v>
      </c>
      <c r="C9991" t="s">
        <v>12942</v>
      </c>
      <c r="D9991" t="s">
        <v>17450</v>
      </c>
      <c r="E9991" t="s">
        <v>26053</v>
      </c>
      <c r="F9991" t="s">
        <v>30052</v>
      </c>
      <c r="G9991" t="s">
        <v>30058</v>
      </c>
      <c r="H9991" t="s">
        <v>30067</v>
      </c>
      <c r="I9991" t="s">
        <v>3693</v>
      </c>
      <c r="J9991" t="s">
        <v>33105</v>
      </c>
      <c r="K9991" t="s">
        <v>39065</v>
      </c>
      <c r="M9991" t="s">
        <v>41234</v>
      </c>
      <c r="N9991" t="s">
        <v>43166</v>
      </c>
      <c r="O9991" t="s">
        <v>43167</v>
      </c>
      <c r="P9991">
        <v>0</v>
      </c>
      <c r="Q9991">
        <v>1</v>
      </c>
      <c r="R9991" t="s">
        <v>43178</v>
      </c>
      <c r="S9991" t="s">
        <v>43522</v>
      </c>
      <c r="T9991" t="s">
        <v>44791</v>
      </c>
      <c r="U9991" t="s">
        <v>53017</v>
      </c>
      <c r="V9991" t="s">
        <v>57957</v>
      </c>
      <c r="W9991" t="s">
        <v>41234</v>
      </c>
      <c r="X9991" t="s">
        <v>43179</v>
      </c>
    </row>
    <row r="9992" spans="1:24">
      <c r="A9992">
        <f>HYPERLINK("https://www.philgeps.gov.ph/GEPSNONPILOT/Tender/SplashBidNoticeAbstractUI.aspx?menuIndex=3&amp;refID=7069151&amp;Result=3","7069151")</f>
        <v>0</v>
      </c>
      <c r="B9992" t="s">
        <v>2274</v>
      </c>
      <c r="C9992" t="s">
        <v>12943</v>
      </c>
      <c r="D9992" t="s">
        <v>17419</v>
      </c>
      <c r="E9992" t="s">
        <v>26054</v>
      </c>
      <c r="F9992" t="s">
        <v>30055</v>
      </c>
      <c r="G9992" t="s">
        <v>30058</v>
      </c>
      <c r="H9992" t="s">
        <v>15498</v>
      </c>
      <c r="I9992" t="s">
        <v>3736</v>
      </c>
      <c r="J9992" t="s">
        <v>36307</v>
      </c>
      <c r="K9992" t="s">
        <v>39029</v>
      </c>
      <c r="M9992" t="s">
        <v>42433</v>
      </c>
      <c r="N9992" t="s">
        <v>43166</v>
      </c>
      <c r="O9992" t="s">
        <v>43167</v>
      </c>
      <c r="P9992">
        <v>0</v>
      </c>
      <c r="Q9992">
        <v>0</v>
      </c>
      <c r="R9992" t="s">
        <v>43178</v>
      </c>
      <c r="S9992" t="s">
        <v>43522</v>
      </c>
      <c r="T9992" t="s">
        <v>44744</v>
      </c>
      <c r="U9992" t="s">
        <v>53173</v>
      </c>
      <c r="W9992" t="s">
        <v>42433</v>
      </c>
      <c r="X9992" t="s">
        <v>43179</v>
      </c>
    </row>
    <row r="9993" spans="1:24">
      <c r="A9993">
        <f>HYPERLINK("https://www.philgeps.gov.ph/GEPSNONPILOT/Tender/SplashBidNoticeAbstractUI.aspx?menuIndex=3&amp;refID=7069149&amp;Result=3","7069149")</f>
        <v>0</v>
      </c>
      <c r="B9993" t="s">
        <v>2873</v>
      </c>
      <c r="C9993" t="s">
        <v>12944</v>
      </c>
      <c r="D9993" t="s">
        <v>17447</v>
      </c>
      <c r="E9993" t="s">
        <v>17856</v>
      </c>
      <c r="F9993" t="s">
        <v>30052</v>
      </c>
      <c r="G9993" t="s">
        <v>30058</v>
      </c>
      <c r="H9993" t="s">
        <v>15498</v>
      </c>
      <c r="I9993" t="s">
        <v>30106</v>
      </c>
      <c r="J9993" t="s">
        <v>30277</v>
      </c>
      <c r="K9993" t="s">
        <v>39037</v>
      </c>
      <c r="M9993" t="s">
        <v>42421</v>
      </c>
      <c r="N9993" t="s">
        <v>43166</v>
      </c>
      <c r="O9993" t="s">
        <v>43167</v>
      </c>
      <c r="P9993">
        <v>0</v>
      </c>
      <c r="Q9993">
        <v>2</v>
      </c>
      <c r="R9993" t="s">
        <v>43178</v>
      </c>
      <c r="S9993" t="s">
        <v>43522</v>
      </c>
      <c r="T9993" t="s">
        <v>44859</v>
      </c>
      <c r="U9993" t="s">
        <v>53211</v>
      </c>
      <c r="W9993" t="s">
        <v>42421</v>
      </c>
      <c r="X9993" t="s">
        <v>43179</v>
      </c>
    </row>
    <row r="9994" spans="1:24">
      <c r="A9994">
        <f>HYPERLINK("https://www.philgeps.gov.ph/GEPSNONPILOT/Tender/SplashBidNoticeAbstractUI.aspx?menuIndex=3&amp;refID=7069233&amp;Result=3","7069233")</f>
        <v>0</v>
      </c>
      <c r="B9994" t="s">
        <v>2877</v>
      </c>
      <c r="C9994" t="s">
        <v>12945</v>
      </c>
      <c r="D9994" t="s">
        <v>17419</v>
      </c>
      <c r="E9994" t="s">
        <v>26055</v>
      </c>
      <c r="F9994" t="s">
        <v>30052</v>
      </c>
      <c r="G9994" t="s">
        <v>30058</v>
      </c>
      <c r="H9994" t="s">
        <v>30067</v>
      </c>
      <c r="I9994" t="s">
        <v>3693</v>
      </c>
      <c r="J9994" t="s">
        <v>36308</v>
      </c>
      <c r="K9994" t="s">
        <v>39029</v>
      </c>
      <c r="M9994" t="s">
        <v>42426</v>
      </c>
      <c r="N9994" t="s">
        <v>43166</v>
      </c>
      <c r="O9994" t="s">
        <v>43167</v>
      </c>
      <c r="P9994">
        <v>0</v>
      </c>
      <c r="Q9994">
        <v>2</v>
      </c>
      <c r="R9994" t="s">
        <v>43178</v>
      </c>
      <c r="S9994" t="s">
        <v>43522</v>
      </c>
      <c r="T9994" t="s">
        <v>44791</v>
      </c>
      <c r="U9994" t="s">
        <v>53212</v>
      </c>
      <c r="W9994" t="s">
        <v>42426</v>
      </c>
      <c r="X9994" t="s">
        <v>43179</v>
      </c>
    </row>
    <row r="9995" spans="1:24">
      <c r="A9995">
        <f>HYPERLINK("https://www.philgeps.gov.ph/GEPSNONPILOT/Tender/SplashBidNoticeAbstractUI.aspx?menuIndex=3&amp;refID=7068609&amp;Result=3","7068609")</f>
        <v>0</v>
      </c>
      <c r="B9995" t="s">
        <v>1339</v>
      </c>
      <c r="C9995" t="s">
        <v>12946</v>
      </c>
      <c r="D9995" t="s">
        <v>17474</v>
      </c>
      <c r="E9995" t="s">
        <v>26056</v>
      </c>
      <c r="F9995" t="s">
        <v>30052</v>
      </c>
      <c r="G9995" t="s">
        <v>30058</v>
      </c>
      <c r="H9995" t="s">
        <v>15498</v>
      </c>
      <c r="I9995" t="s">
        <v>5961</v>
      </c>
      <c r="J9995" t="s">
        <v>36309</v>
      </c>
      <c r="K9995" t="s">
        <v>39029</v>
      </c>
      <c r="M9995" t="s">
        <v>41073</v>
      </c>
      <c r="N9995" t="s">
        <v>43166</v>
      </c>
      <c r="O9995" t="s">
        <v>43167</v>
      </c>
      <c r="P9995">
        <v>0</v>
      </c>
      <c r="Q9995">
        <v>0</v>
      </c>
      <c r="R9995" t="s">
        <v>43178</v>
      </c>
      <c r="S9995" t="s">
        <v>43522</v>
      </c>
      <c r="T9995" t="s">
        <v>44844</v>
      </c>
      <c r="U9995" t="s">
        <v>48174</v>
      </c>
      <c r="V9995" t="s">
        <v>57248</v>
      </c>
      <c r="W9995" t="s">
        <v>41073</v>
      </c>
      <c r="X9995" t="s">
        <v>43179</v>
      </c>
    </row>
    <row r="9996" spans="1:24">
      <c r="A9996">
        <f>HYPERLINK("https://www.philgeps.gov.ph/GEPSNONPILOT/Tender/SplashBidNoticeAbstractUI.aspx?menuIndex=3&amp;refID=7069446&amp;Result=3","7069446")</f>
        <v>0</v>
      </c>
      <c r="B9996" t="s">
        <v>422</v>
      </c>
      <c r="C9996" t="s">
        <v>12947</v>
      </c>
      <c r="D9996" t="s">
        <v>17455</v>
      </c>
      <c r="E9996" t="s">
        <v>26057</v>
      </c>
      <c r="F9996" t="s">
        <v>30052</v>
      </c>
      <c r="G9996" t="s">
        <v>30059</v>
      </c>
      <c r="H9996" t="s">
        <v>15498</v>
      </c>
      <c r="I9996" t="s">
        <v>30151</v>
      </c>
      <c r="J9996" t="s">
        <v>36310</v>
      </c>
      <c r="K9996" t="s">
        <v>39025</v>
      </c>
      <c r="M9996" t="s">
        <v>40641</v>
      </c>
      <c r="N9996" t="s">
        <v>43166</v>
      </c>
      <c r="O9996" t="s">
        <v>43167</v>
      </c>
      <c r="Q9996">
        <v>8</v>
      </c>
      <c r="R9996" t="s">
        <v>43178</v>
      </c>
      <c r="S9996" t="s">
        <v>43546</v>
      </c>
      <c r="T9996" t="s">
        <v>44724</v>
      </c>
      <c r="U9996" t="s">
        <v>48012</v>
      </c>
      <c r="W9996" t="s">
        <v>40641</v>
      </c>
      <c r="X9996" t="s">
        <v>43179</v>
      </c>
    </row>
    <row r="9997" spans="1:24">
      <c r="A9997">
        <f>HYPERLINK("https://www.philgeps.gov.ph/GEPSNONPILOT/Tender/SplashBidNoticeAbstractUI.aspx?menuIndex=3&amp;refID=7069157&amp;Result=3","7069157")</f>
        <v>0</v>
      </c>
      <c r="B9997" t="s">
        <v>2842</v>
      </c>
      <c r="C9997" t="s">
        <v>12948</v>
      </c>
      <c r="D9997" t="s">
        <v>17421</v>
      </c>
      <c r="E9997" t="s">
        <v>26058</v>
      </c>
      <c r="F9997" t="s">
        <v>30052</v>
      </c>
      <c r="G9997" t="s">
        <v>30058</v>
      </c>
      <c r="H9997" t="s">
        <v>15498</v>
      </c>
      <c r="I9997" t="s">
        <v>9238</v>
      </c>
      <c r="J9997" t="s">
        <v>36311</v>
      </c>
      <c r="K9997" t="s">
        <v>39029</v>
      </c>
      <c r="M9997" t="s">
        <v>42388</v>
      </c>
      <c r="N9997" t="s">
        <v>43166</v>
      </c>
      <c r="O9997" t="s">
        <v>43167</v>
      </c>
      <c r="P9997">
        <v>0</v>
      </c>
      <c r="Q9997">
        <v>10</v>
      </c>
      <c r="R9997" t="s">
        <v>43178</v>
      </c>
      <c r="S9997" t="s">
        <v>43522</v>
      </c>
      <c r="T9997" t="s">
        <v>44945</v>
      </c>
      <c r="U9997" t="s">
        <v>53213</v>
      </c>
      <c r="V9997" t="s">
        <v>57958</v>
      </c>
      <c r="W9997" t="s">
        <v>42388</v>
      </c>
      <c r="X9997" t="s">
        <v>43179</v>
      </c>
    </row>
    <row r="9998" spans="1:24">
      <c r="A9998">
        <f>HYPERLINK("https://www.philgeps.gov.ph/GEPSNONPILOT/Tender/SplashBidNoticeAbstractUI.aspx?menuIndex=3&amp;refID=7069443&amp;Result=3","7069443")</f>
        <v>0</v>
      </c>
      <c r="B9998" t="s">
        <v>2883</v>
      </c>
      <c r="C9998" t="s">
        <v>12949</v>
      </c>
      <c r="E9998" t="s">
        <v>18839</v>
      </c>
      <c r="F9998" t="s">
        <v>30052</v>
      </c>
      <c r="G9998" t="s">
        <v>30058</v>
      </c>
      <c r="H9998" t="s">
        <v>15498</v>
      </c>
      <c r="I9998" t="s">
        <v>30091</v>
      </c>
      <c r="J9998" t="s">
        <v>30222</v>
      </c>
      <c r="K9998" t="s">
        <v>39025</v>
      </c>
      <c r="M9998" t="s">
        <v>42434</v>
      </c>
      <c r="N9998" t="s">
        <v>43166</v>
      </c>
      <c r="O9998" t="s">
        <v>43167</v>
      </c>
      <c r="P9998">
        <v>0</v>
      </c>
      <c r="Q9998">
        <v>2</v>
      </c>
      <c r="R9998" t="s">
        <v>43178</v>
      </c>
      <c r="S9998" t="s">
        <v>43522</v>
      </c>
      <c r="T9998" t="s">
        <v>44757</v>
      </c>
      <c r="U9998" t="s">
        <v>53214</v>
      </c>
      <c r="W9998" t="s">
        <v>42434</v>
      </c>
      <c r="X9998" t="s">
        <v>43179</v>
      </c>
    </row>
    <row r="9999" spans="1:24">
      <c r="A9999">
        <f>HYPERLINK("https://www.philgeps.gov.ph/GEPSNONPILOT/Tender/SplashBidNoticeAbstractUI.aspx?menuIndex=3&amp;refID=7069353&amp;Result=3","7069353")</f>
        <v>0</v>
      </c>
      <c r="B9999" t="s">
        <v>742</v>
      </c>
      <c r="C9999" t="s">
        <v>12950</v>
      </c>
      <c r="D9999" t="s">
        <v>17455</v>
      </c>
      <c r="E9999" t="s">
        <v>26059</v>
      </c>
      <c r="F9999" t="s">
        <v>30052</v>
      </c>
      <c r="G9999" t="s">
        <v>30058</v>
      </c>
      <c r="H9999" t="s">
        <v>15498</v>
      </c>
      <c r="I9999" t="s">
        <v>4650</v>
      </c>
      <c r="J9999" t="s">
        <v>36312</v>
      </c>
      <c r="K9999" t="s">
        <v>39031</v>
      </c>
      <c r="M9999" t="s">
        <v>40056</v>
      </c>
      <c r="N9999" t="s">
        <v>43166</v>
      </c>
      <c r="O9999" t="s">
        <v>43167</v>
      </c>
      <c r="Q9999">
        <v>8</v>
      </c>
      <c r="R9999" t="s">
        <v>43178</v>
      </c>
      <c r="S9999" t="s">
        <v>43547</v>
      </c>
      <c r="T9999" t="s">
        <v>44791</v>
      </c>
      <c r="U9999" t="s">
        <v>53215</v>
      </c>
      <c r="W9999" t="s">
        <v>58614</v>
      </c>
      <c r="X9999" t="s">
        <v>43179</v>
      </c>
    </row>
    <row r="10000" spans="1:24">
      <c r="A10000">
        <f>HYPERLINK("https://www.philgeps.gov.ph/GEPSNONPILOT/Tender/SplashBidNoticeAbstractUI.aspx?menuIndex=3&amp;refID=7069442&amp;Result=3","7069442")</f>
        <v>0</v>
      </c>
      <c r="B10000" t="s">
        <v>910</v>
      </c>
      <c r="C10000" t="s">
        <v>12951</v>
      </c>
      <c r="E10000" t="s">
        <v>26060</v>
      </c>
      <c r="F10000" t="s">
        <v>30052</v>
      </c>
      <c r="G10000" t="s">
        <v>30058</v>
      </c>
      <c r="H10000" t="s">
        <v>30067</v>
      </c>
      <c r="I10000" t="s">
        <v>3693</v>
      </c>
      <c r="J10000" t="s">
        <v>36313</v>
      </c>
      <c r="K10000" t="s">
        <v>39057</v>
      </c>
      <c r="M10000" t="s">
        <v>41159</v>
      </c>
      <c r="N10000" t="s">
        <v>43166</v>
      </c>
      <c r="O10000" t="s">
        <v>43167</v>
      </c>
      <c r="P10000">
        <v>0</v>
      </c>
      <c r="Q10000">
        <v>2</v>
      </c>
      <c r="R10000" t="s">
        <v>43178</v>
      </c>
      <c r="S10000" t="s">
        <v>43522</v>
      </c>
      <c r="T10000" t="s">
        <v>45038</v>
      </c>
      <c r="U10000" t="s">
        <v>53216</v>
      </c>
      <c r="W10000" t="s">
        <v>41159</v>
      </c>
      <c r="X10000" t="s">
        <v>43179</v>
      </c>
    </row>
    <row r="10001" spans="1:24">
      <c r="A10001">
        <f>HYPERLINK("https://www.philgeps.gov.ph/GEPSNONPILOT/Tender/SplashBidNoticeAbstractUI.aspx?menuIndex=3&amp;refID=7068512&amp;Result=3","7068512")</f>
        <v>0</v>
      </c>
      <c r="B10001" t="s">
        <v>2780</v>
      </c>
      <c r="C10001" t="s">
        <v>12952</v>
      </c>
      <c r="D10001" t="s">
        <v>17466</v>
      </c>
      <c r="E10001" t="s">
        <v>26061</v>
      </c>
      <c r="F10001" t="s">
        <v>30052</v>
      </c>
      <c r="G10001" t="s">
        <v>30059</v>
      </c>
      <c r="H10001" t="s">
        <v>15498</v>
      </c>
      <c r="I10001" t="s">
        <v>9238</v>
      </c>
      <c r="J10001" t="s">
        <v>30337</v>
      </c>
      <c r="K10001" t="s">
        <v>39029</v>
      </c>
      <c r="M10001" t="s">
        <v>42316</v>
      </c>
      <c r="N10001" t="s">
        <v>43166</v>
      </c>
      <c r="O10001" t="s">
        <v>43167</v>
      </c>
      <c r="P10001">
        <v>0</v>
      </c>
      <c r="Q10001">
        <v>29</v>
      </c>
      <c r="R10001" t="s">
        <v>43178</v>
      </c>
      <c r="S10001" t="s">
        <v>43522</v>
      </c>
      <c r="T10001" t="s">
        <v>44732</v>
      </c>
      <c r="U10001" t="s">
        <v>53217</v>
      </c>
      <c r="W10001" t="s">
        <v>42316</v>
      </c>
      <c r="X10001" t="s">
        <v>43179</v>
      </c>
    </row>
    <row r="10002" spans="1:24">
      <c r="A10002">
        <f>HYPERLINK("https://www.philgeps.gov.ph/GEPSNONPILOT/Tender/SplashBidNoticeAbstractUI.aspx?menuIndex=3&amp;refID=7069441&amp;Result=3","7069441")</f>
        <v>0</v>
      </c>
      <c r="B10002" t="s">
        <v>1050</v>
      </c>
      <c r="C10002" t="s">
        <v>12953</v>
      </c>
      <c r="D10002" t="s">
        <v>17420</v>
      </c>
      <c r="E10002" t="s">
        <v>26062</v>
      </c>
      <c r="F10002" t="s">
        <v>30052</v>
      </c>
      <c r="G10002" t="s">
        <v>30058</v>
      </c>
      <c r="H10002" t="s">
        <v>15498</v>
      </c>
      <c r="I10002" t="s">
        <v>30073</v>
      </c>
      <c r="J10002" t="s">
        <v>36314</v>
      </c>
      <c r="K10002" t="s">
        <v>39017</v>
      </c>
      <c r="M10002" t="s">
        <v>40383</v>
      </c>
      <c r="N10002" t="s">
        <v>43166</v>
      </c>
      <c r="O10002" t="s">
        <v>43167</v>
      </c>
      <c r="P10002">
        <v>0</v>
      </c>
      <c r="Q10002">
        <v>0</v>
      </c>
      <c r="R10002" t="s">
        <v>43178</v>
      </c>
      <c r="S10002" t="s">
        <v>43522</v>
      </c>
      <c r="T10002" t="s">
        <v>44856</v>
      </c>
      <c r="U10002" t="s">
        <v>53218</v>
      </c>
      <c r="W10002" t="s">
        <v>40383</v>
      </c>
      <c r="X10002" t="s">
        <v>43179</v>
      </c>
    </row>
    <row r="10003" spans="1:24">
      <c r="A10003">
        <f>HYPERLINK("https://www.philgeps.gov.ph/GEPSNONPILOT/Tender/SplashBidNoticeAbstractUI.aspx?menuIndex=3&amp;refID=7069426&amp;Result=3","7069426")</f>
        <v>0</v>
      </c>
      <c r="B10003" t="s">
        <v>1251</v>
      </c>
      <c r="C10003" t="s">
        <v>12954</v>
      </c>
      <c r="D10003" t="s">
        <v>17463</v>
      </c>
      <c r="E10003" t="s">
        <v>26063</v>
      </c>
      <c r="F10003" t="s">
        <v>30052</v>
      </c>
      <c r="G10003" t="s">
        <v>30058</v>
      </c>
      <c r="H10003" t="s">
        <v>15498</v>
      </c>
      <c r="I10003" t="s">
        <v>3852</v>
      </c>
      <c r="J10003" t="s">
        <v>36315</v>
      </c>
      <c r="K10003" t="s">
        <v>39019</v>
      </c>
      <c r="M10003" t="s">
        <v>42399</v>
      </c>
      <c r="N10003" t="s">
        <v>43166</v>
      </c>
      <c r="O10003" t="s">
        <v>43167</v>
      </c>
      <c r="P10003">
        <v>0</v>
      </c>
      <c r="Q10003">
        <v>0</v>
      </c>
      <c r="R10003" t="s">
        <v>43178</v>
      </c>
      <c r="S10003" t="s">
        <v>43522</v>
      </c>
      <c r="T10003" t="s">
        <v>44716</v>
      </c>
      <c r="U10003" t="s">
        <v>53219</v>
      </c>
      <c r="W10003" t="s">
        <v>40956</v>
      </c>
      <c r="X10003" t="s">
        <v>43179</v>
      </c>
    </row>
    <row r="10004" spans="1:24">
      <c r="A10004">
        <f>HYPERLINK("https://www.philgeps.gov.ph/GEPSNONPILOT/Tender/SplashBidNoticeAbstractUI.aspx?menuIndex=3&amp;refID=7069423&amp;Result=3","7069423")</f>
        <v>0</v>
      </c>
      <c r="B10004" t="s">
        <v>2860</v>
      </c>
      <c r="C10004" t="s">
        <v>12955</v>
      </c>
      <c r="D10004" t="s">
        <v>17435</v>
      </c>
      <c r="E10004" t="s">
        <v>18420</v>
      </c>
      <c r="F10004" t="s">
        <v>30052</v>
      </c>
      <c r="G10004" t="s">
        <v>30058</v>
      </c>
      <c r="H10004" t="s">
        <v>30067</v>
      </c>
      <c r="I10004" t="s">
        <v>3693</v>
      </c>
      <c r="J10004" t="s">
        <v>36316</v>
      </c>
      <c r="K10004" t="s">
        <v>39057</v>
      </c>
      <c r="M10004" t="s">
        <v>42408</v>
      </c>
      <c r="N10004" t="s">
        <v>43166</v>
      </c>
      <c r="O10004" t="s">
        <v>43167</v>
      </c>
      <c r="P10004">
        <v>0</v>
      </c>
      <c r="Q10004">
        <v>0</v>
      </c>
      <c r="R10004" t="s">
        <v>43178</v>
      </c>
      <c r="S10004" t="s">
        <v>43522</v>
      </c>
      <c r="T10004" t="s">
        <v>44690</v>
      </c>
      <c r="U10004" t="s">
        <v>53220</v>
      </c>
      <c r="W10004" t="s">
        <v>42408</v>
      </c>
      <c r="X10004" t="s">
        <v>43179</v>
      </c>
    </row>
    <row r="10005" spans="1:24">
      <c r="A10005">
        <f>HYPERLINK("https://www.philgeps.gov.ph/GEPSNONPILOT/Tender/SplashBidNoticeAbstractUI.aspx?menuIndex=3&amp;refID=7069413&amp;Result=3","7069413")</f>
        <v>0</v>
      </c>
      <c r="B10005" t="s">
        <v>1962</v>
      </c>
      <c r="C10005" t="s">
        <v>12956</v>
      </c>
      <c r="D10005" t="s">
        <v>17415</v>
      </c>
      <c r="E10005" t="s">
        <v>26064</v>
      </c>
      <c r="F10005" t="s">
        <v>30052</v>
      </c>
      <c r="G10005" t="s">
        <v>30058</v>
      </c>
      <c r="H10005" t="s">
        <v>15498</v>
      </c>
      <c r="I10005" t="s">
        <v>12885</v>
      </c>
      <c r="J10005" t="s">
        <v>36297</v>
      </c>
      <c r="K10005" t="s">
        <v>39067</v>
      </c>
      <c r="M10005" t="s">
        <v>41399</v>
      </c>
      <c r="N10005" t="s">
        <v>43166</v>
      </c>
      <c r="O10005" t="s">
        <v>43167</v>
      </c>
      <c r="P10005">
        <v>0</v>
      </c>
      <c r="Q10005">
        <v>7</v>
      </c>
      <c r="R10005" t="s">
        <v>43178</v>
      </c>
      <c r="S10005" t="s">
        <v>43522</v>
      </c>
      <c r="T10005" t="s">
        <v>44807</v>
      </c>
      <c r="U10005" t="s">
        <v>53221</v>
      </c>
      <c r="W10005" t="s">
        <v>41399</v>
      </c>
      <c r="X10005" t="s">
        <v>43179</v>
      </c>
    </row>
    <row r="10006" spans="1:24">
      <c r="A10006">
        <f>HYPERLINK("https://www.philgeps.gov.ph/GEPSNONPILOT/Tender/SplashBidNoticeAbstractUI.aspx?menuIndex=3&amp;refID=7069405&amp;Result=3","7069405")</f>
        <v>0</v>
      </c>
      <c r="B10006" t="s">
        <v>2862</v>
      </c>
      <c r="C10006" t="s">
        <v>12957</v>
      </c>
      <c r="D10006" t="s">
        <v>17443</v>
      </c>
      <c r="E10006" t="s">
        <v>26065</v>
      </c>
      <c r="F10006" t="s">
        <v>30052</v>
      </c>
      <c r="G10006" t="s">
        <v>30058</v>
      </c>
      <c r="H10006" t="s">
        <v>15498</v>
      </c>
      <c r="I10006" t="s">
        <v>3736</v>
      </c>
      <c r="J10006" t="s">
        <v>36317</v>
      </c>
      <c r="K10006" t="s">
        <v>39029</v>
      </c>
      <c r="M10006" t="s">
        <v>42410</v>
      </c>
      <c r="N10006" t="s">
        <v>43166</v>
      </c>
      <c r="O10006" t="s">
        <v>43167</v>
      </c>
      <c r="P10006">
        <v>0</v>
      </c>
      <c r="Q10006">
        <v>0</v>
      </c>
      <c r="R10006" t="s">
        <v>43178</v>
      </c>
      <c r="S10006" t="s">
        <v>43522</v>
      </c>
      <c r="T10006" t="s">
        <v>44763</v>
      </c>
      <c r="U10006" t="s">
        <v>53156</v>
      </c>
      <c r="V10006" t="s">
        <v>57959</v>
      </c>
      <c r="W10006" t="s">
        <v>42410</v>
      </c>
      <c r="X10006" t="s">
        <v>43179</v>
      </c>
    </row>
    <row r="10007" spans="1:24">
      <c r="A10007">
        <f>HYPERLINK("https://www.philgeps.gov.ph/GEPSNONPILOT/Tender/SplashBidNoticeAbstractUI.aspx?menuIndex=3&amp;refID=7069399&amp;Result=3","7069399")</f>
        <v>0</v>
      </c>
      <c r="B10007" t="s">
        <v>2884</v>
      </c>
      <c r="C10007" t="s">
        <v>8726</v>
      </c>
      <c r="D10007" t="s">
        <v>17435</v>
      </c>
      <c r="E10007" t="s">
        <v>26066</v>
      </c>
      <c r="F10007" t="s">
        <v>30052</v>
      </c>
      <c r="G10007" t="s">
        <v>30058</v>
      </c>
      <c r="H10007" t="s">
        <v>15498</v>
      </c>
      <c r="I10007" t="s">
        <v>30070</v>
      </c>
      <c r="J10007" t="s">
        <v>30248</v>
      </c>
      <c r="K10007" t="s">
        <v>39017</v>
      </c>
      <c r="M10007" t="s">
        <v>42435</v>
      </c>
      <c r="N10007" t="s">
        <v>43166</v>
      </c>
      <c r="O10007" t="s">
        <v>43167</v>
      </c>
      <c r="P10007">
        <v>0</v>
      </c>
      <c r="Q10007">
        <v>0</v>
      </c>
      <c r="R10007" t="s">
        <v>43178</v>
      </c>
      <c r="S10007" t="s">
        <v>43522</v>
      </c>
      <c r="T10007" t="s">
        <v>44698</v>
      </c>
      <c r="U10007" t="s">
        <v>53222</v>
      </c>
      <c r="W10007" t="s">
        <v>42435</v>
      </c>
      <c r="X10007" t="s">
        <v>43179</v>
      </c>
    </row>
    <row r="10008" spans="1:24">
      <c r="A10008">
        <f>HYPERLINK("https://www.philgeps.gov.ph/GEPSNONPILOT/Tender/SplashBidNoticeAbstractUI.aspx?menuIndex=3&amp;refID=7069435&amp;Result=3","7069435")</f>
        <v>0</v>
      </c>
      <c r="B10008" t="s">
        <v>562</v>
      </c>
      <c r="C10008" t="s">
        <v>12958</v>
      </c>
      <c r="D10008" t="s">
        <v>17490</v>
      </c>
      <c r="E10008" t="s">
        <v>26067</v>
      </c>
      <c r="F10008" t="s">
        <v>30052</v>
      </c>
      <c r="G10008" t="s">
        <v>30058</v>
      </c>
      <c r="H10008" t="s">
        <v>30067</v>
      </c>
      <c r="I10008" t="s">
        <v>3693</v>
      </c>
      <c r="J10008" t="s">
        <v>36318</v>
      </c>
      <c r="K10008" t="s">
        <v>39019</v>
      </c>
      <c r="M10008" t="s">
        <v>39864</v>
      </c>
      <c r="N10008" t="s">
        <v>43166</v>
      </c>
      <c r="O10008" t="s">
        <v>43167</v>
      </c>
      <c r="P10008">
        <v>0</v>
      </c>
      <c r="Q10008">
        <v>0</v>
      </c>
      <c r="R10008" t="s">
        <v>43178</v>
      </c>
      <c r="S10008" t="s">
        <v>43522</v>
      </c>
      <c r="T10008" t="s">
        <v>44791</v>
      </c>
      <c r="U10008" t="s">
        <v>51442</v>
      </c>
      <c r="W10008" t="s">
        <v>39864</v>
      </c>
      <c r="X10008" t="s">
        <v>43179</v>
      </c>
    </row>
    <row r="10009" spans="1:24">
      <c r="A10009">
        <f>HYPERLINK("https://www.philgeps.gov.ph/GEPSNONPILOT/Tender/SplashBidNoticeAbstractUI.aspx?menuIndex=3&amp;refID=7069398&amp;Result=3","7069398")</f>
        <v>0</v>
      </c>
      <c r="B10009" t="s">
        <v>562</v>
      </c>
      <c r="C10009" t="s">
        <v>12959</v>
      </c>
      <c r="D10009" t="s">
        <v>17490</v>
      </c>
      <c r="E10009" t="s">
        <v>26068</v>
      </c>
      <c r="F10009" t="s">
        <v>30052</v>
      </c>
      <c r="G10009" t="s">
        <v>30058</v>
      </c>
      <c r="H10009" t="s">
        <v>30067</v>
      </c>
      <c r="I10009" t="s">
        <v>3693</v>
      </c>
      <c r="J10009" t="s">
        <v>36318</v>
      </c>
      <c r="K10009" t="s">
        <v>39019</v>
      </c>
      <c r="M10009" t="s">
        <v>39864</v>
      </c>
      <c r="N10009" t="s">
        <v>43166</v>
      </c>
      <c r="O10009" t="s">
        <v>43167</v>
      </c>
      <c r="P10009">
        <v>0</v>
      </c>
      <c r="Q10009">
        <v>0</v>
      </c>
      <c r="R10009" t="s">
        <v>43178</v>
      </c>
      <c r="S10009" t="s">
        <v>43522</v>
      </c>
      <c r="T10009" t="s">
        <v>44791</v>
      </c>
      <c r="U10009" t="s">
        <v>51442</v>
      </c>
      <c r="W10009" t="s">
        <v>39864</v>
      </c>
      <c r="X10009" t="s">
        <v>43179</v>
      </c>
    </row>
    <row r="10010" spans="1:24">
      <c r="A10010">
        <f>HYPERLINK("https://www.philgeps.gov.ph/GEPSNONPILOT/Tender/SplashBidNoticeAbstractUI.aspx?menuIndex=3&amp;refID=7069368&amp;Result=3","7069368")</f>
        <v>0</v>
      </c>
      <c r="B10010" t="s">
        <v>2885</v>
      </c>
      <c r="C10010" t="s">
        <v>12960</v>
      </c>
      <c r="E10010" t="s">
        <v>24213</v>
      </c>
      <c r="F10010" t="s">
        <v>30052</v>
      </c>
      <c r="G10010" t="s">
        <v>30058</v>
      </c>
      <c r="H10010" t="s">
        <v>15498</v>
      </c>
      <c r="I10010" t="s">
        <v>30155</v>
      </c>
      <c r="J10010" t="s">
        <v>32199</v>
      </c>
      <c r="K10010" t="s">
        <v>39025</v>
      </c>
      <c r="M10010" t="s">
        <v>42436</v>
      </c>
      <c r="N10010" t="s">
        <v>43166</v>
      </c>
      <c r="O10010" t="s">
        <v>43167</v>
      </c>
      <c r="Q10010">
        <v>2</v>
      </c>
      <c r="R10010" t="s">
        <v>43178</v>
      </c>
      <c r="S10010" t="s">
        <v>43457</v>
      </c>
      <c r="T10010" t="s">
        <v>44716</v>
      </c>
      <c r="U10010" t="s">
        <v>53223</v>
      </c>
      <c r="W10010" t="s">
        <v>42436</v>
      </c>
      <c r="X10010" t="s">
        <v>43179</v>
      </c>
    </row>
    <row r="10011" spans="1:24">
      <c r="A10011">
        <f>HYPERLINK("https://www.philgeps.gov.ph/GEPSNONPILOT/Tender/SplashBidNoticeAbstractUI.aspx?menuIndex=3&amp;refID=7069424&amp;Result=3","7069424")</f>
        <v>0</v>
      </c>
      <c r="B10011" t="s">
        <v>270</v>
      </c>
      <c r="C10011" t="s">
        <v>12961</v>
      </c>
      <c r="D10011" t="s">
        <v>17431</v>
      </c>
      <c r="E10011" t="s">
        <v>26069</v>
      </c>
      <c r="F10011" t="s">
        <v>30052</v>
      </c>
      <c r="G10011" t="s">
        <v>30058</v>
      </c>
      <c r="H10011" t="s">
        <v>30067</v>
      </c>
      <c r="I10011" t="s">
        <v>3693</v>
      </c>
      <c r="J10011" t="s">
        <v>30557</v>
      </c>
      <c r="K10011" t="s">
        <v>39065</v>
      </c>
      <c r="M10011" t="s">
        <v>39563</v>
      </c>
      <c r="N10011" t="s">
        <v>43166</v>
      </c>
      <c r="O10011" t="s">
        <v>43167</v>
      </c>
      <c r="P10011">
        <v>0</v>
      </c>
      <c r="Q10011">
        <v>0</v>
      </c>
      <c r="R10011" t="s">
        <v>43178</v>
      </c>
      <c r="S10011" t="s">
        <v>43522</v>
      </c>
      <c r="T10011" t="s">
        <v>44758</v>
      </c>
      <c r="U10011" t="s">
        <v>53224</v>
      </c>
      <c r="W10011" t="s">
        <v>39563</v>
      </c>
      <c r="X10011" t="s">
        <v>43179</v>
      </c>
    </row>
    <row r="10012" spans="1:24">
      <c r="A10012">
        <f>HYPERLINK("https://www.philgeps.gov.ph/GEPSNONPILOT/Tender/SplashBidNoticeAbstractUI.aspx?menuIndex=3&amp;refID=7069384&amp;Result=3","7069384")</f>
        <v>0</v>
      </c>
      <c r="B10012" t="s">
        <v>562</v>
      </c>
      <c r="C10012" t="s">
        <v>12962</v>
      </c>
      <c r="D10012" t="s">
        <v>17490</v>
      </c>
      <c r="E10012" t="s">
        <v>26070</v>
      </c>
      <c r="F10012" t="s">
        <v>30052</v>
      </c>
      <c r="G10012" t="s">
        <v>30058</v>
      </c>
      <c r="H10012" t="s">
        <v>30067</v>
      </c>
      <c r="I10012" t="s">
        <v>3693</v>
      </c>
      <c r="J10012" t="s">
        <v>36318</v>
      </c>
      <c r="K10012" t="s">
        <v>39019</v>
      </c>
      <c r="M10012" t="s">
        <v>39864</v>
      </c>
      <c r="N10012" t="s">
        <v>43166</v>
      </c>
      <c r="O10012" t="s">
        <v>43167</v>
      </c>
      <c r="P10012">
        <v>0</v>
      </c>
      <c r="Q10012">
        <v>0</v>
      </c>
      <c r="R10012" t="s">
        <v>43178</v>
      </c>
      <c r="S10012" t="s">
        <v>43522</v>
      </c>
      <c r="T10012" t="s">
        <v>44791</v>
      </c>
      <c r="U10012" t="s">
        <v>51442</v>
      </c>
      <c r="W10012" t="s">
        <v>39864</v>
      </c>
      <c r="X10012" t="s">
        <v>43179</v>
      </c>
    </row>
    <row r="10013" spans="1:24">
      <c r="A10013">
        <f>HYPERLINK("https://www.philgeps.gov.ph/GEPSNONPILOT/Tender/SplashBidNoticeAbstractUI.aspx?menuIndex=3&amp;refID=7069229&amp;Result=3","7069229")</f>
        <v>0</v>
      </c>
      <c r="B10013" t="s">
        <v>2886</v>
      </c>
      <c r="C10013" t="s">
        <v>12963</v>
      </c>
      <c r="D10013" t="s">
        <v>17445</v>
      </c>
      <c r="E10013" t="s">
        <v>26071</v>
      </c>
      <c r="F10013" t="s">
        <v>30052</v>
      </c>
      <c r="G10013" t="s">
        <v>30058</v>
      </c>
      <c r="H10013" t="s">
        <v>15498</v>
      </c>
      <c r="I10013" t="s">
        <v>3736</v>
      </c>
      <c r="J10013" t="s">
        <v>30557</v>
      </c>
      <c r="K10013" t="s">
        <v>39017</v>
      </c>
      <c r="M10013" t="s">
        <v>42437</v>
      </c>
      <c r="N10013" t="s">
        <v>43166</v>
      </c>
      <c r="O10013" t="s">
        <v>43167</v>
      </c>
      <c r="Q10013">
        <v>5</v>
      </c>
      <c r="R10013" t="s">
        <v>43178</v>
      </c>
      <c r="S10013" t="s">
        <v>43548</v>
      </c>
      <c r="T10013" t="s">
        <v>44750</v>
      </c>
      <c r="U10013" t="s">
        <v>53225</v>
      </c>
      <c r="W10013" t="s">
        <v>42437</v>
      </c>
      <c r="X10013" t="s">
        <v>43179</v>
      </c>
    </row>
    <row r="10014" spans="1:24">
      <c r="A10014">
        <f>HYPERLINK("https://www.philgeps.gov.ph/GEPSNONPILOT/Tender/SplashBidNoticeAbstractUI.aspx?menuIndex=3&amp;refID=7069541&amp;Result=3","7069541")</f>
        <v>0</v>
      </c>
      <c r="B10014" t="s">
        <v>2879</v>
      </c>
      <c r="C10014" t="s">
        <v>12964</v>
      </c>
      <c r="D10014" t="s">
        <v>17455</v>
      </c>
      <c r="E10014" t="s">
        <v>26072</v>
      </c>
      <c r="F10014" t="s">
        <v>30052</v>
      </c>
      <c r="G10014" t="s">
        <v>30058</v>
      </c>
      <c r="H10014" t="s">
        <v>30067</v>
      </c>
      <c r="I10014" t="s">
        <v>3693</v>
      </c>
      <c r="J10014" t="s">
        <v>36319</v>
      </c>
      <c r="K10014" t="s">
        <v>39023</v>
      </c>
      <c r="M10014" t="s">
        <v>42428</v>
      </c>
      <c r="N10014" t="s">
        <v>43166</v>
      </c>
      <c r="O10014" t="s">
        <v>43167</v>
      </c>
      <c r="P10014">
        <v>0</v>
      </c>
      <c r="Q10014">
        <v>3</v>
      </c>
      <c r="R10014" t="s">
        <v>43178</v>
      </c>
      <c r="S10014" t="s">
        <v>43522</v>
      </c>
      <c r="T10014" t="s">
        <v>44815</v>
      </c>
      <c r="U10014" t="s">
        <v>53226</v>
      </c>
      <c r="V10014" t="s">
        <v>57954</v>
      </c>
      <c r="W10014" t="s">
        <v>42428</v>
      </c>
      <c r="X10014" t="s">
        <v>43179</v>
      </c>
    </row>
    <row r="10015" spans="1:24">
      <c r="A10015">
        <f>HYPERLINK("https://www.philgeps.gov.ph/GEPSNONPILOT/Tender/SplashBidNoticeAbstractUI.aspx?menuIndex=3&amp;refID=7069526&amp;Result=3","7069526")</f>
        <v>0</v>
      </c>
      <c r="B10015" t="s">
        <v>270</v>
      </c>
      <c r="C10015" t="s">
        <v>12965</v>
      </c>
      <c r="D10015" t="s">
        <v>17431</v>
      </c>
      <c r="E10015" t="s">
        <v>26073</v>
      </c>
      <c r="F10015" t="s">
        <v>30052</v>
      </c>
      <c r="G10015" t="s">
        <v>30058</v>
      </c>
      <c r="H10015" t="s">
        <v>15498</v>
      </c>
      <c r="I10015" t="s">
        <v>30144</v>
      </c>
      <c r="J10015" t="s">
        <v>30247</v>
      </c>
      <c r="K10015" t="s">
        <v>39023</v>
      </c>
      <c r="M10015" t="s">
        <v>39563</v>
      </c>
      <c r="N10015" t="s">
        <v>43166</v>
      </c>
      <c r="O10015" t="s">
        <v>43167</v>
      </c>
      <c r="P10015">
        <v>0</v>
      </c>
      <c r="Q10015">
        <v>0</v>
      </c>
      <c r="R10015" t="s">
        <v>43178</v>
      </c>
      <c r="S10015" t="s">
        <v>43522</v>
      </c>
      <c r="T10015" t="s">
        <v>44758</v>
      </c>
      <c r="U10015" t="s">
        <v>53227</v>
      </c>
      <c r="W10015" t="s">
        <v>39563</v>
      </c>
      <c r="X10015" t="s">
        <v>43179</v>
      </c>
    </row>
    <row r="10016" spans="1:24">
      <c r="A10016">
        <f>HYPERLINK("https://www.philgeps.gov.ph/GEPSNONPILOT/Tender/SplashBidNoticeAbstractUI.aspx?menuIndex=3&amp;refID=7068444&amp;Result=3","7068444")</f>
        <v>0</v>
      </c>
      <c r="B10016" t="s">
        <v>1730</v>
      </c>
      <c r="C10016" t="s">
        <v>12966</v>
      </c>
      <c r="E10016" t="s">
        <v>26074</v>
      </c>
      <c r="F10016" t="s">
        <v>30052</v>
      </c>
      <c r="G10016" t="s">
        <v>30058</v>
      </c>
      <c r="H10016" t="s">
        <v>30067</v>
      </c>
      <c r="I10016" t="s">
        <v>3693</v>
      </c>
      <c r="J10016" t="s">
        <v>36320</v>
      </c>
      <c r="K10016" t="s">
        <v>39049</v>
      </c>
      <c r="M10016" t="s">
        <v>42228</v>
      </c>
      <c r="N10016" t="s">
        <v>43166</v>
      </c>
      <c r="O10016" t="s">
        <v>43167</v>
      </c>
      <c r="P10016">
        <v>0</v>
      </c>
      <c r="Q10016">
        <v>0</v>
      </c>
      <c r="R10016" t="s">
        <v>43178</v>
      </c>
      <c r="S10016" t="s">
        <v>43522</v>
      </c>
      <c r="T10016" t="s">
        <v>44753</v>
      </c>
      <c r="U10016" t="s">
        <v>53228</v>
      </c>
      <c r="V10016" t="s">
        <v>57960</v>
      </c>
      <c r="W10016" t="s">
        <v>42228</v>
      </c>
      <c r="X10016" t="s">
        <v>43179</v>
      </c>
    </row>
    <row r="10017" spans="1:24">
      <c r="A10017">
        <f>HYPERLINK("https://www.philgeps.gov.ph/GEPSNONPILOT/Tender/SplashBidNoticeAbstractUI.aspx?menuIndex=3&amp;refID=7069523&amp;Result=3","7069523")</f>
        <v>0</v>
      </c>
      <c r="B10017" t="s">
        <v>910</v>
      </c>
      <c r="C10017" t="s">
        <v>12967</v>
      </c>
      <c r="E10017" t="s">
        <v>26075</v>
      </c>
      <c r="F10017" t="s">
        <v>30052</v>
      </c>
      <c r="G10017" t="s">
        <v>30058</v>
      </c>
      <c r="H10017" t="s">
        <v>30067</v>
      </c>
      <c r="I10017" t="s">
        <v>3693</v>
      </c>
      <c r="J10017" t="s">
        <v>36321</v>
      </c>
      <c r="K10017" t="s">
        <v>39026</v>
      </c>
      <c r="M10017" t="s">
        <v>41159</v>
      </c>
      <c r="N10017" t="s">
        <v>43166</v>
      </c>
      <c r="O10017" t="s">
        <v>43167</v>
      </c>
      <c r="P10017">
        <v>0</v>
      </c>
      <c r="Q10017">
        <v>2</v>
      </c>
      <c r="R10017" t="s">
        <v>43178</v>
      </c>
      <c r="S10017" t="s">
        <v>43522</v>
      </c>
      <c r="T10017" t="s">
        <v>45046</v>
      </c>
      <c r="U10017" t="s">
        <v>53229</v>
      </c>
      <c r="W10017" t="s">
        <v>41159</v>
      </c>
      <c r="X10017" t="s">
        <v>43179</v>
      </c>
    </row>
    <row r="10018" spans="1:24">
      <c r="A10018">
        <f>HYPERLINK("https://www.philgeps.gov.ph/GEPSNONPILOT/Tender/SplashBidNoticeAbstractUI.aspx?menuIndex=3&amp;refID=7069362&amp;Result=3","7069362")</f>
        <v>0</v>
      </c>
      <c r="B10018" t="s">
        <v>1114</v>
      </c>
      <c r="C10018" t="s">
        <v>12968</v>
      </c>
      <c r="D10018" t="s">
        <v>17466</v>
      </c>
      <c r="E10018" t="s">
        <v>26076</v>
      </c>
      <c r="F10018" t="s">
        <v>30052</v>
      </c>
      <c r="G10018" t="s">
        <v>30058</v>
      </c>
      <c r="H10018" t="s">
        <v>30067</v>
      </c>
      <c r="I10018" t="s">
        <v>3693</v>
      </c>
      <c r="J10018" t="s">
        <v>36322</v>
      </c>
      <c r="K10018" t="s">
        <v>39026</v>
      </c>
      <c r="M10018" t="s">
        <v>42429</v>
      </c>
      <c r="N10018" t="s">
        <v>43166</v>
      </c>
      <c r="O10018" t="s">
        <v>43167</v>
      </c>
      <c r="P10018">
        <v>0</v>
      </c>
      <c r="Q10018">
        <v>4</v>
      </c>
      <c r="R10018" t="s">
        <v>43178</v>
      </c>
      <c r="S10018" t="s">
        <v>43522</v>
      </c>
      <c r="T10018" t="s">
        <v>44679</v>
      </c>
      <c r="U10018" t="s">
        <v>53230</v>
      </c>
      <c r="V10018" t="s">
        <v>57956</v>
      </c>
      <c r="W10018" t="s">
        <v>42429</v>
      </c>
      <c r="X10018" t="s">
        <v>43179</v>
      </c>
    </row>
    <row r="10019" spans="1:24">
      <c r="A10019">
        <f>HYPERLINK("https://www.philgeps.gov.ph/GEPSNONPILOT/Tender/SplashBidNoticeAbstractUI.aspx?menuIndex=3&amp;refID=7069530&amp;Result=3","7069530")</f>
        <v>0</v>
      </c>
      <c r="B10019" t="s">
        <v>2887</v>
      </c>
      <c r="C10019" t="s">
        <v>12969</v>
      </c>
      <c r="D10019" t="s">
        <v>17445</v>
      </c>
      <c r="E10019" t="s">
        <v>26077</v>
      </c>
      <c r="F10019" t="s">
        <v>30052</v>
      </c>
      <c r="G10019" t="s">
        <v>30058</v>
      </c>
      <c r="H10019" t="s">
        <v>15498</v>
      </c>
      <c r="I10019" t="s">
        <v>30072</v>
      </c>
      <c r="J10019" t="s">
        <v>36323</v>
      </c>
      <c r="K10019" t="s">
        <v>39025</v>
      </c>
      <c r="M10019" t="s">
        <v>42438</v>
      </c>
      <c r="N10019" t="s">
        <v>43166</v>
      </c>
      <c r="O10019" t="s">
        <v>43167</v>
      </c>
      <c r="Q10019">
        <v>2</v>
      </c>
      <c r="R10019" t="s">
        <v>43178</v>
      </c>
      <c r="S10019" t="s">
        <v>43549</v>
      </c>
      <c r="T10019" t="s">
        <v>44781</v>
      </c>
      <c r="U10019" t="s">
        <v>53231</v>
      </c>
      <c r="W10019" t="s">
        <v>42438</v>
      </c>
      <c r="X10019" t="s">
        <v>43179</v>
      </c>
    </row>
    <row r="10020" spans="1:24">
      <c r="A10020">
        <f>HYPERLINK("https://www.philgeps.gov.ph/GEPSNONPILOT/Tender/SplashBidNoticeAbstractUI.aspx?menuIndex=3&amp;refID=7069512&amp;Result=3","7069512")</f>
        <v>0</v>
      </c>
      <c r="B10020" t="s">
        <v>2863</v>
      </c>
      <c r="C10020" t="s">
        <v>12970</v>
      </c>
      <c r="D10020" t="s">
        <v>17468</v>
      </c>
      <c r="E10020" t="s">
        <v>26078</v>
      </c>
      <c r="F10020" t="s">
        <v>30052</v>
      </c>
      <c r="G10020" t="s">
        <v>30059</v>
      </c>
      <c r="H10020" t="s">
        <v>15498</v>
      </c>
      <c r="I10020" t="s">
        <v>4119</v>
      </c>
      <c r="J10020" t="s">
        <v>32780</v>
      </c>
      <c r="K10020" t="s">
        <v>39023</v>
      </c>
      <c r="M10020" t="s">
        <v>42411</v>
      </c>
      <c r="N10020" t="s">
        <v>43166</v>
      </c>
      <c r="O10020" t="s">
        <v>43167</v>
      </c>
      <c r="P10020">
        <v>0</v>
      </c>
      <c r="Q10020">
        <v>17</v>
      </c>
      <c r="R10020" t="s">
        <v>43178</v>
      </c>
      <c r="S10020" t="s">
        <v>43522</v>
      </c>
      <c r="T10020" t="s">
        <v>44723</v>
      </c>
      <c r="U10020" t="s">
        <v>53232</v>
      </c>
      <c r="W10020" t="s">
        <v>58689</v>
      </c>
      <c r="X10020" t="s">
        <v>43179</v>
      </c>
    </row>
    <row r="10021" spans="1:24">
      <c r="A10021">
        <f>HYPERLINK("https://www.philgeps.gov.ph/GEPSNONPILOT/Tender/SplashBidNoticeAbstractUI.aspx?menuIndex=3&amp;refID=7069500&amp;Result=3","7069500")</f>
        <v>0</v>
      </c>
      <c r="B10021" t="s">
        <v>2888</v>
      </c>
      <c r="C10021" t="s">
        <v>12971</v>
      </c>
      <c r="D10021" t="s">
        <v>17427</v>
      </c>
      <c r="E10021" t="s">
        <v>26079</v>
      </c>
      <c r="F10021" t="s">
        <v>30055</v>
      </c>
      <c r="G10021" t="s">
        <v>30058</v>
      </c>
      <c r="H10021" t="s">
        <v>30067</v>
      </c>
      <c r="I10021" t="s">
        <v>3736</v>
      </c>
      <c r="J10021" t="s">
        <v>32397</v>
      </c>
      <c r="K10021" t="s">
        <v>39025</v>
      </c>
      <c r="M10021" t="s">
        <v>42439</v>
      </c>
      <c r="N10021" t="s">
        <v>43166</v>
      </c>
      <c r="O10021" t="s">
        <v>43167</v>
      </c>
      <c r="P10021">
        <v>0</v>
      </c>
      <c r="Q10021">
        <v>0</v>
      </c>
      <c r="R10021" t="s">
        <v>43178</v>
      </c>
      <c r="S10021" t="s">
        <v>43522</v>
      </c>
      <c r="T10021" t="s">
        <v>44681</v>
      </c>
      <c r="U10021" t="s">
        <v>53233</v>
      </c>
      <c r="W10021" t="s">
        <v>42439</v>
      </c>
      <c r="X10021" t="s">
        <v>43179</v>
      </c>
    </row>
    <row r="10022" spans="1:24">
      <c r="A10022">
        <f>HYPERLINK("https://www.philgeps.gov.ph/GEPSNONPILOT/Tender/SplashBidNoticeAbstractUI.aspx?menuIndex=3&amp;refID=7069508&amp;Result=3","7069508")</f>
        <v>0</v>
      </c>
      <c r="B10022" t="s">
        <v>59</v>
      </c>
      <c r="C10022" t="s">
        <v>12972</v>
      </c>
      <c r="D10022" t="s">
        <v>17441</v>
      </c>
      <c r="E10022" t="s">
        <v>26080</v>
      </c>
      <c r="F10022" t="s">
        <v>30052</v>
      </c>
      <c r="G10022" t="s">
        <v>30058</v>
      </c>
      <c r="H10022" t="s">
        <v>30067</v>
      </c>
      <c r="I10022" t="s">
        <v>3693</v>
      </c>
      <c r="J10022" t="s">
        <v>36324</v>
      </c>
      <c r="K10022" t="s">
        <v>39112</v>
      </c>
      <c r="M10022" t="s">
        <v>39348</v>
      </c>
      <c r="N10022" t="s">
        <v>43166</v>
      </c>
      <c r="O10022" t="s">
        <v>43167</v>
      </c>
      <c r="P10022">
        <v>0</v>
      </c>
      <c r="Q10022">
        <v>25</v>
      </c>
      <c r="R10022" t="s">
        <v>43178</v>
      </c>
      <c r="S10022" t="s">
        <v>43522</v>
      </c>
      <c r="T10022" t="s">
        <v>44750</v>
      </c>
      <c r="U10022" t="s">
        <v>53199</v>
      </c>
      <c r="V10022" t="s">
        <v>56820</v>
      </c>
      <c r="W10022" t="s">
        <v>39348</v>
      </c>
      <c r="X10022" t="s">
        <v>43179</v>
      </c>
    </row>
    <row r="10023" spans="1:24">
      <c r="A10023">
        <f>HYPERLINK("https://www.philgeps.gov.ph/GEPSNONPILOT/Tender/SplashBidNoticeAbstractUI.aspx?menuIndex=3&amp;refID=7069496&amp;Result=3","7069496")</f>
        <v>0</v>
      </c>
      <c r="B10023" t="s">
        <v>270</v>
      </c>
      <c r="C10023" t="s">
        <v>12973</v>
      </c>
      <c r="D10023" t="s">
        <v>17431</v>
      </c>
      <c r="E10023" t="s">
        <v>26081</v>
      </c>
      <c r="F10023" t="s">
        <v>30052</v>
      </c>
      <c r="G10023" t="s">
        <v>30058</v>
      </c>
      <c r="H10023" t="s">
        <v>15498</v>
      </c>
      <c r="I10023" t="s">
        <v>30145</v>
      </c>
      <c r="J10023" t="s">
        <v>36325</v>
      </c>
      <c r="K10023" t="s">
        <v>39029</v>
      </c>
      <c r="M10023" t="s">
        <v>39563</v>
      </c>
      <c r="N10023" t="s">
        <v>43166</v>
      </c>
      <c r="O10023" t="s">
        <v>43167</v>
      </c>
      <c r="P10023">
        <v>0</v>
      </c>
      <c r="Q10023">
        <v>8</v>
      </c>
      <c r="R10023" t="s">
        <v>43178</v>
      </c>
      <c r="S10023" t="s">
        <v>43522</v>
      </c>
      <c r="T10023" t="s">
        <v>44758</v>
      </c>
      <c r="U10023" t="s">
        <v>53234</v>
      </c>
      <c r="W10023" t="s">
        <v>39563</v>
      </c>
      <c r="X10023" t="s">
        <v>43179</v>
      </c>
    </row>
    <row r="10024" spans="1:24">
      <c r="A10024">
        <f>HYPERLINK("https://www.philgeps.gov.ph/GEPSNONPILOT/Tender/SplashBidNoticeAbstractUI.aspx?menuIndex=3&amp;refID=7069521&amp;Result=3","7069521")</f>
        <v>0</v>
      </c>
      <c r="B10024" t="s">
        <v>1716</v>
      </c>
      <c r="C10024" t="s">
        <v>12974</v>
      </c>
      <c r="D10024" t="s">
        <v>17435</v>
      </c>
      <c r="E10024" t="s">
        <v>20668</v>
      </c>
      <c r="F10024" t="s">
        <v>30052</v>
      </c>
      <c r="G10024" t="s">
        <v>30058</v>
      </c>
      <c r="H10024" t="s">
        <v>15498</v>
      </c>
      <c r="I10024" t="s">
        <v>30106</v>
      </c>
      <c r="J10024" t="s">
        <v>36326</v>
      </c>
      <c r="K10024" t="s">
        <v>39034</v>
      </c>
      <c r="M10024" t="s">
        <v>41131</v>
      </c>
      <c r="N10024" t="s">
        <v>43166</v>
      </c>
      <c r="O10024" t="s">
        <v>43167</v>
      </c>
      <c r="P10024">
        <v>0</v>
      </c>
      <c r="Q10024">
        <v>1</v>
      </c>
      <c r="R10024" t="s">
        <v>43178</v>
      </c>
      <c r="S10024" t="s">
        <v>43522</v>
      </c>
      <c r="T10024" t="s">
        <v>44763</v>
      </c>
      <c r="U10024" t="s">
        <v>53235</v>
      </c>
      <c r="W10024" t="s">
        <v>41131</v>
      </c>
      <c r="X10024" t="s">
        <v>43179</v>
      </c>
    </row>
    <row r="10025" spans="1:24">
      <c r="A10025">
        <f>HYPERLINK("https://www.philgeps.gov.ph/GEPSNONPILOT/Tender/SplashBidNoticeAbstractUI.aspx?menuIndex=3&amp;refID=7069444&amp;Result=3","7069444")</f>
        <v>0</v>
      </c>
      <c r="B10025" t="s">
        <v>2774</v>
      </c>
      <c r="C10025" t="s">
        <v>12975</v>
      </c>
      <c r="D10025" t="s">
        <v>17457</v>
      </c>
      <c r="E10025" t="s">
        <v>26082</v>
      </c>
      <c r="F10025" t="s">
        <v>30052</v>
      </c>
      <c r="G10025" t="s">
        <v>30058</v>
      </c>
      <c r="H10025" t="s">
        <v>15498</v>
      </c>
      <c r="I10025" t="s">
        <v>30074</v>
      </c>
      <c r="J10025" t="s">
        <v>31664</v>
      </c>
      <c r="K10025" t="s">
        <v>39023</v>
      </c>
      <c r="L10025" t="s">
        <v>2774</v>
      </c>
      <c r="M10025" t="s">
        <v>42310</v>
      </c>
      <c r="N10025" t="s">
        <v>43166</v>
      </c>
      <c r="O10025" t="s">
        <v>43167</v>
      </c>
      <c r="P10025">
        <v>0</v>
      </c>
      <c r="Q10025">
        <v>5</v>
      </c>
      <c r="R10025" t="s">
        <v>43178</v>
      </c>
      <c r="S10025" t="s">
        <v>43522</v>
      </c>
      <c r="T10025" t="s">
        <v>45005</v>
      </c>
      <c r="U10025" t="s">
        <v>53236</v>
      </c>
      <c r="W10025" t="s">
        <v>42310</v>
      </c>
      <c r="X10025" t="s">
        <v>43179</v>
      </c>
    </row>
    <row r="10026" spans="1:24">
      <c r="A10026">
        <f>HYPERLINK("https://www.philgeps.gov.ph/GEPSNONPILOT/Tender/SplashBidNoticeAbstractUI.aspx?menuIndex=3&amp;refID=7069661&amp;Result=3","7069661")</f>
        <v>0</v>
      </c>
      <c r="B10026" t="s">
        <v>910</v>
      </c>
      <c r="C10026" t="s">
        <v>12976</v>
      </c>
      <c r="E10026" t="s">
        <v>26083</v>
      </c>
      <c r="F10026" t="s">
        <v>30052</v>
      </c>
      <c r="G10026" t="s">
        <v>30058</v>
      </c>
      <c r="H10026" t="s">
        <v>30067</v>
      </c>
      <c r="I10026" t="s">
        <v>3693</v>
      </c>
      <c r="J10026" t="s">
        <v>36327</v>
      </c>
      <c r="K10026" t="s">
        <v>39023</v>
      </c>
      <c r="M10026" t="s">
        <v>41159</v>
      </c>
      <c r="N10026" t="s">
        <v>43166</v>
      </c>
      <c r="O10026" t="s">
        <v>43167</v>
      </c>
      <c r="P10026">
        <v>0</v>
      </c>
      <c r="Q10026">
        <v>1</v>
      </c>
      <c r="R10026" t="s">
        <v>43178</v>
      </c>
      <c r="S10026" t="s">
        <v>43522</v>
      </c>
      <c r="T10026" t="s">
        <v>45038</v>
      </c>
      <c r="U10026" t="s">
        <v>53237</v>
      </c>
      <c r="W10026" t="s">
        <v>41159</v>
      </c>
      <c r="X10026" t="s">
        <v>43179</v>
      </c>
    </row>
    <row r="10027" spans="1:24">
      <c r="A10027">
        <f>HYPERLINK("https://www.philgeps.gov.ph/GEPSNONPILOT/Tender/SplashBidNoticeAbstractUI.aspx?menuIndex=3&amp;refID=7069490&amp;Result=3","7069490")</f>
        <v>0</v>
      </c>
      <c r="B10027" t="s">
        <v>2248</v>
      </c>
      <c r="C10027" t="s">
        <v>12977</v>
      </c>
      <c r="D10027" t="s">
        <v>17424</v>
      </c>
      <c r="E10027" t="s">
        <v>26084</v>
      </c>
      <c r="F10027" t="s">
        <v>30052</v>
      </c>
      <c r="G10027" t="s">
        <v>30058</v>
      </c>
      <c r="H10027" t="s">
        <v>15498</v>
      </c>
      <c r="I10027" t="s">
        <v>30081</v>
      </c>
      <c r="J10027" t="s">
        <v>36328</v>
      </c>
      <c r="K10027" t="s">
        <v>39037</v>
      </c>
      <c r="M10027" t="s">
        <v>41726</v>
      </c>
      <c r="N10027" t="s">
        <v>43166</v>
      </c>
      <c r="O10027" t="s">
        <v>43167</v>
      </c>
      <c r="P10027">
        <v>0</v>
      </c>
      <c r="Q10027">
        <v>3</v>
      </c>
      <c r="R10027" t="s">
        <v>43178</v>
      </c>
      <c r="S10027" t="s">
        <v>43522</v>
      </c>
      <c r="T10027" t="s">
        <v>44764</v>
      </c>
      <c r="U10027" t="s">
        <v>53238</v>
      </c>
      <c r="W10027" t="s">
        <v>41726</v>
      </c>
      <c r="X10027" t="s">
        <v>43179</v>
      </c>
    </row>
    <row r="10028" spans="1:24">
      <c r="A10028">
        <f>HYPERLINK("https://www.philgeps.gov.ph/GEPSNONPILOT/Tender/SplashBidNoticeAbstractUI.aspx?menuIndex=3&amp;refID=7069509&amp;Result=3","7069509")</f>
        <v>0</v>
      </c>
      <c r="B10028" t="s">
        <v>2881</v>
      </c>
      <c r="C10028" t="s">
        <v>12978</v>
      </c>
      <c r="D10028" t="s">
        <v>17452</v>
      </c>
      <c r="E10028" t="s">
        <v>26085</v>
      </c>
      <c r="F10028" t="s">
        <v>30052</v>
      </c>
      <c r="G10028" t="s">
        <v>30058</v>
      </c>
      <c r="H10028" t="s">
        <v>30067</v>
      </c>
      <c r="I10028" t="s">
        <v>3693</v>
      </c>
      <c r="J10028" t="s">
        <v>36329</v>
      </c>
      <c r="K10028" t="s">
        <v>39045</v>
      </c>
      <c r="M10028" t="s">
        <v>42431</v>
      </c>
      <c r="N10028" t="s">
        <v>43166</v>
      </c>
      <c r="O10028" t="s">
        <v>43167</v>
      </c>
      <c r="P10028">
        <v>0</v>
      </c>
      <c r="Q10028">
        <v>2</v>
      </c>
      <c r="R10028" t="s">
        <v>43178</v>
      </c>
      <c r="S10028" t="s">
        <v>43522</v>
      </c>
      <c r="T10028" t="s">
        <v>44717</v>
      </c>
      <c r="U10028" t="s">
        <v>53239</v>
      </c>
      <c r="W10028" t="s">
        <v>42431</v>
      </c>
      <c r="X10028" t="s">
        <v>43179</v>
      </c>
    </row>
    <row r="10029" spans="1:24">
      <c r="A10029">
        <f>HYPERLINK("https://www.philgeps.gov.ph/GEPSNONPILOT/Tender/SplashBidNoticeAbstractUI.aspx?menuIndex=3&amp;refID=7069638&amp;Result=3","7069638")</f>
        <v>0</v>
      </c>
      <c r="B10029" t="s">
        <v>910</v>
      </c>
      <c r="C10029" t="s">
        <v>12979</v>
      </c>
      <c r="E10029" t="s">
        <v>26086</v>
      </c>
      <c r="F10029" t="s">
        <v>30052</v>
      </c>
      <c r="G10029" t="s">
        <v>30058</v>
      </c>
      <c r="H10029" t="s">
        <v>30067</v>
      </c>
      <c r="I10029" t="s">
        <v>3693</v>
      </c>
      <c r="J10029" t="s">
        <v>36330</v>
      </c>
      <c r="K10029" t="s">
        <v>39022</v>
      </c>
      <c r="M10029" t="s">
        <v>41159</v>
      </c>
      <c r="N10029" t="s">
        <v>43166</v>
      </c>
      <c r="O10029" t="s">
        <v>43167</v>
      </c>
      <c r="P10029">
        <v>0</v>
      </c>
      <c r="Q10029">
        <v>1</v>
      </c>
      <c r="R10029" t="s">
        <v>43178</v>
      </c>
      <c r="S10029" t="s">
        <v>43522</v>
      </c>
      <c r="T10029" t="s">
        <v>45038</v>
      </c>
      <c r="U10029" t="s">
        <v>53240</v>
      </c>
      <c r="W10029" t="s">
        <v>41159</v>
      </c>
      <c r="X10029" t="s">
        <v>43179</v>
      </c>
    </row>
    <row r="10030" spans="1:24">
      <c r="A10030">
        <f>HYPERLINK("https://www.philgeps.gov.ph/GEPSNONPILOT/Tender/SplashBidNoticeAbstractUI.aspx?menuIndex=3&amp;refID=7069630&amp;Result=3","7069630")</f>
        <v>0</v>
      </c>
      <c r="B10030" t="s">
        <v>2889</v>
      </c>
      <c r="C10030" t="s">
        <v>12980</v>
      </c>
      <c r="D10030" t="s">
        <v>17459</v>
      </c>
      <c r="E10030" t="s">
        <v>21909</v>
      </c>
      <c r="F10030" t="s">
        <v>30052</v>
      </c>
      <c r="G10030" t="s">
        <v>30058</v>
      </c>
      <c r="H10030" t="s">
        <v>30067</v>
      </c>
      <c r="I10030" t="s">
        <v>3693</v>
      </c>
      <c r="J10030" t="s">
        <v>36331</v>
      </c>
      <c r="K10030" t="s">
        <v>39229</v>
      </c>
      <c r="M10030" t="s">
        <v>42440</v>
      </c>
      <c r="N10030" t="s">
        <v>43166</v>
      </c>
      <c r="O10030" t="s">
        <v>43167</v>
      </c>
      <c r="P10030">
        <v>0</v>
      </c>
      <c r="Q10030">
        <v>3</v>
      </c>
      <c r="R10030" t="s">
        <v>43178</v>
      </c>
      <c r="S10030" t="s">
        <v>43522</v>
      </c>
      <c r="T10030" t="s">
        <v>44796</v>
      </c>
      <c r="U10030" t="s">
        <v>53241</v>
      </c>
      <c r="W10030" t="s">
        <v>42440</v>
      </c>
      <c r="X10030" t="s">
        <v>43179</v>
      </c>
    </row>
    <row r="10031" spans="1:24">
      <c r="A10031">
        <f>HYPERLINK("https://www.philgeps.gov.ph/GEPSNONPILOT/Tender/SplashBidNoticeAbstractUI.aspx?menuIndex=3&amp;refID=7069634&amp;Result=3","7069634")</f>
        <v>0</v>
      </c>
      <c r="B10031" t="s">
        <v>1607</v>
      </c>
      <c r="C10031" t="s">
        <v>12981</v>
      </c>
      <c r="E10031" t="s">
        <v>26087</v>
      </c>
      <c r="F10031" t="s">
        <v>30052</v>
      </c>
      <c r="G10031" t="s">
        <v>30058</v>
      </c>
      <c r="H10031" t="s">
        <v>15498</v>
      </c>
      <c r="I10031" t="s">
        <v>30088</v>
      </c>
      <c r="J10031" t="s">
        <v>30559</v>
      </c>
      <c r="K10031" t="s">
        <v>39025</v>
      </c>
      <c r="M10031" t="s">
        <v>42441</v>
      </c>
      <c r="N10031" t="s">
        <v>43166</v>
      </c>
      <c r="O10031" t="s">
        <v>43167</v>
      </c>
      <c r="P10031">
        <v>0</v>
      </c>
      <c r="Q10031">
        <v>7</v>
      </c>
      <c r="R10031" t="s">
        <v>43178</v>
      </c>
      <c r="S10031" t="s">
        <v>43522</v>
      </c>
      <c r="T10031" t="s">
        <v>44815</v>
      </c>
      <c r="U10031" t="s">
        <v>53242</v>
      </c>
      <c r="W10031" t="s">
        <v>42441</v>
      </c>
      <c r="X10031" t="s">
        <v>43179</v>
      </c>
    </row>
    <row r="10032" spans="1:24">
      <c r="A10032">
        <f>HYPERLINK("https://www.philgeps.gov.ph/GEPSNONPILOT/Tender/SplashBidNoticeAbstractUI.aspx?menuIndex=3&amp;refID=7069610&amp;Result=3","7069610")</f>
        <v>0</v>
      </c>
      <c r="B10032" t="s">
        <v>1051</v>
      </c>
      <c r="C10032" t="s">
        <v>12982</v>
      </c>
      <c r="D10032" t="s">
        <v>17478</v>
      </c>
      <c r="E10032" t="s">
        <v>26088</v>
      </c>
      <c r="F10032" t="s">
        <v>30052</v>
      </c>
      <c r="G10032" t="s">
        <v>30058</v>
      </c>
      <c r="H10032" t="s">
        <v>15498</v>
      </c>
      <c r="I10032" t="s">
        <v>4650</v>
      </c>
      <c r="J10032" t="s">
        <v>31206</v>
      </c>
      <c r="K10032" t="s">
        <v>39019</v>
      </c>
      <c r="M10032" t="s">
        <v>40384</v>
      </c>
      <c r="N10032" t="s">
        <v>43166</v>
      </c>
      <c r="O10032" t="s">
        <v>43167</v>
      </c>
      <c r="P10032">
        <v>0</v>
      </c>
      <c r="Q10032">
        <v>5</v>
      </c>
      <c r="R10032" t="s">
        <v>43178</v>
      </c>
      <c r="S10032" t="s">
        <v>43522</v>
      </c>
      <c r="T10032" t="s">
        <v>44832</v>
      </c>
      <c r="U10032" t="s">
        <v>53243</v>
      </c>
      <c r="W10032" t="s">
        <v>40384</v>
      </c>
      <c r="X10032" t="s">
        <v>43179</v>
      </c>
    </row>
    <row r="10033" spans="1:24">
      <c r="A10033">
        <f>HYPERLINK("https://www.philgeps.gov.ph/GEPSNONPILOT/Tender/SplashBidNoticeAbstractUI.aspx?menuIndex=3&amp;refID=7069649&amp;Result=3","7069649")</f>
        <v>0</v>
      </c>
      <c r="B10033" t="s">
        <v>1051</v>
      </c>
      <c r="C10033" t="s">
        <v>12682</v>
      </c>
      <c r="D10033" t="s">
        <v>17478</v>
      </c>
      <c r="E10033" t="s">
        <v>26089</v>
      </c>
      <c r="F10033" t="s">
        <v>30052</v>
      </c>
      <c r="G10033" t="s">
        <v>30058</v>
      </c>
      <c r="H10033" t="s">
        <v>15498</v>
      </c>
      <c r="I10033" t="s">
        <v>30070</v>
      </c>
      <c r="J10033" t="s">
        <v>36332</v>
      </c>
      <c r="K10033" t="s">
        <v>39019</v>
      </c>
      <c r="M10033" t="s">
        <v>40384</v>
      </c>
      <c r="N10033" t="s">
        <v>43166</v>
      </c>
      <c r="O10033" t="s">
        <v>43167</v>
      </c>
      <c r="P10033">
        <v>0</v>
      </c>
      <c r="Q10033">
        <v>2</v>
      </c>
      <c r="R10033" t="s">
        <v>43178</v>
      </c>
      <c r="S10033" t="s">
        <v>43522</v>
      </c>
      <c r="T10033" t="s">
        <v>44832</v>
      </c>
      <c r="U10033" t="s">
        <v>49738</v>
      </c>
      <c r="W10033" t="s">
        <v>40384</v>
      </c>
      <c r="X10033" t="s">
        <v>43179</v>
      </c>
    </row>
    <row r="10034" spans="1:24">
      <c r="A10034">
        <f>HYPERLINK("https://www.philgeps.gov.ph/GEPSNONPILOT/Tender/SplashBidNoticeAbstractUI.aspx?menuIndex=3&amp;refID=7069511&amp;Result=3","7069511")</f>
        <v>0</v>
      </c>
      <c r="B10034" t="s">
        <v>2875</v>
      </c>
      <c r="C10034" t="s">
        <v>10785</v>
      </c>
      <c r="D10034" t="s">
        <v>17450</v>
      </c>
      <c r="E10034" t="s">
        <v>17799</v>
      </c>
      <c r="F10034" t="s">
        <v>30052</v>
      </c>
      <c r="G10034" t="s">
        <v>30058</v>
      </c>
      <c r="H10034" t="s">
        <v>30067</v>
      </c>
      <c r="I10034" t="s">
        <v>3693</v>
      </c>
      <c r="J10034" t="s">
        <v>30222</v>
      </c>
      <c r="K10034" t="s">
        <v>39031</v>
      </c>
      <c r="M10034" t="s">
        <v>42423</v>
      </c>
      <c r="N10034" t="s">
        <v>43166</v>
      </c>
      <c r="O10034" t="s">
        <v>43167</v>
      </c>
      <c r="P10034">
        <v>0</v>
      </c>
      <c r="Q10034">
        <v>0</v>
      </c>
      <c r="R10034" t="s">
        <v>43178</v>
      </c>
      <c r="S10034" t="s">
        <v>43522</v>
      </c>
      <c r="T10034" t="s">
        <v>44832</v>
      </c>
      <c r="U10034" t="s">
        <v>53244</v>
      </c>
      <c r="W10034" t="s">
        <v>42423</v>
      </c>
      <c r="X10034" t="s">
        <v>43179</v>
      </c>
    </row>
    <row r="10035" spans="1:24">
      <c r="A10035">
        <f>HYPERLINK("https://www.philgeps.gov.ph/GEPSNONPILOT/Tender/SplashBidNoticeAbstractUI.aspx?menuIndex=3&amp;refID=7069645&amp;Result=3","7069645")</f>
        <v>0</v>
      </c>
      <c r="B10035" t="s">
        <v>2890</v>
      </c>
      <c r="C10035" t="s">
        <v>12983</v>
      </c>
      <c r="D10035" t="s">
        <v>17414</v>
      </c>
      <c r="E10035" t="s">
        <v>26090</v>
      </c>
      <c r="F10035" t="s">
        <v>30052</v>
      </c>
      <c r="G10035" t="s">
        <v>30058</v>
      </c>
      <c r="H10035" t="s">
        <v>30067</v>
      </c>
      <c r="I10035" t="s">
        <v>3693</v>
      </c>
      <c r="J10035" t="s">
        <v>36333</v>
      </c>
      <c r="K10035" t="s">
        <v>39057</v>
      </c>
      <c r="M10035" t="s">
        <v>42442</v>
      </c>
      <c r="N10035" t="s">
        <v>43166</v>
      </c>
      <c r="O10035" t="s">
        <v>43167</v>
      </c>
      <c r="P10035">
        <v>0</v>
      </c>
      <c r="Q10035">
        <v>0</v>
      </c>
      <c r="R10035" t="s">
        <v>43178</v>
      </c>
      <c r="S10035" t="s">
        <v>43522</v>
      </c>
      <c r="T10035" t="s">
        <v>44925</v>
      </c>
      <c r="U10035" t="s">
        <v>53245</v>
      </c>
      <c r="W10035" t="s">
        <v>42442</v>
      </c>
      <c r="X10035" t="s">
        <v>43179</v>
      </c>
    </row>
    <row r="10036" spans="1:24">
      <c r="A10036">
        <f>HYPERLINK("https://www.philgeps.gov.ph/GEPSNONPILOT/Tender/SplashBidNoticeAbstractUI.aspx?menuIndex=3&amp;refID=7069582&amp;Result=3","7069582")</f>
        <v>0</v>
      </c>
      <c r="B10036" t="s">
        <v>679</v>
      </c>
      <c r="C10036" t="s">
        <v>12984</v>
      </c>
      <c r="D10036" t="s">
        <v>17419</v>
      </c>
      <c r="E10036" t="s">
        <v>26091</v>
      </c>
      <c r="F10036" t="s">
        <v>30052</v>
      </c>
      <c r="G10036" t="s">
        <v>30058</v>
      </c>
      <c r="H10036" t="s">
        <v>15498</v>
      </c>
      <c r="I10036" t="s">
        <v>3736</v>
      </c>
      <c r="J10036" t="s">
        <v>36334</v>
      </c>
      <c r="K10036" t="s">
        <v>39034</v>
      </c>
      <c r="M10036" t="s">
        <v>39985</v>
      </c>
      <c r="N10036" t="s">
        <v>43166</v>
      </c>
      <c r="O10036" t="s">
        <v>43167</v>
      </c>
      <c r="P10036">
        <v>0</v>
      </c>
      <c r="Q10036">
        <v>0</v>
      </c>
      <c r="R10036" t="s">
        <v>43178</v>
      </c>
      <c r="S10036" t="s">
        <v>43522</v>
      </c>
      <c r="T10036" t="s">
        <v>44717</v>
      </c>
      <c r="U10036" t="s">
        <v>53246</v>
      </c>
      <c r="W10036" t="s">
        <v>39985</v>
      </c>
      <c r="X10036" t="s">
        <v>43179</v>
      </c>
    </row>
    <row r="10037" spans="1:24">
      <c r="A10037">
        <f>HYPERLINK("https://www.philgeps.gov.ph/GEPSNONPILOT/Tender/SplashBidNoticeAbstractUI.aspx?menuIndex=3&amp;refID=7069406&amp;Result=3","7069406")</f>
        <v>0</v>
      </c>
      <c r="B10037" t="s">
        <v>2870</v>
      </c>
      <c r="C10037" t="s">
        <v>12985</v>
      </c>
      <c r="D10037" t="s">
        <v>17466</v>
      </c>
      <c r="E10037" t="s">
        <v>20649</v>
      </c>
      <c r="F10037" t="s">
        <v>30052</v>
      </c>
      <c r="G10037" t="s">
        <v>30058</v>
      </c>
      <c r="H10037" t="s">
        <v>15498</v>
      </c>
      <c r="I10037" t="s">
        <v>3736</v>
      </c>
      <c r="J10037" t="s">
        <v>36335</v>
      </c>
      <c r="K10037" t="s">
        <v>39025</v>
      </c>
      <c r="M10037" t="s">
        <v>42418</v>
      </c>
      <c r="N10037" t="s">
        <v>43166</v>
      </c>
      <c r="O10037" t="s">
        <v>43167</v>
      </c>
      <c r="P10037">
        <v>0</v>
      </c>
      <c r="Q10037">
        <v>0</v>
      </c>
      <c r="R10037" t="s">
        <v>43178</v>
      </c>
      <c r="S10037" t="s">
        <v>43522</v>
      </c>
      <c r="T10037" t="s">
        <v>44806</v>
      </c>
      <c r="U10037" t="s">
        <v>53247</v>
      </c>
      <c r="W10037" t="s">
        <v>42418</v>
      </c>
      <c r="X10037" t="s">
        <v>43179</v>
      </c>
    </row>
    <row r="10038" spans="1:24">
      <c r="A10038">
        <f>HYPERLINK("https://www.philgeps.gov.ph/GEPSNONPILOT/Tender/SplashBidNoticeAbstractUI.aspx?menuIndex=3&amp;refID=7069600&amp;Result=3","7069600")</f>
        <v>0</v>
      </c>
      <c r="B10038" t="s">
        <v>910</v>
      </c>
      <c r="C10038" t="s">
        <v>12986</v>
      </c>
      <c r="E10038" t="s">
        <v>26092</v>
      </c>
      <c r="F10038" t="s">
        <v>30052</v>
      </c>
      <c r="G10038" t="s">
        <v>30058</v>
      </c>
      <c r="H10038" t="s">
        <v>30067</v>
      </c>
      <c r="I10038" t="s">
        <v>3693</v>
      </c>
      <c r="J10038" t="s">
        <v>36336</v>
      </c>
      <c r="K10038" t="s">
        <v>39057</v>
      </c>
      <c r="M10038" t="s">
        <v>41159</v>
      </c>
      <c r="N10038" t="s">
        <v>43166</v>
      </c>
      <c r="O10038" t="s">
        <v>43167</v>
      </c>
      <c r="P10038">
        <v>0</v>
      </c>
      <c r="Q10038">
        <v>1</v>
      </c>
      <c r="R10038" t="s">
        <v>43178</v>
      </c>
      <c r="S10038" t="s">
        <v>43522</v>
      </c>
      <c r="T10038" t="s">
        <v>45038</v>
      </c>
      <c r="U10038" t="s">
        <v>53248</v>
      </c>
      <c r="W10038" t="s">
        <v>41159</v>
      </c>
      <c r="X10038" t="s">
        <v>43179</v>
      </c>
    </row>
    <row r="10039" spans="1:24">
      <c r="A10039">
        <f>HYPERLINK("https://www.philgeps.gov.ph/GEPSNONPILOT/Tender/SplashBidNoticeAbstractUI.aspx?menuIndex=3&amp;refID=7069753&amp;Result=3","7069753")</f>
        <v>0</v>
      </c>
      <c r="B10039" t="s">
        <v>878</v>
      </c>
      <c r="C10039" t="s">
        <v>12987</v>
      </c>
      <c r="D10039" t="s">
        <v>17416</v>
      </c>
      <c r="E10039" t="s">
        <v>26093</v>
      </c>
      <c r="F10039" t="s">
        <v>30052</v>
      </c>
      <c r="G10039" t="s">
        <v>30058</v>
      </c>
      <c r="H10039" t="s">
        <v>30067</v>
      </c>
      <c r="I10039" t="s">
        <v>3693</v>
      </c>
      <c r="J10039" t="s">
        <v>36337</v>
      </c>
      <c r="K10039" t="s">
        <v>39055</v>
      </c>
      <c r="M10039" t="s">
        <v>40197</v>
      </c>
      <c r="N10039" t="s">
        <v>43166</v>
      </c>
      <c r="O10039" t="s">
        <v>43167</v>
      </c>
      <c r="P10039">
        <v>0</v>
      </c>
      <c r="Q10039">
        <v>0</v>
      </c>
      <c r="R10039" t="s">
        <v>43178</v>
      </c>
      <c r="S10039" t="s">
        <v>43522</v>
      </c>
      <c r="T10039" t="s">
        <v>44730</v>
      </c>
      <c r="U10039" t="s">
        <v>53249</v>
      </c>
      <c r="W10039" t="s">
        <v>40197</v>
      </c>
      <c r="X10039" t="s">
        <v>43179</v>
      </c>
    </row>
    <row r="10040" spans="1:24">
      <c r="A10040">
        <f>HYPERLINK("https://www.philgeps.gov.ph/GEPSNONPILOT/Tender/SplashBidNoticeAbstractUI.aspx?menuIndex=3&amp;refID=7069598&amp;Result=3","7069598")</f>
        <v>0</v>
      </c>
      <c r="B10040" t="s">
        <v>216</v>
      </c>
      <c r="C10040" t="s">
        <v>12988</v>
      </c>
      <c r="D10040" t="s">
        <v>17419</v>
      </c>
      <c r="E10040" t="s">
        <v>26094</v>
      </c>
      <c r="F10040" t="s">
        <v>30052</v>
      </c>
      <c r="G10040" t="s">
        <v>30058</v>
      </c>
      <c r="H10040" t="s">
        <v>15498</v>
      </c>
      <c r="I10040" t="s">
        <v>3736</v>
      </c>
      <c r="J10040" t="s">
        <v>30247</v>
      </c>
      <c r="K10040" t="s">
        <v>39029</v>
      </c>
      <c r="M10040" t="s">
        <v>39506</v>
      </c>
      <c r="N10040" t="s">
        <v>43166</v>
      </c>
      <c r="O10040" t="s">
        <v>43167</v>
      </c>
      <c r="P10040">
        <v>0</v>
      </c>
      <c r="Q10040">
        <v>3</v>
      </c>
      <c r="R10040" t="s">
        <v>43178</v>
      </c>
      <c r="S10040" t="s">
        <v>43522</v>
      </c>
      <c r="T10040" t="s">
        <v>44780</v>
      </c>
      <c r="U10040" t="s">
        <v>53250</v>
      </c>
      <c r="W10040" t="s">
        <v>39506</v>
      </c>
      <c r="X10040" t="s">
        <v>43179</v>
      </c>
    </row>
    <row r="10041" spans="1:24">
      <c r="A10041">
        <f>HYPERLINK("https://www.philgeps.gov.ph/GEPSNONPILOT/Tender/SplashBidNoticeAbstractUI.aspx?menuIndex=3&amp;refID=7069592&amp;Result=3","7069592")</f>
        <v>0</v>
      </c>
      <c r="B10041" t="s">
        <v>2891</v>
      </c>
      <c r="C10041" t="s">
        <v>12989</v>
      </c>
      <c r="D10041" t="s">
        <v>17466</v>
      </c>
      <c r="E10041" t="s">
        <v>26095</v>
      </c>
      <c r="F10041" t="s">
        <v>30052</v>
      </c>
      <c r="G10041" t="s">
        <v>30058</v>
      </c>
      <c r="H10041" t="s">
        <v>15498</v>
      </c>
      <c r="I10041" t="s">
        <v>7228</v>
      </c>
      <c r="J10041" t="s">
        <v>32954</v>
      </c>
      <c r="K10041" t="s">
        <v>39036</v>
      </c>
      <c r="M10041" t="s">
        <v>42443</v>
      </c>
      <c r="N10041" t="s">
        <v>43166</v>
      </c>
      <c r="O10041" t="s">
        <v>43167</v>
      </c>
      <c r="P10041">
        <v>0</v>
      </c>
      <c r="Q10041">
        <v>0</v>
      </c>
      <c r="R10041" t="s">
        <v>43178</v>
      </c>
      <c r="S10041" t="s">
        <v>43522</v>
      </c>
      <c r="T10041" t="s">
        <v>44763</v>
      </c>
      <c r="U10041" t="s">
        <v>53251</v>
      </c>
      <c r="W10041" t="s">
        <v>42443</v>
      </c>
      <c r="X10041" t="s">
        <v>43179</v>
      </c>
    </row>
    <row r="10042" spans="1:24">
      <c r="A10042">
        <f>HYPERLINK("https://www.philgeps.gov.ph/GEPSNONPILOT/Tender/SplashBidNoticeAbstractUI.aspx?menuIndex=3&amp;refID=7069752&amp;Result=3","7069752")</f>
        <v>0</v>
      </c>
      <c r="B10042" t="s">
        <v>2892</v>
      </c>
      <c r="C10042" t="s">
        <v>12990</v>
      </c>
      <c r="D10042" t="s">
        <v>17449</v>
      </c>
      <c r="E10042" t="s">
        <v>26096</v>
      </c>
      <c r="F10042" t="s">
        <v>30052</v>
      </c>
      <c r="G10042" t="s">
        <v>30058</v>
      </c>
      <c r="H10042" t="s">
        <v>30067</v>
      </c>
      <c r="I10042" t="s">
        <v>3693</v>
      </c>
      <c r="J10042" t="s">
        <v>30252</v>
      </c>
      <c r="K10042" t="s">
        <v>39046</v>
      </c>
      <c r="M10042" t="s">
        <v>42444</v>
      </c>
      <c r="N10042" t="s">
        <v>43166</v>
      </c>
      <c r="O10042" t="s">
        <v>43167</v>
      </c>
      <c r="P10042">
        <v>0</v>
      </c>
      <c r="Q10042">
        <v>1</v>
      </c>
      <c r="R10042" t="s">
        <v>43178</v>
      </c>
      <c r="S10042" t="s">
        <v>43522</v>
      </c>
      <c r="T10042" t="s">
        <v>44926</v>
      </c>
      <c r="U10042" t="s">
        <v>53252</v>
      </c>
      <c r="W10042" t="s">
        <v>42444</v>
      </c>
      <c r="X10042" t="s">
        <v>43179</v>
      </c>
    </row>
    <row r="10043" spans="1:24">
      <c r="A10043">
        <f>HYPERLINK("https://www.philgeps.gov.ph/GEPSNONPILOT/Tender/SplashBidNoticeAbstractUI.aspx?menuIndex=3&amp;refID=7069748&amp;Result=3","7069748")</f>
        <v>0</v>
      </c>
      <c r="B10043" t="s">
        <v>2889</v>
      </c>
      <c r="C10043" t="s">
        <v>12991</v>
      </c>
      <c r="D10043" t="s">
        <v>17479</v>
      </c>
      <c r="E10043" t="s">
        <v>19907</v>
      </c>
      <c r="F10043" t="s">
        <v>30052</v>
      </c>
      <c r="G10043" t="s">
        <v>30058</v>
      </c>
      <c r="H10043" t="s">
        <v>30067</v>
      </c>
      <c r="I10043" t="s">
        <v>3693</v>
      </c>
      <c r="J10043" t="s">
        <v>36338</v>
      </c>
      <c r="K10043" t="s">
        <v>39230</v>
      </c>
      <c r="M10043" t="s">
        <v>42440</v>
      </c>
      <c r="N10043" t="s">
        <v>43166</v>
      </c>
      <c r="O10043" t="s">
        <v>43167</v>
      </c>
      <c r="P10043">
        <v>0</v>
      </c>
      <c r="Q10043">
        <v>3</v>
      </c>
      <c r="R10043" t="s">
        <v>43178</v>
      </c>
      <c r="S10043" t="s">
        <v>43522</v>
      </c>
      <c r="T10043" t="s">
        <v>44796</v>
      </c>
      <c r="U10043" t="s">
        <v>53241</v>
      </c>
      <c r="W10043" t="s">
        <v>42440</v>
      </c>
      <c r="X10043" t="s">
        <v>43179</v>
      </c>
    </row>
    <row r="10044" spans="1:24">
      <c r="A10044">
        <f>HYPERLINK("https://www.philgeps.gov.ph/GEPSNONPILOT/Tender/SplashBidNoticeAbstractUI.aspx?menuIndex=3&amp;refID=7069573&amp;Result=3","7069573")</f>
        <v>0</v>
      </c>
      <c r="B10044" t="s">
        <v>2893</v>
      </c>
      <c r="C10044" t="s">
        <v>12992</v>
      </c>
      <c r="E10044" t="s">
        <v>26097</v>
      </c>
      <c r="F10044" t="s">
        <v>30052</v>
      </c>
      <c r="G10044" t="s">
        <v>30058</v>
      </c>
      <c r="H10044" t="s">
        <v>15498</v>
      </c>
      <c r="I10044" t="s">
        <v>3736</v>
      </c>
      <c r="J10044" t="s">
        <v>36339</v>
      </c>
      <c r="K10044" t="s">
        <v>39017</v>
      </c>
      <c r="M10044" t="s">
        <v>42445</v>
      </c>
      <c r="N10044" t="s">
        <v>43166</v>
      </c>
      <c r="O10044" t="s">
        <v>43167</v>
      </c>
      <c r="P10044">
        <v>0</v>
      </c>
      <c r="Q10044">
        <v>0</v>
      </c>
      <c r="R10044" t="s">
        <v>43178</v>
      </c>
      <c r="S10044" t="s">
        <v>43522</v>
      </c>
      <c r="T10044" t="s">
        <v>44856</v>
      </c>
      <c r="U10044" t="s">
        <v>53253</v>
      </c>
      <c r="W10044" t="s">
        <v>42445</v>
      </c>
      <c r="X10044" t="s">
        <v>43179</v>
      </c>
    </row>
    <row r="10045" spans="1:24">
      <c r="A10045">
        <f>HYPERLINK("https://www.philgeps.gov.ph/GEPSNONPILOT/Tender/SplashBidNoticeAbstractUI.aspx?menuIndex=3&amp;refID=7069576&amp;Result=3","7069576")</f>
        <v>0</v>
      </c>
      <c r="B10045" t="s">
        <v>910</v>
      </c>
      <c r="C10045" t="s">
        <v>12993</v>
      </c>
      <c r="E10045" t="s">
        <v>26098</v>
      </c>
      <c r="F10045" t="s">
        <v>30052</v>
      </c>
      <c r="G10045" t="s">
        <v>30058</v>
      </c>
      <c r="H10045" t="s">
        <v>30067</v>
      </c>
      <c r="I10045" t="s">
        <v>3693</v>
      </c>
      <c r="J10045" t="s">
        <v>36340</v>
      </c>
      <c r="K10045" t="s">
        <v>39057</v>
      </c>
      <c r="M10045" t="s">
        <v>41159</v>
      </c>
      <c r="N10045" t="s">
        <v>43166</v>
      </c>
      <c r="O10045" t="s">
        <v>43167</v>
      </c>
      <c r="P10045">
        <v>0</v>
      </c>
      <c r="Q10045">
        <v>0</v>
      </c>
      <c r="R10045" t="s">
        <v>43178</v>
      </c>
      <c r="S10045" t="s">
        <v>43522</v>
      </c>
      <c r="T10045" t="s">
        <v>45038</v>
      </c>
      <c r="U10045" t="s">
        <v>53254</v>
      </c>
      <c r="W10045" t="s">
        <v>41159</v>
      </c>
      <c r="X10045" t="s">
        <v>43179</v>
      </c>
    </row>
    <row r="10046" spans="1:24">
      <c r="A10046">
        <f>HYPERLINK("https://www.philgeps.gov.ph/GEPSNONPILOT/Tender/SplashBidNoticeAbstractUI.aspx?menuIndex=3&amp;refID=7069743&amp;Result=3","7069743")</f>
        <v>0</v>
      </c>
      <c r="B10046" t="s">
        <v>2894</v>
      </c>
      <c r="C10046" t="s">
        <v>12994</v>
      </c>
      <c r="D10046" t="s">
        <v>17435</v>
      </c>
      <c r="E10046" t="s">
        <v>20553</v>
      </c>
      <c r="F10046" t="s">
        <v>30052</v>
      </c>
      <c r="G10046" t="s">
        <v>30058</v>
      </c>
      <c r="H10046" t="s">
        <v>30067</v>
      </c>
      <c r="I10046" t="s">
        <v>3693</v>
      </c>
      <c r="J10046" t="s">
        <v>36341</v>
      </c>
      <c r="K10046" t="s">
        <v>39198</v>
      </c>
      <c r="M10046" t="s">
        <v>42446</v>
      </c>
      <c r="N10046" t="s">
        <v>43166</v>
      </c>
      <c r="O10046" t="s">
        <v>43167</v>
      </c>
      <c r="P10046">
        <v>0</v>
      </c>
      <c r="Q10046">
        <v>0</v>
      </c>
      <c r="R10046" t="s">
        <v>43178</v>
      </c>
      <c r="S10046" t="s">
        <v>43522</v>
      </c>
      <c r="T10046" t="s">
        <v>44983</v>
      </c>
      <c r="U10046" t="s">
        <v>53255</v>
      </c>
      <c r="W10046" t="s">
        <v>42446</v>
      </c>
      <c r="X10046" t="s">
        <v>43179</v>
      </c>
    </row>
    <row r="10047" spans="1:24">
      <c r="A10047">
        <f>HYPERLINK("https://www.philgeps.gov.ph/GEPSNONPILOT/Tender/SplashBidNoticeAbstractUI.aspx?menuIndex=3&amp;refID=7069733&amp;Result=3","7069733")</f>
        <v>0</v>
      </c>
      <c r="B10047" t="s">
        <v>2895</v>
      </c>
      <c r="C10047" t="s">
        <v>12995</v>
      </c>
      <c r="D10047" t="s">
        <v>17461</v>
      </c>
      <c r="E10047" t="s">
        <v>26099</v>
      </c>
      <c r="F10047" t="s">
        <v>30052</v>
      </c>
      <c r="G10047" t="s">
        <v>30058</v>
      </c>
      <c r="H10047" t="s">
        <v>15498</v>
      </c>
      <c r="I10047" t="s">
        <v>9238</v>
      </c>
      <c r="J10047" t="s">
        <v>36342</v>
      </c>
      <c r="K10047" t="s">
        <v>39031</v>
      </c>
      <c r="M10047" t="s">
        <v>42447</v>
      </c>
      <c r="N10047" t="s">
        <v>43166</v>
      </c>
      <c r="O10047" t="s">
        <v>43167</v>
      </c>
      <c r="Q10047">
        <v>35</v>
      </c>
      <c r="R10047" t="s">
        <v>43178</v>
      </c>
      <c r="S10047" t="s">
        <v>43383</v>
      </c>
      <c r="T10047" t="s">
        <v>44679</v>
      </c>
      <c r="U10047" t="s">
        <v>53256</v>
      </c>
      <c r="W10047" t="s">
        <v>58690</v>
      </c>
      <c r="X10047" t="s">
        <v>43179</v>
      </c>
    </row>
    <row r="10048" spans="1:24">
      <c r="A10048">
        <f>HYPERLINK("https://www.philgeps.gov.ph/GEPSNONPILOT/Tender/SplashBidNoticeAbstractUI.aspx?menuIndex=3&amp;refID=7069745&amp;Result=3","7069745")</f>
        <v>0</v>
      </c>
      <c r="B10048" t="s">
        <v>1607</v>
      </c>
      <c r="C10048" t="s">
        <v>12996</v>
      </c>
      <c r="E10048" t="s">
        <v>26100</v>
      </c>
      <c r="F10048" t="s">
        <v>30052</v>
      </c>
      <c r="G10048" t="s">
        <v>30058</v>
      </c>
      <c r="H10048" t="s">
        <v>15498</v>
      </c>
      <c r="I10048" t="s">
        <v>30088</v>
      </c>
      <c r="J10048" t="s">
        <v>30209</v>
      </c>
      <c r="K10048" t="s">
        <v>39025</v>
      </c>
      <c r="M10048" t="s">
        <v>42441</v>
      </c>
      <c r="N10048" t="s">
        <v>43166</v>
      </c>
      <c r="O10048" t="s">
        <v>43167</v>
      </c>
      <c r="Q10048">
        <v>10</v>
      </c>
      <c r="R10048" t="s">
        <v>43178</v>
      </c>
      <c r="S10048" t="s">
        <v>43550</v>
      </c>
      <c r="T10048" t="s">
        <v>44815</v>
      </c>
      <c r="U10048" t="s">
        <v>53242</v>
      </c>
      <c r="W10048" t="s">
        <v>42441</v>
      </c>
      <c r="X10048" t="s">
        <v>43179</v>
      </c>
    </row>
    <row r="10049" spans="1:24">
      <c r="A10049">
        <f>HYPERLINK("https://www.philgeps.gov.ph/GEPSNONPILOT/Tender/SplashBidNoticeAbstractUI.aspx?menuIndex=3&amp;refID=7069723&amp;Result=3","7069723")</f>
        <v>0</v>
      </c>
      <c r="B10049" t="s">
        <v>2870</v>
      </c>
      <c r="C10049" t="s">
        <v>12997</v>
      </c>
      <c r="D10049" t="s">
        <v>17466</v>
      </c>
      <c r="E10049" t="s">
        <v>26101</v>
      </c>
      <c r="F10049" t="s">
        <v>30052</v>
      </c>
      <c r="G10049" t="s">
        <v>30058</v>
      </c>
      <c r="H10049" t="s">
        <v>15498</v>
      </c>
      <c r="I10049" t="s">
        <v>30070</v>
      </c>
      <c r="J10049" t="s">
        <v>36343</v>
      </c>
      <c r="K10049" t="s">
        <v>39025</v>
      </c>
      <c r="M10049" t="s">
        <v>42418</v>
      </c>
      <c r="N10049" t="s">
        <v>43166</v>
      </c>
      <c r="O10049" t="s">
        <v>43167</v>
      </c>
      <c r="P10049">
        <v>0</v>
      </c>
      <c r="Q10049">
        <v>3</v>
      </c>
      <c r="R10049" t="s">
        <v>43178</v>
      </c>
      <c r="S10049" t="s">
        <v>43522</v>
      </c>
      <c r="T10049" t="s">
        <v>44806</v>
      </c>
      <c r="U10049" t="s">
        <v>53257</v>
      </c>
      <c r="W10049" t="s">
        <v>42418</v>
      </c>
      <c r="X10049" t="s">
        <v>43179</v>
      </c>
    </row>
    <row r="10050" spans="1:24">
      <c r="A10050">
        <f>HYPERLINK("https://www.philgeps.gov.ph/GEPSNONPILOT/Tender/SplashBidNoticeAbstractUI.aspx?menuIndex=3&amp;refID=7069739&amp;Result=3","7069739")</f>
        <v>0</v>
      </c>
      <c r="B10050" t="s">
        <v>910</v>
      </c>
      <c r="C10050" t="s">
        <v>12998</v>
      </c>
      <c r="E10050" t="s">
        <v>26102</v>
      </c>
      <c r="F10050" t="s">
        <v>30052</v>
      </c>
      <c r="G10050" t="s">
        <v>30058</v>
      </c>
      <c r="H10050" t="s">
        <v>30067</v>
      </c>
      <c r="I10050" t="s">
        <v>3693</v>
      </c>
      <c r="J10050" t="s">
        <v>30247</v>
      </c>
      <c r="K10050" t="s">
        <v>39022</v>
      </c>
      <c r="M10050" t="s">
        <v>41159</v>
      </c>
      <c r="N10050" t="s">
        <v>43166</v>
      </c>
      <c r="O10050" t="s">
        <v>43167</v>
      </c>
      <c r="P10050">
        <v>0</v>
      </c>
      <c r="Q10050">
        <v>0</v>
      </c>
      <c r="R10050" t="s">
        <v>43178</v>
      </c>
      <c r="S10050" t="s">
        <v>43522</v>
      </c>
      <c r="T10050" t="s">
        <v>45038</v>
      </c>
      <c r="U10050" t="s">
        <v>53258</v>
      </c>
      <c r="W10050" t="s">
        <v>41159</v>
      </c>
      <c r="X10050" t="s">
        <v>43179</v>
      </c>
    </row>
    <row r="10051" spans="1:24">
      <c r="A10051">
        <f>HYPERLINK("https://www.philgeps.gov.ph/GEPSNONPILOT/Tender/SplashBidNoticeAbstractUI.aspx?menuIndex=3&amp;refID=7069716&amp;Result=3","7069716")</f>
        <v>0</v>
      </c>
      <c r="B10051" t="s">
        <v>90</v>
      </c>
      <c r="C10051" t="s">
        <v>12999</v>
      </c>
      <c r="D10051" t="s">
        <v>17414</v>
      </c>
      <c r="E10051" t="s">
        <v>26103</v>
      </c>
      <c r="F10051" t="s">
        <v>30052</v>
      </c>
      <c r="G10051" t="s">
        <v>30058</v>
      </c>
      <c r="H10051" t="s">
        <v>15498</v>
      </c>
      <c r="I10051" t="s">
        <v>30097</v>
      </c>
      <c r="J10051" t="s">
        <v>36344</v>
      </c>
      <c r="K10051" t="s">
        <v>39029</v>
      </c>
      <c r="M10051" t="s">
        <v>42448</v>
      </c>
      <c r="N10051" t="s">
        <v>43166</v>
      </c>
      <c r="O10051" t="s">
        <v>43167</v>
      </c>
      <c r="P10051">
        <v>0</v>
      </c>
      <c r="Q10051">
        <v>10</v>
      </c>
      <c r="R10051" t="s">
        <v>43178</v>
      </c>
      <c r="S10051" t="s">
        <v>43522</v>
      </c>
      <c r="T10051" t="s">
        <v>45005</v>
      </c>
      <c r="U10051" t="s">
        <v>53259</v>
      </c>
      <c r="W10051" t="s">
        <v>42448</v>
      </c>
      <c r="X10051" t="s">
        <v>43179</v>
      </c>
    </row>
    <row r="10052" spans="1:24">
      <c r="A10052">
        <f>HYPERLINK("https://www.philgeps.gov.ph/GEPSNONPILOT/Tender/SplashBidNoticeAbstractUI.aspx?menuIndex=3&amp;refID=7069714&amp;Result=3","7069714")</f>
        <v>0</v>
      </c>
      <c r="B10052" t="s">
        <v>1716</v>
      </c>
      <c r="C10052" t="s">
        <v>13000</v>
      </c>
      <c r="D10052" t="s">
        <v>17435</v>
      </c>
      <c r="E10052" t="s">
        <v>20684</v>
      </c>
      <c r="F10052" t="s">
        <v>30052</v>
      </c>
      <c r="G10052" t="s">
        <v>30058</v>
      </c>
      <c r="H10052" t="s">
        <v>15498</v>
      </c>
      <c r="I10052" t="s">
        <v>4119</v>
      </c>
      <c r="J10052" t="s">
        <v>36345</v>
      </c>
      <c r="K10052" t="s">
        <v>39034</v>
      </c>
      <c r="M10052" t="s">
        <v>41131</v>
      </c>
      <c r="N10052" t="s">
        <v>43166</v>
      </c>
      <c r="O10052" t="s">
        <v>43167</v>
      </c>
      <c r="P10052">
        <v>0</v>
      </c>
      <c r="Q10052">
        <v>2</v>
      </c>
      <c r="R10052" t="s">
        <v>43178</v>
      </c>
      <c r="S10052" t="s">
        <v>43522</v>
      </c>
      <c r="T10052" t="s">
        <v>44763</v>
      </c>
      <c r="U10052" t="s">
        <v>53260</v>
      </c>
      <c r="W10052" t="s">
        <v>41131</v>
      </c>
      <c r="X10052" t="s">
        <v>43179</v>
      </c>
    </row>
    <row r="10053" spans="1:24">
      <c r="A10053">
        <f>HYPERLINK("https://www.philgeps.gov.ph/GEPSNONPILOT/Tender/SplashBidNoticeAbstractUI.aspx?menuIndex=3&amp;refID=7069700&amp;Result=3","7069700")</f>
        <v>0</v>
      </c>
      <c r="B10053" t="s">
        <v>910</v>
      </c>
      <c r="C10053" t="s">
        <v>13001</v>
      </c>
      <c r="D10053" t="s">
        <v>17427</v>
      </c>
      <c r="E10053" t="s">
        <v>26104</v>
      </c>
      <c r="F10053" t="s">
        <v>30052</v>
      </c>
      <c r="G10053" t="s">
        <v>30058</v>
      </c>
      <c r="H10053" t="s">
        <v>30067</v>
      </c>
      <c r="I10053" t="s">
        <v>3693</v>
      </c>
      <c r="J10053" t="s">
        <v>36346</v>
      </c>
      <c r="K10053" t="s">
        <v>39231</v>
      </c>
      <c r="M10053" t="s">
        <v>41159</v>
      </c>
      <c r="N10053" t="s">
        <v>43166</v>
      </c>
      <c r="O10053" t="s">
        <v>43167</v>
      </c>
      <c r="P10053">
        <v>0</v>
      </c>
      <c r="Q10053">
        <v>4</v>
      </c>
      <c r="R10053" t="s">
        <v>43178</v>
      </c>
      <c r="S10053" t="s">
        <v>43522</v>
      </c>
      <c r="T10053" t="s">
        <v>45038</v>
      </c>
      <c r="U10053" t="s">
        <v>53261</v>
      </c>
      <c r="W10053" t="s">
        <v>41159</v>
      </c>
      <c r="X10053" t="s">
        <v>43179</v>
      </c>
    </row>
    <row r="10054" spans="1:24">
      <c r="A10054">
        <f>HYPERLINK("https://www.philgeps.gov.ph/GEPSNONPILOT/Tender/SplashBidNoticeAbstractUI.aspx?menuIndex=3&amp;refID=7069607&amp;Result=3","7069607")</f>
        <v>0</v>
      </c>
      <c r="B10054" t="s">
        <v>2248</v>
      </c>
      <c r="C10054" t="s">
        <v>13002</v>
      </c>
      <c r="D10054" t="s">
        <v>17424</v>
      </c>
      <c r="E10054" t="s">
        <v>26105</v>
      </c>
      <c r="F10054" t="s">
        <v>30052</v>
      </c>
      <c r="G10054" t="s">
        <v>30058</v>
      </c>
      <c r="H10054" t="s">
        <v>30067</v>
      </c>
      <c r="I10054" t="s">
        <v>3693</v>
      </c>
      <c r="J10054" t="s">
        <v>36347</v>
      </c>
      <c r="K10054" t="s">
        <v>39135</v>
      </c>
      <c r="M10054" t="s">
        <v>41726</v>
      </c>
      <c r="N10054" t="s">
        <v>43166</v>
      </c>
      <c r="O10054" t="s">
        <v>43167</v>
      </c>
      <c r="Q10054">
        <v>24</v>
      </c>
      <c r="R10054" t="s">
        <v>43178</v>
      </c>
      <c r="S10054" t="s">
        <v>43551</v>
      </c>
      <c r="T10054" t="s">
        <v>44820</v>
      </c>
      <c r="U10054" t="s">
        <v>52828</v>
      </c>
      <c r="W10054" t="s">
        <v>41726</v>
      </c>
      <c r="X10054" t="s">
        <v>43179</v>
      </c>
    </row>
    <row r="10055" spans="1:24">
      <c r="A10055">
        <f>HYPERLINK("https://www.philgeps.gov.ph/GEPSNONPILOT/Tender/SplashBidNoticeAbstractUI.aspx?menuIndex=3&amp;refID=7069688&amp;Result=3","7069688")</f>
        <v>0</v>
      </c>
      <c r="B10055" t="s">
        <v>2123</v>
      </c>
      <c r="C10055" t="s">
        <v>13003</v>
      </c>
      <c r="D10055" t="s">
        <v>17414</v>
      </c>
      <c r="E10055" t="s">
        <v>26106</v>
      </c>
      <c r="F10055" t="s">
        <v>30052</v>
      </c>
      <c r="G10055" t="s">
        <v>30058</v>
      </c>
      <c r="H10055" t="s">
        <v>30067</v>
      </c>
      <c r="I10055" t="s">
        <v>3693</v>
      </c>
      <c r="J10055" t="s">
        <v>34923</v>
      </c>
      <c r="K10055" t="s">
        <v>39113</v>
      </c>
      <c r="L10055" t="s">
        <v>2123</v>
      </c>
      <c r="M10055" t="s">
        <v>41587</v>
      </c>
      <c r="N10055" t="s">
        <v>43166</v>
      </c>
      <c r="O10055" t="s">
        <v>43167</v>
      </c>
      <c r="P10055">
        <v>0</v>
      </c>
      <c r="Q10055">
        <v>2</v>
      </c>
      <c r="R10055" t="s">
        <v>43178</v>
      </c>
      <c r="S10055" t="s">
        <v>43522</v>
      </c>
      <c r="T10055" t="s">
        <v>44820</v>
      </c>
      <c r="U10055" t="s">
        <v>53262</v>
      </c>
      <c r="V10055" t="s">
        <v>57525</v>
      </c>
      <c r="W10055" t="s">
        <v>41587</v>
      </c>
      <c r="X10055" t="s">
        <v>43179</v>
      </c>
    </row>
    <row r="10056" spans="1:24">
      <c r="A10056">
        <f>HYPERLINK("https://www.philgeps.gov.ph/GEPSNONPILOT/Tender/SplashBidNoticeAbstractUI.aspx?menuIndex=3&amp;refID=7069719&amp;Result=3","7069719")</f>
        <v>0</v>
      </c>
      <c r="B10056" t="s">
        <v>910</v>
      </c>
      <c r="C10056" t="s">
        <v>13004</v>
      </c>
      <c r="E10056" t="s">
        <v>26107</v>
      </c>
      <c r="F10056" t="s">
        <v>30052</v>
      </c>
      <c r="G10056" t="s">
        <v>30058</v>
      </c>
      <c r="H10056" t="s">
        <v>30067</v>
      </c>
      <c r="I10056" t="s">
        <v>3693</v>
      </c>
      <c r="J10056" t="s">
        <v>36348</v>
      </c>
      <c r="K10056" t="s">
        <v>39224</v>
      </c>
      <c r="M10056" t="s">
        <v>41159</v>
      </c>
      <c r="N10056" t="s">
        <v>43166</v>
      </c>
      <c r="O10056" t="s">
        <v>43167</v>
      </c>
      <c r="P10056">
        <v>0</v>
      </c>
      <c r="Q10056">
        <v>0</v>
      </c>
      <c r="R10056" t="s">
        <v>43178</v>
      </c>
      <c r="S10056" t="s">
        <v>43522</v>
      </c>
      <c r="T10056" t="s">
        <v>45038</v>
      </c>
      <c r="U10056" t="s">
        <v>53263</v>
      </c>
      <c r="W10056" t="s">
        <v>41159</v>
      </c>
      <c r="X10056" t="s">
        <v>43179</v>
      </c>
    </row>
    <row r="10057" spans="1:24">
      <c r="A10057">
        <f>HYPERLINK("https://www.philgeps.gov.ph/GEPSNONPILOT/Tender/SplashBidNoticeAbstractUI.aspx?menuIndex=3&amp;refID=7069667&amp;Result=3","7069667")</f>
        <v>0</v>
      </c>
      <c r="B10057" t="s">
        <v>2894</v>
      </c>
      <c r="C10057" t="s">
        <v>13005</v>
      </c>
      <c r="D10057" t="s">
        <v>17435</v>
      </c>
      <c r="E10057" t="s">
        <v>21262</v>
      </c>
      <c r="F10057" t="s">
        <v>30052</v>
      </c>
      <c r="G10057" t="s">
        <v>30058</v>
      </c>
      <c r="H10057" t="s">
        <v>30067</v>
      </c>
      <c r="I10057" t="s">
        <v>3693</v>
      </c>
      <c r="J10057" t="s">
        <v>36349</v>
      </c>
      <c r="K10057" t="s">
        <v>39076</v>
      </c>
      <c r="M10057" t="s">
        <v>42446</v>
      </c>
      <c r="N10057" t="s">
        <v>43166</v>
      </c>
      <c r="O10057" t="s">
        <v>43167</v>
      </c>
      <c r="P10057">
        <v>0</v>
      </c>
      <c r="Q10057">
        <v>0</v>
      </c>
      <c r="R10057" t="s">
        <v>43178</v>
      </c>
      <c r="S10057" t="s">
        <v>43522</v>
      </c>
      <c r="T10057" t="s">
        <v>44820</v>
      </c>
      <c r="U10057" t="s">
        <v>53264</v>
      </c>
      <c r="W10057" t="s">
        <v>42446</v>
      </c>
      <c r="X10057" t="s">
        <v>43179</v>
      </c>
    </row>
    <row r="10058" spans="1:24">
      <c r="A10058">
        <f>HYPERLINK("https://www.philgeps.gov.ph/GEPSNONPILOT/Tender/SplashBidNoticeAbstractUI.aspx?menuIndex=3&amp;refID=7069751&amp;Result=3","7069751")</f>
        <v>0</v>
      </c>
      <c r="B10058" t="s">
        <v>910</v>
      </c>
      <c r="C10058" t="s">
        <v>13006</v>
      </c>
      <c r="E10058" t="s">
        <v>26108</v>
      </c>
      <c r="F10058" t="s">
        <v>30052</v>
      </c>
      <c r="G10058" t="s">
        <v>30058</v>
      </c>
      <c r="H10058" t="s">
        <v>30067</v>
      </c>
      <c r="I10058" t="s">
        <v>3693</v>
      </c>
      <c r="J10058" t="s">
        <v>36350</v>
      </c>
      <c r="K10058" t="s">
        <v>39020</v>
      </c>
      <c r="M10058" t="s">
        <v>41159</v>
      </c>
      <c r="N10058" t="s">
        <v>43166</v>
      </c>
      <c r="O10058" t="s">
        <v>43167</v>
      </c>
      <c r="P10058">
        <v>0</v>
      </c>
      <c r="Q10058">
        <v>0</v>
      </c>
      <c r="R10058" t="s">
        <v>43178</v>
      </c>
      <c r="S10058" t="s">
        <v>43522</v>
      </c>
      <c r="T10058" t="s">
        <v>45038</v>
      </c>
      <c r="U10058" t="s">
        <v>53265</v>
      </c>
      <c r="W10058" t="s">
        <v>41159</v>
      </c>
      <c r="X10058" t="s">
        <v>43179</v>
      </c>
    </row>
    <row r="10059" spans="1:24">
      <c r="A10059">
        <f>HYPERLINK("https://www.philgeps.gov.ph/GEPSNONPILOT/Tender/SplashBidNoticeAbstractUI.aspx?menuIndex=3&amp;refID=7069662&amp;Result=3","7069662")</f>
        <v>0</v>
      </c>
      <c r="B10059" t="s">
        <v>2248</v>
      </c>
      <c r="C10059" t="s">
        <v>13007</v>
      </c>
      <c r="D10059" t="s">
        <v>17424</v>
      </c>
      <c r="E10059" t="s">
        <v>26109</v>
      </c>
      <c r="F10059" t="s">
        <v>30052</v>
      </c>
      <c r="G10059" t="s">
        <v>30058</v>
      </c>
      <c r="H10059" t="s">
        <v>30067</v>
      </c>
      <c r="I10059" t="s">
        <v>3693</v>
      </c>
      <c r="J10059" t="s">
        <v>36351</v>
      </c>
      <c r="K10059" t="s">
        <v>39143</v>
      </c>
      <c r="M10059" t="s">
        <v>41726</v>
      </c>
      <c r="N10059" t="s">
        <v>43166</v>
      </c>
      <c r="O10059" t="s">
        <v>43167</v>
      </c>
      <c r="P10059">
        <v>0</v>
      </c>
      <c r="Q10059">
        <v>14</v>
      </c>
      <c r="R10059" t="s">
        <v>43178</v>
      </c>
      <c r="S10059" t="s">
        <v>43522</v>
      </c>
      <c r="T10059" t="s">
        <v>44764</v>
      </c>
      <c r="U10059" t="s">
        <v>52828</v>
      </c>
      <c r="W10059" t="s">
        <v>41726</v>
      </c>
      <c r="X10059" t="s">
        <v>43179</v>
      </c>
    </row>
    <row r="10060" spans="1:24">
      <c r="A10060">
        <f>HYPERLINK("https://www.philgeps.gov.ph/GEPSNONPILOT/Tender/SplashBidNoticeAbstractUI.aspx?menuIndex=3&amp;refID=7069568&amp;Result=3","7069568")</f>
        <v>0</v>
      </c>
      <c r="B10060" t="s">
        <v>1051</v>
      </c>
      <c r="C10060" t="s">
        <v>13008</v>
      </c>
      <c r="D10060" t="s">
        <v>17478</v>
      </c>
      <c r="E10060" t="s">
        <v>26110</v>
      </c>
      <c r="F10060" t="s">
        <v>30052</v>
      </c>
      <c r="G10060" t="s">
        <v>30058</v>
      </c>
      <c r="H10060" t="s">
        <v>15498</v>
      </c>
      <c r="I10060" t="s">
        <v>4650</v>
      </c>
      <c r="J10060" t="s">
        <v>31186</v>
      </c>
      <c r="K10060" t="s">
        <v>39019</v>
      </c>
      <c r="M10060" t="s">
        <v>40384</v>
      </c>
      <c r="N10060" t="s">
        <v>43166</v>
      </c>
      <c r="O10060" t="s">
        <v>43167</v>
      </c>
      <c r="P10060">
        <v>0</v>
      </c>
      <c r="Q10060">
        <v>2</v>
      </c>
      <c r="R10060" t="s">
        <v>43178</v>
      </c>
      <c r="S10060" t="s">
        <v>43522</v>
      </c>
      <c r="T10060" t="s">
        <v>44832</v>
      </c>
      <c r="U10060" t="s">
        <v>53266</v>
      </c>
      <c r="W10060" t="s">
        <v>40384</v>
      </c>
      <c r="X10060" t="s">
        <v>43179</v>
      </c>
    </row>
    <row r="10061" spans="1:24">
      <c r="A10061">
        <f>HYPERLINK("https://www.philgeps.gov.ph/GEPSNONPILOT/Tender/SplashBidNoticeAbstractUI.aspx?menuIndex=3&amp;refID=7069557&amp;Result=3","7069557")</f>
        <v>0</v>
      </c>
      <c r="B10061" t="s">
        <v>1251</v>
      </c>
      <c r="C10061" t="s">
        <v>13009</v>
      </c>
      <c r="D10061" t="s">
        <v>17463</v>
      </c>
      <c r="E10061" t="s">
        <v>26111</v>
      </c>
      <c r="F10061" t="s">
        <v>30052</v>
      </c>
      <c r="G10061" t="s">
        <v>30058</v>
      </c>
      <c r="H10061" t="s">
        <v>15498</v>
      </c>
      <c r="I10061" t="s">
        <v>3736</v>
      </c>
      <c r="J10061" t="s">
        <v>36352</v>
      </c>
      <c r="K10061" t="s">
        <v>39019</v>
      </c>
      <c r="M10061" t="s">
        <v>40607</v>
      </c>
      <c r="N10061" t="s">
        <v>43166</v>
      </c>
      <c r="O10061" t="s">
        <v>43167</v>
      </c>
      <c r="P10061">
        <v>0</v>
      </c>
      <c r="Q10061">
        <v>0</v>
      </c>
      <c r="R10061" t="s">
        <v>43178</v>
      </c>
      <c r="S10061" t="s">
        <v>43522</v>
      </c>
      <c r="T10061" t="s">
        <v>44716</v>
      </c>
      <c r="U10061" t="s">
        <v>53267</v>
      </c>
      <c r="W10061" t="s">
        <v>40956</v>
      </c>
      <c r="X10061" t="s">
        <v>43179</v>
      </c>
    </row>
    <row r="10062" spans="1:24">
      <c r="A10062">
        <f>HYPERLINK("https://www.philgeps.gov.ph/GEPSNONPILOT/Tender/SplashBidNoticeAbstractUI.aspx?menuIndex=3&amp;refID=7069674&amp;Result=3","7069674")</f>
        <v>0</v>
      </c>
      <c r="B10062" t="s">
        <v>2550</v>
      </c>
      <c r="C10062" t="s">
        <v>13010</v>
      </c>
      <c r="D10062" t="s">
        <v>17445</v>
      </c>
      <c r="E10062" t="s">
        <v>26112</v>
      </c>
      <c r="F10062" t="s">
        <v>30052</v>
      </c>
      <c r="G10062" t="s">
        <v>30058</v>
      </c>
      <c r="H10062" t="s">
        <v>15498</v>
      </c>
      <c r="I10062" t="s">
        <v>30135</v>
      </c>
      <c r="J10062" t="s">
        <v>36353</v>
      </c>
      <c r="K10062" t="s">
        <v>39031</v>
      </c>
      <c r="M10062" t="s">
        <v>42057</v>
      </c>
      <c r="N10062" t="s">
        <v>43166</v>
      </c>
      <c r="O10062" t="s">
        <v>43167</v>
      </c>
      <c r="P10062">
        <v>0</v>
      </c>
      <c r="Q10062">
        <v>7</v>
      </c>
      <c r="R10062" t="s">
        <v>43178</v>
      </c>
      <c r="S10062" t="s">
        <v>43522</v>
      </c>
      <c r="T10062" t="s">
        <v>45000</v>
      </c>
      <c r="U10062" t="s">
        <v>53268</v>
      </c>
      <c r="W10062" t="s">
        <v>42057</v>
      </c>
      <c r="X10062" t="s">
        <v>43179</v>
      </c>
    </row>
    <row r="10063" spans="1:24">
      <c r="A10063">
        <f>HYPERLINK("https://www.philgeps.gov.ph/GEPSNONPILOT/Tender/SplashBidNoticeAbstractUI.aspx?menuIndex=3&amp;refID=7069548&amp;Result=3","7069548")</f>
        <v>0</v>
      </c>
      <c r="B10063" t="s">
        <v>910</v>
      </c>
      <c r="C10063" t="s">
        <v>13011</v>
      </c>
      <c r="E10063" t="s">
        <v>26113</v>
      </c>
      <c r="F10063" t="s">
        <v>30052</v>
      </c>
      <c r="G10063" t="s">
        <v>30058</v>
      </c>
      <c r="H10063" t="s">
        <v>30067</v>
      </c>
      <c r="I10063" t="s">
        <v>3693</v>
      </c>
      <c r="J10063" t="s">
        <v>36354</v>
      </c>
      <c r="K10063" t="s">
        <v>39026</v>
      </c>
      <c r="M10063" t="s">
        <v>41159</v>
      </c>
      <c r="N10063" t="s">
        <v>43166</v>
      </c>
      <c r="O10063" t="s">
        <v>43167</v>
      </c>
      <c r="P10063">
        <v>0</v>
      </c>
      <c r="Q10063">
        <v>1</v>
      </c>
      <c r="R10063" t="s">
        <v>43178</v>
      </c>
      <c r="S10063" t="s">
        <v>43522</v>
      </c>
      <c r="T10063" t="s">
        <v>45038</v>
      </c>
      <c r="U10063" t="s">
        <v>53269</v>
      </c>
      <c r="W10063" t="s">
        <v>41159</v>
      </c>
      <c r="X10063" t="s">
        <v>43179</v>
      </c>
    </row>
    <row r="10064" spans="1:24">
      <c r="A10064">
        <f>HYPERLINK("https://www.philgeps.gov.ph/GEPSNONPILOT/Tender/SplashBidNoticeAbstractUI.aspx?menuIndex=3&amp;refID=7069488&amp;Result=3","7069488")</f>
        <v>0</v>
      </c>
      <c r="B10064" t="s">
        <v>2875</v>
      </c>
      <c r="C10064" t="s">
        <v>13012</v>
      </c>
      <c r="D10064" t="s">
        <v>17450</v>
      </c>
      <c r="E10064" t="s">
        <v>17843</v>
      </c>
      <c r="F10064" t="s">
        <v>30052</v>
      </c>
      <c r="G10064" t="s">
        <v>30058</v>
      </c>
      <c r="H10064" t="s">
        <v>30067</v>
      </c>
      <c r="I10064" t="s">
        <v>3693</v>
      </c>
      <c r="J10064" t="s">
        <v>30281</v>
      </c>
      <c r="K10064" t="s">
        <v>39022</v>
      </c>
      <c r="M10064" t="s">
        <v>42423</v>
      </c>
      <c r="N10064" t="s">
        <v>43166</v>
      </c>
      <c r="O10064" t="s">
        <v>43167</v>
      </c>
      <c r="P10064">
        <v>0</v>
      </c>
      <c r="Q10064">
        <v>0</v>
      </c>
      <c r="R10064" t="s">
        <v>43178</v>
      </c>
      <c r="S10064" t="s">
        <v>43522</v>
      </c>
      <c r="T10064" t="s">
        <v>44832</v>
      </c>
      <c r="U10064" t="s">
        <v>53270</v>
      </c>
      <c r="W10064" t="s">
        <v>42423</v>
      </c>
      <c r="X10064" t="s">
        <v>43179</v>
      </c>
    </row>
    <row r="10065" spans="1:24">
      <c r="A10065">
        <f>HYPERLINK("https://www.philgeps.gov.ph/GEPSNONPILOT/Tender/SplashBidNoticeAbstractUI.aspx?menuIndex=3&amp;refID=7069713&amp;Result=3","7069713")</f>
        <v>0</v>
      </c>
      <c r="B10065" t="s">
        <v>2889</v>
      </c>
      <c r="C10065" t="s">
        <v>13013</v>
      </c>
      <c r="D10065" t="s">
        <v>17459</v>
      </c>
      <c r="E10065" t="s">
        <v>19891</v>
      </c>
      <c r="F10065" t="s">
        <v>30052</v>
      </c>
      <c r="G10065" t="s">
        <v>30058</v>
      </c>
      <c r="H10065" t="s">
        <v>30067</v>
      </c>
      <c r="I10065" t="s">
        <v>3693</v>
      </c>
      <c r="J10065" t="s">
        <v>36355</v>
      </c>
      <c r="K10065" t="s">
        <v>39230</v>
      </c>
      <c r="M10065" t="s">
        <v>42440</v>
      </c>
      <c r="N10065" t="s">
        <v>43166</v>
      </c>
      <c r="O10065" t="s">
        <v>43167</v>
      </c>
      <c r="P10065">
        <v>0</v>
      </c>
      <c r="Q10065">
        <v>4</v>
      </c>
      <c r="R10065" t="s">
        <v>43178</v>
      </c>
      <c r="S10065" t="s">
        <v>43522</v>
      </c>
      <c r="T10065" t="s">
        <v>44796</v>
      </c>
      <c r="U10065" t="s">
        <v>53241</v>
      </c>
      <c r="W10065" t="s">
        <v>42440</v>
      </c>
      <c r="X10065" t="s">
        <v>43179</v>
      </c>
    </row>
    <row r="10066" spans="1:24">
      <c r="A10066">
        <f>HYPERLINK("https://www.philgeps.gov.ph/GEPSNONPILOT/Tender/SplashBidNoticeAbstractUI.aspx?menuIndex=3&amp;refID=7069473&amp;Result=3","7069473")</f>
        <v>0</v>
      </c>
      <c r="B10066" t="s">
        <v>1378</v>
      </c>
      <c r="C10066" t="s">
        <v>13014</v>
      </c>
      <c r="D10066" t="s">
        <v>17440</v>
      </c>
      <c r="E10066" t="s">
        <v>26114</v>
      </c>
      <c r="F10066" t="s">
        <v>30052</v>
      </c>
      <c r="G10066" t="s">
        <v>30058</v>
      </c>
      <c r="H10066" t="s">
        <v>15498</v>
      </c>
      <c r="I10066" t="s">
        <v>30171</v>
      </c>
      <c r="J10066" t="s">
        <v>36356</v>
      </c>
      <c r="K10066" t="s">
        <v>39031</v>
      </c>
      <c r="M10066" t="s">
        <v>40753</v>
      </c>
      <c r="N10066" t="s">
        <v>43166</v>
      </c>
      <c r="O10066" t="s">
        <v>43167</v>
      </c>
      <c r="P10066">
        <v>0</v>
      </c>
      <c r="Q10066">
        <v>14</v>
      </c>
      <c r="R10066" t="s">
        <v>43178</v>
      </c>
      <c r="S10066" t="s">
        <v>43522</v>
      </c>
      <c r="T10066" t="s">
        <v>44716</v>
      </c>
      <c r="U10066" t="s">
        <v>53271</v>
      </c>
      <c r="W10066" t="s">
        <v>40753</v>
      </c>
      <c r="X10066" t="s">
        <v>43179</v>
      </c>
    </row>
    <row r="10067" spans="1:24">
      <c r="A10067">
        <f>HYPERLINK("https://www.philgeps.gov.ph/GEPSNONPILOT/Tender/SplashBidNoticeAbstractUI.aspx?menuIndex=3&amp;refID=7069567&amp;Result=3","7069567")</f>
        <v>0</v>
      </c>
      <c r="B10067" t="s">
        <v>2248</v>
      </c>
      <c r="C10067" t="s">
        <v>13015</v>
      </c>
      <c r="D10067" t="s">
        <v>17424</v>
      </c>
      <c r="E10067" t="s">
        <v>26115</v>
      </c>
      <c r="F10067" t="s">
        <v>30052</v>
      </c>
      <c r="G10067" t="s">
        <v>30058</v>
      </c>
      <c r="H10067" t="s">
        <v>15498</v>
      </c>
      <c r="I10067" t="s">
        <v>3736</v>
      </c>
      <c r="J10067" t="s">
        <v>36357</v>
      </c>
      <c r="K10067" t="s">
        <v>39037</v>
      </c>
      <c r="M10067" t="s">
        <v>41726</v>
      </c>
      <c r="N10067" t="s">
        <v>43166</v>
      </c>
      <c r="O10067" t="s">
        <v>43167</v>
      </c>
      <c r="P10067">
        <v>0</v>
      </c>
      <c r="Q10067">
        <v>2</v>
      </c>
      <c r="R10067" t="s">
        <v>43178</v>
      </c>
      <c r="S10067" t="s">
        <v>43522</v>
      </c>
      <c r="T10067" t="s">
        <v>44764</v>
      </c>
      <c r="U10067" t="s">
        <v>53272</v>
      </c>
      <c r="W10067" t="s">
        <v>41726</v>
      </c>
      <c r="X10067" t="s">
        <v>43179</v>
      </c>
    </row>
    <row r="10068" spans="1:24">
      <c r="A10068">
        <f>HYPERLINK("https://www.philgeps.gov.ph/GEPSNONPILOT/Tender/SplashBidNoticeAbstractUI.aspx?menuIndex=3&amp;refID=7069556&amp;Result=3","7069556")</f>
        <v>0</v>
      </c>
      <c r="B10068" t="s">
        <v>2550</v>
      </c>
      <c r="C10068" t="s">
        <v>13016</v>
      </c>
      <c r="D10068" t="s">
        <v>17445</v>
      </c>
      <c r="E10068" t="s">
        <v>26116</v>
      </c>
      <c r="F10068" t="s">
        <v>30052</v>
      </c>
      <c r="G10068" t="s">
        <v>30058</v>
      </c>
      <c r="H10068" t="s">
        <v>15498</v>
      </c>
      <c r="I10068" t="s">
        <v>30135</v>
      </c>
      <c r="J10068" t="s">
        <v>36358</v>
      </c>
      <c r="K10068" t="s">
        <v>39031</v>
      </c>
      <c r="M10068" t="s">
        <v>42057</v>
      </c>
      <c r="N10068" t="s">
        <v>43166</v>
      </c>
      <c r="O10068" t="s">
        <v>43167</v>
      </c>
      <c r="P10068">
        <v>0</v>
      </c>
      <c r="Q10068">
        <v>4</v>
      </c>
      <c r="R10068" t="s">
        <v>43178</v>
      </c>
      <c r="S10068" t="s">
        <v>43522</v>
      </c>
      <c r="T10068" t="s">
        <v>45000</v>
      </c>
      <c r="U10068" t="s">
        <v>53273</v>
      </c>
      <c r="W10068" t="s">
        <v>42057</v>
      </c>
      <c r="X10068" t="s">
        <v>43179</v>
      </c>
    </row>
    <row r="10069" spans="1:24">
      <c r="A10069">
        <f>HYPERLINK("https://www.philgeps.gov.ph/GEPSNONPILOT/Tender/SplashBidNoticeAbstractUI.aspx?menuIndex=3&amp;refID=7069469&amp;Result=3","7069469")</f>
        <v>0</v>
      </c>
      <c r="B10069" t="s">
        <v>2870</v>
      </c>
      <c r="C10069" t="s">
        <v>13017</v>
      </c>
      <c r="D10069" t="s">
        <v>17466</v>
      </c>
      <c r="E10069" t="s">
        <v>26101</v>
      </c>
      <c r="F10069" t="s">
        <v>30052</v>
      </c>
      <c r="G10069" t="s">
        <v>30058</v>
      </c>
      <c r="H10069" t="s">
        <v>15498</v>
      </c>
      <c r="I10069" t="s">
        <v>3736</v>
      </c>
      <c r="J10069" t="s">
        <v>36359</v>
      </c>
      <c r="K10069" t="s">
        <v>39025</v>
      </c>
      <c r="M10069" t="s">
        <v>42418</v>
      </c>
      <c r="N10069" t="s">
        <v>43166</v>
      </c>
      <c r="O10069" t="s">
        <v>43167</v>
      </c>
      <c r="P10069">
        <v>0</v>
      </c>
      <c r="Q10069">
        <v>0</v>
      </c>
      <c r="R10069" t="s">
        <v>43178</v>
      </c>
      <c r="S10069" t="s">
        <v>43522</v>
      </c>
      <c r="T10069" t="s">
        <v>44806</v>
      </c>
      <c r="U10069" t="s">
        <v>53274</v>
      </c>
      <c r="W10069" t="s">
        <v>42418</v>
      </c>
      <c r="X10069" t="s">
        <v>43179</v>
      </c>
    </row>
    <row r="10070" spans="1:24">
      <c r="A10070">
        <f>HYPERLINK("https://www.philgeps.gov.ph/GEPSNONPILOT/Tender/SplashBidNoticeAbstractUI.aspx?menuIndex=3&amp;refID=7069885&amp;Result=3","7069885")</f>
        <v>0</v>
      </c>
      <c r="B10070" t="s">
        <v>2550</v>
      </c>
      <c r="C10070" t="s">
        <v>13018</v>
      </c>
      <c r="D10070" t="s">
        <v>17445</v>
      </c>
      <c r="E10070" t="s">
        <v>26117</v>
      </c>
      <c r="F10070" t="s">
        <v>30052</v>
      </c>
      <c r="G10070" t="s">
        <v>30058</v>
      </c>
      <c r="H10070" t="s">
        <v>15498</v>
      </c>
      <c r="I10070" t="s">
        <v>30135</v>
      </c>
      <c r="J10070" t="s">
        <v>36360</v>
      </c>
      <c r="K10070" t="s">
        <v>39031</v>
      </c>
      <c r="M10070" t="s">
        <v>42057</v>
      </c>
      <c r="N10070" t="s">
        <v>43166</v>
      </c>
      <c r="O10070" t="s">
        <v>43167</v>
      </c>
      <c r="P10070">
        <v>0</v>
      </c>
      <c r="Q10070">
        <v>4</v>
      </c>
      <c r="R10070" t="s">
        <v>43178</v>
      </c>
      <c r="S10070" t="s">
        <v>43522</v>
      </c>
      <c r="T10070" t="s">
        <v>45000</v>
      </c>
      <c r="U10070" t="s">
        <v>53275</v>
      </c>
      <c r="W10070" t="s">
        <v>42057</v>
      </c>
      <c r="X10070" t="s">
        <v>43179</v>
      </c>
    </row>
    <row r="10071" spans="1:24">
      <c r="A10071">
        <f>HYPERLINK("https://www.philgeps.gov.ph/GEPSNONPILOT/Tender/SplashBidNoticeAbstractUI.aspx?menuIndex=3&amp;refID=7069542&amp;Result=3","7069542")</f>
        <v>0</v>
      </c>
      <c r="B10071" t="s">
        <v>2248</v>
      </c>
      <c r="C10071" t="s">
        <v>13019</v>
      </c>
      <c r="D10071" t="s">
        <v>17424</v>
      </c>
      <c r="E10071" t="s">
        <v>26118</v>
      </c>
      <c r="F10071" t="s">
        <v>30052</v>
      </c>
      <c r="G10071" t="s">
        <v>30058</v>
      </c>
      <c r="H10071" t="s">
        <v>15498</v>
      </c>
      <c r="I10071" t="s">
        <v>3736</v>
      </c>
      <c r="J10071" t="s">
        <v>36361</v>
      </c>
      <c r="K10071" t="s">
        <v>39037</v>
      </c>
      <c r="M10071" t="s">
        <v>41726</v>
      </c>
      <c r="N10071" t="s">
        <v>43166</v>
      </c>
      <c r="O10071" t="s">
        <v>43167</v>
      </c>
      <c r="P10071">
        <v>0</v>
      </c>
      <c r="Q10071">
        <v>7</v>
      </c>
      <c r="R10071" t="s">
        <v>43178</v>
      </c>
      <c r="S10071" t="s">
        <v>43522</v>
      </c>
      <c r="T10071" t="s">
        <v>44764</v>
      </c>
      <c r="U10071" t="s">
        <v>53276</v>
      </c>
      <c r="W10071" t="s">
        <v>41726</v>
      </c>
      <c r="X10071" t="s">
        <v>43179</v>
      </c>
    </row>
    <row r="10072" spans="1:24">
      <c r="A10072">
        <f>HYPERLINK("https://www.philgeps.gov.ph/GEPSNONPILOT/Tender/SplashBidNoticeAbstractUI.aspx?menuIndex=3&amp;refID=7069878&amp;Result=3","7069878")</f>
        <v>0</v>
      </c>
      <c r="B10072" t="s">
        <v>1017</v>
      </c>
      <c r="C10072" t="s">
        <v>13020</v>
      </c>
      <c r="D10072" t="s">
        <v>17444</v>
      </c>
      <c r="E10072" t="s">
        <v>26119</v>
      </c>
      <c r="F10072" t="s">
        <v>30052</v>
      </c>
      <c r="G10072" t="s">
        <v>30058</v>
      </c>
      <c r="H10072" t="s">
        <v>15498</v>
      </c>
      <c r="I10072" t="s">
        <v>30074</v>
      </c>
      <c r="J10072" t="s">
        <v>36362</v>
      </c>
      <c r="K10072" t="s">
        <v>39029</v>
      </c>
      <c r="M10072" t="s">
        <v>40346</v>
      </c>
      <c r="N10072" t="s">
        <v>43166</v>
      </c>
      <c r="O10072" t="s">
        <v>43167</v>
      </c>
      <c r="P10072">
        <v>0</v>
      </c>
      <c r="Q10072">
        <v>4</v>
      </c>
      <c r="R10072" t="s">
        <v>43178</v>
      </c>
      <c r="S10072" t="s">
        <v>43522</v>
      </c>
      <c r="T10072" t="s">
        <v>44796</v>
      </c>
      <c r="U10072" t="s">
        <v>48912</v>
      </c>
      <c r="W10072" t="s">
        <v>40346</v>
      </c>
      <c r="X10072" t="s">
        <v>43179</v>
      </c>
    </row>
    <row r="10073" spans="1:24">
      <c r="A10073">
        <f>HYPERLINK("https://www.philgeps.gov.ph/GEPSNONPILOT/Tender/SplashBidNoticeAbstractUI.aspx?menuIndex=3&amp;refID=7069876&amp;Result=3","7069876")</f>
        <v>0</v>
      </c>
      <c r="B10073" t="s">
        <v>2430</v>
      </c>
      <c r="C10073" t="s">
        <v>13021</v>
      </c>
      <c r="D10073" t="s">
        <v>17415</v>
      </c>
      <c r="E10073" t="s">
        <v>24126</v>
      </c>
      <c r="F10073" t="s">
        <v>30052</v>
      </c>
      <c r="G10073" t="s">
        <v>30060</v>
      </c>
      <c r="H10073" t="s">
        <v>30069</v>
      </c>
      <c r="I10073" t="s">
        <v>30200</v>
      </c>
      <c r="J10073" t="s">
        <v>30722</v>
      </c>
      <c r="K10073" t="s">
        <v>39146</v>
      </c>
      <c r="M10073" t="s">
        <v>41927</v>
      </c>
      <c r="N10073" t="s">
        <v>43166</v>
      </c>
      <c r="O10073" t="s">
        <v>43167</v>
      </c>
      <c r="Q10073">
        <v>5</v>
      </c>
      <c r="R10073" t="s">
        <v>43178</v>
      </c>
      <c r="S10073" t="s">
        <v>43552</v>
      </c>
      <c r="T10073" t="s">
        <v>44699</v>
      </c>
      <c r="U10073" t="s">
        <v>53277</v>
      </c>
      <c r="W10073" t="s">
        <v>41927</v>
      </c>
      <c r="X10073" t="s">
        <v>43179</v>
      </c>
    </row>
    <row r="10074" spans="1:24">
      <c r="A10074">
        <f>HYPERLINK("https://www.philgeps.gov.ph/GEPSNONPILOT/Tender/SplashBidNoticeAbstractUI.aspx?menuIndex=3&amp;refID=7069735&amp;Result=3","7069735")</f>
        <v>0</v>
      </c>
      <c r="B10074" t="s">
        <v>720</v>
      </c>
      <c r="C10074" t="s">
        <v>13022</v>
      </c>
      <c r="E10074" t="s">
        <v>23539</v>
      </c>
      <c r="F10074" t="s">
        <v>30052</v>
      </c>
      <c r="G10074" t="s">
        <v>30058</v>
      </c>
      <c r="H10074" t="s">
        <v>30067</v>
      </c>
      <c r="I10074" t="s">
        <v>3736</v>
      </c>
      <c r="J10074" t="s">
        <v>36363</v>
      </c>
      <c r="K10074" t="s">
        <v>39025</v>
      </c>
      <c r="M10074" t="s">
        <v>40030</v>
      </c>
      <c r="N10074" t="s">
        <v>43166</v>
      </c>
      <c r="O10074" t="s">
        <v>43167</v>
      </c>
      <c r="P10074">
        <v>0</v>
      </c>
      <c r="Q10074">
        <v>0</v>
      </c>
      <c r="R10074" t="s">
        <v>43178</v>
      </c>
      <c r="S10074" t="s">
        <v>43522</v>
      </c>
      <c r="T10074" t="s">
        <v>44698</v>
      </c>
      <c r="U10074" t="s">
        <v>53278</v>
      </c>
      <c r="W10074" t="s">
        <v>40030</v>
      </c>
      <c r="X10074" t="s">
        <v>43179</v>
      </c>
    </row>
    <row r="10075" spans="1:24">
      <c r="A10075">
        <f>HYPERLINK("https://www.philgeps.gov.ph/GEPSNONPILOT/Tender/SplashBidNoticeAbstractUI.aspx?menuIndex=3&amp;refID=7069861&amp;Result=3","7069861")</f>
        <v>0</v>
      </c>
      <c r="B10075" t="s">
        <v>2550</v>
      </c>
      <c r="C10075" t="s">
        <v>13023</v>
      </c>
      <c r="D10075" t="s">
        <v>17445</v>
      </c>
      <c r="E10075" t="s">
        <v>26120</v>
      </c>
      <c r="F10075" t="s">
        <v>30052</v>
      </c>
      <c r="G10075" t="s">
        <v>30058</v>
      </c>
      <c r="H10075" t="s">
        <v>15498</v>
      </c>
      <c r="I10075" t="s">
        <v>30135</v>
      </c>
      <c r="J10075" t="s">
        <v>36364</v>
      </c>
      <c r="K10075" t="s">
        <v>39031</v>
      </c>
      <c r="M10075" t="s">
        <v>42057</v>
      </c>
      <c r="N10075" t="s">
        <v>43166</v>
      </c>
      <c r="O10075" t="s">
        <v>43167</v>
      </c>
      <c r="P10075">
        <v>0</v>
      </c>
      <c r="Q10075">
        <v>4</v>
      </c>
      <c r="R10075" t="s">
        <v>43178</v>
      </c>
      <c r="S10075" t="s">
        <v>43522</v>
      </c>
      <c r="T10075" t="s">
        <v>45000</v>
      </c>
      <c r="U10075" t="s">
        <v>53279</v>
      </c>
      <c r="W10075" t="s">
        <v>42057</v>
      </c>
      <c r="X10075" t="s">
        <v>43179</v>
      </c>
    </row>
    <row r="10076" spans="1:24">
      <c r="A10076">
        <f>HYPERLINK("https://www.philgeps.gov.ph/GEPSNONPILOT/Tender/SplashBidNoticeAbstractUI.aspx?menuIndex=3&amp;refID=7069671&amp;Result=3","7069671")</f>
        <v>0</v>
      </c>
      <c r="B10076" t="s">
        <v>2896</v>
      </c>
      <c r="C10076" t="s">
        <v>13024</v>
      </c>
      <c r="D10076" t="s">
        <v>17487</v>
      </c>
      <c r="E10076" t="s">
        <v>26121</v>
      </c>
      <c r="F10076" t="s">
        <v>30052</v>
      </c>
      <c r="G10076" t="s">
        <v>30058</v>
      </c>
      <c r="H10076" t="s">
        <v>15498</v>
      </c>
      <c r="I10076" t="s">
        <v>3736</v>
      </c>
      <c r="J10076" t="s">
        <v>36365</v>
      </c>
      <c r="K10076" t="s">
        <v>39029</v>
      </c>
      <c r="M10076" t="s">
        <v>42449</v>
      </c>
      <c r="N10076" t="s">
        <v>43166</v>
      </c>
      <c r="O10076" t="s">
        <v>43167</v>
      </c>
      <c r="P10076">
        <v>0</v>
      </c>
      <c r="Q10076">
        <v>0</v>
      </c>
      <c r="R10076" t="s">
        <v>43178</v>
      </c>
      <c r="S10076" t="s">
        <v>43522</v>
      </c>
      <c r="T10076" t="s">
        <v>44750</v>
      </c>
      <c r="U10076" t="s">
        <v>53280</v>
      </c>
      <c r="W10076" t="s">
        <v>42449</v>
      </c>
      <c r="X10076" t="s">
        <v>43179</v>
      </c>
    </row>
    <row r="10077" spans="1:24">
      <c r="A10077">
        <f>HYPERLINK("https://www.philgeps.gov.ph/GEPSNONPILOT/Tender/SplashBidNoticeAbstractUI.aspx?menuIndex=3&amp;refID=7069855&amp;Result=3","7069855")</f>
        <v>0</v>
      </c>
      <c r="B10077" t="s">
        <v>90</v>
      </c>
      <c r="C10077" t="s">
        <v>13025</v>
      </c>
      <c r="D10077" t="s">
        <v>17414</v>
      </c>
      <c r="E10077" t="s">
        <v>26122</v>
      </c>
      <c r="F10077" t="s">
        <v>30052</v>
      </c>
      <c r="G10077" t="s">
        <v>30058</v>
      </c>
      <c r="H10077" t="s">
        <v>15498</v>
      </c>
      <c r="I10077" t="s">
        <v>30097</v>
      </c>
      <c r="J10077" t="s">
        <v>36366</v>
      </c>
      <c r="K10077" t="s">
        <v>39046</v>
      </c>
      <c r="M10077" t="s">
        <v>42448</v>
      </c>
      <c r="N10077" t="s">
        <v>43166</v>
      </c>
      <c r="O10077" t="s">
        <v>43167</v>
      </c>
      <c r="P10077">
        <v>0</v>
      </c>
      <c r="Q10077">
        <v>10</v>
      </c>
      <c r="R10077" t="s">
        <v>43178</v>
      </c>
      <c r="S10077" t="s">
        <v>43522</v>
      </c>
      <c r="T10077" t="s">
        <v>45005</v>
      </c>
      <c r="U10077" t="s">
        <v>53281</v>
      </c>
      <c r="W10077" t="s">
        <v>42448</v>
      </c>
      <c r="X10077" t="s">
        <v>43179</v>
      </c>
    </row>
    <row r="10078" spans="1:24">
      <c r="A10078">
        <f>HYPERLINK("https://www.philgeps.gov.ph/GEPSNONPILOT/Tender/SplashBidNoticeAbstractUI.aspx?menuIndex=3&amp;refID=7069837&amp;Result=3","7069837")</f>
        <v>0</v>
      </c>
      <c r="B10078" t="s">
        <v>2870</v>
      </c>
      <c r="C10078" t="s">
        <v>13026</v>
      </c>
      <c r="D10078" t="s">
        <v>17466</v>
      </c>
      <c r="E10078" t="s">
        <v>26123</v>
      </c>
      <c r="F10078" t="s">
        <v>30052</v>
      </c>
      <c r="G10078" t="s">
        <v>30058</v>
      </c>
      <c r="H10078" t="s">
        <v>15498</v>
      </c>
      <c r="I10078" t="s">
        <v>6691</v>
      </c>
      <c r="J10078" t="s">
        <v>36367</v>
      </c>
      <c r="K10078" t="s">
        <v>39025</v>
      </c>
      <c r="M10078" t="s">
        <v>42418</v>
      </c>
      <c r="N10078" t="s">
        <v>43166</v>
      </c>
      <c r="O10078" t="s">
        <v>43167</v>
      </c>
      <c r="P10078">
        <v>0</v>
      </c>
      <c r="Q10078">
        <v>0</v>
      </c>
      <c r="R10078" t="s">
        <v>43178</v>
      </c>
      <c r="S10078" t="s">
        <v>43522</v>
      </c>
      <c r="T10078" t="s">
        <v>44806</v>
      </c>
      <c r="U10078" t="s">
        <v>53282</v>
      </c>
      <c r="W10078" t="s">
        <v>42418</v>
      </c>
      <c r="X10078" t="s">
        <v>43179</v>
      </c>
    </row>
    <row r="10079" spans="1:24">
      <c r="A10079">
        <f>HYPERLINK("https://www.philgeps.gov.ph/GEPSNONPILOT/Tender/SplashBidNoticeAbstractUI.aspx?menuIndex=3&amp;refID=7069836&amp;Result=3","7069836")</f>
        <v>0</v>
      </c>
      <c r="B10079" t="s">
        <v>2055</v>
      </c>
      <c r="C10079" t="s">
        <v>13027</v>
      </c>
      <c r="D10079" t="s">
        <v>17419</v>
      </c>
      <c r="E10079" t="s">
        <v>26124</v>
      </c>
      <c r="F10079" t="s">
        <v>30052</v>
      </c>
      <c r="G10079" t="s">
        <v>30058</v>
      </c>
      <c r="H10079" t="s">
        <v>15498</v>
      </c>
      <c r="I10079" t="s">
        <v>9238</v>
      </c>
      <c r="J10079" t="s">
        <v>36368</v>
      </c>
      <c r="K10079" t="s">
        <v>39025</v>
      </c>
      <c r="M10079" t="s">
        <v>42300</v>
      </c>
      <c r="N10079" t="s">
        <v>43166</v>
      </c>
      <c r="O10079" t="s">
        <v>43167</v>
      </c>
      <c r="P10079">
        <v>0</v>
      </c>
      <c r="Q10079">
        <v>9</v>
      </c>
      <c r="R10079" t="s">
        <v>43178</v>
      </c>
      <c r="S10079" t="s">
        <v>43522</v>
      </c>
      <c r="T10079" t="s">
        <v>45002</v>
      </c>
      <c r="U10079" t="s">
        <v>53283</v>
      </c>
      <c r="W10079" t="s">
        <v>42300</v>
      </c>
      <c r="X10079" t="s">
        <v>43179</v>
      </c>
    </row>
    <row r="10080" spans="1:24">
      <c r="A10080">
        <f>HYPERLINK("https://www.philgeps.gov.ph/GEPSNONPILOT/Tender/SplashBidNoticeAbstractUI.aspx?menuIndex=3&amp;refID=7069870&amp;Result=3","7069870")</f>
        <v>0</v>
      </c>
      <c r="B10080" t="s">
        <v>2892</v>
      </c>
      <c r="C10080" t="s">
        <v>13028</v>
      </c>
      <c r="D10080" t="s">
        <v>17449</v>
      </c>
      <c r="E10080" t="s">
        <v>26096</v>
      </c>
      <c r="F10080" t="s">
        <v>30052</v>
      </c>
      <c r="G10080" t="s">
        <v>30058</v>
      </c>
      <c r="H10080" t="s">
        <v>30067</v>
      </c>
      <c r="I10080" t="s">
        <v>3693</v>
      </c>
      <c r="J10080" t="s">
        <v>30252</v>
      </c>
      <c r="K10080" t="s">
        <v>39046</v>
      </c>
      <c r="M10080" t="s">
        <v>42444</v>
      </c>
      <c r="N10080" t="s">
        <v>43166</v>
      </c>
      <c r="O10080" t="s">
        <v>43167</v>
      </c>
      <c r="P10080">
        <v>0</v>
      </c>
      <c r="Q10080">
        <v>1</v>
      </c>
      <c r="R10080" t="s">
        <v>43178</v>
      </c>
      <c r="S10080" t="s">
        <v>43522</v>
      </c>
      <c r="T10080" t="s">
        <v>44926</v>
      </c>
      <c r="U10080" t="s">
        <v>53252</v>
      </c>
      <c r="W10080" t="s">
        <v>42444</v>
      </c>
      <c r="X10080" t="s">
        <v>43179</v>
      </c>
    </row>
    <row r="10081" spans="1:24">
      <c r="A10081">
        <f>HYPERLINK("https://www.philgeps.gov.ph/GEPSNONPILOT/Tender/SplashBidNoticeAbstractUI.aspx?menuIndex=3&amp;refID=7069816&amp;Result=3","7069816")</f>
        <v>0</v>
      </c>
      <c r="B10081" t="s">
        <v>2550</v>
      </c>
      <c r="C10081" t="s">
        <v>13029</v>
      </c>
      <c r="D10081" t="s">
        <v>17445</v>
      </c>
      <c r="E10081" t="s">
        <v>26125</v>
      </c>
      <c r="F10081" t="s">
        <v>30052</v>
      </c>
      <c r="G10081" t="s">
        <v>30058</v>
      </c>
      <c r="H10081" t="s">
        <v>15498</v>
      </c>
      <c r="I10081" t="s">
        <v>30135</v>
      </c>
      <c r="J10081" t="s">
        <v>36369</v>
      </c>
      <c r="K10081" t="s">
        <v>39031</v>
      </c>
      <c r="M10081" t="s">
        <v>42057</v>
      </c>
      <c r="N10081" t="s">
        <v>43166</v>
      </c>
      <c r="O10081" t="s">
        <v>43167</v>
      </c>
      <c r="P10081">
        <v>0</v>
      </c>
      <c r="Q10081">
        <v>4</v>
      </c>
      <c r="R10081" t="s">
        <v>43178</v>
      </c>
      <c r="S10081" t="s">
        <v>43522</v>
      </c>
      <c r="T10081" t="s">
        <v>45000</v>
      </c>
      <c r="U10081" t="s">
        <v>53275</v>
      </c>
      <c r="W10081" t="s">
        <v>42057</v>
      </c>
      <c r="X10081" t="s">
        <v>43179</v>
      </c>
    </row>
    <row r="10082" spans="1:24">
      <c r="A10082">
        <f>HYPERLINK("https://www.philgeps.gov.ph/GEPSNONPILOT/Tender/SplashBidNoticeAbstractUI.aspx?menuIndex=3&amp;refID=7069803&amp;Result=3","7069803")</f>
        <v>0</v>
      </c>
      <c r="B10082" t="s">
        <v>878</v>
      </c>
      <c r="C10082" t="s">
        <v>13030</v>
      </c>
      <c r="D10082" t="s">
        <v>17416</v>
      </c>
      <c r="E10082" t="s">
        <v>19172</v>
      </c>
      <c r="F10082" t="s">
        <v>30052</v>
      </c>
      <c r="G10082" t="s">
        <v>30058</v>
      </c>
      <c r="H10082" t="s">
        <v>15498</v>
      </c>
      <c r="I10082" t="s">
        <v>3852</v>
      </c>
      <c r="J10082" t="s">
        <v>30397</v>
      </c>
      <c r="K10082" t="s">
        <v>39029</v>
      </c>
      <c r="M10082" t="s">
        <v>40197</v>
      </c>
      <c r="N10082" t="s">
        <v>43166</v>
      </c>
      <c r="O10082" t="s">
        <v>43167</v>
      </c>
      <c r="Q10082">
        <v>1</v>
      </c>
      <c r="R10082" t="s">
        <v>43178</v>
      </c>
      <c r="S10082" t="s">
        <v>43553</v>
      </c>
      <c r="T10082" t="s">
        <v>44730</v>
      </c>
      <c r="U10082" t="s">
        <v>53284</v>
      </c>
      <c r="W10082" t="s">
        <v>40197</v>
      </c>
      <c r="X10082" t="s">
        <v>43179</v>
      </c>
    </row>
    <row r="10083" spans="1:24">
      <c r="A10083">
        <f>HYPERLINK("https://www.philgeps.gov.ph/GEPSNONPILOT/Tender/SplashBidNoticeAbstractUI.aspx?menuIndex=3&amp;refID=7069824&amp;Result=3","7069824")</f>
        <v>0</v>
      </c>
      <c r="B10083" t="s">
        <v>2892</v>
      </c>
      <c r="C10083" t="s">
        <v>13031</v>
      </c>
      <c r="D10083" t="s">
        <v>17449</v>
      </c>
      <c r="E10083" t="s">
        <v>26096</v>
      </c>
      <c r="F10083" t="s">
        <v>30052</v>
      </c>
      <c r="G10083" t="s">
        <v>30058</v>
      </c>
      <c r="H10083" t="s">
        <v>30067</v>
      </c>
      <c r="I10083" t="s">
        <v>3693</v>
      </c>
      <c r="J10083" t="s">
        <v>30252</v>
      </c>
      <c r="K10083" t="s">
        <v>39046</v>
      </c>
      <c r="M10083" t="s">
        <v>42444</v>
      </c>
      <c r="N10083" t="s">
        <v>43166</v>
      </c>
      <c r="O10083" t="s">
        <v>43167</v>
      </c>
      <c r="P10083">
        <v>0</v>
      </c>
      <c r="Q10083">
        <v>1</v>
      </c>
      <c r="R10083" t="s">
        <v>43178</v>
      </c>
      <c r="S10083" t="s">
        <v>43522</v>
      </c>
      <c r="T10083" t="s">
        <v>44926</v>
      </c>
      <c r="U10083" t="s">
        <v>53252</v>
      </c>
      <c r="W10083" t="s">
        <v>42444</v>
      </c>
      <c r="X10083" t="s">
        <v>43179</v>
      </c>
    </row>
    <row r="10084" spans="1:24">
      <c r="A10084">
        <f>HYPERLINK("https://www.philgeps.gov.ph/GEPSNONPILOT/Tender/SplashBidNoticeAbstractUI.aspx?menuIndex=3&amp;refID=7069797&amp;Result=3","7069797")</f>
        <v>0</v>
      </c>
      <c r="B10084" t="s">
        <v>2897</v>
      </c>
      <c r="C10084" t="s">
        <v>13032</v>
      </c>
      <c r="D10084" t="s">
        <v>17445</v>
      </c>
      <c r="E10084" t="s">
        <v>26126</v>
      </c>
      <c r="F10084" t="s">
        <v>30052</v>
      </c>
      <c r="G10084" t="s">
        <v>30063</v>
      </c>
      <c r="H10084" t="s">
        <v>30067</v>
      </c>
      <c r="I10084" t="s">
        <v>3693</v>
      </c>
      <c r="J10084" t="s">
        <v>33318</v>
      </c>
      <c r="K10084" t="s">
        <v>39029</v>
      </c>
      <c r="M10084" t="s">
        <v>42450</v>
      </c>
      <c r="N10084" t="s">
        <v>43166</v>
      </c>
      <c r="O10084" t="s">
        <v>43167</v>
      </c>
      <c r="Q10084">
        <v>1</v>
      </c>
      <c r="R10084" t="s">
        <v>43178</v>
      </c>
      <c r="S10084" t="s">
        <v>43554</v>
      </c>
      <c r="T10084" t="s">
        <v>44699</v>
      </c>
      <c r="U10084" t="s">
        <v>52508</v>
      </c>
      <c r="W10084" t="s">
        <v>42450</v>
      </c>
      <c r="X10084" t="s">
        <v>43179</v>
      </c>
    </row>
    <row r="10085" spans="1:24">
      <c r="A10085">
        <f>HYPERLINK("https://www.philgeps.gov.ph/GEPSNONPILOT/Tender/SplashBidNoticeAbstractUI.aspx?menuIndex=3&amp;refID=7069823&amp;Result=3","7069823")</f>
        <v>0</v>
      </c>
      <c r="B10085" t="s">
        <v>302</v>
      </c>
      <c r="C10085" t="s">
        <v>13033</v>
      </c>
      <c r="D10085" t="s">
        <v>17426</v>
      </c>
      <c r="E10085" t="s">
        <v>26127</v>
      </c>
      <c r="F10085" t="s">
        <v>30052</v>
      </c>
      <c r="G10085" t="s">
        <v>30058</v>
      </c>
      <c r="H10085" t="s">
        <v>30067</v>
      </c>
      <c r="I10085" t="s">
        <v>3693</v>
      </c>
      <c r="J10085" t="s">
        <v>36370</v>
      </c>
      <c r="K10085" t="s">
        <v>39191</v>
      </c>
      <c r="M10085" t="s">
        <v>39597</v>
      </c>
      <c r="N10085" t="s">
        <v>43166</v>
      </c>
      <c r="O10085" t="s">
        <v>43167</v>
      </c>
      <c r="P10085">
        <v>0</v>
      </c>
      <c r="Q10085">
        <v>4</v>
      </c>
      <c r="R10085" t="s">
        <v>43178</v>
      </c>
      <c r="S10085" t="s">
        <v>43522</v>
      </c>
      <c r="T10085" t="s">
        <v>44763</v>
      </c>
      <c r="U10085" t="s">
        <v>53285</v>
      </c>
      <c r="W10085" t="s">
        <v>39597</v>
      </c>
      <c r="X10085" t="s">
        <v>43179</v>
      </c>
    </row>
    <row r="10086" spans="1:24">
      <c r="A10086">
        <f>HYPERLINK("https://www.philgeps.gov.ph/GEPSNONPILOT/Tender/SplashBidNoticeAbstractUI.aspx?menuIndex=3&amp;refID=7069482&amp;Result=3","7069482")</f>
        <v>0</v>
      </c>
      <c r="B10086" t="s">
        <v>1763</v>
      </c>
      <c r="C10086" t="s">
        <v>13034</v>
      </c>
      <c r="D10086" t="s">
        <v>17460</v>
      </c>
      <c r="E10086" t="s">
        <v>26128</v>
      </c>
      <c r="F10086" t="s">
        <v>30052</v>
      </c>
      <c r="G10086" t="s">
        <v>30058</v>
      </c>
      <c r="H10086" t="s">
        <v>15498</v>
      </c>
      <c r="I10086" t="s">
        <v>30071</v>
      </c>
      <c r="J10086" t="s">
        <v>36371</v>
      </c>
      <c r="K10086" t="s">
        <v>39017</v>
      </c>
      <c r="M10086" t="s">
        <v>41183</v>
      </c>
      <c r="N10086" t="s">
        <v>43166</v>
      </c>
      <c r="O10086" t="s">
        <v>43167</v>
      </c>
      <c r="P10086">
        <v>0</v>
      </c>
      <c r="Q10086">
        <v>6</v>
      </c>
      <c r="R10086" t="s">
        <v>43178</v>
      </c>
      <c r="S10086" t="s">
        <v>43522</v>
      </c>
      <c r="T10086" t="s">
        <v>44873</v>
      </c>
      <c r="U10086" t="s">
        <v>53286</v>
      </c>
      <c r="W10086" t="s">
        <v>41183</v>
      </c>
      <c r="X10086" t="s">
        <v>43179</v>
      </c>
    </row>
    <row r="10087" spans="1:24">
      <c r="A10087">
        <f>HYPERLINK("https://www.philgeps.gov.ph/GEPSNONPILOT/Tender/SplashBidNoticeAbstractUI.aspx?menuIndex=3&amp;refID=7069777&amp;Result=3","7069777")</f>
        <v>0</v>
      </c>
      <c r="B10087" t="s">
        <v>910</v>
      </c>
      <c r="C10087" t="s">
        <v>13035</v>
      </c>
      <c r="E10087" t="s">
        <v>26129</v>
      </c>
      <c r="F10087" t="s">
        <v>30052</v>
      </c>
      <c r="G10087" t="s">
        <v>30058</v>
      </c>
      <c r="H10087" t="s">
        <v>30067</v>
      </c>
      <c r="I10087" t="s">
        <v>3693</v>
      </c>
      <c r="J10087" t="s">
        <v>31207</v>
      </c>
      <c r="K10087" t="s">
        <v>39119</v>
      </c>
      <c r="M10087" t="s">
        <v>41159</v>
      </c>
      <c r="N10087" t="s">
        <v>43166</v>
      </c>
      <c r="O10087" t="s">
        <v>43167</v>
      </c>
      <c r="P10087">
        <v>0</v>
      </c>
      <c r="Q10087">
        <v>0</v>
      </c>
      <c r="R10087" t="s">
        <v>43178</v>
      </c>
      <c r="S10087" t="s">
        <v>43522</v>
      </c>
      <c r="T10087" t="s">
        <v>45038</v>
      </c>
      <c r="U10087" t="s">
        <v>53287</v>
      </c>
      <c r="W10087" t="s">
        <v>41159</v>
      </c>
      <c r="X10087" t="s">
        <v>43179</v>
      </c>
    </row>
    <row r="10088" spans="1:24">
      <c r="A10088">
        <f>HYPERLINK("https://www.philgeps.gov.ph/GEPSNONPILOT/Tender/SplashBidNoticeAbstractUI.aspx?menuIndex=3&amp;refID=7069468&amp;Result=3","7069468")</f>
        <v>0</v>
      </c>
      <c r="B10088" t="s">
        <v>562</v>
      </c>
      <c r="C10088" t="s">
        <v>13036</v>
      </c>
      <c r="D10088" t="s">
        <v>17490</v>
      </c>
      <c r="E10088" t="s">
        <v>26130</v>
      </c>
      <c r="F10088" t="s">
        <v>30052</v>
      </c>
      <c r="G10088" t="s">
        <v>30058</v>
      </c>
      <c r="H10088" t="s">
        <v>30067</v>
      </c>
      <c r="I10088" t="s">
        <v>3693</v>
      </c>
      <c r="J10088" t="s">
        <v>36318</v>
      </c>
      <c r="K10088" t="s">
        <v>39019</v>
      </c>
      <c r="M10088" t="s">
        <v>39864</v>
      </c>
      <c r="N10088" t="s">
        <v>43166</v>
      </c>
      <c r="O10088" t="s">
        <v>43167</v>
      </c>
      <c r="P10088">
        <v>0</v>
      </c>
      <c r="Q10088">
        <v>0</v>
      </c>
      <c r="R10088" t="s">
        <v>43178</v>
      </c>
      <c r="S10088" t="s">
        <v>43522</v>
      </c>
      <c r="T10088" t="s">
        <v>44791</v>
      </c>
      <c r="U10088" t="s">
        <v>51442</v>
      </c>
      <c r="W10088" t="s">
        <v>39864</v>
      </c>
      <c r="X10088" t="s">
        <v>43179</v>
      </c>
    </row>
    <row r="10089" spans="1:24">
      <c r="A10089">
        <f>HYPERLINK("https://www.philgeps.gov.ph/GEPSNONPILOT/Tender/SplashBidNoticeAbstractUI.aspx?menuIndex=3&amp;refID=7069844&amp;Result=3","7069844")</f>
        <v>0</v>
      </c>
      <c r="B10089" t="s">
        <v>1464</v>
      </c>
      <c r="C10089" t="s">
        <v>13037</v>
      </c>
      <c r="D10089" t="s">
        <v>17415</v>
      </c>
      <c r="E10089" t="s">
        <v>26131</v>
      </c>
      <c r="F10089" t="s">
        <v>30052</v>
      </c>
      <c r="G10089" t="s">
        <v>30063</v>
      </c>
      <c r="H10089" t="s">
        <v>15498</v>
      </c>
      <c r="I10089" t="s">
        <v>30084</v>
      </c>
      <c r="J10089" t="s">
        <v>36372</v>
      </c>
      <c r="K10089" t="s">
        <v>39029</v>
      </c>
      <c r="M10089" t="s">
        <v>41710</v>
      </c>
      <c r="N10089" t="s">
        <v>43166</v>
      </c>
      <c r="O10089" t="s">
        <v>43167</v>
      </c>
      <c r="Q10089">
        <v>29</v>
      </c>
      <c r="R10089" t="s">
        <v>43178</v>
      </c>
      <c r="S10089" t="s">
        <v>43555</v>
      </c>
      <c r="T10089" t="s">
        <v>44716</v>
      </c>
      <c r="U10089" t="s">
        <v>51745</v>
      </c>
      <c r="W10089" t="s">
        <v>41710</v>
      </c>
      <c r="X10089" t="s">
        <v>43179</v>
      </c>
    </row>
    <row r="10090" spans="1:24">
      <c r="A10090">
        <f>HYPERLINK("https://www.philgeps.gov.ph/GEPSNONPILOT/Tender/SplashBidNoticeAbstractUI.aspx?menuIndex=3&amp;refID=7069462&amp;Result=3","7069462")</f>
        <v>0</v>
      </c>
      <c r="B10090" t="s">
        <v>270</v>
      </c>
      <c r="C10090" t="s">
        <v>13038</v>
      </c>
      <c r="D10090" t="s">
        <v>17431</v>
      </c>
      <c r="E10090" t="s">
        <v>26132</v>
      </c>
      <c r="F10090" t="s">
        <v>30052</v>
      </c>
      <c r="G10090" t="s">
        <v>30058</v>
      </c>
      <c r="H10090" t="s">
        <v>30067</v>
      </c>
      <c r="I10090" t="s">
        <v>3693</v>
      </c>
      <c r="J10090" t="s">
        <v>30247</v>
      </c>
      <c r="K10090" t="s">
        <v>39022</v>
      </c>
      <c r="M10090" t="s">
        <v>39563</v>
      </c>
      <c r="N10090" t="s">
        <v>43166</v>
      </c>
      <c r="O10090" t="s">
        <v>43167</v>
      </c>
      <c r="P10090">
        <v>0</v>
      </c>
      <c r="Q10090">
        <v>0</v>
      </c>
      <c r="R10090" t="s">
        <v>43178</v>
      </c>
      <c r="S10090" t="s">
        <v>43522</v>
      </c>
      <c r="T10090" t="s">
        <v>44758</v>
      </c>
      <c r="U10090" t="s">
        <v>53288</v>
      </c>
      <c r="W10090" t="s">
        <v>39563</v>
      </c>
      <c r="X10090" t="s">
        <v>43179</v>
      </c>
    </row>
    <row r="10091" spans="1:24">
      <c r="A10091">
        <f>HYPERLINK("https://www.philgeps.gov.ph/GEPSNONPILOT/Tender/SplashBidNoticeAbstractUI.aspx?menuIndex=3&amp;refID=7069890&amp;Result=3","7069890")</f>
        <v>0</v>
      </c>
      <c r="B10091" t="s">
        <v>1047</v>
      </c>
      <c r="C10091" t="s">
        <v>13039</v>
      </c>
      <c r="D10091" t="s">
        <v>17476</v>
      </c>
      <c r="E10091" t="s">
        <v>26133</v>
      </c>
      <c r="F10091" t="s">
        <v>30052</v>
      </c>
      <c r="G10091" t="s">
        <v>30058</v>
      </c>
      <c r="H10091" t="s">
        <v>15498</v>
      </c>
      <c r="I10091" t="s">
        <v>30081</v>
      </c>
      <c r="J10091" t="s">
        <v>31456</v>
      </c>
      <c r="K10091" t="s">
        <v>39034</v>
      </c>
      <c r="M10091" t="s">
        <v>40380</v>
      </c>
      <c r="N10091" t="s">
        <v>43166</v>
      </c>
      <c r="O10091" t="s">
        <v>43167</v>
      </c>
      <c r="P10091">
        <v>0</v>
      </c>
      <c r="Q10091">
        <v>0</v>
      </c>
      <c r="R10091" t="s">
        <v>43178</v>
      </c>
      <c r="S10091" t="s">
        <v>43522</v>
      </c>
      <c r="T10091" t="s">
        <v>44780</v>
      </c>
      <c r="U10091" t="s">
        <v>53289</v>
      </c>
      <c r="W10091" t="s">
        <v>58624</v>
      </c>
      <c r="X10091" t="s">
        <v>43179</v>
      </c>
    </row>
    <row r="10092" spans="1:24">
      <c r="A10092">
        <f>HYPERLINK("https://www.philgeps.gov.ph/GEPSNONPILOT/Tender/SplashBidNoticeAbstractUI.aspx?menuIndex=3&amp;refID=7069361&amp;Result=3","7069361")</f>
        <v>0</v>
      </c>
      <c r="B10092" t="s">
        <v>2898</v>
      </c>
      <c r="C10092" t="s">
        <v>13040</v>
      </c>
      <c r="D10092" t="s">
        <v>17461</v>
      </c>
      <c r="E10092" t="s">
        <v>26134</v>
      </c>
      <c r="F10092" t="s">
        <v>30052</v>
      </c>
      <c r="G10092" t="s">
        <v>30058</v>
      </c>
      <c r="H10092" t="s">
        <v>15498</v>
      </c>
      <c r="I10092" t="s">
        <v>30106</v>
      </c>
      <c r="J10092" t="s">
        <v>30556</v>
      </c>
      <c r="K10092" t="s">
        <v>39029</v>
      </c>
      <c r="M10092" t="s">
        <v>42451</v>
      </c>
      <c r="N10092" t="s">
        <v>43166</v>
      </c>
      <c r="O10092" t="s">
        <v>43167</v>
      </c>
      <c r="P10092">
        <v>0</v>
      </c>
      <c r="Q10092">
        <v>1</v>
      </c>
      <c r="R10092" t="s">
        <v>43178</v>
      </c>
      <c r="S10092" t="s">
        <v>43522</v>
      </c>
      <c r="T10092" t="s">
        <v>44705</v>
      </c>
      <c r="U10092" t="s">
        <v>53290</v>
      </c>
      <c r="W10092" t="s">
        <v>42451</v>
      </c>
      <c r="X10092" t="s">
        <v>43179</v>
      </c>
    </row>
    <row r="10093" spans="1:24">
      <c r="A10093">
        <f>HYPERLINK("https://www.philgeps.gov.ph/GEPSNONPILOT/Tender/SplashBidNoticeAbstractUI.aspx?menuIndex=3&amp;refID=7069159&amp;Result=3","7069159")</f>
        <v>0</v>
      </c>
      <c r="B10093" t="s">
        <v>2878</v>
      </c>
      <c r="C10093" t="s">
        <v>13041</v>
      </c>
      <c r="D10093" t="s">
        <v>17474</v>
      </c>
      <c r="E10093" t="s">
        <v>26135</v>
      </c>
      <c r="F10093" t="s">
        <v>30052</v>
      </c>
      <c r="G10093" t="s">
        <v>30059</v>
      </c>
      <c r="H10093" t="s">
        <v>15498</v>
      </c>
      <c r="I10093" t="s">
        <v>30164</v>
      </c>
      <c r="J10093" t="s">
        <v>30287</v>
      </c>
      <c r="K10093" t="s">
        <v>39029</v>
      </c>
      <c r="M10093" t="s">
        <v>42427</v>
      </c>
      <c r="N10093" t="s">
        <v>43166</v>
      </c>
      <c r="O10093" t="s">
        <v>43167</v>
      </c>
      <c r="P10093">
        <v>0</v>
      </c>
      <c r="Q10093">
        <v>4</v>
      </c>
      <c r="R10093" t="s">
        <v>43178</v>
      </c>
      <c r="S10093" t="s">
        <v>43522</v>
      </c>
      <c r="T10093" t="s">
        <v>44750</v>
      </c>
      <c r="U10093" t="s">
        <v>53291</v>
      </c>
      <c r="W10093" t="s">
        <v>42427</v>
      </c>
      <c r="X10093" t="s">
        <v>43179</v>
      </c>
    </row>
    <row r="10094" spans="1:24">
      <c r="A10094">
        <f>HYPERLINK("https://www.philgeps.gov.ph/GEPSNONPILOT/Tender/SplashBidNoticeAbstractUI.aspx?menuIndex=3&amp;refID=7069766&amp;Result=3","7069766")</f>
        <v>0</v>
      </c>
      <c r="B10094" t="s">
        <v>910</v>
      </c>
      <c r="C10094" t="s">
        <v>13042</v>
      </c>
      <c r="E10094" t="s">
        <v>26136</v>
      </c>
      <c r="F10094" t="s">
        <v>30052</v>
      </c>
      <c r="G10094" t="s">
        <v>30058</v>
      </c>
      <c r="H10094" t="s">
        <v>30067</v>
      </c>
      <c r="I10094" t="s">
        <v>3693</v>
      </c>
      <c r="J10094" t="s">
        <v>36373</v>
      </c>
      <c r="K10094" t="s">
        <v>39057</v>
      </c>
      <c r="M10094" t="s">
        <v>41159</v>
      </c>
      <c r="N10094" t="s">
        <v>43166</v>
      </c>
      <c r="O10094" t="s">
        <v>43167</v>
      </c>
      <c r="P10094">
        <v>0</v>
      </c>
      <c r="Q10094">
        <v>1</v>
      </c>
      <c r="R10094" t="s">
        <v>43178</v>
      </c>
      <c r="S10094" t="s">
        <v>43522</v>
      </c>
      <c r="T10094" t="s">
        <v>45038</v>
      </c>
      <c r="U10094" t="s">
        <v>53292</v>
      </c>
      <c r="W10094" t="s">
        <v>41159</v>
      </c>
      <c r="X10094" t="s">
        <v>43179</v>
      </c>
    </row>
    <row r="10095" spans="1:24">
      <c r="A10095">
        <f>HYPERLINK("https://www.philgeps.gov.ph/GEPSNONPILOT/Tender/SplashBidNoticeAbstractUI.aspx?menuIndex=3&amp;refID=7069354&amp;Result=3","7069354")</f>
        <v>0</v>
      </c>
      <c r="B10095" t="s">
        <v>2047</v>
      </c>
      <c r="C10095" t="s">
        <v>13043</v>
      </c>
      <c r="D10095" t="s">
        <v>17468</v>
      </c>
      <c r="E10095" t="s">
        <v>26137</v>
      </c>
      <c r="F10095" t="s">
        <v>30052</v>
      </c>
      <c r="G10095" t="s">
        <v>30058</v>
      </c>
      <c r="H10095" t="s">
        <v>30067</v>
      </c>
      <c r="I10095" t="s">
        <v>3693</v>
      </c>
      <c r="J10095" t="s">
        <v>36374</v>
      </c>
      <c r="K10095" t="s">
        <v>39104</v>
      </c>
      <c r="M10095" t="s">
        <v>41499</v>
      </c>
      <c r="N10095" t="s">
        <v>43166</v>
      </c>
      <c r="O10095" t="s">
        <v>43167</v>
      </c>
      <c r="P10095">
        <v>0</v>
      </c>
      <c r="Q10095">
        <v>1</v>
      </c>
      <c r="R10095" t="s">
        <v>43178</v>
      </c>
      <c r="S10095" t="s">
        <v>43522</v>
      </c>
      <c r="T10095" t="s">
        <v>44754</v>
      </c>
      <c r="U10095" t="s">
        <v>53293</v>
      </c>
      <c r="V10095" t="s">
        <v>57955</v>
      </c>
      <c r="W10095" t="s">
        <v>41499</v>
      </c>
      <c r="X10095" t="s">
        <v>43179</v>
      </c>
    </row>
    <row r="10096" spans="1:24">
      <c r="A10096">
        <f>HYPERLINK("https://www.philgeps.gov.ph/GEPSNONPILOT/Tender/SplashBidNoticeAbstractUI.aspx?menuIndex=3&amp;refID=7069758&amp;Result=3","7069758")</f>
        <v>0</v>
      </c>
      <c r="B10096" t="s">
        <v>2550</v>
      </c>
      <c r="C10096" t="s">
        <v>13044</v>
      </c>
      <c r="D10096" t="s">
        <v>17445</v>
      </c>
      <c r="E10096" t="s">
        <v>26138</v>
      </c>
      <c r="F10096" t="s">
        <v>30052</v>
      </c>
      <c r="G10096" t="s">
        <v>30058</v>
      </c>
      <c r="H10096" t="s">
        <v>15498</v>
      </c>
      <c r="I10096" t="s">
        <v>5961</v>
      </c>
      <c r="J10096" t="s">
        <v>36375</v>
      </c>
      <c r="K10096" t="s">
        <v>39031</v>
      </c>
      <c r="M10096" t="s">
        <v>42057</v>
      </c>
      <c r="N10096" t="s">
        <v>43166</v>
      </c>
      <c r="O10096" t="s">
        <v>43167</v>
      </c>
      <c r="P10096">
        <v>0</v>
      </c>
      <c r="Q10096">
        <v>5</v>
      </c>
      <c r="R10096" t="s">
        <v>43178</v>
      </c>
      <c r="S10096" t="s">
        <v>43522</v>
      </c>
      <c r="T10096" t="s">
        <v>45000</v>
      </c>
      <c r="U10096" t="s">
        <v>53294</v>
      </c>
      <c r="W10096" t="s">
        <v>42057</v>
      </c>
      <c r="X10096" t="s">
        <v>43179</v>
      </c>
    </row>
    <row r="10097" spans="1:24">
      <c r="A10097">
        <f>HYPERLINK("https://www.philgeps.gov.ph/GEPSNONPILOT/Tender/SplashBidNoticeAbstractUI.aspx?menuIndex=3&amp;refID=7069144&amp;Result=3","7069144")</f>
        <v>0</v>
      </c>
      <c r="B10097" t="s">
        <v>422</v>
      </c>
      <c r="C10097" t="s">
        <v>13045</v>
      </c>
      <c r="D10097" t="s">
        <v>17455</v>
      </c>
      <c r="E10097" t="s">
        <v>26139</v>
      </c>
      <c r="F10097" t="s">
        <v>30052</v>
      </c>
      <c r="G10097" t="s">
        <v>30058</v>
      </c>
      <c r="H10097" t="s">
        <v>30067</v>
      </c>
      <c r="I10097" t="s">
        <v>3693</v>
      </c>
      <c r="J10097" t="s">
        <v>36376</v>
      </c>
      <c r="K10097" t="s">
        <v>39057</v>
      </c>
      <c r="M10097" t="s">
        <v>42424</v>
      </c>
      <c r="N10097" t="s">
        <v>43166</v>
      </c>
      <c r="O10097" t="s">
        <v>43167</v>
      </c>
      <c r="P10097">
        <v>0</v>
      </c>
      <c r="Q10097">
        <v>8</v>
      </c>
      <c r="R10097" t="s">
        <v>43178</v>
      </c>
      <c r="S10097" t="s">
        <v>43522</v>
      </c>
      <c r="T10097" t="s">
        <v>45132</v>
      </c>
      <c r="U10097" t="s">
        <v>53295</v>
      </c>
      <c r="W10097" t="s">
        <v>42424</v>
      </c>
      <c r="X10097" t="s">
        <v>43179</v>
      </c>
    </row>
    <row r="10098" spans="1:24">
      <c r="A10098">
        <f>HYPERLINK("https://www.philgeps.gov.ph/GEPSNONPILOT/Tender/SplashBidNoticeAbstractUI.aspx?menuIndex=3&amp;refID=7069762&amp;Result=3","7069762")</f>
        <v>0</v>
      </c>
      <c r="B10098" t="s">
        <v>1092</v>
      </c>
      <c r="C10098" t="s">
        <v>13046</v>
      </c>
      <c r="D10098" t="s">
        <v>17428</v>
      </c>
      <c r="E10098" t="s">
        <v>26140</v>
      </c>
      <c r="F10098" t="s">
        <v>30052</v>
      </c>
      <c r="G10098" t="s">
        <v>30058</v>
      </c>
      <c r="H10098" t="s">
        <v>30067</v>
      </c>
      <c r="I10098" t="s">
        <v>3693</v>
      </c>
      <c r="J10098" t="s">
        <v>30281</v>
      </c>
      <c r="K10098" t="s">
        <v>39023</v>
      </c>
      <c r="M10098" t="s">
        <v>40430</v>
      </c>
      <c r="N10098" t="s">
        <v>43166</v>
      </c>
      <c r="O10098" t="s">
        <v>43167</v>
      </c>
      <c r="Q10098">
        <v>0</v>
      </c>
      <c r="R10098" t="s">
        <v>43178</v>
      </c>
      <c r="S10098" t="s">
        <v>43556</v>
      </c>
      <c r="T10098" t="s">
        <v>44750</v>
      </c>
      <c r="U10098" t="s">
        <v>53296</v>
      </c>
      <c r="W10098" t="s">
        <v>40430</v>
      </c>
      <c r="X10098" t="s">
        <v>43179</v>
      </c>
    </row>
    <row r="10099" spans="1:24">
      <c r="A10099">
        <f>HYPERLINK("https://www.philgeps.gov.ph/GEPSNONPILOT/Tender/SplashBidNoticeAbstractUI.aspx?menuIndex=3&amp;refID=7070005&amp;Result=3","7070005")</f>
        <v>0</v>
      </c>
      <c r="B10099" t="s">
        <v>1991</v>
      </c>
      <c r="C10099" t="s">
        <v>13047</v>
      </c>
      <c r="E10099" t="s">
        <v>26141</v>
      </c>
      <c r="F10099" t="s">
        <v>30052</v>
      </c>
      <c r="G10099" t="s">
        <v>30058</v>
      </c>
      <c r="H10099" t="s">
        <v>30068</v>
      </c>
      <c r="I10099" t="s">
        <v>30068</v>
      </c>
      <c r="J10099" t="s">
        <v>36377</v>
      </c>
      <c r="K10099" t="s">
        <v>39091</v>
      </c>
      <c r="M10099" t="s">
        <v>41433</v>
      </c>
      <c r="N10099" t="s">
        <v>43166</v>
      </c>
      <c r="O10099" t="s">
        <v>43167</v>
      </c>
      <c r="Q10099">
        <v>7</v>
      </c>
      <c r="R10099" t="s">
        <v>43178</v>
      </c>
      <c r="S10099" t="s">
        <v>43557</v>
      </c>
      <c r="T10099" t="s">
        <v>44844</v>
      </c>
      <c r="U10099" t="s">
        <v>53297</v>
      </c>
      <c r="W10099" t="s">
        <v>41433</v>
      </c>
      <c r="X10099" t="s">
        <v>43179</v>
      </c>
    </row>
    <row r="10100" spans="1:24">
      <c r="A10100">
        <f>HYPERLINK("https://www.philgeps.gov.ph/GEPSNONPILOT/Tender/SplashBidNoticeAbstractUI.aspx?menuIndex=3&amp;refID=7069145&amp;Result=3","7069145")</f>
        <v>0</v>
      </c>
      <c r="B10100" t="s">
        <v>271</v>
      </c>
      <c r="C10100" t="s">
        <v>13048</v>
      </c>
      <c r="D10100" t="s">
        <v>17461</v>
      </c>
      <c r="E10100" t="s">
        <v>26142</v>
      </c>
      <c r="F10100" t="s">
        <v>30052</v>
      </c>
      <c r="G10100" t="s">
        <v>30058</v>
      </c>
      <c r="H10100" t="s">
        <v>15498</v>
      </c>
      <c r="I10100" t="s">
        <v>9238</v>
      </c>
      <c r="J10100" t="s">
        <v>36378</v>
      </c>
      <c r="K10100" t="s">
        <v>39025</v>
      </c>
      <c r="M10100" t="s">
        <v>39565</v>
      </c>
      <c r="N10100" t="s">
        <v>43166</v>
      </c>
      <c r="O10100" t="s">
        <v>43167</v>
      </c>
      <c r="Q10100">
        <v>17</v>
      </c>
      <c r="R10100" t="s">
        <v>43178</v>
      </c>
      <c r="S10100" t="s">
        <v>43558</v>
      </c>
      <c r="T10100" t="s">
        <v>44791</v>
      </c>
      <c r="U10100" t="s">
        <v>53298</v>
      </c>
      <c r="W10100" t="s">
        <v>39565</v>
      </c>
      <c r="X10100" t="s">
        <v>43179</v>
      </c>
    </row>
    <row r="10101" spans="1:24">
      <c r="A10101">
        <f>HYPERLINK("https://www.philgeps.gov.ph/GEPSNONPILOT/Tender/SplashBidNoticeAbstractUI.aspx?menuIndex=3&amp;refID=7069789&amp;Result=3","7069789")</f>
        <v>0</v>
      </c>
      <c r="B10101" t="s">
        <v>910</v>
      </c>
      <c r="C10101" t="s">
        <v>13049</v>
      </c>
      <c r="E10101" t="s">
        <v>26143</v>
      </c>
      <c r="F10101" t="s">
        <v>30052</v>
      </c>
      <c r="G10101" t="s">
        <v>30058</v>
      </c>
      <c r="H10101" t="s">
        <v>30067</v>
      </c>
      <c r="I10101" t="s">
        <v>3693</v>
      </c>
      <c r="J10101" t="s">
        <v>36373</v>
      </c>
      <c r="K10101" t="s">
        <v>39057</v>
      </c>
      <c r="M10101" t="s">
        <v>41159</v>
      </c>
      <c r="N10101" t="s">
        <v>43166</v>
      </c>
      <c r="O10101" t="s">
        <v>43167</v>
      </c>
      <c r="P10101">
        <v>0</v>
      </c>
      <c r="Q10101">
        <v>1</v>
      </c>
      <c r="R10101" t="s">
        <v>43178</v>
      </c>
      <c r="S10101" t="s">
        <v>43522</v>
      </c>
      <c r="T10101" t="s">
        <v>45038</v>
      </c>
      <c r="U10101" t="s">
        <v>53299</v>
      </c>
      <c r="W10101" t="s">
        <v>41159</v>
      </c>
      <c r="X10101" t="s">
        <v>43179</v>
      </c>
    </row>
    <row r="10102" spans="1:24">
      <c r="A10102">
        <f>HYPERLINK("https://www.philgeps.gov.ph/GEPSNONPILOT/Tender/SplashBidNoticeAbstractUI.aspx?menuIndex=3&amp;refID=7069975&amp;Result=3","7069975")</f>
        <v>0</v>
      </c>
      <c r="B10102" t="s">
        <v>2899</v>
      </c>
      <c r="C10102" t="s">
        <v>12103</v>
      </c>
      <c r="D10102" t="s">
        <v>17458</v>
      </c>
      <c r="E10102" t="s">
        <v>20103</v>
      </c>
      <c r="F10102" t="s">
        <v>30052</v>
      </c>
      <c r="G10102" t="s">
        <v>30061</v>
      </c>
      <c r="H10102" t="s">
        <v>15498</v>
      </c>
      <c r="I10102" t="s">
        <v>3852</v>
      </c>
      <c r="J10102" t="s">
        <v>35765</v>
      </c>
      <c r="K10102" t="s">
        <v>39019</v>
      </c>
      <c r="M10102" t="s">
        <v>42452</v>
      </c>
      <c r="N10102" t="s">
        <v>43166</v>
      </c>
      <c r="O10102" t="s">
        <v>43167</v>
      </c>
      <c r="P10102">
        <v>0</v>
      </c>
      <c r="Q10102">
        <v>0</v>
      </c>
      <c r="R10102" t="s">
        <v>43178</v>
      </c>
      <c r="S10102" t="s">
        <v>43522</v>
      </c>
      <c r="T10102" t="s">
        <v>44757</v>
      </c>
      <c r="U10102" t="s">
        <v>52494</v>
      </c>
      <c r="W10102" t="s">
        <v>42452</v>
      </c>
      <c r="X10102" t="s">
        <v>43179</v>
      </c>
    </row>
    <row r="10103" spans="1:24">
      <c r="A10103">
        <f>HYPERLINK("https://www.philgeps.gov.ph/GEPSNONPILOT/Tender/SplashBidNoticeAbstractUI.aspx?menuIndex=3&amp;refID=7069136&amp;Result=3","7069136")</f>
        <v>0</v>
      </c>
      <c r="B10103" t="s">
        <v>2353</v>
      </c>
      <c r="C10103" t="s">
        <v>13050</v>
      </c>
      <c r="D10103" t="s">
        <v>17492</v>
      </c>
      <c r="E10103" t="s">
        <v>26144</v>
      </c>
      <c r="F10103" t="s">
        <v>30052</v>
      </c>
      <c r="G10103" t="s">
        <v>30058</v>
      </c>
      <c r="H10103" t="s">
        <v>30067</v>
      </c>
      <c r="I10103" t="s">
        <v>3693</v>
      </c>
      <c r="J10103" t="s">
        <v>34846</v>
      </c>
      <c r="K10103" t="s">
        <v>39111</v>
      </c>
      <c r="M10103" t="s">
        <v>41847</v>
      </c>
      <c r="N10103" t="s">
        <v>43166</v>
      </c>
      <c r="O10103" t="s">
        <v>43167</v>
      </c>
      <c r="P10103">
        <v>0</v>
      </c>
      <c r="Q10103">
        <v>0</v>
      </c>
      <c r="R10103" t="s">
        <v>43178</v>
      </c>
      <c r="S10103" t="s">
        <v>43522</v>
      </c>
      <c r="T10103" t="s">
        <v>44780</v>
      </c>
      <c r="U10103" t="s">
        <v>51321</v>
      </c>
      <c r="W10103" t="s">
        <v>41847</v>
      </c>
      <c r="X10103" t="s">
        <v>43179</v>
      </c>
    </row>
    <row r="10104" spans="1:24">
      <c r="A10104">
        <f>HYPERLINK("https://www.philgeps.gov.ph/GEPSNONPILOT/Tender/SplashBidNoticeAbstractUI.aspx?menuIndex=3&amp;refID=7069958&amp;Result=3","7069958")</f>
        <v>0</v>
      </c>
      <c r="B10104" t="s">
        <v>1429</v>
      </c>
      <c r="C10104" t="s">
        <v>13051</v>
      </c>
      <c r="D10104" t="s">
        <v>17432</v>
      </c>
      <c r="E10104" t="s">
        <v>26145</v>
      </c>
      <c r="F10104" t="s">
        <v>30052</v>
      </c>
      <c r="G10104" t="s">
        <v>30058</v>
      </c>
      <c r="H10104" t="s">
        <v>30067</v>
      </c>
      <c r="I10104" t="s">
        <v>3693</v>
      </c>
      <c r="J10104" t="s">
        <v>36379</v>
      </c>
      <c r="K10104" t="s">
        <v>39022</v>
      </c>
      <c r="M10104" t="s">
        <v>42453</v>
      </c>
      <c r="N10104" t="s">
        <v>43166</v>
      </c>
      <c r="O10104" t="s">
        <v>43167</v>
      </c>
      <c r="P10104">
        <v>0</v>
      </c>
      <c r="Q10104">
        <v>2</v>
      </c>
      <c r="R10104" t="s">
        <v>43178</v>
      </c>
      <c r="S10104" t="s">
        <v>43522</v>
      </c>
      <c r="T10104" t="s">
        <v>44741</v>
      </c>
      <c r="U10104" t="s">
        <v>53300</v>
      </c>
      <c r="W10104" t="s">
        <v>42453</v>
      </c>
      <c r="X10104" t="s">
        <v>43179</v>
      </c>
    </row>
    <row r="10105" spans="1:24">
      <c r="A10105">
        <f>HYPERLINK("https://www.philgeps.gov.ph/GEPSNONPILOT/Tender/SplashBidNoticeAbstractUI.aspx?menuIndex=3&amp;refID=7069953&amp;Result=3","7069953")</f>
        <v>0</v>
      </c>
      <c r="B10105" t="s">
        <v>2900</v>
      </c>
      <c r="C10105" t="s">
        <v>4860</v>
      </c>
      <c r="D10105" t="s">
        <v>17480</v>
      </c>
      <c r="E10105" t="s">
        <v>17883</v>
      </c>
      <c r="F10105" t="s">
        <v>30052</v>
      </c>
      <c r="G10105" t="s">
        <v>30058</v>
      </c>
      <c r="H10105" t="s">
        <v>15498</v>
      </c>
      <c r="I10105" t="s">
        <v>4119</v>
      </c>
      <c r="J10105" t="s">
        <v>30230</v>
      </c>
      <c r="K10105" t="s">
        <v>39017</v>
      </c>
      <c r="M10105" t="s">
        <v>42454</v>
      </c>
      <c r="N10105" t="s">
        <v>43166</v>
      </c>
      <c r="O10105" t="s">
        <v>43167</v>
      </c>
      <c r="P10105">
        <v>0</v>
      </c>
      <c r="Q10105">
        <v>6</v>
      </c>
      <c r="R10105" t="s">
        <v>43178</v>
      </c>
      <c r="S10105" t="s">
        <v>43522</v>
      </c>
      <c r="T10105" t="s">
        <v>44705</v>
      </c>
      <c r="U10105" t="s">
        <v>49738</v>
      </c>
      <c r="W10105" t="s">
        <v>42454</v>
      </c>
      <c r="X10105" t="s">
        <v>43179</v>
      </c>
    </row>
    <row r="10106" spans="1:24">
      <c r="A10106">
        <f>HYPERLINK("https://www.philgeps.gov.ph/GEPSNONPILOT/Tender/SplashBidNoticeAbstractUI.aspx?menuIndex=3&amp;refID=7069998&amp;Result=3","7069998")</f>
        <v>0</v>
      </c>
      <c r="B10106" t="s">
        <v>2599</v>
      </c>
      <c r="C10106" t="s">
        <v>13052</v>
      </c>
      <c r="D10106" t="s">
        <v>17415</v>
      </c>
      <c r="E10106" t="s">
        <v>26146</v>
      </c>
      <c r="F10106" t="s">
        <v>30052</v>
      </c>
      <c r="G10106" t="s">
        <v>30058</v>
      </c>
      <c r="H10106" t="s">
        <v>15498</v>
      </c>
      <c r="I10106" t="s">
        <v>3606</v>
      </c>
      <c r="J10106" t="s">
        <v>36380</v>
      </c>
      <c r="K10106" t="s">
        <v>39067</v>
      </c>
      <c r="M10106" t="s">
        <v>42110</v>
      </c>
      <c r="N10106" t="s">
        <v>43166</v>
      </c>
      <c r="O10106" t="s">
        <v>43167</v>
      </c>
      <c r="Q10106">
        <v>23</v>
      </c>
      <c r="R10106" t="s">
        <v>43178</v>
      </c>
      <c r="S10106" t="s">
        <v>43559</v>
      </c>
      <c r="T10106" t="s">
        <v>45028</v>
      </c>
      <c r="U10106" t="s">
        <v>53301</v>
      </c>
      <c r="W10106" t="s">
        <v>58680</v>
      </c>
      <c r="X10106" t="s">
        <v>43179</v>
      </c>
    </row>
    <row r="10107" spans="1:24">
      <c r="A10107">
        <f>HYPERLINK("https://www.philgeps.gov.ph/GEPSNONPILOT/Tender/SplashBidNoticeAbstractUI.aspx?menuIndex=3&amp;refID=7069942&amp;Result=3","7069942")</f>
        <v>0</v>
      </c>
      <c r="B10107" t="s">
        <v>2900</v>
      </c>
      <c r="C10107" t="s">
        <v>13053</v>
      </c>
      <c r="D10107" t="s">
        <v>17480</v>
      </c>
      <c r="E10107" t="s">
        <v>17838</v>
      </c>
      <c r="F10107" t="s">
        <v>30052</v>
      </c>
      <c r="G10107" t="s">
        <v>30058</v>
      </c>
      <c r="H10107" t="s">
        <v>15498</v>
      </c>
      <c r="I10107" t="s">
        <v>30109</v>
      </c>
      <c r="J10107" t="s">
        <v>30218</v>
      </c>
      <c r="K10107" t="s">
        <v>39017</v>
      </c>
      <c r="M10107" t="s">
        <v>42454</v>
      </c>
      <c r="N10107" t="s">
        <v>43166</v>
      </c>
      <c r="O10107" t="s">
        <v>43167</v>
      </c>
      <c r="P10107">
        <v>0</v>
      </c>
      <c r="Q10107">
        <v>3</v>
      </c>
      <c r="R10107" t="s">
        <v>43178</v>
      </c>
      <c r="S10107" t="s">
        <v>43522</v>
      </c>
      <c r="T10107" t="s">
        <v>44705</v>
      </c>
      <c r="U10107" t="s">
        <v>53302</v>
      </c>
      <c r="W10107" t="s">
        <v>42454</v>
      </c>
      <c r="X10107" t="s">
        <v>43179</v>
      </c>
    </row>
    <row r="10108" spans="1:24">
      <c r="A10108">
        <f>HYPERLINK("https://www.philgeps.gov.ph/GEPSNONPILOT/Tender/SplashBidNoticeAbstractUI.aspx?menuIndex=3&amp;refID=7069996&amp;Result=3","7069996")</f>
        <v>0</v>
      </c>
      <c r="B10108" t="s">
        <v>2901</v>
      </c>
      <c r="C10108" t="s">
        <v>13054</v>
      </c>
      <c r="D10108" t="s">
        <v>17445</v>
      </c>
      <c r="E10108" t="s">
        <v>18647</v>
      </c>
      <c r="F10108" t="s">
        <v>30052</v>
      </c>
      <c r="G10108" t="s">
        <v>30061</v>
      </c>
      <c r="H10108" t="s">
        <v>15498</v>
      </c>
      <c r="I10108" t="s">
        <v>30100</v>
      </c>
      <c r="J10108" t="s">
        <v>30248</v>
      </c>
      <c r="K10108" t="s">
        <v>39025</v>
      </c>
      <c r="M10108" t="s">
        <v>42455</v>
      </c>
      <c r="N10108" t="s">
        <v>43166</v>
      </c>
      <c r="O10108" t="s">
        <v>43167</v>
      </c>
      <c r="P10108">
        <v>0</v>
      </c>
      <c r="Q10108">
        <v>0</v>
      </c>
      <c r="R10108" t="s">
        <v>43178</v>
      </c>
      <c r="S10108" t="s">
        <v>43522</v>
      </c>
      <c r="T10108" t="s">
        <v>45133</v>
      </c>
      <c r="U10108" t="s">
        <v>53303</v>
      </c>
      <c r="W10108" t="s">
        <v>42455</v>
      </c>
      <c r="X10108" t="s">
        <v>43179</v>
      </c>
    </row>
    <row r="10109" spans="1:24">
      <c r="A10109">
        <f>HYPERLINK("https://www.philgeps.gov.ph/GEPSNONPILOT/Tender/SplashBidNoticeAbstractUI.aspx?menuIndex=3&amp;refID=7069940&amp;Result=3","7069940")</f>
        <v>0</v>
      </c>
      <c r="B10109" t="s">
        <v>1602</v>
      </c>
      <c r="C10109" t="s">
        <v>13055</v>
      </c>
      <c r="D10109" t="s">
        <v>17445</v>
      </c>
      <c r="E10109" t="s">
        <v>26147</v>
      </c>
      <c r="F10109" t="s">
        <v>30052</v>
      </c>
      <c r="G10109" t="s">
        <v>30058</v>
      </c>
      <c r="H10109" t="s">
        <v>15498</v>
      </c>
      <c r="I10109" t="s">
        <v>3736</v>
      </c>
      <c r="J10109" t="s">
        <v>36381</v>
      </c>
      <c r="K10109" t="s">
        <v>39025</v>
      </c>
      <c r="M10109" t="s">
        <v>41000</v>
      </c>
      <c r="N10109" t="s">
        <v>43166</v>
      </c>
      <c r="O10109" t="s">
        <v>43167</v>
      </c>
      <c r="P10109">
        <v>0</v>
      </c>
      <c r="Q10109">
        <v>0</v>
      </c>
      <c r="R10109" t="s">
        <v>43178</v>
      </c>
      <c r="S10109" t="s">
        <v>43522</v>
      </c>
      <c r="T10109" t="s">
        <v>44714</v>
      </c>
      <c r="U10109" t="s">
        <v>53304</v>
      </c>
      <c r="W10109" t="s">
        <v>41000</v>
      </c>
      <c r="X10109" t="s">
        <v>43179</v>
      </c>
    </row>
    <row r="10110" spans="1:24">
      <c r="A10110">
        <f>HYPERLINK("https://www.philgeps.gov.ph/GEPSNONPILOT/Tender/SplashBidNoticeAbstractUI.aspx?menuIndex=3&amp;refID=7069939&amp;Result=3","7069939")</f>
        <v>0</v>
      </c>
      <c r="B10110" t="s">
        <v>1464</v>
      </c>
      <c r="C10110" t="s">
        <v>13056</v>
      </c>
      <c r="D10110" t="s">
        <v>17415</v>
      </c>
      <c r="E10110" t="s">
        <v>26148</v>
      </c>
      <c r="F10110" t="s">
        <v>30052</v>
      </c>
      <c r="G10110" t="s">
        <v>30063</v>
      </c>
      <c r="H10110" t="s">
        <v>15498</v>
      </c>
      <c r="I10110" t="s">
        <v>3736</v>
      </c>
      <c r="J10110" t="s">
        <v>36382</v>
      </c>
      <c r="K10110" t="s">
        <v>39029</v>
      </c>
      <c r="M10110" t="s">
        <v>41710</v>
      </c>
      <c r="N10110" t="s">
        <v>43166</v>
      </c>
      <c r="O10110" t="s">
        <v>43167</v>
      </c>
      <c r="Q10110">
        <v>4</v>
      </c>
      <c r="R10110" t="s">
        <v>43178</v>
      </c>
      <c r="S10110" t="s">
        <v>43560</v>
      </c>
      <c r="T10110" t="s">
        <v>44758</v>
      </c>
      <c r="U10110" t="s">
        <v>51745</v>
      </c>
      <c r="W10110" t="s">
        <v>41710</v>
      </c>
      <c r="X10110" t="s">
        <v>43179</v>
      </c>
    </row>
    <row r="10111" spans="1:24">
      <c r="A10111">
        <f>HYPERLINK("https://www.philgeps.gov.ph/GEPSNONPILOT/Tender/SplashBidNoticeAbstractUI.aspx?menuIndex=3&amp;refID=7070010&amp;Result=3","7070010")</f>
        <v>0</v>
      </c>
      <c r="B10111" t="s">
        <v>1991</v>
      </c>
      <c r="C10111" t="s">
        <v>13057</v>
      </c>
      <c r="E10111" t="s">
        <v>26149</v>
      </c>
      <c r="F10111" t="s">
        <v>30052</v>
      </c>
      <c r="G10111" t="s">
        <v>30058</v>
      </c>
      <c r="H10111" t="s">
        <v>30068</v>
      </c>
      <c r="I10111" t="s">
        <v>30068</v>
      </c>
      <c r="J10111" t="s">
        <v>36383</v>
      </c>
      <c r="K10111" t="s">
        <v>39232</v>
      </c>
      <c r="M10111" t="s">
        <v>41433</v>
      </c>
      <c r="N10111" t="s">
        <v>43166</v>
      </c>
      <c r="O10111" t="s">
        <v>43167</v>
      </c>
      <c r="Q10111">
        <v>7</v>
      </c>
      <c r="R10111" t="s">
        <v>43178</v>
      </c>
      <c r="S10111" t="s">
        <v>43561</v>
      </c>
      <c r="T10111" t="s">
        <v>44844</v>
      </c>
      <c r="U10111" t="s">
        <v>53305</v>
      </c>
      <c r="W10111" t="s">
        <v>41433</v>
      </c>
      <c r="X10111" t="s">
        <v>43179</v>
      </c>
    </row>
    <row r="10112" spans="1:24">
      <c r="A10112">
        <f>HYPERLINK("https://www.philgeps.gov.ph/GEPSNONPILOT/Tender/SplashBidNoticeAbstractUI.aspx?menuIndex=3&amp;refID=7070058&amp;Result=3","7070058")</f>
        <v>0</v>
      </c>
      <c r="B10112" t="s">
        <v>1486</v>
      </c>
      <c r="C10112" t="s">
        <v>13058</v>
      </c>
      <c r="D10112" t="s">
        <v>17448</v>
      </c>
      <c r="E10112" t="s">
        <v>26150</v>
      </c>
      <c r="F10112" t="s">
        <v>30052</v>
      </c>
      <c r="G10112" t="s">
        <v>30058</v>
      </c>
      <c r="H10112" t="s">
        <v>30067</v>
      </c>
      <c r="I10112" t="s">
        <v>3693</v>
      </c>
      <c r="J10112" t="s">
        <v>35970</v>
      </c>
      <c r="K10112" t="s">
        <v>39215</v>
      </c>
      <c r="M10112" t="s">
        <v>40870</v>
      </c>
      <c r="N10112" t="s">
        <v>43166</v>
      </c>
      <c r="O10112" t="s">
        <v>43167</v>
      </c>
      <c r="P10112">
        <v>0</v>
      </c>
      <c r="Q10112">
        <v>12</v>
      </c>
      <c r="R10112" t="s">
        <v>43178</v>
      </c>
      <c r="S10112" t="s">
        <v>43522</v>
      </c>
      <c r="T10112" t="s">
        <v>44780</v>
      </c>
      <c r="U10112" t="s">
        <v>53306</v>
      </c>
      <c r="W10112" t="s">
        <v>40870</v>
      </c>
      <c r="X10112" t="s">
        <v>43179</v>
      </c>
    </row>
    <row r="10113" spans="1:24">
      <c r="A10113">
        <f>HYPERLINK("https://www.philgeps.gov.ph/GEPSNONPILOT/Tender/SplashBidNoticeAbstractUI.aspx?menuIndex=3&amp;refID=7069920&amp;Result=3","7069920")</f>
        <v>0</v>
      </c>
      <c r="B10113" t="s">
        <v>1017</v>
      </c>
      <c r="C10113" t="s">
        <v>13059</v>
      </c>
      <c r="D10113" t="s">
        <v>17444</v>
      </c>
      <c r="E10113" t="s">
        <v>26151</v>
      </c>
      <c r="F10113" t="s">
        <v>30052</v>
      </c>
      <c r="G10113" t="s">
        <v>30058</v>
      </c>
      <c r="H10113" t="s">
        <v>15498</v>
      </c>
      <c r="I10113" t="s">
        <v>30076</v>
      </c>
      <c r="J10113" t="s">
        <v>30410</v>
      </c>
      <c r="K10113" t="s">
        <v>39029</v>
      </c>
      <c r="M10113" t="s">
        <v>40346</v>
      </c>
      <c r="N10113" t="s">
        <v>43166</v>
      </c>
      <c r="O10113" t="s">
        <v>43167</v>
      </c>
      <c r="P10113">
        <v>0</v>
      </c>
      <c r="Q10113">
        <v>2</v>
      </c>
      <c r="R10113" t="s">
        <v>43178</v>
      </c>
      <c r="S10113" t="s">
        <v>43522</v>
      </c>
      <c r="T10113" t="s">
        <v>44844</v>
      </c>
      <c r="U10113" t="s">
        <v>48912</v>
      </c>
      <c r="W10113" t="s">
        <v>40346</v>
      </c>
      <c r="X10113" t="s">
        <v>43179</v>
      </c>
    </row>
    <row r="10114" spans="1:24">
      <c r="A10114">
        <f>HYPERLINK("https://www.philgeps.gov.ph/GEPSNONPILOT/Tender/SplashBidNoticeAbstractUI.aspx?menuIndex=3&amp;refID=7069914&amp;Result=3","7069914")</f>
        <v>0</v>
      </c>
      <c r="B10114" t="s">
        <v>2045</v>
      </c>
      <c r="C10114" t="s">
        <v>13060</v>
      </c>
      <c r="D10114" t="s">
        <v>17422</v>
      </c>
      <c r="E10114" t="s">
        <v>26152</v>
      </c>
      <c r="F10114" t="s">
        <v>30052</v>
      </c>
      <c r="G10114" t="s">
        <v>30058</v>
      </c>
      <c r="H10114" t="s">
        <v>30067</v>
      </c>
      <c r="I10114" t="s">
        <v>3693</v>
      </c>
      <c r="J10114" t="s">
        <v>35425</v>
      </c>
      <c r="K10114" t="s">
        <v>39233</v>
      </c>
      <c r="M10114" t="s">
        <v>41497</v>
      </c>
      <c r="N10114" t="s">
        <v>43166</v>
      </c>
      <c r="O10114" t="s">
        <v>43167</v>
      </c>
      <c r="P10114">
        <v>0</v>
      </c>
      <c r="Q10114">
        <v>0</v>
      </c>
      <c r="R10114" t="s">
        <v>43178</v>
      </c>
      <c r="S10114" t="s">
        <v>43522</v>
      </c>
      <c r="T10114" t="s">
        <v>44780</v>
      </c>
      <c r="U10114" t="s">
        <v>53307</v>
      </c>
      <c r="W10114" t="s">
        <v>41497</v>
      </c>
      <c r="X10114" t="s">
        <v>43179</v>
      </c>
    </row>
    <row r="10115" spans="1:24">
      <c r="A10115">
        <f>HYPERLINK("https://www.philgeps.gov.ph/GEPSNONPILOT/Tender/SplashBidNoticeAbstractUI.aspx?menuIndex=3&amp;refID=7069956&amp;Result=3","7069956")</f>
        <v>0</v>
      </c>
      <c r="B10115" t="s">
        <v>1602</v>
      </c>
      <c r="C10115" t="s">
        <v>13061</v>
      </c>
      <c r="D10115" t="s">
        <v>17445</v>
      </c>
      <c r="E10115" t="s">
        <v>26153</v>
      </c>
      <c r="F10115" t="s">
        <v>30052</v>
      </c>
      <c r="G10115" t="s">
        <v>30058</v>
      </c>
      <c r="H10115" t="s">
        <v>15498</v>
      </c>
      <c r="I10115" t="s">
        <v>3736</v>
      </c>
      <c r="J10115" t="s">
        <v>36384</v>
      </c>
      <c r="K10115" t="s">
        <v>39025</v>
      </c>
      <c r="M10115" t="s">
        <v>41000</v>
      </c>
      <c r="N10115" t="s">
        <v>43166</v>
      </c>
      <c r="O10115" t="s">
        <v>43167</v>
      </c>
      <c r="P10115">
        <v>0</v>
      </c>
      <c r="Q10115">
        <v>0</v>
      </c>
      <c r="R10115" t="s">
        <v>43178</v>
      </c>
      <c r="S10115" t="s">
        <v>43522</v>
      </c>
      <c r="T10115" t="s">
        <v>44714</v>
      </c>
      <c r="U10115" t="s">
        <v>53308</v>
      </c>
      <c r="W10115" t="s">
        <v>41000</v>
      </c>
      <c r="X10115" t="s">
        <v>43179</v>
      </c>
    </row>
    <row r="10116" spans="1:24">
      <c r="A10116">
        <f>HYPERLINK("https://www.philgeps.gov.ph/GEPSNONPILOT/Tender/SplashBidNoticeAbstractUI.aspx?menuIndex=3&amp;refID=7070067&amp;Result=3","7070067")</f>
        <v>0</v>
      </c>
      <c r="B10116" t="s">
        <v>509</v>
      </c>
      <c r="C10116" t="s">
        <v>13062</v>
      </c>
      <c r="D10116" t="s">
        <v>17415</v>
      </c>
      <c r="E10116" t="s">
        <v>26154</v>
      </c>
      <c r="F10116" t="s">
        <v>30052</v>
      </c>
      <c r="G10116" t="s">
        <v>30058</v>
      </c>
      <c r="H10116" t="s">
        <v>30067</v>
      </c>
      <c r="I10116" t="s">
        <v>3693</v>
      </c>
      <c r="J10116" t="s">
        <v>36385</v>
      </c>
      <c r="K10116" t="s">
        <v>39026</v>
      </c>
      <c r="M10116" t="s">
        <v>39810</v>
      </c>
      <c r="N10116" t="s">
        <v>43166</v>
      </c>
      <c r="O10116" t="s">
        <v>43167</v>
      </c>
      <c r="Q10116">
        <v>20</v>
      </c>
      <c r="R10116" t="s">
        <v>43178</v>
      </c>
      <c r="S10116" t="s">
        <v>43562</v>
      </c>
      <c r="T10116" t="s">
        <v>44750</v>
      </c>
      <c r="U10116" t="s">
        <v>50415</v>
      </c>
      <c r="W10116" t="s">
        <v>39810</v>
      </c>
      <c r="X10116" t="s">
        <v>43179</v>
      </c>
    </row>
    <row r="10117" spans="1:24">
      <c r="A10117">
        <f>HYPERLINK("https://www.philgeps.gov.ph/GEPSNONPILOT/Tender/SplashBidNoticeAbstractUI.aspx?menuIndex=3&amp;refID=7070064&amp;Result=3","7070064")</f>
        <v>0</v>
      </c>
      <c r="B10117" t="s">
        <v>2902</v>
      </c>
      <c r="C10117" t="s">
        <v>13063</v>
      </c>
      <c r="D10117" t="s">
        <v>17482</v>
      </c>
      <c r="E10117" t="s">
        <v>26155</v>
      </c>
      <c r="F10117" t="s">
        <v>30052</v>
      </c>
      <c r="G10117" t="s">
        <v>30058</v>
      </c>
      <c r="H10117" t="s">
        <v>30067</v>
      </c>
      <c r="I10117" t="s">
        <v>3693</v>
      </c>
      <c r="J10117" t="s">
        <v>36386</v>
      </c>
      <c r="K10117" t="s">
        <v>39093</v>
      </c>
      <c r="M10117" t="s">
        <v>42456</v>
      </c>
      <c r="N10117" t="s">
        <v>43166</v>
      </c>
      <c r="O10117" t="s">
        <v>43167</v>
      </c>
      <c r="P10117">
        <v>0</v>
      </c>
      <c r="Q10117">
        <v>0</v>
      </c>
      <c r="R10117" t="s">
        <v>43178</v>
      </c>
      <c r="S10117" t="s">
        <v>43522</v>
      </c>
      <c r="T10117" t="s">
        <v>44791</v>
      </c>
      <c r="U10117" t="s">
        <v>53309</v>
      </c>
      <c r="V10117" t="s">
        <v>57961</v>
      </c>
      <c r="W10117" t="s">
        <v>42456</v>
      </c>
      <c r="X10117" t="s">
        <v>43179</v>
      </c>
    </row>
    <row r="10118" spans="1:24">
      <c r="A10118">
        <f>HYPERLINK("https://www.philgeps.gov.ph/GEPSNONPILOT/Tender/SplashBidNoticeAbstractUI.aspx?menuIndex=3&amp;refID=7070061&amp;Result=3","7070061")</f>
        <v>0</v>
      </c>
      <c r="B10118" t="s">
        <v>1486</v>
      </c>
      <c r="C10118" t="s">
        <v>13064</v>
      </c>
      <c r="D10118" t="s">
        <v>17448</v>
      </c>
      <c r="E10118" t="s">
        <v>26156</v>
      </c>
      <c r="F10118" t="s">
        <v>30052</v>
      </c>
      <c r="G10118" t="s">
        <v>30058</v>
      </c>
      <c r="H10118" t="s">
        <v>30067</v>
      </c>
      <c r="I10118" t="s">
        <v>3693</v>
      </c>
      <c r="J10118" t="s">
        <v>35970</v>
      </c>
      <c r="K10118" t="s">
        <v>39212</v>
      </c>
      <c r="M10118" t="s">
        <v>40870</v>
      </c>
      <c r="N10118" t="s">
        <v>43166</v>
      </c>
      <c r="O10118" t="s">
        <v>43167</v>
      </c>
      <c r="P10118">
        <v>0</v>
      </c>
      <c r="Q10118">
        <v>12</v>
      </c>
      <c r="R10118" t="s">
        <v>43178</v>
      </c>
      <c r="S10118" t="s">
        <v>43522</v>
      </c>
      <c r="T10118" t="s">
        <v>44780</v>
      </c>
      <c r="U10118" t="s">
        <v>53310</v>
      </c>
      <c r="W10118" t="s">
        <v>40870</v>
      </c>
      <c r="X10118" t="s">
        <v>43179</v>
      </c>
    </row>
    <row r="10119" spans="1:24">
      <c r="A10119">
        <f>HYPERLINK("https://www.philgeps.gov.ph/GEPSNONPILOT/Tender/SplashBidNoticeAbstractUI.aspx?menuIndex=3&amp;refID=7069458&amp;Result=3","7069458")</f>
        <v>0</v>
      </c>
      <c r="B10119" t="s">
        <v>562</v>
      </c>
      <c r="C10119" t="s">
        <v>13065</v>
      </c>
      <c r="D10119" t="s">
        <v>17490</v>
      </c>
      <c r="E10119" t="s">
        <v>26157</v>
      </c>
      <c r="F10119" t="s">
        <v>30052</v>
      </c>
      <c r="G10119" t="s">
        <v>30058</v>
      </c>
      <c r="H10119" t="s">
        <v>30067</v>
      </c>
      <c r="I10119" t="s">
        <v>3693</v>
      </c>
      <c r="J10119" t="s">
        <v>36318</v>
      </c>
      <c r="K10119" t="s">
        <v>39019</v>
      </c>
      <c r="M10119" t="s">
        <v>39864</v>
      </c>
      <c r="N10119" t="s">
        <v>43166</v>
      </c>
      <c r="O10119" t="s">
        <v>43167</v>
      </c>
      <c r="P10119">
        <v>0</v>
      </c>
      <c r="Q10119">
        <v>0</v>
      </c>
      <c r="R10119" t="s">
        <v>43178</v>
      </c>
      <c r="S10119" t="s">
        <v>43522</v>
      </c>
      <c r="T10119" t="s">
        <v>44791</v>
      </c>
      <c r="U10119" t="s">
        <v>51442</v>
      </c>
      <c r="W10119" t="s">
        <v>39864</v>
      </c>
      <c r="X10119" t="s">
        <v>43179</v>
      </c>
    </row>
    <row r="10120" spans="1:24">
      <c r="A10120">
        <f>HYPERLINK("https://www.philgeps.gov.ph/GEPSNONPILOT/Tender/SplashBidNoticeAbstractUI.aspx?menuIndex=3&amp;refID=7070049&amp;Result=3","7070049")</f>
        <v>0</v>
      </c>
      <c r="B10120" t="s">
        <v>2902</v>
      </c>
      <c r="C10120" t="s">
        <v>13066</v>
      </c>
      <c r="D10120" t="s">
        <v>17482</v>
      </c>
      <c r="E10120" t="s">
        <v>26158</v>
      </c>
      <c r="F10120" t="s">
        <v>30052</v>
      </c>
      <c r="G10120" t="s">
        <v>30058</v>
      </c>
      <c r="H10120" t="s">
        <v>30067</v>
      </c>
      <c r="I10120" t="s">
        <v>3693</v>
      </c>
      <c r="J10120" t="s">
        <v>36387</v>
      </c>
      <c r="K10120" t="s">
        <v>39076</v>
      </c>
      <c r="M10120" t="s">
        <v>42456</v>
      </c>
      <c r="N10120" t="s">
        <v>43166</v>
      </c>
      <c r="O10120" t="s">
        <v>43167</v>
      </c>
      <c r="P10120">
        <v>0</v>
      </c>
      <c r="Q10120">
        <v>0</v>
      </c>
      <c r="R10120" t="s">
        <v>43178</v>
      </c>
      <c r="S10120" t="s">
        <v>43522</v>
      </c>
      <c r="T10120" t="s">
        <v>44791</v>
      </c>
      <c r="U10120" t="s">
        <v>53309</v>
      </c>
      <c r="V10120" t="s">
        <v>57962</v>
      </c>
      <c r="W10120" t="s">
        <v>42456</v>
      </c>
      <c r="X10120" t="s">
        <v>43179</v>
      </c>
    </row>
    <row r="10121" spans="1:24">
      <c r="A10121">
        <f>HYPERLINK("https://www.philgeps.gov.ph/GEPSNONPILOT/Tender/SplashBidNoticeAbstractUI.aspx?menuIndex=3&amp;refID=7070069&amp;Result=3","7070069")</f>
        <v>0</v>
      </c>
      <c r="B10121" t="s">
        <v>2903</v>
      </c>
      <c r="C10121" t="s">
        <v>13067</v>
      </c>
      <c r="E10121" t="s">
        <v>17892</v>
      </c>
      <c r="F10121" t="s">
        <v>30052</v>
      </c>
      <c r="G10121" t="s">
        <v>30058</v>
      </c>
      <c r="H10121" t="s">
        <v>30067</v>
      </c>
      <c r="I10121" t="s">
        <v>3693</v>
      </c>
      <c r="J10121" t="s">
        <v>30594</v>
      </c>
      <c r="K10121" t="s">
        <v>39025</v>
      </c>
      <c r="M10121" t="s">
        <v>42457</v>
      </c>
      <c r="N10121" t="s">
        <v>43166</v>
      </c>
      <c r="O10121" t="s">
        <v>43167</v>
      </c>
      <c r="P10121">
        <v>0</v>
      </c>
      <c r="Q10121">
        <v>0</v>
      </c>
      <c r="R10121" t="s">
        <v>43178</v>
      </c>
      <c r="S10121" t="s">
        <v>43522</v>
      </c>
      <c r="T10121" t="s">
        <v>44806</v>
      </c>
      <c r="U10121" t="s">
        <v>53311</v>
      </c>
      <c r="W10121" t="s">
        <v>42457</v>
      </c>
      <c r="X10121" t="s">
        <v>43179</v>
      </c>
    </row>
    <row r="10122" spans="1:24">
      <c r="A10122">
        <f>HYPERLINK("https://www.philgeps.gov.ph/GEPSNONPILOT/Tender/SplashBidNoticeAbstractUI.aspx?menuIndex=3&amp;refID=7069960&amp;Result=3","7069960")</f>
        <v>0</v>
      </c>
      <c r="B10122" t="s">
        <v>2900</v>
      </c>
      <c r="C10122" t="s">
        <v>11747</v>
      </c>
      <c r="D10122" t="s">
        <v>17480</v>
      </c>
      <c r="E10122" t="s">
        <v>17882</v>
      </c>
      <c r="F10122" t="s">
        <v>30052</v>
      </c>
      <c r="G10122" t="s">
        <v>30058</v>
      </c>
      <c r="H10122" t="s">
        <v>15498</v>
      </c>
      <c r="I10122" t="s">
        <v>30076</v>
      </c>
      <c r="J10122" t="s">
        <v>30343</v>
      </c>
      <c r="K10122" t="s">
        <v>39017</v>
      </c>
      <c r="M10122" t="s">
        <v>42454</v>
      </c>
      <c r="N10122" t="s">
        <v>43166</v>
      </c>
      <c r="O10122" t="s">
        <v>43167</v>
      </c>
      <c r="P10122">
        <v>0</v>
      </c>
      <c r="Q10122">
        <v>7</v>
      </c>
      <c r="R10122" t="s">
        <v>43178</v>
      </c>
      <c r="S10122" t="s">
        <v>43522</v>
      </c>
      <c r="T10122" t="s">
        <v>44705</v>
      </c>
      <c r="U10122" t="s">
        <v>53312</v>
      </c>
      <c r="W10122" t="s">
        <v>42454</v>
      </c>
      <c r="X10122" t="s">
        <v>43179</v>
      </c>
    </row>
    <row r="10123" spans="1:24">
      <c r="A10123">
        <f>HYPERLINK("https://www.philgeps.gov.ph/GEPSNONPILOT/Tender/SplashBidNoticeAbstractUI.aspx?menuIndex=3&amp;refID=7070047&amp;Result=3","7070047")</f>
        <v>0</v>
      </c>
      <c r="B10123" t="s">
        <v>1486</v>
      </c>
      <c r="C10123" t="s">
        <v>13068</v>
      </c>
      <c r="D10123" t="s">
        <v>17448</v>
      </c>
      <c r="E10123" t="s">
        <v>26159</v>
      </c>
      <c r="F10123" t="s">
        <v>30052</v>
      </c>
      <c r="G10123" t="s">
        <v>30058</v>
      </c>
      <c r="H10123" t="s">
        <v>30067</v>
      </c>
      <c r="I10123" t="s">
        <v>3693</v>
      </c>
      <c r="J10123" t="s">
        <v>36388</v>
      </c>
      <c r="K10123" t="s">
        <v>39234</v>
      </c>
      <c r="M10123" t="s">
        <v>40870</v>
      </c>
      <c r="N10123" t="s">
        <v>43166</v>
      </c>
      <c r="O10123" t="s">
        <v>43167</v>
      </c>
      <c r="P10123">
        <v>0</v>
      </c>
      <c r="Q10123">
        <v>5</v>
      </c>
      <c r="R10123" t="s">
        <v>43178</v>
      </c>
      <c r="S10123" t="s">
        <v>43522</v>
      </c>
      <c r="T10123" t="s">
        <v>44780</v>
      </c>
      <c r="U10123" t="s">
        <v>53313</v>
      </c>
      <c r="W10123" t="s">
        <v>40870</v>
      </c>
      <c r="X10123" t="s">
        <v>43179</v>
      </c>
    </row>
    <row r="10124" spans="1:24">
      <c r="A10124">
        <f>HYPERLINK("https://www.philgeps.gov.ph/GEPSNONPILOT/Tender/SplashBidNoticeAbstractUI.aspx?menuIndex=3&amp;refID=7070044&amp;Result=3","7070044")</f>
        <v>0</v>
      </c>
      <c r="B10124" t="s">
        <v>2902</v>
      </c>
      <c r="C10124" t="s">
        <v>13069</v>
      </c>
      <c r="D10124" t="s">
        <v>17482</v>
      </c>
      <c r="E10124" t="s">
        <v>26160</v>
      </c>
      <c r="F10124" t="s">
        <v>30052</v>
      </c>
      <c r="G10124" t="s">
        <v>30058</v>
      </c>
      <c r="H10124" t="s">
        <v>30067</v>
      </c>
      <c r="I10124" t="s">
        <v>3693</v>
      </c>
      <c r="J10124" t="s">
        <v>36389</v>
      </c>
      <c r="K10124" t="s">
        <v>39023</v>
      </c>
      <c r="M10124" t="s">
        <v>42456</v>
      </c>
      <c r="N10124" t="s">
        <v>43166</v>
      </c>
      <c r="O10124" t="s">
        <v>43167</v>
      </c>
      <c r="P10124">
        <v>0</v>
      </c>
      <c r="Q10124">
        <v>0</v>
      </c>
      <c r="R10124" t="s">
        <v>43178</v>
      </c>
      <c r="S10124" t="s">
        <v>43522</v>
      </c>
      <c r="T10124" t="s">
        <v>44791</v>
      </c>
      <c r="U10124" t="s">
        <v>53309</v>
      </c>
      <c r="V10124" t="s">
        <v>57963</v>
      </c>
      <c r="W10124" t="s">
        <v>42456</v>
      </c>
      <c r="X10124" t="s">
        <v>43179</v>
      </c>
    </row>
    <row r="10125" spans="1:24">
      <c r="A10125">
        <f>HYPERLINK("https://www.philgeps.gov.ph/GEPSNONPILOT/Tender/SplashBidNoticeAbstractUI.aspx?menuIndex=3&amp;refID=7070055&amp;Result=3","7070055")</f>
        <v>0</v>
      </c>
      <c r="B10125" t="s">
        <v>1486</v>
      </c>
      <c r="C10125" t="s">
        <v>13070</v>
      </c>
      <c r="D10125" t="s">
        <v>17448</v>
      </c>
      <c r="E10125" t="s">
        <v>26161</v>
      </c>
      <c r="F10125" t="s">
        <v>30052</v>
      </c>
      <c r="G10125" t="s">
        <v>30058</v>
      </c>
      <c r="H10125" t="s">
        <v>30067</v>
      </c>
      <c r="I10125" t="s">
        <v>3693</v>
      </c>
      <c r="J10125" t="s">
        <v>35625</v>
      </c>
      <c r="K10125" t="s">
        <v>39100</v>
      </c>
      <c r="M10125" t="s">
        <v>40870</v>
      </c>
      <c r="N10125" t="s">
        <v>43166</v>
      </c>
      <c r="O10125" t="s">
        <v>43167</v>
      </c>
      <c r="P10125">
        <v>0</v>
      </c>
      <c r="Q10125">
        <v>6</v>
      </c>
      <c r="R10125" t="s">
        <v>43178</v>
      </c>
      <c r="S10125" t="s">
        <v>43522</v>
      </c>
      <c r="T10125" t="s">
        <v>44780</v>
      </c>
      <c r="U10125" t="s">
        <v>52356</v>
      </c>
      <c r="W10125" t="s">
        <v>40870</v>
      </c>
      <c r="X10125" t="s">
        <v>43179</v>
      </c>
    </row>
    <row r="10126" spans="1:24">
      <c r="A10126">
        <f>HYPERLINK("https://www.philgeps.gov.ph/GEPSNONPILOT/Tender/SplashBidNoticeAbstractUI.aspx?menuIndex=3&amp;refID=7069946&amp;Result=3","7069946")</f>
        <v>0</v>
      </c>
      <c r="B10126" t="s">
        <v>1017</v>
      </c>
      <c r="C10126" t="s">
        <v>13071</v>
      </c>
      <c r="D10126" t="s">
        <v>17444</v>
      </c>
      <c r="E10126" t="s">
        <v>26162</v>
      </c>
      <c r="F10126" t="s">
        <v>30052</v>
      </c>
      <c r="G10126" t="s">
        <v>30058</v>
      </c>
      <c r="H10126" t="s">
        <v>15498</v>
      </c>
      <c r="I10126" t="s">
        <v>30074</v>
      </c>
      <c r="J10126" t="s">
        <v>36390</v>
      </c>
      <c r="K10126" t="s">
        <v>39023</v>
      </c>
      <c r="M10126" t="s">
        <v>40346</v>
      </c>
      <c r="N10126" t="s">
        <v>43166</v>
      </c>
      <c r="O10126" t="s">
        <v>43167</v>
      </c>
      <c r="P10126">
        <v>0</v>
      </c>
      <c r="Q10126">
        <v>12</v>
      </c>
      <c r="R10126" t="s">
        <v>43178</v>
      </c>
      <c r="S10126" t="s">
        <v>43522</v>
      </c>
      <c r="T10126" t="s">
        <v>44796</v>
      </c>
      <c r="U10126" t="s">
        <v>48912</v>
      </c>
      <c r="W10126" t="s">
        <v>40346</v>
      </c>
      <c r="X10126" t="s">
        <v>43179</v>
      </c>
    </row>
    <row r="10127" spans="1:24">
      <c r="A10127">
        <f>HYPERLINK("https://www.philgeps.gov.ph/GEPSNONPILOT/Tender/SplashBidNoticeAbstractUI.aspx?menuIndex=3&amp;refID=7070029&amp;Result=3","7070029")</f>
        <v>0</v>
      </c>
      <c r="B10127" t="s">
        <v>2902</v>
      </c>
      <c r="C10127" t="s">
        <v>13072</v>
      </c>
      <c r="D10127" t="s">
        <v>17482</v>
      </c>
      <c r="E10127" t="s">
        <v>26163</v>
      </c>
      <c r="F10127" t="s">
        <v>30052</v>
      </c>
      <c r="G10127" t="s">
        <v>30058</v>
      </c>
      <c r="H10127" t="s">
        <v>30067</v>
      </c>
      <c r="I10127" t="s">
        <v>3693</v>
      </c>
      <c r="J10127" t="s">
        <v>36391</v>
      </c>
      <c r="K10127" t="s">
        <v>39023</v>
      </c>
      <c r="M10127" t="s">
        <v>42456</v>
      </c>
      <c r="N10127" t="s">
        <v>43166</v>
      </c>
      <c r="O10127" t="s">
        <v>43167</v>
      </c>
      <c r="P10127">
        <v>0</v>
      </c>
      <c r="Q10127">
        <v>2</v>
      </c>
      <c r="R10127" t="s">
        <v>43178</v>
      </c>
      <c r="S10127" t="s">
        <v>43522</v>
      </c>
      <c r="T10127" t="s">
        <v>44791</v>
      </c>
      <c r="U10127" t="s">
        <v>53309</v>
      </c>
      <c r="V10127" t="s">
        <v>57964</v>
      </c>
      <c r="W10127" t="s">
        <v>42456</v>
      </c>
      <c r="X10127" t="s">
        <v>43179</v>
      </c>
    </row>
    <row r="10128" spans="1:24">
      <c r="A10128">
        <f>HYPERLINK("https://www.philgeps.gov.ph/GEPSNONPILOT/Tender/SplashBidNoticeAbstractUI.aspx?menuIndex=3&amp;refID=7070062&amp;Result=3","7070062")</f>
        <v>0</v>
      </c>
      <c r="B10128" t="s">
        <v>2502</v>
      </c>
      <c r="C10128" t="s">
        <v>13073</v>
      </c>
      <c r="D10128" t="s">
        <v>17442</v>
      </c>
      <c r="E10128" t="s">
        <v>26164</v>
      </c>
      <c r="F10128" t="s">
        <v>30052</v>
      </c>
      <c r="G10128" t="s">
        <v>30058</v>
      </c>
      <c r="H10128" t="s">
        <v>15498</v>
      </c>
      <c r="I10128" t="s">
        <v>4119</v>
      </c>
      <c r="J10128" t="s">
        <v>30215</v>
      </c>
      <c r="K10128" t="s">
        <v>39019</v>
      </c>
      <c r="M10128" t="s">
        <v>42007</v>
      </c>
      <c r="N10128" t="s">
        <v>43166</v>
      </c>
      <c r="O10128" t="s">
        <v>43167</v>
      </c>
      <c r="P10128">
        <v>0</v>
      </c>
      <c r="Q10128">
        <v>7</v>
      </c>
      <c r="R10128" t="s">
        <v>43178</v>
      </c>
      <c r="S10128" t="s">
        <v>43522</v>
      </c>
      <c r="T10128" t="s">
        <v>44773</v>
      </c>
      <c r="U10128" t="s">
        <v>53314</v>
      </c>
      <c r="W10128" t="s">
        <v>42007</v>
      </c>
      <c r="X10128" t="s">
        <v>43179</v>
      </c>
    </row>
    <row r="10129" spans="1:24">
      <c r="A10129">
        <f>HYPERLINK("https://www.philgeps.gov.ph/GEPSNONPILOT/Tender/SplashBidNoticeAbstractUI.aspx?menuIndex=3&amp;refID=7070035&amp;Result=3","7070035")</f>
        <v>0</v>
      </c>
      <c r="B10129" t="s">
        <v>2902</v>
      </c>
      <c r="C10129" t="s">
        <v>13074</v>
      </c>
      <c r="D10129" t="s">
        <v>17482</v>
      </c>
      <c r="E10129" t="s">
        <v>26165</v>
      </c>
      <c r="F10129" t="s">
        <v>30052</v>
      </c>
      <c r="G10129" t="s">
        <v>30058</v>
      </c>
      <c r="H10129" t="s">
        <v>30067</v>
      </c>
      <c r="I10129" t="s">
        <v>3693</v>
      </c>
      <c r="J10129" t="s">
        <v>36392</v>
      </c>
      <c r="K10129" t="s">
        <v>39087</v>
      </c>
      <c r="M10129" t="s">
        <v>42456</v>
      </c>
      <c r="N10129" t="s">
        <v>43166</v>
      </c>
      <c r="O10129" t="s">
        <v>43167</v>
      </c>
      <c r="P10129">
        <v>0</v>
      </c>
      <c r="Q10129">
        <v>2</v>
      </c>
      <c r="R10129" t="s">
        <v>43178</v>
      </c>
      <c r="S10129" t="s">
        <v>43522</v>
      </c>
      <c r="T10129" t="s">
        <v>44791</v>
      </c>
      <c r="U10129" t="s">
        <v>53309</v>
      </c>
      <c r="V10129" t="s">
        <v>57965</v>
      </c>
      <c r="W10129" t="s">
        <v>42456</v>
      </c>
      <c r="X10129" t="s">
        <v>43179</v>
      </c>
    </row>
    <row r="10130" spans="1:24">
      <c r="A10130">
        <f>HYPERLINK("https://www.philgeps.gov.ph/GEPSNONPILOT/Tender/SplashBidNoticeAbstractUI.aspx?menuIndex=3&amp;refID=7070032&amp;Result=3","7070032")</f>
        <v>0</v>
      </c>
      <c r="B10130" t="s">
        <v>2902</v>
      </c>
      <c r="C10130" t="s">
        <v>13075</v>
      </c>
      <c r="D10130" t="s">
        <v>17482</v>
      </c>
      <c r="E10130" t="s">
        <v>26166</v>
      </c>
      <c r="F10130" t="s">
        <v>30052</v>
      </c>
      <c r="G10130" t="s">
        <v>30058</v>
      </c>
      <c r="H10130" t="s">
        <v>30067</v>
      </c>
      <c r="I10130" t="s">
        <v>3693</v>
      </c>
      <c r="J10130" t="s">
        <v>36393</v>
      </c>
      <c r="K10130" t="s">
        <v>39107</v>
      </c>
      <c r="M10130" t="s">
        <v>42456</v>
      </c>
      <c r="N10130" t="s">
        <v>43166</v>
      </c>
      <c r="O10130" t="s">
        <v>43167</v>
      </c>
      <c r="P10130">
        <v>0</v>
      </c>
      <c r="Q10130">
        <v>0</v>
      </c>
      <c r="R10130" t="s">
        <v>43178</v>
      </c>
      <c r="S10130" t="s">
        <v>43522</v>
      </c>
      <c r="T10130" t="s">
        <v>44791</v>
      </c>
      <c r="U10130" t="s">
        <v>53309</v>
      </c>
      <c r="V10130" t="s">
        <v>57966</v>
      </c>
      <c r="W10130" t="s">
        <v>42456</v>
      </c>
      <c r="X10130" t="s">
        <v>43179</v>
      </c>
    </row>
    <row r="10131" spans="1:24">
      <c r="A10131">
        <f>HYPERLINK("https://www.philgeps.gov.ph/GEPSNONPILOT/Tender/SplashBidNoticeAbstractUI.aspx?menuIndex=3&amp;refID=7070112&amp;Result=3","7070112")</f>
        <v>0</v>
      </c>
      <c r="B10131" t="s">
        <v>2904</v>
      </c>
      <c r="C10131" t="s">
        <v>13076</v>
      </c>
      <c r="D10131" t="s">
        <v>17440</v>
      </c>
      <c r="E10131" t="s">
        <v>26167</v>
      </c>
      <c r="F10131" t="s">
        <v>30052</v>
      </c>
      <c r="G10131" t="s">
        <v>30059</v>
      </c>
      <c r="H10131" t="s">
        <v>15498</v>
      </c>
      <c r="I10131" t="s">
        <v>30092</v>
      </c>
      <c r="J10131" t="s">
        <v>30358</v>
      </c>
      <c r="K10131" t="s">
        <v>39034</v>
      </c>
      <c r="M10131" t="s">
        <v>42458</v>
      </c>
      <c r="N10131" t="s">
        <v>43166</v>
      </c>
      <c r="O10131" t="s">
        <v>43167</v>
      </c>
      <c r="P10131">
        <v>0</v>
      </c>
      <c r="Q10131">
        <v>3</v>
      </c>
      <c r="R10131" t="s">
        <v>43178</v>
      </c>
      <c r="S10131" t="s">
        <v>43522</v>
      </c>
      <c r="T10131" t="s">
        <v>45134</v>
      </c>
      <c r="U10131" t="s">
        <v>53315</v>
      </c>
      <c r="W10131" t="s">
        <v>58691</v>
      </c>
      <c r="X10131" t="s">
        <v>43179</v>
      </c>
    </row>
    <row r="10132" spans="1:24">
      <c r="A10132">
        <f>HYPERLINK("https://www.philgeps.gov.ph/GEPSNONPILOT/Tender/SplashBidNoticeAbstractUI.aspx?menuIndex=3&amp;refID=7070107&amp;Result=3","7070107")</f>
        <v>0</v>
      </c>
      <c r="B10132" t="s">
        <v>562</v>
      </c>
      <c r="C10132" t="s">
        <v>13077</v>
      </c>
      <c r="D10132" t="s">
        <v>17490</v>
      </c>
      <c r="E10132" t="s">
        <v>26168</v>
      </c>
      <c r="F10132" t="s">
        <v>30052</v>
      </c>
      <c r="G10132" t="s">
        <v>30058</v>
      </c>
      <c r="H10132" t="s">
        <v>30067</v>
      </c>
      <c r="I10132" t="s">
        <v>3693</v>
      </c>
      <c r="J10132" t="s">
        <v>36318</v>
      </c>
      <c r="K10132" t="s">
        <v>39019</v>
      </c>
      <c r="M10132" t="s">
        <v>39864</v>
      </c>
      <c r="N10132" t="s">
        <v>43166</v>
      </c>
      <c r="O10132" t="s">
        <v>43167</v>
      </c>
      <c r="P10132">
        <v>0</v>
      </c>
      <c r="Q10132">
        <v>0</v>
      </c>
      <c r="R10132" t="s">
        <v>43178</v>
      </c>
      <c r="S10132" t="s">
        <v>43522</v>
      </c>
      <c r="T10132" t="s">
        <v>44791</v>
      </c>
      <c r="U10132" t="s">
        <v>51442</v>
      </c>
      <c r="W10132" t="s">
        <v>39864</v>
      </c>
      <c r="X10132" t="s">
        <v>43179</v>
      </c>
    </row>
    <row r="10133" spans="1:24">
      <c r="A10133">
        <f>HYPERLINK("https://www.philgeps.gov.ph/GEPSNONPILOT/Tender/SplashBidNoticeAbstractUI.aspx?menuIndex=3&amp;refID=7070106&amp;Result=3","7070106")</f>
        <v>0</v>
      </c>
      <c r="B10133" t="s">
        <v>1363</v>
      </c>
      <c r="C10133" t="s">
        <v>13078</v>
      </c>
      <c r="D10133" t="s">
        <v>17432</v>
      </c>
      <c r="E10133" t="s">
        <v>26169</v>
      </c>
      <c r="F10133" t="s">
        <v>30052</v>
      </c>
      <c r="G10133" t="s">
        <v>30058</v>
      </c>
      <c r="H10133" t="s">
        <v>15498</v>
      </c>
      <c r="I10133" t="s">
        <v>6304</v>
      </c>
      <c r="J10133" t="s">
        <v>30222</v>
      </c>
      <c r="K10133" t="s">
        <v>39029</v>
      </c>
      <c r="M10133" t="s">
        <v>40733</v>
      </c>
      <c r="N10133" t="s">
        <v>43166</v>
      </c>
      <c r="O10133" t="s">
        <v>43167</v>
      </c>
      <c r="P10133">
        <v>0</v>
      </c>
      <c r="Q10133">
        <v>2</v>
      </c>
      <c r="R10133" t="s">
        <v>43178</v>
      </c>
      <c r="S10133" t="s">
        <v>43522</v>
      </c>
      <c r="T10133" t="s">
        <v>45012</v>
      </c>
      <c r="U10133" t="s">
        <v>53316</v>
      </c>
      <c r="V10133" t="s">
        <v>57967</v>
      </c>
      <c r="W10133" t="s">
        <v>40733</v>
      </c>
      <c r="X10133" t="s">
        <v>43179</v>
      </c>
    </row>
    <row r="10134" spans="1:24">
      <c r="A10134">
        <f>HYPERLINK("https://www.philgeps.gov.ph/GEPSNONPILOT/Tender/SplashBidNoticeAbstractUI.aspx?menuIndex=3&amp;refID=7070105&amp;Result=3","7070105")</f>
        <v>0</v>
      </c>
      <c r="B10134" t="s">
        <v>509</v>
      </c>
      <c r="C10134" t="s">
        <v>13079</v>
      </c>
      <c r="D10134" t="s">
        <v>17415</v>
      </c>
      <c r="E10134" t="s">
        <v>26170</v>
      </c>
      <c r="F10134" t="s">
        <v>30052</v>
      </c>
      <c r="G10134" t="s">
        <v>30058</v>
      </c>
      <c r="H10134" t="s">
        <v>30067</v>
      </c>
      <c r="I10134" t="s">
        <v>3693</v>
      </c>
      <c r="J10134" t="s">
        <v>36394</v>
      </c>
      <c r="K10134" t="s">
        <v>39092</v>
      </c>
      <c r="M10134" t="s">
        <v>39810</v>
      </c>
      <c r="N10134" t="s">
        <v>43166</v>
      </c>
      <c r="O10134" t="s">
        <v>43167</v>
      </c>
      <c r="Q10134">
        <v>19</v>
      </c>
      <c r="R10134" t="s">
        <v>43178</v>
      </c>
      <c r="S10134" t="s">
        <v>43563</v>
      </c>
      <c r="T10134" t="s">
        <v>44750</v>
      </c>
      <c r="U10134" t="s">
        <v>50415</v>
      </c>
      <c r="W10134" t="s">
        <v>39810</v>
      </c>
      <c r="X10134" t="s">
        <v>43179</v>
      </c>
    </row>
    <row r="10135" spans="1:24">
      <c r="A10135">
        <f>HYPERLINK("https://www.philgeps.gov.ph/GEPSNONPILOT/Tender/SplashBidNoticeAbstractUI.aspx?menuIndex=3&amp;refID=7070103&amp;Result=3","7070103")</f>
        <v>0</v>
      </c>
      <c r="B10135" t="s">
        <v>2395</v>
      </c>
      <c r="C10135" t="s">
        <v>13080</v>
      </c>
      <c r="E10135" t="s">
        <v>26171</v>
      </c>
      <c r="F10135" t="s">
        <v>30052</v>
      </c>
      <c r="G10135" t="s">
        <v>30058</v>
      </c>
      <c r="H10135" t="s">
        <v>30067</v>
      </c>
      <c r="I10135" t="s">
        <v>3693</v>
      </c>
      <c r="J10135" t="s">
        <v>33318</v>
      </c>
      <c r="K10135" t="s">
        <v>39031</v>
      </c>
      <c r="M10135" t="s">
        <v>41891</v>
      </c>
      <c r="N10135" t="s">
        <v>43166</v>
      </c>
      <c r="O10135" t="s">
        <v>43167</v>
      </c>
      <c r="Q10135">
        <v>0</v>
      </c>
      <c r="R10135" t="s">
        <v>43178</v>
      </c>
      <c r="S10135" t="s">
        <v>43564</v>
      </c>
      <c r="T10135" t="s">
        <v>44763</v>
      </c>
      <c r="U10135" t="s">
        <v>53317</v>
      </c>
      <c r="V10135" t="s">
        <v>57649</v>
      </c>
      <c r="W10135" t="s">
        <v>41891</v>
      </c>
      <c r="X10135" t="s">
        <v>43179</v>
      </c>
    </row>
    <row r="10136" spans="1:24">
      <c r="A10136">
        <f>HYPERLINK("https://www.philgeps.gov.ph/GEPSNONPILOT/Tender/SplashBidNoticeAbstractUI.aspx?menuIndex=3&amp;refID=7070113&amp;Result=3","7070113")</f>
        <v>0</v>
      </c>
      <c r="B10136" t="s">
        <v>1363</v>
      </c>
      <c r="C10136" t="s">
        <v>13081</v>
      </c>
      <c r="D10136" t="s">
        <v>17432</v>
      </c>
      <c r="E10136" t="s">
        <v>26172</v>
      </c>
      <c r="F10136" t="s">
        <v>30052</v>
      </c>
      <c r="G10136" t="s">
        <v>30058</v>
      </c>
      <c r="H10136" t="s">
        <v>15498</v>
      </c>
      <c r="I10136" t="s">
        <v>30169</v>
      </c>
      <c r="J10136" t="s">
        <v>30222</v>
      </c>
      <c r="K10136" t="s">
        <v>39029</v>
      </c>
      <c r="M10136" t="s">
        <v>40733</v>
      </c>
      <c r="N10136" t="s">
        <v>43166</v>
      </c>
      <c r="O10136" t="s">
        <v>43167</v>
      </c>
      <c r="P10136">
        <v>0</v>
      </c>
      <c r="Q10136">
        <v>6</v>
      </c>
      <c r="R10136" t="s">
        <v>43178</v>
      </c>
      <c r="S10136" t="s">
        <v>43522</v>
      </c>
      <c r="T10136" t="s">
        <v>45012</v>
      </c>
      <c r="U10136" t="s">
        <v>53318</v>
      </c>
      <c r="V10136" t="s">
        <v>57967</v>
      </c>
      <c r="W10136" t="s">
        <v>40733</v>
      </c>
      <c r="X10136" t="s">
        <v>43179</v>
      </c>
    </row>
    <row r="10137" spans="1:24">
      <c r="A10137">
        <f>HYPERLINK("https://www.philgeps.gov.ph/GEPSNONPILOT/Tender/SplashBidNoticeAbstractUI.aspx?menuIndex=3&amp;refID=7070070&amp;Result=3","7070070")</f>
        <v>0</v>
      </c>
      <c r="B10137" t="s">
        <v>509</v>
      </c>
      <c r="C10137" t="s">
        <v>13082</v>
      </c>
      <c r="D10137" t="s">
        <v>17415</v>
      </c>
      <c r="E10137" t="s">
        <v>26173</v>
      </c>
      <c r="F10137" t="s">
        <v>30052</v>
      </c>
      <c r="G10137" t="s">
        <v>30058</v>
      </c>
      <c r="H10137" t="s">
        <v>30067</v>
      </c>
      <c r="I10137" t="s">
        <v>3693</v>
      </c>
      <c r="J10137" t="s">
        <v>36395</v>
      </c>
      <c r="K10137" t="s">
        <v>39092</v>
      </c>
      <c r="M10137" t="s">
        <v>39810</v>
      </c>
      <c r="N10137" t="s">
        <v>43166</v>
      </c>
      <c r="O10137" t="s">
        <v>43167</v>
      </c>
      <c r="Q10137">
        <v>26</v>
      </c>
      <c r="R10137" t="s">
        <v>43178</v>
      </c>
      <c r="S10137" t="s">
        <v>43565</v>
      </c>
      <c r="T10137" t="s">
        <v>44750</v>
      </c>
      <c r="U10137" t="s">
        <v>50415</v>
      </c>
      <c r="W10137" t="s">
        <v>39810</v>
      </c>
      <c r="X10137" t="s">
        <v>43179</v>
      </c>
    </row>
    <row r="10138" spans="1:24">
      <c r="A10138">
        <f>HYPERLINK("https://www.philgeps.gov.ph/GEPSNONPILOT/Tender/SplashBidNoticeAbstractUI.aspx?menuIndex=3&amp;refID=7070098&amp;Result=3","7070098")</f>
        <v>0</v>
      </c>
      <c r="B10138" t="s">
        <v>509</v>
      </c>
      <c r="C10138" t="s">
        <v>13083</v>
      </c>
      <c r="D10138" t="s">
        <v>17415</v>
      </c>
      <c r="E10138" t="s">
        <v>26174</v>
      </c>
      <c r="F10138" t="s">
        <v>30052</v>
      </c>
      <c r="G10138" t="s">
        <v>30058</v>
      </c>
      <c r="H10138" t="s">
        <v>30067</v>
      </c>
      <c r="I10138" t="s">
        <v>3693</v>
      </c>
      <c r="J10138" t="s">
        <v>36396</v>
      </c>
      <c r="K10138" t="s">
        <v>39057</v>
      </c>
      <c r="M10138" t="s">
        <v>39810</v>
      </c>
      <c r="N10138" t="s">
        <v>43166</v>
      </c>
      <c r="O10138" t="s">
        <v>43167</v>
      </c>
      <c r="Q10138">
        <v>27</v>
      </c>
      <c r="R10138" t="s">
        <v>43178</v>
      </c>
      <c r="S10138" t="s">
        <v>43566</v>
      </c>
      <c r="T10138" t="s">
        <v>44750</v>
      </c>
      <c r="U10138" t="s">
        <v>50415</v>
      </c>
      <c r="W10138" t="s">
        <v>39810</v>
      </c>
      <c r="X10138" t="s">
        <v>43179</v>
      </c>
    </row>
    <row r="10139" spans="1:24">
      <c r="A10139">
        <f>HYPERLINK("https://www.philgeps.gov.ph/GEPSNONPILOT/Tender/SplashBidNoticeAbstractUI.aspx?menuIndex=3&amp;refID=7070091&amp;Result=3","7070091")</f>
        <v>0</v>
      </c>
      <c r="B10139" t="s">
        <v>540</v>
      </c>
      <c r="C10139" t="s">
        <v>13084</v>
      </c>
      <c r="D10139" t="s">
        <v>17452</v>
      </c>
      <c r="E10139" t="s">
        <v>22017</v>
      </c>
      <c r="F10139" t="s">
        <v>30052</v>
      </c>
      <c r="G10139" t="s">
        <v>30058</v>
      </c>
      <c r="H10139" t="s">
        <v>15498</v>
      </c>
      <c r="I10139" t="s">
        <v>3852</v>
      </c>
      <c r="J10139" t="s">
        <v>36397</v>
      </c>
      <c r="K10139" t="s">
        <v>39029</v>
      </c>
      <c r="M10139" t="s">
        <v>39842</v>
      </c>
      <c r="N10139" t="s">
        <v>43166</v>
      </c>
      <c r="O10139" t="s">
        <v>43167</v>
      </c>
      <c r="P10139">
        <v>0</v>
      </c>
      <c r="Q10139">
        <v>5</v>
      </c>
      <c r="R10139" t="s">
        <v>43178</v>
      </c>
      <c r="S10139" t="s">
        <v>43522</v>
      </c>
      <c r="T10139" t="s">
        <v>44815</v>
      </c>
      <c r="U10139" t="s">
        <v>53319</v>
      </c>
      <c r="W10139" t="s">
        <v>39842</v>
      </c>
      <c r="X10139" t="s">
        <v>43179</v>
      </c>
    </row>
    <row r="10140" spans="1:24">
      <c r="A10140">
        <f>HYPERLINK("https://www.philgeps.gov.ph/GEPSNONPILOT/Tender/SplashBidNoticeAbstractUI.aspx?menuIndex=3&amp;refID=7070090&amp;Result=3","7070090")</f>
        <v>0</v>
      </c>
      <c r="B10140" t="s">
        <v>2905</v>
      </c>
      <c r="C10140" t="s">
        <v>13085</v>
      </c>
      <c r="D10140" t="s">
        <v>17435</v>
      </c>
      <c r="E10140" t="s">
        <v>18384</v>
      </c>
      <c r="F10140" t="s">
        <v>30052</v>
      </c>
      <c r="G10140" t="s">
        <v>30058</v>
      </c>
      <c r="H10140" t="s">
        <v>15498</v>
      </c>
      <c r="I10140" t="s">
        <v>30096</v>
      </c>
      <c r="J10140" t="s">
        <v>34027</v>
      </c>
      <c r="K10140" t="s">
        <v>39034</v>
      </c>
      <c r="M10140" t="s">
        <v>42459</v>
      </c>
      <c r="N10140" t="s">
        <v>43166</v>
      </c>
      <c r="O10140" t="s">
        <v>43167</v>
      </c>
      <c r="P10140">
        <v>0</v>
      </c>
      <c r="Q10140">
        <v>7</v>
      </c>
      <c r="R10140" t="s">
        <v>43178</v>
      </c>
      <c r="S10140" t="s">
        <v>43522</v>
      </c>
      <c r="T10140" t="s">
        <v>44806</v>
      </c>
      <c r="U10140" t="s">
        <v>53320</v>
      </c>
      <c r="W10140" t="s">
        <v>42459</v>
      </c>
      <c r="X10140" t="s">
        <v>43179</v>
      </c>
    </row>
    <row r="10141" spans="1:24">
      <c r="A10141">
        <f>HYPERLINK("https://www.philgeps.gov.ph/GEPSNONPILOT/Tender/SplashBidNoticeAbstractUI.aspx?menuIndex=3&amp;refID=7070085&amp;Result=3","7070085")</f>
        <v>0</v>
      </c>
      <c r="B10141" t="s">
        <v>540</v>
      </c>
      <c r="C10141" t="s">
        <v>13086</v>
      </c>
      <c r="D10141" t="s">
        <v>17452</v>
      </c>
      <c r="E10141" t="s">
        <v>26175</v>
      </c>
      <c r="F10141" t="s">
        <v>30052</v>
      </c>
      <c r="G10141" t="s">
        <v>30058</v>
      </c>
      <c r="H10141" t="s">
        <v>15498</v>
      </c>
      <c r="I10141" t="s">
        <v>30078</v>
      </c>
      <c r="J10141" t="s">
        <v>36398</v>
      </c>
      <c r="K10141" t="s">
        <v>39029</v>
      </c>
      <c r="M10141" t="s">
        <v>39842</v>
      </c>
      <c r="N10141" t="s">
        <v>43166</v>
      </c>
      <c r="O10141" t="s">
        <v>43167</v>
      </c>
      <c r="P10141">
        <v>0</v>
      </c>
      <c r="Q10141">
        <v>2</v>
      </c>
      <c r="R10141" t="s">
        <v>43178</v>
      </c>
      <c r="S10141" t="s">
        <v>43522</v>
      </c>
      <c r="T10141" t="s">
        <v>44815</v>
      </c>
      <c r="U10141" t="s">
        <v>53321</v>
      </c>
      <c r="W10141" t="s">
        <v>39842</v>
      </c>
      <c r="X10141" t="s">
        <v>43179</v>
      </c>
    </row>
    <row r="10142" spans="1:24">
      <c r="A10142">
        <f>HYPERLINK("https://www.philgeps.gov.ph/GEPSNONPILOT/Tender/SplashBidNoticeAbstractUI.aspx?menuIndex=3&amp;refID=7070078&amp;Result=3","7070078")</f>
        <v>0</v>
      </c>
      <c r="B10142" t="s">
        <v>562</v>
      </c>
      <c r="C10142" t="s">
        <v>13087</v>
      </c>
      <c r="D10142" t="s">
        <v>17490</v>
      </c>
      <c r="E10142" t="s">
        <v>26176</v>
      </c>
      <c r="F10142" t="s">
        <v>30052</v>
      </c>
      <c r="G10142" t="s">
        <v>30058</v>
      </c>
      <c r="H10142" t="s">
        <v>30067</v>
      </c>
      <c r="I10142" t="s">
        <v>3693</v>
      </c>
      <c r="J10142" t="s">
        <v>36318</v>
      </c>
      <c r="K10142" t="s">
        <v>39019</v>
      </c>
      <c r="M10142" t="s">
        <v>39864</v>
      </c>
      <c r="N10142" t="s">
        <v>43166</v>
      </c>
      <c r="O10142" t="s">
        <v>43167</v>
      </c>
      <c r="P10142">
        <v>0</v>
      </c>
      <c r="Q10142">
        <v>0</v>
      </c>
      <c r="R10142" t="s">
        <v>43178</v>
      </c>
      <c r="S10142" t="s">
        <v>43522</v>
      </c>
      <c r="T10142" t="s">
        <v>44791</v>
      </c>
      <c r="U10142" t="s">
        <v>51442</v>
      </c>
      <c r="W10142" t="s">
        <v>39864</v>
      </c>
      <c r="X10142" t="s">
        <v>43179</v>
      </c>
    </row>
    <row r="10143" spans="1:24">
      <c r="A10143">
        <f>HYPERLINK("https://www.philgeps.gov.ph/GEPSNONPILOT/Tender/SplashBidNoticeAbstractUI.aspx?menuIndex=3&amp;refID=7070102&amp;Result=3","7070102")</f>
        <v>0</v>
      </c>
      <c r="B10143" t="s">
        <v>562</v>
      </c>
      <c r="C10143" t="s">
        <v>13088</v>
      </c>
      <c r="D10143" t="s">
        <v>17490</v>
      </c>
      <c r="E10143" t="s">
        <v>26177</v>
      </c>
      <c r="F10143" t="s">
        <v>30052</v>
      </c>
      <c r="G10143" t="s">
        <v>30058</v>
      </c>
      <c r="H10143" t="s">
        <v>30067</v>
      </c>
      <c r="I10143" t="s">
        <v>3693</v>
      </c>
      <c r="J10143" t="s">
        <v>36318</v>
      </c>
      <c r="K10143" t="s">
        <v>39019</v>
      </c>
      <c r="M10143" t="s">
        <v>39864</v>
      </c>
      <c r="N10143" t="s">
        <v>43166</v>
      </c>
      <c r="O10143" t="s">
        <v>43167</v>
      </c>
      <c r="P10143">
        <v>0</v>
      </c>
      <c r="Q10143">
        <v>0</v>
      </c>
      <c r="R10143" t="s">
        <v>43178</v>
      </c>
      <c r="S10143" t="s">
        <v>43522</v>
      </c>
      <c r="T10143" t="s">
        <v>44791</v>
      </c>
      <c r="U10143" t="s">
        <v>51442</v>
      </c>
      <c r="W10143" t="s">
        <v>39864</v>
      </c>
      <c r="X10143" t="s">
        <v>43179</v>
      </c>
    </row>
    <row r="10144" spans="1:24">
      <c r="A10144">
        <f>HYPERLINK("https://www.philgeps.gov.ph/GEPSNONPILOT/Tender/SplashBidNoticeAbstractUI.aspx?menuIndex=3&amp;refID=7070076&amp;Result=3","7070076")</f>
        <v>0</v>
      </c>
      <c r="B10144" t="s">
        <v>562</v>
      </c>
      <c r="C10144" t="s">
        <v>13089</v>
      </c>
      <c r="D10144" t="s">
        <v>17490</v>
      </c>
      <c r="E10144" t="s">
        <v>26178</v>
      </c>
      <c r="F10144" t="s">
        <v>30052</v>
      </c>
      <c r="G10144" t="s">
        <v>30058</v>
      </c>
      <c r="H10144" t="s">
        <v>30067</v>
      </c>
      <c r="I10144" t="s">
        <v>3693</v>
      </c>
      <c r="J10144" t="s">
        <v>36318</v>
      </c>
      <c r="K10144" t="s">
        <v>39019</v>
      </c>
      <c r="M10144" t="s">
        <v>39864</v>
      </c>
      <c r="N10144" t="s">
        <v>43166</v>
      </c>
      <c r="O10144" t="s">
        <v>43167</v>
      </c>
      <c r="P10144">
        <v>0</v>
      </c>
      <c r="Q10144">
        <v>0</v>
      </c>
      <c r="R10144" t="s">
        <v>43178</v>
      </c>
      <c r="S10144" t="s">
        <v>43522</v>
      </c>
      <c r="T10144" t="s">
        <v>44791</v>
      </c>
      <c r="U10144" t="s">
        <v>51442</v>
      </c>
      <c r="W10144" t="s">
        <v>39864</v>
      </c>
      <c r="X10144" t="s">
        <v>43179</v>
      </c>
    </row>
    <row r="10145" spans="1:24">
      <c r="A10145">
        <f>HYPERLINK("https://www.philgeps.gov.ph/GEPSNONPILOT/Tender/SplashBidNoticeAbstractUI.aspx?menuIndex=3&amp;refID=7070074&amp;Result=3","7070074")</f>
        <v>0</v>
      </c>
      <c r="B10145" t="s">
        <v>2502</v>
      </c>
      <c r="C10145" t="s">
        <v>13090</v>
      </c>
      <c r="D10145" t="s">
        <v>17442</v>
      </c>
      <c r="E10145" t="s">
        <v>26179</v>
      </c>
      <c r="F10145" t="s">
        <v>30052</v>
      </c>
      <c r="G10145" t="s">
        <v>30058</v>
      </c>
      <c r="H10145" t="s">
        <v>15498</v>
      </c>
      <c r="I10145" t="s">
        <v>4119</v>
      </c>
      <c r="J10145" t="s">
        <v>36399</v>
      </c>
      <c r="K10145" t="s">
        <v>39019</v>
      </c>
      <c r="M10145" t="s">
        <v>42007</v>
      </c>
      <c r="N10145" t="s">
        <v>43166</v>
      </c>
      <c r="O10145" t="s">
        <v>43167</v>
      </c>
      <c r="P10145">
        <v>0</v>
      </c>
      <c r="Q10145">
        <v>5</v>
      </c>
      <c r="R10145" t="s">
        <v>43178</v>
      </c>
      <c r="S10145" t="s">
        <v>43522</v>
      </c>
      <c r="T10145" t="s">
        <v>44773</v>
      </c>
      <c r="U10145" t="s">
        <v>53322</v>
      </c>
      <c r="W10145" t="s">
        <v>42007</v>
      </c>
      <c r="X10145" t="s">
        <v>43179</v>
      </c>
    </row>
    <row r="10146" spans="1:24">
      <c r="A10146">
        <f>HYPERLINK("https://www.philgeps.gov.ph/GEPSNONPILOT/Tender/SplashBidNoticeAbstractUI.aspx?menuIndex=3&amp;refID=7070071&amp;Result=3","7070071")</f>
        <v>0</v>
      </c>
      <c r="B10146" t="s">
        <v>562</v>
      </c>
      <c r="C10146" t="s">
        <v>13091</v>
      </c>
      <c r="D10146" t="s">
        <v>17490</v>
      </c>
      <c r="E10146" t="s">
        <v>26180</v>
      </c>
      <c r="F10146" t="s">
        <v>30052</v>
      </c>
      <c r="G10146" t="s">
        <v>30058</v>
      </c>
      <c r="H10146" t="s">
        <v>30067</v>
      </c>
      <c r="I10146" t="s">
        <v>3693</v>
      </c>
      <c r="J10146" t="s">
        <v>36318</v>
      </c>
      <c r="K10146" t="s">
        <v>39019</v>
      </c>
      <c r="M10146" t="s">
        <v>39864</v>
      </c>
      <c r="N10146" t="s">
        <v>43166</v>
      </c>
      <c r="O10146" t="s">
        <v>43167</v>
      </c>
      <c r="P10146">
        <v>0</v>
      </c>
      <c r="Q10146">
        <v>1</v>
      </c>
      <c r="R10146" t="s">
        <v>43178</v>
      </c>
      <c r="S10146" t="s">
        <v>43522</v>
      </c>
      <c r="T10146" t="s">
        <v>44791</v>
      </c>
      <c r="U10146" t="s">
        <v>51442</v>
      </c>
      <c r="W10146" t="s">
        <v>39864</v>
      </c>
      <c r="X10146" t="s">
        <v>43179</v>
      </c>
    </row>
    <row r="10147" spans="1:24">
      <c r="A10147">
        <f>HYPERLINK("https://www.philgeps.gov.ph/GEPSNONPILOT/Tender/SplashBidNoticeAbstractUI.aspx?menuIndex=3&amp;refID=7070104&amp;Result=3","7070104")</f>
        <v>0</v>
      </c>
      <c r="B10147" t="s">
        <v>1278</v>
      </c>
      <c r="C10147" t="s">
        <v>13092</v>
      </c>
      <c r="D10147" t="s">
        <v>17449</v>
      </c>
      <c r="E10147" t="s">
        <v>26181</v>
      </c>
      <c r="F10147" t="s">
        <v>30052</v>
      </c>
      <c r="G10147" t="s">
        <v>30058</v>
      </c>
      <c r="H10147" t="s">
        <v>15498</v>
      </c>
      <c r="I10147" t="s">
        <v>4650</v>
      </c>
      <c r="J10147" t="s">
        <v>36400</v>
      </c>
      <c r="K10147" t="s">
        <v>39029</v>
      </c>
      <c r="M10147" t="s">
        <v>40642</v>
      </c>
      <c r="N10147" t="s">
        <v>43166</v>
      </c>
      <c r="O10147" t="s">
        <v>43167</v>
      </c>
      <c r="P10147">
        <v>0</v>
      </c>
      <c r="Q10147">
        <v>4</v>
      </c>
      <c r="R10147" t="s">
        <v>43178</v>
      </c>
      <c r="S10147" t="s">
        <v>43522</v>
      </c>
      <c r="T10147" t="s">
        <v>44754</v>
      </c>
      <c r="U10147" t="s">
        <v>53323</v>
      </c>
      <c r="V10147" t="s">
        <v>53094</v>
      </c>
      <c r="W10147" t="s">
        <v>40642</v>
      </c>
      <c r="X10147" t="s">
        <v>43179</v>
      </c>
    </row>
    <row r="10148" spans="1:24">
      <c r="A10148">
        <f>HYPERLINK("https://www.philgeps.gov.ph/GEPSNONPILOT/Tender/SplashBidNoticeAbstractUI.aspx?menuIndex=3&amp;refID=7070025&amp;Result=3","7070025")</f>
        <v>0</v>
      </c>
      <c r="B10148" t="s">
        <v>2902</v>
      </c>
      <c r="C10148" t="s">
        <v>13093</v>
      </c>
      <c r="D10148" t="s">
        <v>17482</v>
      </c>
      <c r="E10148" t="s">
        <v>26182</v>
      </c>
      <c r="F10148" t="s">
        <v>30052</v>
      </c>
      <c r="G10148" t="s">
        <v>30058</v>
      </c>
      <c r="H10148" t="s">
        <v>30067</v>
      </c>
      <c r="I10148" t="s">
        <v>3693</v>
      </c>
      <c r="J10148" t="s">
        <v>36401</v>
      </c>
      <c r="K10148" t="s">
        <v>39031</v>
      </c>
      <c r="M10148" t="s">
        <v>42456</v>
      </c>
      <c r="N10148" t="s">
        <v>43166</v>
      </c>
      <c r="O10148" t="s">
        <v>43167</v>
      </c>
      <c r="P10148">
        <v>0</v>
      </c>
      <c r="Q10148">
        <v>2</v>
      </c>
      <c r="R10148" t="s">
        <v>43178</v>
      </c>
      <c r="S10148" t="s">
        <v>43522</v>
      </c>
      <c r="T10148" t="s">
        <v>44791</v>
      </c>
      <c r="U10148" t="s">
        <v>53309</v>
      </c>
      <c r="V10148" t="s">
        <v>57968</v>
      </c>
      <c r="W10148" t="s">
        <v>42456</v>
      </c>
      <c r="X10148" t="s">
        <v>43179</v>
      </c>
    </row>
    <row r="10149" spans="1:24">
      <c r="A10149">
        <f>HYPERLINK("https://www.philgeps.gov.ph/GEPSNONPILOT/Tender/SplashBidNoticeAbstractUI.aspx?menuIndex=3&amp;refID=7070142&amp;Result=3","7070142")</f>
        <v>0</v>
      </c>
      <c r="B10149" t="s">
        <v>1589</v>
      </c>
      <c r="C10149" t="s">
        <v>13094</v>
      </c>
      <c r="D10149" t="s">
        <v>17494</v>
      </c>
      <c r="E10149" t="s">
        <v>26183</v>
      </c>
      <c r="F10149" t="s">
        <v>30052</v>
      </c>
      <c r="G10149" t="s">
        <v>30058</v>
      </c>
      <c r="H10149" t="s">
        <v>15498</v>
      </c>
      <c r="I10149" t="s">
        <v>4119</v>
      </c>
      <c r="J10149" t="s">
        <v>36402</v>
      </c>
      <c r="K10149" t="s">
        <v>39019</v>
      </c>
      <c r="M10149" t="s">
        <v>40982</v>
      </c>
      <c r="N10149" t="s">
        <v>43166</v>
      </c>
      <c r="O10149" t="s">
        <v>43167</v>
      </c>
      <c r="P10149">
        <v>0</v>
      </c>
      <c r="Q10149">
        <v>3</v>
      </c>
      <c r="R10149" t="s">
        <v>43178</v>
      </c>
      <c r="S10149" t="s">
        <v>43522</v>
      </c>
      <c r="T10149" t="s">
        <v>44791</v>
      </c>
      <c r="U10149" t="s">
        <v>53324</v>
      </c>
      <c r="W10149" t="s">
        <v>40982</v>
      </c>
      <c r="X10149" t="s">
        <v>43179</v>
      </c>
    </row>
    <row r="10150" spans="1:24">
      <c r="A10150">
        <f>HYPERLINK("https://www.philgeps.gov.ph/GEPSNONPILOT/Tender/SplashBidNoticeAbstractUI.aspx?menuIndex=3&amp;refID=7070092&amp;Result=3","7070092")</f>
        <v>0</v>
      </c>
      <c r="B10150" t="s">
        <v>509</v>
      </c>
      <c r="C10150" t="s">
        <v>13095</v>
      </c>
      <c r="D10150" t="s">
        <v>17415</v>
      </c>
      <c r="E10150" t="s">
        <v>26184</v>
      </c>
      <c r="F10150" t="s">
        <v>30052</v>
      </c>
      <c r="G10150" t="s">
        <v>30058</v>
      </c>
      <c r="H10150" t="s">
        <v>30067</v>
      </c>
      <c r="I10150" t="s">
        <v>3693</v>
      </c>
      <c r="J10150" t="s">
        <v>36403</v>
      </c>
      <c r="K10150" t="s">
        <v>39057</v>
      </c>
      <c r="M10150" t="s">
        <v>39810</v>
      </c>
      <c r="N10150" t="s">
        <v>43166</v>
      </c>
      <c r="O10150" t="s">
        <v>43167</v>
      </c>
      <c r="Q10150">
        <v>26</v>
      </c>
      <c r="R10150" t="s">
        <v>43178</v>
      </c>
      <c r="S10150" t="s">
        <v>43567</v>
      </c>
      <c r="T10150" t="s">
        <v>44750</v>
      </c>
      <c r="U10150" t="s">
        <v>50415</v>
      </c>
      <c r="W10150" t="s">
        <v>39810</v>
      </c>
      <c r="X10150" t="s">
        <v>43179</v>
      </c>
    </row>
    <row r="10151" spans="1:24">
      <c r="A10151">
        <f>HYPERLINK("https://www.philgeps.gov.ph/GEPSNONPILOT/Tender/SplashBidNoticeAbstractUI.aspx?menuIndex=3&amp;refID=7070073&amp;Result=3","7070073")</f>
        <v>0</v>
      </c>
      <c r="B10151" t="s">
        <v>562</v>
      </c>
      <c r="C10151" t="s">
        <v>13096</v>
      </c>
      <c r="D10151" t="s">
        <v>17490</v>
      </c>
      <c r="E10151" t="s">
        <v>26185</v>
      </c>
      <c r="F10151" t="s">
        <v>30052</v>
      </c>
      <c r="G10151" t="s">
        <v>30058</v>
      </c>
      <c r="H10151" t="s">
        <v>30067</v>
      </c>
      <c r="I10151" t="s">
        <v>3693</v>
      </c>
      <c r="J10151" t="s">
        <v>36318</v>
      </c>
      <c r="K10151" t="s">
        <v>39019</v>
      </c>
      <c r="M10151" t="s">
        <v>39864</v>
      </c>
      <c r="N10151" t="s">
        <v>43166</v>
      </c>
      <c r="O10151" t="s">
        <v>43167</v>
      </c>
      <c r="P10151">
        <v>0</v>
      </c>
      <c r="Q10151">
        <v>0</v>
      </c>
      <c r="R10151" t="s">
        <v>43178</v>
      </c>
      <c r="S10151" t="s">
        <v>43522</v>
      </c>
      <c r="T10151" t="s">
        <v>44791</v>
      </c>
      <c r="U10151" t="s">
        <v>51442</v>
      </c>
      <c r="W10151" t="s">
        <v>39864</v>
      </c>
      <c r="X10151" t="s">
        <v>43179</v>
      </c>
    </row>
    <row r="10152" spans="1:24">
      <c r="A10152">
        <f>HYPERLINK("https://www.philgeps.gov.ph/GEPSNONPILOT/Tender/SplashBidNoticeAbstractUI.aspx?menuIndex=3&amp;refID=7070156&amp;Result=3","7070156")</f>
        <v>0</v>
      </c>
      <c r="B10152" t="s">
        <v>1589</v>
      </c>
      <c r="C10152" t="s">
        <v>13097</v>
      </c>
      <c r="D10152" t="s">
        <v>17494</v>
      </c>
      <c r="E10152" t="s">
        <v>26186</v>
      </c>
      <c r="F10152" t="s">
        <v>30052</v>
      </c>
      <c r="G10152" t="s">
        <v>30058</v>
      </c>
      <c r="H10152" t="s">
        <v>15498</v>
      </c>
      <c r="I10152" t="s">
        <v>3736</v>
      </c>
      <c r="J10152" t="s">
        <v>36404</v>
      </c>
      <c r="K10152" t="s">
        <v>39019</v>
      </c>
      <c r="M10152" t="s">
        <v>40982</v>
      </c>
      <c r="N10152" t="s">
        <v>43166</v>
      </c>
      <c r="O10152" t="s">
        <v>43167</v>
      </c>
      <c r="P10152">
        <v>0</v>
      </c>
      <c r="Q10152">
        <v>0</v>
      </c>
      <c r="R10152" t="s">
        <v>43178</v>
      </c>
      <c r="S10152" t="s">
        <v>43522</v>
      </c>
      <c r="T10152" t="s">
        <v>44791</v>
      </c>
      <c r="U10152" t="s">
        <v>53325</v>
      </c>
      <c r="W10152" t="s">
        <v>40982</v>
      </c>
      <c r="X10152" t="s">
        <v>43179</v>
      </c>
    </row>
    <row r="10153" spans="1:24">
      <c r="A10153">
        <f>HYPERLINK("https://www.philgeps.gov.ph/GEPSNONPILOT/Tender/SplashBidNoticeAbstractUI.aspx?menuIndex=3&amp;refID=7069460&amp;Result=3","7069460")</f>
        <v>0</v>
      </c>
      <c r="B10153" t="s">
        <v>1149</v>
      </c>
      <c r="C10153" t="s">
        <v>6285</v>
      </c>
      <c r="D10153" t="s">
        <v>17415</v>
      </c>
      <c r="E10153" t="s">
        <v>26187</v>
      </c>
      <c r="F10153" t="s">
        <v>30052</v>
      </c>
      <c r="G10153" t="s">
        <v>30058</v>
      </c>
      <c r="H10153" t="s">
        <v>15498</v>
      </c>
      <c r="I10153" t="s">
        <v>30084</v>
      </c>
      <c r="J10153" t="s">
        <v>36405</v>
      </c>
      <c r="K10153" t="s">
        <v>39025</v>
      </c>
      <c r="M10153" t="s">
        <v>40493</v>
      </c>
      <c r="N10153" t="s">
        <v>43166</v>
      </c>
      <c r="O10153" t="s">
        <v>43167</v>
      </c>
      <c r="Q10153">
        <v>69</v>
      </c>
      <c r="R10153" t="s">
        <v>43178</v>
      </c>
      <c r="S10153" t="s">
        <v>43568</v>
      </c>
      <c r="T10153" t="s">
        <v>44762</v>
      </c>
      <c r="U10153" t="s">
        <v>47660</v>
      </c>
      <c r="W10153" t="s">
        <v>40493</v>
      </c>
      <c r="X10153" t="s">
        <v>43179</v>
      </c>
    </row>
    <row r="10154" spans="1:24">
      <c r="A10154">
        <f>HYPERLINK("https://www.philgeps.gov.ph/GEPSNONPILOT/Tender/SplashBidNoticeAbstractUI.aspx?menuIndex=3&amp;refID=7070152&amp;Result=3","7070152")</f>
        <v>0</v>
      </c>
      <c r="B10154" t="s">
        <v>1274</v>
      </c>
      <c r="C10154" t="s">
        <v>13098</v>
      </c>
      <c r="D10154" t="s">
        <v>17466</v>
      </c>
      <c r="E10154" t="s">
        <v>26188</v>
      </c>
      <c r="F10154" t="s">
        <v>30052</v>
      </c>
      <c r="G10154" t="s">
        <v>30058</v>
      </c>
      <c r="H10154" t="s">
        <v>15498</v>
      </c>
      <c r="I10154" t="s">
        <v>3736</v>
      </c>
      <c r="J10154" t="s">
        <v>30567</v>
      </c>
      <c r="K10154" t="s">
        <v>39039</v>
      </c>
      <c r="M10154" t="s">
        <v>40634</v>
      </c>
      <c r="N10154" t="s">
        <v>43166</v>
      </c>
      <c r="O10154" t="s">
        <v>43167</v>
      </c>
      <c r="P10154">
        <v>0</v>
      </c>
      <c r="Q10154">
        <v>0</v>
      </c>
      <c r="R10154" t="s">
        <v>43178</v>
      </c>
      <c r="S10154" t="s">
        <v>43522</v>
      </c>
      <c r="T10154" t="s">
        <v>44762</v>
      </c>
      <c r="U10154" t="s">
        <v>53326</v>
      </c>
      <c r="W10154" t="s">
        <v>40634</v>
      </c>
      <c r="X10154" t="s">
        <v>43179</v>
      </c>
    </row>
    <row r="10155" spans="1:24">
      <c r="A10155">
        <f>HYPERLINK("https://www.philgeps.gov.ph/GEPSNONPILOT/Tender/SplashBidNoticeAbstractUI.aspx?menuIndex=3&amp;refID=7070149&amp;Result=3","7070149")</f>
        <v>0</v>
      </c>
      <c r="B10155" t="s">
        <v>2906</v>
      </c>
      <c r="C10155" t="s">
        <v>13099</v>
      </c>
      <c r="D10155" t="s">
        <v>17445</v>
      </c>
      <c r="E10155" t="s">
        <v>26189</v>
      </c>
      <c r="F10155" t="s">
        <v>30052</v>
      </c>
      <c r="G10155" t="s">
        <v>30058</v>
      </c>
      <c r="H10155" t="s">
        <v>15498</v>
      </c>
      <c r="I10155" t="s">
        <v>30076</v>
      </c>
      <c r="J10155" t="s">
        <v>36406</v>
      </c>
      <c r="K10155" t="s">
        <v>39037</v>
      </c>
      <c r="M10155" t="s">
        <v>42460</v>
      </c>
      <c r="N10155" t="s">
        <v>43166</v>
      </c>
      <c r="O10155" t="s">
        <v>43167</v>
      </c>
      <c r="Q10155">
        <v>6</v>
      </c>
      <c r="R10155" t="s">
        <v>43178</v>
      </c>
      <c r="S10155" t="s">
        <v>43569</v>
      </c>
      <c r="T10155" t="s">
        <v>44711</v>
      </c>
      <c r="U10155" t="s">
        <v>53327</v>
      </c>
      <c r="W10155" t="s">
        <v>42460</v>
      </c>
      <c r="X10155" t="s">
        <v>43179</v>
      </c>
    </row>
    <row r="10156" spans="1:24">
      <c r="A10156">
        <f>HYPERLINK("https://www.philgeps.gov.ph/GEPSNONPILOT/Tender/SplashBidNoticeAbstractUI.aspx?menuIndex=3&amp;refID=7070111&amp;Result=3","7070111")</f>
        <v>0</v>
      </c>
      <c r="B10156" t="s">
        <v>2395</v>
      </c>
      <c r="C10156" t="s">
        <v>13100</v>
      </c>
      <c r="E10156" t="s">
        <v>26190</v>
      </c>
      <c r="F10156" t="s">
        <v>30052</v>
      </c>
      <c r="G10156" t="s">
        <v>30058</v>
      </c>
      <c r="H10156" t="s">
        <v>30067</v>
      </c>
      <c r="I10156" t="s">
        <v>3693</v>
      </c>
      <c r="J10156" t="s">
        <v>30215</v>
      </c>
      <c r="K10156" t="s">
        <v>39031</v>
      </c>
      <c r="M10156" t="s">
        <v>41891</v>
      </c>
      <c r="N10156" t="s">
        <v>43166</v>
      </c>
      <c r="O10156" t="s">
        <v>43167</v>
      </c>
      <c r="Q10156">
        <v>1</v>
      </c>
      <c r="R10156" t="s">
        <v>43178</v>
      </c>
      <c r="S10156" t="s">
        <v>43570</v>
      </c>
      <c r="T10156" t="s">
        <v>44763</v>
      </c>
      <c r="U10156" t="s">
        <v>53317</v>
      </c>
      <c r="V10156" t="s">
        <v>57649</v>
      </c>
      <c r="W10156" t="s">
        <v>41891</v>
      </c>
      <c r="X10156" t="s">
        <v>43179</v>
      </c>
    </row>
    <row r="10157" spans="1:24">
      <c r="A10157">
        <f>HYPERLINK("https://www.philgeps.gov.ph/GEPSNONPILOT/Tender/SplashBidNoticeAbstractUI.aspx?menuIndex=3&amp;refID=7070139&amp;Result=3","7070139")</f>
        <v>0</v>
      </c>
      <c r="B10157" t="s">
        <v>1589</v>
      </c>
      <c r="C10157" t="s">
        <v>13101</v>
      </c>
      <c r="D10157" t="s">
        <v>17494</v>
      </c>
      <c r="E10157" t="s">
        <v>26191</v>
      </c>
      <c r="F10157" t="s">
        <v>30052</v>
      </c>
      <c r="G10157" t="s">
        <v>30058</v>
      </c>
      <c r="H10157" t="s">
        <v>15498</v>
      </c>
      <c r="I10157" t="s">
        <v>4650</v>
      </c>
      <c r="J10157" t="s">
        <v>36407</v>
      </c>
      <c r="K10157" t="s">
        <v>39019</v>
      </c>
      <c r="M10157" t="s">
        <v>40982</v>
      </c>
      <c r="N10157" t="s">
        <v>43166</v>
      </c>
      <c r="O10157" t="s">
        <v>43167</v>
      </c>
      <c r="P10157">
        <v>0</v>
      </c>
      <c r="Q10157">
        <v>0</v>
      </c>
      <c r="R10157" t="s">
        <v>43178</v>
      </c>
      <c r="S10157" t="s">
        <v>43522</v>
      </c>
      <c r="T10157" t="s">
        <v>44791</v>
      </c>
      <c r="U10157" t="s">
        <v>53328</v>
      </c>
      <c r="W10157" t="s">
        <v>40982</v>
      </c>
      <c r="X10157" t="s">
        <v>43179</v>
      </c>
    </row>
    <row r="10158" spans="1:24">
      <c r="A10158">
        <f>HYPERLINK("https://www.philgeps.gov.ph/GEPSNONPILOT/Tender/SplashBidNoticeAbstractUI.aspx?menuIndex=3&amp;refID=7070134&amp;Result=3","7070134")</f>
        <v>0</v>
      </c>
      <c r="B10158" t="s">
        <v>1589</v>
      </c>
      <c r="C10158" t="s">
        <v>13102</v>
      </c>
      <c r="D10158" t="s">
        <v>17494</v>
      </c>
      <c r="E10158" t="s">
        <v>26192</v>
      </c>
      <c r="F10158" t="s">
        <v>30052</v>
      </c>
      <c r="G10158" t="s">
        <v>30058</v>
      </c>
      <c r="H10158" t="s">
        <v>15498</v>
      </c>
      <c r="I10158" t="s">
        <v>30073</v>
      </c>
      <c r="J10158" t="s">
        <v>36408</v>
      </c>
      <c r="K10158" t="s">
        <v>39019</v>
      </c>
      <c r="M10158" t="s">
        <v>40982</v>
      </c>
      <c r="N10158" t="s">
        <v>43166</v>
      </c>
      <c r="O10158" t="s">
        <v>43167</v>
      </c>
      <c r="P10158">
        <v>0</v>
      </c>
      <c r="Q10158">
        <v>0</v>
      </c>
      <c r="R10158" t="s">
        <v>43178</v>
      </c>
      <c r="S10158" t="s">
        <v>43522</v>
      </c>
      <c r="T10158" t="s">
        <v>44791</v>
      </c>
      <c r="U10158" t="s">
        <v>53329</v>
      </c>
      <c r="W10158" t="s">
        <v>40982</v>
      </c>
      <c r="X10158" t="s">
        <v>43179</v>
      </c>
    </row>
    <row r="10159" spans="1:24">
      <c r="A10159">
        <f>HYPERLINK("https://www.philgeps.gov.ph/GEPSNONPILOT/Tender/SplashBidNoticeAbstractUI.aspx?menuIndex=3&amp;refID=7070132&amp;Result=3","7070132")</f>
        <v>0</v>
      </c>
      <c r="B10159" t="s">
        <v>1363</v>
      </c>
      <c r="C10159" t="s">
        <v>13103</v>
      </c>
      <c r="D10159" t="s">
        <v>17432</v>
      </c>
      <c r="E10159" t="s">
        <v>26193</v>
      </c>
      <c r="F10159" t="s">
        <v>30052</v>
      </c>
      <c r="G10159" t="s">
        <v>30058</v>
      </c>
      <c r="H10159" t="s">
        <v>15498</v>
      </c>
      <c r="I10159" t="s">
        <v>30124</v>
      </c>
      <c r="J10159" t="s">
        <v>30222</v>
      </c>
      <c r="K10159" t="s">
        <v>39029</v>
      </c>
      <c r="M10159" t="s">
        <v>40733</v>
      </c>
      <c r="N10159" t="s">
        <v>43166</v>
      </c>
      <c r="O10159" t="s">
        <v>43167</v>
      </c>
      <c r="P10159">
        <v>0</v>
      </c>
      <c r="Q10159">
        <v>10</v>
      </c>
      <c r="R10159" t="s">
        <v>43178</v>
      </c>
      <c r="S10159" t="s">
        <v>43522</v>
      </c>
      <c r="T10159" t="s">
        <v>45008</v>
      </c>
      <c r="U10159" t="s">
        <v>53330</v>
      </c>
      <c r="V10159" t="s">
        <v>57969</v>
      </c>
      <c r="W10159" t="s">
        <v>40733</v>
      </c>
      <c r="X10159" t="s">
        <v>43179</v>
      </c>
    </row>
    <row r="10160" spans="1:24">
      <c r="A10160">
        <f>HYPERLINK("https://www.philgeps.gov.ph/GEPSNONPILOT/Tender/SplashBidNoticeAbstractUI.aspx?menuIndex=3&amp;refID=7070130&amp;Result=3","7070130")</f>
        <v>0</v>
      </c>
      <c r="B10160" t="s">
        <v>1363</v>
      </c>
      <c r="C10160" t="s">
        <v>13104</v>
      </c>
      <c r="D10160" t="s">
        <v>17432</v>
      </c>
      <c r="E10160" t="s">
        <v>26194</v>
      </c>
      <c r="F10160" t="s">
        <v>30052</v>
      </c>
      <c r="G10160" t="s">
        <v>30058</v>
      </c>
      <c r="H10160" t="s">
        <v>15498</v>
      </c>
      <c r="I10160" t="s">
        <v>30124</v>
      </c>
      <c r="J10160" t="s">
        <v>30222</v>
      </c>
      <c r="K10160" t="s">
        <v>39029</v>
      </c>
      <c r="M10160" t="s">
        <v>40733</v>
      </c>
      <c r="N10160" t="s">
        <v>43166</v>
      </c>
      <c r="O10160" t="s">
        <v>43167</v>
      </c>
      <c r="P10160">
        <v>0</v>
      </c>
      <c r="Q10160">
        <v>9</v>
      </c>
      <c r="R10160" t="s">
        <v>43178</v>
      </c>
      <c r="S10160" t="s">
        <v>43522</v>
      </c>
      <c r="T10160" t="s">
        <v>45008</v>
      </c>
      <c r="U10160" t="s">
        <v>53331</v>
      </c>
      <c r="V10160" t="s">
        <v>57969</v>
      </c>
      <c r="W10160" t="s">
        <v>40733</v>
      </c>
      <c r="X10160" t="s">
        <v>43179</v>
      </c>
    </row>
    <row r="10161" spans="1:24">
      <c r="A10161">
        <f>HYPERLINK("https://www.philgeps.gov.ph/GEPSNONPILOT/Tender/SplashBidNoticeAbstractUI.aspx?menuIndex=3&amp;refID=7070151&amp;Result=3","7070151")</f>
        <v>0</v>
      </c>
      <c r="B10161" t="s">
        <v>1589</v>
      </c>
      <c r="C10161" t="s">
        <v>13105</v>
      </c>
      <c r="D10161" t="s">
        <v>17494</v>
      </c>
      <c r="E10161" t="s">
        <v>26195</v>
      </c>
      <c r="F10161" t="s">
        <v>30052</v>
      </c>
      <c r="G10161" t="s">
        <v>30058</v>
      </c>
      <c r="H10161" t="s">
        <v>15498</v>
      </c>
      <c r="I10161" t="s">
        <v>4119</v>
      </c>
      <c r="J10161" t="s">
        <v>36409</v>
      </c>
      <c r="K10161" t="s">
        <v>39019</v>
      </c>
      <c r="M10161" t="s">
        <v>40982</v>
      </c>
      <c r="N10161" t="s">
        <v>43166</v>
      </c>
      <c r="O10161" t="s">
        <v>43167</v>
      </c>
      <c r="P10161">
        <v>0</v>
      </c>
      <c r="Q10161">
        <v>1</v>
      </c>
      <c r="R10161" t="s">
        <v>43178</v>
      </c>
      <c r="S10161" t="s">
        <v>43522</v>
      </c>
      <c r="T10161" t="s">
        <v>44791</v>
      </c>
      <c r="U10161" t="s">
        <v>53332</v>
      </c>
      <c r="W10161" t="s">
        <v>40982</v>
      </c>
      <c r="X10161" t="s">
        <v>43179</v>
      </c>
    </row>
    <row r="10162" spans="1:24">
      <c r="A10162">
        <f>HYPERLINK("https://www.philgeps.gov.ph/GEPSNONPILOT/Tender/SplashBidNoticeAbstractUI.aspx?menuIndex=3&amp;refID=7070137&amp;Result=3","7070137")</f>
        <v>0</v>
      </c>
      <c r="B10162" t="s">
        <v>1363</v>
      </c>
      <c r="C10162" t="s">
        <v>13106</v>
      </c>
      <c r="D10162" t="s">
        <v>17432</v>
      </c>
      <c r="E10162" t="s">
        <v>26196</v>
      </c>
      <c r="F10162" t="s">
        <v>30052</v>
      </c>
      <c r="G10162" t="s">
        <v>30058</v>
      </c>
      <c r="H10162" t="s">
        <v>15498</v>
      </c>
      <c r="I10162" t="s">
        <v>30124</v>
      </c>
      <c r="J10162" t="s">
        <v>30222</v>
      </c>
      <c r="K10162" t="s">
        <v>39029</v>
      </c>
      <c r="M10162" t="s">
        <v>40733</v>
      </c>
      <c r="N10162" t="s">
        <v>43166</v>
      </c>
      <c r="O10162" t="s">
        <v>43167</v>
      </c>
      <c r="Q10162">
        <v>7</v>
      </c>
      <c r="R10162" t="s">
        <v>43178</v>
      </c>
      <c r="S10162" t="s">
        <v>43571</v>
      </c>
      <c r="T10162" t="s">
        <v>45008</v>
      </c>
      <c r="U10162" t="s">
        <v>53333</v>
      </c>
      <c r="V10162" t="s">
        <v>57969</v>
      </c>
      <c r="W10162" t="s">
        <v>40733</v>
      </c>
      <c r="X10162" t="s">
        <v>43179</v>
      </c>
    </row>
    <row r="10163" spans="1:24">
      <c r="A10163">
        <f>HYPERLINK("https://www.philgeps.gov.ph/GEPSNONPILOT/Tender/SplashBidNoticeAbstractUI.aspx?menuIndex=3&amp;refID=7070124&amp;Result=3","7070124")</f>
        <v>0</v>
      </c>
      <c r="B10163" t="s">
        <v>1363</v>
      </c>
      <c r="C10163" t="s">
        <v>13107</v>
      </c>
      <c r="D10163" t="s">
        <v>17432</v>
      </c>
      <c r="E10163" t="s">
        <v>26197</v>
      </c>
      <c r="F10163" t="s">
        <v>30052</v>
      </c>
      <c r="G10163" t="s">
        <v>30058</v>
      </c>
      <c r="H10163" t="s">
        <v>15498</v>
      </c>
      <c r="I10163" t="s">
        <v>30073</v>
      </c>
      <c r="J10163" t="s">
        <v>30222</v>
      </c>
      <c r="K10163" t="s">
        <v>39029</v>
      </c>
      <c r="M10163" t="s">
        <v>40733</v>
      </c>
      <c r="N10163" t="s">
        <v>43166</v>
      </c>
      <c r="O10163" t="s">
        <v>43167</v>
      </c>
      <c r="P10163">
        <v>0</v>
      </c>
      <c r="Q10163">
        <v>4</v>
      </c>
      <c r="R10163" t="s">
        <v>43178</v>
      </c>
      <c r="S10163" t="s">
        <v>43522</v>
      </c>
      <c r="T10163" t="s">
        <v>45012</v>
      </c>
      <c r="U10163" t="s">
        <v>53334</v>
      </c>
      <c r="V10163" t="s">
        <v>57967</v>
      </c>
      <c r="W10163" t="s">
        <v>40733</v>
      </c>
      <c r="X10163" t="s">
        <v>43179</v>
      </c>
    </row>
    <row r="10164" spans="1:24">
      <c r="A10164">
        <f>HYPERLINK("https://www.philgeps.gov.ph/GEPSNONPILOT/Tender/SplashBidNoticeAbstractUI.aspx?menuIndex=3&amp;refID=7070129&amp;Result=3","7070129")</f>
        <v>0</v>
      </c>
      <c r="B10164" t="s">
        <v>1363</v>
      </c>
      <c r="C10164" t="s">
        <v>13108</v>
      </c>
      <c r="D10164" t="s">
        <v>17432</v>
      </c>
      <c r="E10164" t="s">
        <v>26198</v>
      </c>
      <c r="F10164" t="s">
        <v>30052</v>
      </c>
      <c r="G10164" t="s">
        <v>30058</v>
      </c>
      <c r="H10164" t="s">
        <v>15498</v>
      </c>
      <c r="I10164" t="s">
        <v>6304</v>
      </c>
      <c r="J10164" t="s">
        <v>30222</v>
      </c>
      <c r="K10164" t="s">
        <v>39029</v>
      </c>
      <c r="M10164" t="s">
        <v>40733</v>
      </c>
      <c r="N10164" t="s">
        <v>43166</v>
      </c>
      <c r="O10164" t="s">
        <v>43167</v>
      </c>
      <c r="Q10164">
        <v>5</v>
      </c>
      <c r="R10164" t="s">
        <v>43178</v>
      </c>
      <c r="S10164" t="s">
        <v>43572</v>
      </c>
      <c r="T10164" t="s">
        <v>45008</v>
      </c>
      <c r="U10164" t="s">
        <v>53335</v>
      </c>
      <c r="V10164" t="s">
        <v>57969</v>
      </c>
      <c r="W10164" t="s">
        <v>40733</v>
      </c>
      <c r="X10164" t="s">
        <v>43179</v>
      </c>
    </row>
    <row r="10165" spans="1:24">
      <c r="A10165">
        <f>HYPERLINK("https://www.philgeps.gov.ph/GEPSNONPILOT/Tender/SplashBidNoticeAbstractUI.aspx?menuIndex=3&amp;refID=7070146&amp;Result=3","7070146")</f>
        <v>0</v>
      </c>
      <c r="B10165" t="s">
        <v>1589</v>
      </c>
      <c r="C10165" t="s">
        <v>13109</v>
      </c>
      <c r="D10165" t="s">
        <v>17494</v>
      </c>
      <c r="E10165" t="s">
        <v>26199</v>
      </c>
      <c r="F10165" t="s">
        <v>30052</v>
      </c>
      <c r="G10165" t="s">
        <v>30058</v>
      </c>
      <c r="H10165" t="s">
        <v>15498</v>
      </c>
      <c r="I10165" t="s">
        <v>3736</v>
      </c>
      <c r="J10165" t="s">
        <v>36410</v>
      </c>
      <c r="K10165" t="s">
        <v>39019</v>
      </c>
      <c r="M10165" t="s">
        <v>40982</v>
      </c>
      <c r="N10165" t="s">
        <v>43166</v>
      </c>
      <c r="O10165" t="s">
        <v>43167</v>
      </c>
      <c r="P10165">
        <v>0</v>
      </c>
      <c r="Q10165">
        <v>0</v>
      </c>
      <c r="R10165" t="s">
        <v>43178</v>
      </c>
      <c r="S10165" t="s">
        <v>43522</v>
      </c>
      <c r="T10165" t="s">
        <v>44791</v>
      </c>
      <c r="U10165" t="s">
        <v>53336</v>
      </c>
      <c r="W10165" t="s">
        <v>40982</v>
      </c>
      <c r="X10165" t="s">
        <v>43179</v>
      </c>
    </row>
    <row r="10166" spans="1:24">
      <c r="A10166">
        <f>HYPERLINK("https://www.philgeps.gov.ph/GEPSNONPILOT/Tender/SplashBidNoticeAbstractUI.aspx?menuIndex=3&amp;refID=7070206&amp;Result=3","7070206")</f>
        <v>0</v>
      </c>
      <c r="B10166" t="s">
        <v>562</v>
      </c>
      <c r="C10166" t="s">
        <v>13110</v>
      </c>
      <c r="D10166" t="s">
        <v>17490</v>
      </c>
      <c r="E10166" t="s">
        <v>26200</v>
      </c>
      <c r="F10166" t="s">
        <v>30052</v>
      </c>
      <c r="G10166" t="s">
        <v>30058</v>
      </c>
      <c r="H10166" t="s">
        <v>30067</v>
      </c>
      <c r="I10166" t="s">
        <v>3693</v>
      </c>
      <c r="J10166" t="s">
        <v>36318</v>
      </c>
      <c r="K10166" t="s">
        <v>39019</v>
      </c>
      <c r="M10166" t="s">
        <v>39864</v>
      </c>
      <c r="N10166" t="s">
        <v>43166</v>
      </c>
      <c r="O10166" t="s">
        <v>43167</v>
      </c>
      <c r="P10166">
        <v>0</v>
      </c>
      <c r="Q10166">
        <v>0</v>
      </c>
      <c r="R10166" t="s">
        <v>43178</v>
      </c>
      <c r="S10166" t="s">
        <v>43522</v>
      </c>
      <c r="T10166" t="s">
        <v>44791</v>
      </c>
      <c r="U10166" t="s">
        <v>51442</v>
      </c>
      <c r="W10166" t="s">
        <v>39864</v>
      </c>
      <c r="X10166" t="s">
        <v>43179</v>
      </c>
    </row>
    <row r="10167" spans="1:24">
      <c r="A10167">
        <f>HYPERLINK("https://www.philgeps.gov.ph/GEPSNONPILOT/Tender/SplashBidNoticeAbstractUI.aspx?menuIndex=3&amp;refID=7070205&amp;Result=3","7070205")</f>
        <v>0</v>
      </c>
      <c r="B10167" t="s">
        <v>562</v>
      </c>
      <c r="C10167" t="s">
        <v>13111</v>
      </c>
      <c r="D10167" t="s">
        <v>17490</v>
      </c>
      <c r="E10167" t="s">
        <v>26201</v>
      </c>
      <c r="F10167" t="s">
        <v>30052</v>
      </c>
      <c r="G10167" t="s">
        <v>30058</v>
      </c>
      <c r="H10167" t="s">
        <v>30067</v>
      </c>
      <c r="I10167" t="s">
        <v>3693</v>
      </c>
      <c r="J10167" t="s">
        <v>36318</v>
      </c>
      <c r="K10167" t="s">
        <v>39019</v>
      </c>
      <c r="M10167" t="s">
        <v>39864</v>
      </c>
      <c r="N10167" t="s">
        <v>43166</v>
      </c>
      <c r="O10167" t="s">
        <v>43167</v>
      </c>
      <c r="P10167">
        <v>0</v>
      </c>
      <c r="Q10167">
        <v>0</v>
      </c>
      <c r="R10167" t="s">
        <v>43178</v>
      </c>
      <c r="S10167" t="s">
        <v>43522</v>
      </c>
      <c r="T10167" t="s">
        <v>44791</v>
      </c>
      <c r="U10167" t="s">
        <v>51442</v>
      </c>
      <c r="W10167" t="s">
        <v>39864</v>
      </c>
      <c r="X10167" t="s">
        <v>43179</v>
      </c>
    </row>
    <row r="10168" spans="1:24">
      <c r="A10168">
        <f>HYPERLINK("https://www.philgeps.gov.ph/GEPSNONPILOT/Tender/SplashBidNoticeAbstractUI.aspx?menuIndex=3&amp;refID=7070203&amp;Result=3","7070203")</f>
        <v>0</v>
      </c>
      <c r="B10168" t="s">
        <v>562</v>
      </c>
      <c r="C10168" t="s">
        <v>13112</v>
      </c>
      <c r="D10168" t="s">
        <v>17490</v>
      </c>
      <c r="E10168" t="s">
        <v>26202</v>
      </c>
      <c r="F10168" t="s">
        <v>30052</v>
      </c>
      <c r="G10168" t="s">
        <v>30058</v>
      </c>
      <c r="H10168" t="s">
        <v>30067</v>
      </c>
      <c r="I10168" t="s">
        <v>3693</v>
      </c>
      <c r="J10168" t="s">
        <v>36318</v>
      </c>
      <c r="K10168" t="s">
        <v>39019</v>
      </c>
      <c r="M10168" t="s">
        <v>39864</v>
      </c>
      <c r="N10168" t="s">
        <v>43166</v>
      </c>
      <c r="O10168" t="s">
        <v>43167</v>
      </c>
      <c r="P10168">
        <v>0</v>
      </c>
      <c r="Q10168">
        <v>0</v>
      </c>
      <c r="R10168" t="s">
        <v>43178</v>
      </c>
      <c r="S10168" t="s">
        <v>43522</v>
      </c>
      <c r="T10168" t="s">
        <v>44791</v>
      </c>
      <c r="U10168" t="s">
        <v>51442</v>
      </c>
      <c r="W10168" t="s">
        <v>39864</v>
      </c>
      <c r="X10168" t="s">
        <v>43179</v>
      </c>
    </row>
    <row r="10169" spans="1:24">
      <c r="A10169">
        <f>HYPERLINK("https://www.philgeps.gov.ph/GEPSNONPILOT/Tender/SplashBidNoticeAbstractUI.aspx?menuIndex=3&amp;refID=7070201&amp;Result=3","7070201")</f>
        <v>0</v>
      </c>
      <c r="B10169" t="s">
        <v>1421</v>
      </c>
      <c r="C10169" t="s">
        <v>13113</v>
      </c>
      <c r="D10169" t="s">
        <v>17456</v>
      </c>
      <c r="E10169" t="s">
        <v>26203</v>
      </c>
      <c r="F10169" t="s">
        <v>30052</v>
      </c>
      <c r="G10169" t="s">
        <v>30058</v>
      </c>
      <c r="H10169" t="s">
        <v>30067</v>
      </c>
      <c r="I10169" t="s">
        <v>3693</v>
      </c>
      <c r="J10169" t="s">
        <v>36411</v>
      </c>
      <c r="K10169" t="s">
        <v>39023</v>
      </c>
      <c r="M10169" t="s">
        <v>42461</v>
      </c>
      <c r="N10169" t="s">
        <v>43166</v>
      </c>
      <c r="O10169" t="s">
        <v>43167</v>
      </c>
      <c r="P10169">
        <v>0</v>
      </c>
      <c r="Q10169">
        <v>5</v>
      </c>
      <c r="R10169" t="s">
        <v>43178</v>
      </c>
      <c r="S10169" t="s">
        <v>43522</v>
      </c>
      <c r="T10169" t="s">
        <v>44780</v>
      </c>
      <c r="U10169" t="s">
        <v>53337</v>
      </c>
      <c r="W10169" t="s">
        <v>42461</v>
      </c>
      <c r="X10169" t="s">
        <v>43179</v>
      </c>
    </row>
    <row r="10170" spans="1:24">
      <c r="A10170">
        <f>HYPERLINK("https://www.philgeps.gov.ph/GEPSNONPILOT/Tender/SplashBidNoticeAbstractUI.aspx?menuIndex=3&amp;refID=7070030&amp;Result=3","7070030")</f>
        <v>0</v>
      </c>
      <c r="B10170" t="s">
        <v>2502</v>
      </c>
      <c r="C10170" t="s">
        <v>11211</v>
      </c>
      <c r="D10170" t="s">
        <v>17442</v>
      </c>
      <c r="E10170" t="s">
        <v>26204</v>
      </c>
      <c r="F10170" t="s">
        <v>30052</v>
      </c>
      <c r="G10170" t="s">
        <v>30058</v>
      </c>
      <c r="H10170" t="s">
        <v>15498</v>
      </c>
      <c r="I10170" t="s">
        <v>4119</v>
      </c>
      <c r="J10170" t="s">
        <v>30291</v>
      </c>
      <c r="K10170" t="s">
        <v>39019</v>
      </c>
      <c r="M10170" t="s">
        <v>42007</v>
      </c>
      <c r="N10170" t="s">
        <v>43166</v>
      </c>
      <c r="O10170" t="s">
        <v>43167</v>
      </c>
      <c r="P10170">
        <v>0</v>
      </c>
      <c r="Q10170">
        <v>4</v>
      </c>
      <c r="R10170" t="s">
        <v>43178</v>
      </c>
      <c r="S10170" t="s">
        <v>43522</v>
      </c>
      <c r="T10170" t="s">
        <v>44773</v>
      </c>
      <c r="U10170" t="s">
        <v>53338</v>
      </c>
      <c r="W10170" t="s">
        <v>42007</v>
      </c>
      <c r="X10170" t="s">
        <v>43179</v>
      </c>
    </row>
    <row r="10171" spans="1:24">
      <c r="A10171">
        <f>HYPERLINK("https://www.philgeps.gov.ph/GEPSNONPILOT/Tender/SplashBidNoticeAbstractUI.aspx?menuIndex=3&amp;refID=7070122&amp;Result=3","7070122")</f>
        <v>0</v>
      </c>
      <c r="B10171" t="s">
        <v>509</v>
      </c>
      <c r="C10171" t="s">
        <v>13114</v>
      </c>
      <c r="D10171" t="s">
        <v>17415</v>
      </c>
      <c r="E10171" t="s">
        <v>26205</v>
      </c>
      <c r="F10171" t="s">
        <v>30052</v>
      </c>
      <c r="G10171" t="s">
        <v>30058</v>
      </c>
      <c r="H10171" t="s">
        <v>30067</v>
      </c>
      <c r="I10171" t="s">
        <v>3693</v>
      </c>
      <c r="J10171" t="s">
        <v>36412</v>
      </c>
      <c r="K10171" t="s">
        <v>39033</v>
      </c>
      <c r="M10171" t="s">
        <v>39810</v>
      </c>
      <c r="N10171" t="s">
        <v>43166</v>
      </c>
      <c r="O10171" t="s">
        <v>43167</v>
      </c>
      <c r="Q10171">
        <v>19</v>
      </c>
      <c r="R10171" t="s">
        <v>43178</v>
      </c>
      <c r="S10171" t="s">
        <v>43573</v>
      </c>
      <c r="T10171" t="s">
        <v>44750</v>
      </c>
      <c r="U10171" t="s">
        <v>50415</v>
      </c>
      <c r="W10171" t="s">
        <v>39810</v>
      </c>
      <c r="X10171" t="s">
        <v>43179</v>
      </c>
    </row>
    <row r="10172" spans="1:24">
      <c r="A10172">
        <f>HYPERLINK("https://www.philgeps.gov.ph/GEPSNONPILOT/Tender/SplashBidNoticeAbstractUI.aspx?menuIndex=3&amp;refID=7070199&amp;Result=3","7070199")</f>
        <v>0</v>
      </c>
      <c r="B10172" t="s">
        <v>1624</v>
      </c>
      <c r="C10172" t="s">
        <v>13115</v>
      </c>
      <c r="D10172" t="s">
        <v>17448</v>
      </c>
      <c r="E10172" t="s">
        <v>26206</v>
      </c>
      <c r="F10172" t="s">
        <v>30052</v>
      </c>
      <c r="G10172" t="s">
        <v>30058</v>
      </c>
      <c r="H10172" t="s">
        <v>15498</v>
      </c>
      <c r="I10172" t="s">
        <v>3736</v>
      </c>
      <c r="J10172" t="s">
        <v>36413</v>
      </c>
      <c r="K10172" t="s">
        <v>39026</v>
      </c>
      <c r="L10172" t="s">
        <v>1624</v>
      </c>
      <c r="M10172" t="s">
        <v>41279</v>
      </c>
      <c r="N10172" t="s">
        <v>43166</v>
      </c>
      <c r="O10172" t="s">
        <v>43167</v>
      </c>
      <c r="P10172">
        <v>0</v>
      </c>
      <c r="Q10172">
        <v>2</v>
      </c>
      <c r="R10172" t="s">
        <v>43178</v>
      </c>
      <c r="S10172" t="s">
        <v>43522</v>
      </c>
      <c r="T10172" t="s">
        <v>44750</v>
      </c>
      <c r="U10172" t="s">
        <v>53339</v>
      </c>
      <c r="V10172" t="s">
        <v>57970</v>
      </c>
      <c r="W10172" t="s">
        <v>41279</v>
      </c>
      <c r="X10172" t="s">
        <v>43179</v>
      </c>
    </row>
    <row r="10173" spans="1:24">
      <c r="A10173">
        <f>HYPERLINK("https://www.philgeps.gov.ph/GEPSNONPILOT/Tender/SplashBidNoticeAbstractUI.aspx?menuIndex=3&amp;refID=7070195&amp;Result=3","7070195")</f>
        <v>0</v>
      </c>
      <c r="B10173" t="s">
        <v>2907</v>
      </c>
      <c r="C10173" t="s">
        <v>13116</v>
      </c>
      <c r="D10173" t="s">
        <v>17446</v>
      </c>
      <c r="E10173" t="s">
        <v>26207</v>
      </c>
      <c r="F10173" t="s">
        <v>30052</v>
      </c>
      <c r="G10173" t="s">
        <v>30058</v>
      </c>
      <c r="H10173" t="s">
        <v>30067</v>
      </c>
      <c r="I10173" t="s">
        <v>3693</v>
      </c>
      <c r="J10173" t="s">
        <v>30397</v>
      </c>
      <c r="K10173" t="s">
        <v>39025</v>
      </c>
      <c r="M10173" t="s">
        <v>42462</v>
      </c>
      <c r="N10173" t="s">
        <v>43166</v>
      </c>
      <c r="O10173" t="s">
        <v>43167</v>
      </c>
      <c r="P10173">
        <v>0</v>
      </c>
      <c r="Q10173">
        <v>0</v>
      </c>
      <c r="R10173" t="s">
        <v>43178</v>
      </c>
      <c r="S10173" t="s">
        <v>43522</v>
      </c>
      <c r="T10173" t="s">
        <v>45129</v>
      </c>
      <c r="U10173" t="s">
        <v>53340</v>
      </c>
      <c r="W10173" t="s">
        <v>42462</v>
      </c>
      <c r="X10173" t="s">
        <v>43179</v>
      </c>
    </row>
    <row r="10174" spans="1:24">
      <c r="A10174">
        <f>HYPERLINK("https://www.philgeps.gov.ph/GEPSNONPILOT/Tender/SplashBidNoticeAbstractUI.aspx?menuIndex=3&amp;refID=7070193&amp;Result=3","7070193")</f>
        <v>0</v>
      </c>
      <c r="B10174" t="s">
        <v>2907</v>
      </c>
      <c r="C10174" t="s">
        <v>13117</v>
      </c>
      <c r="D10174" t="s">
        <v>17446</v>
      </c>
      <c r="E10174" t="s">
        <v>26208</v>
      </c>
      <c r="F10174" t="s">
        <v>30052</v>
      </c>
      <c r="G10174" t="s">
        <v>30058</v>
      </c>
      <c r="H10174" t="s">
        <v>30067</v>
      </c>
      <c r="I10174" t="s">
        <v>3693</v>
      </c>
      <c r="J10174" t="s">
        <v>36414</v>
      </c>
      <c r="K10174" t="s">
        <v>39025</v>
      </c>
      <c r="M10174" t="s">
        <v>42462</v>
      </c>
      <c r="N10174" t="s">
        <v>43166</v>
      </c>
      <c r="O10174" t="s">
        <v>43167</v>
      </c>
      <c r="P10174">
        <v>0</v>
      </c>
      <c r="Q10174">
        <v>0</v>
      </c>
      <c r="R10174" t="s">
        <v>43178</v>
      </c>
      <c r="S10174" t="s">
        <v>43522</v>
      </c>
      <c r="T10174" t="s">
        <v>45129</v>
      </c>
      <c r="U10174" t="s">
        <v>53341</v>
      </c>
      <c r="W10174" t="s">
        <v>42462</v>
      </c>
      <c r="X10174" t="s">
        <v>43179</v>
      </c>
    </row>
    <row r="10175" spans="1:24">
      <c r="A10175">
        <f>HYPERLINK("https://www.philgeps.gov.ph/GEPSNONPILOT/Tender/SplashBidNoticeAbstractUI.aspx?menuIndex=3&amp;refID=7070180&amp;Result=3","7070180")</f>
        <v>0</v>
      </c>
      <c r="B10175" t="s">
        <v>1278</v>
      </c>
      <c r="C10175" t="s">
        <v>13118</v>
      </c>
      <c r="D10175" t="s">
        <v>17449</v>
      </c>
      <c r="E10175" t="s">
        <v>26209</v>
      </c>
      <c r="F10175" t="s">
        <v>30052</v>
      </c>
      <c r="G10175" t="s">
        <v>30058</v>
      </c>
      <c r="H10175" t="s">
        <v>15498</v>
      </c>
      <c r="I10175" t="s">
        <v>4598</v>
      </c>
      <c r="J10175" t="s">
        <v>30222</v>
      </c>
      <c r="K10175" t="s">
        <v>39029</v>
      </c>
      <c r="M10175" t="s">
        <v>40642</v>
      </c>
      <c r="N10175" t="s">
        <v>43166</v>
      </c>
      <c r="O10175" t="s">
        <v>43167</v>
      </c>
      <c r="P10175">
        <v>0</v>
      </c>
      <c r="Q10175">
        <v>8</v>
      </c>
      <c r="R10175" t="s">
        <v>43178</v>
      </c>
      <c r="S10175" t="s">
        <v>43522</v>
      </c>
      <c r="T10175" t="s">
        <v>44754</v>
      </c>
      <c r="U10175" t="s">
        <v>53342</v>
      </c>
      <c r="V10175" t="s">
        <v>53094</v>
      </c>
      <c r="W10175" t="s">
        <v>40642</v>
      </c>
      <c r="X10175" t="s">
        <v>43179</v>
      </c>
    </row>
    <row r="10176" spans="1:24">
      <c r="A10176">
        <f>HYPERLINK("https://www.philgeps.gov.ph/GEPSNONPILOT/Tender/SplashBidNoticeAbstractUI.aspx?menuIndex=3&amp;refID=7070024&amp;Result=3","7070024")</f>
        <v>0</v>
      </c>
      <c r="B10176" t="s">
        <v>2502</v>
      </c>
      <c r="C10176" t="s">
        <v>11211</v>
      </c>
      <c r="D10176" t="s">
        <v>17442</v>
      </c>
      <c r="E10176" t="s">
        <v>26210</v>
      </c>
      <c r="F10176" t="s">
        <v>30052</v>
      </c>
      <c r="G10176" t="s">
        <v>30058</v>
      </c>
      <c r="H10176" t="s">
        <v>15498</v>
      </c>
      <c r="I10176" t="s">
        <v>4119</v>
      </c>
      <c r="J10176" t="s">
        <v>36415</v>
      </c>
      <c r="K10176" t="s">
        <v>39019</v>
      </c>
      <c r="M10176" t="s">
        <v>42007</v>
      </c>
      <c r="N10176" t="s">
        <v>43166</v>
      </c>
      <c r="O10176" t="s">
        <v>43167</v>
      </c>
      <c r="P10176">
        <v>0</v>
      </c>
      <c r="Q10176">
        <v>7</v>
      </c>
      <c r="R10176" t="s">
        <v>43178</v>
      </c>
      <c r="S10176" t="s">
        <v>43522</v>
      </c>
      <c r="T10176" t="s">
        <v>44773</v>
      </c>
      <c r="U10176" t="s">
        <v>53343</v>
      </c>
      <c r="W10176" t="s">
        <v>42007</v>
      </c>
      <c r="X10176" t="s">
        <v>43179</v>
      </c>
    </row>
    <row r="10177" spans="1:24">
      <c r="A10177">
        <f>HYPERLINK("https://www.philgeps.gov.ph/GEPSNONPILOT/Tender/SplashBidNoticeAbstractUI.aspx?menuIndex=3&amp;refID=7070177&amp;Result=3","7070177")</f>
        <v>0</v>
      </c>
      <c r="B10177" t="s">
        <v>743</v>
      </c>
      <c r="C10177" t="s">
        <v>13119</v>
      </c>
      <c r="D10177" t="s">
        <v>17458</v>
      </c>
      <c r="E10177" t="s">
        <v>26211</v>
      </c>
      <c r="F10177" t="s">
        <v>30052</v>
      </c>
      <c r="G10177" t="s">
        <v>30058</v>
      </c>
      <c r="H10177" t="s">
        <v>15498</v>
      </c>
      <c r="I10177" t="s">
        <v>30074</v>
      </c>
      <c r="J10177" t="s">
        <v>36416</v>
      </c>
      <c r="K10177" t="s">
        <v>39026</v>
      </c>
      <c r="M10177" t="s">
        <v>42463</v>
      </c>
      <c r="N10177" t="s">
        <v>43166</v>
      </c>
      <c r="O10177" t="s">
        <v>43167</v>
      </c>
      <c r="Q10177">
        <v>9</v>
      </c>
      <c r="R10177" t="s">
        <v>43178</v>
      </c>
      <c r="S10177" t="s">
        <v>43574</v>
      </c>
      <c r="T10177" t="s">
        <v>44796</v>
      </c>
      <c r="U10177" t="s">
        <v>53344</v>
      </c>
      <c r="W10177" t="s">
        <v>42463</v>
      </c>
      <c r="X10177" t="s">
        <v>43179</v>
      </c>
    </row>
    <row r="10178" spans="1:24">
      <c r="A10178">
        <f>HYPERLINK("https://www.philgeps.gov.ph/GEPSNONPILOT/Tender/SplashBidNoticeAbstractUI.aspx?menuIndex=3&amp;refID=7070174&amp;Result=3","7070174")</f>
        <v>0</v>
      </c>
      <c r="B10178" t="s">
        <v>1531</v>
      </c>
      <c r="C10178" t="s">
        <v>13120</v>
      </c>
      <c r="D10178" t="s">
        <v>17446</v>
      </c>
      <c r="E10178" t="s">
        <v>26212</v>
      </c>
      <c r="F10178" t="s">
        <v>30052</v>
      </c>
      <c r="G10178" t="s">
        <v>30058</v>
      </c>
      <c r="H10178" t="s">
        <v>30067</v>
      </c>
      <c r="I10178" t="s">
        <v>3693</v>
      </c>
      <c r="J10178" t="s">
        <v>30722</v>
      </c>
      <c r="K10178" t="s">
        <v>39026</v>
      </c>
      <c r="M10178" t="s">
        <v>40917</v>
      </c>
      <c r="N10178" t="s">
        <v>43166</v>
      </c>
      <c r="O10178" t="s">
        <v>43167</v>
      </c>
      <c r="P10178">
        <v>0</v>
      </c>
      <c r="Q10178">
        <v>0</v>
      </c>
      <c r="R10178" t="s">
        <v>43178</v>
      </c>
      <c r="S10178" t="s">
        <v>43522</v>
      </c>
      <c r="T10178" t="s">
        <v>44791</v>
      </c>
      <c r="U10178" t="s">
        <v>53345</v>
      </c>
      <c r="W10178" t="s">
        <v>40917</v>
      </c>
      <c r="X10178" t="s">
        <v>43179</v>
      </c>
    </row>
    <row r="10179" spans="1:24">
      <c r="A10179">
        <f>HYPERLINK("https://www.philgeps.gov.ph/GEPSNONPILOT/Tender/SplashBidNoticeAbstractUI.aspx?menuIndex=3&amp;refID=7070204&amp;Result=3","7070204")</f>
        <v>0</v>
      </c>
      <c r="B10179" t="s">
        <v>1274</v>
      </c>
      <c r="C10179" t="s">
        <v>13121</v>
      </c>
      <c r="D10179" t="s">
        <v>17466</v>
      </c>
      <c r="E10179" t="s">
        <v>26213</v>
      </c>
      <c r="F10179" t="s">
        <v>30052</v>
      </c>
      <c r="G10179" t="s">
        <v>30058</v>
      </c>
      <c r="H10179" t="s">
        <v>15498</v>
      </c>
      <c r="I10179" t="s">
        <v>30097</v>
      </c>
      <c r="J10179" t="s">
        <v>30606</v>
      </c>
      <c r="K10179" t="s">
        <v>39039</v>
      </c>
      <c r="M10179" t="s">
        <v>40634</v>
      </c>
      <c r="N10179" t="s">
        <v>43166</v>
      </c>
      <c r="O10179" t="s">
        <v>43167</v>
      </c>
      <c r="P10179">
        <v>0</v>
      </c>
      <c r="Q10179">
        <v>0</v>
      </c>
      <c r="R10179" t="s">
        <v>43178</v>
      </c>
      <c r="S10179" t="s">
        <v>43522</v>
      </c>
      <c r="T10179" t="s">
        <v>44762</v>
      </c>
      <c r="U10179" t="s">
        <v>53346</v>
      </c>
      <c r="W10179" t="s">
        <v>40634</v>
      </c>
      <c r="X10179" t="s">
        <v>43179</v>
      </c>
    </row>
    <row r="10180" spans="1:24">
      <c r="A10180">
        <f>HYPERLINK("https://www.philgeps.gov.ph/GEPSNONPILOT/Tender/SplashBidNoticeAbstractUI.aspx?menuIndex=3&amp;refID=7070169&amp;Result=3","7070169")</f>
        <v>0</v>
      </c>
      <c r="B10180" t="s">
        <v>562</v>
      </c>
      <c r="C10180" t="s">
        <v>13122</v>
      </c>
      <c r="D10180" t="s">
        <v>17490</v>
      </c>
      <c r="E10180" t="s">
        <v>26214</v>
      </c>
      <c r="F10180" t="s">
        <v>30052</v>
      </c>
      <c r="G10180" t="s">
        <v>30058</v>
      </c>
      <c r="H10180" t="s">
        <v>30067</v>
      </c>
      <c r="I10180" t="s">
        <v>3693</v>
      </c>
      <c r="J10180" t="s">
        <v>36318</v>
      </c>
      <c r="K10180" t="s">
        <v>39019</v>
      </c>
      <c r="M10180" t="s">
        <v>39864</v>
      </c>
      <c r="N10180" t="s">
        <v>43166</v>
      </c>
      <c r="O10180" t="s">
        <v>43167</v>
      </c>
      <c r="P10180">
        <v>0</v>
      </c>
      <c r="Q10180">
        <v>0</v>
      </c>
      <c r="R10180" t="s">
        <v>43178</v>
      </c>
      <c r="S10180" t="s">
        <v>43522</v>
      </c>
      <c r="T10180" t="s">
        <v>44791</v>
      </c>
      <c r="U10180" t="s">
        <v>51442</v>
      </c>
      <c r="W10180" t="s">
        <v>39864</v>
      </c>
      <c r="X10180" t="s">
        <v>43179</v>
      </c>
    </row>
    <row r="10181" spans="1:24">
      <c r="A10181">
        <f>HYPERLINK("https://www.philgeps.gov.ph/GEPSNONPILOT/Tender/SplashBidNoticeAbstractUI.aspx?menuIndex=3&amp;refID=7070200&amp;Result=3","7070200")</f>
        <v>0</v>
      </c>
      <c r="B10181" t="s">
        <v>1274</v>
      </c>
      <c r="C10181" t="s">
        <v>13123</v>
      </c>
      <c r="D10181" t="s">
        <v>17466</v>
      </c>
      <c r="E10181" t="s">
        <v>26215</v>
      </c>
      <c r="F10181" t="s">
        <v>30052</v>
      </c>
      <c r="G10181" t="s">
        <v>30058</v>
      </c>
      <c r="H10181" t="s">
        <v>15498</v>
      </c>
      <c r="I10181" t="s">
        <v>4650</v>
      </c>
      <c r="J10181" t="s">
        <v>30771</v>
      </c>
      <c r="K10181" t="s">
        <v>39039</v>
      </c>
      <c r="M10181" t="s">
        <v>40634</v>
      </c>
      <c r="N10181" t="s">
        <v>43166</v>
      </c>
      <c r="O10181" t="s">
        <v>43167</v>
      </c>
      <c r="P10181">
        <v>0</v>
      </c>
      <c r="Q10181">
        <v>0</v>
      </c>
      <c r="R10181" t="s">
        <v>43178</v>
      </c>
      <c r="S10181" t="s">
        <v>43522</v>
      </c>
      <c r="T10181" t="s">
        <v>44762</v>
      </c>
      <c r="U10181" t="s">
        <v>53347</v>
      </c>
      <c r="W10181" t="s">
        <v>40634</v>
      </c>
      <c r="X10181" t="s">
        <v>43179</v>
      </c>
    </row>
    <row r="10182" spans="1:24">
      <c r="A10182">
        <f>HYPERLINK("https://www.philgeps.gov.ph/GEPSNONPILOT/Tender/SplashBidNoticeAbstractUI.aspx?menuIndex=3&amp;refID=7070166&amp;Result=3","7070166")</f>
        <v>0</v>
      </c>
      <c r="B10182" t="s">
        <v>1589</v>
      </c>
      <c r="C10182" t="s">
        <v>13124</v>
      </c>
      <c r="D10182" t="s">
        <v>17494</v>
      </c>
      <c r="E10182" t="s">
        <v>26216</v>
      </c>
      <c r="F10182" t="s">
        <v>30052</v>
      </c>
      <c r="G10182" t="s">
        <v>30058</v>
      </c>
      <c r="H10182" t="s">
        <v>15498</v>
      </c>
      <c r="I10182" t="s">
        <v>30073</v>
      </c>
      <c r="J10182" t="s">
        <v>36417</v>
      </c>
      <c r="K10182" t="s">
        <v>39019</v>
      </c>
      <c r="M10182" t="s">
        <v>40982</v>
      </c>
      <c r="N10182" t="s">
        <v>43166</v>
      </c>
      <c r="O10182" t="s">
        <v>43167</v>
      </c>
      <c r="P10182">
        <v>0</v>
      </c>
      <c r="Q10182">
        <v>0</v>
      </c>
      <c r="R10182" t="s">
        <v>43178</v>
      </c>
      <c r="S10182" t="s">
        <v>43522</v>
      </c>
      <c r="T10182" t="s">
        <v>44791</v>
      </c>
      <c r="U10182" t="s">
        <v>53348</v>
      </c>
      <c r="W10182" t="s">
        <v>40982</v>
      </c>
      <c r="X10182" t="s">
        <v>43179</v>
      </c>
    </row>
    <row r="10183" spans="1:24">
      <c r="A10183">
        <f>HYPERLINK("https://www.philgeps.gov.ph/GEPSNONPILOT/Tender/SplashBidNoticeAbstractUI.aspx?menuIndex=3&amp;refID=7070189&amp;Result=3","7070189")</f>
        <v>0</v>
      </c>
      <c r="B10183" t="s">
        <v>1274</v>
      </c>
      <c r="C10183" t="s">
        <v>13125</v>
      </c>
      <c r="D10183" t="s">
        <v>17466</v>
      </c>
      <c r="E10183" t="s">
        <v>26217</v>
      </c>
      <c r="F10183" t="s">
        <v>30052</v>
      </c>
      <c r="G10183" t="s">
        <v>30058</v>
      </c>
      <c r="H10183" t="s">
        <v>15498</v>
      </c>
      <c r="I10183" t="s">
        <v>30165</v>
      </c>
      <c r="J10183" t="s">
        <v>30426</v>
      </c>
      <c r="K10183" t="s">
        <v>39039</v>
      </c>
      <c r="M10183" t="s">
        <v>40634</v>
      </c>
      <c r="N10183" t="s">
        <v>43166</v>
      </c>
      <c r="O10183" t="s">
        <v>43167</v>
      </c>
      <c r="P10183">
        <v>0</v>
      </c>
      <c r="Q10183">
        <v>0</v>
      </c>
      <c r="R10183" t="s">
        <v>43178</v>
      </c>
      <c r="S10183" t="s">
        <v>43522</v>
      </c>
      <c r="T10183" t="s">
        <v>44762</v>
      </c>
      <c r="U10183" t="s">
        <v>53349</v>
      </c>
      <c r="W10183" t="s">
        <v>40634</v>
      </c>
      <c r="X10183" t="s">
        <v>43179</v>
      </c>
    </row>
    <row r="10184" spans="1:24">
      <c r="A10184">
        <f>HYPERLINK("https://www.philgeps.gov.ph/GEPSNONPILOT/Tender/SplashBidNoticeAbstractUI.aspx?menuIndex=3&amp;refID=7070143&amp;Result=3","7070143")</f>
        <v>0</v>
      </c>
      <c r="B10184" t="s">
        <v>1363</v>
      </c>
      <c r="C10184" t="s">
        <v>13126</v>
      </c>
      <c r="D10184" t="s">
        <v>17432</v>
      </c>
      <c r="E10184" t="s">
        <v>26218</v>
      </c>
      <c r="F10184" t="s">
        <v>30052</v>
      </c>
      <c r="G10184" t="s">
        <v>30058</v>
      </c>
      <c r="H10184" t="s">
        <v>15498</v>
      </c>
      <c r="I10184" t="s">
        <v>30116</v>
      </c>
      <c r="J10184" t="s">
        <v>30222</v>
      </c>
      <c r="K10184" t="s">
        <v>39029</v>
      </c>
      <c r="M10184" t="s">
        <v>40733</v>
      </c>
      <c r="N10184" t="s">
        <v>43166</v>
      </c>
      <c r="O10184" t="s">
        <v>43167</v>
      </c>
      <c r="Q10184">
        <v>4</v>
      </c>
      <c r="R10184" t="s">
        <v>43178</v>
      </c>
      <c r="S10184" t="s">
        <v>43575</v>
      </c>
      <c r="T10184" t="s">
        <v>45008</v>
      </c>
      <c r="U10184" t="s">
        <v>53350</v>
      </c>
      <c r="V10184" t="s">
        <v>57969</v>
      </c>
      <c r="W10184" t="s">
        <v>40733</v>
      </c>
      <c r="X10184" t="s">
        <v>43179</v>
      </c>
    </row>
    <row r="10185" spans="1:24">
      <c r="A10185">
        <f>HYPERLINK("https://www.philgeps.gov.ph/GEPSNONPILOT/Tender/SplashBidNoticeAbstractUI.aspx?menuIndex=3&amp;refID=7070171&amp;Result=3","7070171")</f>
        <v>0</v>
      </c>
      <c r="B10185" t="s">
        <v>2906</v>
      </c>
      <c r="C10185" t="s">
        <v>13127</v>
      </c>
      <c r="D10185" t="s">
        <v>17445</v>
      </c>
      <c r="E10185" t="s">
        <v>26219</v>
      </c>
      <c r="F10185" t="s">
        <v>30052</v>
      </c>
      <c r="G10185" t="s">
        <v>30058</v>
      </c>
      <c r="H10185" t="s">
        <v>15498</v>
      </c>
      <c r="I10185" t="s">
        <v>30076</v>
      </c>
      <c r="J10185" t="s">
        <v>30683</v>
      </c>
      <c r="K10185" t="s">
        <v>39037</v>
      </c>
      <c r="M10185" t="s">
        <v>42460</v>
      </c>
      <c r="N10185" t="s">
        <v>43166</v>
      </c>
      <c r="O10185" t="s">
        <v>43167</v>
      </c>
      <c r="Q10185">
        <v>3</v>
      </c>
      <c r="R10185" t="s">
        <v>43178</v>
      </c>
      <c r="S10185" t="s">
        <v>43576</v>
      </c>
      <c r="T10185" t="s">
        <v>44711</v>
      </c>
      <c r="U10185" t="s">
        <v>53351</v>
      </c>
      <c r="W10185" t="s">
        <v>42460</v>
      </c>
      <c r="X10185" t="s">
        <v>43179</v>
      </c>
    </row>
    <row r="10186" spans="1:24">
      <c r="A10186">
        <f>HYPERLINK("https://www.philgeps.gov.ph/GEPSNONPILOT/Tender/SplashBidNoticeAbstractUI.aspx?menuIndex=3&amp;refID=7070234&amp;Result=3","7070234")</f>
        <v>0</v>
      </c>
      <c r="B10186" t="s">
        <v>743</v>
      </c>
      <c r="C10186" t="s">
        <v>13128</v>
      </c>
      <c r="D10186" t="s">
        <v>17458</v>
      </c>
      <c r="E10186" t="s">
        <v>26220</v>
      </c>
      <c r="F10186" t="s">
        <v>30052</v>
      </c>
      <c r="G10186" t="s">
        <v>30058</v>
      </c>
      <c r="H10186" t="s">
        <v>15498</v>
      </c>
      <c r="I10186" t="s">
        <v>30097</v>
      </c>
      <c r="J10186" t="s">
        <v>36418</v>
      </c>
      <c r="K10186" t="s">
        <v>39031</v>
      </c>
      <c r="M10186" t="s">
        <v>42463</v>
      </c>
      <c r="N10186" t="s">
        <v>43166</v>
      </c>
      <c r="O10186" t="s">
        <v>43167</v>
      </c>
      <c r="Q10186">
        <v>3</v>
      </c>
      <c r="R10186" t="s">
        <v>43178</v>
      </c>
      <c r="S10186" t="s">
        <v>43577</v>
      </c>
      <c r="T10186" t="s">
        <v>44796</v>
      </c>
      <c r="U10186" t="s">
        <v>53344</v>
      </c>
      <c r="W10186" t="s">
        <v>42463</v>
      </c>
      <c r="X10186" t="s">
        <v>43179</v>
      </c>
    </row>
    <row r="10187" spans="1:24">
      <c r="A10187">
        <f>HYPERLINK("https://www.philgeps.gov.ph/GEPSNONPILOT/Tender/SplashBidNoticeAbstractUI.aspx?menuIndex=3&amp;refID=7070164&amp;Result=3","7070164")</f>
        <v>0</v>
      </c>
      <c r="B10187" t="s">
        <v>562</v>
      </c>
      <c r="C10187" t="s">
        <v>13129</v>
      </c>
      <c r="D10187" t="s">
        <v>17490</v>
      </c>
      <c r="E10187" t="s">
        <v>26221</v>
      </c>
      <c r="F10187" t="s">
        <v>30052</v>
      </c>
      <c r="G10187" t="s">
        <v>30058</v>
      </c>
      <c r="H10187" t="s">
        <v>30067</v>
      </c>
      <c r="I10187" t="s">
        <v>3693</v>
      </c>
      <c r="J10187" t="s">
        <v>36318</v>
      </c>
      <c r="K10187" t="s">
        <v>39019</v>
      </c>
      <c r="M10187" t="s">
        <v>39864</v>
      </c>
      <c r="N10187" t="s">
        <v>43166</v>
      </c>
      <c r="O10187" t="s">
        <v>43167</v>
      </c>
      <c r="P10187">
        <v>0</v>
      </c>
      <c r="Q10187">
        <v>0</v>
      </c>
      <c r="R10187" t="s">
        <v>43178</v>
      </c>
      <c r="S10187" t="s">
        <v>43522</v>
      </c>
      <c r="T10187" t="s">
        <v>44791</v>
      </c>
      <c r="U10187" t="s">
        <v>51442</v>
      </c>
      <c r="W10187" t="s">
        <v>39864</v>
      </c>
      <c r="X10187" t="s">
        <v>43179</v>
      </c>
    </row>
    <row r="10188" spans="1:24">
      <c r="A10188">
        <f>HYPERLINK("https://www.philgeps.gov.ph/GEPSNONPILOT/Tender/SplashBidNoticeAbstractUI.aspx?menuIndex=3&amp;refID=7070158&amp;Result=3","7070158")</f>
        <v>0</v>
      </c>
      <c r="B10188" t="s">
        <v>1589</v>
      </c>
      <c r="C10188" t="s">
        <v>13130</v>
      </c>
      <c r="D10188" t="s">
        <v>17494</v>
      </c>
      <c r="E10188" t="s">
        <v>26222</v>
      </c>
      <c r="F10188" t="s">
        <v>30052</v>
      </c>
      <c r="G10188" t="s">
        <v>30058</v>
      </c>
      <c r="H10188" t="s">
        <v>15498</v>
      </c>
      <c r="I10188" t="s">
        <v>30070</v>
      </c>
      <c r="J10188" t="s">
        <v>31727</v>
      </c>
      <c r="K10188" t="s">
        <v>39019</v>
      </c>
      <c r="M10188" t="s">
        <v>40982</v>
      </c>
      <c r="N10188" t="s">
        <v>43166</v>
      </c>
      <c r="O10188" t="s">
        <v>43167</v>
      </c>
      <c r="P10188">
        <v>0</v>
      </c>
      <c r="Q10188">
        <v>2</v>
      </c>
      <c r="R10188" t="s">
        <v>43178</v>
      </c>
      <c r="S10188" t="s">
        <v>43522</v>
      </c>
      <c r="T10188" t="s">
        <v>44791</v>
      </c>
      <c r="U10188" t="s">
        <v>53352</v>
      </c>
      <c r="W10188" t="s">
        <v>40982</v>
      </c>
      <c r="X10188" t="s">
        <v>43179</v>
      </c>
    </row>
    <row r="10189" spans="1:24">
      <c r="A10189">
        <f>HYPERLINK("https://www.philgeps.gov.ph/GEPSNONPILOT/Tender/SplashBidNoticeAbstractUI.aspx?menuIndex=3&amp;refID=7070231&amp;Result=3","7070231")</f>
        <v>0</v>
      </c>
      <c r="B10189" t="s">
        <v>743</v>
      </c>
      <c r="C10189" t="s">
        <v>13131</v>
      </c>
      <c r="D10189" t="s">
        <v>17458</v>
      </c>
      <c r="E10189" t="s">
        <v>26223</v>
      </c>
      <c r="F10189" t="s">
        <v>30052</v>
      </c>
      <c r="G10189" t="s">
        <v>30058</v>
      </c>
      <c r="H10189" t="s">
        <v>15498</v>
      </c>
      <c r="I10189" t="s">
        <v>30097</v>
      </c>
      <c r="J10189" t="s">
        <v>36419</v>
      </c>
      <c r="K10189" t="s">
        <v>39031</v>
      </c>
      <c r="M10189" t="s">
        <v>42463</v>
      </c>
      <c r="N10189" t="s">
        <v>43166</v>
      </c>
      <c r="O10189" t="s">
        <v>43167</v>
      </c>
      <c r="Q10189">
        <v>4</v>
      </c>
      <c r="R10189" t="s">
        <v>43178</v>
      </c>
      <c r="S10189" t="s">
        <v>43578</v>
      </c>
      <c r="T10189" t="s">
        <v>44796</v>
      </c>
      <c r="U10189" t="s">
        <v>53344</v>
      </c>
      <c r="W10189" t="s">
        <v>42463</v>
      </c>
      <c r="X10189" t="s">
        <v>43179</v>
      </c>
    </row>
    <row r="10190" spans="1:24">
      <c r="A10190">
        <f>HYPERLINK("https://www.philgeps.gov.ph/GEPSNONPILOT/Tender/SplashBidNoticeAbstractUI.aspx?menuIndex=3&amp;refID=7070230&amp;Result=3","7070230")</f>
        <v>0</v>
      </c>
      <c r="B10190" t="s">
        <v>2908</v>
      </c>
      <c r="C10190" t="s">
        <v>13132</v>
      </c>
      <c r="D10190" t="s">
        <v>17466</v>
      </c>
      <c r="E10190" t="s">
        <v>17607</v>
      </c>
      <c r="F10190" t="s">
        <v>30052</v>
      </c>
      <c r="G10190" t="s">
        <v>30058</v>
      </c>
      <c r="H10190" t="s">
        <v>15498</v>
      </c>
      <c r="I10190" t="s">
        <v>30076</v>
      </c>
      <c r="J10190" t="s">
        <v>32106</v>
      </c>
      <c r="K10190" t="s">
        <v>39039</v>
      </c>
      <c r="M10190" t="s">
        <v>42464</v>
      </c>
      <c r="N10190" t="s">
        <v>43166</v>
      </c>
      <c r="O10190" t="s">
        <v>43167</v>
      </c>
      <c r="P10190">
        <v>0</v>
      </c>
      <c r="Q10190">
        <v>2</v>
      </c>
      <c r="R10190" t="s">
        <v>43178</v>
      </c>
      <c r="S10190" t="s">
        <v>43522</v>
      </c>
      <c r="T10190" t="s">
        <v>44966</v>
      </c>
      <c r="U10190" t="s">
        <v>53353</v>
      </c>
      <c r="W10190" t="s">
        <v>42464</v>
      </c>
      <c r="X10190" t="s">
        <v>43179</v>
      </c>
    </row>
    <row r="10191" spans="1:24">
      <c r="A10191">
        <f>HYPERLINK("https://www.philgeps.gov.ph/GEPSNONPILOT/Tender/SplashBidNoticeAbstractUI.aspx?menuIndex=3&amp;refID=7070226&amp;Result=3","7070226")</f>
        <v>0</v>
      </c>
      <c r="B10191" t="s">
        <v>1047</v>
      </c>
      <c r="C10191" t="s">
        <v>13133</v>
      </c>
      <c r="D10191" t="s">
        <v>17476</v>
      </c>
      <c r="E10191" t="s">
        <v>26224</v>
      </c>
      <c r="F10191" t="s">
        <v>30052</v>
      </c>
      <c r="G10191" t="s">
        <v>30058</v>
      </c>
      <c r="H10191" t="s">
        <v>15498</v>
      </c>
      <c r="I10191" t="s">
        <v>30081</v>
      </c>
      <c r="J10191" t="s">
        <v>30208</v>
      </c>
      <c r="K10191" t="s">
        <v>39034</v>
      </c>
      <c r="M10191" t="s">
        <v>40380</v>
      </c>
      <c r="N10191" t="s">
        <v>43166</v>
      </c>
      <c r="O10191" t="s">
        <v>43167</v>
      </c>
      <c r="P10191">
        <v>0</v>
      </c>
      <c r="Q10191">
        <v>1</v>
      </c>
      <c r="R10191" t="s">
        <v>43178</v>
      </c>
      <c r="S10191" t="s">
        <v>43522</v>
      </c>
      <c r="T10191" t="s">
        <v>44780</v>
      </c>
      <c r="U10191" t="s">
        <v>53354</v>
      </c>
      <c r="W10191" t="s">
        <v>58624</v>
      </c>
      <c r="X10191" t="s">
        <v>43179</v>
      </c>
    </row>
    <row r="10192" spans="1:24">
      <c r="A10192">
        <f>HYPERLINK("https://www.philgeps.gov.ph/GEPSNONPILOT/Tender/SplashBidNoticeAbstractUI.aspx?menuIndex=3&amp;refID=7070221&amp;Result=3","7070221")</f>
        <v>0</v>
      </c>
      <c r="B10192" t="s">
        <v>2764</v>
      </c>
      <c r="C10192" t="s">
        <v>13134</v>
      </c>
      <c r="D10192" t="s">
        <v>17458</v>
      </c>
      <c r="E10192" t="s">
        <v>25829</v>
      </c>
      <c r="F10192" t="s">
        <v>30052</v>
      </c>
      <c r="G10192" t="s">
        <v>30058</v>
      </c>
      <c r="H10192" t="s">
        <v>15498</v>
      </c>
      <c r="I10192" t="s">
        <v>30114</v>
      </c>
      <c r="J10192" t="s">
        <v>30532</v>
      </c>
      <c r="K10192" t="s">
        <v>39019</v>
      </c>
      <c r="M10192" t="s">
        <v>42298</v>
      </c>
      <c r="N10192" t="s">
        <v>43166</v>
      </c>
      <c r="O10192" t="s">
        <v>43167</v>
      </c>
      <c r="P10192">
        <v>0</v>
      </c>
      <c r="Q10192">
        <v>4</v>
      </c>
      <c r="R10192" t="s">
        <v>43178</v>
      </c>
      <c r="S10192" t="s">
        <v>43522</v>
      </c>
      <c r="T10192" t="s">
        <v>44754</v>
      </c>
      <c r="U10192" t="s">
        <v>53355</v>
      </c>
      <c r="V10192" t="s">
        <v>57844</v>
      </c>
      <c r="W10192" t="s">
        <v>42298</v>
      </c>
      <c r="X10192" t="s">
        <v>43179</v>
      </c>
    </row>
    <row r="10193" spans="1:24">
      <c r="A10193">
        <f>HYPERLINK("https://www.philgeps.gov.ph/GEPSNONPILOT/Tender/SplashBidNoticeAbstractUI.aspx?menuIndex=3&amp;refID=7070077&amp;Result=3","7070077")</f>
        <v>0</v>
      </c>
      <c r="B10193" t="s">
        <v>509</v>
      </c>
      <c r="C10193" t="s">
        <v>13135</v>
      </c>
      <c r="D10193" t="s">
        <v>17415</v>
      </c>
      <c r="E10193" t="s">
        <v>26225</v>
      </c>
      <c r="F10193" t="s">
        <v>30052</v>
      </c>
      <c r="G10193" t="s">
        <v>30058</v>
      </c>
      <c r="H10193" t="s">
        <v>30067</v>
      </c>
      <c r="I10193" t="s">
        <v>3693</v>
      </c>
      <c r="J10193" t="s">
        <v>36420</v>
      </c>
      <c r="K10193" t="s">
        <v>39092</v>
      </c>
      <c r="M10193" t="s">
        <v>39810</v>
      </c>
      <c r="N10193" t="s">
        <v>43166</v>
      </c>
      <c r="O10193" t="s">
        <v>43167</v>
      </c>
      <c r="Q10193">
        <v>19</v>
      </c>
      <c r="R10193" t="s">
        <v>43178</v>
      </c>
      <c r="S10193" t="s">
        <v>43579</v>
      </c>
      <c r="T10193" t="s">
        <v>44750</v>
      </c>
      <c r="U10193" t="s">
        <v>50415</v>
      </c>
      <c r="W10193" t="s">
        <v>39810</v>
      </c>
      <c r="X10193" t="s">
        <v>43179</v>
      </c>
    </row>
    <row r="10194" spans="1:24">
      <c r="A10194">
        <f>HYPERLINK("https://www.philgeps.gov.ph/GEPSNONPILOT/Tender/SplashBidNoticeAbstractUI.aspx?menuIndex=3&amp;refID=7070223&amp;Result=3","7070223")</f>
        <v>0</v>
      </c>
      <c r="B10194" t="s">
        <v>951</v>
      </c>
      <c r="C10194" t="s">
        <v>13136</v>
      </c>
      <c r="D10194" t="s">
        <v>17422</v>
      </c>
      <c r="E10194" t="s">
        <v>26226</v>
      </c>
      <c r="F10194" t="s">
        <v>30052</v>
      </c>
      <c r="G10194" t="s">
        <v>30058</v>
      </c>
      <c r="H10194" t="s">
        <v>15498</v>
      </c>
      <c r="I10194" t="s">
        <v>30098</v>
      </c>
      <c r="J10194" t="s">
        <v>36421</v>
      </c>
      <c r="K10194" t="s">
        <v>39029</v>
      </c>
      <c r="M10194" t="s">
        <v>40275</v>
      </c>
      <c r="N10194" t="s">
        <v>43166</v>
      </c>
      <c r="O10194" t="s">
        <v>43167</v>
      </c>
      <c r="P10194">
        <v>0</v>
      </c>
      <c r="Q10194">
        <v>4</v>
      </c>
      <c r="R10194" t="s">
        <v>43178</v>
      </c>
      <c r="S10194" t="s">
        <v>43522</v>
      </c>
      <c r="T10194" t="s">
        <v>45028</v>
      </c>
      <c r="U10194" t="s">
        <v>53356</v>
      </c>
      <c r="W10194" t="s">
        <v>40275</v>
      </c>
      <c r="X10194" t="s">
        <v>43179</v>
      </c>
    </row>
    <row r="10195" spans="1:24">
      <c r="A10195">
        <f>HYPERLINK("https://www.philgeps.gov.ph/GEPSNONPILOT/Tender/SplashBidNoticeAbstractUI.aspx?menuIndex=3&amp;refID=7070218&amp;Result=3","7070218")</f>
        <v>0</v>
      </c>
      <c r="B10195" t="s">
        <v>562</v>
      </c>
      <c r="C10195" t="s">
        <v>13137</v>
      </c>
      <c r="D10195" t="s">
        <v>17490</v>
      </c>
      <c r="E10195" t="s">
        <v>26227</v>
      </c>
      <c r="F10195" t="s">
        <v>30052</v>
      </c>
      <c r="G10195" t="s">
        <v>30058</v>
      </c>
      <c r="H10195" t="s">
        <v>30067</v>
      </c>
      <c r="I10195" t="s">
        <v>3693</v>
      </c>
      <c r="J10195" t="s">
        <v>36318</v>
      </c>
      <c r="K10195" t="s">
        <v>39019</v>
      </c>
      <c r="M10195" t="s">
        <v>39864</v>
      </c>
      <c r="N10195" t="s">
        <v>43166</v>
      </c>
      <c r="O10195" t="s">
        <v>43167</v>
      </c>
      <c r="P10195">
        <v>0</v>
      </c>
      <c r="Q10195">
        <v>0</v>
      </c>
      <c r="R10195" t="s">
        <v>43178</v>
      </c>
      <c r="S10195" t="s">
        <v>43522</v>
      </c>
      <c r="T10195" t="s">
        <v>44791</v>
      </c>
      <c r="U10195" t="s">
        <v>51442</v>
      </c>
      <c r="W10195" t="s">
        <v>39864</v>
      </c>
      <c r="X10195" t="s">
        <v>43179</v>
      </c>
    </row>
    <row r="10196" spans="1:24">
      <c r="A10196">
        <f>HYPERLINK("https://www.philgeps.gov.ph/GEPSNONPILOT/Tender/SplashBidNoticeAbstractUI.aspx?menuIndex=3&amp;refID=7070222&amp;Result=3","7070222")</f>
        <v>0</v>
      </c>
      <c r="B10196" t="s">
        <v>2908</v>
      </c>
      <c r="C10196" t="s">
        <v>13138</v>
      </c>
      <c r="D10196" t="s">
        <v>17466</v>
      </c>
      <c r="E10196" t="s">
        <v>19903</v>
      </c>
      <c r="F10196" t="s">
        <v>30052</v>
      </c>
      <c r="G10196" t="s">
        <v>30058</v>
      </c>
      <c r="H10196" t="s">
        <v>15498</v>
      </c>
      <c r="I10196" t="s">
        <v>30168</v>
      </c>
      <c r="J10196" t="s">
        <v>30333</v>
      </c>
      <c r="K10196" t="s">
        <v>39039</v>
      </c>
      <c r="M10196" t="s">
        <v>42464</v>
      </c>
      <c r="N10196" t="s">
        <v>43166</v>
      </c>
      <c r="O10196" t="s">
        <v>43167</v>
      </c>
      <c r="P10196">
        <v>0</v>
      </c>
      <c r="Q10196">
        <v>3</v>
      </c>
      <c r="R10196" t="s">
        <v>43178</v>
      </c>
      <c r="S10196" t="s">
        <v>43522</v>
      </c>
      <c r="T10196" t="s">
        <v>44966</v>
      </c>
      <c r="U10196" t="s">
        <v>53357</v>
      </c>
      <c r="W10196" t="s">
        <v>42464</v>
      </c>
      <c r="X10196" t="s">
        <v>43179</v>
      </c>
    </row>
    <row r="10197" spans="1:24">
      <c r="A10197">
        <f>HYPERLINK("https://www.philgeps.gov.ph/GEPSNONPILOT/Tender/SplashBidNoticeAbstractUI.aspx?menuIndex=3&amp;refID=7070220&amp;Result=3","7070220")</f>
        <v>0</v>
      </c>
      <c r="B10197" t="s">
        <v>743</v>
      </c>
      <c r="C10197" t="s">
        <v>13139</v>
      </c>
      <c r="D10197" t="s">
        <v>17458</v>
      </c>
      <c r="E10197" t="s">
        <v>26228</v>
      </c>
      <c r="F10197" t="s">
        <v>30052</v>
      </c>
      <c r="G10197" t="s">
        <v>30058</v>
      </c>
      <c r="H10197" t="s">
        <v>15498</v>
      </c>
      <c r="I10197" t="s">
        <v>30084</v>
      </c>
      <c r="J10197" t="s">
        <v>36422</v>
      </c>
      <c r="K10197" t="s">
        <v>39031</v>
      </c>
      <c r="M10197" t="s">
        <v>42463</v>
      </c>
      <c r="N10197" t="s">
        <v>43166</v>
      </c>
      <c r="O10197" t="s">
        <v>43167</v>
      </c>
      <c r="Q10197">
        <v>12</v>
      </c>
      <c r="R10197" t="s">
        <v>43178</v>
      </c>
      <c r="S10197" t="s">
        <v>43580</v>
      </c>
      <c r="T10197" t="s">
        <v>44796</v>
      </c>
      <c r="U10197" t="s">
        <v>53344</v>
      </c>
      <c r="W10197" t="s">
        <v>42463</v>
      </c>
      <c r="X10197" t="s">
        <v>43179</v>
      </c>
    </row>
    <row r="10198" spans="1:24">
      <c r="A10198">
        <f>HYPERLINK("https://www.philgeps.gov.ph/GEPSNONPILOT/Tender/SplashBidNoticeAbstractUI.aspx?menuIndex=3&amp;refID=7070233&amp;Result=3","7070233")</f>
        <v>0</v>
      </c>
      <c r="B10198" t="s">
        <v>951</v>
      </c>
      <c r="C10198" t="s">
        <v>13140</v>
      </c>
      <c r="D10198" t="s">
        <v>17422</v>
      </c>
      <c r="E10198" t="s">
        <v>26229</v>
      </c>
      <c r="F10198" t="s">
        <v>30052</v>
      </c>
      <c r="G10198" t="s">
        <v>30058</v>
      </c>
      <c r="H10198" t="s">
        <v>30067</v>
      </c>
      <c r="I10198" t="s">
        <v>3693</v>
      </c>
      <c r="J10198" t="s">
        <v>36423</v>
      </c>
      <c r="K10198" t="s">
        <v>39046</v>
      </c>
      <c r="M10198" t="s">
        <v>40275</v>
      </c>
      <c r="N10198" t="s">
        <v>43166</v>
      </c>
      <c r="O10198" t="s">
        <v>43167</v>
      </c>
      <c r="P10198">
        <v>0</v>
      </c>
      <c r="Q10198">
        <v>3</v>
      </c>
      <c r="R10198" t="s">
        <v>43178</v>
      </c>
      <c r="S10198" t="s">
        <v>43522</v>
      </c>
      <c r="T10198" t="s">
        <v>45024</v>
      </c>
      <c r="U10198" t="s">
        <v>53358</v>
      </c>
      <c r="W10198" t="s">
        <v>40275</v>
      </c>
      <c r="X10198" t="s">
        <v>43179</v>
      </c>
    </row>
    <row r="10199" spans="1:24">
      <c r="A10199">
        <f>HYPERLINK("https://www.philgeps.gov.ph/GEPSNONPILOT/Tender/SplashBidNoticeAbstractUI.aspx?menuIndex=3&amp;refID=6982057-2&amp;Result=3","6982057-2")</f>
        <v>0</v>
      </c>
      <c r="B10199" t="s">
        <v>538</v>
      </c>
      <c r="C10199" t="s">
        <v>13141</v>
      </c>
      <c r="D10199" t="s">
        <v>17414</v>
      </c>
      <c r="E10199" t="s">
        <v>26230</v>
      </c>
      <c r="F10199" t="s">
        <v>30052</v>
      </c>
      <c r="G10199" t="s">
        <v>30058</v>
      </c>
      <c r="H10199" t="s">
        <v>30068</v>
      </c>
      <c r="I10199" t="s">
        <v>30068</v>
      </c>
      <c r="J10199" t="s">
        <v>36424</v>
      </c>
      <c r="K10199" t="s">
        <v>39186</v>
      </c>
      <c r="M10199" t="s">
        <v>39840</v>
      </c>
      <c r="N10199" t="s">
        <v>43166</v>
      </c>
      <c r="O10199" t="s">
        <v>43167</v>
      </c>
      <c r="Q10199">
        <v>1</v>
      </c>
      <c r="R10199" t="s">
        <v>43179</v>
      </c>
      <c r="S10199" t="s">
        <v>43581</v>
      </c>
      <c r="T10199" t="s">
        <v>44698</v>
      </c>
      <c r="U10199" t="s">
        <v>53359</v>
      </c>
      <c r="V10199" t="s">
        <v>57971</v>
      </c>
      <c r="W10199" t="s">
        <v>39840</v>
      </c>
      <c r="X10199" t="s">
        <v>43180</v>
      </c>
    </row>
    <row r="10200" spans="1:24">
      <c r="A10200">
        <f>HYPERLINK("https://www.philgeps.gov.ph/GEPSNONPILOT/Tender/SplashBidNoticeAbstractUI.aspx?menuIndex=3&amp;refID=7070219&amp;Result=3","7070219")</f>
        <v>0</v>
      </c>
      <c r="B10200" t="s">
        <v>562</v>
      </c>
      <c r="C10200" t="s">
        <v>13142</v>
      </c>
      <c r="D10200" t="s">
        <v>17490</v>
      </c>
      <c r="E10200" t="s">
        <v>26231</v>
      </c>
      <c r="F10200" t="s">
        <v>30052</v>
      </c>
      <c r="G10200" t="s">
        <v>30058</v>
      </c>
      <c r="H10200" t="s">
        <v>30067</v>
      </c>
      <c r="I10200" t="s">
        <v>3693</v>
      </c>
      <c r="J10200" t="s">
        <v>36318</v>
      </c>
      <c r="K10200" t="s">
        <v>39019</v>
      </c>
      <c r="M10200" t="s">
        <v>39864</v>
      </c>
      <c r="N10200" t="s">
        <v>43166</v>
      </c>
      <c r="O10200" t="s">
        <v>43167</v>
      </c>
      <c r="P10200">
        <v>0</v>
      </c>
      <c r="Q10200">
        <v>0</v>
      </c>
      <c r="R10200" t="s">
        <v>43178</v>
      </c>
      <c r="S10200" t="s">
        <v>43522</v>
      </c>
      <c r="T10200" t="s">
        <v>44791</v>
      </c>
      <c r="U10200" t="s">
        <v>51442</v>
      </c>
      <c r="W10200" t="s">
        <v>39864</v>
      </c>
      <c r="X10200" t="s">
        <v>43179</v>
      </c>
    </row>
    <row r="10201" spans="1:24">
      <c r="A10201">
        <f>HYPERLINK("https://www.philgeps.gov.ph/GEPSNONPILOT/Tender/SplashBidNoticeAbstractUI.aspx?menuIndex=3&amp;refID=6982054-2&amp;Result=3","6982054-2")</f>
        <v>0</v>
      </c>
      <c r="B10201" t="s">
        <v>538</v>
      </c>
      <c r="C10201" t="s">
        <v>13143</v>
      </c>
      <c r="D10201" t="s">
        <v>17414</v>
      </c>
      <c r="E10201" t="s">
        <v>26232</v>
      </c>
      <c r="F10201" t="s">
        <v>30052</v>
      </c>
      <c r="G10201" t="s">
        <v>30058</v>
      </c>
      <c r="H10201" t="s">
        <v>30068</v>
      </c>
      <c r="I10201" t="s">
        <v>30068</v>
      </c>
      <c r="J10201" t="s">
        <v>36425</v>
      </c>
      <c r="K10201" t="s">
        <v>39235</v>
      </c>
      <c r="M10201" t="s">
        <v>39840</v>
      </c>
      <c r="N10201" t="s">
        <v>43166</v>
      </c>
      <c r="O10201" t="s">
        <v>43167</v>
      </c>
      <c r="Q10201">
        <v>1</v>
      </c>
      <c r="R10201" t="s">
        <v>43179</v>
      </c>
      <c r="S10201" t="s">
        <v>43582</v>
      </c>
      <c r="T10201" t="s">
        <v>44698</v>
      </c>
      <c r="U10201" t="s">
        <v>53359</v>
      </c>
      <c r="V10201" t="s">
        <v>57971</v>
      </c>
      <c r="W10201" t="s">
        <v>39840</v>
      </c>
      <c r="X10201" t="s">
        <v>43180</v>
      </c>
    </row>
    <row r="10202" spans="1:24">
      <c r="A10202">
        <f>HYPERLINK("https://www.philgeps.gov.ph/GEPSNONPILOT/Tender/SplashBidNoticeAbstractUI.aspx?menuIndex=3&amp;refID=6941994&amp;Result=3","6941994")</f>
        <v>0</v>
      </c>
      <c r="B10202" t="s">
        <v>2809</v>
      </c>
      <c r="C10202" t="s">
        <v>13144</v>
      </c>
      <c r="D10202" t="s">
        <v>17444</v>
      </c>
      <c r="E10202" t="s">
        <v>26233</v>
      </c>
      <c r="F10202" t="s">
        <v>30052</v>
      </c>
      <c r="G10202" t="s">
        <v>30058</v>
      </c>
      <c r="H10202" t="s">
        <v>15498</v>
      </c>
      <c r="I10202" t="s">
        <v>4598</v>
      </c>
      <c r="J10202" t="s">
        <v>36426</v>
      </c>
      <c r="K10202" t="s">
        <v>39029</v>
      </c>
      <c r="M10202" t="s">
        <v>42350</v>
      </c>
      <c r="N10202" t="s">
        <v>43166</v>
      </c>
      <c r="O10202" t="s">
        <v>43167</v>
      </c>
      <c r="P10202">
        <v>0</v>
      </c>
      <c r="Q10202">
        <v>4</v>
      </c>
      <c r="R10202" t="s">
        <v>43179</v>
      </c>
      <c r="S10202" t="s">
        <v>43583</v>
      </c>
      <c r="T10202" t="s">
        <v>44717</v>
      </c>
      <c r="U10202" t="s">
        <v>53360</v>
      </c>
      <c r="V10202" t="s">
        <v>57875</v>
      </c>
      <c r="W10202" t="s">
        <v>42350</v>
      </c>
      <c r="X10202" t="s">
        <v>43256</v>
      </c>
    </row>
    <row r="10203" spans="1:24">
      <c r="A10203">
        <f>HYPERLINK("https://www.philgeps.gov.ph/GEPSNONPILOT/Tender/SplashBidNoticeAbstractUI.aspx?menuIndex=3&amp;refID=7070159&amp;Result=3","7070159")</f>
        <v>0</v>
      </c>
      <c r="B10203" t="s">
        <v>2906</v>
      </c>
      <c r="C10203" t="s">
        <v>13145</v>
      </c>
      <c r="D10203" t="s">
        <v>17445</v>
      </c>
      <c r="E10203" t="s">
        <v>26234</v>
      </c>
      <c r="F10203" t="s">
        <v>30052</v>
      </c>
      <c r="G10203" t="s">
        <v>30058</v>
      </c>
      <c r="H10203" t="s">
        <v>15498</v>
      </c>
      <c r="I10203" t="s">
        <v>30070</v>
      </c>
      <c r="J10203" t="s">
        <v>36427</v>
      </c>
      <c r="K10203" t="s">
        <v>39019</v>
      </c>
      <c r="M10203" t="s">
        <v>42460</v>
      </c>
      <c r="N10203" t="s">
        <v>43166</v>
      </c>
      <c r="O10203" t="s">
        <v>43167</v>
      </c>
      <c r="P10203">
        <v>0</v>
      </c>
      <c r="Q10203">
        <v>3</v>
      </c>
      <c r="R10203" t="s">
        <v>43178</v>
      </c>
      <c r="S10203" t="s">
        <v>43522</v>
      </c>
      <c r="T10203" t="s">
        <v>44689</v>
      </c>
      <c r="U10203" t="s">
        <v>53361</v>
      </c>
      <c r="W10203" t="s">
        <v>42460</v>
      </c>
      <c r="X10203" t="s">
        <v>43179</v>
      </c>
    </row>
    <row r="10204" spans="1:24">
      <c r="A10204">
        <f>HYPERLINK("https://www.philgeps.gov.ph/GEPSNONPILOT/Tender/SplashBidNoticeAbstractUI.aspx?menuIndex=3&amp;refID=6982055-2&amp;Result=3","6982055-2")</f>
        <v>0</v>
      </c>
      <c r="B10204" t="s">
        <v>538</v>
      </c>
      <c r="C10204" t="s">
        <v>13146</v>
      </c>
      <c r="D10204" t="s">
        <v>17414</v>
      </c>
      <c r="E10204" t="s">
        <v>26235</v>
      </c>
      <c r="F10204" t="s">
        <v>30052</v>
      </c>
      <c r="G10204" t="s">
        <v>30058</v>
      </c>
      <c r="H10204" t="s">
        <v>30068</v>
      </c>
      <c r="I10204" t="s">
        <v>30068</v>
      </c>
      <c r="J10204" t="s">
        <v>36428</v>
      </c>
      <c r="K10204" t="s">
        <v>39236</v>
      </c>
      <c r="M10204" t="s">
        <v>39840</v>
      </c>
      <c r="N10204" t="s">
        <v>43166</v>
      </c>
      <c r="O10204" t="s">
        <v>43167</v>
      </c>
      <c r="Q10204">
        <v>1</v>
      </c>
      <c r="R10204" t="s">
        <v>43179</v>
      </c>
      <c r="S10204" t="s">
        <v>43584</v>
      </c>
      <c r="T10204" t="s">
        <v>44698</v>
      </c>
      <c r="U10204" t="s">
        <v>53359</v>
      </c>
      <c r="V10204" t="s">
        <v>57971</v>
      </c>
      <c r="W10204" t="s">
        <v>39840</v>
      </c>
      <c r="X10204" t="s">
        <v>43180</v>
      </c>
    </row>
    <row r="10205" spans="1:24">
      <c r="A10205">
        <f>HYPERLINK("https://www.philgeps.gov.ph/GEPSNONPILOT/Tender/SplashBidNoticeAbstractUI.aspx?menuIndex=3&amp;refID=7070235&amp;Result=3","7070235")</f>
        <v>0</v>
      </c>
      <c r="B10205" t="s">
        <v>951</v>
      </c>
      <c r="C10205" t="s">
        <v>13147</v>
      </c>
      <c r="D10205" t="s">
        <v>17422</v>
      </c>
      <c r="E10205" t="s">
        <v>26236</v>
      </c>
      <c r="F10205" t="s">
        <v>30052</v>
      </c>
      <c r="G10205" t="s">
        <v>30058</v>
      </c>
      <c r="H10205" t="s">
        <v>15498</v>
      </c>
      <c r="I10205" t="s">
        <v>3736</v>
      </c>
      <c r="J10205" t="s">
        <v>36429</v>
      </c>
      <c r="K10205" t="s">
        <v>39019</v>
      </c>
      <c r="M10205" t="s">
        <v>40275</v>
      </c>
      <c r="N10205" t="s">
        <v>43166</v>
      </c>
      <c r="O10205" t="s">
        <v>43167</v>
      </c>
      <c r="P10205">
        <v>0</v>
      </c>
      <c r="Q10205">
        <v>4</v>
      </c>
      <c r="R10205" t="s">
        <v>43178</v>
      </c>
      <c r="S10205" t="s">
        <v>43522</v>
      </c>
      <c r="T10205" t="s">
        <v>44791</v>
      </c>
      <c r="U10205" t="s">
        <v>53356</v>
      </c>
      <c r="W10205" t="s">
        <v>40275</v>
      </c>
      <c r="X10205" t="s">
        <v>43179</v>
      </c>
    </row>
    <row r="10206" spans="1:24">
      <c r="A10206">
        <f>HYPERLINK("https://www.philgeps.gov.ph/GEPSNONPILOT/Tender/SplashBidNoticeAbstractUI.aspx?menuIndex=3&amp;refID=6819197&amp;Result=3","6819197")</f>
        <v>0</v>
      </c>
      <c r="B10206" t="s">
        <v>2809</v>
      </c>
      <c r="C10206" t="s">
        <v>13148</v>
      </c>
      <c r="D10206" t="s">
        <v>17444</v>
      </c>
      <c r="E10206" t="s">
        <v>26237</v>
      </c>
      <c r="F10206" t="s">
        <v>30052</v>
      </c>
      <c r="G10206" t="s">
        <v>30058</v>
      </c>
      <c r="H10206" t="s">
        <v>15498</v>
      </c>
      <c r="I10206" t="s">
        <v>30070</v>
      </c>
      <c r="J10206" t="s">
        <v>36430</v>
      </c>
      <c r="K10206" t="s">
        <v>39029</v>
      </c>
      <c r="M10206" t="s">
        <v>42350</v>
      </c>
      <c r="N10206" t="s">
        <v>43166</v>
      </c>
      <c r="O10206" t="s">
        <v>43167</v>
      </c>
      <c r="P10206">
        <v>0</v>
      </c>
      <c r="Q10206">
        <v>3</v>
      </c>
      <c r="R10206" t="s">
        <v>43179</v>
      </c>
      <c r="S10206" t="s">
        <v>43583</v>
      </c>
      <c r="T10206" t="s">
        <v>44717</v>
      </c>
      <c r="U10206" t="s">
        <v>53362</v>
      </c>
      <c r="V10206" t="s">
        <v>57875</v>
      </c>
      <c r="W10206" t="s">
        <v>42350</v>
      </c>
      <c r="X10206" t="s">
        <v>43283</v>
      </c>
    </row>
    <row r="10207" spans="1:24">
      <c r="A10207">
        <f>HYPERLINK("https://www.philgeps.gov.ph/GEPSNONPILOT/Tender/SplashBidNoticeAbstractUI.aspx?menuIndex=3&amp;refID=6942031&amp;Result=3","6942031")</f>
        <v>0</v>
      </c>
      <c r="B10207" t="s">
        <v>2809</v>
      </c>
      <c r="C10207" t="s">
        <v>13149</v>
      </c>
      <c r="D10207" t="s">
        <v>17444</v>
      </c>
      <c r="E10207" t="s">
        <v>26238</v>
      </c>
      <c r="F10207" t="s">
        <v>30052</v>
      </c>
      <c r="G10207" t="s">
        <v>30058</v>
      </c>
      <c r="H10207" t="s">
        <v>15498</v>
      </c>
      <c r="I10207" t="s">
        <v>30076</v>
      </c>
      <c r="J10207" t="s">
        <v>36431</v>
      </c>
      <c r="K10207" t="s">
        <v>39029</v>
      </c>
      <c r="M10207" t="s">
        <v>42350</v>
      </c>
      <c r="N10207" t="s">
        <v>43166</v>
      </c>
      <c r="O10207" t="s">
        <v>43167</v>
      </c>
      <c r="P10207">
        <v>0</v>
      </c>
      <c r="Q10207">
        <v>3</v>
      </c>
      <c r="R10207" t="s">
        <v>43179</v>
      </c>
      <c r="S10207" t="s">
        <v>43583</v>
      </c>
      <c r="T10207" t="s">
        <v>44717</v>
      </c>
      <c r="U10207" t="s">
        <v>53363</v>
      </c>
      <c r="V10207" t="s">
        <v>57875</v>
      </c>
      <c r="W10207" t="s">
        <v>42350</v>
      </c>
      <c r="X10207" t="s">
        <v>43256</v>
      </c>
    </row>
    <row r="10208" spans="1:24">
      <c r="A10208">
        <f>HYPERLINK("https://www.philgeps.gov.ph/GEPSNONPILOT/Tender/SplashBidNoticeAbstractUI.aspx?menuIndex=3&amp;refID=7070269&amp;Result=3","7070269")</f>
        <v>0</v>
      </c>
      <c r="B10208" t="s">
        <v>743</v>
      </c>
      <c r="C10208" t="s">
        <v>13150</v>
      </c>
      <c r="D10208" t="s">
        <v>17458</v>
      </c>
      <c r="E10208" t="s">
        <v>26239</v>
      </c>
      <c r="F10208" t="s">
        <v>30052</v>
      </c>
      <c r="G10208" t="s">
        <v>30058</v>
      </c>
      <c r="H10208" t="s">
        <v>15498</v>
      </c>
      <c r="I10208" t="s">
        <v>30097</v>
      </c>
      <c r="J10208" t="s">
        <v>33141</v>
      </c>
      <c r="K10208" t="s">
        <v>39031</v>
      </c>
      <c r="M10208" t="s">
        <v>42463</v>
      </c>
      <c r="N10208" t="s">
        <v>43166</v>
      </c>
      <c r="O10208" t="s">
        <v>43167</v>
      </c>
      <c r="Q10208">
        <v>6</v>
      </c>
      <c r="R10208" t="s">
        <v>43178</v>
      </c>
      <c r="S10208" t="s">
        <v>43585</v>
      </c>
      <c r="T10208" t="s">
        <v>44796</v>
      </c>
      <c r="U10208" t="s">
        <v>53344</v>
      </c>
      <c r="W10208" t="s">
        <v>42463</v>
      </c>
      <c r="X10208" t="s">
        <v>43179</v>
      </c>
    </row>
    <row r="10209" spans="1:24">
      <c r="A10209">
        <f>HYPERLINK("https://www.philgeps.gov.ph/GEPSNONPILOT/Tender/SplashBidNoticeAbstractUI.aspx?menuIndex=3&amp;refID=7070267&amp;Result=3","7070267")</f>
        <v>0</v>
      </c>
      <c r="B10209" t="s">
        <v>743</v>
      </c>
      <c r="C10209" t="s">
        <v>13151</v>
      </c>
      <c r="D10209" t="s">
        <v>17458</v>
      </c>
      <c r="E10209" t="s">
        <v>26240</v>
      </c>
      <c r="F10209" t="s">
        <v>30052</v>
      </c>
      <c r="G10209" t="s">
        <v>30058</v>
      </c>
      <c r="H10209" t="s">
        <v>30067</v>
      </c>
      <c r="I10209" t="s">
        <v>3693</v>
      </c>
      <c r="J10209" t="s">
        <v>36432</v>
      </c>
      <c r="K10209" t="s">
        <v>39016</v>
      </c>
      <c r="M10209" t="s">
        <v>42463</v>
      </c>
      <c r="N10209" t="s">
        <v>43166</v>
      </c>
      <c r="O10209" t="s">
        <v>43167</v>
      </c>
      <c r="P10209">
        <v>0</v>
      </c>
      <c r="Q10209">
        <v>1</v>
      </c>
      <c r="R10209" t="s">
        <v>43178</v>
      </c>
      <c r="S10209" t="s">
        <v>43522</v>
      </c>
      <c r="T10209" t="s">
        <v>44828</v>
      </c>
      <c r="U10209" t="s">
        <v>53364</v>
      </c>
      <c r="W10209" t="s">
        <v>42463</v>
      </c>
      <c r="X10209" t="s">
        <v>43179</v>
      </c>
    </row>
    <row r="10210" spans="1:24">
      <c r="A10210">
        <f>HYPERLINK("https://www.philgeps.gov.ph/GEPSNONPILOT/Tender/SplashBidNoticeAbstractUI.aspx?menuIndex=3&amp;refID=7070260&amp;Result=3","7070260")</f>
        <v>0</v>
      </c>
      <c r="B10210" t="s">
        <v>743</v>
      </c>
      <c r="C10210" t="s">
        <v>13152</v>
      </c>
      <c r="D10210" t="s">
        <v>17458</v>
      </c>
      <c r="E10210" t="s">
        <v>26241</v>
      </c>
      <c r="F10210" t="s">
        <v>30052</v>
      </c>
      <c r="G10210" t="s">
        <v>30058</v>
      </c>
      <c r="H10210" t="s">
        <v>30067</v>
      </c>
      <c r="I10210" t="s">
        <v>3693</v>
      </c>
      <c r="J10210" t="s">
        <v>36433</v>
      </c>
      <c r="K10210" t="s">
        <v>39177</v>
      </c>
      <c r="M10210" t="s">
        <v>42463</v>
      </c>
      <c r="N10210" t="s">
        <v>43166</v>
      </c>
      <c r="O10210" t="s">
        <v>43167</v>
      </c>
      <c r="P10210">
        <v>0</v>
      </c>
      <c r="Q10210">
        <v>2</v>
      </c>
      <c r="R10210" t="s">
        <v>43178</v>
      </c>
      <c r="S10210" t="s">
        <v>43522</v>
      </c>
      <c r="T10210" t="s">
        <v>44828</v>
      </c>
      <c r="U10210" t="s">
        <v>53364</v>
      </c>
      <c r="W10210" t="s">
        <v>42463</v>
      </c>
      <c r="X10210" t="s">
        <v>43179</v>
      </c>
    </row>
    <row r="10211" spans="1:24">
      <c r="A10211">
        <f>HYPERLINK("https://www.philgeps.gov.ph/GEPSNONPILOT/Tender/SplashBidNoticeAbstractUI.aspx?menuIndex=3&amp;refID=7070255&amp;Result=3","7070255")</f>
        <v>0</v>
      </c>
      <c r="B10211" t="s">
        <v>743</v>
      </c>
      <c r="C10211" t="s">
        <v>13153</v>
      </c>
      <c r="D10211" t="s">
        <v>17458</v>
      </c>
      <c r="E10211" t="s">
        <v>26242</v>
      </c>
      <c r="F10211" t="s">
        <v>30052</v>
      </c>
      <c r="G10211" t="s">
        <v>30058</v>
      </c>
      <c r="H10211" t="s">
        <v>15498</v>
      </c>
      <c r="I10211" t="s">
        <v>30097</v>
      </c>
      <c r="J10211" t="s">
        <v>36434</v>
      </c>
      <c r="K10211" t="s">
        <v>39031</v>
      </c>
      <c r="M10211" t="s">
        <v>42463</v>
      </c>
      <c r="N10211" t="s">
        <v>43166</v>
      </c>
      <c r="O10211" t="s">
        <v>43167</v>
      </c>
      <c r="Q10211">
        <v>3</v>
      </c>
      <c r="R10211" t="s">
        <v>43178</v>
      </c>
      <c r="S10211" t="s">
        <v>43586</v>
      </c>
      <c r="T10211" t="s">
        <v>44796</v>
      </c>
      <c r="U10211" t="s">
        <v>53344</v>
      </c>
      <c r="W10211" t="s">
        <v>42463</v>
      </c>
      <c r="X10211" t="s">
        <v>43179</v>
      </c>
    </row>
    <row r="10212" spans="1:24">
      <c r="A10212">
        <f>HYPERLINK("https://www.philgeps.gov.ph/GEPSNONPILOT/Tender/SplashBidNoticeAbstractUI.aspx?menuIndex=3&amp;refID=7070243&amp;Result=3","7070243")</f>
        <v>0</v>
      </c>
      <c r="B10212" t="s">
        <v>2029</v>
      </c>
      <c r="C10212" t="s">
        <v>13154</v>
      </c>
      <c r="D10212" t="s">
        <v>17492</v>
      </c>
      <c r="E10212" t="s">
        <v>25321</v>
      </c>
      <c r="F10212" t="s">
        <v>30052</v>
      </c>
      <c r="G10212" t="s">
        <v>30058</v>
      </c>
      <c r="H10212" t="s">
        <v>30067</v>
      </c>
      <c r="I10212" t="s">
        <v>3693</v>
      </c>
      <c r="J10212" t="s">
        <v>36435</v>
      </c>
      <c r="K10212" t="s">
        <v>39113</v>
      </c>
      <c r="M10212" t="s">
        <v>41477</v>
      </c>
      <c r="N10212" t="s">
        <v>43166</v>
      </c>
      <c r="O10212" t="s">
        <v>43167</v>
      </c>
      <c r="P10212">
        <v>0</v>
      </c>
      <c r="Q10212">
        <v>0</v>
      </c>
      <c r="R10212" t="s">
        <v>43178</v>
      </c>
      <c r="S10212" t="s">
        <v>43522</v>
      </c>
      <c r="T10212" t="s">
        <v>44750</v>
      </c>
      <c r="U10212" t="s">
        <v>53365</v>
      </c>
      <c r="W10212" t="s">
        <v>41477</v>
      </c>
      <c r="X10212" t="s">
        <v>43179</v>
      </c>
    </row>
    <row r="10213" spans="1:24">
      <c r="A10213">
        <f>HYPERLINK("https://www.philgeps.gov.ph/GEPSNONPILOT/Tender/SplashBidNoticeAbstractUI.aspx?menuIndex=3&amp;refID=7070242&amp;Result=3","7070242")</f>
        <v>0</v>
      </c>
      <c r="B10213" t="s">
        <v>743</v>
      </c>
      <c r="C10213" t="s">
        <v>13155</v>
      </c>
      <c r="D10213" t="s">
        <v>17458</v>
      </c>
      <c r="E10213" t="s">
        <v>26243</v>
      </c>
      <c r="F10213" t="s">
        <v>30052</v>
      </c>
      <c r="G10213" t="s">
        <v>30058</v>
      </c>
      <c r="H10213" t="s">
        <v>30067</v>
      </c>
      <c r="I10213" t="s">
        <v>3693</v>
      </c>
      <c r="J10213" t="s">
        <v>36436</v>
      </c>
      <c r="K10213" t="s">
        <v>39026</v>
      </c>
      <c r="M10213" t="s">
        <v>42463</v>
      </c>
      <c r="N10213" t="s">
        <v>43166</v>
      </c>
      <c r="O10213" t="s">
        <v>43167</v>
      </c>
      <c r="P10213">
        <v>0</v>
      </c>
      <c r="Q10213">
        <v>2</v>
      </c>
      <c r="R10213" t="s">
        <v>43178</v>
      </c>
      <c r="S10213" t="s">
        <v>43522</v>
      </c>
      <c r="T10213" t="s">
        <v>44828</v>
      </c>
      <c r="U10213" t="s">
        <v>53364</v>
      </c>
      <c r="W10213" t="s">
        <v>42463</v>
      </c>
      <c r="X10213" t="s">
        <v>43179</v>
      </c>
    </row>
    <row r="10214" spans="1:24">
      <c r="A10214">
        <f>HYPERLINK("https://www.philgeps.gov.ph/GEPSNONPILOT/Tender/SplashBidNoticeAbstractUI.aspx?menuIndex=3&amp;refID=7070241&amp;Result=3","7070241")</f>
        <v>0</v>
      </c>
      <c r="B10214" t="s">
        <v>951</v>
      </c>
      <c r="C10214" t="s">
        <v>13156</v>
      </c>
      <c r="D10214" t="s">
        <v>17422</v>
      </c>
      <c r="E10214" t="s">
        <v>26244</v>
      </c>
      <c r="F10214" t="s">
        <v>30052</v>
      </c>
      <c r="G10214" t="s">
        <v>30058</v>
      </c>
      <c r="H10214" t="s">
        <v>30067</v>
      </c>
      <c r="I10214" t="s">
        <v>3693</v>
      </c>
      <c r="J10214" t="s">
        <v>36437</v>
      </c>
      <c r="K10214" t="s">
        <v>39046</v>
      </c>
      <c r="M10214" t="s">
        <v>40275</v>
      </c>
      <c r="N10214" t="s">
        <v>43166</v>
      </c>
      <c r="O10214" t="s">
        <v>43167</v>
      </c>
      <c r="P10214">
        <v>0</v>
      </c>
      <c r="Q10214">
        <v>4</v>
      </c>
      <c r="R10214" t="s">
        <v>43178</v>
      </c>
      <c r="S10214" t="s">
        <v>43522</v>
      </c>
      <c r="T10214" t="s">
        <v>44751</v>
      </c>
      <c r="U10214" t="s">
        <v>53356</v>
      </c>
      <c r="W10214" t="s">
        <v>40275</v>
      </c>
      <c r="X10214" t="s">
        <v>43179</v>
      </c>
    </row>
    <row r="10215" spans="1:24">
      <c r="A10215">
        <f>HYPERLINK("https://www.philgeps.gov.ph/GEPSNONPILOT/Tender/SplashBidNoticeAbstractUI.aspx?menuIndex=3&amp;refID=7070162&amp;Result=3","7070162")</f>
        <v>0</v>
      </c>
      <c r="B10215" t="s">
        <v>1589</v>
      </c>
      <c r="C10215" t="s">
        <v>13157</v>
      </c>
      <c r="D10215" t="s">
        <v>17494</v>
      </c>
      <c r="E10215" t="s">
        <v>26245</v>
      </c>
      <c r="F10215" t="s">
        <v>30052</v>
      </c>
      <c r="G10215" t="s">
        <v>30058</v>
      </c>
      <c r="H10215" t="s">
        <v>15498</v>
      </c>
      <c r="I10215" t="s">
        <v>4119</v>
      </c>
      <c r="J10215" t="s">
        <v>36438</v>
      </c>
      <c r="K10215" t="s">
        <v>39019</v>
      </c>
      <c r="M10215" t="s">
        <v>40982</v>
      </c>
      <c r="N10215" t="s">
        <v>43166</v>
      </c>
      <c r="O10215" t="s">
        <v>43167</v>
      </c>
      <c r="P10215">
        <v>0</v>
      </c>
      <c r="Q10215">
        <v>1</v>
      </c>
      <c r="R10215" t="s">
        <v>43178</v>
      </c>
      <c r="S10215" t="s">
        <v>43522</v>
      </c>
      <c r="T10215" t="s">
        <v>44791</v>
      </c>
      <c r="U10215" t="s">
        <v>53366</v>
      </c>
      <c r="W10215" t="s">
        <v>40982</v>
      </c>
      <c r="X10215" t="s">
        <v>43179</v>
      </c>
    </row>
    <row r="10216" spans="1:24">
      <c r="A10216">
        <f>HYPERLINK("https://www.philgeps.gov.ph/GEPSNONPILOT/Tender/SplashBidNoticeAbstractUI.aspx?menuIndex=3&amp;refID=7070239&amp;Result=3","7070239")</f>
        <v>0</v>
      </c>
      <c r="B10216" t="s">
        <v>792</v>
      </c>
      <c r="C10216" t="s">
        <v>13158</v>
      </c>
      <c r="D10216" t="s">
        <v>17415</v>
      </c>
      <c r="E10216" t="s">
        <v>26246</v>
      </c>
      <c r="F10216" t="s">
        <v>30052</v>
      </c>
      <c r="G10216" t="s">
        <v>30058</v>
      </c>
      <c r="H10216" t="s">
        <v>15498</v>
      </c>
      <c r="I10216" t="s">
        <v>30096</v>
      </c>
      <c r="J10216" t="s">
        <v>36439</v>
      </c>
      <c r="K10216" t="s">
        <v>39025</v>
      </c>
      <c r="M10216" t="s">
        <v>41901</v>
      </c>
      <c r="N10216" t="s">
        <v>43166</v>
      </c>
      <c r="O10216" t="s">
        <v>43167</v>
      </c>
      <c r="Q10216">
        <v>16</v>
      </c>
      <c r="R10216" t="s">
        <v>43178</v>
      </c>
      <c r="S10216" t="s">
        <v>43587</v>
      </c>
      <c r="T10216" t="s">
        <v>44873</v>
      </c>
      <c r="U10216" t="s">
        <v>53367</v>
      </c>
      <c r="V10216" t="s">
        <v>57652</v>
      </c>
      <c r="W10216" t="s">
        <v>41901</v>
      </c>
      <c r="X10216" t="s">
        <v>43179</v>
      </c>
    </row>
    <row r="10217" spans="1:24">
      <c r="A10217">
        <f>HYPERLINK("https://www.philgeps.gov.ph/GEPSNONPILOT/Tender/SplashBidNoticeAbstractUI.aspx?menuIndex=3&amp;refID=7056935&amp;Result=3","7056935")</f>
        <v>0</v>
      </c>
      <c r="B10217" t="s">
        <v>2133</v>
      </c>
      <c r="C10217" t="s">
        <v>13159</v>
      </c>
      <c r="D10217" t="s">
        <v>17432</v>
      </c>
      <c r="E10217" t="s">
        <v>26247</v>
      </c>
      <c r="F10217" t="s">
        <v>30052</v>
      </c>
      <c r="G10217" t="s">
        <v>30058</v>
      </c>
      <c r="H10217" t="s">
        <v>15498</v>
      </c>
      <c r="I10217" t="s">
        <v>30097</v>
      </c>
      <c r="J10217" t="s">
        <v>30397</v>
      </c>
      <c r="K10217" t="s">
        <v>39034</v>
      </c>
      <c r="M10217" t="s">
        <v>41597</v>
      </c>
      <c r="N10217" t="s">
        <v>43166</v>
      </c>
      <c r="O10217" t="s">
        <v>43167</v>
      </c>
      <c r="P10217">
        <v>0</v>
      </c>
      <c r="Q10217">
        <v>6</v>
      </c>
      <c r="R10217" t="s">
        <v>43179</v>
      </c>
      <c r="S10217" t="s">
        <v>43583</v>
      </c>
      <c r="T10217" t="s">
        <v>44795</v>
      </c>
      <c r="U10217" t="s">
        <v>51252</v>
      </c>
      <c r="V10217" t="s">
        <v>57529</v>
      </c>
      <c r="W10217" t="s">
        <v>41597</v>
      </c>
      <c r="X10217" t="s">
        <v>43185</v>
      </c>
    </row>
    <row r="10218" spans="1:24">
      <c r="A10218">
        <f>HYPERLINK("https://www.philgeps.gov.ph/GEPSNONPILOT/Tender/SplashBidNoticeAbstractUI.aspx?menuIndex=3&amp;refID=7070246&amp;Result=3","7070246")</f>
        <v>0</v>
      </c>
      <c r="B10218" t="s">
        <v>2029</v>
      </c>
      <c r="C10218" t="s">
        <v>13160</v>
      </c>
      <c r="D10218" t="s">
        <v>17492</v>
      </c>
      <c r="E10218" t="s">
        <v>25320</v>
      </c>
      <c r="F10218" t="s">
        <v>30052</v>
      </c>
      <c r="G10218" t="s">
        <v>30058</v>
      </c>
      <c r="H10218" t="s">
        <v>30067</v>
      </c>
      <c r="I10218" t="s">
        <v>3693</v>
      </c>
      <c r="J10218" t="s">
        <v>36440</v>
      </c>
      <c r="K10218" t="s">
        <v>39065</v>
      </c>
      <c r="M10218" t="s">
        <v>41477</v>
      </c>
      <c r="N10218" t="s">
        <v>43166</v>
      </c>
      <c r="O10218" t="s">
        <v>43167</v>
      </c>
      <c r="P10218">
        <v>0</v>
      </c>
      <c r="Q10218">
        <v>0</v>
      </c>
      <c r="R10218" t="s">
        <v>43178</v>
      </c>
      <c r="S10218" t="s">
        <v>43522</v>
      </c>
      <c r="T10218" t="s">
        <v>44750</v>
      </c>
      <c r="U10218" t="s">
        <v>53368</v>
      </c>
      <c r="W10218" t="s">
        <v>41477</v>
      </c>
      <c r="X10218" t="s">
        <v>43179</v>
      </c>
    </row>
    <row r="10219" spans="1:24">
      <c r="A10219">
        <f>HYPERLINK("https://www.philgeps.gov.ph/GEPSNONPILOT/Tender/SplashBidNoticeAbstractUI.aspx?menuIndex=3&amp;refID=6941920&amp;Result=3","6941920")</f>
        <v>0</v>
      </c>
      <c r="B10219" t="s">
        <v>2809</v>
      </c>
      <c r="C10219" t="s">
        <v>12627</v>
      </c>
      <c r="D10219" t="s">
        <v>17444</v>
      </c>
      <c r="E10219" t="s">
        <v>26248</v>
      </c>
      <c r="F10219" t="s">
        <v>30052</v>
      </c>
      <c r="G10219" t="s">
        <v>30058</v>
      </c>
      <c r="H10219" t="s">
        <v>15498</v>
      </c>
      <c r="I10219" t="s">
        <v>30084</v>
      </c>
      <c r="J10219" t="s">
        <v>36441</v>
      </c>
      <c r="K10219" t="s">
        <v>39029</v>
      </c>
      <c r="M10219" t="s">
        <v>42350</v>
      </c>
      <c r="N10219" t="s">
        <v>43166</v>
      </c>
      <c r="O10219" t="s">
        <v>43167</v>
      </c>
      <c r="P10219">
        <v>0</v>
      </c>
      <c r="Q10219">
        <v>5</v>
      </c>
      <c r="R10219" t="s">
        <v>43179</v>
      </c>
      <c r="S10219" t="s">
        <v>43583</v>
      </c>
      <c r="T10219" t="s">
        <v>44717</v>
      </c>
      <c r="U10219" t="s">
        <v>53369</v>
      </c>
      <c r="V10219" t="s">
        <v>57875</v>
      </c>
      <c r="W10219" t="s">
        <v>42350</v>
      </c>
      <c r="X10219" t="s">
        <v>43256</v>
      </c>
    </row>
    <row r="10220" spans="1:24">
      <c r="A10220">
        <f>HYPERLINK("https://www.philgeps.gov.ph/GEPSNONPILOT/Tender/SplashBidNoticeAbstractUI.aspx?menuIndex=3&amp;refID=7056105&amp;Result=3","7056105")</f>
        <v>0</v>
      </c>
      <c r="B10220" t="s">
        <v>946</v>
      </c>
      <c r="C10220" t="s">
        <v>13161</v>
      </c>
      <c r="D10220" t="s">
        <v>17456</v>
      </c>
      <c r="E10220" t="s">
        <v>26249</v>
      </c>
      <c r="F10220" t="s">
        <v>30052</v>
      </c>
      <c r="G10220" t="s">
        <v>30058</v>
      </c>
      <c r="H10220" t="s">
        <v>30067</v>
      </c>
      <c r="I10220" t="s">
        <v>3693</v>
      </c>
      <c r="J10220" t="s">
        <v>36442</v>
      </c>
      <c r="K10220" t="s">
        <v>39086</v>
      </c>
      <c r="M10220" t="s">
        <v>40270</v>
      </c>
      <c r="N10220" t="s">
        <v>43166</v>
      </c>
      <c r="O10220" t="s">
        <v>43167</v>
      </c>
      <c r="P10220">
        <v>0</v>
      </c>
      <c r="Q10220">
        <v>0</v>
      </c>
      <c r="R10220" t="s">
        <v>43179</v>
      </c>
      <c r="S10220" t="s">
        <v>43583</v>
      </c>
      <c r="T10220" t="s">
        <v>44700</v>
      </c>
      <c r="U10220" t="s">
        <v>53370</v>
      </c>
      <c r="W10220" t="s">
        <v>40270</v>
      </c>
      <c r="X10220" t="s">
        <v>43185</v>
      </c>
    </row>
    <row r="10221" spans="1:24">
      <c r="A10221">
        <f>HYPERLINK("https://www.philgeps.gov.ph/GEPSNONPILOT/Tender/SplashBidNoticeAbstractUI.aspx?menuIndex=3&amp;refID=7055754&amp;Result=3","7055754")</f>
        <v>0</v>
      </c>
      <c r="B10221" t="s">
        <v>946</v>
      </c>
      <c r="C10221" t="s">
        <v>13162</v>
      </c>
      <c r="D10221" t="s">
        <v>17456</v>
      </c>
      <c r="E10221" t="s">
        <v>26250</v>
      </c>
      <c r="F10221" t="s">
        <v>30052</v>
      </c>
      <c r="G10221" t="s">
        <v>30058</v>
      </c>
      <c r="H10221" t="s">
        <v>15498</v>
      </c>
      <c r="I10221" t="s">
        <v>30074</v>
      </c>
      <c r="J10221" t="s">
        <v>30397</v>
      </c>
      <c r="K10221" t="s">
        <v>39019</v>
      </c>
      <c r="M10221" t="s">
        <v>40270</v>
      </c>
      <c r="N10221" t="s">
        <v>43166</v>
      </c>
      <c r="O10221" t="s">
        <v>43167</v>
      </c>
      <c r="P10221">
        <v>0</v>
      </c>
      <c r="Q10221">
        <v>3</v>
      </c>
      <c r="R10221" t="s">
        <v>43179</v>
      </c>
      <c r="S10221" t="s">
        <v>43583</v>
      </c>
      <c r="T10221" t="s">
        <v>44704</v>
      </c>
      <c r="U10221" t="s">
        <v>53371</v>
      </c>
      <c r="W10221" t="s">
        <v>40270</v>
      </c>
      <c r="X10221" t="s">
        <v>43185</v>
      </c>
    </row>
    <row r="10222" spans="1:24">
      <c r="A10222">
        <f>HYPERLINK("https://www.philgeps.gov.ph/GEPSNONPILOT/Tender/SplashBidNoticeAbstractUI.aspx?menuIndex=3&amp;refID=6941881&amp;Result=3","6941881")</f>
        <v>0</v>
      </c>
      <c r="B10222" t="s">
        <v>2809</v>
      </c>
      <c r="C10222" t="s">
        <v>13163</v>
      </c>
      <c r="D10222" t="s">
        <v>17444</v>
      </c>
      <c r="E10222" t="s">
        <v>26251</v>
      </c>
      <c r="F10222" t="s">
        <v>30052</v>
      </c>
      <c r="G10222" t="s">
        <v>30058</v>
      </c>
      <c r="H10222" t="s">
        <v>15498</v>
      </c>
      <c r="I10222" t="s">
        <v>30109</v>
      </c>
      <c r="J10222" t="s">
        <v>36443</v>
      </c>
      <c r="K10222" t="s">
        <v>39029</v>
      </c>
      <c r="M10222" t="s">
        <v>42350</v>
      </c>
      <c r="N10222" t="s">
        <v>43166</v>
      </c>
      <c r="O10222" t="s">
        <v>43167</v>
      </c>
      <c r="P10222">
        <v>0</v>
      </c>
      <c r="Q10222">
        <v>2</v>
      </c>
      <c r="R10222" t="s">
        <v>43179</v>
      </c>
      <c r="S10222" t="s">
        <v>43583</v>
      </c>
      <c r="T10222" t="s">
        <v>44717</v>
      </c>
      <c r="U10222" t="s">
        <v>53372</v>
      </c>
      <c r="V10222" t="s">
        <v>57972</v>
      </c>
      <c r="W10222" t="s">
        <v>42350</v>
      </c>
      <c r="X10222" t="s">
        <v>43256</v>
      </c>
    </row>
    <row r="10223" spans="1:24">
      <c r="A10223">
        <f>HYPERLINK("https://www.philgeps.gov.ph/GEPSNONPILOT/Tender/SplashBidNoticeAbstractUI.aspx?menuIndex=3&amp;refID=7052986&amp;Result=3","7052986")</f>
        <v>0</v>
      </c>
      <c r="B10223" t="s">
        <v>1953</v>
      </c>
      <c r="C10223" t="s">
        <v>13164</v>
      </c>
      <c r="E10223" t="s">
        <v>26252</v>
      </c>
      <c r="F10223" t="s">
        <v>30052</v>
      </c>
      <c r="G10223" t="s">
        <v>30058</v>
      </c>
      <c r="H10223" t="s">
        <v>15498</v>
      </c>
      <c r="I10223" t="s">
        <v>30076</v>
      </c>
      <c r="J10223" t="s">
        <v>36444</v>
      </c>
      <c r="K10223" t="s">
        <v>39017</v>
      </c>
      <c r="M10223" t="s">
        <v>41390</v>
      </c>
      <c r="N10223" t="s">
        <v>43166</v>
      </c>
      <c r="O10223" t="s">
        <v>43167</v>
      </c>
      <c r="P10223">
        <v>0</v>
      </c>
      <c r="Q10223">
        <v>4</v>
      </c>
      <c r="R10223" t="s">
        <v>43179</v>
      </c>
      <c r="S10223" t="s">
        <v>43583</v>
      </c>
      <c r="T10223" t="s">
        <v>44690</v>
      </c>
      <c r="U10223" t="s">
        <v>53373</v>
      </c>
      <c r="W10223" t="s">
        <v>41390</v>
      </c>
      <c r="X10223" t="s">
        <v>43186</v>
      </c>
    </row>
    <row r="10224" spans="1:24">
      <c r="A10224">
        <f>HYPERLINK("https://www.philgeps.gov.ph/GEPSNONPILOT/Tender/SplashBidNoticeAbstractUI.aspx?menuIndex=3&amp;refID=7051829&amp;Result=3","7051829")</f>
        <v>0</v>
      </c>
      <c r="B10224" t="s">
        <v>2809</v>
      </c>
      <c r="C10224" t="s">
        <v>13165</v>
      </c>
      <c r="D10224" t="s">
        <v>17444</v>
      </c>
      <c r="E10224" t="s">
        <v>26253</v>
      </c>
      <c r="F10224" t="s">
        <v>30052</v>
      </c>
      <c r="G10224" t="s">
        <v>30058</v>
      </c>
      <c r="H10224" t="s">
        <v>15498</v>
      </c>
      <c r="I10224" t="s">
        <v>30070</v>
      </c>
      <c r="J10224" t="s">
        <v>36445</v>
      </c>
      <c r="K10224" t="s">
        <v>39029</v>
      </c>
      <c r="M10224" t="s">
        <v>42350</v>
      </c>
      <c r="N10224" t="s">
        <v>43166</v>
      </c>
      <c r="O10224" t="s">
        <v>43167</v>
      </c>
      <c r="P10224">
        <v>0</v>
      </c>
      <c r="Q10224">
        <v>3</v>
      </c>
      <c r="R10224" t="s">
        <v>43179</v>
      </c>
      <c r="S10224" t="s">
        <v>43583</v>
      </c>
      <c r="T10224" t="s">
        <v>44699</v>
      </c>
      <c r="U10224" t="s">
        <v>53374</v>
      </c>
      <c r="V10224" t="s">
        <v>57875</v>
      </c>
      <c r="W10224" t="s">
        <v>42350</v>
      </c>
      <c r="X10224" t="s">
        <v>43187</v>
      </c>
    </row>
    <row r="10225" spans="1:24">
      <c r="A10225">
        <f>HYPERLINK("https://www.philgeps.gov.ph/GEPSNONPILOT/Tender/SplashBidNoticeAbstractUI.aspx?menuIndex=3&amp;refID=7051781&amp;Result=3","7051781")</f>
        <v>0</v>
      </c>
      <c r="B10225" t="s">
        <v>2809</v>
      </c>
      <c r="C10225" t="s">
        <v>13166</v>
      </c>
      <c r="D10225" t="s">
        <v>17444</v>
      </c>
      <c r="E10225" t="s">
        <v>26254</v>
      </c>
      <c r="F10225" t="s">
        <v>30052</v>
      </c>
      <c r="G10225" t="s">
        <v>30058</v>
      </c>
      <c r="H10225" t="s">
        <v>15498</v>
      </c>
      <c r="I10225" t="s">
        <v>30098</v>
      </c>
      <c r="J10225" t="s">
        <v>31644</v>
      </c>
      <c r="K10225" t="s">
        <v>39029</v>
      </c>
      <c r="M10225" t="s">
        <v>42350</v>
      </c>
      <c r="N10225" t="s">
        <v>43166</v>
      </c>
      <c r="O10225" t="s">
        <v>43167</v>
      </c>
      <c r="P10225">
        <v>0</v>
      </c>
      <c r="Q10225">
        <v>3</v>
      </c>
      <c r="R10225" t="s">
        <v>43179</v>
      </c>
      <c r="S10225" t="s">
        <v>43583</v>
      </c>
      <c r="T10225" t="s">
        <v>44717</v>
      </c>
      <c r="U10225" t="s">
        <v>53375</v>
      </c>
      <c r="V10225" t="s">
        <v>57875</v>
      </c>
      <c r="W10225" t="s">
        <v>42350</v>
      </c>
      <c r="X10225" t="s">
        <v>43187</v>
      </c>
    </row>
    <row r="10226" spans="1:24">
      <c r="A10226">
        <f>HYPERLINK("https://www.philgeps.gov.ph/GEPSNONPILOT/Tender/SplashBidNoticeAbstractUI.aspx?menuIndex=3&amp;refID=7051712&amp;Result=3","7051712")</f>
        <v>0</v>
      </c>
      <c r="B10226" t="s">
        <v>2809</v>
      </c>
      <c r="C10226" t="s">
        <v>13167</v>
      </c>
      <c r="D10226" t="s">
        <v>17444</v>
      </c>
      <c r="E10226" t="s">
        <v>26255</v>
      </c>
      <c r="F10226" t="s">
        <v>30052</v>
      </c>
      <c r="G10226" t="s">
        <v>30058</v>
      </c>
      <c r="H10226" t="s">
        <v>15498</v>
      </c>
      <c r="I10226" t="s">
        <v>30070</v>
      </c>
      <c r="J10226" t="s">
        <v>36446</v>
      </c>
      <c r="K10226" t="s">
        <v>39029</v>
      </c>
      <c r="M10226" t="s">
        <v>42350</v>
      </c>
      <c r="N10226" t="s">
        <v>43166</v>
      </c>
      <c r="O10226" t="s">
        <v>43167</v>
      </c>
      <c r="P10226">
        <v>0</v>
      </c>
      <c r="Q10226">
        <v>1</v>
      </c>
      <c r="R10226" t="s">
        <v>43179</v>
      </c>
      <c r="S10226" t="s">
        <v>43583</v>
      </c>
      <c r="T10226" t="s">
        <v>44717</v>
      </c>
      <c r="U10226" t="s">
        <v>53376</v>
      </c>
      <c r="V10226" t="s">
        <v>57973</v>
      </c>
      <c r="W10226" t="s">
        <v>42350</v>
      </c>
      <c r="X10226" t="s">
        <v>43187</v>
      </c>
    </row>
    <row r="10227" spans="1:24">
      <c r="A10227">
        <f>HYPERLINK("https://www.philgeps.gov.ph/GEPSNONPILOT/Tender/SplashBidNoticeAbstractUI.aspx?menuIndex=3&amp;refID=7051649&amp;Result=3","7051649")</f>
        <v>0</v>
      </c>
      <c r="B10227" t="s">
        <v>2809</v>
      </c>
      <c r="C10227" t="s">
        <v>13168</v>
      </c>
      <c r="D10227" t="s">
        <v>17444</v>
      </c>
      <c r="E10227" t="s">
        <v>26256</v>
      </c>
      <c r="F10227" t="s">
        <v>30052</v>
      </c>
      <c r="G10227" t="s">
        <v>30058</v>
      </c>
      <c r="H10227" t="s">
        <v>15498</v>
      </c>
      <c r="I10227" t="s">
        <v>4598</v>
      </c>
      <c r="J10227" t="s">
        <v>36447</v>
      </c>
      <c r="K10227" t="s">
        <v>39029</v>
      </c>
      <c r="M10227" t="s">
        <v>42350</v>
      </c>
      <c r="N10227" t="s">
        <v>43166</v>
      </c>
      <c r="O10227" t="s">
        <v>43167</v>
      </c>
      <c r="P10227">
        <v>0</v>
      </c>
      <c r="Q10227">
        <v>7</v>
      </c>
      <c r="R10227" t="s">
        <v>43179</v>
      </c>
      <c r="S10227" t="s">
        <v>43583</v>
      </c>
      <c r="T10227" t="s">
        <v>44717</v>
      </c>
      <c r="U10227" t="s">
        <v>53377</v>
      </c>
      <c r="V10227" t="s">
        <v>57973</v>
      </c>
      <c r="W10227" t="s">
        <v>42350</v>
      </c>
      <c r="X10227" t="s">
        <v>43187</v>
      </c>
    </row>
    <row r="10228" spans="1:24">
      <c r="A10228">
        <f>HYPERLINK("https://www.philgeps.gov.ph/GEPSNONPILOT/Tender/SplashBidNoticeAbstractUI.aspx?menuIndex=3&amp;refID=7051605&amp;Result=3","7051605")</f>
        <v>0</v>
      </c>
      <c r="B10228" t="s">
        <v>2809</v>
      </c>
      <c r="C10228" t="s">
        <v>12579</v>
      </c>
      <c r="D10228" t="s">
        <v>17444</v>
      </c>
      <c r="E10228" t="s">
        <v>26257</v>
      </c>
      <c r="F10228" t="s">
        <v>30052</v>
      </c>
      <c r="G10228" t="s">
        <v>30058</v>
      </c>
      <c r="H10228" t="s">
        <v>15498</v>
      </c>
      <c r="I10228" t="s">
        <v>30096</v>
      </c>
      <c r="J10228" t="s">
        <v>36448</v>
      </c>
      <c r="K10228" t="s">
        <v>39037</v>
      </c>
      <c r="M10228" t="s">
        <v>42350</v>
      </c>
      <c r="N10228" t="s">
        <v>43166</v>
      </c>
      <c r="O10228" t="s">
        <v>43167</v>
      </c>
      <c r="P10228">
        <v>0</v>
      </c>
      <c r="Q10228">
        <v>5</v>
      </c>
      <c r="R10228" t="s">
        <v>43179</v>
      </c>
      <c r="S10228" t="s">
        <v>43583</v>
      </c>
      <c r="T10228" t="s">
        <v>44717</v>
      </c>
      <c r="U10228" t="s">
        <v>53378</v>
      </c>
      <c r="V10228" t="s">
        <v>57875</v>
      </c>
      <c r="W10228" t="s">
        <v>42350</v>
      </c>
      <c r="X10228" t="s">
        <v>43187</v>
      </c>
    </row>
    <row r="10229" spans="1:24">
      <c r="A10229">
        <f>HYPERLINK("https://www.philgeps.gov.ph/GEPSNONPILOT/Tender/SplashBidNoticeAbstractUI.aspx?menuIndex=3&amp;refID=7030834-2&amp;Result=3","7030834-2")</f>
        <v>0</v>
      </c>
      <c r="B10229" t="s">
        <v>2077</v>
      </c>
      <c r="C10229" t="s">
        <v>13169</v>
      </c>
      <c r="D10229" t="s">
        <v>17455</v>
      </c>
      <c r="E10229" t="s">
        <v>26258</v>
      </c>
      <c r="F10229" t="s">
        <v>30052</v>
      </c>
      <c r="G10229" t="s">
        <v>30063</v>
      </c>
      <c r="H10229" t="s">
        <v>30068</v>
      </c>
      <c r="I10229" t="s">
        <v>30068</v>
      </c>
      <c r="J10229" t="s">
        <v>36449</v>
      </c>
      <c r="K10229" t="s">
        <v>39057</v>
      </c>
      <c r="M10229" t="s">
        <v>42465</v>
      </c>
      <c r="N10229" t="s">
        <v>43166</v>
      </c>
      <c r="O10229" t="s">
        <v>43167</v>
      </c>
      <c r="Q10229">
        <v>1</v>
      </c>
      <c r="R10229" t="s">
        <v>43179</v>
      </c>
      <c r="S10229" t="s">
        <v>43588</v>
      </c>
      <c r="T10229" t="s">
        <v>44704</v>
      </c>
      <c r="U10229" t="s">
        <v>53379</v>
      </c>
      <c r="V10229" t="s">
        <v>57974</v>
      </c>
      <c r="W10229" t="s">
        <v>42465</v>
      </c>
      <c r="X10229" t="s">
        <v>43180</v>
      </c>
    </row>
    <row r="10230" spans="1:24">
      <c r="A10230">
        <f>HYPERLINK("https://www.philgeps.gov.ph/GEPSNONPILOT/Tender/SplashBidNoticeAbstractUI.aspx?menuIndex=3&amp;refID=7056258&amp;Result=3","7056258")</f>
        <v>0</v>
      </c>
      <c r="B10230" t="s">
        <v>2909</v>
      </c>
      <c r="C10230" t="s">
        <v>13170</v>
      </c>
      <c r="D10230" t="s">
        <v>17450</v>
      </c>
      <c r="E10230" t="s">
        <v>26259</v>
      </c>
      <c r="F10230" t="s">
        <v>30052</v>
      </c>
      <c r="G10230" t="s">
        <v>30061</v>
      </c>
      <c r="H10230" t="s">
        <v>15498</v>
      </c>
      <c r="I10230" t="s">
        <v>30096</v>
      </c>
      <c r="J10230" t="s">
        <v>36450</v>
      </c>
      <c r="K10230" t="s">
        <v>39034</v>
      </c>
      <c r="M10230" t="s">
        <v>42466</v>
      </c>
      <c r="N10230" t="s">
        <v>43166</v>
      </c>
      <c r="O10230" t="s">
        <v>43167</v>
      </c>
      <c r="P10230">
        <v>0</v>
      </c>
      <c r="Q10230">
        <v>1</v>
      </c>
      <c r="R10230" t="s">
        <v>43179</v>
      </c>
      <c r="S10230" t="s">
        <v>43583</v>
      </c>
      <c r="T10230" t="s">
        <v>45094</v>
      </c>
      <c r="U10230" t="s">
        <v>53380</v>
      </c>
      <c r="W10230" t="s">
        <v>42466</v>
      </c>
      <c r="X10230" t="s">
        <v>43185</v>
      </c>
    </row>
    <row r="10231" spans="1:24">
      <c r="A10231">
        <f>HYPERLINK("https://www.philgeps.gov.ph/GEPSNONPILOT/Tender/SplashBidNoticeAbstractUI.aspx?menuIndex=3&amp;refID=6992175&amp;Result=3","6992175")</f>
        <v>0</v>
      </c>
      <c r="B10231" t="s">
        <v>2910</v>
      </c>
      <c r="C10231" t="s">
        <v>13171</v>
      </c>
      <c r="D10231" t="s">
        <v>17432</v>
      </c>
      <c r="E10231" t="s">
        <v>26260</v>
      </c>
      <c r="F10231" t="s">
        <v>30052</v>
      </c>
      <c r="G10231" t="s">
        <v>30058</v>
      </c>
      <c r="H10231" t="s">
        <v>15498</v>
      </c>
      <c r="I10231" t="s">
        <v>30072</v>
      </c>
      <c r="J10231" t="s">
        <v>36451</v>
      </c>
      <c r="K10231" t="s">
        <v>39067</v>
      </c>
      <c r="M10231" t="s">
        <v>42467</v>
      </c>
      <c r="N10231" t="s">
        <v>43166</v>
      </c>
      <c r="O10231" t="s">
        <v>43167</v>
      </c>
      <c r="P10231">
        <v>0</v>
      </c>
      <c r="Q10231">
        <v>6</v>
      </c>
      <c r="R10231" t="s">
        <v>43179</v>
      </c>
      <c r="S10231" t="s">
        <v>43583</v>
      </c>
      <c r="T10231" t="s">
        <v>44750</v>
      </c>
      <c r="U10231" t="s">
        <v>53381</v>
      </c>
      <c r="W10231" t="s">
        <v>42467</v>
      </c>
      <c r="X10231" t="s">
        <v>58735</v>
      </c>
    </row>
    <row r="10232" spans="1:24">
      <c r="A10232">
        <f>HYPERLINK("https://www.philgeps.gov.ph/GEPSNONPILOT/Tender/SplashBidNoticeAbstractUI.aspx?menuIndex=3&amp;refID=6982065-2&amp;Result=3","6982065-2")</f>
        <v>0</v>
      </c>
      <c r="B10232" t="s">
        <v>538</v>
      </c>
      <c r="C10232" t="s">
        <v>13172</v>
      </c>
      <c r="D10232" t="s">
        <v>17414</v>
      </c>
      <c r="E10232" t="s">
        <v>26261</v>
      </c>
      <c r="F10232" t="s">
        <v>30052</v>
      </c>
      <c r="G10232" t="s">
        <v>30058</v>
      </c>
      <c r="H10232" t="s">
        <v>30068</v>
      </c>
      <c r="I10232" t="s">
        <v>30068</v>
      </c>
      <c r="J10232" t="s">
        <v>36452</v>
      </c>
      <c r="K10232" t="s">
        <v>39161</v>
      </c>
      <c r="M10232" t="s">
        <v>39840</v>
      </c>
      <c r="N10232" t="s">
        <v>43166</v>
      </c>
      <c r="O10232" t="s">
        <v>43167</v>
      </c>
      <c r="Q10232">
        <v>1</v>
      </c>
      <c r="R10232" t="s">
        <v>43179</v>
      </c>
      <c r="S10232" t="s">
        <v>43589</v>
      </c>
      <c r="T10232" t="s">
        <v>44698</v>
      </c>
      <c r="U10232" t="s">
        <v>53382</v>
      </c>
      <c r="V10232" t="s">
        <v>57971</v>
      </c>
      <c r="W10232" t="s">
        <v>39840</v>
      </c>
      <c r="X10232" t="s">
        <v>43180</v>
      </c>
    </row>
    <row r="10233" spans="1:24">
      <c r="A10233">
        <f>HYPERLINK("https://www.philgeps.gov.ph/GEPSNONPILOT/Tender/SplashBidNoticeAbstractUI.aspx?menuIndex=3&amp;refID=6982063-2&amp;Result=3","6982063-2")</f>
        <v>0</v>
      </c>
      <c r="B10233" t="s">
        <v>538</v>
      </c>
      <c r="C10233" t="s">
        <v>13173</v>
      </c>
      <c r="D10233" t="s">
        <v>17414</v>
      </c>
      <c r="E10233" t="s">
        <v>26262</v>
      </c>
      <c r="F10233" t="s">
        <v>30052</v>
      </c>
      <c r="G10233" t="s">
        <v>30058</v>
      </c>
      <c r="H10233" t="s">
        <v>30068</v>
      </c>
      <c r="I10233" t="s">
        <v>30068</v>
      </c>
      <c r="J10233" t="s">
        <v>36453</v>
      </c>
      <c r="K10233" t="s">
        <v>39235</v>
      </c>
      <c r="M10233" t="s">
        <v>39840</v>
      </c>
      <c r="N10233" t="s">
        <v>43166</v>
      </c>
      <c r="O10233" t="s">
        <v>43167</v>
      </c>
      <c r="Q10233">
        <v>0</v>
      </c>
      <c r="R10233" t="s">
        <v>43179</v>
      </c>
      <c r="S10233" t="s">
        <v>43590</v>
      </c>
      <c r="T10233" t="s">
        <v>44698</v>
      </c>
      <c r="U10233" t="s">
        <v>53382</v>
      </c>
      <c r="V10233" t="s">
        <v>57971</v>
      </c>
      <c r="W10233" t="s">
        <v>39840</v>
      </c>
      <c r="X10233" t="s">
        <v>43180</v>
      </c>
    </row>
    <row r="10234" spans="1:24">
      <c r="A10234">
        <f>HYPERLINK("https://www.philgeps.gov.ph/GEPSNONPILOT/Tender/SplashBidNoticeAbstractUI.aspx?menuIndex=3&amp;refID=7056199&amp;Result=3","7056199")</f>
        <v>0</v>
      </c>
      <c r="B10234" t="s">
        <v>946</v>
      </c>
      <c r="C10234" t="s">
        <v>13174</v>
      </c>
      <c r="D10234" t="s">
        <v>17456</v>
      </c>
      <c r="E10234" t="s">
        <v>26263</v>
      </c>
      <c r="F10234" t="s">
        <v>30052</v>
      </c>
      <c r="G10234" t="s">
        <v>30058</v>
      </c>
      <c r="H10234" t="s">
        <v>30067</v>
      </c>
      <c r="I10234" t="s">
        <v>3693</v>
      </c>
      <c r="J10234" t="s">
        <v>30397</v>
      </c>
      <c r="K10234" t="s">
        <v>39046</v>
      </c>
      <c r="M10234" t="s">
        <v>40270</v>
      </c>
      <c r="N10234" t="s">
        <v>43166</v>
      </c>
      <c r="O10234" t="s">
        <v>43167</v>
      </c>
      <c r="P10234">
        <v>0</v>
      </c>
      <c r="Q10234">
        <v>1</v>
      </c>
      <c r="R10234" t="s">
        <v>43179</v>
      </c>
      <c r="S10234" t="s">
        <v>43583</v>
      </c>
      <c r="T10234" t="s">
        <v>44687</v>
      </c>
      <c r="U10234" t="s">
        <v>53383</v>
      </c>
      <c r="W10234" t="s">
        <v>40270</v>
      </c>
      <c r="X10234" t="s">
        <v>43185</v>
      </c>
    </row>
    <row r="10235" spans="1:24">
      <c r="A10235">
        <f>HYPERLINK("https://www.philgeps.gov.ph/GEPSNONPILOT/Tender/SplashBidNoticeAbstractUI.aspx?menuIndex=3&amp;refID=6982058-2&amp;Result=3","6982058-2")</f>
        <v>0</v>
      </c>
      <c r="B10235" t="s">
        <v>538</v>
      </c>
      <c r="C10235" t="s">
        <v>13175</v>
      </c>
      <c r="D10235" t="s">
        <v>17414</v>
      </c>
      <c r="E10235" t="s">
        <v>26264</v>
      </c>
      <c r="F10235" t="s">
        <v>30052</v>
      </c>
      <c r="G10235" t="s">
        <v>30058</v>
      </c>
      <c r="H10235" t="s">
        <v>30068</v>
      </c>
      <c r="I10235" t="s">
        <v>30068</v>
      </c>
      <c r="J10235" t="s">
        <v>36454</v>
      </c>
      <c r="K10235" t="s">
        <v>39042</v>
      </c>
      <c r="M10235" t="s">
        <v>39840</v>
      </c>
      <c r="N10235" t="s">
        <v>43166</v>
      </c>
      <c r="O10235" t="s">
        <v>43167</v>
      </c>
      <c r="Q10235">
        <v>1</v>
      </c>
      <c r="R10235" t="s">
        <v>43179</v>
      </c>
      <c r="S10235" t="s">
        <v>43591</v>
      </c>
      <c r="T10235" t="s">
        <v>44698</v>
      </c>
      <c r="U10235" t="s">
        <v>53382</v>
      </c>
      <c r="V10235" t="s">
        <v>57971</v>
      </c>
      <c r="W10235" t="s">
        <v>39840</v>
      </c>
      <c r="X10235" t="s">
        <v>43180</v>
      </c>
    </row>
    <row r="10236" spans="1:24">
      <c r="A10236">
        <f>HYPERLINK("https://www.philgeps.gov.ph/GEPSNONPILOT/Tender/SplashBidNoticeAbstractUI.aspx?menuIndex=3&amp;refID=7055816&amp;Result=3","7055816")</f>
        <v>0</v>
      </c>
      <c r="B10236" t="s">
        <v>946</v>
      </c>
      <c r="C10236" t="s">
        <v>13176</v>
      </c>
      <c r="D10236" t="s">
        <v>17456</v>
      </c>
      <c r="E10236" t="s">
        <v>26265</v>
      </c>
      <c r="F10236" t="s">
        <v>30052</v>
      </c>
      <c r="G10236" t="s">
        <v>30058</v>
      </c>
      <c r="H10236" t="s">
        <v>30067</v>
      </c>
      <c r="I10236" t="s">
        <v>3693</v>
      </c>
      <c r="J10236" t="s">
        <v>30281</v>
      </c>
      <c r="K10236" t="s">
        <v>39086</v>
      </c>
      <c r="M10236" t="s">
        <v>40270</v>
      </c>
      <c r="N10236" t="s">
        <v>43166</v>
      </c>
      <c r="O10236" t="s">
        <v>43167</v>
      </c>
      <c r="P10236">
        <v>0</v>
      </c>
      <c r="Q10236">
        <v>0</v>
      </c>
      <c r="R10236" t="s">
        <v>43179</v>
      </c>
      <c r="S10236" t="s">
        <v>43583</v>
      </c>
      <c r="T10236" t="s">
        <v>44699</v>
      </c>
      <c r="U10236" t="s">
        <v>53384</v>
      </c>
      <c r="W10236" t="s">
        <v>40270</v>
      </c>
      <c r="X10236" t="s">
        <v>43185</v>
      </c>
    </row>
    <row r="10237" spans="1:24">
      <c r="A10237">
        <f>HYPERLINK("https://www.philgeps.gov.ph/GEPSNONPILOT/Tender/SplashBidNoticeAbstractUI.aspx?menuIndex=3&amp;refID=7058260&amp;Result=3","7058260")</f>
        <v>0</v>
      </c>
      <c r="B10237" t="s">
        <v>2423</v>
      </c>
      <c r="C10237" t="s">
        <v>13177</v>
      </c>
      <c r="D10237" t="s">
        <v>17435</v>
      </c>
      <c r="E10237" t="s">
        <v>26266</v>
      </c>
      <c r="F10237" t="s">
        <v>30052</v>
      </c>
      <c r="G10237" t="s">
        <v>30058</v>
      </c>
      <c r="H10237" t="s">
        <v>30067</v>
      </c>
      <c r="I10237" t="s">
        <v>3693</v>
      </c>
      <c r="J10237" t="s">
        <v>36455</v>
      </c>
      <c r="K10237" t="s">
        <v>39237</v>
      </c>
      <c r="M10237" t="s">
        <v>41920</v>
      </c>
      <c r="N10237" t="s">
        <v>43166</v>
      </c>
      <c r="O10237" t="s">
        <v>43167</v>
      </c>
      <c r="P10237">
        <v>0</v>
      </c>
      <c r="Q10237">
        <v>2</v>
      </c>
      <c r="R10237" t="s">
        <v>43179</v>
      </c>
      <c r="S10237" t="s">
        <v>43583</v>
      </c>
      <c r="T10237" t="s">
        <v>45043</v>
      </c>
      <c r="U10237" t="s">
        <v>53385</v>
      </c>
      <c r="W10237" t="s">
        <v>41920</v>
      </c>
      <c r="X10237" t="s">
        <v>43184</v>
      </c>
    </row>
    <row r="10238" spans="1:24">
      <c r="A10238">
        <f>HYPERLINK("https://www.philgeps.gov.ph/GEPSNONPILOT/Tender/SplashBidNoticeAbstractUI.aspx?menuIndex=3&amp;refID=7052225&amp;Result=3","7052225")</f>
        <v>0</v>
      </c>
      <c r="B10238" t="s">
        <v>1646</v>
      </c>
      <c r="C10238" t="s">
        <v>13178</v>
      </c>
      <c r="E10238" t="s">
        <v>26267</v>
      </c>
      <c r="F10238" t="s">
        <v>30052</v>
      </c>
      <c r="G10238" t="s">
        <v>30058</v>
      </c>
      <c r="H10238" t="s">
        <v>15498</v>
      </c>
      <c r="I10238" t="s">
        <v>30128</v>
      </c>
      <c r="J10238" t="s">
        <v>30711</v>
      </c>
      <c r="K10238" t="s">
        <v>39025</v>
      </c>
      <c r="M10238" t="s">
        <v>41107</v>
      </c>
      <c r="N10238" t="s">
        <v>43166</v>
      </c>
      <c r="O10238" t="s">
        <v>43167</v>
      </c>
      <c r="P10238">
        <v>0</v>
      </c>
      <c r="Q10238">
        <v>34</v>
      </c>
      <c r="R10238" t="s">
        <v>43179</v>
      </c>
      <c r="S10238" t="s">
        <v>43583</v>
      </c>
      <c r="T10238" t="s">
        <v>44968</v>
      </c>
      <c r="U10238" t="s">
        <v>49135</v>
      </c>
      <c r="W10238" t="s">
        <v>41107</v>
      </c>
      <c r="X10238" t="s">
        <v>43187</v>
      </c>
    </row>
    <row r="10239" spans="1:24">
      <c r="A10239">
        <f>HYPERLINK("https://www.philgeps.gov.ph/GEPSNONPILOT/Tender/SplashBidNoticeAbstractUI.aspx?menuIndex=3&amp;refID=7060402&amp;Result=3","7060402")</f>
        <v>0</v>
      </c>
      <c r="B10239" t="s">
        <v>2911</v>
      </c>
      <c r="C10239" t="s">
        <v>13179</v>
      </c>
      <c r="D10239" t="s">
        <v>17434</v>
      </c>
      <c r="E10239" t="s">
        <v>26268</v>
      </c>
      <c r="F10239" t="s">
        <v>30052</v>
      </c>
      <c r="G10239" t="s">
        <v>30058</v>
      </c>
      <c r="H10239" t="s">
        <v>30069</v>
      </c>
      <c r="I10239" t="s">
        <v>30109</v>
      </c>
      <c r="J10239" t="s">
        <v>36456</v>
      </c>
      <c r="K10239" t="s">
        <v>39017</v>
      </c>
      <c r="M10239" t="s">
        <v>42468</v>
      </c>
      <c r="N10239" t="s">
        <v>43166</v>
      </c>
      <c r="O10239" t="s">
        <v>43167</v>
      </c>
      <c r="P10239">
        <v>0</v>
      </c>
      <c r="Q10239">
        <v>3</v>
      </c>
      <c r="R10239" t="s">
        <v>43179</v>
      </c>
      <c r="S10239" t="s">
        <v>43583</v>
      </c>
      <c r="T10239" t="s">
        <v>45043</v>
      </c>
      <c r="U10239" t="s">
        <v>53386</v>
      </c>
      <c r="W10239" t="s">
        <v>42468</v>
      </c>
      <c r="X10239" t="s">
        <v>43182</v>
      </c>
    </row>
    <row r="10240" spans="1:24">
      <c r="A10240">
        <f>HYPERLINK("https://www.philgeps.gov.ph/GEPSNONPILOT/Tender/SplashBidNoticeAbstractUI.aspx?menuIndex=3&amp;refID=6982061-2&amp;Result=3","6982061-2")</f>
        <v>0</v>
      </c>
      <c r="B10240" t="s">
        <v>538</v>
      </c>
      <c r="C10240" t="s">
        <v>13180</v>
      </c>
      <c r="D10240" t="s">
        <v>17414</v>
      </c>
      <c r="E10240" t="s">
        <v>26269</v>
      </c>
      <c r="F10240" t="s">
        <v>30052</v>
      </c>
      <c r="G10240" t="s">
        <v>30058</v>
      </c>
      <c r="H10240" t="s">
        <v>30068</v>
      </c>
      <c r="I10240" t="s">
        <v>30068</v>
      </c>
      <c r="J10240" t="s">
        <v>36457</v>
      </c>
      <c r="K10240" t="s">
        <v>39054</v>
      </c>
      <c r="M10240" t="s">
        <v>39840</v>
      </c>
      <c r="N10240" t="s">
        <v>43166</v>
      </c>
      <c r="O10240" t="s">
        <v>43167</v>
      </c>
      <c r="Q10240">
        <v>0</v>
      </c>
      <c r="R10240" t="s">
        <v>43179</v>
      </c>
      <c r="S10240" t="s">
        <v>43592</v>
      </c>
      <c r="T10240" t="s">
        <v>44698</v>
      </c>
      <c r="U10240" t="s">
        <v>53359</v>
      </c>
      <c r="V10240" t="s">
        <v>57971</v>
      </c>
      <c r="W10240" t="s">
        <v>39840</v>
      </c>
      <c r="X10240" t="s">
        <v>43180</v>
      </c>
    </row>
    <row r="10241" spans="1:24">
      <c r="A10241">
        <f>HYPERLINK("https://www.philgeps.gov.ph/GEPSNONPILOT/Tender/SplashBidNoticeAbstractUI.aspx?menuIndex=3&amp;refID=7060331&amp;Result=3","7060331")</f>
        <v>0</v>
      </c>
      <c r="B10241" t="s">
        <v>2911</v>
      </c>
      <c r="C10241" t="s">
        <v>13181</v>
      </c>
      <c r="D10241" t="s">
        <v>17434</v>
      </c>
      <c r="E10241" t="s">
        <v>26270</v>
      </c>
      <c r="F10241" t="s">
        <v>30052</v>
      </c>
      <c r="G10241" t="s">
        <v>30058</v>
      </c>
      <c r="H10241" t="s">
        <v>15498</v>
      </c>
      <c r="I10241" t="s">
        <v>30070</v>
      </c>
      <c r="J10241" t="s">
        <v>36458</v>
      </c>
      <c r="K10241" t="s">
        <v>39017</v>
      </c>
      <c r="M10241" t="s">
        <v>42468</v>
      </c>
      <c r="N10241" t="s">
        <v>43166</v>
      </c>
      <c r="O10241" t="s">
        <v>43167</v>
      </c>
      <c r="P10241">
        <v>0</v>
      </c>
      <c r="Q10241">
        <v>3</v>
      </c>
      <c r="R10241" t="s">
        <v>43179</v>
      </c>
      <c r="S10241" t="s">
        <v>43583</v>
      </c>
      <c r="T10241" t="s">
        <v>45043</v>
      </c>
      <c r="U10241" t="s">
        <v>53387</v>
      </c>
      <c r="W10241" t="s">
        <v>42468</v>
      </c>
      <c r="X10241" t="s">
        <v>43182</v>
      </c>
    </row>
    <row r="10242" spans="1:24">
      <c r="A10242">
        <f>HYPERLINK("https://www.philgeps.gov.ph/GEPSNONPILOT/Tender/SplashBidNoticeAbstractUI.aspx?menuIndex=3&amp;refID=7060283&amp;Result=3","7060283")</f>
        <v>0</v>
      </c>
      <c r="B10242" t="s">
        <v>2911</v>
      </c>
      <c r="C10242" t="s">
        <v>13182</v>
      </c>
      <c r="D10242" t="s">
        <v>17434</v>
      </c>
      <c r="E10242" t="s">
        <v>26271</v>
      </c>
      <c r="F10242" t="s">
        <v>30052</v>
      </c>
      <c r="G10242" t="s">
        <v>30058</v>
      </c>
      <c r="H10242" t="s">
        <v>30067</v>
      </c>
      <c r="I10242" t="s">
        <v>3693</v>
      </c>
      <c r="J10242" t="s">
        <v>36459</v>
      </c>
      <c r="K10242" t="s">
        <v>39029</v>
      </c>
      <c r="M10242" t="s">
        <v>42468</v>
      </c>
      <c r="N10242" t="s">
        <v>43166</v>
      </c>
      <c r="O10242" t="s">
        <v>43167</v>
      </c>
      <c r="P10242">
        <v>0</v>
      </c>
      <c r="Q10242">
        <v>0</v>
      </c>
      <c r="R10242" t="s">
        <v>43179</v>
      </c>
      <c r="S10242" t="s">
        <v>43583</v>
      </c>
      <c r="T10242" t="s">
        <v>45043</v>
      </c>
      <c r="U10242" t="s">
        <v>53388</v>
      </c>
      <c r="W10242" t="s">
        <v>42468</v>
      </c>
      <c r="X10242" t="s">
        <v>43182</v>
      </c>
    </row>
    <row r="10243" spans="1:24">
      <c r="A10243">
        <f>HYPERLINK("https://www.philgeps.gov.ph/GEPSNONPILOT/Tender/SplashBidNoticeAbstractUI.aspx?menuIndex=3&amp;refID=7060270&amp;Result=3","7060270")</f>
        <v>0</v>
      </c>
      <c r="B10243" t="s">
        <v>1784</v>
      </c>
      <c r="C10243" t="s">
        <v>12206</v>
      </c>
      <c r="D10243" t="s">
        <v>17459</v>
      </c>
      <c r="E10243" t="s">
        <v>26272</v>
      </c>
      <c r="F10243" t="s">
        <v>30052</v>
      </c>
      <c r="G10243" t="s">
        <v>30058</v>
      </c>
      <c r="H10243" t="s">
        <v>15498</v>
      </c>
      <c r="I10243" t="s">
        <v>3606</v>
      </c>
      <c r="J10243" t="s">
        <v>36460</v>
      </c>
      <c r="K10243" t="s">
        <v>39029</v>
      </c>
      <c r="M10243" t="s">
        <v>41422</v>
      </c>
      <c r="N10243" t="s">
        <v>43166</v>
      </c>
      <c r="O10243" t="s">
        <v>43167</v>
      </c>
      <c r="P10243">
        <v>0</v>
      </c>
      <c r="Q10243">
        <v>10</v>
      </c>
      <c r="R10243" t="s">
        <v>43179</v>
      </c>
      <c r="S10243" t="s">
        <v>43583</v>
      </c>
      <c r="T10243" t="s">
        <v>44690</v>
      </c>
      <c r="U10243" t="s">
        <v>53389</v>
      </c>
      <c r="W10243" t="s">
        <v>41422</v>
      </c>
      <c r="X10243" t="s">
        <v>43182</v>
      </c>
    </row>
    <row r="10244" spans="1:24">
      <c r="A10244">
        <f>HYPERLINK("https://www.philgeps.gov.ph/GEPSNONPILOT/Tender/SplashBidNoticeAbstractUI.aspx?menuIndex=3&amp;refID=7060223&amp;Result=3","7060223")</f>
        <v>0</v>
      </c>
      <c r="B10244" t="s">
        <v>2911</v>
      </c>
      <c r="C10244" t="s">
        <v>13183</v>
      </c>
      <c r="D10244" t="s">
        <v>17434</v>
      </c>
      <c r="E10244" t="s">
        <v>26273</v>
      </c>
      <c r="F10244" t="s">
        <v>30052</v>
      </c>
      <c r="G10244" t="s">
        <v>30058</v>
      </c>
      <c r="H10244" t="s">
        <v>15498</v>
      </c>
      <c r="I10244" t="s">
        <v>30070</v>
      </c>
      <c r="J10244" t="s">
        <v>36461</v>
      </c>
      <c r="K10244" t="s">
        <v>39017</v>
      </c>
      <c r="M10244" t="s">
        <v>42468</v>
      </c>
      <c r="N10244" t="s">
        <v>43166</v>
      </c>
      <c r="O10244" t="s">
        <v>43167</v>
      </c>
      <c r="P10244">
        <v>0</v>
      </c>
      <c r="Q10244">
        <v>4</v>
      </c>
      <c r="R10244" t="s">
        <v>43179</v>
      </c>
      <c r="S10244" t="s">
        <v>43583</v>
      </c>
      <c r="T10244" t="s">
        <v>45043</v>
      </c>
      <c r="U10244" t="s">
        <v>53390</v>
      </c>
      <c r="W10244" t="s">
        <v>42468</v>
      </c>
      <c r="X10244" t="s">
        <v>43182</v>
      </c>
    </row>
    <row r="10245" spans="1:24">
      <c r="A10245">
        <f>HYPERLINK("https://www.philgeps.gov.ph/GEPSNONPILOT/Tender/SplashBidNoticeAbstractUI.aspx?menuIndex=3&amp;refID=7060536&amp;Result=3","7060536")</f>
        <v>0</v>
      </c>
      <c r="B10245" t="s">
        <v>1169</v>
      </c>
      <c r="C10245" t="s">
        <v>13184</v>
      </c>
      <c r="D10245" t="s">
        <v>17458</v>
      </c>
      <c r="E10245" t="s">
        <v>26274</v>
      </c>
      <c r="F10245" t="s">
        <v>30052</v>
      </c>
      <c r="G10245" t="s">
        <v>30058</v>
      </c>
      <c r="H10245" t="s">
        <v>30067</v>
      </c>
      <c r="I10245" t="s">
        <v>3693</v>
      </c>
      <c r="J10245" t="s">
        <v>36462</v>
      </c>
      <c r="K10245" t="s">
        <v>39216</v>
      </c>
      <c r="M10245" t="s">
        <v>40516</v>
      </c>
      <c r="N10245" t="s">
        <v>43166</v>
      </c>
      <c r="O10245" t="s">
        <v>43167</v>
      </c>
      <c r="P10245">
        <v>0</v>
      </c>
      <c r="Q10245">
        <v>9</v>
      </c>
      <c r="R10245" t="s">
        <v>43179</v>
      </c>
      <c r="S10245" t="s">
        <v>43583</v>
      </c>
      <c r="T10245" t="s">
        <v>44948</v>
      </c>
      <c r="U10245" t="s">
        <v>53391</v>
      </c>
      <c r="V10245" t="s">
        <v>57181</v>
      </c>
      <c r="W10245" t="s">
        <v>58625</v>
      </c>
      <c r="X10245" t="s">
        <v>43182</v>
      </c>
    </row>
    <row r="10246" spans="1:24">
      <c r="A10246">
        <f>HYPERLINK("https://www.philgeps.gov.ph/GEPSNONPILOT/Tender/SplashBidNoticeAbstractUI.aspx?menuIndex=3&amp;refID=7059977&amp;Result=3","7059977")</f>
        <v>0</v>
      </c>
      <c r="B10246" t="s">
        <v>1169</v>
      </c>
      <c r="C10246" t="s">
        <v>13185</v>
      </c>
      <c r="D10246" t="s">
        <v>17458</v>
      </c>
      <c r="E10246" t="s">
        <v>26275</v>
      </c>
      <c r="F10246" t="s">
        <v>30052</v>
      </c>
      <c r="G10246" t="s">
        <v>30058</v>
      </c>
      <c r="H10246" t="s">
        <v>30067</v>
      </c>
      <c r="I10246" t="s">
        <v>3693</v>
      </c>
      <c r="J10246" t="s">
        <v>36463</v>
      </c>
      <c r="K10246" t="s">
        <v>39216</v>
      </c>
      <c r="M10246" t="s">
        <v>40516</v>
      </c>
      <c r="N10246" t="s">
        <v>43166</v>
      </c>
      <c r="O10246" t="s">
        <v>43167</v>
      </c>
      <c r="P10246">
        <v>0</v>
      </c>
      <c r="Q10246">
        <v>9</v>
      </c>
      <c r="R10246" t="s">
        <v>43179</v>
      </c>
      <c r="S10246" t="s">
        <v>43583</v>
      </c>
      <c r="T10246" t="s">
        <v>44996</v>
      </c>
      <c r="U10246" t="s">
        <v>53392</v>
      </c>
      <c r="V10246" t="s">
        <v>57181</v>
      </c>
      <c r="W10246" t="s">
        <v>58625</v>
      </c>
      <c r="X10246" t="s">
        <v>43182</v>
      </c>
    </row>
    <row r="10247" spans="1:24">
      <c r="A10247">
        <f>HYPERLINK("https://www.philgeps.gov.ph/GEPSNONPILOT/Tender/SplashBidNoticeAbstractUI.aspx?menuIndex=3&amp;refID=7060248&amp;Result=3","7060248")</f>
        <v>0</v>
      </c>
      <c r="B10247" t="s">
        <v>2911</v>
      </c>
      <c r="C10247" t="s">
        <v>13186</v>
      </c>
      <c r="D10247" t="s">
        <v>17434</v>
      </c>
      <c r="E10247" t="s">
        <v>26276</v>
      </c>
      <c r="F10247" t="s">
        <v>30052</v>
      </c>
      <c r="G10247" t="s">
        <v>30058</v>
      </c>
      <c r="H10247" t="s">
        <v>30067</v>
      </c>
      <c r="I10247" t="s">
        <v>30140</v>
      </c>
      <c r="J10247" t="s">
        <v>36464</v>
      </c>
      <c r="K10247" t="s">
        <v>39037</v>
      </c>
      <c r="M10247" t="s">
        <v>42468</v>
      </c>
      <c r="N10247" t="s">
        <v>43166</v>
      </c>
      <c r="O10247" t="s">
        <v>43167</v>
      </c>
      <c r="P10247">
        <v>0</v>
      </c>
      <c r="Q10247">
        <v>6</v>
      </c>
      <c r="R10247" t="s">
        <v>43179</v>
      </c>
      <c r="S10247" t="s">
        <v>43583</v>
      </c>
      <c r="T10247" t="s">
        <v>45043</v>
      </c>
      <c r="U10247" t="s">
        <v>53393</v>
      </c>
      <c r="W10247" t="s">
        <v>42468</v>
      </c>
      <c r="X10247" t="s">
        <v>43182</v>
      </c>
    </row>
    <row r="10248" spans="1:24">
      <c r="A10248">
        <f>HYPERLINK("https://www.philgeps.gov.ph/GEPSNONPILOT/Tender/SplashBidNoticeAbstractUI.aspx?menuIndex=3&amp;refID=6982060-2&amp;Result=3","6982060-2")</f>
        <v>0</v>
      </c>
      <c r="B10248" t="s">
        <v>538</v>
      </c>
      <c r="C10248" t="s">
        <v>13187</v>
      </c>
      <c r="D10248" t="s">
        <v>17414</v>
      </c>
      <c r="E10248" t="s">
        <v>26277</v>
      </c>
      <c r="F10248" t="s">
        <v>30052</v>
      </c>
      <c r="G10248" t="s">
        <v>30058</v>
      </c>
      <c r="H10248" t="s">
        <v>30068</v>
      </c>
      <c r="I10248" t="s">
        <v>30068</v>
      </c>
      <c r="J10248" t="s">
        <v>36465</v>
      </c>
      <c r="K10248" t="s">
        <v>39142</v>
      </c>
      <c r="M10248" t="s">
        <v>39840</v>
      </c>
      <c r="N10248" t="s">
        <v>43166</v>
      </c>
      <c r="O10248" t="s">
        <v>43167</v>
      </c>
      <c r="P10248">
        <v>0</v>
      </c>
      <c r="Q10248">
        <v>0</v>
      </c>
      <c r="R10248" t="s">
        <v>43179</v>
      </c>
      <c r="S10248" t="s">
        <v>43583</v>
      </c>
      <c r="T10248" t="s">
        <v>44720</v>
      </c>
      <c r="U10248" t="s">
        <v>53359</v>
      </c>
      <c r="V10248" t="s">
        <v>57971</v>
      </c>
      <c r="W10248" t="s">
        <v>39840</v>
      </c>
      <c r="X10248" t="s">
        <v>43180</v>
      </c>
    </row>
    <row r="10249" spans="1:24">
      <c r="A10249">
        <f>HYPERLINK("https://www.philgeps.gov.ph/GEPSNONPILOT/Tender/SplashBidNoticeAbstractUI.aspx?menuIndex=3&amp;refID=7059861&amp;Result=3","7059861")</f>
        <v>0</v>
      </c>
      <c r="B10249" t="s">
        <v>1169</v>
      </c>
      <c r="C10249" t="s">
        <v>13188</v>
      </c>
      <c r="D10249" t="s">
        <v>17458</v>
      </c>
      <c r="E10249" t="s">
        <v>26278</v>
      </c>
      <c r="F10249" t="s">
        <v>30052</v>
      </c>
      <c r="G10249" t="s">
        <v>30058</v>
      </c>
      <c r="H10249" t="s">
        <v>30067</v>
      </c>
      <c r="I10249" t="s">
        <v>3693</v>
      </c>
      <c r="J10249" t="s">
        <v>36466</v>
      </c>
      <c r="K10249" t="s">
        <v>39216</v>
      </c>
      <c r="M10249" t="s">
        <v>40516</v>
      </c>
      <c r="N10249" t="s">
        <v>43166</v>
      </c>
      <c r="O10249" t="s">
        <v>43167</v>
      </c>
      <c r="P10249">
        <v>0</v>
      </c>
      <c r="Q10249">
        <v>12</v>
      </c>
      <c r="R10249" t="s">
        <v>43179</v>
      </c>
      <c r="S10249" t="s">
        <v>43583</v>
      </c>
      <c r="T10249" t="s">
        <v>45020</v>
      </c>
      <c r="U10249" t="s">
        <v>53394</v>
      </c>
      <c r="V10249" t="s">
        <v>57181</v>
      </c>
      <c r="W10249" t="s">
        <v>58625</v>
      </c>
      <c r="X10249" t="s">
        <v>43182</v>
      </c>
    </row>
    <row r="10250" spans="1:24">
      <c r="A10250">
        <f>HYPERLINK("https://www.philgeps.gov.ph/GEPSNONPILOT/Tender/SplashBidNoticeAbstractUI.aspx?menuIndex=3&amp;refID=7061136&amp;Result=3","7061136")</f>
        <v>0</v>
      </c>
      <c r="B10250" t="s">
        <v>1169</v>
      </c>
      <c r="C10250" t="s">
        <v>13189</v>
      </c>
      <c r="D10250" t="s">
        <v>17458</v>
      </c>
      <c r="E10250" t="s">
        <v>26279</v>
      </c>
      <c r="F10250" t="s">
        <v>30052</v>
      </c>
      <c r="G10250" t="s">
        <v>30058</v>
      </c>
      <c r="H10250" t="s">
        <v>30067</v>
      </c>
      <c r="I10250" t="s">
        <v>3693</v>
      </c>
      <c r="J10250" t="s">
        <v>36467</v>
      </c>
      <c r="K10250" t="s">
        <v>39216</v>
      </c>
      <c r="M10250" t="s">
        <v>40516</v>
      </c>
      <c r="N10250" t="s">
        <v>43166</v>
      </c>
      <c r="O10250" t="s">
        <v>43167</v>
      </c>
      <c r="P10250">
        <v>0</v>
      </c>
      <c r="Q10250">
        <v>9</v>
      </c>
      <c r="R10250" t="s">
        <v>43179</v>
      </c>
      <c r="S10250" t="s">
        <v>43583</v>
      </c>
      <c r="T10250" t="s">
        <v>44984</v>
      </c>
      <c r="U10250" t="s">
        <v>53395</v>
      </c>
      <c r="V10250" t="s">
        <v>57181</v>
      </c>
      <c r="W10250" t="s">
        <v>58625</v>
      </c>
      <c r="X10250" t="s">
        <v>43182</v>
      </c>
    </row>
    <row r="10251" spans="1:24">
      <c r="A10251">
        <f>HYPERLINK("https://www.philgeps.gov.ph/GEPSNONPILOT/Tender/SplashBidNoticeAbstractUI.aspx?menuIndex=3&amp;refID=7059897&amp;Result=3","7059897")</f>
        <v>0</v>
      </c>
      <c r="B10251" t="s">
        <v>1169</v>
      </c>
      <c r="C10251" t="s">
        <v>13190</v>
      </c>
      <c r="D10251" t="s">
        <v>17458</v>
      </c>
      <c r="E10251" t="s">
        <v>26280</v>
      </c>
      <c r="F10251" t="s">
        <v>30052</v>
      </c>
      <c r="G10251" t="s">
        <v>30058</v>
      </c>
      <c r="H10251" t="s">
        <v>30067</v>
      </c>
      <c r="I10251" t="s">
        <v>3693</v>
      </c>
      <c r="J10251" t="s">
        <v>36468</v>
      </c>
      <c r="K10251" t="s">
        <v>39216</v>
      </c>
      <c r="M10251" t="s">
        <v>40516</v>
      </c>
      <c r="N10251" t="s">
        <v>43166</v>
      </c>
      <c r="O10251" t="s">
        <v>43167</v>
      </c>
      <c r="P10251">
        <v>0</v>
      </c>
      <c r="Q10251">
        <v>10</v>
      </c>
      <c r="R10251" t="s">
        <v>43179</v>
      </c>
      <c r="S10251" t="s">
        <v>43583</v>
      </c>
      <c r="T10251" t="s">
        <v>44996</v>
      </c>
      <c r="U10251" t="s">
        <v>53396</v>
      </c>
      <c r="V10251" t="s">
        <v>57181</v>
      </c>
      <c r="W10251" t="s">
        <v>58625</v>
      </c>
      <c r="X10251" t="s">
        <v>43182</v>
      </c>
    </row>
    <row r="10252" spans="1:24">
      <c r="A10252">
        <f>HYPERLINK("https://www.philgeps.gov.ph/GEPSNONPILOT/Tender/SplashBidNoticeAbstractUI.aspx?menuIndex=3&amp;refID=7061794&amp;Result=3","7061794")</f>
        <v>0</v>
      </c>
      <c r="B10252" t="s">
        <v>1953</v>
      </c>
      <c r="C10252" t="s">
        <v>13191</v>
      </c>
      <c r="E10252" t="s">
        <v>26281</v>
      </c>
      <c r="F10252" t="s">
        <v>30052</v>
      </c>
      <c r="G10252" t="s">
        <v>30058</v>
      </c>
      <c r="H10252" t="s">
        <v>15498</v>
      </c>
      <c r="I10252" t="s">
        <v>30070</v>
      </c>
      <c r="J10252" t="s">
        <v>36469</v>
      </c>
      <c r="K10252" t="s">
        <v>39017</v>
      </c>
      <c r="M10252" t="s">
        <v>41390</v>
      </c>
      <c r="N10252" t="s">
        <v>43166</v>
      </c>
      <c r="O10252" t="s">
        <v>43167</v>
      </c>
      <c r="P10252">
        <v>0</v>
      </c>
      <c r="Q10252">
        <v>0</v>
      </c>
      <c r="R10252" t="s">
        <v>43179</v>
      </c>
      <c r="S10252" t="s">
        <v>43583</v>
      </c>
      <c r="T10252" t="s">
        <v>44690</v>
      </c>
      <c r="U10252" t="s">
        <v>53397</v>
      </c>
      <c r="W10252" t="s">
        <v>41390</v>
      </c>
      <c r="X10252" t="s">
        <v>43181</v>
      </c>
    </row>
    <row r="10253" spans="1:24">
      <c r="A10253">
        <f>HYPERLINK("https://www.philgeps.gov.ph/GEPSNONPILOT/Tender/SplashBidNoticeAbstractUI.aspx?menuIndex=3&amp;refID=7061428&amp;Result=3","7061428")</f>
        <v>0</v>
      </c>
      <c r="B10253" t="s">
        <v>2912</v>
      </c>
      <c r="C10253" t="s">
        <v>13192</v>
      </c>
      <c r="D10253" t="s">
        <v>17438</v>
      </c>
      <c r="E10253" t="s">
        <v>26282</v>
      </c>
      <c r="F10253" t="s">
        <v>30055</v>
      </c>
      <c r="G10253" t="s">
        <v>30058</v>
      </c>
      <c r="H10253" t="s">
        <v>15498</v>
      </c>
      <c r="I10253" t="s">
        <v>30074</v>
      </c>
      <c r="J10253" t="s">
        <v>31821</v>
      </c>
      <c r="K10253" t="s">
        <v>39017</v>
      </c>
      <c r="M10253" t="s">
        <v>42469</v>
      </c>
      <c r="N10253" t="s">
        <v>43166</v>
      </c>
      <c r="O10253" t="s">
        <v>43167</v>
      </c>
      <c r="P10253">
        <v>0</v>
      </c>
      <c r="Q10253">
        <v>1</v>
      </c>
      <c r="R10253" t="s">
        <v>43179</v>
      </c>
      <c r="S10253" t="s">
        <v>43583</v>
      </c>
      <c r="T10253" t="s">
        <v>44795</v>
      </c>
      <c r="U10253" t="s">
        <v>53398</v>
      </c>
      <c r="V10253" t="s">
        <v>57975</v>
      </c>
      <c r="W10253" t="s">
        <v>42469</v>
      </c>
      <c r="X10253" t="s">
        <v>43182</v>
      </c>
    </row>
    <row r="10254" spans="1:24">
      <c r="A10254">
        <f>HYPERLINK("https://www.philgeps.gov.ph/GEPSNONPILOT/Tender/SplashBidNoticeAbstractUI.aspx?menuIndex=3&amp;refID=7061340&amp;Result=3","7061340")</f>
        <v>0</v>
      </c>
      <c r="B10254" t="s">
        <v>2123</v>
      </c>
      <c r="C10254" t="s">
        <v>13193</v>
      </c>
      <c r="D10254" t="s">
        <v>17414</v>
      </c>
      <c r="E10254" t="s">
        <v>26283</v>
      </c>
      <c r="F10254" t="s">
        <v>30052</v>
      </c>
      <c r="G10254" t="s">
        <v>30058</v>
      </c>
      <c r="H10254" t="s">
        <v>30067</v>
      </c>
      <c r="I10254" t="s">
        <v>3693</v>
      </c>
      <c r="J10254" t="s">
        <v>36470</v>
      </c>
      <c r="K10254" t="s">
        <v>39026</v>
      </c>
      <c r="M10254" t="s">
        <v>41587</v>
      </c>
      <c r="N10254" t="s">
        <v>43166</v>
      </c>
      <c r="O10254" t="s">
        <v>43167</v>
      </c>
      <c r="P10254">
        <v>0</v>
      </c>
      <c r="Q10254">
        <v>2</v>
      </c>
      <c r="R10254" t="s">
        <v>43179</v>
      </c>
      <c r="S10254" t="s">
        <v>43583</v>
      </c>
      <c r="T10254" t="s">
        <v>44699</v>
      </c>
      <c r="U10254" t="s">
        <v>53399</v>
      </c>
      <c r="V10254" t="s">
        <v>57525</v>
      </c>
      <c r="W10254" t="s">
        <v>41587</v>
      </c>
      <c r="X10254" t="s">
        <v>43182</v>
      </c>
    </row>
    <row r="10255" spans="1:24">
      <c r="A10255">
        <f>HYPERLINK("https://www.philgeps.gov.ph/GEPSNONPILOT/Tender/SplashBidNoticeAbstractUI.aspx?menuIndex=3&amp;refID=7060673&amp;Result=3","7060673")</f>
        <v>0</v>
      </c>
      <c r="B10255" t="s">
        <v>136</v>
      </c>
      <c r="C10255" t="s">
        <v>13194</v>
      </c>
      <c r="D10255" t="s">
        <v>17466</v>
      </c>
      <c r="E10255" t="s">
        <v>26284</v>
      </c>
      <c r="F10255" t="s">
        <v>30052</v>
      </c>
      <c r="G10255" t="s">
        <v>30058</v>
      </c>
      <c r="H10255" t="s">
        <v>30067</v>
      </c>
      <c r="I10255" t="s">
        <v>3693</v>
      </c>
      <c r="J10255" t="s">
        <v>36471</v>
      </c>
      <c r="K10255" t="s">
        <v>39026</v>
      </c>
      <c r="M10255" t="s">
        <v>39425</v>
      </c>
      <c r="N10255" t="s">
        <v>43166</v>
      </c>
      <c r="O10255" t="s">
        <v>43167</v>
      </c>
      <c r="P10255">
        <v>0</v>
      </c>
      <c r="Q10255">
        <v>5</v>
      </c>
      <c r="R10255" t="s">
        <v>43179</v>
      </c>
      <c r="S10255" t="s">
        <v>43583</v>
      </c>
      <c r="T10255" t="s">
        <v>44750</v>
      </c>
      <c r="U10255" t="s">
        <v>53400</v>
      </c>
      <c r="W10255" t="s">
        <v>39425</v>
      </c>
      <c r="X10255" t="s">
        <v>43182</v>
      </c>
    </row>
    <row r="10256" spans="1:24">
      <c r="A10256">
        <f>HYPERLINK("https://www.philgeps.gov.ph/GEPSNONPILOT/Tender/SplashBidNoticeAbstractUI.aspx?menuIndex=3&amp;refID=7061307&amp;Result=3","7061307")</f>
        <v>0</v>
      </c>
      <c r="B10256" t="s">
        <v>2123</v>
      </c>
      <c r="C10256" t="s">
        <v>13195</v>
      </c>
      <c r="D10256" t="s">
        <v>17414</v>
      </c>
      <c r="E10256" t="s">
        <v>26285</v>
      </c>
      <c r="F10256" t="s">
        <v>30052</v>
      </c>
      <c r="G10256" t="s">
        <v>30058</v>
      </c>
      <c r="H10256" t="s">
        <v>30067</v>
      </c>
      <c r="I10256" t="s">
        <v>3693</v>
      </c>
      <c r="J10256" t="s">
        <v>36472</v>
      </c>
      <c r="K10256" t="s">
        <v>39023</v>
      </c>
      <c r="M10256" t="s">
        <v>41587</v>
      </c>
      <c r="N10256" t="s">
        <v>43166</v>
      </c>
      <c r="O10256" t="s">
        <v>43167</v>
      </c>
      <c r="P10256">
        <v>0</v>
      </c>
      <c r="Q10256">
        <v>1</v>
      </c>
      <c r="R10256" t="s">
        <v>43179</v>
      </c>
      <c r="S10256" t="s">
        <v>43583</v>
      </c>
      <c r="T10256" t="s">
        <v>44699</v>
      </c>
      <c r="U10256" t="s">
        <v>53401</v>
      </c>
      <c r="V10256" t="s">
        <v>57525</v>
      </c>
      <c r="W10256" t="s">
        <v>41587</v>
      </c>
      <c r="X10256" t="s">
        <v>43182</v>
      </c>
    </row>
    <row r="10257" spans="1:24">
      <c r="A10257">
        <f>HYPERLINK("https://www.philgeps.gov.ph/GEPSNONPILOT/Tender/SplashBidNoticeAbstractUI.aspx?menuIndex=3&amp;refID=7059918&amp;Result=3","7059918")</f>
        <v>0</v>
      </c>
      <c r="B10257" t="s">
        <v>2911</v>
      </c>
      <c r="C10257" t="s">
        <v>13196</v>
      </c>
      <c r="D10257" t="s">
        <v>17434</v>
      </c>
      <c r="E10257" t="s">
        <v>26286</v>
      </c>
      <c r="F10257" t="s">
        <v>30052</v>
      </c>
      <c r="G10257" t="s">
        <v>30058</v>
      </c>
      <c r="H10257" t="s">
        <v>15498</v>
      </c>
      <c r="I10257" t="s">
        <v>30096</v>
      </c>
      <c r="J10257" t="s">
        <v>36473</v>
      </c>
      <c r="K10257" t="s">
        <v>39017</v>
      </c>
      <c r="M10257" t="s">
        <v>42468</v>
      </c>
      <c r="N10257" t="s">
        <v>43166</v>
      </c>
      <c r="O10257" t="s">
        <v>43167</v>
      </c>
      <c r="P10257">
        <v>0</v>
      </c>
      <c r="Q10257">
        <v>4</v>
      </c>
      <c r="R10257" t="s">
        <v>43179</v>
      </c>
      <c r="S10257" t="s">
        <v>43583</v>
      </c>
      <c r="T10257" t="s">
        <v>45043</v>
      </c>
      <c r="U10257" t="s">
        <v>53402</v>
      </c>
      <c r="W10257" t="s">
        <v>42468</v>
      </c>
      <c r="X10257" t="s">
        <v>43182</v>
      </c>
    </row>
    <row r="10258" spans="1:24">
      <c r="A10258">
        <f>HYPERLINK("https://www.philgeps.gov.ph/GEPSNONPILOT/Tender/SplashBidNoticeAbstractUI.aspx?menuIndex=3&amp;refID=7061007&amp;Result=3","7061007")</f>
        <v>0</v>
      </c>
      <c r="B10258" t="s">
        <v>2123</v>
      </c>
      <c r="C10258" t="s">
        <v>13197</v>
      </c>
      <c r="D10258" t="s">
        <v>17414</v>
      </c>
      <c r="E10258" t="s">
        <v>26287</v>
      </c>
      <c r="F10258" t="s">
        <v>30052</v>
      </c>
      <c r="G10258" t="s">
        <v>30058</v>
      </c>
      <c r="H10258" t="s">
        <v>30067</v>
      </c>
      <c r="I10258" t="s">
        <v>3693</v>
      </c>
      <c r="J10258" t="s">
        <v>36474</v>
      </c>
      <c r="K10258" t="s">
        <v>39023</v>
      </c>
      <c r="M10258" t="s">
        <v>41587</v>
      </c>
      <c r="N10258" t="s">
        <v>43166</v>
      </c>
      <c r="O10258" t="s">
        <v>43167</v>
      </c>
      <c r="P10258">
        <v>0</v>
      </c>
      <c r="Q10258">
        <v>2</v>
      </c>
      <c r="R10258" t="s">
        <v>43179</v>
      </c>
      <c r="S10258" t="s">
        <v>43583</v>
      </c>
      <c r="T10258" t="s">
        <v>44699</v>
      </c>
      <c r="U10258" t="s">
        <v>53403</v>
      </c>
      <c r="V10258" t="s">
        <v>57525</v>
      </c>
      <c r="W10258" t="s">
        <v>41587</v>
      </c>
      <c r="X10258" t="s">
        <v>43182</v>
      </c>
    </row>
    <row r="10259" spans="1:24">
      <c r="A10259">
        <f>HYPERLINK("https://www.philgeps.gov.ph/GEPSNONPILOT/Tender/SplashBidNoticeAbstractUI.aspx?menuIndex=3&amp;refID=7060932&amp;Result=3","7060932")</f>
        <v>0</v>
      </c>
      <c r="B10259" t="s">
        <v>2911</v>
      </c>
      <c r="C10259" t="s">
        <v>13198</v>
      </c>
      <c r="D10259" t="s">
        <v>17434</v>
      </c>
      <c r="E10259" t="s">
        <v>26288</v>
      </c>
      <c r="F10259" t="s">
        <v>30052</v>
      </c>
      <c r="G10259" t="s">
        <v>30058</v>
      </c>
      <c r="H10259" t="s">
        <v>30067</v>
      </c>
      <c r="I10259" t="s">
        <v>3693</v>
      </c>
      <c r="J10259" t="s">
        <v>36475</v>
      </c>
      <c r="K10259" t="s">
        <v>39046</v>
      </c>
      <c r="M10259" t="s">
        <v>42468</v>
      </c>
      <c r="N10259" t="s">
        <v>43166</v>
      </c>
      <c r="O10259" t="s">
        <v>43167</v>
      </c>
      <c r="P10259">
        <v>0</v>
      </c>
      <c r="Q10259">
        <v>1</v>
      </c>
      <c r="R10259" t="s">
        <v>43179</v>
      </c>
      <c r="S10259" t="s">
        <v>43583</v>
      </c>
      <c r="T10259" t="s">
        <v>45043</v>
      </c>
      <c r="U10259" t="s">
        <v>53404</v>
      </c>
      <c r="W10259" t="s">
        <v>42468</v>
      </c>
      <c r="X10259" t="s">
        <v>43182</v>
      </c>
    </row>
    <row r="10260" spans="1:24">
      <c r="A10260">
        <f>HYPERLINK("https://www.philgeps.gov.ph/GEPSNONPILOT/Tender/SplashBidNoticeAbstractUI.aspx?menuIndex=3&amp;refID=7060922&amp;Result=3","7060922")</f>
        <v>0</v>
      </c>
      <c r="B10260" t="s">
        <v>1169</v>
      </c>
      <c r="C10260" t="s">
        <v>13199</v>
      </c>
      <c r="D10260" t="s">
        <v>17458</v>
      </c>
      <c r="E10260" t="s">
        <v>26289</v>
      </c>
      <c r="F10260" t="s">
        <v>30052</v>
      </c>
      <c r="G10260" t="s">
        <v>30058</v>
      </c>
      <c r="H10260" t="s">
        <v>30067</v>
      </c>
      <c r="I10260" t="s">
        <v>3693</v>
      </c>
      <c r="J10260" t="s">
        <v>36476</v>
      </c>
      <c r="K10260" t="s">
        <v>39216</v>
      </c>
      <c r="M10260" t="s">
        <v>40516</v>
      </c>
      <c r="N10260" t="s">
        <v>43166</v>
      </c>
      <c r="O10260" t="s">
        <v>43167</v>
      </c>
      <c r="P10260">
        <v>0</v>
      </c>
      <c r="Q10260">
        <v>9</v>
      </c>
      <c r="R10260" t="s">
        <v>43179</v>
      </c>
      <c r="S10260" t="s">
        <v>43583</v>
      </c>
      <c r="T10260" t="s">
        <v>44984</v>
      </c>
      <c r="U10260" t="s">
        <v>53405</v>
      </c>
      <c r="V10260" t="s">
        <v>57181</v>
      </c>
      <c r="W10260" t="s">
        <v>58625</v>
      </c>
      <c r="X10260" t="s">
        <v>43182</v>
      </c>
    </row>
    <row r="10261" spans="1:24">
      <c r="A10261">
        <f>HYPERLINK("https://www.philgeps.gov.ph/GEPSNONPILOT/Tender/SplashBidNoticeAbstractUI.aspx?menuIndex=3&amp;refID=7060872&amp;Result=3","7060872")</f>
        <v>0</v>
      </c>
      <c r="B10261" t="s">
        <v>2911</v>
      </c>
      <c r="C10261" t="s">
        <v>13200</v>
      </c>
      <c r="D10261" t="s">
        <v>17434</v>
      </c>
      <c r="E10261" t="s">
        <v>26290</v>
      </c>
      <c r="F10261" t="s">
        <v>30052</v>
      </c>
      <c r="G10261" t="s">
        <v>30058</v>
      </c>
      <c r="H10261" t="s">
        <v>15498</v>
      </c>
      <c r="I10261" t="s">
        <v>3606</v>
      </c>
      <c r="J10261" t="s">
        <v>36477</v>
      </c>
      <c r="K10261" t="s">
        <v>39017</v>
      </c>
      <c r="M10261" t="s">
        <v>42468</v>
      </c>
      <c r="N10261" t="s">
        <v>43166</v>
      </c>
      <c r="O10261" t="s">
        <v>43167</v>
      </c>
      <c r="P10261">
        <v>0</v>
      </c>
      <c r="Q10261">
        <v>10</v>
      </c>
      <c r="R10261" t="s">
        <v>43179</v>
      </c>
      <c r="S10261" t="s">
        <v>43583</v>
      </c>
      <c r="T10261" t="s">
        <v>45043</v>
      </c>
      <c r="U10261" t="s">
        <v>53406</v>
      </c>
      <c r="W10261" t="s">
        <v>42468</v>
      </c>
      <c r="X10261" t="s">
        <v>43182</v>
      </c>
    </row>
    <row r="10262" spans="1:24">
      <c r="A10262">
        <f>HYPERLINK("https://www.philgeps.gov.ph/GEPSNONPILOT/Tender/SplashBidNoticeAbstractUI.aspx?menuIndex=3&amp;refID=7060999&amp;Result=3","7060999")</f>
        <v>0</v>
      </c>
      <c r="B10262" t="s">
        <v>1169</v>
      </c>
      <c r="C10262" t="s">
        <v>13201</v>
      </c>
      <c r="D10262" t="s">
        <v>17458</v>
      </c>
      <c r="E10262" t="s">
        <v>26291</v>
      </c>
      <c r="F10262" t="s">
        <v>30052</v>
      </c>
      <c r="G10262" t="s">
        <v>30058</v>
      </c>
      <c r="H10262" t="s">
        <v>30067</v>
      </c>
      <c r="I10262" t="s">
        <v>3693</v>
      </c>
      <c r="J10262" t="s">
        <v>36478</v>
      </c>
      <c r="K10262" t="s">
        <v>39216</v>
      </c>
      <c r="M10262" t="s">
        <v>40516</v>
      </c>
      <c r="N10262" t="s">
        <v>43166</v>
      </c>
      <c r="O10262" t="s">
        <v>43167</v>
      </c>
      <c r="P10262">
        <v>0</v>
      </c>
      <c r="Q10262">
        <v>10</v>
      </c>
      <c r="R10262" t="s">
        <v>43179</v>
      </c>
      <c r="S10262" t="s">
        <v>43583</v>
      </c>
      <c r="T10262" t="s">
        <v>44984</v>
      </c>
      <c r="U10262" t="s">
        <v>53407</v>
      </c>
      <c r="V10262" t="s">
        <v>57181</v>
      </c>
      <c r="W10262" t="s">
        <v>58625</v>
      </c>
      <c r="X10262" t="s">
        <v>43182</v>
      </c>
    </row>
    <row r="10263" spans="1:24">
      <c r="A10263">
        <f>HYPERLINK("https://www.philgeps.gov.ph/GEPSNONPILOT/Tender/SplashBidNoticeAbstractUI.aspx?menuIndex=3&amp;refID=7060817&amp;Result=3","7060817")</f>
        <v>0</v>
      </c>
      <c r="B10263" t="s">
        <v>1169</v>
      </c>
      <c r="C10263" t="s">
        <v>13202</v>
      </c>
      <c r="D10263" t="s">
        <v>17458</v>
      </c>
      <c r="E10263" t="s">
        <v>26292</v>
      </c>
      <c r="F10263" t="s">
        <v>30052</v>
      </c>
      <c r="G10263" t="s">
        <v>30058</v>
      </c>
      <c r="H10263" t="s">
        <v>30067</v>
      </c>
      <c r="I10263" t="s">
        <v>3693</v>
      </c>
      <c r="J10263" t="s">
        <v>36479</v>
      </c>
      <c r="K10263" t="s">
        <v>39216</v>
      </c>
      <c r="M10263" t="s">
        <v>40516</v>
      </c>
      <c r="N10263" t="s">
        <v>43166</v>
      </c>
      <c r="O10263" t="s">
        <v>43167</v>
      </c>
      <c r="P10263">
        <v>0</v>
      </c>
      <c r="Q10263">
        <v>9</v>
      </c>
      <c r="R10263" t="s">
        <v>43179</v>
      </c>
      <c r="S10263" t="s">
        <v>43583</v>
      </c>
      <c r="T10263" t="s">
        <v>44948</v>
      </c>
      <c r="U10263" t="s">
        <v>53408</v>
      </c>
      <c r="V10263" t="s">
        <v>57181</v>
      </c>
      <c r="W10263" t="s">
        <v>58625</v>
      </c>
      <c r="X10263" t="s">
        <v>43182</v>
      </c>
    </row>
    <row r="10264" spans="1:24">
      <c r="A10264">
        <f>HYPERLINK("https://www.philgeps.gov.ph/GEPSNONPILOT/Tender/SplashBidNoticeAbstractUI.aspx?menuIndex=3&amp;refID=7062494&amp;Result=3","7062494")</f>
        <v>0</v>
      </c>
      <c r="B10264" t="s">
        <v>306</v>
      </c>
      <c r="C10264" t="s">
        <v>13203</v>
      </c>
      <c r="D10264" t="s">
        <v>17415</v>
      </c>
      <c r="E10264" t="s">
        <v>26293</v>
      </c>
      <c r="F10264" t="s">
        <v>30052</v>
      </c>
      <c r="G10264" t="s">
        <v>30058</v>
      </c>
      <c r="H10264" t="s">
        <v>30067</v>
      </c>
      <c r="I10264" t="s">
        <v>3693</v>
      </c>
      <c r="J10264" t="s">
        <v>36480</v>
      </c>
      <c r="K10264" t="s">
        <v>39022</v>
      </c>
      <c r="M10264" t="s">
        <v>42470</v>
      </c>
      <c r="N10264" t="s">
        <v>43166</v>
      </c>
      <c r="O10264" t="s">
        <v>43167</v>
      </c>
      <c r="Q10264">
        <v>47</v>
      </c>
      <c r="R10264" t="s">
        <v>43179</v>
      </c>
      <c r="S10264" t="s">
        <v>43534</v>
      </c>
      <c r="T10264" t="s">
        <v>44997</v>
      </c>
      <c r="U10264" t="s">
        <v>53409</v>
      </c>
      <c r="W10264" t="s">
        <v>42470</v>
      </c>
      <c r="X10264" t="s">
        <v>43181</v>
      </c>
    </row>
    <row r="10265" spans="1:24">
      <c r="A10265">
        <f>HYPERLINK("https://www.philgeps.gov.ph/GEPSNONPILOT/Tender/SplashBidNoticeAbstractUI.aspx?menuIndex=3&amp;refID=7062546&amp;Result=3","7062546")</f>
        <v>0</v>
      </c>
      <c r="B10265" t="s">
        <v>136</v>
      </c>
      <c r="C10265" t="s">
        <v>13204</v>
      </c>
      <c r="D10265" t="s">
        <v>17466</v>
      </c>
      <c r="E10265" t="s">
        <v>26294</v>
      </c>
      <c r="F10265" t="s">
        <v>30052</v>
      </c>
      <c r="G10265" t="s">
        <v>30058</v>
      </c>
      <c r="H10265" t="s">
        <v>30067</v>
      </c>
      <c r="I10265" t="s">
        <v>3693</v>
      </c>
      <c r="J10265" t="s">
        <v>35138</v>
      </c>
      <c r="K10265" t="s">
        <v>39023</v>
      </c>
      <c r="M10265" t="s">
        <v>39425</v>
      </c>
      <c r="N10265" t="s">
        <v>43166</v>
      </c>
      <c r="O10265" t="s">
        <v>43167</v>
      </c>
      <c r="P10265">
        <v>0</v>
      </c>
      <c r="Q10265">
        <v>4</v>
      </c>
      <c r="R10265" t="s">
        <v>43179</v>
      </c>
      <c r="S10265" t="s">
        <v>43583</v>
      </c>
      <c r="T10265" t="s">
        <v>44750</v>
      </c>
      <c r="U10265" t="s">
        <v>53410</v>
      </c>
      <c r="W10265" t="s">
        <v>39425</v>
      </c>
      <c r="X10265" t="s">
        <v>43181</v>
      </c>
    </row>
    <row r="10266" spans="1:24">
      <c r="A10266">
        <f>HYPERLINK("https://www.philgeps.gov.ph/GEPSNONPILOT/Tender/SplashBidNoticeAbstractUI.aspx?menuIndex=3&amp;refID=7060102&amp;Result=3","7060102")</f>
        <v>0</v>
      </c>
      <c r="B10266" t="s">
        <v>1169</v>
      </c>
      <c r="C10266" t="s">
        <v>13205</v>
      </c>
      <c r="D10266" t="s">
        <v>17458</v>
      </c>
      <c r="E10266" t="s">
        <v>26295</v>
      </c>
      <c r="F10266" t="s">
        <v>30052</v>
      </c>
      <c r="G10266" t="s">
        <v>30058</v>
      </c>
      <c r="H10266" t="s">
        <v>30067</v>
      </c>
      <c r="I10266" t="s">
        <v>3693</v>
      </c>
      <c r="J10266" t="s">
        <v>36481</v>
      </c>
      <c r="K10266" t="s">
        <v>39216</v>
      </c>
      <c r="M10266" t="s">
        <v>40516</v>
      </c>
      <c r="N10266" t="s">
        <v>43166</v>
      </c>
      <c r="O10266" t="s">
        <v>43167</v>
      </c>
      <c r="P10266">
        <v>0</v>
      </c>
      <c r="Q10266">
        <v>9</v>
      </c>
      <c r="R10266" t="s">
        <v>43179</v>
      </c>
      <c r="S10266" t="s">
        <v>43583</v>
      </c>
      <c r="T10266" t="s">
        <v>44996</v>
      </c>
      <c r="U10266" t="s">
        <v>53411</v>
      </c>
      <c r="V10266" t="s">
        <v>57181</v>
      </c>
      <c r="W10266" t="s">
        <v>58625</v>
      </c>
      <c r="X10266" t="s">
        <v>43182</v>
      </c>
    </row>
    <row r="10267" spans="1:24">
      <c r="A10267">
        <f>HYPERLINK("https://www.philgeps.gov.ph/GEPSNONPILOT/Tender/SplashBidNoticeAbstractUI.aspx?menuIndex=3&amp;refID=7061190&amp;Result=3","7061190")</f>
        <v>0</v>
      </c>
      <c r="B10267" t="s">
        <v>1169</v>
      </c>
      <c r="C10267" t="s">
        <v>13206</v>
      </c>
      <c r="D10267" t="s">
        <v>17458</v>
      </c>
      <c r="E10267" t="s">
        <v>26296</v>
      </c>
      <c r="F10267" t="s">
        <v>30052</v>
      </c>
      <c r="G10267" t="s">
        <v>30058</v>
      </c>
      <c r="H10267" t="s">
        <v>30067</v>
      </c>
      <c r="I10267" t="s">
        <v>3693</v>
      </c>
      <c r="J10267" t="s">
        <v>36482</v>
      </c>
      <c r="K10267" t="s">
        <v>39216</v>
      </c>
      <c r="M10267" t="s">
        <v>40516</v>
      </c>
      <c r="N10267" t="s">
        <v>43166</v>
      </c>
      <c r="O10267" t="s">
        <v>43167</v>
      </c>
      <c r="P10267">
        <v>0</v>
      </c>
      <c r="Q10267">
        <v>10</v>
      </c>
      <c r="R10267" t="s">
        <v>43179</v>
      </c>
      <c r="S10267" t="s">
        <v>43583</v>
      </c>
      <c r="T10267" t="s">
        <v>44984</v>
      </c>
      <c r="U10267" t="s">
        <v>53412</v>
      </c>
      <c r="V10267" t="s">
        <v>57181</v>
      </c>
      <c r="W10267" t="s">
        <v>58625</v>
      </c>
      <c r="X10267" t="s">
        <v>43182</v>
      </c>
    </row>
    <row r="10268" spans="1:24">
      <c r="A10268">
        <f>HYPERLINK("https://www.philgeps.gov.ph/GEPSNONPILOT/Tender/SplashBidNoticeAbstractUI.aspx?menuIndex=3&amp;refID=7062528&amp;Result=3","7062528")</f>
        <v>0</v>
      </c>
      <c r="B10268" t="s">
        <v>306</v>
      </c>
      <c r="C10268" t="s">
        <v>13207</v>
      </c>
      <c r="D10268" t="s">
        <v>17415</v>
      </c>
      <c r="E10268" t="s">
        <v>26297</v>
      </c>
      <c r="F10268" t="s">
        <v>30052</v>
      </c>
      <c r="G10268" t="s">
        <v>30058</v>
      </c>
      <c r="H10268" t="s">
        <v>30067</v>
      </c>
      <c r="I10268" t="s">
        <v>3693</v>
      </c>
      <c r="J10268" t="s">
        <v>36483</v>
      </c>
      <c r="K10268" t="s">
        <v>39022</v>
      </c>
      <c r="M10268" t="s">
        <v>42470</v>
      </c>
      <c r="N10268" t="s">
        <v>43166</v>
      </c>
      <c r="O10268" t="s">
        <v>43167</v>
      </c>
      <c r="Q10268">
        <v>44</v>
      </c>
      <c r="R10268" t="s">
        <v>43179</v>
      </c>
      <c r="S10268" t="s">
        <v>43593</v>
      </c>
      <c r="T10268" t="s">
        <v>44997</v>
      </c>
      <c r="U10268" t="s">
        <v>53413</v>
      </c>
      <c r="W10268" t="s">
        <v>42470</v>
      </c>
      <c r="X10268" t="s">
        <v>43181</v>
      </c>
    </row>
    <row r="10269" spans="1:24">
      <c r="A10269">
        <f>HYPERLINK("https://www.philgeps.gov.ph/GEPSNONPILOT/Tender/SplashBidNoticeAbstractUI.aspx?menuIndex=3&amp;refID=7062470&amp;Result=3","7062470")</f>
        <v>0</v>
      </c>
      <c r="B10269" t="s">
        <v>306</v>
      </c>
      <c r="C10269" t="s">
        <v>13208</v>
      </c>
      <c r="D10269" t="s">
        <v>17415</v>
      </c>
      <c r="E10269" t="s">
        <v>26298</v>
      </c>
      <c r="F10269" t="s">
        <v>30052</v>
      </c>
      <c r="G10269" t="s">
        <v>30058</v>
      </c>
      <c r="H10269" t="s">
        <v>30067</v>
      </c>
      <c r="I10269" t="s">
        <v>3693</v>
      </c>
      <c r="J10269" t="s">
        <v>36484</v>
      </c>
      <c r="K10269" t="s">
        <v>39031</v>
      </c>
      <c r="M10269" t="s">
        <v>42470</v>
      </c>
      <c r="N10269" t="s">
        <v>43166</v>
      </c>
      <c r="O10269" t="s">
        <v>43167</v>
      </c>
      <c r="Q10269">
        <v>46</v>
      </c>
      <c r="R10269" t="s">
        <v>43179</v>
      </c>
      <c r="S10269" t="s">
        <v>43400</v>
      </c>
      <c r="T10269" t="s">
        <v>44997</v>
      </c>
      <c r="U10269" t="s">
        <v>53414</v>
      </c>
      <c r="W10269" t="s">
        <v>42470</v>
      </c>
      <c r="X10269" t="s">
        <v>43181</v>
      </c>
    </row>
    <row r="10270" spans="1:24">
      <c r="A10270">
        <f>HYPERLINK("https://www.philgeps.gov.ph/GEPSNONPILOT/Tender/SplashBidNoticeAbstractUI.aspx?menuIndex=3&amp;refID=7062452&amp;Result=3","7062452")</f>
        <v>0</v>
      </c>
      <c r="B10270" t="s">
        <v>306</v>
      </c>
      <c r="C10270" t="s">
        <v>13209</v>
      </c>
      <c r="D10270" t="s">
        <v>17415</v>
      </c>
      <c r="E10270" t="s">
        <v>26299</v>
      </c>
      <c r="F10270" t="s">
        <v>30052</v>
      </c>
      <c r="G10270" t="s">
        <v>30058</v>
      </c>
      <c r="H10270" t="s">
        <v>30067</v>
      </c>
      <c r="I10270" t="s">
        <v>3693</v>
      </c>
      <c r="J10270" t="s">
        <v>36485</v>
      </c>
      <c r="K10270" t="s">
        <v>39022</v>
      </c>
      <c r="M10270" t="s">
        <v>42470</v>
      </c>
      <c r="N10270" t="s">
        <v>43166</v>
      </c>
      <c r="O10270" t="s">
        <v>43167</v>
      </c>
      <c r="Q10270">
        <v>47</v>
      </c>
      <c r="R10270" t="s">
        <v>43179</v>
      </c>
      <c r="S10270" t="s">
        <v>43386</v>
      </c>
      <c r="T10270" t="s">
        <v>44997</v>
      </c>
      <c r="U10270" t="s">
        <v>53415</v>
      </c>
      <c r="W10270" t="s">
        <v>42470</v>
      </c>
      <c r="X10270" t="s">
        <v>43181</v>
      </c>
    </row>
    <row r="10271" spans="1:24">
      <c r="A10271">
        <f>HYPERLINK("https://www.philgeps.gov.ph/GEPSNONPILOT/Tender/SplashBidNoticeAbstractUI.aspx?menuIndex=3&amp;refID=7062513&amp;Result=3","7062513")</f>
        <v>0</v>
      </c>
      <c r="B10271" t="s">
        <v>306</v>
      </c>
      <c r="C10271" t="s">
        <v>13210</v>
      </c>
      <c r="D10271" t="s">
        <v>17415</v>
      </c>
      <c r="E10271" t="s">
        <v>26300</v>
      </c>
      <c r="F10271" t="s">
        <v>30052</v>
      </c>
      <c r="G10271" t="s">
        <v>30058</v>
      </c>
      <c r="H10271" t="s">
        <v>30067</v>
      </c>
      <c r="I10271" t="s">
        <v>3693</v>
      </c>
      <c r="J10271" t="s">
        <v>36486</v>
      </c>
      <c r="K10271" t="s">
        <v>39026</v>
      </c>
      <c r="M10271" t="s">
        <v>42470</v>
      </c>
      <c r="N10271" t="s">
        <v>43166</v>
      </c>
      <c r="O10271" t="s">
        <v>43167</v>
      </c>
      <c r="Q10271">
        <v>48</v>
      </c>
      <c r="R10271" t="s">
        <v>43179</v>
      </c>
      <c r="S10271" t="s">
        <v>43594</v>
      </c>
      <c r="T10271" t="s">
        <v>44997</v>
      </c>
      <c r="U10271" t="s">
        <v>53416</v>
      </c>
      <c r="W10271" t="s">
        <v>42470</v>
      </c>
      <c r="X10271" t="s">
        <v>43181</v>
      </c>
    </row>
    <row r="10272" spans="1:24">
      <c r="A10272">
        <f>HYPERLINK("https://www.philgeps.gov.ph/GEPSNONPILOT/Tender/SplashBidNoticeAbstractUI.aspx?menuIndex=3&amp;refID=7062427&amp;Result=3","7062427")</f>
        <v>0</v>
      </c>
      <c r="B10272" t="s">
        <v>306</v>
      </c>
      <c r="C10272" t="s">
        <v>13211</v>
      </c>
      <c r="D10272" t="s">
        <v>17415</v>
      </c>
      <c r="E10272" t="s">
        <v>26301</v>
      </c>
      <c r="F10272" t="s">
        <v>30052</v>
      </c>
      <c r="G10272" t="s">
        <v>30058</v>
      </c>
      <c r="H10272" t="s">
        <v>30067</v>
      </c>
      <c r="I10272" t="s">
        <v>3693</v>
      </c>
      <c r="J10272" t="s">
        <v>36487</v>
      </c>
      <c r="K10272" t="s">
        <v>39026</v>
      </c>
      <c r="M10272" t="s">
        <v>42470</v>
      </c>
      <c r="N10272" t="s">
        <v>43166</v>
      </c>
      <c r="O10272" t="s">
        <v>43167</v>
      </c>
      <c r="Q10272">
        <v>47</v>
      </c>
      <c r="R10272" t="s">
        <v>43179</v>
      </c>
      <c r="S10272" t="s">
        <v>43595</v>
      </c>
      <c r="T10272" t="s">
        <v>44997</v>
      </c>
      <c r="U10272" t="s">
        <v>53417</v>
      </c>
      <c r="W10272" t="s">
        <v>42470</v>
      </c>
      <c r="X10272" t="s">
        <v>43181</v>
      </c>
    </row>
    <row r="10273" spans="1:24">
      <c r="A10273">
        <f>HYPERLINK("https://www.philgeps.gov.ph/GEPSNONPILOT/Tender/SplashBidNoticeAbstractUI.aspx?menuIndex=3&amp;refID=7062416&amp;Result=3","7062416")</f>
        <v>0</v>
      </c>
      <c r="B10273" t="s">
        <v>306</v>
      </c>
      <c r="C10273" t="s">
        <v>13212</v>
      </c>
      <c r="D10273" t="s">
        <v>17415</v>
      </c>
      <c r="E10273" t="s">
        <v>26302</v>
      </c>
      <c r="F10273" t="s">
        <v>30052</v>
      </c>
      <c r="G10273" t="s">
        <v>30058</v>
      </c>
      <c r="H10273" t="s">
        <v>30067</v>
      </c>
      <c r="I10273" t="s">
        <v>3693</v>
      </c>
      <c r="J10273" t="s">
        <v>36488</v>
      </c>
      <c r="K10273" t="s">
        <v>39026</v>
      </c>
      <c r="M10273" t="s">
        <v>42470</v>
      </c>
      <c r="N10273" t="s">
        <v>43166</v>
      </c>
      <c r="O10273" t="s">
        <v>43167</v>
      </c>
      <c r="Q10273">
        <v>48</v>
      </c>
      <c r="R10273" t="s">
        <v>43179</v>
      </c>
      <c r="S10273" t="s">
        <v>43596</v>
      </c>
      <c r="T10273" t="s">
        <v>44997</v>
      </c>
      <c r="U10273" t="s">
        <v>53418</v>
      </c>
      <c r="W10273" t="s">
        <v>42470</v>
      </c>
      <c r="X10273" t="s">
        <v>43181</v>
      </c>
    </row>
    <row r="10274" spans="1:24">
      <c r="A10274">
        <f>HYPERLINK("https://www.philgeps.gov.ph/GEPSNONPILOT/Tender/SplashBidNoticeAbstractUI.aspx?menuIndex=3&amp;refID=7062396&amp;Result=3","7062396")</f>
        <v>0</v>
      </c>
      <c r="B10274" t="s">
        <v>306</v>
      </c>
      <c r="C10274" t="s">
        <v>13213</v>
      </c>
      <c r="D10274" t="s">
        <v>17415</v>
      </c>
      <c r="E10274" t="s">
        <v>26303</v>
      </c>
      <c r="F10274" t="s">
        <v>30052</v>
      </c>
      <c r="G10274" t="s">
        <v>30058</v>
      </c>
      <c r="H10274" t="s">
        <v>30067</v>
      </c>
      <c r="I10274" t="s">
        <v>3693</v>
      </c>
      <c r="J10274" t="s">
        <v>36489</v>
      </c>
      <c r="K10274" t="s">
        <v>39057</v>
      </c>
      <c r="M10274" t="s">
        <v>42470</v>
      </c>
      <c r="N10274" t="s">
        <v>43166</v>
      </c>
      <c r="O10274" t="s">
        <v>43167</v>
      </c>
      <c r="Q10274">
        <v>47</v>
      </c>
      <c r="R10274" t="s">
        <v>43179</v>
      </c>
      <c r="S10274" t="s">
        <v>43597</v>
      </c>
      <c r="T10274" t="s">
        <v>44997</v>
      </c>
      <c r="U10274" t="s">
        <v>53419</v>
      </c>
      <c r="W10274" t="s">
        <v>42470</v>
      </c>
      <c r="X10274" t="s">
        <v>43181</v>
      </c>
    </row>
    <row r="10275" spans="1:24">
      <c r="A10275">
        <f>HYPERLINK("https://www.philgeps.gov.ph/GEPSNONPILOT/Tender/SplashBidNoticeAbstractUI.aspx?menuIndex=3&amp;refID=7062388&amp;Result=3","7062388")</f>
        <v>0</v>
      </c>
      <c r="B10275" t="s">
        <v>1661</v>
      </c>
      <c r="C10275" t="s">
        <v>13214</v>
      </c>
      <c r="D10275" t="s">
        <v>17422</v>
      </c>
      <c r="E10275" t="s">
        <v>26304</v>
      </c>
      <c r="F10275" t="s">
        <v>30052</v>
      </c>
      <c r="G10275" t="s">
        <v>30058</v>
      </c>
      <c r="H10275" t="s">
        <v>30067</v>
      </c>
      <c r="I10275" t="s">
        <v>3693</v>
      </c>
      <c r="J10275" t="s">
        <v>36490</v>
      </c>
      <c r="K10275" t="s">
        <v>39169</v>
      </c>
      <c r="M10275" t="s">
        <v>41066</v>
      </c>
      <c r="N10275" t="s">
        <v>43166</v>
      </c>
      <c r="O10275" t="s">
        <v>43167</v>
      </c>
      <c r="P10275">
        <v>0</v>
      </c>
      <c r="Q10275">
        <v>3</v>
      </c>
      <c r="R10275" t="s">
        <v>43179</v>
      </c>
      <c r="S10275" t="s">
        <v>43583</v>
      </c>
      <c r="T10275" t="s">
        <v>44763</v>
      </c>
      <c r="U10275" t="s">
        <v>53420</v>
      </c>
      <c r="W10275" t="s">
        <v>41066</v>
      </c>
      <c r="X10275" t="s">
        <v>43181</v>
      </c>
    </row>
    <row r="10276" spans="1:24">
      <c r="A10276">
        <f>HYPERLINK("https://www.philgeps.gov.ph/GEPSNONPILOT/Tender/SplashBidNoticeAbstractUI.aspx?menuIndex=3&amp;refID=7062368&amp;Result=3","7062368")</f>
        <v>0</v>
      </c>
      <c r="B10276" t="s">
        <v>306</v>
      </c>
      <c r="C10276" t="s">
        <v>13215</v>
      </c>
      <c r="D10276" t="s">
        <v>17415</v>
      </c>
      <c r="E10276" t="s">
        <v>26305</v>
      </c>
      <c r="F10276" t="s">
        <v>30052</v>
      </c>
      <c r="G10276" t="s">
        <v>30058</v>
      </c>
      <c r="H10276" t="s">
        <v>30067</v>
      </c>
      <c r="I10276" t="s">
        <v>3693</v>
      </c>
      <c r="J10276" t="s">
        <v>36491</v>
      </c>
      <c r="K10276" t="s">
        <v>39026</v>
      </c>
      <c r="M10276" t="s">
        <v>42470</v>
      </c>
      <c r="N10276" t="s">
        <v>43166</v>
      </c>
      <c r="O10276" t="s">
        <v>43167</v>
      </c>
      <c r="Q10276">
        <v>47</v>
      </c>
      <c r="R10276" t="s">
        <v>43179</v>
      </c>
      <c r="S10276" t="s">
        <v>43598</v>
      </c>
      <c r="T10276" t="s">
        <v>44997</v>
      </c>
      <c r="U10276" t="s">
        <v>53421</v>
      </c>
      <c r="W10276" t="s">
        <v>42470</v>
      </c>
      <c r="X10276" t="s">
        <v>43181</v>
      </c>
    </row>
    <row r="10277" spans="1:24">
      <c r="A10277">
        <f>HYPERLINK("https://www.philgeps.gov.ph/GEPSNONPILOT/Tender/SplashBidNoticeAbstractUI.aspx?menuIndex=3&amp;refID=7062457&amp;Result=3","7062457")</f>
        <v>0</v>
      </c>
      <c r="B10277" t="s">
        <v>2913</v>
      </c>
      <c r="C10277" t="s">
        <v>13216</v>
      </c>
      <c r="D10277" t="s">
        <v>17448</v>
      </c>
      <c r="E10277" t="s">
        <v>26306</v>
      </c>
      <c r="F10277" t="s">
        <v>30052</v>
      </c>
      <c r="G10277" t="s">
        <v>30058</v>
      </c>
      <c r="H10277" t="s">
        <v>15498</v>
      </c>
      <c r="I10277" t="s">
        <v>30074</v>
      </c>
      <c r="J10277" t="s">
        <v>36492</v>
      </c>
      <c r="K10277" t="s">
        <v>39020</v>
      </c>
      <c r="M10277" t="s">
        <v>42471</v>
      </c>
      <c r="N10277" t="s">
        <v>43166</v>
      </c>
      <c r="O10277" t="s">
        <v>43167</v>
      </c>
      <c r="P10277">
        <v>0</v>
      </c>
      <c r="Q10277">
        <v>8</v>
      </c>
      <c r="R10277" t="s">
        <v>43179</v>
      </c>
      <c r="S10277" t="s">
        <v>43583</v>
      </c>
      <c r="T10277" t="s">
        <v>44764</v>
      </c>
      <c r="U10277" t="s">
        <v>53422</v>
      </c>
      <c r="W10277" t="s">
        <v>42471</v>
      </c>
      <c r="X10277" t="s">
        <v>43181</v>
      </c>
    </row>
    <row r="10278" spans="1:24">
      <c r="A10278">
        <f>HYPERLINK("https://www.philgeps.gov.ph/GEPSNONPILOT/Tender/SplashBidNoticeAbstractUI.aspx?menuIndex=3&amp;refID=7062304&amp;Result=3","7062304")</f>
        <v>0</v>
      </c>
      <c r="B10278" t="s">
        <v>306</v>
      </c>
      <c r="C10278" t="s">
        <v>13217</v>
      </c>
      <c r="D10278" t="s">
        <v>17415</v>
      </c>
      <c r="E10278" t="s">
        <v>26307</v>
      </c>
      <c r="F10278" t="s">
        <v>30052</v>
      </c>
      <c r="G10278" t="s">
        <v>30058</v>
      </c>
      <c r="H10278" t="s">
        <v>30067</v>
      </c>
      <c r="I10278" t="s">
        <v>3693</v>
      </c>
      <c r="J10278" t="s">
        <v>36493</v>
      </c>
      <c r="K10278" t="s">
        <v>39026</v>
      </c>
      <c r="M10278" t="s">
        <v>42470</v>
      </c>
      <c r="N10278" t="s">
        <v>43166</v>
      </c>
      <c r="O10278" t="s">
        <v>43167</v>
      </c>
      <c r="Q10278">
        <v>47</v>
      </c>
      <c r="R10278" t="s">
        <v>43179</v>
      </c>
      <c r="S10278" t="s">
        <v>43599</v>
      </c>
      <c r="T10278" t="s">
        <v>44997</v>
      </c>
      <c r="U10278" t="s">
        <v>53423</v>
      </c>
      <c r="W10278" t="s">
        <v>42470</v>
      </c>
      <c r="X10278" t="s">
        <v>43181</v>
      </c>
    </row>
    <row r="10279" spans="1:24">
      <c r="A10279">
        <f>HYPERLINK("https://www.philgeps.gov.ph/GEPSNONPILOT/Tender/SplashBidNoticeAbstractUI.aspx?menuIndex=3&amp;refID=7062512&amp;Result=3","7062512")</f>
        <v>0</v>
      </c>
      <c r="B10279" t="s">
        <v>2452</v>
      </c>
      <c r="C10279" t="s">
        <v>13218</v>
      </c>
      <c r="D10279" t="s">
        <v>17459</v>
      </c>
      <c r="E10279" t="s">
        <v>26308</v>
      </c>
      <c r="F10279" t="s">
        <v>30052</v>
      </c>
      <c r="G10279" t="s">
        <v>30058</v>
      </c>
      <c r="H10279" t="s">
        <v>15498</v>
      </c>
      <c r="I10279" t="s">
        <v>3736</v>
      </c>
      <c r="J10279" t="s">
        <v>36494</v>
      </c>
      <c r="K10279" t="s">
        <v>39019</v>
      </c>
      <c r="M10279" t="s">
        <v>42377</v>
      </c>
      <c r="N10279" t="s">
        <v>43166</v>
      </c>
      <c r="O10279" t="s">
        <v>43167</v>
      </c>
      <c r="P10279">
        <v>0</v>
      </c>
      <c r="Q10279">
        <v>1</v>
      </c>
      <c r="R10279" t="s">
        <v>43179</v>
      </c>
      <c r="S10279" t="s">
        <v>43583</v>
      </c>
      <c r="T10279" t="s">
        <v>45012</v>
      </c>
      <c r="U10279" t="s">
        <v>52986</v>
      </c>
      <c r="W10279" t="s">
        <v>42377</v>
      </c>
      <c r="X10279" t="s">
        <v>43181</v>
      </c>
    </row>
    <row r="10280" spans="1:24">
      <c r="A10280">
        <f>HYPERLINK("https://www.philgeps.gov.ph/GEPSNONPILOT/Tender/SplashBidNoticeAbstractUI.aspx?menuIndex=3&amp;refID=7062927&amp;Result=3","7062927")</f>
        <v>0</v>
      </c>
      <c r="B10280" t="s">
        <v>1474</v>
      </c>
      <c r="C10280" t="s">
        <v>13219</v>
      </c>
      <c r="D10280" t="s">
        <v>17471</v>
      </c>
      <c r="E10280" t="s">
        <v>26309</v>
      </c>
      <c r="F10280" t="s">
        <v>30052</v>
      </c>
      <c r="G10280" t="s">
        <v>30058</v>
      </c>
      <c r="H10280" t="s">
        <v>15498</v>
      </c>
      <c r="I10280" t="s">
        <v>3736</v>
      </c>
      <c r="J10280" t="s">
        <v>36495</v>
      </c>
      <c r="K10280" t="s">
        <v>39025</v>
      </c>
      <c r="M10280" t="s">
        <v>42472</v>
      </c>
      <c r="N10280" t="s">
        <v>43166</v>
      </c>
      <c r="O10280" t="s">
        <v>43167</v>
      </c>
      <c r="P10280">
        <v>0</v>
      </c>
      <c r="Q10280">
        <v>1</v>
      </c>
      <c r="R10280" t="s">
        <v>43179</v>
      </c>
      <c r="S10280" t="s">
        <v>43583</v>
      </c>
      <c r="T10280" t="s">
        <v>44771</v>
      </c>
      <c r="U10280" t="s">
        <v>53424</v>
      </c>
      <c r="V10280" t="s">
        <v>57976</v>
      </c>
      <c r="W10280" t="s">
        <v>42472</v>
      </c>
      <c r="X10280" t="s">
        <v>43181</v>
      </c>
    </row>
    <row r="10281" spans="1:24">
      <c r="A10281">
        <f>HYPERLINK("https://www.philgeps.gov.ph/GEPSNONPILOT/Tender/SplashBidNoticeAbstractUI.aspx?menuIndex=3&amp;refID=7061226&amp;Result=3","7061226")</f>
        <v>0</v>
      </c>
      <c r="B10281" t="s">
        <v>2123</v>
      </c>
      <c r="C10281" t="s">
        <v>13220</v>
      </c>
      <c r="D10281" t="s">
        <v>17414</v>
      </c>
      <c r="E10281" t="s">
        <v>26310</v>
      </c>
      <c r="F10281" t="s">
        <v>30052</v>
      </c>
      <c r="G10281" t="s">
        <v>30058</v>
      </c>
      <c r="H10281" t="s">
        <v>30067</v>
      </c>
      <c r="I10281" t="s">
        <v>3693</v>
      </c>
      <c r="J10281" t="s">
        <v>36496</v>
      </c>
      <c r="K10281" t="s">
        <v>39023</v>
      </c>
      <c r="M10281" t="s">
        <v>41587</v>
      </c>
      <c r="N10281" t="s">
        <v>43166</v>
      </c>
      <c r="O10281" t="s">
        <v>43167</v>
      </c>
      <c r="P10281">
        <v>0</v>
      </c>
      <c r="Q10281">
        <v>0</v>
      </c>
      <c r="R10281" t="s">
        <v>43179</v>
      </c>
      <c r="S10281" t="s">
        <v>43583</v>
      </c>
      <c r="T10281" t="s">
        <v>44699</v>
      </c>
      <c r="U10281" t="s">
        <v>53425</v>
      </c>
      <c r="V10281" t="s">
        <v>57525</v>
      </c>
      <c r="W10281" t="s">
        <v>41587</v>
      </c>
      <c r="X10281" t="s">
        <v>43182</v>
      </c>
    </row>
    <row r="10282" spans="1:24">
      <c r="A10282">
        <f>HYPERLINK("https://www.philgeps.gov.ph/GEPSNONPILOT/Tender/SplashBidNoticeAbstractUI.aspx?menuIndex=3&amp;refID=7062909&amp;Result=3","7062909")</f>
        <v>0</v>
      </c>
      <c r="B10282" t="s">
        <v>1661</v>
      </c>
      <c r="C10282" t="s">
        <v>13221</v>
      </c>
      <c r="D10282" t="s">
        <v>17422</v>
      </c>
      <c r="E10282" t="s">
        <v>26311</v>
      </c>
      <c r="F10282" t="s">
        <v>30052</v>
      </c>
      <c r="G10282" t="s">
        <v>30058</v>
      </c>
      <c r="H10282" t="s">
        <v>30067</v>
      </c>
      <c r="I10282" t="s">
        <v>3693</v>
      </c>
      <c r="J10282" t="s">
        <v>30215</v>
      </c>
      <c r="K10282" t="s">
        <v>39031</v>
      </c>
      <c r="M10282" t="s">
        <v>41066</v>
      </c>
      <c r="N10282" t="s">
        <v>43166</v>
      </c>
      <c r="O10282" t="s">
        <v>43167</v>
      </c>
      <c r="P10282">
        <v>0</v>
      </c>
      <c r="Q10282">
        <v>0</v>
      </c>
      <c r="R10282" t="s">
        <v>43179</v>
      </c>
      <c r="S10282" t="s">
        <v>43583</v>
      </c>
      <c r="T10282" t="s">
        <v>44763</v>
      </c>
      <c r="U10282" t="s">
        <v>53426</v>
      </c>
      <c r="W10282" t="s">
        <v>41066</v>
      </c>
      <c r="X10282" t="s">
        <v>43181</v>
      </c>
    </row>
    <row r="10283" spans="1:24">
      <c r="A10283">
        <f>HYPERLINK("https://www.philgeps.gov.ph/GEPSNONPILOT/Tender/SplashBidNoticeAbstractUI.aspx?menuIndex=3&amp;refID=6941948&amp;Result=3","6941948")</f>
        <v>0</v>
      </c>
      <c r="B10283" t="s">
        <v>2809</v>
      </c>
      <c r="C10283" t="s">
        <v>13222</v>
      </c>
      <c r="D10283" t="s">
        <v>17444</v>
      </c>
      <c r="E10283" t="s">
        <v>26312</v>
      </c>
      <c r="F10283" t="s">
        <v>30052</v>
      </c>
      <c r="G10283" t="s">
        <v>30058</v>
      </c>
      <c r="H10283" t="s">
        <v>15498</v>
      </c>
      <c r="I10283" t="s">
        <v>30076</v>
      </c>
      <c r="J10283" t="s">
        <v>36497</v>
      </c>
      <c r="K10283" t="s">
        <v>39029</v>
      </c>
      <c r="M10283" t="s">
        <v>42350</v>
      </c>
      <c r="N10283" t="s">
        <v>43166</v>
      </c>
      <c r="O10283" t="s">
        <v>43167</v>
      </c>
      <c r="P10283">
        <v>0</v>
      </c>
      <c r="Q10283">
        <v>3</v>
      </c>
      <c r="R10283" t="s">
        <v>43179</v>
      </c>
      <c r="S10283" t="s">
        <v>43583</v>
      </c>
      <c r="T10283" t="s">
        <v>44717</v>
      </c>
      <c r="U10283" t="s">
        <v>53427</v>
      </c>
      <c r="V10283" t="s">
        <v>57875</v>
      </c>
      <c r="W10283" t="s">
        <v>42350</v>
      </c>
      <c r="X10283" t="s">
        <v>43256</v>
      </c>
    </row>
    <row r="10284" spans="1:24">
      <c r="A10284">
        <f>HYPERLINK("https://www.philgeps.gov.ph/GEPSNONPILOT/Tender/SplashBidNoticeAbstractUI.aspx?menuIndex=3&amp;refID=7062757&amp;Result=3","7062757")</f>
        <v>0</v>
      </c>
      <c r="B10284" t="s">
        <v>1661</v>
      </c>
      <c r="C10284" t="s">
        <v>13223</v>
      </c>
      <c r="D10284" t="s">
        <v>17422</v>
      </c>
      <c r="E10284" t="s">
        <v>20383</v>
      </c>
      <c r="F10284" t="s">
        <v>30052</v>
      </c>
      <c r="G10284" t="s">
        <v>30058</v>
      </c>
      <c r="H10284" t="s">
        <v>30067</v>
      </c>
      <c r="I10284" t="s">
        <v>3693</v>
      </c>
      <c r="J10284" t="s">
        <v>30247</v>
      </c>
      <c r="K10284" t="s">
        <v>39157</v>
      </c>
      <c r="M10284" t="s">
        <v>41066</v>
      </c>
      <c r="N10284" t="s">
        <v>43166</v>
      </c>
      <c r="O10284" t="s">
        <v>43167</v>
      </c>
      <c r="P10284">
        <v>0</v>
      </c>
      <c r="Q10284">
        <v>0</v>
      </c>
      <c r="R10284" t="s">
        <v>43179</v>
      </c>
      <c r="S10284" t="s">
        <v>43583</v>
      </c>
      <c r="T10284" t="s">
        <v>44781</v>
      </c>
      <c r="U10284" t="s">
        <v>53428</v>
      </c>
      <c r="W10284" t="s">
        <v>41066</v>
      </c>
      <c r="X10284" t="s">
        <v>43181</v>
      </c>
    </row>
    <row r="10285" spans="1:24">
      <c r="A10285">
        <f>HYPERLINK("https://www.philgeps.gov.ph/GEPSNONPILOT/Tender/SplashBidNoticeAbstractUI.aspx?menuIndex=3&amp;refID=7062745&amp;Result=3","7062745")</f>
        <v>0</v>
      </c>
      <c r="B10285" t="s">
        <v>2914</v>
      </c>
      <c r="C10285" t="s">
        <v>13224</v>
      </c>
      <c r="D10285" t="s">
        <v>17448</v>
      </c>
      <c r="E10285" t="s">
        <v>26313</v>
      </c>
      <c r="F10285" t="s">
        <v>30052</v>
      </c>
      <c r="G10285" t="s">
        <v>30058</v>
      </c>
      <c r="H10285" t="s">
        <v>15498</v>
      </c>
      <c r="I10285" t="s">
        <v>30094</v>
      </c>
      <c r="J10285" t="s">
        <v>36498</v>
      </c>
      <c r="K10285" t="s">
        <v>39023</v>
      </c>
      <c r="M10285" t="s">
        <v>42473</v>
      </c>
      <c r="N10285" t="s">
        <v>43166</v>
      </c>
      <c r="O10285" t="s">
        <v>43167</v>
      </c>
      <c r="P10285">
        <v>0</v>
      </c>
      <c r="Q10285">
        <v>0</v>
      </c>
      <c r="R10285" t="s">
        <v>43179</v>
      </c>
      <c r="S10285" t="s">
        <v>43583</v>
      </c>
      <c r="T10285" t="s">
        <v>44730</v>
      </c>
      <c r="U10285" t="s">
        <v>53429</v>
      </c>
      <c r="W10285" t="s">
        <v>42473</v>
      </c>
      <c r="X10285" t="s">
        <v>43181</v>
      </c>
    </row>
    <row r="10286" spans="1:24">
      <c r="A10286">
        <f>HYPERLINK("https://www.philgeps.gov.ph/GEPSNONPILOT/Tender/SplashBidNoticeAbstractUI.aspx?menuIndex=3&amp;refID=7062723&amp;Result=3","7062723")</f>
        <v>0</v>
      </c>
      <c r="B10286" t="s">
        <v>2911</v>
      </c>
      <c r="C10286" t="s">
        <v>13225</v>
      </c>
      <c r="D10286" t="s">
        <v>17434</v>
      </c>
      <c r="E10286" t="s">
        <v>26314</v>
      </c>
      <c r="F10286" t="s">
        <v>30052</v>
      </c>
      <c r="G10286" t="s">
        <v>30058</v>
      </c>
      <c r="H10286" t="s">
        <v>15498</v>
      </c>
      <c r="I10286" t="s">
        <v>4650</v>
      </c>
      <c r="J10286" t="s">
        <v>36499</v>
      </c>
      <c r="K10286" t="s">
        <v>39017</v>
      </c>
      <c r="M10286" t="s">
        <v>42468</v>
      </c>
      <c r="N10286" t="s">
        <v>43166</v>
      </c>
      <c r="O10286" t="s">
        <v>43167</v>
      </c>
      <c r="P10286">
        <v>0</v>
      </c>
      <c r="Q10286">
        <v>4</v>
      </c>
      <c r="R10286" t="s">
        <v>43179</v>
      </c>
      <c r="S10286" t="s">
        <v>43583</v>
      </c>
      <c r="T10286" t="s">
        <v>45043</v>
      </c>
      <c r="U10286" t="s">
        <v>53430</v>
      </c>
      <c r="W10286" t="s">
        <v>42468</v>
      </c>
      <c r="X10286" t="s">
        <v>43181</v>
      </c>
    </row>
    <row r="10287" spans="1:24">
      <c r="A10287">
        <f>HYPERLINK("https://www.philgeps.gov.ph/GEPSNONPILOT/Tender/SplashBidNoticeAbstractUI.aspx?menuIndex=3&amp;refID=7062715&amp;Result=3","7062715")</f>
        <v>0</v>
      </c>
      <c r="B10287" t="s">
        <v>2911</v>
      </c>
      <c r="C10287" t="s">
        <v>13226</v>
      </c>
      <c r="D10287" t="s">
        <v>17434</v>
      </c>
      <c r="E10287" t="s">
        <v>26315</v>
      </c>
      <c r="F10287" t="s">
        <v>30052</v>
      </c>
      <c r="G10287" t="s">
        <v>30058</v>
      </c>
      <c r="H10287" t="s">
        <v>15498</v>
      </c>
      <c r="I10287" t="s">
        <v>30096</v>
      </c>
      <c r="J10287" t="s">
        <v>36500</v>
      </c>
      <c r="K10287" t="s">
        <v>39017</v>
      </c>
      <c r="M10287" t="s">
        <v>42468</v>
      </c>
      <c r="N10287" t="s">
        <v>43166</v>
      </c>
      <c r="O10287" t="s">
        <v>43167</v>
      </c>
      <c r="P10287">
        <v>0</v>
      </c>
      <c r="Q10287">
        <v>5</v>
      </c>
      <c r="R10287" t="s">
        <v>43179</v>
      </c>
      <c r="S10287" t="s">
        <v>43583</v>
      </c>
      <c r="T10287" t="s">
        <v>45043</v>
      </c>
      <c r="U10287" t="s">
        <v>53431</v>
      </c>
      <c r="W10287" t="s">
        <v>42468</v>
      </c>
      <c r="X10287" t="s">
        <v>43181</v>
      </c>
    </row>
    <row r="10288" spans="1:24">
      <c r="A10288">
        <f>HYPERLINK("https://www.philgeps.gov.ph/GEPSNONPILOT/Tender/SplashBidNoticeAbstractUI.aspx?menuIndex=3&amp;refID=7062843&amp;Result=3","7062843")</f>
        <v>0</v>
      </c>
      <c r="B10288" t="s">
        <v>1661</v>
      </c>
      <c r="C10288" t="s">
        <v>13227</v>
      </c>
      <c r="D10288" t="s">
        <v>17422</v>
      </c>
      <c r="E10288" t="s">
        <v>26316</v>
      </c>
      <c r="F10288" t="s">
        <v>30052</v>
      </c>
      <c r="G10288" t="s">
        <v>30058</v>
      </c>
      <c r="H10288" t="s">
        <v>30067</v>
      </c>
      <c r="I10288" t="s">
        <v>3693</v>
      </c>
      <c r="J10288" t="s">
        <v>30222</v>
      </c>
      <c r="K10288" t="s">
        <v>39038</v>
      </c>
      <c r="M10288" t="s">
        <v>41066</v>
      </c>
      <c r="N10288" t="s">
        <v>43166</v>
      </c>
      <c r="O10288" t="s">
        <v>43167</v>
      </c>
      <c r="P10288">
        <v>0</v>
      </c>
      <c r="Q10288">
        <v>0</v>
      </c>
      <c r="R10288" t="s">
        <v>43179</v>
      </c>
      <c r="S10288" t="s">
        <v>43583</v>
      </c>
      <c r="T10288" t="s">
        <v>44763</v>
      </c>
      <c r="U10288" t="s">
        <v>53432</v>
      </c>
      <c r="W10288" t="s">
        <v>41066</v>
      </c>
      <c r="X10288" t="s">
        <v>43181</v>
      </c>
    </row>
    <row r="10289" spans="1:24">
      <c r="A10289">
        <f>HYPERLINK("https://www.philgeps.gov.ph/GEPSNONPILOT/Tender/SplashBidNoticeAbstractUI.aspx?menuIndex=3&amp;refID=7062790&amp;Result=3","7062790")</f>
        <v>0</v>
      </c>
      <c r="B10289" t="s">
        <v>1661</v>
      </c>
      <c r="C10289" t="s">
        <v>13228</v>
      </c>
      <c r="D10289" t="s">
        <v>17422</v>
      </c>
      <c r="E10289" t="s">
        <v>26317</v>
      </c>
      <c r="F10289" t="s">
        <v>30052</v>
      </c>
      <c r="G10289" t="s">
        <v>30058</v>
      </c>
      <c r="H10289" t="s">
        <v>30067</v>
      </c>
      <c r="I10289" t="s">
        <v>3693</v>
      </c>
      <c r="J10289" t="s">
        <v>30588</v>
      </c>
      <c r="K10289" t="s">
        <v>39073</v>
      </c>
      <c r="M10289" t="s">
        <v>41066</v>
      </c>
      <c r="N10289" t="s">
        <v>43166</v>
      </c>
      <c r="O10289" t="s">
        <v>43167</v>
      </c>
      <c r="P10289">
        <v>0</v>
      </c>
      <c r="Q10289">
        <v>0</v>
      </c>
      <c r="R10289" t="s">
        <v>43179</v>
      </c>
      <c r="S10289" t="s">
        <v>43583</v>
      </c>
      <c r="T10289" t="s">
        <v>44763</v>
      </c>
      <c r="U10289" t="s">
        <v>53433</v>
      </c>
      <c r="W10289" t="s">
        <v>41066</v>
      </c>
      <c r="X10289" t="s">
        <v>43181</v>
      </c>
    </row>
    <row r="10290" spans="1:24">
      <c r="A10290">
        <f>HYPERLINK("https://www.philgeps.gov.ph/GEPSNONPILOT/Tender/SplashBidNoticeAbstractUI.aspx?menuIndex=3&amp;refID=7062709&amp;Result=3","7062709")</f>
        <v>0</v>
      </c>
      <c r="B10290" t="s">
        <v>2911</v>
      </c>
      <c r="C10290" t="s">
        <v>13229</v>
      </c>
      <c r="D10290" t="s">
        <v>17434</v>
      </c>
      <c r="E10290" t="s">
        <v>26318</v>
      </c>
      <c r="F10290" t="s">
        <v>30052</v>
      </c>
      <c r="G10290" t="s">
        <v>30058</v>
      </c>
      <c r="H10290" t="s">
        <v>15498</v>
      </c>
      <c r="I10290" t="s">
        <v>4598</v>
      </c>
      <c r="J10290" t="s">
        <v>36501</v>
      </c>
      <c r="K10290" t="s">
        <v>39017</v>
      </c>
      <c r="M10290" t="s">
        <v>42468</v>
      </c>
      <c r="N10290" t="s">
        <v>43166</v>
      </c>
      <c r="O10290" t="s">
        <v>43167</v>
      </c>
      <c r="P10290">
        <v>0</v>
      </c>
      <c r="Q10290">
        <v>9</v>
      </c>
      <c r="R10290" t="s">
        <v>43179</v>
      </c>
      <c r="S10290" t="s">
        <v>43583</v>
      </c>
      <c r="T10290" t="s">
        <v>45043</v>
      </c>
      <c r="U10290" t="s">
        <v>53434</v>
      </c>
      <c r="W10290" t="s">
        <v>42468</v>
      </c>
      <c r="X10290" t="s">
        <v>43181</v>
      </c>
    </row>
    <row r="10291" spans="1:24">
      <c r="A10291">
        <f>HYPERLINK("https://www.philgeps.gov.ph/GEPSNONPILOT/Tender/SplashBidNoticeAbstractUI.aspx?menuIndex=3&amp;refID=7062704&amp;Result=3","7062704")</f>
        <v>0</v>
      </c>
      <c r="B10291" t="s">
        <v>2911</v>
      </c>
      <c r="C10291" t="s">
        <v>13230</v>
      </c>
      <c r="D10291" t="s">
        <v>17434</v>
      </c>
      <c r="E10291" t="s">
        <v>26319</v>
      </c>
      <c r="F10291" t="s">
        <v>30052</v>
      </c>
      <c r="G10291" t="s">
        <v>30058</v>
      </c>
      <c r="H10291" t="s">
        <v>15498</v>
      </c>
      <c r="I10291" t="s">
        <v>30128</v>
      </c>
      <c r="J10291" t="s">
        <v>36502</v>
      </c>
      <c r="K10291" t="s">
        <v>39017</v>
      </c>
      <c r="M10291" t="s">
        <v>42468</v>
      </c>
      <c r="N10291" t="s">
        <v>43166</v>
      </c>
      <c r="O10291" t="s">
        <v>43167</v>
      </c>
      <c r="P10291">
        <v>0</v>
      </c>
      <c r="Q10291">
        <v>8</v>
      </c>
      <c r="R10291" t="s">
        <v>43179</v>
      </c>
      <c r="S10291" t="s">
        <v>43583</v>
      </c>
      <c r="T10291" t="s">
        <v>45043</v>
      </c>
      <c r="U10291" t="s">
        <v>53435</v>
      </c>
      <c r="W10291" t="s">
        <v>42468</v>
      </c>
      <c r="X10291" t="s">
        <v>43181</v>
      </c>
    </row>
    <row r="10292" spans="1:24">
      <c r="A10292">
        <f>HYPERLINK("https://www.philgeps.gov.ph/GEPSNONPILOT/Tender/SplashBidNoticeAbstractUI.aspx?menuIndex=3&amp;refID=7063728&amp;Result=3","7063728")</f>
        <v>0</v>
      </c>
      <c r="B10292" t="s">
        <v>1474</v>
      </c>
      <c r="C10292" t="s">
        <v>13231</v>
      </c>
      <c r="D10292" t="s">
        <v>17471</v>
      </c>
      <c r="E10292" t="s">
        <v>26320</v>
      </c>
      <c r="F10292" t="s">
        <v>30052</v>
      </c>
      <c r="G10292" t="s">
        <v>30058</v>
      </c>
      <c r="H10292" t="s">
        <v>15498</v>
      </c>
      <c r="I10292" t="s">
        <v>3736</v>
      </c>
      <c r="J10292" t="s">
        <v>36503</v>
      </c>
      <c r="K10292" t="s">
        <v>39025</v>
      </c>
      <c r="M10292" t="s">
        <v>42474</v>
      </c>
      <c r="N10292" t="s">
        <v>43166</v>
      </c>
      <c r="O10292" t="s">
        <v>43167</v>
      </c>
      <c r="P10292">
        <v>0</v>
      </c>
      <c r="Q10292">
        <v>0</v>
      </c>
      <c r="R10292" t="s">
        <v>43179</v>
      </c>
      <c r="S10292" t="s">
        <v>43583</v>
      </c>
      <c r="T10292" t="s">
        <v>44771</v>
      </c>
      <c r="U10292" t="s">
        <v>53436</v>
      </c>
      <c r="V10292" t="s">
        <v>57977</v>
      </c>
      <c r="W10292" t="s">
        <v>42474</v>
      </c>
      <c r="X10292" t="s">
        <v>43181</v>
      </c>
    </row>
    <row r="10293" spans="1:24">
      <c r="A10293">
        <f>HYPERLINK("https://www.philgeps.gov.ph/GEPSNONPILOT/Tender/SplashBidNoticeAbstractUI.aspx?menuIndex=3&amp;refID=7063970&amp;Result=3","7063970")</f>
        <v>0</v>
      </c>
      <c r="B10293" t="s">
        <v>2864</v>
      </c>
      <c r="C10293" t="s">
        <v>13232</v>
      </c>
      <c r="D10293" t="s">
        <v>17475</v>
      </c>
      <c r="E10293" t="s">
        <v>26321</v>
      </c>
      <c r="F10293" t="s">
        <v>30052</v>
      </c>
      <c r="G10293" t="s">
        <v>30058</v>
      </c>
      <c r="H10293" t="s">
        <v>30067</v>
      </c>
      <c r="I10293" t="s">
        <v>3693</v>
      </c>
      <c r="J10293" t="s">
        <v>36504</v>
      </c>
      <c r="K10293" t="s">
        <v>39025</v>
      </c>
      <c r="M10293" t="s">
        <v>42475</v>
      </c>
      <c r="N10293" t="s">
        <v>43166</v>
      </c>
      <c r="O10293" t="s">
        <v>43167</v>
      </c>
      <c r="P10293">
        <v>0</v>
      </c>
      <c r="Q10293">
        <v>0</v>
      </c>
      <c r="R10293" t="s">
        <v>43179</v>
      </c>
      <c r="S10293" t="s">
        <v>43583</v>
      </c>
      <c r="T10293" t="s">
        <v>44753</v>
      </c>
      <c r="U10293" t="s">
        <v>53437</v>
      </c>
      <c r="W10293" t="s">
        <v>42475</v>
      </c>
      <c r="X10293" t="s">
        <v>43181</v>
      </c>
    </row>
    <row r="10294" spans="1:24">
      <c r="A10294">
        <f>HYPERLINK("https://www.philgeps.gov.ph/GEPSNONPILOT/Tender/SplashBidNoticeAbstractUI.aspx?menuIndex=3&amp;refID=7062330&amp;Result=3","7062330")</f>
        <v>0</v>
      </c>
      <c r="B10294" t="s">
        <v>306</v>
      </c>
      <c r="C10294" t="s">
        <v>13233</v>
      </c>
      <c r="D10294" t="s">
        <v>17415</v>
      </c>
      <c r="E10294" t="s">
        <v>26322</v>
      </c>
      <c r="F10294" t="s">
        <v>30052</v>
      </c>
      <c r="G10294" t="s">
        <v>30058</v>
      </c>
      <c r="H10294" t="s">
        <v>30067</v>
      </c>
      <c r="I10294" t="s">
        <v>3693</v>
      </c>
      <c r="J10294" t="s">
        <v>36505</v>
      </c>
      <c r="K10294" t="s">
        <v>39022</v>
      </c>
      <c r="M10294" t="s">
        <v>42470</v>
      </c>
      <c r="N10294" t="s">
        <v>43166</v>
      </c>
      <c r="O10294" t="s">
        <v>43167</v>
      </c>
      <c r="Q10294">
        <v>48</v>
      </c>
      <c r="R10294" t="s">
        <v>43179</v>
      </c>
      <c r="S10294" t="s">
        <v>43422</v>
      </c>
      <c r="T10294" t="s">
        <v>44997</v>
      </c>
      <c r="U10294" t="s">
        <v>53438</v>
      </c>
      <c r="W10294" t="s">
        <v>42470</v>
      </c>
      <c r="X10294" t="s">
        <v>43181</v>
      </c>
    </row>
    <row r="10295" spans="1:24">
      <c r="A10295">
        <f>HYPERLINK("https://www.philgeps.gov.ph/GEPSNONPILOT/Tender/SplashBidNoticeAbstractUI.aspx?menuIndex=3&amp;refID=7062706&amp;Result=3","7062706")</f>
        <v>0</v>
      </c>
      <c r="B10295" t="s">
        <v>1661</v>
      </c>
      <c r="C10295" t="s">
        <v>13234</v>
      </c>
      <c r="D10295" t="s">
        <v>17422</v>
      </c>
      <c r="E10295" t="s">
        <v>22344</v>
      </c>
      <c r="F10295" t="s">
        <v>30052</v>
      </c>
      <c r="G10295" t="s">
        <v>30058</v>
      </c>
      <c r="H10295" t="s">
        <v>30067</v>
      </c>
      <c r="I10295" t="s">
        <v>3693</v>
      </c>
      <c r="J10295" t="s">
        <v>30542</v>
      </c>
      <c r="K10295" t="s">
        <v>39031</v>
      </c>
      <c r="M10295" t="s">
        <v>41066</v>
      </c>
      <c r="N10295" t="s">
        <v>43166</v>
      </c>
      <c r="O10295" t="s">
        <v>43167</v>
      </c>
      <c r="P10295">
        <v>0</v>
      </c>
      <c r="Q10295">
        <v>0</v>
      </c>
      <c r="R10295" t="s">
        <v>43179</v>
      </c>
      <c r="S10295" t="s">
        <v>43583</v>
      </c>
      <c r="T10295" t="s">
        <v>44763</v>
      </c>
      <c r="U10295" t="s">
        <v>53439</v>
      </c>
      <c r="W10295" t="s">
        <v>41066</v>
      </c>
      <c r="X10295" t="s">
        <v>43181</v>
      </c>
    </row>
    <row r="10296" spans="1:24">
      <c r="A10296">
        <f>HYPERLINK("https://www.philgeps.gov.ph/GEPSNONPILOT/Tender/SplashBidNoticeAbstractUI.aspx?menuIndex=3&amp;refID=7063860&amp;Result=3","7063860")</f>
        <v>0</v>
      </c>
      <c r="B10296" t="s">
        <v>1474</v>
      </c>
      <c r="C10296" t="s">
        <v>13235</v>
      </c>
      <c r="D10296" t="s">
        <v>17471</v>
      </c>
      <c r="E10296" t="s">
        <v>26323</v>
      </c>
      <c r="F10296" t="s">
        <v>30052</v>
      </c>
      <c r="G10296" t="s">
        <v>30058</v>
      </c>
      <c r="H10296" t="s">
        <v>15498</v>
      </c>
      <c r="I10296" t="s">
        <v>3852</v>
      </c>
      <c r="J10296" t="s">
        <v>33337</v>
      </c>
      <c r="K10296" t="s">
        <v>39025</v>
      </c>
      <c r="M10296" t="s">
        <v>42474</v>
      </c>
      <c r="N10296" t="s">
        <v>43166</v>
      </c>
      <c r="O10296" t="s">
        <v>43167</v>
      </c>
      <c r="P10296">
        <v>0</v>
      </c>
      <c r="Q10296">
        <v>0</v>
      </c>
      <c r="R10296" t="s">
        <v>43179</v>
      </c>
      <c r="S10296" t="s">
        <v>43583</v>
      </c>
      <c r="T10296" t="s">
        <v>44771</v>
      </c>
      <c r="U10296" t="s">
        <v>53440</v>
      </c>
      <c r="V10296" t="s">
        <v>57978</v>
      </c>
      <c r="W10296" t="s">
        <v>42474</v>
      </c>
      <c r="X10296" t="s">
        <v>43181</v>
      </c>
    </row>
    <row r="10297" spans="1:24">
      <c r="A10297">
        <f>HYPERLINK("https://www.philgeps.gov.ph/GEPSNONPILOT/Tender/SplashBidNoticeAbstractUI.aspx?menuIndex=3&amp;refID=7063852&amp;Result=3","7063852")</f>
        <v>0</v>
      </c>
      <c r="B10297" t="s">
        <v>2852</v>
      </c>
      <c r="C10297" t="s">
        <v>13236</v>
      </c>
      <c r="D10297" t="s">
        <v>17459</v>
      </c>
      <c r="E10297" t="s">
        <v>26324</v>
      </c>
      <c r="F10297" t="s">
        <v>30052</v>
      </c>
      <c r="G10297" t="s">
        <v>30058</v>
      </c>
      <c r="H10297" t="s">
        <v>30067</v>
      </c>
      <c r="I10297" t="s">
        <v>3693</v>
      </c>
      <c r="J10297" t="s">
        <v>36506</v>
      </c>
      <c r="K10297" t="s">
        <v>39054</v>
      </c>
      <c r="M10297" t="s">
        <v>42398</v>
      </c>
      <c r="N10297" t="s">
        <v>43166</v>
      </c>
      <c r="O10297" t="s">
        <v>43167</v>
      </c>
      <c r="P10297">
        <v>0</v>
      </c>
      <c r="Q10297">
        <v>1</v>
      </c>
      <c r="R10297" t="s">
        <v>43179</v>
      </c>
      <c r="S10297" t="s">
        <v>43583</v>
      </c>
      <c r="T10297" t="s">
        <v>44689</v>
      </c>
      <c r="U10297" t="s">
        <v>53441</v>
      </c>
      <c r="W10297" t="s">
        <v>42398</v>
      </c>
      <c r="X10297" t="s">
        <v>43181</v>
      </c>
    </row>
    <row r="10298" spans="1:24">
      <c r="A10298">
        <f>HYPERLINK("https://www.philgeps.gov.ph/GEPSNONPILOT/Tender/SplashBidNoticeAbstractUI.aspx?menuIndex=3&amp;refID=7063955&amp;Result=3","7063955")</f>
        <v>0</v>
      </c>
      <c r="B10298" t="s">
        <v>2864</v>
      </c>
      <c r="C10298" t="s">
        <v>13237</v>
      </c>
      <c r="D10298" t="s">
        <v>17475</v>
      </c>
      <c r="E10298" t="s">
        <v>26325</v>
      </c>
      <c r="F10298" t="s">
        <v>30052</v>
      </c>
      <c r="G10298" t="s">
        <v>30058</v>
      </c>
      <c r="H10298" t="s">
        <v>30067</v>
      </c>
      <c r="I10298" t="s">
        <v>3693</v>
      </c>
      <c r="J10298" t="s">
        <v>36507</v>
      </c>
      <c r="K10298" t="s">
        <v>39025</v>
      </c>
      <c r="M10298" t="s">
        <v>42475</v>
      </c>
      <c r="N10298" t="s">
        <v>43166</v>
      </c>
      <c r="O10298" t="s">
        <v>43167</v>
      </c>
      <c r="P10298">
        <v>0</v>
      </c>
      <c r="Q10298">
        <v>0</v>
      </c>
      <c r="R10298" t="s">
        <v>43179</v>
      </c>
      <c r="S10298" t="s">
        <v>43583</v>
      </c>
      <c r="T10298" t="s">
        <v>44753</v>
      </c>
      <c r="U10298" t="s">
        <v>53437</v>
      </c>
      <c r="W10298" t="s">
        <v>42475</v>
      </c>
      <c r="X10298" t="s">
        <v>43181</v>
      </c>
    </row>
    <row r="10299" spans="1:24">
      <c r="A10299">
        <f>HYPERLINK("https://www.philgeps.gov.ph/GEPSNONPILOT/Tender/SplashBidNoticeAbstractUI.aspx?menuIndex=3&amp;refID=7063614&amp;Result=3","7063614")</f>
        <v>0</v>
      </c>
      <c r="B10299" t="s">
        <v>1474</v>
      </c>
      <c r="C10299" t="s">
        <v>13238</v>
      </c>
      <c r="D10299" t="s">
        <v>17471</v>
      </c>
      <c r="E10299" t="s">
        <v>26326</v>
      </c>
      <c r="F10299" t="s">
        <v>30052</v>
      </c>
      <c r="G10299" t="s">
        <v>30058</v>
      </c>
      <c r="H10299" t="s">
        <v>15498</v>
      </c>
      <c r="I10299" t="s">
        <v>3736</v>
      </c>
      <c r="J10299" t="s">
        <v>36503</v>
      </c>
      <c r="K10299" t="s">
        <v>39025</v>
      </c>
      <c r="M10299" t="s">
        <v>42474</v>
      </c>
      <c r="N10299" t="s">
        <v>43166</v>
      </c>
      <c r="O10299" t="s">
        <v>43167</v>
      </c>
      <c r="P10299">
        <v>0</v>
      </c>
      <c r="Q10299">
        <v>0</v>
      </c>
      <c r="R10299" t="s">
        <v>43179</v>
      </c>
      <c r="S10299" t="s">
        <v>43583</v>
      </c>
      <c r="T10299" t="s">
        <v>44771</v>
      </c>
      <c r="U10299" t="s">
        <v>53442</v>
      </c>
      <c r="V10299" t="s">
        <v>57979</v>
      </c>
      <c r="W10299" t="s">
        <v>42474</v>
      </c>
      <c r="X10299" t="s">
        <v>43181</v>
      </c>
    </row>
    <row r="10300" spans="1:24">
      <c r="A10300">
        <f>HYPERLINK("https://www.philgeps.gov.ph/GEPSNONPILOT/Tender/SplashBidNoticeAbstractUI.aspx?menuIndex=3&amp;refID=7062729&amp;Result=3","7062729")</f>
        <v>0</v>
      </c>
      <c r="B10300" t="s">
        <v>1661</v>
      </c>
      <c r="C10300" t="s">
        <v>13239</v>
      </c>
      <c r="D10300" t="s">
        <v>17422</v>
      </c>
      <c r="E10300" t="s">
        <v>26327</v>
      </c>
      <c r="F10300" t="s">
        <v>30052</v>
      </c>
      <c r="G10300" t="s">
        <v>30058</v>
      </c>
      <c r="H10300" t="s">
        <v>30067</v>
      </c>
      <c r="I10300" t="s">
        <v>3693</v>
      </c>
      <c r="J10300" t="s">
        <v>33069</v>
      </c>
      <c r="K10300" t="s">
        <v>39062</v>
      </c>
      <c r="M10300" t="s">
        <v>41066</v>
      </c>
      <c r="N10300" t="s">
        <v>43166</v>
      </c>
      <c r="O10300" t="s">
        <v>43167</v>
      </c>
      <c r="P10300">
        <v>0</v>
      </c>
      <c r="Q10300">
        <v>0</v>
      </c>
      <c r="R10300" t="s">
        <v>43179</v>
      </c>
      <c r="S10300" t="s">
        <v>43583</v>
      </c>
      <c r="T10300" t="s">
        <v>44763</v>
      </c>
      <c r="U10300" t="s">
        <v>53443</v>
      </c>
      <c r="W10300" t="s">
        <v>41066</v>
      </c>
      <c r="X10300" t="s">
        <v>43181</v>
      </c>
    </row>
    <row r="10301" spans="1:24">
      <c r="A10301">
        <f>HYPERLINK("https://www.philgeps.gov.ph/GEPSNONPILOT/Tender/SplashBidNoticeAbstractUI.aspx?menuIndex=3&amp;refID=7063603&amp;Result=3","7063603")</f>
        <v>0</v>
      </c>
      <c r="B10301" t="s">
        <v>2452</v>
      </c>
      <c r="C10301" t="s">
        <v>13240</v>
      </c>
      <c r="D10301" t="s">
        <v>17459</v>
      </c>
      <c r="E10301" t="s">
        <v>26328</v>
      </c>
      <c r="F10301" t="s">
        <v>30052</v>
      </c>
      <c r="G10301" t="s">
        <v>30058</v>
      </c>
      <c r="H10301" t="s">
        <v>15498</v>
      </c>
      <c r="I10301" t="s">
        <v>3736</v>
      </c>
      <c r="J10301" t="s">
        <v>36508</v>
      </c>
      <c r="K10301" t="s">
        <v>39019</v>
      </c>
      <c r="M10301" t="s">
        <v>42377</v>
      </c>
      <c r="N10301" t="s">
        <v>43166</v>
      </c>
      <c r="O10301" t="s">
        <v>43167</v>
      </c>
      <c r="P10301">
        <v>0</v>
      </c>
      <c r="Q10301">
        <v>2</v>
      </c>
      <c r="R10301" t="s">
        <v>43179</v>
      </c>
      <c r="S10301" t="s">
        <v>43583</v>
      </c>
      <c r="T10301" t="s">
        <v>45012</v>
      </c>
      <c r="U10301" t="s">
        <v>52986</v>
      </c>
      <c r="W10301" t="s">
        <v>42377</v>
      </c>
      <c r="X10301" t="s">
        <v>43181</v>
      </c>
    </row>
    <row r="10302" spans="1:24">
      <c r="A10302">
        <f>HYPERLINK("https://www.philgeps.gov.ph/GEPSNONPILOT/Tender/SplashBidNoticeAbstractUI.aspx?menuIndex=3&amp;refID=7063401&amp;Result=3","7063401")</f>
        <v>0</v>
      </c>
      <c r="B10302" t="s">
        <v>1448</v>
      </c>
      <c r="C10302" t="s">
        <v>13241</v>
      </c>
      <c r="D10302" t="s">
        <v>17434</v>
      </c>
      <c r="E10302" t="s">
        <v>26329</v>
      </c>
      <c r="F10302" t="s">
        <v>30052</v>
      </c>
      <c r="G10302" t="s">
        <v>30058</v>
      </c>
      <c r="H10302" t="s">
        <v>30067</v>
      </c>
      <c r="I10302" t="s">
        <v>3693</v>
      </c>
      <c r="J10302" t="s">
        <v>36509</v>
      </c>
      <c r="K10302" t="s">
        <v>39238</v>
      </c>
      <c r="M10302" t="s">
        <v>40827</v>
      </c>
      <c r="N10302" t="s">
        <v>43166</v>
      </c>
      <c r="O10302" t="s">
        <v>43167</v>
      </c>
      <c r="P10302">
        <v>0</v>
      </c>
      <c r="Q10302">
        <v>1</v>
      </c>
      <c r="R10302" t="s">
        <v>43179</v>
      </c>
      <c r="S10302" t="s">
        <v>43583</v>
      </c>
      <c r="T10302" t="s">
        <v>44780</v>
      </c>
      <c r="U10302" t="s">
        <v>53444</v>
      </c>
      <c r="W10302" t="s">
        <v>40827</v>
      </c>
      <c r="X10302" t="s">
        <v>43181</v>
      </c>
    </row>
    <row r="10303" spans="1:24">
      <c r="A10303">
        <f>HYPERLINK("https://www.philgeps.gov.ph/GEPSNONPILOT/Tender/SplashBidNoticeAbstractUI.aspx?menuIndex=3&amp;refID=7063784&amp;Result=3","7063784")</f>
        <v>0</v>
      </c>
      <c r="B10303" t="s">
        <v>1474</v>
      </c>
      <c r="C10303" t="s">
        <v>13242</v>
      </c>
      <c r="D10303" t="s">
        <v>17471</v>
      </c>
      <c r="E10303" t="s">
        <v>26330</v>
      </c>
      <c r="F10303" t="s">
        <v>30052</v>
      </c>
      <c r="G10303" t="s">
        <v>30058</v>
      </c>
      <c r="H10303" t="s">
        <v>15498</v>
      </c>
      <c r="I10303" t="s">
        <v>4642</v>
      </c>
      <c r="J10303" t="s">
        <v>30605</v>
      </c>
      <c r="K10303" t="s">
        <v>39025</v>
      </c>
      <c r="M10303" t="s">
        <v>42474</v>
      </c>
      <c r="N10303" t="s">
        <v>43166</v>
      </c>
      <c r="O10303" t="s">
        <v>43167</v>
      </c>
      <c r="P10303">
        <v>0</v>
      </c>
      <c r="Q10303">
        <v>1</v>
      </c>
      <c r="R10303" t="s">
        <v>43179</v>
      </c>
      <c r="S10303" t="s">
        <v>43583</v>
      </c>
      <c r="T10303" t="s">
        <v>44771</v>
      </c>
      <c r="U10303" t="s">
        <v>53445</v>
      </c>
      <c r="V10303" t="s">
        <v>57980</v>
      </c>
      <c r="W10303" t="s">
        <v>42474</v>
      </c>
      <c r="X10303" t="s">
        <v>43181</v>
      </c>
    </row>
    <row r="10304" spans="1:24">
      <c r="A10304">
        <f>HYPERLINK("https://www.philgeps.gov.ph/GEPSNONPILOT/Tender/SplashBidNoticeAbstractUI.aspx?menuIndex=3&amp;refID=7063484&amp;Result=3","7063484")</f>
        <v>0</v>
      </c>
      <c r="B10304" t="s">
        <v>1646</v>
      </c>
      <c r="C10304" t="s">
        <v>13243</v>
      </c>
      <c r="E10304" t="s">
        <v>26331</v>
      </c>
      <c r="F10304" t="s">
        <v>30052</v>
      </c>
      <c r="G10304" t="s">
        <v>30058</v>
      </c>
      <c r="H10304" t="s">
        <v>15498</v>
      </c>
      <c r="I10304" t="s">
        <v>9238</v>
      </c>
      <c r="J10304" t="s">
        <v>33859</v>
      </c>
      <c r="K10304" t="s">
        <v>39025</v>
      </c>
      <c r="M10304" t="s">
        <v>41107</v>
      </c>
      <c r="N10304" t="s">
        <v>43166</v>
      </c>
      <c r="O10304" t="s">
        <v>43167</v>
      </c>
      <c r="P10304">
        <v>0</v>
      </c>
      <c r="Q10304">
        <v>19</v>
      </c>
      <c r="R10304" t="s">
        <v>43179</v>
      </c>
      <c r="S10304" t="s">
        <v>43583</v>
      </c>
      <c r="T10304" t="s">
        <v>44968</v>
      </c>
      <c r="U10304" t="s">
        <v>49135</v>
      </c>
      <c r="W10304" t="s">
        <v>41107</v>
      </c>
      <c r="X10304" t="s">
        <v>43181</v>
      </c>
    </row>
    <row r="10305" spans="1:24">
      <c r="A10305">
        <f>HYPERLINK("https://www.philgeps.gov.ph/GEPSNONPILOT/Tender/SplashBidNoticeAbstractUI.aspx?menuIndex=3&amp;refID=7063383&amp;Result=3","7063383")</f>
        <v>0</v>
      </c>
      <c r="B10305" t="s">
        <v>1448</v>
      </c>
      <c r="C10305" t="s">
        <v>13244</v>
      </c>
      <c r="D10305" t="s">
        <v>17434</v>
      </c>
      <c r="E10305" t="s">
        <v>26332</v>
      </c>
      <c r="F10305" t="s">
        <v>30052</v>
      </c>
      <c r="G10305" t="s">
        <v>30058</v>
      </c>
      <c r="H10305" t="s">
        <v>30067</v>
      </c>
      <c r="I10305" t="s">
        <v>3693</v>
      </c>
      <c r="J10305" t="s">
        <v>34507</v>
      </c>
      <c r="K10305" t="s">
        <v>39160</v>
      </c>
      <c r="M10305" t="s">
        <v>40827</v>
      </c>
      <c r="N10305" t="s">
        <v>43166</v>
      </c>
      <c r="O10305" t="s">
        <v>43167</v>
      </c>
      <c r="P10305">
        <v>0</v>
      </c>
      <c r="Q10305">
        <v>0</v>
      </c>
      <c r="R10305" t="s">
        <v>43179</v>
      </c>
      <c r="S10305" t="s">
        <v>43583</v>
      </c>
      <c r="T10305" t="s">
        <v>44780</v>
      </c>
      <c r="U10305" t="s">
        <v>53446</v>
      </c>
      <c r="W10305" t="s">
        <v>40827</v>
      </c>
      <c r="X10305" t="s">
        <v>43181</v>
      </c>
    </row>
    <row r="10306" spans="1:24">
      <c r="A10306">
        <f>HYPERLINK("https://www.philgeps.gov.ph/GEPSNONPILOT/Tender/SplashBidNoticeAbstractUI.aspx?menuIndex=3&amp;refID=7063311&amp;Result=3","7063311")</f>
        <v>0</v>
      </c>
      <c r="B10306" t="s">
        <v>1448</v>
      </c>
      <c r="C10306" t="s">
        <v>13245</v>
      </c>
      <c r="D10306" t="s">
        <v>17434</v>
      </c>
      <c r="E10306" t="s">
        <v>26333</v>
      </c>
      <c r="F10306" t="s">
        <v>30052</v>
      </c>
      <c r="G10306" t="s">
        <v>30058</v>
      </c>
      <c r="H10306" t="s">
        <v>30067</v>
      </c>
      <c r="I10306" t="s">
        <v>3693</v>
      </c>
      <c r="J10306" t="s">
        <v>30222</v>
      </c>
      <c r="K10306" t="s">
        <v>39074</v>
      </c>
      <c r="M10306" t="s">
        <v>40827</v>
      </c>
      <c r="N10306" t="s">
        <v>43166</v>
      </c>
      <c r="O10306" t="s">
        <v>43167</v>
      </c>
      <c r="P10306">
        <v>0</v>
      </c>
      <c r="Q10306">
        <v>1</v>
      </c>
      <c r="R10306" t="s">
        <v>43179</v>
      </c>
      <c r="S10306" t="s">
        <v>43583</v>
      </c>
      <c r="T10306" t="s">
        <v>44780</v>
      </c>
      <c r="U10306" t="s">
        <v>53447</v>
      </c>
      <c r="W10306" t="s">
        <v>40827</v>
      </c>
      <c r="X10306" t="s">
        <v>43181</v>
      </c>
    </row>
    <row r="10307" spans="1:24">
      <c r="A10307">
        <f>HYPERLINK("https://www.philgeps.gov.ph/GEPSNONPILOT/Tender/SplashBidNoticeAbstractUI.aspx?menuIndex=3&amp;refID=7063304&amp;Result=3","7063304")</f>
        <v>0</v>
      </c>
      <c r="B10307" t="s">
        <v>1272</v>
      </c>
      <c r="C10307" t="s">
        <v>13246</v>
      </c>
      <c r="E10307" t="s">
        <v>26334</v>
      </c>
      <c r="F10307" t="s">
        <v>30052</v>
      </c>
      <c r="G10307" t="s">
        <v>30058</v>
      </c>
      <c r="H10307" t="s">
        <v>15498</v>
      </c>
      <c r="I10307" t="s">
        <v>30100</v>
      </c>
      <c r="J10307" t="s">
        <v>36510</v>
      </c>
      <c r="K10307" t="s">
        <v>39025</v>
      </c>
      <c r="M10307" t="s">
        <v>42476</v>
      </c>
      <c r="N10307" t="s">
        <v>43166</v>
      </c>
      <c r="O10307" t="s">
        <v>43167</v>
      </c>
      <c r="P10307">
        <v>0</v>
      </c>
      <c r="Q10307">
        <v>5</v>
      </c>
      <c r="R10307" t="s">
        <v>43179</v>
      </c>
      <c r="S10307" t="s">
        <v>43583</v>
      </c>
      <c r="T10307" t="s">
        <v>44763</v>
      </c>
      <c r="U10307" t="s">
        <v>53448</v>
      </c>
      <c r="W10307" t="s">
        <v>42476</v>
      </c>
      <c r="X10307" t="s">
        <v>43181</v>
      </c>
    </row>
    <row r="10308" spans="1:24">
      <c r="A10308">
        <f>HYPERLINK("https://www.philgeps.gov.ph/GEPSNONPILOT/Tender/SplashBidNoticeAbstractUI.aspx?menuIndex=3&amp;refID=7063290&amp;Result=3","7063290")</f>
        <v>0</v>
      </c>
      <c r="B10308" t="s">
        <v>1448</v>
      </c>
      <c r="C10308" t="s">
        <v>13247</v>
      </c>
      <c r="D10308" t="s">
        <v>17434</v>
      </c>
      <c r="E10308" t="s">
        <v>26335</v>
      </c>
      <c r="F10308" t="s">
        <v>30052</v>
      </c>
      <c r="G10308" t="s">
        <v>30058</v>
      </c>
      <c r="H10308" t="s">
        <v>30067</v>
      </c>
      <c r="I10308" t="s">
        <v>3693</v>
      </c>
      <c r="J10308" t="s">
        <v>30222</v>
      </c>
      <c r="K10308" t="s">
        <v>39041</v>
      </c>
      <c r="M10308" t="s">
        <v>40827</v>
      </c>
      <c r="N10308" t="s">
        <v>43166</v>
      </c>
      <c r="O10308" t="s">
        <v>43167</v>
      </c>
      <c r="P10308">
        <v>0</v>
      </c>
      <c r="Q10308">
        <v>1</v>
      </c>
      <c r="R10308" t="s">
        <v>43179</v>
      </c>
      <c r="S10308" t="s">
        <v>43583</v>
      </c>
      <c r="T10308" t="s">
        <v>44780</v>
      </c>
      <c r="U10308" t="s">
        <v>53449</v>
      </c>
      <c r="W10308" t="s">
        <v>40827</v>
      </c>
      <c r="X10308" t="s">
        <v>43181</v>
      </c>
    </row>
    <row r="10309" spans="1:24">
      <c r="A10309">
        <f>HYPERLINK("https://www.philgeps.gov.ph/GEPSNONPILOT/Tender/SplashBidNoticeAbstractUI.aspx?menuIndex=3&amp;refID=6942081&amp;Result=3","6942081")</f>
        <v>0</v>
      </c>
      <c r="B10309" t="s">
        <v>2809</v>
      </c>
      <c r="C10309" t="s">
        <v>13248</v>
      </c>
      <c r="D10309" t="s">
        <v>17444</v>
      </c>
      <c r="E10309" t="s">
        <v>26336</v>
      </c>
      <c r="F10309" t="s">
        <v>30052</v>
      </c>
      <c r="G10309" t="s">
        <v>30058</v>
      </c>
      <c r="H10309" t="s">
        <v>15498</v>
      </c>
      <c r="I10309" t="s">
        <v>30070</v>
      </c>
      <c r="J10309" t="s">
        <v>35087</v>
      </c>
      <c r="K10309" t="s">
        <v>39029</v>
      </c>
      <c r="M10309" t="s">
        <v>42350</v>
      </c>
      <c r="N10309" t="s">
        <v>43166</v>
      </c>
      <c r="O10309" t="s">
        <v>43167</v>
      </c>
      <c r="P10309">
        <v>0</v>
      </c>
      <c r="Q10309">
        <v>2</v>
      </c>
      <c r="R10309" t="s">
        <v>43179</v>
      </c>
      <c r="S10309" t="s">
        <v>43583</v>
      </c>
      <c r="T10309" t="s">
        <v>44717</v>
      </c>
      <c r="U10309" t="s">
        <v>53450</v>
      </c>
      <c r="V10309" t="s">
        <v>57875</v>
      </c>
      <c r="W10309" t="s">
        <v>42350</v>
      </c>
      <c r="X10309" t="s">
        <v>43256</v>
      </c>
    </row>
    <row r="10310" spans="1:24">
      <c r="A10310">
        <f>HYPERLINK("https://www.philgeps.gov.ph/GEPSNONPILOT/Tender/SplashBidNoticeAbstractUI.aspx?menuIndex=3&amp;refID=7063235&amp;Result=3","7063235")</f>
        <v>0</v>
      </c>
      <c r="B10310" t="s">
        <v>1448</v>
      </c>
      <c r="C10310" t="s">
        <v>13249</v>
      </c>
      <c r="D10310" t="s">
        <v>17434</v>
      </c>
      <c r="E10310" t="s">
        <v>26337</v>
      </c>
      <c r="F10310" t="s">
        <v>30052</v>
      </c>
      <c r="G10310" t="s">
        <v>30058</v>
      </c>
      <c r="H10310" t="s">
        <v>15498</v>
      </c>
      <c r="I10310" t="s">
        <v>30074</v>
      </c>
      <c r="J10310" t="s">
        <v>31664</v>
      </c>
      <c r="K10310" t="s">
        <v>39019</v>
      </c>
      <c r="M10310" t="s">
        <v>40827</v>
      </c>
      <c r="N10310" t="s">
        <v>43166</v>
      </c>
      <c r="O10310" t="s">
        <v>43167</v>
      </c>
      <c r="P10310">
        <v>0</v>
      </c>
      <c r="Q10310">
        <v>6</v>
      </c>
      <c r="R10310" t="s">
        <v>43179</v>
      </c>
      <c r="S10310" t="s">
        <v>43583</v>
      </c>
      <c r="T10310" t="s">
        <v>44780</v>
      </c>
      <c r="U10310" t="s">
        <v>53451</v>
      </c>
      <c r="W10310" t="s">
        <v>40827</v>
      </c>
      <c r="X10310" t="s">
        <v>43181</v>
      </c>
    </row>
    <row r="10311" spans="1:24">
      <c r="A10311">
        <f>HYPERLINK("https://www.philgeps.gov.ph/GEPSNONPILOT/Tender/SplashBidNoticeAbstractUI.aspx?menuIndex=3&amp;refID=7063361&amp;Result=3","7063361")</f>
        <v>0</v>
      </c>
      <c r="B10311" t="s">
        <v>1646</v>
      </c>
      <c r="C10311" t="s">
        <v>13250</v>
      </c>
      <c r="E10311" t="s">
        <v>26338</v>
      </c>
      <c r="F10311" t="s">
        <v>30052</v>
      </c>
      <c r="G10311" t="s">
        <v>30058</v>
      </c>
      <c r="H10311" t="s">
        <v>15498</v>
      </c>
      <c r="I10311" t="s">
        <v>9238</v>
      </c>
      <c r="J10311" t="s">
        <v>30397</v>
      </c>
      <c r="K10311" t="s">
        <v>39025</v>
      </c>
      <c r="M10311" t="s">
        <v>41107</v>
      </c>
      <c r="N10311" t="s">
        <v>43166</v>
      </c>
      <c r="O10311" t="s">
        <v>43167</v>
      </c>
      <c r="P10311">
        <v>0</v>
      </c>
      <c r="Q10311">
        <v>18</v>
      </c>
      <c r="R10311" t="s">
        <v>43179</v>
      </c>
      <c r="S10311" t="s">
        <v>43583</v>
      </c>
      <c r="T10311" t="s">
        <v>44968</v>
      </c>
      <c r="U10311" t="s">
        <v>49135</v>
      </c>
      <c r="W10311" t="s">
        <v>41107</v>
      </c>
      <c r="X10311" t="s">
        <v>43181</v>
      </c>
    </row>
    <row r="10312" spans="1:24">
      <c r="A10312">
        <f>HYPERLINK("https://www.philgeps.gov.ph/GEPSNONPILOT/Tender/SplashBidNoticeAbstractUI.aspx?menuIndex=3&amp;refID=7063661&amp;Result=3","7063661")</f>
        <v>0</v>
      </c>
      <c r="B10312" t="s">
        <v>2915</v>
      </c>
      <c r="C10312" t="s">
        <v>13251</v>
      </c>
      <c r="D10312" t="s">
        <v>17466</v>
      </c>
      <c r="E10312" t="s">
        <v>26339</v>
      </c>
      <c r="F10312" t="s">
        <v>30052</v>
      </c>
      <c r="G10312" t="s">
        <v>30058</v>
      </c>
      <c r="H10312" t="s">
        <v>30067</v>
      </c>
      <c r="I10312" t="s">
        <v>3693</v>
      </c>
      <c r="J10312" t="s">
        <v>36511</v>
      </c>
      <c r="K10312" t="s">
        <v>39025</v>
      </c>
      <c r="M10312" t="s">
        <v>42477</v>
      </c>
      <c r="N10312" t="s">
        <v>43166</v>
      </c>
      <c r="O10312" t="s">
        <v>43167</v>
      </c>
      <c r="P10312">
        <v>0</v>
      </c>
      <c r="Q10312">
        <v>6</v>
      </c>
      <c r="R10312" t="s">
        <v>43179</v>
      </c>
      <c r="S10312" t="s">
        <v>43583</v>
      </c>
      <c r="T10312" t="s">
        <v>44704</v>
      </c>
      <c r="U10312" t="s">
        <v>53452</v>
      </c>
      <c r="V10312" t="s">
        <v>57981</v>
      </c>
      <c r="W10312" t="s">
        <v>42477</v>
      </c>
      <c r="X10312" t="s">
        <v>43181</v>
      </c>
    </row>
    <row r="10313" spans="1:24">
      <c r="A10313">
        <f>HYPERLINK("https://www.philgeps.gov.ph/GEPSNONPILOT/Tender/SplashBidNoticeAbstractUI.aspx?menuIndex=3&amp;refID=7062693&amp;Result=3","7062693")</f>
        <v>0</v>
      </c>
      <c r="B10313" t="s">
        <v>1661</v>
      </c>
      <c r="C10313" t="s">
        <v>13252</v>
      </c>
      <c r="D10313" t="s">
        <v>17422</v>
      </c>
      <c r="E10313" t="s">
        <v>26340</v>
      </c>
      <c r="F10313" t="s">
        <v>30052</v>
      </c>
      <c r="G10313" t="s">
        <v>30058</v>
      </c>
      <c r="H10313" t="s">
        <v>30067</v>
      </c>
      <c r="I10313" t="s">
        <v>3693</v>
      </c>
      <c r="J10313" t="s">
        <v>30281</v>
      </c>
      <c r="K10313" t="s">
        <v>39061</v>
      </c>
      <c r="M10313" t="s">
        <v>41066</v>
      </c>
      <c r="N10313" t="s">
        <v>43166</v>
      </c>
      <c r="O10313" t="s">
        <v>43167</v>
      </c>
      <c r="P10313">
        <v>0</v>
      </c>
      <c r="Q10313">
        <v>0</v>
      </c>
      <c r="R10313" t="s">
        <v>43179</v>
      </c>
      <c r="S10313" t="s">
        <v>43583</v>
      </c>
      <c r="T10313" t="s">
        <v>44763</v>
      </c>
      <c r="U10313" t="s">
        <v>53453</v>
      </c>
      <c r="W10313" t="s">
        <v>41066</v>
      </c>
      <c r="X10313" t="s">
        <v>43181</v>
      </c>
    </row>
    <row r="10314" spans="1:24">
      <c r="A10314">
        <f>HYPERLINK("https://www.philgeps.gov.ph/GEPSNONPILOT/Tender/SplashBidNoticeAbstractUI.aspx?menuIndex=3&amp;refID=7063242&amp;Result=3","7063242")</f>
        <v>0</v>
      </c>
      <c r="B10314" t="s">
        <v>1474</v>
      </c>
      <c r="C10314" t="s">
        <v>13253</v>
      </c>
      <c r="D10314" t="s">
        <v>17471</v>
      </c>
      <c r="E10314" t="s">
        <v>26341</v>
      </c>
      <c r="F10314" t="s">
        <v>30052</v>
      </c>
      <c r="G10314" t="s">
        <v>30058</v>
      </c>
      <c r="H10314" t="s">
        <v>15498</v>
      </c>
      <c r="I10314" t="s">
        <v>3736</v>
      </c>
      <c r="J10314" t="s">
        <v>36503</v>
      </c>
      <c r="K10314" t="s">
        <v>39025</v>
      </c>
      <c r="M10314" t="s">
        <v>42474</v>
      </c>
      <c r="N10314" t="s">
        <v>43166</v>
      </c>
      <c r="O10314" t="s">
        <v>43167</v>
      </c>
      <c r="P10314">
        <v>0</v>
      </c>
      <c r="Q10314">
        <v>0</v>
      </c>
      <c r="R10314" t="s">
        <v>43179</v>
      </c>
      <c r="S10314" t="s">
        <v>43583</v>
      </c>
      <c r="T10314" t="s">
        <v>44771</v>
      </c>
      <c r="U10314" t="s">
        <v>53454</v>
      </c>
      <c r="V10314" t="s">
        <v>57982</v>
      </c>
      <c r="W10314" t="s">
        <v>42474</v>
      </c>
      <c r="X10314" t="s">
        <v>43181</v>
      </c>
    </row>
    <row r="10315" spans="1:24">
      <c r="A10315">
        <f>HYPERLINK("https://www.philgeps.gov.ph/GEPSNONPILOT/Tender/SplashBidNoticeAbstractUI.aspx?menuIndex=3&amp;refID=7062604&amp;Result=3","7062604")</f>
        <v>0</v>
      </c>
      <c r="B10315" t="s">
        <v>1661</v>
      </c>
      <c r="C10315" t="s">
        <v>13254</v>
      </c>
      <c r="D10315" t="s">
        <v>17422</v>
      </c>
      <c r="E10315" t="s">
        <v>26342</v>
      </c>
      <c r="F10315" t="s">
        <v>30052</v>
      </c>
      <c r="G10315" t="s">
        <v>30058</v>
      </c>
      <c r="H10315" t="s">
        <v>30067</v>
      </c>
      <c r="I10315" t="s">
        <v>3693</v>
      </c>
      <c r="J10315" t="s">
        <v>30281</v>
      </c>
      <c r="K10315" t="s">
        <v>39023</v>
      </c>
      <c r="M10315" t="s">
        <v>41066</v>
      </c>
      <c r="N10315" t="s">
        <v>43166</v>
      </c>
      <c r="O10315" t="s">
        <v>43167</v>
      </c>
      <c r="P10315">
        <v>0</v>
      </c>
      <c r="Q10315">
        <v>0</v>
      </c>
      <c r="R10315" t="s">
        <v>43179</v>
      </c>
      <c r="S10315" t="s">
        <v>43583</v>
      </c>
      <c r="T10315" t="s">
        <v>44763</v>
      </c>
      <c r="U10315" t="s">
        <v>53455</v>
      </c>
      <c r="W10315" t="s">
        <v>41066</v>
      </c>
      <c r="X10315" t="s">
        <v>43181</v>
      </c>
    </row>
    <row r="10316" spans="1:24">
      <c r="A10316">
        <f>HYPERLINK("https://www.philgeps.gov.ph/GEPSNONPILOT/Tender/SplashBidNoticeAbstractUI.aspx?menuIndex=3&amp;refID=7063082&amp;Result=3","7063082")</f>
        <v>0</v>
      </c>
      <c r="B10316" t="s">
        <v>1474</v>
      </c>
      <c r="C10316" t="s">
        <v>13255</v>
      </c>
      <c r="D10316" t="s">
        <v>17471</v>
      </c>
      <c r="E10316" t="s">
        <v>26343</v>
      </c>
      <c r="F10316" t="s">
        <v>30052</v>
      </c>
      <c r="G10316" t="s">
        <v>30058</v>
      </c>
      <c r="H10316" t="s">
        <v>15498</v>
      </c>
      <c r="I10316" t="s">
        <v>3736</v>
      </c>
      <c r="J10316" t="s">
        <v>36512</v>
      </c>
      <c r="K10316" t="s">
        <v>39025</v>
      </c>
      <c r="M10316" t="s">
        <v>42472</v>
      </c>
      <c r="N10316" t="s">
        <v>43166</v>
      </c>
      <c r="O10316" t="s">
        <v>43167</v>
      </c>
      <c r="P10316">
        <v>0</v>
      </c>
      <c r="Q10316">
        <v>0</v>
      </c>
      <c r="R10316" t="s">
        <v>43179</v>
      </c>
      <c r="S10316" t="s">
        <v>43583</v>
      </c>
      <c r="T10316" t="s">
        <v>44771</v>
      </c>
      <c r="U10316" t="s">
        <v>53456</v>
      </c>
      <c r="V10316" t="s">
        <v>57983</v>
      </c>
      <c r="W10316" t="s">
        <v>42472</v>
      </c>
      <c r="X10316" t="s">
        <v>43181</v>
      </c>
    </row>
    <row r="10317" spans="1:24">
      <c r="A10317">
        <f>HYPERLINK("https://www.philgeps.gov.ph/GEPSNONPILOT/Tender/SplashBidNoticeAbstractUI.aspx?menuIndex=3&amp;refID=7063201&amp;Result=3","7063201")</f>
        <v>0</v>
      </c>
      <c r="B10317" t="s">
        <v>2916</v>
      </c>
      <c r="C10317" t="s">
        <v>8809</v>
      </c>
      <c r="D10317" t="s">
        <v>17472</v>
      </c>
      <c r="E10317" t="s">
        <v>26344</v>
      </c>
      <c r="F10317" t="s">
        <v>30052</v>
      </c>
      <c r="G10317" t="s">
        <v>30058</v>
      </c>
      <c r="H10317" t="s">
        <v>30067</v>
      </c>
      <c r="I10317" t="s">
        <v>3693</v>
      </c>
      <c r="J10317" t="s">
        <v>30235</v>
      </c>
      <c r="K10317" t="s">
        <v>39026</v>
      </c>
      <c r="M10317" t="s">
        <v>42478</v>
      </c>
      <c r="N10317" t="s">
        <v>43166</v>
      </c>
      <c r="O10317" t="s">
        <v>43167</v>
      </c>
      <c r="P10317">
        <v>0</v>
      </c>
      <c r="Q10317">
        <v>1</v>
      </c>
      <c r="R10317" t="s">
        <v>43179</v>
      </c>
      <c r="S10317" t="s">
        <v>43583</v>
      </c>
      <c r="T10317" t="s">
        <v>44704</v>
      </c>
      <c r="U10317" t="s">
        <v>53457</v>
      </c>
      <c r="W10317" t="s">
        <v>42478</v>
      </c>
      <c r="X10317" t="s">
        <v>43181</v>
      </c>
    </row>
    <row r="10318" spans="1:24">
      <c r="A10318">
        <f>HYPERLINK("https://www.philgeps.gov.ph/GEPSNONPILOT/Tender/SplashBidNoticeAbstractUI.aspx?menuIndex=3&amp;refID=7062579&amp;Result=3","7062579")</f>
        <v>0</v>
      </c>
      <c r="B10318" t="s">
        <v>1661</v>
      </c>
      <c r="C10318" t="s">
        <v>13256</v>
      </c>
      <c r="D10318" t="s">
        <v>17422</v>
      </c>
      <c r="E10318" t="s">
        <v>26345</v>
      </c>
      <c r="F10318" t="s">
        <v>30052</v>
      </c>
      <c r="G10318" t="s">
        <v>30058</v>
      </c>
      <c r="H10318" t="s">
        <v>30067</v>
      </c>
      <c r="I10318" t="s">
        <v>3693</v>
      </c>
      <c r="J10318" t="s">
        <v>35620</v>
      </c>
      <c r="K10318" t="s">
        <v>39057</v>
      </c>
      <c r="M10318" t="s">
        <v>41066</v>
      </c>
      <c r="N10318" t="s">
        <v>43166</v>
      </c>
      <c r="O10318" t="s">
        <v>43167</v>
      </c>
      <c r="P10318">
        <v>0</v>
      </c>
      <c r="Q10318">
        <v>0</v>
      </c>
      <c r="R10318" t="s">
        <v>43179</v>
      </c>
      <c r="S10318" t="s">
        <v>43583</v>
      </c>
      <c r="T10318" t="s">
        <v>44763</v>
      </c>
      <c r="U10318" t="s">
        <v>53458</v>
      </c>
      <c r="W10318" t="s">
        <v>41066</v>
      </c>
      <c r="X10318" t="s">
        <v>43181</v>
      </c>
    </row>
    <row r="10319" spans="1:24">
      <c r="A10319">
        <f>HYPERLINK("https://www.philgeps.gov.ph/GEPSNONPILOT/Tender/SplashBidNoticeAbstractUI.aspx?menuIndex=3&amp;refID=7062290&amp;Result=3","7062290")</f>
        <v>0</v>
      </c>
      <c r="B10319" t="s">
        <v>2859</v>
      </c>
      <c r="C10319" t="s">
        <v>13257</v>
      </c>
      <c r="D10319" t="s">
        <v>17422</v>
      </c>
      <c r="E10319" t="s">
        <v>26346</v>
      </c>
      <c r="F10319" t="s">
        <v>30052</v>
      </c>
      <c r="G10319" t="s">
        <v>30058</v>
      </c>
      <c r="H10319" t="s">
        <v>15498</v>
      </c>
      <c r="I10319" t="s">
        <v>9238</v>
      </c>
      <c r="J10319" t="s">
        <v>36513</v>
      </c>
      <c r="K10319" t="s">
        <v>39023</v>
      </c>
      <c r="M10319" t="s">
        <v>42479</v>
      </c>
      <c r="N10319" t="s">
        <v>43166</v>
      </c>
      <c r="O10319" t="s">
        <v>43167</v>
      </c>
      <c r="P10319">
        <v>0</v>
      </c>
      <c r="Q10319">
        <v>17</v>
      </c>
      <c r="R10319" t="s">
        <v>43179</v>
      </c>
      <c r="S10319" t="s">
        <v>43583</v>
      </c>
      <c r="T10319" t="s">
        <v>44754</v>
      </c>
      <c r="U10319" t="s">
        <v>53459</v>
      </c>
      <c r="W10319" t="s">
        <v>42479</v>
      </c>
      <c r="X10319" t="s">
        <v>43181</v>
      </c>
    </row>
    <row r="10320" spans="1:24">
      <c r="A10320">
        <f>HYPERLINK("https://www.philgeps.gov.ph/GEPSNONPILOT/Tender/SplashBidNoticeAbstractUI.aspx?menuIndex=3&amp;refID=7062159&amp;Result=3","7062159")</f>
        <v>0</v>
      </c>
      <c r="B10320" t="s">
        <v>306</v>
      </c>
      <c r="C10320" t="s">
        <v>13258</v>
      </c>
      <c r="D10320" t="s">
        <v>17415</v>
      </c>
      <c r="E10320" t="s">
        <v>26347</v>
      </c>
      <c r="F10320" t="s">
        <v>30052</v>
      </c>
      <c r="G10320" t="s">
        <v>30058</v>
      </c>
      <c r="H10320" t="s">
        <v>30067</v>
      </c>
      <c r="I10320" t="s">
        <v>3693</v>
      </c>
      <c r="J10320" t="s">
        <v>36514</v>
      </c>
      <c r="K10320" t="s">
        <v>39022</v>
      </c>
      <c r="M10320" t="s">
        <v>42470</v>
      </c>
      <c r="N10320" t="s">
        <v>43166</v>
      </c>
      <c r="O10320" t="s">
        <v>43167</v>
      </c>
      <c r="Q10320">
        <v>50</v>
      </c>
      <c r="R10320" t="s">
        <v>43179</v>
      </c>
      <c r="S10320" t="s">
        <v>43600</v>
      </c>
      <c r="T10320" t="s">
        <v>44997</v>
      </c>
      <c r="U10320" t="s">
        <v>53460</v>
      </c>
      <c r="W10320" t="s">
        <v>42470</v>
      </c>
      <c r="X10320" t="s">
        <v>43181</v>
      </c>
    </row>
    <row r="10321" spans="1:24">
      <c r="A10321">
        <f>HYPERLINK("https://www.philgeps.gov.ph/GEPSNONPILOT/Tender/SplashBidNoticeAbstractUI.aspx?menuIndex=3&amp;refID=7062094&amp;Result=3","7062094")</f>
        <v>0</v>
      </c>
      <c r="B10321" t="s">
        <v>2917</v>
      </c>
      <c r="C10321" t="s">
        <v>13259</v>
      </c>
      <c r="D10321" t="s">
        <v>17435</v>
      </c>
      <c r="E10321" t="s">
        <v>26348</v>
      </c>
      <c r="F10321" t="s">
        <v>30052</v>
      </c>
      <c r="G10321" t="s">
        <v>30058</v>
      </c>
      <c r="H10321" t="s">
        <v>15498</v>
      </c>
      <c r="I10321" t="s">
        <v>9238</v>
      </c>
      <c r="J10321" t="s">
        <v>30215</v>
      </c>
      <c r="K10321" t="s">
        <v>39023</v>
      </c>
      <c r="M10321" t="s">
        <v>42480</v>
      </c>
      <c r="N10321" t="s">
        <v>43166</v>
      </c>
      <c r="O10321" t="s">
        <v>43167</v>
      </c>
      <c r="P10321">
        <v>0</v>
      </c>
      <c r="Q10321">
        <v>7</v>
      </c>
      <c r="R10321" t="s">
        <v>43179</v>
      </c>
      <c r="S10321" t="s">
        <v>43583</v>
      </c>
      <c r="T10321" t="s">
        <v>44691</v>
      </c>
      <c r="U10321" t="s">
        <v>53461</v>
      </c>
      <c r="W10321" t="s">
        <v>42480</v>
      </c>
      <c r="X10321" t="s">
        <v>43181</v>
      </c>
    </row>
    <row r="10322" spans="1:24">
      <c r="A10322">
        <f>HYPERLINK("https://www.philgeps.gov.ph/GEPSNONPILOT/Tender/SplashBidNoticeAbstractUI.aspx?menuIndex=3&amp;refID=7062002&amp;Result=3","7062002")</f>
        <v>0</v>
      </c>
      <c r="B10322" t="s">
        <v>2917</v>
      </c>
      <c r="C10322" t="s">
        <v>13260</v>
      </c>
      <c r="D10322" t="s">
        <v>17435</v>
      </c>
      <c r="E10322" t="s">
        <v>26349</v>
      </c>
      <c r="F10322" t="s">
        <v>30052</v>
      </c>
      <c r="G10322" t="s">
        <v>30058</v>
      </c>
      <c r="H10322" t="s">
        <v>15498</v>
      </c>
      <c r="I10322" t="s">
        <v>9238</v>
      </c>
      <c r="J10322" t="s">
        <v>33069</v>
      </c>
      <c r="K10322" t="s">
        <v>39023</v>
      </c>
      <c r="M10322" t="s">
        <v>42480</v>
      </c>
      <c r="N10322" t="s">
        <v>43166</v>
      </c>
      <c r="O10322" t="s">
        <v>43167</v>
      </c>
      <c r="P10322">
        <v>0</v>
      </c>
      <c r="Q10322">
        <v>7</v>
      </c>
      <c r="R10322" t="s">
        <v>43179</v>
      </c>
      <c r="S10322" t="s">
        <v>43583</v>
      </c>
      <c r="T10322" t="s">
        <v>44691</v>
      </c>
      <c r="U10322" t="s">
        <v>53462</v>
      </c>
      <c r="W10322" t="s">
        <v>42480</v>
      </c>
      <c r="X10322" t="s">
        <v>43181</v>
      </c>
    </row>
    <row r="10323" spans="1:24">
      <c r="A10323">
        <f>HYPERLINK("https://www.philgeps.gov.ph/GEPSNONPILOT/Tender/SplashBidNoticeAbstractUI.aspx?menuIndex=3&amp;refID=7062569&amp;Result=3","7062569")</f>
        <v>0</v>
      </c>
      <c r="B10323" t="s">
        <v>2452</v>
      </c>
      <c r="C10323" t="s">
        <v>13261</v>
      </c>
      <c r="D10323" t="s">
        <v>17459</v>
      </c>
      <c r="E10323" t="s">
        <v>26350</v>
      </c>
      <c r="F10323" t="s">
        <v>30052</v>
      </c>
      <c r="G10323" t="s">
        <v>30058</v>
      </c>
      <c r="H10323" t="s">
        <v>15498</v>
      </c>
      <c r="I10323" t="s">
        <v>3736</v>
      </c>
      <c r="J10323" t="s">
        <v>36515</v>
      </c>
      <c r="K10323" t="s">
        <v>39019</v>
      </c>
      <c r="M10323" t="s">
        <v>42377</v>
      </c>
      <c r="N10323" t="s">
        <v>43166</v>
      </c>
      <c r="O10323" t="s">
        <v>43167</v>
      </c>
      <c r="P10323">
        <v>0</v>
      </c>
      <c r="Q10323">
        <v>2</v>
      </c>
      <c r="R10323" t="s">
        <v>43179</v>
      </c>
      <c r="S10323" t="s">
        <v>43583</v>
      </c>
      <c r="T10323" t="s">
        <v>45012</v>
      </c>
      <c r="U10323" t="s">
        <v>52986</v>
      </c>
      <c r="W10323" t="s">
        <v>42377</v>
      </c>
      <c r="X10323" t="s">
        <v>43181</v>
      </c>
    </row>
    <row r="10324" spans="1:24">
      <c r="A10324">
        <f>HYPERLINK("https://www.philgeps.gov.ph/GEPSNONPILOT/Tender/SplashBidNoticeAbstractUI.aspx?menuIndex=3&amp;refID=7060801&amp;Result=3","7060801")</f>
        <v>0</v>
      </c>
      <c r="B10324" t="s">
        <v>2911</v>
      </c>
      <c r="C10324" t="s">
        <v>13262</v>
      </c>
      <c r="D10324" t="s">
        <v>17434</v>
      </c>
      <c r="E10324" t="s">
        <v>26351</v>
      </c>
      <c r="F10324" t="s">
        <v>30052</v>
      </c>
      <c r="G10324" t="s">
        <v>30058</v>
      </c>
      <c r="H10324" t="s">
        <v>15498</v>
      </c>
      <c r="I10324" t="s">
        <v>30076</v>
      </c>
      <c r="J10324" t="s">
        <v>36516</v>
      </c>
      <c r="K10324" t="s">
        <v>39017</v>
      </c>
      <c r="M10324" t="s">
        <v>42468</v>
      </c>
      <c r="N10324" t="s">
        <v>43166</v>
      </c>
      <c r="O10324" t="s">
        <v>43167</v>
      </c>
      <c r="P10324">
        <v>0</v>
      </c>
      <c r="Q10324">
        <v>5</v>
      </c>
      <c r="R10324" t="s">
        <v>43179</v>
      </c>
      <c r="S10324" t="s">
        <v>43583</v>
      </c>
      <c r="T10324" t="s">
        <v>45043</v>
      </c>
      <c r="U10324" t="s">
        <v>53463</v>
      </c>
      <c r="W10324" t="s">
        <v>42468</v>
      </c>
      <c r="X10324" t="s">
        <v>43182</v>
      </c>
    </row>
    <row r="10325" spans="1:24">
      <c r="A10325">
        <f>HYPERLINK("https://www.philgeps.gov.ph/GEPSNONPILOT/Tender/SplashBidNoticeAbstractUI.aspx?menuIndex=3&amp;refID=7060728&amp;Result=3","7060728")</f>
        <v>0</v>
      </c>
      <c r="B10325" t="s">
        <v>1169</v>
      </c>
      <c r="C10325" t="s">
        <v>13263</v>
      </c>
      <c r="D10325" t="s">
        <v>17458</v>
      </c>
      <c r="E10325" t="s">
        <v>26352</v>
      </c>
      <c r="F10325" t="s">
        <v>30052</v>
      </c>
      <c r="G10325" t="s">
        <v>30058</v>
      </c>
      <c r="H10325" t="s">
        <v>30067</v>
      </c>
      <c r="I10325" t="s">
        <v>3693</v>
      </c>
      <c r="J10325" t="s">
        <v>36517</v>
      </c>
      <c r="K10325" t="s">
        <v>39216</v>
      </c>
      <c r="M10325" t="s">
        <v>40516</v>
      </c>
      <c r="N10325" t="s">
        <v>43166</v>
      </c>
      <c r="O10325" t="s">
        <v>43167</v>
      </c>
      <c r="P10325">
        <v>0</v>
      </c>
      <c r="Q10325">
        <v>9</v>
      </c>
      <c r="R10325" t="s">
        <v>43179</v>
      </c>
      <c r="S10325" t="s">
        <v>43583</v>
      </c>
      <c r="T10325" t="s">
        <v>44948</v>
      </c>
      <c r="U10325" t="s">
        <v>53464</v>
      </c>
      <c r="V10325" t="s">
        <v>57181</v>
      </c>
      <c r="W10325" t="s">
        <v>58625</v>
      </c>
      <c r="X10325" t="s">
        <v>43182</v>
      </c>
    </row>
    <row r="10326" spans="1:24">
      <c r="A10326">
        <f>HYPERLINK("https://www.philgeps.gov.ph/GEPSNONPILOT/Tender/SplashBidNoticeAbstractUI.aspx?menuIndex=3&amp;refID=7062940&amp;Result=3","7062940")</f>
        <v>0</v>
      </c>
      <c r="B10326" t="s">
        <v>1661</v>
      </c>
      <c r="C10326" t="s">
        <v>13264</v>
      </c>
      <c r="D10326" t="s">
        <v>17422</v>
      </c>
      <c r="E10326" t="s">
        <v>26353</v>
      </c>
      <c r="F10326" t="s">
        <v>30052</v>
      </c>
      <c r="G10326" t="s">
        <v>30058</v>
      </c>
      <c r="H10326" t="s">
        <v>30067</v>
      </c>
      <c r="I10326" t="s">
        <v>3693</v>
      </c>
      <c r="J10326" t="s">
        <v>30557</v>
      </c>
      <c r="K10326" t="s">
        <v>39026</v>
      </c>
      <c r="M10326" t="s">
        <v>41066</v>
      </c>
      <c r="N10326" t="s">
        <v>43166</v>
      </c>
      <c r="O10326" t="s">
        <v>43167</v>
      </c>
      <c r="P10326">
        <v>0</v>
      </c>
      <c r="Q10326">
        <v>0</v>
      </c>
      <c r="R10326" t="s">
        <v>43179</v>
      </c>
      <c r="S10326" t="s">
        <v>43583</v>
      </c>
      <c r="T10326" t="s">
        <v>44763</v>
      </c>
      <c r="U10326" t="s">
        <v>53465</v>
      </c>
      <c r="W10326" t="s">
        <v>41066</v>
      </c>
      <c r="X10326" t="s">
        <v>43181</v>
      </c>
    </row>
    <row r="10327" spans="1:24">
      <c r="A10327">
        <f>HYPERLINK("https://www.philgeps.gov.ph/GEPSNONPILOT/Tender/SplashBidNoticeAbstractUI.aspx?menuIndex=3&amp;refID=7060677&amp;Result=3","7060677")</f>
        <v>0</v>
      </c>
      <c r="B10327" t="s">
        <v>2911</v>
      </c>
      <c r="C10327" t="s">
        <v>13265</v>
      </c>
      <c r="D10327" t="s">
        <v>17434</v>
      </c>
      <c r="E10327" t="s">
        <v>26354</v>
      </c>
      <c r="F10327" t="s">
        <v>30052</v>
      </c>
      <c r="G10327" t="s">
        <v>30058</v>
      </c>
      <c r="H10327" t="s">
        <v>15498</v>
      </c>
      <c r="I10327" t="s">
        <v>30075</v>
      </c>
      <c r="J10327" t="s">
        <v>36518</v>
      </c>
      <c r="K10327" t="s">
        <v>39017</v>
      </c>
      <c r="M10327" t="s">
        <v>42468</v>
      </c>
      <c r="N10327" t="s">
        <v>43166</v>
      </c>
      <c r="O10327" t="s">
        <v>43167</v>
      </c>
      <c r="P10327">
        <v>0</v>
      </c>
      <c r="Q10327">
        <v>2</v>
      </c>
      <c r="R10327" t="s">
        <v>43179</v>
      </c>
      <c r="S10327" t="s">
        <v>43583</v>
      </c>
      <c r="T10327" t="s">
        <v>45043</v>
      </c>
      <c r="U10327" t="s">
        <v>53466</v>
      </c>
      <c r="W10327" t="s">
        <v>42468</v>
      </c>
      <c r="X10327" t="s">
        <v>43182</v>
      </c>
    </row>
    <row r="10328" spans="1:24">
      <c r="A10328">
        <f>HYPERLINK("https://www.philgeps.gov.ph/GEPSNONPILOT/Tender/SplashBidNoticeAbstractUI.aspx?menuIndex=3&amp;refID=7061816&amp;Result=3","7061816")</f>
        <v>0</v>
      </c>
      <c r="B10328" t="s">
        <v>1953</v>
      </c>
      <c r="C10328" t="s">
        <v>13266</v>
      </c>
      <c r="E10328" t="s">
        <v>26355</v>
      </c>
      <c r="F10328" t="s">
        <v>30052</v>
      </c>
      <c r="G10328" t="s">
        <v>30058</v>
      </c>
      <c r="H10328" t="s">
        <v>15498</v>
      </c>
      <c r="I10328" t="s">
        <v>30073</v>
      </c>
      <c r="J10328" t="s">
        <v>36519</v>
      </c>
      <c r="K10328" t="s">
        <v>39025</v>
      </c>
      <c r="M10328" t="s">
        <v>41390</v>
      </c>
      <c r="N10328" t="s">
        <v>43166</v>
      </c>
      <c r="O10328" t="s">
        <v>43167</v>
      </c>
      <c r="P10328">
        <v>0</v>
      </c>
      <c r="Q10328">
        <v>0</v>
      </c>
      <c r="R10328" t="s">
        <v>43179</v>
      </c>
      <c r="S10328" t="s">
        <v>43583</v>
      </c>
      <c r="T10328" t="s">
        <v>44690</v>
      </c>
      <c r="U10328" t="s">
        <v>53467</v>
      </c>
      <c r="W10328" t="s">
        <v>41390</v>
      </c>
      <c r="X10328" t="s">
        <v>43181</v>
      </c>
    </row>
    <row r="10329" spans="1:24">
      <c r="A10329">
        <f>HYPERLINK("https://www.philgeps.gov.ph/GEPSNONPILOT/Tender/SplashBidNoticeAbstractUI.aspx?menuIndex=3&amp;refID=7060651&amp;Result=3","7060651")</f>
        <v>0</v>
      </c>
      <c r="B10329" t="s">
        <v>2911</v>
      </c>
      <c r="C10329" t="s">
        <v>13267</v>
      </c>
      <c r="D10329" t="s">
        <v>17434</v>
      </c>
      <c r="E10329" t="s">
        <v>26356</v>
      </c>
      <c r="F10329" t="s">
        <v>30052</v>
      </c>
      <c r="G10329" t="s">
        <v>30058</v>
      </c>
      <c r="H10329" t="s">
        <v>30067</v>
      </c>
      <c r="I10329" t="s">
        <v>3693</v>
      </c>
      <c r="J10329" t="s">
        <v>36520</v>
      </c>
      <c r="K10329" t="s">
        <v>39023</v>
      </c>
      <c r="M10329" t="s">
        <v>42468</v>
      </c>
      <c r="N10329" t="s">
        <v>43166</v>
      </c>
      <c r="O10329" t="s">
        <v>43167</v>
      </c>
      <c r="P10329">
        <v>0</v>
      </c>
      <c r="Q10329">
        <v>1</v>
      </c>
      <c r="R10329" t="s">
        <v>43179</v>
      </c>
      <c r="S10329" t="s">
        <v>43583</v>
      </c>
      <c r="T10329" t="s">
        <v>45043</v>
      </c>
      <c r="U10329" t="s">
        <v>53468</v>
      </c>
      <c r="W10329" t="s">
        <v>42468</v>
      </c>
      <c r="X10329" t="s">
        <v>43182</v>
      </c>
    </row>
    <row r="10330" spans="1:24">
      <c r="A10330">
        <f>HYPERLINK("https://www.philgeps.gov.ph/GEPSNONPILOT/Tender/SplashBidNoticeAbstractUI.aspx?menuIndex=3&amp;refID=7060630&amp;Result=3","7060630")</f>
        <v>0</v>
      </c>
      <c r="B10330" t="s">
        <v>2911</v>
      </c>
      <c r="C10330" t="s">
        <v>13268</v>
      </c>
      <c r="D10330" t="s">
        <v>17434</v>
      </c>
      <c r="E10330" t="s">
        <v>26357</v>
      </c>
      <c r="F10330" t="s">
        <v>30052</v>
      </c>
      <c r="G10330" t="s">
        <v>30058</v>
      </c>
      <c r="H10330" t="s">
        <v>30067</v>
      </c>
      <c r="I10330" t="s">
        <v>3693</v>
      </c>
      <c r="J10330" t="s">
        <v>36521</v>
      </c>
      <c r="K10330" t="s">
        <v>39029</v>
      </c>
      <c r="M10330" t="s">
        <v>42468</v>
      </c>
      <c r="N10330" t="s">
        <v>43166</v>
      </c>
      <c r="O10330" t="s">
        <v>43167</v>
      </c>
      <c r="P10330">
        <v>0</v>
      </c>
      <c r="Q10330">
        <v>1</v>
      </c>
      <c r="R10330" t="s">
        <v>43179</v>
      </c>
      <c r="S10330" t="s">
        <v>43583</v>
      </c>
      <c r="T10330" t="s">
        <v>45043</v>
      </c>
      <c r="U10330" t="s">
        <v>53469</v>
      </c>
      <c r="W10330" t="s">
        <v>42468</v>
      </c>
      <c r="X10330" t="s">
        <v>43182</v>
      </c>
    </row>
    <row r="10331" spans="1:24">
      <c r="A10331">
        <f>HYPERLINK("https://www.philgeps.gov.ph/GEPSNONPILOT/Tender/SplashBidNoticeAbstractUI.aspx?menuIndex=3&amp;refID=7059675&amp;Result=3","7059675")</f>
        <v>0</v>
      </c>
      <c r="B10331" t="s">
        <v>1169</v>
      </c>
      <c r="C10331" t="s">
        <v>13269</v>
      </c>
      <c r="D10331" t="s">
        <v>17458</v>
      </c>
      <c r="E10331" t="s">
        <v>26358</v>
      </c>
      <c r="F10331" t="s">
        <v>30052</v>
      </c>
      <c r="G10331" t="s">
        <v>30058</v>
      </c>
      <c r="H10331" t="s">
        <v>30067</v>
      </c>
      <c r="I10331" t="s">
        <v>3693</v>
      </c>
      <c r="J10331" t="s">
        <v>36522</v>
      </c>
      <c r="K10331" t="s">
        <v>39126</v>
      </c>
      <c r="M10331" t="s">
        <v>40516</v>
      </c>
      <c r="N10331" t="s">
        <v>43166</v>
      </c>
      <c r="O10331" t="s">
        <v>43167</v>
      </c>
      <c r="P10331">
        <v>0</v>
      </c>
      <c r="Q10331">
        <v>8</v>
      </c>
      <c r="R10331" t="s">
        <v>43179</v>
      </c>
      <c r="S10331" t="s">
        <v>43583</v>
      </c>
      <c r="T10331" t="s">
        <v>45020</v>
      </c>
      <c r="U10331" t="s">
        <v>53470</v>
      </c>
      <c r="V10331" t="s">
        <v>57181</v>
      </c>
      <c r="W10331" t="s">
        <v>58625</v>
      </c>
      <c r="X10331" t="s">
        <v>43182</v>
      </c>
    </row>
    <row r="10332" spans="1:24">
      <c r="A10332">
        <f>HYPERLINK("https://www.philgeps.gov.ph/GEPSNONPILOT/Tender/SplashBidNoticeAbstractUI.aspx?menuIndex=3&amp;refID=7064547&amp;Result=3","7064547")</f>
        <v>0</v>
      </c>
      <c r="B10332" t="s">
        <v>29</v>
      </c>
      <c r="C10332" t="s">
        <v>13270</v>
      </c>
      <c r="D10332" t="s">
        <v>17418</v>
      </c>
      <c r="E10332" t="s">
        <v>26359</v>
      </c>
      <c r="F10332" t="s">
        <v>30052</v>
      </c>
      <c r="G10332" t="s">
        <v>30058</v>
      </c>
      <c r="H10332" t="s">
        <v>15498</v>
      </c>
      <c r="I10332" t="s">
        <v>30126</v>
      </c>
      <c r="J10332" t="s">
        <v>36523</v>
      </c>
      <c r="K10332" t="s">
        <v>39029</v>
      </c>
      <c r="M10332" t="s">
        <v>39319</v>
      </c>
      <c r="N10332" t="s">
        <v>43166</v>
      </c>
      <c r="O10332" t="s">
        <v>43167</v>
      </c>
      <c r="P10332">
        <v>0</v>
      </c>
      <c r="Q10332">
        <v>1</v>
      </c>
      <c r="R10332" t="s">
        <v>43179</v>
      </c>
      <c r="S10332" t="s">
        <v>43583</v>
      </c>
      <c r="T10332" t="s">
        <v>45135</v>
      </c>
      <c r="U10332" t="s">
        <v>53471</v>
      </c>
      <c r="W10332" t="s">
        <v>39319</v>
      </c>
      <c r="X10332" t="s">
        <v>43181</v>
      </c>
    </row>
    <row r="10333" spans="1:24">
      <c r="A10333">
        <f>HYPERLINK("https://www.philgeps.gov.ph/GEPSNONPILOT/Tender/SplashBidNoticeAbstractUI.aspx?menuIndex=3&amp;refID=7059741&amp;Result=3","7059741")</f>
        <v>0</v>
      </c>
      <c r="B10333" t="s">
        <v>1169</v>
      </c>
      <c r="C10333" t="s">
        <v>13271</v>
      </c>
      <c r="D10333" t="s">
        <v>17458</v>
      </c>
      <c r="E10333" t="s">
        <v>26360</v>
      </c>
      <c r="F10333" t="s">
        <v>30052</v>
      </c>
      <c r="G10333" t="s">
        <v>30058</v>
      </c>
      <c r="H10333" t="s">
        <v>30067</v>
      </c>
      <c r="I10333" t="s">
        <v>3693</v>
      </c>
      <c r="J10333" t="s">
        <v>36524</v>
      </c>
      <c r="K10333" t="s">
        <v>39092</v>
      </c>
      <c r="M10333" t="s">
        <v>40516</v>
      </c>
      <c r="N10333" t="s">
        <v>43166</v>
      </c>
      <c r="O10333" t="s">
        <v>43167</v>
      </c>
      <c r="P10333">
        <v>0</v>
      </c>
      <c r="Q10333">
        <v>8</v>
      </c>
      <c r="R10333" t="s">
        <v>43179</v>
      </c>
      <c r="S10333" t="s">
        <v>43583</v>
      </c>
      <c r="T10333" t="s">
        <v>45020</v>
      </c>
      <c r="U10333" t="s">
        <v>53472</v>
      </c>
      <c r="V10333" t="s">
        <v>57181</v>
      </c>
      <c r="W10333" t="s">
        <v>58625</v>
      </c>
      <c r="X10333" t="s">
        <v>43182</v>
      </c>
    </row>
    <row r="10334" spans="1:24">
      <c r="A10334">
        <f>HYPERLINK("https://www.philgeps.gov.ph/GEPSNONPILOT/Tender/SplashBidNoticeAbstractUI.aspx?menuIndex=3&amp;refID=7064541&amp;Result=3","7064541")</f>
        <v>0</v>
      </c>
      <c r="B10334" t="s">
        <v>29</v>
      </c>
      <c r="C10334" t="s">
        <v>13272</v>
      </c>
      <c r="D10334" t="s">
        <v>17418</v>
      </c>
      <c r="E10334" t="s">
        <v>26361</v>
      </c>
      <c r="F10334" t="s">
        <v>30052</v>
      </c>
      <c r="G10334" t="s">
        <v>30058</v>
      </c>
      <c r="H10334" t="s">
        <v>15498</v>
      </c>
      <c r="I10334" t="s">
        <v>30091</v>
      </c>
      <c r="J10334" t="s">
        <v>36525</v>
      </c>
      <c r="K10334" t="s">
        <v>39046</v>
      </c>
      <c r="M10334" t="s">
        <v>39319</v>
      </c>
      <c r="N10334" t="s">
        <v>43166</v>
      </c>
      <c r="O10334" t="s">
        <v>43167</v>
      </c>
      <c r="P10334">
        <v>0</v>
      </c>
      <c r="Q10334">
        <v>6</v>
      </c>
      <c r="R10334" t="s">
        <v>43179</v>
      </c>
      <c r="S10334" t="s">
        <v>43583</v>
      </c>
      <c r="T10334" t="s">
        <v>45135</v>
      </c>
      <c r="U10334" t="s">
        <v>53473</v>
      </c>
      <c r="W10334" t="s">
        <v>39319</v>
      </c>
      <c r="X10334" t="s">
        <v>43181</v>
      </c>
    </row>
    <row r="10335" spans="1:24">
      <c r="A10335">
        <f>HYPERLINK("https://www.philgeps.gov.ph/GEPSNONPILOT/Tender/SplashBidNoticeAbstractUI.aspx?menuIndex=3&amp;refID=7060659&amp;Result=3","7060659")</f>
        <v>0</v>
      </c>
      <c r="B10335" t="s">
        <v>1169</v>
      </c>
      <c r="C10335" t="s">
        <v>13273</v>
      </c>
      <c r="D10335" t="s">
        <v>17458</v>
      </c>
      <c r="E10335" t="s">
        <v>26362</v>
      </c>
      <c r="F10335" t="s">
        <v>30052</v>
      </c>
      <c r="G10335" t="s">
        <v>30058</v>
      </c>
      <c r="H10335" t="s">
        <v>30067</v>
      </c>
      <c r="I10335" t="s">
        <v>3693</v>
      </c>
      <c r="J10335" t="s">
        <v>36517</v>
      </c>
      <c r="K10335" t="s">
        <v>39216</v>
      </c>
      <c r="M10335" t="s">
        <v>40516</v>
      </c>
      <c r="N10335" t="s">
        <v>43166</v>
      </c>
      <c r="O10335" t="s">
        <v>43167</v>
      </c>
      <c r="P10335">
        <v>0</v>
      </c>
      <c r="Q10335">
        <v>9</v>
      </c>
      <c r="R10335" t="s">
        <v>43179</v>
      </c>
      <c r="S10335" t="s">
        <v>43583</v>
      </c>
      <c r="T10335" t="s">
        <v>44948</v>
      </c>
      <c r="U10335" t="s">
        <v>53474</v>
      </c>
      <c r="V10335" t="s">
        <v>57181</v>
      </c>
      <c r="W10335" t="s">
        <v>58625</v>
      </c>
      <c r="X10335" t="s">
        <v>43182</v>
      </c>
    </row>
    <row r="10336" spans="1:24">
      <c r="A10336">
        <f>HYPERLINK("https://www.philgeps.gov.ph/GEPSNONPILOT/Tender/SplashBidNoticeAbstractUI.aspx?menuIndex=3&amp;refID=7064518&amp;Result=3","7064518")</f>
        <v>0</v>
      </c>
      <c r="B10336" t="s">
        <v>29</v>
      </c>
      <c r="C10336" t="s">
        <v>13274</v>
      </c>
      <c r="D10336" t="s">
        <v>17418</v>
      </c>
      <c r="E10336" t="s">
        <v>26363</v>
      </c>
      <c r="F10336" t="s">
        <v>30052</v>
      </c>
      <c r="G10336" t="s">
        <v>30058</v>
      </c>
      <c r="H10336" t="s">
        <v>30067</v>
      </c>
      <c r="I10336" t="s">
        <v>3693</v>
      </c>
      <c r="J10336" t="s">
        <v>36526</v>
      </c>
      <c r="K10336" t="s">
        <v>39089</v>
      </c>
      <c r="M10336" t="s">
        <v>39319</v>
      </c>
      <c r="N10336" t="s">
        <v>43166</v>
      </c>
      <c r="O10336" t="s">
        <v>43167</v>
      </c>
      <c r="P10336">
        <v>0</v>
      </c>
      <c r="Q10336">
        <v>0</v>
      </c>
      <c r="R10336" t="s">
        <v>43179</v>
      </c>
      <c r="S10336" t="s">
        <v>43583</v>
      </c>
      <c r="T10336" t="s">
        <v>45135</v>
      </c>
      <c r="U10336" t="s">
        <v>53475</v>
      </c>
      <c r="W10336" t="s">
        <v>39319</v>
      </c>
      <c r="X10336" t="s">
        <v>43181</v>
      </c>
    </row>
    <row r="10337" spans="1:24">
      <c r="A10337">
        <f>HYPERLINK("https://www.philgeps.gov.ph/GEPSNONPILOT/Tender/SplashBidNoticeAbstractUI.aspx?menuIndex=3&amp;refID=7064486&amp;Result=3","7064486")</f>
        <v>0</v>
      </c>
      <c r="B10337" t="s">
        <v>1707</v>
      </c>
      <c r="C10337" t="s">
        <v>13275</v>
      </c>
      <c r="D10337" t="s">
        <v>17422</v>
      </c>
      <c r="E10337" t="s">
        <v>26364</v>
      </c>
      <c r="F10337" t="s">
        <v>30052</v>
      </c>
      <c r="G10337" t="s">
        <v>30058</v>
      </c>
      <c r="H10337" t="s">
        <v>15498</v>
      </c>
      <c r="I10337" t="s">
        <v>3736</v>
      </c>
      <c r="J10337" t="s">
        <v>36527</v>
      </c>
      <c r="K10337" t="s">
        <v>39037</v>
      </c>
      <c r="M10337" t="s">
        <v>41122</v>
      </c>
      <c r="N10337" t="s">
        <v>43166</v>
      </c>
      <c r="O10337" t="s">
        <v>43167</v>
      </c>
      <c r="P10337">
        <v>0</v>
      </c>
      <c r="Q10337">
        <v>1</v>
      </c>
      <c r="R10337" t="s">
        <v>43179</v>
      </c>
      <c r="S10337" t="s">
        <v>43583</v>
      </c>
      <c r="T10337" t="s">
        <v>44681</v>
      </c>
      <c r="U10337" t="s">
        <v>53476</v>
      </c>
      <c r="V10337" t="s">
        <v>57367</v>
      </c>
      <c r="W10337" t="s">
        <v>41122</v>
      </c>
      <c r="X10337" t="s">
        <v>43181</v>
      </c>
    </row>
    <row r="10338" spans="1:24">
      <c r="A10338">
        <f>HYPERLINK("https://www.philgeps.gov.ph/GEPSNONPILOT/Tender/SplashBidNoticeAbstractUI.aspx?menuIndex=3&amp;refID=7064457&amp;Result=3","7064457")</f>
        <v>0</v>
      </c>
      <c r="B10338" t="s">
        <v>1707</v>
      </c>
      <c r="C10338" t="s">
        <v>13276</v>
      </c>
      <c r="D10338" t="s">
        <v>17422</v>
      </c>
      <c r="E10338" t="s">
        <v>26365</v>
      </c>
      <c r="F10338" t="s">
        <v>30052</v>
      </c>
      <c r="G10338" t="s">
        <v>30058</v>
      </c>
      <c r="H10338" t="s">
        <v>15498</v>
      </c>
      <c r="I10338" t="s">
        <v>3736</v>
      </c>
      <c r="J10338" t="s">
        <v>36528</v>
      </c>
      <c r="K10338" t="s">
        <v>39037</v>
      </c>
      <c r="M10338" t="s">
        <v>41122</v>
      </c>
      <c r="N10338" t="s">
        <v>43166</v>
      </c>
      <c r="O10338" t="s">
        <v>43167</v>
      </c>
      <c r="P10338">
        <v>0</v>
      </c>
      <c r="Q10338">
        <v>2</v>
      </c>
      <c r="R10338" t="s">
        <v>43179</v>
      </c>
      <c r="S10338" t="s">
        <v>43583</v>
      </c>
      <c r="T10338" t="s">
        <v>44681</v>
      </c>
      <c r="U10338" t="s">
        <v>46487</v>
      </c>
      <c r="V10338" t="s">
        <v>57367</v>
      </c>
      <c r="W10338" t="s">
        <v>41122</v>
      </c>
      <c r="X10338" t="s">
        <v>43181</v>
      </c>
    </row>
    <row r="10339" spans="1:24">
      <c r="A10339">
        <f>HYPERLINK("https://www.philgeps.gov.ph/GEPSNONPILOT/Tender/SplashBidNoticeAbstractUI.aspx?menuIndex=3&amp;refID=7064419&amp;Result=3","7064419")</f>
        <v>0</v>
      </c>
      <c r="B10339" t="s">
        <v>2918</v>
      </c>
      <c r="C10339" t="s">
        <v>13277</v>
      </c>
      <c r="D10339" t="s">
        <v>17415</v>
      </c>
      <c r="E10339" t="s">
        <v>26366</v>
      </c>
      <c r="F10339" t="s">
        <v>30052</v>
      </c>
      <c r="G10339" t="s">
        <v>30058</v>
      </c>
      <c r="H10339" t="s">
        <v>15498</v>
      </c>
      <c r="I10339" t="s">
        <v>30094</v>
      </c>
      <c r="J10339" t="s">
        <v>36529</v>
      </c>
      <c r="K10339" t="s">
        <v>39017</v>
      </c>
      <c r="M10339" t="s">
        <v>42481</v>
      </c>
      <c r="N10339" t="s">
        <v>43166</v>
      </c>
      <c r="O10339" t="s">
        <v>43167</v>
      </c>
      <c r="P10339">
        <v>0</v>
      </c>
      <c r="Q10339">
        <v>0</v>
      </c>
      <c r="R10339" t="s">
        <v>43179</v>
      </c>
      <c r="S10339" t="s">
        <v>43583</v>
      </c>
      <c r="T10339" t="s">
        <v>44791</v>
      </c>
      <c r="U10339" t="s">
        <v>53477</v>
      </c>
      <c r="W10339" t="s">
        <v>42481</v>
      </c>
      <c r="X10339" t="s">
        <v>43181</v>
      </c>
    </row>
    <row r="10340" spans="1:24">
      <c r="A10340">
        <f>HYPERLINK("https://www.philgeps.gov.ph/GEPSNONPILOT/Tender/SplashBidNoticeAbstractUI.aspx?menuIndex=3&amp;refID=7064412&amp;Result=3","7064412")</f>
        <v>0</v>
      </c>
      <c r="B10340" t="s">
        <v>2918</v>
      </c>
      <c r="C10340" t="s">
        <v>8859</v>
      </c>
      <c r="D10340" t="s">
        <v>17415</v>
      </c>
      <c r="E10340" t="s">
        <v>26367</v>
      </c>
      <c r="F10340" t="s">
        <v>30052</v>
      </c>
      <c r="G10340" t="s">
        <v>30058</v>
      </c>
      <c r="H10340" t="s">
        <v>15498</v>
      </c>
      <c r="I10340" t="s">
        <v>30076</v>
      </c>
      <c r="J10340" t="s">
        <v>36530</v>
      </c>
      <c r="K10340" t="s">
        <v>39017</v>
      </c>
      <c r="M10340" t="s">
        <v>42481</v>
      </c>
      <c r="N10340" t="s">
        <v>43166</v>
      </c>
      <c r="O10340" t="s">
        <v>43167</v>
      </c>
      <c r="P10340">
        <v>0</v>
      </c>
      <c r="Q10340">
        <v>9</v>
      </c>
      <c r="R10340" t="s">
        <v>43179</v>
      </c>
      <c r="S10340" t="s">
        <v>43583</v>
      </c>
      <c r="T10340" t="s">
        <v>44791</v>
      </c>
      <c r="U10340" t="s">
        <v>53478</v>
      </c>
      <c r="W10340" t="s">
        <v>42481</v>
      </c>
      <c r="X10340" t="s">
        <v>43181</v>
      </c>
    </row>
    <row r="10341" spans="1:24">
      <c r="A10341">
        <f>HYPERLINK("https://www.philgeps.gov.ph/GEPSNONPILOT/Tender/SplashBidNoticeAbstractUI.aspx?menuIndex=3&amp;refID=7064657&amp;Result=3","7064657")</f>
        <v>0</v>
      </c>
      <c r="B10341" t="s">
        <v>2249</v>
      </c>
      <c r="C10341" t="s">
        <v>13278</v>
      </c>
      <c r="E10341" t="s">
        <v>26368</v>
      </c>
      <c r="F10341" t="s">
        <v>30052</v>
      </c>
      <c r="G10341" t="s">
        <v>30058</v>
      </c>
      <c r="H10341" t="s">
        <v>30067</v>
      </c>
      <c r="I10341" t="s">
        <v>3693</v>
      </c>
      <c r="J10341" t="s">
        <v>36531</v>
      </c>
      <c r="K10341" t="s">
        <v>39025</v>
      </c>
      <c r="M10341" t="s">
        <v>41727</v>
      </c>
      <c r="N10341" t="s">
        <v>43166</v>
      </c>
      <c r="O10341" t="s">
        <v>43167</v>
      </c>
      <c r="P10341">
        <v>0</v>
      </c>
      <c r="Q10341">
        <v>6</v>
      </c>
      <c r="R10341" t="s">
        <v>43179</v>
      </c>
      <c r="S10341" t="s">
        <v>43583</v>
      </c>
      <c r="T10341" t="s">
        <v>44811</v>
      </c>
      <c r="U10341" t="s">
        <v>53479</v>
      </c>
      <c r="V10341" t="s">
        <v>57984</v>
      </c>
      <c r="W10341" t="s">
        <v>41727</v>
      </c>
      <c r="X10341" t="s">
        <v>43180</v>
      </c>
    </row>
    <row r="10342" spans="1:24">
      <c r="A10342">
        <f>HYPERLINK("https://www.philgeps.gov.ph/GEPSNONPILOT/Tender/SplashBidNoticeAbstractUI.aspx?menuIndex=3&amp;refID=7064525&amp;Result=3","7064525")</f>
        <v>0</v>
      </c>
      <c r="B10342" t="s">
        <v>29</v>
      </c>
      <c r="C10342" t="s">
        <v>13279</v>
      </c>
      <c r="D10342" t="s">
        <v>17418</v>
      </c>
      <c r="E10342" t="s">
        <v>26369</v>
      </c>
      <c r="F10342" t="s">
        <v>30052</v>
      </c>
      <c r="G10342" t="s">
        <v>30058</v>
      </c>
      <c r="H10342" t="s">
        <v>30067</v>
      </c>
      <c r="I10342" t="s">
        <v>3693</v>
      </c>
      <c r="J10342" t="s">
        <v>36532</v>
      </c>
      <c r="K10342" t="s">
        <v>39239</v>
      </c>
      <c r="M10342" t="s">
        <v>39319</v>
      </c>
      <c r="N10342" t="s">
        <v>43166</v>
      </c>
      <c r="O10342" t="s">
        <v>43167</v>
      </c>
      <c r="P10342">
        <v>0</v>
      </c>
      <c r="Q10342">
        <v>0</v>
      </c>
      <c r="R10342" t="s">
        <v>43179</v>
      </c>
      <c r="S10342" t="s">
        <v>43583</v>
      </c>
      <c r="T10342" t="s">
        <v>45135</v>
      </c>
      <c r="U10342" t="s">
        <v>53480</v>
      </c>
      <c r="W10342" t="s">
        <v>39319</v>
      </c>
      <c r="X10342" t="s">
        <v>43181</v>
      </c>
    </row>
    <row r="10343" spans="1:24">
      <c r="A10343">
        <f>HYPERLINK("https://www.philgeps.gov.ph/GEPSNONPILOT/Tender/SplashBidNoticeAbstractUI.aspx?menuIndex=3&amp;refID=7062598&amp;Result=3","7062598")</f>
        <v>0</v>
      </c>
      <c r="B10343" t="s">
        <v>2919</v>
      </c>
      <c r="C10343" t="s">
        <v>13280</v>
      </c>
      <c r="D10343" t="s">
        <v>17442</v>
      </c>
      <c r="E10343" t="s">
        <v>18749</v>
      </c>
      <c r="F10343" t="s">
        <v>30052</v>
      </c>
      <c r="G10343" t="s">
        <v>30058</v>
      </c>
      <c r="H10343" t="s">
        <v>30067</v>
      </c>
      <c r="I10343" t="s">
        <v>3693</v>
      </c>
      <c r="J10343" t="s">
        <v>30222</v>
      </c>
      <c r="K10343" t="s">
        <v>39026</v>
      </c>
      <c r="M10343" t="s">
        <v>42482</v>
      </c>
      <c r="N10343" t="s">
        <v>43166</v>
      </c>
      <c r="O10343" t="s">
        <v>43167</v>
      </c>
      <c r="P10343">
        <v>0</v>
      </c>
      <c r="Q10343">
        <v>1</v>
      </c>
      <c r="R10343" t="s">
        <v>43179</v>
      </c>
      <c r="S10343" t="s">
        <v>43583</v>
      </c>
      <c r="T10343" t="s">
        <v>44873</v>
      </c>
      <c r="U10343" t="s">
        <v>53481</v>
      </c>
      <c r="W10343" t="s">
        <v>42482</v>
      </c>
      <c r="X10343" t="s">
        <v>43181</v>
      </c>
    </row>
    <row r="10344" spans="1:24">
      <c r="A10344">
        <f>HYPERLINK("https://www.philgeps.gov.ph/GEPSNONPILOT/Tender/SplashBidNoticeAbstractUI.aspx?menuIndex=3&amp;refID=7064767&amp;Result=3","7064767")</f>
        <v>0</v>
      </c>
      <c r="B10344" t="s">
        <v>2920</v>
      </c>
      <c r="C10344" t="s">
        <v>13281</v>
      </c>
      <c r="D10344" t="s">
        <v>17466</v>
      </c>
      <c r="E10344" t="s">
        <v>19663</v>
      </c>
      <c r="F10344" t="s">
        <v>30052</v>
      </c>
      <c r="G10344" t="s">
        <v>30058</v>
      </c>
      <c r="H10344" t="s">
        <v>15498</v>
      </c>
      <c r="I10344" t="s">
        <v>30074</v>
      </c>
      <c r="J10344" t="s">
        <v>30588</v>
      </c>
      <c r="K10344" t="s">
        <v>39025</v>
      </c>
      <c r="M10344" t="s">
        <v>42483</v>
      </c>
      <c r="N10344" t="s">
        <v>43166</v>
      </c>
      <c r="O10344" t="s">
        <v>43167</v>
      </c>
      <c r="P10344">
        <v>0</v>
      </c>
      <c r="Q10344">
        <v>6</v>
      </c>
      <c r="R10344" t="s">
        <v>43179</v>
      </c>
      <c r="S10344" t="s">
        <v>43583</v>
      </c>
      <c r="T10344" t="s">
        <v>44750</v>
      </c>
      <c r="U10344" t="s">
        <v>53482</v>
      </c>
      <c r="W10344" t="s">
        <v>42483</v>
      </c>
      <c r="X10344" t="s">
        <v>43180</v>
      </c>
    </row>
    <row r="10345" spans="1:24">
      <c r="A10345">
        <f>HYPERLINK("https://www.philgeps.gov.ph/GEPSNONPILOT/Tender/SplashBidNoticeAbstractUI.aspx?menuIndex=3&amp;refID=7064760&amp;Result=3","7064760")</f>
        <v>0</v>
      </c>
      <c r="B10345" t="s">
        <v>2921</v>
      </c>
      <c r="C10345" t="s">
        <v>13282</v>
      </c>
      <c r="E10345" t="s">
        <v>26370</v>
      </c>
      <c r="F10345" t="s">
        <v>30052</v>
      </c>
      <c r="G10345" t="s">
        <v>30058</v>
      </c>
      <c r="H10345" t="s">
        <v>15498</v>
      </c>
      <c r="I10345" t="s">
        <v>30124</v>
      </c>
      <c r="J10345" t="s">
        <v>32690</v>
      </c>
      <c r="K10345" t="s">
        <v>39025</v>
      </c>
      <c r="M10345" t="s">
        <v>42484</v>
      </c>
      <c r="N10345" t="s">
        <v>43166</v>
      </c>
      <c r="O10345" t="s">
        <v>43167</v>
      </c>
      <c r="P10345">
        <v>0</v>
      </c>
      <c r="Q10345">
        <v>7</v>
      </c>
      <c r="R10345" t="s">
        <v>43179</v>
      </c>
      <c r="S10345" t="s">
        <v>43583</v>
      </c>
      <c r="T10345" t="s">
        <v>44704</v>
      </c>
      <c r="U10345" t="s">
        <v>53483</v>
      </c>
      <c r="V10345" t="s">
        <v>57985</v>
      </c>
      <c r="W10345" t="s">
        <v>42484</v>
      </c>
      <c r="X10345" t="s">
        <v>43180</v>
      </c>
    </row>
    <row r="10346" spans="1:24">
      <c r="A10346">
        <f>HYPERLINK("https://www.philgeps.gov.ph/GEPSNONPILOT/Tender/SplashBidNoticeAbstractUI.aspx?menuIndex=3&amp;refID=7064743&amp;Result=3","7064743")</f>
        <v>0</v>
      </c>
      <c r="B10346" t="s">
        <v>2180</v>
      </c>
      <c r="C10346" t="s">
        <v>13283</v>
      </c>
      <c r="D10346" t="s">
        <v>17458</v>
      </c>
      <c r="E10346" t="s">
        <v>26371</v>
      </c>
      <c r="F10346" t="s">
        <v>30052</v>
      </c>
      <c r="G10346" t="s">
        <v>30058</v>
      </c>
      <c r="H10346" t="s">
        <v>30067</v>
      </c>
      <c r="I10346" t="s">
        <v>3693</v>
      </c>
      <c r="J10346" t="s">
        <v>30321</v>
      </c>
      <c r="K10346" t="s">
        <v>39022</v>
      </c>
      <c r="M10346" t="s">
        <v>41648</v>
      </c>
      <c r="N10346" t="s">
        <v>43166</v>
      </c>
      <c r="O10346" t="s">
        <v>43167</v>
      </c>
      <c r="P10346">
        <v>0</v>
      </c>
      <c r="Q10346">
        <v>0</v>
      </c>
      <c r="R10346" t="s">
        <v>43179</v>
      </c>
      <c r="S10346" t="s">
        <v>43583</v>
      </c>
      <c r="T10346" t="s">
        <v>44698</v>
      </c>
      <c r="U10346" t="s">
        <v>53484</v>
      </c>
      <c r="V10346" t="s">
        <v>57986</v>
      </c>
      <c r="W10346" t="s">
        <v>41648</v>
      </c>
      <c r="X10346" t="s">
        <v>43180</v>
      </c>
    </row>
    <row r="10347" spans="1:24">
      <c r="A10347">
        <f>HYPERLINK("https://www.philgeps.gov.ph/GEPSNONPILOT/Tender/SplashBidNoticeAbstractUI.aspx?menuIndex=3&amp;refID=7064724&amp;Result=3","7064724")</f>
        <v>0</v>
      </c>
      <c r="B10347" t="s">
        <v>2226</v>
      </c>
      <c r="C10347" t="s">
        <v>13284</v>
      </c>
      <c r="D10347" t="s">
        <v>17452</v>
      </c>
      <c r="E10347" t="s">
        <v>26372</v>
      </c>
      <c r="F10347" t="s">
        <v>30052</v>
      </c>
      <c r="G10347" t="s">
        <v>30058</v>
      </c>
      <c r="H10347" t="s">
        <v>30067</v>
      </c>
      <c r="I10347" t="s">
        <v>3693</v>
      </c>
      <c r="J10347" t="s">
        <v>30215</v>
      </c>
      <c r="K10347" t="s">
        <v>39198</v>
      </c>
      <c r="M10347" t="s">
        <v>41698</v>
      </c>
      <c r="N10347" t="s">
        <v>43166</v>
      </c>
      <c r="O10347" t="s">
        <v>43167</v>
      </c>
      <c r="P10347">
        <v>0</v>
      </c>
      <c r="Q10347">
        <v>2</v>
      </c>
      <c r="R10347" t="s">
        <v>43179</v>
      </c>
      <c r="S10347" t="s">
        <v>43583</v>
      </c>
      <c r="T10347" t="s">
        <v>44764</v>
      </c>
      <c r="U10347" t="s">
        <v>53485</v>
      </c>
      <c r="W10347" t="s">
        <v>41698</v>
      </c>
      <c r="X10347" t="s">
        <v>43180</v>
      </c>
    </row>
    <row r="10348" spans="1:24">
      <c r="A10348">
        <f>HYPERLINK("https://www.philgeps.gov.ph/GEPSNONPILOT/Tender/SplashBidNoticeAbstractUI.aspx?menuIndex=3&amp;refID=7064405&amp;Result=3","7064405")</f>
        <v>0</v>
      </c>
      <c r="B10348" t="s">
        <v>2918</v>
      </c>
      <c r="C10348" t="s">
        <v>10336</v>
      </c>
      <c r="D10348" t="s">
        <v>17415</v>
      </c>
      <c r="E10348" t="s">
        <v>26373</v>
      </c>
      <c r="F10348" t="s">
        <v>30052</v>
      </c>
      <c r="G10348" t="s">
        <v>30058</v>
      </c>
      <c r="H10348" t="s">
        <v>15498</v>
      </c>
      <c r="I10348" t="s">
        <v>30109</v>
      </c>
      <c r="J10348" t="s">
        <v>36533</v>
      </c>
      <c r="K10348" t="s">
        <v>39017</v>
      </c>
      <c r="M10348" t="s">
        <v>42481</v>
      </c>
      <c r="N10348" t="s">
        <v>43166</v>
      </c>
      <c r="O10348" t="s">
        <v>43167</v>
      </c>
      <c r="P10348">
        <v>0</v>
      </c>
      <c r="Q10348">
        <v>1</v>
      </c>
      <c r="R10348" t="s">
        <v>43179</v>
      </c>
      <c r="S10348" t="s">
        <v>43583</v>
      </c>
      <c r="T10348" t="s">
        <v>44791</v>
      </c>
      <c r="U10348" t="s">
        <v>53477</v>
      </c>
      <c r="W10348" t="s">
        <v>42481</v>
      </c>
      <c r="X10348" t="s">
        <v>43181</v>
      </c>
    </row>
    <row r="10349" spans="1:24">
      <c r="A10349">
        <f>HYPERLINK("https://www.philgeps.gov.ph/GEPSNONPILOT/Tender/SplashBidNoticeAbstractUI.aspx?menuIndex=3&amp;refID=7064702&amp;Result=3","7064702")</f>
        <v>0</v>
      </c>
      <c r="B10349" t="s">
        <v>158</v>
      </c>
      <c r="C10349" t="s">
        <v>13285</v>
      </c>
      <c r="D10349" t="s">
        <v>17471</v>
      </c>
      <c r="E10349" t="s">
        <v>26374</v>
      </c>
      <c r="F10349" t="s">
        <v>30052</v>
      </c>
      <c r="G10349" t="s">
        <v>30058</v>
      </c>
      <c r="H10349" t="s">
        <v>15498</v>
      </c>
      <c r="I10349" t="s">
        <v>30078</v>
      </c>
      <c r="J10349" t="s">
        <v>30605</v>
      </c>
      <c r="K10349" t="s">
        <v>39029</v>
      </c>
      <c r="M10349" t="s">
        <v>39447</v>
      </c>
      <c r="N10349" t="s">
        <v>43166</v>
      </c>
      <c r="O10349" t="s">
        <v>43167</v>
      </c>
      <c r="P10349">
        <v>0</v>
      </c>
      <c r="Q10349">
        <v>0</v>
      </c>
      <c r="R10349" t="s">
        <v>43179</v>
      </c>
      <c r="S10349" t="s">
        <v>43583</v>
      </c>
      <c r="T10349" t="s">
        <v>44844</v>
      </c>
      <c r="U10349" t="s">
        <v>53486</v>
      </c>
      <c r="W10349" t="s">
        <v>39447</v>
      </c>
      <c r="X10349" t="s">
        <v>43180</v>
      </c>
    </row>
    <row r="10350" spans="1:24">
      <c r="A10350">
        <f>HYPERLINK("https://www.philgeps.gov.ph/GEPSNONPILOT/Tender/SplashBidNoticeAbstractUI.aspx?menuIndex=3&amp;refID=7064685&amp;Result=3","7064685")</f>
        <v>0</v>
      </c>
      <c r="B10350" t="s">
        <v>921</v>
      </c>
      <c r="C10350" t="s">
        <v>13286</v>
      </c>
      <c r="D10350" t="s">
        <v>17421</v>
      </c>
      <c r="E10350" t="s">
        <v>26375</v>
      </c>
      <c r="F10350" t="s">
        <v>30052</v>
      </c>
      <c r="G10350" t="s">
        <v>30058</v>
      </c>
      <c r="H10350" t="s">
        <v>15498</v>
      </c>
      <c r="I10350" t="s">
        <v>4650</v>
      </c>
      <c r="J10350" t="s">
        <v>30277</v>
      </c>
      <c r="K10350" t="s">
        <v>39025</v>
      </c>
      <c r="M10350" t="s">
        <v>40244</v>
      </c>
      <c r="N10350" t="s">
        <v>43166</v>
      </c>
      <c r="O10350" t="s">
        <v>43167</v>
      </c>
      <c r="P10350">
        <v>0</v>
      </c>
      <c r="Q10350">
        <v>0</v>
      </c>
      <c r="R10350" t="s">
        <v>43179</v>
      </c>
      <c r="S10350" t="s">
        <v>43583</v>
      </c>
      <c r="T10350" t="s">
        <v>44717</v>
      </c>
      <c r="U10350" t="s">
        <v>53487</v>
      </c>
      <c r="W10350" t="s">
        <v>40244</v>
      </c>
      <c r="X10350" t="s">
        <v>43180</v>
      </c>
    </row>
    <row r="10351" spans="1:24">
      <c r="A10351">
        <f>HYPERLINK("https://www.philgeps.gov.ph/GEPSNONPILOT/Tender/SplashBidNoticeAbstractUI.aspx?menuIndex=3&amp;refID=7064683&amp;Result=3","7064683")</f>
        <v>0</v>
      </c>
      <c r="B10351" t="s">
        <v>2226</v>
      </c>
      <c r="C10351" t="s">
        <v>13287</v>
      </c>
      <c r="D10351" t="s">
        <v>17452</v>
      </c>
      <c r="E10351" t="s">
        <v>26376</v>
      </c>
      <c r="F10351" t="s">
        <v>30052</v>
      </c>
      <c r="G10351" t="s">
        <v>30058</v>
      </c>
      <c r="H10351" t="s">
        <v>30067</v>
      </c>
      <c r="I10351" t="s">
        <v>3736</v>
      </c>
      <c r="J10351" t="s">
        <v>36534</v>
      </c>
      <c r="K10351" t="s">
        <v>39198</v>
      </c>
      <c r="M10351" t="s">
        <v>41698</v>
      </c>
      <c r="N10351" t="s">
        <v>43166</v>
      </c>
      <c r="O10351" t="s">
        <v>43167</v>
      </c>
      <c r="P10351">
        <v>0</v>
      </c>
      <c r="Q10351">
        <v>0</v>
      </c>
      <c r="R10351" t="s">
        <v>43179</v>
      </c>
      <c r="S10351" t="s">
        <v>43583</v>
      </c>
      <c r="T10351" t="s">
        <v>44764</v>
      </c>
      <c r="U10351" t="s">
        <v>53488</v>
      </c>
      <c r="W10351" t="s">
        <v>41698</v>
      </c>
      <c r="X10351" t="s">
        <v>43180</v>
      </c>
    </row>
    <row r="10352" spans="1:24">
      <c r="A10352">
        <f>HYPERLINK("https://www.philgeps.gov.ph/GEPSNONPILOT/Tender/SplashBidNoticeAbstractUI.aspx?menuIndex=3&amp;refID=7064720&amp;Result=3","7064720")</f>
        <v>0</v>
      </c>
      <c r="B10352" t="s">
        <v>2920</v>
      </c>
      <c r="C10352" t="s">
        <v>13288</v>
      </c>
      <c r="D10352" t="s">
        <v>17466</v>
      </c>
      <c r="E10352" t="s">
        <v>19629</v>
      </c>
      <c r="F10352" t="s">
        <v>30052</v>
      </c>
      <c r="G10352" t="s">
        <v>30058</v>
      </c>
      <c r="H10352" t="s">
        <v>15498</v>
      </c>
      <c r="I10352" t="s">
        <v>30074</v>
      </c>
      <c r="J10352" t="s">
        <v>36535</v>
      </c>
      <c r="K10352" t="s">
        <v>39025</v>
      </c>
      <c r="M10352" t="s">
        <v>42483</v>
      </c>
      <c r="N10352" t="s">
        <v>43166</v>
      </c>
      <c r="O10352" t="s">
        <v>43167</v>
      </c>
      <c r="P10352">
        <v>0</v>
      </c>
      <c r="Q10352">
        <v>7</v>
      </c>
      <c r="R10352" t="s">
        <v>43179</v>
      </c>
      <c r="S10352" t="s">
        <v>43583</v>
      </c>
      <c r="T10352" t="s">
        <v>44750</v>
      </c>
      <c r="U10352" t="s">
        <v>53489</v>
      </c>
      <c r="V10352" t="s">
        <v>57987</v>
      </c>
      <c r="W10352" t="s">
        <v>42483</v>
      </c>
      <c r="X10352" t="s">
        <v>43180</v>
      </c>
    </row>
    <row r="10353" spans="1:24">
      <c r="A10353">
        <f>HYPERLINK("https://www.philgeps.gov.ph/GEPSNONPILOT/Tender/SplashBidNoticeAbstractUI.aspx?menuIndex=3&amp;refID=7064624&amp;Result=3","7064624")</f>
        <v>0</v>
      </c>
      <c r="B10353" t="s">
        <v>1881</v>
      </c>
      <c r="C10353" t="s">
        <v>13289</v>
      </c>
      <c r="D10353" t="s">
        <v>17468</v>
      </c>
      <c r="E10353" t="s">
        <v>26377</v>
      </c>
      <c r="F10353" t="s">
        <v>30052</v>
      </c>
      <c r="G10353" t="s">
        <v>30058</v>
      </c>
      <c r="H10353" t="s">
        <v>30067</v>
      </c>
      <c r="I10353" t="s">
        <v>3693</v>
      </c>
      <c r="J10353" t="s">
        <v>30221</v>
      </c>
      <c r="K10353" t="s">
        <v>39080</v>
      </c>
      <c r="M10353" t="s">
        <v>41312</v>
      </c>
      <c r="N10353" t="s">
        <v>43166</v>
      </c>
      <c r="O10353" t="s">
        <v>43167</v>
      </c>
      <c r="P10353">
        <v>0</v>
      </c>
      <c r="Q10353">
        <v>0</v>
      </c>
      <c r="R10353" t="s">
        <v>43179</v>
      </c>
      <c r="S10353" t="s">
        <v>43583</v>
      </c>
      <c r="T10353" t="s">
        <v>44687</v>
      </c>
      <c r="U10353" t="s">
        <v>49695</v>
      </c>
      <c r="W10353" t="s">
        <v>41312</v>
      </c>
      <c r="X10353" t="s">
        <v>43180</v>
      </c>
    </row>
    <row r="10354" spans="1:24">
      <c r="A10354">
        <f>HYPERLINK("https://www.philgeps.gov.ph/GEPSNONPILOT/Tender/SplashBidNoticeAbstractUI.aspx?menuIndex=3&amp;refID=7064686&amp;Result=3","7064686")</f>
        <v>0</v>
      </c>
      <c r="B10354" t="s">
        <v>2920</v>
      </c>
      <c r="C10354" t="s">
        <v>13290</v>
      </c>
      <c r="D10354" t="s">
        <v>17466</v>
      </c>
      <c r="E10354" t="s">
        <v>19599</v>
      </c>
      <c r="F10354" t="s">
        <v>30052</v>
      </c>
      <c r="G10354" t="s">
        <v>30058</v>
      </c>
      <c r="H10354" t="s">
        <v>15498</v>
      </c>
      <c r="I10354" t="s">
        <v>30074</v>
      </c>
      <c r="J10354" t="s">
        <v>36536</v>
      </c>
      <c r="K10354" t="s">
        <v>39025</v>
      </c>
      <c r="M10354" t="s">
        <v>42483</v>
      </c>
      <c r="N10354" t="s">
        <v>43166</v>
      </c>
      <c r="O10354" t="s">
        <v>43167</v>
      </c>
      <c r="P10354">
        <v>0</v>
      </c>
      <c r="Q10354">
        <v>4</v>
      </c>
      <c r="R10354" t="s">
        <v>43179</v>
      </c>
      <c r="S10354" t="s">
        <v>43583</v>
      </c>
      <c r="T10354" t="s">
        <v>44750</v>
      </c>
      <c r="U10354" t="s">
        <v>53490</v>
      </c>
      <c r="W10354" t="s">
        <v>42483</v>
      </c>
      <c r="X10354" t="s">
        <v>43180</v>
      </c>
    </row>
    <row r="10355" spans="1:24">
      <c r="A10355">
        <f>HYPERLINK("https://www.philgeps.gov.ph/GEPSNONPILOT/Tender/SplashBidNoticeAbstractUI.aspx?menuIndex=3&amp;refID=7064613&amp;Result=3","7064613")</f>
        <v>0</v>
      </c>
      <c r="B10355" t="s">
        <v>816</v>
      </c>
      <c r="C10355" t="s">
        <v>13291</v>
      </c>
      <c r="D10355" t="s">
        <v>17449</v>
      </c>
      <c r="E10355" t="s">
        <v>26378</v>
      </c>
      <c r="F10355" t="s">
        <v>30052</v>
      </c>
      <c r="G10355" t="s">
        <v>30058</v>
      </c>
      <c r="H10355" t="s">
        <v>30067</v>
      </c>
      <c r="I10355" t="s">
        <v>3693</v>
      </c>
      <c r="J10355" t="s">
        <v>36537</v>
      </c>
      <c r="K10355" t="s">
        <v>39085</v>
      </c>
      <c r="M10355" t="s">
        <v>40133</v>
      </c>
      <c r="N10355" t="s">
        <v>43166</v>
      </c>
      <c r="O10355" t="s">
        <v>43167</v>
      </c>
      <c r="P10355">
        <v>0</v>
      </c>
      <c r="Q10355">
        <v>3</v>
      </c>
      <c r="R10355" t="s">
        <v>43179</v>
      </c>
      <c r="S10355" t="s">
        <v>43583</v>
      </c>
      <c r="T10355" t="s">
        <v>44753</v>
      </c>
      <c r="U10355" t="s">
        <v>53491</v>
      </c>
      <c r="W10355" t="s">
        <v>40133</v>
      </c>
      <c r="X10355" t="s">
        <v>43180</v>
      </c>
    </row>
    <row r="10356" spans="1:24">
      <c r="A10356">
        <f>HYPERLINK("https://www.philgeps.gov.ph/GEPSNONPILOT/Tender/SplashBidNoticeAbstractUI.aspx?menuIndex=3&amp;refID=7064660&amp;Result=3","7064660")</f>
        <v>0</v>
      </c>
      <c r="B10356" t="s">
        <v>2922</v>
      </c>
      <c r="C10356" t="s">
        <v>13292</v>
      </c>
      <c r="E10356" t="s">
        <v>17919</v>
      </c>
      <c r="F10356" t="s">
        <v>30052</v>
      </c>
      <c r="G10356" t="s">
        <v>30058</v>
      </c>
      <c r="H10356" t="s">
        <v>15498</v>
      </c>
      <c r="I10356" t="s">
        <v>3736</v>
      </c>
      <c r="J10356" t="s">
        <v>36538</v>
      </c>
      <c r="K10356" t="s">
        <v>39034</v>
      </c>
      <c r="M10356" t="s">
        <v>42485</v>
      </c>
      <c r="N10356" t="s">
        <v>43166</v>
      </c>
      <c r="O10356" t="s">
        <v>43167</v>
      </c>
      <c r="P10356">
        <v>0</v>
      </c>
      <c r="Q10356">
        <v>0</v>
      </c>
      <c r="R10356" t="s">
        <v>43179</v>
      </c>
      <c r="S10356" t="s">
        <v>43583</v>
      </c>
      <c r="T10356" t="s">
        <v>44699</v>
      </c>
      <c r="U10356" t="s">
        <v>53492</v>
      </c>
      <c r="V10356" t="s">
        <v>57988</v>
      </c>
      <c r="W10356" t="s">
        <v>42485</v>
      </c>
      <c r="X10356" t="s">
        <v>43180</v>
      </c>
    </row>
    <row r="10357" spans="1:24">
      <c r="A10357">
        <f>HYPERLINK("https://www.philgeps.gov.ph/GEPSNONPILOT/Tender/SplashBidNoticeAbstractUI.aspx?menuIndex=3&amp;refID=7059757&amp;Result=3","7059757")</f>
        <v>0</v>
      </c>
      <c r="B10357" t="s">
        <v>2911</v>
      </c>
      <c r="C10357" t="s">
        <v>13293</v>
      </c>
      <c r="D10357" t="s">
        <v>17434</v>
      </c>
      <c r="E10357" t="s">
        <v>26379</v>
      </c>
      <c r="F10357" t="s">
        <v>30052</v>
      </c>
      <c r="G10357" t="s">
        <v>30058</v>
      </c>
      <c r="H10357" t="s">
        <v>15498</v>
      </c>
      <c r="I10357" t="s">
        <v>30070</v>
      </c>
      <c r="J10357" t="s">
        <v>36539</v>
      </c>
      <c r="K10357" t="s">
        <v>39017</v>
      </c>
      <c r="M10357" t="s">
        <v>42468</v>
      </c>
      <c r="N10357" t="s">
        <v>43166</v>
      </c>
      <c r="O10357" t="s">
        <v>43167</v>
      </c>
      <c r="P10357">
        <v>0</v>
      </c>
      <c r="Q10357">
        <v>0</v>
      </c>
      <c r="R10357" t="s">
        <v>43179</v>
      </c>
      <c r="S10357" t="s">
        <v>43583</v>
      </c>
      <c r="T10357" t="s">
        <v>45043</v>
      </c>
      <c r="U10357" t="s">
        <v>53493</v>
      </c>
      <c r="W10357" t="s">
        <v>42468</v>
      </c>
      <c r="X10357" t="s">
        <v>43182</v>
      </c>
    </row>
    <row r="10358" spans="1:24">
      <c r="A10358">
        <f>HYPERLINK("https://www.philgeps.gov.ph/GEPSNONPILOT/Tender/SplashBidNoticeAbstractUI.aspx?menuIndex=3&amp;refID=7062624&amp;Result=3","7062624")</f>
        <v>0</v>
      </c>
      <c r="B10358" t="s">
        <v>2452</v>
      </c>
      <c r="C10358" t="s">
        <v>13294</v>
      </c>
      <c r="D10358" t="s">
        <v>17459</v>
      </c>
      <c r="E10358" t="s">
        <v>26380</v>
      </c>
      <c r="F10358" t="s">
        <v>30052</v>
      </c>
      <c r="G10358" t="s">
        <v>30058</v>
      </c>
      <c r="H10358" t="s">
        <v>15498</v>
      </c>
      <c r="I10358" t="s">
        <v>3736</v>
      </c>
      <c r="J10358" t="s">
        <v>36540</v>
      </c>
      <c r="K10358" t="s">
        <v>39019</v>
      </c>
      <c r="M10358" t="s">
        <v>42377</v>
      </c>
      <c r="N10358" t="s">
        <v>43166</v>
      </c>
      <c r="O10358" t="s">
        <v>43167</v>
      </c>
      <c r="P10358">
        <v>0</v>
      </c>
      <c r="Q10358">
        <v>1</v>
      </c>
      <c r="R10358" t="s">
        <v>43179</v>
      </c>
      <c r="S10358" t="s">
        <v>43583</v>
      </c>
      <c r="T10358" t="s">
        <v>45012</v>
      </c>
      <c r="U10358" t="s">
        <v>52986</v>
      </c>
      <c r="W10358" t="s">
        <v>42377</v>
      </c>
      <c r="X10358" t="s">
        <v>43181</v>
      </c>
    </row>
    <row r="10359" spans="1:24">
      <c r="A10359">
        <f>HYPERLINK("https://www.philgeps.gov.ph/GEPSNONPILOT/Tender/SplashBidNoticeAbstractUI.aspx?menuIndex=3&amp;refID=7064603&amp;Result=3","7064603")</f>
        <v>0</v>
      </c>
      <c r="B10359" t="s">
        <v>2923</v>
      </c>
      <c r="C10359" t="s">
        <v>13295</v>
      </c>
      <c r="D10359" t="s">
        <v>17445</v>
      </c>
      <c r="E10359" t="s">
        <v>26381</v>
      </c>
      <c r="F10359" t="s">
        <v>30052</v>
      </c>
      <c r="G10359" t="s">
        <v>30058</v>
      </c>
      <c r="H10359" t="s">
        <v>15498</v>
      </c>
      <c r="I10359" t="s">
        <v>30130</v>
      </c>
      <c r="J10359" t="s">
        <v>36541</v>
      </c>
      <c r="K10359" t="s">
        <v>39046</v>
      </c>
      <c r="M10359" t="s">
        <v>42486</v>
      </c>
      <c r="N10359" t="s">
        <v>43166</v>
      </c>
      <c r="O10359" t="s">
        <v>43167</v>
      </c>
      <c r="P10359">
        <v>0</v>
      </c>
      <c r="Q10359">
        <v>14</v>
      </c>
      <c r="R10359" t="s">
        <v>43179</v>
      </c>
      <c r="S10359" t="s">
        <v>43583</v>
      </c>
      <c r="T10359" t="s">
        <v>44780</v>
      </c>
      <c r="U10359" t="s">
        <v>53494</v>
      </c>
      <c r="V10359" t="s">
        <v>57989</v>
      </c>
      <c r="W10359" t="s">
        <v>42486</v>
      </c>
      <c r="X10359" t="s">
        <v>43180</v>
      </c>
    </row>
    <row r="10360" spans="1:24">
      <c r="A10360">
        <f>HYPERLINK("https://www.philgeps.gov.ph/GEPSNONPILOT/Tender/SplashBidNoticeAbstractUI.aspx?menuIndex=3&amp;refID=7064582&amp;Result=3","7064582")</f>
        <v>0</v>
      </c>
      <c r="B10360" t="s">
        <v>431</v>
      </c>
      <c r="C10360" t="s">
        <v>13296</v>
      </c>
      <c r="D10360" t="s">
        <v>17482</v>
      </c>
      <c r="E10360" t="s">
        <v>26382</v>
      </c>
      <c r="F10360" t="s">
        <v>30054</v>
      </c>
      <c r="G10360" t="s">
        <v>30058</v>
      </c>
      <c r="H10360" t="s">
        <v>15498</v>
      </c>
      <c r="I10360" t="s">
        <v>3736</v>
      </c>
      <c r="J10360" t="s">
        <v>36542</v>
      </c>
      <c r="K10360" t="s">
        <v>39034</v>
      </c>
      <c r="M10360" t="s">
        <v>39730</v>
      </c>
      <c r="N10360" t="s">
        <v>43166</v>
      </c>
      <c r="O10360" t="s">
        <v>43167</v>
      </c>
      <c r="P10360">
        <v>0</v>
      </c>
      <c r="Q10360">
        <v>0</v>
      </c>
      <c r="R10360" t="s">
        <v>43179</v>
      </c>
      <c r="S10360" t="s">
        <v>43583</v>
      </c>
      <c r="T10360" t="s">
        <v>44719</v>
      </c>
      <c r="U10360" t="s">
        <v>53495</v>
      </c>
      <c r="W10360" t="s">
        <v>39730</v>
      </c>
      <c r="X10360" t="s">
        <v>43180</v>
      </c>
    </row>
    <row r="10361" spans="1:24">
      <c r="A10361">
        <f>HYPERLINK("https://www.philgeps.gov.ph/GEPSNONPILOT/Tender/SplashBidNoticeAbstractUI.aspx?menuIndex=3&amp;refID=7060769&amp;Result=3","7060769")</f>
        <v>0</v>
      </c>
      <c r="B10361" t="s">
        <v>2911</v>
      </c>
      <c r="C10361" t="s">
        <v>13297</v>
      </c>
      <c r="D10361" t="s">
        <v>17434</v>
      </c>
      <c r="E10361" t="s">
        <v>26383</v>
      </c>
      <c r="F10361" t="s">
        <v>30052</v>
      </c>
      <c r="G10361" t="s">
        <v>30058</v>
      </c>
      <c r="H10361" t="s">
        <v>15498</v>
      </c>
      <c r="I10361" t="s">
        <v>30171</v>
      </c>
      <c r="J10361" t="s">
        <v>30230</v>
      </c>
      <c r="K10361" t="s">
        <v>39017</v>
      </c>
      <c r="M10361" t="s">
        <v>42468</v>
      </c>
      <c r="N10361" t="s">
        <v>43166</v>
      </c>
      <c r="O10361" t="s">
        <v>43167</v>
      </c>
      <c r="P10361">
        <v>0</v>
      </c>
      <c r="Q10361">
        <v>2</v>
      </c>
      <c r="R10361" t="s">
        <v>43179</v>
      </c>
      <c r="S10361" t="s">
        <v>43583</v>
      </c>
      <c r="T10361" t="s">
        <v>45043</v>
      </c>
      <c r="U10361" t="s">
        <v>53496</v>
      </c>
      <c r="W10361" t="s">
        <v>42468</v>
      </c>
      <c r="X10361" t="s">
        <v>43182</v>
      </c>
    </row>
    <row r="10362" spans="1:24">
      <c r="A10362">
        <f>HYPERLINK("https://www.philgeps.gov.ph/GEPSNONPILOT/Tender/SplashBidNoticeAbstractUI.aspx?menuIndex=3&amp;refID=7064946&amp;Result=3","7064946")</f>
        <v>0</v>
      </c>
      <c r="B10362" t="s">
        <v>2924</v>
      </c>
      <c r="C10362" t="s">
        <v>13298</v>
      </c>
      <c r="D10362" t="s">
        <v>17425</v>
      </c>
      <c r="E10362" t="s">
        <v>26384</v>
      </c>
      <c r="F10362" t="s">
        <v>30052</v>
      </c>
      <c r="G10362" t="s">
        <v>30058</v>
      </c>
      <c r="H10362" t="s">
        <v>30069</v>
      </c>
      <c r="I10362" t="s">
        <v>30140</v>
      </c>
      <c r="J10362" t="s">
        <v>30218</v>
      </c>
      <c r="K10362" t="s">
        <v>39019</v>
      </c>
      <c r="M10362" t="s">
        <v>42487</v>
      </c>
      <c r="N10362" t="s">
        <v>43166</v>
      </c>
      <c r="O10362" t="s">
        <v>43167</v>
      </c>
      <c r="Q10362">
        <v>11</v>
      </c>
      <c r="R10362" t="s">
        <v>43179</v>
      </c>
      <c r="S10362" t="s">
        <v>43601</v>
      </c>
      <c r="T10362" t="s">
        <v>44754</v>
      </c>
      <c r="U10362" t="s">
        <v>52508</v>
      </c>
      <c r="V10362" t="s">
        <v>57990</v>
      </c>
      <c r="W10362" t="s">
        <v>42487</v>
      </c>
      <c r="X10362" t="s">
        <v>43180</v>
      </c>
    </row>
    <row r="10363" spans="1:24">
      <c r="A10363">
        <f>HYPERLINK("https://www.philgeps.gov.ph/GEPSNONPILOT/Tender/SplashBidNoticeAbstractUI.aspx?menuIndex=3&amp;refID=7064938&amp;Result=3","7064938")</f>
        <v>0</v>
      </c>
      <c r="B10363" t="s">
        <v>1424</v>
      </c>
      <c r="C10363" t="s">
        <v>13299</v>
      </c>
      <c r="D10363" t="s">
        <v>17413</v>
      </c>
      <c r="E10363" t="s">
        <v>26385</v>
      </c>
      <c r="F10363" t="s">
        <v>30052</v>
      </c>
      <c r="G10363" t="s">
        <v>30058</v>
      </c>
      <c r="H10363" t="s">
        <v>30069</v>
      </c>
      <c r="I10363" t="s">
        <v>30072</v>
      </c>
      <c r="J10363" t="s">
        <v>31060</v>
      </c>
      <c r="K10363" t="s">
        <v>39048</v>
      </c>
      <c r="L10363" t="s">
        <v>1424</v>
      </c>
      <c r="M10363" t="s">
        <v>40802</v>
      </c>
      <c r="N10363" t="s">
        <v>43166</v>
      </c>
      <c r="O10363" t="s">
        <v>43167</v>
      </c>
      <c r="P10363">
        <v>0</v>
      </c>
      <c r="Q10363">
        <v>4</v>
      </c>
      <c r="R10363" t="s">
        <v>43179</v>
      </c>
      <c r="S10363" t="s">
        <v>43583</v>
      </c>
      <c r="T10363" t="s">
        <v>44704</v>
      </c>
      <c r="U10363" t="s">
        <v>53497</v>
      </c>
      <c r="V10363" t="s">
        <v>57991</v>
      </c>
      <c r="W10363" t="s">
        <v>40802</v>
      </c>
      <c r="X10363" t="s">
        <v>43180</v>
      </c>
    </row>
    <row r="10364" spans="1:24">
      <c r="A10364">
        <f>HYPERLINK("https://www.philgeps.gov.ph/GEPSNONPILOT/Tender/SplashBidNoticeAbstractUI.aspx?menuIndex=3&amp;refID=7064610&amp;Result=3","7064610")</f>
        <v>0</v>
      </c>
      <c r="B10364" t="s">
        <v>2923</v>
      </c>
      <c r="C10364" t="s">
        <v>13300</v>
      </c>
      <c r="D10364" t="s">
        <v>17445</v>
      </c>
      <c r="E10364" t="s">
        <v>26386</v>
      </c>
      <c r="F10364" t="s">
        <v>30052</v>
      </c>
      <c r="G10364" t="s">
        <v>30058</v>
      </c>
      <c r="H10364" t="s">
        <v>15498</v>
      </c>
      <c r="I10364" t="s">
        <v>30088</v>
      </c>
      <c r="J10364" t="s">
        <v>36543</v>
      </c>
      <c r="K10364" t="s">
        <v>39046</v>
      </c>
      <c r="M10364" t="s">
        <v>42486</v>
      </c>
      <c r="N10364" t="s">
        <v>43166</v>
      </c>
      <c r="O10364" t="s">
        <v>43167</v>
      </c>
      <c r="P10364">
        <v>0</v>
      </c>
      <c r="Q10364">
        <v>20</v>
      </c>
      <c r="R10364" t="s">
        <v>43179</v>
      </c>
      <c r="S10364" t="s">
        <v>43583</v>
      </c>
      <c r="T10364" t="s">
        <v>44780</v>
      </c>
      <c r="U10364" t="s">
        <v>53498</v>
      </c>
      <c r="V10364" t="s">
        <v>57989</v>
      </c>
      <c r="W10364" t="s">
        <v>42486</v>
      </c>
      <c r="X10364" t="s">
        <v>43180</v>
      </c>
    </row>
    <row r="10365" spans="1:24">
      <c r="A10365">
        <f>HYPERLINK("https://www.philgeps.gov.ph/GEPSNONPILOT/Tender/SplashBidNoticeAbstractUI.aspx?menuIndex=3&amp;refID=7064936&amp;Result=3","7064936")</f>
        <v>0</v>
      </c>
      <c r="B10365" t="s">
        <v>1561</v>
      </c>
      <c r="C10365" t="s">
        <v>13301</v>
      </c>
      <c r="D10365" t="s">
        <v>17445</v>
      </c>
      <c r="E10365" t="s">
        <v>26387</v>
      </c>
      <c r="F10365" t="s">
        <v>30052</v>
      </c>
      <c r="G10365" t="s">
        <v>30058</v>
      </c>
      <c r="H10365" t="s">
        <v>15498</v>
      </c>
      <c r="I10365" t="s">
        <v>30074</v>
      </c>
      <c r="J10365" t="s">
        <v>30215</v>
      </c>
      <c r="K10365" t="s">
        <v>39029</v>
      </c>
      <c r="M10365" t="s">
        <v>40950</v>
      </c>
      <c r="N10365" t="s">
        <v>43166</v>
      </c>
      <c r="O10365" t="s">
        <v>43167</v>
      </c>
      <c r="P10365">
        <v>0</v>
      </c>
      <c r="Q10365">
        <v>4</v>
      </c>
      <c r="R10365" t="s">
        <v>43179</v>
      </c>
      <c r="S10365" t="s">
        <v>43583</v>
      </c>
      <c r="T10365" t="s">
        <v>44758</v>
      </c>
      <c r="U10365" t="s">
        <v>53499</v>
      </c>
      <c r="W10365" t="s">
        <v>40950</v>
      </c>
      <c r="X10365" t="s">
        <v>43180</v>
      </c>
    </row>
    <row r="10366" spans="1:24">
      <c r="A10366">
        <f>HYPERLINK("https://www.philgeps.gov.ph/GEPSNONPILOT/Tender/SplashBidNoticeAbstractUI.aspx?menuIndex=3&amp;refID=7064924&amp;Result=3","7064924")</f>
        <v>0</v>
      </c>
      <c r="B10366" t="s">
        <v>2925</v>
      </c>
      <c r="C10366" t="s">
        <v>13302</v>
      </c>
      <c r="D10366" t="s">
        <v>17464</v>
      </c>
      <c r="E10366" t="s">
        <v>26388</v>
      </c>
      <c r="F10366" t="s">
        <v>30052</v>
      </c>
      <c r="G10366" t="s">
        <v>30058</v>
      </c>
      <c r="H10366" t="s">
        <v>30067</v>
      </c>
      <c r="I10366" t="s">
        <v>3693</v>
      </c>
      <c r="J10366" t="s">
        <v>30222</v>
      </c>
      <c r="K10366" t="s">
        <v>39038</v>
      </c>
      <c r="M10366" t="s">
        <v>42488</v>
      </c>
      <c r="N10366" t="s">
        <v>43166</v>
      </c>
      <c r="O10366" t="s">
        <v>43167</v>
      </c>
      <c r="P10366">
        <v>0</v>
      </c>
      <c r="Q10366">
        <v>0</v>
      </c>
      <c r="R10366" t="s">
        <v>43179</v>
      </c>
      <c r="S10366" t="s">
        <v>43583</v>
      </c>
      <c r="T10366" t="s">
        <v>44729</v>
      </c>
      <c r="U10366" t="s">
        <v>53500</v>
      </c>
      <c r="W10366" t="s">
        <v>42488</v>
      </c>
      <c r="X10366" t="s">
        <v>43180</v>
      </c>
    </row>
    <row r="10367" spans="1:24">
      <c r="A10367">
        <f>HYPERLINK("https://www.philgeps.gov.ph/GEPSNONPILOT/Tender/SplashBidNoticeAbstractUI.aspx?menuIndex=3&amp;refID=7064920&amp;Result=3","7064920")</f>
        <v>0</v>
      </c>
      <c r="B10367" t="s">
        <v>2926</v>
      </c>
      <c r="C10367" t="s">
        <v>13303</v>
      </c>
      <c r="D10367" t="s">
        <v>17462</v>
      </c>
      <c r="E10367" t="s">
        <v>26389</v>
      </c>
      <c r="F10367" t="s">
        <v>30052</v>
      </c>
      <c r="G10367" t="s">
        <v>30058</v>
      </c>
      <c r="H10367" t="s">
        <v>30067</v>
      </c>
      <c r="I10367" t="s">
        <v>30152</v>
      </c>
      <c r="J10367" t="s">
        <v>36544</v>
      </c>
      <c r="K10367" t="s">
        <v>39023</v>
      </c>
      <c r="M10367" t="s">
        <v>42489</v>
      </c>
      <c r="N10367" t="s">
        <v>43166</v>
      </c>
      <c r="O10367" t="s">
        <v>43167</v>
      </c>
      <c r="P10367">
        <v>0</v>
      </c>
      <c r="Q10367">
        <v>5</v>
      </c>
      <c r="R10367" t="s">
        <v>43179</v>
      </c>
      <c r="S10367" t="s">
        <v>43583</v>
      </c>
      <c r="T10367" t="s">
        <v>44750</v>
      </c>
      <c r="U10367" t="s">
        <v>53501</v>
      </c>
      <c r="V10367" t="s">
        <v>57992</v>
      </c>
      <c r="W10367" t="s">
        <v>42489</v>
      </c>
      <c r="X10367" t="s">
        <v>43180</v>
      </c>
    </row>
    <row r="10368" spans="1:24">
      <c r="A10368">
        <f>HYPERLINK("https://www.philgeps.gov.ph/GEPSNONPILOT/Tender/SplashBidNoticeAbstractUI.aspx?menuIndex=3&amp;refID=7064916&amp;Result=3","7064916")</f>
        <v>0</v>
      </c>
      <c r="B10368" t="s">
        <v>1424</v>
      </c>
      <c r="C10368" t="s">
        <v>13304</v>
      </c>
      <c r="D10368" t="s">
        <v>17413</v>
      </c>
      <c r="E10368" t="s">
        <v>26390</v>
      </c>
      <c r="F10368" t="s">
        <v>30052</v>
      </c>
      <c r="G10368" t="s">
        <v>30058</v>
      </c>
      <c r="H10368" t="s">
        <v>15498</v>
      </c>
      <c r="I10368" t="s">
        <v>30092</v>
      </c>
      <c r="J10368" t="s">
        <v>36545</v>
      </c>
      <c r="K10368" t="s">
        <v>39029</v>
      </c>
      <c r="L10368" t="s">
        <v>1424</v>
      </c>
      <c r="M10368" t="s">
        <v>40802</v>
      </c>
      <c r="N10368" t="s">
        <v>43166</v>
      </c>
      <c r="O10368" t="s">
        <v>43167</v>
      </c>
      <c r="P10368">
        <v>0</v>
      </c>
      <c r="Q10368">
        <v>3</v>
      </c>
      <c r="R10368" t="s">
        <v>43179</v>
      </c>
      <c r="S10368" t="s">
        <v>43583</v>
      </c>
      <c r="T10368" t="s">
        <v>44704</v>
      </c>
      <c r="U10368" t="s">
        <v>53502</v>
      </c>
      <c r="V10368" t="s">
        <v>57991</v>
      </c>
      <c r="W10368" t="s">
        <v>40802</v>
      </c>
      <c r="X10368" t="s">
        <v>43180</v>
      </c>
    </row>
    <row r="10369" spans="1:24">
      <c r="A10369">
        <f>HYPERLINK("https://www.philgeps.gov.ph/GEPSNONPILOT/Tender/SplashBidNoticeAbstractUI.aspx?menuIndex=3&amp;refID=7064598&amp;Result=3","7064598")</f>
        <v>0</v>
      </c>
      <c r="B10369" t="s">
        <v>1978</v>
      </c>
      <c r="C10369" t="s">
        <v>9073</v>
      </c>
      <c r="D10369" t="s">
        <v>17467</v>
      </c>
      <c r="E10369" t="s">
        <v>26391</v>
      </c>
      <c r="F10369" t="s">
        <v>30055</v>
      </c>
      <c r="G10369" t="s">
        <v>30058</v>
      </c>
      <c r="H10369" t="s">
        <v>15498</v>
      </c>
      <c r="I10369" t="s">
        <v>3736</v>
      </c>
      <c r="J10369" t="s">
        <v>33936</v>
      </c>
      <c r="K10369" t="s">
        <v>39017</v>
      </c>
      <c r="L10369" t="s">
        <v>1978</v>
      </c>
      <c r="M10369" t="s">
        <v>41419</v>
      </c>
      <c r="N10369" t="s">
        <v>43166</v>
      </c>
      <c r="O10369" t="s">
        <v>43167</v>
      </c>
      <c r="P10369">
        <v>0</v>
      </c>
      <c r="Q10369">
        <v>0</v>
      </c>
      <c r="R10369" t="s">
        <v>43179</v>
      </c>
      <c r="S10369" t="s">
        <v>43583</v>
      </c>
      <c r="T10369" t="s">
        <v>44720</v>
      </c>
      <c r="U10369" t="s">
        <v>50048</v>
      </c>
      <c r="W10369" t="s">
        <v>41419</v>
      </c>
      <c r="X10369" t="s">
        <v>43180</v>
      </c>
    </row>
    <row r="10370" spans="1:24">
      <c r="A10370">
        <f>HYPERLINK("https://www.philgeps.gov.ph/GEPSNONPILOT/Tender/SplashBidNoticeAbstractUI.aspx?menuIndex=3&amp;refID=7064904&amp;Result=3","7064904")</f>
        <v>0</v>
      </c>
      <c r="B10370" t="s">
        <v>2925</v>
      </c>
      <c r="C10370" t="s">
        <v>13305</v>
      </c>
      <c r="D10370" t="s">
        <v>17464</v>
      </c>
      <c r="E10370" t="s">
        <v>26392</v>
      </c>
      <c r="F10370" t="s">
        <v>30052</v>
      </c>
      <c r="G10370" t="s">
        <v>30058</v>
      </c>
      <c r="H10370" t="s">
        <v>30067</v>
      </c>
      <c r="I10370" t="s">
        <v>3693</v>
      </c>
      <c r="J10370" t="s">
        <v>30222</v>
      </c>
      <c r="K10370" t="s">
        <v>39073</v>
      </c>
      <c r="M10370" t="s">
        <v>42488</v>
      </c>
      <c r="N10370" t="s">
        <v>43166</v>
      </c>
      <c r="O10370" t="s">
        <v>43167</v>
      </c>
      <c r="P10370">
        <v>0</v>
      </c>
      <c r="Q10370">
        <v>0</v>
      </c>
      <c r="R10370" t="s">
        <v>43179</v>
      </c>
      <c r="S10370" t="s">
        <v>43583</v>
      </c>
      <c r="T10370" t="s">
        <v>44729</v>
      </c>
      <c r="U10370" t="s">
        <v>53500</v>
      </c>
      <c r="W10370" t="s">
        <v>42488</v>
      </c>
      <c r="X10370" t="s">
        <v>43180</v>
      </c>
    </row>
    <row r="10371" spans="1:24">
      <c r="A10371">
        <f>HYPERLINK("https://www.philgeps.gov.ph/GEPSNONPILOT/Tender/SplashBidNoticeAbstractUI.aspx?menuIndex=3&amp;refID=7064903&amp;Result=3","7064903")</f>
        <v>0</v>
      </c>
      <c r="B10371" t="s">
        <v>2921</v>
      </c>
      <c r="C10371" t="s">
        <v>13306</v>
      </c>
      <c r="E10371" t="s">
        <v>26393</v>
      </c>
      <c r="F10371" t="s">
        <v>30052</v>
      </c>
      <c r="G10371" t="s">
        <v>30058</v>
      </c>
      <c r="H10371" t="s">
        <v>15498</v>
      </c>
      <c r="I10371" t="s">
        <v>30172</v>
      </c>
      <c r="J10371" t="s">
        <v>36546</v>
      </c>
      <c r="K10371" t="s">
        <v>39025</v>
      </c>
      <c r="M10371" t="s">
        <v>42484</v>
      </c>
      <c r="N10371" t="s">
        <v>43166</v>
      </c>
      <c r="O10371" t="s">
        <v>43167</v>
      </c>
      <c r="P10371">
        <v>0</v>
      </c>
      <c r="Q10371">
        <v>9</v>
      </c>
      <c r="R10371" t="s">
        <v>43179</v>
      </c>
      <c r="S10371" t="s">
        <v>43583</v>
      </c>
      <c r="T10371" t="s">
        <v>44700</v>
      </c>
      <c r="U10371" t="s">
        <v>53503</v>
      </c>
      <c r="V10371" t="s">
        <v>57993</v>
      </c>
      <c r="W10371" t="s">
        <v>42484</v>
      </c>
      <c r="X10371" t="s">
        <v>43180</v>
      </c>
    </row>
    <row r="10372" spans="1:24">
      <c r="A10372">
        <f>HYPERLINK("https://www.philgeps.gov.ph/GEPSNONPILOT/Tender/SplashBidNoticeAbstractUI.aspx?menuIndex=3&amp;refID=7064889&amp;Result=3","7064889")</f>
        <v>0</v>
      </c>
      <c r="B10372" t="s">
        <v>2927</v>
      </c>
      <c r="C10372" t="s">
        <v>13307</v>
      </c>
      <c r="D10372" t="s">
        <v>17472</v>
      </c>
      <c r="E10372" t="s">
        <v>26394</v>
      </c>
      <c r="F10372" t="s">
        <v>30052</v>
      </c>
      <c r="G10372" t="s">
        <v>30058</v>
      </c>
      <c r="H10372" t="s">
        <v>15498</v>
      </c>
      <c r="I10372" t="s">
        <v>30088</v>
      </c>
      <c r="J10372" t="s">
        <v>33939</v>
      </c>
      <c r="K10372" t="s">
        <v>39025</v>
      </c>
      <c r="M10372" t="s">
        <v>42490</v>
      </c>
      <c r="N10372" t="s">
        <v>43166</v>
      </c>
      <c r="O10372" t="s">
        <v>43167</v>
      </c>
      <c r="P10372">
        <v>0</v>
      </c>
      <c r="Q10372">
        <v>26</v>
      </c>
      <c r="R10372" t="s">
        <v>43179</v>
      </c>
      <c r="S10372" t="s">
        <v>43583</v>
      </c>
      <c r="T10372" t="s">
        <v>44780</v>
      </c>
      <c r="U10372" t="s">
        <v>53504</v>
      </c>
      <c r="W10372" t="s">
        <v>42490</v>
      </c>
      <c r="X10372" t="s">
        <v>43180</v>
      </c>
    </row>
    <row r="10373" spans="1:24">
      <c r="A10373">
        <f>HYPERLINK("https://www.philgeps.gov.ph/GEPSNONPILOT/Tender/SplashBidNoticeAbstractUI.aspx?menuIndex=3&amp;refID=7064882&amp;Result=3","7064882")</f>
        <v>0</v>
      </c>
      <c r="B10373" t="s">
        <v>2928</v>
      </c>
      <c r="C10373" t="s">
        <v>13308</v>
      </c>
      <c r="D10373" t="s">
        <v>17460</v>
      </c>
      <c r="E10373" t="s">
        <v>26395</v>
      </c>
      <c r="F10373" t="s">
        <v>30052</v>
      </c>
      <c r="G10373" t="s">
        <v>30058</v>
      </c>
      <c r="H10373" t="s">
        <v>15498</v>
      </c>
      <c r="I10373" t="s">
        <v>3736</v>
      </c>
      <c r="J10373" t="s">
        <v>36547</v>
      </c>
      <c r="K10373" t="s">
        <v>39017</v>
      </c>
      <c r="M10373" t="s">
        <v>42491</v>
      </c>
      <c r="N10373" t="s">
        <v>43166</v>
      </c>
      <c r="O10373" t="s">
        <v>43167</v>
      </c>
      <c r="P10373">
        <v>0</v>
      </c>
      <c r="Q10373">
        <v>3</v>
      </c>
      <c r="R10373" t="s">
        <v>43179</v>
      </c>
      <c r="S10373" t="s">
        <v>43583</v>
      </c>
      <c r="T10373" t="s">
        <v>44730</v>
      </c>
      <c r="U10373" t="s">
        <v>53505</v>
      </c>
      <c r="W10373" t="s">
        <v>42491</v>
      </c>
      <c r="X10373" t="s">
        <v>43180</v>
      </c>
    </row>
    <row r="10374" spans="1:24">
      <c r="A10374">
        <f>HYPERLINK("https://www.philgeps.gov.ph/GEPSNONPILOT/Tender/SplashBidNoticeAbstractUI.aspx?menuIndex=3&amp;refID=7064853&amp;Result=3","7064853")</f>
        <v>0</v>
      </c>
      <c r="B10374" t="s">
        <v>2929</v>
      </c>
      <c r="C10374" t="s">
        <v>13309</v>
      </c>
      <c r="D10374" t="s">
        <v>17456</v>
      </c>
      <c r="E10374" t="s">
        <v>26396</v>
      </c>
      <c r="F10374" t="s">
        <v>30052</v>
      </c>
      <c r="G10374" t="s">
        <v>30058</v>
      </c>
      <c r="H10374" t="s">
        <v>15498</v>
      </c>
      <c r="I10374" t="s">
        <v>3852</v>
      </c>
      <c r="J10374" t="s">
        <v>33337</v>
      </c>
      <c r="K10374" t="s">
        <v>39037</v>
      </c>
      <c r="M10374" t="s">
        <v>42492</v>
      </c>
      <c r="N10374" t="s">
        <v>43166</v>
      </c>
      <c r="O10374" t="s">
        <v>43167</v>
      </c>
      <c r="P10374">
        <v>0</v>
      </c>
      <c r="Q10374">
        <v>10</v>
      </c>
      <c r="R10374" t="s">
        <v>43179</v>
      </c>
      <c r="S10374" t="s">
        <v>43583</v>
      </c>
      <c r="T10374" t="s">
        <v>44795</v>
      </c>
      <c r="U10374" t="s">
        <v>53506</v>
      </c>
      <c r="V10374" t="s">
        <v>57994</v>
      </c>
      <c r="W10374" t="s">
        <v>42492</v>
      </c>
      <c r="X10374" t="s">
        <v>43180</v>
      </c>
    </row>
    <row r="10375" spans="1:24">
      <c r="A10375">
        <f>HYPERLINK("https://www.philgeps.gov.ph/GEPSNONPILOT/Tender/SplashBidNoticeAbstractUI.aspx?menuIndex=3&amp;refID=7062603&amp;Result=3","7062603")</f>
        <v>0</v>
      </c>
      <c r="B10375" t="s">
        <v>1474</v>
      </c>
      <c r="C10375" t="s">
        <v>13310</v>
      </c>
      <c r="D10375" t="s">
        <v>17471</v>
      </c>
      <c r="E10375" t="s">
        <v>26397</v>
      </c>
      <c r="F10375" t="s">
        <v>30052</v>
      </c>
      <c r="G10375" t="s">
        <v>30058</v>
      </c>
      <c r="H10375" t="s">
        <v>15498</v>
      </c>
      <c r="I10375" t="s">
        <v>3736</v>
      </c>
      <c r="J10375" t="s">
        <v>36548</v>
      </c>
      <c r="K10375" t="s">
        <v>39025</v>
      </c>
      <c r="M10375" t="s">
        <v>42472</v>
      </c>
      <c r="N10375" t="s">
        <v>43166</v>
      </c>
      <c r="O10375" t="s">
        <v>43167</v>
      </c>
      <c r="P10375">
        <v>0</v>
      </c>
      <c r="Q10375">
        <v>0</v>
      </c>
      <c r="R10375" t="s">
        <v>43179</v>
      </c>
      <c r="S10375" t="s">
        <v>43583</v>
      </c>
      <c r="T10375" t="s">
        <v>44771</v>
      </c>
      <c r="U10375" t="s">
        <v>53507</v>
      </c>
      <c r="V10375" t="s">
        <v>57995</v>
      </c>
      <c r="W10375" t="s">
        <v>42472</v>
      </c>
      <c r="X10375" t="s">
        <v>43181</v>
      </c>
    </row>
    <row r="10376" spans="1:24">
      <c r="A10376">
        <f>HYPERLINK("https://www.philgeps.gov.ph/GEPSNONPILOT/Tender/SplashBidNoticeAbstractUI.aspx?menuIndex=3&amp;refID=7064839&amp;Result=3","7064839")</f>
        <v>0</v>
      </c>
      <c r="B10376" t="s">
        <v>684</v>
      </c>
      <c r="C10376" t="s">
        <v>13311</v>
      </c>
      <c r="D10376" t="s">
        <v>17473</v>
      </c>
      <c r="E10376" t="s">
        <v>26398</v>
      </c>
      <c r="F10376" t="s">
        <v>30052</v>
      </c>
      <c r="G10376" t="s">
        <v>30059</v>
      </c>
      <c r="H10376" t="s">
        <v>15498</v>
      </c>
      <c r="I10376" t="s">
        <v>30115</v>
      </c>
      <c r="J10376" t="s">
        <v>31290</v>
      </c>
      <c r="K10376" t="s">
        <v>39031</v>
      </c>
      <c r="M10376" t="s">
        <v>39990</v>
      </c>
      <c r="N10376" t="s">
        <v>43166</v>
      </c>
      <c r="O10376" t="s">
        <v>43167</v>
      </c>
      <c r="P10376">
        <v>0</v>
      </c>
      <c r="Q10376">
        <v>11</v>
      </c>
      <c r="R10376" t="s">
        <v>43179</v>
      </c>
      <c r="S10376" t="s">
        <v>43583</v>
      </c>
      <c r="T10376" t="s">
        <v>44773</v>
      </c>
      <c r="U10376" t="s">
        <v>46522</v>
      </c>
      <c r="W10376" t="s">
        <v>39990</v>
      </c>
      <c r="X10376" t="s">
        <v>43180</v>
      </c>
    </row>
    <row r="10377" spans="1:24">
      <c r="A10377">
        <f>HYPERLINK("https://www.philgeps.gov.ph/GEPSNONPILOT/Tender/SplashBidNoticeAbstractUI.aspx?menuIndex=3&amp;refID=7064832&amp;Result=3","7064832")</f>
        <v>0</v>
      </c>
      <c r="B10377" t="s">
        <v>2838</v>
      </c>
      <c r="C10377" t="s">
        <v>13312</v>
      </c>
      <c r="D10377" t="s">
        <v>17445</v>
      </c>
      <c r="E10377" t="s">
        <v>26399</v>
      </c>
      <c r="F10377" t="s">
        <v>30055</v>
      </c>
      <c r="G10377" t="s">
        <v>30058</v>
      </c>
      <c r="H10377" t="s">
        <v>15498</v>
      </c>
      <c r="I10377" t="s">
        <v>3606</v>
      </c>
      <c r="J10377" t="s">
        <v>36549</v>
      </c>
      <c r="K10377" t="s">
        <v>39029</v>
      </c>
      <c r="M10377" t="s">
        <v>42384</v>
      </c>
      <c r="N10377" t="s">
        <v>43166</v>
      </c>
      <c r="O10377" t="s">
        <v>43167</v>
      </c>
      <c r="P10377">
        <v>0</v>
      </c>
      <c r="Q10377">
        <v>0</v>
      </c>
      <c r="R10377" t="s">
        <v>43179</v>
      </c>
      <c r="S10377" t="s">
        <v>43583</v>
      </c>
      <c r="T10377" t="s">
        <v>44689</v>
      </c>
      <c r="U10377" t="s">
        <v>53508</v>
      </c>
      <c r="V10377" t="s">
        <v>57996</v>
      </c>
      <c r="W10377" t="s">
        <v>42384</v>
      </c>
      <c r="X10377" t="s">
        <v>43180</v>
      </c>
    </row>
    <row r="10378" spans="1:24">
      <c r="A10378">
        <f>HYPERLINK("https://www.philgeps.gov.ph/GEPSNONPILOT/Tender/SplashBidNoticeAbstractUI.aspx?menuIndex=3&amp;refID=7064945&amp;Result=3","7064945")</f>
        <v>0</v>
      </c>
      <c r="B10378" t="s">
        <v>2925</v>
      </c>
      <c r="C10378" t="s">
        <v>13313</v>
      </c>
      <c r="D10378" t="s">
        <v>17464</v>
      </c>
      <c r="E10378" t="s">
        <v>26400</v>
      </c>
      <c r="F10378" t="s">
        <v>30052</v>
      </c>
      <c r="G10378" t="s">
        <v>30058</v>
      </c>
      <c r="H10378" t="s">
        <v>30067</v>
      </c>
      <c r="I10378" t="s">
        <v>3693</v>
      </c>
      <c r="J10378" t="s">
        <v>30222</v>
      </c>
      <c r="K10378" t="s">
        <v>39038</v>
      </c>
      <c r="M10378" t="s">
        <v>42488</v>
      </c>
      <c r="N10378" t="s">
        <v>43166</v>
      </c>
      <c r="O10378" t="s">
        <v>43167</v>
      </c>
      <c r="P10378">
        <v>0</v>
      </c>
      <c r="Q10378">
        <v>0</v>
      </c>
      <c r="R10378" t="s">
        <v>43179</v>
      </c>
      <c r="S10378" t="s">
        <v>43583</v>
      </c>
      <c r="T10378" t="s">
        <v>44729</v>
      </c>
      <c r="U10378" t="s">
        <v>53500</v>
      </c>
      <c r="W10378" t="s">
        <v>42488</v>
      </c>
      <c r="X10378" t="s">
        <v>43180</v>
      </c>
    </row>
    <row r="10379" spans="1:24">
      <c r="A10379">
        <f>HYPERLINK("https://www.philgeps.gov.ph/GEPSNONPILOT/Tender/SplashBidNoticeAbstractUI.aspx?menuIndex=3&amp;refID=7064813&amp;Result=3","7064813")</f>
        <v>0</v>
      </c>
      <c r="B10379" t="s">
        <v>2549</v>
      </c>
      <c r="C10379" t="s">
        <v>13314</v>
      </c>
      <c r="D10379" t="s">
        <v>17426</v>
      </c>
      <c r="E10379" t="s">
        <v>26401</v>
      </c>
      <c r="F10379" t="s">
        <v>30052</v>
      </c>
      <c r="G10379" t="s">
        <v>30058</v>
      </c>
      <c r="H10379" t="s">
        <v>15498</v>
      </c>
      <c r="I10379" t="s">
        <v>30072</v>
      </c>
      <c r="J10379" t="s">
        <v>36550</v>
      </c>
      <c r="K10379" t="s">
        <v>39125</v>
      </c>
      <c r="M10379" t="s">
        <v>42056</v>
      </c>
      <c r="N10379" t="s">
        <v>43166</v>
      </c>
      <c r="O10379" t="s">
        <v>43167</v>
      </c>
      <c r="Q10379">
        <v>1</v>
      </c>
      <c r="R10379" t="s">
        <v>43179</v>
      </c>
      <c r="S10379" t="s">
        <v>43602</v>
      </c>
      <c r="T10379" t="s">
        <v>44780</v>
      </c>
      <c r="U10379" t="s">
        <v>53509</v>
      </c>
      <c r="W10379" t="s">
        <v>42056</v>
      </c>
      <c r="X10379" t="s">
        <v>43180</v>
      </c>
    </row>
    <row r="10380" spans="1:24">
      <c r="A10380">
        <f>HYPERLINK("https://www.philgeps.gov.ph/GEPSNONPILOT/Tender/SplashBidNoticeAbstractUI.aspx?menuIndex=3&amp;refID=7064896&amp;Result=3","7064896")</f>
        <v>0</v>
      </c>
      <c r="B10380" t="s">
        <v>2180</v>
      </c>
      <c r="C10380" t="s">
        <v>13315</v>
      </c>
      <c r="D10380" t="s">
        <v>17458</v>
      </c>
      <c r="E10380" t="s">
        <v>26402</v>
      </c>
      <c r="F10380" t="s">
        <v>30052</v>
      </c>
      <c r="G10380" t="s">
        <v>30058</v>
      </c>
      <c r="H10380" t="s">
        <v>15498</v>
      </c>
      <c r="I10380" t="s">
        <v>3736</v>
      </c>
      <c r="J10380" t="s">
        <v>36551</v>
      </c>
      <c r="K10380" t="s">
        <v>39080</v>
      </c>
      <c r="M10380" t="s">
        <v>41648</v>
      </c>
      <c r="N10380" t="s">
        <v>43166</v>
      </c>
      <c r="O10380" t="s">
        <v>43167</v>
      </c>
      <c r="P10380">
        <v>0</v>
      </c>
      <c r="Q10380">
        <v>0</v>
      </c>
      <c r="R10380" t="s">
        <v>43179</v>
      </c>
      <c r="S10380" t="s">
        <v>43583</v>
      </c>
      <c r="T10380" t="s">
        <v>44698</v>
      </c>
      <c r="U10380" t="s">
        <v>53510</v>
      </c>
      <c r="V10380" t="s">
        <v>57986</v>
      </c>
      <c r="W10380" t="s">
        <v>41648</v>
      </c>
      <c r="X10380" t="s">
        <v>43180</v>
      </c>
    </row>
    <row r="10381" spans="1:24">
      <c r="A10381">
        <f>HYPERLINK("https://www.philgeps.gov.ph/GEPSNONPILOT/Tender/SplashBidNoticeAbstractUI.aspx?menuIndex=3&amp;refID=7064865&amp;Result=3","7064865")</f>
        <v>0</v>
      </c>
      <c r="B10381" t="s">
        <v>1339</v>
      </c>
      <c r="C10381" t="s">
        <v>13316</v>
      </c>
      <c r="D10381" t="s">
        <v>17474</v>
      </c>
      <c r="E10381" t="s">
        <v>26403</v>
      </c>
      <c r="F10381" t="s">
        <v>30052</v>
      </c>
      <c r="G10381" t="s">
        <v>30058</v>
      </c>
      <c r="H10381" t="s">
        <v>15498</v>
      </c>
      <c r="I10381" t="s">
        <v>5961</v>
      </c>
      <c r="J10381" t="s">
        <v>36552</v>
      </c>
      <c r="K10381" t="s">
        <v>39029</v>
      </c>
      <c r="M10381" t="s">
        <v>41073</v>
      </c>
      <c r="N10381" t="s">
        <v>43166</v>
      </c>
      <c r="O10381" t="s">
        <v>43167</v>
      </c>
      <c r="P10381">
        <v>0</v>
      </c>
      <c r="Q10381">
        <v>2</v>
      </c>
      <c r="R10381" t="s">
        <v>43179</v>
      </c>
      <c r="S10381" t="s">
        <v>43583</v>
      </c>
      <c r="T10381" t="s">
        <v>44704</v>
      </c>
      <c r="U10381" t="s">
        <v>48174</v>
      </c>
      <c r="V10381" t="s">
        <v>57248</v>
      </c>
      <c r="W10381" t="s">
        <v>41073</v>
      </c>
      <c r="X10381" t="s">
        <v>43180</v>
      </c>
    </row>
    <row r="10382" spans="1:24">
      <c r="A10382">
        <f>HYPERLINK("https://www.philgeps.gov.ph/GEPSNONPILOT/Tender/SplashBidNoticeAbstractUI.aspx?menuIndex=3&amp;refID=7064844&amp;Result=3","7064844")</f>
        <v>0</v>
      </c>
      <c r="B10382" t="s">
        <v>2114</v>
      </c>
      <c r="C10382" t="s">
        <v>13317</v>
      </c>
      <c r="D10382" t="s">
        <v>17431</v>
      </c>
      <c r="E10382" t="s">
        <v>26404</v>
      </c>
      <c r="F10382" t="s">
        <v>30052</v>
      </c>
      <c r="G10382" t="s">
        <v>30058</v>
      </c>
      <c r="H10382" t="s">
        <v>15498</v>
      </c>
      <c r="I10382" t="s">
        <v>30074</v>
      </c>
      <c r="J10382" t="s">
        <v>30397</v>
      </c>
      <c r="K10382" t="s">
        <v>39029</v>
      </c>
      <c r="M10382" t="s">
        <v>41576</v>
      </c>
      <c r="N10382" t="s">
        <v>43166</v>
      </c>
      <c r="O10382" t="s">
        <v>43167</v>
      </c>
      <c r="Q10382">
        <v>5</v>
      </c>
      <c r="R10382" t="s">
        <v>43179</v>
      </c>
      <c r="S10382" t="s">
        <v>43603</v>
      </c>
      <c r="T10382" t="s">
        <v>44791</v>
      </c>
      <c r="U10382" t="s">
        <v>53511</v>
      </c>
      <c r="W10382" t="s">
        <v>41576</v>
      </c>
      <c r="X10382" t="s">
        <v>43180</v>
      </c>
    </row>
    <row r="10383" spans="1:24">
      <c r="A10383">
        <f>HYPERLINK("https://www.philgeps.gov.ph/GEPSNONPILOT/Tender/SplashBidNoticeAbstractUI.aspx?menuIndex=3&amp;refID=7064956&amp;Result=3","7064956")</f>
        <v>0</v>
      </c>
      <c r="B10383" t="s">
        <v>2928</v>
      </c>
      <c r="C10383" t="s">
        <v>13318</v>
      </c>
      <c r="D10383" t="s">
        <v>17460</v>
      </c>
      <c r="E10383" t="s">
        <v>26405</v>
      </c>
      <c r="F10383" t="s">
        <v>30052</v>
      </c>
      <c r="G10383" t="s">
        <v>30058</v>
      </c>
      <c r="H10383" t="s">
        <v>15498</v>
      </c>
      <c r="I10383" t="s">
        <v>30106</v>
      </c>
      <c r="J10383" t="s">
        <v>36553</v>
      </c>
      <c r="K10383" t="s">
        <v>39017</v>
      </c>
      <c r="M10383" t="s">
        <v>42491</v>
      </c>
      <c r="N10383" t="s">
        <v>43166</v>
      </c>
      <c r="O10383" t="s">
        <v>43167</v>
      </c>
      <c r="P10383">
        <v>0</v>
      </c>
      <c r="Q10383">
        <v>7</v>
      </c>
      <c r="R10383" t="s">
        <v>43179</v>
      </c>
      <c r="S10383" t="s">
        <v>43583</v>
      </c>
      <c r="T10383" t="s">
        <v>44754</v>
      </c>
      <c r="U10383" t="s">
        <v>53512</v>
      </c>
      <c r="W10383" t="s">
        <v>42491</v>
      </c>
      <c r="X10383" t="s">
        <v>43180</v>
      </c>
    </row>
    <row r="10384" spans="1:24">
      <c r="A10384">
        <f>HYPERLINK("https://www.philgeps.gov.ph/GEPSNONPILOT/Tender/SplashBidNoticeAbstractUI.aspx?menuIndex=3&amp;refID=7064585&amp;Result=3","7064585")</f>
        <v>0</v>
      </c>
      <c r="B10384" t="s">
        <v>2930</v>
      </c>
      <c r="C10384" t="s">
        <v>13319</v>
      </c>
      <c r="D10384" t="s">
        <v>17471</v>
      </c>
      <c r="E10384" t="s">
        <v>17838</v>
      </c>
      <c r="F10384" t="s">
        <v>30052</v>
      </c>
      <c r="G10384" t="s">
        <v>30058</v>
      </c>
      <c r="H10384" t="s">
        <v>15498</v>
      </c>
      <c r="I10384" t="s">
        <v>3736</v>
      </c>
      <c r="J10384" t="s">
        <v>36554</v>
      </c>
      <c r="K10384" t="s">
        <v>39025</v>
      </c>
      <c r="M10384" t="s">
        <v>42493</v>
      </c>
      <c r="N10384" t="s">
        <v>43166</v>
      </c>
      <c r="O10384" t="s">
        <v>43167</v>
      </c>
      <c r="P10384">
        <v>0</v>
      </c>
      <c r="Q10384">
        <v>0</v>
      </c>
      <c r="R10384" t="s">
        <v>43179</v>
      </c>
      <c r="S10384" t="s">
        <v>43583</v>
      </c>
      <c r="T10384" t="s">
        <v>44689</v>
      </c>
      <c r="U10384" t="s">
        <v>53513</v>
      </c>
      <c r="W10384" t="s">
        <v>42493</v>
      </c>
      <c r="X10384" t="s">
        <v>43180</v>
      </c>
    </row>
    <row r="10385" spans="1:24">
      <c r="A10385">
        <f>HYPERLINK("https://www.philgeps.gov.ph/GEPSNONPILOT/Tender/SplashBidNoticeAbstractUI.aspx?menuIndex=3&amp;refID=7064806&amp;Result=3","7064806")</f>
        <v>0</v>
      </c>
      <c r="B10385" t="s">
        <v>2931</v>
      </c>
      <c r="C10385" t="s">
        <v>13320</v>
      </c>
      <c r="D10385" t="s">
        <v>17435</v>
      </c>
      <c r="E10385" t="s">
        <v>26406</v>
      </c>
      <c r="F10385" t="s">
        <v>30052</v>
      </c>
      <c r="G10385" t="s">
        <v>30058</v>
      </c>
      <c r="H10385" t="s">
        <v>15498</v>
      </c>
      <c r="I10385" t="s">
        <v>3736</v>
      </c>
      <c r="J10385" t="s">
        <v>36555</v>
      </c>
      <c r="K10385" t="s">
        <v>39034</v>
      </c>
      <c r="L10385" t="s">
        <v>2931</v>
      </c>
      <c r="M10385" t="s">
        <v>42494</v>
      </c>
      <c r="N10385" t="s">
        <v>43166</v>
      </c>
      <c r="O10385" t="s">
        <v>43167</v>
      </c>
      <c r="P10385">
        <v>0</v>
      </c>
      <c r="Q10385">
        <v>2</v>
      </c>
      <c r="R10385" t="s">
        <v>43179</v>
      </c>
      <c r="S10385" t="s">
        <v>43583</v>
      </c>
      <c r="T10385" t="s">
        <v>44681</v>
      </c>
      <c r="U10385" t="s">
        <v>53514</v>
      </c>
      <c r="W10385" t="s">
        <v>42494</v>
      </c>
      <c r="X10385" t="s">
        <v>43180</v>
      </c>
    </row>
    <row r="10386" spans="1:24">
      <c r="A10386">
        <f>HYPERLINK("https://www.philgeps.gov.ph/GEPSNONPILOT/Tender/SplashBidNoticeAbstractUI.aspx?menuIndex=3&amp;refID=7065101&amp;Result=3","7065101")</f>
        <v>0</v>
      </c>
      <c r="B10386" t="s">
        <v>2932</v>
      </c>
      <c r="C10386" t="s">
        <v>13321</v>
      </c>
      <c r="D10386" t="s">
        <v>17468</v>
      </c>
      <c r="E10386" t="s">
        <v>17861</v>
      </c>
      <c r="F10386" t="s">
        <v>30054</v>
      </c>
      <c r="G10386" t="s">
        <v>30058</v>
      </c>
      <c r="H10386" t="s">
        <v>15498</v>
      </c>
      <c r="I10386" t="s">
        <v>3736</v>
      </c>
      <c r="J10386" t="s">
        <v>36556</v>
      </c>
      <c r="K10386" t="s">
        <v>39019</v>
      </c>
      <c r="M10386" t="s">
        <v>42495</v>
      </c>
      <c r="N10386" t="s">
        <v>43166</v>
      </c>
      <c r="O10386" t="s">
        <v>43167</v>
      </c>
      <c r="P10386">
        <v>0</v>
      </c>
      <c r="Q10386">
        <v>1</v>
      </c>
      <c r="R10386" t="s">
        <v>43179</v>
      </c>
      <c r="S10386" t="s">
        <v>43583</v>
      </c>
      <c r="T10386" t="s">
        <v>44710</v>
      </c>
      <c r="U10386" t="s">
        <v>53515</v>
      </c>
      <c r="V10386" t="s">
        <v>57997</v>
      </c>
      <c r="W10386" t="s">
        <v>42495</v>
      </c>
      <c r="X10386" t="s">
        <v>43180</v>
      </c>
    </row>
    <row r="10387" spans="1:24">
      <c r="A10387">
        <f>HYPERLINK("https://www.philgeps.gov.ph/GEPSNONPILOT/Tender/SplashBidNoticeAbstractUI.aspx?menuIndex=3&amp;refID=7064559&amp;Result=3","7064559")</f>
        <v>0</v>
      </c>
      <c r="B10387" t="s">
        <v>2933</v>
      </c>
      <c r="C10387" t="s">
        <v>13322</v>
      </c>
      <c r="E10387" t="s">
        <v>26407</v>
      </c>
      <c r="F10387" t="s">
        <v>30052</v>
      </c>
      <c r="G10387" t="s">
        <v>30058</v>
      </c>
      <c r="H10387" t="s">
        <v>30067</v>
      </c>
      <c r="I10387" t="s">
        <v>3693</v>
      </c>
      <c r="J10387" t="s">
        <v>36557</v>
      </c>
      <c r="K10387" t="s">
        <v>39131</v>
      </c>
      <c r="M10387" t="s">
        <v>42496</v>
      </c>
      <c r="N10387" t="s">
        <v>43166</v>
      </c>
      <c r="O10387" t="s">
        <v>43167</v>
      </c>
      <c r="Q10387">
        <v>0</v>
      </c>
      <c r="R10387" t="s">
        <v>43179</v>
      </c>
      <c r="S10387" t="s">
        <v>43604</v>
      </c>
      <c r="T10387" t="s">
        <v>45057</v>
      </c>
      <c r="U10387" t="s">
        <v>53516</v>
      </c>
      <c r="W10387" t="s">
        <v>42496</v>
      </c>
      <c r="X10387" t="s">
        <v>43180</v>
      </c>
    </row>
    <row r="10388" spans="1:24">
      <c r="A10388">
        <f>HYPERLINK("https://www.philgeps.gov.ph/GEPSNONPILOT/Tender/SplashBidNoticeAbstractUI.aspx?menuIndex=3&amp;refID=7065095&amp;Result=3","7065095")</f>
        <v>0</v>
      </c>
      <c r="B10388" t="s">
        <v>50</v>
      </c>
      <c r="C10388" t="s">
        <v>13323</v>
      </c>
      <c r="D10388" t="s">
        <v>17433</v>
      </c>
      <c r="E10388" t="s">
        <v>26408</v>
      </c>
      <c r="F10388" t="s">
        <v>30052</v>
      </c>
      <c r="G10388" t="s">
        <v>30058</v>
      </c>
      <c r="H10388" t="s">
        <v>15498</v>
      </c>
      <c r="I10388" t="s">
        <v>3736</v>
      </c>
      <c r="J10388" t="s">
        <v>36558</v>
      </c>
      <c r="K10388" t="s">
        <v>39017</v>
      </c>
      <c r="M10388" t="s">
        <v>40640</v>
      </c>
      <c r="N10388" t="s">
        <v>43166</v>
      </c>
      <c r="O10388" t="s">
        <v>43167</v>
      </c>
      <c r="P10388">
        <v>0</v>
      </c>
      <c r="Q10388">
        <v>2</v>
      </c>
      <c r="R10388" t="s">
        <v>43179</v>
      </c>
      <c r="S10388" t="s">
        <v>43583</v>
      </c>
      <c r="T10388" t="s">
        <v>44704</v>
      </c>
      <c r="U10388" t="s">
        <v>53517</v>
      </c>
      <c r="W10388" t="s">
        <v>40640</v>
      </c>
      <c r="X10388" t="s">
        <v>43180</v>
      </c>
    </row>
    <row r="10389" spans="1:24">
      <c r="A10389">
        <f>HYPERLINK("https://www.philgeps.gov.ph/GEPSNONPILOT/Tender/SplashBidNoticeAbstractUI.aspx?menuIndex=3&amp;refID=7065086&amp;Result=3","7065086")</f>
        <v>0</v>
      </c>
      <c r="B10389" t="s">
        <v>701</v>
      </c>
      <c r="C10389" t="s">
        <v>13324</v>
      </c>
      <c r="D10389" t="s">
        <v>17419</v>
      </c>
      <c r="E10389" t="s">
        <v>26409</v>
      </c>
      <c r="F10389" t="s">
        <v>30052</v>
      </c>
      <c r="G10389" t="s">
        <v>30058</v>
      </c>
      <c r="H10389" t="s">
        <v>30067</v>
      </c>
      <c r="I10389" t="s">
        <v>3693</v>
      </c>
      <c r="J10389" t="s">
        <v>36559</v>
      </c>
      <c r="K10389" t="s">
        <v>39025</v>
      </c>
      <c r="M10389" t="s">
        <v>40858</v>
      </c>
      <c r="N10389" t="s">
        <v>43166</v>
      </c>
      <c r="O10389" t="s">
        <v>43167</v>
      </c>
      <c r="P10389">
        <v>0</v>
      </c>
      <c r="Q10389">
        <v>1</v>
      </c>
      <c r="R10389" t="s">
        <v>43179</v>
      </c>
      <c r="S10389" t="s">
        <v>43583</v>
      </c>
      <c r="T10389" t="s">
        <v>44699</v>
      </c>
      <c r="U10389" t="s">
        <v>53518</v>
      </c>
      <c r="W10389" t="s">
        <v>40858</v>
      </c>
      <c r="X10389" t="s">
        <v>43180</v>
      </c>
    </row>
    <row r="10390" spans="1:24">
      <c r="A10390">
        <f>HYPERLINK("https://www.philgeps.gov.ph/GEPSNONPILOT/Tender/SplashBidNoticeAbstractUI.aspx?menuIndex=3&amp;refID=7065080&amp;Result=3","7065080")</f>
        <v>0</v>
      </c>
      <c r="B10390" t="s">
        <v>2874</v>
      </c>
      <c r="C10390" t="s">
        <v>13325</v>
      </c>
      <c r="D10390" t="s">
        <v>17432</v>
      </c>
      <c r="E10390" t="s">
        <v>26410</v>
      </c>
      <c r="F10390" t="s">
        <v>30052</v>
      </c>
      <c r="G10390" t="s">
        <v>30058</v>
      </c>
      <c r="H10390" t="s">
        <v>30067</v>
      </c>
      <c r="I10390" t="s">
        <v>3693</v>
      </c>
      <c r="J10390" t="s">
        <v>30683</v>
      </c>
      <c r="K10390" t="s">
        <v>39031</v>
      </c>
      <c r="M10390" t="s">
        <v>42422</v>
      </c>
      <c r="N10390" t="s">
        <v>43166</v>
      </c>
      <c r="O10390" t="s">
        <v>43167</v>
      </c>
      <c r="P10390">
        <v>0</v>
      </c>
      <c r="Q10390">
        <v>0</v>
      </c>
      <c r="R10390" t="s">
        <v>43179</v>
      </c>
      <c r="S10390" t="s">
        <v>43583</v>
      </c>
      <c r="T10390" t="s">
        <v>44699</v>
      </c>
      <c r="U10390" t="s">
        <v>53519</v>
      </c>
      <c r="V10390" t="s">
        <v>57998</v>
      </c>
      <c r="W10390" t="s">
        <v>42422</v>
      </c>
      <c r="X10390" t="s">
        <v>43180</v>
      </c>
    </row>
    <row r="10391" spans="1:24">
      <c r="A10391">
        <f>HYPERLINK("https://www.philgeps.gov.ph/GEPSNONPILOT/Tender/SplashBidNoticeAbstractUI.aspx?menuIndex=3&amp;refID=7065060&amp;Result=3","7065060")</f>
        <v>0</v>
      </c>
      <c r="B10391" t="s">
        <v>2180</v>
      </c>
      <c r="C10391" t="s">
        <v>13326</v>
      </c>
      <c r="D10391" t="s">
        <v>17458</v>
      </c>
      <c r="E10391" t="s">
        <v>26411</v>
      </c>
      <c r="F10391" t="s">
        <v>30052</v>
      </c>
      <c r="G10391" t="s">
        <v>30058</v>
      </c>
      <c r="H10391" t="s">
        <v>15498</v>
      </c>
      <c r="I10391" t="s">
        <v>3736</v>
      </c>
      <c r="J10391" t="s">
        <v>36560</v>
      </c>
      <c r="K10391" t="s">
        <v>39046</v>
      </c>
      <c r="M10391" t="s">
        <v>41648</v>
      </c>
      <c r="N10391" t="s">
        <v>43166</v>
      </c>
      <c r="O10391" t="s">
        <v>43167</v>
      </c>
      <c r="P10391">
        <v>0</v>
      </c>
      <c r="Q10391">
        <v>0</v>
      </c>
      <c r="R10391" t="s">
        <v>43179</v>
      </c>
      <c r="S10391" t="s">
        <v>43583</v>
      </c>
      <c r="T10391" t="s">
        <v>44698</v>
      </c>
      <c r="U10391" t="s">
        <v>53520</v>
      </c>
      <c r="V10391" t="s">
        <v>57999</v>
      </c>
      <c r="W10391" t="s">
        <v>41648</v>
      </c>
      <c r="X10391" t="s">
        <v>43180</v>
      </c>
    </row>
    <row r="10392" spans="1:24">
      <c r="A10392">
        <f>HYPERLINK("https://www.philgeps.gov.ph/GEPSNONPILOT/Tender/SplashBidNoticeAbstractUI.aspx?menuIndex=3&amp;refID=7065079&amp;Result=3","7065079")</f>
        <v>0</v>
      </c>
      <c r="B10392" t="s">
        <v>943</v>
      </c>
      <c r="C10392" t="s">
        <v>13327</v>
      </c>
      <c r="D10392" t="s">
        <v>17482</v>
      </c>
      <c r="E10392" t="s">
        <v>26412</v>
      </c>
      <c r="F10392" t="s">
        <v>30052</v>
      </c>
      <c r="G10392" t="s">
        <v>30058</v>
      </c>
      <c r="H10392" t="s">
        <v>30067</v>
      </c>
      <c r="I10392" t="s">
        <v>3693</v>
      </c>
      <c r="J10392" t="s">
        <v>30209</v>
      </c>
      <c r="K10392" t="s">
        <v>39147</v>
      </c>
      <c r="M10392" t="s">
        <v>40267</v>
      </c>
      <c r="N10392" t="s">
        <v>43166</v>
      </c>
      <c r="O10392" t="s">
        <v>43167</v>
      </c>
      <c r="Q10392">
        <v>0</v>
      </c>
      <c r="R10392" t="s">
        <v>43179</v>
      </c>
      <c r="S10392" t="s">
        <v>43605</v>
      </c>
      <c r="T10392" t="s">
        <v>44689</v>
      </c>
      <c r="U10392" t="s">
        <v>53521</v>
      </c>
      <c r="V10392" t="s">
        <v>58000</v>
      </c>
      <c r="W10392" t="s">
        <v>40267</v>
      </c>
      <c r="X10392" t="s">
        <v>43180</v>
      </c>
    </row>
    <row r="10393" spans="1:24">
      <c r="A10393">
        <f>HYPERLINK("https://www.philgeps.gov.ph/GEPSNONPILOT/Tender/SplashBidNoticeAbstractUI.aspx?menuIndex=3&amp;refID=7065014&amp;Result=3","7065014")</f>
        <v>0</v>
      </c>
      <c r="B10393" t="s">
        <v>2934</v>
      </c>
      <c r="C10393" t="s">
        <v>13328</v>
      </c>
      <c r="D10393" t="s">
        <v>17427</v>
      </c>
      <c r="E10393" t="s">
        <v>26413</v>
      </c>
      <c r="F10393" t="s">
        <v>30052</v>
      </c>
      <c r="G10393" t="s">
        <v>30058</v>
      </c>
      <c r="H10393" t="s">
        <v>30067</v>
      </c>
      <c r="I10393" t="s">
        <v>3693</v>
      </c>
      <c r="J10393" t="s">
        <v>30588</v>
      </c>
      <c r="K10393" t="s">
        <v>39031</v>
      </c>
      <c r="M10393" t="s">
        <v>42497</v>
      </c>
      <c r="N10393" t="s">
        <v>43166</v>
      </c>
      <c r="O10393" t="s">
        <v>43167</v>
      </c>
      <c r="P10393">
        <v>0</v>
      </c>
      <c r="Q10393">
        <v>0</v>
      </c>
      <c r="R10393" t="s">
        <v>43179</v>
      </c>
      <c r="S10393" t="s">
        <v>43583</v>
      </c>
      <c r="T10393" t="s">
        <v>44763</v>
      </c>
      <c r="U10393" t="s">
        <v>53522</v>
      </c>
      <c r="W10393" t="s">
        <v>42497</v>
      </c>
      <c r="X10393" t="s">
        <v>43180</v>
      </c>
    </row>
    <row r="10394" spans="1:24">
      <c r="A10394">
        <f>HYPERLINK("https://www.philgeps.gov.ph/GEPSNONPILOT/Tender/SplashBidNoticeAbstractUI.aspx?menuIndex=3&amp;refID=7065013&amp;Result=3","7065013")</f>
        <v>0</v>
      </c>
      <c r="B10394" t="s">
        <v>2852</v>
      </c>
      <c r="C10394" t="s">
        <v>13329</v>
      </c>
      <c r="D10394" t="s">
        <v>17459</v>
      </c>
      <c r="E10394" t="s">
        <v>26414</v>
      </c>
      <c r="F10394" t="s">
        <v>30052</v>
      </c>
      <c r="G10394" t="s">
        <v>30059</v>
      </c>
      <c r="H10394" t="s">
        <v>15498</v>
      </c>
      <c r="I10394" t="s">
        <v>30081</v>
      </c>
      <c r="J10394" t="s">
        <v>36561</v>
      </c>
      <c r="K10394" t="s">
        <v>39019</v>
      </c>
      <c r="M10394" t="s">
        <v>42398</v>
      </c>
      <c r="N10394" t="s">
        <v>43166</v>
      </c>
      <c r="O10394" t="s">
        <v>43167</v>
      </c>
      <c r="P10394">
        <v>0</v>
      </c>
      <c r="Q10394">
        <v>1</v>
      </c>
      <c r="R10394" t="s">
        <v>43179</v>
      </c>
      <c r="S10394" t="s">
        <v>43583</v>
      </c>
      <c r="T10394" t="s">
        <v>44698</v>
      </c>
      <c r="U10394" t="s">
        <v>53523</v>
      </c>
      <c r="W10394" t="s">
        <v>42398</v>
      </c>
      <c r="X10394" t="s">
        <v>43180</v>
      </c>
    </row>
    <row r="10395" spans="1:24">
      <c r="A10395">
        <f>HYPERLINK("https://www.philgeps.gov.ph/GEPSNONPILOT/Tender/SplashBidNoticeAbstractUI.aspx?menuIndex=3&amp;refID=7065037&amp;Result=3","7065037")</f>
        <v>0</v>
      </c>
      <c r="B10395" t="s">
        <v>2934</v>
      </c>
      <c r="C10395" t="s">
        <v>13330</v>
      </c>
      <c r="D10395" t="s">
        <v>17427</v>
      </c>
      <c r="E10395" t="s">
        <v>26415</v>
      </c>
      <c r="F10395" t="s">
        <v>30052</v>
      </c>
      <c r="G10395" t="s">
        <v>30058</v>
      </c>
      <c r="H10395" t="s">
        <v>15498</v>
      </c>
      <c r="I10395" t="s">
        <v>30074</v>
      </c>
      <c r="J10395" t="s">
        <v>30218</v>
      </c>
      <c r="K10395" t="s">
        <v>39029</v>
      </c>
      <c r="M10395" t="s">
        <v>42497</v>
      </c>
      <c r="N10395" t="s">
        <v>43166</v>
      </c>
      <c r="O10395" t="s">
        <v>43167</v>
      </c>
      <c r="P10395">
        <v>0</v>
      </c>
      <c r="Q10395">
        <v>2</v>
      </c>
      <c r="R10395" t="s">
        <v>43179</v>
      </c>
      <c r="S10395" t="s">
        <v>43583</v>
      </c>
      <c r="T10395" t="s">
        <v>44763</v>
      </c>
      <c r="U10395" t="s">
        <v>53524</v>
      </c>
      <c r="W10395" t="s">
        <v>42497</v>
      </c>
      <c r="X10395" t="s">
        <v>43180</v>
      </c>
    </row>
    <row r="10396" spans="1:24">
      <c r="A10396">
        <f>HYPERLINK("https://www.philgeps.gov.ph/GEPSNONPILOT/Tender/SplashBidNoticeAbstractUI.aspx?menuIndex=3&amp;refID=7064376&amp;Result=3","7064376")</f>
        <v>0</v>
      </c>
      <c r="B10396" t="s">
        <v>2918</v>
      </c>
      <c r="C10396" t="s">
        <v>10336</v>
      </c>
      <c r="D10396" t="s">
        <v>17415</v>
      </c>
      <c r="E10396" t="s">
        <v>26416</v>
      </c>
      <c r="F10396" t="s">
        <v>30052</v>
      </c>
      <c r="G10396" t="s">
        <v>30058</v>
      </c>
      <c r="H10396" t="s">
        <v>15498</v>
      </c>
      <c r="I10396" t="s">
        <v>30109</v>
      </c>
      <c r="J10396" t="s">
        <v>36533</v>
      </c>
      <c r="K10396" t="s">
        <v>39017</v>
      </c>
      <c r="M10396" t="s">
        <v>42481</v>
      </c>
      <c r="N10396" t="s">
        <v>43166</v>
      </c>
      <c r="O10396" t="s">
        <v>43167</v>
      </c>
      <c r="P10396">
        <v>0</v>
      </c>
      <c r="Q10396">
        <v>1</v>
      </c>
      <c r="R10396" t="s">
        <v>43179</v>
      </c>
      <c r="S10396" t="s">
        <v>43583</v>
      </c>
      <c r="T10396" t="s">
        <v>44791</v>
      </c>
      <c r="U10396" t="s">
        <v>53478</v>
      </c>
      <c r="W10396" t="s">
        <v>42481</v>
      </c>
      <c r="X10396" t="s">
        <v>43181</v>
      </c>
    </row>
    <row r="10397" spans="1:24">
      <c r="A10397">
        <f>HYPERLINK("https://www.philgeps.gov.ph/GEPSNONPILOT/Tender/SplashBidNoticeAbstractUI.aspx?menuIndex=3&amp;refID=7064388&amp;Result=3","7064388")</f>
        <v>0</v>
      </c>
      <c r="B10397" t="s">
        <v>2918</v>
      </c>
      <c r="C10397" t="s">
        <v>10336</v>
      </c>
      <c r="D10397" t="s">
        <v>17415</v>
      </c>
      <c r="E10397" t="s">
        <v>26417</v>
      </c>
      <c r="F10397" t="s">
        <v>30052</v>
      </c>
      <c r="G10397" t="s">
        <v>30058</v>
      </c>
      <c r="H10397" t="s">
        <v>15498</v>
      </c>
      <c r="I10397" t="s">
        <v>30109</v>
      </c>
      <c r="J10397" t="s">
        <v>36533</v>
      </c>
      <c r="K10397" t="s">
        <v>39017</v>
      </c>
      <c r="M10397" t="s">
        <v>42481</v>
      </c>
      <c r="N10397" t="s">
        <v>43166</v>
      </c>
      <c r="O10397" t="s">
        <v>43167</v>
      </c>
      <c r="P10397">
        <v>0</v>
      </c>
      <c r="Q10397">
        <v>0</v>
      </c>
      <c r="R10397" t="s">
        <v>43179</v>
      </c>
      <c r="S10397" t="s">
        <v>43583</v>
      </c>
      <c r="T10397" t="s">
        <v>44791</v>
      </c>
      <c r="U10397" t="s">
        <v>53477</v>
      </c>
      <c r="W10397" t="s">
        <v>42481</v>
      </c>
      <c r="X10397" t="s">
        <v>43181</v>
      </c>
    </row>
    <row r="10398" spans="1:24">
      <c r="A10398">
        <f>HYPERLINK("https://www.philgeps.gov.ph/GEPSNONPILOT/Tender/SplashBidNoticeAbstractUI.aspx?menuIndex=3&amp;refID=7065094&amp;Result=3","7065094")</f>
        <v>0</v>
      </c>
      <c r="B10398" t="s">
        <v>2923</v>
      </c>
      <c r="C10398" t="s">
        <v>13331</v>
      </c>
      <c r="D10398" t="s">
        <v>17445</v>
      </c>
      <c r="E10398" t="s">
        <v>26418</v>
      </c>
      <c r="F10398" t="s">
        <v>30052</v>
      </c>
      <c r="G10398" t="s">
        <v>30058</v>
      </c>
      <c r="H10398" t="s">
        <v>30067</v>
      </c>
      <c r="I10398" t="s">
        <v>3693</v>
      </c>
      <c r="J10398" t="s">
        <v>36562</v>
      </c>
      <c r="K10398" t="s">
        <v>39062</v>
      </c>
      <c r="M10398" t="s">
        <v>42486</v>
      </c>
      <c r="N10398" t="s">
        <v>43166</v>
      </c>
      <c r="O10398" t="s">
        <v>43167</v>
      </c>
      <c r="P10398">
        <v>0</v>
      </c>
      <c r="Q10398">
        <v>2</v>
      </c>
      <c r="R10398" t="s">
        <v>43179</v>
      </c>
      <c r="S10398" t="s">
        <v>43583</v>
      </c>
      <c r="T10398" t="s">
        <v>44873</v>
      </c>
      <c r="U10398" t="s">
        <v>53525</v>
      </c>
      <c r="V10398" t="s">
        <v>57989</v>
      </c>
      <c r="W10398" t="s">
        <v>42486</v>
      </c>
      <c r="X10398" t="s">
        <v>43180</v>
      </c>
    </row>
    <row r="10399" spans="1:24">
      <c r="A10399">
        <f>HYPERLINK("https://www.philgeps.gov.ph/GEPSNONPILOT/Tender/SplashBidNoticeAbstractUI.aspx?menuIndex=3&amp;refID=7065009&amp;Result=3","7065009")</f>
        <v>0</v>
      </c>
      <c r="B10399" t="s">
        <v>1637</v>
      </c>
      <c r="C10399" t="s">
        <v>13332</v>
      </c>
      <c r="D10399" t="s">
        <v>17447</v>
      </c>
      <c r="E10399" t="s">
        <v>26419</v>
      </c>
      <c r="F10399" t="s">
        <v>30052</v>
      </c>
      <c r="G10399" t="s">
        <v>30058</v>
      </c>
      <c r="H10399" t="s">
        <v>15498</v>
      </c>
      <c r="I10399" t="s">
        <v>9238</v>
      </c>
      <c r="J10399" t="s">
        <v>36563</v>
      </c>
      <c r="K10399" t="s">
        <v>39031</v>
      </c>
      <c r="M10399" t="s">
        <v>42498</v>
      </c>
      <c r="N10399" t="s">
        <v>43166</v>
      </c>
      <c r="O10399" t="s">
        <v>43167</v>
      </c>
      <c r="Q10399">
        <v>14</v>
      </c>
      <c r="R10399" t="s">
        <v>43179</v>
      </c>
      <c r="S10399" t="s">
        <v>43606</v>
      </c>
      <c r="T10399" t="s">
        <v>44771</v>
      </c>
      <c r="U10399" t="s">
        <v>53526</v>
      </c>
      <c r="W10399" t="s">
        <v>41039</v>
      </c>
      <c r="X10399" t="s">
        <v>43180</v>
      </c>
    </row>
    <row r="10400" spans="1:24">
      <c r="A10400">
        <f>HYPERLINK("https://www.philgeps.gov.ph/GEPSNONPILOT/Tender/SplashBidNoticeAbstractUI.aspx?menuIndex=3&amp;refID=7065268&amp;Result=3","7065268")</f>
        <v>0</v>
      </c>
      <c r="B10400" t="s">
        <v>2935</v>
      </c>
      <c r="C10400" t="s">
        <v>13333</v>
      </c>
      <c r="D10400" t="s">
        <v>17451</v>
      </c>
      <c r="E10400" t="s">
        <v>26420</v>
      </c>
      <c r="F10400" t="s">
        <v>30052</v>
      </c>
      <c r="G10400" t="s">
        <v>30058</v>
      </c>
      <c r="H10400" t="s">
        <v>30067</v>
      </c>
      <c r="I10400" t="s">
        <v>3693</v>
      </c>
      <c r="J10400" t="s">
        <v>36564</v>
      </c>
      <c r="K10400" t="s">
        <v>39240</v>
      </c>
      <c r="L10400" t="s">
        <v>2935</v>
      </c>
      <c r="M10400" t="s">
        <v>42499</v>
      </c>
      <c r="N10400" t="s">
        <v>43166</v>
      </c>
      <c r="O10400" t="s">
        <v>43167</v>
      </c>
      <c r="P10400">
        <v>0</v>
      </c>
      <c r="Q10400">
        <v>0</v>
      </c>
      <c r="R10400" t="s">
        <v>43179</v>
      </c>
      <c r="S10400" t="s">
        <v>43583</v>
      </c>
      <c r="T10400" t="s">
        <v>44699</v>
      </c>
      <c r="U10400" t="s">
        <v>53527</v>
      </c>
      <c r="V10400" t="s">
        <v>58001</v>
      </c>
      <c r="W10400" t="s">
        <v>42499</v>
      </c>
      <c r="X10400" t="s">
        <v>43180</v>
      </c>
    </row>
    <row r="10401" spans="1:24">
      <c r="A10401">
        <f>HYPERLINK("https://www.philgeps.gov.ph/GEPSNONPILOT/Tender/SplashBidNoticeAbstractUI.aspx?menuIndex=3&amp;refID=7065022&amp;Result=3","7065022")</f>
        <v>0</v>
      </c>
      <c r="B10401" t="s">
        <v>2929</v>
      </c>
      <c r="C10401" t="s">
        <v>13334</v>
      </c>
      <c r="D10401" t="s">
        <v>17456</v>
      </c>
      <c r="E10401" t="s">
        <v>22732</v>
      </c>
      <c r="F10401" t="s">
        <v>30052</v>
      </c>
      <c r="G10401" t="s">
        <v>30058</v>
      </c>
      <c r="H10401" t="s">
        <v>15498</v>
      </c>
      <c r="I10401" t="s">
        <v>30070</v>
      </c>
      <c r="J10401" t="s">
        <v>36565</v>
      </c>
      <c r="K10401" t="s">
        <v>39037</v>
      </c>
      <c r="M10401" t="s">
        <v>42492</v>
      </c>
      <c r="N10401" t="s">
        <v>43166</v>
      </c>
      <c r="O10401" t="s">
        <v>43167</v>
      </c>
      <c r="P10401">
        <v>0</v>
      </c>
      <c r="Q10401">
        <v>1</v>
      </c>
      <c r="R10401" t="s">
        <v>43179</v>
      </c>
      <c r="S10401" t="s">
        <v>43583</v>
      </c>
      <c r="T10401" t="s">
        <v>44795</v>
      </c>
      <c r="U10401" t="s">
        <v>53528</v>
      </c>
      <c r="V10401" t="s">
        <v>57994</v>
      </c>
      <c r="W10401" t="s">
        <v>42492</v>
      </c>
      <c r="X10401" t="s">
        <v>43180</v>
      </c>
    </row>
    <row r="10402" spans="1:24">
      <c r="A10402">
        <f>HYPERLINK("https://www.philgeps.gov.ph/GEPSNONPILOT/Tender/SplashBidNoticeAbstractUI.aspx?menuIndex=3&amp;refID=7065260&amp;Result=3","7065260")</f>
        <v>0</v>
      </c>
      <c r="B10402" t="s">
        <v>2928</v>
      </c>
      <c r="C10402" t="s">
        <v>13335</v>
      </c>
      <c r="D10402" t="s">
        <v>17460</v>
      </c>
      <c r="E10402" t="s">
        <v>26421</v>
      </c>
      <c r="F10402" t="s">
        <v>30052</v>
      </c>
      <c r="G10402" t="s">
        <v>30058</v>
      </c>
      <c r="H10402" t="s">
        <v>15498</v>
      </c>
      <c r="I10402" t="s">
        <v>30097</v>
      </c>
      <c r="J10402" t="s">
        <v>36566</v>
      </c>
      <c r="K10402" t="s">
        <v>39017</v>
      </c>
      <c r="M10402" t="s">
        <v>42491</v>
      </c>
      <c r="N10402" t="s">
        <v>43166</v>
      </c>
      <c r="O10402" t="s">
        <v>43167</v>
      </c>
      <c r="P10402">
        <v>0</v>
      </c>
      <c r="Q10402">
        <v>3</v>
      </c>
      <c r="R10402" t="s">
        <v>43179</v>
      </c>
      <c r="S10402" t="s">
        <v>43583</v>
      </c>
      <c r="T10402" t="s">
        <v>45042</v>
      </c>
      <c r="U10402" t="s">
        <v>53529</v>
      </c>
      <c r="W10402" t="s">
        <v>42491</v>
      </c>
      <c r="X10402" t="s">
        <v>43180</v>
      </c>
    </row>
    <row r="10403" spans="1:24">
      <c r="A10403">
        <f>HYPERLINK("https://www.philgeps.gov.ph/GEPSNONPILOT/Tender/SplashBidNoticeAbstractUI.aspx?menuIndex=3&amp;refID=7065242&amp;Result=3","7065242")</f>
        <v>0</v>
      </c>
      <c r="B10403" t="s">
        <v>2936</v>
      </c>
      <c r="C10403" t="s">
        <v>13336</v>
      </c>
      <c r="D10403" t="s">
        <v>17476</v>
      </c>
      <c r="E10403" t="s">
        <v>26422</v>
      </c>
      <c r="F10403" t="s">
        <v>30052</v>
      </c>
      <c r="G10403" t="s">
        <v>30058</v>
      </c>
      <c r="H10403" t="s">
        <v>30067</v>
      </c>
      <c r="I10403" t="s">
        <v>3736</v>
      </c>
      <c r="J10403" t="s">
        <v>30321</v>
      </c>
      <c r="K10403" t="s">
        <v>39026</v>
      </c>
      <c r="M10403" t="s">
        <v>42500</v>
      </c>
      <c r="N10403" t="s">
        <v>43166</v>
      </c>
      <c r="O10403" t="s">
        <v>43167</v>
      </c>
      <c r="P10403">
        <v>0</v>
      </c>
      <c r="Q10403">
        <v>0</v>
      </c>
      <c r="R10403" t="s">
        <v>43179</v>
      </c>
      <c r="S10403" t="s">
        <v>43583</v>
      </c>
      <c r="T10403" t="s">
        <v>44754</v>
      </c>
      <c r="U10403" t="s">
        <v>53530</v>
      </c>
      <c r="W10403" t="s">
        <v>42500</v>
      </c>
      <c r="X10403" t="s">
        <v>43180</v>
      </c>
    </row>
    <row r="10404" spans="1:24">
      <c r="A10404">
        <f>HYPERLINK("https://www.philgeps.gov.ph/GEPSNONPILOT/Tender/SplashBidNoticeAbstractUI.aspx?menuIndex=3&amp;refID=7064682&amp;Result=3","7064682")</f>
        <v>0</v>
      </c>
      <c r="B10404" t="s">
        <v>856</v>
      </c>
      <c r="C10404" t="s">
        <v>13337</v>
      </c>
      <c r="D10404" t="s">
        <v>17415</v>
      </c>
      <c r="E10404" t="s">
        <v>26423</v>
      </c>
      <c r="F10404" t="s">
        <v>30052</v>
      </c>
      <c r="G10404" t="s">
        <v>30058</v>
      </c>
      <c r="H10404" t="s">
        <v>30067</v>
      </c>
      <c r="I10404" t="s">
        <v>3693</v>
      </c>
      <c r="J10404" t="s">
        <v>36567</v>
      </c>
      <c r="K10404" t="s">
        <v>39016</v>
      </c>
      <c r="M10404" t="s">
        <v>41374</v>
      </c>
      <c r="N10404" t="s">
        <v>43166</v>
      </c>
      <c r="O10404" t="s">
        <v>43167</v>
      </c>
      <c r="P10404">
        <v>0</v>
      </c>
      <c r="Q10404">
        <v>1</v>
      </c>
      <c r="R10404" t="s">
        <v>43179</v>
      </c>
      <c r="S10404" t="s">
        <v>43583</v>
      </c>
      <c r="T10404" t="s">
        <v>44715</v>
      </c>
      <c r="U10404" t="s">
        <v>53531</v>
      </c>
      <c r="W10404" t="s">
        <v>41374</v>
      </c>
      <c r="X10404" t="s">
        <v>43180</v>
      </c>
    </row>
    <row r="10405" spans="1:24">
      <c r="A10405">
        <f>HYPERLINK("https://www.philgeps.gov.ph/GEPSNONPILOT/Tender/SplashBidNoticeAbstractUI.aspx?menuIndex=3&amp;refID=7064775&amp;Result=3","7064775")</f>
        <v>0</v>
      </c>
      <c r="B10405" t="s">
        <v>982</v>
      </c>
      <c r="C10405" t="s">
        <v>13338</v>
      </c>
      <c r="D10405" t="s">
        <v>17446</v>
      </c>
      <c r="E10405" t="s">
        <v>26424</v>
      </c>
      <c r="F10405" t="s">
        <v>30052</v>
      </c>
      <c r="G10405" t="s">
        <v>30058</v>
      </c>
      <c r="H10405" t="s">
        <v>30067</v>
      </c>
      <c r="I10405" t="s">
        <v>3693</v>
      </c>
      <c r="J10405" t="s">
        <v>30247</v>
      </c>
      <c r="K10405" t="s">
        <v>39025</v>
      </c>
      <c r="M10405" t="s">
        <v>40309</v>
      </c>
      <c r="N10405" t="s">
        <v>43166</v>
      </c>
      <c r="O10405" t="s">
        <v>43167</v>
      </c>
      <c r="P10405">
        <v>0</v>
      </c>
      <c r="Q10405">
        <v>0</v>
      </c>
      <c r="R10405" t="s">
        <v>43179</v>
      </c>
      <c r="S10405" t="s">
        <v>43583</v>
      </c>
      <c r="T10405" t="s">
        <v>44724</v>
      </c>
      <c r="U10405" t="s">
        <v>53532</v>
      </c>
      <c r="W10405" t="s">
        <v>40309</v>
      </c>
      <c r="X10405" t="s">
        <v>43180</v>
      </c>
    </row>
    <row r="10406" spans="1:24">
      <c r="A10406">
        <f>HYPERLINK("https://www.philgeps.gov.ph/GEPSNONPILOT/Tender/SplashBidNoticeAbstractUI.aspx?menuIndex=3&amp;refID=7065248&amp;Result=3","7065248")</f>
        <v>0</v>
      </c>
      <c r="B10406" t="s">
        <v>2937</v>
      </c>
      <c r="C10406" t="s">
        <v>13339</v>
      </c>
      <c r="D10406" t="s">
        <v>17462</v>
      </c>
      <c r="E10406" t="s">
        <v>26425</v>
      </c>
      <c r="F10406" t="s">
        <v>30055</v>
      </c>
      <c r="G10406" t="s">
        <v>30058</v>
      </c>
      <c r="H10406" t="s">
        <v>30067</v>
      </c>
      <c r="I10406" t="s">
        <v>3693</v>
      </c>
      <c r="J10406" t="s">
        <v>30218</v>
      </c>
      <c r="K10406" t="s">
        <v>39029</v>
      </c>
      <c r="L10406" t="s">
        <v>2937</v>
      </c>
      <c r="M10406" t="s">
        <v>42501</v>
      </c>
      <c r="N10406" t="s">
        <v>43166</v>
      </c>
      <c r="O10406" t="s">
        <v>43167</v>
      </c>
      <c r="P10406">
        <v>0</v>
      </c>
      <c r="Q10406">
        <v>1</v>
      </c>
      <c r="R10406" t="s">
        <v>43179</v>
      </c>
      <c r="S10406" t="s">
        <v>43583</v>
      </c>
      <c r="T10406" t="s">
        <v>44750</v>
      </c>
      <c r="U10406" t="s">
        <v>53533</v>
      </c>
      <c r="W10406" t="s">
        <v>42501</v>
      </c>
      <c r="X10406" t="s">
        <v>43180</v>
      </c>
    </row>
    <row r="10407" spans="1:24">
      <c r="A10407">
        <f>HYPERLINK("https://www.philgeps.gov.ph/GEPSNONPILOT/Tender/SplashBidNoticeAbstractUI.aspx?menuIndex=3&amp;refID=7065237&amp;Result=3","7065237")</f>
        <v>0</v>
      </c>
      <c r="B10407" t="s">
        <v>2169</v>
      </c>
      <c r="C10407" t="s">
        <v>13340</v>
      </c>
      <c r="D10407" t="s">
        <v>17418</v>
      </c>
      <c r="E10407" t="s">
        <v>18868</v>
      </c>
      <c r="F10407" t="s">
        <v>30052</v>
      </c>
      <c r="G10407" t="s">
        <v>30058</v>
      </c>
      <c r="H10407" t="s">
        <v>30067</v>
      </c>
      <c r="I10407" t="s">
        <v>3693</v>
      </c>
      <c r="J10407" t="s">
        <v>36568</v>
      </c>
      <c r="K10407" t="s">
        <v>39025</v>
      </c>
      <c r="M10407" t="s">
        <v>41637</v>
      </c>
      <c r="N10407" t="s">
        <v>43166</v>
      </c>
      <c r="O10407" t="s">
        <v>43167</v>
      </c>
      <c r="P10407">
        <v>0</v>
      </c>
      <c r="Q10407">
        <v>0</v>
      </c>
      <c r="R10407" t="s">
        <v>43179</v>
      </c>
      <c r="S10407" t="s">
        <v>43583</v>
      </c>
      <c r="T10407" t="s">
        <v>44754</v>
      </c>
      <c r="U10407" t="s">
        <v>53534</v>
      </c>
      <c r="W10407" t="s">
        <v>58666</v>
      </c>
      <c r="X10407" t="s">
        <v>43180</v>
      </c>
    </row>
    <row r="10408" spans="1:24">
      <c r="A10408">
        <f>HYPERLINK("https://www.philgeps.gov.ph/GEPSNONPILOT/Tender/SplashBidNoticeAbstractUI.aspx?menuIndex=3&amp;refID=7065264&amp;Result=3","7065264")</f>
        <v>0</v>
      </c>
      <c r="B10408" t="s">
        <v>2938</v>
      </c>
      <c r="C10408" t="s">
        <v>13341</v>
      </c>
      <c r="D10408" t="s">
        <v>17417</v>
      </c>
      <c r="E10408" t="s">
        <v>26426</v>
      </c>
      <c r="F10408" t="s">
        <v>30052</v>
      </c>
      <c r="G10408" t="s">
        <v>30058</v>
      </c>
      <c r="H10408" t="s">
        <v>30067</v>
      </c>
      <c r="I10408" t="s">
        <v>3693</v>
      </c>
      <c r="J10408" t="s">
        <v>30230</v>
      </c>
      <c r="K10408" t="s">
        <v>39019</v>
      </c>
      <c r="M10408" t="s">
        <v>42502</v>
      </c>
      <c r="N10408" t="s">
        <v>43166</v>
      </c>
      <c r="O10408" t="s">
        <v>43167</v>
      </c>
      <c r="P10408">
        <v>0</v>
      </c>
      <c r="Q10408">
        <v>0</v>
      </c>
      <c r="R10408" t="s">
        <v>43179</v>
      </c>
      <c r="S10408" t="s">
        <v>43583</v>
      </c>
      <c r="T10408" t="s">
        <v>44753</v>
      </c>
      <c r="U10408" t="s">
        <v>53535</v>
      </c>
      <c r="W10408" t="s">
        <v>42502</v>
      </c>
      <c r="X10408" t="s">
        <v>43180</v>
      </c>
    </row>
    <row r="10409" spans="1:24">
      <c r="A10409">
        <f>HYPERLINK("https://www.philgeps.gov.ph/GEPSNONPILOT/Tender/SplashBidNoticeAbstractUI.aspx?menuIndex=3&amp;refID=7064987&amp;Result=3","7064987")</f>
        <v>0</v>
      </c>
      <c r="B10409" t="s">
        <v>2925</v>
      </c>
      <c r="C10409" t="s">
        <v>13342</v>
      </c>
      <c r="D10409" t="s">
        <v>17464</v>
      </c>
      <c r="E10409" t="s">
        <v>26427</v>
      </c>
      <c r="F10409" t="s">
        <v>30052</v>
      </c>
      <c r="G10409" t="s">
        <v>30058</v>
      </c>
      <c r="H10409" t="s">
        <v>30067</v>
      </c>
      <c r="I10409" t="s">
        <v>3693</v>
      </c>
      <c r="J10409" t="s">
        <v>30397</v>
      </c>
      <c r="K10409" t="s">
        <v>39054</v>
      </c>
      <c r="M10409" t="s">
        <v>42488</v>
      </c>
      <c r="N10409" t="s">
        <v>43166</v>
      </c>
      <c r="O10409" t="s">
        <v>43167</v>
      </c>
      <c r="P10409">
        <v>0</v>
      </c>
      <c r="Q10409">
        <v>0</v>
      </c>
      <c r="R10409" t="s">
        <v>43179</v>
      </c>
      <c r="S10409" t="s">
        <v>43583</v>
      </c>
      <c r="T10409" t="s">
        <v>44729</v>
      </c>
      <c r="U10409" t="s">
        <v>53500</v>
      </c>
      <c r="W10409" t="s">
        <v>42488</v>
      </c>
      <c r="X10409" t="s">
        <v>43180</v>
      </c>
    </row>
    <row r="10410" spans="1:24">
      <c r="A10410">
        <f>HYPERLINK("https://www.philgeps.gov.ph/GEPSNONPILOT/Tender/SplashBidNoticeAbstractUI.aspx?menuIndex=3&amp;refID=7065198&amp;Result=3","7065198")</f>
        <v>0</v>
      </c>
      <c r="B10410" t="s">
        <v>2939</v>
      </c>
      <c r="C10410" t="s">
        <v>13343</v>
      </c>
      <c r="D10410" t="s">
        <v>17426</v>
      </c>
      <c r="E10410" t="s">
        <v>26428</v>
      </c>
      <c r="F10410" t="s">
        <v>30052</v>
      </c>
      <c r="G10410" t="s">
        <v>30060</v>
      </c>
      <c r="H10410" t="s">
        <v>15498</v>
      </c>
      <c r="I10410" t="s">
        <v>30091</v>
      </c>
      <c r="J10410" t="s">
        <v>30222</v>
      </c>
      <c r="K10410" t="s">
        <v>39037</v>
      </c>
      <c r="M10410" t="s">
        <v>42503</v>
      </c>
      <c r="N10410" t="s">
        <v>43166</v>
      </c>
      <c r="O10410" t="s">
        <v>43167</v>
      </c>
      <c r="P10410">
        <v>0</v>
      </c>
      <c r="Q10410">
        <v>7</v>
      </c>
      <c r="R10410" t="s">
        <v>43179</v>
      </c>
      <c r="S10410" t="s">
        <v>43583</v>
      </c>
      <c r="T10410" t="s">
        <v>44750</v>
      </c>
      <c r="U10410" t="s">
        <v>53536</v>
      </c>
      <c r="W10410" t="s">
        <v>42503</v>
      </c>
      <c r="X10410" t="s">
        <v>43180</v>
      </c>
    </row>
    <row r="10411" spans="1:24">
      <c r="A10411">
        <f>HYPERLINK("https://www.philgeps.gov.ph/GEPSNONPILOT/Tender/SplashBidNoticeAbstractUI.aspx?menuIndex=3&amp;refID=7065195&amp;Result=3","7065195")</f>
        <v>0</v>
      </c>
      <c r="B10411" t="s">
        <v>2940</v>
      </c>
      <c r="C10411" t="s">
        <v>13344</v>
      </c>
      <c r="D10411" t="s">
        <v>17450</v>
      </c>
      <c r="E10411" t="s">
        <v>26429</v>
      </c>
      <c r="F10411" t="s">
        <v>30052</v>
      </c>
      <c r="G10411" t="s">
        <v>30059</v>
      </c>
      <c r="H10411" t="s">
        <v>15498</v>
      </c>
      <c r="I10411" t="s">
        <v>30106</v>
      </c>
      <c r="J10411" t="s">
        <v>36569</v>
      </c>
      <c r="K10411" t="s">
        <v>39017</v>
      </c>
      <c r="M10411" t="s">
        <v>42504</v>
      </c>
      <c r="N10411" t="s">
        <v>43166</v>
      </c>
      <c r="O10411" t="s">
        <v>43167</v>
      </c>
      <c r="P10411">
        <v>0</v>
      </c>
      <c r="Q10411">
        <v>3</v>
      </c>
      <c r="R10411" t="s">
        <v>43179</v>
      </c>
      <c r="S10411" t="s">
        <v>43583</v>
      </c>
      <c r="T10411" t="s">
        <v>44714</v>
      </c>
      <c r="U10411" t="s">
        <v>53537</v>
      </c>
      <c r="V10411" t="s">
        <v>57546</v>
      </c>
      <c r="W10411" t="s">
        <v>42504</v>
      </c>
      <c r="X10411" t="s">
        <v>43180</v>
      </c>
    </row>
    <row r="10412" spans="1:24">
      <c r="A10412">
        <f>HYPERLINK("https://www.philgeps.gov.ph/GEPSNONPILOT/Tender/SplashBidNoticeAbstractUI.aspx?menuIndex=3&amp;refID=7065187&amp;Result=3","7065187")</f>
        <v>0</v>
      </c>
      <c r="B10412" t="s">
        <v>175</v>
      </c>
      <c r="C10412" t="s">
        <v>13345</v>
      </c>
      <c r="D10412" t="s">
        <v>17476</v>
      </c>
      <c r="E10412" t="s">
        <v>21872</v>
      </c>
      <c r="F10412" t="s">
        <v>30052</v>
      </c>
      <c r="G10412" t="s">
        <v>30058</v>
      </c>
      <c r="H10412" t="s">
        <v>30067</v>
      </c>
      <c r="I10412" t="s">
        <v>3693</v>
      </c>
      <c r="J10412" t="s">
        <v>36570</v>
      </c>
      <c r="K10412" t="s">
        <v>39031</v>
      </c>
      <c r="M10412" t="s">
        <v>39464</v>
      </c>
      <c r="N10412" t="s">
        <v>43166</v>
      </c>
      <c r="O10412" t="s">
        <v>43167</v>
      </c>
      <c r="P10412">
        <v>0</v>
      </c>
      <c r="Q10412">
        <v>0</v>
      </c>
      <c r="R10412" t="s">
        <v>43179</v>
      </c>
      <c r="S10412" t="s">
        <v>43583</v>
      </c>
      <c r="T10412" t="s">
        <v>44796</v>
      </c>
      <c r="U10412" t="s">
        <v>53538</v>
      </c>
      <c r="V10412" t="s">
        <v>58002</v>
      </c>
      <c r="W10412" t="s">
        <v>39464</v>
      </c>
      <c r="X10412" t="s">
        <v>43180</v>
      </c>
    </row>
    <row r="10413" spans="1:24">
      <c r="A10413">
        <f>HYPERLINK("https://www.philgeps.gov.ph/GEPSNONPILOT/Tender/SplashBidNoticeAbstractUI.aspx?menuIndex=3&amp;refID=7065326&amp;Result=3","7065326")</f>
        <v>0</v>
      </c>
      <c r="B10413" t="s">
        <v>2935</v>
      </c>
      <c r="C10413" t="s">
        <v>13346</v>
      </c>
      <c r="D10413" t="s">
        <v>17451</v>
      </c>
      <c r="E10413" t="s">
        <v>26430</v>
      </c>
      <c r="F10413" t="s">
        <v>30052</v>
      </c>
      <c r="G10413" t="s">
        <v>30058</v>
      </c>
      <c r="H10413" t="s">
        <v>30067</v>
      </c>
      <c r="I10413" t="s">
        <v>3693</v>
      </c>
      <c r="J10413" t="s">
        <v>36571</v>
      </c>
      <c r="K10413" t="s">
        <v>39170</v>
      </c>
      <c r="L10413" t="s">
        <v>2935</v>
      </c>
      <c r="M10413" t="s">
        <v>42499</v>
      </c>
      <c r="N10413" t="s">
        <v>43166</v>
      </c>
      <c r="O10413" t="s">
        <v>43167</v>
      </c>
      <c r="P10413">
        <v>0</v>
      </c>
      <c r="Q10413">
        <v>0</v>
      </c>
      <c r="R10413" t="s">
        <v>43179</v>
      </c>
      <c r="S10413" t="s">
        <v>43583</v>
      </c>
      <c r="T10413" t="s">
        <v>44699</v>
      </c>
      <c r="U10413" t="s">
        <v>53539</v>
      </c>
      <c r="V10413" t="s">
        <v>58003</v>
      </c>
      <c r="W10413" t="s">
        <v>42499</v>
      </c>
      <c r="X10413" t="s">
        <v>43180</v>
      </c>
    </row>
    <row r="10414" spans="1:24">
      <c r="A10414">
        <f>HYPERLINK("https://www.philgeps.gov.ph/GEPSNONPILOT/Tender/SplashBidNoticeAbstractUI.aspx?menuIndex=3&amp;refID=7065212&amp;Result=3","7065212")</f>
        <v>0</v>
      </c>
      <c r="B10414" t="s">
        <v>450</v>
      </c>
      <c r="C10414" t="s">
        <v>13347</v>
      </c>
      <c r="D10414" t="s">
        <v>17467</v>
      </c>
      <c r="E10414" t="s">
        <v>26431</v>
      </c>
      <c r="F10414" t="s">
        <v>30052</v>
      </c>
      <c r="G10414" t="s">
        <v>30058</v>
      </c>
      <c r="H10414" t="s">
        <v>30067</v>
      </c>
      <c r="I10414" t="s">
        <v>3693</v>
      </c>
      <c r="J10414" t="s">
        <v>36572</v>
      </c>
      <c r="K10414" t="s">
        <v>39031</v>
      </c>
      <c r="M10414" t="s">
        <v>39750</v>
      </c>
      <c r="N10414" t="s">
        <v>43166</v>
      </c>
      <c r="O10414" t="s">
        <v>43167</v>
      </c>
      <c r="P10414">
        <v>0</v>
      </c>
      <c r="Q10414">
        <v>0</v>
      </c>
      <c r="R10414" t="s">
        <v>43179</v>
      </c>
      <c r="S10414" t="s">
        <v>43583</v>
      </c>
      <c r="T10414" t="s">
        <v>44815</v>
      </c>
      <c r="U10414" t="s">
        <v>53540</v>
      </c>
      <c r="W10414" t="s">
        <v>39750</v>
      </c>
      <c r="X10414" t="s">
        <v>43180</v>
      </c>
    </row>
    <row r="10415" spans="1:24">
      <c r="A10415">
        <f>HYPERLINK("https://www.philgeps.gov.ph/GEPSNONPILOT/Tender/SplashBidNoticeAbstractUI.aspx?menuIndex=3&amp;refID=7065201&amp;Result=3","7065201")</f>
        <v>0</v>
      </c>
      <c r="B10415" t="s">
        <v>2941</v>
      </c>
      <c r="C10415" t="s">
        <v>13348</v>
      </c>
      <c r="D10415" t="s">
        <v>17421</v>
      </c>
      <c r="E10415" t="s">
        <v>26432</v>
      </c>
      <c r="F10415" t="s">
        <v>30052</v>
      </c>
      <c r="G10415" t="s">
        <v>30058</v>
      </c>
      <c r="H10415" t="s">
        <v>30067</v>
      </c>
      <c r="I10415" t="s">
        <v>3693</v>
      </c>
      <c r="J10415" t="s">
        <v>36573</v>
      </c>
      <c r="K10415" t="s">
        <v>39023</v>
      </c>
      <c r="M10415" t="s">
        <v>42505</v>
      </c>
      <c r="N10415" t="s">
        <v>43166</v>
      </c>
      <c r="O10415" t="s">
        <v>43167</v>
      </c>
      <c r="P10415">
        <v>0</v>
      </c>
      <c r="Q10415">
        <v>0</v>
      </c>
      <c r="R10415" t="s">
        <v>43179</v>
      </c>
      <c r="S10415" t="s">
        <v>43583</v>
      </c>
      <c r="T10415" t="s">
        <v>44699</v>
      </c>
      <c r="U10415" t="s">
        <v>53541</v>
      </c>
      <c r="W10415" t="s">
        <v>42505</v>
      </c>
      <c r="X10415" t="s">
        <v>43180</v>
      </c>
    </row>
    <row r="10416" spans="1:24">
      <c r="A10416">
        <f>HYPERLINK("https://www.philgeps.gov.ph/GEPSNONPILOT/Tender/SplashBidNoticeAbstractUI.aspx?menuIndex=3&amp;refID=7065389&amp;Result=3","7065389")</f>
        <v>0</v>
      </c>
      <c r="B10416" t="s">
        <v>2929</v>
      </c>
      <c r="C10416" t="s">
        <v>13349</v>
      </c>
      <c r="D10416" t="s">
        <v>17456</v>
      </c>
      <c r="E10416" t="s">
        <v>23529</v>
      </c>
      <c r="F10416" t="s">
        <v>30052</v>
      </c>
      <c r="G10416" t="s">
        <v>30058</v>
      </c>
      <c r="H10416" t="s">
        <v>15498</v>
      </c>
      <c r="I10416" t="s">
        <v>3736</v>
      </c>
      <c r="J10416" t="s">
        <v>36574</v>
      </c>
      <c r="K10416" t="s">
        <v>39037</v>
      </c>
      <c r="M10416" t="s">
        <v>42492</v>
      </c>
      <c r="N10416" t="s">
        <v>43166</v>
      </c>
      <c r="O10416" t="s">
        <v>43167</v>
      </c>
      <c r="P10416">
        <v>0</v>
      </c>
      <c r="Q10416">
        <v>4</v>
      </c>
      <c r="R10416" t="s">
        <v>43179</v>
      </c>
      <c r="S10416" t="s">
        <v>43583</v>
      </c>
      <c r="T10416" t="s">
        <v>44795</v>
      </c>
      <c r="U10416" t="s">
        <v>53542</v>
      </c>
      <c r="V10416" t="s">
        <v>57994</v>
      </c>
      <c r="W10416" t="s">
        <v>42492</v>
      </c>
      <c r="X10416" t="s">
        <v>43180</v>
      </c>
    </row>
    <row r="10417" spans="1:24">
      <c r="A10417">
        <f>HYPERLINK("https://www.philgeps.gov.ph/GEPSNONPILOT/Tender/SplashBidNoticeAbstractUI.aspx?menuIndex=3&amp;refID=7065385&amp;Result=3","7065385")</f>
        <v>0</v>
      </c>
      <c r="B10417" t="s">
        <v>2942</v>
      </c>
      <c r="C10417" t="s">
        <v>13350</v>
      </c>
      <c r="D10417" t="s">
        <v>17453</v>
      </c>
      <c r="E10417" t="s">
        <v>26433</v>
      </c>
      <c r="F10417" t="s">
        <v>30052</v>
      </c>
      <c r="G10417" t="s">
        <v>30058</v>
      </c>
      <c r="H10417" t="s">
        <v>15498</v>
      </c>
      <c r="I10417" t="s">
        <v>30081</v>
      </c>
      <c r="J10417" t="s">
        <v>30594</v>
      </c>
      <c r="K10417" t="s">
        <v>39029</v>
      </c>
      <c r="M10417" t="s">
        <v>42506</v>
      </c>
      <c r="N10417" t="s">
        <v>43166</v>
      </c>
      <c r="O10417" t="s">
        <v>43167</v>
      </c>
      <c r="P10417">
        <v>0</v>
      </c>
      <c r="Q10417">
        <v>0</v>
      </c>
      <c r="R10417" t="s">
        <v>43179</v>
      </c>
      <c r="S10417" t="s">
        <v>43583</v>
      </c>
      <c r="T10417" t="s">
        <v>44717</v>
      </c>
      <c r="U10417" t="s">
        <v>53543</v>
      </c>
      <c r="V10417" t="s">
        <v>58004</v>
      </c>
      <c r="W10417" t="s">
        <v>42506</v>
      </c>
      <c r="X10417" t="s">
        <v>43180</v>
      </c>
    </row>
    <row r="10418" spans="1:24">
      <c r="A10418">
        <f>HYPERLINK("https://www.philgeps.gov.ph/GEPSNONPILOT/Tender/SplashBidNoticeAbstractUI.aspx?menuIndex=3&amp;refID=7065122&amp;Result=3","7065122")</f>
        <v>0</v>
      </c>
      <c r="B10418" t="s">
        <v>196</v>
      </c>
      <c r="C10418" t="s">
        <v>13351</v>
      </c>
      <c r="D10418" t="s">
        <v>17476</v>
      </c>
      <c r="E10418" t="s">
        <v>26434</v>
      </c>
      <c r="F10418" t="s">
        <v>30052</v>
      </c>
      <c r="G10418" t="s">
        <v>30058</v>
      </c>
      <c r="H10418" t="s">
        <v>30067</v>
      </c>
      <c r="I10418" t="s">
        <v>3693</v>
      </c>
      <c r="J10418" t="s">
        <v>36575</v>
      </c>
      <c r="K10418" t="s">
        <v>39037</v>
      </c>
      <c r="M10418" t="s">
        <v>39486</v>
      </c>
      <c r="N10418" t="s">
        <v>43166</v>
      </c>
      <c r="O10418" t="s">
        <v>43167</v>
      </c>
      <c r="P10418">
        <v>0</v>
      </c>
      <c r="Q10418">
        <v>2</v>
      </c>
      <c r="R10418" t="s">
        <v>43179</v>
      </c>
      <c r="S10418" t="s">
        <v>43583</v>
      </c>
      <c r="T10418" t="s">
        <v>44754</v>
      </c>
      <c r="U10418" t="s">
        <v>53544</v>
      </c>
      <c r="W10418" t="s">
        <v>39486</v>
      </c>
      <c r="X10418" t="s">
        <v>43180</v>
      </c>
    </row>
    <row r="10419" spans="1:24">
      <c r="A10419">
        <f>HYPERLINK("https://www.philgeps.gov.ph/GEPSNONPILOT/Tender/SplashBidNoticeAbstractUI.aspx?menuIndex=3&amp;refID=7065354&amp;Result=3","7065354")</f>
        <v>0</v>
      </c>
      <c r="B10419" t="s">
        <v>2923</v>
      </c>
      <c r="C10419" t="s">
        <v>13352</v>
      </c>
      <c r="D10419" t="s">
        <v>17445</v>
      </c>
      <c r="E10419" t="s">
        <v>26435</v>
      </c>
      <c r="F10419" t="s">
        <v>30052</v>
      </c>
      <c r="G10419" t="s">
        <v>30058</v>
      </c>
      <c r="H10419" t="s">
        <v>30067</v>
      </c>
      <c r="I10419" t="s">
        <v>3693</v>
      </c>
      <c r="J10419" t="s">
        <v>36576</v>
      </c>
      <c r="K10419" t="s">
        <v>39177</v>
      </c>
      <c r="M10419" t="s">
        <v>42486</v>
      </c>
      <c r="N10419" t="s">
        <v>43166</v>
      </c>
      <c r="O10419" t="s">
        <v>43167</v>
      </c>
      <c r="P10419">
        <v>0</v>
      </c>
      <c r="Q10419">
        <v>2</v>
      </c>
      <c r="R10419" t="s">
        <v>43179</v>
      </c>
      <c r="S10419" t="s">
        <v>43583</v>
      </c>
      <c r="T10419" t="s">
        <v>44873</v>
      </c>
      <c r="U10419" t="s">
        <v>53545</v>
      </c>
      <c r="V10419" t="s">
        <v>57989</v>
      </c>
      <c r="W10419" t="s">
        <v>42486</v>
      </c>
      <c r="X10419" t="s">
        <v>43180</v>
      </c>
    </row>
    <row r="10420" spans="1:24">
      <c r="A10420">
        <f>HYPERLINK("https://www.philgeps.gov.ph/GEPSNONPILOT/Tender/SplashBidNoticeAbstractUI.aspx?menuIndex=3&amp;refID=7065217&amp;Result=3","7065217")</f>
        <v>0</v>
      </c>
      <c r="B10420" t="s">
        <v>2936</v>
      </c>
      <c r="C10420" t="s">
        <v>13353</v>
      </c>
      <c r="D10420" t="s">
        <v>17476</v>
      </c>
      <c r="E10420" t="s">
        <v>26436</v>
      </c>
      <c r="F10420" t="s">
        <v>30052</v>
      </c>
      <c r="G10420" t="s">
        <v>30058</v>
      </c>
      <c r="H10420" t="s">
        <v>30067</v>
      </c>
      <c r="I10420" t="s">
        <v>3736</v>
      </c>
      <c r="J10420" t="s">
        <v>36577</v>
      </c>
      <c r="K10420" t="s">
        <v>39026</v>
      </c>
      <c r="M10420" t="s">
        <v>42500</v>
      </c>
      <c r="N10420" t="s">
        <v>43166</v>
      </c>
      <c r="O10420" t="s">
        <v>43167</v>
      </c>
      <c r="P10420">
        <v>0</v>
      </c>
      <c r="Q10420">
        <v>1</v>
      </c>
      <c r="R10420" t="s">
        <v>43179</v>
      </c>
      <c r="S10420" t="s">
        <v>43583</v>
      </c>
      <c r="T10420" t="s">
        <v>44754</v>
      </c>
      <c r="U10420" t="s">
        <v>53546</v>
      </c>
      <c r="W10420" t="s">
        <v>42500</v>
      </c>
      <c r="X10420" t="s">
        <v>43180</v>
      </c>
    </row>
    <row r="10421" spans="1:24">
      <c r="A10421">
        <f>HYPERLINK("https://www.philgeps.gov.ph/GEPSNONPILOT/Tender/SplashBidNoticeAbstractUI.aspx?menuIndex=3&amp;refID=7065329&amp;Result=3","7065329")</f>
        <v>0</v>
      </c>
      <c r="B10421" t="s">
        <v>1637</v>
      </c>
      <c r="C10421" t="s">
        <v>13354</v>
      </c>
      <c r="D10421" t="s">
        <v>17447</v>
      </c>
      <c r="E10421" t="s">
        <v>26437</v>
      </c>
      <c r="F10421" t="s">
        <v>30052</v>
      </c>
      <c r="G10421" t="s">
        <v>30058</v>
      </c>
      <c r="H10421" t="s">
        <v>15498</v>
      </c>
      <c r="I10421" t="s">
        <v>9238</v>
      </c>
      <c r="J10421" t="s">
        <v>31544</v>
      </c>
      <c r="K10421" t="s">
        <v>39031</v>
      </c>
      <c r="M10421" t="s">
        <v>42498</v>
      </c>
      <c r="N10421" t="s">
        <v>43166</v>
      </c>
      <c r="O10421" t="s">
        <v>43167</v>
      </c>
      <c r="Q10421">
        <v>11</v>
      </c>
      <c r="R10421" t="s">
        <v>43179</v>
      </c>
      <c r="S10421" t="s">
        <v>43607</v>
      </c>
      <c r="T10421" t="s">
        <v>44771</v>
      </c>
      <c r="U10421" t="s">
        <v>53547</v>
      </c>
      <c r="W10421" t="s">
        <v>41039</v>
      </c>
      <c r="X10421" t="s">
        <v>43180</v>
      </c>
    </row>
    <row r="10422" spans="1:24">
      <c r="A10422">
        <f>HYPERLINK("https://www.philgeps.gov.ph/GEPSNONPILOT/Tender/SplashBidNoticeAbstractUI.aspx?menuIndex=3&amp;refID=7065408&amp;Result=3","7065408")</f>
        <v>0</v>
      </c>
      <c r="B10422" t="s">
        <v>2775</v>
      </c>
      <c r="C10422" t="s">
        <v>13355</v>
      </c>
      <c r="D10422" t="s">
        <v>17445</v>
      </c>
      <c r="E10422" t="s">
        <v>26438</v>
      </c>
      <c r="F10422" t="s">
        <v>30052</v>
      </c>
      <c r="G10422" t="s">
        <v>30058</v>
      </c>
      <c r="H10422" t="s">
        <v>15498</v>
      </c>
      <c r="I10422" t="s">
        <v>30096</v>
      </c>
      <c r="J10422" t="s">
        <v>36578</v>
      </c>
      <c r="K10422" t="s">
        <v>39029</v>
      </c>
      <c r="M10422" t="s">
        <v>42311</v>
      </c>
      <c r="N10422" t="s">
        <v>43166</v>
      </c>
      <c r="O10422" t="s">
        <v>43167</v>
      </c>
      <c r="P10422">
        <v>0</v>
      </c>
      <c r="Q10422">
        <v>6</v>
      </c>
      <c r="R10422" t="s">
        <v>43179</v>
      </c>
      <c r="S10422" t="s">
        <v>43583</v>
      </c>
      <c r="T10422" t="s">
        <v>44750</v>
      </c>
      <c r="U10422" t="s">
        <v>53548</v>
      </c>
      <c r="W10422" t="s">
        <v>42311</v>
      </c>
      <c r="X10422" t="s">
        <v>43180</v>
      </c>
    </row>
    <row r="10423" spans="1:24">
      <c r="A10423">
        <f>HYPERLINK("https://www.philgeps.gov.ph/GEPSNONPILOT/Tender/SplashBidNoticeAbstractUI.aspx?menuIndex=3&amp;refID=7065322&amp;Result=3","7065322")</f>
        <v>0</v>
      </c>
      <c r="B10423" t="s">
        <v>927</v>
      </c>
      <c r="C10423" t="s">
        <v>5578</v>
      </c>
      <c r="D10423" t="s">
        <v>17458</v>
      </c>
      <c r="E10423" t="s">
        <v>26439</v>
      </c>
      <c r="F10423" t="s">
        <v>30052</v>
      </c>
      <c r="G10423" t="s">
        <v>30058</v>
      </c>
      <c r="H10423" t="s">
        <v>15498</v>
      </c>
      <c r="I10423" t="s">
        <v>3736</v>
      </c>
      <c r="J10423" t="s">
        <v>36579</v>
      </c>
      <c r="K10423" t="s">
        <v>39018</v>
      </c>
      <c r="M10423" t="s">
        <v>42507</v>
      </c>
      <c r="N10423" t="s">
        <v>43166</v>
      </c>
      <c r="O10423" t="s">
        <v>43167</v>
      </c>
      <c r="P10423">
        <v>0</v>
      </c>
      <c r="Q10423">
        <v>0</v>
      </c>
      <c r="R10423" t="s">
        <v>43179</v>
      </c>
      <c r="S10423" t="s">
        <v>43583</v>
      </c>
      <c r="T10423" t="s">
        <v>44753</v>
      </c>
      <c r="U10423" t="s">
        <v>53549</v>
      </c>
      <c r="W10423" t="s">
        <v>42507</v>
      </c>
      <c r="X10423" t="s">
        <v>43180</v>
      </c>
    </row>
    <row r="10424" spans="1:24">
      <c r="A10424">
        <f>HYPERLINK("https://www.philgeps.gov.ph/GEPSNONPILOT/Tender/SplashBidNoticeAbstractUI.aspx?menuIndex=3&amp;refID=7064993&amp;Result=3","7064993")</f>
        <v>0</v>
      </c>
      <c r="B10424" t="s">
        <v>701</v>
      </c>
      <c r="C10424" t="s">
        <v>13356</v>
      </c>
      <c r="D10424" t="s">
        <v>17419</v>
      </c>
      <c r="E10424" t="s">
        <v>26440</v>
      </c>
      <c r="F10424" t="s">
        <v>30052</v>
      </c>
      <c r="G10424" t="s">
        <v>30060</v>
      </c>
      <c r="H10424" t="s">
        <v>30067</v>
      </c>
      <c r="I10424" t="s">
        <v>3693</v>
      </c>
      <c r="J10424" t="s">
        <v>36580</v>
      </c>
      <c r="K10424" t="s">
        <v>39025</v>
      </c>
      <c r="M10424" t="s">
        <v>40858</v>
      </c>
      <c r="N10424" t="s">
        <v>43166</v>
      </c>
      <c r="O10424" t="s">
        <v>43167</v>
      </c>
      <c r="P10424">
        <v>0</v>
      </c>
      <c r="Q10424">
        <v>1</v>
      </c>
      <c r="R10424" t="s">
        <v>43179</v>
      </c>
      <c r="S10424" t="s">
        <v>43583</v>
      </c>
      <c r="T10424" t="s">
        <v>44717</v>
      </c>
      <c r="U10424" t="s">
        <v>53550</v>
      </c>
      <c r="W10424" t="s">
        <v>40858</v>
      </c>
      <c r="X10424" t="s">
        <v>43180</v>
      </c>
    </row>
    <row r="10425" spans="1:24">
      <c r="A10425">
        <f>HYPERLINK("https://www.philgeps.gov.ph/GEPSNONPILOT/Tender/SplashBidNoticeAbstractUI.aspx?menuIndex=3&amp;refID=7065321&amp;Result=3","7065321")</f>
        <v>0</v>
      </c>
      <c r="B10425" t="s">
        <v>1561</v>
      </c>
      <c r="C10425" t="s">
        <v>13357</v>
      </c>
      <c r="D10425" t="s">
        <v>17445</v>
      </c>
      <c r="E10425" t="s">
        <v>26441</v>
      </c>
      <c r="F10425" t="s">
        <v>30052</v>
      </c>
      <c r="G10425" t="s">
        <v>30058</v>
      </c>
      <c r="H10425" t="s">
        <v>15498</v>
      </c>
      <c r="I10425" t="s">
        <v>30125</v>
      </c>
      <c r="J10425" t="s">
        <v>30557</v>
      </c>
      <c r="K10425" t="s">
        <v>39031</v>
      </c>
      <c r="M10425" t="s">
        <v>40950</v>
      </c>
      <c r="N10425" t="s">
        <v>43166</v>
      </c>
      <c r="O10425" t="s">
        <v>43167</v>
      </c>
      <c r="P10425">
        <v>0</v>
      </c>
      <c r="Q10425">
        <v>6</v>
      </c>
      <c r="R10425" t="s">
        <v>43179</v>
      </c>
      <c r="S10425" t="s">
        <v>43583</v>
      </c>
      <c r="T10425" t="s">
        <v>44758</v>
      </c>
      <c r="U10425" t="s">
        <v>53551</v>
      </c>
      <c r="W10425" t="s">
        <v>40950</v>
      </c>
      <c r="X10425" t="s">
        <v>43180</v>
      </c>
    </row>
    <row r="10426" spans="1:24">
      <c r="A10426">
        <f>HYPERLINK("https://www.philgeps.gov.ph/GEPSNONPILOT/Tender/SplashBidNoticeAbstractUI.aspx?menuIndex=3&amp;refID=7065363&amp;Result=3","7065363")</f>
        <v>0</v>
      </c>
      <c r="B10426" t="s">
        <v>2925</v>
      </c>
      <c r="C10426" t="s">
        <v>13358</v>
      </c>
      <c r="D10426" t="s">
        <v>17464</v>
      </c>
      <c r="E10426" t="s">
        <v>26442</v>
      </c>
      <c r="F10426" t="s">
        <v>30052</v>
      </c>
      <c r="G10426" t="s">
        <v>30058</v>
      </c>
      <c r="H10426" t="s">
        <v>15498</v>
      </c>
      <c r="I10426" t="s">
        <v>30129</v>
      </c>
      <c r="J10426" t="s">
        <v>30252</v>
      </c>
      <c r="K10426" t="s">
        <v>39019</v>
      </c>
      <c r="M10426" t="s">
        <v>42488</v>
      </c>
      <c r="N10426" t="s">
        <v>43166</v>
      </c>
      <c r="O10426" t="s">
        <v>43167</v>
      </c>
      <c r="P10426">
        <v>0</v>
      </c>
      <c r="Q10426">
        <v>6</v>
      </c>
      <c r="R10426" t="s">
        <v>43179</v>
      </c>
      <c r="S10426" t="s">
        <v>43583</v>
      </c>
      <c r="T10426" t="s">
        <v>44729</v>
      </c>
      <c r="U10426" t="s">
        <v>53500</v>
      </c>
      <c r="W10426" t="s">
        <v>42488</v>
      </c>
      <c r="X10426" t="s">
        <v>43180</v>
      </c>
    </row>
    <row r="10427" spans="1:24">
      <c r="A10427">
        <f>HYPERLINK("https://www.philgeps.gov.ph/GEPSNONPILOT/Tender/SplashBidNoticeAbstractUI.aspx?menuIndex=3&amp;refID=7065318&amp;Result=3","7065318")</f>
        <v>0</v>
      </c>
      <c r="B10427" t="s">
        <v>2929</v>
      </c>
      <c r="C10427" t="s">
        <v>13359</v>
      </c>
      <c r="D10427" t="s">
        <v>17456</v>
      </c>
      <c r="E10427" t="s">
        <v>23539</v>
      </c>
      <c r="F10427" t="s">
        <v>30052</v>
      </c>
      <c r="G10427" t="s">
        <v>30058</v>
      </c>
      <c r="H10427" t="s">
        <v>15498</v>
      </c>
      <c r="I10427" t="s">
        <v>30081</v>
      </c>
      <c r="J10427" t="s">
        <v>30287</v>
      </c>
      <c r="K10427" t="s">
        <v>39037</v>
      </c>
      <c r="M10427" t="s">
        <v>42492</v>
      </c>
      <c r="N10427" t="s">
        <v>43166</v>
      </c>
      <c r="O10427" t="s">
        <v>43167</v>
      </c>
      <c r="P10427">
        <v>0</v>
      </c>
      <c r="Q10427">
        <v>1</v>
      </c>
      <c r="R10427" t="s">
        <v>43179</v>
      </c>
      <c r="S10427" t="s">
        <v>43583</v>
      </c>
      <c r="T10427" t="s">
        <v>44795</v>
      </c>
      <c r="U10427" t="s">
        <v>53552</v>
      </c>
      <c r="V10427" t="s">
        <v>57994</v>
      </c>
      <c r="W10427" t="s">
        <v>42492</v>
      </c>
      <c r="X10427" t="s">
        <v>43180</v>
      </c>
    </row>
    <row r="10428" spans="1:24">
      <c r="A10428">
        <f>HYPERLINK("https://www.philgeps.gov.ph/GEPSNONPILOT/Tender/SplashBidNoticeAbstractUI.aspx?menuIndex=3&amp;refID=7065340&amp;Result=3","7065340")</f>
        <v>0</v>
      </c>
      <c r="B10428" t="s">
        <v>2943</v>
      </c>
      <c r="C10428" t="s">
        <v>13360</v>
      </c>
      <c r="D10428" t="s">
        <v>17475</v>
      </c>
      <c r="E10428" t="s">
        <v>26443</v>
      </c>
      <c r="F10428" t="s">
        <v>30052</v>
      </c>
      <c r="G10428" t="s">
        <v>30058</v>
      </c>
      <c r="H10428" t="s">
        <v>30067</v>
      </c>
      <c r="I10428" t="s">
        <v>3693</v>
      </c>
      <c r="J10428" t="s">
        <v>36581</v>
      </c>
      <c r="K10428" t="s">
        <v>39031</v>
      </c>
      <c r="M10428" t="s">
        <v>42508</v>
      </c>
      <c r="N10428" t="s">
        <v>43166</v>
      </c>
      <c r="O10428" t="s">
        <v>43167</v>
      </c>
      <c r="P10428">
        <v>0</v>
      </c>
      <c r="Q10428">
        <v>0</v>
      </c>
      <c r="R10428" t="s">
        <v>43179</v>
      </c>
      <c r="S10428" t="s">
        <v>43583</v>
      </c>
      <c r="T10428" t="s">
        <v>44699</v>
      </c>
      <c r="U10428" t="s">
        <v>53553</v>
      </c>
      <c r="W10428" t="s">
        <v>42508</v>
      </c>
      <c r="X10428" t="s">
        <v>43180</v>
      </c>
    </row>
    <row r="10429" spans="1:24">
      <c r="A10429">
        <f>HYPERLINK("https://www.philgeps.gov.ph/GEPSNONPILOT/Tender/SplashBidNoticeAbstractUI.aspx?menuIndex=3&amp;refID=7065339&amp;Result=3","7065339")</f>
        <v>0</v>
      </c>
      <c r="B10429" t="s">
        <v>2944</v>
      </c>
      <c r="C10429" t="s">
        <v>13361</v>
      </c>
      <c r="D10429" t="s">
        <v>17435</v>
      </c>
      <c r="E10429" t="s">
        <v>26444</v>
      </c>
      <c r="F10429" t="s">
        <v>30052</v>
      </c>
      <c r="G10429" t="s">
        <v>30058</v>
      </c>
      <c r="H10429" t="s">
        <v>30067</v>
      </c>
      <c r="I10429" t="s">
        <v>3693</v>
      </c>
      <c r="J10429" t="s">
        <v>36582</v>
      </c>
      <c r="K10429" t="s">
        <v>39023</v>
      </c>
      <c r="M10429" t="s">
        <v>42509</v>
      </c>
      <c r="N10429" t="s">
        <v>43166</v>
      </c>
      <c r="O10429" t="s">
        <v>43167</v>
      </c>
      <c r="P10429">
        <v>0</v>
      </c>
      <c r="Q10429">
        <v>0</v>
      </c>
      <c r="R10429" t="s">
        <v>43179</v>
      </c>
      <c r="S10429" t="s">
        <v>43583</v>
      </c>
      <c r="T10429" t="s">
        <v>44780</v>
      </c>
      <c r="U10429" t="s">
        <v>53554</v>
      </c>
      <c r="W10429" t="s">
        <v>42509</v>
      </c>
      <c r="X10429" t="s">
        <v>43180</v>
      </c>
    </row>
    <row r="10430" spans="1:24">
      <c r="A10430">
        <f>HYPERLINK("https://www.philgeps.gov.ph/GEPSNONPILOT/Tender/SplashBidNoticeAbstractUI.aspx?menuIndex=3&amp;refID=7065224&amp;Result=3","7065224")</f>
        <v>0</v>
      </c>
      <c r="B10430" t="s">
        <v>2923</v>
      </c>
      <c r="C10430" t="s">
        <v>13362</v>
      </c>
      <c r="D10430" t="s">
        <v>17445</v>
      </c>
      <c r="E10430" t="s">
        <v>26445</v>
      </c>
      <c r="F10430" t="s">
        <v>30052</v>
      </c>
      <c r="G10430" t="s">
        <v>30058</v>
      </c>
      <c r="H10430" t="s">
        <v>30067</v>
      </c>
      <c r="I10430" t="s">
        <v>3693</v>
      </c>
      <c r="J10430" t="s">
        <v>36583</v>
      </c>
      <c r="K10430" t="s">
        <v>39019</v>
      </c>
      <c r="M10430" t="s">
        <v>42486</v>
      </c>
      <c r="N10430" t="s">
        <v>43166</v>
      </c>
      <c r="O10430" t="s">
        <v>43167</v>
      </c>
      <c r="P10430">
        <v>0</v>
      </c>
      <c r="Q10430">
        <v>2</v>
      </c>
      <c r="R10430" t="s">
        <v>43179</v>
      </c>
      <c r="S10430" t="s">
        <v>43583</v>
      </c>
      <c r="T10430" t="s">
        <v>44873</v>
      </c>
      <c r="U10430" t="s">
        <v>53555</v>
      </c>
      <c r="V10430" t="s">
        <v>57989</v>
      </c>
      <c r="W10430" t="s">
        <v>42486</v>
      </c>
      <c r="X10430" t="s">
        <v>43180</v>
      </c>
    </row>
    <row r="10431" spans="1:24">
      <c r="A10431">
        <f>HYPERLINK("https://www.philgeps.gov.ph/GEPSNONPILOT/Tender/SplashBidNoticeAbstractUI.aspx?menuIndex=3&amp;refID=7065496&amp;Result=3","7065496")</f>
        <v>0</v>
      </c>
      <c r="B10431" t="s">
        <v>2945</v>
      </c>
      <c r="C10431" t="s">
        <v>13363</v>
      </c>
      <c r="D10431" t="s">
        <v>17466</v>
      </c>
      <c r="E10431" t="s">
        <v>26446</v>
      </c>
      <c r="F10431" t="s">
        <v>30052</v>
      </c>
      <c r="G10431" t="s">
        <v>30058</v>
      </c>
      <c r="H10431" t="s">
        <v>15498</v>
      </c>
      <c r="I10431" t="s">
        <v>6691</v>
      </c>
      <c r="J10431" t="s">
        <v>30591</v>
      </c>
      <c r="K10431" t="s">
        <v>39034</v>
      </c>
      <c r="M10431" t="s">
        <v>42510</v>
      </c>
      <c r="N10431" t="s">
        <v>43166</v>
      </c>
      <c r="O10431" t="s">
        <v>43167</v>
      </c>
      <c r="P10431">
        <v>0</v>
      </c>
      <c r="Q10431">
        <v>0</v>
      </c>
      <c r="R10431" t="s">
        <v>43179</v>
      </c>
      <c r="S10431" t="s">
        <v>43583</v>
      </c>
      <c r="T10431" t="s">
        <v>45136</v>
      </c>
      <c r="U10431" t="s">
        <v>53556</v>
      </c>
      <c r="W10431" t="s">
        <v>42510</v>
      </c>
      <c r="X10431" t="s">
        <v>43180</v>
      </c>
    </row>
    <row r="10432" spans="1:24">
      <c r="A10432">
        <f>HYPERLINK("https://www.philgeps.gov.ph/GEPSNONPILOT/Tender/SplashBidNoticeAbstractUI.aspx?menuIndex=3&amp;refID=7065482&amp;Result=3","7065482")</f>
        <v>0</v>
      </c>
      <c r="B10432" t="s">
        <v>1980</v>
      </c>
      <c r="C10432" t="s">
        <v>13364</v>
      </c>
      <c r="D10432" t="s">
        <v>17435</v>
      </c>
      <c r="E10432" t="s">
        <v>26447</v>
      </c>
      <c r="F10432" t="s">
        <v>30052</v>
      </c>
      <c r="G10432" t="s">
        <v>30058</v>
      </c>
      <c r="H10432" t="s">
        <v>15498</v>
      </c>
      <c r="I10432" t="s">
        <v>30074</v>
      </c>
      <c r="J10432" t="s">
        <v>30247</v>
      </c>
      <c r="K10432" t="s">
        <v>39034</v>
      </c>
      <c r="M10432" t="s">
        <v>41421</v>
      </c>
      <c r="N10432" t="s">
        <v>43166</v>
      </c>
      <c r="O10432" t="s">
        <v>43167</v>
      </c>
      <c r="P10432">
        <v>0</v>
      </c>
      <c r="Q10432">
        <v>7</v>
      </c>
      <c r="R10432" t="s">
        <v>43179</v>
      </c>
      <c r="S10432" t="s">
        <v>43583</v>
      </c>
      <c r="T10432" t="s">
        <v>44704</v>
      </c>
      <c r="U10432" t="s">
        <v>53557</v>
      </c>
      <c r="W10432" t="s">
        <v>41421</v>
      </c>
      <c r="X10432" t="s">
        <v>43180</v>
      </c>
    </row>
    <row r="10433" spans="1:24">
      <c r="A10433">
        <f>HYPERLINK("https://www.philgeps.gov.ph/GEPSNONPILOT/Tender/SplashBidNoticeAbstractUI.aspx?menuIndex=3&amp;refID=7065403&amp;Result=3","7065403")</f>
        <v>0</v>
      </c>
      <c r="B10433" t="s">
        <v>2946</v>
      </c>
      <c r="C10433" t="s">
        <v>7855</v>
      </c>
      <c r="D10433" t="s">
        <v>17422</v>
      </c>
      <c r="E10433" t="s">
        <v>26448</v>
      </c>
      <c r="F10433" t="s">
        <v>30052</v>
      </c>
      <c r="G10433" t="s">
        <v>30058</v>
      </c>
      <c r="H10433" t="s">
        <v>15498</v>
      </c>
      <c r="I10433" t="s">
        <v>30084</v>
      </c>
      <c r="J10433" t="s">
        <v>34674</v>
      </c>
      <c r="K10433" t="s">
        <v>39029</v>
      </c>
      <c r="M10433" t="s">
        <v>42511</v>
      </c>
      <c r="N10433" t="s">
        <v>43166</v>
      </c>
      <c r="O10433" t="s">
        <v>43167</v>
      </c>
      <c r="P10433">
        <v>0</v>
      </c>
      <c r="Q10433">
        <v>7</v>
      </c>
      <c r="R10433" t="s">
        <v>43179</v>
      </c>
      <c r="S10433" t="s">
        <v>43583</v>
      </c>
      <c r="T10433" t="s">
        <v>44802</v>
      </c>
      <c r="U10433" t="s">
        <v>53558</v>
      </c>
      <c r="W10433" t="s">
        <v>42511</v>
      </c>
      <c r="X10433" t="s">
        <v>43180</v>
      </c>
    </row>
    <row r="10434" spans="1:24">
      <c r="A10434">
        <f>HYPERLINK("https://www.philgeps.gov.ph/GEPSNONPILOT/Tender/SplashBidNoticeAbstractUI.aspx?menuIndex=3&amp;refID=7065476&amp;Result=3","7065476")</f>
        <v>0</v>
      </c>
      <c r="B10434" t="s">
        <v>2945</v>
      </c>
      <c r="C10434" t="s">
        <v>13365</v>
      </c>
      <c r="D10434" t="s">
        <v>17466</v>
      </c>
      <c r="E10434" t="s">
        <v>26449</v>
      </c>
      <c r="F10434" t="s">
        <v>30052</v>
      </c>
      <c r="G10434" t="s">
        <v>30058</v>
      </c>
      <c r="H10434" t="s">
        <v>15498</v>
      </c>
      <c r="I10434" t="s">
        <v>4650</v>
      </c>
      <c r="J10434" t="s">
        <v>36584</v>
      </c>
      <c r="K10434" t="s">
        <v>39039</v>
      </c>
      <c r="M10434" t="s">
        <v>42510</v>
      </c>
      <c r="N10434" t="s">
        <v>43166</v>
      </c>
      <c r="O10434" t="s">
        <v>43167</v>
      </c>
      <c r="P10434">
        <v>0</v>
      </c>
      <c r="Q10434">
        <v>1</v>
      </c>
      <c r="R10434" t="s">
        <v>43179</v>
      </c>
      <c r="S10434" t="s">
        <v>43583</v>
      </c>
      <c r="T10434" t="s">
        <v>45137</v>
      </c>
      <c r="U10434" t="s">
        <v>53559</v>
      </c>
      <c r="W10434" t="s">
        <v>42510</v>
      </c>
      <c r="X10434" t="s">
        <v>43180</v>
      </c>
    </row>
    <row r="10435" spans="1:24">
      <c r="A10435">
        <f>HYPERLINK("https://www.philgeps.gov.ph/GEPSNONPILOT/Tender/SplashBidNoticeAbstractUI.aspx?menuIndex=3&amp;refID=7065327&amp;Result=3","7065327")</f>
        <v>0</v>
      </c>
      <c r="B10435" t="s">
        <v>2947</v>
      </c>
      <c r="C10435" t="s">
        <v>13366</v>
      </c>
      <c r="D10435" t="s">
        <v>17425</v>
      </c>
      <c r="E10435" t="s">
        <v>18647</v>
      </c>
      <c r="F10435" t="s">
        <v>30055</v>
      </c>
      <c r="G10435" t="s">
        <v>30058</v>
      </c>
      <c r="H10435" t="s">
        <v>15498</v>
      </c>
      <c r="I10435" t="s">
        <v>3736</v>
      </c>
      <c r="J10435" t="s">
        <v>36585</v>
      </c>
      <c r="K10435" t="s">
        <v>39026</v>
      </c>
      <c r="M10435" t="s">
        <v>42512</v>
      </c>
      <c r="N10435" t="s">
        <v>43166</v>
      </c>
      <c r="O10435" t="s">
        <v>43167</v>
      </c>
      <c r="P10435">
        <v>0</v>
      </c>
      <c r="Q10435">
        <v>0</v>
      </c>
      <c r="R10435" t="s">
        <v>43179</v>
      </c>
      <c r="S10435" t="s">
        <v>43583</v>
      </c>
      <c r="T10435" t="s">
        <v>44787</v>
      </c>
      <c r="U10435" t="s">
        <v>53560</v>
      </c>
      <c r="W10435" t="s">
        <v>42512</v>
      </c>
      <c r="X10435" t="s">
        <v>43180</v>
      </c>
    </row>
    <row r="10436" spans="1:24">
      <c r="A10436">
        <f>HYPERLINK("https://www.philgeps.gov.ph/GEPSNONPILOT/Tender/SplashBidNoticeAbstractUI.aspx?menuIndex=3&amp;refID=7065491&amp;Result=3","7065491")</f>
        <v>0</v>
      </c>
      <c r="B10436" t="s">
        <v>1953</v>
      </c>
      <c r="C10436" t="s">
        <v>13367</v>
      </c>
      <c r="E10436" t="s">
        <v>26450</v>
      </c>
      <c r="F10436" t="s">
        <v>30052</v>
      </c>
      <c r="G10436" t="s">
        <v>30058</v>
      </c>
      <c r="H10436" t="s">
        <v>30067</v>
      </c>
      <c r="I10436" t="s">
        <v>3693</v>
      </c>
      <c r="J10436" t="s">
        <v>30215</v>
      </c>
      <c r="K10436" t="s">
        <v>39093</v>
      </c>
      <c r="M10436" t="s">
        <v>41390</v>
      </c>
      <c r="N10436" t="s">
        <v>43166</v>
      </c>
      <c r="O10436" t="s">
        <v>43167</v>
      </c>
      <c r="P10436">
        <v>0</v>
      </c>
      <c r="Q10436">
        <v>2</v>
      </c>
      <c r="R10436" t="s">
        <v>43179</v>
      </c>
      <c r="S10436" t="s">
        <v>43583</v>
      </c>
      <c r="T10436" t="s">
        <v>44690</v>
      </c>
      <c r="U10436" t="s">
        <v>53561</v>
      </c>
      <c r="W10436" t="s">
        <v>41390</v>
      </c>
      <c r="X10436" t="s">
        <v>43180</v>
      </c>
    </row>
    <row r="10437" spans="1:24">
      <c r="A10437">
        <f>HYPERLINK("https://www.philgeps.gov.ph/GEPSNONPILOT/Tender/SplashBidNoticeAbstractUI.aspx?menuIndex=3&amp;refID=7065497&amp;Result=3","7065497")</f>
        <v>0</v>
      </c>
      <c r="B10437" t="s">
        <v>2040</v>
      </c>
      <c r="C10437" t="s">
        <v>9023</v>
      </c>
      <c r="D10437" t="s">
        <v>17496</v>
      </c>
      <c r="E10437" t="s">
        <v>25318</v>
      </c>
      <c r="F10437" t="s">
        <v>30052</v>
      </c>
      <c r="G10437" t="s">
        <v>30058</v>
      </c>
      <c r="H10437" t="s">
        <v>15498</v>
      </c>
      <c r="I10437" t="s">
        <v>30088</v>
      </c>
      <c r="J10437" t="s">
        <v>30504</v>
      </c>
      <c r="K10437" t="s">
        <v>39019</v>
      </c>
      <c r="M10437" t="s">
        <v>41491</v>
      </c>
      <c r="N10437" t="s">
        <v>43166</v>
      </c>
      <c r="O10437" t="s">
        <v>43167</v>
      </c>
      <c r="P10437">
        <v>0</v>
      </c>
      <c r="Q10437">
        <v>6</v>
      </c>
      <c r="R10437" t="s">
        <v>43179</v>
      </c>
      <c r="S10437" t="s">
        <v>43583</v>
      </c>
      <c r="T10437" t="s">
        <v>44780</v>
      </c>
      <c r="U10437" t="s">
        <v>53562</v>
      </c>
      <c r="W10437" t="s">
        <v>41491</v>
      </c>
      <c r="X10437" t="s">
        <v>43180</v>
      </c>
    </row>
    <row r="10438" spans="1:24">
      <c r="A10438">
        <f>HYPERLINK("https://www.philgeps.gov.ph/GEPSNONPILOT/Tender/SplashBidNoticeAbstractUI.aspx?menuIndex=3&amp;refID=7065479&amp;Result=3","7065479")</f>
        <v>0</v>
      </c>
      <c r="B10438" t="s">
        <v>2204</v>
      </c>
      <c r="C10438" t="s">
        <v>13368</v>
      </c>
      <c r="D10438" t="s">
        <v>17432</v>
      </c>
      <c r="E10438" t="s">
        <v>23351</v>
      </c>
      <c r="F10438" t="s">
        <v>30052</v>
      </c>
      <c r="G10438" t="s">
        <v>30058</v>
      </c>
      <c r="H10438" t="s">
        <v>15498</v>
      </c>
      <c r="I10438" t="s">
        <v>3736</v>
      </c>
      <c r="J10438" t="s">
        <v>36586</v>
      </c>
      <c r="K10438" t="s">
        <v>39034</v>
      </c>
      <c r="M10438" t="s">
        <v>41673</v>
      </c>
      <c r="N10438" t="s">
        <v>43166</v>
      </c>
      <c r="O10438" t="s">
        <v>43167</v>
      </c>
      <c r="P10438">
        <v>0</v>
      </c>
      <c r="Q10438">
        <v>1</v>
      </c>
      <c r="R10438" t="s">
        <v>43179</v>
      </c>
      <c r="S10438" t="s">
        <v>43583</v>
      </c>
      <c r="T10438" t="s">
        <v>44943</v>
      </c>
      <c r="U10438" t="s">
        <v>53563</v>
      </c>
      <c r="W10438" t="s">
        <v>41673</v>
      </c>
      <c r="X10438" t="s">
        <v>43180</v>
      </c>
    </row>
    <row r="10439" spans="1:24">
      <c r="A10439">
        <f>HYPERLINK("https://www.philgeps.gov.ph/GEPSNONPILOT/Tender/SplashBidNoticeAbstractUI.aspx?menuIndex=3&amp;refID=7065456&amp;Result=3","7065456")</f>
        <v>0</v>
      </c>
      <c r="B10439" t="s">
        <v>1248</v>
      </c>
      <c r="C10439" t="s">
        <v>13369</v>
      </c>
      <c r="D10439" t="s">
        <v>17469</v>
      </c>
      <c r="E10439" t="s">
        <v>26451</v>
      </c>
      <c r="F10439" t="s">
        <v>30052</v>
      </c>
      <c r="G10439" t="s">
        <v>30058</v>
      </c>
      <c r="H10439" t="s">
        <v>30067</v>
      </c>
      <c r="I10439" t="s">
        <v>3693</v>
      </c>
      <c r="J10439" t="s">
        <v>30823</v>
      </c>
      <c r="K10439" t="s">
        <v>39026</v>
      </c>
      <c r="M10439" t="s">
        <v>40604</v>
      </c>
      <c r="N10439" t="s">
        <v>43166</v>
      </c>
      <c r="O10439" t="s">
        <v>43167</v>
      </c>
      <c r="P10439">
        <v>0</v>
      </c>
      <c r="Q10439">
        <v>4</v>
      </c>
      <c r="R10439" t="s">
        <v>43179</v>
      </c>
      <c r="S10439" t="s">
        <v>43583</v>
      </c>
      <c r="T10439" t="s">
        <v>44699</v>
      </c>
      <c r="U10439" t="s">
        <v>53564</v>
      </c>
      <c r="V10439" t="s">
        <v>58005</v>
      </c>
      <c r="W10439" t="s">
        <v>40604</v>
      </c>
      <c r="X10439" t="s">
        <v>43180</v>
      </c>
    </row>
    <row r="10440" spans="1:24">
      <c r="A10440">
        <f>HYPERLINK("https://www.philgeps.gov.ph/GEPSNONPILOT/Tender/SplashBidNoticeAbstractUI.aspx?menuIndex=3&amp;refID=7065452&amp;Result=3","7065452")</f>
        <v>0</v>
      </c>
      <c r="B10440" t="s">
        <v>2948</v>
      </c>
      <c r="C10440" t="s">
        <v>13370</v>
      </c>
      <c r="D10440" t="s">
        <v>17496</v>
      </c>
      <c r="E10440" t="s">
        <v>26452</v>
      </c>
      <c r="F10440" t="s">
        <v>30052</v>
      </c>
      <c r="G10440" t="s">
        <v>30058</v>
      </c>
      <c r="H10440" t="s">
        <v>15498</v>
      </c>
      <c r="I10440" t="s">
        <v>3736</v>
      </c>
      <c r="J10440" t="s">
        <v>30277</v>
      </c>
      <c r="K10440" t="s">
        <v>39029</v>
      </c>
      <c r="M10440" t="s">
        <v>42513</v>
      </c>
      <c r="N10440" t="s">
        <v>43166</v>
      </c>
      <c r="O10440" t="s">
        <v>43167</v>
      </c>
      <c r="P10440">
        <v>0</v>
      </c>
      <c r="Q10440">
        <v>1</v>
      </c>
      <c r="R10440" t="s">
        <v>43179</v>
      </c>
      <c r="S10440" t="s">
        <v>43583</v>
      </c>
      <c r="T10440" t="s">
        <v>44733</v>
      </c>
      <c r="U10440" t="s">
        <v>53565</v>
      </c>
      <c r="V10440" t="s">
        <v>58006</v>
      </c>
      <c r="W10440" t="s">
        <v>42513</v>
      </c>
      <c r="X10440" t="s">
        <v>43180</v>
      </c>
    </row>
    <row r="10441" spans="1:24">
      <c r="A10441">
        <f>HYPERLINK("https://www.philgeps.gov.ph/GEPSNONPILOT/Tender/SplashBidNoticeAbstractUI.aspx?menuIndex=3&amp;refID=7065477&amp;Result=3","7065477")</f>
        <v>0</v>
      </c>
      <c r="B10441" t="s">
        <v>1248</v>
      </c>
      <c r="C10441" t="s">
        <v>13371</v>
      </c>
      <c r="D10441" t="s">
        <v>17469</v>
      </c>
      <c r="E10441" t="s">
        <v>26453</v>
      </c>
      <c r="F10441" t="s">
        <v>30052</v>
      </c>
      <c r="G10441" t="s">
        <v>30058</v>
      </c>
      <c r="H10441" t="s">
        <v>30067</v>
      </c>
      <c r="I10441" t="s">
        <v>3693</v>
      </c>
      <c r="J10441" t="s">
        <v>36587</v>
      </c>
      <c r="K10441" t="s">
        <v>39080</v>
      </c>
      <c r="M10441" t="s">
        <v>40604</v>
      </c>
      <c r="N10441" t="s">
        <v>43166</v>
      </c>
      <c r="O10441" t="s">
        <v>43167</v>
      </c>
      <c r="P10441">
        <v>0</v>
      </c>
      <c r="Q10441">
        <v>2</v>
      </c>
      <c r="R10441" t="s">
        <v>43179</v>
      </c>
      <c r="S10441" t="s">
        <v>43583</v>
      </c>
      <c r="T10441" t="s">
        <v>44699</v>
      </c>
      <c r="U10441" t="s">
        <v>53566</v>
      </c>
      <c r="V10441" t="s">
        <v>58007</v>
      </c>
      <c r="W10441" t="s">
        <v>40604</v>
      </c>
      <c r="X10441" t="s">
        <v>43180</v>
      </c>
    </row>
    <row r="10442" spans="1:24">
      <c r="A10442">
        <f>HYPERLINK("https://www.philgeps.gov.ph/GEPSNONPILOT/Tender/SplashBidNoticeAbstractUI.aspx?menuIndex=3&amp;refID=7065435&amp;Result=3","7065435")</f>
        <v>0</v>
      </c>
      <c r="B10442" t="s">
        <v>2949</v>
      </c>
      <c r="C10442" t="s">
        <v>13372</v>
      </c>
      <c r="D10442" t="s">
        <v>17445</v>
      </c>
      <c r="E10442" t="s">
        <v>26443</v>
      </c>
      <c r="F10442" t="s">
        <v>30054</v>
      </c>
      <c r="G10442" t="s">
        <v>30058</v>
      </c>
      <c r="H10442" t="s">
        <v>30067</v>
      </c>
      <c r="I10442" t="s">
        <v>3693</v>
      </c>
      <c r="J10442" t="s">
        <v>30277</v>
      </c>
      <c r="K10442" t="s">
        <v>39049</v>
      </c>
      <c r="M10442" t="s">
        <v>42514</v>
      </c>
      <c r="N10442" t="s">
        <v>43166</v>
      </c>
      <c r="O10442" t="s">
        <v>43167</v>
      </c>
      <c r="P10442">
        <v>0</v>
      </c>
      <c r="Q10442">
        <v>0</v>
      </c>
      <c r="R10442" t="s">
        <v>43179</v>
      </c>
      <c r="S10442" t="s">
        <v>43583</v>
      </c>
      <c r="T10442" t="s">
        <v>44698</v>
      </c>
      <c r="U10442" t="s">
        <v>53567</v>
      </c>
      <c r="W10442" t="s">
        <v>42514</v>
      </c>
      <c r="X10442" t="s">
        <v>43180</v>
      </c>
    </row>
    <row r="10443" spans="1:24">
      <c r="A10443">
        <f>HYPERLINK("https://www.philgeps.gov.ph/GEPSNONPILOT/Tender/SplashBidNoticeAbstractUI.aspx?menuIndex=3&amp;refID=7065427&amp;Result=3","7065427")</f>
        <v>0</v>
      </c>
      <c r="B10443" t="s">
        <v>2950</v>
      </c>
      <c r="C10443" t="s">
        <v>13373</v>
      </c>
      <c r="D10443" t="s">
        <v>17475</v>
      </c>
      <c r="E10443" t="s">
        <v>21156</v>
      </c>
      <c r="F10443" t="s">
        <v>30052</v>
      </c>
      <c r="G10443" t="s">
        <v>30058</v>
      </c>
      <c r="H10443" t="s">
        <v>30067</v>
      </c>
      <c r="I10443" t="s">
        <v>3693</v>
      </c>
      <c r="J10443" t="s">
        <v>30281</v>
      </c>
      <c r="K10443" t="s">
        <v>39061</v>
      </c>
      <c r="M10443" t="s">
        <v>42515</v>
      </c>
      <c r="N10443" t="s">
        <v>43166</v>
      </c>
      <c r="O10443" t="s">
        <v>43167</v>
      </c>
      <c r="P10443">
        <v>0</v>
      </c>
      <c r="Q10443">
        <v>0</v>
      </c>
      <c r="R10443" t="s">
        <v>43179</v>
      </c>
      <c r="S10443" t="s">
        <v>43583</v>
      </c>
      <c r="T10443" t="s">
        <v>44681</v>
      </c>
      <c r="U10443" t="s">
        <v>53568</v>
      </c>
      <c r="V10443" t="s">
        <v>58008</v>
      </c>
      <c r="W10443" t="s">
        <v>42515</v>
      </c>
      <c r="X10443" t="s">
        <v>43180</v>
      </c>
    </row>
    <row r="10444" spans="1:24">
      <c r="A10444">
        <f>HYPERLINK("https://www.philgeps.gov.ph/GEPSNONPILOT/Tender/SplashBidNoticeAbstractUI.aspx?menuIndex=3&amp;refID=7065504&amp;Result=3","7065504")</f>
        <v>0</v>
      </c>
      <c r="B10444" t="s">
        <v>2942</v>
      </c>
      <c r="C10444" t="s">
        <v>13374</v>
      </c>
      <c r="D10444" t="s">
        <v>17453</v>
      </c>
      <c r="E10444" t="s">
        <v>26454</v>
      </c>
      <c r="F10444" t="s">
        <v>30052</v>
      </c>
      <c r="G10444" t="s">
        <v>30058</v>
      </c>
      <c r="H10444" t="s">
        <v>30067</v>
      </c>
      <c r="I10444" t="s">
        <v>3693</v>
      </c>
      <c r="J10444" t="s">
        <v>36588</v>
      </c>
      <c r="K10444" t="s">
        <v>39125</v>
      </c>
      <c r="M10444" t="s">
        <v>42506</v>
      </c>
      <c r="N10444" t="s">
        <v>43166</v>
      </c>
      <c r="O10444" t="s">
        <v>43167</v>
      </c>
      <c r="P10444">
        <v>0</v>
      </c>
      <c r="Q10444">
        <v>2</v>
      </c>
      <c r="R10444" t="s">
        <v>43179</v>
      </c>
      <c r="S10444" t="s">
        <v>43583</v>
      </c>
      <c r="T10444" t="s">
        <v>44699</v>
      </c>
      <c r="U10444" t="s">
        <v>53569</v>
      </c>
      <c r="V10444" t="s">
        <v>58009</v>
      </c>
      <c r="W10444" t="s">
        <v>42506</v>
      </c>
      <c r="X10444" t="s">
        <v>43180</v>
      </c>
    </row>
    <row r="10445" spans="1:24">
      <c r="A10445">
        <f>HYPERLINK("https://www.philgeps.gov.ph/GEPSNONPILOT/Tender/SplashBidNoticeAbstractUI.aspx?menuIndex=3&amp;refID=7065418&amp;Result=3","7065418")</f>
        <v>0</v>
      </c>
      <c r="B10445" t="s">
        <v>2951</v>
      </c>
      <c r="C10445" t="s">
        <v>13375</v>
      </c>
      <c r="D10445" t="s">
        <v>17416</v>
      </c>
      <c r="E10445" t="s">
        <v>26455</v>
      </c>
      <c r="F10445" t="s">
        <v>30052</v>
      </c>
      <c r="G10445" t="s">
        <v>30058</v>
      </c>
      <c r="H10445" t="s">
        <v>30067</v>
      </c>
      <c r="I10445" t="s">
        <v>3693</v>
      </c>
      <c r="J10445" t="s">
        <v>36589</v>
      </c>
      <c r="K10445" t="s">
        <v>39031</v>
      </c>
      <c r="M10445" t="s">
        <v>42516</v>
      </c>
      <c r="N10445" t="s">
        <v>43166</v>
      </c>
      <c r="O10445" t="s">
        <v>43167</v>
      </c>
      <c r="P10445">
        <v>0</v>
      </c>
      <c r="Q10445">
        <v>1</v>
      </c>
      <c r="R10445" t="s">
        <v>43179</v>
      </c>
      <c r="S10445" t="s">
        <v>43583</v>
      </c>
      <c r="T10445" t="s">
        <v>44730</v>
      </c>
      <c r="U10445" t="s">
        <v>53570</v>
      </c>
      <c r="W10445" t="s">
        <v>42516</v>
      </c>
      <c r="X10445" t="s">
        <v>43180</v>
      </c>
    </row>
    <row r="10446" spans="1:24">
      <c r="A10446">
        <f>HYPERLINK("https://www.philgeps.gov.ph/GEPSNONPILOT/Tender/SplashBidNoticeAbstractUI.aspx?menuIndex=3&amp;refID=7065466&amp;Result=3","7065466")</f>
        <v>0</v>
      </c>
      <c r="B10446" t="s">
        <v>1248</v>
      </c>
      <c r="C10446" t="s">
        <v>13376</v>
      </c>
      <c r="D10446" t="s">
        <v>17469</v>
      </c>
      <c r="E10446" t="s">
        <v>26456</v>
      </c>
      <c r="F10446" t="s">
        <v>30052</v>
      </c>
      <c r="G10446" t="s">
        <v>30058</v>
      </c>
      <c r="H10446" t="s">
        <v>30067</v>
      </c>
      <c r="I10446" t="s">
        <v>3693</v>
      </c>
      <c r="J10446" t="s">
        <v>36590</v>
      </c>
      <c r="K10446" t="s">
        <v>39023</v>
      </c>
      <c r="M10446" t="s">
        <v>40604</v>
      </c>
      <c r="N10446" t="s">
        <v>43166</v>
      </c>
      <c r="O10446" t="s">
        <v>43167</v>
      </c>
      <c r="P10446">
        <v>0</v>
      </c>
      <c r="Q10446">
        <v>2</v>
      </c>
      <c r="R10446" t="s">
        <v>43179</v>
      </c>
      <c r="S10446" t="s">
        <v>43583</v>
      </c>
      <c r="T10446" t="s">
        <v>44699</v>
      </c>
      <c r="U10446" t="s">
        <v>53571</v>
      </c>
      <c r="V10446" t="s">
        <v>58010</v>
      </c>
      <c r="W10446" t="s">
        <v>40604</v>
      </c>
      <c r="X10446" t="s">
        <v>43180</v>
      </c>
    </row>
    <row r="10447" spans="1:24">
      <c r="A10447">
        <f>HYPERLINK("https://www.philgeps.gov.ph/GEPSNONPILOT/Tender/SplashBidNoticeAbstractUI.aspx?menuIndex=3&amp;refID=7065608&amp;Result=3","7065608")</f>
        <v>0</v>
      </c>
      <c r="B10447" t="s">
        <v>2952</v>
      </c>
      <c r="C10447" t="s">
        <v>13377</v>
      </c>
      <c r="D10447" t="s">
        <v>17444</v>
      </c>
      <c r="E10447" t="s">
        <v>26457</v>
      </c>
      <c r="F10447" t="s">
        <v>30052</v>
      </c>
      <c r="G10447" t="s">
        <v>30058</v>
      </c>
      <c r="H10447" t="s">
        <v>30067</v>
      </c>
      <c r="I10447" t="s">
        <v>30106</v>
      </c>
      <c r="J10447" t="s">
        <v>30281</v>
      </c>
      <c r="K10447" t="s">
        <v>39153</v>
      </c>
      <c r="M10447" t="s">
        <v>42517</v>
      </c>
      <c r="N10447" t="s">
        <v>43166</v>
      </c>
      <c r="O10447" t="s">
        <v>43167</v>
      </c>
      <c r="Q10447">
        <v>3</v>
      </c>
      <c r="R10447" t="s">
        <v>43179</v>
      </c>
      <c r="S10447" t="s">
        <v>43608</v>
      </c>
      <c r="T10447" t="s">
        <v>44844</v>
      </c>
      <c r="U10447" t="s">
        <v>53572</v>
      </c>
      <c r="W10447" t="s">
        <v>42517</v>
      </c>
      <c r="X10447" t="s">
        <v>43180</v>
      </c>
    </row>
    <row r="10448" spans="1:24">
      <c r="A10448">
        <f>HYPERLINK("https://www.philgeps.gov.ph/GEPSNONPILOT/Tender/SplashBidNoticeAbstractUI.aspx?menuIndex=3&amp;refID=7065463&amp;Result=3","7065463")</f>
        <v>0</v>
      </c>
      <c r="B10448" t="s">
        <v>2953</v>
      </c>
      <c r="C10448" t="s">
        <v>13378</v>
      </c>
      <c r="D10448" t="s">
        <v>17466</v>
      </c>
      <c r="E10448" t="s">
        <v>26458</v>
      </c>
      <c r="F10448" t="s">
        <v>30052</v>
      </c>
      <c r="G10448" t="s">
        <v>30058</v>
      </c>
      <c r="H10448" t="s">
        <v>15498</v>
      </c>
      <c r="I10448" t="s">
        <v>30096</v>
      </c>
      <c r="J10448" t="s">
        <v>36591</v>
      </c>
      <c r="K10448" t="s">
        <v>39029</v>
      </c>
      <c r="M10448" t="s">
        <v>42518</v>
      </c>
      <c r="N10448" t="s">
        <v>43166</v>
      </c>
      <c r="O10448" t="s">
        <v>43167</v>
      </c>
      <c r="Q10448">
        <v>12</v>
      </c>
      <c r="R10448" t="s">
        <v>43179</v>
      </c>
      <c r="S10448" t="s">
        <v>43609</v>
      </c>
      <c r="T10448" t="s">
        <v>44861</v>
      </c>
      <c r="U10448" t="s">
        <v>53573</v>
      </c>
      <c r="W10448" t="s">
        <v>58692</v>
      </c>
      <c r="X10448" t="s">
        <v>43180</v>
      </c>
    </row>
    <row r="10449" spans="1:24">
      <c r="A10449">
        <f>HYPERLINK("https://www.philgeps.gov.ph/GEPSNONPILOT/Tender/SplashBidNoticeAbstractUI.aspx?menuIndex=3&amp;refID=7065592&amp;Result=3","7065592")</f>
        <v>0</v>
      </c>
      <c r="B10449" t="s">
        <v>50</v>
      </c>
      <c r="C10449" t="s">
        <v>13379</v>
      </c>
      <c r="D10449" t="s">
        <v>17433</v>
      </c>
      <c r="E10449" t="s">
        <v>26459</v>
      </c>
      <c r="F10449" t="s">
        <v>30052</v>
      </c>
      <c r="G10449" t="s">
        <v>30058</v>
      </c>
      <c r="H10449" t="s">
        <v>15498</v>
      </c>
      <c r="I10449" t="s">
        <v>7228</v>
      </c>
      <c r="J10449" t="s">
        <v>30542</v>
      </c>
      <c r="K10449" t="s">
        <v>39017</v>
      </c>
      <c r="M10449" t="s">
        <v>40640</v>
      </c>
      <c r="N10449" t="s">
        <v>43166</v>
      </c>
      <c r="O10449" t="s">
        <v>43167</v>
      </c>
      <c r="P10449">
        <v>0</v>
      </c>
      <c r="Q10449">
        <v>3</v>
      </c>
      <c r="R10449" t="s">
        <v>43179</v>
      </c>
      <c r="S10449" t="s">
        <v>43583</v>
      </c>
      <c r="T10449" t="s">
        <v>44704</v>
      </c>
      <c r="U10449" t="s">
        <v>53517</v>
      </c>
      <c r="W10449" t="s">
        <v>40640</v>
      </c>
      <c r="X10449" t="s">
        <v>43180</v>
      </c>
    </row>
    <row r="10450" spans="1:24">
      <c r="A10450">
        <f>HYPERLINK("https://www.philgeps.gov.ph/GEPSNONPILOT/Tender/SplashBidNoticeAbstractUI.aspx?menuIndex=3&amp;refID=7065590&amp;Result=3","7065590")</f>
        <v>0</v>
      </c>
      <c r="B10450" t="s">
        <v>2954</v>
      </c>
      <c r="C10450" t="s">
        <v>13380</v>
      </c>
      <c r="D10450" t="s">
        <v>17421</v>
      </c>
      <c r="E10450" t="s">
        <v>26460</v>
      </c>
      <c r="F10450" t="s">
        <v>30052</v>
      </c>
      <c r="G10450" t="s">
        <v>30058</v>
      </c>
      <c r="H10450" t="s">
        <v>15498</v>
      </c>
      <c r="I10450" t="s">
        <v>30084</v>
      </c>
      <c r="J10450" t="s">
        <v>36592</v>
      </c>
      <c r="K10450" t="s">
        <v>39032</v>
      </c>
      <c r="M10450" t="s">
        <v>42519</v>
      </c>
      <c r="N10450" t="s">
        <v>43166</v>
      </c>
      <c r="O10450" t="s">
        <v>43167</v>
      </c>
      <c r="P10450">
        <v>0</v>
      </c>
      <c r="Q10450">
        <v>4</v>
      </c>
      <c r="R10450" t="s">
        <v>43179</v>
      </c>
      <c r="S10450" t="s">
        <v>43583</v>
      </c>
      <c r="T10450" t="s">
        <v>44750</v>
      </c>
      <c r="U10450" t="s">
        <v>53574</v>
      </c>
      <c r="V10450" t="s">
        <v>58011</v>
      </c>
      <c r="W10450" t="s">
        <v>58693</v>
      </c>
      <c r="X10450" t="s">
        <v>43180</v>
      </c>
    </row>
    <row r="10451" spans="1:24">
      <c r="A10451">
        <f>HYPERLINK("https://www.philgeps.gov.ph/GEPSNONPILOT/Tender/SplashBidNoticeAbstractUI.aspx?menuIndex=3&amp;refID=7065434&amp;Result=3","7065434")</f>
        <v>0</v>
      </c>
      <c r="B10451" t="s">
        <v>2948</v>
      </c>
      <c r="C10451" t="s">
        <v>13381</v>
      </c>
      <c r="D10451" t="s">
        <v>17496</v>
      </c>
      <c r="E10451" t="s">
        <v>26461</v>
      </c>
      <c r="F10451" t="s">
        <v>30052</v>
      </c>
      <c r="G10451" t="s">
        <v>30058</v>
      </c>
      <c r="H10451" t="s">
        <v>15498</v>
      </c>
      <c r="I10451" t="s">
        <v>3736</v>
      </c>
      <c r="J10451" t="s">
        <v>36593</v>
      </c>
      <c r="K10451" t="s">
        <v>39029</v>
      </c>
      <c r="M10451" t="s">
        <v>42513</v>
      </c>
      <c r="N10451" t="s">
        <v>43166</v>
      </c>
      <c r="O10451" t="s">
        <v>43167</v>
      </c>
      <c r="Q10451">
        <v>0</v>
      </c>
      <c r="R10451" t="s">
        <v>43179</v>
      </c>
      <c r="S10451" t="s">
        <v>43610</v>
      </c>
      <c r="T10451" t="s">
        <v>44733</v>
      </c>
      <c r="U10451" t="s">
        <v>53575</v>
      </c>
      <c r="V10451" t="s">
        <v>58012</v>
      </c>
      <c r="W10451" t="s">
        <v>42513</v>
      </c>
      <c r="X10451" t="s">
        <v>43180</v>
      </c>
    </row>
    <row r="10452" spans="1:24">
      <c r="A10452">
        <f>HYPERLINK("https://www.philgeps.gov.ph/GEPSNONPILOT/Tender/SplashBidNoticeAbstractUI.aspx?menuIndex=3&amp;refID=7065621&amp;Result=3","7065621")</f>
        <v>0</v>
      </c>
      <c r="B10452" t="s">
        <v>2954</v>
      </c>
      <c r="C10452" t="s">
        <v>13382</v>
      </c>
      <c r="D10452" t="s">
        <v>17421</v>
      </c>
      <c r="E10452" t="s">
        <v>26462</v>
      </c>
      <c r="F10452" t="s">
        <v>30052</v>
      </c>
      <c r="G10452" t="s">
        <v>30058</v>
      </c>
      <c r="H10452" t="s">
        <v>15498</v>
      </c>
      <c r="I10452" t="s">
        <v>3736</v>
      </c>
      <c r="J10452" t="s">
        <v>36594</v>
      </c>
      <c r="K10452" t="s">
        <v>39046</v>
      </c>
      <c r="M10452" t="s">
        <v>42519</v>
      </c>
      <c r="N10452" t="s">
        <v>43166</v>
      </c>
      <c r="O10452" t="s">
        <v>43167</v>
      </c>
      <c r="Q10452">
        <v>2</v>
      </c>
      <c r="R10452" t="s">
        <v>43179</v>
      </c>
      <c r="S10452" t="s">
        <v>43611</v>
      </c>
      <c r="T10452" t="s">
        <v>44750</v>
      </c>
      <c r="U10452" t="s">
        <v>53576</v>
      </c>
      <c r="V10452" t="s">
        <v>56838</v>
      </c>
      <c r="W10452" t="s">
        <v>58693</v>
      </c>
      <c r="X10452" t="s">
        <v>43180</v>
      </c>
    </row>
    <row r="10453" spans="1:24">
      <c r="A10453">
        <f>HYPERLINK("https://www.philgeps.gov.ph/GEPSNONPILOT/Tender/SplashBidNoticeAbstractUI.aspx?menuIndex=3&amp;refID=7065581&amp;Result=3","7065581")</f>
        <v>0</v>
      </c>
      <c r="B10453" t="s">
        <v>2955</v>
      </c>
      <c r="C10453" t="s">
        <v>13383</v>
      </c>
      <c r="E10453" t="s">
        <v>26463</v>
      </c>
      <c r="F10453" t="s">
        <v>30052</v>
      </c>
      <c r="G10453" t="s">
        <v>30058</v>
      </c>
      <c r="H10453" t="s">
        <v>30067</v>
      </c>
      <c r="I10453" t="s">
        <v>3693</v>
      </c>
      <c r="J10453" t="s">
        <v>30252</v>
      </c>
      <c r="K10453" t="s">
        <v>39023</v>
      </c>
      <c r="M10453" t="s">
        <v>42520</v>
      </c>
      <c r="N10453" t="s">
        <v>43166</v>
      </c>
      <c r="O10453" t="s">
        <v>43167</v>
      </c>
      <c r="P10453">
        <v>0</v>
      </c>
      <c r="Q10453">
        <v>1</v>
      </c>
      <c r="R10453" t="s">
        <v>43179</v>
      </c>
      <c r="S10453" t="s">
        <v>43583</v>
      </c>
      <c r="T10453" t="s">
        <v>44681</v>
      </c>
      <c r="U10453" t="s">
        <v>53577</v>
      </c>
      <c r="W10453" t="s">
        <v>42520</v>
      </c>
      <c r="X10453" t="s">
        <v>43180</v>
      </c>
    </row>
    <row r="10454" spans="1:24">
      <c r="A10454">
        <f>HYPERLINK("https://www.philgeps.gov.ph/GEPSNONPILOT/Tender/SplashBidNoticeAbstractUI.aspx?menuIndex=3&amp;refID=7065585&amp;Result=3","7065585")</f>
        <v>0</v>
      </c>
      <c r="B10454" t="s">
        <v>2838</v>
      </c>
      <c r="C10454" t="s">
        <v>13384</v>
      </c>
      <c r="D10454" t="s">
        <v>17445</v>
      </c>
      <c r="E10454" t="s">
        <v>26464</v>
      </c>
      <c r="F10454" t="s">
        <v>30055</v>
      </c>
      <c r="G10454" t="s">
        <v>30058</v>
      </c>
      <c r="H10454" t="s">
        <v>15498</v>
      </c>
      <c r="I10454" t="s">
        <v>7228</v>
      </c>
      <c r="J10454" t="s">
        <v>36595</v>
      </c>
      <c r="K10454" t="s">
        <v>39029</v>
      </c>
      <c r="M10454" t="s">
        <v>42384</v>
      </c>
      <c r="N10454" t="s">
        <v>43166</v>
      </c>
      <c r="O10454" t="s">
        <v>43167</v>
      </c>
      <c r="P10454">
        <v>0</v>
      </c>
      <c r="Q10454">
        <v>0</v>
      </c>
      <c r="R10454" t="s">
        <v>43179</v>
      </c>
      <c r="S10454" t="s">
        <v>43583</v>
      </c>
      <c r="T10454" t="s">
        <v>44689</v>
      </c>
      <c r="U10454" t="s">
        <v>53578</v>
      </c>
      <c r="V10454" t="s">
        <v>58013</v>
      </c>
      <c r="W10454" t="s">
        <v>42384</v>
      </c>
      <c r="X10454" t="s">
        <v>43180</v>
      </c>
    </row>
    <row r="10455" spans="1:24">
      <c r="A10455">
        <f>HYPERLINK("https://www.philgeps.gov.ph/GEPSNONPILOT/Tender/SplashBidNoticeAbstractUI.aspx?menuIndex=3&amp;refID=7065578&amp;Result=3","7065578")</f>
        <v>0</v>
      </c>
      <c r="B10455" t="s">
        <v>2955</v>
      </c>
      <c r="C10455" t="s">
        <v>13385</v>
      </c>
      <c r="D10455" t="s">
        <v>17435</v>
      </c>
      <c r="E10455" t="s">
        <v>19045</v>
      </c>
      <c r="F10455" t="s">
        <v>30052</v>
      </c>
      <c r="G10455" t="s">
        <v>30058</v>
      </c>
      <c r="H10455" t="s">
        <v>30067</v>
      </c>
      <c r="I10455" t="s">
        <v>3693</v>
      </c>
      <c r="J10455" t="s">
        <v>31664</v>
      </c>
      <c r="K10455" t="s">
        <v>39023</v>
      </c>
      <c r="M10455" t="s">
        <v>42520</v>
      </c>
      <c r="N10455" t="s">
        <v>43166</v>
      </c>
      <c r="O10455" t="s">
        <v>43167</v>
      </c>
      <c r="P10455">
        <v>0</v>
      </c>
      <c r="Q10455">
        <v>1</v>
      </c>
      <c r="R10455" t="s">
        <v>43179</v>
      </c>
      <c r="S10455" t="s">
        <v>43583</v>
      </c>
      <c r="T10455" t="s">
        <v>44681</v>
      </c>
      <c r="U10455" t="s">
        <v>53579</v>
      </c>
      <c r="W10455" t="s">
        <v>42520</v>
      </c>
      <c r="X10455" t="s">
        <v>43180</v>
      </c>
    </row>
    <row r="10456" spans="1:24">
      <c r="A10456">
        <f>HYPERLINK("https://www.philgeps.gov.ph/GEPSNONPILOT/Tender/SplashBidNoticeAbstractUI.aspx?menuIndex=3&amp;refID=7065597&amp;Result=3","7065597")</f>
        <v>0</v>
      </c>
      <c r="B10456" t="s">
        <v>2634</v>
      </c>
      <c r="C10456" t="s">
        <v>13386</v>
      </c>
      <c r="D10456" t="s">
        <v>17435</v>
      </c>
      <c r="E10456" t="s">
        <v>26465</v>
      </c>
      <c r="F10456" t="s">
        <v>30052</v>
      </c>
      <c r="G10456" t="s">
        <v>30058</v>
      </c>
      <c r="H10456" t="s">
        <v>30067</v>
      </c>
      <c r="I10456" t="s">
        <v>3693</v>
      </c>
      <c r="J10456" t="s">
        <v>36596</v>
      </c>
      <c r="K10456" t="s">
        <v>39023</v>
      </c>
      <c r="M10456" t="s">
        <v>42149</v>
      </c>
      <c r="N10456" t="s">
        <v>43166</v>
      </c>
      <c r="O10456" t="s">
        <v>43167</v>
      </c>
      <c r="P10456">
        <v>0</v>
      </c>
      <c r="Q10456">
        <v>0</v>
      </c>
      <c r="R10456" t="s">
        <v>43179</v>
      </c>
      <c r="S10456" t="s">
        <v>43583</v>
      </c>
      <c r="T10456" t="s">
        <v>44750</v>
      </c>
      <c r="U10456" t="s">
        <v>53580</v>
      </c>
      <c r="W10456" t="s">
        <v>42149</v>
      </c>
      <c r="X10456" t="s">
        <v>43180</v>
      </c>
    </row>
    <row r="10457" spans="1:24">
      <c r="A10457">
        <f>HYPERLINK("https://www.philgeps.gov.ph/GEPSNONPILOT/Tender/SplashBidNoticeAbstractUI.aspx?menuIndex=3&amp;refID=7065572&amp;Result=3","7065572")</f>
        <v>0</v>
      </c>
      <c r="B10457" t="s">
        <v>2954</v>
      </c>
      <c r="C10457" t="s">
        <v>13387</v>
      </c>
      <c r="D10457" t="s">
        <v>17421</v>
      </c>
      <c r="E10457" t="s">
        <v>26466</v>
      </c>
      <c r="F10457" t="s">
        <v>30052</v>
      </c>
      <c r="G10457" t="s">
        <v>30058</v>
      </c>
      <c r="H10457" t="s">
        <v>15498</v>
      </c>
      <c r="I10457" t="s">
        <v>4119</v>
      </c>
      <c r="J10457" t="s">
        <v>36597</v>
      </c>
      <c r="K10457" t="s">
        <v>39019</v>
      </c>
      <c r="M10457" t="s">
        <v>42519</v>
      </c>
      <c r="N10457" t="s">
        <v>43166</v>
      </c>
      <c r="O10457" t="s">
        <v>43167</v>
      </c>
      <c r="Q10457">
        <v>3</v>
      </c>
      <c r="R10457" t="s">
        <v>43179</v>
      </c>
      <c r="S10457" t="s">
        <v>43612</v>
      </c>
      <c r="T10457" t="s">
        <v>44750</v>
      </c>
      <c r="U10457" t="s">
        <v>53581</v>
      </c>
      <c r="V10457" t="s">
        <v>58014</v>
      </c>
      <c r="W10457" t="s">
        <v>58693</v>
      </c>
      <c r="X10457" t="s">
        <v>43180</v>
      </c>
    </row>
    <row r="10458" spans="1:24">
      <c r="A10458">
        <f>HYPERLINK("https://www.philgeps.gov.ph/GEPSNONPILOT/Tender/SplashBidNoticeAbstractUI.aspx?menuIndex=3&amp;refID=7065587&amp;Result=3","7065587")</f>
        <v>0</v>
      </c>
      <c r="B10458" t="s">
        <v>596</v>
      </c>
      <c r="C10458" t="s">
        <v>13388</v>
      </c>
      <c r="D10458" t="s">
        <v>17459</v>
      </c>
      <c r="E10458" t="s">
        <v>26467</v>
      </c>
      <c r="F10458" t="s">
        <v>30052</v>
      </c>
      <c r="G10458" t="s">
        <v>30058</v>
      </c>
      <c r="H10458" t="s">
        <v>30067</v>
      </c>
      <c r="I10458" t="s">
        <v>3693</v>
      </c>
      <c r="J10458" t="s">
        <v>36598</v>
      </c>
      <c r="K10458" t="s">
        <v>39069</v>
      </c>
      <c r="M10458" t="s">
        <v>39898</v>
      </c>
      <c r="N10458" t="s">
        <v>43166</v>
      </c>
      <c r="O10458" t="s">
        <v>43167</v>
      </c>
      <c r="P10458">
        <v>0</v>
      </c>
      <c r="Q10458">
        <v>2</v>
      </c>
      <c r="R10458" t="s">
        <v>43179</v>
      </c>
      <c r="S10458" t="s">
        <v>43583</v>
      </c>
      <c r="T10458" t="s">
        <v>44704</v>
      </c>
      <c r="U10458" t="s">
        <v>53582</v>
      </c>
      <c r="V10458" t="s">
        <v>56984</v>
      </c>
      <c r="W10458" t="s">
        <v>39898</v>
      </c>
      <c r="X10458" t="s">
        <v>43180</v>
      </c>
    </row>
    <row r="10459" spans="1:24">
      <c r="A10459">
        <f>HYPERLINK("https://www.philgeps.gov.ph/GEPSNONPILOT/Tender/SplashBidNoticeAbstractUI.aspx?menuIndex=3&amp;refID=7065583&amp;Result=3","7065583")</f>
        <v>0</v>
      </c>
      <c r="B10459" t="s">
        <v>2956</v>
      </c>
      <c r="C10459" t="s">
        <v>13389</v>
      </c>
      <c r="D10459" t="s">
        <v>17450</v>
      </c>
      <c r="E10459" t="s">
        <v>26468</v>
      </c>
      <c r="F10459" t="s">
        <v>30052</v>
      </c>
      <c r="G10459" t="s">
        <v>30058</v>
      </c>
      <c r="H10459" t="s">
        <v>15498</v>
      </c>
      <c r="I10459" t="s">
        <v>30097</v>
      </c>
      <c r="J10459" t="s">
        <v>36599</v>
      </c>
      <c r="K10459" t="s">
        <v>39029</v>
      </c>
      <c r="M10459" t="s">
        <v>42521</v>
      </c>
      <c r="N10459" t="s">
        <v>43166</v>
      </c>
      <c r="O10459" t="s">
        <v>43167</v>
      </c>
      <c r="P10459">
        <v>0</v>
      </c>
      <c r="Q10459">
        <v>9</v>
      </c>
      <c r="R10459" t="s">
        <v>43179</v>
      </c>
      <c r="S10459" t="s">
        <v>43583</v>
      </c>
      <c r="T10459" t="s">
        <v>45005</v>
      </c>
      <c r="U10459" t="s">
        <v>53583</v>
      </c>
      <c r="W10459" t="s">
        <v>42521</v>
      </c>
      <c r="X10459" t="s">
        <v>43180</v>
      </c>
    </row>
    <row r="10460" spans="1:24">
      <c r="A10460">
        <f>HYPERLINK("https://www.philgeps.gov.ph/GEPSNONPILOT/Tender/SplashBidNoticeAbstractUI.aspx?menuIndex=3&amp;refID=7065541&amp;Result=3","7065541")</f>
        <v>0</v>
      </c>
      <c r="B10460" t="s">
        <v>2852</v>
      </c>
      <c r="C10460" t="s">
        <v>13390</v>
      </c>
      <c r="D10460" t="s">
        <v>17459</v>
      </c>
      <c r="E10460" t="s">
        <v>26469</v>
      </c>
      <c r="F10460" t="s">
        <v>30052</v>
      </c>
      <c r="G10460" t="s">
        <v>30059</v>
      </c>
      <c r="H10460" t="s">
        <v>15498</v>
      </c>
      <c r="I10460" t="s">
        <v>30108</v>
      </c>
      <c r="J10460" t="s">
        <v>36600</v>
      </c>
      <c r="K10460" t="s">
        <v>39019</v>
      </c>
      <c r="M10460" t="s">
        <v>42398</v>
      </c>
      <c r="N10460" t="s">
        <v>43166</v>
      </c>
      <c r="O10460" t="s">
        <v>43167</v>
      </c>
      <c r="P10460">
        <v>0</v>
      </c>
      <c r="Q10460">
        <v>4</v>
      </c>
      <c r="R10460" t="s">
        <v>43179</v>
      </c>
      <c r="S10460" t="s">
        <v>43583</v>
      </c>
      <c r="T10460" t="s">
        <v>44698</v>
      </c>
      <c r="U10460" t="s">
        <v>53523</v>
      </c>
      <c r="W10460" t="s">
        <v>42398</v>
      </c>
      <c r="X10460" t="s">
        <v>43180</v>
      </c>
    </row>
    <row r="10461" spans="1:24">
      <c r="A10461">
        <f>HYPERLINK("https://www.philgeps.gov.ph/GEPSNONPILOT/Tender/SplashBidNoticeAbstractUI.aspx?menuIndex=3&amp;refID=7065501&amp;Result=3","7065501")</f>
        <v>0</v>
      </c>
      <c r="B10461" t="s">
        <v>915</v>
      </c>
      <c r="C10461" t="s">
        <v>13391</v>
      </c>
      <c r="D10461" t="s">
        <v>17457</v>
      </c>
      <c r="E10461" t="s">
        <v>26470</v>
      </c>
      <c r="F10461" t="s">
        <v>30052</v>
      </c>
      <c r="G10461" t="s">
        <v>30058</v>
      </c>
      <c r="H10461" t="s">
        <v>15498</v>
      </c>
      <c r="I10461" t="s">
        <v>30076</v>
      </c>
      <c r="J10461" t="s">
        <v>36601</v>
      </c>
      <c r="K10461" t="s">
        <v>39019</v>
      </c>
      <c r="M10461" t="s">
        <v>40238</v>
      </c>
      <c r="N10461" t="s">
        <v>43166</v>
      </c>
      <c r="O10461" t="s">
        <v>43167</v>
      </c>
      <c r="P10461">
        <v>0</v>
      </c>
      <c r="Q10461">
        <v>3</v>
      </c>
      <c r="R10461" t="s">
        <v>43179</v>
      </c>
      <c r="S10461" t="s">
        <v>43583</v>
      </c>
      <c r="T10461" t="s">
        <v>44844</v>
      </c>
      <c r="U10461" t="s">
        <v>53584</v>
      </c>
      <c r="W10461" t="s">
        <v>40238</v>
      </c>
      <c r="X10461" t="s">
        <v>43180</v>
      </c>
    </row>
    <row r="10462" spans="1:24">
      <c r="A10462">
        <f>HYPERLINK("https://www.philgeps.gov.ph/GEPSNONPILOT/Tender/SplashBidNoticeAbstractUI.aspx?menuIndex=3&amp;refID=7065742&amp;Result=3","7065742")</f>
        <v>0</v>
      </c>
      <c r="B10462" t="s">
        <v>723</v>
      </c>
      <c r="C10462" t="s">
        <v>13392</v>
      </c>
      <c r="D10462" t="s">
        <v>17459</v>
      </c>
      <c r="E10462" t="s">
        <v>26471</v>
      </c>
      <c r="F10462" t="s">
        <v>30052</v>
      </c>
      <c r="G10462" t="s">
        <v>30058</v>
      </c>
      <c r="H10462" t="s">
        <v>30067</v>
      </c>
      <c r="I10462" t="s">
        <v>3693</v>
      </c>
      <c r="J10462" t="s">
        <v>30605</v>
      </c>
      <c r="K10462" t="s">
        <v>39023</v>
      </c>
      <c r="M10462" t="s">
        <v>40034</v>
      </c>
      <c r="N10462" t="s">
        <v>43166</v>
      </c>
      <c r="O10462" t="s">
        <v>43167</v>
      </c>
      <c r="P10462">
        <v>0</v>
      </c>
      <c r="Q10462">
        <v>1</v>
      </c>
      <c r="R10462" t="s">
        <v>43179</v>
      </c>
      <c r="S10462" t="s">
        <v>43583</v>
      </c>
      <c r="T10462" t="s">
        <v>44754</v>
      </c>
      <c r="U10462" t="s">
        <v>53585</v>
      </c>
      <c r="W10462" t="s">
        <v>40034</v>
      </c>
      <c r="X10462" t="s">
        <v>43180</v>
      </c>
    </row>
    <row r="10463" spans="1:24">
      <c r="A10463">
        <f>HYPERLINK("https://www.philgeps.gov.ph/GEPSNONPILOT/Tender/SplashBidNoticeAbstractUI.aspx?menuIndex=3&amp;refID=7065736&amp;Result=3","7065736")</f>
        <v>0</v>
      </c>
      <c r="B10463" t="s">
        <v>2957</v>
      </c>
      <c r="C10463" t="s">
        <v>13393</v>
      </c>
      <c r="D10463" t="s">
        <v>17413</v>
      </c>
      <c r="E10463" t="s">
        <v>26472</v>
      </c>
      <c r="F10463" t="s">
        <v>30052</v>
      </c>
      <c r="G10463" t="s">
        <v>30058</v>
      </c>
      <c r="H10463" t="s">
        <v>30067</v>
      </c>
      <c r="I10463" t="s">
        <v>3693</v>
      </c>
      <c r="J10463" t="s">
        <v>30230</v>
      </c>
      <c r="K10463" t="s">
        <v>39029</v>
      </c>
      <c r="M10463" t="s">
        <v>42522</v>
      </c>
      <c r="N10463" t="s">
        <v>43166</v>
      </c>
      <c r="O10463" t="s">
        <v>43167</v>
      </c>
      <c r="P10463">
        <v>0</v>
      </c>
      <c r="Q10463">
        <v>0</v>
      </c>
      <c r="R10463" t="s">
        <v>43179</v>
      </c>
      <c r="S10463" t="s">
        <v>43583</v>
      </c>
      <c r="T10463" t="s">
        <v>44724</v>
      </c>
      <c r="U10463" t="s">
        <v>53586</v>
      </c>
      <c r="W10463" t="s">
        <v>42522</v>
      </c>
      <c r="X10463" t="s">
        <v>43180</v>
      </c>
    </row>
    <row r="10464" spans="1:24">
      <c r="A10464">
        <f>HYPERLINK("https://www.philgeps.gov.ph/GEPSNONPILOT/Tender/SplashBidNoticeAbstractUI.aspx?menuIndex=3&amp;refID=7065566&amp;Result=3","7065566")</f>
        <v>0</v>
      </c>
      <c r="B10464" t="s">
        <v>1240</v>
      </c>
      <c r="C10464" t="s">
        <v>13394</v>
      </c>
      <c r="D10464" t="s">
        <v>17424</v>
      </c>
      <c r="E10464" t="s">
        <v>26473</v>
      </c>
      <c r="F10464" t="s">
        <v>30052</v>
      </c>
      <c r="G10464" t="s">
        <v>30058</v>
      </c>
      <c r="H10464" t="s">
        <v>15498</v>
      </c>
      <c r="I10464" t="s">
        <v>30088</v>
      </c>
      <c r="J10464" t="s">
        <v>36602</v>
      </c>
      <c r="K10464" t="s">
        <v>39025</v>
      </c>
      <c r="M10464" t="s">
        <v>40596</v>
      </c>
      <c r="N10464" t="s">
        <v>43166</v>
      </c>
      <c r="O10464" t="s">
        <v>43167</v>
      </c>
      <c r="P10464">
        <v>0</v>
      </c>
      <c r="Q10464">
        <v>13</v>
      </c>
      <c r="R10464" t="s">
        <v>43179</v>
      </c>
      <c r="S10464" t="s">
        <v>43583</v>
      </c>
      <c r="T10464" t="s">
        <v>45129</v>
      </c>
      <c r="U10464" t="s">
        <v>53587</v>
      </c>
      <c r="V10464" t="s">
        <v>58015</v>
      </c>
      <c r="W10464" t="s">
        <v>40596</v>
      </c>
      <c r="X10464" t="s">
        <v>43180</v>
      </c>
    </row>
    <row r="10465" spans="1:24">
      <c r="A10465">
        <f>HYPERLINK("https://www.philgeps.gov.ph/GEPSNONPILOT/Tender/SplashBidNoticeAbstractUI.aspx?menuIndex=3&amp;refID=7065718&amp;Result=3","7065718")</f>
        <v>0</v>
      </c>
      <c r="B10465" t="s">
        <v>2958</v>
      </c>
      <c r="C10465" t="s">
        <v>13395</v>
      </c>
      <c r="D10465" t="s">
        <v>17432</v>
      </c>
      <c r="E10465" t="s">
        <v>21845</v>
      </c>
      <c r="F10465" t="s">
        <v>30052</v>
      </c>
      <c r="G10465" t="s">
        <v>30059</v>
      </c>
      <c r="H10465" t="s">
        <v>30069</v>
      </c>
      <c r="I10465" t="s">
        <v>3852</v>
      </c>
      <c r="J10465" t="s">
        <v>36603</v>
      </c>
      <c r="K10465" t="s">
        <v>39019</v>
      </c>
      <c r="M10465" t="s">
        <v>42523</v>
      </c>
      <c r="N10465" t="s">
        <v>43166</v>
      </c>
      <c r="O10465" t="s">
        <v>43167</v>
      </c>
      <c r="P10465">
        <v>0</v>
      </c>
      <c r="Q10465">
        <v>0</v>
      </c>
      <c r="R10465" t="s">
        <v>43179</v>
      </c>
      <c r="S10465" t="s">
        <v>43583</v>
      </c>
      <c r="T10465" t="s">
        <v>44820</v>
      </c>
      <c r="U10465" t="s">
        <v>53588</v>
      </c>
      <c r="W10465" t="s">
        <v>42523</v>
      </c>
      <c r="X10465" t="s">
        <v>43180</v>
      </c>
    </row>
    <row r="10466" spans="1:24">
      <c r="A10466">
        <f>HYPERLINK("https://www.philgeps.gov.ph/GEPSNONPILOT/Tender/SplashBidNoticeAbstractUI.aspx?menuIndex=3&amp;refID=7065421&amp;Result=3","7065421")</f>
        <v>0</v>
      </c>
      <c r="B10466" t="s">
        <v>2959</v>
      </c>
      <c r="C10466" t="s">
        <v>13396</v>
      </c>
      <c r="D10466" t="s">
        <v>17448</v>
      </c>
      <c r="E10466" t="s">
        <v>26474</v>
      </c>
      <c r="F10466" t="s">
        <v>30052</v>
      </c>
      <c r="G10466" t="s">
        <v>30058</v>
      </c>
      <c r="H10466" t="s">
        <v>30067</v>
      </c>
      <c r="I10466" t="s">
        <v>3693</v>
      </c>
      <c r="J10466" t="s">
        <v>30230</v>
      </c>
      <c r="K10466" t="s">
        <v>39034</v>
      </c>
      <c r="M10466" t="s">
        <v>42524</v>
      </c>
      <c r="N10466" t="s">
        <v>43166</v>
      </c>
      <c r="O10466" t="s">
        <v>43167</v>
      </c>
      <c r="P10466">
        <v>0</v>
      </c>
      <c r="Q10466">
        <v>0</v>
      </c>
      <c r="R10466" t="s">
        <v>43179</v>
      </c>
      <c r="S10466" t="s">
        <v>43583</v>
      </c>
      <c r="T10466" t="s">
        <v>44830</v>
      </c>
      <c r="U10466" t="s">
        <v>53589</v>
      </c>
      <c r="V10466" t="s">
        <v>58016</v>
      </c>
      <c r="W10466" t="s">
        <v>42524</v>
      </c>
      <c r="X10466" t="s">
        <v>43180</v>
      </c>
    </row>
    <row r="10467" spans="1:24">
      <c r="A10467">
        <f>HYPERLINK("https://www.philgeps.gov.ph/GEPSNONPILOT/Tender/SplashBidNoticeAbstractUI.aspx?menuIndex=3&amp;refID=7065552&amp;Result=3","7065552")</f>
        <v>0</v>
      </c>
      <c r="B10467" t="s">
        <v>422</v>
      </c>
      <c r="C10467" t="s">
        <v>13397</v>
      </c>
      <c r="D10467" t="s">
        <v>17455</v>
      </c>
      <c r="E10467" t="s">
        <v>26475</v>
      </c>
      <c r="F10467" t="s">
        <v>30052</v>
      </c>
      <c r="G10467" t="s">
        <v>30059</v>
      </c>
      <c r="H10467" t="s">
        <v>15498</v>
      </c>
      <c r="I10467" t="s">
        <v>30093</v>
      </c>
      <c r="J10467" t="s">
        <v>36604</v>
      </c>
      <c r="K10467" t="s">
        <v>39025</v>
      </c>
      <c r="M10467" t="s">
        <v>40641</v>
      </c>
      <c r="N10467" t="s">
        <v>43166</v>
      </c>
      <c r="O10467" t="s">
        <v>43167</v>
      </c>
      <c r="Q10467">
        <v>1</v>
      </c>
      <c r="R10467" t="s">
        <v>43179</v>
      </c>
      <c r="S10467" t="s">
        <v>43613</v>
      </c>
      <c r="T10467" t="s">
        <v>44681</v>
      </c>
      <c r="U10467" t="s">
        <v>48012</v>
      </c>
      <c r="W10467" t="s">
        <v>40641</v>
      </c>
      <c r="X10467" t="s">
        <v>43180</v>
      </c>
    </row>
    <row r="10468" spans="1:24">
      <c r="A10468">
        <f>HYPERLINK("https://www.philgeps.gov.ph/GEPSNONPILOT/Tender/SplashBidNoticeAbstractUI.aspx?menuIndex=3&amp;refID=7065713&amp;Result=3","7065713")</f>
        <v>0</v>
      </c>
      <c r="B10468" t="s">
        <v>2634</v>
      </c>
      <c r="C10468" t="s">
        <v>13398</v>
      </c>
      <c r="D10468" t="s">
        <v>17435</v>
      </c>
      <c r="E10468" t="s">
        <v>26476</v>
      </c>
      <c r="F10468" t="s">
        <v>30052</v>
      </c>
      <c r="G10468" t="s">
        <v>30058</v>
      </c>
      <c r="H10468" t="s">
        <v>30067</v>
      </c>
      <c r="I10468" t="s">
        <v>3693</v>
      </c>
      <c r="J10468" t="s">
        <v>30222</v>
      </c>
      <c r="K10468" t="s">
        <v>39023</v>
      </c>
      <c r="M10468" t="s">
        <v>42149</v>
      </c>
      <c r="N10468" t="s">
        <v>43166</v>
      </c>
      <c r="O10468" t="s">
        <v>43167</v>
      </c>
      <c r="P10468">
        <v>0</v>
      </c>
      <c r="Q10468">
        <v>0</v>
      </c>
      <c r="R10468" t="s">
        <v>43179</v>
      </c>
      <c r="S10468" t="s">
        <v>43583</v>
      </c>
      <c r="T10468" t="s">
        <v>44750</v>
      </c>
      <c r="U10468" t="s">
        <v>53590</v>
      </c>
      <c r="W10468" t="s">
        <v>42149</v>
      </c>
      <c r="X10468" t="s">
        <v>43180</v>
      </c>
    </row>
    <row r="10469" spans="1:24">
      <c r="A10469">
        <f>HYPERLINK("https://www.philgeps.gov.ph/GEPSNONPILOT/Tender/SplashBidNoticeAbstractUI.aspx?menuIndex=3&amp;refID=7065691&amp;Result=3","7065691")</f>
        <v>0</v>
      </c>
      <c r="B10469" t="s">
        <v>2960</v>
      </c>
      <c r="C10469" t="s">
        <v>13399</v>
      </c>
      <c r="D10469" t="s">
        <v>17456</v>
      </c>
      <c r="E10469" t="s">
        <v>26477</v>
      </c>
      <c r="F10469" t="s">
        <v>30052</v>
      </c>
      <c r="G10469" t="s">
        <v>30058</v>
      </c>
      <c r="H10469" t="s">
        <v>15498</v>
      </c>
      <c r="I10469" t="s">
        <v>30134</v>
      </c>
      <c r="J10469" t="s">
        <v>30281</v>
      </c>
      <c r="K10469" t="s">
        <v>39099</v>
      </c>
      <c r="M10469" t="s">
        <v>42525</v>
      </c>
      <c r="N10469" t="s">
        <v>43166</v>
      </c>
      <c r="O10469" t="s">
        <v>43167</v>
      </c>
      <c r="Q10469">
        <v>3</v>
      </c>
      <c r="R10469" t="s">
        <v>43179</v>
      </c>
      <c r="S10469" t="s">
        <v>43614</v>
      </c>
      <c r="T10469" t="s">
        <v>44741</v>
      </c>
      <c r="U10469" t="s">
        <v>53591</v>
      </c>
      <c r="V10469" t="s">
        <v>56830</v>
      </c>
      <c r="W10469" t="s">
        <v>42525</v>
      </c>
      <c r="X10469" t="s">
        <v>43180</v>
      </c>
    </row>
    <row r="10470" spans="1:24">
      <c r="A10470">
        <f>HYPERLINK("https://www.philgeps.gov.ph/GEPSNONPILOT/Tender/SplashBidNoticeAbstractUI.aspx?menuIndex=3&amp;refID=7065741&amp;Result=3","7065741")</f>
        <v>0</v>
      </c>
      <c r="B10470" t="s">
        <v>2961</v>
      </c>
      <c r="C10470" t="s">
        <v>10397</v>
      </c>
      <c r="D10470" t="s">
        <v>17422</v>
      </c>
      <c r="E10470" t="s">
        <v>18907</v>
      </c>
      <c r="F10470" t="s">
        <v>30052</v>
      </c>
      <c r="G10470" t="s">
        <v>30058</v>
      </c>
      <c r="H10470" t="s">
        <v>15498</v>
      </c>
      <c r="I10470" t="s">
        <v>30144</v>
      </c>
      <c r="J10470" t="s">
        <v>31393</v>
      </c>
      <c r="K10470" t="s">
        <v>39037</v>
      </c>
      <c r="M10470" t="s">
        <v>42526</v>
      </c>
      <c r="N10470" t="s">
        <v>43166</v>
      </c>
      <c r="O10470" t="s">
        <v>43167</v>
      </c>
      <c r="P10470">
        <v>0</v>
      </c>
      <c r="Q10470">
        <v>0</v>
      </c>
      <c r="R10470" t="s">
        <v>43179</v>
      </c>
      <c r="S10470" t="s">
        <v>43583</v>
      </c>
      <c r="T10470" t="s">
        <v>44715</v>
      </c>
      <c r="U10470" t="s">
        <v>53592</v>
      </c>
      <c r="W10470" t="s">
        <v>42526</v>
      </c>
      <c r="X10470" t="s">
        <v>43180</v>
      </c>
    </row>
    <row r="10471" spans="1:24">
      <c r="A10471">
        <f>HYPERLINK("https://www.philgeps.gov.ph/GEPSNONPILOT/Tender/SplashBidNoticeAbstractUI.aspx?menuIndex=3&amp;refID=7065668&amp;Result=3","7065668")</f>
        <v>0</v>
      </c>
      <c r="B10471" t="s">
        <v>2962</v>
      </c>
      <c r="C10471" t="s">
        <v>13400</v>
      </c>
      <c r="D10471" t="s">
        <v>17421</v>
      </c>
      <c r="E10471" t="s">
        <v>26478</v>
      </c>
      <c r="F10471" t="s">
        <v>30052</v>
      </c>
      <c r="G10471" t="s">
        <v>30058</v>
      </c>
      <c r="H10471" t="s">
        <v>15498</v>
      </c>
      <c r="I10471" t="s">
        <v>6691</v>
      </c>
      <c r="J10471" t="s">
        <v>32337</v>
      </c>
      <c r="K10471" t="s">
        <v>39125</v>
      </c>
      <c r="M10471" t="s">
        <v>42527</v>
      </c>
      <c r="N10471" t="s">
        <v>43166</v>
      </c>
      <c r="O10471" t="s">
        <v>43167</v>
      </c>
      <c r="P10471">
        <v>0</v>
      </c>
      <c r="Q10471">
        <v>0</v>
      </c>
      <c r="R10471" t="s">
        <v>43179</v>
      </c>
      <c r="S10471" t="s">
        <v>43583</v>
      </c>
      <c r="T10471" t="s">
        <v>44802</v>
      </c>
      <c r="U10471" t="s">
        <v>53593</v>
      </c>
      <c r="W10471" t="s">
        <v>42527</v>
      </c>
      <c r="X10471" t="s">
        <v>43180</v>
      </c>
    </row>
    <row r="10472" spans="1:24">
      <c r="A10472">
        <f>HYPERLINK("https://www.philgeps.gov.ph/GEPSNONPILOT/Tender/SplashBidNoticeAbstractUI.aspx?menuIndex=3&amp;refID=7065554&amp;Result=3","7065554")</f>
        <v>0</v>
      </c>
      <c r="B10472" t="s">
        <v>2852</v>
      </c>
      <c r="C10472" t="s">
        <v>13401</v>
      </c>
      <c r="D10472" t="s">
        <v>17459</v>
      </c>
      <c r="E10472" t="s">
        <v>26479</v>
      </c>
      <c r="F10472" t="s">
        <v>30052</v>
      </c>
      <c r="G10472" t="s">
        <v>30059</v>
      </c>
      <c r="H10472" t="s">
        <v>15498</v>
      </c>
      <c r="I10472" t="s">
        <v>30073</v>
      </c>
      <c r="J10472" t="s">
        <v>36605</v>
      </c>
      <c r="K10472" t="s">
        <v>39019</v>
      </c>
      <c r="M10472" t="s">
        <v>42398</v>
      </c>
      <c r="N10472" t="s">
        <v>43166</v>
      </c>
      <c r="O10472" t="s">
        <v>43167</v>
      </c>
      <c r="P10472">
        <v>0</v>
      </c>
      <c r="Q10472">
        <v>0</v>
      </c>
      <c r="R10472" t="s">
        <v>43179</v>
      </c>
      <c r="S10472" t="s">
        <v>43583</v>
      </c>
      <c r="T10472" t="s">
        <v>44698</v>
      </c>
      <c r="U10472" t="s">
        <v>53523</v>
      </c>
      <c r="W10472" t="s">
        <v>42398</v>
      </c>
      <c r="X10472" t="s">
        <v>43180</v>
      </c>
    </row>
    <row r="10473" spans="1:24">
      <c r="A10473">
        <f>HYPERLINK("https://www.philgeps.gov.ph/GEPSNONPILOT/Tender/SplashBidNoticeAbstractUI.aspx?menuIndex=3&amp;refID=7065717&amp;Result=3","7065717")</f>
        <v>0</v>
      </c>
      <c r="B10473" t="s">
        <v>1689</v>
      </c>
      <c r="C10473" t="s">
        <v>13402</v>
      </c>
      <c r="D10473" t="s">
        <v>17474</v>
      </c>
      <c r="E10473" t="s">
        <v>26480</v>
      </c>
      <c r="F10473" t="s">
        <v>30052</v>
      </c>
      <c r="G10473" t="s">
        <v>30058</v>
      </c>
      <c r="H10473" t="s">
        <v>15498</v>
      </c>
      <c r="I10473" t="s">
        <v>30084</v>
      </c>
      <c r="J10473" t="s">
        <v>30557</v>
      </c>
      <c r="K10473" t="s">
        <v>39023</v>
      </c>
      <c r="M10473" t="s">
        <v>41098</v>
      </c>
      <c r="N10473" t="s">
        <v>43166</v>
      </c>
      <c r="O10473" t="s">
        <v>43167</v>
      </c>
      <c r="P10473">
        <v>0</v>
      </c>
      <c r="Q10473">
        <v>6</v>
      </c>
      <c r="R10473" t="s">
        <v>43179</v>
      </c>
      <c r="S10473" t="s">
        <v>43583</v>
      </c>
      <c r="T10473" t="s">
        <v>44753</v>
      </c>
      <c r="U10473" t="s">
        <v>53594</v>
      </c>
      <c r="W10473" t="s">
        <v>41098</v>
      </c>
      <c r="X10473" t="s">
        <v>43180</v>
      </c>
    </row>
    <row r="10474" spans="1:24">
      <c r="A10474">
        <f>HYPERLINK("https://www.philgeps.gov.ph/GEPSNONPILOT/Tender/SplashBidNoticeAbstractUI.aspx?menuIndex=3&amp;refID=7065664&amp;Result=3","7065664")</f>
        <v>0</v>
      </c>
      <c r="B10474" t="s">
        <v>1474</v>
      </c>
      <c r="C10474" t="s">
        <v>7233</v>
      </c>
      <c r="D10474" t="s">
        <v>17471</v>
      </c>
      <c r="E10474" t="s">
        <v>26481</v>
      </c>
      <c r="F10474" t="s">
        <v>30052</v>
      </c>
      <c r="G10474" t="s">
        <v>30058</v>
      </c>
      <c r="H10474" t="s">
        <v>15498</v>
      </c>
      <c r="I10474" t="s">
        <v>30138</v>
      </c>
      <c r="J10474" t="s">
        <v>30350</v>
      </c>
      <c r="K10474" t="s">
        <v>39025</v>
      </c>
      <c r="M10474" t="s">
        <v>40856</v>
      </c>
      <c r="N10474" t="s">
        <v>43166</v>
      </c>
      <c r="O10474" t="s">
        <v>43167</v>
      </c>
      <c r="P10474">
        <v>0</v>
      </c>
      <c r="Q10474">
        <v>3</v>
      </c>
      <c r="R10474" t="s">
        <v>43179</v>
      </c>
      <c r="S10474" t="s">
        <v>43583</v>
      </c>
      <c r="T10474" t="s">
        <v>44771</v>
      </c>
      <c r="U10474" t="s">
        <v>53595</v>
      </c>
      <c r="V10474" t="s">
        <v>58017</v>
      </c>
      <c r="W10474" t="s">
        <v>40856</v>
      </c>
      <c r="X10474" t="s">
        <v>43180</v>
      </c>
    </row>
    <row r="10475" spans="1:24">
      <c r="A10475">
        <f>HYPERLINK("https://www.philgeps.gov.ph/GEPSNONPILOT/Tender/SplashBidNoticeAbstractUI.aspx?menuIndex=3&amp;refID=7065662&amp;Result=3","7065662")</f>
        <v>0</v>
      </c>
      <c r="B10475" t="s">
        <v>2960</v>
      </c>
      <c r="C10475" t="s">
        <v>13403</v>
      </c>
      <c r="D10475" t="s">
        <v>17456</v>
      </c>
      <c r="E10475" t="s">
        <v>26482</v>
      </c>
      <c r="F10475" t="s">
        <v>30052</v>
      </c>
      <c r="G10475" t="s">
        <v>30058</v>
      </c>
      <c r="H10475" t="s">
        <v>15498</v>
      </c>
      <c r="I10475" t="s">
        <v>30134</v>
      </c>
      <c r="J10475" t="s">
        <v>30252</v>
      </c>
      <c r="K10475" t="s">
        <v>39059</v>
      </c>
      <c r="M10475" t="s">
        <v>42525</v>
      </c>
      <c r="N10475" t="s">
        <v>43166</v>
      </c>
      <c r="O10475" t="s">
        <v>43167</v>
      </c>
      <c r="Q10475">
        <v>1</v>
      </c>
      <c r="R10475" t="s">
        <v>43179</v>
      </c>
      <c r="S10475" t="s">
        <v>43615</v>
      </c>
      <c r="T10475" t="s">
        <v>44741</v>
      </c>
      <c r="U10475" t="s">
        <v>53596</v>
      </c>
      <c r="V10475" t="s">
        <v>56830</v>
      </c>
      <c r="W10475" t="s">
        <v>42525</v>
      </c>
      <c r="X10475" t="s">
        <v>43180</v>
      </c>
    </row>
    <row r="10476" spans="1:24">
      <c r="A10476">
        <f>HYPERLINK("https://www.philgeps.gov.ph/GEPSNONPILOT/Tender/SplashBidNoticeAbstractUI.aspx?menuIndex=3&amp;refID=7065698&amp;Result=3","7065698")</f>
        <v>0</v>
      </c>
      <c r="B10476" t="s">
        <v>596</v>
      </c>
      <c r="C10476" t="s">
        <v>13404</v>
      </c>
      <c r="D10476" t="s">
        <v>17459</v>
      </c>
      <c r="E10476" t="s">
        <v>26483</v>
      </c>
      <c r="F10476" t="s">
        <v>30052</v>
      </c>
      <c r="G10476" t="s">
        <v>30058</v>
      </c>
      <c r="H10476" t="s">
        <v>30067</v>
      </c>
      <c r="I10476" t="s">
        <v>3693</v>
      </c>
      <c r="J10476" t="s">
        <v>36606</v>
      </c>
      <c r="K10476" t="s">
        <v>39057</v>
      </c>
      <c r="M10476" t="s">
        <v>39898</v>
      </c>
      <c r="N10476" t="s">
        <v>43166</v>
      </c>
      <c r="O10476" t="s">
        <v>43167</v>
      </c>
      <c r="P10476">
        <v>0</v>
      </c>
      <c r="Q10476">
        <v>2</v>
      </c>
      <c r="R10476" t="s">
        <v>43179</v>
      </c>
      <c r="S10476" t="s">
        <v>43583</v>
      </c>
      <c r="T10476" t="s">
        <v>44704</v>
      </c>
      <c r="U10476" t="s">
        <v>53597</v>
      </c>
      <c r="V10476" t="s">
        <v>56984</v>
      </c>
      <c r="W10476" t="s">
        <v>39898</v>
      </c>
      <c r="X10476" t="s">
        <v>43180</v>
      </c>
    </row>
    <row r="10477" spans="1:24">
      <c r="A10477">
        <f>HYPERLINK("https://www.philgeps.gov.ph/GEPSNONPILOT/Tender/SplashBidNoticeAbstractUI.aspx?menuIndex=3&amp;refID=7065688&amp;Result=3","7065688")</f>
        <v>0</v>
      </c>
      <c r="B10477" t="s">
        <v>2963</v>
      </c>
      <c r="C10477" t="s">
        <v>13405</v>
      </c>
      <c r="D10477" t="s">
        <v>17417</v>
      </c>
      <c r="E10477" t="s">
        <v>26484</v>
      </c>
      <c r="F10477" t="s">
        <v>30052</v>
      </c>
      <c r="G10477" t="s">
        <v>30058</v>
      </c>
      <c r="H10477" t="s">
        <v>15498</v>
      </c>
      <c r="I10477" t="s">
        <v>30073</v>
      </c>
      <c r="J10477" t="s">
        <v>36607</v>
      </c>
      <c r="K10477" t="s">
        <v>39029</v>
      </c>
      <c r="M10477" t="s">
        <v>42528</v>
      </c>
      <c r="N10477" t="s">
        <v>43166</v>
      </c>
      <c r="O10477" t="s">
        <v>43167</v>
      </c>
      <c r="P10477">
        <v>0</v>
      </c>
      <c r="Q10477">
        <v>0</v>
      </c>
      <c r="R10477" t="s">
        <v>43179</v>
      </c>
      <c r="S10477" t="s">
        <v>43583</v>
      </c>
      <c r="T10477" t="s">
        <v>44734</v>
      </c>
      <c r="U10477" t="s">
        <v>53598</v>
      </c>
      <c r="V10477" t="s">
        <v>57213</v>
      </c>
      <c r="W10477" t="s">
        <v>42528</v>
      </c>
      <c r="X10477" t="s">
        <v>43180</v>
      </c>
    </row>
    <row r="10478" spans="1:24">
      <c r="A10478">
        <f>HYPERLINK("https://www.philgeps.gov.ph/GEPSNONPILOT/Tender/SplashBidNoticeAbstractUI.aspx?menuIndex=3&amp;refID=7065839&amp;Result=3","7065839")</f>
        <v>0</v>
      </c>
      <c r="B10478" t="s">
        <v>415</v>
      </c>
      <c r="C10478" t="s">
        <v>13406</v>
      </c>
      <c r="D10478" t="s">
        <v>17472</v>
      </c>
      <c r="E10478" t="s">
        <v>26485</v>
      </c>
      <c r="F10478" t="s">
        <v>30052</v>
      </c>
      <c r="G10478" t="s">
        <v>30058</v>
      </c>
      <c r="H10478" t="s">
        <v>15498</v>
      </c>
      <c r="I10478" t="s">
        <v>30076</v>
      </c>
      <c r="J10478" t="s">
        <v>36608</v>
      </c>
      <c r="K10478" t="s">
        <v>39034</v>
      </c>
      <c r="M10478" t="s">
        <v>40024</v>
      </c>
      <c r="N10478" t="s">
        <v>43166</v>
      </c>
      <c r="O10478" t="s">
        <v>43167</v>
      </c>
      <c r="P10478">
        <v>0</v>
      </c>
      <c r="Q10478">
        <v>17</v>
      </c>
      <c r="R10478" t="s">
        <v>43179</v>
      </c>
      <c r="S10478" t="s">
        <v>43583</v>
      </c>
      <c r="T10478" t="s">
        <v>44791</v>
      </c>
      <c r="U10478" t="s">
        <v>53599</v>
      </c>
      <c r="V10478" t="s">
        <v>57013</v>
      </c>
      <c r="W10478" t="s">
        <v>58610</v>
      </c>
      <c r="X10478" t="s">
        <v>43180</v>
      </c>
    </row>
    <row r="10479" spans="1:24">
      <c r="A10479">
        <f>HYPERLINK("https://www.philgeps.gov.ph/GEPSNONPILOT/Tender/SplashBidNoticeAbstractUI.aspx?menuIndex=3&amp;refID=7065575&amp;Result=3","7065575")</f>
        <v>0</v>
      </c>
      <c r="B10479" t="s">
        <v>2955</v>
      </c>
      <c r="C10479" t="s">
        <v>13407</v>
      </c>
      <c r="D10479" t="s">
        <v>17435</v>
      </c>
      <c r="E10479" t="s">
        <v>21832</v>
      </c>
      <c r="F10479" t="s">
        <v>30052</v>
      </c>
      <c r="G10479" t="s">
        <v>30058</v>
      </c>
      <c r="H10479" t="s">
        <v>30067</v>
      </c>
      <c r="I10479" t="s">
        <v>3693</v>
      </c>
      <c r="J10479" t="s">
        <v>31664</v>
      </c>
      <c r="K10479" t="s">
        <v>39023</v>
      </c>
      <c r="M10479" t="s">
        <v>42520</v>
      </c>
      <c r="N10479" t="s">
        <v>43166</v>
      </c>
      <c r="O10479" t="s">
        <v>43167</v>
      </c>
      <c r="P10479">
        <v>0</v>
      </c>
      <c r="Q10479">
        <v>1</v>
      </c>
      <c r="R10479" t="s">
        <v>43179</v>
      </c>
      <c r="S10479" t="s">
        <v>43583</v>
      </c>
      <c r="T10479" t="s">
        <v>44681</v>
      </c>
      <c r="U10479" t="s">
        <v>53579</v>
      </c>
      <c r="W10479" t="s">
        <v>42520</v>
      </c>
      <c r="X10479" t="s">
        <v>43180</v>
      </c>
    </row>
    <row r="10480" spans="1:24">
      <c r="A10480">
        <f>HYPERLINK("https://www.philgeps.gov.ph/GEPSNONPILOT/Tender/SplashBidNoticeAbstractUI.aspx?menuIndex=3&amp;refID=7065836&amp;Result=3","7065836")</f>
        <v>0</v>
      </c>
      <c r="B10480" t="s">
        <v>592</v>
      </c>
      <c r="C10480" t="s">
        <v>13408</v>
      </c>
      <c r="D10480" t="s">
        <v>17461</v>
      </c>
      <c r="E10480" t="s">
        <v>13408</v>
      </c>
      <c r="F10480" t="s">
        <v>30052</v>
      </c>
      <c r="G10480" t="s">
        <v>30058</v>
      </c>
      <c r="H10480" t="s">
        <v>15498</v>
      </c>
      <c r="I10480" t="s">
        <v>3852</v>
      </c>
      <c r="J10480" t="s">
        <v>36609</v>
      </c>
      <c r="K10480" t="s">
        <v>39029</v>
      </c>
      <c r="M10480" t="s">
        <v>41301</v>
      </c>
      <c r="N10480" t="s">
        <v>43166</v>
      </c>
      <c r="O10480" t="s">
        <v>43167</v>
      </c>
      <c r="P10480">
        <v>0</v>
      </c>
      <c r="Q10480">
        <v>1</v>
      </c>
      <c r="R10480" t="s">
        <v>43179</v>
      </c>
      <c r="S10480" t="s">
        <v>43583</v>
      </c>
      <c r="T10480" t="s">
        <v>44761</v>
      </c>
      <c r="U10480" t="s">
        <v>53600</v>
      </c>
      <c r="W10480" t="s">
        <v>41301</v>
      </c>
      <c r="X10480" t="s">
        <v>43180</v>
      </c>
    </row>
    <row r="10481" spans="1:24">
      <c r="A10481">
        <f>HYPERLINK("https://www.philgeps.gov.ph/GEPSNONPILOT/Tender/SplashBidNoticeAbstractUI.aspx?menuIndex=3&amp;refID=7065671&amp;Result=3","7065671")</f>
        <v>0</v>
      </c>
      <c r="B10481" t="s">
        <v>2964</v>
      </c>
      <c r="C10481" t="s">
        <v>13409</v>
      </c>
      <c r="D10481" t="s">
        <v>17459</v>
      </c>
      <c r="E10481" t="s">
        <v>26486</v>
      </c>
      <c r="F10481" t="s">
        <v>30052</v>
      </c>
      <c r="G10481" t="s">
        <v>30058</v>
      </c>
      <c r="H10481" t="s">
        <v>30067</v>
      </c>
      <c r="I10481" t="s">
        <v>3693</v>
      </c>
      <c r="J10481" t="s">
        <v>36610</v>
      </c>
      <c r="K10481" t="s">
        <v>39031</v>
      </c>
      <c r="M10481" t="s">
        <v>42529</v>
      </c>
      <c r="N10481" t="s">
        <v>43166</v>
      </c>
      <c r="O10481" t="s">
        <v>43167</v>
      </c>
      <c r="P10481">
        <v>0</v>
      </c>
      <c r="Q10481">
        <v>1</v>
      </c>
      <c r="R10481" t="s">
        <v>43179</v>
      </c>
      <c r="S10481" t="s">
        <v>43583</v>
      </c>
      <c r="T10481" t="s">
        <v>44699</v>
      </c>
      <c r="U10481" t="s">
        <v>53601</v>
      </c>
      <c r="W10481" t="s">
        <v>42529</v>
      </c>
      <c r="X10481" t="s">
        <v>43180</v>
      </c>
    </row>
    <row r="10482" spans="1:24">
      <c r="A10482">
        <f>HYPERLINK("https://www.philgeps.gov.ph/GEPSNONPILOT/Tender/SplashBidNoticeAbstractUI.aspx?menuIndex=3&amp;refID=7065666&amp;Result=3","7065666")</f>
        <v>0</v>
      </c>
      <c r="B10482" t="s">
        <v>2634</v>
      </c>
      <c r="C10482" t="s">
        <v>13410</v>
      </c>
      <c r="D10482" t="s">
        <v>17435</v>
      </c>
      <c r="E10482" t="s">
        <v>26487</v>
      </c>
      <c r="F10482" t="s">
        <v>30052</v>
      </c>
      <c r="G10482" t="s">
        <v>30058</v>
      </c>
      <c r="H10482" t="s">
        <v>30067</v>
      </c>
      <c r="I10482" t="s">
        <v>3693</v>
      </c>
      <c r="J10482" t="s">
        <v>30397</v>
      </c>
      <c r="K10482" t="s">
        <v>39023</v>
      </c>
      <c r="M10482" t="s">
        <v>42149</v>
      </c>
      <c r="N10482" t="s">
        <v>43166</v>
      </c>
      <c r="O10482" t="s">
        <v>43167</v>
      </c>
      <c r="P10482">
        <v>0</v>
      </c>
      <c r="Q10482">
        <v>0</v>
      </c>
      <c r="R10482" t="s">
        <v>43179</v>
      </c>
      <c r="S10482" t="s">
        <v>43583</v>
      </c>
      <c r="T10482" t="s">
        <v>44750</v>
      </c>
      <c r="U10482" t="s">
        <v>53602</v>
      </c>
      <c r="W10482" t="s">
        <v>42149</v>
      </c>
      <c r="X10482" t="s">
        <v>43180</v>
      </c>
    </row>
    <row r="10483" spans="1:24">
      <c r="A10483">
        <f>HYPERLINK("https://www.philgeps.gov.ph/GEPSNONPILOT/Tender/SplashBidNoticeAbstractUI.aspx?menuIndex=3&amp;refID=7065658&amp;Result=3","7065658")</f>
        <v>0</v>
      </c>
      <c r="B10483" t="s">
        <v>50</v>
      </c>
      <c r="C10483" t="s">
        <v>13411</v>
      </c>
      <c r="D10483" t="s">
        <v>17433</v>
      </c>
      <c r="E10483" t="s">
        <v>26488</v>
      </c>
      <c r="F10483" t="s">
        <v>30052</v>
      </c>
      <c r="G10483" t="s">
        <v>30058</v>
      </c>
      <c r="H10483" t="s">
        <v>15498</v>
      </c>
      <c r="I10483" t="s">
        <v>30124</v>
      </c>
      <c r="J10483" t="s">
        <v>36611</v>
      </c>
      <c r="K10483" t="s">
        <v>39017</v>
      </c>
      <c r="M10483" t="s">
        <v>40640</v>
      </c>
      <c r="N10483" t="s">
        <v>43166</v>
      </c>
      <c r="O10483" t="s">
        <v>43167</v>
      </c>
      <c r="Q10483">
        <v>5</v>
      </c>
      <c r="R10483" t="s">
        <v>43179</v>
      </c>
      <c r="S10483" t="s">
        <v>43616</v>
      </c>
      <c r="T10483" t="s">
        <v>44704</v>
      </c>
      <c r="U10483" t="s">
        <v>53517</v>
      </c>
      <c r="W10483" t="s">
        <v>40640</v>
      </c>
      <c r="X10483" t="s">
        <v>43180</v>
      </c>
    </row>
    <row r="10484" spans="1:24">
      <c r="A10484">
        <f>HYPERLINK("https://www.philgeps.gov.ph/GEPSNONPILOT/Tender/SplashBidNoticeAbstractUI.aspx?menuIndex=3&amp;refID=7065805&amp;Result=3","7065805")</f>
        <v>0</v>
      </c>
      <c r="B10484" t="s">
        <v>592</v>
      </c>
      <c r="C10484" t="s">
        <v>13412</v>
      </c>
      <c r="D10484" t="s">
        <v>17461</v>
      </c>
      <c r="E10484" t="s">
        <v>13412</v>
      </c>
      <c r="F10484" t="s">
        <v>30052</v>
      </c>
      <c r="G10484" t="s">
        <v>30058</v>
      </c>
      <c r="H10484" t="s">
        <v>15498</v>
      </c>
      <c r="I10484" t="s">
        <v>4650</v>
      </c>
      <c r="J10484" t="s">
        <v>30216</v>
      </c>
      <c r="K10484" t="s">
        <v>39029</v>
      </c>
      <c r="M10484" t="s">
        <v>41301</v>
      </c>
      <c r="N10484" t="s">
        <v>43166</v>
      </c>
      <c r="O10484" t="s">
        <v>43167</v>
      </c>
      <c r="P10484">
        <v>0</v>
      </c>
      <c r="Q10484">
        <v>0</v>
      </c>
      <c r="R10484" t="s">
        <v>43179</v>
      </c>
      <c r="S10484" t="s">
        <v>43583</v>
      </c>
      <c r="T10484" t="s">
        <v>44862</v>
      </c>
      <c r="U10484" t="s">
        <v>53603</v>
      </c>
      <c r="W10484" t="s">
        <v>41301</v>
      </c>
      <c r="X10484" t="s">
        <v>43180</v>
      </c>
    </row>
    <row r="10485" spans="1:24">
      <c r="A10485">
        <f>HYPERLINK("https://www.philgeps.gov.ph/GEPSNONPILOT/Tender/SplashBidNoticeAbstractUI.aspx?menuIndex=3&amp;refID=7065799&amp;Result=3","7065799")</f>
        <v>0</v>
      </c>
      <c r="B10485" t="s">
        <v>2634</v>
      </c>
      <c r="C10485" t="s">
        <v>13413</v>
      </c>
      <c r="D10485" t="s">
        <v>17435</v>
      </c>
      <c r="E10485" t="s">
        <v>26489</v>
      </c>
      <c r="F10485" t="s">
        <v>30052</v>
      </c>
      <c r="G10485" t="s">
        <v>30058</v>
      </c>
      <c r="H10485" t="s">
        <v>30067</v>
      </c>
      <c r="I10485" t="s">
        <v>3693</v>
      </c>
      <c r="J10485" t="s">
        <v>30252</v>
      </c>
      <c r="K10485" t="s">
        <v>39029</v>
      </c>
      <c r="M10485" t="s">
        <v>42149</v>
      </c>
      <c r="N10485" t="s">
        <v>43166</v>
      </c>
      <c r="O10485" t="s">
        <v>43167</v>
      </c>
      <c r="P10485">
        <v>0</v>
      </c>
      <c r="Q10485">
        <v>0</v>
      </c>
      <c r="R10485" t="s">
        <v>43179</v>
      </c>
      <c r="S10485" t="s">
        <v>43583</v>
      </c>
      <c r="T10485" t="s">
        <v>44750</v>
      </c>
      <c r="U10485" t="s">
        <v>53604</v>
      </c>
      <c r="W10485" t="s">
        <v>42149</v>
      </c>
      <c r="X10485" t="s">
        <v>43180</v>
      </c>
    </row>
    <row r="10486" spans="1:24">
      <c r="A10486">
        <f>HYPERLINK("https://www.philgeps.gov.ph/GEPSNONPILOT/Tender/SplashBidNoticeAbstractUI.aspx?menuIndex=3&amp;refID=7065710&amp;Result=3","7065710")</f>
        <v>0</v>
      </c>
      <c r="B10486" t="s">
        <v>1474</v>
      </c>
      <c r="C10486" t="s">
        <v>7233</v>
      </c>
      <c r="D10486" t="s">
        <v>17471</v>
      </c>
      <c r="E10486" t="s">
        <v>26490</v>
      </c>
      <c r="F10486" t="s">
        <v>30052</v>
      </c>
      <c r="G10486" t="s">
        <v>30058</v>
      </c>
      <c r="H10486" t="s">
        <v>15498</v>
      </c>
      <c r="I10486" t="s">
        <v>30130</v>
      </c>
      <c r="J10486" t="s">
        <v>36612</v>
      </c>
      <c r="K10486" t="s">
        <v>39025</v>
      </c>
      <c r="M10486" t="s">
        <v>40856</v>
      </c>
      <c r="N10486" t="s">
        <v>43166</v>
      </c>
      <c r="O10486" t="s">
        <v>43167</v>
      </c>
      <c r="P10486">
        <v>0</v>
      </c>
      <c r="Q10486">
        <v>12</v>
      </c>
      <c r="R10486" t="s">
        <v>43179</v>
      </c>
      <c r="S10486" t="s">
        <v>43583</v>
      </c>
      <c r="T10486" t="s">
        <v>44771</v>
      </c>
      <c r="U10486" t="s">
        <v>53595</v>
      </c>
      <c r="V10486" t="s">
        <v>58018</v>
      </c>
      <c r="W10486" t="s">
        <v>40856</v>
      </c>
      <c r="X10486" t="s">
        <v>43180</v>
      </c>
    </row>
    <row r="10487" spans="1:24">
      <c r="A10487">
        <f>HYPERLINK("https://www.philgeps.gov.ph/GEPSNONPILOT/Tender/SplashBidNoticeAbstractUI.aspx?menuIndex=3&amp;refID=7065820&amp;Result=3","7065820")</f>
        <v>0</v>
      </c>
      <c r="B10487" t="s">
        <v>592</v>
      </c>
      <c r="C10487" t="s">
        <v>13414</v>
      </c>
      <c r="D10487" t="s">
        <v>17461</v>
      </c>
      <c r="E10487" t="s">
        <v>13414</v>
      </c>
      <c r="F10487" t="s">
        <v>30052</v>
      </c>
      <c r="G10487" t="s">
        <v>30058</v>
      </c>
      <c r="H10487" t="s">
        <v>15498</v>
      </c>
      <c r="I10487" t="s">
        <v>30084</v>
      </c>
      <c r="J10487" t="s">
        <v>36613</v>
      </c>
      <c r="K10487" t="s">
        <v>39029</v>
      </c>
      <c r="M10487" t="s">
        <v>41301</v>
      </c>
      <c r="N10487" t="s">
        <v>43166</v>
      </c>
      <c r="O10487" t="s">
        <v>43167</v>
      </c>
      <c r="P10487">
        <v>0</v>
      </c>
      <c r="Q10487">
        <v>3</v>
      </c>
      <c r="R10487" t="s">
        <v>43179</v>
      </c>
      <c r="S10487" t="s">
        <v>43583</v>
      </c>
      <c r="T10487" t="s">
        <v>44862</v>
      </c>
      <c r="U10487" t="s">
        <v>53605</v>
      </c>
      <c r="W10487" t="s">
        <v>41301</v>
      </c>
      <c r="X10487" t="s">
        <v>43180</v>
      </c>
    </row>
    <row r="10488" spans="1:24">
      <c r="A10488">
        <f>HYPERLINK("https://www.philgeps.gov.ph/GEPSNONPILOT/Tender/SplashBidNoticeAbstractUI.aspx?menuIndex=3&amp;refID=7065806&amp;Result=3","7065806")</f>
        <v>0</v>
      </c>
      <c r="B10488" t="s">
        <v>1474</v>
      </c>
      <c r="C10488" t="s">
        <v>7233</v>
      </c>
      <c r="D10488" t="s">
        <v>17471</v>
      </c>
      <c r="E10488" t="s">
        <v>26491</v>
      </c>
      <c r="F10488" t="s">
        <v>30052</v>
      </c>
      <c r="G10488" t="s">
        <v>30058</v>
      </c>
      <c r="H10488" t="s">
        <v>15498</v>
      </c>
      <c r="I10488" t="s">
        <v>30130</v>
      </c>
      <c r="J10488" t="s">
        <v>30625</v>
      </c>
      <c r="K10488" t="s">
        <v>39025</v>
      </c>
      <c r="M10488" t="s">
        <v>40856</v>
      </c>
      <c r="N10488" t="s">
        <v>43166</v>
      </c>
      <c r="O10488" t="s">
        <v>43167</v>
      </c>
      <c r="P10488">
        <v>0</v>
      </c>
      <c r="Q10488">
        <v>8</v>
      </c>
      <c r="R10488" t="s">
        <v>43179</v>
      </c>
      <c r="S10488" t="s">
        <v>43583</v>
      </c>
      <c r="T10488" t="s">
        <v>44771</v>
      </c>
      <c r="U10488" t="s">
        <v>53595</v>
      </c>
      <c r="V10488" t="s">
        <v>58018</v>
      </c>
      <c r="W10488" t="s">
        <v>40856</v>
      </c>
      <c r="X10488" t="s">
        <v>43180</v>
      </c>
    </row>
    <row r="10489" spans="1:24">
      <c r="A10489">
        <f>HYPERLINK("https://www.philgeps.gov.ph/GEPSNONPILOT/Tender/SplashBidNoticeAbstractUI.aspx?menuIndex=3&amp;refID=7065788&amp;Result=3","7065788")</f>
        <v>0</v>
      </c>
      <c r="B10489" t="s">
        <v>592</v>
      </c>
      <c r="C10489" t="s">
        <v>13415</v>
      </c>
      <c r="D10489" t="s">
        <v>17461</v>
      </c>
      <c r="E10489" t="s">
        <v>13415</v>
      </c>
      <c r="F10489" t="s">
        <v>30052</v>
      </c>
      <c r="G10489" t="s">
        <v>30058</v>
      </c>
      <c r="H10489" t="s">
        <v>15498</v>
      </c>
      <c r="I10489" t="s">
        <v>30081</v>
      </c>
      <c r="J10489" t="s">
        <v>30218</v>
      </c>
      <c r="K10489" t="s">
        <v>39029</v>
      </c>
      <c r="M10489" t="s">
        <v>41301</v>
      </c>
      <c r="N10489" t="s">
        <v>43166</v>
      </c>
      <c r="O10489" t="s">
        <v>43167</v>
      </c>
      <c r="P10489">
        <v>0</v>
      </c>
      <c r="Q10489">
        <v>0</v>
      </c>
      <c r="R10489" t="s">
        <v>43179</v>
      </c>
      <c r="S10489" t="s">
        <v>43583</v>
      </c>
      <c r="T10489" t="s">
        <v>44862</v>
      </c>
      <c r="U10489" t="s">
        <v>53606</v>
      </c>
      <c r="W10489" t="s">
        <v>41301</v>
      </c>
      <c r="X10489" t="s">
        <v>43180</v>
      </c>
    </row>
    <row r="10490" spans="1:24">
      <c r="A10490">
        <f>HYPERLINK("https://www.philgeps.gov.ph/GEPSNONPILOT/Tender/SplashBidNoticeAbstractUI.aspx?menuIndex=3&amp;refID=7065774&amp;Result=3","7065774")</f>
        <v>0</v>
      </c>
      <c r="B10490" t="s">
        <v>592</v>
      </c>
      <c r="C10490" t="s">
        <v>13416</v>
      </c>
      <c r="D10490" t="s">
        <v>17461</v>
      </c>
      <c r="E10490" t="s">
        <v>13416</v>
      </c>
      <c r="F10490" t="s">
        <v>30052</v>
      </c>
      <c r="G10490" t="s">
        <v>30058</v>
      </c>
      <c r="H10490" t="s">
        <v>15498</v>
      </c>
      <c r="I10490" t="s">
        <v>30073</v>
      </c>
      <c r="J10490" t="s">
        <v>31997</v>
      </c>
      <c r="K10490" t="s">
        <v>39029</v>
      </c>
      <c r="M10490" t="s">
        <v>41301</v>
      </c>
      <c r="N10490" t="s">
        <v>43166</v>
      </c>
      <c r="O10490" t="s">
        <v>43167</v>
      </c>
      <c r="P10490">
        <v>0</v>
      </c>
      <c r="Q10490">
        <v>0</v>
      </c>
      <c r="R10490" t="s">
        <v>43179</v>
      </c>
      <c r="S10490" t="s">
        <v>43583</v>
      </c>
      <c r="T10490" t="s">
        <v>44862</v>
      </c>
      <c r="U10490" t="s">
        <v>53607</v>
      </c>
      <c r="W10490" t="s">
        <v>41301</v>
      </c>
      <c r="X10490" t="s">
        <v>43180</v>
      </c>
    </row>
    <row r="10491" spans="1:24">
      <c r="A10491">
        <f>HYPERLINK("https://www.philgeps.gov.ph/GEPSNONPILOT/Tender/SplashBidNoticeAbstractUI.aspx?menuIndex=3&amp;refID=7065771&amp;Result=3","7065771")</f>
        <v>0</v>
      </c>
      <c r="B10491" t="s">
        <v>2927</v>
      </c>
      <c r="C10491" t="s">
        <v>13417</v>
      </c>
      <c r="D10491" t="s">
        <v>17472</v>
      </c>
      <c r="E10491" t="s">
        <v>26492</v>
      </c>
      <c r="F10491" t="s">
        <v>30052</v>
      </c>
      <c r="G10491" t="s">
        <v>30058</v>
      </c>
      <c r="H10491" t="s">
        <v>15498</v>
      </c>
      <c r="I10491" t="s">
        <v>30088</v>
      </c>
      <c r="J10491" t="s">
        <v>31207</v>
      </c>
      <c r="K10491" t="s">
        <v>39025</v>
      </c>
      <c r="M10491" t="s">
        <v>42490</v>
      </c>
      <c r="N10491" t="s">
        <v>43166</v>
      </c>
      <c r="O10491" t="s">
        <v>43167</v>
      </c>
      <c r="P10491">
        <v>0</v>
      </c>
      <c r="Q10491">
        <v>13</v>
      </c>
      <c r="R10491" t="s">
        <v>43179</v>
      </c>
      <c r="S10491" t="s">
        <v>43583</v>
      </c>
      <c r="T10491" t="s">
        <v>44795</v>
      </c>
      <c r="U10491" t="s">
        <v>53608</v>
      </c>
      <c r="W10491" t="s">
        <v>42490</v>
      </c>
      <c r="X10491" t="s">
        <v>43180</v>
      </c>
    </row>
    <row r="10492" spans="1:24">
      <c r="A10492">
        <f>HYPERLINK("https://www.philgeps.gov.ph/GEPSNONPILOT/Tender/SplashBidNoticeAbstractUI.aspx?menuIndex=3&amp;refID=7065791&amp;Result=3","7065791")</f>
        <v>0</v>
      </c>
      <c r="B10492" t="s">
        <v>2965</v>
      </c>
      <c r="C10492" t="s">
        <v>13418</v>
      </c>
      <c r="D10492" t="s">
        <v>17466</v>
      </c>
      <c r="E10492" t="s">
        <v>26493</v>
      </c>
      <c r="F10492" t="s">
        <v>30052</v>
      </c>
      <c r="G10492" t="s">
        <v>30058</v>
      </c>
      <c r="H10492" t="s">
        <v>15498</v>
      </c>
      <c r="I10492" t="s">
        <v>30158</v>
      </c>
      <c r="J10492" t="s">
        <v>36614</v>
      </c>
      <c r="K10492" t="s">
        <v>39039</v>
      </c>
      <c r="M10492" t="s">
        <v>42530</v>
      </c>
      <c r="N10492" t="s">
        <v>43166</v>
      </c>
      <c r="O10492" t="s">
        <v>43167</v>
      </c>
      <c r="P10492">
        <v>0</v>
      </c>
      <c r="Q10492">
        <v>0</v>
      </c>
      <c r="R10492" t="s">
        <v>43179</v>
      </c>
      <c r="S10492" t="s">
        <v>43583</v>
      </c>
      <c r="T10492" t="s">
        <v>44802</v>
      </c>
      <c r="U10492" t="s">
        <v>53609</v>
      </c>
      <c r="W10492" t="s">
        <v>42530</v>
      </c>
      <c r="X10492" t="s">
        <v>43180</v>
      </c>
    </row>
    <row r="10493" spans="1:24">
      <c r="A10493">
        <f>HYPERLINK("https://www.philgeps.gov.ph/GEPSNONPILOT/Tender/SplashBidNoticeAbstractUI.aspx?menuIndex=3&amp;refID=7065760&amp;Result=3","7065760")</f>
        <v>0</v>
      </c>
      <c r="B10493" t="s">
        <v>415</v>
      </c>
      <c r="C10493" t="s">
        <v>13419</v>
      </c>
      <c r="D10493" t="s">
        <v>17472</v>
      </c>
      <c r="E10493" t="s">
        <v>26494</v>
      </c>
      <c r="F10493" t="s">
        <v>30052</v>
      </c>
      <c r="G10493" t="s">
        <v>30058</v>
      </c>
      <c r="H10493" t="s">
        <v>15498</v>
      </c>
      <c r="I10493" t="s">
        <v>30081</v>
      </c>
      <c r="J10493" t="s">
        <v>35084</v>
      </c>
      <c r="K10493" t="s">
        <v>39034</v>
      </c>
      <c r="M10493" t="s">
        <v>40024</v>
      </c>
      <c r="N10493" t="s">
        <v>43166</v>
      </c>
      <c r="O10493" t="s">
        <v>43167</v>
      </c>
      <c r="P10493">
        <v>0</v>
      </c>
      <c r="Q10493">
        <v>3</v>
      </c>
      <c r="R10493" t="s">
        <v>43179</v>
      </c>
      <c r="S10493" t="s">
        <v>43583</v>
      </c>
      <c r="T10493" t="s">
        <v>44791</v>
      </c>
      <c r="U10493" t="s">
        <v>53599</v>
      </c>
      <c r="V10493" t="s">
        <v>57013</v>
      </c>
      <c r="W10493" t="s">
        <v>58610</v>
      </c>
      <c r="X10493" t="s">
        <v>43180</v>
      </c>
    </row>
    <row r="10494" spans="1:24">
      <c r="A10494">
        <f>HYPERLINK("https://www.philgeps.gov.ph/GEPSNONPILOT/Tender/SplashBidNoticeAbstractUI.aspx?menuIndex=3&amp;refID=7065754&amp;Result=3","7065754")</f>
        <v>0</v>
      </c>
      <c r="B10494" t="s">
        <v>2966</v>
      </c>
      <c r="C10494" t="s">
        <v>13420</v>
      </c>
      <c r="D10494" t="s">
        <v>17435</v>
      </c>
      <c r="E10494" t="s">
        <v>26495</v>
      </c>
      <c r="F10494" t="s">
        <v>30052</v>
      </c>
      <c r="G10494" t="s">
        <v>30058</v>
      </c>
      <c r="H10494" t="s">
        <v>30069</v>
      </c>
      <c r="I10494" t="s">
        <v>30072</v>
      </c>
      <c r="J10494" t="s">
        <v>36615</v>
      </c>
      <c r="K10494" t="s">
        <v>39068</v>
      </c>
      <c r="M10494" t="s">
        <v>42531</v>
      </c>
      <c r="N10494" t="s">
        <v>43166</v>
      </c>
      <c r="O10494" t="s">
        <v>43167</v>
      </c>
      <c r="P10494">
        <v>0</v>
      </c>
      <c r="Q10494">
        <v>1</v>
      </c>
      <c r="R10494" t="s">
        <v>43179</v>
      </c>
      <c r="S10494" t="s">
        <v>43583</v>
      </c>
      <c r="T10494" t="s">
        <v>44768</v>
      </c>
      <c r="U10494" t="s">
        <v>46582</v>
      </c>
      <c r="W10494" t="s">
        <v>42531</v>
      </c>
      <c r="X10494" t="s">
        <v>43180</v>
      </c>
    </row>
    <row r="10495" spans="1:24">
      <c r="A10495">
        <f>HYPERLINK("https://www.philgeps.gov.ph/GEPSNONPILOT/Tender/SplashBidNoticeAbstractUI.aspx?menuIndex=3&amp;refID=7065750&amp;Result=3","7065750")</f>
        <v>0</v>
      </c>
      <c r="B10495" t="s">
        <v>2957</v>
      </c>
      <c r="C10495" t="s">
        <v>13421</v>
      </c>
      <c r="D10495" t="s">
        <v>17413</v>
      </c>
      <c r="E10495" t="s">
        <v>26496</v>
      </c>
      <c r="F10495" t="s">
        <v>30052</v>
      </c>
      <c r="G10495" t="s">
        <v>30058</v>
      </c>
      <c r="H10495" t="s">
        <v>30067</v>
      </c>
      <c r="I10495" t="s">
        <v>3693</v>
      </c>
      <c r="J10495" t="s">
        <v>36616</v>
      </c>
      <c r="K10495" t="s">
        <v>39029</v>
      </c>
      <c r="M10495" t="s">
        <v>42522</v>
      </c>
      <c r="N10495" t="s">
        <v>43166</v>
      </c>
      <c r="O10495" t="s">
        <v>43167</v>
      </c>
      <c r="P10495">
        <v>0</v>
      </c>
      <c r="Q10495">
        <v>0</v>
      </c>
      <c r="R10495" t="s">
        <v>43179</v>
      </c>
      <c r="S10495" t="s">
        <v>43583</v>
      </c>
      <c r="T10495" t="s">
        <v>44724</v>
      </c>
      <c r="U10495" t="s">
        <v>53586</v>
      </c>
      <c r="W10495" t="s">
        <v>42522</v>
      </c>
      <c r="X10495" t="s">
        <v>43180</v>
      </c>
    </row>
    <row r="10496" spans="1:24">
      <c r="A10496">
        <f>HYPERLINK("https://www.philgeps.gov.ph/GEPSNONPILOT/Tender/SplashBidNoticeAbstractUI.aspx?menuIndex=3&amp;refID=7065777&amp;Result=3","7065777")</f>
        <v>0</v>
      </c>
      <c r="B10496" t="s">
        <v>2967</v>
      </c>
      <c r="C10496" t="s">
        <v>5961</v>
      </c>
      <c r="D10496" t="s">
        <v>17475</v>
      </c>
      <c r="E10496" t="s">
        <v>17715</v>
      </c>
      <c r="F10496" t="s">
        <v>30054</v>
      </c>
      <c r="G10496" t="s">
        <v>30058</v>
      </c>
      <c r="H10496" t="s">
        <v>15498</v>
      </c>
      <c r="I10496" t="s">
        <v>5961</v>
      </c>
      <c r="J10496" t="s">
        <v>30230</v>
      </c>
      <c r="K10496" t="s">
        <v>39017</v>
      </c>
      <c r="M10496" t="s">
        <v>42532</v>
      </c>
      <c r="N10496" t="s">
        <v>43166</v>
      </c>
      <c r="O10496" t="s">
        <v>43167</v>
      </c>
      <c r="P10496">
        <v>0</v>
      </c>
      <c r="Q10496">
        <v>1</v>
      </c>
      <c r="R10496" t="s">
        <v>43179</v>
      </c>
      <c r="S10496" t="s">
        <v>43583</v>
      </c>
      <c r="T10496" t="s">
        <v>44720</v>
      </c>
      <c r="U10496" t="s">
        <v>53610</v>
      </c>
      <c r="W10496" t="s">
        <v>42532</v>
      </c>
      <c r="X10496" t="s">
        <v>43180</v>
      </c>
    </row>
    <row r="10497" spans="1:24">
      <c r="A10497">
        <f>HYPERLINK("https://www.philgeps.gov.ph/GEPSNONPILOT/Tender/SplashBidNoticeAbstractUI.aspx?menuIndex=3&amp;refID=7065655&amp;Result=3","7065655")</f>
        <v>0</v>
      </c>
      <c r="B10497" t="s">
        <v>266</v>
      </c>
      <c r="C10497" t="s">
        <v>13422</v>
      </c>
      <c r="D10497" t="s">
        <v>17466</v>
      </c>
      <c r="E10497" t="s">
        <v>26497</v>
      </c>
      <c r="F10497" t="s">
        <v>30052</v>
      </c>
      <c r="G10497" t="s">
        <v>30058</v>
      </c>
      <c r="H10497" t="s">
        <v>30067</v>
      </c>
      <c r="I10497" t="s">
        <v>3693</v>
      </c>
      <c r="J10497" t="s">
        <v>36617</v>
      </c>
      <c r="K10497" t="s">
        <v>39025</v>
      </c>
      <c r="M10497" t="s">
        <v>42533</v>
      </c>
      <c r="N10497" t="s">
        <v>43166</v>
      </c>
      <c r="O10497" t="s">
        <v>43167</v>
      </c>
      <c r="P10497">
        <v>0</v>
      </c>
      <c r="Q10497">
        <v>7</v>
      </c>
      <c r="R10497" t="s">
        <v>43179</v>
      </c>
      <c r="S10497" t="s">
        <v>43583</v>
      </c>
      <c r="T10497" t="s">
        <v>44815</v>
      </c>
      <c r="U10497" t="s">
        <v>53611</v>
      </c>
      <c r="W10497" t="s">
        <v>42533</v>
      </c>
      <c r="X10497" t="s">
        <v>43180</v>
      </c>
    </row>
    <row r="10498" spans="1:24">
      <c r="A10498">
        <f>HYPERLINK("https://www.philgeps.gov.ph/GEPSNONPILOT/Tender/SplashBidNoticeAbstractUI.aspx?menuIndex=3&amp;refID=7065762&amp;Result=3","7065762")</f>
        <v>0</v>
      </c>
      <c r="B10498" t="s">
        <v>548</v>
      </c>
      <c r="C10498" t="s">
        <v>13423</v>
      </c>
      <c r="D10498" t="s">
        <v>17425</v>
      </c>
      <c r="E10498" t="s">
        <v>26498</v>
      </c>
      <c r="F10498" t="s">
        <v>30052</v>
      </c>
      <c r="G10498" t="s">
        <v>30058</v>
      </c>
      <c r="H10498" t="s">
        <v>15498</v>
      </c>
      <c r="I10498" t="s">
        <v>30074</v>
      </c>
      <c r="J10498" t="s">
        <v>30281</v>
      </c>
      <c r="K10498" t="s">
        <v>39023</v>
      </c>
      <c r="L10498" t="s">
        <v>548</v>
      </c>
      <c r="M10498" t="s">
        <v>39850</v>
      </c>
      <c r="N10498" t="s">
        <v>43166</v>
      </c>
      <c r="O10498" t="s">
        <v>43167</v>
      </c>
      <c r="P10498">
        <v>0</v>
      </c>
      <c r="Q10498">
        <v>3</v>
      </c>
      <c r="R10498" t="s">
        <v>43179</v>
      </c>
      <c r="S10498" t="s">
        <v>43583</v>
      </c>
      <c r="T10498" t="s">
        <v>44687</v>
      </c>
      <c r="U10498" t="s">
        <v>53612</v>
      </c>
      <c r="V10498" t="s">
        <v>56971</v>
      </c>
      <c r="W10498" t="s">
        <v>39850</v>
      </c>
      <c r="X10498" t="s">
        <v>43180</v>
      </c>
    </row>
    <row r="10499" spans="1:24">
      <c r="A10499">
        <f>HYPERLINK("https://www.philgeps.gov.ph/GEPSNONPILOT/Tender/SplashBidNoticeAbstractUI.aspx?menuIndex=3&amp;refID=7065818&amp;Result=3","7065818")</f>
        <v>0</v>
      </c>
      <c r="B10499" t="s">
        <v>415</v>
      </c>
      <c r="C10499" t="s">
        <v>13424</v>
      </c>
      <c r="D10499" t="s">
        <v>17472</v>
      </c>
      <c r="E10499" t="s">
        <v>26485</v>
      </c>
      <c r="F10499" t="s">
        <v>30052</v>
      </c>
      <c r="G10499" t="s">
        <v>30058</v>
      </c>
      <c r="H10499" t="s">
        <v>15498</v>
      </c>
      <c r="I10499" t="s">
        <v>30092</v>
      </c>
      <c r="J10499" t="s">
        <v>30504</v>
      </c>
      <c r="K10499" t="s">
        <v>39034</v>
      </c>
      <c r="M10499" t="s">
        <v>40024</v>
      </c>
      <c r="N10499" t="s">
        <v>43166</v>
      </c>
      <c r="O10499" t="s">
        <v>43167</v>
      </c>
      <c r="P10499">
        <v>0</v>
      </c>
      <c r="Q10499">
        <v>1</v>
      </c>
      <c r="R10499" t="s">
        <v>43179</v>
      </c>
      <c r="S10499" t="s">
        <v>43583</v>
      </c>
      <c r="T10499" t="s">
        <v>44791</v>
      </c>
      <c r="U10499" t="s">
        <v>53599</v>
      </c>
      <c r="V10499" t="s">
        <v>57013</v>
      </c>
      <c r="W10499" t="s">
        <v>58610</v>
      </c>
      <c r="X10499" t="s">
        <v>43180</v>
      </c>
    </row>
    <row r="10500" spans="1:24">
      <c r="A10500">
        <f>HYPERLINK("https://www.philgeps.gov.ph/GEPSNONPILOT/Tender/SplashBidNoticeAbstractUI.aspx?menuIndex=3&amp;refID=7065901&amp;Result=3","7065901")</f>
        <v>0</v>
      </c>
      <c r="B10500" t="s">
        <v>2964</v>
      </c>
      <c r="C10500" t="s">
        <v>13425</v>
      </c>
      <c r="D10500" t="s">
        <v>17459</v>
      </c>
      <c r="E10500" t="s">
        <v>26499</v>
      </c>
      <c r="F10500" t="s">
        <v>30052</v>
      </c>
      <c r="G10500" t="s">
        <v>30058</v>
      </c>
      <c r="H10500" t="s">
        <v>30067</v>
      </c>
      <c r="I10500" t="s">
        <v>30169</v>
      </c>
      <c r="J10500" t="s">
        <v>36618</v>
      </c>
      <c r="K10500" t="s">
        <v>39019</v>
      </c>
      <c r="M10500" t="s">
        <v>42529</v>
      </c>
      <c r="N10500" t="s">
        <v>43166</v>
      </c>
      <c r="O10500" t="s">
        <v>43167</v>
      </c>
      <c r="P10500">
        <v>0</v>
      </c>
      <c r="Q10500">
        <v>0</v>
      </c>
      <c r="R10500" t="s">
        <v>43179</v>
      </c>
      <c r="S10500" t="s">
        <v>43583</v>
      </c>
      <c r="T10500" t="s">
        <v>44699</v>
      </c>
      <c r="U10500" t="s">
        <v>53613</v>
      </c>
      <c r="W10500" t="s">
        <v>42529</v>
      </c>
      <c r="X10500" t="s">
        <v>43180</v>
      </c>
    </row>
    <row r="10501" spans="1:24">
      <c r="A10501">
        <f>HYPERLINK("https://www.philgeps.gov.ph/GEPSNONPILOT/Tender/SplashBidNoticeAbstractUI.aspx?menuIndex=3&amp;refID=7065793&amp;Result=3","7065793")</f>
        <v>0</v>
      </c>
      <c r="B10501" t="s">
        <v>592</v>
      </c>
      <c r="C10501" t="s">
        <v>13426</v>
      </c>
      <c r="D10501" t="s">
        <v>17461</v>
      </c>
      <c r="E10501" t="s">
        <v>13426</v>
      </c>
      <c r="F10501" t="s">
        <v>30052</v>
      </c>
      <c r="G10501" t="s">
        <v>30058</v>
      </c>
      <c r="H10501" t="s">
        <v>15498</v>
      </c>
      <c r="I10501" t="s">
        <v>7228</v>
      </c>
      <c r="J10501" t="s">
        <v>36619</v>
      </c>
      <c r="K10501" t="s">
        <v>39025</v>
      </c>
      <c r="M10501" t="s">
        <v>41301</v>
      </c>
      <c r="N10501" t="s">
        <v>43166</v>
      </c>
      <c r="O10501" t="s">
        <v>43167</v>
      </c>
      <c r="P10501">
        <v>0</v>
      </c>
      <c r="Q10501">
        <v>0</v>
      </c>
      <c r="R10501" t="s">
        <v>43179</v>
      </c>
      <c r="S10501" t="s">
        <v>43583</v>
      </c>
      <c r="T10501" t="s">
        <v>44862</v>
      </c>
      <c r="U10501" t="s">
        <v>53614</v>
      </c>
      <c r="W10501" t="s">
        <v>41301</v>
      </c>
      <c r="X10501" t="s">
        <v>43180</v>
      </c>
    </row>
    <row r="10502" spans="1:24">
      <c r="A10502">
        <f>HYPERLINK("https://www.philgeps.gov.ph/GEPSNONPILOT/Tender/SplashBidNoticeAbstractUI.aspx?menuIndex=3&amp;refID=7065631&amp;Result=3","7065631")</f>
        <v>0</v>
      </c>
      <c r="B10502" t="s">
        <v>1740</v>
      </c>
      <c r="C10502" t="s">
        <v>13427</v>
      </c>
      <c r="D10502" t="s">
        <v>17456</v>
      </c>
      <c r="E10502" t="s">
        <v>25098</v>
      </c>
      <c r="F10502" t="s">
        <v>30052</v>
      </c>
      <c r="G10502" t="s">
        <v>30058</v>
      </c>
      <c r="H10502" t="s">
        <v>15498</v>
      </c>
      <c r="I10502" t="s">
        <v>30073</v>
      </c>
      <c r="J10502" t="s">
        <v>36620</v>
      </c>
      <c r="K10502" t="s">
        <v>39019</v>
      </c>
      <c r="M10502" t="s">
        <v>41157</v>
      </c>
      <c r="N10502" t="s">
        <v>43166</v>
      </c>
      <c r="O10502" t="s">
        <v>43167</v>
      </c>
      <c r="P10502">
        <v>0</v>
      </c>
      <c r="Q10502">
        <v>1</v>
      </c>
      <c r="R10502" t="s">
        <v>43179</v>
      </c>
      <c r="S10502" t="s">
        <v>43583</v>
      </c>
      <c r="T10502" t="s">
        <v>45010</v>
      </c>
      <c r="U10502" t="s">
        <v>53615</v>
      </c>
      <c r="W10502" t="s">
        <v>41157</v>
      </c>
      <c r="X10502" t="s">
        <v>43180</v>
      </c>
    </row>
    <row r="10503" spans="1:24">
      <c r="A10503">
        <f>HYPERLINK("https://www.philgeps.gov.ph/GEPSNONPILOT/Tender/SplashBidNoticeAbstractUI.aspx?menuIndex=3&amp;refID=7065943&amp;Result=3","7065943")</f>
        <v>0</v>
      </c>
      <c r="B10503" t="s">
        <v>1181</v>
      </c>
      <c r="C10503" t="s">
        <v>13428</v>
      </c>
      <c r="D10503" t="s">
        <v>17444</v>
      </c>
      <c r="E10503" t="s">
        <v>26500</v>
      </c>
      <c r="F10503" t="s">
        <v>30052</v>
      </c>
      <c r="G10503" t="s">
        <v>30061</v>
      </c>
      <c r="H10503" t="s">
        <v>15498</v>
      </c>
      <c r="I10503" t="s">
        <v>30145</v>
      </c>
      <c r="J10503" t="s">
        <v>36621</v>
      </c>
      <c r="K10503" t="s">
        <v>39025</v>
      </c>
      <c r="M10503" t="s">
        <v>40531</v>
      </c>
      <c r="N10503" t="s">
        <v>43166</v>
      </c>
      <c r="O10503" t="s">
        <v>43167</v>
      </c>
      <c r="Q10503">
        <v>4</v>
      </c>
      <c r="R10503" t="s">
        <v>43179</v>
      </c>
      <c r="S10503" t="s">
        <v>43617</v>
      </c>
      <c r="T10503" t="s">
        <v>44870</v>
      </c>
      <c r="U10503" t="s">
        <v>53616</v>
      </c>
      <c r="W10503" t="s">
        <v>40531</v>
      </c>
      <c r="X10503" t="s">
        <v>43180</v>
      </c>
    </row>
    <row r="10504" spans="1:24">
      <c r="A10504">
        <f>HYPERLINK("https://www.philgeps.gov.ph/GEPSNONPILOT/Tender/SplashBidNoticeAbstractUI.aspx?menuIndex=3&amp;refID=7065753&amp;Result=3","7065753")</f>
        <v>0</v>
      </c>
      <c r="B10504" t="s">
        <v>2634</v>
      </c>
      <c r="C10504" t="s">
        <v>13429</v>
      </c>
      <c r="D10504" t="s">
        <v>17435</v>
      </c>
      <c r="E10504" t="s">
        <v>26501</v>
      </c>
      <c r="F10504" t="s">
        <v>30052</v>
      </c>
      <c r="G10504" t="s">
        <v>30058</v>
      </c>
      <c r="H10504" t="s">
        <v>30067</v>
      </c>
      <c r="I10504" t="s">
        <v>3693</v>
      </c>
      <c r="J10504" t="s">
        <v>30252</v>
      </c>
      <c r="K10504" t="s">
        <v>39029</v>
      </c>
      <c r="M10504" t="s">
        <v>42149</v>
      </c>
      <c r="N10504" t="s">
        <v>43166</v>
      </c>
      <c r="O10504" t="s">
        <v>43167</v>
      </c>
      <c r="P10504">
        <v>0</v>
      </c>
      <c r="Q10504">
        <v>0</v>
      </c>
      <c r="R10504" t="s">
        <v>43179</v>
      </c>
      <c r="S10504" t="s">
        <v>43583</v>
      </c>
      <c r="T10504" t="s">
        <v>44750</v>
      </c>
      <c r="U10504" t="s">
        <v>53617</v>
      </c>
      <c r="W10504" t="s">
        <v>42149</v>
      </c>
      <c r="X10504" t="s">
        <v>43180</v>
      </c>
    </row>
    <row r="10505" spans="1:24">
      <c r="A10505">
        <f>HYPERLINK("https://www.philgeps.gov.ph/GEPSNONPILOT/Tender/SplashBidNoticeAbstractUI.aspx?menuIndex=3&amp;refID=7065940&amp;Result=3","7065940")</f>
        <v>0</v>
      </c>
      <c r="B10505" t="s">
        <v>415</v>
      </c>
      <c r="C10505" t="s">
        <v>13430</v>
      </c>
      <c r="D10505" t="s">
        <v>17472</v>
      </c>
      <c r="E10505" t="s">
        <v>26502</v>
      </c>
      <c r="F10505" t="s">
        <v>30052</v>
      </c>
      <c r="G10505" t="s">
        <v>30058</v>
      </c>
      <c r="H10505" t="s">
        <v>15498</v>
      </c>
      <c r="I10505" t="s">
        <v>30081</v>
      </c>
      <c r="J10505" t="s">
        <v>36622</v>
      </c>
      <c r="K10505" t="s">
        <v>39034</v>
      </c>
      <c r="M10505" t="s">
        <v>40024</v>
      </c>
      <c r="N10505" t="s">
        <v>43166</v>
      </c>
      <c r="O10505" t="s">
        <v>43167</v>
      </c>
      <c r="P10505">
        <v>0</v>
      </c>
      <c r="Q10505">
        <v>1</v>
      </c>
      <c r="R10505" t="s">
        <v>43179</v>
      </c>
      <c r="S10505" t="s">
        <v>43583</v>
      </c>
      <c r="T10505" t="s">
        <v>44791</v>
      </c>
      <c r="U10505" t="s">
        <v>53599</v>
      </c>
      <c r="V10505" t="s">
        <v>57013</v>
      </c>
      <c r="W10505" t="s">
        <v>58610</v>
      </c>
      <c r="X10505" t="s">
        <v>43180</v>
      </c>
    </row>
    <row r="10506" spans="1:24">
      <c r="A10506">
        <f>HYPERLINK("https://www.philgeps.gov.ph/GEPSNONPILOT/Tender/SplashBidNoticeAbstractUI.aspx?menuIndex=3&amp;refID=7065784&amp;Result=3","7065784")</f>
        <v>0</v>
      </c>
      <c r="B10506" t="s">
        <v>1474</v>
      </c>
      <c r="C10506" t="s">
        <v>7233</v>
      </c>
      <c r="D10506" t="s">
        <v>17471</v>
      </c>
      <c r="E10506" t="s">
        <v>26503</v>
      </c>
      <c r="F10506" t="s">
        <v>30052</v>
      </c>
      <c r="G10506" t="s">
        <v>30058</v>
      </c>
      <c r="H10506" t="s">
        <v>15498</v>
      </c>
      <c r="I10506" t="s">
        <v>30130</v>
      </c>
      <c r="J10506" t="s">
        <v>35525</v>
      </c>
      <c r="K10506" t="s">
        <v>39025</v>
      </c>
      <c r="M10506" t="s">
        <v>40856</v>
      </c>
      <c r="N10506" t="s">
        <v>43166</v>
      </c>
      <c r="O10506" t="s">
        <v>43167</v>
      </c>
      <c r="P10506">
        <v>0</v>
      </c>
      <c r="Q10506">
        <v>9</v>
      </c>
      <c r="R10506" t="s">
        <v>43179</v>
      </c>
      <c r="S10506" t="s">
        <v>43583</v>
      </c>
      <c r="T10506" t="s">
        <v>44771</v>
      </c>
      <c r="U10506" t="s">
        <v>53595</v>
      </c>
      <c r="V10506" t="s">
        <v>58018</v>
      </c>
      <c r="W10506" t="s">
        <v>40856</v>
      </c>
      <c r="X10506" t="s">
        <v>43180</v>
      </c>
    </row>
    <row r="10507" spans="1:24">
      <c r="A10507">
        <f>HYPERLINK("https://www.philgeps.gov.ph/GEPSNONPILOT/Tender/SplashBidNoticeAbstractUI.aspx?menuIndex=3&amp;refID=7065919&amp;Result=3","7065919")</f>
        <v>0</v>
      </c>
      <c r="B10507" t="s">
        <v>415</v>
      </c>
      <c r="C10507" t="s">
        <v>13431</v>
      </c>
      <c r="D10507" t="s">
        <v>17472</v>
      </c>
      <c r="E10507" t="s">
        <v>26504</v>
      </c>
      <c r="F10507" t="s">
        <v>30052</v>
      </c>
      <c r="G10507" t="s">
        <v>30058</v>
      </c>
      <c r="H10507" t="s">
        <v>15498</v>
      </c>
      <c r="I10507" t="s">
        <v>30081</v>
      </c>
      <c r="J10507" t="s">
        <v>31273</v>
      </c>
      <c r="K10507" t="s">
        <v>39034</v>
      </c>
      <c r="M10507" t="s">
        <v>40024</v>
      </c>
      <c r="N10507" t="s">
        <v>43166</v>
      </c>
      <c r="O10507" t="s">
        <v>43167</v>
      </c>
      <c r="P10507">
        <v>0</v>
      </c>
      <c r="Q10507">
        <v>3</v>
      </c>
      <c r="R10507" t="s">
        <v>43179</v>
      </c>
      <c r="S10507" t="s">
        <v>43583</v>
      </c>
      <c r="T10507" t="s">
        <v>44791</v>
      </c>
      <c r="U10507" t="s">
        <v>53599</v>
      </c>
      <c r="V10507" t="s">
        <v>57013</v>
      </c>
      <c r="W10507" t="s">
        <v>58610</v>
      </c>
      <c r="X10507" t="s">
        <v>43180</v>
      </c>
    </row>
    <row r="10508" spans="1:24">
      <c r="A10508">
        <f>HYPERLINK("https://www.philgeps.gov.ph/GEPSNONPILOT/Tender/SplashBidNoticeAbstractUI.aspx?menuIndex=3&amp;refID=7065905&amp;Result=3","7065905")</f>
        <v>0</v>
      </c>
      <c r="B10508" t="s">
        <v>1022</v>
      </c>
      <c r="C10508" t="s">
        <v>13432</v>
      </c>
      <c r="D10508" t="s">
        <v>17425</v>
      </c>
      <c r="E10508" t="s">
        <v>26505</v>
      </c>
      <c r="F10508" t="s">
        <v>30052</v>
      </c>
      <c r="G10508" t="s">
        <v>30058</v>
      </c>
      <c r="H10508" t="s">
        <v>15498</v>
      </c>
      <c r="I10508" t="s">
        <v>30075</v>
      </c>
      <c r="J10508" t="s">
        <v>32664</v>
      </c>
      <c r="K10508" t="s">
        <v>39064</v>
      </c>
      <c r="M10508" t="s">
        <v>40351</v>
      </c>
      <c r="N10508" t="s">
        <v>43166</v>
      </c>
      <c r="O10508" t="s">
        <v>43167</v>
      </c>
      <c r="P10508">
        <v>0</v>
      </c>
      <c r="Q10508">
        <v>3</v>
      </c>
      <c r="R10508" t="s">
        <v>43179</v>
      </c>
      <c r="S10508" t="s">
        <v>43583</v>
      </c>
      <c r="T10508" t="s">
        <v>44870</v>
      </c>
      <c r="U10508" t="s">
        <v>53618</v>
      </c>
      <c r="W10508" t="s">
        <v>40351</v>
      </c>
      <c r="X10508" t="s">
        <v>43180</v>
      </c>
    </row>
    <row r="10509" spans="1:24">
      <c r="A10509">
        <f>HYPERLINK("https://www.philgeps.gov.ph/GEPSNONPILOT/Tender/SplashBidNoticeAbstractUI.aspx?menuIndex=3&amp;refID=7065944&amp;Result=3","7065944")</f>
        <v>0</v>
      </c>
      <c r="B10509" t="s">
        <v>377</v>
      </c>
      <c r="C10509" t="s">
        <v>13433</v>
      </c>
      <c r="D10509" t="s">
        <v>17447</v>
      </c>
      <c r="E10509" t="s">
        <v>26506</v>
      </c>
      <c r="F10509" t="s">
        <v>30052</v>
      </c>
      <c r="G10509" t="s">
        <v>30058</v>
      </c>
      <c r="H10509" t="s">
        <v>15498</v>
      </c>
      <c r="I10509" t="s">
        <v>3606</v>
      </c>
      <c r="J10509" t="s">
        <v>36623</v>
      </c>
      <c r="K10509" t="s">
        <v>39031</v>
      </c>
      <c r="M10509" t="s">
        <v>42534</v>
      </c>
      <c r="N10509" t="s">
        <v>43166</v>
      </c>
      <c r="O10509" t="s">
        <v>43167</v>
      </c>
      <c r="P10509">
        <v>0</v>
      </c>
      <c r="Q10509">
        <v>7</v>
      </c>
      <c r="R10509" t="s">
        <v>43179</v>
      </c>
      <c r="S10509" t="s">
        <v>43583</v>
      </c>
      <c r="T10509" t="s">
        <v>44780</v>
      </c>
      <c r="U10509" t="s">
        <v>53619</v>
      </c>
      <c r="W10509" t="s">
        <v>42534</v>
      </c>
      <c r="X10509" t="s">
        <v>43180</v>
      </c>
    </row>
    <row r="10510" spans="1:24">
      <c r="A10510">
        <f>HYPERLINK("https://www.philgeps.gov.ph/GEPSNONPILOT/Tender/SplashBidNoticeAbstractUI.aspx?menuIndex=3&amp;refID=7065895&amp;Result=3","7065895")</f>
        <v>0</v>
      </c>
      <c r="B10510" t="s">
        <v>938</v>
      </c>
      <c r="C10510" t="s">
        <v>13434</v>
      </c>
      <c r="D10510" t="s">
        <v>17466</v>
      </c>
      <c r="E10510" t="s">
        <v>26507</v>
      </c>
      <c r="F10510" t="s">
        <v>30052</v>
      </c>
      <c r="G10510" t="s">
        <v>30058</v>
      </c>
      <c r="H10510" t="s">
        <v>15498</v>
      </c>
      <c r="I10510" t="s">
        <v>30074</v>
      </c>
      <c r="J10510" t="s">
        <v>31684</v>
      </c>
      <c r="K10510" t="s">
        <v>39025</v>
      </c>
      <c r="M10510" t="s">
        <v>40262</v>
      </c>
      <c r="N10510" t="s">
        <v>43166</v>
      </c>
      <c r="O10510" t="s">
        <v>43167</v>
      </c>
      <c r="Q10510">
        <v>4</v>
      </c>
      <c r="R10510" t="s">
        <v>43179</v>
      </c>
      <c r="S10510" t="s">
        <v>43618</v>
      </c>
      <c r="T10510" t="s">
        <v>44699</v>
      </c>
      <c r="U10510" t="s">
        <v>53620</v>
      </c>
      <c r="W10510" t="s">
        <v>40262</v>
      </c>
      <c r="X10510" t="s">
        <v>43180</v>
      </c>
    </row>
    <row r="10511" spans="1:24">
      <c r="A10511">
        <f>HYPERLINK("https://www.philgeps.gov.ph/GEPSNONPILOT/Tender/SplashBidNoticeAbstractUI.aspx?menuIndex=3&amp;refID=7065916&amp;Result=3","7065916")</f>
        <v>0</v>
      </c>
      <c r="B10511" t="s">
        <v>592</v>
      </c>
      <c r="C10511" t="s">
        <v>13435</v>
      </c>
      <c r="D10511" t="s">
        <v>17461</v>
      </c>
      <c r="E10511" t="s">
        <v>13435</v>
      </c>
      <c r="F10511" t="s">
        <v>30052</v>
      </c>
      <c r="G10511" t="s">
        <v>30058</v>
      </c>
      <c r="H10511" t="s">
        <v>15498</v>
      </c>
      <c r="I10511" t="s">
        <v>3606</v>
      </c>
      <c r="J10511" t="s">
        <v>30287</v>
      </c>
      <c r="K10511" t="s">
        <v>39025</v>
      </c>
      <c r="M10511" t="s">
        <v>41301</v>
      </c>
      <c r="N10511" t="s">
        <v>43166</v>
      </c>
      <c r="O10511" t="s">
        <v>43167</v>
      </c>
      <c r="P10511">
        <v>0</v>
      </c>
      <c r="Q10511">
        <v>0</v>
      </c>
      <c r="R10511" t="s">
        <v>43179</v>
      </c>
      <c r="S10511" t="s">
        <v>43583</v>
      </c>
      <c r="T10511" t="s">
        <v>44862</v>
      </c>
      <c r="U10511" t="s">
        <v>53621</v>
      </c>
      <c r="W10511" t="s">
        <v>41301</v>
      </c>
      <c r="X10511" t="s">
        <v>43180</v>
      </c>
    </row>
    <row r="10512" spans="1:24">
      <c r="A10512">
        <f>HYPERLINK("https://www.philgeps.gov.ph/GEPSNONPILOT/Tender/SplashBidNoticeAbstractUI.aspx?menuIndex=3&amp;refID=7065934&amp;Result=3","7065934")</f>
        <v>0</v>
      </c>
      <c r="B10512" t="s">
        <v>592</v>
      </c>
      <c r="C10512" t="s">
        <v>13436</v>
      </c>
      <c r="D10512" t="s">
        <v>17461</v>
      </c>
      <c r="E10512" t="s">
        <v>26508</v>
      </c>
      <c r="F10512" t="s">
        <v>30052</v>
      </c>
      <c r="G10512" t="s">
        <v>30058</v>
      </c>
      <c r="H10512" t="s">
        <v>15498</v>
      </c>
      <c r="I10512" t="s">
        <v>3606</v>
      </c>
      <c r="J10512" t="s">
        <v>36624</v>
      </c>
      <c r="K10512" t="s">
        <v>39029</v>
      </c>
      <c r="M10512" t="s">
        <v>41301</v>
      </c>
      <c r="N10512" t="s">
        <v>43166</v>
      </c>
      <c r="O10512" t="s">
        <v>43167</v>
      </c>
      <c r="Q10512">
        <v>7</v>
      </c>
      <c r="R10512" t="s">
        <v>43179</v>
      </c>
      <c r="S10512" t="s">
        <v>43619</v>
      </c>
      <c r="T10512" t="s">
        <v>44761</v>
      </c>
      <c r="U10512" t="s">
        <v>53622</v>
      </c>
      <c r="W10512" t="s">
        <v>41301</v>
      </c>
      <c r="X10512" t="s">
        <v>43180</v>
      </c>
    </row>
    <row r="10513" spans="1:24">
      <c r="A10513">
        <f>HYPERLINK("https://www.philgeps.gov.ph/GEPSNONPILOT/Tender/SplashBidNoticeAbstractUI.aspx?menuIndex=3&amp;refID=7065887&amp;Result=3","7065887")</f>
        <v>0</v>
      </c>
      <c r="B10513" t="s">
        <v>2965</v>
      </c>
      <c r="C10513" t="s">
        <v>13437</v>
      </c>
      <c r="D10513" t="s">
        <v>17466</v>
      </c>
      <c r="E10513" t="s">
        <v>26509</v>
      </c>
      <c r="F10513" t="s">
        <v>30052</v>
      </c>
      <c r="G10513" t="s">
        <v>30058</v>
      </c>
      <c r="H10513" t="s">
        <v>15498</v>
      </c>
      <c r="I10513" t="s">
        <v>4119</v>
      </c>
      <c r="J10513" t="s">
        <v>30688</v>
      </c>
      <c r="K10513" t="s">
        <v>39039</v>
      </c>
      <c r="M10513" t="s">
        <v>42530</v>
      </c>
      <c r="N10513" t="s">
        <v>43166</v>
      </c>
      <c r="O10513" t="s">
        <v>43167</v>
      </c>
      <c r="P10513">
        <v>0</v>
      </c>
      <c r="Q10513">
        <v>1</v>
      </c>
      <c r="R10513" t="s">
        <v>43179</v>
      </c>
      <c r="S10513" t="s">
        <v>43583</v>
      </c>
      <c r="T10513" t="s">
        <v>44802</v>
      </c>
      <c r="U10513" t="s">
        <v>53623</v>
      </c>
      <c r="W10513" t="s">
        <v>42530</v>
      </c>
      <c r="X10513" t="s">
        <v>43180</v>
      </c>
    </row>
    <row r="10514" spans="1:24">
      <c r="A10514">
        <f>HYPERLINK("https://www.philgeps.gov.ph/GEPSNONPILOT/Tender/SplashBidNoticeAbstractUI.aspx?menuIndex=3&amp;refID=7065927&amp;Result=3","7065927")</f>
        <v>0</v>
      </c>
      <c r="B10514" t="s">
        <v>2965</v>
      </c>
      <c r="C10514" t="s">
        <v>13438</v>
      </c>
      <c r="D10514" t="s">
        <v>17466</v>
      </c>
      <c r="E10514" t="s">
        <v>26510</v>
      </c>
      <c r="F10514" t="s">
        <v>30052</v>
      </c>
      <c r="G10514" t="s">
        <v>30058</v>
      </c>
      <c r="H10514" t="s">
        <v>15498</v>
      </c>
      <c r="I10514" t="s">
        <v>30070</v>
      </c>
      <c r="J10514" t="s">
        <v>36625</v>
      </c>
      <c r="K10514" t="s">
        <v>39039</v>
      </c>
      <c r="M10514" t="s">
        <v>42530</v>
      </c>
      <c r="N10514" t="s">
        <v>43166</v>
      </c>
      <c r="O10514" t="s">
        <v>43167</v>
      </c>
      <c r="P10514">
        <v>0</v>
      </c>
      <c r="Q10514">
        <v>1</v>
      </c>
      <c r="R10514" t="s">
        <v>43179</v>
      </c>
      <c r="S10514" t="s">
        <v>43583</v>
      </c>
      <c r="T10514" t="s">
        <v>44802</v>
      </c>
      <c r="U10514" t="s">
        <v>53624</v>
      </c>
      <c r="W10514" t="s">
        <v>42530</v>
      </c>
      <c r="X10514" t="s">
        <v>43180</v>
      </c>
    </row>
    <row r="10515" spans="1:24">
      <c r="A10515">
        <f>HYPERLINK("https://www.philgeps.gov.ph/GEPSNONPILOT/Tender/SplashBidNoticeAbstractUI.aspx?menuIndex=3&amp;refID=7065874&amp;Result=3","7065874")</f>
        <v>0</v>
      </c>
      <c r="B10515" t="s">
        <v>2968</v>
      </c>
      <c r="C10515" t="s">
        <v>13439</v>
      </c>
      <c r="E10515" t="s">
        <v>18579</v>
      </c>
      <c r="F10515" t="s">
        <v>30052</v>
      </c>
      <c r="G10515" t="s">
        <v>30058</v>
      </c>
      <c r="H10515" t="s">
        <v>15498</v>
      </c>
      <c r="I10515" t="s">
        <v>30140</v>
      </c>
      <c r="J10515" t="s">
        <v>30230</v>
      </c>
      <c r="K10515" t="s">
        <v>39017</v>
      </c>
      <c r="M10515" t="s">
        <v>42535</v>
      </c>
      <c r="N10515" t="s">
        <v>43166</v>
      </c>
      <c r="O10515" t="s">
        <v>43167</v>
      </c>
      <c r="P10515">
        <v>0</v>
      </c>
      <c r="Q10515">
        <v>1</v>
      </c>
      <c r="R10515" t="s">
        <v>43179</v>
      </c>
      <c r="S10515" t="s">
        <v>43583</v>
      </c>
      <c r="T10515" t="s">
        <v>44698</v>
      </c>
      <c r="U10515" t="s">
        <v>53625</v>
      </c>
      <c r="W10515" t="s">
        <v>42535</v>
      </c>
      <c r="X10515" t="s">
        <v>43180</v>
      </c>
    </row>
    <row r="10516" spans="1:24">
      <c r="A10516">
        <f>HYPERLINK("https://www.philgeps.gov.ph/GEPSNONPILOT/Tender/SplashBidNoticeAbstractUI.aspx?menuIndex=3&amp;refID=7065876&amp;Result=3","7065876")</f>
        <v>0</v>
      </c>
      <c r="B10516" t="s">
        <v>2914</v>
      </c>
      <c r="C10516" t="s">
        <v>13440</v>
      </c>
      <c r="D10516" t="s">
        <v>17448</v>
      </c>
      <c r="E10516" t="s">
        <v>26511</v>
      </c>
      <c r="F10516" t="s">
        <v>30052</v>
      </c>
      <c r="G10516" t="s">
        <v>30058</v>
      </c>
      <c r="H10516" t="s">
        <v>30067</v>
      </c>
      <c r="I10516" t="s">
        <v>3693</v>
      </c>
      <c r="J10516" t="s">
        <v>36626</v>
      </c>
      <c r="K10516" t="s">
        <v>39031</v>
      </c>
      <c r="M10516" t="s">
        <v>42473</v>
      </c>
      <c r="N10516" t="s">
        <v>43166</v>
      </c>
      <c r="O10516" t="s">
        <v>43167</v>
      </c>
      <c r="P10516">
        <v>0</v>
      </c>
      <c r="Q10516">
        <v>0</v>
      </c>
      <c r="R10516" t="s">
        <v>43179</v>
      </c>
      <c r="S10516" t="s">
        <v>43583</v>
      </c>
      <c r="T10516" t="s">
        <v>44730</v>
      </c>
      <c r="U10516" t="s">
        <v>53626</v>
      </c>
      <c r="W10516" t="s">
        <v>42473</v>
      </c>
      <c r="X10516" t="s">
        <v>43180</v>
      </c>
    </row>
    <row r="10517" spans="1:24">
      <c r="A10517">
        <f>HYPERLINK("https://www.philgeps.gov.ph/GEPSNONPILOT/Tender/SplashBidNoticeAbstractUI.aspx?menuIndex=3&amp;refID=7066058&amp;Result=3","7066058")</f>
        <v>0</v>
      </c>
      <c r="B10517" t="s">
        <v>592</v>
      </c>
      <c r="C10517" t="s">
        <v>13441</v>
      </c>
      <c r="D10517" t="s">
        <v>17461</v>
      </c>
      <c r="E10517" t="s">
        <v>13441</v>
      </c>
      <c r="F10517" t="s">
        <v>30052</v>
      </c>
      <c r="G10517" t="s">
        <v>30058</v>
      </c>
      <c r="H10517" t="s">
        <v>15498</v>
      </c>
      <c r="I10517" t="s">
        <v>30153</v>
      </c>
      <c r="J10517" t="s">
        <v>35915</v>
      </c>
      <c r="K10517" t="s">
        <v>39029</v>
      </c>
      <c r="M10517" t="s">
        <v>41301</v>
      </c>
      <c r="N10517" t="s">
        <v>43166</v>
      </c>
      <c r="O10517" t="s">
        <v>43167</v>
      </c>
      <c r="P10517">
        <v>0</v>
      </c>
      <c r="Q10517">
        <v>4</v>
      </c>
      <c r="R10517" t="s">
        <v>43179</v>
      </c>
      <c r="S10517" t="s">
        <v>43583</v>
      </c>
      <c r="T10517" t="s">
        <v>44791</v>
      </c>
      <c r="U10517" t="s">
        <v>53627</v>
      </c>
      <c r="W10517" t="s">
        <v>41301</v>
      </c>
      <c r="X10517" t="s">
        <v>43180</v>
      </c>
    </row>
    <row r="10518" spans="1:24">
      <c r="A10518">
        <f>HYPERLINK("https://www.philgeps.gov.ph/GEPSNONPILOT/Tender/SplashBidNoticeAbstractUI.aspx?menuIndex=3&amp;refID=7066039&amp;Result=3","7066039")</f>
        <v>0</v>
      </c>
      <c r="B10518" t="s">
        <v>2248</v>
      </c>
      <c r="C10518" t="s">
        <v>13442</v>
      </c>
      <c r="D10518" t="s">
        <v>17424</v>
      </c>
      <c r="E10518" t="s">
        <v>26512</v>
      </c>
      <c r="F10518" t="s">
        <v>30052</v>
      </c>
      <c r="G10518" t="s">
        <v>30058</v>
      </c>
      <c r="H10518" t="s">
        <v>30067</v>
      </c>
      <c r="I10518" t="s">
        <v>3693</v>
      </c>
      <c r="J10518" t="s">
        <v>31851</v>
      </c>
      <c r="K10518" t="s">
        <v>39127</v>
      </c>
      <c r="M10518" t="s">
        <v>41726</v>
      </c>
      <c r="N10518" t="s">
        <v>43166</v>
      </c>
      <c r="O10518" t="s">
        <v>43167</v>
      </c>
      <c r="Q10518">
        <v>32</v>
      </c>
      <c r="R10518" t="s">
        <v>43179</v>
      </c>
      <c r="S10518" t="s">
        <v>43620</v>
      </c>
      <c r="T10518" t="s">
        <v>44764</v>
      </c>
      <c r="U10518" t="s">
        <v>52828</v>
      </c>
      <c r="W10518" t="s">
        <v>41726</v>
      </c>
      <c r="X10518" t="s">
        <v>43180</v>
      </c>
    </row>
    <row r="10519" spans="1:24">
      <c r="A10519">
        <f>HYPERLINK("https://www.philgeps.gov.ph/GEPSNONPILOT/Tender/SplashBidNoticeAbstractUI.aspx?menuIndex=3&amp;refID=7066070&amp;Result=3","7066070")</f>
        <v>0</v>
      </c>
      <c r="B10519" t="s">
        <v>1104</v>
      </c>
      <c r="C10519" t="s">
        <v>13443</v>
      </c>
      <c r="D10519" t="s">
        <v>17449</v>
      </c>
      <c r="E10519" t="s">
        <v>26513</v>
      </c>
      <c r="F10519" t="s">
        <v>30052</v>
      </c>
      <c r="G10519" t="s">
        <v>30058</v>
      </c>
      <c r="H10519" t="s">
        <v>30067</v>
      </c>
      <c r="I10519" t="s">
        <v>3693</v>
      </c>
      <c r="J10519" t="s">
        <v>31851</v>
      </c>
      <c r="K10519" t="s">
        <v>39241</v>
      </c>
      <c r="M10519" t="s">
        <v>40443</v>
      </c>
      <c r="N10519" t="s">
        <v>43166</v>
      </c>
      <c r="O10519" t="s">
        <v>43167</v>
      </c>
      <c r="P10519">
        <v>0</v>
      </c>
      <c r="Q10519">
        <v>14</v>
      </c>
      <c r="R10519" t="s">
        <v>43179</v>
      </c>
      <c r="S10519" t="s">
        <v>43583</v>
      </c>
      <c r="T10519" t="s">
        <v>44699</v>
      </c>
      <c r="U10519" t="s">
        <v>47517</v>
      </c>
      <c r="W10519" t="s">
        <v>40443</v>
      </c>
      <c r="X10519" t="s">
        <v>43180</v>
      </c>
    </row>
    <row r="10520" spans="1:24">
      <c r="A10520">
        <f>HYPERLINK("https://www.philgeps.gov.ph/GEPSNONPILOT/Tender/SplashBidNoticeAbstractUI.aspx?menuIndex=3&amp;refID=7066036&amp;Result=3","7066036")</f>
        <v>0</v>
      </c>
      <c r="B10520" t="s">
        <v>2969</v>
      </c>
      <c r="C10520" t="s">
        <v>13444</v>
      </c>
      <c r="E10520" t="s">
        <v>26514</v>
      </c>
      <c r="F10520" t="s">
        <v>30052</v>
      </c>
      <c r="G10520" t="s">
        <v>30058</v>
      </c>
      <c r="H10520" t="s">
        <v>30067</v>
      </c>
      <c r="I10520" t="s">
        <v>3693</v>
      </c>
      <c r="J10520" t="s">
        <v>30209</v>
      </c>
      <c r="K10520" t="s">
        <v>39023</v>
      </c>
      <c r="M10520" t="s">
        <v>42536</v>
      </c>
      <c r="N10520" t="s">
        <v>43166</v>
      </c>
      <c r="O10520" t="s">
        <v>43167</v>
      </c>
      <c r="P10520">
        <v>0</v>
      </c>
      <c r="Q10520">
        <v>0</v>
      </c>
      <c r="R10520" t="s">
        <v>43179</v>
      </c>
      <c r="S10520" t="s">
        <v>43583</v>
      </c>
      <c r="T10520" t="s">
        <v>44750</v>
      </c>
      <c r="U10520" t="s">
        <v>53628</v>
      </c>
      <c r="W10520" t="s">
        <v>42536</v>
      </c>
      <c r="X10520" t="s">
        <v>43180</v>
      </c>
    </row>
    <row r="10521" spans="1:24">
      <c r="A10521">
        <f>HYPERLINK("https://www.philgeps.gov.ph/GEPSNONPILOT/Tender/SplashBidNoticeAbstractUI.aspx?menuIndex=3&amp;refID=7066034&amp;Result=3","7066034")</f>
        <v>0</v>
      </c>
      <c r="B10521" t="s">
        <v>592</v>
      </c>
      <c r="C10521" t="s">
        <v>13445</v>
      </c>
      <c r="D10521" t="s">
        <v>17461</v>
      </c>
      <c r="E10521" t="s">
        <v>26515</v>
      </c>
      <c r="F10521" t="s">
        <v>30052</v>
      </c>
      <c r="G10521" t="s">
        <v>30058</v>
      </c>
      <c r="H10521" t="s">
        <v>15498</v>
      </c>
      <c r="I10521" t="s">
        <v>30088</v>
      </c>
      <c r="J10521" t="s">
        <v>36627</v>
      </c>
      <c r="K10521" t="s">
        <v>39029</v>
      </c>
      <c r="M10521" t="s">
        <v>41301</v>
      </c>
      <c r="N10521" t="s">
        <v>43166</v>
      </c>
      <c r="O10521" t="s">
        <v>43167</v>
      </c>
      <c r="P10521">
        <v>0</v>
      </c>
      <c r="Q10521">
        <v>9</v>
      </c>
      <c r="R10521" t="s">
        <v>43179</v>
      </c>
      <c r="S10521" t="s">
        <v>43583</v>
      </c>
      <c r="T10521" t="s">
        <v>44761</v>
      </c>
      <c r="U10521" t="s">
        <v>53629</v>
      </c>
      <c r="W10521" t="s">
        <v>41301</v>
      </c>
      <c r="X10521" t="s">
        <v>43180</v>
      </c>
    </row>
    <row r="10522" spans="1:24">
      <c r="A10522">
        <f>HYPERLINK("https://www.philgeps.gov.ph/GEPSNONPILOT/Tender/SplashBidNoticeAbstractUI.aspx?menuIndex=3&amp;refID=7066027&amp;Result=3","7066027")</f>
        <v>0</v>
      </c>
      <c r="B10522" t="s">
        <v>684</v>
      </c>
      <c r="C10522" t="s">
        <v>13446</v>
      </c>
      <c r="D10522" t="s">
        <v>17499</v>
      </c>
      <c r="E10522" t="s">
        <v>26516</v>
      </c>
      <c r="F10522" t="s">
        <v>30052</v>
      </c>
      <c r="G10522" t="s">
        <v>30058</v>
      </c>
      <c r="H10522" t="s">
        <v>30067</v>
      </c>
      <c r="I10522" t="s">
        <v>3693</v>
      </c>
      <c r="J10522" t="s">
        <v>36628</v>
      </c>
      <c r="K10522" t="s">
        <v>39023</v>
      </c>
      <c r="M10522" t="s">
        <v>42537</v>
      </c>
      <c r="N10522" t="s">
        <v>43166</v>
      </c>
      <c r="O10522" t="s">
        <v>43167</v>
      </c>
      <c r="Q10522">
        <v>3</v>
      </c>
      <c r="R10522" t="s">
        <v>43179</v>
      </c>
      <c r="S10522" t="s">
        <v>43621</v>
      </c>
      <c r="T10522" t="s">
        <v>45129</v>
      </c>
      <c r="U10522" t="s">
        <v>53630</v>
      </c>
      <c r="W10522" t="s">
        <v>42537</v>
      </c>
      <c r="X10522" t="s">
        <v>43180</v>
      </c>
    </row>
    <row r="10523" spans="1:24">
      <c r="A10523">
        <f>HYPERLINK("https://www.philgeps.gov.ph/GEPSNONPILOT/Tender/SplashBidNoticeAbstractUI.aspx?menuIndex=3&amp;refID=7065625&amp;Result=3","7065625")</f>
        <v>0</v>
      </c>
      <c r="B10523" t="s">
        <v>2787</v>
      </c>
      <c r="C10523" t="s">
        <v>13447</v>
      </c>
      <c r="D10523" t="s">
        <v>17413</v>
      </c>
      <c r="E10523" t="s">
        <v>26153</v>
      </c>
      <c r="F10523" t="s">
        <v>30052</v>
      </c>
      <c r="G10523" t="s">
        <v>30058</v>
      </c>
      <c r="H10523" t="s">
        <v>30067</v>
      </c>
      <c r="I10523" t="s">
        <v>3693</v>
      </c>
      <c r="J10523" t="s">
        <v>36629</v>
      </c>
      <c r="K10523" t="s">
        <v>39019</v>
      </c>
      <c r="M10523" t="s">
        <v>42327</v>
      </c>
      <c r="N10523" t="s">
        <v>43166</v>
      </c>
      <c r="O10523" t="s">
        <v>43167</v>
      </c>
      <c r="P10523">
        <v>0</v>
      </c>
      <c r="Q10523">
        <v>0</v>
      </c>
      <c r="R10523" t="s">
        <v>43179</v>
      </c>
      <c r="S10523" t="s">
        <v>43583</v>
      </c>
      <c r="T10523" t="s">
        <v>44843</v>
      </c>
      <c r="U10523" t="s">
        <v>53631</v>
      </c>
      <c r="W10523" t="s">
        <v>42327</v>
      </c>
      <c r="X10523" t="s">
        <v>43180</v>
      </c>
    </row>
    <row r="10524" spans="1:24">
      <c r="A10524">
        <f>HYPERLINK("https://www.philgeps.gov.ph/GEPSNONPILOT/Tender/SplashBidNoticeAbstractUI.aspx?menuIndex=3&amp;refID=7066024&amp;Result=3","7066024")</f>
        <v>0</v>
      </c>
      <c r="B10524" t="s">
        <v>592</v>
      </c>
      <c r="C10524" t="s">
        <v>13448</v>
      </c>
      <c r="D10524" t="s">
        <v>17461</v>
      </c>
      <c r="E10524" t="s">
        <v>26517</v>
      </c>
      <c r="F10524" t="s">
        <v>30052</v>
      </c>
      <c r="G10524" t="s">
        <v>30058</v>
      </c>
      <c r="H10524" t="s">
        <v>15498</v>
      </c>
      <c r="I10524" t="s">
        <v>30088</v>
      </c>
      <c r="J10524" t="s">
        <v>36630</v>
      </c>
      <c r="K10524" t="s">
        <v>39029</v>
      </c>
      <c r="M10524" t="s">
        <v>41301</v>
      </c>
      <c r="N10524" t="s">
        <v>43166</v>
      </c>
      <c r="O10524" t="s">
        <v>43167</v>
      </c>
      <c r="Q10524">
        <v>9</v>
      </c>
      <c r="R10524" t="s">
        <v>43179</v>
      </c>
      <c r="S10524" t="s">
        <v>43622</v>
      </c>
      <c r="T10524" t="s">
        <v>44761</v>
      </c>
      <c r="U10524" t="s">
        <v>53632</v>
      </c>
      <c r="W10524" t="s">
        <v>41301</v>
      </c>
      <c r="X10524" t="s">
        <v>43180</v>
      </c>
    </row>
    <row r="10525" spans="1:24">
      <c r="A10525">
        <f>HYPERLINK("https://www.philgeps.gov.ph/GEPSNONPILOT/Tender/SplashBidNoticeAbstractUI.aspx?menuIndex=3&amp;refID=7066021&amp;Result=3","7066021")</f>
        <v>0</v>
      </c>
      <c r="B10525" t="s">
        <v>2927</v>
      </c>
      <c r="C10525" t="s">
        <v>13449</v>
      </c>
      <c r="D10525" t="s">
        <v>17472</v>
      </c>
      <c r="E10525" t="s">
        <v>20331</v>
      </c>
      <c r="F10525" t="s">
        <v>30052</v>
      </c>
      <c r="G10525" t="s">
        <v>30058</v>
      </c>
      <c r="H10525" t="s">
        <v>15498</v>
      </c>
      <c r="I10525" t="s">
        <v>30088</v>
      </c>
      <c r="J10525" t="s">
        <v>36631</v>
      </c>
      <c r="K10525" t="s">
        <v>39025</v>
      </c>
      <c r="M10525" t="s">
        <v>42490</v>
      </c>
      <c r="N10525" t="s">
        <v>43166</v>
      </c>
      <c r="O10525" t="s">
        <v>43167</v>
      </c>
      <c r="P10525">
        <v>0</v>
      </c>
      <c r="Q10525">
        <v>22</v>
      </c>
      <c r="R10525" t="s">
        <v>43179</v>
      </c>
      <c r="S10525" t="s">
        <v>43583</v>
      </c>
      <c r="T10525" t="s">
        <v>44763</v>
      </c>
      <c r="U10525" t="s">
        <v>53633</v>
      </c>
      <c r="W10525" t="s">
        <v>42490</v>
      </c>
      <c r="X10525" t="s">
        <v>43180</v>
      </c>
    </row>
    <row r="10526" spans="1:24">
      <c r="A10526">
        <f>HYPERLINK("https://www.philgeps.gov.ph/GEPSNONPILOT/Tender/SplashBidNoticeAbstractUI.aspx?menuIndex=3&amp;refID=7066016&amp;Result=3","7066016")</f>
        <v>0</v>
      </c>
      <c r="B10526" t="s">
        <v>2970</v>
      </c>
      <c r="C10526" t="s">
        <v>13450</v>
      </c>
      <c r="D10526" t="s">
        <v>17422</v>
      </c>
      <c r="E10526" t="s">
        <v>18907</v>
      </c>
      <c r="F10526" t="s">
        <v>30052</v>
      </c>
      <c r="G10526" t="s">
        <v>30058</v>
      </c>
      <c r="H10526" t="s">
        <v>30067</v>
      </c>
      <c r="I10526" t="s">
        <v>3693</v>
      </c>
      <c r="J10526" t="s">
        <v>36632</v>
      </c>
      <c r="K10526" t="s">
        <v>39046</v>
      </c>
      <c r="M10526" t="s">
        <v>42538</v>
      </c>
      <c r="N10526" t="s">
        <v>43166</v>
      </c>
      <c r="O10526" t="s">
        <v>43167</v>
      </c>
      <c r="P10526">
        <v>0</v>
      </c>
      <c r="Q10526">
        <v>0</v>
      </c>
      <c r="R10526" t="s">
        <v>43179</v>
      </c>
      <c r="S10526" t="s">
        <v>43583</v>
      </c>
      <c r="T10526" t="s">
        <v>44705</v>
      </c>
      <c r="U10526" t="s">
        <v>53634</v>
      </c>
      <c r="W10526" t="s">
        <v>42538</v>
      </c>
      <c r="X10526" t="s">
        <v>43180</v>
      </c>
    </row>
    <row r="10527" spans="1:24">
      <c r="A10527">
        <f>HYPERLINK("https://www.philgeps.gov.ph/GEPSNONPILOT/Tender/SplashBidNoticeAbstractUI.aspx?menuIndex=3&amp;refID=7066015&amp;Result=3","7066015")</f>
        <v>0</v>
      </c>
      <c r="B10527" t="s">
        <v>415</v>
      </c>
      <c r="C10527" t="s">
        <v>13451</v>
      </c>
      <c r="D10527" t="s">
        <v>17472</v>
      </c>
      <c r="E10527" t="s">
        <v>26518</v>
      </c>
      <c r="F10527" t="s">
        <v>30052</v>
      </c>
      <c r="G10527" t="s">
        <v>30058</v>
      </c>
      <c r="H10527" t="s">
        <v>15498</v>
      </c>
      <c r="I10527" t="s">
        <v>30155</v>
      </c>
      <c r="J10527" t="s">
        <v>36633</v>
      </c>
      <c r="K10527" t="s">
        <v>39034</v>
      </c>
      <c r="M10527" t="s">
        <v>40024</v>
      </c>
      <c r="N10527" t="s">
        <v>43166</v>
      </c>
      <c r="O10527" t="s">
        <v>43167</v>
      </c>
      <c r="P10527">
        <v>0</v>
      </c>
      <c r="Q10527">
        <v>0</v>
      </c>
      <c r="R10527" t="s">
        <v>43179</v>
      </c>
      <c r="S10527" t="s">
        <v>43583</v>
      </c>
      <c r="T10527" t="s">
        <v>44791</v>
      </c>
      <c r="U10527" t="s">
        <v>53599</v>
      </c>
      <c r="V10527" t="s">
        <v>57013</v>
      </c>
      <c r="W10527" t="s">
        <v>58610</v>
      </c>
      <c r="X10527" t="s">
        <v>43180</v>
      </c>
    </row>
    <row r="10528" spans="1:24">
      <c r="A10528">
        <f>HYPERLINK("https://www.philgeps.gov.ph/GEPSNONPILOT/Tender/SplashBidNoticeAbstractUI.aspx?menuIndex=3&amp;refID=7066001&amp;Result=3","7066001")</f>
        <v>0</v>
      </c>
      <c r="B10528" t="s">
        <v>2914</v>
      </c>
      <c r="C10528" t="s">
        <v>13452</v>
      </c>
      <c r="D10528" t="s">
        <v>17448</v>
      </c>
      <c r="E10528" t="s">
        <v>26519</v>
      </c>
      <c r="F10528" t="s">
        <v>30052</v>
      </c>
      <c r="G10528" t="s">
        <v>30058</v>
      </c>
      <c r="H10528" t="s">
        <v>30067</v>
      </c>
      <c r="I10528" t="s">
        <v>3693</v>
      </c>
      <c r="J10528" t="s">
        <v>36634</v>
      </c>
      <c r="K10528" t="s">
        <v>39023</v>
      </c>
      <c r="M10528" t="s">
        <v>42473</v>
      </c>
      <c r="N10528" t="s">
        <v>43166</v>
      </c>
      <c r="O10528" t="s">
        <v>43167</v>
      </c>
      <c r="P10528">
        <v>0</v>
      </c>
      <c r="Q10528">
        <v>0</v>
      </c>
      <c r="R10528" t="s">
        <v>43179</v>
      </c>
      <c r="S10528" t="s">
        <v>43583</v>
      </c>
      <c r="T10528" t="s">
        <v>44730</v>
      </c>
      <c r="U10528" t="s">
        <v>53635</v>
      </c>
      <c r="W10528" t="s">
        <v>42473</v>
      </c>
      <c r="X10528" t="s">
        <v>43180</v>
      </c>
    </row>
    <row r="10529" spans="1:24">
      <c r="A10529">
        <f>HYPERLINK("https://www.philgeps.gov.ph/GEPSNONPILOT/Tender/SplashBidNoticeAbstractUI.aspx?menuIndex=3&amp;refID=7065641&amp;Result=3","7065641")</f>
        <v>0</v>
      </c>
      <c r="B10529" t="s">
        <v>781</v>
      </c>
      <c r="C10529" t="s">
        <v>13453</v>
      </c>
      <c r="D10529" t="s">
        <v>17425</v>
      </c>
      <c r="E10529" t="s">
        <v>26520</v>
      </c>
      <c r="F10529" t="s">
        <v>30052</v>
      </c>
      <c r="G10529" t="s">
        <v>30058</v>
      </c>
      <c r="H10529" t="s">
        <v>30067</v>
      </c>
      <c r="I10529" t="s">
        <v>3693</v>
      </c>
      <c r="J10529" t="s">
        <v>36635</v>
      </c>
      <c r="K10529" t="s">
        <v>39061</v>
      </c>
      <c r="M10529" t="s">
        <v>40096</v>
      </c>
      <c r="N10529" t="s">
        <v>43166</v>
      </c>
      <c r="O10529" t="s">
        <v>43167</v>
      </c>
      <c r="P10529">
        <v>0</v>
      </c>
      <c r="Q10529">
        <v>0</v>
      </c>
      <c r="R10529" t="s">
        <v>43179</v>
      </c>
      <c r="S10529" t="s">
        <v>43583</v>
      </c>
      <c r="T10529" t="s">
        <v>44690</v>
      </c>
      <c r="U10529" t="s">
        <v>53636</v>
      </c>
      <c r="W10529" t="s">
        <v>40096</v>
      </c>
      <c r="X10529" t="s">
        <v>43180</v>
      </c>
    </row>
    <row r="10530" spans="1:24">
      <c r="A10530">
        <f>HYPERLINK("https://www.philgeps.gov.ph/GEPSNONPILOT/Tender/SplashBidNoticeAbstractUI.aspx?menuIndex=3&amp;refID=7065898&amp;Result=3","7065898")</f>
        <v>0</v>
      </c>
      <c r="B10530" t="s">
        <v>592</v>
      </c>
      <c r="C10530" t="s">
        <v>13454</v>
      </c>
      <c r="D10530" t="s">
        <v>17461</v>
      </c>
      <c r="E10530" t="s">
        <v>13454</v>
      </c>
      <c r="F10530" t="s">
        <v>30052</v>
      </c>
      <c r="G10530" t="s">
        <v>30058</v>
      </c>
      <c r="H10530" t="s">
        <v>15498</v>
      </c>
      <c r="I10530" t="s">
        <v>7228</v>
      </c>
      <c r="J10530" t="s">
        <v>32559</v>
      </c>
      <c r="K10530" t="s">
        <v>39029</v>
      </c>
      <c r="M10530" t="s">
        <v>41301</v>
      </c>
      <c r="N10530" t="s">
        <v>43166</v>
      </c>
      <c r="O10530" t="s">
        <v>43167</v>
      </c>
      <c r="P10530">
        <v>0</v>
      </c>
      <c r="Q10530">
        <v>0</v>
      </c>
      <c r="R10530" t="s">
        <v>43179</v>
      </c>
      <c r="S10530" t="s">
        <v>43583</v>
      </c>
      <c r="T10530" t="s">
        <v>44761</v>
      </c>
      <c r="U10530" t="s">
        <v>53637</v>
      </c>
      <c r="W10530" t="s">
        <v>41301</v>
      </c>
      <c r="X10530" t="s">
        <v>43180</v>
      </c>
    </row>
    <row r="10531" spans="1:24">
      <c r="A10531">
        <f>HYPERLINK("https://www.philgeps.gov.ph/GEPSNONPILOT/Tender/SplashBidNoticeAbstractUI.aspx?menuIndex=3&amp;refID=7066000&amp;Result=3","7066000")</f>
        <v>0</v>
      </c>
      <c r="B10531" t="s">
        <v>2931</v>
      </c>
      <c r="C10531" t="s">
        <v>13455</v>
      </c>
      <c r="D10531" t="s">
        <v>17435</v>
      </c>
      <c r="E10531" t="s">
        <v>26521</v>
      </c>
      <c r="F10531" t="s">
        <v>30052</v>
      </c>
      <c r="G10531" t="s">
        <v>30058</v>
      </c>
      <c r="H10531" t="s">
        <v>15498</v>
      </c>
      <c r="I10531" t="s">
        <v>3736</v>
      </c>
      <c r="J10531" t="s">
        <v>36636</v>
      </c>
      <c r="K10531" t="s">
        <v>39034</v>
      </c>
      <c r="L10531" t="s">
        <v>2931</v>
      </c>
      <c r="M10531" t="s">
        <v>42494</v>
      </c>
      <c r="N10531" t="s">
        <v>43166</v>
      </c>
      <c r="O10531" t="s">
        <v>43167</v>
      </c>
      <c r="P10531">
        <v>0</v>
      </c>
      <c r="Q10531">
        <v>2</v>
      </c>
      <c r="R10531" t="s">
        <v>43179</v>
      </c>
      <c r="S10531" t="s">
        <v>43583</v>
      </c>
      <c r="T10531" t="s">
        <v>44681</v>
      </c>
      <c r="U10531" t="s">
        <v>53514</v>
      </c>
      <c r="W10531" t="s">
        <v>42494</v>
      </c>
      <c r="X10531" t="s">
        <v>43180</v>
      </c>
    </row>
    <row r="10532" spans="1:24">
      <c r="A10532">
        <f>HYPERLINK("https://www.philgeps.gov.ph/GEPSNONPILOT/Tender/SplashBidNoticeAbstractUI.aspx?menuIndex=3&amp;refID=7065969&amp;Result=3","7065969")</f>
        <v>0</v>
      </c>
      <c r="B10532" t="s">
        <v>2597</v>
      </c>
      <c r="C10532" t="s">
        <v>13456</v>
      </c>
      <c r="D10532" t="s">
        <v>17425</v>
      </c>
      <c r="E10532" t="s">
        <v>26522</v>
      </c>
      <c r="F10532" t="s">
        <v>30052</v>
      </c>
      <c r="G10532" t="s">
        <v>30058</v>
      </c>
      <c r="H10532" t="s">
        <v>30067</v>
      </c>
      <c r="I10532" t="s">
        <v>3693</v>
      </c>
      <c r="J10532" t="s">
        <v>36637</v>
      </c>
      <c r="K10532" t="s">
        <v>39031</v>
      </c>
      <c r="M10532" t="s">
        <v>42108</v>
      </c>
      <c r="N10532" t="s">
        <v>43166</v>
      </c>
      <c r="O10532" t="s">
        <v>43167</v>
      </c>
      <c r="P10532">
        <v>0</v>
      </c>
      <c r="Q10532">
        <v>0</v>
      </c>
      <c r="R10532" t="s">
        <v>43179</v>
      </c>
      <c r="S10532" t="s">
        <v>43583</v>
      </c>
      <c r="T10532" t="s">
        <v>44781</v>
      </c>
      <c r="U10532" t="s">
        <v>53638</v>
      </c>
      <c r="V10532" t="s">
        <v>58019</v>
      </c>
      <c r="W10532" t="s">
        <v>42108</v>
      </c>
      <c r="X10532" t="s">
        <v>43180</v>
      </c>
    </row>
    <row r="10533" spans="1:24">
      <c r="A10533">
        <f>HYPERLINK("https://www.philgeps.gov.ph/GEPSNONPILOT/Tender/SplashBidNoticeAbstractUI.aspx?menuIndex=3&amp;refID=7066045&amp;Result=3","7066045")</f>
        <v>0</v>
      </c>
      <c r="B10533" t="s">
        <v>592</v>
      </c>
      <c r="C10533" t="s">
        <v>13457</v>
      </c>
      <c r="D10533" t="s">
        <v>17461</v>
      </c>
      <c r="E10533" t="s">
        <v>26523</v>
      </c>
      <c r="F10533" t="s">
        <v>30052</v>
      </c>
      <c r="G10533" t="s">
        <v>30058</v>
      </c>
      <c r="H10533" t="s">
        <v>15498</v>
      </c>
      <c r="I10533" t="s">
        <v>3606</v>
      </c>
      <c r="J10533" t="s">
        <v>36638</v>
      </c>
      <c r="K10533" t="s">
        <v>39029</v>
      </c>
      <c r="M10533" t="s">
        <v>41301</v>
      </c>
      <c r="N10533" t="s">
        <v>43166</v>
      </c>
      <c r="O10533" t="s">
        <v>43167</v>
      </c>
      <c r="P10533">
        <v>0</v>
      </c>
      <c r="Q10533">
        <v>8</v>
      </c>
      <c r="R10533" t="s">
        <v>43179</v>
      </c>
      <c r="S10533" t="s">
        <v>43583</v>
      </c>
      <c r="T10533" t="s">
        <v>44761</v>
      </c>
      <c r="U10533" t="s">
        <v>53639</v>
      </c>
      <c r="W10533" t="s">
        <v>41301</v>
      </c>
      <c r="X10533" t="s">
        <v>43180</v>
      </c>
    </row>
    <row r="10534" spans="1:24">
      <c r="A10534">
        <f>HYPERLINK("https://www.philgeps.gov.ph/GEPSNONPILOT/Tender/SplashBidNoticeAbstractUI.aspx?menuIndex=3&amp;refID=7066011&amp;Result=3","7066011")</f>
        <v>0</v>
      </c>
      <c r="B10534" t="s">
        <v>2971</v>
      </c>
      <c r="C10534" t="s">
        <v>13458</v>
      </c>
      <c r="D10534" t="s">
        <v>17424</v>
      </c>
      <c r="E10534" t="s">
        <v>18583</v>
      </c>
      <c r="F10534" t="s">
        <v>30052</v>
      </c>
      <c r="G10534" t="s">
        <v>30061</v>
      </c>
      <c r="H10534" t="s">
        <v>15498</v>
      </c>
      <c r="I10534" t="s">
        <v>30076</v>
      </c>
      <c r="J10534" t="s">
        <v>36639</v>
      </c>
      <c r="K10534" t="s">
        <v>39029</v>
      </c>
      <c r="M10534" t="s">
        <v>42539</v>
      </c>
      <c r="N10534" t="s">
        <v>43166</v>
      </c>
      <c r="O10534" t="s">
        <v>43167</v>
      </c>
      <c r="P10534">
        <v>0</v>
      </c>
      <c r="Q10534">
        <v>4</v>
      </c>
      <c r="R10534" t="s">
        <v>43179</v>
      </c>
      <c r="S10534" t="s">
        <v>43583</v>
      </c>
      <c r="T10534" t="s">
        <v>44719</v>
      </c>
      <c r="U10534" t="s">
        <v>53640</v>
      </c>
      <c r="V10534" t="s">
        <v>58020</v>
      </c>
      <c r="W10534" t="s">
        <v>42539</v>
      </c>
      <c r="X10534" t="s">
        <v>43180</v>
      </c>
    </row>
    <row r="10535" spans="1:24">
      <c r="A10535">
        <f>HYPERLINK("https://www.philgeps.gov.ph/GEPSNONPILOT/Tender/SplashBidNoticeAbstractUI.aspx?menuIndex=3&amp;refID=7066009&amp;Result=3","7066009")</f>
        <v>0</v>
      </c>
      <c r="B10535" t="s">
        <v>2972</v>
      </c>
      <c r="C10535" t="s">
        <v>11636</v>
      </c>
      <c r="D10535" t="s">
        <v>17421</v>
      </c>
      <c r="E10535" t="s">
        <v>18583</v>
      </c>
      <c r="F10535" t="s">
        <v>30052</v>
      </c>
      <c r="G10535" t="s">
        <v>30058</v>
      </c>
      <c r="H10535" t="s">
        <v>15498</v>
      </c>
      <c r="I10535" t="s">
        <v>3736</v>
      </c>
      <c r="J10535" t="s">
        <v>36640</v>
      </c>
      <c r="K10535" t="s">
        <v>39029</v>
      </c>
      <c r="M10535" t="s">
        <v>42540</v>
      </c>
      <c r="N10535" t="s">
        <v>43166</v>
      </c>
      <c r="O10535" t="s">
        <v>43167</v>
      </c>
      <c r="P10535">
        <v>0</v>
      </c>
      <c r="Q10535">
        <v>0</v>
      </c>
      <c r="R10535" t="s">
        <v>43179</v>
      </c>
      <c r="S10535" t="s">
        <v>43583</v>
      </c>
      <c r="T10535" t="s">
        <v>44716</v>
      </c>
      <c r="U10535" t="s">
        <v>53641</v>
      </c>
      <c r="W10535" t="s">
        <v>42540</v>
      </c>
      <c r="X10535" t="s">
        <v>43180</v>
      </c>
    </row>
    <row r="10536" spans="1:24">
      <c r="A10536">
        <f>HYPERLINK("https://www.philgeps.gov.ph/GEPSNONPILOT/Tender/SplashBidNoticeAbstractUI.aspx?menuIndex=3&amp;refID=7065823&amp;Result=3","7065823")</f>
        <v>0</v>
      </c>
      <c r="B10536" t="s">
        <v>511</v>
      </c>
      <c r="C10536" t="s">
        <v>13459</v>
      </c>
      <c r="D10536" t="s">
        <v>17415</v>
      </c>
      <c r="E10536" t="s">
        <v>26524</v>
      </c>
      <c r="F10536" t="s">
        <v>30052</v>
      </c>
      <c r="G10536" t="s">
        <v>30062</v>
      </c>
      <c r="H10536" t="s">
        <v>15498</v>
      </c>
      <c r="I10536" t="s">
        <v>30101</v>
      </c>
      <c r="J10536" t="s">
        <v>36641</v>
      </c>
      <c r="K10536" t="s">
        <v>39023</v>
      </c>
      <c r="M10536" t="s">
        <v>42318</v>
      </c>
      <c r="N10536" t="s">
        <v>43166</v>
      </c>
      <c r="O10536" t="s">
        <v>43167</v>
      </c>
      <c r="Q10536">
        <v>8</v>
      </c>
      <c r="R10536" t="s">
        <v>43179</v>
      </c>
      <c r="S10536" t="s">
        <v>43623</v>
      </c>
      <c r="T10536" t="s">
        <v>44806</v>
      </c>
      <c r="U10536" t="s">
        <v>52791</v>
      </c>
      <c r="V10536" t="s">
        <v>58021</v>
      </c>
      <c r="W10536" t="s">
        <v>42318</v>
      </c>
      <c r="X10536" t="s">
        <v>43180</v>
      </c>
    </row>
    <row r="10537" spans="1:24">
      <c r="A10537">
        <f>HYPERLINK("https://www.philgeps.gov.ph/GEPSNONPILOT/Tender/SplashBidNoticeAbstractUI.aspx?menuIndex=3&amp;refID=7065873&amp;Result=3","7065873")</f>
        <v>0</v>
      </c>
      <c r="B10537" t="s">
        <v>592</v>
      </c>
      <c r="C10537" t="s">
        <v>13460</v>
      </c>
      <c r="D10537" t="s">
        <v>17461</v>
      </c>
      <c r="E10537" t="s">
        <v>13460</v>
      </c>
      <c r="F10537" t="s">
        <v>30052</v>
      </c>
      <c r="G10537" t="s">
        <v>30058</v>
      </c>
      <c r="H10537" t="s">
        <v>15498</v>
      </c>
      <c r="I10537" t="s">
        <v>30086</v>
      </c>
      <c r="J10537" t="s">
        <v>36642</v>
      </c>
      <c r="K10537" t="s">
        <v>39029</v>
      </c>
      <c r="M10537" t="s">
        <v>41301</v>
      </c>
      <c r="N10537" t="s">
        <v>43166</v>
      </c>
      <c r="O10537" t="s">
        <v>43167</v>
      </c>
      <c r="P10537">
        <v>0</v>
      </c>
      <c r="Q10537">
        <v>0</v>
      </c>
      <c r="R10537" t="s">
        <v>43179</v>
      </c>
      <c r="S10537" t="s">
        <v>43583</v>
      </c>
      <c r="T10537" t="s">
        <v>44761</v>
      </c>
      <c r="U10537" t="s">
        <v>53642</v>
      </c>
      <c r="W10537" t="s">
        <v>41301</v>
      </c>
      <c r="X10537" t="s">
        <v>43180</v>
      </c>
    </row>
    <row r="10538" spans="1:24">
      <c r="A10538">
        <f>HYPERLINK("https://www.philgeps.gov.ph/GEPSNONPILOT/Tender/SplashBidNoticeAbstractUI.aspx?menuIndex=3&amp;refID=7066191&amp;Result=3","7066191")</f>
        <v>0</v>
      </c>
      <c r="B10538" t="s">
        <v>2973</v>
      </c>
      <c r="C10538" t="s">
        <v>8592</v>
      </c>
      <c r="E10538" t="s">
        <v>20202</v>
      </c>
      <c r="F10538" t="s">
        <v>30054</v>
      </c>
      <c r="G10538" t="s">
        <v>30058</v>
      </c>
      <c r="H10538" t="s">
        <v>15498</v>
      </c>
      <c r="I10538" t="s">
        <v>3736</v>
      </c>
      <c r="J10538" t="s">
        <v>36643</v>
      </c>
      <c r="K10538" t="s">
        <v>39025</v>
      </c>
      <c r="M10538" t="s">
        <v>42541</v>
      </c>
      <c r="N10538" t="s">
        <v>43166</v>
      </c>
      <c r="O10538" t="s">
        <v>43167</v>
      </c>
      <c r="P10538">
        <v>0</v>
      </c>
      <c r="Q10538">
        <v>0</v>
      </c>
      <c r="R10538" t="s">
        <v>43179</v>
      </c>
      <c r="S10538" t="s">
        <v>43583</v>
      </c>
      <c r="T10538" t="s">
        <v>44800</v>
      </c>
      <c r="U10538" t="s">
        <v>47742</v>
      </c>
      <c r="W10538" t="s">
        <v>42541</v>
      </c>
      <c r="X10538" t="s">
        <v>43180</v>
      </c>
    </row>
    <row r="10539" spans="1:24">
      <c r="A10539">
        <f>HYPERLINK("https://www.philgeps.gov.ph/GEPSNONPILOT/Tender/SplashBidNoticeAbstractUI.aspx?menuIndex=3&amp;refID=7065971&amp;Result=3","7065971")</f>
        <v>0</v>
      </c>
      <c r="B10539" t="s">
        <v>2974</v>
      </c>
      <c r="C10539" t="s">
        <v>13461</v>
      </c>
      <c r="E10539" t="s">
        <v>26525</v>
      </c>
      <c r="F10539" t="s">
        <v>30052</v>
      </c>
      <c r="G10539" t="s">
        <v>30058</v>
      </c>
      <c r="H10539" t="s">
        <v>30067</v>
      </c>
      <c r="I10539" t="s">
        <v>3693</v>
      </c>
      <c r="J10539" t="s">
        <v>30281</v>
      </c>
      <c r="K10539" t="s">
        <v>39025</v>
      </c>
      <c r="M10539" t="s">
        <v>42542</v>
      </c>
      <c r="N10539" t="s">
        <v>43166</v>
      </c>
      <c r="O10539" t="s">
        <v>43167</v>
      </c>
      <c r="Q10539">
        <v>0</v>
      </c>
      <c r="R10539" t="s">
        <v>43179</v>
      </c>
      <c r="S10539" t="s">
        <v>43624</v>
      </c>
      <c r="T10539" t="s">
        <v>44699</v>
      </c>
      <c r="U10539" t="s">
        <v>53643</v>
      </c>
      <c r="W10539" t="s">
        <v>42542</v>
      </c>
      <c r="X10539" t="s">
        <v>43180</v>
      </c>
    </row>
    <row r="10540" spans="1:24">
      <c r="A10540">
        <f>HYPERLINK("https://www.philgeps.gov.ph/GEPSNONPILOT/Tender/SplashBidNoticeAbstractUI.aspx?menuIndex=3&amp;refID=7065948&amp;Result=3","7065948")</f>
        <v>0</v>
      </c>
      <c r="B10540" t="s">
        <v>2914</v>
      </c>
      <c r="C10540" t="s">
        <v>13462</v>
      </c>
      <c r="D10540" t="s">
        <v>17448</v>
      </c>
      <c r="E10540" t="s">
        <v>26526</v>
      </c>
      <c r="F10540" t="s">
        <v>30052</v>
      </c>
      <c r="G10540" t="s">
        <v>30058</v>
      </c>
      <c r="H10540" t="s">
        <v>30067</v>
      </c>
      <c r="I10540" t="s">
        <v>3693</v>
      </c>
      <c r="J10540" t="s">
        <v>36644</v>
      </c>
      <c r="K10540" t="s">
        <v>39031</v>
      </c>
      <c r="M10540" t="s">
        <v>42473</v>
      </c>
      <c r="N10540" t="s">
        <v>43166</v>
      </c>
      <c r="O10540" t="s">
        <v>43167</v>
      </c>
      <c r="P10540">
        <v>0</v>
      </c>
      <c r="Q10540">
        <v>0</v>
      </c>
      <c r="R10540" t="s">
        <v>43179</v>
      </c>
      <c r="S10540" t="s">
        <v>43583</v>
      </c>
      <c r="T10540" t="s">
        <v>44730</v>
      </c>
      <c r="U10540" t="s">
        <v>53644</v>
      </c>
      <c r="W10540" t="s">
        <v>42473</v>
      </c>
      <c r="X10540" t="s">
        <v>43180</v>
      </c>
    </row>
    <row r="10541" spans="1:24">
      <c r="A10541">
        <f>HYPERLINK("https://www.philgeps.gov.ph/GEPSNONPILOT/Tender/SplashBidNoticeAbstractUI.aspx?menuIndex=3&amp;refID=7066180&amp;Result=3","7066180")</f>
        <v>0</v>
      </c>
      <c r="B10541" t="s">
        <v>377</v>
      </c>
      <c r="C10541" t="s">
        <v>13463</v>
      </c>
      <c r="D10541" t="s">
        <v>17447</v>
      </c>
      <c r="E10541" t="s">
        <v>26527</v>
      </c>
      <c r="F10541" t="s">
        <v>30052</v>
      </c>
      <c r="G10541" t="s">
        <v>30058</v>
      </c>
      <c r="H10541" t="s">
        <v>15498</v>
      </c>
      <c r="I10541" t="s">
        <v>3606</v>
      </c>
      <c r="J10541" t="s">
        <v>36645</v>
      </c>
      <c r="K10541" t="s">
        <v>39029</v>
      </c>
      <c r="M10541" t="s">
        <v>42534</v>
      </c>
      <c r="N10541" t="s">
        <v>43166</v>
      </c>
      <c r="O10541" t="s">
        <v>43167</v>
      </c>
      <c r="P10541">
        <v>0</v>
      </c>
      <c r="Q10541">
        <v>5</v>
      </c>
      <c r="R10541" t="s">
        <v>43179</v>
      </c>
      <c r="S10541" t="s">
        <v>43583</v>
      </c>
      <c r="T10541" t="s">
        <v>44754</v>
      </c>
      <c r="U10541" t="s">
        <v>53645</v>
      </c>
      <c r="W10541" t="s">
        <v>42534</v>
      </c>
      <c r="X10541" t="s">
        <v>43180</v>
      </c>
    </row>
    <row r="10542" spans="1:24">
      <c r="A10542">
        <f>HYPERLINK("https://www.philgeps.gov.ph/GEPSNONPILOT/Tender/SplashBidNoticeAbstractUI.aspx?menuIndex=3&amp;refID=7066169&amp;Result=3","7066169")</f>
        <v>0</v>
      </c>
      <c r="B10542" t="s">
        <v>609</v>
      </c>
      <c r="C10542" t="s">
        <v>13464</v>
      </c>
      <c r="D10542" t="s">
        <v>17445</v>
      </c>
      <c r="E10542" t="s">
        <v>26528</v>
      </c>
      <c r="F10542" t="s">
        <v>30052</v>
      </c>
      <c r="G10542" t="s">
        <v>30058</v>
      </c>
      <c r="H10542" t="s">
        <v>30067</v>
      </c>
      <c r="I10542" t="s">
        <v>3693</v>
      </c>
      <c r="J10542" t="s">
        <v>36646</v>
      </c>
      <c r="K10542" t="s">
        <v>39026</v>
      </c>
      <c r="M10542" t="s">
        <v>39911</v>
      </c>
      <c r="N10542" t="s">
        <v>43166</v>
      </c>
      <c r="O10542" t="s">
        <v>43167</v>
      </c>
      <c r="P10542">
        <v>0</v>
      </c>
      <c r="Q10542">
        <v>1</v>
      </c>
      <c r="R10542" t="s">
        <v>43179</v>
      </c>
      <c r="S10542" t="s">
        <v>43583</v>
      </c>
      <c r="T10542" t="s">
        <v>44780</v>
      </c>
      <c r="U10542" t="s">
        <v>53646</v>
      </c>
      <c r="W10542" t="s">
        <v>39911</v>
      </c>
      <c r="X10542" t="s">
        <v>43180</v>
      </c>
    </row>
    <row r="10543" spans="1:24">
      <c r="A10543">
        <f>HYPERLINK("https://www.philgeps.gov.ph/GEPSNONPILOT/Tender/SplashBidNoticeAbstractUI.aspx?menuIndex=3&amp;refID=7066078&amp;Result=3","7066078")</f>
        <v>0</v>
      </c>
      <c r="B10543" t="s">
        <v>2970</v>
      </c>
      <c r="C10543" t="s">
        <v>13465</v>
      </c>
      <c r="D10543" t="s">
        <v>17422</v>
      </c>
      <c r="E10543" t="s">
        <v>18342</v>
      </c>
      <c r="F10543" t="s">
        <v>30052</v>
      </c>
      <c r="G10543" t="s">
        <v>30058</v>
      </c>
      <c r="H10543" t="s">
        <v>30067</v>
      </c>
      <c r="I10543" t="s">
        <v>3693</v>
      </c>
      <c r="J10543" t="s">
        <v>36647</v>
      </c>
      <c r="K10543" t="s">
        <v>39046</v>
      </c>
      <c r="M10543" t="s">
        <v>42538</v>
      </c>
      <c r="N10543" t="s">
        <v>43166</v>
      </c>
      <c r="O10543" t="s">
        <v>43167</v>
      </c>
      <c r="P10543">
        <v>0</v>
      </c>
      <c r="Q10543">
        <v>0</v>
      </c>
      <c r="R10543" t="s">
        <v>43179</v>
      </c>
      <c r="S10543" t="s">
        <v>43583</v>
      </c>
      <c r="T10543" t="s">
        <v>44710</v>
      </c>
      <c r="U10543" t="s">
        <v>53647</v>
      </c>
      <c r="W10543" t="s">
        <v>42538</v>
      </c>
      <c r="X10543" t="s">
        <v>43180</v>
      </c>
    </row>
    <row r="10544" spans="1:24">
      <c r="A10544">
        <f>HYPERLINK("https://www.philgeps.gov.ph/GEPSNONPILOT/Tender/SplashBidNoticeAbstractUI.aspx?menuIndex=3&amp;refID=7066162&amp;Result=3","7066162")</f>
        <v>0</v>
      </c>
      <c r="B10544" t="s">
        <v>2093</v>
      </c>
      <c r="C10544" t="s">
        <v>13466</v>
      </c>
      <c r="D10544" t="s">
        <v>17434</v>
      </c>
      <c r="E10544" t="s">
        <v>26529</v>
      </c>
      <c r="F10544" t="s">
        <v>30052</v>
      </c>
      <c r="G10544" t="s">
        <v>30058</v>
      </c>
      <c r="H10544" t="s">
        <v>15498</v>
      </c>
      <c r="I10544" t="s">
        <v>30074</v>
      </c>
      <c r="J10544" t="s">
        <v>36648</v>
      </c>
      <c r="K10544" t="s">
        <v>39025</v>
      </c>
      <c r="M10544" t="s">
        <v>41555</v>
      </c>
      <c r="N10544" t="s">
        <v>43166</v>
      </c>
      <c r="O10544" t="s">
        <v>43167</v>
      </c>
      <c r="Q10544">
        <v>4</v>
      </c>
      <c r="R10544" t="s">
        <v>43179</v>
      </c>
      <c r="S10544" t="s">
        <v>43450</v>
      </c>
      <c r="T10544" t="s">
        <v>44690</v>
      </c>
      <c r="U10544" t="s">
        <v>53648</v>
      </c>
      <c r="W10544" t="s">
        <v>41555</v>
      </c>
      <c r="X10544" t="s">
        <v>43180</v>
      </c>
    </row>
    <row r="10545" spans="1:24">
      <c r="A10545">
        <f>HYPERLINK("https://www.philgeps.gov.ph/GEPSNONPILOT/Tender/SplashBidNoticeAbstractUI.aspx?menuIndex=3&amp;refID=7066155&amp;Result=3","7066155")</f>
        <v>0</v>
      </c>
      <c r="B10545" t="s">
        <v>2975</v>
      </c>
      <c r="C10545" t="s">
        <v>13467</v>
      </c>
      <c r="E10545" t="s">
        <v>20202</v>
      </c>
      <c r="F10545" t="s">
        <v>30054</v>
      </c>
      <c r="G10545" t="s">
        <v>30058</v>
      </c>
      <c r="H10545" t="s">
        <v>15498</v>
      </c>
      <c r="I10545" t="s">
        <v>3736</v>
      </c>
      <c r="J10545" t="s">
        <v>30845</v>
      </c>
      <c r="K10545" t="s">
        <v>39025</v>
      </c>
      <c r="M10545" t="s">
        <v>42543</v>
      </c>
      <c r="N10545" t="s">
        <v>43166</v>
      </c>
      <c r="O10545" t="s">
        <v>43167</v>
      </c>
      <c r="P10545">
        <v>0</v>
      </c>
      <c r="Q10545">
        <v>1</v>
      </c>
      <c r="R10545" t="s">
        <v>43179</v>
      </c>
      <c r="S10545" t="s">
        <v>43583</v>
      </c>
      <c r="T10545" t="s">
        <v>44800</v>
      </c>
      <c r="U10545" t="s">
        <v>47742</v>
      </c>
      <c r="W10545" t="s">
        <v>42543</v>
      </c>
      <c r="X10545" t="s">
        <v>43180</v>
      </c>
    </row>
    <row r="10546" spans="1:24">
      <c r="A10546">
        <f>HYPERLINK("https://www.philgeps.gov.ph/GEPSNONPILOT/Tender/SplashBidNoticeAbstractUI.aspx?menuIndex=3&amp;refID=7066196&amp;Result=3","7066196")</f>
        <v>0</v>
      </c>
      <c r="B10546" t="s">
        <v>602</v>
      </c>
      <c r="C10546" t="s">
        <v>13468</v>
      </c>
      <c r="D10546" t="s">
        <v>17448</v>
      </c>
      <c r="E10546" t="s">
        <v>26530</v>
      </c>
      <c r="F10546" t="s">
        <v>30052</v>
      </c>
      <c r="G10546" t="s">
        <v>30058</v>
      </c>
      <c r="H10546" t="s">
        <v>30067</v>
      </c>
      <c r="I10546" t="s">
        <v>3693</v>
      </c>
      <c r="J10546" t="s">
        <v>34946</v>
      </c>
      <c r="K10546" t="s">
        <v>39022</v>
      </c>
      <c r="L10546" t="s">
        <v>602</v>
      </c>
      <c r="M10546" t="s">
        <v>42544</v>
      </c>
      <c r="N10546" t="s">
        <v>43166</v>
      </c>
      <c r="O10546" t="s">
        <v>43167</v>
      </c>
      <c r="P10546">
        <v>0</v>
      </c>
      <c r="Q10546">
        <v>7</v>
      </c>
      <c r="R10546" t="s">
        <v>43179</v>
      </c>
      <c r="S10546" t="s">
        <v>43583</v>
      </c>
      <c r="T10546" t="s">
        <v>45129</v>
      </c>
      <c r="U10546" t="s">
        <v>53649</v>
      </c>
      <c r="W10546" t="s">
        <v>42544</v>
      </c>
      <c r="X10546" t="s">
        <v>43180</v>
      </c>
    </row>
    <row r="10547" spans="1:24">
      <c r="A10547">
        <f>HYPERLINK("https://www.philgeps.gov.ph/GEPSNONPILOT/Tender/SplashBidNoticeAbstractUI.aspx?menuIndex=3&amp;refID=7066182&amp;Result=3","7066182")</f>
        <v>0</v>
      </c>
      <c r="B10547" t="s">
        <v>2976</v>
      </c>
      <c r="C10547" t="s">
        <v>13469</v>
      </c>
      <c r="D10547" t="s">
        <v>17458</v>
      </c>
      <c r="E10547" t="s">
        <v>21377</v>
      </c>
      <c r="F10547" t="s">
        <v>30052</v>
      </c>
      <c r="G10547" t="s">
        <v>30058</v>
      </c>
      <c r="H10547" t="s">
        <v>15498</v>
      </c>
      <c r="I10547" t="s">
        <v>9238</v>
      </c>
      <c r="J10547" t="s">
        <v>33069</v>
      </c>
      <c r="K10547" t="s">
        <v>39031</v>
      </c>
      <c r="M10547" t="s">
        <v>42545</v>
      </c>
      <c r="N10547" t="s">
        <v>43166</v>
      </c>
      <c r="O10547" t="s">
        <v>43167</v>
      </c>
      <c r="P10547">
        <v>0</v>
      </c>
      <c r="Q10547">
        <v>28</v>
      </c>
      <c r="R10547" t="s">
        <v>43179</v>
      </c>
      <c r="S10547" t="s">
        <v>43583</v>
      </c>
      <c r="T10547" t="s">
        <v>44780</v>
      </c>
      <c r="U10547" t="s">
        <v>53650</v>
      </c>
      <c r="W10547" t="s">
        <v>58694</v>
      </c>
      <c r="X10547" t="s">
        <v>43180</v>
      </c>
    </row>
    <row r="10548" spans="1:24">
      <c r="A10548">
        <f>HYPERLINK("https://www.philgeps.gov.ph/GEPSNONPILOT/Tender/SplashBidNoticeAbstractUI.aspx?menuIndex=3&amp;refID=7066119&amp;Result=3","7066119")</f>
        <v>0</v>
      </c>
      <c r="B10548" t="s">
        <v>2977</v>
      </c>
      <c r="C10548" t="s">
        <v>13470</v>
      </c>
      <c r="D10548" t="s">
        <v>17456</v>
      </c>
      <c r="E10548" t="s">
        <v>26531</v>
      </c>
      <c r="F10548" t="s">
        <v>30052</v>
      </c>
      <c r="G10548" t="s">
        <v>30058</v>
      </c>
      <c r="H10548" t="s">
        <v>30067</v>
      </c>
      <c r="I10548" t="s">
        <v>3693</v>
      </c>
      <c r="J10548" t="s">
        <v>31284</v>
      </c>
      <c r="K10548" t="s">
        <v>39046</v>
      </c>
      <c r="M10548" t="s">
        <v>42546</v>
      </c>
      <c r="N10548" t="s">
        <v>43166</v>
      </c>
      <c r="O10548" t="s">
        <v>43167</v>
      </c>
      <c r="P10548">
        <v>0</v>
      </c>
      <c r="Q10548">
        <v>2</v>
      </c>
      <c r="R10548" t="s">
        <v>43179</v>
      </c>
      <c r="S10548" t="s">
        <v>43583</v>
      </c>
      <c r="T10548" t="s">
        <v>44753</v>
      </c>
      <c r="U10548" t="s">
        <v>53651</v>
      </c>
      <c r="W10548" t="s">
        <v>42546</v>
      </c>
      <c r="X10548" t="s">
        <v>43180</v>
      </c>
    </row>
    <row r="10549" spans="1:24">
      <c r="A10549">
        <f>HYPERLINK("https://www.philgeps.gov.ph/GEPSNONPILOT/Tender/SplashBidNoticeAbstractUI.aspx?menuIndex=3&amp;refID=7066116&amp;Result=3","7066116")</f>
        <v>0</v>
      </c>
      <c r="B10549" t="s">
        <v>2931</v>
      </c>
      <c r="C10549" t="s">
        <v>13471</v>
      </c>
      <c r="D10549" t="s">
        <v>17435</v>
      </c>
      <c r="E10549" t="s">
        <v>26443</v>
      </c>
      <c r="F10549" t="s">
        <v>30052</v>
      </c>
      <c r="G10549" t="s">
        <v>30058</v>
      </c>
      <c r="H10549" t="s">
        <v>15498</v>
      </c>
      <c r="I10549" t="s">
        <v>3736</v>
      </c>
      <c r="J10549" t="s">
        <v>36649</v>
      </c>
      <c r="K10549" t="s">
        <v>39034</v>
      </c>
      <c r="L10549" t="s">
        <v>2931</v>
      </c>
      <c r="M10549" t="s">
        <v>42494</v>
      </c>
      <c r="N10549" t="s">
        <v>43166</v>
      </c>
      <c r="O10549" t="s">
        <v>43167</v>
      </c>
      <c r="P10549">
        <v>0</v>
      </c>
      <c r="Q10549">
        <v>1</v>
      </c>
      <c r="R10549" t="s">
        <v>43179</v>
      </c>
      <c r="S10549" t="s">
        <v>43583</v>
      </c>
      <c r="T10549" t="s">
        <v>44681</v>
      </c>
      <c r="U10549" t="s">
        <v>53652</v>
      </c>
      <c r="W10549" t="s">
        <v>42494</v>
      </c>
      <c r="X10549" t="s">
        <v>43180</v>
      </c>
    </row>
    <row r="10550" spans="1:24">
      <c r="A10550">
        <f>HYPERLINK("https://www.philgeps.gov.ph/GEPSNONPILOT/Tender/SplashBidNoticeAbstractUI.aspx?menuIndex=3&amp;refID=7066111&amp;Result=3","7066111")</f>
        <v>0</v>
      </c>
      <c r="B10550" t="s">
        <v>1104</v>
      </c>
      <c r="C10550" t="s">
        <v>13472</v>
      </c>
      <c r="D10550" t="s">
        <v>17449</v>
      </c>
      <c r="E10550" t="s">
        <v>26532</v>
      </c>
      <c r="F10550" t="s">
        <v>30052</v>
      </c>
      <c r="G10550" t="s">
        <v>30058</v>
      </c>
      <c r="H10550" t="s">
        <v>30067</v>
      </c>
      <c r="I10550" t="s">
        <v>3693</v>
      </c>
      <c r="J10550" t="s">
        <v>31851</v>
      </c>
      <c r="K10550" t="s">
        <v>39087</v>
      </c>
      <c r="M10550" t="s">
        <v>40443</v>
      </c>
      <c r="N10550" t="s">
        <v>43166</v>
      </c>
      <c r="O10550" t="s">
        <v>43167</v>
      </c>
      <c r="P10550">
        <v>0</v>
      </c>
      <c r="Q10550">
        <v>13</v>
      </c>
      <c r="R10550" t="s">
        <v>43179</v>
      </c>
      <c r="S10550" t="s">
        <v>43583</v>
      </c>
      <c r="T10550" t="s">
        <v>44699</v>
      </c>
      <c r="U10550" t="s">
        <v>47517</v>
      </c>
      <c r="W10550" t="s">
        <v>40443</v>
      </c>
      <c r="X10550" t="s">
        <v>43180</v>
      </c>
    </row>
    <row r="10551" spans="1:24">
      <c r="A10551">
        <f>HYPERLINK("https://www.philgeps.gov.ph/GEPSNONPILOT/Tender/SplashBidNoticeAbstractUI.aspx?menuIndex=3&amp;refID=7066102&amp;Result=3","7066102")</f>
        <v>0</v>
      </c>
      <c r="B10551" t="s">
        <v>1104</v>
      </c>
      <c r="C10551" t="s">
        <v>13473</v>
      </c>
      <c r="D10551" t="s">
        <v>17449</v>
      </c>
      <c r="E10551" t="s">
        <v>26533</v>
      </c>
      <c r="F10551" t="s">
        <v>30052</v>
      </c>
      <c r="G10551" t="s">
        <v>30058</v>
      </c>
      <c r="H10551" t="s">
        <v>30067</v>
      </c>
      <c r="I10551" t="s">
        <v>3693</v>
      </c>
      <c r="J10551" t="s">
        <v>31851</v>
      </c>
      <c r="K10551" t="s">
        <v>39127</v>
      </c>
      <c r="M10551" t="s">
        <v>40443</v>
      </c>
      <c r="N10551" t="s">
        <v>43166</v>
      </c>
      <c r="O10551" t="s">
        <v>43167</v>
      </c>
      <c r="P10551">
        <v>0</v>
      </c>
      <c r="Q10551">
        <v>13</v>
      </c>
      <c r="R10551" t="s">
        <v>43179</v>
      </c>
      <c r="S10551" t="s">
        <v>43583</v>
      </c>
      <c r="T10551" t="s">
        <v>44699</v>
      </c>
      <c r="U10551" t="s">
        <v>47517</v>
      </c>
      <c r="W10551" t="s">
        <v>40443</v>
      </c>
      <c r="X10551" t="s">
        <v>43180</v>
      </c>
    </row>
    <row r="10552" spans="1:24">
      <c r="A10552">
        <f>HYPERLINK("https://www.philgeps.gov.ph/GEPSNONPILOT/Tender/SplashBidNoticeAbstractUI.aspx?menuIndex=3&amp;refID=7066100&amp;Result=3","7066100")</f>
        <v>0</v>
      </c>
      <c r="B10552" t="s">
        <v>2510</v>
      </c>
      <c r="C10552" t="s">
        <v>13474</v>
      </c>
      <c r="D10552" t="s">
        <v>17475</v>
      </c>
      <c r="E10552" t="s">
        <v>26534</v>
      </c>
      <c r="F10552" t="s">
        <v>30055</v>
      </c>
      <c r="G10552" t="s">
        <v>30058</v>
      </c>
      <c r="H10552" t="s">
        <v>15498</v>
      </c>
      <c r="I10552" t="s">
        <v>3736</v>
      </c>
      <c r="J10552" t="s">
        <v>36650</v>
      </c>
      <c r="K10552" t="s">
        <v>39017</v>
      </c>
      <c r="M10552" t="s">
        <v>42015</v>
      </c>
      <c r="N10552" t="s">
        <v>43166</v>
      </c>
      <c r="O10552" t="s">
        <v>43167</v>
      </c>
      <c r="P10552">
        <v>0</v>
      </c>
      <c r="Q10552">
        <v>1</v>
      </c>
      <c r="R10552" t="s">
        <v>43179</v>
      </c>
      <c r="S10552" t="s">
        <v>43583</v>
      </c>
      <c r="T10552" t="s">
        <v>45012</v>
      </c>
      <c r="U10552" t="s">
        <v>53653</v>
      </c>
      <c r="V10552" t="s">
        <v>58022</v>
      </c>
      <c r="W10552" t="s">
        <v>42015</v>
      </c>
      <c r="X10552" t="s">
        <v>43180</v>
      </c>
    </row>
    <row r="10553" spans="1:24">
      <c r="A10553">
        <f>HYPERLINK("https://www.philgeps.gov.ph/GEPSNONPILOT/Tender/SplashBidNoticeAbstractUI.aspx?menuIndex=3&amp;refID=7065990&amp;Result=3","7065990")</f>
        <v>0</v>
      </c>
      <c r="B10553" t="s">
        <v>2978</v>
      </c>
      <c r="C10553" t="s">
        <v>13475</v>
      </c>
      <c r="D10553" t="s">
        <v>17420</v>
      </c>
      <c r="E10553" t="s">
        <v>26535</v>
      </c>
      <c r="F10553" t="s">
        <v>30052</v>
      </c>
      <c r="G10553" t="s">
        <v>30058</v>
      </c>
      <c r="H10553" t="s">
        <v>30067</v>
      </c>
      <c r="I10553" t="s">
        <v>3693</v>
      </c>
      <c r="J10553" t="s">
        <v>36651</v>
      </c>
      <c r="K10553" t="s">
        <v>39122</v>
      </c>
      <c r="M10553" t="s">
        <v>42547</v>
      </c>
      <c r="N10553" t="s">
        <v>43166</v>
      </c>
      <c r="O10553" t="s">
        <v>43167</v>
      </c>
      <c r="P10553">
        <v>0</v>
      </c>
      <c r="Q10553">
        <v>1</v>
      </c>
      <c r="R10553" t="s">
        <v>43179</v>
      </c>
      <c r="S10553" t="s">
        <v>43583</v>
      </c>
      <c r="T10553" t="s">
        <v>44699</v>
      </c>
      <c r="U10553" t="s">
        <v>53654</v>
      </c>
      <c r="W10553" t="s">
        <v>42547</v>
      </c>
      <c r="X10553" t="s">
        <v>43180</v>
      </c>
    </row>
    <row r="10554" spans="1:24">
      <c r="A10554">
        <f>HYPERLINK("https://www.philgeps.gov.ph/GEPSNONPILOT/Tender/SplashBidNoticeAbstractUI.aspx?menuIndex=3&amp;refID=7066098&amp;Result=3","7066098")</f>
        <v>0</v>
      </c>
      <c r="B10554" t="s">
        <v>377</v>
      </c>
      <c r="C10554" t="s">
        <v>5150</v>
      </c>
      <c r="D10554" t="s">
        <v>17447</v>
      </c>
      <c r="E10554" t="s">
        <v>26536</v>
      </c>
      <c r="F10554" t="s">
        <v>30052</v>
      </c>
      <c r="G10554" t="s">
        <v>30058</v>
      </c>
      <c r="H10554" t="s">
        <v>15498</v>
      </c>
      <c r="I10554" t="s">
        <v>30076</v>
      </c>
      <c r="J10554" t="s">
        <v>36652</v>
      </c>
      <c r="K10554" t="s">
        <v>39031</v>
      </c>
      <c r="M10554" t="s">
        <v>42534</v>
      </c>
      <c r="N10554" t="s">
        <v>43166</v>
      </c>
      <c r="O10554" t="s">
        <v>43167</v>
      </c>
      <c r="P10554">
        <v>0</v>
      </c>
      <c r="Q10554">
        <v>16</v>
      </c>
      <c r="R10554" t="s">
        <v>43179</v>
      </c>
      <c r="S10554" t="s">
        <v>43583</v>
      </c>
      <c r="T10554" t="s">
        <v>44750</v>
      </c>
      <c r="U10554" t="s">
        <v>53655</v>
      </c>
      <c r="W10554" t="s">
        <v>42534</v>
      </c>
      <c r="X10554" t="s">
        <v>43180</v>
      </c>
    </row>
    <row r="10555" spans="1:24">
      <c r="A10555">
        <f>HYPERLINK("https://www.philgeps.gov.ph/GEPSNONPILOT/Tender/SplashBidNoticeAbstractUI.aspx?menuIndex=3&amp;refID=7066141&amp;Result=3","7066141")</f>
        <v>0</v>
      </c>
      <c r="B10555" t="s">
        <v>2248</v>
      </c>
      <c r="C10555" t="s">
        <v>13476</v>
      </c>
      <c r="D10555" t="s">
        <v>17424</v>
      </c>
      <c r="E10555" t="s">
        <v>26537</v>
      </c>
      <c r="F10555" t="s">
        <v>30052</v>
      </c>
      <c r="G10555" t="s">
        <v>30058</v>
      </c>
      <c r="H10555" t="s">
        <v>30067</v>
      </c>
      <c r="I10555" t="s">
        <v>3693</v>
      </c>
      <c r="J10555" t="s">
        <v>31851</v>
      </c>
      <c r="K10555" t="s">
        <v>39078</v>
      </c>
      <c r="M10555" t="s">
        <v>41726</v>
      </c>
      <c r="N10555" t="s">
        <v>43166</v>
      </c>
      <c r="O10555" t="s">
        <v>43167</v>
      </c>
      <c r="Q10555">
        <v>32</v>
      </c>
      <c r="R10555" t="s">
        <v>43179</v>
      </c>
      <c r="S10555" t="s">
        <v>43625</v>
      </c>
      <c r="T10555" t="s">
        <v>44764</v>
      </c>
      <c r="U10555" t="s">
        <v>52828</v>
      </c>
      <c r="W10555" t="s">
        <v>41726</v>
      </c>
      <c r="X10555" t="s">
        <v>43180</v>
      </c>
    </row>
    <row r="10556" spans="1:24">
      <c r="A10556">
        <f>HYPERLINK("https://www.philgeps.gov.ph/GEPSNONPILOT/Tender/SplashBidNoticeAbstractUI.aspx?menuIndex=3&amp;refID=7066080&amp;Result=3","7066080")</f>
        <v>0</v>
      </c>
      <c r="B10556" t="s">
        <v>757</v>
      </c>
      <c r="C10556" t="s">
        <v>13477</v>
      </c>
      <c r="D10556" t="s">
        <v>17462</v>
      </c>
      <c r="E10556" t="s">
        <v>26538</v>
      </c>
      <c r="F10556" t="s">
        <v>30052</v>
      </c>
      <c r="G10556" t="s">
        <v>30058</v>
      </c>
      <c r="H10556" t="s">
        <v>15498</v>
      </c>
      <c r="I10556" t="s">
        <v>3606</v>
      </c>
      <c r="J10556" t="s">
        <v>36653</v>
      </c>
      <c r="K10556" t="s">
        <v>39025</v>
      </c>
      <c r="M10556" t="s">
        <v>40071</v>
      </c>
      <c r="N10556" t="s">
        <v>43166</v>
      </c>
      <c r="O10556" t="s">
        <v>43167</v>
      </c>
      <c r="P10556">
        <v>0</v>
      </c>
      <c r="Q10556">
        <v>6</v>
      </c>
      <c r="R10556" t="s">
        <v>43179</v>
      </c>
      <c r="S10556" t="s">
        <v>43583</v>
      </c>
      <c r="T10556" t="s">
        <v>45012</v>
      </c>
      <c r="U10556" t="s">
        <v>53656</v>
      </c>
      <c r="W10556" t="s">
        <v>58695</v>
      </c>
      <c r="X10556" t="s">
        <v>43180</v>
      </c>
    </row>
    <row r="10557" spans="1:24">
      <c r="A10557">
        <f>HYPERLINK("https://www.philgeps.gov.ph/GEPSNONPILOT/Tender/SplashBidNoticeAbstractUI.aspx?menuIndex=3&amp;refID=7066167&amp;Result=3","7066167")</f>
        <v>0</v>
      </c>
      <c r="B10557" t="s">
        <v>2975</v>
      </c>
      <c r="C10557" t="s">
        <v>13478</v>
      </c>
      <c r="E10557" t="s">
        <v>20202</v>
      </c>
      <c r="F10557" t="s">
        <v>30054</v>
      </c>
      <c r="G10557" t="s">
        <v>30058</v>
      </c>
      <c r="H10557" t="s">
        <v>15498</v>
      </c>
      <c r="I10557" t="s">
        <v>3736</v>
      </c>
      <c r="J10557" t="s">
        <v>30374</v>
      </c>
      <c r="K10557" t="s">
        <v>39025</v>
      </c>
      <c r="M10557" t="s">
        <v>42543</v>
      </c>
      <c r="N10557" t="s">
        <v>43166</v>
      </c>
      <c r="O10557" t="s">
        <v>43167</v>
      </c>
      <c r="P10557">
        <v>0</v>
      </c>
      <c r="Q10557">
        <v>0</v>
      </c>
      <c r="R10557" t="s">
        <v>43179</v>
      </c>
      <c r="S10557" t="s">
        <v>43583</v>
      </c>
      <c r="T10557" t="s">
        <v>44800</v>
      </c>
      <c r="U10557" t="s">
        <v>47742</v>
      </c>
      <c r="W10557" t="s">
        <v>42543</v>
      </c>
      <c r="X10557" t="s">
        <v>43180</v>
      </c>
    </row>
    <row r="10558" spans="1:24">
      <c r="A10558">
        <f>HYPERLINK("https://www.philgeps.gov.ph/GEPSNONPILOT/Tender/SplashBidNoticeAbstractUI.aspx?menuIndex=3&amp;refID=7066290&amp;Result=3","7066290")</f>
        <v>0</v>
      </c>
      <c r="B10558" t="s">
        <v>2931</v>
      </c>
      <c r="C10558" t="s">
        <v>13479</v>
      </c>
      <c r="D10558" t="s">
        <v>17435</v>
      </c>
      <c r="E10558" t="s">
        <v>26539</v>
      </c>
      <c r="F10558" t="s">
        <v>30052</v>
      </c>
      <c r="G10558" t="s">
        <v>30058</v>
      </c>
      <c r="H10558" t="s">
        <v>15498</v>
      </c>
      <c r="I10558" t="s">
        <v>3736</v>
      </c>
      <c r="J10558" t="s">
        <v>36654</v>
      </c>
      <c r="K10558" t="s">
        <v>39034</v>
      </c>
      <c r="L10558" t="s">
        <v>2931</v>
      </c>
      <c r="M10558" t="s">
        <v>42494</v>
      </c>
      <c r="N10558" t="s">
        <v>43166</v>
      </c>
      <c r="O10558" t="s">
        <v>43167</v>
      </c>
      <c r="P10558">
        <v>0</v>
      </c>
      <c r="Q10558">
        <v>2</v>
      </c>
      <c r="R10558" t="s">
        <v>43179</v>
      </c>
      <c r="S10558" t="s">
        <v>43583</v>
      </c>
      <c r="T10558" t="s">
        <v>44681</v>
      </c>
      <c r="U10558" t="s">
        <v>53514</v>
      </c>
      <c r="W10558" t="s">
        <v>42494</v>
      </c>
      <c r="X10558" t="s">
        <v>43180</v>
      </c>
    </row>
    <row r="10559" spans="1:24">
      <c r="A10559">
        <f>HYPERLINK("https://www.philgeps.gov.ph/GEPSNONPILOT/Tender/SplashBidNoticeAbstractUI.aspx?menuIndex=3&amp;refID=7065867&amp;Result=3","7065867")</f>
        <v>0</v>
      </c>
      <c r="B10559" t="s">
        <v>781</v>
      </c>
      <c r="C10559" t="s">
        <v>9679</v>
      </c>
      <c r="D10559" t="s">
        <v>17425</v>
      </c>
      <c r="E10559" t="s">
        <v>26540</v>
      </c>
      <c r="F10559" t="s">
        <v>30052</v>
      </c>
      <c r="G10559" t="s">
        <v>30058</v>
      </c>
      <c r="H10559" t="s">
        <v>30067</v>
      </c>
      <c r="I10559" t="s">
        <v>3693</v>
      </c>
      <c r="J10559" t="s">
        <v>36655</v>
      </c>
      <c r="K10559" t="s">
        <v>39031</v>
      </c>
      <c r="M10559" t="s">
        <v>40096</v>
      </c>
      <c r="N10559" t="s">
        <v>43166</v>
      </c>
      <c r="O10559" t="s">
        <v>43167</v>
      </c>
      <c r="P10559">
        <v>0</v>
      </c>
      <c r="Q10559">
        <v>1</v>
      </c>
      <c r="R10559" t="s">
        <v>43179</v>
      </c>
      <c r="S10559" t="s">
        <v>43583</v>
      </c>
      <c r="T10559" t="s">
        <v>44690</v>
      </c>
      <c r="U10559" t="s">
        <v>53657</v>
      </c>
      <c r="W10559" t="s">
        <v>40096</v>
      </c>
      <c r="X10559" t="s">
        <v>43180</v>
      </c>
    </row>
    <row r="10560" spans="1:24">
      <c r="A10560">
        <f>HYPERLINK("https://www.philgeps.gov.ph/GEPSNONPILOT/Tender/SplashBidNoticeAbstractUI.aspx?menuIndex=3&amp;refID=7066087&amp;Result=3","7066087")</f>
        <v>0</v>
      </c>
      <c r="B10560" t="s">
        <v>1104</v>
      </c>
      <c r="C10560" t="s">
        <v>13480</v>
      </c>
      <c r="D10560" t="s">
        <v>17449</v>
      </c>
      <c r="E10560" t="s">
        <v>26541</v>
      </c>
      <c r="F10560" t="s">
        <v>30052</v>
      </c>
      <c r="G10560" t="s">
        <v>30058</v>
      </c>
      <c r="H10560" t="s">
        <v>30067</v>
      </c>
      <c r="I10560" t="s">
        <v>3693</v>
      </c>
      <c r="J10560" t="s">
        <v>31851</v>
      </c>
      <c r="K10560" t="s">
        <v>39189</v>
      </c>
      <c r="M10560" t="s">
        <v>40443</v>
      </c>
      <c r="N10560" t="s">
        <v>43166</v>
      </c>
      <c r="O10560" t="s">
        <v>43167</v>
      </c>
      <c r="P10560">
        <v>0</v>
      </c>
      <c r="Q10560">
        <v>13</v>
      </c>
      <c r="R10560" t="s">
        <v>43179</v>
      </c>
      <c r="S10560" t="s">
        <v>43583</v>
      </c>
      <c r="T10560" t="s">
        <v>44699</v>
      </c>
      <c r="U10560" t="s">
        <v>47517</v>
      </c>
      <c r="W10560" t="s">
        <v>40443</v>
      </c>
      <c r="X10560" t="s">
        <v>43180</v>
      </c>
    </row>
    <row r="10561" spans="1:24">
      <c r="A10561">
        <f>HYPERLINK("https://www.philgeps.gov.ph/GEPSNONPILOT/Tender/SplashBidNoticeAbstractUI.aspx?menuIndex=3&amp;refID=7065870&amp;Result=3","7065870")</f>
        <v>0</v>
      </c>
      <c r="B10561" t="s">
        <v>415</v>
      </c>
      <c r="C10561" t="s">
        <v>13481</v>
      </c>
      <c r="D10561" t="s">
        <v>17472</v>
      </c>
      <c r="E10561" t="s">
        <v>26542</v>
      </c>
      <c r="F10561" t="s">
        <v>30052</v>
      </c>
      <c r="G10561" t="s">
        <v>30058</v>
      </c>
      <c r="H10561" t="s">
        <v>15498</v>
      </c>
      <c r="I10561" t="s">
        <v>30081</v>
      </c>
      <c r="J10561" t="s">
        <v>36622</v>
      </c>
      <c r="K10561" t="s">
        <v>39034</v>
      </c>
      <c r="M10561" t="s">
        <v>40024</v>
      </c>
      <c r="N10561" t="s">
        <v>43166</v>
      </c>
      <c r="O10561" t="s">
        <v>43167</v>
      </c>
      <c r="P10561">
        <v>0</v>
      </c>
      <c r="Q10561">
        <v>2</v>
      </c>
      <c r="R10561" t="s">
        <v>43179</v>
      </c>
      <c r="S10561" t="s">
        <v>43583</v>
      </c>
      <c r="T10561" t="s">
        <v>44791</v>
      </c>
      <c r="U10561" t="s">
        <v>53599</v>
      </c>
      <c r="V10561" t="s">
        <v>57013</v>
      </c>
      <c r="W10561" t="s">
        <v>58610</v>
      </c>
      <c r="X10561" t="s">
        <v>43180</v>
      </c>
    </row>
    <row r="10562" spans="1:24">
      <c r="A10562">
        <f>HYPERLINK("https://www.philgeps.gov.ph/GEPSNONPILOT/Tender/SplashBidNoticeAbstractUI.aspx?menuIndex=3&amp;refID=7065850&amp;Result=3","7065850")</f>
        <v>0</v>
      </c>
      <c r="B10562" t="s">
        <v>592</v>
      </c>
      <c r="C10562" t="s">
        <v>13482</v>
      </c>
      <c r="D10562" t="s">
        <v>17461</v>
      </c>
      <c r="E10562" t="s">
        <v>13482</v>
      </c>
      <c r="F10562" t="s">
        <v>30052</v>
      </c>
      <c r="G10562" t="s">
        <v>30058</v>
      </c>
      <c r="H10562" t="s">
        <v>15498</v>
      </c>
      <c r="I10562" t="s">
        <v>4598</v>
      </c>
      <c r="J10562" t="s">
        <v>36656</v>
      </c>
      <c r="K10562" t="s">
        <v>39029</v>
      </c>
      <c r="M10562" t="s">
        <v>41301</v>
      </c>
      <c r="N10562" t="s">
        <v>43166</v>
      </c>
      <c r="O10562" t="s">
        <v>43167</v>
      </c>
      <c r="P10562">
        <v>0</v>
      </c>
      <c r="Q10562">
        <v>10</v>
      </c>
      <c r="R10562" t="s">
        <v>43179</v>
      </c>
      <c r="S10562" t="s">
        <v>43583</v>
      </c>
      <c r="T10562" t="s">
        <v>44761</v>
      </c>
      <c r="U10562" t="s">
        <v>53658</v>
      </c>
      <c r="W10562" t="s">
        <v>41301</v>
      </c>
      <c r="X10562" t="s">
        <v>43180</v>
      </c>
    </row>
    <row r="10563" spans="1:24">
      <c r="A10563">
        <f>HYPERLINK("https://www.philgeps.gov.ph/GEPSNONPILOT/Tender/SplashBidNoticeAbstractUI.aspx?menuIndex=3&amp;refID=7066299&amp;Result=3","7066299")</f>
        <v>0</v>
      </c>
      <c r="B10563" t="s">
        <v>602</v>
      </c>
      <c r="C10563" t="s">
        <v>13483</v>
      </c>
      <c r="D10563" t="s">
        <v>17448</v>
      </c>
      <c r="E10563" t="s">
        <v>26543</v>
      </c>
      <c r="F10563" t="s">
        <v>30052</v>
      </c>
      <c r="G10563" t="s">
        <v>30058</v>
      </c>
      <c r="H10563" t="s">
        <v>15498</v>
      </c>
      <c r="I10563" t="s">
        <v>3693</v>
      </c>
      <c r="J10563" t="s">
        <v>34946</v>
      </c>
      <c r="K10563" t="s">
        <v>39069</v>
      </c>
      <c r="L10563" t="s">
        <v>602</v>
      </c>
      <c r="M10563" t="s">
        <v>42544</v>
      </c>
      <c r="N10563" t="s">
        <v>43166</v>
      </c>
      <c r="O10563" t="s">
        <v>43167</v>
      </c>
      <c r="P10563">
        <v>0</v>
      </c>
      <c r="Q10563">
        <v>4</v>
      </c>
      <c r="R10563" t="s">
        <v>43179</v>
      </c>
      <c r="S10563" t="s">
        <v>43583</v>
      </c>
      <c r="T10563" t="s">
        <v>45129</v>
      </c>
      <c r="U10563" t="s">
        <v>53649</v>
      </c>
      <c r="W10563" t="s">
        <v>42544</v>
      </c>
      <c r="X10563" t="s">
        <v>43180</v>
      </c>
    </row>
    <row r="10564" spans="1:24">
      <c r="A10564">
        <f>HYPERLINK("https://www.philgeps.gov.ph/GEPSNONPILOT/Tender/SplashBidNoticeAbstractUI.aspx?menuIndex=3&amp;refID=7066318&amp;Result=3","7066318")</f>
        <v>0</v>
      </c>
      <c r="B10564" t="s">
        <v>2689</v>
      </c>
      <c r="C10564" t="s">
        <v>13484</v>
      </c>
      <c r="D10564" t="s">
        <v>17422</v>
      </c>
      <c r="E10564" t="s">
        <v>26544</v>
      </c>
      <c r="F10564" t="s">
        <v>30052</v>
      </c>
      <c r="G10564" t="s">
        <v>30058</v>
      </c>
      <c r="H10564" t="s">
        <v>15498</v>
      </c>
      <c r="I10564" t="s">
        <v>3606</v>
      </c>
      <c r="J10564" t="s">
        <v>36657</v>
      </c>
      <c r="K10564" t="s">
        <v>39046</v>
      </c>
      <c r="M10564" t="s">
        <v>42548</v>
      </c>
      <c r="N10564" t="s">
        <v>43166</v>
      </c>
      <c r="O10564" t="s">
        <v>43167</v>
      </c>
      <c r="P10564">
        <v>0</v>
      </c>
      <c r="Q10564">
        <v>9</v>
      </c>
      <c r="R10564" t="s">
        <v>43179</v>
      </c>
      <c r="S10564" t="s">
        <v>43583</v>
      </c>
      <c r="T10564" t="s">
        <v>44762</v>
      </c>
      <c r="U10564" t="s">
        <v>53659</v>
      </c>
      <c r="V10564" t="s">
        <v>58023</v>
      </c>
      <c r="W10564" t="s">
        <v>42548</v>
      </c>
      <c r="X10564" t="s">
        <v>43180</v>
      </c>
    </row>
    <row r="10565" spans="1:24">
      <c r="A10565">
        <f>HYPERLINK("https://www.philgeps.gov.ph/GEPSNONPILOT/Tender/SplashBidNoticeAbstractUI.aspx?menuIndex=3&amp;refID=7066260&amp;Result=3","7066260")</f>
        <v>0</v>
      </c>
      <c r="B10565" t="s">
        <v>1432</v>
      </c>
      <c r="C10565" t="s">
        <v>13485</v>
      </c>
      <c r="D10565" t="s">
        <v>17417</v>
      </c>
      <c r="E10565" t="s">
        <v>26545</v>
      </c>
      <c r="F10565" t="s">
        <v>30052</v>
      </c>
      <c r="G10565" t="s">
        <v>30058</v>
      </c>
      <c r="H10565" t="s">
        <v>15498</v>
      </c>
      <c r="I10565" t="s">
        <v>3852</v>
      </c>
      <c r="J10565" t="s">
        <v>30222</v>
      </c>
      <c r="K10565" t="s">
        <v>39029</v>
      </c>
      <c r="M10565" t="s">
        <v>40810</v>
      </c>
      <c r="N10565" t="s">
        <v>43166</v>
      </c>
      <c r="O10565" t="s">
        <v>43167</v>
      </c>
      <c r="P10565">
        <v>0</v>
      </c>
      <c r="Q10565">
        <v>1</v>
      </c>
      <c r="R10565" t="s">
        <v>43179</v>
      </c>
      <c r="S10565" t="s">
        <v>43583</v>
      </c>
      <c r="T10565" t="s">
        <v>44690</v>
      </c>
      <c r="U10565" t="s">
        <v>53660</v>
      </c>
      <c r="W10565" t="s">
        <v>40810</v>
      </c>
      <c r="X10565" t="s">
        <v>43180</v>
      </c>
    </row>
    <row r="10566" spans="1:24">
      <c r="A10566">
        <f>HYPERLINK("https://www.philgeps.gov.ph/GEPSNONPILOT/Tender/SplashBidNoticeAbstractUI.aspx?menuIndex=3&amp;refID=7066303&amp;Result=3","7066303")</f>
        <v>0</v>
      </c>
      <c r="B10566" t="s">
        <v>609</v>
      </c>
      <c r="C10566" t="s">
        <v>13486</v>
      </c>
      <c r="D10566" t="s">
        <v>17445</v>
      </c>
      <c r="E10566" t="s">
        <v>26546</v>
      </c>
      <c r="F10566" t="s">
        <v>30052</v>
      </c>
      <c r="G10566" t="s">
        <v>30058</v>
      </c>
      <c r="H10566" t="s">
        <v>30067</v>
      </c>
      <c r="I10566" t="s">
        <v>3693</v>
      </c>
      <c r="J10566" t="s">
        <v>36658</v>
      </c>
      <c r="K10566" t="s">
        <v>39029</v>
      </c>
      <c r="M10566" t="s">
        <v>39911</v>
      </c>
      <c r="N10566" t="s">
        <v>43166</v>
      </c>
      <c r="O10566" t="s">
        <v>43167</v>
      </c>
      <c r="P10566">
        <v>0</v>
      </c>
      <c r="Q10566">
        <v>0</v>
      </c>
      <c r="R10566" t="s">
        <v>43179</v>
      </c>
      <c r="S10566" t="s">
        <v>43583</v>
      </c>
      <c r="T10566" t="s">
        <v>44780</v>
      </c>
      <c r="U10566" t="s">
        <v>53646</v>
      </c>
      <c r="W10566" t="s">
        <v>39911</v>
      </c>
      <c r="X10566" t="s">
        <v>43180</v>
      </c>
    </row>
    <row r="10567" spans="1:24">
      <c r="A10567">
        <f>HYPERLINK("https://www.philgeps.gov.ph/GEPSNONPILOT/Tender/SplashBidNoticeAbstractUI.aspx?menuIndex=3&amp;refID=7066298&amp;Result=3","7066298")</f>
        <v>0</v>
      </c>
      <c r="B10567" t="s">
        <v>443</v>
      </c>
      <c r="C10567" t="s">
        <v>13487</v>
      </c>
      <c r="D10567" t="s">
        <v>17425</v>
      </c>
      <c r="E10567" t="s">
        <v>26547</v>
      </c>
      <c r="F10567" t="s">
        <v>30052</v>
      </c>
      <c r="G10567" t="s">
        <v>30058</v>
      </c>
      <c r="H10567" t="s">
        <v>30067</v>
      </c>
      <c r="I10567" t="s">
        <v>3693</v>
      </c>
      <c r="J10567" t="s">
        <v>32337</v>
      </c>
      <c r="K10567" t="s">
        <v>39031</v>
      </c>
      <c r="M10567" t="s">
        <v>39743</v>
      </c>
      <c r="N10567" t="s">
        <v>43166</v>
      </c>
      <c r="O10567" t="s">
        <v>43167</v>
      </c>
      <c r="P10567">
        <v>0</v>
      </c>
      <c r="Q10567">
        <v>0</v>
      </c>
      <c r="R10567" t="s">
        <v>43179</v>
      </c>
      <c r="S10567" t="s">
        <v>43583</v>
      </c>
      <c r="T10567" t="s">
        <v>45115</v>
      </c>
      <c r="U10567" t="s">
        <v>53661</v>
      </c>
      <c r="W10567" t="s">
        <v>39743</v>
      </c>
      <c r="X10567" t="s">
        <v>43180</v>
      </c>
    </row>
    <row r="10568" spans="1:24">
      <c r="A10568">
        <f>HYPERLINK("https://www.philgeps.gov.ph/GEPSNONPILOT/Tender/SplashBidNoticeAbstractUI.aspx?menuIndex=3&amp;refID=7065961&amp;Result=3","7065961")</f>
        <v>0</v>
      </c>
      <c r="B10568" t="s">
        <v>415</v>
      </c>
      <c r="C10568" t="s">
        <v>13488</v>
      </c>
      <c r="D10568" t="s">
        <v>17472</v>
      </c>
      <c r="E10568" t="s">
        <v>26548</v>
      </c>
      <c r="F10568" t="s">
        <v>30052</v>
      </c>
      <c r="G10568" t="s">
        <v>30058</v>
      </c>
      <c r="H10568" t="s">
        <v>15498</v>
      </c>
      <c r="I10568" t="s">
        <v>4598</v>
      </c>
      <c r="J10568" t="s">
        <v>36659</v>
      </c>
      <c r="K10568" t="s">
        <v>39034</v>
      </c>
      <c r="M10568" t="s">
        <v>40024</v>
      </c>
      <c r="N10568" t="s">
        <v>43166</v>
      </c>
      <c r="O10568" t="s">
        <v>43167</v>
      </c>
      <c r="P10568">
        <v>0</v>
      </c>
      <c r="Q10568">
        <v>7</v>
      </c>
      <c r="R10568" t="s">
        <v>43179</v>
      </c>
      <c r="S10568" t="s">
        <v>43583</v>
      </c>
      <c r="T10568" t="s">
        <v>44791</v>
      </c>
      <c r="U10568" t="s">
        <v>53599</v>
      </c>
      <c r="V10568" t="s">
        <v>57013</v>
      </c>
      <c r="W10568" t="s">
        <v>58610</v>
      </c>
      <c r="X10568" t="s">
        <v>43180</v>
      </c>
    </row>
    <row r="10569" spans="1:24">
      <c r="A10569">
        <f>HYPERLINK("https://www.philgeps.gov.ph/GEPSNONPILOT/Tender/SplashBidNoticeAbstractUI.aspx?menuIndex=3&amp;refID=7066133&amp;Result=3","7066133")</f>
        <v>0</v>
      </c>
      <c r="B10569" t="s">
        <v>757</v>
      </c>
      <c r="C10569" t="s">
        <v>13489</v>
      </c>
      <c r="D10569" t="s">
        <v>17462</v>
      </c>
      <c r="E10569" t="s">
        <v>26549</v>
      </c>
      <c r="F10569" t="s">
        <v>30052</v>
      </c>
      <c r="G10569" t="s">
        <v>30058</v>
      </c>
      <c r="H10569" t="s">
        <v>15498</v>
      </c>
      <c r="I10569" t="s">
        <v>30107</v>
      </c>
      <c r="J10569" t="s">
        <v>36660</v>
      </c>
      <c r="K10569" t="s">
        <v>39025</v>
      </c>
      <c r="M10569" t="s">
        <v>40071</v>
      </c>
      <c r="N10569" t="s">
        <v>43166</v>
      </c>
      <c r="O10569" t="s">
        <v>43167</v>
      </c>
      <c r="P10569">
        <v>0</v>
      </c>
      <c r="Q10569">
        <v>4</v>
      </c>
      <c r="R10569" t="s">
        <v>43179</v>
      </c>
      <c r="S10569" t="s">
        <v>43583</v>
      </c>
      <c r="T10569" t="s">
        <v>45012</v>
      </c>
      <c r="U10569" t="s">
        <v>53656</v>
      </c>
      <c r="W10569" t="s">
        <v>58695</v>
      </c>
      <c r="X10569" t="s">
        <v>43180</v>
      </c>
    </row>
    <row r="10570" spans="1:24">
      <c r="A10570">
        <f>HYPERLINK("https://www.philgeps.gov.ph/GEPSNONPILOT/Tender/SplashBidNoticeAbstractUI.aspx?menuIndex=3&amp;refID=7066234&amp;Result=3","7066234")</f>
        <v>0</v>
      </c>
      <c r="B10570" t="s">
        <v>377</v>
      </c>
      <c r="C10570" t="s">
        <v>8175</v>
      </c>
      <c r="D10570" t="s">
        <v>17447</v>
      </c>
      <c r="E10570" t="s">
        <v>26550</v>
      </c>
      <c r="F10570" t="s">
        <v>30052</v>
      </c>
      <c r="G10570" t="s">
        <v>30058</v>
      </c>
      <c r="H10570" t="s">
        <v>15498</v>
      </c>
      <c r="I10570" t="s">
        <v>3606</v>
      </c>
      <c r="J10570" t="s">
        <v>36661</v>
      </c>
      <c r="K10570" t="s">
        <v>39031</v>
      </c>
      <c r="M10570" t="s">
        <v>42534</v>
      </c>
      <c r="N10570" t="s">
        <v>43166</v>
      </c>
      <c r="O10570" t="s">
        <v>43167</v>
      </c>
      <c r="P10570">
        <v>0</v>
      </c>
      <c r="Q10570">
        <v>5</v>
      </c>
      <c r="R10570" t="s">
        <v>43179</v>
      </c>
      <c r="S10570" t="s">
        <v>43583</v>
      </c>
      <c r="T10570" t="s">
        <v>45042</v>
      </c>
      <c r="U10570" t="s">
        <v>53662</v>
      </c>
      <c r="W10570" t="s">
        <v>42534</v>
      </c>
      <c r="X10570" t="s">
        <v>43180</v>
      </c>
    </row>
    <row r="10571" spans="1:24">
      <c r="A10571">
        <f>HYPERLINK("https://www.philgeps.gov.ph/GEPSNONPILOT/Tender/SplashBidNoticeAbstractUI.aspx?menuIndex=3&amp;refID=7066103&amp;Result=3","7066103")</f>
        <v>0</v>
      </c>
      <c r="B10571" t="s">
        <v>2093</v>
      </c>
      <c r="C10571" t="s">
        <v>13490</v>
      </c>
      <c r="D10571" t="s">
        <v>17434</v>
      </c>
      <c r="E10571" t="s">
        <v>26551</v>
      </c>
      <c r="F10571" t="s">
        <v>30052</v>
      </c>
      <c r="G10571" t="s">
        <v>30058</v>
      </c>
      <c r="H10571" t="s">
        <v>15498</v>
      </c>
      <c r="I10571" t="s">
        <v>30074</v>
      </c>
      <c r="J10571" t="s">
        <v>36558</v>
      </c>
      <c r="K10571" t="s">
        <v>39025</v>
      </c>
      <c r="M10571" t="s">
        <v>41555</v>
      </c>
      <c r="N10571" t="s">
        <v>43166</v>
      </c>
      <c r="O10571" t="s">
        <v>43167</v>
      </c>
      <c r="P10571">
        <v>0</v>
      </c>
      <c r="Q10571">
        <v>8</v>
      </c>
      <c r="R10571" t="s">
        <v>43179</v>
      </c>
      <c r="S10571" t="s">
        <v>43583</v>
      </c>
      <c r="T10571" t="s">
        <v>44690</v>
      </c>
      <c r="U10571" t="s">
        <v>53663</v>
      </c>
      <c r="W10571" t="s">
        <v>41555</v>
      </c>
      <c r="X10571" t="s">
        <v>43180</v>
      </c>
    </row>
    <row r="10572" spans="1:24">
      <c r="A10572">
        <f>HYPERLINK("https://www.philgeps.gov.ph/GEPSNONPILOT/Tender/SplashBidNoticeAbstractUI.aspx?menuIndex=3&amp;refID=7066232&amp;Result=3","7066232")</f>
        <v>0</v>
      </c>
      <c r="B10572" t="s">
        <v>2040</v>
      </c>
      <c r="C10572" t="s">
        <v>13491</v>
      </c>
      <c r="D10572" t="s">
        <v>17496</v>
      </c>
      <c r="E10572" t="s">
        <v>25313</v>
      </c>
      <c r="F10572" t="s">
        <v>30052</v>
      </c>
      <c r="G10572" t="s">
        <v>30058</v>
      </c>
      <c r="H10572" t="s">
        <v>15498</v>
      </c>
      <c r="I10572" t="s">
        <v>30076</v>
      </c>
      <c r="J10572" t="s">
        <v>36662</v>
      </c>
      <c r="K10572" t="s">
        <v>39019</v>
      </c>
      <c r="M10572" t="s">
        <v>41491</v>
      </c>
      <c r="N10572" t="s">
        <v>43166</v>
      </c>
      <c r="O10572" t="s">
        <v>43167</v>
      </c>
      <c r="P10572">
        <v>0</v>
      </c>
      <c r="Q10572">
        <v>0</v>
      </c>
      <c r="R10572" t="s">
        <v>43179</v>
      </c>
      <c r="S10572" t="s">
        <v>43583</v>
      </c>
      <c r="T10572" t="s">
        <v>45138</v>
      </c>
      <c r="U10572" t="s">
        <v>53664</v>
      </c>
      <c r="W10572" t="s">
        <v>41491</v>
      </c>
      <c r="X10572" t="s">
        <v>43180</v>
      </c>
    </row>
    <row r="10573" spans="1:24">
      <c r="A10573">
        <f>HYPERLINK("https://www.philgeps.gov.ph/GEPSNONPILOT/Tender/SplashBidNoticeAbstractUI.aspx?menuIndex=3&amp;refID=7066250&amp;Result=3","7066250")</f>
        <v>0</v>
      </c>
      <c r="B10573" t="s">
        <v>602</v>
      </c>
      <c r="C10573" t="s">
        <v>13492</v>
      </c>
      <c r="D10573" t="s">
        <v>17448</v>
      </c>
      <c r="E10573" t="s">
        <v>26552</v>
      </c>
      <c r="F10573" t="s">
        <v>30052</v>
      </c>
      <c r="G10573" t="s">
        <v>30058</v>
      </c>
      <c r="H10573" t="s">
        <v>30067</v>
      </c>
      <c r="I10573" t="s">
        <v>3693</v>
      </c>
      <c r="J10573" t="s">
        <v>34946</v>
      </c>
      <c r="K10573" t="s">
        <v>39016</v>
      </c>
      <c r="L10573" t="s">
        <v>602</v>
      </c>
      <c r="M10573" t="s">
        <v>42544</v>
      </c>
      <c r="N10573" t="s">
        <v>43166</v>
      </c>
      <c r="O10573" t="s">
        <v>43167</v>
      </c>
      <c r="P10573">
        <v>0</v>
      </c>
      <c r="Q10573">
        <v>3</v>
      </c>
      <c r="R10573" t="s">
        <v>43179</v>
      </c>
      <c r="S10573" t="s">
        <v>43583</v>
      </c>
      <c r="T10573" t="s">
        <v>45129</v>
      </c>
      <c r="U10573" t="s">
        <v>53649</v>
      </c>
      <c r="W10573" t="s">
        <v>42544</v>
      </c>
      <c r="X10573" t="s">
        <v>43180</v>
      </c>
    </row>
    <row r="10574" spans="1:24">
      <c r="A10574">
        <f>HYPERLINK("https://www.philgeps.gov.ph/GEPSNONPILOT/Tender/SplashBidNoticeAbstractUI.aspx?menuIndex=3&amp;refID=7066446&amp;Result=3","7066446")</f>
        <v>0</v>
      </c>
      <c r="B10574" t="s">
        <v>1011</v>
      </c>
      <c r="C10574" t="s">
        <v>13493</v>
      </c>
      <c r="D10574" t="s">
        <v>17476</v>
      </c>
      <c r="E10574" t="s">
        <v>26553</v>
      </c>
      <c r="F10574" t="s">
        <v>30052</v>
      </c>
      <c r="G10574" t="s">
        <v>30058</v>
      </c>
      <c r="H10574" t="s">
        <v>30067</v>
      </c>
      <c r="I10574" t="s">
        <v>3693</v>
      </c>
      <c r="J10574" t="s">
        <v>31851</v>
      </c>
      <c r="K10574" t="s">
        <v>39160</v>
      </c>
      <c r="M10574" t="s">
        <v>40340</v>
      </c>
      <c r="N10574" t="s">
        <v>43166</v>
      </c>
      <c r="O10574" t="s">
        <v>43167</v>
      </c>
      <c r="P10574">
        <v>0</v>
      </c>
      <c r="Q10574">
        <v>0</v>
      </c>
      <c r="R10574" t="s">
        <v>43179</v>
      </c>
      <c r="S10574" t="s">
        <v>43583</v>
      </c>
      <c r="T10574" t="s">
        <v>44750</v>
      </c>
      <c r="U10574" t="s">
        <v>53665</v>
      </c>
      <c r="W10574" t="s">
        <v>40340</v>
      </c>
      <c r="X10574" t="s">
        <v>43180</v>
      </c>
    </row>
    <row r="10575" spans="1:24">
      <c r="A10575">
        <f>HYPERLINK("https://www.philgeps.gov.ph/GEPSNONPILOT/Tender/SplashBidNoticeAbstractUI.aspx?menuIndex=3&amp;refID=7066259&amp;Result=3","7066259")</f>
        <v>0</v>
      </c>
      <c r="B10575" t="s">
        <v>2979</v>
      </c>
      <c r="C10575" t="s">
        <v>13494</v>
      </c>
      <c r="E10575" t="s">
        <v>20202</v>
      </c>
      <c r="F10575" t="s">
        <v>30054</v>
      </c>
      <c r="G10575" t="s">
        <v>30058</v>
      </c>
      <c r="H10575" t="s">
        <v>15498</v>
      </c>
      <c r="I10575" t="s">
        <v>3736</v>
      </c>
      <c r="J10575" t="s">
        <v>36663</v>
      </c>
      <c r="K10575" t="s">
        <v>39025</v>
      </c>
      <c r="M10575" t="s">
        <v>42549</v>
      </c>
      <c r="N10575" t="s">
        <v>43166</v>
      </c>
      <c r="O10575" t="s">
        <v>43167</v>
      </c>
      <c r="P10575">
        <v>0</v>
      </c>
      <c r="Q10575">
        <v>1</v>
      </c>
      <c r="R10575" t="s">
        <v>43179</v>
      </c>
      <c r="S10575" t="s">
        <v>43583</v>
      </c>
      <c r="T10575" t="s">
        <v>44800</v>
      </c>
      <c r="U10575" t="s">
        <v>47742</v>
      </c>
      <c r="W10575" t="s">
        <v>42549</v>
      </c>
      <c r="X10575" t="s">
        <v>43180</v>
      </c>
    </row>
    <row r="10576" spans="1:24">
      <c r="A10576">
        <f>HYPERLINK("https://www.philgeps.gov.ph/GEPSNONPILOT/Tender/SplashBidNoticeAbstractUI.aspx?menuIndex=3&amp;refID=7066421&amp;Result=3","7066421")</f>
        <v>0</v>
      </c>
      <c r="B10576" t="s">
        <v>2931</v>
      </c>
      <c r="C10576" t="s">
        <v>13495</v>
      </c>
      <c r="D10576" t="s">
        <v>17435</v>
      </c>
      <c r="E10576" t="s">
        <v>26554</v>
      </c>
      <c r="F10576" t="s">
        <v>30052</v>
      </c>
      <c r="G10576" t="s">
        <v>30058</v>
      </c>
      <c r="H10576" t="s">
        <v>15498</v>
      </c>
      <c r="I10576" t="s">
        <v>3736</v>
      </c>
      <c r="J10576" t="s">
        <v>36664</v>
      </c>
      <c r="K10576" t="s">
        <v>39034</v>
      </c>
      <c r="L10576" t="s">
        <v>2931</v>
      </c>
      <c r="M10576" t="s">
        <v>42494</v>
      </c>
      <c r="N10576" t="s">
        <v>43166</v>
      </c>
      <c r="O10576" t="s">
        <v>43167</v>
      </c>
      <c r="P10576">
        <v>0</v>
      </c>
      <c r="Q10576">
        <v>2</v>
      </c>
      <c r="R10576" t="s">
        <v>43179</v>
      </c>
      <c r="S10576" t="s">
        <v>43583</v>
      </c>
      <c r="T10576" t="s">
        <v>44681</v>
      </c>
      <c r="U10576" t="s">
        <v>53514</v>
      </c>
      <c r="W10576" t="s">
        <v>42494</v>
      </c>
      <c r="X10576" t="s">
        <v>43180</v>
      </c>
    </row>
    <row r="10577" spans="1:24">
      <c r="A10577">
        <f>HYPERLINK("https://www.philgeps.gov.ph/GEPSNONPILOT/Tender/SplashBidNoticeAbstractUI.aspx?menuIndex=3&amp;refID=7066415&amp;Result=3","7066415")</f>
        <v>0</v>
      </c>
      <c r="B10577" t="s">
        <v>602</v>
      </c>
      <c r="C10577" t="s">
        <v>13496</v>
      </c>
      <c r="D10577" t="s">
        <v>17448</v>
      </c>
      <c r="E10577" t="s">
        <v>26555</v>
      </c>
      <c r="F10577" t="s">
        <v>30052</v>
      </c>
      <c r="G10577" t="s">
        <v>30058</v>
      </c>
      <c r="H10577" t="s">
        <v>30067</v>
      </c>
      <c r="I10577" t="s">
        <v>3693</v>
      </c>
      <c r="J10577" t="s">
        <v>35970</v>
      </c>
      <c r="K10577" t="s">
        <v>39085</v>
      </c>
      <c r="L10577" t="s">
        <v>602</v>
      </c>
      <c r="M10577" t="s">
        <v>42544</v>
      </c>
      <c r="N10577" t="s">
        <v>43166</v>
      </c>
      <c r="O10577" t="s">
        <v>43167</v>
      </c>
      <c r="P10577">
        <v>0</v>
      </c>
      <c r="Q10577">
        <v>1</v>
      </c>
      <c r="R10577" t="s">
        <v>43179</v>
      </c>
      <c r="S10577" t="s">
        <v>43583</v>
      </c>
      <c r="T10577" t="s">
        <v>45129</v>
      </c>
      <c r="U10577" t="s">
        <v>53649</v>
      </c>
      <c r="W10577" t="s">
        <v>42544</v>
      </c>
      <c r="X10577" t="s">
        <v>43180</v>
      </c>
    </row>
    <row r="10578" spans="1:24">
      <c r="A10578">
        <f>HYPERLINK("https://www.philgeps.gov.ph/GEPSNONPILOT/Tender/SplashBidNoticeAbstractUI.aspx?menuIndex=3&amp;refID=7066241&amp;Result=3","7066241")</f>
        <v>0</v>
      </c>
      <c r="B10578" t="s">
        <v>2978</v>
      </c>
      <c r="C10578" t="s">
        <v>13497</v>
      </c>
      <c r="D10578" t="s">
        <v>17420</v>
      </c>
      <c r="E10578" t="s">
        <v>26556</v>
      </c>
      <c r="F10578" t="s">
        <v>30052</v>
      </c>
      <c r="G10578" t="s">
        <v>30058</v>
      </c>
      <c r="H10578" t="s">
        <v>30067</v>
      </c>
      <c r="I10578" t="s">
        <v>3693</v>
      </c>
      <c r="J10578" t="s">
        <v>36665</v>
      </c>
      <c r="K10578" t="s">
        <v>39157</v>
      </c>
      <c r="M10578" t="s">
        <v>42547</v>
      </c>
      <c r="N10578" t="s">
        <v>43166</v>
      </c>
      <c r="O10578" t="s">
        <v>43167</v>
      </c>
      <c r="P10578">
        <v>0</v>
      </c>
      <c r="Q10578">
        <v>1</v>
      </c>
      <c r="R10578" t="s">
        <v>43179</v>
      </c>
      <c r="S10578" t="s">
        <v>43583</v>
      </c>
      <c r="T10578" t="s">
        <v>44699</v>
      </c>
      <c r="U10578" t="s">
        <v>53654</v>
      </c>
      <c r="W10578" t="s">
        <v>42547</v>
      </c>
      <c r="X10578" t="s">
        <v>43180</v>
      </c>
    </row>
    <row r="10579" spans="1:24">
      <c r="A10579">
        <f>HYPERLINK("https://www.philgeps.gov.ph/GEPSNONPILOT/Tender/SplashBidNoticeAbstractUI.aspx?menuIndex=3&amp;refID=7066411&amp;Result=3","7066411")</f>
        <v>0</v>
      </c>
      <c r="B10579" t="s">
        <v>1701</v>
      </c>
      <c r="C10579" t="s">
        <v>13498</v>
      </c>
      <c r="D10579" t="s">
        <v>17427</v>
      </c>
      <c r="E10579" t="s">
        <v>26557</v>
      </c>
      <c r="F10579" t="s">
        <v>30052</v>
      </c>
      <c r="G10579" t="s">
        <v>30058</v>
      </c>
      <c r="H10579" t="s">
        <v>15498</v>
      </c>
      <c r="I10579" t="s">
        <v>3693</v>
      </c>
      <c r="J10579" t="s">
        <v>36666</v>
      </c>
      <c r="K10579" t="s">
        <v>39025</v>
      </c>
      <c r="M10579" t="s">
        <v>41112</v>
      </c>
      <c r="N10579" t="s">
        <v>43166</v>
      </c>
      <c r="O10579" t="s">
        <v>43167</v>
      </c>
      <c r="P10579">
        <v>0</v>
      </c>
      <c r="Q10579">
        <v>6</v>
      </c>
      <c r="R10579" t="s">
        <v>43179</v>
      </c>
      <c r="S10579" t="s">
        <v>43583</v>
      </c>
      <c r="T10579" t="s">
        <v>45139</v>
      </c>
      <c r="U10579" t="s">
        <v>53666</v>
      </c>
      <c r="W10579" t="s">
        <v>41112</v>
      </c>
      <c r="X10579" t="s">
        <v>43180</v>
      </c>
    </row>
    <row r="10580" spans="1:24">
      <c r="A10580">
        <f>HYPERLINK("https://www.philgeps.gov.ph/GEPSNONPILOT/Tender/SplashBidNoticeAbstractUI.aspx?menuIndex=3&amp;refID=7066397&amp;Result=3","7066397")</f>
        <v>0</v>
      </c>
      <c r="B10580" t="s">
        <v>609</v>
      </c>
      <c r="C10580" t="s">
        <v>13499</v>
      </c>
      <c r="D10580" t="s">
        <v>17445</v>
      </c>
      <c r="E10580" t="s">
        <v>26558</v>
      </c>
      <c r="F10580" t="s">
        <v>30052</v>
      </c>
      <c r="G10580" t="s">
        <v>30058</v>
      </c>
      <c r="H10580" t="s">
        <v>30067</v>
      </c>
      <c r="I10580" t="s">
        <v>3693</v>
      </c>
      <c r="J10580" t="s">
        <v>36667</v>
      </c>
      <c r="K10580" t="s">
        <v>39023</v>
      </c>
      <c r="M10580" t="s">
        <v>39911</v>
      </c>
      <c r="N10580" t="s">
        <v>43166</v>
      </c>
      <c r="O10580" t="s">
        <v>43167</v>
      </c>
      <c r="P10580">
        <v>0</v>
      </c>
      <c r="Q10580">
        <v>1</v>
      </c>
      <c r="R10580" t="s">
        <v>43179</v>
      </c>
      <c r="S10580" t="s">
        <v>43583</v>
      </c>
      <c r="T10580" t="s">
        <v>44780</v>
      </c>
      <c r="U10580" t="s">
        <v>53646</v>
      </c>
      <c r="W10580" t="s">
        <v>39911</v>
      </c>
      <c r="X10580" t="s">
        <v>43180</v>
      </c>
    </row>
    <row r="10581" spans="1:24">
      <c r="A10581">
        <f>HYPERLINK("https://www.philgeps.gov.ph/GEPSNONPILOT/Tender/SplashBidNoticeAbstractUI.aspx?menuIndex=3&amp;refID=7066393&amp;Result=3","7066393")</f>
        <v>0</v>
      </c>
      <c r="B10581" t="s">
        <v>2980</v>
      </c>
      <c r="C10581" t="s">
        <v>13500</v>
      </c>
      <c r="E10581" t="s">
        <v>17799</v>
      </c>
      <c r="F10581" t="s">
        <v>30052</v>
      </c>
      <c r="G10581" t="s">
        <v>30058</v>
      </c>
      <c r="H10581" t="s">
        <v>15498</v>
      </c>
      <c r="I10581" t="s">
        <v>30129</v>
      </c>
      <c r="J10581" t="s">
        <v>36668</v>
      </c>
      <c r="K10581" t="s">
        <v>39025</v>
      </c>
      <c r="M10581" t="s">
        <v>42550</v>
      </c>
      <c r="N10581" t="s">
        <v>43166</v>
      </c>
      <c r="O10581" t="s">
        <v>43167</v>
      </c>
      <c r="Q10581">
        <v>5</v>
      </c>
      <c r="R10581" t="s">
        <v>43179</v>
      </c>
      <c r="S10581" t="s">
        <v>43626</v>
      </c>
      <c r="T10581" t="s">
        <v>45140</v>
      </c>
      <c r="U10581" t="s">
        <v>53667</v>
      </c>
      <c r="W10581" t="s">
        <v>42550</v>
      </c>
      <c r="X10581" t="s">
        <v>43180</v>
      </c>
    </row>
    <row r="10582" spans="1:24">
      <c r="A10582">
        <f>HYPERLINK("https://www.philgeps.gov.ph/GEPSNONPILOT/Tender/SplashBidNoticeAbstractUI.aspx?menuIndex=3&amp;refID=7066296&amp;Result=3","7066296")</f>
        <v>0</v>
      </c>
      <c r="B10582" t="s">
        <v>2981</v>
      </c>
      <c r="C10582" t="s">
        <v>13501</v>
      </c>
      <c r="D10582" t="s">
        <v>17471</v>
      </c>
      <c r="E10582" t="s">
        <v>17779</v>
      </c>
      <c r="F10582" t="s">
        <v>30052</v>
      </c>
      <c r="G10582" t="s">
        <v>30058</v>
      </c>
      <c r="H10582" t="s">
        <v>15498</v>
      </c>
      <c r="I10582" t="s">
        <v>3736</v>
      </c>
      <c r="J10582" t="s">
        <v>36669</v>
      </c>
      <c r="K10582" t="s">
        <v>39019</v>
      </c>
      <c r="M10582" t="s">
        <v>42551</v>
      </c>
      <c r="N10582" t="s">
        <v>43166</v>
      </c>
      <c r="O10582" t="s">
        <v>43167</v>
      </c>
      <c r="P10582">
        <v>0</v>
      </c>
      <c r="Q10582">
        <v>0</v>
      </c>
      <c r="R10582" t="s">
        <v>43179</v>
      </c>
      <c r="S10582" t="s">
        <v>43583</v>
      </c>
      <c r="T10582" t="s">
        <v>44728</v>
      </c>
      <c r="U10582" t="s">
        <v>53668</v>
      </c>
      <c r="W10582" t="s">
        <v>42551</v>
      </c>
      <c r="X10582" t="s">
        <v>43180</v>
      </c>
    </row>
    <row r="10583" spans="1:24">
      <c r="A10583">
        <f>HYPERLINK("https://www.philgeps.gov.ph/GEPSNONPILOT/Tender/SplashBidNoticeAbstractUI.aspx?menuIndex=3&amp;refID=7066437&amp;Result=3","7066437")</f>
        <v>0</v>
      </c>
      <c r="B10583" t="s">
        <v>602</v>
      </c>
      <c r="C10583" t="s">
        <v>13502</v>
      </c>
      <c r="D10583" t="s">
        <v>17448</v>
      </c>
      <c r="E10583" t="s">
        <v>26559</v>
      </c>
      <c r="F10583" t="s">
        <v>30052</v>
      </c>
      <c r="G10583" t="s">
        <v>30058</v>
      </c>
      <c r="H10583" t="s">
        <v>30067</v>
      </c>
      <c r="I10583" t="s">
        <v>3693</v>
      </c>
      <c r="J10583" t="s">
        <v>36670</v>
      </c>
      <c r="K10583" t="s">
        <v>39242</v>
      </c>
      <c r="L10583" t="s">
        <v>602</v>
      </c>
      <c r="M10583" t="s">
        <v>42544</v>
      </c>
      <c r="N10583" t="s">
        <v>43166</v>
      </c>
      <c r="O10583" t="s">
        <v>43167</v>
      </c>
      <c r="P10583">
        <v>0</v>
      </c>
      <c r="Q10583">
        <v>0</v>
      </c>
      <c r="R10583" t="s">
        <v>43179</v>
      </c>
      <c r="S10583" t="s">
        <v>43583</v>
      </c>
      <c r="T10583" t="s">
        <v>45129</v>
      </c>
      <c r="U10583" t="s">
        <v>53649</v>
      </c>
      <c r="W10583" t="s">
        <v>42544</v>
      </c>
      <c r="X10583" t="s">
        <v>43180</v>
      </c>
    </row>
    <row r="10584" spans="1:24">
      <c r="A10584">
        <f>HYPERLINK("https://www.philgeps.gov.ph/GEPSNONPILOT/Tender/SplashBidNoticeAbstractUI.aspx?menuIndex=3&amp;refID=7066381&amp;Result=3","7066381")</f>
        <v>0</v>
      </c>
      <c r="B10584" t="s">
        <v>602</v>
      </c>
      <c r="C10584" t="s">
        <v>13503</v>
      </c>
      <c r="D10584" t="s">
        <v>17448</v>
      </c>
      <c r="E10584" t="s">
        <v>26560</v>
      </c>
      <c r="F10584" t="s">
        <v>30052</v>
      </c>
      <c r="G10584" t="s">
        <v>30058</v>
      </c>
      <c r="H10584" t="s">
        <v>30067</v>
      </c>
      <c r="I10584" t="s">
        <v>3693</v>
      </c>
      <c r="J10584" t="s">
        <v>31157</v>
      </c>
      <c r="K10584" t="s">
        <v>39069</v>
      </c>
      <c r="L10584" t="s">
        <v>602</v>
      </c>
      <c r="M10584" t="s">
        <v>42544</v>
      </c>
      <c r="N10584" t="s">
        <v>43166</v>
      </c>
      <c r="O10584" t="s">
        <v>43167</v>
      </c>
      <c r="P10584">
        <v>0</v>
      </c>
      <c r="Q10584">
        <v>4</v>
      </c>
      <c r="R10584" t="s">
        <v>43179</v>
      </c>
      <c r="S10584" t="s">
        <v>43583</v>
      </c>
      <c r="T10584" t="s">
        <v>45129</v>
      </c>
      <c r="U10584" t="s">
        <v>53649</v>
      </c>
      <c r="W10584" t="s">
        <v>42544</v>
      </c>
      <c r="X10584" t="s">
        <v>43180</v>
      </c>
    </row>
    <row r="10585" spans="1:24">
      <c r="A10585">
        <f>HYPERLINK("https://www.philgeps.gov.ph/GEPSNONPILOT/Tender/SplashBidNoticeAbstractUI.aspx?menuIndex=3&amp;refID=7066394&amp;Result=3","7066394")</f>
        <v>0</v>
      </c>
      <c r="B10585" t="s">
        <v>602</v>
      </c>
      <c r="C10585" t="s">
        <v>13504</v>
      </c>
      <c r="D10585" t="s">
        <v>17448</v>
      </c>
      <c r="E10585" t="s">
        <v>26561</v>
      </c>
      <c r="F10585" t="s">
        <v>30052</v>
      </c>
      <c r="G10585" t="s">
        <v>30058</v>
      </c>
      <c r="H10585" t="s">
        <v>30067</v>
      </c>
      <c r="I10585" t="s">
        <v>3693</v>
      </c>
      <c r="J10585" t="s">
        <v>31157</v>
      </c>
      <c r="K10585" t="s">
        <v>39069</v>
      </c>
      <c r="L10585" t="s">
        <v>602</v>
      </c>
      <c r="M10585" t="s">
        <v>42544</v>
      </c>
      <c r="N10585" t="s">
        <v>43166</v>
      </c>
      <c r="O10585" t="s">
        <v>43167</v>
      </c>
      <c r="P10585">
        <v>0</v>
      </c>
      <c r="Q10585">
        <v>4</v>
      </c>
      <c r="R10585" t="s">
        <v>43179</v>
      </c>
      <c r="S10585" t="s">
        <v>43583</v>
      </c>
      <c r="T10585" t="s">
        <v>45129</v>
      </c>
      <c r="U10585" t="s">
        <v>53649</v>
      </c>
      <c r="W10585" t="s">
        <v>42544</v>
      </c>
      <c r="X10585" t="s">
        <v>43180</v>
      </c>
    </row>
    <row r="10586" spans="1:24">
      <c r="A10586">
        <f>HYPERLINK("https://www.philgeps.gov.ph/GEPSNONPILOT/Tender/SplashBidNoticeAbstractUI.aspx?menuIndex=3&amp;refID=7066364&amp;Result=3","7066364")</f>
        <v>0</v>
      </c>
      <c r="B10586" t="s">
        <v>602</v>
      </c>
      <c r="C10586" t="s">
        <v>13505</v>
      </c>
      <c r="D10586" t="s">
        <v>17448</v>
      </c>
      <c r="E10586" t="s">
        <v>26562</v>
      </c>
      <c r="F10586" t="s">
        <v>30052</v>
      </c>
      <c r="G10586" t="s">
        <v>30058</v>
      </c>
      <c r="H10586" t="s">
        <v>30067</v>
      </c>
      <c r="I10586" t="s">
        <v>3693</v>
      </c>
      <c r="J10586" t="s">
        <v>30823</v>
      </c>
      <c r="K10586" t="s">
        <v>39069</v>
      </c>
      <c r="L10586" t="s">
        <v>602</v>
      </c>
      <c r="M10586" t="s">
        <v>42544</v>
      </c>
      <c r="N10586" t="s">
        <v>43166</v>
      </c>
      <c r="O10586" t="s">
        <v>43167</v>
      </c>
      <c r="P10586">
        <v>0</v>
      </c>
      <c r="Q10586">
        <v>4</v>
      </c>
      <c r="R10586" t="s">
        <v>43179</v>
      </c>
      <c r="S10586" t="s">
        <v>43583</v>
      </c>
      <c r="T10586" t="s">
        <v>45129</v>
      </c>
      <c r="U10586" t="s">
        <v>53649</v>
      </c>
      <c r="W10586" t="s">
        <v>42544</v>
      </c>
      <c r="X10586" t="s">
        <v>43180</v>
      </c>
    </row>
    <row r="10587" spans="1:24">
      <c r="A10587">
        <f>HYPERLINK("https://www.philgeps.gov.ph/GEPSNONPILOT/Tender/SplashBidNoticeAbstractUI.aspx?menuIndex=3&amp;refID=7066412&amp;Result=3","7066412")</f>
        <v>0</v>
      </c>
      <c r="B10587" t="s">
        <v>2193</v>
      </c>
      <c r="C10587" t="s">
        <v>13506</v>
      </c>
      <c r="D10587" t="s">
        <v>17435</v>
      </c>
      <c r="E10587" t="s">
        <v>26563</v>
      </c>
      <c r="F10587" t="s">
        <v>30052</v>
      </c>
      <c r="G10587" t="s">
        <v>30058</v>
      </c>
      <c r="H10587" t="s">
        <v>30067</v>
      </c>
      <c r="I10587" t="s">
        <v>3693</v>
      </c>
      <c r="J10587" t="s">
        <v>36671</v>
      </c>
      <c r="K10587" t="s">
        <v>39065</v>
      </c>
      <c r="M10587" t="s">
        <v>41662</v>
      </c>
      <c r="N10587" t="s">
        <v>43166</v>
      </c>
      <c r="O10587" t="s">
        <v>43167</v>
      </c>
      <c r="P10587">
        <v>0</v>
      </c>
      <c r="Q10587">
        <v>1</v>
      </c>
      <c r="R10587" t="s">
        <v>43179</v>
      </c>
      <c r="S10587" t="s">
        <v>43583</v>
      </c>
      <c r="T10587" t="s">
        <v>44795</v>
      </c>
      <c r="U10587" t="s">
        <v>53669</v>
      </c>
      <c r="W10587" t="s">
        <v>41662</v>
      </c>
      <c r="X10587" t="s">
        <v>43180</v>
      </c>
    </row>
    <row r="10588" spans="1:24">
      <c r="A10588">
        <f>HYPERLINK("https://www.philgeps.gov.ph/GEPSNONPILOT/Tender/SplashBidNoticeAbstractUI.aspx?menuIndex=3&amp;refID=7066391&amp;Result=3","7066391")</f>
        <v>0</v>
      </c>
      <c r="B10588" t="s">
        <v>59</v>
      </c>
      <c r="C10588" t="s">
        <v>13507</v>
      </c>
      <c r="D10588" t="s">
        <v>17441</v>
      </c>
      <c r="E10588" t="s">
        <v>26564</v>
      </c>
      <c r="F10588" t="s">
        <v>30052</v>
      </c>
      <c r="G10588" t="s">
        <v>30058</v>
      </c>
      <c r="H10588" t="s">
        <v>30067</v>
      </c>
      <c r="I10588" t="s">
        <v>3693</v>
      </c>
      <c r="J10588" t="s">
        <v>31851</v>
      </c>
      <c r="K10588" t="s">
        <v>39112</v>
      </c>
      <c r="M10588" t="s">
        <v>39348</v>
      </c>
      <c r="N10588" t="s">
        <v>43166</v>
      </c>
      <c r="O10588" t="s">
        <v>43167</v>
      </c>
      <c r="P10588">
        <v>0</v>
      </c>
      <c r="Q10588">
        <v>26</v>
      </c>
      <c r="R10588" t="s">
        <v>43179</v>
      </c>
      <c r="S10588" t="s">
        <v>43583</v>
      </c>
      <c r="T10588" t="s">
        <v>44699</v>
      </c>
      <c r="U10588" t="s">
        <v>53670</v>
      </c>
      <c r="V10588" t="s">
        <v>56820</v>
      </c>
      <c r="W10588" t="s">
        <v>39348</v>
      </c>
      <c r="X10588" t="s">
        <v>43180</v>
      </c>
    </row>
    <row r="10589" spans="1:24">
      <c r="A10589">
        <f>HYPERLINK("https://www.philgeps.gov.ph/GEPSNONPILOT/Tender/SplashBidNoticeAbstractUI.aspx?menuIndex=3&amp;refID=7066354&amp;Result=3","7066354")</f>
        <v>0</v>
      </c>
      <c r="B10589" t="s">
        <v>602</v>
      </c>
      <c r="C10589" t="s">
        <v>13508</v>
      </c>
      <c r="D10589" t="s">
        <v>17448</v>
      </c>
      <c r="E10589" t="s">
        <v>26565</v>
      </c>
      <c r="F10589" t="s">
        <v>30052</v>
      </c>
      <c r="G10589" t="s">
        <v>30058</v>
      </c>
      <c r="H10589" t="s">
        <v>30067</v>
      </c>
      <c r="I10589" t="s">
        <v>3693</v>
      </c>
      <c r="J10589" t="s">
        <v>30823</v>
      </c>
      <c r="K10589" t="s">
        <v>39243</v>
      </c>
      <c r="L10589" t="s">
        <v>602</v>
      </c>
      <c r="M10589" t="s">
        <v>42544</v>
      </c>
      <c r="N10589" t="s">
        <v>43166</v>
      </c>
      <c r="O10589" t="s">
        <v>43167</v>
      </c>
      <c r="P10589">
        <v>0</v>
      </c>
      <c r="Q10589">
        <v>4</v>
      </c>
      <c r="R10589" t="s">
        <v>43179</v>
      </c>
      <c r="S10589" t="s">
        <v>43583</v>
      </c>
      <c r="T10589" t="s">
        <v>45129</v>
      </c>
      <c r="U10589" t="s">
        <v>53649</v>
      </c>
      <c r="W10589" t="s">
        <v>42544</v>
      </c>
      <c r="X10589" t="s">
        <v>43180</v>
      </c>
    </row>
    <row r="10590" spans="1:24">
      <c r="A10590">
        <f>HYPERLINK("https://www.philgeps.gov.ph/GEPSNONPILOT/Tender/SplashBidNoticeAbstractUI.aspx?menuIndex=3&amp;refID=7066331&amp;Result=3","7066331")</f>
        <v>0</v>
      </c>
      <c r="B10590" t="s">
        <v>2982</v>
      </c>
      <c r="C10590" t="s">
        <v>13509</v>
      </c>
      <c r="D10590" t="s">
        <v>17442</v>
      </c>
      <c r="E10590" t="s">
        <v>26566</v>
      </c>
      <c r="F10590" t="s">
        <v>30052</v>
      </c>
      <c r="G10590" t="s">
        <v>30058</v>
      </c>
      <c r="H10590" t="s">
        <v>15498</v>
      </c>
      <c r="I10590" t="s">
        <v>30144</v>
      </c>
      <c r="J10590" t="s">
        <v>36672</v>
      </c>
      <c r="K10590" t="s">
        <v>39019</v>
      </c>
      <c r="M10590" t="s">
        <v>42552</v>
      </c>
      <c r="N10590" t="s">
        <v>43166</v>
      </c>
      <c r="O10590" t="s">
        <v>43167</v>
      </c>
      <c r="P10590">
        <v>0</v>
      </c>
      <c r="Q10590">
        <v>2</v>
      </c>
      <c r="R10590" t="s">
        <v>43179</v>
      </c>
      <c r="S10590" t="s">
        <v>43583</v>
      </c>
      <c r="T10590" t="s">
        <v>45047</v>
      </c>
      <c r="U10590" t="s">
        <v>53671</v>
      </c>
      <c r="W10590" t="s">
        <v>58696</v>
      </c>
      <c r="X10590" t="s">
        <v>43180</v>
      </c>
    </row>
    <row r="10591" spans="1:24">
      <c r="A10591">
        <f>HYPERLINK("https://www.philgeps.gov.ph/GEPSNONPILOT/Tender/SplashBidNoticeAbstractUI.aspx?menuIndex=3&amp;refID=7066341&amp;Result=3","7066341")</f>
        <v>0</v>
      </c>
      <c r="B10591" t="s">
        <v>415</v>
      </c>
      <c r="C10591" t="s">
        <v>13510</v>
      </c>
      <c r="D10591" t="s">
        <v>17472</v>
      </c>
      <c r="E10591" t="s">
        <v>26567</v>
      </c>
      <c r="F10591" t="s">
        <v>30052</v>
      </c>
      <c r="G10591" t="s">
        <v>30058</v>
      </c>
      <c r="H10591" t="s">
        <v>30067</v>
      </c>
      <c r="I10591" t="s">
        <v>3693</v>
      </c>
      <c r="J10591" t="s">
        <v>36673</v>
      </c>
      <c r="K10591" t="s">
        <v>39020</v>
      </c>
      <c r="M10591" t="s">
        <v>40024</v>
      </c>
      <c r="N10591" t="s">
        <v>43166</v>
      </c>
      <c r="O10591" t="s">
        <v>43167</v>
      </c>
      <c r="P10591">
        <v>0</v>
      </c>
      <c r="Q10591">
        <v>0</v>
      </c>
      <c r="R10591" t="s">
        <v>43179</v>
      </c>
      <c r="S10591" t="s">
        <v>43583</v>
      </c>
      <c r="T10591" t="s">
        <v>44830</v>
      </c>
      <c r="U10591" t="s">
        <v>53672</v>
      </c>
      <c r="V10591" t="s">
        <v>57084</v>
      </c>
      <c r="W10591" t="s">
        <v>58610</v>
      </c>
      <c r="X10591" t="s">
        <v>43180</v>
      </c>
    </row>
    <row r="10592" spans="1:24">
      <c r="A10592">
        <f>HYPERLINK("https://www.philgeps.gov.ph/GEPSNONPILOT/Tender/SplashBidNoticeAbstractUI.aspx?menuIndex=3&amp;refID=7066325&amp;Result=3","7066325")</f>
        <v>0</v>
      </c>
      <c r="B10592" t="s">
        <v>443</v>
      </c>
      <c r="C10592" t="s">
        <v>13511</v>
      </c>
      <c r="D10592" t="s">
        <v>17425</v>
      </c>
      <c r="E10592" t="s">
        <v>26568</v>
      </c>
      <c r="F10592" t="s">
        <v>30052</v>
      </c>
      <c r="G10592" t="s">
        <v>30058</v>
      </c>
      <c r="H10592" t="s">
        <v>30067</v>
      </c>
      <c r="I10592" t="s">
        <v>3693</v>
      </c>
      <c r="J10592" t="s">
        <v>36674</v>
      </c>
      <c r="K10592" t="s">
        <v>39031</v>
      </c>
      <c r="M10592" t="s">
        <v>39743</v>
      </c>
      <c r="N10592" t="s">
        <v>43166</v>
      </c>
      <c r="O10592" t="s">
        <v>43167</v>
      </c>
      <c r="P10592">
        <v>0</v>
      </c>
      <c r="Q10592">
        <v>0</v>
      </c>
      <c r="R10592" t="s">
        <v>43179</v>
      </c>
      <c r="S10592" t="s">
        <v>43583</v>
      </c>
      <c r="T10592" t="s">
        <v>45115</v>
      </c>
      <c r="U10592" t="s">
        <v>53673</v>
      </c>
      <c r="W10592" t="s">
        <v>39743</v>
      </c>
      <c r="X10592" t="s">
        <v>43180</v>
      </c>
    </row>
    <row r="10593" spans="1:24">
      <c r="A10593">
        <f>HYPERLINK("https://www.philgeps.gov.ph/GEPSNONPILOT/Tender/SplashBidNoticeAbstractUI.aspx?menuIndex=3&amp;refID=7066226&amp;Result=3","7066226")</f>
        <v>0</v>
      </c>
      <c r="B10593" t="s">
        <v>803</v>
      </c>
      <c r="C10593" t="s">
        <v>13512</v>
      </c>
      <c r="D10593" t="s">
        <v>17476</v>
      </c>
      <c r="E10593" t="s">
        <v>26569</v>
      </c>
      <c r="F10593" t="s">
        <v>30052</v>
      </c>
      <c r="G10593" t="s">
        <v>30058</v>
      </c>
      <c r="H10593" t="s">
        <v>30067</v>
      </c>
      <c r="I10593" t="s">
        <v>3693</v>
      </c>
      <c r="J10593" t="s">
        <v>35210</v>
      </c>
      <c r="K10593" t="s">
        <v>39025</v>
      </c>
      <c r="M10593" t="s">
        <v>40120</v>
      </c>
      <c r="N10593" t="s">
        <v>43166</v>
      </c>
      <c r="O10593" t="s">
        <v>43167</v>
      </c>
      <c r="P10593">
        <v>0</v>
      </c>
      <c r="Q10593">
        <v>0</v>
      </c>
      <c r="R10593" t="s">
        <v>43179</v>
      </c>
      <c r="S10593" t="s">
        <v>43583</v>
      </c>
      <c r="T10593" t="s">
        <v>44689</v>
      </c>
      <c r="U10593" t="s">
        <v>46771</v>
      </c>
      <c r="W10593" t="s">
        <v>40120</v>
      </c>
      <c r="X10593" t="s">
        <v>43180</v>
      </c>
    </row>
    <row r="10594" spans="1:24">
      <c r="A10594">
        <f>HYPERLINK("https://www.philgeps.gov.ph/GEPSNONPILOT/Tender/SplashBidNoticeAbstractUI.aspx?menuIndex=3&amp;refID=7066357&amp;Result=3","7066357")</f>
        <v>0</v>
      </c>
      <c r="B10594" t="s">
        <v>609</v>
      </c>
      <c r="C10594" t="s">
        <v>13513</v>
      </c>
      <c r="D10594" t="s">
        <v>17445</v>
      </c>
      <c r="E10594" t="s">
        <v>26570</v>
      </c>
      <c r="F10594" t="s">
        <v>30052</v>
      </c>
      <c r="G10594" t="s">
        <v>30058</v>
      </c>
      <c r="H10594" t="s">
        <v>15498</v>
      </c>
      <c r="I10594" t="s">
        <v>4650</v>
      </c>
      <c r="J10594" t="s">
        <v>36675</v>
      </c>
      <c r="K10594" t="s">
        <v>39029</v>
      </c>
      <c r="M10594" t="s">
        <v>39911</v>
      </c>
      <c r="N10594" t="s">
        <v>43166</v>
      </c>
      <c r="O10594" t="s">
        <v>43167</v>
      </c>
      <c r="P10594">
        <v>0</v>
      </c>
      <c r="Q10594">
        <v>6</v>
      </c>
      <c r="R10594" t="s">
        <v>43179</v>
      </c>
      <c r="S10594" t="s">
        <v>43583</v>
      </c>
      <c r="T10594" t="s">
        <v>44780</v>
      </c>
      <c r="U10594" t="s">
        <v>53646</v>
      </c>
      <c r="W10594" t="s">
        <v>39911</v>
      </c>
      <c r="X10594" t="s">
        <v>43180</v>
      </c>
    </row>
    <row r="10595" spans="1:24">
      <c r="A10595">
        <f>HYPERLINK("https://www.philgeps.gov.ph/GEPSNONPILOT/Tender/SplashBidNoticeAbstractUI.aspx?menuIndex=3&amp;refID=7066324&amp;Result=3","7066324")</f>
        <v>0</v>
      </c>
      <c r="B10595" t="s">
        <v>602</v>
      </c>
      <c r="C10595" t="s">
        <v>13514</v>
      </c>
      <c r="D10595" t="s">
        <v>17448</v>
      </c>
      <c r="E10595" t="s">
        <v>26571</v>
      </c>
      <c r="F10595" t="s">
        <v>30052</v>
      </c>
      <c r="G10595" t="s">
        <v>30058</v>
      </c>
      <c r="H10595" t="s">
        <v>30067</v>
      </c>
      <c r="I10595" t="s">
        <v>3693</v>
      </c>
      <c r="J10595" t="s">
        <v>35629</v>
      </c>
      <c r="K10595" t="s">
        <v>39119</v>
      </c>
      <c r="L10595" t="s">
        <v>602</v>
      </c>
      <c r="M10595" t="s">
        <v>42544</v>
      </c>
      <c r="N10595" t="s">
        <v>43166</v>
      </c>
      <c r="O10595" t="s">
        <v>43167</v>
      </c>
      <c r="P10595">
        <v>0</v>
      </c>
      <c r="Q10595">
        <v>4</v>
      </c>
      <c r="R10595" t="s">
        <v>43179</v>
      </c>
      <c r="S10595" t="s">
        <v>43583</v>
      </c>
      <c r="T10595" t="s">
        <v>45141</v>
      </c>
      <c r="U10595" t="s">
        <v>53649</v>
      </c>
      <c r="W10595" t="s">
        <v>42544</v>
      </c>
      <c r="X10595" t="s">
        <v>43180</v>
      </c>
    </row>
    <row r="10596" spans="1:24">
      <c r="A10596">
        <f>HYPERLINK("https://www.philgeps.gov.ph/GEPSNONPILOT/Tender/SplashBidNoticeAbstractUI.aspx?menuIndex=3&amp;refID=7066222&amp;Result=3","7066222")</f>
        <v>0</v>
      </c>
      <c r="B10596" t="s">
        <v>2983</v>
      </c>
      <c r="C10596" t="s">
        <v>13515</v>
      </c>
      <c r="D10596" t="s">
        <v>17437</v>
      </c>
      <c r="E10596" t="s">
        <v>26572</v>
      </c>
      <c r="F10596" t="s">
        <v>30052</v>
      </c>
      <c r="G10596" t="s">
        <v>30058</v>
      </c>
      <c r="H10596" t="s">
        <v>15498</v>
      </c>
      <c r="I10596" t="s">
        <v>30098</v>
      </c>
      <c r="J10596" t="s">
        <v>36676</v>
      </c>
      <c r="K10596" t="s">
        <v>39019</v>
      </c>
      <c r="M10596" t="s">
        <v>42553</v>
      </c>
      <c r="N10596" t="s">
        <v>43166</v>
      </c>
      <c r="O10596" t="s">
        <v>43167</v>
      </c>
      <c r="P10596">
        <v>0</v>
      </c>
      <c r="Q10596">
        <v>2</v>
      </c>
      <c r="R10596" t="s">
        <v>43179</v>
      </c>
      <c r="S10596" t="s">
        <v>43583</v>
      </c>
      <c r="T10596" t="s">
        <v>44721</v>
      </c>
      <c r="U10596" t="s">
        <v>53674</v>
      </c>
      <c r="V10596" t="s">
        <v>58024</v>
      </c>
      <c r="W10596" t="s">
        <v>42553</v>
      </c>
      <c r="X10596" t="s">
        <v>43180</v>
      </c>
    </row>
    <row r="10597" spans="1:24">
      <c r="A10597">
        <f>HYPERLINK("https://www.philgeps.gov.ph/GEPSNONPILOT/Tender/SplashBidNoticeAbstractUI.aspx?menuIndex=3&amp;refID=7066214&amp;Result=3","7066214")</f>
        <v>0</v>
      </c>
      <c r="B10597" t="s">
        <v>609</v>
      </c>
      <c r="C10597" t="s">
        <v>13516</v>
      </c>
      <c r="D10597" t="s">
        <v>17445</v>
      </c>
      <c r="E10597" t="s">
        <v>26573</v>
      </c>
      <c r="F10597" t="s">
        <v>30052</v>
      </c>
      <c r="G10597" t="s">
        <v>30058</v>
      </c>
      <c r="H10597" t="s">
        <v>30067</v>
      </c>
      <c r="I10597" t="s">
        <v>3693</v>
      </c>
      <c r="J10597" t="s">
        <v>36677</v>
      </c>
      <c r="K10597" t="s">
        <v>39026</v>
      </c>
      <c r="M10597" t="s">
        <v>39911</v>
      </c>
      <c r="N10597" t="s">
        <v>43166</v>
      </c>
      <c r="O10597" t="s">
        <v>43167</v>
      </c>
      <c r="P10597">
        <v>0</v>
      </c>
      <c r="Q10597">
        <v>1</v>
      </c>
      <c r="R10597" t="s">
        <v>43179</v>
      </c>
      <c r="S10597" t="s">
        <v>43583</v>
      </c>
      <c r="T10597" t="s">
        <v>44780</v>
      </c>
      <c r="U10597" t="s">
        <v>53646</v>
      </c>
      <c r="W10597" t="s">
        <v>39911</v>
      </c>
      <c r="X10597" t="s">
        <v>43180</v>
      </c>
    </row>
    <row r="10598" spans="1:24">
      <c r="A10598">
        <f>HYPERLINK("https://www.philgeps.gov.ph/GEPSNONPILOT/Tender/SplashBidNoticeAbstractUI.aspx?menuIndex=3&amp;refID=7066224&amp;Result=3","7066224")</f>
        <v>0</v>
      </c>
      <c r="B10598" t="s">
        <v>2984</v>
      </c>
      <c r="C10598" t="s">
        <v>10668</v>
      </c>
      <c r="D10598" t="s">
        <v>17424</v>
      </c>
      <c r="E10598" t="s">
        <v>17673</v>
      </c>
      <c r="F10598" t="s">
        <v>30052</v>
      </c>
      <c r="G10598" t="s">
        <v>30058</v>
      </c>
      <c r="H10598" t="s">
        <v>30067</v>
      </c>
      <c r="I10598" t="s">
        <v>3693</v>
      </c>
      <c r="J10598" t="s">
        <v>36678</v>
      </c>
      <c r="K10598" t="s">
        <v>39029</v>
      </c>
      <c r="M10598" t="s">
        <v>42554</v>
      </c>
      <c r="N10598" t="s">
        <v>43166</v>
      </c>
      <c r="O10598" t="s">
        <v>43167</v>
      </c>
      <c r="P10598">
        <v>0</v>
      </c>
      <c r="Q10598">
        <v>3</v>
      </c>
      <c r="R10598" t="s">
        <v>43179</v>
      </c>
      <c r="S10598" t="s">
        <v>43583</v>
      </c>
      <c r="T10598" t="s">
        <v>44715</v>
      </c>
      <c r="U10598" t="s">
        <v>53675</v>
      </c>
      <c r="W10598" t="s">
        <v>42554</v>
      </c>
      <c r="X10598" t="s">
        <v>43180</v>
      </c>
    </row>
    <row r="10599" spans="1:24">
      <c r="A10599">
        <f>HYPERLINK("https://www.philgeps.gov.ph/GEPSNONPILOT/Tender/SplashBidNoticeAbstractUI.aspx?menuIndex=3&amp;refID=7066207&amp;Result=3","7066207")</f>
        <v>0</v>
      </c>
      <c r="B10599" t="s">
        <v>2985</v>
      </c>
      <c r="C10599" t="s">
        <v>13517</v>
      </c>
      <c r="D10599" t="s">
        <v>17468</v>
      </c>
      <c r="E10599" t="s">
        <v>19907</v>
      </c>
      <c r="F10599" t="s">
        <v>30055</v>
      </c>
      <c r="G10599" t="s">
        <v>30058</v>
      </c>
      <c r="H10599" t="s">
        <v>15498</v>
      </c>
      <c r="I10599" t="s">
        <v>3736</v>
      </c>
      <c r="J10599" t="s">
        <v>36679</v>
      </c>
      <c r="K10599" t="s">
        <v>39017</v>
      </c>
      <c r="M10599" t="s">
        <v>42555</v>
      </c>
      <c r="N10599" t="s">
        <v>43166</v>
      </c>
      <c r="O10599" t="s">
        <v>43167</v>
      </c>
      <c r="P10599">
        <v>0</v>
      </c>
      <c r="Q10599">
        <v>1</v>
      </c>
      <c r="R10599" t="s">
        <v>43179</v>
      </c>
      <c r="S10599" t="s">
        <v>43583</v>
      </c>
      <c r="T10599" t="s">
        <v>44685</v>
      </c>
      <c r="U10599" t="s">
        <v>53676</v>
      </c>
      <c r="W10599" t="s">
        <v>42555</v>
      </c>
      <c r="X10599" t="s">
        <v>43180</v>
      </c>
    </row>
    <row r="10600" spans="1:24">
      <c r="A10600">
        <f>HYPERLINK("https://www.philgeps.gov.ph/GEPSNONPILOT/Tender/SplashBidNoticeAbstractUI.aspx?menuIndex=3&amp;refID=7065843&amp;Result=3","7065843")</f>
        <v>0</v>
      </c>
      <c r="B10600" t="s">
        <v>2961</v>
      </c>
      <c r="C10600" t="s">
        <v>13518</v>
      </c>
      <c r="D10600" t="s">
        <v>17422</v>
      </c>
      <c r="E10600" t="s">
        <v>18342</v>
      </c>
      <c r="F10600" t="s">
        <v>30052</v>
      </c>
      <c r="G10600" t="s">
        <v>30058</v>
      </c>
      <c r="H10600" t="s">
        <v>15498</v>
      </c>
      <c r="I10600" t="s">
        <v>30120</v>
      </c>
      <c r="J10600" t="s">
        <v>31178</v>
      </c>
      <c r="K10600" t="s">
        <v>39032</v>
      </c>
      <c r="M10600" t="s">
        <v>42526</v>
      </c>
      <c r="N10600" t="s">
        <v>43166</v>
      </c>
      <c r="O10600" t="s">
        <v>43167</v>
      </c>
      <c r="P10600">
        <v>0</v>
      </c>
      <c r="Q10600">
        <v>0</v>
      </c>
      <c r="R10600" t="s">
        <v>43179</v>
      </c>
      <c r="S10600" t="s">
        <v>43583</v>
      </c>
      <c r="T10600" t="s">
        <v>44744</v>
      </c>
      <c r="U10600" t="s">
        <v>53677</v>
      </c>
      <c r="W10600" t="s">
        <v>42526</v>
      </c>
      <c r="X10600" t="s">
        <v>43180</v>
      </c>
    </row>
    <row r="10601" spans="1:24">
      <c r="A10601">
        <f>HYPERLINK("https://www.philgeps.gov.ph/GEPSNONPILOT/Tender/SplashBidNoticeAbstractUI.aspx?menuIndex=3&amp;refID=7066460&amp;Result=3","7066460")</f>
        <v>0</v>
      </c>
      <c r="B10601" t="s">
        <v>2689</v>
      </c>
      <c r="C10601" t="s">
        <v>13519</v>
      </c>
      <c r="D10601" t="s">
        <v>17422</v>
      </c>
      <c r="E10601" t="s">
        <v>26574</v>
      </c>
      <c r="F10601" t="s">
        <v>30052</v>
      </c>
      <c r="G10601" t="s">
        <v>30058</v>
      </c>
      <c r="H10601" t="s">
        <v>15498</v>
      </c>
      <c r="I10601" t="s">
        <v>9238</v>
      </c>
      <c r="J10601" t="s">
        <v>36680</v>
      </c>
      <c r="K10601" t="s">
        <v>39029</v>
      </c>
      <c r="M10601" t="s">
        <v>42548</v>
      </c>
      <c r="N10601" t="s">
        <v>43166</v>
      </c>
      <c r="O10601" t="s">
        <v>43167</v>
      </c>
      <c r="P10601">
        <v>0</v>
      </c>
      <c r="Q10601">
        <v>9</v>
      </c>
      <c r="R10601" t="s">
        <v>43179</v>
      </c>
      <c r="S10601" t="s">
        <v>43583</v>
      </c>
      <c r="T10601" t="s">
        <v>44762</v>
      </c>
      <c r="U10601" t="s">
        <v>53678</v>
      </c>
      <c r="V10601" t="s">
        <v>58025</v>
      </c>
      <c r="W10601" t="s">
        <v>42548</v>
      </c>
      <c r="X10601" t="s">
        <v>43180</v>
      </c>
    </row>
    <row r="10602" spans="1:24">
      <c r="A10602">
        <f>HYPERLINK("https://www.philgeps.gov.ph/GEPSNONPILOT/Tender/SplashBidNoticeAbstractUI.aspx?menuIndex=3&amp;refID=7066377&amp;Result=3","7066377")</f>
        <v>0</v>
      </c>
      <c r="B10602" t="s">
        <v>1701</v>
      </c>
      <c r="C10602" t="s">
        <v>13520</v>
      </c>
      <c r="D10602" t="s">
        <v>17427</v>
      </c>
      <c r="E10602" t="s">
        <v>26575</v>
      </c>
      <c r="F10602" t="s">
        <v>30052</v>
      </c>
      <c r="G10602" t="s">
        <v>30058</v>
      </c>
      <c r="H10602" t="s">
        <v>15498</v>
      </c>
      <c r="I10602" t="s">
        <v>30111</v>
      </c>
      <c r="J10602" t="s">
        <v>36681</v>
      </c>
      <c r="K10602" t="s">
        <v>39025</v>
      </c>
      <c r="M10602" t="s">
        <v>41112</v>
      </c>
      <c r="N10602" t="s">
        <v>43166</v>
      </c>
      <c r="O10602" t="s">
        <v>43167</v>
      </c>
      <c r="Q10602">
        <v>6</v>
      </c>
      <c r="R10602" t="s">
        <v>43179</v>
      </c>
      <c r="S10602" t="s">
        <v>43627</v>
      </c>
      <c r="T10602" t="s">
        <v>44704</v>
      </c>
      <c r="U10602" t="s">
        <v>53679</v>
      </c>
      <c r="W10602" t="s">
        <v>41112</v>
      </c>
      <c r="X10602" t="s">
        <v>43180</v>
      </c>
    </row>
    <row r="10603" spans="1:24">
      <c r="A10603">
        <f>HYPERLINK("https://www.philgeps.gov.ph/GEPSNONPILOT/Tender/SplashBidNoticeAbstractUI.aspx?menuIndex=3&amp;refID=7066529&amp;Result=3","7066529")</f>
        <v>0</v>
      </c>
      <c r="B10603" t="s">
        <v>2986</v>
      </c>
      <c r="C10603" t="s">
        <v>13521</v>
      </c>
      <c r="D10603" t="s">
        <v>17453</v>
      </c>
      <c r="E10603" t="s">
        <v>26576</v>
      </c>
      <c r="F10603" t="s">
        <v>30052</v>
      </c>
      <c r="G10603" t="s">
        <v>30058</v>
      </c>
      <c r="H10603" t="s">
        <v>15498</v>
      </c>
      <c r="I10603" t="s">
        <v>30096</v>
      </c>
      <c r="J10603" t="s">
        <v>36682</v>
      </c>
      <c r="K10603" t="s">
        <v>39019</v>
      </c>
      <c r="M10603" t="s">
        <v>42556</v>
      </c>
      <c r="N10603" t="s">
        <v>43166</v>
      </c>
      <c r="O10603" t="s">
        <v>43167</v>
      </c>
      <c r="P10603">
        <v>0</v>
      </c>
      <c r="Q10603">
        <v>2</v>
      </c>
      <c r="R10603" t="s">
        <v>43179</v>
      </c>
      <c r="S10603" t="s">
        <v>43583</v>
      </c>
      <c r="T10603" t="s">
        <v>44820</v>
      </c>
      <c r="U10603" t="s">
        <v>53680</v>
      </c>
      <c r="V10603" t="s">
        <v>58026</v>
      </c>
      <c r="W10603" t="s">
        <v>42556</v>
      </c>
      <c r="X10603" t="s">
        <v>43180</v>
      </c>
    </row>
    <row r="10604" spans="1:24">
      <c r="A10604">
        <f>HYPERLINK("https://www.philgeps.gov.ph/GEPSNONPILOT/Tender/SplashBidNoticeAbstractUI.aspx?menuIndex=3&amp;refID=7066523&amp;Result=3","7066523")</f>
        <v>0</v>
      </c>
      <c r="B10604" t="s">
        <v>2987</v>
      </c>
      <c r="C10604" t="s">
        <v>13522</v>
      </c>
      <c r="D10604" t="s">
        <v>17419</v>
      </c>
      <c r="E10604" t="s">
        <v>26577</v>
      </c>
      <c r="F10604" t="s">
        <v>30052</v>
      </c>
      <c r="G10604" t="s">
        <v>30058</v>
      </c>
      <c r="H10604" t="s">
        <v>15498</v>
      </c>
      <c r="I10604" t="s">
        <v>30091</v>
      </c>
      <c r="J10604" t="s">
        <v>36683</v>
      </c>
      <c r="K10604" t="s">
        <v>39025</v>
      </c>
      <c r="M10604" t="s">
        <v>42557</v>
      </c>
      <c r="N10604" t="s">
        <v>43166</v>
      </c>
      <c r="O10604" t="s">
        <v>43167</v>
      </c>
      <c r="P10604">
        <v>0</v>
      </c>
      <c r="Q10604">
        <v>2</v>
      </c>
      <c r="R10604" t="s">
        <v>43179</v>
      </c>
      <c r="S10604" t="s">
        <v>43583</v>
      </c>
      <c r="T10604" t="s">
        <v>44733</v>
      </c>
      <c r="U10604" t="s">
        <v>53681</v>
      </c>
      <c r="W10604" t="s">
        <v>42557</v>
      </c>
      <c r="X10604" t="s">
        <v>43180</v>
      </c>
    </row>
    <row r="10605" spans="1:24">
      <c r="A10605">
        <f>HYPERLINK("https://www.philgeps.gov.ph/GEPSNONPILOT/Tender/SplashBidNoticeAbstractUI.aspx?menuIndex=3&amp;refID=7066519&amp;Result=3","7066519")</f>
        <v>0</v>
      </c>
      <c r="B10605" t="s">
        <v>2945</v>
      </c>
      <c r="C10605" t="s">
        <v>13523</v>
      </c>
      <c r="D10605" t="s">
        <v>17466</v>
      </c>
      <c r="E10605" t="s">
        <v>26578</v>
      </c>
      <c r="F10605" t="s">
        <v>30052</v>
      </c>
      <c r="G10605" t="s">
        <v>30058</v>
      </c>
      <c r="H10605" t="s">
        <v>15498</v>
      </c>
      <c r="I10605" t="s">
        <v>4119</v>
      </c>
      <c r="J10605" t="s">
        <v>36684</v>
      </c>
      <c r="K10605" t="s">
        <v>39039</v>
      </c>
      <c r="M10605" t="s">
        <v>42510</v>
      </c>
      <c r="N10605" t="s">
        <v>43166</v>
      </c>
      <c r="O10605" t="s">
        <v>43167</v>
      </c>
      <c r="P10605">
        <v>0</v>
      </c>
      <c r="Q10605">
        <v>3</v>
      </c>
      <c r="R10605" t="s">
        <v>43179</v>
      </c>
      <c r="S10605" t="s">
        <v>43583</v>
      </c>
      <c r="T10605" t="s">
        <v>45137</v>
      </c>
      <c r="U10605" t="s">
        <v>46747</v>
      </c>
      <c r="W10605" t="s">
        <v>42510</v>
      </c>
      <c r="X10605" t="s">
        <v>43180</v>
      </c>
    </row>
    <row r="10606" spans="1:24">
      <c r="A10606">
        <f>HYPERLINK("https://www.philgeps.gov.ph/GEPSNONPILOT/Tender/SplashBidNoticeAbstractUI.aspx?menuIndex=3&amp;refID=7066516&amp;Result=3","7066516")</f>
        <v>0</v>
      </c>
      <c r="B10606" t="s">
        <v>602</v>
      </c>
      <c r="C10606" t="s">
        <v>13524</v>
      </c>
      <c r="D10606" t="s">
        <v>17448</v>
      </c>
      <c r="E10606" t="s">
        <v>26579</v>
      </c>
      <c r="F10606" t="s">
        <v>30052</v>
      </c>
      <c r="G10606" t="s">
        <v>30058</v>
      </c>
      <c r="H10606" t="s">
        <v>30067</v>
      </c>
      <c r="I10606" t="s">
        <v>3693</v>
      </c>
      <c r="J10606" t="s">
        <v>36670</v>
      </c>
      <c r="K10606" t="s">
        <v>39166</v>
      </c>
      <c r="L10606" t="s">
        <v>602</v>
      </c>
      <c r="M10606" t="s">
        <v>42544</v>
      </c>
      <c r="N10606" t="s">
        <v>43166</v>
      </c>
      <c r="O10606" t="s">
        <v>43167</v>
      </c>
      <c r="P10606">
        <v>0</v>
      </c>
      <c r="Q10606">
        <v>0</v>
      </c>
      <c r="R10606" t="s">
        <v>43179</v>
      </c>
      <c r="S10606" t="s">
        <v>43583</v>
      </c>
      <c r="T10606" t="s">
        <v>45129</v>
      </c>
      <c r="U10606" t="s">
        <v>53649</v>
      </c>
      <c r="W10606" t="s">
        <v>42544</v>
      </c>
      <c r="X10606" t="s">
        <v>43180</v>
      </c>
    </row>
    <row r="10607" spans="1:24">
      <c r="A10607">
        <f>HYPERLINK("https://www.philgeps.gov.ph/GEPSNONPILOT/Tender/SplashBidNoticeAbstractUI.aspx?menuIndex=3&amp;refID=7066200&amp;Result=3","7066200")</f>
        <v>0</v>
      </c>
      <c r="B10607" t="s">
        <v>324</v>
      </c>
      <c r="C10607" t="s">
        <v>13525</v>
      </c>
      <c r="D10607" t="s">
        <v>17440</v>
      </c>
      <c r="E10607" t="s">
        <v>26580</v>
      </c>
      <c r="F10607" t="s">
        <v>30052</v>
      </c>
      <c r="G10607" t="s">
        <v>30058</v>
      </c>
      <c r="H10607" t="s">
        <v>15498</v>
      </c>
      <c r="I10607" t="s">
        <v>3852</v>
      </c>
      <c r="J10607" t="s">
        <v>36685</v>
      </c>
      <c r="K10607" t="s">
        <v>39029</v>
      </c>
      <c r="M10607" t="s">
        <v>42152</v>
      </c>
      <c r="N10607" t="s">
        <v>43166</v>
      </c>
      <c r="O10607" t="s">
        <v>43167</v>
      </c>
      <c r="P10607">
        <v>0</v>
      </c>
      <c r="Q10607">
        <v>1</v>
      </c>
      <c r="R10607" t="s">
        <v>43179</v>
      </c>
      <c r="S10607" t="s">
        <v>43583</v>
      </c>
      <c r="T10607" t="s">
        <v>44820</v>
      </c>
      <c r="U10607" t="s">
        <v>53682</v>
      </c>
      <c r="W10607" t="s">
        <v>42152</v>
      </c>
      <c r="X10607" t="s">
        <v>43180</v>
      </c>
    </row>
    <row r="10608" spans="1:24">
      <c r="A10608">
        <f>HYPERLINK("https://www.philgeps.gov.ph/GEPSNONPILOT/Tender/SplashBidNoticeAbstractUI.aspx?menuIndex=3&amp;refID=7066505&amp;Result=3","7066505")</f>
        <v>0</v>
      </c>
      <c r="B10608" t="s">
        <v>361</v>
      </c>
      <c r="C10608" t="s">
        <v>13526</v>
      </c>
      <c r="D10608" t="s">
        <v>17455</v>
      </c>
      <c r="E10608" t="s">
        <v>26581</v>
      </c>
      <c r="F10608" t="s">
        <v>30052</v>
      </c>
      <c r="G10608" t="s">
        <v>30061</v>
      </c>
      <c r="H10608" t="s">
        <v>15498</v>
      </c>
      <c r="I10608" t="s">
        <v>3693</v>
      </c>
      <c r="J10608" t="s">
        <v>36686</v>
      </c>
      <c r="K10608" t="s">
        <v>39034</v>
      </c>
      <c r="M10608" t="s">
        <v>39658</v>
      </c>
      <c r="N10608" t="s">
        <v>43166</v>
      </c>
      <c r="O10608" t="s">
        <v>43167</v>
      </c>
      <c r="P10608">
        <v>0</v>
      </c>
      <c r="Q10608">
        <v>0</v>
      </c>
      <c r="R10608" t="s">
        <v>43179</v>
      </c>
      <c r="S10608" t="s">
        <v>43583</v>
      </c>
      <c r="T10608" t="s">
        <v>44685</v>
      </c>
      <c r="U10608" t="s">
        <v>53683</v>
      </c>
      <c r="W10608" t="s">
        <v>39658</v>
      </c>
      <c r="X10608" t="s">
        <v>43180</v>
      </c>
    </row>
    <row r="10609" spans="1:24">
      <c r="A10609">
        <f>HYPERLINK("https://www.philgeps.gov.ph/GEPSNONPILOT/Tender/SplashBidNoticeAbstractUI.aspx?menuIndex=3&amp;refID=7066502&amp;Result=3","7066502")</f>
        <v>0</v>
      </c>
      <c r="B10609" t="s">
        <v>602</v>
      </c>
      <c r="C10609" t="s">
        <v>13527</v>
      </c>
      <c r="D10609" t="s">
        <v>17448</v>
      </c>
      <c r="E10609" t="s">
        <v>26582</v>
      </c>
      <c r="F10609" t="s">
        <v>30052</v>
      </c>
      <c r="G10609" t="s">
        <v>30058</v>
      </c>
      <c r="H10609" t="s">
        <v>30067</v>
      </c>
      <c r="I10609" t="s">
        <v>3693</v>
      </c>
      <c r="J10609" t="s">
        <v>36670</v>
      </c>
      <c r="K10609" t="s">
        <v>39022</v>
      </c>
      <c r="L10609" t="s">
        <v>602</v>
      </c>
      <c r="M10609" t="s">
        <v>42544</v>
      </c>
      <c r="N10609" t="s">
        <v>43166</v>
      </c>
      <c r="O10609" t="s">
        <v>43167</v>
      </c>
      <c r="P10609">
        <v>0</v>
      </c>
      <c r="Q10609">
        <v>0</v>
      </c>
      <c r="R10609" t="s">
        <v>43179</v>
      </c>
      <c r="S10609" t="s">
        <v>43583</v>
      </c>
      <c r="T10609" t="s">
        <v>45129</v>
      </c>
      <c r="U10609" t="s">
        <v>53649</v>
      </c>
      <c r="W10609" t="s">
        <v>42544</v>
      </c>
      <c r="X10609" t="s">
        <v>43180</v>
      </c>
    </row>
    <row r="10610" spans="1:24">
      <c r="A10610">
        <f>HYPERLINK("https://www.philgeps.gov.ph/GEPSNONPILOT/Tender/SplashBidNoticeAbstractUI.aspx?menuIndex=3&amp;refID=7066521&amp;Result=3","7066521")</f>
        <v>0</v>
      </c>
      <c r="B10610" t="s">
        <v>1818</v>
      </c>
      <c r="C10610" t="s">
        <v>13528</v>
      </c>
      <c r="D10610" t="s">
        <v>17458</v>
      </c>
      <c r="E10610" t="s">
        <v>26583</v>
      </c>
      <c r="F10610" t="s">
        <v>30052</v>
      </c>
      <c r="G10610" t="s">
        <v>30058</v>
      </c>
      <c r="H10610" t="s">
        <v>30068</v>
      </c>
      <c r="I10610" t="s">
        <v>30166</v>
      </c>
      <c r="J10610" t="s">
        <v>36687</v>
      </c>
      <c r="K10610" t="s">
        <v>39025</v>
      </c>
      <c r="M10610" t="s">
        <v>41241</v>
      </c>
      <c r="N10610" t="s">
        <v>43166</v>
      </c>
      <c r="O10610" t="s">
        <v>43167</v>
      </c>
      <c r="P10610">
        <v>0</v>
      </c>
      <c r="Q10610">
        <v>8</v>
      </c>
      <c r="R10610" t="s">
        <v>43179</v>
      </c>
      <c r="S10610" t="s">
        <v>43583</v>
      </c>
      <c r="T10610" t="s">
        <v>44873</v>
      </c>
      <c r="U10610" t="s">
        <v>53684</v>
      </c>
      <c r="W10610" t="s">
        <v>41241</v>
      </c>
      <c r="X10610" t="s">
        <v>43180</v>
      </c>
    </row>
    <row r="10611" spans="1:24">
      <c r="A10611">
        <f>HYPERLINK("https://www.philgeps.gov.ph/GEPSNONPILOT/Tender/SplashBidNoticeAbstractUI.aspx?menuIndex=3&amp;refID=7066498&amp;Result=3","7066498")</f>
        <v>0</v>
      </c>
      <c r="B10611" t="s">
        <v>2988</v>
      </c>
      <c r="C10611" t="s">
        <v>13529</v>
      </c>
      <c r="D10611" t="s">
        <v>17419</v>
      </c>
      <c r="E10611" t="s">
        <v>26584</v>
      </c>
      <c r="F10611" t="s">
        <v>30052</v>
      </c>
      <c r="G10611" t="s">
        <v>30058</v>
      </c>
      <c r="H10611" t="s">
        <v>30067</v>
      </c>
      <c r="I10611" t="s">
        <v>3693</v>
      </c>
      <c r="J10611" t="s">
        <v>36688</v>
      </c>
      <c r="K10611" t="s">
        <v>39017</v>
      </c>
      <c r="M10611" t="s">
        <v>42558</v>
      </c>
      <c r="N10611" t="s">
        <v>43166</v>
      </c>
      <c r="O10611" t="s">
        <v>43167</v>
      </c>
      <c r="P10611">
        <v>0</v>
      </c>
      <c r="Q10611">
        <v>0</v>
      </c>
      <c r="R10611" t="s">
        <v>43179</v>
      </c>
      <c r="S10611" t="s">
        <v>43583</v>
      </c>
      <c r="T10611" t="s">
        <v>44818</v>
      </c>
      <c r="U10611" t="s">
        <v>53685</v>
      </c>
      <c r="W10611" t="s">
        <v>42558</v>
      </c>
      <c r="X10611" t="s">
        <v>43180</v>
      </c>
    </row>
    <row r="10612" spans="1:24">
      <c r="A10612">
        <f>HYPERLINK("https://www.philgeps.gov.ph/GEPSNONPILOT/Tender/SplashBidNoticeAbstractUI.aspx?menuIndex=3&amp;refID=7066347&amp;Result=3","7066347")</f>
        <v>0</v>
      </c>
      <c r="B10612" t="s">
        <v>443</v>
      </c>
      <c r="C10612" t="s">
        <v>13530</v>
      </c>
      <c r="D10612" t="s">
        <v>17425</v>
      </c>
      <c r="E10612" t="s">
        <v>26585</v>
      </c>
      <c r="F10612" t="s">
        <v>30052</v>
      </c>
      <c r="G10612" t="s">
        <v>30058</v>
      </c>
      <c r="H10612" t="s">
        <v>30067</v>
      </c>
      <c r="I10612" t="s">
        <v>3693</v>
      </c>
      <c r="J10612" t="s">
        <v>33069</v>
      </c>
      <c r="K10612" t="s">
        <v>39022</v>
      </c>
      <c r="M10612" t="s">
        <v>39743</v>
      </c>
      <c r="N10612" t="s">
        <v>43166</v>
      </c>
      <c r="O10612" t="s">
        <v>43167</v>
      </c>
      <c r="P10612">
        <v>0</v>
      </c>
      <c r="Q10612">
        <v>0</v>
      </c>
      <c r="R10612" t="s">
        <v>43179</v>
      </c>
      <c r="S10612" t="s">
        <v>43583</v>
      </c>
      <c r="T10612" t="s">
        <v>45115</v>
      </c>
      <c r="U10612" t="s">
        <v>53686</v>
      </c>
      <c r="W10612" t="s">
        <v>39743</v>
      </c>
      <c r="X10612" t="s">
        <v>43180</v>
      </c>
    </row>
    <row r="10613" spans="1:24">
      <c r="A10613">
        <f>HYPERLINK("https://www.philgeps.gov.ph/GEPSNONPILOT/Tender/SplashBidNoticeAbstractUI.aspx?menuIndex=3&amp;refID=7066482&amp;Result=3","7066482")</f>
        <v>0</v>
      </c>
      <c r="B10613" t="s">
        <v>2945</v>
      </c>
      <c r="C10613" t="s">
        <v>13531</v>
      </c>
      <c r="D10613" t="s">
        <v>17466</v>
      </c>
      <c r="E10613" t="s">
        <v>26586</v>
      </c>
      <c r="F10613" t="s">
        <v>30052</v>
      </c>
      <c r="G10613" t="s">
        <v>30058</v>
      </c>
      <c r="H10613" t="s">
        <v>15498</v>
      </c>
      <c r="I10613" t="s">
        <v>4650</v>
      </c>
      <c r="J10613" t="s">
        <v>36689</v>
      </c>
      <c r="K10613" t="s">
        <v>39039</v>
      </c>
      <c r="M10613" t="s">
        <v>42510</v>
      </c>
      <c r="N10613" t="s">
        <v>43166</v>
      </c>
      <c r="O10613" t="s">
        <v>43167</v>
      </c>
      <c r="P10613">
        <v>0</v>
      </c>
      <c r="Q10613">
        <v>1</v>
      </c>
      <c r="R10613" t="s">
        <v>43179</v>
      </c>
      <c r="S10613" t="s">
        <v>43583</v>
      </c>
      <c r="T10613" t="s">
        <v>45136</v>
      </c>
      <c r="U10613" t="s">
        <v>46747</v>
      </c>
      <c r="W10613" t="s">
        <v>42510</v>
      </c>
      <c r="X10613" t="s">
        <v>43180</v>
      </c>
    </row>
    <row r="10614" spans="1:24">
      <c r="A10614">
        <f>HYPERLINK("https://www.philgeps.gov.ph/GEPSNONPILOT/Tender/SplashBidNoticeAbstractUI.aspx?menuIndex=3&amp;refID=7066468&amp;Result=3","7066468")</f>
        <v>0</v>
      </c>
      <c r="B10614" t="s">
        <v>1784</v>
      </c>
      <c r="C10614" t="s">
        <v>13532</v>
      </c>
      <c r="D10614" t="s">
        <v>17459</v>
      </c>
      <c r="E10614" t="s">
        <v>26587</v>
      </c>
      <c r="F10614" t="s">
        <v>30052</v>
      </c>
      <c r="G10614" t="s">
        <v>30058</v>
      </c>
      <c r="H10614" t="s">
        <v>15498</v>
      </c>
      <c r="I10614" t="s">
        <v>30076</v>
      </c>
      <c r="J10614" t="s">
        <v>36690</v>
      </c>
      <c r="K10614" t="s">
        <v>39029</v>
      </c>
      <c r="M10614" t="s">
        <v>41422</v>
      </c>
      <c r="N10614" t="s">
        <v>43166</v>
      </c>
      <c r="O10614" t="s">
        <v>43167</v>
      </c>
      <c r="P10614">
        <v>0</v>
      </c>
      <c r="Q10614">
        <v>8</v>
      </c>
      <c r="R10614" t="s">
        <v>43179</v>
      </c>
      <c r="S10614" t="s">
        <v>43583</v>
      </c>
      <c r="T10614" t="s">
        <v>44690</v>
      </c>
      <c r="U10614" t="s">
        <v>53687</v>
      </c>
      <c r="W10614" t="s">
        <v>41422</v>
      </c>
      <c r="X10614" t="s">
        <v>43180</v>
      </c>
    </row>
    <row r="10615" spans="1:24">
      <c r="A10615">
        <f>HYPERLINK("https://www.philgeps.gov.ph/GEPSNONPILOT/Tender/SplashBidNoticeAbstractUI.aspx?menuIndex=3&amp;refID=7066515&amp;Result=3","7066515")</f>
        <v>0</v>
      </c>
      <c r="B10615" t="s">
        <v>2989</v>
      </c>
      <c r="C10615" t="s">
        <v>13533</v>
      </c>
      <c r="D10615" t="s">
        <v>17445</v>
      </c>
      <c r="E10615" t="s">
        <v>26588</v>
      </c>
      <c r="F10615" t="s">
        <v>30052</v>
      </c>
      <c r="G10615" t="s">
        <v>30058</v>
      </c>
      <c r="H10615" t="s">
        <v>30067</v>
      </c>
      <c r="I10615" t="s">
        <v>3736</v>
      </c>
      <c r="J10615" t="s">
        <v>36691</v>
      </c>
      <c r="K10615" t="s">
        <v>39026</v>
      </c>
      <c r="M10615" t="s">
        <v>42559</v>
      </c>
      <c r="N10615" t="s">
        <v>43166</v>
      </c>
      <c r="O10615" t="s">
        <v>43167</v>
      </c>
      <c r="P10615">
        <v>0</v>
      </c>
      <c r="Q10615">
        <v>1</v>
      </c>
      <c r="R10615" t="s">
        <v>43179</v>
      </c>
      <c r="S10615" t="s">
        <v>43583</v>
      </c>
      <c r="T10615" t="s">
        <v>44789</v>
      </c>
      <c r="U10615" t="s">
        <v>53688</v>
      </c>
      <c r="W10615" t="s">
        <v>42559</v>
      </c>
      <c r="X10615" t="s">
        <v>43180</v>
      </c>
    </row>
    <row r="10616" spans="1:24">
      <c r="A10616">
        <f>HYPERLINK("https://www.philgeps.gov.ph/GEPSNONPILOT/Tender/SplashBidNoticeAbstractUI.aspx?menuIndex=3&amp;refID=7066465&amp;Result=3","7066465")</f>
        <v>0</v>
      </c>
      <c r="B10616" t="s">
        <v>602</v>
      </c>
      <c r="C10616" t="s">
        <v>13534</v>
      </c>
      <c r="D10616" t="s">
        <v>17448</v>
      </c>
      <c r="E10616" t="s">
        <v>26589</v>
      </c>
      <c r="F10616" t="s">
        <v>30052</v>
      </c>
      <c r="G10616" t="s">
        <v>30058</v>
      </c>
      <c r="H10616" t="s">
        <v>30067</v>
      </c>
      <c r="I10616" t="s">
        <v>3693</v>
      </c>
      <c r="J10616" t="s">
        <v>36670</v>
      </c>
      <c r="K10616" t="s">
        <v>39154</v>
      </c>
      <c r="L10616" t="s">
        <v>602</v>
      </c>
      <c r="M10616" t="s">
        <v>42544</v>
      </c>
      <c r="N10616" t="s">
        <v>43166</v>
      </c>
      <c r="O10616" t="s">
        <v>43167</v>
      </c>
      <c r="P10616">
        <v>0</v>
      </c>
      <c r="Q10616">
        <v>0</v>
      </c>
      <c r="R10616" t="s">
        <v>43179</v>
      </c>
      <c r="S10616" t="s">
        <v>43583</v>
      </c>
      <c r="T10616" t="s">
        <v>45129</v>
      </c>
      <c r="U10616" t="s">
        <v>53649</v>
      </c>
      <c r="W10616" t="s">
        <v>42544</v>
      </c>
      <c r="X10616" t="s">
        <v>43180</v>
      </c>
    </row>
    <row r="10617" spans="1:24">
      <c r="A10617">
        <f>HYPERLINK("https://www.philgeps.gov.ph/GEPSNONPILOT/Tender/SplashBidNoticeAbstractUI.aspx?menuIndex=3&amp;refID=7066462&amp;Result=3","7066462")</f>
        <v>0</v>
      </c>
      <c r="B10617" t="s">
        <v>2987</v>
      </c>
      <c r="C10617" t="s">
        <v>13535</v>
      </c>
      <c r="D10617" t="s">
        <v>17419</v>
      </c>
      <c r="E10617" t="s">
        <v>26590</v>
      </c>
      <c r="F10617" t="s">
        <v>30052</v>
      </c>
      <c r="G10617" t="s">
        <v>30058</v>
      </c>
      <c r="H10617" t="s">
        <v>15498</v>
      </c>
      <c r="I10617" t="s">
        <v>30091</v>
      </c>
      <c r="J10617" t="s">
        <v>30900</v>
      </c>
      <c r="K10617" t="s">
        <v>39025</v>
      </c>
      <c r="M10617" t="s">
        <v>42557</v>
      </c>
      <c r="N10617" t="s">
        <v>43166</v>
      </c>
      <c r="O10617" t="s">
        <v>43167</v>
      </c>
      <c r="P10617">
        <v>0</v>
      </c>
      <c r="Q10617">
        <v>2</v>
      </c>
      <c r="R10617" t="s">
        <v>43179</v>
      </c>
      <c r="S10617" t="s">
        <v>43583</v>
      </c>
      <c r="T10617" t="s">
        <v>44718</v>
      </c>
      <c r="U10617" t="s">
        <v>53689</v>
      </c>
      <c r="W10617" t="s">
        <v>42557</v>
      </c>
      <c r="X10617" t="s">
        <v>43180</v>
      </c>
    </row>
    <row r="10618" spans="1:24">
      <c r="A10618">
        <f>HYPERLINK("https://www.philgeps.gov.ph/GEPSNONPILOT/Tender/SplashBidNoticeAbstractUI.aspx?menuIndex=3&amp;refID=7066449&amp;Result=3","7066449")</f>
        <v>0</v>
      </c>
      <c r="B10618" t="s">
        <v>2990</v>
      </c>
      <c r="C10618" t="s">
        <v>13536</v>
      </c>
      <c r="D10618" t="s">
        <v>17461</v>
      </c>
      <c r="E10618" t="s">
        <v>26591</v>
      </c>
      <c r="F10618" t="s">
        <v>30052</v>
      </c>
      <c r="G10618" t="s">
        <v>30058</v>
      </c>
      <c r="H10618" t="s">
        <v>15498</v>
      </c>
      <c r="I10618" t="s">
        <v>30124</v>
      </c>
      <c r="J10618" t="s">
        <v>31290</v>
      </c>
      <c r="K10618" t="s">
        <v>39023</v>
      </c>
      <c r="M10618" t="s">
        <v>42560</v>
      </c>
      <c r="N10618" t="s">
        <v>43166</v>
      </c>
      <c r="O10618" t="s">
        <v>43167</v>
      </c>
      <c r="Q10618">
        <v>11</v>
      </c>
      <c r="R10618" t="s">
        <v>43179</v>
      </c>
      <c r="S10618" t="s">
        <v>43628</v>
      </c>
      <c r="T10618" t="s">
        <v>44873</v>
      </c>
      <c r="U10618" t="s">
        <v>53690</v>
      </c>
      <c r="W10618" t="s">
        <v>42560</v>
      </c>
      <c r="X10618" t="s">
        <v>43180</v>
      </c>
    </row>
    <row r="10619" spans="1:24">
      <c r="A10619">
        <f>HYPERLINK("https://www.philgeps.gov.ph/GEPSNONPILOT/Tender/SplashBidNoticeAbstractUI.aspx?menuIndex=3&amp;refID=7066587&amp;Result=3","7066587")</f>
        <v>0</v>
      </c>
      <c r="B10619" t="s">
        <v>511</v>
      </c>
      <c r="C10619" t="s">
        <v>13537</v>
      </c>
      <c r="D10619" t="s">
        <v>17480</v>
      </c>
      <c r="E10619" t="s">
        <v>26592</v>
      </c>
      <c r="F10619" t="s">
        <v>30052</v>
      </c>
      <c r="G10619" t="s">
        <v>30058</v>
      </c>
      <c r="H10619" t="s">
        <v>15498</v>
      </c>
      <c r="I10619" t="s">
        <v>30135</v>
      </c>
      <c r="J10619" t="s">
        <v>36692</v>
      </c>
      <c r="K10619" t="s">
        <v>39031</v>
      </c>
      <c r="M10619" t="s">
        <v>39812</v>
      </c>
      <c r="N10619" t="s">
        <v>43166</v>
      </c>
      <c r="O10619" t="s">
        <v>43167</v>
      </c>
      <c r="Q10619">
        <v>9</v>
      </c>
      <c r="R10619" t="s">
        <v>43179</v>
      </c>
      <c r="S10619" t="s">
        <v>43629</v>
      </c>
      <c r="T10619" t="s">
        <v>44741</v>
      </c>
      <c r="U10619" t="s">
        <v>53691</v>
      </c>
      <c r="V10619" t="s">
        <v>57769</v>
      </c>
      <c r="W10619" t="s">
        <v>39812</v>
      </c>
      <c r="X10619" t="s">
        <v>43180</v>
      </c>
    </row>
    <row r="10620" spans="1:24">
      <c r="A10620">
        <f>HYPERLINK("https://www.philgeps.gov.ph/GEPSNONPILOT/Tender/SplashBidNoticeAbstractUI.aspx?menuIndex=3&amp;refID=7066500&amp;Result=3","7066500")</f>
        <v>0</v>
      </c>
      <c r="B10620" t="s">
        <v>684</v>
      </c>
      <c r="C10620" t="s">
        <v>13538</v>
      </c>
      <c r="D10620" t="s">
        <v>17473</v>
      </c>
      <c r="E10620" t="s">
        <v>26593</v>
      </c>
      <c r="F10620" t="s">
        <v>30052</v>
      </c>
      <c r="G10620" t="s">
        <v>30058</v>
      </c>
      <c r="H10620" t="s">
        <v>30067</v>
      </c>
      <c r="I10620" t="s">
        <v>3693</v>
      </c>
      <c r="J10620" t="s">
        <v>36693</v>
      </c>
      <c r="K10620" t="s">
        <v>39023</v>
      </c>
      <c r="M10620" t="s">
        <v>42537</v>
      </c>
      <c r="N10620" t="s">
        <v>43166</v>
      </c>
      <c r="O10620" t="s">
        <v>43167</v>
      </c>
      <c r="Q10620">
        <v>11</v>
      </c>
      <c r="R10620" t="s">
        <v>43179</v>
      </c>
      <c r="S10620" t="s">
        <v>43630</v>
      </c>
      <c r="T10620" t="s">
        <v>45129</v>
      </c>
      <c r="U10620" t="s">
        <v>53692</v>
      </c>
      <c r="W10620" t="s">
        <v>42537</v>
      </c>
      <c r="X10620" t="s">
        <v>43180</v>
      </c>
    </row>
    <row r="10621" spans="1:24">
      <c r="A10621">
        <f>HYPERLINK("https://www.philgeps.gov.ph/GEPSNONPILOT/Tender/SplashBidNoticeAbstractUI.aspx?menuIndex=3&amp;refID=7066582&amp;Result=3","7066582")</f>
        <v>0</v>
      </c>
      <c r="B10621" t="s">
        <v>1505</v>
      </c>
      <c r="C10621" t="s">
        <v>13539</v>
      </c>
      <c r="D10621" t="s">
        <v>17462</v>
      </c>
      <c r="E10621" t="s">
        <v>26594</v>
      </c>
      <c r="F10621" t="s">
        <v>30052</v>
      </c>
      <c r="G10621" t="s">
        <v>30058</v>
      </c>
      <c r="H10621" t="s">
        <v>30067</v>
      </c>
      <c r="I10621" t="s">
        <v>3693</v>
      </c>
      <c r="J10621" t="s">
        <v>31772</v>
      </c>
      <c r="K10621" t="s">
        <v>39031</v>
      </c>
      <c r="M10621" t="s">
        <v>40889</v>
      </c>
      <c r="N10621" t="s">
        <v>43166</v>
      </c>
      <c r="O10621" t="s">
        <v>43167</v>
      </c>
      <c r="P10621">
        <v>0</v>
      </c>
      <c r="Q10621">
        <v>6</v>
      </c>
      <c r="R10621" t="s">
        <v>43179</v>
      </c>
      <c r="S10621" t="s">
        <v>43583</v>
      </c>
      <c r="T10621" t="s">
        <v>44791</v>
      </c>
      <c r="U10621" t="s">
        <v>53693</v>
      </c>
      <c r="W10621" t="s">
        <v>58641</v>
      </c>
      <c r="X10621" t="s">
        <v>43180</v>
      </c>
    </row>
    <row r="10622" spans="1:24">
      <c r="A10622">
        <f>HYPERLINK("https://www.philgeps.gov.ph/GEPSNONPILOT/Tender/SplashBidNoticeAbstractUI.aspx?menuIndex=3&amp;refID=7066573&amp;Result=3","7066573")</f>
        <v>0</v>
      </c>
      <c r="B10622" t="s">
        <v>2945</v>
      </c>
      <c r="C10622" t="s">
        <v>13540</v>
      </c>
      <c r="D10622" t="s">
        <v>17466</v>
      </c>
      <c r="E10622" t="s">
        <v>26595</v>
      </c>
      <c r="F10622" t="s">
        <v>30052</v>
      </c>
      <c r="G10622" t="s">
        <v>30058</v>
      </c>
      <c r="H10622" t="s">
        <v>15498</v>
      </c>
      <c r="I10622" t="s">
        <v>30075</v>
      </c>
      <c r="J10622" t="s">
        <v>30644</v>
      </c>
      <c r="K10622" t="s">
        <v>39039</v>
      </c>
      <c r="M10622" t="s">
        <v>42510</v>
      </c>
      <c r="N10622" t="s">
        <v>43166</v>
      </c>
      <c r="O10622" t="s">
        <v>43167</v>
      </c>
      <c r="P10622">
        <v>0</v>
      </c>
      <c r="Q10622">
        <v>1</v>
      </c>
      <c r="R10622" t="s">
        <v>43179</v>
      </c>
      <c r="S10622" t="s">
        <v>43583</v>
      </c>
      <c r="T10622" t="s">
        <v>45137</v>
      </c>
      <c r="U10622" t="s">
        <v>46747</v>
      </c>
      <c r="W10622" t="s">
        <v>42510</v>
      </c>
      <c r="X10622" t="s">
        <v>43180</v>
      </c>
    </row>
    <row r="10623" spans="1:24">
      <c r="A10623">
        <f>HYPERLINK("https://www.philgeps.gov.ph/GEPSNONPILOT/Tender/SplashBidNoticeAbstractUI.aspx?menuIndex=3&amp;refID=7066570&amp;Result=3","7066570")</f>
        <v>0</v>
      </c>
      <c r="B10623" t="s">
        <v>2013</v>
      </c>
      <c r="C10623" t="s">
        <v>13541</v>
      </c>
      <c r="D10623" t="s">
        <v>17425</v>
      </c>
      <c r="E10623" t="s">
        <v>26596</v>
      </c>
      <c r="F10623" t="s">
        <v>30052</v>
      </c>
      <c r="G10623" t="s">
        <v>30058</v>
      </c>
      <c r="H10623" t="s">
        <v>30067</v>
      </c>
      <c r="I10623" t="s">
        <v>3693</v>
      </c>
      <c r="J10623" t="s">
        <v>36694</v>
      </c>
      <c r="K10623" t="s">
        <v>39244</v>
      </c>
      <c r="M10623" t="s">
        <v>41457</v>
      </c>
      <c r="N10623" t="s">
        <v>43166</v>
      </c>
      <c r="O10623" t="s">
        <v>43167</v>
      </c>
      <c r="P10623">
        <v>0</v>
      </c>
      <c r="Q10623">
        <v>0</v>
      </c>
      <c r="R10623" t="s">
        <v>43179</v>
      </c>
      <c r="S10623" t="s">
        <v>43583</v>
      </c>
      <c r="T10623" t="s">
        <v>44699</v>
      </c>
      <c r="U10623" t="s">
        <v>50178</v>
      </c>
      <c r="V10623" t="s">
        <v>58027</v>
      </c>
      <c r="W10623" t="s">
        <v>41457</v>
      </c>
      <c r="X10623" t="s">
        <v>43180</v>
      </c>
    </row>
    <row r="10624" spans="1:24">
      <c r="A10624">
        <f>HYPERLINK("https://www.philgeps.gov.ph/GEPSNONPILOT/Tender/SplashBidNoticeAbstractUI.aspx?menuIndex=3&amp;refID=7066507&amp;Result=3","7066507")</f>
        <v>0</v>
      </c>
      <c r="B10624" t="s">
        <v>415</v>
      </c>
      <c r="C10624" t="s">
        <v>13542</v>
      </c>
      <c r="D10624" t="s">
        <v>17472</v>
      </c>
      <c r="E10624" t="s">
        <v>26597</v>
      </c>
      <c r="F10624" t="s">
        <v>30052</v>
      </c>
      <c r="G10624" t="s">
        <v>30058</v>
      </c>
      <c r="H10624" t="s">
        <v>30067</v>
      </c>
      <c r="I10624" t="s">
        <v>3693</v>
      </c>
      <c r="J10624" t="s">
        <v>36695</v>
      </c>
      <c r="K10624" t="s">
        <v>39075</v>
      </c>
      <c r="M10624" t="s">
        <v>40024</v>
      </c>
      <c r="N10624" t="s">
        <v>43166</v>
      </c>
      <c r="O10624" t="s">
        <v>43167</v>
      </c>
      <c r="P10624">
        <v>0</v>
      </c>
      <c r="Q10624">
        <v>0</v>
      </c>
      <c r="R10624" t="s">
        <v>43179</v>
      </c>
      <c r="S10624" t="s">
        <v>43583</v>
      </c>
      <c r="T10624" t="s">
        <v>44830</v>
      </c>
      <c r="U10624" t="s">
        <v>53672</v>
      </c>
      <c r="V10624" t="s">
        <v>57084</v>
      </c>
      <c r="W10624" t="s">
        <v>58610</v>
      </c>
      <c r="X10624" t="s">
        <v>43180</v>
      </c>
    </row>
    <row r="10625" spans="1:24">
      <c r="A10625">
        <f>HYPERLINK("https://www.philgeps.gov.ph/GEPSNONPILOT/Tender/SplashBidNoticeAbstractUI.aspx?menuIndex=3&amp;refID=7066567&amp;Result=3","7066567")</f>
        <v>0</v>
      </c>
      <c r="B10625" t="s">
        <v>602</v>
      </c>
      <c r="C10625" t="s">
        <v>13543</v>
      </c>
      <c r="D10625" t="s">
        <v>17448</v>
      </c>
      <c r="E10625" t="s">
        <v>26598</v>
      </c>
      <c r="F10625" t="s">
        <v>30052</v>
      </c>
      <c r="G10625" t="s">
        <v>30058</v>
      </c>
      <c r="H10625" t="s">
        <v>30067</v>
      </c>
      <c r="I10625" t="s">
        <v>3693</v>
      </c>
      <c r="J10625" t="s">
        <v>36696</v>
      </c>
      <c r="K10625" t="s">
        <v>39037</v>
      </c>
      <c r="L10625" t="s">
        <v>602</v>
      </c>
      <c r="M10625" t="s">
        <v>42544</v>
      </c>
      <c r="N10625" t="s">
        <v>43166</v>
      </c>
      <c r="O10625" t="s">
        <v>43167</v>
      </c>
      <c r="P10625">
        <v>0</v>
      </c>
      <c r="Q10625">
        <v>2</v>
      </c>
      <c r="R10625" t="s">
        <v>43179</v>
      </c>
      <c r="S10625" t="s">
        <v>43583</v>
      </c>
      <c r="T10625" t="s">
        <v>45129</v>
      </c>
      <c r="U10625" t="s">
        <v>53649</v>
      </c>
      <c r="W10625" t="s">
        <v>42544</v>
      </c>
      <c r="X10625" t="s">
        <v>43180</v>
      </c>
    </row>
    <row r="10626" spans="1:24">
      <c r="A10626">
        <f>HYPERLINK("https://www.philgeps.gov.ph/GEPSNONPILOT/Tender/SplashBidNoticeAbstractUI.aspx?menuIndex=3&amp;refID=7066558&amp;Result=3","7066558")</f>
        <v>0</v>
      </c>
      <c r="B10626" t="s">
        <v>2991</v>
      </c>
      <c r="C10626" t="s">
        <v>13544</v>
      </c>
      <c r="D10626" t="s">
        <v>17413</v>
      </c>
      <c r="E10626" t="s">
        <v>23847</v>
      </c>
      <c r="F10626" t="s">
        <v>30052</v>
      </c>
      <c r="G10626" t="s">
        <v>30058</v>
      </c>
      <c r="H10626" t="s">
        <v>30067</v>
      </c>
      <c r="I10626" t="s">
        <v>3693</v>
      </c>
      <c r="J10626" t="s">
        <v>36697</v>
      </c>
      <c r="K10626" t="s">
        <v>39204</v>
      </c>
      <c r="M10626" t="s">
        <v>42561</v>
      </c>
      <c r="N10626" t="s">
        <v>43166</v>
      </c>
      <c r="O10626" t="s">
        <v>43167</v>
      </c>
      <c r="P10626">
        <v>0</v>
      </c>
      <c r="Q10626">
        <v>1</v>
      </c>
      <c r="R10626" t="s">
        <v>43179</v>
      </c>
      <c r="S10626" t="s">
        <v>43583</v>
      </c>
      <c r="T10626" t="s">
        <v>45129</v>
      </c>
      <c r="U10626" t="s">
        <v>53694</v>
      </c>
      <c r="W10626" t="s">
        <v>42561</v>
      </c>
      <c r="X10626" t="s">
        <v>43180</v>
      </c>
    </row>
    <row r="10627" spans="1:24">
      <c r="A10627">
        <f>HYPERLINK("https://www.philgeps.gov.ph/GEPSNONPILOT/Tender/SplashBidNoticeAbstractUI.aspx?menuIndex=3&amp;refID=7066581&amp;Result=3","7066581")</f>
        <v>0</v>
      </c>
      <c r="B10627" t="s">
        <v>361</v>
      </c>
      <c r="C10627" t="s">
        <v>13545</v>
      </c>
      <c r="D10627" t="s">
        <v>17455</v>
      </c>
      <c r="E10627" t="s">
        <v>26599</v>
      </c>
      <c r="F10627" t="s">
        <v>30052</v>
      </c>
      <c r="G10627" t="s">
        <v>30058</v>
      </c>
      <c r="H10627" t="s">
        <v>30067</v>
      </c>
      <c r="I10627" t="s">
        <v>3693</v>
      </c>
      <c r="J10627" t="s">
        <v>30212</v>
      </c>
      <c r="K10627" t="s">
        <v>39020</v>
      </c>
      <c r="M10627" t="s">
        <v>39658</v>
      </c>
      <c r="N10627" t="s">
        <v>43166</v>
      </c>
      <c r="O10627" t="s">
        <v>43167</v>
      </c>
      <c r="P10627">
        <v>0</v>
      </c>
      <c r="Q10627">
        <v>9</v>
      </c>
      <c r="R10627" t="s">
        <v>43179</v>
      </c>
      <c r="S10627" t="s">
        <v>43583</v>
      </c>
      <c r="T10627" t="s">
        <v>44757</v>
      </c>
      <c r="U10627" t="s">
        <v>45874</v>
      </c>
      <c r="W10627" t="s">
        <v>39658</v>
      </c>
      <c r="X10627" t="s">
        <v>43180</v>
      </c>
    </row>
    <row r="10628" spans="1:24">
      <c r="A10628">
        <f>HYPERLINK("https://www.philgeps.gov.ph/GEPSNONPILOT/Tender/SplashBidNoticeAbstractUI.aspx?menuIndex=3&amp;refID=7066554&amp;Result=3","7066554")</f>
        <v>0</v>
      </c>
      <c r="B10628" t="s">
        <v>2989</v>
      </c>
      <c r="C10628" t="s">
        <v>13546</v>
      </c>
      <c r="D10628" t="s">
        <v>17445</v>
      </c>
      <c r="E10628" t="s">
        <v>26600</v>
      </c>
      <c r="F10628" t="s">
        <v>30052</v>
      </c>
      <c r="G10628" t="s">
        <v>30058</v>
      </c>
      <c r="H10628" t="s">
        <v>30067</v>
      </c>
      <c r="I10628" t="s">
        <v>3736</v>
      </c>
      <c r="J10628" t="s">
        <v>36698</v>
      </c>
      <c r="K10628" t="s">
        <v>39026</v>
      </c>
      <c r="M10628" t="s">
        <v>42559</v>
      </c>
      <c r="N10628" t="s">
        <v>43166</v>
      </c>
      <c r="O10628" t="s">
        <v>43167</v>
      </c>
      <c r="P10628">
        <v>0</v>
      </c>
      <c r="Q10628">
        <v>1</v>
      </c>
      <c r="R10628" t="s">
        <v>43179</v>
      </c>
      <c r="S10628" t="s">
        <v>43583</v>
      </c>
      <c r="T10628" t="s">
        <v>44789</v>
      </c>
      <c r="U10628" t="s">
        <v>53695</v>
      </c>
      <c r="W10628" t="s">
        <v>42559</v>
      </c>
      <c r="X10628" t="s">
        <v>43180</v>
      </c>
    </row>
    <row r="10629" spans="1:24">
      <c r="A10629">
        <f>HYPERLINK("https://www.philgeps.gov.ph/GEPSNONPILOT/Tender/SplashBidNoticeAbstractUI.aspx?menuIndex=3&amp;refID=7066231&amp;Result=3","7066231")</f>
        <v>0</v>
      </c>
      <c r="B10629" t="s">
        <v>2992</v>
      </c>
      <c r="C10629" t="s">
        <v>13547</v>
      </c>
      <c r="D10629" t="s">
        <v>17467</v>
      </c>
      <c r="E10629" t="s">
        <v>26601</v>
      </c>
      <c r="F10629" t="s">
        <v>30052</v>
      </c>
      <c r="G10629" t="s">
        <v>30063</v>
      </c>
      <c r="H10629" t="s">
        <v>30068</v>
      </c>
      <c r="I10629" t="s">
        <v>30166</v>
      </c>
      <c r="J10629" t="s">
        <v>36699</v>
      </c>
      <c r="K10629" t="s">
        <v>39031</v>
      </c>
      <c r="M10629" t="s">
        <v>42562</v>
      </c>
      <c r="N10629" t="s">
        <v>43166</v>
      </c>
      <c r="O10629" t="s">
        <v>43167</v>
      </c>
      <c r="P10629">
        <v>0</v>
      </c>
      <c r="Q10629">
        <v>3</v>
      </c>
      <c r="R10629" t="s">
        <v>43179</v>
      </c>
      <c r="S10629" t="s">
        <v>43583</v>
      </c>
      <c r="T10629" t="s">
        <v>44732</v>
      </c>
      <c r="U10629" t="s">
        <v>53696</v>
      </c>
      <c r="W10629" t="s">
        <v>42562</v>
      </c>
      <c r="X10629" t="s">
        <v>43180</v>
      </c>
    </row>
    <row r="10630" spans="1:24">
      <c r="A10630">
        <f>HYPERLINK("https://www.philgeps.gov.ph/GEPSNONPILOT/Tender/SplashBidNoticeAbstractUI.aspx?menuIndex=3&amp;refID=7066585&amp;Result=3","7066585")</f>
        <v>0</v>
      </c>
      <c r="B10630" t="s">
        <v>602</v>
      </c>
      <c r="C10630" t="s">
        <v>13548</v>
      </c>
      <c r="D10630" t="s">
        <v>17448</v>
      </c>
      <c r="E10630" t="s">
        <v>26602</v>
      </c>
      <c r="F10630" t="s">
        <v>30052</v>
      </c>
      <c r="G10630" t="s">
        <v>30058</v>
      </c>
      <c r="H10630" t="s">
        <v>30067</v>
      </c>
      <c r="I10630" t="s">
        <v>3693</v>
      </c>
      <c r="J10630" t="s">
        <v>36700</v>
      </c>
      <c r="K10630" t="s">
        <v>39052</v>
      </c>
      <c r="L10630" t="s">
        <v>602</v>
      </c>
      <c r="M10630" t="s">
        <v>42544</v>
      </c>
      <c r="N10630" t="s">
        <v>43166</v>
      </c>
      <c r="O10630" t="s">
        <v>43167</v>
      </c>
      <c r="P10630">
        <v>0</v>
      </c>
      <c r="Q10630">
        <v>2</v>
      </c>
      <c r="R10630" t="s">
        <v>43179</v>
      </c>
      <c r="S10630" t="s">
        <v>43583</v>
      </c>
      <c r="T10630" t="s">
        <v>45129</v>
      </c>
      <c r="U10630" t="s">
        <v>53649</v>
      </c>
      <c r="W10630" t="s">
        <v>42544</v>
      </c>
      <c r="X10630" t="s">
        <v>43180</v>
      </c>
    </row>
    <row r="10631" spans="1:24">
      <c r="A10631">
        <f>HYPERLINK("https://www.philgeps.gov.ph/GEPSNONPILOT/Tender/SplashBidNoticeAbstractUI.aspx?menuIndex=3&amp;refID=7066556&amp;Result=3","7066556")</f>
        <v>0</v>
      </c>
      <c r="B10631" t="s">
        <v>1273</v>
      </c>
      <c r="C10631" t="s">
        <v>13549</v>
      </c>
      <c r="D10631" t="s">
        <v>17434</v>
      </c>
      <c r="E10631" t="s">
        <v>26603</v>
      </c>
      <c r="F10631" t="s">
        <v>30052</v>
      </c>
      <c r="G10631" t="s">
        <v>30058</v>
      </c>
      <c r="H10631" t="s">
        <v>15498</v>
      </c>
      <c r="I10631" t="s">
        <v>3852</v>
      </c>
      <c r="J10631" t="s">
        <v>30297</v>
      </c>
      <c r="K10631" t="s">
        <v>39029</v>
      </c>
      <c r="M10631" t="s">
        <v>41435</v>
      </c>
      <c r="N10631" t="s">
        <v>43166</v>
      </c>
      <c r="O10631" t="s">
        <v>43167</v>
      </c>
      <c r="P10631">
        <v>0</v>
      </c>
      <c r="Q10631">
        <v>6</v>
      </c>
      <c r="R10631" t="s">
        <v>43179</v>
      </c>
      <c r="S10631" t="s">
        <v>43583</v>
      </c>
      <c r="T10631" t="s">
        <v>44678</v>
      </c>
      <c r="U10631" t="s">
        <v>53697</v>
      </c>
      <c r="W10631" t="s">
        <v>41435</v>
      </c>
      <c r="X10631" t="s">
        <v>43180</v>
      </c>
    </row>
    <row r="10632" spans="1:24">
      <c r="A10632">
        <f>HYPERLINK("https://www.philgeps.gov.ph/GEPSNONPILOT/Tender/SplashBidNoticeAbstractUI.aspx?menuIndex=3&amp;refID=7066463&amp;Result=3","7066463")</f>
        <v>0</v>
      </c>
      <c r="B10632" t="s">
        <v>415</v>
      </c>
      <c r="C10632" t="s">
        <v>13550</v>
      </c>
      <c r="D10632" t="s">
        <v>17472</v>
      </c>
      <c r="E10632" t="s">
        <v>26604</v>
      </c>
      <c r="F10632" t="s">
        <v>30052</v>
      </c>
      <c r="G10632" t="s">
        <v>30058</v>
      </c>
      <c r="H10632" t="s">
        <v>30067</v>
      </c>
      <c r="I10632" t="s">
        <v>3693</v>
      </c>
      <c r="J10632" t="s">
        <v>36701</v>
      </c>
      <c r="K10632" t="s">
        <v>39022</v>
      </c>
      <c r="M10632" t="s">
        <v>40024</v>
      </c>
      <c r="N10632" t="s">
        <v>43166</v>
      </c>
      <c r="O10632" t="s">
        <v>43167</v>
      </c>
      <c r="P10632">
        <v>0</v>
      </c>
      <c r="Q10632">
        <v>0</v>
      </c>
      <c r="R10632" t="s">
        <v>43179</v>
      </c>
      <c r="S10632" t="s">
        <v>43583</v>
      </c>
      <c r="T10632" t="s">
        <v>44830</v>
      </c>
      <c r="U10632" t="s">
        <v>53672</v>
      </c>
      <c r="V10632" t="s">
        <v>57084</v>
      </c>
      <c r="W10632" t="s">
        <v>58610</v>
      </c>
      <c r="X10632" t="s">
        <v>43180</v>
      </c>
    </row>
    <row r="10633" spans="1:24">
      <c r="A10633">
        <f>HYPERLINK("https://www.philgeps.gov.ph/GEPSNONPILOT/Tender/SplashBidNoticeAbstractUI.aspx?menuIndex=3&amp;refID=7066697&amp;Result=3","7066697")</f>
        <v>0</v>
      </c>
      <c r="B10633" t="s">
        <v>2838</v>
      </c>
      <c r="C10633" t="s">
        <v>13551</v>
      </c>
      <c r="D10633" t="s">
        <v>17445</v>
      </c>
      <c r="E10633" t="s">
        <v>26605</v>
      </c>
      <c r="F10633" t="s">
        <v>30055</v>
      </c>
      <c r="G10633" t="s">
        <v>30058</v>
      </c>
      <c r="H10633" t="s">
        <v>15498</v>
      </c>
      <c r="I10633" t="s">
        <v>3606</v>
      </c>
      <c r="J10633" t="s">
        <v>36702</v>
      </c>
      <c r="K10633" t="s">
        <v>39029</v>
      </c>
      <c r="M10633" t="s">
        <v>42384</v>
      </c>
      <c r="N10633" t="s">
        <v>43166</v>
      </c>
      <c r="O10633" t="s">
        <v>43167</v>
      </c>
      <c r="P10633">
        <v>0</v>
      </c>
      <c r="Q10633">
        <v>0</v>
      </c>
      <c r="R10633" t="s">
        <v>43179</v>
      </c>
      <c r="S10633" t="s">
        <v>43583</v>
      </c>
      <c r="T10633" t="s">
        <v>44689</v>
      </c>
      <c r="U10633" t="s">
        <v>53698</v>
      </c>
      <c r="V10633" t="s">
        <v>57996</v>
      </c>
      <c r="W10633" t="s">
        <v>42384</v>
      </c>
      <c r="X10633" t="s">
        <v>43180</v>
      </c>
    </row>
    <row r="10634" spans="1:24">
      <c r="A10634">
        <f>HYPERLINK("https://www.philgeps.gov.ph/GEPSNONPILOT/Tender/SplashBidNoticeAbstractUI.aspx?menuIndex=3&amp;refID=7066688&amp;Result=3","7066688")</f>
        <v>0</v>
      </c>
      <c r="B10634" t="s">
        <v>1602</v>
      </c>
      <c r="C10634" t="s">
        <v>13552</v>
      </c>
      <c r="D10634" t="s">
        <v>17445</v>
      </c>
      <c r="E10634" t="s">
        <v>23625</v>
      </c>
      <c r="F10634" t="s">
        <v>30052</v>
      </c>
      <c r="G10634" t="s">
        <v>30058</v>
      </c>
      <c r="H10634" t="s">
        <v>15498</v>
      </c>
      <c r="I10634" t="s">
        <v>4650</v>
      </c>
      <c r="J10634" t="s">
        <v>31456</v>
      </c>
      <c r="K10634" t="s">
        <v>39025</v>
      </c>
      <c r="M10634" t="s">
        <v>41000</v>
      </c>
      <c r="N10634" t="s">
        <v>43166</v>
      </c>
      <c r="O10634" t="s">
        <v>43167</v>
      </c>
      <c r="P10634">
        <v>0</v>
      </c>
      <c r="Q10634">
        <v>2</v>
      </c>
      <c r="R10634" t="s">
        <v>43179</v>
      </c>
      <c r="S10634" t="s">
        <v>43583</v>
      </c>
      <c r="T10634" t="s">
        <v>44837</v>
      </c>
      <c r="U10634" t="s">
        <v>53699</v>
      </c>
      <c r="W10634" t="s">
        <v>41000</v>
      </c>
      <c r="X10634" t="s">
        <v>43180</v>
      </c>
    </row>
    <row r="10635" spans="1:24">
      <c r="A10635">
        <f>HYPERLINK("https://www.philgeps.gov.ph/GEPSNONPILOT/Tender/SplashBidNoticeAbstractUI.aspx?menuIndex=3&amp;refID=7066682&amp;Result=3","7066682")</f>
        <v>0</v>
      </c>
      <c r="B10635" t="s">
        <v>361</v>
      </c>
      <c r="C10635" t="s">
        <v>13553</v>
      </c>
      <c r="D10635" t="s">
        <v>17455</v>
      </c>
      <c r="E10635" t="s">
        <v>26606</v>
      </c>
      <c r="F10635" t="s">
        <v>30052</v>
      </c>
      <c r="G10635" t="s">
        <v>30058</v>
      </c>
      <c r="H10635" t="s">
        <v>30067</v>
      </c>
      <c r="I10635" t="s">
        <v>3693</v>
      </c>
      <c r="J10635" t="s">
        <v>30557</v>
      </c>
      <c r="K10635" t="s">
        <v>39020</v>
      </c>
      <c r="M10635" t="s">
        <v>39658</v>
      </c>
      <c r="N10635" t="s">
        <v>43166</v>
      </c>
      <c r="O10635" t="s">
        <v>43167</v>
      </c>
      <c r="P10635">
        <v>0</v>
      </c>
      <c r="Q10635">
        <v>9</v>
      </c>
      <c r="R10635" t="s">
        <v>43179</v>
      </c>
      <c r="S10635" t="s">
        <v>43583</v>
      </c>
      <c r="T10635" t="s">
        <v>44762</v>
      </c>
      <c r="U10635" t="s">
        <v>45874</v>
      </c>
      <c r="W10635" t="s">
        <v>39658</v>
      </c>
      <c r="X10635" t="s">
        <v>43180</v>
      </c>
    </row>
    <row r="10636" spans="1:24">
      <c r="A10636">
        <f>HYPERLINK("https://www.philgeps.gov.ph/GEPSNONPILOT/Tender/SplashBidNoticeAbstractUI.aspx?menuIndex=3&amp;refID=7066678&amp;Result=3","7066678")</f>
        <v>0</v>
      </c>
      <c r="B10636" t="s">
        <v>2993</v>
      </c>
      <c r="C10636" t="s">
        <v>13554</v>
      </c>
      <c r="E10636" t="s">
        <v>26607</v>
      </c>
      <c r="F10636" t="s">
        <v>30052</v>
      </c>
      <c r="G10636" t="s">
        <v>30058</v>
      </c>
      <c r="H10636" t="s">
        <v>15498</v>
      </c>
      <c r="I10636" t="s">
        <v>30074</v>
      </c>
      <c r="J10636" t="s">
        <v>30556</v>
      </c>
      <c r="K10636" t="s">
        <v>39019</v>
      </c>
      <c r="M10636" t="s">
        <v>42563</v>
      </c>
      <c r="N10636" t="s">
        <v>43166</v>
      </c>
      <c r="O10636" t="s">
        <v>43167</v>
      </c>
      <c r="P10636">
        <v>0</v>
      </c>
      <c r="Q10636">
        <v>5</v>
      </c>
      <c r="R10636" t="s">
        <v>43179</v>
      </c>
      <c r="S10636" t="s">
        <v>43583</v>
      </c>
      <c r="T10636" t="s">
        <v>45129</v>
      </c>
      <c r="U10636" t="s">
        <v>53700</v>
      </c>
      <c r="W10636" t="s">
        <v>42563</v>
      </c>
      <c r="X10636" t="s">
        <v>43180</v>
      </c>
    </row>
    <row r="10637" spans="1:24">
      <c r="A10637">
        <f>HYPERLINK("https://www.philgeps.gov.ph/GEPSNONPILOT/Tender/SplashBidNoticeAbstractUI.aspx?menuIndex=3&amp;refID=7066488&amp;Result=3","7066488")</f>
        <v>0</v>
      </c>
      <c r="B10637" t="s">
        <v>602</v>
      </c>
      <c r="C10637" t="s">
        <v>13555</v>
      </c>
      <c r="D10637" t="s">
        <v>17448</v>
      </c>
      <c r="E10637" t="s">
        <v>26608</v>
      </c>
      <c r="F10637" t="s">
        <v>30052</v>
      </c>
      <c r="G10637" t="s">
        <v>30058</v>
      </c>
      <c r="H10637" t="s">
        <v>30067</v>
      </c>
      <c r="I10637" t="s">
        <v>3693</v>
      </c>
      <c r="J10637" t="s">
        <v>36670</v>
      </c>
      <c r="K10637" t="s">
        <v>39065</v>
      </c>
      <c r="L10637" t="s">
        <v>602</v>
      </c>
      <c r="M10637" t="s">
        <v>42544</v>
      </c>
      <c r="N10637" t="s">
        <v>43166</v>
      </c>
      <c r="O10637" t="s">
        <v>43167</v>
      </c>
      <c r="P10637">
        <v>0</v>
      </c>
      <c r="Q10637">
        <v>1</v>
      </c>
      <c r="R10637" t="s">
        <v>43179</v>
      </c>
      <c r="S10637" t="s">
        <v>43583</v>
      </c>
      <c r="T10637" t="s">
        <v>45129</v>
      </c>
      <c r="U10637" t="s">
        <v>53649</v>
      </c>
      <c r="W10637" t="s">
        <v>42544</v>
      </c>
      <c r="X10637" t="s">
        <v>43180</v>
      </c>
    </row>
    <row r="10638" spans="1:24">
      <c r="A10638">
        <f>HYPERLINK("https://www.philgeps.gov.ph/GEPSNONPILOT/Tender/SplashBidNoticeAbstractUI.aspx?menuIndex=3&amp;refID=7066666&amp;Result=3","7066666")</f>
        <v>0</v>
      </c>
      <c r="B10638" t="s">
        <v>2013</v>
      </c>
      <c r="C10638" t="s">
        <v>13556</v>
      </c>
      <c r="D10638" t="s">
        <v>17425</v>
      </c>
      <c r="E10638" t="s">
        <v>26609</v>
      </c>
      <c r="F10638" t="s">
        <v>30052</v>
      </c>
      <c r="G10638" t="s">
        <v>30058</v>
      </c>
      <c r="H10638" t="s">
        <v>30067</v>
      </c>
      <c r="I10638" t="s">
        <v>3693</v>
      </c>
      <c r="J10638" t="s">
        <v>36703</v>
      </c>
      <c r="K10638" t="s">
        <v>39085</v>
      </c>
      <c r="M10638" t="s">
        <v>41457</v>
      </c>
      <c r="N10638" t="s">
        <v>43166</v>
      </c>
      <c r="O10638" t="s">
        <v>43167</v>
      </c>
      <c r="P10638">
        <v>0</v>
      </c>
      <c r="Q10638">
        <v>1</v>
      </c>
      <c r="R10638" t="s">
        <v>43179</v>
      </c>
      <c r="S10638" t="s">
        <v>43583</v>
      </c>
      <c r="T10638" t="s">
        <v>44699</v>
      </c>
      <c r="U10638" t="s">
        <v>50178</v>
      </c>
      <c r="V10638" t="s">
        <v>58028</v>
      </c>
      <c r="W10638" t="s">
        <v>41457</v>
      </c>
      <c r="X10638" t="s">
        <v>43180</v>
      </c>
    </row>
    <row r="10639" spans="1:24">
      <c r="A10639">
        <f>HYPERLINK("https://www.philgeps.gov.ph/GEPSNONPILOT/Tender/SplashBidNoticeAbstractUI.aspx?menuIndex=3&amp;refID=7066700&amp;Result=3","7066700")</f>
        <v>0</v>
      </c>
      <c r="B10639" t="s">
        <v>2902</v>
      </c>
      <c r="C10639" t="s">
        <v>13557</v>
      </c>
      <c r="D10639" t="s">
        <v>17482</v>
      </c>
      <c r="E10639" t="s">
        <v>26610</v>
      </c>
      <c r="F10639" t="s">
        <v>30052</v>
      </c>
      <c r="G10639" t="s">
        <v>30058</v>
      </c>
      <c r="H10639" t="s">
        <v>15498</v>
      </c>
      <c r="I10639" t="s">
        <v>3736</v>
      </c>
      <c r="J10639" t="s">
        <v>36704</v>
      </c>
      <c r="K10639" t="s">
        <v>39029</v>
      </c>
      <c r="M10639" t="s">
        <v>42456</v>
      </c>
      <c r="N10639" t="s">
        <v>43166</v>
      </c>
      <c r="O10639" t="s">
        <v>43167</v>
      </c>
      <c r="P10639">
        <v>0</v>
      </c>
      <c r="Q10639">
        <v>2</v>
      </c>
      <c r="R10639" t="s">
        <v>43179</v>
      </c>
      <c r="S10639" t="s">
        <v>43583</v>
      </c>
      <c r="T10639" t="s">
        <v>44830</v>
      </c>
      <c r="U10639" t="s">
        <v>53701</v>
      </c>
      <c r="W10639" t="s">
        <v>42456</v>
      </c>
      <c r="X10639" t="s">
        <v>43180</v>
      </c>
    </row>
    <row r="10640" spans="1:24">
      <c r="A10640">
        <f>HYPERLINK("https://www.philgeps.gov.ph/GEPSNONPILOT/Tender/SplashBidNoticeAbstractUI.aspx?menuIndex=3&amp;refID=7066546&amp;Result=3","7066546")</f>
        <v>0</v>
      </c>
      <c r="B10640" t="s">
        <v>1505</v>
      </c>
      <c r="C10640" t="s">
        <v>13558</v>
      </c>
      <c r="D10640" t="s">
        <v>17462</v>
      </c>
      <c r="E10640" t="s">
        <v>26611</v>
      </c>
      <c r="F10640" t="s">
        <v>30052</v>
      </c>
      <c r="G10640" t="s">
        <v>30058</v>
      </c>
      <c r="H10640" t="s">
        <v>30067</v>
      </c>
      <c r="I10640" t="s">
        <v>3693</v>
      </c>
      <c r="J10640" t="s">
        <v>33105</v>
      </c>
      <c r="K10640" t="s">
        <v>39023</v>
      </c>
      <c r="M10640" t="s">
        <v>40889</v>
      </c>
      <c r="N10640" t="s">
        <v>43166</v>
      </c>
      <c r="O10640" t="s">
        <v>43167</v>
      </c>
      <c r="P10640">
        <v>0</v>
      </c>
      <c r="Q10640">
        <v>6</v>
      </c>
      <c r="R10640" t="s">
        <v>43179</v>
      </c>
      <c r="S10640" t="s">
        <v>43583</v>
      </c>
      <c r="T10640" t="s">
        <v>44791</v>
      </c>
      <c r="U10640" t="s">
        <v>53693</v>
      </c>
      <c r="W10640" t="s">
        <v>58641</v>
      </c>
      <c r="X10640" t="s">
        <v>43180</v>
      </c>
    </row>
    <row r="10641" spans="1:24">
      <c r="A10641">
        <f>HYPERLINK("https://www.philgeps.gov.ph/GEPSNONPILOT/Tender/SplashBidNoticeAbstractUI.aspx?menuIndex=3&amp;refID=7066646&amp;Result=3","7066646")</f>
        <v>0</v>
      </c>
      <c r="B10641" t="s">
        <v>1933</v>
      </c>
      <c r="C10641" t="s">
        <v>13559</v>
      </c>
      <c r="D10641" t="s">
        <v>17447</v>
      </c>
      <c r="E10641" t="s">
        <v>26612</v>
      </c>
      <c r="F10641" t="s">
        <v>30052</v>
      </c>
      <c r="G10641" t="s">
        <v>30058</v>
      </c>
      <c r="H10641" t="s">
        <v>15498</v>
      </c>
      <c r="I10641" t="s">
        <v>30098</v>
      </c>
      <c r="J10641" t="s">
        <v>32336</v>
      </c>
      <c r="K10641" t="s">
        <v>39023</v>
      </c>
      <c r="M10641" t="s">
        <v>41367</v>
      </c>
      <c r="N10641" t="s">
        <v>43166</v>
      </c>
      <c r="O10641" t="s">
        <v>43167</v>
      </c>
      <c r="P10641">
        <v>0</v>
      </c>
      <c r="Q10641">
        <v>1</v>
      </c>
      <c r="R10641" t="s">
        <v>43179</v>
      </c>
      <c r="S10641" t="s">
        <v>43583</v>
      </c>
      <c r="T10641" t="s">
        <v>45006</v>
      </c>
      <c r="U10641" t="s">
        <v>53702</v>
      </c>
      <c r="W10641" t="s">
        <v>41367</v>
      </c>
      <c r="X10641" t="s">
        <v>43180</v>
      </c>
    </row>
    <row r="10642" spans="1:24">
      <c r="A10642">
        <f>HYPERLINK("https://www.philgeps.gov.ph/GEPSNONPILOT/Tender/SplashBidNoticeAbstractUI.aspx?menuIndex=3&amp;refID=7066673&amp;Result=3","7066673")</f>
        <v>0</v>
      </c>
      <c r="B10642" t="s">
        <v>2994</v>
      </c>
      <c r="C10642" t="s">
        <v>13560</v>
      </c>
      <c r="D10642" t="s">
        <v>17421</v>
      </c>
      <c r="E10642" t="s">
        <v>26613</v>
      </c>
      <c r="F10642" t="s">
        <v>30052</v>
      </c>
      <c r="G10642" t="s">
        <v>30058</v>
      </c>
      <c r="H10642" t="s">
        <v>15498</v>
      </c>
      <c r="I10642" t="s">
        <v>30111</v>
      </c>
      <c r="J10642" t="s">
        <v>32765</v>
      </c>
      <c r="K10642" t="s">
        <v>39046</v>
      </c>
      <c r="M10642" t="s">
        <v>42564</v>
      </c>
      <c r="N10642" t="s">
        <v>43166</v>
      </c>
      <c r="O10642" t="s">
        <v>43167</v>
      </c>
      <c r="P10642">
        <v>0</v>
      </c>
      <c r="Q10642">
        <v>3</v>
      </c>
      <c r="R10642" t="s">
        <v>43179</v>
      </c>
      <c r="S10642" t="s">
        <v>43583</v>
      </c>
      <c r="T10642" t="s">
        <v>44699</v>
      </c>
      <c r="U10642" t="s">
        <v>53703</v>
      </c>
      <c r="W10642" t="s">
        <v>42564</v>
      </c>
      <c r="X10642" t="s">
        <v>43180</v>
      </c>
    </row>
    <row r="10643" spans="1:24">
      <c r="A10643">
        <f>HYPERLINK("https://www.philgeps.gov.ph/GEPSNONPILOT/Tender/SplashBidNoticeAbstractUI.aspx?menuIndex=3&amp;refID=7066660&amp;Result=3","7066660")</f>
        <v>0</v>
      </c>
      <c r="B10643" t="s">
        <v>2995</v>
      </c>
      <c r="C10643" t="s">
        <v>3931</v>
      </c>
      <c r="D10643" t="s">
        <v>17447</v>
      </c>
      <c r="E10643" t="s">
        <v>26614</v>
      </c>
      <c r="F10643" t="s">
        <v>30052</v>
      </c>
      <c r="G10643" t="s">
        <v>30058</v>
      </c>
      <c r="H10643" t="s">
        <v>15498</v>
      </c>
      <c r="I10643" t="s">
        <v>3736</v>
      </c>
      <c r="J10643" t="s">
        <v>36705</v>
      </c>
      <c r="K10643" t="s">
        <v>39017</v>
      </c>
      <c r="M10643" t="s">
        <v>42565</v>
      </c>
      <c r="N10643" t="s">
        <v>43166</v>
      </c>
      <c r="O10643" t="s">
        <v>43167</v>
      </c>
      <c r="P10643">
        <v>0</v>
      </c>
      <c r="Q10643">
        <v>0</v>
      </c>
      <c r="R10643" t="s">
        <v>43179</v>
      </c>
      <c r="S10643" t="s">
        <v>43583</v>
      </c>
      <c r="T10643" t="s">
        <v>44780</v>
      </c>
      <c r="U10643" t="s">
        <v>53704</v>
      </c>
      <c r="W10643" t="s">
        <v>42565</v>
      </c>
      <c r="X10643" t="s">
        <v>43180</v>
      </c>
    </row>
    <row r="10644" spans="1:24">
      <c r="A10644">
        <f>HYPERLINK("https://www.philgeps.gov.ph/GEPSNONPILOT/Tender/SplashBidNoticeAbstractUI.aspx?menuIndex=3&amp;refID=7066643&amp;Result=3","7066643")</f>
        <v>0</v>
      </c>
      <c r="B10644" t="s">
        <v>757</v>
      </c>
      <c r="C10644" t="s">
        <v>13561</v>
      </c>
      <c r="D10644" t="s">
        <v>17462</v>
      </c>
      <c r="E10644" t="s">
        <v>26615</v>
      </c>
      <c r="F10644" t="s">
        <v>30052</v>
      </c>
      <c r="G10644" t="s">
        <v>30058</v>
      </c>
      <c r="H10644" t="s">
        <v>15498</v>
      </c>
      <c r="I10644" t="s">
        <v>4598</v>
      </c>
      <c r="J10644" t="s">
        <v>36706</v>
      </c>
      <c r="K10644" t="s">
        <v>39025</v>
      </c>
      <c r="M10644" t="s">
        <v>40071</v>
      </c>
      <c r="N10644" t="s">
        <v>43166</v>
      </c>
      <c r="O10644" t="s">
        <v>43167</v>
      </c>
      <c r="P10644">
        <v>0</v>
      </c>
      <c r="Q10644">
        <v>14</v>
      </c>
      <c r="R10644" t="s">
        <v>43179</v>
      </c>
      <c r="S10644" t="s">
        <v>43583</v>
      </c>
      <c r="T10644" t="s">
        <v>45012</v>
      </c>
      <c r="U10644" t="s">
        <v>53705</v>
      </c>
      <c r="W10644" t="s">
        <v>58695</v>
      </c>
      <c r="X10644" t="s">
        <v>43180</v>
      </c>
    </row>
    <row r="10645" spans="1:24">
      <c r="A10645">
        <f>HYPERLINK("https://www.philgeps.gov.ph/GEPSNONPILOT/Tender/SplashBidNoticeAbstractUI.aspx?menuIndex=3&amp;refID=7066621&amp;Result=3","7066621")</f>
        <v>0</v>
      </c>
      <c r="B10645" t="s">
        <v>2013</v>
      </c>
      <c r="C10645" t="s">
        <v>13562</v>
      </c>
      <c r="D10645" t="s">
        <v>17425</v>
      </c>
      <c r="E10645" t="s">
        <v>26616</v>
      </c>
      <c r="F10645" t="s">
        <v>30052</v>
      </c>
      <c r="G10645" t="s">
        <v>30058</v>
      </c>
      <c r="H10645" t="s">
        <v>30067</v>
      </c>
      <c r="I10645" t="s">
        <v>3693</v>
      </c>
      <c r="J10645" t="s">
        <v>36707</v>
      </c>
      <c r="K10645" t="s">
        <v>39050</v>
      </c>
      <c r="M10645" t="s">
        <v>41457</v>
      </c>
      <c r="N10645" t="s">
        <v>43166</v>
      </c>
      <c r="O10645" t="s">
        <v>43167</v>
      </c>
      <c r="P10645">
        <v>0</v>
      </c>
      <c r="Q10645">
        <v>0</v>
      </c>
      <c r="R10645" t="s">
        <v>43179</v>
      </c>
      <c r="S10645" t="s">
        <v>43583</v>
      </c>
      <c r="T10645" t="s">
        <v>44699</v>
      </c>
      <c r="U10645" t="s">
        <v>50178</v>
      </c>
      <c r="V10645" t="s">
        <v>58029</v>
      </c>
      <c r="W10645" t="s">
        <v>41457</v>
      </c>
      <c r="X10645" t="s">
        <v>43180</v>
      </c>
    </row>
    <row r="10646" spans="1:24">
      <c r="A10646">
        <f>HYPERLINK("https://www.philgeps.gov.ph/GEPSNONPILOT/Tender/SplashBidNoticeAbstractUI.aspx?menuIndex=3&amp;refID=7066620&amp;Result=3","7066620")</f>
        <v>0</v>
      </c>
      <c r="B10646" t="s">
        <v>757</v>
      </c>
      <c r="C10646" t="s">
        <v>13563</v>
      </c>
      <c r="D10646" t="s">
        <v>17462</v>
      </c>
      <c r="E10646" t="s">
        <v>26615</v>
      </c>
      <c r="F10646" t="s">
        <v>30052</v>
      </c>
      <c r="G10646" t="s">
        <v>30058</v>
      </c>
      <c r="H10646" t="s">
        <v>15498</v>
      </c>
      <c r="I10646" t="s">
        <v>3852</v>
      </c>
      <c r="J10646" t="s">
        <v>36708</v>
      </c>
      <c r="K10646" t="s">
        <v>39025</v>
      </c>
      <c r="M10646" t="s">
        <v>40071</v>
      </c>
      <c r="N10646" t="s">
        <v>43166</v>
      </c>
      <c r="O10646" t="s">
        <v>43167</v>
      </c>
      <c r="P10646">
        <v>0</v>
      </c>
      <c r="Q10646">
        <v>7</v>
      </c>
      <c r="R10646" t="s">
        <v>43179</v>
      </c>
      <c r="S10646" t="s">
        <v>43583</v>
      </c>
      <c r="T10646" t="s">
        <v>44780</v>
      </c>
      <c r="U10646" t="s">
        <v>53705</v>
      </c>
      <c r="W10646" t="s">
        <v>58695</v>
      </c>
      <c r="X10646" t="s">
        <v>43180</v>
      </c>
    </row>
    <row r="10647" spans="1:24">
      <c r="A10647">
        <f>HYPERLINK("https://www.philgeps.gov.ph/GEPSNONPILOT/Tender/SplashBidNoticeAbstractUI.aspx?menuIndex=3&amp;refID=7066550&amp;Result=3","7066550")</f>
        <v>0</v>
      </c>
      <c r="B10647" t="s">
        <v>602</v>
      </c>
      <c r="C10647" t="s">
        <v>13564</v>
      </c>
      <c r="D10647" t="s">
        <v>17448</v>
      </c>
      <c r="E10647" t="s">
        <v>26617</v>
      </c>
      <c r="F10647" t="s">
        <v>30052</v>
      </c>
      <c r="G10647" t="s">
        <v>30058</v>
      </c>
      <c r="H10647" t="s">
        <v>30067</v>
      </c>
      <c r="I10647" t="s">
        <v>3693</v>
      </c>
      <c r="J10647" t="s">
        <v>30645</v>
      </c>
      <c r="K10647" t="s">
        <v>39031</v>
      </c>
      <c r="L10647" t="s">
        <v>602</v>
      </c>
      <c r="M10647" t="s">
        <v>42544</v>
      </c>
      <c r="N10647" t="s">
        <v>43166</v>
      </c>
      <c r="O10647" t="s">
        <v>43167</v>
      </c>
      <c r="P10647">
        <v>0</v>
      </c>
      <c r="Q10647">
        <v>0</v>
      </c>
      <c r="R10647" t="s">
        <v>43179</v>
      </c>
      <c r="S10647" t="s">
        <v>43583</v>
      </c>
      <c r="T10647" t="s">
        <v>45129</v>
      </c>
      <c r="U10647" t="s">
        <v>53649</v>
      </c>
      <c r="W10647" t="s">
        <v>42544</v>
      </c>
      <c r="X10647" t="s">
        <v>43180</v>
      </c>
    </row>
    <row r="10648" spans="1:24">
      <c r="A10648">
        <f>HYPERLINK("https://www.philgeps.gov.ph/GEPSNONPILOT/Tender/SplashBidNoticeAbstractUI.aspx?menuIndex=3&amp;refID=7066615&amp;Result=3","7066615")</f>
        <v>0</v>
      </c>
      <c r="B10648" t="s">
        <v>1011</v>
      </c>
      <c r="C10648" t="s">
        <v>13565</v>
      </c>
      <c r="D10648" t="s">
        <v>17476</v>
      </c>
      <c r="E10648" t="s">
        <v>26618</v>
      </c>
      <c r="F10648" t="s">
        <v>30052</v>
      </c>
      <c r="G10648" t="s">
        <v>30058</v>
      </c>
      <c r="H10648" t="s">
        <v>30067</v>
      </c>
      <c r="I10648" t="s">
        <v>3693</v>
      </c>
      <c r="J10648" t="s">
        <v>31851</v>
      </c>
      <c r="K10648" t="s">
        <v>39160</v>
      </c>
      <c r="M10648" t="s">
        <v>40340</v>
      </c>
      <c r="N10648" t="s">
        <v>43166</v>
      </c>
      <c r="O10648" t="s">
        <v>43167</v>
      </c>
      <c r="P10648">
        <v>0</v>
      </c>
      <c r="Q10648">
        <v>0</v>
      </c>
      <c r="R10648" t="s">
        <v>43179</v>
      </c>
      <c r="S10648" t="s">
        <v>43583</v>
      </c>
      <c r="T10648" t="s">
        <v>44750</v>
      </c>
      <c r="U10648" t="s">
        <v>53706</v>
      </c>
      <c r="W10648" t="s">
        <v>40340</v>
      </c>
      <c r="X10648" t="s">
        <v>43180</v>
      </c>
    </row>
    <row r="10649" spans="1:24">
      <c r="A10649">
        <f>HYPERLINK("https://www.philgeps.gov.ph/GEPSNONPILOT/Tender/SplashBidNoticeAbstractUI.aspx?menuIndex=3&amp;refID=7066850&amp;Result=3","7066850")</f>
        <v>0</v>
      </c>
      <c r="B10649" t="s">
        <v>2996</v>
      </c>
      <c r="C10649" t="s">
        <v>13566</v>
      </c>
      <c r="D10649" t="s">
        <v>17432</v>
      </c>
      <c r="E10649" t="s">
        <v>26619</v>
      </c>
      <c r="F10649" t="s">
        <v>30052</v>
      </c>
      <c r="G10649" t="s">
        <v>30058</v>
      </c>
      <c r="H10649" t="s">
        <v>30067</v>
      </c>
      <c r="I10649" t="s">
        <v>3693</v>
      </c>
      <c r="J10649" t="s">
        <v>36709</v>
      </c>
      <c r="K10649" t="s">
        <v>39026</v>
      </c>
      <c r="M10649" t="s">
        <v>42566</v>
      </c>
      <c r="N10649" t="s">
        <v>43166</v>
      </c>
      <c r="O10649" t="s">
        <v>43167</v>
      </c>
      <c r="P10649">
        <v>0</v>
      </c>
      <c r="Q10649">
        <v>1</v>
      </c>
      <c r="R10649" t="s">
        <v>43179</v>
      </c>
      <c r="S10649" t="s">
        <v>43583</v>
      </c>
      <c r="T10649" t="s">
        <v>44690</v>
      </c>
      <c r="U10649" t="s">
        <v>53707</v>
      </c>
      <c r="W10649" t="s">
        <v>42566</v>
      </c>
      <c r="X10649" t="s">
        <v>43180</v>
      </c>
    </row>
    <row r="10650" spans="1:24">
      <c r="A10650">
        <f>HYPERLINK("https://www.philgeps.gov.ph/GEPSNONPILOT/Tender/SplashBidNoticeAbstractUI.aspx?menuIndex=3&amp;refID=7066664&amp;Result=3","7066664")</f>
        <v>0</v>
      </c>
      <c r="B10650" t="s">
        <v>2978</v>
      </c>
      <c r="C10650" t="s">
        <v>13567</v>
      </c>
      <c r="D10650" t="s">
        <v>17420</v>
      </c>
      <c r="E10650" t="s">
        <v>26620</v>
      </c>
      <c r="F10650" t="s">
        <v>30052</v>
      </c>
      <c r="G10650" t="s">
        <v>30058</v>
      </c>
      <c r="H10650" t="s">
        <v>30067</v>
      </c>
      <c r="I10650" t="s">
        <v>3693</v>
      </c>
      <c r="J10650" t="s">
        <v>36710</v>
      </c>
      <c r="K10650" t="s">
        <v>39157</v>
      </c>
      <c r="M10650" t="s">
        <v>42547</v>
      </c>
      <c r="N10650" t="s">
        <v>43166</v>
      </c>
      <c r="O10650" t="s">
        <v>43167</v>
      </c>
      <c r="P10650">
        <v>0</v>
      </c>
      <c r="Q10650">
        <v>1</v>
      </c>
      <c r="R10650" t="s">
        <v>43179</v>
      </c>
      <c r="S10650" t="s">
        <v>43583</v>
      </c>
      <c r="T10650" t="s">
        <v>44699</v>
      </c>
      <c r="U10650" t="s">
        <v>53654</v>
      </c>
      <c r="W10650" t="s">
        <v>42547</v>
      </c>
      <c r="X10650" t="s">
        <v>43180</v>
      </c>
    </row>
    <row r="10651" spans="1:24">
      <c r="A10651">
        <f>HYPERLINK("https://www.philgeps.gov.ph/GEPSNONPILOT/Tender/SplashBidNoticeAbstractUI.aspx?menuIndex=3&amp;refID=7066838&amp;Result=3","7066838")</f>
        <v>0</v>
      </c>
      <c r="B10651" t="s">
        <v>2019</v>
      </c>
      <c r="C10651" t="s">
        <v>13568</v>
      </c>
      <c r="D10651" t="s">
        <v>17415</v>
      </c>
      <c r="E10651" t="s">
        <v>26621</v>
      </c>
      <c r="F10651" t="s">
        <v>30052</v>
      </c>
      <c r="G10651" t="s">
        <v>30058</v>
      </c>
      <c r="H10651" t="s">
        <v>30069</v>
      </c>
      <c r="I10651" t="s">
        <v>6691</v>
      </c>
      <c r="J10651" t="s">
        <v>36670</v>
      </c>
      <c r="K10651" t="s">
        <v>39059</v>
      </c>
      <c r="M10651" t="s">
        <v>41464</v>
      </c>
      <c r="N10651" t="s">
        <v>43166</v>
      </c>
      <c r="O10651" t="s">
        <v>43167</v>
      </c>
      <c r="P10651">
        <v>0</v>
      </c>
      <c r="Q10651">
        <v>5</v>
      </c>
      <c r="R10651" t="s">
        <v>43179</v>
      </c>
      <c r="S10651" t="s">
        <v>43583</v>
      </c>
      <c r="T10651" t="s">
        <v>44791</v>
      </c>
      <c r="U10651" t="s">
        <v>53708</v>
      </c>
      <c r="W10651" t="s">
        <v>41464</v>
      </c>
      <c r="X10651" t="s">
        <v>43180</v>
      </c>
    </row>
    <row r="10652" spans="1:24">
      <c r="A10652">
        <f>HYPERLINK("https://www.philgeps.gov.ph/GEPSNONPILOT/Tender/SplashBidNoticeAbstractUI.aspx?menuIndex=3&amp;refID=7066635&amp;Result=3","7066635")</f>
        <v>0</v>
      </c>
      <c r="B10652" t="s">
        <v>2997</v>
      </c>
      <c r="C10652" t="s">
        <v>13569</v>
      </c>
      <c r="D10652" t="s">
        <v>17413</v>
      </c>
      <c r="E10652" t="s">
        <v>17540</v>
      </c>
      <c r="F10652" t="s">
        <v>30052</v>
      </c>
      <c r="G10652" t="s">
        <v>30058</v>
      </c>
      <c r="H10652" t="s">
        <v>30067</v>
      </c>
      <c r="I10652" t="s">
        <v>3693</v>
      </c>
      <c r="J10652" t="s">
        <v>36711</v>
      </c>
      <c r="K10652" t="s">
        <v>39155</v>
      </c>
      <c r="M10652" t="s">
        <v>42567</v>
      </c>
      <c r="N10652" t="s">
        <v>43166</v>
      </c>
      <c r="O10652" t="s">
        <v>43167</v>
      </c>
      <c r="Q10652">
        <v>1</v>
      </c>
      <c r="R10652" t="s">
        <v>43179</v>
      </c>
      <c r="S10652" t="s">
        <v>43631</v>
      </c>
      <c r="T10652" t="s">
        <v>44704</v>
      </c>
      <c r="U10652" t="s">
        <v>53709</v>
      </c>
      <c r="W10652" t="s">
        <v>42567</v>
      </c>
      <c r="X10652" t="s">
        <v>43180</v>
      </c>
    </row>
    <row r="10653" spans="1:24">
      <c r="A10653">
        <f>HYPERLINK("https://www.philgeps.gov.ph/GEPSNONPILOT/Tender/SplashBidNoticeAbstractUI.aspx?menuIndex=3&amp;refID=7066836&amp;Result=3","7066836")</f>
        <v>0</v>
      </c>
      <c r="B10653" t="s">
        <v>2997</v>
      </c>
      <c r="C10653" t="s">
        <v>13570</v>
      </c>
      <c r="D10653" t="s">
        <v>17413</v>
      </c>
      <c r="E10653" t="s">
        <v>18292</v>
      </c>
      <c r="F10653" t="s">
        <v>30052</v>
      </c>
      <c r="G10653" t="s">
        <v>30058</v>
      </c>
      <c r="H10653" t="s">
        <v>30067</v>
      </c>
      <c r="I10653" t="s">
        <v>3693</v>
      </c>
      <c r="J10653" t="s">
        <v>36712</v>
      </c>
      <c r="K10653" t="s">
        <v>39046</v>
      </c>
      <c r="M10653" t="s">
        <v>42567</v>
      </c>
      <c r="N10653" t="s">
        <v>43166</v>
      </c>
      <c r="O10653" t="s">
        <v>43167</v>
      </c>
      <c r="Q10653">
        <v>1</v>
      </c>
      <c r="R10653" t="s">
        <v>43179</v>
      </c>
      <c r="S10653" t="s">
        <v>43632</v>
      </c>
      <c r="T10653" t="s">
        <v>44764</v>
      </c>
      <c r="U10653" t="s">
        <v>53710</v>
      </c>
      <c r="W10653" t="s">
        <v>42567</v>
      </c>
      <c r="X10653" t="s">
        <v>43180</v>
      </c>
    </row>
    <row r="10654" spans="1:24">
      <c r="A10654">
        <f>HYPERLINK("https://www.philgeps.gov.ph/GEPSNONPILOT/Tender/SplashBidNoticeAbstractUI.aspx?menuIndex=3&amp;refID=7066776&amp;Result=3","7066776")</f>
        <v>0</v>
      </c>
      <c r="B10654" t="s">
        <v>2996</v>
      </c>
      <c r="C10654" t="s">
        <v>13571</v>
      </c>
      <c r="D10654" t="s">
        <v>17432</v>
      </c>
      <c r="E10654" t="s">
        <v>26622</v>
      </c>
      <c r="F10654" t="s">
        <v>30052</v>
      </c>
      <c r="G10654" t="s">
        <v>30058</v>
      </c>
      <c r="H10654" t="s">
        <v>30067</v>
      </c>
      <c r="I10654" t="s">
        <v>3693</v>
      </c>
      <c r="J10654" t="s">
        <v>36713</v>
      </c>
      <c r="K10654" t="s">
        <v>39057</v>
      </c>
      <c r="M10654" t="s">
        <v>42566</v>
      </c>
      <c r="N10654" t="s">
        <v>43166</v>
      </c>
      <c r="O10654" t="s">
        <v>43167</v>
      </c>
      <c r="P10654">
        <v>0</v>
      </c>
      <c r="Q10654">
        <v>2</v>
      </c>
      <c r="R10654" t="s">
        <v>43179</v>
      </c>
      <c r="S10654" t="s">
        <v>43583</v>
      </c>
      <c r="T10654" t="s">
        <v>44690</v>
      </c>
      <c r="U10654" t="s">
        <v>53711</v>
      </c>
      <c r="W10654" t="s">
        <v>42566</v>
      </c>
      <c r="X10654" t="s">
        <v>43180</v>
      </c>
    </row>
    <row r="10655" spans="1:24">
      <c r="A10655">
        <f>HYPERLINK("https://www.philgeps.gov.ph/GEPSNONPILOT/Tender/SplashBidNoticeAbstractUI.aspx?menuIndex=3&amp;refID=7066650&amp;Result=3","7066650")</f>
        <v>0</v>
      </c>
      <c r="B10655" t="s">
        <v>2927</v>
      </c>
      <c r="C10655" t="s">
        <v>13572</v>
      </c>
      <c r="D10655" t="s">
        <v>17472</v>
      </c>
      <c r="E10655" t="s">
        <v>26623</v>
      </c>
      <c r="F10655" t="s">
        <v>30052</v>
      </c>
      <c r="G10655" t="s">
        <v>30058</v>
      </c>
      <c r="H10655" t="s">
        <v>15498</v>
      </c>
      <c r="I10655" t="s">
        <v>30088</v>
      </c>
      <c r="J10655" t="s">
        <v>31207</v>
      </c>
      <c r="K10655" t="s">
        <v>39025</v>
      </c>
      <c r="M10655" t="s">
        <v>42490</v>
      </c>
      <c r="N10655" t="s">
        <v>43166</v>
      </c>
      <c r="O10655" t="s">
        <v>43167</v>
      </c>
      <c r="P10655">
        <v>0</v>
      </c>
      <c r="Q10655">
        <v>24</v>
      </c>
      <c r="R10655" t="s">
        <v>43179</v>
      </c>
      <c r="S10655" t="s">
        <v>43583</v>
      </c>
      <c r="T10655" t="s">
        <v>45044</v>
      </c>
      <c r="U10655" t="s">
        <v>53712</v>
      </c>
      <c r="W10655" t="s">
        <v>42490</v>
      </c>
      <c r="X10655" t="s">
        <v>43180</v>
      </c>
    </row>
    <row r="10656" spans="1:24">
      <c r="A10656">
        <f>HYPERLINK("https://www.philgeps.gov.ph/GEPSNONPILOT/Tender/SplashBidNoticeAbstractUI.aspx?menuIndex=3&amp;refID=7066242&amp;Result=3","7066242")</f>
        <v>0</v>
      </c>
      <c r="B10656" t="s">
        <v>1393</v>
      </c>
      <c r="C10656" t="s">
        <v>13573</v>
      </c>
      <c r="D10656" t="s">
        <v>17474</v>
      </c>
      <c r="E10656" t="s">
        <v>17673</v>
      </c>
      <c r="F10656" t="s">
        <v>30052</v>
      </c>
      <c r="G10656" t="s">
        <v>30058</v>
      </c>
      <c r="H10656" t="s">
        <v>15498</v>
      </c>
      <c r="I10656" t="s">
        <v>30074</v>
      </c>
      <c r="J10656" t="s">
        <v>34507</v>
      </c>
      <c r="K10656" t="s">
        <v>39034</v>
      </c>
      <c r="M10656" t="s">
        <v>40769</v>
      </c>
      <c r="N10656" t="s">
        <v>43166</v>
      </c>
      <c r="O10656" t="s">
        <v>43167</v>
      </c>
      <c r="P10656">
        <v>0</v>
      </c>
      <c r="Q10656">
        <v>3</v>
      </c>
      <c r="R10656" t="s">
        <v>43179</v>
      </c>
      <c r="S10656" t="s">
        <v>43583</v>
      </c>
      <c r="T10656" t="s">
        <v>44741</v>
      </c>
      <c r="U10656" t="s">
        <v>53713</v>
      </c>
      <c r="W10656" t="s">
        <v>40769</v>
      </c>
      <c r="X10656" t="s">
        <v>43180</v>
      </c>
    </row>
    <row r="10657" spans="1:24">
      <c r="A10657">
        <f>HYPERLINK("https://www.philgeps.gov.ph/GEPSNONPILOT/Tender/SplashBidNoticeAbstractUI.aspx?menuIndex=3&amp;refID=7066809&amp;Result=3","7066809")</f>
        <v>0</v>
      </c>
      <c r="B10657" t="s">
        <v>2996</v>
      </c>
      <c r="C10657" t="s">
        <v>13574</v>
      </c>
      <c r="D10657" t="s">
        <v>17432</v>
      </c>
      <c r="E10657" t="s">
        <v>26624</v>
      </c>
      <c r="F10657" t="s">
        <v>30052</v>
      </c>
      <c r="G10657" t="s">
        <v>30058</v>
      </c>
      <c r="H10657" t="s">
        <v>30067</v>
      </c>
      <c r="I10657" t="s">
        <v>3693</v>
      </c>
      <c r="J10657" t="s">
        <v>36714</v>
      </c>
      <c r="K10657" t="s">
        <v>39026</v>
      </c>
      <c r="M10657" t="s">
        <v>42566</v>
      </c>
      <c r="N10657" t="s">
        <v>43166</v>
      </c>
      <c r="O10657" t="s">
        <v>43167</v>
      </c>
      <c r="P10657">
        <v>0</v>
      </c>
      <c r="Q10657">
        <v>0</v>
      </c>
      <c r="R10657" t="s">
        <v>43179</v>
      </c>
      <c r="S10657" t="s">
        <v>43583</v>
      </c>
      <c r="T10657" t="s">
        <v>44690</v>
      </c>
      <c r="U10657" t="s">
        <v>53714</v>
      </c>
      <c r="W10657" t="s">
        <v>42566</v>
      </c>
      <c r="X10657" t="s">
        <v>43180</v>
      </c>
    </row>
    <row r="10658" spans="1:24">
      <c r="A10658">
        <f>HYPERLINK("https://www.philgeps.gov.ph/GEPSNONPILOT/Tender/SplashBidNoticeAbstractUI.aspx?menuIndex=3&amp;refID=7066754&amp;Result=3","7066754")</f>
        <v>0</v>
      </c>
      <c r="B10658" t="s">
        <v>2998</v>
      </c>
      <c r="C10658" t="s">
        <v>13575</v>
      </c>
      <c r="D10658" t="s">
        <v>17436</v>
      </c>
      <c r="E10658" t="s">
        <v>26625</v>
      </c>
      <c r="F10658" t="s">
        <v>30052</v>
      </c>
      <c r="G10658" t="s">
        <v>30058</v>
      </c>
      <c r="H10658" t="s">
        <v>30067</v>
      </c>
      <c r="I10658" t="s">
        <v>3693</v>
      </c>
      <c r="J10658" t="s">
        <v>35370</v>
      </c>
      <c r="K10658" t="s">
        <v>39025</v>
      </c>
      <c r="M10658" t="s">
        <v>42568</v>
      </c>
      <c r="N10658" t="s">
        <v>43166</v>
      </c>
      <c r="O10658" t="s">
        <v>43167</v>
      </c>
      <c r="P10658">
        <v>0</v>
      </c>
      <c r="Q10658">
        <v>0</v>
      </c>
      <c r="R10658" t="s">
        <v>43179</v>
      </c>
      <c r="S10658" t="s">
        <v>43583</v>
      </c>
      <c r="T10658" t="s">
        <v>45142</v>
      </c>
      <c r="U10658" t="s">
        <v>53715</v>
      </c>
      <c r="W10658" t="s">
        <v>42568</v>
      </c>
      <c r="X10658" t="s">
        <v>43180</v>
      </c>
    </row>
    <row r="10659" spans="1:24">
      <c r="A10659">
        <f>HYPERLINK("https://www.philgeps.gov.ph/GEPSNONPILOT/Tender/SplashBidNoticeAbstractUI.aspx?menuIndex=3&amp;refID=7066745&amp;Result=3","7066745")</f>
        <v>0</v>
      </c>
      <c r="B10659" t="s">
        <v>2999</v>
      </c>
      <c r="C10659" t="s">
        <v>13576</v>
      </c>
      <c r="D10659" t="s">
        <v>17439</v>
      </c>
      <c r="E10659" t="s">
        <v>26626</v>
      </c>
      <c r="F10659" t="s">
        <v>30052</v>
      </c>
      <c r="G10659" t="s">
        <v>30058</v>
      </c>
      <c r="H10659" t="s">
        <v>15498</v>
      </c>
      <c r="I10659" t="s">
        <v>30084</v>
      </c>
      <c r="J10659" t="s">
        <v>36715</v>
      </c>
      <c r="K10659" t="s">
        <v>39029</v>
      </c>
      <c r="M10659" t="s">
        <v>42569</v>
      </c>
      <c r="N10659" t="s">
        <v>43166</v>
      </c>
      <c r="O10659" t="s">
        <v>43167</v>
      </c>
      <c r="P10659">
        <v>0</v>
      </c>
      <c r="Q10659">
        <v>3</v>
      </c>
      <c r="R10659" t="s">
        <v>43179</v>
      </c>
      <c r="S10659" t="s">
        <v>43583</v>
      </c>
      <c r="T10659" t="s">
        <v>44768</v>
      </c>
      <c r="U10659" t="s">
        <v>53716</v>
      </c>
      <c r="V10659" t="s">
        <v>58030</v>
      </c>
      <c r="W10659" t="s">
        <v>58697</v>
      </c>
      <c r="X10659" t="s">
        <v>43180</v>
      </c>
    </row>
    <row r="10660" spans="1:24">
      <c r="A10660">
        <f>HYPERLINK("https://www.philgeps.gov.ph/GEPSNONPILOT/Tender/SplashBidNoticeAbstractUI.aspx?menuIndex=3&amp;refID=7066833&amp;Result=3","7066833")</f>
        <v>0</v>
      </c>
      <c r="B10660" t="s">
        <v>1240</v>
      </c>
      <c r="C10660" t="s">
        <v>13577</v>
      </c>
      <c r="D10660" t="s">
        <v>17424</v>
      </c>
      <c r="E10660" t="s">
        <v>26093</v>
      </c>
      <c r="F10660" t="s">
        <v>30052</v>
      </c>
      <c r="G10660" t="s">
        <v>30058</v>
      </c>
      <c r="H10660" t="s">
        <v>15498</v>
      </c>
      <c r="I10660" t="s">
        <v>30088</v>
      </c>
      <c r="J10660" t="s">
        <v>30321</v>
      </c>
      <c r="K10660" t="s">
        <v>39025</v>
      </c>
      <c r="M10660" t="s">
        <v>40596</v>
      </c>
      <c r="N10660" t="s">
        <v>43166</v>
      </c>
      <c r="O10660" t="s">
        <v>43167</v>
      </c>
      <c r="P10660">
        <v>0</v>
      </c>
      <c r="Q10660">
        <v>20</v>
      </c>
      <c r="R10660" t="s">
        <v>43179</v>
      </c>
      <c r="S10660" t="s">
        <v>43583</v>
      </c>
      <c r="T10660" t="s">
        <v>45143</v>
      </c>
      <c r="U10660" t="s">
        <v>53717</v>
      </c>
      <c r="V10660" t="s">
        <v>58015</v>
      </c>
      <c r="W10660" t="s">
        <v>40596</v>
      </c>
      <c r="X10660" t="s">
        <v>43180</v>
      </c>
    </row>
    <row r="10661" spans="1:24">
      <c r="A10661">
        <f>HYPERLINK("https://www.philgeps.gov.ph/GEPSNONPILOT/Tender/SplashBidNoticeAbstractUI.aspx?menuIndex=3&amp;refID=7066634&amp;Result=3","7066634")</f>
        <v>0</v>
      </c>
      <c r="B10661" t="s">
        <v>2689</v>
      </c>
      <c r="C10661" t="s">
        <v>13578</v>
      </c>
      <c r="D10661" t="s">
        <v>17422</v>
      </c>
      <c r="E10661" t="s">
        <v>26627</v>
      </c>
      <c r="F10661" t="s">
        <v>30052</v>
      </c>
      <c r="G10661" t="s">
        <v>30058</v>
      </c>
      <c r="H10661" t="s">
        <v>15498</v>
      </c>
      <c r="I10661" t="s">
        <v>3606</v>
      </c>
      <c r="J10661" t="s">
        <v>36716</v>
      </c>
      <c r="K10661" t="s">
        <v>39023</v>
      </c>
      <c r="M10661" t="s">
        <v>42548</v>
      </c>
      <c r="N10661" t="s">
        <v>43166</v>
      </c>
      <c r="O10661" t="s">
        <v>43167</v>
      </c>
      <c r="P10661">
        <v>0</v>
      </c>
      <c r="Q10661">
        <v>11</v>
      </c>
      <c r="R10661" t="s">
        <v>43179</v>
      </c>
      <c r="S10661" t="s">
        <v>43583</v>
      </c>
      <c r="T10661" t="s">
        <v>44762</v>
      </c>
      <c r="U10661" t="s">
        <v>53718</v>
      </c>
      <c r="V10661" t="s">
        <v>58031</v>
      </c>
      <c r="W10661" t="s">
        <v>42548</v>
      </c>
      <c r="X10661" t="s">
        <v>43180</v>
      </c>
    </row>
    <row r="10662" spans="1:24">
      <c r="A10662">
        <f>HYPERLINK("https://www.philgeps.gov.ph/GEPSNONPILOT/Tender/SplashBidNoticeAbstractUI.aspx?menuIndex=3&amp;refID=7066739&amp;Result=3","7066739")</f>
        <v>0</v>
      </c>
      <c r="B10662" t="s">
        <v>361</v>
      </c>
      <c r="C10662" t="s">
        <v>13579</v>
      </c>
      <c r="D10662" t="s">
        <v>17455</v>
      </c>
      <c r="E10662" t="s">
        <v>26628</v>
      </c>
      <c r="F10662" t="s">
        <v>30052</v>
      </c>
      <c r="G10662" t="s">
        <v>30058</v>
      </c>
      <c r="H10662" t="s">
        <v>30067</v>
      </c>
      <c r="I10662" t="s">
        <v>3693</v>
      </c>
      <c r="J10662" t="s">
        <v>36717</v>
      </c>
      <c r="K10662" t="s">
        <v>39065</v>
      </c>
      <c r="M10662" t="s">
        <v>39658</v>
      </c>
      <c r="N10662" t="s">
        <v>43166</v>
      </c>
      <c r="O10662" t="s">
        <v>43167</v>
      </c>
      <c r="P10662">
        <v>0</v>
      </c>
      <c r="Q10662">
        <v>9</v>
      </c>
      <c r="R10662" t="s">
        <v>43179</v>
      </c>
      <c r="S10662" t="s">
        <v>43583</v>
      </c>
      <c r="T10662" t="s">
        <v>44762</v>
      </c>
      <c r="U10662" t="s">
        <v>45874</v>
      </c>
      <c r="W10662" t="s">
        <v>39658</v>
      </c>
      <c r="X10662" t="s">
        <v>43180</v>
      </c>
    </row>
    <row r="10663" spans="1:24">
      <c r="A10663">
        <f>HYPERLINK("https://www.philgeps.gov.ph/GEPSNONPILOT/Tender/SplashBidNoticeAbstractUI.aspx?menuIndex=3&amp;refID=7066744&amp;Result=3","7066744")</f>
        <v>0</v>
      </c>
      <c r="B10663" t="s">
        <v>2994</v>
      </c>
      <c r="C10663" t="s">
        <v>13580</v>
      </c>
      <c r="D10663" t="s">
        <v>17421</v>
      </c>
      <c r="E10663" t="s">
        <v>26629</v>
      </c>
      <c r="F10663" t="s">
        <v>30052</v>
      </c>
      <c r="G10663" t="s">
        <v>30058</v>
      </c>
      <c r="H10663" t="s">
        <v>30067</v>
      </c>
      <c r="I10663" t="s">
        <v>3693</v>
      </c>
      <c r="J10663" t="s">
        <v>36718</v>
      </c>
      <c r="K10663" t="s">
        <v>39022</v>
      </c>
      <c r="M10663" t="s">
        <v>42564</v>
      </c>
      <c r="N10663" t="s">
        <v>43166</v>
      </c>
      <c r="O10663" t="s">
        <v>43167</v>
      </c>
      <c r="P10663">
        <v>0</v>
      </c>
      <c r="Q10663">
        <v>1</v>
      </c>
      <c r="R10663" t="s">
        <v>43179</v>
      </c>
      <c r="S10663" t="s">
        <v>43583</v>
      </c>
      <c r="T10663" t="s">
        <v>44699</v>
      </c>
      <c r="U10663" t="s">
        <v>53719</v>
      </c>
      <c r="W10663" t="s">
        <v>42564</v>
      </c>
      <c r="X10663" t="s">
        <v>43180</v>
      </c>
    </row>
    <row r="10664" spans="1:24">
      <c r="A10664">
        <f>HYPERLINK("https://www.philgeps.gov.ph/GEPSNONPILOT/Tender/SplashBidNoticeAbstractUI.aspx?menuIndex=3&amp;refID=7066832&amp;Result=3","7066832")</f>
        <v>0</v>
      </c>
      <c r="B10664" t="s">
        <v>2996</v>
      </c>
      <c r="C10664" t="s">
        <v>13581</v>
      </c>
      <c r="D10664" t="s">
        <v>17432</v>
      </c>
      <c r="E10664" t="s">
        <v>26630</v>
      </c>
      <c r="F10664" t="s">
        <v>30052</v>
      </c>
      <c r="G10664" t="s">
        <v>30058</v>
      </c>
      <c r="H10664" t="s">
        <v>30067</v>
      </c>
      <c r="I10664" t="s">
        <v>3693</v>
      </c>
      <c r="J10664" t="s">
        <v>36719</v>
      </c>
      <c r="K10664" t="s">
        <v>39026</v>
      </c>
      <c r="M10664" t="s">
        <v>42566</v>
      </c>
      <c r="N10664" t="s">
        <v>43166</v>
      </c>
      <c r="O10664" t="s">
        <v>43167</v>
      </c>
      <c r="P10664">
        <v>0</v>
      </c>
      <c r="Q10664">
        <v>0</v>
      </c>
      <c r="R10664" t="s">
        <v>43179</v>
      </c>
      <c r="S10664" t="s">
        <v>43583</v>
      </c>
      <c r="T10664" t="s">
        <v>44690</v>
      </c>
      <c r="U10664" t="s">
        <v>53720</v>
      </c>
      <c r="W10664" t="s">
        <v>42566</v>
      </c>
      <c r="X10664" t="s">
        <v>43180</v>
      </c>
    </row>
    <row r="10665" spans="1:24">
      <c r="A10665">
        <f>HYPERLINK("https://www.philgeps.gov.ph/GEPSNONPILOT/Tender/SplashBidNoticeAbstractUI.aspx?menuIndex=3&amp;refID=7066914&amp;Result=3","7066914")</f>
        <v>0</v>
      </c>
      <c r="B10665" t="s">
        <v>3000</v>
      </c>
      <c r="C10665" t="s">
        <v>13582</v>
      </c>
      <c r="D10665" t="s">
        <v>17415</v>
      </c>
      <c r="E10665" t="s">
        <v>26631</v>
      </c>
      <c r="F10665" t="s">
        <v>30052</v>
      </c>
      <c r="G10665" t="s">
        <v>30058</v>
      </c>
      <c r="H10665" t="s">
        <v>15498</v>
      </c>
      <c r="I10665" t="s">
        <v>30096</v>
      </c>
      <c r="J10665" t="s">
        <v>36720</v>
      </c>
      <c r="K10665" t="s">
        <v>39029</v>
      </c>
      <c r="M10665" t="s">
        <v>42570</v>
      </c>
      <c r="N10665" t="s">
        <v>43166</v>
      </c>
      <c r="O10665" t="s">
        <v>43167</v>
      </c>
      <c r="Q10665">
        <v>9</v>
      </c>
      <c r="R10665" t="s">
        <v>43179</v>
      </c>
      <c r="S10665" t="s">
        <v>43633</v>
      </c>
      <c r="T10665" t="s">
        <v>44934</v>
      </c>
      <c r="U10665" t="s">
        <v>53721</v>
      </c>
      <c r="V10665" t="s">
        <v>58032</v>
      </c>
      <c r="W10665" t="s">
        <v>42570</v>
      </c>
      <c r="X10665" t="s">
        <v>43180</v>
      </c>
    </row>
    <row r="10666" spans="1:24">
      <c r="A10666">
        <f>HYPERLINK("https://www.philgeps.gov.ph/GEPSNONPILOT/Tender/SplashBidNoticeAbstractUI.aspx?menuIndex=3&amp;refID=7066743&amp;Result=3","7066743")</f>
        <v>0</v>
      </c>
      <c r="B10666" t="s">
        <v>2902</v>
      </c>
      <c r="C10666" t="s">
        <v>13583</v>
      </c>
      <c r="D10666" t="s">
        <v>17482</v>
      </c>
      <c r="E10666" t="s">
        <v>26632</v>
      </c>
      <c r="F10666" t="s">
        <v>30052</v>
      </c>
      <c r="G10666" t="s">
        <v>30058</v>
      </c>
      <c r="H10666" t="s">
        <v>15498</v>
      </c>
      <c r="I10666" t="s">
        <v>3736</v>
      </c>
      <c r="J10666" t="s">
        <v>36721</v>
      </c>
      <c r="K10666" t="s">
        <v>39029</v>
      </c>
      <c r="M10666" t="s">
        <v>42456</v>
      </c>
      <c r="N10666" t="s">
        <v>43166</v>
      </c>
      <c r="O10666" t="s">
        <v>43167</v>
      </c>
      <c r="P10666">
        <v>0</v>
      </c>
      <c r="Q10666">
        <v>0</v>
      </c>
      <c r="R10666" t="s">
        <v>43179</v>
      </c>
      <c r="S10666" t="s">
        <v>43583</v>
      </c>
      <c r="T10666" t="s">
        <v>44830</v>
      </c>
      <c r="U10666" t="s">
        <v>53701</v>
      </c>
      <c r="W10666" t="s">
        <v>42456</v>
      </c>
      <c r="X10666" t="s">
        <v>43180</v>
      </c>
    </row>
    <row r="10667" spans="1:24">
      <c r="A10667">
        <f>HYPERLINK("https://www.philgeps.gov.ph/GEPSNONPILOT/Tender/SplashBidNoticeAbstractUI.aspx?menuIndex=3&amp;refID=7066771&amp;Result=3","7066771")</f>
        <v>0</v>
      </c>
      <c r="B10667" t="s">
        <v>2902</v>
      </c>
      <c r="C10667" t="s">
        <v>13584</v>
      </c>
      <c r="D10667" t="s">
        <v>17482</v>
      </c>
      <c r="E10667" t="s">
        <v>26633</v>
      </c>
      <c r="F10667" t="s">
        <v>30052</v>
      </c>
      <c r="G10667" t="s">
        <v>30058</v>
      </c>
      <c r="H10667" t="s">
        <v>15498</v>
      </c>
      <c r="I10667" t="s">
        <v>3736</v>
      </c>
      <c r="J10667" t="s">
        <v>36722</v>
      </c>
      <c r="K10667" t="s">
        <v>39029</v>
      </c>
      <c r="M10667" t="s">
        <v>42456</v>
      </c>
      <c r="N10667" t="s">
        <v>43166</v>
      </c>
      <c r="O10667" t="s">
        <v>43167</v>
      </c>
      <c r="P10667">
        <v>0</v>
      </c>
      <c r="Q10667">
        <v>1</v>
      </c>
      <c r="R10667" t="s">
        <v>43179</v>
      </c>
      <c r="S10667" t="s">
        <v>43583</v>
      </c>
      <c r="T10667" t="s">
        <v>44830</v>
      </c>
      <c r="U10667" t="s">
        <v>53701</v>
      </c>
      <c r="W10667" t="s">
        <v>42456</v>
      </c>
      <c r="X10667" t="s">
        <v>43180</v>
      </c>
    </row>
    <row r="10668" spans="1:24">
      <c r="A10668">
        <f>HYPERLINK("https://www.philgeps.gov.ph/GEPSNONPILOT/Tender/SplashBidNoticeAbstractUI.aspx?menuIndex=3&amp;refID=7066939&amp;Result=3","7066939")</f>
        <v>0</v>
      </c>
      <c r="B10668" t="s">
        <v>3000</v>
      </c>
      <c r="C10668" t="s">
        <v>13585</v>
      </c>
      <c r="D10668" t="s">
        <v>17415</v>
      </c>
      <c r="E10668" t="s">
        <v>26634</v>
      </c>
      <c r="F10668" t="s">
        <v>30052</v>
      </c>
      <c r="G10668" t="s">
        <v>30058</v>
      </c>
      <c r="H10668" t="s">
        <v>15498</v>
      </c>
      <c r="I10668" t="s">
        <v>30115</v>
      </c>
      <c r="J10668" t="s">
        <v>36723</v>
      </c>
      <c r="K10668" t="s">
        <v>39023</v>
      </c>
      <c r="M10668" t="s">
        <v>42570</v>
      </c>
      <c r="N10668" t="s">
        <v>43166</v>
      </c>
      <c r="O10668" t="s">
        <v>43167</v>
      </c>
      <c r="Q10668">
        <v>22</v>
      </c>
      <c r="R10668" t="s">
        <v>43179</v>
      </c>
      <c r="S10668" t="s">
        <v>43634</v>
      </c>
      <c r="T10668" t="s">
        <v>44934</v>
      </c>
      <c r="U10668" t="s">
        <v>53721</v>
      </c>
      <c r="V10668" t="s">
        <v>58032</v>
      </c>
      <c r="W10668" t="s">
        <v>42570</v>
      </c>
      <c r="X10668" t="s">
        <v>43180</v>
      </c>
    </row>
    <row r="10669" spans="1:24">
      <c r="A10669">
        <f>HYPERLINK("https://www.philgeps.gov.ph/GEPSNONPILOT/Tender/SplashBidNoticeAbstractUI.aspx?menuIndex=3&amp;refID=7066964&amp;Result=3","7066964")</f>
        <v>0</v>
      </c>
      <c r="B10669" t="s">
        <v>3001</v>
      </c>
      <c r="C10669" t="s">
        <v>13586</v>
      </c>
      <c r="D10669" t="s">
        <v>17455</v>
      </c>
      <c r="E10669" t="s">
        <v>17706</v>
      </c>
      <c r="F10669" t="s">
        <v>30052</v>
      </c>
      <c r="G10669" t="s">
        <v>30058</v>
      </c>
      <c r="H10669" t="s">
        <v>30067</v>
      </c>
      <c r="I10669" t="s">
        <v>3693</v>
      </c>
      <c r="J10669" t="s">
        <v>36724</v>
      </c>
      <c r="K10669" t="s">
        <v>39057</v>
      </c>
      <c r="M10669" t="s">
        <v>42571</v>
      </c>
      <c r="N10669" t="s">
        <v>43166</v>
      </c>
      <c r="O10669" t="s">
        <v>43167</v>
      </c>
      <c r="Q10669">
        <v>3</v>
      </c>
      <c r="R10669" t="s">
        <v>43179</v>
      </c>
      <c r="S10669" t="s">
        <v>43635</v>
      </c>
      <c r="T10669" t="s">
        <v>44780</v>
      </c>
      <c r="U10669" t="s">
        <v>53722</v>
      </c>
      <c r="V10669" t="s">
        <v>49135</v>
      </c>
      <c r="W10669" t="s">
        <v>58698</v>
      </c>
      <c r="X10669" t="s">
        <v>43180</v>
      </c>
    </row>
    <row r="10670" spans="1:24">
      <c r="A10670">
        <f>HYPERLINK("https://www.philgeps.gov.ph/GEPSNONPILOT/Tender/SplashBidNoticeAbstractUI.aspx?menuIndex=3&amp;refID=7066952&amp;Result=3","7066952")</f>
        <v>0</v>
      </c>
      <c r="B10670" t="s">
        <v>2997</v>
      </c>
      <c r="C10670" t="s">
        <v>13587</v>
      </c>
      <c r="D10670" t="s">
        <v>17413</v>
      </c>
      <c r="E10670" t="s">
        <v>17727</v>
      </c>
      <c r="F10670" t="s">
        <v>30052</v>
      </c>
      <c r="G10670" t="s">
        <v>30058</v>
      </c>
      <c r="H10670" t="s">
        <v>30067</v>
      </c>
      <c r="I10670" t="s">
        <v>3693</v>
      </c>
      <c r="J10670" t="s">
        <v>36725</v>
      </c>
      <c r="K10670" t="s">
        <v>39073</v>
      </c>
      <c r="M10670" t="s">
        <v>42567</v>
      </c>
      <c r="N10670" t="s">
        <v>43166</v>
      </c>
      <c r="O10670" t="s">
        <v>43167</v>
      </c>
      <c r="Q10670">
        <v>0</v>
      </c>
      <c r="R10670" t="s">
        <v>43179</v>
      </c>
      <c r="S10670" t="s">
        <v>43636</v>
      </c>
      <c r="T10670" t="s">
        <v>44704</v>
      </c>
      <c r="U10670" t="s">
        <v>53723</v>
      </c>
      <c r="W10670" t="s">
        <v>42567</v>
      </c>
      <c r="X10670" t="s">
        <v>43180</v>
      </c>
    </row>
    <row r="10671" spans="1:24">
      <c r="A10671">
        <f>HYPERLINK("https://www.philgeps.gov.ph/GEPSNONPILOT/Tender/SplashBidNoticeAbstractUI.aspx?menuIndex=3&amp;refID=7066926&amp;Result=3","7066926")</f>
        <v>0</v>
      </c>
      <c r="B10671" t="s">
        <v>3002</v>
      </c>
      <c r="C10671" t="s">
        <v>13588</v>
      </c>
      <c r="D10671" t="s">
        <v>17455</v>
      </c>
      <c r="E10671" t="s">
        <v>26635</v>
      </c>
      <c r="F10671" t="s">
        <v>30052</v>
      </c>
      <c r="G10671" t="s">
        <v>30058</v>
      </c>
      <c r="H10671" t="s">
        <v>15498</v>
      </c>
      <c r="I10671" t="s">
        <v>30073</v>
      </c>
      <c r="J10671" t="s">
        <v>36726</v>
      </c>
      <c r="K10671" t="s">
        <v>39017</v>
      </c>
      <c r="M10671" t="s">
        <v>42572</v>
      </c>
      <c r="N10671" t="s">
        <v>43166</v>
      </c>
      <c r="O10671" t="s">
        <v>43167</v>
      </c>
      <c r="Q10671">
        <v>3</v>
      </c>
      <c r="R10671" t="s">
        <v>43179</v>
      </c>
      <c r="S10671" t="s">
        <v>43637</v>
      </c>
      <c r="T10671" t="s">
        <v>44681</v>
      </c>
      <c r="U10671" t="s">
        <v>53724</v>
      </c>
      <c r="V10671" t="s">
        <v>58033</v>
      </c>
      <c r="W10671" t="s">
        <v>42572</v>
      </c>
      <c r="X10671" t="s">
        <v>43180</v>
      </c>
    </row>
    <row r="10672" spans="1:24">
      <c r="A10672">
        <f>HYPERLINK("https://www.philgeps.gov.ph/GEPSNONPILOT/Tender/SplashBidNoticeAbstractUI.aspx?menuIndex=3&amp;refID=7066905&amp;Result=3","7066905")</f>
        <v>0</v>
      </c>
      <c r="B10672" t="s">
        <v>2997</v>
      </c>
      <c r="C10672" t="s">
        <v>13589</v>
      </c>
      <c r="D10672" t="s">
        <v>17413</v>
      </c>
      <c r="E10672" t="s">
        <v>17617</v>
      </c>
      <c r="F10672" t="s">
        <v>30052</v>
      </c>
      <c r="G10672" t="s">
        <v>30058</v>
      </c>
      <c r="H10672" t="s">
        <v>15498</v>
      </c>
      <c r="I10672" t="s">
        <v>30084</v>
      </c>
      <c r="J10672" t="s">
        <v>30207</v>
      </c>
      <c r="K10672" t="s">
        <v>39019</v>
      </c>
      <c r="M10672" t="s">
        <v>42567</v>
      </c>
      <c r="N10672" t="s">
        <v>43166</v>
      </c>
      <c r="O10672" t="s">
        <v>43167</v>
      </c>
      <c r="Q10672">
        <v>1</v>
      </c>
      <c r="R10672" t="s">
        <v>43179</v>
      </c>
      <c r="S10672" t="s">
        <v>43638</v>
      </c>
      <c r="T10672" t="s">
        <v>44704</v>
      </c>
      <c r="U10672" t="s">
        <v>53725</v>
      </c>
      <c r="W10672" t="s">
        <v>42567</v>
      </c>
      <c r="X10672" t="s">
        <v>43180</v>
      </c>
    </row>
    <row r="10673" spans="1:24">
      <c r="A10673">
        <f>HYPERLINK("https://www.philgeps.gov.ph/GEPSNONPILOT/Tender/SplashBidNoticeAbstractUI.aspx?menuIndex=3&amp;refID=7066891&amp;Result=3","7066891")</f>
        <v>0</v>
      </c>
      <c r="B10673" t="s">
        <v>2991</v>
      </c>
      <c r="C10673" t="s">
        <v>13590</v>
      </c>
      <c r="D10673" t="s">
        <v>17413</v>
      </c>
      <c r="E10673" t="s">
        <v>24659</v>
      </c>
      <c r="F10673" t="s">
        <v>30052</v>
      </c>
      <c r="G10673" t="s">
        <v>30058</v>
      </c>
      <c r="H10673" t="s">
        <v>30067</v>
      </c>
      <c r="I10673" t="s">
        <v>3693</v>
      </c>
      <c r="J10673" t="s">
        <v>36727</v>
      </c>
      <c r="K10673" t="s">
        <v>39154</v>
      </c>
      <c r="M10673" t="s">
        <v>42561</v>
      </c>
      <c r="N10673" t="s">
        <v>43166</v>
      </c>
      <c r="O10673" t="s">
        <v>43167</v>
      </c>
      <c r="P10673">
        <v>0</v>
      </c>
      <c r="Q10673">
        <v>1</v>
      </c>
      <c r="R10673" t="s">
        <v>43179</v>
      </c>
      <c r="S10673" t="s">
        <v>43583</v>
      </c>
      <c r="T10673" t="s">
        <v>45129</v>
      </c>
      <c r="U10673" t="s">
        <v>53726</v>
      </c>
      <c r="W10673" t="s">
        <v>42561</v>
      </c>
      <c r="X10673" t="s">
        <v>43180</v>
      </c>
    </row>
    <row r="10674" spans="1:24">
      <c r="A10674">
        <f>HYPERLINK("https://www.philgeps.gov.ph/GEPSNONPILOT/Tender/SplashBidNoticeAbstractUI.aspx?menuIndex=3&amp;refID=7066890&amp;Result=3","7066890")</f>
        <v>0</v>
      </c>
      <c r="B10674" t="s">
        <v>2019</v>
      </c>
      <c r="C10674" t="s">
        <v>13591</v>
      </c>
      <c r="D10674" t="s">
        <v>17415</v>
      </c>
      <c r="E10674" t="s">
        <v>26636</v>
      </c>
      <c r="F10674" t="s">
        <v>30052</v>
      </c>
      <c r="G10674" t="s">
        <v>30058</v>
      </c>
      <c r="H10674" t="s">
        <v>15498</v>
      </c>
      <c r="I10674" t="s">
        <v>30084</v>
      </c>
      <c r="J10674" t="s">
        <v>36728</v>
      </c>
      <c r="K10674" t="s">
        <v>39026</v>
      </c>
      <c r="M10674" t="s">
        <v>41464</v>
      </c>
      <c r="N10674" t="s">
        <v>43166</v>
      </c>
      <c r="O10674" t="s">
        <v>43167</v>
      </c>
      <c r="P10674">
        <v>0</v>
      </c>
      <c r="Q10674">
        <v>24</v>
      </c>
      <c r="R10674" t="s">
        <v>43179</v>
      </c>
      <c r="S10674" t="s">
        <v>43583</v>
      </c>
      <c r="T10674" t="s">
        <v>44791</v>
      </c>
      <c r="U10674" t="s">
        <v>53727</v>
      </c>
      <c r="W10674" t="s">
        <v>41464</v>
      </c>
      <c r="X10674" t="s">
        <v>43180</v>
      </c>
    </row>
    <row r="10675" spans="1:24">
      <c r="A10675">
        <f>HYPERLINK("https://www.philgeps.gov.ph/GEPSNONPILOT/Tender/SplashBidNoticeAbstractUI.aspx?menuIndex=3&amp;refID=7066889&amp;Result=3","7066889")</f>
        <v>0</v>
      </c>
      <c r="B10675" t="s">
        <v>2926</v>
      </c>
      <c r="C10675" t="s">
        <v>13592</v>
      </c>
      <c r="D10675" t="s">
        <v>17462</v>
      </c>
      <c r="E10675" t="s">
        <v>26637</v>
      </c>
      <c r="F10675" t="s">
        <v>30052</v>
      </c>
      <c r="G10675" t="s">
        <v>30058</v>
      </c>
      <c r="H10675" t="s">
        <v>30067</v>
      </c>
      <c r="I10675" t="s">
        <v>3693</v>
      </c>
      <c r="J10675" t="s">
        <v>36729</v>
      </c>
      <c r="K10675" t="s">
        <v>39191</v>
      </c>
      <c r="M10675" t="s">
        <v>42489</v>
      </c>
      <c r="N10675" t="s">
        <v>43166</v>
      </c>
      <c r="O10675" t="s">
        <v>43167</v>
      </c>
      <c r="Q10675">
        <v>5</v>
      </c>
      <c r="R10675" t="s">
        <v>43179</v>
      </c>
      <c r="S10675" t="s">
        <v>43639</v>
      </c>
      <c r="T10675" t="s">
        <v>44754</v>
      </c>
      <c r="U10675" t="s">
        <v>53501</v>
      </c>
      <c r="V10675" t="s">
        <v>58034</v>
      </c>
      <c r="W10675" t="s">
        <v>42489</v>
      </c>
      <c r="X10675" t="s">
        <v>43180</v>
      </c>
    </row>
    <row r="10676" spans="1:24">
      <c r="A10676">
        <f>HYPERLINK("https://www.philgeps.gov.ph/GEPSNONPILOT/Tender/SplashBidNoticeAbstractUI.aspx?menuIndex=3&amp;refID=7066888&amp;Result=3","7066888")</f>
        <v>0</v>
      </c>
      <c r="B10676" t="s">
        <v>2996</v>
      </c>
      <c r="C10676" t="s">
        <v>13593</v>
      </c>
      <c r="D10676" t="s">
        <v>17432</v>
      </c>
      <c r="E10676" t="s">
        <v>26638</v>
      </c>
      <c r="F10676" t="s">
        <v>30052</v>
      </c>
      <c r="G10676" t="s">
        <v>30058</v>
      </c>
      <c r="H10676" t="s">
        <v>15498</v>
      </c>
      <c r="I10676" t="s">
        <v>30074</v>
      </c>
      <c r="J10676" t="s">
        <v>30215</v>
      </c>
      <c r="K10676" t="s">
        <v>39034</v>
      </c>
      <c r="M10676" t="s">
        <v>42566</v>
      </c>
      <c r="N10676" t="s">
        <v>43166</v>
      </c>
      <c r="O10676" t="s">
        <v>43167</v>
      </c>
      <c r="P10676">
        <v>0</v>
      </c>
      <c r="Q10676">
        <v>13</v>
      </c>
      <c r="R10676" t="s">
        <v>43179</v>
      </c>
      <c r="S10676" t="s">
        <v>43583</v>
      </c>
      <c r="T10676" t="s">
        <v>44690</v>
      </c>
      <c r="U10676" t="s">
        <v>53728</v>
      </c>
      <c r="W10676" t="s">
        <v>42566</v>
      </c>
      <c r="X10676" t="s">
        <v>43180</v>
      </c>
    </row>
    <row r="10677" spans="1:24">
      <c r="A10677">
        <f>HYPERLINK("https://www.philgeps.gov.ph/GEPSNONPILOT/Tender/SplashBidNoticeAbstractUI.aspx?menuIndex=3&amp;refID=7067076&amp;Result=3","7067076")</f>
        <v>0</v>
      </c>
      <c r="B10677" t="s">
        <v>1505</v>
      </c>
      <c r="C10677" t="s">
        <v>13594</v>
      </c>
      <c r="D10677" t="s">
        <v>17462</v>
      </c>
      <c r="E10677" t="s">
        <v>26639</v>
      </c>
      <c r="F10677" t="s">
        <v>30052</v>
      </c>
      <c r="G10677" t="s">
        <v>30058</v>
      </c>
      <c r="H10677" t="s">
        <v>30067</v>
      </c>
      <c r="I10677" t="s">
        <v>3693</v>
      </c>
      <c r="J10677" t="s">
        <v>36730</v>
      </c>
      <c r="K10677" t="s">
        <v>39031</v>
      </c>
      <c r="M10677" t="s">
        <v>40889</v>
      </c>
      <c r="N10677" t="s">
        <v>43166</v>
      </c>
      <c r="O10677" t="s">
        <v>43167</v>
      </c>
      <c r="P10677">
        <v>0</v>
      </c>
      <c r="Q10677">
        <v>8</v>
      </c>
      <c r="R10677" t="s">
        <v>43179</v>
      </c>
      <c r="S10677" t="s">
        <v>43583</v>
      </c>
      <c r="T10677" t="s">
        <v>44791</v>
      </c>
      <c r="U10677" t="s">
        <v>53693</v>
      </c>
      <c r="W10677" t="s">
        <v>58641</v>
      </c>
      <c r="X10677" t="s">
        <v>43180</v>
      </c>
    </row>
    <row r="10678" spans="1:24">
      <c r="A10678">
        <f>HYPERLINK("https://www.philgeps.gov.ph/GEPSNONPILOT/Tender/SplashBidNoticeAbstractUI.aspx?menuIndex=3&amp;refID=7066941&amp;Result=3","7066941")</f>
        <v>0</v>
      </c>
      <c r="B10678" t="s">
        <v>3001</v>
      </c>
      <c r="C10678" t="s">
        <v>13595</v>
      </c>
      <c r="D10678" t="s">
        <v>17455</v>
      </c>
      <c r="E10678" t="s">
        <v>17760</v>
      </c>
      <c r="F10678" t="s">
        <v>30052</v>
      </c>
      <c r="G10678" t="s">
        <v>30058</v>
      </c>
      <c r="H10678" t="s">
        <v>30067</v>
      </c>
      <c r="I10678" t="s">
        <v>3693</v>
      </c>
      <c r="J10678" t="s">
        <v>36731</v>
      </c>
      <c r="K10678" t="s">
        <v>39029</v>
      </c>
      <c r="M10678" t="s">
        <v>42573</v>
      </c>
      <c r="N10678" t="s">
        <v>43166</v>
      </c>
      <c r="O10678" t="s">
        <v>43167</v>
      </c>
      <c r="Q10678">
        <v>2</v>
      </c>
      <c r="R10678" t="s">
        <v>43179</v>
      </c>
      <c r="S10678" t="s">
        <v>43640</v>
      </c>
      <c r="T10678" t="s">
        <v>44780</v>
      </c>
      <c r="U10678" t="s">
        <v>53729</v>
      </c>
      <c r="V10678" t="s">
        <v>52797</v>
      </c>
      <c r="W10678" t="s">
        <v>58698</v>
      </c>
      <c r="X10678" t="s">
        <v>43180</v>
      </c>
    </row>
    <row r="10679" spans="1:24">
      <c r="A10679">
        <f>HYPERLINK("https://www.philgeps.gov.ph/GEPSNONPILOT/Tender/SplashBidNoticeAbstractUI.aspx?menuIndex=3&amp;refID=7067072&amp;Result=3","7067072")</f>
        <v>0</v>
      </c>
      <c r="B10679" t="s">
        <v>2401</v>
      </c>
      <c r="C10679" t="s">
        <v>13596</v>
      </c>
      <c r="D10679" t="s">
        <v>17435</v>
      </c>
      <c r="E10679" t="s">
        <v>26640</v>
      </c>
      <c r="F10679" t="s">
        <v>30052</v>
      </c>
      <c r="G10679" t="s">
        <v>30058</v>
      </c>
      <c r="H10679" t="s">
        <v>15498</v>
      </c>
      <c r="I10679" t="s">
        <v>3736</v>
      </c>
      <c r="J10679" t="s">
        <v>31236</v>
      </c>
      <c r="K10679" t="s">
        <v>39034</v>
      </c>
      <c r="M10679" t="s">
        <v>41897</v>
      </c>
      <c r="N10679" t="s">
        <v>43166</v>
      </c>
      <c r="O10679" t="s">
        <v>43167</v>
      </c>
      <c r="P10679">
        <v>0</v>
      </c>
      <c r="Q10679">
        <v>1</v>
      </c>
      <c r="R10679" t="s">
        <v>43179</v>
      </c>
      <c r="S10679" t="s">
        <v>43583</v>
      </c>
      <c r="T10679" t="s">
        <v>44844</v>
      </c>
      <c r="U10679" t="s">
        <v>53730</v>
      </c>
      <c r="W10679" t="s">
        <v>41897</v>
      </c>
      <c r="X10679" t="s">
        <v>43180</v>
      </c>
    </row>
    <row r="10680" spans="1:24">
      <c r="A10680">
        <f>HYPERLINK("https://www.philgeps.gov.ph/GEPSNONPILOT/Tender/SplashBidNoticeAbstractUI.aspx?menuIndex=3&amp;refID=7067073&amp;Result=3","7067073")</f>
        <v>0</v>
      </c>
      <c r="B10680" t="s">
        <v>1505</v>
      </c>
      <c r="C10680" t="s">
        <v>13597</v>
      </c>
      <c r="D10680" t="s">
        <v>17462</v>
      </c>
      <c r="E10680" t="s">
        <v>26641</v>
      </c>
      <c r="F10680" t="s">
        <v>30052</v>
      </c>
      <c r="G10680" t="s">
        <v>30058</v>
      </c>
      <c r="H10680" t="s">
        <v>30067</v>
      </c>
      <c r="I10680" t="s">
        <v>3693</v>
      </c>
      <c r="J10680" t="s">
        <v>31772</v>
      </c>
      <c r="K10680" t="s">
        <v>39023</v>
      </c>
      <c r="M10680" t="s">
        <v>40889</v>
      </c>
      <c r="N10680" t="s">
        <v>43166</v>
      </c>
      <c r="O10680" t="s">
        <v>43167</v>
      </c>
      <c r="P10680">
        <v>0</v>
      </c>
      <c r="Q10680">
        <v>6</v>
      </c>
      <c r="R10680" t="s">
        <v>43179</v>
      </c>
      <c r="S10680" t="s">
        <v>43583</v>
      </c>
      <c r="T10680" t="s">
        <v>44791</v>
      </c>
      <c r="U10680" t="s">
        <v>53693</v>
      </c>
      <c r="W10680" t="s">
        <v>58641</v>
      </c>
      <c r="X10680" t="s">
        <v>43180</v>
      </c>
    </row>
    <row r="10681" spans="1:24">
      <c r="A10681">
        <f>HYPERLINK("https://www.philgeps.gov.ph/GEPSNONPILOT/Tender/SplashBidNoticeAbstractUI.aspx?menuIndex=3&amp;refID=7067071&amp;Result=3","7067071")</f>
        <v>0</v>
      </c>
      <c r="B10681" t="s">
        <v>1505</v>
      </c>
      <c r="C10681" t="s">
        <v>13598</v>
      </c>
      <c r="D10681" t="s">
        <v>17462</v>
      </c>
      <c r="E10681" t="s">
        <v>26642</v>
      </c>
      <c r="F10681" t="s">
        <v>30052</v>
      </c>
      <c r="G10681" t="s">
        <v>30058</v>
      </c>
      <c r="H10681" t="s">
        <v>30067</v>
      </c>
      <c r="I10681" t="s">
        <v>3693</v>
      </c>
      <c r="J10681" t="s">
        <v>31772</v>
      </c>
      <c r="K10681" t="s">
        <v>39046</v>
      </c>
      <c r="M10681" t="s">
        <v>40889</v>
      </c>
      <c r="N10681" t="s">
        <v>43166</v>
      </c>
      <c r="O10681" t="s">
        <v>43167</v>
      </c>
      <c r="P10681">
        <v>0</v>
      </c>
      <c r="Q10681">
        <v>7</v>
      </c>
      <c r="R10681" t="s">
        <v>43179</v>
      </c>
      <c r="S10681" t="s">
        <v>43583</v>
      </c>
      <c r="T10681" t="s">
        <v>44791</v>
      </c>
      <c r="U10681" t="s">
        <v>53693</v>
      </c>
      <c r="W10681" t="s">
        <v>58641</v>
      </c>
      <c r="X10681" t="s">
        <v>43180</v>
      </c>
    </row>
    <row r="10682" spans="1:24">
      <c r="A10682">
        <f>HYPERLINK("https://www.philgeps.gov.ph/GEPSNONPILOT/Tender/SplashBidNoticeAbstractUI.aspx?menuIndex=3&amp;refID=7066947&amp;Result=3","7066947")</f>
        <v>0</v>
      </c>
      <c r="B10682" t="s">
        <v>2838</v>
      </c>
      <c r="C10682" t="s">
        <v>13599</v>
      </c>
      <c r="D10682" t="s">
        <v>17445</v>
      </c>
      <c r="E10682" t="s">
        <v>26643</v>
      </c>
      <c r="F10682" t="s">
        <v>30055</v>
      </c>
      <c r="G10682" t="s">
        <v>30058</v>
      </c>
      <c r="H10682" t="s">
        <v>15498</v>
      </c>
      <c r="I10682" t="s">
        <v>3606</v>
      </c>
      <c r="J10682" t="s">
        <v>36732</v>
      </c>
      <c r="K10682" t="s">
        <v>39029</v>
      </c>
      <c r="M10682" t="s">
        <v>42384</v>
      </c>
      <c r="N10682" t="s">
        <v>43166</v>
      </c>
      <c r="O10682" t="s">
        <v>43167</v>
      </c>
      <c r="P10682">
        <v>0</v>
      </c>
      <c r="Q10682">
        <v>0</v>
      </c>
      <c r="R10682" t="s">
        <v>43179</v>
      </c>
      <c r="S10682" t="s">
        <v>43583</v>
      </c>
      <c r="T10682" t="s">
        <v>44689</v>
      </c>
      <c r="U10682" t="s">
        <v>53731</v>
      </c>
      <c r="V10682" t="s">
        <v>58013</v>
      </c>
      <c r="W10682" t="s">
        <v>42384</v>
      </c>
      <c r="X10682" t="s">
        <v>43180</v>
      </c>
    </row>
    <row r="10683" spans="1:24">
      <c r="A10683">
        <f>HYPERLINK("https://www.philgeps.gov.ph/GEPSNONPILOT/Tender/SplashBidNoticeAbstractUI.aspx?menuIndex=3&amp;refID=7067074&amp;Result=3","7067074")</f>
        <v>0</v>
      </c>
      <c r="B10683" t="s">
        <v>1505</v>
      </c>
      <c r="C10683" t="s">
        <v>13600</v>
      </c>
      <c r="D10683" t="s">
        <v>17462</v>
      </c>
      <c r="E10683" t="s">
        <v>26644</v>
      </c>
      <c r="F10683" t="s">
        <v>30052</v>
      </c>
      <c r="G10683" t="s">
        <v>30058</v>
      </c>
      <c r="H10683" t="s">
        <v>30067</v>
      </c>
      <c r="I10683" t="s">
        <v>3693</v>
      </c>
      <c r="J10683" t="s">
        <v>31564</v>
      </c>
      <c r="K10683" t="s">
        <v>39023</v>
      </c>
      <c r="M10683" t="s">
        <v>40889</v>
      </c>
      <c r="N10683" t="s">
        <v>43166</v>
      </c>
      <c r="O10683" t="s">
        <v>43167</v>
      </c>
      <c r="P10683">
        <v>0</v>
      </c>
      <c r="Q10683">
        <v>7</v>
      </c>
      <c r="R10683" t="s">
        <v>43179</v>
      </c>
      <c r="S10683" t="s">
        <v>43583</v>
      </c>
      <c r="T10683" t="s">
        <v>44791</v>
      </c>
      <c r="U10683" t="s">
        <v>53693</v>
      </c>
      <c r="W10683" t="s">
        <v>58641</v>
      </c>
      <c r="X10683" t="s">
        <v>43180</v>
      </c>
    </row>
    <row r="10684" spans="1:24">
      <c r="A10684">
        <f>HYPERLINK("https://www.philgeps.gov.ph/GEPSNONPILOT/Tender/SplashBidNoticeAbstractUI.aspx?menuIndex=3&amp;refID=7067057&amp;Result=3","7067057")</f>
        <v>0</v>
      </c>
      <c r="B10684" t="s">
        <v>1505</v>
      </c>
      <c r="C10684" t="s">
        <v>13601</v>
      </c>
      <c r="D10684" t="s">
        <v>17462</v>
      </c>
      <c r="E10684" t="s">
        <v>26645</v>
      </c>
      <c r="F10684" t="s">
        <v>30052</v>
      </c>
      <c r="G10684" t="s">
        <v>30058</v>
      </c>
      <c r="H10684" t="s">
        <v>30067</v>
      </c>
      <c r="I10684" t="s">
        <v>3693</v>
      </c>
      <c r="J10684" t="s">
        <v>31772</v>
      </c>
      <c r="K10684" t="s">
        <v>39023</v>
      </c>
      <c r="M10684" t="s">
        <v>40889</v>
      </c>
      <c r="N10684" t="s">
        <v>43166</v>
      </c>
      <c r="O10684" t="s">
        <v>43167</v>
      </c>
      <c r="P10684">
        <v>0</v>
      </c>
      <c r="Q10684">
        <v>6</v>
      </c>
      <c r="R10684" t="s">
        <v>43179</v>
      </c>
      <c r="S10684" t="s">
        <v>43583</v>
      </c>
      <c r="T10684" t="s">
        <v>44791</v>
      </c>
      <c r="U10684" t="s">
        <v>53693</v>
      </c>
      <c r="W10684" t="s">
        <v>58641</v>
      </c>
      <c r="X10684" t="s">
        <v>43180</v>
      </c>
    </row>
    <row r="10685" spans="1:24">
      <c r="A10685">
        <f>HYPERLINK("https://www.philgeps.gov.ph/GEPSNONPILOT/Tender/SplashBidNoticeAbstractUI.aspx?menuIndex=3&amp;refID=7067068&amp;Result=3","7067068")</f>
        <v>0</v>
      </c>
      <c r="B10685" t="s">
        <v>1505</v>
      </c>
      <c r="C10685" t="s">
        <v>13602</v>
      </c>
      <c r="D10685" t="s">
        <v>17462</v>
      </c>
      <c r="E10685" t="s">
        <v>26646</v>
      </c>
      <c r="F10685" t="s">
        <v>30052</v>
      </c>
      <c r="G10685" t="s">
        <v>30058</v>
      </c>
      <c r="H10685" t="s">
        <v>30067</v>
      </c>
      <c r="I10685" t="s">
        <v>3693</v>
      </c>
      <c r="J10685" t="s">
        <v>31772</v>
      </c>
      <c r="K10685" t="s">
        <v>39023</v>
      </c>
      <c r="M10685" t="s">
        <v>40889</v>
      </c>
      <c r="N10685" t="s">
        <v>43166</v>
      </c>
      <c r="O10685" t="s">
        <v>43167</v>
      </c>
      <c r="P10685">
        <v>0</v>
      </c>
      <c r="Q10685">
        <v>6</v>
      </c>
      <c r="R10685" t="s">
        <v>43179</v>
      </c>
      <c r="S10685" t="s">
        <v>43583</v>
      </c>
      <c r="T10685" t="s">
        <v>44791</v>
      </c>
      <c r="U10685" t="s">
        <v>53693</v>
      </c>
      <c r="W10685" t="s">
        <v>58641</v>
      </c>
      <c r="X10685" t="s">
        <v>43180</v>
      </c>
    </row>
    <row r="10686" spans="1:24">
      <c r="A10686">
        <f>HYPERLINK("https://www.philgeps.gov.ph/GEPSNONPILOT/Tender/SplashBidNoticeAbstractUI.aspx?menuIndex=3&amp;refID=7066760&amp;Result=3","7066760")</f>
        <v>0</v>
      </c>
      <c r="B10686" t="s">
        <v>2927</v>
      </c>
      <c r="C10686" t="s">
        <v>13603</v>
      </c>
      <c r="D10686" t="s">
        <v>17472</v>
      </c>
      <c r="E10686" t="s">
        <v>26647</v>
      </c>
      <c r="F10686" t="s">
        <v>30052</v>
      </c>
      <c r="G10686" t="s">
        <v>30058</v>
      </c>
      <c r="H10686" t="s">
        <v>15498</v>
      </c>
      <c r="I10686" t="s">
        <v>9238</v>
      </c>
      <c r="J10686" t="s">
        <v>36733</v>
      </c>
      <c r="K10686" t="s">
        <v>39025</v>
      </c>
      <c r="M10686" t="s">
        <v>42574</v>
      </c>
      <c r="N10686" t="s">
        <v>43166</v>
      </c>
      <c r="O10686" t="s">
        <v>43167</v>
      </c>
      <c r="P10686">
        <v>0</v>
      </c>
      <c r="Q10686">
        <v>22</v>
      </c>
      <c r="R10686" t="s">
        <v>43179</v>
      </c>
      <c r="S10686" t="s">
        <v>43583</v>
      </c>
      <c r="T10686" t="s">
        <v>44762</v>
      </c>
      <c r="U10686" t="s">
        <v>53732</v>
      </c>
      <c r="W10686" t="s">
        <v>42574</v>
      </c>
      <c r="X10686" t="s">
        <v>43180</v>
      </c>
    </row>
    <row r="10687" spans="1:24">
      <c r="A10687">
        <f>HYPERLINK("https://www.philgeps.gov.ph/GEPSNONPILOT/Tender/SplashBidNoticeAbstractUI.aspx?menuIndex=3&amp;refID=7067064&amp;Result=3","7067064")</f>
        <v>0</v>
      </c>
      <c r="B10687" t="s">
        <v>1505</v>
      </c>
      <c r="C10687" t="s">
        <v>13604</v>
      </c>
      <c r="D10687" t="s">
        <v>17462</v>
      </c>
      <c r="E10687" t="s">
        <v>26648</v>
      </c>
      <c r="F10687" t="s">
        <v>30052</v>
      </c>
      <c r="G10687" t="s">
        <v>30058</v>
      </c>
      <c r="H10687" t="s">
        <v>30067</v>
      </c>
      <c r="I10687" t="s">
        <v>3693</v>
      </c>
      <c r="J10687" t="s">
        <v>31772</v>
      </c>
      <c r="K10687" t="s">
        <v>39031</v>
      </c>
      <c r="M10687" t="s">
        <v>40889</v>
      </c>
      <c r="N10687" t="s">
        <v>43166</v>
      </c>
      <c r="O10687" t="s">
        <v>43167</v>
      </c>
      <c r="P10687">
        <v>0</v>
      </c>
      <c r="Q10687">
        <v>6</v>
      </c>
      <c r="R10687" t="s">
        <v>43179</v>
      </c>
      <c r="S10687" t="s">
        <v>43583</v>
      </c>
      <c r="T10687" t="s">
        <v>44791</v>
      </c>
      <c r="U10687" t="s">
        <v>53693</v>
      </c>
      <c r="W10687" t="s">
        <v>58641</v>
      </c>
      <c r="X10687" t="s">
        <v>43180</v>
      </c>
    </row>
    <row r="10688" spans="1:24">
      <c r="A10688">
        <f>HYPERLINK("https://www.philgeps.gov.ph/GEPSNONPILOT/Tender/SplashBidNoticeAbstractUI.aspx?menuIndex=3&amp;refID=7067055&amp;Result=3","7067055")</f>
        <v>0</v>
      </c>
      <c r="B10688" t="s">
        <v>1505</v>
      </c>
      <c r="C10688" t="s">
        <v>13605</v>
      </c>
      <c r="D10688" t="s">
        <v>17462</v>
      </c>
      <c r="E10688" t="s">
        <v>26649</v>
      </c>
      <c r="F10688" t="s">
        <v>30052</v>
      </c>
      <c r="G10688" t="s">
        <v>30058</v>
      </c>
      <c r="H10688" t="s">
        <v>30067</v>
      </c>
      <c r="I10688" t="s">
        <v>3693</v>
      </c>
      <c r="J10688" t="s">
        <v>31772</v>
      </c>
      <c r="K10688" t="s">
        <v>39031</v>
      </c>
      <c r="M10688" t="s">
        <v>40889</v>
      </c>
      <c r="N10688" t="s">
        <v>43166</v>
      </c>
      <c r="O10688" t="s">
        <v>43167</v>
      </c>
      <c r="P10688">
        <v>0</v>
      </c>
      <c r="Q10688">
        <v>6</v>
      </c>
      <c r="R10688" t="s">
        <v>43179</v>
      </c>
      <c r="S10688" t="s">
        <v>43583</v>
      </c>
      <c r="T10688" t="s">
        <v>44791</v>
      </c>
      <c r="U10688" t="s">
        <v>53693</v>
      </c>
      <c r="W10688" t="s">
        <v>58641</v>
      </c>
      <c r="X10688" t="s">
        <v>43180</v>
      </c>
    </row>
    <row r="10689" spans="1:24">
      <c r="A10689">
        <f>HYPERLINK("https://www.philgeps.gov.ph/GEPSNONPILOT/Tender/SplashBidNoticeAbstractUI.aspx?menuIndex=3&amp;refID=7067208&amp;Result=3","7067208")</f>
        <v>0</v>
      </c>
      <c r="B10689" t="s">
        <v>3003</v>
      </c>
      <c r="C10689" t="s">
        <v>13606</v>
      </c>
      <c r="D10689" t="s">
        <v>17415</v>
      </c>
      <c r="E10689" t="s">
        <v>11486</v>
      </c>
      <c r="F10689" t="s">
        <v>30052</v>
      </c>
      <c r="G10689" t="s">
        <v>30058</v>
      </c>
      <c r="H10689" t="s">
        <v>30067</v>
      </c>
      <c r="I10689" t="s">
        <v>3693</v>
      </c>
      <c r="J10689" t="s">
        <v>30212</v>
      </c>
      <c r="K10689" t="s">
        <v>39046</v>
      </c>
      <c r="M10689" t="s">
        <v>42575</v>
      </c>
      <c r="N10689" t="s">
        <v>43166</v>
      </c>
      <c r="O10689" t="s">
        <v>43167</v>
      </c>
      <c r="P10689">
        <v>0</v>
      </c>
      <c r="Q10689">
        <v>3</v>
      </c>
      <c r="R10689" t="s">
        <v>43179</v>
      </c>
      <c r="S10689" t="s">
        <v>43583</v>
      </c>
      <c r="T10689" t="s">
        <v>44708</v>
      </c>
      <c r="U10689" t="s">
        <v>53733</v>
      </c>
      <c r="W10689" t="s">
        <v>42575</v>
      </c>
      <c r="X10689" t="s">
        <v>43180</v>
      </c>
    </row>
    <row r="10690" spans="1:24">
      <c r="A10690">
        <f>HYPERLINK("https://www.philgeps.gov.ph/GEPSNONPILOT/Tender/SplashBidNoticeAbstractUI.aspx?menuIndex=3&amp;refID=7067047&amp;Result=3","7067047")</f>
        <v>0</v>
      </c>
      <c r="B10690" t="s">
        <v>1505</v>
      </c>
      <c r="C10690" t="s">
        <v>13607</v>
      </c>
      <c r="D10690" t="s">
        <v>17462</v>
      </c>
      <c r="E10690" t="s">
        <v>26650</v>
      </c>
      <c r="F10690" t="s">
        <v>30052</v>
      </c>
      <c r="G10690" t="s">
        <v>30058</v>
      </c>
      <c r="H10690" t="s">
        <v>30067</v>
      </c>
      <c r="I10690" t="s">
        <v>3693</v>
      </c>
      <c r="J10690" t="s">
        <v>31772</v>
      </c>
      <c r="K10690" t="s">
        <v>39031</v>
      </c>
      <c r="M10690" t="s">
        <v>40889</v>
      </c>
      <c r="N10690" t="s">
        <v>43166</v>
      </c>
      <c r="O10690" t="s">
        <v>43167</v>
      </c>
      <c r="P10690">
        <v>0</v>
      </c>
      <c r="Q10690">
        <v>6</v>
      </c>
      <c r="R10690" t="s">
        <v>43179</v>
      </c>
      <c r="S10690" t="s">
        <v>43583</v>
      </c>
      <c r="T10690" t="s">
        <v>44791</v>
      </c>
      <c r="U10690" t="s">
        <v>53693</v>
      </c>
      <c r="W10690" t="s">
        <v>58641</v>
      </c>
      <c r="X10690" t="s">
        <v>43180</v>
      </c>
    </row>
    <row r="10691" spans="1:24">
      <c r="A10691">
        <f>HYPERLINK("https://www.philgeps.gov.ph/GEPSNONPILOT/Tender/SplashBidNoticeAbstractUI.aspx?menuIndex=3&amp;refID=7067053&amp;Result=3","7067053")</f>
        <v>0</v>
      </c>
      <c r="B10691" t="s">
        <v>1505</v>
      </c>
      <c r="C10691" t="s">
        <v>13608</v>
      </c>
      <c r="D10691" t="s">
        <v>17462</v>
      </c>
      <c r="E10691" t="s">
        <v>26651</v>
      </c>
      <c r="F10691" t="s">
        <v>30052</v>
      </c>
      <c r="G10691" t="s">
        <v>30058</v>
      </c>
      <c r="H10691" t="s">
        <v>30067</v>
      </c>
      <c r="I10691" t="s">
        <v>3693</v>
      </c>
      <c r="J10691" t="s">
        <v>31772</v>
      </c>
      <c r="K10691" t="s">
        <v>39031</v>
      </c>
      <c r="M10691" t="s">
        <v>40889</v>
      </c>
      <c r="N10691" t="s">
        <v>43166</v>
      </c>
      <c r="O10691" t="s">
        <v>43167</v>
      </c>
      <c r="P10691">
        <v>0</v>
      </c>
      <c r="Q10691">
        <v>6</v>
      </c>
      <c r="R10691" t="s">
        <v>43179</v>
      </c>
      <c r="S10691" t="s">
        <v>43583</v>
      </c>
      <c r="T10691" t="s">
        <v>44791</v>
      </c>
      <c r="U10691" t="s">
        <v>53693</v>
      </c>
      <c r="W10691" t="s">
        <v>58641</v>
      </c>
      <c r="X10691" t="s">
        <v>43180</v>
      </c>
    </row>
    <row r="10692" spans="1:24">
      <c r="A10692">
        <f>HYPERLINK("https://www.philgeps.gov.ph/GEPSNONPILOT/Tender/SplashBidNoticeAbstractUI.aspx?menuIndex=3&amp;refID=7067257&amp;Result=3","7067257")</f>
        <v>0</v>
      </c>
      <c r="B10692" t="s">
        <v>1145</v>
      </c>
      <c r="C10692" t="s">
        <v>13609</v>
      </c>
      <c r="D10692" t="s">
        <v>17465</v>
      </c>
      <c r="E10692" t="s">
        <v>18840</v>
      </c>
      <c r="F10692" t="s">
        <v>30052</v>
      </c>
      <c r="G10692" t="s">
        <v>30058</v>
      </c>
      <c r="H10692" t="s">
        <v>30067</v>
      </c>
      <c r="I10692" t="s">
        <v>3693</v>
      </c>
      <c r="J10692" t="s">
        <v>36734</v>
      </c>
      <c r="K10692" t="s">
        <v>39227</v>
      </c>
      <c r="M10692" t="s">
        <v>40488</v>
      </c>
      <c r="N10692" t="s">
        <v>43166</v>
      </c>
      <c r="O10692" t="s">
        <v>43167</v>
      </c>
      <c r="P10692">
        <v>0</v>
      </c>
      <c r="Q10692">
        <v>2</v>
      </c>
      <c r="R10692" t="s">
        <v>43179</v>
      </c>
      <c r="S10692" t="s">
        <v>43583</v>
      </c>
      <c r="T10692" t="s">
        <v>45143</v>
      </c>
      <c r="U10692" t="s">
        <v>53734</v>
      </c>
      <c r="V10692" t="s">
        <v>58035</v>
      </c>
      <c r="W10692" t="s">
        <v>40488</v>
      </c>
      <c r="X10692" t="s">
        <v>43180</v>
      </c>
    </row>
    <row r="10693" spans="1:24">
      <c r="A10693">
        <f>HYPERLINK("https://www.philgeps.gov.ph/GEPSNONPILOT/Tender/SplashBidNoticeAbstractUI.aspx?menuIndex=3&amp;refID=7067244&amp;Result=3","7067244")</f>
        <v>0</v>
      </c>
      <c r="B10693" t="s">
        <v>3004</v>
      </c>
      <c r="C10693" t="s">
        <v>13610</v>
      </c>
      <c r="D10693" t="s">
        <v>17459</v>
      </c>
      <c r="E10693" t="s">
        <v>26652</v>
      </c>
      <c r="F10693" t="s">
        <v>30052</v>
      </c>
      <c r="G10693" t="s">
        <v>30058</v>
      </c>
      <c r="H10693" t="s">
        <v>30067</v>
      </c>
      <c r="I10693" t="s">
        <v>3693</v>
      </c>
      <c r="J10693" t="s">
        <v>30216</v>
      </c>
      <c r="K10693" t="s">
        <v>39019</v>
      </c>
      <c r="M10693" t="s">
        <v>42576</v>
      </c>
      <c r="N10693" t="s">
        <v>43166</v>
      </c>
      <c r="O10693" t="s">
        <v>43167</v>
      </c>
      <c r="P10693">
        <v>0</v>
      </c>
      <c r="Q10693">
        <v>0</v>
      </c>
      <c r="R10693" t="s">
        <v>43179</v>
      </c>
      <c r="S10693" t="s">
        <v>43583</v>
      </c>
      <c r="T10693" t="s">
        <v>44685</v>
      </c>
      <c r="U10693" t="s">
        <v>53735</v>
      </c>
      <c r="W10693" t="s">
        <v>42576</v>
      </c>
      <c r="X10693" t="s">
        <v>43180</v>
      </c>
    </row>
    <row r="10694" spans="1:24">
      <c r="A10694">
        <f>HYPERLINK("https://www.philgeps.gov.ph/GEPSNONPILOT/Tender/SplashBidNoticeAbstractUI.aspx?menuIndex=3&amp;refID=7067243&amp;Result=3","7067243")</f>
        <v>0</v>
      </c>
      <c r="B10694" t="s">
        <v>360</v>
      </c>
      <c r="C10694" t="s">
        <v>13611</v>
      </c>
      <c r="E10694" t="s">
        <v>26653</v>
      </c>
      <c r="F10694" t="s">
        <v>30052</v>
      </c>
      <c r="G10694" t="s">
        <v>30063</v>
      </c>
      <c r="H10694" t="s">
        <v>15498</v>
      </c>
      <c r="I10694" t="s">
        <v>30087</v>
      </c>
      <c r="J10694" t="s">
        <v>36735</v>
      </c>
      <c r="K10694" t="s">
        <v>39023</v>
      </c>
      <c r="M10694" t="s">
        <v>39657</v>
      </c>
      <c r="N10694" t="s">
        <v>43166</v>
      </c>
      <c r="O10694" t="s">
        <v>43167</v>
      </c>
      <c r="P10694">
        <v>0</v>
      </c>
      <c r="Q10694">
        <v>2</v>
      </c>
      <c r="R10694" t="s">
        <v>43179</v>
      </c>
      <c r="S10694" t="s">
        <v>43583</v>
      </c>
      <c r="T10694" t="s">
        <v>45143</v>
      </c>
      <c r="U10694" t="s">
        <v>53736</v>
      </c>
      <c r="V10694" t="s">
        <v>56908</v>
      </c>
      <c r="W10694" t="s">
        <v>39657</v>
      </c>
      <c r="X10694" t="s">
        <v>43180</v>
      </c>
    </row>
    <row r="10695" spans="1:24">
      <c r="A10695">
        <f>HYPERLINK("https://www.philgeps.gov.ph/GEPSNONPILOT/Tender/SplashBidNoticeAbstractUI.aspx?menuIndex=3&amp;refID=7067235&amp;Result=3","7067235")</f>
        <v>0</v>
      </c>
      <c r="B10695" t="s">
        <v>360</v>
      </c>
      <c r="C10695" t="s">
        <v>13612</v>
      </c>
      <c r="E10695" t="s">
        <v>26653</v>
      </c>
      <c r="F10695" t="s">
        <v>30052</v>
      </c>
      <c r="G10695" t="s">
        <v>30063</v>
      </c>
      <c r="H10695" t="s">
        <v>15498</v>
      </c>
      <c r="I10695" t="s">
        <v>30087</v>
      </c>
      <c r="J10695" t="s">
        <v>36736</v>
      </c>
      <c r="K10695" t="s">
        <v>39023</v>
      </c>
      <c r="M10695" t="s">
        <v>39657</v>
      </c>
      <c r="N10695" t="s">
        <v>43166</v>
      </c>
      <c r="O10695" t="s">
        <v>43167</v>
      </c>
      <c r="P10695">
        <v>0</v>
      </c>
      <c r="Q10695">
        <v>2</v>
      </c>
      <c r="R10695" t="s">
        <v>43179</v>
      </c>
      <c r="S10695" t="s">
        <v>43583</v>
      </c>
      <c r="T10695" t="s">
        <v>44780</v>
      </c>
      <c r="U10695" t="s">
        <v>53736</v>
      </c>
      <c r="V10695" t="s">
        <v>56908</v>
      </c>
      <c r="W10695" t="s">
        <v>39657</v>
      </c>
      <c r="X10695" t="s">
        <v>43180</v>
      </c>
    </row>
    <row r="10696" spans="1:24">
      <c r="A10696">
        <f>HYPERLINK("https://www.philgeps.gov.ph/GEPSNONPILOT/Tender/SplashBidNoticeAbstractUI.aspx?menuIndex=3&amp;refID=7067229&amp;Result=3","7067229")</f>
        <v>0</v>
      </c>
      <c r="B10696" t="s">
        <v>3005</v>
      </c>
      <c r="C10696" t="s">
        <v>13613</v>
      </c>
      <c r="D10696" t="s">
        <v>17418</v>
      </c>
      <c r="E10696" t="s">
        <v>26654</v>
      </c>
      <c r="F10696" t="s">
        <v>30052</v>
      </c>
      <c r="G10696" t="s">
        <v>30058</v>
      </c>
      <c r="H10696" t="s">
        <v>30067</v>
      </c>
      <c r="I10696" t="s">
        <v>3693</v>
      </c>
      <c r="J10696" t="s">
        <v>30252</v>
      </c>
      <c r="K10696" t="s">
        <v>39029</v>
      </c>
      <c r="M10696" t="s">
        <v>42577</v>
      </c>
      <c r="N10696" t="s">
        <v>43166</v>
      </c>
      <c r="O10696" t="s">
        <v>43167</v>
      </c>
      <c r="P10696">
        <v>0</v>
      </c>
      <c r="Q10696">
        <v>1</v>
      </c>
      <c r="R10696" t="s">
        <v>43179</v>
      </c>
      <c r="S10696" t="s">
        <v>43583</v>
      </c>
      <c r="T10696" t="s">
        <v>44820</v>
      </c>
      <c r="U10696" t="s">
        <v>53737</v>
      </c>
      <c r="W10696" t="s">
        <v>58699</v>
      </c>
      <c r="X10696" t="s">
        <v>43180</v>
      </c>
    </row>
    <row r="10697" spans="1:24">
      <c r="A10697">
        <f>HYPERLINK("https://www.philgeps.gov.ph/GEPSNONPILOT/Tender/SplashBidNoticeAbstractUI.aspx?menuIndex=3&amp;refID=7067217&amp;Result=3","7067217")</f>
        <v>0</v>
      </c>
      <c r="B10697" t="s">
        <v>360</v>
      </c>
      <c r="C10697" t="s">
        <v>13614</v>
      </c>
      <c r="D10697" t="s">
        <v>17432</v>
      </c>
      <c r="E10697" t="s">
        <v>26655</v>
      </c>
      <c r="F10697" t="s">
        <v>30052</v>
      </c>
      <c r="G10697" t="s">
        <v>30063</v>
      </c>
      <c r="H10697" t="s">
        <v>15498</v>
      </c>
      <c r="I10697" t="s">
        <v>30092</v>
      </c>
      <c r="J10697" t="s">
        <v>36737</v>
      </c>
      <c r="K10697" t="s">
        <v>39023</v>
      </c>
      <c r="M10697" t="s">
        <v>39657</v>
      </c>
      <c r="N10697" t="s">
        <v>43166</v>
      </c>
      <c r="O10697" t="s">
        <v>43167</v>
      </c>
      <c r="P10697">
        <v>0</v>
      </c>
      <c r="Q10697">
        <v>1</v>
      </c>
      <c r="R10697" t="s">
        <v>43179</v>
      </c>
      <c r="S10697" t="s">
        <v>43583</v>
      </c>
      <c r="T10697" t="s">
        <v>44730</v>
      </c>
      <c r="U10697" t="s">
        <v>53738</v>
      </c>
      <c r="V10697" t="s">
        <v>56908</v>
      </c>
      <c r="W10697" t="s">
        <v>39657</v>
      </c>
      <c r="X10697" t="s">
        <v>43180</v>
      </c>
    </row>
    <row r="10698" spans="1:24">
      <c r="A10698">
        <f>HYPERLINK("https://www.philgeps.gov.ph/GEPSNONPILOT/Tender/SplashBidNoticeAbstractUI.aspx?menuIndex=3&amp;refID=7067258&amp;Result=3","7067258")</f>
        <v>0</v>
      </c>
      <c r="B10698" t="s">
        <v>3006</v>
      </c>
      <c r="C10698" t="s">
        <v>5179</v>
      </c>
      <c r="D10698" t="s">
        <v>17458</v>
      </c>
      <c r="E10698" t="s">
        <v>26656</v>
      </c>
      <c r="F10698" t="s">
        <v>30052</v>
      </c>
      <c r="G10698" t="s">
        <v>30058</v>
      </c>
      <c r="H10698" t="s">
        <v>15498</v>
      </c>
      <c r="I10698" t="s">
        <v>30073</v>
      </c>
      <c r="J10698" t="s">
        <v>36738</v>
      </c>
      <c r="K10698" t="s">
        <v>39029</v>
      </c>
      <c r="M10698" t="s">
        <v>42578</v>
      </c>
      <c r="N10698" t="s">
        <v>43166</v>
      </c>
      <c r="O10698" t="s">
        <v>43167</v>
      </c>
      <c r="P10698">
        <v>0</v>
      </c>
      <c r="Q10698">
        <v>0</v>
      </c>
      <c r="R10698" t="s">
        <v>43179</v>
      </c>
      <c r="S10698" t="s">
        <v>43583</v>
      </c>
      <c r="T10698" t="s">
        <v>44754</v>
      </c>
      <c r="U10698" t="s">
        <v>53739</v>
      </c>
      <c r="W10698" t="s">
        <v>42578</v>
      </c>
      <c r="X10698" t="s">
        <v>43180</v>
      </c>
    </row>
    <row r="10699" spans="1:24">
      <c r="A10699">
        <f>HYPERLINK("https://www.philgeps.gov.ph/GEPSNONPILOT/Tender/SplashBidNoticeAbstractUI.aspx?menuIndex=3&amp;refID=7067187&amp;Result=3","7067187")</f>
        <v>0</v>
      </c>
      <c r="B10699" t="s">
        <v>2627</v>
      </c>
      <c r="C10699" t="s">
        <v>13615</v>
      </c>
      <c r="D10699" t="s">
        <v>17446</v>
      </c>
      <c r="E10699" t="s">
        <v>26657</v>
      </c>
      <c r="F10699" t="s">
        <v>30052</v>
      </c>
      <c r="G10699" t="s">
        <v>30058</v>
      </c>
      <c r="H10699" t="s">
        <v>15498</v>
      </c>
      <c r="I10699" t="s">
        <v>30087</v>
      </c>
      <c r="J10699" t="s">
        <v>36739</v>
      </c>
      <c r="K10699" t="s">
        <v>39029</v>
      </c>
      <c r="M10699" t="s">
        <v>42141</v>
      </c>
      <c r="N10699" t="s">
        <v>43166</v>
      </c>
      <c r="O10699" t="s">
        <v>43167</v>
      </c>
      <c r="P10699">
        <v>0</v>
      </c>
      <c r="Q10699">
        <v>4</v>
      </c>
      <c r="R10699" t="s">
        <v>43179</v>
      </c>
      <c r="S10699" t="s">
        <v>43583</v>
      </c>
      <c r="T10699" t="s">
        <v>44725</v>
      </c>
      <c r="U10699" t="s">
        <v>53740</v>
      </c>
      <c r="W10699" t="s">
        <v>58683</v>
      </c>
      <c r="X10699" t="s">
        <v>43180</v>
      </c>
    </row>
    <row r="10700" spans="1:24">
      <c r="A10700">
        <f>HYPERLINK("https://www.philgeps.gov.ph/GEPSNONPILOT/Tender/SplashBidNoticeAbstractUI.aspx?menuIndex=3&amp;refID=7066756&amp;Result=3","7066756")</f>
        <v>0</v>
      </c>
      <c r="B10700" t="s">
        <v>2996</v>
      </c>
      <c r="C10700" t="s">
        <v>13616</v>
      </c>
      <c r="D10700" t="s">
        <v>17432</v>
      </c>
      <c r="E10700" t="s">
        <v>26658</v>
      </c>
      <c r="F10700" t="s">
        <v>30052</v>
      </c>
      <c r="G10700" t="s">
        <v>30058</v>
      </c>
      <c r="H10700" t="s">
        <v>30067</v>
      </c>
      <c r="I10700" t="s">
        <v>3693</v>
      </c>
      <c r="J10700" t="s">
        <v>36740</v>
      </c>
      <c r="K10700" t="s">
        <v>39026</v>
      </c>
      <c r="M10700" t="s">
        <v>42566</v>
      </c>
      <c r="N10700" t="s">
        <v>43166</v>
      </c>
      <c r="O10700" t="s">
        <v>43167</v>
      </c>
      <c r="P10700">
        <v>0</v>
      </c>
      <c r="Q10700">
        <v>1</v>
      </c>
      <c r="R10700" t="s">
        <v>43179</v>
      </c>
      <c r="S10700" t="s">
        <v>43583</v>
      </c>
      <c r="T10700" t="s">
        <v>44690</v>
      </c>
      <c r="U10700" t="s">
        <v>53741</v>
      </c>
      <c r="W10700" t="s">
        <v>42566</v>
      </c>
      <c r="X10700" t="s">
        <v>43180</v>
      </c>
    </row>
    <row r="10701" spans="1:24">
      <c r="A10701">
        <f>HYPERLINK("https://www.philgeps.gov.ph/GEPSNONPILOT/Tender/SplashBidNoticeAbstractUI.aspx?menuIndex=3&amp;refID=7067179&amp;Result=3","7067179")</f>
        <v>0</v>
      </c>
      <c r="B10701" t="s">
        <v>1622</v>
      </c>
      <c r="C10701" t="s">
        <v>13617</v>
      </c>
      <c r="D10701" t="s">
        <v>17415</v>
      </c>
      <c r="E10701" t="s">
        <v>26659</v>
      </c>
      <c r="F10701" t="s">
        <v>30052</v>
      </c>
      <c r="G10701" t="s">
        <v>30058</v>
      </c>
      <c r="H10701" t="s">
        <v>30069</v>
      </c>
      <c r="I10701" t="s">
        <v>30100</v>
      </c>
      <c r="J10701" t="s">
        <v>36741</v>
      </c>
      <c r="K10701" t="s">
        <v>39059</v>
      </c>
      <c r="M10701" t="s">
        <v>41022</v>
      </c>
      <c r="N10701" t="s">
        <v>43166</v>
      </c>
      <c r="O10701" t="s">
        <v>43167</v>
      </c>
      <c r="P10701">
        <v>0</v>
      </c>
      <c r="Q10701">
        <v>3</v>
      </c>
      <c r="R10701" t="s">
        <v>43179</v>
      </c>
      <c r="S10701" t="s">
        <v>43583</v>
      </c>
      <c r="T10701" t="s">
        <v>44780</v>
      </c>
      <c r="U10701" t="s">
        <v>53742</v>
      </c>
      <c r="W10701" t="s">
        <v>41022</v>
      </c>
      <c r="X10701" t="s">
        <v>43180</v>
      </c>
    </row>
    <row r="10702" spans="1:24">
      <c r="A10702">
        <f>HYPERLINK("https://www.philgeps.gov.ph/GEPSNONPILOT/Tender/SplashBidNoticeAbstractUI.aspx?menuIndex=3&amp;refID=7067151&amp;Result=3","7067151")</f>
        <v>0</v>
      </c>
      <c r="B10702" t="s">
        <v>1272</v>
      </c>
      <c r="C10702" t="s">
        <v>13618</v>
      </c>
      <c r="E10702" t="s">
        <v>26660</v>
      </c>
      <c r="F10702" t="s">
        <v>30052</v>
      </c>
      <c r="G10702" t="s">
        <v>30058</v>
      </c>
      <c r="H10702" t="s">
        <v>15498</v>
      </c>
      <c r="I10702" t="s">
        <v>30100</v>
      </c>
      <c r="J10702" t="s">
        <v>36742</v>
      </c>
      <c r="K10702" t="s">
        <v>39099</v>
      </c>
      <c r="M10702" t="s">
        <v>42476</v>
      </c>
      <c r="N10702" t="s">
        <v>43166</v>
      </c>
      <c r="O10702" t="s">
        <v>43167</v>
      </c>
      <c r="P10702">
        <v>0</v>
      </c>
      <c r="Q10702">
        <v>5</v>
      </c>
      <c r="R10702" t="s">
        <v>43179</v>
      </c>
      <c r="S10702" t="s">
        <v>43583</v>
      </c>
      <c r="T10702" t="s">
        <v>44763</v>
      </c>
      <c r="U10702" t="s">
        <v>53743</v>
      </c>
      <c r="W10702" t="s">
        <v>42476</v>
      </c>
      <c r="X10702" t="s">
        <v>43180</v>
      </c>
    </row>
    <row r="10703" spans="1:24">
      <c r="A10703">
        <f>HYPERLINK("https://www.philgeps.gov.ph/GEPSNONPILOT/Tender/SplashBidNoticeAbstractUI.aspx?menuIndex=3&amp;refID=7067146&amp;Result=3","7067146")</f>
        <v>0</v>
      </c>
      <c r="B10703" t="s">
        <v>2978</v>
      </c>
      <c r="C10703" t="s">
        <v>13619</v>
      </c>
      <c r="D10703" t="s">
        <v>17420</v>
      </c>
      <c r="E10703" t="s">
        <v>26661</v>
      </c>
      <c r="F10703" t="s">
        <v>30052</v>
      </c>
      <c r="G10703" t="s">
        <v>30058</v>
      </c>
      <c r="H10703" t="s">
        <v>30067</v>
      </c>
      <c r="I10703" t="s">
        <v>3693</v>
      </c>
      <c r="J10703" t="s">
        <v>36743</v>
      </c>
      <c r="K10703" t="s">
        <v>39026</v>
      </c>
      <c r="M10703" t="s">
        <v>42547</v>
      </c>
      <c r="N10703" t="s">
        <v>43166</v>
      </c>
      <c r="O10703" t="s">
        <v>43167</v>
      </c>
      <c r="P10703">
        <v>0</v>
      </c>
      <c r="Q10703">
        <v>1</v>
      </c>
      <c r="R10703" t="s">
        <v>43179</v>
      </c>
      <c r="S10703" t="s">
        <v>43583</v>
      </c>
      <c r="T10703" t="s">
        <v>44699</v>
      </c>
      <c r="U10703" t="s">
        <v>53654</v>
      </c>
      <c r="W10703" t="s">
        <v>42547</v>
      </c>
      <c r="X10703" t="s">
        <v>43180</v>
      </c>
    </row>
    <row r="10704" spans="1:24">
      <c r="A10704">
        <f>HYPERLINK("https://www.philgeps.gov.ph/GEPSNONPILOT/Tender/SplashBidNoticeAbstractUI.aspx?menuIndex=3&amp;refID=7067120&amp;Result=3","7067120")</f>
        <v>0</v>
      </c>
      <c r="B10704" t="s">
        <v>1272</v>
      </c>
      <c r="C10704" t="s">
        <v>13620</v>
      </c>
      <c r="E10704" t="s">
        <v>26662</v>
      </c>
      <c r="F10704" t="s">
        <v>30052</v>
      </c>
      <c r="G10704" t="s">
        <v>30058</v>
      </c>
      <c r="H10704" t="s">
        <v>15498</v>
      </c>
      <c r="I10704" t="s">
        <v>30074</v>
      </c>
      <c r="J10704" t="s">
        <v>36744</v>
      </c>
      <c r="K10704" t="s">
        <v>39026</v>
      </c>
      <c r="M10704" t="s">
        <v>42476</v>
      </c>
      <c r="N10704" t="s">
        <v>43166</v>
      </c>
      <c r="O10704" t="s">
        <v>43167</v>
      </c>
      <c r="P10704">
        <v>0</v>
      </c>
      <c r="Q10704">
        <v>15</v>
      </c>
      <c r="R10704" t="s">
        <v>43179</v>
      </c>
      <c r="S10704" t="s">
        <v>43583</v>
      </c>
      <c r="T10704" t="s">
        <v>44763</v>
      </c>
      <c r="U10704" t="s">
        <v>53744</v>
      </c>
      <c r="W10704" t="s">
        <v>42476</v>
      </c>
      <c r="X10704" t="s">
        <v>43180</v>
      </c>
    </row>
    <row r="10705" spans="1:24">
      <c r="A10705">
        <f>HYPERLINK("https://www.philgeps.gov.ph/GEPSNONPILOT/Tender/SplashBidNoticeAbstractUI.aspx?menuIndex=3&amp;refID=7067188&amp;Result=3","7067188")</f>
        <v>0</v>
      </c>
      <c r="B10705" t="s">
        <v>2881</v>
      </c>
      <c r="C10705" t="s">
        <v>13621</v>
      </c>
      <c r="D10705" t="s">
        <v>17452</v>
      </c>
      <c r="E10705" t="s">
        <v>26663</v>
      </c>
      <c r="F10705" t="s">
        <v>30052</v>
      </c>
      <c r="G10705" t="s">
        <v>30058</v>
      </c>
      <c r="H10705" t="s">
        <v>30067</v>
      </c>
      <c r="I10705" t="s">
        <v>3693</v>
      </c>
      <c r="J10705" t="s">
        <v>36745</v>
      </c>
      <c r="K10705" t="s">
        <v>39038</v>
      </c>
      <c r="M10705" t="s">
        <v>42431</v>
      </c>
      <c r="N10705" t="s">
        <v>43166</v>
      </c>
      <c r="O10705" t="s">
        <v>43167</v>
      </c>
      <c r="P10705">
        <v>0</v>
      </c>
      <c r="Q10705">
        <v>0</v>
      </c>
      <c r="R10705" t="s">
        <v>43179</v>
      </c>
      <c r="S10705" t="s">
        <v>43583</v>
      </c>
      <c r="T10705" t="s">
        <v>44699</v>
      </c>
      <c r="U10705" t="s">
        <v>53745</v>
      </c>
      <c r="W10705" t="s">
        <v>42431</v>
      </c>
      <c r="X10705" t="s">
        <v>43180</v>
      </c>
    </row>
    <row r="10706" spans="1:24">
      <c r="A10706">
        <f>HYPERLINK("https://www.philgeps.gov.ph/GEPSNONPILOT/Tender/SplashBidNoticeAbstractUI.aspx?menuIndex=3&amp;refID=7066921&amp;Result=3","7066921")</f>
        <v>0</v>
      </c>
      <c r="B10706" t="s">
        <v>2902</v>
      </c>
      <c r="C10706" t="s">
        <v>13622</v>
      </c>
      <c r="D10706" t="s">
        <v>17482</v>
      </c>
      <c r="E10706" t="s">
        <v>26664</v>
      </c>
      <c r="F10706" t="s">
        <v>30052</v>
      </c>
      <c r="G10706" t="s">
        <v>30058</v>
      </c>
      <c r="H10706" t="s">
        <v>15498</v>
      </c>
      <c r="I10706" t="s">
        <v>3736</v>
      </c>
      <c r="J10706" t="s">
        <v>36746</v>
      </c>
      <c r="K10706" t="s">
        <v>39029</v>
      </c>
      <c r="M10706" t="s">
        <v>42456</v>
      </c>
      <c r="N10706" t="s">
        <v>43166</v>
      </c>
      <c r="O10706" t="s">
        <v>43167</v>
      </c>
      <c r="P10706">
        <v>0</v>
      </c>
      <c r="Q10706">
        <v>5</v>
      </c>
      <c r="R10706" t="s">
        <v>43179</v>
      </c>
      <c r="S10706" t="s">
        <v>43583</v>
      </c>
      <c r="T10706" t="s">
        <v>44830</v>
      </c>
      <c r="U10706" t="s">
        <v>53701</v>
      </c>
      <c r="W10706" t="s">
        <v>42456</v>
      </c>
      <c r="X10706" t="s">
        <v>43180</v>
      </c>
    </row>
    <row r="10707" spans="1:24">
      <c r="A10707">
        <f>HYPERLINK("https://www.philgeps.gov.ph/GEPSNONPILOT/Tender/SplashBidNoticeAbstractUI.aspx?menuIndex=3&amp;refID=7067079&amp;Result=3","7067079")</f>
        <v>0</v>
      </c>
      <c r="B10707" t="s">
        <v>1505</v>
      </c>
      <c r="C10707" t="s">
        <v>13623</v>
      </c>
      <c r="D10707" t="s">
        <v>17462</v>
      </c>
      <c r="E10707" t="s">
        <v>26665</v>
      </c>
      <c r="F10707" t="s">
        <v>30052</v>
      </c>
      <c r="G10707" t="s">
        <v>30058</v>
      </c>
      <c r="H10707" t="s">
        <v>30067</v>
      </c>
      <c r="I10707" t="s">
        <v>3693</v>
      </c>
      <c r="J10707" t="s">
        <v>33576</v>
      </c>
      <c r="K10707" t="s">
        <v>39031</v>
      </c>
      <c r="M10707" t="s">
        <v>40889</v>
      </c>
      <c r="N10707" t="s">
        <v>43166</v>
      </c>
      <c r="O10707" t="s">
        <v>43167</v>
      </c>
      <c r="P10707">
        <v>0</v>
      </c>
      <c r="Q10707">
        <v>8</v>
      </c>
      <c r="R10707" t="s">
        <v>43179</v>
      </c>
      <c r="S10707" t="s">
        <v>43583</v>
      </c>
      <c r="T10707" t="s">
        <v>44791</v>
      </c>
      <c r="U10707" t="s">
        <v>53693</v>
      </c>
      <c r="W10707" t="s">
        <v>58641</v>
      </c>
      <c r="X10707" t="s">
        <v>43180</v>
      </c>
    </row>
    <row r="10708" spans="1:24">
      <c r="A10708">
        <f>HYPERLINK("https://www.philgeps.gov.ph/GEPSNONPILOT/Tender/SplashBidNoticeAbstractUI.aspx?menuIndex=3&amp;refID=7067034&amp;Result=3","7067034")</f>
        <v>0</v>
      </c>
      <c r="B10708" t="s">
        <v>742</v>
      </c>
      <c r="C10708" t="s">
        <v>13624</v>
      </c>
      <c r="D10708" t="s">
        <v>17455</v>
      </c>
      <c r="E10708" t="s">
        <v>26666</v>
      </c>
      <c r="F10708" t="s">
        <v>30052</v>
      </c>
      <c r="G10708" t="s">
        <v>30058</v>
      </c>
      <c r="H10708" t="s">
        <v>15498</v>
      </c>
      <c r="I10708" t="s">
        <v>30128</v>
      </c>
      <c r="J10708" t="s">
        <v>34073</v>
      </c>
      <c r="K10708" t="s">
        <v>39031</v>
      </c>
      <c r="M10708" t="s">
        <v>40056</v>
      </c>
      <c r="N10708" t="s">
        <v>43166</v>
      </c>
      <c r="O10708" t="s">
        <v>43167</v>
      </c>
      <c r="P10708">
        <v>0</v>
      </c>
      <c r="Q10708">
        <v>20</v>
      </c>
      <c r="R10708" t="s">
        <v>43179</v>
      </c>
      <c r="S10708" t="s">
        <v>43583</v>
      </c>
      <c r="T10708" t="s">
        <v>44750</v>
      </c>
      <c r="U10708" t="s">
        <v>53746</v>
      </c>
      <c r="W10708" t="s">
        <v>58614</v>
      </c>
      <c r="X10708" t="s">
        <v>43180</v>
      </c>
    </row>
    <row r="10709" spans="1:24">
      <c r="A10709">
        <f>HYPERLINK("https://www.philgeps.gov.ph/GEPSNONPILOT/Tender/SplashBidNoticeAbstractUI.aspx?menuIndex=3&amp;refID=7067153&amp;Result=3","7067153")</f>
        <v>0</v>
      </c>
      <c r="B10709" t="s">
        <v>390</v>
      </c>
      <c r="C10709" t="s">
        <v>13625</v>
      </c>
      <c r="D10709" t="s">
        <v>17415</v>
      </c>
      <c r="E10709" t="s">
        <v>26667</v>
      </c>
      <c r="F10709" t="s">
        <v>30052</v>
      </c>
      <c r="G10709" t="s">
        <v>30058</v>
      </c>
      <c r="H10709" t="s">
        <v>15498</v>
      </c>
      <c r="I10709" t="s">
        <v>30098</v>
      </c>
      <c r="J10709" t="s">
        <v>36747</v>
      </c>
      <c r="K10709" t="s">
        <v>39245</v>
      </c>
      <c r="M10709" t="s">
        <v>42579</v>
      </c>
      <c r="N10709" t="s">
        <v>43166</v>
      </c>
      <c r="O10709" t="s">
        <v>43167</v>
      </c>
      <c r="P10709">
        <v>0</v>
      </c>
      <c r="Q10709">
        <v>11</v>
      </c>
      <c r="R10709" t="s">
        <v>43179</v>
      </c>
      <c r="S10709" t="s">
        <v>43583</v>
      </c>
      <c r="T10709" t="s">
        <v>44730</v>
      </c>
      <c r="U10709" t="s">
        <v>53747</v>
      </c>
      <c r="V10709" t="s">
        <v>58036</v>
      </c>
      <c r="W10709" t="s">
        <v>42579</v>
      </c>
      <c r="X10709" t="s">
        <v>43180</v>
      </c>
    </row>
    <row r="10710" spans="1:24">
      <c r="A10710">
        <f>HYPERLINK("https://www.philgeps.gov.ph/GEPSNONPILOT/Tender/SplashBidNoticeAbstractUI.aspx?menuIndex=3&amp;refID=7067017&amp;Result=3","7067017")</f>
        <v>0</v>
      </c>
      <c r="B10710" t="s">
        <v>78</v>
      </c>
      <c r="C10710" t="s">
        <v>13626</v>
      </c>
      <c r="D10710" t="s">
        <v>17416</v>
      </c>
      <c r="E10710" t="s">
        <v>26668</v>
      </c>
      <c r="F10710" t="s">
        <v>30052</v>
      </c>
      <c r="G10710" t="s">
        <v>30063</v>
      </c>
      <c r="H10710" t="s">
        <v>30067</v>
      </c>
      <c r="I10710" t="s">
        <v>3693</v>
      </c>
      <c r="J10710" t="s">
        <v>36748</v>
      </c>
      <c r="K10710" t="s">
        <v>39022</v>
      </c>
      <c r="M10710" t="s">
        <v>39367</v>
      </c>
      <c r="N10710" t="s">
        <v>43166</v>
      </c>
      <c r="O10710" t="s">
        <v>43167</v>
      </c>
      <c r="P10710">
        <v>0</v>
      </c>
      <c r="Q10710">
        <v>3</v>
      </c>
      <c r="R10710" t="s">
        <v>43179</v>
      </c>
      <c r="S10710" t="s">
        <v>43583</v>
      </c>
      <c r="T10710" t="s">
        <v>44699</v>
      </c>
      <c r="U10710" t="s">
        <v>53748</v>
      </c>
      <c r="V10710" t="s">
        <v>58037</v>
      </c>
      <c r="W10710" t="s">
        <v>39367</v>
      </c>
      <c r="X10710" t="s">
        <v>43180</v>
      </c>
    </row>
    <row r="10711" spans="1:24">
      <c r="A10711">
        <f>HYPERLINK("https://www.philgeps.gov.ph/GEPSNONPILOT/Tender/SplashBidNoticeAbstractUI.aspx?menuIndex=3&amp;refID=7067081&amp;Result=3","7067081")</f>
        <v>0</v>
      </c>
      <c r="B10711" t="s">
        <v>1505</v>
      </c>
      <c r="C10711" t="s">
        <v>13627</v>
      </c>
      <c r="D10711" t="s">
        <v>17462</v>
      </c>
      <c r="E10711" t="s">
        <v>26669</v>
      </c>
      <c r="F10711" t="s">
        <v>30052</v>
      </c>
      <c r="G10711" t="s">
        <v>30058</v>
      </c>
      <c r="H10711" t="s">
        <v>30067</v>
      </c>
      <c r="I10711" t="s">
        <v>3693</v>
      </c>
      <c r="J10711" t="s">
        <v>30873</v>
      </c>
      <c r="K10711" t="s">
        <v>39031</v>
      </c>
      <c r="M10711" t="s">
        <v>40889</v>
      </c>
      <c r="N10711" t="s">
        <v>43166</v>
      </c>
      <c r="O10711" t="s">
        <v>43167</v>
      </c>
      <c r="P10711">
        <v>0</v>
      </c>
      <c r="Q10711">
        <v>8</v>
      </c>
      <c r="R10711" t="s">
        <v>43179</v>
      </c>
      <c r="S10711" t="s">
        <v>43583</v>
      </c>
      <c r="T10711" t="s">
        <v>44791</v>
      </c>
      <c r="U10711" t="s">
        <v>53693</v>
      </c>
      <c r="W10711" t="s">
        <v>58641</v>
      </c>
      <c r="X10711" t="s">
        <v>43180</v>
      </c>
    </row>
    <row r="10712" spans="1:24">
      <c r="A10712">
        <f>HYPERLINK("https://www.philgeps.gov.ph/GEPSNONPILOT/Tender/SplashBidNoticeAbstractUI.aspx?menuIndex=3&amp;refID=7066759&amp;Result=3","7066759")</f>
        <v>0</v>
      </c>
      <c r="B10712" t="s">
        <v>175</v>
      </c>
      <c r="C10712" t="s">
        <v>13628</v>
      </c>
      <c r="D10712" t="s">
        <v>17476</v>
      </c>
      <c r="E10712" t="s">
        <v>24126</v>
      </c>
      <c r="F10712" t="s">
        <v>30052</v>
      </c>
      <c r="G10712" t="s">
        <v>30058</v>
      </c>
      <c r="H10712" t="s">
        <v>15498</v>
      </c>
      <c r="I10712" t="s">
        <v>4598</v>
      </c>
      <c r="J10712" t="s">
        <v>35535</v>
      </c>
      <c r="K10712" t="s">
        <v>39023</v>
      </c>
      <c r="M10712" t="s">
        <v>39464</v>
      </c>
      <c r="N10712" t="s">
        <v>43166</v>
      </c>
      <c r="O10712" t="s">
        <v>43167</v>
      </c>
      <c r="P10712">
        <v>0</v>
      </c>
      <c r="Q10712">
        <v>14</v>
      </c>
      <c r="R10712" t="s">
        <v>43179</v>
      </c>
      <c r="S10712" t="s">
        <v>43583</v>
      </c>
      <c r="T10712" t="s">
        <v>44780</v>
      </c>
      <c r="U10712" t="s">
        <v>53749</v>
      </c>
      <c r="V10712" t="s">
        <v>58038</v>
      </c>
      <c r="W10712" t="s">
        <v>39464</v>
      </c>
      <c r="X10712" t="s">
        <v>43180</v>
      </c>
    </row>
    <row r="10713" spans="1:24">
      <c r="A10713">
        <f>HYPERLINK("https://www.philgeps.gov.ph/GEPSNONPILOT/Tender/SplashBidNoticeAbstractUI.aspx?menuIndex=3&amp;refID=7067001&amp;Result=3","7067001")</f>
        <v>0</v>
      </c>
      <c r="B10713" t="s">
        <v>78</v>
      </c>
      <c r="C10713" t="s">
        <v>13629</v>
      </c>
      <c r="E10713" t="s">
        <v>26670</v>
      </c>
      <c r="F10713" t="s">
        <v>30052</v>
      </c>
      <c r="G10713" t="s">
        <v>30063</v>
      </c>
      <c r="H10713" t="s">
        <v>15498</v>
      </c>
      <c r="I10713" t="s">
        <v>30087</v>
      </c>
      <c r="J10713" t="s">
        <v>36749</v>
      </c>
      <c r="K10713" t="s">
        <v>39029</v>
      </c>
      <c r="M10713" t="s">
        <v>39367</v>
      </c>
      <c r="N10713" t="s">
        <v>43166</v>
      </c>
      <c r="O10713" t="s">
        <v>43167</v>
      </c>
      <c r="P10713">
        <v>0</v>
      </c>
      <c r="Q10713">
        <v>0</v>
      </c>
      <c r="R10713" t="s">
        <v>43179</v>
      </c>
      <c r="S10713" t="s">
        <v>43583</v>
      </c>
      <c r="T10713" t="s">
        <v>44699</v>
      </c>
      <c r="U10713" t="s">
        <v>53750</v>
      </c>
      <c r="V10713" t="s">
        <v>58037</v>
      </c>
      <c r="W10713" t="s">
        <v>39367</v>
      </c>
      <c r="X10713" t="s">
        <v>43180</v>
      </c>
    </row>
    <row r="10714" spans="1:24">
      <c r="A10714">
        <f>HYPERLINK("https://www.philgeps.gov.ph/GEPSNONPILOT/Tender/SplashBidNoticeAbstractUI.aspx?menuIndex=3&amp;refID=7067051&amp;Result=3","7067051")</f>
        <v>0</v>
      </c>
      <c r="B10714" t="s">
        <v>1505</v>
      </c>
      <c r="C10714" t="s">
        <v>13630</v>
      </c>
      <c r="D10714" t="s">
        <v>17462</v>
      </c>
      <c r="E10714" t="s">
        <v>26671</v>
      </c>
      <c r="F10714" t="s">
        <v>30052</v>
      </c>
      <c r="G10714" t="s">
        <v>30058</v>
      </c>
      <c r="H10714" t="s">
        <v>30067</v>
      </c>
      <c r="I10714" t="s">
        <v>3693</v>
      </c>
      <c r="J10714" t="s">
        <v>31772</v>
      </c>
      <c r="K10714" t="s">
        <v>39031</v>
      </c>
      <c r="M10714" t="s">
        <v>40889</v>
      </c>
      <c r="N10714" t="s">
        <v>43166</v>
      </c>
      <c r="O10714" t="s">
        <v>43167</v>
      </c>
      <c r="P10714">
        <v>0</v>
      </c>
      <c r="Q10714">
        <v>6</v>
      </c>
      <c r="R10714" t="s">
        <v>43179</v>
      </c>
      <c r="S10714" t="s">
        <v>43583</v>
      </c>
      <c r="T10714" t="s">
        <v>44791</v>
      </c>
      <c r="U10714" t="s">
        <v>53693</v>
      </c>
      <c r="W10714" t="s">
        <v>58641</v>
      </c>
      <c r="X10714" t="s">
        <v>43180</v>
      </c>
    </row>
    <row r="10715" spans="1:24">
      <c r="A10715">
        <f>HYPERLINK("https://www.philgeps.gov.ph/GEPSNONPILOT/Tender/SplashBidNoticeAbstractUI.aspx?menuIndex=3&amp;refID=7067323&amp;Result=3","7067323")</f>
        <v>0</v>
      </c>
      <c r="B10715" t="s">
        <v>1103</v>
      </c>
      <c r="C10715" t="s">
        <v>13631</v>
      </c>
      <c r="D10715" t="s">
        <v>17415</v>
      </c>
      <c r="E10715" t="s">
        <v>26672</v>
      </c>
      <c r="F10715" t="s">
        <v>30052</v>
      </c>
      <c r="G10715" t="s">
        <v>30058</v>
      </c>
      <c r="H10715" t="s">
        <v>15498</v>
      </c>
      <c r="I10715" t="s">
        <v>30084</v>
      </c>
      <c r="J10715" t="s">
        <v>30247</v>
      </c>
      <c r="K10715" t="s">
        <v>39029</v>
      </c>
      <c r="M10715" t="s">
        <v>42580</v>
      </c>
      <c r="N10715" t="s">
        <v>43166</v>
      </c>
      <c r="O10715" t="s">
        <v>43167</v>
      </c>
      <c r="P10715">
        <v>0</v>
      </c>
      <c r="Q10715">
        <v>10</v>
      </c>
      <c r="R10715" t="s">
        <v>43179</v>
      </c>
      <c r="S10715" t="s">
        <v>43583</v>
      </c>
      <c r="T10715" t="s">
        <v>44780</v>
      </c>
      <c r="U10715" t="s">
        <v>53751</v>
      </c>
      <c r="W10715" t="s">
        <v>42580</v>
      </c>
      <c r="X10715" t="s">
        <v>43180</v>
      </c>
    </row>
    <row r="10716" spans="1:24">
      <c r="A10716">
        <f>HYPERLINK("https://www.philgeps.gov.ph/GEPSNONPILOT/Tender/SplashBidNoticeAbstractUI.aspx?menuIndex=3&amp;refID=7067018&amp;Result=3","7067018")</f>
        <v>0</v>
      </c>
      <c r="B10716" t="s">
        <v>2620</v>
      </c>
      <c r="C10716" t="s">
        <v>13632</v>
      </c>
      <c r="D10716" t="s">
        <v>17479</v>
      </c>
      <c r="E10716" t="s">
        <v>26673</v>
      </c>
      <c r="F10716" t="s">
        <v>30052</v>
      </c>
      <c r="G10716" t="s">
        <v>30058</v>
      </c>
      <c r="H10716" t="s">
        <v>30067</v>
      </c>
      <c r="I10716" t="s">
        <v>3693</v>
      </c>
      <c r="J10716" t="s">
        <v>36750</v>
      </c>
      <c r="K10716" t="s">
        <v>39016</v>
      </c>
      <c r="M10716" t="s">
        <v>42581</v>
      </c>
      <c r="N10716" t="s">
        <v>43166</v>
      </c>
      <c r="O10716" t="s">
        <v>43167</v>
      </c>
      <c r="Q10716">
        <v>1</v>
      </c>
      <c r="R10716" t="s">
        <v>43179</v>
      </c>
      <c r="S10716" t="s">
        <v>43480</v>
      </c>
      <c r="T10716" t="s">
        <v>44689</v>
      </c>
      <c r="U10716" t="s">
        <v>53752</v>
      </c>
      <c r="W10716" t="s">
        <v>42581</v>
      </c>
      <c r="X10716" t="s">
        <v>43180</v>
      </c>
    </row>
    <row r="10717" spans="1:24">
      <c r="A10717">
        <f>HYPERLINK("https://www.philgeps.gov.ph/GEPSNONPILOT/Tender/SplashBidNoticeAbstractUI.aspx?menuIndex=3&amp;refID=7067317&amp;Result=3","7067317")</f>
        <v>0</v>
      </c>
      <c r="B10717" t="s">
        <v>2346</v>
      </c>
      <c r="C10717" t="s">
        <v>13633</v>
      </c>
      <c r="D10717" t="s">
        <v>17466</v>
      </c>
      <c r="E10717" t="s">
        <v>26674</v>
      </c>
      <c r="F10717" t="s">
        <v>30052</v>
      </c>
      <c r="G10717" t="s">
        <v>30058</v>
      </c>
      <c r="H10717" t="s">
        <v>15498</v>
      </c>
      <c r="I10717" t="s">
        <v>3736</v>
      </c>
      <c r="J10717" t="s">
        <v>30644</v>
      </c>
      <c r="K10717" t="s">
        <v>39039</v>
      </c>
      <c r="M10717" t="s">
        <v>41837</v>
      </c>
      <c r="N10717" t="s">
        <v>43166</v>
      </c>
      <c r="O10717" t="s">
        <v>43167</v>
      </c>
      <c r="P10717">
        <v>0</v>
      </c>
      <c r="Q10717">
        <v>0</v>
      </c>
      <c r="R10717" t="s">
        <v>43179</v>
      </c>
      <c r="S10717" t="s">
        <v>43583</v>
      </c>
      <c r="T10717" t="s">
        <v>44816</v>
      </c>
      <c r="U10717" t="s">
        <v>53753</v>
      </c>
      <c r="W10717" t="s">
        <v>41837</v>
      </c>
      <c r="X10717" t="s">
        <v>43180</v>
      </c>
    </row>
    <row r="10718" spans="1:24">
      <c r="A10718">
        <f>HYPERLINK("https://www.philgeps.gov.ph/GEPSNONPILOT/Tender/SplashBidNoticeAbstractUI.aspx?menuIndex=3&amp;refID=7067010&amp;Result=3","7067010")</f>
        <v>0</v>
      </c>
      <c r="B10718" t="s">
        <v>78</v>
      </c>
      <c r="C10718" t="s">
        <v>13634</v>
      </c>
      <c r="E10718" t="s">
        <v>26675</v>
      </c>
      <c r="F10718" t="s">
        <v>30052</v>
      </c>
      <c r="G10718" t="s">
        <v>30063</v>
      </c>
      <c r="H10718" t="s">
        <v>15498</v>
      </c>
      <c r="I10718" t="s">
        <v>30087</v>
      </c>
      <c r="J10718" t="s">
        <v>36751</v>
      </c>
      <c r="K10718" t="s">
        <v>39029</v>
      </c>
      <c r="M10718" t="s">
        <v>39367</v>
      </c>
      <c r="N10718" t="s">
        <v>43166</v>
      </c>
      <c r="O10718" t="s">
        <v>43167</v>
      </c>
      <c r="P10718">
        <v>0</v>
      </c>
      <c r="Q10718">
        <v>0</v>
      </c>
      <c r="R10718" t="s">
        <v>43179</v>
      </c>
      <c r="S10718" t="s">
        <v>43583</v>
      </c>
      <c r="T10718" t="s">
        <v>44699</v>
      </c>
      <c r="U10718" t="s">
        <v>53754</v>
      </c>
      <c r="V10718" t="s">
        <v>58037</v>
      </c>
      <c r="W10718" t="s">
        <v>39367</v>
      </c>
      <c r="X10718" t="s">
        <v>43180</v>
      </c>
    </row>
    <row r="10719" spans="1:24">
      <c r="A10719">
        <f>HYPERLINK("https://www.philgeps.gov.ph/GEPSNONPILOT/Tender/SplashBidNoticeAbstractUI.aspx?menuIndex=3&amp;refID=7067311&amp;Result=3","7067311")</f>
        <v>0</v>
      </c>
      <c r="B10719" t="s">
        <v>2346</v>
      </c>
      <c r="C10719" t="s">
        <v>10820</v>
      </c>
      <c r="D10719" t="s">
        <v>17466</v>
      </c>
      <c r="E10719" t="s">
        <v>26676</v>
      </c>
      <c r="F10719" t="s">
        <v>30052</v>
      </c>
      <c r="G10719" t="s">
        <v>30058</v>
      </c>
      <c r="H10719" t="s">
        <v>15498</v>
      </c>
      <c r="I10719" t="s">
        <v>30105</v>
      </c>
      <c r="J10719" t="s">
        <v>31116</v>
      </c>
      <c r="K10719" t="s">
        <v>39039</v>
      </c>
      <c r="M10719" t="s">
        <v>41837</v>
      </c>
      <c r="N10719" t="s">
        <v>43166</v>
      </c>
      <c r="O10719" t="s">
        <v>43167</v>
      </c>
      <c r="P10719">
        <v>0</v>
      </c>
      <c r="Q10719">
        <v>1</v>
      </c>
      <c r="R10719" t="s">
        <v>43179</v>
      </c>
      <c r="S10719" t="s">
        <v>43583</v>
      </c>
      <c r="T10719" t="s">
        <v>44816</v>
      </c>
      <c r="U10719" t="s">
        <v>53755</v>
      </c>
      <c r="W10719" t="s">
        <v>41837</v>
      </c>
      <c r="X10719" t="s">
        <v>43180</v>
      </c>
    </row>
    <row r="10720" spans="1:24">
      <c r="A10720">
        <f>HYPERLINK("https://www.philgeps.gov.ph/GEPSNONPILOT/Tender/SplashBidNoticeAbstractUI.aspx?menuIndex=3&amp;refID=7067310&amp;Result=3","7067310")</f>
        <v>0</v>
      </c>
      <c r="B10720" t="s">
        <v>1047</v>
      </c>
      <c r="C10720" t="s">
        <v>13635</v>
      </c>
      <c r="D10720" t="s">
        <v>17476</v>
      </c>
      <c r="E10720" t="s">
        <v>26652</v>
      </c>
      <c r="F10720" t="s">
        <v>30052</v>
      </c>
      <c r="G10720" t="s">
        <v>30058</v>
      </c>
      <c r="H10720" t="s">
        <v>15498</v>
      </c>
      <c r="I10720" t="s">
        <v>9238</v>
      </c>
      <c r="J10720" t="s">
        <v>36752</v>
      </c>
      <c r="K10720" t="s">
        <v>39034</v>
      </c>
      <c r="M10720" t="s">
        <v>40380</v>
      </c>
      <c r="N10720" t="s">
        <v>43166</v>
      </c>
      <c r="O10720" t="s">
        <v>43167</v>
      </c>
      <c r="P10720">
        <v>0</v>
      </c>
      <c r="Q10720">
        <v>2</v>
      </c>
      <c r="R10720" t="s">
        <v>43179</v>
      </c>
      <c r="S10720" t="s">
        <v>43583</v>
      </c>
      <c r="T10720" t="s">
        <v>44704</v>
      </c>
      <c r="U10720" t="s">
        <v>53756</v>
      </c>
      <c r="W10720" t="s">
        <v>58624</v>
      </c>
      <c r="X10720" t="s">
        <v>43180</v>
      </c>
    </row>
    <row r="10721" spans="1:24">
      <c r="A10721">
        <f>HYPERLINK("https://www.philgeps.gov.ph/GEPSNONPILOT/Tender/SplashBidNoticeAbstractUI.aspx?menuIndex=3&amp;refID=7067077&amp;Result=3","7067077")</f>
        <v>0</v>
      </c>
      <c r="B10721" t="s">
        <v>1505</v>
      </c>
      <c r="C10721" t="s">
        <v>13636</v>
      </c>
      <c r="D10721" t="s">
        <v>17462</v>
      </c>
      <c r="E10721" t="s">
        <v>26677</v>
      </c>
      <c r="F10721" t="s">
        <v>30052</v>
      </c>
      <c r="G10721" t="s">
        <v>30058</v>
      </c>
      <c r="H10721" t="s">
        <v>30067</v>
      </c>
      <c r="I10721" t="s">
        <v>3693</v>
      </c>
      <c r="J10721" t="s">
        <v>35425</v>
      </c>
      <c r="K10721" t="s">
        <v>39046</v>
      </c>
      <c r="M10721" t="s">
        <v>40889</v>
      </c>
      <c r="N10721" t="s">
        <v>43166</v>
      </c>
      <c r="O10721" t="s">
        <v>43167</v>
      </c>
      <c r="P10721">
        <v>0</v>
      </c>
      <c r="Q10721">
        <v>8</v>
      </c>
      <c r="R10721" t="s">
        <v>43179</v>
      </c>
      <c r="S10721" t="s">
        <v>43583</v>
      </c>
      <c r="T10721" t="s">
        <v>44791</v>
      </c>
      <c r="U10721" t="s">
        <v>53693</v>
      </c>
      <c r="W10721" t="s">
        <v>58641</v>
      </c>
      <c r="X10721" t="s">
        <v>43180</v>
      </c>
    </row>
    <row r="10722" spans="1:24">
      <c r="A10722">
        <f>HYPERLINK("https://www.philgeps.gov.ph/GEPSNONPILOT/Tender/SplashBidNoticeAbstractUI.aspx?menuIndex=3&amp;refID=7067322&amp;Result=3","7067322")</f>
        <v>0</v>
      </c>
      <c r="B10722" t="s">
        <v>2346</v>
      </c>
      <c r="C10722" t="s">
        <v>13637</v>
      </c>
      <c r="D10722" t="s">
        <v>17466</v>
      </c>
      <c r="E10722" t="s">
        <v>26678</v>
      </c>
      <c r="F10722" t="s">
        <v>30052</v>
      </c>
      <c r="G10722" t="s">
        <v>30058</v>
      </c>
      <c r="H10722" t="s">
        <v>15498</v>
      </c>
      <c r="I10722" t="s">
        <v>3736</v>
      </c>
      <c r="J10722" t="s">
        <v>36753</v>
      </c>
      <c r="K10722" t="s">
        <v>39039</v>
      </c>
      <c r="M10722" t="s">
        <v>41837</v>
      </c>
      <c r="N10722" t="s">
        <v>43166</v>
      </c>
      <c r="O10722" t="s">
        <v>43167</v>
      </c>
      <c r="P10722">
        <v>0</v>
      </c>
      <c r="Q10722">
        <v>0</v>
      </c>
      <c r="R10722" t="s">
        <v>43179</v>
      </c>
      <c r="S10722" t="s">
        <v>43583</v>
      </c>
      <c r="T10722" t="s">
        <v>44816</v>
      </c>
      <c r="U10722" t="s">
        <v>53757</v>
      </c>
      <c r="W10722" t="s">
        <v>41837</v>
      </c>
      <c r="X10722" t="s">
        <v>43180</v>
      </c>
    </row>
    <row r="10723" spans="1:24">
      <c r="A10723">
        <f>HYPERLINK("https://www.philgeps.gov.ph/GEPSNONPILOT/Tender/SplashBidNoticeAbstractUI.aspx?menuIndex=3&amp;refID=7067303&amp;Result=3","7067303")</f>
        <v>0</v>
      </c>
      <c r="B10723" t="s">
        <v>652</v>
      </c>
      <c r="C10723" t="s">
        <v>13638</v>
      </c>
      <c r="D10723" t="s">
        <v>17454</v>
      </c>
      <c r="E10723" t="s">
        <v>19621</v>
      </c>
      <c r="F10723" t="s">
        <v>30052</v>
      </c>
      <c r="G10723" t="s">
        <v>30058</v>
      </c>
      <c r="H10723" t="s">
        <v>30069</v>
      </c>
      <c r="I10723" t="s">
        <v>30092</v>
      </c>
      <c r="J10723" t="s">
        <v>31744</v>
      </c>
      <c r="K10723" t="s">
        <v>39029</v>
      </c>
      <c r="M10723" t="s">
        <v>39956</v>
      </c>
      <c r="N10723" t="s">
        <v>43166</v>
      </c>
      <c r="O10723" t="s">
        <v>43167</v>
      </c>
      <c r="P10723">
        <v>0</v>
      </c>
      <c r="Q10723">
        <v>1</v>
      </c>
      <c r="R10723" t="s">
        <v>43179</v>
      </c>
      <c r="S10723" t="s">
        <v>43583</v>
      </c>
      <c r="T10723" t="s">
        <v>44753</v>
      </c>
      <c r="U10723" t="s">
        <v>53758</v>
      </c>
      <c r="W10723" t="s">
        <v>39956</v>
      </c>
      <c r="X10723" t="s">
        <v>43180</v>
      </c>
    </row>
    <row r="10724" spans="1:24">
      <c r="A10724">
        <f>HYPERLINK("https://www.philgeps.gov.ph/GEPSNONPILOT/Tender/SplashBidNoticeAbstractUI.aspx?menuIndex=3&amp;refID=7067297&amp;Result=3","7067297")</f>
        <v>0</v>
      </c>
      <c r="B10724" t="s">
        <v>652</v>
      </c>
      <c r="C10724" t="s">
        <v>13639</v>
      </c>
      <c r="D10724" t="s">
        <v>17454</v>
      </c>
      <c r="E10724" t="s">
        <v>19680</v>
      </c>
      <c r="F10724" t="s">
        <v>30052</v>
      </c>
      <c r="G10724" t="s">
        <v>30058</v>
      </c>
      <c r="H10724" t="s">
        <v>30069</v>
      </c>
      <c r="I10724" t="s">
        <v>30074</v>
      </c>
      <c r="J10724" t="s">
        <v>30218</v>
      </c>
      <c r="K10724" t="s">
        <v>39029</v>
      </c>
      <c r="M10724" t="s">
        <v>39956</v>
      </c>
      <c r="N10724" t="s">
        <v>43166</v>
      </c>
      <c r="O10724" t="s">
        <v>43167</v>
      </c>
      <c r="P10724">
        <v>0</v>
      </c>
      <c r="Q10724">
        <v>2</v>
      </c>
      <c r="R10724" t="s">
        <v>43179</v>
      </c>
      <c r="S10724" t="s">
        <v>43583</v>
      </c>
      <c r="T10724" t="s">
        <v>44753</v>
      </c>
      <c r="U10724" t="s">
        <v>53759</v>
      </c>
      <c r="W10724" t="s">
        <v>39956</v>
      </c>
      <c r="X10724" t="s">
        <v>43180</v>
      </c>
    </row>
    <row r="10725" spans="1:24">
      <c r="A10725">
        <f>HYPERLINK("https://www.philgeps.gov.ph/GEPSNONPILOT/Tender/SplashBidNoticeAbstractUI.aspx?menuIndex=3&amp;refID=7067296&amp;Result=3","7067296")</f>
        <v>0</v>
      </c>
      <c r="B10725" t="s">
        <v>1047</v>
      </c>
      <c r="C10725" t="s">
        <v>13640</v>
      </c>
      <c r="D10725" t="s">
        <v>17476</v>
      </c>
      <c r="E10725" t="s">
        <v>26679</v>
      </c>
      <c r="F10725" t="s">
        <v>30052</v>
      </c>
      <c r="G10725" t="s">
        <v>30058</v>
      </c>
      <c r="H10725" t="s">
        <v>30067</v>
      </c>
      <c r="I10725" t="s">
        <v>3693</v>
      </c>
      <c r="J10725" t="s">
        <v>36754</v>
      </c>
      <c r="K10725" t="s">
        <v>39046</v>
      </c>
      <c r="M10725" t="s">
        <v>40380</v>
      </c>
      <c r="N10725" t="s">
        <v>43166</v>
      </c>
      <c r="O10725" t="s">
        <v>43167</v>
      </c>
      <c r="P10725">
        <v>0</v>
      </c>
      <c r="Q10725">
        <v>0</v>
      </c>
      <c r="R10725" t="s">
        <v>43179</v>
      </c>
      <c r="S10725" t="s">
        <v>43583</v>
      </c>
      <c r="T10725" t="s">
        <v>44704</v>
      </c>
      <c r="U10725" t="s">
        <v>53760</v>
      </c>
      <c r="W10725" t="s">
        <v>58624</v>
      </c>
      <c r="X10725" t="s">
        <v>43180</v>
      </c>
    </row>
    <row r="10726" spans="1:24">
      <c r="A10726">
        <f>HYPERLINK("https://www.philgeps.gov.ph/GEPSNONPILOT/Tender/SplashBidNoticeAbstractUI.aspx?menuIndex=3&amp;refID=7067294&amp;Result=3","7067294")</f>
        <v>0</v>
      </c>
      <c r="B10726" t="s">
        <v>652</v>
      </c>
      <c r="C10726" t="s">
        <v>13641</v>
      </c>
      <c r="D10726" t="s">
        <v>17454</v>
      </c>
      <c r="E10726" t="s">
        <v>19641</v>
      </c>
      <c r="F10726" t="s">
        <v>30052</v>
      </c>
      <c r="G10726" t="s">
        <v>30058</v>
      </c>
      <c r="H10726" t="s">
        <v>30069</v>
      </c>
      <c r="I10726" t="s">
        <v>30096</v>
      </c>
      <c r="J10726" t="s">
        <v>31326</v>
      </c>
      <c r="K10726" t="s">
        <v>39029</v>
      </c>
      <c r="M10726" t="s">
        <v>39956</v>
      </c>
      <c r="N10726" t="s">
        <v>43166</v>
      </c>
      <c r="O10726" t="s">
        <v>43167</v>
      </c>
      <c r="P10726">
        <v>0</v>
      </c>
      <c r="Q10726">
        <v>4</v>
      </c>
      <c r="R10726" t="s">
        <v>43179</v>
      </c>
      <c r="S10726" t="s">
        <v>43583</v>
      </c>
      <c r="T10726" t="s">
        <v>44753</v>
      </c>
      <c r="U10726" t="s">
        <v>53761</v>
      </c>
      <c r="W10726" t="s">
        <v>39956</v>
      </c>
      <c r="X10726" t="s">
        <v>43180</v>
      </c>
    </row>
    <row r="10727" spans="1:24">
      <c r="A10727">
        <f>HYPERLINK("https://www.philgeps.gov.ph/GEPSNONPILOT/Tender/SplashBidNoticeAbstractUI.aspx?menuIndex=3&amp;refID=7067290&amp;Result=3","7067290")</f>
        <v>0</v>
      </c>
      <c r="B10727" t="s">
        <v>3007</v>
      </c>
      <c r="C10727" t="s">
        <v>13642</v>
      </c>
      <c r="D10727" t="s">
        <v>17415</v>
      </c>
      <c r="E10727" t="s">
        <v>26680</v>
      </c>
      <c r="F10727" t="s">
        <v>30052</v>
      </c>
      <c r="G10727" t="s">
        <v>30058</v>
      </c>
      <c r="H10727" t="s">
        <v>15498</v>
      </c>
      <c r="I10727" t="s">
        <v>30074</v>
      </c>
      <c r="J10727" t="s">
        <v>36755</v>
      </c>
      <c r="K10727" t="s">
        <v>39029</v>
      </c>
      <c r="M10727" t="s">
        <v>42582</v>
      </c>
      <c r="N10727" t="s">
        <v>43166</v>
      </c>
      <c r="O10727" t="s">
        <v>43167</v>
      </c>
      <c r="P10727">
        <v>0</v>
      </c>
      <c r="Q10727">
        <v>15</v>
      </c>
      <c r="R10727" t="s">
        <v>43179</v>
      </c>
      <c r="S10727" t="s">
        <v>43583</v>
      </c>
      <c r="T10727" t="s">
        <v>44791</v>
      </c>
      <c r="U10727" t="s">
        <v>53762</v>
      </c>
      <c r="W10727" t="s">
        <v>42582</v>
      </c>
      <c r="X10727" t="s">
        <v>43180</v>
      </c>
    </row>
    <row r="10728" spans="1:24">
      <c r="A10728">
        <f>HYPERLINK("https://www.philgeps.gov.ph/GEPSNONPILOT/Tender/SplashBidNoticeAbstractUI.aspx?menuIndex=3&amp;refID=7067289&amp;Result=3","7067289")</f>
        <v>0</v>
      </c>
      <c r="B10728" t="s">
        <v>652</v>
      </c>
      <c r="C10728" t="s">
        <v>13643</v>
      </c>
      <c r="D10728" t="s">
        <v>17454</v>
      </c>
      <c r="E10728" t="s">
        <v>26681</v>
      </c>
      <c r="F10728" t="s">
        <v>30052</v>
      </c>
      <c r="G10728" t="s">
        <v>30058</v>
      </c>
      <c r="H10728" t="s">
        <v>15498</v>
      </c>
      <c r="I10728" t="s">
        <v>30094</v>
      </c>
      <c r="J10728" t="s">
        <v>33799</v>
      </c>
      <c r="K10728" t="s">
        <v>39029</v>
      </c>
      <c r="M10728" t="s">
        <v>39956</v>
      </c>
      <c r="N10728" t="s">
        <v>43166</v>
      </c>
      <c r="O10728" t="s">
        <v>43167</v>
      </c>
      <c r="P10728">
        <v>0</v>
      </c>
      <c r="Q10728">
        <v>0</v>
      </c>
      <c r="R10728" t="s">
        <v>43179</v>
      </c>
      <c r="S10728" t="s">
        <v>43583</v>
      </c>
      <c r="T10728" t="s">
        <v>44753</v>
      </c>
      <c r="U10728" t="s">
        <v>53763</v>
      </c>
      <c r="W10728" t="s">
        <v>39956</v>
      </c>
      <c r="X10728" t="s">
        <v>43180</v>
      </c>
    </row>
    <row r="10729" spans="1:24">
      <c r="A10729">
        <f>HYPERLINK("https://www.philgeps.gov.ph/GEPSNONPILOT/Tender/SplashBidNoticeAbstractUI.aspx?menuIndex=3&amp;refID=7067305&amp;Result=3","7067305")</f>
        <v>0</v>
      </c>
      <c r="B10729" t="s">
        <v>3008</v>
      </c>
      <c r="C10729" t="s">
        <v>13644</v>
      </c>
      <c r="D10729" t="s">
        <v>17472</v>
      </c>
      <c r="E10729" t="s">
        <v>26682</v>
      </c>
      <c r="F10729" t="s">
        <v>30055</v>
      </c>
      <c r="G10729" t="s">
        <v>30058</v>
      </c>
      <c r="H10729" t="s">
        <v>15498</v>
      </c>
      <c r="I10729" t="s">
        <v>3736</v>
      </c>
      <c r="J10729" t="s">
        <v>36756</v>
      </c>
      <c r="K10729" t="s">
        <v>39034</v>
      </c>
      <c r="M10729" t="s">
        <v>42583</v>
      </c>
      <c r="N10729" t="s">
        <v>43166</v>
      </c>
      <c r="O10729" t="s">
        <v>43167</v>
      </c>
      <c r="P10729">
        <v>0</v>
      </c>
      <c r="Q10729">
        <v>1</v>
      </c>
      <c r="R10729" t="s">
        <v>43179</v>
      </c>
      <c r="S10729" t="s">
        <v>43583</v>
      </c>
      <c r="T10729" t="s">
        <v>44685</v>
      </c>
      <c r="U10729" t="s">
        <v>53764</v>
      </c>
      <c r="W10729" t="s">
        <v>42583</v>
      </c>
      <c r="X10729" t="s">
        <v>43180</v>
      </c>
    </row>
    <row r="10730" spans="1:24">
      <c r="A10730">
        <f>HYPERLINK("https://www.philgeps.gov.ph/GEPSNONPILOT/Tender/SplashBidNoticeAbstractUI.aspx?menuIndex=3&amp;refID=7067288&amp;Result=3","7067288")</f>
        <v>0</v>
      </c>
      <c r="B10730" t="s">
        <v>1651</v>
      </c>
      <c r="C10730" t="s">
        <v>13645</v>
      </c>
      <c r="D10730" t="s">
        <v>17486</v>
      </c>
      <c r="E10730" t="s">
        <v>26424</v>
      </c>
      <c r="F10730" t="s">
        <v>30052</v>
      </c>
      <c r="G10730" t="s">
        <v>30058</v>
      </c>
      <c r="H10730" t="s">
        <v>15498</v>
      </c>
      <c r="I10730" t="s">
        <v>30098</v>
      </c>
      <c r="J10730" t="s">
        <v>36757</v>
      </c>
      <c r="K10730" t="s">
        <v>39023</v>
      </c>
      <c r="M10730" t="s">
        <v>41056</v>
      </c>
      <c r="N10730" t="s">
        <v>43166</v>
      </c>
      <c r="O10730" t="s">
        <v>43167</v>
      </c>
      <c r="P10730">
        <v>0</v>
      </c>
      <c r="Q10730">
        <v>5</v>
      </c>
      <c r="R10730" t="s">
        <v>43179</v>
      </c>
      <c r="S10730" t="s">
        <v>43583</v>
      </c>
      <c r="T10730" t="s">
        <v>44704</v>
      </c>
      <c r="U10730" t="s">
        <v>53765</v>
      </c>
      <c r="W10730" t="s">
        <v>41056</v>
      </c>
      <c r="X10730" t="s">
        <v>43180</v>
      </c>
    </row>
    <row r="10731" spans="1:24">
      <c r="A10731">
        <f>HYPERLINK("https://www.philgeps.gov.ph/GEPSNONPILOT/Tender/SplashBidNoticeAbstractUI.aspx?menuIndex=3&amp;refID=7067282&amp;Result=3","7067282")</f>
        <v>0</v>
      </c>
      <c r="B10731" t="s">
        <v>652</v>
      </c>
      <c r="C10731" t="s">
        <v>13646</v>
      </c>
      <c r="D10731" t="s">
        <v>17454</v>
      </c>
      <c r="E10731" t="s">
        <v>19643</v>
      </c>
      <c r="F10731" t="s">
        <v>30052</v>
      </c>
      <c r="G10731" t="s">
        <v>30058</v>
      </c>
      <c r="H10731" t="s">
        <v>30069</v>
      </c>
      <c r="I10731" t="s">
        <v>30154</v>
      </c>
      <c r="J10731" t="s">
        <v>36758</v>
      </c>
      <c r="K10731" t="s">
        <v>39031</v>
      </c>
      <c r="M10731" t="s">
        <v>39956</v>
      </c>
      <c r="N10731" t="s">
        <v>43166</v>
      </c>
      <c r="O10731" t="s">
        <v>43167</v>
      </c>
      <c r="P10731">
        <v>0</v>
      </c>
      <c r="Q10731">
        <v>0</v>
      </c>
      <c r="R10731" t="s">
        <v>43179</v>
      </c>
      <c r="S10731" t="s">
        <v>43583</v>
      </c>
      <c r="T10731" t="s">
        <v>44753</v>
      </c>
      <c r="U10731" t="s">
        <v>53766</v>
      </c>
      <c r="W10731" t="s">
        <v>39956</v>
      </c>
      <c r="X10731" t="s">
        <v>43180</v>
      </c>
    </row>
    <row r="10732" spans="1:24">
      <c r="A10732">
        <f>HYPERLINK("https://www.philgeps.gov.ph/GEPSNONPILOT/Tender/SplashBidNoticeAbstractUI.aspx?menuIndex=3&amp;refID=7067266&amp;Result=3","7067266")</f>
        <v>0</v>
      </c>
      <c r="B10732" t="s">
        <v>3007</v>
      </c>
      <c r="C10732" t="s">
        <v>13647</v>
      </c>
      <c r="D10732" t="s">
        <v>17415</v>
      </c>
      <c r="E10732" t="s">
        <v>26683</v>
      </c>
      <c r="F10732" t="s">
        <v>30052</v>
      </c>
      <c r="G10732" t="s">
        <v>30058</v>
      </c>
      <c r="H10732" t="s">
        <v>30069</v>
      </c>
      <c r="I10732" t="s">
        <v>30148</v>
      </c>
      <c r="J10732" t="s">
        <v>36049</v>
      </c>
      <c r="K10732" t="s">
        <v>39067</v>
      </c>
      <c r="M10732" t="s">
        <v>42582</v>
      </c>
      <c r="N10732" t="s">
        <v>43166</v>
      </c>
      <c r="O10732" t="s">
        <v>43167</v>
      </c>
      <c r="P10732">
        <v>0</v>
      </c>
      <c r="Q10732">
        <v>4</v>
      </c>
      <c r="R10732" t="s">
        <v>43179</v>
      </c>
      <c r="S10732" t="s">
        <v>43583</v>
      </c>
      <c r="T10732" t="s">
        <v>44833</v>
      </c>
      <c r="U10732" t="s">
        <v>53767</v>
      </c>
      <c r="W10732" t="s">
        <v>42582</v>
      </c>
      <c r="X10732" t="s">
        <v>43180</v>
      </c>
    </row>
    <row r="10733" spans="1:24">
      <c r="A10733">
        <f>HYPERLINK("https://www.philgeps.gov.ph/GEPSNONPILOT/Tender/SplashBidNoticeAbstractUI.aspx?menuIndex=3&amp;refID=7067078&amp;Result=3","7067078")</f>
        <v>0</v>
      </c>
      <c r="B10733" t="s">
        <v>1505</v>
      </c>
      <c r="C10733" t="s">
        <v>13648</v>
      </c>
      <c r="D10733" t="s">
        <v>17462</v>
      </c>
      <c r="E10733" t="s">
        <v>26684</v>
      </c>
      <c r="F10733" t="s">
        <v>30052</v>
      </c>
      <c r="G10733" t="s">
        <v>30058</v>
      </c>
      <c r="H10733" t="s">
        <v>30067</v>
      </c>
      <c r="I10733" t="s">
        <v>3693</v>
      </c>
      <c r="J10733" t="s">
        <v>31185</v>
      </c>
      <c r="K10733" t="s">
        <v>39065</v>
      </c>
      <c r="M10733" t="s">
        <v>40889</v>
      </c>
      <c r="N10733" t="s">
        <v>43166</v>
      </c>
      <c r="O10733" t="s">
        <v>43167</v>
      </c>
      <c r="P10733">
        <v>0</v>
      </c>
      <c r="Q10733">
        <v>7</v>
      </c>
      <c r="R10733" t="s">
        <v>43179</v>
      </c>
      <c r="S10733" t="s">
        <v>43583</v>
      </c>
      <c r="T10733" t="s">
        <v>44791</v>
      </c>
      <c r="U10733" t="s">
        <v>53693</v>
      </c>
      <c r="W10733" t="s">
        <v>58641</v>
      </c>
      <c r="X10733" t="s">
        <v>43180</v>
      </c>
    </row>
    <row r="10734" spans="1:24">
      <c r="A10734">
        <f>HYPERLINK("https://www.philgeps.gov.ph/GEPSNONPILOT/Tender/SplashBidNoticeAbstractUI.aspx?menuIndex=3&amp;refID=7067304&amp;Result=3","7067304")</f>
        <v>0</v>
      </c>
      <c r="B10734" t="s">
        <v>2346</v>
      </c>
      <c r="C10734" t="s">
        <v>10601</v>
      </c>
      <c r="D10734" t="s">
        <v>17466</v>
      </c>
      <c r="E10734" t="s">
        <v>26685</v>
      </c>
      <c r="F10734" t="s">
        <v>30052</v>
      </c>
      <c r="G10734" t="s">
        <v>30058</v>
      </c>
      <c r="H10734" t="s">
        <v>15498</v>
      </c>
      <c r="I10734" t="s">
        <v>4119</v>
      </c>
      <c r="J10734" t="s">
        <v>36759</v>
      </c>
      <c r="K10734" t="s">
        <v>39039</v>
      </c>
      <c r="M10734" t="s">
        <v>41837</v>
      </c>
      <c r="N10734" t="s">
        <v>43166</v>
      </c>
      <c r="O10734" t="s">
        <v>43167</v>
      </c>
      <c r="P10734">
        <v>0</v>
      </c>
      <c r="Q10734">
        <v>1</v>
      </c>
      <c r="R10734" t="s">
        <v>43179</v>
      </c>
      <c r="S10734" t="s">
        <v>43583</v>
      </c>
      <c r="T10734" t="s">
        <v>44816</v>
      </c>
      <c r="U10734" t="s">
        <v>53768</v>
      </c>
      <c r="W10734" t="s">
        <v>41837</v>
      </c>
      <c r="X10734" t="s">
        <v>43180</v>
      </c>
    </row>
    <row r="10735" spans="1:24">
      <c r="A10735">
        <f>HYPERLINK("https://www.philgeps.gov.ph/GEPSNONPILOT/Tender/SplashBidNoticeAbstractUI.aspx?menuIndex=3&amp;refID=7067268&amp;Result=3","7067268")</f>
        <v>0</v>
      </c>
      <c r="B10735" t="s">
        <v>3006</v>
      </c>
      <c r="C10735" t="s">
        <v>13649</v>
      </c>
      <c r="D10735" t="s">
        <v>17458</v>
      </c>
      <c r="E10735" t="s">
        <v>19561</v>
      </c>
      <c r="F10735" t="s">
        <v>30052</v>
      </c>
      <c r="G10735" t="s">
        <v>30058</v>
      </c>
      <c r="H10735" t="s">
        <v>15498</v>
      </c>
      <c r="I10735" t="s">
        <v>4650</v>
      </c>
      <c r="J10735" t="s">
        <v>32433</v>
      </c>
      <c r="K10735" t="s">
        <v>39029</v>
      </c>
      <c r="M10735" t="s">
        <v>42578</v>
      </c>
      <c r="N10735" t="s">
        <v>43166</v>
      </c>
      <c r="O10735" t="s">
        <v>43167</v>
      </c>
      <c r="P10735">
        <v>0</v>
      </c>
      <c r="Q10735">
        <v>1</v>
      </c>
      <c r="R10735" t="s">
        <v>43179</v>
      </c>
      <c r="S10735" t="s">
        <v>43583</v>
      </c>
      <c r="T10735" t="s">
        <v>44754</v>
      </c>
      <c r="U10735" t="s">
        <v>53769</v>
      </c>
      <c r="W10735" t="s">
        <v>42578</v>
      </c>
      <c r="X10735" t="s">
        <v>43180</v>
      </c>
    </row>
    <row r="10736" spans="1:24">
      <c r="A10736">
        <f>HYPERLINK("https://www.philgeps.gov.ph/GEPSNONPILOT/Tender/SplashBidNoticeAbstractUI.aspx?menuIndex=3&amp;refID=7066974&amp;Result=3","7066974")</f>
        <v>0</v>
      </c>
      <c r="B10736" t="s">
        <v>3000</v>
      </c>
      <c r="C10736" t="s">
        <v>13650</v>
      </c>
      <c r="D10736" t="s">
        <v>17415</v>
      </c>
      <c r="E10736" t="s">
        <v>26686</v>
      </c>
      <c r="F10736" t="s">
        <v>30052</v>
      </c>
      <c r="G10736" t="s">
        <v>30058</v>
      </c>
      <c r="H10736" t="s">
        <v>15498</v>
      </c>
      <c r="I10736" t="s">
        <v>30096</v>
      </c>
      <c r="J10736" t="s">
        <v>34538</v>
      </c>
      <c r="K10736" t="s">
        <v>39029</v>
      </c>
      <c r="M10736" t="s">
        <v>42570</v>
      </c>
      <c r="N10736" t="s">
        <v>43166</v>
      </c>
      <c r="O10736" t="s">
        <v>43167</v>
      </c>
      <c r="Q10736">
        <v>11</v>
      </c>
      <c r="R10736" t="s">
        <v>43179</v>
      </c>
      <c r="S10736" t="s">
        <v>43641</v>
      </c>
      <c r="T10736" t="s">
        <v>44934</v>
      </c>
      <c r="U10736" t="s">
        <v>53721</v>
      </c>
      <c r="V10736" t="s">
        <v>58032</v>
      </c>
      <c r="W10736" t="s">
        <v>42570</v>
      </c>
      <c r="X10736" t="s">
        <v>43180</v>
      </c>
    </row>
    <row r="10737" spans="1:24">
      <c r="A10737">
        <f>HYPERLINK("https://www.philgeps.gov.ph/GEPSNONPILOT/Tender/SplashBidNoticeAbstractUI.aspx?menuIndex=3&amp;refID=7067314&amp;Result=3","7067314")</f>
        <v>0</v>
      </c>
      <c r="B10737" t="s">
        <v>2346</v>
      </c>
      <c r="C10737" t="s">
        <v>10820</v>
      </c>
      <c r="D10737" t="s">
        <v>17466</v>
      </c>
      <c r="E10737" t="s">
        <v>26687</v>
      </c>
      <c r="F10737" t="s">
        <v>30052</v>
      </c>
      <c r="G10737" t="s">
        <v>30058</v>
      </c>
      <c r="H10737" t="s">
        <v>15498</v>
      </c>
      <c r="I10737" t="s">
        <v>30070</v>
      </c>
      <c r="J10737" t="s">
        <v>32318</v>
      </c>
      <c r="K10737" t="s">
        <v>39039</v>
      </c>
      <c r="M10737" t="s">
        <v>41837</v>
      </c>
      <c r="N10737" t="s">
        <v>43166</v>
      </c>
      <c r="O10737" t="s">
        <v>43167</v>
      </c>
      <c r="P10737">
        <v>0</v>
      </c>
      <c r="Q10737">
        <v>0</v>
      </c>
      <c r="R10737" t="s">
        <v>43179</v>
      </c>
      <c r="S10737" t="s">
        <v>43583</v>
      </c>
      <c r="T10737" t="s">
        <v>44816</v>
      </c>
      <c r="U10737" t="s">
        <v>53770</v>
      </c>
      <c r="W10737" t="s">
        <v>41837</v>
      </c>
      <c r="X10737" t="s">
        <v>43180</v>
      </c>
    </row>
    <row r="10738" spans="1:24">
      <c r="A10738">
        <f>HYPERLINK("https://www.philgeps.gov.ph/GEPSNONPILOT/Tender/SplashBidNoticeAbstractUI.aspx?menuIndex=3&amp;refID=7067262&amp;Result=3","7067262")</f>
        <v>0</v>
      </c>
      <c r="B10738" t="s">
        <v>652</v>
      </c>
      <c r="C10738" t="s">
        <v>13651</v>
      </c>
      <c r="D10738" t="s">
        <v>17454</v>
      </c>
      <c r="E10738" t="s">
        <v>19616</v>
      </c>
      <c r="F10738" t="s">
        <v>30052</v>
      </c>
      <c r="G10738" t="s">
        <v>30058</v>
      </c>
      <c r="H10738" t="s">
        <v>15498</v>
      </c>
      <c r="I10738" t="s">
        <v>30103</v>
      </c>
      <c r="J10738" t="s">
        <v>36760</v>
      </c>
      <c r="K10738" t="s">
        <v>39029</v>
      </c>
      <c r="M10738" t="s">
        <v>39956</v>
      </c>
      <c r="N10738" t="s">
        <v>43166</v>
      </c>
      <c r="O10738" t="s">
        <v>43167</v>
      </c>
      <c r="P10738">
        <v>0</v>
      </c>
      <c r="Q10738">
        <v>5</v>
      </c>
      <c r="R10738" t="s">
        <v>43179</v>
      </c>
      <c r="S10738" t="s">
        <v>43583</v>
      </c>
      <c r="T10738" t="s">
        <v>44753</v>
      </c>
      <c r="U10738" t="s">
        <v>53771</v>
      </c>
      <c r="W10738" t="s">
        <v>39956</v>
      </c>
      <c r="X10738" t="s">
        <v>43180</v>
      </c>
    </row>
    <row r="10739" spans="1:24">
      <c r="A10739">
        <f>HYPERLINK("https://www.philgeps.gov.ph/GEPSNONPILOT/Tender/SplashBidNoticeAbstractUI.aspx?menuIndex=3&amp;refID=7066886&amp;Result=3","7066886")</f>
        <v>0</v>
      </c>
      <c r="B10739" t="s">
        <v>2902</v>
      </c>
      <c r="C10739" t="s">
        <v>13652</v>
      </c>
      <c r="D10739" t="s">
        <v>17482</v>
      </c>
      <c r="E10739" t="s">
        <v>26688</v>
      </c>
      <c r="F10739" t="s">
        <v>30052</v>
      </c>
      <c r="G10739" t="s">
        <v>30058</v>
      </c>
      <c r="H10739" t="s">
        <v>15498</v>
      </c>
      <c r="I10739" t="s">
        <v>30073</v>
      </c>
      <c r="J10739" t="s">
        <v>36761</v>
      </c>
      <c r="K10739" t="s">
        <v>39029</v>
      </c>
      <c r="M10739" t="s">
        <v>42456</v>
      </c>
      <c r="N10739" t="s">
        <v>43166</v>
      </c>
      <c r="O10739" t="s">
        <v>43167</v>
      </c>
      <c r="P10739">
        <v>0</v>
      </c>
      <c r="Q10739">
        <v>1</v>
      </c>
      <c r="R10739" t="s">
        <v>43179</v>
      </c>
      <c r="S10739" t="s">
        <v>43583</v>
      </c>
      <c r="T10739" t="s">
        <v>44830</v>
      </c>
      <c r="U10739" t="s">
        <v>53701</v>
      </c>
      <c r="W10739" t="s">
        <v>42456</v>
      </c>
      <c r="X10739" t="s">
        <v>43180</v>
      </c>
    </row>
    <row r="10740" spans="1:24">
      <c r="A10740">
        <f>HYPERLINK("https://www.philgeps.gov.ph/GEPSNONPILOT/Tender/SplashBidNoticeAbstractUI.aspx?menuIndex=3&amp;refID=7066865&amp;Result=3","7066865")</f>
        <v>0</v>
      </c>
      <c r="B10740" t="s">
        <v>2996</v>
      </c>
      <c r="C10740" t="s">
        <v>13653</v>
      </c>
      <c r="D10740" t="s">
        <v>17432</v>
      </c>
      <c r="E10740" t="s">
        <v>26689</v>
      </c>
      <c r="F10740" t="s">
        <v>30052</v>
      </c>
      <c r="G10740" t="s">
        <v>30058</v>
      </c>
      <c r="H10740" t="s">
        <v>30067</v>
      </c>
      <c r="I10740" t="s">
        <v>3693</v>
      </c>
      <c r="J10740" t="s">
        <v>36762</v>
      </c>
      <c r="K10740" t="s">
        <v>39026</v>
      </c>
      <c r="M10740" t="s">
        <v>42566</v>
      </c>
      <c r="N10740" t="s">
        <v>43166</v>
      </c>
      <c r="O10740" t="s">
        <v>43167</v>
      </c>
      <c r="P10740">
        <v>0</v>
      </c>
      <c r="Q10740">
        <v>0</v>
      </c>
      <c r="R10740" t="s">
        <v>43179</v>
      </c>
      <c r="S10740" t="s">
        <v>43583</v>
      </c>
      <c r="T10740" t="s">
        <v>44690</v>
      </c>
      <c r="U10740" t="s">
        <v>53772</v>
      </c>
      <c r="W10740" t="s">
        <v>42566</v>
      </c>
      <c r="X10740" t="s">
        <v>43180</v>
      </c>
    </row>
    <row r="10741" spans="1:24">
      <c r="A10741">
        <f>HYPERLINK("https://www.philgeps.gov.ph/GEPSNONPILOT/Tender/SplashBidNoticeAbstractUI.aspx?menuIndex=3&amp;refID=7066860&amp;Result=3","7066860")</f>
        <v>0</v>
      </c>
      <c r="B10741" t="s">
        <v>2997</v>
      </c>
      <c r="C10741" t="s">
        <v>13654</v>
      </c>
      <c r="D10741" t="s">
        <v>17413</v>
      </c>
      <c r="E10741" t="s">
        <v>17979</v>
      </c>
      <c r="F10741" t="s">
        <v>30052</v>
      </c>
      <c r="G10741" t="s">
        <v>30058</v>
      </c>
      <c r="H10741" t="s">
        <v>30067</v>
      </c>
      <c r="I10741" t="s">
        <v>3693</v>
      </c>
      <c r="J10741" t="s">
        <v>36763</v>
      </c>
      <c r="K10741" t="s">
        <v>39080</v>
      </c>
      <c r="M10741" t="s">
        <v>42567</v>
      </c>
      <c r="N10741" t="s">
        <v>43166</v>
      </c>
      <c r="O10741" t="s">
        <v>43167</v>
      </c>
      <c r="Q10741">
        <v>1</v>
      </c>
      <c r="R10741" t="s">
        <v>43179</v>
      </c>
      <c r="S10741" t="s">
        <v>43642</v>
      </c>
      <c r="T10741" t="s">
        <v>44704</v>
      </c>
      <c r="U10741" t="s">
        <v>53773</v>
      </c>
      <c r="W10741" t="s">
        <v>42567</v>
      </c>
      <c r="X10741" t="s">
        <v>43180</v>
      </c>
    </row>
    <row r="10742" spans="1:24">
      <c r="A10742">
        <f>HYPERLINK("https://www.philgeps.gov.ph/GEPSNONPILOT/Tender/SplashBidNoticeAbstractUI.aspx?menuIndex=3&amp;refID=7066996&amp;Result=3","7066996")</f>
        <v>0</v>
      </c>
      <c r="B10742" t="s">
        <v>1600</v>
      </c>
      <c r="C10742" t="s">
        <v>13655</v>
      </c>
      <c r="D10742" t="s">
        <v>17441</v>
      </c>
      <c r="E10742" t="s">
        <v>26690</v>
      </c>
      <c r="F10742" t="s">
        <v>30052</v>
      </c>
      <c r="G10742" t="s">
        <v>30058</v>
      </c>
      <c r="H10742" t="s">
        <v>15498</v>
      </c>
      <c r="I10742" t="s">
        <v>6304</v>
      </c>
      <c r="J10742" t="s">
        <v>36764</v>
      </c>
      <c r="K10742" t="s">
        <v>39037</v>
      </c>
      <c r="M10742" t="s">
        <v>40998</v>
      </c>
      <c r="N10742" t="s">
        <v>43166</v>
      </c>
      <c r="O10742" t="s">
        <v>43167</v>
      </c>
      <c r="P10742">
        <v>0</v>
      </c>
      <c r="Q10742">
        <v>6</v>
      </c>
      <c r="R10742" t="s">
        <v>43179</v>
      </c>
      <c r="S10742" t="s">
        <v>43583</v>
      </c>
      <c r="T10742" t="s">
        <v>44791</v>
      </c>
      <c r="U10742" t="s">
        <v>53774</v>
      </c>
      <c r="W10742" t="s">
        <v>58700</v>
      </c>
      <c r="X10742" t="s">
        <v>43180</v>
      </c>
    </row>
    <row r="10743" spans="1:24">
      <c r="A10743">
        <f>HYPERLINK("https://www.philgeps.gov.ph/GEPSNONPILOT/Tender/SplashBidNoticeAbstractUI.aspx?menuIndex=3&amp;refID=7066854&amp;Result=3","7066854")</f>
        <v>0</v>
      </c>
      <c r="B10743" t="s">
        <v>3000</v>
      </c>
      <c r="C10743" t="s">
        <v>13656</v>
      </c>
      <c r="D10743" t="s">
        <v>17415</v>
      </c>
      <c r="E10743" t="s">
        <v>26691</v>
      </c>
      <c r="F10743" t="s">
        <v>30052</v>
      </c>
      <c r="G10743" t="s">
        <v>30058</v>
      </c>
      <c r="H10743" t="s">
        <v>15498</v>
      </c>
      <c r="I10743" t="s">
        <v>30115</v>
      </c>
      <c r="J10743" t="s">
        <v>36765</v>
      </c>
      <c r="K10743" t="s">
        <v>39023</v>
      </c>
      <c r="M10743" t="s">
        <v>42570</v>
      </c>
      <c r="N10743" t="s">
        <v>43166</v>
      </c>
      <c r="O10743" t="s">
        <v>43167</v>
      </c>
      <c r="Q10743">
        <v>26</v>
      </c>
      <c r="R10743" t="s">
        <v>43179</v>
      </c>
      <c r="S10743" t="s">
        <v>43643</v>
      </c>
      <c r="T10743" t="s">
        <v>44934</v>
      </c>
      <c r="U10743" t="s">
        <v>53721</v>
      </c>
      <c r="V10743" t="s">
        <v>58032</v>
      </c>
      <c r="W10743" t="s">
        <v>42570</v>
      </c>
      <c r="X10743" t="s">
        <v>43180</v>
      </c>
    </row>
    <row r="10744" spans="1:24">
      <c r="A10744">
        <f>HYPERLINK("https://www.philgeps.gov.ph/GEPSNONPILOT/Tender/SplashBidNoticeAbstractUI.aspx?menuIndex=3&amp;refID=7066852&amp;Result=3","7066852")</f>
        <v>0</v>
      </c>
      <c r="B10744" t="s">
        <v>3009</v>
      </c>
      <c r="C10744" t="s">
        <v>13657</v>
      </c>
      <c r="D10744" t="s">
        <v>17463</v>
      </c>
      <c r="E10744" t="s">
        <v>26692</v>
      </c>
      <c r="F10744" t="s">
        <v>30052</v>
      </c>
      <c r="G10744" t="s">
        <v>30058</v>
      </c>
      <c r="H10744" t="s">
        <v>30067</v>
      </c>
      <c r="I10744" t="s">
        <v>3693</v>
      </c>
      <c r="J10744" t="s">
        <v>31447</v>
      </c>
      <c r="K10744" t="s">
        <v>39025</v>
      </c>
      <c r="M10744" t="s">
        <v>42584</v>
      </c>
      <c r="N10744" t="s">
        <v>43166</v>
      </c>
      <c r="O10744" t="s">
        <v>43167</v>
      </c>
      <c r="P10744">
        <v>0</v>
      </c>
      <c r="Q10744">
        <v>15</v>
      </c>
      <c r="R10744" t="s">
        <v>43179</v>
      </c>
      <c r="S10744" t="s">
        <v>43583</v>
      </c>
      <c r="T10744" t="s">
        <v>44925</v>
      </c>
      <c r="U10744" t="s">
        <v>53775</v>
      </c>
      <c r="W10744" t="s">
        <v>42584</v>
      </c>
      <c r="X10744" t="s">
        <v>43180</v>
      </c>
    </row>
    <row r="10745" spans="1:24">
      <c r="A10745">
        <f>HYPERLINK("https://www.philgeps.gov.ph/GEPSNONPILOT/Tender/SplashBidNoticeAbstractUI.aspx?menuIndex=3&amp;refID=7066725&amp;Result=3","7066725")</f>
        <v>0</v>
      </c>
      <c r="B10745" t="s">
        <v>1933</v>
      </c>
      <c r="C10745" t="s">
        <v>13658</v>
      </c>
      <c r="D10745" t="s">
        <v>17447</v>
      </c>
      <c r="E10745" t="s">
        <v>26693</v>
      </c>
      <c r="F10745" t="s">
        <v>30052</v>
      </c>
      <c r="G10745" t="s">
        <v>30058</v>
      </c>
      <c r="H10745" t="s">
        <v>30067</v>
      </c>
      <c r="I10745" t="s">
        <v>3693</v>
      </c>
      <c r="J10745" t="s">
        <v>31207</v>
      </c>
      <c r="K10745" t="s">
        <v>39031</v>
      </c>
      <c r="M10745" t="s">
        <v>41367</v>
      </c>
      <c r="N10745" t="s">
        <v>43166</v>
      </c>
      <c r="O10745" t="s">
        <v>43167</v>
      </c>
      <c r="P10745">
        <v>0</v>
      </c>
      <c r="Q10745">
        <v>0</v>
      </c>
      <c r="R10745" t="s">
        <v>43179</v>
      </c>
      <c r="S10745" t="s">
        <v>43583</v>
      </c>
      <c r="T10745" t="s">
        <v>45009</v>
      </c>
      <c r="U10745" t="s">
        <v>53776</v>
      </c>
      <c r="W10745" t="s">
        <v>41367</v>
      </c>
      <c r="X10745" t="s">
        <v>43180</v>
      </c>
    </row>
    <row r="10746" spans="1:24">
      <c r="A10746">
        <f>HYPERLINK("https://www.philgeps.gov.ph/GEPSNONPILOT/Tender/SplashBidNoticeAbstractUI.aspx?menuIndex=3&amp;refID=7066721&amp;Result=3","7066721")</f>
        <v>0</v>
      </c>
      <c r="B10746" t="s">
        <v>1317</v>
      </c>
      <c r="C10746" t="s">
        <v>13659</v>
      </c>
      <c r="D10746" t="s">
        <v>17466</v>
      </c>
      <c r="E10746" t="s">
        <v>26694</v>
      </c>
      <c r="F10746" t="s">
        <v>30052</v>
      </c>
      <c r="G10746" t="s">
        <v>30058</v>
      </c>
      <c r="H10746" t="s">
        <v>15498</v>
      </c>
      <c r="I10746" t="s">
        <v>3736</v>
      </c>
      <c r="J10746" t="s">
        <v>36766</v>
      </c>
      <c r="K10746" t="s">
        <v>39039</v>
      </c>
      <c r="M10746" t="s">
        <v>40684</v>
      </c>
      <c r="N10746" t="s">
        <v>43166</v>
      </c>
      <c r="O10746" t="s">
        <v>43167</v>
      </c>
      <c r="P10746">
        <v>0</v>
      </c>
      <c r="Q10746">
        <v>0</v>
      </c>
      <c r="R10746" t="s">
        <v>43179</v>
      </c>
      <c r="S10746" t="s">
        <v>43583</v>
      </c>
      <c r="T10746" t="s">
        <v>44811</v>
      </c>
      <c r="U10746" t="s">
        <v>53777</v>
      </c>
      <c r="W10746" t="s">
        <v>40684</v>
      </c>
      <c r="X10746" t="s">
        <v>43180</v>
      </c>
    </row>
    <row r="10747" spans="1:24">
      <c r="A10747">
        <f>HYPERLINK("https://www.philgeps.gov.ph/GEPSNONPILOT/Tender/SplashBidNoticeAbstractUI.aspx?menuIndex=3&amp;refID=7067271&amp;Result=3","7067271")</f>
        <v>0</v>
      </c>
      <c r="B10747" t="s">
        <v>3010</v>
      </c>
      <c r="C10747" t="s">
        <v>13660</v>
      </c>
      <c r="D10747" t="s">
        <v>17484</v>
      </c>
      <c r="E10747" t="s">
        <v>26695</v>
      </c>
      <c r="F10747" t="s">
        <v>30052</v>
      </c>
      <c r="G10747" t="s">
        <v>30058</v>
      </c>
      <c r="H10747" t="s">
        <v>15498</v>
      </c>
      <c r="I10747" t="s">
        <v>30083</v>
      </c>
      <c r="J10747" t="s">
        <v>33722</v>
      </c>
      <c r="K10747" t="s">
        <v>39034</v>
      </c>
      <c r="M10747" t="s">
        <v>42585</v>
      </c>
      <c r="N10747" t="s">
        <v>43166</v>
      </c>
      <c r="O10747" t="s">
        <v>43167</v>
      </c>
      <c r="P10747">
        <v>0</v>
      </c>
      <c r="Q10747">
        <v>0</v>
      </c>
      <c r="R10747" t="s">
        <v>43179</v>
      </c>
      <c r="S10747" t="s">
        <v>43583</v>
      </c>
      <c r="T10747" t="s">
        <v>44753</v>
      </c>
      <c r="U10747" t="s">
        <v>53778</v>
      </c>
      <c r="W10747" t="s">
        <v>42585</v>
      </c>
      <c r="X10747" t="s">
        <v>43180</v>
      </c>
    </row>
    <row r="10748" spans="1:24">
      <c r="A10748">
        <f>HYPERLINK("https://www.philgeps.gov.ph/GEPSNONPILOT/Tender/SplashBidNoticeAbstractUI.aspx?menuIndex=3&amp;refID=7066710&amp;Result=3","7066710")</f>
        <v>0</v>
      </c>
      <c r="B10748" t="s">
        <v>361</v>
      </c>
      <c r="C10748" t="s">
        <v>13661</v>
      </c>
      <c r="D10748" t="s">
        <v>17455</v>
      </c>
      <c r="E10748" t="s">
        <v>26696</v>
      </c>
      <c r="F10748" t="s">
        <v>30052</v>
      </c>
      <c r="G10748" t="s">
        <v>30058</v>
      </c>
      <c r="H10748" t="s">
        <v>30067</v>
      </c>
      <c r="I10748" t="s">
        <v>3693</v>
      </c>
      <c r="J10748" t="s">
        <v>30281</v>
      </c>
      <c r="K10748" t="s">
        <v>39031</v>
      </c>
      <c r="M10748" t="s">
        <v>39658</v>
      </c>
      <c r="N10748" t="s">
        <v>43166</v>
      </c>
      <c r="O10748" t="s">
        <v>43167</v>
      </c>
      <c r="P10748">
        <v>0</v>
      </c>
      <c r="Q10748">
        <v>9</v>
      </c>
      <c r="R10748" t="s">
        <v>43179</v>
      </c>
      <c r="S10748" t="s">
        <v>43583</v>
      </c>
      <c r="T10748" t="s">
        <v>44762</v>
      </c>
      <c r="U10748" t="s">
        <v>45874</v>
      </c>
      <c r="W10748" t="s">
        <v>39658</v>
      </c>
      <c r="X10748" t="s">
        <v>43180</v>
      </c>
    </row>
    <row r="10749" spans="1:24">
      <c r="A10749">
        <f>HYPERLINK("https://www.philgeps.gov.ph/GEPSNONPILOT/Tender/SplashBidNoticeAbstractUI.aspx?menuIndex=3&amp;refID=7066599&amp;Result=3","7066599")</f>
        <v>0</v>
      </c>
      <c r="B10749" t="s">
        <v>1505</v>
      </c>
      <c r="C10749" t="s">
        <v>13662</v>
      </c>
      <c r="D10749" t="s">
        <v>17462</v>
      </c>
      <c r="E10749" t="s">
        <v>26697</v>
      </c>
      <c r="F10749" t="s">
        <v>30052</v>
      </c>
      <c r="G10749" t="s">
        <v>30058</v>
      </c>
      <c r="H10749" t="s">
        <v>30067</v>
      </c>
      <c r="I10749" t="s">
        <v>3693</v>
      </c>
      <c r="J10749" t="s">
        <v>31772</v>
      </c>
      <c r="K10749" t="s">
        <v>39023</v>
      </c>
      <c r="M10749" t="s">
        <v>40889</v>
      </c>
      <c r="N10749" t="s">
        <v>43166</v>
      </c>
      <c r="O10749" t="s">
        <v>43167</v>
      </c>
      <c r="P10749">
        <v>0</v>
      </c>
      <c r="Q10749">
        <v>6</v>
      </c>
      <c r="R10749" t="s">
        <v>43179</v>
      </c>
      <c r="S10749" t="s">
        <v>43583</v>
      </c>
      <c r="T10749" t="s">
        <v>44791</v>
      </c>
      <c r="U10749" t="s">
        <v>53693</v>
      </c>
      <c r="W10749" t="s">
        <v>58641</v>
      </c>
      <c r="X10749" t="s">
        <v>43180</v>
      </c>
    </row>
    <row r="10750" spans="1:24">
      <c r="A10750">
        <f>HYPERLINK("https://www.philgeps.gov.ph/GEPSNONPILOT/Tender/SplashBidNoticeAbstractUI.aspx?menuIndex=3&amp;refID=7066614&amp;Result=3","7066614")</f>
        <v>0</v>
      </c>
      <c r="B10750" t="s">
        <v>1505</v>
      </c>
      <c r="C10750" t="s">
        <v>13663</v>
      </c>
      <c r="D10750" t="s">
        <v>17462</v>
      </c>
      <c r="E10750" t="s">
        <v>26698</v>
      </c>
      <c r="F10750" t="s">
        <v>30052</v>
      </c>
      <c r="G10750" t="s">
        <v>30058</v>
      </c>
      <c r="H10750" t="s">
        <v>30067</v>
      </c>
      <c r="I10750" t="s">
        <v>3693</v>
      </c>
      <c r="J10750" t="s">
        <v>31772</v>
      </c>
      <c r="K10750" t="s">
        <v>39046</v>
      </c>
      <c r="M10750" t="s">
        <v>40889</v>
      </c>
      <c r="N10750" t="s">
        <v>43166</v>
      </c>
      <c r="O10750" t="s">
        <v>43167</v>
      </c>
      <c r="P10750">
        <v>0</v>
      </c>
      <c r="Q10750">
        <v>6</v>
      </c>
      <c r="R10750" t="s">
        <v>43179</v>
      </c>
      <c r="S10750" t="s">
        <v>43583</v>
      </c>
      <c r="T10750" t="s">
        <v>44791</v>
      </c>
      <c r="U10750" t="s">
        <v>53693</v>
      </c>
      <c r="W10750" t="s">
        <v>58641</v>
      </c>
      <c r="X10750" t="s">
        <v>43180</v>
      </c>
    </row>
    <row r="10751" spans="1:24">
      <c r="A10751">
        <f>HYPERLINK("https://www.philgeps.gov.ph/GEPSNONPILOT/Tender/SplashBidNoticeAbstractUI.aspx?menuIndex=3&amp;refID=7066545&amp;Result=3","7066545")</f>
        <v>0</v>
      </c>
      <c r="B10751" t="s">
        <v>415</v>
      </c>
      <c r="C10751" t="s">
        <v>13664</v>
      </c>
      <c r="D10751" t="s">
        <v>17472</v>
      </c>
      <c r="E10751" t="s">
        <v>26699</v>
      </c>
      <c r="F10751" t="s">
        <v>30052</v>
      </c>
      <c r="G10751" t="s">
        <v>30058</v>
      </c>
      <c r="H10751" t="s">
        <v>30067</v>
      </c>
      <c r="I10751" t="s">
        <v>3693</v>
      </c>
      <c r="J10751" t="s">
        <v>36767</v>
      </c>
      <c r="K10751" t="s">
        <v>39046</v>
      </c>
      <c r="M10751" t="s">
        <v>40024</v>
      </c>
      <c r="N10751" t="s">
        <v>43166</v>
      </c>
      <c r="O10751" t="s">
        <v>43167</v>
      </c>
      <c r="P10751">
        <v>0</v>
      </c>
      <c r="Q10751">
        <v>0</v>
      </c>
      <c r="R10751" t="s">
        <v>43179</v>
      </c>
      <c r="S10751" t="s">
        <v>43583</v>
      </c>
      <c r="T10751" t="s">
        <v>44830</v>
      </c>
      <c r="U10751" t="s">
        <v>53672</v>
      </c>
      <c r="V10751" t="s">
        <v>57084</v>
      </c>
      <c r="W10751" t="s">
        <v>58610</v>
      </c>
      <c r="X10751" t="s">
        <v>43180</v>
      </c>
    </row>
    <row r="10752" spans="1:24">
      <c r="A10752">
        <f>HYPERLINK("https://www.philgeps.gov.ph/GEPSNONPILOT/Tender/SplashBidNoticeAbstractUI.aspx?menuIndex=3&amp;refID=7066861&amp;Result=3","7066861")</f>
        <v>0</v>
      </c>
      <c r="B10752" t="s">
        <v>2998</v>
      </c>
      <c r="C10752" t="s">
        <v>13665</v>
      </c>
      <c r="D10752" t="s">
        <v>17436</v>
      </c>
      <c r="E10752" t="s">
        <v>26700</v>
      </c>
      <c r="F10752" t="s">
        <v>30052</v>
      </c>
      <c r="G10752" t="s">
        <v>30058</v>
      </c>
      <c r="H10752" t="s">
        <v>30067</v>
      </c>
      <c r="I10752" t="s">
        <v>3693</v>
      </c>
      <c r="J10752" t="s">
        <v>31062</v>
      </c>
      <c r="K10752" t="s">
        <v>39025</v>
      </c>
      <c r="M10752" t="s">
        <v>42568</v>
      </c>
      <c r="N10752" t="s">
        <v>43166</v>
      </c>
      <c r="O10752" t="s">
        <v>43167</v>
      </c>
      <c r="P10752">
        <v>0</v>
      </c>
      <c r="Q10752">
        <v>0</v>
      </c>
      <c r="R10752" t="s">
        <v>43179</v>
      </c>
      <c r="S10752" t="s">
        <v>43583</v>
      </c>
      <c r="T10752" t="s">
        <v>44681</v>
      </c>
      <c r="U10752" t="s">
        <v>53779</v>
      </c>
      <c r="W10752" t="s">
        <v>42568</v>
      </c>
      <c r="X10752" t="s">
        <v>43180</v>
      </c>
    </row>
    <row r="10753" spans="1:24">
      <c r="A10753">
        <f>HYPERLINK("https://www.philgeps.gov.ph/GEPSNONPILOT/Tender/SplashBidNoticeAbstractUI.aspx?menuIndex=3&amp;refID=7066541&amp;Result=3","7066541")</f>
        <v>0</v>
      </c>
      <c r="B10753" t="s">
        <v>1011</v>
      </c>
      <c r="C10753" t="s">
        <v>13666</v>
      </c>
      <c r="D10753" t="s">
        <v>17476</v>
      </c>
      <c r="E10753" t="s">
        <v>26701</v>
      </c>
      <c r="F10753" t="s">
        <v>30052</v>
      </c>
      <c r="G10753" t="s">
        <v>30058</v>
      </c>
      <c r="H10753" t="s">
        <v>30067</v>
      </c>
      <c r="I10753" t="s">
        <v>3693</v>
      </c>
      <c r="J10753" t="s">
        <v>31851</v>
      </c>
      <c r="K10753" t="s">
        <v>39160</v>
      </c>
      <c r="M10753" t="s">
        <v>40340</v>
      </c>
      <c r="N10753" t="s">
        <v>43166</v>
      </c>
      <c r="O10753" t="s">
        <v>43167</v>
      </c>
      <c r="P10753">
        <v>0</v>
      </c>
      <c r="Q10753">
        <v>0</v>
      </c>
      <c r="R10753" t="s">
        <v>43179</v>
      </c>
      <c r="S10753" t="s">
        <v>43583</v>
      </c>
      <c r="T10753" t="s">
        <v>44750</v>
      </c>
      <c r="U10753" t="s">
        <v>53780</v>
      </c>
      <c r="W10753" t="s">
        <v>40340</v>
      </c>
      <c r="X10753" t="s">
        <v>43180</v>
      </c>
    </row>
    <row r="10754" spans="1:24">
      <c r="A10754">
        <f>HYPERLINK("https://www.philgeps.gov.ph/GEPSNONPILOT/Tender/SplashBidNoticeAbstractUI.aspx?menuIndex=3&amp;refID=7066534&amp;Result=3","7066534")</f>
        <v>0</v>
      </c>
      <c r="B10754" t="s">
        <v>2013</v>
      </c>
      <c r="C10754" t="s">
        <v>13667</v>
      </c>
      <c r="D10754" t="s">
        <v>17425</v>
      </c>
      <c r="E10754" t="s">
        <v>26702</v>
      </c>
      <c r="F10754" t="s">
        <v>30052</v>
      </c>
      <c r="G10754" t="s">
        <v>30058</v>
      </c>
      <c r="H10754" t="s">
        <v>30067</v>
      </c>
      <c r="I10754" t="s">
        <v>3693</v>
      </c>
      <c r="J10754" t="s">
        <v>36768</v>
      </c>
      <c r="K10754" t="s">
        <v>39031</v>
      </c>
      <c r="M10754" t="s">
        <v>41457</v>
      </c>
      <c r="N10754" t="s">
        <v>43166</v>
      </c>
      <c r="O10754" t="s">
        <v>43167</v>
      </c>
      <c r="P10754">
        <v>0</v>
      </c>
      <c r="Q10754">
        <v>1</v>
      </c>
      <c r="R10754" t="s">
        <v>43179</v>
      </c>
      <c r="S10754" t="s">
        <v>43583</v>
      </c>
      <c r="T10754" t="s">
        <v>44699</v>
      </c>
      <c r="U10754" t="s">
        <v>50178</v>
      </c>
      <c r="V10754" t="s">
        <v>58039</v>
      </c>
      <c r="W10754" t="s">
        <v>41457</v>
      </c>
      <c r="X10754" t="s">
        <v>43180</v>
      </c>
    </row>
    <row r="10755" spans="1:24">
      <c r="A10755">
        <f>HYPERLINK("https://www.philgeps.gov.ph/GEPSNONPILOT/Tender/SplashBidNoticeAbstractUI.aspx?menuIndex=3&amp;refID=7066967&amp;Result=3","7066967")</f>
        <v>0</v>
      </c>
      <c r="B10755" t="s">
        <v>3002</v>
      </c>
      <c r="C10755" t="s">
        <v>13668</v>
      </c>
      <c r="D10755" t="s">
        <v>17455</v>
      </c>
      <c r="E10755" t="s">
        <v>26703</v>
      </c>
      <c r="F10755" t="s">
        <v>30052</v>
      </c>
      <c r="G10755" t="s">
        <v>30058</v>
      </c>
      <c r="H10755" t="s">
        <v>15498</v>
      </c>
      <c r="I10755" t="s">
        <v>30073</v>
      </c>
      <c r="J10755" t="s">
        <v>36769</v>
      </c>
      <c r="K10755" t="s">
        <v>39017</v>
      </c>
      <c r="M10755" t="s">
        <v>42572</v>
      </c>
      <c r="N10755" t="s">
        <v>43166</v>
      </c>
      <c r="O10755" t="s">
        <v>43167</v>
      </c>
      <c r="Q10755">
        <v>3</v>
      </c>
      <c r="R10755" t="s">
        <v>43179</v>
      </c>
      <c r="S10755" t="s">
        <v>43644</v>
      </c>
      <c r="T10755" t="s">
        <v>44847</v>
      </c>
      <c r="U10755" t="s">
        <v>53781</v>
      </c>
      <c r="V10755" t="s">
        <v>58033</v>
      </c>
      <c r="W10755" t="s">
        <v>42572</v>
      </c>
      <c r="X10755" t="s">
        <v>43180</v>
      </c>
    </row>
    <row r="10756" spans="1:24">
      <c r="A10756">
        <f>HYPERLINK("https://www.philgeps.gov.ph/GEPSNONPILOT/Tender/SplashBidNoticeAbstractUI.aspx?menuIndex=3&amp;refID=7066532&amp;Result=3","7066532")</f>
        <v>0</v>
      </c>
      <c r="B10756" t="s">
        <v>3011</v>
      </c>
      <c r="C10756" t="s">
        <v>13669</v>
      </c>
      <c r="D10756" t="s">
        <v>17426</v>
      </c>
      <c r="E10756" t="s">
        <v>18384</v>
      </c>
      <c r="F10756" t="s">
        <v>30052</v>
      </c>
      <c r="G10756" t="s">
        <v>30058</v>
      </c>
      <c r="H10756" t="s">
        <v>15498</v>
      </c>
      <c r="I10756" t="s">
        <v>30092</v>
      </c>
      <c r="J10756" t="s">
        <v>36770</v>
      </c>
      <c r="K10756" t="s">
        <v>39029</v>
      </c>
      <c r="M10756" t="s">
        <v>42586</v>
      </c>
      <c r="N10756" t="s">
        <v>43166</v>
      </c>
      <c r="O10756" t="s">
        <v>43167</v>
      </c>
      <c r="P10756">
        <v>0</v>
      </c>
      <c r="Q10756">
        <v>3</v>
      </c>
      <c r="R10756" t="s">
        <v>43179</v>
      </c>
      <c r="S10756" t="s">
        <v>43583</v>
      </c>
      <c r="T10756" t="s">
        <v>44820</v>
      </c>
      <c r="U10756" t="s">
        <v>53782</v>
      </c>
      <c r="W10756" t="s">
        <v>42586</v>
      </c>
      <c r="X10756" t="s">
        <v>43180</v>
      </c>
    </row>
    <row r="10757" spans="1:24">
      <c r="A10757">
        <f>HYPERLINK("https://www.philgeps.gov.ph/GEPSNONPILOT/Tender/SplashBidNoticeAbstractUI.aspx?menuIndex=3&amp;refID=7066542&amp;Result=3","7066542")</f>
        <v>0</v>
      </c>
      <c r="B10757" t="s">
        <v>2689</v>
      </c>
      <c r="C10757" t="s">
        <v>13670</v>
      </c>
      <c r="D10757" t="s">
        <v>17422</v>
      </c>
      <c r="E10757" t="s">
        <v>26704</v>
      </c>
      <c r="F10757" t="s">
        <v>30052</v>
      </c>
      <c r="G10757" t="s">
        <v>30058</v>
      </c>
      <c r="H10757" t="s">
        <v>15498</v>
      </c>
      <c r="I10757" t="s">
        <v>3606</v>
      </c>
      <c r="J10757" t="s">
        <v>36771</v>
      </c>
      <c r="K10757" t="s">
        <v>39046</v>
      </c>
      <c r="M10757" t="s">
        <v>42548</v>
      </c>
      <c r="N10757" t="s">
        <v>43166</v>
      </c>
      <c r="O10757" t="s">
        <v>43167</v>
      </c>
      <c r="P10757">
        <v>0</v>
      </c>
      <c r="Q10757">
        <v>8</v>
      </c>
      <c r="R10757" t="s">
        <v>43179</v>
      </c>
      <c r="S10757" t="s">
        <v>43583</v>
      </c>
      <c r="T10757" t="s">
        <v>44762</v>
      </c>
      <c r="U10757" t="s">
        <v>53783</v>
      </c>
      <c r="V10757" t="s">
        <v>58031</v>
      </c>
      <c r="W10757" t="s">
        <v>42548</v>
      </c>
      <c r="X10757" t="s">
        <v>43180</v>
      </c>
    </row>
    <row r="10758" spans="1:24">
      <c r="A10758">
        <f>HYPERLINK("https://www.philgeps.gov.ph/GEPSNONPILOT/Tender/SplashBidNoticeAbstractUI.aspx?menuIndex=3&amp;refID=7067113&amp;Result=3","7067113")</f>
        <v>0</v>
      </c>
      <c r="B10758" t="s">
        <v>2978</v>
      </c>
      <c r="C10758" t="s">
        <v>13671</v>
      </c>
      <c r="D10758" t="s">
        <v>17420</v>
      </c>
      <c r="E10758" t="s">
        <v>26705</v>
      </c>
      <c r="F10758" t="s">
        <v>30052</v>
      </c>
      <c r="G10758" t="s">
        <v>30058</v>
      </c>
      <c r="H10758" t="s">
        <v>30067</v>
      </c>
      <c r="I10758" t="s">
        <v>3693</v>
      </c>
      <c r="J10758" t="s">
        <v>36772</v>
      </c>
      <c r="K10758" t="s">
        <v>39157</v>
      </c>
      <c r="M10758" t="s">
        <v>42547</v>
      </c>
      <c r="N10758" t="s">
        <v>43166</v>
      </c>
      <c r="O10758" t="s">
        <v>43167</v>
      </c>
      <c r="P10758">
        <v>0</v>
      </c>
      <c r="Q10758">
        <v>1</v>
      </c>
      <c r="R10758" t="s">
        <v>43179</v>
      </c>
      <c r="S10758" t="s">
        <v>43583</v>
      </c>
      <c r="T10758" t="s">
        <v>44699</v>
      </c>
      <c r="U10758" t="s">
        <v>53654</v>
      </c>
      <c r="W10758" t="s">
        <v>42547</v>
      </c>
      <c r="X10758" t="s">
        <v>43180</v>
      </c>
    </row>
    <row r="10759" spans="1:24">
      <c r="A10759">
        <f>HYPERLINK("https://www.philgeps.gov.ph/GEPSNONPILOT/Tender/SplashBidNoticeAbstractUI.aspx?menuIndex=3&amp;refID=7067341&amp;Result=3","7067341")</f>
        <v>0</v>
      </c>
      <c r="B10759" t="s">
        <v>3012</v>
      </c>
      <c r="C10759" t="s">
        <v>13672</v>
      </c>
      <c r="D10759" t="s">
        <v>17415</v>
      </c>
      <c r="E10759" t="s">
        <v>13672</v>
      </c>
      <c r="F10759" t="s">
        <v>30052</v>
      </c>
      <c r="G10759" t="s">
        <v>30058</v>
      </c>
      <c r="H10759" t="s">
        <v>15498</v>
      </c>
      <c r="I10759" t="s">
        <v>7228</v>
      </c>
      <c r="J10759" t="s">
        <v>36773</v>
      </c>
      <c r="K10759" t="s">
        <v>39029</v>
      </c>
      <c r="M10759" t="s">
        <v>42587</v>
      </c>
      <c r="N10759" t="s">
        <v>43166</v>
      </c>
      <c r="O10759" t="s">
        <v>43167</v>
      </c>
      <c r="P10759">
        <v>0</v>
      </c>
      <c r="Q10759">
        <v>0</v>
      </c>
      <c r="R10759" t="s">
        <v>43179</v>
      </c>
      <c r="S10759" t="s">
        <v>43583</v>
      </c>
      <c r="T10759" t="s">
        <v>44753</v>
      </c>
      <c r="U10759" t="s">
        <v>53784</v>
      </c>
      <c r="W10759" t="s">
        <v>42587</v>
      </c>
      <c r="X10759" t="s">
        <v>43180</v>
      </c>
    </row>
    <row r="10760" spans="1:24">
      <c r="A10760">
        <f>HYPERLINK("https://www.philgeps.gov.ph/GEPSNONPILOT/Tender/SplashBidNoticeAbstractUI.aspx?menuIndex=3&amp;refID=7066531&amp;Result=3","7066531")</f>
        <v>0</v>
      </c>
      <c r="B10760" t="s">
        <v>602</v>
      </c>
      <c r="C10760" t="s">
        <v>13673</v>
      </c>
      <c r="D10760" t="s">
        <v>17448</v>
      </c>
      <c r="E10760" t="s">
        <v>26706</v>
      </c>
      <c r="F10760" t="s">
        <v>30052</v>
      </c>
      <c r="G10760" t="s">
        <v>30058</v>
      </c>
      <c r="H10760" t="s">
        <v>30067</v>
      </c>
      <c r="I10760" t="s">
        <v>3693</v>
      </c>
      <c r="J10760" t="s">
        <v>30645</v>
      </c>
      <c r="K10760" t="s">
        <v>39031</v>
      </c>
      <c r="L10760" t="s">
        <v>602</v>
      </c>
      <c r="M10760" t="s">
        <v>42544</v>
      </c>
      <c r="N10760" t="s">
        <v>43166</v>
      </c>
      <c r="O10760" t="s">
        <v>43167</v>
      </c>
      <c r="Q10760">
        <v>0</v>
      </c>
      <c r="R10760" t="s">
        <v>43179</v>
      </c>
      <c r="S10760" t="s">
        <v>43645</v>
      </c>
      <c r="T10760" t="s">
        <v>45129</v>
      </c>
      <c r="U10760" t="s">
        <v>53649</v>
      </c>
      <c r="W10760" t="s">
        <v>42544</v>
      </c>
      <c r="X10760" t="s">
        <v>43180</v>
      </c>
    </row>
    <row r="10761" spans="1:24">
      <c r="A10761">
        <f>HYPERLINK("https://www.philgeps.gov.ph/GEPSNONPILOT/Tender/SplashBidNoticeAbstractUI.aspx?menuIndex=3&amp;refID=7066717&amp;Result=3","7066717")</f>
        <v>0</v>
      </c>
      <c r="B10761" t="s">
        <v>2996</v>
      </c>
      <c r="C10761" t="s">
        <v>13674</v>
      </c>
      <c r="D10761" t="s">
        <v>17432</v>
      </c>
      <c r="E10761" t="s">
        <v>26707</v>
      </c>
      <c r="F10761" t="s">
        <v>30052</v>
      </c>
      <c r="G10761" t="s">
        <v>30058</v>
      </c>
      <c r="H10761" t="s">
        <v>30067</v>
      </c>
      <c r="I10761" t="s">
        <v>3693</v>
      </c>
      <c r="J10761" t="s">
        <v>36774</v>
      </c>
      <c r="K10761" t="s">
        <v>39026</v>
      </c>
      <c r="M10761" t="s">
        <v>42566</v>
      </c>
      <c r="N10761" t="s">
        <v>43166</v>
      </c>
      <c r="O10761" t="s">
        <v>43167</v>
      </c>
      <c r="P10761">
        <v>0</v>
      </c>
      <c r="Q10761">
        <v>2</v>
      </c>
      <c r="R10761" t="s">
        <v>43179</v>
      </c>
      <c r="S10761" t="s">
        <v>43583</v>
      </c>
      <c r="T10761" t="s">
        <v>44690</v>
      </c>
      <c r="U10761" t="s">
        <v>53785</v>
      </c>
      <c r="W10761" t="s">
        <v>42566</v>
      </c>
      <c r="X10761" t="s">
        <v>43180</v>
      </c>
    </row>
    <row r="10762" spans="1:24">
      <c r="A10762">
        <f>HYPERLINK("https://www.philgeps.gov.ph/GEPSNONPILOT/Tender/SplashBidNoticeAbstractUI.aspx?menuIndex=3&amp;refID=7066530&amp;Result=3","7066530")</f>
        <v>0</v>
      </c>
      <c r="B10762" t="s">
        <v>2842</v>
      </c>
      <c r="C10762" t="s">
        <v>13675</v>
      </c>
      <c r="D10762" t="s">
        <v>17421</v>
      </c>
      <c r="E10762" t="s">
        <v>26708</v>
      </c>
      <c r="F10762" t="s">
        <v>30052</v>
      </c>
      <c r="G10762" t="s">
        <v>30058</v>
      </c>
      <c r="H10762" t="s">
        <v>15498</v>
      </c>
      <c r="I10762" t="s">
        <v>9238</v>
      </c>
      <c r="J10762" t="s">
        <v>36775</v>
      </c>
      <c r="K10762" t="s">
        <v>39038</v>
      </c>
      <c r="M10762" t="s">
        <v>42388</v>
      </c>
      <c r="N10762" t="s">
        <v>43166</v>
      </c>
      <c r="O10762" t="s">
        <v>43167</v>
      </c>
      <c r="P10762">
        <v>0</v>
      </c>
      <c r="Q10762">
        <v>3</v>
      </c>
      <c r="R10762" t="s">
        <v>43179</v>
      </c>
      <c r="S10762" t="s">
        <v>43583</v>
      </c>
      <c r="T10762" t="s">
        <v>44945</v>
      </c>
      <c r="U10762" t="s">
        <v>53786</v>
      </c>
      <c r="V10762" t="s">
        <v>58040</v>
      </c>
      <c r="W10762" t="s">
        <v>42388</v>
      </c>
      <c r="X10762" t="s">
        <v>43180</v>
      </c>
    </row>
    <row r="10763" spans="1:24">
      <c r="A10763">
        <f>HYPERLINK("https://www.philgeps.gov.ph/GEPSNONPILOT/Tender/SplashBidNoticeAbstractUI.aspx?menuIndex=3&amp;refID=7067355&amp;Result=3","7067355")</f>
        <v>0</v>
      </c>
      <c r="B10763" t="s">
        <v>3012</v>
      </c>
      <c r="C10763" t="s">
        <v>13676</v>
      </c>
      <c r="D10763" t="s">
        <v>17415</v>
      </c>
      <c r="E10763" t="s">
        <v>26709</v>
      </c>
      <c r="F10763" t="s">
        <v>30052</v>
      </c>
      <c r="G10763" t="s">
        <v>30058</v>
      </c>
      <c r="H10763" t="s">
        <v>15498</v>
      </c>
      <c r="I10763" t="s">
        <v>9238</v>
      </c>
      <c r="J10763" t="s">
        <v>36776</v>
      </c>
      <c r="K10763" t="s">
        <v>39029</v>
      </c>
      <c r="M10763" t="s">
        <v>42587</v>
      </c>
      <c r="N10763" t="s">
        <v>43166</v>
      </c>
      <c r="O10763" t="s">
        <v>43167</v>
      </c>
      <c r="P10763">
        <v>0</v>
      </c>
      <c r="Q10763">
        <v>2</v>
      </c>
      <c r="R10763" t="s">
        <v>43179</v>
      </c>
      <c r="S10763" t="s">
        <v>43583</v>
      </c>
      <c r="T10763" t="s">
        <v>44753</v>
      </c>
      <c r="U10763" t="s">
        <v>53787</v>
      </c>
      <c r="W10763" t="s">
        <v>42587</v>
      </c>
      <c r="X10763" t="s">
        <v>43180</v>
      </c>
    </row>
    <row r="10764" spans="1:24">
      <c r="A10764">
        <f>HYPERLINK("https://www.philgeps.gov.ph/GEPSNONPILOT/Tender/SplashBidNoticeAbstractUI.aspx?menuIndex=3&amp;refID=7067349&amp;Result=3","7067349")</f>
        <v>0</v>
      </c>
      <c r="B10764" t="s">
        <v>3012</v>
      </c>
      <c r="C10764" t="s">
        <v>13677</v>
      </c>
      <c r="D10764" t="s">
        <v>17415</v>
      </c>
      <c r="E10764" t="s">
        <v>26710</v>
      </c>
      <c r="F10764" t="s">
        <v>30052</v>
      </c>
      <c r="G10764" t="s">
        <v>30058</v>
      </c>
      <c r="H10764" t="s">
        <v>15498</v>
      </c>
      <c r="I10764" t="s">
        <v>9238</v>
      </c>
      <c r="J10764" t="s">
        <v>36777</v>
      </c>
      <c r="K10764" t="s">
        <v>39029</v>
      </c>
      <c r="M10764" t="s">
        <v>42587</v>
      </c>
      <c r="N10764" t="s">
        <v>43166</v>
      </c>
      <c r="O10764" t="s">
        <v>43167</v>
      </c>
      <c r="P10764">
        <v>0</v>
      </c>
      <c r="Q10764">
        <v>4</v>
      </c>
      <c r="R10764" t="s">
        <v>43179</v>
      </c>
      <c r="S10764" t="s">
        <v>43583</v>
      </c>
      <c r="T10764" t="s">
        <v>44753</v>
      </c>
      <c r="U10764" t="s">
        <v>53787</v>
      </c>
      <c r="W10764" t="s">
        <v>42587</v>
      </c>
      <c r="X10764" t="s">
        <v>43180</v>
      </c>
    </row>
    <row r="10765" spans="1:24">
      <c r="A10765">
        <f>HYPERLINK("https://www.philgeps.gov.ph/GEPSNONPILOT/Tender/SplashBidNoticeAbstractUI.aspx?menuIndex=3&amp;refID=7066887&amp;Result=3","7066887")</f>
        <v>0</v>
      </c>
      <c r="B10765" t="s">
        <v>2994</v>
      </c>
      <c r="C10765" t="s">
        <v>13678</v>
      </c>
      <c r="D10765" t="s">
        <v>17421</v>
      </c>
      <c r="E10765" t="s">
        <v>26711</v>
      </c>
      <c r="F10765" t="s">
        <v>30052</v>
      </c>
      <c r="G10765" t="s">
        <v>30058</v>
      </c>
      <c r="H10765" t="s">
        <v>30067</v>
      </c>
      <c r="I10765" t="s">
        <v>3693</v>
      </c>
      <c r="J10765" t="s">
        <v>36778</v>
      </c>
      <c r="K10765" t="s">
        <v>39065</v>
      </c>
      <c r="M10765" t="s">
        <v>42564</v>
      </c>
      <c r="N10765" t="s">
        <v>43166</v>
      </c>
      <c r="O10765" t="s">
        <v>43167</v>
      </c>
      <c r="P10765">
        <v>0</v>
      </c>
      <c r="Q10765">
        <v>1</v>
      </c>
      <c r="R10765" t="s">
        <v>43179</v>
      </c>
      <c r="S10765" t="s">
        <v>43583</v>
      </c>
      <c r="T10765" t="s">
        <v>44699</v>
      </c>
      <c r="U10765" t="s">
        <v>53788</v>
      </c>
      <c r="W10765" t="s">
        <v>42564</v>
      </c>
      <c r="X10765" t="s">
        <v>43180</v>
      </c>
    </row>
    <row r="10766" spans="1:24">
      <c r="A10766">
        <f>HYPERLINK("https://www.philgeps.gov.ph/GEPSNONPILOT/Tender/SplashBidNoticeAbstractUI.aspx?menuIndex=3&amp;refID=7067348&amp;Result=3","7067348")</f>
        <v>0</v>
      </c>
      <c r="B10766" t="s">
        <v>3012</v>
      </c>
      <c r="C10766" t="s">
        <v>13679</v>
      </c>
      <c r="D10766" t="s">
        <v>17415</v>
      </c>
      <c r="E10766" t="s">
        <v>26712</v>
      </c>
      <c r="F10766" t="s">
        <v>30052</v>
      </c>
      <c r="G10766" t="s">
        <v>30058</v>
      </c>
      <c r="H10766" t="s">
        <v>15498</v>
      </c>
      <c r="I10766" t="s">
        <v>9238</v>
      </c>
      <c r="J10766" t="s">
        <v>36779</v>
      </c>
      <c r="K10766" t="s">
        <v>39029</v>
      </c>
      <c r="M10766" t="s">
        <v>42587</v>
      </c>
      <c r="N10766" t="s">
        <v>43166</v>
      </c>
      <c r="O10766" t="s">
        <v>43167</v>
      </c>
      <c r="P10766">
        <v>0</v>
      </c>
      <c r="Q10766">
        <v>5</v>
      </c>
      <c r="R10766" t="s">
        <v>43179</v>
      </c>
      <c r="S10766" t="s">
        <v>43583</v>
      </c>
      <c r="T10766" t="s">
        <v>44753</v>
      </c>
      <c r="U10766" t="s">
        <v>53789</v>
      </c>
      <c r="W10766" t="s">
        <v>42587</v>
      </c>
      <c r="X10766" t="s">
        <v>43180</v>
      </c>
    </row>
    <row r="10767" spans="1:24">
      <c r="A10767">
        <f>HYPERLINK("https://www.philgeps.gov.ph/GEPSNONPILOT/Tender/SplashBidNoticeAbstractUI.aspx?menuIndex=3&amp;refID=7067344&amp;Result=3","7067344")</f>
        <v>0</v>
      </c>
      <c r="B10767" t="s">
        <v>3012</v>
      </c>
      <c r="C10767" t="s">
        <v>13680</v>
      </c>
      <c r="D10767" t="s">
        <v>17415</v>
      </c>
      <c r="E10767" t="s">
        <v>26713</v>
      </c>
      <c r="F10767" t="s">
        <v>30052</v>
      </c>
      <c r="G10767" t="s">
        <v>30058</v>
      </c>
      <c r="H10767" t="s">
        <v>15498</v>
      </c>
      <c r="I10767" t="s">
        <v>9238</v>
      </c>
      <c r="J10767" t="s">
        <v>36780</v>
      </c>
      <c r="K10767" t="s">
        <v>39029</v>
      </c>
      <c r="M10767" t="s">
        <v>42587</v>
      </c>
      <c r="N10767" t="s">
        <v>43166</v>
      </c>
      <c r="O10767" t="s">
        <v>43167</v>
      </c>
      <c r="P10767">
        <v>0</v>
      </c>
      <c r="Q10767">
        <v>11</v>
      </c>
      <c r="R10767" t="s">
        <v>43179</v>
      </c>
      <c r="S10767" t="s">
        <v>43583</v>
      </c>
      <c r="T10767" t="s">
        <v>44753</v>
      </c>
      <c r="U10767" t="s">
        <v>53789</v>
      </c>
      <c r="W10767" t="s">
        <v>42587</v>
      </c>
      <c r="X10767" t="s">
        <v>43180</v>
      </c>
    </row>
    <row r="10768" spans="1:24">
      <c r="A10768">
        <f>HYPERLINK("https://www.philgeps.gov.ph/GEPSNONPILOT/Tender/SplashBidNoticeAbstractUI.aspx?menuIndex=3&amp;refID=7067357&amp;Result=3","7067357")</f>
        <v>0</v>
      </c>
      <c r="B10768" t="s">
        <v>3012</v>
      </c>
      <c r="C10768" t="s">
        <v>13681</v>
      </c>
      <c r="D10768" t="s">
        <v>17415</v>
      </c>
      <c r="E10768" t="s">
        <v>26714</v>
      </c>
      <c r="F10768" t="s">
        <v>30052</v>
      </c>
      <c r="G10768" t="s">
        <v>30058</v>
      </c>
      <c r="H10768" t="s">
        <v>15498</v>
      </c>
      <c r="I10768" t="s">
        <v>9238</v>
      </c>
      <c r="J10768" t="s">
        <v>30559</v>
      </c>
      <c r="K10768" t="s">
        <v>39029</v>
      </c>
      <c r="M10768" t="s">
        <v>42587</v>
      </c>
      <c r="N10768" t="s">
        <v>43166</v>
      </c>
      <c r="O10768" t="s">
        <v>43167</v>
      </c>
      <c r="P10768">
        <v>0</v>
      </c>
      <c r="Q10768">
        <v>5</v>
      </c>
      <c r="R10768" t="s">
        <v>43179</v>
      </c>
      <c r="S10768" t="s">
        <v>43583</v>
      </c>
      <c r="T10768" t="s">
        <v>44753</v>
      </c>
      <c r="U10768" t="s">
        <v>53787</v>
      </c>
      <c r="W10768" t="s">
        <v>42587</v>
      </c>
      <c r="X10768" t="s">
        <v>43180</v>
      </c>
    </row>
    <row r="10769" spans="1:24">
      <c r="A10769">
        <f>HYPERLINK("https://www.philgeps.gov.ph/GEPSNONPILOT/Tender/SplashBidNoticeAbstractUI.aspx?menuIndex=3&amp;refID=7067338&amp;Result=3","7067338")</f>
        <v>0</v>
      </c>
      <c r="B10769" t="s">
        <v>3012</v>
      </c>
      <c r="C10769" t="s">
        <v>13682</v>
      </c>
      <c r="D10769" t="s">
        <v>17415</v>
      </c>
      <c r="E10769" t="s">
        <v>13682</v>
      </c>
      <c r="F10769" t="s">
        <v>30052</v>
      </c>
      <c r="G10769" t="s">
        <v>30058</v>
      </c>
      <c r="H10769" t="s">
        <v>15498</v>
      </c>
      <c r="I10769" t="s">
        <v>7228</v>
      </c>
      <c r="J10769" t="s">
        <v>36781</v>
      </c>
      <c r="K10769" t="s">
        <v>39029</v>
      </c>
      <c r="M10769" t="s">
        <v>42587</v>
      </c>
      <c r="N10769" t="s">
        <v>43166</v>
      </c>
      <c r="O10769" t="s">
        <v>43167</v>
      </c>
      <c r="P10769">
        <v>0</v>
      </c>
      <c r="Q10769">
        <v>1</v>
      </c>
      <c r="R10769" t="s">
        <v>43179</v>
      </c>
      <c r="S10769" t="s">
        <v>43583</v>
      </c>
      <c r="T10769" t="s">
        <v>44753</v>
      </c>
      <c r="U10769" t="s">
        <v>53784</v>
      </c>
      <c r="W10769" t="s">
        <v>42587</v>
      </c>
      <c r="X10769" t="s">
        <v>43180</v>
      </c>
    </row>
    <row r="10770" spans="1:24">
      <c r="A10770">
        <f>HYPERLINK("https://www.philgeps.gov.ph/GEPSNONPILOT/Tender/SplashBidNoticeAbstractUI.aspx?menuIndex=3&amp;refID=7067335&amp;Result=3","7067335")</f>
        <v>0</v>
      </c>
      <c r="B10770" t="s">
        <v>3012</v>
      </c>
      <c r="C10770" t="s">
        <v>13683</v>
      </c>
      <c r="D10770" t="s">
        <v>17415</v>
      </c>
      <c r="E10770" t="s">
        <v>13683</v>
      </c>
      <c r="F10770" t="s">
        <v>30052</v>
      </c>
      <c r="G10770" t="s">
        <v>30058</v>
      </c>
      <c r="H10770" t="s">
        <v>15498</v>
      </c>
      <c r="I10770" t="s">
        <v>7228</v>
      </c>
      <c r="J10770" t="s">
        <v>30555</v>
      </c>
      <c r="K10770" t="s">
        <v>39029</v>
      </c>
      <c r="M10770" t="s">
        <v>42587</v>
      </c>
      <c r="N10770" t="s">
        <v>43166</v>
      </c>
      <c r="O10770" t="s">
        <v>43167</v>
      </c>
      <c r="P10770">
        <v>0</v>
      </c>
      <c r="Q10770">
        <v>0</v>
      </c>
      <c r="R10770" t="s">
        <v>43179</v>
      </c>
      <c r="S10770" t="s">
        <v>43583</v>
      </c>
      <c r="T10770" t="s">
        <v>44753</v>
      </c>
      <c r="U10770" t="s">
        <v>53784</v>
      </c>
      <c r="W10770" t="s">
        <v>42587</v>
      </c>
      <c r="X10770" t="s">
        <v>43180</v>
      </c>
    </row>
    <row r="10771" spans="1:24">
      <c r="A10771">
        <f>HYPERLINK("https://www.philgeps.gov.ph/GEPSNONPILOT/Tender/SplashBidNoticeAbstractUI.aspx?menuIndex=3&amp;refID=7067334&amp;Result=3","7067334")</f>
        <v>0</v>
      </c>
      <c r="B10771" t="s">
        <v>3012</v>
      </c>
      <c r="C10771" t="s">
        <v>13684</v>
      </c>
      <c r="D10771" t="s">
        <v>17415</v>
      </c>
      <c r="E10771" t="s">
        <v>13684</v>
      </c>
      <c r="F10771" t="s">
        <v>30052</v>
      </c>
      <c r="G10771" t="s">
        <v>30058</v>
      </c>
      <c r="H10771" t="s">
        <v>15498</v>
      </c>
      <c r="I10771" t="s">
        <v>4119</v>
      </c>
      <c r="J10771" t="s">
        <v>30595</v>
      </c>
      <c r="K10771" t="s">
        <v>39029</v>
      </c>
      <c r="M10771" t="s">
        <v>42587</v>
      </c>
      <c r="N10771" t="s">
        <v>43166</v>
      </c>
      <c r="O10771" t="s">
        <v>43167</v>
      </c>
      <c r="P10771">
        <v>0</v>
      </c>
      <c r="Q10771">
        <v>1</v>
      </c>
      <c r="R10771" t="s">
        <v>43179</v>
      </c>
      <c r="S10771" t="s">
        <v>43583</v>
      </c>
      <c r="T10771" t="s">
        <v>44753</v>
      </c>
      <c r="U10771" t="s">
        <v>53790</v>
      </c>
      <c r="W10771" t="s">
        <v>42587</v>
      </c>
      <c r="X10771" t="s">
        <v>43180</v>
      </c>
    </row>
    <row r="10772" spans="1:24">
      <c r="A10772">
        <f>HYPERLINK("https://www.philgeps.gov.ph/GEPSNONPILOT/Tender/SplashBidNoticeAbstractUI.aspx?menuIndex=3&amp;refID=7067353&amp;Result=3","7067353")</f>
        <v>0</v>
      </c>
      <c r="B10772" t="s">
        <v>3012</v>
      </c>
      <c r="C10772" t="s">
        <v>13685</v>
      </c>
      <c r="D10772" t="s">
        <v>17415</v>
      </c>
      <c r="E10772" t="s">
        <v>26715</v>
      </c>
      <c r="F10772" t="s">
        <v>30052</v>
      </c>
      <c r="G10772" t="s">
        <v>30058</v>
      </c>
      <c r="H10772" t="s">
        <v>15498</v>
      </c>
      <c r="I10772" t="s">
        <v>9238</v>
      </c>
      <c r="J10772" t="s">
        <v>36782</v>
      </c>
      <c r="K10772" t="s">
        <v>39029</v>
      </c>
      <c r="M10772" t="s">
        <v>42587</v>
      </c>
      <c r="N10772" t="s">
        <v>43166</v>
      </c>
      <c r="O10772" t="s">
        <v>43167</v>
      </c>
      <c r="P10772">
        <v>0</v>
      </c>
      <c r="Q10772">
        <v>4</v>
      </c>
      <c r="R10772" t="s">
        <v>43179</v>
      </c>
      <c r="S10772" t="s">
        <v>43583</v>
      </c>
      <c r="T10772" t="s">
        <v>44753</v>
      </c>
      <c r="U10772" t="s">
        <v>53787</v>
      </c>
      <c r="W10772" t="s">
        <v>42587</v>
      </c>
      <c r="X10772" t="s">
        <v>43180</v>
      </c>
    </row>
    <row r="10773" spans="1:24">
      <c r="A10773">
        <f>HYPERLINK("https://www.philgeps.gov.ph/GEPSNONPILOT/Tender/SplashBidNoticeAbstractUI.aspx?menuIndex=3&amp;refID=7067352&amp;Result=3","7067352")</f>
        <v>0</v>
      </c>
      <c r="B10773" t="s">
        <v>3012</v>
      </c>
      <c r="C10773" t="s">
        <v>13686</v>
      </c>
      <c r="D10773" t="s">
        <v>17415</v>
      </c>
      <c r="E10773" t="s">
        <v>26716</v>
      </c>
      <c r="F10773" t="s">
        <v>30052</v>
      </c>
      <c r="G10773" t="s">
        <v>30058</v>
      </c>
      <c r="H10773" t="s">
        <v>15498</v>
      </c>
      <c r="I10773" t="s">
        <v>9238</v>
      </c>
      <c r="J10773" t="s">
        <v>36214</v>
      </c>
      <c r="K10773" t="s">
        <v>39029</v>
      </c>
      <c r="M10773" t="s">
        <v>42587</v>
      </c>
      <c r="N10773" t="s">
        <v>43166</v>
      </c>
      <c r="O10773" t="s">
        <v>43167</v>
      </c>
      <c r="P10773">
        <v>0</v>
      </c>
      <c r="Q10773">
        <v>5</v>
      </c>
      <c r="R10773" t="s">
        <v>43179</v>
      </c>
      <c r="S10773" t="s">
        <v>43583</v>
      </c>
      <c r="T10773" t="s">
        <v>44753</v>
      </c>
      <c r="U10773" t="s">
        <v>53787</v>
      </c>
      <c r="W10773" t="s">
        <v>42587</v>
      </c>
      <c r="X10773" t="s">
        <v>43180</v>
      </c>
    </row>
    <row r="10774" spans="1:24">
      <c r="A10774">
        <f>HYPERLINK("https://www.philgeps.gov.ph/GEPSNONPILOT/Tender/SplashBidNoticeAbstractUI.aspx?menuIndex=3&amp;refID=7057118&amp;Result=3","7057118")</f>
        <v>0</v>
      </c>
      <c r="B10774" t="s">
        <v>2805</v>
      </c>
      <c r="C10774" t="s">
        <v>13687</v>
      </c>
      <c r="D10774" t="s">
        <v>17471</v>
      </c>
      <c r="E10774" t="s">
        <v>26717</v>
      </c>
      <c r="F10774" t="s">
        <v>30052</v>
      </c>
      <c r="G10774" t="s">
        <v>30058</v>
      </c>
      <c r="H10774" t="s">
        <v>15498</v>
      </c>
      <c r="I10774" t="s">
        <v>30087</v>
      </c>
      <c r="J10774" t="s">
        <v>31273</v>
      </c>
      <c r="K10774" t="s">
        <v>39019</v>
      </c>
      <c r="M10774" t="s">
        <v>42346</v>
      </c>
      <c r="N10774" t="s">
        <v>43166</v>
      </c>
      <c r="O10774" t="s">
        <v>43167</v>
      </c>
      <c r="P10774">
        <v>0</v>
      </c>
      <c r="Q10774">
        <v>1</v>
      </c>
      <c r="R10774" t="s">
        <v>43180</v>
      </c>
      <c r="S10774" t="s">
        <v>43646</v>
      </c>
      <c r="T10774" t="s">
        <v>44733</v>
      </c>
      <c r="U10774" t="s">
        <v>53791</v>
      </c>
      <c r="W10774" t="s">
        <v>42346</v>
      </c>
      <c r="X10774" t="s">
        <v>43185</v>
      </c>
    </row>
    <row r="10775" spans="1:24">
      <c r="A10775">
        <f>HYPERLINK("https://www.philgeps.gov.ph/GEPSNONPILOT/Tender/SplashBidNoticeAbstractUI.aspx?menuIndex=3&amp;refID=7067343&amp;Result=3","7067343")</f>
        <v>0</v>
      </c>
      <c r="B10775" t="s">
        <v>3012</v>
      </c>
      <c r="C10775" t="s">
        <v>13688</v>
      </c>
      <c r="D10775" t="s">
        <v>17415</v>
      </c>
      <c r="E10775" t="s">
        <v>13688</v>
      </c>
      <c r="F10775" t="s">
        <v>30052</v>
      </c>
      <c r="G10775" t="s">
        <v>30058</v>
      </c>
      <c r="H10775" t="s">
        <v>15498</v>
      </c>
      <c r="I10775" t="s">
        <v>7228</v>
      </c>
      <c r="J10775" t="s">
        <v>36783</v>
      </c>
      <c r="K10775" t="s">
        <v>39029</v>
      </c>
      <c r="M10775" t="s">
        <v>42587</v>
      </c>
      <c r="N10775" t="s">
        <v>43166</v>
      </c>
      <c r="O10775" t="s">
        <v>43167</v>
      </c>
      <c r="P10775">
        <v>0</v>
      </c>
      <c r="Q10775">
        <v>1</v>
      </c>
      <c r="R10775" t="s">
        <v>43179</v>
      </c>
      <c r="S10775" t="s">
        <v>43583</v>
      </c>
      <c r="T10775" t="s">
        <v>44753</v>
      </c>
      <c r="U10775" t="s">
        <v>53784</v>
      </c>
      <c r="W10775" t="s">
        <v>42587</v>
      </c>
      <c r="X10775" t="s">
        <v>43180</v>
      </c>
    </row>
    <row r="10776" spans="1:24">
      <c r="A10776">
        <f>HYPERLINK("https://www.philgeps.gov.ph/GEPSNONPILOT/Tender/SplashBidNoticeAbstractUI.aspx?menuIndex=3&amp;refID=7066597&amp;Result=3","7066597")</f>
        <v>0</v>
      </c>
      <c r="B10776" t="s">
        <v>2989</v>
      </c>
      <c r="C10776" t="s">
        <v>13689</v>
      </c>
      <c r="D10776" t="s">
        <v>17445</v>
      </c>
      <c r="E10776" t="s">
        <v>26718</v>
      </c>
      <c r="F10776" t="s">
        <v>30052</v>
      </c>
      <c r="G10776" t="s">
        <v>30058</v>
      </c>
      <c r="H10776" t="s">
        <v>30067</v>
      </c>
      <c r="I10776" t="s">
        <v>3736</v>
      </c>
      <c r="J10776" t="s">
        <v>36784</v>
      </c>
      <c r="K10776" t="s">
        <v>39037</v>
      </c>
      <c r="M10776" t="s">
        <v>42559</v>
      </c>
      <c r="N10776" t="s">
        <v>43166</v>
      </c>
      <c r="O10776" t="s">
        <v>43167</v>
      </c>
      <c r="P10776">
        <v>0</v>
      </c>
      <c r="Q10776">
        <v>1</v>
      </c>
      <c r="R10776" t="s">
        <v>43179</v>
      </c>
      <c r="S10776" t="s">
        <v>43583</v>
      </c>
      <c r="T10776" t="s">
        <v>44789</v>
      </c>
      <c r="U10776" t="s">
        <v>53792</v>
      </c>
      <c r="W10776" t="s">
        <v>42559</v>
      </c>
      <c r="X10776" t="s">
        <v>43180</v>
      </c>
    </row>
    <row r="10777" spans="1:24">
      <c r="A10777">
        <f>HYPERLINK("https://www.philgeps.gov.ph/GEPSNONPILOT/Tender/SplashBidNoticeAbstractUI.aspx?menuIndex=3&amp;refID=7067347&amp;Result=3","7067347")</f>
        <v>0</v>
      </c>
      <c r="B10777" t="s">
        <v>3012</v>
      </c>
      <c r="C10777" t="s">
        <v>13690</v>
      </c>
      <c r="D10777" t="s">
        <v>17415</v>
      </c>
      <c r="E10777" t="s">
        <v>26719</v>
      </c>
      <c r="F10777" t="s">
        <v>30052</v>
      </c>
      <c r="G10777" t="s">
        <v>30058</v>
      </c>
      <c r="H10777" t="s">
        <v>15498</v>
      </c>
      <c r="I10777" t="s">
        <v>9238</v>
      </c>
      <c r="J10777" t="s">
        <v>36785</v>
      </c>
      <c r="K10777" t="s">
        <v>39029</v>
      </c>
      <c r="M10777" t="s">
        <v>42587</v>
      </c>
      <c r="N10777" t="s">
        <v>43166</v>
      </c>
      <c r="O10777" t="s">
        <v>43167</v>
      </c>
      <c r="P10777">
        <v>0</v>
      </c>
      <c r="Q10777">
        <v>11</v>
      </c>
      <c r="R10777" t="s">
        <v>43179</v>
      </c>
      <c r="S10777" t="s">
        <v>43583</v>
      </c>
      <c r="T10777" t="s">
        <v>44753</v>
      </c>
      <c r="U10777" t="s">
        <v>53789</v>
      </c>
      <c r="W10777" t="s">
        <v>42587</v>
      </c>
      <c r="X10777" t="s">
        <v>43180</v>
      </c>
    </row>
    <row r="10778" spans="1:24">
      <c r="A10778">
        <f>HYPERLINK("https://www.philgeps.gov.ph/GEPSNONPILOT/Tender/SplashBidNoticeAbstractUI.aspx?menuIndex=3&amp;refID=7057446&amp;Result=3","7057446")</f>
        <v>0</v>
      </c>
      <c r="B10778" t="s">
        <v>2697</v>
      </c>
      <c r="C10778" t="s">
        <v>13691</v>
      </c>
      <c r="D10778" t="s">
        <v>17445</v>
      </c>
      <c r="E10778" t="s">
        <v>26720</v>
      </c>
      <c r="F10778" t="s">
        <v>30052</v>
      </c>
      <c r="G10778" t="s">
        <v>30058</v>
      </c>
      <c r="H10778" t="s">
        <v>30067</v>
      </c>
      <c r="I10778" t="s">
        <v>3693</v>
      </c>
      <c r="J10778" t="s">
        <v>36786</v>
      </c>
      <c r="K10778" t="s">
        <v>39246</v>
      </c>
      <c r="M10778" t="s">
        <v>42588</v>
      </c>
      <c r="N10778" t="s">
        <v>43166</v>
      </c>
      <c r="O10778" t="s">
        <v>43167</v>
      </c>
      <c r="Q10778">
        <v>2</v>
      </c>
      <c r="R10778" t="s">
        <v>43180</v>
      </c>
      <c r="S10778" t="s">
        <v>43647</v>
      </c>
      <c r="T10778" t="s">
        <v>44758</v>
      </c>
      <c r="U10778" t="s">
        <v>53793</v>
      </c>
      <c r="W10778" t="s">
        <v>42588</v>
      </c>
      <c r="X10778" t="s">
        <v>43185</v>
      </c>
    </row>
    <row r="10779" spans="1:24">
      <c r="A10779">
        <f>HYPERLINK("https://www.philgeps.gov.ph/GEPSNONPILOT/Tender/SplashBidNoticeAbstractUI.aspx?menuIndex=3&amp;refID=7057438&amp;Result=3","7057438")</f>
        <v>0</v>
      </c>
      <c r="B10779" t="s">
        <v>2697</v>
      </c>
      <c r="C10779" t="s">
        <v>13692</v>
      </c>
      <c r="D10779" t="s">
        <v>17445</v>
      </c>
      <c r="E10779" t="s">
        <v>26721</v>
      </c>
      <c r="F10779" t="s">
        <v>30052</v>
      </c>
      <c r="G10779" t="s">
        <v>30058</v>
      </c>
      <c r="H10779" t="s">
        <v>30067</v>
      </c>
      <c r="I10779" t="s">
        <v>3693</v>
      </c>
      <c r="J10779" t="s">
        <v>36787</v>
      </c>
      <c r="K10779" t="s">
        <v>39217</v>
      </c>
      <c r="M10779" t="s">
        <v>42588</v>
      </c>
      <c r="N10779" t="s">
        <v>43166</v>
      </c>
      <c r="O10779" t="s">
        <v>43167</v>
      </c>
      <c r="Q10779">
        <v>3</v>
      </c>
      <c r="R10779" t="s">
        <v>43180</v>
      </c>
      <c r="S10779" t="s">
        <v>43648</v>
      </c>
      <c r="T10779" t="s">
        <v>44758</v>
      </c>
      <c r="U10779" t="s">
        <v>53794</v>
      </c>
      <c r="W10779" t="s">
        <v>42588</v>
      </c>
      <c r="X10779" t="s">
        <v>43185</v>
      </c>
    </row>
    <row r="10780" spans="1:24">
      <c r="A10780">
        <f>HYPERLINK("https://www.philgeps.gov.ph/GEPSNONPILOT/Tender/SplashBidNoticeAbstractUI.aspx?menuIndex=3&amp;refID=6842744&amp;Result=3","6842744")</f>
        <v>0</v>
      </c>
      <c r="B10780" t="s">
        <v>3013</v>
      </c>
      <c r="C10780" t="s">
        <v>13693</v>
      </c>
      <c r="D10780" t="s">
        <v>17462</v>
      </c>
      <c r="E10780" t="s">
        <v>19687</v>
      </c>
      <c r="F10780" t="s">
        <v>30052</v>
      </c>
      <c r="G10780" t="s">
        <v>30059</v>
      </c>
      <c r="H10780" t="s">
        <v>15498</v>
      </c>
      <c r="I10780" t="s">
        <v>5961</v>
      </c>
      <c r="J10780" t="s">
        <v>30230</v>
      </c>
      <c r="K10780" t="s">
        <v>39025</v>
      </c>
      <c r="M10780" t="s">
        <v>42589</v>
      </c>
      <c r="N10780" t="s">
        <v>43166</v>
      </c>
      <c r="O10780" t="s">
        <v>43167</v>
      </c>
      <c r="P10780">
        <v>0</v>
      </c>
      <c r="Q10780">
        <v>2</v>
      </c>
      <c r="R10780" t="s">
        <v>43180</v>
      </c>
      <c r="S10780" t="s">
        <v>43646</v>
      </c>
      <c r="T10780" t="s">
        <v>44820</v>
      </c>
      <c r="U10780" t="s">
        <v>53795</v>
      </c>
      <c r="W10780" t="s">
        <v>42589</v>
      </c>
      <c r="X10780" t="s">
        <v>43264</v>
      </c>
    </row>
    <row r="10781" spans="1:24">
      <c r="A10781">
        <f>HYPERLINK("https://www.philgeps.gov.ph/GEPSNONPILOT/Tender/SplashBidNoticeAbstractUI.aspx?menuIndex=3&amp;refID=7057482&amp;Result=3","7057482")</f>
        <v>0</v>
      </c>
      <c r="B10781" t="s">
        <v>348</v>
      </c>
      <c r="C10781" t="s">
        <v>13694</v>
      </c>
      <c r="D10781" t="s">
        <v>17416</v>
      </c>
      <c r="E10781" t="s">
        <v>26722</v>
      </c>
      <c r="F10781" t="s">
        <v>30052</v>
      </c>
      <c r="G10781" t="s">
        <v>30058</v>
      </c>
      <c r="H10781" t="s">
        <v>15498</v>
      </c>
      <c r="I10781" t="s">
        <v>30083</v>
      </c>
      <c r="J10781" t="s">
        <v>36788</v>
      </c>
      <c r="K10781" t="s">
        <v>39023</v>
      </c>
      <c r="M10781" t="s">
        <v>39645</v>
      </c>
      <c r="N10781" t="s">
        <v>43166</v>
      </c>
      <c r="O10781" t="s">
        <v>43167</v>
      </c>
      <c r="P10781">
        <v>0</v>
      </c>
      <c r="Q10781">
        <v>9</v>
      </c>
      <c r="R10781" t="s">
        <v>43180</v>
      </c>
      <c r="S10781" t="s">
        <v>43646</v>
      </c>
      <c r="T10781" t="s">
        <v>44795</v>
      </c>
      <c r="U10781" t="s">
        <v>53796</v>
      </c>
      <c r="V10781" t="s">
        <v>58041</v>
      </c>
      <c r="W10781" t="s">
        <v>39645</v>
      </c>
      <c r="X10781" t="s">
        <v>43185</v>
      </c>
    </row>
    <row r="10782" spans="1:24">
      <c r="A10782">
        <f>HYPERLINK("https://www.philgeps.gov.ph/GEPSNONPILOT/Tender/SplashBidNoticeAbstractUI.aspx?menuIndex=3&amp;refID=7057432&amp;Result=3","7057432")</f>
        <v>0</v>
      </c>
      <c r="B10782" t="s">
        <v>2697</v>
      </c>
      <c r="C10782" t="s">
        <v>13695</v>
      </c>
      <c r="D10782" t="s">
        <v>17445</v>
      </c>
      <c r="E10782" t="s">
        <v>26723</v>
      </c>
      <c r="F10782" t="s">
        <v>30052</v>
      </c>
      <c r="G10782" t="s">
        <v>30058</v>
      </c>
      <c r="H10782" t="s">
        <v>30067</v>
      </c>
      <c r="I10782" t="s">
        <v>3693</v>
      </c>
      <c r="J10782" t="s">
        <v>36789</v>
      </c>
      <c r="K10782" t="s">
        <v>39096</v>
      </c>
      <c r="M10782" t="s">
        <v>42588</v>
      </c>
      <c r="N10782" t="s">
        <v>43166</v>
      </c>
      <c r="O10782" t="s">
        <v>43167</v>
      </c>
      <c r="Q10782">
        <v>4</v>
      </c>
      <c r="R10782" t="s">
        <v>43180</v>
      </c>
      <c r="S10782" t="s">
        <v>43649</v>
      </c>
      <c r="T10782" t="s">
        <v>44758</v>
      </c>
      <c r="U10782" t="s">
        <v>53797</v>
      </c>
      <c r="W10782" t="s">
        <v>42588</v>
      </c>
      <c r="X10782" t="s">
        <v>43185</v>
      </c>
    </row>
    <row r="10783" spans="1:24">
      <c r="A10783">
        <f>HYPERLINK("https://www.philgeps.gov.ph/GEPSNONPILOT/Tender/SplashBidNoticeAbstractUI.aspx?menuIndex=3&amp;refID=7057198&amp;Result=3","7057198")</f>
        <v>0</v>
      </c>
      <c r="B10783" t="s">
        <v>2805</v>
      </c>
      <c r="C10783" t="s">
        <v>13696</v>
      </c>
      <c r="D10783" t="s">
        <v>17471</v>
      </c>
      <c r="E10783" t="s">
        <v>26724</v>
      </c>
      <c r="F10783" t="s">
        <v>30052</v>
      </c>
      <c r="G10783" t="s">
        <v>30058</v>
      </c>
      <c r="H10783" t="s">
        <v>30067</v>
      </c>
      <c r="I10783" t="s">
        <v>3693</v>
      </c>
      <c r="J10783" t="s">
        <v>30559</v>
      </c>
      <c r="K10783" t="s">
        <v>39023</v>
      </c>
      <c r="M10783" t="s">
        <v>42346</v>
      </c>
      <c r="N10783" t="s">
        <v>43166</v>
      </c>
      <c r="O10783" t="s">
        <v>43167</v>
      </c>
      <c r="P10783">
        <v>0</v>
      </c>
      <c r="Q10783">
        <v>0</v>
      </c>
      <c r="R10783" t="s">
        <v>43180</v>
      </c>
      <c r="S10783" t="s">
        <v>43646</v>
      </c>
      <c r="T10783" t="s">
        <v>44733</v>
      </c>
      <c r="U10783" t="s">
        <v>53798</v>
      </c>
      <c r="W10783" t="s">
        <v>42346</v>
      </c>
      <c r="X10783" t="s">
        <v>43185</v>
      </c>
    </row>
    <row r="10784" spans="1:24">
      <c r="A10784">
        <f>HYPERLINK("https://www.philgeps.gov.ph/GEPSNONPILOT/Tender/SplashBidNoticeAbstractUI.aspx?menuIndex=3&amp;refID=7055996&amp;Result=3","7055996")</f>
        <v>0</v>
      </c>
      <c r="B10784" t="s">
        <v>3014</v>
      </c>
      <c r="C10784" t="s">
        <v>13697</v>
      </c>
      <c r="D10784" t="s">
        <v>17462</v>
      </c>
      <c r="E10784" t="s">
        <v>26725</v>
      </c>
      <c r="F10784" t="s">
        <v>30052</v>
      </c>
      <c r="G10784" t="s">
        <v>30058</v>
      </c>
      <c r="H10784" t="s">
        <v>15498</v>
      </c>
      <c r="I10784" t="s">
        <v>30074</v>
      </c>
      <c r="J10784" t="s">
        <v>31198</v>
      </c>
      <c r="K10784" t="s">
        <v>39029</v>
      </c>
      <c r="M10784" t="s">
        <v>42590</v>
      </c>
      <c r="N10784" t="s">
        <v>43166</v>
      </c>
      <c r="O10784" t="s">
        <v>43167</v>
      </c>
      <c r="P10784">
        <v>0</v>
      </c>
      <c r="Q10784">
        <v>3</v>
      </c>
      <c r="R10784" t="s">
        <v>43180</v>
      </c>
      <c r="S10784" t="s">
        <v>43646</v>
      </c>
      <c r="T10784" t="s">
        <v>44753</v>
      </c>
      <c r="U10784" t="s">
        <v>53799</v>
      </c>
      <c r="W10784" t="s">
        <v>42590</v>
      </c>
      <c r="X10784" t="s">
        <v>43185</v>
      </c>
    </row>
    <row r="10785" spans="1:24">
      <c r="A10785">
        <f>HYPERLINK("https://www.philgeps.gov.ph/GEPSNONPILOT/Tender/SplashBidNoticeAbstractUI.aspx?menuIndex=3&amp;refID=7056243&amp;Result=3","7056243")</f>
        <v>0</v>
      </c>
      <c r="B10785" t="s">
        <v>144</v>
      </c>
      <c r="C10785" t="s">
        <v>13698</v>
      </c>
      <c r="D10785" t="s">
        <v>17449</v>
      </c>
      <c r="E10785" t="s">
        <v>17952</v>
      </c>
      <c r="F10785" t="s">
        <v>30052</v>
      </c>
      <c r="G10785" t="s">
        <v>30058</v>
      </c>
      <c r="H10785" t="s">
        <v>30067</v>
      </c>
      <c r="I10785" t="s">
        <v>3693</v>
      </c>
      <c r="J10785" t="s">
        <v>30290</v>
      </c>
      <c r="K10785" t="s">
        <v>39025</v>
      </c>
      <c r="M10785" t="s">
        <v>39433</v>
      </c>
      <c r="N10785" t="s">
        <v>43166</v>
      </c>
      <c r="O10785" t="s">
        <v>43167</v>
      </c>
      <c r="P10785">
        <v>0</v>
      </c>
      <c r="Q10785">
        <v>1</v>
      </c>
      <c r="R10785" t="s">
        <v>43180</v>
      </c>
      <c r="S10785" t="s">
        <v>43646</v>
      </c>
      <c r="T10785" t="s">
        <v>44699</v>
      </c>
      <c r="U10785" t="s">
        <v>53800</v>
      </c>
      <c r="W10785" t="s">
        <v>39433</v>
      </c>
      <c r="X10785" t="s">
        <v>43185</v>
      </c>
    </row>
    <row r="10786" spans="1:24">
      <c r="A10786">
        <f>HYPERLINK("https://www.philgeps.gov.ph/GEPSNONPILOT/Tender/SplashBidNoticeAbstractUI.aspx?menuIndex=3&amp;refID=7056981&amp;Result=3","7056981")</f>
        <v>0</v>
      </c>
      <c r="B10786" t="s">
        <v>2805</v>
      </c>
      <c r="C10786" t="s">
        <v>13699</v>
      </c>
      <c r="D10786" t="s">
        <v>17471</v>
      </c>
      <c r="E10786" t="s">
        <v>26726</v>
      </c>
      <c r="F10786" t="s">
        <v>30052</v>
      </c>
      <c r="G10786" t="s">
        <v>30058</v>
      </c>
      <c r="H10786" t="s">
        <v>15498</v>
      </c>
      <c r="I10786" t="s">
        <v>30074</v>
      </c>
      <c r="J10786" t="s">
        <v>30876</v>
      </c>
      <c r="K10786" t="s">
        <v>39023</v>
      </c>
      <c r="M10786" t="s">
        <v>42346</v>
      </c>
      <c r="N10786" t="s">
        <v>43166</v>
      </c>
      <c r="O10786" t="s">
        <v>43167</v>
      </c>
      <c r="P10786">
        <v>0</v>
      </c>
      <c r="Q10786">
        <v>4</v>
      </c>
      <c r="R10786" t="s">
        <v>43180</v>
      </c>
      <c r="S10786" t="s">
        <v>43646</v>
      </c>
      <c r="T10786" t="s">
        <v>44733</v>
      </c>
      <c r="U10786" t="s">
        <v>53801</v>
      </c>
      <c r="W10786" t="s">
        <v>42346</v>
      </c>
      <c r="X10786" t="s">
        <v>43185</v>
      </c>
    </row>
    <row r="10787" spans="1:24">
      <c r="A10787">
        <f>HYPERLINK("https://www.philgeps.gov.ph/GEPSNONPILOT/Tender/SplashBidNoticeAbstractUI.aspx?menuIndex=3&amp;refID=7035863-2&amp;Result=3","7035863-2")</f>
        <v>0</v>
      </c>
      <c r="B10787" t="s">
        <v>1126</v>
      </c>
      <c r="C10787" t="s">
        <v>13700</v>
      </c>
      <c r="D10787" t="s">
        <v>17442</v>
      </c>
      <c r="E10787" t="s">
        <v>26727</v>
      </c>
      <c r="F10787" t="s">
        <v>30052</v>
      </c>
      <c r="G10787" t="s">
        <v>30058</v>
      </c>
      <c r="H10787" t="s">
        <v>30068</v>
      </c>
      <c r="I10787" t="s">
        <v>30068</v>
      </c>
      <c r="J10787" t="s">
        <v>36790</v>
      </c>
      <c r="K10787" t="s">
        <v>39049</v>
      </c>
      <c r="L10787" t="s">
        <v>39313</v>
      </c>
      <c r="M10787" t="s">
        <v>40466</v>
      </c>
      <c r="N10787" t="s">
        <v>43166</v>
      </c>
      <c r="O10787" t="s">
        <v>43167</v>
      </c>
      <c r="P10787">
        <v>0</v>
      </c>
      <c r="Q10787">
        <v>1</v>
      </c>
      <c r="R10787" t="s">
        <v>43180</v>
      </c>
      <c r="S10787" t="s">
        <v>43646</v>
      </c>
      <c r="T10787" t="s">
        <v>44699</v>
      </c>
      <c r="U10787" t="s">
        <v>53802</v>
      </c>
      <c r="W10787" t="s">
        <v>40466</v>
      </c>
      <c r="X10787" t="s">
        <v>43181</v>
      </c>
    </row>
    <row r="10788" spans="1:24">
      <c r="A10788">
        <f>HYPERLINK("https://www.philgeps.gov.ph/GEPSNONPILOT/Tender/SplashBidNoticeAbstractUI.aspx?menuIndex=3&amp;refID=7054891&amp;Result=3","7054891")</f>
        <v>0</v>
      </c>
      <c r="B10788" t="s">
        <v>2395</v>
      </c>
      <c r="C10788" t="s">
        <v>13701</v>
      </c>
      <c r="D10788" t="s">
        <v>17448</v>
      </c>
      <c r="E10788" t="s">
        <v>26728</v>
      </c>
      <c r="F10788" t="s">
        <v>30052</v>
      </c>
      <c r="G10788" t="s">
        <v>30058</v>
      </c>
      <c r="H10788" t="s">
        <v>15498</v>
      </c>
      <c r="I10788" t="s">
        <v>30073</v>
      </c>
      <c r="J10788" t="s">
        <v>36791</v>
      </c>
      <c r="K10788" t="s">
        <v>39031</v>
      </c>
      <c r="M10788" t="s">
        <v>42591</v>
      </c>
      <c r="N10788" t="s">
        <v>43166</v>
      </c>
      <c r="O10788" t="s">
        <v>43167</v>
      </c>
      <c r="P10788">
        <v>0</v>
      </c>
      <c r="Q10788">
        <v>1</v>
      </c>
      <c r="R10788" t="s">
        <v>43180</v>
      </c>
      <c r="S10788" t="s">
        <v>43646</v>
      </c>
      <c r="T10788" t="s">
        <v>44704</v>
      </c>
      <c r="U10788" t="s">
        <v>53803</v>
      </c>
      <c r="V10788" t="s">
        <v>58042</v>
      </c>
      <c r="W10788" t="s">
        <v>42591</v>
      </c>
      <c r="X10788" t="s">
        <v>43186</v>
      </c>
    </row>
    <row r="10789" spans="1:24">
      <c r="A10789">
        <f>HYPERLINK("https://www.philgeps.gov.ph/GEPSNONPILOT/Tender/SplashBidNoticeAbstractUI.aspx?menuIndex=3&amp;refID=6949748&amp;Result=3","6949748")</f>
        <v>0</v>
      </c>
      <c r="B10789" t="s">
        <v>3015</v>
      </c>
      <c r="C10789" t="s">
        <v>13702</v>
      </c>
      <c r="D10789" t="s">
        <v>17417</v>
      </c>
      <c r="E10789" t="s">
        <v>18579</v>
      </c>
      <c r="F10789" t="s">
        <v>30052</v>
      </c>
      <c r="G10789" t="s">
        <v>30058</v>
      </c>
      <c r="H10789" t="s">
        <v>15498</v>
      </c>
      <c r="I10789" t="s">
        <v>3736</v>
      </c>
      <c r="J10789" t="s">
        <v>36792</v>
      </c>
      <c r="K10789" t="s">
        <v>39017</v>
      </c>
      <c r="M10789" t="s">
        <v>42592</v>
      </c>
      <c r="N10789" t="s">
        <v>43166</v>
      </c>
      <c r="O10789" t="s">
        <v>43167</v>
      </c>
      <c r="P10789">
        <v>0</v>
      </c>
      <c r="Q10789">
        <v>0</v>
      </c>
      <c r="R10789" t="s">
        <v>43180</v>
      </c>
      <c r="S10789" t="s">
        <v>43646</v>
      </c>
      <c r="T10789" t="s">
        <v>44718</v>
      </c>
      <c r="U10789" t="s">
        <v>53804</v>
      </c>
      <c r="W10789" t="s">
        <v>42592</v>
      </c>
      <c r="X10789" t="s">
        <v>58736</v>
      </c>
    </row>
    <row r="10790" spans="1:24">
      <c r="A10790">
        <f>HYPERLINK("https://www.philgeps.gov.ph/GEPSNONPILOT/Tender/SplashBidNoticeAbstractUI.aspx?menuIndex=3&amp;refID=6949730&amp;Result=3","6949730")</f>
        <v>0</v>
      </c>
      <c r="B10790" t="s">
        <v>3015</v>
      </c>
      <c r="C10790" t="s">
        <v>13703</v>
      </c>
      <c r="E10790" t="s">
        <v>17892</v>
      </c>
      <c r="F10790" t="s">
        <v>30052</v>
      </c>
      <c r="G10790" t="s">
        <v>30058</v>
      </c>
      <c r="H10790" t="s">
        <v>15498</v>
      </c>
      <c r="I10790" t="s">
        <v>30097</v>
      </c>
      <c r="J10790" t="s">
        <v>36793</v>
      </c>
      <c r="K10790" t="s">
        <v>39018</v>
      </c>
      <c r="M10790" t="s">
        <v>42592</v>
      </c>
      <c r="N10790" t="s">
        <v>43166</v>
      </c>
      <c r="O10790" t="s">
        <v>43167</v>
      </c>
      <c r="P10790">
        <v>0</v>
      </c>
      <c r="Q10790">
        <v>0</v>
      </c>
      <c r="R10790" t="s">
        <v>43180</v>
      </c>
      <c r="S10790" t="s">
        <v>43646</v>
      </c>
      <c r="T10790" t="s">
        <v>44681</v>
      </c>
      <c r="U10790" t="s">
        <v>53805</v>
      </c>
      <c r="W10790" t="s">
        <v>42592</v>
      </c>
      <c r="X10790" t="s">
        <v>58736</v>
      </c>
    </row>
    <row r="10791" spans="1:24">
      <c r="A10791">
        <f>HYPERLINK("https://www.philgeps.gov.ph/GEPSNONPILOT/Tender/SplashBidNoticeAbstractUI.aspx?menuIndex=3&amp;refID=7054540&amp;Result=3","7054540")</f>
        <v>0</v>
      </c>
      <c r="B10791" t="s">
        <v>3016</v>
      </c>
      <c r="C10791" t="s">
        <v>13704</v>
      </c>
      <c r="D10791" t="s">
        <v>17467</v>
      </c>
      <c r="E10791" t="s">
        <v>21156</v>
      </c>
      <c r="F10791" t="s">
        <v>30052</v>
      </c>
      <c r="G10791" t="s">
        <v>30058</v>
      </c>
      <c r="H10791" t="s">
        <v>30067</v>
      </c>
      <c r="I10791" t="s">
        <v>3693</v>
      </c>
      <c r="J10791" t="s">
        <v>30856</v>
      </c>
      <c r="K10791" t="s">
        <v>39037</v>
      </c>
      <c r="M10791" t="s">
        <v>42593</v>
      </c>
      <c r="N10791" t="s">
        <v>43166</v>
      </c>
      <c r="O10791" t="s">
        <v>43167</v>
      </c>
      <c r="P10791">
        <v>0</v>
      </c>
      <c r="Q10791">
        <v>0</v>
      </c>
      <c r="R10791" t="s">
        <v>43180</v>
      </c>
      <c r="S10791" t="s">
        <v>43646</v>
      </c>
      <c r="T10791" t="s">
        <v>44704</v>
      </c>
      <c r="U10791" t="s">
        <v>53806</v>
      </c>
      <c r="W10791" t="s">
        <v>42593</v>
      </c>
      <c r="X10791" t="s">
        <v>43186</v>
      </c>
    </row>
    <row r="10792" spans="1:24">
      <c r="A10792">
        <f>HYPERLINK("https://www.philgeps.gov.ph/GEPSNONPILOT/Tender/SplashBidNoticeAbstractUI.aspx?menuIndex=3&amp;refID=7067333&amp;Result=3","7067333")</f>
        <v>0</v>
      </c>
      <c r="B10792" t="s">
        <v>3012</v>
      </c>
      <c r="C10792" t="s">
        <v>13705</v>
      </c>
      <c r="D10792" t="s">
        <v>17415</v>
      </c>
      <c r="E10792" t="s">
        <v>13705</v>
      </c>
      <c r="F10792" t="s">
        <v>30052</v>
      </c>
      <c r="G10792" t="s">
        <v>30058</v>
      </c>
      <c r="H10792" t="s">
        <v>15498</v>
      </c>
      <c r="I10792" t="s">
        <v>4119</v>
      </c>
      <c r="J10792" t="s">
        <v>36794</v>
      </c>
      <c r="K10792" t="s">
        <v>39029</v>
      </c>
      <c r="M10792" t="s">
        <v>42587</v>
      </c>
      <c r="N10792" t="s">
        <v>43166</v>
      </c>
      <c r="O10792" t="s">
        <v>43167</v>
      </c>
      <c r="P10792">
        <v>0</v>
      </c>
      <c r="Q10792">
        <v>1</v>
      </c>
      <c r="R10792" t="s">
        <v>43179</v>
      </c>
      <c r="S10792" t="s">
        <v>43583</v>
      </c>
      <c r="T10792" t="s">
        <v>44753</v>
      </c>
      <c r="U10792" t="s">
        <v>53790</v>
      </c>
      <c r="W10792" t="s">
        <v>42587</v>
      </c>
      <c r="X10792" t="s">
        <v>43180</v>
      </c>
    </row>
    <row r="10793" spans="1:24">
      <c r="A10793">
        <f>HYPERLINK("https://www.philgeps.gov.ph/GEPSNONPILOT/Tender/SplashBidNoticeAbstractUI.aspx?menuIndex=3&amp;refID=7067331&amp;Result=3","7067331")</f>
        <v>0</v>
      </c>
      <c r="B10793" t="s">
        <v>1103</v>
      </c>
      <c r="C10793" t="s">
        <v>13706</v>
      </c>
      <c r="D10793" t="s">
        <v>17415</v>
      </c>
      <c r="E10793" t="s">
        <v>26729</v>
      </c>
      <c r="F10793" t="s">
        <v>30052</v>
      </c>
      <c r="G10793" t="s">
        <v>30058</v>
      </c>
      <c r="H10793" t="s">
        <v>15498</v>
      </c>
      <c r="I10793" t="s">
        <v>30084</v>
      </c>
      <c r="J10793" t="s">
        <v>30813</v>
      </c>
      <c r="K10793" t="s">
        <v>39029</v>
      </c>
      <c r="M10793" t="s">
        <v>42580</v>
      </c>
      <c r="N10793" t="s">
        <v>43166</v>
      </c>
      <c r="O10793" t="s">
        <v>43167</v>
      </c>
      <c r="P10793">
        <v>0</v>
      </c>
      <c r="Q10793">
        <v>18</v>
      </c>
      <c r="R10793" t="s">
        <v>43179</v>
      </c>
      <c r="S10793" t="s">
        <v>43583</v>
      </c>
      <c r="T10793" t="s">
        <v>45010</v>
      </c>
      <c r="U10793" t="s">
        <v>53807</v>
      </c>
      <c r="W10793" t="s">
        <v>42580</v>
      </c>
      <c r="X10793" t="s">
        <v>43180</v>
      </c>
    </row>
    <row r="10794" spans="1:24">
      <c r="A10794">
        <f>HYPERLINK("https://www.philgeps.gov.ph/GEPSNONPILOT/Tender/SplashBidNoticeAbstractUI.aspx?menuIndex=3&amp;refID=7066535&amp;Result=3","7066535")</f>
        <v>0</v>
      </c>
      <c r="B10794" t="s">
        <v>1505</v>
      </c>
      <c r="C10794" t="s">
        <v>13707</v>
      </c>
      <c r="D10794" t="s">
        <v>17462</v>
      </c>
      <c r="E10794" t="s">
        <v>26730</v>
      </c>
      <c r="F10794" t="s">
        <v>30052</v>
      </c>
      <c r="G10794" t="s">
        <v>30058</v>
      </c>
      <c r="H10794" t="s">
        <v>30067</v>
      </c>
      <c r="I10794" t="s">
        <v>3693</v>
      </c>
      <c r="J10794" t="s">
        <v>30222</v>
      </c>
      <c r="K10794" t="s">
        <v>39046</v>
      </c>
      <c r="M10794" t="s">
        <v>40889</v>
      </c>
      <c r="N10794" t="s">
        <v>43166</v>
      </c>
      <c r="O10794" t="s">
        <v>43167</v>
      </c>
      <c r="P10794">
        <v>0</v>
      </c>
      <c r="Q10794">
        <v>6</v>
      </c>
      <c r="R10794" t="s">
        <v>43179</v>
      </c>
      <c r="S10794" t="s">
        <v>43583</v>
      </c>
      <c r="T10794" t="s">
        <v>44791</v>
      </c>
      <c r="U10794" t="s">
        <v>53693</v>
      </c>
      <c r="W10794" t="s">
        <v>58641</v>
      </c>
      <c r="X10794" t="s">
        <v>43180</v>
      </c>
    </row>
    <row r="10795" spans="1:24">
      <c r="A10795">
        <f>HYPERLINK("https://www.philgeps.gov.ph/GEPSNONPILOT/Tender/SplashBidNoticeAbstractUI.aspx?menuIndex=3&amp;refID=7067330&amp;Result=3","7067330")</f>
        <v>0</v>
      </c>
      <c r="B10795" t="s">
        <v>3012</v>
      </c>
      <c r="C10795" t="s">
        <v>13708</v>
      </c>
      <c r="D10795" t="s">
        <v>17415</v>
      </c>
      <c r="E10795" t="s">
        <v>13708</v>
      </c>
      <c r="F10795" t="s">
        <v>30052</v>
      </c>
      <c r="G10795" t="s">
        <v>30058</v>
      </c>
      <c r="H10795" t="s">
        <v>15498</v>
      </c>
      <c r="I10795" t="s">
        <v>4119</v>
      </c>
      <c r="J10795" t="s">
        <v>36795</v>
      </c>
      <c r="K10795" t="s">
        <v>39029</v>
      </c>
      <c r="M10795" t="s">
        <v>42587</v>
      </c>
      <c r="N10795" t="s">
        <v>43166</v>
      </c>
      <c r="O10795" t="s">
        <v>43167</v>
      </c>
      <c r="P10795">
        <v>0</v>
      </c>
      <c r="Q10795">
        <v>1</v>
      </c>
      <c r="R10795" t="s">
        <v>43179</v>
      </c>
      <c r="S10795" t="s">
        <v>43583</v>
      </c>
      <c r="T10795" t="s">
        <v>44753</v>
      </c>
      <c r="U10795" t="s">
        <v>53790</v>
      </c>
      <c r="W10795" t="s">
        <v>42587</v>
      </c>
      <c r="X10795" t="s">
        <v>43180</v>
      </c>
    </row>
    <row r="10796" spans="1:24">
      <c r="A10796">
        <f>HYPERLINK("https://www.philgeps.gov.ph/GEPSNONPILOT/Tender/SplashBidNoticeAbstractUI.aspx?menuIndex=3&amp;refID=7054571&amp;Result=3","7054571")</f>
        <v>0</v>
      </c>
      <c r="B10796" t="s">
        <v>736</v>
      </c>
      <c r="C10796" t="s">
        <v>13709</v>
      </c>
      <c r="D10796" t="s">
        <v>17455</v>
      </c>
      <c r="E10796" t="s">
        <v>26731</v>
      </c>
      <c r="F10796" t="s">
        <v>30052</v>
      </c>
      <c r="G10796" t="s">
        <v>30058</v>
      </c>
      <c r="H10796" t="s">
        <v>15498</v>
      </c>
      <c r="I10796" t="s">
        <v>30084</v>
      </c>
      <c r="J10796" t="s">
        <v>30557</v>
      </c>
      <c r="K10796" t="s">
        <v>39025</v>
      </c>
      <c r="M10796" t="s">
        <v>40049</v>
      </c>
      <c r="N10796" t="s">
        <v>43166</v>
      </c>
      <c r="O10796" t="s">
        <v>43167</v>
      </c>
      <c r="P10796">
        <v>0</v>
      </c>
      <c r="Q10796">
        <v>11</v>
      </c>
      <c r="R10796" t="s">
        <v>43180</v>
      </c>
      <c r="S10796" t="s">
        <v>43646</v>
      </c>
      <c r="T10796" t="s">
        <v>44699</v>
      </c>
      <c r="U10796" t="s">
        <v>53808</v>
      </c>
      <c r="W10796" t="s">
        <v>40049</v>
      </c>
      <c r="X10796" t="s">
        <v>43186</v>
      </c>
    </row>
    <row r="10797" spans="1:24">
      <c r="A10797">
        <f>HYPERLINK("https://www.philgeps.gov.ph/GEPSNONPILOT/Tender/SplashBidNoticeAbstractUI.aspx?menuIndex=3&amp;refID=5942824&amp;Result=3","5942824")</f>
        <v>0</v>
      </c>
      <c r="B10797" t="s">
        <v>3017</v>
      </c>
      <c r="C10797" t="s">
        <v>13710</v>
      </c>
      <c r="D10797" t="s">
        <v>17421</v>
      </c>
      <c r="E10797" t="s">
        <v>18173</v>
      </c>
      <c r="F10797" t="s">
        <v>30052</v>
      </c>
      <c r="G10797" t="s">
        <v>30058</v>
      </c>
      <c r="H10797" t="s">
        <v>30067</v>
      </c>
      <c r="I10797" t="s">
        <v>3693</v>
      </c>
      <c r="J10797" t="s">
        <v>36796</v>
      </c>
      <c r="K10797" t="s">
        <v>39135</v>
      </c>
      <c r="M10797" t="s">
        <v>42594</v>
      </c>
      <c r="N10797" t="s">
        <v>43166</v>
      </c>
      <c r="O10797" t="s">
        <v>43167</v>
      </c>
      <c r="P10797">
        <v>0</v>
      </c>
      <c r="Q10797">
        <v>1</v>
      </c>
      <c r="R10797" t="s">
        <v>43180</v>
      </c>
      <c r="S10797" t="s">
        <v>43646</v>
      </c>
      <c r="T10797" t="s">
        <v>44795</v>
      </c>
      <c r="U10797" t="s">
        <v>53809</v>
      </c>
      <c r="W10797" t="s">
        <v>42594</v>
      </c>
      <c r="X10797" t="s">
        <v>58737</v>
      </c>
    </row>
    <row r="10798" spans="1:24">
      <c r="A10798">
        <f>HYPERLINK("https://www.philgeps.gov.ph/GEPSNONPILOT/Tender/SplashBidNoticeAbstractUI.aspx?menuIndex=3&amp;refID=7067325&amp;Result=3","7067325")</f>
        <v>0</v>
      </c>
      <c r="B10798" t="s">
        <v>3012</v>
      </c>
      <c r="C10798" t="s">
        <v>13711</v>
      </c>
      <c r="D10798" t="s">
        <v>17415</v>
      </c>
      <c r="E10798" t="s">
        <v>13711</v>
      </c>
      <c r="F10798" t="s">
        <v>30052</v>
      </c>
      <c r="G10798" t="s">
        <v>30058</v>
      </c>
      <c r="H10798" t="s">
        <v>15498</v>
      </c>
      <c r="I10798" t="s">
        <v>4119</v>
      </c>
      <c r="J10798" t="s">
        <v>30574</v>
      </c>
      <c r="K10798" t="s">
        <v>39029</v>
      </c>
      <c r="M10798" t="s">
        <v>42587</v>
      </c>
      <c r="N10798" t="s">
        <v>43166</v>
      </c>
      <c r="O10798" t="s">
        <v>43167</v>
      </c>
      <c r="P10798">
        <v>0</v>
      </c>
      <c r="Q10798">
        <v>1</v>
      </c>
      <c r="R10798" t="s">
        <v>43179</v>
      </c>
      <c r="S10798" t="s">
        <v>43583</v>
      </c>
      <c r="T10798" t="s">
        <v>44753</v>
      </c>
      <c r="U10798" t="s">
        <v>53790</v>
      </c>
      <c r="W10798" t="s">
        <v>42587</v>
      </c>
      <c r="X10798" t="s">
        <v>43180</v>
      </c>
    </row>
    <row r="10799" spans="1:24">
      <c r="A10799">
        <f>HYPERLINK("https://www.philgeps.gov.ph/GEPSNONPILOT/Tender/SplashBidNoticeAbstractUI.aspx?menuIndex=3&amp;refID=7067324&amp;Result=3","7067324")</f>
        <v>0</v>
      </c>
      <c r="B10799" t="s">
        <v>43</v>
      </c>
      <c r="C10799" t="s">
        <v>13712</v>
      </c>
      <c r="D10799" t="s">
        <v>17426</v>
      </c>
      <c r="E10799" t="s">
        <v>26732</v>
      </c>
      <c r="F10799" t="s">
        <v>30052</v>
      </c>
      <c r="G10799" t="s">
        <v>30058</v>
      </c>
      <c r="H10799" t="s">
        <v>30067</v>
      </c>
      <c r="I10799" t="s">
        <v>3693</v>
      </c>
      <c r="J10799" t="s">
        <v>30557</v>
      </c>
      <c r="K10799" t="s">
        <v>39065</v>
      </c>
      <c r="M10799" t="s">
        <v>39333</v>
      </c>
      <c r="N10799" t="s">
        <v>43166</v>
      </c>
      <c r="O10799" t="s">
        <v>43167</v>
      </c>
      <c r="Q10799">
        <v>6</v>
      </c>
      <c r="R10799" t="s">
        <v>43179</v>
      </c>
      <c r="S10799" t="s">
        <v>43650</v>
      </c>
      <c r="T10799" t="s">
        <v>44750</v>
      </c>
      <c r="U10799" t="s">
        <v>53810</v>
      </c>
      <c r="W10799" t="s">
        <v>39333</v>
      </c>
      <c r="X10799" t="s">
        <v>43180</v>
      </c>
    </row>
    <row r="10800" spans="1:24">
      <c r="A10800">
        <f>HYPERLINK("https://www.philgeps.gov.ph/GEPSNONPILOT/Tender/SplashBidNoticeAbstractUI.aspx?menuIndex=3&amp;refID=7065840&amp;Result=3","7065840")</f>
        <v>0</v>
      </c>
      <c r="B10800" t="s">
        <v>2965</v>
      </c>
      <c r="C10800" t="s">
        <v>13713</v>
      </c>
      <c r="D10800" t="s">
        <v>17466</v>
      </c>
      <c r="E10800" t="s">
        <v>26733</v>
      </c>
      <c r="F10800" t="s">
        <v>30052</v>
      </c>
      <c r="G10800" t="s">
        <v>30058</v>
      </c>
      <c r="H10800" t="s">
        <v>15498</v>
      </c>
      <c r="I10800" t="s">
        <v>4119</v>
      </c>
      <c r="J10800" t="s">
        <v>31556</v>
      </c>
      <c r="K10800" t="s">
        <v>39039</v>
      </c>
      <c r="M10800" t="s">
        <v>42530</v>
      </c>
      <c r="N10800" t="s">
        <v>43166</v>
      </c>
      <c r="O10800" t="s">
        <v>43167</v>
      </c>
      <c r="P10800">
        <v>0</v>
      </c>
      <c r="Q10800">
        <v>0</v>
      </c>
      <c r="R10800" t="s">
        <v>43179</v>
      </c>
      <c r="S10800" t="s">
        <v>43583</v>
      </c>
      <c r="T10800" t="s">
        <v>44802</v>
      </c>
      <c r="U10800" t="s">
        <v>53811</v>
      </c>
      <c r="W10800" t="s">
        <v>42530</v>
      </c>
      <c r="X10800" t="s">
        <v>43180</v>
      </c>
    </row>
    <row r="10801" spans="1:24">
      <c r="A10801">
        <f>HYPERLINK("https://www.philgeps.gov.ph/GEPSNONPILOT/Tender/SplashBidNoticeAbstractUI.aspx?menuIndex=3&amp;refID=7065530&amp;Result=3","7065530")</f>
        <v>0</v>
      </c>
      <c r="B10801" t="s">
        <v>1920</v>
      </c>
      <c r="C10801" t="s">
        <v>13714</v>
      </c>
      <c r="D10801" t="s">
        <v>17476</v>
      </c>
      <c r="E10801" t="s">
        <v>13714</v>
      </c>
      <c r="F10801" t="s">
        <v>30052</v>
      </c>
      <c r="G10801" t="s">
        <v>30058</v>
      </c>
      <c r="H10801" t="s">
        <v>15498</v>
      </c>
      <c r="I10801" t="s">
        <v>3736</v>
      </c>
      <c r="J10801" t="s">
        <v>36797</v>
      </c>
      <c r="K10801" t="s">
        <v>39023</v>
      </c>
      <c r="M10801" t="s">
        <v>41352</v>
      </c>
      <c r="N10801" t="s">
        <v>43166</v>
      </c>
      <c r="O10801" t="s">
        <v>43167</v>
      </c>
      <c r="P10801">
        <v>0</v>
      </c>
      <c r="Q10801">
        <v>0</v>
      </c>
      <c r="R10801" t="s">
        <v>43179</v>
      </c>
      <c r="S10801" t="s">
        <v>43583</v>
      </c>
      <c r="T10801" t="s">
        <v>44795</v>
      </c>
      <c r="U10801" t="s">
        <v>53812</v>
      </c>
      <c r="W10801" t="s">
        <v>41352</v>
      </c>
      <c r="X10801" t="s">
        <v>43180</v>
      </c>
    </row>
    <row r="10802" spans="1:24">
      <c r="A10802">
        <f>HYPERLINK("https://www.philgeps.gov.ph/GEPSNONPILOT/Tender/SplashBidNoticeAbstractUI.aspx?menuIndex=3&amp;refID=7065521&amp;Result=3","7065521")</f>
        <v>0</v>
      </c>
      <c r="B10802" t="s">
        <v>2775</v>
      </c>
      <c r="C10802" t="s">
        <v>13715</v>
      </c>
      <c r="D10802" t="s">
        <v>17445</v>
      </c>
      <c r="E10802" t="s">
        <v>26734</v>
      </c>
      <c r="F10802" t="s">
        <v>30052</v>
      </c>
      <c r="G10802" t="s">
        <v>30058</v>
      </c>
      <c r="H10802" t="s">
        <v>15498</v>
      </c>
      <c r="I10802" t="s">
        <v>30183</v>
      </c>
      <c r="J10802" t="s">
        <v>36798</v>
      </c>
      <c r="K10802" t="s">
        <v>39029</v>
      </c>
      <c r="M10802" t="s">
        <v>42311</v>
      </c>
      <c r="N10802" t="s">
        <v>43166</v>
      </c>
      <c r="O10802" t="s">
        <v>43167</v>
      </c>
      <c r="P10802">
        <v>0</v>
      </c>
      <c r="Q10802">
        <v>3</v>
      </c>
      <c r="R10802" t="s">
        <v>43179</v>
      </c>
      <c r="S10802" t="s">
        <v>43583</v>
      </c>
      <c r="T10802" t="s">
        <v>45143</v>
      </c>
      <c r="U10802" t="s">
        <v>53813</v>
      </c>
      <c r="W10802" t="s">
        <v>42311</v>
      </c>
      <c r="X10802" t="s">
        <v>43180</v>
      </c>
    </row>
    <row r="10803" spans="1:24">
      <c r="A10803">
        <f>HYPERLINK("https://www.philgeps.gov.ph/GEPSNONPILOT/Tender/SplashBidNoticeAbstractUI.aspx?menuIndex=3&amp;refID=7065511&amp;Result=3","7065511")</f>
        <v>0</v>
      </c>
      <c r="B10803" t="s">
        <v>377</v>
      </c>
      <c r="C10803" t="s">
        <v>13716</v>
      </c>
      <c r="D10803" t="s">
        <v>17447</v>
      </c>
      <c r="E10803" t="s">
        <v>26735</v>
      </c>
      <c r="F10803" t="s">
        <v>30052</v>
      </c>
      <c r="G10803" t="s">
        <v>30058</v>
      </c>
      <c r="H10803" t="s">
        <v>15498</v>
      </c>
      <c r="I10803" t="s">
        <v>30084</v>
      </c>
      <c r="J10803" t="s">
        <v>30247</v>
      </c>
      <c r="K10803" t="s">
        <v>39029</v>
      </c>
      <c r="M10803" t="s">
        <v>42595</v>
      </c>
      <c r="N10803" t="s">
        <v>43166</v>
      </c>
      <c r="O10803" t="s">
        <v>43167</v>
      </c>
      <c r="P10803">
        <v>0</v>
      </c>
      <c r="Q10803">
        <v>11</v>
      </c>
      <c r="R10803" t="s">
        <v>43179</v>
      </c>
      <c r="S10803" t="s">
        <v>43583</v>
      </c>
      <c r="T10803" t="s">
        <v>45010</v>
      </c>
      <c r="U10803" t="s">
        <v>53814</v>
      </c>
      <c r="W10803" t="s">
        <v>42595</v>
      </c>
      <c r="X10803" t="s">
        <v>43180</v>
      </c>
    </row>
    <row r="10804" spans="1:24">
      <c r="A10804">
        <f>HYPERLINK("https://www.philgeps.gov.ph/GEPSNONPILOT/Tender/SplashBidNoticeAbstractUI.aspx?menuIndex=3&amp;refID=7067326&amp;Result=3","7067326")</f>
        <v>0</v>
      </c>
      <c r="B10804" t="s">
        <v>1103</v>
      </c>
      <c r="C10804" t="s">
        <v>13717</v>
      </c>
      <c r="D10804" t="s">
        <v>17415</v>
      </c>
      <c r="E10804" t="s">
        <v>26736</v>
      </c>
      <c r="F10804" t="s">
        <v>30052</v>
      </c>
      <c r="G10804" t="s">
        <v>30058</v>
      </c>
      <c r="H10804" t="s">
        <v>15498</v>
      </c>
      <c r="I10804" t="s">
        <v>30084</v>
      </c>
      <c r="J10804" t="s">
        <v>36049</v>
      </c>
      <c r="K10804" t="s">
        <v>39023</v>
      </c>
      <c r="M10804" t="s">
        <v>42580</v>
      </c>
      <c r="N10804" t="s">
        <v>43166</v>
      </c>
      <c r="O10804" t="s">
        <v>43167</v>
      </c>
      <c r="P10804">
        <v>0</v>
      </c>
      <c r="Q10804">
        <v>12</v>
      </c>
      <c r="R10804" t="s">
        <v>43179</v>
      </c>
      <c r="S10804" t="s">
        <v>43583</v>
      </c>
      <c r="T10804" t="s">
        <v>44750</v>
      </c>
      <c r="U10804" t="s">
        <v>53815</v>
      </c>
      <c r="W10804" t="s">
        <v>42580</v>
      </c>
      <c r="X10804" t="s">
        <v>43180</v>
      </c>
    </row>
    <row r="10805" spans="1:24">
      <c r="A10805">
        <f>HYPERLINK("https://www.philgeps.gov.ph/GEPSNONPILOT/Tender/SplashBidNoticeAbstractUI.aspx?menuIndex=3&amp;refID=7059306&amp;Result=3","7059306")</f>
        <v>0</v>
      </c>
      <c r="B10805" t="s">
        <v>33</v>
      </c>
      <c r="C10805" t="s">
        <v>13718</v>
      </c>
      <c r="D10805" t="s">
        <v>17419</v>
      </c>
      <c r="E10805" t="s">
        <v>26737</v>
      </c>
      <c r="F10805" t="s">
        <v>30052</v>
      </c>
      <c r="G10805" t="s">
        <v>30058</v>
      </c>
      <c r="H10805" t="s">
        <v>15498</v>
      </c>
      <c r="I10805" t="s">
        <v>5961</v>
      </c>
      <c r="J10805" t="s">
        <v>36799</v>
      </c>
      <c r="K10805" t="s">
        <v>39025</v>
      </c>
      <c r="M10805" t="s">
        <v>39323</v>
      </c>
      <c r="N10805" t="s">
        <v>43166</v>
      </c>
      <c r="O10805" t="s">
        <v>43167</v>
      </c>
      <c r="P10805">
        <v>0</v>
      </c>
      <c r="Q10805">
        <v>2</v>
      </c>
      <c r="R10805" t="s">
        <v>43180</v>
      </c>
      <c r="S10805" t="s">
        <v>43646</v>
      </c>
      <c r="T10805" t="s">
        <v>44969</v>
      </c>
      <c r="U10805" t="s">
        <v>53816</v>
      </c>
      <c r="W10805" t="s">
        <v>39323</v>
      </c>
      <c r="X10805" t="s">
        <v>43182</v>
      </c>
    </row>
    <row r="10806" spans="1:24">
      <c r="A10806">
        <f>HYPERLINK("https://www.philgeps.gov.ph/GEPSNONPILOT/Tender/SplashBidNoticeAbstractUI.aspx?menuIndex=3&amp;refID=7066448&amp;Result=3","7066448")</f>
        <v>0</v>
      </c>
      <c r="B10806" t="s">
        <v>1711</v>
      </c>
      <c r="C10806" t="s">
        <v>13719</v>
      </c>
      <c r="D10806" t="s">
        <v>17465</v>
      </c>
      <c r="E10806" t="s">
        <v>26738</v>
      </c>
      <c r="F10806" t="s">
        <v>30052</v>
      </c>
      <c r="G10806" t="s">
        <v>30058</v>
      </c>
      <c r="H10806" t="s">
        <v>15498</v>
      </c>
      <c r="I10806" t="s">
        <v>30074</v>
      </c>
      <c r="J10806" t="s">
        <v>30215</v>
      </c>
      <c r="K10806" t="s">
        <v>39019</v>
      </c>
      <c r="L10806" t="s">
        <v>1711</v>
      </c>
      <c r="M10806" t="s">
        <v>41126</v>
      </c>
      <c r="N10806" t="s">
        <v>43166</v>
      </c>
      <c r="O10806" t="s">
        <v>43167</v>
      </c>
      <c r="P10806">
        <v>0</v>
      </c>
      <c r="Q10806">
        <v>6</v>
      </c>
      <c r="R10806" t="s">
        <v>43179</v>
      </c>
      <c r="S10806" t="s">
        <v>43583</v>
      </c>
      <c r="T10806" t="s">
        <v>44754</v>
      </c>
      <c r="U10806" t="s">
        <v>52086</v>
      </c>
      <c r="V10806" t="s">
        <v>58043</v>
      </c>
      <c r="W10806" t="s">
        <v>41126</v>
      </c>
      <c r="X10806" t="s">
        <v>43180</v>
      </c>
    </row>
    <row r="10807" spans="1:24">
      <c r="A10807">
        <f>HYPERLINK("https://www.philgeps.gov.ph/GEPSNONPILOT/Tender/SplashBidNoticeAbstractUI.aspx?menuIndex=3&amp;refID=7059348&amp;Result=3","7059348")</f>
        <v>0</v>
      </c>
      <c r="B10807" t="s">
        <v>33</v>
      </c>
      <c r="C10807" t="s">
        <v>13720</v>
      </c>
      <c r="D10807" t="s">
        <v>17419</v>
      </c>
      <c r="E10807" t="s">
        <v>26739</v>
      </c>
      <c r="F10807" t="s">
        <v>30052</v>
      </c>
      <c r="G10807" t="s">
        <v>30058</v>
      </c>
      <c r="H10807" t="s">
        <v>15498</v>
      </c>
      <c r="I10807" t="s">
        <v>3736</v>
      </c>
      <c r="J10807" t="s">
        <v>36800</v>
      </c>
      <c r="K10807" t="s">
        <v>39025</v>
      </c>
      <c r="M10807" t="s">
        <v>39323</v>
      </c>
      <c r="N10807" t="s">
        <v>43166</v>
      </c>
      <c r="O10807" t="s">
        <v>43167</v>
      </c>
      <c r="P10807">
        <v>0</v>
      </c>
      <c r="Q10807">
        <v>1</v>
      </c>
      <c r="R10807" t="s">
        <v>43180</v>
      </c>
      <c r="S10807" t="s">
        <v>43646</v>
      </c>
      <c r="T10807" t="s">
        <v>44969</v>
      </c>
      <c r="U10807" t="s">
        <v>53817</v>
      </c>
      <c r="W10807" t="s">
        <v>39323</v>
      </c>
      <c r="X10807" t="s">
        <v>43182</v>
      </c>
    </row>
    <row r="10808" spans="1:24">
      <c r="A10808">
        <f>HYPERLINK("https://www.philgeps.gov.ph/GEPSNONPILOT/Tender/SplashBidNoticeAbstractUI.aspx?menuIndex=3&amp;refID=7059342&amp;Result=3","7059342")</f>
        <v>0</v>
      </c>
      <c r="B10808" t="s">
        <v>2614</v>
      </c>
      <c r="C10808" t="s">
        <v>13721</v>
      </c>
      <c r="D10808" t="s">
        <v>17425</v>
      </c>
      <c r="E10808" t="s">
        <v>25879</v>
      </c>
      <c r="F10808" t="s">
        <v>30055</v>
      </c>
      <c r="G10808" t="s">
        <v>30060</v>
      </c>
      <c r="H10808" t="s">
        <v>30067</v>
      </c>
      <c r="I10808" t="s">
        <v>3693</v>
      </c>
      <c r="J10808" t="s">
        <v>36801</v>
      </c>
      <c r="K10808" t="s">
        <v>39046</v>
      </c>
      <c r="M10808" t="s">
        <v>42126</v>
      </c>
      <c r="N10808" t="s">
        <v>43166</v>
      </c>
      <c r="O10808" t="s">
        <v>43167</v>
      </c>
      <c r="P10808">
        <v>0</v>
      </c>
      <c r="Q10808">
        <v>1</v>
      </c>
      <c r="R10808" t="s">
        <v>43180</v>
      </c>
      <c r="S10808" t="s">
        <v>43646</v>
      </c>
      <c r="T10808" t="s">
        <v>44777</v>
      </c>
      <c r="U10808" t="s">
        <v>53818</v>
      </c>
      <c r="W10808" t="s">
        <v>42126</v>
      </c>
      <c r="X10808" t="s">
        <v>43182</v>
      </c>
    </row>
    <row r="10809" spans="1:24">
      <c r="A10809">
        <f>HYPERLINK("https://www.philgeps.gov.ph/GEPSNONPILOT/Tender/SplashBidNoticeAbstractUI.aspx?menuIndex=3&amp;refID=7067328&amp;Result=3","7067328")</f>
        <v>0</v>
      </c>
      <c r="B10809" t="s">
        <v>3012</v>
      </c>
      <c r="C10809" t="s">
        <v>13722</v>
      </c>
      <c r="D10809" t="s">
        <v>17415</v>
      </c>
      <c r="E10809" t="s">
        <v>13722</v>
      </c>
      <c r="F10809" t="s">
        <v>30052</v>
      </c>
      <c r="G10809" t="s">
        <v>30058</v>
      </c>
      <c r="H10809" t="s">
        <v>15498</v>
      </c>
      <c r="I10809" t="s">
        <v>4119</v>
      </c>
      <c r="J10809" t="s">
        <v>36802</v>
      </c>
      <c r="K10809" t="s">
        <v>39029</v>
      </c>
      <c r="M10809" t="s">
        <v>42587</v>
      </c>
      <c r="N10809" t="s">
        <v>43166</v>
      </c>
      <c r="O10809" t="s">
        <v>43167</v>
      </c>
      <c r="P10809">
        <v>0</v>
      </c>
      <c r="Q10809">
        <v>1</v>
      </c>
      <c r="R10809" t="s">
        <v>43179</v>
      </c>
      <c r="S10809" t="s">
        <v>43583</v>
      </c>
      <c r="T10809" t="s">
        <v>44753</v>
      </c>
      <c r="U10809" t="s">
        <v>53790</v>
      </c>
      <c r="W10809" t="s">
        <v>42587</v>
      </c>
      <c r="X10809" t="s">
        <v>43180</v>
      </c>
    </row>
    <row r="10810" spans="1:24">
      <c r="A10810">
        <f>HYPERLINK("https://www.philgeps.gov.ph/GEPSNONPILOT/Tender/SplashBidNoticeAbstractUI.aspx?menuIndex=3&amp;refID=7059278&amp;Result=3","7059278")</f>
        <v>0</v>
      </c>
      <c r="B10810" t="s">
        <v>33</v>
      </c>
      <c r="C10810" t="s">
        <v>13723</v>
      </c>
      <c r="D10810" t="s">
        <v>17419</v>
      </c>
      <c r="E10810" t="s">
        <v>26740</v>
      </c>
      <c r="F10810" t="s">
        <v>30052</v>
      </c>
      <c r="G10810" t="s">
        <v>30058</v>
      </c>
      <c r="H10810" t="s">
        <v>15498</v>
      </c>
      <c r="I10810" t="s">
        <v>3736</v>
      </c>
      <c r="J10810" t="s">
        <v>36803</v>
      </c>
      <c r="K10810" t="s">
        <v>39025</v>
      </c>
      <c r="M10810" t="s">
        <v>39323</v>
      </c>
      <c r="N10810" t="s">
        <v>43166</v>
      </c>
      <c r="O10810" t="s">
        <v>43167</v>
      </c>
      <c r="P10810">
        <v>0</v>
      </c>
      <c r="Q10810">
        <v>1</v>
      </c>
      <c r="R10810" t="s">
        <v>43180</v>
      </c>
      <c r="S10810" t="s">
        <v>43646</v>
      </c>
      <c r="T10810" t="s">
        <v>44969</v>
      </c>
      <c r="U10810" t="s">
        <v>53819</v>
      </c>
      <c r="W10810" t="s">
        <v>39323</v>
      </c>
      <c r="X10810" t="s">
        <v>43182</v>
      </c>
    </row>
    <row r="10811" spans="1:24">
      <c r="A10811">
        <f>HYPERLINK("https://www.philgeps.gov.ph/GEPSNONPILOT/Tender/SplashBidNoticeAbstractUI.aspx?menuIndex=3&amp;refID=7059221&amp;Result=3","7059221")</f>
        <v>0</v>
      </c>
      <c r="B10811" t="s">
        <v>3018</v>
      </c>
      <c r="C10811" t="s">
        <v>13724</v>
      </c>
      <c r="D10811" t="s">
        <v>17447</v>
      </c>
      <c r="E10811" t="s">
        <v>26741</v>
      </c>
      <c r="F10811" t="s">
        <v>30052</v>
      </c>
      <c r="G10811" t="s">
        <v>30058</v>
      </c>
      <c r="H10811" t="s">
        <v>15498</v>
      </c>
      <c r="I10811" t="s">
        <v>9238</v>
      </c>
      <c r="J10811" t="s">
        <v>33440</v>
      </c>
      <c r="K10811" t="s">
        <v>39023</v>
      </c>
      <c r="M10811" t="s">
        <v>42596</v>
      </c>
      <c r="N10811" t="s">
        <v>43166</v>
      </c>
      <c r="O10811" t="s">
        <v>43167</v>
      </c>
      <c r="Q10811">
        <v>20</v>
      </c>
      <c r="R10811" t="s">
        <v>43180</v>
      </c>
      <c r="S10811" t="s">
        <v>43651</v>
      </c>
      <c r="T10811" t="s">
        <v>44699</v>
      </c>
      <c r="U10811" t="s">
        <v>53820</v>
      </c>
      <c r="V10811" t="s">
        <v>53820</v>
      </c>
      <c r="W10811" t="s">
        <v>42596</v>
      </c>
      <c r="X10811" t="s">
        <v>43182</v>
      </c>
    </row>
    <row r="10812" spans="1:24">
      <c r="A10812">
        <f>HYPERLINK("https://www.philgeps.gov.ph/GEPSNONPILOT/Tender/SplashBidNoticeAbstractUI.aspx?menuIndex=3&amp;refID=7059250&amp;Result=3","7059250")</f>
        <v>0</v>
      </c>
      <c r="B10812" t="s">
        <v>33</v>
      </c>
      <c r="C10812" t="s">
        <v>13725</v>
      </c>
      <c r="D10812" t="s">
        <v>17419</v>
      </c>
      <c r="E10812" t="s">
        <v>26742</v>
      </c>
      <c r="F10812" t="s">
        <v>30052</v>
      </c>
      <c r="G10812" t="s">
        <v>30058</v>
      </c>
      <c r="H10812" t="s">
        <v>15498</v>
      </c>
      <c r="I10812" t="s">
        <v>3736</v>
      </c>
      <c r="J10812" t="s">
        <v>36804</v>
      </c>
      <c r="K10812" t="s">
        <v>39025</v>
      </c>
      <c r="M10812" t="s">
        <v>39323</v>
      </c>
      <c r="N10812" t="s">
        <v>43166</v>
      </c>
      <c r="O10812" t="s">
        <v>43167</v>
      </c>
      <c r="P10812">
        <v>0</v>
      </c>
      <c r="Q10812">
        <v>0</v>
      </c>
      <c r="R10812" t="s">
        <v>43180</v>
      </c>
      <c r="S10812" t="s">
        <v>43646</v>
      </c>
      <c r="T10812" t="s">
        <v>44969</v>
      </c>
      <c r="U10812" t="s">
        <v>53821</v>
      </c>
      <c r="W10812" t="s">
        <v>39323</v>
      </c>
      <c r="X10812" t="s">
        <v>43182</v>
      </c>
    </row>
    <row r="10813" spans="1:24">
      <c r="A10813">
        <f>HYPERLINK("https://www.philgeps.gov.ph/GEPSNONPILOT/Tender/SplashBidNoticeAbstractUI.aspx?menuIndex=3&amp;refID=7059216&amp;Result=3","7059216")</f>
        <v>0</v>
      </c>
      <c r="B10813" t="s">
        <v>33</v>
      </c>
      <c r="C10813" t="s">
        <v>13726</v>
      </c>
      <c r="D10813" t="s">
        <v>17419</v>
      </c>
      <c r="E10813" t="s">
        <v>26743</v>
      </c>
      <c r="F10813" t="s">
        <v>30052</v>
      </c>
      <c r="G10813" t="s">
        <v>30058</v>
      </c>
      <c r="H10813" t="s">
        <v>15498</v>
      </c>
      <c r="I10813" t="s">
        <v>3736</v>
      </c>
      <c r="J10813" t="s">
        <v>36805</v>
      </c>
      <c r="K10813" t="s">
        <v>39025</v>
      </c>
      <c r="M10813" t="s">
        <v>39323</v>
      </c>
      <c r="N10813" t="s">
        <v>43166</v>
      </c>
      <c r="O10813" t="s">
        <v>43167</v>
      </c>
      <c r="P10813">
        <v>0</v>
      </c>
      <c r="Q10813">
        <v>0</v>
      </c>
      <c r="R10813" t="s">
        <v>43180</v>
      </c>
      <c r="S10813" t="s">
        <v>43646</v>
      </c>
      <c r="T10813" t="s">
        <v>44969</v>
      </c>
      <c r="U10813" t="s">
        <v>53822</v>
      </c>
      <c r="W10813" t="s">
        <v>39323</v>
      </c>
      <c r="X10813" t="s">
        <v>43182</v>
      </c>
    </row>
    <row r="10814" spans="1:24">
      <c r="A10814">
        <f>HYPERLINK("https://www.philgeps.gov.ph/GEPSNONPILOT/Tender/SplashBidNoticeAbstractUI.aspx?menuIndex=3&amp;refID=7059332&amp;Result=3","7059332")</f>
        <v>0</v>
      </c>
      <c r="B10814" t="s">
        <v>33</v>
      </c>
      <c r="C10814" t="s">
        <v>13727</v>
      </c>
      <c r="D10814" t="s">
        <v>17419</v>
      </c>
      <c r="E10814" t="s">
        <v>26744</v>
      </c>
      <c r="F10814" t="s">
        <v>30052</v>
      </c>
      <c r="G10814" t="s">
        <v>30058</v>
      </c>
      <c r="H10814" t="s">
        <v>15498</v>
      </c>
      <c r="I10814" t="s">
        <v>3736</v>
      </c>
      <c r="J10814" t="s">
        <v>36806</v>
      </c>
      <c r="K10814" t="s">
        <v>39025</v>
      </c>
      <c r="M10814" t="s">
        <v>39323</v>
      </c>
      <c r="N10814" t="s">
        <v>43166</v>
      </c>
      <c r="O10814" t="s">
        <v>43167</v>
      </c>
      <c r="P10814">
        <v>0</v>
      </c>
      <c r="Q10814">
        <v>0</v>
      </c>
      <c r="R10814" t="s">
        <v>43180</v>
      </c>
      <c r="S10814" t="s">
        <v>43646</v>
      </c>
      <c r="T10814" t="s">
        <v>44969</v>
      </c>
      <c r="U10814" t="s">
        <v>53823</v>
      </c>
      <c r="W10814" t="s">
        <v>39323</v>
      </c>
      <c r="X10814" t="s">
        <v>43182</v>
      </c>
    </row>
    <row r="10815" spans="1:24">
      <c r="A10815">
        <f>HYPERLINK("https://www.philgeps.gov.ph/GEPSNONPILOT/Tender/SplashBidNoticeAbstractUI.aspx?menuIndex=3&amp;refID=6920277&amp;Result=3","6920277")</f>
        <v>0</v>
      </c>
      <c r="B10815" t="s">
        <v>3019</v>
      </c>
      <c r="C10815" t="s">
        <v>13728</v>
      </c>
      <c r="D10815" t="s">
        <v>17422</v>
      </c>
      <c r="E10815" t="s">
        <v>18583</v>
      </c>
      <c r="F10815" t="s">
        <v>30052</v>
      </c>
      <c r="G10815" t="s">
        <v>30058</v>
      </c>
      <c r="H10815" t="s">
        <v>30067</v>
      </c>
      <c r="I10815" t="s">
        <v>3693</v>
      </c>
      <c r="J10815" t="s">
        <v>30222</v>
      </c>
      <c r="K10815" t="s">
        <v>39022</v>
      </c>
      <c r="L10815" t="s">
        <v>3019</v>
      </c>
      <c r="M10815" t="s">
        <v>42597</v>
      </c>
      <c r="N10815" t="s">
        <v>43166</v>
      </c>
      <c r="O10815" t="s">
        <v>43167</v>
      </c>
      <c r="P10815">
        <v>0</v>
      </c>
      <c r="Q10815">
        <v>5</v>
      </c>
      <c r="R10815" t="s">
        <v>43180</v>
      </c>
      <c r="S10815" t="s">
        <v>43646</v>
      </c>
      <c r="T10815" t="s">
        <v>44794</v>
      </c>
      <c r="U10815" t="s">
        <v>53824</v>
      </c>
      <c r="V10815" t="s">
        <v>58044</v>
      </c>
      <c r="W10815" t="s">
        <v>42597</v>
      </c>
      <c r="X10815" t="s">
        <v>43234</v>
      </c>
    </row>
    <row r="10816" spans="1:24">
      <c r="A10816">
        <f>HYPERLINK("https://www.philgeps.gov.ph/GEPSNONPILOT/Tender/SplashBidNoticeAbstractUI.aspx?menuIndex=3&amp;refID=7059137&amp;Result=3","7059137")</f>
        <v>0</v>
      </c>
      <c r="B10816" t="s">
        <v>3018</v>
      </c>
      <c r="C10816" t="s">
        <v>13729</v>
      </c>
      <c r="D10816" t="s">
        <v>17475</v>
      </c>
      <c r="E10816" t="s">
        <v>26745</v>
      </c>
      <c r="F10816" t="s">
        <v>30052</v>
      </c>
      <c r="G10816" t="s">
        <v>30058</v>
      </c>
      <c r="H10816" t="s">
        <v>30067</v>
      </c>
      <c r="I10816" t="s">
        <v>3693</v>
      </c>
      <c r="J10816" t="s">
        <v>36807</v>
      </c>
      <c r="K10816" t="s">
        <v>39024</v>
      </c>
      <c r="M10816" t="s">
        <v>42596</v>
      </c>
      <c r="N10816" t="s">
        <v>43166</v>
      </c>
      <c r="O10816" t="s">
        <v>43167</v>
      </c>
      <c r="Q10816">
        <v>4</v>
      </c>
      <c r="R10816" t="s">
        <v>43180</v>
      </c>
      <c r="S10816" t="s">
        <v>43652</v>
      </c>
      <c r="T10816" t="s">
        <v>44699</v>
      </c>
      <c r="U10816" t="s">
        <v>53820</v>
      </c>
      <c r="V10816" t="s">
        <v>53820</v>
      </c>
      <c r="W10816" t="s">
        <v>42596</v>
      </c>
      <c r="X10816" t="s">
        <v>43182</v>
      </c>
    </row>
    <row r="10817" spans="1:24">
      <c r="A10817">
        <f>HYPERLINK("https://www.philgeps.gov.ph/GEPSNONPILOT/Tender/SplashBidNoticeAbstractUI.aspx?menuIndex=3&amp;refID=7059187&amp;Result=3","7059187")</f>
        <v>0</v>
      </c>
      <c r="B10817" t="s">
        <v>33</v>
      </c>
      <c r="C10817" t="s">
        <v>13730</v>
      </c>
      <c r="D10817" t="s">
        <v>17419</v>
      </c>
      <c r="E10817" t="s">
        <v>26746</v>
      </c>
      <c r="F10817" t="s">
        <v>30052</v>
      </c>
      <c r="G10817" t="s">
        <v>30058</v>
      </c>
      <c r="H10817" t="s">
        <v>15498</v>
      </c>
      <c r="I10817" t="s">
        <v>3736</v>
      </c>
      <c r="J10817" t="s">
        <v>36808</v>
      </c>
      <c r="K10817" t="s">
        <v>39025</v>
      </c>
      <c r="M10817" t="s">
        <v>39323</v>
      </c>
      <c r="N10817" t="s">
        <v>43166</v>
      </c>
      <c r="O10817" t="s">
        <v>43167</v>
      </c>
      <c r="P10817">
        <v>0</v>
      </c>
      <c r="Q10817">
        <v>1</v>
      </c>
      <c r="R10817" t="s">
        <v>43180</v>
      </c>
      <c r="S10817" t="s">
        <v>43646</v>
      </c>
      <c r="T10817" t="s">
        <v>44969</v>
      </c>
      <c r="U10817" t="s">
        <v>53825</v>
      </c>
      <c r="W10817" t="s">
        <v>39323</v>
      </c>
      <c r="X10817" t="s">
        <v>43182</v>
      </c>
    </row>
    <row r="10818" spans="1:24">
      <c r="A10818">
        <f>HYPERLINK("https://www.philgeps.gov.ph/GEPSNONPILOT/Tender/SplashBidNoticeAbstractUI.aspx?menuIndex=3&amp;refID=7065419&amp;Result=3","7065419")</f>
        <v>0</v>
      </c>
      <c r="B10818" t="s">
        <v>2204</v>
      </c>
      <c r="C10818" t="s">
        <v>13731</v>
      </c>
      <c r="D10818" t="s">
        <v>17432</v>
      </c>
      <c r="E10818" t="s">
        <v>23363</v>
      </c>
      <c r="F10818" t="s">
        <v>30052</v>
      </c>
      <c r="G10818" t="s">
        <v>30058</v>
      </c>
      <c r="H10818" t="s">
        <v>15498</v>
      </c>
      <c r="I10818" t="s">
        <v>30084</v>
      </c>
      <c r="J10818" t="s">
        <v>36809</v>
      </c>
      <c r="K10818" t="s">
        <v>39034</v>
      </c>
      <c r="M10818" t="s">
        <v>41673</v>
      </c>
      <c r="N10818" t="s">
        <v>43166</v>
      </c>
      <c r="O10818" t="s">
        <v>43167</v>
      </c>
      <c r="P10818">
        <v>0</v>
      </c>
      <c r="Q10818">
        <v>6</v>
      </c>
      <c r="R10818" t="s">
        <v>43179</v>
      </c>
      <c r="S10818" t="s">
        <v>43583</v>
      </c>
      <c r="T10818" t="s">
        <v>44943</v>
      </c>
      <c r="U10818" t="s">
        <v>53826</v>
      </c>
      <c r="W10818" t="s">
        <v>41673</v>
      </c>
      <c r="X10818" t="s">
        <v>43180</v>
      </c>
    </row>
    <row r="10819" spans="1:24">
      <c r="A10819">
        <f>HYPERLINK("https://www.philgeps.gov.ph/GEPSNONPILOT/Tender/SplashBidNoticeAbstractUI.aspx?menuIndex=3&amp;refID=7059133&amp;Result=3","7059133")</f>
        <v>0</v>
      </c>
      <c r="B10819" t="s">
        <v>33</v>
      </c>
      <c r="C10819" t="s">
        <v>13732</v>
      </c>
      <c r="D10819" t="s">
        <v>17419</v>
      </c>
      <c r="E10819" t="s">
        <v>26747</v>
      </c>
      <c r="F10819" t="s">
        <v>30052</v>
      </c>
      <c r="G10819" t="s">
        <v>30058</v>
      </c>
      <c r="H10819" t="s">
        <v>15498</v>
      </c>
      <c r="I10819" t="s">
        <v>3736</v>
      </c>
      <c r="J10819" t="s">
        <v>36810</v>
      </c>
      <c r="K10819" t="s">
        <v>39025</v>
      </c>
      <c r="M10819" t="s">
        <v>39323</v>
      </c>
      <c r="N10819" t="s">
        <v>43166</v>
      </c>
      <c r="O10819" t="s">
        <v>43167</v>
      </c>
      <c r="P10819">
        <v>0</v>
      </c>
      <c r="Q10819">
        <v>0</v>
      </c>
      <c r="R10819" t="s">
        <v>43180</v>
      </c>
      <c r="S10819" t="s">
        <v>43646</v>
      </c>
      <c r="T10819" t="s">
        <v>44969</v>
      </c>
      <c r="U10819" t="s">
        <v>53827</v>
      </c>
      <c r="W10819" t="s">
        <v>39323</v>
      </c>
      <c r="X10819" t="s">
        <v>43182</v>
      </c>
    </row>
    <row r="10820" spans="1:24">
      <c r="A10820">
        <f>HYPERLINK("https://www.philgeps.gov.ph/GEPSNONPILOT/Tender/SplashBidNoticeAbstractUI.aspx?menuIndex=3&amp;refID=7059063&amp;Result=3","7059063")</f>
        <v>0</v>
      </c>
      <c r="B10820" t="s">
        <v>33</v>
      </c>
      <c r="C10820" t="s">
        <v>13733</v>
      </c>
      <c r="D10820" t="s">
        <v>17419</v>
      </c>
      <c r="E10820" t="s">
        <v>26748</v>
      </c>
      <c r="F10820" t="s">
        <v>30052</v>
      </c>
      <c r="G10820" t="s">
        <v>30058</v>
      </c>
      <c r="H10820" t="s">
        <v>15498</v>
      </c>
      <c r="I10820" t="s">
        <v>3736</v>
      </c>
      <c r="J10820" t="s">
        <v>31952</v>
      </c>
      <c r="K10820" t="s">
        <v>39025</v>
      </c>
      <c r="M10820" t="s">
        <v>39323</v>
      </c>
      <c r="N10820" t="s">
        <v>43166</v>
      </c>
      <c r="O10820" t="s">
        <v>43167</v>
      </c>
      <c r="P10820">
        <v>0</v>
      </c>
      <c r="Q10820">
        <v>0</v>
      </c>
      <c r="R10820" t="s">
        <v>43180</v>
      </c>
      <c r="S10820" t="s">
        <v>43646</v>
      </c>
      <c r="T10820" t="s">
        <v>44969</v>
      </c>
      <c r="U10820" t="s">
        <v>53828</v>
      </c>
      <c r="W10820" t="s">
        <v>39323</v>
      </c>
      <c r="X10820" t="s">
        <v>43182</v>
      </c>
    </row>
    <row r="10821" spans="1:24">
      <c r="A10821">
        <f>HYPERLINK("https://www.philgeps.gov.ph/GEPSNONPILOT/Tender/SplashBidNoticeAbstractUI.aspx?menuIndex=3&amp;refID=7059052&amp;Result=3","7059052")</f>
        <v>0</v>
      </c>
      <c r="B10821" t="s">
        <v>33</v>
      </c>
      <c r="C10821" t="s">
        <v>13734</v>
      </c>
      <c r="D10821" t="s">
        <v>17419</v>
      </c>
      <c r="E10821" t="s">
        <v>26749</v>
      </c>
      <c r="F10821" t="s">
        <v>30052</v>
      </c>
      <c r="G10821" t="s">
        <v>30058</v>
      </c>
      <c r="H10821" t="s">
        <v>15498</v>
      </c>
      <c r="I10821" t="s">
        <v>3736</v>
      </c>
      <c r="J10821" t="s">
        <v>36811</v>
      </c>
      <c r="K10821" t="s">
        <v>39025</v>
      </c>
      <c r="M10821" t="s">
        <v>39323</v>
      </c>
      <c r="N10821" t="s">
        <v>43166</v>
      </c>
      <c r="O10821" t="s">
        <v>43167</v>
      </c>
      <c r="P10821">
        <v>0</v>
      </c>
      <c r="Q10821">
        <v>0</v>
      </c>
      <c r="R10821" t="s">
        <v>43180</v>
      </c>
      <c r="S10821" t="s">
        <v>43646</v>
      </c>
      <c r="T10821" t="s">
        <v>45005</v>
      </c>
      <c r="U10821" t="s">
        <v>53829</v>
      </c>
      <c r="W10821" t="s">
        <v>39323</v>
      </c>
      <c r="X10821" t="s">
        <v>43182</v>
      </c>
    </row>
    <row r="10822" spans="1:24">
      <c r="A10822">
        <f>HYPERLINK("https://www.philgeps.gov.ph/GEPSNONPILOT/Tender/SplashBidNoticeAbstractUI.aspx?menuIndex=3&amp;refID=7058259&amp;Result=3","7058259")</f>
        <v>0</v>
      </c>
      <c r="B10822" t="s">
        <v>1000</v>
      </c>
      <c r="C10822" t="s">
        <v>13735</v>
      </c>
      <c r="D10822" t="s">
        <v>17422</v>
      </c>
      <c r="E10822" t="s">
        <v>26750</v>
      </c>
      <c r="F10822" t="s">
        <v>30052</v>
      </c>
      <c r="G10822" t="s">
        <v>30058</v>
      </c>
      <c r="H10822" t="s">
        <v>15498</v>
      </c>
      <c r="I10822" t="s">
        <v>30088</v>
      </c>
      <c r="J10822" t="s">
        <v>30256</v>
      </c>
      <c r="K10822" t="s">
        <v>39029</v>
      </c>
      <c r="M10822" t="s">
        <v>40541</v>
      </c>
      <c r="N10822" t="s">
        <v>43166</v>
      </c>
      <c r="O10822" t="s">
        <v>43167</v>
      </c>
      <c r="P10822">
        <v>0</v>
      </c>
      <c r="Q10822">
        <v>3</v>
      </c>
      <c r="R10822" t="s">
        <v>43180</v>
      </c>
      <c r="S10822" t="s">
        <v>43646</v>
      </c>
      <c r="T10822" t="s">
        <v>44762</v>
      </c>
      <c r="U10822" t="s">
        <v>53830</v>
      </c>
      <c r="V10822" t="s">
        <v>57187</v>
      </c>
      <c r="W10822" t="s">
        <v>40541</v>
      </c>
      <c r="X10822" t="s">
        <v>43184</v>
      </c>
    </row>
    <row r="10823" spans="1:24">
      <c r="A10823">
        <f>HYPERLINK("https://www.philgeps.gov.ph/GEPSNONPILOT/Tender/SplashBidNoticeAbstractUI.aspx?menuIndex=3&amp;refID=7059090&amp;Result=3","7059090")</f>
        <v>0</v>
      </c>
      <c r="B10823" t="s">
        <v>3018</v>
      </c>
      <c r="C10823" t="s">
        <v>13736</v>
      </c>
      <c r="E10823" t="s">
        <v>26751</v>
      </c>
      <c r="F10823" t="s">
        <v>30052</v>
      </c>
      <c r="G10823" t="s">
        <v>30058</v>
      </c>
      <c r="H10823" t="s">
        <v>15498</v>
      </c>
      <c r="I10823" t="s">
        <v>30120</v>
      </c>
      <c r="J10823" t="s">
        <v>36812</v>
      </c>
      <c r="K10823" t="s">
        <v>39031</v>
      </c>
      <c r="M10823" t="s">
        <v>42596</v>
      </c>
      <c r="N10823" t="s">
        <v>43166</v>
      </c>
      <c r="O10823" t="s">
        <v>43167</v>
      </c>
      <c r="Q10823">
        <v>4</v>
      </c>
      <c r="R10823" t="s">
        <v>43180</v>
      </c>
      <c r="S10823" t="s">
        <v>43398</v>
      </c>
      <c r="T10823" t="s">
        <v>44699</v>
      </c>
      <c r="U10823" t="s">
        <v>53820</v>
      </c>
      <c r="V10823" t="s">
        <v>53820</v>
      </c>
      <c r="W10823" t="s">
        <v>42596</v>
      </c>
      <c r="X10823" t="s">
        <v>43182</v>
      </c>
    </row>
    <row r="10824" spans="1:24">
      <c r="A10824">
        <f>HYPERLINK("https://www.philgeps.gov.ph/GEPSNONPILOT/Tender/SplashBidNoticeAbstractUI.aspx?menuIndex=3&amp;refID=7059627&amp;Result=3","7059627")</f>
        <v>0</v>
      </c>
      <c r="B10824" t="s">
        <v>2697</v>
      </c>
      <c r="C10824" t="s">
        <v>13737</v>
      </c>
      <c r="D10824" t="s">
        <v>17445</v>
      </c>
      <c r="E10824" t="s">
        <v>26752</v>
      </c>
      <c r="F10824" t="s">
        <v>30052</v>
      </c>
      <c r="G10824" t="s">
        <v>30058</v>
      </c>
      <c r="H10824" t="s">
        <v>30067</v>
      </c>
      <c r="I10824" t="s">
        <v>3693</v>
      </c>
      <c r="J10824" t="s">
        <v>30222</v>
      </c>
      <c r="K10824" t="s">
        <v>39129</v>
      </c>
      <c r="M10824" t="s">
        <v>42588</v>
      </c>
      <c r="N10824" t="s">
        <v>43166</v>
      </c>
      <c r="O10824" t="s">
        <v>43167</v>
      </c>
      <c r="Q10824">
        <v>1</v>
      </c>
      <c r="R10824" t="s">
        <v>43180</v>
      </c>
      <c r="S10824" t="s">
        <v>43653</v>
      </c>
      <c r="T10824" t="s">
        <v>44758</v>
      </c>
      <c r="U10824" t="s">
        <v>53831</v>
      </c>
      <c r="W10824" t="s">
        <v>42588</v>
      </c>
      <c r="X10824" t="s">
        <v>43182</v>
      </c>
    </row>
    <row r="10825" spans="1:24">
      <c r="A10825">
        <f>HYPERLINK("https://www.philgeps.gov.ph/GEPSNONPILOT/Tender/SplashBidNoticeAbstractUI.aspx?menuIndex=3&amp;refID=7054369&amp;Result=3","7054369")</f>
        <v>0</v>
      </c>
      <c r="B10825" t="s">
        <v>3016</v>
      </c>
      <c r="C10825" t="s">
        <v>13738</v>
      </c>
      <c r="D10825" t="s">
        <v>17467</v>
      </c>
      <c r="E10825" t="s">
        <v>18646</v>
      </c>
      <c r="F10825" t="s">
        <v>30052</v>
      </c>
      <c r="G10825" t="s">
        <v>30058</v>
      </c>
      <c r="H10825" t="s">
        <v>30067</v>
      </c>
      <c r="I10825" t="s">
        <v>3693</v>
      </c>
      <c r="J10825" t="s">
        <v>36813</v>
      </c>
      <c r="K10825" t="s">
        <v>39086</v>
      </c>
      <c r="M10825" t="s">
        <v>42593</v>
      </c>
      <c r="N10825" t="s">
        <v>43166</v>
      </c>
      <c r="O10825" t="s">
        <v>43167</v>
      </c>
      <c r="P10825">
        <v>0</v>
      </c>
      <c r="Q10825">
        <v>0</v>
      </c>
      <c r="R10825" t="s">
        <v>43180</v>
      </c>
      <c r="S10825" t="s">
        <v>43646</v>
      </c>
      <c r="T10825" t="s">
        <v>44704</v>
      </c>
      <c r="U10825" t="s">
        <v>53832</v>
      </c>
      <c r="W10825" t="s">
        <v>42593</v>
      </c>
      <c r="X10825" t="s">
        <v>43186</v>
      </c>
    </row>
    <row r="10826" spans="1:24">
      <c r="A10826">
        <f>HYPERLINK("https://www.philgeps.gov.ph/GEPSNONPILOT/Tender/SplashBidNoticeAbstractUI.aspx?menuIndex=3&amp;refID=7059160&amp;Result=3","7059160")</f>
        <v>0</v>
      </c>
      <c r="B10826" t="s">
        <v>33</v>
      </c>
      <c r="C10826" t="s">
        <v>13739</v>
      </c>
      <c r="D10826" t="s">
        <v>17419</v>
      </c>
      <c r="E10826" t="s">
        <v>26753</v>
      </c>
      <c r="F10826" t="s">
        <v>30052</v>
      </c>
      <c r="G10826" t="s">
        <v>30058</v>
      </c>
      <c r="H10826" t="s">
        <v>15498</v>
      </c>
      <c r="I10826" t="s">
        <v>3736</v>
      </c>
      <c r="J10826" t="s">
        <v>36814</v>
      </c>
      <c r="K10826" t="s">
        <v>39025</v>
      </c>
      <c r="M10826" t="s">
        <v>39323</v>
      </c>
      <c r="N10826" t="s">
        <v>43166</v>
      </c>
      <c r="O10826" t="s">
        <v>43167</v>
      </c>
      <c r="P10826">
        <v>0</v>
      </c>
      <c r="Q10826">
        <v>0</v>
      </c>
      <c r="R10826" t="s">
        <v>43180</v>
      </c>
      <c r="S10826" t="s">
        <v>43646</v>
      </c>
      <c r="T10826" t="s">
        <v>44969</v>
      </c>
      <c r="U10826" t="s">
        <v>53833</v>
      </c>
      <c r="W10826" t="s">
        <v>39323</v>
      </c>
      <c r="X10826" t="s">
        <v>43182</v>
      </c>
    </row>
    <row r="10827" spans="1:24">
      <c r="A10827">
        <f>HYPERLINK("https://www.philgeps.gov.ph/GEPSNONPILOT/Tender/SplashBidNoticeAbstractUI.aspx?menuIndex=3&amp;refID=7058258&amp;Result=3","7058258")</f>
        <v>0</v>
      </c>
      <c r="B10827" t="s">
        <v>1000</v>
      </c>
      <c r="C10827" t="s">
        <v>13740</v>
      </c>
      <c r="D10827" t="s">
        <v>17422</v>
      </c>
      <c r="E10827" t="s">
        <v>26754</v>
      </c>
      <c r="F10827" t="s">
        <v>30052</v>
      </c>
      <c r="G10827" t="s">
        <v>30058</v>
      </c>
      <c r="H10827" t="s">
        <v>15498</v>
      </c>
      <c r="I10827" t="s">
        <v>30088</v>
      </c>
      <c r="J10827" t="s">
        <v>36502</v>
      </c>
      <c r="K10827" t="s">
        <v>39029</v>
      </c>
      <c r="M10827" t="s">
        <v>40541</v>
      </c>
      <c r="N10827" t="s">
        <v>43166</v>
      </c>
      <c r="O10827" t="s">
        <v>43167</v>
      </c>
      <c r="P10827">
        <v>0</v>
      </c>
      <c r="Q10827">
        <v>1</v>
      </c>
      <c r="R10827" t="s">
        <v>43180</v>
      </c>
      <c r="S10827" t="s">
        <v>43646</v>
      </c>
      <c r="T10827" t="s">
        <v>44762</v>
      </c>
      <c r="U10827" t="s">
        <v>53834</v>
      </c>
      <c r="V10827" t="s">
        <v>57187</v>
      </c>
      <c r="W10827" t="s">
        <v>40541</v>
      </c>
      <c r="X10827" t="s">
        <v>43184</v>
      </c>
    </row>
    <row r="10828" spans="1:24">
      <c r="A10828">
        <f>HYPERLINK("https://www.philgeps.gov.ph/GEPSNONPILOT/Tender/SplashBidNoticeAbstractUI.aspx?menuIndex=3&amp;refID=7059589&amp;Result=3","7059589")</f>
        <v>0</v>
      </c>
      <c r="B10828" t="s">
        <v>3020</v>
      </c>
      <c r="C10828" t="s">
        <v>13741</v>
      </c>
      <c r="D10828" t="s">
        <v>17442</v>
      </c>
      <c r="E10828" t="s">
        <v>26755</v>
      </c>
      <c r="F10828" t="s">
        <v>30052</v>
      </c>
      <c r="G10828" t="s">
        <v>30058</v>
      </c>
      <c r="H10828" t="s">
        <v>15498</v>
      </c>
      <c r="I10828" t="s">
        <v>3852</v>
      </c>
      <c r="J10828" t="s">
        <v>36815</v>
      </c>
      <c r="K10828" t="s">
        <v>39025</v>
      </c>
      <c r="M10828" t="s">
        <v>42598</v>
      </c>
      <c r="N10828" t="s">
        <v>43166</v>
      </c>
      <c r="O10828" t="s">
        <v>43167</v>
      </c>
      <c r="P10828">
        <v>0</v>
      </c>
      <c r="Q10828">
        <v>3</v>
      </c>
      <c r="R10828" t="s">
        <v>43180</v>
      </c>
      <c r="S10828" t="s">
        <v>43646</v>
      </c>
      <c r="T10828" t="s">
        <v>44691</v>
      </c>
      <c r="U10828" t="s">
        <v>53835</v>
      </c>
      <c r="W10828" t="s">
        <v>42598</v>
      </c>
      <c r="X10828" t="s">
        <v>43182</v>
      </c>
    </row>
    <row r="10829" spans="1:24">
      <c r="A10829">
        <f>HYPERLINK("https://www.philgeps.gov.ph/GEPSNONPILOT/Tender/SplashBidNoticeAbstractUI.aspx?menuIndex=3&amp;refID=7059572&amp;Result=3","7059572")</f>
        <v>0</v>
      </c>
      <c r="B10829" t="s">
        <v>33</v>
      </c>
      <c r="C10829" t="s">
        <v>13742</v>
      </c>
      <c r="D10829" t="s">
        <v>17419</v>
      </c>
      <c r="E10829" t="s">
        <v>26756</v>
      </c>
      <c r="F10829" t="s">
        <v>30052</v>
      </c>
      <c r="G10829" t="s">
        <v>30058</v>
      </c>
      <c r="H10829" t="s">
        <v>15498</v>
      </c>
      <c r="I10829" t="s">
        <v>3736</v>
      </c>
      <c r="J10829" t="s">
        <v>36816</v>
      </c>
      <c r="K10829" t="s">
        <v>39025</v>
      </c>
      <c r="M10829" t="s">
        <v>39323</v>
      </c>
      <c r="N10829" t="s">
        <v>43166</v>
      </c>
      <c r="O10829" t="s">
        <v>43167</v>
      </c>
      <c r="P10829">
        <v>0</v>
      </c>
      <c r="Q10829">
        <v>0</v>
      </c>
      <c r="R10829" t="s">
        <v>43180</v>
      </c>
      <c r="S10829" t="s">
        <v>43646</v>
      </c>
      <c r="T10829" t="s">
        <v>44969</v>
      </c>
      <c r="U10829" t="s">
        <v>53836</v>
      </c>
      <c r="W10829" t="s">
        <v>39323</v>
      </c>
      <c r="X10829" t="s">
        <v>43182</v>
      </c>
    </row>
    <row r="10830" spans="1:24">
      <c r="A10830">
        <f>HYPERLINK("https://www.philgeps.gov.ph/GEPSNONPILOT/Tender/SplashBidNoticeAbstractUI.aspx?menuIndex=3&amp;refID=7059109&amp;Result=3","7059109")</f>
        <v>0</v>
      </c>
      <c r="B10830" t="s">
        <v>33</v>
      </c>
      <c r="C10830" t="s">
        <v>13743</v>
      </c>
      <c r="D10830" t="s">
        <v>17419</v>
      </c>
      <c r="E10830" t="s">
        <v>26757</v>
      </c>
      <c r="F10830" t="s">
        <v>30052</v>
      </c>
      <c r="G10830" t="s">
        <v>30058</v>
      </c>
      <c r="H10830" t="s">
        <v>15498</v>
      </c>
      <c r="I10830" t="s">
        <v>3736</v>
      </c>
      <c r="J10830" t="s">
        <v>36817</v>
      </c>
      <c r="K10830" t="s">
        <v>39025</v>
      </c>
      <c r="M10830" t="s">
        <v>39323</v>
      </c>
      <c r="N10830" t="s">
        <v>43166</v>
      </c>
      <c r="O10830" t="s">
        <v>43167</v>
      </c>
      <c r="P10830">
        <v>0</v>
      </c>
      <c r="Q10830">
        <v>0</v>
      </c>
      <c r="R10830" t="s">
        <v>43180</v>
      </c>
      <c r="S10830" t="s">
        <v>43646</v>
      </c>
      <c r="T10830" t="s">
        <v>44969</v>
      </c>
      <c r="U10830" t="s">
        <v>53837</v>
      </c>
      <c r="W10830" t="s">
        <v>39323</v>
      </c>
      <c r="X10830" t="s">
        <v>43182</v>
      </c>
    </row>
    <row r="10831" spans="1:24">
      <c r="A10831">
        <f>HYPERLINK("https://www.philgeps.gov.ph/GEPSNONPILOT/Tender/SplashBidNoticeAbstractUI.aspx?menuIndex=3&amp;refID=7059552&amp;Result=3","7059552")</f>
        <v>0</v>
      </c>
      <c r="B10831" t="s">
        <v>2697</v>
      </c>
      <c r="C10831" t="s">
        <v>13744</v>
      </c>
      <c r="D10831" t="s">
        <v>17445</v>
      </c>
      <c r="E10831" t="s">
        <v>26758</v>
      </c>
      <c r="F10831" t="s">
        <v>30052</v>
      </c>
      <c r="G10831" t="s">
        <v>30058</v>
      </c>
      <c r="H10831" t="s">
        <v>30067</v>
      </c>
      <c r="I10831" t="s">
        <v>3693</v>
      </c>
      <c r="J10831" t="s">
        <v>36818</v>
      </c>
      <c r="K10831" t="s">
        <v>39065</v>
      </c>
      <c r="M10831" t="s">
        <v>42588</v>
      </c>
      <c r="N10831" t="s">
        <v>43166</v>
      </c>
      <c r="O10831" t="s">
        <v>43167</v>
      </c>
      <c r="Q10831">
        <v>2</v>
      </c>
      <c r="R10831" t="s">
        <v>43180</v>
      </c>
      <c r="S10831" t="s">
        <v>43654</v>
      </c>
      <c r="T10831" t="s">
        <v>44758</v>
      </c>
      <c r="U10831" t="s">
        <v>53838</v>
      </c>
      <c r="W10831" t="s">
        <v>42588</v>
      </c>
      <c r="X10831" t="s">
        <v>43182</v>
      </c>
    </row>
    <row r="10832" spans="1:24">
      <c r="A10832">
        <f>HYPERLINK("https://www.philgeps.gov.ph/GEPSNONPILOT/Tender/SplashBidNoticeAbstractUI.aspx?menuIndex=3&amp;refID=7059533&amp;Result=3","7059533")</f>
        <v>0</v>
      </c>
      <c r="B10832" t="s">
        <v>2697</v>
      </c>
      <c r="C10832" t="s">
        <v>13745</v>
      </c>
      <c r="D10832" t="s">
        <v>17445</v>
      </c>
      <c r="E10832" t="s">
        <v>26759</v>
      </c>
      <c r="F10832" t="s">
        <v>30052</v>
      </c>
      <c r="G10832" t="s">
        <v>30058</v>
      </c>
      <c r="H10832" t="s">
        <v>30067</v>
      </c>
      <c r="I10832" t="s">
        <v>3693</v>
      </c>
      <c r="J10832" t="s">
        <v>36819</v>
      </c>
      <c r="K10832" t="s">
        <v>39247</v>
      </c>
      <c r="M10832" t="s">
        <v>42588</v>
      </c>
      <c r="N10832" t="s">
        <v>43166</v>
      </c>
      <c r="O10832" t="s">
        <v>43167</v>
      </c>
      <c r="Q10832">
        <v>1</v>
      </c>
      <c r="R10832" t="s">
        <v>43180</v>
      </c>
      <c r="S10832" t="s">
        <v>43655</v>
      </c>
      <c r="T10832" t="s">
        <v>44758</v>
      </c>
      <c r="U10832" t="s">
        <v>53839</v>
      </c>
      <c r="W10832" t="s">
        <v>42588</v>
      </c>
      <c r="X10832" t="s">
        <v>43182</v>
      </c>
    </row>
    <row r="10833" spans="1:24">
      <c r="A10833">
        <f>HYPERLINK("https://www.philgeps.gov.ph/GEPSNONPILOT/Tender/SplashBidNoticeAbstractUI.aspx?menuIndex=3&amp;refID=7059603&amp;Result=3","7059603")</f>
        <v>0</v>
      </c>
      <c r="B10833" t="s">
        <v>33</v>
      </c>
      <c r="C10833" t="s">
        <v>13746</v>
      </c>
      <c r="D10833" t="s">
        <v>17419</v>
      </c>
      <c r="E10833" t="s">
        <v>26760</v>
      </c>
      <c r="F10833" t="s">
        <v>30052</v>
      </c>
      <c r="G10833" t="s">
        <v>30058</v>
      </c>
      <c r="H10833" t="s">
        <v>15498</v>
      </c>
      <c r="I10833" t="s">
        <v>3736</v>
      </c>
      <c r="J10833" t="s">
        <v>36820</v>
      </c>
      <c r="K10833" t="s">
        <v>39025</v>
      </c>
      <c r="M10833" t="s">
        <v>39323</v>
      </c>
      <c r="N10833" t="s">
        <v>43166</v>
      </c>
      <c r="O10833" t="s">
        <v>43167</v>
      </c>
      <c r="P10833">
        <v>0</v>
      </c>
      <c r="Q10833">
        <v>0</v>
      </c>
      <c r="R10833" t="s">
        <v>43180</v>
      </c>
      <c r="S10833" t="s">
        <v>43646</v>
      </c>
      <c r="T10833" t="s">
        <v>44969</v>
      </c>
      <c r="U10833" t="s">
        <v>53840</v>
      </c>
      <c r="W10833" t="s">
        <v>39323</v>
      </c>
      <c r="X10833" t="s">
        <v>43182</v>
      </c>
    </row>
    <row r="10834" spans="1:24">
      <c r="A10834">
        <f>HYPERLINK("https://www.philgeps.gov.ph/GEPSNONPILOT/Tender/SplashBidNoticeAbstractUI.aspx?menuIndex=3&amp;refID=7059523&amp;Result=3","7059523")</f>
        <v>0</v>
      </c>
      <c r="B10834" t="s">
        <v>2697</v>
      </c>
      <c r="C10834" t="s">
        <v>13747</v>
      </c>
      <c r="D10834" t="s">
        <v>17445</v>
      </c>
      <c r="E10834" t="s">
        <v>26761</v>
      </c>
      <c r="F10834" t="s">
        <v>30052</v>
      </c>
      <c r="G10834" t="s">
        <v>30058</v>
      </c>
      <c r="H10834" t="s">
        <v>30067</v>
      </c>
      <c r="I10834" t="s">
        <v>3693</v>
      </c>
      <c r="J10834" t="s">
        <v>36821</v>
      </c>
      <c r="K10834" t="s">
        <v>39232</v>
      </c>
      <c r="M10834" t="s">
        <v>42588</v>
      </c>
      <c r="N10834" t="s">
        <v>43166</v>
      </c>
      <c r="O10834" t="s">
        <v>43167</v>
      </c>
      <c r="Q10834">
        <v>1</v>
      </c>
      <c r="R10834" t="s">
        <v>43180</v>
      </c>
      <c r="S10834" t="s">
        <v>43656</v>
      </c>
      <c r="T10834" t="s">
        <v>44758</v>
      </c>
      <c r="U10834" t="s">
        <v>53841</v>
      </c>
      <c r="W10834" t="s">
        <v>42588</v>
      </c>
      <c r="X10834" t="s">
        <v>43182</v>
      </c>
    </row>
    <row r="10835" spans="1:24">
      <c r="A10835">
        <f>HYPERLINK("https://www.philgeps.gov.ph/GEPSNONPILOT/Tender/SplashBidNoticeAbstractUI.aspx?menuIndex=3&amp;refID=7059155&amp;Result=3","7059155")</f>
        <v>0</v>
      </c>
      <c r="B10835" t="s">
        <v>3014</v>
      </c>
      <c r="C10835" t="s">
        <v>13748</v>
      </c>
      <c r="D10835" t="s">
        <v>17462</v>
      </c>
      <c r="E10835" t="s">
        <v>26762</v>
      </c>
      <c r="F10835" t="s">
        <v>30052</v>
      </c>
      <c r="G10835" t="s">
        <v>30058</v>
      </c>
      <c r="H10835" t="s">
        <v>15498</v>
      </c>
      <c r="I10835" t="s">
        <v>30129</v>
      </c>
      <c r="J10835" t="s">
        <v>33440</v>
      </c>
      <c r="K10835" t="s">
        <v>39019</v>
      </c>
      <c r="M10835" t="s">
        <v>42590</v>
      </c>
      <c r="N10835" t="s">
        <v>43166</v>
      </c>
      <c r="O10835" t="s">
        <v>43167</v>
      </c>
      <c r="P10835">
        <v>0</v>
      </c>
      <c r="Q10835">
        <v>10</v>
      </c>
      <c r="R10835" t="s">
        <v>43180</v>
      </c>
      <c r="S10835" t="s">
        <v>43646</v>
      </c>
      <c r="T10835" t="s">
        <v>44793</v>
      </c>
      <c r="U10835" t="s">
        <v>53842</v>
      </c>
      <c r="W10835" t="s">
        <v>42590</v>
      </c>
      <c r="X10835" t="s">
        <v>43182</v>
      </c>
    </row>
    <row r="10836" spans="1:24">
      <c r="A10836">
        <f>HYPERLINK("https://www.philgeps.gov.ph/GEPSNONPILOT/Tender/SplashBidNoticeAbstractUI.aspx?menuIndex=3&amp;refID=7059516&amp;Result=3","7059516")</f>
        <v>0</v>
      </c>
      <c r="B10836" t="s">
        <v>2697</v>
      </c>
      <c r="C10836" t="s">
        <v>13749</v>
      </c>
      <c r="D10836" t="s">
        <v>17445</v>
      </c>
      <c r="E10836" t="s">
        <v>26763</v>
      </c>
      <c r="F10836" t="s">
        <v>30052</v>
      </c>
      <c r="G10836" t="s">
        <v>30058</v>
      </c>
      <c r="H10836" t="s">
        <v>30067</v>
      </c>
      <c r="I10836" t="s">
        <v>3693</v>
      </c>
      <c r="J10836" t="s">
        <v>36822</v>
      </c>
      <c r="K10836" t="s">
        <v>39071</v>
      </c>
      <c r="M10836" t="s">
        <v>42588</v>
      </c>
      <c r="N10836" t="s">
        <v>43166</v>
      </c>
      <c r="O10836" t="s">
        <v>43167</v>
      </c>
      <c r="Q10836">
        <v>0</v>
      </c>
      <c r="R10836" t="s">
        <v>43180</v>
      </c>
      <c r="S10836" t="s">
        <v>43656</v>
      </c>
      <c r="T10836" t="s">
        <v>44758</v>
      </c>
      <c r="U10836" t="s">
        <v>53843</v>
      </c>
      <c r="W10836" t="s">
        <v>42588</v>
      </c>
      <c r="X10836" t="s">
        <v>43182</v>
      </c>
    </row>
    <row r="10837" spans="1:24">
      <c r="A10837">
        <f>HYPERLINK("https://www.philgeps.gov.ph/GEPSNONPILOT/Tender/SplashBidNoticeAbstractUI.aspx?menuIndex=3&amp;refID=7059511&amp;Result=3","7059511")</f>
        <v>0</v>
      </c>
      <c r="B10837" t="s">
        <v>2697</v>
      </c>
      <c r="C10837" t="s">
        <v>13750</v>
      </c>
      <c r="D10837" t="s">
        <v>17445</v>
      </c>
      <c r="E10837" t="s">
        <v>26764</v>
      </c>
      <c r="F10837" t="s">
        <v>30052</v>
      </c>
      <c r="G10837" t="s">
        <v>30058</v>
      </c>
      <c r="H10837" t="s">
        <v>30067</v>
      </c>
      <c r="I10837" t="s">
        <v>3693</v>
      </c>
      <c r="J10837" t="s">
        <v>36823</v>
      </c>
      <c r="K10837" t="s">
        <v>39248</v>
      </c>
      <c r="M10837" t="s">
        <v>42588</v>
      </c>
      <c r="N10837" t="s">
        <v>43166</v>
      </c>
      <c r="O10837" t="s">
        <v>43167</v>
      </c>
      <c r="Q10837">
        <v>1</v>
      </c>
      <c r="R10837" t="s">
        <v>43180</v>
      </c>
      <c r="S10837" t="s">
        <v>43657</v>
      </c>
      <c r="T10837" t="s">
        <v>44758</v>
      </c>
      <c r="U10837" t="s">
        <v>53844</v>
      </c>
      <c r="W10837" t="s">
        <v>42588</v>
      </c>
      <c r="X10837" t="s">
        <v>43182</v>
      </c>
    </row>
    <row r="10838" spans="1:24">
      <c r="A10838">
        <f>HYPERLINK("https://www.philgeps.gov.ph/GEPSNONPILOT/Tender/SplashBidNoticeAbstractUI.aspx?menuIndex=3&amp;refID=7060516&amp;Result=3","7060516")</f>
        <v>0</v>
      </c>
      <c r="B10838" t="s">
        <v>117</v>
      </c>
      <c r="C10838" t="s">
        <v>13751</v>
      </c>
      <c r="D10838" t="s">
        <v>17424</v>
      </c>
      <c r="E10838" t="s">
        <v>26765</v>
      </c>
      <c r="F10838" t="s">
        <v>30052</v>
      </c>
      <c r="G10838" t="s">
        <v>30058</v>
      </c>
      <c r="H10838" t="s">
        <v>30067</v>
      </c>
      <c r="I10838" t="s">
        <v>3693</v>
      </c>
      <c r="J10838" t="s">
        <v>36824</v>
      </c>
      <c r="K10838" t="s">
        <v>39026</v>
      </c>
      <c r="L10838" t="s">
        <v>117</v>
      </c>
      <c r="M10838" t="s">
        <v>39406</v>
      </c>
      <c r="N10838" t="s">
        <v>43166</v>
      </c>
      <c r="O10838" t="s">
        <v>43167</v>
      </c>
      <c r="P10838">
        <v>0</v>
      </c>
      <c r="Q10838">
        <v>31</v>
      </c>
      <c r="R10838" t="s">
        <v>43180</v>
      </c>
      <c r="S10838" t="s">
        <v>43646</v>
      </c>
      <c r="T10838" t="s">
        <v>44681</v>
      </c>
      <c r="U10838" t="s">
        <v>53845</v>
      </c>
      <c r="W10838" t="s">
        <v>39406</v>
      </c>
      <c r="X10838" t="s">
        <v>43182</v>
      </c>
    </row>
    <row r="10839" spans="1:24">
      <c r="A10839">
        <f>HYPERLINK("https://www.philgeps.gov.ph/GEPSNONPILOT/Tender/SplashBidNoticeAbstractUI.aspx?menuIndex=3&amp;refID=7060477&amp;Result=3","7060477")</f>
        <v>0</v>
      </c>
      <c r="B10839" t="s">
        <v>117</v>
      </c>
      <c r="C10839" t="s">
        <v>13752</v>
      </c>
      <c r="D10839" t="s">
        <v>17424</v>
      </c>
      <c r="E10839" t="s">
        <v>26766</v>
      </c>
      <c r="F10839" t="s">
        <v>30052</v>
      </c>
      <c r="G10839" t="s">
        <v>30058</v>
      </c>
      <c r="H10839" t="s">
        <v>30067</v>
      </c>
      <c r="I10839" t="s">
        <v>3693</v>
      </c>
      <c r="J10839" t="s">
        <v>36825</v>
      </c>
      <c r="K10839" t="s">
        <v>39039</v>
      </c>
      <c r="L10839" t="s">
        <v>117</v>
      </c>
      <c r="M10839" t="s">
        <v>39406</v>
      </c>
      <c r="N10839" t="s">
        <v>43166</v>
      </c>
      <c r="O10839" t="s">
        <v>43167</v>
      </c>
      <c r="P10839">
        <v>0</v>
      </c>
      <c r="Q10839">
        <v>30</v>
      </c>
      <c r="R10839" t="s">
        <v>43180</v>
      </c>
      <c r="S10839" t="s">
        <v>43646</v>
      </c>
      <c r="T10839" t="s">
        <v>44681</v>
      </c>
      <c r="U10839" t="s">
        <v>53845</v>
      </c>
      <c r="W10839" t="s">
        <v>39406</v>
      </c>
      <c r="X10839" t="s">
        <v>43182</v>
      </c>
    </row>
    <row r="10840" spans="1:24">
      <c r="A10840">
        <f>HYPERLINK("https://www.philgeps.gov.ph/GEPSNONPILOT/Tender/SplashBidNoticeAbstractUI.aspx?menuIndex=3&amp;refID=7067358&amp;Result=3","7067358")</f>
        <v>0</v>
      </c>
      <c r="B10840" t="s">
        <v>3012</v>
      </c>
      <c r="C10840" t="s">
        <v>13753</v>
      </c>
      <c r="D10840" t="s">
        <v>17415</v>
      </c>
      <c r="E10840" t="s">
        <v>26767</v>
      </c>
      <c r="F10840" t="s">
        <v>30052</v>
      </c>
      <c r="G10840" t="s">
        <v>30058</v>
      </c>
      <c r="H10840" t="s">
        <v>15498</v>
      </c>
      <c r="I10840" t="s">
        <v>9238</v>
      </c>
      <c r="J10840" t="s">
        <v>36826</v>
      </c>
      <c r="K10840" t="s">
        <v>39029</v>
      </c>
      <c r="M10840" t="s">
        <v>42587</v>
      </c>
      <c r="N10840" t="s">
        <v>43166</v>
      </c>
      <c r="O10840" t="s">
        <v>43167</v>
      </c>
      <c r="P10840">
        <v>0</v>
      </c>
      <c r="Q10840">
        <v>6</v>
      </c>
      <c r="R10840" t="s">
        <v>43179</v>
      </c>
      <c r="S10840" t="s">
        <v>43583</v>
      </c>
      <c r="T10840" t="s">
        <v>44753</v>
      </c>
      <c r="U10840" t="s">
        <v>53787</v>
      </c>
      <c r="W10840" t="s">
        <v>42587</v>
      </c>
      <c r="X10840" t="s">
        <v>43180</v>
      </c>
    </row>
    <row r="10841" spans="1:24">
      <c r="A10841">
        <f>HYPERLINK("https://www.philgeps.gov.ph/GEPSNONPILOT/Tender/SplashBidNoticeAbstractUI.aspx?menuIndex=3&amp;refID=7059575&amp;Result=3","7059575")</f>
        <v>0</v>
      </c>
      <c r="B10841" t="s">
        <v>261</v>
      </c>
      <c r="C10841" t="s">
        <v>13754</v>
      </c>
      <c r="D10841" t="s">
        <v>17454</v>
      </c>
      <c r="E10841" t="s">
        <v>26768</v>
      </c>
      <c r="F10841" t="s">
        <v>30052</v>
      </c>
      <c r="G10841" t="s">
        <v>30058</v>
      </c>
      <c r="H10841" t="s">
        <v>15498</v>
      </c>
      <c r="I10841" t="s">
        <v>3852</v>
      </c>
      <c r="J10841" t="s">
        <v>30222</v>
      </c>
      <c r="K10841" t="s">
        <v>39029</v>
      </c>
      <c r="M10841" t="s">
        <v>39552</v>
      </c>
      <c r="N10841" t="s">
        <v>43166</v>
      </c>
      <c r="O10841" t="s">
        <v>43167</v>
      </c>
      <c r="P10841">
        <v>0</v>
      </c>
      <c r="Q10841">
        <v>2</v>
      </c>
      <c r="R10841" t="s">
        <v>43180</v>
      </c>
      <c r="S10841" t="s">
        <v>43646</v>
      </c>
      <c r="T10841" t="s">
        <v>44753</v>
      </c>
      <c r="U10841" t="s">
        <v>53846</v>
      </c>
      <c r="W10841" t="s">
        <v>39552</v>
      </c>
      <c r="X10841" t="s">
        <v>43182</v>
      </c>
    </row>
    <row r="10842" spans="1:24">
      <c r="A10842">
        <f>HYPERLINK("https://www.philgeps.gov.ph/GEPSNONPILOT/Tender/SplashBidNoticeAbstractUI.aspx?menuIndex=3&amp;refID=7060043&amp;Result=3","7060043")</f>
        <v>0</v>
      </c>
      <c r="B10842" t="s">
        <v>1372</v>
      </c>
      <c r="C10842" t="s">
        <v>13755</v>
      </c>
      <c r="D10842" t="s">
        <v>17424</v>
      </c>
      <c r="E10842" t="s">
        <v>26769</v>
      </c>
      <c r="F10842" t="s">
        <v>30052</v>
      </c>
      <c r="G10842" t="s">
        <v>30058</v>
      </c>
      <c r="H10842" t="s">
        <v>30067</v>
      </c>
      <c r="I10842" t="s">
        <v>3693</v>
      </c>
      <c r="J10842" t="s">
        <v>36827</v>
      </c>
      <c r="K10842" t="s">
        <v>39065</v>
      </c>
      <c r="M10842" t="s">
        <v>40744</v>
      </c>
      <c r="N10842" t="s">
        <v>43166</v>
      </c>
      <c r="O10842" t="s">
        <v>43167</v>
      </c>
      <c r="P10842">
        <v>0</v>
      </c>
      <c r="Q10842">
        <v>7</v>
      </c>
      <c r="R10842" t="s">
        <v>43180</v>
      </c>
      <c r="S10842" t="s">
        <v>43646</v>
      </c>
      <c r="T10842" t="s">
        <v>44699</v>
      </c>
      <c r="U10842" t="s">
        <v>48264</v>
      </c>
      <c r="W10842" t="s">
        <v>40744</v>
      </c>
      <c r="X10842" t="s">
        <v>43182</v>
      </c>
    </row>
    <row r="10843" spans="1:24">
      <c r="A10843">
        <f>HYPERLINK("https://www.philgeps.gov.ph/GEPSNONPILOT/Tender/SplashBidNoticeAbstractUI.aspx?menuIndex=3&amp;refID=7059557&amp;Result=3","7059557")</f>
        <v>0</v>
      </c>
      <c r="B10843" t="s">
        <v>2697</v>
      </c>
      <c r="C10843" t="s">
        <v>13756</v>
      </c>
      <c r="D10843" t="s">
        <v>17445</v>
      </c>
      <c r="E10843" t="s">
        <v>26770</v>
      </c>
      <c r="F10843" t="s">
        <v>30052</v>
      </c>
      <c r="G10843" t="s">
        <v>30058</v>
      </c>
      <c r="H10843" t="s">
        <v>30067</v>
      </c>
      <c r="I10843" t="s">
        <v>3693</v>
      </c>
      <c r="J10843" t="s">
        <v>36819</v>
      </c>
      <c r="K10843" t="s">
        <v>39247</v>
      </c>
      <c r="M10843" t="s">
        <v>42588</v>
      </c>
      <c r="N10843" t="s">
        <v>43166</v>
      </c>
      <c r="O10843" t="s">
        <v>43167</v>
      </c>
      <c r="Q10843">
        <v>0</v>
      </c>
      <c r="R10843" t="s">
        <v>43180</v>
      </c>
      <c r="S10843" t="s">
        <v>43658</v>
      </c>
      <c r="T10843" t="s">
        <v>44758</v>
      </c>
      <c r="U10843" t="s">
        <v>53847</v>
      </c>
      <c r="W10843" t="s">
        <v>42588</v>
      </c>
      <c r="X10843" t="s">
        <v>43182</v>
      </c>
    </row>
    <row r="10844" spans="1:24">
      <c r="A10844">
        <f>HYPERLINK("https://www.philgeps.gov.ph/GEPSNONPILOT/Tender/SplashBidNoticeAbstractUI.aspx?menuIndex=3&amp;refID=7060288&amp;Result=3","7060288")</f>
        <v>0</v>
      </c>
      <c r="B10844" t="s">
        <v>1240</v>
      </c>
      <c r="C10844" t="s">
        <v>13757</v>
      </c>
      <c r="D10844" t="s">
        <v>17424</v>
      </c>
      <c r="E10844" t="s">
        <v>26771</v>
      </c>
      <c r="F10844" t="s">
        <v>30052</v>
      </c>
      <c r="G10844" t="s">
        <v>30058</v>
      </c>
      <c r="H10844" t="s">
        <v>15498</v>
      </c>
      <c r="I10844" t="s">
        <v>30088</v>
      </c>
      <c r="J10844" t="s">
        <v>36828</v>
      </c>
      <c r="K10844" t="s">
        <v>39025</v>
      </c>
      <c r="M10844" t="s">
        <v>40596</v>
      </c>
      <c r="N10844" t="s">
        <v>43166</v>
      </c>
      <c r="O10844" t="s">
        <v>43167</v>
      </c>
      <c r="Q10844">
        <v>22</v>
      </c>
      <c r="R10844" t="s">
        <v>43180</v>
      </c>
      <c r="S10844" t="s">
        <v>43659</v>
      </c>
      <c r="T10844" t="s">
        <v>44741</v>
      </c>
      <c r="U10844" t="s">
        <v>53848</v>
      </c>
      <c r="V10844" t="s">
        <v>58045</v>
      </c>
      <c r="W10844" t="s">
        <v>40596</v>
      </c>
      <c r="X10844" t="s">
        <v>43182</v>
      </c>
    </row>
    <row r="10845" spans="1:24">
      <c r="A10845">
        <f>HYPERLINK("https://www.philgeps.gov.ph/GEPSNONPILOT/Tender/SplashBidNoticeAbstractUI.aspx?menuIndex=3&amp;refID=7059886&amp;Result=3","7059886")</f>
        <v>0</v>
      </c>
      <c r="B10845" t="s">
        <v>687</v>
      </c>
      <c r="C10845" t="s">
        <v>13758</v>
      </c>
      <c r="D10845" t="s">
        <v>17435</v>
      </c>
      <c r="E10845" t="s">
        <v>26772</v>
      </c>
      <c r="F10845" t="s">
        <v>30052</v>
      </c>
      <c r="G10845" t="s">
        <v>30058</v>
      </c>
      <c r="H10845" t="s">
        <v>30067</v>
      </c>
      <c r="I10845" t="s">
        <v>3693</v>
      </c>
      <c r="J10845" t="s">
        <v>36829</v>
      </c>
      <c r="K10845" t="s">
        <v>39057</v>
      </c>
      <c r="M10845" t="s">
        <v>40222</v>
      </c>
      <c r="N10845" t="s">
        <v>43166</v>
      </c>
      <c r="O10845" t="s">
        <v>43167</v>
      </c>
      <c r="P10845">
        <v>0</v>
      </c>
      <c r="Q10845">
        <v>5</v>
      </c>
      <c r="R10845" t="s">
        <v>43180</v>
      </c>
      <c r="S10845" t="s">
        <v>43646</v>
      </c>
      <c r="T10845" t="s">
        <v>44681</v>
      </c>
      <c r="U10845" t="s">
        <v>53849</v>
      </c>
      <c r="W10845" t="s">
        <v>40222</v>
      </c>
      <c r="X10845" t="s">
        <v>43182</v>
      </c>
    </row>
    <row r="10846" spans="1:24">
      <c r="A10846">
        <f>HYPERLINK("https://www.philgeps.gov.ph/GEPSNONPILOT/Tender/SplashBidNoticeAbstractUI.aspx?menuIndex=3&amp;refID=7059543&amp;Result=3","7059543")</f>
        <v>0</v>
      </c>
      <c r="B10846" t="s">
        <v>2697</v>
      </c>
      <c r="C10846" t="s">
        <v>13759</v>
      </c>
      <c r="D10846" t="s">
        <v>17445</v>
      </c>
      <c r="E10846" t="s">
        <v>26773</v>
      </c>
      <c r="F10846" t="s">
        <v>30052</v>
      </c>
      <c r="G10846" t="s">
        <v>30058</v>
      </c>
      <c r="H10846" t="s">
        <v>30067</v>
      </c>
      <c r="I10846" t="s">
        <v>3693</v>
      </c>
      <c r="J10846" t="s">
        <v>36830</v>
      </c>
      <c r="K10846" t="s">
        <v>39196</v>
      </c>
      <c r="M10846" t="s">
        <v>42588</v>
      </c>
      <c r="N10846" t="s">
        <v>43166</v>
      </c>
      <c r="O10846" t="s">
        <v>43167</v>
      </c>
      <c r="Q10846">
        <v>0</v>
      </c>
      <c r="R10846" t="s">
        <v>43180</v>
      </c>
      <c r="S10846" t="s">
        <v>43660</v>
      </c>
      <c r="T10846" t="s">
        <v>44758</v>
      </c>
      <c r="U10846" t="s">
        <v>53850</v>
      </c>
      <c r="W10846" t="s">
        <v>42588</v>
      </c>
      <c r="X10846" t="s">
        <v>43182</v>
      </c>
    </row>
    <row r="10847" spans="1:24">
      <c r="A10847">
        <f>HYPERLINK("https://www.philgeps.gov.ph/GEPSNONPILOT/Tender/SplashBidNoticeAbstractUI.aspx?menuIndex=3&amp;refID=7060452&amp;Result=3","7060452")</f>
        <v>0</v>
      </c>
      <c r="B10847" t="s">
        <v>117</v>
      </c>
      <c r="C10847" t="s">
        <v>13760</v>
      </c>
      <c r="D10847" t="s">
        <v>17424</v>
      </c>
      <c r="E10847" t="s">
        <v>26774</v>
      </c>
      <c r="F10847" t="s">
        <v>30052</v>
      </c>
      <c r="G10847" t="s">
        <v>30058</v>
      </c>
      <c r="H10847" t="s">
        <v>30067</v>
      </c>
      <c r="I10847" t="s">
        <v>3693</v>
      </c>
      <c r="J10847" t="s">
        <v>36831</v>
      </c>
      <c r="K10847" t="s">
        <v>39026</v>
      </c>
      <c r="L10847" t="s">
        <v>117</v>
      </c>
      <c r="M10847" t="s">
        <v>39406</v>
      </c>
      <c r="N10847" t="s">
        <v>43166</v>
      </c>
      <c r="O10847" t="s">
        <v>43167</v>
      </c>
      <c r="P10847">
        <v>0</v>
      </c>
      <c r="Q10847">
        <v>30</v>
      </c>
      <c r="R10847" t="s">
        <v>43180</v>
      </c>
      <c r="S10847" t="s">
        <v>43646</v>
      </c>
      <c r="T10847" t="s">
        <v>44681</v>
      </c>
      <c r="U10847" t="s">
        <v>53845</v>
      </c>
      <c r="V10847" t="s">
        <v>58046</v>
      </c>
      <c r="W10847" t="s">
        <v>39406</v>
      </c>
      <c r="X10847" t="s">
        <v>43182</v>
      </c>
    </row>
    <row r="10848" spans="1:24">
      <c r="A10848">
        <f>HYPERLINK("https://www.philgeps.gov.ph/GEPSNONPILOT/Tender/SplashBidNoticeAbstractUI.aspx?menuIndex=3&amp;refID=7059788&amp;Result=3","7059788")</f>
        <v>0</v>
      </c>
      <c r="B10848" t="s">
        <v>687</v>
      </c>
      <c r="C10848" t="s">
        <v>13761</v>
      </c>
      <c r="D10848" t="s">
        <v>17435</v>
      </c>
      <c r="E10848" t="s">
        <v>26775</v>
      </c>
      <c r="F10848" t="s">
        <v>30052</v>
      </c>
      <c r="G10848" t="s">
        <v>30058</v>
      </c>
      <c r="H10848" t="s">
        <v>30067</v>
      </c>
      <c r="I10848" t="s">
        <v>3693</v>
      </c>
      <c r="J10848" t="s">
        <v>36832</v>
      </c>
      <c r="K10848" t="s">
        <v>39057</v>
      </c>
      <c r="M10848" t="s">
        <v>40222</v>
      </c>
      <c r="N10848" t="s">
        <v>43166</v>
      </c>
      <c r="O10848" t="s">
        <v>43167</v>
      </c>
      <c r="P10848">
        <v>0</v>
      </c>
      <c r="Q10848">
        <v>4</v>
      </c>
      <c r="R10848" t="s">
        <v>43180</v>
      </c>
      <c r="S10848" t="s">
        <v>43646</v>
      </c>
      <c r="T10848" t="s">
        <v>44681</v>
      </c>
      <c r="U10848" t="s">
        <v>53851</v>
      </c>
      <c r="W10848" t="s">
        <v>40222</v>
      </c>
      <c r="X10848" t="s">
        <v>43182</v>
      </c>
    </row>
    <row r="10849" spans="1:24">
      <c r="A10849">
        <f>HYPERLINK("https://www.philgeps.gov.ph/GEPSNONPILOT/Tender/SplashBidNoticeAbstractUI.aspx?menuIndex=3&amp;refID=7059598&amp;Result=3","7059598")</f>
        <v>0</v>
      </c>
      <c r="B10849" t="s">
        <v>1722</v>
      </c>
      <c r="C10849" t="s">
        <v>13762</v>
      </c>
      <c r="D10849" t="s">
        <v>17445</v>
      </c>
      <c r="E10849" t="s">
        <v>26776</v>
      </c>
      <c r="F10849" t="s">
        <v>30052</v>
      </c>
      <c r="G10849" t="s">
        <v>30058</v>
      </c>
      <c r="H10849" t="s">
        <v>15498</v>
      </c>
      <c r="I10849" t="s">
        <v>30084</v>
      </c>
      <c r="J10849" t="s">
        <v>32616</v>
      </c>
      <c r="K10849" t="s">
        <v>39029</v>
      </c>
      <c r="M10849" t="s">
        <v>41138</v>
      </c>
      <c r="N10849" t="s">
        <v>43166</v>
      </c>
      <c r="O10849" t="s">
        <v>43167</v>
      </c>
      <c r="Q10849">
        <v>4</v>
      </c>
      <c r="R10849" t="s">
        <v>43180</v>
      </c>
      <c r="S10849" t="s">
        <v>43661</v>
      </c>
      <c r="T10849" t="s">
        <v>44716</v>
      </c>
      <c r="U10849" t="s">
        <v>53852</v>
      </c>
      <c r="W10849" t="s">
        <v>58653</v>
      </c>
      <c r="X10849" t="s">
        <v>43182</v>
      </c>
    </row>
    <row r="10850" spans="1:24">
      <c r="A10850">
        <f>HYPERLINK("https://www.philgeps.gov.ph/GEPSNONPILOT/Tender/SplashBidNoticeAbstractUI.aspx?menuIndex=3&amp;refID=7059714&amp;Result=3","7059714")</f>
        <v>0</v>
      </c>
      <c r="B10850" t="s">
        <v>33</v>
      </c>
      <c r="C10850" t="s">
        <v>13763</v>
      </c>
      <c r="D10850" t="s">
        <v>17419</v>
      </c>
      <c r="E10850" t="s">
        <v>26777</v>
      </c>
      <c r="F10850" t="s">
        <v>30052</v>
      </c>
      <c r="G10850" t="s">
        <v>30058</v>
      </c>
      <c r="H10850" t="s">
        <v>15498</v>
      </c>
      <c r="I10850" t="s">
        <v>3736</v>
      </c>
      <c r="J10850" t="s">
        <v>36833</v>
      </c>
      <c r="K10850" t="s">
        <v>39025</v>
      </c>
      <c r="M10850" t="s">
        <v>39323</v>
      </c>
      <c r="N10850" t="s">
        <v>43166</v>
      </c>
      <c r="O10850" t="s">
        <v>43167</v>
      </c>
      <c r="P10850">
        <v>0</v>
      </c>
      <c r="Q10850">
        <v>0</v>
      </c>
      <c r="R10850" t="s">
        <v>43180</v>
      </c>
      <c r="S10850" t="s">
        <v>43646</v>
      </c>
      <c r="T10850" t="s">
        <v>44969</v>
      </c>
      <c r="U10850" t="s">
        <v>53853</v>
      </c>
      <c r="W10850" t="s">
        <v>39323</v>
      </c>
      <c r="X10850" t="s">
        <v>43182</v>
      </c>
    </row>
    <row r="10851" spans="1:24">
      <c r="A10851">
        <f>HYPERLINK("https://www.philgeps.gov.ph/GEPSNONPILOT/Tender/SplashBidNoticeAbstractUI.aspx?menuIndex=3&amp;refID=7059672&amp;Result=3","7059672")</f>
        <v>0</v>
      </c>
      <c r="B10851" t="s">
        <v>33</v>
      </c>
      <c r="C10851" t="s">
        <v>13764</v>
      </c>
      <c r="D10851" t="s">
        <v>17419</v>
      </c>
      <c r="E10851" t="s">
        <v>26778</v>
      </c>
      <c r="F10851" t="s">
        <v>30052</v>
      </c>
      <c r="G10851" t="s">
        <v>30058</v>
      </c>
      <c r="H10851" t="s">
        <v>15498</v>
      </c>
      <c r="I10851" t="s">
        <v>3736</v>
      </c>
      <c r="J10851" t="s">
        <v>36834</v>
      </c>
      <c r="K10851" t="s">
        <v>39025</v>
      </c>
      <c r="M10851" t="s">
        <v>39323</v>
      </c>
      <c r="N10851" t="s">
        <v>43166</v>
      </c>
      <c r="O10851" t="s">
        <v>43167</v>
      </c>
      <c r="P10851">
        <v>0</v>
      </c>
      <c r="Q10851">
        <v>0</v>
      </c>
      <c r="R10851" t="s">
        <v>43180</v>
      </c>
      <c r="S10851" t="s">
        <v>43646</v>
      </c>
      <c r="T10851" t="s">
        <v>44969</v>
      </c>
      <c r="U10851" t="s">
        <v>53854</v>
      </c>
      <c r="W10851" t="s">
        <v>39323</v>
      </c>
      <c r="X10851" t="s">
        <v>43182</v>
      </c>
    </row>
    <row r="10852" spans="1:24">
      <c r="A10852">
        <f>HYPERLINK("https://www.philgeps.gov.ph/GEPSNONPILOT/Tender/SplashBidNoticeAbstractUI.aspx?menuIndex=3&amp;refID=7059876&amp;Result=3","7059876")</f>
        <v>0</v>
      </c>
      <c r="B10852" t="s">
        <v>687</v>
      </c>
      <c r="C10852" t="s">
        <v>13765</v>
      </c>
      <c r="D10852" t="s">
        <v>17435</v>
      </c>
      <c r="E10852" t="s">
        <v>26779</v>
      </c>
      <c r="F10852" t="s">
        <v>30052</v>
      </c>
      <c r="G10852" t="s">
        <v>30058</v>
      </c>
      <c r="H10852" t="s">
        <v>30067</v>
      </c>
      <c r="I10852" t="s">
        <v>3693</v>
      </c>
      <c r="J10852" t="s">
        <v>36835</v>
      </c>
      <c r="K10852" t="s">
        <v>39016</v>
      </c>
      <c r="M10852" t="s">
        <v>40222</v>
      </c>
      <c r="N10852" t="s">
        <v>43166</v>
      </c>
      <c r="O10852" t="s">
        <v>43167</v>
      </c>
      <c r="P10852">
        <v>0</v>
      </c>
      <c r="Q10852">
        <v>4</v>
      </c>
      <c r="R10852" t="s">
        <v>43180</v>
      </c>
      <c r="S10852" t="s">
        <v>43646</v>
      </c>
      <c r="T10852" t="s">
        <v>44681</v>
      </c>
      <c r="U10852" t="s">
        <v>53855</v>
      </c>
      <c r="W10852" t="s">
        <v>40222</v>
      </c>
      <c r="X10852" t="s">
        <v>43182</v>
      </c>
    </row>
    <row r="10853" spans="1:24">
      <c r="A10853">
        <f>HYPERLINK("https://www.philgeps.gov.ph/GEPSNONPILOT/Tender/SplashBidNoticeAbstractUI.aspx?menuIndex=3&amp;refID=7061732&amp;Result=3","7061732")</f>
        <v>0</v>
      </c>
      <c r="B10853" t="s">
        <v>74</v>
      </c>
      <c r="C10853" t="s">
        <v>13766</v>
      </c>
      <c r="D10853" t="s">
        <v>17446</v>
      </c>
      <c r="E10853" t="s">
        <v>26780</v>
      </c>
      <c r="F10853" t="s">
        <v>30056</v>
      </c>
      <c r="G10853" t="s">
        <v>30063</v>
      </c>
      <c r="H10853" t="s">
        <v>30068</v>
      </c>
      <c r="I10853" t="s">
        <v>30068</v>
      </c>
      <c r="J10853" t="s">
        <v>31276</v>
      </c>
      <c r="K10853" t="s">
        <v>39025</v>
      </c>
      <c r="M10853" t="s">
        <v>40512</v>
      </c>
      <c r="N10853" t="s">
        <v>43166</v>
      </c>
      <c r="O10853" t="s">
        <v>43167</v>
      </c>
      <c r="Q10853">
        <v>0</v>
      </c>
      <c r="R10853" t="s">
        <v>43180</v>
      </c>
      <c r="S10853" t="s">
        <v>43662</v>
      </c>
      <c r="T10853" t="s">
        <v>44705</v>
      </c>
      <c r="U10853" t="s">
        <v>53856</v>
      </c>
      <c r="W10853" t="s">
        <v>40512</v>
      </c>
      <c r="X10853" t="s">
        <v>43181</v>
      </c>
    </row>
    <row r="10854" spans="1:24">
      <c r="A10854">
        <f>HYPERLINK("https://www.philgeps.gov.ph/GEPSNONPILOT/Tender/SplashBidNoticeAbstractUI.aspx?menuIndex=3&amp;refID=7060089&amp;Result=3","7060089")</f>
        <v>0</v>
      </c>
      <c r="B10854" t="s">
        <v>703</v>
      </c>
      <c r="C10854" t="s">
        <v>13767</v>
      </c>
      <c r="D10854" t="s">
        <v>17445</v>
      </c>
      <c r="E10854" t="s">
        <v>26781</v>
      </c>
      <c r="F10854" t="s">
        <v>30052</v>
      </c>
      <c r="G10854" t="s">
        <v>30058</v>
      </c>
      <c r="H10854" t="s">
        <v>30067</v>
      </c>
      <c r="I10854" t="s">
        <v>3693</v>
      </c>
      <c r="J10854" t="s">
        <v>31835</v>
      </c>
      <c r="K10854" t="s">
        <v>39057</v>
      </c>
      <c r="M10854" t="s">
        <v>40012</v>
      </c>
      <c r="N10854" t="s">
        <v>43166</v>
      </c>
      <c r="O10854" t="s">
        <v>43167</v>
      </c>
      <c r="Q10854">
        <v>4</v>
      </c>
      <c r="R10854" t="s">
        <v>43180</v>
      </c>
      <c r="S10854" t="s">
        <v>43412</v>
      </c>
      <c r="T10854" t="s">
        <v>44714</v>
      </c>
      <c r="U10854" t="s">
        <v>53857</v>
      </c>
      <c r="W10854" t="s">
        <v>40012</v>
      </c>
      <c r="X10854" t="s">
        <v>43182</v>
      </c>
    </row>
    <row r="10855" spans="1:24">
      <c r="A10855">
        <f>HYPERLINK("https://www.philgeps.gov.ph/GEPSNONPILOT/Tender/SplashBidNoticeAbstractUI.aspx?menuIndex=3&amp;refID=7061729&amp;Result=3","7061729")</f>
        <v>0</v>
      </c>
      <c r="B10855" t="s">
        <v>74</v>
      </c>
      <c r="C10855" t="s">
        <v>13768</v>
      </c>
      <c r="D10855" t="s">
        <v>17446</v>
      </c>
      <c r="E10855" t="s">
        <v>26782</v>
      </c>
      <c r="F10855" t="s">
        <v>30056</v>
      </c>
      <c r="G10855" t="s">
        <v>30063</v>
      </c>
      <c r="H10855" t="s">
        <v>30068</v>
      </c>
      <c r="I10855" t="s">
        <v>30068</v>
      </c>
      <c r="J10855" t="s">
        <v>30586</v>
      </c>
      <c r="K10855" t="s">
        <v>39025</v>
      </c>
      <c r="M10855" t="s">
        <v>40512</v>
      </c>
      <c r="N10855" t="s">
        <v>43166</v>
      </c>
      <c r="O10855" t="s">
        <v>43167</v>
      </c>
      <c r="Q10855">
        <v>1</v>
      </c>
      <c r="R10855" t="s">
        <v>43180</v>
      </c>
      <c r="S10855" t="s">
        <v>43663</v>
      </c>
      <c r="T10855" t="s">
        <v>44705</v>
      </c>
      <c r="U10855" t="s">
        <v>53858</v>
      </c>
      <c r="W10855" t="s">
        <v>40512</v>
      </c>
      <c r="X10855" t="s">
        <v>43181</v>
      </c>
    </row>
    <row r="10856" spans="1:24">
      <c r="A10856">
        <f>HYPERLINK("https://www.philgeps.gov.ph/GEPSNONPILOT/Tender/SplashBidNoticeAbstractUI.aspx?menuIndex=3&amp;refID=7061699&amp;Result=3","7061699")</f>
        <v>0</v>
      </c>
      <c r="B10856" t="s">
        <v>446</v>
      </c>
      <c r="C10856" t="s">
        <v>13769</v>
      </c>
      <c r="D10856" t="s">
        <v>17466</v>
      </c>
      <c r="E10856" t="s">
        <v>26783</v>
      </c>
      <c r="F10856" t="s">
        <v>30052</v>
      </c>
      <c r="G10856" t="s">
        <v>30058</v>
      </c>
      <c r="H10856" t="s">
        <v>30068</v>
      </c>
      <c r="I10856" t="s">
        <v>8323</v>
      </c>
      <c r="J10856" t="s">
        <v>36836</v>
      </c>
      <c r="K10856" t="s">
        <v>39036</v>
      </c>
      <c r="M10856" t="s">
        <v>39746</v>
      </c>
      <c r="N10856" t="s">
        <v>43166</v>
      </c>
      <c r="O10856" t="s">
        <v>43167</v>
      </c>
      <c r="P10856">
        <v>0</v>
      </c>
      <c r="Q10856">
        <v>3</v>
      </c>
      <c r="R10856" t="s">
        <v>43180</v>
      </c>
      <c r="S10856" t="s">
        <v>43646</v>
      </c>
      <c r="T10856" t="s">
        <v>44724</v>
      </c>
      <c r="U10856" t="s">
        <v>53859</v>
      </c>
      <c r="W10856" t="s">
        <v>39746</v>
      </c>
      <c r="X10856" t="s">
        <v>43181</v>
      </c>
    </row>
    <row r="10857" spans="1:24">
      <c r="A10857">
        <f>HYPERLINK("https://www.philgeps.gov.ph/GEPSNONPILOT/Tender/SplashBidNoticeAbstractUI.aspx?menuIndex=3&amp;refID=7061695&amp;Result=3","7061695")</f>
        <v>0</v>
      </c>
      <c r="B10857" t="s">
        <v>446</v>
      </c>
      <c r="C10857" t="s">
        <v>13770</v>
      </c>
      <c r="D10857" t="s">
        <v>17466</v>
      </c>
      <c r="E10857" t="s">
        <v>26784</v>
      </c>
      <c r="F10857" t="s">
        <v>30052</v>
      </c>
      <c r="G10857" t="s">
        <v>30058</v>
      </c>
      <c r="H10857" t="s">
        <v>15498</v>
      </c>
      <c r="I10857" t="s">
        <v>30085</v>
      </c>
      <c r="J10857" t="s">
        <v>36837</v>
      </c>
      <c r="K10857" t="s">
        <v>39036</v>
      </c>
      <c r="M10857" t="s">
        <v>39746</v>
      </c>
      <c r="N10857" t="s">
        <v>43166</v>
      </c>
      <c r="O10857" t="s">
        <v>43167</v>
      </c>
      <c r="P10857">
        <v>0</v>
      </c>
      <c r="Q10857">
        <v>0</v>
      </c>
      <c r="R10857" t="s">
        <v>43180</v>
      </c>
      <c r="S10857" t="s">
        <v>43646</v>
      </c>
      <c r="T10857" t="s">
        <v>44724</v>
      </c>
      <c r="U10857" t="s">
        <v>53860</v>
      </c>
      <c r="W10857" t="s">
        <v>39746</v>
      </c>
      <c r="X10857" t="s">
        <v>43181</v>
      </c>
    </row>
    <row r="10858" spans="1:24">
      <c r="A10858">
        <f>HYPERLINK("https://www.philgeps.gov.ph/GEPSNONPILOT/Tender/SplashBidNoticeAbstractUI.aspx?menuIndex=3&amp;refID=7060459&amp;Result=3","7060459")</f>
        <v>0</v>
      </c>
      <c r="B10858" t="s">
        <v>3021</v>
      </c>
      <c r="C10858" t="s">
        <v>13771</v>
      </c>
      <c r="D10858" t="s">
        <v>17464</v>
      </c>
      <c r="E10858" t="s">
        <v>26785</v>
      </c>
      <c r="F10858" t="s">
        <v>30052</v>
      </c>
      <c r="G10858" t="s">
        <v>30058</v>
      </c>
      <c r="H10858" t="s">
        <v>30067</v>
      </c>
      <c r="I10858" t="s">
        <v>3693</v>
      </c>
      <c r="J10858" t="s">
        <v>31198</v>
      </c>
      <c r="K10858" t="s">
        <v>39085</v>
      </c>
      <c r="M10858" t="s">
        <v>42599</v>
      </c>
      <c r="N10858" t="s">
        <v>43166</v>
      </c>
      <c r="O10858" t="s">
        <v>43167</v>
      </c>
      <c r="P10858">
        <v>0</v>
      </c>
      <c r="Q10858">
        <v>0</v>
      </c>
      <c r="R10858" t="s">
        <v>43180</v>
      </c>
      <c r="S10858" t="s">
        <v>43646</v>
      </c>
      <c r="T10858" t="s">
        <v>44699</v>
      </c>
      <c r="U10858" t="s">
        <v>53861</v>
      </c>
      <c r="W10858" t="s">
        <v>42599</v>
      </c>
      <c r="X10858" t="s">
        <v>43182</v>
      </c>
    </row>
    <row r="10859" spans="1:24">
      <c r="A10859">
        <f>HYPERLINK("https://www.philgeps.gov.ph/GEPSNONPILOT/Tender/SplashBidNoticeAbstractUI.aspx?menuIndex=3&amp;refID=7061658&amp;Result=3","7061658")</f>
        <v>0</v>
      </c>
      <c r="B10859" t="s">
        <v>3022</v>
      </c>
      <c r="C10859" t="s">
        <v>13772</v>
      </c>
      <c r="E10859" t="s">
        <v>26786</v>
      </c>
      <c r="F10859" t="s">
        <v>30052</v>
      </c>
      <c r="G10859" t="s">
        <v>30058</v>
      </c>
      <c r="H10859" t="s">
        <v>30069</v>
      </c>
      <c r="I10859" t="s">
        <v>30128</v>
      </c>
      <c r="J10859" t="s">
        <v>36838</v>
      </c>
      <c r="K10859" t="s">
        <v>39020</v>
      </c>
      <c r="M10859" t="s">
        <v>42600</v>
      </c>
      <c r="N10859" t="s">
        <v>43166</v>
      </c>
      <c r="O10859" t="s">
        <v>43167</v>
      </c>
      <c r="P10859">
        <v>0</v>
      </c>
      <c r="Q10859">
        <v>17</v>
      </c>
      <c r="R10859" t="s">
        <v>43180</v>
      </c>
      <c r="S10859" t="s">
        <v>43646</v>
      </c>
      <c r="T10859" t="s">
        <v>44724</v>
      </c>
      <c r="U10859" t="s">
        <v>53862</v>
      </c>
      <c r="W10859" t="s">
        <v>42600</v>
      </c>
      <c r="X10859" t="s">
        <v>43182</v>
      </c>
    </row>
    <row r="10860" spans="1:24">
      <c r="A10860">
        <f>HYPERLINK("https://www.philgeps.gov.ph/GEPSNONPILOT/Tender/SplashBidNoticeAbstractUI.aspx?menuIndex=3&amp;refID=7061741&amp;Result=3","7061741")</f>
        <v>0</v>
      </c>
      <c r="B10860" t="s">
        <v>3023</v>
      </c>
      <c r="C10860" t="s">
        <v>13773</v>
      </c>
      <c r="D10860" t="s">
        <v>17439</v>
      </c>
      <c r="E10860" t="s">
        <v>26787</v>
      </c>
      <c r="F10860" t="s">
        <v>30052</v>
      </c>
      <c r="G10860" t="s">
        <v>30061</v>
      </c>
      <c r="H10860" t="s">
        <v>15498</v>
      </c>
      <c r="I10860" t="s">
        <v>30071</v>
      </c>
      <c r="J10860" t="s">
        <v>36839</v>
      </c>
      <c r="K10860" t="s">
        <v>39018</v>
      </c>
      <c r="M10860" t="s">
        <v>42601</v>
      </c>
      <c r="N10860" t="s">
        <v>43166</v>
      </c>
      <c r="O10860" t="s">
        <v>43167</v>
      </c>
      <c r="Q10860">
        <v>7</v>
      </c>
      <c r="R10860" t="s">
        <v>43180</v>
      </c>
      <c r="S10860" t="s">
        <v>43664</v>
      </c>
      <c r="T10860" t="s">
        <v>44737</v>
      </c>
      <c r="U10860" t="s">
        <v>53863</v>
      </c>
      <c r="V10860" t="s">
        <v>58047</v>
      </c>
      <c r="W10860" t="s">
        <v>42601</v>
      </c>
      <c r="X10860" t="s">
        <v>43181</v>
      </c>
    </row>
    <row r="10861" spans="1:24">
      <c r="A10861">
        <f>HYPERLINK("https://www.philgeps.gov.ph/GEPSNONPILOT/Tender/SplashBidNoticeAbstractUI.aspx?menuIndex=3&amp;refID=7061293&amp;Result=3","7061293")</f>
        <v>0</v>
      </c>
      <c r="B10861" t="s">
        <v>3024</v>
      </c>
      <c r="C10861" t="s">
        <v>13774</v>
      </c>
      <c r="D10861" t="s">
        <v>17468</v>
      </c>
      <c r="E10861" t="s">
        <v>19907</v>
      </c>
      <c r="F10861" t="s">
        <v>30055</v>
      </c>
      <c r="G10861" t="s">
        <v>30058</v>
      </c>
      <c r="H10861" t="s">
        <v>15498</v>
      </c>
      <c r="I10861" t="s">
        <v>3736</v>
      </c>
      <c r="J10861" t="s">
        <v>36840</v>
      </c>
      <c r="K10861" t="s">
        <v>39034</v>
      </c>
      <c r="M10861" t="s">
        <v>42602</v>
      </c>
      <c r="N10861" t="s">
        <v>43166</v>
      </c>
      <c r="O10861" t="s">
        <v>43167</v>
      </c>
      <c r="P10861">
        <v>0</v>
      </c>
      <c r="Q10861">
        <v>0</v>
      </c>
      <c r="R10861" t="s">
        <v>43180</v>
      </c>
      <c r="S10861" t="s">
        <v>43646</v>
      </c>
      <c r="T10861" t="s">
        <v>44777</v>
      </c>
      <c r="U10861" t="s">
        <v>53864</v>
      </c>
      <c r="W10861" t="s">
        <v>42602</v>
      </c>
      <c r="X10861" t="s">
        <v>43182</v>
      </c>
    </row>
    <row r="10862" spans="1:24">
      <c r="A10862">
        <f>HYPERLINK("https://www.philgeps.gov.ph/GEPSNONPILOT/Tender/SplashBidNoticeAbstractUI.aspx?menuIndex=3&amp;refID=7061727&amp;Result=3","7061727")</f>
        <v>0</v>
      </c>
      <c r="B10862" t="s">
        <v>74</v>
      </c>
      <c r="C10862" t="s">
        <v>13775</v>
      </c>
      <c r="D10862" t="s">
        <v>17446</v>
      </c>
      <c r="E10862" t="s">
        <v>26788</v>
      </c>
      <c r="F10862" t="s">
        <v>30056</v>
      </c>
      <c r="G10862" t="s">
        <v>30063</v>
      </c>
      <c r="H10862" t="s">
        <v>30068</v>
      </c>
      <c r="I10862" t="s">
        <v>30068</v>
      </c>
      <c r="J10862" t="s">
        <v>30440</v>
      </c>
      <c r="K10862" t="s">
        <v>39025</v>
      </c>
      <c r="M10862" t="s">
        <v>40512</v>
      </c>
      <c r="N10862" t="s">
        <v>43166</v>
      </c>
      <c r="O10862" t="s">
        <v>43167</v>
      </c>
      <c r="Q10862">
        <v>0</v>
      </c>
      <c r="R10862" t="s">
        <v>43180</v>
      </c>
      <c r="S10862" t="s">
        <v>43665</v>
      </c>
      <c r="T10862" t="s">
        <v>44705</v>
      </c>
      <c r="U10862" t="s">
        <v>53865</v>
      </c>
      <c r="W10862" t="s">
        <v>40512</v>
      </c>
      <c r="X10862" t="s">
        <v>43181</v>
      </c>
    </row>
    <row r="10863" spans="1:24">
      <c r="A10863">
        <f>HYPERLINK("https://www.philgeps.gov.ph/GEPSNONPILOT/Tender/SplashBidNoticeAbstractUI.aspx?menuIndex=3&amp;refID=7061419&amp;Result=3","7061419")</f>
        <v>0</v>
      </c>
      <c r="B10863" t="s">
        <v>703</v>
      </c>
      <c r="C10863" t="s">
        <v>13776</v>
      </c>
      <c r="D10863" t="s">
        <v>17445</v>
      </c>
      <c r="E10863" t="s">
        <v>26789</v>
      </c>
      <c r="F10863" t="s">
        <v>30052</v>
      </c>
      <c r="G10863" t="s">
        <v>30058</v>
      </c>
      <c r="H10863" t="s">
        <v>30067</v>
      </c>
      <c r="I10863" t="s">
        <v>3693</v>
      </c>
      <c r="J10863" t="s">
        <v>36841</v>
      </c>
      <c r="K10863" t="s">
        <v>39026</v>
      </c>
      <c r="M10863" t="s">
        <v>40012</v>
      </c>
      <c r="N10863" t="s">
        <v>43166</v>
      </c>
      <c r="O10863" t="s">
        <v>43167</v>
      </c>
      <c r="P10863">
        <v>0</v>
      </c>
      <c r="Q10863">
        <v>0</v>
      </c>
      <c r="R10863" t="s">
        <v>43180</v>
      </c>
      <c r="S10863" t="s">
        <v>43646</v>
      </c>
      <c r="T10863" t="s">
        <v>44714</v>
      </c>
      <c r="U10863" t="s">
        <v>53866</v>
      </c>
      <c r="W10863" t="s">
        <v>40012</v>
      </c>
      <c r="X10863" t="s">
        <v>43182</v>
      </c>
    </row>
    <row r="10864" spans="1:24">
      <c r="A10864">
        <f>HYPERLINK("https://www.philgeps.gov.ph/GEPSNONPILOT/Tender/SplashBidNoticeAbstractUI.aspx?menuIndex=3&amp;refID=7059690&amp;Result=3","7059690")</f>
        <v>0</v>
      </c>
      <c r="B10864" t="s">
        <v>33</v>
      </c>
      <c r="C10864" t="s">
        <v>13777</v>
      </c>
      <c r="D10864" t="s">
        <v>17419</v>
      </c>
      <c r="E10864" t="s">
        <v>26790</v>
      </c>
      <c r="F10864" t="s">
        <v>30052</v>
      </c>
      <c r="G10864" t="s">
        <v>30058</v>
      </c>
      <c r="H10864" t="s">
        <v>15498</v>
      </c>
      <c r="I10864" t="s">
        <v>3736</v>
      </c>
      <c r="J10864" t="s">
        <v>36842</v>
      </c>
      <c r="K10864" t="s">
        <v>39025</v>
      </c>
      <c r="M10864" t="s">
        <v>39323</v>
      </c>
      <c r="N10864" t="s">
        <v>43166</v>
      </c>
      <c r="O10864" t="s">
        <v>43167</v>
      </c>
      <c r="P10864">
        <v>0</v>
      </c>
      <c r="Q10864">
        <v>0</v>
      </c>
      <c r="R10864" t="s">
        <v>43180</v>
      </c>
      <c r="S10864" t="s">
        <v>43646</v>
      </c>
      <c r="T10864" t="s">
        <v>44969</v>
      </c>
      <c r="U10864" t="s">
        <v>53867</v>
      </c>
      <c r="W10864" t="s">
        <v>39323</v>
      </c>
      <c r="X10864" t="s">
        <v>43182</v>
      </c>
    </row>
    <row r="10865" spans="1:24">
      <c r="A10865">
        <f>HYPERLINK("https://www.philgeps.gov.ph/GEPSNONPILOT/Tender/SplashBidNoticeAbstractUI.aspx?menuIndex=3&amp;refID=7061205&amp;Result=3","7061205")</f>
        <v>0</v>
      </c>
      <c r="B10865" t="s">
        <v>39</v>
      </c>
      <c r="C10865" t="s">
        <v>13778</v>
      </c>
      <c r="D10865" t="s">
        <v>17419</v>
      </c>
      <c r="E10865" t="s">
        <v>26791</v>
      </c>
      <c r="F10865" t="s">
        <v>30052</v>
      </c>
      <c r="G10865" t="s">
        <v>30058</v>
      </c>
      <c r="H10865" t="s">
        <v>30067</v>
      </c>
      <c r="I10865" t="s">
        <v>3693</v>
      </c>
      <c r="J10865" t="s">
        <v>36843</v>
      </c>
      <c r="K10865" t="s">
        <v>39061</v>
      </c>
      <c r="M10865" t="s">
        <v>39329</v>
      </c>
      <c r="N10865" t="s">
        <v>43166</v>
      </c>
      <c r="O10865" t="s">
        <v>43167</v>
      </c>
      <c r="P10865">
        <v>0</v>
      </c>
      <c r="Q10865">
        <v>0</v>
      </c>
      <c r="R10865" t="s">
        <v>43180</v>
      </c>
      <c r="S10865" t="s">
        <v>43646</v>
      </c>
      <c r="T10865" t="s">
        <v>44807</v>
      </c>
      <c r="U10865" t="s">
        <v>53868</v>
      </c>
      <c r="W10865" t="s">
        <v>39329</v>
      </c>
      <c r="X10865" t="s">
        <v>43182</v>
      </c>
    </row>
    <row r="10866" spans="1:24">
      <c r="A10866">
        <f>HYPERLINK("https://www.philgeps.gov.ph/GEPSNONPILOT/Tender/SplashBidNoticeAbstractUI.aspx?menuIndex=3&amp;refID=7061933&amp;Result=3","7061933")</f>
        <v>0</v>
      </c>
      <c r="B10866" t="s">
        <v>1134</v>
      </c>
      <c r="C10866" t="s">
        <v>13779</v>
      </c>
      <c r="D10866" t="s">
        <v>17459</v>
      </c>
      <c r="E10866" t="s">
        <v>26792</v>
      </c>
      <c r="F10866" t="s">
        <v>30052</v>
      </c>
      <c r="G10866" t="s">
        <v>30058</v>
      </c>
      <c r="H10866" t="s">
        <v>30067</v>
      </c>
      <c r="I10866" t="s">
        <v>3693</v>
      </c>
      <c r="J10866" t="s">
        <v>36844</v>
      </c>
      <c r="K10866" t="s">
        <v>39057</v>
      </c>
      <c r="M10866" t="s">
        <v>40749</v>
      </c>
      <c r="N10866" t="s">
        <v>43166</v>
      </c>
      <c r="O10866" t="s">
        <v>43167</v>
      </c>
      <c r="P10866">
        <v>0</v>
      </c>
      <c r="Q10866">
        <v>0</v>
      </c>
      <c r="R10866" t="s">
        <v>43180</v>
      </c>
      <c r="S10866" t="s">
        <v>43646</v>
      </c>
      <c r="T10866" t="s">
        <v>44699</v>
      </c>
      <c r="U10866" t="s">
        <v>53869</v>
      </c>
      <c r="V10866" t="s">
        <v>58048</v>
      </c>
      <c r="W10866" t="s">
        <v>40749</v>
      </c>
      <c r="X10866" t="s">
        <v>43181</v>
      </c>
    </row>
    <row r="10867" spans="1:24">
      <c r="A10867">
        <f>HYPERLINK("https://www.philgeps.gov.ph/GEPSNONPILOT/Tender/SplashBidNoticeAbstractUI.aspx?menuIndex=3&amp;refID=7061235&amp;Result=3","7061235")</f>
        <v>0</v>
      </c>
      <c r="B10867" t="s">
        <v>39</v>
      </c>
      <c r="C10867" t="s">
        <v>13780</v>
      </c>
      <c r="D10867" t="s">
        <v>17419</v>
      </c>
      <c r="E10867" t="s">
        <v>26793</v>
      </c>
      <c r="F10867" t="s">
        <v>30052</v>
      </c>
      <c r="G10867" t="s">
        <v>30058</v>
      </c>
      <c r="H10867" t="s">
        <v>30067</v>
      </c>
      <c r="I10867" t="s">
        <v>3693</v>
      </c>
      <c r="J10867" t="s">
        <v>36845</v>
      </c>
      <c r="K10867" t="s">
        <v>39061</v>
      </c>
      <c r="M10867" t="s">
        <v>39329</v>
      </c>
      <c r="N10867" t="s">
        <v>43166</v>
      </c>
      <c r="O10867" t="s">
        <v>43167</v>
      </c>
      <c r="P10867">
        <v>0</v>
      </c>
      <c r="Q10867">
        <v>0</v>
      </c>
      <c r="R10867" t="s">
        <v>43180</v>
      </c>
      <c r="S10867" t="s">
        <v>43646</v>
      </c>
      <c r="T10867" t="s">
        <v>44807</v>
      </c>
      <c r="U10867" t="s">
        <v>53870</v>
      </c>
      <c r="W10867" t="s">
        <v>39329</v>
      </c>
      <c r="X10867" t="s">
        <v>43182</v>
      </c>
    </row>
    <row r="10868" spans="1:24">
      <c r="A10868">
        <f>HYPERLINK("https://www.philgeps.gov.ph/GEPSNONPILOT/Tender/SplashBidNoticeAbstractUI.aspx?menuIndex=3&amp;refID=7061949&amp;Result=3","7061949")</f>
        <v>0</v>
      </c>
      <c r="B10868" t="s">
        <v>1134</v>
      </c>
      <c r="C10868" t="s">
        <v>13781</v>
      </c>
      <c r="D10868" t="s">
        <v>17459</v>
      </c>
      <c r="E10868" t="s">
        <v>26794</v>
      </c>
      <c r="F10868" t="s">
        <v>30052</v>
      </c>
      <c r="G10868" t="s">
        <v>30058</v>
      </c>
      <c r="H10868" t="s">
        <v>30067</v>
      </c>
      <c r="I10868" t="s">
        <v>3693</v>
      </c>
      <c r="J10868" t="s">
        <v>36846</v>
      </c>
      <c r="K10868" t="s">
        <v>39026</v>
      </c>
      <c r="M10868" t="s">
        <v>40749</v>
      </c>
      <c r="N10868" t="s">
        <v>43166</v>
      </c>
      <c r="O10868" t="s">
        <v>43167</v>
      </c>
      <c r="P10868">
        <v>0</v>
      </c>
      <c r="Q10868">
        <v>0</v>
      </c>
      <c r="R10868" t="s">
        <v>43180</v>
      </c>
      <c r="S10868" t="s">
        <v>43646</v>
      </c>
      <c r="T10868" t="s">
        <v>44699</v>
      </c>
      <c r="U10868" t="s">
        <v>53871</v>
      </c>
      <c r="V10868" t="s">
        <v>58048</v>
      </c>
      <c r="W10868" t="s">
        <v>40749</v>
      </c>
      <c r="X10868" t="s">
        <v>43181</v>
      </c>
    </row>
    <row r="10869" spans="1:24">
      <c r="A10869">
        <f>HYPERLINK("https://www.philgeps.gov.ph/GEPSNONPILOT/Tender/SplashBidNoticeAbstractUI.aspx?menuIndex=3&amp;refID=7061939&amp;Result=3","7061939")</f>
        <v>0</v>
      </c>
      <c r="B10869" t="s">
        <v>1134</v>
      </c>
      <c r="C10869" t="s">
        <v>13782</v>
      </c>
      <c r="D10869" t="s">
        <v>17459</v>
      </c>
      <c r="E10869" t="s">
        <v>26795</v>
      </c>
      <c r="F10869" t="s">
        <v>30052</v>
      </c>
      <c r="G10869" t="s">
        <v>30058</v>
      </c>
      <c r="H10869" t="s">
        <v>30067</v>
      </c>
      <c r="I10869" t="s">
        <v>3693</v>
      </c>
      <c r="J10869" t="s">
        <v>36847</v>
      </c>
      <c r="K10869" t="s">
        <v>39031</v>
      </c>
      <c r="M10869" t="s">
        <v>40749</v>
      </c>
      <c r="N10869" t="s">
        <v>43166</v>
      </c>
      <c r="O10869" t="s">
        <v>43167</v>
      </c>
      <c r="P10869">
        <v>0</v>
      </c>
      <c r="Q10869">
        <v>0</v>
      </c>
      <c r="R10869" t="s">
        <v>43180</v>
      </c>
      <c r="S10869" t="s">
        <v>43646</v>
      </c>
      <c r="T10869" t="s">
        <v>44699</v>
      </c>
      <c r="U10869" t="s">
        <v>53872</v>
      </c>
      <c r="V10869" t="s">
        <v>58048</v>
      </c>
      <c r="W10869" t="s">
        <v>40749</v>
      </c>
      <c r="X10869" t="s">
        <v>43181</v>
      </c>
    </row>
    <row r="10870" spans="1:24">
      <c r="A10870">
        <f>HYPERLINK("https://www.philgeps.gov.ph/GEPSNONPILOT/Tender/SplashBidNoticeAbstractUI.aspx?menuIndex=3&amp;refID=7061977&amp;Result=3","7061977")</f>
        <v>0</v>
      </c>
      <c r="B10870" t="s">
        <v>3025</v>
      </c>
      <c r="C10870" t="s">
        <v>13783</v>
      </c>
      <c r="D10870" t="s">
        <v>17470</v>
      </c>
      <c r="E10870" t="s">
        <v>26796</v>
      </c>
      <c r="F10870" t="s">
        <v>30052</v>
      </c>
      <c r="G10870" t="s">
        <v>30058</v>
      </c>
      <c r="H10870" t="s">
        <v>15498</v>
      </c>
      <c r="I10870" t="s">
        <v>30073</v>
      </c>
      <c r="J10870" t="s">
        <v>36848</v>
      </c>
      <c r="K10870" t="s">
        <v>39029</v>
      </c>
      <c r="M10870" t="s">
        <v>42603</v>
      </c>
      <c r="N10870" t="s">
        <v>43166</v>
      </c>
      <c r="O10870" t="s">
        <v>43167</v>
      </c>
      <c r="P10870">
        <v>0</v>
      </c>
      <c r="Q10870">
        <v>0</v>
      </c>
      <c r="R10870" t="s">
        <v>43180</v>
      </c>
      <c r="S10870" t="s">
        <v>43646</v>
      </c>
      <c r="T10870" t="s">
        <v>44754</v>
      </c>
      <c r="U10870" t="s">
        <v>53873</v>
      </c>
      <c r="W10870" t="s">
        <v>42603</v>
      </c>
      <c r="X10870" t="s">
        <v>43181</v>
      </c>
    </row>
    <row r="10871" spans="1:24">
      <c r="A10871">
        <f>HYPERLINK("https://www.philgeps.gov.ph/GEPSNONPILOT/Tender/SplashBidNoticeAbstractUI.aspx?menuIndex=3&amp;refID=7061919&amp;Result=3","7061919")</f>
        <v>0</v>
      </c>
      <c r="B10871" t="s">
        <v>1134</v>
      </c>
      <c r="C10871" t="s">
        <v>13784</v>
      </c>
      <c r="D10871" t="s">
        <v>17459</v>
      </c>
      <c r="E10871" t="s">
        <v>26797</v>
      </c>
      <c r="F10871" t="s">
        <v>30052</v>
      </c>
      <c r="G10871" t="s">
        <v>30058</v>
      </c>
      <c r="H10871" t="s">
        <v>30067</v>
      </c>
      <c r="I10871" t="s">
        <v>3693</v>
      </c>
      <c r="J10871" t="s">
        <v>36849</v>
      </c>
      <c r="K10871" t="s">
        <v>39023</v>
      </c>
      <c r="M10871" t="s">
        <v>40749</v>
      </c>
      <c r="N10871" t="s">
        <v>43166</v>
      </c>
      <c r="O10871" t="s">
        <v>43167</v>
      </c>
      <c r="P10871">
        <v>0</v>
      </c>
      <c r="Q10871">
        <v>0</v>
      </c>
      <c r="R10871" t="s">
        <v>43180</v>
      </c>
      <c r="S10871" t="s">
        <v>43646</v>
      </c>
      <c r="T10871" t="s">
        <v>44699</v>
      </c>
      <c r="U10871" t="s">
        <v>53874</v>
      </c>
      <c r="V10871" t="s">
        <v>58048</v>
      </c>
      <c r="W10871" t="s">
        <v>40749</v>
      </c>
      <c r="X10871" t="s">
        <v>43181</v>
      </c>
    </row>
    <row r="10872" spans="1:24">
      <c r="A10872">
        <f>HYPERLINK("https://www.philgeps.gov.ph/GEPSNONPILOT/Tender/SplashBidNoticeAbstractUI.aspx?menuIndex=3&amp;refID=7061917&amp;Result=3","7061917")</f>
        <v>0</v>
      </c>
      <c r="B10872" t="s">
        <v>298</v>
      </c>
      <c r="C10872" t="s">
        <v>13785</v>
      </c>
      <c r="D10872" t="s">
        <v>17468</v>
      </c>
      <c r="E10872" t="s">
        <v>26798</v>
      </c>
      <c r="F10872" t="s">
        <v>30052</v>
      </c>
      <c r="G10872" t="s">
        <v>30058</v>
      </c>
      <c r="H10872" t="s">
        <v>30067</v>
      </c>
      <c r="I10872" t="s">
        <v>3693</v>
      </c>
      <c r="J10872" t="s">
        <v>31207</v>
      </c>
      <c r="K10872" t="s">
        <v>39249</v>
      </c>
      <c r="M10872" t="s">
        <v>39593</v>
      </c>
      <c r="N10872" t="s">
        <v>43166</v>
      </c>
      <c r="O10872" t="s">
        <v>43167</v>
      </c>
      <c r="P10872">
        <v>0</v>
      </c>
      <c r="Q10872">
        <v>1</v>
      </c>
      <c r="R10872" t="s">
        <v>43180</v>
      </c>
      <c r="S10872" t="s">
        <v>43646</v>
      </c>
      <c r="T10872" t="s">
        <v>44713</v>
      </c>
      <c r="U10872" t="s">
        <v>53875</v>
      </c>
      <c r="W10872" t="s">
        <v>39593</v>
      </c>
      <c r="X10872" t="s">
        <v>43181</v>
      </c>
    </row>
    <row r="10873" spans="1:24">
      <c r="A10873">
        <f>HYPERLINK("https://www.philgeps.gov.ph/GEPSNONPILOT/Tender/SplashBidNoticeAbstractUI.aspx?menuIndex=3&amp;refID=7061929&amp;Result=3","7061929")</f>
        <v>0</v>
      </c>
      <c r="B10873" t="s">
        <v>1811</v>
      </c>
      <c r="C10873" t="s">
        <v>13786</v>
      </c>
      <c r="D10873" t="s">
        <v>17450</v>
      </c>
      <c r="E10873" t="s">
        <v>26799</v>
      </c>
      <c r="F10873" t="s">
        <v>30052</v>
      </c>
      <c r="G10873" t="s">
        <v>30058</v>
      </c>
      <c r="H10873" t="s">
        <v>30067</v>
      </c>
      <c r="I10873" t="s">
        <v>3693</v>
      </c>
      <c r="J10873" t="s">
        <v>36850</v>
      </c>
      <c r="K10873" t="s">
        <v>39065</v>
      </c>
      <c r="M10873" t="s">
        <v>41234</v>
      </c>
      <c r="N10873" t="s">
        <v>43166</v>
      </c>
      <c r="O10873" t="s">
        <v>43167</v>
      </c>
      <c r="P10873">
        <v>0</v>
      </c>
      <c r="Q10873">
        <v>4</v>
      </c>
      <c r="R10873" t="s">
        <v>43180</v>
      </c>
      <c r="S10873" t="s">
        <v>43646</v>
      </c>
      <c r="T10873" t="s">
        <v>44699</v>
      </c>
      <c r="U10873" t="s">
        <v>49480</v>
      </c>
      <c r="V10873" t="s">
        <v>58049</v>
      </c>
      <c r="W10873" t="s">
        <v>41234</v>
      </c>
      <c r="X10873" t="s">
        <v>43181</v>
      </c>
    </row>
    <row r="10874" spans="1:24">
      <c r="A10874">
        <f>HYPERLINK("https://www.philgeps.gov.ph/GEPSNONPILOT/Tender/SplashBidNoticeAbstractUI.aspx?menuIndex=3&amp;refID=7061886&amp;Result=3","7061886")</f>
        <v>0</v>
      </c>
      <c r="B10874" t="s">
        <v>50</v>
      </c>
      <c r="C10874" t="s">
        <v>13787</v>
      </c>
      <c r="D10874" t="s">
        <v>17433</v>
      </c>
      <c r="E10874" t="s">
        <v>26800</v>
      </c>
      <c r="F10874" t="s">
        <v>30052</v>
      </c>
      <c r="G10874" t="s">
        <v>30059</v>
      </c>
      <c r="H10874" t="s">
        <v>15498</v>
      </c>
      <c r="I10874" t="s">
        <v>7228</v>
      </c>
      <c r="J10874" t="s">
        <v>36851</v>
      </c>
      <c r="K10874" t="s">
        <v>39017</v>
      </c>
      <c r="M10874" t="s">
        <v>39340</v>
      </c>
      <c r="N10874" t="s">
        <v>43166</v>
      </c>
      <c r="O10874" t="s">
        <v>43167</v>
      </c>
      <c r="P10874">
        <v>0</v>
      </c>
      <c r="Q10874">
        <v>0</v>
      </c>
      <c r="R10874" t="s">
        <v>43180</v>
      </c>
      <c r="S10874" t="s">
        <v>43646</v>
      </c>
      <c r="T10874" t="s">
        <v>44844</v>
      </c>
      <c r="U10874" t="s">
        <v>53876</v>
      </c>
      <c r="W10874" t="s">
        <v>39340</v>
      </c>
      <c r="X10874" t="s">
        <v>43181</v>
      </c>
    </row>
    <row r="10875" spans="1:24">
      <c r="A10875">
        <f>HYPERLINK("https://www.philgeps.gov.ph/GEPSNONPILOT/Tender/SplashBidNoticeAbstractUI.aspx?menuIndex=3&amp;refID=7061877&amp;Result=3","7061877")</f>
        <v>0</v>
      </c>
      <c r="B10875" t="s">
        <v>1134</v>
      </c>
      <c r="C10875" t="s">
        <v>13788</v>
      </c>
      <c r="D10875" t="s">
        <v>17459</v>
      </c>
      <c r="E10875" t="s">
        <v>26801</v>
      </c>
      <c r="F10875" t="s">
        <v>30052</v>
      </c>
      <c r="G10875" t="s">
        <v>30058</v>
      </c>
      <c r="H10875" t="s">
        <v>30067</v>
      </c>
      <c r="I10875" t="s">
        <v>3693</v>
      </c>
      <c r="J10875" t="s">
        <v>36852</v>
      </c>
      <c r="K10875" t="s">
        <v>39026</v>
      </c>
      <c r="M10875" t="s">
        <v>40749</v>
      </c>
      <c r="N10875" t="s">
        <v>43166</v>
      </c>
      <c r="O10875" t="s">
        <v>43167</v>
      </c>
      <c r="P10875">
        <v>0</v>
      </c>
      <c r="Q10875">
        <v>0</v>
      </c>
      <c r="R10875" t="s">
        <v>43180</v>
      </c>
      <c r="S10875" t="s">
        <v>43646</v>
      </c>
      <c r="T10875" t="s">
        <v>44699</v>
      </c>
      <c r="U10875" t="s">
        <v>53877</v>
      </c>
      <c r="V10875" t="s">
        <v>58048</v>
      </c>
      <c r="W10875" t="s">
        <v>40749</v>
      </c>
      <c r="X10875" t="s">
        <v>43181</v>
      </c>
    </row>
    <row r="10876" spans="1:24">
      <c r="A10876">
        <f>HYPERLINK("https://www.philgeps.gov.ph/GEPSNONPILOT/Tender/SplashBidNoticeAbstractUI.aspx?menuIndex=3&amp;refID=7061865&amp;Result=3","7061865")</f>
        <v>0</v>
      </c>
      <c r="B10876" t="s">
        <v>1134</v>
      </c>
      <c r="C10876" t="s">
        <v>13789</v>
      </c>
      <c r="D10876" t="s">
        <v>17459</v>
      </c>
      <c r="E10876" t="s">
        <v>26802</v>
      </c>
      <c r="F10876" t="s">
        <v>30052</v>
      </c>
      <c r="G10876" t="s">
        <v>30058</v>
      </c>
      <c r="H10876" t="s">
        <v>30067</v>
      </c>
      <c r="I10876" t="s">
        <v>3693</v>
      </c>
      <c r="J10876" t="s">
        <v>36853</v>
      </c>
      <c r="K10876" t="s">
        <v>39057</v>
      </c>
      <c r="M10876" t="s">
        <v>40749</v>
      </c>
      <c r="N10876" t="s">
        <v>43166</v>
      </c>
      <c r="O10876" t="s">
        <v>43167</v>
      </c>
      <c r="P10876">
        <v>0</v>
      </c>
      <c r="Q10876">
        <v>0</v>
      </c>
      <c r="R10876" t="s">
        <v>43180</v>
      </c>
      <c r="S10876" t="s">
        <v>43646</v>
      </c>
      <c r="T10876" t="s">
        <v>44699</v>
      </c>
      <c r="U10876" t="s">
        <v>53878</v>
      </c>
      <c r="V10876" t="s">
        <v>58048</v>
      </c>
      <c r="W10876" t="s">
        <v>40749</v>
      </c>
      <c r="X10876" t="s">
        <v>43181</v>
      </c>
    </row>
    <row r="10877" spans="1:24">
      <c r="A10877">
        <f>HYPERLINK("https://www.philgeps.gov.ph/GEPSNONPILOT/Tender/SplashBidNoticeAbstractUI.aspx?menuIndex=3&amp;refID=7061858&amp;Result=3","7061858")</f>
        <v>0</v>
      </c>
      <c r="B10877" t="s">
        <v>1134</v>
      </c>
      <c r="C10877" t="s">
        <v>13790</v>
      </c>
      <c r="D10877" t="s">
        <v>17459</v>
      </c>
      <c r="E10877" t="s">
        <v>26803</v>
      </c>
      <c r="F10877" t="s">
        <v>30052</v>
      </c>
      <c r="G10877" t="s">
        <v>30058</v>
      </c>
      <c r="H10877" t="s">
        <v>30067</v>
      </c>
      <c r="I10877" t="s">
        <v>3693</v>
      </c>
      <c r="J10877" t="s">
        <v>36854</v>
      </c>
      <c r="K10877" t="s">
        <v>39031</v>
      </c>
      <c r="M10877" t="s">
        <v>40749</v>
      </c>
      <c r="N10877" t="s">
        <v>43166</v>
      </c>
      <c r="O10877" t="s">
        <v>43167</v>
      </c>
      <c r="P10877">
        <v>0</v>
      </c>
      <c r="Q10877">
        <v>0</v>
      </c>
      <c r="R10877" t="s">
        <v>43180</v>
      </c>
      <c r="S10877" t="s">
        <v>43646</v>
      </c>
      <c r="T10877" t="s">
        <v>44699</v>
      </c>
      <c r="U10877" t="s">
        <v>53878</v>
      </c>
      <c r="V10877" t="s">
        <v>58048</v>
      </c>
      <c r="W10877" t="s">
        <v>40749</v>
      </c>
      <c r="X10877" t="s">
        <v>43181</v>
      </c>
    </row>
    <row r="10878" spans="1:24">
      <c r="A10878">
        <f>HYPERLINK("https://www.philgeps.gov.ph/GEPSNONPILOT/Tender/SplashBidNoticeAbstractUI.aspx?menuIndex=3&amp;refID=7061907&amp;Result=3","7061907")</f>
        <v>0</v>
      </c>
      <c r="B10878" t="s">
        <v>450</v>
      </c>
      <c r="C10878" t="s">
        <v>13791</v>
      </c>
      <c r="D10878" t="s">
        <v>17467</v>
      </c>
      <c r="E10878" t="s">
        <v>26804</v>
      </c>
      <c r="F10878" t="s">
        <v>30052</v>
      </c>
      <c r="G10878" t="s">
        <v>30058</v>
      </c>
      <c r="H10878" t="s">
        <v>15498</v>
      </c>
      <c r="I10878" t="s">
        <v>3852</v>
      </c>
      <c r="J10878" t="s">
        <v>36855</v>
      </c>
      <c r="K10878" t="s">
        <v>39023</v>
      </c>
      <c r="M10878" t="s">
        <v>39750</v>
      </c>
      <c r="N10878" t="s">
        <v>43166</v>
      </c>
      <c r="O10878" t="s">
        <v>43167</v>
      </c>
      <c r="P10878">
        <v>0</v>
      </c>
      <c r="Q10878">
        <v>2</v>
      </c>
      <c r="R10878" t="s">
        <v>43180</v>
      </c>
      <c r="S10878" t="s">
        <v>43646</v>
      </c>
      <c r="T10878" t="s">
        <v>44815</v>
      </c>
      <c r="U10878" t="s">
        <v>53879</v>
      </c>
      <c r="W10878" t="s">
        <v>39750</v>
      </c>
      <c r="X10878" t="s">
        <v>43181</v>
      </c>
    </row>
    <row r="10879" spans="1:24">
      <c r="A10879">
        <f>HYPERLINK("https://www.philgeps.gov.ph/GEPSNONPILOT/Tender/SplashBidNoticeAbstractUI.aspx?menuIndex=3&amp;refID=7061273&amp;Result=3","7061273")</f>
        <v>0</v>
      </c>
      <c r="B10879" t="s">
        <v>3024</v>
      </c>
      <c r="C10879" t="s">
        <v>13792</v>
      </c>
      <c r="D10879" t="s">
        <v>17468</v>
      </c>
      <c r="E10879" t="s">
        <v>19891</v>
      </c>
      <c r="F10879" t="s">
        <v>30055</v>
      </c>
      <c r="G10879" t="s">
        <v>30058</v>
      </c>
      <c r="H10879" t="s">
        <v>15498</v>
      </c>
      <c r="I10879" t="s">
        <v>3736</v>
      </c>
      <c r="J10879" t="s">
        <v>32066</v>
      </c>
      <c r="K10879" t="s">
        <v>39019</v>
      </c>
      <c r="M10879" t="s">
        <v>42602</v>
      </c>
      <c r="N10879" t="s">
        <v>43166</v>
      </c>
      <c r="O10879" t="s">
        <v>43167</v>
      </c>
      <c r="P10879">
        <v>0</v>
      </c>
      <c r="Q10879">
        <v>0</v>
      </c>
      <c r="R10879" t="s">
        <v>43180</v>
      </c>
      <c r="S10879" t="s">
        <v>43646</v>
      </c>
      <c r="T10879" t="s">
        <v>44773</v>
      </c>
      <c r="U10879" t="s">
        <v>53880</v>
      </c>
      <c r="W10879" t="s">
        <v>42602</v>
      </c>
      <c r="X10879" t="s">
        <v>43182</v>
      </c>
    </row>
    <row r="10880" spans="1:24">
      <c r="A10880">
        <f>HYPERLINK("https://www.philgeps.gov.ph/GEPSNONPILOT/Tender/SplashBidNoticeAbstractUI.aspx?menuIndex=3&amp;refID=7061811&amp;Result=3","7061811")</f>
        <v>0</v>
      </c>
      <c r="B10880" t="s">
        <v>1580</v>
      </c>
      <c r="C10880" t="s">
        <v>13793</v>
      </c>
      <c r="D10880" t="s">
        <v>17449</v>
      </c>
      <c r="E10880" t="s">
        <v>26805</v>
      </c>
      <c r="F10880" t="s">
        <v>30052</v>
      </c>
      <c r="G10880" t="s">
        <v>30058</v>
      </c>
      <c r="H10880" t="s">
        <v>30067</v>
      </c>
      <c r="I10880" t="s">
        <v>3693</v>
      </c>
      <c r="J10880" t="s">
        <v>31198</v>
      </c>
      <c r="K10880" t="s">
        <v>39106</v>
      </c>
      <c r="M10880" t="s">
        <v>40973</v>
      </c>
      <c r="N10880" t="s">
        <v>43166</v>
      </c>
      <c r="O10880" t="s">
        <v>43167</v>
      </c>
      <c r="P10880">
        <v>0</v>
      </c>
      <c r="Q10880">
        <v>1</v>
      </c>
      <c r="R10880" t="s">
        <v>43180</v>
      </c>
      <c r="S10880" t="s">
        <v>43646</v>
      </c>
      <c r="T10880" t="s">
        <v>44699</v>
      </c>
      <c r="U10880" t="s">
        <v>53881</v>
      </c>
      <c r="W10880" t="s">
        <v>40973</v>
      </c>
      <c r="X10880" t="s">
        <v>43181</v>
      </c>
    </row>
    <row r="10881" spans="1:24">
      <c r="A10881">
        <f>HYPERLINK("https://www.philgeps.gov.ph/GEPSNONPILOT/Tender/SplashBidNoticeAbstractUI.aspx?menuIndex=3&amp;refID=7061809&amp;Result=3","7061809")</f>
        <v>0</v>
      </c>
      <c r="B10881" t="s">
        <v>2085</v>
      </c>
      <c r="C10881" t="s">
        <v>13794</v>
      </c>
      <c r="D10881" t="s">
        <v>17415</v>
      </c>
      <c r="E10881" t="s">
        <v>26806</v>
      </c>
      <c r="F10881" t="s">
        <v>30052</v>
      </c>
      <c r="G10881" t="s">
        <v>30058</v>
      </c>
      <c r="H10881" t="s">
        <v>15498</v>
      </c>
      <c r="I10881" t="s">
        <v>3736</v>
      </c>
      <c r="J10881" t="s">
        <v>36856</v>
      </c>
      <c r="K10881" t="s">
        <v>39019</v>
      </c>
      <c r="M10881" t="s">
        <v>41546</v>
      </c>
      <c r="N10881" t="s">
        <v>43166</v>
      </c>
      <c r="O10881" t="s">
        <v>43167</v>
      </c>
      <c r="P10881">
        <v>0</v>
      </c>
      <c r="Q10881">
        <v>4</v>
      </c>
      <c r="R10881" t="s">
        <v>43180</v>
      </c>
      <c r="S10881" t="s">
        <v>43646</v>
      </c>
      <c r="T10881" t="s">
        <v>44761</v>
      </c>
      <c r="U10881" t="s">
        <v>53882</v>
      </c>
      <c r="W10881" t="s">
        <v>41546</v>
      </c>
      <c r="X10881" t="s">
        <v>43181</v>
      </c>
    </row>
    <row r="10882" spans="1:24">
      <c r="A10882">
        <f>HYPERLINK("https://www.philgeps.gov.ph/GEPSNONPILOT/Tender/SplashBidNoticeAbstractUI.aspx?menuIndex=3&amp;refID=7061807&amp;Result=3","7061807")</f>
        <v>0</v>
      </c>
      <c r="B10882" t="s">
        <v>450</v>
      </c>
      <c r="C10882" t="s">
        <v>13795</v>
      </c>
      <c r="D10882" t="s">
        <v>17467</v>
      </c>
      <c r="E10882" t="s">
        <v>26807</v>
      </c>
      <c r="F10882" t="s">
        <v>30052</v>
      </c>
      <c r="G10882" t="s">
        <v>30058</v>
      </c>
      <c r="H10882" t="s">
        <v>15498</v>
      </c>
      <c r="I10882" t="s">
        <v>30074</v>
      </c>
      <c r="J10882" t="s">
        <v>30222</v>
      </c>
      <c r="K10882" t="s">
        <v>39031</v>
      </c>
      <c r="M10882" t="s">
        <v>39750</v>
      </c>
      <c r="N10882" t="s">
        <v>43166</v>
      </c>
      <c r="O10882" t="s">
        <v>43167</v>
      </c>
      <c r="P10882">
        <v>0</v>
      </c>
      <c r="Q10882">
        <v>3</v>
      </c>
      <c r="R10882" t="s">
        <v>43180</v>
      </c>
      <c r="S10882" t="s">
        <v>43646</v>
      </c>
      <c r="T10882" t="s">
        <v>44815</v>
      </c>
      <c r="U10882" t="s">
        <v>53883</v>
      </c>
      <c r="W10882" t="s">
        <v>39750</v>
      </c>
      <c r="X10882" t="s">
        <v>43181</v>
      </c>
    </row>
    <row r="10883" spans="1:24">
      <c r="A10883">
        <f>HYPERLINK("https://www.philgeps.gov.ph/GEPSNONPILOT/Tender/SplashBidNoticeAbstractUI.aspx?menuIndex=3&amp;refID=7061792&amp;Result=3","7061792")</f>
        <v>0</v>
      </c>
      <c r="B10883" t="s">
        <v>2452</v>
      </c>
      <c r="C10883" t="s">
        <v>13796</v>
      </c>
      <c r="D10883" t="s">
        <v>17459</v>
      </c>
      <c r="E10883" t="s">
        <v>26808</v>
      </c>
      <c r="F10883" t="s">
        <v>30052</v>
      </c>
      <c r="G10883" t="s">
        <v>30058</v>
      </c>
      <c r="H10883" t="s">
        <v>30067</v>
      </c>
      <c r="I10883" t="s">
        <v>3693</v>
      </c>
      <c r="J10883" t="s">
        <v>36857</v>
      </c>
      <c r="K10883" t="s">
        <v>39057</v>
      </c>
      <c r="M10883" t="s">
        <v>41951</v>
      </c>
      <c r="N10883" t="s">
        <v>43166</v>
      </c>
      <c r="O10883" t="s">
        <v>43167</v>
      </c>
      <c r="Q10883">
        <v>1</v>
      </c>
      <c r="R10883" t="s">
        <v>43180</v>
      </c>
      <c r="S10883" t="s">
        <v>43666</v>
      </c>
      <c r="T10883" t="s">
        <v>45144</v>
      </c>
      <c r="U10883" t="s">
        <v>51675</v>
      </c>
      <c r="W10883" t="s">
        <v>41951</v>
      </c>
      <c r="X10883" t="s">
        <v>43181</v>
      </c>
    </row>
    <row r="10884" spans="1:24">
      <c r="A10884">
        <f>HYPERLINK("https://www.philgeps.gov.ph/GEPSNONPILOT/Tender/SplashBidNoticeAbstractUI.aspx?menuIndex=3&amp;refID=7061823&amp;Result=3","7061823")</f>
        <v>0</v>
      </c>
      <c r="B10884" t="s">
        <v>1134</v>
      </c>
      <c r="C10884" t="s">
        <v>13797</v>
      </c>
      <c r="D10884" t="s">
        <v>17459</v>
      </c>
      <c r="E10884" t="s">
        <v>26809</v>
      </c>
      <c r="F10884" t="s">
        <v>30052</v>
      </c>
      <c r="G10884" t="s">
        <v>30058</v>
      </c>
      <c r="H10884" t="s">
        <v>30067</v>
      </c>
      <c r="I10884" t="s">
        <v>3693</v>
      </c>
      <c r="J10884" t="s">
        <v>36858</v>
      </c>
      <c r="K10884" t="s">
        <v>39033</v>
      </c>
      <c r="M10884" t="s">
        <v>40749</v>
      </c>
      <c r="N10884" t="s">
        <v>43166</v>
      </c>
      <c r="O10884" t="s">
        <v>43167</v>
      </c>
      <c r="P10884">
        <v>0</v>
      </c>
      <c r="Q10884">
        <v>1</v>
      </c>
      <c r="R10884" t="s">
        <v>43180</v>
      </c>
      <c r="S10884" t="s">
        <v>43646</v>
      </c>
      <c r="T10884" t="s">
        <v>44699</v>
      </c>
      <c r="U10884" t="s">
        <v>53884</v>
      </c>
      <c r="V10884" t="s">
        <v>58048</v>
      </c>
      <c r="W10884" t="s">
        <v>40749</v>
      </c>
      <c r="X10884" t="s">
        <v>43181</v>
      </c>
    </row>
    <row r="10885" spans="1:24">
      <c r="A10885">
        <f>HYPERLINK("https://www.philgeps.gov.ph/GEPSNONPILOT/Tender/SplashBidNoticeAbstractUI.aspx?menuIndex=3&amp;refID=7062181&amp;Result=3","7062181")</f>
        <v>0</v>
      </c>
      <c r="B10885" t="s">
        <v>3026</v>
      </c>
      <c r="C10885" t="s">
        <v>13798</v>
      </c>
      <c r="E10885" t="s">
        <v>18583</v>
      </c>
      <c r="F10885" t="s">
        <v>30052</v>
      </c>
      <c r="G10885" t="s">
        <v>30058</v>
      </c>
      <c r="H10885" t="s">
        <v>15498</v>
      </c>
      <c r="I10885" t="s">
        <v>30106</v>
      </c>
      <c r="J10885" t="s">
        <v>30277</v>
      </c>
      <c r="K10885" t="s">
        <v>39025</v>
      </c>
      <c r="M10885" t="s">
        <v>42604</v>
      </c>
      <c r="N10885" t="s">
        <v>43166</v>
      </c>
      <c r="O10885" t="s">
        <v>43167</v>
      </c>
      <c r="P10885">
        <v>0</v>
      </c>
      <c r="Q10885">
        <v>1</v>
      </c>
      <c r="R10885" t="s">
        <v>43180</v>
      </c>
      <c r="S10885" t="s">
        <v>43646</v>
      </c>
      <c r="T10885" t="s">
        <v>44841</v>
      </c>
      <c r="U10885" t="s">
        <v>53885</v>
      </c>
      <c r="W10885" t="s">
        <v>42604</v>
      </c>
      <c r="X10885" t="s">
        <v>43181</v>
      </c>
    </row>
    <row r="10886" spans="1:24">
      <c r="A10886">
        <f>HYPERLINK("https://www.philgeps.gov.ph/GEPSNONPILOT/Tender/SplashBidNoticeAbstractUI.aspx?menuIndex=3&amp;refID=7061259&amp;Result=3","7061259")</f>
        <v>0</v>
      </c>
      <c r="B10886" t="s">
        <v>703</v>
      </c>
      <c r="C10886" t="s">
        <v>13799</v>
      </c>
      <c r="D10886" t="s">
        <v>17445</v>
      </c>
      <c r="E10886" t="s">
        <v>26810</v>
      </c>
      <c r="F10886" t="s">
        <v>30052</v>
      </c>
      <c r="G10886" t="s">
        <v>30058</v>
      </c>
      <c r="H10886" t="s">
        <v>30067</v>
      </c>
      <c r="I10886" t="s">
        <v>3693</v>
      </c>
      <c r="J10886" t="s">
        <v>31835</v>
      </c>
      <c r="K10886" t="s">
        <v>39057</v>
      </c>
      <c r="M10886" t="s">
        <v>40012</v>
      </c>
      <c r="N10886" t="s">
        <v>43166</v>
      </c>
      <c r="O10886" t="s">
        <v>43167</v>
      </c>
      <c r="Q10886">
        <v>2</v>
      </c>
      <c r="R10886" t="s">
        <v>43180</v>
      </c>
      <c r="S10886" t="s">
        <v>43667</v>
      </c>
      <c r="T10886" t="s">
        <v>44714</v>
      </c>
      <c r="U10886" t="s">
        <v>53857</v>
      </c>
      <c r="W10886" t="s">
        <v>40012</v>
      </c>
      <c r="X10886" t="s">
        <v>43182</v>
      </c>
    </row>
    <row r="10887" spans="1:24">
      <c r="A10887">
        <f>HYPERLINK("https://www.philgeps.gov.ph/GEPSNONPILOT/Tender/SplashBidNoticeAbstractUI.aspx?menuIndex=3&amp;refID=7062174&amp;Result=3","7062174")</f>
        <v>0</v>
      </c>
      <c r="B10887" t="s">
        <v>3027</v>
      </c>
      <c r="C10887" t="s">
        <v>13800</v>
      </c>
      <c r="D10887" t="s">
        <v>17430</v>
      </c>
      <c r="E10887" t="s">
        <v>26811</v>
      </c>
      <c r="F10887" t="s">
        <v>30052</v>
      </c>
      <c r="G10887" t="s">
        <v>30058</v>
      </c>
      <c r="H10887" t="s">
        <v>15498</v>
      </c>
      <c r="I10887" t="s">
        <v>30071</v>
      </c>
      <c r="J10887" t="s">
        <v>35217</v>
      </c>
      <c r="K10887" t="s">
        <v>39029</v>
      </c>
      <c r="M10887" t="s">
        <v>42605</v>
      </c>
      <c r="N10887" t="s">
        <v>43166</v>
      </c>
      <c r="O10887" t="s">
        <v>43167</v>
      </c>
      <c r="P10887">
        <v>0</v>
      </c>
      <c r="Q10887">
        <v>0</v>
      </c>
      <c r="R10887" t="s">
        <v>43180</v>
      </c>
      <c r="S10887" t="s">
        <v>43646</v>
      </c>
      <c r="T10887" t="s">
        <v>45047</v>
      </c>
      <c r="U10887" t="s">
        <v>51668</v>
      </c>
      <c r="V10887" t="s">
        <v>58050</v>
      </c>
      <c r="W10887" t="s">
        <v>42605</v>
      </c>
      <c r="X10887" t="s">
        <v>43181</v>
      </c>
    </row>
    <row r="10888" spans="1:24">
      <c r="A10888">
        <f>HYPERLINK("https://www.philgeps.gov.ph/GEPSNONPILOT/Tender/SplashBidNoticeAbstractUI.aspx?menuIndex=3&amp;refID=7062172&amp;Result=3","7062172")</f>
        <v>0</v>
      </c>
      <c r="B10888" t="s">
        <v>3028</v>
      </c>
      <c r="C10888" t="s">
        <v>13801</v>
      </c>
      <c r="D10888" t="s">
        <v>17431</v>
      </c>
      <c r="E10888" t="s">
        <v>21605</v>
      </c>
      <c r="F10888" t="s">
        <v>30052</v>
      </c>
      <c r="G10888" t="s">
        <v>30058</v>
      </c>
      <c r="H10888" t="s">
        <v>30067</v>
      </c>
      <c r="I10888" t="s">
        <v>3693</v>
      </c>
      <c r="J10888" t="s">
        <v>36859</v>
      </c>
      <c r="K10888" t="s">
        <v>39025</v>
      </c>
      <c r="M10888" t="s">
        <v>42606</v>
      </c>
      <c r="N10888" t="s">
        <v>43166</v>
      </c>
      <c r="O10888" t="s">
        <v>43167</v>
      </c>
      <c r="P10888">
        <v>0</v>
      </c>
      <c r="Q10888">
        <v>0</v>
      </c>
      <c r="R10888" t="s">
        <v>43180</v>
      </c>
      <c r="S10888" t="s">
        <v>43646</v>
      </c>
      <c r="T10888" t="s">
        <v>44705</v>
      </c>
      <c r="U10888" t="s">
        <v>53886</v>
      </c>
      <c r="W10888" t="s">
        <v>42606</v>
      </c>
      <c r="X10888" t="s">
        <v>43181</v>
      </c>
    </row>
    <row r="10889" spans="1:24">
      <c r="A10889">
        <f>HYPERLINK("https://www.philgeps.gov.ph/GEPSNONPILOT/Tender/SplashBidNoticeAbstractUI.aspx?menuIndex=3&amp;refID=7061311&amp;Result=3","7061311")</f>
        <v>0</v>
      </c>
      <c r="B10889" t="s">
        <v>703</v>
      </c>
      <c r="C10889" t="s">
        <v>13802</v>
      </c>
      <c r="D10889" t="s">
        <v>17445</v>
      </c>
      <c r="E10889" t="s">
        <v>26812</v>
      </c>
      <c r="F10889" t="s">
        <v>30052</v>
      </c>
      <c r="G10889" t="s">
        <v>30058</v>
      </c>
      <c r="H10889" t="s">
        <v>30067</v>
      </c>
      <c r="I10889" t="s">
        <v>3693</v>
      </c>
      <c r="J10889" t="s">
        <v>34506</v>
      </c>
      <c r="K10889" t="s">
        <v>39250</v>
      </c>
      <c r="M10889" t="s">
        <v>40012</v>
      </c>
      <c r="N10889" t="s">
        <v>43166</v>
      </c>
      <c r="O10889" t="s">
        <v>43167</v>
      </c>
      <c r="Q10889">
        <v>1</v>
      </c>
      <c r="R10889" t="s">
        <v>43180</v>
      </c>
      <c r="S10889" t="s">
        <v>43668</v>
      </c>
      <c r="T10889" t="s">
        <v>44714</v>
      </c>
      <c r="U10889" t="s">
        <v>53857</v>
      </c>
      <c r="W10889" t="s">
        <v>40012</v>
      </c>
      <c r="X10889" t="s">
        <v>43182</v>
      </c>
    </row>
    <row r="10890" spans="1:24">
      <c r="A10890">
        <f>HYPERLINK("https://www.philgeps.gov.ph/GEPSNONPILOT/Tender/SplashBidNoticeAbstractUI.aspx?menuIndex=3&amp;refID=7062139&amp;Result=3","7062139")</f>
        <v>0</v>
      </c>
      <c r="B10890" t="s">
        <v>3029</v>
      </c>
      <c r="C10890" t="s">
        <v>13803</v>
      </c>
      <c r="D10890" t="s">
        <v>17425</v>
      </c>
      <c r="E10890" t="s">
        <v>26813</v>
      </c>
      <c r="F10890" t="s">
        <v>30052</v>
      </c>
      <c r="G10890" t="s">
        <v>30058</v>
      </c>
      <c r="H10890" t="s">
        <v>30067</v>
      </c>
      <c r="I10890" t="s">
        <v>3693</v>
      </c>
      <c r="J10890" t="s">
        <v>30218</v>
      </c>
      <c r="K10890" t="s">
        <v>39025</v>
      </c>
      <c r="M10890" t="s">
        <v>42607</v>
      </c>
      <c r="N10890" t="s">
        <v>43166</v>
      </c>
      <c r="O10890" t="s">
        <v>43167</v>
      </c>
      <c r="P10890">
        <v>0</v>
      </c>
      <c r="Q10890">
        <v>0</v>
      </c>
      <c r="R10890" t="s">
        <v>43180</v>
      </c>
      <c r="S10890" t="s">
        <v>43646</v>
      </c>
      <c r="T10890" t="s">
        <v>44733</v>
      </c>
      <c r="U10890" t="s">
        <v>53887</v>
      </c>
      <c r="V10890" t="s">
        <v>58051</v>
      </c>
      <c r="W10890" t="s">
        <v>42607</v>
      </c>
      <c r="X10890" t="s">
        <v>43181</v>
      </c>
    </row>
    <row r="10891" spans="1:24">
      <c r="A10891">
        <f>HYPERLINK("https://www.philgeps.gov.ph/GEPSNONPILOT/Tender/SplashBidNoticeAbstractUI.aspx?menuIndex=3&amp;refID=7062092&amp;Result=3","7062092")</f>
        <v>0</v>
      </c>
      <c r="B10891" t="s">
        <v>740</v>
      </c>
      <c r="C10891" t="s">
        <v>13804</v>
      </c>
      <c r="D10891" t="s">
        <v>17443</v>
      </c>
      <c r="E10891" t="s">
        <v>26814</v>
      </c>
      <c r="F10891" t="s">
        <v>30052</v>
      </c>
      <c r="G10891" t="s">
        <v>30058</v>
      </c>
      <c r="H10891" t="s">
        <v>30067</v>
      </c>
      <c r="I10891" t="s">
        <v>3693</v>
      </c>
      <c r="J10891" t="s">
        <v>36860</v>
      </c>
      <c r="K10891" t="s">
        <v>39034</v>
      </c>
      <c r="M10891" t="s">
        <v>40053</v>
      </c>
      <c r="N10891" t="s">
        <v>43166</v>
      </c>
      <c r="O10891" t="s">
        <v>43167</v>
      </c>
      <c r="P10891">
        <v>0</v>
      </c>
      <c r="Q10891">
        <v>0</v>
      </c>
      <c r="R10891" t="s">
        <v>43180</v>
      </c>
      <c r="S10891" t="s">
        <v>43646</v>
      </c>
      <c r="T10891" t="s">
        <v>44764</v>
      </c>
      <c r="U10891" t="s">
        <v>53888</v>
      </c>
      <c r="W10891" t="s">
        <v>40053</v>
      </c>
      <c r="X10891" t="s">
        <v>43181</v>
      </c>
    </row>
    <row r="10892" spans="1:24">
      <c r="A10892">
        <f>HYPERLINK("https://www.philgeps.gov.ph/GEPSNONPILOT/Tender/SplashBidNoticeAbstractUI.aspx?menuIndex=3&amp;refID=7062133&amp;Result=3","7062133")</f>
        <v>0</v>
      </c>
      <c r="B10892" t="s">
        <v>1295</v>
      </c>
      <c r="C10892" t="s">
        <v>7178</v>
      </c>
      <c r="D10892" t="s">
        <v>17485</v>
      </c>
      <c r="E10892" t="s">
        <v>26815</v>
      </c>
      <c r="F10892" t="s">
        <v>30052</v>
      </c>
      <c r="G10892" t="s">
        <v>30061</v>
      </c>
      <c r="H10892" t="s">
        <v>15498</v>
      </c>
      <c r="I10892" t="s">
        <v>30081</v>
      </c>
      <c r="J10892" t="s">
        <v>36861</v>
      </c>
      <c r="K10892" t="s">
        <v>39019</v>
      </c>
      <c r="M10892" t="s">
        <v>40661</v>
      </c>
      <c r="N10892" t="s">
        <v>43166</v>
      </c>
      <c r="O10892" t="s">
        <v>43167</v>
      </c>
      <c r="P10892">
        <v>0</v>
      </c>
      <c r="Q10892">
        <v>0</v>
      </c>
      <c r="R10892" t="s">
        <v>43180</v>
      </c>
      <c r="S10892" t="s">
        <v>43646</v>
      </c>
      <c r="T10892" t="s">
        <v>44832</v>
      </c>
      <c r="U10892" t="s">
        <v>53889</v>
      </c>
      <c r="W10892" t="s">
        <v>40661</v>
      </c>
      <c r="X10892" t="s">
        <v>43181</v>
      </c>
    </row>
    <row r="10893" spans="1:24">
      <c r="A10893">
        <f>HYPERLINK("https://www.philgeps.gov.ph/GEPSNONPILOT/Tender/SplashBidNoticeAbstractUI.aspx?menuIndex=3&amp;refID=7062130&amp;Result=3","7062130")</f>
        <v>0</v>
      </c>
      <c r="B10893" t="s">
        <v>911</v>
      </c>
      <c r="C10893" t="s">
        <v>13805</v>
      </c>
      <c r="D10893" t="s">
        <v>17484</v>
      </c>
      <c r="E10893" t="s">
        <v>26816</v>
      </c>
      <c r="F10893" t="s">
        <v>30052</v>
      </c>
      <c r="G10893" t="s">
        <v>30058</v>
      </c>
      <c r="H10893" t="s">
        <v>30067</v>
      </c>
      <c r="I10893" t="s">
        <v>3693</v>
      </c>
      <c r="J10893" t="s">
        <v>36683</v>
      </c>
      <c r="K10893" t="s">
        <v>39029</v>
      </c>
      <c r="M10893" t="s">
        <v>40234</v>
      </c>
      <c r="N10893" t="s">
        <v>43166</v>
      </c>
      <c r="O10893" t="s">
        <v>43167</v>
      </c>
      <c r="P10893">
        <v>0</v>
      </c>
      <c r="Q10893">
        <v>0</v>
      </c>
      <c r="R10893" t="s">
        <v>43180</v>
      </c>
      <c r="S10893" t="s">
        <v>43646</v>
      </c>
      <c r="T10893" t="s">
        <v>44730</v>
      </c>
      <c r="U10893" t="s">
        <v>53890</v>
      </c>
      <c r="W10893" t="s">
        <v>40234</v>
      </c>
      <c r="X10893" t="s">
        <v>43181</v>
      </c>
    </row>
    <row r="10894" spans="1:24">
      <c r="A10894">
        <f>HYPERLINK("https://www.philgeps.gov.ph/GEPSNONPILOT/Tender/SplashBidNoticeAbstractUI.aspx?menuIndex=3&amp;refID=7062129&amp;Result=3","7062129")</f>
        <v>0</v>
      </c>
      <c r="B10894" t="s">
        <v>2452</v>
      </c>
      <c r="C10894" t="s">
        <v>13806</v>
      </c>
      <c r="D10894" t="s">
        <v>17459</v>
      </c>
      <c r="E10894" t="s">
        <v>26817</v>
      </c>
      <c r="F10894" t="s">
        <v>30052</v>
      </c>
      <c r="G10894" t="s">
        <v>30058</v>
      </c>
      <c r="H10894" t="s">
        <v>30067</v>
      </c>
      <c r="I10894" t="s">
        <v>3693</v>
      </c>
      <c r="J10894" t="s">
        <v>31531</v>
      </c>
      <c r="K10894" t="s">
        <v>39031</v>
      </c>
      <c r="M10894" t="s">
        <v>41951</v>
      </c>
      <c r="N10894" t="s">
        <v>43166</v>
      </c>
      <c r="O10894" t="s">
        <v>43167</v>
      </c>
      <c r="P10894">
        <v>0</v>
      </c>
      <c r="Q10894">
        <v>1</v>
      </c>
      <c r="R10894" t="s">
        <v>43180</v>
      </c>
      <c r="S10894" t="s">
        <v>43646</v>
      </c>
      <c r="T10894" t="s">
        <v>45144</v>
      </c>
      <c r="U10894" t="s">
        <v>51675</v>
      </c>
      <c r="V10894" t="s">
        <v>57851</v>
      </c>
      <c r="W10894" t="s">
        <v>41951</v>
      </c>
      <c r="X10894" t="s">
        <v>43181</v>
      </c>
    </row>
    <row r="10895" spans="1:24">
      <c r="A10895">
        <f>HYPERLINK("https://www.philgeps.gov.ph/GEPSNONPILOT/Tender/SplashBidNoticeAbstractUI.aspx?menuIndex=3&amp;refID=7062059&amp;Result=3","7062059")</f>
        <v>0</v>
      </c>
      <c r="B10895" t="s">
        <v>3030</v>
      </c>
      <c r="C10895" t="s">
        <v>13807</v>
      </c>
      <c r="D10895" t="s">
        <v>17468</v>
      </c>
      <c r="E10895" t="s">
        <v>26818</v>
      </c>
      <c r="F10895" t="s">
        <v>30052</v>
      </c>
      <c r="G10895" t="s">
        <v>30058</v>
      </c>
      <c r="H10895" t="s">
        <v>15498</v>
      </c>
      <c r="I10895" t="s">
        <v>3736</v>
      </c>
      <c r="J10895" t="s">
        <v>36862</v>
      </c>
      <c r="K10895" t="s">
        <v>39019</v>
      </c>
      <c r="M10895" t="s">
        <v>42608</v>
      </c>
      <c r="N10895" t="s">
        <v>43166</v>
      </c>
      <c r="O10895" t="s">
        <v>43167</v>
      </c>
      <c r="P10895">
        <v>0</v>
      </c>
      <c r="Q10895">
        <v>1</v>
      </c>
      <c r="R10895" t="s">
        <v>43180</v>
      </c>
      <c r="S10895" t="s">
        <v>43646</v>
      </c>
      <c r="T10895" t="s">
        <v>44856</v>
      </c>
      <c r="U10895" t="s">
        <v>53891</v>
      </c>
      <c r="W10895" t="s">
        <v>42608</v>
      </c>
      <c r="X10895" t="s">
        <v>43181</v>
      </c>
    </row>
    <row r="10896" spans="1:24">
      <c r="A10896">
        <f>HYPERLINK("https://www.philgeps.gov.ph/GEPSNONPILOT/Tender/SplashBidNoticeAbstractUI.aspx?menuIndex=3&amp;refID=7062076&amp;Result=3","7062076")</f>
        <v>0</v>
      </c>
      <c r="B10896" t="s">
        <v>2055</v>
      </c>
      <c r="C10896" t="s">
        <v>13808</v>
      </c>
      <c r="D10896" t="s">
        <v>17419</v>
      </c>
      <c r="E10896" t="s">
        <v>26819</v>
      </c>
      <c r="F10896" t="s">
        <v>30052</v>
      </c>
      <c r="G10896" t="s">
        <v>30058</v>
      </c>
      <c r="H10896" t="s">
        <v>30067</v>
      </c>
      <c r="I10896" t="s">
        <v>3693</v>
      </c>
      <c r="J10896" t="s">
        <v>33078</v>
      </c>
      <c r="K10896" t="s">
        <v>39025</v>
      </c>
      <c r="M10896" t="s">
        <v>42300</v>
      </c>
      <c r="N10896" t="s">
        <v>43166</v>
      </c>
      <c r="O10896" t="s">
        <v>43167</v>
      </c>
      <c r="Q10896">
        <v>1</v>
      </c>
      <c r="R10896" t="s">
        <v>43180</v>
      </c>
      <c r="S10896" t="s">
        <v>43669</v>
      </c>
      <c r="T10896" t="s">
        <v>44724</v>
      </c>
      <c r="U10896" t="s">
        <v>53892</v>
      </c>
      <c r="W10896" t="s">
        <v>42300</v>
      </c>
      <c r="X10896" t="s">
        <v>43181</v>
      </c>
    </row>
    <row r="10897" spans="1:24">
      <c r="A10897">
        <f>HYPERLINK("https://www.philgeps.gov.ph/GEPSNONPILOT/Tender/SplashBidNoticeAbstractUI.aspx?menuIndex=3&amp;refID=7062051&amp;Result=3","7062051")</f>
        <v>0</v>
      </c>
      <c r="B10897" t="s">
        <v>2263</v>
      </c>
      <c r="C10897" t="s">
        <v>13809</v>
      </c>
      <c r="D10897" t="s">
        <v>17423</v>
      </c>
      <c r="E10897" t="s">
        <v>17715</v>
      </c>
      <c r="F10897" t="s">
        <v>30052</v>
      </c>
      <c r="G10897" t="s">
        <v>30058</v>
      </c>
      <c r="H10897" t="s">
        <v>15498</v>
      </c>
      <c r="I10897" t="s">
        <v>3736</v>
      </c>
      <c r="J10897" t="s">
        <v>36863</v>
      </c>
      <c r="K10897" t="s">
        <v>39037</v>
      </c>
      <c r="M10897" t="s">
        <v>41741</v>
      </c>
      <c r="N10897" t="s">
        <v>43166</v>
      </c>
      <c r="O10897" t="s">
        <v>43167</v>
      </c>
      <c r="P10897">
        <v>0</v>
      </c>
      <c r="Q10897">
        <v>0</v>
      </c>
      <c r="R10897" t="s">
        <v>43180</v>
      </c>
      <c r="S10897" t="s">
        <v>43646</v>
      </c>
      <c r="T10897" t="s">
        <v>44717</v>
      </c>
      <c r="U10897" t="s">
        <v>53893</v>
      </c>
      <c r="W10897" t="s">
        <v>41741</v>
      </c>
      <c r="X10897" t="s">
        <v>43181</v>
      </c>
    </row>
    <row r="10898" spans="1:24">
      <c r="A10898">
        <f>HYPERLINK("https://www.philgeps.gov.ph/GEPSNONPILOT/Tender/SplashBidNoticeAbstractUI.aspx?menuIndex=3&amp;refID=7062063&amp;Result=3","7062063")</f>
        <v>0</v>
      </c>
      <c r="B10898" t="s">
        <v>1134</v>
      </c>
      <c r="C10898" t="s">
        <v>13810</v>
      </c>
      <c r="D10898" t="s">
        <v>17459</v>
      </c>
      <c r="E10898" t="s">
        <v>26820</v>
      </c>
      <c r="F10898" t="s">
        <v>30052</v>
      </c>
      <c r="G10898" t="s">
        <v>30058</v>
      </c>
      <c r="H10898" t="s">
        <v>30067</v>
      </c>
      <c r="I10898" t="s">
        <v>3693</v>
      </c>
      <c r="J10898" t="s">
        <v>36864</v>
      </c>
      <c r="K10898" t="s">
        <v>39065</v>
      </c>
      <c r="M10898" t="s">
        <v>40749</v>
      </c>
      <c r="N10898" t="s">
        <v>43166</v>
      </c>
      <c r="O10898" t="s">
        <v>43167</v>
      </c>
      <c r="P10898">
        <v>0</v>
      </c>
      <c r="Q10898">
        <v>0</v>
      </c>
      <c r="R10898" t="s">
        <v>43180</v>
      </c>
      <c r="S10898" t="s">
        <v>43646</v>
      </c>
      <c r="T10898" t="s">
        <v>44699</v>
      </c>
      <c r="U10898" t="s">
        <v>53894</v>
      </c>
      <c r="V10898" t="s">
        <v>58048</v>
      </c>
      <c r="W10898" t="s">
        <v>40749</v>
      </c>
      <c r="X10898" t="s">
        <v>43181</v>
      </c>
    </row>
    <row r="10899" spans="1:24">
      <c r="A10899">
        <f>HYPERLINK("https://www.philgeps.gov.ph/GEPSNONPILOT/Tender/SplashBidNoticeAbstractUI.aspx?menuIndex=3&amp;refID=7062049&amp;Result=3","7062049")</f>
        <v>0</v>
      </c>
      <c r="B10899" t="s">
        <v>3031</v>
      </c>
      <c r="C10899" t="s">
        <v>13811</v>
      </c>
      <c r="D10899" t="s">
        <v>17431</v>
      </c>
      <c r="E10899" t="s">
        <v>18952</v>
      </c>
      <c r="F10899" t="s">
        <v>30052</v>
      </c>
      <c r="G10899" t="s">
        <v>30058</v>
      </c>
      <c r="H10899" t="s">
        <v>30067</v>
      </c>
      <c r="I10899" t="s">
        <v>3693</v>
      </c>
      <c r="J10899" t="s">
        <v>36865</v>
      </c>
      <c r="K10899" t="s">
        <v>39025</v>
      </c>
      <c r="M10899" t="s">
        <v>42609</v>
      </c>
      <c r="N10899" t="s">
        <v>43166</v>
      </c>
      <c r="O10899" t="s">
        <v>43167</v>
      </c>
      <c r="P10899">
        <v>0</v>
      </c>
      <c r="Q10899">
        <v>0</v>
      </c>
      <c r="R10899" t="s">
        <v>43180</v>
      </c>
      <c r="S10899" t="s">
        <v>43646</v>
      </c>
      <c r="T10899" t="s">
        <v>44705</v>
      </c>
      <c r="U10899" t="s">
        <v>53895</v>
      </c>
      <c r="W10899" t="s">
        <v>42609</v>
      </c>
      <c r="X10899" t="s">
        <v>43181</v>
      </c>
    </row>
    <row r="10900" spans="1:24">
      <c r="A10900">
        <f>HYPERLINK("https://www.philgeps.gov.ph/GEPSNONPILOT/Tender/SplashBidNoticeAbstractUI.aspx?menuIndex=3&amp;refID=7062276&amp;Result=3","7062276")</f>
        <v>0</v>
      </c>
      <c r="B10900" t="s">
        <v>3032</v>
      </c>
      <c r="C10900" t="s">
        <v>13812</v>
      </c>
      <c r="E10900" t="s">
        <v>26821</v>
      </c>
      <c r="F10900" t="s">
        <v>30052</v>
      </c>
      <c r="G10900" t="s">
        <v>30059</v>
      </c>
      <c r="H10900" t="s">
        <v>15498</v>
      </c>
      <c r="I10900" t="s">
        <v>5961</v>
      </c>
      <c r="J10900" t="s">
        <v>36866</v>
      </c>
      <c r="K10900" t="s">
        <v>39018</v>
      </c>
      <c r="M10900" t="s">
        <v>42610</v>
      </c>
      <c r="N10900" t="s">
        <v>43166</v>
      </c>
      <c r="O10900" t="s">
        <v>43167</v>
      </c>
      <c r="P10900">
        <v>0</v>
      </c>
      <c r="Q10900">
        <v>0</v>
      </c>
      <c r="R10900" t="s">
        <v>43180</v>
      </c>
      <c r="S10900" t="s">
        <v>43646</v>
      </c>
      <c r="T10900" t="s">
        <v>44710</v>
      </c>
      <c r="U10900" t="s">
        <v>53896</v>
      </c>
      <c r="V10900" t="s">
        <v>58052</v>
      </c>
      <c r="W10900" t="s">
        <v>42610</v>
      </c>
      <c r="X10900" t="s">
        <v>43181</v>
      </c>
    </row>
    <row r="10901" spans="1:24">
      <c r="A10901">
        <f>HYPERLINK("https://www.philgeps.gov.ph/GEPSNONPILOT/Tender/SplashBidNoticeAbstractUI.aspx?menuIndex=3&amp;refID=7062055&amp;Result=3","7062055")</f>
        <v>0</v>
      </c>
      <c r="B10901" t="s">
        <v>972</v>
      </c>
      <c r="C10901" t="s">
        <v>13813</v>
      </c>
      <c r="D10901" t="s">
        <v>17454</v>
      </c>
      <c r="E10901" t="s">
        <v>26822</v>
      </c>
      <c r="F10901" t="s">
        <v>30052</v>
      </c>
      <c r="G10901" t="s">
        <v>30058</v>
      </c>
      <c r="H10901" t="s">
        <v>30067</v>
      </c>
      <c r="I10901" t="s">
        <v>3693</v>
      </c>
      <c r="J10901" t="s">
        <v>36867</v>
      </c>
      <c r="K10901" t="s">
        <v>39022</v>
      </c>
      <c r="M10901" t="s">
        <v>40299</v>
      </c>
      <c r="N10901" t="s">
        <v>43166</v>
      </c>
      <c r="O10901" t="s">
        <v>43167</v>
      </c>
      <c r="P10901">
        <v>0</v>
      </c>
      <c r="Q10901">
        <v>0</v>
      </c>
      <c r="R10901" t="s">
        <v>43180</v>
      </c>
      <c r="S10901" t="s">
        <v>43646</v>
      </c>
      <c r="T10901" t="s">
        <v>44733</v>
      </c>
      <c r="U10901" t="s">
        <v>53897</v>
      </c>
      <c r="W10901" t="s">
        <v>40299</v>
      </c>
      <c r="X10901" t="s">
        <v>43181</v>
      </c>
    </row>
    <row r="10902" spans="1:24">
      <c r="A10902">
        <f>HYPERLINK("https://www.philgeps.gov.ph/GEPSNONPILOT/Tender/SplashBidNoticeAbstractUI.aspx?menuIndex=3&amp;refID=7062274&amp;Result=3","7062274")</f>
        <v>0</v>
      </c>
      <c r="B10902" t="s">
        <v>450</v>
      </c>
      <c r="C10902" t="s">
        <v>13814</v>
      </c>
      <c r="D10902" t="s">
        <v>17467</v>
      </c>
      <c r="E10902" t="s">
        <v>26823</v>
      </c>
      <c r="F10902" t="s">
        <v>30052</v>
      </c>
      <c r="G10902" t="s">
        <v>30058</v>
      </c>
      <c r="H10902" t="s">
        <v>30067</v>
      </c>
      <c r="I10902" t="s">
        <v>3693</v>
      </c>
      <c r="J10902" t="s">
        <v>36868</v>
      </c>
      <c r="K10902" t="s">
        <v>39046</v>
      </c>
      <c r="M10902" t="s">
        <v>39750</v>
      </c>
      <c r="N10902" t="s">
        <v>43166</v>
      </c>
      <c r="O10902" t="s">
        <v>43167</v>
      </c>
      <c r="P10902">
        <v>0</v>
      </c>
      <c r="Q10902">
        <v>0</v>
      </c>
      <c r="R10902" t="s">
        <v>43180</v>
      </c>
      <c r="S10902" t="s">
        <v>43646</v>
      </c>
      <c r="T10902" t="s">
        <v>44815</v>
      </c>
      <c r="U10902" t="s">
        <v>53898</v>
      </c>
      <c r="W10902" t="s">
        <v>39750</v>
      </c>
      <c r="X10902" t="s">
        <v>43181</v>
      </c>
    </row>
    <row r="10903" spans="1:24">
      <c r="A10903">
        <f>HYPERLINK("https://www.philgeps.gov.ph/GEPSNONPILOT/Tender/SplashBidNoticeAbstractUI.aspx?menuIndex=3&amp;refID=7062282&amp;Result=3","7062282")</f>
        <v>0</v>
      </c>
      <c r="B10903" t="s">
        <v>3033</v>
      </c>
      <c r="C10903" t="s">
        <v>13815</v>
      </c>
      <c r="D10903" t="s">
        <v>17442</v>
      </c>
      <c r="E10903" t="s">
        <v>25336</v>
      </c>
      <c r="F10903" t="s">
        <v>30055</v>
      </c>
      <c r="G10903" t="s">
        <v>30058</v>
      </c>
      <c r="H10903" t="s">
        <v>15498</v>
      </c>
      <c r="I10903" t="s">
        <v>6691</v>
      </c>
      <c r="J10903" t="s">
        <v>30287</v>
      </c>
      <c r="K10903" t="s">
        <v>39025</v>
      </c>
      <c r="M10903" t="s">
        <v>42611</v>
      </c>
      <c r="N10903" t="s">
        <v>43166</v>
      </c>
      <c r="O10903" t="s">
        <v>43167</v>
      </c>
      <c r="P10903">
        <v>0</v>
      </c>
      <c r="Q10903">
        <v>1</v>
      </c>
      <c r="R10903" t="s">
        <v>43180</v>
      </c>
      <c r="S10903" t="s">
        <v>43646</v>
      </c>
      <c r="T10903" t="s">
        <v>44734</v>
      </c>
      <c r="U10903" t="s">
        <v>53899</v>
      </c>
      <c r="W10903" t="s">
        <v>42611</v>
      </c>
      <c r="X10903" t="s">
        <v>43181</v>
      </c>
    </row>
    <row r="10904" spans="1:24">
      <c r="A10904">
        <f>HYPERLINK("https://www.philgeps.gov.ph/GEPSNONPILOT/Tender/SplashBidNoticeAbstractUI.aspx?menuIndex=3&amp;refID=7062267&amp;Result=3","7062267")</f>
        <v>0</v>
      </c>
      <c r="B10904" t="s">
        <v>3034</v>
      </c>
      <c r="C10904" t="s">
        <v>13816</v>
      </c>
      <c r="D10904" t="s">
        <v>17457</v>
      </c>
      <c r="E10904" t="s">
        <v>26824</v>
      </c>
      <c r="F10904" t="s">
        <v>30052</v>
      </c>
      <c r="G10904" t="s">
        <v>30058</v>
      </c>
      <c r="H10904" t="s">
        <v>30067</v>
      </c>
      <c r="I10904" t="s">
        <v>30114</v>
      </c>
      <c r="J10904" t="s">
        <v>36869</v>
      </c>
      <c r="K10904" t="s">
        <v>39029</v>
      </c>
      <c r="M10904" t="s">
        <v>42612</v>
      </c>
      <c r="N10904" t="s">
        <v>43166</v>
      </c>
      <c r="O10904" t="s">
        <v>43167</v>
      </c>
      <c r="P10904">
        <v>0</v>
      </c>
      <c r="Q10904">
        <v>7</v>
      </c>
      <c r="R10904" t="s">
        <v>43180</v>
      </c>
      <c r="S10904" t="s">
        <v>43646</v>
      </c>
      <c r="T10904" t="s">
        <v>44815</v>
      </c>
      <c r="U10904" t="s">
        <v>53900</v>
      </c>
      <c r="W10904" t="s">
        <v>42612</v>
      </c>
      <c r="X10904" t="s">
        <v>43181</v>
      </c>
    </row>
    <row r="10905" spans="1:24">
      <c r="A10905">
        <f>HYPERLINK("https://www.philgeps.gov.ph/GEPSNONPILOT/Tender/SplashBidNoticeAbstractUI.aspx?menuIndex=3&amp;refID=7062273&amp;Result=3","7062273")</f>
        <v>0</v>
      </c>
      <c r="B10905" t="s">
        <v>448</v>
      </c>
      <c r="C10905" t="s">
        <v>13817</v>
      </c>
      <c r="D10905" t="s">
        <v>17445</v>
      </c>
      <c r="E10905" t="s">
        <v>26825</v>
      </c>
      <c r="F10905" t="s">
        <v>30052</v>
      </c>
      <c r="G10905" t="s">
        <v>30058</v>
      </c>
      <c r="H10905" t="s">
        <v>15498</v>
      </c>
      <c r="I10905" t="s">
        <v>30083</v>
      </c>
      <c r="J10905" t="s">
        <v>30212</v>
      </c>
      <c r="K10905" t="s">
        <v>39025</v>
      </c>
      <c r="M10905" t="s">
        <v>39748</v>
      </c>
      <c r="N10905" t="s">
        <v>43166</v>
      </c>
      <c r="O10905" t="s">
        <v>43167</v>
      </c>
      <c r="P10905">
        <v>0</v>
      </c>
      <c r="Q10905">
        <v>4</v>
      </c>
      <c r="R10905" t="s">
        <v>43180</v>
      </c>
      <c r="S10905" t="s">
        <v>43646</v>
      </c>
      <c r="T10905" t="s">
        <v>44704</v>
      </c>
      <c r="U10905" t="s">
        <v>53901</v>
      </c>
      <c r="V10905" t="s">
        <v>57418</v>
      </c>
      <c r="W10905" t="s">
        <v>39748</v>
      </c>
      <c r="X10905" t="s">
        <v>43181</v>
      </c>
    </row>
    <row r="10906" spans="1:24">
      <c r="A10906">
        <f>HYPERLINK("https://www.philgeps.gov.ph/GEPSNONPILOT/Tender/SplashBidNoticeAbstractUI.aspx?menuIndex=3&amp;refID=7062248&amp;Result=3","7062248")</f>
        <v>0</v>
      </c>
      <c r="B10906" t="s">
        <v>3035</v>
      </c>
      <c r="C10906" t="s">
        <v>13818</v>
      </c>
      <c r="D10906" t="s">
        <v>17417</v>
      </c>
      <c r="E10906" t="s">
        <v>26826</v>
      </c>
      <c r="F10906" t="s">
        <v>30052</v>
      </c>
      <c r="G10906" t="s">
        <v>30058</v>
      </c>
      <c r="H10906" t="s">
        <v>15498</v>
      </c>
      <c r="I10906" t="s">
        <v>3606</v>
      </c>
      <c r="J10906" t="s">
        <v>36870</v>
      </c>
      <c r="K10906" t="s">
        <v>39037</v>
      </c>
      <c r="M10906" t="s">
        <v>42613</v>
      </c>
      <c r="N10906" t="s">
        <v>43166</v>
      </c>
      <c r="O10906" t="s">
        <v>43167</v>
      </c>
      <c r="P10906">
        <v>0</v>
      </c>
      <c r="Q10906">
        <v>2</v>
      </c>
      <c r="R10906" t="s">
        <v>43180</v>
      </c>
      <c r="S10906" t="s">
        <v>43646</v>
      </c>
      <c r="T10906" t="s">
        <v>44733</v>
      </c>
      <c r="U10906" t="s">
        <v>53902</v>
      </c>
      <c r="W10906" t="s">
        <v>42613</v>
      </c>
      <c r="X10906" t="s">
        <v>43181</v>
      </c>
    </row>
    <row r="10907" spans="1:24">
      <c r="A10907">
        <f>HYPERLINK("https://www.philgeps.gov.ph/GEPSNONPILOT/Tender/SplashBidNoticeAbstractUI.aspx?menuIndex=3&amp;refID=7062270&amp;Result=3","7062270")</f>
        <v>0</v>
      </c>
      <c r="B10907" t="s">
        <v>969</v>
      </c>
      <c r="C10907" t="s">
        <v>13819</v>
      </c>
      <c r="D10907" t="s">
        <v>17449</v>
      </c>
      <c r="E10907" t="s">
        <v>26827</v>
      </c>
      <c r="F10907" t="s">
        <v>30052</v>
      </c>
      <c r="G10907" t="s">
        <v>30058</v>
      </c>
      <c r="H10907" t="s">
        <v>15498</v>
      </c>
      <c r="I10907" t="s">
        <v>30120</v>
      </c>
      <c r="J10907" t="s">
        <v>36871</v>
      </c>
      <c r="K10907" t="s">
        <v>39032</v>
      </c>
      <c r="M10907" t="s">
        <v>40295</v>
      </c>
      <c r="N10907" t="s">
        <v>43166</v>
      </c>
      <c r="O10907" t="s">
        <v>43167</v>
      </c>
      <c r="P10907">
        <v>0</v>
      </c>
      <c r="Q10907">
        <v>3</v>
      </c>
      <c r="R10907" t="s">
        <v>43180</v>
      </c>
      <c r="S10907" t="s">
        <v>43646</v>
      </c>
      <c r="T10907" t="s">
        <v>44802</v>
      </c>
      <c r="U10907" t="s">
        <v>53903</v>
      </c>
      <c r="W10907" t="s">
        <v>40295</v>
      </c>
      <c r="X10907" t="s">
        <v>43181</v>
      </c>
    </row>
    <row r="10908" spans="1:24">
      <c r="A10908">
        <f>HYPERLINK("https://www.philgeps.gov.ph/GEPSNONPILOT/Tender/SplashBidNoticeAbstractUI.aspx?menuIndex=3&amp;refID=7061847&amp;Result=3","7061847")</f>
        <v>0</v>
      </c>
      <c r="B10908" t="s">
        <v>1134</v>
      </c>
      <c r="C10908" t="s">
        <v>13820</v>
      </c>
      <c r="D10908" t="s">
        <v>17459</v>
      </c>
      <c r="E10908" t="s">
        <v>26828</v>
      </c>
      <c r="F10908" t="s">
        <v>30052</v>
      </c>
      <c r="G10908" t="s">
        <v>30058</v>
      </c>
      <c r="H10908" t="s">
        <v>30067</v>
      </c>
      <c r="I10908" t="s">
        <v>3693</v>
      </c>
      <c r="J10908" t="s">
        <v>36872</v>
      </c>
      <c r="K10908" t="s">
        <v>39031</v>
      </c>
      <c r="M10908" t="s">
        <v>40749</v>
      </c>
      <c r="N10908" t="s">
        <v>43166</v>
      </c>
      <c r="O10908" t="s">
        <v>43167</v>
      </c>
      <c r="Q10908">
        <v>0</v>
      </c>
      <c r="R10908" t="s">
        <v>43180</v>
      </c>
      <c r="S10908" t="s">
        <v>43670</v>
      </c>
      <c r="T10908" t="s">
        <v>44699</v>
      </c>
      <c r="U10908" t="s">
        <v>53904</v>
      </c>
      <c r="V10908" t="s">
        <v>58048</v>
      </c>
      <c r="W10908" t="s">
        <v>40749</v>
      </c>
      <c r="X10908" t="s">
        <v>43181</v>
      </c>
    </row>
    <row r="10909" spans="1:24">
      <c r="A10909">
        <f>HYPERLINK("https://www.philgeps.gov.ph/GEPSNONPILOT/Tender/SplashBidNoticeAbstractUI.aspx?menuIndex=3&amp;refID=7062241&amp;Result=3","7062241")</f>
        <v>0</v>
      </c>
      <c r="B10909" t="s">
        <v>448</v>
      </c>
      <c r="C10909" t="s">
        <v>13821</v>
      </c>
      <c r="D10909" t="s">
        <v>17445</v>
      </c>
      <c r="E10909" t="s">
        <v>26829</v>
      </c>
      <c r="F10909" t="s">
        <v>30052</v>
      </c>
      <c r="G10909" t="s">
        <v>30058</v>
      </c>
      <c r="H10909" t="s">
        <v>15498</v>
      </c>
      <c r="I10909" t="s">
        <v>30074</v>
      </c>
      <c r="J10909" t="s">
        <v>30281</v>
      </c>
      <c r="K10909" t="s">
        <v>39025</v>
      </c>
      <c r="M10909" t="s">
        <v>39748</v>
      </c>
      <c r="N10909" t="s">
        <v>43166</v>
      </c>
      <c r="O10909" t="s">
        <v>43167</v>
      </c>
      <c r="P10909">
        <v>0</v>
      </c>
      <c r="Q10909">
        <v>3</v>
      </c>
      <c r="R10909" t="s">
        <v>43180</v>
      </c>
      <c r="S10909" t="s">
        <v>43646</v>
      </c>
      <c r="T10909" t="s">
        <v>44704</v>
      </c>
      <c r="U10909" t="s">
        <v>53905</v>
      </c>
      <c r="V10909" t="s">
        <v>57418</v>
      </c>
      <c r="W10909" t="s">
        <v>39748</v>
      </c>
      <c r="X10909" t="s">
        <v>43181</v>
      </c>
    </row>
    <row r="10910" spans="1:24">
      <c r="A10910">
        <f>HYPERLINK("https://www.philgeps.gov.ph/GEPSNONPILOT/Tender/SplashBidNoticeAbstractUI.aspx?menuIndex=3&amp;refID=7061790&amp;Result=3","7061790")</f>
        <v>0</v>
      </c>
      <c r="B10910" t="s">
        <v>608</v>
      </c>
      <c r="C10910" t="s">
        <v>13822</v>
      </c>
      <c r="D10910" t="s">
        <v>17449</v>
      </c>
      <c r="E10910" t="s">
        <v>26830</v>
      </c>
      <c r="F10910" t="s">
        <v>30052</v>
      </c>
      <c r="G10910" t="s">
        <v>30058</v>
      </c>
      <c r="H10910" t="s">
        <v>15498</v>
      </c>
      <c r="I10910" t="s">
        <v>30091</v>
      </c>
      <c r="J10910" t="s">
        <v>36873</v>
      </c>
      <c r="K10910" t="s">
        <v>39025</v>
      </c>
      <c r="M10910" t="s">
        <v>39910</v>
      </c>
      <c r="N10910" t="s">
        <v>43166</v>
      </c>
      <c r="O10910" t="s">
        <v>43167</v>
      </c>
      <c r="P10910">
        <v>0</v>
      </c>
      <c r="Q10910">
        <v>3</v>
      </c>
      <c r="R10910" t="s">
        <v>43180</v>
      </c>
      <c r="S10910" t="s">
        <v>43646</v>
      </c>
      <c r="T10910" t="s">
        <v>44761</v>
      </c>
      <c r="U10910" t="s">
        <v>53906</v>
      </c>
      <c r="W10910" t="s">
        <v>39910</v>
      </c>
      <c r="X10910" t="s">
        <v>43181</v>
      </c>
    </row>
    <row r="10911" spans="1:24">
      <c r="A10911">
        <f>HYPERLINK("https://www.philgeps.gov.ph/GEPSNONPILOT/Tender/SplashBidNoticeAbstractUI.aspx?menuIndex=3&amp;refID=7062234&amp;Result=3","7062234")</f>
        <v>0</v>
      </c>
      <c r="B10911" t="s">
        <v>991</v>
      </c>
      <c r="C10911" t="s">
        <v>13823</v>
      </c>
      <c r="D10911" t="s">
        <v>17444</v>
      </c>
      <c r="E10911" t="s">
        <v>26831</v>
      </c>
      <c r="F10911" t="s">
        <v>30055</v>
      </c>
      <c r="G10911" t="s">
        <v>30058</v>
      </c>
      <c r="H10911" t="s">
        <v>15498</v>
      </c>
      <c r="I10911" t="s">
        <v>30076</v>
      </c>
      <c r="J10911" t="s">
        <v>36874</v>
      </c>
      <c r="K10911" t="s">
        <v>39017</v>
      </c>
      <c r="M10911" t="s">
        <v>40318</v>
      </c>
      <c r="N10911" t="s">
        <v>43166</v>
      </c>
      <c r="O10911" t="s">
        <v>43167</v>
      </c>
      <c r="P10911">
        <v>0</v>
      </c>
      <c r="Q10911">
        <v>1</v>
      </c>
      <c r="R10911" t="s">
        <v>43180</v>
      </c>
      <c r="S10911" t="s">
        <v>43646</v>
      </c>
      <c r="T10911" t="s">
        <v>44699</v>
      </c>
      <c r="U10911" t="s">
        <v>53907</v>
      </c>
      <c r="V10911" t="s">
        <v>58053</v>
      </c>
      <c r="W10911" t="s">
        <v>40318</v>
      </c>
      <c r="X10911" t="s">
        <v>43181</v>
      </c>
    </row>
    <row r="10912" spans="1:24">
      <c r="A10912">
        <f>HYPERLINK("https://www.philgeps.gov.ph/GEPSNONPILOT/Tender/SplashBidNoticeAbstractUI.aspx?menuIndex=3&amp;refID=7062252&amp;Result=3","7062252")</f>
        <v>0</v>
      </c>
      <c r="B10912" t="s">
        <v>3036</v>
      </c>
      <c r="C10912" t="s">
        <v>13824</v>
      </c>
      <c r="D10912" t="s">
        <v>17431</v>
      </c>
      <c r="E10912" t="s">
        <v>20087</v>
      </c>
      <c r="F10912" t="s">
        <v>30052</v>
      </c>
      <c r="G10912" t="s">
        <v>30058</v>
      </c>
      <c r="H10912" t="s">
        <v>30067</v>
      </c>
      <c r="I10912" t="s">
        <v>3693</v>
      </c>
      <c r="J10912" t="s">
        <v>36875</v>
      </c>
      <c r="K10912" t="s">
        <v>39025</v>
      </c>
      <c r="M10912" t="s">
        <v>42614</v>
      </c>
      <c r="N10912" t="s">
        <v>43166</v>
      </c>
      <c r="O10912" t="s">
        <v>43167</v>
      </c>
      <c r="P10912">
        <v>0</v>
      </c>
      <c r="Q10912">
        <v>0</v>
      </c>
      <c r="R10912" t="s">
        <v>43180</v>
      </c>
      <c r="S10912" t="s">
        <v>43646</v>
      </c>
      <c r="T10912" t="s">
        <v>44705</v>
      </c>
      <c r="U10912" t="s">
        <v>53908</v>
      </c>
      <c r="W10912" t="s">
        <v>42614</v>
      </c>
      <c r="X10912" t="s">
        <v>43181</v>
      </c>
    </row>
    <row r="10913" spans="1:24">
      <c r="A10913">
        <f>HYPERLINK("https://www.philgeps.gov.ph/GEPSNONPILOT/Tender/SplashBidNoticeAbstractUI.aspx?menuIndex=3&amp;refID=7062228&amp;Result=3","7062228")</f>
        <v>0</v>
      </c>
      <c r="B10913" t="s">
        <v>3029</v>
      </c>
      <c r="C10913" t="s">
        <v>13825</v>
      </c>
      <c r="D10913" t="s">
        <v>17425</v>
      </c>
      <c r="E10913" t="s">
        <v>26832</v>
      </c>
      <c r="F10913" t="s">
        <v>30052</v>
      </c>
      <c r="G10913" t="s">
        <v>30058</v>
      </c>
      <c r="H10913" t="s">
        <v>15498</v>
      </c>
      <c r="I10913" t="s">
        <v>30073</v>
      </c>
      <c r="J10913" t="s">
        <v>36876</v>
      </c>
      <c r="K10913" t="s">
        <v>39025</v>
      </c>
      <c r="M10913" t="s">
        <v>42607</v>
      </c>
      <c r="N10913" t="s">
        <v>43166</v>
      </c>
      <c r="O10913" t="s">
        <v>43167</v>
      </c>
      <c r="P10913">
        <v>0</v>
      </c>
      <c r="Q10913">
        <v>0</v>
      </c>
      <c r="R10913" t="s">
        <v>43180</v>
      </c>
      <c r="S10913" t="s">
        <v>43646</v>
      </c>
      <c r="T10913" t="s">
        <v>44733</v>
      </c>
      <c r="U10913" t="s">
        <v>53909</v>
      </c>
      <c r="V10913" t="s">
        <v>58051</v>
      </c>
      <c r="W10913" t="s">
        <v>42607</v>
      </c>
      <c r="X10913" t="s">
        <v>43181</v>
      </c>
    </row>
    <row r="10914" spans="1:24">
      <c r="A10914">
        <f>HYPERLINK("https://www.philgeps.gov.ph/GEPSNONPILOT/Tender/SplashBidNoticeAbstractUI.aspx?menuIndex=3&amp;refID=7062210&amp;Result=3","7062210")</f>
        <v>0</v>
      </c>
      <c r="B10914" t="s">
        <v>3027</v>
      </c>
      <c r="C10914" t="s">
        <v>13826</v>
      </c>
      <c r="D10914" t="s">
        <v>17430</v>
      </c>
      <c r="E10914" t="s">
        <v>26833</v>
      </c>
      <c r="F10914" t="s">
        <v>30052</v>
      </c>
      <c r="G10914" t="s">
        <v>30058</v>
      </c>
      <c r="H10914" t="s">
        <v>15498</v>
      </c>
      <c r="I10914" t="s">
        <v>4119</v>
      </c>
      <c r="J10914" t="s">
        <v>36877</v>
      </c>
      <c r="K10914" t="s">
        <v>39029</v>
      </c>
      <c r="M10914" t="s">
        <v>42605</v>
      </c>
      <c r="N10914" t="s">
        <v>43166</v>
      </c>
      <c r="O10914" t="s">
        <v>43167</v>
      </c>
      <c r="P10914">
        <v>0</v>
      </c>
      <c r="Q10914">
        <v>1</v>
      </c>
      <c r="R10914" t="s">
        <v>43180</v>
      </c>
      <c r="S10914" t="s">
        <v>43646</v>
      </c>
      <c r="T10914" t="s">
        <v>45047</v>
      </c>
      <c r="U10914" t="s">
        <v>51668</v>
      </c>
      <c r="V10914" t="s">
        <v>58054</v>
      </c>
      <c r="W10914" t="s">
        <v>42605</v>
      </c>
      <c r="X10914" t="s">
        <v>43181</v>
      </c>
    </row>
    <row r="10915" spans="1:24">
      <c r="A10915">
        <f>HYPERLINK("https://www.philgeps.gov.ph/GEPSNONPILOT/Tender/SplashBidNoticeAbstractUI.aspx?menuIndex=3&amp;refID=7062237&amp;Result=3","7062237")</f>
        <v>0</v>
      </c>
      <c r="B10915" t="s">
        <v>266</v>
      </c>
      <c r="C10915" t="s">
        <v>13827</v>
      </c>
      <c r="D10915" t="s">
        <v>17466</v>
      </c>
      <c r="E10915" t="s">
        <v>26834</v>
      </c>
      <c r="F10915" t="s">
        <v>30052</v>
      </c>
      <c r="G10915" t="s">
        <v>30058</v>
      </c>
      <c r="H10915" t="s">
        <v>15498</v>
      </c>
      <c r="I10915" t="s">
        <v>30074</v>
      </c>
      <c r="J10915" t="s">
        <v>31071</v>
      </c>
      <c r="K10915" t="s">
        <v>39029</v>
      </c>
      <c r="M10915" t="s">
        <v>41774</v>
      </c>
      <c r="N10915" t="s">
        <v>43166</v>
      </c>
      <c r="O10915" t="s">
        <v>43167</v>
      </c>
      <c r="Q10915">
        <v>4</v>
      </c>
      <c r="R10915" t="s">
        <v>43180</v>
      </c>
      <c r="S10915" t="s">
        <v>43671</v>
      </c>
      <c r="T10915" t="s">
        <v>44733</v>
      </c>
      <c r="U10915" t="s">
        <v>53910</v>
      </c>
      <c r="W10915" t="s">
        <v>41774</v>
      </c>
      <c r="X10915" t="s">
        <v>43181</v>
      </c>
    </row>
    <row r="10916" spans="1:24">
      <c r="A10916">
        <f>HYPERLINK("https://www.philgeps.gov.ph/GEPSNONPILOT/Tender/SplashBidNoticeAbstractUI.aspx?menuIndex=3&amp;refID=7062379&amp;Result=3","7062379")</f>
        <v>0</v>
      </c>
      <c r="B10916" t="s">
        <v>1248</v>
      </c>
      <c r="C10916" t="s">
        <v>13828</v>
      </c>
      <c r="D10916" t="s">
        <v>17469</v>
      </c>
      <c r="E10916" t="s">
        <v>26835</v>
      </c>
      <c r="F10916" t="s">
        <v>30052</v>
      </c>
      <c r="G10916" t="s">
        <v>30058</v>
      </c>
      <c r="H10916" t="s">
        <v>30067</v>
      </c>
      <c r="I10916" t="s">
        <v>3693</v>
      </c>
      <c r="J10916" t="s">
        <v>36878</v>
      </c>
      <c r="K10916" t="s">
        <v>39089</v>
      </c>
      <c r="M10916" t="s">
        <v>40604</v>
      </c>
      <c r="N10916" t="s">
        <v>43166</v>
      </c>
      <c r="O10916" t="s">
        <v>43167</v>
      </c>
      <c r="P10916">
        <v>0</v>
      </c>
      <c r="Q10916">
        <v>4</v>
      </c>
      <c r="R10916" t="s">
        <v>43180</v>
      </c>
      <c r="S10916" t="s">
        <v>43646</v>
      </c>
      <c r="T10916" t="s">
        <v>44681</v>
      </c>
      <c r="U10916" t="s">
        <v>53911</v>
      </c>
      <c r="W10916" t="s">
        <v>40604</v>
      </c>
      <c r="X10916" t="s">
        <v>43181</v>
      </c>
    </row>
    <row r="10917" spans="1:24">
      <c r="A10917">
        <f>HYPERLINK("https://www.philgeps.gov.ph/GEPSNONPILOT/Tender/SplashBidNoticeAbstractUI.aspx?menuIndex=3&amp;refID=7062376&amp;Result=3","7062376")</f>
        <v>0</v>
      </c>
      <c r="B10917" t="s">
        <v>3037</v>
      </c>
      <c r="C10917" t="s">
        <v>13829</v>
      </c>
      <c r="D10917" t="s">
        <v>17453</v>
      </c>
      <c r="E10917" t="s">
        <v>26836</v>
      </c>
      <c r="F10917" t="s">
        <v>30052</v>
      </c>
      <c r="G10917" t="s">
        <v>30059</v>
      </c>
      <c r="H10917" t="s">
        <v>15498</v>
      </c>
      <c r="I10917" t="s">
        <v>30096</v>
      </c>
      <c r="J10917" t="s">
        <v>30230</v>
      </c>
      <c r="K10917" t="s">
        <v>39025</v>
      </c>
      <c r="M10917" t="s">
        <v>42615</v>
      </c>
      <c r="N10917" t="s">
        <v>43166</v>
      </c>
      <c r="O10917" t="s">
        <v>43167</v>
      </c>
      <c r="P10917">
        <v>0</v>
      </c>
      <c r="Q10917">
        <v>2</v>
      </c>
      <c r="R10917" t="s">
        <v>43180</v>
      </c>
      <c r="S10917" t="s">
        <v>43646</v>
      </c>
      <c r="T10917" t="s">
        <v>44837</v>
      </c>
      <c r="U10917" t="s">
        <v>53912</v>
      </c>
      <c r="W10917" t="s">
        <v>42615</v>
      </c>
      <c r="X10917" t="s">
        <v>43181</v>
      </c>
    </row>
    <row r="10918" spans="1:24">
      <c r="A10918">
        <f>HYPERLINK("https://www.philgeps.gov.ph/GEPSNONPILOT/Tender/SplashBidNoticeAbstractUI.aspx?menuIndex=3&amp;refID=7062233&amp;Result=3","7062233")</f>
        <v>0</v>
      </c>
      <c r="B10918" t="s">
        <v>3038</v>
      </c>
      <c r="C10918" t="s">
        <v>13830</v>
      </c>
      <c r="D10918" t="s">
        <v>17445</v>
      </c>
      <c r="E10918" t="s">
        <v>26837</v>
      </c>
      <c r="F10918" t="s">
        <v>30052</v>
      </c>
      <c r="G10918" t="s">
        <v>30058</v>
      </c>
      <c r="H10918" t="s">
        <v>15498</v>
      </c>
      <c r="I10918" t="s">
        <v>30076</v>
      </c>
      <c r="J10918" t="s">
        <v>36879</v>
      </c>
      <c r="K10918" t="s">
        <v>39019</v>
      </c>
      <c r="M10918" t="s">
        <v>42616</v>
      </c>
      <c r="N10918" t="s">
        <v>43166</v>
      </c>
      <c r="O10918" t="s">
        <v>43167</v>
      </c>
      <c r="P10918">
        <v>0</v>
      </c>
      <c r="Q10918">
        <v>5</v>
      </c>
      <c r="R10918" t="s">
        <v>43180</v>
      </c>
      <c r="S10918" t="s">
        <v>43646</v>
      </c>
      <c r="T10918" t="s">
        <v>44733</v>
      </c>
      <c r="U10918" t="s">
        <v>53913</v>
      </c>
      <c r="W10918" t="s">
        <v>42616</v>
      </c>
      <c r="X10918" t="s">
        <v>43181</v>
      </c>
    </row>
    <row r="10919" spans="1:24">
      <c r="A10919">
        <f>HYPERLINK("https://www.philgeps.gov.ph/GEPSNONPILOT/Tender/SplashBidNoticeAbstractUI.aspx?menuIndex=3&amp;refID=7062373&amp;Result=3","7062373")</f>
        <v>0</v>
      </c>
      <c r="B10919" t="s">
        <v>3039</v>
      </c>
      <c r="C10919" t="s">
        <v>13831</v>
      </c>
      <c r="D10919" t="s">
        <v>17468</v>
      </c>
      <c r="E10919" t="s">
        <v>17877</v>
      </c>
      <c r="F10919" t="s">
        <v>30052</v>
      </c>
      <c r="G10919" t="s">
        <v>30058</v>
      </c>
      <c r="H10919" t="s">
        <v>30067</v>
      </c>
      <c r="I10919" t="s">
        <v>30099</v>
      </c>
      <c r="J10919" t="s">
        <v>34092</v>
      </c>
      <c r="K10919" t="s">
        <v>39251</v>
      </c>
      <c r="M10919" t="s">
        <v>42617</v>
      </c>
      <c r="N10919" t="s">
        <v>43166</v>
      </c>
      <c r="O10919" t="s">
        <v>43167</v>
      </c>
      <c r="P10919">
        <v>0</v>
      </c>
      <c r="Q10919">
        <v>0</v>
      </c>
      <c r="R10919" t="s">
        <v>43180</v>
      </c>
      <c r="S10919" t="s">
        <v>43646</v>
      </c>
      <c r="T10919" t="s">
        <v>44750</v>
      </c>
      <c r="U10919" t="s">
        <v>53914</v>
      </c>
      <c r="W10919" t="s">
        <v>42617</v>
      </c>
      <c r="X10919" t="s">
        <v>43181</v>
      </c>
    </row>
    <row r="10920" spans="1:24">
      <c r="A10920">
        <f>HYPERLINK("https://www.philgeps.gov.ph/GEPSNONPILOT/Tender/SplashBidNoticeAbstractUI.aspx?menuIndex=3&amp;refID=7062254&amp;Result=3","7062254")</f>
        <v>0</v>
      </c>
      <c r="B10920" t="s">
        <v>972</v>
      </c>
      <c r="C10920" t="s">
        <v>13832</v>
      </c>
      <c r="D10920" t="s">
        <v>17454</v>
      </c>
      <c r="E10920" t="s">
        <v>26838</v>
      </c>
      <c r="F10920" t="s">
        <v>30056</v>
      </c>
      <c r="G10920" t="s">
        <v>30061</v>
      </c>
      <c r="H10920" t="s">
        <v>30067</v>
      </c>
      <c r="I10920" t="s">
        <v>3693</v>
      </c>
      <c r="J10920" t="s">
        <v>30212</v>
      </c>
      <c r="K10920" t="s">
        <v>39024</v>
      </c>
      <c r="M10920" t="s">
        <v>40299</v>
      </c>
      <c r="N10920" t="s">
        <v>43166</v>
      </c>
      <c r="O10920" t="s">
        <v>43167</v>
      </c>
      <c r="P10920">
        <v>0</v>
      </c>
      <c r="Q10920">
        <v>0</v>
      </c>
      <c r="R10920" t="s">
        <v>43180</v>
      </c>
      <c r="S10920" t="s">
        <v>43646</v>
      </c>
      <c r="T10920" t="s">
        <v>44832</v>
      </c>
      <c r="U10920" t="s">
        <v>53915</v>
      </c>
      <c r="V10920" t="s">
        <v>58055</v>
      </c>
      <c r="W10920" t="s">
        <v>40299</v>
      </c>
      <c r="X10920" t="s">
        <v>43181</v>
      </c>
    </row>
    <row r="10921" spans="1:24">
      <c r="A10921">
        <f>HYPERLINK("https://www.philgeps.gov.ph/GEPSNONPILOT/Tender/SplashBidNoticeAbstractUI.aspx?menuIndex=3&amp;refID=7062366&amp;Result=3","7062366")</f>
        <v>0</v>
      </c>
      <c r="B10921" t="s">
        <v>3040</v>
      </c>
      <c r="C10921" t="s">
        <v>13833</v>
      </c>
      <c r="D10921" t="s">
        <v>17435</v>
      </c>
      <c r="E10921" t="s">
        <v>26839</v>
      </c>
      <c r="F10921" t="s">
        <v>30052</v>
      </c>
      <c r="G10921" t="s">
        <v>30058</v>
      </c>
      <c r="H10921" t="s">
        <v>15498</v>
      </c>
      <c r="I10921" t="s">
        <v>30076</v>
      </c>
      <c r="J10921" t="s">
        <v>30343</v>
      </c>
      <c r="K10921" t="s">
        <v>39017</v>
      </c>
      <c r="M10921" t="s">
        <v>42618</v>
      </c>
      <c r="N10921" t="s">
        <v>43166</v>
      </c>
      <c r="O10921" t="s">
        <v>43167</v>
      </c>
      <c r="P10921">
        <v>0</v>
      </c>
      <c r="Q10921">
        <v>0</v>
      </c>
      <c r="R10921" t="s">
        <v>43180</v>
      </c>
      <c r="S10921" t="s">
        <v>43646</v>
      </c>
      <c r="T10921" t="s">
        <v>44718</v>
      </c>
      <c r="U10921" t="s">
        <v>53916</v>
      </c>
      <c r="W10921" t="s">
        <v>42618</v>
      </c>
      <c r="X10921" t="s">
        <v>43181</v>
      </c>
    </row>
    <row r="10922" spans="1:24">
      <c r="A10922">
        <f>HYPERLINK("https://www.philgeps.gov.ph/GEPSNONPILOT/Tender/SplashBidNoticeAbstractUI.aspx?menuIndex=3&amp;refID=7062222&amp;Result=3","7062222")</f>
        <v>0</v>
      </c>
      <c r="B10922" t="s">
        <v>3041</v>
      </c>
      <c r="C10922" t="s">
        <v>13834</v>
      </c>
      <c r="D10922" t="s">
        <v>17415</v>
      </c>
      <c r="E10922" t="s">
        <v>26840</v>
      </c>
      <c r="F10922" t="s">
        <v>30052</v>
      </c>
      <c r="G10922" t="s">
        <v>30058</v>
      </c>
      <c r="H10922" t="s">
        <v>15498</v>
      </c>
      <c r="I10922" t="s">
        <v>30130</v>
      </c>
      <c r="J10922" t="s">
        <v>36880</v>
      </c>
      <c r="K10922" t="s">
        <v>39025</v>
      </c>
      <c r="M10922" t="s">
        <v>42619</v>
      </c>
      <c r="N10922" t="s">
        <v>43166</v>
      </c>
      <c r="O10922" t="s">
        <v>43167</v>
      </c>
      <c r="P10922">
        <v>0</v>
      </c>
      <c r="Q10922">
        <v>51</v>
      </c>
      <c r="R10922" t="s">
        <v>43180</v>
      </c>
      <c r="S10922" t="s">
        <v>43646</v>
      </c>
      <c r="T10922" t="s">
        <v>44750</v>
      </c>
      <c r="U10922" t="s">
        <v>53917</v>
      </c>
      <c r="W10922" t="s">
        <v>42619</v>
      </c>
      <c r="X10922" t="s">
        <v>43181</v>
      </c>
    </row>
    <row r="10923" spans="1:24">
      <c r="A10923">
        <f>HYPERLINK("https://www.philgeps.gov.ph/GEPSNONPILOT/Tender/SplashBidNoticeAbstractUI.aspx?menuIndex=3&amp;refID=7062364&amp;Result=3","7062364")</f>
        <v>0</v>
      </c>
      <c r="B10923" t="s">
        <v>2462</v>
      </c>
      <c r="C10923" t="s">
        <v>13835</v>
      </c>
      <c r="D10923" t="s">
        <v>17415</v>
      </c>
      <c r="E10923" t="s">
        <v>26841</v>
      </c>
      <c r="F10923" t="s">
        <v>30052</v>
      </c>
      <c r="G10923" t="s">
        <v>30058</v>
      </c>
      <c r="H10923" t="s">
        <v>30067</v>
      </c>
      <c r="I10923" t="s">
        <v>3693</v>
      </c>
      <c r="J10923" t="s">
        <v>36881</v>
      </c>
      <c r="K10923" t="s">
        <v>39033</v>
      </c>
      <c r="M10923" t="s">
        <v>42296</v>
      </c>
      <c r="N10923" t="s">
        <v>43166</v>
      </c>
      <c r="O10923" t="s">
        <v>43167</v>
      </c>
      <c r="P10923">
        <v>0</v>
      </c>
      <c r="Q10923">
        <v>114</v>
      </c>
      <c r="R10923" t="s">
        <v>43180</v>
      </c>
      <c r="S10923" t="s">
        <v>43646</v>
      </c>
      <c r="T10923" t="s">
        <v>44679</v>
      </c>
      <c r="U10923" t="s">
        <v>52735</v>
      </c>
      <c r="V10923" t="s">
        <v>58056</v>
      </c>
      <c r="W10923" t="s">
        <v>42296</v>
      </c>
      <c r="X10923" t="s">
        <v>43181</v>
      </c>
    </row>
    <row r="10924" spans="1:24">
      <c r="A10924">
        <f>HYPERLINK("https://www.philgeps.gov.ph/GEPSNONPILOT/Tender/SplashBidNoticeAbstractUI.aspx?menuIndex=3&amp;refID=7062359&amp;Result=3","7062359")</f>
        <v>0</v>
      </c>
      <c r="B10924" t="s">
        <v>1198</v>
      </c>
      <c r="C10924" t="s">
        <v>13836</v>
      </c>
      <c r="D10924" t="s">
        <v>17415</v>
      </c>
      <c r="E10924" t="s">
        <v>26842</v>
      </c>
      <c r="F10924" t="s">
        <v>30052</v>
      </c>
      <c r="G10924" t="s">
        <v>30065</v>
      </c>
      <c r="H10924" t="s">
        <v>15498</v>
      </c>
      <c r="I10924" t="s">
        <v>30068</v>
      </c>
      <c r="J10924" t="s">
        <v>30230</v>
      </c>
      <c r="K10924" t="s">
        <v>39095</v>
      </c>
      <c r="M10924" t="s">
        <v>40551</v>
      </c>
      <c r="N10924" t="s">
        <v>43166</v>
      </c>
      <c r="O10924" t="s">
        <v>43167</v>
      </c>
      <c r="Q10924">
        <v>5</v>
      </c>
      <c r="R10924" t="s">
        <v>43180</v>
      </c>
      <c r="S10924" t="s">
        <v>43672</v>
      </c>
      <c r="T10924" t="s">
        <v>44888</v>
      </c>
      <c r="U10924" t="s">
        <v>53918</v>
      </c>
      <c r="V10924" t="s">
        <v>57128</v>
      </c>
      <c r="W10924" t="s">
        <v>40551</v>
      </c>
      <c r="X10924" t="s">
        <v>43181</v>
      </c>
    </row>
    <row r="10925" spans="1:24">
      <c r="A10925">
        <f>HYPERLINK("https://www.philgeps.gov.ph/GEPSNONPILOT/Tender/SplashBidNoticeAbstractUI.aspx?menuIndex=3&amp;refID=7062352&amp;Result=3","7062352")</f>
        <v>0</v>
      </c>
      <c r="B10925" t="s">
        <v>1248</v>
      </c>
      <c r="C10925" t="s">
        <v>13837</v>
      </c>
      <c r="D10925" t="s">
        <v>17469</v>
      </c>
      <c r="E10925" t="s">
        <v>26843</v>
      </c>
      <c r="F10925" t="s">
        <v>30052</v>
      </c>
      <c r="G10925" t="s">
        <v>30058</v>
      </c>
      <c r="H10925" t="s">
        <v>30067</v>
      </c>
      <c r="I10925" t="s">
        <v>3693</v>
      </c>
      <c r="J10925" t="s">
        <v>36878</v>
      </c>
      <c r="K10925" t="s">
        <v>39089</v>
      </c>
      <c r="M10925" t="s">
        <v>40604</v>
      </c>
      <c r="N10925" t="s">
        <v>43166</v>
      </c>
      <c r="O10925" t="s">
        <v>43167</v>
      </c>
      <c r="P10925">
        <v>0</v>
      </c>
      <c r="Q10925">
        <v>4</v>
      </c>
      <c r="R10925" t="s">
        <v>43180</v>
      </c>
      <c r="S10925" t="s">
        <v>43646</v>
      </c>
      <c r="T10925" t="s">
        <v>44681</v>
      </c>
      <c r="U10925" t="s">
        <v>53919</v>
      </c>
      <c r="W10925" t="s">
        <v>40604</v>
      </c>
      <c r="X10925" t="s">
        <v>43181</v>
      </c>
    </row>
    <row r="10926" spans="1:24">
      <c r="A10926">
        <f>HYPERLINK("https://www.philgeps.gov.ph/GEPSNONPILOT/Tender/SplashBidNoticeAbstractUI.aspx?menuIndex=3&amp;refID=7062344&amp;Result=3","7062344")</f>
        <v>0</v>
      </c>
      <c r="B10926" t="s">
        <v>3040</v>
      </c>
      <c r="C10926" t="s">
        <v>13838</v>
      </c>
      <c r="D10926" t="s">
        <v>17435</v>
      </c>
      <c r="E10926" t="s">
        <v>26844</v>
      </c>
      <c r="F10926" t="s">
        <v>30052</v>
      </c>
      <c r="G10926" t="s">
        <v>30058</v>
      </c>
      <c r="H10926" t="s">
        <v>15498</v>
      </c>
      <c r="I10926" t="s">
        <v>30073</v>
      </c>
      <c r="J10926" t="s">
        <v>33391</v>
      </c>
      <c r="K10926" t="s">
        <v>39017</v>
      </c>
      <c r="M10926" t="s">
        <v>42618</v>
      </c>
      <c r="N10926" t="s">
        <v>43166</v>
      </c>
      <c r="O10926" t="s">
        <v>43167</v>
      </c>
      <c r="P10926">
        <v>0</v>
      </c>
      <c r="Q10926">
        <v>0</v>
      </c>
      <c r="R10926" t="s">
        <v>43180</v>
      </c>
      <c r="S10926" t="s">
        <v>43646</v>
      </c>
      <c r="T10926" t="s">
        <v>44718</v>
      </c>
      <c r="U10926" t="s">
        <v>53916</v>
      </c>
      <c r="W10926" t="s">
        <v>42618</v>
      </c>
      <c r="X10926" t="s">
        <v>43181</v>
      </c>
    </row>
    <row r="10927" spans="1:24">
      <c r="A10927">
        <f>HYPERLINK("https://www.philgeps.gov.ph/GEPSNONPILOT/Tender/SplashBidNoticeAbstractUI.aspx?menuIndex=3&amp;refID=7062341&amp;Result=3","7062341")</f>
        <v>0</v>
      </c>
      <c r="B10927" t="s">
        <v>3021</v>
      </c>
      <c r="C10927" t="s">
        <v>13839</v>
      </c>
      <c r="D10927" t="s">
        <v>17464</v>
      </c>
      <c r="E10927" t="s">
        <v>26845</v>
      </c>
      <c r="F10927" t="s">
        <v>30052</v>
      </c>
      <c r="G10927" t="s">
        <v>30058</v>
      </c>
      <c r="H10927" t="s">
        <v>30069</v>
      </c>
      <c r="I10927" t="s">
        <v>30074</v>
      </c>
      <c r="J10927" t="s">
        <v>36882</v>
      </c>
      <c r="K10927" t="s">
        <v>39023</v>
      </c>
      <c r="M10927" t="s">
        <v>42599</v>
      </c>
      <c r="N10927" t="s">
        <v>43166</v>
      </c>
      <c r="O10927" t="s">
        <v>43167</v>
      </c>
      <c r="P10927">
        <v>0</v>
      </c>
      <c r="Q10927">
        <v>13</v>
      </c>
      <c r="R10927" t="s">
        <v>43180</v>
      </c>
      <c r="S10927" t="s">
        <v>43646</v>
      </c>
      <c r="T10927" t="s">
        <v>44689</v>
      </c>
      <c r="U10927" t="s">
        <v>53920</v>
      </c>
      <c r="W10927" t="s">
        <v>42599</v>
      </c>
      <c r="X10927" t="s">
        <v>43181</v>
      </c>
    </row>
    <row r="10928" spans="1:24">
      <c r="A10928">
        <f>HYPERLINK("https://www.philgeps.gov.ph/GEPSNONPILOT/Tender/SplashBidNoticeAbstractUI.aspx?menuIndex=3&amp;refID=7062340&amp;Result=3","7062340")</f>
        <v>0</v>
      </c>
      <c r="B10928" t="s">
        <v>3042</v>
      </c>
      <c r="C10928" t="s">
        <v>13840</v>
      </c>
      <c r="D10928" t="s">
        <v>17421</v>
      </c>
      <c r="E10928" t="s">
        <v>26846</v>
      </c>
      <c r="F10928" t="s">
        <v>30052</v>
      </c>
      <c r="G10928" t="s">
        <v>30058</v>
      </c>
      <c r="H10928" t="s">
        <v>30067</v>
      </c>
      <c r="I10928" t="s">
        <v>3693</v>
      </c>
      <c r="J10928" t="s">
        <v>36883</v>
      </c>
      <c r="K10928" t="s">
        <v>39121</v>
      </c>
      <c r="M10928" t="s">
        <v>42620</v>
      </c>
      <c r="N10928" t="s">
        <v>43166</v>
      </c>
      <c r="O10928" t="s">
        <v>43167</v>
      </c>
      <c r="P10928">
        <v>0</v>
      </c>
      <c r="Q10928">
        <v>2</v>
      </c>
      <c r="R10928" t="s">
        <v>43180</v>
      </c>
      <c r="S10928" t="s">
        <v>43646</v>
      </c>
      <c r="T10928" t="s">
        <v>44753</v>
      </c>
      <c r="U10928" t="s">
        <v>53921</v>
      </c>
      <c r="W10928" t="s">
        <v>42620</v>
      </c>
      <c r="X10928" t="s">
        <v>43181</v>
      </c>
    </row>
    <row r="10929" spans="1:24">
      <c r="A10929">
        <f>HYPERLINK("https://www.philgeps.gov.ph/GEPSNONPILOT/Tender/SplashBidNoticeAbstractUI.aspx?menuIndex=3&amp;refID=7062317&amp;Result=3","7062317")</f>
        <v>0</v>
      </c>
      <c r="B10929" t="s">
        <v>2964</v>
      </c>
      <c r="C10929" t="s">
        <v>13841</v>
      </c>
      <c r="D10929" t="s">
        <v>17459</v>
      </c>
      <c r="E10929" t="s">
        <v>26847</v>
      </c>
      <c r="F10929" t="s">
        <v>30052</v>
      </c>
      <c r="G10929" t="s">
        <v>30058</v>
      </c>
      <c r="H10929" t="s">
        <v>30067</v>
      </c>
      <c r="I10929" t="s">
        <v>3693</v>
      </c>
      <c r="J10929" t="s">
        <v>30343</v>
      </c>
      <c r="K10929" t="s">
        <v>39029</v>
      </c>
      <c r="M10929" t="s">
        <v>42529</v>
      </c>
      <c r="N10929" t="s">
        <v>43166</v>
      </c>
      <c r="O10929" t="s">
        <v>43167</v>
      </c>
      <c r="P10929">
        <v>0</v>
      </c>
      <c r="Q10929">
        <v>0</v>
      </c>
      <c r="R10929" t="s">
        <v>43180</v>
      </c>
      <c r="S10929" t="s">
        <v>43646</v>
      </c>
      <c r="T10929" t="s">
        <v>44699</v>
      </c>
      <c r="U10929" t="s">
        <v>53922</v>
      </c>
      <c r="W10929" t="s">
        <v>42529</v>
      </c>
      <c r="X10929" t="s">
        <v>43181</v>
      </c>
    </row>
    <row r="10930" spans="1:24">
      <c r="A10930">
        <f>HYPERLINK("https://www.philgeps.gov.ph/GEPSNONPILOT/Tender/SplashBidNoticeAbstractUI.aspx?menuIndex=3&amp;refID=7062362&amp;Result=3","7062362")</f>
        <v>0</v>
      </c>
      <c r="B10930" t="s">
        <v>3043</v>
      </c>
      <c r="C10930" t="s">
        <v>13842</v>
      </c>
      <c r="D10930" t="s">
        <v>17431</v>
      </c>
      <c r="E10930" t="s">
        <v>21156</v>
      </c>
      <c r="F10930" t="s">
        <v>30052</v>
      </c>
      <c r="G10930" t="s">
        <v>30058</v>
      </c>
      <c r="H10930" t="s">
        <v>30067</v>
      </c>
      <c r="I10930" t="s">
        <v>3693</v>
      </c>
      <c r="J10930" t="s">
        <v>36884</v>
      </c>
      <c r="K10930" t="s">
        <v>39025</v>
      </c>
      <c r="M10930" t="s">
        <v>42621</v>
      </c>
      <c r="N10930" t="s">
        <v>43166</v>
      </c>
      <c r="O10930" t="s">
        <v>43167</v>
      </c>
      <c r="P10930">
        <v>0</v>
      </c>
      <c r="Q10930">
        <v>0</v>
      </c>
      <c r="R10930" t="s">
        <v>43180</v>
      </c>
      <c r="S10930" t="s">
        <v>43646</v>
      </c>
      <c r="T10930" t="s">
        <v>44787</v>
      </c>
      <c r="U10930" t="s">
        <v>53923</v>
      </c>
      <c r="W10930" t="s">
        <v>42621</v>
      </c>
      <c r="X10930" t="s">
        <v>43181</v>
      </c>
    </row>
    <row r="10931" spans="1:24">
      <c r="A10931">
        <f>HYPERLINK("https://www.philgeps.gov.ph/GEPSNONPILOT/Tender/SplashBidNoticeAbstractUI.aspx?menuIndex=3&amp;refID=7062309&amp;Result=3","7062309")</f>
        <v>0</v>
      </c>
      <c r="B10931" t="s">
        <v>2271</v>
      </c>
      <c r="C10931" t="s">
        <v>13843</v>
      </c>
      <c r="D10931" t="s">
        <v>17442</v>
      </c>
      <c r="E10931" t="s">
        <v>26848</v>
      </c>
      <c r="F10931" t="s">
        <v>30052</v>
      </c>
      <c r="G10931" t="s">
        <v>30058</v>
      </c>
      <c r="H10931" t="s">
        <v>15498</v>
      </c>
      <c r="I10931" t="s">
        <v>3693</v>
      </c>
      <c r="J10931" t="s">
        <v>36885</v>
      </c>
      <c r="K10931" t="s">
        <v>39029</v>
      </c>
      <c r="M10931" t="s">
        <v>41750</v>
      </c>
      <c r="N10931" t="s">
        <v>43166</v>
      </c>
      <c r="O10931" t="s">
        <v>43167</v>
      </c>
      <c r="P10931">
        <v>0</v>
      </c>
      <c r="Q10931">
        <v>1</v>
      </c>
      <c r="R10931" t="s">
        <v>43180</v>
      </c>
      <c r="S10931" t="s">
        <v>43646</v>
      </c>
      <c r="T10931" t="s">
        <v>44699</v>
      </c>
      <c r="U10931" t="s">
        <v>53924</v>
      </c>
      <c r="V10931" t="s">
        <v>58057</v>
      </c>
      <c r="W10931" t="s">
        <v>41750</v>
      </c>
      <c r="X10931" t="s">
        <v>43181</v>
      </c>
    </row>
    <row r="10932" spans="1:24">
      <c r="A10932">
        <f>HYPERLINK("https://www.philgeps.gov.ph/GEPSNONPILOT/Tender/SplashBidNoticeAbstractUI.aspx?menuIndex=3&amp;refID=7062302&amp;Result=3","7062302")</f>
        <v>0</v>
      </c>
      <c r="B10932" t="s">
        <v>3039</v>
      </c>
      <c r="C10932" t="s">
        <v>13844</v>
      </c>
      <c r="D10932" t="s">
        <v>17468</v>
      </c>
      <c r="E10932" t="s">
        <v>17613</v>
      </c>
      <c r="F10932" t="s">
        <v>30052</v>
      </c>
      <c r="G10932" t="s">
        <v>30058</v>
      </c>
      <c r="H10932" t="s">
        <v>30067</v>
      </c>
      <c r="I10932" t="s">
        <v>3693</v>
      </c>
      <c r="J10932" t="s">
        <v>36886</v>
      </c>
      <c r="K10932" t="s">
        <v>39235</v>
      </c>
      <c r="M10932" t="s">
        <v>42617</v>
      </c>
      <c r="N10932" t="s">
        <v>43166</v>
      </c>
      <c r="O10932" t="s">
        <v>43167</v>
      </c>
      <c r="P10932">
        <v>0</v>
      </c>
      <c r="Q10932">
        <v>0</v>
      </c>
      <c r="R10932" t="s">
        <v>43180</v>
      </c>
      <c r="S10932" t="s">
        <v>43646</v>
      </c>
      <c r="T10932" t="s">
        <v>44750</v>
      </c>
      <c r="U10932" t="s">
        <v>53925</v>
      </c>
      <c r="W10932" t="s">
        <v>42617</v>
      </c>
      <c r="X10932" t="s">
        <v>43181</v>
      </c>
    </row>
    <row r="10933" spans="1:24">
      <c r="A10933">
        <f>HYPERLINK("https://www.philgeps.gov.ph/GEPSNONPILOT/Tender/SplashBidNoticeAbstractUI.aspx?menuIndex=3&amp;refID=7062346&amp;Result=3","7062346")</f>
        <v>0</v>
      </c>
      <c r="B10933" t="s">
        <v>723</v>
      </c>
      <c r="C10933" t="s">
        <v>13845</v>
      </c>
      <c r="D10933" t="s">
        <v>17459</v>
      </c>
      <c r="E10933" t="s">
        <v>26849</v>
      </c>
      <c r="F10933" t="s">
        <v>30052</v>
      </c>
      <c r="G10933" t="s">
        <v>30058</v>
      </c>
      <c r="H10933" t="s">
        <v>15498</v>
      </c>
      <c r="I10933" t="s">
        <v>3606</v>
      </c>
      <c r="J10933" t="s">
        <v>30343</v>
      </c>
      <c r="K10933" t="s">
        <v>39034</v>
      </c>
      <c r="M10933" t="s">
        <v>40034</v>
      </c>
      <c r="N10933" t="s">
        <v>43166</v>
      </c>
      <c r="O10933" t="s">
        <v>43167</v>
      </c>
      <c r="P10933">
        <v>0</v>
      </c>
      <c r="Q10933">
        <v>0</v>
      </c>
      <c r="R10933" t="s">
        <v>43180</v>
      </c>
      <c r="S10933" t="s">
        <v>43646</v>
      </c>
      <c r="T10933" t="s">
        <v>44753</v>
      </c>
      <c r="U10933" t="s">
        <v>53926</v>
      </c>
      <c r="W10933" t="s">
        <v>40034</v>
      </c>
      <c r="X10933" t="s">
        <v>43181</v>
      </c>
    </row>
    <row r="10934" spans="1:24">
      <c r="A10934">
        <f>HYPERLINK("https://www.philgeps.gov.ph/GEPSNONPILOT/Tender/SplashBidNoticeAbstractUI.aspx?menuIndex=3&amp;refID=7059915&amp;Result=3","7059915")</f>
        <v>0</v>
      </c>
      <c r="B10934" t="s">
        <v>687</v>
      </c>
      <c r="C10934" t="s">
        <v>13846</v>
      </c>
      <c r="D10934" t="s">
        <v>17435</v>
      </c>
      <c r="E10934" t="s">
        <v>26850</v>
      </c>
      <c r="F10934" t="s">
        <v>30052</v>
      </c>
      <c r="G10934" t="s">
        <v>30058</v>
      </c>
      <c r="H10934" t="s">
        <v>30067</v>
      </c>
      <c r="I10934" t="s">
        <v>3693</v>
      </c>
      <c r="J10934" t="s">
        <v>36835</v>
      </c>
      <c r="K10934" t="s">
        <v>39016</v>
      </c>
      <c r="M10934" t="s">
        <v>40222</v>
      </c>
      <c r="N10934" t="s">
        <v>43166</v>
      </c>
      <c r="O10934" t="s">
        <v>43167</v>
      </c>
      <c r="P10934">
        <v>0</v>
      </c>
      <c r="Q10934">
        <v>2</v>
      </c>
      <c r="R10934" t="s">
        <v>43180</v>
      </c>
      <c r="S10934" t="s">
        <v>43646</v>
      </c>
      <c r="T10934" t="s">
        <v>44681</v>
      </c>
      <c r="U10934" t="s">
        <v>53927</v>
      </c>
      <c r="W10934" t="s">
        <v>40222</v>
      </c>
      <c r="X10934" t="s">
        <v>43182</v>
      </c>
    </row>
    <row r="10935" spans="1:24">
      <c r="A10935">
        <f>HYPERLINK("https://www.philgeps.gov.ph/GEPSNONPILOT/Tender/SplashBidNoticeAbstractUI.aspx?menuIndex=3&amp;refID=7062338&amp;Result=3","7062338")</f>
        <v>0</v>
      </c>
      <c r="B10935" t="s">
        <v>3044</v>
      </c>
      <c r="C10935" t="s">
        <v>13847</v>
      </c>
      <c r="D10935" t="s">
        <v>17430</v>
      </c>
      <c r="E10935" t="s">
        <v>18927</v>
      </c>
      <c r="F10935" t="s">
        <v>30052</v>
      </c>
      <c r="G10935" t="s">
        <v>30058</v>
      </c>
      <c r="H10935" t="s">
        <v>30067</v>
      </c>
      <c r="I10935" t="s">
        <v>3736</v>
      </c>
      <c r="J10935" t="s">
        <v>36887</v>
      </c>
      <c r="K10935" t="s">
        <v>39019</v>
      </c>
      <c r="M10935" t="s">
        <v>42622</v>
      </c>
      <c r="N10935" t="s">
        <v>43166</v>
      </c>
      <c r="O10935" t="s">
        <v>43167</v>
      </c>
      <c r="P10935">
        <v>0</v>
      </c>
      <c r="Q10935">
        <v>0</v>
      </c>
      <c r="R10935" t="s">
        <v>43180</v>
      </c>
      <c r="S10935" t="s">
        <v>43646</v>
      </c>
      <c r="T10935" t="s">
        <v>44787</v>
      </c>
      <c r="U10935" t="s">
        <v>53928</v>
      </c>
      <c r="V10935" t="s">
        <v>57004</v>
      </c>
      <c r="W10935" t="s">
        <v>42622</v>
      </c>
      <c r="X10935" t="s">
        <v>43181</v>
      </c>
    </row>
    <row r="10936" spans="1:24">
      <c r="A10936">
        <f>HYPERLINK("https://www.philgeps.gov.ph/GEPSNONPILOT/Tender/SplashBidNoticeAbstractUI.aspx?menuIndex=3&amp;refID=7062201&amp;Result=3","7062201")</f>
        <v>0</v>
      </c>
      <c r="B10936" t="s">
        <v>991</v>
      </c>
      <c r="C10936" t="s">
        <v>13848</v>
      </c>
      <c r="D10936" t="s">
        <v>17444</v>
      </c>
      <c r="E10936" t="s">
        <v>19766</v>
      </c>
      <c r="F10936" t="s">
        <v>30055</v>
      </c>
      <c r="G10936" t="s">
        <v>30058</v>
      </c>
      <c r="H10936" t="s">
        <v>15498</v>
      </c>
      <c r="I10936" t="s">
        <v>3606</v>
      </c>
      <c r="J10936" t="s">
        <v>36888</v>
      </c>
      <c r="K10936" t="s">
        <v>39017</v>
      </c>
      <c r="M10936" t="s">
        <v>40318</v>
      </c>
      <c r="N10936" t="s">
        <v>43166</v>
      </c>
      <c r="O10936" t="s">
        <v>43167</v>
      </c>
      <c r="P10936">
        <v>0</v>
      </c>
      <c r="Q10936">
        <v>1</v>
      </c>
      <c r="R10936" t="s">
        <v>43180</v>
      </c>
      <c r="S10936" t="s">
        <v>43646</v>
      </c>
      <c r="T10936" t="s">
        <v>44699</v>
      </c>
      <c r="U10936" t="s">
        <v>53929</v>
      </c>
      <c r="V10936" t="s">
        <v>58053</v>
      </c>
      <c r="W10936" t="s">
        <v>40318</v>
      </c>
      <c r="X10936" t="s">
        <v>43181</v>
      </c>
    </row>
    <row r="10937" spans="1:24">
      <c r="A10937">
        <f>HYPERLINK("https://www.philgeps.gov.ph/GEPSNONPILOT/Tender/SplashBidNoticeAbstractUI.aspx?menuIndex=3&amp;refID=7062197&amp;Result=3","7062197")</f>
        <v>0</v>
      </c>
      <c r="B10937" t="s">
        <v>3034</v>
      </c>
      <c r="C10937" t="s">
        <v>13849</v>
      </c>
      <c r="D10937" t="s">
        <v>17457</v>
      </c>
      <c r="E10937" t="s">
        <v>26851</v>
      </c>
      <c r="F10937" t="s">
        <v>30052</v>
      </c>
      <c r="G10937" t="s">
        <v>30058</v>
      </c>
      <c r="H10937" t="s">
        <v>15498</v>
      </c>
      <c r="I10937" t="s">
        <v>3736</v>
      </c>
      <c r="J10937" t="s">
        <v>36889</v>
      </c>
      <c r="K10937" t="s">
        <v>39029</v>
      </c>
      <c r="M10937" t="s">
        <v>42612</v>
      </c>
      <c r="N10937" t="s">
        <v>43166</v>
      </c>
      <c r="O10937" t="s">
        <v>43167</v>
      </c>
      <c r="P10937">
        <v>0</v>
      </c>
      <c r="Q10937">
        <v>0</v>
      </c>
      <c r="R10937" t="s">
        <v>43180</v>
      </c>
      <c r="S10937" t="s">
        <v>43646</v>
      </c>
      <c r="T10937" t="s">
        <v>44733</v>
      </c>
      <c r="U10937" t="s">
        <v>53930</v>
      </c>
      <c r="W10937" t="s">
        <v>42612</v>
      </c>
      <c r="X10937" t="s">
        <v>43181</v>
      </c>
    </row>
    <row r="10938" spans="1:24">
      <c r="A10938">
        <f>HYPERLINK("https://www.philgeps.gov.ph/GEPSNONPILOT/Tender/SplashBidNoticeAbstractUI.aspx?menuIndex=3&amp;refID=7062299&amp;Result=3","7062299")</f>
        <v>0</v>
      </c>
      <c r="B10938" t="s">
        <v>3045</v>
      </c>
      <c r="C10938" t="s">
        <v>13850</v>
      </c>
      <c r="D10938" t="s">
        <v>17431</v>
      </c>
      <c r="E10938" t="s">
        <v>18646</v>
      </c>
      <c r="F10938" t="s">
        <v>30052</v>
      </c>
      <c r="G10938" t="s">
        <v>30058</v>
      </c>
      <c r="H10938" t="s">
        <v>30067</v>
      </c>
      <c r="I10938" t="s">
        <v>3693</v>
      </c>
      <c r="J10938" t="s">
        <v>30277</v>
      </c>
      <c r="K10938" t="s">
        <v>39025</v>
      </c>
      <c r="M10938" t="s">
        <v>42623</v>
      </c>
      <c r="N10938" t="s">
        <v>43166</v>
      </c>
      <c r="O10938" t="s">
        <v>43167</v>
      </c>
      <c r="P10938">
        <v>0</v>
      </c>
      <c r="Q10938">
        <v>0</v>
      </c>
      <c r="R10938" t="s">
        <v>43180</v>
      </c>
      <c r="S10938" t="s">
        <v>43646</v>
      </c>
      <c r="T10938" t="s">
        <v>44723</v>
      </c>
      <c r="U10938" t="s">
        <v>53931</v>
      </c>
      <c r="W10938" t="s">
        <v>42623</v>
      </c>
      <c r="X10938" t="s">
        <v>43181</v>
      </c>
    </row>
    <row r="10939" spans="1:24">
      <c r="A10939">
        <f>HYPERLINK("https://www.philgeps.gov.ph/GEPSNONPILOT/Tender/SplashBidNoticeAbstractUI.aspx?menuIndex=3&amp;refID=7059912&amp;Result=3","7059912")</f>
        <v>0</v>
      </c>
      <c r="B10939" t="s">
        <v>687</v>
      </c>
      <c r="C10939" t="s">
        <v>13851</v>
      </c>
      <c r="D10939" t="s">
        <v>17435</v>
      </c>
      <c r="E10939" t="s">
        <v>26852</v>
      </c>
      <c r="F10939" t="s">
        <v>30052</v>
      </c>
      <c r="G10939" t="s">
        <v>30058</v>
      </c>
      <c r="H10939" t="s">
        <v>30067</v>
      </c>
      <c r="I10939" t="s">
        <v>3693</v>
      </c>
      <c r="J10939" t="s">
        <v>36829</v>
      </c>
      <c r="K10939" t="s">
        <v>39057</v>
      </c>
      <c r="M10939" t="s">
        <v>40222</v>
      </c>
      <c r="N10939" t="s">
        <v>43166</v>
      </c>
      <c r="O10939" t="s">
        <v>43167</v>
      </c>
      <c r="P10939">
        <v>0</v>
      </c>
      <c r="Q10939">
        <v>5</v>
      </c>
      <c r="R10939" t="s">
        <v>43180</v>
      </c>
      <c r="S10939" t="s">
        <v>43646</v>
      </c>
      <c r="T10939" t="s">
        <v>44681</v>
      </c>
      <c r="U10939" t="s">
        <v>53932</v>
      </c>
      <c r="W10939" t="s">
        <v>40222</v>
      </c>
      <c r="X10939" t="s">
        <v>43182</v>
      </c>
    </row>
    <row r="10940" spans="1:24">
      <c r="A10940">
        <f>HYPERLINK("https://www.philgeps.gov.ph/GEPSNONPILOT/Tender/SplashBidNoticeAbstractUI.aspx?menuIndex=3&amp;refID=7062519&amp;Result=3","7062519")</f>
        <v>0</v>
      </c>
      <c r="B10940" t="s">
        <v>2339</v>
      </c>
      <c r="C10940" t="s">
        <v>13852</v>
      </c>
      <c r="D10940" t="s">
        <v>17455</v>
      </c>
      <c r="E10940" t="s">
        <v>26853</v>
      </c>
      <c r="F10940" t="s">
        <v>30052</v>
      </c>
      <c r="G10940" t="s">
        <v>30058</v>
      </c>
      <c r="H10940" t="s">
        <v>15498</v>
      </c>
      <c r="I10940" t="s">
        <v>3736</v>
      </c>
      <c r="J10940" t="s">
        <v>36890</v>
      </c>
      <c r="K10940" t="s">
        <v>39019</v>
      </c>
      <c r="M10940" t="s">
        <v>42624</v>
      </c>
      <c r="N10940" t="s">
        <v>43166</v>
      </c>
      <c r="O10940" t="s">
        <v>43167</v>
      </c>
      <c r="P10940">
        <v>0</v>
      </c>
      <c r="Q10940">
        <v>1</v>
      </c>
      <c r="R10940" t="s">
        <v>43180</v>
      </c>
      <c r="S10940" t="s">
        <v>43646</v>
      </c>
      <c r="T10940" t="s">
        <v>44679</v>
      </c>
      <c r="U10940" t="s">
        <v>45312</v>
      </c>
      <c r="V10940" t="s">
        <v>58058</v>
      </c>
      <c r="W10940" t="s">
        <v>58670</v>
      </c>
      <c r="X10940" t="s">
        <v>43181</v>
      </c>
    </row>
    <row r="10941" spans="1:24">
      <c r="A10941">
        <f>HYPERLINK("https://www.philgeps.gov.ph/GEPSNONPILOT/Tender/SplashBidNoticeAbstractUI.aspx?menuIndex=3&amp;refID=7062508&amp;Result=3","7062508")</f>
        <v>0</v>
      </c>
      <c r="B10941" t="s">
        <v>3021</v>
      </c>
      <c r="C10941" t="s">
        <v>13853</v>
      </c>
      <c r="D10941" t="s">
        <v>17464</v>
      </c>
      <c r="E10941" t="s">
        <v>26854</v>
      </c>
      <c r="F10941" t="s">
        <v>30052</v>
      </c>
      <c r="G10941" t="s">
        <v>30058</v>
      </c>
      <c r="H10941" t="s">
        <v>30069</v>
      </c>
      <c r="I10941" t="s">
        <v>30074</v>
      </c>
      <c r="J10941" t="s">
        <v>30397</v>
      </c>
      <c r="K10941" t="s">
        <v>39023</v>
      </c>
      <c r="M10941" t="s">
        <v>42599</v>
      </c>
      <c r="N10941" t="s">
        <v>43166</v>
      </c>
      <c r="O10941" t="s">
        <v>43167</v>
      </c>
      <c r="P10941">
        <v>0</v>
      </c>
      <c r="Q10941">
        <v>4</v>
      </c>
      <c r="R10941" t="s">
        <v>43180</v>
      </c>
      <c r="S10941" t="s">
        <v>43646</v>
      </c>
      <c r="T10941" t="s">
        <v>44689</v>
      </c>
      <c r="U10941" t="s">
        <v>53933</v>
      </c>
      <c r="W10941" t="s">
        <v>42599</v>
      </c>
      <c r="X10941" t="s">
        <v>43181</v>
      </c>
    </row>
    <row r="10942" spans="1:24">
      <c r="A10942">
        <f>HYPERLINK("https://www.philgeps.gov.ph/GEPSNONPILOT/Tender/SplashBidNoticeAbstractUI.aspx?menuIndex=3&amp;refID=7062500&amp;Result=3","7062500")</f>
        <v>0</v>
      </c>
      <c r="B10942" t="s">
        <v>3046</v>
      </c>
      <c r="C10942" t="s">
        <v>13854</v>
      </c>
      <c r="D10942" t="s">
        <v>17431</v>
      </c>
      <c r="E10942" t="s">
        <v>21262</v>
      </c>
      <c r="F10942" t="s">
        <v>30052</v>
      </c>
      <c r="G10942" t="s">
        <v>30058</v>
      </c>
      <c r="H10942" t="s">
        <v>30067</v>
      </c>
      <c r="I10942" t="s">
        <v>3693</v>
      </c>
      <c r="J10942" t="s">
        <v>36891</v>
      </c>
      <c r="K10942" t="s">
        <v>39025</v>
      </c>
      <c r="M10942" t="s">
        <v>42625</v>
      </c>
      <c r="N10942" t="s">
        <v>43166</v>
      </c>
      <c r="O10942" t="s">
        <v>43167</v>
      </c>
      <c r="P10942">
        <v>0</v>
      </c>
      <c r="Q10942">
        <v>0</v>
      </c>
      <c r="R10942" t="s">
        <v>43180</v>
      </c>
      <c r="S10942" t="s">
        <v>43646</v>
      </c>
      <c r="T10942" t="s">
        <v>44723</v>
      </c>
      <c r="U10942" t="s">
        <v>53934</v>
      </c>
      <c r="W10942" t="s">
        <v>42625</v>
      </c>
      <c r="X10942" t="s">
        <v>43181</v>
      </c>
    </row>
    <row r="10943" spans="1:24">
      <c r="A10943">
        <f>HYPERLINK("https://www.philgeps.gov.ph/GEPSNONPILOT/Tender/SplashBidNoticeAbstractUI.aspx?menuIndex=3&amp;refID=7062182&amp;Result=3","7062182")</f>
        <v>0</v>
      </c>
      <c r="B10943" t="s">
        <v>2964</v>
      </c>
      <c r="C10943" t="s">
        <v>13855</v>
      </c>
      <c r="D10943" t="s">
        <v>17459</v>
      </c>
      <c r="E10943" t="s">
        <v>26855</v>
      </c>
      <c r="F10943" t="s">
        <v>30052</v>
      </c>
      <c r="G10943" t="s">
        <v>30058</v>
      </c>
      <c r="H10943" t="s">
        <v>30067</v>
      </c>
      <c r="I10943" t="s">
        <v>3693</v>
      </c>
      <c r="J10943" t="s">
        <v>30343</v>
      </c>
      <c r="K10943" t="s">
        <v>39046</v>
      </c>
      <c r="M10943" t="s">
        <v>42529</v>
      </c>
      <c r="N10943" t="s">
        <v>43166</v>
      </c>
      <c r="O10943" t="s">
        <v>43167</v>
      </c>
      <c r="P10943">
        <v>0</v>
      </c>
      <c r="Q10943">
        <v>0</v>
      </c>
      <c r="R10943" t="s">
        <v>43180</v>
      </c>
      <c r="S10943" t="s">
        <v>43646</v>
      </c>
      <c r="T10943" t="s">
        <v>44699</v>
      </c>
      <c r="U10943" t="s">
        <v>53935</v>
      </c>
      <c r="W10943" t="s">
        <v>42529</v>
      </c>
      <c r="X10943" t="s">
        <v>43181</v>
      </c>
    </row>
    <row r="10944" spans="1:24">
      <c r="A10944">
        <f>HYPERLINK("https://www.philgeps.gov.ph/GEPSNONPILOT/Tender/SplashBidNoticeAbstractUI.aspx?menuIndex=3&amp;refID=7062488&amp;Result=3","7062488")</f>
        <v>0</v>
      </c>
      <c r="B10944" t="s">
        <v>2462</v>
      </c>
      <c r="C10944" t="s">
        <v>13856</v>
      </c>
      <c r="D10944" t="s">
        <v>17415</v>
      </c>
      <c r="E10944" t="s">
        <v>26856</v>
      </c>
      <c r="F10944" t="s">
        <v>30052</v>
      </c>
      <c r="G10944" t="s">
        <v>30058</v>
      </c>
      <c r="H10944" t="s">
        <v>30067</v>
      </c>
      <c r="I10944" t="s">
        <v>3693</v>
      </c>
      <c r="J10944" t="s">
        <v>36892</v>
      </c>
      <c r="K10944" t="s">
        <v>39029</v>
      </c>
      <c r="M10944" t="s">
        <v>42296</v>
      </c>
      <c r="N10944" t="s">
        <v>43166</v>
      </c>
      <c r="O10944" t="s">
        <v>43167</v>
      </c>
      <c r="P10944">
        <v>0</v>
      </c>
      <c r="Q10944">
        <v>72</v>
      </c>
      <c r="R10944" t="s">
        <v>43180</v>
      </c>
      <c r="S10944" t="s">
        <v>43646</v>
      </c>
      <c r="T10944" t="s">
        <v>44679</v>
      </c>
      <c r="U10944" t="s">
        <v>52735</v>
      </c>
      <c r="V10944" t="s">
        <v>58059</v>
      </c>
      <c r="W10944" t="s">
        <v>42296</v>
      </c>
      <c r="X10944" t="s">
        <v>43181</v>
      </c>
    </row>
    <row r="10945" spans="1:24">
      <c r="A10945">
        <f>HYPERLINK("https://www.philgeps.gov.ph/GEPSNONPILOT/Tender/SplashBidNoticeAbstractUI.aspx?menuIndex=3&amp;refID=7062477&amp;Result=3","7062477")</f>
        <v>0</v>
      </c>
      <c r="B10945" t="s">
        <v>3021</v>
      </c>
      <c r="C10945" t="s">
        <v>13857</v>
      </c>
      <c r="D10945" t="s">
        <v>17464</v>
      </c>
      <c r="E10945" t="s">
        <v>26857</v>
      </c>
      <c r="F10945" t="s">
        <v>30052</v>
      </c>
      <c r="G10945" t="s">
        <v>30058</v>
      </c>
      <c r="H10945" t="s">
        <v>15498</v>
      </c>
      <c r="I10945" t="s">
        <v>30129</v>
      </c>
      <c r="J10945" t="s">
        <v>33637</v>
      </c>
      <c r="K10945" t="s">
        <v>39023</v>
      </c>
      <c r="M10945" t="s">
        <v>42599</v>
      </c>
      <c r="N10945" t="s">
        <v>43166</v>
      </c>
      <c r="O10945" t="s">
        <v>43167</v>
      </c>
      <c r="P10945">
        <v>0</v>
      </c>
      <c r="Q10945">
        <v>10</v>
      </c>
      <c r="R10945" t="s">
        <v>43180</v>
      </c>
      <c r="S10945" t="s">
        <v>43646</v>
      </c>
      <c r="T10945" t="s">
        <v>44689</v>
      </c>
      <c r="U10945" t="s">
        <v>53936</v>
      </c>
      <c r="W10945" t="s">
        <v>42599</v>
      </c>
      <c r="X10945" t="s">
        <v>43181</v>
      </c>
    </row>
    <row r="10946" spans="1:24">
      <c r="A10946">
        <f>HYPERLINK("https://www.philgeps.gov.ph/GEPSNONPILOT/Tender/SplashBidNoticeAbstractUI.aspx?menuIndex=3&amp;refID=7062476&amp;Result=3","7062476")</f>
        <v>0</v>
      </c>
      <c r="B10946" t="s">
        <v>1248</v>
      </c>
      <c r="C10946" t="s">
        <v>13858</v>
      </c>
      <c r="D10946" t="s">
        <v>17469</v>
      </c>
      <c r="E10946" t="s">
        <v>26858</v>
      </c>
      <c r="F10946" t="s">
        <v>30052</v>
      </c>
      <c r="G10946" t="s">
        <v>30058</v>
      </c>
      <c r="H10946" t="s">
        <v>30067</v>
      </c>
      <c r="I10946" t="s">
        <v>3693</v>
      </c>
      <c r="J10946" t="s">
        <v>36878</v>
      </c>
      <c r="K10946" t="s">
        <v>39089</v>
      </c>
      <c r="M10946" t="s">
        <v>40604</v>
      </c>
      <c r="N10946" t="s">
        <v>43166</v>
      </c>
      <c r="O10946" t="s">
        <v>43167</v>
      </c>
      <c r="P10946">
        <v>0</v>
      </c>
      <c r="Q10946">
        <v>5</v>
      </c>
      <c r="R10946" t="s">
        <v>43180</v>
      </c>
      <c r="S10946" t="s">
        <v>43646</v>
      </c>
      <c r="T10946" t="s">
        <v>44681</v>
      </c>
      <c r="U10946" t="s">
        <v>53937</v>
      </c>
      <c r="W10946" t="s">
        <v>40604</v>
      </c>
      <c r="X10946" t="s">
        <v>43181</v>
      </c>
    </row>
    <row r="10947" spans="1:24">
      <c r="A10947">
        <f>HYPERLINK("https://www.philgeps.gov.ph/GEPSNONPILOT/Tender/SplashBidNoticeAbstractUI.aspx?menuIndex=3&amp;refID=7062472&amp;Result=3","7062472")</f>
        <v>0</v>
      </c>
      <c r="B10947" t="s">
        <v>3047</v>
      </c>
      <c r="C10947" t="s">
        <v>13824</v>
      </c>
      <c r="D10947" t="s">
        <v>17431</v>
      </c>
      <c r="E10947" t="s">
        <v>18868</v>
      </c>
      <c r="F10947" t="s">
        <v>30052</v>
      </c>
      <c r="G10947" t="s">
        <v>30058</v>
      </c>
      <c r="H10947" t="s">
        <v>30067</v>
      </c>
      <c r="I10947" t="s">
        <v>3693</v>
      </c>
      <c r="J10947" t="s">
        <v>36893</v>
      </c>
      <c r="K10947" t="s">
        <v>39025</v>
      </c>
      <c r="M10947" t="s">
        <v>42626</v>
      </c>
      <c r="N10947" t="s">
        <v>43166</v>
      </c>
      <c r="O10947" t="s">
        <v>43167</v>
      </c>
      <c r="P10947">
        <v>0</v>
      </c>
      <c r="Q10947">
        <v>0</v>
      </c>
      <c r="R10947" t="s">
        <v>43180</v>
      </c>
      <c r="S10947" t="s">
        <v>43646</v>
      </c>
      <c r="T10947" t="s">
        <v>44723</v>
      </c>
      <c r="U10947" t="s">
        <v>53938</v>
      </c>
      <c r="W10947" t="s">
        <v>42626</v>
      </c>
      <c r="X10947" t="s">
        <v>43181</v>
      </c>
    </row>
    <row r="10948" spans="1:24">
      <c r="A10948">
        <f>HYPERLINK("https://www.philgeps.gov.ph/GEPSNONPILOT/Tender/SplashBidNoticeAbstractUI.aspx?menuIndex=3&amp;refID=7062287&amp;Result=3","7062287")</f>
        <v>0</v>
      </c>
      <c r="B10948" t="s">
        <v>3048</v>
      </c>
      <c r="C10948" t="s">
        <v>13859</v>
      </c>
      <c r="E10948" t="s">
        <v>17650</v>
      </c>
      <c r="F10948" t="s">
        <v>30052</v>
      </c>
      <c r="G10948" t="s">
        <v>30058</v>
      </c>
      <c r="H10948" t="s">
        <v>15498</v>
      </c>
      <c r="I10948" t="s">
        <v>3736</v>
      </c>
      <c r="J10948" t="s">
        <v>36894</v>
      </c>
      <c r="K10948" t="s">
        <v>39025</v>
      </c>
      <c r="M10948" t="s">
        <v>42627</v>
      </c>
      <c r="N10948" t="s">
        <v>43166</v>
      </c>
      <c r="O10948" t="s">
        <v>43167</v>
      </c>
      <c r="P10948">
        <v>0</v>
      </c>
      <c r="Q10948">
        <v>1</v>
      </c>
      <c r="R10948" t="s">
        <v>43180</v>
      </c>
      <c r="S10948" t="s">
        <v>43646</v>
      </c>
      <c r="T10948" t="s">
        <v>44733</v>
      </c>
      <c r="U10948" t="s">
        <v>53939</v>
      </c>
      <c r="W10948" t="s">
        <v>42627</v>
      </c>
      <c r="X10948" t="s">
        <v>43181</v>
      </c>
    </row>
    <row r="10949" spans="1:24">
      <c r="A10949">
        <f>HYPERLINK("https://www.philgeps.gov.ph/GEPSNONPILOT/Tender/SplashBidNoticeAbstractUI.aspx?menuIndex=3&amp;refID=7062439&amp;Result=3","7062439")</f>
        <v>0</v>
      </c>
      <c r="B10949" t="s">
        <v>3047</v>
      </c>
      <c r="C10949" t="s">
        <v>13860</v>
      </c>
      <c r="D10949" t="s">
        <v>17431</v>
      </c>
      <c r="E10949" t="s">
        <v>20684</v>
      </c>
      <c r="F10949" t="s">
        <v>30052</v>
      </c>
      <c r="G10949" t="s">
        <v>30058</v>
      </c>
      <c r="H10949" t="s">
        <v>30067</v>
      </c>
      <c r="I10949" t="s">
        <v>3693</v>
      </c>
      <c r="J10949" t="s">
        <v>30230</v>
      </c>
      <c r="K10949" t="s">
        <v>39025</v>
      </c>
      <c r="M10949" t="s">
        <v>42626</v>
      </c>
      <c r="N10949" t="s">
        <v>43166</v>
      </c>
      <c r="O10949" t="s">
        <v>43167</v>
      </c>
      <c r="P10949">
        <v>0</v>
      </c>
      <c r="Q10949">
        <v>0</v>
      </c>
      <c r="R10949" t="s">
        <v>43180</v>
      </c>
      <c r="S10949" t="s">
        <v>43646</v>
      </c>
      <c r="T10949" t="s">
        <v>44723</v>
      </c>
      <c r="U10949" t="s">
        <v>53940</v>
      </c>
      <c r="W10949" t="s">
        <v>42626</v>
      </c>
      <c r="X10949" t="s">
        <v>43181</v>
      </c>
    </row>
    <row r="10950" spans="1:24">
      <c r="A10950">
        <f>HYPERLINK("https://www.philgeps.gov.ph/GEPSNONPILOT/Tender/SplashBidNoticeAbstractUI.aspx?menuIndex=3&amp;refID=7062433&amp;Result=3","7062433")</f>
        <v>0</v>
      </c>
      <c r="B10950" t="s">
        <v>3049</v>
      </c>
      <c r="C10950" t="s">
        <v>13861</v>
      </c>
      <c r="D10950" t="s">
        <v>17448</v>
      </c>
      <c r="E10950" t="s">
        <v>26859</v>
      </c>
      <c r="F10950" t="s">
        <v>30052</v>
      </c>
      <c r="G10950" t="s">
        <v>30058</v>
      </c>
      <c r="H10950" t="s">
        <v>30067</v>
      </c>
      <c r="I10950" t="s">
        <v>3693</v>
      </c>
      <c r="J10950" t="s">
        <v>30247</v>
      </c>
      <c r="K10950" t="s">
        <v>39025</v>
      </c>
      <c r="M10950" t="s">
        <v>42628</v>
      </c>
      <c r="N10950" t="s">
        <v>43166</v>
      </c>
      <c r="O10950" t="s">
        <v>43167</v>
      </c>
      <c r="P10950">
        <v>0</v>
      </c>
      <c r="Q10950">
        <v>0</v>
      </c>
      <c r="R10950" t="s">
        <v>43180</v>
      </c>
      <c r="S10950" t="s">
        <v>43646</v>
      </c>
      <c r="T10950" t="s">
        <v>44700</v>
      </c>
      <c r="U10950" t="s">
        <v>53941</v>
      </c>
      <c r="V10950" t="s">
        <v>58060</v>
      </c>
      <c r="W10950" t="s">
        <v>42628</v>
      </c>
      <c r="X10950" t="s">
        <v>43181</v>
      </c>
    </row>
    <row r="10951" spans="1:24">
      <c r="A10951">
        <f>HYPERLINK("https://www.philgeps.gov.ph/GEPSNONPILOT/Tender/SplashBidNoticeAbstractUI.aspx?menuIndex=3&amp;refID=7062356&amp;Result=3","7062356")</f>
        <v>0</v>
      </c>
      <c r="B10951" t="s">
        <v>2452</v>
      </c>
      <c r="C10951" t="s">
        <v>13862</v>
      </c>
      <c r="D10951" t="s">
        <v>17459</v>
      </c>
      <c r="E10951" t="s">
        <v>26860</v>
      </c>
      <c r="F10951" t="s">
        <v>30052</v>
      </c>
      <c r="G10951" t="s">
        <v>30058</v>
      </c>
      <c r="H10951" t="s">
        <v>30067</v>
      </c>
      <c r="I10951" t="s">
        <v>3693</v>
      </c>
      <c r="J10951" t="s">
        <v>36895</v>
      </c>
      <c r="K10951" t="s">
        <v>39022</v>
      </c>
      <c r="M10951" t="s">
        <v>41951</v>
      </c>
      <c r="N10951" t="s">
        <v>43166</v>
      </c>
      <c r="O10951" t="s">
        <v>43167</v>
      </c>
      <c r="P10951">
        <v>0</v>
      </c>
      <c r="Q10951">
        <v>1</v>
      </c>
      <c r="R10951" t="s">
        <v>43180</v>
      </c>
      <c r="S10951" t="s">
        <v>43646</v>
      </c>
      <c r="T10951" t="s">
        <v>45144</v>
      </c>
      <c r="U10951" t="s">
        <v>51675</v>
      </c>
      <c r="V10951" t="s">
        <v>58061</v>
      </c>
      <c r="W10951" t="s">
        <v>41951</v>
      </c>
      <c r="X10951" t="s">
        <v>43181</v>
      </c>
    </row>
    <row r="10952" spans="1:24">
      <c r="A10952">
        <f>HYPERLINK("https://www.philgeps.gov.ph/GEPSNONPILOT/Tender/SplashBidNoticeAbstractUI.aspx?menuIndex=3&amp;refID=7062291&amp;Result=3","7062291")</f>
        <v>0</v>
      </c>
      <c r="B10952" t="s">
        <v>3035</v>
      </c>
      <c r="C10952" t="s">
        <v>13863</v>
      </c>
      <c r="D10952" t="s">
        <v>17417</v>
      </c>
      <c r="E10952" t="s">
        <v>26861</v>
      </c>
      <c r="F10952" t="s">
        <v>30052</v>
      </c>
      <c r="G10952" t="s">
        <v>30058</v>
      </c>
      <c r="H10952" t="s">
        <v>15498</v>
      </c>
      <c r="I10952" t="s">
        <v>30125</v>
      </c>
      <c r="J10952" t="s">
        <v>36896</v>
      </c>
      <c r="K10952" t="s">
        <v>39034</v>
      </c>
      <c r="M10952" t="s">
        <v>42613</v>
      </c>
      <c r="N10952" t="s">
        <v>43166</v>
      </c>
      <c r="O10952" t="s">
        <v>43167</v>
      </c>
      <c r="P10952">
        <v>0</v>
      </c>
      <c r="Q10952">
        <v>1</v>
      </c>
      <c r="R10952" t="s">
        <v>43180</v>
      </c>
      <c r="S10952" t="s">
        <v>43646</v>
      </c>
      <c r="T10952" t="s">
        <v>44733</v>
      </c>
      <c r="U10952" t="s">
        <v>53942</v>
      </c>
      <c r="W10952" t="s">
        <v>42613</v>
      </c>
      <c r="X10952" t="s">
        <v>43181</v>
      </c>
    </row>
    <row r="10953" spans="1:24">
      <c r="A10953">
        <f>HYPERLINK("https://www.philgeps.gov.ph/GEPSNONPILOT/Tender/SplashBidNoticeAbstractUI.aspx?menuIndex=3&amp;refID=7062699&amp;Result=3","7062699")</f>
        <v>0</v>
      </c>
      <c r="B10953" t="s">
        <v>1248</v>
      </c>
      <c r="C10953" t="s">
        <v>13864</v>
      </c>
      <c r="D10953" t="s">
        <v>17469</v>
      </c>
      <c r="E10953" t="s">
        <v>26862</v>
      </c>
      <c r="F10953" t="s">
        <v>30052</v>
      </c>
      <c r="G10953" t="s">
        <v>30058</v>
      </c>
      <c r="H10953" t="s">
        <v>30067</v>
      </c>
      <c r="I10953" t="s">
        <v>3693</v>
      </c>
      <c r="J10953" t="s">
        <v>30829</v>
      </c>
      <c r="K10953" t="s">
        <v>39252</v>
      </c>
      <c r="M10953" t="s">
        <v>40604</v>
      </c>
      <c r="N10953" t="s">
        <v>43166</v>
      </c>
      <c r="O10953" t="s">
        <v>43167</v>
      </c>
      <c r="P10953">
        <v>0</v>
      </c>
      <c r="Q10953">
        <v>6</v>
      </c>
      <c r="R10953" t="s">
        <v>43180</v>
      </c>
      <c r="S10953" t="s">
        <v>43646</v>
      </c>
      <c r="T10953" t="s">
        <v>44681</v>
      </c>
      <c r="U10953" t="s">
        <v>53943</v>
      </c>
      <c r="W10953" t="s">
        <v>40604</v>
      </c>
      <c r="X10953" t="s">
        <v>43181</v>
      </c>
    </row>
    <row r="10954" spans="1:24">
      <c r="A10954">
        <f>HYPERLINK("https://www.philgeps.gov.ph/GEPSNONPILOT/Tender/SplashBidNoticeAbstractUI.aspx?menuIndex=3&amp;refID=7062204&amp;Result=3","7062204")</f>
        <v>0</v>
      </c>
      <c r="B10954" t="s">
        <v>3050</v>
      </c>
      <c r="C10954" t="s">
        <v>13865</v>
      </c>
      <c r="D10954" t="s">
        <v>17431</v>
      </c>
      <c r="E10954" t="s">
        <v>22654</v>
      </c>
      <c r="F10954" t="s">
        <v>30052</v>
      </c>
      <c r="G10954" t="s">
        <v>30058</v>
      </c>
      <c r="H10954" t="s">
        <v>30067</v>
      </c>
      <c r="I10954" t="s">
        <v>3693</v>
      </c>
      <c r="J10954" t="s">
        <v>36897</v>
      </c>
      <c r="K10954" t="s">
        <v>39025</v>
      </c>
      <c r="M10954" t="s">
        <v>42629</v>
      </c>
      <c r="N10954" t="s">
        <v>43166</v>
      </c>
      <c r="O10954" t="s">
        <v>43167</v>
      </c>
      <c r="P10954">
        <v>0</v>
      </c>
      <c r="Q10954">
        <v>0</v>
      </c>
      <c r="R10954" t="s">
        <v>43180</v>
      </c>
      <c r="S10954" t="s">
        <v>43646</v>
      </c>
      <c r="T10954" t="s">
        <v>44705</v>
      </c>
      <c r="U10954" t="s">
        <v>53944</v>
      </c>
      <c r="W10954" t="s">
        <v>42629</v>
      </c>
      <c r="X10954" t="s">
        <v>43181</v>
      </c>
    </row>
    <row r="10955" spans="1:24">
      <c r="A10955">
        <f>HYPERLINK("https://www.philgeps.gov.ph/GEPSNONPILOT/Tender/SplashBidNoticeAbstractUI.aspx?menuIndex=3&amp;refID=7062484&amp;Result=3","7062484")</f>
        <v>0</v>
      </c>
      <c r="B10955" t="s">
        <v>2842</v>
      </c>
      <c r="C10955" t="s">
        <v>13866</v>
      </c>
      <c r="D10955" t="s">
        <v>17421</v>
      </c>
      <c r="E10955" t="s">
        <v>26863</v>
      </c>
      <c r="F10955" t="s">
        <v>30052</v>
      </c>
      <c r="G10955" t="s">
        <v>30058</v>
      </c>
      <c r="H10955" t="s">
        <v>15498</v>
      </c>
      <c r="I10955" t="s">
        <v>4598</v>
      </c>
      <c r="J10955" t="s">
        <v>32032</v>
      </c>
      <c r="K10955" t="s">
        <v>39029</v>
      </c>
      <c r="M10955" t="s">
        <v>42388</v>
      </c>
      <c r="N10955" t="s">
        <v>43166</v>
      </c>
      <c r="O10955" t="s">
        <v>43167</v>
      </c>
      <c r="P10955">
        <v>0</v>
      </c>
      <c r="Q10955">
        <v>5</v>
      </c>
      <c r="R10955" t="s">
        <v>43180</v>
      </c>
      <c r="S10955" t="s">
        <v>43646</v>
      </c>
      <c r="T10955" t="s">
        <v>44945</v>
      </c>
      <c r="U10955" t="s">
        <v>53945</v>
      </c>
      <c r="V10955" t="s">
        <v>58062</v>
      </c>
      <c r="W10955" t="s">
        <v>42388</v>
      </c>
      <c r="X10955" t="s">
        <v>43181</v>
      </c>
    </row>
    <row r="10956" spans="1:24">
      <c r="A10956">
        <f>HYPERLINK("https://www.philgeps.gov.ph/GEPSNONPILOT/Tender/SplashBidNoticeAbstractUI.aspx?menuIndex=3&amp;refID=7062694&amp;Result=3","7062694")</f>
        <v>0</v>
      </c>
      <c r="B10956" t="s">
        <v>1248</v>
      </c>
      <c r="C10956" t="s">
        <v>13867</v>
      </c>
      <c r="D10956" t="s">
        <v>17469</v>
      </c>
      <c r="E10956" t="s">
        <v>26864</v>
      </c>
      <c r="F10956" t="s">
        <v>30052</v>
      </c>
      <c r="G10956" t="s">
        <v>30058</v>
      </c>
      <c r="H10956" t="s">
        <v>30067</v>
      </c>
      <c r="I10956" t="s">
        <v>3693</v>
      </c>
      <c r="J10956" t="s">
        <v>33816</v>
      </c>
      <c r="K10956" t="s">
        <v>39197</v>
      </c>
      <c r="M10956" t="s">
        <v>40604</v>
      </c>
      <c r="N10956" t="s">
        <v>43166</v>
      </c>
      <c r="O10956" t="s">
        <v>43167</v>
      </c>
      <c r="P10956">
        <v>0</v>
      </c>
      <c r="Q10956">
        <v>4</v>
      </c>
      <c r="R10956" t="s">
        <v>43180</v>
      </c>
      <c r="S10956" t="s">
        <v>43646</v>
      </c>
      <c r="T10956" t="s">
        <v>44681</v>
      </c>
      <c r="U10956" t="s">
        <v>53946</v>
      </c>
      <c r="W10956" t="s">
        <v>40604</v>
      </c>
      <c r="X10956" t="s">
        <v>43181</v>
      </c>
    </row>
    <row r="10957" spans="1:24">
      <c r="A10957">
        <f>HYPERLINK("https://www.philgeps.gov.ph/GEPSNONPILOT/Tender/SplashBidNoticeAbstractUI.aspx?menuIndex=3&amp;refID=7062688&amp;Result=3","7062688")</f>
        <v>0</v>
      </c>
      <c r="B10957" t="s">
        <v>1248</v>
      </c>
      <c r="C10957" t="s">
        <v>13868</v>
      </c>
      <c r="D10957" t="s">
        <v>17469</v>
      </c>
      <c r="E10957" t="s">
        <v>26865</v>
      </c>
      <c r="F10957" t="s">
        <v>30052</v>
      </c>
      <c r="G10957" t="s">
        <v>30058</v>
      </c>
      <c r="H10957" t="s">
        <v>30067</v>
      </c>
      <c r="I10957" t="s">
        <v>3693</v>
      </c>
      <c r="J10957" t="s">
        <v>36878</v>
      </c>
      <c r="K10957" t="s">
        <v>39089</v>
      </c>
      <c r="M10957" t="s">
        <v>40604</v>
      </c>
      <c r="N10957" t="s">
        <v>43166</v>
      </c>
      <c r="O10957" t="s">
        <v>43167</v>
      </c>
      <c r="P10957">
        <v>0</v>
      </c>
      <c r="Q10957">
        <v>5</v>
      </c>
      <c r="R10957" t="s">
        <v>43180</v>
      </c>
      <c r="S10957" t="s">
        <v>43646</v>
      </c>
      <c r="T10957" t="s">
        <v>44681</v>
      </c>
      <c r="U10957" t="s">
        <v>53947</v>
      </c>
      <c r="W10957" t="s">
        <v>40604</v>
      </c>
      <c r="X10957" t="s">
        <v>43181</v>
      </c>
    </row>
    <row r="10958" spans="1:24">
      <c r="A10958">
        <f>HYPERLINK("https://www.philgeps.gov.ph/GEPSNONPILOT/Tender/SplashBidNoticeAbstractUI.aspx?menuIndex=3&amp;refID=7062617&amp;Result=3","7062617")</f>
        <v>0</v>
      </c>
      <c r="B10958" t="s">
        <v>1248</v>
      </c>
      <c r="C10958" t="s">
        <v>13869</v>
      </c>
      <c r="D10958" t="s">
        <v>17469</v>
      </c>
      <c r="E10958" t="s">
        <v>26866</v>
      </c>
      <c r="F10958" t="s">
        <v>30052</v>
      </c>
      <c r="G10958" t="s">
        <v>30058</v>
      </c>
      <c r="H10958" t="s">
        <v>30067</v>
      </c>
      <c r="I10958" t="s">
        <v>3693</v>
      </c>
      <c r="J10958" t="s">
        <v>36878</v>
      </c>
      <c r="K10958" t="s">
        <v>39089</v>
      </c>
      <c r="M10958" t="s">
        <v>40604</v>
      </c>
      <c r="N10958" t="s">
        <v>43166</v>
      </c>
      <c r="O10958" t="s">
        <v>43167</v>
      </c>
      <c r="P10958">
        <v>0</v>
      </c>
      <c r="Q10958">
        <v>6</v>
      </c>
      <c r="R10958" t="s">
        <v>43180</v>
      </c>
      <c r="S10958" t="s">
        <v>43646</v>
      </c>
      <c r="T10958" t="s">
        <v>44681</v>
      </c>
      <c r="U10958" t="s">
        <v>53948</v>
      </c>
      <c r="V10958" t="s">
        <v>58063</v>
      </c>
      <c r="W10958" t="s">
        <v>40604</v>
      </c>
      <c r="X10958" t="s">
        <v>43181</v>
      </c>
    </row>
    <row r="10959" spans="1:24">
      <c r="A10959">
        <f>HYPERLINK("https://www.philgeps.gov.ph/GEPSNONPILOT/Tender/SplashBidNoticeAbstractUI.aspx?menuIndex=3&amp;refID=7062461&amp;Result=3","7062461")</f>
        <v>0</v>
      </c>
      <c r="B10959" t="s">
        <v>2462</v>
      </c>
      <c r="C10959" t="s">
        <v>13870</v>
      </c>
      <c r="D10959" t="s">
        <v>17415</v>
      </c>
      <c r="E10959" t="s">
        <v>26867</v>
      </c>
      <c r="F10959" t="s">
        <v>30052</v>
      </c>
      <c r="G10959" t="s">
        <v>30058</v>
      </c>
      <c r="H10959" t="s">
        <v>30067</v>
      </c>
      <c r="I10959" t="s">
        <v>3693</v>
      </c>
      <c r="J10959" t="s">
        <v>36898</v>
      </c>
      <c r="K10959" t="s">
        <v>39022</v>
      </c>
      <c r="M10959" t="s">
        <v>42296</v>
      </c>
      <c r="N10959" t="s">
        <v>43166</v>
      </c>
      <c r="O10959" t="s">
        <v>43167</v>
      </c>
      <c r="P10959">
        <v>0</v>
      </c>
      <c r="Q10959">
        <v>86</v>
      </c>
      <c r="R10959" t="s">
        <v>43180</v>
      </c>
      <c r="S10959" t="s">
        <v>43646</v>
      </c>
      <c r="T10959" t="s">
        <v>44679</v>
      </c>
      <c r="U10959" t="s">
        <v>52735</v>
      </c>
      <c r="V10959" t="s">
        <v>58064</v>
      </c>
      <c r="W10959" t="s">
        <v>42296</v>
      </c>
      <c r="X10959" t="s">
        <v>43181</v>
      </c>
    </row>
    <row r="10960" spans="1:24">
      <c r="A10960">
        <f>HYPERLINK("https://www.philgeps.gov.ph/GEPSNONPILOT/Tender/SplashBidNoticeAbstractUI.aspx?menuIndex=3&amp;refID=7062613&amp;Result=3","7062613")</f>
        <v>0</v>
      </c>
      <c r="B10960" t="s">
        <v>1134</v>
      </c>
      <c r="C10960" t="s">
        <v>13871</v>
      </c>
      <c r="D10960" t="s">
        <v>17459</v>
      </c>
      <c r="E10960" t="s">
        <v>26868</v>
      </c>
      <c r="F10960" t="s">
        <v>30052</v>
      </c>
      <c r="G10960" t="s">
        <v>30058</v>
      </c>
      <c r="H10960" t="s">
        <v>30067</v>
      </c>
      <c r="I10960" t="s">
        <v>3693</v>
      </c>
      <c r="J10960" t="s">
        <v>36899</v>
      </c>
      <c r="K10960" t="s">
        <v>39054</v>
      </c>
      <c r="M10960" t="s">
        <v>40749</v>
      </c>
      <c r="N10960" t="s">
        <v>43166</v>
      </c>
      <c r="O10960" t="s">
        <v>43167</v>
      </c>
      <c r="P10960">
        <v>0</v>
      </c>
      <c r="Q10960">
        <v>0</v>
      </c>
      <c r="R10960" t="s">
        <v>43180</v>
      </c>
      <c r="S10960" t="s">
        <v>43646</v>
      </c>
      <c r="T10960" t="s">
        <v>44750</v>
      </c>
      <c r="U10960" t="s">
        <v>53894</v>
      </c>
      <c r="V10960" t="s">
        <v>58048</v>
      </c>
      <c r="W10960" t="s">
        <v>40749</v>
      </c>
      <c r="X10960" t="s">
        <v>43181</v>
      </c>
    </row>
    <row r="10961" spans="1:24">
      <c r="A10961">
        <f>HYPERLINK("https://www.philgeps.gov.ph/GEPSNONPILOT/Tender/SplashBidNoticeAbstractUI.aspx?menuIndex=3&amp;refID=7062524&amp;Result=3","7062524")</f>
        <v>0</v>
      </c>
      <c r="B10961" t="s">
        <v>3051</v>
      </c>
      <c r="C10961" t="s">
        <v>13872</v>
      </c>
      <c r="D10961" t="s">
        <v>17470</v>
      </c>
      <c r="E10961" t="s">
        <v>26869</v>
      </c>
      <c r="F10961" t="s">
        <v>30052</v>
      </c>
      <c r="G10961" t="s">
        <v>30058</v>
      </c>
      <c r="H10961" t="s">
        <v>15498</v>
      </c>
      <c r="I10961" t="s">
        <v>4650</v>
      </c>
      <c r="J10961" t="s">
        <v>32849</v>
      </c>
      <c r="K10961" t="s">
        <v>39029</v>
      </c>
      <c r="M10961" t="s">
        <v>42630</v>
      </c>
      <c r="N10961" t="s">
        <v>43166</v>
      </c>
      <c r="O10961" t="s">
        <v>43167</v>
      </c>
      <c r="P10961">
        <v>0</v>
      </c>
      <c r="Q10961">
        <v>3</v>
      </c>
      <c r="R10961" t="s">
        <v>43180</v>
      </c>
      <c r="S10961" t="s">
        <v>43646</v>
      </c>
      <c r="T10961" t="s">
        <v>44873</v>
      </c>
      <c r="U10961" t="s">
        <v>53949</v>
      </c>
      <c r="W10961" t="s">
        <v>42630</v>
      </c>
      <c r="X10961" t="s">
        <v>43181</v>
      </c>
    </row>
    <row r="10962" spans="1:24">
      <c r="A10962">
        <f>HYPERLINK("https://www.philgeps.gov.ph/GEPSNONPILOT/Tender/SplashBidNoticeAbstractUI.aspx?menuIndex=3&amp;refID=7062634&amp;Result=3","7062634")</f>
        <v>0</v>
      </c>
      <c r="B10962" t="s">
        <v>1018</v>
      </c>
      <c r="C10962" t="s">
        <v>5593</v>
      </c>
      <c r="E10962" t="s">
        <v>26870</v>
      </c>
      <c r="F10962" t="s">
        <v>30052</v>
      </c>
      <c r="G10962" t="s">
        <v>30058</v>
      </c>
      <c r="H10962" t="s">
        <v>15498</v>
      </c>
      <c r="I10962" t="s">
        <v>30081</v>
      </c>
      <c r="J10962" t="s">
        <v>36900</v>
      </c>
      <c r="K10962" t="s">
        <v>39025</v>
      </c>
      <c r="M10962" t="s">
        <v>40347</v>
      </c>
      <c r="N10962" t="s">
        <v>43166</v>
      </c>
      <c r="O10962" t="s">
        <v>43167</v>
      </c>
      <c r="P10962">
        <v>0</v>
      </c>
      <c r="Q10962">
        <v>0</v>
      </c>
      <c r="R10962" t="s">
        <v>43180</v>
      </c>
      <c r="S10962" t="s">
        <v>43646</v>
      </c>
      <c r="T10962" t="s">
        <v>44847</v>
      </c>
      <c r="U10962" t="s">
        <v>53950</v>
      </c>
      <c r="W10962" t="s">
        <v>40347</v>
      </c>
      <c r="X10962" t="s">
        <v>43181</v>
      </c>
    </row>
    <row r="10963" spans="1:24">
      <c r="A10963">
        <f>HYPERLINK("https://www.philgeps.gov.ph/GEPSNONPILOT/Tender/SplashBidNoticeAbstractUI.aspx?menuIndex=3&amp;refID=7062591&amp;Result=3","7062591")</f>
        <v>0</v>
      </c>
      <c r="B10963" t="s">
        <v>1248</v>
      </c>
      <c r="C10963" t="s">
        <v>13873</v>
      </c>
      <c r="D10963" t="s">
        <v>17469</v>
      </c>
      <c r="E10963" t="s">
        <v>26871</v>
      </c>
      <c r="F10963" t="s">
        <v>30052</v>
      </c>
      <c r="G10963" t="s">
        <v>30058</v>
      </c>
      <c r="H10963" t="s">
        <v>30067</v>
      </c>
      <c r="I10963" t="s">
        <v>3693</v>
      </c>
      <c r="J10963" t="s">
        <v>36878</v>
      </c>
      <c r="K10963" t="s">
        <v>39089</v>
      </c>
      <c r="M10963" t="s">
        <v>40604</v>
      </c>
      <c r="N10963" t="s">
        <v>43166</v>
      </c>
      <c r="O10963" t="s">
        <v>43167</v>
      </c>
      <c r="P10963">
        <v>0</v>
      </c>
      <c r="Q10963">
        <v>4</v>
      </c>
      <c r="R10963" t="s">
        <v>43180</v>
      </c>
      <c r="S10963" t="s">
        <v>43646</v>
      </c>
      <c r="T10963" t="s">
        <v>44681</v>
      </c>
      <c r="U10963" t="s">
        <v>53951</v>
      </c>
      <c r="W10963" t="s">
        <v>40604</v>
      </c>
      <c r="X10963" t="s">
        <v>43181</v>
      </c>
    </row>
    <row r="10964" spans="1:24">
      <c r="A10964">
        <f>HYPERLINK("https://www.philgeps.gov.ph/GEPSNONPILOT/Tender/SplashBidNoticeAbstractUI.aspx?menuIndex=3&amp;refID=7062618&amp;Result=3","7062618")</f>
        <v>0</v>
      </c>
      <c r="B10964" t="s">
        <v>1018</v>
      </c>
      <c r="C10964" t="s">
        <v>13874</v>
      </c>
      <c r="E10964" t="s">
        <v>26872</v>
      </c>
      <c r="F10964" t="s">
        <v>30052</v>
      </c>
      <c r="G10964" t="s">
        <v>30058</v>
      </c>
      <c r="H10964" t="s">
        <v>15498</v>
      </c>
      <c r="I10964" t="s">
        <v>30120</v>
      </c>
      <c r="J10964" t="s">
        <v>30248</v>
      </c>
      <c r="K10964" t="s">
        <v>39025</v>
      </c>
      <c r="M10964" t="s">
        <v>40347</v>
      </c>
      <c r="N10964" t="s">
        <v>43166</v>
      </c>
      <c r="O10964" t="s">
        <v>43167</v>
      </c>
      <c r="P10964">
        <v>0</v>
      </c>
      <c r="Q10964">
        <v>1</v>
      </c>
      <c r="R10964" t="s">
        <v>43180</v>
      </c>
      <c r="S10964" t="s">
        <v>43646</v>
      </c>
      <c r="T10964" t="s">
        <v>44847</v>
      </c>
      <c r="U10964" t="s">
        <v>53952</v>
      </c>
      <c r="W10964" t="s">
        <v>40347</v>
      </c>
      <c r="X10964" t="s">
        <v>43181</v>
      </c>
    </row>
    <row r="10965" spans="1:24">
      <c r="A10965">
        <f>HYPERLINK("https://www.philgeps.gov.ph/GEPSNONPILOT/Tender/SplashBidNoticeAbstractUI.aspx?menuIndex=3&amp;refID=7062588&amp;Result=3","7062588")</f>
        <v>0</v>
      </c>
      <c r="B10965" t="s">
        <v>2931</v>
      </c>
      <c r="C10965" t="s">
        <v>13875</v>
      </c>
      <c r="D10965" t="s">
        <v>17435</v>
      </c>
      <c r="E10965" t="s">
        <v>26873</v>
      </c>
      <c r="F10965" t="s">
        <v>30052</v>
      </c>
      <c r="G10965" t="s">
        <v>30058</v>
      </c>
      <c r="H10965" t="s">
        <v>15498</v>
      </c>
      <c r="I10965" t="s">
        <v>3736</v>
      </c>
      <c r="J10965" t="s">
        <v>36901</v>
      </c>
      <c r="K10965" t="s">
        <v>39034</v>
      </c>
      <c r="L10965" t="s">
        <v>2931</v>
      </c>
      <c r="M10965" t="s">
        <v>42494</v>
      </c>
      <c r="N10965" t="s">
        <v>43166</v>
      </c>
      <c r="O10965" t="s">
        <v>43167</v>
      </c>
      <c r="P10965">
        <v>0</v>
      </c>
      <c r="Q10965">
        <v>1</v>
      </c>
      <c r="R10965" t="s">
        <v>43180</v>
      </c>
      <c r="S10965" t="s">
        <v>43646</v>
      </c>
      <c r="T10965" t="s">
        <v>44681</v>
      </c>
      <c r="U10965" t="s">
        <v>53514</v>
      </c>
      <c r="W10965" t="s">
        <v>42494</v>
      </c>
      <c r="X10965" t="s">
        <v>43181</v>
      </c>
    </row>
    <row r="10966" spans="1:24">
      <c r="A10966">
        <f>HYPERLINK("https://www.philgeps.gov.ph/GEPSNONPILOT/Tender/SplashBidNoticeAbstractUI.aspx?menuIndex=3&amp;refID=7062562&amp;Result=3","7062562")</f>
        <v>0</v>
      </c>
      <c r="B10966" t="s">
        <v>2462</v>
      </c>
      <c r="C10966" t="s">
        <v>13876</v>
      </c>
      <c r="D10966" t="s">
        <v>17415</v>
      </c>
      <c r="E10966" t="s">
        <v>26874</v>
      </c>
      <c r="F10966" t="s">
        <v>30052</v>
      </c>
      <c r="G10966" t="s">
        <v>30058</v>
      </c>
      <c r="H10966" t="s">
        <v>30067</v>
      </c>
      <c r="I10966" t="s">
        <v>3693</v>
      </c>
      <c r="J10966" t="s">
        <v>36902</v>
      </c>
      <c r="K10966" t="s">
        <v>39019</v>
      </c>
      <c r="M10966" t="s">
        <v>42296</v>
      </c>
      <c r="N10966" t="s">
        <v>43166</v>
      </c>
      <c r="O10966" t="s">
        <v>43167</v>
      </c>
      <c r="P10966">
        <v>0</v>
      </c>
      <c r="Q10966">
        <v>38</v>
      </c>
      <c r="R10966" t="s">
        <v>43180</v>
      </c>
      <c r="S10966" t="s">
        <v>43646</v>
      </c>
      <c r="T10966" t="s">
        <v>44679</v>
      </c>
      <c r="U10966" t="s">
        <v>52735</v>
      </c>
      <c r="V10966" t="s">
        <v>58065</v>
      </c>
      <c r="W10966" t="s">
        <v>42296</v>
      </c>
      <c r="X10966" t="s">
        <v>43181</v>
      </c>
    </row>
    <row r="10967" spans="1:24">
      <c r="A10967">
        <f>HYPERLINK("https://www.philgeps.gov.ph/GEPSNONPILOT/Tender/SplashBidNoticeAbstractUI.aspx?menuIndex=3&amp;refID=7062607&amp;Result=3","7062607")</f>
        <v>0</v>
      </c>
      <c r="B10967" t="s">
        <v>1248</v>
      </c>
      <c r="C10967" t="s">
        <v>13877</v>
      </c>
      <c r="D10967" t="s">
        <v>17469</v>
      </c>
      <c r="E10967" t="s">
        <v>26875</v>
      </c>
      <c r="F10967" t="s">
        <v>30052</v>
      </c>
      <c r="G10967" t="s">
        <v>30058</v>
      </c>
      <c r="H10967" t="s">
        <v>30067</v>
      </c>
      <c r="I10967" t="s">
        <v>3693</v>
      </c>
      <c r="J10967" t="s">
        <v>36903</v>
      </c>
      <c r="K10967" t="s">
        <v>39110</v>
      </c>
      <c r="M10967" t="s">
        <v>40604</v>
      </c>
      <c r="N10967" t="s">
        <v>43166</v>
      </c>
      <c r="O10967" t="s">
        <v>43167</v>
      </c>
      <c r="P10967">
        <v>0</v>
      </c>
      <c r="Q10967">
        <v>6</v>
      </c>
      <c r="R10967" t="s">
        <v>43180</v>
      </c>
      <c r="S10967" t="s">
        <v>43646</v>
      </c>
      <c r="T10967" t="s">
        <v>44681</v>
      </c>
      <c r="U10967" t="s">
        <v>53953</v>
      </c>
      <c r="W10967" t="s">
        <v>40604</v>
      </c>
      <c r="X10967" t="s">
        <v>43181</v>
      </c>
    </row>
    <row r="10968" spans="1:24">
      <c r="A10968">
        <f>HYPERLINK("https://www.philgeps.gov.ph/GEPSNONPILOT/Tender/SplashBidNoticeAbstractUI.aspx?menuIndex=3&amp;refID=7062541&amp;Result=3","7062541")</f>
        <v>0</v>
      </c>
      <c r="B10968" t="s">
        <v>3052</v>
      </c>
      <c r="C10968" t="s">
        <v>9452</v>
      </c>
      <c r="D10968" t="s">
        <v>17427</v>
      </c>
      <c r="E10968" t="s">
        <v>26876</v>
      </c>
      <c r="F10968" t="s">
        <v>30055</v>
      </c>
      <c r="G10968" t="s">
        <v>30058</v>
      </c>
      <c r="H10968" t="s">
        <v>15498</v>
      </c>
      <c r="I10968" t="s">
        <v>3736</v>
      </c>
      <c r="J10968" t="s">
        <v>30230</v>
      </c>
      <c r="K10968" t="s">
        <v>39064</v>
      </c>
      <c r="M10968" t="s">
        <v>42631</v>
      </c>
      <c r="N10968" t="s">
        <v>43166</v>
      </c>
      <c r="O10968" t="s">
        <v>43167</v>
      </c>
      <c r="P10968">
        <v>0</v>
      </c>
      <c r="Q10968">
        <v>1</v>
      </c>
      <c r="R10968" t="s">
        <v>43180</v>
      </c>
      <c r="S10968" t="s">
        <v>43646</v>
      </c>
      <c r="T10968" t="s">
        <v>44698</v>
      </c>
      <c r="U10968" t="s">
        <v>53954</v>
      </c>
      <c r="W10968" t="s">
        <v>42631</v>
      </c>
      <c r="X10968" t="s">
        <v>43181</v>
      </c>
    </row>
    <row r="10969" spans="1:24">
      <c r="A10969">
        <f>HYPERLINK("https://www.philgeps.gov.ph/GEPSNONPILOT/Tender/SplashBidNoticeAbstractUI.aspx?menuIndex=3&amp;refID=7062533&amp;Result=3","7062533")</f>
        <v>0</v>
      </c>
      <c r="B10969" t="s">
        <v>348</v>
      </c>
      <c r="C10969" t="s">
        <v>13878</v>
      </c>
      <c r="D10969" t="s">
        <v>17416</v>
      </c>
      <c r="E10969" t="s">
        <v>26877</v>
      </c>
      <c r="F10969" t="s">
        <v>30052</v>
      </c>
      <c r="G10969" t="s">
        <v>30058</v>
      </c>
      <c r="H10969" t="s">
        <v>15498</v>
      </c>
      <c r="I10969" t="s">
        <v>30071</v>
      </c>
      <c r="J10969" t="s">
        <v>36904</v>
      </c>
      <c r="K10969" t="s">
        <v>39046</v>
      </c>
      <c r="M10969" t="s">
        <v>39645</v>
      </c>
      <c r="N10969" t="s">
        <v>43166</v>
      </c>
      <c r="O10969" t="s">
        <v>43167</v>
      </c>
      <c r="P10969">
        <v>0</v>
      </c>
      <c r="Q10969">
        <v>0</v>
      </c>
      <c r="R10969" t="s">
        <v>43180</v>
      </c>
      <c r="S10969" t="s">
        <v>43646</v>
      </c>
      <c r="T10969" t="s">
        <v>44820</v>
      </c>
      <c r="U10969" t="s">
        <v>53955</v>
      </c>
      <c r="W10969" t="s">
        <v>39645</v>
      </c>
      <c r="X10969" t="s">
        <v>43181</v>
      </c>
    </row>
    <row r="10970" spans="1:24">
      <c r="A10970">
        <f>HYPERLINK("https://www.philgeps.gov.ph/GEPSNONPILOT/Tender/SplashBidNoticeAbstractUI.aspx?menuIndex=3&amp;refID=7062556&amp;Result=3","7062556")</f>
        <v>0</v>
      </c>
      <c r="B10970" t="s">
        <v>3021</v>
      </c>
      <c r="C10970" t="s">
        <v>13879</v>
      </c>
      <c r="D10970" t="s">
        <v>17464</v>
      </c>
      <c r="E10970" t="s">
        <v>26878</v>
      </c>
      <c r="F10970" t="s">
        <v>30052</v>
      </c>
      <c r="G10970" t="s">
        <v>30058</v>
      </c>
      <c r="H10970" t="s">
        <v>30069</v>
      </c>
      <c r="I10970" t="s">
        <v>30074</v>
      </c>
      <c r="J10970" t="s">
        <v>30397</v>
      </c>
      <c r="K10970" t="s">
        <v>39023</v>
      </c>
      <c r="M10970" t="s">
        <v>42599</v>
      </c>
      <c r="N10970" t="s">
        <v>43166</v>
      </c>
      <c r="O10970" t="s">
        <v>43167</v>
      </c>
      <c r="P10970">
        <v>0</v>
      </c>
      <c r="Q10970">
        <v>6</v>
      </c>
      <c r="R10970" t="s">
        <v>43180</v>
      </c>
      <c r="S10970" t="s">
        <v>43646</v>
      </c>
      <c r="T10970" t="s">
        <v>44689</v>
      </c>
      <c r="U10970" t="s">
        <v>53956</v>
      </c>
      <c r="W10970" t="s">
        <v>42599</v>
      </c>
      <c r="X10970" t="s">
        <v>43181</v>
      </c>
    </row>
    <row r="10971" spans="1:24">
      <c r="A10971">
        <f>HYPERLINK("https://www.philgeps.gov.ph/GEPSNONPILOT/Tender/SplashBidNoticeAbstractUI.aspx?menuIndex=3&amp;refID=7062425&amp;Result=3","7062425")</f>
        <v>0</v>
      </c>
      <c r="B10971" t="s">
        <v>2462</v>
      </c>
      <c r="C10971" t="s">
        <v>13880</v>
      </c>
      <c r="D10971" t="s">
        <v>17415</v>
      </c>
      <c r="E10971" t="s">
        <v>26879</v>
      </c>
      <c r="F10971" t="s">
        <v>30052</v>
      </c>
      <c r="G10971" t="s">
        <v>30058</v>
      </c>
      <c r="H10971" t="s">
        <v>30067</v>
      </c>
      <c r="I10971" t="s">
        <v>3693</v>
      </c>
      <c r="J10971" t="s">
        <v>36905</v>
      </c>
      <c r="K10971" t="s">
        <v>39026</v>
      </c>
      <c r="M10971" t="s">
        <v>42296</v>
      </c>
      <c r="N10971" t="s">
        <v>43166</v>
      </c>
      <c r="O10971" t="s">
        <v>43167</v>
      </c>
      <c r="P10971">
        <v>0</v>
      </c>
      <c r="Q10971">
        <v>86</v>
      </c>
      <c r="R10971" t="s">
        <v>43180</v>
      </c>
      <c r="S10971" t="s">
        <v>43646</v>
      </c>
      <c r="T10971" t="s">
        <v>44679</v>
      </c>
      <c r="U10971" t="s">
        <v>52735</v>
      </c>
      <c r="V10971" t="s">
        <v>58066</v>
      </c>
      <c r="W10971" t="s">
        <v>42296</v>
      </c>
      <c r="X10971" t="s">
        <v>43181</v>
      </c>
    </row>
    <row r="10972" spans="1:24">
      <c r="A10972">
        <f>HYPERLINK("https://www.philgeps.gov.ph/GEPSNONPILOT/Tender/SplashBidNoticeAbstractUI.aspx?menuIndex=3&amp;refID=7062596&amp;Result=3","7062596")</f>
        <v>0</v>
      </c>
      <c r="B10972" t="s">
        <v>1134</v>
      </c>
      <c r="C10972" t="s">
        <v>13881</v>
      </c>
      <c r="D10972" t="s">
        <v>17459</v>
      </c>
      <c r="E10972" t="s">
        <v>26880</v>
      </c>
      <c r="F10972" t="s">
        <v>30052</v>
      </c>
      <c r="G10972" t="s">
        <v>30058</v>
      </c>
      <c r="H10972" t="s">
        <v>30067</v>
      </c>
      <c r="I10972" t="s">
        <v>3693</v>
      </c>
      <c r="J10972" t="s">
        <v>36906</v>
      </c>
      <c r="K10972" t="s">
        <v>39054</v>
      </c>
      <c r="M10972" t="s">
        <v>40749</v>
      </c>
      <c r="N10972" t="s">
        <v>43166</v>
      </c>
      <c r="O10972" t="s">
        <v>43167</v>
      </c>
      <c r="Q10972">
        <v>0</v>
      </c>
      <c r="R10972" t="s">
        <v>43180</v>
      </c>
      <c r="S10972" t="s">
        <v>43673</v>
      </c>
      <c r="T10972" t="s">
        <v>44750</v>
      </c>
      <c r="U10972" t="s">
        <v>53957</v>
      </c>
      <c r="V10972" t="s">
        <v>58048</v>
      </c>
      <c r="W10972" t="s">
        <v>40749</v>
      </c>
      <c r="X10972" t="s">
        <v>43181</v>
      </c>
    </row>
    <row r="10973" spans="1:24">
      <c r="A10973">
        <f>HYPERLINK("https://www.philgeps.gov.ph/GEPSNONPILOT/Tender/SplashBidNoticeAbstractUI.aspx?menuIndex=3&amp;refID=7062825&amp;Result=3","7062825")</f>
        <v>0</v>
      </c>
      <c r="B10973" t="s">
        <v>602</v>
      </c>
      <c r="C10973" t="s">
        <v>13882</v>
      </c>
      <c r="D10973" t="s">
        <v>17448</v>
      </c>
      <c r="E10973" t="s">
        <v>26881</v>
      </c>
      <c r="F10973" t="s">
        <v>30052</v>
      </c>
      <c r="G10973" t="s">
        <v>30058</v>
      </c>
      <c r="H10973" t="s">
        <v>30067</v>
      </c>
      <c r="I10973" t="s">
        <v>3693</v>
      </c>
      <c r="J10973" t="s">
        <v>35970</v>
      </c>
      <c r="K10973" t="s">
        <v>39079</v>
      </c>
      <c r="L10973" t="s">
        <v>602</v>
      </c>
      <c r="M10973" t="s">
        <v>42544</v>
      </c>
      <c r="N10973" t="s">
        <v>43166</v>
      </c>
      <c r="O10973" t="s">
        <v>43167</v>
      </c>
      <c r="P10973">
        <v>0</v>
      </c>
      <c r="Q10973">
        <v>1</v>
      </c>
      <c r="R10973" t="s">
        <v>43180</v>
      </c>
      <c r="S10973" t="s">
        <v>43646</v>
      </c>
      <c r="T10973" t="s">
        <v>44741</v>
      </c>
      <c r="U10973" t="s">
        <v>53958</v>
      </c>
      <c r="W10973" t="s">
        <v>42544</v>
      </c>
      <c r="X10973" t="s">
        <v>43181</v>
      </c>
    </row>
    <row r="10974" spans="1:24">
      <c r="A10974">
        <f>HYPERLINK("https://www.philgeps.gov.ph/GEPSNONPILOT/Tender/SplashBidNoticeAbstractUI.aspx?menuIndex=3&amp;refID=7062549&amp;Result=3","7062549")</f>
        <v>0</v>
      </c>
      <c r="B10974" t="s">
        <v>897</v>
      </c>
      <c r="C10974" t="s">
        <v>13883</v>
      </c>
      <c r="D10974" t="s">
        <v>17470</v>
      </c>
      <c r="E10974" t="s">
        <v>17613</v>
      </c>
      <c r="F10974" t="s">
        <v>30052</v>
      </c>
      <c r="G10974" t="s">
        <v>30058</v>
      </c>
      <c r="H10974" t="s">
        <v>15498</v>
      </c>
      <c r="I10974" t="s">
        <v>30084</v>
      </c>
      <c r="J10974" t="s">
        <v>36907</v>
      </c>
      <c r="K10974" t="s">
        <v>39029</v>
      </c>
      <c r="M10974" t="s">
        <v>40216</v>
      </c>
      <c r="N10974" t="s">
        <v>43166</v>
      </c>
      <c r="O10974" t="s">
        <v>43167</v>
      </c>
      <c r="P10974">
        <v>0</v>
      </c>
      <c r="Q10974">
        <v>4</v>
      </c>
      <c r="R10974" t="s">
        <v>43180</v>
      </c>
      <c r="S10974" t="s">
        <v>43646</v>
      </c>
      <c r="T10974" t="s">
        <v>44687</v>
      </c>
      <c r="U10974" t="s">
        <v>53959</v>
      </c>
      <c r="W10974" t="s">
        <v>40216</v>
      </c>
      <c r="X10974" t="s">
        <v>43181</v>
      </c>
    </row>
    <row r="10975" spans="1:24">
      <c r="A10975">
        <f>HYPERLINK("https://www.philgeps.gov.ph/GEPSNONPILOT/Tender/SplashBidNoticeAbstractUI.aspx?menuIndex=3&amp;refID=7062424&amp;Result=3","7062424")</f>
        <v>0</v>
      </c>
      <c r="B10975" t="s">
        <v>1248</v>
      </c>
      <c r="C10975" t="s">
        <v>13884</v>
      </c>
      <c r="D10975" t="s">
        <v>17469</v>
      </c>
      <c r="E10975" t="s">
        <v>26882</v>
      </c>
      <c r="F10975" t="s">
        <v>30052</v>
      </c>
      <c r="G10975" t="s">
        <v>30058</v>
      </c>
      <c r="H10975" t="s">
        <v>30067</v>
      </c>
      <c r="I10975" t="s">
        <v>3693</v>
      </c>
      <c r="J10975" t="s">
        <v>36878</v>
      </c>
      <c r="K10975" t="s">
        <v>39089</v>
      </c>
      <c r="M10975" t="s">
        <v>40604</v>
      </c>
      <c r="N10975" t="s">
        <v>43166</v>
      </c>
      <c r="O10975" t="s">
        <v>43167</v>
      </c>
      <c r="P10975">
        <v>0</v>
      </c>
      <c r="Q10975">
        <v>5</v>
      </c>
      <c r="R10975" t="s">
        <v>43180</v>
      </c>
      <c r="S10975" t="s">
        <v>43646</v>
      </c>
      <c r="T10975" t="s">
        <v>44681</v>
      </c>
      <c r="U10975" t="s">
        <v>53960</v>
      </c>
      <c r="W10975" t="s">
        <v>40604</v>
      </c>
      <c r="X10975" t="s">
        <v>43181</v>
      </c>
    </row>
    <row r="10976" spans="1:24">
      <c r="A10976">
        <f>HYPERLINK("https://www.philgeps.gov.ph/GEPSNONPILOT/Tender/SplashBidNoticeAbstractUI.aspx?menuIndex=3&amp;refID=7062659&amp;Result=3","7062659")</f>
        <v>0</v>
      </c>
      <c r="B10976" t="s">
        <v>704</v>
      </c>
      <c r="C10976" t="s">
        <v>13885</v>
      </c>
      <c r="D10976" t="s">
        <v>17422</v>
      </c>
      <c r="E10976" t="s">
        <v>26883</v>
      </c>
      <c r="F10976" t="s">
        <v>30052</v>
      </c>
      <c r="G10976" t="s">
        <v>30058</v>
      </c>
      <c r="H10976" t="s">
        <v>15498</v>
      </c>
      <c r="I10976" t="s">
        <v>5961</v>
      </c>
      <c r="J10976" t="s">
        <v>36908</v>
      </c>
      <c r="K10976" t="s">
        <v>39019</v>
      </c>
      <c r="M10976" t="s">
        <v>40013</v>
      </c>
      <c r="N10976" t="s">
        <v>43166</v>
      </c>
      <c r="O10976" t="s">
        <v>43167</v>
      </c>
      <c r="P10976">
        <v>0</v>
      </c>
      <c r="Q10976">
        <v>0</v>
      </c>
      <c r="R10976" t="s">
        <v>43180</v>
      </c>
      <c r="S10976" t="s">
        <v>43646</v>
      </c>
      <c r="T10976" t="s">
        <v>44720</v>
      </c>
      <c r="U10976" t="s">
        <v>53961</v>
      </c>
      <c r="V10976" t="s">
        <v>58067</v>
      </c>
      <c r="W10976" t="s">
        <v>40013</v>
      </c>
      <c r="X10976" t="s">
        <v>43181</v>
      </c>
    </row>
    <row r="10977" spans="1:24">
      <c r="A10977">
        <f>HYPERLINK("https://www.philgeps.gov.ph/GEPSNONPILOT/Tender/SplashBidNoticeAbstractUI.aspx?menuIndex=3&amp;refID=7062844&amp;Result=3","7062844")</f>
        <v>0</v>
      </c>
      <c r="B10977" t="s">
        <v>1864</v>
      </c>
      <c r="C10977" t="s">
        <v>13886</v>
      </c>
      <c r="D10977" t="s">
        <v>17435</v>
      </c>
      <c r="E10977" t="s">
        <v>26884</v>
      </c>
      <c r="F10977" t="s">
        <v>30052</v>
      </c>
      <c r="G10977" t="s">
        <v>30058</v>
      </c>
      <c r="H10977" t="s">
        <v>15498</v>
      </c>
      <c r="I10977" t="s">
        <v>4650</v>
      </c>
      <c r="J10977" t="s">
        <v>36909</v>
      </c>
      <c r="K10977" t="s">
        <v>39029</v>
      </c>
      <c r="M10977" t="s">
        <v>41292</v>
      </c>
      <c r="N10977" t="s">
        <v>43166</v>
      </c>
      <c r="O10977" t="s">
        <v>43167</v>
      </c>
      <c r="P10977">
        <v>0</v>
      </c>
      <c r="Q10977">
        <v>4</v>
      </c>
      <c r="R10977" t="s">
        <v>43180</v>
      </c>
      <c r="S10977" t="s">
        <v>43646</v>
      </c>
      <c r="T10977" t="s">
        <v>44681</v>
      </c>
      <c r="U10977" t="s">
        <v>53962</v>
      </c>
      <c r="V10977" t="s">
        <v>58068</v>
      </c>
      <c r="W10977" t="s">
        <v>41292</v>
      </c>
      <c r="X10977" t="s">
        <v>43181</v>
      </c>
    </row>
    <row r="10978" spans="1:24">
      <c r="A10978">
        <f>HYPERLINK("https://www.philgeps.gov.ph/GEPSNONPILOT/Tender/SplashBidNoticeAbstractUI.aspx?menuIndex=3&amp;refID=7062793&amp;Result=3","7062793")</f>
        <v>0</v>
      </c>
      <c r="B10978" t="s">
        <v>3053</v>
      </c>
      <c r="C10978" t="s">
        <v>12651</v>
      </c>
      <c r="D10978" t="s">
        <v>17415</v>
      </c>
      <c r="E10978" t="s">
        <v>26885</v>
      </c>
      <c r="F10978" t="s">
        <v>30052</v>
      </c>
      <c r="G10978" t="s">
        <v>30058</v>
      </c>
      <c r="H10978" t="s">
        <v>15498</v>
      </c>
      <c r="I10978" t="s">
        <v>4650</v>
      </c>
      <c r="J10978" t="s">
        <v>30222</v>
      </c>
      <c r="K10978" t="s">
        <v>39046</v>
      </c>
      <c r="M10978" t="s">
        <v>42632</v>
      </c>
      <c r="N10978" t="s">
        <v>43166</v>
      </c>
      <c r="O10978" t="s">
        <v>43167</v>
      </c>
      <c r="P10978">
        <v>0</v>
      </c>
      <c r="Q10978">
        <v>2</v>
      </c>
      <c r="R10978" t="s">
        <v>43180</v>
      </c>
      <c r="S10978" t="s">
        <v>43646</v>
      </c>
      <c r="T10978" t="s">
        <v>44753</v>
      </c>
      <c r="U10978" t="s">
        <v>53963</v>
      </c>
      <c r="W10978" t="s">
        <v>42632</v>
      </c>
      <c r="X10978" t="s">
        <v>43181</v>
      </c>
    </row>
    <row r="10979" spans="1:24">
      <c r="A10979">
        <f>HYPERLINK("https://www.philgeps.gov.ph/GEPSNONPILOT/Tender/SplashBidNoticeAbstractUI.aspx?menuIndex=3&amp;refID=7062806&amp;Result=3","7062806")</f>
        <v>0</v>
      </c>
      <c r="B10979" t="s">
        <v>2860</v>
      </c>
      <c r="C10979" t="s">
        <v>13887</v>
      </c>
      <c r="D10979" t="s">
        <v>17435</v>
      </c>
      <c r="E10979" t="s">
        <v>26886</v>
      </c>
      <c r="F10979" t="s">
        <v>30052</v>
      </c>
      <c r="G10979" t="s">
        <v>30058</v>
      </c>
      <c r="H10979" t="s">
        <v>30067</v>
      </c>
      <c r="I10979" t="s">
        <v>3693</v>
      </c>
      <c r="J10979" t="s">
        <v>36910</v>
      </c>
      <c r="K10979" t="s">
        <v>39253</v>
      </c>
      <c r="M10979" t="s">
        <v>42408</v>
      </c>
      <c r="N10979" t="s">
        <v>43166</v>
      </c>
      <c r="O10979" t="s">
        <v>43167</v>
      </c>
      <c r="P10979">
        <v>0</v>
      </c>
      <c r="Q10979">
        <v>0</v>
      </c>
      <c r="R10979" t="s">
        <v>43180</v>
      </c>
      <c r="S10979" t="s">
        <v>43646</v>
      </c>
      <c r="T10979" t="s">
        <v>44753</v>
      </c>
      <c r="U10979" t="s">
        <v>53964</v>
      </c>
      <c r="W10979" t="s">
        <v>42408</v>
      </c>
      <c r="X10979" t="s">
        <v>43181</v>
      </c>
    </row>
    <row r="10980" spans="1:24">
      <c r="A10980">
        <f>HYPERLINK("https://www.philgeps.gov.ph/GEPSNONPILOT/Tender/SplashBidNoticeAbstractUI.aspx?menuIndex=3&amp;refID=7062608&amp;Result=3","7062608")</f>
        <v>0</v>
      </c>
      <c r="B10980" t="s">
        <v>1018</v>
      </c>
      <c r="C10980" t="s">
        <v>5902</v>
      </c>
      <c r="E10980" t="s">
        <v>26887</v>
      </c>
      <c r="F10980" t="s">
        <v>30052</v>
      </c>
      <c r="G10980" t="s">
        <v>30058</v>
      </c>
      <c r="H10980" t="s">
        <v>15498</v>
      </c>
      <c r="I10980" t="s">
        <v>30073</v>
      </c>
      <c r="J10980" t="s">
        <v>36911</v>
      </c>
      <c r="K10980" t="s">
        <v>39025</v>
      </c>
      <c r="M10980" t="s">
        <v>40347</v>
      </c>
      <c r="N10980" t="s">
        <v>43166</v>
      </c>
      <c r="O10980" t="s">
        <v>43167</v>
      </c>
      <c r="P10980">
        <v>0</v>
      </c>
      <c r="Q10980">
        <v>0</v>
      </c>
      <c r="R10980" t="s">
        <v>43180</v>
      </c>
      <c r="S10980" t="s">
        <v>43646</v>
      </c>
      <c r="T10980" t="s">
        <v>44847</v>
      </c>
      <c r="U10980" t="s">
        <v>53965</v>
      </c>
      <c r="W10980" t="s">
        <v>40347</v>
      </c>
      <c r="X10980" t="s">
        <v>43181</v>
      </c>
    </row>
    <row r="10981" spans="1:24">
      <c r="A10981">
        <f>HYPERLINK("https://www.philgeps.gov.ph/GEPSNONPILOT/Tender/SplashBidNoticeAbstractUI.aspx?menuIndex=3&amp;refID=7062779&amp;Result=3","7062779")</f>
        <v>0</v>
      </c>
      <c r="B10981" t="s">
        <v>1561</v>
      </c>
      <c r="C10981" t="s">
        <v>13888</v>
      </c>
      <c r="D10981" t="s">
        <v>17445</v>
      </c>
      <c r="E10981" t="s">
        <v>26888</v>
      </c>
      <c r="F10981" t="s">
        <v>30052</v>
      </c>
      <c r="G10981" t="s">
        <v>30058</v>
      </c>
      <c r="H10981" t="s">
        <v>15498</v>
      </c>
      <c r="I10981" t="s">
        <v>30073</v>
      </c>
      <c r="J10981" t="s">
        <v>36912</v>
      </c>
      <c r="K10981" t="s">
        <v>39065</v>
      </c>
      <c r="M10981" t="s">
        <v>40950</v>
      </c>
      <c r="N10981" t="s">
        <v>43166</v>
      </c>
      <c r="O10981" t="s">
        <v>43167</v>
      </c>
      <c r="P10981">
        <v>0</v>
      </c>
      <c r="Q10981">
        <v>0</v>
      </c>
      <c r="R10981" t="s">
        <v>43180</v>
      </c>
      <c r="S10981" t="s">
        <v>43646</v>
      </c>
      <c r="T10981" t="s">
        <v>44758</v>
      </c>
      <c r="U10981" t="s">
        <v>53966</v>
      </c>
      <c r="W10981" t="s">
        <v>40950</v>
      </c>
      <c r="X10981" t="s">
        <v>43181</v>
      </c>
    </row>
    <row r="10982" spans="1:24">
      <c r="A10982">
        <f>HYPERLINK("https://www.philgeps.gov.ph/GEPSNONPILOT/Tender/SplashBidNoticeAbstractUI.aspx?menuIndex=3&amp;refID=7062662&amp;Result=3","7062662")</f>
        <v>0</v>
      </c>
      <c r="B10982" t="s">
        <v>1248</v>
      </c>
      <c r="C10982" t="s">
        <v>13889</v>
      </c>
      <c r="D10982" t="s">
        <v>17469</v>
      </c>
      <c r="E10982" t="s">
        <v>26889</v>
      </c>
      <c r="F10982" t="s">
        <v>30052</v>
      </c>
      <c r="G10982" t="s">
        <v>30058</v>
      </c>
      <c r="H10982" t="s">
        <v>30067</v>
      </c>
      <c r="I10982" t="s">
        <v>3693</v>
      </c>
      <c r="J10982" t="s">
        <v>36878</v>
      </c>
      <c r="K10982" t="s">
        <v>39089</v>
      </c>
      <c r="M10982" t="s">
        <v>40604</v>
      </c>
      <c r="N10982" t="s">
        <v>43166</v>
      </c>
      <c r="O10982" t="s">
        <v>43167</v>
      </c>
      <c r="P10982">
        <v>0</v>
      </c>
      <c r="Q10982">
        <v>5</v>
      </c>
      <c r="R10982" t="s">
        <v>43180</v>
      </c>
      <c r="S10982" t="s">
        <v>43646</v>
      </c>
      <c r="T10982" t="s">
        <v>44681</v>
      </c>
      <c r="U10982" t="s">
        <v>53967</v>
      </c>
      <c r="W10982" t="s">
        <v>40604</v>
      </c>
      <c r="X10982" t="s">
        <v>43181</v>
      </c>
    </row>
    <row r="10983" spans="1:24">
      <c r="A10983">
        <f>HYPERLINK("https://www.philgeps.gov.ph/GEPSNONPILOT/Tender/SplashBidNoticeAbstractUI.aspx?menuIndex=3&amp;refID=7062778&amp;Result=3","7062778")</f>
        <v>0</v>
      </c>
      <c r="B10983" t="s">
        <v>1300</v>
      </c>
      <c r="C10983" t="s">
        <v>13890</v>
      </c>
      <c r="D10983" t="s">
        <v>17434</v>
      </c>
      <c r="E10983" t="s">
        <v>26890</v>
      </c>
      <c r="F10983" t="s">
        <v>30052</v>
      </c>
      <c r="G10983" t="s">
        <v>30058</v>
      </c>
      <c r="H10983" t="s">
        <v>30069</v>
      </c>
      <c r="I10983" t="s">
        <v>30185</v>
      </c>
      <c r="J10983" t="s">
        <v>36913</v>
      </c>
      <c r="K10983" t="s">
        <v>39029</v>
      </c>
      <c r="M10983" t="s">
        <v>40666</v>
      </c>
      <c r="N10983" t="s">
        <v>43166</v>
      </c>
      <c r="O10983" t="s">
        <v>43167</v>
      </c>
      <c r="P10983">
        <v>0</v>
      </c>
      <c r="Q10983">
        <v>14</v>
      </c>
      <c r="R10983" t="s">
        <v>43180</v>
      </c>
      <c r="S10983" t="s">
        <v>43646</v>
      </c>
      <c r="T10983" t="s">
        <v>44780</v>
      </c>
      <c r="U10983" t="s">
        <v>48064</v>
      </c>
      <c r="V10983" t="s">
        <v>57244</v>
      </c>
      <c r="W10983" t="s">
        <v>40666</v>
      </c>
      <c r="X10983" t="s">
        <v>43181</v>
      </c>
    </row>
    <row r="10984" spans="1:24">
      <c r="A10984">
        <f>HYPERLINK("https://www.philgeps.gov.ph/GEPSNONPILOT/Tender/SplashBidNoticeAbstractUI.aspx?menuIndex=3&amp;refID=7062841&amp;Result=3","7062841")</f>
        <v>0</v>
      </c>
      <c r="B10984" t="s">
        <v>3053</v>
      </c>
      <c r="C10984" t="s">
        <v>13891</v>
      </c>
      <c r="D10984" t="s">
        <v>17415</v>
      </c>
      <c r="E10984" t="s">
        <v>26891</v>
      </c>
      <c r="F10984" t="s">
        <v>30052</v>
      </c>
      <c r="G10984" t="s">
        <v>30058</v>
      </c>
      <c r="H10984" t="s">
        <v>15498</v>
      </c>
      <c r="I10984" t="s">
        <v>4119</v>
      </c>
      <c r="J10984" t="s">
        <v>30588</v>
      </c>
      <c r="K10984" t="s">
        <v>39046</v>
      </c>
      <c r="M10984" t="s">
        <v>42632</v>
      </c>
      <c r="N10984" t="s">
        <v>43166</v>
      </c>
      <c r="O10984" t="s">
        <v>43167</v>
      </c>
      <c r="P10984">
        <v>0</v>
      </c>
      <c r="Q10984">
        <v>0</v>
      </c>
      <c r="R10984" t="s">
        <v>43180</v>
      </c>
      <c r="S10984" t="s">
        <v>43646</v>
      </c>
      <c r="T10984" t="s">
        <v>44753</v>
      </c>
      <c r="U10984" t="s">
        <v>53968</v>
      </c>
      <c r="W10984" t="s">
        <v>42632</v>
      </c>
      <c r="X10984" t="s">
        <v>43181</v>
      </c>
    </row>
    <row r="10985" spans="1:24">
      <c r="A10985">
        <f>HYPERLINK("https://www.philgeps.gov.ph/GEPSNONPILOT/Tender/SplashBidNoticeAbstractUI.aspx?menuIndex=3&amp;refID=7062827&amp;Result=3","7062827")</f>
        <v>0</v>
      </c>
      <c r="B10985" t="s">
        <v>3054</v>
      </c>
      <c r="C10985" t="s">
        <v>13892</v>
      </c>
      <c r="D10985" t="s">
        <v>17458</v>
      </c>
      <c r="E10985" t="s">
        <v>17585</v>
      </c>
      <c r="F10985" t="s">
        <v>30054</v>
      </c>
      <c r="G10985" t="s">
        <v>30058</v>
      </c>
      <c r="H10985" t="s">
        <v>15498</v>
      </c>
      <c r="I10985" t="s">
        <v>30074</v>
      </c>
      <c r="J10985" t="s">
        <v>30813</v>
      </c>
      <c r="K10985" t="s">
        <v>39034</v>
      </c>
      <c r="M10985" t="s">
        <v>42633</v>
      </c>
      <c r="N10985" t="s">
        <v>43166</v>
      </c>
      <c r="O10985" t="s">
        <v>43167</v>
      </c>
      <c r="P10985">
        <v>0</v>
      </c>
      <c r="Q10985">
        <v>6</v>
      </c>
      <c r="R10985" t="s">
        <v>43180</v>
      </c>
      <c r="S10985" t="s">
        <v>43646</v>
      </c>
      <c r="T10985" t="s">
        <v>44728</v>
      </c>
      <c r="U10985" t="s">
        <v>53969</v>
      </c>
      <c r="V10985" t="s">
        <v>58069</v>
      </c>
      <c r="W10985" t="s">
        <v>42633</v>
      </c>
      <c r="X10985" t="s">
        <v>43181</v>
      </c>
    </row>
    <row r="10986" spans="1:24">
      <c r="A10986">
        <f>HYPERLINK("https://www.philgeps.gov.ph/GEPSNONPILOT/Tender/SplashBidNoticeAbstractUI.aspx?menuIndex=3&amp;refID=7062774&amp;Result=3","7062774")</f>
        <v>0</v>
      </c>
      <c r="B10986" t="s">
        <v>602</v>
      </c>
      <c r="C10986" t="s">
        <v>13893</v>
      </c>
      <c r="D10986" t="s">
        <v>17448</v>
      </c>
      <c r="E10986" t="s">
        <v>26892</v>
      </c>
      <c r="F10986" t="s">
        <v>30052</v>
      </c>
      <c r="G10986" t="s">
        <v>30058</v>
      </c>
      <c r="H10986" t="s">
        <v>30067</v>
      </c>
      <c r="I10986" t="s">
        <v>3693</v>
      </c>
      <c r="J10986" t="s">
        <v>36914</v>
      </c>
      <c r="K10986" t="s">
        <v>39031</v>
      </c>
      <c r="L10986" t="s">
        <v>602</v>
      </c>
      <c r="M10986" t="s">
        <v>42544</v>
      </c>
      <c r="N10986" t="s">
        <v>43166</v>
      </c>
      <c r="O10986" t="s">
        <v>43167</v>
      </c>
      <c r="P10986">
        <v>0</v>
      </c>
      <c r="Q10986">
        <v>0</v>
      </c>
      <c r="R10986" t="s">
        <v>43180</v>
      </c>
      <c r="S10986" t="s">
        <v>43646</v>
      </c>
      <c r="T10986" t="s">
        <v>44741</v>
      </c>
      <c r="U10986" t="s">
        <v>53958</v>
      </c>
      <c r="W10986" t="s">
        <v>42544</v>
      </c>
      <c r="X10986" t="s">
        <v>43181</v>
      </c>
    </row>
    <row r="10987" spans="1:24">
      <c r="A10987">
        <f>HYPERLINK("https://www.philgeps.gov.ph/GEPSNONPILOT/Tender/SplashBidNoticeAbstractUI.aspx?menuIndex=3&amp;refID=7062801&amp;Result=3","7062801")</f>
        <v>0</v>
      </c>
      <c r="B10987" t="s">
        <v>602</v>
      </c>
      <c r="C10987" t="s">
        <v>13894</v>
      </c>
      <c r="D10987" t="s">
        <v>17448</v>
      </c>
      <c r="E10987" t="s">
        <v>26893</v>
      </c>
      <c r="F10987" t="s">
        <v>30052</v>
      </c>
      <c r="G10987" t="s">
        <v>30058</v>
      </c>
      <c r="H10987" t="s">
        <v>30067</v>
      </c>
      <c r="I10987" t="s">
        <v>3693</v>
      </c>
      <c r="J10987" t="s">
        <v>30823</v>
      </c>
      <c r="K10987" t="s">
        <v>39254</v>
      </c>
      <c r="L10987" t="s">
        <v>602</v>
      </c>
      <c r="M10987" t="s">
        <v>42544</v>
      </c>
      <c r="N10987" t="s">
        <v>43166</v>
      </c>
      <c r="O10987" t="s">
        <v>43167</v>
      </c>
      <c r="P10987">
        <v>0</v>
      </c>
      <c r="Q10987">
        <v>6</v>
      </c>
      <c r="R10987" t="s">
        <v>43180</v>
      </c>
      <c r="S10987" t="s">
        <v>43646</v>
      </c>
      <c r="T10987" t="s">
        <v>44741</v>
      </c>
      <c r="U10987" t="s">
        <v>53958</v>
      </c>
      <c r="W10987" t="s">
        <v>42544</v>
      </c>
      <c r="X10987" t="s">
        <v>43181</v>
      </c>
    </row>
    <row r="10988" spans="1:24">
      <c r="A10988">
        <f>HYPERLINK("https://www.philgeps.gov.ph/GEPSNONPILOT/Tender/SplashBidNoticeAbstractUI.aspx?menuIndex=3&amp;refID=7062769&amp;Result=3","7062769")</f>
        <v>0</v>
      </c>
      <c r="B10988" t="s">
        <v>3055</v>
      </c>
      <c r="C10988" t="s">
        <v>13895</v>
      </c>
      <c r="D10988" t="s">
        <v>17449</v>
      </c>
      <c r="E10988" t="s">
        <v>26894</v>
      </c>
      <c r="F10988" t="s">
        <v>30052</v>
      </c>
      <c r="G10988" t="s">
        <v>30058</v>
      </c>
      <c r="H10988" t="s">
        <v>30067</v>
      </c>
      <c r="I10988" t="s">
        <v>3693</v>
      </c>
      <c r="J10988" t="s">
        <v>30405</v>
      </c>
      <c r="K10988" t="s">
        <v>39037</v>
      </c>
      <c r="M10988" t="s">
        <v>42634</v>
      </c>
      <c r="N10988" t="s">
        <v>43166</v>
      </c>
      <c r="O10988" t="s">
        <v>43167</v>
      </c>
      <c r="P10988">
        <v>0</v>
      </c>
      <c r="Q10988">
        <v>0</v>
      </c>
      <c r="R10988" t="s">
        <v>43180</v>
      </c>
      <c r="S10988" t="s">
        <v>43646</v>
      </c>
      <c r="T10988" t="s">
        <v>44704</v>
      </c>
      <c r="U10988" t="s">
        <v>53970</v>
      </c>
      <c r="W10988" t="s">
        <v>42634</v>
      </c>
      <c r="X10988" t="s">
        <v>43181</v>
      </c>
    </row>
    <row r="10989" spans="1:24">
      <c r="A10989">
        <f>HYPERLINK("https://www.philgeps.gov.ph/GEPSNONPILOT/Tender/SplashBidNoticeAbstractUI.aspx?menuIndex=3&amp;refID=7062767&amp;Result=3","7062767")</f>
        <v>0</v>
      </c>
      <c r="B10989" t="s">
        <v>1600</v>
      </c>
      <c r="C10989" t="s">
        <v>13896</v>
      </c>
      <c r="D10989" t="s">
        <v>17441</v>
      </c>
      <c r="E10989" t="s">
        <v>26895</v>
      </c>
      <c r="F10989" t="s">
        <v>30052</v>
      </c>
      <c r="G10989" t="s">
        <v>30058</v>
      </c>
      <c r="H10989" t="s">
        <v>30067</v>
      </c>
      <c r="I10989" t="s">
        <v>3693</v>
      </c>
      <c r="J10989" t="s">
        <v>36915</v>
      </c>
      <c r="K10989" t="s">
        <v>39029</v>
      </c>
      <c r="M10989" t="s">
        <v>40998</v>
      </c>
      <c r="N10989" t="s">
        <v>43166</v>
      </c>
      <c r="O10989" t="s">
        <v>43167</v>
      </c>
      <c r="P10989">
        <v>0</v>
      </c>
      <c r="Q10989">
        <v>4</v>
      </c>
      <c r="R10989" t="s">
        <v>43180</v>
      </c>
      <c r="S10989" t="s">
        <v>43646</v>
      </c>
      <c r="T10989" t="s">
        <v>44710</v>
      </c>
      <c r="U10989" t="s">
        <v>53971</v>
      </c>
      <c r="V10989" t="s">
        <v>57320</v>
      </c>
      <c r="W10989" t="s">
        <v>40998</v>
      </c>
      <c r="X10989" t="s">
        <v>43181</v>
      </c>
    </row>
    <row r="10990" spans="1:24">
      <c r="A10990">
        <f>HYPERLINK("https://www.philgeps.gov.ph/GEPSNONPILOT/Tender/SplashBidNoticeAbstractUI.aspx?menuIndex=3&amp;refID=7062784&amp;Result=3","7062784")</f>
        <v>0</v>
      </c>
      <c r="B10990" t="s">
        <v>174</v>
      </c>
      <c r="C10990" t="s">
        <v>13897</v>
      </c>
      <c r="D10990" t="s">
        <v>17419</v>
      </c>
      <c r="E10990" t="s">
        <v>26896</v>
      </c>
      <c r="F10990" t="s">
        <v>30052</v>
      </c>
      <c r="G10990" t="s">
        <v>30058</v>
      </c>
      <c r="H10990" t="s">
        <v>30067</v>
      </c>
      <c r="I10990" t="s">
        <v>3693</v>
      </c>
      <c r="J10990" t="s">
        <v>30281</v>
      </c>
      <c r="K10990" t="s">
        <v>39026</v>
      </c>
      <c r="M10990" t="s">
        <v>39463</v>
      </c>
      <c r="N10990" t="s">
        <v>43166</v>
      </c>
      <c r="O10990" t="s">
        <v>43167</v>
      </c>
      <c r="P10990">
        <v>0</v>
      </c>
      <c r="Q10990">
        <v>1</v>
      </c>
      <c r="R10990" t="s">
        <v>43180</v>
      </c>
      <c r="S10990" t="s">
        <v>43646</v>
      </c>
      <c r="T10990" t="s">
        <v>44704</v>
      </c>
      <c r="U10990" t="s">
        <v>53972</v>
      </c>
      <c r="W10990" t="s">
        <v>39463</v>
      </c>
      <c r="X10990" t="s">
        <v>43181</v>
      </c>
    </row>
    <row r="10991" spans="1:24">
      <c r="A10991">
        <f>HYPERLINK("https://www.philgeps.gov.ph/GEPSNONPILOT/Tender/SplashBidNoticeAbstractUI.aspx?menuIndex=3&amp;refID=7062989&amp;Result=3","7062989")</f>
        <v>0</v>
      </c>
      <c r="B10991" t="s">
        <v>1740</v>
      </c>
      <c r="C10991" t="s">
        <v>13898</v>
      </c>
      <c r="D10991" t="s">
        <v>17456</v>
      </c>
      <c r="E10991" t="s">
        <v>26897</v>
      </c>
      <c r="F10991" t="s">
        <v>30052</v>
      </c>
      <c r="G10991" t="s">
        <v>30058</v>
      </c>
      <c r="H10991" t="s">
        <v>30067</v>
      </c>
      <c r="I10991" t="s">
        <v>3693</v>
      </c>
      <c r="J10991" t="s">
        <v>36916</v>
      </c>
      <c r="K10991" t="s">
        <v>39122</v>
      </c>
      <c r="M10991" t="s">
        <v>41157</v>
      </c>
      <c r="N10991" t="s">
        <v>43166</v>
      </c>
      <c r="O10991" t="s">
        <v>43167</v>
      </c>
      <c r="Q10991">
        <v>4</v>
      </c>
      <c r="R10991" t="s">
        <v>43180</v>
      </c>
      <c r="S10991" t="s">
        <v>43674</v>
      </c>
      <c r="T10991" t="s">
        <v>44718</v>
      </c>
      <c r="U10991" t="s">
        <v>53973</v>
      </c>
      <c r="W10991" t="s">
        <v>41157</v>
      </c>
      <c r="X10991" t="s">
        <v>43181</v>
      </c>
    </row>
    <row r="10992" spans="1:24">
      <c r="A10992">
        <f>HYPERLINK("https://www.philgeps.gov.ph/GEPSNONPILOT/Tender/SplashBidNoticeAbstractUI.aspx?menuIndex=3&amp;refID=7062538&amp;Result=3","7062538")</f>
        <v>0</v>
      </c>
      <c r="B10992" t="s">
        <v>3056</v>
      </c>
      <c r="C10992" t="s">
        <v>13899</v>
      </c>
      <c r="D10992" t="s">
        <v>17431</v>
      </c>
      <c r="E10992" t="s">
        <v>20553</v>
      </c>
      <c r="F10992" t="s">
        <v>30052</v>
      </c>
      <c r="G10992" t="s">
        <v>30058</v>
      </c>
      <c r="H10992" t="s">
        <v>30067</v>
      </c>
      <c r="I10992" t="s">
        <v>3693</v>
      </c>
      <c r="J10992" t="s">
        <v>36917</v>
      </c>
      <c r="K10992" t="s">
        <v>39025</v>
      </c>
      <c r="M10992" t="s">
        <v>42635</v>
      </c>
      <c r="N10992" t="s">
        <v>43166</v>
      </c>
      <c r="O10992" t="s">
        <v>43167</v>
      </c>
      <c r="P10992">
        <v>0</v>
      </c>
      <c r="Q10992">
        <v>0</v>
      </c>
      <c r="R10992" t="s">
        <v>43180</v>
      </c>
      <c r="S10992" t="s">
        <v>43646</v>
      </c>
      <c r="T10992" t="s">
        <v>44723</v>
      </c>
      <c r="U10992" t="s">
        <v>53974</v>
      </c>
      <c r="W10992" t="s">
        <v>42635</v>
      </c>
      <c r="X10992" t="s">
        <v>43181</v>
      </c>
    </row>
    <row r="10993" spans="1:24">
      <c r="A10993">
        <f>HYPERLINK("https://www.philgeps.gov.ph/GEPSNONPILOT/Tender/SplashBidNoticeAbstractUI.aspx?menuIndex=3&amp;refID=7062985&amp;Result=3","7062985")</f>
        <v>0</v>
      </c>
      <c r="B10993" t="s">
        <v>602</v>
      </c>
      <c r="C10993" t="s">
        <v>13900</v>
      </c>
      <c r="D10993" t="s">
        <v>17448</v>
      </c>
      <c r="E10993" t="s">
        <v>26898</v>
      </c>
      <c r="F10993" t="s">
        <v>30052</v>
      </c>
      <c r="G10993" t="s">
        <v>30058</v>
      </c>
      <c r="H10993" t="s">
        <v>15498</v>
      </c>
      <c r="I10993" t="s">
        <v>3693</v>
      </c>
      <c r="J10993" t="s">
        <v>30645</v>
      </c>
      <c r="K10993" t="s">
        <v>39031</v>
      </c>
      <c r="L10993" t="s">
        <v>602</v>
      </c>
      <c r="M10993" t="s">
        <v>42544</v>
      </c>
      <c r="N10993" t="s">
        <v>43166</v>
      </c>
      <c r="O10993" t="s">
        <v>43167</v>
      </c>
      <c r="P10993">
        <v>0</v>
      </c>
      <c r="Q10993">
        <v>0</v>
      </c>
      <c r="R10993" t="s">
        <v>43180</v>
      </c>
      <c r="S10993" t="s">
        <v>43646</v>
      </c>
      <c r="T10993" t="s">
        <v>44741</v>
      </c>
      <c r="U10993" t="s">
        <v>53958</v>
      </c>
      <c r="W10993" t="s">
        <v>42544</v>
      </c>
      <c r="X10993" t="s">
        <v>43181</v>
      </c>
    </row>
    <row r="10994" spans="1:24">
      <c r="A10994">
        <f>HYPERLINK("https://www.philgeps.gov.ph/GEPSNONPILOT/Tender/SplashBidNoticeAbstractUI.aspx?menuIndex=3&amp;refID=7062973&amp;Result=3","7062973")</f>
        <v>0</v>
      </c>
      <c r="B10994" t="s">
        <v>602</v>
      </c>
      <c r="C10994" t="s">
        <v>13901</v>
      </c>
      <c r="D10994" t="s">
        <v>17448</v>
      </c>
      <c r="E10994" t="s">
        <v>26899</v>
      </c>
      <c r="F10994" t="s">
        <v>30052</v>
      </c>
      <c r="G10994" t="s">
        <v>30058</v>
      </c>
      <c r="H10994" t="s">
        <v>30067</v>
      </c>
      <c r="I10994" t="s">
        <v>3693</v>
      </c>
      <c r="J10994" t="s">
        <v>30645</v>
      </c>
      <c r="K10994" t="s">
        <v>39187</v>
      </c>
      <c r="L10994" t="s">
        <v>602</v>
      </c>
      <c r="M10994" t="s">
        <v>42544</v>
      </c>
      <c r="N10994" t="s">
        <v>43166</v>
      </c>
      <c r="O10994" t="s">
        <v>43167</v>
      </c>
      <c r="P10994">
        <v>0</v>
      </c>
      <c r="Q10994">
        <v>1</v>
      </c>
      <c r="R10994" t="s">
        <v>43180</v>
      </c>
      <c r="S10994" t="s">
        <v>43646</v>
      </c>
      <c r="T10994" t="s">
        <v>44741</v>
      </c>
      <c r="U10994" t="s">
        <v>53958</v>
      </c>
      <c r="W10994" t="s">
        <v>42544</v>
      </c>
      <c r="X10994" t="s">
        <v>43181</v>
      </c>
    </row>
    <row r="10995" spans="1:24">
      <c r="A10995">
        <f>HYPERLINK("https://www.philgeps.gov.ph/GEPSNONPILOT/Tender/SplashBidNoticeAbstractUI.aspx?menuIndex=3&amp;refID=7062986&amp;Result=3","7062986")</f>
        <v>0</v>
      </c>
      <c r="B10995" t="s">
        <v>120</v>
      </c>
      <c r="C10995" t="s">
        <v>13902</v>
      </c>
      <c r="D10995" t="s">
        <v>17427</v>
      </c>
      <c r="E10995" t="s">
        <v>26900</v>
      </c>
      <c r="F10995" t="s">
        <v>30052</v>
      </c>
      <c r="G10995" t="s">
        <v>30058</v>
      </c>
      <c r="H10995" t="s">
        <v>15498</v>
      </c>
      <c r="I10995" t="s">
        <v>30091</v>
      </c>
      <c r="J10995" t="s">
        <v>36918</v>
      </c>
      <c r="K10995" t="s">
        <v>39025</v>
      </c>
      <c r="M10995" t="s">
        <v>39409</v>
      </c>
      <c r="N10995" t="s">
        <v>43166</v>
      </c>
      <c r="O10995" t="s">
        <v>43167</v>
      </c>
      <c r="P10995">
        <v>0</v>
      </c>
      <c r="Q10995">
        <v>1</v>
      </c>
      <c r="R10995" t="s">
        <v>43180</v>
      </c>
      <c r="S10995" t="s">
        <v>43646</v>
      </c>
      <c r="T10995" t="s">
        <v>44780</v>
      </c>
      <c r="U10995" t="s">
        <v>53975</v>
      </c>
      <c r="W10995" t="s">
        <v>39409</v>
      </c>
      <c r="X10995" t="s">
        <v>43181</v>
      </c>
    </row>
    <row r="10996" spans="1:24">
      <c r="A10996">
        <f>HYPERLINK("https://www.philgeps.gov.ph/GEPSNONPILOT/Tender/SplashBidNoticeAbstractUI.aspx?menuIndex=3&amp;refID=7062776&amp;Result=3","7062776")</f>
        <v>0</v>
      </c>
      <c r="B10996" t="s">
        <v>3057</v>
      </c>
      <c r="C10996" t="s">
        <v>13903</v>
      </c>
      <c r="D10996" t="s">
        <v>17415</v>
      </c>
      <c r="E10996" t="s">
        <v>26901</v>
      </c>
      <c r="F10996" t="s">
        <v>30052</v>
      </c>
      <c r="G10996" t="s">
        <v>30058</v>
      </c>
      <c r="H10996" t="s">
        <v>30069</v>
      </c>
      <c r="I10996" t="s">
        <v>30140</v>
      </c>
      <c r="J10996" t="s">
        <v>31060</v>
      </c>
      <c r="K10996" t="s">
        <v>39029</v>
      </c>
      <c r="M10996" t="s">
        <v>42636</v>
      </c>
      <c r="N10996" t="s">
        <v>43166</v>
      </c>
      <c r="O10996" t="s">
        <v>43167</v>
      </c>
      <c r="P10996">
        <v>0</v>
      </c>
      <c r="Q10996">
        <v>6</v>
      </c>
      <c r="R10996" t="s">
        <v>43180</v>
      </c>
      <c r="S10996" t="s">
        <v>43646</v>
      </c>
      <c r="T10996" t="s">
        <v>44970</v>
      </c>
      <c r="U10996" t="s">
        <v>53976</v>
      </c>
      <c r="V10996" t="s">
        <v>58070</v>
      </c>
      <c r="W10996" t="s">
        <v>42636</v>
      </c>
      <c r="X10996" t="s">
        <v>43181</v>
      </c>
    </row>
    <row r="10997" spans="1:24">
      <c r="A10997">
        <f>HYPERLINK("https://www.philgeps.gov.ph/GEPSNONPILOT/Tender/SplashBidNoticeAbstractUI.aspx?menuIndex=3&amp;refID=7062967&amp;Result=3","7062967")</f>
        <v>0</v>
      </c>
      <c r="B10997" t="s">
        <v>1942</v>
      </c>
      <c r="C10997" t="s">
        <v>13904</v>
      </c>
      <c r="D10997" t="s">
        <v>17430</v>
      </c>
      <c r="E10997" t="s">
        <v>26902</v>
      </c>
      <c r="F10997" t="s">
        <v>30052</v>
      </c>
      <c r="G10997" t="s">
        <v>30058</v>
      </c>
      <c r="H10997" t="s">
        <v>30067</v>
      </c>
      <c r="I10997" t="s">
        <v>3693</v>
      </c>
      <c r="J10997" t="s">
        <v>36919</v>
      </c>
      <c r="K10997" t="s">
        <v>39023</v>
      </c>
      <c r="M10997" t="s">
        <v>41377</v>
      </c>
      <c r="N10997" t="s">
        <v>43166</v>
      </c>
      <c r="O10997" t="s">
        <v>43167</v>
      </c>
      <c r="P10997">
        <v>0</v>
      </c>
      <c r="Q10997">
        <v>1</v>
      </c>
      <c r="R10997" t="s">
        <v>43180</v>
      </c>
      <c r="S10997" t="s">
        <v>43646</v>
      </c>
      <c r="T10997" t="s">
        <v>44806</v>
      </c>
      <c r="U10997" t="s">
        <v>53977</v>
      </c>
      <c r="V10997" t="s">
        <v>57448</v>
      </c>
      <c r="W10997" t="s">
        <v>41377</v>
      </c>
      <c r="X10997" t="s">
        <v>43181</v>
      </c>
    </row>
    <row r="10998" spans="1:24">
      <c r="A10998">
        <f>HYPERLINK("https://www.philgeps.gov.ph/GEPSNONPILOT/Tender/SplashBidNoticeAbstractUI.aspx?menuIndex=3&amp;refID=7062941&amp;Result=3","7062941")</f>
        <v>0</v>
      </c>
      <c r="B10998" t="s">
        <v>1974</v>
      </c>
      <c r="C10998" t="s">
        <v>13905</v>
      </c>
      <c r="D10998" t="s">
        <v>17435</v>
      </c>
      <c r="E10998" t="s">
        <v>26903</v>
      </c>
      <c r="F10998" t="s">
        <v>30052</v>
      </c>
      <c r="G10998" t="s">
        <v>30058</v>
      </c>
      <c r="H10998" t="s">
        <v>30067</v>
      </c>
      <c r="I10998" t="s">
        <v>3693</v>
      </c>
      <c r="J10998" t="s">
        <v>36920</v>
      </c>
      <c r="K10998" t="s">
        <v>39023</v>
      </c>
      <c r="M10998" t="s">
        <v>41415</v>
      </c>
      <c r="N10998" t="s">
        <v>43166</v>
      </c>
      <c r="O10998" t="s">
        <v>43167</v>
      </c>
      <c r="P10998">
        <v>0</v>
      </c>
      <c r="Q10998">
        <v>0</v>
      </c>
      <c r="R10998" t="s">
        <v>43180</v>
      </c>
      <c r="S10998" t="s">
        <v>43646</v>
      </c>
      <c r="T10998" t="s">
        <v>44699</v>
      </c>
      <c r="U10998" t="s">
        <v>53978</v>
      </c>
      <c r="V10998" t="s">
        <v>56845</v>
      </c>
      <c r="W10998" t="s">
        <v>41415</v>
      </c>
      <c r="X10998" t="s">
        <v>43181</v>
      </c>
    </row>
    <row r="10999" spans="1:24">
      <c r="A10999">
        <f>HYPERLINK("https://www.philgeps.gov.ph/GEPSNONPILOT/Tender/SplashBidNoticeAbstractUI.aspx?menuIndex=3&amp;refID=7062922&amp;Result=3","7062922")</f>
        <v>0</v>
      </c>
      <c r="B10999" t="s">
        <v>602</v>
      </c>
      <c r="C10999" t="s">
        <v>13906</v>
      </c>
      <c r="D10999" t="s">
        <v>17448</v>
      </c>
      <c r="E10999" t="s">
        <v>26904</v>
      </c>
      <c r="F10999" t="s">
        <v>30052</v>
      </c>
      <c r="G10999" t="s">
        <v>30058</v>
      </c>
      <c r="H10999" t="s">
        <v>30067</v>
      </c>
      <c r="I10999" t="s">
        <v>3693</v>
      </c>
      <c r="J10999" t="s">
        <v>30645</v>
      </c>
      <c r="K10999" t="s">
        <v>39031</v>
      </c>
      <c r="L10999" t="s">
        <v>602</v>
      </c>
      <c r="M10999" t="s">
        <v>42544</v>
      </c>
      <c r="N10999" t="s">
        <v>43166</v>
      </c>
      <c r="O10999" t="s">
        <v>43167</v>
      </c>
      <c r="P10999">
        <v>0</v>
      </c>
      <c r="Q10999">
        <v>0</v>
      </c>
      <c r="R10999" t="s">
        <v>43180</v>
      </c>
      <c r="S10999" t="s">
        <v>43646</v>
      </c>
      <c r="T10999" t="s">
        <v>44741</v>
      </c>
      <c r="U10999" t="s">
        <v>53958</v>
      </c>
      <c r="W10999" t="s">
        <v>42544</v>
      </c>
      <c r="X10999" t="s">
        <v>43181</v>
      </c>
    </row>
    <row r="11000" spans="1:24">
      <c r="A11000">
        <f>HYPERLINK("https://www.philgeps.gov.ph/GEPSNONPILOT/Tender/SplashBidNoticeAbstractUI.aspx?menuIndex=3&amp;refID=7062954&amp;Result=3","7062954")</f>
        <v>0</v>
      </c>
      <c r="B11000" t="s">
        <v>1134</v>
      </c>
      <c r="C11000" t="s">
        <v>13907</v>
      </c>
      <c r="D11000" t="s">
        <v>17459</v>
      </c>
      <c r="E11000" t="s">
        <v>26905</v>
      </c>
      <c r="F11000" t="s">
        <v>30052</v>
      </c>
      <c r="G11000" t="s">
        <v>30058</v>
      </c>
      <c r="H11000" t="s">
        <v>30067</v>
      </c>
      <c r="I11000" t="s">
        <v>3693</v>
      </c>
      <c r="J11000" t="s">
        <v>36921</v>
      </c>
      <c r="K11000" t="s">
        <v>39031</v>
      </c>
      <c r="M11000" t="s">
        <v>40749</v>
      </c>
      <c r="N11000" t="s">
        <v>43166</v>
      </c>
      <c r="O11000" t="s">
        <v>43167</v>
      </c>
      <c r="P11000">
        <v>0</v>
      </c>
      <c r="Q11000">
        <v>0</v>
      </c>
      <c r="R11000" t="s">
        <v>43180</v>
      </c>
      <c r="S11000" t="s">
        <v>43646</v>
      </c>
      <c r="T11000" t="s">
        <v>44750</v>
      </c>
      <c r="U11000" t="s">
        <v>53979</v>
      </c>
      <c r="V11000" t="s">
        <v>58048</v>
      </c>
      <c r="W11000" t="s">
        <v>40749</v>
      </c>
      <c r="X11000" t="s">
        <v>43181</v>
      </c>
    </row>
    <row r="11001" spans="1:24">
      <c r="A11001">
        <f>HYPERLINK("https://www.philgeps.gov.ph/GEPSNONPILOT/Tender/SplashBidNoticeAbstractUI.aspx?menuIndex=3&amp;refID=7062900&amp;Result=3","7062900")</f>
        <v>0</v>
      </c>
      <c r="B11001" t="s">
        <v>120</v>
      </c>
      <c r="C11001" t="s">
        <v>13908</v>
      </c>
      <c r="D11001" t="s">
        <v>17427</v>
      </c>
      <c r="E11001" t="s">
        <v>26906</v>
      </c>
      <c r="F11001" t="s">
        <v>30052</v>
      </c>
      <c r="G11001" t="s">
        <v>30058</v>
      </c>
      <c r="H11001" t="s">
        <v>30067</v>
      </c>
      <c r="I11001" t="s">
        <v>3693</v>
      </c>
      <c r="J11001" t="s">
        <v>36922</v>
      </c>
      <c r="K11001" t="s">
        <v>39025</v>
      </c>
      <c r="M11001" t="s">
        <v>39409</v>
      </c>
      <c r="N11001" t="s">
        <v>43166</v>
      </c>
      <c r="O11001" t="s">
        <v>43167</v>
      </c>
      <c r="P11001">
        <v>0</v>
      </c>
      <c r="Q11001">
        <v>0</v>
      </c>
      <c r="R11001" t="s">
        <v>43180</v>
      </c>
      <c r="S11001" t="s">
        <v>43646</v>
      </c>
      <c r="T11001" t="s">
        <v>44780</v>
      </c>
      <c r="U11001" t="s">
        <v>53980</v>
      </c>
      <c r="W11001" t="s">
        <v>39409</v>
      </c>
      <c r="X11001" t="s">
        <v>43181</v>
      </c>
    </row>
    <row r="11002" spans="1:24">
      <c r="A11002">
        <f>HYPERLINK("https://www.philgeps.gov.ph/GEPSNONPILOT/Tender/SplashBidNoticeAbstractUI.aspx?menuIndex=3&amp;refID=7062891&amp;Result=3","7062891")</f>
        <v>0</v>
      </c>
      <c r="B11002" t="s">
        <v>602</v>
      </c>
      <c r="C11002" t="s">
        <v>13909</v>
      </c>
      <c r="D11002" t="s">
        <v>17448</v>
      </c>
      <c r="E11002" t="s">
        <v>26907</v>
      </c>
      <c r="F11002" t="s">
        <v>30052</v>
      </c>
      <c r="G11002" t="s">
        <v>30058</v>
      </c>
      <c r="H11002" t="s">
        <v>30067</v>
      </c>
      <c r="I11002" t="s">
        <v>3693</v>
      </c>
      <c r="J11002" t="s">
        <v>30645</v>
      </c>
      <c r="K11002" t="s">
        <v>39118</v>
      </c>
      <c r="L11002" t="s">
        <v>602</v>
      </c>
      <c r="M11002" t="s">
        <v>42544</v>
      </c>
      <c r="N11002" t="s">
        <v>43166</v>
      </c>
      <c r="O11002" t="s">
        <v>43167</v>
      </c>
      <c r="P11002">
        <v>0</v>
      </c>
      <c r="Q11002">
        <v>0</v>
      </c>
      <c r="R11002" t="s">
        <v>43180</v>
      </c>
      <c r="S11002" t="s">
        <v>43646</v>
      </c>
      <c r="T11002" t="s">
        <v>44741</v>
      </c>
      <c r="U11002" t="s">
        <v>53958</v>
      </c>
      <c r="W11002" t="s">
        <v>42544</v>
      </c>
      <c r="X11002" t="s">
        <v>43181</v>
      </c>
    </row>
    <row r="11003" spans="1:24">
      <c r="A11003">
        <f>HYPERLINK("https://www.philgeps.gov.ph/GEPSNONPILOT/Tender/SplashBidNoticeAbstractUI.aspx?menuIndex=3&amp;refID=7062861&amp;Result=3","7062861")</f>
        <v>0</v>
      </c>
      <c r="B11003" t="s">
        <v>1134</v>
      </c>
      <c r="C11003" t="s">
        <v>13910</v>
      </c>
      <c r="D11003" t="s">
        <v>17459</v>
      </c>
      <c r="E11003" t="s">
        <v>26908</v>
      </c>
      <c r="F11003" t="s">
        <v>30052</v>
      </c>
      <c r="G11003" t="s">
        <v>30058</v>
      </c>
      <c r="H11003" t="s">
        <v>30067</v>
      </c>
      <c r="I11003" t="s">
        <v>3693</v>
      </c>
      <c r="J11003" t="s">
        <v>36923</v>
      </c>
      <c r="K11003" t="s">
        <v>39029</v>
      </c>
      <c r="M11003" t="s">
        <v>40749</v>
      </c>
      <c r="N11003" t="s">
        <v>43166</v>
      </c>
      <c r="O11003" t="s">
        <v>43167</v>
      </c>
      <c r="P11003">
        <v>0</v>
      </c>
      <c r="Q11003">
        <v>0</v>
      </c>
      <c r="R11003" t="s">
        <v>43180</v>
      </c>
      <c r="S11003" t="s">
        <v>43646</v>
      </c>
      <c r="T11003" t="s">
        <v>44750</v>
      </c>
      <c r="U11003" t="s">
        <v>53979</v>
      </c>
      <c r="V11003" t="s">
        <v>58048</v>
      </c>
      <c r="W11003" t="s">
        <v>40749</v>
      </c>
      <c r="X11003" t="s">
        <v>43181</v>
      </c>
    </row>
    <row r="11004" spans="1:24">
      <c r="A11004">
        <f>HYPERLINK("https://www.philgeps.gov.ph/GEPSNONPILOT/Tender/SplashBidNoticeAbstractUI.aspx?menuIndex=3&amp;refID=7062858&amp;Result=3","7062858")</f>
        <v>0</v>
      </c>
      <c r="B11004" t="s">
        <v>1561</v>
      </c>
      <c r="C11004" t="s">
        <v>13911</v>
      </c>
      <c r="D11004" t="s">
        <v>17445</v>
      </c>
      <c r="E11004" t="s">
        <v>26909</v>
      </c>
      <c r="F11004" t="s">
        <v>30052</v>
      </c>
      <c r="G11004" t="s">
        <v>30058</v>
      </c>
      <c r="H11004" t="s">
        <v>30067</v>
      </c>
      <c r="I11004" t="s">
        <v>3693</v>
      </c>
      <c r="J11004" t="s">
        <v>36924</v>
      </c>
      <c r="K11004" t="s">
        <v>39031</v>
      </c>
      <c r="M11004" t="s">
        <v>40950</v>
      </c>
      <c r="N11004" t="s">
        <v>43166</v>
      </c>
      <c r="O11004" t="s">
        <v>43167</v>
      </c>
      <c r="P11004">
        <v>0</v>
      </c>
      <c r="Q11004">
        <v>1</v>
      </c>
      <c r="R11004" t="s">
        <v>43180</v>
      </c>
      <c r="S11004" t="s">
        <v>43646</v>
      </c>
      <c r="T11004" t="s">
        <v>44758</v>
      </c>
      <c r="U11004" t="s">
        <v>53981</v>
      </c>
      <c r="W11004" t="s">
        <v>40950</v>
      </c>
      <c r="X11004" t="s">
        <v>43181</v>
      </c>
    </row>
    <row r="11005" spans="1:24">
      <c r="A11005">
        <f>HYPERLINK("https://www.philgeps.gov.ph/GEPSNONPILOT/Tender/SplashBidNoticeAbstractUI.aspx?menuIndex=3&amp;refID=7062962&amp;Result=3","7062962")</f>
        <v>0</v>
      </c>
      <c r="B11005" t="s">
        <v>120</v>
      </c>
      <c r="C11005" t="s">
        <v>13912</v>
      </c>
      <c r="D11005" t="s">
        <v>17427</v>
      </c>
      <c r="E11005" t="s">
        <v>26910</v>
      </c>
      <c r="F11005" t="s">
        <v>30052</v>
      </c>
      <c r="G11005" t="s">
        <v>30058</v>
      </c>
      <c r="H11005" t="s">
        <v>30067</v>
      </c>
      <c r="I11005" t="s">
        <v>3693</v>
      </c>
      <c r="J11005" t="s">
        <v>36925</v>
      </c>
      <c r="K11005" t="s">
        <v>39025</v>
      </c>
      <c r="M11005" t="s">
        <v>39409</v>
      </c>
      <c r="N11005" t="s">
        <v>43166</v>
      </c>
      <c r="O11005" t="s">
        <v>43167</v>
      </c>
      <c r="P11005">
        <v>0</v>
      </c>
      <c r="Q11005">
        <v>0</v>
      </c>
      <c r="R11005" t="s">
        <v>43180</v>
      </c>
      <c r="S11005" t="s">
        <v>43646</v>
      </c>
      <c r="T11005" t="s">
        <v>44780</v>
      </c>
      <c r="U11005" t="s">
        <v>53982</v>
      </c>
      <c r="W11005" t="s">
        <v>39409</v>
      </c>
      <c r="X11005" t="s">
        <v>43181</v>
      </c>
    </row>
    <row r="11006" spans="1:24">
      <c r="A11006">
        <f>HYPERLINK("https://www.philgeps.gov.ph/GEPSNONPILOT/Tender/SplashBidNoticeAbstractUI.aspx?menuIndex=3&amp;refID=7062878&amp;Result=3","7062878")</f>
        <v>0</v>
      </c>
      <c r="B11006" t="s">
        <v>602</v>
      </c>
      <c r="C11006" t="s">
        <v>13913</v>
      </c>
      <c r="D11006" t="s">
        <v>17448</v>
      </c>
      <c r="E11006" t="s">
        <v>26911</v>
      </c>
      <c r="F11006" t="s">
        <v>30052</v>
      </c>
      <c r="G11006" t="s">
        <v>30058</v>
      </c>
      <c r="H11006" t="s">
        <v>30067</v>
      </c>
      <c r="I11006" t="s">
        <v>3693</v>
      </c>
      <c r="J11006" t="s">
        <v>36926</v>
      </c>
      <c r="K11006" t="s">
        <v>39031</v>
      </c>
      <c r="L11006" t="s">
        <v>602</v>
      </c>
      <c r="M11006" t="s">
        <v>42544</v>
      </c>
      <c r="N11006" t="s">
        <v>43166</v>
      </c>
      <c r="O11006" t="s">
        <v>43167</v>
      </c>
      <c r="P11006">
        <v>0</v>
      </c>
      <c r="Q11006">
        <v>0</v>
      </c>
      <c r="R11006" t="s">
        <v>43180</v>
      </c>
      <c r="S11006" t="s">
        <v>43646</v>
      </c>
      <c r="T11006" t="s">
        <v>44741</v>
      </c>
      <c r="U11006" t="s">
        <v>53958</v>
      </c>
      <c r="W11006" t="s">
        <v>42544</v>
      </c>
      <c r="X11006" t="s">
        <v>43181</v>
      </c>
    </row>
    <row r="11007" spans="1:24">
      <c r="A11007">
        <f>HYPERLINK("https://www.philgeps.gov.ph/GEPSNONPILOT/Tender/SplashBidNoticeAbstractUI.aspx?menuIndex=3&amp;refID=7062851&amp;Result=3","7062851")</f>
        <v>0</v>
      </c>
      <c r="B11007" t="s">
        <v>174</v>
      </c>
      <c r="C11007" t="s">
        <v>13914</v>
      </c>
      <c r="D11007" t="s">
        <v>17419</v>
      </c>
      <c r="E11007" t="s">
        <v>26912</v>
      </c>
      <c r="F11007" t="s">
        <v>30052</v>
      </c>
      <c r="G11007" t="s">
        <v>30058</v>
      </c>
      <c r="H11007" t="s">
        <v>30067</v>
      </c>
      <c r="I11007" t="s">
        <v>3693</v>
      </c>
      <c r="J11007" t="s">
        <v>36927</v>
      </c>
      <c r="K11007" t="s">
        <v>39016</v>
      </c>
      <c r="M11007" t="s">
        <v>39463</v>
      </c>
      <c r="N11007" t="s">
        <v>43166</v>
      </c>
      <c r="O11007" t="s">
        <v>43167</v>
      </c>
      <c r="P11007">
        <v>0</v>
      </c>
      <c r="Q11007">
        <v>1</v>
      </c>
      <c r="R11007" t="s">
        <v>43180</v>
      </c>
      <c r="S11007" t="s">
        <v>43646</v>
      </c>
      <c r="T11007" t="s">
        <v>44704</v>
      </c>
      <c r="U11007" t="s">
        <v>53983</v>
      </c>
      <c r="W11007" t="s">
        <v>39463</v>
      </c>
      <c r="X11007" t="s">
        <v>43181</v>
      </c>
    </row>
    <row r="11008" spans="1:24">
      <c r="A11008">
        <f>HYPERLINK("https://www.philgeps.gov.ph/GEPSNONPILOT/Tender/SplashBidNoticeAbstractUI.aspx?menuIndex=3&amp;refID=7063090&amp;Result=3","7063090")</f>
        <v>0</v>
      </c>
      <c r="B11008" t="s">
        <v>1134</v>
      </c>
      <c r="C11008" t="s">
        <v>13915</v>
      </c>
      <c r="D11008" t="s">
        <v>17459</v>
      </c>
      <c r="E11008" t="s">
        <v>26913</v>
      </c>
      <c r="F11008" t="s">
        <v>30052</v>
      </c>
      <c r="G11008" t="s">
        <v>30058</v>
      </c>
      <c r="H11008" t="s">
        <v>30067</v>
      </c>
      <c r="I11008" t="s">
        <v>3693</v>
      </c>
      <c r="J11008" t="s">
        <v>36928</v>
      </c>
      <c r="K11008" t="s">
        <v>39065</v>
      </c>
      <c r="M11008" t="s">
        <v>40749</v>
      </c>
      <c r="N11008" t="s">
        <v>43166</v>
      </c>
      <c r="O11008" t="s">
        <v>43167</v>
      </c>
      <c r="P11008">
        <v>0</v>
      </c>
      <c r="Q11008">
        <v>0</v>
      </c>
      <c r="R11008" t="s">
        <v>43180</v>
      </c>
      <c r="S11008" t="s">
        <v>43646</v>
      </c>
      <c r="T11008" t="s">
        <v>44750</v>
      </c>
      <c r="U11008" t="s">
        <v>53984</v>
      </c>
      <c r="V11008" t="s">
        <v>58048</v>
      </c>
      <c r="W11008" t="s">
        <v>40749</v>
      </c>
      <c r="X11008" t="s">
        <v>43181</v>
      </c>
    </row>
    <row r="11009" spans="1:24">
      <c r="A11009">
        <f>HYPERLINK("https://www.philgeps.gov.ph/GEPSNONPILOT/Tender/SplashBidNoticeAbstractUI.aspx?menuIndex=3&amp;refID=7063088&amp;Result=3","7063088")</f>
        <v>0</v>
      </c>
      <c r="B11009" t="s">
        <v>2931</v>
      </c>
      <c r="C11009" t="s">
        <v>13916</v>
      </c>
      <c r="D11009" t="s">
        <v>17435</v>
      </c>
      <c r="E11009" t="s">
        <v>26914</v>
      </c>
      <c r="F11009" t="s">
        <v>30052</v>
      </c>
      <c r="G11009" t="s">
        <v>30058</v>
      </c>
      <c r="H11009" t="s">
        <v>15498</v>
      </c>
      <c r="I11009" t="s">
        <v>3736</v>
      </c>
      <c r="J11009" t="s">
        <v>36929</v>
      </c>
      <c r="K11009" t="s">
        <v>39034</v>
      </c>
      <c r="L11009" t="s">
        <v>2931</v>
      </c>
      <c r="M11009" t="s">
        <v>42494</v>
      </c>
      <c r="N11009" t="s">
        <v>43166</v>
      </c>
      <c r="O11009" t="s">
        <v>43167</v>
      </c>
      <c r="P11009">
        <v>0</v>
      </c>
      <c r="Q11009">
        <v>1</v>
      </c>
      <c r="R11009" t="s">
        <v>43180</v>
      </c>
      <c r="S11009" t="s">
        <v>43646</v>
      </c>
      <c r="T11009" t="s">
        <v>44681</v>
      </c>
      <c r="U11009" t="s">
        <v>53514</v>
      </c>
      <c r="W11009" t="s">
        <v>42494</v>
      </c>
      <c r="X11009" t="s">
        <v>43181</v>
      </c>
    </row>
    <row r="11010" spans="1:24">
      <c r="A11010">
        <f>HYPERLINK("https://www.philgeps.gov.ph/GEPSNONPILOT/Tender/SplashBidNoticeAbstractUI.aspx?menuIndex=3&amp;refID=7063073&amp;Result=3","7063073")</f>
        <v>0</v>
      </c>
      <c r="B11010" t="s">
        <v>1134</v>
      </c>
      <c r="C11010" t="s">
        <v>13917</v>
      </c>
      <c r="D11010" t="s">
        <v>17459</v>
      </c>
      <c r="E11010" t="s">
        <v>26915</v>
      </c>
      <c r="F11010" t="s">
        <v>30052</v>
      </c>
      <c r="G11010" t="s">
        <v>30058</v>
      </c>
      <c r="H11010" t="s">
        <v>30067</v>
      </c>
      <c r="I11010" t="s">
        <v>3693</v>
      </c>
      <c r="J11010" t="s">
        <v>36930</v>
      </c>
      <c r="K11010" t="s">
        <v>39058</v>
      </c>
      <c r="M11010" t="s">
        <v>40749</v>
      </c>
      <c r="N11010" t="s">
        <v>43166</v>
      </c>
      <c r="O11010" t="s">
        <v>43167</v>
      </c>
      <c r="P11010">
        <v>0</v>
      </c>
      <c r="Q11010">
        <v>0</v>
      </c>
      <c r="R11010" t="s">
        <v>43180</v>
      </c>
      <c r="S11010" t="s">
        <v>43646</v>
      </c>
      <c r="T11010" t="s">
        <v>44750</v>
      </c>
      <c r="U11010" t="s">
        <v>53984</v>
      </c>
      <c r="V11010" t="s">
        <v>58048</v>
      </c>
      <c r="W11010" t="s">
        <v>40749</v>
      </c>
      <c r="X11010" t="s">
        <v>43181</v>
      </c>
    </row>
    <row r="11011" spans="1:24">
      <c r="A11011">
        <f>HYPERLINK("https://www.philgeps.gov.ph/GEPSNONPILOT/Tender/SplashBidNoticeAbstractUI.aspx?menuIndex=3&amp;refID=7063065&amp;Result=3","7063065")</f>
        <v>0</v>
      </c>
      <c r="B11011" t="s">
        <v>924</v>
      </c>
      <c r="C11011" t="s">
        <v>13918</v>
      </c>
      <c r="E11011" t="s">
        <v>26916</v>
      </c>
      <c r="F11011" t="s">
        <v>30052</v>
      </c>
      <c r="G11011" t="s">
        <v>30058</v>
      </c>
      <c r="H11011" t="s">
        <v>15498</v>
      </c>
      <c r="I11011" t="s">
        <v>30073</v>
      </c>
      <c r="J11011" t="s">
        <v>36931</v>
      </c>
      <c r="K11011" t="s">
        <v>39025</v>
      </c>
      <c r="M11011" t="s">
        <v>40247</v>
      </c>
      <c r="N11011" t="s">
        <v>43166</v>
      </c>
      <c r="O11011" t="s">
        <v>43167</v>
      </c>
      <c r="Q11011">
        <v>6</v>
      </c>
      <c r="R11011" t="s">
        <v>43180</v>
      </c>
      <c r="S11011" t="s">
        <v>43675</v>
      </c>
      <c r="T11011" t="s">
        <v>44750</v>
      </c>
      <c r="U11011" t="s">
        <v>53985</v>
      </c>
      <c r="W11011" t="s">
        <v>40247</v>
      </c>
      <c r="X11011" t="s">
        <v>43181</v>
      </c>
    </row>
    <row r="11012" spans="1:24">
      <c r="A11012">
        <f>HYPERLINK("https://www.philgeps.gov.ph/GEPSNONPILOT/Tender/SplashBidNoticeAbstractUI.aspx?menuIndex=3&amp;refID=7062786&amp;Result=3","7062786")</f>
        <v>0</v>
      </c>
      <c r="B11012" t="s">
        <v>121</v>
      </c>
      <c r="C11012" t="s">
        <v>13919</v>
      </c>
      <c r="D11012" t="s">
        <v>17440</v>
      </c>
      <c r="E11012" t="s">
        <v>26917</v>
      </c>
      <c r="F11012" t="s">
        <v>30052</v>
      </c>
      <c r="G11012" t="s">
        <v>30058</v>
      </c>
      <c r="H11012" t="s">
        <v>30067</v>
      </c>
      <c r="I11012" t="s">
        <v>3693</v>
      </c>
      <c r="J11012" t="s">
        <v>36932</v>
      </c>
      <c r="K11012" t="s">
        <v>39046</v>
      </c>
      <c r="M11012" t="s">
        <v>39410</v>
      </c>
      <c r="N11012" t="s">
        <v>43166</v>
      </c>
      <c r="O11012" t="s">
        <v>43167</v>
      </c>
      <c r="P11012">
        <v>0</v>
      </c>
      <c r="Q11012">
        <v>0</v>
      </c>
      <c r="R11012" t="s">
        <v>43180</v>
      </c>
      <c r="S11012" t="s">
        <v>43646</v>
      </c>
      <c r="T11012" t="s">
        <v>44870</v>
      </c>
      <c r="U11012" t="s">
        <v>53986</v>
      </c>
      <c r="W11012" t="s">
        <v>39410</v>
      </c>
      <c r="X11012" t="s">
        <v>43181</v>
      </c>
    </row>
    <row r="11013" spans="1:24">
      <c r="A11013">
        <f>HYPERLINK("https://www.philgeps.gov.ph/GEPSNONPILOT/Tender/SplashBidNoticeAbstractUI.aspx?menuIndex=3&amp;refID=7062902&amp;Result=3","7062902")</f>
        <v>0</v>
      </c>
      <c r="B11013" t="s">
        <v>1942</v>
      </c>
      <c r="C11013" t="s">
        <v>13920</v>
      </c>
      <c r="D11013" t="s">
        <v>17430</v>
      </c>
      <c r="E11013" t="s">
        <v>26918</v>
      </c>
      <c r="F11013" t="s">
        <v>30052</v>
      </c>
      <c r="G11013" t="s">
        <v>30058</v>
      </c>
      <c r="H11013" t="s">
        <v>30067</v>
      </c>
      <c r="I11013" t="s">
        <v>3693</v>
      </c>
      <c r="J11013" t="s">
        <v>36933</v>
      </c>
      <c r="K11013" t="s">
        <v>39038</v>
      </c>
      <c r="M11013" t="s">
        <v>41377</v>
      </c>
      <c r="N11013" t="s">
        <v>43166</v>
      </c>
      <c r="O11013" t="s">
        <v>43167</v>
      </c>
      <c r="P11013">
        <v>0</v>
      </c>
      <c r="Q11013">
        <v>1</v>
      </c>
      <c r="R11013" t="s">
        <v>43180</v>
      </c>
      <c r="S11013" t="s">
        <v>43646</v>
      </c>
      <c r="T11013" t="s">
        <v>44806</v>
      </c>
      <c r="U11013" t="s">
        <v>53987</v>
      </c>
      <c r="V11013" t="s">
        <v>57448</v>
      </c>
      <c r="W11013" t="s">
        <v>41377</v>
      </c>
      <c r="X11013" t="s">
        <v>43181</v>
      </c>
    </row>
    <row r="11014" spans="1:24">
      <c r="A11014">
        <f>HYPERLINK("https://www.philgeps.gov.ph/GEPSNONPILOT/Tender/SplashBidNoticeAbstractUI.aspx?menuIndex=3&amp;refID=7062955&amp;Result=3","7062955")</f>
        <v>0</v>
      </c>
      <c r="B11014" t="s">
        <v>2931</v>
      </c>
      <c r="C11014" t="s">
        <v>13921</v>
      </c>
      <c r="D11014" t="s">
        <v>17435</v>
      </c>
      <c r="E11014" t="s">
        <v>26919</v>
      </c>
      <c r="F11014" t="s">
        <v>30052</v>
      </c>
      <c r="G11014" t="s">
        <v>30058</v>
      </c>
      <c r="H11014" t="s">
        <v>15498</v>
      </c>
      <c r="I11014" t="s">
        <v>3736</v>
      </c>
      <c r="J11014" t="s">
        <v>36934</v>
      </c>
      <c r="K11014" t="s">
        <v>39034</v>
      </c>
      <c r="L11014" t="s">
        <v>2931</v>
      </c>
      <c r="M11014" t="s">
        <v>42494</v>
      </c>
      <c r="N11014" t="s">
        <v>43166</v>
      </c>
      <c r="O11014" t="s">
        <v>43167</v>
      </c>
      <c r="P11014">
        <v>0</v>
      </c>
      <c r="Q11014">
        <v>2</v>
      </c>
      <c r="R11014" t="s">
        <v>43180</v>
      </c>
      <c r="S11014" t="s">
        <v>43646</v>
      </c>
      <c r="T11014" t="s">
        <v>44681</v>
      </c>
      <c r="U11014" t="s">
        <v>53514</v>
      </c>
      <c r="W11014" t="s">
        <v>42494</v>
      </c>
      <c r="X11014" t="s">
        <v>43181</v>
      </c>
    </row>
    <row r="11015" spans="1:24">
      <c r="A11015">
        <f>HYPERLINK("https://www.philgeps.gov.ph/GEPSNONPILOT/Tender/SplashBidNoticeAbstractUI.aspx?menuIndex=3&amp;refID=7063045&amp;Result=3","7063045")</f>
        <v>0</v>
      </c>
      <c r="B11015" t="s">
        <v>689</v>
      </c>
      <c r="C11015" t="s">
        <v>13922</v>
      </c>
      <c r="D11015" t="s">
        <v>17475</v>
      </c>
      <c r="E11015" t="s">
        <v>24704</v>
      </c>
      <c r="F11015" t="s">
        <v>30052</v>
      </c>
      <c r="G11015" t="s">
        <v>30058</v>
      </c>
      <c r="H11015" t="s">
        <v>30067</v>
      </c>
      <c r="I11015" t="s">
        <v>3693</v>
      </c>
      <c r="J11015" t="s">
        <v>30397</v>
      </c>
      <c r="K11015" t="s">
        <v>39065</v>
      </c>
      <c r="M11015" t="s">
        <v>39995</v>
      </c>
      <c r="N11015" t="s">
        <v>43166</v>
      </c>
      <c r="O11015" t="s">
        <v>43167</v>
      </c>
      <c r="P11015">
        <v>0</v>
      </c>
      <c r="Q11015">
        <v>2</v>
      </c>
      <c r="R11015" t="s">
        <v>43180</v>
      </c>
      <c r="S11015" t="s">
        <v>43646</v>
      </c>
      <c r="T11015" t="s">
        <v>45145</v>
      </c>
      <c r="U11015" t="s">
        <v>53988</v>
      </c>
      <c r="V11015" t="s">
        <v>57412</v>
      </c>
      <c r="W11015" t="s">
        <v>39995</v>
      </c>
      <c r="X11015" t="s">
        <v>43181</v>
      </c>
    </row>
    <row r="11016" spans="1:24">
      <c r="A11016">
        <f>HYPERLINK("https://www.philgeps.gov.ph/GEPSNONPILOT/Tender/SplashBidNoticeAbstractUI.aspx?menuIndex=3&amp;refID=7063044&amp;Result=3","7063044")</f>
        <v>0</v>
      </c>
      <c r="B11016" t="s">
        <v>924</v>
      </c>
      <c r="C11016" t="s">
        <v>13923</v>
      </c>
      <c r="E11016" t="s">
        <v>26920</v>
      </c>
      <c r="F11016" t="s">
        <v>30052</v>
      </c>
      <c r="G11016" t="s">
        <v>30058</v>
      </c>
      <c r="H11016" t="s">
        <v>15498</v>
      </c>
      <c r="I11016" t="s">
        <v>3736</v>
      </c>
      <c r="J11016" t="s">
        <v>36935</v>
      </c>
      <c r="K11016" t="s">
        <v>39025</v>
      </c>
      <c r="M11016" t="s">
        <v>40247</v>
      </c>
      <c r="N11016" t="s">
        <v>43166</v>
      </c>
      <c r="O11016" t="s">
        <v>43167</v>
      </c>
      <c r="P11016">
        <v>0</v>
      </c>
      <c r="Q11016">
        <v>5</v>
      </c>
      <c r="R11016" t="s">
        <v>43180</v>
      </c>
      <c r="S11016" t="s">
        <v>43646</v>
      </c>
      <c r="T11016" t="s">
        <v>44750</v>
      </c>
      <c r="U11016" t="s">
        <v>53985</v>
      </c>
      <c r="W11016" t="s">
        <v>40247</v>
      </c>
      <c r="X11016" t="s">
        <v>43181</v>
      </c>
    </row>
    <row r="11017" spans="1:24">
      <c r="A11017">
        <f>HYPERLINK("https://www.philgeps.gov.ph/GEPSNONPILOT/Tender/SplashBidNoticeAbstractUI.aspx?menuIndex=3&amp;refID=7063039&amp;Result=3","7063039")</f>
        <v>0</v>
      </c>
      <c r="B11017" t="s">
        <v>1134</v>
      </c>
      <c r="C11017" t="s">
        <v>13924</v>
      </c>
      <c r="D11017" t="s">
        <v>17459</v>
      </c>
      <c r="E11017" t="s">
        <v>26921</v>
      </c>
      <c r="F11017" t="s">
        <v>30052</v>
      </c>
      <c r="G11017" t="s">
        <v>30058</v>
      </c>
      <c r="H11017" t="s">
        <v>30067</v>
      </c>
      <c r="I11017" t="s">
        <v>3693</v>
      </c>
      <c r="J11017" t="s">
        <v>36936</v>
      </c>
      <c r="K11017" t="s">
        <v>39065</v>
      </c>
      <c r="M11017" t="s">
        <v>40749</v>
      </c>
      <c r="N11017" t="s">
        <v>43166</v>
      </c>
      <c r="O11017" t="s">
        <v>43167</v>
      </c>
      <c r="P11017">
        <v>0</v>
      </c>
      <c r="Q11017">
        <v>0</v>
      </c>
      <c r="R11017" t="s">
        <v>43180</v>
      </c>
      <c r="S11017" t="s">
        <v>43646</v>
      </c>
      <c r="T11017" t="s">
        <v>44750</v>
      </c>
      <c r="U11017" t="s">
        <v>53984</v>
      </c>
      <c r="V11017" t="s">
        <v>58048</v>
      </c>
      <c r="W11017" t="s">
        <v>40749</v>
      </c>
      <c r="X11017" t="s">
        <v>43181</v>
      </c>
    </row>
    <row r="11018" spans="1:24">
      <c r="A11018">
        <f>HYPERLINK("https://www.philgeps.gov.ph/GEPSNONPILOT/Tender/SplashBidNoticeAbstractUI.aspx?menuIndex=3&amp;refID=7063053&amp;Result=3","7063053")</f>
        <v>0</v>
      </c>
      <c r="B11018" t="s">
        <v>1527</v>
      </c>
      <c r="C11018" t="s">
        <v>13925</v>
      </c>
      <c r="E11018" t="s">
        <v>26922</v>
      </c>
      <c r="F11018" t="s">
        <v>30052</v>
      </c>
      <c r="G11018" t="s">
        <v>30058</v>
      </c>
      <c r="H11018" t="s">
        <v>15498</v>
      </c>
      <c r="I11018" t="s">
        <v>30071</v>
      </c>
      <c r="J11018" t="s">
        <v>36937</v>
      </c>
      <c r="K11018" t="s">
        <v>39025</v>
      </c>
      <c r="M11018" t="s">
        <v>40913</v>
      </c>
      <c r="N11018" t="s">
        <v>43166</v>
      </c>
      <c r="O11018" t="s">
        <v>43167</v>
      </c>
      <c r="P11018">
        <v>0</v>
      </c>
      <c r="Q11018">
        <v>4</v>
      </c>
      <c r="R11018" t="s">
        <v>43180</v>
      </c>
      <c r="S11018" t="s">
        <v>43646</v>
      </c>
      <c r="T11018" t="s">
        <v>44681</v>
      </c>
      <c r="U11018" t="s">
        <v>53989</v>
      </c>
      <c r="W11018" t="s">
        <v>58645</v>
      </c>
      <c r="X11018" t="s">
        <v>43181</v>
      </c>
    </row>
    <row r="11019" spans="1:24">
      <c r="A11019">
        <f>HYPERLINK("https://www.philgeps.gov.ph/GEPSNONPILOT/Tender/SplashBidNoticeAbstractUI.aspx?menuIndex=3&amp;refID=7063024&amp;Result=3","7063024")</f>
        <v>0</v>
      </c>
      <c r="B11019" t="s">
        <v>2711</v>
      </c>
      <c r="C11019" t="s">
        <v>13926</v>
      </c>
      <c r="D11019" t="s">
        <v>17450</v>
      </c>
      <c r="E11019" t="s">
        <v>26923</v>
      </c>
      <c r="F11019" t="s">
        <v>30052</v>
      </c>
      <c r="G11019" t="s">
        <v>30058</v>
      </c>
      <c r="H11019" t="s">
        <v>15498</v>
      </c>
      <c r="I11019" t="s">
        <v>30073</v>
      </c>
      <c r="J11019" t="s">
        <v>36938</v>
      </c>
      <c r="K11019" t="s">
        <v>39031</v>
      </c>
      <c r="M11019" t="s">
        <v>42236</v>
      </c>
      <c r="N11019" t="s">
        <v>43166</v>
      </c>
      <c r="O11019" t="s">
        <v>43167</v>
      </c>
      <c r="P11019">
        <v>0</v>
      </c>
      <c r="Q11019">
        <v>0</v>
      </c>
      <c r="R11019" t="s">
        <v>43180</v>
      </c>
      <c r="S11019" t="s">
        <v>43646</v>
      </c>
      <c r="T11019" t="s">
        <v>44699</v>
      </c>
      <c r="U11019" t="s">
        <v>53990</v>
      </c>
      <c r="W11019" t="s">
        <v>42236</v>
      </c>
      <c r="X11019" t="s">
        <v>43181</v>
      </c>
    </row>
    <row r="11020" spans="1:24">
      <c r="A11020">
        <f>HYPERLINK("https://www.philgeps.gov.ph/GEPSNONPILOT/Tender/SplashBidNoticeAbstractUI.aspx?menuIndex=3&amp;refID=7062917&amp;Result=3","7062917")</f>
        <v>0</v>
      </c>
      <c r="B11020" t="s">
        <v>964</v>
      </c>
      <c r="C11020" t="s">
        <v>13927</v>
      </c>
      <c r="D11020" t="s">
        <v>17415</v>
      </c>
      <c r="E11020" t="s">
        <v>26924</v>
      </c>
      <c r="F11020" t="s">
        <v>30052</v>
      </c>
      <c r="G11020" t="s">
        <v>30058</v>
      </c>
      <c r="H11020" t="s">
        <v>15498</v>
      </c>
      <c r="I11020" t="s">
        <v>9238</v>
      </c>
      <c r="J11020" t="s">
        <v>36939</v>
      </c>
      <c r="K11020" t="s">
        <v>39025</v>
      </c>
      <c r="M11020" t="s">
        <v>42637</v>
      </c>
      <c r="N11020" t="s">
        <v>43166</v>
      </c>
      <c r="O11020" t="s">
        <v>43167</v>
      </c>
      <c r="P11020">
        <v>0</v>
      </c>
      <c r="Q11020">
        <v>10</v>
      </c>
      <c r="R11020" t="s">
        <v>43180</v>
      </c>
      <c r="S11020" t="s">
        <v>43646</v>
      </c>
      <c r="T11020" t="s">
        <v>44800</v>
      </c>
      <c r="U11020" t="s">
        <v>53991</v>
      </c>
      <c r="W11020" t="s">
        <v>42637</v>
      </c>
      <c r="X11020" t="s">
        <v>43181</v>
      </c>
    </row>
    <row r="11021" spans="1:24">
      <c r="A11021">
        <f>HYPERLINK("https://www.philgeps.gov.ph/GEPSNONPILOT/Tender/SplashBidNoticeAbstractUI.aspx?menuIndex=3&amp;refID=7063021&amp;Result=3","7063021")</f>
        <v>0</v>
      </c>
      <c r="B11021" t="s">
        <v>968</v>
      </c>
      <c r="C11021" t="s">
        <v>13928</v>
      </c>
      <c r="D11021" t="s">
        <v>17444</v>
      </c>
      <c r="E11021" t="s">
        <v>26925</v>
      </c>
      <c r="F11021" t="s">
        <v>30052</v>
      </c>
      <c r="G11021" t="s">
        <v>30059</v>
      </c>
      <c r="H11021" t="s">
        <v>15498</v>
      </c>
      <c r="I11021" t="s">
        <v>30097</v>
      </c>
      <c r="J11021" t="s">
        <v>31564</v>
      </c>
      <c r="K11021" t="s">
        <v>39031</v>
      </c>
      <c r="M11021" t="s">
        <v>40294</v>
      </c>
      <c r="N11021" t="s">
        <v>43166</v>
      </c>
      <c r="O11021" t="s">
        <v>43167</v>
      </c>
      <c r="P11021">
        <v>0</v>
      </c>
      <c r="Q11021">
        <v>9</v>
      </c>
      <c r="R11021" t="s">
        <v>43180</v>
      </c>
      <c r="S11021" t="s">
        <v>43646</v>
      </c>
      <c r="T11021" t="s">
        <v>44856</v>
      </c>
      <c r="U11021" t="s">
        <v>53992</v>
      </c>
      <c r="W11021" t="s">
        <v>40294</v>
      </c>
      <c r="X11021" t="s">
        <v>43181</v>
      </c>
    </row>
    <row r="11022" spans="1:24">
      <c r="A11022">
        <f>HYPERLINK("https://www.philgeps.gov.ph/GEPSNONPILOT/Tender/SplashBidNoticeAbstractUI.aspx?menuIndex=3&amp;refID=7063052&amp;Result=3","7063052")</f>
        <v>0</v>
      </c>
      <c r="B11022" t="s">
        <v>3058</v>
      </c>
      <c r="C11022" t="s">
        <v>13929</v>
      </c>
      <c r="D11022" t="s">
        <v>17459</v>
      </c>
      <c r="E11022" t="s">
        <v>26926</v>
      </c>
      <c r="F11022" t="s">
        <v>30052</v>
      </c>
      <c r="G11022" t="s">
        <v>30058</v>
      </c>
      <c r="H11022" t="s">
        <v>30067</v>
      </c>
      <c r="I11022" t="s">
        <v>3693</v>
      </c>
      <c r="J11022" t="s">
        <v>30215</v>
      </c>
      <c r="K11022" t="s">
        <v>39038</v>
      </c>
      <c r="M11022" t="s">
        <v>42638</v>
      </c>
      <c r="N11022" t="s">
        <v>43166</v>
      </c>
      <c r="O11022" t="s">
        <v>43167</v>
      </c>
      <c r="P11022">
        <v>0</v>
      </c>
      <c r="Q11022">
        <v>4</v>
      </c>
      <c r="R11022" t="s">
        <v>43180</v>
      </c>
      <c r="S11022" t="s">
        <v>43646</v>
      </c>
      <c r="T11022" t="s">
        <v>44699</v>
      </c>
      <c r="U11022" t="s">
        <v>53993</v>
      </c>
      <c r="W11022" t="s">
        <v>42638</v>
      </c>
      <c r="X11022" t="s">
        <v>43181</v>
      </c>
    </row>
    <row r="11023" spans="1:24">
      <c r="A11023">
        <f>HYPERLINK("https://www.philgeps.gov.ph/GEPSNONPILOT/Tender/SplashBidNoticeAbstractUI.aspx?menuIndex=3&amp;refID=7063011&amp;Result=3","7063011")</f>
        <v>0</v>
      </c>
      <c r="B11023" t="s">
        <v>2931</v>
      </c>
      <c r="C11023" t="s">
        <v>13930</v>
      </c>
      <c r="D11023" t="s">
        <v>17435</v>
      </c>
      <c r="E11023" t="s">
        <v>26927</v>
      </c>
      <c r="F11023" t="s">
        <v>30052</v>
      </c>
      <c r="G11023" t="s">
        <v>30058</v>
      </c>
      <c r="H11023" t="s">
        <v>15498</v>
      </c>
      <c r="I11023" t="s">
        <v>3736</v>
      </c>
      <c r="J11023" t="s">
        <v>36940</v>
      </c>
      <c r="K11023" t="s">
        <v>39034</v>
      </c>
      <c r="L11023" t="s">
        <v>2931</v>
      </c>
      <c r="M11023" t="s">
        <v>42494</v>
      </c>
      <c r="N11023" t="s">
        <v>43166</v>
      </c>
      <c r="O11023" t="s">
        <v>43167</v>
      </c>
      <c r="P11023">
        <v>0</v>
      </c>
      <c r="Q11023">
        <v>1</v>
      </c>
      <c r="R11023" t="s">
        <v>43180</v>
      </c>
      <c r="S11023" t="s">
        <v>43646</v>
      </c>
      <c r="T11023" t="s">
        <v>44681</v>
      </c>
      <c r="U11023" t="s">
        <v>53514</v>
      </c>
      <c r="W11023" t="s">
        <v>42494</v>
      </c>
      <c r="X11023" t="s">
        <v>43181</v>
      </c>
    </row>
    <row r="11024" spans="1:24">
      <c r="A11024">
        <f>HYPERLINK("https://www.philgeps.gov.ph/GEPSNONPILOT/Tender/SplashBidNoticeAbstractUI.aspx?menuIndex=3&amp;refID=7063009&amp;Result=3","7063009")</f>
        <v>0</v>
      </c>
      <c r="B11024" t="s">
        <v>1134</v>
      </c>
      <c r="C11024" t="s">
        <v>13931</v>
      </c>
      <c r="D11024" t="s">
        <v>17459</v>
      </c>
      <c r="E11024" t="s">
        <v>26928</v>
      </c>
      <c r="F11024" t="s">
        <v>30052</v>
      </c>
      <c r="G11024" t="s">
        <v>30058</v>
      </c>
      <c r="H11024" t="s">
        <v>30067</v>
      </c>
      <c r="I11024" t="s">
        <v>3693</v>
      </c>
      <c r="J11024" t="s">
        <v>36941</v>
      </c>
      <c r="K11024" t="s">
        <v>39054</v>
      </c>
      <c r="M11024" t="s">
        <v>40749</v>
      </c>
      <c r="N11024" t="s">
        <v>43166</v>
      </c>
      <c r="O11024" t="s">
        <v>43167</v>
      </c>
      <c r="P11024">
        <v>0</v>
      </c>
      <c r="Q11024">
        <v>0</v>
      </c>
      <c r="R11024" t="s">
        <v>43180</v>
      </c>
      <c r="S11024" t="s">
        <v>43646</v>
      </c>
      <c r="T11024" t="s">
        <v>44750</v>
      </c>
      <c r="U11024" t="s">
        <v>53979</v>
      </c>
      <c r="V11024" t="s">
        <v>58048</v>
      </c>
      <c r="W11024" t="s">
        <v>40749</v>
      </c>
      <c r="X11024" t="s">
        <v>43181</v>
      </c>
    </row>
    <row r="11025" spans="1:24">
      <c r="A11025">
        <f>HYPERLINK("https://www.philgeps.gov.ph/GEPSNONPILOT/Tender/SplashBidNoticeAbstractUI.aspx?menuIndex=3&amp;refID=7063023&amp;Result=3","7063023")</f>
        <v>0</v>
      </c>
      <c r="B11025" t="s">
        <v>3059</v>
      </c>
      <c r="C11025" t="s">
        <v>13932</v>
      </c>
      <c r="D11025" t="s">
        <v>17413</v>
      </c>
      <c r="E11025" t="s">
        <v>26929</v>
      </c>
      <c r="F11025" t="s">
        <v>30052</v>
      </c>
      <c r="G11025" t="s">
        <v>30058</v>
      </c>
      <c r="H11025" t="s">
        <v>15498</v>
      </c>
      <c r="I11025" t="s">
        <v>30084</v>
      </c>
      <c r="J11025" t="s">
        <v>30281</v>
      </c>
      <c r="K11025" t="s">
        <v>39019</v>
      </c>
      <c r="M11025" t="s">
        <v>42639</v>
      </c>
      <c r="N11025" t="s">
        <v>43166</v>
      </c>
      <c r="O11025" t="s">
        <v>43167</v>
      </c>
      <c r="P11025">
        <v>0</v>
      </c>
      <c r="Q11025">
        <v>8</v>
      </c>
      <c r="R11025" t="s">
        <v>43180</v>
      </c>
      <c r="S11025" t="s">
        <v>43646</v>
      </c>
      <c r="T11025" t="s">
        <v>44704</v>
      </c>
      <c r="U11025" t="s">
        <v>53994</v>
      </c>
      <c r="W11025" t="s">
        <v>42639</v>
      </c>
      <c r="X11025" t="s">
        <v>43181</v>
      </c>
    </row>
    <row r="11026" spans="1:24">
      <c r="A11026">
        <f>HYPERLINK("https://www.philgeps.gov.ph/GEPSNONPILOT/Tender/SplashBidNoticeAbstractUI.aspx?menuIndex=3&amp;refID=7063001&amp;Result=3","7063001")</f>
        <v>0</v>
      </c>
      <c r="B11026" t="s">
        <v>602</v>
      </c>
      <c r="C11026" t="s">
        <v>13933</v>
      </c>
      <c r="D11026" t="s">
        <v>17448</v>
      </c>
      <c r="E11026" t="s">
        <v>26930</v>
      </c>
      <c r="F11026" t="s">
        <v>30052</v>
      </c>
      <c r="G11026" t="s">
        <v>30058</v>
      </c>
      <c r="H11026" t="s">
        <v>30067</v>
      </c>
      <c r="I11026" t="s">
        <v>3693</v>
      </c>
      <c r="J11026" t="s">
        <v>36942</v>
      </c>
      <c r="K11026" t="s">
        <v>39026</v>
      </c>
      <c r="L11026" t="s">
        <v>602</v>
      </c>
      <c r="M11026" t="s">
        <v>42544</v>
      </c>
      <c r="N11026" t="s">
        <v>43166</v>
      </c>
      <c r="O11026" t="s">
        <v>43167</v>
      </c>
      <c r="P11026">
        <v>0</v>
      </c>
      <c r="Q11026">
        <v>1</v>
      </c>
      <c r="R11026" t="s">
        <v>43180</v>
      </c>
      <c r="S11026" t="s">
        <v>43646</v>
      </c>
      <c r="T11026" t="s">
        <v>44741</v>
      </c>
      <c r="U11026" t="s">
        <v>53958</v>
      </c>
      <c r="W11026" t="s">
        <v>42544</v>
      </c>
      <c r="X11026" t="s">
        <v>43181</v>
      </c>
    </row>
    <row r="11027" spans="1:24">
      <c r="A11027">
        <f>HYPERLINK("https://www.philgeps.gov.ph/GEPSNONPILOT/Tender/SplashBidNoticeAbstractUI.aspx?menuIndex=3&amp;refID=7063034&amp;Result=3","7063034")</f>
        <v>0</v>
      </c>
      <c r="B11027" t="s">
        <v>745</v>
      </c>
      <c r="C11027" t="s">
        <v>13934</v>
      </c>
      <c r="D11027" t="s">
        <v>17476</v>
      </c>
      <c r="E11027" t="s">
        <v>26931</v>
      </c>
      <c r="F11027" t="s">
        <v>30052</v>
      </c>
      <c r="G11027" t="s">
        <v>30058</v>
      </c>
      <c r="H11027" t="s">
        <v>15498</v>
      </c>
      <c r="I11027" t="s">
        <v>30078</v>
      </c>
      <c r="J11027" t="s">
        <v>36943</v>
      </c>
      <c r="K11027" t="s">
        <v>39019</v>
      </c>
      <c r="M11027" t="s">
        <v>40059</v>
      </c>
      <c r="N11027" t="s">
        <v>43166</v>
      </c>
      <c r="O11027" t="s">
        <v>43167</v>
      </c>
      <c r="P11027">
        <v>0</v>
      </c>
      <c r="Q11027">
        <v>2</v>
      </c>
      <c r="R11027" t="s">
        <v>43180</v>
      </c>
      <c r="S11027" t="s">
        <v>43646</v>
      </c>
      <c r="T11027" t="s">
        <v>44804</v>
      </c>
      <c r="U11027" t="s">
        <v>53995</v>
      </c>
      <c r="W11027" t="s">
        <v>40059</v>
      </c>
      <c r="X11027" t="s">
        <v>43181</v>
      </c>
    </row>
    <row r="11028" spans="1:24">
      <c r="A11028">
        <f>HYPERLINK("https://www.philgeps.gov.ph/GEPSNONPILOT/Tender/SplashBidNoticeAbstractUI.aspx?menuIndex=3&amp;refID=7062846&amp;Result=3","7062846")</f>
        <v>0</v>
      </c>
      <c r="B11028" t="s">
        <v>120</v>
      </c>
      <c r="C11028" t="s">
        <v>13935</v>
      </c>
      <c r="D11028" t="s">
        <v>17427</v>
      </c>
      <c r="E11028" t="s">
        <v>26932</v>
      </c>
      <c r="F11028" t="s">
        <v>30052</v>
      </c>
      <c r="G11028" t="s">
        <v>30058</v>
      </c>
      <c r="H11028" t="s">
        <v>30067</v>
      </c>
      <c r="I11028" t="s">
        <v>3693</v>
      </c>
      <c r="J11028" t="s">
        <v>36944</v>
      </c>
      <c r="K11028" t="s">
        <v>39025</v>
      </c>
      <c r="M11028" t="s">
        <v>39409</v>
      </c>
      <c r="N11028" t="s">
        <v>43166</v>
      </c>
      <c r="O11028" t="s">
        <v>43167</v>
      </c>
      <c r="P11028">
        <v>0</v>
      </c>
      <c r="Q11028">
        <v>0</v>
      </c>
      <c r="R11028" t="s">
        <v>43180</v>
      </c>
      <c r="S11028" t="s">
        <v>43646</v>
      </c>
      <c r="T11028" t="s">
        <v>44780</v>
      </c>
      <c r="U11028" t="s">
        <v>53996</v>
      </c>
      <c r="W11028" t="s">
        <v>39409</v>
      </c>
      <c r="X11028" t="s">
        <v>43181</v>
      </c>
    </row>
    <row r="11029" spans="1:24">
      <c r="A11029">
        <f>HYPERLINK("https://www.philgeps.gov.ph/GEPSNONPILOT/Tender/SplashBidNoticeAbstractUI.aspx?menuIndex=3&amp;refID=7063020&amp;Result=3","7063020")</f>
        <v>0</v>
      </c>
      <c r="B11029" t="s">
        <v>602</v>
      </c>
      <c r="C11029" t="s">
        <v>13936</v>
      </c>
      <c r="E11029" t="s">
        <v>26933</v>
      </c>
      <c r="F11029" t="s">
        <v>30052</v>
      </c>
      <c r="G11029" t="s">
        <v>30058</v>
      </c>
      <c r="H11029" t="s">
        <v>30067</v>
      </c>
      <c r="I11029" t="s">
        <v>3693</v>
      </c>
      <c r="J11029" t="s">
        <v>31185</v>
      </c>
      <c r="K11029" t="s">
        <v>39031</v>
      </c>
      <c r="L11029" t="s">
        <v>602</v>
      </c>
      <c r="M11029" t="s">
        <v>42544</v>
      </c>
      <c r="N11029" t="s">
        <v>43166</v>
      </c>
      <c r="O11029" t="s">
        <v>43167</v>
      </c>
      <c r="P11029">
        <v>0</v>
      </c>
      <c r="Q11029">
        <v>0</v>
      </c>
      <c r="R11029" t="s">
        <v>43180</v>
      </c>
      <c r="S11029" t="s">
        <v>43646</v>
      </c>
      <c r="T11029" t="s">
        <v>44741</v>
      </c>
      <c r="U11029" t="s">
        <v>53958</v>
      </c>
      <c r="W11029" t="s">
        <v>42544</v>
      </c>
      <c r="X11029" t="s">
        <v>43181</v>
      </c>
    </row>
    <row r="11030" spans="1:24">
      <c r="A11030">
        <f>HYPERLINK("https://www.philgeps.gov.ph/GEPSNONPILOT/Tender/SplashBidNoticeAbstractUI.aspx?menuIndex=3&amp;refID=7063060&amp;Result=3","7063060")</f>
        <v>0</v>
      </c>
      <c r="B11030" t="s">
        <v>3059</v>
      </c>
      <c r="C11030" t="s">
        <v>13937</v>
      </c>
      <c r="D11030" t="s">
        <v>17413</v>
      </c>
      <c r="E11030" t="s">
        <v>26934</v>
      </c>
      <c r="F11030" t="s">
        <v>30052</v>
      </c>
      <c r="G11030" t="s">
        <v>30058</v>
      </c>
      <c r="H11030" t="s">
        <v>15498</v>
      </c>
      <c r="I11030" t="s">
        <v>30070</v>
      </c>
      <c r="J11030" t="s">
        <v>36945</v>
      </c>
      <c r="K11030" t="s">
        <v>39019</v>
      </c>
      <c r="M11030" t="s">
        <v>42639</v>
      </c>
      <c r="N11030" t="s">
        <v>43166</v>
      </c>
      <c r="O11030" t="s">
        <v>43167</v>
      </c>
      <c r="P11030">
        <v>0</v>
      </c>
      <c r="Q11030">
        <v>3</v>
      </c>
      <c r="R11030" t="s">
        <v>43180</v>
      </c>
      <c r="S11030" t="s">
        <v>43646</v>
      </c>
      <c r="T11030" t="s">
        <v>44704</v>
      </c>
      <c r="U11030" t="s">
        <v>53997</v>
      </c>
      <c r="W11030" t="s">
        <v>42639</v>
      </c>
      <c r="X11030" t="s">
        <v>43181</v>
      </c>
    </row>
    <row r="11031" spans="1:24">
      <c r="A11031">
        <f>HYPERLINK("https://www.philgeps.gov.ph/GEPSNONPILOT/Tender/SplashBidNoticeAbstractUI.aspx?menuIndex=3&amp;refID=7063240&amp;Result=3","7063240")</f>
        <v>0</v>
      </c>
      <c r="B11031" t="s">
        <v>897</v>
      </c>
      <c r="C11031" t="s">
        <v>13938</v>
      </c>
      <c r="D11031" t="s">
        <v>17470</v>
      </c>
      <c r="E11031" t="s">
        <v>23423</v>
      </c>
      <c r="F11031" t="s">
        <v>30052</v>
      </c>
      <c r="G11031" t="s">
        <v>30058</v>
      </c>
      <c r="H11031" t="s">
        <v>15498</v>
      </c>
      <c r="I11031" t="s">
        <v>4642</v>
      </c>
      <c r="J11031" t="s">
        <v>36946</v>
      </c>
      <c r="K11031" t="s">
        <v>39029</v>
      </c>
      <c r="M11031" t="s">
        <v>40216</v>
      </c>
      <c r="N11031" t="s">
        <v>43166</v>
      </c>
      <c r="O11031" t="s">
        <v>43167</v>
      </c>
      <c r="P11031">
        <v>0</v>
      </c>
      <c r="Q11031">
        <v>3</v>
      </c>
      <c r="R11031" t="s">
        <v>43180</v>
      </c>
      <c r="S11031" t="s">
        <v>43646</v>
      </c>
      <c r="T11031" t="s">
        <v>45043</v>
      </c>
      <c r="U11031" t="s">
        <v>53998</v>
      </c>
      <c r="W11031" t="s">
        <v>40216</v>
      </c>
      <c r="X11031" t="s">
        <v>43181</v>
      </c>
    </row>
    <row r="11032" spans="1:24">
      <c r="A11032">
        <f>HYPERLINK("https://www.philgeps.gov.ph/GEPSNONPILOT/Tender/SplashBidNoticeAbstractUI.aspx?menuIndex=3&amp;refID=7062763&amp;Result=3","7062763")</f>
        <v>0</v>
      </c>
      <c r="B11032" t="s">
        <v>1897</v>
      </c>
      <c r="C11032" t="s">
        <v>13939</v>
      </c>
      <c r="D11032" t="s">
        <v>17444</v>
      </c>
      <c r="E11032" t="s">
        <v>23373</v>
      </c>
      <c r="F11032" t="s">
        <v>30052</v>
      </c>
      <c r="G11032" t="s">
        <v>30058</v>
      </c>
      <c r="H11032" t="s">
        <v>30067</v>
      </c>
      <c r="I11032" t="s">
        <v>3693</v>
      </c>
      <c r="J11032" t="s">
        <v>30287</v>
      </c>
      <c r="K11032" t="s">
        <v>39046</v>
      </c>
      <c r="M11032" t="s">
        <v>41328</v>
      </c>
      <c r="N11032" t="s">
        <v>43166</v>
      </c>
      <c r="O11032" t="s">
        <v>43167</v>
      </c>
      <c r="P11032">
        <v>0</v>
      </c>
      <c r="Q11032">
        <v>0</v>
      </c>
      <c r="R11032" t="s">
        <v>43180</v>
      </c>
      <c r="S11032" t="s">
        <v>43646</v>
      </c>
      <c r="T11032" t="s">
        <v>44695</v>
      </c>
      <c r="U11032" t="s">
        <v>49752</v>
      </c>
      <c r="W11032" t="s">
        <v>41328</v>
      </c>
      <c r="X11032" t="s">
        <v>43181</v>
      </c>
    </row>
    <row r="11033" spans="1:24">
      <c r="A11033">
        <f>HYPERLINK("https://www.philgeps.gov.ph/GEPSNONPILOT/Tender/SplashBidNoticeAbstractUI.aspx?menuIndex=3&amp;refID=7063232&amp;Result=3","7063232")</f>
        <v>0</v>
      </c>
      <c r="B11033" t="s">
        <v>2874</v>
      </c>
      <c r="C11033" t="s">
        <v>13940</v>
      </c>
      <c r="D11033" t="s">
        <v>17432</v>
      </c>
      <c r="E11033" t="s">
        <v>26935</v>
      </c>
      <c r="F11033" t="s">
        <v>30052</v>
      </c>
      <c r="G11033" t="s">
        <v>30058</v>
      </c>
      <c r="H11033" t="s">
        <v>30067</v>
      </c>
      <c r="I11033" t="s">
        <v>3693</v>
      </c>
      <c r="J11033" t="s">
        <v>30222</v>
      </c>
      <c r="K11033" t="s">
        <v>39031</v>
      </c>
      <c r="M11033" t="s">
        <v>42422</v>
      </c>
      <c r="N11033" t="s">
        <v>43166</v>
      </c>
      <c r="O11033" t="s">
        <v>43167</v>
      </c>
      <c r="P11033">
        <v>0</v>
      </c>
      <c r="Q11033">
        <v>0</v>
      </c>
      <c r="R11033" t="s">
        <v>43180</v>
      </c>
      <c r="S11033" t="s">
        <v>43646</v>
      </c>
      <c r="T11033" t="s">
        <v>44699</v>
      </c>
      <c r="U11033" t="s">
        <v>53999</v>
      </c>
      <c r="V11033" t="s">
        <v>58071</v>
      </c>
      <c r="W11033" t="s">
        <v>42422</v>
      </c>
      <c r="X11033" t="s">
        <v>43181</v>
      </c>
    </row>
    <row r="11034" spans="1:24">
      <c r="A11034">
        <f>HYPERLINK("https://www.philgeps.gov.ph/GEPSNONPILOT/Tender/SplashBidNoticeAbstractUI.aspx?menuIndex=3&amp;refID=7063233&amp;Result=3","7063233")</f>
        <v>0</v>
      </c>
      <c r="B11034" t="s">
        <v>1944</v>
      </c>
      <c r="C11034" t="s">
        <v>13941</v>
      </c>
      <c r="D11034" t="s">
        <v>17450</v>
      </c>
      <c r="E11034" t="s">
        <v>26936</v>
      </c>
      <c r="F11034" t="s">
        <v>30052</v>
      </c>
      <c r="G11034" t="s">
        <v>30058</v>
      </c>
      <c r="H11034" t="s">
        <v>30067</v>
      </c>
      <c r="I11034" t="s">
        <v>3693</v>
      </c>
      <c r="J11034" t="s">
        <v>30212</v>
      </c>
      <c r="K11034" t="s">
        <v>39172</v>
      </c>
      <c r="M11034" t="s">
        <v>41381</v>
      </c>
      <c r="N11034" t="s">
        <v>43166</v>
      </c>
      <c r="O11034" t="s">
        <v>43167</v>
      </c>
      <c r="P11034">
        <v>0</v>
      </c>
      <c r="Q11034">
        <v>1</v>
      </c>
      <c r="R11034" t="s">
        <v>43180</v>
      </c>
      <c r="S11034" t="s">
        <v>43646</v>
      </c>
      <c r="T11034" t="s">
        <v>44679</v>
      </c>
      <c r="U11034" t="s">
        <v>54000</v>
      </c>
      <c r="V11034" t="s">
        <v>58072</v>
      </c>
      <c r="W11034" t="s">
        <v>41381</v>
      </c>
      <c r="X11034" t="s">
        <v>43181</v>
      </c>
    </row>
    <row r="11035" spans="1:24">
      <c r="A11035">
        <f>HYPERLINK("https://www.philgeps.gov.ph/GEPSNONPILOT/Tender/SplashBidNoticeAbstractUI.aspx?menuIndex=3&amp;refID=7062752&amp;Result=3","7062752")</f>
        <v>0</v>
      </c>
      <c r="B11035" t="s">
        <v>3057</v>
      </c>
      <c r="C11035" t="s">
        <v>13942</v>
      </c>
      <c r="D11035" t="s">
        <v>17415</v>
      </c>
      <c r="E11035" t="s">
        <v>26937</v>
      </c>
      <c r="F11035" t="s">
        <v>30052</v>
      </c>
      <c r="G11035" t="s">
        <v>30058</v>
      </c>
      <c r="H11035" t="s">
        <v>30069</v>
      </c>
      <c r="I11035" t="s">
        <v>3852</v>
      </c>
      <c r="J11035" t="s">
        <v>34507</v>
      </c>
      <c r="K11035" t="s">
        <v>39019</v>
      </c>
      <c r="M11035" t="s">
        <v>42636</v>
      </c>
      <c r="N11035" t="s">
        <v>43166</v>
      </c>
      <c r="O11035" t="s">
        <v>43167</v>
      </c>
      <c r="P11035">
        <v>0</v>
      </c>
      <c r="Q11035">
        <v>2</v>
      </c>
      <c r="R11035" t="s">
        <v>43180</v>
      </c>
      <c r="S11035" t="s">
        <v>43646</v>
      </c>
      <c r="T11035" t="s">
        <v>44705</v>
      </c>
      <c r="U11035" t="s">
        <v>54001</v>
      </c>
      <c r="V11035" t="s">
        <v>58070</v>
      </c>
      <c r="W11035" t="s">
        <v>42636</v>
      </c>
      <c r="X11035" t="s">
        <v>43181</v>
      </c>
    </row>
    <row r="11036" spans="1:24">
      <c r="A11036">
        <f>HYPERLINK("https://www.philgeps.gov.ph/GEPSNONPILOT/Tender/SplashBidNoticeAbstractUI.aspx?menuIndex=3&amp;refID=7063224&amp;Result=3","7063224")</f>
        <v>0</v>
      </c>
      <c r="B11036" t="s">
        <v>1134</v>
      </c>
      <c r="C11036" t="s">
        <v>13943</v>
      </c>
      <c r="D11036" t="s">
        <v>17459</v>
      </c>
      <c r="E11036" t="s">
        <v>26938</v>
      </c>
      <c r="F11036" t="s">
        <v>30052</v>
      </c>
      <c r="G11036" t="s">
        <v>30058</v>
      </c>
      <c r="H11036" t="s">
        <v>30067</v>
      </c>
      <c r="I11036" t="s">
        <v>3693</v>
      </c>
      <c r="J11036" t="s">
        <v>36947</v>
      </c>
      <c r="K11036" t="s">
        <v>39153</v>
      </c>
      <c r="M11036" t="s">
        <v>40749</v>
      </c>
      <c r="N11036" t="s">
        <v>43166</v>
      </c>
      <c r="O11036" t="s">
        <v>43167</v>
      </c>
      <c r="P11036">
        <v>0</v>
      </c>
      <c r="Q11036">
        <v>0</v>
      </c>
      <c r="R11036" t="s">
        <v>43180</v>
      </c>
      <c r="S11036" t="s">
        <v>43646</v>
      </c>
      <c r="T11036" t="s">
        <v>44750</v>
      </c>
      <c r="U11036" t="s">
        <v>54002</v>
      </c>
      <c r="V11036" t="s">
        <v>58048</v>
      </c>
      <c r="W11036" t="s">
        <v>40749</v>
      </c>
      <c r="X11036" t="s">
        <v>43181</v>
      </c>
    </row>
    <row r="11037" spans="1:24">
      <c r="A11037">
        <f>HYPERLINK("https://www.philgeps.gov.ph/GEPSNONPILOT/Tender/SplashBidNoticeAbstractUI.aspx?menuIndex=3&amp;refID=7063208&amp;Result=3","7063208")</f>
        <v>0</v>
      </c>
      <c r="B11037" t="s">
        <v>1636</v>
      </c>
      <c r="C11037" t="s">
        <v>13944</v>
      </c>
      <c r="D11037" t="s">
        <v>17466</v>
      </c>
      <c r="E11037" t="s">
        <v>26939</v>
      </c>
      <c r="F11037" t="s">
        <v>30052</v>
      </c>
      <c r="G11037" t="s">
        <v>30058</v>
      </c>
      <c r="H11037" t="s">
        <v>15498</v>
      </c>
      <c r="I11037" t="s">
        <v>30092</v>
      </c>
      <c r="J11037" t="s">
        <v>36948</v>
      </c>
      <c r="K11037" t="s">
        <v>39037</v>
      </c>
      <c r="M11037" t="s">
        <v>41038</v>
      </c>
      <c r="N11037" t="s">
        <v>43166</v>
      </c>
      <c r="O11037" t="s">
        <v>43167</v>
      </c>
      <c r="P11037">
        <v>0</v>
      </c>
      <c r="Q11037">
        <v>2</v>
      </c>
      <c r="R11037" t="s">
        <v>43180</v>
      </c>
      <c r="S11037" t="s">
        <v>43646</v>
      </c>
      <c r="T11037" t="s">
        <v>44841</v>
      </c>
      <c r="U11037" t="s">
        <v>50911</v>
      </c>
      <c r="W11037" t="s">
        <v>41038</v>
      </c>
      <c r="X11037" t="s">
        <v>43181</v>
      </c>
    </row>
    <row r="11038" spans="1:24">
      <c r="A11038">
        <f>HYPERLINK("https://www.philgeps.gov.ph/GEPSNONPILOT/Tender/SplashBidNoticeAbstractUI.aspx?menuIndex=3&amp;refID=7063188&amp;Result=3","7063188")</f>
        <v>0</v>
      </c>
      <c r="B11038" t="s">
        <v>1942</v>
      </c>
      <c r="C11038" t="s">
        <v>13945</v>
      </c>
      <c r="D11038" t="s">
        <v>17430</v>
      </c>
      <c r="E11038" t="s">
        <v>26940</v>
      </c>
      <c r="F11038" t="s">
        <v>30052</v>
      </c>
      <c r="G11038" t="s">
        <v>30058</v>
      </c>
      <c r="H11038" t="s">
        <v>30067</v>
      </c>
      <c r="I11038" t="s">
        <v>3693</v>
      </c>
      <c r="J11038" t="s">
        <v>36949</v>
      </c>
      <c r="K11038" t="s">
        <v>39029</v>
      </c>
      <c r="M11038" t="s">
        <v>41377</v>
      </c>
      <c r="N11038" t="s">
        <v>43166</v>
      </c>
      <c r="O11038" t="s">
        <v>43167</v>
      </c>
      <c r="P11038">
        <v>0</v>
      </c>
      <c r="Q11038">
        <v>1</v>
      </c>
      <c r="R11038" t="s">
        <v>43180</v>
      </c>
      <c r="S11038" t="s">
        <v>43646</v>
      </c>
      <c r="T11038" t="s">
        <v>44806</v>
      </c>
      <c r="U11038" t="s">
        <v>54003</v>
      </c>
      <c r="V11038" t="s">
        <v>57448</v>
      </c>
      <c r="W11038" t="s">
        <v>41377</v>
      </c>
      <c r="X11038" t="s">
        <v>43181</v>
      </c>
    </row>
    <row r="11039" spans="1:24">
      <c r="A11039">
        <f>HYPERLINK("https://www.philgeps.gov.ph/GEPSNONPILOT/Tender/SplashBidNoticeAbstractUI.aspx?menuIndex=3&amp;refID=7063012&amp;Result=3","7063012")</f>
        <v>0</v>
      </c>
      <c r="B11039" t="s">
        <v>602</v>
      </c>
      <c r="C11039" t="s">
        <v>13946</v>
      </c>
      <c r="D11039" t="s">
        <v>17448</v>
      </c>
      <c r="E11039" t="s">
        <v>26941</v>
      </c>
      <c r="F11039" t="s">
        <v>30052</v>
      </c>
      <c r="G11039" t="s">
        <v>30058</v>
      </c>
      <c r="H11039" t="s">
        <v>30067</v>
      </c>
      <c r="I11039" t="s">
        <v>3693</v>
      </c>
      <c r="J11039" t="s">
        <v>31185</v>
      </c>
      <c r="K11039" t="s">
        <v>39065</v>
      </c>
      <c r="L11039" t="s">
        <v>602</v>
      </c>
      <c r="M11039" t="s">
        <v>42544</v>
      </c>
      <c r="N11039" t="s">
        <v>43166</v>
      </c>
      <c r="O11039" t="s">
        <v>43167</v>
      </c>
      <c r="P11039">
        <v>0</v>
      </c>
      <c r="Q11039">
        <v>0</v>
      </c>
      <c r="R11039" t="s">
        <v>43180</v>
      </c>
      <c r="S11039" t="s">
        <v>43646</v>
      </c>
      <c r="T11039" t="s">
        <v>44741</v>
      </c>
      <c r="U11039" t="s">
        <v>53958</v>
      </c>
      <c r="W11039" t="s">
        <v>42544</v>
      </c>
      <c r="X11039" t="s">
        <v>43181</v>
      </c>
    </row>
    <row r="11040" spans="1:24">
      <c r="A11040">
        <f>HYPERLINK("https://www.philgeps.gov.ph/GEPSNONPILOT/Tender/SplashBidNoticeAbstractUI.aspx?menuIndex=3&amp;refID=7063164&amp;Result=3","7063164")</f>
        <v>0</v>
      </c>
      <c r="B11040" t="s">
        <v>2035</v>
      </c>
      <c r="C11040" t="s">
        <v>13947</v>
      </c>
      <c r="D11040" t="s">
        <v>17461</v>
      </c>
      <c r="E11040" t="s">
        <v>26942</v>
      </c>
      <c r="F11040" t="s">
        <v>30052</v>
      </c>
      <c r="G11040" t="s">
        <v>30058</v>
      </c>
      <c r="H11040" t="s">
        <v>30067</v>
      </c>
      <c r="I11040" t="s">
        <v>3693</v>
      </c>
      <c r="J11040" t="s">
        <v>30281</v>
      </c>
      <c r="K11040" t="s">
        <v>39074</v>
      </c>
      <c r="L11040" t="s">
        <v>2035</v>
      </c>
      <c r="M11040" t="s">
        <v>42640</v>
      </c>
      <c r="N11040" t="s">
        <v>43166</v>
      </c>
      <c r="O11040" t="s">
        <v>43167</v>
      </c>
      <c r="P11040">
        <v>0</v>
      </c>
      <c r="Q11040">
        <v>1</v>
      </c>
      <c r="R11040" t="s">
        <v>43180</v>
      </c>
      <c r="S11040" t="s">
        <v>43646</v>
      </c>
      <c r="T11040" t="s">
        <v>44699</v>
      </c>
      <c r="U11040" t="s">
        <v>54004</v>
      </c>
      <c r="W11040" t="s">
        <v>42640</v>
      </c>
      <c r="X11040" t="s">
        <v>43181</v>
      </c>
    </row>
    <row r="11041" spans="1:24">
      <c r="A11041">
        <f>HYPERLINK("https://www.philgeps.gov.ph/GEPSNONPILOT/Tender/SplashBidNoticeAbstractUI.aspx?menuIndex=3&amp;refID=7063007&amp;Result=3","7063007")</f>
        <v>0</v>
      </c>
      <c r="B11041" t="s">
        <v>1864</v>
      </c>
      <c r="C11041" t="s">
        <v>13948</v>
      </c>
      <c r="D11041" t="s">
        <v>17435</v>
      </c>
      <c r="E11041" t="s">
        <v>26943</v>
      </c>
      <c r="F11041" t="s">
        <v>30052</v>
      </c>
      <c r="G11041" t="s">
        <v>30058</v>
      </c>
      <c r="H11041" t="s">
        <v>15498</v>
      </c>
      <c r="I11041" t="s">
        <v>30100</v>
      </c>
      <c r="J11041" t="s">
        <v>30252</v>
      </c>
      <c r="K11041" t="s">
        <v>39029</v>
      </c>
      <c r="M11041" t="s">
        <v>41292</v>
      </c>
      <c r="N11041" t="s">
        <v>43166</v>
      </c>
      <c r="O11041" t="s">
        <v>43167</v>
      </c>
      <c r="P11041">
        <v>0</v>
      </c>
      <c r="Q11041">
        <v>4</v>
      </c>
      <c r="R11041" t="s">
        <v>43180</v>
      </c>
      <c r="S11041" t="s">
        <v>43646</v>
      </c>
      <c r="T11041" t="s">
        <v>44681</v>
      </c>
      <c r="U11041" t="s">
        <v>54005</v>
      </c>
      <c r="V11041" t="s">
        <v>58073</v>
      </c>
      <c r="W11041" t="s">
        <v>41292</v>
      </c>
      <c r="X11041" t="s">
        <v>43181</v>
      </c>
    </row>
    <row r="11042" spans="1:24">
      <c r="A11042">
        <f>HYPERLINK("https://www.philgeps.gov.ph/GEPSNONPILOT/Tender/SplashBidNoticeAbstractUI.aspx?menuIndex=3&amp;refID=7063227&amp;Result=3","7063227")</f>
        <v>0</v>
      </c>
      <c r="B11042" t="s">
        <v>767</v>
      </c>
      <c r="C11042" t="s">
        <v>13949</v>
      </c>
      <c r="D11042" t="s">
        <v>17487</v>
      </c>
      <c r="E11042" t="s">
        <v>26944</v>
      </c>
      <c r="F11042" t="s">
        <v>30052</v>
      </c>
      <c r="G11042" t="s">
        <v>30058</v>
      </c>
      <c r="H11042" t="s">
        <v>15498</v>
      </c>
      <c r="I11042" t="s">
        <v>30074</v>
      </c>
      <c r="J11042" t="s">
        <v>36950</v>
      </c>
      <c r="K11042" t="s">
        <v>39046</v>
      </c>
      <c r="M11042" t="s">
        <v>40081</v>
      </c>
      <c r="N11042" t="s">
        <v>43166</v>
      </c>
      <c r="O11042" t="s">
        <v>43167</v>
      </c>
      <c r="P11042">
        <v>0</v>
      </c>
      <c r="Q11042">
        <v>5</v>
      </c>
      <c r="R11042" t="s">
        <v>43180</v>
      </c>
      <c r="S11042" t="s">
        <v>43646</v>
      </c>
      <c r="T11042" t="s">
        <v>44687</v>
      </c>
      <c r="U11042" t="s">
        <v>54006</v>
      </c>
      <c r="V11042" t="s">
        <v>57027</v>
      </c>
      <c r="W11042" t="s">
        <v>40081</v>
      </c>
      <c r="X11042" t="s">
        <v>43181</v>
      </c>
    </row>
    <row r="11043" spans="1:24">
      <c r="A11043">
        <f>HYPERLINK("https://www.philgeps.gov.ph/GEPSNONPILOT/Tender/SplashBidNoticeAbstractUI.aspx?menuIndex=3&amp;refID=7063230&amp;Result=3","7063230")</f>
        <v>0</v>
      </c>
      <c r="B11043" t="s">
        <v>1740</v>
      </c>
      <c r="C11043" t="s">
        <v>13950</v>
      </c>
      <c r="D11043" t="s">
        <v>17456</v>
      </c>
      <c r="E11043" t="s">
        <v>26945</v>
      </c>
      <c r="F11043" t="s">
        <v>30052</v>
      </c>
      <c r="G11043" t="s">
        <v>30058</v>
      </c>
      <c r="H11043" t="s">
        <v>30067</v>
      </c>
      <c r="I11043" t="s">
        <v>3693</v>
      </c>
      <c r="J11043" t="s">
        <v>31772</v>
      </c>
      <c r="K11043" t="s">
        <v>39254</v>
      </c>
      <c r="M11043" t="s">
        <v>41157</v>
      </c>
      <c r="N11043" t="s">
        <v>43166</v>
      </c>
      <c r="O11043" t="s">
        <v>43167</v>
      </c>
      <c r="Q11043">
        <v>3</v>
      </c>
      <c r="R11043" t="s">
        <v>43180</v>
      </c>
      <c r="S11043" t="s">
        <v>43676</v>
      </c>
      <c r="T11043" t="s">
        <v>44718</v>
      </c>
      <c r="U11043" t="s">
        <v>53973</v>
      </c>
      <c r="W11043" t="s">
        <v>41157</v>
      </c>
      <c r="X11043" t="s">
        <v>43181</v>
      </c>
    </row>
    <row r="11044" spans="1:24">
      <c r="A11044">
        <f>HYPERLINK("https://www.philgeps.gov.ph/GEPSNONPILOT/Tender/SplashBidNoticeAbstractUI.aspx?menuIndex=3&amp;refID=7063186&amp;Result=3","7063186")</f>
        <v>0</v>
      </c>
      <c r="B11044" t="s">
        <v>2309</v>
      </c>
      <c r="C11044" t="s">
        <v>13951</v>
      </c>
      <c r="D11044" t="s">
        <v>17419</v>
      </c>
      <c r="E11044" t="s">
        <v>26946</v>
      </c>
      <c r="F11044" t="s">
        <v>30052</v>
      </c>
      <c r="G11044" t="s">
        <v>30058</v>
      </c>
      <c r="H11044" t="s">
        <v>15498</v>
      </c>
      <c r="I11044" t="s">
        <v>30140</v>
      </c>
      <c r="J11044" t="s">
        <v>30281</v>
      </c>
      <c r="K11044" t="s">
        <v>39064</v>
      </c>
      <c r="M11044" t="s">
        <v>41795</v>
      </c>
      <c r="N11044" t="s">
        <v>43166</v>
      </c>
      <c r="O11044" t="s">
        <v>43167</v>
      </c>
      <c r="P11044">
        <v>0</v>
      </c>
      <c r="Q11044">
        <v>4</v>
      </c>
      <c r="R11044" t="s">
        <v>43180</v>
      </c>
      <c r="S11044" t="s">
        <v>43646</v>
      </c>
      <c r="T11044" t="s">
        <v>44717</v>
      </c>
      <c r="U11044" t="s">
        <v>54007</v>
      </c>
      <c r="W11044" t="s">
        <v>41795</v>
      </c>
      <c r="X11044" t="s">
        <v>43181</v>
      </c>
    </row>
    <row r="11045" spans="1:24">
      <c r="A11045">
        <f>HYPERLINK("https://www.philgeps.gov.ph/GEPSNONPILOT/Tender/SplashBidNoticeAbstractUI.aspx?menuIndex=3&amp;refID=7063149&amp;Result=3","7063149")</f>
        <v>0</v>
      </c>
      <c r="B11045" t="s">
        <v>964</v>
      </c>
      <c r="C11045" t="s">
        <v>13952</v>
      </c>
      <c r="D11045" t="s">
        <v>17415</v>
      </c>
      <c r="E11045" t="s">
        <v>26947</v>
      </c>
      <c r="F11045" t="s">
        <v>30052</v>
      </c>
      <c r="G11045" t="s">
        <v>30058</v>
      </c>
      <c r="H11045" t="s">
        <v>15498</v>
      </c>
      <c r="I11045" t="s">
        <v>9238</v>
      </c>
      <c r="J11045" t="s">
        <v>33078</v>
      </c>
      <c r="K11045" t="s">
        <v>39023</v>
      </c>
      <c r="M11045" t="s">
        <v>42637</v>
      </c>
      <c r="N11045" t="s">
        <v>43166</v>
      </c>
      <c r="O11045" t="s">
        <v>43167</v>
      </c>
      <c r="P11045">
        <v>0</v>
      </c>
      <c r="Q11045">
        <v>10</v>
      </c>
      <c r="R11045" t="s">
        <v>43180</v>
      </c>
      <c r="S11045" t="s">
        <v>43646</v>
      </c>
      <c r="T11045" t="s">
        <v>44800</v>
      </c>
      <c r="U11045" t="s">
        <v>54008</v>
      </c>
      <c r="W11045" t="s">
        <v>42637</v>
      </c>
      <c r="X11045" t="s">
        <v>43181</v>
      </c>
    </row>
    <row r="11046" spans="1:24">
      <c r="A11046">
        <f>HYPERLINK("https://www.philgeps.gov.ph/GEPSNONPILOT/Tender/SplashBidNoticeAbstractUI.aspx?menuIndex=3&amp;refID=7063159&amp;Result=3","7063159")</f>
        <v>0</v>
      </c>
      <c r="B11046" t="s">
        <v>3060</v>
      </c>
      <c r="C11046" t="s">
        <v>13953</v>
      </c>
      <c r="D11046" t="s">
        <v>17424</v>
      </c>
      <c r="E11046" t="s">
        <v>18191</v>
      </c>
      <c r="F11046" t="s">
        <v>30055</v>
      </c>
      <c r="G11046" t="s">
        <v>30063</v>
      </c>
      <c r="H11046" t="s">
        <v>30067</v>
      </c>
      <c r="I11046" t="s">
        <v>3693</v>
      </c>
      <c r="J11046" t="s">
        <v>30297</v>
      </c>
      <c r="K11046" t="s">
        <v>39031</v>
      </c>
      <c r="M11046" t="s">
        <v>42641</v>
      </c>
      <c r="N11046" t="s">
        <v>43166</v>
      </c>
      <c r="O11046" t="s">
        <v>43167</v>
      </c>
      <c r="P11046">
        <v>0</v>
      </c>
      <c r="Q11046">
        <v>1</v>
      </c>
      <c r="R11046" t="s">
        <v>43180</v>
      </c>
      <c r="S11046" t="s">
        <v>43646</v>
      </c>
      <c r="T11046" t="s">
        <v>44728</v>
      </c>
      <c r="U11046" t="s">
        <v>54009</v>
      </c>
      <c r="W11046" t="s">
        <v>42641</v>
      </c>
      <c r="X11046" t="s">
        <v>43181</v>
      </c>
    </row>
    <row r="11047" spans="1:24">
      <c r="A11047">
        <f>HYPERLINK("https://www.philgeps.gov.ph/GEPSNONPILOT/Tender/SplashBidNoticeAbstractUI.aspx?menuIndex=3&amp;refID=7063158&amp;Result=3","7063158")</f>
        <v>0</v>
      </c>
      <c r="B11047" t="s">
        <v>1740</v>
      </c>
      <c r="C11047" t="s">
        <v>13954</v>
      </c>
      <c r="D11047" t="s">
        <v>17456</v>
      </c>
      <c r="E11047" t="s">
        <v>26948</v>
      </c>
      <c r="F11047" t="s">
        <v>30052</v>
      </c>
      <c r="G11047" t="s">
        <v>30058</v>
      </c>
      <c r="H11047" t="s">
        <v>30067</v>
      </c>
      <c r="I11047" t="s">
        <v>3693</v>
      </c>
      <c r="J11047" t="s">
        <v>36951</v>
      </c>
      <c r="K11047" t="s">
        <v>39114</v>
      </c>
      <c r="M11047" t="s">
        <v>41157</v>
      </c>
      <c r="N11047" t="s">
        <v>43166</v>
      </c>
      <c r="O11047" t="s">
        <v>43167</v>
      </c>
      <c r="Q11047">
        <v>2</v>
      </c>
      <c r="R11047" t="s">
        <v>43180</v>
      </c>
      <c r="S11047" t="s">
        <v>43677</v>
      </c>
      <c r="T11047" t="s">
        <v>44718</v>
      </c>
      <c r="U11047" t="s">
        <v>53973</v>
      </c>
      <c r="W11047" t="s">
        <v>41157</v>
      </c>
      <c r="X11047" t="s">
        <v>43181</v>
      </c>
    </row>
    <row r="11048" spans="1:24">
      <c r="A11048">
        <f>HYPERLINK("https://www.philgeps.gov.ph/GEPSNONPILOT/Tender/SplashBidNoticeAbstractUI.aspx?menuIndex=3&amp;refID=7063293&amp;Result=3","7063293")</f>
        <v>0</v>
      </c>
      <c r="B11048" t="s">
        <v>3061</v>
      </c>
      <c r="C11048" t="s">
        <v>13955</v>
      </c>
      <c r="D11048" t="s">
        <v>17461</v>
      </c>
      <c r="E11048" t="s">
        <v>26949</v>
      </c>
      <c r="F11048" t="s">
        <v>30052</v>
      </c>
      <c r="G11048" t="s">
        <v>30058</v>
      </c>
      <c r="H11048" t="s">
        <v>15498</v>
      </c>
      <c r="I11048" t="s">
        <v>3606</v>
      </c>
      <c r="J11048" t="s">
        <v>36952</v>
      </c>
      <c r="K11048" t="s">
        <v>39023</v>
      </c>
      <c r="M11048" t="s">
        <v>42642</v>
      </c>
      <c r="N11048" t="s">
        <v>43166</v>
      </c>
      <c r="O11048" t="s">
        <v>43167</v>
      </c>
      <c r="P11048">
        <v>0</v>
      </c>
      <c r="Q11048">
        <v>6</v>
      </c>
      <c r="R11048" t="s">
        <v>43180</v>
      </c>
      <c r="S11048" t="s">
        <v>43646</v>
      </c>
      <c r="T11048" t="s">
        <v>44815</v>
      </c>
      <c r="U11048" t="s">
        <v>54010</v>
      </c>
      <c r="W11048" t="s">
        <v>58701</v>
      </c>
      <c r="X11048" t="s">
        <v>43181</v>
      </c>
    </row>
    <row r="11049" spans="1:24">
      <c r="A11049">
        <f>HYPERLINK("https://www.philgeps.gov.ph/GEPSNONPILOT/Tender/SplashBidNoticeAbstractUI.aspx?menuIndex=3&amp;refID=7063150&amp;Result=3","7063150")</f>
        <v>0</v>
      </c>
      <c r="B11049" t="s">
        <v>2977</v>
      </c>
      <c r="C11049" t="s">
        <v>13956</v>
      </c>
      <c r="D11049" t="s">
        <v>17456</v>
      </c>
      <c r="E11049" t="s">
        <v>26950</v>
      </c>
      <c r="F11049" t="s">
        <v>30052</v>
      </c>
      <c r="G11049" t="s">
        <v>30058</v>
      </c>
      <c r="H11049" t="s">
        <v>15498</v>
      </c>
      <c r="I11049" t="s">
        <v>3736</v>
      </c>
      <c r="J11049" t="s">
        <v>30900</v>
      </c>
      <c r="K11049" t="s">
        <v>39046</v>
      </c>
      <c r="M11049" t="s">
        <v>42546</v>
      </c>
      <c r="N11049" t="s">
        <v>43166</v>
      </c>
      <c r="O11049" t="s">
        <v>43167</v>
      </c>
      <c r="P11049">
        <v>0</v>
      </c>
      <c r="Q11049">
        <v>2</v>
      </c>
      <c r="R11049" t="s">
        <v>43180</v>
      </c>
      <c r="S11049" t="s">
        <v>43646</v>
      </c>
      <c r="T11049" t="s">
        <v>44753</v>
      </c>
      <c r="U11049" t="s">
        <v>54011</v>
      </c>
      <c r="W11049" t="s">
        <v>42546</v>
      </c>
      <c r="X11049" t="s">
        <v>43181</v>
      </c>
    </row>
    <row r="11050" spans="1:24">
      <c r="A11050">
        <f>HYPERLINK("https://www.philgeps.gov.ph/GEPSNONPILOT/Tender/SplashBidNoticeAbstractUI.aspx?menuIndex=3&amp;refID=7063181&amp;Result=3","7063181")</f>
        <v>0</v>
      </c>
      <c r="B11050" t="s">
        <v>1134</v>
      </c>
      <c r="C11050" t="s">
        <v>13957</v>
      </c>
      <c r="D11050" t="s">
        <v>17459</v>
      </c>
      <c r="E11050" t="s">
        <v>26951</v>
      </c>
      <c r="F11050" t="s">
        <v>30052</v>
      </c>
      <c r="G11050" t="s">
        <v>30058</v>
      </c>
      <c r="H11050" t="s">
        <v>30067</v>
      </c>
      <c r="I11050" t="s">
        <v>3693</v>
      </c>
      <c r="J11050" t="s">
        <v>36953</v>
      </c>
      <c r="K11050" t="s">
        <v>39065</v>
      </c>
      <c r="M11050" t="s">
        <v>40749</v>
      </c>
      <c r="N11050" t="s">
        <v>43166</v>
      </c>
      <c r="O11050" t="s">
        <v>43167</v>
      </c>
      <c r="P11050">
        <v>0</v>
      </c>
      <c r="Q11050">
        <v>0</v>
      </c>
      <c r="R11050" t="s">
        <v>43180</v>
      </c>
      <c r="S11050" t="s">
        <v>43646</v>
      </c>
      <c r="T11050" t="s">
        <v>44750</v>
      </c>
      <c r="U11050" t="s">
        <v>53984</v>
      </c>
      <c r="V11050" t="s">
        <v>58048</v>
      </c>
      <c r="W11050" t="s">
        <v>40749</v>
      </c>
      <c r="X11050" t="s">
        <v>43181</v>
      </c>
    </row>
    <row r="11051" spans="1:24">
      <c r="A11051">
        <f>HYPERLINK("https://www.philgeps.gov.ph/GEPSNONPILOT/Tender/SplashBidNoticeAbstractUI.aspx?menuIndex=3&amp;refID=7063320&amp;Result=3","7063320")</f>
        <v>0</v>
      </c>
      <c r="B11051" t="s">
        <v>1134</v>
      </c>
      <c r="C11051" t="s">
        <v>13958</v>
      </c>
      <c r="D11051" t="s">
        <v>17459</v>
      </c>
      <c r="E11051" t="s">
        <v>26952</v>
      </c>
      <c r="F11051" t="s">
        <v>30052</v>
      </c>
      <c r="G11051" t="s">
        <v>30058</v>
      </c>
      <c r="H11051" t="s">
        <v>30067</v>
      </c>
      <c r="I11051" t="s">
        <v>3693</v>
      </c>
      <c r="J11051" t="s">
        <v>36954</v>
      </c>
      <c r="K11051" t="s">
        <v>39031</v>
      </c>
      <c r="M11051" t="s">
        <v>40749</v>
      </c>
      <c r="N11051" t="s">
        <v>43166</v>
      </c>
      <c r="O11051" t="s">
        <v>43167</v>
      </c>
      <c r="P11051">
        <v>0</v>
      </c>
      <c r="Q11051">
        <v>0</v>
      </c>
      <c r="R11051" t="s">
        <v>43180</v>
      </c>
      <c r="S11051" t="s">
        <v>43646</v>
      </c>
      <c r="T11051" t="s">
        <v>44791</v>
      </c>
      <c r="U11051" t="s">
        <v>54012</v>
      </c>
      <c r="V11051" t="s">
        <v>58048</v>
      </c>
      <c r="W11051" t="s">
        <v>40749</v>
      </c>
      <c r="X11051" t="s">
        <v>43181</v>
      </c>
    </row>
    <row r="11052" spans="1:24">
      <c r="A11052">
        <f>HYPERLINK("https://www.philgeps.gov.ph/GEPSNONPILOT/Tender/SplashBidNoticeAbstractUI.aspx?menuIndex=3&amp;refID=7063135&amp;Result=3","7063135")</f>
        <v>0</v>
      </c>
      <c r="B11052" t="s">
        <v>1942</v>
      </c>
      <c r="C11052" t="s">
        <v>13959</v>
      </c>
      <c r="D11052" t="s">
        <v>17430</v>
      </c>
      <c r="E11052" t="s">
        <v>26953</v>
      </c>
      <c r="F11052" t="s">
        <v>30052</v>
      </c>
      <c r="G11052" t="s">
        <v>30058</v>
      </c>
      <c r="H11052" t="s">
        <v>30067</v>
      </c>
      <c r="I11052" t="s">
        <v>3693</v>
      </c>
      <c r="J11052" t="s">
        <v>36955</v>
      </c>
      <c r="K11052" t="s">
        <v>39076</v>
      </c>
      <c r="M11052" t="s">
        <v>41377</v>
      </c>
      <c r="N11052" t="s">
        <v>43166</v>
      </c>
      <c r="O11052" t="s">
        <v>43167</v>
      </c>
      <c r="P11052">
        <v>0</v>
      </c>
      <c r="Q11052">
        <v>1</v>
      </c>
      <c r="R11052" t="s">
        <v>43180</v>
      </c>
      <c r="S11052" t="s">
        <v>43646</v>
      </c>
      <c r="T11052" t="s">
        <v>44806</v>
      </c>
      <c r="U11052" t="s">
        <v>54013</v>
      </c>
      <c r="V11052" t="s">
        <v>57448</v>
      </c>
      <c r="W11052" t="s">
        <v>41377</v>
      </c>
      <c r="X11052" t="s">
        <v>43181</v>
      </c>
    </row>
    <row r="11053" spans="1:24">
      <c r="A11053">
        <f>HYPERLINK("https://www.philgeps.gov.ph/GEPSNONPILOT/Tender/SplashBidNoticeAbstractUI.aspx?menuIndex=3&amp;refID=7063318&amp;Result=3","7063318")</f>
        <v>0</v>
      </c>
      <c r="B11053" t="s">
        <v>2296</v>
      </c>
      <c r="C11053" t="s">
        <v>13960</v>
      </c>
      <c r="E11053" t="s">
        <v>26954</v>
      </c>
      <c r="F11053" t="s">
        <v>30052</v>
      </c>
      <c r="G11053" t="s">
        <v>30058</v>
      </c>
      <c r="H11053" t="s">
        <v>30067</v>
      </c>
      <c r="I11053" t="s">
        <v>3693</v>
      </c>
      <c r="J11053" t="s">
        <v>36956</v>
      </c>
      <c r="K11053" t="s">
        <v>39022</v>
      </c>
      <c r="M11053" t="s">
        <v>42643</v>
      </c>
      <c r="N11053" t="s">
        <v>43166</v>
      </c>
      <c r="O11053" t="s">
        <v>43167</v>
      </c>
      <c r="Q11053">
        <v>1</v>
      </c>
      <c r="R11053" t="s">
        <v>43180</v>
      </c>
      <c r="S11053" t="s">
        <v>43678</v>
      </c>
      <c r="T11053" t="s">
        <v>44750</v>
      </c>
      <c r="U11053" t="s">
        <v>54014</v>
      </c>
      <c r="W11053" t="s">
        <v>42643</v>
      </c>
      <c r="X11053" t="s">
        <v>43181</v>
      </c>
    </row>
    <row r="11054" spans="1:24">
      <c r="A11054">
        <f>HYPERLINK("https://www.philgeps.gov.ph/GEPSNONPILOT/Tender/SplashBidNoticeAbstractUI.aspx?menuIndex=3&amp;refID=7063315&amp;Result=3","7063315")</f>
        <v>0</v>
      </c>
      <c r="B11054" t="s">
        <v>684</v>
      </c>
      <c r="C11054" t="s">
        <v>13961</v>
      </c>
      <c r="D11054" t="s">
        <v>17473</v>
      </c>
      <c r="E11054" t="s">
        <v>13961</v>
      </c>
      <c r="F11054" t="s">
        <v>30052</v>
      </c>
      <c r="G11054" t="s">
        <v>30061</v>
      </c>
      <c r="H11054" t="s">
        <v>15498</v>
      </c>
      <c r="I11054" t="s">
        <v>5961</v>
      </c>
      <c r="J11054" t="s">
        <v>33332</v>
      </c>
      <c r="K11054" t="s">
        <v>39029</v>
      </c>
      <c r="M11054" t="s">
        <v>42644</v>
      </c>
      <c r="N11054" t="s">
        <v>43166</v>
      </c>
      <c r="O11054" t="s">
        <v>43167</v>
      </c>
      <c r="P11054">
        <v>0</v>
      </c>
      <c r="Q11054">
        <v>6</v>
      </c>
      <c r="R11054" t="s">
        <v>43180</v>
      </c>
      <c r="S11054" t="s">
        <v>43646</v>
      </c>
      <c r="T11054" t="s">
        <v>44822</v>
      </c>
      <c r="U11054" t="s">
        <v>54015</v>
      </c>
      <c r="W11054" t="s">
        <v>42644</v>
      </c>
      <c r="X11054" t="s">
        <v>43181</v>
      </c>
    </row>
    <row r="11055" spans="1:24">
      <c r="A11055">
        <f>HYPERLINK("https://www.philgeps.gov.ph/GEPSNONPILOT/Tender/SplashBidNoticeAbstractUI.aspx?menuIndex=3&amp;refID=7063154&amp;Result=3","7063154")</f>
        <v>0</v>
      </c>
      <c r="B11055" t="s">
        <v>776</v>
      </c>
      <c r="C11055" t="s">
        <v>13962</v>
      </c>
      <c r="D11055" t="s">
        <v>17444</v>
      </c>
      <c r="E11055" t="s">
        <v>26955</v>
      </c>
      <c r="F11055" t="s">
        <v>30052</v>
      </c>
      <c r="G11055" t="s">
        <v>30058</v>
      </c>
      <c r="H11055" t="s">
        <v>15498</v>
      </c>
      <c r="I11055" t="s">
        <v>30071</v>
      </c>
      <c r="J11055" t="s">
        <v>36957</v>
      </c>
      <c r="K11055" t="s">
        <v>39029</v>
      </c>
      <c r="M11055" t="s">
        <v>40091</v>
      </c>
      <c r="N11055" t="s">
        <v>43166</v>
      </c>
      <c r="O11055" t="s">
        <v>43167</v>
      </c>
      <c r="P11055">
        <v>0</v>
      </c>
      <c r="Q11055">
        <v>0</v>
      </c>
      <c r="R11055" t="s">
        <v>43180</v>
      </c>
      <c r="S11055" t="s">
        <v>43646</v>
      </c>
      <c r="T11055" t="s">
        <v>44791</v>
      </c>
      <c r="U11055" t="s">
        <v>54016</v>
      </c>
      <c r="V11055" t="s">
        <v>58074</v>
      </c>
      <c r="W11055" t="s">
        <v>40091</v>
      </c>
      <c r="X11055" t="s">
        <v>43181</v>
      </c>
    </row>
    <row r="11056" spans="1:24">
      <c r="A11056">
        <f>HYPERLINK("https://www.philgeps.gov.ph/GEPSNONPILOT/Tender/SplashBidNoticeAbstractUI.aspx?menuIndex=3&amp;refID=7063314&amp;Result=3","7063314")</f>
        <v>0</v>
      </c>
      <c r="B11056" t="s">
        <v>78</v>
      </c>
      <c r="C11056" t="s">
        <v>13963</v>
      </c>
      <c r="E11056" t="s">
        <v>26956</v>
      </c>
      <c r="F11056" t="s">
        <v>30052</v>
      </c>
      <c r="G11056" t="s">
        <v>30063</v>
      </c>
      <c r="H11056" t="s">
        <v>15498</v>
      </c>
      <c r="I11056" t="s">
        <v>30092</v>
      </c>
      <c r="J11056" t="s">
        <v>36958</v>
      </c>
      <c r="K11056" t="s">
        <v>39029</v>
      </c>
      <c r="M11056" t="s">
        <v>39367</v>
      </c>
      <c r="N11056" t="s">
        <v>43166</v>
      </c>
      <c r="O11056" t="s">
        <v>43167</v>
      </c>
      <c r="P11056">
        <v>0</v>
      </c>
      <c r="Q11056">
        <v>1</v>
      </c>
      <c r="R11056" t="s">
        <v>43180</v>
      </c>
      <c r="S11056" t="s">
        <v>43646</v>
      </c>
      <c r="T11056" t="s">
        <v>44699</v>
      </c>
      <c r="U11056" t="s">
        <v>54017</v>
      </c>
      <c r="V11056" t="s">
        <v>58037</v>
      </c>
      <c r="W11056" t="s">
        <v>39367</v>
      </c>
      <c r="X11056" t="s">
        <v>43181</v>
      </c>
    </row>
    <row r="11057" spans="1:24">
      <c r="A11057">
        <f>HYPERLINK("https://www.philgeps.gov.ph/GEPSNONPILOT/Tender/SplashBidNoticeAbstractUI.aspx?menuIndex=3&amp;refID=7063300&amp;Result=3","7063300")</f>
        <v>0</v>
      </c>
      <c r="B11057" t="s">
        <v>1134</v>
      </c>
      <c r="C11057" t="s">
        <v>13964</v>
      </c>
      <c r="D11057" t="s">
        <v>17459</v>
      </c>
      <c r="E11057" t="s">
        <v>26957</v>
      </c>
      <c r="F11057" t="s">
        <v>30052</v>
      </c>
      <c r="G11057" t="s">
        <v>30058</v>
      </c>
      <c r="H11057" t="s">
        <v>30067</v>
      </c>
      <c r="I11057" t="s">
        <v>3693</v>
      </c>
      <c r="J11057" t="s">
        <v>36959</v>
      </c>
      <c r="K11057" t="s">
        <v>39031</v>
      </c>
      <c r="M11057" t="s">
        <v>40749</v>
      </c>
      <c r="N11057" t="s">
        <v>43166</v>
      </c>
      <c r="O11057" t="s">
        <v>43167</v>
      </c>
      <c r="P11057">
        <v>0</v>
      </c>
      <c r="Q11057">
        <v>0</v>
      </c>
      <c r="R11057" t="s">
        <v>43180</v>
      </c>
      <c r="S11057" t="s">
        <v>43646</v>
      </c>
      <c r="T11057" t="s">
        <v>44791</v>
      </c>
      <c r="U11057" t="s">
        <v>54018</v>
      </c>
      <c r="V11057" t="s">
        <v>58048</v>
      </c>
      <c r="W11057" t="s">
        <v>40749</v>
      </c>
      <c r="X11057" t="s">
        <v>43181</v>
      </c>
    </row>
    <row r="11058" spans="1:24">
      <c r="A11058">
        <f>HYPERLINK("https://www.philgeps.gov.ph/GEPSNONPILOT/Tender/SplashBidNoticeAbstractUI.aspx?menuIndex=3&amp;refID=7062990&amp;Result=3","7062990")</f>
        <v>0</v>
      </c>
      <c r="B11058" t="s">
        <v>3062</v>
      </c>
      <c r="C11058" t="s">
        <v>13965</v>
      </c>
      <c r="D11058" t="s">
        <v>17415</v>
      </c>
      <c r="E11058" t="s">
        <v>26958</v>
      </c>
      <c r="F11058" t="s">
        <v>30052</v>
      </c>
      <c r="G11058" t="s">
        <v>30061</v>
      </c>
      <c r="H11058" t="s">
        <v>15498</v>
      </c>
      <c r="I11058" t="s">
        <v>30070</v>
      </c>
      <c r="J11058" t="s">
        <v>31913</v>
      </c>
      <c r="K11058" t="s">
        <v>39029</v>
      </c>
      <c r="M11058" t="s">
        <v>42645</v>
      </c>
      <c r="N11058" t="s">
        <v>43166</v>
      </c>
      <c r="O11058" t="s">
        <v>43167</v>
      </c>
      <c r="Q11058">
        <v>5</v>
      </c>
      <c r="R11058" t="s">
        <v>43180</v>
      </c>
      <c r="S11058" t="s">
        <v>43679</v>
      </c>
      <c r="T11058" t="s">
        <v>44787</v>
      </c>
      <c r="U11058" t="s">
        <v>54019</v>
      </c>
      <c r="W11058" t="s">
        <v>42645</v>
      </c>
      <c r="X11058" t="s">
        <v>43181</v>
      </c>
    </row>
    <row r="11059" spans="1:24">
      <c r="A11059">
        <f>HYPERLINK("https://www.philgeps.gov.ph/GEPSNONPILOT/Tender/SplashBidNoticeAbstractUI.aspx?menuIndex=3&amp;refID=7063295&amp;Result=3","7063295")</f>
        <v>0</v>
      </c>
      <c r="B11059" t="s">
        <v>684</v>
      </c>
      <c r="C11059" t="s">
        <v>13966</v>
      </c>
      <c r="D11059" t="s">
        <v>17473</v>
      </c>
      <c r="E11059" t="s">
        <v>13966</v>
      </c>
      <c r="F11059" t="s">
        <v>30052</v>
      </c>
      <c r="G11059" t="s">
        <v>30061</v>
      </c>
      <c r="H11059" t="s">
        <v>15498</v>
      </c>
      <c r="I11059" t="s">
        <v>30115</v>
      </c>
      <c r="J11059" t="s">
        <v>31510</v>
      </c>
      <c r="K11059" t="s">
        <v>39029</v>
      </c>
      <c r="M11059" t="s">
        <v>42644</v>
      </c>
      <c r="N11059" t="s">
        <v>43166</v>
      </c>
      <c r="O11059" t="s">
        <v>43167</v>
      </c>
      <c r="P11059">
        <v>0</v>
      </c>
      <c r="Q11059">
        <v>6</v>
      </c>
      <c r="R11059" t="s">
        <v>43180</v>
      </c>
      <c r="S11059" t="s">
        <v>43646</v>
      </c>
      <c r="T11059" t="s">
        <v>44822</v>
      </c>
      <c r="U11059" t="s">
        <v>54020</v>
      </c>
      <c r="W11059" t="s">
        <v>42644</v>
      </c>
      <c r="X11059" t="s">
        <v>43181</v>
      </c>
    </row>
    <row r="11060" spans="1:24">
      <c r="A11060">
        <f>HYPERLINK("https://www.philgeps.gov.ph/GEPSNONPILOT/Tender/SplashBidNoticeAbstractUI.aspx?menuIndex=3&amp;refID=7063285&amp;Result=3","7063285")</f>
        <v>0</v>
      </c>
      <c r="B11060" t="s">
        <v>1465</v>
      </c>
      <c r="C11060" t="s">
        <v>13967</v>
      </c>
      <c r="D11060" t="s">
        <v>17456</v>
      </c>
      <c r="E11060" t="s">
        <v>26959</v>
      </c>
      <c r="F11060" t="s">
        <v>30052</v>
      </c>
      <c r="G11060" t="s">
        <v>30058</v>
      </c>
      <c r="H11060" t="s">
        <v>15498</v>
      </c>
      <c r="I11060" t="s">
        <v>30096</v>
      </c>
      <c r="J11060" t="s">
        <v>36960</v>
      </c>
      <c r="K11060" t="s">
        <v>39029</v>
      </c>
      <c r="M11060" t="s">
        <v>40846</v>
      </c>
      <c r="N11060" t="s">
        <v>43166</v>
      </c>
      <c r="O11060" t="s">
        <v>43167</v>
      </c>
      <c r="P11060">
        <v>0</v>
      </c>
      <c r="Q11060">
        <v>4</v>
      </c>
      <c r="R11060" t="s">
        <v>43180</v>
      </c>
      <c r="S11060" t="s">
        <v>43646</v>
      </c>
      <c r="T11060" t="s">
        <v>45146</v>
      </c>
      <c r="U11060" t="s">
        <v>53083</v>
      </c>
      <c r="W11060" t="s">
        <v>40846</v>
      </c>
      <c r="X11060" t="s">
        <v>43181</v>
      </c>
    </row>
    <row r="11061" spans="1:24">
      <c r="A11061">
        <f>HYPERLINK("https://www.philgeps.gov.ph/GEPSNONPILOT/Tender/SplashBidNoticeAbstractUI.aspx?menuIndex=3&amp;refID=7063281&amp;Result=3","7063281")</f>
        <v>0</v>
      </c>
      <c r="B11061" t="s">
        <v>3063</v>
      </c>
      <c r="C11061" t="s">
        <v>13968</v>
      </c>
      <c r="E11061" t="s">
        <v>26960</v>
      </c>
      <c r="F11061" t="s">
        <v>30052</v>
      </c>
      <c r="G11061" t="s">
        <v>30058</v>
      </c>
      <c r="H11061" t="s">
        <v>15498</v>
      </c>
      <c r="I11061" t="s">
        <v>3852</v>
      </c>
      <c r="J11061" t="s">
        <v>36961</v>
      </c>
      <c r="K11061" t="s">
        <v>39025</v>
      </c>
      <c r="M11061" t="s">
        <v>42646</v>
      </c>
      <c r="N11061" t="s">
        <v>43166</v>
      </c>
      <c r="O11061" t="s">
        <v>43167</v>
      </c>
      <c r="P11061">
        <v>0</v>
      </c>
      <c r="Q11061">
        <v>5</v>
      </c>
      <c r="R11061" t="s">
        <v>43180</v>
      </c>
      <c r="S11061" t="s">
        <v>43646</v>
      </c>
      <c r="T11061" t="s">
        <v>44721</v>
      </c>
      <c r="U11061" t="s">
        <v>54021</v>
      </c>
      <c r="W11061" t="s">
        <v>42646</v>
      </c>
      <c r="X11061" t="s">
        <v>43181</v>
      </c>
    </row>
    <row r="11062" spans="1:24">
      <c r="A11062">
        <f>HYPERLINK("https://www.philgeps.gov.ph/GEPSNONPILOT/Tender/SplashBidNoticeAbstractUI.aspx?menuIndex=3&amp;refID=7063312&amp;Result=3","7063312")</f>
        <v>0</v>
      </c>
      <c r="B11062" t="s">
        <v>3064</v>
      </c>
      <c r="C11062" t="s">
        <v>13969</v>
      </c>
      <c r="D11062" t="s">
        <v>17442</v>
      </c>
      <c r="E11062" t="s">
        <v>17779</v>
      </c>
      <c r="F11062" t="s">
        <v>30052</v>
      </c>
      <c r="G11062" t="s">
        <v>30058</v>
      </c>
      <c r="H11062" t="s">
        <v>15498</v>
      </c>
      <c r="I11062" t="s">
        <v>30074</v>
      </c>
      <c r="J11062" t="s">
        <v>36962</v>
      </c>
      <c r="K11062" t="s">
        <v>39023</v>
      </c>
      <c r="M11062" t="s">
        <v>42647</v>
      </c>
      <c r="N11062" t="s">
        <v>43166</v>
      </c>
      <c r="O11062" t="s">
        <v>43167</v>
      </c>
      <c r="P11062">
        <v>0</v>
      </c>
      <c r="Q11062">
        <v>3</v>
      </c>
      <c r="R11062" t="s">
        <v>43180</v>
      </c>
      <c r="S11062" t="s">
        <v>43646</v>
      </c>
      <c r="T11062" t="s">
        <v>44754</v>
      </c>
      <c r="U11062" t="s">
        <v>54022</v>
      </c>
      <c r="W11062" t="s">
        <v>42647</v>
      </c>
      <c r="X11062" t="s">
        <v>43181</v>
      </c>
    </row>
    <row r="11063" spans="1:24">
      <c r="A11063">
        <f>HYPERLINK("https://www.philgeps.gov.ph/GEPSNONPILOT/Tender/SplashBidNoticeAbstractUI.aspx?menuIndex=3&amp;refID=7063268&amp;Result=3","7063268")</f>
        <v>0</v>
      </c>
      <c r="B11063" t="s">
        <v>78</v>
      </c>
      <c r="C11063" t="s">
        <v>13970</v>
      </c>
      <c r="D11063" t="s">
        <v>17484</v>
      </c>
      <c r="E11063" t="s">
        <v>26961</v>
      </c>
      <c r="F11063" t="s">
        <v>30052</v>
      </c>
      <c r="G11063" t="s">
        <v>30063</v>
      </c>
      <c r="H11063" t="s">
        <v>15498</v>
      </c>
      <c r="I11063" t="s">
        <v>30144</v>
      </c>
      <c r="J11063" t="s">
        <v>30680</v>
      </c>
      <c r="K11063" t="s">
        <v>39029</v>
      </c>
      <c r="M11063" t="s">
        <v>39367</v>
      </c>
      <c r="N11063" t="s">
        <v>43166</v>
      </c>
      <c r="O11063" t="s">
        <v>43167</v>
      </c>
      <c r="P11063">
        <v>0</v>
      </c>
      <c r="Q11063">
        <v>2</v>
      </c>
      <c r="R11063" t="s">
        <v>43180</v>
      </c>
      <c r="S11063" t="s">
        <v>43646</v>
      </c>
      <c r="T11063" t="s">
        <v>44699</v>
      </c>
      <c r="U11063" t="s">
        <v>54023</v>
      </c>
      <c r="V11063" t="s">
        <v>58037</v>
      </c>
      <c r="W11063" t="s">
        <v>39367</v>
      </c>
      <c r="X11063" t="s">
        <v>43181</v>
      </c>
    </row>
    <row r="11064" spans="1:24">
      <c r="A11064">
        <f>HYPERLINK("https://www.philgeps.gov.ph/GEPSNONPILOT/Tender/SplashBidNoticeAbstractUI.aspx?menuIndex=3&amp;refID=7063134&amp;Result=3","7063134")</f>
        <v>0</v>
      </c>
      <c r="B11064" t="s">
        <v>968</v>
      </c>
      <c r="C11064" t="s">
        <v>13971</v>
      </c>
      <c r="D11064" t="s">
        <v>17444</v>
      </c>
      <c r="E11064" t="s">
        <v>26962</v>
      </c>
      <c r="F11064" t="s">
        <v>30052</v>
      </c>
      <c r="G11064" t="s">
        <v>30059</v>
      </c>
      <c r="H11064" t="s">
        <v>15498</v>
      </c>
      <c r="I11064" t="s">
        <v>30074</v>
      </c>
      <c r="J11064" t="s">
        <v>36963</v>
      </c>
      <c r="K11064" t="s">
        <v>39031</v>
      </c>
      <c r="M11064" t="s">
        <v>40294</v>
      </c>
      <c r="N11064" t="s">
        <v>43166</v>
      </c>
      <c r="O11064" t="s">
        <v>43167</v>
      </c>
      <c r="P11064">
        <v>0</v>
      </c>
      <c r="Q11064">
        <v>4</v>
      </c>
      <c r="R11064" t="s">
        <v>43180</v>
      </c>
      <c r="S11064" t="s">
        <v>43646</v>
      </c>
      <c r="T11064" t="s">
        <v>44717</v>
      </c>
      <c r="U11064" t="s">
        <v>54024</v>
      </c>
      <c r="W11064" t="s">
        <v>40294</v>
      </c>
      <c r="X11064" t="s">
        <v>43181</v>
      </c>
    </row>
    <row r="11065" spans="1:24">
      <c r="A11065">
        <f>HYPERLINK("https://www.philgeps.gov.ph/GEPSNONPILOT/Tender/SplashBidNoticeAbstractUI.aspx?menuIndex=3&amp;refID=7063264&amp;Result=3","7063264")</f>
        <v>0</v>
      </c>
      <c r="B11065" t="s">
        <v>1134</v>
      </c>
      <c r="C11065" t="s">
        <v>13972</v>
      </c>
      <c r="D11065" t="s">
        <v>17459</v>
      </c>
      <c r="E11065" t="s">
        <v>26963</v>
      </c>
      <c r="F11065" t="s">
        <v>30052</v>
      </c>
      <c r="G11065" t="s">
        <v>30058</v>
      </c>
      <c r="H11065" t="s">
        <v>30067</v>
      </c>
      <c r="I11065" t="s">
        <v>3693</v>
      </c>
      <c r="J11065" t="s">
        <v>36964</v>
      </c>
      <c r="K11065" t="s">
        <v>39046</v>
      </c>
      <c r="M11065" t="s">
        <v>40749</v>
      </c>
      <c r="N11065" t="s">
        <v>43166</v>
      </c>
      <c r="O11065" t="s">
        <v>43167</v>
      </c>
      <c r="P11065">
        <v>0</v>
      </c>
      <c r="Q11065">
        <v>0</v>
      </c>
      <c r="R11065" t="s">
        <v>43180</v>
      </c>
      <c r="S11065" t="s">
        <v>43646</v>
      </c>
      <c r="T11065" t="s">
        <v>44750</v>
      </c>
      <c r="U11065" t="s">
        <v>54018</v>
      </c>
      <c r="V11065" t="s">
        <v>58048</v>
      </c>
      <c r="W11065" t="s">
        <v>40749</v>
      </c>
      <c r="X11065" t="s">
        <v>43181</v>
      </c>
    </row>
    <row r="11066" spans="1:24">
      <c r="A11066">
        <f>HYPERLINK("https://www.philgeps.gov.ph/GEPSNONPILOT/Tender/SplashBidNoticeAbstractUI.aspx?menuIndex=3&amp;refID=7063246&amp;Result=3","7063246")</f>
        <v>0</v>
      </c>
      <c r="B11066" t="s">
        <v>78</v>
      </c>
      <c r="C11066" t="s">
        <v>13973</v>
      </c>
      <c r="E11066" t="s">
        <v>26964</v>
      </c>
      <c r="F11066" t="s">
        <v>30052</v>
      </c>
      <c r="G11066" t="s">
        <v>30063</v>
      </c>
      <c r="H11066" t="s">
        <v>15498</v>
      </c>
      <c r="I11066" t="s">
        <v>30144</v>
      </c>
      <c r="J11066" t="s">
        <v>36965</v>
      </c>
      <c r="K11066" t="s">
        <v>39029</v>
      </c>
      <c r="M11066" t="s">
        <v>39367</v>
      </c>
      <c r="N11066" t="s">
        <v>43166</v>
      </c>
      <c r="O11066" t="s">
        <v>43167</v>
      </c>
      <c r="P11066">
        <v>0</v>
      </c>
      <c r="Q11066">
        <v>0</v>
      </c>
      <c r="R11066" t="s">
        <v>43180</v>
      </c>
      <c r="S11066" t="s">
        <v>43646</v>
      </c>
      <c r="T11066" t="s">
        <v>44699</v>
      </c>
      <c r="U11066" t="s">
        <v>54025</v>
      </c>
      <c r="V11066" t="s">
        <v>58037</v>
      </c>
      <c r="W11066" t="s">
        <v>39367</v>
      </c>
      <c r="X11066" t="s">
        <v>43181</v>
      </c>
    </row>
    <row r="11067" spans="1:24">
      <c r="A11067">
        <f>HYPERLINK("https://www.philgeps.gov.ph/GEPSNONPILOT/Tender/SplashBidNoticeAbstractUI.aspx?menuIndex=3&amp;refID=7063245&amp;Result=3","7063245")</f>
        <v>0</v>
      </c>
      <c r="B11067" t="s">
        <v>1134</v>
      </c>
      <c r="C11067" t="s">
        <v>13974</v>
      </c>
      <c r="D11067" t="s">
        <v>17459</v>
      </c>
      <c r="E11067" t="s">
        <v>26965</v>
      </c>
      <c r="F11067" t="s">
        <v>30052</v>
      </c>
      <c r="G11067" t="s">
        <v>30058</v>
      </c>
      <c r="H11067" t="s">
        <v>30067</v>
      </c>
      <c r="I11067" t="s">
        <v>3693</v>
      </c>
      <c r="J11067" t="s">
        <v>36966</v>
      </c>
      <c r="K11067" t="s">
        <v>39023</v>
      </c>
      <c r="M11067" t="s">
        <v>40749</v>
      </c>
      <c r="N11067" t="s">
        <v>43166</v>
      </c>
      <c r="O11067" t="s">
        <v>43167</v>
      </c>
      <c r="P11067">
        <v>0</v>
      </c>
      <c r="Q11067">
        <v>0</v>
      </c>
      <c r="R11067" t="s">
        <v>43180</v>
      </c>
      <c r="S11067" t="s">
        <v>43646</v>
      </c>
      <c r="T11067" t="s">
        <v>44750</v>
      </c>
      <c r="U11067" t="s">
        <v>54018</v>
      </c>
      <c r="V11067" t="s">
        <v>58048</v>
      </c>
      <c r="W11067" t="s">
        <v>40749</v>
      </c>
      <c r="X11067" t="s">
        <v>43181</v>
      </c>
    </row>
    <row r="11068" spans="1:24">
      <c r="A11068">
        <f>HYPERLINK("https://www.philgeps.gov.ph/GEPSNONPILOT/Tender/SplashBidNoticeAbstractUI.aspx?menuIndex=3&amp;refID=7063121&amp;Result=3","7063121")</f>
        <v>0</v>
      </c>
      <c r="B11068" t="s">
        <v>3065</v>
      </c>
      <c r="C11068" t="s">
        <v>13975</v>
      </c>
      <c r="D11068" t="s">
        <v>17449</v>
      </c>
      <c r="E11068" t="s">
        <v>26966</v>
      </c>
      <c r="F11068" t="s">
        <v>30052</v>
      </c>
      <c r="G11068" t="s">
        <v>30058</v>
      </c>
      <c r="H11068" t="s">
        <v>30067</v>
      </c>
      <c r="I11068" t="s">
        <v>3693</v>
      </c>
      <c r="J11068" t="s">
        <v>36967</v>
      </c>
      <c r="K11068" t="s">
        <v>39026</v>
      </c>
      <c r="L11068" t="s">
        <v>3065</v>
      </c>
      <c r="M11068" t="s">
        <v>42648</v>
      </c>
      <c r="N11068" t="s">
        <v>43166</v>
      </c>
      <c r="O11068" t="s">
        <v>43167</v>
      </c>
      <c r="P11068">
        <v>0</v>
      </c>
      <c r="Q11068">
        <v>1</v>
      </c>
      <c r="R11068" t="s">
        <v>43180</v>
      </c>
      <c r="S11068" t="s">
        <v>43646</v>
      </c>
      <c r="T11068" t="s">
        <v>44780</v>
      </c>
      <c r="U11068" t="s">
        <v>54026</v>
      </c>
      <c r="W11068" t="s">
        <v>42648</v>
      </c>
      <c r="X11068" t="s">
        <v>43181</v>
      </c>
    </row>
    <row r="11069" spans="1:24">
      <c r="A11069">
        <f>HYPERLINK("https://www.philgeps.gov.ph/GEPSNONPILOT/Tender/SplashBidNoticeAbstractUI.aspx?menuIndex=3&amp;refID=7063288&amp;Result=3","7063288")</f>
        <v>0</v>
      </c>
      <c r="B11069" t="s">
        <v>3066</v>
      </c>
      <c r="C11069" t="s">
        <v>13976</v>
      </c>
      <c r="D11069" t="s">
        <v>17488</v>
      </c>
      <c r="E11069" t="s">
        <v>26967</v>
      </c>
      <c r="F11069" t="s">
        <v>30052</v>
      </c>
      <c r="G11069" t="s">
        <v>30058</v>
      </c>
      <c r="H11069" t="s">
        <v>30067</v>
      </c>
      <c r="I11069" t="s">
        <v>3693</v>
      </c>
      <c r="J11069" t="s">
        <v>36968</v>
      </c>
      <c r="K11069" t="s">
        <v>39020</v>
      </c>
      <c r="M11069" t="s">
        <v>42649</v>
      </c>
      <c r="N11069" t="s">
        <v>43166</v>
      </c>
      <c r="O11069" t="s">
        <v>43167</v>
      </c>
      <c r="P11069">
        <v>0</v>
      </c>
      <c r="Q11069">
        <v>0</v>
      </c>
      <c r="R11069" t="s">
        <v>43180</v>
      </c>
      <c r="S11069" t="s">
        <v>43646</v>
      </c>
      <c r="T11069" t="s">
        <v>44681</v>
      </c>
      <c r="U11069" t="s">
        <v>54027</v>
      </c>
      <c r="W11069" t="s">
        <v>42649</v>
      </c>
      <c r="X11069" t="s">
        <v>43181</v>
      </c>
    </row>
    <row r="11070" spans="1:24">
      <c r="A11070">
        <f>HYPERLINK("https://www.philgeps.gov.ph/GEPSNONPILOT/Tender/SplashBidNoticeAbstractUI.aspx?menuIndex=3&amp;refID=7063120&amp;Result=3","7063120")</f>
        <v>0</v>
      </c>
      <c r="B11070" t="s">
        <v>306</v>
      </c>
      <c r="C11070" t="s">
        <v>13977</v>
      </c>
      <c r="D11070" t="s">
        <v>17415</v>
      </c>
      <c r="E11070" t="s">
        <v>26968</v>
      </c>
      <c r="F11070" t="s">
        <v>30052</v>
      </c>
      <c r="G11070" t="s">
        <v>30058</v>
      </c>
      <c r="H11070" t="s">
        <v>15498</v>
      </c>
      <c r="I11070" t="s">
        <v>3736</v>
      </c>
      <c r="J11070" t="s">
        <v>36969</v>
      </c>
      <c r="K11070" t="s">
        <v>39031</v>
      </c>
      <c r="M11070" t="s">
        <v>39601</v>
      </c>
      <c r="N11070" t="s">
        <v>43166</v>
      </c>
      <c r="O11070" t="s">
        <v>43167</v>
      </c>
      <c r="Q11070">
        <v>7</v>
      </c>
      <c r="R11070" t="s">
        <v>43180</v>
      </c>
      <c r="S11070" t="s">
        <v>43636</v>
      </c>
      <c r="T11070" t="s">
        <v>44718</v>
      </c>
      <c r="U11070" t="s">
        <v>54028</v>
      </c>
      <c r="W11070" t="s">
        <v>39601</v>
      </c>
      <c r="X11070" t="s">
        <v>43181</v>
      </c>
    </row>
    <row r="11071" spans="1:24">
      <c r="A11071">
        <f>HYPERLINK("https://www.philgeps.gov.ph/GEPSNONPILOT/Tender/SplashBidNoticeAbstractUI.aspx?menuIndex=3&amp;refID=7062738&amp;Result=3","7062738")</f>
        <v>0</v>
      </c>
      <c r="B11071" t="s">
        <v>236</v>
      </c>
      <c r="C11071" t="s">
        <v>13978</v>
      </c>
      <c r="D11071" t="s">
        <v>17427</v>
      </c>
      <c r="E11071" t="s">
        <v>26521</v>
      </c>
      <c r="F11071" t="s">
        <v>30052</v>
      </c>
      <c r="G11071" t="s">
        <v>30058</v>
      </c>
      <c r="H11071" t="s">
        <v>30069</v>
      </c>
      <c r="I11071" t="s">
        <v>30072</v>
      </c>
      <c r="J11071" t="s">
        <v>36970</v>
      </c>
      <c r="K11071" t="s">
        <v>39067</v>
      </c>
      <c r="M11071" t="s">
        <v>40534</v>
      </c>
      <c r="N11071" t="s">
        <v>43166</v>
      </c>
      <c r="O11071" t="s">
        <v>43167</v>
      </c>
      <c r="P11071">
        <v>0</v>
      </c>
      <c r="Q11071">
        <v>3</v>
      </c>
      <c r="R11071" t="s">
        <v>43180</v>
      </c>
      <c r="S11071" t="s">
        <v>43646</v>
      </c>
      <c r="T11071" t="s">
        <v>44761</v>
      </c>
      <c r="U11071" t="s">
        <v>54029</v>
      </c>
      <c r="V11071" t="s">
        <v>57184</v>
      </c>
      <c r="W11071" t="s">
        <v>40534</v>
      </c>
      <c r="X11071" t="s">
        <v>43181</v>
      </c>
    </row>
    <row r="11072" spans="1:24">
      <c r="A11072">
        <f>HYPERLINK("https://www.philgeps.gov.ph/GEPSNONPILOT/Tender/SplashBidNoticeAbstractUI.aspx?menuIndex=3&amp;refID=7063407&amp;Result=3","7063407")</f>
        <v>0</v>
      </c>
      <c r="B11072" t="s">
        <v>78</v>
      </c>
      <c r="C11072" t="s">
        <v>13979</v>
      </c>
      <c r="E11072" t="s">
        <v>26969</v>
      </c>
      <c r="F11072" t="s">
        <v>30052</v>
      </c>
      <c r="G11072" t="s">
        <v>30063</v>
      </c>
      <c r="H11072" t="s">
        <v>15498</v>
      </c>
      <c r="I11072" t="s">
        <v>30123</v>
      </c>
      <c r="J11072" t="s">
        <v>36971</v>
      </c>
      <c r="K11072" t="s">
        <v>39029</v>
      </c>
      <c r="M11072" t="s">
        <v>39367</v>
      </c>
      <c r="N11072" t="s">
        <v>43166</v>
      </c>
      <c r="O11072" t="s">
        <v>43167</v>
      </c>
      <c r="P11072">
        <v>0</v>
      </c>
      <c r="Q11072">
        <v>1</v>
      </c>
      <c r="R11072" t="s">
        <v>43180</v>
      </c>
      <c r="S11072" t="s">
        <v>43646</v>
      </c>
      <c r="T11072" t="s">
        <v>44699</v>
      </c>
      <c r="U11072" t="s">
        <v>54030</v>
      </c>
      <c r="V11072" t="s">
        <v>58037</v>
      </c>
      <c r="W11072" t="s">
        <v>39367</v>
      </c>
      <c r="X11072" t="s">
        <v>43181</v>
      </c>
    </row>
    <row r="11073" spans="1:24">
      <c r="A11073">
        <f>HYPERLINK("https://www.philgeps.gov.ph/GEPSNONPILOT/Tender/SplashBidNoticeAbstractUI.aspx?menuIndex=3&amp;refID=7063405&amp;Result=3","7063405")</f>
        <v>0</v>
      </c>
      <c r="B11073" t="s">
        <v>1134</v>
      </c>
      <c r="C11073" t="s">
        <v>13980</v>
      </c>
      <c r="D11073" t="s">
        <v>17459</v>
      </c>
      <c r="E11073" t="s">
        <v>26970</v>
      </c>
      <c r="F11073" t="s">
        <v>30052</v>
      </c>
      <c r="G11073" t="s">
        <v>30058</v>
      </c>
      <c r="H11073" t="s">
        <v>30067</v>
      </c>
      <c r="I11073" t="s">
        <v>3693</v>
      </c>
      <c r="J11073" t="s">
        <v>36972</v>
      </c>
      <c r="K11073" t="s">
        <v>39054</v>
      </c>
      <c r="M11073" t="s">
        <v>40749</v>
      </c>
      <c r="N11073" t="s">
        <v>43166</v>
      </c>
      <c r="O11073" t="s">
        <v>43167</v>
      </c>
      <c r="P11073">
        <v>0</v>
      </c>
      <c r="Q11073">
        <v>0</v>
      </c>
      <c r="R11073" t="s">
        <v>43180</v>
      </c>
      <c r="S11073" t="s">
        <v>43646</v>
      </c>
      <c r="T11073" t="s">
        <v>44791</v>
      </c>
      <c r="U11073" t="s">
        <v>54018</v>
      </c>
      <c r="V11073" t="s">
        <v>58048</v>
      </c>
      <c r="W11073" t="s">
        <v>40749</v>
      </c>
      <c r="X11073" t="s">
        <v>43181</v>
      </c>
    </row>
    <row r="11074" spans="1:24">
      <c r="A11074">
        <f>HYPERLINK("https://www.philgeps.gov.ph/GEPSNONPILOT/Tender/SplashBidNoticeAbstractUI.aspx?menuIndex=3&amp;refID=7063277&amp;Result=3","7063277")</f>
        <v>0</v>
      </c>
      <c r="B11074" t="s">
        <v>1000</v>
      </c>
      <c r="C11074" t="s">
        <v>13981</v>
      </c>
      <c r="D11074" t="s">
        <v>17422</v>
      </c>
      <c r="E11074" t="s">
        <v>26971</v>
      </c>
      <c r="F11074" t="s">
        <v>30052</v>
      </c>
      <c r="G11074" t="s">
        <v>30058</v>
      </c>
      <c r="H11074" t="s">
        <v>15498</v>
      </c>
      <c r="I11074" t="s">
        <v>3606</v>
      </c>
      <c r="J11074" t="s">
        <v>36973</v>
      </c>
      <c r="K11074" t="s">
        <v>39029</v>
      </c>
      <c r="M11074" t="s">
        <v>40505</v>
      </c>
      <c r="N11074" t="s">
        <v>43166</v>
      </c>
      <c r="O11074" t="s">
        <v>43167</v>
      </c>
      <c r="P11074">
        <v>0</v>
      </c>
      <c r="Q11074">
        <v>3</v>
      </c>
      <c r="R11074" t="s">
        <v>43180</v>
      </c>
      <c r="S11074" t="s">
        <v>43646</v>
      </c>
      <c r="T11074" t="s">
        <v>44780</v>
      </c>
      <c r="U11074" t="s">
        <v>54031</v>
      </c>
      <c r="V11074" t="s">
        <v>57200</v>
      </c>
      <c r="W11074" t="s">
        <v>40505</v>
      </c>
      <c r="X11074" t="s">
        <v>43181</v>
      </c>
    </row>
    <row r="11075" spans="1:24">
      <c r="A11075">
        <f>HYPERLINK("https://www.philgeps.gov.ph/GEPSNONPILOT/Tender/SplashBidNoticeAbstractUI.aspx?menuIndex=3&amp;refID=7063302&amp;Result=3","7063302")</f>
        <v>0</v>
      </c>
      <c r="B11075" t="s">
        <v>306</v>
      </c>
      <c r="C11075" t="s">
        <v>13982</v>
      </c>
      <c r="D11075" t="s">
        <v>17415</v>
      </c>
      <c r="E11075" t="s">
        <v>26972</v>
      </c>
      <c r="F11075" t="s">
        <v>30052</v>
      </c>
      <c r="G11075" t="s">
        <v>30058</v>
      </c>
      <c r="H11075" t="s">
        <v>15498</v>
      </c>
      <c r="I11075" t="s">
        <v>3736</v>
      </c>
      <c r="J11075" t="s">
        <v>36974</v>
      </c>
      <c r="K11075" t="s">
        <v>39029</v>
      </c>
      <c r="M11075" t="s">
        <v>39601</v>
      </c>
      <c r="N11075" t="s">
        <v>43166</v>
      </c>
      <c r="O11075" t="s">
        <v>43167</v>
      </c>
      <c r="Q11075">
        <v>6</v>
      </c>
      <c r="R11075" t="s">
        <v>43180</v>
      </c>
      <c r="S11075" t="s">
        <v>43680</v>
      </c>
      <c r="T11075" t="s">
        <v>44718</v>
      </c>
      <c r="U11075" t="s">
        <v>54032</v>
      </c>
      <c r="W11075" t="s">
        <v>39601</v>
      </c>
      <c r="X11075" t="s">
        <v>43181</v>
      </c>
    </row>
    <row r="11076" spans="1:24">
      <c r="A11076">
        <f>HYPERLINK("https://www.philgeps.gov.ph/GEPSNONPILOT/Tender/SplashBidNoticeAbstractUI.aspx?menuIndex=3&amp;refID=7063392&amp;Result=3","7063392")</f>
        <v>0</v>
      </c>
      <c r="B11076" t="s">
        <v>3067</v>
      </c>
      <c r="C11076" t="s">
        <v>13983</v>
      </c>
      <c r="D11076" t="s">
        <v>17427</v>
      </c>
      <c r="E11076" t="s">
        <v>26413</v>
      </c>
      <c r="F11076" t="s">
        <v>30052</v>
      </c>
      <c r="G11076" t="s">
        <v>30058</v>
      </c>
      <c r="H11076" t="s">
        <v>30067</v>
      </c>
      <c r="I11076" t="s">
        <v>3693</v>
      </c>
      <c r="J11076" t="s">
        <v>36975</v>
      </c>
      <c r="K11076" t="s">
        <v>39031</v>
      </c>
      <c r="M11076" t="s">
        <v>42650</v>
      </c>
      <c r="N11076" t="s">
        <v>43166</v>
      </c>
      <c r="O11076" t="s">
        <v>43167</v>
      </c>
      <c r="P11076">
        <v>0</v>
      </c>
      <c r="Q11076">
        <v>0</v>
      </c>
      <c r="R11076" t="s">
        <v>43180</v>
      </c>
      <c r="S11076" t="s">
        <v>43646</v>
      </c>
      <c r="T11076" t="s">
        <v>44780</v>
      </c>
      <c r="U11076" t="s">
        <v>54033</v>
      </c>
      <c r="W11076" t="s">
        <v>42650</v>
      </c>
      <c r="X11076" t="s">
        <v>43181</v>
      </c>
    </row>
    <row r="11077" spans="1:24">
      <c r="A11077">
        <f>HYPERLINK("https://www.philgeps.gov.ph/GEPSNONPILOT/Tender/SplashBidNoticeAbstractUI.aspx?menuIndex=3&amp;refID=7063273&amp;Result=3","7063273")</f>
        <v>0</v>
      </c>
      <c r="B11077" t="s">
        <v>76</v>
      </c>
      <c r="C11077" t="s">
        <v>13984</v>
      </c>
      <c r="D11077" t="s">
        <v>17443</v>
      </c>
      <c r="E11077" t="s">
        <v>19891</v>
      </c>
      <c r="F11077" t="s">
        <v>30052</v>
      </c>
      <c r="G11077" t="s">
        <v>30058</v>
      </c>
      <c r="H11077" t="s">
        <v>15498</v>
      </c>
      <c r="I11077" t="s">
        <v>30084</v>
      </c>
      <c r="J11077" t="s">
        <v>36612</v>
      </c>
      <c r="K11077" t="s">
        <v>39038</v>
      </c>
      <c r="M11077" t="s">
        <v>39365</v>
      </c>
      <c r="N11077" t="s">
        <v>43166</v>
      </c>
      <c r="O11077" t="s">
        <v>43167</v>
      </c>
      <c r="P11077">
        <v>0</v>
      </c>
      <c r="Q11077">
        <v>2</v>
      </c>
      <c r="R11077" t="s">
        <v>43180</v>
      </c>
      <c r="S11077" t="s">
        <v>43646</v>
      </c>
      <c r="T11077" t="s">
        <v>45147</v>
      </c>
      <c r="U11077" t="s">
        <v>54034</v>
      </c>
      <c r="W11077" t="s">
        <v>39365</v>
      </c>
      <c r="X11077" t="s">
        <v>43181</v>
      </c>
    </row>
    <row r="11078" spans="1:24">
      <c r="A11078">
        <f>HYPERLINK("https://www.philgeps.gov.ph/GEPSNONPILOT/Tender/SplashBidNoticeAbstractUI.aspx?menuIndex=3&amp;refID=7063391&amp;Result=3","7063391")</f>
        <v>0</v>
      </c>
      <c r="B11078" t="s">
        <v>306</v>
      </c>
      <c r="C11078" t="s">
        <v>13985</v>
      </c>
      <c r="D11078" t="s">
        <v>17415</v>
      </c>
      <c r="E11078" t="s">
        <v>26973</v>
      </c>
      <c r="F11078" t="s">
        <v>30052</v>
      </c>
      <c r="G11078" t="s">
        <v>30058</v>
      </c>
      <c r="H11078" t="s">
        <v>15498</v>
      </c>
      <c r="I11078" t="s">
        <v>3736</v>
      </c>
      <c r="J11078" t="s">
        <v>36976</v>
      </c>
      <c r="K11078" t="s">
        <v>39057</v>
      </c>
      <c r="M11078" t="s">
        <v>39601</v>
      </c>
      <c r="N11078" t="s">
        <v>43166</v>
      </c>
      <c r="O11078" t="s">
        <v>43167</v>
      </c>
      <c r="Q11078">
        <v>5</v>
      </c>
      <c r="R11078" t="s">
        <v>43180</v>
      </c>
      <c r="S11078" t="s">
        <v>43681</v>
      </c>
      <c r="T11078" t="s">
        <v>44718</v>
      </c>
      <c r="U11078" t="s">
        <v>54035</v>
      </c>
      <c r="W11078" t="s">
        <v>39601</v>
      </c>
      <c r="X11078" t="s">
        <v>43181</v>
      </c>
    </row>
    <row r="11079" spans="1:24">
      <c r="A11079">
        <f>HYPERLINK("https://www.philgeps.gov.ph/GEPSNONPILOT/Tender/SplashBidNoticeAbstractUI.aspx?menuIndex=3&amp;refID=7063385&amp;Result=3","7063385")</f>
        <v>0</v>
      </c>
      <c r="B11079" t="s">
        <v>3041</v>
      </c>
      <c r="C11079" t="s">
        <v>13986</v>
      </c>
      <c r="D11079" t="s">
        <v>17415</v>
      </c>
      <c r="E11079" t="s">
        <v>26974</v>
      </c>
      <c r="F11079" t="s">
        <v>30052</v>
      </c>
      <c r="G11079" t="s">
        <v>30058</v>
      </c>
      <c r="H11079" t="s">
        <v>15498</v>
      </c>
      <c r="I11079" t="s">
        <v>30130</v>
      </c>
      <c r="J11079" t="s">
        <v>36977</v>
      </c>
      <c r="K11079" t="s">
        <v>39025</v>
      </c>
      <c r="M11079" t="s">
        <v>42619</v>
      </c>
      <c r="N11079" t="s">
        <v>43166</v>
      </c>
      <c r="O11079" t="s">
        <v>43167</v>
      </c>
      <c r="P11079">
        <v>0</v>
      </c>
      <c r="Q11079">
        <v>45</v>
      </c>
      <c r="R11079" t="s">
        <v>43180</v>
      </c>
      <c r="S11079" t="s">
        <v>43646</v>
      </c>
      <c r="T11079" t="s">
        <v>44750</v>
      </c>
      <c r="U11079" t="s">
        <v>53917</v>
      </c>
      <c r="W11079" t="s">
        <v>42619</v>
      </c>
      <c r="X11079" t="s">
        <v>43181</v>
      </c>
    </row>
    <row r="11080" spans="1:24">
      <c r="A11080">
        <f>HYPERLINK("https://www.philgeps.gov.ph/GEPSNONPILOT/Tender/SplashBidNoticeAbstractUI.aspx?menuIndex=3&amp;refID=7063404&amp;Result=3","7063404")</f>
        <v>0</v>
      </c>
      <c r="B11080" t="s">
        <v>2227</v>
      </c>
      <c r="C11080" t="s">
        <v>13987</v>
      </c>
      <c r="D11080" t="s">
        <v>17464</v>
      </c>
      <c r="E11080" t="s">
        <v>26975</v>
      </c>
      <c r="F11080" t="s">
        <v>30052</v>
      </c>
      <c r="G11080" t="s">
        <v>30058</v>
      </c>
      <c r="H11080" t="s">
        <v>15498</v>
      </c>
      <c r="I11080" t="s">
        <v>30092</v>
      </c>
      <c r="J11080" t="s">
        <v>36978</v>
      </c>
      <c r="K11080" t="s">
        <v>39025</v>
      </c>
      <c r="M11080" t="s">
        <v>41699</v>
      </c>
      <c r="N11080" t="s">
        <v>43166</v>
      </c>
      <c r="O11080" t="s">
        <v>43167</v>
      </c>
      <c r="P11080">
        <v>0</v>
      </c>
      <c r="Q11080">
        <v>3</v>
      </c>
      <c r="R11080" t="s">
        <v>43180</v>
      </c>
      <c r="S11080" t="s">
        <v>43646</v>
      </c>
      <c r="T11080" t="s">
        <v>44791</v>
      </c>
      <c r="U11080" t="s">
        <v>54036</v>
      </c>
      <c r="V11080" t="s">
        <v>58075</v>
      </c>
      <c r="W11080" t="s">
        <v>41699</v>
      </c>
      <c r="X11080" t="s">
        <v>43181</v>
      </c>
    </row>
    <row r="11081" spans="1:24">
      <c r="A11081">
        <f>HYPERLINK("https://www.philgeps.gov.ph/GEPSNONPILOT/Tender/SplashBidNoticeAbstractUI.aspx?menuIndex=3&amp;refID=7063372&amp;Result=3","7063372")</f>
        <v>0</v>
      </c>
      <c r="B11081" t="s">
        <v>78</v>
      </c>
      <c r="C11081" t="s">
        <v>13988</v>
      </c>
      <c r="E11081" t="s">
        <v>26976</v>
      </c>
      <c r="F11081" t="s">
        <v>30052</v>
      </c>
      <c r="G11081" t="s">
        <v>30063</v>
      </c>
      <c r="H11081" t="s">
        <v>15498</v>
      </c>
      <c r="I11081" t="s">
        <v>30144</v>
      </c>
      <c r="J11081" t="s">
        <v>36979</v>
      </c>
      <c r="K11081" t="s">
        <v>39029</v>
      </c>
      <c r="M11081" t="s">
        <v>39367</v>
      </c>
      <c r="N11081" t="s">
        <v>43166</v>
      </c>
      <c r="O11081" t="s">
        <v>43167</v>
      </c>
      <c r="P11081">
        <v>0</v>
      </c>
      <c r="Q11081">
        <v>3</v>
      </c>
      <c r="R11081" t="s">
        <v>43180</v>
      </c>
      <c r="S11081" t="s">
        <v>43646</v>
      </c>
      <c r="T11081" t="s">
        <v>44699</v>
      </c>
      <c r="U11081" t="s">
        <v>54037</v>
      </c>
      <c r="V11081" t="s">
        <v>58037</v>
      </c>
      <c r="W11081" t="s">
        <v>39367</v>
      </c>
      <c r="X11081" t="s">
        <v>43181</v>
      </c>
    </row>
    <row r="11082" spans="1:24">
      <c r="A11082">
        <f>HYPERLINK("https://www.philgeps.gov.ph/GEPSNONPILOT/Tender/SplashBidNoticeAbstractUI.aspx?menuIndex=3&amp;refID=7063402&amp;Result=3","7063402")</f>
        <v>0</v>
      </c>
      <c r="B11082" t="s">
        <v>3068</v>
      </c>
      <c r="C11082" t="s">
        <v>13989</v>
      </c>
      <c r="D11082" t="s">
        <v>17427</v>
      </c>
      <c r="E11082" t="s">
        <v>26977</v>
      </c>
      <c r="F11082" t="s">
        <v>30052</v>
      </c>
      <c r="G11082" t="s">
        <v>30058</v>
      </c>
      <c r="H11082" t="s">
        <v>30067</v>
      </c>
      <c r="I11082" t="s">
        <v>3693</v>
      </c>
      <c r="J11082" t="s">
        <v>36980</v>
      </c>
      <c r="K11082" t="s">
        <v>39022</v>
      </c>
      <c r="M11082" t="s">
        <v>42651</v>
      </c>
      <c r="N11082" t="s">
        <v>43166</v>
      </c>
      <c r="O11082" t="s">
        <v>43167</v>
      </c>
      <c r="Q11082">
        <v>1</v>
      </c>
      <c r="R11082" t="s">
        <v>43180</v>
      </c>
      <c r="S11082" t="s">
        <v>43682</v>
      </c>
      <c r="T11082" t="s">
        <v>44704</v>
      </c>
      <c r="U11082" t="s">
        <v>54038</v>
      </c>
      <c r="W11082" t="s">
        <v>42651</v>
      </c>
      <c r="X11082" t="s">
        <v>43181</v>
      </c>
    </row>
    <row r="11083" spans="1:24">
      <c r="A11083">
        <f>HYPERLINK("https://www.philgeps.gov.ph/GEPSNONPILOT/Tender/SplashBidNoticeAbstractUI.aspx?menuIndex=3&amp;refID=7063364&amp;Result=3","7063364")</f>
        <v>0</v>
      </c>
      <c r="B11083" t="s">
        <v>684</v>
      </c>
      <c r="C11083" t="s">
        <v>13990</v>
      </c>
      <c r="D11083" t="s">
        <v>17473</v>
      </c>
      <c r="E11083" t="s">
        <v>13990</v>
      </c>
      <c r="F11083" t="s">
        <v>30052</v>
      </c>
      <c r="G11083" t="s">
        <v>30061</v>
      </c>
      <c r="H11083" t="s">
        <v>15498</v>
      </c>
      <c r="I11083" t="s">
        <v>9238</v>
      </c>
      <c r="J11083" t="s">
        <v>30350</v>
      </c>
      <c r="K11083" t="s">
        <v>39029</v>
      </c>
      <c r="M11083" t="s">
        <v>42644</v>
      </c>
      <c r="N11083" t="s">
        <v>43166</v>
      </c>
      <c r="O11083" t="s">
        <v>43167</v>
      </c>
      <c r="P11083">
        <v>0</v>
      </c>
      <c r="Q11083">
        <v>3</v>
      </c>
      <c r="R11083" t="s">
        <v>43180</v>
      </c>
      <c r="S11083" t="s">
        <v>43646</v>
      </c>
      <c r="T11083" t="s">
        <v>44822</v>
      </c>
      <c r="U11083" t="s">
        <v>54039</v>
      </c>
      <c r="W11083" t="s">
        <v>42644</v>
      </c>
      <c r="X11083" t="s">
        <v>43181</v>
      </c>
    </row>
    <row r="11084" spans="1:24">
      <c r="A11084">
        <f>HYPERLINK("https://www.philgeps.gov.ph/GEPSNONPILOT/Tender/SplashBidNoticeAbstractUI.aspx?menuIndex=3&amp;refID=7063321&amp;Result=3","7063321")</f>
        <v>0</v>
      </c>
      <c r="B11084" t="s">
        <v>1000</v>
      </c>
      <c r="C11084" t="s">
        <v>13991</v>
      </c>
      <c r="D11084" t="s">
        <v>17422</v>
      </c>
      <c r="E11084" t="s">
        <v>26978</v>
      </c>
      <c r="F11084" t="s">
        <v>30052</v>
      </c>
      <c r="G11084" t="s">
        <v>30058</v>
      </c>
      <c r="H11084" t="s">
        <v>15498</v>
      </c>
      <c r="I11084" t="s">
        <v>30130</v>
      </c>
      <c r="J11084" t="s">
        <v>31273</v>
      </c>
      <c r="K11084" t="s">
        <v>39064</v>
      </c>
      <c r="M11084" t="s">
        <v>40505</v>
      </c>
      <c r="N11084" t="s">
        <v>43166</v>
      </c>
      <c r="O11084" t="s">
        <v>43167</v>
      </c>
      <c r="P11084">
        <v>0</v>
      </c>
      <c r="Q11084">
        <v>4</v>
      </c>
      <c r="R11084" t="s">
        <v>43180</v>
      </c>
      <c r="S11084" t="s">
        <v>43646</v>
      </c>
      <c r="T11084" t="s">
        <v>44780</v>
      </c>
      <c r="U11084" t="s">
        <v>54040</v>
      </c>
      <c r="V11084" t="s">
        <v>57200</v>
      </c>
      <c r="W11084" t="s">
        <v>40505</v>
      </c>
      <c r="X11084" t="s">
        <v>43181</v>
      </c>
    </row>
    <row r="11085" spans="1:24">
      <c r="A11085">
        <f>HYPERLINK("https://www.philgeps.gov.ph/GEPSNONPILOT/Tender/SplashBidNoticeAbstractUI.aspx?menuIndex=3&amp;refID=7063357&amp;Result=3","7063357")</f>
        <v>0</v>
      </c>
      <c r="B11085" t="s">
        <v>306</v>
      </c>
      <c r="C11085" t="s">
        <v>13992</v>
      </c>
      <c r="D11085" t="s">
        <v>17415</v>
      </c>
      <c r="E11085" t="s">
        <v>26979</v>
      </c>
      <c r="F11085" t="s">
        <v>30052</v>
      </c>
      <c r="G11085" t="s">
        <v>30058</v>
      </c>
      <c r="H11085" t="s">
        <v>15498</v>
      </c>
      <c r="I11085" t="s">
        <v>30147</v>
      </c>
      <c r="J11085" t="s">
        <v>36981</v>
      </c>
      <c r="K11085" t="s">
        <v>39023</v>
      </c>
      <c r="M11085" t="s">
        <v>39601</v>
      </c>
      <c r="N11085" t="s">
        <v>43166</v>
      </c>
      <c r="O11085" t="s">
        <v>43167</v>
      </c>
      <c r="Q11085">
        <v>6</v>
      </c>
      <c r="R11085" t="s">
        <v>43180</v>
      </c>
      <c r="S11085" t="s">
        <v>43683</v>
      </c>
      <c r="T11085" t="s">
        <v>44718</v>
      </c>
      <c r="U11085" t="s">
        <v>54041</v>
      </c>
      <c r="W11085" t="s">
        <v>39601</v>
      </c>
      <c r="X11085" t="s">
        <v>43181</v>
      </c>
    </row>
    <row r="11086" spans="1:24">
      <c r="A11086">
        <f>HYPERLINK("https://www.philgeps.gov.ph/GEPSNONPILOT/Tender/SplashBidNoticeAbstractUI.aspx?menuIndex=3&amp;refID=7063355&amp;Result=3","7063355")</f>
        <v>0</v>
      </c>
      <c r="B11086" t="s">
        <v>684</v>
      </c>
      <c r="C11086" t="s">
        <v>13993</v>
      </c>
      <c r="D11086" t="s">
        <v>17473</v>
      </c>
      <c r="E11086" t="s">
        <v>13993</v>
      </c>
      <c r="F11086" t="s">
        <v>30052</v>
      </c>
      <c r="G11086" t="s">
        <v>30061</v>
      </c>
      <c r="H11086" t="s">
        <v>15498</v>
      </c>
      <c r="I11086" t="s">
        <v>5961</v>
      </c>
      <c r="J11086" t="s">
        <v>36982</v>
      </c>
      <c r="K11086" t="s">
        <v>39029</v>
      </c>
      <c r="M11086" t="s">
        <v>42644</v>
      </c>
      <c r="N11086" t="s">
        <v>43166</v>
      </c>
      <c r="O11086" t="s">
        <v>43167</v>
      </c>
      <c r="P11086">
        <v>0</v>
      </c>
      <c r="Q11086">
        <v>5</v>
      </c>
      <c r="R11086" t="s">
        <v>43180</v>
      </c>
      <c r="S11086" t="s">
        <v>43646</v>
      </c>
      <c r="T11086" t="s">
        <v>44822</v>
      </c>
      <c r="U11086" t="s">
        <v>54015</v>
      </c>
      <c r="W11086" t="s">
        <v>42644</v>
      </c>
      <c r="X11086" t="s">
        <v>43181</v>
      </c>
    </row>
    <row r="11087" spans="1:24">
      <c r="A11087">
        <f>HYPERLINK("https://www.philgeps.gov.ph/GEPSNONPILOT/Tender/SplashBidNoticeAbstractUI.aspx?menuIndex=3&amp;refID=7063388&amp;Result=3","7063388")</f>
        <v>0</v>
      </c>
      <c r="B11087" t="s">
        <v>684</v>
      </c>
      <c r="C11087" t="s">
        <v>13994</v>
      </c>
      <c r="D11087" t="s">
        <v>17473</v>
      </c>
      <c r="E11087" t="s">
        <v>13994</v>
      </c>
      <c r="F11087" t="s">
        <v>30052</v>
      </c>
      <c r="G11087" t="s">
        <v>30061</v>
      </c>
      <c r="H11087" t="s">
        <v>15498</v>
      </c>
      <c r="I11087" t="s">
        <v>5961</v>
      </c>
      <c r="J11087" t="s">
        <v>30277</v>
      </c>
      <c r="K11087" t="s">
        <v>39029</v>
      </c>
      <c r="M11087" t="s">
        <v>42644</v>
      </c>
      <c r="N11087" t="s">
        <v>43166</v>
      </c>
      <c r="O11087" t="s">
        <v>43167</v>
      </c>
      <c r="P11087">
        <v>0</v>
      </c>
      <c r="Q11087">
        <v>3</v>
      </c>
      <c r="R11087" t="s">
        <v>43180</v>
      </c>
      <c r="S11087" t="s">
        <v>43646</v>
      </c>
      <c r="T11087" t="s">
        <v>44822</v>
      </c>
      <c r="U11087" t="s">
        <v>54042</v>
      </c>
      <c r="W11087" t="s">
        <v>42644</v>
      </c>
      <c r="X11087" t="s">
        <v>43181</v>
      </c>
    </row>
    <row r="11088" spans="1:24">
      <c r="A11088">
        <f>HYPERLINK("https://www.philgeps.gov.ph/GEPSNONPILOT/Tender/SplashBidNoticeAbstractUI.aspx?menuIndex=3&amp;refID=7063349&amp;Result=3","7063349")</f>
        <v>0</v>
      </c>
      <c r="B11088" t="s">
        <v>1942</v>
      </c>
      <c r="C11088" t="s">
        <v>13995</v>
      </c>
      <c r="D11088" t="s">
        <v>17430</v>
      </c>
      <c r="E11088" t="s">
        <v>26980</v>
      </c>
      <c r="F11088" t="s">
        <v>30052</v>
      </c>
      <c r="G11088" t="s">
        <v>30058</v>
      </c>
      <c r="H11088" t="s">
        <v>30067</v>
      </c>
      <c r="I11088" t="s">
        <v>3693</v>
      </c>
      <c r="J11088" t="s">
        <v>36983</v>
      </c>
      <c r="K11088" t="s">
        <v>39058</v>
      </c>
      <c r="M11088" t="s">
        <v>41377</v>
      </c>
      <c r="N11088" t="s">
        <v>43166</v>
      </c>
      <c r="O11088" t="s">
        <v>43167</v>
      </c>
      <c r="P11088">
        <v>0</v>
      </c>
      <c r="Q11088">
        <v>1</v>
      </c>
      <c r="R11088" t="s">
        <v>43180</v>
      </c>
      <c r="S11088" t="s">
        <v>43646</v>
      </c>
      <c r="T11088" t="s">
        <v>44806</v>
      </c>
      <c r="U11088" t="s">
        <v>54043</v>
      </c>
      <c r="V11088" t="s">
        <v>57448</v>
      </c>
      <c r="W11088" t="s">
        <v>41377</v>
      </c>
      <c r="X11088" t="s">
        <v>43181</v>
      </c>
    </row>
    <row r="11089" spans="1:24">
      <c r="A11089">
        <f>HYPERLINK("https://www.philgeps.gov.ph/GEPSNONPILOT/Tender/SplashBidNoticeAbstractUI.aspx?menuIndex=3&amp;refID=7063348&amp;Result=3","7063348")</f>
        <v>0</v>
      </c>
      <c r="B11089" t="s">
        <v>2964</v>
      </c>
      <c r="C11089" t="s">
        <v>13996</v>
      </c>
      <c r="D11089" t="s">
        <v>17459</v>
      </c>
      <c r="E11089" t="s">
        <v>18980</v>
      </c>
      <c r="F11089" t="s">
        <v>30052</v>
      </c>
      <c r="G11089" t="s">
        <v>30058</v>
      </c>
      <c r="H11089" t="s">
        <v>30067</v>
      </c>
      <c r="I11089" t="s">
        <v>5961</v>
      </c>
      <c r="J11089" t="s">
        <v>36984</v>
      </c>
      <c r="K11089" t="s">
        <v>39046</v>
      </c>
      <c r="M11089" t="s">
        <v>42529</v>
      </c>
      <c r="N11089" t="s">
        <v>43166</v>
      </c>
      <c r="O11089" t="s">
        <v>43167</v>
      </c>
      <c r="P11089">
        <v>0</v>
      </c>
      <c r="Q11089">
        <v>0</v>
      </c>
      <c r="R11089" t="s">
        <v>43180</v>
      </c>
      <c r="S11089" t="s">
        <v>43646</v>
      </c>
      <c r="T11089" t="s">
        <v>44699</v>
      </c>
      <c r="U11089" t="s">
        <v>54044</v>
      </c>
      <c r="W11089" t="s">
        <v>42529</v>
      </c>
      <c r="X11089" t="s">
        <v>43181</v>
      </c>
    </row>
    <row r="11090" spans="1:24">
      <c r="A11090">
        <f>HYPERLINK("https://www.philgeps.gov.ph/GEPSNONPILOT/Tender/SplashBidNoticeAbstractUI.aspx?menuIndex=3&amp;refID=7063337&amp;Result=3","7063337")</f>
        <v>0</v>
      </c>
      <c r="B11090" t="s">
        <v>78</v>
      </c>
      <c r="C11090" t="s">
        <v>13997</v>
      </c>
      <c r="E11090" t="s">
        <v>26981</v>
      </c>
      <c r="F11090" t="s">
        <v>30052</v>
      </c>
      <c r="G11090" t="s">
        <v>30063</v>
      </c>
      <c r="H11090" t="s">
        <v>15498</v>
      </c>
      <c r="I11090" t="s">
        <v>30087</v>
      </c>
      <c r="J11090" t="s">
        <v>36985</v>
      </c>
      <c r="K11090" t="s">
        <v>39029</v>
      </c>
      <c r="M11090" t="s">
        <v>39367</v>
      </c>
      <c r="N11090" t="s">
        <v>43166</v>
      </c>
      <c r="O11090" t="s">
        <v>43167</v>
      </c>
      <c r="P11090">
        <v>0</v>
      </c>
      <c r="Q11090">
        <v>2</v>
      </c>
      <c r="R11090" t="s">
        <v>43180</v>
      </c>
      <c r="S11090" t="s">
        <v>43646</v>
      </c>
      <c r="T11090" t="s">
        <v>44699</v>
      </c>
      <c r="U11090" t="s">
        <v>54045</v>
      </c>
      <c r="V11090" t="s">
        <v>58037</v>
      </c>
      <c r="W11090" t="s">
        <v>39367</v>
      </c>
      <c r="X11090" t="s">
        <v>43181</v>
      </c>
    </row>
    <row r="11091" spans="1:24">
      <c r="A11091">
        <f>HYPERLINK("https://www.philgeps.gov.ph/GEPSNONPILOT/Tender/SplashBidNoticeAbstractUI.aspx?menuIndex=3&amp;refID=7063291&amp;Result=3","7063291")</f>
        <v>0</v>
      </c>
      <c r="B11091" t="s">
        <v>2660</v>
      </c>
      <c r="C11091" t="s">
        <v>13998</v>
      </c>
      <c r="D11091" t="s">
        <v>17415</v>
      </c>
      <c r="E11091" t="s">
        <v>26982</v>
      </c>
      <c r="F11091" t="s">
        <v>30052</v>
      </c>
      <c r="G11091" t="s">
        <v>30058</v>
      </c>
      <c r="H11091" t="s">
        <v>15498</v>
      </c>
      <c r="I11091" t="s">
        <v>30153</v>
      </c>
      <c r="J11091" t="s">
        <v>36986</v>
      </c>
      <c r="K11091" t="s">
        <v>39023</v>
      </c>
      <c r="M11091" t="s">
        <v>42179</v>
      </c>
      <c r="N11091" t="s">
        <v>43166</v>
      </c>
      <c r="O11091" t="s">
        <v>43167</v>
      </c>
      <c r="P11091">
        <v>0</v>
      </c>
      <c r="Q11091">
        <v>6</v>
      </c>
      <c r="R11091" t="s">
        <v>43180</v>
      </c>
      <c r="S11091" t="s">
        <v>43646</v>
      </c>
      <c r="T11091" t="s">
        <v>44756</v>
      </c>
      <c r="U11091" t="s">
        <v>54046</v>
      </c>
      <c r="V11091" t="s">
        <v>57766</v>
      </c>
      <c r="W11091" t="s">
        <v>42179</v>
      </c>
      <c r="X11091" t="s">
        <v>43181</v>
      </c>
    </row>
    <row r="11092" spans="1:24">
      <c r="A11092">
        <f>HYPERLINK("https://www.philgeps.gov.ph/GEPSNONPILOT/Tender/SplashBidNoticeAbstractUI.aspx?menuIndex=3&amp;refID=7063334&amp;Result=3","7063334")</f>
        <v>0</v>
      </c>
      <c r="B11092" t="s">
        <v>2880</v>
      </c>
      <c r="C11092" t="s">
        <v>13999</v>
      </c>
      <c r="D11092" t="s">
        <v>17425</v>
      </c>
      <c r="E11092" t="s">
        <v>26983</v>
      </c>
      <c r="F11092" t="s">
        <v>30052</v>
      </c>
      <c r="G11092" t="s">
        <v>30058</v>
      </c>
      <c r="H11092" t="s">
        <v>15498</v>
      </c>
      <c r="I11092" t="s">
        <v>30074</v>
      </c>
      <c r="J11092" t="s">
        <v>30281</v>
      </c>
      <c r="K11092" t="s">
        <v>39023</v>
      </c>
      <c r="M11092" t="s">
        <v>42430</v>
      </c>
      <c r="N11092" t="s">
        <v>43166</v>
      </c>
      <c r="O11092" t="s">
        <v>43167</v>
      </c>
      <c r="P11092">
        <v>0</v>
      </c>
      <c r="Q11092">
        <v>1</v>
      </c>
      <c r="R11092" t="s">
        <v>43180</v>
      </c>
      <c r="S11092" t="s">
        <v>43646</v>
      </c>
      <c r="T11092" t="s">
        <v>44724</v>
      </c>
      <c r="U11092" t="s">
        <v>54047</v>
      </c>
      <c r="W11092" t="s">
        <v>42430</v>
      </c>
      <c r="X11092" t="s">
        <v>43181</v>
      </c>
    </row>
    <row r="11093" spans="1:24">
      <c r="A11093">
        <f>HYPERLINK("https://www.philgeps.gov.ph/GEPSNONPILOT/Tender/SplashBidNoticeAbstractUI.aspx?menuIndex=3&amp;refID=7062707&amp;Result=3","7062707")</f>
        <v>0</v>
      </c>
      <c r="B11093" t="s">
        <v>1248</v>
      </c>
      <c r="C11093" t="s">
        <v>14000</v>
      </c>
      <c r="D11093" t="s">
        <v>17469</v>
      </c>
      <c r="E11093" t="s">
        <v>26984</v>
      </c>
      <c r="F11093" t="s">
        <v>30052</v>
      </c>
      <c r="G11093" t="s">
        <v>30058</v>
      </c>
      <c r="H11093" t="s">
        <v>30067</v>
      </c>
      <c r="I11093" t="s">
        <v>3693</v>
      </c>
      <c r="J11093" t="s">
        <v>30829</v>
      </c>
      <c r="K11093" t="s">
        <v>39252</v>
      </c>
      <c r="M11093" t="s">
        <v>40604</v>
      </c>
      <c r="N11093" t="s">
        <v>43166</v>
      </c>
      <c r="O11093" t="s">
        <v>43167</v>
      </c>
      <c r="P11093">
        <v>0</v>
      </c>
      <c r="Q11093">
        <v>6</v>
      </c>
      <c r="R11093" t="s">
        <v>43180</v>
      </c>
      <c r="S11093" t="s">
        <v>43646</v>
      </c>
      <c r="T11093" t="s">
        <v>44681</v>
      </c>
      <c r="U11093" t="s">
        <v>54048</v>
      </c>
      <c r="W11093" t="s">
        <v>40604</v>
      </c>
      <c r="X11093" t="s">
        <v>43181</v>
      </c>
    </row>
    <row r="11094" spans="1:24">
      <c r="A11094">
        <f>HYPERLINK("https://www.philgeps.gov.ph/GEPSNONPILOT/Tender/SplashBidNoticeAbstractUI.aspx?menuIndex=3&amp;refID=7062418&amp;Result=3","7062418")</f>
        <v>0</v>
      </c>
      <c r="B11094" t="s">
        <v>3069</v>
      </c>
      <c r="C11094" t="s">
        <v>14001</v>
      </c>
      <c r="D11094" t="s">
        <v>17474</v>
      </c>
      <c r="E11094" t="s">
        <v>26985</v>
      </c>
      <c r="F11094" t="s">
        <v>30052</v>
      </c>
      <c r="G11094" t="s">
        <v>30058</v>
      </c>
      <c r="H11094" t="s">
        <v>30067</v>
      </c>
      <c r="I11094" t="s">
        <v>3693</v>
      </c>
      <c r="J11094" t="s">
        <v>36987</v>
      </c>
      <c r="K11094" t="s">
        <v>39031</v>
      </c>
      <c r="M11094" t="s">
        <v>42652</v>
      </c>
      <c r="N11094" t="s">
        <v>43166</v>
      </c>
      <c r="O11094" t="s">
        <v>43167</v>
      </c>
      <c r="P11094">
        <v>0</v>
      </c>
      <c r="Q11094">
        <v>2</v>
      </c>
      <c r="R11094" t="s">
        <v>43180</v>
      </c>
      <c r="S11094" t="s">
        <v>43646</v>
      </c>
      <c r="T11094" t="s">
        <v>44689</v>
      </c>
      <c r="U11094" t="s">
        <v>54049</v>
      </c>
      <c r="W11094" t="s">
        <v>42652</v>
      </c>
      <c r="X11094" t="s">
        <v>43181</v>
      </c>
    </row>
    <row r="11095" spans="1:24">
      <c r="A11095">
        <f>HYPERLINK("https://www.philgeps.gov.ph/GEPSNONPILOT/Tender/SplashBidNoticeAbstractUI.aspx?menuIndex=3&amp;refID=7062407&amp;Result=3","7062407")</f>
        <v>0</v>
      </c>
      <c r="B11095" t="s">
        <v>1248</v>
      </c>
      <c r="C11095" t="s">
        <v>14002</v>
      </c>
      <c r="D11095" t="s">
        <v>17469</v>
      </c>
      <c r="E11095" t="s">
        <v>26986</v>
      </c>
      <c r="F11095" t="s">
        <v>30052</v>
      </c>
      <c r="G11095" t="s">
        <v>30058</v>
      </c>
      <c r="H11095" t="s">
        <v>30067</v>
      </c>
      <c r="I11095" t="s">
        <v>3693</v>
      </c>
      <c r="J11095" t="s">
        <v>36878</v>
      </c>
      <c r="K11095" t="s">
        <v>39089</v>
      </c>
      <c r="M11095" t="s">
        <v>40604</v>
      </c>
      <c r="N11095" t="s">
        <v>43166</v>
      </c>
      <c r="O11095" t="s">
        <v>43167</v>
      </c>
      <c r="P11095">
        <v>0</v>
      </c>
      <c r="Q11095">
        <v>4</v>
      </c>
      <c r="R11095" t="s">
        <v>43180</v>
      </c>
      <c r="S11095" t="s">
        <v>43646</v>
      </c>
      <c r="T11095" t="s">
        <v>44681</v>
      </c>
      <c r="U11095" t="s">
        <v>54050</v>
      </c>
      <c r="W11095" t="s">
        <v>40604</v>
      </c>
      <c r="X11095" t="s">
        <v>43181</v>
      </c>
    </row>
    <row r="11096" spans="1:24">
      <c r="A11096">
        <f>HYPERLINK("https://www.philgeps.gov.ph/GEPSNONPILOT/Tender/SplashBidNoticeAbstractUI.aspx?menuIndex=3&amp;refID=7063384&amp;Result=3","7063384")</f>
        <v>0</v>
      </c>
      <c r="B11096" t="s">
        <v>78</v>
      </c>
      <c r="C11096" t="s">
        <v>14003</v>
      </c>
      <c r="E11096" t="s">
        <v>26987</v>
      </c>
      <c r="F11096" t="s">
        <v>30052</v>
      </c>
      <c r="G11096" t="s">
        <v>30063</v>
      </c>
      <c r="H11096" t="s">
        <v>15498</v>
      </c>
      <c r="I11096" t="s">
        <v>30144</v>
      </c>
      <c r="J11096" t="s">
        <v>36988</v>
      </c>
      <c r="K11096" t="s">
        <v>39029</v>
      </c>
      <c r="M11096" t="s">
        <v>39367</v>
      </c>
      <c r="N11096" t="s">
        <v>43166</v>
      </c>
      <c r="O11096" t="s">
        <v>43167</v>
      </c>
      <c r="P11096">
        <v>0</v>
      </c>
      <c r="Q11096">
        <v>1</v>
      </c>
      <c r="R11096" t="s">
        <v>43180</v>
      </c>
      <c r="S11096" t="s">
        <v>43646</v>
      </c>
      <c r="T11096" t="s">
        <v>44699</v>
      </c>
      <c r="U11096" t="s">
        <v>54051</v>
      </c>
      <c r="V11096" t="s">
        <v>58037</v>
      </c>
      <c r="W11096" t="s">
        <v>39367</v>
      </c>
      <c r="X11096" t="s">
        <v>43181</v>
      </c>
    </row>
    <row r="11097" spans="1:24">
      <c r="A11097">
        <f>HYPERLINK("https://www.philgeps.gov.ph/GEPSNONPILOT/Tender/SplashBidNoticeAbstractUI.aspx?menuIndex=3&amp;refID=7063339&amp;Result=3","7063339")</f>
        <v>0</v>
      </c>
      <c r="B11097" t="s">
        <v>2296</v>
      </c>
      <c r="C11097" t="s">
        <v>14004</v>
      </c>
      <c r="E11097" t="s">
        <v>26988</v>
      </c>
      <c r="F11097" t="s">
        <v>30052</v>
      </c>
      <c r="G11097" t="s">
        <v>30058</v>
      </c>
      <c r="H11097" t="s">
        <v>30067</v>
      </c>
      <c r="I11097" t="s">
        <v>3693</v>
      </c>
      <c r="J11097" t="s">
        <v>36989</v>
      </c>
      <c r="K11097" t="s">
        <v>39026</v>
      </c>
      <c r="M11097" t="s">
        <v>42643</v>
      </c>
      <c r="N11097" t="s">
        <v>43166</v>
      </c>
      <c r="O11097" t="s">
        <v>43167</v>
      </c>
      <c r="Q11097">
        <v>1</v>
      </c>
      <c r="R11097" t="s">
        <v>43180</v>
      </c>
      <c r="S11097" t="s">
        <v>43684</v>
      </c>
      <c r="T11097" t="s">
        <v>44750</v>
      </c>
      <c r="U11097" t="s">
        <v>54052</v>
      </c>
      <c r="W11097" t="s">
        <v>42643</v>
      </c>
      <c r="X11097" t="s">
        <v>43181</v>
      </c>
    </row>
    <row r="11098" spans="1:24">
      <c r="A11098">
        <f>HYPERLINK("https://www.philgeps.gov.ph/GEPSNONPILOT/Tender/SplashBidNoticeAbstractUI.aspx?menuIndex=3&amp;refID=7062397&amp;Result=3","7062397")</f>
        <v>0</v>
      </c>
      <c r="B11098" t="s">
        <v>2931</v>
      </c>
      <c r="C11098" t="s">
        <v>14005</v>
      </c>
      <c r="D11098" t="s">
        <v>17435</v>
      </c>
      <c r="E11098" t="s">
        <v>26989</v>
      </c>
      <c r="F11098" t="s">
        <v>30052</v>
      </c>
      <c r="G11098" t="s">
        <v>30058</v>
      </c>
      <c r="H11098" t="s">
        <v>15498</v>
      </c>
      <c r="I11098" t="s">
        <v>3736</v>
      </c>
      <c r="J11098" t="s">
        <v>36990</v>
      </c>
      <c r="K11098" t="s">
        <v>39034</v>
      </c>
      <c r="L11098" t="s">
        <v>2931</v>
      </c>
      <c r="M11098" t="s">
        <v>42494</v>
      </c>
      <c r="N11098" t="s">
        <v>43166</v>
      </c>
      <c r="O11098" t="s">
        <v>43167</v>
      </c>
      <c r="P11098">
        <v>0</v>
      </c>
      <c r="Q11098">
        <v>2</v>
      </c>
      <c r="R11098" t="s">
        <v>43180</v>
      </c>
      <c r="S11098" t="s">
        <v>43646</v>
      </c>
      <c r="T11098" t="s">
        <v>44681</v>
      </c>
      <c r="U11098" t="s">
        <v>53514</v>
      </c>
      <c r="W11098" t="s">
        <v>42494</v>
      </c>
      <c r="X11098" t="s">
        <v>43181</v>
      </c>
    </row>
    <row r="11099" spans="1:24">
      <c r="A11099">
        <f>HYPERLINK("https://www.philgeps.gov.ph/GEPSNONPILOT/Tender/SplashBidNoticeAbstractUI.aspx?menuIndex=3&amp;refID=7062410&amp;Result=3","7062410")</f>
        <v>0</v>
      </c>
      <c r="B11099" t="s">
        <v>3070</v>
      </c>
      <c r="C11099" t="s">
        <v>14006</v>
      </c>
      <c r="D11099" t="s">
        <v>17472</v>
      </c>
      <c r="E11099" t="s">
        <v>26990</v>
      </c>
      <c r="F11099" t="s">
        <v>30055</v>
      </c>
      <c r="G11099" t="s">
        <v>30058</v>
      </c>
      <c r="H11099" t="s">
        <v>15498</v>
      </c>
      <c r="I11099" t="s">
        <v>3693</v>
      </c>
      <c r="J11099" t="s">
        <v>30230</v>
      </c>
      <c r="K11099" t="s">
        <v>39032</v>
      </c>
      <c r="M11099" t="s">
        <v>42653</v>
      </c>
      <c r="N11099" t="s">
        <v>43166</v>
      </c>
      <c r="O11099" t="s">
        <v>43167</v>
      </c>
      <c r="P11099">
        <v>0</v>
      </c>
      <c r="Q11099">
        <v>0</v>
      </c>
      <c r="R11099" t="s">
        <v>43180</v>
      </c>
      <c r="S11099" t="s">
        <v>43646</v>
      </c>
      <c r="T11099" t="s">
        <v>44832</v>
      </c>
      <c r="U11099" t="s">
        <v>54053</v>
      </c>
      <c r="W11099" t="s">
        <v>42653</v>
      </c>
      <c r="X11099" t="s">
        <v>43181</v>
      </c>
    </row>
    <row r="11100" spans="1:24">
      <c r="A11100">
        <f>HYPERLINK("https://www.philgeps.gov.ph/GEPSNONPILOT/Tender/SplashBidNoticeAbstractUI.aspx?menuIndex=3&amp;refID=7062024&amp;Result=3","7062024")</f>
        <v>0</v>
      </c>
      <c r="B11100" t="s">
        <v>1134</v>
      </c>
      <c r="C11100" t="s">
        <v>14007</v>
      </c>
      <c r="D11100" t="s">
        <v>17459</v>
      </c>
      <c r="E11100" t="s">
        <v>26991</v>
      </c>
      <c r="F11100" t="s">
        <v>30052</v>
      </c>
      <c r="G11100" t="s">
        <v>30058</v>
      </c>
      <c r="H11100" t="s">
        <v>30067</v>
      </c>
      <c r="I11100" t="s">
        <v>3693</v>
      </c>
      <c r="J11100" t="s">
        <v>36991</v>
      </c>
      <c r="K11100" t="s">
        <v>39065</v>
      </c>
      <c r="M11100" t="s">
        <v>40749</v>
      </c>
      <c r="N11100" t="s">
        <v>43166</v>
      </c>
      <c r="O11100" t="s">
        <v>43167</v>
      </c>
      <c r="P11100">
        <v>0</v>
      </c>
      <c r="Q11100">
        <v>0</v>
      </c>
      <c r="R11100" t="s">
        <v>43180</v>
      </c>
      <c r="S11100" t="s">
        <v>43646</v>
      </c>
      <c r="T11100" t="s">
        <v>44699</v>
      </c>
      <c r="U11100" t="s">
        <v>53894</v>
      </c>
      <c r="V11100" t="s">
        <v>58048</v>
      </c>
      <c r="W11100" t="s">
        <v>40749</v>
      </c>
      <c r="X11100" t="s">
        <v>43181</v>
      </c>
    </row>
    <row r="11101" spans="1:24">
      <c r="A11101">
        <f>HYPERLINK("https://www.philgeps.gov.ph/GEPSNONPILOT/Tender/SplashBidNoticeAbstractUI.aspx?menuIndex=3&amp;refID=7061999&amp;Result=3","7061999")</f>
        <v>0</v>
      </c>
      <c r="B11101" t="s">
        <v>841</v>
      </c>
      <c r="C11101" t="s">
        <v>14008</v>
      </c>
      <c r="D11101" t="s">
        <v>17456</v>
      </c>
      <c r="E11101" t="s">
        <v>26992</v>
      </c>
      <c r="F11101" t="s">
        <v>30052</v>
      </c>
      <c r="G11101" t="s">
        <v>30058</v>
      </c>
      <c r="H11101" t="s">
        <v>30067</v>
      </c>
      <c r="I11101" t="s">
        <v>3693</v>
      </c>
      <c r="J11101" t="s">
        <v>36992</v>
      </c>
      <c r="K11101" t="s">
        <v>39023</v>
      </c>
      <c r="M11101" t="s">
        <v>40158</v>
      </c>
      <c r="N11101" t="s">
        <v>43166</v>
      </c>
      <c r="O11101" t="s">
        <v>43167</v>
      </c>
      <c r="P11101">
        <v>0</v>
      </c>
      <c r="Q11101">
        <v>3</v>
      </c>
      <c r="R11101" t="s">
        <v>43180</v>
      </c>
      <c r="S11101" t="s">
        <v>43646</v>
      </c>
      <c r="T11101" t="s">
        <v>44763</v>
      </c>
      <c r="U11101" t="s">
        <v>54054</v>
      </c>
      <c r="W11101" t="s">
        <v>40158</v>
      </c>
      <c r="X11101" t="s">
        <v>43181</v>
      </c>
    </row>
    <row r="11102" spans="1:24">
      <c r="A11102">
        <f>HYPERLINK("https://www.philgeps.gov.ph/GEPSNONPILOT/Tender/SplashBidNoticeAbstractUI.aspx?menuIndex=3&amp;refID=7063365&amp;Result=3","7063365")</f>
        <v>0</v>
      </c>
      <c r="B11102" t="s">
        <v>3065</v>
      </c>
      <c r="C11102" t="s">
        <v>14009</v>
      </c>
      <c r="D11102" t="s">
        <v>17449</v>
      </c>
      <c r="E11102" t="s">
        <v>26993</v>
      </c>
      <c r="F11102" t="s">
        <v>30052</v>
      </c>
      <c r="G11102" t="s">
        <v>30058</v>
      </c>
      <c r="H11102" t="s">
        <v>30067</v>
      </c>
      <c r="I11102" t="s">
        <v>3693</v>
      </c>
      <c r="J11102" t="s">
        <v>36993</v>
      </c>
      <c r="K11102" t="s">
        <v>39026</v>
      </c>
      <c r="L11102" t="s">
        <v>3065</v>
      </c>
      <c r="M11102" t="s">
        <v>42648</v>
      </c>
      <c r="N11102" t="s">
        <v>43166</v>
      </c>
      <c r="O11102" t="s">
        <v>43167</v>
      </c>
      <c r="P11102">
        <v>0</v>
      </c>
      <c r="Q11102">
        <v>1</v>
      </c>
      <c r="R11102" t="s">
        <v>43180</v>
      </c>
      <c r="S11102" t="s">
        <v>43646</v>
      </c>
      <c r="T11102" t="s">
        <v>44780</v>
      </c>
      <c r="U11102" t="s">
        <v>54026</v>
      </c>
      <c r="W11102" t="s">
        <v>42648</v>
      </c>
      <c r="X11102" t="s">
        <v>43181</v>
      </c>
    </row>
    <row r="11103" spans="1:24">
      <c r="A11103">
        <f>HYPERLINK("https://www.philgeps.gov.ph/GEPSNONPILOT/Tender/SplashBidNoticeAbstractUI.aspx?menuIndex=3&amp;refID=7061996&amp;Result=3","7061996")</f>
        <v>0</v>
      </c>
      <c r="B11103" t="s">
        <v>2256</v>
      </c>
      <c r="C11103" t="s">
        <v>14010</v>
      </c>
      <c r="D11103" t="s">
        <v>17449</v>
      </c>
      <c r="E11103" t="s">
        <v>26994</v>
      </c>
      <c r="F11103" t="s">
        <v>30052</v>
      </c>
      <c r="G11103" t="s">
        <v>30058</v>
      </c>
      <c r="H11103" t="s">
        <v>30067</v>
      </c>
      <c r="I11103" t="s">
        <v>3693</v>
      </c>
      <c r="J11103" t="s">
        <v>36994</v>
      </c>
      <c r="K11103" t="s">
        <v>39029</v>
      </c>
      <c r="M11103" t="s">
        <v>41734</v>
      </c>
      <c r="N11103" t="s">
        <v>43166</v>
      </c>
      <c r="O11103" t="s">
        <v>43167</v>
      </c>
      <c r="P11103">
        <v>0</v>
      </c>
      <c r="Q11103">
        <v>0</v>
      </c>
      <c r="R11103" t="s">
        <v>43180</v>
      </c>
      <c r="S11103" t="s">
        <v>43646</v>
      </c>
      <c r="T11103" t="s">
        <v>44844</v>
      </c>
      <c r="U11103" t="s">
        <v>54055</v>
      </c>
      <c r="W11103" t="s">
        <v>41734</v>
      </c>
      <c r="X11103" t="s">
        <v>43181</v>
      </c>
    </row>
    <row r="11104" spans="1:24">
      <c r="A11104">
        <f>HYPERLINK("https://www.philgeps.gov.ph/GEPSNONPILOT/Tender/SplashBidNoticeAbstractUI.aspx?menuIndex=3&amp;refID=7062721&amp;Result=3","7062721")</f>
        <v>0</v>
      </c>
      <c r="B11104" t="s">
        <v>1248</v>
      </c>
      <c r="C11104" t="s">
        <v>14011</v>
      </c>
      <c r="D11104" t="s">
        <v>17469</v>
      </c>
      <c r="E11104" t="s">
        <v>26995</v>
      </c>
      <c r="F11104" t="s">
        <v>30052</v>
      </c>
      <c r="G11104" t="s">
        <v>30058</v>
      </c>
      <c r="H11104" t="s">
        <v>30067</v>
      </c>
      <c r="I11104" t="s">
        <v>3693</v>
      </c>
      <c r="J11104" t="s">
        <v>30829</v>
      </c>
      <c r="K11104" t="s">
        <v>39252</v>
      </c>
      <c r="M11104" t="s">
        <v>40604</v>
      </c>
      <c r="N11104" t="s">
        <v>43166</v>
      </c>
      <c r="O11104" t="s">
        <v>43167</v>
      </c>
      <c r="P11104">
        <v>0</v>
      </c>
      <c r="Q11104">
        <v>6</v>
      </c>
      <c r="R11104" t="s">
        <v>43180</v>
      </c>
      <c r="S11104" t="s">
        <v>43646</v>
      </c>
      <c r="T11104" t="s">
        <v>44681</v>
      </c>
      <c r="U11104" t="s">
        <v>54056</v>
      </c>
      <c r="W11104" t="s">
        <v>40604</v>
      </c>
      <c r="X11104" t="s">
        <v>43181</v>
      </c>
    </row>
    <row r="11105" spans="1:24">
      <c r="A11105">
        <f>HYPERLINK("https://www.philgeps.gov.ph/GEPSNONPILOT/Tender/SplashBidNoticeAbstractUI.aspx?menuIndex=3&amp;refID=7061990&amp;Result=3","7061990")</f>
        <v>0</v>
      </c>
      <c r="B11105" t="s">
        <v>511</v>
      </c>
      <c r="C11105" t="s">
        <v>14012</v>
      </c>
      <c r="D11105" t="s">
        <v>17415</v>
      </c>
      <c r="E11105" t="s">
        <v>26996</v>
      </c>
      <c r="F11105" t="s">
        <v>30052</v>
      </c>
      <c r="G11105" t="s">
        <v>30062</v>
      </c>
      <c r="H11105" t="s">
        <v>15498</v>
      </c>
      <c r="I11105" t="s">
        <v>30101</v>
      </c>
      <c r="J11105" t="s">
        <v>36995</v>
      </c>
      <c r="K11105" t="s">
        <v>39019</v>
      </c>
      <c r="M11105" t="s">
        <v>42318</v>
      </c>
      <c r="N11105" t="s">
        <v>43166</v>
      </c>
      <c r="O11105" t="s">
        <v>43167</v>
      </c>
      <c r="Q11105">
        <v>2</v>
      </c>
      <c r="R11105" t="s">
        <v>43180</v>
      </c>
      <c r="S11105" t="s">
        <v>43289</v>
      </c>
      <c r="T11105" t="s">
        <v>44733</v>
      </c>
      <c r="U11105" t="s">
        <v>52791</v>
      </c>
      <c r="V11105" t="s">
        <v>58021</v>
      </c>
      <c r="W11105" t="s">
        <v>42318</v>
      </c>
      <c r="X11105" t="s">
        <v>43181</v>
      </c>
    </row>
    <row r="11106" spans="1:24">
      <c r="A11106">
        <f>HYPERLINK("https://www.philgeps.gov.ph/GEPSNONPILOT/Tender/SplashBidNoticeAbstractUI.aspx?menuIndex=3&amp;refID=7061748&amp;Result=3","7061748")</f>
        <v>0</v>
      </c>
      <c r="B11106" t="s">
        <v>1372</v>
      </c>
      <c r="C11106" t="s">
        <v>14013</v>
      </c>
      <c r="D11106" t="s">
        <v>17424</v>
      </c>
      <c r="E11106" t="s">
        <v>26997</v>
      </c>
      <c r="F11106" t="s">
        <v>30052</v>
      </c>
      <c r="G11106" t="s">
        <v>30058</v>
      </c>
      <c r="H11106" t="s">
        <v>30067</v>
      </c>
      <c r="I11106" t="s">
        <v>3693</v>
      </c>
      <c r="J11106" t="s">
        <v>36996</v>
      </c>
      <c r="K11106" t="s">
        <v>39065</v>
      </c>
      <c r="M11106" t="s">
        <v>40761</v>
      </c>
      <c r="N11106" t="s">
        <v>43166</v>
      </c>
      <c r="O11106" t="s">
        <v>43167</v>
      </c>
      <c r="P11106">
        <v>0</v>
      </c>
      <c r="Q11106">
        <v>7</v>
      </c>
      <c r="R11106" t="s">
        <v>43180</v>
      </c>
      <c r="S11106" t="s">
        <v>43646</v>
      </c>
      <c r="T11106" t="s">
        <v>44699</v>
      </c>
      <c r="U11106" t="s">
        <v>48264</v>
      </c>
      <c r="W11106" t="s">
        <v>40761</v>
      </c>
      <c r="X11106" t="s">
        <v>43181</v>
      </c>
    </row>
    <row r="11107" spans="1:24">
      <c r="A11107">
        <f>HYPERLINK("https://www.philgeps.gov.ph/GEPSNONPILOT/Tender/SplashBidNoticeAbstractUI.aspx?menuIndex=3&amp;refID=7062009&amp;Result=3","7062009")</f>
        <v>0</v>
      </c>
      <c r="B11107" t="s">
        <v>1134</v>
      </c>
      <c r="C11107" t="s">
        <v>14014</v>
      </c>
      <c r="D11107" t="s">
        <v>17459</v>
      </c>
      <c r="E11107" t="s">
        <v>26998</v>
      </c>
      <c r="F11107" t="s">
        <v>30052</v>
      </c>
      <c r="G11107" t="s">
        <v>30058</v>
      </c>
      <c r="H11107" t="s">
        <v>30067</v>
      </c>
      <c r="I11107" t="s">
        <v>3693</v>
      </c>
      <c r="J11107" t="s">
        <v>36997</v>
      </c>
      <c r="K11107" t="s">
        <v>39020</v>
      </c>
      <c r="M11107" t="s">
        <v>40749</v>
      </c>
      <c r="N11107" t="s">
        <v>43166</v>
      </c>
      <c r="O11107" t="s">
        <v>43167</v>
      </c>
      <c r="P11107">
        <v>0</v>
      </c>
      <c r="Q11107">
        <v>0</v>
      </c>
      <c r="R11107" t="s">
        <v>43180</v>
      </c>
      <c r="S11107" t="s">
        <v>43646</v>
      </c>
      <c r="T11107" t="s">
        <v>44699</v>
      </c>
      <c r="U11107" t="s">
        <v>54057</v>
      </c>
      <c r="V11107" t="s">
        <v>58048</v>
      </c>
      <c r="W11107" t="s">
        <v>40749</v>
      </c>
      <c r="X11107" t="s">
        <v>43181</v>
      </c>
    </row>
    <row r="11108" spans="1:24">
      <c r="A11108">
        <f>HYPERLINK("https://www.philgeps.gov.ph/GEPSNONPILOT/Tender/SplashBidNoticeAbstractUI.aspx?menuIndex=3&amp;refID=7062401&amp;Result=3","7062401")</f>
        <v>0</v>
      </c>
      <c r="B11108" t="s">
        <v>3071</v>
      </c>
      <c r="C11108" t="s">
        <v>14015</v>
      </c>
      <c r="D11108" t="s">
        <v>17431</v>
      </c>
      <c r="E11108" t="s">
        <v>20668</v>
      </c>
      <c r="F11108" t="s">
        <v>30052</v>
      </c>
      <c r="G11108" t="s">
        <v>30058</v>
      </c>
      <c r="H11108" t="s">
        <v>30067</v>
      </c>
      <c r="I11108" t="s">
        <v>3693</v>
      </c>
      <c r="J11108" t="s">
        <v>31062</v>
      </c>
      <c r="K11108" t="s">
        <v>39025</v>
      </c>
      <c r="M11108" t="s">
        <v>42654</v>
      </c>
      <c r="N11108" t="s">
        <v>43166</v>
      </c>
      <c r="O11108" t="s">
        <v>43167</v>
      </c>
      <c r="P11108">
        <v>0</v>
      </c>
      <c r="Q11108">
        <v>0</v>
      </c>
      <c r="R11108" t="s">
        <v>43180</v>
      </c>
      <c r="S11108" t="s">
        <v>43646</v>
      </c>
      <c r="T11108" t="s">
        <v>44723</v>
      </c>
      <c r="U11108" t="s">
        <v>54058</v>
      </c>
      <c r="W11108" t="s">
        <v>42654</v>
      </c>
      <c r="X11108" t="s">
        <v>43181</v>
      </c>
    </row>
    <row r="11109" spans="1:24">
      <c r="A11109">
        <f>HYPERLINK("https://www.philgeps.gov.ph/GEPSNONPILOT/Tender/SplashBidNoticeAbstractUI.aspx?menuIndex=3&amp;refID=7062393&amp;Result=3","7062393")</f>
        <v>0</v>
      </c>
      <c r="B11109" t="s">
        <v>2964</v>
      </c>
      <c r="C11109" t="s">
        <v>14016</v>
      </c>
      <c r="D11109" t="s">
        <v>17459</v>
      </c>
      <c r="E11109" t="s">
        <v>26999</v>
      </c>
      <c r="F11109" t="s">
        <v>30052</v>
      </c>
      <c r="G11109" t="s">
        <v>30058</v>
      </c>
      <c r="H11109" t="s">
        <v>30067</v>
      </c>
      <c r="I11109" t="s">
        <v>3693</v>
      </c>
      <c r="J11109" t="s">
        <v>30207</v>
      </c>
      <c r="K11109" t="s">
        <v>39046</v>
      </c>
      <c r="M11109" t="s">
        <v>42529</v>
      </c>
      <c r="N11109" t="s">
        <v>43166</v>
      </c>
      <c r="O11109" t="s">
        <v>43167</v>
      </c>
      <c r="P11109">
        <v>0</v>
      </c>
      <c r="Q11109">
        <v>0</v>
      </c>
      <c r="R11109" t="s">
        <v>43180</v>
      </c>
      <c r="S11109" t="s">
        <v>43646</v>
      </c>
      <c r="T11109" t="s">
        <v>44699</v>
      </c>
      <c r="U11109" t="s">
        <v>54059</v>
      </c>
      <c r="W11109" t="s">
        <v>42529</v>
      </c>
      <c r="X11109" t="s">
        <v>43181</v>
      </c>
    </row>
    <row r="11110" spans="1:24">
      <c r="A11110">
        <f>HYPERLINK("https://www.philgeps.gov.ph/GEPSNONPILOT/Tender/SplashBidNoticeAbstractUI.aspx?menuIndex=3&amp;refID=7063478&amp;Result=3","7063478")</f>
        <v>0</v>
      </c>
      <c r="B11110" t="s">
        <v>1393</v>
      </c>
      <c r="C11110" t="s">
        <v>14017</v>
      </c>
      <c r="D11110" t="s">
        <v>17474</v>
      </c>
      <c r="E11110" t="s">
        <v>27000</v>
      </c>
      <c r="F11110" t="s">
        <v>30052</v>
      </c>
      <c r="G11110" t="s">
        <v>30058</v>
      </c>
      <c r="H11110" t="s">
        <v>15498</v>
      </c>
      <c r="I11110" t="s">
        <v>5961</v>
      </c>
      <c r="J11110" t="s">
        <v>30236</v>
      </c>
      <c r="K11110" t="s">
        <v>39034</v>
      </c>
      <c r="M11110" t="s">
        <v>40769</v>
      </c>
      <c r="N11110" t="s">
        <v>43166</v>
      </c>
      <c r="O11110" t="s">
        <v>43167</v>
      </c>
      <c r="P11110">
        <v>0</v>
      </c>
      <c r="Q11110">
        <v>0</v>
      </c>
      <c r="R11110" t="s">
        <v>43180</v>
      </c>
      <c r="S11110" t="s">
        <v>43646</v>
      </c>
      <c r="T11110" t="s">
        <v>44822</v>
      </c>
      <c r="U11110" t="s">
        <v>48721</v>
      </c>
      <c r="W11110" t="s">
        <v>40769</v>
      </c>
      <c r="X11110" t="s">
        <v>43181</v>
      </c>
    </row>
    <row r="11111" spans="1:24">
      <c r="A11111">
        <f>HYPERLINK("https://www.philgeps.gov.ph/GEPSNONPILOT/Tender/SplashBidNoticeAbstractUI.aspx?menuIndex=3&amp;refID=7063477&amp;Result=3","7063477")</f>
        <v>0</v>
      </c>
      <c r="B11111" t="s">
        <v>3072</v>
      </c>
      <c r="C11111" t="s">
        <v>14018</v>
      </c>
      <c r="D11111" t="s">
        <v>17415</v>
      </c>
      <c r="E11111" t="s">
        <v>27001</v>
      </c>
      <c r="F11111" t="s">
        <v>30055</v>
      </c>
      <c r="G11111" t="s">
        <v>30058</v>
      </c>
      <c r="H11111" t="s">
        <v>15498</v>
      </c>
      <c r="I11111" t="s">
        <v>4119</v>
      </c>
      <c r="J11111" t="s">
        <v>30218</v>
      </c>
      <c r="K11111" t="s">
        <v>39029</v>
      </c>
      <c r="M11111" t="s">
        <v>42655</v>
      </c>
      <c r="N11111" t="s">
        <v>43166</v>
      </c>
      <c r="O11111" t="s">
        <v>43167</v>
      </c>
      <c r="P11111">
        <v>0</v>
      </c>
      <c r="Q11111">
        <v>2</v>
      </c>
      <c r="R11111" t="s">
        <v>43180</v>
      </c>
      <c r="S11111" t="s">
        <v>43646</v>
      </c>
      <c r="T11111" t="s">
        <v>44777</v>
      </c>
      <c r="U11111" t="s">
        <v>54060</v>
      </c>
      <c r="V11111" t="s">
        <v>58076</v>
      </c>
      <c r="W11111" t="s">
        <v>42655</v>
      </c>
      <c r="X11111" t="s">
        <v>43181</v>
      </c>
    </row>
    <row r="11112" spans="1:24">
      <c r="A11112">
        <f>HYPERLINK("https://www.philgeps.gov.ph/GEPSNONPILOT/Tender/SplashBidNoticeAbstractUI.aspx?menuIndex=3&amp;refID=7063465&amp;Result=3","7063465")</f>
        <v>0</v>
      </c>
      <c r="B11112" t="s">
        <v>1339</v>
      </c>
      <c r="C11112" t="s">
        <v>14019</v>
      </c>
      <c r="D11112" t="s">
        <v>17474</v>
      </c>
      <c r="E11112" t="s">
        <v>27002</v>
      </c>
      <c r="F11112" t="s">
        <v>30052</v>
      </c>
      <c r="G11112" t="s">
        <v>30058</v>
      </c>
      <c r="H11112" t="s">
        <v>15498</v>
      </c>
      <c r="I11112" t="s">
        <v>30073</v>
      </c>
      <c r="J11112" t="s">
        <v>36998</v>
      </c>
      <c r="K11112" t="s">
        <v>39029</v>
      </c>
      <c r="M11112" t="s">
        <v>40706</v>
      </c>
      <c r="N11112" t="s">
        <v>43166</v>
      </c>
      <c r="O11112" t="s">
        <v>43167</v>
      </c>
      <c r="P11112">
        <v>0</v>
      </c>
      <c r="Q11112">
        <v>0</v>
      </c>
      <c r="R11112" t="s">
        <v>43180</v>
      </c>
      <c r="S11112" t="s">
        <v>43646</v>
      </c>
      <c r="T11112" t="s">
        <v>44704</v>
      </c>
      <c r="U11112" t="s">
        <v>48618</v>
      </c>
      <c r="V11112" t="s">
        <v>57248</v>
      </c>
      <c r="W11112" t="s">
        <v>40706</v>
      </c>
      <c r="X11112" t="s">
        <v>43181</v>
      </c>
    </row>
    <row r="11113" spans="1:24">
      <c r="A11113">
        <f>HYPERLINK("https://www.philgeps.gov.ph/GEPSNONPILOT/Tender/SplashBidNoticeAbstractUI.aspx?menuIndex=3&amp;refID=7062042&amp;Result=3","7062042")</f>
        <v>0</v>
      </c>
      <c r="B11113" t="s">
        <v>1675</v>
      </c>
      <c r="C11113" t="s">
        <v>14020</v>
      </c>
      <c r="D11113" t="s">
        <v>17471</v>
      </c>
      <c r="E11113" t="s">
        <v>27003</v>
      </c>
      <c r="F11113" t="s">
        <v>30052</v>
      </c>
      <c r="G11113" t="s">
        <v>30058</v>
      </c>
      <c r="H11113" t="s">
        <v>15498</v>
      </c>
      <c r="I11113" t="s">
        <v>30117</v>
      </c>
      <c r="J11113" t="s">
        <v>36999</v>
      </c>
      <c r="K11113" t="s">
        <v>39057</v>
      </c>
      <c r="M11113" t="s">
        <v>41082</v>
      </c>
      <c r="N11113" t="s">
        <v>43166</v>
      </c>
      <c r="O11113" t="s">
        <v>43167</v>
      </c>
      <c r="P11113">
        <v>0</v>
      </c>
      <c r="Q11113">
        <v>2</v>
      </c>
      <c r="R11113" t="s">
        <v>43180</v>
      </c>
      <c r="S11113" t="s">
        <v>43646</v>
      </c>
      <c r="T11113" t="s">
        <v>44717</v>
      </c>
      <c r="U11113" t="s">
        <v>54061</v>
      </c>
      <c r="W11113" t="s">
        <v>41082</v>
      </c>
      <c r="X11113" t="s">
        <v>43181</v>
      </c>
    </row>
    <row r="11114" spans="1:24">
      <c r="A11114">
        <f>HYPERLINK("https://www.philgeps.gov.ph/GEPSNONPILOT/Tender/SplashBidNoticeAbstractUI.aspx?menuIndex=3&amp;refID=7063463&amp;Result=3","7063463")</f>
        <v>0</v>
      </c>
      <c r="B11114" t="s">
        <v>3065</v>
      </c>
      <c r="C11114" t="s">
        <v>14021</v>
      </c>
      <c r="D11114" t="s">
        <v>17449</v>
      </c>
      <c r="E11114" t="s">
        <v>27004</v>
      </c>
      <c r="F11114" t="s">
        <v>30052</v>
      </c>
      <c r="G11114" t="s">
        <v>30058</v>
      </c>
      <c r="H11114" t="s">
        <v>30067</v>
      </c>
      <c r="I11114" t="s">
        <v>3693</v>
      </c>
      <c r="J11114" t="s">
        <v>35620</v>
      </c>
      <c r="K11114" t="s">
        <v>39026</v>
      </c>
      <c r="L11114" t="s">
        <v>3065</v>
      </c>
      <c r="M11114" t="s">
        <v>42648</v>
      </c>
      <c r="N11114" t="s">
        <v>43166</v>
      </c>
      <c r="O11114" t="s">
        <v>43167</v>
      </c>
      <c r="P11114">
        <v>0</v>
      </c>
      <c r="Q11114">
        <v>0</v>
      </c>
      <c r="R11114" t="s">
        <v>43180</v>
      </c>
      <c r="S11114" t="s">
        <v>43646</v>
      </c>
      <c r="T11114" t="s">
        <v>44780</v>
      </c>
      <c r="U11114" t="s">
        <v>54026</v>
      </c>
      <c r="W11114" t="s">
        <v>42648</v>
      </c>
      <c r="X11114" t="s">
        <v>43181</v>
      </c>
    </row>
    <row r="11115" spans="1:24">
      <c r="A11115">
        <f>HYPERLINK("https://www.philgeps.gov.ph/GEPSNONPILOT/Tender/SplashBidNoticeAbstractUI.aspx?menuIndex=3&amp;refID=7063462&amp;Result=3","7063462")</f>
        <v>0</v>
      </c>
      <c r="B11115" t="s">
        <v>925</v>
      </c>
      <c r="C11115" t="s">
        <v>14022</v>
      </c>
      <c r="D11115" t="s">
        <v>17474</v>
      </c>
      <c r="E11115" t="s">
        <v>27005</v>
      </c>
      <c r="F11115" t="s">
        <v>30052</v>
      </c>
      <c r="G11115" t="s">
        <v>30058</v>
      </c>
      <c r="H11115" t="s">
        <v>30067</v>
      </c>
      <c r="I11115" t="s">
        <v>3693</v>
      </c>
      <c r="J11115" t="s">
        <v>37000</v>
      </c>
      <c r="K11115" t="s">
        <v>39057</v>
      </c>
      <c r="M11115" t="s">
        <v>41356</v>
      </c>
      <c r="N11115" t="s">
        <v>43166</v>
      </c>
      <c r="O11115" t="s">
        <v>43167</v>
      </c>
      <c r="P11115">
        <v>0</v>
      </c>
      <c r="Q11115">
        <v>0</v>
      </c>
      <c r="R11115" t="s">
        <v>43180</v>
      </c>
      <c r="S11115" t="s">
        <v>43646</v>
      </c>
      <c r="T11115" t="s">
        <v>44699</v>
      </c>
      <c r="U11115" t="s">
        <v>54062</v>
      </c>
      <c r="V11115" t="s">
        <v>58077</v>
      </c>
      <c r="W11115" t="s">
        <v>41356</v>
      </c>
      <c r="X11115" t="s">
        <v>43181</v>
      </c>
    </row>
    <row r="11116" spans="1:24">
      <c r="A11116">
        <f>HYPERLINK("https://www.philgeps.gov.ph/GEPSNONPILOT/Tender/SplashBidNoticeAbstractUI.aspx?menuIndex=3&amp;refID=7063461&amp;Result=3","7063461")</f>
        <v>0</v>
      </c>
      <c r="B11116" t="s">
        <v>767</v>
      </c>
      <c r="C11116" t="s">
        <v>13949</v>
      </c>
      <c r="D11116" t="s">
        <v>17487</v>
      </c>
      <c r="E11116" t="s">
        <v>27006</v>
      </c>
      <c r="F11116" t="s">
        <v>30052</v>
      </c>
      <c r="G11116" t="s">
        <v>30058</v>
      </c>
      <c r="H11116" t="s">
        <v>15498</v>
      </c>
      <c r="I11116" t="s">
        <v>30074</v>
      </c>
      <c r="J11116" t="s">
        <v>33921</v>
      </c>
      <c r="K11116" t="s">
        <v>39046</v>
      </c>
      <c r="M11116" t="s">
        <v>40081</v>
      </c>
      <c r="N11116" t="s">
        <v>43166</v>
      </c>
      <c r="O11116" t="s">
        <v>43167</v>
      </c>
      <c r="P11116">
        <v>0</v>
      </c>
      <c r="Q11116">
        <v>3</v>
      </c>
      <c r="R11116" t="s">
        <v>43180</v>
      </c>
      <c r="S11116" t="s">
        <v>43646</v>
      </c>
      <c r="T11116" t="s">
        <v>44753</v>
      </c>
      <c r="U11116" t="s">
        <v>54006</v>
      </c>
      <c r="V11116" t="s">
        <v>57027</v>
      </c>
      <c r="W11116" t="s">
        <v>40081</v>
      </c>
      <c r="X11116" t="s">
        <v>43181</v>
      </c>
    </row>
    <row r="11117" spans="1:24">
      <c r="A11117">
        <f>HYPERLINK("https://www.philgeps.gov.ph/GEPSNONPILOT/Tender/SplashBidNoticeAbstractUI.aspx?menuIndex=3&amp;refID=7063476&amp;Result=3","7063476")</f>
        <v>0</v>
      </c>
      <c r="B11117" t="s">
        <v>1339</v>
      </c>
      <c r="C11117" t="s">
        <v>14023</v>
      </c>
      <c r="D11117" t="s">
        <v>17474</v>
      </c>
      <c r="E11117" t="s">
        <v>27007</v>
      </c>
      <c r="F11117" t="s">
        <v>30052</v>
      </c>
      <c r="G11117" t="s">
        <v>30058</v>
      </c>
      <c r="H11117" t="s">
        <v>15498</v>
      </c>
      <c r="I11117" t="s">
        <v>3606</v>
      </c>
      <c r="J11117" t="s">
        <v>37001</v>
      </c>
      <c r="K11117" t="s">
        <v>39029</v>
      </c>
      <c r="M11117" t="s">
        <v>40706</v>
      </c>
      <c r="N11117" t="s">
        <v>43166</v>
      </c>
      <c r="O11117" t="s">
        <v>43167</v>
      </c>
      <c r="P11117">
        <v>0</v>
      </c>
      <c r="Q11117">
        <v>6</v>
      </c>
      <c r="R11117" t="s">
        <v>43180</v>
      </c>
      <c r="S11117" t="s">
        <v>43646</v>
      </c>
      <c r="T11117" t="s">
        <v>44704</v>
      </c>
      <c r="U11117" t="s">
        <v>48618</v>
      </c>
      <c r="V11117" t="s">
        <v>57248</v>
      </c>
      <c r="W11117" t="s">
        <v>40706</v>
      </c>
      <c r="X11117" t="s">
        <v>43181</v>
      </c>
    </row>
    <row r="11118" spans="1:24">
      <c r="A11118">
        <f>HYPERLINK("https://www.philgeps.gov.ph/GEPSNONPILOT/Tender/SplashBidNoticeAbstractUI.aspx?menuIndex=3&amp;refID=7063466&amp;Result=3","7063466")</f>
        <v>0</v>
      </c>
      <c r="B11118" t="s">
        <v>2880</v>
      </c>
      <c r="C11118" t="s">
        <v>14024</v>
      </c>
      <c r="D11118" t="s">
        <v>17425</v>
      </c>
      <c r="E11118" t="s">
        <v>27008</v>
      </c>
      <c r="F11118" t="s">
        <v>30052</v>
      </c>
      <c r="G11118" t="s">
        <v>30058</v>
      </c>
      <c r="H11118" t="s">
        <v>30067</v>
      </c>
      <c r="I11118" t="s">
        <v>3693</v>
      </c>
      <c r="J11118" t="s">
        <v>37002</v>
      </c>
      <c r="K11118" t="s">
        <v>39029</v>
      </c>
      <c r="M11118" t="s">
        <v>42430</v>
      </c>
      <c r="N11118" t="s">
        <v>43166</v>
      </c>
      <c r="O11118" t="s">
        <v>43167</v>
      </c>
      <c r="P11118">
        <v>0</v>
      </c>
      <c r="Q11118">
        <v>0</v>
      </c>
      <c r="R11118" t="s">
        <v>43180</v>
      </c>
      <c r="S11118" t="s">
        <v>43646</v>
      </c>
      <c r="T11118" t="s">
        <v>44681</v>
      </c>
      <c r="U11118" t="s">
        <v>54063</v>
      </c>
      <c r="W11118" t="s">
        <v>42430</v>
      </c>
      <c r="X11118" t="s">
        <v>43181</v>
      </c>
    </row>
    <row r="11119" spans="1:24">
      <c r="A11119">
        <f>HYPERLINK("https://www.philgeps.gov.ph/GEPSNONPILOT/Tender/SplashBidNoticeAbstractUI.aspx?menuIndex=3&amp;refID=7063460&amp;Result=3","7063460")</f>
        <v>0</v>
      </c>
      <c r="B11119" t="s">
        <v>3068</v>
      </c>
      <c r="C11119" t="s">
        <v>14025</v>
      </c>
      <c r="D11119" t="s">
        <v>17427</v>
      </c>
      <c r="E11119" t="s">
        <v>27009</v>
      </c>
      <c r="F11119" t="s">
        <v>30052</v>
      </c>
      <c r="G11119" t="s">
        <v>30058</v>
      </c>
      <c r="H11119" t="s">
        <v>30068</v>
      </c>
      <c r="I11119" t="s">
        <v>3693</v>
      </c>
      <c r="J11119" t="s">
        <v>37003</v>
      </c>
      <c r="K11119" t="s">
        <v>39069</v>
      </c>
      <c r="M11119" t="s">
        <v>42651</v>
      </c>
      <c r="N11119" t="s">
        <v>43166</v>
      </c>
      <c r="O11119" t="s">
        <v>43167</v>
      </c>
      <c r="Q11119">
        <v>0</v>
      </c>
      <c r="R11119" t="s">
        <v>43180</v>
      </c>
      <c r="S11119" t="s">
        <v>43685</v>
      </c>
      <c r="T11119" t="s">
        <v>44704</v>
      </c>
      <c r="U11119" t="s">
        <v>54064</v>
      </c>
      <c r="W11119" t="s">
        <v>42651</v>
      </c>
      <c r="X11119" t="s">
        <v>43181</v>
      </c>
    </row>
    <row r="11120" spans="1:24">
      <c r="A11120">
        <f>HYPERLINK("https://www.philgeps.gov.ph/GEPSNONPILOT/Tender/SplashBidNoticeAbstractUI.aspx?menuIndex=3&amp;refID=7063459&amp;Result=3","7063459")</f>
        <v>0</v>
      </c>
      <c r="B11120" t="s">
        <v>684</v>
      </c>
      <c r="C11120" t="s">
        <v>14026</v>
      </c>
      <c r="D11120" t="s">
        <v>17473</v>
      </c>
      <c r="E11120" t="s">
        <v>14026</v>
      </c>
      <c r="F11120" t="s">
        <v>30052</v>
      </c>
      <c r="G11120" t="s">
        <v>30061</v>
      </c>
      <c r="H11120" t="s">
        <v>15498</v>
      </c>
      <c r="I11120" t="s">
        <v>30081</v>
      </c>
      <c r="J11120" t="s">
        <v>37004</v>
      </c>
      <c r="K11120" t="s">
        <v>39029</v>
      </c>
      <c r="M11120" t="s">
        <v>42644</v>
      </c>
      <c r="N11120" t="s">
        <v>43166</v>
      </c>
      <c r="O11120" t="s">
        <v>43167</v>
      </c>
      <c r="P11120">
        <v>0</v>
      </c>
      <c r="Q11120">
        <v>0</v>
      </c>
      <c r="R11120" t="s">
        <v>43180</v>
      </c>
      <c r="S11120" t="s">
        <v>43646</v>
      </c>
      <c r="T11120" t="s">
        <v>44822</v>
      </c>
      <c r="U11120" t="s">
        <v>54065</v>
      </c>
      <c r="W11120" t="s">
        <v>42644</v>
      </c>
      <c r="X11120" t="s">
        <v>43181</v>
      </c>
    </row>
    <row r="11121" spans="1:24">
      <c r="A11121">
        <f>HYPERLINK("https://www.philgeps.gov.ph/GEPSNONPILOT/Tender/SplashBidNoticeAbstractUI.aspx?menuIndex=3&amp;refID=7063439&amp;Result=3","7063439")</f>
        <v>0</v>
      </c>
      <c r="B11121" t="s">
        <v>684</v>
      </c>
      <c r="C11121" t="s">
        <v>14027</v>
      </c>
      <c r="D11121" t="s">
        <v>17473</v>
      </c>
      <c r="E11121" t="s">
        <v>14027</v>
      </c>
      <c r="F11121" t="s">
        <v>30052</v>
      </c>
      <c r="G11121" t="s">
        <v>30061</v>
      </c>
      <c r="H11121" t="s">
        <v>15498</v>
      </c>
      <c r="I11121" t="s">
        <v>30081</v>
      </c>
      <c r="J11121" t="s">
        <v>32771</v>
      </c>
      <c r="K11121" t="s">
        <v>39029</v>
      </c>
      <c r="M11121" t="s">
        <v>42644</v>
      </c>
      <c r="N11121" t="s">
        <v>43166</v>
      </c>
      <c r="O11121" t="s">
        <v>43167</v>
      </c>
      <c r="P11121">
        <v>0</v>
      </c>
      <c r="Q11121">
        <v>0</v>
      </c>
      <c r="R11121" t="s">
        <v>43180</v>
      </c>
      <c r="S11121" t="s">
        <v>43646</v>
      </c>
      <c r="T11121" t="s">
        <v>44965</v>
      </c>
      <c r="U11121" t="s">
        <v>54066</v>
      </c>
      <c r="W11121" t="s">
        <v>42644</v>
      </c>
      <c r="X11121" t="s">
        <v>43181</v>
      </c>
    </row>
    <row r="11122" spans="1:24">
      <c r="A11122">
        <f>HYPERLINK("https://www.philgeps.gov.ph/GEPSNONPILOT/Tender/SplashBidNoticeAbstractUI.aspx?menuIndex=3&amp;refID=7063469&amp;Result=3","7063469")</f>
        <v>0</v>
      </c>
      <c r="B11122" t="s">
        <v>78</v>
      </c>
      <c r="C11122" t="s">
        <v>14028</v>
      </c>
      <c r="D11122" t="s">
        <v>17484</v>
      </c>
      <c r="E11122" t="s">
        <v>27010</v>
      </c>
      <c r="F11122" t="s">
        <v>30052</v>
      </c>
      <c r="G11122" t="s">
        <v>30063</v>
      </c>
      <c r="H11122" t="s">
        <v>15498</v>
      </c>
      <c r="I11122" t="s">
        <v>30091</v>
      </c>
      <c r="J11122" t="s">
        <v>30557</v>
      </c>
      <c r="K11122" t="s">
        <v>39029</v>
      </c>
      <c r="M11122" t="s">
        <v>39367</v>
      </c>
      <c r="N11122" t="s">
        <v>43166</v>
      </c>
      <c r="O11122" t="s">
        <v>43167</v>
      </c>
      <c r="P11122">
        <v>0</v>
      </c>
      <c r="Q11122">
        <v>9</v>
      </c>
      <c r="R11122" t="s">
        <v>43180</v>
      </c>
      <c r="S11122" t="s">
        <v>43646</v>
      </c>
      <c r="T11122" t="s">
        <v>44699</v>
      </c>
      <c r="U11122" t="s">
        <v>54067</v>
      </c>
      <c r="V11122" t="s">
        <v>58078</v>
      </c>
      <c r="W11122" t="s">
        <v>39367</v>
      </c>
      <c r="X11122" t="s">
        <v>43181</v>
      </c>
    </row>
    <row r="11123" spans="1:24">
      <c r="A11123">
        <f>HYPERLINK("https://www.philgeps.gov.ph/GEPSNONPILOT/Tender/SplashBidNoticeAbstractUI.aspx?menuIndex=3&amp;refID=7063438&amp;Result=3","7063438")</f>
        <v>0</v>
      </c>
      <c r="B11123" t="s">
        <v>1134</v>
      </c>
      <c r="C11123" t="s">
        <v>14029</v>
      </c>
      <c r="D11123" t="s">
        <v>17459</v>
      </c>
      <c r="E11123" t="s">
        <v>27011</v>
      </c>
      <c r="F11123" t="s">
        <v>30052</v>
      </c>
      <c r="G11123" t="s">
        <v>30058</v>
      </c>
      <c r="H11123" t="s">
        <v>30067</v>
      </c>
      <c r="I11123" t="s">
        <v>3693</v>
      </c>
      <c r="J11123" t="s">
        <v>37005</v>
      </c>
      <c r="K11123" t="s">
        <v>39023</v>
      </c>
      <c r="M11123" t="s">
        <v>40749</v>
      </c>
      <c r="N11123" t="s">
        <v>43166</v>
      </c>
      <c r="O11123" t="s">
        <v>43167</v>
      </c>
      <c r="P11123">
        <v>0</v>
      </c>
      <c r="Q11123">
        <v>0</v>
      </c>
      <c r="R11123" t="s">
        <v>43180</v>
      </c>
      <c r="S11123" t="s">
        <v>43646</v>
      </c>
      <c r="T11123" t="s">
        <v>44791</v>
      </c>
      <c r="U11123" t="s">
        <v>54018</v>
      </c>
      <c r="V11123" t="s">
        <v>58048</v>
      </c>
      <c r="W11123" t="s">
        <v>40749</v>
      </c>
      <c r="X11123" t="s">
        <v>43181</v>
      </c>
    </row>
    <row r="11124" spans="1:24">
      <c r="A11124">
        <f>HYPERLINK("https://www.philgeps.gov.ph/GEPSNONPILOT/Tender/SplashBidNoticeAbstractUI.aspx?menuIndex=3&amp;refID=7063435&amp;Result=3","7063435")</f>
        <v>0</v>
      </c>
      <c r="B11124" t="s">
        <v>3068</v>
      </c>
      <c r="C11124" t="s">
        <v>14030</v>
      </c>
      <c r="D11124" t="s">
        <v>17427</v>
      </c>
      <c r="E11124" t="s">
        <v>27012</v>
      </c>
      <c r="F11124" t="s">
        <v>30052</v>
      </c>
      <c r="G11124" t="s">
        <v>30058</v>
      </c>
      <c r="H11124" t="s">
        <v>30067</v>
      </c>
      <c r="I11124" t="s">
        <v>3693</v>
      </c>
      <c r="J11124" t="s">
        <v>37006</v>
      </c>
      <c r="K11124" t="s">
        <v>39069</v>
      </c>
      <c r="M11124" t="s">
        <v>42651</v>
      </c>
      <c r="N11124" t="s">
        <v>43166</v>
      </c>
      <c r="O11124" t="s">
        <v>43167</v>
      </c>
      <c r="Q11124">
        <v>1</v>
      </c>
      <c r="R11124" t="s">
        <v>43180</v>
      </c>
      <c r="S11124" t="s">
        <v>43686</v>
      </c>
      <c r="T11124" t="s">
        <v>44704</v>
      </c>
      <c r="U11124" t="s">
        <v>54068</v>
      </c>
      <c r="W11124" t="s">
        <v>42651</v>
      </c>
      <c r="X11124" t="s">
        <v>43181</v>
      </c>
    </row>
    <row r="11125" spans="1:24">
      <c r="A11125">
        <f>HYPERLINK("https://www.philgeps.gov.ph/GEPSNONPILOT/Tender/SplashBidNoticeAbstractUI.aspx?menuIndex=3&amp;refID=7063433&amp;Result=3","7063433")</f>
        <v>0</v>
      </c>
      <c r="B11125" t="s">
        <v>3073</v>
      </c>
      <c r="C11125" t="s">
        <v>14031</v>
      </c>
      <c r="D11125" t="s">
        <v>17429</v>
      </c>
      <c r="E11125" t="s">
        <v>27013</v>
      </c>
      <c r="F11125" t="s">
        <v>30052</v>
      </c>
      <c r="G11125" t="s">
        <v>30058</v>
      </c>
      <c r="H11125" t="s">
        <v>30067</v>
      </c>
      <c r="I11125" t="s">
        <v>3693</v>
      </c>
      <c r="J11125" t="s">
        <v>37007</v>
      </c>
      <c r="K11125" t="s">
        <v>39033</v>
      </c>
      <c r="M11125" t="s">
        <v>42656</v>
      </c>
      <c r="N11125" t="s">
        <v>43166</v>
      </c>
      <c r="O11125" t="s">
        <v>43167</v>
      </c>
      <c r="P11125">
        <v>0</v>
      </c>
      <c r="Q11125">
        <v>0</v>
      </c>
      <c r="R11125" t="s">
        <v>43180</v>
      </c>
      <c r="S11125" t="s">
        <v>43646</v>
      </c>
      <c r="T11125" t="s">
        <v>44741</v>
      </c>
      <c r="U11125" t="s">
        <v>54069</v>
      </c>
      <c r="W11125" t="s">
        <v>42656</v>
      </c>
      <c r="X11125" t="s">
        <v>43181</v>
      </c>
    </row>
    <row r="11126" spans="1:24">
      <c r="A11126">
        <f>HYPERLINK("https://www.philgeps.gov.ph/GEPSNONPILOT/Tender/SplashBidNoticeAbstractUI.aspx?menuIndex=3&amp;refID=7061069&amp;Result=3","7061069")</f>
        <v>0</v>
      </c>
      <c r="B11126" t="s">
        <v>1378</v>
      </c>
      <c r="C11126" t="s">
        <v>14032</v>
      </c>
      <c r="D11126" t="s">
        <v>17440</v>
      </c>
      <c r="E11126" t="s">
        <v>27014</v>
      </c>
      <c r="F11126" t="s">
        <v>30052</v>
      </c>
      <c r="G11126" t="s">
        <v>30058</v>
      </c>
      <c r="H11126" t="s">
        <v>15498</v>
      </c>
      <c r="I11126" t="s">
        <v>30156</v>
      </c>
      <c r="J11126" t="s">
        <v>37008</v>
      </c>
      <c r="K11126" t="s">
        <v>39057</v>
      </c>
      <c r="M11126" t="s">
        <v>40753</v>
      </c>
      <c r="N11126" t="s">
        <v>43166</v>
      </c>
      <c r="O11126" t="s">
        <v>43167</v>
      </c>
      <c r="Q11126">
        <v>8</v>
      </c>
      <c r="R11126" t="s">
        <v>43180</v>
      </c>
      <c r="S11126" t="s">
        <v>43687</v>
      </c>
      <c r="T11126" t="s">
        <v>44791</v>
      </c>
      <c r="U11126" t="s">
        <v>54070</v>
      </c>
      <c r="W11126" t="s">
        <v>40753</v>
      </c>
      <c r="X11126" t="s">
        <v>43182</v>
      </c>
    </row>
    <row r="11127" spans="1:24">
      <c r="A11127">
        <f>HYPERLINK("https://www.philgeps.gov.ph/GEPSNONPILOT/Tender/SplashBidNoticeAbstractUI.aspx?menuIndex=3&amp;refID=7063358&amp;Result=3","7063358")</f>
        <v>0</v>
      </c>
      <c r="B11127" t="s">
        <v>3074</v>
      </c>
      <c r="C11127" t="s">
        <v>14033</v>
      </c>
      <c r="D11127" t="s">
        <v>17472</v>
      </c>
      <c r="E11127" t="s">
        <v>27015</v>
      </c>
      <c r="F11127" t="s">
        <v>30055</v>
      </c>
      <c r="G11127" t="s">
        <v>30058</v>
      </c>
      <c r="H11127" t="s">
        <v>15498</v>
      </c>
      <c r="I11127" t="s">
        <v>30140</v>
      </c>
      <c r="J11127" t="s">
        <v>30256</v>
      </c>
      <c r="K11127" t="s">
        <v>39026</v>
      </c>
      <c r="M11127" t="s">
        <v>42657</v>
      </c>
      <c r="N11127" t="s">
        <v>43166</v>
      </c>
      <c r="O11127" t="s">
        <v>43167</v>
      </c>
      <c r="P11127">
        <v>0</v>
      </c>
      <c r="Q11127">
        <v>6</v>
      </c>
      <c r="R11127" t="s">
        <v>43180</v>
      </c>
      <c r="S11127" t="s">
        <v>43646</v>
      </c>
      <c r="T11127" t="s">
        <v>44732</v>
      </c>
      <c r="U11127" t="s">
        <v>54071</v>
      </c>
      <c r="V11127" t="s">
        <v>58079</v>
      </c>
      <c r="W11127" t="s">
        <v>42657</v>
      </c>
      <c r="X11127" t="s">
        <v>43181</v>
      </c>
    </row>
    <row r="11128" spans="1:24">
      <c r="A11128">
        <f>HYPERLINK("https://www.philgeps.gov.ph/GEPSNONPILOT/Tender/SplashBidNoticeAbstractUI.aspx?menuIndex=3&amp;refID=7063547&amp;Result=3","7063547")</f>
        <v>0</v>
      </c>
      <c r="B11128" t="s">
        <v>3068</v>
      </c>
      <c r="C11128" t="s">
        <v>14034</v>
      </c>
      <c r="D11128" t="s">
        <v>17427</v>
      </c>
      <c r="E11128" t="s">
        <v>27016</v>
      </c>
      <c r="F11128" t="s">
        <v>30052</v>
      </c>
      <c r="G11128" t="s">
        <v>30058</v>
      </c>
      <c r="H11128" t="s">
        <v>30067</v>
      </c>
      <c r="I11128" t="s">
        <v>3693</v>
      </c>
      <c r="J11128" t="s">
        <v>37009</v>
      </c>
      <c r="K11128" t="s">
        <v>39069</v>
      </c>
      <c r="M11128" t="s">
        <v>42651</v>
      </c>
      <c r="N11128" t="s">
        <v>43166</v>
      </c>
      <c r="O11128" t="s">
        <v>43167</v>
      </c>
      <c r="P11128">
        <v>0</v>
      </c>
      <c r="Q11128">
        <v>0</v>
      </c>
      <c r="R11128" t="s">
        <v>43180</v>
      </c>
      <c r="S11128" t="s">
        <v>43646</v>
      </c>
      <c r="T11128" t="s">
        <v>44704</v>
      </c>
      <c r="U11128" t="s">
        <v>54072</v>
      </c>
      <c r="W11128" t="s">
        <v>42651</v>
      </c>
      <c r="X11128" t="s">
        <v>43181</v>
      </c>
    </row>
    <row r="11129" spans="1:24">
      <c r="A11129">
        <f>HYPERLINK("https://www.philgeps.gov.ph/GEPSNONPILOT/Tender/SplashBidNoticeAbstractUI.aspx?menuIndex=3&amp;refID=7061179&amp;Result=3","7061179")</f>
        <v>0</v>
      </c>
      <c r="B11129" t="s">
        <v>39</v>
      </c>
      <c r="C11129" t="s">
        <v>14035</v>
      </c>
      <c r="D11129" t="s">
        <v>17419</v>
      </c>
      <c r="E11129" t="s">
        <v>27017</v>
      </c>
      <c r="F11129" t="s">
        <v>30052</v>
      </c>
      <c r="G11129" t="s">
        <v>30058</v>
      </c>
      <c r="H11129" t="s">
        <v>30067</v>
      </c>
      <c r="I11129" t="s">
        <v>3693</v>
      </c>
      <c r="J11129" t="s">
        <v>37010</v>
      </c>
      <c r="K11129" t="s">
        <v>39031</v>
      </c>
      <c r="M11129" t="s">
        <v>39329</v>
      </c>
      <c r="N11129" t="s">
        <v>43166</v>
      </c>
      <c r="O11129" t="s">
        <v>43167</v>
      </c>
      <c r="Q11129">
        <v>1</v>
      </c>
      <c r="R11129" t="s">
        <v>43180</v>
      </c>
      <c r="S11129" t="s">
        <v>43688</v>
      </c>
      <c r="T11129" t="s">
        <v>44807</v>
      </c>
      <c r="U11129" t="s">
        <v>54073</v>
      </c>
      <c r="W11129" t="s">
        <v>39329</v>
      </c>
      <c r="X11129" t="s">
        <v>43182</v>
      </c>
    </row>
    <row r="11130" spans="1:24">
      <c r="A11130">
        <f>HYPERLINK("https://www.philgeps.gov.ph/GEPSNONPILOT/Tender/SplashBidNoticeAbstractUI.aspx?menuIndex=3&amp;refID=7063543&amp;Result=3","7063543")</f>
        <v>0</v>
      </c>
      <c r="B11130" t="s">
        <v>2614</v>
      </c>
      <c r="C11130" t="s">
        <v>14036</v>
      </c>
      <c r="D11130" t="s">
        <v>17454</v>
      </c>
      <c r="E11130" t="s">
        <v>25875</v>
      </c>
      <c r="F11130" t="s">
        <v>30055</v>
      </c>
      <c r="G11130" t="s">
        <v>30063</v>
      </c>
      <c r="H11130" t="s">
        <v>15498</v>
      </c>
      <c r="I11130" t="s">
        <v>30096</v>
      </c>
      <c r="J11130" t="s">
        <v>37011</v>
      </c>
      <c r="K11130" t="s">
        <v>39046</v>
      </c>
      <c r="M11130" t="s">
        <v>42126</v>
      </c>
      <c r="N11130" t="s">
        <v>43166</v>
      </c>
      <c r="O11130" t="s">
        <v>43167</v>
      </c>
      <c r="P11130">
        <v>0</v>
      </c>
      <c r="Q11130">
        <v>6</v>
      </c>
      <c r="R11130" t="s">
        <v>43180</v>
      </c>
      <c r="S11130" t="s">
        <v>43646</v>
      </c>
      <c r="T11130" t="s">
        <v>44704</v>
      </c>
      <c r="U11130" t="s">
        <v>54074</v>
      </c>
      <c r="W11130" t="s">
        <v>42126</v>
      </c>
      <c r="X11130" t="s">
        <v>43181</v>
      </c>
    </row>
    <row r="11131" spans="1:24">
      <c r="A11131">
        <f>HYPERLINK("https://www.philgeps.gov.ph/GEPSNONPILOT/Tender/SplashBidNoticeAbstractUI.aspx?menuIndex=3&amp;refID=7063455&amp;Result=3","7063455")</f>
        <v>0</v>
      </c>
      <c r="B11131" t="s">
        <v>3041</v>
      </c>
      <c r="C11131" t="s">
        <v>14037</v>
      </c>
      <c r="D11131" t="s">
        <v>17415</v>
      </c>
      <c r="E11131" t="s">
        <v>27018</v>
      </c>
      <c r="F11131" t="s">
        <v>30052</v>
      </c>
      <c r="G11131" t="s">
        <v>30058</v>
      </c>
      <c r="H11131" t="s">
        <v>15498</v>
      </c>
      <c r="I11131" t="s">
        <v>30130</v>
      </c>
      <c r="J11131" t="s">
        <v>37012</v>
      </c>
      <c r="K11131" t="s">
        <v>39025</v>
      </c>
      <c r="M11131" t="s">
        <v>42619</v>
      </c>
      <c r="N11131" t="s">
        <v>43166</v>
      </c>
      <c r="O11131" t="s">
        <v>43167</v>
      </c>
      <c r="P11131">
        <v>0</v>
      </c>
      <c r="Q11131">
        <v>48</v>
      </c>
      <c r="R11131" t="s">
        <v>43180</v>
      </c>
      <c r="S11131" t="s">
        <v>43646</v>
      </c>
      <c r="T11131" t="s">
        <v>44750</v>
      </c>
      <c r="U11131" t="s">
        <v>53917</v>
      </c>
      <c r="W11131" t="s">
        <v>42619</v>
      </c>
      <c r="X11131" t="s">
        <v>43181</v>
      </c>
    </row>
    <row r="11132" spans="1:24">
      <c r="A11132">
        <f>HYPERLINK("https://www.philgeps.gov.ph/GEPSNONPILOT/Tender/SplashBidNoticeAbstractUI.aspx?menuIndex=3&amp;refID=7063409&amp;Result=3","7063409")</f>
        <v>0</v>
      </c>
      <c r="B11132" t="s">
        <v>2859</v>
      </c>
      <c r="C11132" t="s">
        <v>14038</v>
      </c>
      <c r="D11132" t="s">
        <v>17422</v>
      </c>
      <c r="E11132" t="s">
        <v>27019</v>
      </c>
      <c r="F11132" t="s">
        <v>30052</v>
      </c>
      <c r="G11132" t="s">
        <v>30058</v>
      </c>
      <c r="H11132" t="s">
        <v>15498</v>
      </c>
      <c r="I11132" t="s">
        <v>30084</v>
      </c>
      <c r="J11132" t="s">
        <v>30281</v>
      </c>
      <c r="K11132" t="s">
        <v>39023</v>
      </c>
      <c r="M11132" t="s">
        <v>42407</v>
      </c>
      <c r="N11132" t="s">
        <v>43166</v>
      </c>
      <c r="O11132" t="s">
        <v>43167</v>
      </c>
      <c r="P11132">
        <v>0</v>
      </c>
      <c r="Q11132">
        <v>11</v>
      </c>
      <c r="R11132" t="s">
        <v>43180</v>
      </c>
      <c r="S11132" t="s">
        <v>43646</v>
      </c>
      <c r="T11132" t="s">
        <v>45129</v>
      </c>
      <c r="U11132" t="s">
        <v>54075</v>
      </c>
      <c r="W11132" t="s">
        <v>42407</v>
      </c>
      <c r="X11132" t="s">
        <v>43181</v>
      </c>
    </row>
    <row r="11133" spans="1:24">
      <c r="A11133">
        <f>HYPERLINK("https://www.philgeps.gov.ph/GEPSNONPILOT/Tender/SplashBidNoticeAbstractUI.aspx?menuIndex=3&amp;refID=7063538&amp;Result=3","7063538")</f>
        <v>0</v>
      </c>
      <c r="B11133" t="s">
        <v>818</v>
      </c>
      <c r="C11133" t="s">
        <v>14039</v>
      </c>
      <c r="D11133" t="s">
        <v>17449</v>
      </c>
      <c r="E11133" t="s">
        <v>27020</v>
      </c>
      <c r="F11133" t="s">
        <v>30052</v>
      </c>
      <c r="G11133" t="s">
        <v>30058</v>
      </c>
      <c r="H11133" t="s">
        <v>30067</v>
      </c>
      <c r="I11133" t="s">
        <v>3693</v>
      </c>
      <c r="J11133" t="s">
        <v>30297</v>
      </c>
      <c r="K11133" t="s">
        <v>39029</v>
      </c>
      <c r="M11133" t="s">
        <v>40135</v>
      </c>
      <c r="N11133" t="s">
        <v>43166</v>
      </c>
      <c r="O11133" t="s">
        <v>43167</v>
      </c>
      <c r="P11133">
        <v>0</v>
      </c>
      <c r="Q11133">
        <v>1</v>
      </c>
      <c r="R11133" t="s">
        <v>43180</v>
      </c>
      <c r="S11133" t="s">
        <v>43646</v>
      </c>
      <c r="T11133" t="s">
        <v>44732</v>
      </c>
      <c r="U11133" t="s">
        <v>54076</v>
      </c>
      <c r="W11133" t="s">
        <v>40135</v>
      </c>
      <c r="X11133" t="s">
        <v>43181</v>
      </c>
    </row>
    <row r="11134" spans="1:24">
      <c r="A11134">
        <f>HYPERLINK("https://www.philgeps.gov.ph/GEPSNONPILOT/Tender/SplashBidNoticeAbstractUI.aspx?menuIndex=3&amp;refID=7063534&amp;Result=3","7063534")</f>
        <v>0</v>
      </c>
      <c r="B11134" t="s">
        <v>3068</v>
      </c>
      <c r="C11134" t="s">
        <v>14040</v>
      </c>
      <c r="D11134" t="s">
        <v>17427</v>
      </c>
      <c r="E11134" t="s">
        <v>27021</v>
      </c>
      <c r="F11134" t="s">
        <v>30052</v>
      </c>
      <c r="G11134" t="s">
        <v>30058</v>
      </c>
      <c r="H11134" t="s">
        <v>30067</v>
      </c>
      <c r="I11134" t="s">
        <v>3693</v>
      </c>
      <c r="J11134" t="s">
        <v>37013</v>
      </c>
      <c r="K11134" t="s">
        <v>39069</v>
      </c>
      <c r="M11134" t="s">
        <v>42651</v>
      </c>
      <c r="N11134" t="s">
        <v>43166</v>
      </c>
      <c r="O11134" t="s">
        <v>43167</v>
      </c>
      <c r="P11134">
        <v>0</v>
      </c>
      <c r="Q11134">
        <v>0</v>
      </c>
      <c r="R11134" t="s">
        <v>43180</v>
      </c>
      <c r="S11134" t="s">
        <v>43646</v>
      </c>
      <c r="T11134" t="s">
        <v>44704</v>
      </c>
      <c r="U11134" t="s">
        <v>54077</v>
      </c>
      <c r="W11134" t="s">
        <v>42651</v>
      </c>
      <c r="X11134" t="s">
        <v>43181</v>
      </c>
    </row>
    <row r="11135" spans="1:24">
      <c r="A11135">
        <f>HYPERLINK("https://www.philgeps.gov.ph/GEPSNONPILOT/Tender/SplashBidNoticeAbstractUI.aspx?menuIndex=3&amp;refID=7063530&amp;Result=3","7063530")</f>
        <v>0</v>
      </c>
      <c r="B11135" t="s">
        <v>3075</v>
      </c>
      <c r="C11135" t="s">
        <v>14041</v>
      </c>
      <c r="D11135" t="s">
        <v>17437</v>
      </c>
      <c r="E11135" t="s">
        <v>27022</v>
      </c>
      <c r="F11135" t="s">
        <v>30052</v>
      </c>
      <c r="G11135" t="s">
        <v>30059</v>
      </c>
      <c r="H11135" t="s">
        <v>15498</v>
      </c>
      <c r="I11135" t="s">
        <v>30092</v>
      </c>
      <c r="J11135" t="s">
        <v>30545</v>
      </c>
      <c r="K11135" t="s">
        <v>39019</v>
      </c>
      <c r="M11135" t="s">
        <v>42658</v>
      </c>
      <c r="N11135" t="s">
        <v>43166</v>
      </c>
      <c r="O11135" t="s">
        <v>43167</v>
      </c>
      <c r="P11135">
        <v>0</v>
      </c>
      <c r="Q11135">
        <v>5</v>
      </c>
      <c r="R11135" t="s">
        <v>43180</v>
      </c>
      <c r="S11135" t="s">
        <v>43646</v>
      </c>
      <c r="T11135" t="s">
        <v>44837</v>
      </c>
      <c r="U11135" t="s">
        <v>54078</v>
      </c>
      <c r="W11135" t="s">
        <v>42658</v>
      </c>
      <c r="X11135" t="s">
        <v>43181</v>
      </c>
    </row>
    <row r="11136" spans="1:24">
      <c r="A11136">
        <f>HYPERLINK("https://www.philgeps.gov.ph/GEPSNONPILOT/Tender/SplashBidNoticeAbstractUI.aspx?menuIndex=3&amp;refID=7063529&amp;Result=3","7063529")</f>
        <v>0</v>
      </c>
      <c r="B11136" t="s">
        <v>684</v>
      </c>
      <c r="C11136" t="s">
        <v>14042</v>
      </c>
      <c r="D11136" t="s">
        <v>17473</v>
      </c>
      <c r="E11136" t="s">
        <v>14042</v>
      </c>
      <c r="F11136" t="s">
        <v>30052</v>
      </c>
      <c r="G11136" t="s">
        <v>30061</v>
      </c>
      <c r="H11136" t="s">
        <v>15498</v>
      </c>
      <c r="I11136" t="s">
        <v>30081</v>
      </c>
      <c r="J11136" t="s">
        <v>37014</v>
      </c>
      <c r="K11136" t="s">
        <v>39029</v>
      </c>
      <c r="M11136" t="s">
        <v>42644</v>
      </c>
      <c r="N11136" t="s">
        <v>43166</v>
      </c>
      <c r="O11136" t="s">
        <v>43167</v>
      </c>
      <c r="P11136">
        <v>0</v>
      </c>
      <c r="Q11136">
        <v>0</v>
      </c>
      <c r="R11136" t="s">
        <v>43180</v>
      </c>
      <c r="S11136" t="s">
        <v>43646</v>
      </c>
      <c r="T11136" t="s">
        <v>44822</v>
      </c>
      <c r="U11136" t="s">
        <v>54079</v>
      </c>
      <c r="W11136" t="s">
        <v>42644</v>
      </c>
      <c r="X11136" t="s">
        <v>43181</v>
      </c>
    </row>
    <row r="11137" spans="1:24">
      <c r="A11137">
        <f>HYPERLINK("https://www.philgeps.gov.ph/GEPSNONPILOT/Tender/SplashBidNoticeAbstractUI.aspx?menuIndex=3&amp;refID=7063524&amp;Result=3","7063524")</f>
        <v>0</v>
      </c>
      <c r="B11137" t="s">
        <v>1263</v>
      </c>
      <c r="C11137" t="s">
        <v>14043</v>
      </c>
      <c r="D11137" t="s">
        <v>17416</v>
      </c>
      <c r="E11137" t="s">
        <v>27023</v>
      </c>
      <c r="F11137" t="s">
        <v>30052</v>
      </c>
      <c r="G11137" t="s">
        <v>30058</v>
      </c>
      <c r="H11137" t="s">
        <v>30067</v>
      </c>
      <c r="I11137" t="s">
        <v>3693</v>
      </c>
      <c r="J11137" t="s">
        <v>30555</v>
      </c>
      <c r="K11137" t="s">
        <v>39031</v>
      </c>
      <c r="M11137" t="s">
        <v>40621</v>
      </c>
      <c r="N11137" t="s">
        <v>43166</v>
      </c>
      <c r="O11137" t="s">
        <v>43167</v>
      </c>
      <c r="Q11137">
        <v>0</v>
      </c>
      <c r="R11137" t="s">
        <v>43180</v>
      </c>
      <c r="S11137" t="s">
        <v>43689</v>
      </c>
      <c r="T11137" t="s">
        <v>45148</v>
      </c>
      <c r="U11137" t="s">
        <v>54080</v>
      </c>
      <c r="V11137" t="s">
        <v>58080</v>
      </c>
      <c r="W11137" t="s">
        <v>40621</v>
      </c>
      <c r="X11137" t="s">
        <v>43181</v>
      </c>
    </row>
    <row r="11138" spans="1:24">
      <c r="A11138">
        <f>HYPERLINK("https://www.philgeps.gov.ph/GEPSNONPILOT/Tender/SplashBidNoticeAbstractUI.aspx?menuIndex=3&amp;refID=7063517&amp;Result=3","7063517")</f>
        <v>0</v>
      </c>
      <c r="B11138" t="s">
        <v>3065</v>
      </c>
      <c r="C11138" t="s">
        <v>14044</v>
      </c>
      <c r="D11138" t="s">
        <v>17449</v>
      </c>
      <c r="E11138" t="s">
        <v>27024</v>
      </c>
      <c r="F11138" t="s">
        <v>30052</v>
      </c>
      <c r="G11138" t="s">
        <v>30058</v>
      </c>
      <c r="H11138" t="s">
        <v>30067</v>
      </c>
      <c r="I11138" t="s">
        <v>3693</v>
      </c>
      <c r="J11138" t="s">
        <v>35620</v>
      </c>
      <c r="K11138" t="s">
        <v>39026</v>
      </c>
      <c r="L11138" t="s">
        <v>3065</v>
      </c>
      <c r="M11138" t="s">
        <v>42648</v>
      </c>
      <c r="N11138" t="s">
        <v>43166</v>
      </c>
      <c r="O11138" t="s">
        <v>43167</v>
      </c>
      <c r="P11138">
        <v>0</v>
      </c>
      <c r="Q11138">
        <v>1</v>
      </c>
      <c r="R11138" t="s">
        <v>43180</v>
      </c>
      <c r="S11138" t="s">
        <v>43646</v>
      </c>
      <c r="T11138" t="s">
        <v>44780</v>
      </c>
      <c r="U11138" t="s">
        <v>54026</v>
      </c>
      <c r="W11138" t="s">
        <v>42648</v>
      </c>
      <c r="X11138" t="s">
        <v>43181</v>
      </c>
    </row>
    <row r="11139" spans="1:24">
      <c r="A11139">
        <f>HYPERLINK("https://www.philgeps.gov.ph/GEPSNONPILOT/Tender/SplashBidNoticeAbstractUI.aspx?menuIndex=3&amp;refID=7063516&amp;Result=3","7063516")</f>
        <v>0</v>
      </c>
      <c r="B11139" t="s">
        <v>306</v>
      </c>
      <c r="C11139" t="s">
        <v>14045</v>
      </c>
      <c r="D11139" t="s">
        <v>17415</v>
      </c>
      <c r="E11139" t="s">
        <v>27025</v>
      </c>
      <c r="F11139" t="s">
        <v>30052</v>
      </c>
      <c r="G11139" t="s">
        <v>30058</v>
      </c>
      <c r="H11139" t="s">
        <v>15498</v>
      </c>
      <c r="I11139" t="s">
        <v>30115</v>
      </c>
      <c r="J11139" t="s">
        <v>31734</v>
      </c>
      <c r="K11139" t="s">
        <v>39023</v>
      </c>
      <c r="M11139" t="s">
        <v>39601</v>
      </c>
      <c r="N11139" t="s">
        <v>43166</v>
      </c>
      <c r="O11139" t="s">
        <v>43167</v>
      </c>
      <c r="Q11139">
        <v>16</v>
      </c>
      <c r="R11139" t="s">
        <v>43180</v>
      </c>
      <c r="S11139" t="s">
        <v>43690</v>
      </c>
      <c r="T11139" t="s">
        <v>44679</v>
      </c>
      <c r="U11139" t="s">
        <v>54081</v>
      </c>
      <c r="W11139" t="s">
        <v>39601</v>
      </c>
      <c r="X11139" t="s">
        <v>43181</v>
      </c>
    </row>
    <row r="11140" spans="1:24">
      <c r="A11140">
        <f>HYPERLINK("https://www.philgeps.gov.ph/GEPSNONPILOT/Tender/SplashBidNoticeAbstractUI.aspx?menuIndex=3&amp;refID=7063515&amp;Result=3","7063515")</f>
        <v>0</v>
      </c>
      <c r="B11140" t="s">
        <v>78</v>
      </c>
      <c r="C11140" t="s">
        <v>14046</v>
      </c>
      <c r="D11140" t="s">
        <v>17416</v>
      </c>
      <c r="E11140" t="s">
        <v>27026</v>
      </c>
      <c r="F11140" t="s">
        <v>30052</v>
      </c>
      <c r="G11140" t="s">
        <v>30063</v>
      </c>
      <c r="H11140" t="s">
        <v>15498</v>
      </c>
      <c r="I11140" t="s">
        <v>30091</v>
      </c>
      <c r="J11140" t="s">
        <v>32337</v>
      </c>
      <c r="K11140" t="s">
        <v>39029</v>
      </c>
      <c r="M11140" t="s">
        <v>39367</v>
      </c>
      <c r="N11140" t="s">
        <v>43166</v>
      </c>
      <c r="O11140" t="s">
        <v>43167</v>
      </c>
      <c r="P11140">
        <v>0</v>
      </c>
      <c r="Q11140">
        <v>4</v>
      </c>
      <c r="R11140" t="s">
        <v>43180</v>
      </c>
      <c r="S11140" t="s">
        <v>43646</v>
      </c>
      <c r="T11140" t="s">
        <v>44699</v>
      </c>
      <c r="U11140" t="s">
        <v>54082</v>
      </c>
      <c r="V11140" t="s">
        <v>58078</v>
      </c>
      <c r="W11140" t="s">
        <v>39367</v>
      </c>
      <c r="X11140" t="s">
        <v>43181</v>
      </c>
    </row>
    <row r="11141" spans="1:24">
      <c r="A11141">
        <f>HYPERLINK("https://www.philgeps.gov.ph/GEPSNONPILOT/Tender/SplashBidNoticeAbstractUI.aspx?menuIndex=3&amp;refID=7063510&amp;Result=3","7063510")</f>
        <v>0</v>
      </c>
      <c r="B11141" t="s">
        <v>3076</v>
      </c>
      <c r="C11141" t="s">
        <v>14047</v>
      </c>
      <c r="D11141" t="s">
        <v>17468</v>
      </c>
      <c r="E11141" t="s">
        <v>27027</v>
      </c>
      <c r="F11141" t="s">
        <v>30052</v>
      </c>
      <c r="G11141" t="s">
        <v>30058</v>
      </c>
      <c r="H11141" t="s">
        <v>15498</v>
      </c>
      <c r="I11141" t="s">
        <v>3606</v>
      </c>
      <c r="J11141" t="s">
        <v>37015</v>
      </c>
      <c r="K11141" t="s">
        <v>39034</v>
      </c>
      <c r="L11141" t="s">
        <v>3076</v>
      </c>
      <c r="M11141" t="s">
        <v>42659</v>
      </c>
      <c r="N11141" t="s">
        <v>43166</v>
      </c>
      <c r="O11141" t="s">
        <v>43167</v>
      </c>
      <c r="P11141">
        <v>0</v>
      </c>
      <c r="Q11141">
        <v>8</v>
      </c>
      <c r="R11141" t="s">
        <v>43180</v>
      </c>
      <c r="S11141" t="s">
        <v>43646</v>
      </c>
      <c r="T11141" t="s">
        <v>44704</v>
      </c>
      <c r="U11141" t="s">
        <v>54083</v>
      </c>
      <c r="V11141" t="s">
        <v>58081</v>
      </c>
      <c r="W11141" t="s">
        <v>42659</v>
      </c>
      <c r="X11141" t="s">
        <v>43181</v>
      </c>
    </row>
    <row r="11142" spans="1:24">
      <c r="A11142">
        <f>HYPERLINK("https://www.philgeps.gov.ph/GEPSNONPILOT/Tender/SplashBidNoticeAbstractUI.aspx?menuIndex=3&amp;refID=7063611&amp;Result=3","7063611")</f>
        <v>0</v>
      </c>
      <c r="B11142" t="s">
        <v>1134</v>
      </c>
      <c r="C11142" t="s">
        <v>14048</v>
      </c>
      <c r="D11142" t="s">
        <v>17459</v>
      </c>
      <c r="E11142" t="s">
        <v>27028</v>
      </c>
      <c r="F11142" t="s">
        <v>30052</v>
      </c>
      <c r="G11142" t="s">
        <v>30058</v>
      </c>
      <c r="H11142" t="s">
        <v>30067</v>
      </c>
      <c r="I11142" t="s">
        <v>3693</v>
      </c>
      <c r="J11142" t="s">
        <v>37016</v>
      </c>
      <c r="K11142" t="s">
        <v>39029</v>
      </c>
      <c r="M11142" t="s">
        <v>40749</v>
      </c>
      <c r="N11142" t="s">
        <v>43166</v>
      </c>
      <c r="O11142" t="s">
        <v>43167</v>
      </c>
      <c r="P11142">
        <v>0</v>
      </c>
      <c r="Q11142">
        <v>0</v>
      </c>
      <c r="R11142" t="s">
        <v>43180</v>
      </c>
      <c r="S11142" t="s">
        <v>43646</v>
      </c>
      <c r="T11142" t="s">
        <v>44791</v>
      </c>
      <c r="U11142" t="s">
        <v>54084</v>
      </c>
      <c r="V11142" t="s">
        <v>58048</v>
      </c>
      <c r="W11142" t="s">
        <v>40749</v>
      </c>
      <c r="X11142" t="s">
        <v>43181</v>
      </c>
    </row>
    <row r="11143" spans="1:24">
      <c r="A11143">
        <f>HYPERLINK("https://www.philgeps.gov.ph/GEPSNONPILOT/Tender/SplashBidNoticeAbstractUI.aspx?menuIndex=3&amp;refID=7063541&amp;Result=3","7063541")</f>
        <v>0</v>
      </c>
      <c r="B11143" t="s">
        <v>1134</v>
      </c>
      <c r="C11143" t="s">
        <v>14049</v>
      </c>
      <c r="D11143" t="s">
        <v>17459</v>
      </c>
      <c r="E11143" t="s">
        <v>27029</v>
      </c>
      <c r="F11143" t="s">
        <v>30052</v>
      </c>
      <c r="G11143" t="s">
        <v>30058</v>
      </c>
      <c r="H11143" t="s">
        <v>30067</v>
      </c>
      <c r="I11143" t="s">
        <v>3693</v>
      </c>
      <c r="J11143" t="s">
        <v>37017</v>
      </c>
      <c r="K11143" t="s">
        <v>39023</v>
      </c>
      <c r="M11143" t="s">
        <v>40749</v>
      </c>
      <c r="N11143" t="s">
        <v>43166</v>
      </c>
      <c r="O11143" t="s">
        <v>43167</v>
      </c>
      <c r="P11143">
        <v>0</v>
      </c>
      <c r="Q11143">
        <v>0</v>
      </c>
      <c r="R11143" t="s">
        <v>43180</v>
      </c>
      <c r="S11143" t="s">
        <v>43646</v>
      </c>
      <c r="T11143" t="s">
        <v>44791</v>
      </c>
      <c r="U11143" t="s">
        <v>54085</v>
      </c>
      <c r="V11143" t="s">
        <v>58048</v>
      </c>
      <c r="W11143" t="s">
        <v>40749</v>
      </c>
      <c r="X11143" t="s">
        <v>43181</v>
      </c>
    </row>
    <row r="11144" spans="1:24">
      <c r="A11144">
        <f>HYPERLINK("https://www.philgeps.gov.ph/GEPSNONPILOT/Tender/SplashBidNoticeAbstractUI.aspx?menuIndex=3&amp;refID=7063545&amp;Result=3","7063545")</f>
        <v>0</v>
      </c>
      <c r="B11144" t="s">
        <v>684</v>
      </c>
      <c r="C11144" t="s">
        <v>14050</v>
      </c>
      <c r="D11144" t="s">
        <v>17473</v>
      </c>
      <c r="E11144" t="s">
        <v>14050</v>
      </c>
      <c r="F11144" t="s">
        <v>30052</v>
      </c>
      <c r="G11144" t="s">
        <v>30061</v>
      </c>
      <c r="H11144" t="s">
        <v>15498</v>
      </c>
      <c r="I11144" t="s">
        <v>30081</v>
      </c>
      <c r="J11144" t="s">
        <v>37018</v>
      </c>
      <c r="K11144" t="s">
        <v>39029</v>
      </c>
      <c r="M11144" t="s">
        <v>42644</v>
      </c>
      <c r="N11144" t="s">
        <v>43166</v>
      </c>
      <c r="O11144" t="s">
        <v>43167</v>
      </c>
      <c r="P11144">
        <v>0</v>
      </c>
      <c r="Q11144">
        <v>0</v>
      </c>
      <c r="R11144" t="s">
        <v>43180</v>
      </c>
      <c r="S11144" t="s">
        <v>43646</v>
      </c>
      <c r="T11144" t="s">
        <v>44822</v>
      </c>
      <c r="U11144" t="s">
        <v>54086</v>
      </c>
      <c r="W11144" t="s">
        <v>42644</v>
      </c>
      <c r="X11144" t="s">
        <v>43181</v>
      </c>
    </row>
    <row r="11145" spans="1:24">
      <c r="A11145">
        <f>HYPERLINK("https://www.philgeps.gov.ph/GEPSNONPILOT/Tender/SplashBidNoticeAbstractUI.aspx?menuIndex=3&amp;refID=7063642&amp;Result=3","7063642")</f>
        <v>0</v>
      </c>
      <c r="B11145" t="s">
        <v>3077</v>
      </c>
      <c r="C11145" t="s">
        <v>14051</v>
      </c>
      <c r="D11145" t="s">
        <v>17422</v>
      </c>
      <c r="E11145" t="s">
        <v>27030</v>
      </c>
      <c r="F11145" t="s">
        <v>30052</v>
      </c>
      <c r="G11145" t="s">
        <v>30058</v>
      </c>
      <c r="H11145" t="s">
        <v>15498</v>
      </c>
      <c r="I11145" t="s">
        <v>30074</v>
      </c>
      <c r="J11145" t="s">
        <v>31684</v>
      </c>
      <c r="K11145" t="s">
        <v>39023</v>
      </c>
      <c r="M11145" t="s">
        <v>42660</v>
      </c>
      <c r="N11145" t="s">
        <v>43166</v>
      </c>
      <c r="O11145" t="s">
        <v>43167</v>
      </c>
      <c r="P11145">
        <v>0</v>
      </c>
      <c r="Q11145">
        <v>2</v>
      </c>
      <c r="R11145" t="s">
        <v>43180</v>
      </c>
      <c r="S11145" t="s">
        <v>43646</v>
      </c>
      <c r="T11145" t="s">
        <v>44963</v>
      </c>
      <c r="U11145" t="s">
        <v>54087</v>
      </c>
      <c r="V11145" t="s">
        <v>58082</v>
      </c>
      <c r="W11145" t="s">
        <v>42660</v>
      </c>
      <c r="X11145" t="s">
        <v>43181</v>
      </c>
    </row>
    <row r="11146" spans="1:24">
      <c r="A11146">
        <f>HYPERLINK("https://www.philgeps.gov.ph/GEPSNONPILOT/Tender/SplashBidNoticeAbstractUI.aspx?menuIndex=3&amp;refID=7063415&amp;Result=3","7063415")</f>
        <v>0</v>
      </c>
      <c r="B11146" t="s">
        <v>3041</v>
      </c>
      <c r="C11146" t="s">
        <v>14052</v>
      </c>
      <c r="D11146" t="s">
        <v>17415</v>
      </c>
      <c r="E11146" t="s">
        <v>27031</v>
      </c>
      <c r="F11146" t="s">
        <v>30052</v>
      </c>
      <c r="G11146" t="s">
        <v>30058</v>
      </c>
      <c r="H11146" t="s">
        <v>15498</v>
      </c>
      <c r="I11146" t="s">
        <v>30130</v>
      </c>
      <c r="J11146" t="s">
        <v>37019</v>
      </c>
      <c r="K11146" t="s">
        <v>39025</v>
      </c>
      <c r="M11146" t="s">
        <v>42619</v>
      </c>
      <c r="N11146" t="s">
        <v>43166</v>
      </c>
      <c r="O11146" t="s">
        <v>43167</v>
      </c>
      <c r="P11146">
        <v>0</v>
      </c>
      <c r="Q11146">
        <v>49</v>
      </c>
      <c r="R11146" t="s">
        <v>43180</v>
      </c>
      <c r="S11146" t="s">
        <v>43646</v>
      </c>
      <c r="T11146" t="s">
        <v>44750</v>
      </c>
      <c r="U11146" t="s">
        <v>53917</v>
      </c>
      <c r="W11146" t="s">
        <v>42619</v>
      </c>
      <c r="X11146" t="s">
        <v>43181</v>
      </c>
    </row>
    <row r="11147" spans="1:24">
      <c r="A11147">
        <f>HYPERLINK("https://www.philgeps.gov.ph/GEPSNONPILOT/Tender/SplashBidNoticeAbstractUI.aspx?menuIndex=3&amp;refID=7063505&amp;Result=3","7063505")</f>
        <v>0</v>
      </c>
      <c r="B11147" t="s">
        <v>3078</v>
      </c>
      <c r="C11147" t="s">
        <v>14053</v>
      </c>
      <c r="D11147" t="s">
        <v>17488</v>
      </c>
      <c r="E11147" t="s">
        <v>27032</v>
      </c>
      <c r="F11147" t="s">
        <v>30052</v>
      </c>
      <c r="G11147" t="s">
        <v>30058</v>
      </c>
      <c r="H11147" t="s">
        <v>30067</v>
      </c>
      <c r="I11147" t="s">
        <v>3693</v>
      </c>
      <c r="J11147" t="s">
        <v>30247</v>
      </c>
      <c r="K11147" t="s">
        <v>39026</v>
      </c>
      <c r="M11147" t="s">
        <v>42661</v>
      </c>
      <c r="N11147" t="s">
        <v>43166</v>
      </c>
      <c r="O11147" t="s">
        <v>43167</v>
      </c>
      <c r="P11147">
        <v>0</v>
      </c>
      <c r="Q11147">
        <v>2</v>
      </c>
      <c r="R11147" t="s">
        <v>43180</v>
      </c>
      <c r="S11147" t="s">
        <v>43646</v>
      </c>
      <c r="T11147" t="s">
        <v>45149</v>
      </c>
      <c r="U11147" t="s">
        <v>54088</v>
      </c>
      <c r="W11147" t="s">
        <v>42661</v>
      </c>
      <c r="X11147" t="s">
        <v>43181</v>
      </c>
    </row>
    <row r="11148" spans="1:24">
      <c r="A11148">
        <f>HYPERLINK("https://www.philgeps.gov.ph/GEPSNONPILOT/Tender/SplashBidNoticeAbstractUI.aspx?menuIndex=3&amp;refID=7063641&amp;Result=3","7063641")</f>
        <v>0</v>
      </c>
      <c r="B11148" t="s">
        <v>2039</v>
      </c>
      <c r="C11148" t="s">
        <v>14054</v>
      </c>
      <c r="D11148" t="s">
        <v>17452</v>
      </c>
      <c r="E11148" t="s">
        <v>27033</v>
      </c>
      <c r="F11148" t="s">
        <v>30052</v>
      </c>
      <c r="G11148" t="s">
        <v>30058</v>
      </c>
      <c r="H11148" t="s">
        <v>30067</v>
      </c>
      <c r="I11148" t="s">
        <v>3693</v>
      </c>
      <c r="J11148" t="s">
        <v>37020</v>
      </c>
      <c r="K11148" t="s">
        <v>39135</v>
      </c>
      <c r="M11148" t="s">
        <v>41488</v>
      </c>
      <c r="N11148" t="s">
        <v>43166</v>
      </c>
      <c r="O11148" t="s">
        <v>43167</v>
      </c>
      <c r="P11148">
        <v>0</v>
      </c>
      <c r="Q11148">
        <v>1</v>
      </c>
      <c r="R11148" t="s">
        <v>43180</v>
      </c>
      <c r="S11148" t="s">
        <v>43646</v>
      </c>
      <c r="T11148" t="s">
        <v>44750</v>
      </c>
      <c r="U11148" t="s">
        <v>54089</v>
      </c>
      <c r="W11148" t="s">
        <v>41488</v>
      </c>
      <c r="X11148" t="s">
        <v>43181</v>
      </c>
    </row>
    <row r="11149" spans="1:24">
      <c r="A11149">
        <f>HYPERLINK("https://www.philgeps.gov.ph/GEPSNONPILOT/Tender/SplashBidNoticeAbstractUI.aspx?menuIndex=3&amp;refID=7063630&amp;Result=3","7063630")</f>
        <v>0</v>
      </c>
      <c r="B11149" t="s">
        <v>3065</v>
      </c>
      <c r="C11149" t="s">
        <v>14055</v>
      </c>
      <c r="D11149" t="s">
        <v>17449</v>
      </c>
      <c r="E11149" t="s">
        <v>27034</v>
      </c>
      <c r="F11149" t="s">
        <v>30052</v>
      </c>
      <c r="G11149" t="s">
        <v>30058</v>
      </c>
      <c r="H11149" t="s">
        <v>30067</v>
      </c>
      <c r="I11149" t="s">
        <v>3693</v>
      </c>
      <c r="J11149" t="s">
        <v>37021</v>
      </c>
      <c r="K11149" t="s">
        <v>39069</v>
      </c>
      <c r="L11149" t="s">
        <v>3065</v>
      </c>
      <c r="M11149" t="s">
        <v>42648</v>
      </c>
      <c r="N11149" t="s">
        <v>43166</v>
      </c>
      <c r="O11149" t="s">
        <v>43167</v>
      </c>
      <c r="P11149">
        <v>0</v>
      </c>
      <c r="Q11149">
        <v>1</v>
      </c>
      <c r="R11149" t="s">
        <v>43180</v>
      </c>
      <c r="S11149" t="s">
        <v>43646</v>
      </c>
      <c r="T11149" t="s">
        <v>44780</v>
      </c>
      <c r="U11149" t="s">
        <v>54026</v>
      </c>
      <c r="W11149" t="s">
        <v>42648</v>
      </c>
      <c r="X11149" t="s">
        <v>43181</v>
      </c>
    </row>
    <row r="11150" spans="1:24">
      <c r="A11150">
        <f>HYPERLINK("https://www.philgeps.gov.ph/GEPSNONPILOT/Tender/SplashBidNoticeAbstractUI.aspx?menuIndex=3&amp;refID=7063623&amp;Result=3","7063623")</f>
        <v>0</v>
      </c>
      <c r="B11150" t="s">
        <v>684</v>
      </c>
      <c r="C11150" t="s">
        <v>14056</v>
      </c>
      <c r="D11150" t="s">
        <v>17473</v>
      </c>
      <c r="E11150" t="s">
        <v>14056</v>
      </c>
      <c r="F11150" t="s">
        <v>30052</v>
      </c>
      <c r="G11150" t="s">
        <v>30061</v>
      </c>
      <c r="H11150" t="s">
        <v>15498</v>
      </c>
      <c r="I11150" t="s">
        <v>30169</v>
      </c>
      <c r="J11150" t="s">
        <v>37022</v>
      </c>
      <c r="K11150" t="s">
        <v>39029</v>
      </c>
      <c r="M11150" t="s">
        <v>42644</v>
      </c>
      <c r="N11150" t="s">
        <v>43166</v>
      </c>
      <c r="O11150" t="s">
        <v>43167</v>
      </c>
      <c r="P11150">
        <v>0</v>
      </c>
      <c r="Q11150">
        <v>2</v>
      </c>
      <c r="R11150" t="s">
        <v>43180</v>
      </c>
      <c r="S11150" t="s">
        <v>43646</v>
      </c>
      <c r="T11150" t="s">
        <v>44822</v>
      </c>
      <c r="U11150" t="s">
        <v>54090</v>
      </c>
      <c r="W11150" t="s">
        <v>42644</v>
      </c>
      <c r="X11150" t="s">
        <v>43181</v>
      </c>
    </row>
    <row r="11151" spans="1:24">
      <c r="A11151">
        <f>HYPERLINK("https://www.philgeps.gov.ph/GEPSNONPILOT/Tender/SplashBidNoticeAbstractUI.aspx?menuIndex=3&amp;refID=7063616&amp;Result=3","7063616")</f>
        <v>0</v>
      </c>
      <c r="B11151" t="s">
        <v>2893</v>
      </c>
      <c r="C11151" t="s">
        <v>14057</v>
      </c>
      <c r="D11151" t="s">
        <v>17461</v>
      </c>
      <c r="E11151" t="s">
        <v>27035</v>
      </c>
      <c r="F11151" t="s">
        <v>30052</v>
      </c>
      <c r="G11151" t="s">
        <v>30058</v>
      </c>
      <c r="H11151" t="s">
        <v>15498</v>
      </c>
      <c r="I11151" t="s">
        <v>30074</v>
      </c>
      <c r="J11151" t="s">
        <v>32337</v>
      </c>
      <c r="K11151" t="s">
        <v>39017</v>
      </c>
      <c r="M11151" t="s">
        <v>42445</v>
      </c>
      <c r="N11151" t="s">
        <v>43166</v>
      </c>
      <c r="O11151" t="s">
        <v>43167</v>
      </c>
      <c r="P11151">
        <v>0</v>
      </c>
      <c r="Q11151">
        <v>1</v>
      </c>
      <c r="R11151" t="s">
        <v>43180</v>
      </c>
      <c r="S11151" t="s">
        <v>43646</v>
      </c>
      <c r="T11151" t="s">
        <v>44690</v>
      </c>
      <c r="U11151" t="s">
        <v>54091</v>
      </c>
      <c r="W11151" t="s">
        <v>42445</v>
      </c>
      <c r="X11151" t="s">
        <v>43181</v>
      </c>
    </row>
    <row r="11152" spans="1:24">
      <c r="A11152">
        <f>HYPERLINK("https://www.philgeps.gov.ph/GEPSNONPILOT/Tender/SplashBidNoticeAbstractUI.aspx?menuIndex=3&amp;refID=7063609&amp;Result=3","7063609")</f>
        <v>0</v>
      </c>
      <c r="B11152" t="s">
        <v>2096</v>
      </c>
      <c r="C11152" t="s">
        <v>14058</v>
      </c>
      <c r="D11152" t="s">
        <v>17416</v>
      </c>
      <c r="E11152" t="s">
        <v>27036</v>
      </c>
      <c r="F11152" t="s">
        <v>30052</v>
      </c>
      <c r="G11152" t="s">
        <v>30058</v>
      </c>
      <c r="H11152" t="s">
        <v>30067</v>
      </c>
      <c r="I11152" t="s">
        <v>3693</v>
      </c>
      <c r="J11152" t="s">
        <v>37023</v>
      </c>
      <c r="K11152" t="s">
        <v>39177</v>
      </c>
      <c r="M11152" t="s">
        <v>41558</v>
      </c>
      <c r="N11152" t="s">
        <v>43166</v>
      </c>
      <c r="O11152" t="s">
        <v>43167</v>
      </c>
      <c r="P11152">
        <v>0</v>
      </c>
      <c r="Q11152">
        <v>4</v>
      </c>
      <c r="R11152" t="s">
        <v>43180</v>
      </c>
      <c r="S11152" t="s">
        <v>43646</v>
      </c>
      <c r="T11152" t="s">
        <v>44721</v>
      </c>
      <c r="U11152" t="s">
        <v>54092</v>
      </c>
      <c r="W11152" t="s">
        <v>41558</v>
      </c>
      <c r="X11152" t="s">
        <v>43181</v>
      </c>
    </row>
    <row r="11153" spans="1:24">
      <c r="A11153">
        <f>HYPERLINK("https://www.philgeps.gov.ph/GEPSNONPILOT/Tender/SplashBidNoticeAbstractUI.aspx?menuIndex=3&amp;refID=7063643&amp;Result=3","7063643")</f>
        <v>0</v>
      </c>
      <c r="B11153" t="s">
        <v>684</v>
      </c>
      <c r="C11153" t="s">
        <v>14059</v>
      </c>
      <c r="D11153" t="s">
        <v>17473</v>
      </c>
      <c r="E11153" t="s">
        <v>14059</v>
      </c>
      <c r="F11153" t="s">
        <v>30052</v>
      </c>
      <c r="G11153" t="s">
        <v>30061</v>
      </c>
      <c r="H11153" t="s">
        <v>15498</v>
      </c>
      <c r="I11153" t="s">
        <v>30081</v>
      </c>
      <c r="J11153" t="s">
        <v>37024</v>
      </c>
      <c r="K11153" t="s">
        <v>39029</v>
      </c>
      <c r="M11153" t="s">
        <v>42644</v>
      </c>
      <c r="N11153" t="s">
        <v>43166</v>
      </c>
      <c r="O11153" t="s">
        <v>43167</v>
      </c>
      <c r="P11153">
        <v>0</v>
      </c>
      <c r="Q11153">
        <v>0</v>
      </c>
      <c r="R11153" t="s">
        <v>43180</v>
      </c>
      <c r="S11153" t="s">
        <v>43646</v>
      </c>
      <c r="T11153" t="s">
        <v>44822</v>
      </c>
      <c r="U11153" t="s">
        <v>54065</v>
      </c>
      <c r="W11153" t="s">
        <v>42644</v>
      </c>
      <c r="X11153" t="s">
        <v>43181</v>
      </c>
    </row>
    <row r="11154" spans="1:24">
      <c r="A11154">
        <f>HYPERLINK("https://www.philgeps.gov.ph/GEPSNONPILOT/Tender/SplashBidNoticeAbstractUI.aspx?menuIndex=3&amp;refID=7063596&amp;Result=3","7063596")</f>
        <v>0</v>
      </c>
      <c r="B11154" t="s">
        <v>1134</v>
      </c>
      <c r="C11154" t="s">
        <v>14060</v>
      </c>
      <c r="D11154" t="s">
        <v>17459</v>
      </c>
      <c r="E11154" t="s">
        <v>27037</v>
      </c>
      <c r="F11154" t="s">
        <v>30052</v>
      </c>
      <c r="G11154" t="s">
        <v>30058</v>
      </c>
      <c r="H11154" t="s">
        <v>30067</v>
      </c>
      <c r="I11154" t="s">
        <v>3693</v>
      </c>
      <c r="J11154" t="s">
        <v>37025</v>
      </c>
      <c r="K11154" t="s">
        <v>39023</v>
      </c>
      <c r="M11154" t="s">
        <v>40749</v>
      </c>
      <c r="N11154" t="s">
        <v>43166</v>
      </c>
      <c r="O11154" t="s">
        <v>43167</v>
      </c>
      <c r="P11154">
        <v>0</v>
      </c>
      <c r="Q11154">
        <v>0</v>
      </c>
      <c r="R11154" t="s">
        <v>43180</v>
      </c>
      <c r="S11154" t="s">
        <v>43646</v>
      </c>
      <c r="T11154" t="s">
        <v>44791</v>
      </c>
      <c r="U11154" t="s">
        <v>54084</v>
      </c>
      <c r="V11154" t="s">
        <v>58048</v>
      </c>
      <c r="W11154" t="s">
        <v>40749</v>
      </c>
      <c r="X11154" t="s">
        <v>43181</v>
      </c>
    </row>
    <row r="11155" spans="1:24">
      <c r="A11155">
        <f>HYPERLINK("https://www.philgeps.gov.ph/GEPSNONPILOT/Tender/SplashBidNoticeAbstractUI.aspx?menuIndex=3&amp;refID=7063591&amp;Result=3","7063591")</f>
        <v>0</v>
      </c>
      <c r="B11155" t="s">
        <v>684</v>
      </c>
      <c r="C11155" t="s">
        <v>14061</v>
      </c>
      <c r="D11155" t="s">
        <v>17473</v>
      </c>
      <c r="E11155" t="s">
        <v>14061</v>
      </c>
      <c r="F11155" t="s">
        <v>30052</v>
      </c>
      <c r="G11155" t="s">
        <v>30061</v>
      </c>
      <c r="H11155" t="s">
        <v>15498</v>
      </c>
      <c r="I11155" t="s">
        <v>30094</v>
      </c>
      <c r="J11155" t="s">
        <v>37026</v>
      </c>
      <c r="K11155" t="s">
        <v>39029</v>
      </c>
      <c r="M11155" t="s">
        <v>42644</v>
      </c>
      <c r="N11155" t="s">
        <v>43166</v>
      </c>
      <c r="O11155" t="s">
        <v>43167</v>
      </c>
      <c r="P11155">
        <v>0</v>
      </c>
      <c r="Q11155">
        <v>0</v>
      </c>
      <c r="R11155" t="s">
        <v>43180</v>
      </c>
      <c r="S11155" t="s">
        <v>43646</v>
      </c>
      <c r="T11155" t="s">
        <v>44822</v>
      </c>
      <c r="U11155" t="s">
        <v>54093</v>
      </c>
      <c r="W11155" t="s">
        <v>42644</v>
      </c>
      <c r="X11155" t="s">
        <v>43181</v>
      </c>
    </row>
    <row r="11156" spans="1:24">
      <c r="A11156">
        <f>HYPERLINK("https://www.philgeps.gov.ph/GEPSNONPILOT/Tender/SplashBidNoticeAbstractUI.aspx?menuIndex=3&amp;refID=7063585&amp;Result=3","7063585")</f>
        <v>0</v>
      </c>
      <c r="B11156" t="s">
        <v>1942</v>
      </c>
      <c r="C11156" t="s">
        <v>14062</v>
      </c>
      <c r="D11156" t="s">
        <v>17430</v>
      </c>
      <c r="E11156" t="s">
        <v>27038</v>
      </c>
      <c r="F11156" t="s">
        <v>30052</v>
      </c>
      <c r="G11156" t="s">
        <v>30058</v>
      </c>
      <c r="H11156" t="s">
        <v>30067</v>
      </c>
      <c r="I11156" t="s">
        <v>3693</v>
      </c>
      <c r="J11156" t="s">
        <v>37027</v>
      </c>
      <c r="K11156" t="s">
        <v>39029</v>
      </c>
      <c r="M11156" t="s">
        <v>41377</v>
      </c>
      <c r="N11156" t="s">
        <v>43166</v>
      </c>
      <c r="O11156" t="s">
        <v>43167</v>
      </c>
      <c r="P11156">
        <v>0</v>
      </c>
      <c r="Q11156">
        <v>0</v>
      </c>
      <c r="R11156" t="s">
        <v>43180</v>
      </c>
      <c r="S11156" t="s">
        <v>43646</v>
      </c>
      <c r="T11156" t="s">
        <v>44806</v>
      </c>
      <c r="U11156" t="s">
        <v>54094</v>
      </c>
      <c r="V11156" t="s">
        <v>57448</v>
      </c>
      <c r="W11156" t="s">
        <v>41377</v>
      </c>
      <c r="X11156" t="s">
        <v>43181</v>
      </c>
    </row>
    <row r="11157" spans="1:24">
      <c r="A11157">
        <f>HYPERLINK("https://www.philgeps.gov.ph/GEPSNONPILOT/Tender/SplashBidNoticeAbstractUI.aspx?menuIndex=3&amp;refID=7063570&amp;Result=3","7063570")</f>
        <v>0</v>
      </c>
      <c r="B11157" t="s">
        <v>689</v>
      </c>
      <c r="C11157" t="s">
        <v>14063</v>
      </c>
      <c r="D11157" t="s">
        <v>17475</v>
      </c>
      <c r="E11157" t="s">
        <v>24804</v>
      </c>
      <c r="F11157" t="s">
        <v>30052</v>
      </c>
      <c r="G11157" t="s">
        <v>30058</v>
      </c>
      <c r="H11157" t="s">
        <v>30067</v>
      </c>
      <c r="I11157" t="s">
        <v>3693</v>
      </c>
      <c r="J11157" t="s">
        <v>37028</v>
      </c>
      <c r="K11157" t="s">
        <v>39031</v>
      </c>
      <c r="M11157" t="s">
        <v>39995</v>
      </c>
      <c r="N11157" t="s">
        <v>43166</v>
      </c>
      <c r="O11157" t="s">
        <v>43167</v>
      </c>
      <c r="P11157">
        <v>0</v>
      </c>
      <c r="Q11157">
        <v>1</v>
      </c>
      <c r="R11157" t="s">
        <v>43180</v>
      </c>
      <c r="S11157" t="s">
        <v>43646</v>
      </c>
      <c r="T11157" t="s">
        <v>44927</v>
      </c>
      <c r="U11157" t="s">
        <v>54095</v>
      </c>
      <c r="V11157" t="s">
        <v>57412</v>
      </c>
      <c r="W11157" t="s">
        <v>39995</v>
      </c>
      <c r="X11157" t="s">
        <v>43181</v>
      </c>
    </row>
    <row r="11158" spans="1:24">
      <c r="A11158">
        <f>HYPERLINK("https://www.philgeps.gov.ph/GEPSNONPILOT/Tender/SplashBidNoticeAbstractUI.aspx?menuIndex=3&amp;refID=7063567&amp;Result=3","7063567")</f>
        <v>0</v>
      </c>
      <c r="B11158" t="s">
        <v>2852</v>
      </c>
      <c r="C11158" t="s">
        <v>14064</v>
      </c>
      <c r="D11158" t="s">
        <v>17459</v>
      </c>
      <c r="E11158" t="s">
        <v>27039</v>
      </c>
      <c r="F11158" t="s">
        <v>30052</v>
      </c>
      <c r="G11158" t="s">
        <v>30058</v>
      </c>
      <c r="H11158" t="s">
        <v>30067</v>
      </c>
      <c r="I11158" t="s">
        <v>3693</v>
      </c>
      <c r="J11158" t="s">
        <v>37029</v>
      </c>
      <c r="K11158" t="s">
        <v>39031</v>
      </c>
      <c r="M11158" t="s">
        <v>42398</v>
      </c>
      <c r="N11158" t="s">
        <v>43166</v>
      </c>
      <c r="O11158" t="s">
        <v>43167</v>
      </c>
      <c r="P11158">
        <v>0</v>
      </c>
      <c r="Q11158">
        <v>2</v>
      </c>
      <c r="R11158" t="s">
        <v>43180</v>
      </c>
      <c r="S11158" t="s">
        <v>43646</v>
      </c>
      <c r="T11158" t="s">
        <v>44689</v>
      </c>
      <c r="U11158" t="s">
        <v>53441</v>
      </c>
      <c r="W11158" t="s">
        <v>42398</v>
      </c>
      <c r="X11158" t="s">
        <v>43181</v>
      </c>
    </row>
    <row r="11159" spans="1:24">
      <c r="A11159">
        <f>HYPERLINK("https://www.philgeps.gov.ph/GEPSNONPILOT/Tender/SplashBidNoticeAbstractUI.aspx?menuIndex=3&amp;refID=7063440&amp;Result=3","7063440")</f>
        <v>0</v>
      </c>
      <c r="B11159" t="s">
        <v>3074</v>
      </c>
      <c r="C11159" t="s">
        <v>14065</v>
      </c>
      <c r="D11159" t="s">
        <v>17472</v>
      </c>
      <c r="E11159" t="s">
        <v>27040</v>
      </c>
      <c r="F11159" t="s">
        <v>30055</v>
      </c>
      <c r="G11159" t="s">
        <v>30058</v>
      </c>
      <c r="H11159" t="s">
        <v>15498</v>
      </c>
      <c r="I11159" t="s">
        <v>30140</v>
      </c>
      <c r="J11159" t="s">
        <v>37030</v>
      </c>
      <c r="K11159" t="s">
        <v>39026</v>
      </c>
      <c r="M11159" t="s">
        <v>42657</v>
      </c>
      <c r="N11159" t="s">
        <v>43166</v>
      </c>
      <c r="O11159" t="s">
        <v>43167</v>
      </c>
      <c r="P11159">
        <v>0</v>
      </c>
      <c r="Q11159">
        <v>8</v>
      </c>
      <c r="R11159" t="s">
        <v>43180</v>
      </c>
      <c r="S11159" t="s">
        <v>43646</v>
      </c>
      <c r="T11159" t="s">
        <v>44732</v>
      </c>
      <c r="U11159" t="s">
        <v>54096</v>
      </c>
      <c r="V11159" t="s">
        <v>58083</v>
      </c>
      <c r="W11159" t="s">
        <v>42657</v>
      </c>
      <c r="X11159" t="s">
        <v>43181</v>
      </c>
    </row>
    <row r="11160" spans="1:24">
      <c r="A11160">
        <f>HYPERLINK("https://www.philgeps.gov.ph/GEPSNONPILOT/Tender/SplashBidNoticeAbstractUI.aspx?menuIndex=3&amp;refID=7063555&amp;Result=3","7063555")</f>
        <v>0</v>
      </c>
      <c r="B11160" t="s">
        <v>1916</v>
      </c>
      <c r="C11160" t="s">
        <v>14066</v>
      </c>
      <c r="D11160" t="s">
        <v>17436</v>
      </c>
      <c r="E11160" t="s">
        <v>27041</v>
      </c>
      <c r="F11160" t="s">
        <v>30052</v>
      </c>
      <c r="G11160" t="s">
        <v>30058</v>
      </c>
      <c r="H11160" t="s">
        <v>30067</v>
      </c>
      <c r="I11160" t="s">
        <v>3693</v>
      </c>
      <c r="J11160" t="s">
        <v>37031</v>
      </c>
      <c r="K11160" t="s">
        <v>39026</v>
      </c>
      <c r="M11160" t="s">
        <v>41347</v>
      </c>
      <c r="N11160" t="s">
        <v>43166</v>
      </c>
      <c r="O11160" t="s">
        <v>43167</v>
      </c>
      <c r="P11160">
        <v>0</v>
      </c>
      <c r="Q11160">
        <v>1</v>
      </c>
      <c r="R11160" t="s">
        <v>43180</v>
      </c>
      <c r="S11160" t="s">
        <v>43646</v>
      </c>
      <c r="T11160" t="s">
        <v>44721</v>
      </c>
      <c r="U11160" t="s">
        <v>54097</v>
      </c>
      <c r="V11160" t="s">
        <v>56838</v>
      </c>
      <c r="W11160" t="s">
        <v>41347</v>
      </c>
      <c r="X11160" t="s">
        <v>43181</v>
      </c>
    </row>
    <row r="11161" spans="1:24">
      <c r="A11161">
        <f>HYPERLINK("https://www.philgeps.gov.ph/GEPSNONPILOT/Tender/SplashBidNoticeAbstractUI.aspx?menuIndex=3&amp;refID=7063553&amp;Result=3","7063553")</f>
        <v>0</v>
      </c>
      <c r="B11161" t="s">
        <v>3076</v>
      </c>
      <c r="C11161" t="s">
        <v>14067</v>
      </c>
      <c r="D11161" t="s">
        <v>17468</v>
      </c>
      <c r="E11161" t="s">
        <v>27042</v>
      </c>
      <c r="F11161" t="s">
        <v>30052</v>
      </c>
      <c r="G11161" t="s">
        <v>30058</v>
      </c>
      <c r="H11161" t="s">
        <v>15498</v>
      </c>
      <c r="I11161" t="s">
        <v>30076</v>
      </c>
      <c r="J11161" t="s">
        <v>37032</v>
      </c>
      <c r="K11161" t="s">
        <v>39034</v>
      </c>
      <c r="L11161" t="s">
        <v>3076</v>
      </c>
      <c r="M11161" t="s">
        <v>42659</v>
      </c>
      <c r="N11161" t="s">
        <v>43166</v>
      </c>
      <c r="O11161" t="s">
        <v>43167</v>
      </c>
      <c r="P11161">
        <v>0</v>
      </c>
      <c r="Q11161">
        <v>17</v>
      </c>
      <c r="R11161" t="s">
        <v>43180</v>
      </c>
      <c r="S11161" t="s">
        <v>43646</v>
      </c>
      <c r="T11161" t="s">
        <v>44704</v>
      </c>
      <c r="U11161" t="s">
        <v>54083</v>
      </c>
      <c r="V11161" t="s">
        <v>58081</v>
      </c>
      <c r="W11161" t="s">
        <v>42659</v>
      </c>
      <c r="X11161" t="s">
        <v>43181</v>
      </c>
    </row>
    <row r="11162" spans="1:24">
      <c r="A11162">
        <f>HYPERLINK("https://www.philgeps.gov.ph/GEPSNONPILOT/Tender/SplashBidNoticeAbstractUI.aspx?menuIndex=3&amp;refID=7063600&amp;Result=3","7063600")</f>
        <v>0</v>
      </c>
      <c r="B11162" t="s">
        <v>3065</v>
      </c>
      <c r="C11162" t="s">
        <v>14068</v>
      </c>
      <c r="D11162" t="s">
        <v>17449</v>
      </c>
      <c r="E11162" t="s">
        <v>27043</v>
      </c>
      <c r="F11162" t="s">
        <v>30052</v>
      </c>
      <c r="G11162" t="s">
        <v>30058</v>
      </c>
      <c r="H11162" t="s">
        <v>30067</v>
      </c>
      <c r="I11162" t="s">
        <v>3693</v>
      </c>
      <c r="J11162" t="s">
        <v>37033</v>
      </c>
      <c r="K11162" t="s">
        <v>39069</v>
      </c>
      <c r="L11162" t="s">
        <v>3065</v>
      </c>
      <c r="M11162" t="s">
        <v>42648</v>
      </c>
      <c r="N11162" t="s">
        <v>43166</v>
      </c>
      <c r="O11162" t="s">
        <v>43167</v>
      </c>
      <c r="P11162">
        <v>0</v>
      </c>
      <c r="Q11162">
        <v>0</v>
      </c>
      <c r="R11162" t="s">
        <v>43180</v>
      </c>
      <c r="S11162" t="s">
        <v>43646</v>
      </c>
      <c r="T11162" t="s">
        <v>44780</v>
      </c>
      <c r="U11162" t="s">
        <v>54026</v>
      </c>
      <c r="W11162" t="s">
        <v>42648</v>
      </c>
      <c r="X11162" t="s">
        <v>43181</v>
      </c>
    </row>
    <row r="11163" spans="1:24">
      <c r="A11163">
        <f>HYPERLINK("https://www.philgeps.gov.ph/GEPSNONPILOT/Tender/SplashBidNoticeAbstractUI.aspx?menuIndex=3&amp;refID=7063572&amp;Result=3","7063572")</f>
        <v>0</v>
      </c>
      <c r="B11163" t="s">
        <v>1134</v>
      </c>
      <c r="C11163" t="s">
        <v>14069</v>
      </c>
      <c r="D11163" t="s">
        <v>17459</v>
      </c>
      <c r="E11163" t="s">
        <v>27044</v>
      </c>
      <c r="F11163" t="s">
        <v>30052</v>
      </c>
      <c r="G11163" t="s">
        <v>30058</v>
      </c>
      <c r="H11163" t="s">
        <v>30067</v>
      </c>
      <c r="I11163" t="s">
        <v>3693</v>
      </c>
      <c r="J11163" t="s">
        <v>37034</v>
      </c>
      <c r="K11163" t="s">
        <v>39031</v>
      </c>
      <c r="M11163" t="s">
        <v>40749</v>
      </c>
      <c r="N11163" t="s">
        <v>43166</v>
      </c>
      <c r="O11163" t="s">
        <v>43167</v>
      </c>
      <c r="P11163">
        <v>0</v>
      </c>
      <c r="Q11163">
        <v>0</v>
      </c>
      <c r="R11163" t="s">
        <v>43180</v>
      </c>
      <c r="S11163" t="s">
        <v>43646</v>
      </c>
      <c r="T11163" t="s">
        <v>44791</v>
      </c>
      <c r="U11163" t="s">
        <v>54084</v>
      </c>
      <c r="V11163" t="s">
        <v>58048</v>
      </c>
      <c r="W11163" t="s">
        <v>40749</v>
      </c>
      <c r="X11163" t="s">
        <v>43181</v>
      </c>
    </row>
    <row r="11164" spans="1:24">
      <c r="A11164">
        <f>HYPERLINK("https://www.philgeps.gov.ph/GEPSNONPILOT/Tender/SplashBidNoticeAbstractUI.aspx?menuIndex=3&amp;refID=7063495&amp;Result=3","7063495")</f>
        <v>0</v>
      </c>
      <c r="B11164" t="s">
        <v>3041</v>
      </c>
      <c r="C11164" t="s">
        <v>14070</v>
      </c>
      <c r="D11164" t="s">
        <v>17415</v>
      </c>
      <c r="E11164" t="s">
        <v>27045</v>
      </c>
      <c r="F11164" t="s">
        <v>30052</v>
      </c>
      <c r="G11164" t="s">
        <v>30058</v>
      </c>
      <c r="H11164" t="s">
        <v>15498</v>
      </c>
      <c r="I11164" t="s">
        <v>30130</v>
      </c>
      <c r="J11164" t="s">
        <v>37035</v>
      </c>
      <c r="K11164" t="s">
        <v>39025</v>
      </c>
      <c r="M11164" t="s">
        <v>42619</v>
      </c>
      <c r="N11164" t="s">
        <v>43166</v>
      </c>
      <c r="O11164" t="s">
        <v>43167</v>
      </c>
      <c r="P11164">
        <v>0</v>
      </c>
      <c r="Q11164">
        <v>59</v>
      </c>
      <c r="R11164" t="s">
        <v>43180</v>
      </c>
      <c r="S11164" t="s">
        <v>43646</v>
      </c>
      <c r="T11164" t="s">
        <v>44750</v>
      </c>
      <c r="U11164" t="s">
        <v>53917</v>
      </c>
      <c r="W11164" t="s">
        <v>42619</v>
      </c>
      <c r="X11164" t="s">
        <v>43181</v>
      </c>
    </row>
    <row r="11165" spans="1:24">
      <c r="A11165">
        <f>HYPERLINK("https://www.philgeps.gov.ph/GEPSNONPILOT/Tender/SplashBidNoticeAbstractUI.aspx?menuIndex=3&amp;refID=7063562&amp;Result=3","7063562")</f>
        <v>0</v>
      </c>
      <c r="B11165" t="s">
        <v>3065</v>
      </c>
      <c r="C11165" t="s">
        <v>14071</v>
      </c>
      <c r="D11165" t="s">
        <v>17449</v>
      </c>
      <c r="E11165" t="s">
        <v>27046</v>
      </c>
      <c r="F11165" t="s">
        <v>30052</v>
      </c>
      <c r="G11165" t="s">
        <v>30058</v>
      </c>
      <c r="H11165" t="s">
        <v>30067</v>
      </c>
      <c r="I11165" t="s">
        <v>3693</v>
      </c>
      <c r="J11165" t="s">
        <v>37033</v>
      </c>
      <c r="K11165" t="s">
        <v>39069</v>
      </c>
      <c r="L11165" t="s">
        <v>3065</v>
      </c>
      <c r="M11165" t="s">
        <v>42648</v>
      </c>
      <c r="N11165" t="s">
        <v>43166</v>
      </c>
      <c r="O11165" t="s">
        <v>43167</v>
      </c>
      <c r="P11165">
        <v>0</v>
      </c>
      <c r="Q11165">
        <v>0</v>
      </c>
      <c r="R11165" t="s">
        <v>43180</v>
      </c>
      <c r="S11165" t="s">
        <v>43646</v>
      </c>
      <c r="T11165" t="s">
        <v>44780</v>
      </c>
      <c r="U11165" t="s">
        <v>54026</v>
      </c>
      <c r="W11165" t="s">
        <v>42648</v>
      </c>
      <c r="X11165" t="s">
        <v>43181</v>
      </c>
    </row>
    <row r="11166" spans="1:24">
      <c r="A11166">
        <f>HYPERLINK("https://www.philgeps.gov.ph/GEPSNONPILOT/Tender/SplashBidNoticeAbstractUI.aspx?menuIndex=3&amp;refID=7063491&amp;Result=3","7063491")</f>
        <v>0</v>
      </c>
      <c r="B11166" t="s">
        <v>1942</v>
      </c>
      <c r="C11166" t="s">
        <v>14072</v>
      </c>
      <c r="D11166" t="s">
        <v>17430</v>
      </c>
      <c r="E11166" t="s">
        <v>27047</v>
      </c>
      <c r="F11166" t="s">
        <v>30052</v>
      </c>
      <c r="G11166" t="s">
        <v>30058</v>
      </c>
      <c r="H11166" t="s">
        <v>30067</v>
      </c>
      <c r="I11166" t="s">
        <v>3693</v>
      </c>
      <c r="J11166" t="s">
        <v>37036</v>
      </c>
      <c r="K11166" t="s">
        <v>39037</v>
      </c>
      <c r="M11166" t="s">
        <v>41377</v>
      </c>
      <c r="N11166" t="s">
        <v>43166</v>
      </c>
      <c r="O11166" t="s">
        <v>43167</v>
      </c>
      <c r="P11166">
        <v>0</v>
      </c>
      <c r="Q11166">
        <v>0</v>
      </c>
      <c r="R11166" t="s">
        <v>43180</v>
      </c>
      <c r="S11166" t="s">
        <v>43646</v>
      </c>
      <c r="T11166" t="s">
        <v>44806</v>
      </c>
      <c r="U11166" t="s">
        <v>54098</v>
      </c>
      <c r="V11166" t="s">
        <v>57448</v>
      </c>
      <c r="W11166" t="s">
        <v>41377</v>
      </c>
      <c r="X11166" t="s">
        <v>43181</v>
      </c>
    </row>
    <row r="11167" spans="1:24">
      <c r="A11167">
        <f>HYPERLINK("https://www.philgeps.gov.ph/GEPSNONPILOT/Tender/SplashBidNoticeAbstractUI.aspx?menuIndex=3&amp;refID=7060745&amp;Result=3","7060745")</f>
        <v>0</v>
      </c>
      <c r="B11167" t="s">
        <v>3079</v>
      </c>
      <c r="C11167" t="s">
        <v>14073</v>
      </c>
      <c r="D11167" t="s">
        <v>17492</v>
      </c>
      <c r="E11167" t="s">
        <v>27048</v>
      </c>
      <c r="F11167" t="s">
        <v>30052</v>
      </c>
      <c r="G11167" t="s">
        <v>30058</v>
      </c>
      <c r="H11167" t="s">
        <v>15498</v>
      </c>
      <c r="I11167" t="s">
        <v>3736</v>
      </c>
      <c r="J11167" t="s">
        <v>37037</v>
      </c>
      <c r="K11167" t="s">
        <v>39046</v>
      </c>
      <c r="M11167" t="s">
        <v>42662</v>
      </c>
      <c r="N11167" t="s">
        <v>43166</v>
      </c>
      <c r="O11167" t="s">
        <v>43167</v>
      </c>
      <c r="Q11167">
        <v>0</v>
      </c>
      <c r="R11167" t="s">
        <v>43180</v>
      </c>
      <c r="S11167" t="s">
        <v>43691</v>
      </c>
      <c r="T11167" t="s">
        <v>44753</v>
      </c>
      <c r="U11167" t="s">
        <v>54099</v>
      </c>
      <c r="W11167" t="s">
        <v>42662</v>
      </c>
      <c r="X11167" t="s">
        <v>43182</v>
      </c>
    </row>
    <row r="11168" spans="1:24">
      <c r="A11168">
        <f>HYPERLINK("https://www.philgeps.gov.ph/GEPSNONPILOT/Tender/SplashBidNoticeAbstractUI.aspx?menuIndex=3&amp;refID=7063551&amp;Result=3","7063551")</f>
        <v>0</v>
      </c>
      <c r="B11168" t="s">
        <v>1134</v>
      </c>
      <c r="C11168" t="s">
        <v>14074</v>
      </c>
      <c r="D11168" t="s">
        <v>17459</v>
      </c>
      <c r="E11168" t="s">
        <v>27049</v>
      </c>
      <c r="F11168" t="s">
        <v>30052</v>
      </c>
      <c r="G11168" t="s">
        <v>30058</v>
      </c>
      <c r="H11168" t="s">
        <v>30067</v>
      </c>
      <c r="I11168" t="s">
        <v>3693</v>
      </c>
      <c r="J11168" t="s">
        <v>37038</v>
      </c>
      <c r="K11168" t="s">
        <v>39031</v>
      </c>
      <c r="M11168" t="s">
        <v>40749</v>
      </c>
      <c r="N11168" t="s">
        <v>43166</v>
      </c>
      <c r="O11168" t="s">
        <v>43167</v>
      </c>
      <c r="P11168">
        <v>0</v>
      </c>
      <c r="Q11168">
        <v>0</v>
      </c>
      <c r="R11168" t="s">
        <v>43180</v>
      </c>
      <c r="S11168" t="s">
        <v>43646</v>
      </c>
      <c r="T11168" t="s">
        <v>44791</v>
      </c>
      <c r="U11168" t="s">
        <v>54084</v>
      </c>
      <c r="V11168" t="s">
        <v>58048</v>
      </c>
      <c r="W11168" t="s">
        <v>40749</v>
      </c>
      <c r="X11168" t="s">
        <v>43181</v>
      </c>
    </row>
    <row r="11169" spans="1:24">
      <c r="A11169">
        <f>HYPERLINK("https://www.philgeps.gov.ph/GEPSNONPILOT/Tender/SplashBidNoticeAbstractUI.aspx?menuIndex=3&amp;refID=7063743&amp;Result=3","7063743")</f>
        <v>0</v>
      </c>
      <c r="B11169" t="s">
        <v>3080</v>
      </c>
      <c r="C11169" t="s">
        <v>14075</v>
      </c>
      <c r="D11169" t="s">
        <v>17482</v>
      </c>
      <c r="E11169" t="s">
        <v>27050</v>
      </c>
      <c r="F11169" t="s">
        <v>30052</v>
      </c>
      <c r="G11169" t="s">
        <v>30058</v>
      </c>
      <c r="H11169" t="s">
        <v>30067</v>
      </c>
      <c r="I11169" t="s">
        <v>3693</v>
      </c>
      <c r="J11169" t="s">
        <v>37039</v>
      </c>
      <c r="K11169" t="s">
        <v>39031</v>
      </c>
      <c r="M11169" t="s">
        <v>42663</v>
      </c>
      <c r="N11169" t="s">
        <v>43166</v>
      </c>
      <c r="O11169" t="s">
        <v>43167</v>
      </c>
      <c r="Q11169">
        <v>0</v>
      </c>
      <c r="R11169" t="s">
        <v>43180</v>
      </c>
      <c r="S11169" t="s">
        <v>43692</v>
      </c>
      <c r="T11169" t="s">
        <v>44689</v>
      </c>
      <c r="U11169" t="s">
        <v>54100</v>
      </c>
      <c r="W11169" t="s">
        <v>42663</v>
      </c>
      <c r="X11169" t="s">
        <v>43181</v>
      </c>
    </row>
    <row r="11170" spans="1:24">
      <c r="A11170">
        <f>HYPERLINK("https://www.philgeps.gov.ph/GEPSNONPILOT/Tender/SplashBidNoticeAbstractUI.aspx?menuIndex=3&amp;refID=7063502&amp;Result=3","7063502")</f>
        <v>0</v>
      </c>
      <c r="B11170" t="s">
        <v>3068</v>
      </c>
      <c r="C11170" t="s">
        <v>14076</v>
      </c>
      <c r="D11170" t="s">
        <v>17427</v>
      </c>
      <c r="E11170" t="s">
        <v>27051</v>
      </c>
      <c r="F11170" t="s">
        <v>30052</v>
      </c>
      <c r="G11170" t="s">
        <v>30058</v>
      </c>
      <c r="H11170" t="s">
        <v>30067</v>
      </c>
      <c r="I11170" t="s">
        <v>3693</v>
      </c>
      <c r="J11170" t="s">
        <v>37013</v>
      </c>
      <c r="K11170" t="s">
        <v>39069</v>
      </c>
      <c r="M11170" t="s">
        <v>42651</v>
      </c>
      <c r="N11170" t="s">
        <v>43166</v>
      </c>
      <c r="O11170" t="s">
        <v>43167</v>
      </c>
      <c r="P11170">
        <v>0</v>
      </c>
      <c r="Q11170">
        <v>0</v>
      </c>
      <c r="R11170" t="s">
        <v>43180</v>
      </c>
      <c r="S11170" t="s">
        <v>43646</v>
      </c>
      <c r="T11170" t="s">
        <v>44704</v>
      </c>
      <c r="U11170" t="s">
        <v>54077</v>
      </c>
      <c r="W11170" t="s">
        <v>42651</v>
      </c>
      <c r="X11170" t="s">
        <v>43181</v>
      </c>
    </row>
    <row r="11171" spans="1:24">
      <c r="A11171">
        <f>HYPERLINK("https://www.philgeps.gov.ph/GEPSNONPILOT/Tender/SplashBidNoticeAbstractUI.aspx?menuIndex=3&amp;refID=7063739&amp;Result=3","7063739")</f>
        <v>0</v>
      </c>
      <c r="B11171" t="s">
        <v>2096</v>
      </c>
      <c r="C11171" t="s">
        <v>14077</v>
      </c>
      <c r="D11171" t="s">
        <v>17416</v>
      </c>
      <c r="E11171" t="s">
        <v>27052</v>
      </c>
      <c r="F11171" t="s">
        <v>30052</v>
      </c>
      <c r="G11171" t="s">
        <v>30058</v>
      </c>
      <c r="H11171" t="s">
        <v>30067</v>
      </c>
      <c r="I11171" t="s">
        <v>3693</v>
      </c>
      <c r="J11171" t="s">
        <v>37040</v>
      </c>
      <c r="K11171" t="s">
        <v>39177</v>
      </c>
      <c r="M11171" t="s">
        <v>41558</v>
      </c>
      <c r="N11171" t="s">
        <v>43166</v>
      </c>
      <c r="O11171" t="s">
        <v>43167</v>
      </c>
      <c r="P11171">
        <v>0</v>
      </c>
      <c r="Q11171">
        <v>5</v>
      </c>
      <c r="R11171" t="s">
        <v>43180</v>
      </c>
      <c r="S11171" t="s">
        <v>43646</v>
      </c>
      <c r="T11171" t="s">
        <v>44721</v>
      </c>
      <c r="U11171" t="s">
        <v>54101</v>
      </c>
      <c r="W11171" t="s">
        <v>41558</v>
      </c>
      <c r="X11171" t="s">
        <v>43181</v>
      </c>
    </row>
    <row r="11172" spans="1:24">
      <c r="A11172">
        <f>HYPERLINK("https://www.philgeps.gov.ph/GEPSNONPILOT/Tender/SplashBidNoticeAbstractUI.aspx?menuIndex=3&amp;refID=7063566&amp;Result=3","7063566")</f>
        <v>0</v>
      </c>
      <c r="B11172" t="s">
        <v>3068</v>
      </c>
      <c r="C11172" t="s">
        <v>14078</v>
      </c>
      <c r="D11172" t="s">
        <v>17427</v>
      </c>
      <c r="E11172" t="s">
        <v>27053</v>
      </c>
      <c r="F11172" t="s">
        <v>30052</v>
      </c>
      <c r="G11172" t="s">
        <v>30058</v>
      </c>
      <c r="H11172" t="s">
        <v>30067</v>
      </c>
      <c r="I11172" t="s">
        <v>3693</v>
      </c>
      <c r="J11172" t="s">
        <v>37041</v>
      </c>
      <c r="K11172" t="s">
        <v>39069</v>
      </c>
      <c r="M11172" t="s">
        <v>42651</v>
      </c>
      <c r="N11172" t="s">
        <v>43166</v>
      </c>
      <c r="O11172" t="s">
        <v>43167</v>
      </c>
      <c r="P11172">
        <v>0</v>
      </c>
      <c r="Q11172">
        <v>0</v>
      </c>
      <c r="R11172" t="s">
        <v>43180</v>
      </c>
      <c r="S11172" t="s">
        <v>43646</v>
      </c>
      <c r="T11172" t="s">
        <v>44704</v>
      </c>
      <c r="U11172" t="s">
        <v>54102</v>
      </c>
      <c r="W11172" t="s">
        <v>42651</v>
      </c>
      <c r="X11172" t="s">
        <v>43181</v>
      </c>
    </row>
    <row r="11173" spans="1:24">
      <c r="A11173">
        <f>HYPERLINK("https://www.philgeps.gov.ph/GEPSNONPILOT/Tender/SplashBidNoticeAbstractUI.aspx?menuIndex=3&amp;refID=7063737&amp;Result=3","7063737")</f>
        <v>0</v>
      </c>
      <c r="B11173" t="s">
        <v>1566</v>
      </c>
      <c r="C11173" t="s">
        <v>14079</v>
      </c>
      <c r="D11173" t="s">
        <v>17486</v>
      </c>
      <c r="E11173" t="s">
        <v>27054</v>
      </c>
      <c r="F11173" t="s">
        <v>30052</v>
      </c>
      <c r="G11173" t="s">
        <v>30058</v>
      </c>
      <c r="H11173" t="s">
        <v>15498</v>
      </c>
      <c r="I11173" t="s">
        <v>30076</v>
      </c>
      <c r="J11173" t="s">
        <v>37042</v>
      </c>
      <c r="K11173" t="s">
        <v>39017</v>
      </c>
      <c r="M11173" t="s">
        <v>40955</v>
      </c>
      <c r="N11173" t="s">
        <v>43166</v>
      </c>
      <c r="O11173" t="s">
        <v>43167</v>
      </c>
      <c r="P11173">
        <v>0</v>
      </c>
      <c r="Q11173">
        <v>3</v>
      </c>
      <c r="R11173" t="s">
        <v>43180</v>
      </c>
      <c r="S11173" t="s">
        <v>43646</v>
      </c>
      <c r="T11173" t="s">
        <v>44753</v>
      </c>
      <c r="U11173" t="s">
        <v>54103</v>
      </c>
      <c r="W11173" t="s">
        <v>40955</v>
      </c>
      <c r="X11173" t="s">
        <v>43181</v>
      </c>
    </row>
    <row r="11174" spans="1:24">
      <c r="A11174">
        <f>HYPERLINK("https://www.philgeps.gov.ph/GEPSNONPILOT/Tender/SplashBidNoticeAbstractUI.aspx?menuIndex=3&amp;refID=7063483&amp;Result=3","7063483")</f>
        <v>0</v>
      </c>
      <c r="B11174" t="s">
        <v>3073</v>
      </c>
      <c r="C11174" t="s">
        <v>14080</v>
      </c>
      <c r="D11174" t="s">
        <v>17429</v>
      </c>
      <c r="E11174" t="s">
        <v>27055</v>
      </c>
      <c r="F11174" t="s">
        <v>30052</v>
      </c>
      <c r="G11174" t="s">
        <v>30058</v>
      </c>
      <c r="H11174" t="s">
        <v>30067</v>
      </c>
      <c r="I11174" t="s">
        <v>3693</v>
      </c>
      <c r="J11174" t="s">
        <v>37043</v>
      </c>
      <c r="K11174" t="s">
        <v>39033</v>
      </c>
      <c r="M11174" t="s">
        <v>42656</v>
      </c>
      <c r="N11174" t="s">
        <v>43166</v>
      </c>
      <c r="O11174" t="s">
        <v>43167</v>
      </c>
      <c r="P11174">
        <v>0</v>
      </c>
      <c r="Q11174">
        <v>1</v>
      </c>
      <c r="R11174" t="s">
        <v>43180</v>
      </c>
      <c r="S11174" t="s">
        <v>43646</v>
      </c>
      <c r="T11174" t="s">
        <v>44741</v>
      </c>
      <c r="U11174" t="s">
        <v>54104</v>
      </c>
      <c r="W11174" t="s">
        <v>42656</v>
      </c>
      <c r="X11174" t="s">
        <v>43181</v>
      </c>
    </row>
    <row r="11175" spans="1:24">
      <c r="A11175">
        <f>HYPERLINK("https://www.philgeps.gov.ph/GEPSNONPILOT/Tender/SplashBidNoticeAbstractUI.aspx?menuIndex=3&amp;refID=7063724&amp;Result=3","7063724")</f>
        <v>0</v>
      </c>
      <c r="B11175" t="s">
        <v>2348</v>
      </c>
      <c r="C11175" t="s">
        <v>14081</v>
      </c>
      <c r="D11175" t="s">
        <v>17455</v>
      </c>
      <c r="E11175" t="s">
        <v>27056</v>
      </c>
      <c r="F11175" t="s">
        <v>30052</v>
      </c>
      <c r="G11175" t="s">
        <v>30058</v>
      </c>
      <c r="H11175" t="s">
        <v>15498</v>
      </c>
      <c r="I11175" t="s">
        <v>4642</v>
      </c>
      <c r="J11175" t="s">
        <v>30343</v>
      </c>
      <c r="K11175" t="s">
        <v>39017</v>
      </c>
      <c r="M11175" t="s">
        <v>41839</v>
      </c>
      <c r="N11175" t="s">
        <v>43166</v>
      </c>
      <c r="O11175" t="s">
        <v>43167</v>
      </c>
      <c r="P11175">
        <v>0</v>
      </c>
      <c r="Q11175">
        <v>6</v>
      </c>
      <c r="R11175" t="s">
        <v>43180</v>
      </c>
      <c r="S11175" t="s">
        <v>43646</v>
      </c>
      <c r="T11175" t="s">
        <v>44710</v>
      </c>
      <c r="U11175" t="s">
        <v>48320</v>
      </c>
      <c r="W11175" t="s">
        <v>41839</v>
      </c>
      <c r="X11175" t="s">
        <v>43181</v>
      </c>
    </row>
    <row r="11176" spans="1:24">
      <c r="A11176">
        <f>HYPERLINK("https://www.philgeps.gov.ph/GEPSNONPILOT/Tender/SplashBidNoticeAbstractUI.aspx?menuIndex=3&amp;refID=7063709&amp;Result=3","7063709")</f>
        <v>0</v>
      </c>
      <c r="B11176" t="s">
        <v>684</v>
      </c>
      <c r="C11176" t="s">
        <v>14082</v>
      </c>
      <c r="D11176" t="s">
        <v>17473</v>
      </c>
      <c r="E11176" t="s">
        <v>27057</v>
      </c>
      <c r="F11176" t="s">
        <v>30052</v>
      </c>
      <c r="G11176" t="s">
        <v>30059</v>
      </c>
      <c r="H11176" t="s">
        <v>15498</v>
      </c>
      <c r="I11176" t="s">
        <v>30100</v>
      </c>
      <c r="J11176" t="s">
        <v>30222</v>
      </c>
      <c r="K11176" t="s">
        <v>39058</v>
      </c>
      <c r="M11176" t="s">
        <v>39990</v>
      </c>
      <c r="N11176" t="s">
        <v>43166</v>
      </c>
      <c r="O11176" t="s">
        <v>43167</v>
      </c>
      <c r="P11176">
        <v>0</v>
      </c>
      <c r="Q11176">
        <v>2</v>
      </c>
      <c r="R11176" t="s">
        <v>43180</v>
      </c>
      <c r="S11176" t="s">
        <v>43646</v>
      </c>
      <c r="T11176" t="s">
        <v>44773</v>
      </c>
      <c r="U11176" t="s">
        <v>54105</v>
      </c>
      <c r="W11176" t="s">
        <v>39990</v>
      </c>
      <c r="X11176" t="s">
        <v>43181</v>
      </c>
    </row>
    <row r="11177" spans="1:24">
      <c r="A11177">
        <f>HYPERLINK("https://www.philgeps.gov.ph/GEPSNONPILOT/Tender/SplashBidNoticeAbstractUI.aspx?menuIndex=3&amp;refID=7063498&amp;Result=3","7063498")</f>
        <v>0</v>
      </c>
      <c r="B11177" t="s">
        <v>684</v>
      </c>
      <c r="C11177" t="s">
        <v>14083</v>
      </c>
      <c r="D11177" t="s">
        <v>17473</v>
      </c>
      <c r="E11177" t="s">
        <v>14083</v>
      </c>
      <c r="F11177" t="s">
        <v>30052</v>
      </c>
      <c r="G11177" t="s">
        <v>30061</v>
      </c>
      <c r="H11177" t="s">
        <v>15498</v>
      </c>
      <c r="I11177" t="s">
        <v>30124</v>
      </c>
      <c r="J11177" t="s">
        <v>37044</v>
      </c>
      <c r="K11177" t="s">
        <v>39029</v>
      </c>
      <c r="M11177" t="s">
        <v>42644</v>
      </c>
      <c r="N11177" t="s">
        <v>43166</v>
      </c>
      <c r="O11177" t="s">
        <v>43167</v>
      </c>
      <c r="P11177">
        <v>0</v>
      </c>
      <c r="Q11177">
        <v>1</v>
      </c>
      <c r="R11177" t="s">
        <v>43180</v>
      </c>
      <c r="S11177" t="s">
        <v>43646</v>
      </c>
      <c r="T11177" t="s">
        <v>44822</v>
      </c>
      <c r="U11177" t="s">
        <v>54106</v>
      </c>
      <c r="W11177" t="s">
        <v>42644</v>
      </c>
      <c r="X11177" t="s">
        <v>43181</v>
      </c>
    </row>
    <row r="11178" spans="1:24">
      <c r="A11178">
        <f>HYPERLINK("https://www.philgeps.gov.ph/GEPSNONPILOT/Tender/SplashBidNoticeAbstractUI.aspx?menuIndex=3&amp;refID=7063702&amp;Result=3","7063702")</f>
        <v>0</v>
      </c>
      <c r="B11178" t="s">
        <v>2852</v>
      </c>
      <c r="C11178" t="s">
        <v>14084</v>
      </c>
      <c r="D11178" t="s">
        <v>17459</v>
      </c>
      <c r="E11178" t="s">
        <v>27058</v>
      </c>
      <c r="F11178" t="s">
        <v>30052</v>
      </c>
      <c r="G11178" t="s">
        <v>30058</v>
      </c>
      <c r="H11178" t="s">
        <v>30067</v>
      </c>
      <c r="I11178" t="s">
        <v>3693</v>
      </c>
      <c r="J11178" t="s">
        <v>37045</v>
      </c>
      <c r="K11178" t="s">
        <v>39031</v>
      </c>
      <c r="M11178" t="s">
        <v>42398</v>
      </c>
      <c r="N11178" t="s">
        <v>43166</v>
      </c>
      <c r="O11178" t="s">
        <v>43167</v>
      </c>
      <c r="P11178">
        <v>0</v>
      </c>
      <c r="Q11178">
        <v>3</v>
      </c>
      <c r="R11178" t="s">
        <v>43180</v>
      </c>
      <c r="S11178" t="s">
        <v>43646</v>
      </c>
      <c r="T11178" t="s">
        <v>44689</v>
      </c>
      <c r="U11178" t="s">
        <v>53441</v>
      </c>
      <c r="W11178" t="s">
        <v>42398</v>
      </c>
      <c r="X11178" t="s">
        <v>43181</v>
      </c>
    </row>
    <row r="11179" spans="1:24">
      <c r="A11179">
        <f>HYPERLINK("https://www.philgeps.gov.ph/GEPSNONPILOT/Tender/SplashBidNoticeAbstractUI.aspx?menuIndex=3&amp;refID=7063696&amp;Result=3","7063696")</f>
        <v>0</v>
      </c>
      <c r="B11179" t="s">
        <v>767</v>
      </c>
      <c r="C11179" t="s">
        <v>14085</v>
      </c>
      <c r="D11179" t="s">
        <v>17487</v>
      </c>
      <c r="E11179" t="s">
        <v>27059</v>
      </c>
      <c r="F11179" t="s">
        <v>30052</v>
      </c>
      <c r="G11179" t="s">
        <v>30058</v>
      </c>
      <c r="H11179" t="s">
        <v>15498</v>
      </c>
      <c r="I11179" t="s">
        <v>30074</v>
      </c>
      <c r="J11179" t="s">
        <v>37046</v>
      </c>
      <c r="K11179" t="s">
        <v>39046</v>
      </c>
      <c r="M11179" t="s">
        <v>40081</v>
      </c>
      <c r="N11179" t="s">
        <v>43166</v>
      </c>
      <c r="O11179" t="s">
        <v>43167</v>
      </c>
      <c r="P11179">
        <v>0</v>
      </c>
      <c r="Q11179">
        <v>4</v>
      </c>
      <c r="R11179" t="s">
        <v>43180</v>
      </c>
      <c r="S11179" t="s">
        <v>43646</v>
      </c>
      <c r="T11179" t="s">
        <v>45043</v>
      </c>
      <c r="U11179" t="s">
        <v>54006</v>
      </c>
      <c r="V11179" t="s">
        <v>57027</v>
      </c>
      <c r="W11179" t="s">
        <v>40081</v>
      </c>
      <c r="X11179" t="s">
        <v>43181</v>
      </c>
    </row>
    <row r="11180" spans="1:24">
      <c r="A11180">
        <f>HYPERLINK("https://www.philgeps.gov.ph/GEPSNONPILOT/Tender/SplashBidNoticeAbstractUI.aspx?menuIndex=3&amp;refID=7063732&amp;Result=3","7063732")</f>
        <v>0</v>
      </c>
      <c r="B11180" t="s">
        <v>684</v>
      </c>
      <c r="C11180" t="s">
        <v>14086</v>
      </c>
      <c r="D11180" t="s">
        <v>17473</v>
      </c>
      <c r="E11180" t="s">
        <v>27060</v>
      </c>
      <c r="F11180" t="s">
        <v>30052</v>
      </c>
      <c r="G11180" t="s">
        <v>30062</v>
      </c>
      <c r="H11180" t="s">
        <v>15498</v>
      </c>
      <c r="I11180" t="s">
        <v>30096</v>
      </c>
      <c r="J11180" t="s">
        <v>30207</v>
      </c>
      <c r="K11180" t="s">
        <v>39029</v>
      </c>
      <c r="M11180" t="s">
        <v>39990</v>
      </c>
      <c r="N11180" t="s">
        <v>43166</v>
      </c>
      <c r="O11180" t="s">
        <v>43167</v>
      </c>
      <c r="P11180">
        <v>0</v>
      </c>
      <c r="Q11180">
        <v>11</v>
      </c>
      <c r="R11180" t="s">
        <v>43180</v>
      </c>
      <c r="S11180" t="s">
        <v>43646</v>
      </c>
      <c r="T11180" t="s">
        <v>44773</v>
      </c>
      <c r="U11180" t="s">
        <v>54107</v>
      </c>
      <c r="W11180" t="s">
        <v>39990</v>
      </c>
      <c r="X11180" t="s">
        <v>43181</v>
      </c>
    </row>
    <row r="11181" spans="1:24">
      <c r="A11181">
        <f>HYPERLINK("https://www.philgeps.gov.ph/GEPSNONPILOT/Tender/SplashBidNoticeAbstractUI.aspx?menuIndex=3&amp;refID=7063693&amp;Result=3","7063693")</f>
        <v>0</v>
      </c>
      <c r="B11181" t="s">
        <v>2390</v>
      </c>
      <c r="C11181" t="s">
        <v>14087</v>
      </c>
      <c r="D11181" t="s">
        <v>17471</v>
      </c>
      <c r="E11181" t="s">
        <v>27061</v>
      </c>
      <c r="F11181" t="s">
        <v>30055</v>
      </c>
      <c r="G11181" t="s">
        <v>30058</v>
      </c>
      <c r="H11181" t="s">
        <v>15498</v>
      </c>
      <c r="I11181" t="s">
        <v>30093</v>
      </c>
      <c r="J11181" t="s">
        <v>37047</v>
      </c>
      <c r="K11181" t="s">
        <v>39026</v>
      </c>
      <c r="L11181" t="s">
        <v>2390</v>
      </c>
      <c r="M11181" t="s">
        <v>41886</v>
      </c>
      <c r="N11181" t="s">
        <v>43166</v>
      </c>
      <c r="O11181" t="s">
        <v>43167</v>
      </c>
      <c r="P11181">
        <v>0</v>
      </c>
      <c r="Q11181">
        <v>0</v>
      </c>
      <c r="R11181" t="s">
        <v>43180</v>
      </c>
      <c r="S11181" t="s">
        <v>43646</v>
      </c>
      <c r="T11181" t="s">
        <v>44753</v>
      </c>
      <c r="U11181" t="s">
        <v>54108</v>
      </c>
      <c r="W11181" t="s">
        <v>41886</v>
      </c>
      <c r="X11181" t="s">
        <v>43181</v>
      </c>
    </row>
    <row r="11182" spans="1:24">
      <c r="A11182">
        <f>HYPERLINK("https://www.philgeps.gov.ph/GEPSNONPILOT/Tender/SplashBidNoticeAbstractUI.aspx?menuIndex=3&amp;refID=7063713&amp;Result=3","7063713")</f>
        <v>0</v>
      </c>
      <c r="B11182" t="s">
        <v>3081</v>
      </c>
      <c r="C11182" t="s">
        <v>14088</v>
      </c>
      <c r="D11182" t="s">
        <v>17494</v>
      </c>
      <c r="E11182" t="s">
        <v>27062</v>
      </c>
      <c r="F11182" t="s">
        <v>30052</v>
      </c>
      <c r="G11182" t="s">
        <v>30058</v>
      </c>
      <c r="H11182" t="s">
        <v>15498</v>
      </c>
      <c r="I11182" t="s">
        <v>30074</v>
      </c>
      <c r="J11182" t="s">
        <v>30397</v>
      </c>
      <c r="K11182" t="s">
        <v>39029</v>
      </c>
      <c r="M11182" t="s">
        <v>42664</v>
      </c>
      <c r="N11182" t="s">
        <v>43166</v>
      </c>
      <c r="O11182" t="s">
        <v>43167</v>
      </c>
      <c r="P11182">
        <v>0</v>
      </c>
      <c r="Q11182">
        <v>0</v>
      </c>
      <c r="R11182" t="s">
        <v>43180</v>
      </c>
      <c r="S11182" t="s">
        <v>43646</v>
      </c>
      <c r="T11182" t="s">
        <v>44804</v>
      </c>
      <c r="U11182" t="s">
        <v>54109</v>
      </c>
      <c r="W11182" t="s">
        <v>42664</v>
      </c>
      <c r="X11182" t="s">
        <v>43181</v>
      </c>
    </row>
    <row r="11183" spans="1:24">
      <c r="A11183">
        <f>HYPERLINK("https://www.philgeps.gov.ph/GEPSNONPILOT/Tender/SplashBidNoticeAbstractUI.aspx?menuIndex=3&amp;refID=7063681&amp;Result=3","7063681")</f>
        <v>0</v>
      </c>
      <c r="B11183" t="s">
        <v>3082</v>
      </c>
      <c r="C11183" t="s">
        <v>14089</v>
      </c>
      <c r="D11183" t="s">
        <v>17455</v>
      </c>
      <c r="E11183" t="s">
        <v>27063</v>
      </c>
      <c r="F11183" t="s">
        <v>30052</v>
      </c>
      <c r="G11183" t="s">
        <v>30058</v>
      </c>
      <c r="H11183" t="s">
        <v>30067</v>
      </c>
      <c r="I11183" t="s">
        <v>3693</v>
      </c>
      <c r="J11183" t="s">
        <v>37048</v>
      </c>
      <c r="K11183" t="s">
        <v>39078</v>
      </c>
      <c r="M11183" t="s">
        <v>42665</v>
      </c>
      <c r="N11183" t="s">
        <v>43166</v>
      </c>
      <c r="O11183" t="s">
        <v>43167</v>
      </c>
      <c r="P11183">
        <v>0</v>
      </c>
      <c r="Q11183">
        <v>0</v>
      </c>
      <c r="R11183" t="s">
        <v>43180</v>
      </c>
      <c r="S11183" t="s">
        <v>43646</v>
      </c>
      <c r="T11183" t="s">
        <v>44681</v>
      </c>
      <c r="U11183" t="s">
        <v>54110</v>
      </c>
      <c r="W11183" t="s">
        <v>42665</v>
      </c>
      <c r="X11183" t="s">
        <v>43181</v>
      </c>
    </row>
    <row r="11184" spans="1:24">
      <c r="A11184">
        <f>HYPERLINK("https://www.philgeps.gov.ph/GEPSNONPILOT/Tender/SplashBidNoticeAbstractUI.aspx?menuIndex=3&amp;refID=7063523&amp;Result=3","7063523")</f>
        <v>0</v>
      </c>
      <c r="B11184" t="s">
        <v>3041</v>
      </c>
      <c r="C11184" t="s">
        <v>14090</v>
      </c>
      <c r="D11184" t="s">
        <v>17415</v>
      </c>
      <c r="E11184" t="s">
        <v>27064</v>
      </c>
      <c r="F11184" t="s">
        <v>30052</v>
      </c>
      <c r="G11184" t="s">
        <v>30058</v>
      </c>
      <c r="H11184" t="s">
        <v>15498</v>
      </c>
      <c r="I11184" t="s">
        <v>30130</v>
      </c>
      <c r="J11184" t="s">
        <v>36040</v>
      </c>
      <c r="K11184" t="s">
        <v>39025</v>
      </c>
      <c r="M11184" t="s">
        <v>42619</v>
      </c>
      <c r="N11184" t="s">
        <v>43166</v>
      </c>
      <c r="O11184" t="s">
        <v>43167</v>
      </c>
      <c r="P11184">
        <v>0</v>
      </c>
      <c r="Q11184">
        <v>64</v>
      </c>
      <c r="R11184" t="s">
        <v>43180</v>
      </c>
      <c r="S11184" t="s">
        <v>43646</v>
      </c>
      <c r="T11184" t="s">
        <v>44750</v>
      </c>
      <c r="U11184" t="s">
        <v>53917</v>
      </c>
      <c r="W11184" t="s">
        <v>42619</v>
      </c>
      <c r="X11184" t="s">
        <v>43181</v>
      </c>
    </row>
    <row r="11185" spans="1:24">
      <c r="A11185">
        <f>HYPERLINK("https://www.philgeps.gov.ph/GEPSNONPILOT/Tender/SplashBidNoticeAbstractUI.aspx?menuIndex=3&amp;refID=7063670&amp;Result=3","7063670")</f>
        <v>0</v>
      </c>
      <c r="B11185" t="s">
        <v>1134</v>
      </c>
      <c r="C11185" t="s">
        <v>14091</v>
      </c>
      <c r="D11185" t="s">
        <v>17459</v>
      </c>
      <c r="E11185" t="s">
        <v>27065</v>
      </c>
      <c r="F11185" t="s">
        <v>30052</v>
      </c>
      <c r="G11185" t="s">
        <v>30058</v>
      </c>
      <c r="H11185" t="s">
        <v>30067</v>
      </c>
      <c r="I11185" t="s">
        <v>3693</v>
      </c>
      <c r="J11185" t="s">
        <v>37049</v>
      </c>
      <c r="K11185" t="s">
        <v>39023</v>
      </c>
      <c r="M11185" t="s">
        <v>40749</v>
      </c>
      <c r="N11185" t="s">
        <v>43166</v>
      </c>
      <c r="O11185" t="s">
        <v>43167</v>
      </c>
      <c r="P11185">
        <v>0</v>
      </c>
      <c r="Q11185">
        <v>0</v>
      </c>
      <c r="R11185" t="s">
        <v>43180</v>
      </c>
      <c r="S11185" t="s">
        <v>43646</v>
      </c>
      <c r="T11185" t="s">
        <v>44791</v>
      </c>
      <c r="U11185" t="s">
        <v>54111</v>
      </c>
      <c r="V11185" t="s">
        <v>58048</v>
      </c>
      <c r="W11185" t="s">
        <v>40749</v>
      </c>
      <c r="X11185" t="s">
        <v>43181</v>
      </c>
    </row>
    <row r="11186" spans="1:24">
      <c r="A11186">
        <f>HYPERLINK("https://www.philgeps.gov.ph/GEPSNONPILOT/Tender/SplashBidNoticeAbstractUI.aspx?menuIndex=3&amp;refID=7063667&amp;Result=3","7063667")</f>
        <v>0</v>
      </c>
      <c r="B11186" t="s">
        <v>721</v>
      </c>
      <c r="C11186" t="s">
        <v>14092</v>
      </c>
      <c r="D11186" t="s">
        <v>17451</v>
      </c>
      <c r="E11186" t="s">
        <v>27066</v>
      </c>
      <c r="F11186" t="s">
        <v>30052</v>
      </c>
      <c r="G11186" t="s">
        <v>30058</v>
      </c>
      <c r="H11186" t="s">
        <v>30067</v>
      </c>
      <c r="I11186" t="s">
        <v>3693</v>
      </c>
      <c r="J11186" t="s">
        <v>37050</v>
      </c>
      <c r="K11186" t="s">
        <v>39073</v>
      </c>
      <c r="M11186" t="s">
        <v>40031</v>
      </c>
      <c r="N11186" t="s">
        <v>43166</v>
      </c>
      <c r="O11186" t="s">
        <v>43167</v>
      </c>
      <c r="P11186">
        <v>0</v>
      </c>
      <c r="Q11186">
        <v>0</v>
      </c>
      <c r="R11186" t="s">
        <v>43180</v>
      </c>
      <c r="S11186" t="s">
        <v>43646</v>
      </c>
      <c r="T11186" t="s">
        <v>44780</v>
      </c>
      <c r="U11186" t="s">
        <v>51728</v>
      </c>
      <c r="W11186" t="s">
        <v>40031</v>
      </c>
      <c r="X11186" t="s">
        <v>43181</v>
      </c>
    </row>
    <row r="11187" spans="1:24">
      <c r="A11187">
        <f>HYPERLINK("https://www.philgeps.gov.ph/GEPSNONPILOT/Tender/SplashBidNoticeAbstractUI.aspx?menuIndex=3&amp;refID=7063647&amp;Result=3","7063647")</f>
        <v>0</v>
      </c>
      <c r="B11187" t="s">
        <v>2555</v>
      </c>
      <c r="C11187" t="s">
        <v>14093</v>
      </c>
      <c r="D11187" t="s">
        <v>17435</v>
      </c>
      <c r="E11187" t="s">
        <v>27067</v>
      </c>
      <c r="F11187" t="s">
        <v>30052</v>
      </c>
      <c r="G11187" t="s">
        <v>30058</v>
      </c>
      <c r="H11187" t="s">
        <v>15498</v>
      </c>
      <c r="I11187" t="s">
        <v>30124</v>
      </c>
      <c r="J11187" t="s">
        <v>30321</v>
      </c>
      <c r="K11187" t="s">
        <v>39046</v>
      </c>
      <c r="M11187" t="s">
        <v>42062</v>
      </c>
      <c r="N11187" t="s">
        <v>43166</v>
      </c>
      <c r="O11187" t="s">
        <v>43167</v>
      </c>
      <c r="P11187">
        <v>0</v>
      </c>
      <c r="Q11187">
        <v>11</v>
      </c>
      <c r="R11187" t="s">
        <v>43180</v>
      </c>
      <c r="S11187" t="s">
        <v>43646</v>
      </c>
      <c r="T11187" t="s">
        <v>44754</v>
      </c>
      <c r="U11187" t="s">
        <v>51971</v>
      </c>
      <c r="W11187" t="s">
        <v>42062</v>
      </c>
      <c r="X11187" t="s">
        <v>43181</v>
      </c>
    </row>
    <row r="11188" spans="1:24">
      <c r="A11188">
        <f>HYPERLINK("https://www.philgeps.gov.ph/GEPSNONPILOT/Tender/SplashBidNoticeAbstractUI.aspx?menuIndex=3&amp;refID=7063707&amp;Result=3","7063707")</f>
        <v>0</v>
      </c>
      <c r="B11188" t="s">
        <v>1566</v>
      </c>
      <c r="C11188" t="s">
        <v>14094</v>
      </c>
      <c r="D11188" t="s">
        <v>17486</v>
      </c>
      <c r="E11188" t="s">
        <v>27068</v>
      </c>
      <c r="F11188" t="s">
        <v>30052</v>
      </c>
      <c r="G11188" t="s">
        <v>30058</v>
      </c>
      <c r="H11188" t="s">
        <v>15498</v>
      </c>
      <c r="I11188" t="s">
        <v>30076</v>
      </c>
      <c r="J11188" t="s">
        <v>37051</v>
      </c>
      <c r="K11188" t="s">
        <v>39017</v>
      </c>
      <c r="M11188" t="s">
        <v>40955</v>
      </c>
      <c r="N11188" t="s">
        <v>43166</v>
      </c>
      <c r="O11188" t="s">
        <v>43167</v>
      </c>
      <c r="P11188">
        <v>0</v>
      </c>
      <c r="Q11188">
        <v>5</v>
      </c>
      <c r="R11188" t="s">
        <v>43180</v>
      </c>
      <c r="S11188" t="s">
        <v>43646</v>
      </c>
      <c r="T11188" t="s">
        <v>44753</v>
      </c>
      <c r="U11188" t="s">
        <v>54112</v>
      </c>
      <c r="W11188" t="s">
        <v>40955</v>
      </c>
      <c r="X11188" t="s">
        <v>43181</v>
      </c>
    </row>
    <row r="11189" spans="1:24">
      <c r="A11189">
        <f>HYPERLINK("https://www.philgeps.gov.ph/GEPSNONPILOT/Tender/SplashBidNoticeAbstractUI.aspx?menuIndex=3&amp;refID=7063749&amp;Result=3","7063749")</f>
        <v>0</v>
      </c>
      <c r="B11189" t="s">
        <v>681</v>
      </c>
      <c r="C11189" t="s">
        <v>14095</v>
      </c>
      <c r="D11189" t="s">
        <v>17510</v>
      </c>
      <c r="E11189" t="s">
        <v>27069</v>
      </c>
      <c r="F11189" t="s">
        <v>30052</v>
      </c>
      <c r="G11189" t="s">
        <v>30058</v>
      </c>
      <c r="H11189" t="s">
        <v>15498</v>
      </c>
      <c r="I11189" t="s">
        <v>6691</v>
      </c>
      <c r="J11189" t="s">
        <v>37052</v>
      </c>
      <c r="K11189" t="s">
        <v>39111</v>
      </c>
      <c r="M11189" t="s">
        <v>42666</v>
      </c>
      <c r="N11189" t="s">
        <v>43166</v>
      </c>
      <c r="O11189" t="s">
        <v>43167</v>
      </c>
      <c r="Q11189">
        <v>2</v>
      </c>
      <c r="R11189" t="s">
        <v>43180</v>
      </c>
      <c r="S11189" t="s">
        <v>43693</v>
      </c>
      <c r="T11189" t="s">
        <v>44719</v>
      </c>
      <c r="U11189" t="s">
        <v>54113</v>
      </c>
      <c r="V11189" t="s">
        <v>58084</v>
      </c>
      <c r="W11189" t="s">
        <v>39987</v>
      </c>
      <c r="X11189" t="s">
        <v>43181</v>
      </c>
    </row>
    <row r="11190" spans="1:24">
      <c r="A11190">
        <f>HYPERLINK("https://www.philgeps.gov.ph/GEPSNONPILOT/Tender/SplashBidNoticeAbstractUI.aspx?menuIndex=3&amp;refID=7063674&amp;Result=3","7063674")</f>
        <v>0</v>
      </c>
      <c r="B11190" t="s">
        <v>2931</v>
      </c>
      <c r="C11190" t="s">
        <v>14096</v>
      </c>
      <c r="D11190" t="s">
        <v>17435</v>
      </c>
      <c r="E11190" t="s">
        <v>27070</v>
      </c>
      <c r="F11190" t="s">
        <v>30052</v>
      </c>
      <c r="G11190" t="s">
        <v>30058</v>
      </c>
      <c r="H11190" t="s">
        <v>15498</v>
      </c>
      <c r="I11190" t="s">
        <v>3736</v>
      </c>
      <c r="J11190" t="s">
        <v>37053</v>
      </c>
      <c r="K11190" t="s">
        <v>39034</v>
      </c>
      <c r="L11190" t="s">
        <v>2931</v>
      </c>
      <c r="M11190" t="s">
        <v>42494</v>
      </c>
      <c r="N11190" t="s">
        <v>43166</v>
      </c>
      <c r="O11190" t="s">
        <v>43167</v>
      </c>
      <c r="P11190">
        <v>0</v>
      </c>
      <c r="Q11190">
        <v>0</v>
      </c>
      <c r="R11190" t="s">
        <v>43180</v>
      </c>
      <c r="S11190" t="s">
        <v>43646</v>
      </c>
      <c r="T11190" t="s">
        <v>44681</v>
      </c>
      <c r="U11190" t="s">
        <v>53514</v>
      </c>
      <c r="W11190" t="s">
        <v>42494</v>
      </c>
      <c r="X11190" t="s">
        <v>43181</v>
      </c>
    </row>
    <row r="11191" spans="1:24">
      <c r="A11191">
        <f>HYPERLINK("https://www.philgeps.gov.ph/GEPSNONPILOT/Tender/SplashBidNoticeAbstractUI.aspx?menuIndex=3&amp;refID=7063853&amp;Result=3","7063853")</f>
        <v>0</v>
      </c>
      <c r="B11191" t="s">
        <v>3083</v>
      </c>
      <c r="C11191" t="s">
        <v>14097</v>
      </c>
      <c r="D11191" t="s">
        <v>17422</v>
      </c>
      <c r="E11191" t="s">
        <v>27071</v>
      </c>
      <c r="F11191" t="s">
        <v>30052</v>
      </c>
      <c r="G11191" t="s">
        <v>30058</v>
      </c>
      <c r="H11191" t="s">
        <v>15498</v>
      </c>
      <c r="I11191" t="s">
        <v>30074</v>
      </c>
      <c r="J11191" t="s">
        <v>37054</v>
      </c>
      <c r="K11191" t="s">
        <v>39031</v>
      </c>
      <c r="M11191" t="s">
        <v>42667</v>
      </c>
      <c r="N11191" t="s">
        <v>43166</v>
      </c>
      <c r="O11191" t="s">
        <v>43167</v>
      </c>
      <c r="P11191">
        <v>0</v>
      </c>
      <c r="Q11191">
        <v>5</v>
      </c>
      <c r="R11191" t="s">
        <v>43180</v>
      </c>
      <c r="S11191" t="s">
        <v>43646</v>
      </c>
      <c r="T11191" t="s">
        <v>44721</v>
      </c>
      <c r="U11191" t="s">
        <v>54114</v>
      </c>
      <c r="W11191" t="s">
        <v>42667</v>
      </c>
      <c r="X11191" t="s">
        <v>43181</v>
      </c>
    </row>
    <row r="11192" spans="1:24">
      <c r="A11192">
        <f>HYPERLINK("https://www.philgeps.gov.ph/GEPSNONPILOT/Tender/SplashBidNoticeAbstractUI.aspx?menuIndex=3&amp;refID=7063711&amp;Result=3","7063711")</f>
        <v>0</v>
      </c>
      <c r="B11192" t="s">
        <v>3084</v>
      </c>
      <c r="C11192" t="s">
        <v>14098</v>
      </c>
      <c r="D11192" t="s">
        <v>17452</v>
      </c>
      <c r="E11192" t="s">
        <v>27072</v>
      </c>
      <c r="F11192" t="s">
        <v>30052</v>
      </c>
      <c r="G11192" t="s">
        <v>30058</v>
      </c>
      <c r="H11192" t="s">
        <v>15498</v>
      </c>
      <c r="I11192" t="s">
        <v>30087</v>
      </c>
      <c r="J11192" t="s">
        <v>37055</v>
      </c>
      <c r="K11192" t="s">
        <v>39037</v>
      </c>
      <c r="M11192" t="s">
        <v>42668</v>
      </c>
      <c r="N11192" t="s">
        <v>43166</v>
      </c>
      <c r="O11192" t="s">
        <v>43167</v>
      </c>
      <c r="P11192">
        <v>0</v>
      </c>
      <c r="Q11192">
        <v>5</v>
      </c>
      <c r="R11192" t="s">
        <v>43180</v>
      </c>
      <c r="S11192" t="s">
        <v>43646</v>
      </c>
      <c r="T11192" t="s">
        <v>45150</v>
      </c>
      <c r="U11192" t="s">
        <v>54115</v>
      </c>
      <c r="W11192" t="s">
        <v>42668</v>
      </c>
      <c r="X11192" t="s">
        <v>43181</v>
      </c>
    </row>
    <row r="11193" spans="1:24">
      <c r="A11193">
        <f>HYPERLINK("https://www.philgeps.gov.ph/GEPSNONPILOT/Tender/SplashBidNoticeAbstractUI.aspx?menuIndex=3&amp;refID=7063875&amp;Result=3","7063875")</f>
        <v>0</v>
      </c>
      <c r="B11193" t="s">
        <v>1996</v>
      </c>
      <c r="C11193" t="s">
        <v>14099</v>
      </c>
      <c r="D11193" t="s">
        <v>17449</v>
      </c>
      <c r="E11193" t="s">
        <v>27073</v>
      </c>
      <c r="F11193" t="s">
        <v>30052</v>
      </c>
      <c r="G11193" t="s">
        <v>30058</v>
      </c>
      <c r="H11193" t="s">
        <v>30067</v>
      </c>
      <c r="I11193" t="s">
        <v>3693</v>
      </c>
      <c r="J11193" t="s">
        <v>37056</v>
      </c>
      <c r="K11193" t="s">
        <v>39247</v>
      </c>
      <c r="M11193" t="s">
        <v>41439</v>
      </c>
      <c r="N11193" t="s">
        <v>43166</v>
      </c>
      <c r="O11193" t="s">
        <v>43167</v>
      </c>
      <c r="P11193">
        <v>0</v>
      </c>
      <c r="Q11193">
        <v>6</v>
      </c>
      <c r="R11193" t="s">
        <v>43180</v>
      </c>
      <c r="S11193" t="s">
        <v>43646</v>
      </c>
      <c r="T11193" t="s">
        <v>44699</v>
      </c>
      <c r="U11193" t="s">
        <v>54116</v>
      </c>
      <c r="V11193" t="s">
        <v>58085</v>
      </c>
      <c r="W11193" t="s">
        <v>41439</v>
      </c>
      <c r="X11193" t="s">
        <v>43181</v>
      </c>
    </row>
    <row r="11194" spans="1:24">
      <c r="A11194">
        <f>HYPERLINK("https://www.philgeps.gov.ph/GEPSNONPILOT/Tender/SplashBidNoticeAbstractUI.aspx?menuIndex=3&amp;refID=7063441&amp;Result=3","7063441")</f>
        <v>0</v>
      </c>
      <c r="B11194" t="s">
        <v>2660</v>
      </c>
      <c r="C11194" t="s">
        <v>14100</v>
      </c>
      <c r="D11194" t="s">
        <v>17415</v>
      </c>
      <c r="E11194" t="s">
        <v>27074</v>
      </c>
      <c r="F11194" t="s">
        <v>30052</v>
      </c>
      <c r="G11194" t="s">
        <v>30058</v>
      </c>
      <c r="H11194" t="s">
        <v>15498</v>
      </c>
      <c r="I11194" t="s">
        <v>30153</v>
      </c>
      <c r="J11194" t="s">
        <v>37057</v>
      </c>
      <c r="K11194" t="s">
        <v>39023</v>
      </c>
      <c r="M11194" t="s">
        <v>42179</v>
      </c>
      <c r="N11194" t="s">
        <v>43166</v>
      </c>
      <c r="O11194" t="s">
        <v>43167</v>
      </c>
      <c r="P11194">
        <v>0</v>
      </c>
      <c r="Q11194">
        <v>5</v>
      </c>
      <c r="R11194" t="s">
        <v>43180</v>
      </c>
      <c r="S11194" t="s">
        <v>43646</v>
      </c>
      <c r="T11194" t="s">
        <v>44830</v>
      </c>
      <c r="U11194" t="s">
        <v>54117</v>
      </c>
      <c r="V11194" t="s">
        <v>57766</v>
      </c>
      <c r="W11194" t="s">
        <v>42179</v>
      </c>
      <c r="X11194" t="s">
        <v>43181</v>
      </c>
    </row>
    <row r="11195" spans="1:24">
      <c r="A11195">
        <f>HYPERLINK("https://www.philgeps.gov.ph/GEPSNONPILOT/Tender/SplashBidNoticeAbstractUI.aspx?menuIndex=3&amp;refID=7063685&amp;Result=3","7063685")</f>
        <v>0</v>
      </c>
      <c r="B11195" t="s">
        <v>1134</v>
      </c>
      <c r="C11195" t="s">
        <v>14101</v>
      </c>
      <c r="D11195" t="s">
        <v>17459</v>
      </c>
      <c r="E11195" t="s">
        <v>27075</v>
      </c>
      <c r="F11195" t="s">
        <v>30052</v>
      </c>
      <c r="G11195" t="s">
        <v>30058</v>
      </c>
      <c r="H11195" t="s">
        <v>30067</v>
      </c>
      <c r="I11195" t="s">
        <v>3693</v>
      </c>
      <c r="J11195" t="s">
        <v>37058</v>
      </c>
      <c r="K11195" t="s">
        <v>39046</v>
      </c>
      <c r="M11195" t="s">
        <v>40749</v>
      </c>
      <c r="N11195" t="s">
        <v>43166</v>
      </c>
      <c r="O11195" t="s">
        <v>43167</v>
      </c>
      <c r="P11195">
        <v>0</v>
      </c>
      <c r="Q11195">
        <v>0</v>
      </c>
      <c r="R11195" t="s">
        <v>43180</v>
      </c>
      <c r="S11195" t="s">
        <v>43646</v>
      </c>
      <c r="T11195" t="s">
        <v>44791</v>
      </c>
      <c r="U11195" t="s">
        <v>54111</v>
      </c>
      <c r="V11195" t="s">
        <v>58048</v>
      </c>
      <c r="W11195" t="s">
        <v>40749</v>
      </c>
      <c r="X11195" t="s">
        <v>43181</v>
      </c>
    </row>
    <row r="11196" spans="1:24">
      <c r="A11196">
        <f>HYPERLINK("https://www.philgeps.gov.ph/GEPSNONPILOT/Tender/SplashBidNoticeAbstractUI.aspx?menuIndex=3&amp;refID=7063854&amp;Result=3","7063854")</f>
        <v>0</v>
      </c>
      <c r="B11196" t="s">
        <v>3085</v>
      </c>
      <c r="C11196" t="s">
        <v>14102</v>
      </c>
      <c r="D11196" t="s">
        <v>17418</v>
      </c>
      <c r="E11196" t="s">
        <v>27076</v>
      </c>
      <c r="F11196" t="s">
        <v>30055</v>
      </c>
      <c r="G11196" t="s">
        <v>30058</v>
      </c>
      <c r="H11196" t="s">
        <v>30067</v>
      </c>
      <c r="I11196" t="s">
        <v>3693</v>
      </c>
      <c r="J11196" t="s">
        <v>31198</v>
      </c>
      <c r="K11196" t="s">
        <v>39097</v>
      </c>
      <c r="M11196" t="s">
        <v>42669</v>
      </c>
      <c r="N11196" t="s">
        <v>43166</v>
      </c>
      <c r="O11196" t="s">
        <v>43167</v>
      </c>
      <c r="P11196">
        <v>0</v>
      </c>
      <c r="Q11196">
        <v>0</v>
      </c>
      <c r="R11196" t="s">
        <v>43180</v>
      </c>
      <c r="S11196" t="s">
        <v>43646</v>
      </c>
      <c r="T11196" t="s">
        <v>44777</v>
      </c>
      <c r="U11196" t="s">
        <v>54118</v>
      </c>
      <c r="W11196" t="s">
        <v>42669</v>
      </c>
      <c r="X11196" t="s">
        <v>43181</v>
      </c>
    </row>
    <row r="11197" spans="1:24">
      <c r="A11197">
        <f>HYPERLINK("https://www.philgeps.gov.ph/GEPSNONPILOT/Tender/SplashBidNoticeAbstractUI.aspx?menuIndex=3&amp;refID=7063848&amp;Result=3","7063848")</f>
        <v>0</v>
      </c>
      <c r="B11197" t="s">
        <v>1730</v>
      </c>
      <c r="C11197" t="s">
        <v>14103</v>
      </c>
      <c r="E11197" t="s">
        <v>27077</v>
      </c>
      <c r="F11197" t="s">
        <v>30052</v>
      </c>
      <c r="G11197" t="s">
        <v>30058</v>
      </c>
      <c r="H11197" t="s">
        <v>15498</v>
      </c>
      <c r="I11197" t="s">
        <v>30120</v>
      </c>
      <c r="J11197" t="s">
        <v>37059</v>
      </c>
      <c r="K11197" t="s">
        <v>39019</v>
      </c>
      <c r="M11197" t="s">
        <v>41160</v>
      </c>
      <c r="N11197" t="s">
        <v>43166</v>
      </c>
      <c r="O11197" t="s">
        <v>43167</v>
      </c>
      <c r="P11197">
        <v>0</v>
      </c>
      <c r="Q11197">
        <v>3</v>
      </c>
      <c r="R11197" t="s">
        <v>43180</v>
      </c>
      <c r="S11197" t="s">
        <v>43646</v>
      </c>
      <c r="T11197" t="s">
        <v>44706</v>
      </c>
      <c r="U11197" t="s">
        <v>54119</v>
      </c>
      <c r="V11197" t="s">
        <v>56838</v>
      </c>
      <c r="W11197" t="s">
        <v>41160</v>
      </c>
      <c r="X11197" t="s">
        <v>43181</v>
      </c>
    </row>
    <row r="11198" spans="1:24">
      <c r="A11198">
        <f>HYPERLINK("https://www.philgeps.gov.ph/GEPSNONPILOT/Tender/SplashBidNoticeAbstractUI.aspx?menuIndex=3&amp;refID=7063869&amp;Result=3","7063869")</f>
        <v>0</v>
      </c>
      <c r="B11198" t="s">
        <v>121</v>
      </c>
      <c r="C11198" t="s">
        <v>14104</v>
      </c>
      <c r="D11198" t="s">
        <v>17440</v>
      </c>
      <c r="E11198" t="s">
        <v>27078</v>
      </c>
      <c r="F11198" t="s">
        <v>30052</v>
      </c>
      <c r="G11198" t="s">
        <v>30058</v>
      </c>
      <c r="H11198" t="s">
        <v>15498</v>
      </c>
      <c r="I11198" t="s">
        <v>30089</v>
      </c>
      <c r="J11198" t="s">
        <v>30235</v>
      </c>
      <c r="K11198" t="s">
        <v>39019</v>
      </c>
      <c r="M11198" t="s">
        <v>39410</v>
      </c>
      <c r="N11198" t="s">
        <v>43166</v>
      </c>
      <c r="O11198" t="s">
        <v>43167</v>
      </c>
      <c r="P11198">
        <v>0</v>
      </c>
      <c r="Q11198">
        <v>5</v>
      </c>
      <c r="R11198" t="s">
        <v>43180</v>
      </c>
      <c r="S11198" t="s">
        <v>43646</v>
      </c>
      <c r="T11198" t="s">
        <v>44870</v>
      </c>
      <c r="U11198" t="s">
        <v>54120</v>
      </c>
      <c r="W11198" t="s">
        <v>39410</v>
      </c>
      <c r="X11198" t="s">
        <v>43181</v>
      </c>
    </row>
    <row r="11199" spans="1:24">
      <c r="A11199">
        <f>HYPERLINK("https://www.philgeps.gov.ph/GEPSNONPILOT/Tender/SplashBidNoticeAbstractUI.aspx?menuIndex=3&amp;refID=7063844&amp;Result=3","7063844")</f>
        <v>0</v>
      </c>
      <c r="B11199" t="s">
        <v>767</v>
      </c>
      <c r="C11199" t="s">
        <v>14105</v>
      </c>
      <c r="D11199" t="s">
        <v>17487</v>
      </c>
      <c r="E11199" t="s">
        <v>27079</v>
      </c>
      <c r="F11199" t="s">
        <v>30052</v>
      </c>
      <c r="G11199" t="s">
        <v>30058</v>
      </c>
      <c r="H11199" t="s">
        <v>15498</v>
      </c>
      <c r="I11199" t="s">
        <v>30074</v>
      </c>
      <c r="J11199" t="s">
        <v>30281</v>
      </c>
      <c r="K11199" t="s">
        <v>39046</v>
      </c>
      <c r="M11199" t="s">
        <v>40081</v>
      </c>
      <c r="N11199" t="s">
        <v>43166</v>
      </c>
      <c r="O11199" t="s">
        <v>43167</v>
      </c>
      <c r="P11199">
        <v>0</v>
      </c>
      <c r="Q11199">
        <v>3</v>
      </c>
      <c r="R11199" t="s">
        <v>43180</v>
      </c>
      <c r="S11199" t="s">
        <v>43646</v>
      </c>
      <c r="T11199" t="s">
        <v>44793</v>
      </c>
      <c r="U11199" t="s">
        <v>54121</v>
      </c>
      <c r="V11199" t="s">
        <v>57027</v>
      </c>
      <c r="W11199" t="s">
        <v>40081</v>
      </c>
      <c r="X11199" t="s">
        <v>43181</v>
      </c>
    </row>
    <row r="11200" spans="1:24">
      <c r="A11200">
        <f>HYPERLINK("https://www.philgeps.gov.ph/GEPSNONPILOT/Tender/SplashBidNoticeAbstractUI.aspx?menuIndex=3&amp;refID=7063823&amp;Result=3","7063823")</f>
        <v>0</v>
      </c>
      <c r="B11200" t="s">
        <v>3077</v>
      </c>
      <c r="C11200" t="s">
        <v>14106</v>
      </c>
      <c r="D11200" t="s">
        <v>17422</v>
      </c>
      <c r="E11200" t="s">
        <v>27080</v>
      </c>
      <c r="F11200" t="s">
        <v>30052</v>
      </c>
      <c r="G11200" t="s">
        <v>30058</v>
      </c>
      <c r="H11200" t="s">
        <v>30067</v>
      </c>
      <c r="I11200" t="s">
        <v>3693</v>
      </c>
      <c r="J11200" t="s">
        <v>30277</v>
      </c>
      <c r="K11200" t="s">
        <v>39057</v>
      </c>
      <c r="M11200" t="s">
        <v>42660</v>
      </c>
      <c r="N11200" t="s">
        <v>43166</v>
      </c>
      <c r="O11200" t="s">
        <v>43167</v>
      </c>
      <c r="P11200">
        <v>0</v>
      </c>
      <c r="Q11200">
        <v>1</v>
      </c>
      <c r="R11200" t="s">
        <v>43180</v>
      </c>
      <c r="S11200" t="s">
        <v>43646</v>
      </c>
      <c r="T11200" t="s">
        <v>45151</v>
      </c>
      <c r="U11200" t="s">
        <v>54122</v>
      </c>
      <c r="V11200" t="s">
        <v>58086</v>
      </c>
      <c r="W11200" t="s">
        <v>42660</v>
      </c>
      <c r="X11200" t="s">
        <v>43181</v>
      </c>
    </row>
    <row r="11201" spans="1:24">
      <c r="A11201">
        <f>HYPERLINK("https://www.philgeps.gov.ph/GEPSNONPILOT/Tender/SplashBidNoticeAbstractUI.aspx?menuIndex=3&amp;refID=7063817&amp;Result=3","7063817")</f>
        <v>0</v>
      </c>
      <c r="B11201" t="s">
        <v>361</v>
      </c>
      <c r="C11201" t="s">
        <v>14107</v>
      </c>
      <c r="D11201" t="s">
        <v>17455</v>
      </c>
      <c r="E11201" t="s">
        <v>27081</v>
      </c>
      <c r="F11201" t="s">
        <v>30052</v>
      </c>
      <c r="G11201" t="s">
        <v>30058</v>
      </c>
      <c r="H11201" t="s">
        <v>30067</v>
      </c>
      <c r="I11201" t="s">
        <v>3693</v>
      </c>
      <c r="J11201" t="s">
        <v>34946</v>
      </c>
      <c r="K11201" t="s">
        <v>39140</v>
      </c>
      <c r="M11201" t="s">
        <v>39658</v>
      </c>
      <c r="N11201" t="s">
        <v>43166</v>
      </c>
      <c r="O11201" t="s">
        <v>43167</v>
      </c>
      <c r="P11201">
        <v>0</v>
      </c>
      <c r="Q11201">
        <v>21</v>
      </c>
      <c r="R11201" t="s">
        <v>43180</v>
      </c>
      <c r="S11201" t="s">
        <v>43646</v>
      </c>
      <c r="T11201" t="s">
        <v>44763</v>
      </c>
      <c r="U11201" t="s">
        <v>54123</v>
      </c>
      <c r="W11201" t="s">
        <v>39658</v>
      </c>
      <c r="X11201" t="s">
        <v>43181</v>
      </c>
    </row>
    <row r="11202" spans="1:24">
      <c r="A11202">
        <f>HYPERLINK("https://www.philgeps.gov.ph/GEPSNONPILOT/Tender/SplashBidNoticeAbstractUI.aspx?menuIndex=3&amp;refID=7063797&amp;Result=3","7063797")</f>
        <v>0</v>
      </c>
      <c r="B11202" t="s">
        <v>2852</v>
      </c>
      <c r="C11202" t="s">
        <v>14108</v>
      </c>
      <c r="D11202" t="s">
        <v>17459</v>
      </c>
      <c r="E11202" t="s">
        <v>27082</v>
      </c>
      <c r="F11202" t="s">
        <v>30052</v>
      </c>
      <c r="G11202" t="s">
        <v>30058</v>
      </c>
      <c r="H11202" t="s">
        <v>30067</v>
      </c>
      <c r="I11202" t="s">
        <v>3693</v>
      </c>
      <c r="J11202" t="s">
        <v>37060</v>
      </c>
      <c r="K11202" t="s">
        <v>39054</v>
      </c>
      <c r="M11202" t="s">
        <v>42398</v>
      </c>
      <c r="N11202" t="s">
        <v>43166</v>
      </c>
      <c r="O11202" t="s">
        <v>43167</v>
      </c>
      <c r="P11202">
        <v>0</v>
      </c>
      <c r="Q11202">
        <v>4</v>
      </c>
      <c r="R11202" t="s">
        <v>43180</v>
      </c>
      <c r="S11202" t="s">
        <v>43646</v>
      </c>
      <c r="T11202" t="s">
        <v>44689</v>
      </c>
      <c r="U11202" t="s">
        <v>53441</v>
      </c>
      <c r="W11202" t="s">
        <v>42398</v>
      </c>
      <c r="X11202" t="s">
        <v>43181</v>
      </c>
    </row>
    <row r="11203" spans="1:24">
      <c r="A11203">
        <f>HYPERLINK("https://www.philgeps.gov.ph/GEPSNONPILOT/Tender/SplashBidNoticeAbstractUI.aspx?menuIndex=3&amp;refID=7063780&amp;Result=3","7063780")</f>
        <v>0</v>
      </c>
      <c r="B11203" t="s">
        <v>1341</v>
      </c>
      <c r="C11203" t="s">
        <v>14109</v>
      </c>
      <c r="D11203" t="s">
        <v>17450</v>
      </c>
      <c r="E11203" t="s">
        <v>27083</v>
      </c>
      <c r="F11203" t="s">
        <v>30052</v>
      </c>
      <c r="G11203" t="s">
        <v>30058</v>
      </c>
      <c r="H11203" t="s">
        <v>30067</v>
      </c>
      <c r="I11203" t="s">
        <v>30093</v>
      </c>
      <c r="J11203" t="s">
        <v>37061</v>
      </c>
      <c r="K11203" t="s">
        <v>39025</v>
      </c>
      <c r="M11203" t="s">
        <v>40708</v>
      </c>
      <c r="N11203" t="s">
        <v>43166</v>
      </c>
      <c r="O11203" t="s">
        <v>43167</v>
      </c>
      <c r="P11203">
        <v>0</v>
      </c>
      <c r="Q11203">
        <v>2</v>
      </c>
      <c r="R11203" t="s">
        <v>43180</v>
      </c>
      <c r="S11203" t="s">
        <v>43646</v>
      </c>
      <c r="T11203" t="s">
        <v>44736</v>
      </c>
      <c r="U11203" t="s">
        <v>54124</v>
      </c>
      <c r="V11203" t="s">
        <v>58087</v>
      </c>
      <c r="W11203" t="s">
        <v>58633</v>
      </c>
      <c r="X11203" t="s">
        <v>43181</v>
      </c>
    </row>
    <row r="11204" spans="1:24">
      <c r="A11204">
        <f>HYPERLINK("https://www.philgeps.gov.ph/GEPSNONPILOT/Tender/SplashBidNoticeAbstractUI.aspx?menuIndex=3&amp;refID=7063777&amp;Result=3","7063777")</f>
        <v>0</v>
      </c>
      <c r="B11204" t="s">
        <v>918</v>
      </c>
      <c r="C11204" t="s">
        <v>14110</v>
      </c>
      <c r="D11204" t="s">
        <v>17424</v>
      </c>
      <c r="E11204" t="s">
        <v>27084</v>
      </c>
      <c r="F11204" t="s">
        <v>30052</v>
      </c>
      <c r="G11204" t="s">
        <v>30063</v>
      </c>
      <c r="H11204" t="s">
        <v>30067</v>
      </c>
      <c r="I11204" t="s">
        <v>3693</v>
      </c>
      <c r="J11204" t="s">
        <v>37062</v>
      </c>
      <c r="K11204" t="s">
        <v>39057</v>
      </c>
      <c r="M11204" t="s">
        <v>40241</v>
      </c>
      <c r="N11204" t="s">
        <v>43166</v>
      </c>
      <c r="O11204" t="s">
        <v>43167</v>
      </c>
      <c r="P11204">
        <v>0</v>
      </c>
      <c r="Q11204">
        <v>8</v>
      </c>
      <c r="R11204" t="s">
        <v>43180</v>
      </c>
      <c r="S11204" t="s">
        <v>43646</v>
      </c>
      <c r="T11204" t="s">
        <v>44699</v>
      </c>
      <c r="U11204" t="s">
        <v>54125</v>
      </c>
      <c r="V11204" t="s">
        <v>57086</v>
      </c>
      <c r="W11204" t="s">
        <v>40241</v>
      </c>
      <c r="X11204" t="s">
        <v>43181</v>
      </c>
    </row>
    <row r="11205" spans="1:24">
      <c r="A11205">
        <f>HYPERLINK("https://www.philgeps.gov.ph/GEPSNONPILOT/Tender/SplashBidNoticeAbstractUI.aspx?menuIndex=3&amp;refID=7063763&amp;Result=3","7063763")</f>
        <v>0</v>
      </c>
      <c r="B11205" t="s">
        <v>3080</v>
      </c>
      <c r="C11205" t="s">
        <v>14111</v>
      </c>
      <c r="D11205" t="s">
        <v>17482</v>
      </c>
      <c r="E11205" t="s">
        <v>27085</v>
      </c>
      <c r="F11205" t="s">
        <v>30052</v>
      </c>
      <c r="G11205" t="s">
        <v>30058</v>
      </c>
      <c r="H11205" t="s">
        <v>30067</v>
      </c>
      <c r="I11205" t="s">
        <v>3693</v>
      </c>
      <c r="J11205" t="s">
        <v>37063</v>
      </c>
      <c r="K11205" t="s">
        <v>39023</v>
      </c>
      <c r="M11205" t="s">
        <v>42663</v>
      </c>
      <c r="N11205" t="s">
        <v>43166</v>
      </c>
      <c r="O11205" t="s">
        <v>43167</v>
      </c>
      <c r="Q11205">
        <v>1</v>
      </c>
      <c r="R11205" t="s">
        <v>43180</v>
      </c>
      <c r="S11205" t="s">
        <v>43694</v>
      </c>
      <c r="T11205" t="s">
        <v>44689</v>
      </c>
      <c r="U11205" t="s">
        <v>54126</v>
      </c>
      <c r="W11205" t="s">
        <v>42663</v>
      </c>
      <c r="X11205" t="s">
        <v>43181</v>
      </c>
    </row>
    <row r="11206" spans="1:24">
      <c r="A11206">
        <f>HYPERLINK("https://www.philgeps.gov.ph/GEPSNONPILOT/Tender/SplashBidNoticeAbstractUI.aspx?menuIndex=3&amp;refID=7063846&amp;Result=3","7063846")</f>
        <v>0</v>
      </c>
      <c r="B11206" t="s">
        <v>1085</v>
      </c>
      <c r="C11206" t="s">
        <v>14112</v>
      </c>
      <c r="D11206" t="s">
        <v>17468</v>
      </c>
      <c r="E11206" t="s">
        <v>27086</v>
      </c>
      <c r="F11206" t="s">
        <v>30052</v>
      </c>
      <c r="G11206" t="s">
        <v>30058</v>
      </c>
      <c r="H11206" t="s">
        <v>30068</v>
      </c>
      <c r="I11206" t="s">
        <v>30068</v>
      </c>
      <c r="J11206" t="s">
        <v>30215</v>
      </c>
      <c r="K11206" t="s">
        <v>39048</v>
      </c>
      <c r="M11206" t="s">
        <v>40421</v>
      </c>
      <c r="N11206" t="s">
        <v>43166</v>
      </c>
      <c r="O11206" t="s">
        <v>43167</v>
      </c>
      <c r="P11206">
        <v>0</v>
      </c>
      <c r="Q11206">
        <v>8</v>
      </c>
      <c r="R11206" t="s">
        <v>43180</v>
      </c>
      <c r="S11206" t="s">
        <v>43646</v>
      </c>
      <c r="T11206" t="s">
        <v>44691</v>
      </c>
      <c r="U11206" t="s">
        <v>54127</v>
      </c>
      <c r="W11206" t="s">
        <v>40421</v>
      </c>
      <c r="X11206" t="s">
        <v>43181</v>
      </c>
    </row>
    <row r="11207" spans="1:24">
      <c r="A11207">
        <f>HYPERLINK("https://www.philgeps.gov.ph/GEPSNONPILOT/Tender/SplashBidNoticeAbstractUI.aspx?menuIndex=3&amp;refID=7063755&amp;Result=3","7063755")</f>
        <v>0</v>
      </c>
      <c r="B11207" t="s">
        <v>2852</v>
      </c>
      <c r="C11207" t="s">
        <v>14113</v>
      </c>
      <c r="D11207" t="s">
        <v>17459</v>
      </c>
      <c r="E11207" t="s">
        <v>27087</v>
      </c>
      <c r="F11207" t="s">
        <v>30052</v>
      </c>
      <c r="G11207" t="s">
        <v>30058</v>
      </c>
      <c r="H11207" t="s">
        <v>30067</v>
      </c>
      <c r="I11207" t="s">
        <v>3693</v>
      </c>
      <c r="J11207" t="s">
        <v>37064</v>
      </c>
      <c r="K11207" t="s">
        <v>39023</v>
      </c>
      <c r="M11207" t="s">
        <v>42398</v>
      </c>
      <c r="N11207" t="s">
        <v>43166</v>
      </c>
      <c r="O11207" t="s">
        <v>43167</v>
      </c>
      <c r="P11207">
        <v>0</v>
      </c>
      <c r="Q11207">
        <v>3</v>
      </c>
      <c r="R11207" t="s">
        <v>43180</v>
      </c>
      <c r="S11207" t="s">
        <v>43646</v>
      </c>
      <c r="T11207" t="s">
        <v>44764</v>
      </c>
      <c r="U11207" t="s">
        <v>53441</v>
      </c>
      <c r="W11207" t="s">
        <v>42398</v>
      </c>
      <c r="X11207" t="s">
        <v>43181</v>
      </c>
    </row>
    <row r="11208" spans="1:24">
      <c r="A11208">
        <f>HYPERLINK("https://www.philgeps.gov.ph/GEPSNONPILOT/Tender/SplashBidNoticeAbstractUI.aspx?menuIndex=3&amp;refID=7064013&amp;Result=3","7064013")</f>
        <v>0</v>
      </c>
      <c r="B11208" t="s">
        <v>2660</v>
      </c>
      <c r="C11208" t="s">
        <v>14114</v>
      </c>
      <c r="D11208" t="s">
        <v>17415</v>
      </c>
      <c r="E11208" t="s">
        <v>27088</v>
      </c>
      <c r="F11208" t="s">
        <v>30052</v>
      </c>
      <c r="G11208" t="s">
        <v>30059</v>
      </c>
      <c r="H11208" t="s">
        <v>15498</v>
      </c>
      <c r="I11208" t="s">
        <v>9238</v>
      </c>
      <c r="J11208" t="s">
        <v>30230</v>
      </c>
      <c r="K11208" t="s">
        <v>39029</v>
      </c>
      <c r="M11208" t="s">
        <v>42179</v>
      </c>
      <c r="N11208" t="s">
        <v>43166</v>
      </c>
      <c r="O11208" t="s">
        <v>43167</v>
      </c>
      <c r="Q11208">
        <v>12</v>
      </c>
      <c r="R11208" t="s">
        <v>43180</v>
      </c>
      <c r="S11208" t="s">
        <v>43574</v>
      </c>
      <c r="T11208" t="s">
        <v>44721</v>
      </c>
      <c r="U11208" t="s">
        <v>54128</v>
      </c>
      <c r="V11208" t="s">
        <v>58088</v>
      </c>
      <c r="W11208" t="s">
        <v>42179</v>
      </c>
      <c r="X11208" t="s">
        <v>43181</v>
      </c>
    </row>
    <row r="11209" spans="1:24">
      <c r="A11209">
        <f>HYPERLINK("https://www.philgeps.gov.ph/GEPSNONPILOT/Tender/SplashBidNoticeAbstractUI.aspx?menuIndex=3&amp;refID=7063855&amp;Result=3","7063855")</f>
        <v>0</v>
      </c>
      <c r="B11209" t="s">
        <v>3086</v>
      </c>
      <c r="C11209" t="s">
        <v>14115</v>
      </c>
      <c r="D11209" t="s">
        <v>17435</v>
      </c>
      <c r="E11209" t="s">
        <v>27089</v>
      </c>
      <c r="F11209" t="s">
        <v>30052</v>
      </c>
      <c r="G11209" t="s">
        <v>30058</v>
      </c>
      <c r="H11209" t="s">
        <v>15498</v>
      </c>
      <c r="I11209" t="s">
        <v>30200</v>
      </c>
      <c r="J11209" t="s">
        <v>30588</v>
      </c>
      <c r="K11209" t="s">
        <v>39095</v>
      </c>
      <c r="M11209" t="s">
        <v>42670</v>
      </c>
      <c r="N11209" t="s">
        <v>43166</v>
      </c>
      <c r="O11209" t="s">
        <v>43167</v>
      </c>
      <c r="Q11209">
        <v>1</v>
      </c>
      <c r="R11209" t="s">
        <v>43180</v>
      </c>
      <c r="S11209" t="s">
        <v>43695</v>
      </c>
      <c r="T11209" t="s">
        <v>45139</v>
      </c>
      <c r="U11209" t="s">
        <v>54129</v>
      </c>
      <c r="W11209" t="s">
        <v>42670</v>
      </c>
      <c r="X11209" t="s">
        <v>43181</v>
      </c>
    </row>
    <row r="11210" spans="1:24">
      <c r="A11210">
        <f>HYPERLINK("https://www.philgeps.gov.ph/GEPSNONPILOT/Tender/SplashBidNoticeAbstractUI.aspx?menuIndex=3&amp;refID=7063997&amp;Result=3","7063997")</f>
        <v>0</v>
      </c>
      <c r="B11210" t="s">
        <v>2852</v>
      </c>
      <c r="C11210" t="s">
        <v>14116</v>
      </c>
      <c r="D11210" t="s">
        <v>17459</v>
      </c>
      <c r="E11210" t="s">
        <v>27090</v>
      </c>
      <c r="F11210" t="s">
        <v>30052</v>
      </c>
      <c r="G11210" t="s">
        <v>30058</v>
      </c>
      <c r="H11210" t="s">
        <v>30067</v>
      </c>
      <c r="I11210" t="s">
        <v>3693</v>
      </c>
      <c r="J11210" t="s">
        <v>37065</v>
      </c>
      <c r="K11210" t="s">
        <v>39031</v>
      </c>
      <c r="M11210" t="s">
        <v>42398</v>
      </c>
      <c r="N11210" t="s">
        <v>43166</v>
      </c>
      <c r="O11210" t="s">
        <v>43167</v>
      </c>
      <c r="P11210">
        <v>0</v>
      </c>
      <c r="Q11210">
        <v>3</v>
      </c>
      <c r="R11210" t="s">
        <v>43180</v>
      </c>
      <c r="S11210" t="s">
        <v>43646</v>
      </c>
      <c r="T11210" t="s">
        <v>44689</v>
      </c>
      <c r="U11210" t="s">
        <v>53441</v>
      </c>
      <c r="W11210" t="s">
        <v>42398</v>
      </c>
      <c r="X11210" t="s">
        <v>43181</v>
      </c>
    </row>
    <row r="11211" spans="1:24">
      <c r="A11211">
        <f>HYPERLINK("https://www.philgeps.gov.ph/GEPSNONPILOT/Tender/SplashBidNoticeAbstractUI.aspx?menuIndex=3&amp;refID=7063992&amp;Result=3","7063992")</f>
        <v>0</v>
      </c>
      <c r="B11211" t="s">
        <v>3087</v>
      </c>
      <c r="C11211" t="s">
        <v>14117</v>
      </c>
      <c r="D11211" t="s">
        <v>17479</v>
      </c>
      <c r="E11211" t="s">
        <v>27091</v>
      </c>
      <c r="F11211" t="s">
        <v>30052</v>
      </c>
      <c r="G11211" t="s">
        <v>30058</v>
      </c>
      <c r="H11211" t="s">
        <v>30067</v>
      </c>
      <c r="I11211" t="s">
        <v>3693</v>
      </c>
      <c r="J11211" t="s">
        <v>37066</v>
      </c>
      <c r="K11211" t="s">
        <v>39022</v>
      </c>
      <c r="M11211" t="s">
        <v>42671</v>
      </c>
      <c r="N11211" t="s">
        <v>43166</v>
      </c>
      <c r="O11211" t="s">
        <v>43167</v>
      </c>
      <c r="P11211">
        <v>0</v>
      </c>
      <c r="Q11211">
        <v>4</v>
      </c>
      <c r="R11211" t="s">
        <v>43180</v>
      </c>
      <c r="S11211" t="s">
        <v>43646</v>
      </c>
      <c r="T11211" t="s">
        <v>44704</v>
      </c>
      <c r="U11211" t="s">
        <v>54130</v>
      </c>
      <c r="W11211" t="s">
        <v>42671</v>
      </c>
      <c r="X11211" t="s">
        <v>43181</v>
      </c>
    </row>
    <row r="11212" spans="1:24">
      <c r="A11212">
        <f>HYPERLINK("https://www.philgeps.gov.ph/GEPSNONPILOT/Tender/SplashBidNoticeAbstractUI.aspx?menuIndex=3&amp;refID=7063863&amp;Result=3","7063863")</f>
        <v>0</v>
      </c>
      <c r="B11212" t="s">
        <v>1528</v>
      </c>
      <c r="C11212" t="s">
        <v>14118</v>
      </c>
      <c r="D11212" t="s">
        <v>17455</v>
      </c>
      <c r="E11212" t="s">
        <v>27092</v>
      </c>
      <c r="F11212" t="s">
        <v>30052</v>
      </c>
      <c r="G11212" t="s">
        <v>30058</v>
      </c>
      <c r="H11212" t="s">
        <v>30067</v>
      </c>
      <c r="I11212" t="s">
        <v>3693</v>
      </c>
      <c r="J11212" t="s">
        <v>37067</v>
      </c>
      <c r="K11212" t="s">
        <v>39057</v>
      </c>
      <c r="M11212" t="s">
        <v>40914</v>
      </c>
      <c r="N11212" t="s">
        <v>43166</v>
      </c>
      <c r="O11212" t="s">
        <v>43167</v>
      </c>
      <c r="P11212">
        <v>0</v>
      </c>
      <c r="Q11212">
        <v>4</v>
      </c>
      <c r="R11212" t="s">
        <v>43180</v>
      </c>
      <c r="S11212" t="s">
        <v>43646</v>
      </c>
      <c r="T11212" t="s">
        <v>44704</v>
      </c>
      <c r="U11212" t="s">
        <v>54131</v>
      </c>
      <c r="W11212" t="s">
        <v>40914</v>
      </c>
      <c r="X11212" t="s">
        <v>43181</v>
      </c>
    </row>
    <row r="11213" spans="1:24">
      <c r="A11213">
        <f>HYPERLINK("https://www.philgeps.gov.ph/GEPSNONPILOT/Tender/SplashBidNoticeAbstractUI.aspx?menuIndex=3&amp;refID=7063978&amp;Result=3","7063978")</f>
        <v>0</v>
      </c>
      <c r="B11213" t="s">
        <v>767</v>
      </c>
      <c r="C11213" t="s">
        <v>14119</v>
      </c>
      <c r="D11213" t="s">
        <v>17487</v>
      </c>
      <c r="E11213" t="s">
        <v>27093</v>
      </c>
      <c r="F11213" t="s">
        <v>30052</v>
      </c>
      <c r="G11213" t="s">
        <v>30058</v>
      </c>
      <c r="H11213" t="s">
        <v>15498</v>
      </c>
      <c r="I11213" t="s">
        <v>30126</v>
      </c>
      <c r="J11213" t="s">
        <v>37068</v>
      </c>
      <c r="K11213" t="s">
        <v>39046</v>
      </c>
      <c r="M11213" t="s">
        <v>40081</v>
      </c>
      <c r="N11213" t="s">
        <v>43166</v>
      </c>
      <c r="O11213" t="s">
        <v>43167</v>
      </c>
      <c r="P11213">
        <v>0</v>
      </c>
      <c r="Q11213">
        <v>3</v>
      </c>
      <c r="R11213" t="s">
        <v>43180</v>
      </c>
      <c r="S11213" t="s">
        <v>43646</v>
      </c>
      <c r="T11213" t="s">
        <v>45068</v>
      </c>
      <c r="U11213" t="s">
        <v>54132</v>
      </c>
      <c r="V11213" t="s">
        <v>57027</v>
      </c>
      <c r="W11213" t="s">
        <v>40081</v>
      </c>
      <c r="X11213" t="s">
        <v>43181</v>
      </c>
    </row>
    <row r="11214" spans="1:24">
      <c r="A11214">
        <f>HYPERLINK("https://www.philgeps.gov.ph/GEPSNONPILOT/Tender/SplashBidNoticeAbstractUI.aspx?menuIndex=3&amp;refID=7063973&amp;Result=3","7063973")</f>
        <v>0</v>
      </c>
      <c r="B11214" t="s">
        <v>3087</v>
      </c>
      <c r="C11214" t="s">
        <v>14120</v>
      </c>
      <c r="D11214" t="s">
        <v>17479</v>
      </c>
      <c r="E11214" t="s">
        <v>27094</v>
      </c>
      <c r="F11214" t="s">
        <v>30052</v>
      </c>
      <c r="G11214" t="s">
        <v>30058</v>
      </c>
      <c r="H11214" t="s">
        <v>30067</v>
      </c>
      <c r="I11214" t="s">
        <v>3693</v>
      </c>
      <c r="J11214" t="s">
        <v>37069</v>
      </c>
      <c r="K11214" t="s">
        <v>39022</v>
      </c>
      <c r="M11214" t="s">
        <v>42671</v>
      </c>
      <c r="N11214" t="s">
        <v>43166</v>
      </c>
      <c r="O11214" t="s">
        <v>43167</v>
      </c>
      <c r="P11214">
        <v>0</v>
      </c>
      <c r="Q11214">
        <v>4</v>
      </c>
      <c r="R11214" t="s">
        <v>43180</v>
      </c>
      <c r="S11214" t="s">
        <v>43646</v>
      </c>
      <c r="T11214" t="s">
        <v>44704</v>
      </c>
      <c r="U11214" t="s">
        <v>54133</v>
      </c>
      <c r="W11214" t="s">
        <v>42671</v>
      </c>
      <c r="X11214" t="s">
        <v>43181</v>
      </c>
    </row>
    <row r="11215" spans="1:24">
      <c r="A11215">
        <f>HYPERLINK("https://www.philgeps.gov.ph/GEPSNONPILOT/Tender/SplashBidNoticeAbstractUI.aspx?menuIndex=3&amp;refID=7063957&amp;Result=3","7063957")</f>
        <v>0</v>
      </c>
      <c r="B11215" t="s">
        <v>3088</v>
      </c>
      <c r="C11215" t="s">
        <v>14121</v>
      </c>
      <c r="D11215" t="s">
        <v>17445</v>
      </c>
      <c r="E11215" t="s">
        <v>27095</v>
      </c>
      <c r="F11215" t="s">
        <v>30052</v>
      </c>
      <c r="G11215" t="s">
        <v>30058</v>
      </c>
      <c r="H11215" t="s">
        <v>15498</v>
      </c>
      <c r="I11215" t="s">
        <v>30096</v>
      </c>
      <c r="J11215" t="s">
        <v>37070</v>
      </c>
      <c r="K11215" t="s">
        <v>39025</v>
      </c>
      <c r="M11215" t="s">
        <v>42672</v>
      </c>
      <c r="N11215" t="s">
        <v>43166</v>
      </c>
      <c r="O11215" t="s">
        <v>43167</v>
      </c>
      <c r="Q11215">
        <v>2</v>
      </c>
      <c r="R11215" t="s">
        <v>43180</v>
      </c>
      <c r="S11215" t="s">
        <v>43696</v>
      </c>
      <c r="T11215" t="s">
        <v>44681</v>
      </c>
      <c r="U11215" t="s">
        <v>54134</v>
      </c>
      <c r="W11215" t="s">
        <v>42672</v>
      </c>
      <c r="X11215" t="s">
        <v>43181</v>
      </c>
    </row>
    <row r="11216" spans="1:24">
      <c r="A11216">
        <f>HYPERLINK("https://www.philgeps.gov.ph/GEPSNONPILOT/Tender/SplashBidNoticeAbstractUI.aspx?menuIndex=3&amp;refID=7063954&amp;Result=3","7063954")</f>
        <v>0</v>
      </c>
      <c r="B11216" t="s">
        <v>543</v>
      </c>
      <c r="C11216" t="s">
        <v>14122</v>
      </c>
      <c r="E11216" t="s">
        <v>27096</v>
      </c>
      <c r="F11216" t="s">
        <v>30052</v>
      </c>
      <c r="G11216" t="s">
        <v>30058</v>
      </c>
      <c r="H11216" t="s">
        <v>30067</v>
      </c>
      <c r="I11216" t="s">
        <v>3693</v>
      </c>
      <c r="J11216" t="s">
        <v>37071</v>
      </c>
      <c r="K11216" t="s">
        <v>39025</v>
      </c>
      <c r="M11216" t="s">
        <v>39845</v>
      </c>
      <c r="N11216" t="s">
        <v>43166</v>
      </c>
      <c r="O11216" t="s">
        <v>43167</v>
      </c>
      <c r="P11216">
        <v>0</v>
      </c>
      <c r="Q11216">
        <v>2</v>
      </c>
      <c r="R11216" t="s">
        <v>43180</v>
      </c>
      <c r="S11216" t="s">
        <v>43646</v>
      </c>
      <c r="T11216" t="s">
        <v>44725</v>
      </c>
      <c r="U11216" t="s">
        <v>54135</v>
      </c>
      <c r="W11216" t="s">
        <v>39845</v>
      </c>
      <c r="X11216" t="s">
        <v>43181</v>
      </c>
    </row>
    <row r="11217" spans="1:24">
      <c r="A11217">
        <f>HYPERLINK("https://www.philgeps.gov.ph/GEPSNONPILOT/Tender/SplashBidNoticeAbstractUI.aspx?menuIndex=3&amp;refID=7063952&amp;Result=3","7063952")</f>
        <v>0</v>
      </c>
      <c r="B11217" t="s">
        <v>164</v>
      </c>
      <c r="C11217" t="s">
        <v>14123</v>
      </c>
      <c r="D11217" t="s">
        <v>17473</v>
      </c>
      <c r="E11217" t="s">
        <v>27097</v>
      </c>
      <c r="F11217" t="s">
        <v>30052</v>
      </c>
      <c r="G11217" t="s">
        <v>30058</v>
      </c>
      <c r="H11217" t="s">
        <v>30067</v>
      </c>
      <c r="I11217" t="s">
        <v>3693</v>
      </c>
      <c r="J11217" t="s">
        <v>37072</v>
      </c>
      <c r="K11217" t="s">
        <v>39057</v>
      </c>
      <c r="M11217" t="s">
        <v>39453</v>
      </c>
      <c r="N11217" t="s">
        <v>43166</v>
      </c>
      <c r="O11217" t="s">
        <v>43167</v>
      </c>
      <c r="P11217">
        <v>0</v>
      </c>
      <c r="Q11217">
        <v>1</v>
      </c>
      <c r="R11217" t="s">
        <v>43180</v>
      </c>
      <c r="S11217" t="s">
        <v>43646</v>
      </c>
      <c r="T11217" t="s">
        <v>44689</v>
      </c>
      <c r="U11217" t="s">
        <v>54136</v>
      </c>
      <c r="W11217" t="s">
        <v>39453</v>
      </c>
      <c r="X11217" t="s">
        <v>43181</v>
      </c>
    </row>
    <row r="11218" spans="1:24">
      <c r="A11218">
        <f>HYPERLINK("https://www.philgeps.gov.ph/GEPSNONPILOT/Tender/SplashBidNoticeAbstractUI.aspx?menuIndex=3&amp;refID=7063965&amp;Result=3","7063965")</f>
        <v>0</v>
      </c>
      <c r="B11218" t="s">
        <v>3089</v>
      </c>
      <c r="C11218" t="s">
        <v>14124</v>
      </c>
      <c r="D11218" t="s">
        <v>17470</v>
      </c>
      <c r="E11218" t="s">
        <v>27098</v>
      </c>
      <c r="F11218" t="s">
        <v>30052</v>
      </c>
      <c r="G11218" t="s">
        <v>30058</v>
      </c>
      <c r="H11218" t="s">
        <v>15498</v>
      </c>
      <c r="I11218" t="s">
        <v>30106</v>
      </c>
      <c r="J11218" t="s">
        <v>37073</v>
      </c>
      <c r="K11218" t="s">
        <v>39046</v>
      </c>
      <c r="M11218" t="s">
        <v>42673</v>
      </c>
      <c r="N11218" t="s">
        <v>43166</v>
      </c>
      <c r="O11218" t="s">
        <v>43167</v>
      </c>
      <c r="P11218">
        <v>0</v>
      </c>
      <c r="Q11218">
        <v>0</v>
      </c>
      <c r="R11218" t="s">
        <v>43180</v>
      </c>
      <c r="S11218" t="s">
        <v>43646</v>
      </c>
      <c r="T11218" t="s">
        <v>44753</v>
      </c>
      <c r="U11218" t="s">
        <v>54137</v>
      </c>
      <c r="W11218" t="s">
        <v>42673</v>
      </c>
      <c r="X11218" t="s">
        <v>43181</v>
      </c>
    </row>
    <row r="11219" spans="1:24">
      <c r="A11219">
        <f>HYPERLINK("https://www.philgeps.gov.ph/GEPSNONPILOT/Tender/SplashBidNoticeAbstractUI.aspx?menuIndex=3&amp;refID=7064005&amp;Result=3","7064005")</f>
        <v>0</v>
      </c>
      <c r="B11219" t="s">
        <v>841</v>
      </c>
      <c r="C11219" t="s">
        <v>14125</v>
      </c>
      <c r="D11219" t="s">
        <v>17456</v>
      </c>
      <c r="E11219" t="s">
        <v>27099</v>
      </c>
      <c r="F11219" t="s">
        <v>30052</v>
      </c>
      <c r="G11219" t="s">
        <v>30058</v>
      </c>
      <c r="H11219" t="s">
        <v>30067</v>
      </c>
      <c r="I11219" t="s">
        <v>3693</v>
      </c>
      <c r="J11219" t="s">
        <v>37074</v>
      </c>
      <c r="K11219" t="s">
        <v>39031</v>
      </c>
      <c r="M11219" t="s">
        <v>40158</v>
      </c>
      <c r="N11219" t="s">
        <v>43166</v>
      </c>
      <c r="O11219" t="s">
        <v>43167</v>
      </c>
      <c r="P11219">
        <v>0</v>
      </c>
      <c r="Q11219">
        <v>3</v>
      </c>
      <c r="R11219" t="s">
        <v>43180</v>
      </c>
      <c r="S11219" t="s">
        <v>43646</v>
      </c>
      <c r="T11219" t="s">
        <v>44763</v>
      </c>
      <c r="U11219" t="s">
        <v>54138</v>
      </c>
      <c r="W11219" t="s">
        <v>40158</v>
      </c>
      <c r="X11219" t="s">
        <v>43181</v>
      </c>
    </row>
    <row r="11220" spans="1:24">
      <c r="A11220">
        <f>HYPERLINK("https://www.philgeps.gov.ph/GEPSNONPILOT/Tender/SplashBidNoticeAbstractUI.aspx?menuIndex=3&amp;refID=7063943&amp;Result=3","7063943")</f>
        <v>0</v>
      </c>
      <c r="B11220" t="s">
        <v>918</v>
      </c>
      <c r="C11220" t="s">
        <v>14126</v>
      </c>
      <c r="D11220" t="s">
        <v>17424</v>
      </c>
      <c r="E11220" t="s">
        <v>27100</v>
      </c>
      <c r="F11220" t="s">
        <v>30052</v>
      </c>
      <c r="G11220" t="s">
        <v>30063</v>
      </c>
      <c r="H11220" t="s">
        <v>30067</v>
      </c>
      <c r="I11220" t="s">
        <v>3693</v>
      </c>
      <c r="J11220" t="s">
        <v>32877</v>
      </c>
      <c r="K11220" t="s">
        <v>39026</v>
      </c>
      <c r="M11220" t="s">
        <v>40241</v>
      </c>
      <c r="N11220" t="s">
        <v>43166</v>
      </c>
      <c r="O11220" t="s">
        <v>43167</v>
      </c>
      <c r="P11220">
        <v>0</v>
      </c>
      <c r="Q11220">
        <v>8</v>
      </c>
      <c r="R11220" t="s">
        <v>43180</v>
      </c>
      <c r="S11220" t="s">
        <v>43646</v>
      </c>
      <c r="T11220" t="s">
        <v>44699</v>
      </c>
      <c r="U11220" t="s">
        <v>54139</v>
      </c>
      <c r="V11220" t="s">
        <v>57086</v>
      </c>
      <c r="W11220" t="s">
        <v>40241</v>
      </c>
      <c r="X11220" t="s">
        <v>43181</v>
      </c>
    </row>
    <row r="11221" spans="1:24">
      <c r="A11221">
        <f>HYPERLINK("https://www.philgeps.gov.ph/GEPSNONPILOT/Tender/SplashBidNoticeAbstractUI.aspx?menuIndex=3&amp;refID=7063657&amp;Result=3","7063657")</f>
        <v>0</v>
      </c>
      <c r="B11221" t="s">
        <v>684</v>
      </c>
      <c r="C11221" t="s">
        <v>14127</v>
      </c>
      <c r="D11221" t="s">
        <v>17473</v>
      </c>
      <c r="E11221" t="s">
        <v>14127</v>
      </c>
      <c r="F11221" t="s">
        <v>30052</v>
      </c>
      <c r="G11221" t="s">
        <v>30061</v>
      </c>
      <c r="H11221" t="s">
        <v>15498</v>
      </c>
      <c r="I11221" t="s">
        <v>30081</v>
      </c>
      <c r="J11221" t="s">
        <v>31913</v>
      </c>
      <c r="K11221" t="s">
        <v>39029</v>
      </c>
      <c r="M11221" t="s">
        <v>42644</v>
      </c>
      <c r="N11221" t="s">
        <v>43166</v>
      </c>
      <c r="O11221" t="s">
        <v>43167</v>
      </c>
      <c r="P11221">
        <v>0</v>
      </c>
      <c r="Q11221">
        <v>0</v>
      </c>
      <c r="R11221" t="s">
        <v>43180</v>
      </c>
      <c r="S11221" t="s">
        <v>43646</v>
      </c>
      <c r="T11221" t="s">
        <v>44822</v>
      </c>
      <c r="U11221" t="s">
        <v>54065</v>
      </c>
      <c r="W11221" t="s">
        <v>42644</v>
      </c>
      <c r="X11221" t="s">
        <v>43181</v>
      </c>
    </row>
    <row r="11222" spans="1:24">
      <c r="A11222">
        <f>HYPERLINK("https://www.philgeps.gov.ph/GEPSNONPILOT/Tender/SplashBidNoticeAbstractUI.aspx?menuIndex=3&amp;refID=7064130&amp;Result=3","7064130")</f>
        <v>0</v>
      </c>
      <c r="B11222" t="s">
        <v>3090</v>
      </c>
      <c r="C11222" t="s">
        <v>14128</v>
      </c>
      <c r="D11222" t="s">
        <v>17453</v>
      </c>
      <c r="E11222" t="s">
        <v>27101</v>
      </c>
      <c r="F11222" t="s">
        <v>30052</v>
      </c>
      <c r="G11222" t="s">
        <v>30058</v>
      </c>
      <c r="H11222" t="s">
        <v>30067</v>
      </c>
      <c r="I11222" t="s">
        <v>3693</v>
      </c>
      <c r="J11222" t="s">
        <v>30227</v>
      </c>
      <c r="K11222" t="s">
        <v>39023</v>
      </c>
      <c r="M11222" t="s">
        <v>42674</v>
      </c>
      <c r="N11222" t="s">
        <v>43166</v>
      </c>
      <c r="O11222" t="s">
        <v>43167</v>
      </c>
      <c r="P11222">
        <v>0</v>
      </c>
      <c r="Q11222">
        <v>0</v>
      </c>
      <c r="R11222" t="s">
        <v>43180</v>
      </c>
      <c r="S11222" t="s">
        <v>43646</v>
      </c>
      <c r="T11222" t="s">
        <v>44699</v>
      </c>
      <c r="U11222" t="s">
        <v>54140</v>
      </c>
      <c r="V11222" t="s">
        <v>58089</v>
      </c>
      <c r="W11222" t="s">
        <v>42674</v>
      </c>
      <c r="X11222" t="s">
        <v>43181</v>
      </c>
    </row>
    <row r="11223" spans="1:24">
      <c r="A11223">
        <f>HYPERLINK("https://www.philgeps.gov.ph/GEPSNONPILOT/Tender/SplashBidNoticeAbstractUI.aspx?menuIndex=3&amp;refID=7064103&amp;Result=3","7064103")</f>
        <v>0</v>
      </c>
      <c r="B11223" t="s">
        <v>3091</v>
      </c>
      <c r="C11223" t="s">
        <v>14129</v>
      </c>
      <c r="D11223" t="s">
        <v>17427</v>
      </c>
      <c r="E11223" t="s">
        <v>27102</v>
      </c>
      <c r="F11223" t="s">
        <v>30052</v>
      </c>
      <c r="G11223" t="s">
        <v>30058</v>
      </c>
      <c r="H11223" t="s">
        <v>15498</v>
      </c>
      <c r="I11223" t="s">
        <v>30150</v>
      </c>
      <c r="J11223" t="s">
        <v>33190</v>
      </c>
      <c r="K11223" t="s">
        <v>39029</v>
      </c>
      <c r="M11223" t="s">
        <v>42675</v>
      </c>
      <c r="N11223" t="s">
        <v>43166</v>
      </c>
      <c r="O11223" t="s">
        <v>43167</v>
      </c>
      <c r="P11223">
        <v>0</v>
      </c>
      <c r="Q11223">
        <v>3</v>
      </c>
      <c r="R11223" t="s">
        <v>43180</v>
      </c>
      <c r="S11223" t="s">
        <v>43646</v>
      </c>
      <c r="T11223" t="s">
        <v>44750</v>
      </c>
      <c r="U11223" t="s">
        <v>54141</v>
      </c>
      <c r="W11223" t="s">
        <v>42675</v>
      </c>
      <c r="X11223" t="s">
        <v>43181</v>
      </c>
    </row>
    <row r="11224" spans="1:24">
      <c r="A11224">
        <f>HYPERLINK("https://www.philgeps.gov.ph/GEPSNONPILOT/Tender/SplashBidNoticeAbstractUI.aspx?menuIndex=3&amp;refID=7063934&amp;Result=3","7063934")</f>
        <v>0</v>
      </c>
      <c r="B11224" t="s">
        <v>2838</v>
      </c>
      <c r="C11224" t="s">
        <v>14130</v>
      </c>
      <c r="D11224" t="s">
        <v>17445</v>
      </c>
      <c r="E11224" t="s">
        <v>27103</v>
      </c>
      <c r="F11224" t="s">
        <v>30055</v>
      </c>
      <c r="G11224" t="s">
        <v>30058</v>
      </c>
      <c r="H11224" t="s">
        <v>30067</v>
      </c>
      <c r="I11224" t="s">
        <v>30083</v>
      </c>
      <c r="J11224" t="s">
        <v>31207</v>
      </c>
      <c r="K11224" t="s">
        <v>39022</v>
      </c>
      <c r="M11224" t="s">
        <v>42384</v>
      </c>
      <c r="N11224" t="s">
        <v>43166</v>
      </c>
      <c r="O11224" t="s">
        <v>43167</v>
      </c>
      <c r="P11224">
        <v>0</v>
      </c>
      <c r="Q11224">
        <v>0</v>
      </c>
      <c r="R11224" t="s">
        <v>43180</v>
      </c>
      <c r="S11224" t="s">
        <v>43646</v>
      </c>
      <c r="T11224" t="s">
        <v>44718</v>
      </c>
      <c r="U11224" t="s">
        <v>54142</v>
      </c>
      <c r="V11224" t="s">
        <v>57996</v>
      </c>
      <c r="W11224" t="s">
        <v>42384</v>
      </c>
      <c r="X11224" t="s">
        <v>43181</v>
      </c>
    </row>
    <row r="11225" spans="1:24">
      <c r="A11225">
        <f>HYPERLINK("https://www.philgeps.gov.ph/GEPSNONPILOT/Tender/SplashBidNoticeAbstractUI.aspx?menuIndex=3&amp;refID=7064093&amp;Result=3","7064093")</f>
        <v>0</v>
      </c>
      <c r="B11225" t="s">
        <v>792</v>
      </c>
      <c r="C11225" t="s">
        <v>14131</v>
      </c>
      <c r="D11225" t="s">
        <v>17415</v>
      </c>
      <c r="E11225" t="s">
        <v>27104</v>
      </c>
      <c r="F11225" t="s">
        <v>30052</v>
      </c>
      <c r="G11225" t="s">
        <v>30058</v>
      </c>
      <c r="H11225" t="s">
        <v>15498</v>
      </c>
      <c r="I11225" t="s">
        <v>12885</v>
      </c>
      <c r="J11225" t="s">
        <v>37075</v>
      </c>
      <c r="K11225" t="s">
        <v>39025</v>
      </c>
      <c r="M11225" t="s">
        <v>41765</v>
      </c>
      <c r="N11225" t="s">
        <v>43166</v>
      </c>
      <c r="O11225" t="s">
        <v>43167</v>
      </c>
      <c r="Q11225">
        <v>6</v>
      </c>
      <c r="R11225" t="s">
        <v>43180</v>
      </c>
      <c r="S11225" t="s">
        <v>43697</v>
      </c>
      <c r="T11225" t="s">
        <v>44699</v>
      </c>
      <c r="U11225" t="s">
        <v>54143</v>
      </c>
      <c r="W11225" t="s">
        <v>41765</v>
      </c>
      <c r="X11225" t="s">
        <v>43181</v>
      </c>
    </row>
    <row r="11226" spans="1:24">
      <c r="A11226">
        <f>HYPERLINK("https://www.philgeps.gov.ph/GEPSNONPILOT/Tender/SplashBidNoticeAbstractUI.aspx?menuIndex=3&amp;refID=7063931&amp;Result=3","7063931")</f>
        <v>0</v>
      </c>
      <c r="B11226" t="s">
        <v>3092</v>
      </c>
      <c r="C11226" t="s">
        <v>14132</v>
      </c>
      <c r="D11226" t="s">
        <v>17415</v>
      </c>
      <c r="E11226" t="s">
        <v>27105</v>
      </c>
      <c r="F11226" t="s">
        <v>30052</v>
      </c>
      <c r="G11226" t="s">
        <v>30058</v>
      </c>
      <c r="H11226" t="s">
        <v>30069</v>
      </c>
      <c r="I11226" t="s">
        <v>30200</v>
      </c>
      <c r="J11226" t="s">
        <v>30281</v>
      </c>
      <c r="K11226" t="s">
        <v>39035</v>
      </c>
      <c r="M11226" t="s">
        <v>42676</v>
      </c>
      <c r="N11226" t="s">
        <v>43166</v>
      </c>
      <c r="O11226" t="s">
        <v>43167</v>
      </c>
      <c r="Q11226">
        <v>3</v>
      </c>
      <c r="R11226" t="s">
        <v>43180</v>
      </c>
      <c r="S11226" t="s">
        <v>43698</v>
      </c>
      <c r="T11226" t="s">
        <v>44818</v>
      </c>
      <c r="U11226" t="s">
        <v>54144</v>
      </c>
      <c r="W11226" t="s">
        <v>58702</v>
      </c>
      <c r="X11226" t="s">
        <v>43181</v>
      </c>
    </row>
    <row r="11227" spans="1:24">
      <c r="A11227">
        <f>HYPERLINK("https://www.philgeps.gov.ph/GEPSNONPILOT/Tender/SplashBidNoticeAbstractUI.aspx?menuIndex=3&amp;refID=7064088&amp;Result=3","7064088")</f>
        <v>0</v>
      </c>
      <c r="B11227" t="s">
        <v>3093</v>
      </c>
      <c r="C11227" t="s">
        <v>14133</v>
      </c>
      <c r="D11227" t="s">
        <v>17461</v>
      </c>
      <c r="E11227" t="s">
        <v>27106</v>
      </c>
      <c r="F11227" t="s">
        <v>30052</v>
      </c>
      <c r="G11227" t="s">
        <v>30058</v>
      </c>
      <c r="H11227" t="s">
        <v>30069</v>
      </c>
      <c r="I11227" t="s">
        <v>30099</v>
      </c>
      <c r="J11227" t="s">
        <v>37076</v>
      </c>
      <c r="K11227" t="s">
        <v>39059</v>
      </c>
      <c r="M11227" t="s">
        <v>42677</v>
      </c>
      <c r="N11227" t="s">
        <v>43166</v>
      </c>
      <c r="O11227" t="s">
        <v>43167</v>
      </c>
      <c r="P11227">
        <v>0</v>
      </c>
      <c r="Q11227">
        <v>1</v>
      </c>
      <c r="R11227" t="s">
        <v>43180</v>
      </c>
      <c r="S11227" t="s">
        <v>43646</v>
      </c>
      <c r="T11227" t="s">
        <v>44791</v>
      </c>
      <c r="U11227" t="s">
        <v>54145</v>
      </c>
      <c r="W11227" t="s">
        <v>42677</v>
      </c>
      <c r="X11227" t="s">
        <v>43181</v>
      </c>
    </row>
    <row r="11228" spans="1:24">
      <c r="A11228">
        <f>HYPERLINK("https://www.philgeps.gov.ph/GEPSNONPILOT/Tender/SplashBidNoticeAbstractUI.aspx?menuIndex=3&amp;refID=7064085&amp;Result=3","7064085")</f>
        <v>0</v>
      </c>
      <c r="B11228" t="s">
        <v>575</v>
      </c>
      <c r="C11228" t="s">
        <v>14134</v>
      </c>
      <c r="D11228" t="s">
        <v>17477</v>
      </c>
      <c r="E11228" t="s">
        <v>27107</v>
      </c>
      <c r="F11228" t="s">
        <v>30052</v>
      </c>
      <c r="G11228" t="s">
        <v>30058</v>
      </c>
      <c r="H11228" t="s">
        <v>15498</v>
      </c>
      <c r="I11228" t="s">
        <v>3852</v>
      </c>
      <c r="J11228" t="s">
        <v>37077</v>
      </c>
      <c r="K11228" t="s">
        <v>39064</v>
      </c>
      <c r="M11228" t="s">
        <v>42678</v>
      </c>
      <c r="N11228" t="s">
        <v>43166</v>
      </c>
      <c r="O11228" t="s">
        <v>43167</v>
      </c>
      <c r="Q11228">
        <v>7</v>
      </c>
      <c r="R11228" t="s">
        <v>43180</v>
      </c>
      <c r="S11228" t="s">
        <v>43699</v>
      </c>
      <c r="T11228" t="s">
        <v>44761</v>
      </c>
      <c r="U11228" t="s">
        <v>54146</v>
      </c>
      <c r="V11228" t="s">
        <v>58090</v>
      </c>
      <c r="W11228" t="s">
        <v>39877</v>
      </c>
      <c r="X11228" t="s">
        <v>43181</v>
      </c>
    </row>
    <row r="11229" spans="1:24">
      <c r="A11229">
        <f>HYPERLINK("https://www.philgeps.gov.ph/GEPSNONPILOT/Tender/SplashBidNoticeAbstractUI.aspx?menuIndex=3&amp;refID=7064072&amp;Result=3","7064072")</f>
        <v>0</v>
      </c>
      <c r="B11229" t="s">
        <v>2660</v>
      </c>
      <c r="C11229" t="s">
        <v>14135</v>
      </c>
      <c r="D11229" t="s">
        <v>17415</v>
      </c>
      <c r="E11229" t="s">
        <v>27108</v>
      </c>
      <c r="F11229" t="s">
        <v>30052</v>
      </c>
      <c r="G11229" t="s">
        <v>30059</v>
      </c>
      <c r="H11229" t="s">
        <v>15498</v>
      </c>
      <c r="I11229" t="s">
        <v>9238</v>
      </c>
      <c r="J11229" t="s">
        <v>37078</v>
      </c>
      <c r="K11229" t="s">
        <v>39029</v>
      </c>
      <c r="M11229" t="s">
        <v>42179</v>
      </c>
      <c r="N11229" t="s">
        <v>43166</v>
      </c>
      <c r="O11229" t="s">
        <v>43167</v>
      </c>
      <c r="Q11229">
        <v>24</v>
      </c>
      <c r="R11229" t="s">
        <v>43180</v>
      </c>
      <c r="S11229" t="s">
        <v>43700</v>
      </c>
      <c r="T11229" t="s">
        <v>44771</v>
      </c>
      <c r="U11229" t="s">
        <v>54147</v>
      </c>
      <c r="V11229" t="s">
        <v>58088</v>
      </c>
      <c r="W11229" t="s">
        <v>42179</v>
      </c>
      <c r="X11229" t="s">
        <v>43181</v>
      </c>
    </row>
    <row r="11230" spans="1:24">
      <c r="A11230">
        <f>HYPERLINK("https://www.philgeps.gov.ph/GEPSNONPILOT/Tender/SplashBidNoticeAbstractUI.aspx?menuIndex=3&amp;refID=7064122&amp;Result=3","7064122")</f>
        <v>0</v>
      </c>
      <c r="B11230" t="s">
        <v>3090</v>
      </c>
      <c r="C11230" t="s">
        <v>14136</v>
      </c>
      <c r="D11230" t="s">
        <v>17453</v>
      </c>
      <c r="E11230" t="s">
        <v>27109</v>
      </c>
      <c r="F11230" t="s">
        <v>30052</v>
      </c>
      <c r="G11230" t="s">
        <v>30058</v>
      </c>
      <c r="H11230" t="s">
        <v>30067</v>
      </c>
      <c r="I11230" t="s">
        <v>3693</v>
      </c>
      <c r="J11230" t="s">
        <v>30605</v>
      </c>
      <c r="K11230" t="s">
        <v>39029</v>
      </c>
      <c r="M11230" t="s">
        <v>42674</v>
      </c>
      <c r="N11230" t="s">
        <v>43166</v>
      </c>
      <c r="O11230" t="s">
        <v>43167</v>
      </c>
      <c r="P11230">
        <v>0</v>
      </c>
      <c r="Q11230">
        <v>0</v>
      </c>
      <c r="R11230" t="s">
        <v>43180</v>
      </c>
      <c r="S11230" t="s">
        <v>43646</v>
      </c>
      <c r="T11230" t="s">
        <v>44699</v>
      </c>
      <c r="U11230" t="s">
        <v>54148</v>
      </c>
      <c r="V11230" t="s">
        <v>58089</v>
      </c>
      <c r="W11230" t="s">
        <v>42674</v>
      </c>
      <c r="X11230" t="s">
        <v>43181</v>
      </c>
    </row>
    <row r="11231" spans="1:24">
      <c r="A11231">
        <f>HYPERLINK("https://www.philgeps.gov.ph/GEPSNONPILOT/Tender/SplashBidNoticeAbstractUI.aspx?menuIndex=3&amp;refID=7064068&amp;Result=3","7064068")</f>
        <v>0</v>
      </c>
      <c r="B11231" t="s">
        <v>917</v>
      </c>
      <c r="C11231" t="s">
        <v>14137</v>
      </c>
      <c r="D11231" t="s">
        <v>17415</v>
      </c>
      <c r="E11231" t="s">
        <v>27110</v>
      </c>
      <c r="F11231" t="s">
        <v>30052</v>
      </c>
      <c r="G11231" t="s">
        <v>30058</v>
      </c>
      <c r="H11231" t="s">
        <v>15498</v>
      </c>
      <c r="I11231" t="s">
        <v>30127</v>
      </c>
      <c r="J11231" t="s">
        <v>37079</v>
      </c>
      <c r="K11231" t="s">
        <v>39025</v>
      </c>
      <c r="M11231" t="s">
        <v>42679</v>
      </c>
      <c r="N11231" t="s">
        <v>43166</v>
      </c>
      <c r="O11231" t="s">
        <v>43167</v>
      </c>
      <c r="P11231">
        <v>0</v>
      </c>
      <c r="Q11231">
        <v>2</v>
      </c>
      <c r="R11231" t="s">
        <v>43180</v>
      </c>
      <c r="S11231" t="s">
        <v>43646</v>
      </c>
      <c r="T11231" t="s">
        <v>44780</v>
      </c>
      <c r="U11231" t="s">
        <v>54149</v>
      </c>
      <c r="V11231" t="s">
        <v>58091</v>
      </c>
      <c r="W11231" t="s">
        <v>42679</v>
      </c>
      <c r="X11231" t="s">
        <v>43181</v>
      </c>
    </row>
    <row r="11232" spans="1:24">
      <c r="A11232">
        <f>HYPERLINK("https://www.philgeps.gov.ph/GEPSNONPILOT/Tender/SplashBidNoticeAbstractUI.aspx?menuIndex=3&amp;refID=7064066&amp;Result=3","7064066")</f>
        <v>0</v>
      </c>
      <c r="B11232" t="s">
        <v>2583</v>
      </c>
      <c r="C11232" t="s">
        <v>14138</v>
      </c>
      <c r="D11232" t="s">
        <v>17426</v>
      </c>
      <c r="E11232" t="s">
        <v>27111</v>
      </c>
      <c r="F11232" t="s">
        <v>30052</v>
      </c>
      <c r="G11232" t="s">
        <v>30058</v>
      </c>
      <c r="H11232" t="s">
        <v>30067</v>
      </c>
      <c r="I11232" t="s">
        <v>3693</v>
      </c>
      <c r="J11232" t="s">
        <v>30222</v>
      </c>
      <c r="K11232" t="s">
        <v>39023</v>
      </c>
      <c r="M11232" t="s">
        <v>42094</v>
      </c>
      <c r="N11232" t="s">
        <v>43166</v>
      </c>
      <c r="O11232" t="s">
        <v>43167</v>
      </c>
      <c r="P11232">
        <v>0</v>
      </c>
      <c r="Q11232">
        <v>1</v>
      </c>
      <c r="R11232" t="s">
        <v>43180</v>
      </c>
      <c r="S11232" t="s">
        <v>43646</v>
      </c>
      <c r="T11232" t="s">
        <v>44718</v>
      </c>
      <c r="U11232" t="s">
        <v>54150</v>
      </c>
      <c r="W11232" t="s">
        <v>42094</v>
      </c>
      <c r="X11232" t="s">
        <v>43181</v>
      </c>
    </row>
    <row r="11233" spans="1:24">
      <c r="A11233">
        <f>HYPERLINK("https://www.philgeps.gov.ph/GEPSNONPILOT/Tender/SplashBidNoticeAbstractUI.aspx?menuIndex=3&amp;refID=7063851&amp;Result=3","7063851")</f>
        <v>0</v>
      </c>
      <c r="B11233" t="s">
        <v>3094</v>
      </c>
      <c r="C11233" t="s">
        <v>14139</v>
      </c>
      <c r="D11233" t="s">
        <v>17459</v>
      </c>
      <c r="E11233" t="s">
        <v>27112</v>
      </c>
      <c r="F11233" t="s">
        <v>30052</v>
      </c>
      <c r="G11233" t="s">
        <v>30058</v>
      </c>
      <c r="H11233" t="s">
        <v>15498</v>
      </c>
      <c r="I11233" t="s">
        <v>30092</v>
      </c>
      <c r="J11233" t="s">
        <v>37080</v>
      </c>
      <c r="K11233" t="s">
        <v>39029</v>
      </c>
      <c r="M11233" t="s">
        <v>42680</v>
      </c>
      <c r="N11233" t="s">
        <v>43166</v>
      </c>
      <c r="O11233" t="s">
        <v>43167</v>
      </c>
      <c r="P11233">
        <v>0</v>
      </c>
      <c r="Q11233">
        <v>3</v>
      </c>
      <c r="R11233" t="s">
        <v>43180</v>
      </c>
      <c r="S11233" t="s">
        <v>43646</v>
      </c>
      <c r="T11233" t="s">
        <v>45152</v>
      </c>
      <c r="U11233" t="s">
        <v>54151</v>
      </c>
      <c r="V11233" t="s">
        <v>58092</v>
      </c>
      <c r="W11233" t="s">
        <v>42680</v>
      </c>
      <c r="X11233" t="s">
        <v>43181</v>
      </c>
    </row>
    <row r="11234" spans="1:24">
      <c r="A11234">
        <f>HYPERLINK("https://www.philgeps.gov.ph/GEPSNONPILOT/Tender/SplashBidNoticeAbstractUI.aspx?menuIndex=3&amp;refID=7063651&amp;Result=3","7063651")</f>
        <v>0</v>
      </c>
      <c r="B11234" t="s">
        <v>1134</v>
      </c>
      <c r="C11234" t="s">
        <v>14140</v>
      </c>
      <c r="D11234" t="s">
        <v>17459</v>
      </c>
      <c r="E11234" t="s">
        <v>27113</v>
      </c>
      <c r="F11234" t="s">
        <v>30052</v>
      </c>
      <c r="G11234" t="s">
        <v>30058</v>
      </c>
      <c r="H11234" t="s">
        <v>30067</v>
      </c>
      <c r="I11234" t="s">
        <v>3693</v>
      </c>
      <c r="J11234" t="s">
        <v>37081</v>
      </c>
      <c r="K11234" t="s">
        <v>39023</v>
      </c>
      <c r="M11234" t="s">
        <v>40749</v>
      </c>
      <c r="N11234" t="s">
        <v>43166</v>
      </c>
      <c r="O11234" t="s">
        <v>43167</v>
      </c>
      <c r="P11234">
        <v>0</v>
      </c>
      <c r="Q11234">
        <v>0</v>
      </c>
      <c r="R11234" t="s">
        <v>43180</v>
      </c>
      <c r="S11234" t="s">
        <v>43646</v>
      </c>
      <c r="T11234" t="s">
        <v>44791</v>
      </c>
      <c r="U11234" t="s">
        <v>54111</v>
      </c>
      <c r="V11234" t="s">
        <v>58048</v>
      </c>
      <c r="W11234" t="s">
        <v>40749</v>
      </c>
      <c r="X11234" t="s">
        <v>43181</v>
      </c>
    </row>
    <row r="11235" spans="1:24">
      <c r="A11235">
        <f>HYPERLINK("https://www.philgeps.gov.ph/GEPSNONPILOT/Tender/SplashBidNoticeAbstractUI.aspx?menuIndex=3&amp;refID=7064059&amp;Result=3","7064059")</f>
        <v>0</v>
      </c>
      <c r="B11235" t="s">
        <v>1945</v>
      </c>
      <c r="C11235" t="s">
        <v>14141</v>
      </c>
      <c r="D11235" t="s">
        <v>17427</v>
      </c>
      <c r="E11235" t="s">
        <v>27114</v>
      </c>
      <c r="F11235" t="s">
        <v>30052</v>
      </c>
      <c r="G11235" t="s">
        <v>30058</v>
      </c>
      <c r="H11235" t="s">
        <v>30068</v>
      </c>
      <c r="I11235" t="s">
        <v>30068</v>
      </c>
      <c r="J11235" t="s">
        <v>30215</v>
      </c>
      <c r="K11235" t="s">
        <v>39164</v>
      </c>
      <c r="M11235" t="s">
        <v>42354</v>
      </c>
      <c r="N11235" t="s">
        <v>43166</v>
      </c>
      <c r="O11235" t="s">
        <v>43167</v>
      </c>
      <c r="Q11235">
        <v>3</v>
      </c>
      <c r="R11235" t="s">
        <v>43180</v>
      </c>
      <c r="S11235" t="s">
        <v>43701</v>
      </c>
      <c r="T11235" t="s">
        <v>44968</v>
      </c>
      <c r="U11235" t="s">
        <v>54152</v>
      </c>
      <c r="W11235" t="s">
        <v>42354</v>
      </c>
      <c r="X11235" t="s">
        <v>43181</v>
      </c>
    </row>
    <row r="11236" spans="1:24">
      <c r="A11236">
        <f>HYPERLINK("https://www.philgeps.gov.ph/GEPSNONPILOT/Tender/SplashBidNoticeAbstractUI.aspx?menuIndex=3&amp;refID=7064056&amp;Result=3","7064056")</f>
        <v>0</v>
      </c>
      <c r="B11236" t="s">
        <v>3087</v>
      </c>
      <c r="C11236" t="s">
        <v>14142</v>
      </c>
      <c r="D11236" t="s">
        <v>17479</v>
      </c>
      <c r="E11236" t="s">
        <v>27115</v>
      </c>
      <c r="F11236" t="s">
        <v>30052</v>
      </c>
      <c r="G11236" t="s">
        <v>30058</v>
      </c>
      <c r="H11236" t="s">
        <v>15498</v>
      </c>
      <c r="I11236" t="s">
        <v>30150</v>
      </c>
      <c r="J11236" t="s">
        <v>30929</v>
      </c>
      <c r="K11236" t="s">
        <v>39162</v>
      </c>
      <c r="M11236" t="s">
        <v>42671</v>
      </c>
      <c r="N11236" t="s">
        <v>43166</v>
      </c>
      <c r="O11236" t="s">
        <v>43167</v>
      </c>
      <c r="P11236">
        <v>0</v>
      </c>
      <c r="Q11236">
        <v>4</v>
      </c>
      <c r="R11236" t="s">
        <v>43180</v>
      </c>
      <c r="S11236" t="s">
        <v>43646</v>
      </c>
      <c r="T11236" t="s">
        <v>44704</v>
      </c>
      <c r="U11236" t="s">
        <v>54153</v>
      </c>
      <c r="W11236" t="s">
        <v>42671</v>
      </c>
      <c r="X11236" t="s">
        <v>43181</v>
      </c>
    </row>
    <row r="11237" spans="1:24">
      <c r="A11237">
        <f>HYPERLINK("https://www.philgeps.gov.ph/GEPSNONPILOT/Tender/SplashBidNoticeAbstractUI.aspx?menuIndex=3&amp;refID=7064026&amp;Result=3","7064026")</f>
        <v>0</v>
      </c>
      <c r="B11237" t="s">
        <v>3094</v>
      </c>
      <c r="C11237" t="s">
        <v>14143</v>
      </c>
      <c r="D11237" t="s">
        <v>17459</v>
      </c>
      <c r="E11237" t="s">
        <v>27116</v>
      </c>
      <c r="F11237" t="s">
        <v>30052</v>
      </c>
      <c r="G11237" t="s">
        <v>30058</v>
      </c>
      <c r="H11237" t="s">
        <v>30067</v>
      </c>
      <c r="I11237" t="s">
        <v>3693</v>
      </c>
      <c r="J11237" t="s">
        <v>32639</v>
      </c>
      <c r="K11237" t="s">
        <v>39031</v>
      </c>
      <c r="M11237" t="s">
        <v>42680</v>
      </c>
      <c r="N11237" t="s">
        <v>43166</v>
      </c>
      <c r="O11237" t="s">
        <v>43167</v>
      </c>
      <c r="P11237">
        <v>0</v>
      </c>
      <c r="Q11237">
        <v>9</v>
      </c>
      <c r="R11237" t="s">
        <v>43180</v>
      </c>
      <c r="S11237" t="s">
        <v>43646</v>
      </c>
      <c r="T11237" t="s">
        <v>45153</v>
      </c>
      <c r="U11237" t="s">
        <v>54154</v>
      </c>
      <c r="V11237" t="s">
        <v>58092</v>
      </c>
      <c r="W11237" t="s">
        <v>42680</v>
      </c>
      <c r="X11237" t="s">
        <v>43181</v>
      </c>
    </row>
    <row r="11238" spans="1:24">
      <c r="A11238">
        <f>HYPERLINK("https://www.philgeps.gov.ph/GEPSNONPILOT/Tender/SplashBidNoticeAbstractUI.aspx?menuIndex=3&amp;refID=7064025&amp;Result=3","7064025")</f>
        <v>0</v>
      </c>
      <c r="B11238" t="s">
        <v>2660</v>
      </c>
      <c r="C11238" t="s">
        <v>14144</v>
      </c>
      <c r="D11238" t="s">
        <v>17415</v>
      </c>
      <c r="E11238" t="s">
        <v>27117</v>
      </c>
      <c r="F11238" t="s">
        <v>30052</v>
      </c>
      <c r="G11238" t="s">
        <v>30059</v>
      </c>
      <c r="H11238" t="s">
        <v>15498</v>
      </c>
      <c r="I11238" t="s">
        <v>30151</v>
      </c>
      <c r="J11238" t="s">
        <v>37082</v>
      </c>
      <c r="K11238" t="s">
        <v>39029</v>
      </c>
      <c r="M11238" t="s">
        <v>42179</v>
      </c>
      <c r="N11238" t="s">
        <v>43166</v>
      </c>
      <c r="O11238" t="s">
        <v>43167</v>
      </c>
      <c r="Q11238">
        <v>7</v>
      </c>
      <c r="R11238" t="s">
        <v>43180</v>
      </c>
      <c r="S11238" t="s">
        <v>43702</v>
      </c>
      <c r="T11238" t="s">
        <v>44721</v>
      </c>
      <c r="U11238" t="s">
        <v>54155</v>
      </c>
      <c r="V11238" t="s">
        <v>58088</v>
      </c>
      <c r="W11238" t="s">
        <v>42179</v>
      </c>
      <c r="X11238" t="s">
        <v>43181</v>
      </c>
    </row>
    <row r="11239" spans="1:24">
      <c r="A11239">
        <f>HYPERLINK("https://www.philgeps.gov.ph/GEPSNONPILOT/Tender/SplashBidNoticeAbstractUI.aspx?menuIndex=3&amp;refID=7064077&amp;Result=3","7064077")</f>
        <v>0</v>
      </c>
      <c r="B11239" t="s">
        <v>2660</v>
      </c>
      <c r="C11239" t="s">
        <v>14145</v>
      </c>
      <c r="D11239" t="s">
        <v>17415</v>
      </c>
      <c r="E11239" t="s">
        <v>27118</v>
      </c>
      <c r="F11239" t="s">
        <v>30052</v>
      </c>
      <c r="G11239" t="s">
        <v>30059</v>
      </c>
      <c r="H11239" t="s">
        <v>15498</v>
      </c>
      <c r="I11239" t="s">
        <v>9238</v>
      </c>
      <c r="J11239" t="s">
        <v>37083</v>
      </c>
      <c r="K11239" t="s">
        <v>39029</v>
      </c>
      <c r="M11239" t="s">
        <v>42179</v>
      </c>
      <c r="N11239" t="s">
        <v>43166</v>
      </c>
      <c r="O11239" t="s">
        <v>43167</v>
      </c>
      <c r="Q11239">
        <v>24</v>
      </c>
      <c r="R11239" t="s">
        <v>43180</v>
      </c>
      <c r="S11239" t="s">
        <v>43702</v>
      </c>
      <c r="T11239" t="s">
        <v>44771</v>
      </c>
      <c r="U11239" t="s">
        <v>54156</v>
      </c>
      <c r="V11239" t="s">
        <v>58088</v>
      </c>
      <c r="W11239" t="s">
        <v>42179</v>
      </c>
      <c r="X11239" t="s">
        <v>43181</v>
      </c>
    </row>
    <row r="11240" spans="1:24">
      <c r="A11240">
        <f>HYPERLINK("https://www.philgeps.gov.ph/GEPSNONPILOT/Tender/SplashBidNoticeAbstractUI.aspx?menuIndex=3&amp;refID=7064024&amp;Result=3","7064024")</f>
        <v>0</v>
      </c>
      <c r="B11240" t="s">
        <v>2852</v>
      </c>
      <c r="C11240" t="s">
        <v>14146</v>
      </c>
      <c r="D11240" t="s">
        <v>17459</v>
      </c>
      <c r="E11240" t="s">
        <v>27119</v>
      </c>
      <c r="F11240" t="s">
        <v>30052</v>
      </c>
      <c r="G11240" t="s">
        <v>30058</v>
      </c>
      <c r="H11240" t="s">
        <v>30067</v>
      </c>
      <c r="I11240" t="s">
        <v>3693</v>
      </c>
      <c r="J11240" t="s">
        <v>37084</v>
      </c>
      <c r="K11240" t="s">
        <v>39023</v>
      </c>
      <c r="M11240" t="s">
        <v>42398</v>
      </c>
      <c r="N11240" t="s">
        <v>43166</v>
      </c>
      <c r="O11240" t="s">
        <v>43167</v>
      </c>
      <c r="P11240">
        <v>0</v>
      </c>
      <c r="Q11240">
        <v>4</v>
      </c>
      <c r="R11240" t="s">
        <v>43180</v>
      </c>
      <c r="S11240" t="s">
        <v>43646</v>
      </c>
      <c r="T11240" t="s">
        <v>44689</v>
      </c>
      <c r="U11240" t="s">
        <v>53441</v>
      </c>
      <c r="W11240" t="s">
        <v>42398</v>
      </c>
      <c r="X11240" t="s">
        <v>43181</v>
      </c>
    </row>
    <row r="11241" spans="1:24">
      <c r="A11241">
        <f>HYPERLINK("https://www.philgeps.gov.ph/GEPSNONPILOT/Tender/SplashBidNoticeAbstractUI.aspx?menuIndex=3&amp;refID=7064017&amp;Result=3","7064017")</f>
        <v>0</v>
      </c>
      <c r="B11241" t="s">
        <v>1730</v>
      </c>
      <c r="C11241" t="s">
        <v>14147</v>
      </c>
      <c r="D11241" t="s">
        <v>17423</v>
      </c>
      <c r="E11241" t="s">
        <v>27120</v>
      </c>
      <c r="F11241" t="s">
        <v>30052</v>
      </c>
      <c r="G11241" t="s">
        <v>30058</v>
      </c>
      <c r="H11241" t="s">
        <v>15498</v>
      </c>
      <c r="I11241" t="s">
        <v>3736</v>
      </c>
      <c r="J11241" t="s">
        <v>37085</v>
      </c>
      <c r="K11241" t="s">
        <v>39019</v>
      </c>
      <c r="M11241" t="s">
        <v>41999</v>
      </c>
      <c r="N11241" t="s">
        <v>43166</v>
      </c>
      <c r="O11241" t="s">
        <v>43167</v>
      </c>
      <c r="Q11241">
        <v>0</v>
      </c>
      <c r="R11241" t="s">
        <v>43180</v>
      </c>
      <c r="S11241" t="s">
        <v>43703</v>
      </c>
      <c r="T11241" t="s">
        <v>44706</v>
      </c>
      <c r="U11241" t="s">
        <v>54157</v>
      </c>
      <c r="W11241" t="s">
        <v>41999</v>
      </c>
      <c r="X11241" t="s">
        <v>43181</v>
      </c>
    </row>
    <row r="11242" spans="1:24">
      <c r="A11242">
        <f>HYPERLINK("https://www.philgeps.gov.ph/GEPSNONPILOT/Tender/SplashBidNoticeAbstractUI.aspx?menuIndex=3&amp;refID=7063922&amp;Result=3","7063922")</f>
        <v>0</v>
      </c>
      <c r="B11242" t="s">
        <v>3079</v>
      </c>
      <c r="C11242" t="s">
        <v>14148</v>
      </c>
      <c r="D11242" t="s">
        <v>17492</v>
      </c>
      <c r="E11242" t="s">
        <v>27121</v>
      </c>
      <c r="F11242" t="s">
        <v>30052</v>
      </c>
      <c r="G11242" t="s">
        <v>30058</v>
      </c>
      <c r="H11242" t="s">
        <v>30067</v>
      </c>
      <c r="I11242" t="s">
        <v>3693</v>
      </c>
      <c r="J11242" t="s">
        <v>34506</v>
      </c>
      <c r="K11242" t="s">
        <v>39026</v>
      </c>
      <c r="M11242" t="s">
        <v>42681</v>
      </c>
      <c r="N11242" t="s">
        <v>43166</v>
      </c>
      <c r="O11242" t="s">
        <v>43167</v>
      </c>
      <c r="Q11242">
        <v>0</v>
      </c>
      <c r="R11242" t="s">
        <v>43180</v>
      </c>
      <c r="S11242" t="s">
        <v>43704</v>
      </c>
      <c r="T11242" t="s">
        <v>44753</v>
      </c>
      <c r="U11242" t="s">
        <v>54158</v>
      </c>
      <c r="W11242" t="s">
        <v>42681</v>
      </c>
      <c r="X11242" t="s">
        <v>43181</v>
      </c>
    </row>
    <row r="11243" spans="1:24">
      <c r="A11243">
        <f>HYPERLINK("https://www.philgeps.gov.ph/GEPSNONPILOT/Tender/SplashBidNoticeAbstractUI.aspx?menuIndex=3&amp;refID=7063920&amp;Result=3","7063920")</f>
        <v>0</v>
      </c>
      <c r="B11243" t="s">
        <v>767</v>
      </c>
      <c r="C11243" t="s">
        <v>14149</v>
      </c>
      <c r="D11243" t="s">
        <v>17487</v>
      </c>
      <c r="E11243" t="s">
        <v>27122</v>
      </c>
      <c r="F11243" t="s">
        <v>30052</v>
      </c>
      <c r="G11243" t="s">
        <v>30058</v>
      </c>
      <c r="H11243" t="s">
        <v>15498</v>
      </c>
      <c r="I11243" t="s">
        <v>30091</v>
      </c>
      <c r="J11243" t="s">
        <v>37086</v>
      </c>
      <c r="K11243" t="s">
        <v>39031</v>
      </c>
      <c r="M11243" t="s">
        <v>40081</v>
      </c>
      <c r="N11243" t="s">
        <v>43166</v>
      </c>
      <c r="O11243" t="s">
        <v>43167</v>
      </c>
      <c r="Q11243">
        <v>8</v>
      </c>
      <c r="R11243" t="s">
        <v>43180</v>
      </c>
      <c r="S11243" t="s">
        <v>43368</v>
      </c>
      <c r="T11243" t="s">
        <v>45154</v>
      </c>
      <c r="U11243" t="s">
        <v>54159</v>
      </c>
      <c r="V11243" t="s">
        <v>57027</v>
      </c>
      <c r="W11243" t="s">
        <v>40081</v>
      </c>
      <c r="X11243" t="s">
        <v>43181</v>
      </c>
    </row>
    <row r="11244" spans="1:24">
      <c r="A11244">
        <f>HYPERLINK("https://www.philgeps.gov.ph/GEPSNONPILOT/Tender/SplashBidNoticeAbstractUI.aspx?menuIndex=3&amp;refID=7063914&amp;Result=3","7063914")</f>
        <v>0</v>
      </c>
      <c r="B11244" t="s">
        <v>361</v>
      </c>
      <c r="C11244" t="s">
        <v>14150</v>
      </c>
      <c r="D11244" t="s">
        <v>17455</v>
      </c>
      <c r="E11244" t="s">
        <v>27123</v>
      </c>
      <c r="F11244" t="s">
        <v>30052</v>
      </c>
      <c r="G11244" t="s">
        <v>30058</v>
      </c>
      <c r="H11244" t="s">
        <v>30067</v>
      </c>
      <c r="I11244" t="s">
        <v>3693</v>
      </c>
      <c r="J11244" t="s">
        <v>31185</v>
      </c>
      <c r="K11244" t="s">
        <v>39057</v>
      </c>
      <c r="M11244" t="s">
        <v>39658</v>
      </c>
      <c r="N11244" t="s">
        <v>43166</v>
      </c>
      <c r="O11244" t="s">
        <v>43167</v>
      </c>
      <c r="P11244">
        <v>0</v>
      </c>
      <c r="Q11244">
        <v>16</v>
      </c>
      <c r="R11244" t="s">
        <v>43180</v>
      </c>
      <c r="S11244" t="s">
        <v>43646</v>
      </c>
      <c r="T11244" t="s">
        <v>44763</v>
      </c>
      <c r="U11244" t="s">
        <v>54160</v>
      </c>
      <c r="W11244" t="s">
        <v>39658</v>
      </c>
      <c r="X11244" t="s">
        <v>43181</v>
      </c>
    </row>
    <row r="11245" spans="1:24">
      <c r="A11245">
        <f>HYPERLINK("https://www.philgeps.gov.ph/GEPSNONPILOT/Tender/SplashBidNoticeAbstractUI.aspx?menuIndex=3&amp;refID=7063902&amp;Result=3","7063902")</f>
        <v>0</v>
      </c>
      <c r="B11245" t="s">
        <v>2852</v>
      </c>
      <c r="C11245" t="s">
        <v>14151</v>
      </c>
      <c r="D11245" t="s">
        <v>17459</v>
      </c>
      <c r="E11245" t="s">
        <v>27124</v>
      </c>
      <c r="F11245" t="s">
        <v>30052</v>
      </c>
      <c r="G11245" t="s">
        <v>30058</v>
      </c>
      <c r="H11245" t="s">
        <v>30067</v>
      </c>
      <c r="I11245" t="s">
        <v>3693</v>
      </c>
      <c r="J11245" t="s">
        <v>37087</v>
      </c>
      <c r="K11245" t="s">
        <v>39106</v>
      </c>
      <c r="M11245" t="s">
        <v>42398</v>
      </c>
      <c r="N11245" t="s">
        <v>43166</v>
      </c>
      <c r="O11245" t="s">
        <v>43167</v>
      </c>
      <c r="P11245">
        <v>0</v>
      </c>
      <c r="Q11245">
        <v>4</v>
      </c>
      <c r="R11245" t="s">
        <v>43180</v>
      </c>
      <c r="S11245" t="s">
        <v>43646</v>
      </c>
      <c r="T11245" t="s">
        <v>44689</v>
      </c>
      <c r="U11245" t="s">
        <v>53441</v>
      </c>
      <c r="W11245" t="s">
        <v>42398</v>
      </c>
      <c r="X11245" t="s">
        <v>43181</v>
      </c>
    </row>
    <row r="11246" spans="1:24">
      <c r="A11246">
        <f>HYPERLINK("https://www.philgeps.gov.ph/GEPSNONPILOT/Tender/SplashBidNoticeAbstractUI.aspx?menuIndex=3&amp;refID=7063897&amp;Result=3","7063897")</f>
        <v>0</v>
      </c>
      <c r="B11246" t="s">
        <v>3086</v>
      </c>
      <c r="C11246" t="s">
        <v>14152</v>
      </c>
      <c r="D11246" t="s">
        <v>17435</v>
      </c>
      <c r="E11246" t="s">
        <v>27125</v>
      </c>
      <c r="F11246" t="s">
        <v>30052</v>
      </c>
      <c r="G11246" t="s">
        <v>30058</v>
      </c>
      <c r="H11246" t="s">
        <v>15498</v>
      </c>
      <c r="I11246" t="s">
        <v>4598</v>
      </c>
      <c r="J11246" t="s">
        <v>37088</v>
      </c>
      <c r="K11246" t="s">
        <v>39023</v>
      </c>
      <c r="M11246" t="s">
        <v>42670</v>
      </c>
      <c r="N11246" t="s">
        <v>43166</v>
      </c>
      <c r="O11246" t="s">
        <v>43167</v>
      </c>
      <c r="Q11246">
        <v>17</v>
      </c>
      <c r="R11246" t="s">
        <v>43180</v>
      </c>
      <c r="S11246" t="s">
        <v>43705</v>
      </c>
      <c r="T11246" t="s">
        <v>44687</v>
      </c>
      <c r="U11246" t="s">
        <v>54161</v>
      </c>
      <c r="W11246" t="s">
        <v>42670</v>
      </c>
      <c r="X11246" t="s">
        <v>43181</v>
      </c>
    </row>
    <row r="11247" spans="1:24">
      <c r="A11247">
        <f>HYPERLINK("https://www.philgeps.gov.ph/GEPSNONPILOT/Tender/SplashBidNoticeAbstractUI.aspx?menuIndex=3&amp;refID=7063894&amp;Result=3","7063894")</f>
        <v>0</v>
      </c>
      <c r="B11247" t="s">
        <v>2956</v>
      </c>
      <c r="C11247" t="s">
        <v>14153</v>
      </c>
      <c r="D11247" t="s">
        <v>17450</v>
      </c>
      <c r="E11247" t="s">
        <v>27126</v>
      </c>
      <c r="F11247" t="s">
        <v>30052</v>
      </c>
      <c r="G11247" t="s">
        <v>30059</v>
      </c>
      <c r="H11247" t="s">
        <v>15498</v>
      </c>
      <c r="I11247" t="s">
        <v>30127</v>
      </c>
      <c r="J11247" t="s">
        <v>32703</v>
      </c>
      <c r="K11247" t="s">
        <v>39029</v>
      </c>
      <c r="M11247" t="s">
        <v>42521</v>
      </c>
      <c r="N11247" t="s">
        <v>43166</v>
      </c>
      <c r="O11247" t="s">
        <v>43167</v>
      </c>
      <c r="P11247">
        <v>0</v>
      </c>
      <c r="Q11247">
        <v>4</v>
      </c>
      <c r="R11247" t="s">
        <v>43180</v>
      </c>
      <c r="S11247" t="s">
        <v>43646</v>
      </c>
      <c r="T11247" t="s">
        <v>44798</v>
      </c>
      <c r="U11247" t="s">
        <v>54162</v>
      </c>
      <c r="W11247" t="s">
        <v>42521</v>
      </c>
      <c r="X11247" t="s">
        <v>43181</v>
      </c>
    </row>
    <row r="11248" spans="1:24">
      <c r="A11248">
        <f>HYPERLINK("https://www.philgeps.gov.ph/GEPSNONPILOT/Tender/SplashBidNoticeAbstractUI.aspx?menuIndex=3&amp;refID=7064039&amp;Result=3","7064039")</f>
        <v>0</v>
      </c>
      <c r="B11248" t="s">
        <v>1586</v>
      </c>
      <c r="C11248" t="s">
        <v>14154</v>
      </c>
      <c r="D11248" t="s">
        <v>17448</v>
      </c>
      <c r="E11248" t="s">
        <v>27127</v>
      </c>
      <c r="F11248" t="s">
        <v>30056</v>
      </c>
      <c r="G11248" t="s">
        <v>30063</v>
      </c>
      <c r="H11248" t="s">
        <v>15498</v>
      </c>
      <c r="I11248" t="s">
        <v>30144</v>
      </c>
      <c r="J11248" t="s">
        <v>30711</v>
      </c>
      <c r="K11248" t="s">
        <v>39025</v>
      </c>
      <c r="M11248" t="s">
        <v>42682</v>
      </c>
      <c r="N11248" t="s">
        <v>43166</v>
      </c>
      <c r="O11248" t="s">
        <v>43167</v>
      </c>
      <c r="P11248">
        <v>0</v>
      </c>
      <c r="Q11248">
        <v>1</v>
      </c>
      <c r="R11248" t="s">
        <v>43180</v>
      </c>
      <c r="S11248" t="s">
        <v>43646</v>
      </c>
      <c r="T11248" t="s">
        <v>44702</v>
      </c>
      <c r="U11248" t="s">
        <v>54163</v>
      </c>
      <c r="W11248" t="s">
        <v>42682</v>
      </c>
      <c r="X11248" t="s">
        <v>43181</v>
      </c>
    </row>
    <row r="11249" spans="1:24">
      <c r="A11249">
        <f>HYPERLINK("https://www.philgeps.gov.ph/GEPSNONPILOT/Tender/SplashBidNoticeAbstractUI.aspx?menuIndex=3&amp;refID=7063754&amp;Result=3","7063754")</f>
        <v>0</v>
      </c>
      <c r="B11249" t="s">
        <v>3077</v>
      </c>
      <c r="C11249" t="s">
        <v>14155</v>
      </c>
      <c r="D11249" t="s">
        <v>17422</v>
      </c>
      <c r="E11249" t="s">
        <v>27128</v>
      </c>
      <c r="F11249" t="s">
        <v>30052</v>
      </c>
      <c r="G11249" t="s">
        <v>30058</v>
      </c>
      <c r="H11249" t="s">
        <v>30067</v>
      </c>
      <c r="I11249" t="s">
        <v>3693</v>
      </c>
      <c r="J11249" t="s">
        <v>30588</v>
      </c>
      <c r="K11249" t="s">
        <v>39057</v>
      </c>
      <c r="M11249" t="s">
        <v>42660</v>
      </c>
      <c r="N11249" t="s">
        <v>43166</v>
      </c>
      <c r="O11249" t="s">
        <v>43167</v>
      </c>
      <c r="P11249">
        <v>0</v>
      </c>
      <c r="Q11249">
        <v>7</v>
      </c>
      <c r="R11249" t="s">
        <v>43180</v>
      </c>
      <c r="S11249" t="s">
        <v>43646</v>
      </c>
      <c r="T11249" t="s">
        <v>44701</v>
      </c>
      <c r="U11249" t="s">
        <v>54164</v>
      </c>
      <c r="V11249" t="s">
        <v>58086</v>
      </c>
      <c r="W11249" t="s">
        <v>42660</v>
      </c>
      <c r="X11249" t="s">
        <v>43181</v>
      </c>
    </row>
    <row r="11250" spans="1:24">
      <c r="A11250">
        <f>HYPERLINK("https://www.philgeps.gov.ph/GEPSNONPILOT/Tender/SplashBidNoticeAbstractUI.aspx?menuIndex=3&amp;refID=7060597&amp;Result=3","7060597")</f>
        <v>0</v>
      </c>
      <c r="B11250" t="s">
        <v>746</v>
      </c>
      <c r="C11250" t="s">
        <v>14156</v>
      </c>
      <c r="D11250" t="s">
        <v>17421</v>
      </c>
      <c r="E11250" t="s">
        <v>27129</v>
      </c>
      <c r="F11250" t="s">
        <v>30052</v>
      </c>
      <c r="G11250" t="s">
        <v>30058</v>
      </c>
      <c r="H11250" t="s">
        <v>30067</v>
      </c>
      <c r="I11250" t="s">
        <v>30082</v>
      </c>
      <c r="J11250" t="s">
        <v>37089</v>
      </c>
      <c r="K11250" t="s">
        <v>39026</v>
      </c>
      <c r="M11250" t="s">
        <v>40060</v>
      </c>
      <c r="N11250" t="s">
        <v>43166</v>
      </c>
      <c r="O11250" t="s">
        <v>43167</v>
      </c>
      <c r="P11250">
        <v>0</v>
      </c>
      <c r="Q11250">
        <v>2</v>
      </c>
      <c r="R11250" t="s">
        <v>43180</v>
      </c>
      <c r="S11250" t="s">
        <v>43646</v>
      </c>
      <c r="T11250" t="s">
        <v>44690</v>
      </c>
      <c r="U11250" t="s">
        <v>54165</v>
      </c>
      <c r="W11250" t="s">
        <v>40060</v>
      </c>
      <c r="X11250" t="s">
        <v>43182</v>
      </c>
    </row>
    <row r="11251" spans="1:24">
      <c r="A11251">
        <f>HYPERLINK("https://www.philgeps.gov.ph/GEPSNONPILOT/Tender/SplashBidNoticeAbstractUI.aspx?menuIndex=3&amp;refID=7064065&amp;Result=3","7064065")</f>
        <v>0</v>
      </c>
      <c r="B11251" t="s">
        <v>2660</v>
      </c>
      <c r="C11251" t="s">
        <v>14157</v>
      </c>
      <c r="D11251" t="s">
        <v>17415</v>
      </c>
      <c r="E11251" t="s">
        <v>27130</v>
      </c>
      <c r="F11251" t="s">
        <v>30052</v>
      </c>
      <c r="G11251" t="s">
        <v>30059</v>
      </c>
      <c r="H11251" t="s">
        <v>15498</v>
      </c>
      <c r="I11251" t="s">
        <v>9238</v>
      </c>
      <c r="J11251" t="s">
        <v>37090</v>
      </c>
      <c r="K11251" t="s">
        <v>39029</v>
      </c>
      <c r="M11251" t="s">
        <v>42179</v>
      </c>
      <c r="N11251" t="s">
        <v>43166</v>
      </c>
      <c r="O11251" t="s">
        <v>43167</v>
      </c>
      <c r="Q11251">
        <v>16</v>
      </c>
      <c r="R11251" t="s">
        <v>43180</v>
      </c>
      <c r="S11251" t="s">
        <v>43706</v>
      </c>
      <c r="T11251" t="s">
        <v>44729</v>
      </c>
      <c r="U11251" t="s">
        <v>54166</v>
      </c>
      <c r="V11251" t="s">
        <v>58088</v>
      </c>
      <c r="W11251" t="s">
        <v>42179</v>
      </c>
      <c r="X11251" t="s">
        <v>43181</v>
      </c>
    </row>
    <row r="11252" spans="1:24">
      <c r="A11252">
        <f>HYPERLINK("https://www.philgeps.gov.ph/GEPSNONPILOT/Tender/SplashBidNoticeAbstractUI.aspx?menuIndex=3&amp;refID=7060527&amp;Result=3","7060527")</f>
        <v>0</v>
      </c>
      <c r="B11252" t="s">
        <v>117</v>
      </c>
      <c r="C11252" t="s">
        <v>14158</v>
      </c>
      <c r="D11252" t="s">
        <v>17424</v>
      </c>
      <c r="E11252" t="s">
        <v>27131</v>
      </c>
      <c r="F11252" t="s">
        <v>30052</v>
      </c>
      <c r="G11252" t="s">
        <v>30058</v>
      </c>
      <c r="H11252" t="s">
        <v>30067</v>
      </c>
      <c r="I11252" t="s">
        <v>3693</v>
      </c>
      <c r="J11252" t="s">
        <v>37091</v>
      </c>
      <c r="K11252" t="s">
        <v>39039</v>
      </c>
      <c r="L11252" t="s">
        <v>117</v>
      </c>
      <c r="M11252" t="s">
        <v>39406</v>
      </c>
      <c r="N11252" t="s">
        <v>43166</v>
      </c>
      <c r="O11252" t="s">
        <v>43167</v>
      </c>
      <c r="P11252">
        <v>0</v>
      </c>
      <c r="Q11252">
        <v>29</v>
      </c>
      <c r="R11252" t="s">
        <v>43180</v>
      </c>
      <c r="S11252" t="s">
        <v>43646</v>
      </c>
      <c r="T11252" t="s">
        <v>44681</v>
      </c>
      <c r="U11252" t="s">
        <v>53845</v>
      </c>
      <c r="W11252" t="s">
        <v>39406</v>
      </c>
      <c r="X11252" t="s">
        <v>43182</v>
      </c>
    </row>
    <row r="11253" spans="1:24">
      <c r="A11253">
        <f>HYPERLINK("https://www.philgeps.gov.ph/GEPSNONPILOT/Tender/SplashBidNoticeAbstractUI.aspx?menuIndex=3&amp;refID=7059658&amp;Result=3","7059658")</f>
        <v>0</v>
      </c>
      <c r="B11253" t="s">
        <v>124</v>
      </c>
      <c r="C11253" t="s">
        <v>14159</v>
      </c>
      <c r="D11253" t="s">
        <v>17451</v>
      </c>
      <c r="E11253" t="s">
        <v>27132</v>
      </c>
      <c r="F11253" t="s">
        <v>30052</v>
      </c>
      <c r="G11253" t="s">
        <v>30058</v>
      </c>
      <c r="H11253" t="s">
        <v>15498</v>
      </c>
      <c r="I11253" t="s">
        <v>30098</v>
      </c>
      <c r="J11253" t="s">
        <v>30900</v>
      </c>
      <c r="K11253" t="s">
        <v>39019</v>
      </c>
      <c r="M11253" t="s">
        <v>39413</v>
      </c>
      <c r="N11253" t="s">
        <v>43166</v>
      </c>
      <c r="O11253" t="s">
        <v>43167</v>
      </c>
      <c r="P11253">
        <v>0</v>
      </c>
      <c r="Q11253">
        <v>3</v>
      </c>
      <c r="R11253" t="s">
        <v>43180</v>
      </c>
      <c r="S11253" t="s">
        <v>43646</v>
      </c>
      <c r="T11253" t="s">
        <v>44731</v>
      </c>
      <c r="U11253" t="s">
        <v>54167</v>
      </c>
      <c r="W11253" t="s">
        <v>58591</v>
      </c>
      <c r="X11253" t="s">
        <v>43182</v>
      </c>
    </row>
    <row r="11254" spans="1:24">
      <c r="A11254">
        <f>HYPERLINK("https://www.philgeps.gov.ph/GEPSNONPILOT/Tender/SplashBidNoticeAbstractUI.aspx?menuIndex=3&amp;refID=7059640&amp;Result=3","7059640")</f>
        <v>0</v>
      </c>
      <c r="B11254" t="s">
        <v>2697</v>
      </c>
      <c r="C11254" t="s">
        <v>14160</v>
      </c>
      <c r="D11254" t="s">
        <v>17445</v>
      </c>
      <c r="E11254" t="s">
        <v>27133</v>
      </c>
      <c r="F11254" t="s">
        <v>30052</v>
      </c>
      <c r="G11254" t="s">
        <v>30058</v>
      </c>
      <c r="H11254" t="s">
        <v>30067</v>
      </c>
      <c r="I11254" t="s">
        <v>3693</v>
      </c>
      <c r="J11254" t="s">
        <v>30205</v>
      </c>
      <c r="K11254" t="s">
        <v>39244</v>
      </c>
      <c r="M11254" t="s">
        <v>42588</v>
      </c>
      <c r="N11254" t="s">
        <v>43166</v>
      </c>
      <c r="O11254" t="s">
        <v>43167</v>
      </c>
      <c r="Q11254">
        <v>3</v>
      </c>
      <c r="R11254" t="s">
        <v>43180</v>
      </c>
      <c r="S11254" t="s">
        <v>43707</v>
      </c>
      <c r="T11254" t="s">
        <v>44758</v>
      </c>
      <c r="U11254" t="s">
        <v>54168</v>
      </c>
      <c r="W11254" t="s">
        <v>42588</v>
      </c>
      <c r="X11254" t="s">
        <v>43182</v>
      </c>
    </row>
    <row r="11255" spans="1:24">
      <c r="A11255">
        <f>HYPERLINK("https://www.philgeps.gov.ph/GEPSNONPILOT/Tender/SplashBidNoticeAbstractUI.aspx?menuIndex=3&amp;refID=7063747&amp;Result=3","7063747")</f>
        <v>0</v>
      </c>
      <c r="B11255" t="s">
        <v>684</v>
      </c>
      <c r="C11255" t="s">
        <v>14161</v>
      </c>
      <c r="D11255" t="s">
        <v>17473</v>
      </c>
      <c r="E11255" t="s">
        <v>27134</v>
      </c>
      <c r="F11255" t="s">
        <v>30052</v>
      </c>
      <c r="G11255" t="s">
        <v>30062</v>
      </c>
      <c r="H11255" t="s">
        <v>15498</v>
      </c>
      <c r="I11255" t="s">
        <v>3852</v>
      </c>
      <c r="J11255" t="s">
        <v>37092</v>
      </c>
      <c r="K11255" t="s">
        <v>39029</v>
      </c>
      <c r="M11255" t="s">
        <v>39990</v>
      </c>
      <c r="N11255" t="s">
        <v>43166</v>
      </c>
      <c r="O11255" t="s">
        <v>43167</v>
      </c>
      <c r="P11255">
        <v>0</v>
      </c>
      <c r="Q11255">
        <v>6</v>
      </c>
      <c r="R11255" t="s">
        <v>43180</v>
      </c>
      <c r="S11255" t="s">
        <v>43646</v>
      </c>
      <c r="T11255" t="s">
        <v>44773</v>
      </c>
      <c r="U11255" t="s">
        <v>46522</v>
      </c>
      <c r="W11255" t="s">
        <v>39990</v>
      </c>
      <c r="X11255" t="s">
        <v>43181</v>
      </c>
    </row>
    <row r="11256" spans="1:24">
      <c r="A11256">
        <f>HYPERLINK("https://www.philgeps.gov.ph/GEPSNONPILOT/Tender/SplashBidNoticeAbstractUI.aspx?menuIndex=3&amp;refID=7059639&amp;Result=3","7059639")</f>
        <v>0</v>
      </c>
      <c r="B11256" t="s">
        <v>1722</v>
      </c>
      <c r="C11256" t="s">
        <v>14162</v>
      </c>
      <c r="D11256" t="s">
        <v>17445</v>
      </c>
      <c r="E11256" t="s">
        <v>27135</v>
      </c>
      <c r="F11256" t="s">
        <v>30052</v>
      </c>
      <c r="G11256" t="s">
        <v>30058</v>
      </c>
      <c r="H11256" t="s">
        <v>15498</v>
      </c>
      <c r="I11256" t="s">
        <v>30084</v>
      </c>
      <c r="J11256" t="s">
        <v>31891</v>
      </c>
      <c r="K11256" t="s">
        <v>39029</v>
      </c>
      <c r="M11256" t="s">
        <v>41138</v>
      </c>
      <c r="N11256" t="s">
        <v>43166</v>
      </c>
      <c r="O11256" t="s">
        <v>43167</v>
      </c>
      <c r="Q11256">
        <v>7</v>
      </c>
      <c r="R11256" t="s">
        <v>43180</v>
      </c>
      <c r="S11256" t="s">
        <v>43708</v>
      </c>
      <c r="T11256" t="s">
        <v>44716</v>
      </c>
      <c r="U11256" t="s">
        <v>54169</v>
      </c>
      <c r="W11256" t="s">
        <v>58653</v>
      </c>
      <c r="X11256" t="s">
        <v>43182</v>
      </c>
    </row>
    <row r="11257" spans="1:24">
      <c r="A11257">
        <f>HYPERLINK("https://www.philgeps.gov.ph/GEPSNONPILOT/Tender/SplashBidNoticeAbstractUI.aspx?menuIndex=3&amp;refID=7059633&amp;Result=3","7059633")</f>
        <v>0</v>
      </c>
      <c r="B11257" t="s">
        <v>2697</v>
      </c>
      <c r="C11257" t="s">
        <v>14163</v>
      </c>
      <c r="D11257" t="s">
        <v>17445</v>
      </c>
      <c r="E11257" t="s">
        <v>27136</v>
      </c>
      <c r="F11257" t="s">
        <v>30052</v>
      </c>
      <c r="G11257" t="s">
        <v>30058</v>
      </c>
      <c r="H11257" t="s">
        <v>30067</v>
      </c>
      <c r="I11257" t="s">
        <v>3693</v>
      </c>
      <c r="J11257" t="s">
        <v>32690</v>
      </c>
      <c r="K11257" t="s">
        <v>39079</v>
      </c>
      <c r="M11257" t="s">
        <v>42588</v>
      </c>
      <c r="N11257" t="s">
        <v>43166</v>
      </c>
      <c r="O11257" t="s">
        <v>43167</v>
      </c>
      <c r="Q11257">
        <v>1</v>
      </c>
      <c r="R11257" t="s">
        <v>43180</v>
      </c>
      <c r="S11257" t="s">
        <v>43707</v>
      </c>
      <c r="T11257" t="s">
        <v>44758</v>
      </c>
      <c r="U11257" t="s">
        <v>54170</v>
      </c>
      <c r="W11257" t="s">
        <v>42588</v>
      </c>
      <c r="X11257" t="s">
        <v>43182</v>
      </c>
    </row>
    <row r="11258" spans="1:24">
      <c r="A11258">
        <f>HYPERLINK("https://www.philgeps.gov.ph/GEPSNONPILOT/Tender/SplashBidNoticeAbstractUI.aspx?menuIndex=3&amp;refID=7059504&amp;Result=3","7059504")</f>
        <v>0</v>
      </c>
      <c r="B11258" t="s">
        <v>2697</v>
      </c>
      <c r="C11258" t="s">
        <v>14164</v>
      </c>
      <c r="D11258" t="s">
        <v>17445</v>
      </c>
      <c r="E11258" t="s">
        <v>27137</v>
      </c>
      <c r="F11258" t="s">
        <v>30052</v>
      </c>
      <c r="G11258" t="s">
        <v>30058</v>
      </c>
      <c r="H11258" t="s">
        <v>30067</v>
      </c>
      <c r="I11258" t="s">
        <v>3693</v>
      </c>
      <c r="J11258" t="s">
        <v>36830</v>
      </c>
      <c r="K11258" t="s">
        <v>39196</v>
      </c>
      <c r="M11258" t="s">
        <v>42588</v>
      </c>
      <c r="N11258" t="s">
        <v>43166</v>
      </c>
      <c r="O11258" t="s">
        <v>43167</v>
      </c>
      <c r="Q11258">
        <v>1</v>
      </c>
      <c r="R11258" t="s">
        <v>43180</v>
      </c>
      <c r="S11258" t="s">
        <v>43709</v>
      </c>
      <c r="T11258" t="s">
        <v>44758</v>
      </c>
      <c r="U11258" t="s">
        <v>53850</v>
      </c>
      <c r="W11258" t="s">
        <v>42588</v>
      </c>
      <c r="X11258" t="s">
        <v>43182</v>
      </c>
    </row>
    <row r="11259" spans="1:24">
      <c r="A11259">
        <f>HYPERLINK("https://www.philgeps.gov.ph/GEPSNONPILOT/Tender/SplashBidNoticeAbstractUI.aspx?menuIndex=3&amp;refID=7059481&amp;Result=3","7059481")</f>
        <v>0</v>
      </c>
      <c r="B11259" t="s">
        <v>2697</v>
      </c>
      <c r="C11259" t="s">
        <v>14165</v>
      </c>
      <c r="D11259" t="s">
        <v>17445</v>
      </c>
      <c r="E11259" t="s">
        <v>27138</v>
      </c>
      <c r="F11259" t="s">
        <v>30052</v>
      </c>
      <c r="G11259" t="s">
        <v>30058</v>
      </c>
      <c r="H11259" t="s">
        <v>30067</v>
      </c>
      <c r="I11259" t="s">
        <v>3693</v>
      </c>
      <c r="J11259" t="s">
        <v>37093</v>
      </c>
      <c r="K11259" t="s">
        <v>39199</v>
      </c>
      <c r="M11259" t="s">
        <v>42588</v>
      </c>
      <c r="N11259" t="s">
        <v>43166</v>
      </c>
      <c r="O11259" t="s">
        <v>43167</v>
      </c>
      <c r="Q11259">
        <v>1</v>
      </c>
      <c r="R11259" t="s">
        <v>43180</v>
      </c>
      <c r="S11259" t="s">
        <v>43710</v>
      </c>
      <c r="T11259" t="s">
        <v>44758</v>
      </c>
      <c r="U11259" t="s">
        <v>54171</v>
      </c>
      <c r="W11259" t="s">
        <v>42588</v>
      </c>
      <c r="X11259" t="s">
        <v>43182</v>
      </c>
    </row>
    <row r="11260" spans="1:24">
      <c r="A11260">
        <f>HYPERLINK("https://www.philgeps.gov.ph/GEPSNONPILOT/Tender/SplashBidNoticeAbstractUI.aspx?menuIndex=3&amp;refID=7059429&amp;Result=3","7059429")</f>
        <v>0</v>
      </c>
      <c r="B11260" t="s">
        <v>3095</v>
      </c>
      <c r="C11260" t="s">
        <v>14166</v>
      </c>
      <c r="D11260" t="s">
        <v>17427</v>
      </c>
      <c r="E11260" t="s">
        <v>25432</v>
      </c>
      <c r="F11260" t="s">
        <v>30052</v>
      </c>
      <c r="G11260" t="s">
        <v>30058</v>
      </c>
      <c r="H11260" t="s">
        <v>30067</v>
      </c>
      <c r="I11260" t="s">
        <v>3693</v>
      </c>
      <c r="J11260" t="s">
        <v>30252</v>
      </c>
      <c r="K11260" t="s">
        <v>39029</v>
      </c>
      <c r="M11260" t="s">
        <v>42683</v>
      </c>
      <c r="N11260" t="s">
        <v>43166</v>
      </c>
      <c r="O11260" t="s">
        <v>43167</v>
      </c>
      <c r="P11260">
        <v>0</v>
      </c>
      <c r="Q11260">
        <v>0</v>
      </c>
      <c r="R11260" t="s">
        <v>43180</v>
      </c>
      <c r="S11260" t="s">
        <v>43646</v>
      </c>
      <c r="T11260" t="s">
        <v>44699</v>
      </c>
      <c r="U11260" t="s">
        <v>54172</v>
      </c>
      <c r="W11260" t="s">
        <v>42683</v>
      </c>
      <c r="X11260" t="s">
        <v>43182</v>
      </c>
    </row>
    <row r="11261" spans="1:24">
      <c r="A11261">
        <f>HYPERLINK("https://www.philgeps.gov.ph/GEPSNONPILOT/Tender/SplashBidNoticeAbstractUI.aspx?menuIndex=3&amp;refID=7064011&amp;Result=3","7064011")</f>
        <v>0</v>
      </c>
      <c r="B11261" t="s">
        <v>2948</v>
      </c>
      <c r="C11261" t="s">
        <v>14167</v>
      </c>
      <c r="D11261" t="s">
        <v>17496</v>
      </c>
      <c r="E11261" t="s">
        <v>27139</v>
      </c>
      <c r="F11261" t="s">
        <v>30052</v>
      </c>
      <c r="G11261" t="s">
        <v>30058</v>
      </c>
      <c r="H11261" t="s">
        <v>30067</v>
      </c>
      <c r="I11261" t="s">
        <v>3693</v>
      </c>
      <c r="J11261" t="s">
        <v>37094</v>
      </c>
      <c r="K11261" t="s">
        <v>39175</v>
      </c>
      <c r="M11261" t="s">
        <v>42513</v>
      </c>
      <c r="N11261" t="s">
        <v>43166</v>
      </c>
      <c r="O11261" t="s">
        <v>43167</v>
      </c>
      <c r="P11261">
        <v>0</v>
      </c>
      <c r="Q11261">
        <v>0</v>
      </c>
      <c r="R11261" t="s">
        <v>43180</v>
      </c>
      <c r="S11261" t="s">
        <v>43646</v>
      </c>
      <c r="T11261" t="s">
        <v>44791</v>
      </c>
      <c r="U11261" t="s">
        <v>54173</v>
      </c>
      <c r="V11261" t="s">
        <v>58093</v>
      </c>
      <c r="W11261" t="s">
        <v>42513</v>
      </c>
      <c r="X11261" t="s">
        <v>43181</v>
      </c>
    </row>
    <row r="11262" spans="1:24">
      <c r="A11262">
        <f>HYPERLINK("https://www.philgeps.gov.ph/GEPSNONPILOT/Tender/SplashBidNoticeAbstractUI.aspx?menuIndex=3&amp;refID=7059381&amp;Result=3","7059381")</f>
        <v>0</v>
      </c>
      <c r="B11262" t="s">
        <v>3018</v>
      </c>
      <c r="C11262" t="s">
        <v>14168</v>
      </c>
      <c r="D11262" t="s">
        <v>17421</v>
      </c>
      <c r="E11262" t="s">
        <v>27140</v>
      </c>
      <c r="F11262" t="s">
        <v>30052</v>
      </c>
      <c r="G11262" t="s">
        <v>30058</v>
      </c>
      <c r="H11262" t="s">
        <v>15498</v>
      </c>
      <c r="I11262" t="s">
        <v>30144</v>
      </c>
      <c r="J11262" t="s">
        <v>31060</v>
      </c>
      <c r="K11262" t="s">
        <v>39023</v>
      </c>
      <c r="M11262" t="s">
        <v>42596</v>
      </c>
      <c r="N11262" t="s">
        <v>43166</v>
      </c>
      <c r="O11262" t="s">
        <v>43167</v>
      </c>
      <c r="Q11262">
        <v>1</v>
      </c>
      <c r="R11262" t="s">
        <v>43180</v>
      </c>
      <c r="S11262" t="s">
        <v>43711</v>
      </c>
      <c r="T11262" t="s">
        <v>44699</v>
      </c>
      <c r="U11262" t="s">
        <v>53820</v>
      </c>
      <c r="V11262" t="s">
        <v>53820</v>
      </c>
      <c r="W11262" t="s">
        <v>42596</v>
      </c>
      <c r="X11262" t="s">
        <v>43182</v>
      </c>
    </row>
    <row r="11263" spans="1:24">
      <c r="A11263">
        <f>HYPERLINK("https://www.philgeps.gov.ph/GEPSNONPILOT/Tender/SplashBidNoticeAbstractUI.aspx?menuIndex=3&amp;refID=7064018&amp;Result=3","7064018")</f>
        <v>0</v>
      </c>
      <c r="B11263" t="s">
        <v>3087</v>
      </c>
      <c r="C11263" t="s">
        <v>14169</v>
      </c>
      <c r="D11263" t="s">
        <v>17479</v>
      </c>
      <c r="E11263" t="s">
        <v>27141</v>
      </c>
      <c r="F11263" t="s">
        <v>30052</v>
      </c>
      <c r="G11263" t="s">
        <v>30058</v>
      </c>
      <c r="H11263" t="s">
        <v>15498</v>
      </c>
      <c r="I11263" t="s">
        <v>30097</v>
      </c>
      <c r="J11263" t="s">
        <v>37095</v>
      </c>
      <c r="K11263" t="s">
        <v>39162</v>
      </c>
      <c r="M11263" t="s">
        <v>42671</v>
      </c>
      <c r="N11263" t="s">
        <v>43166</v>
      </c>
      <c r="O11263" t="s">
        <v>43167</v>
      </c>
      <c r="P11263">
        <v>0</v>
      </c>
      <c r="Q11263">
        <v>2</v>
      </c>
      <c r="R11263" t="s">
        <v>43180</v>
      </c>
      <c r="S11263" t="s">
        <v>43646</v>
      </c>
      <c r="T11263" t="s">
        <v>44704</v>
      </c>
      <c r="U11263" t="s">
        <v>54174</v>
      </c>
      <c r="W11263" t="s">
        <v>42671</v>
      </c>
      <c r="X11263" t="s">
        <v>43181</v>
      </c>
    </row>
    <row r="11264" spans="1:24">
      <c r="A11264">
        <f>HYPERLINK("https://www.philgeps.gov.ph/GEPSNONPILOT/Tender/SplashBidNoticeAbstractUI.aspx?menuIndex=3&amp;refID=7065414&amp;Result=3","7065414")</f>
        <v>0</v>
      </c>
      <c r="B11264" t="s">
        <v>2944</v>
      </c>
      <c r="C11264" t="s">
        <v>14170</v>
      </c>
      <c r="D11264" t="s">
        <v>17435</v>
      </c>
      <c r="E11264" t="s">
        <v>27142</v>
      </c>
      <c r="F11264" t="s">
        <v>30052</v>
      </c>
      <c r="G11264" t="s">
        <v>30058</v>
      </c>
      <c r="H11264" t="s">
        <v>30067</v>
      </c>
      <c r="I11264" t="s">
        <v>3693</v>
      </c>
      <c r="J11264" t="s">
        <v>37096</v>
      </c>
      <c r="K11264" t="s">
        <v>39031</v>
      </c>
      <c r="M11264" t="s">
        <v>42684</v>
      </c>
      <c r="N11264" t="s">
        <v>43166</v>
      </c>
      <c r="O11264" t="s">
        <v>43167</v>
      </c>
      <c r="P11264">
        <v>0</v>
      </c>
      <c r="Q11264">
        <v>0</v>
      </c>
      <c r="R11264" t="s">
        <v>43179</v>
      </c>
      <c r="S11264" t="s">
        <v>43583</v>
      </c>
      <c r="T11264" t="s">
        <v>44780</v>
      </c>
      <c r="U11264" t="s">
        <v>54175</v>
      </c>
      <c r="W11264" t="s">
        <v>42509</v>
      </c>
      <c r="X11264" t="s">
        <v>43180</v>
      </c>
    </row>
    <row r="11265" spans="1:24">
      <c r="A11265">
        <f>HYPERLINK("https://www.philgeps.gov.ph/GEPSNONPILOT/Tender/SplashBidNoticeAbstractUI.aspx?menuIndex=3&amp;refID=7058208&amp;Result=3","7058208")</f>
        <v>0</v>
      </c>
      <c r="B11265" t="s">
        <v>1240</v>
      </c>
      <c r="C11265" t="s">
        <v>14171</v>
      </c>
      <c r="D11265" t="s">
        <v>17424</v>
      </c>
      <c r="E11265" t="s">
        <v>27143</v>
      </c>
      <c r="F11265" t="s">
        <v>30052</v>
      </c>
      <c r="G11265" t="s">
        <v>30058</v>
      </c>
      <c r="H11265" t="s">
        <v>15498</v>
      </c>
      <c r="I11265" t="s">
        <v>3736</v>
      </c>
      <c r="J11265" t="s">
        <v>37097</v>
      </c>
      <c r="K11265" t="s">
        <v>39025</v>
      </c>
      <c r="M11265" t="s">
        <v>40596</v>
      </c>
      <c r="N11265" t="s">
        <v>43166</v>
      </c>
      <c r="O11265" t="s">
        <v>43167</v>
      </c>
      <c r="Q11265">
        <v>1</v>
      </c>
      <c r="R11265" t="s">
        <v>43180</v>
      </c>
      <c r="S11265" t="s">
        <v>43712</v>
      </c>
      <c r="T11265" t="s">
        <v>45139</v>
      </c>
      <c r="U11265" t="s">
        <v>54176</v>
      </c>
      <c r="V11265" t="s">
        <v>58015</v>
      </c>
      <c r="W11265" t="s">
        <v>40596</v>
      </c>
      <c r="X11265" t="s">
        <v>43184</v>
      </c>
    </row>
    <row r="11266" spans="1:24">
      <c r="A11266">
        <f>HYPERLINK("https://www.philgeps.gov.ph/GEPSNONPILOT/Tender/SplashBidNoticeAbstractUI.aspx?menuIndex=3&amp;refID=7059440&amp;Result=3","7059440")</f>
        <v>0</v>
      </c>
      <c r="B11266" t="s">
        <v>3018</v>
      </c>
      <c r="C11266" t="s">
        <v>14172</v>
      </c>
      <c r="D11266" t="s">
        <v>17427</v>
      </c>
      <c r="E11266" t="s">
        <v>27144</v>
      </c>
      <c r="F11266" t="s">
        <v>30052</v>
      </c>
      <c r="G11266" t="s">
        <v>30058</v>
      </c>
      <c r="H11266" t="s">
        <v>15498</v>
      </c>
      <c r="I11266" t="s">
        <v>30144</v>
      </c>
      <c r="J11266" t="s">
        <v>37098</v>
      </c>
      <c r="K11266" t="s">
        <v>39048</v>
      </c>
      <c r="M11266" t="s">
        <v>42596</v>
      </c>
      <c r="N11266" t="s">
        <v>43166</v>
      </c>
      <c r="O11266" t="s">
        <v>43167</v>
      </c>
      <c r="Q11266">
        <v>0</v>
      </c>
      <c r="R11266" t="s">
        <v>43180</v>
      </c>
      <c r="S11266" t="s">
        <v>43713</v>
      </c>
      <c r="T11266" t="s">
        <v>44699</v>
      </c>
      <c r="U11266" t="s">
        <v>53820</v>
      </c>
      <c r="V11266" t="s">
        <v>53820</v>
      </c>
      <c r="W11266" t="s">
        <v>42596</v>
      </c>
      <c r="X11266" t="s">
        <v>43182</v>
      </c>
    </row>
    <row r="11267" spans="1:24">
      <c r="A11267">
        <f>HYPERLINK("https://www.philgeps.gov.ph/GEPSNONPILOT/Tender/SplashBidNoticeAbstractUI.aspx?menuIndex=3&amp;refID=7065411&amp;Result=3","7065411")</f>
        <v>0</v>
      </c>
      <c r="B11267" t="s">
        <v>2950</v>
      </c>
      <c r="C11267" t="s">
        <v>14173</v>
      </c>
      <c r="D11267" t="s">
        <v>17475</v>
      </c>
      <c r="E11267" t="s">
        <v>18646</v>
      </c>
      <c r="F11267" t="s">
        <v>30052</v>
      </c>
      <c r="G11267" t="s">
        <v>30058</v>
      </c>
      <c r="H11267" t="s">
        <v>30067</v>
      </c>
      <c r="I11267" t="s">
        <v>3693</v>
      </c>
      <c r="J11267" t="s">
        <v>30281</v>
      </c>
      <c r="K11267" t="s">
        <v>39061</v>
      </c>
      <c r="M11267" t="s">
        <v>42515</v>
      </c>
      <c r="N11267" t="s">
        <v>43166</v>
      </c>
      <c r="O11267" t="s">
        <v>43167</v>
      </c>
      <c r="Q11267">
        <v>0</v>
      </c>
      <c r="R11267" t="s">
        <v>43179</v>
      </c>
      <c r="S11267" t="s">
        <v>43714</v>
      </c>
      <c r="T11267" t="s">
        <v>44681</v>
      </c>
      <c r="U11267" t="s">
        <v>54177</v>
      </c>
      <c r="V11267" t="s">
        <v>58008</v>
      </c>
      <c r="W11267" t="s">
        <v>42515</v>
      </c>
      <c r="X11267" t="s">
        <v>43180</v>
      </c>
    </row>
    <row r="11268" spans="1:24">
      <c r="A11268">
        <f>HYPERLINK("https://www.philgeps.gov.ph/GEPSNONPILOT/Tender/SplashBidNoticeAbstractUI.aspx?menuIndex=3&amp;refID=7064139&amp;Result=3","7064139")</f>
        <v>0</v>
      </c>
      <c r="B11268" t="s">
        <v>2417</v>
      </c>
      <c r="C11268" t="s">
        <v>14174</v>
      </c>
      <c r="D11268" t="s">
        <v>17414</v>
      </c>
      <c r="E11268" t="s">
        <v>27145</v>
      </c>
      <c r="F11268" t="s">
        <v>30052</v>
      </c>
      <c r="G11268" t="s">
        <v>30058</v>
      </c>
      <c r="H11268" t="s">
        <v>15498</v>
      </c>
      <c r="I11268" t="s">
        <v>3852</v>
      </c>
      <c r="J11268" t="s">
        <v>30528</v>
      </c>
      <c r="K11268" t="s">
        <v>39029</v>
      </c>
      <c r="M11268" t="s">
        <v>41914</v>
      </c>
      <c r="N11268" t="s">
        <v>43166</v>
      </c>
      <c r="O11268" t="s">
        <v>43167</v>
      </c>
      <c r="P11268">
        <v>0</v>
      </c>
      <c r="Q11268">
        <v>0</v>
      </c>
      <c r="R11268" t="s">
        <v>43180</v>
      </c>
      <c r="S11268" t="s">
        <v>43646</v>
      </c>
      <c r="T11268" t="s">
        <v>44713</v>
      </c>
      <c r="U11268" t="s">
        <v>51539</v>
      </c>
      <c r="W11268" t="s">
        <v>41914</v>
      </c>
      <c r="X11268" t="s">
        <v>43181</v>
      </c>
    </row>
    <row r="11269" spans="1:24">
      <c r="A11269">
        <f>HYPERLINK("https://www.philgeps.gov.ph/GEPSNONPILOT/Tender/SplashBidNoticeAbstractUI.aspx?menuIndex=3&amp;refID=7059372&amp;Result=3","7059372")</f>
        <v>0</v>
      </c>
      <c r="B11269" t="s">
        <v>33</v>
      </c>
      <c r="C11269" t="s">
        <v>14175</v>
      </c>
      <c r="D11269" t="s">
        <v>17419</v>
      </c>
      <c r="E11269" t="s">
        <v>27146</v>
      </c>
      <c r="F11269" t="s">
        <v>30052</v>
      </c>
      <c r="G11269" t="s">
        <v>30058</v>
      </c>
      <c r="H11269" t="s">
        <v>15498</v>
      </c>
      <c r="I11269" t="s">
        <v>5961</v>
      </c>
      <c r="J11269" t="s">
        <v>37099</v>
      </c>
      <c r="K11269" t="s">
        <v>39025</v>
      </c>
      <c r="M11269" t="s">
        <v>39323</v>
      </c>
      <c r="N11269" t="s">
        <v>43166</v>
      </c>
      <c r="O11269" t="s">
        <v>43167</v>
      </c>
      <c r="P11269">
        <v>0</v>
      </c>
      <c r="Q11269">
        <v>0</v>
      </c>
      <c r="R11269" t="s">
        <v>43180</v>
      </c>
      <c r="S11269" t="s">
        <v>43646</v>
      </c>
      <c r="T11269" t="s">
        <v>44969</v>
      </c>
      <c r="U11269" t="s">
        <v>54178</v>
      </c>
      <c r="W11269" t="s">
        <v>39323</v>
      </c>
      <c r="X11269" t="s">
        <v>43182</v>
      </c>
    </row>
    <row r="11270" spans="1:24">
      <c r="A11270">
        <f>HYPERLINK("https://www.philgeps.gov.ph/GEPSNONPILOT/Tender/SplashBidNoticeAbstractUI.aspx?menuIndex=3&amp;refID=7064217&amp;Result=3","7064217")</f>
        <v>0</v>
      </c>
      <c r="B11270" t="s">
        <v>3096</v>
      </c>
      <c r="C11270" t="s">
        <v>14176</v>
      </c>
      <c r="D11270" t="s">
        <v>17415</v>
      </c>
      <c r="E11270" t="s">
        <v>27147</v>
      </c>
      <c r="F11270" t="s">
        <v>30052</v>
      </c>
      <c r="G11270" t="s">
        <v>30060</v>
      </c>
      <c r="H11270" t="s">
        <v>15498</v>
      </c>
      <c r="I11270" t="s">
        <v>30085</v>
      </c>
      <c r="J11270" t="s">
        <v>37100</v>
      </c>
      <c r="K11270" t="s">
        <v>39019</v>
      </c>
      <c r="M11270" t="s">
        <v>42685</v>
      </c>
      <c r="N11270" t="s">
        <v>43166</v>
      </c>
      <c r="O11270" t="s">
        <v>43167</v>
      </c>
      <c r="P11270">
        <v>0</v>
      </c>
      <c r="Q11270">
        <v>1</v>
      </c>
      <c r="R11270" t="s">
        <v>43180</v>
      </c>
      <c r="S11270" t="s">
        <v>43646</v>
      </c>
      <c r="T11270" t="s">
        <v>44689</v>
      </c>
      <c r="U11270" t="s">
        <v>54179</v>
      </c>
      <c r="W11270" t="s">
        <v>42685</v>
      </c>
      <c r="X11270" t="s">
        <v>43181</v>
      </c>
    </row>
    <row r="11271" spans="1:24">
      <c r="A11271">
        <f>HYPERLINK("https://www.philgeps.gov.ph/GEPSNONPILOT/Tender/SplashBidNoticeAbstractUI.aspx?menuIndex=3&amp;refID=7059490&amp;Result=3","7059490")</f>
        <v>0</v>
      </c>
      <c r="B11271" t="s">
        <v>2697</v>
      </c>
      <c r="C11271" t="s">
        <v>14177</v>
      </c>
      <c r="D11271" t="s">
        <v>17445</v>
      </c>
      <c r="E11271" t="s">
        <v>27148</v>
      </c>
      <c r="F11271" t="s">
        <v>30052</v>
      </c>
      <c r="G11271" t="s">
        <v>30058</v>
      </c>
      <c r="H11271" t="s">
        <v>30067</v>
      </c>
      <c r="I11271" t="s">
        <v>3693</v>
      </c>
      <c r="J11271" t="s">
        <v>37101</v>
      </c>
      <c r="K11271" t="s">
        <v>39255</v>
      </c>
      <c r="M11271" t="s">
        <v>42588</v>
      </c>
      <c r="N11271" t="s">
        <v>43166</v>
      </c>
      <c r="O11271" t="s">
        <v>43167</v>
      </c>
      <c r="Q11271">
        <v>1</v>
      </c>
      <c r="R11271" t="s">
        <v>43180</v>
      </c>
      <c r="S11271" t="s">
        <v>43715</v>
      </c>
      <c r="T11271" t="s">
        <v>44758</v>
      </c>
      <c r="U11271" t="s">
        <v>54180</v>
      </c>
      <c r="W11271" t="s">
        <v>42588</v>
      </c>
      <c r="X11271" t="s">
        <v>43182</v>
      </c>
    </row>
    <row r="11272" spans="1:24">
      <c r="A11272">
        <f>HYPERLINK("https://www.philgeps.gov.ph/GEPSNONPILOT/Tender/SplashBidNoticeAbstractUI.aspx?menuIndex=3&amp;refID=7059650&amp;Result=3","7059650")</f>
        <v>0</v>
      </c>
      <c r="B11272" t="s">
        <v>33</v>
      </c>
      <c r="C11272" t="s">
        <v>14178</v>
      </c>
      <c r="D11272" t="s">
        <v>17419</v>
      </c>
      <c r="E11272" t="s">
        <v>27149</v>
      </c>
      <c r="F11272" t="s">
        <v>30052</v>
      </c>
      <c r="G11272" t="s">
        <v>30058</v>
      </c>
      <c r="H11272" t="s">
        <v>15498</v>
      </c>
      <c r="I11272" t="s">
        <v>3736</v>
      </c>
      <c r="J11272" t="s">
        <v>37102</v>
      </c>
      <c r="K11272" t="s">
        <v>39025</v>
      </c>
      <c r="M11272" t="s">
        <v>39323</v>
      </c>
      <c r="N11272" t="s">
        <v>43166</v>
      </c>
      <c r="O11272" t="s">
        <v>43167</v>
      </c>
      <c r="P11272">
        <v>0</v>
      </c>
      <c r="Q11272">
        <v>0</v>
      </c>
      <c r="R11272" t="s">
        <v>43180</v>
      </c>
      <c r="S11272" t="s">
        <v>43646</v>
      </c>
      <c r="T11272" t="s">
        <v>44969</v>
      </c>
      <c r="U11272" t="s">
        <v>54181</v>
      </c>
      <c r="W11272" t="s">
        <v>39323</v>
      </c>
      <c r="X11272" t="s">
        <v>43182</v>
      </c>
    </row>
    <row r="11273" spans="1:24">
      <c r="A11273">
        <f>HYPERLINK("https://www.philgeps.gov.ph/GEPSNONPILOT/Tender/SplashBidNoticeAbstractUI.aspx?menuIndex=3&amp;refID=7060740&amp;Result=3","7060740")</f>
        <v>0</v>
      </c>
      <c r="B11273" t="s">
        <v>2412</v>
      </c>
      <c r="C11273" t="s">
        <v>14179</v>
      </c>
      <c r="D11273" t="s">
        <v>17478</v>
      </c>
      <c r="E11273" t="s">
        <v>27150</v>
      </c>
      <c r="F11273" t="s">
        <v>30052</v>
      </c>
      <c r="G11273" t="s">
        <v>30058</v>
      </c>
      <c r="H11273" t="s">
        <v>15498</v>
      </c>
      <c r="I11273" t="s">
        <v>30074</v>
      </c>
      <c r="J11273" t="s">
        <v>37103</v>
      </c>
      <c r="K11273" t="s">
        <v>39034</v>
      </c>
      <c r="M11273" t="s">
        <v>41909</v>
      </c>
      <c r="N11273" t="s">
        <v>43166</v>
      </c>
      <c r="O11273" t="s">
        <v>43167</v>
      </c>
      <c r="P11273">
        <v>0</v>
      </c>
      <c r="Q11273">
        <v>4</v>
      </c>
      <c r="R11273" t="s">
        <v>43180</v>
      </c>
      <c r="S11273" t="s">
        <v>43646</v>
      </c>
      <c r="T11273" t="s">
        <v>44753</v>
      </c>
      <c r="U11273" t="s">
        <v>54182</v>
      </c>
      <c r="V11273" t="s">
        <v>58094</v>
      </c>
      <c r="W11273" t="s">
        <v>41909</v>
      </c>
      <c r="X11273" t="s">
        <v>43182</v>
      </c>
    </row>
    <row r="11274" spans="1:24">
      <c r="A11274">
        <f>HYPERLINK("https://www.philgeps.gov.ph/GEPSNONPILOT/Tender/SplashBidNoticeAbstractUI.aspx?menuIndex=3&amp;refID=7064199&amp;Result=3","7064199")</f>
        <v>0</v>
      </c>
      <c r="B11274" t="s">
        <v>3090</v>
      </c>
      <c r="C11274" t="s">
        <v>14180</v>
      </c>
      <c r="D11274" t="s">
        <v>17453</v>
      </c>
      <c r="E11274" t="s">
        <v>27151</v>
      </c>
      <c r="F11274" t="s">
        <v>30052</v>
      </c>
      <c r="G11274" t="s">
        <v>30058</v>
      </c>
      <c r="H11274" t="s">
        <v>30067</v>
      </c>
      <c r="I11274" t="s">
        <v>3693</v>
      </c>
      <c r="J11274" t="s">
        <v>30252</v>
      </c>
      <c r="K11274" t="s">
        <v>39086</v>
      </c>
      <c r="M11274" t="s">
        <v>42674</v>
      </c>
      <c r="N11274" t="s">
        <v>43166</v>
      </c>
      <c r="O11274" t="s">
        <v>43167</v>
      </c>
      <c r="P11274">
        <v>0</v>
      </c>
      <c r="Q11274">
        <v>0</v>
      </c>
      <c r="R11274" t="s">
        <v>43180</v>
      </c>
      <c r="S11274" t="s">
        <v>43646</v>
      </c>
      <c r="T11274" t="s">
        <v>44699</v>
      </c>
      <c r="U11274" t="s">
        <v>54183</v>
      </c>
      <c r="V11274" t="s">
        <v>58089</v>
      </c>
      <c r="W11274" t="s">
        <v>42674</v>
      </c>
      <c r="X11274" t="s">
        <v>43181</v>
      </c>
    </row>
    <row r="11275" spans="1:24">
      <c r="A11275">
        <f>HYPERLINK("https://www.philgeps.gov.ph/GEPSNONPILOT/Tender/SplashBidNoticeAbstractUI.aspx?menuIndex=3&amp;refID=7064212&amp;Result=3","7064212")</f>
        <v>0</v>
      </c>
      <c r="B11275" t="s">
        <v>3090</v>
      </c>
      <c r="C11275" t="s">
        <v>14181</v>
      </c>
      <c r="D11275" t="s">
        <v>17453</v>
      </c>
      <c r="E11275" t="s">
        <v>27152</v>
      </c>
      <c r="F11275" t="s">
        <v>30052</v>
      </c>
      <c r="G11275" t="s">
        <v>30058</v>
      </c>
      <c r="H11275" t="s">
        <v>30067</v>
      </c>
      <c r="I11275" t="s">
        <v>3693</v>
      </c>
      <c r="J11275" t="s">
        <v>30209</v>
      </c>
      <c r="K11275" t="s">
        <v>39076</v>
      </c>
      <c r="M11275" t="s">
        <v>42674</v>
      </c>
      <c r="N11275" t="s">
        <v>43166</v>
      </c>
      <c r="O11275" t="s">
        <v>43167</v>
      </c>
      <c r="P11275">
        <v>0</v>
      </c>
      <c r="Q11275">
        <v>0</v>
      </c>
      <c r="R11275" t="s">
        <v>43180</v>
      </c>
      <c r="S11275" t="s">
        <v>43646</v>
      </c>
      <c r="T11275" t="s">
        <v>44699</v>
      </c>
      <c r="U11275" t="s">
        <v>54184</v>
      </c>
      <c r="V11275" t="s">
        <v>58089</v>
      </c>
      <c r="W11275" t="s">
        <v>42674</v>
      </c>
      <c r="X11275" t="s">
        <v>43181</v>
      </c>
    </row>
    <row r="11276" spans="1:24">
      <c r="A11276">
        <f>HYPERLINK("https://www.philgeps.gov.ph/GEPSNONPILOT/Tender/SplashBidNoticeAbstractUI.aspx?menuIndex=3&amp;refID=7064185&amp;Result=3","7064185")</f>
        <v>0</v>
      </c>
      <c r="B11276" t="s">
        <v>3090</v>
      </c>
      <c r="C11276" t="s">
        <v>14182</v>
      </c>
      <c r="D11276" t="s">
        <v>17453</v>
      </c>
      <c r="E11276" t="s">
        <v>27153</v>
      </c>
      <c r="F11276" t="s">
        <v>30052</v>
      </c>
      <c r="G11276" t="s">
        <v>30058</v>
      </c>
      <c r="H11276" t="s">
        <v>30067</v>
      </c>
      <c r="I11276" t="s">
        <v>3693</v>
      </c>
      <c r="J11276" t="s">
        <v>30252</v>
      </c>
      <c r="K11276" t="s">
        <v>39086</v>
      </c>
      <c r="M11276" t="s">
        <v>42674</v>
      </c>
      <c r="N11276" t="s">
        <v>43166</v>
      </c>
      <c r="O11276" t="s">
        <v>43167</v>
      </c>
      <c r="P11276">
        <v>0</v>
      </c>
      <c r="Q11276">
        <v>0</v>
      </c>
      <c r="R11276" t="s">
        <v>43180</v>
      </c>
      <c r="S11276" t="s">
        <v>43646</v>
      </c>
      <c r="T11276" t="s">
        <v>44699</v>
      </c>
      <c r="U11276" t="s">
        <v>54185</v>
      </c>
      <c r="V11276" t="s">
        <v>58089</v>
      </c>
      <c r="W11276" t="s">
        <v>42674</v>
      </c>
      <c r="X11276" t="s">
        <v>43181</v>
      </c>
    </row>
    <row r="11277" spans="1:24">
      <c r="A11277">
        <f>HYPERLINK("https://www.philgeps.gov.ph/GEPSNONPILOT/Tender/SplashBidNoticeAbstractUI.aspx?menuIndex=3&amp;refID=7064067&amp;Result=3","7064067")</f>
        <v>0</v>
      </c>
      <c r="B11277" t="s">
        <v>2660</v>
      </c>
      <c r="C11277" t="s">
        <v>14183</v>
      </c>
      <c r="D11277" t="s">
        <v>17415</v>
      </c>
      <c r="E11277" t="s">
        <v>27154</v>
      </c>
      <c r="F11277" t="s">
        <v>30052</v>
      </c>
      <c r="G11277" t="s">
        <v>30059</v>
      </c>
      <c r="H11277" t="s">
        <v>15498</v>
      </c>
      <c r="I11277" t="s">
        <v>9238</v>
      </c>
      <c r="J11277" t="s">
        <v>31117</v>
      </c>
      <c r="K11277" t="s">
        <v>39029</v>
      </c>
      <c r="M11277" t="s">
        <v>42179</v>
      </c>
      <c r="N11277" t="s">
        <v>43166</v>
      </c>
      <c r="O11277" t="s">
        <v>43167</v>
      </c>
      <c r="Q11277">
        <v>8</v>
      </c>
      <c r="R11277" t="s">
        <v>43180</v>
      </c>
      <c r="S11277" t="s">
        <v>43706</v>
      </c>
      <c r="T11277" t="s">
        <v>44729</v>
      </c>
      <c r="U11277" t="s">
        <v>54186</v>
      </c>
      <c r="V11277" t="s">
        <v>58088</v>
      </c>
      <c r="W11277" t="s">
        <v>42179</v>
      </c>
      <c r="X11277" t="s">
        <v>43181</v>
      </c>
    </row>
    <row r="11278" spans="1:24">
      <c r="A11278">
        <f>HYPERLINK("https://www.philgeps.gov.ph/GEPSNONPILOT/Tender/SplashBidNoticeAbstractUI.aspx?menuIndex=3&amp;refID=7064191&amp;Result=3","7064191")</f>
        <v>0</v>
      </c>
      <c r="B11278" t="s">
        <v>3090</v>
      </c>
      <c r="C11278" t="s">
        <v>14184</v>
      </c>
      <c r="D11278" t="s">
        <v>17453</v>
      </c>
      <c r="E11278" t="s">
        <v>27155</v>
      </c>
      <c r="F11278" t="s">
        <v>30052</v>
      </c>
      <c r="G11278" t="s">
        <v>30058</v>
      </c>
      <c r="H11278" t="s">
        <v>30067</v>
      </c>
      <c r="I11278" t="s">
        <v>3693</v>
      </c>
      <c r="J11278" t="s">
        <v>30252</v>
      </c>
      <c r="K11278" t="s">
        <v>39046</v>
      </c>
      <c r="M11278" t="s">
        <v>42674</v>
      </c>
      <c r="N11278" t="s">
        <v>43166</v>
      </c>
      <c r="O11278" t="s">
        <v>43167</v>
      </c>
      <c r="P11278">
        <v>0</v>
      </c>
      <c r="Q11278">
        <v>0</v>
      </c>
      <c r="R11278" t="s">
        <v>43180</v>
      </c>
      <c r="S11278" t="s">
        <v>43646</v>
      </c>
      <c r="T11278" t="s">
        <v>44699</v>
      </c>
      <c r="U11278" t="s">
        <v>54184</v>
      </c>
      <c r="V11278" t="s">
        <v>58089</v>
      </c>
      <c r="W11278" t="s">
        <v>42674</v>
      </c>
      <c r="X11278" t="s">
        <v>43181</v>
      </c>
    </row>
    <row r="11279" spans="1:24">
      <c r="A11279">
        <f>HYPERLINK("https://www.philgeps.gov.ph/GEPSNONPILOT/Tender/SplashBidNoticeAbstractUI.aspx?menuIndex=3&amp;refID=7064159&amp;Result=3","7064159")</f>
        <v>0</v>
      </c>
      <c r="B11279" t="s">
        <v>3090</v>
      </c>
      <c r="C11279" t="s">
        <v>14185</v>
      </c>
      <c r="D11279" t="s">
        <v>17453</v>
      </c>
      <c r="E11279" t="s">
        <v>27156</v>
      </c>
      <c r="F11279" t="s">
        <v>30052</v>
      </c>
      <c r="G11279" t="s">
        <v>30058</v>
      </c>
      <c r="H11279" t="s">
        <v>30067</v>
      </c>
      <c r="I11279" t="s">
        <v>3693</v>
      </c>
      <c r="J11279" t="s">
        <v>30277</v>
      </c>
      <c r="K11279" t="s">
        <v>39046</v>
      </c>
      <c r="M11279" t="s">
        <v>42674</v>
      </c>
      <c r="N11279" t="s">
        <v>43166</v>
      </c>
      <c r="O11279" t="s">
        <v>43167</v>
      </c>
      <c r="P11279">
        <v>0</v>
      </c>
      <c r="Q11279">
        <v>0</v>
      </c>
      <c r="R11279" t="s">
        <v>43180</v>
      </c>
      <c r="S11279" t="s">
        <v>43646</v>
      </c>
      <c r="T11279" t="s">
        <v>44699</v>
      </c>
      <c r="U11279" t="s">
        <v>54187</v>
      </c>
      <c r="V11279" t="s">
        <v>58089</v>
      </c>
      <c r="W11279" t="s">
        <v>42674</v>
      </c>
      <c r="X11279" t="s">
        <v>43181</v>
      </c>
    </row>
    <row r="11280" spans="1:24">
      <c r="A11280">
        <f>HYPERLINK("https://www.philgeps.gov.ph/GEPSNONPILOT/Tender/SplashBidNoticeAbstractUI.aspx?menuIndex=3&amp;refID=7064189&amp;Result=3","7064189")</f>
        <v>0</v>
      </c>
      <c r="B11280" t="s">
        <v>3090</v>
      </c>
      <c r="C11280" t="s">
        <v>14186</v>
      </c>
      <c r="D11280" t="s">
        <v>17453</v>
      </c>
      <c r="E11280" t="s">
        <v>27157</v>
      </c>
      <c r="F11280" t="s">
        <v>30052</v>
      </c>
      <c r="G11280" t="s">
        <v>30058</v>
      </c>
      <c r="H11280" t="s">
        <v>30067</v>
      </c>
      <c r="I11280" t="s">
        <v>3693</v>
      </c>
      <c r="J11280" t="s">
        <v>30252</v>
      </c>
      <c r="K11280" t="s">
        <v>39173</v>
      </c>
      <c r="M11280" t="s">
        <v>42674</v>
      </c>
      <c r="N11280" t="s">
        <v>43166</v>
      </c>
      <c r="O11280" t="s">
        <v>43167</v>
      </c>
      <c r="P11280">
        <v>0</v>
      </c>
      <c r="Q11280">
        <v>0</v>
      </c>
      <c r="R11280" t="s">
        <v>43180</v>
      </c>
      <c r="S11280" t="s">
        <v>43646</v>
      </c>
      <c r="T11280" t="s">
        <v>44699</v>
      </c>
      <c r="U11280" t="s">
        <v>54188</v>
      </c>
      <c r="V11280" t="s">
        <v>58089</v>
      </c>
      <c r="W11280" t="s">
        <v>42674</v>
      </c>
      <c r="X11280" t="s">
        <v>43181</v>
      </c>
    </row>
    <row r="11281" spans="1:24">
      <c r="A11281">
        <f>HYPERLINK("https://www.philgeps.gov.ph/GEPSNONPILOT/Tender/SplashBidNoticeAbstractUI.aspx?menuIndex=3&amp;refID=7064157&amp;Result=3","7064157")</f>
        <v>0</v>
      </c>
      <c r="B11281" t="s">
        <v>3097</v>
      </c>
      <c r="C11281" t="s">
        <v>14187</v>
      </c>
      <c r="D11281" t="s">
        <v>17415</v>
      </c>
      <c r="E11281" t="s">
        <v>27158</v>
      </c>
      <c r="F11281" t="s">
        <v>30052</v>
      </c>
      <c r="G11281" t="s">
        <v>30058</v>
      </c>
      <c r="H11281" t="s">
        <v>30068</v>
      </c>
      <c r="I11281" t="s">
        <v>30068</v>
      </c>
      <c r="J11281" t="s">
        <v>30321</v>
      </c>
      <c r="K11281" t="s">
        <v>39095</v>
      </c>
      <c r="M11281" t="s">
        <v>42686</v>
      </c>
      <c r="N11281" t="s">
        <v>43166</v>
      </c>
      <c r="O11281" t="s">
        <v>43167</v>
      </c>
      <c r="Q11281">
        <v>3</v>
      </c>
      <c r="R11281" t="s">
        <v>43180</v>
      </c>
      <c r="S11281" t="s">
        <v>43716</v>
      </c>
      <c r="T11281" t="s">
        <v>45049</v>
      </c>
      <c r="U11281" t="s">
        <v>54189</v>
      </c>
      <c r="W11281" t="s">
        <v>42686</v>
      </c>
      <c r="X11281" t="s">
        <v>43181</v>
      </c>
    </row>
    <row r="11282" spans="1:24">
      <c r="A11282">
        <f>HYPERLINK("https://www.philgeps.gov.ph/GEPSNONPILOT/Tender/SplashBidNoticeAbstractUI.aspx?menuIndex=3&amp;refID=7064155&amp;Result=3","7064155")</f>
        <v>0</v>
      </c>
      <c r="B11282" t="s">
        <v>3090</v>
      </c>
      <c r="C11282" t="s">
        <v>14188</v>
      </c>
      <c r="D11282" t="s">
        <v>17453</v>
      </c>
      <c r="E11282" t="s">
        <v>27159</v>
      </c>
      <c r="F11282" t="s">
        <v>30052</v>
      </c>
      <c r="G11282" t="s">
        <v>30058</v>
      </c>
      <c r="H11282" t="s">
        <v>30067</v>
      </c>
      <c r="I11282" t="s">
        <v>3693</v>
      </c>
      <c r="J11282" t="s">
        <v>30218</v>
      </c>
      <c r="K11282" t="s">
        <v>39073</v>
      </c>
      <c r="M11282" t="s">
        <v>42674</v>
      </c>
      <c r="N11282" t="s">
        <v>43166</v>
      </c>
      <c r="O11282" t="s">
        <v>43167</v>
      </c>
      <c r="P11282">
        <v>0</v>
      </c>
      <c r="Q11282">
        <v>0</v>
      </c>
      <c r="R11282" t="s">
        <v>43180</v>
      </c>
      <c r="S11282" t="s">
        <v>43646</v>
      </c>
      <c r="T11282" t="s">
        <v>44699</v>
      </c>
      <c r="U11282" t="s">
        <v>54190</v>
      </c>
      <c r="V11282" t="s">
        <v>58089</v>
      </c>
      <c r="W11282" t="s">
        <v>42674</v>
      </c>
      <c r="X11282" t="s">
        <v>43181</v>
      </c>
    </row>
    <row r="11283" spans="1:24">
      <c r="A11283">
        <f>HYPERLINK("https://www.philgeps.gov.ph/GEPSNONPILOT/Tender/SplashBidNoticeAbstractUI.aspx?menuIndex=3&amp;refID=7064153&amp;Result=3","7064153")</f>
        <v>0</v>
      </c>
      <c r="B11283" t="s">
        <v>3090</v>
      </c>
      <c r="C11283" t="s">
        <v>14189</v>
      </c>
      <c r="D11283" t="s">
        <v>17453</v>
      </c>
      <c r="E11283" t="s">
        <v>27160</v>
      </c>
      <c r="F11283" t="s">
        <v>30052</v>
      </c>
      <c r="G11283" t="s">
        <v>30058</v>
      </c>
      <c r="H11283" t="s">
        <v>30067</v>
      </c>
      <c r="I11283" t="s">
        <v>3693</v>
      </c>
      <c r="J11283" t="s">
        <v>30277</v>
      </c>
      <c r="K11283" t="s">
        <v>39073</v>
      </c>
      <c r="M11283" t="s">
        <v>42674</v>
      </c>
      <c r="N11283" t="s">
        <v>43166</v>
      </c>
      <c r="O11283" t="s">
        <v>43167</v>
      </c>
      <c r="P11283">
        <v>0</v>
      </c>
      <c r="Q11283">
        <v>0</v>
      </c>
      <c r="R11283" t="s">
        <v>43180</v>
      </c>
      <c r="S11283" t="s">
        <v>43646</v>
      </c>
      <c r="T11283" t="s">
        <v>44699</v>
      </c>
      <c r="U11283" t="s">
        <v>54191</v>
      </c>
      <c r="V11283" t="s">
        <v>58089</v>
      </c>
      <c r="W11283" t="s">
        <v>42674</v>
      </c>
      <c r="X11283" t="s">
        <v>43181</v>
      </c>
    </row>
    <row r="11284" spans="1:24">
      <c r="A11284">
        <f>HYPERLINK("https://www.philgeps.gov.ph/GEPSNONPILOT/Tender/SplashBidNoticeAbstractUI.aspx?menuIndex=3&amp;refID=7064147&amp;Result=3","7064147")</f>
        <v>0</v>
      </c>
      <c r="B11284" t="s">
        <v>3090</v>
      </c>
      <c r="C11284" t="s">
        <v>14190</v>
      </c>
      <c r="D11284" t="s">
        <v>17453</v>
      </c>
      <c r="E11284" t="s">
        <v>27161</v>
      </c>
      <c r="F11284" t="s">
        <v>30052</v>
      </c>
      <c r="G11284" t="s">
        <v>30058</v>
      </c>
      <c r="H11284" t="s">
        <v>30067</v>
      </c>
      <c r="I11284" t="s">
        <v>3693</v>
      </c>
      <c r="J11284" t="s">
        <v>30230</v>
      </c>
      <c r="K11284" t="s">
        <v>39037</v>
      </c>
      <c r="M11284" t="s">
        <v>42674</v>
      </c>
      <c r="N11284" t="s">
        <v>43166</v>
      </c>
      <c r="O11284" t="s">
        <v>43167</v>
      </c>
      <c r="P11284">
        <v>0</v>
      </c>
      <c r="Q11284">
        <v>0</v>
      </c>
      <c r="R11284" t="s">
        <v>43180</v>
      </c>
      <c r="S11284" t="s">
        <v>43646</v>
      </c>
      <c r="T11284" t="s">
        <v>44699</v>
      </c>
      <c r="U11284" t="s">
        <v>54192</v>
      </c>
      <c r="V11284" t="s">
        <v>58089</v>
      </c>
      <c r="W11284" t="s">
        <v>42674</v>
      </c>
      <c r="X11284" t="s">
        <v>43181</v>
      </c>
    </row>
    <row r="11285" spans="1:24">
      <c r="A11285">
        <f>HYPERLINK("https://www.philgeps.gov.ph/GEPSNONPILOT/Tender/SplashBidNoticeAbstractUI.aspx?menuIndex=3&amp;refID=7064140&amp;Result=3","7064140")</f>
        <v>0</v>
      </c>
      <c r="B11285" t="s">
        <v>3090</v>
      </c>
      <c r="C11285" t="s">
        <v>14191</v>
      </c>
      <c r="D11285" t="s">
        <v>17453</v>
      </c>
      <c r="E11285" t="s">
        <v>27162</v>
      </c>
      <c r="F11285" t="s">
        <v>30052</v>
      </c>
      <c r="G11285" t="s">
        <v>30058</v>
      </c>
      <c r="H11285" t="s">
        <v>30067</v>
      </c>
      <c r="I11285" t="s">
        <v>3693</v>
      </c>
      <c r="J11285" t="s">
        <v>30230</v>
      </c>
      <c r="K11285" t="s">
        <v>39032</v>
      </c>
      <c r="M11285" t="s">
        <v>42674</v>
      </c>
      <c r="N11285" t="s">
        <v>43166</v>
      </c>
      <c r="O11285" t="s">
        <v>43167</v>
      </c>
      <c r="P11285">
        <v>0</v>
      </c>
      <c r="Q11285">
        <v>0</v>
      </c>
      <c r="R11285" t="s">
        <v>43180</v>
      </c>
      <c r="S11285" t="s">
        <v>43646</v>
      </c>
      <c r="T11285" t="s">
        <v>44699</v>
      </c>
      <c r="U11285" t="s">
        <v>54193</v>
      </c>
      <c r="V11285" t="s">
        <v>58089</v>
      </c>
      <c r="W11285" t="s">
        <v>42674</v>
      </c>
      <c r="X11285" t="s">
        <v>43181</v>
      </c>
    </row>
    <row r="11286" spans="1:24">
      <c r="A11286">
        <f>HYPERLINK("https://www.philgeps.gov.ph/GEPSNONPILOT/Tender/SplashBidNoticeAbstractUI.aspx?menuIndex=3&amp;refID=7064138&amp;Result=3","7064138")</f>
        <v>0</v>
      </c>
      <c r="B11286" t="s">
        <v>425</v>
      </c>
      <c r="C11286" t="s">
        <v>14192</v>
      </c>
      <c r="D11286" t="s">
        <v>17434</v>
      </c>
      <c r="E11286" t="s">
        <v>27163</v>
      </c>
      <c r="F11286" t="s">
        <v>30052</v>
      </c>
      <c r="G11286" t="s">
        <v>30059</v>
      </c>
      <c r="H11286" t="s">
        <v>15498</v>
      </c>
      <c r="I11286" t="s">
        <v>4598</v>
      </c>
      <c r="J11286" t="s">
        <v>30252</v>
      </c>
      <c r="K11286" t="s">
        <v>39029</v>
      </c>
      <c r="M11286" t="s">
        <v>39724</v>
      </c>
      <c r="N11286" t="s">
        <v>43166</v>
      </c>
      <c r="O11286" t="s">
        <v>43167</v>
      </c>
      <c r="Q11286">
        <v>11</v>
      </c>
      <c r="R11286" t="s">
        <v>43180</v>
      </c>
      <c r="S11286" t="s">
        <v>43717</v>
      </c>
      <c r="T11286" t="s">
        <v>44691</v>
      </c>
      <c r="U11286" t="s">
        <v>54194</v>
      </c>
      <c r="V11286" t="s">
        <v>56933</v>
      </c>
      <c r="W11286" t="s">
        <v>39724</v>
      </c>
      <c r="X11286" t="s">
        <v>43181</v>
      </c>
    </row>
    <row r="11287" spans="1:24">
      <c r="A11287">
        <f>HYPERLINK("https://www.philgeps.gov.ph/GEPSNONPILOT/Tender/SplashBidNoticeAbstractUI.aspx?menuIndex=3&amp;refID=7064133&amp;Result=3","7064133")</f>
        <v>0</v>
      </c>
      <c r="B11287" t="s">
        <v>3090</v>
      </c>
      <c r="C11287" t="s">
        <v>14193</v>
      </c>
      <c r="D11287" t="s">
        <v>17453</v>
      </c>
      <c r="E11287" t="s">
        <v>27164</v>
      </c>
      <c r="F11287" t="s">
        <v>30052</v>
      </c>
      <c r="G11287" t="s">
        <v>30058</v>
      </c>
      <c r="H11287" t="s">
        <v>30067</v>
      </c>
      <c r="I11287" t="s">
        <v>3693</v>
      </c>
      <c r="J11287" t="s">
        <v>30605</v>
      </c>
      <c r="K11287" t="s">
        <v>39029</v>
      </c>
      <c r="M11287" t="s">
        <v>42674</v>
      </c>
      <c r="N11287" t="s">
        <v>43166</v>
      </c>
      <c r="O11287" t="s">
        <v>43167</v>
      </c>
      <c r="P11287">
        <v>0</v>
      </c>
      <c r="Q11287">
        <v>0</v>
      </c>
      <c r="R11287" t="s">
        <v>43180</v>
      </c>
      <c r="S11287" t="s">
        <v>43646</v>
      </c>
      <c r="T11287" t="s">
        <v>44699</v>
      </c>
      <c r="U11287" t="s">
        <v>54195</v>
      </c>
      <c r="V11287" t="s">
        <v>58089</v>
      </c>
      <c r="W11287" t="s">
        <v>42674</v>
      </c>
      <c r="X11287" t="s">
        <v>43181</v>
      </c>
    </row>
    <row r="11288" spans="1:24">
      <c r="A11288">
        <f>HYPERLINK("https://www.philgeps.gov.ph/GEPSNONPILOT/Tender/SplashBidNoticeAbstractUI.aspx?menuIndex=3&amp;refID=7064150&amp;Result=3","7064150")</f>
        <v>0</v>
      </c>
      <c r="B11288" t="s">
        <v>1945</v>
      </c>
      <c r="C11288" t="s">
        <v>14194</v>
      </c>
      <c r="D11288" t="s">
        <v>17427</v>
      </c>
      <c r="E11288" t="s">
        <v>27165</v>
      </c>
      <c r="F11288" t="s">
        <v>30052</v>
      </c>
      <c r="G11288" t="s">
        <v>30058</v>
      </c>
      <c r="H11288" t="s">
        <v>30067</v>
      </c>
      <c r="I11288" t="s">
        <v>30170</v>
      </c>
      <c r="J11288" t="s">
        <v>37104</v>
      </c>
      <c r="K11288" t="s">
        <v>39088</v>
      </c>
      <c r="M11288" t="s">
        <v>42354</v>
      </c>
      <c r="N11288" t="s">
        <v>43166</v>
      </c>
      <c r="O11288" t="s">
        <v>43167</v>
      </c>
      <c r="Q11288">
        <v>0</v>
      </c>
      <c r="R11288" t="s">
        <v>43180</v>
      </c>
      <c r="S11288" t="s">
        <v>43718</v>
      </c>
      <c r="T11288" t="s">
        <v>44763</v>
      </c>
      <c r="U11288" t="s">
        <v>54196</v>
      </c>
      <c r="V11288" t="s">
        <v>58095</v>
      </c>
      <c r="W11288" t="s">
        <v>42354</v>
      </c>
      <c r="X11288" t="s">
        <v>43181</v>
      </c>
    </row>
    <row r="11289" spans="1:24">
      <c r="A11289">
        <f>HYPERLINK("https://www.philgeps.gov.ph/GEPSNONPILOT/Tender/SplashBidNoticeAbstractUI.aspx?menuIndex=3&amp;refID=7064169&amp;Result=3","7064169")</f>
        <v>0</v>
      </c>
      <c r="B11289" t="s">
        <v>3090</v>
      </c>
      <c r="C11289" t="s">
        <v>14195</v>
      </c>
      <c r="D11289" t="s">
        <v>17453</v>
      </c>
      <c r="E11289" t="s">
        <v>27166</v>
      </c>
      <c r="F11289" t="s">
        <v>30052</v>
      </c>
      <c r="G11289" t="s">
        <v>30058</v>
      </c>
      <c r="H11289" t="s">
        <v>30067</v>
      </c>
      <c r="I11289" t="s">
        <v>3693</v>
      </c>
      <c r="J11289" t="s">
        <v>30605</v>
      </c>
      <c r="K11289" t="s">
        <v>39038</v>
      </c>
      <c r="M11289" t="s">
        <v>42674</v>
      </c>
      <c r="N11289" t="s">
        <v>43166</v>
      </c>
      <c r="O11289" t="s">
        <v>43167</v>
      </c>
      <c r="P11289">
        <v>0</v>
      </c>
      <c r="Q11289">
        <v>0</v>
      </c>
      <c r="R11289" t="s">
        <v>43180</v>
      </c>
      <c r="S11289" t="s">
        <v>43646</v>
      </c>
      <c r="T11289" t="s">
        <v>44699</v>
      </c>
      <c r="U11289" t="s">
        <v>54197</v>
      </c>
      <c r="V11289" t="s">
        <v>58089</v>
      </c>
      <c r="W11289" t="s">
        <v>42674</v>
      </c>
      <c r="X11289" t="s">
        <v>43181</v>
      </c>
    </row>
    <row r="11290" spans="1:24">
      <c r="A11290">
        <f>HYPERLINK("https://www.philgeps.gov.ph/GEPSNONPILOT/Tender/SplashBidNoticeAbstractUI.aspx?menuIndex=3&amp;refID=7065278&amp;Result=3","7065278")</f>
        <v>0</v>
      </c>
      <c r="B11290" t="s">
        <v>927</v>
      </c>
      <c r="C11290" t="s">
        <v>5578</v>
      </c>
      <c r="D11290" t="s">
        <v>17458</v>
      </c>
      <c r="E11290" t="s">
        <v>27167</v>
      </c>
      <c r="F11290" t="s">
        <v>30052</v>
      </c>
      <c r="G11290" t="s">
        <v>30058</v>
      </c>
      <c r="H11290" t="s">
        <v>15498</v>
      </c>
      <c r="I11290" t="s">
        <v>30073</v>
      </c>
      <c r="J11290" t="s">
        <v>37105</v>
      </c>
      <c r="K11290" t="s">
        <v>39018</v>
      </c>
      <c r="M11290" t="s">
        <v>42507</v>
      </c>
      <c r="N11290" t="s">
        <v>43166</v>
      </c>
      <c r="O11290" t="s">
        <v>43167</v>
      </c>
      <c r="P11290">
        <v>0</v>
      </c>
      <c r="Q11290">
        <v>0</v>
      </c>
      <c r="R11290" t="s">
        <v>43179</v>
      </c>
      <c r="S11290" t="s">
        <v>43583</v>
      </c>
      <c r="T11290" t="s">
        <v>44753</v>
      </c>
      <c r="U11290" t="s">
        <v>54198</v>
      </c>
      <c r="W11290" t="s">
        <v>42507</v>
      </c>
      <c r="X11290" t="s">
        <v>43180</v>
      </c>
    </row>
    <row r="11291" spans="1:24">
      <c r="A11291">
        <f>HYPERLINK("https://www.philgeps.gov.ph/GEPSNONPILOT/Tender/SplashBidNoticeAbstractUI.aspx?menuIndex=3&amp;refID=7065287&amp;Result=3","7065287")</f>
        <v>0</v>
      </c>
      <c r="B11291" t="s">
        <v>2937</v>
      </c>
      <c r="C11291" t="s">
        <v>14196</v>
      </c>
      <c r="D11291" t="s">
        <v>17462</v>
      </c>
      <c r="E11291" t="s">
        <v>27168</v>
      </c>
      <c r="F11291" t="s">
        <v>30055</v>
      </c>
      <c r="G11291" t="s">
        <v>30058</v>
      </c>
      <c r="H11291" t="s">
        <v>30067</v>
      </c>
      <c r="I11291" t="s">
        <v>3693</v>
      </c>
      <c r="J11291" t="s">
        <v>30343</v>
      </c>
      <c r="K11291" t="s">
        <v>39029</v>
      </c>
      <c r="L11291" t="s">
        <v>2937</v>
      </c>
      <c r="M11291" t="s">
        <v>42501</v>
      </c>
      <c r="N11291" t="s">
        <v>43166</v>
      </c>
      <c r="O11291" t="s">
        <v>43167</v>
      </c>
      <c r="P11291">
        <v>0</v>
      </c>
      <c r="Q11291">
        <v>0</v>
      </c>
      <c r="R11291" t="s">
        <v>43179</v>
      </c>
      <c r="S11291" t="s">
        <v>43583</v>
      </c>
      <c r="T11291" t="s">
        <v>45010</v>
      </c>
      <c r="U11291" t="s">
        <v>54199</v>
      </c>
      <c r="W11291" t="s">
        <v>42501</v>
      </c>
      <c r="X11291" t="s">
        <v>43180</v>
      </c>
    </row>
    <row r="11292" spans="1:24">
      <c r="A11292">
        <f>HYPERLINK("https://www.philgeps.gov.ph/GEPSNONPILOT/Tender/SplashBidNoticeAbstractUI.aspx?menuIndex=3&amp;refID=7064207&amp;Result=3","7064207")</f>
        <v>0</v>
      </c>
      <c r="B11292" t="s">
        <v>3090</v>
      </c>
      <c r="C11292" t="s">
        <v>14197</v>
      </c>
      <c r="D11292" t="s">
        <v>17453</v>
      </c>
      <c r="E11292" t="s">
        <v>27169</v>
      </c>
      <c r="F11292" t="s">
        <v>30052</v>
      </c>
      <c r="G11292" t="s">
        <v>30058</v>
      </c>
      <c r="H11292" t="s">
        <v>30067</v>
      </c>
      <c r="I11292" t="s">
        <v>3693</v>
      </c>
      <c r="J11292" t="s">
        <v>30252</v>
      </c>
      <c r="K11292" t="s">
        <v>39090</v>
      </c>
      <c r="M11292" t="s">
        <v>42674</v>
      </c>
      <c r="N11292" t="s">
        <v>43166</v>
      </c>
      <c r="O11292" t="s">
        <v>43167</v>
      </c>
      <c r="P11292">
        <v>0</v>
      </c>
      <c r="Q11292">
        <v>0</v>
      </c>
      <c r="R11292" t="s">
        <v>43180</v>
      </c>
      <c r="S11292" t="s">
        <v>43646</v>
      </c>
      <c r="T11292" t="s">
        <v>44699</v>
      </c>
      <c r="U11292" t="s">
        <v>54200</v>
      </c>
      <c r="V11292" t="s">
        <v>58089</v>
      </c>
      <c r="W11292" t="s">
        <v>42674</v>
      </c>
      <c r="X11292" t="s">
        <v>43181</v>
      </c>
    </row>
    <row r="11293" spans="1:24">
      <c r="A11293">
        <f>HYPERLINK("https://www.philgeps.gov.ph/GEPSNONPILOT/Tender/SplashBidNoticeAbstractUI.aspx?menuIndex=3&amp;refID=7065313&amp;Result=3","7065313")</f>
        <v>0</v>
      </c>
      <c r="B11293" t="s">
        <v>422</v>
      </c>
      <c r="C11293" t="s">
        <v>14198</v>
      </c>
      <c r="D11293" t="s">
        <v>17455</v>
      </c>
      <c r="E11293" t="s">
        <v>27170</v>
      </c>
      <c r="F11293" t="s">
        <v>30052</v>
      </c>
      <c r="G11293" t="s">
        <v>30062</v>
      </c>
      <c r="H11293" t="s">
        <v>15498</v>
      </c>
      <c r="I11293" t="s">
        <v>30084</v>
      </c>
      <c r="J11293" t="s">
        <v>31583</v>
      </c>
      <c r="K11293" t="s">
        <v>39025</v>
      </c>
      <c r="M11293" t="s">
        <v>40641</v>
      </c>
      <c r="N11293" t="s">
        <v>43166</v>
      </c>
      <c r="O11293" t="s">
        <v>43167</v>
      </c>
      <c r="Q11293">
        <v>8</v>
      </c>
      <c r="R11293" t="s">
        <v>43179</v>
      </c>
      <c r="S11293" t="s">
        <v>43719</v>
      </c>
      <c r="T11293" t="s">
        <v>44773</v>
      </c>
      <c r="U11293" t="s">
        <v>48012</v>
      </c>
      <c r="W11293" t="s">
        <v>40641</v>
      </c>
      <c r="X11293" t="s">
        <v>43180</v>
      </c>
    </row>
    <row r="11294" spans="1:24">
      <c r="A11294">
        <f>HYPERLINK("https://www.philgeps.gov.ph/GEPSNONPILOT/Tender/SplashBidNoticeAbstractUI.aspx?menuIndex=3&amp;refID=7064269&amp;Result=3","7064269")</f>
        <v>0</v>
      </c>
      <c r="B11294" t="s">
        <v>3090</v>
      </c>
      <c r="C11294" t="s">
        <v>14199</v>
      </c>
      <c r="D11294" t="s">
        <v>17453</v>
      </c>
      <c r="E11294" t="s">
        <v>27171</v>
      </c>
      <c r="F11294" t="s">
        <v>30052</v>
      </c>
      <c r="G11294" t="s">
        <v>30058</v>
      </c>
      <c r="H11294" t="s">
        <v>30067</v>
      </c>
      <c r="I11294" t="s">
        <v>3693</v>
      </c>
      <c r="J11294" t="s">
        <v>30277</v>
      </c>
      <c r="K11294" t="s">
        <v>39143</v>
      </c>
      <c r="M11294" t="s">
        <v>42674</v>
      </c>
      <c r="N11294" t="s">
        <v>43166</v>
      </c>
      <c r="O11294" t="s">
        <v>43167</v>
      </c>
      <c r="P11294">
        <v>0</v>
      </c>
      <c r="Q11294">
        <v>0</v>
      </c>
      <c r="R11294" t="s">
        <v>43180</v>
      </c>
      <c r="S11294" t="s">
        <v>43646</v>
      </c>
      <c r="T11294" t="s">
        <v>44699</v>
      </c>
      <c r="U11294" t="s">
        <v>54201</v>
      </c>
      <c r="V11294" t="s">
        <v>58089</v>
      </c>
      <c r="W11294" t="s">
        <v>42674</v>
      </c>
      <c r="X11294" t="s">
        <v>43181</v>
      </c>
    </row>
    <row r="11295" spans="1:24">
      <c r="A11295">
        <f>HYPERLINK("https://www.philgeps.gov.ph/GEPSNONPILOT/Tender/SplashBidNoticeAbstractUI.aspx?menuIndex=3&amp;refID=7065297&amp;Result=3","7065297")</f>
        <v>0</v>
      </c>
      <c r="B11295" t="s">
        <v>3066</v>
      </c>
      <c r="C11295" t="s">
        <v>14200</v>
      </c>
      <c r="D11295" t="s">
        <v>17488</v>
      </c>
      <c r="E11295" t="s">
        <v>27172</v>
      </c>
      <c r="F11295" t="s">
        <v>30052</v>
      </c>
      <c r="G11295" t="s">
        <v>30058</v>
      </c>
      <c r="H11295" t="s">
        <v>30067</v>
      </c>
      <c r="I11295" t="s">
        <v>3693</v>
      </c>
      <c r="J11295" t="s">
        <v>37106</v>
      </c>
      <c r="K11295" t="s">
        <v>39029</v>
      </c>
      <c r="M11295" t="s">
        <v>42649</v>
      </c>
      <c r="N11295" t="s">
        <v>43166</v>
      </c>
      <c r="O11295" t="s">
        <v>43167</v>
      </c>
      <c r="P11295">
        <v>0</v>
      </c>
      <c r="Q11295">
        <v>0</v>
      </c>
      <c r="R11295" t="s">
        <v>43179</v>
      </c>
      <c r="S11295" t="s">
        <v>43583</v>
      </c>
      <c r="T11295" t="s">
        <v>44681</v>
      </c>
      <c r="U11295" t="s">
        <v>54202</v>
      </c>
      <c r="W11295" t="s">
        <v>42649</v>
      </c>
      <c r="X11295" t="s">
        <v>43180</v>
      </c>
    </row>
    <row r="11296" spans="1:24">
      <c r="A11296">
        <f>HYPERLINK("https://www.philgeps.gov.ph/GEPSNONPILOT/Tender/SplashBidNoticeAbstractUI.aspx?menuIndex=3&amp;refID=7064172&amp;Result=3","7064172")</f>
        <v>0</v>
      </c>
      <c r="B11296" t="s">
        <v>3090</v>
      </c>
      <c r="C11296" t="s">
        <v>14201</v>
      </c>
      <c r="D11296" t="s">
        <v>17453</v>
      </c>
      <c r="E11296" t="s">
        <v>27173</v>
      </c>
      <c r="F11296" t="s">
        <v>30052</v>
      </c>
      <c r="G11296" t="s">
        <v>30058</v>
      </c>
      <c r="H11296" t="s">
        <v>30067</v>
      </c>
      <c r="I11296" t="s">
        <v>3693</v>
      </c>
      <c r="J11296" t="s">
        <v>30277</v>
      </c>
      <c r="K11296" t="s">
        <v>39029</v>
      </c>
      <c r="M11296" t="s">
        <v>42674</v>
      </c>
      <c r="N11296" t="s">
        <v>43166</v>
      </c>
      <c r="O11296" t="s">
        <v>43167</v>
      </c>
      <c r="P11296">
        <v>0</v>
      </c>
      <c r="Q11296">
        <v>0</v>
      </c>
      <c r="R11296" t="s">
        <v>43180</v>
      </c>
      <c r="S11296" t="s">
        <v>43646</v>
      </c>
      <c r="T11296" t="s">
        <v>44699</v>
      </c>
      <c r="U11296" t="s">
        <v>54203</v>
      </c>
      <c r="V11296" t="s">
        <v>58089</v>
      </c>
      <c r="W11296" t="s">
        <v>42674</v>
      </c>
      <c r="X11296" t="s">
        <v>43181</v>
      </c>
    </row>
    <row r="11297" spans="1:24">
      <c r="A11297">
        <f>HYPERLINK("https://www.philgeps.gov.ph/GEPSNONPILOT/Tender/SplashBidNoticeAbstractUI.aspx?menuIndex=3&amp;refID=7064261&amp;Result=3","7064261")</f>
        <v>0</v>
      </c>
      <c r="B11297" t="s">
        <v>3090</v>
      </c>
      <c r="C11297" t="s">
        <v>14202</v>
      </c>
      <c r="D11297" t="s">
        <v>17453</v>
      </c>
      <c r="E11297" t="s">
        <v>27174</v>
      </c>
      <c r="F11297" t="s">
        <v>30052</v>
      </c>
      <c r="G11297" t="s">
        <v>30058</v>
      </c>
      <c r="H11297" t="s">
        <v>30067</v>
      </c>
      <c r="I11297" t="s">
        <v>3693</v>
      </c>
      <c r="J11297" t="s">
        <v>30207</v>
      </c>
      <c r="K11297" t="s">
        <v>39143</v>
      </c>
      <c r="M11297" t="s">
        <v>42674</v>
      </c>
      <c r="N11297" t="s">
        <v>43166</v>
      </c>
      <c r="O11297" t="s">
        <v>43167</v>
      </c>
      <c r="P11297">
        <v>0</v>
      </c>
      <c r="Q11297">
        <v>0</v>
      </c>
      <c r="R11297" t="s">
        <v>43180</v>
      </c>
      <c r="S11297" t="s">
        <v>43646</v>
      </c>
      <c r="T11297" t="s">
        <v>44699</v>
      </c>
      <c r="U11297" t="s">
        <v>54201</v>
      </c>
      <c r="V11297" t="s">
        <v>58089</v>
      </c>
      <c r="W11297" t="s">
        <v>42674</v>
      </c>
      <c r="X11297" t="s">
        <v>43181</v>
      </c>
    </row>
    <row r="11298" spans="1:24">
      <c r="A11298">
        <f>HYPERLINK("https://www.philgeps.gov.ph/GEPSNONPILOT/Tender/SplashBidNoticeAbstractUI.aspx?menuIndex=3&amp;refID=7064220&amp;Result=3","7064220")</f>
        <v>0</v>
      </c>
      <c r="B11298" t="s">
        <v>2902</v>
      </c>
      <c r="C11298" t="s">
        <v>14203</v>
      </c>
      <c r="D11298" t="s">
        <v>17482</v>
      </c>
      <c r="E11298" t="s">
        <v>27175</v>
      </c>
      <c r="F11298" t="s">
        <v>30052</v>
      </c>
      <c r="G11298" t="s">
        <v>30058</v>
      </c>
      <c r="H11298" t="s">
        <v>15498</v>
      </c>
      <c r="I11298" t="s">
        <v>30108</v>
      </c>
      <c r="J11298" t="s">
        <v>37107</v>
      </c>
      <c r="K11298" t="s">
        <v>39019</v>
      </c>
      <c r="M11298" t="s">
        <v>42456</v>
      </c>
      <c r="N11298" t="s">
        <v>43166</v>
      </c>
      <c r="O11298" t="s">
        <v>43167</v>
      </c>
      <c r="P11298">
        <v>0</v>
      </c>
      <c r="Q11298">
        <v>4</v>
      </c>
      <c r="R11298" t="s">
        <v>43180</v>
      </c>
      <c r="S11298" t="s">
        <v>43646</v>
      </c>
      <c r="T11298" t="s">
        <v>44698</v>
      </c>
      <c r="U11298" t="s">
        <v>53701</v>
      </c>
      <c r="W11298" t="s">
        <v>42456</v>
      </c>
      <c r="X11298" t="s">
        <v>43181</v>
      </c>
    </row>
    <row r="11299" spans="1:24">
      <c r="A11299">
        <f>HYPERLINK("https://www.philgeps.gov.ph/GEPSNONPILOT/Tender/SplashBidNoticeAbstractUI.aspx?menuIndex=3&amp;refID=7064255&amp;Result=3","7064255")</f>
        <v>0</v>
      </c>
      <c r="B11299" t="s">
        <v>3090</v>
      </c>
      <c r="C11299" t="s">
        <v>14204</v>
      </c>
      <c r="D11299" t="s">
        <v>17453</v>
      </c>
      <c r="E11299" t="s">
        <v>27176</v>
      </c>
      <c r="F11299" t="s">
        <v>30052</v>
      </c>
      <c r="G11299" t="s">
        <v>30058</v>
      </c>
      <c r="H11299" t="s">
        <v>30067</v>
      </c>
      <c r="I11299" t="s">
        <v>3693</v>
      </c>
      <c r="J11299" t="s">
        <v>30218</v>
      </c>
      <c r="K11299" t="s">
        <v>39038</v>
      </c>
      <c r="M11299" t="s">
        <v>42674</v>
      </c>
      <c r="N11299" t="s">
        <v>43166</v>
      </c>
      <c r="O11299" t="s">
        <v>43167</v>
      </c>
      <c r="P11299">
        <v>0</v>
      </c>
      <c r="Q11299">
        <v>0</v>
      </c>
      <c r="R11299" t="s">
        <v>43180</v>
      </c>
      <c r="S11299" t="s">
        <v>43646</v>
      </c>
      <c r="T11299" t="s">
        <v>44699</v>
      </c>
      <c r="U11299" t="s">
        <v>54204</v>
      </c>
      <c r="V11299" t="s">
        <v>58089</v>
      </c>
      <c r="W11299" t="s">
        <v>42674</v>
      </c>
      <c r="X11299" t="s">
        <v>43181</v>
      </c>
    </row>
    <row r="11300" spans="1:24">
      <c r="A11300">
        <f>HYPERLINK("https://www.philgeps.gov.ph/GEPSNONPILOT/Tender/SplashBidNoticeAbstractUI.aspx?menuIndex=3&amp;refID=7064253&amp;Result=3","7064253")</f>
        <v>0</v>
      </c>
      <c r="B11300" t="s">
        <v>2902</v>
      </c>
      <c r="C11300" t="s">
        <v>14205</v>
      </c>
      <c r="D11300" t="s">
        <v>17482</v>
      </c>
      <c r="E11300" t="s">
        <v>27177</v>
      </c>
      <c r="F11300" t="s">
        <v>30052</v>
      </c>
      <c r="G11300" t="s">
        <v>30058</v>
      </c>
      <c r="H11300" t="s">
        <v>15498</v>
      </c>
      <c r="I11300" t="s">
        <v>4119</v>
      </c>
      <c r="J11300" t="s">
        <v>37108</v>
      </c>
      <c r="K11300" t="s">
        <v>39019</v>
      </c>
      <c r="M11300" t="s">
        <v>42456</v>
      </c>
      <c r="N11300" t="s">
        <v>43166</v>
      </c>
      <c r="O11300" t="s">
        <v>43167</v>
      </c>
      <c r="P11300">
        <v>0</v>
      </c>
      <c r="Q11300">
        <v>2</v>
      </c>
      <c r="R11300" t="s">
        <v>43180</v>
      </c>
      <c r="S11300" t="s">
        <v>43646</v>
      </c>
      <c r="T11300" t="s">
        <v>44698</v>
      </c>
      <c r="U11300" t="s">
        <v>53701</v>
      </c>
      <c r="W11300" t="s">
        <v>42456</v>
      </c>
      <c r="X11300" t="s">
        <v>43181</v>
      </c>
    </row>
    <row r="11301" spans="1:24">
      <c r="A11301">
        <f>HYPERLINK("https://www.philgeps.gov.ph/GEPSNONPILOT/Tender/SplashBidNoticeAbstractUI.aspx?menuIndex=3&amp;refID=7064251&amp;Result=3","7064251")</f>
        <v>0</v>
      </c>
      <c r="B11301" t="s">
        <v>3090</v>
      </c>
      <c r="C11301" t="s">
        <v>14206</v>
      </c>
      <c r="D11301" t="s">
        <v>17453</v>
      </c>
      <c r="E11301" t="s">
        <v>27178</v>
      </c>
      <c r="F11301" t="s">
        <v>30052</v>
      </c>
      <c r="G11301" t="s">
        <v>30058</v>
      </c>
      <c r="H11301" t="s">
        <v>30067</v>
      </c>
      <c r="I11301" t="s">
        <v>3693</v>
      </c>
      <c r="J11301" t="s">
        <v>30209</v>
      </c>
      <c r="K11301" t="s">
        <v>39046</v>
      </c>
      <c r="M11301" t="s">
        <v>42674</v>
      </c>
      <c r="N11301" t="s">
        <v>43166</v>
      </c>
      <c r="O11301" t="s">
        <v>43167</v>
      </c>
      <c r="P11301">
        <v>0</v>
      </c>
      <c r="Q11301">
        <v>0</v>
      </c>
      <c r="R11301" t="s">
        <v>43180</v>
      </c>
      <c r="S11301" t="s">
        <v>43646</v>
      </c>
      <c r="T11301" t="s">
        <v>44699</v>
      </c>
      <c r="U11301" t="s">
        <v>54205</v>
      </c>
      <c r="V11301" t="s">
        <v>58089</v>
      </c>
      <c r="W11301" t="s">
        <v>42674</v>
      </c>
      <c r="X11301" t="s">
        <v>43181</v>
      </c>
    </row>
    <row r="11302" spans="1:24">
      <c r="A11302">
        <f>HYPERLINK("https://www.philgeps.gov.ph/GEPSNONPILOT/Tender/SplashBidNoticeAbstractUI.aspx?menuIndex=3&amp;refID=7064266&amp;Result=3","7064266")</f>
        <v>0</v>
      </c>
      <c r="B11302" t="s">
        <v>3090</v>
      </c>
      <c r="C11302" t="s">
        <v>14207</v>
      </c>
      <c r="D11302" t="s">
        <v>17453</v>
      </c>
      <c r="E11302" t="s">
        <v>27179</v>
      </c>
      <c r="F11302" t="s">
        <v>30052</v>
      </c>
      <c r="G11302" t="s">
        <v>30058</v>
      </c>
      <c r="H11302" t="s">
        <v>30067</v>
      </c>
      <c r="I11302" t="s">
        <v>3693</v>
      </c>
      <c r="J11302" t="s">
        <v>30277</v>
      </c>
      <c r="K11302" t="s">
        <v>39143</v>
      </c>
      <c r="M11302" t="s">
        <v>42674</v>
      </c>
      <c r="N11302" t="s">
        <v>43166</v>
      </c>
      <c r="O11302" t="s">
        <v>43167</v>
      </c>
      <c r="P11302">
        <v>0</v>
      </c>
      <c r="Q11302">
        <v>0</v>
      </c>
      <c r="R11302" t="s">
        <v>43180</v>
      </c>
      <c r="S11302" t="s">
        <v>43646</v>
      </c>
      <c r="T11302" t="s">
        <v>44699</v>
      </c>
      <c r="U11302" t="s">
        <v>54201</v>
      </c>
      <c r="V11302" t="s">
        <v>58089</v>
      </c>
      <c r="W11302" t="s">
        <v>42674</v>
      </c>
      <c r="X11302" t="s">
        <v>43181</v>
      </c>
    </row>
    <row r="11303" spans="1:24">
      <c r="A11303">
        <f>HYPERLINK("https://www.philgeps.gov.ph/GEPSNONPILOT/Tender/SplashBidNoticeAbstractUI.aspx?menuIndex=3&amp;refID=7064250&amp;Result=3","7064250")</f>
        <v>0</v>
      </c>
      <c r="B11303" t="s">
        <v>2902</v>
      </c>
      <c r="C11303" t="s">
        <v>14208</v>
      </c>
      <c r="D11303" t="s">
        <v>17482</v>
      </c>
      <c r="E11303" t="s">
        <v>27180</v>
      </c>
      <c r="F11303" t="s">
        <v>30052</v>
      </c>
      <c r="G11303" t="s">
        <v>30058</v>
      </c>
      <c r="H11303" t="s">
        <v>15498</v>
      </c>
      <c r="I11303" t="s">
        <v>3736</v>
      </c>
      <c r="J11303" t="s">
        <v>37109</v>
      </c>
      <c r="K11303" t="s">
        <v>39019</v>
      </c>
      <c r="M11303" t="s">
        <v>42456</v>
      </c>
      <c r="N11303" t="s">
        <v>43166</v>
      </c>
      <c r="O11303" t="s">
        <v>43167</v>
      </c>
      <c r="P11303">
        <v>0</v>
      </c>
      <c r="Q11303">
        <v>2</v>
      </c>
      <c r="R11303" t="s">
        <v>43180</v>
      </c>
      <c r="S11303" t="s">
        <v>43646</v>
      </c>
      <c r="T11303" t="s">
        <v>44698</v>
      </c>
      <c r="U11303" t="s">
        <v>53701</v>
      </c>
      <c r="W11303" t="s">
        <v>42456</v>
      </c>
      <c r="X11303" t="s">
        <v>43181</v>
      </c>
    </row>
    <row r="11304" spans="1:24">
      <c r="A11304">
        <f>HYPERLINK("https://www.philgeps.gov.ph/GEPSNONPILOT/Tender/SplashBidNoticeAbstractUI.aspx?menuIndex=3&amp;refID=7064248&amp;Result=3","7064248")</f>
        <v>0</v>
      </c>
      <c r="B11304" t="s">
        <v>1181</v>
      </c>
      <c r="C11304" t="s">
        <v>14209</v>
      </c>
      <c r="D11304" t="s">
        <v>17444</v>
      </c>
      <c r="E11304" t="s">
        <v>27181</v>
      </c>
      <c r="F11304" t="s">
        <v>30052</v>
      </c>
      <c r="G11304" t="s">
        <v>30061</v>
      </c>
      <c r="H11304" t="s">
        <v>15498</v>
      </c>
      <c r="I11304" t="s">
        <v>30103</v>
      </c>
      <c r="J11304" t="s">
        <v>37110</v>
      </c>
      <c r="K11304" t="s">
        <v>39025</v>
      </c>
      <c r="M11304" t="s">
        <v>40531</v>
      </c>
      <c r="N11304" t="s">
        <v>43166</v>
      </c>
      <c r="O11304" t="s">
        <v>43167</v>
      </c>
      <c r="Q11304">
        <v>1</v>
      </c>
      <c r="R11304" t="s">
        <v>43180</v>
      </c>
      <c r="S11304" t="s">
        <v>43720</v>
      </c>
      <c r="T11304" t="s">
        <v>44870</v>
      </c>
      <c r="U11304" t="s">
        <v>54206</v>
      </c>
      <c r="W11304" t="s">
        <v>40531</v>
      </c>
      <c r="X11304" t="s">
        <v>43181</v>
      </c>
    </row>
    <row r="11305" spans="1:24">
      <c r="A11305">
        <f>HYPERLINK("https://www.philgeps.gov.ph/GEPSNONPILOT/Tender/SplashBidNoticeAbstractUI.aspx?menuIndex=3&amp;refID=7065269&amp;Result=3","7065269")</f>
        <v>0</v>
      </c>
      <c r="B11305" t="s">
        <v>943</v>
      </c>
      <c r="C11305" t="s">
        <v>14210</v>
      </c>
      <c r="D11305" t="s">
        <v>17482</v>
      </c>
      <c r="E11305" t="s">
        <v>27182</v>
      </c>
      <c r="F11305" t="s">
        <v>30052</v>
      </c>
      <c r="G11305" t="s">
        <v>30058</v>
      </c>
      <c r="H11305" t="s">
        <v>30067</v>
      </c>
      <c r="I11305" t="s">
        <v>3693</v>
      </c>
      <c r="J11305" t="s">
        <v>30252</v>
      </c>
      <c r="K11305" t="s">
        <v>39061</v>
      </c>
      <c r="M11305" t="s">
        <v>40267</v>
      </c>
      <c r="N11305" t="s">
        <v>43166</v>
      </c>
      <c r="O11305" t="s">
        <v>43167</v>
      </c>
      <c r="P11305">
        <v>0</v>
      </c>
      <c r="Q11305">
        <v>0</v>
      </c>
      <c r="R11305" t="s">
        <v>43179</v>
      </c>
      <c r="S11305" t="s">
        <v>43583</v>
      </c>
      <c r="T11305" t="s">
        <v>44689</v>
      </c>
      <c r="U11305" t="s">
        <v>54207</v>
      </c>
      <c r="V11305" t="s">
        <v>58000</v>
      </c>
      <c r="W11305" t="s">
        <v>40267</v>
      </c>
      <c r="X11305" t="s">
        <v>43180</v>
      </c>
    </row>
    <row r="11306" spans="1:24">
      <c r="A11306">
        <f>HYPERLINK("https://www.philgeps.gov.ph/GEPSNONPILOT/Tender/SplashBidNoticeAbstractUI.aspx?menuIndex=3&amp;refID=7064243&amp;Result=3","7064243")</f>
        <v>0</v>
      </c>
      <c r="B11306" t="s">
        <v>3090</v>
      </c>
      <c r="C11306" t="s">
        <v>14211</v>
      </c>
      <c r="D11306" t="s">
        <v>17453</v>
      </c>
      <c r="E11306" t="s">
        <v>27183</v>
      </c>
      <c r="F11306" t="s">
        <v>30052</v>
      </c>
      <c r="G11306" t="s">
        <v>30058</v>
      </c>
      <c r="H11306" t="s">
        <v>30067</v>
      </c>
      <c r="I11306" t="s">
        <v>3693</v>
      </c>
      <c r="J11306" t="s">
        <v>30297</v>
      </c>
      <c r="K11306" t="s">
        <v>39256</v>
      </c>
      <c r="M11306" t="s">
        <v>42674</v>
      </c>
      <c r="N11306" t="s">
        <v>43166</v>
      </c>
      <c r="O11306" t="s">
        <v>43167</v>
      </c>
      <c r="P11306">
        <v>0</v>
      </c>
      <c r="Q11306">
        <v>0</v>
      </c>
      <c r="R11306" t="s">
        <v>43180</v>
      </c>
      <c r="S11306" t="s">
        <v>43646</v>
      </c>
      <c r="T11306" t="s">
        <v>44699</v>
      </c>
      <c r="U11306" t="s">
        <v>54208</v>
      </c>
      <c r="V11306" t="s">
        <v>58089</v>
      </c>
      <c r="W11306" t="s">
        <v>42674</v>
      </c>
      <c r="X11306" t="s">
        <v>43181</v>
      </c>
    </row>
    <row r="11307" spans="1:24">
      <c r="A11307">
        <f>HYPERLINK("https://www.philgeps.gov.ph/GEPSNONPILOT/Tender/SplashBidNoticeAbstractUI.aspx?menuIndex=3&amp;refID=7064242&amp;Result=3","7064242")</f>
        <v>0</v>
      </c>
      <c r="B11307" t="s">
        <v>193</v>
      </c>
      <c r="C11307" t="s">
        <v>14212</v>
      </c>
      <c r="D11307" t="s">
        <v>17471</v>
      </c>
      <c r="E11307" t="s">
        <v>27184</v>
      </c>
      <c r="F11307" t="s">
        <v>30052</v>
      </c>
      <c r="G11307" t="s">
        <v>30058</v>
      </c>
      <c r="H11307" t="s">
        <v>30067</v>
      </c>
      <c r="I11307" t="s">
        <v>3693</v>
      </c>
      <c r="J11307" t="s">
        <v>37111</v>
      </c>
      <c r="K11307" t="s">
        <v>39065</v>
      </c>
      <c r="M11307" t="s">
        <v>39483</v>
      </c>
      <c r="N11307" t="s">
        <v>43166</v>
      </c>
      <c r="O11307" t="s">
        <v>43167</v>
      </c>
      <c r="P11307">
        <v>0</v>
      </c>
      <c r="Q11307">
        <v>0</v>
      </c>
      <c r="R11307" t="s">
        <v>43180</v>
      </c>
      <c r="S11307" t="s">
        <v>43646</v>
      </c>
      <c r="T11307" t="s">
        <v>44689</v>
      </c>
      <c r="U11307" t="s">
        <v>52790</v>
      </c>
      <c r="W11307" t="s">
        <v>39483</v>
      </c>
      <c r="X11307" t="s">
        <v>43181</v>
      </c>
    </row>
    <row r="11308" spans="1:24">
      <c r="A11308">
        <f>HYPERLINK("https://www.philgeps.gov.ph/GEPSNONPILOT/Tender/SplashBidNoticeAbstractUI.aspx?menuIndex=3&amp;refID=7064239&amp;Result=3","7064239")</f>
        <v>0</v>
      </c>
      <c r="B11308" t="s">
        <v>407</v>
      </c>
      <c r="C11308" t="s">
        <v>14213</v>
      </c>
      <c r="D11308" t="s">
        <v>17421</v>
      </c>
      <c r="E11308" t="s">
        <v>19663</v>
      </c>
      <c r="F11308" t="s">
        <v>30052</v>
      </c>
      <c r="G11308" t="s">
        <v>30058</v>
      </c>
      <c r="H11308" t="s">
        <v>15498</v>
      </c>
      <c r="I11308" t="s">
        <v>30130</v>
      </c>
      <c r="J11308" t="s">
        <v>37112</v>
      </c>
      <c r="K11308" t="s">
        <v>39023</v>
      </c>
      <c r="M11308" t="s">
        <v>40366</v>
      </c>
      <c r="N11308" t="s">
        <v>43166</v>
      </c>
      <c r="O11308" t="s">
        <v>43167</v>
      </c>
      <c r="Q11308">
        <v>27</v>
      </c>
      <c r="R11308" t="s">
        <v>43180</v>
      </c>
      <c r="S11308" t="s">
        <v>43721</v>
      </c>
      <c r="T11308" t="s">
        <v>44763</v>
      </c>
      <c r="U11308" t="s">
        <v>54209</v>
      </c>
      <c r="W11308" t="s">
        <v>40366</v>
      </c>
      <c r="X11308" t="s">
        <v>43181</v>
      </c>
    </row>
    <row r="11309" spans="1:24">
      <c r="A11309">
        <f>HYPERLINK("https://www.philgeps.gov.ph/GEPSNONPILOT/Tender/SplashBidNoticeAbstractUI.aspx?menuIndex=3&amp;refID=7064268&amp;Result=3","7064268")</f>
        <v>0</v>
      </c>
      <c r="B11309" t="s">
        <v>3098</v>
      </c>
      <c r="C11309" t="s">
        <v>14214</v>
      </c>
      <c r="D11309" t="s">
        <v>17477</v>
      </c>
      <c r="E11309" t="s">
        <v>22622</v>
      </c>
      <c r="F11309" t="s">
        <v>30052</v>
      </c>
      <c r="G11309" t="s">
        <v>30058</v>
      </c>
      <c r="H11309" t="s">
        <v>15498</v>
      </c>
      <c r="I11309" t="s">
        <v>30106</v>
      </c>
      <c r="J11309" t="s">
        <v>37113</v>
      </c>
      <c r="K11309" t="s">
        <v>39023</v>
      </c>
      <c r="M11309" t="s">
        <v>42687</v>
      </c>
      <c r="N11309" t="s">
        <v>43166</v>
      </c>
      <c r="O11309" t="s">
        <v>43167</v>
      </c>
      <c r="Q11309">
        <v>6</v>
      </c>
      <c r="R11309" t="s">
        <v>43180</v>
      </c>
      <c r="S11309" t="s">
        <v>43722</v>
      </c>
      <c r="T11309" t="s">
        <v>44732</v>
      </c>
      <c r="U11309" t="s">
        <v>54210</v>
      </c>
      <c r="V11309" t="s">
        <v>58096</v>
      </c>
      <c r="W11309" t="s">
        <v>42687</v>
      </c>
      <c r="X11309" t="s">
        <v>43181</v>
      </c>
    </row>
    <row r="11310" spans="1:24">
      <c r="A11310">
        <f>HYPERLINK("https://www.philgeps.gov.ph/GEPSNONPILOT/Tender/SplashBidNoticeAbstractUI.aspx?menuIndex=3&amp;refID=7064236&amp;Result=3","7064236")</f>
        <v>0</v>
      </c>
      <c r="B11310" t="s">
        <v>3090</v>
      </c>
      <c r="C11310" t="s">
        <v>14215</v>
      </c>
      <c r="D11310" t="s">
        <v>17453</v>
      </c>
      <c r="E11310" t="s">
        <v>27185</v>
      </c>
      <c r="F11310" t="s">
        <v>30052</v>
      </c>
      <c r="G11310" t="s">
        <v>30058</v>
      </c>
      <c r="H11310" t="s">
        <v>30067</v>
      </c>
      <c r="I11310" t="s">
        <v>3693</v>
      </c>
      <c r="J11310" t="s">
        <v>30343</v>
      </c>
      <c r="K11310" t="s">
        <v>39106</v>
      </c>
      <c r="M11310" t="s">
        <v>42674</v>
      </c>
      <c r="N11310" t="s">
        <v>43166</v>
      </c>
      <c r="O11310" t="s">
        <v>43167</v>
      </c>
      <c r="P11310">
        <v>0</v>
      </c>
      <c r="Q11310">
        <v>0</v>
      </c>
      <c r="R11310" t="s">
        <v>43180</v>
      </c>
      <c r="S11310" t="s">
        <v>43646</v>
      </c>
      <c r="T11310" t="s">
        <v>44699</v>
      </c>
      <c r="U11310" t="s">
        <v>54211</v>
      </c>
      <c r="V11310" t="s">
        <v>58089</v>
      </c>
      <c r="W11310" t="s">
        <v>42674</v>
      </c>
      <c r="X11310" t="s">
        <v>43181</v>
      </c>
    </row>
    <row r="11311" spans="1:24">
      <c r="A11311">
        <f>HYPERLINK("https://www.philgeps.gov.ph/GEPSNONPILOT/Tender/SplashBidNoticeAbstractUI.aspx?menuIndex=3&amp;refID=7065315&amp;Result=3","7065315")</f>
        <v>0</v>
      </c>
      <c r="B11311" t="s">
        <v>3099</v>
      </c>
      <c r="C11311" t="s">
        <v>14216</v>
      </c>
      <c r="D11311" t="s">
        <v>17458</v>
      </c>
      <c r="E11311" t="s">
        <v>25412</v>
      </c>
      <c r="F11311" t="s">
        <v>30052</v>
      </c>
      <c r="G11311" t="s">
        <v>30061</v>
      </c>
      <c r="H11311" t="s">
        <v>30069</v>
      </c>
      <c r="I11311" t="s">
        <v>30085</v>
      </c>
      <c r="J11311" t="s">
        <v>37114</v>
      </c>
      <c r="K11311" t="s">
        <v>39036</v>
      </c>
      <c r="M11311" t="s">
        <v>42688</v>
      </c>
      <c r="N11311" t="s">
        <v>43166</v>
      </c>
      <c r="O11311" t="s">
        <v>43167</v>
      </c>
      <c r="P11311">
        <v>0</v>
      </c>
      <c r="Q11311">
        <v>2</v>
      </c>
      <c r="R11311" t="s">
        <v>43179</v>
      </c>
      <c r="S11311" t="s">
        <v>43583</v>
      </c>
      <c r="T11311" t="s">
        <v>44720</v>
      </c>
      <c r="U11311" t="s">
        <v>54212</v>
      </c>
      <c r="W11311" t="s">
        <v>42688</v>
      </c>
      <c r="X11311" t="s">
        <v>43180</v>
      </c>
    </row>
    <row r="11312" spans="1:24">
      <c r="A11312">
        <f>HYPERLINK("https://www.philgeps.gov.ph/GEPSNONPILOT/Tender/SplashBidNoticeAbstractUI.aspx?menuIndex=3&amp;refID=7064249&amp;Result=3","7064249")</f>
        <v>0</v>
      </c>
      <c r="B11312" t="s">
        <v>193</v>
      </c>
      <c r="C11312" t="s">
        <v>14217</v>
      </c>
      <c r="D11312" t="s">
        <v>17471</v>
      </c>
      <c r="E11312" t="s">
        <v>27186</v>
      </c>
      <c r="F11312" t="s">
        <v>30052</v>
      </c>
      <c r="G11312" t="s">
        <v>30058</v>
      </c>
      <c r="H11312" t="s">
        <v>30067</v>
      </c>
      <c r="I11312" t="s">
        <v>3693</v>
      </c>
      <c r="J11312" t="s">
        <v>37115</v>
      </c>
      <c r="K11312" t="s">
        <v>39084</v>
      </c>
      <c r="M11312" t="s">
        <v>39483</v>
      </c>
      <c r="N11312" t="s">
        <v>43166</v>
      </c>
      <c r="O11312" t="s">
        <v>43167</v>
      </c>
      <c r="P11312">
        <v>0</v>
      </c>
      <c r="Q11312">
        <v>0</v>
      </c>
      <c r="R11312" t="s">
        <v>43180</v>
      </c>
      <c r="S11312" t="s">
        <v>43646</v>
      </c>
      <c r="T11312" t="s">
        <v>44689</v>
      </c>
      <c r="U11312" t="s">
        <v>52790</v>
      </c>
      <c r="W11312" t="s">
        <v>39483</v>
      </c>
      <c r="X11312" t="s">
        <v>43181</v>
      </c>
    </row>
    <row r="11313" spans="1:24">
      <c r="A11313">
        <f>HYPERLINK("https://www.philgeps.gov.ph/GEPSNONPILOT/Tender/SplashBidNoticeAbstractUI.aspx?menuIndex=3&amp;refID=7065180&amp;Result=3","7065180")</f>
        <v>0</v>
      </c>
      <c r="B11313" t="s">
        <v>3100</v>
      </c>
      <c r="C11313" t="s">
        <v>14218</v>
      </c>
      <c r="D11313" t="s">
        <v>17477</v>
      </c>
      <c r="E11313" t="s">
        <v>27187</v>
      </c>
      <c r="F11313" t="s">
        <v>30052</v>
      </c>
      <c r="G11313" t="s">
        <v>30061</v>
      </c>
      <c r="H11313" t="s">
        <v>15498</v>
      </c>
      <c r="I11313" t="s">
        <v>4650</v>
      </c>
      <c r="J11313" t="s">
        <v>30763</v>
      </c>
      <c r="K11313" t="s">
        <v>39025</v>
      </c>
      <c r="M11313" t="s">
        <v>42689</v>
      </c>
      <c r="N11313" t="s">
        <v>43166</v>
      </c>
      <c r="O11313" t="s">
        <v>43167</v>
      </c>
      <c r="P11313">
        <v>0</v>
      </c>
      <c r="Q11313">
        <v>3</v>
      </c>
      <c r="R11313" t="s">
        <v>43179</v>
      </c>
      <c r="S11313" t="s">
        <v>43583</v>
      </c>
      <c r="T11313" t="s">
        <v>44720</v>
      </c>
      <c r="U11313" t="s">
        <v>54213</v>
      </c>
      <c r="W11313" t="s">
        <v>42689</v>
      </c>
      <c r="X11313" t="s">
        <v>43180</v>
      </c>
    </row>
    <row r="11314" spans="1:24">
      <c r="A11314">
        <f>HYPERLINK("https://www.philgeps.gov.ph/GEPSNONPILOT/Tender/SplashBidNoticeAbstractUI.aspx?menuIndex=3&amp;refID=7064232&amp;Result=3","7064232")</f>
        <v>0</v>
      </c>
      <c r="B11314" t="s">
        <v>2902</v>
      </c>
      <c r="C11314" t="s">
        <v>14219</v>
      </c>
      <c r="D11314" t="s">
        <v>17482</v>
      </c>
      <c r="E11314" t="s">
        <v>27188</v>
      </c>
      <c r="F11314" t="s">
        <v>30052</v>
      </c>
      <c r="G11314" t="s">
        <v>30058</v>
      </c>
      <c r="H11314" t="s">
        <v>15498</v>
      </c>
      <c r="I11314" t="s">
        <v>3736</v>
      </c>
      <c r="J11314" t="s">
        <v>37116</v>
      </c>
      <c r="K11314" t="s">
        <v>39029</v>
      </c>
      <c r="M11314" t="s">
        <v>42456</v>
      </c>
      <c r="N11314" t="s">
        <v>43166</v>
      </c>
      <c r="O11314" t="s">
        <v>43167</v>
      </c>
      <c r="P11314">
        <v>0</v>
      </c>
      <c r="Q11314">
        <v>3</v>
      </c>
      <c r="R11314" t="s">
        <v>43180</v>
      </c>
      <c r="S11314" t="s">
        <v>43646</v>
      </c>
      <c r="T11314" t="s">
        <v>44698</v>
      </c>
      <c r="U11314" t="s">
        <v>53701</v>
      </c>
      <c r="W11314" t="s">
        <v>42456</v>
      </c>
      <c r="X11314" t="s">
        <v>43181</v>
      </c>
    </row>
    <row r="11315" spans="1:24">
      <c r="A11315">
        <f>HYPERLINK("https://www.philgeps.gov.ph/GEPSNONPILOT/Tender/SplashBidNoticeAbstractUI.aspx?menuIndex=3&amp;refID=7065160&amp;Result=3","7065160")</f>
        <v>0</v>
      </c>
      <c r="B11315" t="s">
        <v>2852</v>
      </c>
      <c r="C11315" t="s">
        <v>14220</v>
      </c>
      <c r="D11315" t="s">
        <v>17459</v>
      </c>
      <c r="E11315" t="s">
        <v>27189</v>
      </c>
      <c r="F11315" t="s">
        <v>30052</v>
      </c>
      <c r="G11315" t="s">
        <v>30059</v>
      </c>
      <c r="H11315" t="s">
        <v>15498</v>
      </c>
      <c r="I11315" t="s">
        <v>5961</v>
      </c>
      <c r="J11315" t="s">
        <v>37117</v>
      </c>
      <c r="K11315" t="s">
        <v>39019</v>
      </c>
      <c r="M11315" t="s">
        <v>42398</v>
      </c>
      <c r="N11315" t="s">
        <v>43166</v>
      </c>
      <c r="O11315" t="s">
        <v>43167</v>
      </c>
      <c r="P11315">
        <v>0</v>
      </c>
      <c r="Q11315">
        <v>1</v>
      </c>
      <c r="R11315" t="s">
        <v>43179</v>
      </c>
      <c r="S11315" t="s">
        <v>43583</v>
      </c>
      <c r="T11315" t="s">
        <v>44698</v>
      </c>
      <c r="U11315" t="s">
        <v>53523</v>
      </c>
      <c r="W11315" t="s">
        <v>42398</v>
      </c>
      <c r="X11315" t="s">
        <v>43180</v>
      </c>
    </row>
    <row r="11316" spans="1:24">
      <c r="A11316">
        <f>HYPERLINK("https://www.philgeps.gov.ph/GEPSNONPILOT/Tender/SplashBidNoticeAbstractUI.aspx?menuIndex=3&amp;refID=7064238&amp;Result=3","7064238")</f>
        <v>0</v>
      </c>
      <c r="B11316" t="s">
        <v>2902</v>
      </c>
      <c r="C11316" t="s">
        <v>14221</v>
      </c>
      <c r="D11316" t="s">
        <v>17482</v>
      </c>
      <c r="E11316" t="s">
        <v>27190</v>
      </c>
      <c r="F11316" t="s">
        <v>30052</v>
      </c>
      <c r="G11316" t="s">
        <v>30058</v>
      </c>
      <c r="H11316" t="s">
        <v>15498</v>
      </c>
      <c r="I11316" t="s">
        <v>3736</v>
      </c>
      <c r="J11316" t="s">
        <v>37118</v>
      </c>
      <c r="K11316" t="s">
        <v>39019</v>
      </c>
      <c r="M11316" t="s">
        <v>42456</v>
      </c>
      <c r="N11316" t="s">
        <v>43166</v>
      </c>
      <c r="O11316" t="s">
        <v>43167</v>
      </c>
      <c r="P11316">
        <v>0</v>
      </c>
      <c r="Q11316">
        <v>1</v>
      </c>
      <c r="R11316" t="s">
        <v>43180</v>
      </c>
      <c r="S11316" t="s">
        <v>43646</v>
      </c>
      <c r="T11316" t="s">
        <v>44698</v>
      </c>
      <c r="U11316" t="s">
        <v>53701</v>
      </c>
      <c r="W11316" t="s">
        <v>42456</v>
      </c>
      <c r="X11316" t="s">
        <v>43181</v>
      </c>
    </row>
    <row r="11317" spans="1:24">
      <c r="A11317">
        <f>HYPERLINK("https://www.philgeps.gov.ph/GEPSNONPILOT/Tender/SplashBidNoticeAbstractUI.aspx?menuIndex=3&amp;refID=7065141&amp;Result=3","7065141")</f>
        <v>0</v>
      </c>
      <c r="B11317" t="s">
        <v>943</v>
      </c>
      <c r="C11317" t="s">
        <v>14222</v>
      </c>
      <c r="D11317" t="s">
        <v>17482</v>
      </c>
      <c r="E11317" t="s">
        <v>27191</v>
      </c>
      <c r="F11317" t="s">
        <v>30052</v>
      </c>
      <c r="G11317" t="s">
        <v>30058</v>
      </c>
      <c r="H11317" t="s">
        <v>30067</v>
      </c>
      <c r="I11317" t="s">
        <v>3693</v>
      </c>
      <c r="J11317" t="s">
        <v>30209</v>
      </c>
      <c r="K11317" t="s">
        <v>39214</v>
      </c>
      <c r="M11317" t="s">
        <v>40267</v>
      </c>
      <c r="N11317" t="s">
        <v>43166</v>
      </c>
      <c r="O11317" t="s">
        <v>43167</v>
      </c>
      <c r="P11317">
        <v>0</v>
      </c>
      <c r="Q11317">
        <v>0</v>
      </c>
      <c r="R11317" t="s">
        <v>43179</v>
      </c>
      <c r="S11317" t="s">
        <v>43583</v>
      </c>
      <c r="T11317" t="s">
        <v>44689</v>
      </c>
      <c r="U11317" t="s">
        <v>54214</v>
      </c>
      <c r="V11317" t="s">
        <v>58000</v>
      </c>
      <c r="W11317" t="s">
        <v>40267</v>
      </c>
      <c r="X11317" t="s">
        <v>43180</v>
      </c>
    </row>
    <row r="11318" spans="1:24">
      <c r="A11318">
        <f>HYPERLINK("https://www.philgeps.gov.ph/GEPSNONPILOT/Tender/SplashBidNoticeAbstractUI.aspx?menuIndex=3&amp;refID=7065102&amp;Result=3","7065102")</f>
        <v>0</v>
      </c>
      <c r="B11318" t="s">
        <v>1100</v>
      </c>
      <c r="C11318" t="s">
        <v>14223</v>
      </c>
      <c r="D11318" t="s">
        <v>17466</v>
      </c>
      <c r="E11318" t="s">
        <v>27192</v>
      </c>
      <c r="F11318" t="s">
        <v>30052</v>
      </c>
      <c r="G11318" t="s">
        <v>30059</v>
      </c>
      <c r="H11318" t="s">
        <v>15498</v>
      </c>
      <c r="I11318" t="s">
        <v>7228</v>
      </c>
      <c r="J11318" t="s">
        <v>37119</v>
      </c>
      <c r="K11318" t="s">
        <v>39025</v>
      </c>
      <c r="M11318" t="s">
        <v>40439</v>
      </c>
      <c r="N11318" t="s">
        <v>43166</v>
      </c>
      <c r="O11318" t="s">
        <v>43167</v>
      </c>
      <c r="P11318">
        <v>0</v>
      </c>
      <c r="Q11318">
        <v>0</v>
      </c>
      <c r="R11318" t="s">
        <v>43179</v>
      </c>
      <c r="S11318" t="s">
        <v>43583</v>
      </c>
      <c r="T11318" t="s">
        <v>44843</v>
      </c>
      <c r="U11318" t="s">
        <v>48450</v>
      </c>
      <c r="W11318" t="s">
        <v>40439</v>
      </c>
      <c r="X11318" t="s">
        <v>43180</v>
      </c>
    </row>
    <row r="11319" spans="1:24">
      <c r="A11319">
        <f>HYPERLINK("https://www.philgeps.gov.ph/GEPSNONPILOT/Tender/SplashBidNoticeAbstractUI.aspx?menuIndex=3&amp;refID=7064235&amp;Result=3","7064235")</f>
        <v>0</v>
      </c>
      <c r="B11319" t="s">
        <v>3096</v>
      </c>
      <c r="C11319" t="s">
        <v>14224</v>
      </c>
      <c r="D11319" t="s">
        <v>17415</v>
      </c>
      <c r="E11319" t="s">
        <v>27193</v>
      </c>
      <c r="F11319" t="s">
        <v>30052</v>
      </c>
      <c r="G11319" t="s">
        <v>30058</v>
      </c>
      <c r="H11319" t="s">
        <v>15498</v>
      </c>
      <c r="I11319" t="s">
        <v>30085</v>
      </c>
      <c r="J11319" t="s">
        <v>37120</v>
      </c>
      <c r="K11319" t="s">
        <v>39029</v>
      </c>
      <c r="M11319" t="s">
        <v>42685</v>
      </c>
      <c r="N11319" t="s">
        <v>43166</v>
      </c>
      <c r="O11319" t="s">
        <v>43167</v>
      </c>
      <c r="P11319">
        <v>0</v>
      </c>
      <c r="Q11319">
        <v>2</v>
      </c>
      <c r="R11319" t="s">
        <v>43180</v>
      </c>
      <c r="S11319" t="s">
        <v>43646</v>
      </c>
      <c r="T11319" t="s">
        <v>44711</v>
      </c>
      <c r="U11319" t="s">
        <v>54215</v>
      </c>
      <c r="W11319" t="s">
        <v>42685</v>
      </c>
      <c r="X11319" t="s">
        <v>43181</v>
      </c>
    </row>
    <row r="11320" spans="1:24">
      <c r="A11320">
        <f>HYPERLINK("https://www.philgeps.gov.ph/GEPSNONPILOT/Tender/SplashBidNoticeAbstractUI.aspx?menuIndex=3&amp;refID=7064240&amp;Result=3","7064240")</f>
        <v>0</v>
      </c>
      <c r="B11320" t="s">
        <v>3090</v>
      </c>
      <c r="C11320" t="s">
        <v>14225</v>
      </c>
      <c r="D11320" t="s">
        <v>17453</v>
      </c>
      <c r="E11320" t="s">
        <v>27194</v>
      </c>
      <c r="F11320" t="s">
        <v>30052</v>
      </c>
      <c r="G11320" t="s">
        <v>30058</v>
      </c>
      <c r="H11320" t="s">
        <v>30067</v>
      </c>
      <c r="I11320" t="s">
        <v>3693</v>
      </c>
      <c r="J11320" t="s">
        <v>30207</v>
      </c>
      <c r="K11320" t="s">
        <v>39032</v>
      </c>
      <c r="M11320" t="s">
        <v>42674</v>
      </c>
      <c r="N11320" t="s">
        <v>43166</v>
      </c>
      <c r="O11320" t="s">
        <v>43167</v>
      </c>
      <c r="P11320">
        <v>0</v>
      </c>
      <c r="Q11320">
        <v>0</v>
      </c>
      <c r="R11320" t="s">
        <v>43180</v>
      </c>
      <c r="S11320" t="s">
        <v>43646</v>
      </c>
      <c r="T11320" t="s">
        <v>44699</v>
      </c>
      <c r="U11320" t="s">
        <v>54216</v>
      </c>
      <c r="V11320" t="s">
        <v>58089</v>
      </c>
      <c r="W11320" t="s">
        <v>42674</v>
      </c>
      <c r="X11320" t="s">
        <v>43181</v>
      </c>
    </row>
    <row r="11321" spans="1:24">
      <c r="A11321">
        <f>HYPERLINK("https://www.philgeps.gov.ph/GEPSNONPILOT/Tender/SplashBidNoticeAbstractUI.aspx?menuIndex=3&amp;refID=7064985&amp;Result=3","7064985")</f>
        <v>0</v>
      </c>
      <c r="B11321" t="s">
        <v>2937</v>
      </c>
      <c r="C11321" t="s">
        <v>6791</v>
      </c>
      <c r="D11321" t="s">
        <v>17462</v>
      </c>
      <c r="E11321" t="s">
        <v>27195</v>
      </c>
      <c r="F11321" t="s">
        <v>30055</v>
      </c>
      <c r="G11321" t="s">
        <v>30058</v>
      </c>
      <c r="H11321" t="s">
        <v>30067</v>
      </c>
      <c r="I11321" t="s">
        <v>3693</v>
      </c>
      <c r="J11321" t="s">
        <v>30209</v>
      </c>
      <c r="K11321" t="s">
        <v>39029</v>
      </c>
      <c r="L11321" t="s">
        <v>2937</v>
      </c>
      <c r="M11321" t="s">
        <v>42501</v>
      </c>
      <c r="N11321" t="s">
        <v>43166</v>
      </c>
      <c r="O11321" t="s">
        <v>43167</v>
      </c>
      <c r="P11321">
        <v>0</v>
      </c>
      <c r="Q11321">
        <v>4</v>
      </c>
      <c r="R11321" t="s">
        <v>43179</v>
      </c>
      <c r="S11321" t="s">
        <v>43583</v>
      </c>
      <c r="T11321" t="s">
        <v>44750</v>
      </c>
      <c r="U11321" t="s">
        <v>54217</v>
      </c>
      <c r="V11321" t="s">
        <v>53533</v>
      </c>
      <c r="W11321" t="s">
        <v>42501</v>
      </c>
      <c r="X11321" t="s">
        <v>43180</v>
      </c>
    </row>
    <row r="11322" spans="1:24">
      <c r="A11322">
        <f>HYPERLINK("https://www.philgeps.gov.ph/GEPSNONPILOT/Tender/SplashBidNoticeAbstractUI.aspx?menuIndex=3&amp;refID=7064964&amp;Result=3","7064964")</f>
        <v>0</v>
      </c>
      <c r="B11322" t="s">
        <v>2925</v>
      </c>
      <c r="C11322" t="s">
        <v>14226</v>
      </c>
      <c r="D11322" t="s">
        <v>17464</v>
      </c>
      <c r="E11322" t="s">
        <v>27196</v>
      </c>
      <c r="F11322" t="s">
        <v>30052</v>
      </c>
      <c r="G11322" t="s">
        <v>30058</v>
      </c>
      <c r="H11322" t="s">
        <v>30067</v>
      </c>
      <c r="I11322" t="s">
        <v>3693</v>
      </c>
      <c r="J11322" t="s">
        <v>30559</v>
      </c>
      <c r="K11322" t="s">
        <v>39029</v>
      </c>
      <c r="M11322" t="s">
        <v>42488</v>
      </c>
      <c r="N11322" t="s">
        <v>43166</v>
      </c>
      <c r="O11322" t="s">
        <v>43167</v>
      </c>
      <c r="P11322">
        <v>0</v>
      </c>
      <c r="Q11322">
        <v>0</v>
      </c>
      <c r="R11322" t="s">
        <v>43179</v>
      </c>
      <c r="S11322" t="s">
        <v>43583</v>
      </c>
      <c r="T11322" t="s">
        <v>44729</v>
      </c>
      <c r="U11322" t="s">
        <v>53500</v>
      </c>
      <c r="W11322" t="s">
        <v>42488</v>
      </c>
      <c r="X11322" t="s">
        <v>43180</v>
      </c>
    </row>
    <row r="11323" spans="1:24">
      <c r="A11323">
        <f>HYPERLINK("https://www.philgeps.gov.ph/GEPSNONPILOT/Tender/SplashBidNoticeAbstractUI.aspx?menuIndex=3&amp;refID=7064958&amp;Result=3","7064958")</f>
        <v>0</v>
      </c>
      <c r="B11323" t="s">
        <v>2931</v>
      </c>
      <c r="C11323" t="s">
        <v>14227</v>
      </c>
      <c r="D11323" t="s">
        <v>17435</v>
      </c>
      <c r="E11323" t="s">
        <v>27197</v>
      </c>
      <c r="F11323" t="s">
        <v>30052</v>
      </c>
      <c r="G11323" t="s">
        <v>30058</v>
      </c>
      <c r="H11323" t="s">
        <v>15498</v>
      </c>
      <c r="I11323" t="s">
        <v>3736</v>
      </c>
      <c r="J11323" t="s">
        <v>37121</v>
      </c>
      <c r="K11323" t="s">
        <v>39034</v>
      </c>
      <c r="L11323" t="s">
        <v>2931</v>
      </c>
      <c r="M11323" t="s">
        <v>42494</v>
      </c>
      <c r="N11323" t="s">
        <v>43166</v>
      </c>
      <c r="O11323" t="s">
        <v>43167</v>
      </c>
      <c r="P11323">
        <v>0</v>
      </c>
      <c r="Q11323">
        <v>2</v>
      </c>
      <c r="R11323" t="s">
        <v>43179</v>
      </c>
      <c r="S11323" t="s">
        <v>43583</v>
      </c>
      <c r="T11323" t="s">
        <v>44681</v>
      </c>
      <c r="U11323" t="s">
        <v>53514</v>
      </c>
      <c r="W11323" t="s">
        <v>42494</v>
      </c>
      <c r="X11323" t="s">
        <v>43180</v>
      </c>
    </row>
    <row r="11324" spans="1:24">
      <c r="A11324">
        <f>HYPERLINK("https://www.philgeps.gov.ph/GEPSNONPILOT/Tender/SplashBidNoticeAbstractUI.aspx?menuIndex=3&amp;refID=7064366&amp;Result=3","7064366")</f>
        <v>0</v>
      </c>
      <c r="B11324" t="s">
        <v>2918</v>
      </c>
      <c r="C11324" t="s">
        <v>8799</v>
      </c>
      <c r="D11324" t="s">
        <v>17415</v>
      </c>
      <c r="E11324" t="s">
        <v>27198</v>
      </c>
      <c r="F11324" t="s">
        <v>30052</v>
      </c>
      <c r="G11324" t="s">
        <v>30058</v>
      </c>
      <c r="H11324" t="s">
        <v>15498</v>
      </c>
      <c r="I11324" t="s">
        <v>4119</v>
      </c>
      <c r="J11324" t="s">
        <v>37122</v>
      </c>
      <c r="K11324" t="s">
        <v>39017</v>
      </c>
      <c r="M11324" t="s">
        <v>42481</v>
      </c>
      <c r="N11324" t="s">
        <v>43166</v>
      </c>
      <c r="O11324" t="s">
        <v>43167</v>
      </c>
      <c r="P11324">
        <v>0</v>
      </c>
      <c r="Q11324">
        <v>2</v>
      </c>
      <c r="R11324" t="s">
        <v>43179</v>
      </c>
      <c r="S11324" t="s">
        <v>43583</v>
      </c>
      <c r="T11324" t="s">
        <v>44791</v>
      </c>
      <c r="U11324" t="s">
        <v>53477</v>
      </c>
      <c r="W11324" t="s">
        <v>42481</v>
      </c>
      <c r="X11324" t="s">
        <v>43181</v>
      </c>
    </row>
    <row r="11325" spans="1:24">
      <c r="A11325">
        <f>HYPERLINK("https://www.philgeps.gov.ph/GEPSNONPILOT/Tender/SplashBidNoticeAbstractUI.aspx?menuIndex=3&amp;refID=7064370&amp;Result=3","7064370")</f>
        <v>0</v>
      </c>
      <c r="B11325" t="s">
        <v>2918</v>
      </c>
      <c r="C11325" t="s">
        <v>8799</v>
      </c>
      <c r="D11325" t="s">
        <v>17415</v>
      </c>
      <c r="E11325" t="s">
        <v>27199</v>
      </c>
      <c r="F11325" t="s">
        <v>30052</v>
      </c>
      <c r="G11325" t="s">
        <v>30058</v>
      </c>
      <c r="H11325" t="s">
        <v>15498</v>
      </c>
      <c r="I11325" t="s">
        <v>4119</v>
      </c>
      <c r="J11325" t="s">
        <v>37122</v>
      </c>
      <c r="K11325" t="s">
        <v>39017</v>
      </c>
      <c r="M11325" t="s">
        <v>42481</v>
      </c>
      <c r="N11325" t="s">
        <v>43166</v>
      </c>
      <c r="O11325" t="s">
        <v>43167</v>
      </c>
      <c r="P11325">
        <v>0</v>
      </c>
      <c r="Q11325">
        <v>0</v>
      </c>
      <c r="R11325" t="s">
        <v>43179</v>
      </c>
      <c r="S11325" t="s">
        <v>43583</v>
      </c>
      <c r="T11325" t="s">
        <v>44791</v>
      </c>
      <c r="U11325" t="s">
        <v>53477</v>
      </c>
      <c r="W11325" t="s">
        <v>42481</v>
      </c>
      <c r="X11325" t="s">
        <v>43181</v>
      </c>
    </row>
    <row r="11326" spans="1:24">
      <c r="A11326">
        <f>HYPERLINK("https://www.philgeps.gov.ph/GEPSNONPILOT/Tender/SplashBidNoticeAbstractUI.aspx?menuIndex=3&amp;refID=7065177&amp;Result=3","7065177")</f>
        <v>0</v>
      </c>
      <c r="B11326" t="s">
        <v>2937</v>
      </c>
      <c r="C11326" t="s">
        <v>7879</v>
      </c>
      <c r="D11326" t="s">
        <v>17462</v>
      </c>
      <c r="E11326" t="s">
        <v>27200</v>
      </c>
      <c r="F11326" t="s">
        <v>30055</v>
      </c>
      <c r="G11326" t="s">
        <v>30058</v>
      </c>
      <c r="H11326" t="s">
        <v>15498</v>
      </c>
      <c r="I11326" t="s">
        <v>3693</v>
      </c>
      <c r="J11326" t="s">
        <v>30343</v>
      </c>
      <c r="K11326" t="s">
        <v>39029</v>
      </c>
      <c r="L11326" t="s">
        <v>2937</v>
      </c>
      <c r="M11326" t="s">
        <v>42501</v>
      </c>
      <c r="N11326" t="s">
        <v>43166</v>
      </c>
      <c r="O11326" t="s">
        <v>43167</v>
      </c>
      <c r="P11326">
        <v>0</v>
      </c>
      <c r="Q11326">
        <v>0</v>
      </c>
      <c r="R11326" t="s">
        <v>43179</v>
      </c>
      <c r="S11326" t="s">
        <v>43583</v>
      </c>
      <c r="T11326" t="s">
        <v>44820</v>
      </c>
      <c r="U11326" t="s">
        <v>54218</v>
      </c>
      <c r="W11326" t="s">
        <v>42501</v>
      </c>
      <c r="X11326" t="s">
        <v>43180</v>
      </c>
    </row>
    <row r="11327" spans="1:24">
      <c r="A11327">
        <f>HYPERLINK("https://www.philgeps.gov.ph/GEPSNONPILOT/Tender/SplashBidNoticeAbstractUI.aspx?menuIndex=3&amp;refID=7064348&amp;Result=3","7064348")</f>
        <v>0</v>
      </c>
      <c r="B11327" t="s">
        <v>2918</v>
      </c>
      <c r="C11327" t="s">
        <v>8845</v>
      </c>
      <c r="D11327" t="s">
        <v>17415</v>
      </c>
      <c r="E11327" t="s">
        <v>27201</v>
      </c>
      <c r="F11327" t="s">
        <v>30052</v>
      </c>
      <c r="G11327" t="s">
        <v>30058</v>
      </c>
      <c r="H11327" t="s">
        <v>15498</v>
      </c>
      <c r="I11327" t="s">
        <v>7228</v>
      </c>
      <c r="J11327" t="s">
        <v>37123</v>
      </c>
      <c r="K11327" t="s">
        <v>39017</v>
      </c>
      <c r="M11327" t="s">
        <v>42481</v>
      </c>
      <c r="N11327" t="s">
        <v>43166</v>
      </c>
      <c r="O11327" t="s">
        <v>43167</v>
      </c>
      <c r="P11327">
        <v>0</v>
      </c>
      <c r="Q11327">
        <v>1</v>
      </c>
      <c r="R11327" t="s">
        <v>43179</v>
      </c>
      <c r="S11327" t="s">
        <v>43583</v>
      </c>
      <c r="T11327" t="s">
        <v>44791</v>
      </c>
      <c r="U11327" t="s">
        <v>53477</v>
      </c>
      <c r="W11327" t="s">
        <v>42481</v>
      </c>
      <c r="X11327" t="s">
        <v>43181</v>
      </c>
    </row>
    <row r="11328" spans="1:24">
      <c r="A11328">
        <f>HYPERLINK("https://www.philgeps.gov.ph/GEPSNONPILOT/Tender/SplashBidNoticeAbstractUI.aspx?menuIndex=3&amp;refID=7064948&amp;Result=3","7064948")</f>
        <v>0</v>
      </c>
      <c r="B11328" t="s">
        <v>54</v>
      </c>
      <c r="C11328" t="s">
        <v>14228</v>
      </c>
      <c r="D11328" t="s">
        <v>17437</v>
      </c>
      <c r="E11328" t="s">
        <v>27202</v>
      </c>
      <c r="F11328" t="s">
        <v>30052</v>
      </c>
      <c r="G11328" t="s">
        <v>30058</v>
      </c>
      <c r="H11328" t="s">
        <v>15498</v>
      </c>
      <c r="I11328" t="s">
        <v>3606</v>
      </c>
      <c r="J11328" t="s">
        <v>37124</v>
      </c>
      <c r="K11328" t="s">
        <v>39064</v>
      </c>
      <c r="M11328" t="s">
        <v>39343</v>
      </c>
      <c r="N11328" t="s">
        <v>43166</v>
      </c>
      <c r="O11328" t="s">
        <v>43167</v>
      </c>
      <c r="P11328">
        <v>0</v>
      </c>
      <c r="Q11328">
        <v>7</v>
      </c>
      <c r="R11328" t="s">
        <v>43179</v>
      </c>
      <c r="S11328" t="s">
        <v>43583</v>
      </c>
      <c r="T11328" t="s">
        <v>44750</v>
      </c>
      <c r="U11328" t="s">
        <v>54219</v>
      </c>
      <c r="W11328" t="s">
        <v>39343</v>
      </c>
      <c r="X11328" t="s">
        <v>43180</v>
      </c>
    </row>
    <row r="11329" spans="1:24">
      <c r="A11329">
        <f>HYPERLINK("https://www.philgeps.gov.ph/GEPSNONPILOT/Tender/SplashBidNoticeAbstractUI.aspx?menuIndex=3&amp;refID=7064947&amp;Result=3","7064947")</f>
        <v>0</v>
      </c>
      <c r="B11329" t="s">
        <v>2926</v>
      </c>
      <c r="C11329" t="s">
        <v>14229</v>
      </c>
      <c r="D11329" t="s">
        <v>17462</v>
      </c>
      <c r="E11329" t="s">
        <v>27203</v>
      </c>
      <c r="F11329" t="s">
        <v>30052</v>
      </c>
      <c r="G11329" t="s">
        <v>30058</v>
      </c>
      <c r="H11329" t="s">
        <v>15498</v>
      </c>
      <c r="I11329" t="s">
        <v>30110</v>
      </c>
      <c r="J11329" t="s">
        <v>37125</v>
      </c>
      <c r="K11329" t="s">
        <v>39046</v>
      </c>
      <c r="M11329" t="s">
        <v>42489</v>
      </c>
      <c r="N11329" t="s">
        <v>43166</v>
      </c>
      <c r="O11329" t="s">
        <v>43167</v>
      </c>
      <c r="P11329">
        <v>0</v>
      </c>
      <c r="Q11329">
        <v>6</v>
      </c>
      <c r="R11329" t="s">
        <v>43179</v>
      </c>
      <c r="S11329" t="s">
        <v>43583</v>
      </c>
      <c r="T11329" t="s">
        <v>44780</v>
      </c>
      <c r="U11329" t="s">
        <v>53501</v>
      </c>
      <c r="V11329" t="s">
        <v>58097</v>
      </c>
      <c r="W11329" t="s">
        <v>42489</v>
      </c>
      <c r="X11329" t="s">
        <v>43180</v>
      </c>
    </row>
    <row r="11330" spans="1:24">
      <c r="A11330">
        <f>HYPERLINK("https://www.philgeps.gov.ph/GEPSNONPILOT/Tender/SplashBidNoticeAbstractUI.aspx?menuIndex=3&amp;refID=7064233&amp;Result=3","7064233")</f>
        <v>0</v>
      </c>
      <c r="B11330" t="s">
        <v>3090</v>
      </c>
      <c r="C11330" t="s">
        <v>14230</v>
      </c>
      <c r="D11330" t="s">
        <v>17453</v>
      </c>
      <c r="E11330" t="s">
        <v>27204</v>
      </c>
      <c r="F11330" t="s">
        <v>30052</v>
      </c>
      <c r="G11330" t="s">
        <v>30058</v>
      </c>
      <c r="H11330" t="s">
        <v>30067</v>
      </c>
      <c r="I11330" t="s">
        <v>3693</v>
      </c>
      <c r="J11330" t="s">
        <v>30277</v>
      </c>
      <c r="K11330" t="s">
        <v>39084</v>
      </c>
      <c r="M11330" t="s">
        <v>42674</v>
      </c>
      <c r="N11330" t="s">
        <v>43166</v>
      </c>
      <c r="O11330" t="s">
        <v>43167</v>
      </c>
      <c r="P11330">
        <v>0</v>
      </c>
      <c r="Q11330">
        <v>0</v>
      </c>
      <c r="R11330" t="s">
        <v>43180</v>
      </c>
      <c r="S11330" t="s">
        <v>43646</v>
      </c>
      <c r="T11330" t="s">
        <v>44699</v>
      </c>
      <c r="U11330" t="s">
        <v>54184</v>
      </c>
      <c r="V11330" t="s">
        <v>58089</v>
      </c>
      <c r="W11330" t="s">
        <v>42674</v>
      </c>
      <c r="X11330" t="s">
        <v>43181</v>
      </c>
    </row>
    <row r="11331" spans="1:24">
      <c r="A11331">
        <f>HYPERLINK("https://www.philgeps.gov.ph/GEPSNONPILOT/Tender/SplashBidNoticeAbstractUI.aspx?menuIndex=3&amp;refID=7064224&amp;Result=3","7064224")</f>
        <v>0</v>
      </c>
      <c r="B11331" t="s">
        <v>3101</v>
      </c>
      <c r="C11331" t="s">
        <v>14231</v>
      </c>
      <c r="D11331" t="s">
        <v>17484</v>
      </c>
      <c r="E11331" t="s">
        <v>18907</v>
      </c>
      <c r="F11331" t="s">
        <v>30052</v>
      </c>
      <c r="G11331" t="s">
        <v>30058</v>
      </c>
      <c r="H11331" t="s">
        <v>30067</v>
      </c>
      <c r="I11331" t="s">
        <v>3693</v>
      </c>
      <c r="J11331" t="s">
        <v>37126</v>
      </c>
      <c r="K11331" t="s">
        <v>39052</v>
      </c>
      <c r="M11331" t="s">
        <v>42690</v>
      </c>
      <c r="N11331" t="s">
        <v>43166</v>
      </c>
      <c r="O11331" t="s">
        <v>43167</v>
      </c>
      <c r="P11331">
        <v>0</v>
      </c>
      <c r="Q11331">
        <v>0</v>
      </c>
      <c r="R11331" t="s">
        <v>43179</v>
      </c>
      <c r="S11331" t="s">
        <v>43583</v>
      </c>
      <c r="T11331" t="s">
        <v>44754</v>
      </c>
      <c r="U11331" t="s">
        <v>54220</v>
      </c>
      <c r="V11331" t="s">
        <v>58098</v>
      </c>
      <c r="W11331" t="s">
        <v>42690</v>
      </c>
      <c r="X11331" t="s">
        <v>43181</v>
      </c>
    </row>
    <row r="11332" spans="1:24">
      <c r="A11332">
        <f>HYPERLINK("https://www.philgeps.gov.ph/GEPSNONPILOT/Tender/SplashBidNoticeAbstractUI.aspx?menuIndex=3&amp;refID=7064043&amp;Result=3","7064043")</f>
        <v>0</v>
      </c>
      <c r="B11332" t="s">
        <v>348</v>
      </c>
      <c r="C11332" t="s">
        <v>14232</v>
      </c>
      <c r="D11332" t="s">
        <v>17416</v>
      </c>
      <c r="E11332" t="s">
        <v>27205</v>
      </c>
      <c r="F11332" t="s">
        <v>30052</v>
      </c>
      <c r="G11332" t="s">
        <v>30058</v>
      </c>
      <c r="H11332" t="s">
        <v>15498</v>
      </c>
      <c r="I11332" t="s">
        <v>30074</v>
      </c>
      <c r="J11332" t="s">
        <v>34092</v>
      </c>
      <c r="K11332" t="s">
        <v>39023</v>
      </c>
      <c r="M11332" t="s">
        <v>39645</v>
      </c>
      <c r="N11332" t="s">
        <v>43166</v>
      </c>
      <c r="O11332" t="s">
        <v>43167</v>
      </c>
      <c r="P11332">
        <v>0</v>
      </c>
      <c r="Q11332">
        <v>7</v>
      </c>
      <c r="R11332" t="s">
        <v>43179</v>
      </c>
      <c r="S11332" t="s">
        <v>43583</v>
      </c>
      <c r="T11332" t="s">
        <v>44795</v>
      </c>
      <c r="U11332" t="s">
        <v>54221</v>
      </c>
      <c r="V11332" t="s">
        <v>58099</v>
      </c>
      <c r="W11332" t="s">
        <v>39645</v>
      </c>
      <c r="X11332" t="s">
        <v>43181</v>
      </c>
    </row>
    <row r="11333" spans="1:24">
      <c r="A11333">
        <f>HYPERLINK("https://www.philgeps.gov.ph/GEPSNONPILOT/Tender/SplashBidNoticeAbstractUI.aspx?menuIndex=3&amp;refID=7063988&amp;Result=3","7063988")</f>
        <v>0</v>
      </c>
      <c r="B11333" t="s">
        <v>1251</v>
      </c>
      <c r="C11333" t="s">
        <v>14233</v>
      </c>
      <c r="D11333" t="s">
        <v>17463</v>
      </c>
      <c r="E11333" t="s">
        <v>25925</v>
      </c>
      <c r="F11333" t="s">
        <v>30052</v>
      </c>
      <c r="G11333" t="s">
        <v>30058</v>
      </c>
      <c r="H11333" t="s">
        <v>15498</v>
      </c>
      <c r="I11333" t="s">
        <v>3736</v>
      </c>
      <c r="J11333" t="s">
        <v>37127</v>
      </c>
      <c r="K11333" t="s">
        <v>39019</v>
      </c>
      <c r="M11333" t="s">
        <v>42399</v>
      </c>
      <c r="N11333" t="s">
        <v>43166</v>
      </c>
      <c r="O11333" t="s">
        <v>43167</v>
      </c>
      <c r="P11333">
        <v>0</v>
      </c>
      <c r="Q11333">
        <v>1</v>
      </c>
      <c r="R11333" t="s">
        <v>43179</v>
      </c>
      <c r="S11333" t="s">
        <v>43583</v>
      </c>
      <c r="T11333" t="s">
        <v>44699</v>
      </c>
      <c r="U11333" t="s">
        <v>54222</v>
      </c>
      <c r="W11333" t="s">
        <v>40956</v>
      </c>
      <c r="X11333" t="s">
        <v>43181</v>
      </c>
    </row>
    <row r="11334" spans="1:24">
      <c r="A11334">
        <f>HYPERLINK("https://www.philgeps.gov.ph/GEPSNONPILOT/Tender/SplashBidNoticeAbstractUI.aspx?menuIndex=3&amp;refID=7064307&amp;Result=3","7064307")</f>
        <v>0</v>
      </c>
      <c r="B11334" t="s">
        <v>1133</v>
      </c>
      <c r="C11334" t="s">
        <v>14234</v>
      </c>
      <c r="D11334" t="s">
        <v>17415</v>
      </c>
      <c r="E11334" t="s">
        <v>27206</v>
      </c>
      <c r="F11334" t="s">
        <v>30052</v>
      </c>
      <c r="G11334" t="s">
        <v>30059</v>
      </c>
      <c r="H11334" t="s">
        <v>15498</v>
      </c>
      <c r="I11334" t="s">
        <v>30070</v>
      </c>
      <c r="J11334" t="s">
        <v>37128</v>
      </c>
      <c r="K11334" t="s">
        <v>39025</v>
      </c>
      <c r="M11334" t="s">
        <v>40476</v>
      </c>
      <c r="N11334" t="s">
        <v>43166</v>
      </c>
      <c r="O11334" t="s">
        <v>43167</v>
      </c>
      <c r="Q11334">
        <v>12</v>
      </c>
      <c r="R11334" t="s">
        <v>43180</v>
      </c>
      <c r="S11334" t="s">
        <v>43723</v>
      </c>
      <c r="T11334" t="s">
        <v>44717</v>
      </c>
      <c r="U11334" t="s">
        <v>54223</v>
      </c>
      <c r="W11334" t="s">
        <v>40476</v>
      </c>
      <c r="X11334" t="s">
        <v>43181</v>
      </c>
    </row>
    <row r="11335" spans="1:24">
      <c r="A11335">
        <f>HYPERLINK("https://www.philgeps.gov.ph/GEPSNONPILOT/Tender/SplashBidNoticeAbstractUI.aspx?menuIndex=3&amp;refID=7064320&amp;Result=3","7064320")</f>
        <v>0</v>
      </c>
      <c r="B11335" t="s">
        <v>1733</v>
      </c>
      <c r="C11335" t="s">
        <v>14235</v>
      </c>
      <c r="D11335" t="s">
        <v>17467</v>
      </c>
      <c r="E11335" t="s">
        <v>27207</v>
      </c>
      <c r="F11335" t="s">
        <v>30052</v>
      </c>
      <c r="G11335" t="s">
        <v>30058</v>
      </c>
      <c r="H11335" t="s">
        <v>30067</v>
      </c>
      <c r="I11335" t="s">
        <v>3693</v>
      </c>
      <c r="J11335" t="s">
        <v>37129</v>
      </c>
      <c r="K11335" t="s">
        <v>39152</v>
      </c>
      <c r="L11335" t="s">
        <v>1733</v>
      </c>
      <c r="M11335" t="s">
        <v>41150</v>
      </c>
      <c r="N11335" t="s">
        <v>43166</v>
      </c>
      <c r="O11335" t="s">
        <v>43167</v>
      </c>
      <c r="P11335">
        <v>0</v>
      </c>
      <c r="Q11335">
        <v>0</v>
      </c>
      <c r="R11335" t="s">
        <v>43180</v>
      </c>
      <c r="S11335" t="s">
        <v>43646</v>
      </c>
      <c r="T11335" t="s">
        <v>44750</v>
      </c>
      <c r="U11335" t="s">
        <v>54224</v>
      </c>
      <c r="W11335" t="s">
        <v>41150</v>
      </c>
      <c r="X11335" t="s">
        <v>43181</v>
      </c>
    </row>
    <row r="11336" spans="1:24">
      <c r="A11336">
        <f>HYPERLINK("https://www.philgeps.gov.ph/GEPSNONPILOT/Tender/SplashBidNoticeAbstractUI.aspx?menuIndex=3&amp;refID=7065126&amp;Result=3","7065126")</f>
        <v>0</v>
      </c>
      <c r="B11336" t="s">
        <v>1100</v>
      </c>
      <c r="C11336" t="s">
        <v>14236</v>
      </c>
      <c r="D11336" t="s">
        <v>17466</v>
      </c>
      <c r="E11336" t="s">
        <v>27208</v>
      </c>
      <c r="F11336" t="s">
        <v>30052</v>
      </c>
      <c r="G11336" t="s">
        <v>30059</v>
      </c>
      <c r="H11336" t="s">
        <v>15498</v>
      </c>
      <c r="I11336" t="s">
        <v>4650</v>
      </c>
      <c r="J11336" t="s">
        <v>30350</v>
      </c>
      <c r="K11336" t="s">
        <v>39025</v>
      </c>
      <c r="M11336" t="s">
        <v>40439</v>
      </c>
      <c r="N11336" t="s">
        <v>43166</v>
      </c>
      <c r="O11336" t="s">
        <v>43167</v>
      </c>
      <c r="P11336">
        <v>0</v>
      </c>
      <c r="Q11336">
        <v>1</v>
      </c>
      <c r="R11336" t="s">
        <v>43179</v>
      </c>
      <c r="S11336" t="s">
        <v>43583</v>
      </c>
      <c r="T11336" t="s">
        <v>44844</v>
      </c>
      <c r="U11336" t="s">
        <v>49541</v>
      </c>
      <c r="W11336" t="s">
        <v>40439</v>
      </c>
      <c r="X11336" t="s">
        <v>43180</v>
      </c>
    </row>
    <row r="11337" spans="1:24">
      <c r="A11337">
        <f>HYPERLINK("https://www.philgeps.gov.ph/GEPSNONPILOT/Tender/SplashBidNoticeAbstractUI.aspx?menuIndex=3&amp;refID=7064313&amp;Result=3","7064313")</f>
        <v>0</v>
      </c>
      <c r="B11337" t="s">
        <v>3090</v>
      </c>
      <c r="C11337" t="s">
        <v>14237</v>
      </c>
      <c r="D11337" t="s">
        <v>17453</v>
      </c>
      <c r="E11337" t="s">
        <v>27209</v>
      </c>
      <c r="F11337" t="s">
        <v>30052</v>
      </c>
      <c r="G11337" t="s">
        <v>30058</v>
      </c>
      <c r="H11337" t="s">
        <v>30067</v>
      </c>
      <c r="I11337" t="s">
        <v>3693</v>
      </c>
      <c r="J11337" t="s">
        <v>30230</v>
      </c>
      <c r="K11337" t="s">
        <v>39032</v>
      </c>
      <c r="M11337" t="s">
        <v>42674</v>
      </c>
      <c r="N11337" t="s">
        <v>43166</v>
      </c>
      <c r="O11337" t="s">
        <v>43167</v>
      </c>
      <c r="P11337">
        <v>0</v>
      </c>
      <c r="Q11337">
        <v>0</v>
      </c>
      <c r="R11337" t="s">
        <v>43180</v>
      </c>
      <c r="S11337" t="s">
        <v>43646</v>
      </c>
      <c r="T11337" t="s">
        <v>44699</v>
      </c>
      <c r="U11337" t="s">
        <v>54225</v>
      </c>
      <c r="V11337" t="s">
        <v>58089</v>
      </c>
      <c r="W11337" t="s">
        <v>42674</v>
      </c>
      <c r="X11337" t="s">
        <v>43181</v>
      </c>
    </row>
    <row r="11338" spans="1:24">
      <c r="A11338">
        <f>HYPERLINK("https://www.philgeps.gov.ph/GEPSNONPILOT/Tender/SplashBidNoticeAbstractUI.aspx?menuIndex=3&amp;refID=7059398&amp;Result=3","7059398")</f>
        <v>0</v>
      </c>
      <c r="B11338" t="s">
        <v>1053</v>
      </c>
      <c r="C11338" t="s">
        <v>14238</v>
      </c>
      <c r="D11338" t="s">
        <v>17413</v>
      </c>
      <c r="E11338" t="s">
        <v>27210</v>
      </c>
      <c r="F11338" t="s">
        <v>30052</v>
      </c>
      <c r="G11338" t="s">
        <v>30058</v>
      </c>
      <c r="H11338" t="s">
        <v>15498</v>
      </c>
      <c r="I11338" t="s">
        <v>30075</v>
      </c>
      <c r="J11338" t="s">
        <v>37130</v>
      </c>
      <c r="K11338" t="s">
        <v>39098</v>
      </c>
      <c r="M11338" t="s">
        <v>40386</v>
      </c>
      <c r="N11338" t="s">
        <v>43166</v>
      </c>
      <c r="O11338" t="s">
        <v>43167</v>
      </c>
      <c r="P11338">
        <v>0</v>
      </c>
      <c r="Q11338">
        <v>6</v>
      </c>
      <c r="R11338" t="s">
        <v>43179</v>
      </c>
      <c r="S11338" t="s">
        <v>43583</v>
      </c>
      <c r="T11338" t="s">
        <v>44704</v>
      </c>
      <c r="U11338" t="s">
        <v>54226</v>
      </c>
      <c r="W11338" t="s">
        <v>40386</v>
      </c>
      <c r="X11338" t="s">
        <v>43182</v>
      </c>
    </row>
    <row r="11339" spans="1:24">
      <c r="A11339">
        <f>HYPERLINK("https://www.philgeps.gov.ph/GEPSNONPILOT/Tender/SplashBidNoticeAbstractUI.aspx?menuIndex=3&amp;refID=7064308&amp;Result=3","7064308")</f>
        <v>0</v>
      </c>
      <c r="B11339" t="s">
        <v>3090</v>
      </c>
      <c r="C11339" t="s">
        <v>14239</v>
      </c>
      <c r="D11339" t="s">
        <v>17453</v>
      </c>
      <c r="E11339" t="s">
        <v>27211</v>
      </c>
      <c r="F11339" t="s">
        <v>30052</v>
      </c>
      <c r="G11339" t="s">
        <v>30058</v>
      </c>
      <c r="H11339" t="s">
        <v>30067</v>
      </c>
      <c r="I11339" t="s">
        <v>3693</v>
      </c>
      <c r="J11339" t="s">
        <v>30207</v>
      </c>
      <c r="K11339" t="s">
        <v>39029</v>
      </c>
      <c r="M11339" t="s">
        <v>42674</v>
      </c>
      <c r="N11339" t="s">
        <v>43166</v>
      </c>
      <c r="O11339" t="s">
        <v>43167</v>
      </c>
      <c r="P11339">
        <v>0</v>
      </c>
      <c r="Q11339">
        <v>0</v>
      </c>
      <c r="R11339" t="s">
        <v>43180</v>
      </c>
      <c r="S11339" t="s">
        <v>43646</v>
      </c>
      <c r="T11339" t="s">
        <v>44699</v>
      </c>
      <c r="U11339" t="s">
        <v>54227</v>
      </c>
      <c r="V11339" t="s">
        <v>58089</v>
      </c>
      <c r="W11339" t="s">
        <v>42674</v>
      </c>
      <c r="X11339" t="s">
        <v>43181</v>
      </c>
    </row>
    <row r="11340" spans="1:24">
      <c r="A11340">
        <f>HYPERLINK("https://www.philgeps.gov.ph/GEPSNONPILOT/Tender/SplashBidNoticeAbstractUI.aspx?menuIndex=3&amp;refID=7064303&amp;Result=3","7064303")</f>
        <v>0</v>
      </c>
      <c r="B11340" t="s">
        <v>2245</v>
      </c>
      <c r="C11340" t="s">
        <v>14240</v>
      </c>
      <c r="D11340" t="s">
        <v>17415</v>
      </c>
      <c r="E11340" t="s">
        <v>27212</v>
      </c>
      <c r="F11340" t="s">
        <v>30052</v>
      </c>
      <c r="G11340" t="s">
        <v>30058</v>
      </c>
      <c r="H11340" t="s">
        <v>30067</v>
      </c>
      <c r="I11340" t="s">
        <v>3693</v>
      </c>
      <c r="J11340" t="s">
        <v>37131</v>
      </c>
      <c r="K11340" t="s">
        <v>39022</v>
      </c>
      <c r="M11340" t="s">
        <v>41723</v>
      </c>
      <c r="N11340" t="s">
        <v>43166</v>
      </c>
      <c r="O11340" t="s">
        <v>43167</v>
      </c>
      <c r="Q11340">
        <v>13</v>
      </c>
      <c r="R11340" t="s">
        <v>43180</v>
      </c>
      <c r="S11340" t="s">
        <v>43616</v>
      </c>
      <c r="T11340" t="s">
        <v>44750</v>
      </c>
      <c r="U11340" t="s">
        <v>54228</v>
      </c>
      <c r="W11340" t="s">
        <v>41723</v>
      </c>
      <c r="X11340" t="s">
        <v>43181</v>
      </c>
    </row>
    <row r="11341" spans="1:24">
      <c r="A11341">
        <f>HYPERLINK("https://www.philgeps.gov.ph/GEPSNONPILOT/Tender/SplashBidNoticeAbstractUI.aspx?menuIndex=3&amp;refID=7064319&amp;Result=3","7064319")</f>
        <v>0</v>
      </c>
      <c r="B11341" t="s">
        <v>3090</v>
      </c>
      <c r="C11341" t="s">
        <v>14241</v>
      </c>
      <c r="D11341" t="s">
        <v>17453</v>
      </c>
      <c r="E11341" t="s">
        <v>27213</v>
      </c>
      <c r="F11341" t="s">
        <v>30052</v>
      </c>
      <c r="G11341" t="s">
        <v>30058</v>
      </c>
      <c r="H11341" t="s">
        <v>30067</v>
      </c>
      <c r="I11341" t="s">
        <v>3693</v>
      </c>
      <c r="J11341" t="s">
        <v>30277</v>
      </c>
      <c r="K11341" t="s">
        <v>39029</v>
      </c>
      <c r="M11341" t="s">
        <v>42674</v>
      </c>
      <c r="N11341" t="s">
        <v>43166</v>
      </c>
      <c r="O11341" t="s">
        <v>43167</v>
      </c>
      <c r="P11341">
        <v>0</v>
      </c>
      <c r="Q11341">
        <v>0</v>
      </c>
      <c r="R11341" t="s">
        <v>43180</v>
      </c>
      <c r="S11341" t="s">
        <v>43646</v>
      </c>
      <c r="T11341" t="s">
        <v>44699</v>
      </c>
      <c r="U11341" t="s">
        <v>54229</v>
      </c>
      <c r="V11341" t="s">
        <v>58089</v>
      </c>
      <c r="W11341" t="s">
        <v>42674</v>
      </c>
      <c r="X11341" t="s">
        <v>43181</v>
      </c>
    </row>
    <row r="11342" spans="1:24">
      <c r="A11342">
        <f>HYPERLINK("https://www.philgeps.gov.ph/GEPSNONPILOT/Tender/SplashBidNoticeAbstractUI.aspx?menuIndex=3&amp;refID=7064300&amp;Result=3","7064300")</f>
        <v>0</v>
      </c>
      <c r="B11342" t="s">
        <v>3090</v>
      </c>
      <c r="C11342" t="s">
        <v>14242</v>
      </c>
      <c r="D11342" t="s">
        <v>17453</v>
      </c>
      <c r="E11342" t="s">
        <v>27214</v>
      </c>
      <c r="F11342" t="s">
        <v>30052</v>
      </c>
      <c r="G11342" t="s">
        <v>30058</v>
      </c>
      <c r="H11342" t="s">
        <v>30067</v>
      </c>
      <c r="I11342" t="s">
        <v>3693</v>
      </c>
      <c r="J11342" t="s">
        <v>30218</v>
      </c>
      <c r="K11342" t="s">
        <v>39073</v>
      </c>
      <c r="M11342" t="s">
        <v>42674</v>
      </c>
      <c r="N11342" t="s">
        <v>43166</v>
      </c>
      <c r="O11342" t="s">
        <v>43167</v>
      </c>
      <c r="P11342">
        <v>0</v>
      </c>
      <c r="Q11342">
        <v>0</v>
      </c>
      <c r="R11342" t="s">
        <v>43180</v>
      </c>
      <c r="S11342" t="s">
        <v>43646</v>
      </c>
      <c r="T11342" t="s">
        <v>44699</v>
      </c>
      <c r="U11342" t="s">
        <v>54230</v>
      </c>
      <c r="V11342" t="s">
        <v>58089</v>
      </c>
      <c r="W11342" t="s">
        <v>42674</v>
      </c>
      <c r="X11342" t="s">
        <v>43181</v>
      </c>
    </row>
    <row r="11343" spans="1:24">
      <c r="A11343">
        <f>HYPERLINK("https://www.philgeps.gov.ph/GEPSNONPILOT/Tender/SplashBidNoticeAbstractUI.aspx?menuIndex=3&amp;refID=7064295&amp;Result=3","7064295")</f>
        <v>0</v>
      </c>
      <c r="B11343" t="s">
        <v>3090</v>
      </c>
      <c r="C11343" t="s">
        <v>14243</v>
      </c>
      <c r="D11343" t="s">
        <v>17453</v>
      </c>
      <c r="E11343" t="s">
        <v>27215</v>
      </c>
      <c r="F11343" t="s">
        <v>30052</v>
      </c>
      <c r="G11343" t="s">
        <v>30058</v>
      </c>
      <c r="H11343" t="s">
        <v>30067</v>
      </c>
      <c r="I11343" t="s">
        <v>3693</v>
      </c>
      <c r="J11343" t="s">
        <v>30277</v>
      </c>
      <c r="K11343" t="s">
        <v>39029</v>
      </c>
      <c r="M11343" t="s">
        <v>42674</v>
      </c>
      <c r="N11343" t="s">
        <v>43166</v>
      </c>
      <c r="O11343" t="s">
        <v>43167</v>
      </c>
      <c r="P11343">
        <v>0</v>
      </c>
      <c r="Q11343">
        <v>0</v>
      </c>
      <c r="R11343" t="s">
        <v>43180</v>
      </c>
      <c r="S11343" t="s">
        <v>43646</v>
      </c>
      <c r="T11343" t="s">
        <v>44699</v>
      </c>
      <c r="U11343" t="s">
        <v>54231</v>
      </c>
      <c r="V11343" t="s">
        <v>58089</v>
      </c>
      <c r="W11343" t="s">
        <v>42674</v>
      </c>
      <c r="X11343" t="s">
        <v>43181</v>
      </c>
    </row>
    <row r="11344" spans="1:24">
      <c r="A11344">
        <f>HYPERLINK("https://www.philgeps.gov.ph/GEPSNONPILOT/Tender/SplashBidNoticeAbstractUI.aspx?menuIndex=3&amp;refID=7064354&amp;Result=3","7064354")</f>
        <v>0</v>
      </c>
      <c r="B11344" t="s">
        <v>2918</v>
      </c>
      <c r="C11344" t="s">
        <v>8845</v>
      </c>
      <c r="D11344" t="s">
        <v>17415</v>
      </c>
      <c r="E11344" t="s">
        <v>27216</v>
      </c>
      <c r="F11344" t="s">
        <v>30052</v>
      </c>
      <c r="G11344" t="s">
        <v>30058</v>
      </c>
      <c r="H11344" t="s">
        <v>15498</v>
      </c>
      <c r="I11344" t="s">
        <v>7228</v>
      </c>
      <c r="J11344" t="s">
        <v>37132</v>
      </c>
      <c r="K11344" t="s">
        <v>39017</v>
      </c>
      <c r="M11344" t="s">
        <v>42481</v>
      </c>
      <c r="N11344" t="s">
        <v>43166</v>
      </c>
      <c r="O11344" t="s">
        <v>43167</v>
      </c>
      <c r="P11344">
        <v>0</v>
      </c>
      <c r="Q11344">
        <v>1</v>
      </c>
      <c r="R11344" t="s">
        <v>43179</v>
      </c>
      <c r="S11344" t="s">
        <v>43583</v>
      </c>
      <c r="T11344" t="s">
        <v>44791</v>
      </c>
      <c r="U11344" t="s">
        <v>53477</v>
      </c>
      <c r="W11344" t="s">
        <v>42481</v>
      </c>
      <c r="X11344" t="s">
        <v>43181</v>
      </c>
    </row>
    <row r="11345" spans="1:24">
      <c r="A11345">
        <f>HYPERLINK("https://www.philgeps.gov.ph/GEPSNONPILOT/Tender/SplashBidNoticeAbstractUI.aspx?menuIndex=3&amp;refID=7064292&amp;Result=3","7064292")</f>
        <v>0</v>
      </c>
      <c r="B11345" t="s">
        <v>3090</v>
      </c>
      <c r="C11345" t="s">
        <v>14244</v>
      </c>
      <c r="D11345" t="s">
        <v>17453</v>
      </c>
      <c r="E11345" t="s">
        <v>27217</v>
      </c>
      <c r="F11345" t="s">
        <v>30052</v>
      </c>
      <c r="G11345" t="s">
        <v>30058</v>
      </c>
      <c r="H11345" t="s">
        <v>30067</v>
      </c>
      <c r="I11345" t="s">
        <v>3693</v>
      </c>
      <c r="J11345" t="s">
        <v>30277</v>
      </c>
      <c r="K11345" t="s">
        <v>39073</v>
      </c>
      <c r="M11345" t="s">
        <v>42674</v>
      </c>
      <c r="N11345" t="s">
        <v>43166</v>
      </c>
      <c r="O11345" t="s">
        <v>43167</v>
      </c>
      <c r="P11345">
        <v>0</v>
      </c>
      <c r="Q11345">
        <v>0</v>
      </c>
      <c r="R11345" t="s">
        <v>43180</v>
      </c>
      <c r="S11345" t="s">
        <v>43646</v>
      </c>
      <c r="T11345" t="s">
        <v>44699</v>
      </c>
      <c r="U11345" t="s">
        <v>54230</v>
      </c>
      <c r="V11345" t="s">
        <v>58089</v>
      </c>
      <c r="W11345" t="s">
        <v>42674</v>
      </c>
      <c r="X11345" t="s">
        <v>43181</v>
      </c>
    </row>
    <row r="11346" spans="1:24">
      <c r="A11346">
        <f>HYPERLINK("https://www.philgeps.gov.ph/GEPSNONPILOT/Tender/SplashBidNoticeAbstractUI.aspx?menuIndex=3&amp;refID=7064306&amp;Result=3","7064306")</f>
        <v>0</v>
      </c>
      <c r="B11346" t="s">
        <v>2245</v>
      </c>
      <c r="C11346" t="s">
        <v>14245</v>
      </c>
      <c r="D11346" t="s">
        <v>17415</v>
      </c>
      <c r="E11346" t="s">
        <v>27218</v>
      </c>
      <c r="F11346" t="s">
        <v>30052</v>
      </c>
      <c r="G11346" t="s">
        <v>30058</v>
      </c>
      <c r="H11346" t="s">
        <v>30067</v>
      </c>
      <c r="I11346" t="s">
        <v>3693</v>
      </c>
      <c r="J11346" t="s">
        <v>37133</v>
      </c>
      <c r="K11346" t="s">
        <v>39033</v>
      </c>
      <c r="M11346" t="s">
        <v>41723</v>
      </c>
      <c r="N11346" t="s">
        <v>43166</v>
      </c>
      <c r="O11346" t="s">
        <v>43167</v>
      </c>
      <c r="Q11346">
        <v>18</v>
      </c>
      <c r="R11346" t="s">
        <v>43180</v>
      </c>
      <c r="S11346" t="s">
        <v>43724</v>
      </c>
      <c r="T11346" t="s">
        <v>44750</v>
      </c>
      <c r="U11346" t="s">
        <v>54232</v>
      </c>
      <c r="W11346" t="s">
        <v>41723</v>
      </c>
      <c r="X11346" t="s">
        <v>43181</v>
      </c>
    </row>
    <row r="11347" spans="1:24">
      <c r="A11347">
        <f>HYPERLINK("https://www.philgeps.gov.ph/GEPSNONPILOT/Tender/SplashBidNoticeAbstractUI.aspx?menuIndex=3&amp;refID=7064287&amp;Result=3","7064287")</f>
        <v>0</v>
      </c>
      <c r="B11347" t="s">
        <v>3090</v>
      </c>
      <c r="C11347" t="s">
        <v>14246</v>
      </c>
      <c r="D11347" t="s">
        <v>17453</v>
      </c>
      <c r="E11347" t="s">
        <v>27219</v>
      </c>
      <c r="F11347" t="s">
        <v>30052</v>
      </c>
      <c r="G11347" t="s">
        <v>30058</v>
      </c>
      <c r="H11347" t="s">
        <v>30067</v>
      </c>
      <c r="I11347" t="s">
        <v>3693</v>
      </c>
      <c r="J11347" t="s">
        <v>30252</v>
      </c>
      <c r="K11347" t="s">
        <v>39029</v>
      </c>
      <c r="M11347" t="s">
        <v>42674</v>
      </c>
      <c r="N11347" t="s">
        <v>43166</v>
      </c>
      <c r="O11347" t="s">
        <v>43167</v>
      </c>
      <c r="P11347">
        <v>0</v>
      </c>
      <c r="Q11347">
        <v>0</v>
      </c>
      <c r="R11347" t="s">
        <v>43180</v>
      </c>
      <c r="S11347" t="s">
        <v>43646</v>
      </c>
      <c r="T11347" t="s">
        <v>44699</v>
      </c>
      <c r="U11347" t="s">
        <v>54148</v>
      </c>
      <c r="V11347" t="s">
        <v>58089</v>
      </c>
      <c r="W11347" t="s">
        <v>42674</v>
      </c>
      <c r="X11347" t="s">
        <v>43181</v>
      </c>
    </row>
    <row r="11348" spans="1:24">
      <c r="A11348">
        <f>HYPERLINK("https://www.philgeps.gov.ph/GEPSNONPILOT/Tender/SplashBidNoticeAbstractUI.aspx?menuIndex=3&amp;refID=7064434&amp;Result=3","7064434")</f>
        <v>0</v>
      </c>
      <c r="B11348" t="s">
        <v>3102</v>
      </c>
      <c r="C11348" t="s">
        <v>14247</v>
      </c>
      <c r="D11348" t="s">
        <v>17466</v>
      </c>
      <c r="E11348" t="s">
        <v>27220</v>
      </c>
      <c r="F11348" t="s">
        <v>30052</v>
      </c>
      <c r="G11348" t="s">
        <v>30058</v>
      </c>
      <c r="H11348" t="s">
        <v>30067</v>
      </c>
      <c r="I11348" t="s">
        <v>3693</v>
      </c>
      <c r="J11348" t="s">
        <v>37134</v>
      </c>
      <c r="K11348" t="s">
        <v>39026</v>
      </c>
      <c r="M11348" t="s">
        <v>42691</v>
      </c>
      <c r="N11348" t="s">
        <v>43166</v>
      </c>
      <c r="O11348" t="s">
        <v>43167</v>
      </c>
      <c r="P11348">
        <v>0</v>
      </c>
      <c r="Q11348">
        <v>2</v>
      </c>
      <c r="R11348" t="s">
        <v>43180</v>
      </c>
      <c r="S11348" t="s">
        <v>43646</v>
      </c>
      <c r="T11348" t="s">
        <v>45155</v>
      </c>
      <c r="U11348" t="s">
        <v>54233</v>
      </c>
      <c r="V11348" t="s">
        <v>58100</v>
      </c>
      <c r="W11348" t="s">
        <v>58703</v>
      </c>
      <c r="X11348" t="s">
        <v>43181</v>
      </c>
    </row>
    <row r="11349" spans="1:24">
      <c r="A11349">
        <f>HYPERLINK("https://www.philgeps.gov.ph/GEPSNONPILOT/Tender/SplashBidNoticeAbstractUI.aspx?menuIndex=3&amp;refID=7064299&amp;Result=3","7064299")</f>
        <v>0</v>
      </c>
      <c r="B11349" t="s">
        <v>3101</v>
      </c>
      <c r="C11349" t="s">
        <v>7909</v>
      </c>
      <c r="D11349" t="s">
        <v>17484</v>
      </c>
      <c r="E11349" t="s">
        <v>18342</v>
      </c>
      <c r="F11349" t="s">
        <v>30052</v>
      </c>
      <c r="G11349" t="s">
        <v>30058</v>
      </c>
      <c r="H11349" t="s">
        <v>30067</v>
      </c>
      <c r="I11349" t="s">
        <v>3693</v>
      </c>
      <c r="J11349" t="s">
        <v>30292</v>
      </c>
      <c r="K11349" t="s">
        <v>39052</v>
      </c>
      <c r="M11349" t="s">
        <v>42690</v>
      </c>
      <c r="N11349" t="s">
        <v>43166</v>
      </c>
      <c r="O11349" t="s">
        <v>43167</v>
      </c>
      <c r="P11349">
        <v>0</v>
      </c>
      <c r="Q11349">
        <v>0</v>
      </c>
      <c r="R11349" t="s">
        <v>43180</v>
      </c>
      <c r="S11349" t="s">
        <v>43646</v>
      </c>
      <c r="T11349" t="s">
        <v>44757</v>
      </c>
      <c r="U11349" t="s">
        <v>54234</v>
      </c>
      <c r="V11349" t="s">
        <v>58098</v>
      </c>
      <c r="W11349" t="s">
        <v>42690</v>
      </c>
      <c r="X11349" t="s">
        <v>43181</v>
      </c>
    </row>
    <row r="11350" spans="1:24">
      <c r="A11350">
        <f>HYPERLINK("https://www.philgeps.gov.ph/GEPSNONPILOT/Tender/SplashBidNoticeAbstractUI.aspx?menuIndex=3&amp;refID=7064421&amp;Result=3","7064421")</f>
        <v>0</v>
      </c>
      <c r="B11350" t="s">
        <v>1000</v>
      </c>
      <c r="C11350" t="s">
        <v>14248</v>
      </c>
      <c r="D11350" t="s">
        <v>17422</v>
      </c>
      <c r="E11350" t="s">
        <v>27221</v>
      </c>
      <c r="F11350" t="s">
        <v>30052</v>
      </c>
      <c r="G11350" t="s">
        <v>30058</v>
      </c>
      <c r="H11350" t="s">
        <v>15498</v>
      </c>
      <c r="I11350" t="s">
        <v>3606</v>
      </c>
      <c r="J11350" t="s">
        <v>37135</v>
      </c>
      <c r="K11350" t="s">
        <v>39059</v>
      </c>
      <c r="M11350" t="s">
        <v>42692</v>
      </c>
      <c r="N11350" t="s">
        <v>43166</v>
      </c>
      <c r="O11350" t="s">
        <v>43167</v>
      </c>
      <c r="P11350">
        <v>0</v>
      </c>
      <c r="Q11350">
        <v>3</v>
      </c>
      <c r="R11350" t="s">
        <v>43180</v>
      </c>
      <c r="S11350" t="s">
        <v>43646</v>
      </c>
      <c r="T11350" t="s">
        <v>44780</v>
      </c>
      <c r="U11350" t="s">
        <v>54235</v>
      </c>
      <c r="V11350" t="s">
        <v>57200</v>
      </c>
      <c r="W11350" t="s">
        <v>42692</v>
      </c>
      <c r="X11350" t="s">
        <v>43181</v>
      </c>
    </row>
    <row r="11351" spans="1:24">
      <c r="A11351">
        <f>HYPERLINK("https://www.philgeps.gov.ph/GEPSNONPILOT/Tender/SplashBidNoticeAbstractUI.aspx?menuIndex=3&amp;refID=7064413&amp;Result=3","7064413")</f>
        <v>0</v>
      </c>
      <c r="B11351" t="s">
        <v>1622</v>
      </c>
      <c r="C11351" t="s">
        <v>14249</v>
      </c>
      <c r="D11351" t="s">
        <v>17415</v>
      </c>
      <c r="E11351" t="s">
        <v>27222</v>
      </c>
      <c r="F11351" t="s">
        <v>30052</v>
      </c>
      <c r="G11351" t="s">
        <v>30058</v>
      </c>
      <c r="H11351" t="s">
        <v>15498</v>
      </c>
      <c r="I11351" t="s">
        <v>9238</v>
      </c>
      <c r="J11351" t="s">
        <v>30557</v>
      </c>
      <c r="K11351" t="s">
        <v>39031</v>
      </c>
      <c r="M11351" t="s">
        <v>41022</v>
      </c>
      <c r="N11351" t="s">
        <v>43166</v>
      </c>
      <c r="O11351" t="s">
        <v>43167</v>
      </c>
      <c r="Q11351">
        <v>18</v>
      </c>
      <c r="R11351" t="s">
        <v>43180</v>
      </c>
      <c r="S11351" t="s">
        <v>43725</v>
      </c>
      <c r="T11351" t="s">
        <v>44704</v>
      </c>
      <c r="U11351" t="s">
        <v>54236</v>
      </c>
      <c r="W11351" t="s">
        <v>41022</v>
      </c>
      <c r="X11351" t="s">
        <v>43181</v>
      </c>
    </row>
    <row r="11352" spans="1:24">
      <c r="A11352">
        <f>HYPERLINK("https://www.philgeps.gov.ph/GEPSNONPILOT/Tender/SplashBidNoticeAbstractUI.aspx?menuIndex=3&amp;refID=7064394&amp;Result=3","7064394")</f>
        <v>0</v>
      </c>
      <c r="B11352" t="s">
        <v>3103</v>
      </c>
      <c r="C11352" t="s">
        <v>14250</v>
      </c>
      <c r="D11352" t="s">
        <v>17444</v>
      </c>
      <c r="E11352" t="s">
        <v>27223</v>
      </c>
      <c r="F11352" t="s">
        <v>30055</v>
      </c>
      <c r="G11352" t="s">
        <v>30058</v>
      </c>
      <c r="H11352" t="s">
        <v>15498</v>
      </c>
      <c r="I11352" t="s">
        <v>4598</v>
      </c>
      <c r="J11352" t="s">
        <v>37136</v>
      </c>
      <c r="K11352" t="s">
        <v>39025</v>
      </c>
      <c r="M11352" t="s">
        <v>42693</v>
      </c>
      <c r="N11352" t="s">
        <v>43166</v>
      </c>
      <c r="O11352" t="s">
        <v>43167</v>
      </c>
      <c r="P11352">
        <v>0</v>
      </c>
      <c r="Q11352">
        <v>3</v>
      </c>
      <c r="R11352" t="s">
        <v>43180</v>
      </c>
      <c r="S11352" t="s">
        <v>43646</v>
      </c>
      <c r="T11352" t="s">
        <v>44770</v>
      </c>
      <c r="U11352" t="s">
        <v>54237</v>
      </c>
      <c r="W11352" t="s">
        <v>42693</v>
      </c>
      <c r="X11352" t="s">
        <v>43181</v>
      </c>
    </row>
    <row r="11353" spans="1:24">
      <c r="A11353">
        <f>HYPERLINK("https://www.philgeps.gov.ph/GEPSNONPILOT/Tender/SplashBidNoticeAbstractUI.aspx?menuIndex=3&amp;refID=7064387&amp;Result=3","7064387")</f>
        <v>0</v>
      </c>
      <c r="B11353" t="s">
        <v>3104</v>
      </c>
      <c r="C11353" t="s">
        <v>14251</v>
      </c>
      <c r="E11353" t="s">
        <v>25336</v>
      </c>
      <c r="F11353" t="s">
        <v>30052</v>
      </c>
      <c r="G11353" t="s">
        <v>30058</v>
      </c>
      <c r="H11353" t="s">
        <v>30067</v>
      </c>
      <c r="I11353" t="s">
        <v>3693</v>
      </c>
      <c r="J11353" t="s">
        <v>31207</v>
      </c>
      <c r="K11353" t="s">
        <v>39025</v>
      </c>
      <c r="M11353" t="s">
        <v>42694</v>
      </c>
      <c r="N11353" t="s">
        <v>43166</v>
      </c>
      <c r="O11353" t="s">
        <v>43167</v>
      </c>
      <c r="P11353">
        <v>0</v>
      </c>
      <c r="Q11353">
        <v>0</v>
      </c>
      <c r="R11353" t="s">
        <v>43180</v>
      </c>
      <c r="S11353" t="s">
        <v>43646</v>
      </c>
      <c r="T11353" t="s">
        <v>44733</v>
      </c>
      <c r="U11353" t="s">
        <v>54238</v>
      </c>
      <c r="W11353" t="s">
        <v>42694</v>
      </c>
      <c r="X11353" t="s">
        <v>43181</v>
      </c>
    </row>
    <row r="11354" spans="1:24">
      <c r="A11354">
        <f>HYPERLINK("https://www.philgeps.gov.ph/GEPSNONPILOT/Tender/SplashBidNoticeAbstractUI.aspx?menuIndex=3&amp;refID=7064429&amp;Result=3","7064429")</f>
        <v>0</v>
      </c>
      <c r="B11354" t="s">
        <v>2881</v>
      </c>
      <c r="C11354" t="s">
        <v>14252</v>
      </c>
      <c r="D11354" t="s">
        <v>17452</v>
      </c>
      <c r="E11354" t="s">
        <v>14252</v>
      </c>
      <c r="F11354" t="s">
        <v>30052</v>
      </c>
      <c r="G11354" t="s">
        <v>30058</v>
      </c>
      <c r="H11354" t="s">
        <v>30067</v>
      </c>
      <c r="I11354" t="s">
        <v>3693</v>
      </c>
      <c r="J11354" t="s">
        <v>37137</v>
      </c>
      <c r="K11354" t="s">
        <v>39037</v>
      </c>
      <c r="M11354" t="s">
        <v>42431</v>
      </c>
      <c r="N11354" t="s">
        <v>43166</v>
      </c>
      <c r="O11354" t="s">
        <v>43167</v>
      </c>
      <c r="P11354">
        <v>0</v>
      </c>
      <c r="Q11354">
        <v>1</v>
      </c>
      <c r="R11354" t="s">
        <v>43180</v>
      </c>
      <c r="S11354" t="s">
        <v>43646</v>
      </c>
      <c r="T11354" t="s">
        <v>44717</v>
      </c>
      <c r="U11354" t="s">
        <v>54239</v>
      </c>
      <c r="W11354" t="s">
        <v>42431</v>
      </c>
      <c r="X11354" t="s">
        <v>43181</v>
      </c>
    </row>
    <row r="11355" spans="1:24">
      <c r="A11355">
        <f>HYPERLINK("https://www.philgeps.gov.ph/GEPSNONPILOT/Tender/SplashBidNoticeAbstractUI.aspx?menuIndex=3&amp;refID=7064317&amp;Result=3","7064317")</f>
        <v>0</v>
      </c>
      <c r="B11355" t="s">
        <v>3090</v>
      </c>
      <c r="C11355" t="s">
        <v>14253</v>
      </c>
      <c r="D11355" t="s">
        <v>17453</v>
      </c>
      <c r="E11355" t="s">
        <v>27224</v>
      </c>
      <c r="F11355" t="s">
        <v>30052</v>
      </c>
      <c r="G11355" t="s">
        <v>30058</v>
      </c>
      <c r="H11355" t="s">
        <v>30067</v>
      </c>
      <c r="I11355" t="s">
        <v>3693</v>
      </c>
      <c r="J11355" t="s">
        <v>30230</v>
      </c>
      <c r="K11355" t="s">
        <v>39178</v>
      </c>
      <c r="M11355" t="s">
        <v>42674</v>
      </c>
      <c r="N11355" t="s">
        <v>43166</v>
      </c>
      <c r="O11355" t="s">
        <v>43167</v>
      </c>
      <c r="P11355">
        <v>0</v>
      </c>
      <c r="Q11355">
        <v>0</v>
      </c>
      <c r="R11355" t="s">
        <v>43180</v>
      </c>
      <c r="S11355" t="s">
        <v>43646</v>
      </c>
      <c r="T11355" t="s">
        <v>44699</v>
      </c>
      <c r="U11355" t="s">
        <v>54240</v>
      </c>
      <c r="V11355" t="s">
        <v>58089</v>
      </c>
      <c r="W11355" t="s">
        <v>42674</v>
      </c>
      <c r="X11355" t="s">
        <v>43181</v>
      </c>
    </row>
    <row r="11356" spans="1:24">
      <c r="A11356">
        <f>HYPERLINK("https://www.philgeps.gov.ph/GEPSNONPILOT/Tender/SplashBidNoticeAbstractUI.aspx?menuIndex=3&amp;refID=7064359&amp;Result=3","7064359")</f>
        <v>0</v>
      </c>
      <c r="B11356" t="s">
        <v>2918</v>
      </c>
      <c r="C11356" t="s">
        <v>8799</v>
      </c>
      <c r="D11356" t="s">
        <v>17415</v>
      </c>
      <c r="E11356" t="s">
        <v>27225</v>
      </c>
      <c r="F11356" t="s">
        <v>30052</v>
      </c>
      <c r="G11356" t="s">
        <v>30058</v>
      </c>
      <c r="H11356" t="s">
        <v>15498</v>
      </c>
      <c r="I11356" t="s">
        <v>4119</v>
      </c>
      <c r="J11356" t="s">
        <v>37122</v>
      </c>
      <c r="K11356" t="s">
        <v>39017</v>
      </c>
      <c r="M11356" t="s">
        <v>42481</v>
      </c>
      <c r="N11356" t="s">
        <v>43166</v>
      </c>
      <c r="O11356" t="s">
        <v>43167</v>
      </c>
      <c r="P11356">
        <v>0</v>
      </c>
      <c r="Q11356">
        <v>1</v>
      </c>
      <c r="R11356" t="s">
        <v>43179</v>
      </c>
      <c r="S11356" t="s">
        <v>43583</v>
      </c>
      <c r="T11356" t="s">
        <v>44791</v>
      </c>
      <c r="U11356" t="s">
        <v>53477</v>
      </c>
      <c r="W11356" t="s">
        <v>42481</v>
      </c>
      <c r="X11356" t="s">
        <v>43181</v>
      </c>
    </row>
    <row r="11357" spans="1:24">
      <c r="A11357">
        <f>HYPERLINK("https://www.philgeps.gov.ph/GEPSNONPILOT/Tender/SplashBidNoticeAbstractUI.aspx?menuIndex=3&amp;refID=7064377&amp;Result=3","7064377")</f>
        <v>0</v>
      </c>
      <c r="B11357" t="s">
        <v>2881</v>
      </c>
      <c r="C11357" t="s">
        <v>14254</v>
      </c>
      <c r="D11357" t="s">
        <v>17452</v>
      </c>
      <c r="E11357" t="s">
        <v>27226</v>
      </c>
      <c r="F11357" t="s">
        <v>30052</v>
      </c>
      <c r="G11357" t="s">
        <v>30058</v>
      </c>
      <c r="H11357" t="s">
        <v>30067</v>
      </c>
      <c r="I11357" t="s">
        <v>3693</v>
      </c>
      <c r="J11357" t="s">
        <v>37138</v>
      </c>
      <c r="K11357" t="s">
        <v>39019</v>
      </c>
      <c r="M11357" t="s">
        <v>42431</v>
      </c>
      <c r="N11357" t="s">
        <v>43166</v>
      </c>
      <c r="O11357" t="s">
        <v>43167</v>
      </c>
      <c r="P11357">
        <v>0</v>
      </c>
      <c r="Q11357">
        <v>1</v>
      </c>
      <c r="R11357" t="s">
        <v>43180</v>
      </c>
      <c r="S11357" t="s">
        <v>43646</v>
      </c>
      <c r="T11357" t="s">
        <v>44717</v>
      </c>
      <c r="U11357" t="s">
        <v>54241</v>
      </c>
      <c r="W11357" t="s">
        <v>42431</v>
      </c>
      <c r="X11357" t="s">
        <v>43181</v>
      </c>
    </row>
    <row r="11358" spans="1:24">
      <c r="A11358">
        <f>HYPERLINK("https://www.philgeps.gov.ph/GEPSNONPILOT/Tender/SplashBidNoticeAbstractUI.aspx?menuIndex=3&amp;refID=7064342&amp;Result=3","7064342")</f>
        <v>0</v>
      </c>
      <c r="B11358" t="s">
        <v>1730</v>
      </c>
      <c r="C11358" t="s">
        <v>14255</v>
      </c>
      <c r="D11358" t="s">
        <v>17423</v>
      </c>
      <c r="E11358" t="s">
        <v>27227</v>
      </c>
      <c r="F11358" t="s">
        <v>30052</v>
      </c>
      <c r="G11358" t="s">
        <v>30058</v>
      </c>
      <c r="H11358" t="s">
        <v>15498</v>
      </c>
      <c r="I11358" t="s">
        <v>30084</v>
      </c>
      <c r="J11358" t="s">
        <v>30530</v>
      </c>
      <c r="K11358" t="s">
        <v>39019</v>
      </c>
      <c r="M11358" t="s">
        <v>41160</v>
      </c>
      <c r="N11358" t="s">
        <v>43166</v>
      </c>
      <c r="O11358" t="s">
        <v>43167</v>
      </c>
      <c r="P11358">
        <v>0</v>
      </c>
      <c r="Q11358">
        <v>2</v>
      </c>
      <c r="R11358" t="s">
        <v>43180</v>
      </c>
      <c r="S11358" t="s">
        <v>43646</v>
      </c>
      <c r="T11358" t="s">
        <v>44706</v>
      </c>
      <c r="U11358" t="s">
        <v>54242</v>
      </c>
      <c r="V11358" t="s">
        <v>56838</v>
      </c>
      <c r="W11358" t="s">
        <v>41160</v>
      </c>
      <c r="X11358" t="s">
        <v>43181</v>
      </c>
    </row>
    <row r="11359" spans="1:24">
      <c r="A11359">
        <f>HYPERLINK("https://www.philgeps.gov.ph/GEPSNONPILOT/Tender/SplashBidNoticeAbstractUI.aspx?menuIndex=3&amp;refID=7064216&amp;Result=3","7064216")</f>
        <v>0</v>
      </c>
      <c r="B11359" t="s">
        <v>3105</v>
      </c>
      <c r="C11359" t="s">
        <v>14256</v>
      </c>
      <c r="D11359" t="s">
        <v>17435</v>
      </c>
      <c r="E11359" t="s">
        <v>27228</v>
      </c>
      <c r="F11359" t="s">
        <v>30052</v>
      </c>
      <c r="G11359" t="s">
        <v>30058</v>
      </c>
      <c r="H11359" t="s">
        <v>15498</v>
      </c>
      <c r="I11359" t="s">
        <v>30074</v>
      </c>
      <c r="J11359" t="s">
        <v>30555</v>
      </c>
      <c r="K11359" t="s">
        <v>39017</v>
      </c>
      <c r="M11359" t="s">
        <v>42695</v>
      </c>
      <c r="N11359" t="s">
        <v>43166</v>
      </c>
      <c r="O11359" t="s">
        <v>43167</v>
      </c>
      <c r="P11359">
        <v>0</v>
      </c>
      <c r="Q11359">
        <v>2</v>
      </c>
      <c r="R11359" t="s">
        <v>43180</v>
      </c>
      <c r="S11359" t="s">
        <v>43646</v>
      </c>
      <c r="T11359" t="s">
        <v>44773</v>
      </c>
      <c r="U11359" t="s">
        <v>54243</v>
      </c>
      <c r="V11359" t="s">
        <v>58101</v>
      </c>
      <c r="W11359" t="s">
        <v>42695</v>
      </c>
      <c r="X11359" t="s">
        <v>43181</v>
      </c>
    </row>
    <row r="11360" spans="1:24">
      <c r="A11360">
        <f>HYPERLINK("https://www.philgeps.gov.ph/GEPSNONPILOT/Tender/SplashBidNoticeAbstractUI.aspx?menuIndex=3&amp;refID=7064339&amp;Result=3","7064339")</f>
        <v>0</v>
      </c>
      <c r="B11360" t="s">
        <v>3090</v>
      </c>
      <c r="C11360" t="s">
        <v>14257</v>
      </c>
      <c r="D11360" t="s">
        <v>17453</v>
      </c>
      <c r="E11360" t="s">
        <v>27229</v>
      </c>
      <c r="F11360" t="s">
        <v>30052</v>
      </c>
      <c r="G11360" t="s">
        <v>30058</v>
      </c>
      <c r="H11360" t="s">
        <v>30067</v>
      </c>
      <c r="I11360" t="s">
        <v>3693</v>
      </c>
      <c r="J11360" t="s">
        <v>30292</v>
      </c>
      <c r="K11360" t="s">
        <v>39037</v>
      </c>
      <c r="M11360" t="s">
        <v>42674</v>
      </c>
      <c r="N11360" t="s">
        <v>43166</v>
      </c>
      <c r="O11360" t="s">
        <v>43167</v>
      </c>
      <c r="P11360">
        <v>0</v>
      </c>
      <c r="Q11360">
        <v>0</v>
      </c>
      <c r="R11360" t="s">
        <v>43180</v>
      </c>
      <c r="S11360" t="s">
        <v>43646</v>
      </c>
      <c r="T11360" t="s">
        <v>44699</v>
      </c>
      <c r="U11360" t="s">
        <v>54244</v>
      </c>
      <c r="V11360" t="s">
        <v>58089</v>
      </c>
      <c r="W11360" t="s">
        <v>42674</v>
      </c>
      <c r="X11360" t="s">
        <v>43181</v>
      </c>
    </row>
    <row r="11361" spans="1:24">
      <c r="A11361">
        <f>HYPERLINK("https://www.philgeps.gov.ph/GEPSNONPILOT/Tender/SplashBidNoticeAbstractUI.aspx?menuIndex=3&amp;refID=7064355&amp;Result=3","7064355")</f>
        <v>0</v>
      </c>
      <c r="B11361" t="s">
        <v>1730</v>
      </c>
      <c r="C11361" t="s">
        <v>14258</v>
      </c>
      <c r="D11361" t="s">
        <v>17423</v>
      </c>
      <c r="E11361" t="s">
        <v>27230</v>
      </c>
      <c r="F11361" t="s">
        <v>30052</v>
      </c>
      <c r="G11361" t="s">
        <v>30058</v>
      </c>
      <c r="H11361" t="s">
        <v>15498</v>
      </c>
      <c r="I11361" t="s">
        <v>30120</v>
      </c>
      <c r="J11361" t="s">
        <v>37139</v>
      </c>
      <c r="K11361" t="s">
        <v>39019</v>
      </c>
      <c r="M11361" t="s">
        <v>41160</v>
      </c>
      <c r="N11361" t="s">
        <v>43166</v>
      </c>
      <c r="O11361" t="s">
        <v>43167</v>
      </c>
      <c r="P11361">
        <v>0</v>
      </c>
      <c r="Q11361">
        <v>4</v>
      </c>
      <c r="R11361" t="s">
        <v>43180</v>
      </c>
      <c r="S11361" t="s">
        <v>43646</v>
      </c>
      <c r="T11361" t="s">
        <v>44706</v>
      </c>
      <c r="U11361" t="s">
        <v>54245</v>
      </c>
      <c r="V11361" t="s">
        <v>56838</v>
      </c>
      <c r="W11361" t="s">
        <v>41160</v>
      </c>
      <c r="X11361" t="s">
        <v>43181</v>
      </c>
    </row>
    <row r="11362" spans="1:24">
      <c r="A11362">
        <f>HYPERLINK("https://www.philgeps.gov.ph/GEPSNONPILOT/Tender/SplashBidNoticeAbstractUI.aspx?menuIndex=3&amp;refID=7064511&amp;Result=3","7064511")</f>
        <v>0</v>
      </c>
      <c r="B11362" t="s">
        <v>2908</v>
      </c>
      <c r="C11362" t="s">
        <v>14259</v>
      </c>
      <c r="D11362" t="s">
        <v>17466</v>
      </c>
      <c r="E11362" t="s">
        <v>19158</v>
      </c>
      <c r="F11362" t="s">
        <v>30052</v>
      </c>
      <c r="G11362" t="s">
        <v>30058</v>
      </c>
      <c r="H11362" t="s">
        <v>15498</v>
      </c>
      <c r="I11362" t="s">
        <v>30076</v>
      </c>
      <c r="J11362" t="s">
        <v>30644</v>
      </c>
      <c r="K11362" t="s">
        <v>39039</v>
      </c>
      <c r="M11362" t="s">
        <v>42464</v>
      </c>
      <c r="N11362" t="s">
        <v>43166</v>
      </c>
      <c r="O11362" t="s">
        <v>43167</v>
      </c>
      <c r="P11362">
        <v>0</v>
      </c>
      <c r="Q11362">
        <v>1</v>
      </c>
      <c r="R11362" t="s">
        <v>43180</v>
      </c>
      <c r="S11362" t="s">
        <v>43646</v>
      </c>
      <c r="T11362" t="s">
        <v>45048</v>
      </c>
      <c r="U11362" t="s">
        <v>54246</v>
      </c>
      <c r="W11362" t="s">
        <v>42464</v>
      </c>
      <c r="X11362" t="s">
        <v>43181</v>
      </c>
    </row>
    <row r="11363" spans="1:24">
      <c r="A11363">
        <f>HYPERLINK("https://www.philgeps.gov.ph/GEPSNONPILOT/Tender/SplashBidNoticeAbstractUI.aspx?menuIndex=3&amp;refID=7064538&amp;Result=3","7064538")</f>
        <v>0</v>
      </c>
      <c r="B11363" t="s">
        <v>2091</v>
      </c>
      <c r="C11363" t="s">
        <v>14260</v>
      </c>
      <c r="D11363" t="s">
        <v>17414</v>
      </c>
      <c r="E11363" t="s">
        <v>27231</v>
      </c>
      <c r="F11363" t="s">
        <v>30052</v>
      </c>
      <c r="G11363" t="s">
        <v>30058</v>
      </c>
      <c r="H11363" t="s">
        <v>15498</v>
      </c>
      <c r="I11363" t="s">
        <v>3852</v>
      </c>
      <c r="J11363" t="s">
        <v>37140</v>
      </c>
      <c r="K11363" t="s">
        <v>39064</v>
      </c>
      <c r="M11363" t="s">
        <v>41553</v>
      </c>
      <c r="N11363" t="s">
        <v>43166</v>
      </c>
      <c r="O11363" t="s">
        <v>43167</v>
      </c>
      <c r="P11363">
        <v>0</v>
      </c>
      <c r="Q11363">
        <v>3</v>
      </c>
      <c r="R11363" t="s">
        <v>43180</v>
      </c>
      <c r="S11363" t="s">
        <v>43646</v>
      </c>
      <c r="T11363" t="s">
        <v>44689</v>
      </c>
      <c r="U11363" t="s">
        <v>54247</v>
      </c>
      <c r="W11363" t="s">
        <v>42702</v>
      </c>
      <c r="X11363" t="s">
        <v>43181</v>
      </c>
    </row>
    <row r="11364" spans="1:24">
      <c r="A11364">
        <f>HYPERLINK("https://www.philgeps.gov.ph/GEPSNONPILOT/Tender/SplashBidNoticeAbstractUI.aspx?menuIndex=3&amp;refID=7064345&amp;Result=3","7064345")</f>
        <v>0</v>
      </c>
      <c r="B11364" t="s">
        <v>2245</v>
      </c>
      <c r="C11364" t="s">
        <v>14261</v>
      </c>
      <c r="D11364" t="s">
        <v>17415</v>
      </c>
      <c r="E11364" t="s">
        <v>27232</v>
      </c>
      <c r="F11364" t="s">
        <v>30052</v>
      </c>
      <c r="G11364" t="s">
        <v>30058</v>
      </c>
      <c r="H11364" t="s">
        <v>30067</v>
      </c>
      <c r="I11364" t="s">
        <v>3693</v>
      </c>
      <c r="J11364" t="s">
        <v>37141</v>
      </c>
      <c r="K11364" t="s">
        <v>39092</v>
      </c>
      <c r="M11364" t="s">
        <v>41723</v>
      </c>
      <c r="N11364" t="s">
        <v>43166</v>
      </c>
      <c r="O11364" t="s">
        <v>43167</v>
      </c>
      <c r="Q11364">
        <v>17</v>
      </c>
      <c r="R11364" t="s">
        <v>43180</v>
      </c>
      <c r="S11364" t="s">
        <v>43550</v>
      </c>
      <c r="T11364" t="s">
        <v>44750</v>
      </c>
      <c r="U11364" t="s">
        <v>54248</v>
      </c>
      <c r="W11364" t="s">
        <v>41723</v>
      </c>
      <c r="X11364" t="s">
        <v>43181</v>
      </c>
    </row>
    <row r="11365" spans="1:24">
      <c r="A11365">
        <f>HYPERLINK("https://www.philgeps.gov.ph/GEPSNONPILOT/Tender/SplashBidNoticeAbstractUI.aspx?menuIndex=3&amp;refID=7064536&amp;Result=3","7064536")</f>
        <v>0</v>
      </c>
      <c r="B11365" t="s">
        <v>2091</v>
      </c>
      <c r="C11365" t="s">
        <v>14262</v>
      </c>
      <c r="D11365" t="s">
        <v>17414</v>
      </c>
      <c r="E11365" t="s">
        <v>27233</v>
      </c>
      <c r="F11365" t="s">
        <v>30052</v>
      </c>
      <c r="G11365" t="s">
        <v>30058</v>
      </c>
      <c r="H11365" t="s">
        <v>15498</v>
      </c>
      <c r="I11365" t="s">
        <v>30073</v>
      </c>
      <c r="J11365" t="s">
        <v>37142</v>
      </c>
      <c r="K11365" t="s">
        <v>39017</v>
      </c>
      <c r="M11365" t="s">
        <v>41553</v>
      </c>
      <c r="N11365" t="s">
        <v>43166</v>
      </c>
      <c r="O11365" t="s">
        <v>43167</v>
      </c>
      <c r="P11365">
        <v>0</v>
      </c>
      <c r="Q11365">
        <v>0</v>
      </c>
      <c r="R11365" t="s">
        <v>43180</v>
      </c>
      <c r="S11365" t="s">
        <v>43646</v>
      </c>
      <c r="T11365" t="s">
        <v>44689</v>
      </c>
      <c r="U11365" t="s">
        <v>54247</v>
      </c>
      <c r="W11365" t="s">
        <v>42702</v>
      </c>
      <c r="X11365" t="s">
        <v>43181</v>
      </c>
    </row>
    <row r="11366" spans="1:24">
      <c r="A11366">
        <f>HYPERLINK("https://www.philgeps.gov.ph/GEPSNONPILOT/Tender/SplashBidNoticeAbstractUI.aspx?menuIndex=3&amp;refID=7064534&amp;Result=3","7064534")</f>
        <v>0</v>
      </c>
      <c r="B11366" t="s">
        <v>2091</v>
      </c>
      <c r="C11366" t="s">
        <v>14263</v>
      </c>
      <c r="D11366" t="s">
        <v>17414</v>
      </c>
      <c r="E11366" t="s">
        <v>27234</v>
      </c>
      <c r="F11366" t="s">
        <v>30052</v>
      </c>
      <c r="G11366" t="s">
        <v>30058</v>
      </c>
      <c r="H11366" t="s">
        <v>15498</v>
      </c>
      <c r="I11366" t="s">
        <v>30073</v>
      </c>
      <c r="J11366" t="s">
        <v>37143</v>
      </c>
      <c r="K11366" t="s">
        <v>39017</v>
      </c>
      <c r="M11366" t="s">
        <v>41553</v>
      </c>
      <c r="N11366" t="s">
        <v>43166</v>
      </c>
      <c r="O11366" t="s">
        <v>43167</v>
      </c>
      <c r="P11366">
        <v>0</v>
      </c>
      <c r="Q11366">
        <v>0</v>
      </c>
      <c r="R11366" t="s">
        <v>43180</v>
      </c>
      <c r="S11366" t="s">
        <v>43646</v>
      </c>
      <c r="T11366" t="s">
        <v>44689</v>
      </c>
      <c r="U11366" t="s">
        <v>54247</v>
      </c>
      <c r="W11366" t="s">
        <v>42702</v>
      </c>
      <c r="X11366" t="s">
        <v>43181</v>
      </c>
    </row>
    <row r="11367" spans="1:24">
      <c r="A11367">
        <f>HYPERLINK("https://www.philgeps.gov.ph/GEPSNONPILOT/Tender/SplashBidNoticeAbstractUI.aspx?menuIndex=3&amp;refID=7064523&amp;Result=3","7064523")</f>
        <v>0</v>
      </c>
      <c r="B11367" t="s">
        <v>2908</v>
      </c>
      <c r="C11367" t="s">
        <v>14264</v>
      </c>
      <c r="D11367" t="s">
        <v>17466</v>
      </c>
      <c r="E11367" t="s">
        <v>19196</v>
      </c>
      <c r="F11367" t="s">
        <v>30052</v>
      </c>
      <c r="G11367" t="s">
        <v>30058</v>
      </c>
      <c r="H11367" t="s">
        <v>15498</v>
      </c>
      <c r="I11367" t="s">
        <v>30137</v>
      </c>
      <c r="J11367" t="s">
        <v>30905</v>
      </c>
      <c r="K11367" t="s">
        <v>39039</v>
      </c>
      <c r="M11367" t="s">
        <v>42464</v>
      </c>
      <c r="N11367" t="s">
        <v>43166</v>
      </c>
      <c r="O11367" t="s">
        <v>43167</v>
      </c>
      <c r="P11367">
        <v>0</v>
      </c>
      <c r="Q11367">
        <v>1</v>
      </c>
      <c r="R11367" t="s">
        <v>43180</v>
      </c>
      <c r="S11367" t="s">
        <v>43646</v>
      </c>
      <c r="T11367" t="s">
        <v>45048</v>
      </c>
      <c r="U11367" t="s">
        <v>54249</v>
      </c>
      <c r="W11367" t="s">
        <v>42464</v>
      </c>
      <c r="X11367" t="s">
        <v>43181</v>
      </c>
    </row>
    <row r="11368" spans="1:24">
      <c r="A11368">
        <f>HYPERLINK("https://www.philgeps.gov.ph/GEPSNONPILOT/Tender/SplashBidNoticeAbstractUI.aspx?menuIndex=3&amp;refID=7064517&amp;Result=3","7064517")</f>
        <v>0</v>
      </c>
      <c r="B11368" t="s">
        <v>3106</v>
      </c>
      <c r="C11368" t="s">
        <v>14265</v>
      </c>
      <c r="D11368" t="s">
        <v>17427</v>
      </c>
      <c r="E11368" t="s">
        <v>27235</v>
      </c>
      <c r="F11368" t="s">
        <v>30052</v>
      </c>
      <c r="G11368" t="s">
        <v>30058</v>
      </c>
      <c r="H11368" t="s">
        <v>30067</v>
      </c>
      <c r="I11368" t="s">
        <v>3693</v>
      </c>
      <c r="J11368" t="s">
        <v>37144</v>
      </c>
      <c r="K11368" t="s">
        <v>39031</v>
      </c>
      <c r="M11368" t="s">
        <v>42696</v>
      </c>
      <c r="N11368" t="s">
        <v>43166</v>
      </c>
      <c r="O11368" t="s">
        <v>43167</v>
      </c>
      <c r="Q11368">
        <v>10</v>
      </c>
      <c r="R11368" t="s">
        <v>43180</v>
      </c>
      <c r="S11368" t="s">
        <v>43726</v>
      </c>
      <c r="T11368" t="s">
        <v>44750</v>
      </c>
      <c r="U11368" t="s">
        <v>54250</v>
      </c>
      <c r="W11368" t="s">
        <v>42696</v>
      </c>
      <c r="X11368" t="s">
        <v>43181</v>
      </c>
    </row>
    <row r="11369" spans="1:24">
      <c r="A11369">
        <f>HYPERLINK("https://www.philgeps.gov.ph/GEPSNONPILOT/Tender/SplashBidNoticeAbstractUI.aspx?menuIndex=3&amp;refID=7064528&amp;Result=3","7064528")</f>
        <v>0</v>
      </c>
      <c r="B11369" t="s">
        <v>2908</v>
      </c>
      <c r="C11369" t="s">
        <v>14266</v>
      </c>
      <c r="D11369" t="s">
        <v>17466</v>
      </c>
      <c r="E11369" t="s">
        <v>20306</v>
      </c>
      <c r="F11369" t="s">
        <v>30052</v>
      </c>
      <c r="G11369" t="s">
        <v>30058</v>
      </c>
      <c r="H11369" t="s">
        <v>15498</v>
      </c>
      <c r="I11369" t="s">
        <v>3736</v>
      </c>
      <c r="J11369" t="s">
        <v>30916</v>
      </c>
      <c r="K11369" t="s">
        <v>39039</v>
      </c>
      <c r="M11369" t="s">
        <v>42464</v>
      </c>
      <c r="N11369" t="s">
        <v>43166</v>
      </c>
      <c r="O11369" t="s">
        <v>43167</v>
      </c>
      <c r="P11369">
        <v>0</v>
      </c>
      <c r="Q11369">
        <v>0</v>
      </c>
      <c r="R11369" t="s">
        <v>43180</v>
      </c>
      <c r="S11369" t="s">
        <v>43646</v>
      </c>
      <c r="T11369" t="s">
        <v>45048</v>
      </c>
      <c r="U11369" t="s">
        <v>54251</v>
      </c>
      <c r="W11369" t="s">
        <v>42464</v>
      </c>
      <c r="X11369" t="s">
        <v>43181</v>
      </c>
    </row>
    <row r="11370" spans="1:24">
      <c r="A11370">
        <f>HYPERLINK("https://www.philgeps.gov.ph/GEPSNONPILOT/Tender/SplashBidNoticeAbstractUI.aspx?menuIndex=3&amp;refID=7064340&amp;Result=3","7064340")</f>
        <v>0</v>
      </c>
      <c r="B11370" t="s">
        <v>2245</v>
      </c>
      <c r="C11370" t="s">
        <v>14267</v>
      </c>
      <c r="D11370" t="s">
        <v>17415</v>
      </c>
      <c r="E11370" t="s">
        <v>27236</v>
      </c>
      <c r="F11370" t="s">
        <v>30052</v>
      </c>
      <c r="G11370" t="s">
        <v>30058</v>
      </c>
      <c r="H11370" t="s">
        <v>30067</v>
      </c>
      <c r="I11370" t="s">
        <v>3693</v>
      </c>
      <c r="J11370" t="s">
        <v>37145</v>
      </c>
      <c r="K11370" t="s">
        <v>39033</v>
      </c>
      <c r="M11370" t="s">
        <v>41723</v>
      </c>
      <c r="N11370" t="s">
        <v>43166</v>
      </c>
      <c r="O11370" t="s">
        <v>43167</v>
      </c>
      <c r="Q11370">
        <v>14</v>
      </c>
      <c r="R11370" t="s">
        <v>43180</v>
      </c>
      <c r="S11370" t="s">
        <v>43369</v>
      </c>
      <c r="T11370" t="s">
        <v>44750</v>
      </c>
      <c r="U11370" t="s">
        <v>54252</v>
      </c>
      <c r="W11370" t="s">
        <v>41723</v>
      </c>
      <c r="X11370" t="s">
        <v>43181</v>
      </c>
    </row>
    <row r="11371" spans="1:24">
      <c r="A11371">
        <f>HYPERLINK("https://www.philgeps.gov.ph/GEPSNONPILOT/Tender/SplashBidNoticeAbstractUI.aspx?menuIndex=3&amp;refID=7064504&amp;Result=3","7064504")</f>
        <v>0</v>
      </c>
      <c r="B11371" t="s">
        <v>1535</v>
      </c>
      <c r="C11371" t="s">
        <v>14268</v>
      </c>
      <c r="D11371" t="s">
        <v>17450</v>
      </c>
      <c r="E11371" t="s">
        <v>17715</v>
      </c>
      <c r="F11371" t="s">
        <v>30052</v>
      </c>
      <c r="G11371" t="s">
        <v>30058</v>
      </c>
      <c r="H11371" t="s">
        <v>30068</v>
      </c>
      <c r="I11371" t="s">
        <v>30166</v>
      </c>
      <c r="J11371" t="s">
        <v>33534</v>
      </c>
      <c r="K11371" t="s">
        <v>39029</v>
      </c>
      <c r="M11371" t="s">
        <v>40921</v>
      </c>
      <c r="N11371" t="s">
        <v>43166</v>
      </c>
      <c r="O11371" t="s">
        <v>43167</v>
      </c>
      <c r="P11371">
        <v>0</v>
      </c>
      <c r="Q11371">
        <v>2</v>
      </c>
      <c r="R11371" t="s">
        <v>43180</v>
      </c>
      <c r="S11371" t="s">
        <v>43646</v>
      </c>
      <c r="T11371" t="s">
        <v>44736</v>
      </c>
      <c r="U11371" t="s">
        <v>54253</v>
      </c>
      <c r="V11371" t="s">
        <v>56838</v>
      </c>
      <c r="W11371" t="s">
        <v>40921</v>
      </c>
      <c r="X11371" t="s">
        <v>43181</v>
      </c>
    </row>
    <row r="11372" spans="1:24">
      <c r="A11372">
        <f>HYPERLINK("https://www.philgeps.gov.ph/GEPSNONPILOT/Tender/SplashBidNoticeAbstractUI.aspx?menuIndex=3&amp;refID=7064490&amp;Result=3","7064490")</f>
        <v>0</v>
      </c>
      <c r="B11372" t="s">
        <v>3107</v>
      </c>
      <c r="C11372" t="s">
        <v>14269</v>
      </c>
      <c r="D11372" t="s">
        <v>17484</v>
      </c>
      <c r="E11372" t="s">
        <v>27237</v>
      </c>
      <c r="F11372" t="s">
        <v>30052</v>
      </c>
      <c r="G11372" t="s">
        <v>30058</v>
      </c>
      <c r="H11372" t="s">
        <v>15498</v>
      </c>
      <c r="I11372" t="s">
        <v>3852</v>
      </c>
      <c r="J11372" t="s">
        <v>37146</v>
      </c>
      <c r="K11372" t="s">
        <v>39037</v>
      </c>
      <c r="M11372" t="s">
        <v>42697</v>
      </c>
      <c r="N11372" t="s">
        <v>43166</v>
      </c>
      <c r="O11372" t="s">
        <v>43167</v>
      </c>
      <c r="P11372">
        <v>0</v>
      </c>
      <c r="Q11372">
        <v>1</v>
      </c>
      <c r="R11372" t="s">
        <v>43180</v>
      </c>
      <c r="S11372" t="s">
        <v>43646</v>
      </c>
      <c r="T11372" t="s">
        <v>44706</v>
      </c>
      <c r="U11372" t="s">
        <v>54254</v>
      </c>
      <c r="V11372" t="s">
        <v>58102</v>
      </c>
      <c r="W11372" t="s">
        <v>42697</v>
      </c>
      <c r="X11372" t="s">
        <v>43181</v>
      </c>
    </row>
    <row r="11373" spans="1:24">
      <c r="A11373">
        <f>HYPERLINK("https://www.philgeps.gov.ph/GEPSNONPILOT/Tender/SplashBidNoticeAbstractUI.aspx?menuIndex=3&amp;refID=7064409&amp;Result=3","7064409")</f>
        <v>0</v>
      </c>
      <c r="B11373" t="s">
        <v>3108</v>
      </c>
      <c r="C11373" t="s">
        <v>14270</v>
      </c>
      <c r="D11373" t="s">
        <v>17494</v>
      </c>
      <c r="E11373" t="s">
        <v>27238</v>
      </c>
      <c r="F11373" t="s">
        <v>30052</v>
      </c>
      <c r="G11373" t="s">
        <v>30058</v>
      </c>
      <c r="H11373" t="s">
        <v>30067</v>
      </c>
      <c r="I11373" t="s">
        <v>3693</v>
      </c>
      <c r="J11373" t="s">
        <v>37147</v>
      </c>
      <c r="K11373" t="s">
        <v>39026</v>
      </c>
      <c r="M11373" t="s">
        <v>42698</v>
      </c>
      <c r="N11373" t="s">
        <v>43166</v>
      </c>
      <c r="O11373" t="s">
        <v>43167</v>
      </c>
      <c r="P11373">
        <v>0</v>
      </c>
      <c r="Q11373">
        <v>1</v>
      </c>
      <c r="R11373" t="s">
        <v>43180</v>
      </c>
      <c r="S11373" t="s">
        <v>43646</v>
      </c>
      <c r="T11373" t="s">
        <v>44699</v>
      </c>
      <c r="U11373" t="s">
        <v>54255</v>
      </c>
      <c r="W11373" t="s">
        <v>42698</v>
      </c>
      <c r="X11373" t="s">
        <v>43181</v>
      </c>
    </row>
    <row r="11374" spans="1:24">
      <c r="A11374">
        <f>HYPERLINK("https://www.philgeps.gov.ph/GEPSNONPILOT/Tender/SplashBidNoticeAbstractUI.aspx?menuIndex=3&amp;refID=7064479&amp;Result=3","7064479")</f>
        <v>0</v>
      </c>
      <c r="B11374" t="s">
        <v>2881</v>
      </c>
      <c r="C11374" t="s">
        <v>14271</v>
      </c>
      <c r="E11374" t="s">
        <v>27239</v>
      </c>
      <c r="F11374" t="s">
        <v>30052</v>
      </c>
      <c r="G11374" t="s">
        <v>30058</v>
      </c>
      <c r="H11374" t="s">
        <v>15498</v>
      </c>
      <c r="I11374" t="s">
        <v>3693</v>
      </c>
      <c r="J11374" t="s">
        <v>30215</v>
      </c>
      <c r="K11374" t="s">
        <v>39029</v>
      </c>
      <c r="M11374" t="s">
        <v>42431</v>
      </c>
      <c r="N11374" t="s">
        <v>43166</v>
      </c>
      <c r="O11374" t="s">
        <v>43167</v>
      </c>
      <c r="P11374">
        <v>0</v>
      </c>
      <c r="Q11374">
        <v>4</v>
      </c>
      <c r="R11374" t="s">
        <v>43180</v>
      </c>
      <c r="S11374" t="s">
        <v>43646</v>
      </c>
      <c r="T11374" t="s">
        <v>44764</v>
      </c>
      <c r="U11374" t="s">
        <v>54256</v>
      </c>
      <c r="W11374" t="s">
        <v>42431</v>
      </c>
      <c r="X11374" t="s">
        <v>43181</v>
      </c>
    </row>
    <row r="11375" spans="1:24">
      <c r="A11375">
        <f>HYPERLINK("https://www.philgeps.gov.ph/GEPSNONPILOT/Tender/SplashBidNoticeAbstractUI.aspx?menuIndex=3&amp;refID=7064473&amp;Result=3","7064473")</f>
        <v>0</v>
      </c>
      <c r="B11375" t="s">
        <v>3109</v>
      </c>
      <c r="C11375" t="s">
        <v>12688</v>
      </c>
      <c r="D11375" t="s">
        <v>17484</v>
      </c>
      <c r="E11375" t="s">
        <v>19569</v>
      </c>
      <c r="F11375" t="s">
        <v>30052</v>
      </c>
      <c r="G11375" t="s">
        <v>30058</v>
      </c>
      <c r="H11375" t="s">
        <v>15498</v>
      </c>
      <c r="I11375" t="s">
        <v>3736</v>
      </c>
      <c r="J11375" t="s">
        <v>37148</v>
      </c>
      <c r="K11375" t="s">
        <v>39034</v>
      </c>
      <c r="M11375" t="s">
        <v>42699</v>
      </c>
      <c r="N11375" t="s">
        <v>43166</v>
      </c>
      <c r="O11375" t="s">
        <v>43167</v>
      </c>
      <c r="P11375">
        <v>0</v>
      </c>
      <c r="Q11375">
        <v>0</v>
      </c>
      <c r="R11375" t="s">
        <v>43180</v>
      </c>
      <c r="S11375" t="s">
        <v>43646</v>
      </c>
      <c r="T11375" t="s">
        <v>44750</v>
      </c>
      <c r="U11375" t="s">
        <v>54257</v>
      </c>
      <c r="W11375" t="s">
        <v>42699</v>
      </c>
      <c r="X11375" t="s">
        <v>43181</v>
      </c>
    </row>
    <row r="11376" spans="1:24">
      <c r="A11376">
        <f>HYPERLINK("https://www.philgeps.gov.ph/GEPSNONPILOT/Tender/SplashBidNoticeAbstractUI.aspx?menuIndex=3&amp;refID=7064465&amp;Result=3","7064465")</f>
        <v>0</v>
      </c>
      <c r="B11376" t="s">
        <v>1181</v>
      </c>
      <c r="C11376" t="s">
        <v>14272</v>
      </c>
      <c r="D11376" t="s">
        <v>17444</v>
      </c>
      <c r="E11376" t="s">
        <v>27240</v>
      </c>
      <c r="F11376" t="s">
        <v>30052</v>
      </c>
      <c r="G11376" t="s">
        <v>30061</v>
      </c>
      <c r="H11376" t="s">
        <v>15498</v>
      </c>
      <c r="I11376" t="s">
        <v>30145</v>
      </c>
      <c r="J11376" t="s">
        <v>37149</v>
      </c>
      <c r="K11376" t="s">
        <v>39025</v>
      </c>
      <c r="M11376" t="s">
        <v>40531</v>
      </c>
      <c r="N11376" t="s">
        <v>43166</v>
      </c>
      <c r="O11376" t="s">
        <v>43167</v>
      </c>
      <c r="Q11376">
        <v>2</v>
      </c>
      <c r="R11376" t="s">
        <v>43180</v>
      </c>
      <c r="S11376" t="s">
        <v>43727</v>
      </c>
      <c r="T11376" t="s">
        <v>44870</v>
      </c>
      <c r="U11376" t="s">
        <v>54258</v>
      </c>
      <c r="W11376" t="s">
        <v>40531</v>
      </c>
      <c r="X11376" t="s">
        <v>43181</v>
      </c>
    </row>
    <row r="11377" spans="1:24">
      <c r="A11377">
        <f>HYPERLINK("https://www.philgeps.gov.ph/GEPSNONPILOT/Tender/SplashBidNoticeAbstractUI.aspx?menuIndex=3&amp;refID=7063982&amp;Result=3","7063982")</f>
        <v>0</v>
      </c>
      <c r="B11377" t="s">
        <v>2864</v>
      </c>
      <c r="C11377" t="s">
        <v>14273</v>
      </c>
      <c r="D11377" t="s">
        <v>17475</v>
      </c>
      <c r="E11377" t="s">
        <v>27241</v>
      </c>
      <c r="F11377" t="s">
        <v>30052</v>
      </c>
      <c r="G11377" t="s">
        <v>30058</v>
      </c>
      <c r="H11377" t="s">
        <v>30067</v>
      </c>
      <c r="I11377" t="s">
        <v>3693</v>
      </c>
      <c r="J11377" t="s">
        <v>37150</v>
      </c>
      <c r="K11377" t="s">
        <v>39025</v>
      </c>
      <c r="M11377" t="s">
        <v>42475</v>
      </c>
      <c r="N11377" t="s">
        <v>43166</v>
      </c>
      <c r="O11377" t="s">
        <v>43167</v>
      </c>
      <c r="P11377">
        <v>0</v>
      </c>
      <c r="Q11377">
        <v>0</v>
      </c>
      <c r="R11377" t="s">
        <v>43179</v>
      </c>
      <c r="S11377" t="s">
        <v>43583</v>
      </c>
      <c r="T11377" t="s">
        <v>44753</v>
      </c>
      <c r="U11377" t="s">
        <v>53437</v>
      </c>
      <c r="W11377" t="s">
        <v>42475</v>
      </c>
      <c r="X11377" t="s">
        <v>43181</v>
      </c>
    </row>
    <row r="11378" spans="1:24">
      <c r="A11378">
        <f>HYPERLINK("https://www.philgeps.gov.ph/GEPSNONPILOT/Tender/SplashBidNoticeAbstractUI.aspx?menuIndex=3&amp;refID=7064464&amp;Result=3","7064464")</f>
        <v>0</v>
      </c>
      <c r="B11378" t="s">
        <v>1202</v>
      </c>
      <c r="C11378" t="s">
        <v>14274</v>
      </c>
      <c r="D11378" t="s">
        <v>17415</v>
      </c>
      <c r="E11378" t="s">
        <v>27242</v>
      </c>
      <c r="F11378" t="s">
        <v>30052</v>
      </c>
      <c r="G11378" t="s">
        <v>30058</v>
      </c>
      <c r="H11378" t="s">
        <v>15498</v>
      </c>
      <c r="I11378" t="s">
        <v>3736</v>
      </c>
      <c r="J11378" t="s">
        <v>37151</v>
      </c>
      <c r="K11378" t="s">
        <v>39022</v>
      </c>
      <c r="M11378" t="s">
        <v>42700</v>
      </c>
      <c r="N11378" t="s">
        <v>43166</v>
      </c>
      <c r="O11378" t="s">
        <v>43167</v>
      </c>
      <c r="Q11378">
        <v>11</v>
      </c>
      <c r="R11378" t="s">
        <v>43180</v>
      </c>
      <c r="S11378" t="s">
        <v>43728</v>
      </c>
      <c r="T11378" t="s">
        <v>44780</v>
      </c>
      <c r="U11378" t="s">
        <v>54259</v>
      </c>
      <c r="W11378" t="s">
        <v>42700</v>
      </c>
      <c r="X11378" t="s">
        <v>43181</v>
      </c>
    </row>
    <row r="11379" spans="1:24">
      <c r="A11379">
        <f>HYPERLINK("https://www.philgeps.gov.ph/GEPSNONPILOT/Tender/SplashBidNoticeAbstractUI.aspx?menuIndex=3&amp;refID=7064439&amp;Result=3","7064439")</f>
        <v>0</v>
      </c>
      <c r="B11379" t="s">
        <v>3110</v>
      </c>
      <c r="C11379" t="s">
        <v>14275</v>
      </c>
      <c r="D11379" t="s">
        <v>17415</v>
      </c>
      <c r="E11379" t="s">
        <v>27243</v>
      </c>
      <c r="F11379" t="s">
        <v>30052</v>
      </c>
      <c r="G11379" t="s">
        <v>30058</v>
      </c>
      <c r="H11379" t="s">
        <v>30067</v>
      </c>
      <c r="I11379" t="s">
        <v>3693</v>
      </c>
      <c r="J11379" t="s">
        <v>37152</v>
      </c>
      <c r="K11379" t="s">
        <v>39026</v>
      </c>
      <c r="M11379" t="s">
        <v>42701</v>
      </c>
      <c r="N11379" t="s">
        <v>43166</v>
      </c>
      <c r="O11379" t="s">
        <v>43167</v>
      </c>
      <c r="P11379">
        <v>0</v>
      </c>
      <c r="Q11379">
        <v>6</v>
      </c>
      <c r="R11379" t="s">
        <v>43180</v>
      </c>
      <c r="S11379" t="s">
        <v>43646</v>
      </c>
      <c r="T11379" t="s">
        <v>44763</v>
      </c>
      <c r="U11379" t="s">
        <v>54260</v>
      </c>
      <c r="W11379" t="s">
        <v>42701</v>
      </c>
      <c r="X11379" t="s">
        <v>43181</v>
      </c>
    </row>
    <row r="11380" spans="1:24">
      <c r="A11380">
        <f>HYPERLINK("https://www.philgeps.gov.ph/GEPSNONPILOT/Tender/SplashBidNoticeAbstractUI.aspx?menuIndex=3&amp;refID=7064437&amp;Result=3","7064437")</f>
        <v>0</v>
      </c>
      <c r="B11380" t="s">
        <v>2908</v>
      </c>
      <c r="C11380" t="s">
        <v>14276</v>
      </c>
      <c r="D11380" t="s">
        <v>17466</v>
      </c>
      <c r="E11380" t="s">
        <v>19907</v>
      </c>
      <c r="F11380" t="s">
        <v>30052</v>
      </c>
      <c r="G11380" t="s">
        <v>30058</v>
      </c>
      <c r="H11380" t="s">
        <v>15498</v>
      </c>
      <c r="I11380" t="s">
        <v>30070</v>
      </c>
      <c r="J11380" t="s">
        <v>37153</v>
      </c>
      <c r="K11380" t="s">
        <v>39039</v>
      </c>
      <c r="M11380" t="s">
        <v>42464</v>
      </c>
      <c r="N11380" t="s">
        <v>43166</v>
      </c>
      <c r="O11380" t="s">
        <v>43167</v>
      </c>
      <c r="P11380">
        <v>0</v>
      </c>
      <c r="Q11380">
        <v>0</v>
      </c>
      <c r="R11380" t="s">
        <v>43180</v>
      </c>
      <c r="S11380" t="s">
        <v>43646</v>
      </c>
      <c r="T11380" t="s">
        <v>45048</v>
      </c>
      <c r="U11380" t="s">
        <v>54261</v>
      </c>
      <c r="W11380" t="s">
        <v>42464</v>
      </c>
      <c r="X11380" t="s">
        <v>43181</v>
      </c>
    </row>
    <row r="11381" spans="1:24">
      <c r="A11381">
        <f>HYPERLINK("https://www.philgeps.gov.ph/GEPSNONPILOT/Tender/SplashBidNoticeAbstractUI.aspx?menuIndex=3&amp;refID=7064542&amp;Result=3","7064542")</f>
        <v>0</v>
      </c>
      <c r="B11381" t="s">
        <v>2091</v>
      </c>
      <c r="C11381" t="s">
        <v>14277</v>
      </c>
      <c r="D11381" t="s">
        <v>17414</v>
      </c>
      <c r="E11381" t="s">
        <v>27244</v>
      </c>
      <c r="F11381" t="s">
        <v>30052</v>
      </c>
      <c r="G11381" t="s">
        <v>30058</v>
      </c>
      <c r="H11381" t="s">
        <v>15498</v>
      </c>
      <c r="I11381" t="s">
        <v>30073</v>
      </c>
      <c r="J11381" t="s">
        <v>37154</v>
      </c>
      <c r="K11381" t="s">
        <v>39017</v>
      </c>
      <c r="M11381" t="s">
        <v>42702</v>
      </c>
      <c r="N11381" t="s">
        <v>43166</v>
      </c>
      <c r="O11381" t="s">
        <v>43167</v>
      </c>
      <c r="P11381">
        <v>0</v>
      </c>
      <c r="Q11381">
        <v>1</v>
      </c>
      <c r="R11381" t="s">
        <v>43180</v>
      </c>
      <c r="S11381" t="s">
        <v>43646</v>
      </c>
      <c r="T11381" t="s">
        <v>44689</v>
      </c>
      <c r="U11381" t="s">
        <v>54247</v>
      </c>
      <c r="W11381" t="s">
        <v>42702</v>
      </c>
      <c r="X11381" t="s">
        <v>43181</v>
      </c>
    </row>
    <row r="11382" spans="1:24">
      <c r="A11382">
        <f>HYPERLINK("https://www.philgeps.gov.ph/GEPSNONPILOT/Tender/SplashBidNoticeAbstractUI.aspx?menuIndex=3&amp;refID=7064468&amp;Result=3","7064468")</f>
        <v>0</v>
      </c>
      <c r="B11382" t="s">
        <v>3111</v>
      </c>
      <c r="C11382" t="s">
        <v>14278</v>
      </c>
      <c r="D11382" t="s">
        <v>17434</v>
      </c>
      <c r="E11382" t="s">
        <v>27245</v>
      </c>
      <c r="F11382" t="s">
        <v>30052</v>
      </c>
      <c r="G11382" t="s">
        <v>30058</v>
      </c>
      <c r="H11382" t="s">
        <v>15498</v>
      </c>
      <c r="I11382" t="s">
        <v>30097</v>
      </c>
      <c r="J11382" t="s">
        <v>37155</v>
      </c>
      <c r="K11382" t="s">
        <v>39029</v>
      </c>
      <c r="M11382" t="s">
        <v>42703</v>
      </c>
      <c r="N11382" t="s">
        <v>43166</v>
      </c>
      <c r="O11382" t="s">
        <v>43167</v>
      </c>
      <c r="P11382">
        <v>0</v>
      </c>
      <c r="Q11382">
        <v>12</v>
      </c>
      <c r="R11382" t="s">
        <v>43180</v>
      </c>
      <c r="S11382" t="s">
        <v>43646</v>
      </c>
      <c r="T11382" t="s">
        <v>44881</v>
      </c>
      <c r="U11382" t="s">
        <v>54262</v>
      </c>
      <c r="W11382" t="s">
        <v>42703</v>
      </c>
      <c r="X11382" t="s">
        <v>43181</v>
      </c>
    </row>
    <row r="11383" spans="1:24">
      <c r="A11383">
        <f>HYPERLINK("https://www.philgeps.gov.ph/GEPSNONPILOT/Tender/SplashBidNoticeAbstractUI.aspx?menuIndex=3&amp;refID=7052148&amp;Result=3","7052148")</f>
        <v>0</v>
      </c>
      <c r="B11383" t="s">
        <v>3112</v>
      </c>
      <c r="C11383" t="s">
        <v>14279</v>
      </c>
      <c r="D11383" t="s">
        <v>17428</v>
      </c>
      <c r="E11383" t="s">
        <v>27246</v>
      </c>
      <c r="F11383" t="s">
        <v>30052</v>
      </c>
      <c r="G11383" t="s">
        <v>30058</v>
      </c>
      <c r="H11383" t="s">
        <v>15498</v>
      </c>
      <c r="I11383" t="s">
        <v>3736</v>
      </c>
      <c r="J11383" t="s">
        <v>37156</v>
      </c>
      <c r="K11383" t="s">
        <v>39019</v>
      </c>
      <c r="M11383" t="s">
        <v>42704</v>
      </c>
      <c r="N11383" t="s">
        <v>43166</v>
      </c>
      <c r="O11383" t="s">
        <v>43167</v>
      </c>
      <c r="P11383">
        <v>0</v>
      </c>
      <c r="Q11383">
        <v>0</v>
      </c>
      <c r="R11383" t="s">
        <v>43181</v>
      </c>
      <c r="S11383" t="s">
        <v>43729</v>
      </c>
      <c r="T11383" t="s">
        <v>44699</v>
      </c>
      <c r="U11383" t="s">
        <v>51528</v>
      </c>
      <c r="W11383" t="s">
        <v>42704</v>
      </c>
      <c r="X11383" t="s">
        <v>43187</v>
      </c>
    </row>
    <row r="11384" spans="1:24">
      <c r="A11384">
        <f>HYPERLINK("https://www.philgeps.gov.ph/GEPSNONPILOT/Tender/SplashBidNoticeAbstractUI.aspx?menuIndex=3&amp;refID=7052099&amp;Result=3","7052099")</f>
        <v>0</v>
      </c>
      <c r="B11384" t="s">
        <v>3112</v>
      </c>
      <c r="C11384" t="s">
        <v>14280</v>
      </c>
      <c r="D11384" t="s">
        <v>17428</v>
      </c>
      <c r="E11384" t="s">
        <v>27247</v>
      </c>
      <c r="F11384" t="s">
        <v>30052</v>
      </c>
      <c r="G11384" t="s">
        <v>30058</v>
      </c>
      <c r="H11384" t="s">
        <v>15498</v>
      </c>
      <c r="I11384" t="s">
        <v>30106</v>
      </c>
      <c r="J11384" t="s">
        <v>37157</v>
      </c>
      <c r="K11384" t="s">
        <v>39019</v>
      </c>
      <c r="M11384" t="s">
        <v>42704</v>
      </c>
      <c r="N11384" t="s">
        <v>43166</v>
      </c>
      <c r="O11384" t="s">
        <v>43167</v>
      </c>
      <c r="P11384">
        <v>0</v>
      </c>
      <c r="Q11384">
        <v>2</v>
      </c>
      <c r="R11384" t="s">
        <v>43181</v>
      </c>
      <c r="S11384" t="s">
        <v>43729</v>
      </c>
      <c r="T11384" t="s">
        <v>44699</v>
      </c>
      <c r="U11384" t="s">
        <v>51528</v>
      </c>
      <c r="W11384" t="s">
        <v>42704</v>
      </c>
      <c r="X11384" t="s">
        <v>43187</v>
      </c>
    </row>
    <row r="11385" spans="1:24">
      <c r="A11385">
        <f>HYPERLINK("https://www.philgeps.gov.ph/GEPSNONPILOT/Tender/SplashBidNoticeAbstractUI.aspx?menuIndex=3&amp;refID=7064495&amp;Result=3","7064495")</f>
        <v>0</v>
      </c>
      <c r="B11385" t="s">
        <v>1181</v>
      </c>
      <c r="C11385" t="s">
        <v>14281</v>
      </c>
      <c r="D11385" t="s">
        <v>17444</v>
      </c>
      <c r="E11385" t="s">
        <v>27248</v>
      </c>
      <c r="F11385" t="s">
        <v>30052</v>
      </c>
      <c r="G11385" t="s">
        <v>30061</v>
      </c>
      <c r="H11385" t="s">
        <v>15498</v>
      </c>
      <c r="I11385" t="s">
        <v>7228</v>
      </c>
      <c r="J11385" t="s">
        <v>37158</v>
      </c>
      <c r="K11385" t="s">
        <v>39025</v>
      </c>
      <c r="M11385" t="s">
        <v>40531</v>
      </c>
      <c r="N11385" t="s">
        <v>43166</v>
      </c>
      <c r="O11385" t="s">
        <v>43167</v>
      </c>
      <c r="Q11385">
        <v>0</v>
      </c>
      <c r="R11385" t="s">
        <v>43180</v>
      </c>
      <c r="S11385" t="s">
        <v>43730</v>
      </c>
      <c r="T11385" t="s">
        <v>44870</v>
      </c>
      <c r="U11385" t="s">
        <v>54263</v>
      </c>
      <c r="W11385" t="s">
        <v>40531</v>
      </c>
      <c r="X11385" t="s">
        <v>43181</v>
      </c>
    </row>
    <row r="11386" spans="1:24">
      <c r="A11386">
        <f>HYPERLINK("https://www.philgeps.gov.ph/GEPSNONPILOT/Tender/SplashBidNoticeAbstractUI.aspx?menuIndex=3&amp;refID=7052053&amp;Result=3","7052053")</f>
        <v>0</v>
      </c>
      <c r="B11386" t="s">
        <v>3113</v>
      </c>
      <c r="C11386" t="s">
        <v>14282</v>
      </c>
      <c r="D11386" t="s">
        <v>17428</v>
      </c>
      <c r="E11386" t="s">
        <v>27249</v>
      </c>
      <c r="F11386" t="s">
        <v>30052</v>
      </c>
      <c r="G11386" t="s">
        <v>30058</v>
      </c>
      <c r="H11386" t="s">
        <v>30067</v>
      </c>
      <c r="I11386" t="s">
        <v>3693</v>
      </c>
      <c r="J11386" t="s">
        <v>30343</v>
      </c>
      <c r="K11386" t="s">
        <v>39029</v>
      </c>
      <c r="M11386" t="s">
        <v>42705</v>
      </c>
      <c r="N11386" t="s">
        <v>43166</v>
      </c>
      <c r="O11386" t="s">
        <v>43167</v>
      </c>
      <c r="P11386">
        <v>0</v>
      </c>
      <c r="Q11386">
        <v>0</v>
      </c>
      <c r="R11386" t="s">
        <v>43181</v>
      </c>
      <c r="S11386" t="s">
        <v>43729</v>
      </c>
      <c r="T11386" t="s">
        <v>44699</v>
      </c>
      <c r="U11386" t="s">
        <v>52877</v>
      </c>
      <c r="W11386" t="s">
        <v>42705</v>
      </c>
      <c r="X11386" t="s">
        <v>43187</v>
      </c>
    </row>
    <row r="11387" spans="1:24">
      <c r="A11387">
        <f>HYPERLINK("https://www.philgeps.gov.ph/GEPSNONPILOT/Tender/SplashBidNoticeAbstractUI.aspx?menuIndex=3&amp;refID=7050113&amp;Result=3","7050113")</f>
        <v>0</v>
      </c>
      <c r="B11387" t="s">
        <v>2984</v>
      </c>
      <c r="C11387" t="s">
        <v>14283</v>
      </c>
      <c r="D11387" t="s">
        <v>17424</v>
      </c>
      <c r="E11387" t="s">
        <v>17779</v>
      </c>
      <c r="F11387" t="s">
        <v>30052</v>
      </c>
      <c r="G11387" t="s">
        <v>30058</v>
      </c>
      <c r="H11387" t="s">
        <v>30067</v>
      </c>
      <c r="I11387" t="s">
        <v>3693</v>
      </c>
      <c r="J11387" t="s">
        <v>37159</v>
      </c>
      <c r="K11387" t="s">
        <v>39023</v>
      </c>
      <c r="M11387" t="s">
        <v>42554</v>
      </c>
      <c r="N11387" t="s">
        <v>43166</v>
      </c>
      <c r="O11387" t="s">
        <v>43167</v>
      </c>
      <c r="P11387">
        <v>0</v>
      </c>
      <c r="Q11387">
        <v>4</v>
      </c>
      <c r="R11387" t="s">
        <v>43181</v>
      </c>
      <c r="S11387" t="s">
        <v>43729</v>
      </c>
      <c r="T11387" t="s">
        <v>44734</v>
      </c>
      <c r="U11387" t="s">
        <v>54264</v>
      </c>
      <c r="W11387" t="s">
        <v>42554</v>
      </c>
      <c r="X11387" t="s">
        <v>43187</v>
      </c>
    </row>
    <row r="11388" spans="1:24">
      <c r="A11388">
        <f>HYPERLINK("https://www.philgeps.gov.ph/GEPSNONPILOT/Tender/SplashBidNoticeAbstractUI.aspx?menuIndex=3&amp;refID=7049369&amp;Result=3","7049369")</f>
        <v>0</v>
      </c>
      <c r="B11388" t="s">
        <v>208</v>
      </c>
      <c r="C11388" t="s">
        <v>14284</v>
      </c>
      <c r="D11388" t="s">
        <v>17415</v>
      </c>
      <c r="E11388" t="s">
        <v>27250</v>
      </c>
      <c r="F11388" t="s">
        <v>30052</v>
      </c>
      <c r="G11388" t="s">
        <v>30058</v>
      </c>
      <c r="H11388" t="s">
        <v>15498</v>
      </c>
      <c r="I11388" t="s">
        <v>30070</v>
      </c>
      <c r="J11388" t="s">
        <v>37160</v>
      </c>
      <c r="K11388" t="s">
        <v>39025</v>
      </c>
      <c r="M11388" t="s">
        <v>41069</v>
      </c>
      <c r="N11388" t="s">
        <v>43166</v>
      </c>
      <c r="O11388" t="s">
        <v>43167</v>
      </c>
      <c r="P11388">
        <v>0</v>
      </c>
      <c r="Q11388">
        <v>3</v>
      </c>
      <c r="R11388" t="s">
        <v>43181</v>
      </c>
      <c r="S11388" t="s">
        <v>43729</v>
      </c>
      <c r="T11388" t="s">
        <v>44724</v>
      </c>
      <c r="U11388" t="s">
        <v>54265</v>
      </c>
      <c r="W11388" t="s">
        <v>41069</v>
      </c>
      <c r="X11388" t="s">
        <v>43188</v>
      </c>
    </row>
    <row r="11389" spans="1:24">
      <c r="A11389">
        <f>HYPERLINK("https://www.philgeps.gov.ph/GEPSNONPILOT/Tender/SplashBidNoticeAbstractUI.aspx?menuIndex=3&amp;refID=7049313&amp;Result=3","7049313")</f>
        <v>0</v>
      </c>
      <c r="B11389" t="s">
        <v>208</v>
      </c>
      <c r="C11389" t="s">
        <v>14285</v>
      </c>
      <c r="D11389" t="s">
        <v>17415</v>
      </c>
      <c r="E11389" t="s">
        <v>27251</v>
      </c>
      <c r="F11389" t="s">
        <v>30052</v>
      </c>
      <c r="G11389" t="s">
        <v>30058</v>
      </c>
      <c r="H11389" t="s">
        <v>15498</v>
      </c>
      <c r="I11389" t="s">
        <v>30105</v>
      </c>
      <c r="J11389" t="s">
        <v>37161</v>
      </c>
      <c r="K11389" t="s">
        <v>39025</v>
      </c>
      <c r="M11389" t="s">
        <v>41069</v>
      </c>
      <c r="N11389" t="s">
        <v>43166</v>
      </c>
      <c r="O11389" t="s">
        <v>43167</v>
      </c>
      <c r="P11389">
        <v>0</v>
      </c>
      <c r="Q11389">
        <v>4</v>
      </c>
      <c r="R11389" t="s">
        <v>43181</v>
      </c>
      <c r="S11389" t="s">
        <v>43729</v>
      </c>
      <c r="T11389" t="s">
        <v>44724</v>
      </c>
      <c r="U11389" t="s">
        <v>54266</v>
      </c>
      <c r="W11389" t="s">
        <v>41069</v>
      </c>
      <c r="X11389" t="s">
        <v>43188</v>
      </c>
    </row>
    <row r="11390" spans="1:24">
      <c r="A11390">
        <f>HYPERLINK("https://www.philgeps.gov.ph/GEPSNONPILOT/Tender/SplashBidNoticeAbstractUI.aspx?menuIndex=3&amp;refID=7048687&amp;Result=3","7048687")</f>
        <v>0</v>
      </c>
      <c r="B11390" t="s">
        <v>158</v>
      </c>
      <c r="C11390" t="s">
        <v>14286</v>
      </c>
      <c r="D11390" t="s">
        <v>17471</v>
      </c>
      <c r="E11390" t="s">
        <v>27252</v>
      </c>
      <c r="F11390" t="s">
        <v>30052</v>
      </c>
      <c r="G11390" t="s">
        <v>30058</v>
      </c>
      <c r="H11390" t="s">
        <v>30067</v>
      </c>
      <c r="I11390" t="s">
        <v>3693</v>
      </c>
      <c r="J11390" t="s">
        <v>30555</v>
      </c>
      <c r="K11390" t="s">
        <v>39026</v>
      </c>
      <c r="M11390" t="s">
        <v>39447</v>
      </c>
      <c r="N11390" t="s">
        <v>43166</v>
      </c>
      <c r="O11390" t="s">
        <v>43167</v>
      </c>
      <c r="P11390">
        <v>0</v>
      </c>
      <c r="Q11390">
        <v>0</v>
      </c>
      <c r="R11390" t="s">
        <v>43181</v>
      </c>
      <c r="S11390" t="s">
        <v>43729</v>
      </c>
      <c r="T11390" t="s">
        <v>44704</v>
      </c>
      <c r="U11390" t="s">
        <v>54267</v>
      </c>
      <c r="W11390" t="s">
        <v>39447</v>
      </c>
      <c r="X11390" t="s">
        <v>43188</v>
      </c>
    </row>
    <row r="11391" spans="1:24">
      <c r="A11391">
        <f>HYPERLINK("https://www.philgeps.gov.ph/GEPSNONPILOT/Tender/SplashBidNoticeAbstractUI.aspx?menuIndex=3&amp;refID=7037731-2&amp;Result=3","7037731-2")</f>
        <v>0</v>
      </c>
      <c r="B11391" t="s">
        <v>1236</v>
      </c>
      <c r="C11391" t="s">
        <v>14287</v>
      </c>
      <c r="D11391" t="s">
        <v>17425</v>
      </c>
      <c r="E11391" t="s">
        <v>27253</v>
      </c>
      <c r="F11391" t="s">
        <v>30052</v>
      </c>
      <c r="G11391" t="s">
        <v>30058</v>
      </c>
      <c r="H11391" t="s">
        <v>30068</v>
      </c>
      <c r="I11391" t="s">
        <v>30068</v>
      </c>
      <c r="J11391" t="s">
        <v>37162</v>
      </c>
      <c r="K11391" t="s">
        <v>39023</v>
      </c>
      <c r="M11391" t="s">
        <v>42706</v>
      </c>
      <c r="N11391" t="s">
        <v>43166</v>
      </c>
      <c r="O11391" t="s">
        <v>43167</v>
      </c>
      <c r="P11391">
        <v>0</v>
      </c>
      <c r="Q11391">
        <v>1</v>
      </c>
      <c r="R11391" t="s">
        <v>43181</v>
      </c>
      <c r="S11391" t="s">
        <v>43729</v>
      </c>
      <c r="T11391" t="s">
        <v>44717</v>
      </c>
      <c r="U11391" t="s">
        <v>54268</v>
      </c>
      <c r="W11391" t="s">
        <v>42706</v>
      </c>
      <c r="X11391" t="s">
        <v>43182</v>
      </c>
    </row>
    <row r="11392" spans="1:24">
      <c r="A11392">
        <f>HYPERLINK("https://www.philgeps.gov.ph/GEPSNONPILOT/Tender/SplashBidNoticeAbstractUI.aspx?menuIndex=3&amp;refID=7037629-2&amp;Result=3","7037629-2")</f>
        <v>0</v>
      </c>
      <c r="B11392" t="s">
        <v>1236</v>
      </c>
      <c r="C11392" t="s">
        <v>14288</v>
      </c>
      <c r="D11392" t="s">
        <v>17425</v>
      </c>
      <c r="E11392" t="s">
        <v>27254</v>
      </c>
      <c r="F11392" t="s">
        <v>30052</v>
      </c>
      <c r="G11392" t="s">
        <v>30058</v>
      </c>
      <c r="H11392" t="s">
        <v>30068</v>
      </c>
      <c r="I11392" t="s">
        <v>30068</v>
      </c>
      <c r="J11392" t="s">
        <v>37162</v>
      </c>
      <c r="K11392" t="s">
        <v>39023</v>
      </c>
      <c r="M11392" t="s">
        <v>42706</v>
      </c>
      <c r="N11392" t="s">
        <v>43166</v>
      </c>
      <c r="O11392" t="s">
        <v>43167</v>
      </c>
      <c r="P11392">
        <v>0</v>
      </c>
      <c r="Q11392">
        <v>1</v>
      </c>
      <c r="R11392" t="s">
        <v>43181</v>
      </c>
      <c r="S11392" t="s">
        <v>43729</v>
      </c>
      <c r="T11392" t="s">
        <v>44717</v>
      </c>
      <c r="U11392" t="s">
        <v>54269</v>
      </c>
      <c r="W11392" t="s">
        <v>42706</v>
      </c>
      <c r="X11392" t="s">
        <v>43182</v>
      </c>
    </row>
    <row r="11393" spans="1:24">
      <c r="A11393">
        <f>HYPERLINK("https://www.philgeps.gov.ph/GEPSNONPILOT/Tender/SplashBidNoticeAbstractUI.aspx?menuIndex=3&amp;refID=7042247&amp;Result=3","7042247")</f>
        <v>0</v>
      </c>
      <c r="B11393" t="s">
        <v>579</v>
      </c>
      <c r="C11393" t="s">
        <v>14289</v>
      </c>
      <c r="D11393" t="s">
        <v>17424</v>
      </c>
      <c r="E11393" t="s">
        <v>27255</v>
      </c>
      <c r="F11393" t="s">
        <v>30052</v>
      </c>
      <c r="G11393" t="s">
        <v>30058</v>
      </c>
      <c r="H11393" t="s">
        <v>30067</v>
      </c>
      <c r="I11393" t="s">
        <v>3693</v>
      </c>
      <c r="J11393" t="s">
        <v>37163</v>
      </c>
      <c r="K11393" t="s">
        <v>39257</v>
      </c>
      <c r="M11393" t="s">
        <v>42707</v>
      </c>
      <c r="N11393" t="s">
        <v>43166</v>
      </c>
      <c r="O11393" t="s">
        <v>43167</v>
      </c>
      <c r="P11393">
        <v>0</v>
      </c>
      <c r="Q11393">
        <v>15</v>
      </c>
      <c r="R11393" t="s">
        <v>43181</v>
      </c>
      <c r="S11393" t="s">
        <v>43729</v>
      </c>
      <c r="T11393" t="s">
        <v>44699</v>
      </c>
      <c r="U11393" t="s">
        <v>54270</v>
      </c>
      <c r="V11393" t="s">
        <v>58103</v>
      </c>
      <c r="W11393" t="s">
        <v>42707</v>
      </c>
      <c r="X11393" t="s">
        <v>43192</v>
      </c>
    </row>
    <row r="11394" spans="1:24">
      <c r="A11394">
        <f>HYPERLINK("https://www.philgeps.gov.ph/GEPSNONPILOT/Tender/SplashBidNoticeAbstractUI.aspx?menuIndex=3&amp;refID=7064505&amp;Result=3","7064505")</f>
        <v>0</v>
      </c>
      <c r="B11394" t="s">
        <v>3107</v>
      </c>
      <c r="C11394" t="s">
        <v>14290</v>
      </c>
      <c r="D11394" t="s">
        <v>17484</v>
      </c>
      <c r="E11394" t="s">
        <v>27256</v>
      </c>
      <c r="F11394" t="s">
        <v>30052</v>
      </c>
      <c r="G11394" t="s">
        <v>30058</v>
      </c>
      <c r="H11394" t="s">
        <v>15498</v>
      </c>
      <c r="I11394" t="s">
        <v>30074</v>
      </c>
      <c r="J11394" t="s">
        <v>31664</v>
      </c>
      <c r="K11394" t="s">
        <v>39029</v>
      </c>
      <c r="M11394" t="s">
        <v>42697</v>
      </c>
      <c r="N11394" t="s">
        <v>43166</v>
      </c>
      <c r="O11394" t="s">
        <v>43167</v>
      </c>
      <c r="P11394">
        <v>0</v>
      </c>
      <c r="Q11394">
        <v>1</v>
      </c>
      <c r="R11394" t="s">
        <v>43180</v>
      </c>
      <c r="S11394" t="s">
        <v>43646</v>
      </c>
      <c r="T11394" t="s">
        <v>44706</v>
      </c>
      <c r="U11394" t="s">
        <v>54271</v>
      </c>
      <c r="V11394" t="s">
        <v>58102</v>
      </c>
      <c r="W11394" t="s">
        <v>42697</v>
      </c>
      <c r="X11394" t="s">
        <v>43181</v>
      </c>
    </row>
    <row r="11395" spans="1:24">
      <c r="A11395">
        <f>HYPERLINK("https://www.philgeps.gov.ph/GEPSNONPILOT/Tender/SplashBidNoticeAbstractUI.aspx?menuIndex=3&amp;refID=7051864&amp;Result=3","7051864")</f>
        <v>0</v>
      </c>
      <c r="B11395" t="s">
        <v>3114</v>
      </c>
      <c r="C11395" t="s">
        <v>14291</v>
      </c>
      <c r="D11395" t="s">
        <v>17422</v>
      </c>
      <c r="E11395" t="s">
        <v>18647</v>
      </c>
      <c r="F11395" t="s">
        <v>30052</v>
      </c>
      <c r="G11395" t="s">
        <v>30058</v>
      </c>
      <c r="H11395" t="s">
        <v>30067</v>
      </c>
      <c r="I11395" t="s">
        <v>3693</v>
      </c>
      <c r="J11395" t="s">
        <v>30247</v>
      </c>
      <c r="K11395" t="s">
        <v>39026</v>
      </c>
      <c r="M11395" t="s">
        <v>42708</v>
      </c>
      <c r="N11395" t="s">
        <v>43166</v>
      </c>
      <c r="O11395" t="s">
        <v>43167</v>
      </c>
      <c r="P11395">
        <v>0</v>
      </c>
      <c r="Q11395">
        <v>1</v>
      </c>
      <c r="R11395" t="s">
        <v>43181</v>
      </c>
      <c r="S11395" t="s">
        <v>43729</v>
      </c>
      <c r="T11395" t="s">
        <v>44721</v>
      </c>
      <c r="U11395" t="s">
        <v>54272</v>
      </c>
      <c r="W11395" t="s">
        <v>42708</v>
      </c>
      <c r="X11395" t="s">
        <v>43187</v>
      </c>
    </row>
    <row r="11396" spans="1:24">
      <c r="A11396">
        <f>HYPERLINK("https://www.philgeps.gov.ph/GEPSNONPILOT/Tender/SplashBidNoticeAbstractUI.aspx?menuIndex=3&amp;refID=7056914&amp;Result=3","7056914")</f>
        <v>0</v>
      </c>
      <c r="B11396" t="s">
        <v>2477</v>
      </c>
      <c r="C11396" t="s">
        <v>14292</v>
      </c>
      <c r="D11396" t="s">
        <v>17417</v>
      </c>
      <c r="E11396" t="s">
        <v>27257</v>
      </c>
      <c r="F11396" t="s">
        <v>30052</v>
      </c>
      <c r="G11396" t="s">
        <v>30058</v>
      </c>
      <c r="H11396" t="s">
        <v>30069</v>
      </c>
      <c r="I11396" t="s">
        <v>30170</v>
      </c>
      <c r="J11396" t="s">
        <v>30343</v>
      </c>
      <c r="K11396" t="s">
        <v>39023</v>
      </c>
      <c r="M11396" t="s">
        <v>41977</v>
      </c>
      <c r="N11396" t="s">
        <v>43166</v>
      </c>
      <c r="O11396" t="s">
        <v>43167</v>
      </c>
      <c r="P11396">
        <v>0</v>
      </c>
      <c r="Q11396">
        <v>0</v>
      </c>
      <c r="R11396" t="s">
        <v>43181</v>
      </c>
      <c r="S11396" t="s">
        <v>43729</v>
      </c>
      <c r="T11396" t="s">
        <v>44733</v>
      </c>
      <c r="U11396" t="s">
        <v>54273</v>
      </c>
      <c r="W11396" t="s">
        <v>41977</v>
      </c>
      <c r="X11396" t="s">
        <v>43185</v>
      </c>
    </row>
    <row r="11397" spans="1:24">
      <c r="A11397">
        <f>HYPERLINK("https://www.philgeps.gov.ph/GEPSNONPILOT/Tender/SplashBidNoticeAbstractUI.aspx?menuIndex=3&amp;refID=7050141&amp;Result=3","7050141")</f>
        <v>0</v>
      </c>
      <c r="B11397" t="s">
        <v>3115</v>
      </c>
      <c r="C11397" t="s">
        <v>14293</v>
      </c>
      <c r="D11397" t="s">
        <v>17461</v>
      </c>
      <c r="E11397" t="s">
        <v>27258</v>
      </c>
      <c r="F11397" t="s">
        <v>30052</v>
      </c>
      <c r="G11397" t="s">
        <v>30058</v>
      </c>
      <c r="H11397" t="s">
        <v>15498</v>
      </c>
      <c r="I11397" t="s">
        <v>30074</v>
      </c>
      <c r="J11397" t="s">
        <v>37164</v>
      </c>
      <c r="K11397" t="s">
        <v>39046</v>
      </c>
      <c r="M11397" t="s">
        <v>42709</v>
      </c>
      <c r="N11397" t="s">
        <v>43166</v>
      </c>
      <c r="O11397" t="s">
        <v>43167</v>
      </c>
      <c r="P11397">
        <v>0</v>
      </c>
      <c r="Q11397">
        <v>4</v>
      </c>
      <c r="R11397" t="s">
        <v>43181</v>
      </c>
      <c r="S11397" t="s">
        <v>43729</v>
      </c>
      <c r="T11397" t="s">
        <v>44736</v>
      </c>
      <c r="U11397" t="s">
        <v>54274</v>
      </c>
      <c r="W11397" t="s">
        <v>42709</v>
      </c>
      <c r="X11397" t="s">
        <v>43187</v>
      </c>
    </row>
    <row r="11398" spans="1:24">
      <c r="A11398">
        <f>HYPERLINK("https://www.philgeps.gov.ph/GEPSNONPILOT/Tender/SplashBidNoticeAbstractUI.aspx?menuIndex=3&amp;refID=7056798&amp;Result=3","7056798")</f>
        <v>0</v>
      </c>
      <c r="B11398" t="s">
        <v>2477</v>
      </c>
      <c r="C11398" t="s">
        <v>14294</v>
      </c>
      <c r="D11398" t="s">
        <v>17417</v>
      </c>
      <c r="E11398" t="s">
        <v>27259</v>
      </c>
      <c r="F11398" t="s">
        <v>30052</v>
      </c>
      <c r="G11398" t="s">
        <v>30058</v>
      </c>
      <c r="H11398" t="s">
        <v>15498</v>
      </c>
      <c r="I11398" t="s">
        <v>30078</v>
      </c>
      <c r="J11398" t="s">
        <v>30250</v>
      </c>
      <c r="K11398" t="s">
        <v>39023</v>
      </c>
      <c r="M11398" t="s">
        <v>41977</v>
      </c>
      <c r="N11398" t="s">
        <v>43166</v>
      </c>
      <c r="O11398" t="s">
        <v>43167</v>
      </c>
      <c r="P11398">
        <v>0</v>
      </c>
      <c r="Q11398">
        <v>0</v>
      </c>
      <c r="R11398" t="s">
        <v>43181</v>
      </c>
      <c r="S11398" t="s">
        <v>43729</v>
      </c>
      <c r="T11398" t="s">
        <v>44733</v>
      </c>
      <c r="U11398" t="s">
        <v>54275</v>
      </c>
      <c r="W11398" t="s">
        <v>41977</v>
      </c>
      <c r="X11398" t="s">
        <v>43185</v>
      </c>
    </row>
    <row r="11399" spans="1:24">
      <c r="A11399">
        <f>HYPERLINK("https://www.philgeps.gov.ph/GEPSNONPILOT/Tender/SplashBidNoticeAbstractUI.aspx?menuIndex=3&amp;refID=7056419&amp;Result=3","7056419")</f>
        <v>0</v>
      </c>
      <c r="B11399" t="s">
        <v>2477</v>
      </c>
      <c r="C11399" t="s">
        <v>14295</v>
      </c>
      <c r="D11399" t="s">
        <v>17417</v>
      </c>
      <c r="E11399" t="s">
        <v>27260</v>
      </c>
      <c r="F11399" t="s">
        <v>30052</v>
      </c>
      <c r="G11399" t="s">
        <v>30058</v>
      </c>
      <c r="H11399" t="s">
        <v>15498</v>
      </c>
      <c r="I11399" t="s">
        <v>7228</v>
      </c>
      <c r="J11399" t="s">
        <v>37165</v>
      </c>
      <c r="K11399" t="s">
        <v>39023</v>
      </c>
      <c r="M11399" t="s">
        <v>41977</v>
      </c>
      <c r="N11399" t="s">
        <v>43166</v>
      </c>
      <c r="O11399" t="s">
        <v>43167</v>
      </c>
      <c r="P11399">
        <v>0</v>
      </c>
      <c r="Q11399">
        <v>0</v>
      </c>
      <c r="R11399" t="s">
        <v>43181</v>
      </c>
      <c r="S11399" t="s">
        <v>43729</v>
      </c>
      <c r="T11399" t="s">
        <v>44733</v>
      </c>
      <c r="U11399" t="s">
        <v>54276</v>
      </c>
      <c r="W11399" t="s">
        <v>41977</v>
      </c>
      <c r="X11399" t="s">
        <v>43185</v>
      </c>
    </row>
    <row r="11400" spans="1:24">
      <c r="A11400">
        <f>HYPERLINK("https://www.philgeps.gov.ph/GEPSNONPILOT/Tender/SplashBidNoticeAbstractUI.aspx?menuIndex=3&amp;refID=7054375&amp;Result=3","7054375")</f>
        <v>0</v>
      </c>
      <c r="B11400" t="s">
        <v>158</v>
      </c>
      <c r="C11400" t="s">
        <v>14296</v>
      </c>
      <c r="D11400" t="s">
        <v>17471</v>
      </c>
      <c r="E11400" t="s">
        <v>27261</v>
      </c>
      <c r="F11400" t="s">
        <v>30052</v>
      </c>
      <c r="G11400" t="s">
        <v>30058</v>
      </c>
      <c r="H11400" t="s">
        <v>15498</v>
      </c>
      <c r="I11400" t="s">
        <v>30074</v>
      </c>
      <c r="J11400" t="s">
        <v>30683</v>
      </c>
      <c r="K11400" t="s">
        <v>39099</v>
      </c>
      <c r="M11400" t="s">
        <v>39447</v>
      </c>
      <c r="N11400" t="s">
        <v>43166</v>
      </c>
      <c r="O11400" t="s">
        <v>43167</v>
      </c>
      <c r="P11400">
        <v>0</v>
      </c>
      <c r="Q11400">
        <v>5</v>
      </c>
      <c r="R11400" t="s">
        <v>43181</v>
      </c>
      <c r="S11400" t="s">
        <v>43729</v>
      </c>
      <c r="T11400" t="s">
        <v>44704</v>
      </c>
      <c r="U11400" t="s">
        <v>54277</v>
      </c>
      <c r="W11400" t="s">
        <v>39447</v>
      </c>
      <c r="X11400" t="s">
        <v>43186</v>
      </c>
    </row>
    <row r="11401" spans="1:24">
      <c r="A11401">
        <f>HYPERLINK("https://www.philgeps.gov.ph/GEPSNONPILOT/Tender/SplashBidNoticeAbstractUI.aspx?menuIndex=3&amp;refID=7056341&amp;Result=3","7056341")</f>
        <v>0</v>
      </c>
      <c r="B11401" t="s">
        <v>2477</v>
      </c>
      <c r="C11401" t="s">
        <v>14297</v>
      </c>
      <c r="D11401" t="s">
        <v>17417</v>
      </c>
      <c r="E11401" t="s">
        <v>27262</v>
      </c>
      <c r="F11401" t="s">
        <v>30052</v>
      </c>
      <c r="G11401" t="s">
        <v>30058</v>
      </c>
      <c r="H11401" t="s">
        <v>15498</v>
      </c>
      <c r="I11401" t="s">
        <v>3852</v>
      </c>
      <c r="J11401" t="s">
        <v>37166</v>
      </c>
      <c r="K11401" t="s">
        <v>39023</v>
      </c>
      <c r="M11401" t="s">
        <v>41977</v>
      </c>
      <c r="N11401" t="s">
        <v>43166</v>
      </c>
      <c r="O11401" t="s">
        <v>43167</v>
      </c>
      <c r="P11401">
        <v>0</v>
      </c>
      <c r="Q11401">
        <v>0</v>
      </c>
      <c r="R11401" t="s">
        <v>43181</v>
      </c>
      <c r="S11401" t="s">
        <v>43729</v>
      </c>
      <c r="T11401" t="s">
        <v>44733</v>
      </c>
      <c r="U11401" t="s">
        <v>54278</v>
      </c>
      <c r="W11401" t="s">
        <v>41977</v>
      </c>
      <c r="X11401" t="s">
        <v>43185</v>
      </c>
    </row>
    <row r="11402" spans="1:24">
      <c r="A11402">
        <f>HYPERLINK("https://www.philgeps.gov.ph/GEPSNONPILOT/Tender/SplashBidNoticeAbstractUI.aspx?menuIndex=3&amp;refID=7056058&amp;Result=3","7056058")</f>
        <v>0</v>
      </c>
      <c r="B11402" t="s">
        <v>141</v>
      </c>
      <c r="C11402" t="s">
        <v>14298</v>
      </c>
      <c r="D11402" t="s">
        <v>17447</v>
      </c>
      <c r="E11402" t="s">
        <v>27263</v>
      </c>
      <c r="F11402" t="s">
        <v>30052</v>
      </c>
      <c r="G11402" t="s">
        <v>30058</v>
      </c>
      <c r="H11402" t="s">
        <v>30067</v>
      </c>
      <c r="I11402" t="s">
        <v>6304</v>
      </c>
      <c r="J11402" t="s">
        <v>37167</v>
      </c>
      <c r="K11402" t="s">
        <v>39026</v>
      </c>
      <c r="M11402" t="s">
        <v>41514</v>
      </c>
      <c r="N11402" t="s">
        <v>43166</v>
      </c>
      <c r="O11402" t="s">
        <v>43167</v>
      </c>
      <c r="P11402">
        <v>0</v>
      </c>
      <c r="Q11402">
        <v>8</v>
      </c>
      <c r="R11402" t="s">
        <v>43181</v>
      </c>
      <c r="S11402" t="s">
        <v>43729</v>
      </c>
      <c r="T11402" t="s">
        <v>44721</v>
      </c>
      <c r="U11402" t="s">
        <v>54279</v>
      </c>
      <c r="W11402" t="s">
        <v>41514</v>
      </c>
      <c r="X11402" t="s">
        <v>43185</v>
      </c>
    </row>
    <row r="11403" spans="1:24">
      <c r="A11403">
        <f>HYPERLINK("https://www.philgeps.gov.ph/GEPSNONPILOT/Tender/SplashBidNoticeAbstractUI.aspx?menuIndex=3&amp;refID=7055804&amp;Result=3","7055804")</f>
        <v>0</v>
      </c>
      <c r="B11403" t="s">
        <v>1699</v>
      </c>
      <c r="C11403" t="s">
        <v>9960</v>
      </c>
      <c r="D11403" t="s">
        <v>17421</v>
      </c>
      <c r="E11403" t="s">
        <v>27264</v>
      </c>
      <c r="F11403" t="s">
        <v>30055</v>
      </c>
      <c r="G11403" t="s">
        <v>30061</v>
      </c>
      <c r="H11403" t="s">
        <v>15498</v>
      </c>
      <c r="I11403" t="s">
        <v>7228</v>
      </c>
      <c r="J11403" t="s">
        <v>37168</v>
      </c>
      <c r="K11403" t="s">
        <v>39034</v>
      </c>
      <c r="M11403" t="s">
        <v>41109</v>
      </c>
      <c r="N11403" t="s">
        <v>43166</v>
      </c>
      <c r="O11403" t="s">
        <v>43167</v>
      </c>
      <c r="P11403">
        <v>0</v>
      </c>
      <c r="Q11403">
        <v>0</v>
      </c>
      <c r="R11403" t="s">
        <v>43181</v>
      </c>
      <c r="S11403" t="s">
        <v>43729</v>
      </c>
      <c r="T11403" t="s">
        <v>44717</v>
      </c>
      <c r="U11403" t="s">
        <v>54280</v>
      </c>
      <c r="W11403" t="s">
        <v>41109</v>
      </c>
      <c r="X11403" t="s">
        <v>43185</v>
      </c>
    </row>
    <row r="11404" spans="1:24">
      <c r="A11404">
        <f>HYPERLINK("https://www.philgeps.gov.ph/GEPSNONPILOT/Tender/SplashBidNoticeAbstractUI.aspx?menuIndex=3&amp;refID=7055789&amp;Result=3","7055789")</f>
        <v>0</v>
      </c>
      <c r="B11404" t="s">
        <v>2472</v>
      </c>
      <c r="C11404" t="s">
        <v>14299</v>
      </c>
      <c r="D11404" t="s">
        <v>17466</v>
      </c>
      <c r="E11404" t="s">
        <v>27265</v>
      </c>
      <c r="F11404" t="s">
        <v>30052</v>
      </c>
      <c r="G11404" t="s">
        <v>30058</v>
      </c>
      <c r="H11404" t="s">
        <v>30067</v>
      </c>
      <c r="I11404" t="s">
        <v>3693</v>
      </c>
      <c r="J11404" t="s">
        <v>37169</v>
      </c>
      <c r="K11404" t="s">
        <v>39148</v>
      </c>
      <c r="M11404" t="s">
        <v>41972</v>
      </c>
      <c r="N11404" t="s">
        <v>43166</v>
      </c>
      <c r="O11404" t="s">
        <v>43167</v>
      </c>
      <c r="Q11404">
        <v>6</v>
      </c>
      <c r="R11404" t="s">
        <v>43181</v>
      </c>
      <c r="S11404" t="s">
        <v>43731</v>
      </c>
      <c r="T11404" t="s">
        <v>44704</v>
      </c>
      <c r="U11404" t="s">
        <v>51717</v>
      </c>
      <c r="W11404" t="s">
        <v>41972</v>
      </c>
      <c r="X11404" t="s">
        <v>43185</v>
      </c>
    </row>
    <row r="11405" spans="1:24">
      <c r="A11405">
        <f>HYPERLINK("https://www.philgeps.gov.ph/GEPSNONPILOT/Tender/SplashBidNoticeAbstractUI.aspx?menuIndex=3&amp;refID=7056176&amp;Result=3","7056176")</f>
        <v>0</v>
      </c>
      <c r="B11405" t="s">
        <v>2823</v>
      </c>
      <c r="C11405" t="s">
        <v>14300</v>
      </c>
      <c r="E11405" t="s">
        <v>27266</v>
      </c>
      <c r="F11405" t="s">
        <v>30052</v>
      </c>
      <c r="G11405" t="s">
        <v>30058</v>
      </c>
      <c r="H11405" t="s">
        <v>15498</v>
      </c>
      <c r="I11405" t="s">
        <v>30075</v>
      </c>
      <c r="J11405" t="s">
        <v>35835</v>
      </c>
      <c r="K11405" t="s">
        <v>39025</v>
      </c>
      <c r="M11405" t="s">
        <v>42367</v>
      </c>
      <c r="N11405" t="s">
        <v>43166</v>
      </c>
      <c r="O11405" t="s">
        <v>43167</v>
      </c>
      <c r="P11405">
        <v>0</v>
      </c>
      <c r="Q11405">
        <v>2</v>
      </c>
      <c r="R11405" t="s">
        <v>43181</v>
      </c>
      <c r="S11405" t="s">
        <v>43729</v>
      </c>
      <c r="T11405" t="s">
        <v>44750</v>
      </c>
      <c r="U11405" t="s">
        <v>54281</v>
      </c>
      <c r="W11405" t="s">
        <v>42367</v>
      </c>
      <c r="X11405" t="s">
        <v>43185</v>
      </c>
    </row>
    <row r="11406" spans="1:24">
      <c r="A11406">
        <f>HYPERLINK("https://www.philgeps.gov.ph/GEPSNONPILOT/Tender/SplashBidNoticeAbstractUI.aspx?menuIndex=3&amp;refID=7056926&amp;Result=3","7056926")</f>
        <v>0</v>
      </c>
      <c r="B11406" t="s">
        <v>530</v>
      </c>
      <c r="C11406" t="s">
        <v>14301</v>
      </c>
      <c r="D11406" t="s">
        <v>17445</v>
      </c>
      <c r="E11406" t="s">
        <v>27267</v>
      </c>
      <c r="F11406" t="s">
        <v>30052</v>
      </c>
      <c r="G11406" t="s">
        <v>30058</v>
      </c>
      <c r="H11406" t="s">
        <v>30067</v>
      </c>
      <c r="I11406" t="s">
        <v>3693</v>
      </c>
      <c r="J11406" t="s">
        <v>37170</v>
      </c>
      <c r="K11406" t="s">
        <v>39018</v>
      </c>
      <c r="M11406" t="s">
        <v>39832</v>
      </c>
      <c r="N11406" t="s">
        <v>43166</v>
      </c>
      <c r="O11406" t="s">
        <v>43167</v>
      </c>
      <c r="Q11406">
        <v>2</v>
      </c>
      <c r="R11406" t="s">
        <v>43181</v>
      </c>
      <c r="S11406" t="s">
        <v>43732</v>
      </c>
      <c r="T11406" t="s">
        <v>44704</v>
      </c>
      <c r="U11406" t="s">
        <v>54282</v>
      </c>
      <c r="W11406" t="s">
        <v>39832</v>
      </c>
      <c r="X11406" t="s">
        <v>43185</v>
      </c>
    </row>
    <row r="11407" spans="1:24">
      <c r="A11407">
        <f>HYPERLINK("https://www.philgeps.gov.ph/GEPSNONPILOT/Tender/SplashBidNoticeAbstractUI.aspx?menuIndex=3&amp;refID=7055715&amp;Result=3","7055715")</f>
        <v>0</v>
      </c>
      <c r="B11407" t="s">
        <v>105</v>
      </c>
      <c r="C11407" t="s">
        <v>14302</v>
      </c>
      <c r="E11407" t="s">
        <v>27268</v>
      </c>
      <c r="F11407" t="s">
        <v>30052</v>
      </c>
      <c r="G11407" t="s">
        <v>30058</v>
      </c>
      <c r="H11407" t="s">
        <v>15498</v>
      </c>
      <c r="I11407" t="s">
        <v>30081</v>
      </c>
      <c r="J11407" t="s">
        <v>37171</v>
      </c>
      <c r="K11407" t="s">
        <v>39025</v>
      </c>
      <c r="M11407" t="s">
        <v>42710</v>
      </c>
      <c r="N11407" t="s">
        <v>43166</v>
      </c>
      <c r="O11407" t="s">
        <v>43167</v>
      </c>
      <c r="P11407">
        <v>0</v>
      </c>
      <c r="Q11407">
        <v>1</v>
      </c>
      <c r="R11407" t="s">
        <v>43181</v>
      </c>
      <c r="S11407" t="s">
        <v>43729</v>
      </c>
      <c r="T11407" t="s">
        <v>44856</v>
      </c>
      <c r="U11407" t="s">
        <v>54283</v>
      </c>
      <c r="W11407" t="s">
        <v>42710</v>
      </c>
      <c r="X11407" t="s">
        <v>43185</v>
      </c>
    </row>
    <row r="11408" spans="1:24">
      <c r="A11408">
        <f>HYPERLINK("https://www.philgeps.gov.ph/GEPSNONPILOT/Tender/SplashBidNoticeAbstractUI.aspx?menuIndex=3&amp;refID=7055334&amp;Result=3","7055334")</f>
        <v>0</v>
      </c>
      <c r="B11408" t="s">
        <v>1685</v>
      </c>
      <c r="C11408" t="s">
        <v>14303</v>
      </c>
      <c r="D11408" t="s">
        <v>17455</v>
      </c>
      <c r="E11408" t="s">
        <v>27269</v>
      </c>
      <c r="F11408" t="s">
        <v>30052</v>
      </c>
      <c r="G11408" t="s">
        <v>30058</v>
      </c>
      <c r="H11408" t="s">
        <v>15498</v>
      </c>
      <c r="I11408" t="s">
        <v>30114</v>
      </c>
      <c r="J11408" t="s">
        <v>36733</v>
      </c>
      <c r="K11408" t="s">
        <v>39031</v>
      </c>
      <c r="M11408" t="s">
        <v>41094</v>
      </c>
      <c r="N11408" t="s">
        <v>43166</v>
      </c>
      <c r="O11408" t="s">
        <v>43167</v>
      </c>
      <c r="P11408">
        <v>0</v>
      </c>
      <c r="Q11408">
        <v>21</v>
      </c>
      <c r="R11408" t="s">
        <v>43181</v>
      </c>
      <c r="S11408" t="s">
        <v>43729</v>
      </c>
      <c r="T11408" t="s">
        <v>44750</v>
      </c>
      <c r="U11408" t="s">
        <v>54284</v>
      </c>
      <c r="W11408" t="s">
        <v>58652</v>
      </c>
      <c r="X11408" t="s">
        <v>43186</v>
      </c>
    </row>
    <row r="11409" spans="1:24">
      <c r="A11409">
        <f>HYPERLINK("https://www.philgeps.gov.ph/GEPSNONPILOT/Tender/SplashBidNoticeAbstractUI.aspx?menuIndex=3&amp;refID=7055776&amp;Result=3","7055776")</f>
        <v>0</v>
      </c>
      <c r="B11409" t="s">
        <v>2472</v>
      </c>
      <c r="C11409" t="s">
        <v>14304</v>
      </c>
      <c r="D11409" t="s">
        <v>17466</v>
      </c>
      <c r="E11409" t="s">
        <v>27270</v>
      </c>
      <c r="F11409" t="s">
        <v>30052</v>
      </c>
      <c r="G11409" t="s">
        <v>30058</v>
      </c>
      <c r="H11409" t="s">
        <v>30067</v>
      </c>
      <c r="I11409" t="s">
        <v>3693</v>
      </c>
      <c r="J11409" t="s">
        <v>37172</v>
      </c>
      <c r="K11409" t="s">
        <v>39148</v>
      </c>
      <c r="M11409" t="s">
        <v>41972</v>
      </c>
      <c r="N11409" t="s">
        <v>43166</v>
      </c>
      <c r="O11409" t="s">
        <v>43167</v>
      </c>
      <c r="Q11409">
        <v>6</v>
      </c>
      <c r="R11409" t="s">
        <v>43181</v>
      </c>
      <c r="S11409" t="s">
        <v>43733</v>
      </c>
      <c r="T11409" t="s">
        <v>44704</v>
      </c>
      <c r="U11409" t="s">
        <v>51717</v>
      </c>
      <c r="W11409" t="s">
        <v>41972</v>
      </c>
      <c r="X11409" t="s">
        <v>43185</v>
      </c>
    </row>
    <row r="11410" spans="1:24">
      <c r="A11410">
        <f>HYPERLINK("https://www.philgeps.gov.ph/GEPSNONPILOT/Tender/SplashBidNoticeAbstractUI.aspx?menuIndex=3&amp;refID=7055760&amp;Result=3","7055760")</f>
        <v>0</v>
      </c>
      <c r="B11410" t="s">
        <v>105</v>
      </c>
      <c r="C11410" t="s">
        <v>14305</v>
      </c>
      <c r="E11410" t="s">
        <v>27271</v>
      </c>
      <c r="F11410" t="s">
        <v>30052</v>
      </c>
      <c r="G11410" t="s">
        <v>30058</v>
      </c>
      <c r="H11410" t="s">
        <v>15498</v>
      </c>
      <c r="I11410" t="s">
        <v>9238</v>
      </c>
      <c r="J11410" t="s">
        <v>37173</v>
      </c>
      <c r="K11410" t="s">
        <v>39025</v>
      </c>
      <c r="M11410" t="s">
        <v>42710</v>
      </c>
      <c r="N11410" t="s">
        <v>43166</v>
      </c>
      <c r="O11410" t="s">
        <v>43167</v>
      </c>
      <c r="P11410">
        <v>0</v>
      </c>
      <c r="Q11410">
        <v>13</v>
      </c>
      <c r="R11410" t="s">
        <v>43181</v>
      </c>
      <c r="S11410" t="s">
        <v>43729</v>
      </c>
      <c r="T11410" t="s">
        <v>44856</v>
      </c>
      <c r="U11410" t="s">
        <v>54285</v>
      </c>
      <c r="W11410" t="s">
        <v>42710</v>
      </c>
      <c r="X11410" t="s">
        <v>43185</v>
      </c>
    </row>
    <row r="11411" spans="1:24">
      <c r="A11411">
        <f>HYPERLINK("https://www.philgeps.gov.ph/GEPSNONPILOT/Tender/SplashBidNoticeAbstractUI.aspx?menuIndex=3&amp;refID=7055113&amp;Result=3","7055113")</f>
        <v>0</v>
      </c>
      <c r="B11411" t="s">
        <v>2477</v>
      </c>
      <c r="C11411" t="s">
        <v>14306</v>
      </c>
      <c r="D11411" t="s">
        <v>17417</v>
      </c>
      <c r="E11411" t="s">
        <v>27272</v>
      </c>
      <c r="F11411" t="s">
        <v>30052</v>
      </c>
      <c r="G11411" t="s">
        <v>30058</v>
      </c>
      <c r="H11411" t="s">
        <v>15498</v>
      </c>
      <c r="I11411" t="s">
        <v>30076</v>
      </c>
      <c r="J11411" t="s">
        <v>37174</v>
      </c>
      <c r="K11411" t="s">
        <v>39023</v>
      </c>
      <c r="M11411" t="s">
        <v>41977</v>
      </c>
      <c r="N11411" t="s">
        <v>43166</v>
      </c>
      <c r="O11411" t="s">
        <v>43167</v>
      </c>
      <c r="P11411">
        <v>0</v>
      </c>
      <c r="Q11411">
        <v>4</v>
      </c>
      <c r="R11411" t="s">
        <v>43181</v>
      </c>
      <c r="S11411" t="s">
        <v>43729</v>
      </c>
      <c r="T11411" t="s">
        <v>44733</v>
      </c>
      <c r="U11411" t="s">
        <v>54286</v>
      </c>
      <c r="W11411" t="s">
        <v>41977</v>
      </c>
      <c r="X11411" t="s">
        <v>43186</v>
      </c>
    </row>
    <row r="11412" spans="1:24">
      <c r="A11412">
        <f>HYPERLINK("https://www.philgeps.gov.ph/GEPSNONPILOT/Tender/SplashBidNoticeAbstractUI.aspx?menuIndex=3&amp;refID=7054211&amp;Result=3","7054211")</f>
        <v>0</v>
      </c>
      <c r="B11412" t="s">
        <v>1689</v>
      </c>
      <c r="C11412" t="s">
        <v>14307</v>
      </c>
      <c r="D11412" t="s">
        <v>17474</v>
      </c>
      <c r="E11412" t="s">
        <v>27273</v>
      </c>
      <c r="F11412" t="s">
        <v>30052</v>
      </c>
      <c r="G11412" t="s">
        <v>30058</v>
      </c>
      <c r="H11412" t="s">
        <v>30067</v>
      </c>
      <c r="I11412" t="s">
        <v>3693</v>
      </c>
      <c r="J11412" t="s">
        <v>30557</v>
      </c>
      <c r="K11412" t="s">
        <v>39020</v>
      </c>
      <c r="M11412" t="s">
        <v>41098</v>
      </c>
      <c r="N11412" t="s">
        <v>43166</v>
      </c>
      <c r="O11412" t="s">
        <v>43167</v>
      </c>
      <c r="P11412">
        <v>0</v>
      </c>
      <c r="Q11412">
        <v>0</v>
      </c>
      <c r="R11412" t="s">
        <v>43181</v>
      </c>
      <c r="S11412" t="s">
        <v>43729</v>
      </c>
      <c r="T11412" t="s">
        <v>44753</v>
      </c>
      <c r="U11412" t="s">
        <v>54287</v>
      </c>
      <c r="W11412" t="s">
        <v>41098</v>
      </c>
      <c r="X11412" t="s">
        <v>43186</v>
      </c>
    </row>
    <row r="11413" spans="1:24">
      <c r="A11413">
        <f>HYPERLINK("https://www.philgeps.gov.ph/GEPSNONPILOT/Tender/SplashBidNoticeAbstractUI.aspx?menuIndex=3&amp;refID=7054857&amp;Result=3","7054857")</f>
        <v>0</v>
      </c>
      <c r="B11413" t="s">
        <v>2477</v>
      </c>
      <c r="C11413" t="s">
        <v>14308</v>
      </c>
      <c r="D11413" t="s">
        <v>17417</v>
      </c>
      <c r="E11413" t="s">
        <v>27274</v>
      </c>
      <c r="F11413" t="s">
        <v>30052</v>
      </c>
      <c r="G11413" t="s">
        <v>30058</v>
      </c>
      <c r="H11413" t="s">
        <v>15498</v>
      </c>
      <c r="I11413" t="s">
        <v>3606</v>
      </c>
      <c r="J11413" t="s">
        <v>30281</v>
      </c>
      <c r="K11413" t="s">
        <v>39023</v>
      </c>
      <c r="M11413" t="s">
        <v>41977</v>
      </c>
      <c r="N11413" t="s">
        <v>43166</v>
      </c>
      <c r="O11413" t="s">
        <v>43167</v>
      </c>
      <c r="P11413">
        <v>0</v>
      </c>
      <c r="Q11413">
        <v>2</v>
      </c>
      <c r="R11413" t="s">
        <v>43181</v>
      </c>
      <c r="S11413" t="s">
        <v>43729</v>
      </c>
      <c r="T11413" t="s">
        <v>44733</v>
      </c>
      <c r="U11413" t="s">
        <v>54288</v>
      </c>
      <c r="W11413" t="s">
        <v>41977</v>
      </c>
      <c r="X11413" t="s">
        <v>43186</v>
      </c>
    </row>
    <row r="11414" spans="1:24">
      <c r="A11414">
        <f>HYPERLINK("https://www.philgeps.gov.ph/GEPSNONPILOT/Tender/SplashBidNoticeAbstractUI.aspx?menuIndex=3&amp;refID=7054532&amp;Result=3","7054532")</f>
        <v>0</v>
      </c>
      <c r="B11414" t="s">
        <v>736</v>
      </c>
      <c r="C11414" t="s">
        <v>14309</v>
      </c>
      <c r="D11414" t="s">
        <v>17455</v>
      </c>
      <c r="E11414" t="s">
        <v>27275</v>
      </c>
      <c r="F11414" t="s">
        <v>30052</v>
      </c>
      <c r="G11414" t="s">
        <v>30058</v>
      </c>
      <c r="H11414" t="s">
        <v>15498</v>
      </c>
      <c r="I11414" t="s">
        <v>30074</v>
      </c>
      <c r="J11414" t="s">
        <v>34779</v>
      </c>
      <c r="K11414" t="s">
        <v>39025</v>
      </c>
      <c r="M11414" t="s">
        <v>40049</v>
      </c>
      <c r="N11414" t="s">
        <v>43166</v>
      </c>
      <c r="O11414" t="s">
        <v>43167</v>
      </c>
      <c r="P11414">
        <v>0</v>
      </c>
      <c r="Q11414">
        <v>11</v>
      </c>
      <c r="R11414" t="s">
        <v>43181</v>
      </c>
      <c r="S11414" t="s">
        <v>43729</v>
      </c>
      <c r="T11414" t="s">
        <v>44718</v>
      </c>
      <c r="U11414" t="s">
        <v>54289</v>
      </c>
      <c r="W11414" t="s">
        <v>40049</v>
      </c>
      <c r="X11414" t="s">
        <v>43186</v>
      </c>
    </row>
    <row r="11415" spans="1:24">
      <c r="A11415">
        <f>HYPERLINK("https://www.philgeps.gov.ph/GEPSNONPILOT/Tender/SplashBidNoticeAbstractUI.aspx?menuIndex=3&amp;refID=7058670&amp;Result=3","7058670")</f>
        <v>0</v>
      </c>
      <c r="B11415" t="s">
        <v>2121</v>
      </c>
      <c r="C11415" t="s">
        <v>14310</v>
      </c>
      <c r="D11415" t="s">
        <v>17415</v>
      </c>
      <c r="E11415" t="s">
        <v>17892</v>
      </c>
      <c r="F11415" t="s">
        <v>30055</v>
      </c>
      <c r="G11415" t="s">
        <v>30058</v>
      </c>
      <c r="H11415" t="s">
        <v>15498</v>
      </c>
      <c r="I11415" t="s">
        <v>30088</v>
      </c>
      <c r="J11415" t="s">
        <v>37175</v>
      </c>
      <c r="K11415" t="s">
        <v>39036</v>
      </c>
      <c r="M11415" t="s">
        <v>41585</v>
      </c>
      <c r="N11415" t="s">
        <v>43166</v>
      </c>
      <c r="O11415" t="s">
        <v>43167</v>
      </c>
      <c r="P11415">
        <v>0</v>
      </c>
      <c r="Q11415">
        <v>5</v>
      </c>
      <c r="R11415" t="s">
        <v>43181</v>
      </c>
      <c r="S11415" t="s">
        <v>43729</v>
      </c>
      <c r="T11415" t="s">
        <v>44734</v>
      </c>
      <c r="U11415" t="s">
        <v>54290</v>
      </c>
      <c r="W11415" t="s">
        <v>41585</v>
      </c>
      <c r="X11415" t="s">
        <v>43183</v>
      </c>
    </row>
    <row r="11416" spans="1:24">
      <c r="A11416">
        <f>HYPERLINK("https://www.philgeps.gov.ph/GEPSNONPILOT/Tender/SplashBidNoticeAbstractUI.aspx?menuIndex=3&amp;refID=7058661&amp;Result=3","7058661")</f>
        <v>0</v>
      </c>
      <c r="B11416" t="s">
        <v>842</v>
      </c>
      <c r="C11416" t="s">
        <v>14311</v>
      </c>
      <c r="D11416" t="s">
        <v>17421</v>
      </c>
      <c r="E11416" t="s">
        <v>27276</v>
      </c>
      <c r="F11416" t="s">
        <v>30052</v>
      </c>
      <c r="G11416" t="s">
        <v>30058</v>
      </c>
      <c r="H11416" t="s">
        <v>30067</v>
      </c>
      <c r="I11416" t="s">
        <v>3693</v>
      </c>
      <c r="J11416" t="s">
        <v>37176</v>
      </c>
      <c r="K11416" t="s">
        <v>39057</v>
      </c>
      <c r="M11416" t="s">
        <v>40159</v>
      </c>
      <c r="N11416" t="s">
        <v>43166</v>
      </c>
      <c r="O11416" t="s">
        <v>43167</v>
      </c>
      <c r="P11416">
        <v>0</v>
      </c>
      <c r="Q11416">
        <v>0</v>
      </c>
      <c r="R11416" t="s">
        <v>43181</v>
      </c>
      <c r="S11416" t="s">
        <v>43729</v>
      </c>
      <c r="T11416" t="s">
        <v>44681</v>
      </c>
      <c r="U11416" t="s">
        <v>54291</v>
      </c>
      <c r="W11416" t="s">
        <v>40159</v>
      </c>
      <c r="X11416" t="s">
        <v>43183</v>
      </c>
    </row>
    <row r="11417" spans="1:24">
      <c r="A11417">
        <f>HYPERLINK("https://www.philgeps.gov.ph/GEPSNONPILOT/Tender/SplashBidNoticeAbstractUI.aspx?menuIndex=3&amp;refID=7058516&amp;Result=3","7058516")</f>
        <v>0</v>
      </c>
      <c r="B11417" t="s">
        <v>2098</v>
      </c>
      <c r="C11417" t="s">
        <v>14312</v>
      </c>
      <c r="D11417" t="s">
        <v>17414</v>
      </c>
      <c r="E11417" t="s">
        <v>27277</v>
      </c>
      <c r="F11417" t="s">
        <v>30052</v>
      </c>
      <c r="G11417" t="s">
        <v>30058</v>
      </c>
      <c r="H11417" t="s">
        <v>30067</v>
      </c>
      <c r="I11417" t="s">
        <v>3693</v>
      </c>
      <c r="J11417" t="s">
        <v>35535</v>
      </c>
      <c r="K11417" t="s">
        <v>39023</v>
      </c>
      <c r="M11417" t="s">
        <v>42002</v>
      </c>
      <c r="N11417" t="s">
        <v>43166</v>
      </c>
      <c r="O11417" t="s">
        <v>43167</v>
      </c>
      <c r="P11417">
        <v>0</v>
      </c>
      <c r="Q11417">
        <v>2</v>
      </c>
      <c r="R11417" t="s">
        <v>43181</v>
      </c>
      <c r="S11417" t="s">
        <v>43729</v>
      </c>
      <c r="T11417" t="s">
        <v>44754</v>
      </c>
      <c r="U11417" t="s">
        <v>54292</v>
      </c>
      <c r="W11417" t="s">
        <v>42002</v>
      </c>
      <c r="X11417" t="s">
        <v>43183</v>
      </c>
    </row>
    <row r="11418" spans="1:24">
      <c r="A11418">
        <f>HYPERLINK("https://www.philgeps.gov.ph/GEPSNONPILOT/Tender/SplashBidNoticeAbstractUI.aspx?menuIndex=3&amp;refID=7058151&amp;Result=3","7058151")</f>
        <v>0</v>
      </c>
      <c r="B11418" t="s">
        <v>3116</v>
      </c>
      <c r="C11418" t="s">
        <v>14313</v>
      </c>
      <c r="D11418" t="s">
        <v>17440</v>
      </c>
      <c r="E11418" t="s">
        <v>27278</v>
      </c>
      <c r="F11418" t="s">
        <v>30052</v>
      </c>
      <c r="G11418" t="s">
        <v>30058</v>
      </c>
      <c r="H11418" t="s">
        <v>30067</v>
      </c>
      <c r="I11418" t="s">
        <v>30106</v>
      </c>
      <c r="J11418" t="s">
        <v>37177</v>
      </c>
      <c r="K11418" t="s">
        <v>39057</v>
      </c>
      <c r="M11418" t="s">
        <v>42711</v>
      </c>
      <c r="N11418" t="s">
        <v>43166</v>
      </c>
      <c r="O11418" t="s">
        <v>43167</v>
      </c>
      <c r="P11418">
        <v>0</v>
      </c>
      <c r="Q11418">
        <v>11</v>
      </c>
      <c r="R11418" t="s">
        <v>43181</v>
      </c>
      <c r="S11418" t="s">
        <v>43729</v>
      </c>
      <c r="T11418" t="s">
        <v>44704</v>
      </c>
      <c r="U11418" t="s">
        <v>54293</v>
      </c>
      <c r="W11418" t="s">
        <v>42711</v>
      </c>
      <c r="X11418" t="s">
        <v>43184</v>
      </c>
    </row>
    <row r="11419" spans="1:24">
      <c r="A11419">
        <f>HYPERLINK("https://www.philgeps.gov.ph/GEPSNONPILOT/Tender/SplashBidNoticeAbstractUI.aspx?menuIndex=3&amp;refID=7058483&amp;Result=3","7058483")</f>
        <v>0</v>
      </c>
      <c r="B11419" t="s">
        <v>2098</v>
      </c>
      <c r="C11419" t="s">
        <v>14314</v>
      </c>
      <c r="D11419" t="s">
        <v>17414</v>
      </c>
      <c r="E11419" t="s">
        <v>27279</v>
      </c>
      <c r="F11419" t="s">
        <v>30052</v>
      </c>
      <c r="G11419" t="s">
        <v>30058</v>
      </c>
      <c r="H11419" t="s">
        <v>30067</v>
      </c>
      <c r="I11419" t="s">
        <v>3693</v>
      </c>
      <c r="J11419" t="s">
        <v>35535</v>
      </c>
      <c r="K11419" t="s">
        <v>39023</v>
      </c>
      <c r="M11419" t="s">
        <v>42002</v>
      </c>
      <c r="N11419" t="s">
        <v>43166</v>
      </c>
      <c r="O11419" t="s">
        <v>43167</v>
      </c>
      <c r="P11419">
        <v>0</v>
      </c>
      <c r="Q11419">
        <v>3</v>
      </c>
      <c r="R11419" t="s">
        <v>43181</v>
      </c>
      <c r="S11419" t="s">
        <v>43729</v>
      </c>
      <c r="T11419" t="s">
        <v>44754</v>
      </c>
      <c r="U11419" t="s">
        <v>54294</v>
      </c>
      <c r="W11419" t="s">
        <v>42002</v>
      </c>
      <c r="X11419" t="s">
        <v>43184</v>
      </c>
    </row>
    <row r="11420" spans="1:24">
      <c r="A11420">
        <f>HYPERLINK("https://www.philgeps.gov.ph/GEPSNONPILOT/Tender/SplashBidNoticeAbstractUI.aspx?menuIndex=3&amp;refID=7054458&amp;Result=3","7054458")</f>
        <v>0</v>
      </c>
      <c r="B11420" t="s">
        <v>736</v>
      </c>
      <c r="C11420" t="s">
        <v>14315</v>
      </c>
      <c r="D11420" t="s">
        <v>17455</v>
      </c>
      <c r="E11420" t="s">
        <v>27280</v>
      </c>
      <c r="F11420" t="s">
        <v>30052</v>
      </c>
      <c r="G11420" t="s">
        <v>30058</v>
      </c>
      <c r="H11420" t="s">
        <v>30067</v>
      </c>
      <c r="I11420" t="s">
        <v>3693</v>
      </c>
      <c r="J11420" t="s">
        <v>31207</v>
      </c>
      <c r="K11420" t="s">
        <v>39022</v>
      </c>
      <c r="M11420" t="s">
        <v>40049</v>
      </c>
      <c r="N11420" t="s">
        <v>43166</v>
      </c>
      <c r="O11420" t="s">
        <v>43167</v>
      </c>
      <c r="P11420">
        <v>0</v>
      </c>
      <c r="Q11420">
        <v>1</v>
      </c>
      <c r="R11420" t="s">
        <v>43181</v>
      </c>
      <c r="S11420" t="s">
        <v>43729</v>
      </c>
      <c r="T11420" t="s">
        <v>44681</v>
      </c>
      <c r="U11420" t="s">
        <v>54295</v>
      </c>
      <c r="W11420" t="s">
        <v>40049</v>
      </c>
      <c r="X11420" t="s">
        <v>43186</v>
      </c>
    </row>
    <row r="11421" spans="1:24">
      <c r="A11421">
        <f>HYPERLINK("https://www.philgeps.gov.ph/GEPSNONPILOT/Tender/SplashBidNoticeAbstractUI.aspx?menuIndex=3&amp;refID=7056447&amp;Result=3","7056447")</f>
        <v>0</v>
      </c>
      <c r="B11421" t="s">
        <v>2376</v>
      </c>
      <c r="C11421" t="s">
        <v>14316</v>
      </c>
      <c r="D11421" t="s">
        <v>17466</v>
      </c>
      <c r="E11421" t="s">
        <v>27281</v>
      </c>
      <c r="F11421" t="s">
        <v>30052</v>
      </c>
      <c r="G11421" t="s">
        <v>30058</v>
      </c>
      <c r="H11421" t="s">
        <v>30067</v>
      </c>
      <c r="I11421" t="s">
        <v>3693</v>
      </c>
      <c r="J11421" t="s">
        <v>37178</v>
      </c>
      <c r="K11421" t="s">
        <v>39046</v>
      </c>
      <c r="M11421" t="s">
        <v>42712</v>
      </c>
      <c r="N11421" t="s">
        <v>43166</v>
      </c>
      <c r="O11421" t="s">
        <v>43167</v>
      </c>
      <c r="P11421">
        <v>0</v>
      </c>
      <c r="Q11421">
        <v>4</v>
      </c>
      <c r="R11421" t="s">
        <v>43181</v>
      </c>
      <c r="S11421" t="s">
        <v>43729</v>
      </c>
      <c r="T11421" t="s">
        <v>44724</v>
      </c>
      <c r="U11421" t="s">
        <v>54296</v>
      </c>
      <c r="W11421" t="s">
        <v>42712</v>
      </c>
      <c r="X11421" t="s">
        <v>43185</v>
      </c>
    </row>
    <row r="11422" spans="1:24">
      <c r="A11422">
        <f>HYPERLINK("https://www.philgeps.gov.ph/GEPSNONPILOT/Tender/SplashBidNoticeAbstractUI.aspx?menuIndex=3&amp;refID=7058131&amp;Result=3","7058131")</f>
        <v>0</v>
      </c>
      <c r="B11422" t="s">
        <v>1240</v>
      </c>
      <c r="C11422" t="s">
        <v>14317</v>
      </c>
      <c r="D11422" t="s">
        <v>17424</v>
      </c>
      <c r="E11422" t="s">
        <v>27282</v>
      </c>
      <c r="F11422" t="s">
        <v>30052</v>
      </c>
      <c r="G11422" t="s">
        <v>30058</v>
      </c>
      <c r="H11422" t="s">
        <v>15498</v>
      </c>
      <c r="I11422" t="s">
        <v>30088</v>
      </c>
      <c r="J11422" t="s">
        <v>37179</v>
      </c>
      <c r="K11422" t="s">
        <v>39025</v>
      </c>
      <c r="M11422" t="s">
        <v>40596</v>
      </c>
      <c r="N11422" t="s">
        <v>43166</v>
      </c>
      <c r="O11422" t="s">
        <v>43167</v>
      </c>
      <c r="Q11422">
        <v>19</v>
      </c>
      <c r="R11422" t="s">
        <v>43181</v>
      </c>
      <c r="S11422" t="s">
        <v>43734</v>
      </c>
      <c r="T11422" t="s">
        <v>44847</v>
      </c>
      <c r="U11422" t="s">
        <v>54297</v>
      </c>
      <c r="V11422" t="s">
        <v>58104</v>
      </c>
      <c r="W11422" t="s">
        <v>40596</v>
      </c>
      <c r="X11422" t="s">
        <v>43184</v>
      </c>
    </row>
    <row r="11423" spans="1:24">
      <c r="A11423">
        <f>HYPERLINK("https://www.philgeps.gov.ph/GEPSNONPILOT/Tender/SplashBidNoticeAbstractUI.aspx?menuIndex=3&amp;refID=7058093&amp;Result=3","7058093")</f>
        <v>0</v>
      </c>
      <c r="B11423" t="s">
        <v>1240</v>
      </c>
      <c r="C11423" t="s">
        <v>14318</v>
      </c>
      <c r="D11423" t="s">
        <v>17424</v>
      </c>
      <c r="E11423" t="s">
        <v>27283</v>
      </c>
      <c r="F11423" t="s">
        <v>30052</v>
      </c>
      <c r="G11423" t="s">
        <v>30058</v>
      </c>
      <c r="H11423" t="s">
        <v>15498</v>
      </c>
      <c r="I11423" t="s">
        <v>30088</v>
      </c>
      <c r="J11423" t="s">
        <v>30813</v>
      </c>
      <c r="K11423" t="s">
        <v>39025</v>
      </c>
      <c r="M11423" t="s">
        <v>40596</v>
      </c>
      <c r="N11423" t="s">
        <v>43166</v>
      </c>
      <c r="O11423" t="s">
        <v>43167</v>
      </c>
      <c r="Q11423">
        <v>26</v>
      </c>
      <c r="R11423" t="s">
        <v>43181</v>
      </c>
      <c r="S11423" t="s">
        <v>43339</v>
      </c>
      <c r="T11423" t="s">
        <v>44802</v>
      </c>
      <c r="U11423" t="s">
        <v>54298</v>
      </c>
      <c r="V11423" t="s">
        <v>58105</v>
      </c>
      <c r="W11423" t="s">
        <v>40596</v>
      </c>
      <c r="X11423" t="s">
        <v>43184</v>
      </c>
    </row>
    <row r="11424" spans="1:24">
      <c r="A11424">
        <f>HYPERLINK("https://www.philgeps.gov.ph/GEPSNONPILOT/Tender/SplashBidNoticeAbstractUI.aspx?menuIndex=3&amp;refID=7058050&amp;Result=3","7058050")</f>
        <v>0</v>
      </c>
      <c r="B11424" t="s">
        <v>3117</v>
      </c>
      <c r="C11424" t="s">
        <v>14319</v>
      </c>
      <c r="D11424" t="s">
        <v>17458</v>
      </c>
      <c r="E11424" t="s">
        <v>27284</v>
      </c>
      <c r="F11424" t="s">
        <v>30052</v>
      </c>
      <c r="G11424" t="s">
        <v>30058</v>
      </c>
      <c r="H11424" t="s">
        <v>15498</v>
      </c>
      <c r="I11424" t="s">
        <v>30072</v>
      </c>
      <c r="J11424" t="s">
        <v>37180</v>
      </c>
      <c r="K11424" t="s">
        <v>39025</v>
      </c>
      <c r="M11424" t="s">
        <v>42713</v>
      </c>
      <c r="N11424" t="s">
        <v>43166</v>
      </c>
      <c r="O11424" t="s">
        <v>43167</v>
      </c>
      <c r="P11424">
        <v>0</v>
      </c>
      <c r="Q11424">
        <v>5</v>
      </c>
      <c r="R11424" t="s">
        <v>43181</v>
      </c>
      <c r="S11424" t="s">
        <v>43729</v>
      </c>
      <c r="T11424" t="s">
        <v>44804</v>
      </c>
      <c r="U11424" t="s">
        <v>54299</v>
      </c>
      <c r="W11424" t="s">
        <v>42713</v>
      </c>
      <c r="X11424" t="s">
        <v>43185</v>
      </c>
    </row>
    <row r="11425" spans="1:24">
      <c r="A11425">
        <f>HYPERLINK("https://www.philgeps.gov.ph/GEPSNONPILOT/Tender/SplashBidNoticeAbstractUI.aspx?menuIndex=3&amp;refID=7057661&amp;Result=3","7057661")</f>
        <v>0</v>
      </c>
      <c r="B11425" t="s">
        <v>2098</v>
      </c>
      <c r="C11425" t="s">
        <v>14320</v>
      </c>
      <c r="D11425" t="s">
        <v>17414</v>
      </c>
      <c r="E11425" t="s">
        <v>27285</v>
      </c>
      <c r="F11425" t="s">
        <v>30052</v>
      </c>
      <c r="G11425" t="s">
        <v>30058</v>
      </c>
      <c r="H11425" t="s">
        <v>30067</v>
      </c>
      <c r="I11425" t="s">
        <v>3693</v>
      </c>
      <c r="J11425" t="s">
        <v>37181</v>
      </c>
      <c r="K11425" t="s">
        <v>39031</v>
      </c>
      <c r="M11425" t="s">
        <v>42002</v>
      </c>
      <c r="N11425" t="s">
        <v>43166</v>
      </c>
      <c r="O11425" t="s">
        <v>43167</v>
      </c>
      <c r="P11425">
        <v>0</v>
      </c>
      <c r="Q11425">
        <v>1</v>
      </c>
      <c r="R11425" t="s">
        <v>43181</v>
      </c>
      <c r="S11425" t="s">
        <v>43729</v>
      </c>
      <c r="T11425" t="s">
        <v>44754</v>
      </c>
      <c r="U11425" t="s">
        <v>54300</v>
      </c>
      <c r="W11425" t="s">
        <v>42002</v>
      </c>
      <c r="X11425" t="s">
        <v>43185</v>
      </c>
    </row>
    <row r="11426" spans="1:24">
      <c r="A11426">
        <f>HYPERLINK("https://www.philgeps.gov.ph/GEPSNONPILOT/Tender/SplashBidNoticeAbstractUI.aspx?menuIndex=3&amp;refID=7057557&amp;Result=3","7057557")</f>
        <v>0</v>
      </c>
      <c r="B11426" t="s">
        <v>2098</v>
      </c>
      <c r="C11426" t="s">
        <v>14321</v>
      </c>
      <c r="D11426" t="s">
        <v>17414</v>
      </c>
      <c r="E11426" t="s">
        <v>27286</v>
      </c>
      <c r="F11426" t="s">
        <v>30052</v>
      </c>
      <c r="G11426" t="s">
        <v>30058</v>
      </c>
      <c r="H11426" t="s">
        <v>30067</v>
      </c>
      <c r="I11426" t="s">
        <v>3693</v>
      </c>
      <c r="J11426" t="s">
        <v>35193</v>
      </c>
      <c r="K11426" t="s">
        <v>39026</v>
      </c>
      <c r="M11426" t="s">
        <v>42002</v>
      </c>
      <c r="N11426" t="s">
        <v>43166</v>
      </c>
      <c r="O11426" t="s">
        <v>43167</v>
      </c>
      <c r="P11426">
        <v>0</v>
      </c>
      <c r="Q11426">
        <v>6</v>
      </c>
      <c r="R11426" t="s">
        <v>43181</v>
      </c>
      <c r="S11426" t="s">
        <v>43729</v>
      </c>
      <c r="T11426" t="s">
        <v>44754</v>
      </c>
      <c r="U11426" t="s">
        <v>54301</v>
      </c>
      <c r="W11426" t="s">
        <v>42002</v>
      </c>
      <c r="X11426" t="s">
        <v>43185</v>
      </c>
    </row>
    <row r="11427" spans="1:24">
      <c r="A11427">
        <f>HYPERLINK("https://www.philgeps.gov.ph/GEPSNONPILOT/Tender/SplashBidNoticeAbstractUI.aspx?menuIndex=3&amp;refID=7058507&amp;Result=3","7058507")</f>
        <v>0</v>
      </c>
      <c r="B11427" t="s">
        <v>2098</v>
      </c>
      <c r="C11427" t="s">
        <v>14322</v>
      </c>
      <c r="D11427" t="s">
        <v>17414</v>
      </c>
      <c r="E11427" t="s">
        <v>27287</v>
      </c>
      <c r="F11427" t="s">
        <v>30052</v>
      </c>
      <c r="G11427" t="s">
        <v>30058</v>
      </c>
      <c r="H11427" t="s">
        <v>30067</v>
      </c>
      <c r="I11427" t="s">
        <v>3693</v>
      </c>
      <c r="J11427" t="s">
        <v>35535</v>
      </c>
      <c r="K11427" t="s">
        <v>39023</v>
      </c>
      <c r="M11427" t="s">
        <v>42002</v>
      </c>
      <c r="N11427" t="s">
        <v>43166</v>
      </c>
      <c r="O11427" t="s">
        <v>43167</v>
      </c>
      <c r="P11427">
        <v>0</v>
      </c>
      <c r="Q11427">
        <v>2</v>
      </c>
      <c r="R11427" t="s">
        <v>43181</v>
      </c>
      <c r="S11427" t="s">
        <v>43729</v>
      </c>
      <c r="T11427" t="s">
        <v>44754</v>
      </c>
      <c r="U11427" t="s">
        <v>54302</v>
      </c>
      <c r="W11427" t="s">
        <v>42002</v>
      </c>
      <c r="X11427" t="s">
        <v>43184</v>
      </c>
    </row>
    <row r="11428" spans="1:24">
      <c r="A11428">
        <f>HYPERLINK("https://www.philgeps.gov.ph/GEPSNONPILOT/Tender/SplashBidNoticeAbstractUI.aspx?menuIndex=3&amp;refID=7059026&amp;Result=3","7059026")</f>
        <v>0</v>
      </c>
      <c r="B11428" t="s">
        <v>1192</v>
      </c>
      <c r="C11428" t="s">
        <v>14323</v>
      </c>
      <c r="D11428" t="s">
        <v>17415</v>
      </c>
      <c r="E11428" t="s">
        <v>27288</v>
      </c>
      <c r="F11428" t="s">
        <v>30052</v>
      </c>
      <c r="G11428" t="s">
        <v>30058</v>
      </c>
      <c r="H11428" t="s">
        <v>15498</v>
      </c>
      <c r="I11428" t="s">
        <v>30157</v>
      </c>
      <c r="J11428" t="s">
        <v>37182</v>
      </c>
      <c r="K11428" t="s">
        <v>39017</v>
      </c>
      <c r="M11428" t="s">
        <v>42714</v>
      </c>
      <c r="N11428" t="s">
        <v>43166</v>
      </c>
      <c r="O11428" t="s">
        <v>43167</v>
      </c>
      <c r="P11428">
        <v>0</v>
      </c>
      <c r="Q11428">
        <v>9</v>
      </c>
      <c r="R11428" t="s">
        <v>43181</v>
      </c>
      <c r="S11428" t="s">
        <v>43729</v>
      </c>
      <c r="T11428" t="s">
        <v>44839</v>
      </c>
      <c r="U11428" t="s">
        <v>54303</v>
      </c>
      <c r="W11428" t="s">
        <v>42714</v>
      </c>
      <c r="X11428" t="s">
        <v>43182</v>
      </c>
    </row>
    <row r="11429" spans="1:24">
      <c r="A11429">
        <f>HYPERLINK("https://www.philgeps.gov.ph/GEPSNONPILOT/Tender/SplashBidNoticeAbstractUI.aspx?menuIndex=3&amp;refID=7058170&amp;Result=3","7058170")</f>
        <v>0</v>
      </c>
      <c r="B11429" t="s">
        <v>3116</v>
      </c>
      <c r="C11429" t="s">
        <v>14324</v>
      </c>
      <c r="D11429" t="s">
        <v>17440</v>
      </c>
      <c r="E11429" t="s">
        <v>27289</v>
      </c>
      <c r="F11429" t="s">
        <v>30052</v>
      </c>
      <c r="G11429" t="s">
        <v>30058</v>
      </c>
      <c r="H11429" t="s">
        <v>15498</v>
      </c>
      <c r="I11429" t="s">
        <v>30084</v>
      </c>
      <c r="J11429" t="s">
        <v>37183</v>
      </c>
      <c r="K11429" t="s">
        <v>39031</v>
      </c>
      <c r="M11429" t="s">
        <v>42711</v>
      </c>
      <c r="N11429" t="s">
        <v>43166</v>
      </c>
      <c r="O11429" t="s">
        <v>43167</v>
      </c>
      <c r="P11429">
        <v>0</v>
      </c>
      <c r="Q11429">
        <v>17</v>
      </c>
      <c r="R11429" t="s">
        <v>43181</v>
      </c>
      <c r="S11429" t="s">
        <v>43729</v>
      </c>
      <c r="T11429" t="s">
        <v>44704</v>
      </c>
      <c r="U11429" t="s">
        <v>54293</v>
      </c>
      <c r="W11429" t="s">
        <v>42711</v>
      </c>
      <c r="X11429" t="s">
        <v>43184</v>
      </c>
    </row>
    <row r="11430" spans="1:24">
      <c r="A11430">
        <f>HYPERLINK("https://www.philgeps.gov.ph/GEPSNONPILOT/Tender/SplashBidNoticeAbstractUI.aspx?menuIndex=3&amp;refID=7059022&amp;Result=3","7059022")</f>
        <v>0</v>
      </c>
      <c r="B11430" t="s">
        <v>3118</v>
      </c>
      <c r="C11430" t="s">
        <v>14325</v>
      </c>
      <c r="D11430" t="s">
        <v>17448</v>
      </c>
      <c r="E11430" t="s">
        <v>27290</v>
      </c>
      <c r="F11430" t="s">
        <v>30052</v>
      </c>
      <c r="G11430" t="s">
        <v>30058</v>
      </c>
      <c r="H11430" t="s">
        <v>30067</v>
      </c>
      <c r="I11430" t="s">
        <v>3736</v>
      </c>
      <c r="J11430" t="s">
        <v>30281</v>
      </c>
      <c r="K11430" t="s">
        <v>39026</v>
      </c>
      <c r="M11430" t="s">
        <v>42715</v>
      </c>
      <c r="N11430" t="s">
        <v>43166</v>
      </c>
      <c r="O11430" t="s">
        <v>43167</v>
      </c>
      <c r="P11430">
        <v>0</v>
      </c>
      <c r="Q11430">
        <v>1</v>
      </c>
      <c r="R11430" t="s">
        <v>43181</v>
      </c>
      <c r="S11430" t="s">
        <v>43729</v>
      </c>
      <c r="T11430" t="s">
        <v>44837</v>
      </c>
      <c r="U11430" t="s">
        <v>54304</v>
      </c>
      <c r="V11430" t="s">
        <v>49915</v>
      </c>
      <c r="W11430" t="s">
        <v>42715</v>
      </c>
      <c r="X11430" t="s">
        <v>43182</v>
      </c>
    </row>
    <row r="11431" spans="1:24">
      <c r="A11431">
        <f>HYPERLINK("https://www.philgeps.gov.ph/GEPSNONPILOT/Tender/SplashBidNoticeAbstractUI.aspx?menuIndex=3&amp;refID=7059000&amp;Result=3","7059000")</f>
        <v>0</v>
      </c>
      <c r="B11431" t="s">
        <v>3119</v>
      </c>
      <c r="C11431" t="s">
        <v>14326</v>
      </c>
      <c r="D11431" t="s">
        <v>17419</v>
      </c>
      <c r="E11431" t="s">
        <v>18384</v>
      </c>
      <c r="F11431" t="s">
        <v>30052</v>
      </c>
      <c r="G11431" t="s">
        <v>30058</v>
      </c>
      <c r="H11431" t="s">
        <v>15498</v>
      </c>
      <c r="I11431" t="s">
        <v>4642</v>
      </c>
      <c r="J11431" t="s">
        <v>37184</v>
      </c>
      <c r="K11431" t="s">
        <v>39025</v>
      </c>
      <c r="M11431" t="s">
        <v>42716</v>
      </c>
      <c r="N11431" t="s">
        <v>43166</v>
      </c>
      <c r="O11431" t="s">
        <v>43167</v>
      </c>
      <c r="P11431">
        <v>0</v>
      </c>
      <c r="Q11431">
        <v>2</v>
      </c>
      <c r="R11431" t="s">
        <v>43181</v>
      </c>
      <c r="S11431" t="s">
        <v>43729</v>
      </c>
      <c r="T11431" t="s">
        <v>44763</v>
      </c>
      <c r="U11431" t="s">
        <v>54305</v>
      </c>
      <c r="W11431" t="s">
        <v>42716</v>
      </c>
      <c r="X11431" t="s">
        <v>43182</v>
      </c>
    </row>
    <row r="11432" spans="1:24">
      <c r="A11432">
        <f>HYPERLINK("https://www.philgeps.gov.ph/GEPSNONPILOT/Tender/SplashBidNoticeAbstractUI.aspx?menuIndex=3&amp;refID=7057884&amp;Result=3","7057884")</f>
        <v>0</v>
      </c>
      <c r="B11432" t="s">
        <v>3120</v>
      </c>
      <c r="C11432" t="s">
        <v>14327</v>
      </c>
      <c r="D11432" t="s">
        <v>17449</v>
      </c>
      <c r="E11432" t="s">
        <v>20103</v>
      </c>
      <c r="F11432" t="s">
        <v>30052</v>
      </c>
      <c r="G11432" t="s">
        <v>30058</v>
      </c>
      <c r="H11432" t="s">
        <v>15498</v>
      </c>
      <c r="I11432" t="s">
        <v>3852</v>
      </c>
      <c r="J11432" t="s">
        <v>30207</v>
      </c>
      <c r="K11432" t="s">
        <v>39036</v>
      </c>
      <c r="L11432" t="s">
        <v>3120</v>
      </c>
      <c r="M11432" t="s">
        <v>42717</v>
      </c>
      <c r="N11432" t="s">
        <v>43166</v>
      </c>
      <c r="O11432" t="s">
        <v>43167</v>
      </c>
      <c r="P11432">
        <v>0</v>
      </c>
      <c r="Q11432">
        <v>2</v>
      </c>
      <c r="R11432" t="s">
        <v>43181</v>
      </c>
      <c r="S11432" t="s">
        <v>43729</v>
      </c>
      <c r="T11432" t="s">
        <v>44681</v>
      </c>
      <c r="U11432" t="s">
        <v>54306</v>
      </c>
      <c r="W11432" t="s">
        <v>42717</v>
      </c>
      <c r="X11432" t="s">
        <v>43185</v>
      </c>
    </row>
    <row r="11433" spans="1:24">
      <c r="A11433">
        <f>HYPERLINK("https://www.philgeps.gov.ph/GEPSNONPILOT/Tender/SplashBidNoticeAbstractUI.aspx?menuIndex=3&amp;refID=7058969&amp;Result=3","7058969")</f>
        <v>0</v>
      </c>
      <c r="B11433" t="s">
        <v>3121</v>
      </c>
      <c r="C11433" t="s">
        <v>14328</v>
      </c>
      <c r="D11433" t="s">
        <v>17464</v>
      </c>
      <c r="E11433" t="s">
        <v>27291</v>
      </c>
      <c r="F11433" t="s">
        <v>30052</v>
      </c>
      <c r="G11433" t="s">
        <v>30058</v>
      </c>
      <c r="H11433" t="s">
        <v>15498</v>
      </c>
      <c r="I11433" t="s">
        <v>30097</v>
      </c>
      <c r="J11433" t="s">
        <v>31071</v>
      </c>
      <c r="K11433" t="s">
        <v>39019</v>
      </c>
      <c r="M11433" t="s">
        <v>42718</v>
      </c>
      <c r="N11433" t="s">
        <v>43166</v>
      </c>
      <c r="O11433" t="s">
        <v>43167</v>
      </c>
      <c r="Q11433">
        <v>11</v>
      </c>
      <c r="R11433" t="s">
        <v>43181</v>
      </c>
      <c r="S11433" t="s">
        <v>43735</v>
      </c>
      <c r="T11433" t="s">
        <v>44681</v>
      </c>
      <c r="U11433" t="s">
        <v>54307</v>
      </c>
      <c r="W11433" t="s">
        <v>42718</v>
      </c>
      <c r="X11433" t="s">
        <v>43182</v>
      </c>
    </row>
    <row r="11434" spans="1:24">
      <c r="A11434">
        <f>HYPERLINK("https://www.philgeps.gov.ph/GEPSNONPILOT/Tender/SplashBidNoticeAbstractUI.aspx?menuIndex=3&amp;refID=7058924&amp;Result=3","7058924")</f>
        <v>0</v>
      </c>
      <c r="B11434" t="s">
        <v>3122</v>
      </c>
      <c r="C11434" t="s">
        <v>14329</v>
      </c>
      <c r="D11434" t="s">
        <v>17452</v>
      </c>
      <c r="E11434" t="s">
        <v>27292</v>
      </c>
      <c r="F11434" t="s">
        <v>30052</v>
      </c>
      <c r="G11434" t="s">
        <v>30058</v>
      </c>
      <c r="H11434" t="s">
        <v>15498</v>
      </c>
      <c r="I11434" t="s">
        <v>30124</v>
      </c>
      <c r="J11434" t="s">
        <v>34613</v>
      </c>
      <c r="K11434" t="s">
        <v>39034</v>
      </c>
      <c r="M11434" t="s">
        <v>42719</v>
      </c>
      <c r="N11434" t="s">
        <v>43166</v>
      </c>
      <c r="O11434" t="s">
        <v>43167</v>
      </c>
      <c r="P11434">
        <v>0</v>
      </c>
      <c r="Q11434">
        <v>5</v>
      </c>
      <c r="R11434" t="s">
        <v>43181</v>
      </c>
      <c r="S11434" t="s">
        <v>43729</v>
      </c>
      <c r="T11434" t="s">
        <v>44733</v>
      </c>
      <c r="U11434" t="s">
        <v>54308</v>
      </c>
      <c r="V11434" t="s">
        <v>58106</v>
      </c>
      <c r="W11434" t="s">
        <v>42719</v>
      </c>
      <c r="X11434" t="s">
        <v>43183</v>
      </c>
    </row>
    <row r="11435" spans="1:24">
      <c r="A11435">
        <f>HYPERLINK("https://www.philgeps.gov.ph/GEPSNONPILOT/Tender/SplashBidNoticeAbstractUI.aspx?menuIndex=3&amp;refID=7058886&amp;Result=3","7058886")</f>
        <v>0</v>
      </c>
      <c r="B11435" t="s">
        <v>1004</v>
      </c>
      <c r="C11435" t="s">
        <v>14330</v>
      </c>
      <c r="D11435" t="s">
        <v>17454</v>
      </c>
      <c r="E11435" t="s">
        <v>27293</v>
      </c>
      <c r="F11435" t="s">
        <v>30052</v>
      </c>
      <c r="G11435" t="s">
        <v>30058</v>
      </c>
      <c r="H11435" t="s">
        <v>15498</v>
      </c>
      <c r="I11435" t="s">
        <v>30170</v>
      </c>
      <c r="J11435" t="s">
        <v>30555</v>
      </c>
      <c r="K11435" t="s">
        <v>39029</v>
      </c>
      <c r="M11435" t="s">
        <v>42136</v>
      </c>
      <c r="N11435" t="s">
        <v>43166</v>
      </c>
      <c r="O11435" t="s">
        <v>43167</v>
      </c>
      <c r="Q11435">
        <v>3</v>
      </c>
      <c r="R11435" t="s">
        <v>43181</v>
      </c>
      <c r="S11435" t="s">
        <v>43736</v>
      </c>
      <c r="T11435" t="s">
        <v>44763</v>
      </c>
      <c r="U11435" t="s">
        <v>54309</v>
      </c>
      <c r="W11435" t="s">
        <v>42136</v>
      </c>
      <c r="X11435" t="s">
        <v>43183</v>
      </c>
    </row>
    <row r="11436" spans="1:24">
      <c r="A11436">
        <f>HYPERLINK("https://www.philgeps.gov.ph/GEPSNONPILOT/Tender/SplashBidNoticeAbstractUI.aspx?menuIndex=3&amp;refID=7059035&amp;Result=3","7059035")</f>
        <v>0</v>
      </c>
      <c r="B11436" t="s">
        <v>1300</v>
      </c>
      <c r="C11436" t="s">
        <v>14331</v>
      </c>
      <c r="D11436" t="s">
        <v>17501</v>
      </c>
      <c r="E11436" t="s">
        <v>27294</v>
      </c>
      <c r="F11436" t="s">
        <v>30052</v>
      </c>
      <c r="G11436" t="s">
        <v>30058</v>
      </c>
      <c r="H11436" t="s">
        <v>30067</v>
      </c>
      <c r="I11436" t="s">
        <v>3736</v>
      </c>
      <c r="J11436" t="s">
        <v>37185</v>
      </c>
      <c r="K11436" t="s">
        <v>39031</v>
      </c>
      <c r="M11436" t="s">
        <v>40666</v>
      </c>
      <c r="N11436" t="s">
        <v>43166</v>
      </c>
      <c r="O11436" t="s">
        <v>43167</v>
      </c>
      <c r="P11436">
        <v>0</v>
      </c>
      <c r="Q11436">
        <v>5</v>
      </c>
      <c r="R11436" t="s">
        <v>43181</v>
      </c>
      <c r="S11436" t="s">
        <v>43729</v>
      </c>
      <c r="T11436" t="s">
        <v>44780</v>
      </c>
      <c r="U11436" t="s">
        <v>48064</v>
      </c>
      <c r="V11436" t="s">
        <v>57230</v>
      </c>
      <c r="W11436" t="s">
        <v>40666</v>
      </c>
      <c r="X11436" t="s">
        <v>43182</v>
      </c>
    </row>
    <row r="11437" spans="1:24">
      <c r="A11437">
        <f>HYPERLINK("https://www.philgeps.gov.ph/GEPSNONPILOT/Tender/SplashBidNoticeAbstractUI.aspx?menuIndex=3&amp;refID=7058822&amp;Result=3","7058822")</f>
        <v>0</v>
      </c>
      <c r="B11437" t="s">
        <v>767</v>
      </c>
      <c r="C11437" t="s">
        <v>14332</v>
      </c>
      <c r="D11437" t="s">
        <v>17487</v>
      </c>
      <c r="E11437" t="s">
        <v>27295</v>
      </c>
      <c r="F11437" t="s">
        <v>30052</v>
      </c>
      <c r="G11437" t="s">
        <v>30058</v>
      </c>
      <c r="H11437" t="s">
        <v>30067</v>
      </c>
      <c r="I11437" t="s">
        <v>3693</v>
      </c>
      <c r="J11437" t="s">
        <v>37186</v>
      </c>
      <c r="K11437" t="s">
        <v>39022</v>
      </c>
      <c r="M11437" t="s">
        <v>40081</v>
      </c>
      <c r="N11437" t="s">
        <v>43166</v>
      </c>
      <c r="O11437" t="s">
        <v>43167</v>
      </c>
      <c r="P11437">
        <v>0</v>
      </c>
      <c r="Q11437">
        <v>0</v>
      </c>
      <c r="R11437" t="s">
        <v>43181</v>
      </c>
      <c r="S11437" t="s">
        <v>43729</v>
      </c>
      <c r="T11437" t="s">
        <v>44754</v>
      </c>
      <c r="U11437" t="s">
        <v>54310</v>
      </c>
      <c r="V11437" t="s">
        <v>57027</v>
      </c>
      <c r="W11437" t="s">
        <v>40081</v>
      </c>
      <c r="X11437" t="s">
        <v>43183</v>
      </c>
    </row>
    <row r="11438" spans="1:24">
      <c r="A11438">
        <f>HYPERLINK("https://www.philgeps.gov.ph/GEPSNONPILOT/Tender/SplashBidNoticeAbstractUI.aspx?menuIndex=3&amp;refID=7058787&amp;Result=3","7058787")</f>
        <v>0</v>
      </c>
      <c r="B11438" t="s">
        <v>767</v>
      </c>
      <c r="C11438" t="s">
        <v>14333</v>
      </c>
      <c r="D11438" t="s">
        <v>17487</v>
      </c>
      <c r="E11438" t="s">
        <v>27296</v>
      </c>
      <c r="F11438" t="s">
        <v>30052</v>
      </c>
      <c r="G11438" t="s">
        <v>30058</v>
      </c>
      <c r="H11438" t="s">
        <v>30067</v>
      </c>
      <c r="I11438" t="s">
        <v>3693</v>
      </c>
      <c r="J11438" t="s">
        <v>37187</v>
      </c>
      <c r="K11438" t="s">
        <v>39202</v>
      </c>
      <c r="M11438" t="s">
        <v>40081</v>
      </c>
      <c r="N11438" t="s">
        <v>43166</v>
      </c>
      <c r="O11438" t="s">
        <v>43167</v>
      </c>
      <c r="P11438">
        <v>0</v>
      </c>
      <c r="Q11438">
        <v>2</v>
      </c>
      <c r="R11438" t="s">
        <v>43181</v>
      </c>
      <c r="S11438" t="s">
        <v>43729</v>
      </c>
      <c r="T11438" t="s">
        <v>44754</v>
      </c>
      <c r="U11438" t="s">
        <v>54311</v>
      </c>
      <c r="V11438" t="s">
        <v>57027</v>
      </c>
      <c r="W11438" t="s">
        <v>40081</v>
      </c>
      <c r="X11438" t="s">
        <v>43183</v>
      </c>
    </row>
    <row r="11439" spans="1:24">
      <c r="A11439">
        <f>HYPERLINK("https://www.philgeps.gov.ph/GEPSNONPILOT/Tender/SplashBidNoticeAbstractUI.aspx?menuIndex=3&amp;refID=7058979&amp;Result=3","7058979")</f>
        <v>0</v>
      </c>
      <c r="B11439" t="s">
        <v>2872</v>
      </c>
      <c r="C11439" t="s">
        <v>14334</v>
      </c>
      <c r="D11439" t="s">
        <v>17424</v>
      </c>
      <c r="E11439" t="s">
        <v>27297</v>
      </c>
      <c r="F11439" t="s">
        <v>30052</v>
      </c>
      <c r="G11439" t="s">
        <v>30058</v>
      </c>
      <c r="H11439" t="s">
        <v>30067</v>
      </c>
      <c r="I11439" t="s">
        <v>3693</v>
      </c>
      <c r="J11439" t="s">
        <v>37188</v>
      </c>
      <c r="K11439" t="s">
        <v>39026</v>
      </c>
      <c r="M11439" t="s">
        <v>42720</v>
      </c>
      <c r="N11439" t="s">
        <v>43166</v>
      </c>
      <c r="O11439" t="s">
        <v>43167</v>
      </c>
      <c r="P11439">
        <v>0</v>
      </c>
      <c r="Q11439">
        <v>14</v>
      </c>
      <c r="R11439" t="s">
        <v>43181</v>
      </c>
      <c r="S11439" t="s">
        <v>43729</v>
      </c>
      <c r="T11439" t="s">
        <v>44956</v>
      </c>
      <c r="U11439" t="s">
        <v>54312</v>
      </c>
      <c r="W11439" t="s">
        <v>42720</v>
      </c>
      <c r="X11439" t="s">
        <v>43182</v>
      </c>
    </row>
    <row r="11440" spans="1:24">
      <c r="A11440">
        <f>HYPERLINK("https://www.philgeps.gov.ph/GEPSNONPILOT/Tender/SplashBidNoticeAbstractUI.aspx?menuIndex=3&amp;refID=7059015&amp;Result=3","7059015")</f>
        <v>0</v>
      </c>
      <c r="B11440" t="s">
        <v>3121</v>
      </c>
      <c r="C11440" t="s">
        <v>14335</v>
      </c>
      <c r="D11440" t="s">
        <v>17464</v>
      </c>
      <c r="E11440" t="s">
        <v>27298</v>
      </c>
      <c r="F11440" t="s">
        <v>30052</v>
      </c>
      <c r="G11440" t="s">
        <v>30058</v>
      </c>
      <c r="H11440" t="s">
        <v>15498</v>
      </c>
      <c r="I11440" t="s">
        <v>30097</v>
      </c>
      <c r="J11440" t="s">
        <v>35206</v>
      </c>
      <c r="K11440" t="s">
        <v>39019</v>
      </c>
      <c r="M11440" t="s">
        <v>42718</v>
      </c>
      <c r="N11440" t="s">
        <v>43166</v>
      </c>
      <c r="O11440" t="s">
        <v>43167</v>
      </c>
      <c r="P11440">
        <v>0</v>
      </c>
      <c r="Q11440">
        <v>8</v>
      </c>
      <c r="R11440" t="s">
        <v>43181</v>
      </c>
      <c r="S11440" t="s">
        <v>43729</v>
      </c>
      <c r="T11440" t="s">
        <v>44818</v>
      </c>
      <c r="U11440" t="s">
        <v>54313</v>
      </c>
      <c r="W11440" t="s">
        <v>42718</v>
      </c>
      <c r="X11440" t="s">
        <v>43182</v>
      </c>
    </row>
    <row r="11441" spans="1:24">
      <c r="A11441">
        <f>HYPERLINK("https://www.philgeps.gov.ph/GEPSNONPILOT/Tender/SplashBidNoticeAbstractUI.aspx?menuIndex=3&amp;refID=7058777&amp;Result=3","7058777")</f>
        <v>0</v>
      </c>
      <c r="B11441" t="s">
        <v>767</v>
      </c>
      <c r="C11441" t="s">
        <v>14336</v>
      </c>
      <c r="D11441" t="s">
        <v>17487</v>
      </c>
      <c r="E11441" t="s">
        <v>27299</v>
      </c>
      <c r="F11441" t="s">
        <v>30052</v>
      </c>
      <c r="G11441" t="s">
        <v>30058</v>
      </c>
      <c r="H11441" t="s">
        <v>30067</v>
      </c>
      <c r="I11441" t="s">
        <v>3693</v>
      </c>
      <c r="J11441" t="s">
        <v>37189</v>
      </c>
      <c r="K11441" t="s">
        <v>39097</v>
      </c>
      <c r="M11441" t="s">
        <v>40081</v>
      </c>
      <c r="N11441" t="s">
        <v>43166</v>
      </c>
      <c r="O11441" t="s">
        <v>43167</v>
      </c>
      <c r="P11441">
        <v>0</v>
      </c>
      <c r="Q11441">
        <v>1</v>
      </c>
      <c r="R11441" t="s">
        <v>43181</v>
      </c>
      <c r="S11441" t="s">
        <v>43729</v>
      </c>
      <c r="T11441" t="s">
        <v>44754</v>
      </c>
      <c r="U11441" t="s">
        <v>54314</v>
      </c>
      <c r="V11441" t="s">
        <v>57027</v>
      </c>
      <c r="W11441" t="s">
        <v>40081</v>
      </c>
      <c r="X11441" t="s">
        <v>43183</v>
      </c>
    </row>
    <row r="11442" spans="1:24">
      <c r="A11442">
        <f>HYPERLINK("https://www.philgeps.gov.ph/GEPSNONPILOT/Tender/SplashBidNoticeAbstractUI.aspx?menuIndex=3&amp;refID=7058764&amp;Result=3","7058764")</f>
        <v>0</v>
      </c>
      <c r="B11442" t="s">
        <v>767</v>
      </c>
      <c r="C11442" t="s">
        <v>14337</v>
      </c>
      <c r="D11442" t="s">
        <v>17487</v>
      </c>
      <c r="E11442" t="s">
        <v>27300</v>
      </c>
      <c r="F11442" t="s">
        <v>30052</v>
      </c>
      <c r="G11442" t="s">
        <v>30058</v>
      </c>
      <c r="H11442" t="s">
        <v>30067</v>
      </c>
      <c r="I11442" t="s">
        <v>3693</v>
      </c>
      <c r="J11442" t="s">
        <v>37190</v>
      </c>
      <c r="K11442" t="s">
        <v>39258</v>
      </c>
      <c r="M11442" t="s">
        <v>40081</v>
      </c>
      <c r="N11442" t="s">
        <v>43166</v>
      </c>
      <c r="O11442" t="s">
        <v>43167</v>
      </c>
      <c r="P11442">
        <v>0</v>
      </c>
      <c r="Q11442">
        <v>2</v>
      </c>
      <c r="R11442" t="s">
        <v>43181</v>
      </c>
      <c r="S11442" t="s">
        <v>43729</v>
      </c>
      <c r="T11442" t="s">
        <v>44754</v>
      </c>
      <c r="U11442" t="s">
        <v>54315</v>
      </c>
      <c r="V11442" t="s">
        <v>57027</v>
      </c>
      <c r="W11442" t="s">
        <v>40081</v>
      </c>
      <c r="X11442" t="s">
        <v>43183</v>
      </c>
    </row>
    <row r="11443" spans="1:24">
      <c r="A11443">
        <f>HYPERLINK("https://www.philgeps.gov.ph/GEPSNONPILOT/Tender/SplashBidNoticeAbstractUI.aspx?menuIndex=3&amp;refID=7059188&amp;Result=3","7059188")</f>
        <v>0</v>
      </c>
      <c r="B11443" t="s">
        <v>2316</v>
      </c>
      <c r="C11443" t="s">
        <v>14338</v>
      </c>
      <c r="D11443" t="s">
        <v>17445</v>
      </c>
      <c r="E11443" t="s">
        <v>27301</v>
      </c>
      <c r="F11443" t="s">
        <v>30052</v>
      </c>
      <c r="G11443" t="s">
        <v>30058</v>
      </c>
      <c r="H11443" t="s">
        <v>30067</v>
      </c>
      <c r="I11443" t="s">
        <v>3693</v>
      </c>
      <c r="J11443" t="s">
        <v>37191</v>
      </c>
      <c r="K11443" t="s">
        <v>39198</v>
      </c>
      <c r="M11443" t="s">
        <v>41802</v>
      </c>
      <c r="N11443" t="s">
        <v>43166</v>
      </c>
      <c r="O11443" t="s">
        <v>43167</v>
      </c>
      <c r="P11443">
        <v>0</v>
      </c>
      <c r="Q11443">
        <v>4</v>
      </c>
      <c r="R11443" t="s">
        <v>43181</v>
      </c>
      <c r="S11443" t="s">
        <v>43729</v>
      </c>
      <c r="T11443" t="s">
        <v>44750</v>
      </c>
      <c r="U11443" t="s">
        <v>54316</v>
      </c>
      <c r="V11443" t="s">
        <v>57593</v>
      </c>
      <c r="W11443" t="s">
        <v>41802</v>
      </c>
      <c r="X11443" t="s">
        <v>43182</v>
      </c>
    </row>
    <row r="11444" spans="1:24">
      <c r="A11444">
        <f>HYPERLINK("https://www.philgeps.gov.ph/GEPSNONPILOT/Tender/SplashBidNoticeAbstractUI.aspx?menuIndex=3&amp;refID=7058838&amp;Result=3","7058838")</f>
        <v>0</v>
      </c>
      <c r="B11444" t="s">
        <v>767</v>
      </c>
      <c r="C11444" t="s">
        <v>14339</v>
      </c>
      <c r="D11444" t="s">
        <v>17487</v>
      </c>
      <c r="E11444" t="s">
        <v>27302</v>
      </c>
      <c r="F11444" t="s">
        <v>30052</v>
      </c>
      <c r="G11444" t="s">
        <v>30058</v>
      </c>
      <c r="H11444" t="s">
        <v>30067</v>
      </c>
      <c r="I11444" t="s">
        <v>3693</v>
      </c>
      <c r="J11444" t="s">
        <v>37192</v>
      </c>
      <c r="K11444" t="s">
        <v>39082</v>
      </c>
      <c r="M11444" t="s">
        <v>40081</v>
      </c>
      <c r="N11444" t="s">
        <v>43166</v>
      </c>
      <c r="O11444" t="s">
        <v>43167</v>
      </c>
      <c r="Q11444">
        <v>2</v>
      </c>
      <c r="R11444" t="s">
        <v>43181</v>
      </c>
      <c r="S11444" t="s">
        <v>43737</v>
      </c>
      <c r="T11444" t="s">
        <v>44754</v>
      </c>
      <c r="U11444" t="s">
        <v>54317</v>
      </c>
      <c r="V11444" t="s">
        <v>57027</v>
      </c>
      <c r="W11444" t="s">
        <v>40081</v>
      </c>
      <c r="X11444" t="s">
        <v>43183</v>
      </c>
    </row>
    <row r="11445" spans="1:24">
      <c r="A11445">
        <f>HYPERLINK("https://www.philgeps.gov.ph/GEPSNONPILOT/Tender/SplashBidNoticeAbstractUI.aspx?menuIndex=3&amp;refID=7058804&amp;Result=3","7058804")</f>
        <v>0</v>
      </c>
      <c r="B11445" t="s">
        <v>767</v>
      </c>
      <c r="C11445" t="s">
        <v>14340</v>
      </c>
      <c r="D11445" t="s">
        <v>17487</v>
      </c>
      <c r="E11445" t="s">
        <v>27303</v>
      </c>
      <c r="F11445" t="s">
        <v>30052</v>
      </c>
      <c r="G11445" t="s">
        <v>30058</v>
      </c>
      <c r="H11445" t="s">
        <v>30067</v>
      </c>
      <c r="I11445" t="s">
        <v>3693</v>
      </c>
      <c r="J11445" t="s">
        <v>37193</v>
      </c>
      <c r="K11445" t="s">
        <v>39022</v>
      </c>
      <c r="M11445" t="s">
        <v>40081</v>
      </c>
      <c r="N11445" t="s">
        <v>43166</v>
      </c>
      <c r="O11445" t="s">
        <v>43167</v>
      </c>
      <c r="P11445">
        <v>0</v>
      </c>
      <c r="Q11445">
        <v>1</v>
      </c>
      <c r="R11445" t="s">
        <v>43181</v>
      </c>
      <c r="S11445" t="s">
        <v>43729</v>
      </c>
      <c r="T11445" t="s">
        <v>44754</v>
      </c>
      <c r="U11445" t="s">
        <v>54318</v>
      </c>
      <c r="V11445" t="s">
        <v>57027</v>
      </c>
      <c r="W11445" t="s">
        <v>40081</v>
      </c>
      <c r="X11445" t="s">
        <v>43183</v>
      </c>
    </row>
    <row r="11446" spans="1:24">
      <c r="A11446">
        <f>HYPERLINK("https://www.philgeps.gov.ph/GEPSNONPILOT/Tender/SplashBidNoticeAbstractUI.aspx?menuIndex=3&amp;refID=7059184&amp;Result=3","7059184")</f>
        <v>0</v>
      </c>
      <c r="B11446" t="s">
        <v>1690</v>
      </c>
      <c r="C11446" t="s">
        <v>14341</v>
      </c>
      <c r="D11446" t="s">
        <v>17454</v>
      </c>
      <c r="E11446" t="s">
        <v>27304</v>
      </c>
      <c r="F11446" t="s">
        <v>30052</v>
      </c>
      <c r="G11446" t="s">
        <v>30058</v>
      </c>
      <c r="H11446" t="s">
        <v>30067</v>
      </c>
      <c r="I11446" t="s">
        <v>3693</v>
      </c>
      <c r="J11446" t="s">
        <v>37194</v>
      </c>
      <c r="K11446" t="s">
        <v>39023</v>
      </c>
      <c r="M11446" t="s">
        <v>41252</v>
      </c>
      <c r="N11446" t="s">
        <v>43166</v>
      </c>
      <c r="O11446" t="s">
        <v>43167</v>
      </c>
      <c r="P11446">
        <v>0</v>
      </c>
      <c r="Q11446">
        <v>0</v>
      </c>
      <c r="R11446" t="s">
        <v>43181</v>
      </c>
      <c r="S11446" t="s">
        <v>43729</v>
      </c>
      <c r="T11446" t="s">
        <v>44699</v>
      </c>
      <c r="U11446" t="s">
        <v>49540</v>
      </c>
      <c r="W11446" t="s">
        <v>41252</v>
      </c>
      <c r="X11446" t="s">
        <v>43182</v>
      </c>
    </row>
    <row r="11447" spans="1:24">
      <c r="A11447">
        <f>HYPERLINK("https://www.philgeps.gov.ph/GEPSNONPILOT/Tender/SplashBidNoticeAbstractUI.aspx?menuIndex=3&amp;refID=7059102&amp;Result=3","7059102")</f>
        <v>0</v>
      </c>
      <c r="B11447" t="s">
        <v>53</v>
      </c>
      <c r="C11447" t="s">
        <v>14342</v>
      </c>
      <c r="D11447" t="s">
        <v>17436</v>
      </c>
      <c r="E11447" t="s">
        <v>27305</v>
      </c>
      <c r="F11447" t="s">
        <v>30052</v>
      </c>
      <c r="G11447" t="s">
        <v>30058</v>
      </c>
      <c r="H11447" t="s">
        <v>15498</v>
      </c>
      <c r="I11447" t="s">
        <v>30081</v>
      </c>
      <c r="J11447" t="s">
        <v>37195</v>
      </c>
      <c r="K11447" t="s">
        <v>39026</v>
      </c>
      <c r="M11447" t="s">
        <v>39342</v>
      </c>
      <c r="N11447" t="s">
        <v>43166</v>
      </c>
      <c r="O11447" t="s">
        <v>43167</v>
      </c>
      <c r="P11447">
        <v>0</v>
      </c>
      <c r="Q11447">
        <v>2</v>
      </c>
      <c r="R11447" t="s">
        <v>43181</v>
      </c>
      <c r="S11447" t="s">
        <v>43729</v>
      </c>
      <c r="T11447" t="s">
        <v>44706</v>
      </c>
      <c r="U11447" t="s">
        <v>54319</v>
      </c>
      <c r="W11447" t="s">
        <v>58588</v>
      </c>
      <c r="X11447" t="s">
        <v>43182</v>
      </c>
    </row>
    <row r="11448" spans="1:24">
      <c r="A11448">
        <f>HYPERLINK("https://www.philgeps.gov.ph/GEPSNONPILOT/Tender/SplashBidNoticeAbstractUI.aspx?menuIndex=3&amp;refID=7059108&amp;Result=3","7059108")</f>
        <v>0</v>
      </c>
      <c r="B11448" t="s">
        <v>1300</v>
      </c>
      <c r="C11448" t="s">
        <v>14343</v>
      </c>
      <c r="D11448" t="s">
        <v>17444</v>
      </c>
      <c r="E11448" t="s">
        <v>27306</v>
      </c>
      <c r="F11448" t="s">
        <v>30052</v>
      </c>
      <c r="G11448" t="s">
        <v>30058</v>
      </c>
      <c r="H11448" t="s">
        <v>30067</v>
      </c>
      <c r="I11448" t="s">
        <v>3736</v>
      </c>
      <c r="J11448" t="s">
        <v>37196</v>
      </c>
      <c r="K11448" t="s">
        <v>39031</v>
      </c>
      <c r="M11448" t="s">
        <v>40666</v>
      </c>
      <c r="N11448" t="s">
        <v>43166</v>
      </c>
      <c r="O11448" t="s">
        <v>43167</v>
      </c>
      <c r="P11448">
        <v>0</v>
      </c>
      <c r="Q11448">
        <v>7</v>
      </c>
      <c r="R11448" t="s">
        <v>43181</v>
      </c>
      <c r="S11448" t="s">
        <v>43729</v>
      </c>
      <c r="T11448" t="s">
        <v>44780</v>
      </c>
      <c r="U11448" t="s">
        <v>48064</v>
      </c>
      <c r="V11448" t="s">
        <v>57239</v>
      </c>
      <c r="W11448" t="s">
        <v>40666</v>
      </c>
      <c r="X11448" t="s">
        <v>43182</v>
      </c>
    </row>
    <row r="11449" spans="1:24">
      <c r="A11449">
        <f>HYPERLINK("https://www.philgeps.gov.ph/GEPSNONPILOT/Tender/SplashBidNoticeAbstractUI.aspx?menuIndex=3&amp;refID=7059086&amp;Result=3","7059086")</f>
        <v>0</v>
      </c>
      <c r="B11449" t="s">
        <v>790</v>
      </c>
      <c r="C11449" t="s">
        <v>14344</v>
      </c>
      <c r="D11449" t="s">
        <v>17421</v>
      </c>
      <c r="E11449" t="s">
        <v>27307</v>
      </c>
      <c r="F11449" t="s">
        <v>30052</v>
      </c>
      <c r="G11449" t="s">
        <v>30059</v>
      </c>
      <c r="H11449" t="s">
        <v>30067</v>
      </c>
      <c r="I11449" t="s">
        <v>30083</v>
      </c>
      <c r="J11449" t="s">
        <v>37197</v>
      </c>
      <c r="K11449" t="s">
        <v>39022</v>
      </c>
      <c r="L11449" t="s">
        <v>790</v>
      </c>
      <c r="M11449" t="s">
        <v>40107</v>
      </c>
      <c r="N11449" t="s">
        <v>43166</v>
      </c>
      <c r="O11449" t="s">
        <v>43167</v>
      </c>
      <c r="P11449">
        <v>0</v>
      </c>
      <c r="Q11449">
        <v>0</v>
      </c>
      <c r="R11449" t="s">
        <v>43181</v>
      </c>
      <c r="S11449" t="s">
        <v>43729</v>
      </c>
      <c r="T11449" t="s">
        <v>44832</v>
      </c>
      <c r="U11449" t="s">
        <v>46851</v>
      </c>
      <c r="W11449" t="s">
        <v>40107</v>
      </c>
      <c r="X11449" t="s">
        <v>43182</v>
      </c>
    </row>
    <row r="11450" spans="1:24">
      <c r="A11450">
        <f>HYPERLINK("https://www.philgeps.gov.ph/GEPSNONPILOT/Tender/SplashBidNoticeAbstractUI.aspx?menuIndex=3&amp;refID=7064509&amp;Result=3","7064509")</f>
        <v>0</v>
      </c>
      <c r="B11450" t="s">
        <v>1181</v>
      </c>
      <c r="C11450" t="s">
        <v>14345</v>
      </c>
      <c r="D11450" t="s">
        <v>17444</v>
      </c>
      <c r="E11450" t="s">
        <v>27308</v>
      </c>
      <c r="F11450" t="s">
        <v>30052</v>
      </c>
      <c r="G11450" t="s">
        <v>30061</v>
      </c>
      <c r="H11450" t="s">
        <v>15498</v>
      </c>
      <c r="I11450" t="s">
        <v>7228</v>
      </c>
      <c r="J11450" t="s">
        <v>31924</v>
      </c>
      <c r="K11450" t="s">
        <v>39025</v>
      </c>
      <c r="M11450" t="s">
        <v>40531</v>
      </c>
      <c r="N11450" t="s">
        <v>43166</v>
      </c>
      <c r="O11450" t="s">
        <v>43167</v>
      </c>
      <c r="Q11450">
        <v>0</v>
      </c>
      <c r="R11450" t="s">
        <v>43180</v>
      </c>
      <c r="S11450" t="s">
        <v>43738</v>
      </c>
      <c r="T11450" t="s">
        <v>44870</v>
      </c>
      <c r="U11450" t="s">
        <v>54320</v>
      </c>
      <c r="W11450" t="s">
        <v>40531</v>
      </c>
      <c r="X11450" t="s">
        <v>43181</v>
      </c>
    </row>
    <row r="11451" spans="1:24">
      <c r="A11451">
        <f>HYPERLINK("https://www.philgeps.gov.ph/GEPSNONPILOT/Tender/SplashBidNoticeAbstractUI.aspx?menuIndex=3&amp;refID=7059083&amp;Result=3","7059083")</f>
        <v>0</v>
      </c>
      <c r="B11451" t="s">
        <v>422</v>
      </c>
      <c r="C11451" t="s">
        <v>14346</v>
      </c>
      <c r="D11451" t="s">
        <v>17455</v>
      </c>
      <c r="E11451" t="s">
        <v>27309</v>
      </c>
      <c r="F11451" t="s">
        <v>30052</v>
      </c>
      <c r="G11451" t="s">
        <v>30059</v>
      </c>
      <c r="H11451" t="s">
        <v>15498</v>
      </c>
      <c r="I11451" t="s">
        <v>9238</v>
      </c>
      <c r="J11451" t="s">
        <v>30292</v>
      </c>
      <c r="K11451" t="s">
        <v>39025</v>
      </c>
      <c r="M11451" t="s">
        <v>42721</v>
      </c>
      <c r="N11451" t="s">
        <v>43166</v>
      </c>
      <c r="O11451" t="s">
        <v>43167</v>
      </c>
      <c r="Q11451">
        <v>27</v>
      </c>
      <c r="R11451" t="s">
        <v>43181</v>
      </c>
      <c r="S11451" t="s">
        <v>43483</v>
      </c>
      <c r="T11451" t="s">
        <v>44724</v>
      </c>
      <c r="U11451" t="s">
        <v>54321</v>
      </c>
      <c r="W11451" t="s">
        <v>42721</v>
      </c>
      <c r="X11451" t="s">
        <v>43182</v>
      </c>
    </row>
    <row r="11452" spans="1:24">
      <c r="A11452">
        <f>HYPERLINK("https://www.philgeps.gov.ph/GEPSNONPILOT/Tender/SplashBidNoticeAbstractUI.aspx?menuIndex=3&amp;refID=7059082&amp;Result=3","7059082")</f>
        <v>0</v>
      </c>
      <c r="B11452" t="s">
        <v>3123</v>
      </c>
      <c r="C11452" t="s">
        <v>14347</v>
      </c>
      <c r="D11452" t="s">
        <v>17435</v>
      </c>
      <c r="E11452" t="s">
        <v>17715</v>
      </c>
      <c r="F11452" t="s">
        <v>30052</v>
      </c>
      <c r="G11452" t="s">
        <v>30058</v>
      </c>
      <c r="H11452" t="s">
        <v>15498</v>
      </c>
      <c r="I11452" t="s">
        <v>3736</v>
      </c>
      <c r="J11452" t="s">
        <v>37198</v>
      </c>
      <c r="K11452" t="s">
        <v>39019</v>
      </c>
      <c r="M11452" t="s">
        <v>42722</v>
      </c>
      <c r="N11452" t="s">
        <v>43166</v>
      </c>
      <c r="O11452" t="s">
        <v>43167</v>
      </c>
      <c r="P11452">
        <v>0</v>
      </c>
      <c r="Q11452">
        <v>1</v>
      </c>
      <c r="R11452" t="s">
        <v>43181</v>
      </c>
      <c r="S11452" t="s">
        <v>43729</v>
      </c>
      <c r="T11452" t="s">
        <v>44724</v>
      </c>
      <c r="U11452" t="s">
        <v>54322</v>
      </c>
      <c r="W11452" t="s">
        <v>42722</v>
      </c>
      <c r="X11452" t="s">
        <v>43182</v>
      </c>
    </row>
    <row r="11453" spans="1:24">
      <c r="A11453">
        <f>HYPERLINK("https://www.philgeps.gov.ph/GEPSNONPILOT/Tender/SplashBidNoticeAbstractUI.aspx?menuIndex=3&amp;refID=7059073&amp;Result=3","7059073")</f>
        <v>0</v>
      </c>
      <c r="B11453" t="s">
        <v>915</v>
      </c>
      <c r="C11453" t="s">
        <v>14348</v>
      </c>
      <c r="D11453" t="s">
        <v>17457</v>
      </c>
      <c r="E11453" t="s">
        <v>27310</v>
      </c>
      <c r="F11453" t="s">
        <v>30052</v>
      </c>
      <c r="G11453" t="s">
        <v>30058</v>
      </c>
      <c r="H11453" t="s">
        <v>15498</v>
      </c>
      <c r="I11453" t="s">
        <v>30074</v>
      </c>
      <c r="J11453" t="s">
        <v>33141</v>
      </c>
      <c r="K11453" t="s">
        <v>39029</v>
      </c>
      <c r="M11453" t="s">
        <v>40238</v>
      </c>
      <c r="N11453" t="s">
        <v>43166</v>
      </c>
      <c r="O11453" t="s">
        <v>43167</v>
      </c>
      <c r="P11453">
        <v>0</v>
      </c>
      <c r="Q11453">
        <v>3</v>
      </c>
      <c r="R11453" t="s">
        <v>43181</v>
      </c>
      <c r="S11453" t="s">
        <v>43729</v>
      </c>
      <c r="T11453" t="s">
        <v>44704</v>
      </c>
      <c r="U11453" t="s">
        <v>54323</v>
      </c>
      <c r="W11453" t="s">
        <v>40238</v>
      </c>
      <c r="X11453" t="s">
        <v>43182</v>
      </c>
    </row>
    <row r="11454" spans="1:24">
      <c r="A11454">
        <f>HYPERLINK("https://www.philgeps.gov.ph/GEPSNONPILOT/Tender/SplashBidNoticeAbstractUI.aspx?menuIndex=3&amp;refID=7059066&amp;Result=3","7059066")</f>
        <v>0</v>
      </c>
      <c r="B11454" t="s">
        <v>1192</v>
      </c>
      <c r="C11454" t="s">
        <v>14349</v>
      </c>
      <c r="D11454" t="s">
        <v>17415</v>
      </c>
      <c r="E11454" t="s">
        <v>27311</v>
      </c>
      <c r="F11454" t="s">
        <v>30052</v>
      </c>
      <c r="G11454" t="s">
        <v>30058</v>
      </c>
      <c r="H11454" t="s">
        <v>30069</v>
      </c>
      <c r="I11454" t="s">
        <v>30084</v>
      </c>
      <c r="J11454" t="s">
        <v>37199</v>
      </c>
      <c r="K11454" t="s">
        <v>39017</v>
      </c>
      <c r="M11454" t="s">
        <v>42714</v>
      </c>
      <c r="N11454" t="s">
        <v>43166</v>
      </c>
      <c r="O11454" t="s">
        <v>43167</v>
      </c>
      <c r="P11454">
        <v>0</v>
      </c>
      <c r="Q11454">
        <v>20</v>
      </c>
      <c r="R11454" t="s">
        <v>43181</v>
      </c>
      <c r="S11454" t="s">
        <v>43729</v>
      </c>
      <c r="T11454" t="s">
        <v>44839</v>
      </c>
      <c r="U11454" t="s">
        <v>54324</v>
      </c>
      <c r="W11454" t="s">
        <v>42714</v>
      </c>
      <c r="X11454" t="s">
        <v>43182</v>
      </c>
    </row>
    <row r="11455" spans="1:24">
      <c r="A11455">
        <f>HYPERLINK("https://www.philgeps.gov.ph/GEPSNONPILOT/Tender/SplashBidNoticeAbstractUI.aspx?menuIndex=3&amp;refID=7059065&amp;Result=3","7059065")</f>
        <v>0</v>
      </c>
      <c r="B11455" t="s">
        <v>2857</v>
      </c>
      <c r="C11455" t="s">
        <v>14350</v>
      </c>
      <c r="D11455" t="s">
        <v>17415</v>
      </c>
      <c r="E11455" t="s">
        <v>21486</v>
      </c>
      <c r="F11455" t="s">
        <v>30052</v>
      </c>
      <c r="G11455" t="s">
        <v>30061</v>
      </c>
      <c r="H11455" t="s">
        <v>15498</v>
      </c>
      <c r="I11455" t="s">
        <v>30084</v>
      </c>
      <c r="J11455" t="s">
        <v>30230</v>
      </c>
      <c r="K11455" t="s">
        <v>39017</v>
      </c>
      <c r="M11455" t="s">
        <v>42405</v>
      </c>
      <c r="N11455" t="s">
        <v>43166</v>
      </c>
      <c r="O11455" t="s">
        <v>43167</v>
      </c>
      <c r="Q11455">
        <v>4</v>
      </c>
      <c r="R11455" t="s">
        <v>43181</v>
      </c>
      <c r="S11455" t="s">
        <v>43739</v>
      </c>
      <c r="T11455" t="s">
        <v>44826</v>
      </c>
      <c r="U11455" t="s">
        <v>54325</v>
      </c>
      <c r="V11455" t="s">
        <v>57936</v>
      </c>
      <c r="W11455" t="s">
        <v>42405</v>
      </c>
      <c r="X11455" t="s">
        <v>43182</v>
      </c>
    </row>
    <row r="11456" spans="1:24">
      <c r="A11456">
        <f>HYPERLINK("https://www.philgeps.gov.ph/GEPSNONPILOT/Tender/SplashBidNoticeAbstractUI.aspx?menuIndex=3&amp;refID=7059344&amp;Result=3","7059344")</f>
        <v>0</v>
      </c>
      <c r="B11456" t="s">
        <v>2470</v>
      </c>
      <c r="C11456" t="s">
        <v>14351</v>
      </c>
      <c r="D11456" t="s">
        <v>17419</v>
      </c>
      <c r="E11456" t="s">
        <v>27312</v>
      </c>
      <c r="F11456" t="s">
        <v>30052</v>
      </c>
      <c r="G11456" t="s">
        <v>30058</v>
      </c>
      <c r="H11456" t="s">
        <v>15498</v>
      </c>
      <c r="I11456" t="s">
        <v>30074</v>
      </c>
      <c r="J11456" t="s">
        <v>30494</v>
      </c>
      <c r="K11456" t="s">
        <v>39017</v>
      </c>
      <c r="M11456" t="s">
        <v>41970</v>
      </c>
      <c r="N11456" t="s">
        <v>43166</v>
      </c>
      <c r="O11456" t="s">
        <v>43167</v>
      </c>
      <c r="P11456">
        <v>0</v>
      </c>
      <c r="Q11456">
        <v>6</v>
      </c>
      <c r="R11456" t="s">
        <v>43181</v>
      </c>
      <c r="S11456" t="s">
        <v>43729</v>
      </c>
      <c r="T11456" t="s">
        <v>44687</v>
      </c>
      <c r="U11456" t="s">
        <v>54326</v>
      </c>
      <c r="W11456" t="s">
        <v>41970</v>
      </c>
      <c r="X11456" t="s">
        <v>43182</v>
      </c>
    </row>
    <row r="11457" spans="1:24">
      <c r="A11457">
        <f>HYPERLINK("https://www.philgeps.gov.ph/GEPSNONPILOT/Tender/SplashBidNoticeAbstractUI.aspx?menuIndex=3&amp;refID=7064341&amp;Result=3","7064341")</f>
        <v>0</v>
      </c>
      <c r="B11457" t="s">
        <v>2245</v>
      </c>
      <c r="C11457" t="s">
        <v>14352</v>
      </c>
      <c r="D11457" t="s">
        <v>17415</v>
      </c>
      <c r="E11457" t="s">
        <v>27313</v>
      </c>
      <c r="F11457" t="s">
        <v>30052</v>
      </c>
      <c r="G11457" t="s">
        <v>30058</v>
      </c>
      <c r="H11457" t="s">
        <v>30067</v>
      </c>
      <c r="I11457" t="s">
        <v>3693</v>
      </c>
      <c r="J11457" t="s">
        <v>37200</v>
      </c>
      <c r="K11457" t="s">
        <v>39092</v>
      </c>
      <c r="M11457" t="s">
        <v>41723</v>
      </c>
      <c r="N11457" t="s">
        <v>43166</v>
      </c>
      <c r="O11457" t="s">
        <v>43167</v>
      </c>
      <c r="Q11457">
        <v>14</v>
      </c>
      <c r="R11457" t="s">
        <v>43180</v>
      </c>
      <c r="S11457" t="s">
        <v>43740</v>
      </c>
      <c r="T11457" t="s">
        <v>44750</v>
      </c>
      <c r="U11457" t="s">
        <v>54327</v>
      </c>
      <c r="W11457" t="s">
        <v>41723</v>
      </c>
      <c r="X11457" t="s">
        <v>43181</v>
      </c>
    </row>
    <row r="11458" spans="1:24">
      <c r="A11458">
        <f>HYPERLINK("https://www.philgeps.gov.ph/GEPSNONPILOT/Tender/SplashBidNoticeAbstractUI.aspx?menuIndex=3&amp;refID=7059343&amp;Result=3","7059343")</f>
        <v>0</v>
      </c>
      <c r="B11458" t="s">
        <v>3023</v>
      </c>
      <c r="C11458" t="s">
        <v>14353</v>
      </c>
      <c r="D11458" t="s">
        <v>17439</v>
      </c>
      <c r="E11458" t="s">
        <v>27314</v>
      </c>
      <c r="F11458" t="s">
        <v>30052</v>
      </c>
      <c r="G11458" t="s">
        <v>30058</v>
      </c>
      <c r="H11458" t="s">
        <v>15498</v>
      </c>
      <c r="I11458" t="s">
        <v>4119</v>
      </c>
      <c r="J11458" t="s">
        <v>37201</v>
      </c>
      <c r="K11458" t="s">
        <v>39029</v>
      </c>
      <c r="M11458" t="s">
        <v>42723</v>
      </c>
      <c r="N11458" t="s">
        <v>43166</v>
      </c>
      <c r="O11458" t="s">
        <v>43167</v>
      </c>
      <c r="P11458">
        <v>0</v>
      </c>
      <c r="Q11458">
        <v>10</v>
      </c>
      <c r="R11458" t="s">
        <v>43181</v>
      </c>
      <c r="S11458" t="s">
        <v>43729</v>
      </c>
      <c r="T11458" t="s">
        <v>44754</v>
      </c>
      <c r="U11458" t="s">
        <v>54328</v>
      </c>
      <c r="W11458" t="s">
        <v>58704</v>
      </c>
      <c r="X11458" t="s">
        <v>43182</v>
      </c>
    </row>
    <row r="11459" spans="1:24">
      <c r="A11459">
        <f>HYPERLINK("https://www.philgeps.gov.ph/GEPSNONPILOT/Tender/SplashBidNoticeAbstractUI.aspx?menuIndex=3&amp;refID=7059341&amp;Result=3","7059341")</f>
        <v>0</v>
      </c>
      <c r="B11459" t="s">
        <v>2098</v>
      </c>
      <c r="C11459" t="s">
        <v>14354</v>
      </c>
      <c r="D11459" t="s">
        <v>17414</v>
      </c>
      <c r="E11459" t="s">
        <v>27315</v>
      </c>
      <c r="F11459" t="s">
        <v>30052</v>
      </c>
      <c r="G11459" t="s">
        <v>30058</v>
      </c>
      <c r="H11459" t="s">
        <v>30067</v>
      </c>
      <c r="I11459" t="s">
        <v>3693</v>
      </c>
      <c r="J11459" t="s">
        <v>31198</v>
      </c>
      <c r="K11459" t="s">
        <v>39026</v>
      </c>
      <c r="M11459" t="s">
        <v>42002</v>
      </c>
      <c r="N11459" t="s">
        <v>43166</v>
      </c>
      <c r="O11459" t="s">
        <v>43167</v>
      </c>
      <c r="P11459">
        <v>0</v>
      </c>
      <c r="Q11459">
        <v>1</v>
      </c>
      <c r="R11459" t="s">
        <v>43181</v>
      </c>
      <c r="S11459" t="s">
        <v>43729</v>
      </c>
      <c r="T11459" t="s">
        <v>44754</v>
      </c>
      <c r="U11459" t="s">
        <v>54329</v>
      </c>
      <c r="W11459" t="s">
        <v>42002</v>
      </c>
      <c r="X11459" t="s">
        <v>43182</v>
      </c>
    </row>
    <row r="11460" spans="1:24">
      <c r="A11460">
        <f>HYPERLINK("https://www.philgeps.gov.ph/GEPSNONPILOT/Tender/SplashBidNoticeAbstractUI.aspx?menuIndex=3&amp;refID=7059324&amp;Result=3","7059324")</f>
        <v>0</v>
      </c>
      <c r="B11460" t="s">
        <v>1727</v>
      </c>
      <c r="C11460" t="s">
        <v>14355</v>
      </c>
      <c r="D11460" t="s">
        <v>17436</v>
      </c>
      <c r="E11460" t="s">
        <v>27316</v>
      </c>
      <c r="F11460" t="s">
        <v>30052</v>
      </c>
      <c r="G11460" t="s">
        <v>30058</v>
      </c>
      <c r="H11460" t="s">
        <v>15498</v>
      </c>
      <c r="I11460" t="s">
        <v>30074</v>
      </c>
      <c r="J11460" t="s">
        <v>30683</v>
      </c>
      <c r="K11460" t="s">
        <v>39034</v>
      </c>
      <c r="M11460" t="s">
        <v>41144</v>
      </c>
      <c r="N11460" t="s">
        <v>43166</v>
      </c>
      <c r="O11460" t="s">
        <v>43167</v>
      </c>
      <c r="P11460">
        <v>0</v>
      </c>
      <c r="Q11460">
        <v>3</v>
      </c>
      <c r="R11460" t="s">
        <v>43181</v>
      </c>
      <c r="S11460" t="s">
        <v>43729</v>
      </c>
      <c r="T11460" t="s">
        <v>44953</v>
      </c>
      <c r="U11460" t="s">
        <v>54330</v>
      </c>
      <c r="W11460" t="s">
        <v>41144</v>
      </c>
      <c r="X11460" t="s">
        <v>43182</v>
      </c>
    </row>
    <row r="11461" spans="1:24">
      <c r="A11461">
        <f>HYPERLINK("https://www.philgeps.gov.ph/GEPSNONPILOT/Tender/SplashBidNoticeAbstractUI.aspx?menuIndex=3&amp;refID=7059322&amp;Result=3","7059322")</f>
        <v>0</v>
      </c>
      <c r="B11461" t="s">
        <v>1359</v>
      </c>
      <c r="C11461" t="s">
        <v>14356</v>
      </c>
      <c r="D11461" t="s">
        <v>17415</v>
      </c>
      <c r="E11461" t="s">
        <v>27317</v>
      </c>
      <c r="F11461" t="s">
        <v>30052</v>
      </c>
      <c r="G11461" t="s">
        <v>30058</v>
      </c>
      <c r="H11461" t="s">
        <v>30067</v>
      </c>
      <c r="I11461" t="s">
        <v>3693</v>
      </c>
      <c r="J11461" t="s">
        <v>37202</v>
      </c>
      <c r="K11461" t="s">
        <v>39026</v>
      </c>
      <c r="M11461" t="s">
        <v>40728</v>
      </c>
      <c r="N11461" t="s">
        <v>43166</v>
      </c>
      <c r="O11461" t="s">
        <v>43167</v>
      </c>
      <c r="P11461">
        <v>0</v>
      </c>
      <c r="Q11461">
        <v>7</v>
      </c>
      <c r="R11461" t="s">
        <v>43181</v>
      </c>
      <c r="S11461" t="s">
        <v>43729</v>
      </c>
      <c r="T11461" t="s">
        <v>44698</v>
      </c>
      <c r="U11461" t="s">
        <v>54331</v>
      </c>
      <c r="W11461" t="s">
        <v>58636</v>
      </c>
      <c r="X11461" t="s">
        <v>43182</v>
      </c>
    </row>
    <row r="11462" spans="1:24">
      <c r="A11462">
        <f>HYPERLINK("https://www.philgeps.gov.ph/GEPSNONPILOT/Tender/SplashBidNoticeAbstractUI.aspx?menuIndex=3&amp;refID=7059319&amp;Result=3","7059319")</f>
        <v>0</v>
      </c>
      <c r="B11462" t="s">
        <v>1197</v>
      </c>
      <c r="C11462" t="s">
        <v>14357</v>
      </c>
      <c r="D11462" t="s">
        <v>17463</v>
      </c>
      <c r="E11462" t="s">
        <v>27318</v>
      </c>
      <c r="F11462" t="s">
        <v>30052</v>
      </c>
      <c r="G11462" t="s">
        <v>30059</v>
      </c>
      <c r="H11462" t="s">
        <v>15498</v>
      </c>
      <c r="I11462" t="s">
        <v>30070</v>
      </c>
      <c r="J11462" t="s">
        <v>30916</v>
      </c>
      <c r="K11462" t="s">
        <v>39031</v>
      </c>
      <c r="M11462" t="s">
        <v>40550</v>
      </c>
      <c r="N11462" t="s">
        <v>43166</v>
      </c>
      <c r="O11462" t="s">
        <v>43167</v>
      </c>
      <c r="P11462">
        <v>0</v>
      </c>
      <c r="Q11462">
        <v>0</v>
      </c>
      <c r="R11462" t="s">
        <v>43181</v>
      </c>
      <c r="S11462" t="s">
        <v>43729</v>
      </c>
      <c r="T11462" t="s">
        <v>44901</v>
      </c>
      <c r="U11462" t="s">
        <v>47813</v>
      </c>
      <c r="W11462" t="s">
        <v>40550</v>
      </c>
      <c r="X11462" t="s">
        <v>43182</v>
      </c>
    </row>
    <row r="11463" spans="1:24">
      <c r="A11463">
        <f>HYPERLINK("https://www.philgeps.gov.ph/GEPSNONPILOT/Tender/SplashBidNoticeAbstractUI.aspx?menuIndex=3&amp;refID=7059304&amp;Result=3","7059304")</f>
        <v>0</v>
      </c>
      <c r="B11463" t="s">
        <v>3124</v>
      </c>
      <c r="C11463" t="s">
        <v>14358</v>
      </c>
      <c r="D11463" t="s">
        <v>17461</v>
      </c>
      <c r="E11463" t="s">
        <v>27319</v>
      </c>
      <c r="F11463" t="s">
        <v>30052</v>
      </c>
      <c r="G11463" t="s">
        <v>30058</v>
      </c>
      <c r="H11463" t="s">
        <v>30067</v>
      </c>
      <c r="I11463" t="s">
        <v>3693</v>
      </c>
      <c r="J11463" t="s">
        <v>30397</v>
      </c>
      <c r="K11463" t="s">
        <v>39031</v>
      </c>
      <c r="M11463" t="s">
        <v>42724</v>
      </c>
      <c r="N11463" t="s">
        <v>43166</v>
      </c>
      <c r="O11463" t="s">
        <v>43167</v>
      </c>
      <c r="P11463">
        <v>0</v>
      </c>
      <c r="Q11463">
        <v>1</v>
      </c>
      <c r="R11463" t="s">
        <v>43181</v>
      </c>
      <c r="S11463" t="s">
        <v>43729</v>
      </c>
      <c r="T11463" t="s">
        <v>44733</v>
      </c>
      <c r="U11463" t="s">
        <v>54332</v>
      </c>
      <c r="W11463" t="s">
        <v>42724</v>
      </c>
      <c r="X11463" t="s">
        <v>43182</v>
      </c>
    </row>
    <row r="11464" spans="1:24">
      <c r="A11464">
        <f>HYPERLINK("https://www.philgeps.gov.ph/GEPSNONPILOT/Tender/SplashBidNoticeAbstractUI.aspx?menuIndex=3&amp;refID=7064381&amp;Result=3","7064381")</f>
        <v>0</v>
      </c>
      <c r="B11464" t="s">
        <v>3108</v>
      </c>
      <c r="C11464" t="s">
        <v>14359</v>
      </c>
      <c r="D11464" t="s">
        <v>17494</v>
      </c>
      <c r="E11464" t="s">
        <v>27320</v>
      </c>
      <c r="F11464" t="s">
        <v>30052</v>
      </c>
      <c r="G11464" t="s">
        <v>30058</v>
      </c>
      <c r="H11464" t="s">
        <v>15498</v>
      </c>
      <c r="I11464" t="s">
        <v>30080</v>
      </c>
      <c r="J11464" t="s">
        <v>31198</v>
      </c>
      <c r="K11464" t="s">
        <v>39029</v>
      </c>
      <c r="M11464" t="s">
        <v>42698</v>
      </c>
      <c r="N11464" t="s">
        <v>43166</v>
      </c>
      <c r="O11464" t="s">
        <v>43167</v>
      </c>
      <c r="P11464">
        <v>0</v>
      </c>
      <c r="Q11464">
        <v>14</v>
      </c>
      <c r="R11464" t="s">
        <v>43180</v>
      </c>
      <c r="S11464" t="s">
        <v>43646</v>
      </c>
      <c r="T11464" t="s">
        <v>44699</v>
      </c>
      <c r="U11464" t="s">
        <v>54333</v>
      </c>
      <c r="W11464" t="s">
        <v>42698</v>
      </c>
      <c r="X11464" t="s">
        <v>43181</v>
      </c>
    </row>
    <row r="11465" spans="1:24">
      <c r="A11465">
        <f>HYPERLINK("https://www.philgeps.gov.ph/GEPSNONPILOT/Tender/SplashBidNoticeAbstractUI.aspx?menuIndex=3&amp;refID=7059303&amp;Result=3","7059303")</f>
        <v>0</v>
      </c>
      <c r="B11465" t="s">
        <v>1191</v>
      </c>
      <c r="C11465" t="s">
        <v>14360</v>
      </c>
      <c r="D11465" t="s">
        <v>17451</v>
      </c>
      <c r="E11465" t="s">
        <v>27321</v>
      </c>
      <c r="F11465" t="s">
        <v>30052</v>
      </c>
      <c r="G11465" t="s">
        <v>30058</v>
      </c>
      <c r="H11465" t="s">
        <v>30067</v>
      </c>
      <c r="I11465" t="s">
        <v>3693</v>
      </c>
      <c r="J11465" t="s">
        <v>30222</v>
      </c>
      <c r="K11465" t="s">
        <v>39031</v>
      </c>
      <c r="M11465" t="s">
        <v>40544</v>
      </c>
      <c r="N11465" t="s">
        <v>43166</v>
      </c>
      <c r="O11465" t="s">
        <v>43167</v>
      </c>
      <c r="P11465">
        <v>0</v>
      </c>
      <c r="Q11465">
        <v>0</v>
      </c>
      <c r="R11465" t="s">
        <v>43181</v>
      </c>
      <c r="S11465" t="s">
        <v>43729</v>
      </c>
      <c r="T11465" t="s">
        <v>44761</v>
      </c>
      <c r="U11465" t="s">
        <v>54334</v>
      </c>
      <c r="W11465" t="s">
        <v>40544</v>
      </c>
      <c r="X11465" t="s">
        <v>43182</v>
      </c>
    </row>
    <row r="11466" spans="1:24">
      <c r="A11466">
        <f>HYPERLINK("https://www.philgeps.gov.ph/GEPSNONPILOT/Tender/SplashBidNoticeAbstractUI.aspx?menuIndex=3&amp;refID=7059338&amp;Result=3","7059338")</f>
        <v>0</v>
      </c>
      <c r="B11466" t="s">
        <v>2477</v>
      </c>
      <c r="C11466" t="s">
        <v>14361</v>
      </c>
      <c r="D11466" t="s">
        <v>17417</v>
      </c>
      <c r="E11466" t="s">
        <v>27322</v>
      </c>
      <c r="F11466" t="s">
        <v>30052</v>
      </c>
      <c r="G11466" t="s">
        <v>30058</v>
      </c>
      <c r="H11466" t="s">
        <v>15498</v>
      </c>
      <c r="I11466" t="s">
        <v>7228</v>
      </c>
      <c r="J11466" t="s">
        <v>31101</v>
      </c>
      <c r="K11466" t="s">
        <v>39023</v>
      </c>
      <c r="M11466" t="s">
        <v>41977</v>
      </c>
      <c r="N11466" t="s">
        <v>43166</v>
      </c>
      <c r="O11466" t="s">
        <v>43167</v>
      </c>
      <c r="P11466">
        <v>0</v>
      </c>
      <c r="Q11466">
        <v>0</v>
      </c>
      <c r="R11466" t="s">
        <v>43181</v>
      </c>
      <c r="S11466" t="s">
        <v>43729</v>
      </c>
      <c r="T11466" t="s">
        <v>44733</v>
      </c>
      <c r="U11466" t="s">
        <v>54335</v>
      </c>
      <c r="W11466" t="s">
        <v>41977</v>
      </c>
      <c r="X11466" t="s">
        <v>43182</v>
      </c>
    </row>
    <row r="11467" spans="1:24">
      <c r="A11467">
        <f>HYPERLINK("https://www.philgeps.gov.ph/GEPSNONPILOT/Tender/SplashBidNoticeAbstractUI.aspx?menuIndex=3&amp;refID=7059276&amp;Result=3","7059276")</f>
        <v>0</v>
      </c>
      <c r="B11467" t="s">
        <v>1359</v>
      </c>
      <c r="C11467" t="s">
        <v>14362</v>
      </c>
      <c r="D11467" t="s">
        <v>17415</v>
      </c>
      <c r="E11467" t="s">
        <v>27323</v>
      </c>
      <c r="F11467" t="s">
        <v>30052</v>
      </c>
      <c r="G11467" t="s">
        <v>30058</v>
      </c>
      <c r="H11467" t="s">
        <v>30067</v>
      </c>
      <c r="I11467" t="s">
        <v>3693</v>
      </c>
      <c r="J11467" t="s">
        <v>37203</v>
      </c>
      <c r="K11467" t="s">
        <v>39029</v>
      </c>
      <c r="M11467" t="s">
        <v>40728</v>
      </c>
      <c r="N11467" t="s">
        <v>43166</v>
      </c>
      <c r="O11467" t="s">
        <v>43167</v>
      </c>
      <c r="P11467">
        <v>0</v>
      </c>
      <c r="Q11467">
        <v>6</v>
      </c>
      <c r="R11467" t="s">
        <v>43181</v>
      </c>
      <c r="S11467" t="s">
        <v>43729</v>
      </c>
      <c r="T11467" t="s">
        <v>44698</v>
      </c>
      <c r="U11467" t="s">
        <v>54336</v>
      </c>
      <c r="W11467" t="s">
        <v>58636</v>
      </c>
      <c r="X11467" t="s">
        <v>43182</v>
      </c>
    </row>
    <row r="11468" spans="1:24">
      <c r="A11468">
        <f>HYPERLINK("https://www.philgeps.gov.ph/GEPSNONPILOT/Tender/SplashBidNoticeAbstractUI.aspx?menuIndex=3&amp;refID=7059256&amp;Result=3","7059256")</f>
        <v>0</v>
      </c>
      <c r="B11468" t="s">
        <v>2477</v>
      </c>
      <c r="C11468" t="s">
        <v>14363</v>
      </c>
      <c r="D11468" t="s">
        <v>17417</v>
      </c>
      <c r="E11468" t="s">
        <v>27324</v>
      </c>
      <c r="F11468" t="s">
        <v>30052</v>
      </c>
      <c r="G11468" t="s">
        <v>30058</v>
      </c>
      <c r="H11468" t="s">
        <v>15498</v>
      </c>
      <c r="I11468" t="s">
        <v>7228</v>
      </c>
      <c r="J11468" t="s">
        <v>37204</v>
      </c>
      <c r="K11468" t="s">
        <v>39023</v>
      </c>
      <c r="M11468" t="s">
        <v>41977</v>
      </c>
      <c r="N11468" t="s">
        <v>43166</v>
      </c>
      <c r="O11468" t="s">
        <v>43167</v>
      </c>
      <c r="P11468">
        <v>0</v>
      </c>
      <c r="Q11468">
        <v>0</v>
      </c>
      <c r="R11468" t="s">
        <v>43181</v>
      </c>
      <c r="S11468" t="s">
        <v>43729</v>
      </c>
      <c r="T11468" t="s">
        <v>44733</v>
      </c>
      <c r="U11468" t="s">
        <v>54337</v>
      </c>
      <c r="W11468" t="s">
        <v>41977</v>
      </c>
      <c r="X11468" t="s">
        <v>43182</v>
      </c>
    </row>
    <row r="11469" spans="1:24">
      <c r="A11469">
        <f>HYPERLINK("https://www.philgeps.gov.ph/GEPSNONPILOT/Tender/SplashBidNoticeAbstractUI.aspx?menuIndex=3&amp;refID=7059128&amp;Result=3","7059128")</f>
        <v>0</v>
      </c>
      <c r="B11469" t="s">
        <v>111</v>
      </c>
      <c r="C11469" t="s">
        <v>14364</v>
      </c>
      <c r="D11469" t="s">
        <v>17445</v>
      </c>
      <c r="E11469" t="s">
        <v>25221</v>
      </c>
      <c r="F11469" t="s">
        <v>30052</v>
      </c>
      <c r="G11469" t="s">
        <v>30058</v>
      </c>
      <c r="H11469" t="s">
        <v>15498</v>
      </c>
      <c r="I11469" t="s">
        <v>30074</v>
      </c>
      <c r="J11469" t="s">
        <v>30281</v>
      </c>
      <c r="K11469" t="s">
        <v>39019</v>
      </c>
      <c r="M11469" t="s">
        <v>39400</v>
      </c>
      <c r="N11469" t="s">
        <v>43166</v>
      </c>
      <c r="O11469" t="s">
        <v>43167</v>
      </c>
      <c r="P11469">
        <v>0</v>
      </c>
      <c r="Q11469">
        <v>7</v>
      </c>
      <c r="R11469" t="s">
        <v>43181</v>
      </c>
      <c r="S11469" t="s">
        <v>43729</v>
      </c>
      <c r="T11469" t="s">
        <v>45156</v>
      </c>
      <c r="U11469" t="s">
        <v>54338</v>
      </c>
      <c r="W11469" t="s">
        <v>39400</v>
      </c>
      <c r="X11469" t="s">
        <v>43182</v>
      </c>
    </row>
    <row r="11470" spans="1:24">
      <c r="A11470">
        <f>HYPERLINK("https://www.philgeps.gov.ph/GEPSNONPILOT/Tender/SplashBidNoticeAbstractUI.aspx?menuIndex=3&amp;refID=7059249&amp;Result=3","7059249")</f>
        <v>0</v>
      </c>
      <c r="B11470" t="s">
        <v>3125</v>
      </c>
      <c r="C11470" t="s">
        <v>14365</v>
      </c>
      <c r="D11470" t="s">
        <v>17423</v>
      </c>
      <c r="E11470" t="s">
        <v>27325</v>
      </c>
      <c r="F11470" t="s">
        <v>30052</v>
      </c>
      <c r="G11470" t="s">
        <v>30062</v>
      </c>
      <c r="H11470" t="s">
        <v>15498</v>
      </c>
      <c r="I11470" t="s">
        <v>30070</v>
      </c>
      <c r="J11470" t="s">
        <v>37205</v>
      </c>
      <c r="K11470" t="s">
        <v>39034</v>
      </c>
      <c r="M11470" t="s">
        <v>42725</v>
      </c>
      <c r="N11470" t="s">
        <v>43166</v>
      </c>
      <c r="O11470" t="s">
        <v>43167</v>
      </c>
      <c r="P11470">
        <v>0</v>
      </c>
      <c r="Q11470">
        <v>6</v>
      </c>
      <c r="R11470" t="s">
        <v>43181</v>
      </c>
      <c r="S11470" t="s">
        <v>43729</v>
      </c>
      <c r="T11470" t="s">
        <v>44773</v>
      </c>
      <c r="U11470" t="s">
        <v>54339</v>
      </c>
      <c r="W11470" t="s">
        <v>42725</v>
      </c>
      <c r="X11470" t="s">
        <v>43182</v>
      </c>
    </row>
    <row r="11471" spans="1:24">
      <c r="A11471">
        <f>HYPERLINK("https://www.philgeps.gov.ph/GEPSNONPILOT/Tender/SplashBidNoticeAbstractUI.aspx?menuIndex=3&amp;refID=7059289&amp;Result=3","7059289")</f>
        <v>0</v>
      </c>
      <c r="B11471" t="s">
        <v>3126</v>
      </c>
      <c r="C11471" t="s">
        <v>14366</v>
      </c>
      <c r="D11471" t="s">
        <v>17449</v>
      </c>
      <c r="E11471" t="s">
        <v>18173</v>
      </c>
      <c r="F11471" t="s">
        <v>30052</v>
      </c>
      <c r="G11471" t="s">
        <v>30058</v>
      </c>
      <c r="H11471" t="s">
        <v>15498</v>
      </c>
      <c r="I11471" t="s">
        <v>30097</v>
      </c>
      <c r="J11471" t="s">
        <v>31821</v>
      </c>
      <c r="K11471" t="s">
        <v>39019</v>
      </c>
      <c r="M11471" t="s">
        <v>42726</v>
      </c>
      <c r="N11471" t="s">
        <v>43166</v>
      </c>
      <c r="O11471" t="s">
        <v>43167</v>
      </c>
      <c r="P11471">
        <v>0</v>
      </c>
      <c r="Q11471">
        <v>13</v>
      </c>
      <c r="R11471" t="s">
        <v>43181</v>
      </c>
      <c r="S11471" t="s">
        <v>43729</v>
      </c>
      <c r="T11471" t="s">
        <v>44972</v>
      </c>
      <c r="U11471" t="s">
        <v>54340</v>
      </c>
      <c r="W11471" t="s">
        <v>42726</v>
      </c>
      <c r="X11471" t="s">
        <v>43182</v>
      </c>
    </row>
    <row r="11472" spans="1:24">
      <c r="A11472">
        <f>HYPERLINK("https://www.philgeps.gov.ph/GEPSNONPILOT/Tender/SplashBidNoticeAbstractUI.aspx?menuIndex=3&amp;refID=7059064&amp;Result=3","7059064")</f>
        <v>0</v>
      </c>
      <c r="B11472" t="s">
        <v>3118</v>
      </c>
      <c r="C11472" t="s">
        <v>14367</v>
      </c>
      <c r="D11472" t="s">
        <v>17448</v>
      </c>
      <c r="E11472" t="s">
        <v>27326</v>
      </c>
      <c r="F11472" t="s">
        <v>30052</v>
      </c>
      <c r="G11472" t="s">
        <v>30058</v>
      </c>
      <c r="H11472" t="s">
        <v>30067</v>
      </c>
      <c r="I11472" t="s">
        <v>3736</v>
      </c>
      <c r="J11472" t="s">
        <v>30321</v>
      </c>
      <c r="K11472" t="s">
        <v>39022</v>
      </c>
      <c r="M11472" t="s">
        <v>42715</v>
      </c>
      <c r="N11472" t="s">
        <v>43166</v>
      </c>
      <c r="O11472" t="s">
        <v>43167</v>
      </c>
      <c r="P11472">
        <v>0</v>
      </c>
      <c r="Q11472">
        <v>0</v>
      </c>
      <c r="R11472" t="s">
        <v>43181</v>
      </c>
      <c r="S11472" t="s">
        <v>43729</v>
      </c>
      <c r="T11472" t="s">
        <v>44837</v>
      </c>
      <c r="U11472" t="s">
        <v>54304</v>
      </c>
      <c r="V11472" t="s">
        <v>49915</v>
      </c>
      <c r="W11472" t="s">
        <v>42715</v>
      </c>
      <c r="X11472" t="s">
        <v>43182</v>
      </c>
    </row>
    <row r="11473" spans="1:24">
      <c r="A11473">
        <f>HYPERLINK("https://www.philgeps.gov.ph/GEPSNONPILOT/Tender/SplashBidNoticeAbstractUI.aspx?menuIndex=3&amp;refID=7059495&amp;Result=3","7059495")</f>
        <v>0</v>
      </c>
      <c r="B11473" t="s">
        <v>2098</v>
      </c>
      <c r="C11473" t="s">
        <v>14368</v>
      </c>
      <c r="D11473" t="s">
        <v>17414</v>
      </c>
      <c r="E11473" t="s">
        <v>27327</v>
      </c>
      <c r="F11473" t="s">
        <v>30052</v>
      </c>
      <c r="G11473" t="s">
        <v>30058</v>
      </c>
      <c r="H11473" t="s">
        <v>30067</v>
      </c>
      <c r="I11473" t="s">
        <v>3693</v>
      </c>
      <c r="J11473" t="s">
        <v>31198</v>
      </c>
      <c r="K11473" t="s">
        <v>39026</v>
      </c>
      <c r="M11473" t="s">
        <v>42002</v>
      </c>
      <c r="N11473" t="s">
        <v>43166</v>
      </c>
      <c r="O11473" t="s">
        <v>43167</v>
      </c>
      <c r="P11473">
        <v>0</v>
      </c>
      <c r="Q11473">
        <v>3</v>
      </c>
      <c r="R11473" t="s">
        <v>43181</v>
      </c>
      <c r="S11473" t="s">
        <v>43729</v>
      </c>
      <c r="T11473" t="s">
        <v>44754</v>
      </c>
      <c r="U11473" t="s">
        <v>54341</v>
      </c>
      <c r="W11473" t="s">
        <v>42002</v>
      </c>
      <c r="X11473" t="s">
        <v>43182</v>
      </c>
    </row>
    <row r="11474" spans="1:24">
      <c r="A11474">
        <f>HYPERLINK("https://www.philgeps.gov.ph/GEPSNONPILOT/Tender/SplashBidNoticeAbstractUI.aspx?menuIndex=3&amp;refID=7059253&amp;Result=3","7059253")</f>
        <v>0</v>
      </c>
      <c r="B11474" t="s">
        <v>3124</v>
      </c>
      <c r="C11474" t="s">
        <v>14369</v>
      </c>
      <c r="D11474" t="s">
        <v>17461</v>
      </c>
      <c r="E11474" t="s">
        <v>27328</v>
      </c>
      <c r="F11474" t="s">
        <v>30052</v>
      </c>
      <c r="G11474" t="s">
        <v>30058</v>
      </c>
      <c r="H11474" t="s">
        <v>30067</v>
      </c>
      <c r="I11474" t="s">
        <v>3693</v>
      </c>
      <c r="J11474" t="s">
        <v>30252</v>
      </c>
      <c r="K11474" t="s">
        <v>39029</v>
      </c>
      <c r="M11474" t="s">
        <v>42724</v>
      </c>
      <c r="N11474" t="s">
        <v>43166</v>
      </c>
      <c r="O11474" t="s">
        <v>43167</v>
      </c>
      <c r="P11474">
        <v>0</v>
      </c>
      <c r="Q11474">
        <v>0</v>
      </c>
      <c r="R11474" t="s">
        <v>43181</v>
      </c>
      <c r="S11474" t="s">
        <v>43729</v>
      </c>
      <c r="T11474" t="s">
        <v>44733</v>
      </c>
      <c r="U11474" t="s">
        <v>54342</v>
      </c>
      <c r="W11474" t="s">
        <v>42724</v>
      </c>
      <c r="X11474" t="s">
        <v>43182</v>
      </c>
    </row>
    <row r="11475" spans="1:24">
      <c r="A11475">
        <f>HYPERLINK("https://www.philgeps.gov.ph/GEPSNONPILOT/Tender/SplashBidNoticeAbstractUI.aspx?menuIndex=3&amp;refID=7059491&amp;Result=3","7059491")</f>
        <v>0</v>
      </c>
      <c r="B11475" t="s">
        <v>3023</v>
      </c>
      <c r="C11475" t="s">
        <v>14370</v>
      </c>
      <c r="D11475" t="s">
        <v>17439</v>
      </c>
      <c r="E11475" t="s">
        <v>27329</v>
      </c>
      <c r="F11475" t="s">
        <v>30052</v>
      </c>
      <c r="G11475" t="s">
        <v>30058</v>
      </c>
      <c r="H11475" t="s">
        <v>15498</v>
      </c>
      <c r="I11475" t="s">
        <v>30108</v>
      </c>
      <c r="J11475" t="s">
        <v>30557</v>
      </c>
      <c r="K11475" t="s">
        <v>39023</v>
      </c>
      <c r="M11475" t="s">
        <v>42723</v>
      </c>
      <c r="N11475" t="s">
        <v>43166</v>
      </c>
      <c r="O11475" t="s">
        <v>43167</v>
      </c>
      <c r="P11475">
        <v>0</v>
      </c>
      <c r="Q11475">
        <v>9</v>
      </c>
      <c r="R11475" t="s">
        <v>43181</v>
      </c>
      <c r="S11475" t="s">
        <v>43729</v>
      </c>
      <c r="T11475" t="s">
        <v>44754</v>
      </c>
      <c r="U11475" t="s">
        <v>54343</v>
      </c>
      <c r="W11475" t="s">
        <v>58704</v>
      </c>
      <c r="X11475" t="s">
        <v>43182</v>
      </c>
    </row>
    <row r="11476" spans="1:24">
      <c r="A11476">
        <f>HYPERLINK("https://www.philgeps.gov.ph/GEPSNONPILOT/Tender/SplashBidNoticeAbstractUI.aspx?menuIndex=3&amp;refID=7059466&amp;Result=3","7059466")</f>
        <v>0</v>
      </c>
      <c r="B11476" t="s">
        <v>2470</v>
      </c>
      <c r="C11476" t="s">
        <v>14371</v>
      </c>
      <c r="D11476" t="s">
        <v>17419</v>
      </c>
      <c r="E11476" t="s">
        <v>27330</v>
      </c>
      <c r="F11476" t="s">
        <v>30052</v>
      </c>
      <c r="G11476" t="s">
        <v>30058</v>
      </c>
      <c r="H11476" t="s">
        <v>15498</v>
      </c>
      <c r="I11476" t="s">
        <v>30128</v>
      </c>
      <c r="J11476" t="s">
        <v>33510</v>
      </c>
      <c r="K11476" t="s">
        <v>39017</v>
      </c>
      <c r="M11476" t="s">
        <v>41970</v>
      </c>
      <c r="N11476" t="s">
        <v>43166</v>
      </c>
      <c r="O11476" t="s">
        <v>43167</v>
      </c>
      <c r="P11476">
        <v>0</v>
      </c>
      <c r="Q11476">
        <v>1</v>
      </c>
      <c r="R11476" t="s">
        <v>43181</v>
      </c>
      <c r="S11476" t="s">
        <v>43729</v>
      </c>
      <c r="T11476" t="s">
        <v>44687</v>
      </c>
      <c r="U11476" t="s">
        <v>54344</v>
      </c>
      <c r="W11476" t="s">
        <v>41970</v>
      </c>
      <c r="X11476" t="s">
        <v>43182</v>
      </c>
    </row>
    <row r="11477" spans="1:24">
      <c r="A11477">
        <f>HYPERLINK("https://www.philgeps.gov.ph/GEPSNONPILOT/Tender/SplashBidNoticeAbstractUI.aspx?menuIndex=3&amp;refID=7059465&amp;Result=3","7059465")</f>
        <v>0</v>
      </c>
      <c r="B11477" t="s">
        <v>2840</v>
      </c>
      <c r="C11477" t="s">
        <v>14372</v>
      </c>
      <c r="D11477" t="s">
        <v>17456</v>
      </c>
      <c r="E11477" t="s">
        <v>27331</v>
      </c>
      <c r="F11477" t="s">
        <v>30052</v>
      </c>
      <c r="G11477" t="s">
        <v>30058</v>
      </c>
      <c r="H11477" t="s">
        <v>15498</v>
      </c>
      <c r="I11477" t="s">
        <v>3736</v>
      </c>
      <c r="J11477" t="s">
        <v>37206</v>
      </c>
      <c r="K11477" t="s">
        <v>39064</v>
      </c>
      <c r="M11477" t="s">
        <v>42386</v>
      </c>
      <c r="N11477" t="s">
        <v>43166</v>
      </c>
      <c r="O11477" t="s">
        <v>43167</v>
      </c>
      <c r="P11477">
        <v>0</v>
      </c>
      <c r="Q11477">
        <v>4</v>
      </c>
      <c r="R11477" t="s">
        <v>43181</v>
      </c>
      <c r="S11477" t="s">
        <v>43729</v>
      </c>
      <c r="T11477" t="s">
        <v>44704</v>
      </c>
      <c r="U11477" t="s">
        <v>54345</v>
      </c>
      <c r="V11477" t="s">
        <v>57925</v>
      </c>
      <c r="W11477" t="s">
        <v>42386</v>
      </c>
      <c r="X11477" t="s">
        <v>43182</v>
      </c>
    </row>
    <row r="11478" spans="1:24">
      <c r="A11478">
        <f>HYPERLINK("https://www.philgeps.gov.ph/GEPSNONPILOT/Tender/SplashBidNoticeAbstractUI.aspx?menuIndex=3&amp;refID=7059496&amp;Result=3","7059496")</f>
        <v>0</v>
      </c>
      <c r="B11478" t="s">
        <v>684</v>
      </c>
      <c r="C11478" t="s">
        <v>14373</v>
      </c>
      <c r="D11478" t="s">
        <v>17473</v>
      </c>
      <c r="E11478" t="s">
        <v>27332</v>
      </c>
      <c r="F11478" t="s">
        <v>30052</v>
      </c>
      <c r="G11478" t="s">
        <v>30059</v>
      </c>
      <c r="H11478" t="s">
        <v>15498</v>
      </c>
      <c r="I11478" t="s">
        <v>30100</v>
      </c>
      <c r="J11478" t="s">
        <v>30230</v>
      </c>
      <c r="K11478" t="s">
        <v>39037</v>
      </c>
      <c r="M11478" t="s">
        <v>39990</v>
      </c>
      <c r="N11478" t="s">
        <v>43166</v>
      </c>
      <c r="O11478" t="s">
        <v>43167</v>
      </c>
      <c r="Q11478">
        <v>1</v>
      </c>
      <c r="R11478" t="s">
        <v>43181</v>
      </c>
      <c r="S11478" t="s">
        <v>43741</v>
      </c>
      <c r="T11478" t="s">
        <v>44773</v>
      </c>
      <c r="U11478" t="s">
        <v>54346</v>
      </c>
      <c r="W11478" t="s">
        <v>39990</v>
      </c>
      <c r="X11478" t="s">
        <v>43182</v>
      </c>
    </row>
    <row r="11479" spans="1:24">
      <c r="A11479">
        <f>HYPERLINK("https://www.philgeps.gov.ph/GEPSNONPILOT/Tender/SplashBidNoticeAbstractUI.aspx?menuIndex=3&amp;refID=7059447&amp;Result=3","7059447")</f>
        <v>0</v>
      </c>
      <c r="B11479" t="s">
        <v>2477</v>
      </c>
      <c r="C11479" t="s">
        <v>14374</v>
      </c>
      <c r="D11479" t="s">
        <v>17417</v>
      </c>
      <c r="E11479" t="s">
        <v>27333</v>
      </c>
      <c r="F11479" t="s">
        <v>30052</v>
      </c>
      <c r="G11479" t="s">
        <v>30058</v>
      </c>
      <c r="H11479" t="s">
        <v>15498</v>
      </c>
      <c r="I11479" t="s">
        <v>7228</v>
      </c>
      <c r="J11479" t="s">
        <v>33315</v>
      </c>
      <c r="K11479" t="s">
        <v>39023</v>
      </c>
      <c r="M11479" t="s">
        <v>41977</v>
      </c>
      <c r="N11479" t="s">
        <v>43166</v>
      </c>
      <c r="O11479" t="s">
        <v>43167</v>
      </c>
      <c r="P11479">
        <v>0</v>
      </c>
      <c r="Q11479">
        <v>0</v>
      </c>
      <c r="R11479" t="s">
        <v>43181</v>
      </c>
      <c r="S11479" t="s">
        <v>43729</v>
      </c>
      <c r="T11479" t="s">
        <v>44733</v>
      </c>
      <c r="U11479" t="s">
        <v>54347</v>
      </c>
      <c r="W11479" t="s">
        <v>41977</v>
      </c>
      <c r="X11479" t="s">
        <v>43182</v>
      </c>
    </row>
    <row r="11480" spans="1:24">
      <c r="A11480">
        <f>HYPERLINK("https://www.philgeps.gov.ph/GEPSNONPILOT/Tender/SplashBidNoticeAbstractUI.aspx?menuIndex=3&amp;refID=7059433&amp;Result=3","7059433")</f>
        <v>0</v>
      </c>
      <c r="B11480" t="s">
        <v>3127</v>
      </c>
      <c r="C11480" t="s">
        <v>14375</v>
      </c>
      <c r="D11480" t="s">
        <v>17427</v>
      </c>
      <c r="E11480" t="s">
        <v>27334</v>
      </c>
      <c r="F11480" t="s">
        <v>30052</v>
      </c>
      <c r="G11480" t="s">
        <v>30058</v>
      </c>
      <c r="H11480" t="s">
        <v>15498</v>
      </c>
      <c r="I11480" t="s">
        <v>30084</v>
      </c>
      <c r="J11480" t="s">
        <v>37207</v>
      </c>
      <c r="K11480" t="s">
        <v>39046</v>
      </c>
      <c r="M11480" t="s">
        <v>42727</v>
      </c>
      <c r="N11480" t="s">
        <v>43166</v>
      </c>
      <c r="O11480" t="s">
        <v>43167</v>
      </c>
      <c r="P11480">
        <v>0</v>
      </c>
      <c r="Q11480">
        <v>7</v>
      </c>
      <c r="R11480" t="s">
        <v>43181</v>
      </c>
      <c r="S11480" t="s">
        <v>43729</v>
      </c>
      <c r="T11480" t="s">
        <v>45012</v>
      </c>
      <c r="U11480" t="s">
        <v>54348</v>
      </c>
      <c r="V11480" t="s">
        <v>54348</v>
      </c>
      <c r="W11480" t="s">
        <v>42727</v>
      </c>
      <c r="X11480" t="s">
        <v>43182</v>
      </c>
    </row>
    <row r="11481" spans="1:24">
      <c r="A11481">
        <f>HYPERLINK("https://www.philgeps.gov.ph/GEPSNONPILOT/Tender/SplashBidNoticeAbstractUI.aspx?menuIndex=3&amp;refID=7059411&amp;Result=3","7059411")</f>
        <v>0</v>
      </c>
      <c r="B11481" t="s">
        <v>2840</v>
      </c>
      <c r="C11481" t="s">
        <v>14376</v>
      </c>
      <c r="D11481" t="s">
        <v>17456</v>
      </c>
      <c r="E11481" t="s">
        <v>27335</v>
      </c>
      <c r="F11481" t="s">
        <v>30052</v>
      </c>
      <c r="G11481" t="s">
        <v>30058</v>
      </c>
      <c r="H11481" t="s">
        <v>15498</v>
      </c>
      <c r="I11481" t="s">
        <v>3736</v>
      </c>
      <c r="J11481" t="s">
        <v>37208</v>
      </c>
      <c r="K11481" t="s">
        <v>39064</v>
      </c>
      <c r="M11481" t="s">
        <v>42386</v>
      </c>
      <c r="N11481" t="s">
        <v>43166</v>
      </c>
      <c r="O11481" t="s">
        <v>43167</v>
      </c>
      <c r="P11481">
        <v>0</v>
      </c>
      <c r="Q11481">
        <v>3</v>
      </c>
      <c r="R11481" t="s">
        <v>43181</v>
      </c>
      <c r="S11481" t="s">
        <v>43729</v>
      </c>
      <c r="T11481" t="s">
        <v>44704</v>
      </c>
      <c r="U11481" t="s">
        <v>54349</v>
      </c>
      <c r="W11481" t="s">
        <v>42386</v>
      </c>
      <c r="X11481" t="s">
        <v>43182</v>
      </c>
    </row>
    <row r="11482" spans="1:24">
      <c r="A11482">
        <f>HYPERLINK("https://www.philgeps.gov.ph/GEPSNONPILOT/Tender/SplashBidNoticeAbstractUI.aspx?menuIndex=3&amp;refID=7059403&amp;Result=3","7059403")</f>
        <v>0</v>
      </c>
      <c r="B11482" t="s">
        <v>2622</v>
      </c>
      <c r="C11482" t="s">
        <v>14377</v>
      </c>
      <c r="D11482" t="s">
        <v>17416</v>
      </c>
      <c r="E11482" t="s">
        <v>27336</v>
      </c>
      <c r="F11482" t="s">
        <v>30052</v>
      </c>
      <c r="G11482" t="s">
        <v>30058</v>
      </c>
      <c r="H11482" t="s">
        <v>15498</v>
      </c>
      <c r="I11482" t="s">
        <v>3736</v>
      </c>
      <c r="J11482" t="s">
        <v>37209</v>
      </c>
      <c r="K11482" t="s">
        <v>39086</v>
      </c>
      <c r="M11482" t="s">
        <v>42135</v>
      </c>
      <c r="N11482" t="s">
        <v>43166</v>
      </c>
      <c r="O11482" t="s">
        <v>43167</v>
      </c>
      <c r="P11482">
        <v>0</v>
      </c>
      <c r="Q11482">
        <v>2</v>
      </c>
      <c r="R11482" t="s">
        <v>43181</v>
      </c>
      <c r="S11482" t="s">
        <v>43729</v>
      </c>
      <c r="T11482" t="s">
        <v>44695</v>
      </c>
      <c r="U11482" t="s">
        <v>54350</v>
      </c>
      <c r="W11482" t="s">
        <v>58682</v>
      </c>
      <c r="X11482" t="s">
        <v>43182</v>
      </c>
    </row>
    <row r="11483" spans="1:24">
      <c r="A11483">
        <f>HYPERLINK("https://www.philgeps.gov.ph/GEPSNONPILOT/Tender/SplashBidNoticeAbstractUI.aspx?menuIndex=3&amp;refID=7059470&amp;Result=3","7059470")</f>
        <v>0</v>
      </c>
      <c r="B11483" t="s">
        <v>3122</v>
      </c>
      <c r="C11483" t="s">
        <v>14378</v>
      </c>
      <c r="D11483" t="s">
        <v>17452</v>
      </c>
      <c r="E11483" t="s">
        <v>27337</v>
      </c>
      <c r="F11483" t="s">
        <v>30052</v>
      </c>
      <c r="G11483" t="s">
        <v>30058</v>
      </c>
      <c r="H11483" t="s">
        <v>15498</v>
      </c>
      <c r="I11483" t="s">
        <v>30138</v>
      </c>
      <c r="J11483" t="s">
        <v>37210</v>
      </c>
      <c r="K11483" t="s">
        <v>39034</v>
      </c>
      <c r="M11483" t="s">
        <v>42719</v>
      </c>
      <c r="N11483" t="s">
        <v>43166</v>
      </c>
      <c r="O11483" t="s">
        <v>43167</v>
      </c>
      <c r="P11483">
        <v>0</v>
      </c>
      <c r="Q11483">
        <v>2</v>
      </c>
      <c r="R11483" t="s">
        <v>43181</v>
      </c>
      <c r="S11483" t="s">
        <v>43729</v>
      </c>
      <c r="T11483" t="s">
        <v>44733</v>
      </c>
      <c r="U11483" t="s">
        <v>54351</v>
      </c>
      <c r="V11483" t="s">
        <v>58106</v>
      </c>
      <c r="W11483" t="s">
        <v>42719</v>
      </c>
      <c r="X11483" t="s">
        <v>43182</v>
      </c>
    </row>
    <row r="11484" spans="1:24">
      <c r="A11484">
        <f>HYPERLINK("https://www.philgeps.gov.ph/GEPSNONPILOT/Tender/SplashBidNoticeAbstractUI.aspx?menuIndex=3&amp;refID=7059463&amp;Result=3","7059463")</f>
        <v>0</v>
      </c>
      <c r="B11484" t="s">
        <v>1282</v>
      </c>
      <c r="C11484" t="s">
        <v>14379</v>
      </c>
      <c r="D11484" t="s">
        <v>17467</v>
      </c>
      <c r="E11484" t="s">
        <v>27338</v>
      </c>
      <c r="F11484" t="s">
        <v>30052</v>
      </c>
      <c r="G11484" t="s">
        <v>30058</v>
      </c>
      <c r="H11484" t="s">
        <v>15498</v>
      </c>
      <c r="I11484" t="s">
        <v>3736</v>
      </c>
      <c r="J11484" t="s">
        <v>37211</v>
      </c>
      <c r="K11484" t="s">
        <v>39052</v>
      </c>
      <c r="L11484" t="s">
        <v>1282</v>
      </c>
      <c r="M11484" t="s">
        <v>40646</v>
      </c>
      <c r="N11484" t="s">
        <v>43166</v>
      </c>
      <c r="O11484" t="s">
        <v>43167</v>
      </c>
      <c r="P11484">
        <v>0</v>
      </c>
      <c r="Q11484">
        <v>1</v>
      </c>
      <c r="R11484" t="s">
        <v>43181</v>
      </c>
      <c r="S11484" t="s">
        <v>43729</v>
      </c>
      <c r="T11484" t="s">
        <v>44841</v>
      </c>
      <c r="U11484" t="s">
        <v>48024</v>
      </c>
      <c r="W11484" t="s">
        <v>40646</v>
      </c>
      <c r="X11484" t="s">
        <v>43182</v>
      </c>
    </row>
    <row r="11485" spans="1:24">
      <c r="A11485">
        <f>HYPERLINK("https://www.philgeps.gov.ph/GEPSNONPILOT/Tender/SplashBidNoticeAbstractUI.aspx?menuIndex=3&amp;refID=7059436&amp;Result=3","7059436")</f>
        <v>0</v>
      </c>
      <c r="B11485" t="s">
        <v>2470</v>
      </c>
      <c r="C11485" t="s">
        <v>14380</v>
      </c>
      <c r="D11485" t="s">
        <v>17419</v>
      </c>
      <c r="E11485" t="s">
        <v>27339</v>
      </c>
      <c r="F11485" t="s">
        <v>30052</v>
      </c>
      <c r="G11485" t="s">
        <v>30058</v>
      </c>
      <c r="H11485" t="s">
        <v>15498</v>
      </c>
      <c r="I11485" t="s">
        <v>3736</v>
      </c>
      <c r="J11485" t="s">
        <v>37212</v>
      </c>
      <c r="K11485" t="s">
        <v>39017</v>
      </c>
      <c r="M11485" t="s">
        <v>41970</v>
      </c>
      <c r="N11485" t="s">
        <v>43166</v>
      </c>
      <c r="O11485" t="s">
        <v>43167</v>
      </c>
      <c r="P11485">
        <v>0</v>
      </c>
      <c r="Q11485">
        <v>0</v>
      </c>
      <c r="R11485" t="s">
        <v>43181</v>
      </c>
      <c r="S11485" t="s">
        <v>43729</v>
      </c>
      <c r="T11485" t="s">
        <v>44687</v>
      </c>
      <c r="U11485" t="s">
        <v>54352</v>
      </c>
      <c r="W11485" t="s">
        <v>41970</v>
      </c>
      <c r="X11485" t="s">
        <v>43182</v>
      </c>
    </row>
    <row r="11486" spans="1:24">
      <c r="A11486">
        <f>HYPERLINK("https://www.philgeps.gov.ph/GEPSNONPILOT/Tender/SplashBidNoticeAbstractUI.aspx?menuIndex=3&amp;refID=7059400&amp;Result=3","7059400")</f>
        <v>0</v>
      </c>
      <c r="B11486" t="s">
        <v>2494</v>
      </c>
      <c r="C11486" t="s">
        <v>14381</v>
      </c>
      <c r="D11486" t="s">
        <v>17422</v>
      </c>
      <c r="E11486" t="s">
        <v>24659</v>
      </c>
      <c r="F11486" t="s">
        <v>30052</v>
      </c>
      <c r="G11486" t="s">
        <v>30058</v>
      </c>
      <c r="H11486" t="s">
        <v>15498</v>
      </c>
      <c r="I11486" t="s">
        <v>30099</v>
      </c>
      <c r="J11486" t="s">
        <v>30494</v>
      </c>
      <c r="K11486" t="s">
        <v>39046</v>
      </c>
      <c r="M11486" t="s">
        <v>41996</v>
      </c>
      <c r="N11486" t="s">
        <v>43166</v>
      </c>
      <c r="O11486" t="s">
        <v>43167</v>
      </c>
      <c r="P11486">
        <v>0</v>
      </c>
      <c r="Q11486">
        <v>2</v>
      </c>
      <c r="R11486" t="s">
        <v>43181</v>
      </c>
      <c r="S11486" t="s">
        <v>43729</v>
      </c>
      <c r="T11486" t="s">
        <v>44721</v>
      </c>
      <c r="U11486" t="s">
        <v>54353</v>
      </c>
      <c r="W11486" t="s">
        <v>41996</v>
      </c>
      <c r="X11486" t="s">
        <v>43182</v>
      </c>
    </row>
    <row r="11487" spans="1:24">
      <c r="A11487">
        <f>HYPERLINK("https://www.philgeps.gov.ph/GEPSNONPILOT/Tender/SplashBidNoticeAbstractUI.aspx?menuIndex=3&amp;refID=7059739&amp;Result=3","7059739")</f>
        <v>0</v>
      </c>
      <c r="B11487" t="s">
        <v>2969</v>
      </c>
      <c r="C11487" t="s">
        <v>14382</v>
      </c>
      <c r="E11487" t="s">
        <v>27340</v>
      </c>
      <c r="F11487" t="s">
        <v>30052</v>
      </c>
      <c r="G11487" t="s">
        <v>30058</v>
      </c>
      <c r="H11487" t="s">
        <v>30067</v>
      </c>
      <c r="I11487" t="s">
        <v>3693</v>
      </c>
      <c r="J11487" t="s">
        <v>37213</v>
      </c>
      <c r="K11487" t="s">
        <v>39023</v>
      </c>
      <c r="M11487" t="s">
        <v>42536</v>
      </c>
      <c r="N11487" t="s">
        <v>43166</v>
      </c>
      <c r="O11487" t="s">
        <v>43167</v>
      </c>
      <c r="P11487">
        <v>0</v>
      </c>
      <c r="Q11487">
        <v>1</v>
      </c>
      <c r="R11487" t="s">
        <v>43181</v>
      </c>
      <c r="S11487" t="s">
        <v>43729</v>
      </c>
      <c r="T11487" t="s">
        <v>44750</v>
      </c>
      <c r="U11487" t="s">
        <v>54354</v>
      </c>
      <c r="W11487" t="s">
        <v>42536</v>
      </c>
      <c r="X11487" t="s">
        <v>43182</v>
      </c>
    </row>
    <row r="11488" spans="1:24">
      <c r="A11488">
        <f>HYPERLINK("https://www.philgeps.gov.ph/GEPSNONPILOT/Tender/SplashBidNoticeAbstractUI.aspx?menuIndex=3&amp;refID=7059313&amp;Result=3","7059313")</f>
        <v>0</v>
      </c>
      <c r="B11488" t="s">
        <v>2840</v>
      </c>
      <c r="C11488" t="s">
        <v>14383</v>
      </c>
      <c r="D11488" t="s">
        <v>17456</v>
      </c>
      <c r="E11488" t="s">
        <v>27341</v>
      </c>
      <c r="F11488" t="s">
        <v>30052</v>
      </c>
      <c r="G11488" t="s">
        <v>30058</v>
      </c>
      <c r="H11488" t="s">
        <v>15498</v>
      </c>
      <c r="I11488" t="s">
        <v>3736</v>
      </c>
      <c r="J11488" t="s">
        <v>37214</v>
      </c>
      <c r="K11488" t="s">
        <v>39064</v>
      </c>
      <c r="M11488" t="s">
        <v>42386</v>
      </c>
      <c r="N11488" t="s">
        <v>43166</v>
      </c>
      <c r="O11488" t="s">
        <v>43167</v>
      </c>
      <c r="P11488">
        <v>0</v>
      </c>
      <c r="Q11488">
        <v>4</v>
      </c>
      <c r="R11488" t="s">
        <v>43181</v>
      </c>
      <c r="S11488" t="s">
        <v>43729</v>
      </c>
      <c r="T11488" t="s">
        <v>44704</v>
      </c>
      <c r="U11488" t="s">
        <v>54355</v>
      </c>
      <c r="V11488" t="s">
        <v>57925</v>
      </c>
      <c r="W11488" t="s">
        <v>42386</v>
      </c>
      <c r="X11488" t="s">
        <v>43182</v>
      </c>
    </row>
    <row r="11489" spans="1:24">
      <c r="A11489">
        <f>HYPERLINK("https://www.philgeps.gov.ph/GEPSNONPILOT/Tender/SplashBidNoticeAbstractUI.aspx?menuIndex=3&amp;refID=7059718&amp;Result=3","7059718")</f>
        <v>0</v>
      </c>
      <c r="B11489" t="s">
        <v>2021</v>
      </c>
      <c r="C11489" t="s">
        <v>14384</v>
      </c>
      <c r="D11489" t="s">
        <v>17476</v>
      </c>
      <c r="E11489" t="s">
        <v>19805</v>
      </c>
      <c r="F11489" t="s">
        <v>30052</v>
      </c>
      <c r="G11489" t="s">
        <v>30058</v>
      </c>
      <c r="H11489" t="s">
        <v>15498</v>
      </c>
      <c r="I11489" t="s">
        <v>7228</v>
      </c>
      <c r="J11489" t="s">
        <v>35620</v>
      </c>
      <c r="K11489" t="s">
        <v>39125</v>
      </c>
      <c r="M11489" t="s">
        <v>41466</v>
      </c>
      <c r="N11489" t="s">
        <v>43166</v>
      </c>
      <c r="O11489" t="s">
        <v>43167</v>
      </c>
      <c r="P11489">
        <v>0</v>
      </c>
      <c r="Q11489">
        <v>0</v>
      </c>
      <c r="R11489" t="s">
        <v>43181</v>
      </c>
      <c r="S11489" t="s">
        <v>43729</v>
      </c>
      <c r="T11489" t="s">
        <v>44727</v>
      </c>
      <c r="U11489" t="s">
        <v>54356</v>
      </c>
      <c r="W11489" t="s">
        <v>41466</v>
      </c>
      <c r="X11489" t="s">
        <v>43182</v>
      </c>
    </row>
    <row r="11490" spans="1:24">
      <c r="A11490">
        <f>HYPERLINK("https://www.philgeps.gov.ph/GEPSNONPILOT/Tender/SplashBidNoticeAbstractUI.aspx?menuIndex=3&amp;refID=7059396&amp;Result=3","7059396")</f>
        <v>0</v>
      </c>
      <c r="B11490" t="s">
        <v>454</v>
      </c>
      <c r="C11490" t="s">
        <v>14385</v>
      </c>
      <c r="D11490" t="s">
        <v>17452</v>
      </c>
      <c r="E11490" t="s">
        <v>27342</v>
      </c>
      <c r="F11490" t="s">
        <v>30052</v>
      </c>
      <c r="G11490" t="s">
        <v>30058</v>
      </c>
      <c r="H11490" t="s">
        <v>30067</v>
      </c>
      <c r="I11490" t="s">
        <v>3693</v>
      </c>
      <c r="J11490" t="s">
        <v>37215</v>
      </c>
      <c r="K11490" t="s">
        <v>39259</v>
      </c>
      <c r="M11490" t="s">
        <v>39754</v>
      </c>
      <c r="N11490" t="s">
        <v>43166</v>
      </c>
      <c r="O11490" t="s">
        <v>43167</v>
      </c>
      <c r="P11490">
        <v>0</v>
      </c>
      <c r="Q11490">
        <v>1</v>
      </c>
      <c r="R11490" t="s">
        <v>43181</v>
      </c>
      <c r="S11490" t="s">
        <v>43729</v>
      </c>
      <c r="T11490" t="s">
        <v>44681</v>
      </c>
      <c r="U11490" t="s">
        <v>52554</v>
      </c>
      <c r="W11490" t="s">
        <v>39754</v>
      </c>
      <c r="X11490" t="s">
        <v>43182</v>
      </c>
    </row>
    <row r="11491" spans="1:24">
      <c r="A11491">
        <f>HYPERLINK("https://www.philgeps.gov.ph/GEPSNONPILOT/Tender/SplashBidNoticeAbstractUI.aspx?menuIndex=3&amp;refID=7059745&amp;Result=3","7059745")</f>
        <v>0</v>
      </c>
      <c r="B11491" t="s">
        <v>2098</v>
      </c>
      <c r="C11491" t="s">
        <v>14386</v>
      </c>
      <c r="D11491" t="s">
        <v>17414</v>
      </c>
      <c r="E11491" t="s">
        <v>27343</v>
      </c>
      <c r="F11491" t="s">
        <v>30052</v>
      </c>
      <c r="G11491" t="s">
        <v>30058</v>
      </c>
      <c r="H11491" t="s">
        <v>30067</v>
      </c>
      <c r="I11491" t="s">
        <v>3693</v>
      </c>
      <c r="J11491" t="s">
        <v>37216</v>
      </c>
      <c r="K11491" t="s">
        <v>39133</v>
      </c>
      <c r="M11491" t="s">
        <v>42002</v>
      </c>
      <c r="N11491" t="s">
        <v>43166</v>
      </c>
      <c r="O11491" t="s">
        <v>43167</v>
      </c>
      <c r="P11491">
        <v>0</v>
      </c>
      <c r="Q11491">
        <v>3</v>
      </c>
      <c r="R11491" t="s">
        <v>43181</v>
      </c>
      <c r="S11491" t="s">
        <v>43729</v>
      </c>
      <c r="T11491" t="s">
        <v>44754</v>
      </c>
      <c r="U11491" t="s">
        <v>54357</v>
      </c>
      <c r="W11491" t="s">
        <v>42002</v>
      </c>
      <c r="X11491" t="s">
        <v>43182</v>
      </c>
    </row>
    <row r="11492" spans="1:24">
      <c r="A11492">
        <f>HYPERLINK("https://www.philgeps.gov.ph/GEPSNONPILOT/Tender/SplashBidNoticeAbstractUI.aspx?menuIndex=3&amp;refID=7059513&amp;Result=3","7059513")</f>
        <v>0</v>
      </c>
      <c r="B11492" t="s">
        <v>3121</v>
      </c>
      <c r="C11492" t="s">
        <v>14387</v>
      </c>
      <c r="D11492" t="s">
        <v>17464</v>
      </c>
      <c r="E11492" t="s">
        <v>27344</v>
      </c>
      <c r="F11492" t="s">
        <v>30052</v>
      </c>
      <c r="G11492" t="s">
        <v>30058</v>
      </c>
      <c r="H11492" t="s">
        <v>15498</v>
      </c>
      <c r="I11492" t="s">
        <v>30097</v>
      </c>
      <c r="J11492" t="s">
        <v>37217</v>
      </c>
      <c r="K11492" t="s">
        <v>39019</v>
      </c>
      <c r="M11492" t="s">
        <v>42718</v>
      </c>
      <c r="N11492" t="s">
        <v>43166</v>
      </c>
      <c r="O11492" t="s">
        <v>43167</v>
      </c>
      <c r="P11492">
        <v>0</v>
      </c>
      <c r="Q11492">
        <v>11</v>
      </c>
      <c r="R11492" t="s">
        <v>43181</v>
      </c>
      <c r="S11492" t="s">
        <v>43729</v>
      </c>
      <c r="T11492" t="s">
        <v>44718</v>
      </c>
      <c r="U11492" t="s">
        <v>54358</v>
      </c>
      <c r="W11492" t="s">
        <v>42718</v>
      </c>
      <c r="X11492" t="s">
        <v>43182</v>
      </c>
    </row>
    <row r="11493" spans="1:24">
      <c r="A11493">
        <f>HYPERLINK("https://www.philgeps.gov.ph/GEPSNONPILOT/Tender/SplashBidNoticeAbstractUI.aspx?menuIndex=3&amp;refID=7059711&amp;Result=3","7059711")</f>
        <v>0</v>
      </c>
      <c r="B11493" t="s">
        <v>2969</v>
      </c>
      <c r="C11493" t="s">
        <v>14388</v>
      </c>
      <c r="E11493" t="s">
        <v>27345</v>
      </c>
      <c r="F11493" t="s">
        <v>30052</v>
      </c>
      <c r="G11493" t="s">
        <v>30058</v>
      </c>
      <c r="H11493" t="s">
        <v>30067</v>
      </c>
      <c r="I11493" t="s">
        <v>3693</v>
      </c>
      <c r="J11493" t="s">
        <v>37218</v>
      </c>
      <c r="K11493" t="s">
        <v>39023</v>
      </c>
      <c r="M11493" t="s">
        <v>42536</v>
      </c>
      <c r="N11493" t="s">
        <v>43166</v>
      </c>
      <c r="O11493" t="s">
        <v>43167</v>
      </c>
      <c r="P11493">
        <v>0</v>
      </c>
      <c r="Q11493">
        <v>0</v>
      </c>
      <c r="R11493" t="s">
        <v>43181</v>
      </c>
      <c r="S11493" t="s">
        <v>43729</v>
      </c>
      <c r="T11493" t="s">
        <v>44780</v>
      </c>
      <c r="U11493" t="s">
        <v>54359</v>
      </c>
      <c r="W11493" t="s">
        <v>42536</v>
      </c>
      <c r="X11493" t="s">
        <v>43182</v>
      </c>
    </row>
    <row r="11494" spans="1:24">
      <c r="A11494">
        <f>HYPERLINK("https://www.philgeps.gov.ph/GEPSNONPILOT/Tender/SplashBidNoticeAbstractUI.aspx?menuIndex=3&amp;refID=7059123&amp;Result=3","7059123")</f>
        <v>0</v>
      </c>
      <c r="B11494" t="s">
        <v>2477</v>
      </c>
      <c r="C11494" t="s">
        <v>14389</v>
      </c>
      <c r="D11494" t="s">
        <v>17417</v>
      </c>
      <c r="E11494" t="s">
        <v>27346</v>
      </c>
      <c r="F11494" t="s">
        <v>30052</v>
      </c>
      <c r="G11494" t="s">
        <v>30058</v>
      </c>
      <c r="H11494" t="s">
        <v>15498</v>
      </c>
      <c r="I11494" t="s">
        <v>7228</v>
      </c>
      <c r="J11494" t="s">
        <v>37219</v>
      </c>
      <c r="K11494" t="s">
        <v>39023</v>
      </c>
      <c r="M11494" t="s">
        <v>41977</v>
      </c>
      <c r="N11494" t="s">
        <v>43166</v>
      </c>
      <c r="O11494" t="s">
        <v>43167</v>
      </c>
      <c r="P11494">
        <v>0</v>
      </c>
      <c r="Q11494">
        <v>0</v>
      </c>
      <c r="R11494" t="s">
        <v>43181</v>
      </c>
      <c r="S11494" t="s">
        <v>43729</v>
      </c>
      <c r="T11494" t="s">
        <v>44733</v>
      </c>
      <c r="U11494" t="s">
        <v>54360</v>
      </c>
      <c r="W11494" t="s">
        <v>41977</v>
      </c>
      <c r="X11494" t="s">
        <v>43182</v>
      </c>
    </row>
    <row r="11495" spans="1:24">
      <c r="A11495">
        <f>HYPERLINK("https://www.philgeps.gov.ph/GEPSNONPILOT/Tender/SplashBidNoticeAbstractUI.aspx?menuIndex=3&amp;refID=7059624&amp;Result=3","7059624")</f>
        <v>0</v>
      </c>
      <c r="B11495" t="s">
        <v>3128</v>
      </c>
      <c r="C11495" t="s">
        <v>14390</v>
      </c>
      <c r="D11495" t="s">
        <v>17446</v>
      </c>
      <c r="E11495" t="s">
        <v>27347</v>
      </c>
      <c r="F11495" t="s">
        <v>30052</v>
      </c>
      <c r="G11495" t="s">
        <v>30058</v>
      </c>
      <c r="H11495" t="s">
        <v>15498</v>
      </c>
      <c r="I11495" t="s">
        <v>30088</v>
      </c>
      <c r="J11495" t="s">
        <v>37220</v>
      </c>
      <c r="K11495" t="s">
        <v>39025</v>
      </c>
      <c r="M11495" t="s">
        <v>42728</v>
      </c>
      <c r="N11495" t="s">
        <v>43166</v>
      </c>
      <c r="O11495" t="s">
        <v>43167</v>
      </c>
      <c r="Q11495">
        <v>54</v>
      </c>
      <c r="R11495" t="s">
        <v>43181</v>
      </c>
      <c r="S11495" t="s">
        <v>43742</v>
      </c>
      <c r="T11495" t="s">
        <v>44724</v>
      </c>
      <c r="U11495" t="s">
        <v>54361</v>
      </c>
      <c r="W11495" t="s">
        <v>42728</v>
      </c>
      <c r="X11495" t="s">
        <v>43182</v>
      </c>
    </row>
    <row r="11496" spans="1:24">
      <c r="A11496">
        <f>HYPERLINK("https://www.philgeps.gov.ph/GEPSNONPILOT/Tender/SplashBidNoticeAbstractUI.aspx?menuIndex=3&amp;refID=7059605&amp;Result=3","7059605")</f>
        <v>0</v>
      </c>
      <c r="B11496" t="s">
        <v>3122</v>
      </c>
      <c r="C11496" t="s">
        <v>14391</v>
      </c>
      <c r="D11496" t="s">
        <v>17452</v>
      </c>
      <c r="E11496" t="s">
        <v>27348</v>
      </c>
      <c r="F11496" t="s">
        <v>30052</v>
      </c>
      <c r="G11496" t="s">
        <v>30058</v>
      </c>
      <c r="H11496" t="s">
        <v>15498</v>
      </c>
      <c r="I11496" t="s">
        <v>30084</v>
      </c>
      <c r="J11496" t="s">
        <v>37221</v>
      </c>
      <c r="K11496" t="s">
        <v>39034</v>
      </c>
      <c r="M11496" t="s">
        <v>42719</v>
      </c>
      <c r="N11496" t="s">
        <v>43166</v>
      </c>
      <c r="O11496" t="s">
        <v>43167</v>
      </c>
      <c r="P11496">
        <v>0</v>
      </c>
      <c r="Q11496">
        <v>4</v>
      </c>
      <c r="R11496" t="s">
        <v>43181</v>
      </c>
      <c r="S11496" t="s">
        <v>43729</v>
      </c>
      <c r="T11496" t="s">
        <v>44733</v>
      </c>
      <c r="U11496" t="s">
        <v>54362</v>
      </c>
      <c r="V11496" t="s">
        <v>58106</v>
      </c>
      <c r="W11496" t="s">
        <v>42719</v>
      </c>
      <c r="X11496" t="s">
        <v>43182</v>
      </c>
    </row>
    <row r="11497" spans="1:24">
      <c r="A11497">
        <f>HYPERLINK("https://www.philgeps.gov.ph/GEPSNONPILOT/Tender/SplashBidNoticeAbstractUI.aspx?menuIndex=3&amp;refID=7059663&amp;Result=3","7059663")</f>
        <v>0</v>
      </c>
      <c r="B11497" t="s">
        <v>2021</v>
      </c>
      <c r="C11497" t="s">
        <v>14392</v>
      </c>
      <c r="D11497" t="s">
        <v>17476</v>
      </c>
      <c r="E11497" t="s">
        <v>27349</v>
      </c>
      <c r="F11497" t="s">
        <v>30052</v>
      </c>
      <c r="G11497" t="s">
        <v>30058</v>
      </c>
      <c r="H11497" t="s">
        <v>15498</v>
      </c>
      <c r="I11497" t="s">
        <v>7228</v>
      </c>
      <c r="J11497" t="s">
        <v>31447</v>
      </c>
      <c r="K11497" t="s">
        <v>39140</v>
      </c>
      <c r="M11497" t="s">
        <v>41466</v>
      </c>
      <c r="N11497" t="s">
        <v>43166</v>
      </c>
      <c r="O11497" t="s">
        <v>43167</v>
      </c>
      <c r="P11497">
        <v>0</v>
      </c>
      <c r="Q11497">
        <v>0</v>
      </c>
      <c r="R11497" t="s">
        <v>43181</v>
      </c>
      <c r="S11497" t="s">
        <v>43729</v>
      </c>
      <c r="T11497" t="s">
        <v>44733</v>
      </c>
      <c r="U11497" t="s">
        <v>54363</v>
      </c>
      <c r="W11497" t="s">
        <v>41466</v>
      </c>
      <c r="X11497" t="s">
        <v>43182</v>
      </c>
    </row>
    <row r="11498" spans="1:24">
      <c r="A11498">
        <f>HYPERLINK("https://www.philgeps.gov.ph/GEPSNONPILOT/Tender/SplashBidNoticeAbstractUI.aspx?menuIndex=3&amp;refID=7059906&amp;Result=3","7059906")</f>
        <v>0</v>
      </c>
      <c r="B11498" t="s">
        <v>2543</v>
      </c>
      <c r="C11498" t="s">
        <v>14393</v>
      </c>
      <c r="D11498" t="s">
        <v>17415</v>
      </c>
      <c r="E11498" t="s">
        <v>27350</v>
      </c>
      <c r="F11498" t="s">
        <v>30052</v>
      </c>
      <c r="G11498" t="s">
        <v>30058</v>
      </c>
      <c r="H11498" t="s">
        <v>15498</v>
      </c>
      <c r="I11498" t="s">
        <v>30084</v>
      </c>
      <c r="J11498" t="s">
        <v>37222</v>
      </c>
      <c r="K11498" t="s">
        <v>39057</v>
      </c>
      <c r="M11498" t="s">
        <v>42050</v>
      </c>
      <c r="N11498" t="s">
        <v>43166</v>
      </c>
      <c r="O11498" t="s">
        <v>43167</v>
      </c>
      <c r="P11498">
        <v>0</v>
      </c>
      <c r="Q11498">
        <v>26</v>
      </c>
      <c r="R11498" t="s">
        <v>43181</v>
      </c>
      <c r="S11498" t="s">
        <v>43729</v>
      </c>
      <c r="T11498" t="s">
        <v>44690</v>
      </c>
      <c r="U11498" t="s">
        <v>54364</v>
      </c>
      <c r="W11498" t="s">
        <v>42050</v>
      </c>
      <c r="X11498" t="s">
        <v>43182</v>
      </c>
    </row>
    <row r="11499" spans="1:24">
      <c r="A11499">
        <f>HYPERLINK("https://www.philgeps.gov.ph/GEPSNONPILOT/Tender/SplashBidNoticeAbstractUI.aspx?menuIndex=3&amp;refID=7059647&amp;Result=3","7059647")</f>
        <v>0</v>
      </c>
      <c r="B11499" t="s">
        <v>1317</v>
      </c>
      <c r="C11499" t="s">
        <v>14394</v>
      </c>
      <c r="D11499" t="s">
        <v>17466</v>
      </c>
      <c r="E11499" t="s">
        <v>27351</v>
      </c>
      <c r="F11499" t="s">
        <v>30052</v>
      </c>
      <c r="G11499" t="s">
        <v>30060</v>
      </c>
      <c r="H11499" t="s">
        <v>15498</v>
      </c>
      <c r="I11499" t="s">
        <v>30075</v>
      </c>
      <c r="J11499" t="s">
        <v>37223</v>
      </c>
      <c r="K11499" t="s">
        <v>39039</v>
      </c>
      <c r="M11499" t="s">
        <v>40684</v>
      </c>
      <c r="N11499" t="s">
        <v>43166</v>
      </c>
      <c r="O11499" t="s">
        <v>43167</v>
      </c>
      <c r="P11499">
        <v>0</v>
      </c>
      <c r="Q11499">
        <v>1</v>
      </c>
      <c r="R11499" t="s">
        <v>43181</v>
      </c>
      <c r="S11499" t="s">
        <v>43729</v>
      </c>
      <c r="T11499" t="s">
        <v>44816</v>
      </c>
      <c r="U11499" t="s">
        <v>54365</v>
      </c>
      <c r="W11499" t="s">
        <v>40684</v>
      </c>
      <c r="X11499" t="s">
        <v>43182</v>
      </c>
    </row>
    <row r="11500" spans="1:24">
      <c r="A11500">
        <f>HYPERLINK("https://www.philgeps.gov.ph/GEPSNONPILOT/Tender/SplashBidNoticeAbstractUI.aspx?menuIndex=3&amp;refID=7059887&amp;Result=3","7059887")</f>
        <v>0</v>
      </c>
      <c r="B11500" t="s">
        <v>623</v>
      </c>
      <c r="C11500" t="s">
        <v>14395</v>
      </c>
      <c r="D11500" t="s">
        <v>17449</v>
      </c>
      <c r="E11500" t="s">
        <v>27352</v>
      </c>
      <c r="F11500" t="s">
        <v>30052</v>
      </c>
      <c r="G11500" t="s">
        <v>30058</v>
      </c>
      <c r="H11500" t="s">
        <v>30067</v>
      </c>
      <c r="I11500" t="s">
        <v>3693</v>
      </c>
      <c r="J11500" t="s">
        <v>31851</v>
      </c>
      <c r="K11500" t="s">
        <v>39057</v>
      </c>
      <c r="M11500" t="s">
        <v>42131</v>
      </c>
      <c r="N11500" t="s">
        <v>43166</v>
      </c>
      <c r="O11500" t="s">
        <v>43167</v>
      </c>
      <c r="P11500">
        <v>0</v>
      </c>
      <c r="Q11500">
        <v>2</v>
      </c>
      <c r="R11500" t="s">
        <v>43181</v>
      </c>
      <c r="S11500" t="s">
        <v>43729</v>
      </c>
      <c r="T11500" t="s">
        <v>44741</v>
      </c>
      <c r="U11500" t="s">
        <v>49311</v>
      </c>
      <c r="W11500" t="s">
        <v>42131</v>
      </c>
      <c r="X11500" t="s">
        <v>43182</v>
      </c>
    </row>
    <row r="11501" spans="1:24">
      <c r="A11501">
        <f>HYPERLINK("https://www.philgeps.gov.ph/GEPSNONPILOT/Tender/SplashBidNoticeAbstractUI.aspx?menuIndex=3&amp;refID=7059880&amp;Result=3","7059880")</f>
        <v>0</v>
      </c>
      <c r="B11501" t="s">
        <v>2103</v>
      </c>
      <c r="C11501" t="s">
        <v>14396</v>
      </c>
      <c r="D11501" t="s">
        <v>17453</v>
      </c>
      <c r="E11501" t="s">
        <v>27353</v>
      </c>
      <c r="F11501" t="s">
        <v>30052</v>
      </c>
      <c r="G11501" t="s">
        <v>30058</v>
      </c>
      <c r="H11501" t="s">
        <v>30067</v>
      </c>
      <c r="I11501" t="s">
        <v>3693</v>
      </c>
      <c r="J11501" t="s">
        <v>37224</v>
      </c>
      <c r="K11501" t="s">
        <v>39026</v>
      </c>
      <c r="M11501" t="s">
        <v>42729</v>
      </c>
      <c r="N11501" t="s">
        <v>43166</v>
      </c>
      <c r="O11501" t="s">
        <v>43167</v>
      </c>
      <c r="Q11501">
        <v>0</v>
      </c>
      <c r="R11501" t="s">
        <v>43181</v>
      </c>
      <c r="S11501" t="s">
        <v>43743</v>
      </c>
      <c r="T11501" t="s">
        <v>44681</v>
      </c>
      <c r="U11501" t="s">
        <v>54366</v>
      </c>
      <c r="W11501" t="s">
        <v>42729</v>
      </c>
      <c r="X11501" t="s">
        <v>43182</v>
      </c>
    </row>
    <row r="11502" spans="1:24">
      <c r="A11502">
        <f>HYPERLINK("https://www.philgeps.gov.ph/GEPSNONPILOT/Tender/SplashBidNoticeAbstractUI.aspx?menuIndex=3&amp;refID=7059879&amp;Result=3","7059879")</f>
        <v>0</v>
      </c>
      <c r="B11502" t="s">
        <v>623</v>
      </c>
      <c r="C11502" t="s">
        <v>14397</v>
      </c>
      <c r="D11502" t="s">
        <v>17449</v>
      </c>
      <c r="E11502" t="s">
        <v>27354</v>
      </c>
      <c r="F11502" t="s">
        <v>30052</v>
      </c>
      <c r="G11502" t="s">
        <v>30058</v>
      </c>
      <c r="H11502" t="s">
        <v>30067</v>
      </c>
      <c r="I11502" t="s">
        <v>3693</v>
      </c>
      <c r="J11502" t="s">
        <v>31851</v>
      </c>
      <c r="K11502" t="s">
        <v>39057</v>
      </c>
      <c r="M11502" t="s">
        <v>42131</v>
      </c>
      <c r="N11502" t="s">
        <v>43166</v>
      </c>
      <c r="O11502" t="s">
        <v>43167</v>
      </c>
      <c r="P11502">
        <v>0</v>
      </c>
      <c r="Q11502">
        <v>3</v>
      </c>
      <c r="R11502" t="s">
        <v>43181</v>
      </c>
      <c r="S11502" t="s">
        <v>43729</v>
      </c>
      <c r="T11502" t="s">
        <v>44741</v>
      </c>
      <c r="U11502" t="s">
        <v>54367</v>
      </c>
      <c r="W11502" t="s">
        <v>42131</v>
      </c>
      <c r="X11502" t="s">
        <v>43182</v>
      </c>
    </row>
    <row r="11503" spans="1:24">
      <c r="A11503">
        <f>HYPERLINK("https://www.philgeps.gov.ph/GEPSNONPILOT/Tender/SplashBidNoticeAbstractUI.aspx?menuIndex=3&amp;refID=7059868&amp;Result=3","7059868")</f>
        <v>0</v>
      </c>
      <c r="B11503" t="s">
        <v>1531</v>
      </c>
      <c r="C11503" t="s">
        <v>14398</v>
      </c>
      <c r="D11503" t="s">
        <v>17446</v>
      </c>
      <c r="E11503" t="s">
        <v>27355</v>
      </c>
      <c r="F11503" t="s">
        <v>30052</v>
      </c>
      <c r="G11503" t="s">
        <v>30058</v>
      </c>
      <c r="H11503" t="s">
        <v>30067</v>
      </c>
      <c r="I11503" t="s">
        <v>3693</v>
      </c>
      <c r="J11503" t="s">
        <v>37225</v>
      </c>
      <c r="K11503" t="s">
        <v>39026</v>
      </c>
      <c r="M11503" t="s">
        <v>40917</v>
      </c>
      <c r="N11503" t="s">
        <v>43166</v>
      </c>
      <c r="O11503" t="s">
        <v>43167</v>
      </c>
      <c r="P11503">
        <v>0</v>
      </c>
      <c r="Q11503">
        <v>0</v>
      </c>
      <c r="R11503" t="s">
        <v>43181</v>
      </c>
      <c r="S11503" t="s">
        <v>43729</v>
      </c>
      <c r="T11503" t="s">
        <v>44681</v>
      </c>
      <c r="U11503" t="s">
        <v>53345</v>
      </c>
      <c r="W11503" t="s">
        <v>40917</v>
      </c>
      <c r="X11503" t="s">
        <v>43182</v>
      </c>
    </row>
    <row r="11504" spans="1:24">
      <c r="A11504">
        <f>HYPERLINK("https://www.philgeps.gov.ph/GEPSNONPILOT/Tender/SplashBidNoticeAbstractUI.aspx?menuIndex=3&amp;refID=7059845&amp;Result=3","7059845")</f>
        <v>0</v>
      </c>
      <c r="B11504" t="s">
        <v>728</v>
      </c>
      <c r="C11504" t="s">
        <v>14399</v>
      </c>
      <c r="D11504" t="s">
        <v>17451</v>
      </c>
      <c r="E11504" t="s">
        <v>19045</v>
      </c>
      <c r="F11504" t="s">
        <v>30052</v>
      </c>
      <c r="G11504" t="s">
        <v>30058</v>
      </c>
      <c r="H11504" t="s">
        <v>15498</v>
      </c>
      <c r="I11504" t="s">
        <v>30074</v>
      </c>
      <c r="J11504" t="s">
        <v>34404</v>
      </c>
      <c r="K11504" t="s">
        <v>39037</v>
      </c>
      <c r="M11504" t="s">
        <v>40039</v>
      </c>
      <c r="N11504" t="s">
        <v>43166</v>
      </c>
      <c r="O11504" t="s">
        <v>43167</v>
      </c>
      <c r="P11504">
        <v>0</v>
      </c>
      <c r="Q11504">
        <v>3</v>
      </c>
      <c r="R11504" t="s">
        <v>43181</v>
      </c>
      <c r="S11504" t="s">
        <v>43729</v>
      </c>
      <c r="T11504" t="s">
        <v>44717</v>
      </c>
      <c r="U11504" t="s">
        <v>54368</v>
      </c>
      <c r="V11504" t="s">
        <v>58107</v>
      </c>
      <c r="W11504" t="s">
        <v>40039</v>
      </c>
      <c r="X11504" t="s">
        <v>43182</v>
      </c>
    </row>
    <row r="11505" spans="1:24">
      <c r="A11505">
        <f>HYPERLINK("https://www.philgeps.gov.ph/GEPSNONPILOT/Tender/SplashBidNoticeAbstractUI.aspx?menuIndex=3&amp;refID=7059826&amp;Result=3","7059826")</f>
        <v>0</v>
      </c>
      <c r="B11505" t="s">
        <v>3129</v>
      </c>
      <c r="C11505" t="s">
        <v>14400</v>
      </c>
      <c r="D11505" t="s">
        <v>17415</v>
      </c>
      <c r="E11505" t="s">
        <v>19852</v>
      </c>
      <c r="F11505" t="s">
        <v>30052</v>
      </c>
      <c r="G11505" t="s">
        <v>30058</v>
      </c>
      <c r="H11505" t="s">
        <v>15498</v>
      </c>
      <c r="I11505" t="s">
        <v>4650</v>
      </c>
      <c r="J11505" t="s">
        <v>37226</v>
      </c>
      <c r="K11505" t="s">
        <v>39019</v>
      </c>
      <c r="M11505" t="s">
        <v>42730</v>
      </c>
      <c r="N11505" t="s">
        <v>43166</v>
      </c>
      <c r="O11505" t="s">
        <v>43167</v>
      </c>
      <c r="Q11505">
        <v>12</v>
      </c>
      <c r="R11505" t="s">
        <v>43181</v>
      </c>
      <c r="S11505" t="s">
        <v>43744</v>
      </c>
      <c r="T11505" t="s">
        <v>44741</v>
      </c>
      <c r="U11505" t="s">
        <v>54369</v>
      </c>
      <c r="W11505" t="s">
        <v>42730</v>
      </c>
      <c r="X11505" t="s">
        <v>43182</v>
      </c>
    </row>
    <row r="11506" spans="1:24">
      <c r="A11506">
        <f>HYPERLINK("https://www.philgeps.gov.ph/GEPSNONPILOT/Tender/SplashBidNoticeAbstractUI.aspx?menuIndex=3&amp;refID=7059821&amp;Result=3","7059821")</f>
        <v>0</v>
      </c>
      <c r="B11506" t="s">
        <v>806</v>
      </c>
      <c r="C11506" t="s">
        <v>14401</v>
      </c>
      <c r="D11506" t="s">
        <v>17423</v>
      </c>
      <c r="E11506" t="s">
        <v>27356</v>
      </c>
      <c r="F11506" t="s">
        <v>30052</v>
      </c>
      <c r="G11506" t="s">
        <v>30058</v>
      </c>
      <c r="H11506" t="s">
        <v>15498</v>
      </c>
      <c r="I11506" t="s">
        <v>3852</v>
      </c>
      <c r="J11506" t="s">
        <v>30594</v>
      </c>
      <c r="K11506" t="s">
        <v>39036</v>
      </c>
      <c r="M11506" t="s">
        <v>40123</v>
      </c>
      <c r="N11506" t="s">
        <v>43166</v>
      </c>
      <c r="O11506" t="s">
        <v>43167</v>
      </c>
      <c r="P11506">
        <v>0</v>
      </c>
      <c r="Q11506">
        <v>2</v>
      </c>
      <c r="R11506" t="s">
        <v>43181</v>
      </c>
      <c r="S11506" t="s">
        <v>43729</v>
      </c>
      <c r="T11506" t="s">
        <v>44681</v>
      </c>
      <c r="U11506" t="s">
        <v>54370</v>
      </c>
      <c r="W11506" t="s">
        <v>40123</v>
      </c>
      <c r="X11506" t="s">
        <v>43182</v>
      </c>
    </row>
    <row r="11507" spans="1:24">
      <c r="A11507">
        <f>HYPERLINK("https://www.philgeps.gov.ph/GEPSNONPILOT/Tender/SplashBidNoticeAbstractUI.aspx?menuIndex=3&amp;refID=7059817&amp;Result=3","7059817")</f>
        <v>0</v>
      </c>
      <c r="B11507" t="s">
        <v>2984</v>
      </c>
      <c r="C11507" t="s">
        <v>14402</v>
      </c>
      <c r="D11507" t="s">
        <v>17424</v>
      </c>
      <c r="E11507" t="s">
        <v>17585</v>
      </c>
      <c r="F11507" t="s">
        <v>30052</v>
      </c>
      <c r="G11507" t="s">
        <v>30058</v>
      </c>
      <c r="H11507" t="s">
        <v>30069</v>
      </c>
      <c r="I11507" t="s">
        <v>30140</v>
      </c>
      <c r="J11507" t="s">
        <v>30256</v>
      </c>
      <c r="K11507" t="s">
        <v>39029</v>
      </c>
      <c r="M11507" t="s">
        <v>42554</v>
      </c>
      <c r="N11507" t="s">
        <v>43166</v>
      </c>
      <c r="O11507" t="s">
        <v>43167</v>
      </c>
      <c r="P11507">
        <v>0</v>
      </c>
      <c r="Q11507">
        <v>0</v>
      </c>
      <c r="R11507" t="s">
        <v>43181</v>
      </c>
      <c r="S11507" t="s">
        <v>43729</v>
      </c>
      <c r="T11507" t="s">
        <v>44734</v>
      </c>
      <c r="U11507" t="s">
        <v>54371</v>
      </c>
      <c r="W11507" t="s">
        <v>42554</v>
      </c>
      <c r="X11507" t="s">
        <v>43182</v>
      </c>
    </row>
    <row r="11508" spans="1:24">
      <c r="A11508">
        <f>HYPERLINK("https://www.philgeps.gov.ph/GEPSNONPILOT/Tender/SplashBidNoticeAbstractUI.aspx?menuIndex=3&amp;refID=7059808&amp;Result=3","7059808")</f>
        <v>0</v>
      </c>
      <c r="B11508" t="s">
        <v>3130</v>
      </c>
      <c r="C11508" t="s">
        <v>14403</v>
      </c>
      <c r="D11508" t="s">
        <v>17445</v>
      </c>
      <c r="E11508" t="s">
        <v>27357</v>
      </c>
      <c r="F11508" t="s">
        <v>30052</v>
      </c>
      <c r="G11508" t="s">
        <v>30058</v>
      </c>
      <c r="H11508" t="s">
        <v>15498</v>
      </c>
      <c r="I11508" t="s">
        <v>30140</v>
      </c>
      <c r="J11508" t="s">
        <v>37227</v>
      </c>
      <c r="K11508" t="s">
        <v>39029</v>
      </c>
      <c r="M11508" t="s">
        <v>42731</v>
      </c>
      <c r="N11508" t="s">
        <v>43166</v>
      </c>
      <c r="O11508" t="s">
        <v>43167</v>
      </c>
      <c r="P11508">
        <v>0</v>
      </c>
      <c r="Q11508">
        <v>4</v>
      </c>
      <c r="R11508" t="s">
        <v>43181</v>
      </c>
      <c r="S11508" t="s">
        <v>43729</v>
      </c>
      <c r="T11508" t="s">
        <v>44681</v>
      </c>
      <c r="U11508" t="s">
        <v>54372</v>
      </c>
      <c r="W11508" t="s">
        <v>42731</v>
      </c>
      <c r="X11508" t="s">
        <v>43182</v>
      </c>
    </row>
    <row r="11509" spans="1:24">
      <c r="A11509">
        <f>HYPERLINK("https://www.philgeps.gov.ph/GEPSNONPILOT/Tender/SplashBidNoticeAbstractUI.aspx?menuIndex=3&amp;refID=7059863&amp;Result=3","7059863")</f>
        <v>0</v>
      </c>
      <c r="B11509" t="s">
        <v>3131</v>
      </c>
      <c r="C11509" t="s">
        <v>14404</v>
      </c>
      <c r="D11509" t="s">
        <v>17448</v>
      </c>
      <c r="E11509" t="s">
        <v>27358</v>
      </c>
      <c r="F11509" t="s">
        <v>30052</v>
      </c>
      <c r="G11509" t="s">
        <v>30058</v>
      </c>
      <c r="H11509" t="s">
        <v>15498</v>
      </c>
      <c r="I11509" t="s">
        <v>30152</v>
      </c>
      <c r="J11509" t="s">
        <v>37228</v>
      </c>
      <c r="K11509" t="s">
        <v>39031</v>
      </c>
      <c r="M11509" t="s">
        <v>42732</v>
      </c>
      <c r="N11509" t="s">
        <v>43166</v>
      </c>
      <c r="O11509" t="s">
        <v>43167</v>
      </c>
      <c r="P11509">
        <v>0</v>
      </c>
      <c r="Q11509">
        <v>1</v>
      </c>
      <c r="R11509" t="s">
        <v>43181</v>
      </c>
      <c r="S11509" t="s">
        <v>43729</v>
      </c>
      <c r="T11509" t="s">
        <v>44679</v>
      </c>
      <c r="U11509" t="s">
        <v>54373</v>
      </c>
      <c r="W11509" t="s">
        <v>42732</v>
      </c>
      <c r="X11509" t="s">
        <v>43182</v>
      </c>
    </row>
    <row r="11510" spans="1:24">
      <c r="A11510">
        <f>HYPERLINK("https://www.philgeps.gov.ph/GEPSNONPILOT/Tender/SplashBidNoticeAbstractUI.aspx?menuIndex=3&amp;refID=7059799&amp;Result=3","7059799")</f>
        <v>0</v>
      </c>
      <c r="B11510" t="s">
        <v>3130</v>
      </c>
      <c r="C11510" t="s">
        <v>5662</v>
      </c>
      <c r="D11510" t="s">
        <v>17445</v>
      </c>
      <c r="E11510" t="s">
        <v>27359</v>
      </c>
      <c r="F11510" t="s">
        <v>30052</v>
      </c>
      <c r="G11510" t="s">
        <v>30058</v>
      </c>
      <c r="H11510" t="s">
        <v>15498</v>
      </c>
      <c r="I11510" t="s">
        <v>4650</v>
      </c>
      <c r="J11510" t="s">
        <v>30292</v>
      </c>
      <c r="K11510" t="s">
        <v>39029</v>
      </c>
      <c r="M11510" t="s">
        <v>42731</v>
      </c>
      <c r="N11510" t="s">
        <v>43166</v>
      </c>
      <c r="O11510" t="s">
        <v>43167</v>
      </c>
      <c r="P11510">
        <v>0</v>
      </c>
      <c r="Q11510">
        <v>4</v>
      </c>
      <c r="R11510" t="s">
        <v>43181</v>
      </c>
      <c r="S11510" t="s">
        <v>43729</v>
      </c>
      <c r="T11510" t="s">
        <v>44681</v>
      </c>
      <c r="U11510" t="s">
        <v>54374</v>
      </c>
      <c r="W11510" t="s">
        <v>42731</v>
      </c>
      <c r="X11510" t="s">
        <v>43182</v>
      </c>
    </row>
    <row r="11511" spans="1:24">
      <c r="A11511">
        <f>HYPERLINK("https://www.philgeps.gov.ph/GEPSNONPILOT/Tender/SplashBidNoticeAbstractUI.aspx?menuIndex=3&amp;refID=7059638&amp;Result=3","7059638")</f>
        <v>0</v>
      </c>
      <c r="B11511" t="s">
        <v>1282</v>
      </c>
      <c r="C11511" t="s">
        <v>14405</v>
      </c>
      <c r="D11511" t="s">
        <v>17467</v>
      </c>
      <c r="E11511" t="s">
        <v>27360</v>
      </c>
      <c r="F11511" t="s">
        <v>30052</v>
      </c>
      <c r="G11511" t="s">
        <v>30058</v>
      </c>
      <c r="H11511" t="s">
        <v>30067</v>
      </c>
      <c r="I11511" t="s">
        <v>3693</v>
      </c>
      <c r="J11511" t="s">
        <v>37229</v>
      </c>
      <c r="K11511" t="s">
        <v>39023</v>
      </c>
      <c r="L11511" t="s">
        <v>1282</v>
      </c>
      <c r="M11511" t="s">
        <v>40646</v>
      </c>
      <c r="N11511" t="s">
        <v>43166</v>
      </c>
      <c r="O11511" t="s">
        <v>43167</v>
      </c>
      <c r="P11511">
        <v>0</v>
      </c>
      <c r="Q11511">
        <v>2</v>
      </c>
      <c r="R11511" t="s">
        <v>43181</v>
      </c>
      <c r="S11511" t="s">
        <v>43729</v>
      </c>
      <c r="T11511" t="s">
        <v>45157</v>
      </c>
      <c r="U11511" t="s">
        <v>48024</v>
      </c>
      <c r="W11511" t="s">
        <v>40646</v>
      </c>
      <c r="X11511" t="s">
        <v>43182</v>
      </c>
    </row>
    <row r="11512" spans="1:24">
      <c r="A11512">
        <f>HYPERLINK("https://www.philgeps.gov.ph/GEPSNONPILOT/Tender/SplashBidNoticeAbstractUI.aspx?menuIndex=3&amp;refID=7059784&amp;Result=3","7059784")</f>
        <v>0</v>
      </c>
      <c r="B11512" t="s">
        <v>3130</v>
      </c>
      <c r="C11512" t="s">
        <v>5417</v>
      </c>
      <c r="D11512" t="s">
        <v>17445</v>
      </c>
      <c r="E11512" t="s">
        <v>27361</v>
      </c>
      <c r="F11512" t="s">
        <v>30052</v>
      </c>
      <c r="G11512" t="s">
        <v>30058</v>
      </c>
      <c r="H11512" t="s">
        <v>15498</v>
      </c>
      <c r="I11512" t="s">
        <v>30125</v>
      </c>
      <c r="J11512" t="s">
        <v>30218</v>
      </c>
      <c r="K11512" t="s">
        <v>39029</v>
      </c>
      <c r="M11512" t="s">
        <v>42731</v>
      </c>
      <c r="N11512" t="s">
        <v>43166</v>
      </c>
      <c r="O11512" t="s">
        <v>43167</v>
      </c>
      <c r="P11512">
        <v>0</v>
      </c>
      <c r="Q11512">
        <v>3</v>
      </c>
      <c r="R11512" t="s">
        <v>43181</v>
      </c>
      <c r="S11512" t="s">
        <v>43729</v>
      </c>
      <c r="T11512" t="s">
        <v>44681</v>
      </c>
      <c r="U11512" t="s">
        <v>54375</v>
      </c>
      <c r="W11512" t="s">
        <v>42731</v>
      </c>
      <c r="X11512" t="s">
        <v>43182</v>
      </c>
    </row>
    <row r="11513" spans="1:24">
      <c r="A11513">
        <f>HYPERLINK("https://www.philgeps.gov.ph/GEPSNONPILOT/Tender/SplashBidNoticeAbstractUI.aspx?menuIndex=3&amp;refID=7059773&amp;Result=3","7059773")</f>
        <v>0</v>
      </c>
      <c r="B11513" t="s">
        <v>3130</v>
      </c>
      <c r="C11513" t="s">
        <v>5417</v>
      </c>
      <c r="D11513" t="s">
        <v>17445</v>
      </c>
      <c r="E11513" t="s">
        <v>27362</v>
      </c>
      <c r="F11513" t="s">
        <v>30052</v>
      </c>
      <c r="G11513" t="s">
        <v>30058</v>
      </c>
      <c r="H11513" t="s">
        <v>15498</v>
      </c>
      <c r="I11513" t="s">
        <v>30125</v>
      </c>
      <c r="J11513" t="s">
        <v>37230</v>
      </c>
      <c r="K11513" t="s">
        <v>39029</v>
      </c>
      <c r="M11513" t="s">
        <v>42731</v>
      </c>
      <c r="N11513" t="s">
        <v>43166</v>
      </c>
      <c r="O11513" t="s">
        <v>43167</v>
      </c>
      <c r="P11513">
        <v>0</v>
      </c>
      <c r="Q11513">
        <v>4</v>
      </c>
      <c r="R11513" t="s">
        <v>43181</v>
      </c>
      <c r="S11513" t="s">
        <v>43729</v>
      </c>
      <c r="T11513" t="s">
        <v>44681</v>
      </c>
      <c r="U11513" t="s">
        <v>54376</v>
      </c>
      <c r="W11513" t="s">
        <v>42731</v>
      </c>
      <c r="X11513" t="s">
        <v>43182</v>
      </c>
    </row>
    <row r="11514" spans="1:24">
      <c r="A11514">
        <f>HYPERLINK("https://www.philgeps.gov.ph/GEPSNONPILOT/Tender/SplashBidNoticeAbstractUI.aspx?menuIndex=3&amp;refID=7059767&amp;Result=3","7059767")</f>
        <v>0</v>
      </c>
      <c r="B11514" t="s">
        <v>861</v>
      </c>
      <c r="C11514" t="s">
        <v>14406</v>
      </c>
      <c r="D11514" t="s">
        <v>17413</v>
      </c>
      <c r="E11514" t="s">
        <v>27363</v>
      </c>
      <c r="F11514" t="s">
        <v>30052</v>
      </c>
      <c r="G11514" t="s">
        <v>30058</v>
      </c>
      <c r="H11514" t="s">
        <v>15498</v>
      </c>
      <c r="I11514" t="s">
        <v>3736</v>
      </c>
      <c r="J11514" t="s">
        <v>30330</v>
      </c>
      <c r="K11514" t="s">
        <v>39029</v>
      </c>
      <c r="M11514" t="s">
        <v>40178</v>
      </c>
      <c r="N11514" t="s">
        <v>43166</v>
      </c>
      <c r="O11514" t="s">
        <v>43167</v>
      </c>
      <c r="P11514">
        <v>0</v>
      </c>
      <c r="Q11514">
        <v>0</v>
      </c>
      <c r="R11514" t="s">
        <v>43181</v>
      </c>
      <c r="S11514" t="s">
        <v>43729</v>
      </c>
      <c r="T11514" t="s">
        <v>44679</v>
      </c>
      <c r="U11514" t="s">
        <v>53117</v>
      </c>
      <c r="W11514" t="s">
        <v>40178</v>
      </c>
      <c r="X11514" t="s">
        <v>43182</v>
      </c>
    </row>
    <row r="11515" spans="1:24">
      <c r="A11515">
        <f>HYPERLINK("https://www.philgeps.gov.ph/GEPSNONPILOT/Tender/SplashBidNoticeAbstractUI.aspx?menuIndex=3&amp;refID=7059768&amp;Result=3","7059768")</f>
        <v>0</v>
      </c>
      <c r="B11515" t="s">
        <v>2969</v>
      </c>
      <c r="C11515" t="s">
        <v>14407</v>
      </c>
      <c r="E11515" t="s">
        <v>27364</v>
      </c>
      <c r="F11515" t="s">
        <v>30052</v>
      </c>
      <c r="G11515" t="s">
        <v>30058</v>
      </c>
      <c r="H11515" t="s">
        <v>30067</v>
      </c>
      <c r="I11515" t="s">
        <v>3693</v>
      </c>
      <c r="J11515" t="s">
        <v>37231</v>
      </c>
      <c r="K11515" t="s">
        <v>39023</v>
      </c>
      <c r="M11515" t="s">
        <v>42536</v>
      </c>
      <c r="N11515" t="s">
        <v>43166</v>
      </c>
      <c r="O11515" t="s">
        <v>43167</v>
      </c>
      <c r="P11515">
        <v>0</v>
      </c>
      <c r="Q11515">
        <v>1</v>
      </c>
      <c r="R11515" t="s">
        <v>43181</v>
      </c>
      <c r="S11515" t="s">
        <v>43729</v>
      </c>
      <c r="T11515" t="s">
        <v>45010</v>
      </c>
      <c r="U11515" t="s">
        <v>54377</v>
      </c>
      <c r="W11515" t="s">
        <v>42536</v>
      </c>
      <c r="X11515" t="s">
        <v>43182</v>
      </c>
    </row>
    <row r="11516" spans="1:24">
      <c r="A11516">
        <f>HYPERLINK("https://www.philgeps.gov.ph/GEPSNONPILOT/Tender/SplashBidNoticeAbstractUI.aspx?menuIndex=3&amp;refID=7059800&amp;Result=3","7059800")</f>
        <v>0</v>
      </c>
      <c r="B11516" t="s">
        <v>2098</v>
      </c>
      <c r="C11516" t="s">
        <v>14408</v>
      </c>
      <c r="D11516" t="s">
        <v>17414</v>
      </c>
      <c r="E11516" t="s">
        <v>27365</v>
      </c>
      <c r="F11516" t="s">
        <v>30052</v>
      </c>
      <c r="G11516" t="s">
        <v>30058</v>
      </c>
      <c r="H11516" t="s">
        <v>30067</v>
      </c>
      <c r="I11516" t="s">
        <v>3693</v>
      </c>
      <c r="J11516" t="s">
        <v>37232</v>
      </c>
      <c r="K11516" t="s">
        <v>39026</v>
      </c>
      <c r="M11516" t="s">
        <v>42002</v>
      </c>
      <c r="N11516" t="s">
        <v>43166</v>
      </c>
      <c r="O11516" t="s">
        <v>43167</v>
      </c>
      <c r="P11516">
        <v>0</v>
      </c>
      <c r="Q11516">
        <v>5</v>
      </c>
      <c r="R11516" t="s">
        <v>43181</v>
      </c>
      <c r="S11516" t="s">
        <v>43729</v>
      </c>
      <c r="T11516" t="s">
        <v>44754</v>
      </c>
      <c r="U11516" t="s">
        <v>54378</v>
      </c>
      <c r="W11516" t="s">
        <v>42002</v>
      </c>
      <c r="X11516" t="s">
        <v>43182</v>
      </c>
    </row>
    <row r="11517" spans="1:24">
      <c r="A11517">
        <f>HYPERLINK("https://www.philgeps.gov.ph/GEPSNONPILOT/Tender/SplashBidNoticeAbstractUI.aspx?menuIndex=3&amp;refID=7060033&amp;Result=3","7060033")</f>
        <v>0</v>
      </c>
      <c r="B11517" t="s">
        <v>810</v>
      </c>
      <c r="C11517" t="s">
        <v>14409</v>
      </c>
      <c r="D11517" t="s">
        <v>17458</v>
      </c>
      <c r="E11517" t="s">
        <v>27366</v>
      </c>
      <c r="F11517" t="s">
        <v>30052</v>
      </c>
      <c r="G11517" t="s">
        <v>30058</v>
      </c>
      <c r="H11517" t="s">
        <v>15498</v>
      </c>
      <c r="I11517" t="s">
        <v>30083</v>
      </c>
      <c r="J11517" t="s">
        <v>37233</v>
      </c>
      <c r="K11517" t="s">
        <v>39025</v>
      </c>
      <c r="M11517" t="s">
        <v>42733</v>
      </c>
      <c r="N11517" t="s">
        <v>43166</v>
      </c>
      <c r="O11517" t="s">
        <v>43167</v>
      </c>
      <c r="Q11517">
        <v>4</v>
      </c>
      <c r="R11517" t="s">
        <v>43181</v>
      </c>
      <c r="S11517" t="s">
        <v>43745</v>
      </c>
      <c r="T11517" t="s">
        <v>44968</v>
      </c>
      <c r="U11517" t="s">
        <v>54379</v>
      </c>
      <c r="W11517" t="s">
        <v>42733</v>
      </c>
      <c r="X11517" t="s">
        <v>43182</v>
      </c>
    </row>
    <row r="11518" spans="1:24">
      <c r="A11518">
        <f>HYPERLINK("https://www.philgeps.gov.ph/GEPSNONPILOT/Tender/SplashBidNoticeAbstractUI.aspx?menuIndex=3&amp;refID=7059679&amp;Result=3","7059679")</f>
        <v>0</v>
      </c>
      <c r="B11518" t="s">
        <v>2145</v>
      </c>
      <c r="C11518" t="s">
        <v>14410</v>
      </c>
      <c r="D11518" t="s">
        <v>17414</v>
      </c>
      <c r="E11518" t="s">
        <v>27367</v>
      </c>
      <c r="F11518" t="s">
        <v>30052</v>
      </c>
      <c r="G11518" t="s">
        <v>30058</v>
      </c>
      <c r="H11518" t="s">
        <v>15498</v>
      </c>
      <c r="I11518" t="s">
        <v>30073</v>
      </c>
      <c r="J11518" t="s">
        <v>32005</v>
      </c>
      <c r="K11518" t="s">
        <v>39029</v>
      </c>
      <c r="M11518" t="s">
        <v>41609</v>
      </c>
      <c r="N11518" t="s">
        <v>43166</v>
      </c>
      <c r="O11518" t="s">
        <v>43167</v>
      </c>
      <c r="P11518">
        <v>0</v>
      </c>
      <c r="Q11518">
        <v>1</v>
      </c>
      <c r="R11518" t="s">
        <v>43181</v>
      </c>
      <c r="S11518" t="s">
        <v>43729</v>
      </c>
      <c r="T11518" t="s">
        <v>44733</v>
      </c>
      <c r="U11518" t="s">
        <v>54380</v>
      </c>
      <c r="W11518" t="s">
        <v>41609</v>
      </c>
      <c r="X11518" t="s">
        <v>43182</v>
      </c>
    </row>
    <row r="11519" spans="1:24">
      <c r="A11519">
        <f>HYPERLINK("https://www.philgeps.gov.ph/GEPSNONPILOT/Tender/SplashBidNoticeAbstractUI.aspx?menuIndex=3&amp;refID=7059771&amp;Result=3","7059771")</f>
        <v>0</v>
      </c>
      <c r="B11519" t="s">
        <v>3124</v>
      </c>
      <c r="C11519" t="s">
        <v>14411</v>
      </c>
      <c r="D11519" t="s">
        <v>17461</v>
      </c>
      <c r="E11519" t="s">
        <v>27368</v>
      </c>
      <c r="F11519" t="s">
        <v>30052</v>
      </c>
      <c r="G11519" t="s">
        <v>30058</v>
      </c>
      <c r="H11519" t="s">
        <v>15498</v>
      </c>
      <c r="I11519" t="s">
        <v>3736</v>
      </c>
      <c r="J11519" t="s">
        <v>37234</v>
      </c>
      <c r="K11519" t="s">
        <v>39037</v>
      </c>
      <c r="M11519" t="s">
        <v>42724</v>
      </c>
      <c r="N11519" t="s">
        <v>43166</v>
      </c>
      <c r="O11519" t="s">
        <v>43167</v>
      </c>
      <c r="P11519">
        <v>0</v>
      </c>
      <c r="Q11519">
        <v>2</v>
      </c>
      <c r="R11519" t="s">
        <v>43181</v>
      </c>
      <c r="S11519" t="s">
        <v>43729</v>
      </c>
      <c r="T11519" t="s">
        <v>44733</v>
      </c>
      <c r="U11519" t="s">
        <v>54381</v>
      </c>
      <c r="W11519" t="s">
        <v>42724</v>
      </c>
      <c r="X11519" t="s">
        <v>43182</v>
      </c>
    </row>
    <row r="11520" spans="1:24">
      <c r="A11520">
        <f>HYPERLINK("https://www.philgeps.gov.ph/GEPSNONPILOT/Tender/SplashBidNoticeAbstractUI.aspx?menuIndex=3&amp;refID=7059995&amp;Result=3","7059995")</f>
        <v>0</v>
      </c>
      <c r="B11520" t="s">
        <v>1317</v>
      </c>
      <c r="C11520" t="s">
        <v>14412</v>
      </c>
      <c r="D11520" t="s">
        <v>17466</v>
      </c>
      <c r="E11520" t="s">
        <v>27369</v>
      </c>
      <c r="F11520" t="s">
        <v>30052</v>
      </c>
      <c r="G11520" t="s">
        <v>30058</v>
      </c>
      <c r="H11520" t="s">
        <v>15498</v>
      </c>
      <c r="I11520" t="s">
        <v>30070</v>
      </c>
      <c r="J11520" t="s">
        <v>30417</v>
      </c>
      <c r="K11520" t="s">
        <v>39039</v>
      </c>
      <c r="M11520" t="s">
        <v>40684</v>
      </c>
      <c r="N11520" t="s">
        <v>43166</v>
      </c>
      <c r="O11520" t="s">
        <v>43167</v>
      </c>
      <c r="P11520">
        <v>0</v>
      </c>
      <c r="Q11520">
        <v>2</v>
      </c>
      <c r="R11520" t="s">
        <v>43181</v>
      </c>
      <c r="S11520" t="s">
        <v>43729</v>
      </c>
      <c r="T11520" t="s">
        <v>44816</v>
      </c>
      <c r="U11520" t="s">
        <v>54382</v>
      </c>
      <c r="W11520" t="s">
        <v>40684</v>
      </c>
      <c r="X11520" t="s">
        <v>43182</v>
      </c>
    </row>
    <row r="11521" spans="1:24">
      <c r="A11521">
        <f>HYPERLINK("https://www.philgeps.gov.ph/GEPSNONPILOT/Tender/SplashBidNoticeAbstractUI.aspx?menuIndex=3&amp;refID=7059778&amp;Result=3","7059778")</f>
        <v>0</v>
      </c>
      <c r="B11521" t="s">
        <v>2098</v>
      </c>
      <c r="C11521" t="s">
        <v>14413</v>
      </c>
      <c r="D11521" t="s">
        <v>17414</v>
      </c>
      <c r="E11521" t="s">
        <v>27370</v>
      </c>
      <c r="F11521" t="s">
        <v>30052</v>
      </c>
      <c r="G11521" t="s">
        <v>30058</v>
      </c>
      <c r="H11521" t="s">
        <v>30067</v>
      </c>
      <c r="I11521" t="s">
        <v>3693</v>
      </c>
      <c r="J11521" t="s">
        <v>37235</v>
      </c>
      <c r="K11521" t="s">
        <v>39023</v>
      </c>
      <c r="M11521" t="s">
        <v>42002</v>
      </c>
      <c r="N11521" t="s">
        <v>43166</v>
      </c>
      <c r="O11521" t="s">
        <v>43167</v>
      </c>
      <c r="P11521">
        <v>0</v>
      </c>
      <c r="Q11521">
        <v>4</v>
      </c>
      <c r="R11521" t="s">
        <v>43181</v>
      </c>
      <c r="S11521" t="s">
        <v>43729</v>
      </c>
      <c r="T11521" t="s">
        <v>44754</v>
      </c>
      <c r="U11521" t="s">
        <v>54383</v>
      </c>
      <c r="W11521" t="s">
        <v>42002</v>
      </c>
      <c r="X11521" t="s">
        <v>43182</v>
      </c>
    </row>
    <row r="11522" spans="1:24">
      <c r="A11522">
        <f>HYPERLINK("https://www.philgeps.gov.ph/GEPSNONPILOT/Tender/SplashBidNoticeAbstractUI.aspx?menuIndex=3&amp;refID=7060001&amp;Result=3","7060001")</f>
        <v>0</v>
      </c>
      <c r="B11522" t="s">
        <v>3132</v>
      </c>
      <c r="C11522" t="s">
        <v>14414</v>
      </c>
      <c r="D11522" t="s">
        <v>17422</v>
      </c>
      <c r="E11522" t="s">
        <v>27371</v>
      </c>
      <c r="F11522" t="s">
        <v>30052</v>
      </c>
      <c r="G11522" t="s">
        <v>30058</v>
      </c>
      <c r="H11522" t="s">
        <v>15498</v>
      </c>
      <c r="I11522" t="s">
        <v>3736</v>
      </c>
      <c r="J11522" t="s">
        <v>37236</v>
      </c>
      <c r="K11522" t="s">
        <v>39034</v>
      </c>
      <c r="M11522" t="s">
        <v>42734</v>
      </c>
      <c r="N11522" t="s">
        <v>43166</v>
      </c>
      <c r="O11522" t="s">
        <v>43167</v>
      </c>
      <c r="P11522">
        <v>0</v>
      </c>
      <c r="Q11522">
        <v>0</v>
      </c>
      <c r="R11522" t="s">
        <v>43181</v>
      </c>
      <c r="S11522" t="s">
        <v>43729</v>
      </c>
      <c r="T11522" t="s">
        <v>44681</v>
      </c>
      <c r="U11522" t="s">
        <v>54384</v>
      </c>
      <c r="V11522" t="s">
        <v>58108</v>
      </c>
      <c r="W11522" t="s">
        <v>42734</v>
      </c>
      <c r="X11522" t="s">
        <v>43182</v>
      </c>
    </row>
    <row r="11523" spans="1:24">
      <c r="A11523">
        <f>HYPERLINK("https://www.philgeps.gov.ph/GEPSNONPILOT/Tender/SplashBidNoticeAbstractUI.aspx?menuIndex=3&amp;refID=7059981&amp;Result=3","7059981")</f>
        <v>0</v>
      </c>
      <c r="B11523" t="s">
        <v>2220</v>
      </c>
      <c r="C11523" t="s">
        <v>14415</v>
      </c>
      <c r="D11523" t="s">
        <v>17427</v>
      </c>
      <c r="E11523" t="s">
        <v>27372</v>
      </c>
      <c r="F11523" t="s">
        <v>30052</v>
      </c>
      <c r="G11523" t="s">
        <v>30058</v>
      </c>
      <c r="H11523" t="s">
        <v>15498</v>
      </c>
      <c r="I11523" t="s">
        <v>4119</v>
      </c>
      <c r="J11523" t="s">
        <v>37237</v>
      </c>
      <c r="K11523" t="s">
        <v>39019</v>
      </c>
      <c r="M11523" t="s">
        <v>41691</v>
      </c>
      <c r="N11523" t="s">
        <v>43166</v>
      </c>
      <c r="O11523" t="s">
        <v>43167</v>
      </c>
      <c r="P11523">
        <v>0</v>
      </c>
      <c r="Q11523">
        <v>3</v>
      </c>
      <c r="R11523" t="s">
        <v>43181</v>
      </c>
      <c r="S11523" t="s">
        <v>43729</v>
      </c>
      <c r="T11523" t="s">
        <v>44717</v>
      </c>
      <c r="U11523" t="s">
        <v>54385</v>
      </c>
      <c r="W11523" t="s">
        <v>41691</v>
      </c>
      <c r="X11523" t="s">
        <v>43182</v>
      </c>
    </row>
    <row r="11524" spans="1:24">
      <c r="A11524">
        <f>HYPERLINK("https://www.philgeps.gov.ph/GEPSNONPILOT/Tender/SplashBidNoticeAbstractUI.aspx?menuIndex=3&amp;refID=7059992&amp;Result=3","7059992")</f>
        <v>0</v>
      </c>
      <c r="B11524" t="s">
        <v>1282</v>
      </c>
      <c r="C11524" t="s">
        <v>14416</v>
      </c>
      <c r="D11524" t="s">
        <v>17467</v>
      </c>
      <c r="E11524" t="s">
        <v>27373</v>
      </c>
      <c r="F11524" t="s">
        <v>30052</v>
      </c>
      <c r="G11524" t="s">
        <v>30058</v>
      </c>
      <c r="H11524" t="s">
        <v>30067</v>
      </c>
      <c r="I11524" t="s">
        <v>3693</v>
      </c>
      <c r="J11524" t="s">
        <v>37238</v>
      </c>
      <c r="K11524" t="s">
        <v>39029</v>
      </c>
      <c r="L11524" t="s">
        <v>1282</v>
      </c>
      <c r="M11524" t="s">
        <v>40646</v>
      </c>
      <c r="N11524" t="s">
        <v>43166</v>
      </c>
      <c r="O11524" t="s">
        <v>43167</v>
      </c>
      <c r="P11524">
        <v>0</v>
      </c>
      <c r="Q11524">
        <v>0</v>
      </c>
      <c r="R11524" t="s">
        <v>43181</v>
      </c>
      <c r="S11524" t="s">
        <v>43729</v>
      </c>
      <c r="T11524" t="s">
        <v>44949</v>
      </c>
      <c r="U11524" t="s">
        <v>48024</v>
      </c>
      <c r="W11524" t="s">
        <v>40646</v>
      </c>
      <c r="X11524" t="s">
        <v>43182</v>
      </c>
    </row>
    <row r="11525" spans="1:24">
      <c r="A11525">
        <f>HYPERLINK("https://www.philgeps.gov.ph/GEPSNONPILOT/Tender/SplashBidNoticeAbstractUI.aspx?menuIndex=3&amp;refID=7059976&amp;Result=3","7059976")</f>
        <v>0</v>
      </c>
      <c r="B11525" t="s">
        <v>2827</v>
      </c>
      <c r="C11525" t="s">
        <v>14417</v>
      </c>
      <c r="D11525" t="s">
        <v>17421</v>
      </c>
      <c r="E11525" t="s">
        <v>17892</v>
      </c>
      <c r="F11525" t="s">
        <v>30052</v>
      </c>
      <c r="G11525" t="s">
        <v>30058</v>
      </c>
      <c r="H11525" t="s">
        <v>30069</v>
      </c>
      <c r="I11525" t="s">
        <v>3736</v>
      </c>
      <c r="J11525" t="s">
        <v>37239</v>
      </c>
      <c r="K11525" t="s">
        <v>39019</v>
      </c>
      <c r="M11525" t="s">
        <v>42371</v>
      </c>
      <c r="N11525" t="s">
        <v>43166</v>
      </c>
      <c r="O11525" t="s">
        <v>43167</v>
      </c>
      <c r="P11525">
        <v>0</v>
      </c>
      <c r="Q11525">
        <v>0</v>
      </c>
      <c r="R11525" t="s">
        <v>43181</v>
      </c>
      <c r="S11525" t="s">
        <v>43729</v>
      </c>
      <c r="T11525" t="s">
        <v>44710</v>
      </c>
      <c r="U11525" t="s">
        <v>54386</v>
      </c>
      <c r="W11525" t="s">
        <v>42371</v>
      </c>
      <c r="X11525" t="s">
        <v>43182</v>
      </c>
    </row>
    <row r="11526" spans="1:24">
      <c r="A11526">
        <f>HYPERLINK("https://www.philgeps.gov.ph/GEPSNONPILOT/Tender/SplashBidNoticeAbstractUI.aspx?menuIndex=3&amp;refID=7059962&amp;Result=3","7059962")</f>
        <v>0</v>
      </c>
      <c r="B11526" t="s">
        <v>3078</v>
      </c>
      <c r="C11526" t="s">
        <v>14418</v>
      </c>
      <c r="D11526" t="s">
        <v>17488</v>
      </c>
      <c r="E11526" t="s">
        <v>27374</v>
      </c>
      <c r="F11526" t="s">
        <v>30052</v>
      </c>
      <c r="G11526" t="s">
        <v>30058</v>
      </c>
      <c r="H11526" t="s">
        <v>15498</v>
      </c>
      <c r="I11526" t="s">
        <v>30094</v>
      </c>
      <c r="J11526" t="s">
        <v>37240</v>
      </c>
      <c r="K11526" t="s">
        <v>39029</v>
      </c>
      <c r="M11526" t="s">
        <v>42661</v>
      </c>
      <c r="N11526" t="s">
        <v>43166</v>
      </c>
      <c r="O11526" t="s">
        <v>43167</v>
      </c>
      <c r="P11526">
        <v>0</v>
      </c>
      <c r="Q11526">
        <v>0</v>
      </c>
      <c r="R11526" t="s">
        <v>43181</v>
      </c>
      <c r="S11526" t="s">
        <v>43729</v>
      </c>
      <c r="T11526" t="s">
        <v>44709</v>
      </c>
      <c r="U11526" t="s">
        <v>54387</v>
      </c>
      <c r="W11526" t="s">
        <v>42661</v>
      </c>
      <c r="X11526" t="s">
        <v>43182</v>
      </c>
    </row>
    <row r="11527" spans="1:24">
      <c r="A11527">
        <f>HYPERLINK("https://www.philgeps.gov.ph/GEPSNONPILOT/Tender/SplashBidNoticeAbstractUI.aspx?menuIndex=3&amp;refID=7060017&amp;Result=3","7060017")</f>
        <v>0</v>
      </c>
      <c r="B11527" t="s">
        <v>1891</v>
      </c>
      <c r="C11527" t="s">
        <v>14419</v>
      </c>
      <c r="D11527" t="s">
        <v>17418</v>
      </c>
      <c r="E11527" t="s">
        <v>27375</v>
      </c>
      <c r="F11527" t="s">
        <v>30052</v>
      </c>
      <c r="G11527" t="s">
        <v>30058</v>
      </c>
      <c r="H11527" t="s">
        <v>15498</v>
      </c>
      <c r="I11527" t="s">
        <v>30091</v>
      </c>
      <c r="J11527" t="s">
        <v>30222</v>
      </c>
      <c r="K11527" t="s">
        <v>39017</v>
      </c>
      <c r="M11527" t="s">
        <v>41322</v>
      </c>
      <c r="N11527" t="s">
        <v>43166</v>
      </c>
      <c r="O11527" t="s">
        <v>43167</v>
      </c>
      <c r="P11527">
        <v>0</v>
      </c>
      <c r="Q11527">
        <v>3</v>
      </c>
      <c r="R11527" t="s">
        <v>43181</v>
      </c>
      <c r="S11527" t="s">
        <v>43729</v>
      </c>
      <c r="T11527" t="s">
        <v>44947</v>
      </c>
      <c r="U11527" t="s">
        <v>54388</v>
      </c>
      <c r="V11527" t="s">
        <v>58109</v>
      </c>
      <c r="W11527" t="s">
        <v>41322</v>
      </c>
      <c r="X11527" t="s">
        <v>43182</v>
      </c>
    </row>
    <row r="11528" spans="1:24">
      <c r="A11528">
        <f>HYPERLINK("https://www.philgeps.gov.ph/GEPSNONPILOT/Tender/SplashBidNoticeAbstractUI.aspx?menuIndex=3&amp;refID=7059971&amp;Result=3","7059971")</f>
        <v>0</v>
      </c>
      <c r="B11528" t="s">
        <v>3133</v>
      </c>
      <c r="C11528" t="s">
        <v>14420</v>
      </c>
      <c r="E11528" t="s">
        <v>27376</v>
      </c>
      <c r="F11528" t="s">
        <v>30052</v>
      </c>
      <c r="G11528" t="s">
        <v>30058</v>
      </c>
      <c r="H11528" t="s">
        <v>15498</v>
      </c>
      <c r="I11528" t="s">
        <v>30125</v>
      </c>
      <c r="J11528" t="s">
        <v>30277</v>
      </c>
      <c r="K11528" t="s">
        <v>39023</v>
      </c>
      <c r="L11528" t="s">
        <v>3133</v>
      </c>
      <c r="M11528" t="s">
        <v>42735</v>
      </c>
      <c r="N11528" t="s">
        <v>43166</v>
      </c>
      <c r="O11528" t="s">
        <v>43167</v>
      </c>
      <c r="P11528">
        <v>0</v>
      </c>
      <c r="Q11528">
        <v>0</v>
      </c>
      <c r="R11528" t="s">
        <v>43181</v>
      </c>
      <c r="S11528" t="s">
        <v>43729</v>
      </c>
      <c r="T11528" t="s">
        <v>44777</v>
      </c>
      <c r="U11528" t="s">
        <v>54389</v>
      </c>
      <c r="W11528" t="s">
        <v>42735</v>
      </c>
      <c r="X11528" t="s">
        <v>43182</v>
      </c>
    </row>
    <row r="11529" spans="1:24">
      <c r="A11529">
        <f>HYPERLINK("https://www.philgeps.gov.ph/GEPSNONPILOT/Tender/SplashBidNoticeAbstractUI.aspx?menuIndex=3&amp;refID=7059954&amp;Result=3","7059954")</f>
        <v>0</v>
      </c>
      <c r="B11529" t="s">
        <v>3132</v>
      </c>
      <c r="C11529" t="s">
        <v>14421</v>
      </c>
      <c r="D11529" t="s">
        <v>17422</v>
      </c>
      <c r="E11529" t="s">
        <v>27377</v>
      </c>
      <c r="F11529" t="s">
        <v>30052</v>
      </c>
      <c r="G11529" t="s">
        <v>30058</v>
      </c>
      <c r="H11529" t="s">
        <v>15498</v>
      </c>
      <c r="I11529" t="s">
        <v>3736</v>
      </c>
      <c r="J11529" t="s">
        <v>37241</v>
      </c>
      <c r="K11529" t="s">
        <v>39034</v>
      </c>
      <c r="M11529" t="s">
        <v>42734</v>
      </c>
      <c r="N11529" t="s">
        <v>43166</v>
      </c>
      <c r="O11529" t="s">
        <v>43167</v>
      </c>
      <c r="P11529">
        <v>0</v>
      </c>
      <c r="Q11529">
        <v>0</v>
      </c>
      <c r="R11529" t="s">
        <v>43181</v>
      </c>
      <c r="S11529" t="s">
        <v>43729</v>
      </c>
      <c r="T11529" t="s">
        <v>44681</v>
      </c>
      <c r="U11529" t="s">
        <v>54390</v>
      </c>
      <c r="V11529" t="s">
        <v>58108</v>
      </c>
      <c r="W11529" t="s">
        <v>42734</v>
      </c>
      <c r="X11529" t="s">
        <v>43182</v>
      </c>
    </row>
    <row r="11530" spans="1:24">
      <c r="A11530">
        <f>HYPERLINK("https://www.philgeps.gov.ph/GEPSNONPILOT/Tender/SplashBidNoticeAbstractUI.aspx?menuIndex=3&amp;refID=7060162&amp;Result=3","7060162")</f>
        <v>0</v>
      </c>
      <c r="B11530" t="s">
        <v>810</v>
      </c>
      <c r="C11530" t="s">
        <v>14422</v>
      </c>
      <c r="D11530" t="s">
        <v>17458</v>
      </c>
      <c r="E11530" t="s">
        <v>27378</v>
      </c>
      <c r="F11530" t="s">
        <v>30052</v>
      </c>
      <c r="G11530" t="s">
        <v>30058</v>
      </c>
      <c r="H11530" t="s">
        <v>15498</v>
      </c>
      <c r="I11530" t="s">
        <v>30074</v>
      </c>
      <c r="J11530" t="s">
        <v>37242</v>
      </c>
      <c r="K11530" t="s">
        <v>39025</v>
      </c>
      <c r="M11530" t="s">
        <v>42733</v>
      </c>
      <c r="N11530" t="s">
        <v>43166</v>
      </c>
      <c r="O11530" t="s">
        <v>43167</v>
      </c>
      <c r="Q11530">
        <v>4</v>
      </c>
      <c r="R11530" t="s">
        <v>43181</v>
      </c>
      <c r="S11530" t="s">
        <v>43746</v>
      </c>
      <c r="T11530" t="s">
        <v>44968</v>
      </c>
      <c r="U11530" t="s">
        <v>54391</v>
      </c>
      <c r="W11530" t="s">
        <v>42733</v>
      </c>
      <c r="X11530" t="s">
        <v>43182</v>
      </c>
    </row>
    <row r="11531" spans="1:24">
      <c r="A11531">
        <f>HYPERLINK("https://www.philgeps.gov.ph/GEPSNONPILOT/Tender/SplashBidNoticeAbstractUI.aspx?menuIndex=3&amp;refID=7059968&amp;Result=3","7059968")</f>
        <v>0</v>
      </c>
      <c r="B11531" t="s">
        <v>1172</v>
      </c>
      <c r="C11531" t="s">
        <v>14423</v>
      </c>
      <c r="D11531" t="s">
        <v>17466</v>
      </c>
      <c r="E11531" t="s">
        <v>27379</v>
      </c>
      <c r="F11531" t="s">
        <v>30052</v>
      </c>
      <c r="G11531" t="s">
        <v>30058</v>
      </c>
      <c r="H11531" t="s">
        <v>30067</v>
      </c>
      <c r="I11531" t="s">
        <v>3693</v>
      </c>
      <c r="J11531" t="s">
        <v>30813</v>
      </c>
      <c r="K11531" t="s">
        <v>39260</v>
      </c>
      <c r="M11531" t="s">
        <v>40520</v>
      </c>
      <c r="N11531" t="s">
        <v>43166</v>
      </c>
      <c r="O11531" t="s">
        <v>43167</v>
      </c>
      <c r="P11531">
        <v>0</v>
      </c>
      <c r="Q11531">
        <v>18</v>
      </c>
      <c r="R11531" t="s">
        <v>43181</v>
      </c>
      <c r="S11531" t="s">
        <v>43729</v>
      </c>
      <c r="T11531" t="s">
        <v>44733</v>
      </c>
      <c r="U11531" t="s">
        <v>54392</v>
      </c>
      <c r="W11531" t="s">
        <v>58705</v>
      </c>
      <c r="X11531" t="s">
        <v>43182</v>
      </c>
    </row>
    <row r="11532" spans="1:24">
      <c r="A11532">
        <f>HYPERLINK("https://www.philgeps.gov.ph/GEPSNONPILOT/Tender/SplashBidNoticeAbstractUI.aspx?menuIndex=3&amp;refID=7060157&amp;Result=3","7060157")</f>
        <v>0</v>
      </c>
      <c r="B11532" t="s">
        <v>2104</v>
      </c>
      <c r="C11532" t="s">
        <v>14424</v>
      </c>
      <c r="D11532" t="s">
        <v>17474</v>
      </c>
      <c r="E11532" t="s">
        <v>17779</v>
      </c>
      <c r="F11532" t="s">
        <v>30052</v>
      </c>
      <c r="G11532" t="s">
        <v>30058</v>
      </c>
      <c r="H11532" t="s">
        <v>30067</v>
      </c>
      <c r="I11532" t="s">
        <v>3693</v>
      </c>
      <c r="J11532" t="s">
        <v>37243</v>
      </c>
      <c r="K11532" t="s">
        <v>39034</v>
      </c>
      <c r="M11532" t="s">
        <v>41566</v>
      </c>
      <c r="N11532" t="s">
        <v>43166</v>
      </c>
      <c r="O11532" t="s">
        <v>43167</v>
      </c>
      <c r="P11532">
        <v>0</v>
      </c>
      <c r="Q11532">
        <v>0</v>
      </c>
      <c r="R11532" t="s">
        <v>43181</v>
      </c>
      <c r="S11532" t="s">
        <v>43729</v>
      </c>
      <c r="T11532" t="s">
        <v>44718</v>
      </c>
      <c r="U11532" t="s">
        <v>54393</v>
      </c>
      <c r="W11532" t="s">
        <v>41566</v>
      </c>
      <c r="X11532" t="s">
        <v>43182</v>
      </c>
    </row>
    <row r="11533" spans="1:24">
      <c r="A11533">
        <f>HYPERLINK("https://www.philgeps.gov.ph/GEPSNONPILOT/Tender/SplashBidNoticeAbstractUI.aspx?menuIndex=3&amp;refID=7060148&amp;Result=3","7060148")</f>
        <v>0</v>
      </c>
      <c r="B11533" t="s">
        <v>2227</v>
      </c>
      <c r="C11533" t="s">
        <v>14425</v>
      </c>
      <c r="D11533" t="s">
        <v>17464</v>
      </c>
      <c r="E11533" t="s">
        <v>27380</v>
      </c>
      <c r="F11533" t="s">
        <v>30052</v>
      </c>
      <c r="G11533" t="s">
        <v>30060</v>
      </c>
      <c r="H11533" t="s">
        <v>15498</v>
      </c>
      <c r="I11533" t="s">
        <v>30074</v>
      </c>
      <c r="J11533" t="s">
        <v>32005</v>
      </c>
      <c r="K11533" t="s">
        <v>39025</v>
      </c>
      <c r="M11533" t="s">
        <v>41699</v>
      </c>
      <c r="N11533" t="s">
        <v>43166</v>
      </c>
      <c r="O11533" t="s">
        <v>43167</v>
      </c>
      <c r="P11533">
        <v>0</v>
      </c>
      <c r="Q11533">
        <v>10</v>
      </c>
      <c r="R11533" t="s">
        <v>43181</v>
      </c>
      <c r="S11533" t="s">
        <v>43729</v>
      </c>
      <c r="T11533" t="s">
        <v>44791</v>
      </c>
      <c r="U11533" t="s">
        <v>54394</v>
      </c>
      <c r="V11533" t="s">
        <v>58110</v>
      </c>
      <c r="W11533" t="s">
        <v>41699</v>
      </c>
      <c r="X11533" t="s">
        <v>43182</v>
      </c>
    </row>
    <row r="11534" spans="1:24">
      <c r="A11534">
        <f>HYPERLINK("https://www.philgeps.gov.ph/GEPSNONPILOT/Tender/SplashBidNoticeAbstractUI.aspx?menuIndex=3&amp;refID=7060147&amp;Result=3","7060147")</f>
        <v>0</v>
      </c>
      <c r="B11534" t="s">
        <v>3100</v>
      </c>
      <c r="C11534" t="s">
        <v>14426</v>
      </c>
      <c r="D11534" t="s">
        <v>17477</v>
      </c>
      <c r="E11534" t="s">
        <v>27381</v>
      </c>
      <c r="F11534" t="s">
        <v>30052</v>
      </c>
      <c r="G11534" t="s">
        <v>30058</v>
      </c>
      <c r="H11534" t="s">
        <v>15498</v>
      </c>
      <c r="I11534" t="s">
        <v>30076</v>
      </c>
      <c r="J11534" t="s">
        <v>30256</v>
      </c>
      <c r="K11534" t="s">
        <v>39025</v>
      </c>
      <c r="M11534" t="s">
        <v>42689</v>
      </c>
      <c r="N11534" t="s">
        <v>43166</v>
      </c>
      <c r="O11534" t="s">
        <v>43167</v>
      </c>
      <c r="P11534">
        <v>0</v>
      </c>
      <c r="Q11534">
        <v>2</v>
      </c>
      <c r="R11534" t="s">
        <v>43181</v>
      </c>
      <c r="S11534" t="s">
        <v>43729</v>
      </c>
      <c r="T11534" t="s">
        <v>44757</v>
      </c>
      <c r="U11534" t="s">
        <v>54395</v>
      </c>
      <c r="W11534" t="s">
        <v>42689</v>
      </c>
      <c r="X11534" t="s">
        <v>43182</v>
      </c>
    </row>
    <row r="11535" spans="1:24">
      <c r="A11535">
        <f>HYPERLINK("https://www.philgeps.gov.ph/GEPSNONPILOT/Tender/SplashBidNoticeAbstractUI.aspx?menuIndex=3&amp;refID=7060141&amp;Result=3","7060141")</f>
        <v>0</v>
      </c>
      <c r="B11535" t="s">
        <v>3078</v>
      </c>
      <c r="C11535" t="s">
        <v>14427</v>
      </c>
      <c r="D11535" t="s">
        <v>17488</v>
      </c>
      <c r="E11535" t="s">
        <v>27382</v>
      </c>
      <c r="F11535" t="s">
        <v>30052</v>
      </c>
      <c r="G11535" t="s">
        <v>30058</v>
      </c>
      <c r="H11535" t="s">
        <v>15498</v>
      </c>
      <c r="I11535" t="s">
        <v>30084</v>
      </c>
      <c r="J11535" t="s">
        <v>37244</v>
      </c>
      <c r="K11535" t="s">
        <v>39019</v>
      </c>
      <c r="M11535" t="s">
        <v>42661</v>
      </c>
      <c r="N11535" t="s">
        <v>43166</v>
      </c>
      <c r="O11535" t="s">
        <v>43167</v>
      </c>
      <c r="P11535">
        <v>0</v>
      </c>
      <c r="Q11535">
        <v>2</v>
      </c>
      <c r="R11535" t="s">
        <v>43181</v>
      </c>
      <c r="S11535" t="s">
        <v>43729</v>
      </c>
      <c r="T11535" t="s">
        <v>44709</v>
      </c>
      <c r="U11535" t="s">
        <v>54396</v>
      </c>
      <c r="W11535" t="s">
        <v>42661</v>
      </c>
      <c r="X11535" t="s">
        <v>43182</v>
      </c>
    </row>
    <row r="11536" spans="1:24">
      <c r="A11536">
        <f>HYPERLINK("https://www.philgeps.gov.ph/GEPSNONPILOT/Tender/SplashBidNoticeAbstractUI.aspx?menuIndex=3&amp;refID=7060139&amp;Result=3","7060139")</f>
        <v>0</v>
      </c>
      <c r="B11536" t="s">
        <v>3134</v>
      </c>
      <c r="C11536" t="s">
        <v>14428</v>
      </c>
      <c r="D11536" t="s">
        <v>17428</v>
      </c>
      <c r="E11536" t="s">
        <v>21642</v>
      </c>
      <c r="F11536" t="s">
        <v>30055</v>
      </c>
      <c r="G11536" t="s">
        <v>30058</v>
      </c>
      <c r="H11536" t="s">
        <v>30067</v>
      </c>
      <c r="I11536" t="s">
        <v>3693</v>
      </c>
      <c r="J11536" t="s">
        <v>37245</v>
      </c>
      <c r="K11536" t="s">
        <v>39019</v>
      </c>
      <c r="M11536" t="s">
        <v>42736</v>
      </c>
      <c r="N11536" t="s">
        <v>43166</v>
      </c>
      <c r="O11536" t="s">
        <v>43167</v>
      </c>
      <c r="P11536">
        <v>0</v>
      </c>
      <c r="Q11536">
        <v>0</v>
      </c>
      <c r="R11536" t="s">
        <v>43181</v>
      </c>
      <c r="S11536" t="s">
        <v>43729</v>
      </c>
      <c r="T11536" t="s">
        <v>44934</v>
      </c>
      <c r="U11536" t="s">
        <v>54397</v>
      </c>
      <c r="W11536" t="s">
        <v>42736</v>
      </c>
      <c r="X11536" t="s">
        <v>43182</v>
      </c>
    </row>
    <row r="11537" spans="1:24">
      <c r="A11537">
        <f>HYPERLINK("https://www.philgeps.gov.ph/GEPSNONPILOT/Tender/SplashBidNoticeAbstractUI.aspx?menuIndex=3&amp;refID=7060130&amp;Result=3","7060130")</f>
        <v>0</v>
      </c>
      <c r="B11537" t="s">
        <v>3135</v>
      </c>
      <c r="C11537" t="s">
        <v>14429</v>
      </c>
      <c r="D11537" t="s">
        <v>17456</v>
      </c>
      <c r="E11537" t="s">
        <v>27383</v>
      </c>
      <c r="F11537" t="s">
        <v>30052</v>
      </c>
      <c r="G11537" t="s">
        <v>30058</v>
      </c>
      <c r="H11537" t="s">
        <v>15498</v>
      </c>
      <c r="I11537" t="s">
        <v>3736</v>
      </c>
      <c r="J11537" t="s">
        <v>37246</v>
      </c>
      <c r="K11537" t="s">
        <v>39017</v>
      </c>
      <c r="M11537" t="s">
        <v>42737</v>
      </c>
      <c r="N11537" t="s">
        <v>43166</v>
      </c>
      <c r="O11537" t="s">
        <v>43167</v>
      </c>
      <c r="P11537">
        <v>0</v>
      </c>
      <c r="Q11537">
        <v>0</v>
      </c>
      <c r="R11537" t="s">
        <v>43181</v>
      </c>
      <c r="S11537" t="s">
        <v>43729</v>
      </c>
      <c r="T11537" t="s">
        <v>44806</v>
      </c>
      <c r="U11537" t="s">
        <v>54398</v>
      </c>
      <c r="W11537" t="s">
        <v>42737</v>
      </c>
      <c r="X11537" t="s">
        <v>43182</v>
      </c>
    </row>
    <row r="11538" spans="1:24">
      <c r="A11538">
        <f>HYPERLINK("https://www.philgeps.gov.ph/GEPSNONPILOT/Tender/SplashBidNoticeAbstractUI.aspx?menuIndex=3&amp;refID=7059949&amp;Result=3","7059949")</f>
        <v>0</v>
      </c>
      <c r="B11538" t="s">
        <v>3090</v>
      </c>
      <c r="C11538" t="s">
        <v>14430</v>
      </c>
      <c r="D11538" t="s">
        <v>17453</v>
      </c>
      <c r="E11538" t="s">
        <v>27384</v>
      </c>
      <c r="F11538" t="s">
        <v>30052</v>
      </c>
      <c r="G11538" t="s">
        <v>30058</v>
      </c>
      <c r="H11538" t="s">
        <v>30067</v>
      </c>
      <c r="I11538" t="s">
        <v>3693</v>
      </c>
      <c r="J11538" t="s">
        <v>30397</v>
      </c>
      <c r="K11538" t="s">
        <v>39127</v>
      </c>
      <c r="M11538" t="s">
        <v>42674</v>
      </c>
      <c r="N11538" t="s">
        <v>43166</v>
      </c>
      <c r="O11538" t="s">
        <v>43167</v>
      </c>
      <c r="P11538">
        <v>0</v>
      </c>
      <c r="Q11538">
        <v>0</v>
      </c>
      <c r="R11538" t="s">
        <v>43181</v>
      </c>
      <c r="S11538" t="s">
        <v>43729</v>
      </c>
      <c r="T11538" t="s">
        <v>44699</v>
      </c>
      <c r="U11538" t="s">
        <v>54399</v>
      </c>
      <c r="V11538" t="s">
        <v>58089</v>
      </c>
      <c r="W11538" t="s">
        <v>42674</v>
      </c>
      <c r="X11538" t="s">
        <v>43182</v>
      </c>
    </row>
    <row r="11539" spans="1:24">
      <c r="A11539">
        <f>HYPERLINK("https://www.philgeps.gov.ph/GEPSNONPILOT/Tender/SplashBidNoticeAbstractUI.aspx?menuIndex=3&amp;refID=7060125&amp;Result=3","7060125")</f>
        <v>0</v>
      </c>
      <c r="B11539" t="s">
        <v>810</v>
      </c>
      <c r="C11539" t="s">
        <v>14431</v>
      </c>
      <c r="D11539" t="s">
        <v>17458</v>
      </c>
      <c r="E11539" t="s">
        <v>27385</v>
      </c>
      <c r="F11539" t="s">
        <v>30052</v>
      </c>
      <c r="G11539" t="s">
        <v>30058</v>
      </c>
      <c r="H11539" t="s">
        <v>15498</v>
      </c>
      <c r="I11539" t="s">
        <v>30074</v>
      </c>
      <c r="J11539" t="s">
        <v>31684</v>
      </c>
      <c r="K11539" t="s">
        <v>39025</v>
      </c>
      <c r="M11539" t="s">
        <v>42733</v>
      </c>
      <c r="N11539" t="s">
        <v>43166</v>
      </c>
      <c r="O11539" t="s">
        <v>43167</v>
      </c>
      <c r="Q11539">
        <v>3</v>
      </c>
      <c r="R11539" t="s">
        <v>43181</v>
      </c>
      <c r="S11539" t="s">
        <v>43747</v>
      </c>
      <c r="T11539" t="s">
        <v>44968</v>
      </c>
      <c r="U11539" t="s">
        <v>54400</v>
      </c>
      <c r="W11539" t="s">
        <v>42733</v>
      </c>
      <c r="X11539" t="s">
        <v>43182</v>
      </c>
    </row>
    <row r="11540" spans="1:24">
      <c r="A11540">
        <f>HYPERLINK("https://www.philgeps.gov.ph/GEPSNONPILOT/Tender/SplashBidNoticeAbstractUI.aspx?menuIndex=3&amp;refID=7060024&amp;Result=3","7060024")</f>
        <v>0</v>
      </c>
      <c r="B11540" t="s">
        <v>2965</v>
      </c>
      <c r="C11540" t="s">
        <v>14432</v>
      </c>
      <c r="D11540" t="s">
        <v>17466</v>
      </c>
      <c r="E11540" t="s">
        <v>27386</v>
      </c>
      <c r="F11540" t="s">
        <v>30052</v>
      </c>
      <c r="G11540" t="s">
        <v>30058</v>
      </c>
      <c r="H11540" t="s">
        <v>15498</v>
      </c>
      <c r="I11540" t="s">
        <v>4119</v>
      </c>
      <c r="J11540" t="s">
        <v>30417</v>
      </c>
      <c r="K11540" t="s">
        <v>39039</v>
      </c>
      <c r="M11540" t="s">
        <v>42530</v>
      </c>
      <c r="N11540" t="s">
        <v>43166</v>
      </c>
      <c r="O11540" t="s">
        <v>43167</v>
      </c>
      <c r="P11540">
        <v>0</v>
      </c>
      <c r="Q11540">
        <v>0</v>
      </c>
      <c r="R11540" t="s">
        <v>43181</v>
      </c>
      <c r="S11540" t="s">
        <v>43729</v>
      </c>
      <c r="T11540" t="s">
        <v>44802</v>
      </c>
      <c r="U11540" t="s">
        <v>54401</v>
      </c>
      <c r="W11540" t="s">
        <v>42530</v>
      </c>
      <c r="X11540" t="s">
        <v>43182</v>
      </c>
    </row>
    <row r="11541" spans="1:24">
      <c r="A11541">
        <f>HYPERLINK("https://www.philgeps.gov.ph/GEPSNONPILOT/Tender/SplashBidNoticeAbstractUI.aspx?menuIndex=3&amp;refID=7060120&amp;Result=3","7060120")</f>
        <v>0</v>
      </c>
      <c r="B11541" t="s">
        <v>2021</v>
      </c>
      <c r="C11541" t="s">
        <v>14433</v>
      </c>
      <c r="D11541" t="s">
        <v>17476</v>
      </c>
      <c r="E11541" t="s">
        <v>27387</v>
      </c>
      <c r="F11541" t="s">
        <v>30052</v>
      </c>
      <c r="G11541" t="s">
        <v>30058</v>
      </c>
      <c r="H11541" t="s">
        <v>15498</v>
      </c>
      <c r="I11541" t="s">
        <v>5961</v>
      </c>
      <c r="J11541" t="s">
        <v>32337</v>
      </c>
      <c r="K11541" t="s">
        <v>39029</v>
      </c>
      <c r="M11541" t="s">
        <v>41466</v>
      </c>
      <c r="N11541" t="s">
        <v>43166</v>
      </c>
      <c r="O11541" t="s">
        <v>43167</v>
      </c>
      <c r="P11541">
        <v>0</v>
      </c>
      <c r="Q11541">
        <v>0</v>
      </c>
      <c r="R11541" t="s">
        <v>43181</v>
      </c>
      <c r="S11541" t="s">
        <v>43729</v>
      </c>
      <c r="T11541" t="s">
        <v>45158</v>
      </c>
      <c r="U11541" t="s">
        <v>54402</v>
      </c>
      <c r="W11541" t="s">
        <v>41466</v>
      </c>
      <c r="X11541" t="s">
        <v>43182</v>
      </c>
    </row>
    <row r="11542" spans="1:24">
      <c r="A11542">
        <f>HYPERLINK("https://www.philgeps.gov.ph/GEPSNONPILOT/Tender/SplashBidNoticeAbstractUI.aspx?menuIndex=3&amp;refID=7060108&amp;Result=3","7060108")</f>
        <v>0</v>
      </c>
      <c r="B11542" t="s">
        <v>935</v>
      </c>
      <c r="C11542" t="s">
        <v>14434</v>
      </c>
      <c r="D11542" t="s">
        <v>17441</v>
      </c>
      <c r="E11542" t="s">
        <v>27388</v>
      </c>
      <c r="F11542" t="s">
        <v>30052</v>
      </c>
      <c r="G11542" t="s">
        <v>30058</v>
      </c>
      <c r="H11542" t="s">
        <v>15498</v>
      </c>
      <c r="I11542" t="s">
        <v>30137</v>
      </c>
      <c r="J11542" t="s">
        <v>31207</v>
      </c>
      <c r="K11542" t="s">
        <v>39067</v>
      </c>
      <c r="M11542" t="s">
        <v>40259</v>
      </c>
      <c r="N11542" t="s">
        <v>43166</v>
      </c>
      <c r="O11542" t="s">
        <v>43167</v>
      </c>
      <c r="P11542">
        <v>0</v>
      </c>
      <c r="Q11542">
        <v>4</v>
      </c>
      <c r="R11542" t="s">
        <v>43181</v>
      </c>
      <c r="S11542" t="s">
        <v>43729</v>
      </c>
      <c r="T11542" t="s">
        <v>44718</v>
      </c>
      <c r="U11542" t="s">
        <v>54403</v>
      </c>
      <c r="W11542" t="s">
        <v>40259</v>
      </c>
      <c r="X11542" t="s">
        <v>43182</v>
      </c>
    </row>
    <row r="11543" spans="1:24">
      <c r="A11543">
        <f>HYPERLINK("https://www.philgeps.gov.ph/GEPSNONPILOT/Tender/SplashBidNoticeAbstractUI.aspx?menuIndex=3&amp;refID=7060103&amp;Result=3","7060103")</f>
        <v>0</v>
      </c>
      <c r="B11543" t="s">
        <v>1282</v>
      </c>
      <c r="C11543" t="s">
        <v>14435</v>
      </c>
      <c r="D11543" t="s">
        <v>17467</v>
      </c>
      <c r="E11543" t="s">
        <v>27389</v>
      </c>
      <c r="F11543" t="s">
        <v>30052</v>
      </c>
      <c r="G11543" t="s">
        <v>30058</v>
      </c>
      <c r="H11543" t="s">
        <v>15498</v>
      </c>
      <c r="I11543" t="s">
        <v>3606</v>
      </c>
      <c r="J11543" t="s">
        <v>37247</v>
      </c>
      <c r="K11543" t="s">
        <v>39037</v>
      </c>
      <c r="L11543" t="s">
        <v>1282</v>
      </c>
      <c r="M11543" t="s">
        <v>40646</v>
      </c>
      <c r="N11543" t="s">
        <v>43166</v>
      </c>
      <c r="O11543" t="s">
        <v>43167</v>
      </c>
      <c r="P11543">
        <v>0</v>
      </c>
      <c r="Q11543">
        <v>1</v>
      </c>
      <c r="R11543" t="s">
        <v>43181</v>
      </c>
      <c r="S11543" t="s">
        <v>43729</v>
      </c>
      <c r="T11543" t="s">
        <v>44949</v>
      </c>
      <c r="U11543" t="s">
        <v>48024</v>
      </c>
      <c r="W11543" t="s">
        <v>40646</v>
      </c>
      <c r="X11543" t="s">
        <v>43182</v>
      </c>
    </row>
    <row r="11544" spans="1:24">
      <c r="A11544">
        <f>HYPERLINK("https://www.philgeps.gov.ph/GEPSNONPILOT/Tender/SplashBidNoticeAbstractUI.aspx?menuIndex=3&amp;refID=7060100&amp;Result=3","7060100")</f>
        <v>0</v>
      </c>
      <c r="B11544" t="s">
        <v>810</v>
      </c>
      <c r="C11544" t="s">
        <v>14436</v>
      </c>
      <c r="D11544" t="s">
        <v>17458</v>
      </c>
      <c r="E11544" t="s">
        <v>27390</v>
      </c>
      <c r="F11544" t="s">
        <v>30052</v>
      </c>
      <c r="G11544" t="s">
        <v>30058</v>
      </c>
      <c r="H11544" t="s">
        <v>15498</v>
      </c>
      <c r="I11544" t="s">
        <v>7228</v>
      </c>
      <c r="J11544" t="s">
        <v>35702</v>
      </c>
      <c r="K11544" t="s">
        <v>39025</v>
      </c>
      <c r="M11544" t="s">
        <v>42733</v>
      </c>
      <c r="N11544" t="s">
        <v>43166</v>
      </c>
      <c r="O11544" t="s">
        <v>43167</v>
      </c>
      <c r="Q11544">
        <v>0</v>
      </c>
      <c r="R11544" t="s">
        <v>43181</v>
      </c>
      <c r="S11544" t="s">
        <v>43748</v>
      </c>
      <c r="T11544" t="s">
        <v>44968</v>
      </c>
      <c r="U11544" t="s">
        <v>54404</v>
      </c>
      <c r="W11544" t="s">
        <v>42733</v>
      </c>
      <c r="X11544" t="s">
        <v>43182</v>
      </c>
    </row>
    <row r="11545" spans="1:24">
      <c r="A11545">
        <f>HYPERLINK("https://www.philgeps.gov.ph/GEPSNONPILOT/Tender/SplashBidNoticeAbstractUI.aspx?menuIndex=3&amp;refID=7060091&amp;Result=3","7060091")</f>
        <v>0</v>
      </c>
      <c r="B11545" t="s">
        <v>1736</v>
      </c>
      <c r="C11545" t="s">
        <v>14437</v>
      </c>
      <c r="D11545" t="s">
        <v>17444</v>
      </c>
      <c r="E11545" t="s">
        <v>27391</v>
      </c>
      <c r="F11545" t="s">
        <v>30052</v>
      </c>
      <c r="G11545" t="s">
        <v>30058</v>
      </c>
      <c r="H11545" t="s">
        <v>30067</v>
      </c>
      <c r="I11545" t="s">
        <v>3736</v>
      </c>
      <c r="J11545" t="s">
        <v>37248</v>
      </c>
      <c r="K11545" t="s">
        <v>39034</v>
      </c>
      <c r="M11545" t="s">
        <v>41153</v>
      </c>
      <c r="N11545" t="s">
        <v>43166</v>
      </c>
      <c r="O11545" t="s">
        <v>43167</v>
      </c>
      <c r="P11545">
        <v>0</v>
      </c>
      <c r="Q11545">
        <v>0</v>
      </c>
      <c r="R11545" t="s">
        <v>43181</v>
      </c>
      <c r="S11545" t="s">
        <v>43729</v>
      </c>
      <c r="T11545" t="s">
        <v>44750</v>
      </c>
      <c r="U11545" t="s">
        <v>54405</v>
      </c>
      <c r="W11545" t="s">
        <v>41153</v>
      </c>
      <c r="X11545" t="s">
        <v>43182</v>
      </c>
    </row>
    <row r="11546" spans="1:24">
      <c r="A11546">
        <f>HYPERLINK("https://www.philgeps.gov.ph/GEPSNONPILOT/Tender/SplashBidNoticeAbstractUI.aspx?menuIndex=3&amp;refID=7060078&amp;Result=3","7060078")</f>
        <v>0</v>
      </c>
      <c r="B11546" t="s">
        <v>2578</v>
      </c>
      <c r="C11546" t="s">
        <v>14438</v>
      </c>
      <c r="D11546" t="s">
        <v>17436</v>
      </c>
      <c r="E11546" t="s">
        <v>27392</v>
      </c>
      <c r="F11546" t="s">
        <v>30052</v>
      </c>
      <c r="G11546" t="s">
        <v>30058</v>
      </c>
      <c r="H11546" t="s">
        <v>15498</v>
      </c>
      <c r="I11546" t="s">
        <v>3736</v>
      </c>
      <c r="J11546" t="s">
        <v>37249</v>
      </c>
      <c r="K11546" t="s">
        <v>39029</v>
      </c>
      <c r="M11546" t="s">
        <v>42086</v>
      </c>
      <c r="N11546" t="s">
        <v>43166</v>
      </c>
      <c r="O11546" t="s">
        <v>43167</v>
      </c>
      <c r="P11546">
        <v>0</v>
      </c>
      <c r="Q11546">
        <v>3</v>
      </c>
      <c r="R11546" t="s">
        <v>43181</v>
      </c>
      <c r="S11546" t="s">
        <v>43729</v>
      </c>
      <c r="T11546" t="s">
        <v>44724</v>
      </c>
      <c r="U11546" t="s">
        <v>54406</v>
      </c>
      <c r="W11546" t="s">
        <v>42086</v>
      </c>
      <c r="X11546" t="s">
        <v>43182</v>
      </c>
    </row>
    <row r="11547" spans="1:24">
      <c r="A11547">
        <f>HYPERLINK("https://www.philgeps.gov.ph/GEPSNONPILOT/Tender/SplashBidNoticeAbstractUI.aspx?menuIndex=3&amp;refID=7060074&amp;Result=3","7060074")</f>
        <v>0</v>
      </c>
      <c r="B11547" t="s">
        <v>810</v>
      </c>
      <c r="C11547" t="s">
        <v>14439</v>
      </c>
      <c r="D11547" t="s">
        <v>17458</v>
      </c>
      <c r="E11547" t="s">
        <v>27393</v>
      </c>
      <c r="F11547" t="s">
        <v>30052</v>
      </c>
      <c r="G11547" t="s">
        <v>30058</v>
      </c>
      <c r="H11547" t="s">
        <v>15498</v>
      </c>
      <c r="I11547" t="s">
        <v>30078</v>
      </c>
      <c r="J11547" t="s">
        <v>37250</v>
      </c>
      <c r="K11547" t="s">
        <v>39025</v>
      </c>
      <c r="M11547" t="s">
        <v>42733</v>
      </c>
      <c r="N11547" t="s">
        <v>43166</v>
      </c>
      <c r="O11547" t="s">
        <v>43167</v>
      </c>
      <c r="Q11547">
        <v>3</v>
      </c>
      <c r="R11547" t="s">
        <v>43181</v>
      </c>
      <c r="S11547" t="s">
        <v>43749</v>
      </c>
      <c r="T11547" t="s">
        <v>44968</v>
      </c>
      <c r="U11547" t="s">
        <v>54407</v>
      </c>
      <c r="W11547" t="s">
        <v>42733</v>
      </c>
      <c r="X11547" t="s">
        <v>43182</v>
      </c>
    </row>
    <row r="11548" spans="1:24">
      <c r="A11548">
        <f>HYPERLINK("https://www.philgeps.gov.ph/GEPSNONPILOT/Tender/SplashBidNoticeAbstractUI.aspx?menuIndex=3&amp;refID=7060069&amp;Result=3","7060069")</f>
        <v>0</v>
      </c>
      <c r="B11548" t="s">
        <v>3136</v>
      </c>
      <c r="C11548" t="s">
        <v>14440</v>
      </c>
      <c r="E11548" t="s">
        <v>27394</v>
      </c>
      <c r="F11548" t="s">
        <v>30052</v>
      </c>
      <c r="G11548" t="s">
        <v>30058</v>
      </c>
      <c r="H11548" t="s">
        <v>15498</v>
      </c>
      <c r="I11548" t="s">
        <v>3606</v>
      </c>
      <c r="J11548" t="s">
        <v>37251</v>
      </c>
      <c r="K11548" t="s">
        <v>39025</v>
      </c>
      <c r="M11548" t="s">
        <v>42738</v>
      </c>
      <c r="N11548" t="s">
        <v>43166</v>
      </c>
      <c r="O11548" t="s">
        <v>43167</v>
      </c>
      <c r="P11548">
        <v>0</v>
      </c>
      <c r="Q11548">
        <v>12</v>
      </c>
      <c r="R11548" t="s">
        <v>43181</v>
      </c>
      <c r="S11548" t="s">
        <v>43729</v>
      </c>
      <c r="T11548" t="s">
        <v>45159</v>
      </c>
      <c r="U11548" t="s">
        <v>54408</v>
      </c>
      <c r="V11548" t="s">
        <v>58111</v>
      </c>
      <c r="W11548" t="s">
        <v>42738</v>
      </c>
      <c r="X11548" t="s">
        <v>43182</v>
      </c>
    </row>
    <row r="11549" spans="1:24">
      <c r="A11549">
        <f>HYPERLINK("https://www.philgeps.gov.ph/GEPSNONPILOT/Tender/SplashBidNoticeAbstractUI.aspx?menuIndex=3&amp;refID=7060049&amp;Result=3","7060049")</f>
        <v>0</v>
      </c>
      <c r="B11549" t="s">
        <v>3137</v>
      </c>
      <c r="C11549" t="s">
        <v>14441</v>
      </c>
      <c r="D11549" t="s">
        <v>17446</v>
      </c>
      <c r="E11549" t="s">
        <v>27395</v>
      </c>
      <c r="F11549" t="s">
        <v>30052</v>
      </c>
      <c r="G11549" t="s">
        <v>30058</v>
      </c>
      <c r="H11549" t="s">
        <v>30067</v>
      </c>
      <c r="I11549" t="s">
        <v>3693</v>
      </c>
      <c r="J11549" t="s">
        <v>37252</v>
      </c>
      <c r="K11549" t="s">
        <v>39025</v>
      </c>
      <c r="M11549" t="s">
        <v>42739</v>
      </c>
      <c r="N11549" t="s">
        <v>43166</v>
      </c>
      <c r="O11549" t="s">
        <v>43167</v>
      </c>
      <c r="P11549">
        <v>0</v>
      </c>
      <c r="Q11549">
        <v>1</v>
      </c>
      <c r="R11549" t="s">
        <v>43181</v>
      </c>
      <c r="S11549" t="s">
        <v>43729</v>
      </c>
      <c r="T11549" t="s">
        <v>44699</v>
      </c>
      <c r="U11549" t="s">
        <v>54409</v>
      </c>
      <c r="W11549" t="s">
        <v>42739</v>
      </c>
      <c r="X11549" t="s">
        <v>43182</v>
      </c>
    </row>
    <row r="11550" spans="1:24">
      <c r="A11550">
        <f>HYPERLINK("https://www.philgeps.gov.ph/GEPSNONPILOT/Tender/SplashBidNoticeAbstractUI.aspx?menuIndex=3&amp;refID=7060041&amp;Result=3","7060041")</f>
        <v>0</v>
      </c>
      <c r="B11550" t="s">
        <v>3132</v>
      </c>
      <c r="C11550" t="s">
        <v>14442</v>
      </c>
      <c r="D11550" t="s">
        <v>17422</v>
      </c>
      <c r="E11550" t="s">
        <v>27396</v>
      </c>
      <c r="F11550" t="s">
        <v>30052</v>
      </c>
      <c r="G11550" t="s">
        <v>30058</v>
      </c>
      <c r="H11550" t="s">
        <v>15498</v>
      </c>
      <c r="I11550" t="s">
        <v>3736</v>
      </c>
      <c r="J11550" t="s">
        <v>37253</v>
      </c>
      <c r="K11550" t="s">
        <v>39034</v>
      </c>
      <c r="M11550" t="s">
        <v>42734</v>
      </c>
      <c r="N11550" t="s">
        <v>43166</v>
      </c>
      <c r="O11550" t="s">
        <v>43167</v>
      </c>
      <c r="P11550">
        <v>0</v>
      </c>
      <c r="Q11550">
        <v>1</v>
      </c>
      <c r="R11550" t="s">
        <v>43181</v>
      </c>
      <c r="S11550" t="s">
        <v>43729</v>
      </c>
      <c r="T11550" t="s">
        <v>44681</v>
      </c>
      <c r="U11550" t="s">
        <v>54410</v>
      </c>
      <c r="V11550" t="s">
        <v>58108</v>
      </c>
      <c r="W11550" t="s">
        <v>42734</v>
      </c>
      <c r="X11550" t="s">
        <v>43182</v>
      </c>
    </row>
    <row r="11551" spans="1:24">
      <c r="A11551">
        <f>HYPERLINK("https://www.philgeps.gov.ph/GEPSNONPILOT/Tender/SplashBidNoticeAbstractUI.aspx?menuIndex=3&amp;refID=7059596&amp;Result=3","7059596")</f>
        <v>0</v>
      </c>
      <c r="B11551" t="s">
        <v>2477</v>
      </c>
      <c r="C11551" t="s">
        <v>14443</v>
      </c>
      <c r="D11551" t="s">
        <v>17417</v>
      </c>
      <c r="E11551" t="s">
        <v>27333</v>
      </c>
      <c r="F11551" t="s">
        <v>30052</v>
      </c>
      <c r="G11551" t="s">
        <v>30058</v>
      </c>
      <c r="H11551" t="s">
        <v>15498</v>
      </c>
      <c r="I11551" t="s">
        <v>3606</v>
      </c>
      <c r="J11551" t="s">
        <v>34001</v>
      </c>
      <c r="K11551" t="s">
        <v>39023</v>
      </c>
      <c r="M11551" t="s">
        <v>41977</v>
      </c>
      <c r="N11551" t="s">
        <v>43166</v>
      </c>
      <c r="O11551" t="s">
        <v>43167</v>
      </c>
      <c r="P11551">
        <v>0</v>
      </c>
      <c r="Q11551">
        <v>0</v>
      </c>
      <c r="R11551" t="s">
        <v>43181</v>
      </c>
      <c r="S11551" t="s">
        <v>43729</v>
      </c>
      <c r="T11551" t="s">
        <v>44733</v>
      </c>
      <c r="U11551" t="s">
        <v>54411</v>
      </c>
      <c r="W11551" t="s">
        <v>41977</v>
      </c>
      <c r="X11551" t="s">
        <v>43182</v>
      </c>
    </row>
    <row r="11552" spans="1:24">
      <c r="A11552">
        <f>HYPERLINK("https://www.philgeps.gov.ph/GEPSNONPILOT/Tender/SplashBidNoticeAbstractUI.aspx?menuIndex=3&amp;refID=7059945&amp;Result=3","7059945")</f>
        <v>0</v>
      </c>
      <c r="B11552" t="s">
        <v>76</v>
      </c>
      <c r="C11552" t="s">
        <v>14444</v>
      </c>
      <c r="D11552" t="s">
        <v>17443</v>
      </c>
      <c r="E11552" t="s">
        <v>19907</v>
      </c>
      <c r="F11552" t="s">
        <v>30052</v>
      </c>
      <c r="G11552" t="s">
        <v>30058</v>
      </c>
      <c r="H11552" t="s">
        <v>15498</v>
      </c>
      <c r="I11552" t="s">
        <v>30071</v>
      </c>
      <c r="J11552" t="s">
        <v>30586</v>
      </c>
      <c r="K11552" t="s">
        <v>39029</v>
      </c>
      <c r="M11552" t="s">
        <v>39365</v>
      </c>
      <c r="N11552" t="s">
        <v>43166</v>
      </c>
      <c r="O11552" t="s">
        <v>43167</v>
      </c>
      <c r="P11552">
        <v>0</v>
      </c>
      <c r="Q11552">
        <v>1</v>
      </c>
      <c r="R11552" t="s">
        <v>43181</v>
      </c>
      <c r="S11552" t="s">
        <v>43729</v>
      </c>
      <c r="T11552" t="s">
        <v>44724</v>
      </c>
      <c r="U11552" t="s">
        <v>54412</v>
      </c>
      <c r="W11552" t="s">
        <v>39365</v>
      </c>
      <c r="X11552" t="s">
        <v>43182</v>
      </c>
    </row>
    <row r="11553" spans="1:24">
      <c r="A11553">
        <f>HYPERLINK("https://www.philgeps.gov.ph/GEPSNONPILOT/Tender/SplashBidNoticeAbstractUI.aspx?menuIndex=3&amp;refID=7059944&amp;Result=3","7059944")</f>
        <v>0</v>
      </c>
      <c r="B11553" t="s">
        <v>2476</v>
      </c>
      <c r="C11553" t="s">
        <v>14445</v>
      </c>
      <c r="D11553" t="s">
        <v>17472</v>
      </c>
      <c r="E11553" t="s">
        <v>27397</v>
      </c>
      <c r="F11553" t="s">
        <v>30052</v>
      </c>
      <c r="G11553" t="s">
        <v>30058</v>
      </c>
      <c r="H11553" t="s">
        <v>15498</v>
      </c>
      <c r="I11553" t="s">
        <v>4598</v>
      </c>
      <c r="J11553" t="s">
        <v>30222</v>
      </c>
      <c r="K11553" t="s">
        <v>39019</v>
      </c>
      <c r="M11553" t="s">
        <v>41976</v>
      </c>
      <c r="N11553" t="s">
        <v>43166</v>
      </c>
      <c r="O11553" t="s">
        <v>43167</v>
      </c>
      <c r="P11553">
        <v>0</v>
      </c>
      <c r="Q11553">
        <v>16</v>
      </c>
      <c r="R11553" t="s">
        <v>43181</v>
      </c>
      <c r="S11553" t="s">
        <v>43729</v>
      </c>
      <c r="T11553" t="s">
        <v>44689</v>
      </c>
      <c r="U11553" t="s">
        <v>54413</v>
      </c>
      <c r="W11553" t="s">
        <v>41976</v>
      </c>
      <c r="X11553" t="s">
        <v>43182</v>
      </c>
    </row>
    <row r="11554" spans="1:24">
      <c r="A11554">
        <f>HYPERLINK("https://www.philgeps.gov.ph/GEPSNONPILOT/Tender/SplashBidNoticeAbstractUI.aspx?menuIndex=3&amp;refID=7059939&amp;Result=3","7059939")</f>
        <v>0</v>
      </c>
      <c r="B11554" t="s">
        <v>3132</v>
      </c>
      <c r="C11554" t="s">
        <v>14446</v>
      </c>
      <c r="D11554" t="s">
        <v>17422</v>
      </c>
      <c r="E11554" t="s">
        <v>27398</v>
      </c>
      <c r="F11554" t="s">
        <v>30052</v>
      </c>
      <c r="G11554" t="s">
        <v>30058</v>
      </c>
      <c r="H11554" t="s">
        <v>15498</v>
      </c>
      <c r="I11554" t="s">
        <v>3736</v>
      </c>
      <c r="J11554" t="s">
        <v>37254</v>
      </c>
      <c r="K11554" t="s">
        <v>39034</v>
      </c>
      <c r="M11554" t="s">
        <v>42734</v>
      </c>
      <c r="N11554" t="s">
        <v>43166</v>
      </c>
      <c r="O11554" t="s">
        <v>43167</v>
      </c>
      <c r="P11554">
        <v>0</v>
      </c>
      <c r="Q11554">
        <v>0</v>
      </c>
      <c r="R11554" t="s">
        <v>43181</v>
      </c>
      <c r="S11554" t="s">
        <v>43729</v>
      </c>
      <c r="T11554" t="s">
        <v>44679</v>
      </c>
      <c r="U11554" t="s">
        <v>54414</v>
      </c>
      <c r="V11554" t="s">
        <v>58108</v>
      </c>
      <c r="W11554" t="s">
        <v>42734</v>
      </c>
      <c r="X11554" t="s">
        <v>43182</v>
      </c>
    </row>
    <row r="11555" spans="1:24">
      <c r="A11555">
        <f>HYPERLINK("https://www.philgeps.gov.ph/GEPSNONPILOT/Tender/SplashBidNoticeAbstractUI.aspx?menuIndex=3&amp;refID=7059938&amp;Result=3","7059938")</f>
        <v>0</v>
      </c>
      <c r="B11555" t="s">
        <v>3138</v>
      </c>
      <c r="C11555" t="s">
        <v>3662</v>
      </c>
      <c r="D11555" t="s">
        <v>17434</v>
      </c>
      <c r="E11555" t="s">
        <v>11486</v>
      </c>
      <c r="F11555" t="s">
        <v>30052</v>
      </c>
      <c r="G11555" t="s">
        <v>30058</v>
      </c>
      <c r="H11555" t="s">
        <v>15498</v>
      </c>
      <c r="I11555" t="s">
        <v>5961</v>
      </c>
      <c r="J11555" t="s">
        <v>37255</v>
      </c>
      <c r="K11555" t="s">
        <v>39060</v>
      </c>
      <c r="M11555" t="s">
        <v>42740</v>
      </c>
      <c r="N11555" t="s">
        <v>43166</v>
      </c>
      <c r="O11555" t="s">
        <v>43167</v>
      </c>
      <c r="P11555">
        <v>0</v>
      </c>
      <c r="Q11555">
        <v>1</v>
      </c>
      <c r="R11555" t="s">
        <v>43181</v>
      </c>
      <c r="S11555" t="s">
        <v>43729</v>
      </c>
      <c r="T11555" t="s">
        <v>44719</v>
      </c>
      <c r="U11555" t="s">
        <v>54415</v>
      </c>
      <c r="W11555" t="s">
        <v>42740</v>
      </c>
      <c r="X11555" t="s">
        <v>43182</v>
      </c>
    </row>
    <row r="11556" spans="1:24">
      <c r="A11556">
        <f>HYPERLINK("https://www.philgeps.gov.ph/GEPSNONPILOT/Tender/SplashBidNoticeAbstractUI.aspx?menuIndex=3&amp;refID=7059935&amp;Result=3","7059935")</f>
        <v>0</v>
      </c>
      <c r="B11556" t="s">
        <v>3133</v>
      </c>
      <c r="C11556" t="s">
        <v>14447</v>
      </c>
      <c r="D11556" t="s">
        <v>17444</v>
      </c>
      <c r="E11556" t="s">
        <v>27399</v>
      </c>
      <c r="F11556" t="s">
        <v>30052</v>
      </c>
      <c r="G11556" t="s">
        <v>30058</v>
      </c>
      <c r="H11556" t="s">
        <v>30067</v>
      </c>
      <c r="I11556" t="s">
        <v>3736</v>
      </c>
      <c r="J11556" t="s">
        <v>37256</v>
      </c>
      <c r="K11556" t="s">
        <v>39026</v>
      </c>
      <c r="L11556" t="s">
        <v>3133</v>
      </c>
      <c r="M11556" t="s">
        <v>42735</v>
      </c>
      <c r="N11556" t="s">
        <v>43166</v>
      </c>
      <c r="O11556" t="s">
        <v>43167</v>
      </c>
      <c r="P11556">
        <v>0</v>
      </c>
      <c r="Q11556">
        <v>1</v>
      </c>
      <c r="R11556" t="s">
        <v>43181</v>
      </c>
      <c r="S11556" t="s">
        <v>43729</v>
      </c>
      <c r="T11556" t="s">
        <v>44777</v>
      </c>
      <c r="U11556" t="s">
        <v>54416</v>
      </c>
      <c r="W11556" t="s">
        <v>42735</v>
      </c>
      <c r="X11556" t="s">
        <v>43182</v>
      </c>
    </row>
    <row r="11557" spans="1:24">
      <c r="A11557">
        <f>HYPERLINK("https://www.philgeps.gov.ph/GEPSNONPILOT/Tender/SplashBidNoticeAbstractUI.aspx?menuIndex=3&amp;refID=7059594&amp;Result=3","7059594")</f>
        <v>0</v>
      </c>
      <c r="B11557" t="s">
        <v>3124</v>
      </c>
      <c r="C11557" t="s">
        <v>14448</v>
      </c>
      <c r="D11557" t="s">
        <v>17461</v>
      </c>
      <c r="E11557" t="s">
        <v>27400</v>
      </c>
      <c r="F11557" t="s">
        <v>30052</v>
      </c>
      <c r="G11557" t="s">
        <v>30058</v>
      </c>
      <c r="H11557" t="s">
        <v>15498</v>
      </c>
      <c r="I11557" t="s">
        <v>5961</v>
      </c>
      <c r="J11557" t="s">
        <v>37257</v>
      </c>
      <c r="K11557" t="s">
        <v>39037</v>
      </c>
      <c r="M11557" t="s">
        <v>42724</v>
      </c>
      <c r="N11557" t="s">
        <v>43166</v>
      </c>
      <c r="O11557" t="s">
        <v>43167</v>
      </c>
      <c r="P11557">
        <v>0</v>
      </c>
      <c r="Q11557">
        <v>4</v>
      </c>
      <c r="R11557" t="s">
        <v>43181</v>
      </c>
      <c r="S11557" t="s">
        <v>43729</v>
      </c>
      <c r="T11557" t="s">
        <v>44733</v>
      </c>
      <c r="U11557" t="s">
        <v>54417</v>
      </c>
      <c r="W11557" t="s">
        <v>42724</v>
      </c>
      <c r="X11557" t="s">
        <v>43182</v>
      </c>
    </row>
    <row r="11558" spans="1:24">
      <c r="A11558">
        <f>HYPERLINK("https://www.philgeps.gov.ph/GEPSNONPILOT/Tender/SplashBidNoticeAbstractUI.aspx?menuIndex=3&amp;refID=7060054&amp;Result=3","7060054")</f>
        <v>0</v>
      </c>
      <c r="B11558" t="s">
        <v>3078</v>
      </c>
      <c r="C11558" t="s">
        <v>14449</v>
      </c>
      <c r="D11558" t="s">
        <v>17488</v>
      </c>
      <c r="E11558" t="s">
        <v>27401</v>
      </c>
      <c r="F11558" t="s">
        <v>30052</v>
      </c>
      <c r="G11558" t="s">
        <v>30058</v>
      </c>
      <c r="H11558" t="s">
        <v>15498</v>
      </c>
      <c r="I11558" t="s">
        <v>30092</v>
      </c>
      <c r="J11558" t="s">
        <v>30900</v>
      </c>
      <c r="K11558" t="s">
        <v>39029</v>
      </c>
      <c r="M11558" t="s">
        <v>42661</v>
      </c>
      <c r="N11558" t="s">
        <v>43166</v>
      </c>
      <c r="O11558" t="s">
        <v>43167</v>
      </c>
      <c r="P11558">
        <v>0</v>
      </c>
      <c r="Q11558">
        <v>4</v>
      </c>
      <c r="R11558" t="s">
        <v>43181</v>
      </c>
      <c r="S11558" t="s">
        <v>43729</v>
      </c>
      <c r="T11558" t="s">
        <v>44709</v>
      </c>
      <c r="U11558" t="s">
        <v>54418</v>
      </c>
      <c r="W11558" t="s">
        <v>42661</v>
      </c>
      <c r="X11558" t="s">
        <v>43182</v>
      </c>
    </row>
    <row r="11559" spans="1:24">
      <c r="A11559">
        <f>HYPERLINK("https://www.philgeps.gov.ph/GEPSNONPILOT/Tender/SplashBidNoticeAbstractUI.aspx?menuIndex=3&amp;refID=7059593&amp;Result=3","7059593")</f>
        <v>0</v>
      </c>
      <c r="B11559" t="s">
        <v>3139</v>
      </c>
      <c r="C11559" t="s">
        <v>14450</v>
      </c>
      <c r="D11559" t="s">
        <v>17448</v>
      </c>
      <c r="E11559" t="s">
        <v>27402</v>
      </c>
      <c r="F11559" t="s">
        <v>30052</v>
      </c>
      <c r="G11559" t="s">
        <v>30058</v>
      </c>
      <c r="H11559" t="s">
        <v>30067</v>
      </c>
      <c r="I11559" t="s">
        <v>3693</v>
      </c>
      <c r="J11559" t="s">
        <v>37258</v>
      </c>
      <c r="K11559" t="s">
        <v>39026</v>
      </c>
      <c r="M11559" t="s">
        <v>42741</v>
      </c>
      <c r="N11559" t="s">
        <v>43166</v>
      </c>
      <c r="O11559" t="s">
        <v>43167</v>
      </c>
      <c r="P11559">
        <v>0</v>
      </c>
      <c r="Q11559">
        <v>0</v>
      </c>
      <c r="R11559" t="s">
        <v>43181</v>
      </c>
      <c r="S11559" t="s">
        <v>43729</v>
      </c>
      <c r="T11559" t="s">
        <v>44681</v>
      </c>
      <c r="U11559" t="s">
        <v>54419</v>
      </c>
      <c r="V11559" t="s">
        <v>58112</v>
      </c>
      <c r="W11559" t="s">
        <v>42741</v>
      </c>
      <c r="X11559" t="s">
        <v>43182</v>
      </c>
    </row>
    <row r="11560" spans="1:24">
      <c r="A11560">
        <f>HYPERLINK("https://www.philgeps.gov.ph/GEPSNONPILOT/Tender/SplashBidNoticeAbstractUI.aspx?menuIndex=3&amp;refID=7059946&amp;Result=3","7059946")</f>
        <v>0</v>
      </c>
      <c r="B11560" t="s">
        <v>3133</v>
      </c>
      <c r="C11560" t="s">
        <v>14451</v>
      </c>
      <c r="D11560" t="s">
        <v>17444</v>
      </c>
      <c r="E11560" t="s">
        <v>27399</v>
      </c>
      <c r="F11560" t="s">
        <v>30052</v>
      </c>
      <c r="G11560" t="s">
        <v>30058</v>
      </c>
      <c r="H11560" t="s">
        <v>30067</v>
      </c>
      <c r="I11560" t="s">
        <v>3693</v>
      </c>
      <c r="J11560" t="s">
        <v>37259</v>
      </c>
      <c r="K11560" t="s">
        <v>39026</v>
      </c>
      <c r="L11560" t="s">
        <v>3133</v>
      </c>
      <c r="M11560" t="s">
        <v>42735</v>
      </c>
      <c r="N11560" t="s">
        <v>43166</v>
      </c>
      <c r="O11560" t="s">
        <v>43167</v>
      </c>
      <c r="P11560">
        <v>0</v>
      </c>
      <c r="Q11560">
        <v>0</v>
      </c>
      <c r="R11560" t="s">
        <v>43181</v>
      </c>
      <c r="S11560" t="s">
        <v>43729</v>
      </c>
      <c r="T11560" t="s">
        <v>44777</v>
      </c>
      <c r="U11560" t="s">
        <v>54420</v>
      </c>
      <c r="W11560" t="s">
        <v>42735</v>
      </c>
      <c r="X11560" t="s">
        <v>43182</v>
      </c>
    </row>
    <row r="11561" spans="1:24">
      <c r="A11561">
        <f>HYPERLINK("https://www.philgeps.gov.ph/GEPSNONPILOT/Tender/SplashBidNoticeAbstractUI.aspx?menuIndex=3&amp;refID=7059547&amp;Result=3","7059547")</f>
        <v>0</v>
      </c>
      <c r="B11561" t="s">
        <v>1572</v>
      </c>
      <c r="C11561" t="s">
        <v>14452</v>
      </c>
      <c r="D11561" t="s">
        <v>17476</v>
      </c>
      <c r="E11561" t="s">
        <v>27403</v>
      </c>
      <c r="F11561" t="s">
        <v>30052</v>
      </c>
      <c r="G11561" t="s">
        <v>30058</v>
      </c>
      <c r="H11561" t="s">
        <v>15498</v>
      </c>
      <c r="I11561" t="s">
        <v>30076</v>
      </c>
      <c r="J11561" t="s">
        <v>37260</v>
      </c>
      <c r="K11561" t="s">
        <v>39029</v>
      </c>
      <c r="M11561" t="s">
        <v>40963</v>
      </c>
      <c r="N11561" t="s">
        <v>43166</v>
      </c>
      <c r="O11561" t="s">
        <v>43167</v>
      </c>
      <c r="P11561">
        <v>0</v>
      </c>
      <c r="Q11561">
        <v>9</v>
      </c>
      <c r="R11561" t="s">
        <v>43181</v>
      </c>
      <c r="S11561" t="s">
        <v>43729</v>
      </c>
      <c r="T11561" t="s">
        <v>44969</v>
      </c>
      <c r="U11561" t="s">
        <v>54421</v>
      </c>
      <c r="W11561" t="s">
        <v>40963</v>
      </c>
      <c r="X11561" t="s">
        <v>43182</v>
      </c>
    </row>
    <row r="11562" spans="1:24">
      <c r="A11562">
        <f>HYPERLINK("https://www.philgeps.gov.ph/GEPSNONPILOT/Tender/SplashBidNoticeAbstractUI.aspx?menuIndex=3&amp;refID=7059540&amp;Result=3","7059540")</f>
        <v>0</v>
      </c>
      <c r="B11562" t="s">
        <v>777</v>
      </c>
      <c r="C11562" t="s">
        <v>14453</v>
      </c>
      <c r="E11562" t="s">
        <v>27404</v>
      </c>
      <c r="F11562" t="s">
        <v>30052</v>
      </c>
      <c r="G11562" t="s">
        <v>30058</v>
      </c>
      <c r="H11562" t="s">
        <v>30067</v>
      </c>
      <c r="I11562" t="s">
        <v>3693</v>
      </c>
      <c r="J11562" t="s">
        <v>30247</v>
      </c>
      <c r="K11562" t="s">
        <v>39031</v>
      </c>
      <c r="M11562" t="s">
        <v>40092</v>
      </c>
      <c r="N11562" t="s">
        <v>43166</v>
      </c>
      <c r="O11562" t="s">
        <v>43167</v>
      </c>
      <c r="P11562">
        <v>0</v>
      </c>
      <c r="Q11562">
        <v>0</v>
      </c>
      <c r="R11562" t="s">
        <v>43181</v>
      </c>
      <c r="S11562" t="s">
        <v>43729</v>
      </c>
      <c r="T11562" t="s">
        <v>44753</v>
      </c>
      <c r="U11562" t="s">
        <v>54422</v>
      </c>
      <c r="W11562" t="s">
        <v>40092</v>
      </c>
      <c r="X11562" t="s">
        <v>43182</v>
      </c>
    </row>
    <row r="11563" spans="1:24">
      <c r="A11563">
        <f>HYPERLINK("https://www.philgeps.gov.ph/GEPSNONPILOT/Tender/SplashBidNoticeAbstractUI.aspx?menuIndex=3&amp;refID=7059509&amp;Result=3","7059509")</f>
        <v>0</v>
      </c>
      <c r="B11563" t="s">
        <v>1172</v>
      </c>
      <c r="C11563" t="s">
        <v>14454</v>
      </c>
      <c r="D11563" t="s">
        <v>17466</v>
      </c>
      <c r="E11563" t="s">
        <v>27405</v>
      </c>
      <c r="F11563" t="s">
        <v>30052</v>
      </c>
      <c r="G11563" t="s">
        <v>30058</v>
      </c>
      <c r="H11563" t="s">
        <v>30067</v>
      </c>
      <c r="I11563" t="s">
        <v>3693</v>
      </c>
      <c r="J11563" t="s">
        <v>37261</v>
      </c>
      <c r="K11563" t="s">
        <v>39022</v>
      </c>
      <c r="M11563" t="s">
        <v>40520</v>
      </c>
      <c r="N11563" t="s">
        <v>43166</v>
      </c>
      <c r="O11563" t="s">
        <v>43167</v>
      </c>
      <c r="P11563">
        <v>0</v>
      </c>
      <c r="Q11563">
        <v>17</v>
      </c>
      <c r="R11563" t="s">
        <v>43181</v>
      </c>
      <c r="S11563" t="s">
        <v>43729</v>
      </c>
      <c r="T11563" t="s">
        <v>44733</v>
      </c>
      <c r="U11563" t="s">
        <v>54423</v>
      </c>
      <c r="W11563" t="s">
        <v>58705</v>
      </c>
      <c r="X11563" t="s">
        <v>43182</v>
      </c>
    </row>
    <row r="11564" spans="1:24">
      <c r="A11564">
        <f>HYPERLINK("https://www.philgeps.gov.ph/GEPSNONPILOT/Tender/SplashBidNoticeAbstractUI.aspx?menuIndex=3&amp;refID=7059984&amp;Result=3","7059984")</f>
        <v>0</v>
      </c>
      <c r="B11564" t="s">
        <v>3133</v>
      </c>
      <c r="C11564" t="s">
        <v>14455</v>
      </c>
      <c r="D11564" t="s">
        <v>17444</v>
      </c>
      <c r="E11564" t="s">
        <v>27406</v>
      </c>
      <c r="F11564" t="s">
        <v>30052</v>
      </c>
      <c r="G11564" t="s">
        <v>30058</v>
      </c>
      <c r="H11564" t="s">
        <v>15498</v>
      </c>
      <c r="I11564" t="s">
        <v>30096</v>
      </c>
      <c r="J11564" t="s">
        <v>30252</v>
      </c>
      <c r="K11564" t="s">
        <v>39029</v>
      </c>
      <c r="L11564" t="s">
        <v>3133</v>
      </c>
      <c r="M11564" t="s">
        <v>42735</v>
      </c>
      <c r="N11564" t="s">
        <v>43166</v>
      </c>
      <c r="O11564" t="s">
        <v>43167</v>
      </c>
      <c r="P11564">
        <v>0</v>
      </c>
      <c r="Q11564">
        <v>3</v>
      </c>
      <c r="R11564" t="s">
        <v>43181</v>
      </c>
      <c r="S11564" t="s">
        <v>43729</v>
      </c>
      <c r="T11564" t="s">
        <v>44777</v>
      </c>
      <c r="U11564" t="s">
        <v>54424</v>
      </c>
      <c r="W11564" t="s">
        <v>42735</v>
      </c>
      <c r="X11564" t="s">
        <v>43182</v>
      </c>
    </row>
    <row r="11565" spans="1:24">
      <c r="A11565">
        <f>HYPERLINK("https://www.philgeps.gov.ph/GEPSNONPILOT/Tender/SplashBidNoticeAbstractUI.aspx?menuIndex=3&amp;refID=7059180&amp;Result=3","7059180")</f>
        <v>0</v>
      </c>
      <c r="B11565" t="s">
        <v>1359</v>
      </c>
      <c r="C11565" t="s">
        <v>14456</v>
      </c>
      <c r="D11565" t="s">
        <v>17415</v>
      </c>
      <c r="E11565" t="s">
        <v>27407</v>
      </c>
      <c r="F11565" t="s">
        <v>30052</v>
      </c>
      <c r="G11565" t="s">
        <v>30058</v>
      </c>
      <c r="H11565" t="s">
        <v>30067</v>
      </c>
      <c r="I11565" t="s">
        <v>3693</v>
      </c>
      <c r="J11565" t="s">
        <v>33902</v>
      </c>
      <c r="K11565" t="s">
        <v>39029</v>
      </c>
      <c r="M11565" t="s">
        <v>40728</v>
      </c>
      <c r="N11565" t="s">
        <v>43166</v>
      </c>
      <c r="O11565" t="s">
        <v>43167</v>
      </c>
      <c r="P11565">
        <v>0</v>
      </c>
      <c r="Q11565">
        <v>7</v>
      </c>
      <c r="R11565" t="s">
        <v>43181</v>
      </c>
      <c r="S11565" t="s">
        <v>43729</v>
      </c>
      <c r="T11565" t="s">
        <v>44698</v>
      </c>
      <c r="U11565" t="s">
        <v>54425</v>
      </c>
      <c r="W11565" t="s">
        <v>58636</v>
      </c>
      <c r="X11565" t="s">
        <v>43182</v>
      </c>
    </row>
    <row r="11566" spans="1:24">
      <c r="A11566">
        <f>HYPERLINK("https://www.philgeps.gov.ph/GEPSNONPILOT/Tender/SplashBidNoticeAbstractUI.aspx?menuIndex=3&amp;refID=7059761&amp;Result=3","7059761")</f>
        <v>0</v>
      </c>
      <c r="B11566" t="s">
        <v>3023</v>
      </c>
      <c r="C11566" t="s">
        <v>14457</v>
      </c>
      <c r="D11566" t="s">
        <v>17439</v>
      </c>
      <c r="E11566" t="s">
        <v>27408</v>
      </c>
      <c r="F11566" t="s">
        <v>30052</v>
      </c>
      <c r="G11566" t="s">
        <v>30058</v>
      </c>
      <c r="H11566" t="s">
        <v>15498</v>
      </c>
      <c r="I11566" t="s">
        <v>30128</v>
      </c>
      <c r="J11566" t="s">
        <v>30221</v>
      </c>
      <c r="K11566" t="s">
        <v>39023</v>
      </c>
      <c r="M11566" t="s">
        <v>42723</v>
      </c>
      <c r="N11566" t="s">
        <v>43166</v>
      </c>
      <c r="O11566" t="s">
        <v>43167</v>
      </c>
      <c r="P11566">
        <v>0</v>
      </c>
      <c r="Q11566">
        <v>21</v>
      </c>
      <c r="R11566" t="s">
        <v>43181</v>
      </c>
      <c r="S11566" t="s">
        <v>43729</v>
      </c>
      <c r="T11566" t="s">
        <v>44754</v>
      </c>
      <c r="U11566" t="s">
        <v>54426</v>
      </c>
      <c r="W11566" t="s">
        <v>58704</v>
      </c>
      <c r="X11566" t="s">
        <v>43182</v>
      </c>
    </row>
    <row r="11567" spans="1:24">
      <c r="A11567">
        <f>HYPERLINK("https://www.philgeps.gov.ph/GEPSNONPILOT/Tender/SplashBidNoticeAbstractUI.aspx?menuIndex=3&amp;refID=7060123&amp;Result=3","7060123")</f>
        <v>0</v>
      </c>
      <c r="B11567" t="s">
        <v>917</v>
      </c>
      <c r="C11567" t="s">
        <v>14458</v>
      </c>
      <c r="D11567" t="s">
        <v>17415</v>
      </c>
      <c r="E11567" t="s">
        <v>27409</v>
      </c>
      <c r="F11567" t="s">
        <v>30052</v>
      </c>
      <c r="G11567" t="s">
        <v>30058</v>
      </c>
      <c r="H11567" t="s">
        <v>15498</v>
      </c>
      <c r="I11567" t="s">
        <v>30084</v>
      </c>
      <c r="J11567" t="s">
        <v>32072</v>
      </c>
      <c r="K11567" t="s">
        <v>39025</v>
      </c>
      <c r="M11567" t="s">
        <v>42742</v>
      </c>
      <c r="N11567" t="s">
        <v>43166</v>
      </c>
      <c r="O11567" t="s">
        <v>43167</v>
      </c>
      <c r="P11567">
        <v>0</v>
      </c>
      <c r="Q11567">
        <v>17</v>
      </c>
      <c r="R11567" t="s">
        <v>43181</v>
      </c>
      <c r="S11567" t="s">
        <v>43729</v>
      </c>
      <c r="T11567" t="s">
        <v>44780</v>
      </c>
      <c r="U11567" t="s">
        <v>54427</v>
      </c>
      <c r="W11567" t="s">
        <v>42742</v>
      </c>
      <c r="X11567" t="s">
        <v>43182</v>
      </c>
    </row>
    <row r="11568" spans="1:24">
      <c r="A11568">
        <f>HYPERLINK("https://www.philgeps.gov.ph/GEPSNONPILOT/Tender/SplashBidNoticeAbstractUI.aspx?menuIndex=3&amp;refID=7060302&amp;Result=3","7060302")</f>
        <v>0</v>
      </c>
      <c r="B11568" t="s">
        <v>3140</v>
      </c>
      <c r="C11568" t="s">
        <v>14459</v>
      </c>
      <c r="D11568" t="s">
        <v>17423</v>
      </c>
      <c r="E11568" t="s">
        <v>27410</v>
      </c>
      <c r="F11568" t="s">
        <v>30052</v>
      </c>
      <c r="G11568" t="s">
        <v>30058</v>
      </c>
      <c r="H11568" t="s">
        <v>30067</v>
      </c>
      <c r="I11568" t="s">
        <v>3693</v>
      </c>
      <c r="J11568" t="s">
        <v>37262</v>
      </c>
      <c r="K11568" t="s">
        <v>39057</v>
      </c>
      <c r="M11568" t="s">
        <v>42743</v>
      </c>
      <c r="N11568" t="s">
        <v>43166</v>
      </c>
      <c r="O11568" t="s">
        <v>43167</v>
      </c>
      <c r="P11568">
        <v>0</v>
      </c>
      <c r="Q11568">
        <v>1</v>
      </c>
      <c r="R11568" t="s">
        <v>43181</v>
      </c>
      <c r="S11568" t="s">
        <v>43729</v>
      </c>
      <c r="T11568" t="s">
        <v>44736</v>
      </c>
      <c r="U11568" t="s">
        <v>54428</v>
      </c>
      <c r="V11568" t="s">
        <v>58113</v>
      </c>
      <c r="W11568" t="s">
        <v>42743</v>
      </c>
      <c r="X11568" t="s">
        <v>43182</v>
      </c>
    </row>
    <row r="11569" spans="1:24">
      <c r="A11569">
        <f>HYPERLINK("https://www.philgeps.gov.ph/GEPSNONPILOT/Tender/SplashBidNoticeAbstractUI.aspx?menuIndex=3&amp;refID=7059379&amp;Result=3","7059379")</f>
        <v>0</v>
      </c>
      <c r="B11569" t="s">
        <v>2622</v>
      </c>
      <c r="C11569" t="s">
        <v>14460</v>
      </c>
      <c r="D11569" t="s">
        <v>17416</v>
      </c>
      <c r="E11569" t="s">
        <v>23988</v>
      </c>
      <c r="F11569" t="s">
        <v>30052</v>
      </c>
      <c r="G11569" t="s">
        <v>30058</v>
      </c>
      <c r="H11569" t="s">
        <v>15498</v>
      </c>
      <c r="I11569" t="s">
        <v>3736</v>
      </c>
      <c r="J11569" t="s">
        <v>37263</v>
      </c>
      <c r="K11569" t="s">
        <v>39076</v>
      </c>
      <c r="M11569" t="s">
        <v>42135</v>
      </c>
      <c r="N11569" t="s">
        <v>43166</v>
      </c>
      <c r="O11569" t="s">
        <v>43167</v>
      </c>
      <c r="P11569">
        <v>0</v>
      </c>
      <c r="Q11569">
        <v>3</v>
      </c>
      <c r="R11569" t="s">
        <v>43181</v>
      </c>
      <c r="S11569" t="s">
        <v>43729</v>
      </c>
      <c r="T11569" t="s">
        <v>44685</v>
      </c>
      <c r="U11569" t="s">
        <v>54429</v>
      </c>
      <c r="W11569" t="s">
        <v>58682</v>
      </c>
      <c r="X11569" t="s">
        <v>43182</v>
      </c>
    </row>
    <row r="11570" spans="1:24">
      <c r="A11570">
        <f>HYPERLINK("https://www.philgeps.gov.ph/GEPSNONPILOT/Tender/SplashBidNoticeAbstractUI.aspx?menuIndex=3&amp;refID=7060292&amp;Result=3","7060292")</f>
        <v>0</v>
      </c>
      <c r="B11570" t="s">
        <v>2109</v>
      </c>
      <c r="C11570" t="s">
        <v>14461</v>
      </c>
      <c r="D11570" t="s">
        <v>17447</v>
      </c>
      <c r="E11570" t="s">
        <v>27411</v>
      </c>
      <c r="F11570" t="s">
        <v>30052</v>
      </c>
      <c r="G11570" t="s">
        <v>30058</v>
      </c>
      <c r="H11570" t="s">
        <v>15498</v>
      </c>
      <c r="I11570" t="s">
        <v>3736</v>
      </c>
      <c r="J11570" t="s">
        <v>37264</v>
      </c>
      <c r="K11570" t="s">
        <v>39019</v>
      </c>
      <c r="M11570" t="s">
        <v>41571</v>
      </c>
      <c r="N11570" t="s">
        <v>43166</v>
      </c>
      <c r="O11570" t="s">
        <v>43167</v>
      </c>
      <c r="Q11570">
        <v>3</v>
      </c>
      <c r="R11570" t="s">
        <v>43181</v>
      </c>
      <c r="S11570" t="s">
        <v>43750</v>
      </c>
      <c r="T11570" t="s">
        <v>44718</v>
      </c>
      <c r="U11570" t="s">
        <v>54430</v>
      </c>
      <c r="W11570" t="s">
        <v>58665</v>
      </c>
      <c r="X11570" t="s">
        <v>43182</v>
      </c>
    </row>
    <row r="11571" spans="1:24">
      <c r="A11571">
        <f>HYPERLINK("https://www.philgeps.gov.ph/GEPSNONPILOT/Tender/SplashBidNoticeAbstractUI.aspx?menuIndex=3&amp;refID=7060279&amp;Result=3","7060279")</f>
        <v>0</v>
      </c>
      <c r="B11571" t="s">
        <v>3132</v>
      </c>
      <c r="C11571" t="s">
        <v>14462</v>
      </c>
      <c r="D11571" t="s">
        <v>17422</v>
      </c>
      <c r="E11571" t="s">
        <v>27412</v>
      </c>
      <c r="F11571" t="s">
        <v>30052</v>
      </c>
      <c r="G11571" t="s">
        <v>30058</v>
      </c>
      <c r="H11571" t="s">
        <v>15498</v>
      </c>
      <c r="I11571" t="s">
        <v>3736</v>
      </c>
      <c r="J11571" t="s">
        <v>37265</v>
      </c>
      <c r="K11571" t="s">
        <v>39034</v>
      </c>
      <c r="M11571" t="s">
        <v>42734</v>
      </c>
      <c r="N11571" t="s">
        <v>43166</v>
      </c>
      <c r="O11571" t="s">
        <v>43167</v>
      </c>
      <c r="P11571">
        <v>0</v>
      </c>
      <c r="Q11571">
        <v>0</v>
      </c>
      <c r="R11571" t="s">
        <v>43181</v>
      </c>
      <c r="S11571" t="s">
        <v>43729</v>
      </c>
      <c r="T11571" t="s">
        <v>44681</v>
      </c>
      <c r="U11571" t="s">
        <v>54431</v>
      </c>
      <c r="V11571" t="s">
        <v>58108</v>
      </c>
      <c r="W11571" t="s">
        <v>42734</v>
      </c>
      <c r="X11571" t="s">
        <v>43182</v>
      </c>
    </row>
    <row r="11572" spans="1:24">
      <c r="A11572">
        <f>HYPERLINK("https://www.philgeps.gov.ph/GEPSNONPILOT/Tender/SplashBidNoticeAbstractUI.aspx?menuIndex=3&amp;refID=7060275&amp;Result=3","7060275")</f>
        <v>0</v>
      </c>
      <c r="B11572" t="s">
        <v>3141</v>
      </c>
      <c r="C11572" t="s">
        <v>14463</v>
      </c>
      <c r="E11572" t="s">
        <v>27413</v>
      </c>
      <c r="F11572" t="s">
        <v>30052</v>
      </c>
      <c r="G11572" t="s">
        <v>30058</v>
      </c>
      <c r="H11572" t="s">
        <v>30067</v>
      </c>
      <c r="I11572" t="s">
        <v>3693</v>
      </c>
      <c r="J11572" t="s">
        <v>37266</v>
      </c>
      <c r="K11572" t="s">
        <v>39069</v>
      </c>
      <c r="M11572" t="s">
        <v>42744</v>
      </c>
      <c r="N11572" t="s">
        <v>43166</v>
      </c>
      <c r="O11572" t="s">
        <v>43167</v>
      </c>
      <c r="P11572">
        <v>0</v>
      </c>
      <c r="Q11572">
        <v>2</v>
      </c>
      <c r="R11572" t="s">
        <v>43181</v>
      </c>
      <c r="S11572" t="s">
        <v>43729</v>
      </c>
      <c r="T11572" t="s">
        <v>44681</v>
      </c>
      <c r="U11572" t="s">
        <v>54432</v>
      </c>
      <c r="W11572" t="s">
        <v>42744</v>
      </c>
      <c r="X11572" t="s">
        <v>43182</v>
      </c>
    </row>
    <row r="11573" spans="1:24">
      <c r="A11573">
        <f>HYPERLINK("https://www.philgeps.gov.ph/GEPSNONPILOT/Tender/SplashBidNoticeAbstractUI.aspx?menuIndex=3&amp;refID=7060299&amp;Result=3","7060299")</f>
        <v>0</v>
      </c>
      <c r="B11573" t="s">
        <v>3142</v>
      </c>
      <c r="C11573" t="s">
        <v>14464</v>
      </c>
      <c r="D11573" t="s">
        <v>17422</v>
      </c>
      <c r="E11573" t="s">
        <v>27414</v>
      </c>
      <c r="F11573" t="s">
        <v>30052</v>
      </c>
      <c r="G11573" t="s">
        <v>30058</v>
      </c>
      <c r="H11573" t="s">
        <v>30067</v>
      </c>
      <c r="I11573" t="s">
        <v>3693</v>
      </c>
      <c r="J11573" t="s">
        <v>37267</v>
      </c>
      <c r="K11573" t="s">
        <v>39025</v>
      </c>
      <c r="M11573" t="s">
        <v>42745</v>
      </c>
      <c r="N11573" t="s">
        <v>43166</v>
      </c>
      <c r="O11573" t="s">
        <v>43167</v>
      </c>
      <c r="Q11573">
        <v>7</v>
      </c>
      <c r="R11573" t="s">
        <v>43181</v>
      </c>
      <c r="S11573" t="s">
        <v>43751</v>
      </c>
      <c r="T11573" t="s">
        <v>44699</v>
      </c>
      <c r="U11573" t="s">
        <v>54433</v>
      </c>
      <c r="V11573" t="s">
        <v>58114</v>
      </c>
      <c r="W11573" t="s">
        <v>42745</v>
      </c>
      <c r="X11573" t="s">
        <v>43182</v>
      </c>
    </row>
    <row r="11574" spans="1:24">
      <c r="A11574">
        <f>HYPERLINK("https://www.philgeps.gov.ph/GEPSNONPILOT/Tender/SplashBidNoticeAbstractUI.aspx?menuIndex=3&amp;refID=7060291&amp;Result=3","7060291")</f>
        <v>0</v>
      </c>
      <c r="B11574" t="s">
        <v>964</v>
      </c>
      <c r="C11574" t="s">
        <v>14465</v>
      </c>
      <c r="D11574" t="s">
        <v>17415</v>
      </c>
      <c r="E11574" t="s">
        <v>27415</v>
      </c>
      <c r="F11574" t="s">
        <v>30052</v>
      </c>
      <c r="G11574" t="s">
        <v>30058</v>
      </c>
      <c r="H11574" t="s">
        <v>15498</v>
      </c>
      <c r="I11574" t="s">
        <v>30071</v>
      </c>
      <c r="J11574" t="s">
        <v>37268</v>
      </c>
      <c r="K11574" t="s">
        <v>39019</v>
      </c>
      <c r="M11574" t="s">
        <v>42746</v>
      </c>
      <c r="N11574" t="s">
        <v>43166</v>
      </c>
      <c r="O11574" t="s">
        <v>43167</v>
      </c>
      <c r="P11574">
        <v>0</v>
      </c>
      <c r="Q11574">
        <v>14</v>
      </c>
      <c r="R11574" t="s">
        <v>43181</v>
      </c>
      <c r="S11574" t="s">
        <v>43729</v>
      </c>
      <c r="T11574" t="s">
        <v>44762</v>
      </c>
      <c r="U11574" t="s">
        <v>54434</v>
      </c>
      <c r="W11574" t="s">
        <v>42746</v>
      </c>
      <c r="X11574" t="s">
        <v>43182</v>
      </c>
    </row>
    <row r="11575" spans="1:24">
      <c r="A11575">
        <f>HYPERLINK("https://www.philgeps.gov.ph/GEPSNONPILOT/Tender/SplashBidNoticeAbstractUI.aspx?menuIndex=3&amp;refID=7060238&amp;Result=3","7060238")</f>
        <v>0</v>
      </c>
      <c r="B11575" t="s">
        <v>3132</v>
      </c>
      <c r="C11575" t="s">
        <v>14466</v>
      </c>
      <c r="D11575" t="s">
        <v>17422</v>
      </c>
      <c r="E11575" t="s">
        <v>27416</v>
      </c>
      <c r="F11575" t="s">
        <v>30052</v>
      </c>
      <c r="G11575" t="s">
        <v>30058</v>
      </c>
      <c r="H11575" t="s">
        <v>15498</v>
      </c>
      <c r="I11575" t="s">
        <v>3736</v>
      </c>
      <c r="J11575" t="s">
        <v>37269</v>
      </c>
      <c r="K11575" t="s">
        <v>39034</v>
      </c>
      <c r="M11575" t="s">
        <v>42734</v>
      </c>
      <c r="N11575" t="s">
        <v>43166</v>
      </c>
      <c r="O11575" t="s">
        <v>43167</v>
      </c>
      <c r="P11575">
        <v>0</v>
      </c>
      <c r="Q11575">
        <v>0</v>
      </c>
      <c r="R11575" t="s">
        <v>43181</v>
      </c>
      <c r="S11575" t="s">
        <v>43729</v>
      </c>
      <c r="T11575" t="s">
        <v>44681</v>
      </c>
      <c r="U11575" t="s">
        <v>54435</v>
      </c>
      <c r="V11575" t="s">
        <v>58108</v>
      </c>
      <c r="W11575" t="s">
        <v>42734</v>
      </c>
      <c r="X11575" t="s">
        <v>43182</v>
      </c>
    </row>
    <row r="11576" spans="1:24">
      <c r="A11576">
        <f>HYPERLINK("https://www.philgeps.gov.ph/GEPSNONPILOT/Tender/SplashBidNoticeAbstractUI.aspx?menuIndex=3&amp;refID=7060268&amp;Result=3","7060268")</f>
        <v>0</v>
      </c>
      <c r="B11576" t="s">
        <v>2871</v>
      </c>
      <c r="C11576" t="s">
        <v>14467</v>
      </c>
      <c r="D11576" t="s">
        <v>17475</v>
      </c>
      <c r="E11576" t="s">
        <v>11609</v>
      </c>
      <c r="F11576" t="s">
        <v>30052</v>
      </c>
      <c r="G11576" t="s">
        <v>30058</v>
      </c>
      <c r="H11576" t="s">
        <v>15498</v>
      </c>
      <c r="I11576" t="s">
        <v>3736</v>
      </c>
      <c r="J11576" t="s">
        <v>37270</v>
      </c>
      <c r="K11576" t="s">
        <v>39019</v>
      </c>
      <c r="M11576" t="s">
        <v>42419</v>
      </c>
      <c r="N11576" t="s">
        <v>43166</v>
      </c>
      <c r="O11576" t="s">
        <v>43167</v>
      </c>
      <c r="P11576">
        <v>0</v>
      </c>
      <c r="Q11576">
        <v>3</v>
      </c>
      <c r="R11576" t="s">
        <v>43181</v>
      </c>
      <c r="S11576" t="s">
        <v>43729</v>
      </c>
      <c r="T11576" t="s">
        <v>44856</v>
      </c>
      <c r="U11576" t="s">
        <v>54436</v>
      </c>
      <c r="W11576" t="s">
        <v>42419</v>
      </c>
      <c r="X11576" t="s">
        <v>43182</v>
      </c>
    </row>
    <row r="11577" spans="1:24">
      <c r="A11577">
        <f>HYPERLINK("https://www.philgeps.gov.ph/GEPSNONPILOT/Tender/SplashBidNoticeAbstractUI.aspx?menuIndex=3&amp;refID=7059535&amp;Result=3","7059535")</f>
        <v>0</v>
      </c>
      <c r="B11577" t="s">
        <v>3143</v>
      </c>
      <c r="C11577" t="s">
        <v>14468</v>
      </c>
      <c r="E11577" t="s">
        <v>27417</v>
      </c>
      <c r="F11577" t="s">
        <v>30052</v>
      </c>
      <c r="G11577" t="s">
        <v>30061</v>
      </c>
      <c r="H11577" t="s">
        <v>30069</v>
      </c>
      <c r="I11577" t="s">
        <v>30072</v>
      </c>
      <c r="J11577" t="s">
        <v>30417</v>
      </c>
      <c r="K11577" t="s">
        <v>39034</v>
      </c>
      <c r="M11577" t="s">
        <v>42747</v>
      </c>
      <c r="N11577" t="s">
        <v>43166</v>
      </c>
      <c r="O11577" t="s">
        <v>43167</v>
      </c>
      <c r="P11577">
        <v>0</v>
      </c>
      <c r="Q11577">
        <v>0</v>
      </c>
      <c r="R11577" t="s">
        <v>43181</v>
      </c>
      <c r="S11577" t="s">
        <v>43729</v>
      </c>
      <c r="T11577" t="s">
        <v>44734</v>
      </c>
      <c r="U11577" t="s">
        <v>54437</v>
      </c>
      <c r="W11577" t="s">
        <v>42747</v>
      </c>
      <c r="X11577" t="s">
        <v>43182</v>
      </c>
    </row>
    <row r="11578" spans="1:24">
      <c r="A11578">
        <f>HYPERLINK("https://www.philgeps.gov.ph/GEPSNONPILOT/Tender/SplashBidNoticeAbstractUI.aspx?menuIndex=3&amp;refID=7060218&amp;Result=3","7060218")</f>
        <v>0</v>
      </c>
      <c r="B11578" t="s">
        <v>1556</v>
      </c>
      <c r="C11578" t="s">
        <v>14469</v>
      </c>
      <c r="D11578" t="s">
        <v>17486</v>
      </c>
      <c r="E11578" t="s">
        <v>27418</v>
      </c>
      <c r="F11578" t="s">
        <v>30052</v>
      </c>
      <c r="G11578" t="s">
        <v>30058</v>
      </c>
      <c r="H11578" t="s">
        <v>30069</v>
      </c>
      <c r="I11578" t="s">
        <v>3736</v>
      </c>
      <c r="J11578" t="s">
        <v>30215</v>
      </c>
      <c r="K11578" t="s">
        <v>39019</v>
      </c>
      <c r="M11578" t="s">
        <v>40945</v>
      </c>
      <c r="N11578" t="s">
        <v>43166</v>
      </c>
      <c r="O11578" t="s">
        <v>43167</v>
      </c>
      <c r="P11578">
        <v>0</v>
      </c>
      <c r="Q11578">
        <v>2</v>
      </c>
      <c r="R11578" t="s">
        <v>43181</v>
      </c>
      <c r="S11578" t="s">
        <v>43729</v>
      </c>
      <c r="T11578" t="s">
        <v>44681</v>
      </c>
      <c r="U11578" t="s">
        <v>54438</v>
      </c>
      <c r="W11578" t="s">
        <v>40945</v>
      </c>
      <c r="X11578" t="s">
        <v>43182</v>
      </c>
    </row>
    <row r="11579" spans="1:24">
      <c r="A11579">
        <f>HYPERLINK("https://www.philgeps.gov.ph/GEPSNONPILOT/Tender/SplashBidNoticeAbstractUI.aspx?menuIndex=3&amp;refID=7059577&amp;Result=3","7059577")</f>
        <v>0</v>
      </c>
      <c r="B11579" t="s">
        <v>3122</v>
      </c>
      <c r="C11579" t="s">
        <v>14470</v>
      </c>
      <c r="D11579" t="s">
        <v>17452</v>
      </c>
      <c r="E11579" t="s">
        <v>27419</v>
      </c>
      <c r="F11579" t="s">
        <v>30052</v>
      </c>
      <c r="G11579" t="s">
        <v>30058</v>
      </c>
      <c r="H11579" t="s">
        <v>15498</v>
      </c>
      <c r="I11579" t="s">
        <v>30084</v>
      </c>
      <c r="J11579" t="s">
        <v>30292</v>
      </c>
      <c r="K11579" t="s">
        <v>39034</v>
      </c>
      <c r="M11579" t="s">
        <v>42719</v>
      </c>
      <c r="N11579" t="s">
        <v>43166</v>
      </c>
      <c r="O11579" t="s">
        <v>43167</v>
      </c>
      <c r="P11579">
        <v>0</v>
      </c>
      <c r="Q11579">
        <v>3</v>
      </c>
      <c r="R11579" t="s">
        <v>43181</v>
      </c>
      <c r="S11579" t="s">
        <v>43729</v>
      </c>
      <c r="T11579" t="s">
        <v>44733</v>
      </c>
      <c r="U11579" t="s">
        <v>54439</v>
      </c>
      <c r="V11579" t="s">
        <v>58106</v>
      </c>
      <c r="W11579" t="s">
        <v>42719</v>
      </c>
      <c r="X11579" t="s">
        <v>43182</v>
      </c>
    </row>
    <row r="11580" spans="1:24">
      <c r="A11580">
        <f>HYPERLINK("https://www.philgeps.gov.ph/GEPSNONPILOT/Tender/SplashBidNoticeAbstractUI.aspx?menuIndex=3&amp;refID=7060217&amp;Result=3","7060217")</f>
        <v>0</v>
      </c>
      <c r="B11580" t="s">
        <v>3132</v>
      </c>
      <c r="C11580" t="s">
        <v>14471</v>
      </c>
      <c r="D11580" t="s">
        <v>17422</v>
      </c>
      <c r="E11580" t="s">
        <v>27420</v>
      </c>
      <c r="F11580" t="s">
        <v>30052</v>
      </c>
      <c r="G11580" t="s">
        <v>30058</v>
      </c>
      <c r="H11580" t="s">
        <v>15498</v>
      </c>
      <c r="I11580" t="s">
        <v>3736</v>
      </c>
      <c r="J11580" t="s">
        <v>37271</v>
      </c>
      <c r="K11580" t="s">
        <v>39034</v>
      </c>
      <c r="M11580" t="s">
        <v>42734</v>
      </c>
      <c r="N11580" t="s">
        <v>43166</v>
      </c>
      <c r="O11580" t="s">
        <v>43167</v>
      </c>
      <c r="P11580">
        <v>0</v>
      </c>
      <c r="Q11580">
        <v>0</v>
      </c>
      <c r="R11580" t="s">
        <v>43181</v>
      </c>
      <c r="S11580" t="s">
        <v>43729</v>
      </c>
      <c r="T11580" t="s">
        <v>44681</v>
      </c>
      <c r="U11580" t="s">
        <v>54440</v>
      </c>
      <c r="V11580" t="s">
        <v>58108</v>
      </c>
      <c r="W11580" t="s">
        <v>42734</v>
      </c>
      <c r="X11580" t="s">
        <v>43182</v>
      </c>
    </row>
    <row r="11581" spans="1:24">
      <c r="A11581">
        <f>HYPERLINK("https://www.philgeps.gov.ph/GEPSNONPILOT/Tender/SplashBidNoticeAbstractUI.aspx?menuIndex=3&amp;refID=7060311&amp;Result=3","7060311")</f>
        <v>0</v>
      </c>
      <c r="B11581" t="s">
        <v>3144</v>
      </c>
      <c r="C11581" t="s">
        <v>14472</v>
      </c>
      <c r="D11581" t="s">
        <v>17431</v>
      </c>
      <c r="E11581" t="s">
        <v>27421</v>
      </c>
      <c r="F11581" t="s">
        <v>30052</v>
      </c>
      <c r="G11581" t="s">
        <v>30058</v>
      </c>
      <c r="H11581" t="s">
        <v>30067</v>
      </c>
      <c r="I11581" t="s">
        <v>3693</v>
      </c>
      <c r="J11581" t="s">
        <v>30358</v>
      </c>
      <c r="K11581" t="s">
        <v>39025</v>
      </c>
      <c r="M11581" t="s">
        <v>42748</v>
      </c>
      <c r="N11581" t="s">
        <v>43166</v>
      </c>
      <c r="O11581" t="s">
        <v>43167</v>
      </c>
      <c r="P11581">
        <v>0</v>
      </c>
      <c r="Q11581">
        <v>0</v>
      </c>
      <c r="R11581" t="s">
        <v>43181</v>
      </c>
      <c r="S11581" t="s">
        <v>43729</v>
      </c>
      <c r="T11581" t="s">
        <v>44681</v>
      </c>
      <c r="U11581" t="s">
        <v>54441</v>
      </c>
      <c r="W11581" t="s">
        <v>42748</v>
      </c>
      <c r="X11581" t="s">
        <v>43182</v>
      </c>
    </row>
    <row r="11582" spans="1:24">
      <c r="A11582">
        <f>HYPERLINK("https://www.philgeps.gov.ph/GEPSNONPILOT/Tender/SplashBidNoticeAbstractUI.aspx?menuIndex=3&amp;refID=7060266&amp;Result=3","7060266")</f>
        <v>0</v>
      </c>
      <c r="B11582" t="s">
        <v>2227</v>
      </c>
      <c r="C11582" t="s">
        <v>14473</v>
      </c>
      <c r="D11582" t="s">
        <v>17464</v>
      </c>
      <c r="E11582" t="s">
        <v>27422</v>
      </c>
      <c r="F11582" t="s">
        <v>30052</v>
      </c>
      <c r="G11582" t="s">
        <v>30058</v>
      </c>
      <c r="H11582" t="s">
        <v>15498</v>
      </c>
      <c r="I11582" t="s">
        <v>30194</v>
      </c>
      <c r="J11582" t="s">
        <v>31246</v>
      </c>
      <c r="K11582" t="s">
        <v>39025</v>
      </c>
      <c r="M11582" t="s">
        <v>41699</v>
      </c>
      <c r="N11582" t="s">
        <v>43166</v>
      </c>
      <c r="O11582" t="s">
        <v>43167</v>
      </c>
      <c r="P11582">
        <v>0</v>
      </c>
      <c r="Q11582">
        <v>2</v>
      </c>
      <c r="R11582" t="s">
        <v>43181</v>
      </c>
      <c r="S11582" t="s">
        <v>43729</v>
      </c>
      <c r="T11582" t="s">
        <v>44791</v>
      </c>
      <c r="U11582" t="s">
        <v>54442</v>
      </c>
      <c r="V11582" t="s">
        <v>58110</v>
      </c>
      <c r="W11582" t="s">
        <v>41699</v>
      </c>
      <c r="X11582" t="s">
        <v>43182</v>
      </c>
    </row>
    <row r="11583" spans="1:24">
      <c r="A11583">
        <f>HYPERLINK("https://www.philgeps.gov.ph/GEPSNONPILOT/Tender/SplashBidNoticeAbstractUI.aspx?menuIndex=3&amp;refID=7060221&amp;Result=3","7060221")</f>
        <v>0</v>
      </c>
      <c r="B11583" t="s">
        <v>810</v>
      </c>
      <c r="C11583" t="s">
        <v>14474</v>
      </c>
      <c r="D11583" t="s">
        <v>17458</v>
      </c>
      <c r="E11583" t="s">
        <v>27423</v>
      </c>
      <c r="F11583" t="s">
        <v>30052</v>
      </c>
      <c r="G11583" t="s">
        <v>30058</v>
      </c>
      <c r="H11583" t="s">
        <v>15498</v>
      </c>
      <c r="I11583" t="s">
        <v>30081</v>
      </c>
      <c r="J11583" t="s">
        <v>37272</v>
      </c>
      <c r="K11583" t="s">
        <v>39025</v>
      </c>
      <c r="M11583" t="s">
        <v>42733</v>
      </c>
      <c r="N11583" t="s">
        <v>43166</v>
      </c>
      <c r="O11583" t="s">
        <v>43167</v>
      </c>
      <c r="Q11583">
        <v>7</v>
      </c>
      <c r="R11583" t="s">
        <v>43181</v>
      </c>
      <c r="S11583" t="s">
        <v>43752</v>
      </c>
      <c r="T11583" t="s">
        <v>44968</v>
      </c>
      <c r="U11583" t="s">
        <v>54443</v>
      </c>
      <c r="W11583" t="s">
        <v>42733</v>
      </c>
      <c r="X11583" t="s">
        <v>43182</v>
      </c>
    </row>
    <row r="11584" spans="1:24">
      <c r="A11584">
        <f>HYPERLINK("https://www.philgeps.gov.ph/GEPSNONPILOT/Tender/SplashBidNoticeAbstractUI.aspx?menuIndex=3&amp;refID=7059393&amp;Result=3","7059393")</f>
        <v>0</v>
      </c>
      <c r="B11584" t="s">
        <v>2622</v>
      </c>
      <c r="C11584" t="s">
        <v>14475</v>
      </c>
      <c r="D11584" t="s">
        <v>17416</v>
      </c>
      <c r="E11584" t="s">
        <v>20810</v>
      </c>
      <c r="F11584" t="s">
        <v>30052</v>
      </c>
      <c r="G11584" t="s">
        <v>30058</v>
      </c>
      <c r="H11584" t="s">
        <v>15498</v>
      </c>
      <c r="I11584" t="s">
        <v>3736</v>
      </c>
      <c r="J11584" t="s">
        <v>37273</v>
      </c>
      <c r="K11584" t="s">
        <v>39198</v>
      </c>
      <c r="M11584" t="s">
        <v>42135</v>
      </c>
      <c r="N11584" t="s">
        <v>43166</v>
      </c>
      <c r="O11584" t="s">
        <v>43167</v>
      </c>
      <c r="P11584">
        <v>0</v>
      </c>
      <c r="Q11584">
        <v>2</v>
      </c>
      <c r="R11584" t="s">
        <v>43181</v>
      </c>
      <c r="S11584" t="s">
        <v>43729</v>
      </c>
      <c r="T11584" t="s">
        <v>44698</v>
      </c>
      <c r="U11584" t="s">
        <v>54444</v>
      </c>
      <c r="W11584" t="s">
        <v>58682</v>
      </c>
      <c r="X11584" t="s">
        <v>43182</v>
      </c>
    </row>
    <row r="11585" spans="1:24">
      <c r="A11585">
        <f>HYPERLINK("https://www.philgeps.gov.ph/GEPSNONPILOT/Tender/SplashBidNoticeAbstractUI.aspx?menuIndex=3&amp;refID=7060407&amp;Result=3","7060407")</f>
        <v>0</v>
      </c>
      <c r="B11585" t="s">
        <v>377</v>
      </c>
      <c r="C11585" t="s">
        <v>14476</v>
      </c>
      <c r="D11585" t="s">
        <v>17447</v>
      </c>
      <c r="E11585" t="s">
        <v>27424</v>
      </c>
      <c r="F11585" t="s">
        <v>30052</v>
      </c>
      <c r="G11585" t="s">
        <v>30058</v>
      </c>
      <c r="H11585" t="s">
        <v>15498</v>
      </c>
      <c r="I11585" t="s">
        <v>30081</v>
      </c>
      <c r="J11585" t="s">
        <v>37274</v>
      </c>
      <c r="K11585" t="s">
        <v>39029</v>
      </c>
      <c r="M11585" t="s">
        <v>42595</v>
      </c>
      <c r="N11585" t="s">
        <v>43166</v>
      </c>
      <c r="O11585" t="s">
        <v>43167</v>
      </c>
      <c r="P11585">
        <v>0</v>
      </c>
      <c r="Q11585">
        <v>1</v>
      </c>
      <c r="R11585" t="s">
        <v>43181</v>
      </c>
      <c r="S11585" t="s">
        <v>43729</v>
      </c>
      <c r="T11585" t="s">
        <v>44700</v>
      </c>
      <c r="U11585" t="s">
        <v>54445</v>
      </c>
      <c r="W11585" t="s">
        <v>42595</v>
      </c>
      <c r="X11585" t="s">
        <v>43182</v>
      </c>
    </row>
    <row r="11586" spans="1:24">
      <c r="A11586">
        <f>HYPERLINK("https://www.philgeps.gov.ph/GEPSNONPILOT/Tender/SplashBidNoticeAbstractUI.aspx?menuIndex=3&amp;refID=7060399&amp;Result=3","7060399")</f>
        <v>0</v>
      </c>
      <c r="B11586" t="s">
        <v>3145</v>
      </c>
      <c r="C11586" t="s">
        <v>14477</v>
      </c>
      <c r="D11586" t="s">
        <v>17444</v>
      </c>
      <c r="E11586" t="s">
        <v>27425</v>
      </c>
      <c r="F11586" t="s">
        <v>30052</v>
      </c>
      <c r="G11586" t="s">
        <v>30060</v>
      </c>
      <c r="H11586" t="s">
        <v>15498</v>
      </c>
      <c r="I11586" t="s">
        <v>3736</v>
      </c>
      <c r="J11586" t="s">
        <v>37275</v>
      </c>
      <c r="K11586" t="s">
        <v>39017</v>
      </c>
      <c r="M11586" t="s">
        <v>42749</v>
      </c>
      <c r="N11586" t="s">
        <v>43166</v>
      </c>
      <c r="O11586" t="s">
        <v>43167</v>
      </c>
      <c r="P11586">
        <v>0</v>
      </c>
      <c r="Q11586">
        <v>0</v>
      </c>
      <c r="R11586" t="s">
        <v>43181</v>
      </c>
      <c r="S11586" t="s">
        <v>43729</v>
      </c>
      <c r="T11586" t="s">
        <v>44699</v>
      </c>
      <c r="U11586" t="s">
        <v>54446</v>
      </c>
      <c r="W11586" t="s">
        <v>42749</v>
      </c>
      <c r="X11586" t="s">
        <v>43182</v>
      </c>
    </row>
    <row r="11587" spans="1:24">
      <c r="A11587">
        <f>HYPERLINK("https://www.philgeps.gov.ph/GEPSNONPILOT/Tender/SplashBidNoticeAbstractUI.aspx?menuIndex=3&amp;refID=7060396&amp;Result=3","7060396")</f>
        <v>0</v>
      </c>
      <c r="B11587" t="s">
        <v>3146</v>
      </c>
      <c r="C11587" t="s">
        <v>14478</v>
      </c>
      <c r="D11587" t="s">
        <v>17432</v>
      </c>
      <c r="E11587" t="s">
        <v>27426</v>
      </c>
      <c r="F11587" t="s">
        <v>30052</v>
      </c>
      <c r="G11587" t="s">
        <v>30058</v>
      </c>
      <c r="H11587" t="s">
        <v>15498</v>
      </c>
      <c r="I11587" t="s">
        <v>3736</v>
      </c>
      <c r="J11587" t="s">
        <v>37276</v>
      </c>
      <c r="K11587" t="s">
        <v>39025</v>
      </c>
      <c r="M11587" t="s">
        <v>42750</v>
      </c>
      <c r="N11587" t="s">
        <v>43166</v>
      </c>
      <c r="O11587" t="s">
        <v>43167</v>
      </c>
      <c r="P11587">
        <v>0</v>
      </c>
      <c r="Q11587">
        <v>3</v>
      </c>
      <c r="R11587" t="s">
        <v>43181</v>
      </c>
      <c r="S11587" t="s">
        <v>43729</v>
      </c>
      <c r="T11587" t="s">
        <v>44681</v>
      </c>
      <c r="U11587" t="s">
        <v>54447</v>
      </c>
      <c r="V11587" t="s">
        <v>58115</v>
      </c>
      <c r="W11587" t="s">
        <v>42750</v>
      </c>
      <c r="X11587" t="s">
        <v>43182</v>
      </c>
    </row>
    <row r="11588" spans="1:24">
      <c r="A11588">
        <f>HYPERLINK("https://www.philgeps.gov.ph/GEPSNONPILOT/Tender/SplashBidNoticeAbstractUI.aspx?menuIndex=3&amp;refID=7060389&amp;Result=3","7060389")</f>
        <v>0</v>
      </c>
      <c r="B11588" t="s">
        <v>810</v>
      </c>
      <c r="C11588" t="s">
        <v>14479</v>
      </c>
      <c r="D11588" t="s">
        <v>17458</v>
      </c>
      <c r="E11588" t="s">
        <v>27427</v>
      </c>
      <c r="F11588" t="s">
        <v>30052</v>
      </c>
      <c r="G11588" t="s">
        <v>30058</v>
      </c>
      <c r="H11588" t="s">
        <v>15498</v>
      </c>
      <c r="I11588" t="s">
        <v>30151</v>
      </c>
      <c r="J11588" t="s">
        <v>37277</v>
      </c>
      <c r="K11588" t="s">
        <v>39025</v>
      </c>
      <c r="M11588" t="s">
        <v>42733</v>
      </c>
      <c r="N11588" t="s">
        <v>43166</v>
      </c>
      <c r="O11588" t="s">
        <v>43167</v>
      </c>
      <c r="Q11588">
        <v>6</v>
      </c>
      <c r="R11588" t="s">
        <v>43181</v>
      </c>
      <c r="S11588" t="s">
        <v>43753</v>
      </c>
      <c r="T11588" t="s">
        <v>44968</v>
      </c>
      <c r="U11588" t="s">
        <v>54448</v>
      </c>
      <c r="W11588" t="s">
        <v>42733</v>
      </c>
      <c r="X11588" t="s">
        <v>43182</v>
      </c>
    </row>
    <row r="11589" spans="1:24">
      <c r="A11589">
        <f>HYPERLINK("https://www.philgeps.gov.ph/GEPSNONPILOT/Tender/SplashBidNoticeAbstractUI.aspx?menuIndex=3&amp;refID=7060381&amp;Result=3","7060381")</f>
        <v>0</v>
      </c>
      <c r="B11589" t="s">
        <v>1692</v>
      </c>
      <c r="C11589" t="s">
        <v>14480</v>
      </c>
      <c r="D11589" t="s">
        <v>17482</v>
      </c>
      <c r="E11589" t="s">
        <v>14480</v>
      </c>
      <c r="F11589" t="s">
        <v>30052</v>
      </c>
      <c r="G11589" t="s">
        <v>30058</v>
      </c>
      <c r="H11589" t="s">
        <v>30067</v>
      </c>
      <c r="I11589" t="s">
        <v>3693</v>
      </c>
      <c r="J11589" t="s">
        <v>30222</v>
      </c>
      <c r="K11589" t="s">
        <v>39028</v>
      </c>
      <c r="M11589" t="s">
        <v>41101</v>
      </c>
      <c r="N11589" t="s">
        <v>43166</v>
      </c>
      <c r="O11589" t="s">
        <v>43167</v>
      </c>
      <c r="P11589">
        <v>0</v>
      </c>
      <c r="Q11589">
        <v>1</v>
      </c>
      <c r="R11589" t="s">
        <v>43181</v>
      </c>
      <c r="S11589" t="s">
        <v>43729</v>
      </c>
      <c r="T11589" t="s">
        <v>44681</v>
      </c>
      <c r="U11589" t="s">
        <v>54449</v>
      </c>
      <c r="W11589" t="s">
        <v>41101</v>
      </c>
      <c r="X11589" t="s">
        <v>43182</v>
      </c>
    </row>
    <row r="11590" spans="1:24">
      <c r="A11590">
        <f>HYPERLINK("https://www.philgeps.gov.ph/GEPSNONPILOT/Tender/SplashBidNoticeAbstractUI.aspx?menuIndex=3&amp;refID=7060372&amp;Result=3","7060372")</f>
        <v>0</v>
      </c>
      <c r="B11590" t="s">
        <v>3146</v>
      </c>
      <c r="C11590" t="s">
        <v>7465</v>
      </c>
      <c r="D11590" t="s">
        <v>17432</v>
      </c>
      <c r="E11590" t="s">
        <v>27428</v>
      </c>
      <c r="F11590" t="s">
        <v>30052</v>
      </c>
      <c r="G11590" t="s">
        <v>30058</v>
      </c>
      <c r="H11590" t="s">
        <v>15498</v>
      </c>
      <c r="I11590" t="s">
        <v>30074</v>
      </c>
      <c r="J11590" t="s">
        <v>30222</v>
      </c>
      <c r="K11590" t="s">
        <v>39025</v>
      </c>
      <c r="M11590" t="s">
        <v>42750</v>
      </c>
      <c r="N11590" t="s">
        <v>43166</v>
      </c>
      <c r="O11590" t="s">
        <v>43167</v>
      </c>
      <c r="P11590">
        <v>0</v>
      </c>
      <c r="Q11590">
        <v>1</v>
      </c>
      <c r="R11590" t="s">
        <v>43181</v>
      </c>
      <c r="S11590" t="s">
        <v>43729</v>
      </c>
      <c r="T11590" t="s">
        <v>44681</v>
      </c>
      <c r="U11590" t="s">
        <v>54450</v>
      </c>
      <c r="V11590" t="s">
        <v>58116</v>
      </c>
      <c r="W11590" t="s">
        <v>42750</v>
      </c>
      <c r="X11590" t="s">
        <v>43182</v>
      </c>
    </row>
    <row r="11591" spans="1:24">
      <c r="A11591">
        <f>HYPERLINK("https://www.philgeps.gov.ph/GEPSNONPILOT/Tender/SplashBidNoticeAbstractUI.aspx?menuIndex=3&amp;refID=7060371&amp;Result=3","7060371")</f>
        <v>0</v>
      </c>
      <c r="B11591" t="s">
        <v>1471</v>
      </c>
      <c r="C11591" t="s">
        <v>14481</v>
      </c>
      <c r="D11591" t="s">
        <v>17445</v>
      </c>
      <c r="E11591" t="s">
        <v>27429</v>
      </c>
      <c r="F11591" t="s">
        <v>30052</v>
      </c>
      <c r="G11591" t="s">
        <v>30058</v>
      </c>
      <c r="H11591" t="s">
        <v>30067</v>
      </c>
      <c r="I11591" t="s">
        <v>3693</v>
      </c>
      <c r="J11591" t="s">
        <v>33318</v>
      </c>
      <c r="K11591" t="s">
        <v>39023</v>
      </c>
      <c r="M11591" t="s">
        <v>42751</v>
      </c>
      <c r="N11591" t="s">
        <v>43166</v>
      </c>
      <c r="O11591" t="s">
        <v>43167</v>
      </c>
      <c r="Q11591">
        <v>1</v>
      </c>
      <c r="R11591" t="s">
        <v>43181</v>
      </c>
      <c r="S11591" t="s">
        <v>43754</v>
      </c>
      <c r="T11591" t="s">
        <v>44681</v>
      </c>
      <c r="U11591" t="s">
        <v>54451</v>
      </c>
      <c r="W11591" t="s">
        <v>42751</v>
      </c>
      <c r="X11591" t="s">
        <v>43182</v>
      </c>
    </row>
    <row r="11592" spans="1:24">
      <c r="A11592">
        <f>HYPERLINK("https://www.philgeps.gov.ph/GEPSNONPILOT/Tender/SplashBidNoticeAbstractUI.aspx?menuIndex=3&amp;refID=7060413&amp;Result=3","7060413")</f>
        <v>0</v>
      </c>
      <c r="B11592" t="s">
        <v>2226</v>
      </c>
      <c r="C11592" t="s">
        <v>14482</v>
      </c>
      <c r="D11592" t="s">
        <v>17452</v>
      </c>
      <c r="E11592" t="s">
        <v>27430</v>
      </c>
      <c r="F11592" t="s">
        <v>30052</v>
      </c>
      <c r="G11592" t="s">
        <v>30058</v>
      </c>
      <c r="H11592" t="s">
        <v>15498</v>
      </c>
      <c r="I11592" t="s">
        <v>30070</v>
      </c>
      <c r="J11592" t="s">
        <v>37278</v>
      </c>
      <c r="K11592" t="s">
        <v>39037</v>
      </c>
      <c r="M11592" t="s">
        <v>41698</v>
      </c>
      <c r="N11592" t="s">
        <v>43166</v>
      </c>
      <c r="O11592" t="s">
        <v>43167</v>
      </c>
      <c r="P11592">
        <v>0</v>
      </c>
      <c r="Q11592">
        <v>8</v>
      </c>
      <c r="R11592" t="s">
        <v>43181</v>
      </c>
      <c r="S11592" t="s">
        <v>43729</v>
      </c>
      <c r="T11592" t="s">
        <v>44764</v>
      </c>
      <c r="U11592" t="s">
        <v>53488</v>
      </c>
      <c r="W11592" t="s">
        <v>41698</v>
      </c>
      <c r="X11592" t="s">
        <v>43182</v>
      </c>
    </row>
    <row r="11593" spans="1:24">
      <c r="A11593">
        <f>HYPERLINK("https://www.philgeps.gov.ph/GEPSNONPILOT/Tender/SplashBidNoticeAbstractUI.aspx?menuIndex=3&amp;refID=7060362&amp;Result=3","7060362")</f>
        <v>0</v>
      </c>
      <c r="B11593" t="s">
        <v>2461</v>
      </c>
      <c r="C11593" t="s">
        <v>14483</v>
      </c>
      <c r="E11593" t="s">
        <v>27431</v>
      </c>
      <c r="F11593" t="s">
        <v>30052</v>
      </c>
      <c r="G11593" t="s">
        <v>30058</v>
      </c>
      <c r="H11593" t="s">
        <v>30069</v>
      </c>
      <c r="I11593" t="s">
        <v>30143</v>
      </c>
      <c r="J11593" t="s">
        <v>37279</v>
      </c>
      <c r="K11593" t="s">
        <v>39019</v>
      </c>
      <c r="M11593" t="s">
        <v>41960</v>
      </c>
      <c r="N11593" t="s">
        <v>43166</v>
      </c>
      <c r="O11593" t="s">
        <v>43167</v>
      </c>
      <c r="P11593">
        <v>0</v>
      </c>
      <c r="Q11593">
        <v>2</v>
      </c>
      <c r="R11593" t="s">
        <v>43181</v>
      </c>
      <c r="S11593" t="s">
        <v>43729</v>
      </c>
      <c r="T11593" t="s">
        <v>44734</v>
      </c>
      <c r="U11593" t="s">
        <v>54452</v>
      </c>
      <c r="V11593" t="s">
        <v>58117</v>
      </c>
      <c r="W11593" t="s">
        <v>41960</v>
      </c>
      <c r="X11593" t="s">
        <v>43182</v>
      </c>
    </row>
    <row r="11594" spans="1:24">
      <c r="A11594">
        <f>HYPERLINK("https://www.philgeps.gov.ph/GEPSNONPILOT/Tender/SplashBidNoticeAbstractUI.aspx?menuIndex=3&amp;refID=7060361&amp;Result=3","7060361")</f>
        <v>0</v>
      </c>
      <c r="B11594" t="s">
        <v>3147</v>
      </c>
      <c r="C11594" t="s">
        <v>14484</v>
      </c>
      <c r="D11594" t="s">
        <v>17459</v>
      </c>
      <c r="E11594" t="s">
        <v>22930</v>
      </c>
      <c r="F11594" t="s">
        <v>30052</v>
      </c>
      <c r="G11594" t="s">
        <v>30058</v>
      </c>
      <c r="H11594" t="s">
        <v>15498</v>
      </c>
      <c r="I11594" t="s">
        <v>30106</v>
      </c>
      <c r="J11594" t="s">
        <v>30207</v>
      </c>
      <c r="K11594" t="s">
        <v>39032</v>
      </c>
      <c r="M11594" t="s">
        <v>42752</v>
      </c>
      <c r="N11594" t="s">
        <v>43166</v>
      </c>
      <c r="O11594" t="s">
        <v>43167</v>
      </c>
      <c r="P11594">
        <v>0</v>
      </c>
      <c r="Q11594">
        <v>0</v>
      </c>
      <c r="R11594" t="s">
        <v>43181</v>
      </c>
      <c r="S11594" t="s">
        <v>43729</v>
      </c>
      <c r="T11594" t="s">
        <v>44717</v>
      </c>
      <c r="U11594" t="s">
        <v>54453</v>
      </c>
      <c r="W11594" t="s">
        <v>42752</v>
      </c>
      <c r="X11594" t="s">
        <v>43182</v>
      </c>
    </row>
    <row r="11595" spans="1:24">
      <c r="A11595">
        <f>HYPERLINK("https://www.philgeps.gov.ph/GEPSNONPILOT/Tender/SplashBidNoticeAbstractUI.aspx?menuIndex=3&amp;refID=7060203&amp;Result=3","7060203")</f>
        <v>0</v>
      </c>
      <c r="B11595" t="s">
        <v>3148</v>
      </c>
      <c r="C11595" t="s">
        <v>14485</v>
      </c>
      <c r="D11595" t="s">
        <v>17455</v>
      </c>
      <c r="E11595" t="s">
        <v>17715</v>
      </c>
      <c r="F11595" t="s">
        <v>30052</v>
      </c>
      <c r="G11595" t="s">
        <v>30058</v>
      </c>
      <c r="H11595" t="s">
        <v>15498</v>
      </c>
      <c r="I11595" t="s">
        <v>30129</v>
      </c>
      <c r="J11595" t="s">
        <v>30212</v>
      </c>
      <c r="K11595" t="s">
        <v>39068</v>
      </c>
      <c r="M11595" t="s">
        <v>42753</v>
      </c>
      <c r="N11595" t="s">
        <v>43166</v>
      </c>
      <c r="O11595" t="s">
        <v>43167</v>
      </c>
      <c r="P11595">
        <v>0</v>
      </c>
      <c r="Q11595">
        <v>2</v>
      </c>
      <c r="R11595" t="s">
        <v>43181</v>
      </c>
      <c r="S11595" t="s">
        <v>43729</v>
      </c>
      <c r="T11595" t="s">
        <v>44733</v>
      </c>
      <c r="U11595" t="s">
        <v>54454</v>
      </c>
      <c r="W11595" t="s">
        <v>42753</v>
      </c>
      <c r="X11595" t="s">
        <v>43182</v>
      </c>
    </row>
    <row r="11596" spans="1:24">
      <c r="A11596">
        <f>HYPERLINK("https://www.philgeps.gov.ph/GEPSNONPILOT/Tender/SplashBidNoticeAbstractUI.aspx?menuIndex=3&amp;refID=7060591&amp;Result=3","7060591")</f>
        <v>0</v>
      </c>
      <c r="B11596" t="s">
        <v>3149</v>
      </c>
      <c r="C11596" t="s">
        <v>14486</v>
      </c>
      <c r="D11596" t="s">
        <v>17415</v>
      </c>
      <c r="E11596" t="s">
        <v>27432</v>
      </c>
      <c r="F11596" t="s">
        <v>30052</v>
      </c>
      <c r="G11596" t="s">
        <v>30058</v>
      </c>
      <c r="H11596" t="s">
        <v>15498</v>
      </c>
      <c r="I11596" t="s">
        <v>30088</v>
      </c>
      <c r="J11596" t="s">
        <v>37280</v>
      </c>
      <c r="K11596" t="s">
        <v>39025</v>
      </c>
      <c r="M11596" t="s">
        <v>42754</v>
      </c>
      <c r="N11596" t="s">
        <v>43166</v>
      </c>
      <c r="O11596" t="s">
        <v>43167</v>
      </c>
      <c r="P11596">
        <v>0</v>
      </c>
      <c r="Q11596">
        <v>5</v>
      </c>
      <c r="R11596" t="s">
        <v>43181</v>
      </c>
      <c r="S11596" t="s">
        <v>43729</v>
      </c>
      <c r="T11596" t="s">
        <v>44724</v>
      </c>
      <c r="U11596" t="s">
        <v>54455</v>
      </c>
      <c r="W11596" t="s">
        <v>42754</v>
      </c>
      <c r="X11596" t="s">
        <v>43182</v>
      </c>
    </row>
    <row r="11597" spans="1:24">
      <c r="A11597">
        <f>HYPERLINK("https://www.philgeps.gov.ph/GEPSNONPILOT/Tender/SplashBidNoticeAbstractUI.aspx?menuIndex=3&amp;refID=7060397&amp;Result=3","7060397")</f>
        <v>0</v>
      </c>
      <c r="B11597" t="s">
        <v>138</v>
      </c>
      <c r="C11597" t="s">
        <v>14487</v>
      </c>
      <c r="D11597" t="s">
        <v>17422</v>
      </c>
      <c r="E11597" t="s">
        <v>27433</v>
      </c>
      <c r="F11597" t="s">
        <v>30052</v>
      </c>
      <c r="G11597" t="s">
        <v>30058</v>
      </c>
      <c r="H11597" t="s">
        <v>15498</v>
      </c>
      <c r="I11597" t="s">
        <v>30144</v>
      </c>
      <c r="J11597" t="s">
        <v>37281</v>
      </c>
      <c r="K11597" t="s">
        <v>39031</v>
      </c>
      <c r="M11597" t="s">
        <v>41707</v>
      </c>
      <c r="N11597" t="s">
        <v>43166</v>
      </c>
      <c r="O11597" t="s">
        <v>43167</v>
      </c>
      <c r="P11597">
        <v>0</v>
      </c>
      <c r="Q11597">
        <v>1</v>
      </c>
      <c r="R11597" t="s">
        <v>43181</v>
      </c>
      <c r="S11597" t="s">
        <v>43729</v>
      </c>
      <c r="T11597" t="s">
        <v>44689</v>
      </c>
      <c r="U11597" t="s">
        <v>54456</v>
      </c>
      <c r="W11597" t="s">
        <v>41707</v>
      </c>
      <c r="X11597" t="s">
        <v>43182</v>
      </c>
    </row>
    <row r="11598" spans="1:24">
      <c r="A11598">
        <f>HYPERLINK("https://www.philgeps.gov.ph/GEPSNONPILOT/Tender/SplashBidNoticeAbstractUI.aspx?menuIndex=3&amp;refID=7060578&amp;Result=3","7060578")</f>
        <v>0</v>
      </c>
      <c r="B11598" t="s">
        <v>138</v>
      </c>
      <c r="C11598" t="s">
        <v>14488</v>
      </c>
      <c r="D11598" t="s">
        <v>17422</v>
      </c>
      <c r="E11598" t="s">
        <v>27434</v>
      </c>
      <c r="F11598" t="s">
        <v>30052</v>
      </c>
      <c r="G11598" t="s">
        <v>30058</v>
      </c>
      <c r="H11598" t="s">
        <v>15498</v>
      </c>
      <c r="I11598" t="s">
        <v>30144</v>
      </c>
      <c r="J11598" t="s">
        <v>37282</v>
      </c>
      <c r="K11598" t="s">
        <v>39031</v>
      </c>
      <c r="M11598" t="s">
        <v>41707</v>
      </c>
      <c r="N11598" t="s">
        <v>43166</v>
      </c>
      <c r="O11598" t="s">
        <v>43167</v>
      </c>
      <c r="P11598">
        <v>0</v>
      </c>
      <c r="Q11598">
        <v>2</v>
      </c>
      <c r="R11598" t="s">
        <v>43181</v>
      </c>
      <c r="S11598" t="s">
        <v>43729</v>
      </c>
      <c r="T11598" t="s">
        <v>44689</v>
      </c>
      <c r="U11598" t="s">
        <v>54457</v>
      </c>
      <c r="W11598" t="s">
        <v>41707</v>
      </c>
      <c r="X11598" t="s">
        <v>43182</v>
      </c>
    </row>
    <row r="11599" spans="1:24">
      <c r="A11599">
        <f>HYPERLINK("https://www.philgeps.gov.ph/GEPSNONPILOT/Tender/SplashBidNoticeAbstractUI.aspx?menuIndex=3&amp;refID=7060577&amp;Result=3","7060577")</f>
        <v>0</v>
      </c>
      <c r="B11599" t="s">
        <v>1736</v>
      </c>
      <c r="C11599" t="s">
        <v>3736</v>
      </c>
      <c r="D11599" t="s">
        <v>17444</v>
      </c>
      <c r="E11599" t="s">
        <v>27435</v>
      </c>
      <c r="F11599" t="s">
        <v>30052</v>
      </c>
      <c r="G11599" t="s">
        <v>30058</v>
      </c>
      <c r="H11599" t="s">
        <v>30067</v>
      </c>
      <c r="I11599" t="s">
        <v>3736</v>
      </c>
      <c r="J11599" t="s">
        <v>37283</v>
      </c>
      <c r="K11599" t="s">
        <v>39034</v>
      </c>
      <c r="M11599" t="s">
        <v>41153</v>
      </c>
      <c r="N11599" t="s">
        <v>43166</v>
      </c>
      <c r="O11599" t="s">
        <v>43167</v>
      </c>
      <c r="P11599">
        <v>0</v>
      </c>
      <c r="Q11599">
        <v>0</v>
      </c>
      <c r="R11599" t="s">
        <v>43181</v>
      </c>
      <c r="S11599" t="s">
        <v>43729</v>
      </c>
      <c r="T11599" t="s">
        <v>44750</v>
      </c>
      <c r="U11599" t="s">
        <v>54458</v>
      </c>
      <c r="W11599" t="s">
        <v>41153</v>
      </c>
      <c r="X11599" t="s">
        <v>43182</v>
      </c>
    </row>
    <row r="11600" spans="1:24">
      <c r="A11600">
        <f>HYPERLINK("https://www.philgeps.gov.ph/GEPSNONPILOT/Tender/SplashBidNoticeAbstractUI.aspx?menuIndex=3&amp;refID=7060550&amp;Result=3","7060550")</f>
        <v>0</v>
      </c>
      <c r="B11600" t="s">
        <v>1212</v>
      </c>
      <c r="C11600" t="s">
        <v>14489</v>
      </c>
      <c r="D11600" t="s">
        <v>17415</v>
      </c>
      <c r="E11600" t="s">
        <v>25387</v>
      </c>
      <c r="F11600" t="s">
        <v>30052</v>
      </c>
      <c r="G11600" t="s">
        <v>30058</v>
      </c>
      <c r="H11600" t="s">
        <v>15498</v>
      </c>
      <c r="I11600" t="s">
        <v>30084</v>
      </c>
      <c r="J11600" t="s">
        <v>37284</v>
      </c>
      <c r="K11600" t="s">
        <v>39031</v>
      </c>
      <c r="M11600" t="s">
        <v>40566</v>
      </c>
      <c r="N11600" t="s">
        <v>43166</v>
      </c>
      <c r="O11600" t="s">
        <v>43167</v>
      </c>
      <c r="P11600">
        <v>0</v>
      </c>
      <c r="Q11600">
        <v>16</v>
      </c>
      <c r="R11600" t="s">
        <v>43181</v>
      </c>
      <c r="S11600" t="s">
        <v>43729</v>
      </c>
      <c r="T11600" t="s">
        <v>44679</v>
      </c>
      <c r="U11600" t="s">
        <v>54459</v>
      </c>
      <c r="W11600" t="s">
        <v>58628</v>
      </c>
      <c r="X11600" t="s">
        <v>43182</v>
      </c>
    </row>
    <row r="11601" spans="1:24">
      <c r="A11601">
        <f>HYPERLINK("https://www.philgeps.gov.ph/GEPSNONPILOT/Tender/SplashBidNoticeAbstractUI.aspx?menuIndex=3&amp;refID=7060226&amp;Result=3","7060226")</f>
        <v>0</v>
      </c>
      <c r="B11601" t="s">
        <v>2941</v>
      </c>
      <c r="C11601" t="s">
        <v>14490</v>
      </c>
      <c r="D11601" t="s">
        <v>17421</v>
      </c>
      <c r="E11601" t="s">
        <v>27436</v>
      </c>
      <c r="F11601" t="s">
        <v>30052</v>
      </c>
      <c r="G11601" t="s">
        <v>30058</v>
      </c>
      <c r="H11601" t="s">
        <v>15498</v>
      </c>
      <c r="I11601" t="s">
        <v>30081</v>
      </c>
      <c r="J11601" t="s">
        <v>37285</v>
      </c>
      <c r="K11601" t="s">
        <v>39029</v>
      </c>
      <c r="M11601" t="s">
        <v>42505</v>
      </c>
      <c r="N11601" t="s">
        <v>43166</v>
      </c>
      <c r="O11601" t="s">
        <v>43167</v>
      </c>
      <c r="P11601">
        <v>0</v>
      </c>
      <c r="Q11601">
        <v>0</v>
      </c>
      <c r="R11601" t="s">
        <v>43181</v>
      </c>
      <c r="S11601" t="s">
        <v>43729</v>
      </c>
      <c r="T11601" t="s">
        <v>44699</v>
      </c>
      <c r="U11601" t="s">
        <v>54460</v>
      </c>
      <c r="W11601" t="s">
        <v>42505</v>
      </c>
      <c r="X11601" t="s">
        <v>43182</v>
      </c>
    </row>
    <row r="11602" spans="1:24">
      <c r="A11602">
        <f>HYPERLINK("https://www.philgeps.gov.ph/GEPSNONPILOT/Tender/SplashBidNoticeAbstractUI.aspx?menuIndex=3&amp;refID=7060540&amp;Result=3","7060540")</f>
        <v>0</v>
      </c>
      <c r="B11602" t="s">
        <v>3149</v>
      </c>
      <c r="C11602" t="s">
        <v>14491</v>
      </c>
      <c r="D11602" t="s">
        <v>17415</v>
      </c>
      <c r="E11602" t="s">
        <v>27437</v>
      </c>
      <c r="F11602" t="s">
        <v>30052</v>
      </c>
      <c r="G11602" t="s">
        <v>30058</v>
      </c>
      <c r="H11602" t="s">
        <v>15498</v>
      </c>
      <c r="I11602" t="s">
        <v>3606</v>
      </c>
      <c r="J11602" t="s">
        <v>37286</v>
      </c>
      <c r="K11602" t="s">
        <v>39025</v>
      </c>
      <c r="M11602" t="s">
        <v>42754</v>
      </c>
      <c r="N11602" t="s">
        <v>43166</v>
      </c>
      <c r="O11602" t="s">
        <v>43167</v>
      </c>
      <c r="P11602">
        <v>0</v>
      </c>
      <c r="Q11602">
        <v>7</v>
      </c>
      <c r="R11602" t="s">
        <v>43181</v>
      </c>
      <c r="S11602" t="s">
        <v>43729</v>
      </c>
      <c r="T11602" t="s">
        <v>44724</v>
      </c>
      <c r="U11602" t="s">
        <v>54461</v>
      </c>
      <c r="W11602" t="s">
        <v>42754</v>
      </c>
      <c r="X11602" t="s">
        <v>43182</v>
      </c>
    </row>
    <row r="11603" spans="1:24">
      <c r="A11603">
        <f>HYPERLINK("https://www.philgeps.gov.ph/GEPSNONPILOT/Tender/SplashBidNoticeAbstractUI.aspx?menuIndex=3&amp;refID=7060538&amp;Result=3","7060538")</f>
        <v>0</v>
      </c>
      <c r="B11603" t="s">
        <v>138</v>
      </c>
      <c r="C11603" t="s">
        <v>14492</v>
      </c>
      <c r="D11603" t="s">
        <v>17422</v>
      </c>
      <c r="E11603" t="s">
        <v>27438</v>
      </c>
      <c r="F11603" t="s">
        <v>30052</v>
      </c>
      <c r="G11603" t="s">
        <v>30058</v>
      </c>
      <c r="H11603" t="s">
        <v>15498</v>
      </c>
      <c r="I11603" t="s">
        <v>30144</v>
      </c>
      <c r="J11603" t="s">
        <v>37287</v>
      </c>
      <c r="K11603" t="s">
        <v>39031</v>
      </c>
      <c r="M11603" t="s">
        <v>41707</v>
      </c>
      <c r="N11603" t="s">
        <v>43166</v>
      </c>
      <c r="O11603" t="s">
        <v>43167</v>
      </c>
      <c r="P11603">
        <v>0</v>
      </c>
      <c r="Q11603">
        <v>1</v>
      </c>
      <c r="R11603" t="s">
        <v>43181</v>
      </c>
      <c r="S11603" t="s">
        <v>43729</v>
      </c>
      <c r="T11603" t="s">
        <v>44689</v>
      </c>
      <c r="U11603" t="s">
        <v>54462</v>
      </c>
      <c r="W11603" t="s">
        <v>41707</v>
      </c>
      <c r="X11603" t="s">
        <v>43182</v>
      </c>
    </row>
    <row r="11604" spans="1:24">
      <c r="A11604">
        <f>HYPERLINK("https://www.philgeps.gov.ph/GEPSNONPILOT/Tender/SplashBidNoticeAbstractUI.aspx?menuIndex=3&amp;refID=7060501&amp;Result=3","7060501")</f>
        <v>0</v>
      </c>
      <c r="B11604" t="s">
        <v>3150</v>
      </c>
      <c r="C11604" t="s">
        <v>14493</v>
      </c>
      <c r="D11604" t="s">
        <v>17438</v>
      </c>
      <c r="E11604" t="s">
        <v>27439</v>
      </c>
      <c r="F11604" t="s">
        <v>30052</v>
      </c>
      <c r="G11604" t="s">
        <v>30058</v>
      </c>
      <c r="H11604" t="s">
        <v>15498</v>
      </c>
      <c r="I11604" t="s">
        <v>3693</v>
      </c>
      <c r="J11604" t="s">
        <v>37288</v>
      </c>
      <c r="K11604" t="s">
        <v>39029</v>
      </c>
      <c r="M11604" t="s">
        <v>42755</v>
      </c>
      <c r="N11604" t="s">
        <v>43166</v>
      </c>
      <c r="O11604" t="s">
        <v>43167</v>
      </c>
      <c r="P11604">
        <v>0</v>
      </c>
      <c r="Q11604">
        <v>0</v>
      </c>
      <c r="R11604" t="s">
        <v>43181</v>
      </c>
      <c r="S11604" t="s">
        <v>43729</v>
      </c>
      <c r="T11604" t="s">
        <v>44681</v>
      </c>
      <c r="U11604" t="s">
        <v>54463</v>
      </c>
      <c r="W11604" t="s">
        <v>42755</v>
      </c>
      <c r="X11604" t="s">
        <v>43182</v>
      </c>
    </row>
    <row r="11605" spans="1:24">
      <c r="A11605">
        <f>HYPERLINK("https://www.philgeps.gov.ph/GEPSNONPILOT/Tender/SplashBidNoticeAbstractUI.aspx?menuIndex=3&amp;refID=7060489&amp;Result=3","7060489")</f>
        <v>0</v>
      </c>
      <c r="B11605" t="s">
        <v>138</v>
      </c>
      <c r="C11605" t="s">
        <v>14494</v>
      </c>
      <c r="D11605" t="s">
        <v>17422</v>
      </c>
      <c r="E11605" t="s">
        <v>27440</v>
      </c>
      <c r="F11605" t="s">
        <v>30052</v>
      </c>
      <c r="G11605" t="s">
        <v>30058</v>
      </c>
      <c r="H11605" t="s">
        <v>15498</v>
      </c>
      <c r="I11605" t="s">
        <v>30144</v>
      </c>
      <c r="J11605" t="s">
        <v>37289</v>
      </c>
      <c r="K11605" t="s">
        <v>39031</v>
      </c>
      <c r="M11605" t="s">
        <v>41707</v>
      </c>
      <c r="N11605" t="s">
        <v>43166</v>
      </c>
      <c r="O11605" t="s">
        <v>43167</v>
      </c>
      <c r="P11605">
        <v>0</v>
      </c>
      <c r="Q11605">
        <v>2</v>
      </c>
      <c r="R11605" t="s">
        <v>43181</v>
      </c>
      <c r="S11605" t="s">
        <v>43729</v>
      </c>
      <c r="T11605" t="s">
        <v>44689</v>
      </c>
      <c r="U11605" t="s">
        <v>54464</v>
      </c>
      <c r="W11605" t="s">
        <v>41707</v>
      </c>
      <c r="X11605" t="s">
        <v>43182</v>
      </c>
    </row>
    <row r="11606" spans="1:24">
      <c r="A11606">
        <f>HYPERLINK("https://www.philgeps.gov.ph/GEPSNONPILOT/Tender/SplashBidNoticeAbstractUI.aspx?menuIndex=3&amp;refID=7060568&amp;Result=3","7060568")</f>
        <v>0</v>
      </c>
      <c r="B11606" t="s">
        <v>623</v>
      </c>
      <c r="C11606" t="s">
        <v>14495</v>
      </c>
      <c r="D11606" t="s">
        <v>17449</v>
      </c>
      <c r="E11606" t="s">
        <v>27441</v>
      </c>
      <c r="F11606" t="s">
        <v>30052</v>
      </c>
      <c r="G11606" t="s">
        <v>30058</v>
      </c>
      <c r="H11606" t="s">
        <v>30067</v>
      </c>
      <c r="I11606" t="s">
        <v>3693</v>
      </c>
      <c r="J11606" t="s">
        <v>31851</v>
      </c>
      <c r="K11606" t="s">
        <v>39057</v>
      </c>
      <c r="M11606" t="s">
        <v>40445</v>
      </c>
      <c r="N11606" t="s">
        <v>43166</v>
      </c>
      <c r="O11606" t="s">
        <v>43167</v>
      </c>
      <c r="P11606">
        <v>0</v>
      </c>
      <c r="Q11606">
        <v>3</v>
      </c>
      <c r="R11606" t="s">
        <v>43181</v>
      </c>
      <c r="S11606" t="s">
        <v>43729</v>
      </c>
      <c r="T11606" t="s">
        <v>44741</v>
      </c>
      <c r="U11606" t="s">
        <v>52476</v>
      </c>
      <c r="W11606" t="s">
        <v>40445</v>
      </c>
      <c r="X11606" t="s">
        <v>43182</v>
      </c>
    </row>
    <row r="11607" spans="1:24">
      <c r="A11607">
        <f>HYPERLINK("https://www.philgeps.gov.ph/GEPSNONPILOT/Tender/SplashBidNoticeAbstractUI.aspx?menuIndex=3&amp;refID=7060458&amp;Result=3","7060458")</f>
        <v>0</v>
      </c>
      <c r="B11607" t="s">
        <v>810</v>
      </c>
      <c r="C11607" t="s">
        <v>14496</v>
      </c>
      <c r="D11607" t="s">
        <v>17458</v>
      </c>
      <c r="E11607" t="s">
        <v>27442</v>
      </c>
      <c r="F11607" t="s">
        <v>30052</v>
      </c>
      <c r="G11607" t="s">
        <v>30058</v>
      </c>
      <c r="H11607" t="s">
        <v>15498</v>
      </c>
      <c r="I11607" t="s">
        <v>4119</v>
      </c>
      <c r="J11607" t="s">
        <v>37290</v>
      </c>
      <c r="K11607" t="s">
        <v>39025</v>
      </c>
      <c r="M11607" t="s">
        <v>42733</v>
      </c>
      <c r="N11607" t="s">
        <v>43166</v>
      </c>
      <c r="O11607" t="s">
        <v>43167</v>
      </c>
      <c r="Q11607">
        <v>8</v>
      </c>
      <c r="R11607" t="s">
        <v>43181</v>
      </c>
      <c r="S11607" t="s">
        <v>43755</v>
      </c>
      <c r="T11607" t="s">
        <v>44968</v>
      </c>
      <c r="U11607" t="s">
        <v>54465</v>
      </c>
      <c r="W11607" t="s">
        <v>42733</v>
      </c>
      <c r="X11607" t="s">
        <v>43182</v>
      </c>
    </row>
    <row r="11608" spans="1:24">
      <c r="A11608">
        <f>HYPERLINK("https://www.philgeps.gov.ph/GEPSNONPILOT/Tender/SplashBidNoticeAbstractUI.aspx?menuIndex=3&amp;refID=7060457&amp;Result=3","7060457")</f>
        <v>0</v>
      </c>
      <c r="B11608" t="s">
        <v>3132</v>
      </c>
      <c r="C11608" t="s">
        <v>14497</v>
      </c>
      <c r="D11608" t="s">
        <v>17422</v>
      </c>
      <c r="E11608" t="s">
        <v>27443</v>
      </c>
      <c r="F11608" t="s">
        <v>30052</v>
      </c>
      <c r="G11608" t="s">
        <v>30058</v>
      </c>
      <c r="H11608" t="s">
        <v>15498</v>
      </c>
      <c r="I11608" t="s">
        <v>3736</v>
      </c>
      <c r="J11608" t="s">
        <v>37291</v>
      </c>
      <c r="K11608" t="s">
        <v>39034</v>
      </c>
      <c r="M11608" t="s">
        <v>42734</v>
      </c>
      <c r="N11608" t="s">
        <v>43166</v>
      </c>
      <c r="O11608" t="s">
        <v>43167</v>
      </c>
      <c r="P11608">
        <v>0</v>
      </c>
      <c r="Q11608">
        <v>0</v>
      </c>
      <c r="R11608" t="s">
        <v>43181</v>
      </c>
      <c r="S11608" t="s">
        <v>43729</v>
      </c>
      <c r="T11608" t="s">
        <v>44681</v>
      </c>
      <c r="U11608" t="s">
        <v>54466</v>
      </c>
      <c r="V11608" t="s">
        <v>58108</v>
      </c>
      <c r="W11608" t="s">
        <v>42734</v>
      </c>
      <c r="X11608" t="s">
        <v>43182</v>
      </c>
    </row>
    <row r="11609" spans="1:24">
      <c r="A11609">
        <f>HYPERLINK("https://www.philgeps.gov.ph/GEPSNONPILOT/Tender/SplashBidNoticeAbstractUI.aspx?menuIndex=3&amp;refID=7060588&amp;Result=3","7060588")</f>
        <v>0</v>
      </c>
      <c r="B11609" t="s">
        <v>2982</v>
      </c>
      <c r="C11609" t="s">
        <v>14498</v>
      </c>
      <c r="D11609" t="s">
        <v>17442</v>
      </c>
      <c r="E11609" t="s">
        <v>27444</v>
      </c>
      <c r="F11609" t="s">
        <v>30052</v>
      </c>
      <c r="G11609" t="s">
        <v>30058</v>
      </c>
      <c r="H11609" t="s">
        <v>15498</v>
      </c>
      <c r="I11609" t="s">
        <v>4650</v>
      </c>
      <c r="J11609" t="s">
        <v>30574</v>
      </c>
      <c r="K11609" t="s">
        <v>39019</v>
      </c>
      <c r="M11609" t="s">
        <v>42552</v>
      </c>
      <c r="N11609" t="s">
        <v>43166</v>
      </c>
      <c r="O11609" t="s">
        <v>43167</v>
      </c>
      <c r="P11609">
        <v>0</v>
      </c>
      <c r="Q11609">
        <v>6</v>
      </c>
      <c r="R11609" t="s">
        <v>43181</v>
      </c>
      <c r="S11609" t="s">
        <v>43729</v>
      </c>
      <c r="T11609" t="s">
        <v>44861</v>
      </c>
      <c r="U11609" t="s">
        <v>54467</v>
      </c>
      <c r="W11609" t="s">
        <v>58696</v>
      </c>
      <c r="X11609" t="s">
        <v>43182</v>
      </c>
    </row>
    <row r="11610" spans="1:24">
      <c r="A11610">
        <f>HYPERLINK("https://www.philgeps.gov.ph/GEPSNONPILOT/Tender/SplashBidNoticeAbstractUI.aspx?menuIndex=3&amp;refID=7060485&amp;Result=3","7060485")</f>
        <v>0</v>
      </c>
      <c r="B11610" t="s">
        <v>810</v>
      </c>
      <c r="C11610" t="s">
        <v>14499</v>
      </c>
      <c r="D11610" t="s">
        <v>17458</v>
      </c>
      <c r="E11610" t="s">
        <v>27445</v>
      </c>
      <c r="F11610" t="s">
        <v>30052</v>
      </c>
      <c r="G11610" t="s">
        <v>30058</v>
      </c>
      <c r="H11610" t="s">
        <v>15498</v>
      </c>
      <c r="I11610" t="s">
        <v>4119</v>
      </c>
      <c r="J11610" t="s">
        <v>37292</v>
      </c>
      <c r="K11610" t="s">
        <v>39025</v>
      </c>
      <c r="M11610" t="s">
        <v>42733</v>
      </c>
      <c r="N11610" t="s">
        <v>43166</v>
      </c>
      <c r="O11610" t="s">
        <v>43167</v>
      </c>
      <c r="Q11610">
        <v>8</v>
      </c>
      <c r="R11610" t="s">
        <v>43181</v>
      </c>
      <c r="S11610" t="s">
        <v>43756</v>
      </c>
      <c r="T11610" t="s">
        <v>44968</v>
      </c>
      <c r="U11610" t="s">
        <v>54468</v>
      </c>
      <c r="W11610" t="s">
        <v>42733</v>
      </c>
      <c r="X11610" t="s">
        <v>43182</v>
      </c>
    </row>
    <row r="11611" spans="1:24">
      <c r="A11611">
        <f>HYPERLINK("https://www.philgeps.gov.ph/GEPSNONPILOT/Tender/SplashBidNoticeAbstractUI.aspx?menuIndex=3&amp;refID=7060571&amp;Result=3","7060571")</f>
        <v>0</v>
      </c>
      <c r="B11611" t="s">
        <v>2602</v>
      </c>
      <c r="C11611" t="s">
        <v>14500</v>
      </c>
      <c r="D11611" t="s">
        <v>17473</v>
      </c>
      <c r="E11611" t="s">
        <v>27446</v>
      </c>
      <c r="F11611" t="s">
        <v>30052</v>
      </c>
      <c r="G11611" t="s">
        <v>30058</v>
      </c>
      <c r="H11611" t="s">
        <v>15498</v>
      </c>
      <c r="I11611" t="s">
        <v>3736</v>
      </c>
      <c r="J11611" t="s">
        <v>37293</v>
      </c>
      <c r="K11611" t="s">
        <v>39025</v>
      </c>
      <c r="M11611" t="s">
        <v>42113</v>
      </c>
      <c r="N11611" t="s">
        <v>43166</v>
      </c>
      <c r="O11611" t="s">
        <v>43167</v>
      </c>
      <c r="P11611">
        <v>0</v>
      </c>
      <c r="Q11611">
        <v>0</v>
      </c>
      <c r="R11611" t="s">
        <v>43181</v>
      </c>
      <c r="S11611" t="s">
        <v>43729</v>
      </c>
      <c r="T11611" t="s">
        <v>45160</v>
      </c>
      <c r="U11611" t="s">
        <v>54469</v>
      </c>
      <c r="V11611" t="s">
        <v>58118</v>
      </c>
      <c r="W11611" t="s">
        <v>42113</v>
      </c>
      <c r="X11611" t="s">
        <v>43182</v>
      </c>
    </row>
    <row r="11612" spans="1:24">
      <c r="A11612">
        <f>HYPERLINK("https://www.philgeps.gov.ph/GEPSNONPILOT/Tender/SplashBidNoticeAbstractUI.aspx?menuIndex=3&amp;refID=7060720&amp;Result=3","7060720")</f>
        <v>0</v>
      </c>
      <c r="B11612" t="s">
        <v>964</v>
      </c>
      <c r="C11612" t="s">
        <v>14501</v>
      </c>
      <c r="D11612" t="s">
        <v>17415</v>
      </c>
      <c r="E11612" t="s">
        <v>27447</v>
      </c>
      <c r="F11612" t="s">
        <v>30052</v>
      </c>
      <c r="G11612" t="s">
        <v>30058</v>
      </c>
      <c r="H11612" t="s">
        <v>15498</v>
      </c>
      <c r="I11612" t="s">
        <v>30071</v>
      </c>
      <c r="J11612" t="s">
        <v>37294</v>
      </c>
      <c r="K11612" t="s">
        <v>39019</v>
      </c>
      <c r="M11612" t="s">
        <v>42746</v>
      </c>
      <c r="N11612" t="s">
        <v>43166</v>
      </c>
      <c r="O11612" t="s">
        <v>43167</v>
      </c>
      <c r="P11612">
        <v>0</v>
      </c>
      <c r="Q11612">
        <v>7</v>
      </c>
      <c r="R11612" t="s">
        <v>43181</v>
      </c>
      <c r="S11612" t="s">
        <v>43729</v>
      </c>
      <c r="T11612" t="s">
        <v>44762</v>
      </c>
      <c r="U11612" t="s">
        <v>54470</v>
      </c>
      <c r="W11612" t="s">
        <v>42746</v>
      </c>
      <c r="X11612" t="s">
        <v>43182</v>
      </c>
    </row>
    <row r="11613" spans="1:24">
      <c r="A11613">
        <f>HYPERLINK("https://www.philgeps.gov.ph/GEPSNONPILOT/Tender/SplashBidNoticeAbstractUI.aspx?menuIndex=3&amp;refID=7060718&amp;Result=3","7060718")</f>
        <v>0</v>
      </c>
      <c r="B11613" t="s">
        <v>3149</v>
      </c>
      <c r="C11613" t="s">
        <v>14502</v>
      </c>
      <c r="D11613" t="s">
        <v>17415</v>
      </c>
      <c r="E11613" t="s">
        <v>27448</v>
      </c>
      <c r="F11613" t="s">
        <v>30052</v>
      </c>
      <c r="G11613" t="s">
        <v>30058</v>
      </c>
      <c r="H11613" t="s">
        <v>15498</v>
      </c>
      <c r="I11613" t="s">
        <v>30201</v>
      </c>
      <c r="J11613" t="s">
        <v>37295</v>
      </c>
      <c r="K11613" t="s">
        <v>39025</v>
      </c>
      <c r="M11613" t="s">
        <v>42754</v>
      </c>
      <c r="N11613" t="s">
        <v>43166</v>
      </c>
      <c r="O11613" t="s">
        <v>43167</v>
      </c>
      <c r="P11613">
        <v>0</v>
      </c>
      <c r="Q11613">
        <v>5</v>
      </c>
      <c r="R11613" t="s">
        <v>43181</v>
      </c>
      <c r="S11613" t="s">
        <v>43729</v>
      </c>
      <c r="T11613" t="s">
        <v>44724</v>
      </c>
      <c r="U11613" t="s">
        <v>54471</v>
      </c>
      <c r="W11613" t="s">
        <v>42754</v>
      </c>
      <c r="X11613" t="s">
        <v>43182</v>
      </c>
    </row>
    <row r="11614" spans="1:24">
      <c r="A11614">
        <f>HYPERLINK("https://www.philgeps.gov.ph/GEPSNONPILOT/Tender/SplashBidNoticeAbstractUI.aspx?menuIndex=3&amp;refID=7060706&amp;Result=3","7060706")</f>
        <v>0</v>
      </c>
      <c r="B11614" t="s">
        <v>2969</v>
      </c>
      <c r="C11614" t="s">
        <v>14503</v>
      </c>
      <c r="E11614" t="s">
        <v>27449</v>
      </c>
      <c r="F11614" t="s">
        <v>30052</v>
      </c>
      <c r="G11614" t="s">
        <v>30058</v>
      </c>
      <c r="H11614" t="s">
        <v>30067</v>
      </c>
      <c r="I11614" t="s">
        <v>3693</v>
      </c>
      <c r="J11614" t="s">
        <v>37296</v>
      </c>
      <c r="K11614" t="s">
        <v>39025</v>
      </c>
      <c r="M11614" t="s">
        <v>42536</v>
      </c>
      <c r="N11614" t="s">
        <v>43166</v>
      </c>
      <c r="O11614" t="s">
        <v>43167</v>
      </c>
      <c r="P11614">
        <v>0</v>
      </c>
      <c r="Q11614">
        <v>1</v>
      </c>
      <c r="R11614" t="s">
        <v>43181</v>
      </c>
      <c r="S11614" t="s">
        <v>43729</v>
      </c>
      <c r="T11614" t="s">
        <v>44780</v>
      </c>
      <c r="U11614" t="s">
        <v>54472</v>
      </c>
      <c r="W11614" t="s">
        <v>42536</v>
      </c>
      <c r="X11614" t="s">
        <v>43182</v>
      </c>
    </row>
    <row r="11615" spans="1:24">
      <c r="A11615">
        <f>HYPERLINK("https://www.philgeps.gov.ph/GEPSNONPILOT/Tender/SplashBidNoticeAbstractUI.aspx?menuIndex=3&amp;refID=7060703&amp;Result=3","7060703")</f>
        <v>0</v>
      </c>
      <c r="B11615" t="s">
        <v>3151</v>
      </c>
      <c r="C11615" t="s">
        <v>14504</v>
      </c>
      <c r="D11615" t="s">
        <v>17413</v>
      </c>
      <c r="E11615" t="s">
        <v>27450</v>
      </c>
      <c r="F11615" t="s">
        <v>30052</v>
      </c>
      <c r="G11615" t="s">
        <v>30058</v>
      </c>
      <c r="H11615" t="s">
        <v>30067</v>
      </c>
      <c r="I11615" t="s">
        <v>3693</v>
      </c>
      <c r="J11615" t="s">
        <v>37297</v>
      </c>
      <c r="K11615" t="s">
        <v>39020</v>
      </c>
      <c r="M11615" t="s">
        <v>42756</v>
      </c>
      <c r="N11615" t="s">
        <v>43166</v>
      </c>
      <c r="O11615" t="s">
        <v>43167</v>
      </c>
      <c r="P11615">
        <v>0</v>
      </c>
      <c r="Q11615">
        <v>1</v>
      </c>
      <c r="R11615" t="s">
        <v>43181</v>
      </c>
      <c r="S11615" t="s">
        <v>43729</v>
      </c>
      <c r="T11615" t="s">
        <v>44791</v>
      </c>
      <c r="U11615" t="s">
        <v>54473</v>
      </c>
      <c r="W11615" t="s">
        <v>42756</v>
      </c>
      <c r="X11615" t="s">
        <v>43182</v>
      </c>
    </row>
    <row r="11616" spans="1:24">
      <c r="A11616">
        <f>HYPERLINK("https://www.philgeps.gov.ph/GEPSNONPILOT/Tender/SplashBidNoticeAbstractUI.aspx?menuIndex=3&amp;refID=7060692&amp;Result=3","7060692")</f>
        <v>0</v>
      </c>
      <c r="B11616" t="s">
        <v>3124</v>
      </c>
      <c r="C11616" t="s">
        <v>14505</v>
      </c>
      <c r="D11616" t="s">
        <v>17461</v>
      </c>
      <c r="E11616" t="s">
        <v>27451</v>
      </c>
      <c r="F11616" t="s">
        <v>30052</v>
      </c>
      <c r="G11616" t="s">
        <v>30058</v>
      </c>
      <c r="H11616" t="s">
        <v>15498</v>
      </c>
      <c r="I11616" t="s">
        <v>3736</v>
      </c>
      <c r="J11616" t="s">
        <v>37298</v>
      </c>
      <c r="K11616" t="s">
        <v>39037</v>
      </c>
      <c r="M11616" t="s">
        <v>42724</v>
      </c>
      <c r="N11616" t="s">
        <v>43166</v>
      </c>
      <c r="O11616" t="s">
        <v>43167</v>
      </c>
      <c r="P11616">
        <v>0</v>
      </c>
      <c r="Q11616">
        <v>2</v>
      </c>
      <c r="R11616" t="s">
        <v>43181</v>
      </c>
      <c r="S11616" t="s">
        <v>43729</v>
      </c>
      <c r="T11616" t="s">
        <v>44733</v>
      </c>
      <c r="U11616" t="s">
        <v>54474</v>
      </c>
      <c r="W11616" t="s">
        <v>42724</v>
      </c>
      <c r="X11616" t="s">
        <v>43182</v>
      </c>
    </row>
    <row r="11617" spans="1:24">
      <c r="A11617">
        <f>HYPERLINK("https://www.philgeps.gov.ph/GEPSNONPILOT/Tender/SplashBidNoticeAbstractUI.aspx?menuIndex=3&amp;refID=7060691&amp;Result=3","7060691")</f>
        <v>0</v>
      </c>
      <c r="B11617" t="s">
        <v>2885</v>
      </c>
      <c r="C11617" t="s">
        <v>14506</v>
      </c>
      <c r="E11617" t="s">
        <v>22644</v>
      </c>
      <c r="F11617" t="s">
        <v>30052</v>
      </c>
      <c r="G11617" t="s">
        <v>30058</v>
      </c>
      <c r="H11617" t="s">
        <v>15498</v>
      </c>
      <c r="I11617" t="s">
        <v>9238</v>
      </c>
      <c r="J11617" t="s">
        <v>30281</v>
      </c>
      <c r="K11617" t="s">
        <v>39025</v>
      </c>
      <c r="M11617" t="s">
        <v>42436</v>
      </c>
      <c r="N11617" t="s">
        <v>43166</v>
      </c>
      <c r="O11617" t="s">
        <v>43167</v>
      </c>
      <c r="Q11617">
        <v>38</v>
      </c>
      <c r="R11617" t="s">
        <v>43181</v>
      </c>
      <c r="S11617" t="s">
        <v>43757</v>
      </c>
      <c r="T11617" t="s">
        <v>44681</v>
      </c>
      <c r="U11617" t="s">
        <v>54475</v>
      </c>
      <c r="W11617" t="s">
        <v>42436</v>
      </c>
      <c r="X11617" t="s">
        <v>43182</v>
      </c>
    </row>
    <row r="11618" spans="1:24">
      <c r="A11618">
        <f>HYPERLINK("https://www.philgeps.gov.ph/GEPSNONPILOT/Tender/SplashBidNoticeAbstractUI.aspx?menuIndex=3&amp;refID=7060722&amp;Result=3","7060722")</f>
        <v>0</v>
      </c>
      <c r="B11618" t="s">
        <v>3152</v>
      </c>
      <c r="C11618" t="s">
        <v>14507</v>
      </c>
      <c r="D11618" t="s">
        <v>17445</v>
      </c>
      <c r="E11618" t="s">
        <v>27452</v>
      </c>
      <c r="F11618" t="s">
        <v>30052</v>
      </c>
      <c r="G11618" t="s">
        <v>30058</v>
      </c>
      <c r="H11618" t="s">
        <v>30067</v>
      </c>
      <c r="I11618" t="s">
        <v>3693</v>
      </c>
      <c r="J11618" t="s">
        <v>30215</v>
      </c>
      <c r="K11618" t="s">
        <v>39025</v>
      </c>
      <c r="M11618" t="s">
        <v>42757</v>
      </c>
      <c r="N11618" t="s">
        <v>43166</v>
      </c>
      <c r="O11618" t="s">
        <v>43167</v>
      </c>
      <c r="P11618">
        <v>0</v>
      </c>
      <c r="Q11618">
        <v>2</v>
      </c>
      <c r="R11618" t="s">
        <v>43181</v>
      </c>
      <c r="S11618" t="s">
        <v>43729</v>
      </c>
      <c r="T11618" t="s">
        <v>44754</v>
      </c>
      <c r="U11618" t="s">
        <v>54476</v>
      </c>
      <c r="W11618" t="s">
        <v>42757</v>
      </c>
      <c r="X11618" t="s">
        <v>43182</v>
      </c>
    </row>
    <row r="11619" spans="1:24">
      <c r="A11619">
        <f>HYPERLINK("https://www.philgeps.gov.ph/GEPSNONPILOT/Tender/SplashBidNoticeAbstractUI.aspx?menuIndex=3&amp;refID=7060683&amp;Result=3","7060683")</f>
        <v>0</v>
      </c>
      <c r="B11619" t="s">
        <v>1736</v>
      </c>
      <c r="C11619" t="s">
        <v>3606</v>
      </c>
      <c r="D11619" t="s">
        <v>17444</v>
      </c>
      <c r="E11619" t="s">
        <v>27453</v>
      </c>
      <c r="F11619" t="s">
        <v>30052</v>
      </c>
      <c r="G11619" t="s">
        <v>30058</v>
      </c>
      <c r="H11619" t="s">
        <v>15498</v>
      </c>
      <c r="I11619" t="s">
        <v>3606</v>
      </c>
      <c r="J11619" t="s">
        <v>30252</v>
      </c>
      <c r="K11619" t="s">
        <v>39034</v>
      </c>
      <c r="M11619" t="s">
        <v>41153</v>
      </c>
      <c r="N11619" t="s">
        <v>43166</v>
      </c>
      <c r="O11619" t="s">
        <v>43167</v>
      </c>
      <c r="Q11619">
        <v>2</v>
      </c>
      <c r="R11619" t="s">
        <v>43181</v>
      </c>
      <c r="S11619" t="s">
        <v>43758</v>
      </c>
      <c r="T11619" t="s">
        <v>44750</v>
      </c>
      <c r="U11619" t="s">
        <v>54477</v>
      </c>
      <c r="W11619" t="s">
        <v>41153</v>
      </c>
      <c r="X11619" t="s">
        <v>43182</v>
      </c>
    </row>
    <row r="11620" spans="1:24">
      <c r="A11620">
        <f>HYPERLINK("https://www.philgeps.gov.ph/GEPSNONPILOT/Tender/SplashBidNoticeAbstractUI.aspx?menuIndex=3&amp;refID=7060674&amp;Result=3","7060674")</f>
        <v>0</v>
      </c>
      <c r="B11620" t="s">
        <v>623</v>
      </c>
      <c r="C11620" t="s">
        <v>14508</v>
      </c>
      <c r="D11620" t="s">
        <v>17449</v>
      </c>
      <c r="E11620" t="s">
        <v>27454</v>
      </c>
      <c r="F11620" t="s">
        <v>30052</v>
      </c>
      <c r="G11620" t="s">
        <v>30058</v>
      </c>
      <c r="H11620" t="s">
        <v>30067</v>
      </c>
      <c r="I11620" t="s">
        <v>3693</v>
      </c>
      <c r="J11620" t="s">
        <v>37299</v>
      </c>
      <c r="K11620" t="s">
        <v>39022</v>
      </c>
      <c r="M11620" t="s">
        <v>40445</v>
      </c>
      <c r="N11620" t="s">
        <v>43166</v>
      </c>
      <c r="O11620" t="s">
        <v>43167</v>
      </c>
      <c r="Q11620">
        <v>4</v>
      </c>
      <c r="R11620" t="s">
        <v>43181</v>
      </c>
      <c r="S11620" t="s">
        <v>43759</v>
      </c>
      <c r="T11620" t="s">
        <v>44741</v>
      </c>
      <c r="U11620" t="s">
        <v>54478</v>
      </c>
      <c r="W11620" t="s">
        <v>40445</v>
      </c>
      <c r="X11620" t="s">
        <v>43182</v>
      </c>
    </row>
    <row r="11621" spans="1:24">
      <c r="A11621">
        <f>HYPERLINK("https://www.philgeps.gov.ph/GEPSNONPILOT/Tender/SplashBidNoticeAbstractUI.aspx?menuIndex=3&amp;refID=7060668&amp;Result=3","7060668")</f>
        <v>0</v>
      </c>
      <c r="B11621" t="s">
        <v>2885</v>
      </c>
      <c r="C11621" t="s">
        <v>14509</v>
      </c>
      <c r="D11621" t="s">
        <v>17415</v>
      </c>
      <c r="E11621" t="s">
        <v>18734</v>
      </c>
      <c r="F11621" t="s">
        <v>30052</v>
      </c>
      <c r="G11621" t="s">
        <v>30058</v>
      </c>
      <c r="H11621" t="s">
        <v>15498</v>
      </c>
      <c r="I11621" t="s">
        <v>30072</v>
      </c>
      <c r="J11621" t="s">
        <v>37300</v>
      </c>
      <c r="K11621" t="s">
        <v>39025</v>
      </c>
      <c r="M11621" t="s">
        <v>42436</v>
      </c>
      <c r="N11621" t="s">
        <v>43166</v>
      </c>
      <c r="O11621" t="s">
        <v>43167</v>
      </c>
      <c r="Q11621">
        <v>8</v>
      </c>
      <c r="R11621" t="s">
        <v>43181</v>
      </c>
      <c r="S11621" t="s">
        <v>43445</v>
      </c>
      <c r="T11621" t="s">
        <v>44681</v>
      </c>
      <c r="U11621" t="s">
        <v>54479</v>
      </c>
      <c r="W11621" t="s">
        <v>42436</v>
      </c>
      <c r="X11621" t="s">
        <v>43182</v>
      </c>
    </row>
    <row r="11622" spans="1:24">
      <c r="A11622">
        <f>HYPERLINK("https://www.philgeps.gov.ph/GEPSNONPILOT/Tender/SplashBidNoticeAbstractUI.aspx?menuIndex=3&amp;refID=7060451&amp;Result=3","7060451")</f>
        <v>0</v>
      </c>
      <c r="B11622" t="s">
        <v>2226</v>
      </c>
      <c r="C11622" t="s">
        <v>14510</v>
      </c>
      <c r="D11622" t="s">
        <v>17452</v>
      </c>
      <c r="E11622" t="s">
        <v>27455</v>
      </c>
      <c r="F11622" t="s">
        <v>30052</v>
      </c>
      <c r="G11622" t="s">
        <v>30058</v>
      </c>
      <c r="H11622" t="s">
        <v>15498</v>
      </c>
      <c r="I11622" t="s">
        <v>30084</v>
      </c>
      <c r="J11622" t="s">
        <v>37301</v>
      </c>
      <c r="K11622" t="s">
        <v>39037</v>
      </c>
      <c r="M11622" t="s">
        <v>41698</v>
      </c>
      <c r="N11622" t="s">
        <v>43166</v>
      </c>
      <c r="O11622" t="s">
        <v>43167</v>
      </c>
      <c r="Q11622">
        <v>9</v>
      </c>
      <c r="R11622" t="s">
        <v>43181</v>
      </c>
      <c r="S11622" t="s">
        <v>43760</v>
      </c>
      <c r="T11622" t="s">
        <v>44764</v>
      </c>
      <c r="U11622" t="s">
        <v>54480</v>
      </c>
      <c r="W11622" t="s">
        <v>41698</v>
      </c>
      <c r="X11622" t="s">
        <v>43182</v>
      </c>
    </row>
    <row r="11623" spans="1:24">
      <c r="A11623">
        <f>HYPERLINK("https://www.philgeps.gov.ph/GEPSNONPILOT/Tender/SplashBidNoticeAbstractUI.aspx?menuIndex=3&amp;refID=7060641&amp;Result=3","7060641")</f>
        <v>0</v>
      </c>
      <c r="B11623" t="s">
        <v>2602</v>
      </c>
      <c r="C11623" t="s">
        <v>14511</v>
      </c>
      <c r="D11623" t="s">
        <v>17473</v>
      </c>
      <c r="E11623" t="s">
        <v>27456</v>
      </c>
      <c r="F11623" t="s">
        <v>30052</v>
      </c>
      <c r="G11623" t="s">
        <v>30058</v>
      </c>
      <c r="H11623" t="s">
        <v>15498</v>
      </c>
      <c r="I11623" t="s">
        <v>3736</v>
      </c>
      <c r="J11623" t="s">
        <v>37302</v>
      </c>
      <c r="K11623" t="s">
        <v>39025</v>
      </c>
      <c r="M11623" t="s">
        <v>42113</v>
      </c>
      <c r="N11623" t="s">
        <v>43166</v>
      </c>
      <c r="O11623" t="s">
        <v>43167</v>
      </c>
      <c r="P11623">
        <v>0</v>
      </c>
      <c r="Q11623">
        <v>0</v>
      </c>
      <c r="R11623" t="s">
        <v>43181</v>
      </c>
      <c r="S11623" t="s">
        <v>43729</v>
      </c>
      <c r="T11623" t="s">
        <v>45160</v>
      </c>
      <c r="U11623" t="s">
        <v>54469</v>
      </c>
      <c r="V11623" t="s">
        <v>58119</v>
      </c>
      <c r="W11623" t="s">
        <v>42113</v>
      </c>
      <c r="X11623" t="s">
        <v>43182</v>
      </c>
    </row>
    <row r="11624" spans="1:24">
      <c r="A11624">
        <f>HYPERLINK("https://www.philgeps.gov.ph/GEPSNONPILOT/Tender/SplashBidNoticeAbstractUI.aspx?menuIndex=3&amp;refID=7060635&amp;Result=3","7060635")</f>
        <v>0</v>
      </c>
      <c r="B11624" t="s">
        <v>3153</v>
      </c>
      <c r="C11624" t="s">
        <v>14512</v>
      </c>
      <c r="D11624" t="s">
        <v>17427</v>
      </c>
      <c r="E11624" t="s">
        <v>27457</v>
      </c>
      <c r="F11624" t="s">
        <v>30052</v>
      </c>
      <c r="G11624" t="s">
        <v>30058</v>
      </c>
      <c r="H11624" t="s">
        <v>30068</v>
      </c>
      <c r="I11624" t="s">
        <v>30068</v>
      </c>
      <c r="J11624" t="s">
        <v>30532</v>
      </c>
      <c r="K11624" t="s">
        <v>39026</v>
      </c>
      <c r="M11624" t="s">
        <v>42758</v>
      </c>
      <c r="N11624" t="s">
        <v>43166</v>
      </c>
      <c r="O11624" t="s">
        <v>43167</v>
      </c>
      <c r="P11624">
        <v>0</v>
      </c>
      <c r="Q11624">
        <v>7</v>
      </c>
      <c r="R11624" t="s">
        <v>43181</v>
      </c>
      <c r="S11624" t="s">
        <v>43729</v>
      </c>
      <c r="T11624" t="s">
        <v>44934</v>
      </c>
      <c r="U11624" t="s">
        <v>54481</v>
      </c>
      <c r="W11624" t="s">
        <v>42758</v>
      </c>
      <c r="X11624" t="s">
        <v>43182</v>
      </c>
    </row>
    <row r="11625" spans="1:24">
      <c r="A11625">
        <f>HYPERLINK("https://www.philgeps.gov.ph/GEPSNONPILOT/Tender/SplashBidNoticeAbstractUI.aspx?menuIndex=3&amp;refID=7060628&amp;Result=3","7060628")</f>
        <v>0</v>
      </c>
      <c r="B11625" t="s">
        <v>2197</v>
      </c>
      <c r="C11625" t="s">
        <v>14513</v>
      </c>
      <c r="D11625" t="s">
        <v>17444</v>
      </c>
      <c r="E11625" t="s">
        <v>27458</v>
      </c>
      <c r="F11625" t="s">
        <v>30055</v>
      </c>
      <c r="G11625" t="s">
        <v>30058</v>
      </c>
      <c r="H11625" t="s">
        <v>30069</v>
      </c>
      <c r="I11625" t="s">
        <v>30149</v>
      </c>
      <c r="J11625" t="s">
        <v>37303</v>
      </c>
      <c r="K11625" t="s">
        <v>39046</v>
      </c>
      <c r="M11625" t="s">
        <v>41666</v>
      </c>
      <c r="N11625" t="s">
        <v>43166</v>
      </c>
      <c r="O11625" t="s">
        <v>43167</v>
      </c>
      <c r="P11625">
        <v>0</v>
      </c>
      <c r="Q11625">
        <v>0</v>
      </c>
      <c r="R11625" t="s">
        <v>43181</v>
      </c>
      <c r="S11625" t="s">
        <v>43729</v>
      </c>
      <c r="T11625" t="s">
        <v>44737</v>
      </c>
      <c r="U11625" t="s">
        <v>54482</v>
      </c>
      <c r="V11625" t="s">
        <v>58120</v>
      </c>
      <c r="W11625" t="s">
        <v>41666</v>
      </c>
      <c r="X11625" t="s">
        <v>43182</v>
      </c>
    </row>
    <row r="11626" spans="1:24">
      <c r="A11626">
        <f>HYPERLINK("https://www.philgeps.gov.ph/GEPSNONPILOT/Tender/SplashBidNoticeAbstractUI.aspx?menuIndex=3&amp;refID=7060619&amp;Result=3","7060619")</f>
        <v>0</v>
      </c>
      <c r="B11626" t="s">
        <v>2885</v>
      </c>
      <c r="C11626" t="s">
        <v>14514</v>
      </c>
      <c r="E11626" t="s">
        <v>25360</v>
      </c>
      <c r="F11626" t="s">
        <v>30052</v>
      </c>
      <c r="G11626" t="s">
        <v>30058</v>
      </c>
      <c r="H11626" t="s">
        <v>15498</v>
      </c>
      <c r="I11626" t="s">
        <v>30084</v>
      </c>
      <c r="J11626" t="s">
        <v>37304</v>
      </c>
      <c r="K11626" t="s">
        <v>39025</v>
      </c>
      <c r="M11626" t="s">
        <v>42436</v>
      </c>
      <c r="N11626" t="s">
        <v>43166</v>
      </c>
      <c r="O11626" t="s">
        <v>43167</v>
      </c>
      <c r="Q11626">
        <v>23</v>
      </c>
      <c r="R11626" t="s">
        <v>43181</v>
      </c>
      <c r="S11626" t="s">
        <v>43456</v>
      </c>
      <c r="T11626" t="s">
        <v>44681</v>
      </c>
      <c r="U11626" t="s">
        <v>54483</v>
      </c>
      <c r="W11626" t="s">
        <v>42436</v>
      </c>
      <c r="X11626" t="s">
        <v>43182</v>
      </c>
    </row>
    <row r="11627" spans="1:24">
      <c r="A11627">
        <f>HYPERLINK("https://www.philgeps.gov.ph/GEPSNONPILOT/Tender/SplashBidNoticeAbstractUI.aspx?menuIndex=3&amp;refID=7060363&amp;Result=3","7060363")</f>
        <v>0</v>
      </c>
      <c r="B11627" t="s">
        <v>810</v>
      </c>
      <c r="C11627" t="s">
        <v>14515</v>
      </c>
      <c r="D11627" t="s">
        <v>17458</v>
      </c>
      <c r="E11627" t="s">
        <v>27459</v>
      </c>
      <c r="F11627" t="s">
        <v>30052</v>
      </c>
      <c r="G11627" t="s">
        <v>30058</v>
      </c>
      <c r="H11627" t="s">
        <v>15498</v>
      </c>
      <c r="I11627" t="s">
        <v>30073</v>
      </c>
      <c r="J11627" t="s">
        <v>37305</v>
      </c>
      <c r="K11627" t="s">
        <v>39025</v>
      </c>
      <c r="M11627" t="s">
        <v>42733</v>
      </c>
      <c r="N11627" t="s">
        <v>43166</v>
      </c>
      <c r="O11627" t="s">
        <v>43167</v>
      </c>
      <c r="Q11627">
        <v>6</v>
      </c>
      <c r="R11627" t="s">
        <v>43181</v>
      </c>
      <c r="S11627" t="s">
        <v>43761</v>
      </c>
      <c r="T11627" t="s">
        <v>44968</v>
      </c>
      <c r="U11627" t="s">
        <v>54484</v>
      </c>
      <c r="W11627" t="s">
        <v>42733</v>
      </c>
      <c r="X11627" t="s">
        <v>43182</v>
      </c>
    </row>
    <row r="11628" spans="1:24">
      <c r="A11628">
        <f>HYPERLINK("https://www.philgeps.gov.ph/GEPSNONPILOT/Tender/SplashBidNoticeAbstractUI.aspx?menuIndex=3&amp;refID=7060616&amp;Result=3","7060616")</f>
        <v>0</v>
      </c>
      <c r="B11628" t="s">
        <v>623</v>
      </c>
      <c r="C11628" t="s">
        <v>14516</v>
      </c>
      <c r="D11628" t="s">
        <v>17449</v>
      </c>
      <c r="E11628" t="s">
        <v>27460</v>
      </c>
      <c r="F11628" t="s">
        <v>30052</v>
      </c>
      <c r="G11628" t="s">
        <v>30058</v>
      </c>
      <c r="H11628" t="s">
        <v>30067</v>
      </c>
      <c r="I11628" t="s">
        <v>3693</v>
      </c>
      <c r="J11628" t="s">
        <v>37306</v>
      </c>
      <c r="K11628" t="s">
        <v>39092</v>
      </c>
      <c r="M11628" t="s">
        <v>40445</v>
      </c>
      <c r="N11628" t="s">
        <v>43166</v>
      </c>
      <c r="O11628" t="s">
        <v>43167</v>
      </c>
      <c r="P11628">
        <v>0</v>
      </c>
      <c r="Q11628">
        <v>0</v>
      </c>
      <c r="R11628" t="s">
        <v>43181</v>
      </c>
      <c r="S11628" t="s">
        <v>43729</v>
      </c>
      <c r="T11628" t="s">
        <v>44741</v>
      </c>
      <c r="U11628" t="s">
        <v>52476</v>
      </c>
      <c r="W11628" t="s">
        <v>40445</v>
      </c>
      <c r="X11628" t="s">
        <v>43182</v>
      </c>
    </row>
    <row r="11629" spans="1:24">
      <c r="A11629">
        <f>HYPERLINK("https://www.philgeps.gov.ph/GEPSNONPILOT/Tender/SplashBidNoticeAbstractUI.aspx?menuIndex=3&amp;refID=7060656&amp;Result=3","7060656")</f>
        <v>0</v>
      </c>
      <c r="B11629" t="s">
        <v>3154</v>
      </c>
      <c r="C11629" t="s">
        <v>14517</v>
      </c>
      <c r="D11629" t="s">
        <v>17494</v>
      </c>
      <c r="E11629" t="s">
        <v>27461</v>
      </c>
      <c r="F11629" t="s">
        <v>30052</v>
      </c>
      <c r="G11629" t="s">
        <v>30058</v>
      </c>
      <c r="H11629" t="s">
        <v>15498</v>
      </c>
      <c r="I11629" t="s">
        <v>30091</v>
      </c>
      <c r="J11629" t="s">
        <v>30397</v>
      </c>
      <c r="K11629" t="s">
        <v>39029</v>
      </c>
      <c r="M11629" t="s">
        <v>42759</v>
      </c>
      <c r="N11629" t="s">
        <v>43166</v>
      </c>
      <c r="O11629" t="s">
        <v>43167</v>
      </c>
      <c r="Q11629">
        <v>1</v>
      </c>
      <c r="R11629" t="s">
        <v>43181</v>
      </c>
      <c r="S11629" t="s">
        <v>43762</v>
      </c>
      <c r="T11629" t="s">
        <v>44730</v>
      </c>
      <c r="U11629" t="s">
        <v>54485</v>
      </c>
      <c r="V11629" t="s">
        <v>58121</v>
      </c>
      <c r="W11629" t="s">
        <v>42759</v>
      </c>
      <c r="X11629" t="s">
        <v>43182</v>
      </c>
    </row>
    <row r="11630" spans="1:24">
      <c r="A11630">
        <f>HYPERLINK("https://www.philgeps.gov.ph/GEPSNONPILOT/Tender/SplashBidNoticeAbstractUI.aspx?menuIndex=3&amp;refID=7060595&amp;Result=3","7060595")</f>
        <v>0</v>
      </c>
      <c r="B11630" t="s">
        <v>964</v>
      </c>
      <c r="C11630" t="s">
        <v>14518</v>
      </c>
      <c r="D11630" t="s">
        <v>17415</v>
      </c>
      <c r="E11630" t="s">
        <v>27462</v>
      </c>
      <c r="F11630" t="s">
        <v>30052</v>
      </c>
      <c r="G11630" t="s">
        <v>30058</v>
      </c>
      <c r="H11630" t="s">
        <v>15498</v>
      </c>
      <c r="I11630" t="s">
        <v>30071</v>
      </c>
      <c r="J11630" t="s">
        <v>37307</v>
      </c>
      <c r="K11630" t="s">
        <v>39019</v>
      </c>
      <c r="M11630" t="s">
        <v>42746</v>
      </c>
      <c r="N11630" t="s">
        <v>43166</v>
      </c>
      <c r="O11630" t="s">
        <v>43167</v>
      </c>
      <c r="P11630">
        <v>0</v>
      </c>
      <c r="Q11630">
        <v>8</v>
      </c>
      <c r="R11630" t="s">
        <v>43181</v>
      </c>
      <c r="S11630" t="s">
        <v>43729</v>
      </c>
      <c r="T11630" t="s">
        <v>44762</v>
      </c>
      <c r="U11630" t="s">
        <v>54486</v>
      </c>
      <c r="W11630" t="s">
        <v>42746</v>
      </c>
      <c r="X11630" t="s">
        <v>43182</v>
      </c>
    </row>
    <row r="11631" spans="1:24">
      <c r="A11631">
        <f>HYPERLINK("https://www.philgeps.gov.ph/GEPSNONPILOT/Tender/SplashBidNoticeAbstractUI.aspx?menuIndex=3&amp;refID=7060626&amp;Result=3","7060626")</f>
        <v>0</v>
      </c>
      <c r="B11631" t="s">
        <v>1736</v>
      </c>
      <c r="C11631" t="s">
        <v>14519</v>
      </c>
      <c r="D11631" t="s">
        <v>17444</v>
      </c>
      <c r="E11631" t="s">
        <v>27463</v>
      </c>
      <c r="F11631" t="s">
        <v>30052</v>
      </c>
      <c r="G11631" t="s">
        <v>30058</v>
      </c>
      <c r="H11631" t="s">
        <v>15498</v>
      </c>
      <c r="I11631" t="s">
        <v>4119</v>
      </c>
      <c r="J11631" t="s">
        <v>37308</v>
      </c>
      <c r="K11631" t="s">
        <v>39034</v>
      </c>
      <c r="M11631" t="s">
        <v>41153</v>
      </c>
      <c r="N11631" t="s">
        <v>43166</v>
      </c>
      <c r="O11631" t="s">
        <v>43167</v>
      </c>
      <c r="P11631">
        <v>0</v>
      </c>
      <c r="Q11631">
        <v>2</v>
      </c>
      <c r="R11631" t="s">
        <v>43181</v>
      </c>
      <c r="S11631" t="s">
        <v>43729</v>
      </c>
      <c r="T11631" t="s">
        <v>44750</v>
      </c>
      <c r="U11631" t="s">
        <v>54487</v>
      </c>
      <c r="W11631" t="s">
        <v>41153</v>
      </c>
      <c r="X11631" t="s">
        <v>43182</v>
      </c>
    </row>
    <row r="11632" spans="1:24">
      <c r="A11632">
        <f>HYPERLINK("https://www.philgeps.gov.ph/GEPSNONPILOT/Tender/SplashBidNoticeAbstractUI.aspx?menuIndex=3&amp;refID=7060623&amp;Result=3","7060623")</f>
        <v>0</v>
      </c>
      <c r="B11632" t="s">
        <v>3149</v>
      </c>
      <c r="C11632" t="s">
        <v>14520</v>
      </c>
      <c r="D11632" t="s">
        <v>17415</v>
      </c>
      <c r="E11632" t="s">
        <v>27464</v>
      </c>
      <c r="F11632" t="s">
        <v>30052</v>
      </c>
      <c r="G11632" t="s">
        <v>30058</v>
      </c>
      <c r="H11632" t="s">
        <v>15498</v>
      </c>
      <c r="I11632" t="s">
        <v>3606</v>
      </c>
      <c r="J11632" t="s">
        <v>37309</v>
      </c>
      <c r="K11632" t="s">
        <v>39025</v>
      </c>
      <c r="M11632" t="s">
        <v>42754</v>
      </c>
      <c r="N11632" t="s">
        <v>43166</v>
      </c>
      <c r="O11632" t="s">
        <v>43167</v>
      </c>
      <c r="P11632">
        <v>0</v>
      </c>
      <c r="Q11632">
        <v>3</v>
      </c>
      <c r="R11632" t="s">
        <v>43181</v>
      </c>
      <c r="S11632" t="s">
        <v>43729</v>
      </c>
      <c r="T11632" t="s">
        <v>44724</v>
      </c>
      <c r="U11632" t="s">
        <v>54488</v>
      </c>
      <c r="W11632" t="s">
        <v>42754</v>
      </c>
      <c r="X11632" t="s">
        <v>43182</v>
      </c>
    </row>
    <row r="11633" spans="1:24">
      <c r="A11633">
        <f>HYPERLINK("https://www.philgeps.gov.ph/GEPSNONPILOT/Tender/SplashBidNoticeAbstractUI.aspx?menuIndex=3&amp;refID=7060441&amp;Result=3","7060441")</f>
        <v>0</v>
      </c>
      <c r="B11633" t="s">
        <v>810</v>
      </c>
      <c r="C11633" t="s">
        <v>14521</v>
      </c>
      <c r="D11633" t="s">
        <v>17458</v>
      </c>
      <c r="E11633" t="s">
        <v>27465</v>
      </c>
      <c r="F11633" t="s">
        <v>30052</v>
      </c>
      <c r="G11633" t="s">
        <v>30058</v>
      </c>
      <c r="H11633" t="s">
        <v>15498</v>
      </c>
      <c r="I11633" t="s">
        <v>30120</v>
      </c>
      <c r="J11633" t="s">
        <v>37310</v>
      </c>
      <c r="K11633" t="s">
        <v>39025</v>
      </c>
      <c r="M11633" t="s">
        <v>42733</v>
      </c>
      <c r="N11633" t="s">
        <v>43166</v>
      </c>
      <c r="O11633" t="s">
        <v>43167</v>
      </c>
      <c r="Q11633">
        <v>5</v>
      </c>
      <c r="R11633" t="s">
        <v>43181</v>
      </c>
      <c r="S11633" t="s">
        <v>43763</v>
      </c>
      <c r="T11633" t="s">
        <v>44968</v>
      </c>
      <c r="U11633" t="s">
        <v>54489</v>
      </c>
      <c r="W11633" t="s">
        <v>42733</v>
      </c>
      <c r="X11633" t="s">
        <v>43182</v>
      </c>
    </row>
    <row r="11634" spans="1:24">
      <c r="A11634">
        <f>HYPERLINK("https://www.philgeps.gov.ph/GEPSNONPILOT/Tender/SplashBidNoticeAbstractUI.aspx?menuIndex=3&amp;refID=7060433&amp;Result=3","7060433")</f>
        <v>0</v>
      </c>
      <c r="B11634" t="s">
        <v>964</v>
      </c>
      <c r="C11634" t="s">
        <v>14522</v>
      </c>
      <c r="D11634" t="s">
        <v>17415</v>
      </c>
      <c r="E11634" t="s">
        <v>27466</v>
      </c>
      <c r="F11634" t="s">
        <v>30052</v>
      </c>
      <c r="G11634" t="s">
        <v>30058</v>
      </c>
      <c r="H11634" t="s">
        <v>15498</v>
      </c>
      <c r="I11634" t="s">
        <v>30071</v>
      </c>
      <c r="J11634" t="s">
        <v>37311</v>
      </c>
      <c r="K11634" t="s">
        <v>39019</v>
      </c>
      <c r="M11634" t="s">
        <v>42746</v>
      </c>
      <c r="N11634" t="s">
        <v>43166</v>
      </c>
      <c r="O11634" t="s">
        <v>43167</v>
      </c>
      <c r="P11634">
        <v>0</v>
      </c>
      <c r="Q11634">
        <v>8</v>
      </c>
      <c r="R11634" t="s">
        <v>43181</v>
      </c>
      <c r="S11634" t="s">
        <v>43729</v>
      </c>
      <c r="T11634" t="s">
        <v>44762</v>
      </c>
      <c r="U11634" t="s">
        <v>54490</v>
      </c>
      <c r="W11634" t="s">
        <v>42746</v>
      </c>
      <c r="X11634" t="s">
        <v>43182</v>
      </c>
    </row>
    <row r="11635" spans="1:24">
      <c r="A11635">
        <f>HYPERLINK("https://www.philgeps.gov.ph/GEPSNONPILOT/Tender/SplashBidNoticeAbstractUI.aspx?menuIndex=3&amp;refID=7060609&amp;Result=3","7060609")</f>
        <v>0</v>
      </c>
      <c r="B11635" t="s">
        <v>3149</v>
      </c>
      <c r="C11635" t="s">
        <v>14523</v>
      </c>
      <c r="D11635" t="s">
        <v>17415</v>
      </c>
      <c r="E11635" t="s">
        <v>27467</v>
      </c>
      <c r="F11635" t="s">
        <v>30052</v>
      </c>
      <c r="G11635" t="s">
        <v>30058</v>
      </c>
      <c r="H11635" t="s">
        <v>15498</v>
      </c>
      <c r="I11635" t="s">
        <v>30076</v>
      </c>
      <c r="J11635" t="s">
        <v>31276</v>
      </c>
      <c r="K11635" t="s">
        <v>39025</v>
      </c>
      <c r="M11635" t="s">
        <v>42754</v>
      </c>
      <c r="N11635" t="s">
        <v>43166</v>
      </c>
      <c r="O11635" t="s">
        <v>43167</v>
      </c>
      <c r="P11635">
        <v>0</v>
      </c>
      <c r="Q11635">
        <v>4</v>
      </c>
      <c r="R11635" t="s">
        <v>43181</v>
      </c>
      <c r="S11635" t="s">
        <v>43729</v>
      </c>
      <c r="T11635" t="s">
        <v>44724</v>
      </c>
      <c r="U11635" t="s">
        <v>54491</v>
      </c>
      <c r="W11635" t="s">
        <v>42754</v>
      </c>
      <c r="X11635" t="s">
        <v>43182</v>
      </c>
    </row>
    <row r="11636" spans="1:24">
      <c r="A11636">
        <f>HYPERLINK("https://www.philgeps.gov.ph/GEPSNONPILOT/Tender/SplashBidNoticeAbstractUI.aspx?menuIndex=3&amp;refID=7060357&amp;Result=3","7060357")</f>
        <v>0</v>
      </c>
      <c r="B11636" t="s">
        <v>3142</v>
      </c>
      <c r="C11636" t="s">
        <v>14524</v>
      </c>
      <c r="D11636" t="s">
        <v>17422</v>
      </c>
      <c r="E11636" t="s">
        <v>27468</v>
      </c>
      <c r="F11636" t="s">
        <v>30052</v>
      </c>
      <c r="G11636" t="s">
        <v>30058</v>
      </c>
      <c r="H11636" t="s">
        <v>30067</v>
      </c>
      <c r="I11636" t="s">
        <v>6304</v>
      </c>
      <c r="J11636" t="s">
        <v>37312</v>
      </c>
      <c r="K11636" t="s">
        <v>39025</v>
      </c>
      <c r="M11636" t="s">
        <v>42745</v>
      </c>
      <c r="N11636" t="s">
        <v>43166</v>
      </c>
      <c r="O11636" t="s">
        <v>43167</v>
      </c>
      <c r="P11636">
        <v>0</v>
      </c>
      <c r="Q11636">
        <v>3</v>
      </c>
      <c r="R11636" t="s">
        <v>43181</v>
      </c>
      <c r="S11636" t="s">
        <v>43729</v>
      </c>
      <c r="T11636" t="s">
        <v>44753</v>
      </c>
      <c r="U11636" t="s">
        <v>54492</v>
      </c>
      <c r="V11636" t="s">
        <v>58114</v>
      </c>
      <c r="W11636" t="s">
        <v>42745</v>
      </c>
      <c r="X11636" t="s">
        <v>43182</v>
      </c>
    </row>
    <row r="11637" spans="1:24">
      <c r="A11637">
        <f>HYPERLINK("https://www.philgeps.gov.ph/GEPSNONPILOT/Tender/SplashBidNoticeAbstractUI.aspx?menuIndex=3&amp;refID=7060349&amp;Result=3","7060349")</f>
        <v>0</v>
      </c>
      <c r="B11637" t="s">
        <v>3155</v>
      </c>
      <c r="C11637" t="s">
        <v>14525</v>
      </c>
      <c r="D11637" t="s">
        <v>17425</v>
      </c>
      <c r="E11637" t="s">
        <v>27469</v>
      </c>
      <c r="F11637" t="s">
        <v>30052</v>
      </c>
      <c r="G11637" t="s">
        <v>30058</v>
      </c>
      <c r="H11637" t="s">
        <v>15498</v>
      </c>
      <c r="I11637" t="s">
        <v>30071</v>
      </c>
      <c r="J11637" t="s">
        <v>37313</v>
      </c>
      <c r="K11637" t="s">
        <v>39046</v>
      </c>
      <c r="M11637" t="s">
        <v>42760</v>
      </c>
      <c r="N11637" t="s">
        <v>43166</v>
      </c>
      <c r="O11637" t="s">
        <v>43167</v>
      </c>
      <c r="P11637">
        <v>0</v>
      </c>
      <c r="Q11637">
        <v>1</v>
      </c>
      <c r="R11637" t="s">
        <v>43181</v>
      </c>
      <c r="S11637" t="s">
        <v>43729</v>
      </c>
      <c r="T11637" t="s">
        <v>44681</v>
      </c>
      <c r="U11637" t="s">
        <v>54493</v>
      </c>
      <c r="W11637" t="s">
        <v>42760</v>
      </c>
      <c r="X11637" t="s">
        <v>43182</v>
      </c>
    </row>
    <row r="11638" spans="1:24">
      <c r="A11638">
        <f>HYPERLINK("https://www.philgeps.gov.ph/GEPSNONPILOT/Tender/SplashBidNoticeAbstractUI.aspx?menuIndex=3&amp;refID=7060431&amp;Result=3","7060431")</f>
        <v>0</v>
      </c>
      <c r="B11638" t="s">
        <v>1736</v>
      </c>
      <c r="C11638" t="s">
        <v>3736</v>
      </c>
      <c r="D11638" t="s">
        <v>17444</v>
      </c>
      <c r="E11638" t="s">
        <v>27470</v>
      </c>
      <c r="F11638" t="s">
        <v>30052</v>
      </c>
      <c r="G11638" t="s">
        <v>30058</v>
      </c>
      <c r="H11638" t="s">
        <v>30067</v>
      </c>
      <c r="I11638" t="s">
        <v>3736</v>
      </c>
      <c r="J11638" t="s">
        <v>37314</v>
      </c>
      <c r="K11638" t="s">
        <v>39034</v>
      </c>
      <c r="M11638" t="s">
        <v>41153</v>
      </c>
      <c r="N11638" t="s">
        <v>43166</v>
      </c>
      <c r="O11638" t="s">
        <v>43167</v>
      </c>
      <c r="P11638">
        <v>0</v>
      </c>
      <c r="Q11638">
        <v>0</v>
      </c>
      <c r="R11638" t="s">
        <v>43181</v>
      </c>
      <c r="S11638" t="s">
        <v>43729</v>
      </c>
      <c r="T11638" t="s">
        <v>44750</v>
      </c>
      <c r="U11638" t="s">
        <v>54494</v>
      </c>
      <c r="W11638" t="s">
        <v>41153</v>
      </c>
      <c r="X11638" t="s">
        <v>43182</v>
      </c>
    </row>
    <row r="11639" spans="1:24">
      <c r="A11639">
        <f>HYPERLINK("https://www.philgeps.gov.ph/GEPSNONPILOT/Tender/SplashBidNoticeAbstractUI.aspx?menuIndex=3&amp;refID=7060330&amp;Result=3","7060330")</f>
        <v>0</v>
      </c>
      <c r="B11639" t="s">
        <v>2583</v>
      </c>
      <c r="C11639" t="s">
        <v>14526</v>
      </c>
      <c r="D11639" t="s">
        <v>17426</v>
      </c>
      <c r="E11639" t="s">
        <v>27471</v>
      </c>
      <c r="F11639" t="s">
        <v>30052</v>
      </c>
      <c r="G11639" t="s">
        <v>30058</v>
      </c>
      <c r="H11639" t="s">
        <v>30067</v>
      </c>
      <c r="I11639" t="s">
        <v>3693</v>
      </c>
      <c r="J11639" t="s">
        <v>30247</v>
      </c>
      <c r="K11639" t="s">
        <v>39023</v>
      </c>
      <c r="M11639" t="s">
        <v>42094</v>
      </c>
      <c r="N11639" t="s">
        <v>43166</v>
      </c>
      <c r="O11639" t="s">
        <v>43167</v>
      </c>
      <c r="P11639">
        <v>0</v>
      </c>
      <c r="Q11639">
        <v>1</v>
      </c>
      <c r="R11639" t="s">
        <v>43181</v>
      </c>
      <c r="S11639" t="s">
        <v>43729</v>
      </c>
      <c r="T11639" t="s">
        <v>44724</v>
      </c>
      <c r="U11639" t="s">
        <v>54495</v>
      </c>
      <c r="W11639" t="s">
        <v>42094</v>
      </c>
      <c r="X11639" t="s">
        <v>43182</v>
      </c>
    </row>
    <row r="11640" spans="1:24">
      <c r="A11640">
        <f>HYPERLINK("https://www.philgeps.gov.ph/GEPSNONPILOT/Tender/SplashBidNoticeAbstractUI.aspx?menuIndex=3&amp;refID=7060342&amp;Result=3","7060342")</f>
        <v>0</v>
      </c>
      <c r="B11640" t="s">
        <v>3132</v>
      </c>
      <c r="C11640" t="s">
        <v>14527</v>
      </c>
      <c r="D11640" t="s">
        <v>17422</v>
      </c>
      <c r="E11640" t="s">
        <v>27472</v>
      </c>
      <c r="F11640" t="s">
        <v>30052</v>
      </c>
      <c r="G11640" t="s">
        <v>30058</v>
      </c>
      <c r="H11640" t="s">
        <v>15498</v>
      </c>
      <c r="I11640" t="s">
        <v>3736</v>
      </c>
      <c r="J11640" t="s">
        <v>37315</v>
      </c>
      <c r="K11640" t="s">
        <v>39034</v>
      </c>
      <c r="M11640" t="s">
        <v>42734</v>
      </c>
      <c r="N11640" t="s">
        <v>43166</v>
      </c>
      <c r="O11640" t="s">
        <v>43167</v>
      </c>
      <c r="P11640">
        <v>0</v>
      </c>
      <c r="Q11640">
        <v>0</v>
      </c>
      <c r="R11640" t="s">
        <v>43181</v>
      </c>
      <c r="S11640" t="s">
        <v>43729</v>
      </c>
      <c r="T11640" t="s">
        <v>44681</v>
      </c>
      <c r="U11640" t="s">
        <v>54496</v>
      </c>
      <c r="V11640" t="s">
        <v>58108</v>
      </c>
      <c r="W11640" t="s">
        <v>42734</v>
      </c>
      <c r="X11640" t="s">
        <v>43182</v>
      </c>
    </row>
    <row r="11641" spans="1:24">
      <c r="A11641">
        <f>HYPERLINK("https://www.philgeps.gov.ph/GEPSNONPILOT/Tender/SplashBidNoticeAbstractUI.aspx?menuIndex=3&amp;refID=7060306&amp;Result=3","7060306")</f>
        <v>0</v>
      </c>
      <c r="B11641" t="s">
        <v>810</v>
      </c>
      <c r="C11641" t="s">
        <v>14528</v>
      </c>
      <c r="D11641" t="s">
        <v>17458</v>
      </c>
      <c r="E11641" t="s">
        <v>27473</v>
      </c>
      <c r="F11641" t="s">
        <v>30052</v>
      </c>
      <c r="G11641" t="s">
        <v>30058</v>
      </c>
      <c r="H11641" t="s">
        <v>15498</v>
      </c>
      <c r="I11641" t="s">
        <v>3736</v>
      </c>
      <c r="J11641" t="s">
        <v>37316</v>
      </c>
      <c r="K11641" t="s">
        <v>39025</v>
      </c>
      <c r="M11641" t="s">
        <v>42733</v>
      </c>
      <c r="N11641" t="s">
        <v>43166</v>
      </c>
      <c r="O11641" t="s">
        <v>43167</v>
      </c>
      <c r="Q11641">
        <v>2</v>
      </c>
      <c r="R11641" t="s">
        <v>43181</v>
      </c>
      <c r="S11641" t="s">
        <v>43764</v>
      </c>
      <c r="T11641" t="s">
        <v>44968</v>
      </c>
      <c r="U11641" t="s">
        <v>54497</v>
      </c>
      <c r="W11641" t="s">
        <v>42733</v>
      </c>
      <c r="X11641" t="s">
        <v>43182</v>
      </c>
    </row>
    <row r="11642" spans="1:24">
      <c r="A11642">
        <f>HYPERLINK("https://www.philgeps.gov.ph/GEPSNONPILOT/Tender/SplashBidNoticeAbstractUI.aspx?menuIndex=3&amp;refID=7060197&amp;Result=3","7060197")</f>
        <v>0</v>
      </c>
      <c r="B11642" t="s">
        <v>2145</v>
      </c>
      <c r="C11642" t="s">
        <v>14529</v>
      </c>
      <c r="D11642" t="s">
        <v>17414</v>
      </c>
      <c r="E11642" t="s">
        <v>27474</v>
      </c>
      <c r="F11642" t="s">
        <v>30052</v>
      </c>
      <c r="G11642" t="s">
        <v>30058</v>
      </c>
      <c r="H11642" t="s">
        <v>15498</v>
      </c>
      <c r="I11642" t="s">
        <v>4119</v>
      </c>
      <c r="J11642" t="s">
        <v>37317</v>
      </c>
      <c r="K11642" t="s">
        <v>39029</v>
      </c>
      <c r="M11642" t="s">
        <v>41609</v>
      </c>
      <c r="N11642" t="s">
        <v>43166</v>
      </c>
      <c r="O11642" t="s">
        <v>43167</v>
      </c>
      <c r="P11642">
        <v>0</v>
      </c>
      <c r="Q11642">
        <v>3</v>
      </c>
      <c r="R11642" t="s">
        <v>43181</v>
      </c>
      <c r="S11642" t="s">
        <v>43729</v>
      </c>
      <c r="T11642" t="s">
        <v>44733</v>
      </c>
      <c r="U11642" t="s">
        <v>54498</v>
      </c>
      <c r="W11642" t="s">
        <v>41609</v>
      </c>
      <c r="X11642" t="s">
        <v>43182</v>
      </c>
    </row>
    <row r="11643" spans="1:24">
      <c r="A11643">
        <f>HYPERLINK("https://www.philgeps.gov.ph/GEPSNONPILOT/Tender/SplashBidNoticeAbstractUI.aspx?menuIndex=3&amp;refID=7060187&amp;Result=3","7060187")</f>
        <v>0</v>
      </c>
      <c r="B11643" t="s">
        <v>810</v>
      </c>
      <c r="C11643" t="s">
        <v>14530</v>
      </c>
      <c r="D11643" t="s">
        <v>17458</v>
      </c>
      <c r="E11643" t="s">
        <v>27475</v>
      </c>
      <c r="F11643" t="s">
        <v>30052</v>
      </c>
      <c r="G11643" t="s">
        <v>30058</v>
      </c>
      <c r="H11643" t="s">
        <v>15498</v>
      </c>
      <c r="I11643" t="s">
        <v>30098</v>
      </c>
      <c r="J11643" t="s">
        <v>37318</v>
      </c>
      <c r="K11643" t="s">
        <v>39025</v>
      </c>
      <c r="M11643" t="s">
        <v>42733</v>
      </c>
      <c r="N11643" t="s">
        <v>43166</v>
      </c>
      <c r="O11643" t="s">
        <v>43167</v>
      </c>
      <c r="Q11643">
        <v>9</v>
      </c>
      <c r="R11643" t="s">
        <v>43181</v>
      </c>
      <c r="S11643" t="s">
        <v>43765</v>
      </c>
      <c r="T11643" t="s">
        <v>44968</v>
      </c>
      <c r="U11643" t="s">
        <v>54499</v>
      </c>
      <c r="W11643" t="s">
        <v>42733</v>
      </c>
      <c r="X11643" t="s">
        <v>43182</v>
      </c>
    </row>
    <row r="11644" spans="1:24">
      <c r="A11644">
        <f>HYPERLINK("https://www.philgeps.gov.ph/GEPSNONPILOT/Tender/SplashBidNoticeAbstractUI.aspx?menuIndex=3&amp;refID=7060446&amp;Result=3","7060446")</f>
        <v>0</v>
      </c>
      <c r="B11644" t="s">
        <v>138</v>
      </c>
      <c r="C11644" t="s">
        <v>14531</v>
      </c>
      <c r="D11644" t="s">
        <v>17422</v>
      </c>
      <c r="E11644" t="s">
        <v>27476</v>
      </c>
      <c r="F11644" t="s">
        <v>30052</v>
      </c>
      <c r="G11644" t="s">
        <v>30058</v>
      </c>
      <c r="H11644" t="s">
        <v>15498</v>
      </c>
      <c r="I11644" t="s">
        <v>30144</v>
      </c>
      <c r="J11644" t="s">
        <v>31564</v>
      </c>
      <c r="K11644" t="s">
        <v>39031</v>
      </c>
      <c r="M11644" t="s">
        <v>41707</v>
      </c>
      <c r="N11644" t="s">
        <v>43166</v>
      </c>
      <c r="O11644" t="s">
        <v>43167</v>
      </c>
      <c r="P11644">
        <v>0</v>
      </c>
      <c r="Q11644">
        <v>0</v>
      </c>
      <c r="R11644" t="s">
        <v>43181</v>
      </c>
      <c r="S11644" t="s">
        <v>43729</v>
      </c>
      <c r="T11644" t="s">
        <v>44689</v>
      </c>
      <c r="U11644" t="s">
        <v>54500</v>
      </c>
      <c r="W11644" t="s">
        <v>41707</v>
      </c>
      <c r="X11644" t="s">
        <v>43182</v>
      </c>
    </row>
    <row r="11645" spans="1:24">
      <c r="A11645">
        <f>HYPERLINK("https://www.philgeps.gov.ph/GEPSNONPILOT/Tender/SplashBidNoticeAbstractUI.aspx?menuIndex=3&amp;refID=7060182&amp;Result=3","7060182")</f>
        <v>0</v>
      </c>
      <c r="B11645" t="s">
        <v>3132</v>
      </c>
      <c r="C11645" t="s">
        <v>14532</v>
      </c>
      <c r="D11645" t="s">
        <v>17422</v>
      </c>
      <c r="E11645" t="s">
        <v>27477</v>
      </c>
      <c r="F11645" t="s">
        <v>30052</v>
      </c>
      <c r="G11645" t="s">
        <v>30058</v>
      </c>
      <c r="H11645" t="s">
        <v>15498</v>
      </c>
      <c r="I11645" t="s">
        <v>3736</v>
      </c>
      <c r="J11645" t="s">
        <v>37319</v>
      </c>
      <c r="K11645" t="s">
        <v>39034</v>
      </c>
      <c r="M11645" t="s">
        <v>42734</v>
      </c>
      <c r="N11645" t="s">
        <v>43166</v>
      </c>
      <c r="O11645" t="s">
        <v>43167</v>
      </c>
      <c r="P11645">
        <v>0</v>
      </c>
      <c r="Q11645">
        <v>0</v>
      </c>
      <c r="R11645" t="s">
        <v>43181</v>
      </c>
      <c r="S11645" t="s">
        <v>43729</v>
      </c>
      <c r="T11645" t="s">
        <v>44681</v>
      </c>
      <c r="U11645" t="s">
        <v>54501</v>
      </c>
      <c r="V11645" t="s">
        <v>58108</v>
      </c>
      <c r="W11645" t="s">
        <v>42734</v>
      </c>
      <c r="X11645" t="s">
        <v>43182</v>
      </c>
    </row>
    <row r="11646" spans="1:24">
      <c r="A11646">
        <f>HYPERLINK("https://www.philgeps.gov.ph/GEPSNONPILOT/Tender/SplashBidNoticeAbstractUI.aspx?menuIndex=3&amp;refID=7060338&amp;Result=3","7060338")</f>
        <v>0</v>
      </c>
      <c r="B11646" t="s">
        <v>810</v>
      </c>
      <c r="C11646" t="s">
        <v>14533</v>
      </c>
      <c r="D11646" t="s">
        <v>17458</v>
      </c>
      <c r="E11646" t="s">
        <v>27478</v>
      </c>
      <c r="F11646" t="s">
        <v>30052</v>
      </c>
      <c r="G11646" t="s">
        <v>30058</v>
      </c>
      <c r="H11646" t="s">
        <v>15498</v>
      </c>
      <c r="I11646" t="s">
        <v>30089</v>
      </c>
      <c r="J11646" t="s">
        <v>37320</v>
      </c>
      <c r="K11646" t="s">
        <v>39025</v>
      </c>
      <c r="M11646" t="s">
        <v>42733</v>
      </c>
      <c r="N11646" t="s">
        <v>43166</v>
      </c>
      <c r="O11646" t="s">
        <v>43167</v>
      </c>
      <c r="Q11646">
        <v>7</v>
      </c>
      <c r="R11646" t="s">
        <v>43181</v>
      </c>
      <c r="S11646" t="s">
        <v>43766</v>
      </c>
      <c r="T11646" t="s">
        <v>44968</v>
      </c>
      <c r="U11646" t="s">
        <v>54502</v>
      </c>
      <c r="W11646" t="s">
        <v>42733</v>
      </c>
      <c r="X11646" t="s">
        <v>43182</v>
      </c>
    </row>
    <row r="11647" spans="1:24">
      <c r="A11647">
        <f>HYPERLINK("https://www.philgeps.gov.ph/GEPSNONPILOT/Tender/SplashBidNoticeAbstractUI.aspx?menuIndex=3&amp;refID=7060167&amp;Result=3","7060167")</f>
        <v>0</v>
      </c>
      <c r="B11647" t="s">
        <v>3156</v>
      </c>
      <c r="C11647" t="s">
        <v>14412</v>
      </c>
      <c r="D11647" t="s">
        <v>17466</v>
      </c>
      <c r="E11647" t="s">
        <v>27479</v>
      </c>
      <c r="F11647" t="s">
        <v>30052</v>
      </c>
      <c r="G11647" t="s">
        <v>30058</v>
      </c>
      <c r="H11647" t="s">
        <v>15498</v>
      </c>
      <c r="I11647" t="s">
        <v>30070</v>
      </c>
      <c r="J11647" t="s">
        <v>31189</v>
      </c>
      <c r="K11647" t="s">
        <v>39039</v>
      </c>
      <c r="M11647" t="s">
        <v>42761</v>
      </c>
      <c r="N11647" t="s">
        <v>43166</v>
      </c>
      <c r="O11647" t="s">
        <v>43167</v>
      </c>
      <c r="P11647">
        <v>0</v>
      </c>
      <c r="Q11647">
        <v>3</v>
      </c>
      <c r="R11647" t="s">
        <v>43181</v>
      </c>
      <c r="S11647" t="s">
        <v>43729</v>
      </c>
      <c r="T11647" t="s">
        <v>44816</v>
      </c>
      <c r="U11647" t="s">
        <v>54503</v>
      </c>
      <c r="W11647" t="s">
        <v>42761</v>
      </c>
      <c r="X11647" t="s">
        <v>43182</v>
      </c>
    </row>
    <row r="11648" spans="1:24">
      <c r="A11648">
        <f>HYPERLINK("https://www.philgeps.gov.ph/GEPSNONPILOT/Tender/SplashBidNoticeAbstractUI.aspx?menuIndex=3&amp;refID=7059375&amp;Result=3","7059375")</f>
        <v>0</v>
      </c>
      <c r="B11648" t="s">
        <v>312</v>
      </c>
      <c r="C11648" t="s">
        <v>8196</v>
      </c>
      <c r="D11648" t="s">
        <v>17462</v>
      </c>
      <c r="E11648" t="s">
        <v>21845</v>
      </c>
      <c r="F11648" t="s">
        <v>30057</v>
      </c>
      <c r="G11648" t="s">
        <v>30058</v>
      </c>
      <c r="H11648" t="s">
        <v>15498</v>
      </c>
      <c r="I11648" t="s">
        <v>30098</v>
      </c>
      <c r="J11648" t="s">
        <v>33391</v>
      </c>
      <c r="K11648" t="s">
        <v>39029</v>
      </c>
      <c r="M11648" t="s">
        <v>39608</v>
      </c>
      <c r="N11648" t="s">
        <v>43166</v>
      </c>
      <c r="O11648" t="s">
        <v>43167</v>
      </c>
      <c r="P11648">
        <v>0</v>
      </c>
      <c r="Q11648">
        <v>4</v>
      </c>
      <c r="R11648" t="s">
        <v>43181</v>
      </c>
      <c r="S11648" t="s">
        <v>43729</v>
      </c>
      <c r="T11648" t="s">
        <v>44729</v>
      </c>
      <c r="U11648" t="s">
        <v>49272</v>
      </c>
      <c r="W11648" t="s">
        <v>39608</v>
      </c>
      <c r="X11648" t="s">
        <v>43182</v>
      </c>
    </row>
    <row r="11649" spans="1:24">
      <c r="A11649">
        <f>HYPERLINK("https://www.philgeps.gov.ph/GEPSNONPILOT/Tender/SplashBidNoticeAbstractUI.aspx?menuIndex=3&amp;refID=7059355&amp;Result=3","7059355")</f>
        <v>0</v>
      </c>
      <c r="B11649" t="s">
        <v>2622</v>
      </c>
      <c r="C11649" t="s">
        <v>14534</v>
      </c>
      <c r="D11649" t="s">
        <v>17416</v>
      </c>
      <c r="E11649" t="s">
        <v>25386</v>
      </c>
      <c r="F11649" t="s">
        <v>30052</v>
      </c>
      <c r="G11649" t="s">
        <v>30058</v>
      </c>
      <c r="H11649" t="s">
        <v>30067</v>
      </c>
      <c r="I11649" t="s">
        <v>3693</v>
      </c>
      <c r="J11649" t="s">
        <v>37321</v>
      </c>
      <c r="K11649" t="s">
        <v>39079</v>
      </c>
      <c r="M11649" t="s">
        <v>42135</v>
      </c>
      <c r="N11649" t="s">
        <v>43166</v>
      </c>
      <c r="O11649" t="s">
        <v>43167</v>
      </c>
      <c r="P11649">
        <v>0</v>
      </c>
      <c r="Q11649">
        <v>1</v>
      </c>
      <c r="R11649" t="s">
        <v>43181</v>
      </c>
      <c r="S11649" t="s">
        <v>43729</v>
      </c>
      <c r="T11649" t="s">
        <v>45028</v>
      </c>
      <c r="U11649" t="s">
        <v>54504</v>
      </c>
      <c r="W11649" t="s">
        <v>58682</v>
      </c>
      <c r="X11649" t="s">
        <v>43182</v>
      </c>
    </row>
    <row r="11650" spans="1:24">
      <c r="A11650">
        <f>HYPERLINK("https://www.philgeps.gov.ph/GEPSNONPILOT/Tender/SplashBidNoticeAbstractUI.aspx?menuIndex=3&amp;refID=7060725&amp;Result=3","7060725")</f>
        <v>0</v>
      </c>
      <c r="B11650" t="s">
        <v>3149</v>
      </c>
      <c r="C11650" t="s">
        <v>14535</v>
      </c>
      <c r="D11650" t="s">
        <v>17415</v>
      </c>
      <c r="E11650" t="s">
        <v>27480</v>
      </c>
      <c r="F11650" t="s">
        <v>30052</v>
      </c>
      <c r="G11650" t="s">
        <v>30058</v>
      </c>
      <c r="H11650" t="s">
        <v>15498</v>
      </c>
      <c r="I11650" t="s">
        <v>30077</v>
      </c>
      <c r="J11650" t="s">
        <v>37322</v>
      </c>
      <c r="K11650" t="s">
        <v>39025</v>
      </c>
      <c r="M11650" t="s">
        <v>42754</v>
      </c>
      <c r="N11650" t="s">
        <v>43166</v>
      </c>
      <c r="O11650" t="s">
        <v>43167</v>
      </c>
      <c r="P11650">
        <v>0</v>
      </c>
      <c r="Q11650">
        <v>23</v>
      </c>
      <c r="R11650" t="s">
        <v>43181</v>
      </c>
      <c r="S11650" t="s">
        <v>43729</v>
      </c>
      <c r="T11650" t="s">
        <v>44724</v>
      </c>
      <c r="U11650" t="s">
        <v>54505</v>
      </c>
      <c r="W11650" t="s">
        <v>42754</v>
      </c>
      <c r="X11650" t="s">
        <v>43182</v>
      </c>
    </row>
    <row r="11651" spans="1:24">
      <c r="A11651">
        <f>HYPERLINK("https://www.philgeps.gov.ph/GEPSNONPILOT/Tender/SplashBidNoticeAbstractUI.aspx?menuIndex=3&amp;refID=7060868&amp;Result=3","7060868")</f>
        <v>0</v>
      </c>
      <c r="B11651" t="s">
        <v>2602</v>
      </c>
      <c r="C11651" t="s">
        <v>14536</v>
      </c>
      <c r="D11651" t="s">
        <v>17473</v>
      </c>
      <c r="E11651" t="s">
        <v>27481</v>
      </c>
      <c r="F11651" t="s">
        <v>30052</v>
      </c>
      <c r="G11651" t="s">
        <v>30058</v>
      </c>
      <c r="H11651" t="s">
        <v>15498</v>
      </c>
      <c r="I11651" t="s">
        <v>3736</v>
      </c>
      <c r="J11651" t="s">
        <v>37323</v>
      </c>
      <c r="K11651" t="s">
        <v>39025</v>
      </c>
      <c r="M11651" t="s">
        <v>42113</v>
      </c>
      <c r="N11651" t="s">
        <v>43166</v>
      </c>
      <c r="O11651" t="s">
        <v>43167</v>
      </c>
      <c r="P11651">
        <v>0</v>
      </c>
      <c r="Q11651">
        <v>0</v>
      </c>
      <c r="R11651" t="s">
        <v>43181</v>
      </c>
      <c r="S11651" t="s">
        <v>43729</v>
      </c>
      <c r="T11651" t="s">
        <v>45160</v>
      </c>
      <c r="U11651" t="s">
        <v>54469</v>
      </c>
      <c r="V11651" t="s">
        <v>58122</v>
      </c>
      <c r="W11651" t="s">
        <v>42113</v>
      </c>
      <c r="X11651" t="s">
        <v>43182</v>
      </c>
    </row>
    <row r="11652" spans="1:24">
      <c r="A11652">
        <f>HYPERLINK("https://www.philgeps.gov.ph/GEPSNONPILOT/Tender/SplashBidNoticeAbstractUI.aspx?menuIndex=3&amp;refID=7060860&amp;Result=3","7060860")</f>
        <v>0</v>
      </c>
      <c r="B11652" t="s">
        <v>229</v>
      </c>
      <c r="C11652" t="s">
        <v>14537</v>
      </c>
      <c r="D11652" t="s">
        <v>17430</v>
      </c>
      <c r="E11652" t="s">
        <v>27482</v>
      </c>
      <c r="F11652" t="s">
        <v>30052</v>
      </c>
      <c r="G11652" t="s">
        <v>30058</v>
      </c>
      <c r="H11652" t="s">
        <v>15498</v>
      </c>
      <c r="I11652" t="s">
        <v>30081</v>
      </c>
      <c r="J11652" t="s">
        <v>37324</v>
      </c>
      <c r="K11652" t="s">
        <v>39029</v>
      </c>
      <c r="M11652" t="s">
        <v>39519</v>
      </c>
      <c r="N11652" t="s">
        <v>43166</v>
      </c>
      <c r="O11652" t="s">
        <v>43167</v>
      </c>
      <c r="P11652">
        <v>0</v>
      </c>
      <c r="Q11652">
        <v>1</v>
      </c>
      <c r="R11652" t="s">
        <v>43181</v>
      </c>
      <c r="S11652" t="s">
        <v>43729</v>
      </c>
      <c r="T11652" t="s">
        <v>44698</v>
      </c>
      <c r="U11652" t="s">
        <v>54506</v>
      </c>
      <c r="W11652" t="s">
        <v>39519</v>
      </c>
      <c r="X11652" t="s">
        <v>43182</v>
      </c>
    </row>
    <row r="11653" spans="1:24">
      <c r="A11653">
        <f>HYPERLINK("https://www.philgeps.gov.ph/GEPSNONPILOT/Tender/SplashBidNoticeAbstractUI.aspx?menuIndex=3&amp;refID=7060836&amp;Result=3","7060836")</f>
        <v>0</v>
      </c>
      <c r="B11653" t="s">
        <v>482</v>
      </c>
      <c r="C11653" t="s">
        <v>14538</v>
      </c>
      <c r="D11653" t="s">
        <v>17447</v>
      </c>
      <c r="E11653" t="s">
        <v>27483</v>
      </c>
      <c r="F11653" t="s">
        <v>30056</v>
      </c>
      <c r="G11653" t="s">
        <v>30063</v>
      </c>
      <c r="H11653" t="s">
        <v>30067</v>
      </c>
      <c r="I11653" t="s">
        <v>3693</v>
      </c>
      <c r="J11653" t="s">
        <v>37325</v>
      </c>
      <c r="K11653" t="s">
        <v>39083</v>
      </c>
      <c r="M11653" t="s">
        <v>39783</v>
      </c>
      <c r="N11653" t="s">
        <v>43166</v>
      </c>
      <c r="O11653" t="s">
        <v>43167</v>
      </c>
      <c r="P11653">
        <v>0</v>
      </c>
      <c r="Q11653">
        <v>2</v>
      </c>
      <c r="R11653" t="s">
        <v>43181</v>
      </c>
      <c r="S11653" t="s">
        <v>43729</v>
      </c>
      <c r="T11653" t="s">
        <v>44842</v>
      </c>
      <c r="U11653" t="s">
        <v>54507</v>
      </c>
      <c r="W11653" t="s">
        <v>39783</v>
      </c>
      <c r="X11653" t="s">
        <v>43182</v>
      </c>
    </row>
    <row r="11654" spans="1:24">
      <c r="A11654">
        <f>HYPERLINK("https://www.philgeps.gov.ph/GEPSNONPILOT/Tender/SplashBidNoticeAbstractUI.aspx?menuIndex=3&amp;refID=7060192&amp;Result=3","7060192")</f>
        <v>0</v>
      </c>
      <c r="B11654" t="s">
        <v>422</v>
      </c>
      <c r="C11654" t="s">
        <v>14539</v>
      </c>
      <c r="D11654" t="s">
        <v>17455</v>
      </c>
      <c r="E11654" t="s">
        <v>27484</v>
      </c>
      <c r="F11654" t="s">
        <v>30052</v>
      </c>
      <c r="G11654" t="s">
        <v>30061</v>
      </c>
      <c r="H11654" t="s">
        <v>15498</v>
      </c>
      <c r="I11654" t="s">
        <v>4598</v>
      </c>
      <c r="J11654" t="s">
        <v>30350</v>
      </c>
      <c r="K11654" t="s">
        <v>39025</v>
      </c>
      <c r="M11654" t="s">
        <v>42721</v>
      </c>
      <c r="N11654" t="s">
        <v>43166</v>
      </c>
      <c r="O11654" t="s">
        <v>43167</v>
      </c>
      <c r="Q11654">
        <v>9</v>
      </c>
      <c r="R11654" t="s">
        <v>43181</v>
      </c>
      <c r="S11654" t="s">
        <v>43368</v>
      </c>
      <c r="T11654" t="s">
        <v>44679</v>
      </c>
      <c r="U11654" t="s">
        <v>54508</v>
      </c>
      <c r="W11654" t="s">
        <v>42721</v>
      </c>
      <c r="X11654" t="s">
        <v>43182</v>
      </c>
    </row>
    <row r="11655" spans="1:24">
      <c r="A11655">
        <f>HYPERLINK("https://www.philgeps.gov.ph/GEPSNONPILOT/Tender/SplashBidNoticeAbstractUI.aspx?menuIndex=3&amp;refID=7060834&amp;Result=3","7060834")</f>
        <v>0</v>
      </c>
      <c r="B11655" t="s">
        <v>3157</v>
      </c>
      <c r="C11655" t="s">
        <v>14540</v>
      </c>
      <c r="D11655" t="s">
        <v>17458</v>
      </c>
      <c r="E11655" t="s">
        <v>27485</v>
      </c>
      <c r="F11655" t="s">
        <v>30056</v>
      </c>
      <c r="G11655" t="s">
        <v>30061</v>
      </c>
      <c r="H11655" t="s">
        <v>15498</v>
      </c>
      <c r="I11655" t="s">
        <v>30070</v>
      </c>
      <c r="J11655" t="s">
        <v>37326</v>
      </c>
      <c r="K11655" t="s">
        <v>39029</v>
      </c>
      <c r="M11655" t="s">
        <v>42762</v>
      </c>
      <c r="N11655" t="s">
        <v>43166</v>
      </c>
      <c r="O11655" t="s">
        <v>43167</v>
      </c>
      <c r="Q11655">
        <v>2</v>
      </c>
      <c r="R11655" t="s">
        <v>43181</v>
      </c>
      <c r="S11655" t="s">
        <v>43767</v>
      </c>
      <c r="T11655" t="s">
        <v>44698</v>
      </c>
      <c r="U11655" t="s">
        <v>54509</v>
      </c>
      <c r="W11655" t="s">
        <v>42762</v>
      </c>
      <c r="X11655" t="s">
        <v>43182</v>
      </c>
    </row>
    <row r="11656" spans="1:24">
      <c r="A11656">
        <f>HYPERLINK("https://www.philgeps.gov.ph/GEPSNONPILOT/Tender/SplashBidNoticeAbstractUI.aspx?menuIndex=3&amp;refID=7060825&amp;Result=3","7060825")</f>
        <v>0</v>
      </c>
      <c r="B11656" t="s">
        <v>1498</v>
      </c>
      <c r="C11656" t="s">
        <v>14541</v>
      </c>
      <c r="D11656" t="s">
        <v>17415</v>
      </c>
      <c r="E11656" t="s">
        <v>27486</v>
      </c>
      <c r="F11656" t="s">
        <v>30052</v>
      </c>
      <c r="G11656" t="s">
        <v>30062</v>
      </c>
      <c r="H11656" t="s">
        <v>15498</v>
      </c>
      <c r="I11656" t="s">
        <v>30128</v>
      </c>
      <c r="J11656" t="s">
        <v>37327</v>
      </c>
      <c r="K11656" t="s">
        <v>39017</v>
      </c>
      <c r="M11656" t="s">
        <v>40882</v>
      </c>
      <c r="N11656" t="s">
        <v>43166</v>
      </c>
      <c r="O11656" t="s">
        <v>43167</v>
      </c>
      <c r="Q11656">
        <v>8</v>
      </c>
      <c r="R11656" t="s">
        <v>43181</v>
      </c>
      <c r="S11656" t="s">
        <v>43768</v>
      </c>
      <c r="T11656" t="s">
        <v>44803</v>
      </c>
      <c r="U11656" t="s">
        <v>54510</v>
      </c>
      <c r="W11656" t="s">
        <v>40882</v>
      </c>
      <c r="X11656" t="s">
        <v>43182</v>
      </c>
    </row>
    <row r="11657" spans="1:24">
      <c r="A11657">
        <f>HYPERLINK("https://www.philgeps.gov.ph/GEPSNONPILOT/Tender/SplashBidNoticeAbstractUI.aspx?menuIndex=3&amp;refID=7060822&amp;Result=3","7060822")</f>
        <v>0</v>
      </c>
      <c r="B11657" t="s">
        <v>2602</v>
      </c>
      <c r="C11657" t="s">
        <v>14542</v>
      </c>
      <c r="D11657" t="s">
        <v>17473</v>
      </c>
      <c r="E11657" t="s">
        <v>27456</v>
      </c>
      <c r="F11657" t="s">
        <v>30052</v>
      </c>
      <c r="G11657" t="s">
        <v>30058</v>
      </c>
      <c r="H11657" t="s">
        <v>15498</v>
      </c>
      <c r="I11657" t="s">
        <v>3736</v>
      </c>
      <c r="J11657" t="s">
        <v>37328</v>
      </c>
      <c r="K11657" t="s">
        <v>39025</v>
      </c>
      <c r="M11657" t="s">
        <v>42113</v>
      </c>
      <c r="N11657" t="s">
        <v>43166</v>
      </c>
      <c r="O11657" t="s">
        <v>43167</v>
      </c>
      <c r="P11657">
        <v>0</v>
      </c>
      <c r="Q11657">
        <v>0</v>
      </c>
      <c r="R11657" t="s">
        <v>43181</v>
      </c>
      <c r="S11657" t="s">
        <v>43729</v>
      </c>
      <c r="T11657" t="s">
        <v>45160</v>
      </c>
      <c r="U11657" t="s">
        <v>54469</v>
      </c>
      <c r="V11657" t="s">
        <v>58123</v>
      </c>
      <c r="W11657" t="s">
        <v>42113</v>
      </c>
      <c r="X11657" t="s">
        <v>43182</v>
      </c>
    </row>
    <row r="11658" spans="1:24">
      <c r="A11658">
        <f>HYPERLINK("https://www.philgeps.gov.ph/GEPSNONPILOT/Tender/SplashBidNoticeAbstractUI.aspx?menuIndex=3&amp;refID=7060804&amp;Result=3","7060804")</f>
        <v>0</v>
      </c>
      <c r="B11658" t="s">
        <v>3151</v>
      </c>
      <c r="C11658" t="s">
        <v>14543</v>
      </c>
      <c r="D11658" t="s">
        <v>17413</v>
      </c>
      <c r="E11658" t="s">
        <v>27487</v>
      </c>
      <c r="F11658" t="s">
        <v>30052</v>
      </c>
      <c r="G11658" t="s">
        <v>30058</v>
      </c>
      <c r="H11658" t="s">
        <v>30067</v>
      </c>
      <c r="I11658" t="s">
        <v>3693</v>
      </c>
      <c r="J11658" t="s">
        <v>37329</v>
      </c>
      <c r="K11658" t="s">
        <v>39193</v>
      </c>
      <c r="M11658" t="s">
        <v>42756</v>
      </c>
      <c r="N11658" t="s">
        <v>43166</v>
      </c>
      <c r="O11658" t="s">
        <v>43167</v>
      </c>
      <c r="P11658">
        <v>0</v>
      </c>
      <c r="Q11658">
        <v>1</v>
      </c>
      <c r="R11658" t="s">
        <v>43181</v>
      </c>
      <c r="S11658" t="s">
        <v>43729</v>
      </c>
      <c r="T11658" t="s">
        <v>44681</v>
      </c>
      <c r="U11658" t="s">
        <v>54511</v>
      </c>
      <c r="W11658" t="s">
        <v>42756</v>
      </c>
      <c r="X11658" t="s">
        <v>43182</v>
      </c>
    </row>
    <row r="11659" spans="1:24">
      <c r="A11659">
        <f>HYPERLINK("https://www.philgeps.gov.ph/GEPSNONPILOT/Tender/SplashBidNoticeAbstractUI.aspx?menuIndex=3&amp;refID=7060321&amp;Result=3","7060321")</f>
        <v>0</v>
      </c>
      <c r="B11659" t="s">
        <v>3158</v>
      </c>
      <c r="C11659" t="s">
        <v>14544</v>
      </c>
      <c r="D11659" t="s">
        <v>17434</v>
      </c>
      <c r="E11659" t="s">
        <v>17779</v>
      </c>
      <c r="F11659" t="s">
        <v>30055</v>
      </c>
      <c r="G11659" t="s">
        <v>30058</v>
      </c>
      <c r="H11659" t="s">
        <v>30069</v>
      </c>
      <c r="I11659" t="s">
        <v>3606</v>
      </c>
      <c r="J11659" t="s">
        <v>30248</v>
      </c>
      <c r="K11659" t="s">
        <v>39040</v>
      </c>
      <c r="M11659" t="s">
        <v>42763</v>
      </c>
      <c r="N11659" t="s">
        <v>43166</v>
      </c>
      <c r="O11659" t="s">
        <v>43167</v>
      </c>
      <c r="P11659">
        <v>0</v>
      </c>
      <c r="Q11659">
        <v>0</v>
      </c>
      <c r="R11659" t="s">
        <v>43181</v>
      </c>
      <c r="S11659" t="s">
        <v>43729</v>
      </c>
      <c r="T11659" t="s">
        <v>44843</v>
      </c>
      <c r="U11659" t="s">
        <v>54512</v>
      </c>
      <c r="W11659" t="s">
        <v>42763</v>
      </c>
      <c r="X11659" t="s">
        <v>43182</v>
      </c>
    </row>
    <row r="11660" spans="1:24">
      <c r="A11660">
        <f>HYPERLINK("https://www.philgeps.gov.ph/GEPSNONPILOT/Tender/SplashBidNoticeAbstractUI.aspx?menuIndex=3&amp;refID=7060799&amp;Result=3","7060799")</f>
        <v>0</v>
      </c>
      <c r="B11660" t="s">
        <v>121</v>
      </c>
      <c r="C11660" t="s">
        <v>14545</v>
      </c>
      <c r="D11660" t="s">
        <v>17440</v>
      </c>
      <c r="E11660" t="s">
        <v>27488</v>
      </c>
      <c r="F11660" t="s">
        <v>30052</v>
      </c>
      <c r="G11660" t="s">
        <v>30058</v>
      </c>
      <c r="H11660" t="s">
        <v>30067</v>
      </c>
      <c r="I11660" t="s">
        <v>3693</v>
      </c>
      <c r="J11660" t="s">
        <v>37330</v>
      </c>
      <c r="K11660" t="s">
        <v>39198</v>
      </c>
      <c r="M11660" t="s">
        <v>39410</v>
      </c>
      <c r="N11660" t="s">
        <v>43166</v>
      </c>
      <c r="O11660" t="s">
        <v>43167</v>
      </c>
      <c r="Q11660">
        <v>1</v>
      </c>
      <c r="R11660" t="s">
        <v>43181</v>
      </c>
      <c r="S11660" t="s">
        <v>43769</v>
      </c>
      <c r="T11660" t="s">
        <v>44737</v>
      </c>
      <c r="U11660" t="s">
        <v>54513</v>
      </c>
      <c r="W11660" t="s">
        <v>39410</v>
      </c>
      <c r="X11660" t="s">
        <v>43182</v>
      </c>
    </row>
    <row r="11661" spans="1:24">
      <c r="A11661">
        <f>HYPERLINK("https://www.philgeps.gov.ph/GEPSNONPILOT/Tender/SplashBidNoticeAbstractUI.aspx?menuIndex=3&amp;refID=7060828&amp;Result=3","7060828")</f>
        <v>0</v>
      </c>
      <c r="B11661" t="s">
        <v>2677</v>
      </c>
      <c r="C11661" t="s">
        <v>14546</v>
      </c>
      <c r="E11661" t="s">
        <v>27489</v>
      </c>
      <c r="F11661" t="s">
        <v>30052</v>
      </c>
      <c r="G11661" t="s">
        <v>30058</v>
      </c>
      <c r="H11661" t="s">
        <v>30067</v>
      </c>
      <c r="I11661" t="s">
        <v>6304</v>
      </c>
      <c r="J11661" t="s">
        <v>37331</v>
      </c>
      <c r="K11661" t="s">
        <v>39031</v>
      </c>
      <c r="M11661" t="s">
        <v>42197</v>
      </c>
      <c r="N11661" t="s">
        <v>43166</v>
      </c>
      <c r="O11661" t="s">
        <v>43167</v>
      </c>
      <c r="P11661">
        <v>0</v>
      </c>
      <c r="Q11661">
        <v>10</v>
      </c>
      <c r="R11661" t="s">
        <v>43181</v>
      </c>
      <c r="S11661" t="s">
        <v>43729</v>
      </c>
      <c r="T11661" t="s">
        <v>44681</v>
      </c>
      <c r="U11661" t="s">
        <v>54514</v>
      </c>
      <c r="W11661" t="s">
        <v>58684</v>
      </c>
      <c r="X11661" t="s">
        <v>43182</v>
      </c>
    </row>
    <row r="11662" spans="1:24">
      <c r="A11662">
        <f>HYPERLINK("https://www.philgeps.gov.ph/GEPSNONPILOT/Tender/SplashBidNoticeAbstractUI.aspx?menuIndex=3&amp;refID=7060779&amp;Result=3","7060779")</f>
        <v>0</v>
      </c>
      <c r="B11662" t="s">
        <v>830</v>
      </c>
      <c r="C11662" t="s">
        <v>14547</v>
      </c>
      <c r="E11662" t="s">
        <v>27490</v>
      </c>
      <c r="F11662" t="s">
        <v>30052</v>
      </c>
      <c r="G11662" t="s">
        <v>30060</v>
      </c>
      <c r="H11662" t="s">
        <v>15498</v>
      </c>
      <c r="I11662" t="s">
        <v>30088</v>
      </c>
      <c r="J11662" t="s">
        <v>37242</v>
      </c>
      <c r="K11662" t="s">
        <v>39025</v>
      </c>
      <c r="M11662" t="s">
        <v>42764</v>
      </c>
      <c r="N11662" t="s">
        <v>43166</v>
      </c>
      <c r="O11662" t="s">
        <v>43167</v>
      </c>
      <c r="P11662">
        <v>0</v>
      </c>
      <c r="Q11662">
        <v>35</v>
      </c>
      <c r="R11662" t="s">
        <v>43181</v>
      </c>
      <c r="S11662" t="s">
        <v>43729</v>
      </c>
      <c r="T11662" t="s">
        <v>44724</v>
      </c>
      <c r="U11662" t="s">
        <v>54515</v>
      </c>
      <c r="W11662" t="s">
        <v>42764</v>
      </c>
      <c r="X11662" t="s">
        <v>43182</v>
      </c>
    </row>
    <row r="11663" spans="1:24">
      <c r="A11663">
        <f>HYPERLINK("https://www.philgeps.gov.ph/GEPSNONPILOT/Tender/SplashBidNoticeAbstractUI.aspx?menuIndex=3&amp;refID=7060775&amp;Result=3","7060775")</f>
        <v>0</v>
      </c>
      <c r="B11663" t="s">
        <v>3152</v>
      </c>
      <c r="C11663" t="s">
        <v>14548</v>
      </c>
      <c r="D11663" t="s">
        <v>17445</v>
      </c>
      <c r="E11663" t="s">
        <v>27491</v>
      </c>
      <c r="F11663" t="s">
        <v>30052</v>
      </c>
      <c r="G11663" t="s">
        <v>30058</v>
      </c>
      <c r="H11663" t="s">
        <v>30067</v>
      </c>
      <c r="I11663" t="s">
        <v>3693</v>
      </c>
      <c r="J11663" t="s">
        <v>30215</v>
      </c>
      <c r="K11663" t="s">
        <v>39025</v>
      </c>
      <c r="M11663" t="s">
        <v>42757</v>
      </c>
      <c r="N11663" t="s">
        <v>43166</v>
      </c>
      <c r="O11663" t="s">
        <v>43167</v>
      </c>
      <c r="P11663">
        <v>0</v>
      </c>
      <c r="Q11663">
        <v>1</v>
      </c>
      <c r="R11663" t="s">
        <v>43181</v>
      </c>
      <c r="S11663" t="s">
        <v>43729</v>
      </c>
      <c r="T11663" t="s">
        <v>44754</v>
      </c>
      <c r="U11663" t="s">
        <v>54516</v>
      </c>
      <c r="W11663" t="s">
        <v>42757</v>
      </c>
      <c r="X11663" t="s">
        <v>43182</v>
      </c>
    </row>
    <row r="11664" spans="1:24">
      <c r="A11664">
        <f>HYPERLINK("https://www.philgeps.gov.ph/GEPSNONPILOT/Tender/SplashBidNoticeAbstractUI.aspx?menuIndex=3&amp;refID=7060845&amp;Result=3","7060845")</f>
        <v>0</v>
      </c>
      <c r="B11664" t="s">
        <v>413</v>
      </c>
      <c r="C11664" t="s">
        <v>14549</v>
      </c>
      <c r="D11664" t="s">
        <v>17489</v>
      </c>
      <c r="E11664" t="s">
        <v>21269</v>
      </c>
      <c r="F11664" t="s">
        <v>30052</v>
      </c>
      <c r="G11664" t="s">
        <v>30058</v>
      </c>
      <c r="H11664" t="s">
        <v>15498</v>
      </c>
      <c r="I11664" t="s">
        <v>30088</v>
      </c>
      <c r="J11664" t="s">
        <v>37332</v>
      </c>
      <c r="K11664" t="s">
        <v>39023</v>
      </c>
      <c r="M11664" t="s">
        <v>39712</v>
      </c>
      <c r="N11664" t="s">
        <v>43166</v>
      </c>
      <c r="O11664" t="s">
        <v>43167</v>
      </c>
      <c r="Q11664">
        <v>52</v>
      </c>
      <c r="R11664" t="s">
        <v>43181</v>
      </c>
      <c r="S11664" t="s">
        <v>43770</v>
      </c>
      <c r="T11664" t="s">
        <v>44699</v>
      </c>
      <c r="U11664" t="s">
        <v>54517</v>
      </c>
      <c r="V11664" t="s">
        <v>58124</v>
      </c>
      <c r="W11664" t="s">
        <v>39712</v>
      </c>
      <c r="X11664" t="s">
        <v>43182</v>
      </c>
    </row>
    <row r="11665" spans="1:24">
      <c r="A11665">
        <f>HYPERLINK("https://www.philgeps.gov.ph/GEPSNONPILOT/Tender/SplashBidNoticeAbstractUI.aspx?menuIndex=3&amp;refID=7060879&amp;Result=3","7060879")</f>
        <v>0</v>
      </c>
      <c r="B11665" t="s">
        <v>1169</v>
      </c>
      <c r="C11665" t="s">
        <v>14550</v>
      </c>
      <c r="D11665" t="s">
        <v>17458</v>
      </c>
      <c r="E11665" t="s">
        <v>27492</v>
      </c>
      <c r="F11665" t="s">
        <v>30052</v>
      </c>
      <c r="G11665" t="s">
        <v>30058</v>
      </c>
      <c r="H11665" t="s">
        <v>15498</v>
      </c>
      <c r="I11665" t="s">
        <v>3736</v>
      </c>
      <c r="J11665" t="s">
        <v>37333</v>
      </c>
      <c r="K11665" t="s">
        <v>39025</v>
      </c>
      <c r="M11665" t="s">
        <v>42765</v>
      </c>
      <c r="N11665" t="s">
        <v>43166</v>
      </c>
      <c r="O11665" t="s">
        <v>43167</v>
      </c>
      <c r="P11665">
        <v>0</v>
      </c>
      <c r="Q11665">
        <v>0</v>
      </c>
      <c r="R11665" t="s">
        <v>43181</v>
      </c>
      <c r="S11665" t="s">
        <v>43729</v>
      </c>
      <c r="T11665" t="s">
        <v>44689</v>
      </c>
      <c r="U11665" t="s">
        <v>54518</v>
      </c>
      <c r="W11665" t="s">
        <v>42765</v>
      </c>
      <c r="X11665" t="s">
        <v>43182</v>
      </c>
    </row>
    <row r="11666" spans="1:24">
      <c r="A11666">
        <f>HYPERLINK("https://www.philgeps.gov.ph/GEPSNONPILOT/Tender/SplashBidNoticeAbstractUI.aspx?menuIndex=3&amp;refID=7060770&amp;Result=3","7060770")</f>
        <v>0</v>
      </c>
      <c r="B11666" t="s">
        <v>3149</v>
      </c>
      <c r="C11666" t="s">
        <v>14551</v>
      </c>
      <c r="D11666" t="s">
        <v>17415</v>
      </c>
      <c r="E11666" t="s">
        <v>27493</v>
      </c>
      <c r="F11666" t="s">
        <v>30052</v>
      </c>
      <c r="G11666" t="s">
        <v>30058</v>
      </c>
      <c r="H11666" t="s">
        <v>15498</v>
      </c>
      <c r="I11666" t="s">
        <v>3606</v>
      </c>
      <c r="J11666" t="s">
        <v>37334</v>
      </c>
      <c r="K11666" t="s">
        <v>39025</v>
      </c>
      <c r="M11666" t="s">
        <v>42754</v>
      </c>
      <c r="N11666" t="s">
        <v>43166</v>
      </c>
      <c r="O11666" t="s">
        <v>43167</v>
      </c>
      <c r="P11666">
        <v>0</v>
      </c>
      <c r="Q11666">
        <v>4</v>
      </c>
      <c r="R11666" t="s">
        <v>43181</v>
      </c>
      <c r="S11666" t="s">
        <v>43729</v>
      </c>
      <c r="T11666" t="s">
        <v>44724</v>
      </c>
      <c r="U11666" t="s">
        <v>54519</v>
      </c>
      <c r="W11666" t="s">
        <v>42754</v>
      </c>
      <c r="X11666" t="s">
        <v>43182</v>
      </c>
    </row>
    <row r="11667" spans="1:24">
      <c r="A11667">
        <f>HYPERLINK("https://www.philgeps.gov.ph/GEPSNONPILOT/Tender/SplashBidNoticeAbstractUI.aspx?menuIndex=3&amp;refID=7060981&amp;Result=3","7060981")</f>
        <v>0</v>
      </c>
      <c r="B11667" t="s">
        <v>229</v>
      </c>
      <c r="C11667" t="s">
        <v>14552</v>
      </c>
      <c r="D11667" t="s">
        <v>17430</v>
      </c>
      <c r="E11667" t="s">
        <v>27494</v>
      </c>
      <c r="F11667" t="s">
        <v>30052</v>
      </c>
      <c r="G11667" t="s">
        <v>30058</v>
      </c>
      <c r="H11667" t="s">
        <v>15498</v>
      </c>
      <c r="I11667" t="s">
        <v>30081</v>
      </c>
      <c r="J11667" t="s">
        <v>37335</v>
      </c>
      <c r="K11667" t="s">
        <v>39029</v>
      </c>
      <c r="M11667" t="s">
        <v>39519</v>
      </c>
      <c r="N11667" t="s">
        <v>43166</v>
      </c>
      <c r="O11667" t="s">
        <v>43167</v>
      </c>
      <c r="P11667">
        <v>0</v>
      </c>
      <c r="Q11667">
        <v>3</v>
      </c>
      <c r="R11667" t="s">
        <v>43181</v>
      </c>
      <c r="S11667" t="s">
        <v>43729</v>
      </c>
      <c r="T11667" t="s">
        <v>44698</v>
      </c>
      <c r="U11667" t="s">
        <v>54520</v>
      </c>
      <c r="W11667" t="s">
        <v>39519</v>
      </c>
      <c r="X11667" t="s">
        <v>43182</v>
      </c>
    </row>
    <row r="11668" spans="1:24">
      <c r="A11668">
        <f>HYPERLINK("https://www.philgeps.gov.ph/GEPSNONPILOT/Tender/SplashBidNoticeAbstractUI.aspx?menuIndex=3&amp;refID=7060959&amp;Result=3","7060959")</f>
        <v>0</v>
      </c>
      <c r="B11668" t="s">
        <v>2477</v>
      </c>
      <c r="C11668" t="s">
        <v>14553</v>
      </c>
      <c r="D11668" t="s">
        <v>17417</v>
      </c>
      <c r="E11668" t="s">
        <v>27495</v>
      </c>
      <c r="F11668" t="s">
        <v>30052</v>
      </c>
      <c r="G11668" t="s">
        <v>30058</v>
      </c>
      <c r="H11668" t="s">
        <v>15498</v>
      </c>
      <c r="I11668" t="s">
        <v>3606</v>
      </c>
      <c r="J11668" t="s">
        <v>37336</v>
      </c>
      <c r="K11668" t="s">
        <v>39023</v>
      </c>
      <c r="M11668" t="s">
        <v>41977</v>
      </c>
      <c r="N11668" t="s">
        <v>43166</v>
      </c>
      <c r="O11668" t="s">
        <v>43167</v>
      </c>
      <c r="P11668">
        <v>0</v>
      </c>
      <c r="Q11668">
        <v>0</v>
      </c>
      <c r="R11668" t="s">
        <v>43181</v>
      </c>
      <c r="S11668" t="s">
        <v>43729</v>
      </c>
      <c r="T11668" t="s">
        <v>44733</v>
      </c>
      <c r="U11668" t="s">
        <v>54521</v>
      </c>
      <c r="W11668" t="s">
        <v>41977</v>
      </c>
      <c r="X11668" t="s">
        <v>43182</v>
      </c>
    </row>
    <row r="11669" spans="1:24">
      <c r="A11669">
        <f>HYPERLINK("https://www.philgeps.gov.ph/GEPSNONPILOT/Tender/SplashBidNoticeAbstractUI.aspx?menuIndex=3&amp;refID=7060225&amp;Result=3","7060225")</f>
        <v>0</v>
      </c>
      <c r="B11669" t="s">
        <v>2417</v>
      </c>
      <c r="C11669" t="s">
        <v>14554</v>
      </c>
      <c r="D11669" t="s">
        <v>17414</v>
      </c>
      <c r="E11669" t="s">
        <v>27496</v>
      </c>
      <c r="F11669" t="s">
        <v>30052</v>
      </c>
      <c r="G11669" t="s">
        <v>30058</v>
      </c>
      <c r="H11669" t="s">
        <v>15498</v>
      </c>
      <c r="I11669" t="s">
        <v>3736</v>
      </c>
      <c r="J11669" t="s">
        <v>37337</v>
      </c>
      <c r="K11669" t="s">
        <v>39029</v>
      </c>
      <c r="M11669" t="s">
        <v>41914</v>
      </c>
      <c r="N11669" t="s">
        <v>43166</v>
      </c>
      <c r="O11669" t="s">
        <v>43167</v>
      </c>
      <c r="P11669">
        <v>0</v>
      </c>
      <c r="Q11669">
        <v>0</v>
      </c>
      <c r="R11669" t="s">
        <v>43181</v>
      </c>
      <c r="S11669" t="s">
        <v>43729</v>
      </c>
      <c r="T11669" t="s">
        <v>44733</v>
      </c>
      <c r="U11669" t="s">
        <v>51539</v>
      </c>
      <c r="W11669" t="s">
        <v>41914</v>
      </c>
      <c r="X11669" t="s">
        <v>43182</v>
      </c>
    </row>
    <row r="11670" spans="1:24">
      <c r="A11670">
        <f>HYPERLINK("https://www.philgeps.gov.ph/GEPSNONPILOT/Tender/SplashBidNoticeAbstractUI.aspx?menuIndex=3&amp;refID=7060954&amp;Result=3","7060954")</f>
        <v>0</v>
      </c>
      <c r="B11670" t="s">
        <v>2959</v>
      </c>
      <c r="C11670" t="s">
        <v>14555</v>
      </c>
      <c r="D11670" t="s">
        <v>17448</v>
      </c>
      <c r="E11670" t="s">
        <v>27497</v>
      </c>
      <c r="F11670" t="s">
        <v>30052</v>
      </c>
      <c r="G11670" t="s">
        <v>30058</v>
      </c>
      <c r="H11670" t="s">
        <v>30067</v>
      </c>
      <c r="I11670" t="s">
        <v>3693</v>
      </c>
      <c r="J11670" t="s">
        <v>30277</v>
      </c>
      <c r="K11670" t="s">
        <v>39034</v>
      </c>
      <c r="M11670" t="s">
        <v>42524</v>
      </c>
      <c r="N11670" t="s">
        <v>43166</v>
      </c>
      <c r="O11670" t="s">
        <v>43167</v>
      </c>
      <c r="P11670">
        <v>0</v>
      </c>
      <c r="Q11670">
        <v>0</v>
      </c>
      <c r="R11670" t="s">
        <v>43181</v>
      </c>
      <c r="S11670" t="s">
        <v>43729</v>
      </c>
      <c r="T11670" t="s">
        <v>45161</v>
      </c>
      <c r="U11670" t="s">
        <v>54522</v>
      </c>
      <c r="V11670" t="s">
        <v>58112</v>
      </c>
      <c r="W11670" t="s">
        <v>42524</v>
      </c>
      <c r="X11670" t="s">
        <v>43182</v>
      </c>
    </row>
    <row r="11671" spans="1:24">
      <c r="A11671">
        <f>HYPERLINK("https://www.philgeps.gov.ph/GEPSNONPILOT/Tender/SplashBidNoticeAbstractUI.aspx?menuIndex=3&amp;refID=7060783&amp;Result=3","7060783")</f>
        <v>0</v>
      </c>
      <c r="B11671" t="s">
        <v>3149</v>
      </c>
      <c r="C11671" t="s">
        <v>14556</v>
      </c>
      <c r="D11671" t="s">
        <v>17415</v>
      </c>
      <c r="E11671" t="s">
        <v>27498</v>
      </c>
      <c r="F11671" t="s">
        <v>30052</v>
      </c>
      <c r="G11671" t="s">
        <v>30058</v>
      </c>
      <c r="H11671" t="s">
        <v>15498</v>
      </c>
      <c r="I11671" t="s">
        <v>3606</v>
      </c>
      <c r="J11671" t="s">
        <v>37338</v>
      </c>
      <c r="K11671" t="s">
        <v>39025</v>
      </c>
      <c r="M11671" t="s">
        <v>42754</v>
      </c>
      <c r="N11671" t="s">
        <v>43166</v>
      </c>
      <c r="O11671" t="s">
        <v>43167</v>
      </c>
      <c r="P11671">
        <v>0</v>
      </c>
      <c r="Q11671">
        <v>8</v>
      </c>
      <c r="R11671" t="s">
        <v>43181</v>
      </c>
      <c r="S11671" t="s">
        <v>43729</v>
      </c>
      <c r="T11671" t="s">
        <v>44724</v>
      </c>
      <c r="U11671" t="s">
        <v>54523</v>
      </c>
      <c r="W11671" t="s">
        <v>42754</v>
      </c>
      <c r="X11671" t="s">
        <v>43182</v>
      </c>
    </row>
    <row r="11672" spans="1:24">
      <c r="A11672">
        <f>HYPERLINK("https://www.philgeps.gov.ph/GEPSNONPILOT/Tender/SplashBidNoticeAbstractUI.aspx?menuIndex=3&amp;refID=7060942&amp;Result=3","7060942")</f>
        <v>0</v>
      </c>
      <c r="B11672" t="s">
        <v>203</v>
      </c>
      <c r="C11672" t="s">
        <v>14557</v>
      </c>
      <c r="D11672" t="s">
        <v>17447</v>
      </c>
      <c r="E11672" t="s">
        <v>27499</v>
      </c>
      <c r="F11672" t="s">
        <v>30052</v>
      </c>
      <c r="G11672" t="s">
        <v>30058</v>
      </c>
      <c r="H11672" t="s">
        <v>15498</v>
      </c>
      <c r="I11672" t="s">
        <v>30076</v>
      </c>
      <c r="J11672" t="s">
        <v>37339</v>
      </c>
      <c r="K11672" t="s">
        <v>39025</v>
      </c>
      <c r="M11672" t="s">
        <v>39493</v>
      </c>
      <c r="N11672" t="s">
        <v>43166</v>
      </c>
      <c r="O11672" t="s">
        <v>43167</v>
      </c>
      <c r="Q11672">
        <v>23</v>
      </c>
      <c r="R11672" t="s">
        <v>43181</v>
      </c>
      <c r="S11672" t="s">
        <v>43771</v>
      </c>
      <c r="T11672" t="s">
        <v>44681</v>
      </c>
      <c r="U11672" t="s">
        <v>54524</v>
      </c>
      <c r="W11672" t="s">
        <v>39493</v>
      </c>
      <c r="X11672" t="s">
        <v>43182</v>
      </c>
    </row>
    <row r="11673" spans="1:24">
      <c r="A11673">
        <f>HYPERLINK("https://www.philgeps.gov.ph/GEPSNONPILOT/Tender/SplashBidNoticeAbstractUI.aspx?menuIndex=3&amp;refID=7060951&amp;Result=3","7060951")</f>
        <v>0</v>
      </c>
      <c r="B11673" t="s">
        <v>1505</v>
      </c>
      <c r="C11673" t="s">
        <v>14558</v>
      </c>
      <c r="D11673" t="s">
        <v>17462</v>
      </c>
      <c r="E11673" t="s">
        <v>27500</v>
      </c>
      <c r="F11673" t="s">
        <v>30052</v>
      </c>
      <c r="G11673" t="s">
        <v>30058</v>
      </c>
      <c r="H11673" t="s">
        <v>30067</v>
      </c>
      <c r="I11673" t="s">
        <v>3693</v>
      </c>
      <c r="J11673" t="s">
        <v>31185</v>
      </c>
      <c r="K11673" t="s">
        <v>39031</v>
      </c>
      <c r="M11673" t="s">
        <v>40889</v>
      </c>
      <c r="N11673" t="s">
        <v>43166</v>
      </c>
      <c r="O11673" t="s">
        <v>43167</v>
      </c>
      <c r="P11673">
        <v>0</v>
      </c>
      <c r="Q11673">
        <v>9</v>
      </c>
      <c r="R11673" t="s">
        <v>43181</v>
      </c>
      <c r="S11673" t="s">
        <v>43729</v>
      </c>
      <c r="T11673" t="s">
        <v>44699</v>
      </c>
      <c r="U11673" t="s">
        <v>54525</v>
      </c>
      <c r="W11673" t="s">
        <v>58641</v>
      </c>
      <c r="X11673" t="s">
        <v>43182</v>
      </c>
    </row>
    <row r="11674" spans="1:24">
      <c r="A11674">
        <f>HYPERLINK("https://www.philgeps.gov.ph/GEPSNONPILOT/Tender/SplashBidNoticeAbstractUI.aspx?menuIndex=3&amp;refID=7060820&amp;Result=3","7060820")</f>
        <v>0</v>
      </c>
      <c r="B11674" t="s">
        <v>2477</v>
      </c>
      <c r="C11674" t="s">
        <v>14559</v>
      </c>
      <c r="D11674" t="s">
        <v>17417</v>
      </c>
      <c r="E11674" t="s">
        <v>27501</v>
      </c>
      <c r="F11674" t="s">
        <v>30052</v>
      </c>
      <c r="G11674" t="s">
        <v>30058</v>
      </c>
      <c r="H11674" t="s">
        <v>15498</v>
      </c>
      <c r="I11674" t="s">
        <v>7228</v>
      </c>
      <c r="J11674" t="s">
        <v>30574</v>
      </c>
      <c r="K11674" t="s">
        <v>39023</v>
      </c>
      <c r="M11674" t="s">
        <v>41977</v>
      </c>
      <c r="N11674" t="s">
        <v>43166</v>
      </c>
      <c r="O11674" t="s">
        <v>43167</v>
      </c>
      <c r="P11674">
        <v>0</v>
      </c>
      <c r="Q11674">
        <v>1</v>
      </c>
      <c r="R11674" t="s">
        <v>43181</v>
      </c>
      <c r="S11674" t="s">
        <v>43729</v>
      </c>
      <c r="T11674" t="s">
        <v>44733</v>
      </c>
      <c r="U11674" t="s">
        <v>54526</v>
      </c>
      <c r="W11674" t="s">
        <v>41977</v>
      </c>
      <c r="X11674" t="s">
        <v>43182</v>
      </c>
    </row>
    <row r="11675" spans="1:24">
      <c r="A11675">
        <f>HYPERLINK("https://www.philgeps.gov.ph/GEPSNONPILOT/Tender/SplashBidNoticeAbstractUI.aspx?menuIndex=3&amp;refID=7060928&amp;Result=3","7060928")</f>
        <v>0</v>
      </c>
      <c r="B11675" t="s">
        <v>229</v>
      </c>
      <c r="C11675" t="s">
        <v>14560</v>
      </c>
      <c r="D11675" t="s">
        <v>17430</v>
      </c>
      <c r="E11675" t="s">
        <v>27502</v>
      </c>
      <c r="F11675" t="s">
        <v>30052</v>
      </c>
      <c r="G11675" t="s">
        <v>30058</v>
      </c>
      <c r="H11675" t="s">
        <v>15498</v>
      </c>
      <c r="I11675" t="s">
        <v>30073</v>
      </c>
      <c r="J11675" t="s">
        <v>37340</v>
      </c>
      <c r="K11675" t="s">
        <v>39029</v>
      </c>
      <c r="M11675" t="s">
        <v>39519</v>
      </c>
      <c r="N11675" t="s">
        <v>43166</v>
      </c>
      <c r="O11675" t="s">
        <v>43167</v>
      </c>
      <c r="P11675">
        <v>0</v>
      </c>
      <c r="Q11675">
        <v>2</v>
      </c>
      <c r="R11675" t="s">
        <v>43181</v>
      </c>
      <c r="S11675" t="s">
        <v>43729</v>
      </c>
      <c r="T11675" t="s">
        <v>44698</v>
      </c>
      <c r="U11675" t="s">
        <v>54527</v>
      </c>
      <c r="W11675" t="s">
        <v>39519</v>
      </c>
      <c r="X11675" t="s">
        <v>43182</v>
      </c>
    </row>
    <row r="11676" spans="1:24">
      <c r="A11676">
        <f>HYPERLINK("https://www.philgeps.gov.ph/GEPSNONPILOT/Tender/SplashBidNoticeAbstractUI.aspx?menuIndex=3&amp;refID=7060941&amp;Result=3","7060941")</f>
        <v>0</v>
      </c>
      <c r="B11676" t="s">
        <v>1442</v>
      </c>
      <c r="C11676" t="s">
        <v>14561</v>
      </c>
      <c r="D11676" t="s">
        <v>17421</v>
      </c>
      <c r="E11676" t="s">
        <v>27503</v>
      </c>
      <c r="F11676" t="s">
        <v>30052</v>
      </c>
      <c r="G11676" t="s">
        <v>30058</v>
      </c>
      <c r="H11676" t="s">
        <v>30067</v>
      </c>
      <c r="I11676" t="s">
        <v>3693</v>
      </c>
      <c r="J11676" t="s">
        <v>35970</v>
      </c>
      <c r="K11676" t="s">
        <v>39177</v>
      </c>
      <c r="M11676" t="s">
        <v>40820</v>
      </c>
      <c r="N11676" t="s">
        <v>43166</v>
      </c>
      <c r="O11676" t="s">
        <v>43167</v>
      </c>
      <c r="P11676">
        <v>0</v>
      </c>
      <c r="Q11676">
        <v>0</v>
      </c>
      <c r="R11676" t="s">
        <v>43181</v>
      </c>
      <c r="S11676" t="s">
        <v>43729</v>
      </c>
      <c r="T11676" t="s">
        <v>44733</v>
      </c>
      <c r="U11676" t="s">
        <v>48416</v>
      </c>
      <c r="W11676" t="s">
        <v>40820</v>
      </c>
      <c r="X11676" t="s">
        <v>43182</v>
      </c>
    </row>
    <row r="11677" spans="1:24">
      <c r="A11677">
        <f>HYPERLINK("https://www.philgeps.gov.ph/GEPSNONPILOT/Tender/SplashBidNoticeAbstractUI.aspx?menuIndex=3&amp;refID=7060920&amp;Result=3","7060920")</f>
        <v>0</v>
      </c>
      <c r="B11677" t="s">
        <v>575</v>
      </c>
      <c r="C11677" t="s">
        <v>14562</v>
      </c>
      <c r="D11677" t="s">
        <v>17477</v>
      </c>
      <c r="E11677" t="s">
        <v>27504</v>
      </c>
      <c r="F11677" t="s">
        <v>30052</v>
      </c>
      <c r="G11677" t="s">
        <v>30058</v>
      </c>
      <c r="H11677" t="s">
        <v>15498</v>
      </c>
      <c r="I11677" t="s">
        <v>6691</v>
      </c>
      <c r="J11677" t="s">
        <v>37341</v>
      </c>
      <c r="K11677" t="s">
        <v>39025</v>
      </c>
      <c r="M11677" t="s">
        <v>42678</v>
      </c>
      <c r="N11677" t="s">
        <v>43166</v>
      </c>
      <c r="O11677" t="s">
        <v>43167</v>
      </c>
      <c r="Q11677">
        <v>3</v>
      </c>
      <c r="R11677" t="s">
        <v>43181</v>
      </c>
      <c r="S11677" t="s">
        <v>43772</v>
      </c>
      <c r="T11677" t="s">
        <v>44736</v>
      </c>
      <c r="U11677" t="s">
        <v>54528</v>
      </c>
      <c r="V11677" t="s">
        <v>58125</v>
      </c>
      <c r="W11677" t="s">
        <v>39877</v>
      </c>
      <c r="X11677" t="s">
        <v>43182</v>
      </c>
    </row>
    <row r="11678" spans="1:24">
      <c r="A11678">
        <f>HYPERLINK("https://www.philgeps.gov.ph/GEPSNONPILOT/Tender/SplashBidNoticeAbstractUI.aspx?menuIndex=3&amp;refID=7060926&amp;Result=3","7060926")</f>
        <v>0</v>
      </c>
      <c r="B11678" t="s">
        <v>42</v>
      </c>
      <c r="C11678" t="s">
        <v>14563</v>
      </c>
      <c r="D11678" t="s">
        <v>17425</v>
      </c>
      <c r="E11678" t="s">
        <v>27505</v>
      </c>
      <c r="F11678" t="s">
        <v>30052</v>
      </c>
      <c r="G11678" t="s">
        <v>30058</v>
      </c>
      <c r="H11678" t="s">
        <v>15498</v>
      </c>
      <c r="I11678" t="s">
        <v>3736</v>
      </c>
      <c r="J11678" t="s">
        <v>37342</v>
      </c>
      <c r="K11678" t="s">
        <v>39029</v>
      </c>
      <c r="M11678" t="s">
        <v>39332</v>
      </c>
      <c r="N11678" t="s">
        <v>43166</v>
      </c>
      <c r="O11678" t="s">
        <v>43167</v>
      </c>
      <c r="P11678">
        <v>0</v>
      </c>
      <c r="Q11678">
        <v>1</v>
      </c>
      <c r="R11678" t="s">
        <v>43181</v>
      </c>
      <c r="S11678" t="s">
        <v>43729</v>
      </c>
      <c r="T11678" t="s">
        <v>44696</v>
      </c>
      <c r="U11678" t="s">
        <v>54529</v>
      </c>
      <c r="W11678" t="s">
        <v>39332</v>
      </c>
      <c r="X11678" t="s">
        <v>43182</v>
      </c>
    </row>
    <row r="11679" spans="1:24">
      <c r="A11679">
        <f>HYPERLINK("https://www.philgeps.gov.ph/GEPSNONPILOT/Tender/SplashBidNoticeAbstractUI.aspx?menuIndex=3&amp;refID=7061087&amp;Result=3","7061087")</f>
        <v>0</v>
      </c>
      <c r="B11679" t="s">
        <v>954</v>
      </c>
      <c r="C11679" t="s">
        <v>14564</v>
      </c>
      <c r="D11679" t="s">
        <v>17463</v>
      </c>
      <c r="E11679" t="s">
        <v>27506</v>
      </c>
      <c r="F11679" t="s">
        <v>30052</v>
      </c>
      <c r="G11679" t="s">
        <v>30060</v>
      </c>
      <c r="H11679" t="s">
        <v>15498</v>
      </c>
      <c r="I11679" t="s">
        <v>3736</v>
      </c>
      <c r="J11679" t="s">
        <v>30606</v>
      </c>
      <c r="K11679" t="s">
        <v>39026</v>
      </c>
      <c r="M11679" t="s">
        <v>40280</v>
      </c>
      <c r="N11679" t="s">
        <v>43166</v>
      </c>
      <c r="O11679" t="s">
        <v>43167</v>
      </c>
      <c r="P11679">
        <v>0</v>
      </c>
      <c r="Q11679">
        <v>0</v>
      </c>
      <c r="R11679" t="s">
        <v>43181</v>
      </c>
      <c r="S11679" t="s">
        <v>43729</v>
      </c>
      <c r="T11679" t="s">
        <v>44724</v>
      </c>
      <c r="U11679" t="s">
        <v>54530</v>
      </c>
      <c r="W11679" t="s">
        <v>40280</v>
      </c>
      <c r="X11679" t="s">
        <v>43182</v>
      </c>
    </row>
    <row r="11680" spans="1:24">
      <c r="A11680">
        <f>HYPERLINK("https://www.philgeps.gov.ph/GEPSNONPILOT/Tender/SplashBidNoticeAbstractUI.aspx?menuIndex=3&amp;refID=7060445&amp;Result=3","7060445")</f>
        <v>0</v>
      </c>
      <c r="B11680" t="s">
        <v>3134</v>
      </c>
      <c r="C11680" t="s">
        <v>14565</v>
      </c>
      <c r="D11680" t="s">
        <v>17428</v>
      </c>
      <c r="E11680" t="s">
        <v>18240</v>
      </c>
      <c r="F11680" t="s">
        <v>30055</v>
      </c>
      <c r="G11680" t="s">
        <v>30058</v>
      </c>
      <c r="H11680" t="s">
        <v>15498</v>
      </c>
      <c r="I11680" t="s">
        <v>3693</v>
      </c>
      <c r="J11680" t="s">
        <v>37343</v>
      </c>
      <c r="K11680" t="s">
        <v>39122</v>
      </c>
      <c r="M11680" t="s">
        <v>42736</v>
      </c>
      <c r="N11680" t="s">
        <v>43166</v>
      </c>
      <c r="O11680" t="s">
        <v>43167</v>
      </c>
      <c r="P11680">
        <v>0</v>
      </c>
      <c r="Q11680">
        <v>0</v>
      </c>
      <c r="R11680" t="s">
        <v>43181</v>
      </c>
      <c r="S11680" t="s">
        <v>43729</v>
      </c>
      <c r="T11680" t="s">
        <v>44934</v>
      </c>
      <c r="U11680" t="s">
        <v>54531</v>
      </c>
      <c r="V11680" t="s">
        <v>58126</v>
      </c>
      <c r="W11680" t="s">
        <v>42736</v>
      </c>
      <c r="X11680" t="s">
        <v>43182</v>
      </c>
    </row>
    <row r="11681" spans="1:24">
      <c r="A11681">
        <f>HYPERLINK("https://www.philgeps.gov.ph/GEPSNONPILOT/Tender/SplashBidNoticeAbstractUI.aspx?menuIndex=3&amp;refID=7060966&amp;Result=3","7060966")</f>
        <v>0</v>
      </c>
      <c r="B11681" t="s">
        <v>361</v>
      </c>
      <c r="C11681" t="s">
        <v>14566</v>
      </c>
      <c r="D11681" t="s">
        <v>17455</v>
      </c>
      <c r="E11681" t="s">
        <v>27507</v>
      </c>
      <c r="F11681" t="s">
        <v>30052</v>
      </c>
      <c r="G11681" t="s">
        <v>30061</v>
      </c>
      <c r="H11681" t="s">
        <v>15498</v>
      </c>
      <c r="I11681" t="s">
        <v>4642</v>
      </c>
      <c r="J11681" t="s">
        <v>37344</v>
      </c>
      <c r="K11681" t="s">
        <v>39034</v>
      </c>
      <c r="M11681" t="s">
        <v>39658</v>
      </c>
      <c r="N11681" t="s">
        <v>43166</v>
      </c>
      <c r="O11681" t="s">
        <v>43167</v>
      </c>
      <c r="P11681">
        <v>0</v>
      </c>
      <c r="Q11681">
        <v>6</v>
      </c>
      <c r="R11681" t="s">
        <v>43181</v>
      </c>
      <c r="S11681" t="s">
        <v>43729</v>
      </c>
      <c r="T11681" t="s">
        <v>44844</v>
      </c>
      <c r="U11681" t="s">
        <v>54532</v>
      </c>
      <c r="W11681" t="s">
        <v>39658</v>
      </c>
      <c r="X11681" t="s">
        <v>43182</v>
      </c>
    </row>
    <row r="11682" spans="1:24">
      <c r="A11682">
        <f>HYPERLINK("https://www.philgeps.gov.ph/GEPSNONPILOT/Tender/SplashBidNoticeAbstractUI.aspx?menuIndex=3&amp;refID=7061074&amp;Result=3","7061074")</f>
        <v>0</v>
      </c>
      <c r="B11682" t="s">
        <v>3023</v>
      </c>
      <c r="C11682" t="s">
        <v>14567</v>
      </c>
      <c r="D11682" t="s">
        <v>17439</v>
      </c>
      <c r="E11682" t="s">
        <v>27508</v>
      </c>
      <c r="F11682" t="s">
        <v>30052</v>
      </c>
      <c r="G11682" t="s">
        <v>30058</v>
      </c>
      <c r="H11682" t="s">
        <v>30069</v>
      </c>
      <c r="I11682" t="s">
        <v>30075</v>
      </c>
      <c r="J11682" t="s">
        <v>37345</v>
      </c>
      <c r="K11682" t="s">
        <v>39022</v>
      </c>
      <c r="M11682" t="s">
        <v>42723</v>
      </c>
      <c r="N11682" t="s">
        <v>43166</v>
      </c>
      <c r="O11682" t="s">
        <v>43167</v>
      </c>
      <c r="P11682">
        <v>0</v>
      </c>
      <c r="Q11682">
        <v>9</v>
      </c>
      <c r="R11682" t="s">
        <v>43181</v>
      </c>
      <c r="S11682" t="s">
        <v>43729</v>
      </c>
      <c r="T11682" t="s">
        <v>44754</v>
      </c>
      <c r="U11682" t="s">
        <v>54533</v>
      </c>
      <c r="W11682" t="s">
        <v>58704</v>
      </c>
      <c r="X11682" t="s">
        <v>43182</v>
      </c>
    </row>
    <row r="11683" spans="1:24">
      <c r="A11683">
        <f>HYPERLINK("https://www.philgeps.gov.ph/GEPSNONPILOT/Tender/SplashBidNoticeAbstractUI.aspx?menuIndex=3&amp;refID=7061061&amp;Result=3","7061061")</f>
        <v>0</v>
      </c>
      <c r="B11683" t="s">
        <v>3159</v>
      </c>
      <c r="C11683" t="s">
        <v>14568</v>
      </c>
      <c r="D11683" t="s">
        <v>17464</v>
      </c>
      <c r="E11683" t="s">
        <v>27509</v>
      </c>
      <c r="F11683" t="s">
        <v>30054</v>
      </c>
      <c r="G11683" t="s">
        <v>30058</v>
      </c>
      <c r="H11683" t="s">
        <v>30067</v>
      </c>
      <c r="I11683" t="s">
        <v>3693</v>
      </c>
      <c r="J11683" t="s">
        <v>37346</v>
      </c>
      <c r="K11683" t="s">
        <v>39034</v>
      </c>
      <c r="M11683" t="s">
        <v>42766</v>
      </c>
      <c r="N11683" t="s">
        <v>43166</v>
      </c>
      <c r="O11683" t="s">
        <v>43167</v>
      </c>
      <c r="P11683">
        <v>0</v>
      </c>
      <c r="Q11683">
        <v>1</v>
      </c>
      <c r="R11683" t="s">
        <v>43181</v>
      </c>
      <c r="S11683" t="s">
        <v>43729</v>
      </c>
      <c r="T11683" t="s">
        <v>44843</v>
      </c>
      <c r="U11683" t="s">
        <v>54534</v>
      </c>
      <c r="W11683" t="s">
        <v>42766</v>
      </c>
      <c r="X11683" t="s">
        <v>43182</v>
      </c>
    </row>
    <row r="11684" spans="1:24">
      <c r="A11684">
        <f>HYPERLINK("https://www.philgeps.gov.ph/GEPSNONPILOT/Tender/SplashBidNoticeAbstractUI.aspx?menuIndex=3&amp;refID=7061088&amp;Result=3","7061088")</f>
        <v>0</v>
      </c>
      <c r="B11684" t="s">
        <v>1505</v>
      </c>
      <c r="C11684" t="s">
        <v>14569</v>
      </c>
      <c r="D11684" t="s">
        <v>17462</v>
      </c>
      <c r="E11684" t="s">
        <v>27510</v>
      </c>
      <c r="F11684" t="s">
        <v>30052</v>
      </c>
      <c r="G11684" t="s">
        <v>30058</v>
      </c>
      <c r="H11684" t="s">
        <v>30067</v>
      </c>
      <c r="I11684" t="s">
        <v>3693</v>
      </c>
      <c r="J11684" t="s">
        <v>30645</v>
      </c>
      <c r="K11684" t="s">
        <v>39031</v>
      </c>
      <c r="M11684" t="s">
        <v>40889</v>
      </c>
      <c r="N11684" t="s">
        <v>43166</v>
      </c>
      <c r="O11684" t="s">
        <v>43167</v>
      </c>
      <c r="P11684">
        <v>0</v>
      </c>
      <c r="Q11684">
        <v>10</v>
      </c>
      <c r="R11684" t="s">
        <v>43181</v>
      </c>
      <c r="S11684" t="s">
        <v>43729</v>
      </c>
      <c r="T11684" t="s">
        <v>44699</v>
      </c>
      <c r="U11684" t="s">
        <v>54525</v>
      </c>
      <c r="W11684" t="s">
        <v>58641</v>
      </c>
      <c r="X11684" t="s">
        <v>43182</v>
      </c>
    </row>
    <row r="11685" spans="1:24">
      <c r="A11685">
        <f>HYPERLINK("https://www.philgeps.gov.ph/GEPSNONPILOT/Tender/SplashBidNoticeAbstractUI.aspx?menuIndex=3&amp;refID=7061080&amp;Result=3","7061080")</f>
        <v>0</v>
      </c>
      <c r="B11685" t="s">
        <v>361</v>
      </c>
      <c r="C11685" t="s">
        <v>14570</v>
      </c>
      <c r="D11685" t="s">
        <v>17455</v>
      </c>
      <c r="E11685" t="s">
        <v>27511</v>
      </c>
      <c r="F11685" t="s">
        <v>30052</v>
      </c>
      <c r="G11685" t="s">
        <v>30061</v>
      </c>
      <c r="H11685" t="s">
        <v>15498</v>
      </c>
      <c r="I11685" t="s">
        <v>3736</v>
      </c>
      <c r="J11685" t="s">
        <v>37347</v>
      </c>
      <c r="K11685" t="s">
        <v>39034</v>
      </c>
      <c r="M11685" t="s">
        <v>39658</v>
      </c>
      <c r="N11685" t="s">
        <v>43166</v>
      </c>
      <c r="O11685" t="s">
        <v>43167</v>
      </c>
      <c r="P11685">
        <v>0</v>
      </c>
      <c r="Q11685">
        <v>4</v>
      </c>
      <c r="R11685" t="s">
        <v>43181</v>
      </c>
      <c r="S11685" t="s">
        <v>43729</v>
      </c>
      <c r="T11685" t="s">
        <v>44844</v>
      </c>
      <c r="U11685" t="s">
        <v>54532</v>
      </c>
      <c r="W11685" t="s">
        <v>39658</v>
      </c>
      <c r="X11685" t="s">
        <v>43182</v>
      </c>
    </row>
    <row r="11686" spans="1:24">
      <c r="A11686">
        <f>HYPERLINK("https://www.philgeps.gov.ph/GEPSNONPILOT/Tender/SplashBidNoticeAbstractUI.aspx?menuIndex=3&amp;refID=7061045&amp;Result=3","7061045")</f>
        <v>0</v>
      </c>
      <c r="B11686" t="s">
        <v>105</v>
      </c>
      <c r="C11686" t="s">
        <v>14571</v>
      </c>
      <c r="E11686" t="s">
        <v>27512</v>
      </c>
      <c r="F11686" t="s">
        <v>30052</v>
      </c>
      <c r="G11686" t="s">
        <v>30058</v>
      </c>
      <c r="H11686" t="s">
        <v>15498</v>
      </c>
      <c r="I11686" t="s">
        <v>30088</v>
      </c>
      <c r="J11686" t="s">
        <v>37348</v>
      </c>
      <c r="K11686" t="s">
        <v>39025</v>
      </c>
      <c r="M11686" t="s">
        <v>39394</v>
      </c>
      <c r="N11686" t="s">
        <v>43166</v>
      </c>
      <c r="O11686" t="s">
        <v>43167</v>
      </c>
      <c r="P11686">
        <v>0</v>
      </c>
      <c r="Q11686">
        <v>14</v>
      </c>
      <c r="R11686" t="s">
        <v>43181</v>
      </c>
      <c r="S11686" t="s">
        <v>43729</v>
      </c>
      <c r="T11686" t="s">
        <v>44856</v>
      </c>
      <c r="U11686" t="s">
        <v>54535</v>
      </c>
      <c r="W11686" t="s">
        <v>39394</v>
      </c>
      <c r="X11686" t="s">
        <v>43182</v>
      </c>
    </row>
    <row r="11687" spans="1:24">
      <c r="A11687">
        <f>HYPERLINK("https://www.philgeps.gov.ph/GEPSNONPILOT/Tender/SplashBidNoticeAbstractUI.aspx?menuIndex=3&amp;refID=7061038&amp;Result=3","7061038")</f>
        <v>0</v>
      </c>
      <c r="B11687" t="s">
        <v>954</v>
      </c>
      <c r="C11687" t="s">
        <v>14572</v>
      </c>
      <c r="D11687" t="s">
        <v>17463</v>
      </c>
      <c r="E11687" t="s">
        <v>27506</v>
      </c>
      <c r="F11687" t="s">
        <v>30052</v>
      </c>
      <c r="G11687" t="s">
        <v>30060</v>
      </c>
      <c r="H11687" t="s">
        <v>15498</v>
      </c>
      <c r="I11687" t="s">
        <v>3736</v>
      </c>
      <c r="J11687" t="s">
        <v>37349</v>
      </c>
      <c r="K11687" t="s">
        <v>39033</v>
      </c>
      <c r="M11687" t="s">
        <v>40280</v>
      </c>
      <c r="N11687" t="s">
        <v>43166</v>
      </c>
      <c r="O11687" t="s">
        <v>43167</v>
      </c>
      <c r="P11687">
        <v>0</v>
      </c>
      <c r="Q11687">
        <v>0</v>
      </c>
      <c r="R11687" t="s">
        <v>43181</v>
      </c>
      <c r="S11687" t="s">
        <v>43729</v>
      </c>
      <c r="T11687" t="s">
        <v>44724</v>
      </c>
      <c r="U11687" t="s">
        <v>54536</v>
      </c>
      <c r="W11687" t="s">
        <v>40280</v>
      </c>
      <c r="X11687" t="s">
        <v>43182</v>
      </c>
    </row>
    <row r="11688" spans="1:24">
      <c r="A11688">
        <f>HYPERLINK("https://www.philgeps.gov.ph/GEPSNONPILOT/Tender/SplashBidNoticeAbstractUI.aspx?menuIndex=3&amp;refID=7061023&amp;Result=3","7061023")</f>
        <v>0</v>
      </c>
      <c r="B11688" t="s">
        <v>1505</v>
      </c>
      <c r="C11688" t="s">
        <v>14573</v>
      </c>
      <c r="D11688" t="s">
        <v>17462</v>
      </c>
      <c r="E11688" t="s">
        <v>27513</v>
      </c>
      <c r="F11688" t="s">
        <v>30052</v>
      </c>
      <c r="G11688" t="s">
        <v>30058</v>
      </c>
      <c r="H11688" t="s">
        <v>30067</v>
      </c>
      <c r="I11688" t="s">
        <v>3693</v>
      </c>
      <c r="J11688" t="s">
        <v>30645</v>
      </c>
      <c r="K11688" t="s">
        <v>39026</v>
      </c>
      <c r="M11688" t="s">
        <v>40889</v>
      </c>
      <c r="N11688" t="s">
        <v>43166</v>
      </c>
      <c r="O11688" t="s">
        <v>43167</v>
      </c>
      <c r="Q11688">
        <v>9</v>
      </c>
      <c r="R11688" t="s">
        <v>43181</v>
      </c>
      <c r="S11688" t="s">
        <v>43289</v>
      </c>
      <c r="T11688" t="s">
        <v>44699</v>
      </c>
      <c r="U11688" t="s">
        <v>54525</v>
      </c>
      <c r="W11688" t="s">
        <v>58641</v>
      </c>
      <c r="X11688" t="s">
        <v>43182</v>
      </c>
    </row>
    <row r="11689" spans="1:24">
      <c r="A11689">
        <f>HYPERLINK("https://www.philgeps.gov.ph/GEPSNONPILOT/Tender/SplashBidNoticeAbstractUI.aspx?menuIndex=3&amp;refID=7061022&amp;Result=3","7061022")</f>
        <v>0</v>
      </c>
      <c r="B11689" t="s">
        <v>3160</v>
      </c>
      <c r="C11689" t="s">
        <v>14574</v>
      </c>
      <c r="D11689" t="s">
        <v>17415</v>
      </c>
      <c r="E11689" t="s">
        <v>27514</v>
      </c>
      <c r="F11689" t="s">
        <v>30052</v>
      </c>
      <c r="G11689" t="s">
        <v>30058</v>
      </c>
      <c r="H11689" t="s">
        <v>30067</v>
      </c>
      <c r="I11689" t="s">
        <v>3693</v>
      </c>
      <c r="J11689" t="s">
        <v>37350</v>
      </c>
      <c r="K11689" t="s">
        <v>39025</v>
      </c>
      <c r="M11689" t="s">
        <v>42767</v>
      </c>
      <c r="N11689" t="s">
        <v>43166</v>
      </c>
      <c r="O11689" t="s">
        <v>43167</v>
      </c>
      <c r="P11689">
        <v>0</v>
      </c>
      <c r="Q11689">
        <v>1</v>
      </c>
      <c r="R11689" t="s">
        <v>43181</v>
      </c>
      <c r="S11689" t="s">
        <v>43729</v>
      </c>
      <c r="T11689" t="s">
        <v>44761</v>
      </c>
      <c r="U11689" t="s">
        <v>54537</v>
      </c>
      <c r="W11689" t="s">
        <v>42767</v>
      </c>
      <c r="X11689" t="s">
        <v>43182</v>
      </c>
    </row>
    <row r="11690" spans="1:24">
      <c r="A11690">
        <f>HYPERLINK("https://www.philgeps.gov.ph/GEPSNONPILOT/Tender/SplashBidNoticeAbstractUI.aspx?menuIndex=3&amp;refID=7061019&amp;Result=3","7061019")</f>
        <v>0</v>
      </c>
      <c r="B11690" t="s">
        <v>3132</v>
      </c>
      <c r="C11690" t="s">
        <v>14575</v>
      </c>
      <c r="D11690" t="s">
        <v>17422</v>
      </c>
      <c r="E11690" t="s">
        <v>27515</v>
      </c>
      <c r="F11690" t="s">
        <v>30052</v>
      </c>
      <c r="G11690" t="s">
        <v>30058</v>
      </c>
      <c r="H11690" t="s">
        <v>15498</v>
      </c>
      <c r="I11690" t="s">
        <v>3736</v>
      </c>
      <c r="J11690" t="s">
        <v>37351</v>
      </c>
      <c r="K11690" t="s">
        <v>39034</v>
      </c>
      <c r="M11690" t="s">
        <v>42734</v>
      </c>
      <c r="N11690" t="s">
        <v>43166</v>
      </c>
      <c r="O11690" t="s">
        <v>43167</v>
      </c>
      <c r="P11690">
        <v>0</v>
      </c>
      <c r="Q11690">
        <v>0</v>
      </c>
      <c r="R11690" t="s">
        <v>43181</v>
      </c>
      <c r="S11690" t="s">
        <v>43729</v>
      </c>
      <c r="T11690" t="s">
        <v>44681</v>
      </c>
      <c r="U11690" t="s">
        <v>54538</v>
      </c>
      <c r="V11690" t="s">
        <v>58108</v>
      </c>
      <c r="W11690" t="s">
        <v>42734</v>
      </c>
      <c r="X11690" t="s">
        <v>43182</v>
      </c>
    </row>
    <row r="11691" spans="1:24">
      <c r="A11691">
        <f>HYPERLINK("https://www.philgeps.gov.ph/GEPSNONPILOT/Tender/SplashBidNoticeAbstractUI.aspx?menuIndex=3&amp;refID=7061016&amp;Result=3","7061016")</f>
        <v>0</v>
      </c>
      <c r="B11691" t="s">
        <v>361</v>
      </c>
      <c r="C11691" t="s">
        <v>14576</v>
      </c>
      <c r="D11691" t="s">
        <v>17455</v>
      </c>
      <c r="E11691" t="s">
        <v>27516</v>
      </c>
      <c r="F11691" t="s">
        <v>30052</v>
      </c>
      <c r="G11691" t="s">
        <v>30061</v>
      </c>
      <c r="H11691" t="s">
        <v>15498</v>
      </c>
      <c r="I11691" t="s">
        <v>30081</v>
      </c>
      <c r="J11691" t="s">
        <v>37352</v>
      </c>
      <c r="K11691" t="s">
        <v>39034</v>
      </c>
      <c r="M11691" t="s">
        <v>39658</v>
      </c>
      <c r="N11691" t="s">
        <v>43166</v>
      </c>
      <c r="O11691" t="s">
        <v>43167</v>
      </c>
      <c r="P11691">
        <v>0</v>
      </c>
      <c r="Q11691">
        <v>4</v>
      </c>
      <c r="R11691" t="s">
        <v>43181</v>
      </c>
      <c r="S11691" t="s">
        <v>43729</v>
      </c>
      <c r="T11691" t="s">
        <v>44844</v>
      </c>
      <c r="U11691" t="s">
        <v>54532</v>
      </c>
      <c r="W11691" t="s">
        <v>39658</v>
      </c>
      <c r="X11691" t="s">
        <v>43182</v>
      </c>
    </row>
    <row r="11692" spans="1:24">
      <c r="A11692">
        <f>HYPERLINK("https://www.philgeps.gov.ph/GEPSNONPILOT/Tender/SplashBidNoticeAbstractUI.aspx?menuIndex=3&amp;refID=7061056&amp;Result=3","7061056")</f>
        <v>0</v>
      </c>
      <c r="B11692" t="s">
        <v>3161</v>
      </c>
      <c r="C11692" t="s">
        <v>14577</v>
      </c>
      <c r="D11692" t="s">
        <v>17415</v>
      </c>
      <c r="E11692" t="s">
        <v>27517</v>
      </c>
      <c r="F11692" t="s">
        <v>30052</v>
      </c>
      <c r="G11692" t="s">
        <v>30058</v>
      </c>
      <c r="H11692" t="s">
        <v>30069</v>
      </c>
      <c r="I11692" t="s">
        <v>3852</v>
      </c>
      <c r="J11692" t="s">
        <v>30252</v>
      </c>
      <c r="K11692" t="s">
        <v>39064</v>
      </c>
      <c r="M11692" t="s">
        <v>42768</v>
      </c>
      <c r="N11692" t="s">
        <v>43166</v>
      </c>
      <c r="O11692" t="s">
        <v>43167</v>
      </c>
      <c r="P11692">
        <v>0</v>
      </c>
      <c r="Q11692">
        <v>0</v>
      </c>
      <c r="R11692" t="s">
        <v>43181</v>
      </c>
      <c r="S11692" t="s">
        <v>43729</v>
      </c>
      <c r="T11692" t="s">
        <v>44679</v>
      </c>
      <c r="U11692" t="s">
        <v>54539</v>
      </c>
      <c r="W11692" t="s">
        <v>42768</v>
      </c>
      <c r="X11692" t="s">
        <v>43182</v>
      </c>
    </row>
    <row r="11693" spans="1:24">
      <c r="A11693">
        <f>HYPERLINK("https://www.philgeps.gov.ph/GEPSNONPILOT/Tender/SplashBidNoticeAbstractUI.aspx?menuIndex=3&amp;refID=7061139&amp;Result=3","7061139")</f>
        <v>0</v>
      </c>
      <c r="B11693" t="s">
        <v>1505</v>
      </c>
      <c r="C11693" t="s">
        <v>14578</v>
      </c>
      <c r="D11693" t="s">
        <v>17462</v>
      </c>
      <c r="E11693" t="s">
        <v>27518</v>
      </c>
      <c r="F11693" t="s">
        <v>30052</v>
      </c>
      <c r="G11693" t="s">
        <v>30058</v>
      </c>
      <c r="H11693" t="s">
        <v>30067</v>
      </c>
      <c r="I11693" t="s">
        <v>3693</v>
      </c>
      <c r="J11693" t="s">
        <v>31772</v>
      </c>
      <c r="K11693" t="s">
        <v>39046</v>
      </c>
      <c r="M11693" t="s">
        <v>40889</v>
      </c>
      <c r="N11693" t="s">
        <v>43166</v>
      </c>
      <c r="O11693" t="s">
        <v>43167</v>
      </c>
      <c r="P11693">
        <v>0</v>
      </c>
      <c r="Q11693">
        <v>7</v>
      </c>
      <c r="R11693" t="s">
        <v>43181</v>
      </c>
      <c r="S11693" t="s">
        <v>43729</v>
      </c>
      <c r="T11693" t="s">
        <v>44699</v>
      </c>
      <c r="U11693" t="s">
        <v>54525</v>
      </c>
      <c r="W11693" t="s">
        <v>58641</v>
      </c>
      <c r="X11693" t="s">
        <v>43182</v>
      </c>
    </row>
    <row r="11694" spans="1:24">
      <c r="A11694">
        <f>HYPERLINK("https://www.philgeps.gov.ph/GEPSNONPILOT/Tender/SplashBidNoticeAbstractUI.aspx?menuIndex=3&amp;refID=7061161&amp;Result=3","7061161")</f>
        <v>0</v>
      </c>
      <c r="B11694" t="s">
        <v>1505</v>
      </c>
      <c r="C11694" t="s">
        <v>14579</v>
      </c>
      <c r="D11694" t="s">
        <v>17462</v>
      </c>
      <c r="E11694" t="s">
        <v>27519</v>
      </c>
      <c r="F11694" t="s">
        <v>30052</v>
      </c>
      <c r="G11694" t="s">
        <v>30058</v>
      </c>
      <c r="H11694" t="s">
        <v>30067</v>
      </c>
      <c r="I11694" t="s">
        <v>3693</v>
      </c>
      <c r="J11694" t="s">
        <v>37353</v>
      </c>
      <c r="K11694" t="s">
        <v>39057</v>
      </c>
      <c r="M11694" t="s">
        <v>40889</v>
      </c>
      <c r="N11694" t="s">
        <v>43166</v>
      </c>
      <c r="O11694" t="s">
        <v>43167</v>
      </c>
      <c r="Q11694">
        <v>10</v>
      </c>
      <c r="R11694" t="s">
        <v>43181</v>
      </c>
      <c r="S11694" t="s">
        <v>43498</v>
      </c>
      <c r="T11694" t="s">
        <v>44699</v>
      </c>
      <c r="U11694" t="s">
        <v>54525</v>
      </c>
      <c r="W11694" t="s">
        <v>58641</v>
      </c>
      <c r="X11694" t="s">
        <v>43182</v>
      </c>
    </row>
    <row r="11695" spans="1:24">
      <c r="A11695">
        <f>HYPERLINK("https://www.philgeps.gov.ph/GEPSNONPILOT/Tender/SplashBidNoticeAbstractUI.aspx?menuIndex=3&amp;refID=7061067&amp;Result=3","7061067")</f>
        <v>0</v>
      </c>
      <c r="B11695" t="s">
        <v>1856</v>
      </c>
      <c r="C11695" t="s">
        <v>14580</v>
      </c>
      <c r="D11695" t="s">
        <v>17455</v>
      </c>
      <c r="E11695" t="s">
        <v>27520</v>
      </c>
      <c r="F11695" t="s">
        <v>30052</v>
      </c>
      <c r="G11695" t="s">
        <v>30058</v>
      </c>
      <c r="H11695" t="s">
        <v>30069</v>
      </c>
      <c r="I11695" t="s">
        <v>30073</v>
      </c>
      <c r="J11695" t="s">
        <v>37354</v>
      </c>
      <c r="K11695" t="s">
        <v>39048</v>
      </c>
      <c r="M11695" t="s">
        <v>41284</v>
      </c>
      <c r="N11695" t="s">
        <v>43166</v>
      </c>
      <c r="O11695" t="s">
        <v>43167</v>
      </c>
      <c r="P11695">
        <v>0</v>
      </c>
      <c r="Q11695">
        <v>0</v>
      </c>
      <c r="R11695" t="s">
        <v>43181</v>
      </c>
      <c r="S11695" t="s">
        <v>43729</v>
      </c>
      <c r="T11695" t="s">
        <v>44733</v>
      </c>
      <c r="U11695" t="s">
        <v>54540</v>
      </c>
      <c r="W11695" t="s">
        <v>41284</v>
      </c>
      <c r="X11695" t="s">
        <v>43182</v>
      </c>
    </row>
    <row r="11696" spans="1:24">
      <c r="A11696">
        <f>HYPERLINK("https://www.philgeps.gov.ph/GEPSNONPILOT/Tender/SplashBidNoticeAbstractUI.aspx?menuIndex=3&amp;refID=7060924&amp;Result=3","7060924")</f>
        <v>0</v>
      </c>
      <c r="B11696" t="s">
        <v>1505</v>
      </c>
      <c r="C11696" t="s">
        <v>14581</v>
      </c>
      <c r="D11696" t="s">
        <v>17462</v>
      </c>
      <c r="E11696" t="s">
        <v>27521</v>
      </c>
      <c r="F11696" t="s">
        <v>30052</v>
      </c>
      <c r="G11696" t="s">
        <v>30058</v>
      </c>
      <c r="H11696" t="s">
        <v>30067</v>
      </c>
      <c r="I11696" t="s">
        <v>3693</v>
      </c>
      <c r="J11696" t="s">
        <v>30240</v>
      </c>
      <c r="K11696" t="s">
        <v>39023</v>
      </c>
      <c r="M11696" t="s">
        <v>40889</v>
      </c>
      <c r="N11696" t="s">
        <v>43166</v>
      </c>
      <c r="O11696" t="s">
        <v>43167</v>
      </c>
      <c r="P11696">
        <v>0</v>
      </c>
      <c r="Q11696">
        <v>8</v>
      </c>
      <c r="R11696" t="s">
        <v>43181</v>
      </c>
      <c r="S11696" t="s">
        <v>43729</v>
      </c>
      <c r="T11696" t="s">
        <v>44699</v>
      </c>
      <c r="U11696" t="s">
        <v>54525</v>
      </c>
      <c r="W11696" t="s">
        <v>58641</v>
      </c>
      <c r="X11696" t="s">
        <v>43182</v>
      </c>
    </row>
    <row r="11697" spans="1:24">
      <c r="A11697">
        <f>HYPERLINK("https://www.philgeps.gov.ph/GEPSNONPILOT/Tender/SplashBidNoticeAbstractUI.aspx?menuIndex=3&amp;refID=7061156&amp;Result=3","7061156")</f>
        <v>0</v>
      </c>
      <c r="B11697" t="s">
        <v>361</v>
      </c>
      <c r="C11697" t="s">
        <v>14582</v>
      </c>
      <c r="D11697" t="s">
        <v>17455</v>
      </c>
      <c r="E11697" t="s">
        <v>27522</v>
      </c>
      <c r="F11697" t="s">
        <v>30052</v>
      </c>
      <c r="G11697" t="s">
        <v>30061</v>
      </c>
      <c r="H11697" t="s">
        <v>30067</v>
      </c>
      <c r="I11697" t="s">
        <v>30076</v>
      </c>
      <c r="J11697" t="s">
        <v>37355</v>
      </c>
      <c r="K11697" t="s">
        <v>39034</v>
      </c>
      <c r="M11697" t="s">
        <v>39658</v>
      </c>
      <c r="N11697" t="s">
        <v>43166</v>
      </c>
      <c r="O11697" t="s">
        <v>43167</v>
      </c>
      <c r="P11697">
        <v>0</v>
      </c>
      <c r="Q11697">
        <v>8</v>
      </c>
      <c r="R11697" t="s">
        <v>43181</v>
      </c>
      <c r="S11697" t="s">
        <v>43729</v>
      </c>
      <c r="T11697" t="s">
        <v>44844</v>
      </c>
      <c r="U11697" t="s">
        <v>54532</v>
      </c>
      <c r="W11697" t="s">
        <v>39658</v>
      </c>
      <c r="X11697" t="s">
        <v>43182</v>
      </c>
    </row>
    <row r="11698" spans="1:24">
      <c r="A11698">
        <f>HYPERLINK("https://www.philgeps.gov.ph/GEPSNONPILOT/Tender/SplashBidNoticeAbstractUI.aspx?menuIndex=3&amp;refID=7061152&amp;Result=3","7061152")</f>
        <v>0</v>
      </c>
      <c r="B11698" t="s">
        <v>1505</v>
      </c>
      <c r="C11698" t="s">
        <v>14583</v>
      </c>
      <c r="D11698" t="s">
        <v>17462</v>
      </c>
      <c r="E11698" t="s">
        <v>27523</v>
      </c>
      <c r="F11698" t="s">
        <v>30052</v>
      </c>
      <c r="G11698" t="s">
        <v>30058</v>
      </c>
      <c r="H11698" t="s">
        <v>30067</v>
      </c>
      <c r="I11698" t="s">
        <v>3693</v>
      </c>
      <c r="J11698" t="s">
        <v>30240</v>
      </c>
      <c r="K11698" t="s">
        <v>39046</v>
      </c>
      <c r="M11698" t="s">
        <v>40889</v>
      </c>
      <c r="N11698" t="s">
        <v>43166</v>
      </c>
      <c r="O11698" t="s">
        <v>43167</v>
      </c>
      <c r="P11698">
        <v>0</v>
      </c>
      <c r="Q11698">
        <v>8</v>
      </c>
      <c r="R11698" t="s">
        <v>43181</v>
      </c>
      <c r="S11698" t="s">
        <v>43729</v>
      </c>
      <c r="T11698" t="s">
        <v>44699</v>
      </c>
      <c r="U11698" t="s">
        <v>54525</v>
      </c>
      <c r="W11698" t="s">
        <v>58641</v>
      </c>
      <c r="X11698" t="s">
        <v>43182</v>
      </c>
    </row>
    <row r="11699" spans="1:24">
      <c r="A11699">
        <f>HYPERLINK("https://www.philgeps.gov.ph/GEPSNONPILOT/Tender/SplashBidNoticeAbstractUI.aspx?menuIndex=3&amp;refID=7061158&amp;Result=3","7061158")</f>
        <v>0</v>
      </c>
      <c r="B11699" t="s">
        <v>2676</v>
      </c>
      <c r="C11699" t="s">
        <v>14584</v>
      </c>
      <c r="D11699" t="s">
        <v>17448</v>
      </c>
      <c r="E11699" t="s">
        <v>27524</v>
      </c>
      <c r="F11699" t="s">
        <v>30052</v>
      </c>
      <c r="G11699" t="s">
        <v>30058</v>
      </c>
      <c r="H11699" t="s">
        <v>15498</v>
      </c>
      <c r="I11699" t="s">
        <v>30084</v>
      </c>
      <c r="J11699" t="s">
        <v>37356</v>
      </c>
      <c r="K11699" t="s">
        <v>39025</v>
      </c>
      <c r="L11699" t="s">
        <v>2676</v>
      </c>
      <c r="M11699" t="s">
        <v>42196</v>
      </c>
      <c r="N11699" t="s">
        <v>43166</v>
      </c>
      <c r="O11699" t="s">
        <v>43167</v>
      </c>
      <c r="P11699">
        <v>0</v>
      </c>
      <c r="Q11699">
        <v>16</v>
      </c>
      <c r="R11699" t="s">
        <v>43181</v>
      </c>
      <c r="S11699" t="s">
        <v>43729</v>
      </c>
      <c r="T11699" t="s">
        <v>44753</v>
      </c>
      <c r="U11699" t="s">
        <v>54541</v>
      </c>
      <c r="W11699" t="s">
        <v>42196</v>
      </c>
      <c r="X11699" t="s">
        <v>43182</v>
      </c>
    </row>
    <row r="11700" spans="1:24">
      <c r="A11700">
        <f>HYPERLINK("https://www.philgeps.gov.ph/GEPSNONPILOT/Tender/SplashBidNoticeAbstractUI.aspx?menuIndex=3&amp;refID=7061146&amp;Result=3","7061146")</f>
        <v>0</v>
      </c>
      <c r="B11700" t="s">
        <v>1505</v>
      </c>
      <c r="C11700" t="s">
        <v>14585</v>
      </c>
      <c r="D11700" t="s">
        <v>17462</v>
      </c>
      <c r="E11700" t="s">
        <v>27525</v>
      </c>
      <c r="F11700" t="s">
        <v>30052</v>
      </c>
      <c r="G11700" t="s">
        <v>30058</v>
      </c>
      <c r="H11700" t="s">
        <v>30067</v>
      </c>
      <c r="I11700" t="s">
        <v>3693</v>
      </c>
      <c r="J11700" t="s">
        <v>31772</v>
      </c>
      <c r="K11700" t="s">
        <v>39046</v>
      </c>
      <c r="M11700" t="s">
        <v>40889</v>
      </c>
      <c r="N11700" t="s">
        <v>43166</v>
      </c>
      <c r="O11700" t="s">
        <v>43167</v>
      </c>
      <c r="P11700">
        <v>0</v>
      </c>
      <c r="Q11700">
        <v>7</v>
      </c>
      <c r="R11700" t="s">
        <v>43181</v>
      </c>
      <c r="S11700" t="s">
        <v>43729</v>
      </c>
      <c r="T11700" t="s">
        <v>44699</v>
      </c>
      <c r="U11700" t="s">
        <v>54525</v>
      </c>
      <c r="W11700" t="s">
        <v>58641</v>
      </c>
      <c r="X11700" t="s">
        <v>43182</v>
      </c>
    </row>
    <row r="11701" spans="1:24">
      <c r="A11701">
        <f>HYPERLINK("https://www.philgeps.gov.ph/GEPSNONPILOT/Tender/SplashBidNoticeAbstractUI.aspx?menuIndex=3&amp;refID=7061138&amp;Result=3","7061138")</f>
        <v>0</v>
      </c>
      <c r="B11701" t="s">
        <v>1427</v>
      </c>
      <c r="C11701" t="s">
        <v>14586</v>
      </c>
      <c r="E11701" t="s">
        <v>27526</v>
      </c>
      <c r="F11701" t="s">
        <v>30052</v>
      </c>
      <c r="G11701" t="s">
        <v>30058</v>
      </c>
      <c r="H11701" t="s">
        <v>30067</v>
      </c>
      <c r="I11701" t="s">
        <v>3693</v>
      </c>
      <c r="J11701" t="s">
        <v>30222</v>
      </c>
      <c r="K11701" t="s">
        <v>39025</v>
      </c>
      <c r="M11701" t="s">
        <v>40805</v>
      </c>
      <c r="N11701" t="s">
        <v>43166</v>
      </c>
      <c r="O11701" t="s">
        <v>43167</v>
      </c>
      <c r="P11701">
        <v>0</v>
      </c>
      <c r="Q11701">
        <v>0</v>
      </c>
      <c r="R11701" t="s">
        <v>43181</v>
      </c>
      <c r="S11701" t="s">
        <v>43729</v>
      </c>
      <c r="T11701" t="s">
        <v>44741</v>
      </c>
      <c r="U11701" t="s">
        <v>54542</v>
      </c>
      <c r="W11701" t="s">
        <v>40805</v>
      </c>
      <c r="X11701" t="s">
        <v>43182</v>
      </c>
    </row>
    <row r="11702" spans="1:24">
      <c r="A11702">
        <f>HYPERLINK("https://www.philgeps.gov.ph/GEPSNONPILOT/Tender/SplashBidNoticeAbstractUI.aspx?menuIndex=3&amp;refID=7061137&amp;Result=3","7061137")</f>
        <v>0</v>
      </c>
      <c r="B11702" t="s">
        <v>3159</v>
      </c>
      <c r="C11702" t="s">
        <v>14587</v>
      </c>
      <c r="D11702" t="s">
        <v>17464</v>
      </c>
      <c r="E11702" t="s">
        <v>27527</v>
      </c>
      <c r="F11702" t="s">
        <v>30054</v>
      </c>
      <c r="G11702" t="s">
        <v>30058</v>
      </c>
      <c r="H11702" t="s">
        <v>30068</v>
      </c>
      <c r="I11702" t="s">
        <v>30072</v>
      </c>
      <c r="J11702" t="s">
        <v>30586</v>
      </c>
      <c r="K11702" t="s">
        <v>39036</v>
      </c>
      <c r="M11702" t="s">
        <v>42766</v>
      </c>
      <c r="N11702" t="s">
        <v>43166</v>
      </c>
      <c r="O11702" t="s">
        <v>43167</v>
      </c>
      <c r="P11702">
        <v>0</v>
      </c>
      <c r="Q11702">
        <v>1</v>
      </c>
      <c r="R11702" t="s">
        <v>43181</v>
      </c>
      <c r="S11702" t="s">
        <v>43729</v>
      </c>
      <c r="T11702" t="s">
        <v>44843</v>
      </c>
      <c r="U11702" t="s">
        <v>54543</v>
      </c>
      <c r="W11702" t="s">
        <v>42766</v>
      </c>
      <c r="X11702" t="s">
        <v>43182</v>
      </c>
    </row>
    <row r="11703" spans="1:24">
      <c r="A11703">
        <f>HYPERLINK("https://www.philgeps.gov.ph/GEPSNONPILOT/Tender/SplashBidNoticeAbstractUI.aspx?menuIndex=3&amp;refID=7061130&amp;Result=3","7061130")</f>
        <v>0</v>
      </c>
      <c r="B11703" t="s">
        <v>1032</v>
      </c>
      <c r="C11703" t="s">
        <v>14588</v>
      </c>
      <c r="D11703" t="s">
        <v>17485</v>
      </c>
      <c r="E11703" t="s">
        <v>27528</v>
      </c>
      <c r="F11703" t="s">
        <v>30052</v>
      </c>
      <c r="G11703" t="s">
        <v>30058</v>
      </c>
      <c r="H11703" t="s">
        <v>30067</v>
      </c>
      <c r="I11703" t="s">
        <v>3693</v>
      </c>
      <c r="J11703" t="s">
        <v>33318</v>
      </c>
      <c r="K11703" t="s">
        <v>39022</v>
      </c>
      <c r="M11703" t="s">
        <v>40361</v>
      </c>
      <c r="N11703" t="s">
        <v>43166</v>
      </c>
      <c r="O11703" t="s">
        <v>43167</v>
      </c>
      <c r="P11703">
        <v>0</v>
      </c>
      <c r="Q11703">
        <v>0</v>
      </c>
      <c r="R11703" t="s">
        <v>43181</v>
      </c>
      <c r="S11703" t="s">
        <v>43729</v>
      </c>
      <c r="T11703" t="s">
        <v>44733</v>
      </c>
      <c r="U11703" t="s">
        <v>54544</v>
      </c>
      <c r="V11703" t="s">
        <v>58127</v>
      </c>
      <c r="W11703" t="s">
        <v>40361</v>
      </c>
      <c r="X11703" t="s">
        <v>43182</v>
      </c>
    </row>
    <row r="11704" spans="1:24">
      <c r="A11704">
        <f>HYPERLINK("https://www.philgeps.gov.ph/GEPSNONPILOT/Tender/SplashBidNoticeAbstractUI.aspx?menuIndex=3&amp;refID=7061129&amp;Result=3","7061129")</f>
        <v>0</v>
      </c>
      <c r="B11704" t="s">
        <v>1505</v>
      </c>
      <c r="C11704" t="s">
        <v>14589</v>
      </c>
      <c r="D11704" t="s">
        <v>17462</v>
      </c>
      <c r="E11704" t="s">
        <v>27529</v>
      </c>
      <c r="F11704" t="s">
        <v>30052</v>
      </c>
      <c r="G11704" t="s">
        <v>30058</v>
      </c>
      <c r="H11704" t="s">
        <v>30067</v>
      </c>
      <c r="I11704" t="s">
        <v>3693</v>
      </c>
      <c r="J11704" t="s">
        <v>30645</v>
      </c>
      <c r="K11704" t="s">
        <v>39031</v>
      </c>
      <c r="M11704" t="s">
        <v>40889</v>
      </c>
      <c r="N11704" t="s">
        <v>43166</v>
      </c>
      <c r="O11704" t="s">
        <v>43167</v>
      </c>
      <c r="P11704">
        <v>0</v>
      </c>
      <c r="Q11704">
        <v>10</v>
      </c>
      <c r="R11704" t="s">
        <v>43181</v>
      </c>
      <c r="S11704" t="s">
        <v>43729</v>
      </c>
      <c r="T11704" t="s">
        <v>44699</v>
      </c>
      <c r="U11704" t="s">
        <v>54525</v>
      </c>
      <c r="W11704" t="s">
        <v>58641</v>
      </c>
      <c r="X11704" t="s">
        <v>43182</v>
      </c>
    </row>
    <row r="11705" spans="1:24">
      <c r="A11705">
        <f>HYPERLINK("https://www.philgeps.gov.ph/GEPSNONPILOT/Tender/SplashBidNoticeAbstractUI.aspx?menuIndex=3&amp;refID=7061123&amp;Result=3","7061123")</f>
        <v>0</v>
      </c>
      <c r="B11705" t="s">
        <v>623</v>
      </c>
      <c r="C11705" t="s">
        <v>14590</v>
      </c>
      <c r="D11705" t="s">
        <v>17449</v>
      </c>
      <c r="E11705" t="s">
        <v>27530</v>
      </c>
      <c r="F11705" t="s">
        <v>30052</v>
      </c>
      <c r="G11705" t="s">
        <v>30058</v>
      </c>
      <c r="H11705" t="s">
        <v>30067</v>
      </c>
      <c r="I11705" t="s">
        <v>3693</v>
      </c>
      <c r="J11705" t="s">
        <v>37357</v>
      </c>
      <c r="K11705" t="s">
        <v>39022</v>
      </c>
      <c r="M11705" t="s">
        <v>42131</v>
      </c>
      <c r="N11705" t="s">
        <v>43166</v>
      </c>
      <c r="O11705" t="s">
        <v>43167</v>
      </c>
      <c r="Q11705">
        <v>4</v>
      </c>
      <c r="R11705" t="s">
        <v>43181</v>
      </c>
      <c r="S11705" t="s">
        <v>43773</v>
      </c>
      <c r="T11705" t="s">
        <v>44741</v>
      </c>
      <c r="U11705" t="s">
        <v>54545</v>
      </c>
      <c r="W11705" t="s">
        <v>42131</v>
      </c>
      <c r="X11705" t="s">
        <v>43182</v>
      </c>
    </row>
    <row r="11706" spans="1:24">
      <c r="A11706">
        <f>HYPERLINK("https://www.philgeps.gov.ph/GEPSNONPILOT/Tender/SplashBidNoticeAbstractUI.aspx?menuIndex=3&amp;refID=7061121&amp;Result=3","7061121")</f>
        <v>0</v>
      </c>
      <c r="B11706" t="s">
        <v>1427</v>
      </c>
      <c r="C11706" t="s">
        <v>14591</v>
      </c>
      <c r="E11706" t="s">
        <v>27531</v>
      </c>
      <c r="F11706" t="s">
        <v>30052</v>
      </c>
      <c r="G11706" t="s">
        <v>30058</v>
      </c>
      <c r="H11706" t="s">
        <v>30067</v>
      </c>
      <c r="I11706" t="s">
        <v>3693</v>
      </c>
      <c r="J11706" t="s">
        <v>30222</v>
      </c>
      <c r="K11706" t="s">
        <v>39025</v>
      </c>
      <c r="M11706" t="s">
        <v>40805</v>
      </c>
      <c r="N11706" t="s">
        <v>43166</v>
      </c>
      <c r="O11706" t="s">
        <v>43167</v>
      </c>
      <c r="P11706">
        <v>0</v>
      </c>
      <c r="Q11706">
        <v>0</v>
      </c>
      <c r="R11706" t="s">
        <v>43181</v>
      </c>
      <c r="S11706" t="s">
        <v>43729</v>
      </c>
      <c r="T11706" t="s">
        <v>44704</v>
      </c>
      <c r="U11706" t="s">
        <v>54546</v>
      </c>
      <c r="W11706" t="s">
        <v>40805</v>
      </c>
      <c r="X11706" t="s">
        <v>43182</v>
      </c>
    </row>
    <row r="11707" spans="1:24">
      <c r="A11707">
        <f>HYPERLINK("https://www.philgeps.gov.ph/GEPSNONPILOT/Tender/SplashBidNoticeAbstractUI.aspx?menuIndex=3&amp;refID=7061116&amp;Result=3","7061116")</f>
        <v>0</v>
      </c>
      <c r="B11707" t="s">
        <v>1505</v>
      </c>
      <c r="C11707" t="s">
        <v>14592</v>
      </c>
      <c r="D11707" t="s">
        <v>17462</v>
      </c>
      <c r="E11707" t="s">
        <v>27532</v>
      </c>
      <c r="F11707" t="s">
        <v>30052</v>
      </c>
      <c r="G11707" t="s">
        <v>30058</v>
      </c>
      <c r="H11707" t="s">
        <v>30067</v>
      </c>
      <c r="I11707" t="s">
        <v>3693</v>
      </c>
      <c r="J11707" t="s">
        <v>30645</v>
      </c>
      <c r="K11707" t="s">
        <v>39031</v>
      </c>
      <c r="M11707" t="s">
        <v>40889</v>
      </c>
      <c r="N11707" t="s">
        <v>43166</v>
      </c>
      <c r="O11707" t="s">
        <v>43167</v>
      </c>
      <c r="P11707">
        <v>0</v>
      </c>
      <c r="Q11707">
        <v>9</v>
      </c>
      <c r="R11707" t="s">
        <v>43181</v>
      </c>
      <c r="S11707" t="s">
        <v>43729</v>
      </c>
      <c r="T11707" t="s">
        <v>44699</v>
      </c>
      <c r="U11707" t="s">
        <v>54525</v>
      </c>
      <c r="W11707" t="s">
        <v>58641</v>
      </c>
      <c r="X11707" t="s">
        <v>43182</v>
      </c>
    </row>
    <row r="11708" spans="1:24">
      <c r="A11708">
        <f>HYPERLINK("https://www.philgeps.gov.ph/GEPSNONPILOT/Tender/SplashBidNoticeAbstractUI.aspx?menuIndex=3&amp;refID=7061107&amp;Result=3","7061107")</f>
        <v>0</v>
      </c>
      <c r="B11708" t="s">
        <v>1566</v>
      </c>
      <c r="C11708" t="s">
        <v>14593</v>
      </c>
      <c r="D11708" t="s">
        <v>17486</v>
      </c>
      <c r="E11708" t="s">
        <v>27533</v>
      </c>
      <c r="F11708" t="s">
        <v>30052</v>
      </c>
      <c r="G11708" t="s">
        <v>30058</v>
      </c>
      <c r="H11708" t="s">
        <v>15498</v>
      </c>
      <c r="I11708" t="s">
        <v>4650</v>
      </c>
      <c r="J11708" t="s">
        <v>34093</v>
      </c>
      <c r="K11708" t="s">
        <v>39029</v>
      </c>
      <c r="M11708" t="s">
        <v>40955</v>
      </c>
      <c r="N11708" t="s">
        <v>43166</v>
      </c>
      <c r="O11708" t="s">
        <v>43167</v>
      </c>
      <c r="P11708">
        <v>0</v>
      </c>
      <c r="Q11708">
        <v>8</v>
      </c>
      <c r="R11708" t="s">
        <v>43181</v>
      </c>
      <c r="S11708" t="s">
        <v>43729</v>
      </c>
      <c r="T11708" t="s">
        <v>44753</v>
      </c>
      <c r="U11708" t="s">
        <v>54547</v>
      </c>
      <c r="W11708" t="s">
        <v>40955</v>
      </c>
      <c r="X11708" t="s">
        <v>43182</v>
      </c>
    </row>
    <row r="11709" spans="1:24">
      <c r="A11709">
        <f>HYPERLINK("https://www.philgeps.gov.ph/GEPSNONPILOT/Tender/SplashBidNoticeAbstractUI.aspx?menuIndex=3&amp;refID=7061015&amp;Result=3","7061015")</f>
        <v>0</v>
      </c>
      <c r="B11709" t="s">
        <v>3159</v>
      </c>
      <c r="C11709" t="s">
        <v>14594</v>
      </c>
      <c r="D11709" t="s">
        <v>17464</v>
      </c>
      <c r="E11709" t="s">
        <v>27534</v>
      </c>
      <c r="F11709" t="s">
        <v>30054</v>
      </c>
      <c r="G11709" t="s">
        <v>30058</v>
      </c>
      <c r="H11709" t="s">
        <v>30067</v>
      </c>
      <c r="I11709" t="s">
        <v>3693</v>
      </c>
      <c r="J11709" t="s">
        <v>37358</v>
      </c>
      <c r="K11709" t="s">
        <v>39034</v>
      </c>
      <c r="M11709" t="s">
        <v>42766</v>
      </c>
      <c r="N11709" t="s">
        <v>43166</v>
      </c>
      <c r="O11709" t="s">
        <v>43167</v>
      </c>
      <c r="P11709">
        <v>0</v>
      </c>
      <c r="Q11709">
        <v>1</v>
      </c>
      <c r="R11709" t="s">
        <v>43181</v>
      </c>
      <c r="S11709" t="s">
        <v>43729</v>
      </c>
      <c r="T11709" t="s">
        <v>44843</v>
      </c>
      <c r="U11709" t="s">
        <v>54548</v>
      </c>
      <c r="W11709" t="s">
        <v>42766</v>
      </c>
      <c r="X11709" t="s">
        <v>43182</v>
      </c>
    </row>
    <row r="11710" spans="1:24">
      <c r="A11710">
        <f>HYPERLINK("https://www.philgeps.gov.ph/GEPSNONPILOT/Tender/SplashBidNoticeAbstractUI.aspx?menuIndex=3&amp;refID=7061102&amp;Result=3","7061102")</f>
        <v>0</v>
      </c>
      <c r="B11710" t="s">
        <v>2220</v>
      </c>
      <c r="C11710" t="s">
        <v>14595</v>
      </c>
      <c r="D11710" t="s">
        <v>17427</v>
      </c>
      <c r="E11710" t="s">
        <v>27520</v>
      </c>
      <c r="F11710" t="s">
        <v>30052</v>
      </c>
      <c r="G11710" t="s">
        <v>30058</v>
      </c>
      <c r="H11710" t="s">
        <v>15498</v>
      </c>
      <c r="I11710" t="s">
        <v>30084</v>
      </c>
      <c r="J11710" t="s">
        <v>37359</v>
      </c>
      <c r="K11710" t="s">
        <v>39019</v>
      </c>
      <c r="M11710" t="s">
        <v>41691</v>
      </c>
      <c r="N11710" t="s">
        <v>43166</v>
      </c>
      <c r="O11710" t="s">
        <v>43167</v>
      </c>
      <c r="P11710">
        <v>0</v>
      </c>
      <c r="Q11710">
        <v>4</v>
      </c>
      <c r="R11710" t="s">
        <v>43181</v>
      </c>
      <c r="S11710" t="s">
        <v>43729</v>
      </c>
      <c r="T11710" t="s">
        <v>44717</v>
      </c>
      <c r="U11710" t="s">
        <v>54549</v>
      </c>
      <c r="W11710" t="s">
        <v>41691</v>
      </c>
      <c r="X11710" t="s">
        <v>43182</v>
      </c>
    </row>
    <row r="11711" spans="1:24">
      <c r="A11711">
        <f>HYPERLINK("https://www.philgeps.gov.ph/GEPSNONPILOT/Tender/SplashBidNoticeAbstractUI.aspx?menuIndex=3&amp;refID=7061090&amp;Result=3","7061090")</f>
        <v>0</v>
      </c>
      <c r="B11711" t="s">
        <v>138</v>
      </c>
      <c r="C11711" t="s">
        <v>14596</v>
      </c>
      <c r="D11711" t="s">
        <v>17511</v>
      </c>
      <c r="E11711" t="s">
        <v>27535</v>
      </c>
      <c r="F11711" t="s">
        <v>30052</v>
      </c>
      <c r="G11711" t="s">
        <v>30058</v>
      </c>
      <c r="H11711" t="s">
        <v>15498</v>
      </c>
      <c r="I11711" t="s">
        <v>30087</v>
      </c>
      <c r="J11711" t="s">
        <v>37360</v>
      </c>
      <c r="K11711" t="s">
        <v>39029</v>
      </c>
      <c r="M11711" t="s">
        <v>41707</v>
      </c>
      <c r="N11711" t="s">
        <v>43166</v>
      </c>
      <c r="O11711" t="s">
        <v>43167</v>
      </c>
      <c r="P11711">
        <v>0</v>
      </c>
      <c r="Q11711">
        <v>0</v>
      </c>
      <c r="R11711" t="s">
        <v>43181</v>
      </c>
      <c r="S11711" t="s">
        <v>43729</v>
      </c>
      <c r="T11711" t="s">
        <v>44689</v>
      </c>
      <c r="U11711" t="s">
        <v>54550</v>
      </c>
      <c r="W11711" t="s">
        <v>41707</v>
      </c>
      <c r="X11711" t="s">
        <v>43182</v>
      </c>
    </row>
    <row r="11712" spans="1:24">
      <c r="A11712">
        <f>HYPERLINK("https://www.philgeps.gov.ph/GEPSNONPILOT/Tender/SplashBidNoticeAbstractUI.aspx?menuIndex=3&amp;refID=7061148&amp;Result=3","7061148")</f>
        <v>0</v>
      </c>
      <c r="B11712" t="s">
        <v>3162</v>
      </c>
      <c r="C11712" t="s">
        <v>14301</v>
      </c>
      <c r="D11712" t="s">
        <v>17417</v>
      </c>
      <c r="E11712" t="s">
        <v>27536</v>
      </c>
      <c r="F11712" t="s">
        <v>30052</v>
      </c>
      <c r="G11712" t="s">
        <v>30058</v>
      </c>
      <c r="H11712" t="s">
        <v>30067</v>
      </c>
      <c r="I11712" t="s">
        <v>3693</v>
      </c>
      <c r="J11712" t="s">
        <v>30222</v>
      </c>
      <c r="K11712" t="s">
        <v>39026</v>
      </c>
      <c r="M11712" t="s">
        <v>42769</v>
      </c>
      <c r="N11712" t="s">
        <v>43166</v>
      </c>
      <c r="O11712" t="s">
        <v>43167</v>
      </c>
      <c r="P11712">
        <v>0</v>
      </c>
      <c r="Q11712">
        <v>5</v>
      </c>
      <c r="R11712" t="s">
        <v>43181</v>
      </c>
      <c r="S11712" t="s">
        <v>43729</v>
      </c>
      <c r="T11712" t="s">
        <v>44816</v>
      </c>
      <c r="U11712" t="s">
        <v>54551</v>
      </c>
      <c r="W11712" t="s">
        <v>42769</v>
      </c>
      <c r="X11712" t="s">
        <v>43182</v>
      </c>
    </row>
    <row r="11713" spans="1:24">
      <c r="A11713">
        <f>HYPERLINK("https://www.philgeps.gov.ph/GEPSNONPILOT/Tender/SplashBidNoticeAbstractUI.aspx?menuIndex=3&amp;refID=7060968&amp;Result=3","7060968")</f>
        <v>0</v>
      </c>
      <c r="B11713" t="s">
        <v>1505</v>
      </c>
      <c r="C11713" t="s">
        <v>14597</v>
      </c>
      <c r="D11713" t="s">
        <v>17462</v>
      </c>
      <c r="E11713" t="s">
        <v>27537</v>
      </c>
      <c r="F11713" t="s">
        <v>30052</v>
      </c>
      <c r="G11713" t="s">
        <v>30058</v>
      </c>
      <c r="H11713" t="s">
        <v>30067</v>
      </c>
      <c r="I11713" t="s">
        <v>3693</v>
      </c>
      <c r="J11713" t="s">
        <v>30240</v>
      </c>
      <c r="K11713" t="s">
        <v>39031</v>
      </c>
      <c r="M11713" t="s">
        <v>40889</v>
      </c>
      <c r="N11713" t="s">
        <v>43166</v>
      </c>
      <c r="O11713" t="s">
        <v>43167</v>
      </c>
      <c r="P11713">
        <v>0</v>
      </c>
      <c r="Q11713">
        <v>8</v>
      </c>
      <c r="R11713" t="s">
        <v>43181</v>
      </c>
      <c r="S11713" t="s">
        <v>43729</v>
      </c>
      <c r="T11713" t="s">
        <v>44699</v>
      </c>
      <c r="U11713" t="s">
        <v>54525</v>
      </c>
      <c r="W11713" t="s">
        <v>58641</v>
      </c>
      <c r="X11713" t="s">
        <v>43182</v>
      </c>
    </row>
    <row r="11714" spans="1:24">
      <c r="A11714">
        <f>HYPERLINK("https://www.philgeps.gov.ph/GEPSNONPILOT/Tender/SplashBidNoticeAbstractUI.aspx?menuIndex=3&amp;refID=7061014&amp;Result=3","7061014")</f>
        <v>0</v>
      </c>
      <c r="B11714" t="s">
        <v>3163</v>
      </c>
      <c r="C11714" t="s">
        <v>14598</v>
      </c>
      <c r="D11714" t="s">
        <v>17471</v>
      </c>
      <c r="E11714" t="s">
        <v>22142</v>
      </c>
      <c r="F11714" t="s">
        <v>30052</v>
      </c>
      <c r="G11714" t="s">
        <v>30058</v>
      </c>
      <c r="H11714" t="s">
        <v>15498</v>
      </c>
      <c r="I11714" t="s">
        <v>30084</v>
      </c>
      <c r="J11714" t="s">
        <v>37361</v>
      </c>
      <c r="K11714" t="s">
        <v>39023</v>
      </c>
      <c r="M11714" t="s">
        <v>42770</v>
      </c>
      <c r="N11714" t="s">
        <v>43166</v>
      </c>
      <c r="O11714" t="s">
        <v>43167</v>
      </c>
      <c r="P11714">
        <v>0</v>
      </c>
      <c r="Q11714">
        <v>10</v>
      </c>
      <c r="R11714" t="s">
        <v>43181</v>
      </c>
      <c r="S11714" t="s">
        <v>43729</v>
      </c>
      <c r="T11714" t="s">
        <v>44679</v>
      </c>
      <c r="U11714" t="s">
        <v>54552</v>
      </c>
      <c r="V11714" t="s">
        <v>58128</v>
      </c>
      <c r="W11714" t="s">
        <v>42770</v>
      </c>
      <c r="X11714" t="s">
        <v>43182</v>
      </c>
    </row>
    <row r="11715" spans="1:24">
      <c r="A11715">
        <f>HYPERLINK("https://www.philgeps.gov.ph/GEPSNONPILOT/Tender/SplashBidNoticeAbstractUI.aspx?menuIndex=3&amp;refID=7061013&amp;Result=3","7061013")</f>
        <v>0</v>
      </c>
      <c r="B11715" t="s">
        <v>3161</v>
      </c>
      <c r="C11715" t="s">
        <v>14599</v>
      </c>
      <c r="D11715" t="s">
        <v>17415</v>
      </c>
      <c r="E11715" t="s">
        <v>27538</v>
      </c>
      <c r="F11715" t="s">
        <v>30052</v>
      </c>
      <c r="G11715" t="s">
        <v>30058</v>
      </c>
      <c r="H11715" t="s">
        <v>15498</v>
      </c>
      <c r="I11715" t="s">
        <v>30179</v>
      </c>
      <c r="J11715" t="s">
        <v>30559</v>
      </c>
      <c r="K11715" t="s">
        <v>39064</v>
      </c>
      <c r="M11715" t="s">
        <v>42768</v>
      </c>
      <c r="N11715" t="s">
        <v>43166</v>
      </c>
      <c r="O11715" t="s">
        <v>43167</v>
      </c>
      <c r="P11715">
        <v>0</v>
      </c>
      <c r="Q11715">
        <v>13</v>
      </c>
      <c r="R11715" t="s">
        <v>43181</v>
      </c>
      <c r="S11715" t="s">
        <v>43729</v>
      </c>
      <c r="T11715" t="s">
        <v>44718</v>
      </c>
      <c r="U11715" t="s">
        <v>54553</v>
      </c>
      <c r="W11715" t="s">
        <v>42768</v>
      </c>
      <c r="X11715" t="s">
        <v>43182</v>
      </c>
    </row>
    <row r="11716" spans="1:24">
      <c r="A11716">
        <f>HYPERLINK("https://www.philgeps.gov.ph/GEPSNONPILOT/Tender/SplashBidNoticeAbstractUI.aspx?menuIndex=3&amp;refID=7061113&amp;Result=3","7061113")</f>
        <v>0</v>
      </c>
      <c r="B11716" t="s">
        <v>59</v>
      </c>
      <c r="C11716" t="s">
        <v>14600</v>
      </c>
      <c r="D11716" t="s">
        <v>17441</v>
      </c>
      <c r="E11716" t="s">
        <v>27539</v>
      </c>
      <c r="F11716" t="s">
        <v>30052</v>
      </c>
      <c r="G11716" t="s">
        <v>30058</v>
      </c>
      <c r="H11716" t="s">
        <v>30067</v>
      </c>
      <c r="I11716" t="s">
        <v>3693</v>
      </c>
      <c r="J11716" t="s">
        <v>36324</v>
      </c>
      <c r="K11716" t="s">
        <v>39112</v>
      </c>
      <c r="M11716" t="s">
        <v>39348</v>
      </c>
      <c r="N11716" t="s">
        <v>43166</v>
      </c>
      <c r="O11716" t="s">
        <v>43167</v>
      </c>
      <c r="P11716">
        <v>0</v>
      </c>
      <c r="Q11716">
        <v>25</v>
      </c>
      <c r="R11716" t="s">
        <v>43181</v>
      </c>
      <c r="S11716" t="s">
        <v>43729</v>
      </c>
      <c r="T11716" t="s">
        <v>44681</v>
      </c>
      <c r="U11716" t="s">
        <v>54554</v>
      </c>
      <c r="V11716" t="s">
        <v>56820</v>
      </c>
      <c r="W11716" t="s">
        <v>39348</v>
      </c>
      <c r="X11716" t="s">
        <v>43182</v>
      </c>
    </row>
    <row r="11717" spans="1:24">
      <c r="A11717">
        <f>HYPERLINK("https://www.philgeps.gov.ph/GEPSNONPILOT/Tender/SplashBidNoticeAbstractUI.aspx?menuIndex=3&amp;refID=7061011&amp;Result=3","7061011")</f>
        <v>0</v>
      </c>
      <c r="B11717" t="s">
        <v>976</v>
      </c>
      <c r="C11717" t="s">
        <v>14601</v>
      </c>
      <c r="D11717" t="s">
        <v>17424</v>
      </c>
      <c r="E11717" t="s">
        <v>27540</v>
      </c>
      <c r="F11717" t="s">
        <v>30052</v>
      </c>
      <c r="G11717" t="s">
        <v>30058</v>
      </c>
      <c r="H11717" t="s">
        <v>30068</v>
      </c>
      <c r="I11717" t="s">
        <v>30068</v>
      </c>
      <c r="J11717" t="s">
        <v>30281</v>
      </c>
      <c r="K11717" t="s">
        <v>39192</v>
      </c>
      <c r="M11717" t="s">
        <v>40303</v>
      </c>
      <c r="N11717" t="s">
        <v>43166</v>
      </c>
      <c r="O11717" t="s">
        <v>43167</v>
      </c>
      <c r="P11717">
        <v>0</v>
      </c>
      <c r="Q11717">
        <v>5</v>
      </c>
      <c r="R11717" t="s">
        <v>43181</v>
      </c>
      <c r="S11717" t="s">
        <v>43729</v>
      </c>
      <c r="T11717" t="s">
        <v>44994</v>
      </c>
      <c r="U11717" t="s">
        <v>54555</v>
      </c>
      <c r="W11717" t="s">
        <v>40303</v>
      </c>
      <c r="X11717" t="s">
        <v>43182</v>
      </c>
    </row>
    <row r="11718" spans="1:24">
      <c r="A11718">
        <f>HYPERLINK("https://www.philgeps.gov.ph/GEPSNONPILOT/Tender/SplashBidNoticeAbstractUI.aspx?menuIndex=3&amp;refID=7061000&amp;Result=3","7061000")</f>
        <v>0</v>
      </c>
      <c r="B11718" t="s">
        <v>2477</v>
      </c>
      <c r="C11718" t="s">
        <v>14602</v>
      </c>
      <c r="D11718" t="s">
        <v>17417</v>
      </c>
      <c r="E11718" t="s">
        <v>27541</v>
      </c>
      <c r="F11718" t="s">
        <v>30052</v>
      </c>
      <c r="G11718" t="s">
        <v>30058</v>
      </c>
      <c r="H11718" t="s">
        <v>15498</v>
      </c>
      <c r="I11718" t="s">
        <v>3606</v>
      </c>
      <c r="J11718" t="s">
        <v>37362</v>
      </c>
      <c r="K11718" t="s">
        <v>39023</v>
      </c>
      <c r="M11718" t="s">
        <v>41977</v>
      </c>
      <c r="N11718" t="s">
        <v>43166</v>
      </c>
      <c r="O11718" t="s">
        <v>43167</v>
      </c>
      <c r="P11718">
        <v>0</v>
      </c>
      <c r="Q11718">
        <v>0</v>
      </c>
      <c r="R11718" t="s">
        <v>43181</v>
      </c>
      <c r="S11718" t="s">
        <v>43729</v>
      </c>
      <c r="T11718" t="s">
        <v>44733</v>
      </c>
      <c r="U11718" t="s">
        <v>54556</v>
      </c>
      <c r="W11718" t="s">
        <v>41977</v>
      </c>
      <c r="X11718" t="s">
        <v>43182</v>
      </c>
    </row>
    <row r="11719" spans="1:24">
      <c r="A11719">
        <f>HYPERLINK("https://www.philgeps.gov.ph/GEPSNONPILOT/Tender/SplashBidNoticeAbstractUI.aspx?menuIndex=3&amp;refID=7060918&amp;Result=3","7060918")</f>
        <v>0</v>
      </c>
      <c r="B11719" t="s">
        <v>2477</v>
      </c>
      <c r="C11719" t="s">
        <v>14603</v>
      </c>
      <c r="D11719" t="s">
        <v>17417</v>
      </c>
      <c r="E11719" t="s">
        <v>27542</v>
      </c>
      <c r="F11719" t="s">
        <v>30052</v>
      </c>
      <c r="G11719" t="s">
        <v>30058</v>
      </c>
      <c r="H11719" t="s">
        <v>15498</v>
      </c>
      <c r="I11719" t="s">
        <v>7228</v>
      </c>
      <c r="J11719" t="s">
        <v>37363</v>
      </c>
      <c r="K11719" t="s">
        <v>39023</v>
      </c>
      <c r="M11719" t="s">
        <v>41977</v>
      </c>
      <c r="N11719" t="s">
        <v>43166</v>
      </c>
      <c r="O11719" t="s">
        <v>43167</v>
      </c>
      <c r="P11719">
        <v>0</v>
      </c>
      <c r="Q11719">
        <v>0</v>
      </c>
      <c r="R11719" t="s">
        <v>43181</v>
      </c>
      <c r="S11719" t="s">
        <v>43729</v>
      </c>
      <c r="T11719" t="s">
        <v>44733</v>
      </c>
      <c r="U11719" t="s">
        <v>54557</v>
      </c>
      <c r="W11719" t="s">
        <v>41977</v>
      </c>
      <c r="X11719" t="s">
        <v>43182</v>
      </c>
    </row>
    <row r="11720" spans="1:24">
      <c r="A11720">
        <f>HYPERLINK("https://www.philgeps.gov.ph/GEPSNONPILOT/Tender/SplashBidNoticeAbstractUI.aspx?menuIndex=3&amp;refID=7061101&amp;Result=3","7061101")</f>
        <v>0</v>
      </c>
      <c r="B11720" t="s">
        <v>1505</v>
      </c>
      <c r="C11720" t="s">
        <v>14604</v>
      </c>
      <c r="D11720" t="s">
        <v>17462</v>
      </c>
      <c r="E11720" t="s">
        <v>27543</v>
      </c>
      <c r="F11720" t="s">
        <v>30052</v>
      </c>
      <c r="G11720" t="s">
        <v>30058</v>
      </c>
      <c r="H11720" t="s">
        <v>30067</v>
      </c>
      <c r="I11720" t="s">
        <v>3693</v>
      </c>
      <c r="J11720" t="s">
        <v>30645</v>
      </c>
      <c r="K11720" t="s">
        <v>39031</v>
      </c>
      <c r="M11720" t="s">
        <v>40889</v>
      </c>
      <c r="N11720" t="s">
        <v>43166</v>
      </c>
      <c r="O11720" t="s">
        <v>43167</v>
      </c>
      <c r="P11720">
        <v>0</v>
      </c>
      <c r="Q11720">
        <v>9</v>
      </c>
      <c r="R11720" t="s">
        <v>43181</v>
      </c>
      <c r="S11720" t="s">
        <v>43729</v>
      </c>
      <c r="T11720" t="s">
        <v>44699</v>
      </c>
      <c r="U11720" t="s">
        <v>54525</v>
      </c>
      <c r="W11720" t="s">
        <v>58641</v>
      </c>
      <c r="X11720" t="s">
        <v>43182</v>
      </c>
    </row>
    <row r="11721" spans="1:24">
      <c r="A11721">
        <f>HYPERLINK("https://www.philgeps.gov.ph/GEPSNONPILOT/Tender/SplashBidNoticeAbstractUI.aspx?menuIndex=3&amp;refID=7059546&amp;Result=3","7059546")</f>
        <v>0</v>
      </c>
      <c r="B11721" t="s">
        <v>3122</v>
      </c>
      <c r="C11721" t="s">
        <v>14605</v>
      </c>
      <c r="D11721" t="s">
        <v>17452</v>
      </c>
      <c r="E11721" t="s">
        <v>27544</v>
      </c>
      <c r="F11721" t="s">
        <v>30052</v>
      </c>
      <c r="G11721" t="s">
        <v>30058</v>
      </c>
      <c r="H11721" t="s">
        <v>15498</v>
      </c>
      <c r="I11721" t="s">
        <v>30084</v>
      </c>
      <c r="J11721" t="s">
        <v>37364</v>
      </c>
      <c r="K11721" t="s">
        <v>39034</v>
      </c>
      <c r="M11721" t="s">
        <v>42719</v>
      </c>
      <c r="N11721" t="s">
        <v>43166</v>
      </c>
      <c r="O11721" t="s">
        <v>43167</v>
      </c>
      <c r="P11721">
        <v>0</v>
      </c>
      <c r="Q11721">
        <v>4</v>
      </c>
      <c r="R11721" t="s">
        <v>43181</v>
      </c>
      <c r="S11721" t="s">
        <v>43729</v>
      </c>
      <c r="T11721" t="s">
        <v>44733</v>
      </c>
      <c r="U11721" t="s">
        <v>54558</v>
      </c>
      <c r="V11721" t="s">
        <v>58106</v>
      </c>
      <c r="W11721" t="s">
        <v>42719</v>
      </c>
      <c r="X11721" t="s">
        <v>43182</v>
      </c>
    </row>
    <row r="11722" spans="1:24">
      <c r="A11722">
        <f>HYPERLINK("https://www.philgeps.gov.ph/GEPSNONPILOT/Tender/SplashBidNoticeAbstractUI.aspx?menuIndex=3&amp;refID=7061289&amp;Result=3","7061289")</f>
        <v>0</v>
      </c>
      <c r="B11722" t="s">
        <v>377</v>
      </c>
      <c r="C11722" t="s">
        <v>8134</v>
      </c>
      <c r="D11722" t="s">
        <v>17447</v>
      </c>
      <c r="E11722" t="s">
        <v>25891</v>
      </c>
      <c r="F11722" t="s">
        <v>30052</v>
      </c>
      <c r="G11722" t="s">
        <v>30058</v>
      </c>
      <c r="H11722" t="s">
        <v>15498</v>
      </c>
      <c r="I11722" t="s">
        <v>9238</v>
      </c>
      <c r="J11722" t="s">
        <v>37365</v>
      </c>
      <c r="K11722" t="s">
        <v>39031</v>
      </c>
      <c r="M11722" t="s">
        <v>42534</v>
      </c>
      <c r="N11722" t="s">
        <v>43166</v>
      </c>
      <c r="O11722" t="s">
        <v>43167</v>
      </c>
      <c r="P11722">
        <v>0</v>
      </c>
      <c r="Q11722">
        <v>18</v>
      </c>
      <c r="R11722" t="s">
        <v>43181</v>
      </c>
      <c r="S11722" t="s">
        <v>43729</v>
      </c>
      <c r="T11722" t="s">
        <v>44753</v>
      </c>
      <c r="U11722" t="s">
        <v>54559</v>
      </c>
      <c r="W11722" t="s">
        <v>42534</v>
      </c>
      <c r="X11722" t="s">
        <v>43182</v>
      </c>
    </row>
    <row r="11723" spans="1:24">
      <c r="A11723">
        <f>HYPERLINK("https://www.philgeps.gov.ph/GEPSNONPILOT/Tender/SplashBidNoticeAbstractUI.aspx?menuIndex=3&amp;refID=7061278&amp;Result=3","7061278")</f>
        <v>0</v>
      </c>
      <c r="B11723" t="s">
        <v>377</v>
      </c>
      <c r="C11723" t="s">
        <v>14606</v>
      </c>
      <c r="D11723" t="s">
        <v>17447</v>
      </c>
      <c r="E11723" t="s">
        <v>27545</v>
      </c>
      <c r="F11723" t="s">
        <v>30052</v>
      </c>
      <c r="G11723" t="s">
        <v>30058</v>
      </c>
      <c r="H11723" t="s">
        <v>15498</v>
      </c>
      <c r="I11723" t="s">
        <v>30081</v>
      </c>
      <c r="J11723" t="s">
        <v>37366</v>
      </c>
      <c r="K11723" t="s">
        <v>39029</v>
      </c>
      <c r="M11723" t="s">
        <v>42595</v>
      </c>
      <c r="N11723" t="s">
        <v>43166</v>
      </c>
      <c r="O11723" t="s">
        <v>43167</v>
      </c>
      <c r="Q11723">
        <v>2</v>
      </c>
      <c r="R11723" t="s">
        <v>43181</v>
      </c>
      <c r="S11723" t="s">
        <v>43774</v>
      </c>
      <c r="T11723" t="s">
        <v>44793</v>
      </c>
      <c r="U11723" t="s">
        <v>54560</v>
      </c>
      <c r="W11723" t="s">
        <v>42595</v>
      </c>
      <c r="X11723" t="s">
        <v>43182</v>
      </c>
    </row>
    <row r="11724" spans="1:24">
      <c r="A11724">
        <f>HYPERLINK("https://www.philgeps.gov.ph/GEPSNONPILOT/Tender/SplashBidNoticeAbstractUI.aspx?menuIndex=3&amp;refID=7060914&amp;Result=3","7060914")</f>
        <v>0</v>
      </c>
      <c r="B11724" t="s">
        <v>379</v>
      </c>
      <c r="C11724" t="s">
        <v>14607</v>
      </c>
      <c r="D11724" t="s">
        <v>17489</v>
      </c>
      <c r="E11724" t="s">
        <v>27546</v>
      </c>
      <c r="F11724" t="s">
        <v>30052</v>
      </c>
      <c r="G11724" t="s">
        <v>30058</v>
      </c>
      <c r="H11724" t="s">
        <v>15498</v>
      </c>
      <c r="I11724" t="s">
        <v>30118</v>
      </c>
      <c r="J11724" t="s">
        <v>37367</v>
      </c>
      <c r="K11724" t="s">
        <v>39029</v>
      </c>
      <c r="M11724" t="s">
        <v>39677</v>
      </c>
      <c r="N11724" t="s">
        <v>43166</v>
      </c>
      <c r="O11724" t="s">
        <v>43167</v>
      </c>
      <c r="Q11724">
        <v>2</v>
      </c>
      <c r="R11724" t="s">
        <v>43181</v>
      </c>
      <c r="S11724" t="s">
        <v>43775</v>
      </c>
      <c r="T11724" t="s">
        <v>44699</v>
      </c>
      <c r="U11724" t="s">
        <v>54561</v>
      </c>
      <c r="W11724" t="s">
        <v>39677</v>
      </c>
      <c r="X11724" t="s">
        <v>43182</v>
      </c>
    </row>
    <row r="11725" spans="1:24">
      <c r="A11725">
        <f>HYPERLINK("https://www.philgeps.gov.ph/GEPSNONPILOT/Tender/SplashBidNoticeAbstractUI.aspx?menuIndex=3&amp;refID=7060986&amp;Result=3","7060986")</f>
        <v>0</v>
      </c>
      <c r="B11725" t="s">
        <v>1505</v>
      </c>
      <c r="C11725" t="s">
        <v>14608</v>
      </c>
      <c r="D11725" t="s">
        <v>17462</v>
      </c>
      <c r="E11725" t="s">
        <v>27547</v>
      </c>
      <c r="F11725" t="s">
        <v>30052</v>
      </c>
      <c r="G11725" t="s">
        <v>30058</v>
      </c>
      <c r="H11725" t="s">
        <v>30067</v>
      </c>
      <c r="I11725" t="s">
        <v>3693</v>
      </c>
      <c r="J11725" t="s">
        <v>30645</v>
      </c>
      <c r="K11725" t="s">
        <v>39026</v>
      </c>
      <c r="M11725" t="s">
        <v>40889</v>
      </c>
      <c r="N11725" t="s">
        <v>43166</v>
      </c>
      <c r="O11725" t="s">
        <v>43167</v>
      </c>
      <c r="P11725">
        <v>0</v>
      </c>
      <c r="Q11725">
        <v>9</v>
      </c>
      <c r="R11725" t="s">
        <v>43181</v>
      </c>
      <c r="S11725" t="s">
        <v>43729</v>
      </c>
      <c r="T11725" t="s">
        <v>44699</v>
      </c>
      <c r="U11725" t="s">
        <v>54525</v>
      </c>
      <c r="W11725" t="s">
        <v>58641</v>
      </c>
      <c r="X11725" t="s">
        <v>43182</v>
      </c>
    </row>
    <row r="11726" spans="1:24">
      <c r="A11726">
        <f>HYPERLINK("https://www.philgeps.gov.ph/GEPSNONPILOT/Tender/SplashBidNoticeAbstractUI.aspx?menuIndex=3&amp;refID=7061249&amp;Result=3","7061249")</f>
        <v>0</v>
      </c>
      <c r="B11726" t="s">
        <v>3164</v>
      </c>
      <c r="C11726" t="s">
        <v>14609</v>
      </c>
      <c r="D11726" t="s">
        <v>17423</v>
      </c>
      <c r="E11726" t="s">
        <v>27548</v>
      </c>
      <c r="F11726" t="s">
        <v>30052</v>
      </c>
      <c r="G11726" t="s">
        <v>30058</v>
      </c>
      <c r="H11726" t="s">
        <v>15498</v>
      </c>
      <c r="I11726" t="s">
        <v>30070</v>
      </c>
      <c r="J11726" t="s">
        <v>37368</v>
      </c>
      <c r="K11726" t="s">
        <v>39029</v>
      </c>
      <c r="L11726" t="s">
        <v>3164</v>
      </c>
      <c r="M11726" t="s">
        <v>42771</v>
      </c>
      <c r="N11726" t="s">
        <v>43166</v>
      </c>
      <c r="O11726" t="s">
        <v>43167</v>
      </c>
      <c r="P11726">
        <v>0</v>
      </c>
      <c r="Q11726">
        <v>4</v>
      </c>
      <c r="R11726" t="s">
        <v>43181</v>
      </c>
      <c r="S11726" t="s">
        <v>43729</v>
      </c>
      <c r="T11726" t="s">
        <v>44764</v>
      </c>
      <c r="U11726" t="s">
        <v>54562</v>
      </c>
      <c r="W11726" t="s">
        <v>42771</v>
      </c>
      <c r="X11726" t="s">
        <v>43182</v>
      </c>
    </row>
    <row r="11727" spans="1:24">
      <c r="A11727">
        <f>HYPERLINK("https://www.philgeps.gov.ph/GEPSNONPILOT/Tender/SplashBidNoticeAbstractUI.aspx?menuIndex=3&amp;refID=7061243&amp;Result=3","7061243")</f>
        <v>0</v>
      </c>
      <c r="B11727" t="s">
        <v>74</v>
      </c>
      <c r="C11727" t="s">
        <v>14610</v>
      </c>
      <c r="E11727" t="s">
        <v>27549</v>
      </c>
      <c r="F11727" t="s">
        <v>30052</v>
      </c>
      <c r="G11727" t="s">
        <v>30060</v>
      </c>
      <c r="H11727" t="s">
        <v>30067</v>
      </c>
      <c r="I11727" t="s">
        <v>3693</v>
      </c>
      <c r="J11727" t="s">
        <v>37369</v>
      </c>
      <c r="K11727" t="s">
        <v>39025</v>
      </c>
      <c r="M11727" t="s">
        <v>39363</v>
      </c>
      <c r="N11727" t="s">
        <v>43166</v>
      </c>
      <c r="O11727" t="s">
        <v>43167</v>
      </c>
      <c r="Q11727">
        <v>2</v>
      </c>
      <c r="R11727" t="s">
        <v>43181</v>
      </c>
      <c r="S11727" t="s">
        <v>43776</v>
      </c>
      <c r="T11727" t="s">
        <v>44699</v>
      </c>
      <c r="U11727" t="s">
        <v>54563</v>
      </c>
      <c r="V11727" t="s">
        <v>58129</v>
      </c>
      <c r="W11727" t="s">
        <v>39363</v>
      </c>
      <c r="X11727" t="s">
        <v>43182</v>
      </c>
    </row>
    <row r="11728" spans="1:24">
      <c r="A11728">
        <f>HYPERLINK("https://www.philgeps.gov.ph/GEPSNONPILOT/Tender/SplashBidNoticeAbstractUI.aspx?menuIndex=3&amp;refID=7061237&amp;Result=3","7061237")</f>
        <v>0</v>
      </c>
      <c r="B11728" t="s">
        <v>2627</v>
      </c>
      <c r="C11728" t="s">
        <v>14611</v>
      </c>
      <c r="D11728" t="s">
        <v>17446</v>
      </c>
      <c r="E11728" t="s">
        <v>27550</v>
      </c>
      <c r="F11728" t="s">
        <v>30052</v>
      </c>
      <c r="G11728" t="s">
        <v>30058</v>
      </c>
      <c r="H11728" t="s">
        <v>15498</v>
      </c>
      <c r="I11728" t="s">
        <v>30140</v>
      </c>
      <c r="J11728" t="s">
        <v>31198</v>
      </c>
      <c r="K11728" t="s">
        <v>39029</v>
      </c>
      <c r="M11728" t="s">
        <v>42141</v>
      </c>
      <c r="N11728" t="s">
        <v>43166</v>
      </c>
      <c r="O11728" t="s">
        <v>43167</v>
      </c>
      <c r="Q11728">
        <v>8</v>
      </c>
      <c r="R11728" t="s">
        <v>43181</v>
      </c>
      <c r="S11728" t="s">
        <v>43777</v>
      </c>
      <c r="T11728" t="s">
        <v>44689</v>
      </c>
      <c r="U11728" t="s">
        <v>53740</v>
      </c>
      <c r="W11728" t="s">
        <v>58683</v>
      </c>
      <c r="X11728" t="s">
        <v>43182</v>
      </c>
    </row>
    <row r="11729" spans="1:24">
      <c r="A11729">
        <f>HYPERLINK("https://www.philgeps.gov.ph/GEPSNONPILOT/Tender/SplashBidNoticeAbstractUI.aspx?menuIndex=3&amp;refID=7061274&amp;Result=3","7061274")</f>
        <v>0</v>
      </c>
      <c r="B11729" t="s">
        <v>3165</v>
      </c>
      <c r="C11729" t="s">
        <v>14612</v>
      </c>
      <c r="D11729" t="s">
        <v>17459</v>
      </c>
      <c r="E11729" t="s">
        <v>27551</v>
      </c>
      <c r="F11729" t="s">
        <v>30052</v>
      </c>
      <c r="G11729" t="s">
        <v>30061</v>
      </c>
      <c r="H11729" t="s">
        <v>15498</v>
      </c>
      <c r="I11729" t="s">
        <v>4119</v>
      </c>
      <c r="J11729" t="s">
        <v>37370</v>
      </c>
      <c r="K11729" t="s">
        <v>39017</v>
      </c>
      <c r="M11729" t="s">
        <v>42772</v>
      </c>
      <c r="N11729" t="s">
        <v>43166</v>
      </c>
      <c r="O11729" t="s">
        <v>43167</v>
      </c>
      <c r="P11729">
        <v>0</v>
      </c>
      <c r="Q11729">
        <v>7</v>
      </c>
      <c r="R11729" t="s">
        <v>43181</v>
      </c>
      <c r="S11729" t="s">
        <v>43729</v>
      </c>
      <c r="T11729" t="s">
        <v>44698</v>
      </c>
      <c r="U11729" t="s">
        <v>54564</v>
      </c>
      <c r="W11729" t="s">
        <v>42772</v>
      </c>
      <c r="X11729" t="s">
        <v>43182</v>
      </c>
    </row>
    <row r="11730" spans="1:24">
      <c r="A11730">
        <f>HYPERLINK("https://www.philgeps.gov.ph/GEPSNONPILOT/Tender/SplashBidNoticeAbstractUI.aspx?menuIndex=3&amp;refID=7061221&amp;Result=3","7061221")</f>
        <v>0</v>
      </c>
      <c r="B11730" t="s">
        <v>74</v>
      </c>
      <c r="C11730" t="s">
        <v>14613</v>
      </c>
      <c r="E11730" t="s">
        <v>27552</v>
      </c>
      <c r="F11730" t="s">
        <v>30052</v>
      </c>
      <c r="G11730" t="s">
        <v>30060</v>
      </c>
      <c r="H11730" t="s">
        <v>30067</v>
      </c>
      <c r="I11730" t="s">
        <v>3693</v>
      </c>
      <c r="J11730" t="s">
        <v>37371</v>
      </c>
      <c r="K11730" t="s">
        <v>39025</v>
      </c>
      <c r="M11730" t="s">
        <v>39363</v>
      </c>
      <c r="N11730" t="s">
        <v>43166</v>
      </c>
      <c r="O11730" t="s">
        <v>43167</v>
      </c>
      <c r="Q11730">
        <v>2</v>
      </c>
      <c r="R11730" t="s">
        <v>43181</v>
      </c>
      <c r="S11730" t="s">
        <v>43778</v>
      </c>
      <c r="T11730" t="s">
        <v>44704</v>
      </c>
      <c r="U11730" t="s">
        <v>54565</v>
      </c>
      <c r="V11730" t="s">
        <v>58129</v>
      </c>
      <c r="W11730" t="s">
        <v>39363</v>
      </c>
      <c r="X11730" t="s">
        <v>43182</v>
      </c>
    </row>
    <row r="11731" spans="1:24">
      <c r="A11731">
        <f>HYPERLINK("https://www.philgeps.gov.ph/GEPSNONPILOT/Tender/SplashBidNoticeAbstractUI.aspx?menuIndex=3&amp;refID=7061267&amp;Result=3","7061267")</f>
        <v>0</v>
      </c>
      <c r="B11731" t="s">
        <v>3166</v>
      </c>
      <c r="C11731" t="s">
        <v>14614</v>
      </c>
      <c r="D11731" t="s">
        <v>17475</v>
      </c>
      <c r="E11731" t="s">
        <v>27553</v>
      </c>
      <c r="F11731" t="s">
        <v>30052</v>
      </c>
      <c r="G11731" t="s">
        <v>30060</v>
      </c>
      <c r="H11731" t="s">
        <v>30067</v>
      </c>
      <c r="I11731" t="s">
        <v>3693</v>
      </c>
      <c r="J11731" t="s">
        <v>30532</v>
      </c>
      <c r="K11731" t="s">
        <v>39026</v>
      </c>
      <c r="M11731" t="s">
        <v>42773</v>
      </c>
      <c r="N11731" t="s">
        <v>43166</v>
      </c>
      <c r="O11731" t="s">
        <v>43167</v>
      </c>
      <c r="P11731">
        <v>0</v>
      </c>
      <c r="Q11731">
        <v>1</v>
      </c>
      <c r="R11731" t="s">
        <v>43181</v>
      </c>
      <c r="S11731" t="s">
        <v>43729</v>
      </c>
      <c r="T11731" t="s">
        <v>44733</v>
      </c>
      <c r="U11731" t="s">
        <v>54566</v>
      </c>
      <c r="W11731" t="s">
        <v>42773</v>
      </c>
      <c r="X11731" t="s">
        <v>43182</v>
      </c>
    </row>
    <row r="11732" spans="1:24">
      <c r="A11732">
        <f>HYPERLINK("https://www.philgeps.gov.ph/GEPSNONPILOT/Tender/SplashBidNoticeAbstractUI.aspx?menuIndex=3&amp;refID=7061203&amp;Result=3","7061203")</f>
        <v>0</v>
      </c>
      <c r="B11732" t="s">
        <v>3167</v>
      </c>
      <c r="C11732" t="s">
        <v>14615</v>
      </c>
      <c r="D11732" t="s">
        <v>17468</v>
      </c>
      <c r="E11732" t="s">
        <v>21909</v>
      </c>
      <c r="F11732" t="s">
        <v>30055</v>
      </c>
      <c r="G11732" t="s">
        <v>30058</v>
      </c>
      <c r="H11732" t="s">
        <v>30069</v>
      </c>
      <c r="I11732" t="s">
        <v>3736</v>
      </c>
      <c r="J11732" t="s">
        <v>34362</v>
      </c>
      <c r="K11732" t="s">
        <v>39029</v>
      </c>
      <c r="M11732" t="s">
        <v>42774</v>
      </c>
      <c r="N11732" t="s">
        <v>43166</v>
      </c>
      <c r="O11732" t="s">
        <v>43167</v>
      </c>
      <c r="P11732">
        <v>0</v>
      </c>
      <c r="Q11732">
        <v>1</v>
      </c>
      <c r="R11732" t="s">
        <v>43181</v>
      </c>
      <c r="S11732" t="s">
        <v>43729</v>
      </c>
      <c r="T11732" t="s">
        <v>44844</v>
      </c>
      <c r="U11732" t="s">
        <v>54567</v>
      </c>
      <c r="W11732" t="s">
        <v>42774</v>
      </c>
      <c r="X11732" t="s">
        <v>43182</v>
      </c>
    </row>
    <row r="11733" spans="1:24">
      <c r="A11733">
        <f>HYPERLINK("https://www.philgeps.gov.ph/GEPSNONPILOT/Tender/SplashBidNoticeAbstractUI.aspx?menuIndex=3&amp;refID=7061077&amp;Result=3","7061077")</f>
        <v>0</v>
      </c>
      <c r="B11733" t="s">
        <v>1505</v>
      </c>
      <c r="C11733" t="s">
        <v>14616</v>
      </c>
      <c r="D11733" t="s">
        <v>17462</v>
      </c>
      <c r="E11733" t="s">
        <v>27554</v>
      </c>
      <c r="F11733" t="s">
        <v>30052</v>
      </c>
      <c r="G11733" t="s">
        <v>30058</v>
      </c>
      <c r="H11733" t="s">
        <v>30067</v>
      </c>
      <c r="I11733" t="s">
        <v>3693</v>
      </c>
      <c r="J11733" t="s">
        <v>30645</v>
      </c>
      <c r="K11733" t="s">
        <v>39031</v>
      </c>
      <c r="M11733" t="s">
        <v>40889</v>
      </c>
      <c r="N11733" t="s">
        <v>43166</v>
      </c>
      <c r="O11733" t="s">
        <v>43167</v>
      </c>
      <c r="P11733">
        <v>0</v>
      </c>
      <c r="Q11733">
        <v>10</v>
      </c>
      <c r="R11733" t="s">
        <v>43181</v>
      </c>
      <c r="S11733" t="s">
        <v>43729</v>
      </c>
      <c r="T11733" t="s">
        <v>44699</v>
      </c>
      <c r="U11733" t="s">
        <v>54525</v>
      </c>
      <c r="W11733" t="s">
        <v>58641</v>
      </c>
      <c r="X11733" t="s">
        <v>43182</v>
      </c>
    </row>
    <row r="11734" spans="1:24">
      <c r="A11734">
        <f>HYPERLINK("https://www.philgeps.gov.ph/GEPSNONPILOT/Tender/SplashBidNoticeAbstractUI.aspx?menuIndex=3&amp;refID=7061229&amp;Result=3","7061229")</f>
        <v>0</v>
      </c>
      <c r="B11734" t="s">
        <v>59</v>
      </c>
      <c r="C11734" t="s">
        <v>14617</v>
      </c>
      <c r="D11734" t="s">
        <v>17441</v>
      </c>
      <c r="E11734" t="s">
        <v>27555</v>
      </c>
      <c r="F11734" t="s">
        <v>30052</v>
      </c>
      <c r="G11734" t="s">
        <v>30058</v>
      </c>
      <c r="H11734" t="s">
        <v>15498</v>
      </c>
      <c r="I11734" t="s">
        <v>30073</v>
      </c>
      <c r="J11734" t="s">
        <v>37372</v>
      </c>
      <c r="K11734" t="s">
        <v>39029</v>
      </c>
      <c r="M11734" t="s">
        <v>39348</v>
      </c>
      <c r="N11734" t="s">
        <v>43166</v>
      </c>
      <c r="O11734" t="s">
        <v>43167</v>
      </c>
      <c r="P11734">
        <v>0</v>
      </c>
      <c r="Q11734">
        <v>0</v>
      </c>
      <c r="R11734" t="s">
        <v>43181</v>
      </c>
      <c r="S11734" t="s">
        <v>43729</v>
      </c>
      <c r="T11734" t="s">
        <v>44681</v>
      </c>
      <c r="U11734" t="s">
        <v>54554</v>
      </c>
      <c r="V11734" t="s">
        <v>56820</v>
      </c>
      <c r="W11734" t="s">
        <v>39348</v>
      </c>
      <c r="X11734" t="s">
        <v>43182</v>
      </c>
    </row>
    <row r="11735" spans="1:24">
      <c r="A11735">
        <f>HYPERLINK("https://www.philgeps.gov.ph/GEPSNONPILOT/Tender/SplashBidNoticeAbstractUI.aspx?menuIndex=3&amp;refID=7061103&amp;Result=3","7061103")</f>
        <v>0</v>
      </c>
      <c r="B11735" t="s">
        <v>3159</v>
      </c>
      <c r="C11735" t="s">
        <v>14618</v>
      </c>
      <c r="D11735" t="s">
        <v>17464</v>
      </c>
      <c r="E11735" t="s">
        <v>27556</v>
      </c>
      <c r="F11735" t="s">
        <v>30054</v>
      </c>
      <c r="G11735" t="s">
        <v>30058</v>
      </c>
      <c r="H11735" t="s">
        <v>30067</v>
      </c>
      <c r="I11735" t="s">
        <v>3693</v>
      </c>
      <c r="J11735" t="s">
        <v>37373</v>
      </c>
      <c r="K11735" t="s">
        <v>39034</v>
      </c>
      <c r="M11735" t="s">
        <v>42766</v>
      </c>
      <c r="N11735" t="s">
        <v>43166</v>
      </c>
      <c r="O11735" t="s">
        <v>43167</v>
      </c>
      <c r="P11735">
        <v>0</v>
      </c>
      <c r="Q11735">
        <v>1</v>
      </c>
      <c r="R11735" t="s">
        <v>43181</v>
      </c>
      <c r="S11735" t="s">
        <v>43729</v>
      </c>
      <c r="T11735" t="s">
        <v>44843</v>
      </c>
      <c r="U11735" t="s">
        <v>54568</v>
      </c>
      <c r="W11735" t="s">
        <v>42766</v>
      </c>
      <c r="X11735" t="s">
        <v>43182</v>
      </c>
    </row>
    <row r="11736" spans="1:24">
      <c r="A11736">
        <f>HYPERLINK("https://www.philgeps.gov.ph/GEPSNONPILOT/Tender/SplashBidNoticeAbstractUI.aspx?menuIndex=3&amp;refID=7061256&amp;Result=3","7061256")</f>
        <v>0</v>
      </c>
      <c r="B11736" t="s">
        <v>74</v>
      </c>
      <c r="C11736" t="s">
        <v>14619</v>
      </c>
      <c r="E11736" t="s">
        <v>27557</v>
      </c>
      <c r="F11736" t="s">
        <v>30052</v>
      </c>
      <c r="G11736" t="s">
        <v>30060</v>
      </c>
      <c r="H11736" t="s">
        <v>30067</v>
      </c>
      <c r="I11736" t="s">
        <v>3693</v>
      </c>
      <c r="J11736" t="s">
        <v>37374</v>
      </c>
      <c r="K11736" t="s">
        <v>39025</v>
      </c>
      <c r="M11736" t="s">
        <v>39363</v>
      </c>
      <c r="N11736" t="s">
        <v>43166</v>
      </c>
      <c r="O11736" t="s">
        <v>43167</v>
      </c>
      <c r="Q11736">
        <v>2</v>
      </c>
      <c r="R11736" t="s">
        <v>43181</v>
      </c>
      <c r="S11736" t="s">
        <v>43779</v>
      </c>
      <c r="T11736" t="s">
        <v>44700</v>
      </c>
      <c r="U11736" t="s">
        <v>54569</v>
      </c>
      <c r="V11736" t="s">
        <v>58129</v>
      </c>
      <c r="W11736" t="s">
        <v>39363</v>
      </c>
      <c r="X11736" t="s">
        <v>43182</v>
      </c>
    </row>
    <row r="11737" spans="1:24">
      <c r="A11737">
        <f>HYPERLINK("https://www.philgeps.gov.ph/GEPSNONPILOT/Tender/SplashBidNoticeAbstractUI.aspx?menuIndex=3&amp;refID=7061398&amp;Result=3","7061398")</f>
        <v>0</v>
      </c>
      <c r="B11737" t="s">
        <v>2902</v>
      </c>
      <c r="C11737" t="s">
        <v>14620</v>
      </c>
      <c r="D11737" t="s">
        <v>17482</v>
      </c>
      <c r="E11737" t="s">
        <v>27558</v>
      </c>
      <c r="F11737" t="s">
        <v>30052</v>
      </c>
      <c r="G11737" t="s">
        <v>30058</v>
      </c>
      <c r="H11737" t="s">
        <v>15498</v>
      </c>
      <c r="I11737" t="s">
        <v>3736</v>
      </c>
      <c r="J11737" t="s">
        <v>37375</v>
      </c>
      <c r="K11737" t="s">
        <v>39023</v>
      </c>
      <c r="M11737" t="s">
        <v>42456</v>
      </c>
      <c r="N11737" t="s">
        <v>43166</v>
      </c>
      <c r="O11737" t="s">
        <v>43167</v>
      </c>
      <c r="P11737">
        <v>0</v>
      </c>
      <c r="Q11737">
        <v>0</v>
      </c>
      <c r="R11737" t="s">
        <v>43181</v>
      </c>
      <c r="S11737" t="s">
        <v>43729</v>
      </c>
      <c r="T11737" t="s">
        <v>44773</v>
      </c>
      <c r="U11737" t="s">
        <v>54570</v>
      </c>
      <c r="W11737" t="s">
        <v>42456</v>
      </c>
      <c r="X11737" t="s">
        <v>43182</v>
      </c>
    </row>
    <row r="11738" spans="1:24">
      <c r="A11738">
        <f>HYPERLINK("https://www.philgeps.gov.ph/GEPSNONPILOT/Tender/SplashBidNoticeAbstractUI.aspx?menuIndex=3&amp;refID=7061212&amp;Result=3","7061212")</f>
        <v>0</v>
      </c>
      <c r="B11738" t="s">
        <v>3168</v>
      </c>
      <c r="C11738" t="s">
        <v>14621</v>
      </c>
      <c r="D11738" t="s">
        <v>17479</v>
      </c>
      <c r="E11738" t="s">
        <v>27559</v>
      </c>
      <c r="F11738" t="s">
        <v>30052</v>
      </c>
      <c r="G11738" t="s">
        <v>30058</v>
      </c>
      <c r="H11738" t="s">
        <v>30067</v>
      </c>
      <c r="I11738" t="s">
        <v>3693</v>
      </c>
      <c r="J11738" t="s">
        <v>37376</v>
      </c>
      <c r="K11738" t="s">
        <v>39026</v>
      </c>
      <c r="M11738" t="s">
        <v>42775</v>
      </c>
      <c r="N11738" t="s">
        <v>43166</v>
      </c>
      <c r="O11738" t="s">
        <v>43167</v>
      </c>
      <c r="P11738">
        <v>0</v>
      </c>
      <c r="Q11738">
        <v>11</v>
      </c>
      <c r="R11738" t="s">
        <v>43181</v>
      </c>
      <c r="S11738" t="s">
        <v>43729</v>
      </c>
      <c r="T11738" t="s">
        <v>44741</v>
      </c>
      <c r="U11738" t="s">
        <v>54571</v>
      </c>
      <c r="W11738" t="s">
        <v>42775</v>
      </c>
      <c r="X11738" t="s">
        <v>43182</v>
      </c>
    </row>
    <row r="11739" spans="1:24">
      <c r="A11739">
        <f>HYPERLINK("https://www.philgeps.gov.ph/GEPSNONPILOT/Tender/SplashBidNoticeAbstractUI.aspx?menuIndex=3&amp;refID=7061394&amp;Result=3","7061394")</f>
        <v>0</v>
      </c>
      <c r="B11739" t="s">
        <v>2902</v>
      </c>
      <c r="C11739" t="s">
        <v>14622</v>
      </c>
      <c r="D11739" t="s">
        <v>17482</v>
      </c>
      <c r="E11739" t="s">
        <v>27560</v>
      </c>
      <c r="F11739" t="s">
        <v>30052</v>
      </c>
      <c r="G11739" t="s">
        <v>30058</v>
      </c>
      <c r="H11739" t="s">
        <v>15498</v>
      </c>
      <c r="I11739" t="s">
        <v>3736</v>
      </c>
      <c r="J11739" t="s">
        <v>37377</v>
      </c>
      <c r="K11739" t="s">
        <v>39023</v>
      </c>
      <c r="M11739" t="s">
        <v>42456</v>
      </c>
      <c r="N11739" t="s">
        <v>43166</v>
      </c>
      <c r="O11739" t="s">
        <v>43167</v>
      </c>
      <c r="P11739">
        <v>0</v>
      </c>
      <c r="Q11739">
        <v>0</v>
      </c>
      <c r="R11739" t="s">
        <v>43181</v>
      </c>
      <c r="S11739" t="s">
        <v>43729</v>
      </c>
      <c r="T11739" t="s">
        <v>44773</v>
      </c>
      <c r="U11739" t="s">
        <v>54570</v>
      </c>
      <c r="W11739" t="s">
        <v>42456</v>
      </c>
      <c r="X11739" t="s">
        <v>43182</v>
      </c>
    </row>
    <row r="11740" spans="1:24">
      <c r="A11740">
        <f>HYPERLINK("https://www.philgeps.gov.ph/GEPSNONPILOT/Tender/SplashBidNoticeAbstractUI.aspx?menuIndex=3&amp;refID=7061390&amp;Result=3","7061390")</f>
        <v>0</v>
      </c>
      <c r="B11740" t="s">
        <v>2902</v>
      </c>
      <c r="C11740" t="s">
        <v>14623</v>
      </c>
      <c r="D11740" t="s">
        <v>17482</v>
      </c>
      <c r="E11740" t="s">
        <v>27561</v>
      </c>
      <c r="F11740" t="s">
        <v>30052</v>
      </c>
      <c r="G11740" t="s">
        <v>30058</v>
      </c>
      <c r="H11740" t="s">
        <v>15498</v>
      </c>
      <c r="I11740" t="s">
        <v>4650</v>
      </c>
      <c r="J11740" t="s">
        <v>37378</v>
      </c>
      <c r="K11740" t="s">
        <v>39029</v>
      </c>
      <c r="M11740" t="s">
        <v>42456</v>
      </c>
      <c r="N11740" t="s">
        <v>43166</v>
      </c>
      <c r="O11740" t="s">
        <v>43167</v>
      </c>
      <c r="P11740">
        <v>0</v>
      </c>
      <c r="Q11740">
        <v>2</v>
      </c>
      <c r="R11740" t="s">
        <v>43181</v>
      </c>
      <c r="S11740" t="s">
        <v>43729</v>
      </c>
      <c r="T11740" t="s">
        <v>44773</v>
      </c>
      <c r="U11740" t="s">
        <v>54570</v>
      </c>
      <c r="W11740" t="s">
        <v>42456</v>
      </c>
      <c r="X11740" t="s">
        <v>43182</v>
      </c>
    </row>
    <row r="11741" spans="1:24">
      <c r="A11741">
        <f>HYPERLINK("https://www.philgeps.gov.ph/GEPSNONPILOT/Tender/SplashBidNoticeAbstractUI.aspx?menuIndex=3&amp;refID=7061385&amp;Result=3","7061385")</f>
        <v>0</v>
      </c>
      <c r="B11741" t="s">
        <v>1610</v>
      </c>
      <c r="C11741" t="s">
        <v>14624</v>
      </c>
      <c r="D11741" t="s">
        <v>17455</v>
      </c>
      <c r="E11741" t="s">
        <v>27562</v>
      </c>
      <c r="F11741" t="s">
        <v>30052</v>
      </c>
      <c r="G11741" t="s">
        <v>30058</v>
      </c>
      <c r="H11741" t="s">
        <v>15498</v>
      </c>
      <c r="I11741" t="s">
        <v>3606</v>
      </c>
      <c r="J11741" t="s">
        <v>37379</v>
      </c>
      <c r="K11741" t="s">
        <v>39029</v>
      </c>
      <c r="M11741" t="s">
        <v>41009</v>
      </c>
      <c r="N11741" t="s">
        <v>43166</v>
      </c>
      <c r="O11741" t="s">
        <v>43167</v>
      </c>
      <c r="P11741">
        <v>0</v>
      </c>
      <c r="Q11741">
        <v>9</v>
      </c>
      <c r="R11741" t="s">
        <v>43181</v>
      </c>
      <c r="S11741" t="s">
        <v>43729</v>
      </c>
      <c r="T11741" t="s">
        <v>44733</v>
      </c>
      <c r="U11741" t="s">
        <v>54572</v>
      </c>
      <c r="W11741" t="s">
        <v>41009</v>
      </c>
      <c r="X11741" t="s">
        <v>43182</v>
      </c>
    </row>
    <row r="11742" spans="1:24">
      <c r="A11742">
        <f>HYPERLINK("https://www.philgeps.gov.ph/GEPSNONPILOT/Tender/SplashBidNoticeAbstractUI.aspx?menuIndex=3&amp;refID=7061382&amp;Result=3","7061382")</f>
        <v>0</v>
      </c>
      <c r="B11742" t="s">
        <v>2902</v>
      </c>
      <c r="C11742" t="s">
        <v>14625</v>
      </c>
      <c r="D11742" t="s">
        <v>17482</v>
      </c>
      <c r="E11742" t="s">
        <v>27563</v>
      </c>
      <c r="F11742" t="s">
        <v>30052</v>
      </c>
      <c r="G11742" t="s">
        <v>30058</v>
      </c>
      <c r="H11742" t="s">
        <v>15498</v>
      </c>
      <c r="I11742" t="s">
        <v>3736</v>
      </c>
      <c r="J11742" t="s">
        <v>37380</v>
      </c>
      <c r="K11742" t="s">
        <v>39019</v>
      </c>
      <c r="M11742" t="s">
        <v>42456</v>
      </c>
      <c r="N11742" t="s">
        <v>43166</v>
      </c>
      <c r="O11742" t="s">
        <v>43167</v>
      </c>
      <c r="P11742">
        <v>0</v>
      </c>
      <c r="Q11742">
        <v>0</v>
      </c>
      <c r="R11742" t="s">
        <v>43181</v>
      </c>
      <c r="S11742" t="s">
        <v>43729</v>
      </c>
      <c r="T11742" t="s">
        <v>44773</v>
      </c>
      <c r="U11742" t="s">
        <v>54570</v>
      </c>
      <c r="W11742" t="s">
        <v>42456</v>
      </c>
      <c r="X11742" t="s">
        <v>43182</v>
      </c>
    </row>
    <row r="11743" spans="1:24">
      <c r="A11743">
        <f>HYPERLINK("https://www.philgeps.gov.ph/GEPSNONPILOT/Tender/SplashBidNoticeAbstractUI.aspx?menuIndex=3&amp;refID=7061378&amp;Result=3","7061378")</f>
        <v>0</v>
      </c>
      <c r="B11743" t="s">
        <v>2620</v>
      </c>
      <c r="C11743" t="s">
        <v>14626</v>
      </c>
      <c r="D11743" t="s">
        <v>17459</v>
      </c>
      <c r="E11743" t="s">
        <v>27564</v>
      </c>
      <c r="F11743" t="s">
        <v>30052</v>
      </c>
      <c r="G11743" t="s">
        <v>30058</v>
      </c>
      <c r="H11743" t="s">
        <v>15498</v>
      </c>
      <c r="I11743" t="s">
        <v>30113</v>
      </c>
      <c r="J11743" t="s">
        <v>37381</v>
      </c>
      <c r="K11743" t="s">
        <v>39016</v>
      </c>
      <c r="M11743" t="s">
        <v>42133</v>
      </c>
      <c r="N11743" t="s">
        <v>43166</v>
      </c>
      <c r="O11743" t="s">
        <v>43167</v>
      </c>
      <c r="P11743">
        <v>0</v>
      </c>
      <c r="Q11743">
        <v>2</v>
      </c>
      <c r="R11743" t="s">
        <v>43181</v>
      </c>
      <c r="S11743" t="s">
        <v>43729</v>
      </c>
      <c r="T11743" t="s">
        <v>44699</v>
      </c>
      <c r="U11743" t="s">
        <v>54573</v>
      </c>
      <c r="W11743" t="s">
        <v>42133</v>
      </c>
      <c r="X11743" t="s">
        <v>43182</v>
      </c>
    </row>
    <row r="11744" spans="1:24">
      <c r="A11744">
        <f>HYPERLINK("https://www.philgeps.gov.ph/GEPSNONPILOT/Tender/SplashBidNoticeAbstractUI.aspx?menuIndex=3&amp;refID=7061358&amp;Result=3","7061358")</f>
        <v>0</v>
      </c>
      <c r="B11744" t="s">
        <v>2813</v>
      </c>
      <c r="C11744" t="s">
        <v>14627</v>
      </c>
      <c r="D11744" t="s">
        <v>17476</v>
      </c>
      <c r="E11744" t="s">
        <v>27565</v>
      </c>
      <c r="F11744" t="s">
        <v>30052</v>
      </c>
      <c r="G11744" t="s">
        <v>30058</v>
      </c>
      <c r="H11744" t="s">
        <v>30067</v>
      </c>
      <c r="I11744" t="s">
        <v>3693</v>
      </c>
      <c r="J11744" t="s">
        <v>37382</v>
      </c>
      <c r="K11744" t="s">
        <v>39186</v>
      </c>
      <c r="M11744" t="s">
        <v>42776</v>
      </c>
      <c r="N11744" t="s">
        <v>43166</v>
      </c>
      <c r="O11744" t="s">
        <v>43167</v>
      </c>
      <c r="P11744">
        <v>0</v>
      </c>
      <c r="Q11744">
        <v>0</v>
      </c>
      <c r="R11744" t="s">
        <v>43181</v>
      </c>
      <c r="S11744" t="s">
        <v>43729</v>
      </c>
      <c r="T11744" t="s">
        <v>44699</v>
      </c>
      <c r="U11744" t="s">
        <v>52899</v>
      </c>
      <c r="W11744" t="s">
        <v>42776</v>
      </c>
      <c r="X11744" t="s">
        <v>43182</v>
      </c>
    </row>
    <row r="11745" spans="1:24">
      <c r="A11745">
        <f>HYPERLINK("https://www.philgeps.gov.ph/GEPSNONPILOT/Tender/SplashBidNoticeAbstractUI.aspx?menuIndex=3&amp;refID=7061388&amp;Result=3","7061388")</f>
        <v>0</v>
      </c>
      <c r="B11745" t="s">
        <v>2902</v>
      </c>
      <c r="C11745" t="s">
        <v>14628</v>
      </c>
      <c r="D11745" t="s">
        <v>17482</v>
      </c>
      <c r="E11745" t="s">
        <v>27566</v>
      </c>
      <c r="F11745" t="s">
        <v>30052</v>
      </c>
      <c r="G11745" t="s">
        <v>30058</v>
      </c>
      <c r="H11745" t="s">
        <v>15498</v>
      </c>
      <c r="I11745" t="s">
        <v>30081</v>
      </c>
      <c r="J11745" t="s">
        <v>37383</v>
      </c>
      <c r="K11745" t="s">
        <v>39019</v>
      </c>
      <c r="M11745" t="s">
        <v>42456</v>
      </c>
      <c r="N11745" t="s">
        <v>43166</v>
      </c>
      <c r="O11745" t="s">
        <v>43167</v>
      </c>
      <c r="P11745">
        <v>0</v>
      </c>
      <c r="Q11745">
        <v>2</v>
      </c>
      <c r="R11745" t="s">
        <v>43181</v>
      </c>
      <c r="S11745" t="s">
        <v>43729</v>
      </c>
      <c r="T11745" t="s">
        <v>44773</v>
      </c>
      <c r="U11745" t="s">
        <v>54570</v>
      </c>
      <c r="W11745" t="s">
        <v>42456</v>
      </c>
      <c r="X11745" t="s">
        <v>43182</v>
      </c>
    </row>
    <row r="11746" spans="1:24">
      <c r="A11746">
        <f>HYPERLINK("https://www.philgeps.gov.ph/GEPSNONPILOT/Tender/SplashBidNoticeAbstractUI.aspx?menuIndex=3&amp;refID=7061407&amp;Result=3","7061407")</f>
        <v>0</v>
      </c>
      <c r="B11746" t="s">
        <v>1629</v>
      </c>
      <c r="C11746" t="s">
        <v>14629</v>
      </c>
      <c r="D11746" t="s">
        <v>17467</v>
      </c>
      <c r="E11746" t="s">
        <v>27567</v>
      </c>
      <c r="F11746" t="s">
        <v>30052</v>
      </c>
      <c r="G11746" t="s">
        <v>30058</v>
      </c>
      <c r="H11746" t="s">
        <v>30067</v>
      </c>
      <c r="I11746" t="s">
        <v>3693</v>
      </c>
      <c r="J11746" t="s">
        <v>37384</v>
      </c>
      <c r="K11746" t="s">
        <v>39023</v>
      </c>
      <c r="M11746" t="s">
        <v>41029</v>
      </c>
      <c r="N11746" t="s">
        <v>43166</v>
      </c>
      <c r="O11746" t="s">
        <v>43167</v>
      </c>
      <c r="P11746">
        <v>0</v>
      </c>
      <c r="Q11746">
        <v>0</v>
      </c>
      <c r="R11746" t="s">
        <v>43181</v>
      </c>
      <c r="S11746" t="s">
        <v>43729</v>
      </c>
      <c r="T11746" t="s">
        <v>44736</v>
      </c>
      <c r="U11746" t="s">
        <v>54574</v>
      </c>
      <c r="W11746" t="s">
        <v>41029</v>
      </c>
      <c r="X11746" t="s">
        <v>43182</v>
      </c>
    </row>
    <row r="11747" spans="1:24">
      <c r="A11747">
        <f>HYPERLINK("https://www.philgeps.gov.ph/GEPSNONPILOT/Tender/SplashBidNoticeAbstractUI.aspx?menuIndex=3&amp;refID=7061354&amp;Result=3","7061354")</f>
        <v>0</v>
      </c>
      <c r="B11747" t="s">
        <v>1945</v>
      </c>
      <c r="C11747" t="s">
        <v>14630</v>
      </c>
      <c r="D11747" t="s">
        <v>17427</v>
      </c>
      <c r="E11747" t="s">
        <v>27568</v>
      </c>
      <c r="F11747" t="s">
        <v>30052</v>
      </c>
      <c r="G11747" t="s">
        <v>30058</v>
      </c>
      <c r="H11747" t="s">
        <v>30067</v>
      </c>
      <c r="I11747" t="s">
        <v>30170</v>
      </c>
      <c r="J11747" t="s">
        <v>37385</v>
      </c>
      <c r="K11747" t="s">
        <v>39192</v>
      </c>
      <c r="M11747" t="s">
        <v>42354</v>
      </c>
      <c r="N11747" t="s">
        <v>43166</v>
      </c>
      <c r="O11747" t="s">
        <v>43167</v>
      </c>
      <c r="P11747">
        <v>0</v>
      </c>
      <c r="Q11747">
        <v>0</v>
      </c>
      <c r="R11747" t="s">
        <v>43181</v>
      </c>
      <c r="S11747" t="s">
        <v>43729</v>
      </c>
      <c r="T11747" t="s">
        <v>45141</v>
      </c>
      <c r="U11747" t="s">
        <v>54575</v>
      </c>
      <c r="W11747" t="s">
        <v>42354</v>
      </c>
      <c r="X11747" t="s">
        <v>43182</v>
      </c>
    </row>
    <row r="11748" spans="1:24">
      <c r="A11748">
        <f>HYPERLINK("https://www.philgeps.gov.ph/GEPSNONPILOT/Tender/SplashBidNoticeAbstractUI.aspx?menuIndex=3&amp;refID=7061345&amp;Result=3","7061345")</f>
        <v>0</v>
      </c>
      <c r="B11748" t="s">
        <v>3169</v>
      </c>
      <c r="C11748" t="s">
        <v>14631</v>
      </c>
      <c r="D11748" t="s">
        <v>17461</v>
      </c>
      <c r="E11748" t="s">
        <v>27569</v>
      </c>
      <c r="F11748" t="s">
        <v>30052</v>
      </c>
      <c r="G11748" t="s">
        <v>30058</v>
      </c>
      <c r="H11748" t="s">
        <v>15498</v>
      </c>
      <c r="I11748" t="s">
        <v>30135</v>
      </c>
      <c r="J11748" t="s">
        <v>31664</v>
      </c>
      <c r="K11748" t="s">
        <v>39046</v>
      </c>
      <c r="M11748" t="s">
        <v>42777</v>
      </c>
      <c r="N11748" t="s">
        <v>43166</v>
      </c>
      <c r="O11748" t="s">
        <v>43167</v>
      </c>
      <c r="Q11748">
        <v>9</v>
      </c>
      <c r="R11748" t="s">
        <v>43181</v>
      </c>
      <c r="S11748" t="s">
        <v>43780</v>
      </c>
      <c r="T11748" t="s">
        <v>44761</v>
      </c>
      <c r="U11748" t="s">
        <v>54576</v>
      </c>
      <c r="W11748" t="s">
        <v>42777</v>
      </c>
      <c r="X11748" t="s">
        <v>43182</v>
      </c>
    </row>
    <row r="11749" spans="1:24">
      <c r="A11749">
        <f>HYPERLINK("https://www.philgeps.gov.ph/GEPSNONPILOT/Tender/SplashBidNoticeAbstractUI.aspx?menuIndex=3&amp;refID=7061338&amp;Result=3","7061338")</f>
        <v>0</v>
      </c>
      <c r="B11749" t="s">
        <v>3169</v>
      </c>
      <c r="C11749" t="s">
        <v>14632</v>
      </c>
      <c r="D11749" t="s">
        <v>17461</v>
      </c>
      <c r="E11749" t="s">
        <v>27570</v>
      </c>
      <c r="F11749" t="s">
        <v>30052</v>
      </c>
      <c r="G11749" t="s">
        <v>30058</v>
      </c>
      <c r="H11749" t="s">
        <v>15498</v>
      </c>
      <c r="I11749" t="s">
        <v>30072</v>
      </c>
      <c r="J11749" t="s">
        <v>32474</v>
      </c>
      <c r="K11749" t="s">
        <v>39068</v>
      </c>
      <c r="M11749" t="s">
        <v>42777</v>
      </c>
      <c r="N11749" t="s">
        <v>43166</v>
      </c>
      <c r="O11749" t="s">
        <v>43167</v>
      </c>
      <c r="Q11749">
        <v>4</v>
      </c>
      <c r="R11749" t="s">
        <v>43181</v>
      </c>
      <c r="S11749" t="s">
        <v>43781</v>
      </c>
      <c r="T11749" t="s">
        <v>44768</v>
      </c>
      <c r="U11749" t="s">
        <v>54577</v>
      </c>
      <c r="W11749" t="s">
        <v>42777</v>
      </c>
      <c r="X11749" t="s">
        <v>43182</v>
      </c>
    </row>
    <row r="11750" spans="1:24">
      <c r="A11750">
        <f>HYPERLINK("https://www.philgeps.gov.ph/GEPSNONPILOT/Tender/SplashBidNoticeAbstractUI.aspx?menuIndex=3&amp;refID=7061265&amp;Result=3","7061265")</f>
        <v>0</v>
      </c>
      <c r="B11750" t="s">
        <v>74</v>
      </c>
      <c r="C11750" t="s">
        <v>14633</v>
      </c>
      <c r="E11750" t="s">
        <v>27571</v>
      </c>
      <c r="F11750" t="s">
        <v>30052</v>
      </c>
      <c r="G11750" t="s">
        <v>30058</v>
      </c>
      <c r="H11750" t="s">
        <v>30067</v>
      </c>
      <c r="I11750" t="s">
        <v>3693</v>
      </c>
      <c r="J11750" t="s">
        <v>37386</v>
      </c>
      <c r="K11750" t="s">
        <v>39025</v>
      </c>
      <c r="M11750" t="s">
        <v>39363</v>
      </c>
      <c r="N11750" t="s">
        <v>43166</v>
      </c>
      <c r="O11750" t="s">
        <v>43167</v>
      </c>
      <c r="Q11750">
        <v>2</v>
      </c>
      <c r="R11750" t="s">
        <v>43181</v>
      </c>
      <c r="S11750" t="s">
        <v>43782</v>
      </c>
      <c r="T11750" t="s">
        <v>44689</v>
      </c>
      <c r="U11750" t="s">
        <v>54578</v>
      </c>
      <c r="W11750" t="s">
        <v>39363</v>
      </c>
      <c r="X11750" t="s">
        <v>43182</v>
      </c>
    </row>
    <row r="11751" spans="1:24">
      <c r="A11751">
        <f>HYPERLINK("https://www.philgeps.gov.ph/GEPSNONPILOT/Tender/SplashBidNoticeAbstractUI.aspx?menuIndex=3&amp;refID=7061343&amp;Result=3","7061343")</f>
        <v>0</v>
      </c>
      <c r="B11751" t="s">
        <v>3170</v>
      </c>
      <c r="C11751" t="s">
        <v>14634</v>
      </c>
      <c r="D11751" t="s">
        <v>17478</v>
      </c>
      <c r="E11751" t="s">
        <v>27572</v>
      </c>
      <c r="F11751" t="s">
        <v>30052</v>
      </c>
      <c r="G11751" t="s">
        <v>30058</v>
      </c>
      <c r="H11751" t="s">
        <v>15498</v>
      </c>
      <c r="I11751" t="s">
        <v>30084</v>
      </c>
      <c r="J11751" t="s">
        <v>37387</v>
      </c>
      <c r="K11751" t="s">
        <v>39034</v>
      </c>
      <c r="M11751" t="s">
        <v>42778</v>
      </c>
      <c r="N11751" t="s">
        <v>43166</v>
      </c>
      <c r="O11751" t="s">
        <v>43167</v>
      </c>
      <c r="Q11751">
        <v>7</v>
      </c>
      <c r="R11751" t="s">
        <v>43181</v>
      </c>
      <c r="S11751" t="s">
        <v>43783</v>
      </c>
      <c r="T11751" t="s">
        <v>44681</v>
      </c>
      <c r="U11751" t="s">
        <v>54579</v>
      </c>
      <c r="W11751" t="s">
        <v>42778</v>
      </c>
      <c r="X11751" t="s">
        <v>43182</v>
      </c>
    </row>
    <row r="11752" spans="1:24">
      <c r="A11752">
        <f>HYPERLINK("https://www.philgeps.gov.ph/GEPSNONPILOT/Tender/SplashBidNoticeAbstractUI.aspx?menuIndex=3&amp;refID=7061401&amp;Result=3","7061401")</f>
        <v>0</v>
      </c>
      <c r="B11752" t="s">
        <v>1629</v>
      </c>
      <c r="C11752" t="s">
        <v>14635</v>
      </c>
      <c r="D11752" t="s">
        <v>17467</v>
      </c>
      <c r="E11752" t="s">
        <v>21511</v>
      </c>
      <c r="F11752" t="s">
        <v>30052</v>
      </c>
      <c r="G11752" t="s">
        <v>30058</v>
      </c>
      <c r="H11752" t="s">
        <v>15498</v>
      </c>
      <c r="I11752" t="s">
        <v>3736</v>
      </c>
      <c r="J11752" t="s">
        <v>37388</v>
      </c>
      <c r="K11752" t="s">
        <v>39019</v>
      </c>
      <c r="M11752" t="s">
        <v>41029</v>
      </c>
      <c r="N11752" t="s">
        <v>43166</v>
      </c>
      <c r="O11752" t="s">
        <v>43167</v>
      </c>
      <c r="P11752">
        <v>0</v>
      </c>
      <c r="Q11752">
        <v>0</v>
      </c>
      <c r="R11752" t="s">
        <v>43181</v>
      </c>
      <c r="S11752" t="s">
        <v>43729</v>
      </c>
      <c r="T11752" t="s">
        <v>44736</v>
      </c>
      <c r="U11752" t="s">
        <v>54580</v>
      </c>
      <c r="W11752" t="s">
        <v>41029</v>
      </c>
      <c r="X11752" t="s">
        <v>43182</v>
      </c>
    </row>
    <row r="11753" spans="1:24">
      <c r="A11753">
        <f>HYPERLINK("https://www.philgeps.gov.ph/GEPSNONPILOT/Tender/SplashBidNoticeAbstractUI.aspx?menuIndex=3&amp;refID=7061324&amp;Result=3","7061324")</f>
        <v>0</v>
      </c>
      <c r="B11753" t="s">
        <v>911</v>
      </c>
      <c r="C11753" t="s">
        <v>14636</v>
      </c>
      <c r="D11753" t="s">
        <v>17484</v>
      </c>
      <c r="E11753" t="s">
        <v>27573</v>
      </c>
      <c r="F11753" t="s">
        <v>30052</v>
      </c>
      <c r="G11753" t="s">
        <v>30058</v>
      </c>
      <c r="H11753" t="s">
        <v>30067</v>
      </c>
      <c r="I11753" t="s">
        <v>3693</v>
      </c>
      <c r="J11753" t="s">
        <v>30683</v>
      </c>
      <c r="K11753" t="s">
        <v>39029</v>
      </c>
      <c r="M11753" t="s">
        <v>40234</v>
      </c>
      <c r="N11753" t="s">
        <v>43166</v>
      </c>
      <c r="O11753" t="s">
        <v>43167</v>
      </c>
      <c r="P11753">
        <v>0</v>
      </c>
      <c r="Q11753">
        <v>0</v>
      </c>
      <c r="R11753" t="s">
        <v>43181</v>
      </c>
      <c r="S11753" t="s">
        <v>43729</v>
      </c>
      <c r="T11753" t="s">
        <v>44689</v>
      </c>
      <c r="U11753" t="s">
        <v>54581</v>
      </c>
      <c r="W11753" t="s">
        <v>40234</v>
      </c>
      <c r="X11753" t="s">
        <v>43182</v>
      </c>
    </row>
    <row r="11754" spans="1:24">
      <c r="A11754">
        <f>HYPERLINK("https://www.philgeps.gov.ph/GEPSNONPILOT/Tender/SplashBidNoticeAbstractUI.aspx?menuIndex=3&amp;refID=7061207&amp;Result=3","7061207")</f>
        <v>0</v>
      </c>
      <c r="B11754" t="s">
        <v>377</v>
      </c>
      <c r="C11754" t="s">
        <v>13433</v>
      </c>
      <c r="D11754" t="s">
        <v>17447</v>
      </c>
      <c r="E11754" t="s">
        <v>26900</v>
      </c>
      <c r="F11754" t="s">
        <v>30052</v>
      </c>
      <c r="G11754" t="s">
        <v>30058</v>
      </c>
      <c r="H11754" t="s">
        <v>15498</v>
      </c>
      <c r="I11754" t="s">
        <v>3606</v>
      </c>
      <c r="J11754" t="s">
        <v>37389</v>
      </c>
      <c r="K11754" t="s">
        <v>39031</v>
      </c>
      <c r="M11754" t="s">
        <v>42534</v>
      </c>
      <c r="N11754" t="s">
        <v>43166</v>
      </c>
      <c r="O11754" t="s">
        <v>43167</v>
      </c>
      <c r="P11754">
        <v>0</v>
      </c>
      <c r="Q11754">
        <v>6</v>
      </c>
      <c r="R11754" t="s">
        <v>43181</v>
      </c>
      <c r="S11754" t="s">
        <v>43729</v>
      </c>
      <c r="T11754" t="s">
        <v>44699</v>
      </c>
      <c r="U11754" t="s">
        <v>54582</v>
      </c>
      <c r="W11754" t="s">
        <v>42534</v>
      </c>
      <c r="X11754" t="s">
        <v>43182</v>
      </c>
    </row>
    <row r="11755" spans="1:24">
      <c r="A11755">
        <f>HYPERLINK("https://www.philgeps.gov.ph/GEPSNONPILOT/Tender/SplashBidNoticeAbstractUI.aspx?menuIndex=3&amp;refID=7061355&amp;Result=3","7061355")</f>
        <v>0</v>
      </c>
      <c r="B11755" t="s">
        <v>3169</v>
      </c>
      <c r="C11755" t="s">
        <v>14637</v>
      </c>
      <c r="D11755" t="s">
        <v>17461</v>
      </c>
      <c r="E11755" t="s">
        <v>27574</v>
      </c>
      <c r="F11755" t="s">
        <v>30052</v>
      </c>
      <c r="G11755" t="s">
        <v>30058</v>
      </c>
      <c r="H11755" t="s">
        <v>15498</v>
      </c>
      <c r="I11755" t="s">
        <v>30171</v>
      </c>
      <c r="J11755" t="s">
        <v>37390</v>
      </c>
      <c r="K11755" t="s">
        <v>39046</v>
      </c>
      <c r="M11755" t="s">
        <v>42777</v>
      </c>
      <c r="N11755" t="s">
        <v>43166</v>
      </c>
      <c r="O11755" t="s">
        <v>43167</v>
      </c>
      <c r="Q11755">
        <v>9</v>
      </c>
      <c r="R11755" t="s">
        <v>43181</v>
      </c>
      <c r="S11755" t="s">
        <v>43784</v>
      </c>
      <c r="T11755" t="s">
        <v>44761</v>
      </c>
      <c r="U11755" t="s">
        <v>54583</v>
      </c>
      <c r="W11755" t="s">
        <v>42777</v>
      </c>
      <c r="X11755" t="s">
        <v>43182</v>
      </c>
    </row>
    <row r="11756" spans="1:24">
      <c r="A11756">
        <f>HYPERLINK("https://www.philgeps.gov.ph/GEPSNONPILOT/Tender/SplashBidNoticeAbstractUI.aspx?menuIndex=3&amp;refID=7061201&amp;Result=3","7061201")</f>
        <v>0</v>
      </c>
      <c r="B11756" t="s">
        <v>1977</v>
      </c>
      <c r="C11756" t="s">
        <v>14638</v>
      </c>
      <c r="D11756" t="s">
        <v>17427</v>
      </c>
      <c r="E11756" t="s">
        <v>27575</v>
      </c>
      <c r="F11756" t="s">
        <v>30052</v>
      </c>
      <c r="G11756" t="s">
        <v>30058</v>
      </c>
      <c r="H11756" t="s">
        <v>30067</v>
      </c>
      <c r="I11756" t="s">
        <v>30106</v>
      </c>
      <c r="J11756" t="s">
        <v>37391</v>
      </c>
      <c r="K11756" t="s">
        <v>39052</v>
      </c>
      <c r="M11756" t="s">
        <v>41418</v>
      </c>
      <c r="N11756" t="s">
        <v>43166</v>
      </c>
      <c r="O11756" t="s">
        <v>43167</v>
      </c>
      <c r="P11756">
        <v>0</v>
      </c>
      <c r="Q11756">
        <v>1</v>
      </c>
      <c r="R11756" t="s">
        <v>43181</v>
      </c>
      <c r="S11756" t="s">
        <v>43729</v>
      </c>
      <c r="T11756" t="s">
        <v>44704</v>
      </c>
      <c r="U11756" t="s">
        <v>54584</v>
      </c>
      <c r="W11756" t="s">
        <v>41418</v>
      </c>
      <c r="X11756" t="s">
        <v>43182</v>
      </c>
    </row>
    <row r="11757" spans="1:24">
      <c r="A11757">
        <f>HYPERLINK("https://www.philgeps.gov.ph/GEPSNONPILOT/Tender/SplashBidNoticeAbstractUI.aspx?menuIndex=3&amp;refID=7061533&amp;Result=3","7061533")</f>
        <v>0</v>
      </c>
      <c r="B11757" t="s">
        <v>964</v>
      </c>
      <c r="C11757" t="s">
        <v>14639</v>
      </c>
      <c r="D11757" t="s">
        <v>17415</v>
      </c>
      <c r="E11757" t="s">
        <v>27576</v>
      </c>
      <c r="F11757" t="s">
        <v>30052</v>
      </c>
      <c r="G11757" t="s">
        <v>30058</v>
      </c>
      <c r="H11757" t="s">
        <v>15498</v>
      </c>
      <c r="I11757" t="s">
        <v>30071</v>
      </c>
      <c r="J11757" t="s">
        <v>37392</v>
      </c>
      <c r="K11757" t="s">
        <v>39019</v>
      </c>
      <c r="M11757" t="s">
        <v>42746</v>
      </c>
      <c r="N11757" t="s">
        <v>43166</v>
      </c>
      <c r="O11757" t="s">
        <v>43167</v>
      </c>
      <c r="P11757">
        <v>0</v>
      </c>
      <c r="Q11757">
        <v>1</v>
      </c>
      <c r="R11757" t="s">
        <v>43181</v>
      </c>
      <c r="S11757" t="s">
        <v>43729</v>
      </c>
      <c r="T11757" t="s">
        <v>44762</v>
      </c>
      <c r="U11757" t="s">
        <v>54585</v>
      </c>
      <c r="W11757" t="s">
        <v>42746</v>
      </c>
      <c r="X11757" t="s">
        <v>43182</v>
      </c>
    </row>
    <row r="11758" spans="1:24">
      <c r="A11758">
        <f>HYPERLINK("https://www.philgeps.gov.ph/GEPSNONPILOT/Tender/SplashBidNoticeAbstractUI.aspx?menuIndex=3&amp;refID=7061323&amp;Result=3","7061323")</f>
        <v>0</v>
      </c>
      <c r="B11758" t="s">
        <v>3169</v>
      </c>
      <c r="C11758" t="s">
        <v>14640</v>
      </c>
      <c r="D11758" t="s">
        <v>17461</v>
      </c>
      <c r="E11758" t="s">
        <v>27577</v>
      </c>
      <c r="F11758" t="s">
        <v>30052</v>
      </c>
      <c r="G11758" t="s">
        <v>30058</v>
      </c>
      <c r="H11758" t="s">
        <v>15498</v>
      </c>
      <c r="I11758" t="s">
        <v>30097</v>
      </c>
      <c r="J11758" t="s">
        <v>37393</v>
      </c>
      <c r="K11758" t="s">
        <v>39046</v>
      </c>
      <c r="M11758" t="s">
        <v>42777</v>
      </c>
      <c r="N11758" t="s">
        <v>43166</v>
      </c>
      <c r="O11758" t="s">
        <v>43167</v>
      </c>
      <c r="Q11758">
        <v>14</v>
      </c>
      <c r="R11758" t="s">
        <v>43181</v>
      </c>
      <c r="S11758" t="s">
        <v>43785</v>
      </c>
      <c r="T11758" t="s">
        <v>45162</v>
      </c>
      <c r="U11758" t="s">
        <v>54586</v>
      </c>
      <c r="W11758" t="s">
        <v>42777</v>
      </c>
      <c r="X11758" t="s">
        <v>43182</v>
      </c>
    </row>
    <row r="11759" spans="1:24">
      <c r="A11759">
        <f>HYPERLINK("https://www.philgeps.gov.ph/GEPSNONPILOT/Tender/SplashBidNoticeAbstractUI.aspx?menuIndex=3&amp;refID=7061528&amp;Result=3","7061528")</f>
        <v>0</v>
      </c>
      <c r="B11759" t="s">
        <v>1056</v>
      </c>
      <c r="C11759" t="s">
        <v>14641</v>
      </c>
      <c r="D11759" t="s">
        <v>17422</v>
      </c>
      <c r="E11759" t="s">
        <v>27578</v>
      </c>
      <c r="F11759" t="s">
        <v>30052</v>
      </c>
      <c r="G11759" t="s">
        <v>30058</v>
      </c>
      <c r="H11759" t="s">
        <v>15498</v>
      </c>
      <c r="I11759" t="s">
        <v>30076</v>
      </c>
      <c r="J11759" t="s">
        <v>37394</v>
      </c>
      <c r="K11759" t="s">
        <v>39025</v>
      </c>
      <c r="M11759" t="s">
        <v>40391</v>
      </c>
      <c r="N11759" t="s">
        <v>43166</v>
      </c>
      <c r="O11759" t="s">
        <v>43167</v>
      </c>
      <c r="P11759">
        <v>0</v>
      </c>
      <c r="Q11759">
        <v>23</v>
      </c>
      <c r="R11759" t="s">
        <v>43181</v>
      </c>
      <c r="S11759" t="s">
        <v>43729</v>
      </c>
      <c r="T11759" t="s">
        <v>44681</v>
      </c>
      <c r="U11759" t="s">
        <v>54587</v>
      </c>
      <c r="W11759" t="s">
        <v>40391</v>
      </c>
      <c r="X11759" t="s">
        <v>43182</v>
      </c>
    </row>
    <row r="11760" spans="1:24">
      <c r="A11760">
        <f>HYPERLINK("https://www.philgeps.gov.ph/GEPSNONPILOT/Tender/SplashBidNoticeAbstractUI.aspx?menuIndex=3&amp;refID=7061330&amp;Result=3","7061330")</f>
        <v>0</v>
      </c>
      <c r="B11760" t="s">
        <v>3169</v>
      </c>
      <c r="C11760" t="s">
        <v>14642</v>
      </c>
      <c r="D11760" t="s">
        <v>17461</v>
      </c>
      <c r="E11760" t="s">
        <v>27579</v>
      </c>
      <c r="F11760" t="s">
        <v>30052</v>
      </c>
      <c r="G11760" t="s">
        <v>30058</v>
      </c>
      <c r="H11760" t="s">
        <v>15498</v>
      </c>
      <c r="I11760" t="s">
        <v>30097</v>
      </c>
      <c r="J11760" t="s">
        <v>37395</v>
      </c>
      <c r="K11760" t="s">
        <v>39046</v>
      </c>
      <c r="M11760" t="s">
        <v>42777</v>
      </c>
      <c r="N11760" t="s">
        <v>43166</v>
      </c>
      <c r="O11760" t="s">
        <v>43167</v>
      </c>
      <c r="Q11760">
        <v>12</v>
      </c>
      <c r="R11760" t="s">
        <v>43181</v>
      </c>
      <c r="S11760" t="s">
        <v>43388</v>
      </c>
      <c r="T11760" t="s">
        <v>45162</v>
      </c>
      <c r="U11760" t="s">
        <v>54588</v>
      </c>
      <c r="W11760" t="s">
        <v>42777</v>
      </c>
      <c r="X11760" t="s">
        <v>43182</v>
      </c>
    </row>
    <row r="11761" spans="1:24">
      <c r="A11761">
        <f>HYPERLINK("https://www.philgeps.gov.ph/GEPSNONPILOT/Tender/SplashBidNoticeAbstractUI.aspx?menuIndex=3&amp;refID=7061509&amp;Result=3","7061509")</f>
        <v>0</v>
      </c>
      <c r="B11761" t="s">
        <v>2864</v>
      </c>
      <c r="C11761" t="s">
        <v>14643</v>
      </c>
      <c r="D11761" t="s">
        <v>17475</v>
      </c>
      <c r="E11761" t="s">
        <v>27580</v>
      </c>
      <c r="F11761" t="s">
        <v>30052</v>
      </c>
      <c r="G11761" t="s">
        <v>30058</v>
      </c>
      <c r="H11761" t="s">
        <v>30067</v>
      </c>
      <c r="I11761" t="s">
        <v>3693</v>
      </c>
      <c r="J11761" t="s">
        <v>37396</v>
      </c>
      <c r="K11761" t="s">
        <v>39025</v>
      </c>
      <c r="M11761" t="s">
        <v>42475</v>
      </c>
      <c r="N11761" t="s">
        <v>43166</v>
      </c>
      <c r="O11761" t="s">
        <v>43167</v>
      </c>
      <c r="P11761">
        <v>0</v>
      </c>
      <c r="Q11761">
        <v>0</v>
      </c>
      <c r="R11761" t="s">
        <v>43181</v>
      </c>
      <c r="S11761" t="s">
        <v>43729</v>
      </c>
      <c r="T11761" t="s">
        <v>44753</v>
      </c>
      <c r="U11761" t="s">
        <v>53437</v>
      </c>
      <c r="W11761" t="s">
        <v>42475</v>
      </c>
      <c r="X11761" t="s">
        <v>43182</v>
      </c>
    </row>
    <row r="11762" spans="1:24">
      <c r="A11762">
        <f>HYPERLINK("https://www.philgeps.gov.ph/GEPSNONPILOT/Tender/SplashBidNoticeAbstractUI.aspx?menuIndex=3&amp;refID=7061328&amp;Result=3","7061328")</f>
        <v>0</v>
      </c>
      <c r="B11762" t="s">
        <v>2660</v>
      </c>
      <c r="C11762" t="s">
        <v>14644</v>
      </c>
      <c r="D11762" t="s">
        <v>17415</v>
      </c>
      <c r="E11762" t="s">
        <v>27581</v>
      </c>
      <c r="F11762" t="s">
        <v>30052</v>
      </c>
      <c r="G11762" t="s">
        <v>30058</v>
      </c>
      <c r="H11762" t="s">
        <v>15498</v>
      </c>
      <c r="I11762" t="s">
        <v>30098</v>
      </c>
      <c r="J11762" t="s">
        <v>36368</v>
      </c>
      <c r="K11762" t="s">
        <v>39023</v>
      </c>
      <c r="M11762" t="s">
        <v>42179</v>
      </c>
      <c r="N11762" t="s">
        <v>43166</v>
      </c>
      <c r="O11762" t="s">
        <v>43167</v>
      </c>
      <c r="P11762">
        <v>0</v>
      </c>
      <c r="Q11762">
        <v>17</v>
      </c>
      <c r="R11762" t="s">
        <v>43181</v>
      </c>
      <c r="S11762" t="s">
        <v>43729</v>
      </c>
      <c r="T11762" t="s">
        <v>44925</v>
      </c>
      <c r="U11762" t="s">
        <v>54589</v>
      </c>
      <c r="V11762" t="s">
        <v>57766</v>
      </c>
      <c r="W11762" t="s">
        <v>42179</v>
      </c>
      <c r="X11762" t="s">
        <v>43182</v>
      </c>
    </row>
    <row r="11763" spans="1:24">
      <c r="A11763">
        <f>HYPERLINK("https://www.philgeps.gov.ph/GEPSNONPILOT/Tender/SplashBidNoticeAbstractUI.aspx?menuIndex=3&amp;refID=7061500&amp;Result=3","7061500")</f>
        <v>0</v>
      </c>
      <c r="B11763" t="s">
        <v>1291</v>
      </c>
      <c r="C11763" t="s">
        <v>14645</v>
      </c>
      <c r="D11763" t="s">
        <v>17464</v>
      </c>
      <c r="E11763" t="s">
        <v>27582</v>
      </c>
      <c r="F11763" t="s">
        <v>30052</v>
      </c>
      <c r="G11763" t="s">
        <v>30063</v>
      </c>
      <c r="H11763" t="s">
        <v>30067</v>
      </c>
      <c r="I11763" t="s">
        <v>3693</v>
      </c>
      <c r="J11763" t="s">
        <v>37397</v>
      </c>
      <c r="K11763" t="s">
        <v>39033</v>
      </c>
      <c r="M11763" t="s">
        <v>40657</v>
      </c>
      <c r="N11763" t="s">
        <v>43166</v>
      </c>
      <c r="O11763" t="s">
        <v>43167</v>
      </c>
      <c r="P11763">
        <v>0</v>
      </c>
      <c r="Q11763">
        <v>36</v>
      </c>
      <c r="R11763" t="s">
        <v>43181</v>
      </c>
      <c r="S11763" t="s">
        <v>43729</v>
      </c>
      <c r="T11763" t="s">
        <v>44699</v>
      </c>
      <c r="U11763" t="s">
        <v>54590</v>
      </c>
      <c r="V11763" t="s">
        <v>58130</v>
      </c>
      <c r="W11763" t="s">
        <v>40657</v>
      </c>
      <c r="X11763" t="s">
        <v>43182</v>
      </c>
    </row>
    <row r="11764" spans="1:24">
      <c r="A11764">
        <f>HYPERLINK("https://www.philgeps.gov.ph/GEPSNONPILOT/Tender/SplashBidNoticeAbstractUI.aspx?menuIndex=3&amp;refID=7061496&amp;Result=3","7061496")</f>
        <v>0</v>
      </c>
      <c r="B11764" t="s">
        <v>1291</v>
      </c>
      <c r="C11764" t="s">
        <v>14646</v>
      </c>
      <c r="D11764" t="s">
        <v>17464</v>
      </c>
      <c r="E11764" t="s">
        <v>27583</v>
      </c>
      <c r="F11764" t="s">
        <v>30052</v>
      </c>
      <c r="G11764" t="s">
        <v>30063</v>
      </c>
      <c r="H11764" t="s">
        <v>30067</v>
      </c>
      <c r="I11764" t="s">
        <v>3693</v>
      </c>
      <c r="J11764" t="s">
        <v>37398</v>
      </c>
      <c r="K11764" t="s">
        <v>39016</v>
      </c>
      <c r="M11764" t="s">
        <v>40657</v>
      </c>
      <c r="N11764" t="s">
        <v>43166</v>
      </c>
      <c r="O11764" t="s">
        <v>43167</v>
      </c>
      <c r="P11764">
        <v>0</v>
      </c>
      <c r="Q11764">
        <v>38</v>
      </c>
      <c r="R11764" t="s">
        <v>43181</v>
      </c>
      <c r="S11764" t="s">
        <v>43729</v>
      </c>
      <c r="T11764" t="s">
        <v>44699</v>
      </c>
      <c r="U11764" t="s">
        <v>54591</v>
      </c>
      <c r="V11764" t="s">
        <v>58131</v>
      </c>
      <c r="W11764" t="s">
        <v>40657</v>
      </c>
      <c r="X11764" t="s">
        <v>43182</v>
      </c>
    </row>
    <row r="11765" spans="1:24">
      <c r="A11765">
        <f>HYPERLINK("https://www.philgeps.gov.ph/GEPSNONPILOT/Tender/SplashBidNoticeAbstractUI.aspx?menuIndex=3&amp;refID=7061487&amp;Result=3","7061487")</f>
        <v>0</v>
      </c>
      <c r="B11765" t="s">
        <v>1291</v>
      </c>
      <c r="C11765" t="s">
        <v>14647</v>
      </c>
      <c r="D11765" t="s">
        <v>17464</v>
      </c>
      <c r="E11765" t="s">
        <v>27584</v>
      </c>
      <c r="F11765" t="s">
        <v>30052</v>
      </c>
      <c r="G11765" t="s">
        <v>30063</v>
      </c>
      <c r="H11765" t="s">
        <v>30067</v>
      </c>
      <c r="I11765" t="s">
        <v>3693</v>
      </c>
      <c r="J11765" t="s">
        <v>37399</v>
      </c>
      <c r="K11765" t="s">
        <v>39023</v>
      </c>
      <c r="M11765" t="s">
        <v>40657</v>
      </c>
      <c r="N11765" t="s">
        <v>43166</v>
      </c>
      <c r="O11765" t="s">
        <v>43167</v>
      </c>
      <c r="P11765">
        <v>0</v>
      </c>
      <c r="Q11765">
        <v>17</v>
      </c>
      <c r="R11765" t="s">
        <v>43181</v>
      </c>
      <c r="S11765" t="s">
        <v>43729</v>
      </c>
      <c r="T11765" t="s">
        <v>44699</v>
      </c>
      <c r="U11765" t="s">
        <v>54592</v>
      </c>
      <c r="V11765" t="s">
        <v>58132</v>
      </c>
      <c r="W11765" t="s">
        <v>40657</v>
      </c>
      <c r="X11765" t="s">
        <v>43182</v>
      </c>
    </row>
    <row r="11766" spans="1:24">
      <c r="A11766">
        <f>HYPERLINK("https://www.philgeps.gov.ph/GEPSNONPILOT/Tender/SplashBidNoticeAbstractUI.aspx?menuIndex=3&amp;refID=7061337&amp;Result=3","7061337")</f>
        <v>0</v>
      </c>
      <c r="B11766" t="s">
        <v>2949</v>
      </c>
      <c r="C11766" t="s">
        <v>14648</v>
      </c>
      <c r="D11766" t="s">
        <v>17445</v>
      </c>
      <c r="E11766" t="s">
        <v>23632</v>
      </c>
      <c r="F11766" t="s">
        <v>30054</v>
      </c>
      <c r="G11766" t="s">
        <v>30058</v>
      </c>
      <c r="H11766" t="s">
        <v>30067</v>
      </c>
      <c r="I11766" t="s">
        <v>30152</v>
      </c>
      <c r="J11766" t="s">
        <v>30230</v>
      </c>
      <c r="K11766" t="s">
        <v>39037</v>
      </c>
      <c r="M11766" t="s">
        <v>42514</v>
      </c>
      <c r="N11766" t="s">
        <v>43166</v>
      </c>
      <c r="O11766" t="s">
        <v>43167</v>
      </c>
      <c r="P11766">
        <v>0</v>
      </c>
      <c r="Q11766">
        <v>0</v>
      </c>
      <c r="R11766" t="s">
        <v>43181</v>
      </c>
      <c r="S11766" t="s">
        <v>43729</v>
      </c>
      <c r="T11766" t="s">
        <v>44734</v>
      </c>
      <c r="U11766" t="s">
        <v>54593</v>
      </c>
      <c r="W11766" t="s">
        <v>42514</v>
      </c>
      <c r="X11766" t="s">
        <v>43182</v>
      </c>
    </row>
    <row r="11767" spans="1:24">
      <c r="A11767">
        <f>HYPERLINK("https://www.philgeps.gov.ph/GEPSNONPILOT/Tender/SplashBidNoticeAbstractUI.aspx?menuIndex=3&amp;refID=7061520&amp;Result=3","7061520")</f>
        <v>0</v>
      </c>
      <c r="B11767" t="s">
        <v>2864</v>
      </c>
      <c r="C11767" t="s">
        <v>14649</v>
      </c>
      <c r="D11767" t="s">
        <v>17475</v>
      </c>
      <c r="E11767" t="s">
        <v>27585</v>
      </c>
      <c r="F11767" t="s">
        <v>30052</v>
      </c>
      <c r="G11767" t="s">
        <v>30058</v>
      </c>
      <c r="H11767" t="s">
        <v>30067</v>
      </c>
      <c r="I11767" t="s">
        <v>3693</v>
      </c>
      <c r="J11767" t="s">
        <v>37400</v>
      </c>
      <c r="K11767" t="s">
        <v>39025</v>
      </c>
      <c r="M11767" t="s">
        <v>42475</v>
      </c>
      <c r="N11767" t="s">
        <v>43166</v>
      </c>
      <c r="O11767" t="s">
        <v>43167</v>
      </c>
      <c r="P11767">
        <v>0</v>
      </c>
      <c r="Q11767">
        <v>2</v>
      </c>
      <c r="R11767" t="s">
        <v>43181</v>
      </c>
      <c r="S11767" t="s">
        <v>43729</v>
      </c>
      <c r="T11767" t="s">
        <v>44753</v>
      </c>
      <c r="U11767" t="s">
        <v>53437</v>
      </c>
      <c r="W11767" t="s">
        <v>42475</v>
      </c>
      <c r="X11767" t="s">
        <v>43182</v>
      </c>
    </row>
    <row r="11768" spans="1:24">
      <c r="A11768">
        <f>HYPERLINK("https://www.philgeps.gov.ph/GEPSNONPILOT/Tender/SplashBidNoticeAbstractUI.aspx?menuIndex=3&amp;refID=7061456&amp;Result=3","7061456")</f>
        <v>0</v>
      </c>
      <c r="B11768" t="s">
        <v>1629</v>
      </c>
      <c r="C11768" t="s">
        <v>14650</v>
      </c>
      <c r="D11768" t="s">
        <v>17467</v>
      </c>
      <c r="E11768" t="s">
        <v>27586</v>
      </c>
      <c r="F11768" t="s">
        <v>30052</v>
      </c>
      <c r="G11768" t="s">
        <v>30058</v>
      </c>
      <c r="H11768" t="s">
        <v>15498</v>
      </c>
      <c r="I11768" t="s">
        <v>3736</v>
      </c>
      <c r="J11768" t="s">
        <v>37401</v>
      </c>
      <c r="K11768" t="s">
        <v>39019</v>
      </c>
      <c r="M11768" t="s">
        <v>41029</v>
      </c>
      <c r="N11768" t="s">
        <v>43166</v>
      </c>
      <c r="O11768" t="s">
        <v>43167</v>
      </c>
      <c r="P11768">
        <v>0</v>
      </c>
      <c r="Q11768">
        <v>1</v>
      </c>
      <c r="R11768" t="s">
        <v>43181</v>
      </c>
      <c r="S11768" t="s">
        <v>43729</v>
      </c>
      <c r="T11768" t="s">
        <v>44736</v>
      </c>
      <c r="U11768" t="s">
        <v>48964</v>
      </c>
      <c r="W11768" t="s">
        <v>41029</v>
      </c>
      <c r="X11768" t="s">
        <v>43182</v>
      </c>
    </row>
    <row r="11769" spans="1:24">
      <c r="A11769">
        <f>HYPERLINK("https://www.philgeps.gov.ph/GEPSNONPILOT/Tender/SplashBidNoticeAbstractUI.aspx?menuIndex=3&amp;refID=7061534&amp;Result=3","7061534")</f>
        <v>0</v>
      </c>
      <c r="B11769" t="s">
        <v>2864</v>
      </c>
      <c r="C11769" t="s">
        <v>14651</v>
      </c>
      <c r="D11769" t="s">
        <v>17475</v>
      </c>
      <c r="E11769" t="s">
        <v>27587</v>
      </c>
      <c r="F11769" t="s">
        <v>30052</v>
      </c>
      <c r="G11769" t="s">
        <v>30058</v>
      </c>
      <c r="H11769" t="s">
        <v>30067</v>
      </c>
      <c r="I11769" t="s">
        <v>3693</v>
      </c>
      <c r="J11769" t="s">
        <v>37402</v>
      </c>
      <c r="K11769" t="s">
        <v>39025</v>
      </c>
      <c r="M11769" t="s">
        <v>42475</v>
      </c>
      <c r="N11769" t="s">
        <v>43166</v>
      </c>
      <c r="O11769" t="s">
        <v>43167</v>
      </c>
      <c r="P11769">
        <v>0</v>
      </c>
      <c r="Q11769">
        <v>0</v>
      </c>
      <c r="R11769" t="s">
        <v>43181</v>
      </c>
      <c r="S11769" t="s">
        <v>43729</v>
      </c>
      <c r="T11769" t="s">
        <v>44753</v>
      </c>
      <c r="U11769" t="s">
        <v>53437</v>
      </c>
      <c r="W11769" t="s">
        <v>42475</v>
      </c>
      <c r="X11769" t="s">
        <v>43182</v>
      </c>
    </row>
    <row r="11770" spans="1:24">
      <c r="A11770">
        <f>HYPERLINK("https://www.philgeps.gov.ph/GEPSNONPILOT/Tender/SplashBidNoticeAbstractUI.aspx?menuIndex=3&amp;refID=7061436&amp;Result=3","7061436")</f>
        <v>0</v>
      </c>
      <c r="B11770" t="s">
        <v>96</v>
      </c>
      <c r="C11770" t="s">
        <v>14652</v>
      </c>
      <c r="D11770" t="s">
        <v>17442</v>
      </c>
      <c r="E11770" t="s">
        <v>27588</v>
      </c>
      <c r="F11770" t="s">
        <v>30054</v>
      </c>
      <c r="G11770" t="s">
        <v>30058</v>
      </c>
      <c r="H11770" t="s">
        <v>15498</v>
      </c>
      <c r="I11770" t="s">
        <v>30093</v>
      </c>
      <c r="J11770" t="s">
        <v>37403</v>
      </c>
      <c r="K11770" t="s">
        <v>39031</v>
      </c>
      <c r="M11770" t="s">
        <v>39385</v>
      </c>
      <c r="N11770" t="s">
        <v>43166</v>
      </c>
      <c r="O11770" t="s">
        <v>43167</v>
      </c>
      <c r="P11770">
        <v>0</v>
      </c>
      <c r="Q11770">
        <v>12</v>
      </c>
      <c r="R11770" t="s">
        <v>43181</v>
      </c>
      <c r="S11770" t="s">
        <v>43729</v>
      </c>
      <c r="T11770" t="s">
        <v>45009</v>
      </c>
      <c r="U11770" t="s">
        <v>54594</v>
      </c>
      <c r="W11770" t="s">
        <v>39385</v>
      </c>
      <c r="X11770" t="s">
        <v>43182</v>
      </c>
    </row>
    <row r="11771" spans="1:24">
      <c r="A11771">
        <f>HYPERLINK("https://www.philgeps.gov.ph/GEPSNONPILOT/Tender/SplashBidNoticeAbstractUI.aspx?menuIndex=3&amp;refID=7061491&amp;Result=3","7061491")</f>
        <v>0</v>
      </c>
      <c r="B11771" t="s">
        <v>1291</v>
      </c>
      <c r="C11771" t="s">
        <v>14653</v>
      </c>
      <c r="D11771" t="s">
        <v>17464</v>
      </c>
      <c r="E11771" t="s">
        <v>27589</v>
      </c>
      <c r="F11771" t="s">
        <v>30052</v>
      </c>
      <c r="G11771" t="s">
        <v>30063</v>
      </c>
      <c r="H11771" t="s">
        <v>30067</v>
      </c>
      <c r="I11771" t="s">
        <v>3693</v>
      </c>
      <c r="J11771" t="s">
        <v>37404</v>
      </c>
      <c r="K11771" t="s">
        <v>39190</v>
      </c>
      <c r="M11771" t="s">
        <v>40657</v>
      </c>
      <c r="N11771" t="s">
        <v>43166</v>
      </c>
      <c r="O11771" t="s">
        <v>43167</v>
      </c>
      <c r="P11771">
        <v>0</v>
      </c>
      <c r="Q11771">
        <v>24</v>
      </c>
      <c r="R11771" t="s">
        <v>43181</v>
      </c>
      <c r="S11771" t="s">
        <v>43729</v>
      </c>
      <c r="T11771" t="s">
        <v>44699</v>
      </c>
      <c r="U11771" t="s">
        <v>54595</v>
      </c>
      <c r="V11771" t="s">
        <v>58133</v>
      </c>
      <c r="W11771" t="s">
        <v>40657</v>
      </c>
      <c r="X11771" t="s">
        <v>43182</v>
      </c>
    </row>
    <row r="11772" spans="1:24">
      <c r="A11772">
        <f>HYPERLINK("https://www.philgeps.gov.ph/GEPSNONPILOT/Tender/SplashBidNoticeAbstractUI.aspx?menuIndex=3&amp;refID=7061431&amp;Result=3","7061431")</f>
        <v>0</v>
      </c>
      <c r="B11772" t="s">
        <v>3171</v>
      </c>
      <c r="C11772" t="s">
        <v>14654</v>
      </c>
      <c r="D11772" t="s">
        <v>17453</v>
      </c>
      <c r="E11772" t="s">
        <v>27590</v>
      </c>
      <c r="F11772" t="s">
        <v>30052</v>
      </c>
      <c r="G11772" t="s">
        <v>30058</v>
      </c>
      <c r="H11772" t="s">
        <v>30069</v>
      </c>
      <c r="I11772" t="s">
        <v>30074</v>
      </c>
      <c r="J11772" t="s">
        <v>33191</v>
      </c>
      <c r="K11772" t="s">
        <v>39059</v>
      </c>
      <c r="M11772" t="s">
        <v>42779</v>
      </c>
      <c r="N11772" t="s">
        <v>43166</v>
      </c>
      <c r="O11772" t="s">
        <v>43167</v>
      </c>
      <c r="Q11772">
        <v>6</v>
      </c>
      <c r="R11772" t="s">
        <v>43181</v>
      </c>
      <c r="S11772" t="s">
        <v>43786</v>
      </c>
      <c r="T11772" t="s">
        <v>44681</v>
      </c>
      <c r="U11772" t="s">
        <v>54596</v>
      </c>
      <c r="V11772" t="s">
        <v>58134</v>
      </c>
      <c r="W11772" t="s">
        <v>42779</v>
      </c>
      <c r="X11772" t="s">
        <v>43182</v>
      </c>
    </row>
    <row r="11773" spans="1:24">
      <c r="A11773">
        <f>HYPERLINK("https://www.philgeps.gov.ph/GEPSNONPILOT/Tender/SplashBidNoticeAbstractUI.aspx?menuIndex=3&amp;refID=7061476&amp;Result=3","7061476")</f>
        <v>0</v>
      </c>
      <c r="B11773" t="s">
        <v>964</v>
      </c>
      <c r="C11773" t="s">
        <v>14655</v>
      </c>
      <c r="D11773" t="s">
        <v>17415</v>
      </c>
      <c r="E11773" t="s">
        <v>27591</v>
      </c>
      <c r="F11773" t="s">
        <v>30052</v>
      </c>
      <c r="G11773" t="s">
        <v>30058</v>
      </c>
      <c r="H11773" t="s">
        <v>15498</v>
      </c>
      <c r="I11773" t="s">
        <v>30071</v>
      </c>
      <c r="J11773" t="s">
        <v>37405</v>
      </c>
      <c r="K11773" t="s">
        <v>39019</v>
      </c>
      <c r="M11773" t="s">
        <v>42746</v>
      </c>
      <c r="N11773" t="s">
        <v>43166</v>
      </c>
      <c r="O11773" t="s">
        <v>43167</v>
      </c>
      <c r="P11773">
        <v>0</v>
      </c>
      <c r="Q11773">
        <v>10</v>
      </c>
      <c r="R11773" t="s">
        <v>43181</v>
      </c>
      <c r="S11773" t="s">
        <v>43729</v>
      </c>
      <c r="T11773" t="s">
        <v>44762</v>
      </c>
      <c r="U11773" t="s">
        <v>54585</v>
      </c>
      <c r="W11773" t="s">
        <v>42746</v>
      </c>
      <c r="X11773" t="s">
        <v>43182</v>
      </c>
    </row>
    <row r="11774" spans="1:24">
      <c r="A11774">
        <f>HYPERLINK("https://www.philgeps.gov.ph/GEPSNONPILOT/Tender/SplashBidNoticeAbstractUI.aspx?menuIndex=3&amp;refID=7061467&amp;Result=3","7061467")</f>
        <v>0</v>
      </c>
      <c r="B11774" t="s">
        <v>964</v>
      </c>
      <c r="C11774" t="s">
        <v>14656</v>
      </c>
      <c r="D11774" t="s">
        <v>17415</v>
      </c>
      <c r="E11774" t="s">
        <v>27592</v>
      </c>
      <c r="F11774" t="s">
        <v>30052</v>
      </c>
      <c r="G11774" t="s">
        <v>30058</v>
      </c>
      <c r="H11774" t="s">
        <v>15498</v>
      </c>
      <c r="I11774" t="s">
        <v>30071</v>
      </c>
      <c r="J11774" t="s">
        <v>37406</v>
      </c>
      <c r="K11774" t="s">
        <v>39019</v>
      </c>
      <c r="M11774" t="s">
        <v>42746</v>
      </c>
      <c r="N11774" t="s">
        <v>43166</v>
      </c>
      <c r="O11774" t="s">
        <v>43167</v>
      </c>
      <c r="P11774">
        <v>0</v>
      </c>
      <c r="Q11774">
        <v>13</v>
      </c>
      <c r="R11774" t="s">
        <v>43181</v>
      </c>
      <c r="S11774" t="s">
        <v>43729</v>
      </c>
      <c r="T11774" t="s">
        <v>44762</v>
      </c>
      <c r="U11774" t="s">
        <v>54585</v>
      </c>
      <c r="W11774" t="s">
        <v>42746</v>
      </c>
      <c r="X11774" t="s">
        <v>43182</v>
      </c>
    </row>
    <row r="11775" spans="1:24">
      <c r="A11775">
        <f>HYPERLINK("https://www.philgeps.gov.ph/GEPSNONPILOT/Tender/SplashBidNoticeAbstractUI.aspx?menuIndex=3&amp;refID=7061422&amp;Result=3","7061422")</f>
        <v>0</v>
      </c>
      <c r="B11775" t="s">
        <v>1945</v>
      </c>
      <c r="C11775" t="s">
        <v>14657</v>
      </c>
      <c r="D11775" t="s">
        <v>17427</v>
      </c>
      <c r="E11775" t="s">
        <v>27568</v>
      </c>
      <c r="F11775" t="s">
        <v>30052</v>
      </c>
      <c r="G11775" t="s">
        <v>30058</v>
      </c>
      <c r="H11775" t="s">
        <v>30067</v>
      </c>
      <c r="I11775" t="s">
        <v>30170</v>
      </c>
      <c r="J11775" t="s">
        <v>37407</v>
      </c>
      <c r="K11775" t="s">
        <v>39172</v>
      </c>
      <c r="M11775" t="s">
        <v>42354</v>
      </c>
      <c r="N11775" t="s">
        <v>43166</v>
      </c>
      <c r="O11775" t="s">
        <v>43167</v>
      </c>
      <c r="P11775">
        <v>0</v>
      </c>
      <c r="Q11775">
        <v>0</v>
      </c>
      <c r="R11775" t="s">
        <v>43181</v>
      </c>
      <c r="S11775" t="s">
        <v>43729</v>
      </c>
      <c r="T11775" t="s">
        <v>44768</v>
      </c>
      <c r="U11775" t="s">
        <v>54597</v>
      </c>
      <c r="W11775" t="s">
        <v>42354</v>
      </c>
      <c r="X11775" t="s">
        <v>43182</v>
      </c>
    </row>
    <row r="11776" spans="1:24">
      <c r="A11776">
        <f>HYPERLINK("https://www.philgeps.gov.ph/GEPSNONPILOT/Tender/SplashBidNoticeAbstractUI.aspx?menuIndex=3&amp;refID=7061516&amp;Result=3","7061516")</f>
        <v>0</v>
      </c>
      <c r="B11776" t="s">
        <v>964</v>
      </c>
      <c r="C11776" t="s">
        <v>14658</v>
      </c>
      <c r="D11776" t="s">
        <v>17415</v>
      </c>
      <c r="E11776" t="s">
        <v>27593</v>
      </c>
      <c r="F11776" t="s">
        <v>30052</v>
      </c>
      <c r="G11776" t="s">
        <v>30058</v>
      </c>
      <c r="H11776" t="s">
        <v>15498</v>
      </c>
      <c r="I11776" t="s">
        <v>30071</v>
      </c>
      <c r="J11776" t="s">
        <v>37408</v>
      </c>
      <c r="K11776" t="s">
        <v>39019</v>
      </c>
      <c r="M11776" t="s">
        <v>42746</v>
      </c>
      <c r="N11776" t="s">
        <v>43166</v>
      </c>
      <c r="O11776" t="s">
        <v>43167</v>
      </c>
      <c r="P11776">
        <v>0</v>
      </c>
      <c r="Q11776">
        <v>2</v>
      </c>
      <c r="R11776" t="s">
        <v>43181</v>
      </c>
      <c r="S11776" t="s">
        <v>43729</v>
      </c>
      <c r="T11776" t="s">
        <v>44762</v>
      </c>
      <c r="U11776" t="s">
        <v>54585</v>
      </c>
      <c r="W11776" t="s">
        <v>42746</v>
      </c>
      <c r="X11776" t="s">
        <v>43182</v>
      </c>
    </row>
    <row r="11777" spans="1:24">
      <c r="A11777">
        <f>HYPERLINK("https://www.philgeps.gov.ph/GEPSNONPILOT/Tender/SplashBidNoticeAbstractUI.aspx?menuIndex=3&amp;refID=7061193&amp;Result=3","7061193")</f>
        <v>0</v>
      </c>
      <c r="B11777" t="s">
        <v>2676</v>
      </c>
      <c r="C11777" t="s">
        <v>14659</v>
      </c>
      <c r="D11777" t="s">
        <v>17448</v>
      </c>
      <c r="E11777" t="s">
        <v>27594</v>
      </c>
      <c r="F11777" t="s">
        <v>30052</v>
      </c>
      <c r="G11777" t="s">
        <v>30058</v>
      </c>
      <c r="H11777" t="s">
        <v>15498</v>
      </c>
      <c r="I11777" t="s">
        <v>30084</v>
      </c>
      <c r="J11777" t="s">
        <v>37409</v>
      </c>
      <c r="K11777" t="s">
        <v>39025</v>
      </c>
      <c r="L11777" t="s">
        <v>2676</v>
      </c>
      <c r="M11777" t="s">
        <v>42196</v>
      </c>
      <c r="N11777" t="s">
        <v>43166</v>
      </c>
      <c r="O11777" t="s">
        <v>43167</v>
      </c>
      <c r="P11777">
        <v>0</v>
      </c>
      <c r="Q11777">
        <v>19</v>
      </c>
      <c r="R11777" t="s">
        <v>43181</v>
      </c>
      <c r="S11777" t="s">
        <v>43729</v>
      </c>
      <c r="T11777" t="s">
        <v>44753</v>
      </c>
      <c r="U11777" t="s">
        <v>54598</v>
      </c>
      <c r="W11777" t="s">
        <v>42196</v>
      </c>
      <c r="X11777" t="s">
        <v>43182</v>
      </c>
    </row>
    <row r="11778" spans="1:24">
      <c r="A11778">
        <f>HYPERLINK("https://www.philgeps.gov.ph/GEPSNONPILOT/Tender/SplashBidNoticeAbstractUI.aspx?menuIndex=3&amp;refID=7061192&amp;Result=3","7061192")</f>
        <v>0</v>
      </c>
      <c r="B11778" t="s">
        <v>2627</v>
      </c>
      <c r="C11778" t="s">
        <v>14660</v>
      </c>
      <c r="D11778" t="s">
        <v>17446</v>
      </c>
      <c r="E11778" t="s">
        <v>27595</v>
      </c>
      <c r="F11778" t="s">
        <v>30052</v>
      </c>
      <c r="G11778" t="s">
        <v>30058</v>
      </c>
      <c r="H11778" t="s">
        <v>15498</v>
      </c>
      <c r="I11778" t="s">
        <v>30140</v>
      </c>
      <c r="J11778" t="s">
        <v>37410</v>
      </c>
      <c r="K11778" t="s">
        <v>39023</v>
      </c>
      <c r="M11778" t="s">
        <v>42141</v>
      </c>
      <c r="N11778" t="s">
        <v>43166</v>
      </c>
      <c r="O11778" t="s">
        <v>43167</v>
      </c>
      <c r="Q11778">
        <v>4</v>
      </c>
      <c r="R11778" t="s">
        <v>43181</v>
      </c>
      <c r="S11778" t="s">
        <v>43787</v>
      </c>
      <c r="T11778" t="s">
        <v>44689</v>
      </c>
      <c r="U11778" t="s">
        <v>52213</v>
      </c>
      <c r="W11778" t="s">
        <v>58683</v>
      </c>
      <c r="X11778" t="s">
        <v>43182</v>
      </c>
    </row>
    <row r="11779" spans="1:24">
      <c r="A11779">
        <f>HYPERLINK("https://www.philgeps.gov.ph/GEPSNONPILOT/Tender/SplashBidNoticeAbstractUI.aspx?menuIndex=3&amp;refID=7061643&amp;Result=3","7061643")</f>
        <v>0</v>
      </c>
      <c r="B11779" t="s">
        <v>917</v>
      </c>
      <c r="C11779" t="s">
        <v>14661</v>
      </c>
      <c r="E11779" t="s">
        <v>27596</v>
      </c>
      <c r="F11779" t="s">
        <v>30052</v>
      </c>
      <c r="G11779" t="s">
        <v>30058</v>
      </c>
      <c r="H11779" t="s">
        <v>15498</v>
      </c>
      <c r="I11779" t="s">
        <v>30074</v>
      </c>
      <c r="J11779" t="s">
        <v>35193</v>
      </c>
      <c r="K11779" t="s">
        <v>39025</v>
      </c>
      <c r="M11779" t="s">
        <v>42780</v>
      </c>
      <c r="N11779" t="s">
        <v>43166</v>
      </c>
      <c r="O11779" t="s">
        <v>43167</v>
      </c>
      <c r="P11779">
        <v>0</v>
      </c>
      <c r="Q11779">
        <v>10</v>
      </c>
      <c r="R11779" t="s">
        <v>43181</v>
      </c>
      <c r="S11779" t="s">
        <v>43729</v>
      </c>
      <c r="T11779" t="s">
        <v>44780</v>
      </c>
      <c r="U11779" t="s">
        <v>54599</v>
      </c>
      <c r="V11779" t="s">
        <v>58135</v>
      </c>
      <c r="W11779" t="s">
        <v>42780</v>
      </c>
      <c r="X11779" t="s">
        <v>43182</v>
      </c>
    </row>
    <row r="11780" spans="1:24">
      <c r="A11780">
        <f>HYPERLINK("https://www.philgeps.gov.ph/GEPSNONPILOT/Tender/SplashBidNoticeAbstractUI.aspx?menuIndex=3&amp;refID=7061621&amp;Result=3","7061621")</f>
        <v>0</v>
      </c>
      <c r="B11780" t="s">
        <v>628</v>
      </c>
      <c r="C11780" t="s">
        <v>14662</v>
      </c>
      <c r="D11780" t="s">
        <v>17415</v>
      </c>
      <c r="E11780" t="s">
        <v>27597</v>
      </c>
      <c r="F11780" t="s">
        <v>30052</v>
      </c>
      <c r="G11780" t="s">
        <v>30058</v>
      </c>
      <c r="H11780" t="s">
        <v>30068</v>
      </c>
      <c r="I11780" t="s">
        <v>30068</v>
      </c>
      <c r="J11780" t="s">
        <v>37411</v>
      </c>
      <c r="K11780" t="s">
        <v>39026</v>
      </c>
      <c r="M11780" t="s">
        <v>39931</v>
      </c>
      <c r="N11780" t="s">
        <v>43166</v>
      </c>
      <c r="O11780" t="s">
        <v>43167</v>
      </c>
      <c r="P11780">
        <v>0</v>
      </c>
      <c r="Q11780">
        <v>11</v>
      </c>
      <c r="R11780" t="s">
        <v>43181</v>
      </c>
      <c r="S11780" t="s">
        <v>43729</v>
      </c>
      <c r="T11780" t="s">
        <v>44996</v>
      </c>
      <c r="U11780" t="s">
        <v>54600</v>
      </c>
      <c r="W11780" t="s">
        <v>39931</v>
      </c>
      <c r="X11780" t="s">
        <v>43182</v>
      </c>
    </row>
    <row r="11781" spans="1:24">
      <c r="A11781">
        <f>HYPERLINK("https://www.philgeps.gov.ph/GEPSNONPILOT/Tender/SplashBidNoticeAbstractUI.aspx?menuIndex=3&amp;refID=7061620&amp;Result=3","7061620")</f>
        <v>0</v>
      </c>
      <c r="B11781" t="s">
        <v>3172</v>
      </c>
      <c r="C11781" t="s">
        <v>14663</v>
      </c>
      <c r="D11781" t="s">
        <v>17445</v>
      </c>
      <c r="E11781" t="s">
        <v>27598</v>
      </c>
      <c r="F11781" t="s">
        <v>30055</v>
      </c>
      <c r="G11781" t="s">
        <v>30058</v>
      </c>
      <c r="H11781" t="s">
        <v>15498</v>
      </c>
      <c r="I11781" t="s">
        <v>30074</v>
      </c>
      <c r="J11781" t="s">
        <v>37242</v>
      </c>
      <c r="K11781" t="s">
        <v>39029</v>
      </c>
      <c r="M11781" t="s">
        <v>42781</v>
      </c>
      <c r="N11781" t="s">
        <v>43166</v>
      </c>
      <c r="O11781" t="s">
        <v>43167</v>
      </c>
      <c r="P11781">
        <v>0</v>
      </c>
      <c r="Q11781">
        <v>2</v>
      </c>
      <c r="R11781" t="s">
        <v>43181</v>
      </c>
      <c r="S11781" t="s">
        <v>43729</v>
      </c>
      <c r="T11781" t="s">
        <v>44750</v>
      </c>
      <c r="U11781" t="s">
        <v>54601</v>
      </c>
      <c r="W11781" t="s">
        <v>42781</v>
      </c>
      <c r="X11781" t="s">
        <v>43182</v>
      </c>
    </row>
    <row r="11782" spans="1:24">
      <c r="A11782">
        <f>HYPERLINK("https://www.philgeps.gov.ph/GEPSNONPILOT/Tender/SplashBidNoticeAbstractUI.aspx?menuIndex=3&amp;refID=7061605&amp;Result=3","7061605")</f>
        <v>0</v>
      </c>
      <c r="B11782" t="s">
        <v>3172</v>
      </c>
      <c r="C11782" t="s">
        <v>14664</v>
      </c>
      <c r="D11782" t="s">
        <v>17445</v>
      </c>
      <c r="E11782" t="s">
        <v>27599</v>
      </c>
      <c r="F11782" t="s">
        <v>30055</v>
      </c>
      <c r="G11782" t="s">
        <v>30058</v>
      </c>
      <c r="H11782" t="s">
        <v>15498</v>
      </c>
      <c r="I11782" t="s">
        <v>30114</v>
      </c>
      <c r="J11782" t="s">
        <v>30530</v>
      </c>
      <c r="K11782" t="s">
        <v>39034</v>
      </c>
      <c r="M11782" t="s">
        <v>42782</v>
      </c>
      <c r="N11782" t="s">
        <v>43166</v>
      </c>
      <c r="O11782" t="s">
        <v>43167</v>
      </c>
      <c r="P11782">
        <v>0</v>
      </c>
      <c r="Q11782">
        <v>3</v>
      </c>
      <c r="R11782" t="s">
        <v>43181</v>
      </c>
      <c r="S11782" t="s">
        <v>43729</v>
      </c>
      <c r="T11782" t="s">
        <v>44773</v>
      </c>
      <c r="U11782" t="s">
        <v>54602</v>
      </c>
      <c r="W11782" t="s">
        <v>42782</v>
      </c>
      <c r="X11782" t="s">
        <v>43182</v>
      </c>
    </row>
    <row r="11783" spans="1:24">
      <c r="A11783">
        <f>HYPERLINK("https://www.philgeps.gov.ph/GEPSNONPILOT/Tender/SplashBidNoticeAbstractUI.aspx?menuIndex=3&amp;refID=7061642&amp;Result=3","7061642")</f>
        <v>0</v>
      </c>
      <c r="B11783" t="s">
        <v>463</v>
      </c>
      <c r="C11783" t="s">
        <v>14665</v>
      </c>
      <c r="D11783" t="s">
        <v>17455</v>
      </c>
      <c r="E11783" t="s">
        <v>27600</v>
      </c>
      <c r="F11783" t="s">
        <v>30052</v>
      </c>
      <c r="G11783" t="s">
        <v>30058</v>
      </c>
      <c r="H11783" t="s">
        <v>15498</v>
      </c>
      <c r="I11783" t="s">
        <v>30074</v>
      </c>
      <c r="J11783" t="s">
        <v>37412</v>
      </c>
      <c r="K11783" t="s">
        <v>39029</v>
      </c>
      <c r="M11783" t="s">
        <v>39764</v>
      </c>
      <c r="N11783" t="s">
        <v>43166</v>
      </c>
      <c r="O11783" t="s">
        <v>43167</v>
      </c>
      <c r="Q11783">
        <v>10</v>
      </c>
      <c r="R11783" t="s">
        <v>43181</v>
      </c>
      <c r="S11783" t="s">
        <v>43788</v>
      </c>
      <c r="T11783" t="s">
        <v>44681</v>
      </c>
      <c r="U11783" t="s">
        <v>54603</v>
      </c>
      <c r="W11783" t="s">
        <v>39764</v>
      </c>
      <c r="X11783" t="s">
        <v>43182</v>
      </c>
    </row>
    <row r="11784" spans="1:24">
      <c r="A11784">
        <f>HYPERLINK("https://www.philgeps.gov.ph/GEPSNONPILOT/Tender/SplashBidNoticeAbstractUI.aspx?menuIndex=3&amp;refID=7061602&amp;Result=3","7061602")</f>
        <v>0</v>
      </c>
      <c r="B11784" t="s">
        <v>1486</v>
      </c>
      <c r="C11784" t="s">
        <v>14666</v>
      </c>
      <c r="D11784" t="s">
        <v>17448</v>
      </c>
      <c r="E11784" t="s">
        <v>27601</v>
      </c>
      <c r="F11784" t="s">
        <v>30052</v>
      </c>
      <c r="G11784" t="s">
        <v>30058</v>
      </c>
      <c r="H11784" t="s">
        <v>30067</v>
      </c>
      <c r="I11784" t="s">
        <v>3693</v>
      </c>
      <c r="J11784" t="s">
        <v>31851</v>
      </c>
      <c r="K11784" t="s">
        <v>39261</v>
      </c>
      <c r="M11784" t="s">
        <v>40870</v>
      </c>
      <c r="N11784" t="s">
        <v>43166</v>
      </c>
      <c r="O11784" t="s">
        <v>43167</v>
      </c>
      <c r="P11784">
        <v>0</v>
      </c>
      <c r="Q11784">
        <v>13</v>
      </c>
      <c r="R11784" t="s">
        <v>43181</v>
      </c>
      <c r="S11784" t="s">
        <v>43729</v>
      </c>
      <c r="T11784" t="s">
        <v>44704</v>
      </c>
      <c r="U11784" t="s">
        <v>54604</v>
      </c>
      <c r="W11784" t="s">
        <v>40870</v>
      </c>
      <c r="X11784" t="s">
        <v>43182</v>
      </c>
    </row>
    <row r="11785" spans="1:24">
      <c r="A11785">
        <f>HYPERLINK("https://www.philgeps.gov.ph/GEPSNONPILOT/Tender/SplashBidNoticeAbstractUI.aspx?menuIndex=3&amp;refID=7061429&amp;Result=3","7061429")</f>
        <v>0</v>
      </c>
      <c r="B11785" t="s">
        <v>1629</v>
      </c>
      <c r="C11785" t="s">
        <v>14667</v>
      </c>
      <c r="D11785" t="s">
        <v>17467</v>
      </c>
      <c r="E11785" t="s">
        <v>27602</v>
      </c>
      <c r="F11785" t="s">
        <v>30052</v>
      </c>
      <c r="G11785" t="s">
        <v>30058</v>
      </c>
      <c r="H11785" t="s">
        <v>30067</v>
      </c>
      <c r="I11785" t="s">
        <v>3693</v>
      </c>
      <c r="J11785" t="s">
        <v>37413</v>
      </c>
      <c r="K11785" t="s">
        <v>39026</v>
      </c>
      <c r="M11785" t="s">
        <v>41029</v>
      </c>
      <c r="N11785" t="s">
        <v>43166</v>
      </c>
      <c r="O11785" t="s">
        <v>43167</v>
      </c>
      <c r="P11785">
        <v>0</v>
      </c>
      <c r="Q11785">
        <v>0</v>
      </c>
      <c r="R11785" t="s">
        <v>43181</v>
      </c>
      <c r="S11785" t="s">
        <v>43729</v>
      </c>
      <c r="T11785" t="s">
        <v>44736</v>
      </c>
      <c r="U11785" t="s">
        <v>54605</v>
      </c>
      <c r="W11785" t="s">
        <v>41029</v>
      </c>
      <c r="X11785" t="s">
        <v>43182</v>
      </c>
    </row>
    <row r="11786" spans="1:24">
      <c r="A11786">
        <f>HYPERLINK("https://www.philgeps.gov.ph/GEPSNONPILOT/Tender/SplashBidNoticeAbstractUI.aspx?menuIndex=3&amp;refID=7061607&amp;Result=3","7061607")</f>
        <v>0</v>
      </c>
      <c r="B11786" t="s">
        <v>1486</v>
      </c>
      <c r="C11786" t="s">
        <v>14668</v>
      </c>
      <c r="D11786" t="s">
        <v>17448</v>
      </c>
      <c r="E11786" t="s">
        <v>27603</v>
      </c>
      <c r="F11786" t="s">
        <v>30052</v>
      </c>
      <c r="G11786" t="s">
        <v>30058</v>
      </c>
      <c r="H11786" t="s">
        <v>30067</v>
      </c>
      <c r="I11786" t="s">
        <v>3693</v>
      </c>
      <c r="J11786" t="s">
        <v>31835</v>
      </c>
      <c r="K11786" t="s">
        <v>39261</v>
      </c>
      <c r="M11786" t="s">
        <v>40870</v>
      </c>
      <c r="N11786" t="s">
        <v>43166</v>
      </c>
      <c r="O11786" t="s">
        <v>43167</v>
      </c>
      <c r="P11786">
        <v>0</v>
      </c>
      <c r="Q11786">
        <v>13</v>
      </c>
      <c r="R11786" t="s">
        <v>43181</v>
      </c>
      <c r="S11786" t="s">
        <v>43729</v>
      </c>
      <c r="T11786" t="s">
        <v>44704</v>
      </c>
      <c r="U11786" t="s">
        <v>54606</v>
      </c>
      <c r="W11786" t="s">
        <v>40870</v>
      </c>
      <c r="X11786" t="s">
        <v>43182</v>
      </c>
    </row>
    <row r="11787" spans="1:24">
      <c r="A11787">
        <f>HYPERLINK("https://www.philgeps.gov.ph/GEPSNONPILOT/Tender/SplashBidNoticeAbstractUI.aspx?menuIndex=3&amp;refID=7061589&amp;Result=3","7061589")</f>
        <v>0</v>
      </c>
      <c r="B11787" t="s">
        <v>3172</v>
      </c>
      <c r="C11787" t="s">
        <v>14669</v>
      </c>
      <c r="D11787" t="s">
        <v>17445</v>
      </c>
      <c r="E11787" t="s">
        <v>27604</v>
      </c>
      <c r="F11787" t="s">
        <v>30055</v>
      </c>
      <c r="G11787" t="s">
        <v>30058</v>
      </c>
      <c r="H11787" t="s">
        <v>30067</v>
      </c>
      <c r="I11787" t="s">
        <v>3693</v>
      </c>
      <c r="J11787" t="s">
        <v>37414</v>
      </c>
      <c r="K11787" t="s">
        <v>39031</v>
      </c>
      <c r="M11787" t="s">
        <v>42783</v>
      </c>
      <c r="N11787" t="s">
        <v>43166</v>
      </c>
      <c r="O11787" t="s">
        <v>43167</v>
      </c>
      <c r="P11787">
        <v>0</v>
      </c>
      <c r="Q11787">
        <v>1</v>
      </c>
      <c r="R11787" t="s">
        <v>43181</v>
      </c>
      <c r="S11787" t="s">
        <v>43729</v>
      </c>
      <c r="T11787" t="s">
        <v>44750</v>
      </c>
      <c r="U11787" t="s">
        <v>54607</v>
      </c>
      <c r="W11787" t="s">
        <v>42783</v>
      </c>
      <c r="X11787" t="s">
        <v>43182</v>
      </c>
    </row>
    <row r="11788" spans="1:24">
      <c r="A11788">
        <f>HYPERLINK("https://www.philgeps.gov.ph/GEPSNONPILOT/Tender/SplashBidNoticeAbstractUI.aspx?menuIndex=3&amp;refID=7061438&amp;Result=3","7061438")</f>
        <v>0</v>
      </c>
      <c r="B11788" t="s">
        <v>964</v>
      </c>
      <c r="C11788" t="s">
        <v>14670</v>
      </c>
      <c r="D11788" t="s">
        <v>17415</v>
      </c>
      <c r="E11788" t="s">
        <v>27605</v>
      </c>
      <c r="F11788" t="s">
        <v>30052</v>
      </c>
      <c r="G11788" t="s">
        <v>30058</v>
      </c>
      <c r="H11788" t="s">
        <v>15498</v>
      </c>
      <c r="I11788" t="s">
        <v>30071</v>
      </c>
      <c r="J11788" t="s">
        <v>37415</v>
      </c>
      <c r="K11788" t="s">
        <v>39019</v>
      </c>
      <c r="M11788" t="s">
        <v>42746</v>
      </c>
      <c r="N11788" t="s">
        <v>43166</v>
      </c>
      <c r="O11788" t="s">
        <v>43167</v>
      </c>
      <c r="P11788">
        <v>0</v>
      </c>
      <c r="Q11788">
        <v>9</v>
      </c>
      <c r="R11788" t="s">
        <v>43181</v>
      </c>
      <c r="S11788" t="s">
        <v>43729</v>
      </c>
      <c r="T11788" t="s">
        <v>44762</v>
      </c>
      <c r="U11788" t="s">
        <v>54585</v>
      </c>
      <c r="W11788" t="s">
        <v>42746</v>
      </c>
      <c r="X11788" t="s">
        <v>43182</v>
      </c>
    </row>
    <row r="11789" spans="1:24">
      <c r="A11789">
        <f>HYPERLINK("https://www.philgeps.gov.ph/GEPSNONPILOT/Tender/SplashBidNoticeAbstractUI.aspx?menuIndex=3&amp;refID=7061586&amp;Result=3","7061586")</f>
        <v>0</v>
      </c>
      <c r="B11789" t="s">
        <v>3173</v>
      </c>
      <c r="C11789" t="s">
        <v>14671</v>
      </c>
      <c r="D11789" t="s">
        <v>17422</v>
      </c>
      <c r="E11789" t="s">
        <v>17843</v>
      </c>
      <c r="F11789" t="s">
        <v>30052</v>
      </c>
      <c r="G11789" t="s">
        <v>30058</v>
      </c>
      <c r="H11789" t="s">
        <v>15498</v>
      </c>
      <c r="I11789" t="s">
        <v>3736</v>
      </c>
      <c r="J11789" t="s">
        <v>37416</v>
      </c>
      <c r="K11789" t="s">
        <v>39019</v>
      </c>
      <c r="M11789" t="s">
        <v>42784</v>
      </c>
      <c r="N11789" t="s">
        <v>43166</v>
      </c>
      <c r="O11789" t="s">
        <v>43167</v>
      </c>
      <c r="P11789">
        <v>0</v>
      </c>
      <c r="Q11789">
        <v>0</v>
      </c>
      <c r="R11789" t="s">
        <v>43181</v>
      </c>
      <c r="S11789" t="s">
        <v>43729</v>
      </c>
      <c r="T11789" t="s">
        <v>44681</v>
      </c>
      <c r="U11789" t="s">
        <v>54608</v>
      </c>
      <c r="V11789" t="s">
        <v>58136</v>
      </c>
      <c r="W11789" t="s">
        <v>42784</v>
      </c>
      <c r="X11789" t="s">
        <v>43182</v>
      </c>
    </row>
    <row r="11790" spans="1:24">
      <c r="A11790">
        <f>HYPERLINK("https://www.philgeps.gov.ph/GEPSNONPILOT/Tender/SplashBidNoticeAbstractUI.aspx?menuIndex=3&amp;refID=7061195&amp;Result=3","7061195")</f>
        <v>0</v>
      </c>
      <c r="B11790" t="s">
        <v>3174</v>
      </c>
      <c r="C11790" t="s">
        <v>14672</v>
      </c>
      <c r="E11790" t="s">
        <v>17892</v>
      </c>
      <c r="F11790" t="s">
        <v>30052</v>
      </c>
      <c r="G11790" t="s">
        <v>30058</v>
      </c>
      <c r="H11790" t="s">
        <v>30067</v>
      </c>
      <c r="I11790" t="s">
        <v>3693</v>
      </c>
      <c r="J11790" t="s">
        <v>30277</v>
      </c>
      <c r="K11790" t="s">
        <v>39025</v>
      </c>
      <c r="M11790" t="s">
        <v>42785</v>
      </c>
      <c r="N11790" t="s">
        <v>43166</v>
      </c>
      <c r="O11790" t="s">
        <v>43167</v>
      </c>
      <c r="P11790">
        <v>0</v>
      </c>
      <c r="Q11790">
        <v>0</v>
      </c>
      <c r="R11790" t="s">
        <v>43181</v>
      </c>
      <c r="S11790" t="s">
        <v>43729</v>
      </c>
      <c r="T11790" t="s">
        <v>44856</v>
      </c>
      <c r="U11790" t="s">
        <v>54609</v>
      </c>
      <c r="W11790" t="s">
        <v>42785</v>
      </c>
      <c r="X11790" t="s">
        <v>43182</v>
      </c>
    </row>
    <row r="11791" spans="1:24">
      <c r="A11791">
        <f>HYPERLINK("https://www.philgeps.gov.ph/GEPSNONPILOT/Tender/SplashBidNoticeAbstractUI.aspx?menuIndex=3&amp;refID=7061597&amp;Result=3","7061597")</f>
        <v>0</v>
      </c>
      <c r="B11791" t="s">
        <v>1486</v>
      </c>
      <c r="C11791" t="s">
        <v>14673</v>
      </c>
      <c r="D11791" t="s">
        <v>17448</v>
      </c>
      <c r="E11791" t="s">
        <v>27606</v>
      </c>
      <c r="F11791" t="s">
        <v>30052</v>
      </c>
      <c r="G11791" t="s">
        <v>30058</v>
      </c>
      <c r="H11791" t="s">
        <v>30067</v>
      </c>
      <c r="I11791" t="s">
        <v>3693</v>
      </c>
      <c r="J11791" t="s">
        <v>31851</v>
      </c>
      <c r="K11791" t="s">
        <v>39262</v>
      </c>
      <c r="M11791" t="s">
        <v>40870</v>
      </c>
      <c r="N11791" t="s">
        <v>43166</v>
      </c>
      <c r="O11791" t="s">
        <v>43167</v>
      </c>
      <c r="P11791">
        <v>0</v>
      </c>
      <c r="Q11791">
        <v>15</v>
      </c>
      <c r="R11791" t="s">
        <v>43181</v>
      </c>
      <c r="S11791" t="s">
        <v>43729</v>
      </c>
      <c r="T11791" t="s">
        <v>44704</v>
      </c>
      <c r="U11791" t="s">
        <v>54610</v>
      </c>
      <c r="W11791" t="s">
        <v>40870</v>
      </c>
      <c r="X11791" t="s">
        <v>43182</v>
      </c>
    </row>
    <row r="11792" spans="1:24">
      <c r="A11792">
        <f>HYPERLINK("https://www.philgeps.gov.ph/GEPSNONPILOT/Tender/SplashBidNoticeAbstractUI.aspx?menuIndex=3&amp;refID=7043992&amp;Result=3","7043992")</f>
        <v>0</v>
      </c>
      <c r="B11792" t="s">
        <v>311</v>
      </c>
      <c r="C11792" t="s">
        <v>14674</v>
      </c>
      <c r="D11792" t="s">
        <v>17429</v>
      </c>
      <c r="E11792" t="s">
        <v>27607</v>
      </c>
      <c r="F11792" t="s">
        <v>30052</v>
      </c>
      <c r="G11792" t="s">
        <v>30058</v>
      </c>
      <c r="H11792" t="s">
        <v>30067</v>
      </c>
      <c r="I11792" t="s">
        <v>3693</v>
      </c>
      <c r="J11792" t="s">
        <v>33190</v>
      </c>
      <c r="K11792" t="s">
        <v>39031</v>
      </c>
      <c r="M11792" t="s">
        <v>39607</v>
      </c>
      <c r="N11792" t="s">
        <v>43166</v>
      </c>
      <c r="O11792" t="s">
        <v>43167</v>
      </c>
      <c r="P11792">
        <v>0</v>
      </c>
      <c r="Q11792">
        <v>0</v>
      </c>
      <c r="R11792" t="s">
        <v>43182</v>
      </c>
      <c r="S11792" t="s">
        <v>43789</v>
      </c>
      <c r="T11792" t="s">
        <v>44699</v>
      </c>
      <c r="U11792" t="s">
        <v>54611</v>
      </c>
      <c r="W11792" t="s">
        <v>39607</v>
      </c>
      <c r="X11792" t="s">
        <v>43285</v>
      </c>
    </row>
    <row r="11793" spans="1:24">
      <c r="A11793">
        <f>HYPERLINK("https://www.philgeps.gov.ph/GEPSNONPILOT/Tender/SplashBidNoticeAbstractUI.aspx?menuIndex=3&amp;refID=7043991&amp;Result=3","7043991")</f>
        <v>0</v>
      </c>
      <c r="B11793" t="s">
        <v>311</v>
      </c>
      <c r="C11793" t="s">
        <v>14675</v>
      </c>
      <c r="D11793" t="s">
        <v>17429</v>
      </c>
      <c r="E11793" t="s">
        <v>20081</v>
      </c>
      <c r="F11793" t="s">
        <v>30052</v>
      </c>
      <c r="G11793" t="s">
        <v>30058</v>
      </c>
      <c r="H11793" t="s">
        <v>30067</v>
      </c>
      <c r="I11793" t="s">
        <v>3693</v>
      </c>
      <c r="J11793" t="s">
        <v>33190</v>
      </c>
      <c r="K11793" t="s">
        <v>39031</v>
      </c>
      <c r="M11793" t="s">
        <v>39607</v>
      </c>
      <c r="N11793" t="s">
        <v>43166</v>
      </c>
      <c r="O11793" t="s">
        <v>43167</v>
      </c>
      <c r="P11793">
        <v>0</v>
      </c>
      <c r="Q11793">
        <v>2</v>
      </c>
      <c r="R11793" t="s">
        <v>43182</v>
      </c>
      <c r="S11793" t="s">
        <v>43789</v>
      </c>
      <c r="T11793" t="s">
        <v>44699</v>
      </c>
      <c r="U11793" t="s">
        <v>54612</v>
      </c>
      <c r="W11793" t="s">
        <v>39607</v>
      </c>
      <c r="X11793" t="s">
        <v>43285</v>
      </c>
    </row>
    <row r="11794" spans="1:24">
      <c r="A11794">
        <f>HYPERLINK("https://www.philgeps.gov.ph/GEPSNONPILOT/Tender/SplashBidNoticeAbstractUI.aspx?menuIndex=3&amp;refID=7043981&amp;Result=3","7043981")</f>
        <v>0</v>
      </c>
      <c r="B11794" t="s">
        <v>311</v>
      </c>
      <c r="C11794" t="s">
        <v>14676</v>
      </c>
      <c r="D11794" t="s">
        <v>17429</v>
      </c>
      <c r="E11794" t="s">
        <v>27608</v>
      </c>
      <c r="F11794" t="s">
        <v>30052</v>
      </c>
      <c r="G11794" t="s">
        <v>30058</v>
      </c>
      <c r="H11794" t="s">
        <v>30067</v>
      </c>
      <c r="I11794" t="s">
        <v>3693</v>
      </c>
      <c r="J11794" t="s">
        <v>33190</v>
      </c>
      <c r="K11794" t="s">
        <v>39031</v>
      </c>
      <c r="M11794" t="s">
        <v>39607</v>
      </c>
      <c r="N11794" t="s">
        <v>43166</v>
      </c>
      <c r="O11794" t="s">
        <v>43167</v>
      </c>
      <c r="P11794">
        <v>0</v>
      </c>
      <c r="Q11794">
        <v>2</v>
      </c>
      <c r="R11794" t="s">
        <v>43182</v>
      </c>
      <c r="S11794" t="s">
        <v>43789</v>
      </c>
      <c r="T11794" t="s">
        <v>44699</v>
      </c>
      <c r="U11794" t="s">
        <v>54613</v>
      </c>
      <c r="W11794" t="s">
        <v>39607</v>
      </c>
      <c r="X11794" t="s">
        <v>43285</v>
      </c>
    </row>
    <row r="11795" spans="1:24">
      <c r="A11795">
        <f>HYPERLINK("https://www.philgeps.gov.ph/GEPSNONPILOT/Tender/SplashBidNoticeAbstractUI.aspx?menuIndex=3&amp;refID=7061420&amp;Result=3","7061420")</f>
        <v>0</v>
      </c>
      <c r="B11795" t="s">
        <v>1610</v>
      </c>
      <c r="C11795" t="s">
        <v>14677</v>
      </c>
      <c r="D11795" t="s">
        <v>17455</v>
      </c>
      <c r="E11795" t="s">
        <v>27609</v>
      </c>
      <c r="F11795" t="s">
        <v>30052</v>
      </c>
      <c r="G11795" t="s">
        <v>30058</v>
      </c>
      <c r="H11795" t="s">
        <v>15498</v>
      </c>
      <c r="I11795" t="s">
        <v>30129</v>
      </c>
      <c r="J11795" t="s">
        <v>30247</v>
      </c>
      <c r="K11795" t="s">
        <v>39057</v>
      </c>
      <c r="M11795" t="s">
        <v>41009</v>
      </c>
      <c r="N11795" t="s">
        <v>43166</v>
      </c>
      <c r="O11795" t="s">
        <v>43167</v>
      </c>
      <c r="Q11795">
        <v>3</v>
      </c>
      <c r="R11795" t="s">
        <v>43181</v>
      </c>
      <c r="S11795" t="s">
        <v>43790</v>
      </c>
      <c r="T11795" t="s">
        <v>44733</v>
      </c>
      <c r="U11795" t="s">
        <v>54614</v>
      </c>
      <c r="W11795" t="s">
        <v>41009</v>
      </c>
      <c r="X11795" t="s">
        <v>43182</v>
      </c>
    </row>
    <row r="11796" spans="1:24">
      <c r="A11796">
        <f>HYPERLINK("https://www.philgeps.gov.ph/GEPSNONPILOT/Tender/SplashBidNoticeAbstractUI.aspx?menuIndex=3&amp;refID=7061598&amp;Result=3","7061598")</f>
        <v>0</v>
      </c>
      <c r="B11796" t="s">
        <v>2245</v>
      </c>
      <c r="C11796" t="s">
        <v>14678</v>
      </c>
      <c r="D11796" t="s">
        <v>17415</v>
      </c>
      <c r="E11796" t="s">
        <v>27610</v>
      </c>
      <c r="F11796" t="s">
        <v>30052</v>
      </c>
      <c r="G11796" t="s">
        <v>30058</v>
      </c>
      <c r="H11796" t="s">
        <v>15498</v>
      </c>
      <c r="I11796" t="s">
        <v>3852</v>
      </c>
      <c r="J11796" t="s">
        <v>37417</v>
      </c>
      <c r="K11796" t="s">
        <v>39031</v>
      </c>
      <c r="M11796" t="s">
        <v>41723</v>
      </c>
      <c r="N11796" t="s">
        <v>43166</v>
      </c>
      <c r="O11796" t="s">
        <v>43167</v>
      </c>
      <c r="P11796">
        <v>0</v>
      </c>
      <c r="Q11796">
        <v>6</v>
      </c>
      <c r="R11796" t="s">
        <v>43181</v>
      </c>
      <c r="S11796" t="s">
        <v>43729</v>
      </c>
      <c r="T11796" t="s">
        <v>44699</v>
      </c>
      <c r="U11796" t="s">
        <v>54615</v>
      </c>
      <c r="W11796" t="s">
        <v>41723</v>
      </c>
      <c r="X11796" t="s">
        <v>43182</v>
      </c>
    </row>
    <row r="11797" spans="1:24">
      <c r="A11797">
        <f>HYPERLINK("https://www.philgeps.gov.ph/GEPSNONPILOT/Tender/SplashBidNoticeAbstractUI.aspx?menuIndex=3&amp;refID=7043978&amp;Result=3","7043978")</f>
        <v>0</v>
      </c>
      <c r="B11797" t="s">
        <v>311</v>
      </c>
      <c r="C11797" t="s">
        <v>14679</v>
      </c>
      <c r="D11797" t="s">
        <v>17429</v>
      </c>
      <c r="E11797" t="s">
        <v>27611</v>
      </c>
      <c r="F11797" t="s">
        <v>30052</v>
      </c>
      <c r="G11797" t="s">
        <v>30058</v>
      </c>
      <c r="H11797" t="s">
        <v>30067</v>
      </c>
      <c r="I11797" t="s">
        <v>3693</v>
      </c>
      <c r="J11797" t="s">
        <v>33190</v>
      </c>
      <c r="K11797" t="s">
        <v>39031</v>
      </c>
      <c r="M11797" t="s">
        <v>39607</v>
      </c>
      <c r="N11797" t="s">
        <v>43166</v>
      </c>
      <c r="O11797" t="s">
        <v>43167</v>
      </c>
      <c r="P11797">
        <v>0</v>
      </c>
      <c r="Q11797">
        <v>2</v>
      </c>
      <c r="R11797" t="s">
        <v>43182</v>
      </c>
      <c r="S11797" t="s">
        <v>43789</v>
      </c>
      <c r="T11797" t="s">
        <v>44699</v>
      </c>
      <c r="U11797" t="s">
        <v>54616</v>
      </c>
      <c r="W11797" t="s">
        <v>39607</v>
      </c>
      <c r="X11797" t="s">
        <v>43285</v>
      </c>
    </row>
    <row r="11798" spans="1:24">
      <c r="A11798">
        <f>HYPERLINK("https://www.philgeps.gov.ph/GEPSNONPILOT/Tender/SplashBidNoticeAbstractUI.aspx?menuIndex=3&amp;refID=7043988&amp;Result=3","7043988")</f>
        <v>0</v>
      </c>
      <c r="B11798" t="s">
        <v>311</v>
      </c>
      <c r="C11798" t="s">
        <v>14680</v>
      </c>
      <c r="D11798" t="s">
        <v>17429</v>
      </c>
      <c r="E11798" t="s">
        <v>27612</v>
      </c>
      <c r="F11798" t="s">
        <v>30052</v>
      </c>
      <c r="G11798" t="s">
        <v>30058</v>
      </c>
      <c r="H11798" t="s">
        <v>30067</v>
      </c>
      <c r="I11798" t="s">
        <v>3693</v>
      </c>
      <c r="J11798" t="s">
        <v>33190</v>
      </c>
      <c r="K11798" t="s">
        <v>39031</v>
      </c>
      <c r="M11798" t="s">
        <v>39607</v>
      </c>
      <c r="N11798" t="s">
        <v>43166</v>
      </c>
      <c r="O11798" t="s">
        <v>43167</v>
      </c>
      <c r="P11798">
        <v>0</v>
      </c>
      <c r="Q11798">
        <v>2</v>
      </c>
      <c r="R11798" t="s">
        <v>43182</v>
      </c>
      <c r="S11798" t="s">
        <v>43789</v>
      </c>
      <c r="T11798" t="s">
        <v>44699</v>
      </c>
      <c r="U11798" t="s">
        <v>54617</v>
      </c>
      <c r="W11798" t="s">
        <v>39607</v>
      </c>
      <c r="X11798" t="s">
        <v>43285</v>
      </c>
    </row>
    <row r="11799" spans="1:24">
      <c r="A11799">
        <f>HYPERLINK("https://www.philgeps.gov.ph/GEPSNONPILOT/Tender/SplashBidNoticeAbstractUI.aspx?menuIndex=3&amp;refID=7061579&amp;Result=3","7061579")</f>
        <v>0</v>
      </c>
      <c r="B11799" t="s">
        <v>3175</v>
      </c>
      <c r="C11799" t="s">
        <v>14681</v>
      </c>
      <c r="D11799" t="s">
        <v>17465</v>
      </c>
      <c r="E11799" t="s">
        <v>27613</v>
      </c>
      <c r="F11799" t="s">
        <v>30052</v>
      </c>
      <c r="G11799" t="s">
        <v>30058</v>
      </c>
      <c r="H11799" t="s">
        <v>30067</v>
      </c>
      <c r="I11799" t="s">
        <v>3693</v>
      </c>
      <c r="J11799" t="s">
        <v>37418</v>
      </c>
      <c r="K11799" t="s">
        <v>39096</v>
      </c>
      <c r="M11799" t="s">
        <v>42786</v>
      </c>
      <c r="N11799" t="s">
        <v>43166</v>
      </c>
      <c r="O11799" t="s">
        <v>43167</v>
      </c>
      <c r="P11799">
        <v>0</v>
      </c>
      <c r="Q11799">
        <v>2</v>
      </c>
      <c r="R11799" t="s">
        <v>43181</v>
      </c>
      <c r="S11799" t="s">
        <v>43729</v>
      </c>
      <c r="T11799" t="s">
        <v>44699</v>
      </c>
      <c r="U11799" t="s">
        <v>54618</v>
      </c>
      <c r="W11799" t="s">
        <v>42786</v>
      </c>
      <c r="X11799" t="s">
        <v>43182</v>
      </c>
    </row>
    <row r="11800" spans="1:24">
      <c r="A11800">
        <f>HYPERLINK("https://www.philgeps.gov.ph/GEPSNONPILOT/Tender/SplashBidNoticeAbstractUI.aspx?menuIndex=3&amp;refID=7061678&amp;Result=3","7061678")</f>
        <v>0</v>
      </c>
      <c r="B11800" t="s">
        <v>3176</v>
      </c>
      <c r="C11800" t="s">
        <v>14682</v>
      </c>
      <c r="D11800" t="s">
        <v>17418</v>
      </c>
      <c r="E11800" t="s">
        <v>27614</v>
      </c>
      <c r="F11800" t="s">
        <v>30052</v>
      </c>
      <c r="G11800" t="s">
        <v>30058</v>
      </c>
      <c r="H11800" t="s">
        <v>30067</v>
      </c>
      <c r="I11800" t="s">
        <v>3693</v>
      </c>
      <c r="J11800" t="s">
        <v>30321</v>
      </c>
      <c r="K11800" t="s">
        <v>39263</v>
      </c>
      <c r="M11800" t="s">
        <v>42787</v>
      </c>
      <c r="N11800" t="s">
        <v>43166</v>
      </c>
      <c r="O11800" t="s">
        <v>43167</v>
      </c>
      <c r="P11800">
        <v>0</v>
      </c>
      <c r="Q11800">
        <v>0</v>
      </c>
      <c r="R11800" t="s">
        <v>43181</v>
      </c>
      <c r="S11800" t="s">
        <v>43729</v>
      </c>
      <c r="T11800" t="s">
        <v>44773</v>
      </c>
      <c r="U11800" t="s">
        <v>54619</v>
      </c>
      <c r="W11800" t="s">
        <v>42787</v>
      </c>
      <c r="X11800" t="s">
        <v>43182</v>
      </c>
    </row>
    <row r="11801" spans="1:24">
      <c r="A11801">
        <f>HYPERLINK("https://www.philgeps.gov.ph/GEPSNONPILOT/Tender/SplashBidNoticeAbstractUI.aspx?menuIndex=3&amp;refID=7061676&amp;Result=3","7061676")</f>
        <v>0</v>
      </c>
      <c r="B11801" t="s">
        <v>3176</v>
      </c>
      <c r="C11801" t="s">
        <v>14683</v>
      </c>
      <c r="D11801" t="s">
        <v>17418</v>
      </c>
      <c r="E11801" t="s">
        <v>27615</v>
      </c>
      <c r="F11801" t="s">
        <v>30052</v>
      </c>
      <c r="G11801" t="s">
        <v>30058</v>
      </c>
      <c r="H11801" t="s">
        <v>30067</v>
      </c>
      <c r="I11801" t="s">
        <v>3693</v>
      </c>
      <c r="J11801" t="s">
        <v>35210</v>
      </c>
      <c r="K11801" t="s">
        <v>39264</v>
      </c>
      <c r="M11801" t="s">
        <v>42787</v>
      </c>
      <c r="N11801" t="s">
        <v>43166</v>
      </c>
      <c r="O11801" t="s">
        <v>43167</v>
      </c>
      <c r="P11801">
        <v>0</v>
      </c>
      <c r="Q11801">
        <v>0</v>
      </c>
      <c r="R11801" t="s">
        <v>43181</v>
      </c>
      <c r="S11801" t="s">
        <v>43729</v>
      </c>
      <c r="T11801" t="s">
        <v>44773</v>
      </c>
      <c r="U11801" t="s">
        <v>54620</v>
      </c>
      <c r="W11801" t="s">
        <v>42787</v>
      </c>
      <c r="X11801" t="s">
        <v>43182</v>
      </c>
    </row>
    <row r="11802" spans="1:24">
      <c r="A11802">
        <f>HYPERLINK("https://www.philgeps.gov.ph/GEPSNONPILOT/Tender/SplashBidNoticeAbstractUI.aspx?menuIndex=3&amp;refID=7061675&amp;Result=3","7061675")</f>
        <v>0</v>
      </c>
      <c r="B11802" t="s">
        <v>2390</v>
      </c>
      <c r="C11802" t="s">
        <v>14684</v>
      </c>
      <c r="D11802" t="s">
        <v>17471</v>
      </c>
      <c r="E11802" t="s">
        <v>27616</v>
      </c>
      <c r="F11802" t="s">
        <v>30055</v>
      </c>
      <c r="G11802" t="s">
        <v>30058</v>
      </c>
      <c r="H11802" t="s">
        <v>30067</v>
      </c>
      <c r="I11802" t="s">
        <v>30093</v>
      </c>
      <c r="J11802" t="s">
        <v>31207</v>
      </c>
      <c r="K11802" t="s">
        <v>39033</v>
      </c>
      <c r="L11802" t="s">
        <v>2390</v>
      </c>
      <c r="M11802" t="s">
        <v>41886</v>
      </c>
      <c r="N11802" t="s">
        <v>43166</v>
      </c>
      <c r="O11802" t="s">
        <v>43167</v>
      </c>
      <c r="P11802">
        <v>0</v>
      </c>
      <c r="Q11802">
        <v>2</v>
      </c>
      <c r="R11802" t="s">
        <v>43181</v>
      </c>
      <c r="S11802" t="s">
        <v>43729</v>
      </c>
      <c r="T11802" t="s">
        <v>44753</v>
      </c>
      <c r="U11802" t="s">
        <v>54621</v>
      </c>
      <c r="W11802" t="s">
        <v>41886</v>
      </c>
      <c r="X11802" t="s">
        <v>43182</v>
      </c>
    </row>
    <row r="11803" spans="1:24">
      <c r="A11803">
        <f>HYPERLINK("https://www.philgeps.gov.ph/GEPSNONPILOT/Tender/SplashBidNoticeAbstractUI.aspx?menuIndex=3&amp;refID=7061674&amp;Result=3","7061674")</f>
        <v>0</v>
      </c>
      <c r="B11803" t="s">
        <v>3176</v>
      </c>
      <c r="C11803" t="s">
        <v>14685</v>
      </c>
      <c r="D11803" t="s">
        <v>17418</v>
      </c>
      <c r="E11803" t="s">
        <v>27617</v>
      </c>
      <c r="F11803" t="s">
        <v>30052</v>
      </c>
      <c r="G11803" t="s">
        <v>30058</v>
      </c>
      <c r="H11803" t="s">
        <v>30067</v>
      </c>
      <c r="I11803" t="s">
        <v>3693</v>
      </c>
      <c r="J11803" t="s">
        <v>31207</v>
      </c>
      <c r="K11803" t="s">
        <v>39265</v>
      </c>
      <c r="M11803" t="s">
        <v>42787</v>
      </c>
      <c r="N11803" t="s">
        <v>43166</v>
      </c>
      <c r="O11803" t="s">
        <v>43167</v>
      </c>
      <c r="P11803">
        <v>0</v>
      </c>
      <c r="Q11803">
        <v>0</v>
      </c>
      <c r="R11803" t="s">
        <v>43181</v>
      </c>
      <c r="S11803" t="s">
        <v>43729</v>
      </c>
      <c r="T11803" t="s">
        <v>44773</v>
      </c>
      <c r="U11803" t="s">
        <v>54622</v>
      </c>
      <c r="W11803" t="s">
        <v>42787</v>
      </c>
      <c r="X11803" t="s">
        <v>43182</v>
      </c>
    </row>
    <row r="11804" spans="1:24">
      <c r="A11804">
        <f>HYPERLINK("https://www.philgeps.gov.ph/GEPSNONPILOT/Tender/SplashBidNoticeAbstractUI.aspx?menuIndex=3&amp;refID=7052843&amp;Result=3","7052843")</f>
        <v>0</v>
      </c>
      <c r="B11804" t="s">
        <v>3177</v>
      </c>
      <c r="C11804" t="s">
        <v>14686</v>
      </c>
      <c r="E11804" t="s">
        <v>27618</v>
      </c>
      <c r="F11804" t="s">
        <v>30052</v>
      </c>
      <c r="G11804" t="s">
        <v>30058</v>
      </c>
      <c r="H11804" t="s">
        <v>15498</v>
      </c>
      <c r="I11804" t="s">
        <v>30070</v>
      </c>
      <c r="J11804" t="s">
        <v>37419</v>
      </c>
      <c r="K11804" t="s">
        <v>39019</v>
      </c>
      <c r="M11804" t="s">
        <v>42788</v>
      </c>
      <c r="N11804" t="s">
        <v>43166</v>
      </c>
      <c r="O11804" t="s">
        <v>43167</v>
      </c>
      <c r="P11804">
        <v>0</v>
      </c>
      <c r="Q11804">
        <v>10</v>
      </c>
      <c r="R11804" t="s">
        <v>43182</v>
      </c>
      <c r="S11804" t="s">
        <v>43789</v>
      </c>
      <c r="T11804" t="s">
        <v>44733</v>
      </c>
      <c r="U11804" t="s">
        <v>54623</v>
      </c>
      <c r="W11804" t="s">
        <v>42788</v>
      </c>
      <c r="X11804" t="s">
        <v>43186</v>
      </c>
    </row>
    <row r="11805" spans="1:24">
      <c r="A11805">
        <f>HYPERLINK("https://www.philgeps.gov.ph/GEPSNONPILOT/Tender/SplashBidNoticeAbstractUI.aspx?menuIndex=3&amp;refID=7043985&amp;Result=3","7043985")</f>
        <v>0</v>
      </c>
      <c r="B11805" t="s">
        <v>311</v>
      </c>
      <c r="C11805" t="s">
        <v>14687</v>
      </c>
      <c r="D11805" t="s">
        <v>17429</v>
      </c>
      <c r="E11805" t="s">
        <v>27619</v>
      </c>
      <c r="F11805" t="s">
        <v>30052</v>
      </c>
      <c r="G11805" t="s">
        <v>30058</v>
      </c>
      <c r="H11805" t="s">
        <v>30067</v>
      </c>
      <c r="I11805" t="s">
        <v>3693</v>
      </c>
      <c r="J11805" t="s">
        <v>33190</v>
      </c>
      <c r="K11805" t="s">
        <v>39031</v>
      </c>
      <c r="M11805" t="s">
        <v>39607</v>
      </c>
      <c r="N11805" t="s">
        <v>43166</v>
      </c>
      <c r="O11805" t="s">
        <v>43167</v>
      </c>
      <c r="P11805">
        <v>0</v>
      </c>
      <c r="Q11805">
        <v>2</v>
      </c>
      <c r="R11805" t="s">
        <v>43182</v>
      </c>
      <c r="S11805" t="s">
        <v>43789</v>
      </c>
      <c r="T11805" t="s">
        <v>44699</v>
      </c>
      <c r="U11805" t="s">
        <v>54624</v>
      </c>
      <c r="W11805" t="s">
        <v>39607</v>
      </c>
      <c r="X11805" t="s">
        <v>43285</v>
      </c>
    </row>
    <row r="11806" spans="1:24">
      <c r="A11806">
        <f>HYPERLINK("https://www.philgeps.gov.ph/GEPSNONPILOT/Tender/SplashBidNoticeAbstractUI.aspx?menuIndex=3&amp;refID=7061682&amp;Result=3","7061682")</f>
        <v>0</v>
      </c>
      <c r="B11806" t="s">
        <v>3176</v>
      </c>
      <c r="C11806" t="s">
        <v>14688</v>
      </c>
      <c r="D11806" t="s">
        <v>17418</v>
      </c>
      <c r="E11806" t="s">
        <v>27620</v>
      </c>
      <c r="F11806" t="s">
        <v>30052</v>
      </c>
      <c r="G11806" t="s">
        <v>30058</v>
      </c>
      <c r="H11806" t="s">
        <v>30067</v>
      </c>
      <c r="I11806" t="s">
        <v>3693</v>
      </c>
      <c r="J11806" t="s">
        <v>30321</v>
      </c>
      <c r="K11806" t="s">
        <v>39079</v>
      </c>
      <c r="M11806" t="s">
        <v>42787</v>
      </c>
      <c r="N11806" t="s">
        <v>43166</v>
      </c>
      <c r="O11806" t="s">
        <v>43167</v>
      </c>
      <c r="P11806">
        <v>0</v>
      </c>
      <c r="Q11806">
        <v>0</v>
      </c>
      <c r="R11806" t="s">
        <v>43181</v>
      </c>
      <c r="S11806" t="s">
        <v>43729</v>
      </c>
      <c r="T11806" t="s">
        <v>44773</v>
      </c>
      <c r="U11806" t="s">
        <v>54620</v>
      </c>
      <c r="W11806" t="s">
        <v>42787</v>
      </c>
      <c r="X11806" t="s">
        <v>43182</v>
      </c>
    </row>
    <row r="11807" spans="1:24">
      <c r="A11807">
        <f>HYPERLINK("https://www.philgeps.gov.ph/GEPSNONPILOT/Tender/SplashBidNoticeAbstractUI.aspx?menuIndex=3&amp;refID=7061680&amp;Result=3","7061680")</f>
        <v>0</v>
      </c>
      <c r="B11807" t="s">
        <v>3176</v>
      </c>
      <c r="C11807" t="s">
        <v>14689</v>
      </c>
      <c r="D11807" t="s">
        <v>17418</v>
      </c>
      <c r="E11807" t="s">
        <v>27621</v>
      </c>
      <c r="F11807" t="s">
        <v>30052</v>
      </c>
      <c r="G11807" t="s">
        <v>30058</v>
      </c>
      <c r="H11807" t="s">
        <v>30067</v>
      </c>
      <c r="I11807" t="s">
        <v>3693</v>
      </c>
      <c r="J11807" t="s">
        <v>30321</v>
      </c>
      <c r="K11807" t="s">
        <v>39264</v>
      </c>
      <c r="M11807" t="s">
        <v>42787</v>
      </c>
      <c r="N11807" t="s">
        <v>43166</v>
      </c>
      <c r="O11807" t="s">
        <v>43167</v>
      </c>
      <c r="P11807">
        <v>0</v>
      </c>
      <c r="Q11807">
        <v>0</v>
      </c>
      <c r="R11807" t="s">
        <v>43181</v>
      </c>
      <c r="S11807" t="s">
        <v>43729</v>
      </c>
      <c r="T11807" t="s">
        <v>44773</v>
      </c>
      <c r="U11807" t="s">
        <v>54620</v>
      </c>
      <c r="W11807" t="s">
        <v>42787</v>
      </c>
      <c r="X11807" t="s">
        <v>43182</v>
      </c>
    </row>
    <row r="11808" spans="1:24">
      <c r="A11808">
        <f>HYPERLINK("https://www.philgeps.gov.ph/GEPSNONPILOT/Tender/SplashBidNoticeAbstractUI.aspx?menuIndex=3&amp;refID=7053444&amp;Result=3","7053444")</f>
        <v>0</v>
      </c>
      <c r="B11808" t="s">
        <v>3178</v>
      </c>
      <c r="C11808" t="s">
        <v>14690</v>
      </c>
      <c r="D11808" t="s">
        <v>17456</v>
      </c>
      <c r="E11808" t="s">
        <v>27622</v>
      </c>
      <c r="F11808" t="s">
        <v>30052</v>
      </c>
      <c r="G11808" t="s">
        <v>30058</v>
      </c>
      <c r="H11808" t="s">
        <v>15498</v>
      </c>
      <c r="I11808" t="s">
        <v>30073</v>
      </c>
      <c r="J11808" t="s">
        <v>37420</v>
      </c>
      <c r="K11808" t="s">
        <v>39029</v>
      </c>
      <c r="M11808" t="s">
        <v>42789</v>
      </c>
      <c r="N11808" t="s">
        <v>43166</v>
      </c>
      <c r="O11808" t="s">
        <v>43167</v>
      </c>
      <c r="Q11808">
        <v>3</v>
      </c>
      <c r="R11808" t="s">
        <v>43182</v>
      </c>
      <c r="S11808" t="s">
        <v>43791</v>
      </c>
      <c r="T11808" t="s">
        <v>44763</v>
      </c>
      <c r="U11808" t="s">
        <v>54625</v>
      </c>
      <c r="W11808" t="s">
        <v>42789</v>
      </c>
      <c r="X11808" t="s">
        <v>43186</v>
      </c>
    </row>
    <row r="11809" spans="1:24">
      <c r="A11809">
        <f>HYPERLINK("https://www.philgeps.gov.ph/GEPSNONPILOT/Tender/SplashBidNoticeAbstractUI.aspx?menuIndex=3&amp;refID=7054026&amp;Result=3","7054026")</f>
        <v>0</v>
      </c>
      <c r="B11809" t="s">
        <v>1520</v>
      </c>
      <c r="C11809" t="s">
        <v>14691</v>
      </c>
      <c r="D11809" t="s">
        <v>17423</v>
      </c>
      <c r="E11809" t="s">
        <v>27623</v>
      </c>
      <c r="F11809" t="s">
        <v>30056</v>
      </c>
      <c r="G11809" t="s">
        <v>30058</v>
      </c>
      <c r="H11809" t="s">
        <v>30067</v>
      </c>
      <c r="I11809" t="s">
        <v>3693</v>
      </c>
      <c r="J11809" t="s">
        <v>31545</v>
      </c>
      <c r="K11809" t="s">
        <v>39023</v>
      </c>
      <c r="M11809" t="s">
        <v>40906</v>
      </c>
      <c r="N11809" t="s">
        <v>43166</v>
      </c>
      <c r="O11809" t="s">
        <v>43167</v>
      </c>
      <c r="P11809">
        <v>0</v>
      </c>
      <c r="Q11809">
        <v>0</v>
      </c>
      <c r="R11809" t="s">
        <v>43182</v>
      </c>
      <c r="S11809" t="s">
        <v>43789</v>
      </c>
      <c r="T11809" t="s">
        <v>44706</v>
      </c>
      <c r="U11809" t="s">
        <v>54626</v>
      </c>
      <c r="W11809" t="s">
        <v>40906</v>
      </c>
      <c r="X11809" t="s">
        <v>43186</v>
      </c>
    </row>
    <row r="11810" spans="1:24">
      <c r="A11810">
        <f>HYPERLINK("https://www.philgeps.gov.ph/GEPSNONPILOT/Tender/SplashBidNoticeAbstractUI.aspx?menuIndex=3&amp;refID=7053398&amp;Result=3","7053398")</f>
        <v>0</v>
      </c>
      <c r="B11810" t="s">
        <v>88</v>
      </c>
      <c r="C11810" t="s">
        <v>14692</v>
      </c>
      <c r="D11810" t="s">
        <v>17451</v>
      </c>
      <c r="E11810" t="s">
        <v>27624</v>
      </c>
      <c r="F11810" t="s">
        <v>30052</v>
      </c>
      <c r="G11810" t="s">
        <v>30058</v>
      </c>
      <c r="H11810" t="s">
        <v>30067</v>
      </c>
      <c r="I11810" t="s">
        <v>3693</v>
      </c>
      <c r="J11810" t="s">
        <v>37421</v>
      </c>
      <c r="K11810" t="s">
        <v>39026</v>
      </c>
      <c r="M11810" t="s">
        <v>39377</v>
      </c>
      <c r="N11810" t="s">
        <v>43166</v>
      </c>
      <c r="O11810" t="s">
        <v>43167</v>
      </c>
      <c r="P11810">
        <v>0</v>
      </c>
      <c r="Q11810">
        <v>0</v>
      </c>
      <c r="R11810" t="s">
        <v>43182</v>
      </c>
      <c r="S11810" t="s">
        <v>43789</v>
      </c>
      <c r="T11810" t="s">
        <v>44718</v>
      </c>
      <c r="U11810" t="s">
        <v>54627</v>
      </c>
      <c r="V11810" t="s">
        <v>58137</v>
      </c>
      <c r="W11810" t="s">
        <v>39377</v>
      </c>
      <c r="X11810" t="s">
        <v>43186</v>
      </c>
    </row>
    <row r="11811" spans="1:24">
      <c r="A11811">
        <f>HYPERLINK("https://www.philgeps.gov.ph/GEPSNONPILOT/Tender/SplashBidNoticeAbstractUI.aspx?menuIndex=3&amp;refID=7053665&amp;Result=3","7053665")</f>
        <v>0</v>
      </c>
      <c r="B11811" t="s">
        <v>3179</v>
      </c>
      <c r="C11811" t="s">
        <v>14693</v>
      </c>
      <c r="E11811" t="s">
        <v>27625</v>
      </c>
      <c r="F11811" t="s">
        <v>30052</v>
      </c>
      <c r="G11811" t="s">
        <v>30058</v>
      </c>
      <c r="H11811" t="s">
        <v>30067</v>
      </c>
      <c r="I11811" t="s">
        <v>3693</v>
      </c>
      <c r="J11811" t="s">
        <v>30281</v>
      </c>
      <c r="K11811" t="s">
        <v>39025</v>
      </c>
      <c r="M11811" t="s">
        <v>42790</v>
      </c>
      <c r="N11811" t="s">
        <v>43166</v>
      </c>
      <c r="O11811" t="s">
        <v>43167</v>
      </c>
      <c r="P11811">
        <v>0</v>
      </c>
      <c r="Q11811">
        <v>0</v>
      </c>
      <c r="R11811" t="s">
        <v>43182</v>
      </c>
      <c r="S11811" t="s">
        <v>43789</v>
      </c>
      <c r="T11811" t="s">
        <v>44832</v>
      </c>
      <c r="U11811" t="s">
        <v>54628</v>
      </c>
      <c r="W11811" t="s">
        <v>42790</v>
      </c>
      <c r="X11811" t="s">
        <v>43186</v>
      </c>
    </row>
    <row r="11812" spans="1:24">
      <c r="A11812">
        <f>HYPERLINK("https://www.philgeps.gov.ph/GEPSNONPILOT/Tender/SplashBidNoticeAbstractUI.aspx?menuIndex=3&amp;refID=7051199&amp;Result=3","7051199")</f>
        <v>0</v>
      </c>
      <c r="B11812" t="s">
        <v>2129</v>
      </c>
      <c r="C11812" t="s">
        <v>14694</v>
      </c>
      <c r="D11812" t="s">
        <v>17442</v>
      </c>
      <c r="E11812" t="s">
        <v>27626</v>
      </c>
      <c r="F11812" t="s">
        <v>30052</v>
      </c>
      <c r="G11812" t="s">
        <v>30058</v>
      </c>
      <c r="H11812" t="s">
        <v>15498</v>
      </c>
      <c r="I11812" t="s">
        <v>30074</v>
      </c>
      <c r="J11812" t="s">
        <v>36040</v>
      </c>
      <c r="K11812" t="s">
        <v>39022</v>
      </c>
      <c r="M11812" t="s">
        <v>41938</v>
      </c>
      <c r="N11812" t="s">
        <v>43166</v>
      </c>
      <c r="O11812" t="s">
        <v>43167</v>
      </c>
      <c r="Q11812">
        <v>17</v>
      </c>
      <c r="R11812" t="s">
        <v>43182</v>
      </c>
      <c r="S11812" t="s">
        <v>43792</v>
      </c>
      <c r="T11812" t="s">
        <v>44704</v>
      </c>
      <c r="U11812" t="s">
        <v>54629</v>
      </c>
      <c r="V11812" t="s">
        <v>57528</v>
      </c>
      <c r="W11812" t="s">
        <v>41938</v>
      </c>
      <c r="X11812" t="s">
        <v>43187</v>
      </c>
    </row>
    <row r="11813" spans="1:24">
      <c r="A11813">
        <f>HYPERLINK("https://www.philgeps.gov.ph/GEPSNONPILOT/Tender/SplashBidNoticeAbstractUI.aspx?menuIndex=3&amp;refID=7052015&amp;Result=3","7052015")</f>
        <v>0</v>
      </c>
      <c r="B11813" t="s">
        <v>1559</v>
      </c>
      <c r="C11813" t="s">
        <v>14695</v>
      </c>
      <c r="D11813" t="s">
        <v>17484</v>
      </c>
      <c r="E11813" t="s">
        <v>27627</v>
      </c>
      <c r="F11813" t="s">
        <v>30052</v>
      </c>
      <c r="G11813" t="s">
        <v>30058</v>
      </c>
      <c r="H11813" t="s">
        <v>30067</v>
      </c>
      <c r="I11813" t="s">
        <v>3693</v>
      </c>
      <c r="J11813" t="s">
        <v>37422</v>
      </c>
      <c r="K11813" t="s">
        <v>39065</v>
      </c>
      <c r="M11813" t="s">
        <v>40948</v>
      </c>
      <c r="N11813" t="s">
        <v>43166</v>
      </c>
      <c r="O11813" t="s">
        <v>43167</v>
      </c>
      <c r="P11813">
        <v>0</v>
      </c>
      <c r="Q11813">
        <v>4</v>
      </c>
      <c r="R11813" t="s">
        <v>43182</v>
      </c>
      <c r="S11813" t="s">
        <v>43789</v>
      </c>
      <c r="T11813" t="s">
        <v>44727</v>
      </c>
      <c r="U11813" t="s">
        <v>54630</v>
      </c>
      <c r="W11813" t="s">
        <v>40948</v>
      </c>
      <c r="X11813" t="s">
        <v>43187</v>
      </c>
    </row>
    <row r="11814" spans="1:24">
      <c r="A11814">
        <f>HYPERLINK("https://www.philgeps.gov.ph/GEPSNONPILOT/Tender/SplashBidNoticeAbstractUI.aspx?menuIndex=3&amp;refID=7051173&amp;Result=3","7051173")</f>
        <v>0</v>
      </c>
      <c r="B11814" t="s">
        <v>2129</v>
      </c>
      <c r="C11814" t="s">
        <v>14696</v>
      </c>
      <c r="D11814" t="s">
        <v>17442</v>
      </c>
      <c r="E11814" t="s">
        <v>27628</v>
      </c>
      <c r="F11814" t="s">
        <v>30052</v>
      </c>
      <c r="G11814" t="s">
        <v>30058</v>
      </c>
      <c r="H11814" t="s">
        <v>15498</v>
      </c>
      <c r="I11814" t="s">
        <v>30074</v>
      </c>
      <c r="J11814" t="s">
        <v>30557</v>
      </c>
      <c r="K11814" t="s">
        <v>39022</v>
      </c>
      <c r="M11814" t="s">
        <v>41938</v>
      </c>
      <c r="N11814" t="s">
        <v>43166</v>
      </c>
      <c r="O11814" t="s">
        <v>43167</v>
      </c>
      <c r="P11814">
        <v>0</v>
      </c>
      <c r="Q11814">
        <v>9</v>
      </c>
      <c r="R11814" t="s">
        <v>43182</v>
      </c>
      <c r="S11814" t="s">
        <v>43789</v>
      </c>
      <c r="T11814" t="s">
        <v>44704</v>
      </c>
      <c r="U11814" t="s">
        <v>54631</v>
      </c>
      <c r="V11814" t="s">
        <v>57528</v>
      </c>
      <c r="W11814" t="s">
        <v>41938</v>
      </c>
      <c r="X11814" t="s">
        <v>43187</v>
      </c>
    </row>
    <row r="11815" spans="1:24">
      <c r="A11815">
        <f>HYPERLINK("https://www.philgeps.gov.ph/GEPSNONPILOT/Tender/SplashBidNoticeAbstractUI.aspx?menuIndex=3&amp;refID=7061595&amp;Result=3","7061595")</f>
        <v>0</v>
      </c>
      <c r="B11815" t="s">
        <v>2404</v>
      </c>
      <c r="C11815" t="s">
        <v>11211</v>
      </c>
      <c r="D11815" t="s">
        <v>17466</v>
      </c>
      <c r="E11815" t="s">
        <v>24209</v>
      </c>
      <c r="F11815" t="s">
        <v>30052</v>
      </c>
      <c r="G11815" t="s">
        <v>30058</v>
      </c>
      <c r="H11815" t="s">
        <v>15498</v>
      </c>
      <c r="I11815" t="s">
        <v>30070</v>
      </c>
      <c r="J11815" t="s">
        <v>30924</v>
      </c>
      <c r="K11815" t="s">
        <v>39039</v>
      </c>
      <c r="M11815" t="s">
        <v>41900</v>
      </c>
      <c r="N11815" t="s">
        <v>43166</v>
      </c>
      <c r="O11815" t="s">
        <v>43167</v>
      </c>
      <c r="P11815">
        <v>0</v>
      </c>
      <c r="Q11815">
        <v>1</v>
      </c>
      <c r="R11815" t="s">
        <v>43181</v>
      </c>
      <c r="S11815" t="s">
        <v>43729</v>
      </c>
      <c r="T11815" t="s">
        <v>44679</v>
      </c>
      <c r="U11815" t="s">
        <v>54632</v>
      </c>
      <c r="V11815" t="s">
        <v>58138</v>
      </c>
      <c r="W11815" t="s">
        <v>41900</v>
      </c>
      <c r="X11815" t="s">
        <v>43182</v>
      </c>
    </row>
    <row r="11816" spans="1:24">
      <c r="A11816">
        <f>HYPERLINK("https://www.philgeps.gov.ph/GEPSNONPILOT/Tender/SplashBidNoticeAbstractUI.aspx?menuIndex=3&amp;refID=7056090&amp;Result=3","7056090")</f>
        <v>0</v>
      </c>
      <c r="B11816" t="s">
        <v>3180</v>
      </c>
      <c r="C11816" t="s">
        <v>14697</v>
      </c>
      <c r="D11816" t="s">
        <v>17437</v>
      </c>
      <c r="E11816" t="s">
        <v>27629</v>
      </c>
      <c r="F11816" t="s">
        <v>30052</v>
      </c>
      <c r="G11816" t="s">
        <v>30058</v>
      </c>
      <c r="H11816" t="s">
        <v>15498</v>
      </c>
      <c r="I11816" t="s">
        <v>30091</v>
      </c>
      <c r="J11816" t="s">
        <v>30218</v>
      </c>
      <c r="K11816" t="s">
        <v>39029</v>
      </c>
      <c r="M11816" t="s">
        <v>42791</v>
      </c>
      <c r="N11816" t="s">
        <v>43166</v>
      </c>
      <c r="O11816" t="s">
        <v>43167</v>
      </c>
      <c r="P11816">
        <v>0</v>
      </c>
      <c r="Q11816">
        <v>3</v>
      </c>
      <c r="R11816" t="s">
        <v>43182</v>
      </c>
      <c r="S11816" t="s">
        <v>43789</v>
      </c>
      <c r="T11816" t="s">
        <v>44862</v>
      </c>
      <c r="U11816" t="s">
        <v>54633</v>
      </c>
      <c r="W11816" t="s">
        <v>42791</v>
      </c>
      <c r="X11816" t="s">
        <v>43185</v>
      </c>
    </row>
    <row r="11817" spans="1:24">
      <c r="A11817">
        <f>HYPERLINK("https://www.philgeps.gov.ph/GEPSNONPILOT/Tender/SplashBidNoticeAbstractUI.aspx?menuIndex=3&amp;refID=7052888&amp;Result=3","7052888")</f>
        <v>0</v>
      </c>
      <c r="B11817" t="s">
        <v>3177</v>
      </c>
      <c r="C11817" t="s">
        <v>14698</v>
      </c>
      <c r="E11817" t="s">
        <v>27630</v>
      </c>
      <c r="F11817" t="s">
        <v>30052</v>
      </c>
      <c r="G11817" t="s">
        <v>30058</v>
      </c>
      <c r="H11817" t="s">
        <v>15498</v>
      </c>
      <c r="I11817" t="s">
        <v>30083</v>
      </c>
      <c r="J11817" t="s">
        <v>37423</v>
      </c>
      <c r="K11817" t="s">
        <v>39036</v>
      </c>
      <c r="M11817" t="s">
        <v>42788</v>
      </c>
      <c r="N11817" t="s">
        <v>43166</v>
      </c>
      <c r="O11817" t="s">
        <v>43167</v>
      </c>
      <c r="Q11817">
        <v>1</v>
      </c>
      <c r="R11817" t="s">
        <v>43182</v>
      </c>
      <c r="S11817" t="s">
        <v>43793</v>
      </c>
      <c r="T11817" t="s">
        <v>44733</v>
      </c>
      <c r="U11817" t="s">
        <v>54634</v>
      </c>
      <c r="W11817" t="s">
        <v>42788</v>
      </c>
      <c r="X11817" t="s">
        <v>43186</v>
      </c>
    </row>
    <row r="11818" spans="1:24">
      <c r="A11818">
        <f>HYPERLINK("https://www.philgeps.gov.ph/GEPSNONPILOT/Tender/SplashBidNoticeAbstractUI.aspx?menuIndex=3&amp;refID=7055970&amp;Result=3","7055970")</f>
        <v>0</v>
      </c>
      <c r="B11818" t="s">
        <v>743</v>
      </c>
      <c r="C11818" t="s">
        <v>14699</v>
      </c>
      <c r="D11818" t="s">
        <v>17458</v>
      </c>
      <c r="E11818" t="s">
        <v>27631</v>
      </c>
      <c r="F11818" t="s">
        <v>30052</v>
      </c>
      <c r="G11818" t="s">
        <v>30058</v>
      </c>
      <c r="H11818" t="s">
        <v>15498</v>
      </c>
      <c r="I11818" t="s">
        <v>8323</v>
      </c>
      <c r="J11818" t="s">
        <v>37424</v>
      </c>
      <c r="K11818" t="s">
        <v>39198</v>
      </c>
      <c r="M11818" t="s">
        <v>42792</v>
      </c>
      <c r="N11818" t="s">
        <v>43166</v>
      </c>
      <c r="O11818" t="s">
        <v>43167</v>
      </c>
      <c r="P11818">
        <v>0</v>
      </c>
      <c r="Q11818">
        <v>11</v>
      </c>
      <c r="R11818" t="s">
        <v>43182</v>
      </c>
      <c r="S11818" t="s">
        <v>43789</v>
      </c>
      <c r="T11818" t="s">
        <v>44796</v>
      </c>
      <c r="U11818" t="s">
        <v>54635</v>
      </c>
      <c r="W11818" t="s">
        <v>42792</v>
      </c>
      <c r="X11818" t="s">
        <v>43185</v>
      </c>
    </row>
    <row r="11819" spans="1:24">
      <c r="A11819">
        <f>HYPERLINK("https://www.philgeps.gov.ph/GEPSNONPILOT/Tender/SplashBidNoticeAbstractUI.aspx?menuIndex=3&amp;refID=7055948&amp;Result=3","7055948")</f>
        <v>0</v>
      </c>
      <c r="B11819" t="s">
        <v>1317</v>
      </c>
      <c r="C11819" t="s">
        <v>14700</v>
      </c>
      <c r="D11819" t="s">
        <v>17466</v>
      </c>
      <c r="E11819" t="s">
        <v>27632</v>
      </c>
      <c r="F11819" t="s">
        <v>30052</v>
      </c>
      <c r="G11819" t="s">
        <v>30058</v>
      </c>
      <c r="H11819" t="s">
        <v>15498</v>
      </c>
      <c r="I11819" t="s">
        <v>30165</v>
      </c>
      <c r="J11819" t="s">
        <v>32106</v>
      </c>
      <c r="K11819" t="s">
        <v>39039</v>
      </c>
      <c r="M11819" t="s">
        <v>40684</v>
      </c>
      <c r="N11819" t="s">
        <v>43166</v>
      </c>
      <c r="O11819" t="s">
        <v>43167</v>
      </c>
      <c r="P11819">
        <v>0</v>
      </c>
      <c r="Q11819">
        <v>0</v>
      </c>
      <c r="R11819" t="s">
        <v>43182</v>
      </c>
      <c r="S11819" t="s">
        <v>43789</v>
      </c>
      <c r="T11819" t="s">
        <v>44719</v>
      </c>
      <c r="U11819" t="s">
        <v>54636</v>
      </c>
      <c r="W11819" t="s">
        <v>40684</v>
      </c>
      <c r="X11819" t="s">
        <v>43185</v>
      </c>
    </row>
    <row r="11820" spans="1:24">
      <c r="A11820">
        <f>HYPERLINK("https://www.philgeps.gov.ph/GEPSNONPILOT/Tender/SplashBidNoticeAbstractUI.aspx?menuIndex=3&amp;refID=7050494&amp;Result=3","7050494")</f>
        <v>0</v>
      </c>
      <c r="B11820" t="s">
        <v>3181</v>
      </c>
      <c r="C11820" t="s">
        <v>5552</v>
      </c>
      <c r="D11820" t="s">
        <v>17459</v>
      </c>
      <c r="E11820" t="s">
        <v>27633</v>
      </c>
      <c r="F11820" t="s">
        <v>30052</v>
      </c>
      <c r="G11820" t="s">
        <v>30062</v>
      </c>
      <c r="H11820" t="s">
        <v>15498</v>
      </c>
      <c r="I11820" t="s">
        <v>4650</v>
      </c>
      <c r="J11820" t="s">
        <v>35245</v>
      </c>
      <c r="K11820" t="s">
        <v>39037</v>
      </c>
      <c r="M11820" t="s">
        <v>42793</v>
      </c>
      <c r="N11820" t="s">
        <v>43166</v>
      </c>
      <c r="O11820" t="s">
        <v>43167</v>
      </c>
      <c r="P11820">
        <v>0</v>
      </c>
      <c r="Q11820">
        <v>1</v>
      </c>
      <c r="R11820" t="s">
        <v>43182</v>
      </c>
      <c r="S11820" t="s">
        <v>43789</v>
      </c>
      <c r="T11820" t="s">
        <v>44734</v>
      </c>
      <c r="U11820" t="s">
        <v>54637</v>
      </c>
      <c r="W11820" t="s">
        <v>42793</v>
      </c>
      <c r="X11820" t="s">
        <v>43187</v>
      </c>
    </row>
    <row r="11821" spans="1:24">
      <c r="A11821">
        <f>HYPERLINK("https://www.philgeps.gov.ph/GEPSNONPILOT/Tender/SplashBidNoticeAbstractUI.aspx?menuIndex=3&amp;refID=7061447&amp;Result=3","7061447")</f>
        <v>0</v>
      </c>
      <c r="B11821" t="s">
        <v>1610</v>
      </c>
      <c r="C11821" t="s">
        <v>14701</v>
      </c>
      <c r="D11821" t="s">
        <v>17455</v>
      </c>
      <c r="E11821" t="s">
        <v>27634</v>
      </c>
      <c r="F11821" t="s">
        <v>30052</v>
      </c>
      <c r="G11821" t="s">
        <v>30058</v>
      </c>
      <c r="H11821" t="s">
        <v>15498</v>
      </c>
      <c r="I11821" t="s">
        <v>4642</v>
      </c>
      <c r="J11821" t="s">
        <v>30343</v>
      </c>
      <c r="K11821" t="s">
        <v>39029</v>
      </c>
      <c r="M11821" t="s">
        <v>41009</v>
      </c>
      <c r="N11821" t="s">
        <v>43166</v>
      </c>
      <c r="O11821" t="s">
        <v>43167</v>
      </c>
      <c r="P11821">
        <v>0</v>
      </c>
      <c r="Q11821">
        <v>6</v>
      </c>
      <c r="R11821" t="s">
        <v>43181</v>
      </c>
      <c r="S11821" t="s">
        <v>43729</v>
      </c>
      <c r="T11821" t="s">
        <v>44733</v>
      </c>
      <c r="U11821" t="s">
        <v>54638</v>
      </c>
      <c r="W11821" t="s">
        <v>41009</v>
      </c>
      <c r="X11821" t="s">
        <v>43182</v>
      </c>
    </row>
    <row r="11822" spans="1:24">
      <c r="A11822">
        <f>HYPERLINK("https://www.philgeps.gov.ph/GEPSNONPILOT/Tender/SplashBidNoticeAbstractUI.aspx?menuIndex=3&amp;refID=7055943&amp;Result=3","7055943")</f>
        <v>0</v>
      </c>
      <c r="B11822" t="s">
        <v>311</v>
      </c>
      <c r="C11822" t="s">
        <v>14702</v>
      </c>
      <c r="D11822" t="s">
        <v>17429</v>
      </c>
      <c r="E11822" t="s">
        <v>27635</v>
      </c>
      <c r="F11822" t="s">
        <v>30052</v>
      </c>
      <c r="G11822" t="s">
        <v>30058</v>
      </c>
      <c r="H11822" t="s">
        <v>30067</v>
      </c>
      <c r="I11822" t="s">
        <v>3693</v>
      </c>
      <c r="J11822" t="s">
        <v>31447</v>
      </c>
      <c r="K11822" t="s">
        <v>39065</v>
      </c>
      <c r="M11822" t="s">
        <v>39607</v>
      </c>
      <c r="N11822" t="s">
        <v>43166</v>
      </c>
      <c r="O11822" t="s">
        <v>43167</v>
      </c>
      <c r="P11822">
        <v>0</v>
      </c>
      <c r="Q11822">
        <v>0</v>
      </c>
      <c r="R11822" t="s">
        <v>43182</v>
      </c>
      <c r="S11822" t="s">
        <v>43789</v>
      </c>
      <c r="T11822" t="s">
        <v>44699</v>
      </c>
      <c r="U11822" t="s">
        <v>54639</v>
      </c>
      <c r="W11822" t="s">
        <v>39607</v>
      </c>
      <c r="X11822" t="s">
        <v>43185</v>
      </c>
    </row>
    <row r="11823" spans="1:24">
      <c r="A11823">
        <f>HYPERLINK("https://www.philgeps.gov.ph/GEPSNONPILOT/Tender/SplashBidNoticeAbstractUI.aspx?menuIndex=3&amp;refID=7055908&amp;Result=3","7055908")</f>
        <v>0</v>
      </c>
      <c r="B11823" t="s">
        <v>2711</v>
      </c>
      <c r="C11823" t="s">
        <v>14703</v>
      </c>
      <c r="D11823" t="s">
        <v>17450</v>
      </c>
      <c r="E11823" t="s">
        <v>27636</v>
      </c>
      <c r="F11823" t="s">
        <v>30052</v>
      </c>
      <c r="G11823" t="s">
        <v>30058</v>
      </c>
      <c r="H11823" t="s">
        <v>15498</v>
      </c>
      <c r="I11823" t="s">
        <v>30084</v>
      </c>
      <c r="J11823" t="s">
        <v>37425</v>
      </c>
      <c r="K11823" t="s">
        <v>39026</v>
      </c>
      <c r="M11823" t="s">
        <v>42236</v>
      </c>
      <c r="N11823" t="s">
        <v>43166</v>
      </c>
      <c r="O11823" t="s">
        <v>43167</v>
      </c>
      <c r="P11823">
        <v>0</v>
      </c>
      <c r="Q11823">
        <v>10</v>
      </c>
      <c r="R11823" t="s">
        <v>43182</v>
      </c>
      <c r="S11823" t="s">
        <v>43789</v>
      </c>
      <c r="T11823" t="s">
        <v>44681</v>
      </c>
      <c r="U11823" t="s">
        <v>54640</v>
      </c>
      <c r="W11823" t="s">
        <v>42236</v>
      </c>
      <c r="X11823" t="s">
        <v>43185</v>
      </c>
    </row>
    <row r="11824" spans="1:24">
      <c r="A11824">
        <f>HYPERLINK("https://www.philgeps.gov.ph/GEPSNONPILOT/Tender/SplashBidNoticeAbstractUI.aspx?menuIndex=3&amp;refID=7055951&amp;Result=3","7055951")</f>
        <v>0</v>
      </c>
      <c r="B11824" t="s">
        <v>1309</v>
      </c>
      <c r="C11824" t="s">
        <v>14704</v>
      </c>
      <c r="D11824" t="s">
        <v>17414</v>
      </c>
      <c r="E11824" t="s">
        <v>27637</v>
      </c>
      <c r="F11824" t="s">
        <v>30052</v>
      </c>
      <c r="G11824" t="s">
        <v>30058</v>
      </c>
      <c r="H11824" t="s">
        <v>15498</v>
      </c>
      <c r="I11824" t="s">
        <v>30092</v>
      </c>
      <c r="J11824" t="s">
        <v>37426</v>
      </c>
      <c r="K11824" t="s">
        <v>39029</v>
      </c>
      <c r="M11824" t="s">
        <v>40676</v>
      </c>
      <c r="N11824" t="s">
        <v>43166</v>
      </c>
      <c r="O11824" t="s">
        <v>43167</v>
      </c>
      <c r="P11824">
        <v>0</v>
      </c>
      <c r="Q11824">
        <v>1</v>
      </c>
      <c r="R11824" t="s">
        <v>43182</v>
      </c>
      <c r="S11824" t="s">
        <v>43789</v>
      </c>
      <c r="T11824" t="s">
        <v>44724</v>
      </c>
      <c r="U11824" t="s">
        <v>54641</v>
      </c>
      <c r="W11824" t="s">
        <v>40676</v>
      </c>
      <c r="X11824" t="s">
        <v>43185</v>
      </c>
    </row>
    <row r="11825" spans="1:24">
      <c r="A11825">
        <f>HYPERLINK("https://www.philgeps.gov.ph/GEPSNONPILOT/Tender/SplashBidNoticeAbstractUI.aspx?menuIndex=3&amp;refID=7055264&amp;Result=3","7055264")</f>
        <v>0</v>
      </c>
      <c r="B11825" t="s">
        <v>2401</v>
      </c>
      <c r="C11825" t="s">
        <v>14705</v>
      </c>
      <c r="D11825" t="s">
        <v>17435</v>
      </c>
      <c r="E11825" t="s">
        <v>25432</v>
      </c>
      <c r="F11825" t="s">
        <v>30052</v>
      </c>
      <c r="G11825" t="s">
        <v>30058</v>
      </c>
      <c r="H11825" t="s">
        <v>30067</v>
      </c>
      <c r="I11825" t="s">
        <v>3693</v>
      </c>
      <c r="J11825" t="s">
        <v>30281</v>
      </c>
      <c r="K11825" t="s">
        <v>39031</v>
      </c>
      <c r="M11825" t="s">
        <v>41897</v>
      </c>
      <c r="N11825" t="s">
        <v>43166</v>
      </c>
      <c r="O11825" t="s">
        <v>43167</v>
      </c>
      <c r="P11825">
        <v>0</v>
      </c>
      <c r="Q11825">
        <v>2</v>
      </c>
      <c r="R11825" t="s">
        <v>43182</v>
      </c>
      <c r="S11825" t="s">
        <v>43789</v>
      </c>
      <c r="T11825" t="s">
        <v>44733</v>
      </c>
      <c r="U11825" t="s">
        <v>54642</v>
      </c>
      <c r="W11825" t="s">
        <v>41897</v>
      </c>
      <c r="X11825" t="s">
        <v>43186</v>
      </c>
    </row>
    <row r="11826" spans="1:24">
      <c r="A11826">
        <f>HYPERLINK("https://www.philgeps.gov.ph/GEPSNONPILOT/Tender/SplashBidNoticeAbstractUI.aspx?menuIndex=3&amp;refID=7051166&amp;Result=3","7051166")</f>
        <v>0</v>
      </c>
      <c r="B11826" t="s">
        <v>2129</v>
      </c>
      <c r="C11826" t="s">
        <v>14706</v>
      </c>
      <c r="D11826" t="s">
        <v>17442</v>
      </c>
      <c r="E11826" t="s">
        <v>27638</v>
      </c>
      <c r="F11826" t="s">
        <v>30052</v>
      </c>
      <c r="G11826" t="s">
        <v>30058</v>
      </c>
      <c r="H11826" t="s">
        <v>15498</v>
      </c>
      <c r="I11826" t="s">
        <v>30074</v>
      </c>
      <c r="J11826" t="s">
        <v>37427</v>
      </c>
      <c r="K11826" t="s">
        <v>39022</v>
      </c>
      <c r="M11826" t="s">
        <v>41938</v>
      </c>
      <c r="N11826" t="s">
        <v>43166</v>
      </c>
      <c r="O11826" t="s">
        <v>43167</v>
      </c>
      <c r="Q11826">
        <v>19</v>
      </c>
      <c r="R11826" t="s">
        <v>43182</v>
      </c>
      <c r="S11826" t="s">
        <v>43794</v>
      </c>
      <c r="T11826" t="s">
        <v>44704</v>
      </c>
      <c r="U11826" t="s">
        <v>54643</v>
      </c>
      <c r="V11826" t="s">
        <v>57528</v>
      </c>
      <c r="W11826" t="s">
        <v>41938</v>
      </c>
      <c r="X11826" t="s">
        <v>43187</v>
      </c>
    </row>
    <row r="11827" spans="1:24">
      <c r="A11827">
        <f>HYPERLINK("https://www.philgeps.gov.ph/GEPSNONPILOT/Tender/SplashBidNoticeAbstractUI.aspx?menuIndex=3&amp;refID=7055037&amp;Result=3","7055037")</f>
        <v>0</v>
      </c>
      <c r="B11827" t="s">
        <v>830</v>
      </c>
      <c r="C11827" t="s">
        <v>14707</v>
      </c>
      <c r="E11827" t="s">
        <v>27639</v>
      </c>
      <c r="F11827" t="s">
        <v>30052</v>
      </c>
      <c r="G11827" t="s">
        <v>30060</v>
      </c>
      <c r="H11827" t="s">
        <v>30067</v>
      </c>
      <c r="I11827" t="s">
        <v>3693</v>
      </c>
      <c r="J11827" t="s">
        <v>30222</v>
      </c>
      <c r="K11827" t="s">
        <v>39025</v>
      </c>
      <c r="M11827" t="s">
        <v>42764</v>
      </c>
      <c r="N11827" t="s">
        <v>43166</v>
      </c>
      <c r="O11827" t="s">
        <v>43167</v>
      </c>
      <c r="Q11827">
        <v>5</v>
      </c>
      <c r="R11827" t="s">
        <v>43182</v>
      </c>
      <c r="S11827" t="s">
        <v>43795</v>
      </c>
      <c r="T11827" t="s">
        <v>44733</v>
      </c>
      <c r="U11827" t="s">
        <v>54644</v>
      </c>
      <c r="W11827" t="s">
        <v>42764</v>
      </c>
      <c r="X11827" t="s">
        <v>43186</v>
      </c>
    </row>
    <row r="11828" spans="1:24">
      <c r="A11828">
        <f>HYPERLINK("https://www.philgeps.gov.ph/GEPSNONPILOT/Tender/SplashBidNoticeAbstractUI.aspx?menuIndex=3&amp;refID=7054980&amp;Result=3","7054980")</f>
        <v>0</v>
      </c>
      <c r="B11828" t="s">
        <v>830</v>
      </c>
      <c r="C11828" t="s">
        <v>14708</v>
      </c>
      <c r="E11828" t="s">
        <v>27640</v>
      </c>
      <c r="F11828" t="s">
        <v>30052</v>
      </c>
      <c r="G11828" t="s">
        <v>30060</v>
      </c>
      <c r="H11828" t="s">
        <v>30067</v>
      </c>
      <c r="I11828" t="s">
        <v>3693</v>
      </c>
      <c r="J11828" t="s">
        <v>30645</v>
      </c>
      <c r="K11828" t="s">
        <v>39025</v>
      </c>
      <c r="M11828" t="s">
        <v>42764</v>
      </c>
      <c r="N11828" t="s">
        <v>43166</v>
      </c>
      <c r="O11828" t="s">
        <v>43167</v>
      </c>
      <c r="Q11828">
        <v>6</v>
      </c>
      <c r="R11828" t="s">
        <v>43182</v>
      </c>
      <c r="S11828" t="s">
        <v>43796</v>
      </c>
      <c r="T11828" t="s">
        <v>44733</v>
      </c>
      <c r="U11828" t="s">
        <v>54644</v>
      </c>
      <c r="W11828" t="s">
        <v>42764</v>
      </c>
      <c r="X11828" t="s">
        <v>43186</v>
      </c>
    </row>
    <row r="11829" spans="1:24">
      <c r="A11829">
        <f>HYPERLINK("https://www.philgeps.gov.ph/GEPSNONPILOT/Tender/SplashBidNoticeAbstractUI.aspx?menuIndex=3&amp;refID=7054403&amp;Result=3","7054403")</f>
        <v>0</v>
      </c>
      <c r="B11829" t="s">
        <v>2695</v>
      </c>
      <c r="C11829" t="s">
        <v>14709</v>
      </c>
      <c r="D11829" t="s">
        <v>17422</v>
      </c>
      <c r="E11829" t="s">
        <v>19699</v>
      </c>
      <c r="F11829" t="s">
        <v>30052</v>
      </c>
      <c r="G11829" t="s">
        <v>30058</v>
      </c>
      <c r="H11829" t="s">
        <v>15498</v>
      </c>
      <c r="I11829" t="s">
        <v>30091</v>
      </c>
      <c r="J11829" t="s">
        <v>30494</v>
      </c>
      <c r="K11829" t="s">
        <v>39034</v>
      </c>
      <c r="M11829" t="s">
        <v>42218</v>
      </c>
      <c r="N11829" t="s">
        <v>43166</v>
      </c>
      <c r="O11829" t="s">
        <v>43167</v>
      </c>
      <c r="P11829">
        <v>0</v>
      </c>
      <c r="Q11829">
        <v>1</v>
      </c>
      <c r="R11829" t="s">
        <v>43182</v>
      </c>
      <c r="S11829" t="s">
        <v>43789</v>
      </c>
      <c r="T11829" t="s">
        <v>44724</v>
      </c>
      <c r="U11829" t="s">
        <v>54645</v>
      </c>
      <c r="W11829" t="s">
        <v>42218</v>
      </c>
      <c r="X11829" t="s">
        <v>43186</v>
      </c>
    </row>
    <row r="11830" spans="1:24">
      <c r="A11830">
        <f>HYPERLINK("https://www.philgeps.gov.ph/GEPSNONPILOT/Tender/SplashBidNoticeAbstractUI.aspx?menuIndex=3&amp;refID=7055759&amp;Result=3","7055759")</f>
        <v>0</v>
      </c>
      <c r="B11830" t="s">
        <v>3133</v>
      </c>
      <c r="C11830" t="s">
        <v>14710</v>
      </c>
      <c r="D11830" t="s">
        <v>17444</v>
      </c>
      <c r="E11830" t="s">
        <v>27641</v>
      </c>
      <c r="F11830" t="s">
        <v>30052</v>
      </c>
      <c r="G11830" t="s">
        <v>30059</v>
      </c>
      <c r="H11830" t="s">
        <v>15498</v>
      </c>
      <c r="I11830" t="s">
        <v>30081</v>
      </c>
      <c r="J11830" t="s">
        <v>30222</v>
      </c>
      <c r="K11830" t="s">
        <v>39023</v>
      </c>
      <c r="L11830" t="s">
        <v>3133</v>
      </c>
      <c r="M11830" t="s">
        <v>42735</v>
      </c>
      <c r="N11830" t="s">
        <v>43166</v>
      </c>
      <c r="O11830" t="s">
        <v>43167</v>
      </c>
      <c r="P11830">
        <v>0</v>
      </c>
      <c r="Q11830">
        <v>1</v>
      </c>
      <c r="R11830" t="s">
        <v>43182</v>
      </c>
      <c r="S11830" t="s">
        <v>43789</v>
      </c>
      <c r="T11830" t="s">
        <v>44777</v>
      </c>
      <c r="U11830" t="s">
        <v>54646</v>
      </c>
      <c r="W11830" t="s">
        <v>42735</v>
      </c>
      <c r="X11830" t="s">
        <v>43185</v>
      </c>
    </row>
    <row r="11831" spans="1:24">
      <c r="A11831">
        <f>HYPERLINK("https://www.philgeps.gov.ph/GEPSNONPILOT/Tender/SplashBidNoticeAbstractUI.aspx?menuIndex=3&amp;refID=7055743&amp;Result=3","7055743")</f>
        <v>0</v>
      </c>
      <c r="B11831" t="s">
        <v>3133</v>
      </c>
      <c r="C11831" t="s">
        <v>14711</v>
      </c>
      <c r="D11831" t="s">
        <v>17444</v>
      </c>
      <c r="E11831" t="s">
        <v>27642</v>
      </c>
      <c r="F11831" t="s">
        <v>30052</v>
      </c>
      <c r="G11831" t="s">
        <v>30058</v>
      </c>
      <c r="H11831" t="s">
        <v>15498</v>
      </c>
      <c r="I11831" t="s">
        <v>3606</v>
      </c>
      <c r="J11831" t="s">
        <v>32032</v>
      </c>
      <c r="K11831" t="s">
        <v>39029</v>
      </c>
      <c r="L11831" t="s">
        <v>3133</v>
      </c>
      <c r="M11831" t="s">
        <v>42735</v>
      </c>
      <c r="N11831" t="s">
        <v>43166</v>
      </c>
      <c r="O11831" t="s">
        <v>43167</v>
      </c>
      <c r="P11831">
        <v>0</v>
      </c>
      <c r="Q11831">
        <v>1</v>
      </c>
      <c r="R11831" t="s">
        <v>43182</v>
      </c>
      <c r="S11831" t="s">
        <v>43789</v>
      </c>
      <c r="T11831" t="s">
        <v>44777</v>
      </c>
      <c r="U11831" t="s">
        <v>54647</v>
      </c>
      <c r="W11831" t="s">
        <v>42735</v>
      </c>
      <c r="X11831" t="s">
        <v>43185</v>
      </c>
    </row>
    <row r="11832" spans="1:24">
      <c r="A11832">
        <f>HYPERLINK("https://www.philgeps.gov.ph/GEPSNONPILOT/Tender/SplashBidNoticeAbstractUI.aspx?menuIndex=3&amp;refID=7054400&amp;Result=3","7054400")</f>
        <v>0</v>
      </c>
      <c r="B11832" t="s">
        <v>2582</v>
      </c>
      <c r="C11832" t="s">
        <v>14712</v>
      </c>
      <c r="D11832" t="s">
        <v>17439</v>
      </c>
      <c r="E11832" t="s">
        <v>27643</v>
      </c>
      <c r="F11832" t="s">
        <v>30052</v>
      </c>
      <c r="G11832" t="s">
        <v>30058</v>
      </c>
      <c r="H11832" t="s">
        <v>30067</v>
      </c>
      <c r="I11832" t="s">
        <v>3693</v>
      </c>
      <c r="J11832" t="s">
        <v>30559</v>
      </c>
      <c r="K11832" t="s">
        <v>39029</v>
      </c>
      <c r="L11832" t="s">
        <v>2582</v>
      </c>
      <c r="M11832" t="s">
        <v>42092</v>
      </c>
      <c r="N11832" t="s">
        <v>43166</v>
      </c>
      <c r="O11832" t="s">
        <v>43167</v>
      </c>
      <c r="P11832">
        <v>0</v>
      </c>
      <c r="Q11832">
        <v>0</v>
      </c>
      <c r="R11832" t="s">
        <v>43182</v>
      </c>
      <c r="S11832" t="s">
        <v>43789</v>
      </c>
      <c r="T11832" t="s">
        <v>44681</v>
      </c>
      <c r="U11832" t="s">
        <v>52064</v>
      </c>
      <c r="V11832" t="s">
        <v>57726</v>
      </c>
      <c r="W11832" t="s">
        <v>42092</v>
      </c>
      <c r="X11832" t="s">
        <v>43186</v>
      </c>
    </row>
    <row r="11833" spans="1:24">
      <c r="A11833">
        <f>HYPERLINK("https://www.philgeps.gov.ph/GEPSNONPILOT/Tender/SplashBidNoticeAbstractUI.aspx?menuIndex=3&amp;refID=7054278&amp;Result=3","7054278")</f>
        <v>0</v>
      </c>
      <c r="B11833" t="s">
        <v>2582</v>
      </c>
      <c r="C11833" t="s">
        <v>14713</v>
      </c>
      <c r="E11833" t="s">
        <v>27644</v>
      </c>
      <c r="F11833" t="s">
        <v>30052</v>
      </c>
      <c r="G11833" t="s">
        <v>30058</v>
      </c>
      <c r="H11833" t="s">
        <v>30067</v>
      </c>
      <c r="I11833" t="s">
        <v>3693</v>
      </c>
      <c r="J11833" t="s">
        <v>30222</v>
      </c>
      <c r="K11833" t="s">
        <v>39023</v>
      </c>
      <c r="L11833" t="s">
        <v>2582</v>
      </c>
      <c r="M11833" t="s">
        <v>42092</v>
      </c>
      <c r="N11833" t="s">
        <v>43166</v>
      </c>
      <c r="O11833" t="s">
        <v>43167</v>
      </c>
      <c r="P11833">
        <v>0</v>
      </c>
      <c r="Q11833">
        <v>0</v>
      </c>
      <c r="R11833" t="s">
        <v>43182</v>
      </c>
      <c r="S11833" t="s">
        <v>43789</v>
      </c>
      <c r="T11833" t="s">
        <v>44681</v>
      </c>
      <c r="U11833" t="s">
        <v>52064</v>
      </c>
      <c r="V11833" t="s">
        <v>57726</v>
      </c>
      <c r="W11833" t="s">
        <v>42092</v>
      </c>
      <c r="X11833" t="s">
        <v>43186</v>
      </c>
    </row>
    <row r="11834" spans="1:24">
      <c r="A11834">
        <f>HYPERLINK("https://www.philgeps.gov.ph/GEPSNONPILOT/Tender/SplashBidNoticeAbstractUI.aspx?menuIndex=3&amp;refID=7054300&amp;Result=3","7054300")</f>
        <v>0</v>
      </c>
      <c r="B11834" t="s">
        <v>2695</v>
      </c>
      <c r="C11834" t="s">
        <v>14714</v>
      </c>
      <c r="D11834" t="s">
        <v>17422</v>
      </c>
      <c r="E11834" t="s">
        <v>17620</v>
      </c>
      <c r="F11834" t="s">
        <v>30052</v>
      </c>
      <c r="G11834" t="s">
        <v>30058</v>
      </c>
      <c r="H11834" t="s">
        <v>15498</v>
      </c>
      <c r="I11834" t="s">
        <v>30074</v>
      </c>
      <c r="J11834" t="s">
        <v>37428</v>
      </c>
      <c r="K11834" t="s">
        <v>39029</v>
      </c>
      <c r="M11834" t="s">
        <v>42218</v>
      </c>
      <c r="N11834" t="s">
        <v>43166</v>
      </c>
      <c r="O11834" t="s">
        <v>43167</v>
      </c>
      <c r="P11834">
        <v>0</v>
      </c>
      <c r="Q11834">
        <v>2</v>
      </c>
      <c r="R11834" t="s">
        <v>43182</v>
      </c>
      <c r="S11834" t="s">
        <v>43789</v>
      </c>
      <c r="T11834" t="s">
        <v>44724</v>
      </c>
      <c r="U11834" t="s">
        <v>54648</v>
      </c>
      <c r="W11834" t="s">
        <v>42218</v>
      </c>
      <c r="X11834" t="s">
        <v>43186</v>
      </c>
    </row>
    <row r="11835" spans="1:24">
      <c r="A11835">
        <f>HYPERLINK("https://www.philgeps.gov.ph/GEPSNONPILOT/Tender/SplashBidNoticeAbstractUI.aspx?menuIndex=3&amp;refID=7054224&amp;Result=3","7054224")</f>
        <v>0</v>
      </c>
      <c r="B11835" t="s">
        <v>2695</v>
      </c>
      <c r="C11835" t="s">
        <v>14715</v>
      </c>
      <c r="D11835" t="s">
        <v>17422</v>
      </c>
      <c r="E11835" t="s">
        <v>17856</v>
      </c>
      <c r="F11835" t="s">
        <v>30052</v>
      </c>
      <c r="G11835" t="s">
        <v>30058</v>
      </c>
      <c r="H11835" t="s">
        <v>15498</v>
      </c>
      <c r="I11835" t="s">
        <v>30074</v>
      </c>
      <c r="J11835" t="s">
        <v>37429</v>
      </c>
      <c r="K11835" t="s">
        <v>39029</v>
      </c>
      <c r="M11835" t="s">
        <v>42218</v>
      </c>
      <c r="N11835" t="s">
        <v>43166</v>
      </c>
      <c r="O11835" t="s">
        <v>43167</v>
      </c>
      <c r="P11835">
        <v>0</v>
      </c>
      <c r="Q11835">
        <v>4</v>
      </c>
      <c r="R11835" t="s">
        <v>43182</v>
      </c>
      <c r="S11835" t="s">
        <v>43789</v>
      </c>
      <c r="T11835" t="s">
        <v>44724</v>
      </c>
      <c r="U11835" t="s">
        <v>54649</v>
      </c>
      <c r="W11835" t="s">
        <v>42218</v>
      </c>
      <c r="X11835" t="s">
        <v>43186</v>
      </c>
    </row>
    <row r="11836" spans="1:24">
      <c r="A11836">
        <f>HYPERLINK("https://www.philgeps.gov.ph/GEPSNONPILOT/Tender/SplashBidNoticeAbstractUI.aspx?menuIndex=3&amp;refID=7055844&amp;Result=3","7055844")</f>
        <v>0</v>
      </c>
      <c r="B11836" t="s">
        <v>795</v>
      </c>
      <c r="C11836" t="s">
        <v>14716</v>
      </c>
      <c r="D11836" t="s">
        <v>17466</v>
      </c>
      <c r="E11836" t="s">
        <v>27645</v>
      </c>
      <c r="F11836" t="s">
        <v>30052</v>
      </c>
      <c r="G11836" t="s">
        <v>30058</v>
      </c>
      <c r="H11836" t="s">
        <v>15498</v>
      </c>
      <c r="I11836" t="s">
        <v>30073</v>
      </c>
      <c r="J11836" t="s">
        <v>37430</v>
      </c>
      <c r="K11836" t="s">
        <v>39029</v>
      </c>
      <c r="M11836" t="s">
        <v>42794</v>
      </c>
      <c r="N11836" t="s">
        <v>43166</v>
      </c>
      <c r="O11836" t="s">
        <v>43167</v>
      </c>
      <c r="P11836">
        <v>0</v>
      </c>
      <c r="Q11836">
        <v>1</v>
      </c>
      <c r="R11836" t="s">
        <v>43182</v>
      </c>
      <c r="S11836" t="s">
        <v>43789</v>
      </c>
      <c r="T11836" t="s">
        <v>44679</v>
      </c>
      <c r="U11836" t="s">
        <v>54650</v>
      </c>
      <c r="W11836" t="s">
        <v>42794</v>
      </c>
      <c r="X11836" t="s">
        <v>43185</v>
      </c>
    </row>
    <row r="11837" spans="1:24">
      <c r="A11837">
        <f>HYPERLINK("https://www.philgeps.gov.ph/GEPSNONPILOT/Tender/SplashBidNoticeAbstractUI.aspx?menuIndex=3&amp;refID=7056378&amp;Result=3","7056378")</f>
        <v>0</v>
      </c>
      <c r="B11837" t="s">
        <v>3180</v>
      </c>
      <c r="C11837" t="s">
        <v>14717</v>
      </c>
      <c r="D11837" t="s">
        <v>17437</v>
      </c>
      <c r="E11837" t="s">
        <v>27646</v>
      </c>
      <c r="F11837" t="s">
        <v>30052</v>
      </c>
      <c r="G11837" t="s">
        <v>30058</v>
      </c>
      <c r="H11837" t="s">
        <v>15498</v>
      </c>
      <c r="I11837" t="s">
        <v>30076</v>
      </c>
      <c r="J11837" t="s">
        <v>37431</v>
      </c>
      <c r="K11837" t="s">
        <v>39029</v>
      </c>
      <c r="M11837" t="s">
        <v>42791</v>
      </c>
      <c r="N11837" t="s">
        <v>43166</v>
      </c>
      <c r="O11837" t="s">
        <v>43167</v>
      </c>
      <c r="P11837">
        <v>0</v>
      </c>
      <c r="Q11837">
        <v>2</v>
      </c>
      <c r="R11837" t="s">
        <v>43182</v>
      </c>
      <c r="S11837" t="s">
        <v>43789</v>
      </c>
      <c r="T11837" t="s">
        <v>44862</v>
      </c>
      <c r="U11837" t="s">
        <v>54651</v>
      </c>
      <c r="W11837" t="s">
        <v>42791</v>
      </c>
      <c r="X11837" t="s">
        <v>43185</v>
      </c>
    </row>
    <row r="11838" spans="1:24">
      <c r="A11838">
        <f>HYPERLINK("https://www.philgeps.gov.ph/GEPSNONPILOT/Tender/SplashBidNoticeAbstractUI.aspx?menuIndex=3&amp;refID=7056371&amp;Result=3","7056371")</f>
        <v>0</v>
      </c>
      <c r="B11838" t="s">
        <v>3182</v>
      </c>
      <c r="C11838" t="s">
        <v>14718</v>
      </c>
      <c r="D11838" t="s">
        <v>17435</v>
      </c>
      <c r="E11838" t="s">
        <v>27647</v>
      </c>
      <c r="F11838" t="s">
        <v>30052</v>
      </c>
      <c r="G11838" t="s">
        <v>30058</v>
      </c>
      <c r="H11838" t="s">
        <v>30067</v>
      </c>
      <c r="I11838" t="s">
        <v>3693</v>
      </c>
      <c r="J11838" t="s">
        <v>30222</v>
      </c>
      <c r="K11838" t="s">
        <v>39025</v>
      </c>
      <c r="M11838" t="s">
        <v>42795</v>
      </c>
      <c r="N11838" t="s">
        <v>43166</v>
      </c>
      <c r="O11838" t="s">
        <v>43167</v>
      </c>
      <c r="P11838">
        <v>0</v>
      </c>
      <c r="Q11838">
        <v>0</v>
      </c>
      <c r="R11838" t="s">
        <v>43182</v>
      </c>
      <c r="S11838" t="s">
        <v>43789</v>
      </c>
      <c r="T11838" t="s">
        <v>44679</v>
      </c>
      <c r="U11838" t="s">
        <v>54652</v>
      </c>
      <c r="W11838" t="s">
        <v>42795</v>
      </c>
      <c r="X11838" t="s">
        <v>43185</v>
      </c>
    </row>
    <row r="11839" spans="1:24">
      <c r="A11839">
        <f>HYPERLINK("https://www.philgeps.gov.ph/GEPSNONPILOT/Tender/SplashBidNoticeAbstractUI.aspx?menuIndex=3&amp;refID=7056367&amp;Result=3","7056367")</f>
        <v>0</v>
      </c>
      <c r="B11839" t="s">
        <v>3183</v>
      </c>
      <c r="C11839" t="s">
        <v>14719</v>
      </c>
      <c r="D11839" t="s">
        <v>17473</v>
      </c>
      <c r="E11839" t="s">
        <v>27648</v>
      </c>
      <c r="F11839" t="s">
        <v>30052</v>
      </c>
      <c r="G11839" t="s">
        <v>30058</v>
      </c>
      <c r="H11839" t="s">
        <v>15498</v>
      </c>
      <c r="I11839" t="s">
        <v>3736</v>
      </c>
      <c r="J11839" t="s">
        <v>37432</v>
      </c>
      <c r="K11839" t="s">
        <v>39029</v>
      </c>
      <c r="M11839" t="s">
        <v>42796</v>
      </c>
      <c r="N11839" t="s">
        <v>43166</v>
      </c>
      <c r="O11839" t="s">
        <v>43167</v>
      </c>
      <c r="P11839">
        <v>0</v>
      </c>
      <c r="Q11839">
        <v>0</v>
      </c>
      <c r="R11839" t="s">
        <v>43182</v>
      </c>
      <c r="S11839" t="s">
        <v>43789</v>
      </c>
      <c r="T11839" t="s">
        <v>44724</v>
      </c>
      <c r="U11839" t="s">
        <v>54653</v>
      </c>
      <c r="W11839" t="s">
        <v>42796</v>
      </c>
      <c r="X11839" t="s">
        <v>43185</v>
      </c>
    </row>
    <row r="11840" spans="1:24">
      <c r="A11840">
        <f>HYPERLINK("https://www.philgeps.gov.ph/GEPSNONPILOT/Tender/SplashBidNoticeAbstractUI.aspx?menuIndex=3&amp;refID=7056397&amp;Result=3","7056397")</f>
        <v>0</v>
      </c>
      <c r="B11840" t="s">
        <v>1372</v>
      </c>
      <c r="C11840" t="s">
        <v>14720</v>
      </c>
      <c r="D11840" t="s">
        <v>17424</v>
      </c>
      <c r="E11840" t="s">
        <v>27649</v>
      </c>
      <c r="F11840" t="s">
        <v>30052</v>
      </c>
      <c r="G11840" t="s">
        <v>30058</v>
      </c>
      <c r="H11840" t="s">
        <v>30067</v>
      </c>
      <c r="I11840" t="s">
        <v>3693</v>
      </c>
      <c r="J11840" t="s">
        <v>37433</v>
      </c>
      <c r="K11840" t="s">
        <v>39020</v>
      </c>
      <c r="M11840" t="s">
        <v>40744</v>
      </c>
      <c r="N11840" t="s">
        <v>43166</v>
      </c>
      <c r="O11840" t="s">
        <v>43167</v>
      </c>
      <c r="P11840">
        <v>0</v>
      </c>
      <c r="Q11840">
        <v>8</v>
      </c>
      <c r="R11840" t="s">
        <v>43182</v>
      </c>
      <c r="S11840" t="s">
        <v>43789</v>
      </c>
      <c r="T11840" t="s">
        <v>44681</v>
      </c>
      <c r="U11840" t="s">
        <v>48264</v>
      </c>
      <c r="W11840" t="s">
        <v>40744</v>
      </c>
      <c r="X11840" t="s">
        <v>43185</v>
      </c>
    </row>
    <row r="11841" spans="1:24">
      <c r="A11841">
        <f>HYPERLINK("https://www.philgeps.gov.ph/GEPSNONPILOT/Tender/SplashBidNoticeAbstractUI.aspx?menuIndex=3&amp;refID=7056354&amp;Result=3","7056354")</f>
        <v>0</v>
      </c>
      <c r="B11841" t="s">
        <v>2711</v>
      </c>
      <c r="C11841" t="s">
        <v>14721</v>
      </c>
      <c r="D11841" t="s">
        <v>17450</v>
      </c>
      <c r="E11841" t="s">
        <v>27650</v>
      </c>
      <c r="F11841" t="s">
        <v>30052</v>
      </c>
      <c r="G11841" t="s">
        <v>30058</v>
      </c>
      <c r="H11841" t="s">
        <v>15498</v>
      </c>
      <c r="I11841" t="s">
        <v>30076</v>
      </c>
      <c r="J11841" t="s">
        <v>37434</v>
      </c>
      <c r="K11841" t="s">
        <v>39023</v>
      </c>
      <c r="M11841" t="s">
        <v>42236</v>
      </c>
      <c r="N11841" t="s">
        <v>43166</v>
      </c>
      <c r="O11841" t="s">
        <v>43167</v>
      </c>
      <c r="P11841">
        <v>0</v>
      </c>
      <c r="Q11841">
        <v>5</v>
      </c>
      <c r="R11841" t="s">
        <v>43182</v>
      </c>
      <c r="S11841" t="s">
        <v>43789</v>
      </c>
      <c r="T11841" t="s">
        <v>44681</v>
      </c>
      <c r="U11841" t="s">
        <v>54654</v>
      </c>
      <c r="W11841" t="s">
        <v>42236</v>
      </c>
      <c r="X11841" t="s">
        <v>43185</v>
      </c>
    </row>
    <row r="11842" spans="1:24">
      <c r="A11842">
        <f>HYPERLINK("https://www.philgeps.gov.ph/GEPSNONPILOT/Tender/SplashBidNoticeAbstractUI.aspx?menuIndex=3&amp;refID=7056322&amp;Result=3","7056322")</f>
        <v>0</v>
      </c>
      <c r="B11842" t="s">
        <v>3180</v>
      </c>
      <c r="C11842" t="s">
        <v>14722</v>
      </c>
      <c r="D11842" t="s">
        <v>17437</v>
      </c>
      <c r="E11842" t="s">
        <v>27651</v>
      </c>
      <c r="F11842" t="s">
        <v>30052</v>
      </c>
      <c r="G11842" t="s">
        <v>30058</v>
      </c>
      <c r="H11842" t="s">
        <v>15498</v>
      </c>
      <c r="I11842" t="s">
        <v>3606</v>
      </c>
      <c r="J11842" t="s">
        <v>35310</v>
      </c>
      <c r="K11842" t="s">
        <v>39029</v>
      </c>
      <c r="M11842" t="s">
        <v>42791</v>
      </c>
      <c r="N11842" t="s">
        <v>43166</v>
      </c>
      <c r="O11842" t="s">
        <v>43167</v>
      </c>
      <c r="P11842">
        <v>0</v>
      </c>
      <c r="Q11842">
        <v>5</v>
      </c>
      <c r="R11842" t="s">
        <v>43182</v>
      </c>
      <c r="S11842" t="s">
        <v>43789</v>
      </c>
      <c r="T11842" t="s">
        <v>44862</v>
      </c>
      <c r="U11842" t="s">
        <v>54655</v>
      </c>
      <c r="W11842" t="s">
        <v>42791</v>
      </c>
      <c r="X11842" t="s">
        <v>43185</v>
      </c>
    </row>
    <row r="11843" spans="1:24">
      <c r="A11843">
        <f>HYPERLINK("https://www.philgeps.gov.ph/GEPSNONPILOT/Tender/SplashBidNoticeAbstractUI.aspx?menuIndex=3&amp;refID=7054587&amp;Result=3","7054587")</f>
        <v>0</v>
      </c>
      <c r="B11843" t="s">
        <v>98</v>
      </c>
      <c r="C11843" t="s">
        <v>14723</v>
      </c>
      <c r="D11843" t="s">
        <v>17499</v>
      </c>
      <c r="E11843" t="s">
        <v>27652</v>
      </c>
      <c r="F11843" t="s">
        <v>30052</v>
      </c>
      <c r="G11843" t="s">
        <v>30063</v>
      </c>
      <c r="H11843" t="s">
        <v>30067</v>
      </c>
      <c r="I11843" t="s">
        <v>3693</v>
      </c>
      <c r="J11843" t="s">
        <v>37435</v>
      </c>
      <c r="K11843" t="s">
        <v>39025</v>
      </c>
      <c r="L11843" t="s">
        <v>98</v>
      </c>
      <c r="M11843" t="s">
        <v>40536</v>
      </c>
      <c r="N11843" t="s">
        <v>43166</v>
      </c>
      <c r="O11843" t="s">
        <v>43167</v>
      </c>
      <c r="Q11843">
        <v>5</v>
      </c>
      <c r="R11843" t="s">
        <v>43182</v>
      </c>
      <c r="S11843" t="s">
        <v>43797</v>
      </c>
      <c r="T11843" t="s">
        <v>44733</v>
      </c>
      <c r="U11843" t="s">
        <v>54656</v>
      </c>
      <c r="W11843" t="s">
        <v>40536</v>
      </c>
      <c r="X11843" t="s">
        <v>43186</v>
      </c>
    </row>
    <row r="11844" spans="1:24">
      <c r="A11844">
        <f>HYPERLINK("https://www.philgeps.gov.ph/GEPSNONPILOT/Tender/SplashBidNoticeAbstractUI.aspx?menuIndex=3&amp;refID=7056260&amp;Result=3","7056260")</f>
        <v>0</v>
      </c>
      <c r="B11844" t="s">
        <v>3180</v>
      </c>
      <c r="C11844" t="s">
        <v>14724</v>
      </c>
      <c r="D11844" t="s">
        <v>17437</v>
      </c>
      <c r="E11844" t="s">
        <v>27653</v>
      </c>
      <c r="F11844" t="s">
        <v>30052</v>
      </c>
      <c r="G11844" t="s">
        <v>30058</v>
      </c>
      <c r="H11844" t="s">
        <v>15498</v>
      </c>
      <c r="I11844" t="s">
        <v>30076</v>
      </c>
      <c r="J11844" t="s">
        <v>37303</v>
      </c>
      <c r="K11844" t="s">
        <v>39029</v>
      </c>
      <c r="M11844" t="s">
        <v>42791</v>
      </c>
      <c r="N11844" t="s">
        <v>43166</v>
      </c>
      <c r="O11844" t="s">
        <v>43167</v>
      </c>
      <c r="P11844">
        <v>0</v>
      </c>
      <c r="Q11844">
        <v>1</v>
      </c>
      <c r="R11844" t="s">
        <v>43182</v>
      </c>
      <c r="S11844" t="s">
        <v>43789</v>
      </c>
      <c r="T11844" t="s">
        <v>44862</v>
      </c>
      <c r="U11844" t="s">
        <v>54657</v>
      </c>
      <c r="W11844" t="s">
        <v>42791</v>
      </c>
      <c r="X11844" t="s">
        <v>43185</v>
      </c>
    </row>
    <row r="11845" spans="1:24">
      <c r="A11845">
        <f>HYPERLINK("https://www.philgeps.gov.ph/GEPSNONPILOT/Tender/SplashBidNoticeAbstractUI.aspx?menuIndex=3&amp;refID=7056362&amp;Result=3","7056362")</f>
        <v>0</v>
      </c>
      <c r="B11845" t="s">
        <v>3184</v>
      </c>
      <c r="C11845" t="s">
        <v>14725</v>
      </c>
      <c r="D11845" t="s">
        <v>17442</v>
      </c>
      <c r="E11845" t="s">
        <v>27654</v>
      </c>
      <c r="F11845" t="s">
        <v>30052</v>
      </c>
      <c r="G11845" t="s">
        <v>30058</v>
      </c>
      <c r="H11845" t="s">
        <v>15498</v>
      </c>
      <c r="I11845" t="s">
        <v>30091</v>
      </c>
      <c r="J11845" t="s">
        <v>30227</v>
      </c>
      <c r="K11845" t="s">
        <v>39029</v>
      </c>
      <c r="M11845" t="s">
        <v>42797</v>
      </c>
      <c r="N11845" t="s">
        <v>43166</v>
      </c>
      <c r="O11845" t="s">
        <v>43167</v>
      </c>
      <c r="P11845">
        <v>0</v>
      </c>
      <c r="Q11845">
        <v>2</v>
      </c>
      <c r="R11845" t="s">
        <v>43182</v>
      </c>
      <c r="S11845" t="s">
        <v>43789</v>
      </c>
      <c r="T11845" t="s">
        <v>44724</v>
      </c>
      <c r="U11845" t="s">
        <v>54658</v>
      </c>
      <c r="W11845" t="s">
        <v>42797</v>
      </c>
      <c r="X11845" t="s">
        <v>43185</v>
      </c>
    </row>
    <row r="11846" spans="1:24">
      <c r="A11846">
        <f>HYPERLINK("https://www.philgeps.gov.ph/GEPSNONPILOT/Tender/SplashBidNoticeAbstractUI.aspx?menuIndex=3&amp;refID=7056246&amp;Result=3","7056246")</f>
        <v>0</v>
      </c>
      <c r="B11846" t="s">
        <v>1377</v>
      </c>
      <c r="C11846" t="s">
        <v>14726</v>
      </c>
      <c r="D11846" t="s">
        <v>17415</v>
      </c>
      <c r="E11846" t="s">
        <v>27655</v>
      </c>
      <c r="F11846" t="s">
        <v>30052</v>
      </c>
      <c r="G11846" t="s">
        <v>30058</v>
      </c>
      <c r="H11846" t="s">
        <v>15498</v>
      </c>
      <c r="I11846" t="s">
        <v>9238</v>
      </c>
      <c r="J11846" t="s">
        <v>30247</v>
      </c>
      <c r="K11846" t="s">
        <v>39023</v>
      </c>
      <c r="M11846" t="s">
        <v>42259</v>
      </c>
      <c r="N11846" t="s">
        <v>43166</v>
      </c>
      <c r="O11846" t="s">
        <v>43167</v>
      </c>
      <c r="Q11846">
        <v>11</v>
      </c>
      <c r="R11846" t="s">
        <v>43182</v>
      </c>
      <c r="S11846" t="s">
        <v>43798</v>
      </c>
      <c r="T11846" t="s">
        <v>44699</v>
      </c>
      <c r="U11846" t="s">
        <v>54659</v>
      </c>
      <c r="W11846" t="s">
        <v>42259</v>
      </c>
      <c r="X11846" t="s">
        <v>43185</v>
      </c>
    </row>
    <row r="11847" spans="1:24">
      <c r="A11847">
        <f>HYPERLINK("https://www.philgeps.gov.ph/GEPSNONPILOT/Tender/SplashBidNoticeAbstractUI.aspx?menuIndex=3&amp;refID=7056214&amp;Result=3","7056214")</f>
        <v>0</v>
      </c>
      <c r="B11847" t="s">
        <v>3180</v>
      </c>
      <c r="C11847" t="s">
        <v>14727</v>
      </c>
      <c r="D11847" t="s">
        <v>17437</v>
      </c>
      <c r="E11847" t="s">
        <v>27656</v>
      </c>
      <c r="F11847" t="s">
        <v>30052</v>
      </c>
      <c r="G11847" t="s">
        <v>30058</v>
      </c>
      <c r="H11847" t="s">
        <v>15498</v>
      </c>
      <c r="I11847" t="s">
        <v>30081</v>
      </c>
      <c r="J11847" t="s">
        <v>30252</v>
      </c>
      <c r="K11847" t="s">
        <v>39029</v>
      </c>
      <c r="M11847" t="s">
        <v>42791</v>
      </c>
      <c r="N11847" t="s">
        <v>43166</v>
      </c>
      <c r="O11847" t="s">
        <v>43167</v>
      </c>
      <c r="P11847">
        <v>0</v>
      </c>
      <c r="Q11847">
        <v>0</v>
      </c>
      <c r="R11847" t="s">
        <v>43182</v>
      </c>
      <c r="S11847" t="s">
        <v>43789</v>
      </c>
      <c r="T11847" t="s">
        <v>44862</v>
      </c>
      <c r="U11847" t="s">
        <v>54660</v>
      </c>
      <c r="W11847" t="s">
        <v>42791</v>
      </c>
      <c r="X11847" t="s">
        <v>43185</v>
      </c>
    </row>
    <row r="11848" spans="1:24">
      <c r="A11848">
        <f>HYPERLINK("https://www.philgeps.gov.ph/GEPSNONPILOT/Tender/SplashBidNoticeAbstractUI.aspx?menuIndex=3&amp;refID=7056420&amp;Result=3","7056420")</f>
        <v>0</v>
      </c>
      <c r="B11848" t="s">
        <v>1372</v>
      </c>
      <c r="C11848" t="s">
        <v>14728</v>
      </c>
      <c r="D11848" t="s">
        <v>17424</v>
      </c>
      <c r="E11848" t="s">
        <v>27657</v>
      </c>
      <c r="F11848" t="s">
        <v>30052</v>
      </c>
      <c r="G11848" t="s">
        <v>30058</v>
      </c>
      <c r="H11848" t="s">
        <v>30067</v>
      </c>
      <c r="I11848" t="s">
        <v>3693</v>
      </c>
      <c r="J11848" t="s">
        <v>37436</v>
      </c>
      <c r="K11848" t="s">
        <v>39026</v>
      </c>
      <c r="M11848" t="s">
        <v>40744</v>
      </c>
      <c r="N11848" t="s">
        <v>43166</v>
      </c>
      <c r="O11848" t="s">
        <v>43167</v>
      </c>
      <c r="P11848">
        <v>0</v>
      </c>
      <c r="Q11848">
        <v>10</v>
      </c>
      <c r="R11848" t="s">
        <v>43182</v>
      </c>
      <c r="S11848" t="s">
        <v>43789</v>
      </c>
      <c r="T11848" t="s">
        <v>44681</v>
      </c>
      <c r="U11848" t="s">
        <v>48264</v>
      </c>
      <c r="W11848" t="s">
        <v>40744</v>
      </c>
      <c r="X11848" t="s">
        <v>43185</v>
      </c>
    </row>
    <row r="11849" spans="1:24">
      <c r="A11849">
        <f>HYPERLINK("https://www.philgeps.gov.ph/GEPSNONPILOT/Tender/SplashBidNoticeAbstractUI.aspx?menuIndex=3&amp;refID=7056321&amp;Result=3","7056321")</f>
        <v>0</v>
      </c>
      <c r="B11849" t="s">
        <v>1372</v>
      </c>
      <c r="C11849" t="s">
        <v>14729</v>
      </c>
      <c r="D11849" t="s">
        <v>17424</v>
      </c>
      <c r="E11849" t="s">
        <v>27658</v>
      </c>
      <c r="F11849" t="s">
        <v>30052</v>
      </c>
      <c r="G11849" t="s">
        <v>30058</v>
      </c>
      <c r="H11849" t="s">
        <v>30067</v>
      </c>
      <c r="I11849" t="s">
        <v>3693</v>
      </c>
      <c r="J11849" t="s">
        <v>37437</v>
      </c>
      <c r="K11849" t="s">
        <v>39020</v>
      </c>
      <c r="M11849" t="s">
        <v>40744</v>
      </c>
      <c r="N11849" t="s">
        <v>43166</v>
      </c>
      <c r="O11849" t="s">
        <v>43167</v>
      </c>
      <c r="P11849">
        <v>0</v>
      </c>
      <c r="Q11849">
        <v>9</v>
      </c>
      <c r="R11849" t="s">
        <v>43182</v>
      </c>
      <c r="S11849" t="s">
        <v>43789</v>
      </c>
      <c r="T11849" t="s">
        <v>44681</v>
      </c>
      <c r="U11849" t="s">
        <v>48264</v>
      </c>
      <c r="W11849" t="s">
        <v>40744</v>
      </c>
      <c r="X11849" t="s">
        <v>43185</v>
      </c>
    </row>
    <row r="11850" spans="1:24">
      <c r="A11850">
        <f>HYPERLINK("https://www.philgeps.gov.ph/GEPSNONPILOT/Tender/SplashBidNoticeAbstractUI.aspx?menuIndex=3&amp;refID=7056145&amp;Result=3","7056145")</f>
        <v>0</v>
      </c>
      <c r="B11850" t="s">
        <v>1317</v>
      </c>
      <c r="C11850" t="s">
        <v>14730</v>
      </c>
      <c r="D11850" t="s">
        <v>17466</v>
      </c>
      <c r="E11850" t="s">
        <v>19687</v>
      </c>
      <c r="F11850" t="s">
        <v>30052</v>
      </c>
      <c r="G11850" t="s">
        <v>30060</v>
      </c>
      <c r="H11850" t="s">
        <v>15498</v>
      </c>
      <c r="I11850" t="s">
        <v>30165</v>
      </c>
      <c r="J11850" t="s">
        <v>30853</v>
      </c>
      <c r="K11850" t="s">
        <v>39039</v>
      </c>
      <c r="M11850" t="s">
        <v>40684</v>
      </c>
      <c r="N11850" t="s">
        <v>43166</v>
      </c>
      <c r="O11850" t="s">
        <v>43167</v>
      </c>
      <c r="P11850">
        <v>0</v>
      </c>
      <c r="Q11850">
        <v>1</v>
      </c>
      <c r="R11850" t="s">
        <v>43182</v>
      </c>
      <c r="S11850" t="s">
        <v>43789</v>
      </c>
      <c r="T11850" t="s">
        <v>44719</v>
      </c>
      <c r="U11850" t="s">
        <v>54661</v>
      </c>
      <c r="W11850" t="s">
        <v>40684</v>
      </c>
      <c r="X11850" t="s">
        <v>43185</v>
      </c>
    </row>
    <row r="11851" spans="1:24">
      <c r="A11851">
        <f>HYPERLINK("https://www.philgeps.gov.ph/GEPSNONPILOT/Tender/SplashBidNoticeAbstractUI.aspx?menuIndex=3&amp;refID=7056137&amp;Result=3","7056137")</f>
        <v>0</v>
      </c>
      <c r="B11851" t="s">
        <v>3180</v>
      </c>
      <c r="C11851" t="s">
        <v>14731</v>
      </c>
      <c r="D11851" t="s">
        <v>17437</v>
      </c>
      <c r="E11851" t="s">
        <v>27659</v>
      </c>
      <c r="F11851" t="s">
        <v>30052</v>
      </c>
      <c r="G11851" t="s">
        <v>30058</v>
      </c>
      <c r="H11851" t="s">
        <v>15498</v>
      </c>
      <c r="I11851" t="s">
        <v>30092</v>
      </c>
      <c r="J11851" t="s">
        <v>30222</v>
      </c>
      <c r="K11851" t="s">
        <v>39029</v>
      </c>
      <c r="M11851" t="s">
        <v>42791</v>
      </c>
      <c r="N11851" t="s">
        <v>43166</v>
      </c>
      <c r="O11851" t="s">
        <v>43167</v>
      </c>
      <c r="P11851">
        <v>0</v>
      </c>
      <c r="Q11851">
        <v>2</v>
      </c>
      <c r="R11851" t="s">
        <v>43182</v>
      </c>
      <c r="S11851" t="s">
        <v>43789</v>
      </c>
      <c r="T11851" t="s">
        <v>44862</v>
      </c>
      <c r="U11851" t="s">
        <v>54662</v>
      </c>
      <c r="W11851" t="s">
        <v>42791</v>
      </c>
      <c r="X11851" t="s">
        <v>43185</v>
      </c>
    </row>
    <row r="11852" spans="1:24">
      <c r="A11852">
        <f>HYPERLINK("https://www.philgeps.gov.ph/GEPSNONPILOT/Tender/SplashBidNoticeAbstractUI.aspx?menuIndex=3&amp;refID=7056757&amp;Result=3","7056757")</f>
        <v>0</v>
      </c>
      <c r="B11852" t="s">
        <v>53</v>
      </c>
      <c r="C11852" t="s">
        <v>14732</v>
      </c>
      <c r="D11852" t="s">
        <v>17436</v>
      </c>
      <c r="E11852" t="s">
        <v>27660</v>
      </c>
      <c r="F11852" t="s">
        <v>30052</v>
      </c>
      <c r="G11852" t="s">
        <v>30058</v>
      </c>
      <c r="H11852" t="s">
        <v>30067</v>
      </c>
      <c r="I11852" t="s">
        <v>3693</v>
      </c>
      <c r="J11852" t="s">
        <v>37438</v>
      </c>
      <c r="K11852" t="s">
        <v>39228</v>
      </c>
      <c r="M11852" t="s">
        <v>39342</v>
      </c>
      <c r="N11852" t="s">
        <v>43166</v>
      </c>
      <c r="O11852" t="s">
        <v>43167</v>
      </c>
      <c r="P11852">
        <v>0</v>
      </c>
      <c r="Q11852">
        <v>0</v>
      </c>
      <c r="R11852" t="s">
        <v>43182</v>
      </c>
      <c r="S11852" t="s">
        <v>43789</v>
      </c>
      <c r="T11852" t="s">
        <v>44706</v>
      </c>
      <c r="U11852" t="s">
        <v>54663</v>
      </c>
      <c r="W11852" t="s">
        <v>58588</v>
      </c>
      <c r="X11852" t="s">
        <v>43185</v>
      </c>
    </row>
    <row r="11853" spans="1:24">
      <c r="A11853">
        <f>HYPERLINK("https://www.philgeps.gov.ph/GEPSNONPILOT/Tender/SplashBidNoticeAbstractUI.aspx?menuIndex=3&amp;refID=7056846&amp;Result=3","7056846")</f>
        <v>0</v>
      </c>
      <c r="B11853" t="s">
        <v>3185</v>
      </c>
      <c r="C11853" t="s">
        <v>14733</v>
      </c>
      <c r="D11853" t="s">
        <v>17434</v>
      </c>
      <c r="E11853" t="s">
        <v>27661</v>
      </c>
      <c r="F11853" t="s">
        <v>30052</v>
      </c>
      <c r="G11853" t="s">
        <v>30058</v>
      </c>
      <c r="H11853" t="s">
        <v>30067</v>
      </c>
      <c r="I11853" t="s">
        <v>3693</v>
      </c>
      <c r="J11853" t="s">
        <v>37439</v>
      </c>
      <c r="K11853" t="s">
        <v>39031</v>
      </c>
      <c r="M11853" t="s">
        <v>41070</v>
      </c>
      <c r="N11853" t="s">
        <v>43166</v>
      </c>
      <c r="O11853" t="s">
        <v>43167</v>
      </c>
      <c r="P11853">
        <v>0</v>
      </c>
      <c r="Q11853">
        <v>3</v>
      </c>
      <c r="R11853" t="s">
        <v>43182</v>
      </c>
      <c r="S11853" t="s">
        <v>43789</v>
      </c>
      <c r="T11853" t="s">
        <v>44681</v>
      </c>
      <c r="U11853" t="s">
        <v>54664</v>
      </c>
      <c r="V11853" t="s">
        <v>58139</v>
      </c>
      <c r="W11853" t="s">
        <v>41070</v>
      </c>
      <c r="X11853" t="s">
        <v>43185</v>
      </c>
    </row>
    <row r="11854" spans="1:24">
      <c r="A11854">
        <f>HYPERLINK("https://www.philgeps.gov.ph/GEPSNONPILOT/Tender/SplashBidNoticeAbstractUI.aspx?menuIndex=3&amp;refID=7056826&amp;Result=3","7056826")</f>
        <v>0</v>
      </c>
      <c r="B11854" t="s">
        <v>2509</v>
      </c>
      <c r="C11854" t="s">
        <v>14734</v>
      </c>
      <c r="D11854" t="s">
        <v>17452</v>
      </c>
      <c r="E11854" t="s">
        <v>27662</v>
      </c>
      <c r="F11854" t="s">
        <v>30052</v>
      </c>
      <c r="G11854" t="s">
        <v>30058</v>
      </c>
      <c r="H11854" t="s">
        <v>15498</v>
      </c>
      <c r="I11854" t="s">
        <v>30074</v>
      </c>
      <c r="J11854" t="s">
        <v>30212</v>
      </c>
      <c r="K11854" t="s">
        <v>39029</v>
      </c>
      <c r="M11854" t="s">
        <v>42014</v>
      </c>
      <c r="N11854" t="s">
        <v>43166</v>
      </c>
      <c r="O11854" t="s">
        <v>43167</v>
      </c>
      <c r="Q11854">
        <v>11</v>
      </c>
      <c r="R11854" t="s">
        <v>43182</v>
      </c>
      <c r="S11854" t="s">
        <v>43799</v>
      </c>
      <c r="T11854" t="s">
        <v>44753</v>
      </c>
      <c r="U11854" t="s">
        <v>54665</v>
      </c>
      <c r="V11854" t="s">
        <v>58140</v>
      </c>
      <c r="W11854" t="s">
        <v>42014</v>
      </c>
      <c r="X11854" t="s">
        <v>43185</v>
      </c>
    </row>
    <row r="11855" spans="1:24">
      <c r="A11855">
        <f>HYPERLINK("https://www.philgeps.gov.ph/GEPSNONPILOT/Tender/SplashBidNoticeAbstractUI.aspx?menuIndex=3&amp;refID=7056190&amp;Result=3","7056190")</f>
        <v>0</v>
      </c>
      <c r="B11855" t="s">
        <v>2094</v>
      </c>
      <c r="C11855" t="s">
        <v>14735</v>
      </c>
      <c r="D11855" t="s">
        <v>17422</v>
      </c>
      <c r="E11855" t="s">
        <v>26282</v>
      </c>
      <c r="F11855" t="s">
        <v>30052</v>
      </c>
      <c r="G11855" t="s">
        <v>30058</v>
      </c>
      <c r="H11855" t="s">
        <v>15498</v>
      </c>
      <c r="I11855" t="s">
        <v>3736</v>
      </c>
      <c r="J11855" t="s">
        <v>34717</v>
      </c>
      <c r="K11855" t="s">
        <v>39019</v>
      </c>
      <c r="M11855" t="s">
        <v>41556</v>
      </c>
      <c r="N11855" t="s">
        <v>43166</v>
      </c>
      <c r="O11855" t="s">
        <v>43167</v>
      </c>
      <c r="P11855">
        <v>0</v>
      </c>
      <c r="Q11855">
        <v>0</v>
      </c>
      <c r="R11855" t="s">
        <v>43182</v>
      </c>
      <c r="S11855" t="s">
        <v>43789</v>
      </c>
      <c r="T11855" t="s">
        <v>44700</v>
      </c>
      <c r="U11855" t="s">
        <v>54666</v>
      </c>
      <c r="V11855" t="s">
        <v>58141</v>
      </c>
      <c r="W11855" t="s">
        <v>41556</v>
      </c>
      <c r="X11855" t="s">
        <v>43185</v>
      </c>
    </row>
    <row r="11856" spans="1:24">
      <c r="A11856">
        <f>HYPERLINK("https://www.philgeps.gov.ph/GEPSNONPILOT/Tender/SplashBidNoticeAbstractUI.aspx?menuIndex=3&amp;refID=7056779&amp;Result=3","7056779")</f>
        <v>0</v>
      </c>
      <c r="B11856" t="s">
        <v>3185</v>
      </c>
      <c r="C11856" t="s">
        <v>14736</v>
      </c>
      <c r="D11856" t="s">
        <v>17434</v>
      </c>
      <c r="E11856" t="s">
        <v>27663</v>
      </c>
      <c r="F11856" t="s">
        <v>30052</v>
      </c>
      <c r="G11856" t="s">
        <v>30058</v>
      </c>
      <c r="H11856" t="s">
        <v>30067</v>
      </c>
      <c r="I11856" t="s">
        <v>3693</v>
      </c>
      <c r="J11856" t="s">
        <v>37440</v>
      </c>
      <c r="K11856" t="s">
        <v>39080</v>
      </c>
      <c r="M11856" t="s">
        <v>41070</v>
      </c>
      <c r="N11856" t="s">
        <v>43166</v>
      </c>
      <c r="O11856" t="s">
        <v>43167</v>
      </c>
      <c r="Q11856">
        <v>3</v>
      </c>
      <c r="R11856" t="s">
        <v>43182</v>
      </c>
      <c r="S11856" t="s">
        <v>43800</v>
      </c>
      <c r="T11856" t="s">
        <v>44681</v>
      </c>
      <c r="U11856" t="s">
        <v>54667</v>
      </c>
      <c r="V11856" t="s">
        <v>58139</v>
      </c>
      <c r="W11856" t="s">
        <v>41070</v>
      </c>
      <c r="X11856" t="s">
        <v>43185</v>
      </c>
    </row>
    <row r="11857" spans="1:24">
      <c r="A11857">
        <f>HYPERLINK("https://www.philgeps.gov.ph/GEPSNONPILOT/Tender/SplashBidNoticeAbstractUI.aspx?menuIndex=3&amp;refID=7056273&amp;Result=3","7056273")</f>
        <v>0</v>
      </c>
      <c r="B11857" t="s">
        <v>1056</v>
      </c>
      <c r="C11857" t="s">
        <v>14737</v>
      </c>
      <c r="E11857" t="s">
        <v>27664</v>
      </c>
      <c r="F11857" t="s">
        <v>30052</v>
      </c>
      <c r="G11857" t="s">
        <v>30058</v>
      </c>
      <c r="H11857" t="s">
        <v>30069</v>
      </c>
      <c r="I11857" t="s">
        <v>30138</v>
      </c>
      <c r="J11857" t="s">
        <v>30726</v>
      </c>
      <c r="K11857" t="s">
        <v>39067</v>
      </c>
      <c r="M11857" t="s">
        <v>42798</v>
      </c>
      <c r="N11857" t="s">
        <v>43166</v>
      </c>
      <c r="O11857" t="s">
        <v>43167</v>
      </c>
      <c r="P11857">
        <v>0</v>
      </c>
      <c r="Q11857">
        <v>3</v>
      </c>
      <c r="R11857" t="s">
        <v>43182</v>
      </c>
      <c r="S11857" t="s">
        <v>43789</v>
      </c>
      <c r="T11857" t="s">
        <v>44724</v>
      </c>
      <c r="U11857" t="s">
        <v>54668</v>
      </c>
      <c r="W11857" t="s">
        <v>42798</v>
      </c>
      <c r="X11857" t="s">
        <v>43185</v>
      </c>
    </row>
    <row r="11858" spans="1:24">
      <c r="A11858">
        <f>HYPERLINK("https://www.philgeps.gov.ph/GEPSNONPILOT/Tender/SplashBidNoticeAbstractUI.aspx?menuIndex=3&amp;refID=7056741&amp;Result=3","7056741")</f>
        <v>0</v>
      </c>
      <c r="B11858" t="s">
        <v>2509</v>
      </c>
      <c r="C11858" t="s">
        <v>14738</v>
      </c>
      <c r="D11858" t="s">
        <v>17452</v>
      </c>
      <c r="E11858" t="s">
        <v>27665</v>
      </c>
      <c r="F11858" t="s">
        <v>30052</v>
      </c>
      <c r="G11858" t="s">
        <v>30058</v>
      </c>
      <c r="H11858" t="s">
        <v>15498</v>
      </c>
      <c r="I11858" t="s">
        <v>30124</v>
      </c>
      <c r="J11858" t="s">
        <v>30555</v>
      </c>
      <c r="K11858" t="s">
        <v>39019</v>
      </c>
      <c r="M11858" t="s">
        <v>42014</v>
      </c>
      <c r="N11858" t="s">
        <v>43166</v>
      </c>
      <c r="O11858" t="s">
        <v>43167</v>
      </c>
      <c r="P11858">
        <v>0</v>
      </c>
      <c r="Q11858">
        <v>10</v>
      </c>
      <c r="R11858" t="s">
        <v>43182</v>
      </c>
      <c r="S11858" t="s">
        <v>43789</v>
      </c>
      <c r="T11858" t="s">
        <v>44764</v>
      </c>
      <c r="U11858" t="s">
        <v>54669</v>
      </c>
      <c r="V11858" t="s">
        <v>58142</v>
      </c>
      <c r="W11858" t="s">
        <v>42014</v>
      </c>
      <c r="X11858" t="s">
        <v>43185</v>
      </c>
    </row>
    <row r="11859" spans="1:24">
      <c r="A11859">
        <f>HYPERLINK("https://www.philgeps.gov.ph/GEPSNONPILOT/Tender/SplashBidNoticeAbstractUI.aspx?menuIndex=3&amp;refID=7056694&amp;Result=3","7056694")</f>
        <v>0</v>
      </c>
      <c r="B11859" t="s">
        <v>910</v>
      </c>
      <c r="C11859" t="s">
        <v>14739</v>
      </c>
      <c r="D11859" t="s">
        <v>17427</v>
      </c>
      <c r="E11859" t="s">
        <v>27666</v>
      </c>
      <c r="F11859" t="s">
        <v>30052</v>
      </c>
      <c r="G11859" t="s">
        <v>30058</v>
      </c>
      <c r="H11859" t="s">
        <v>15498</v>
      </c>
      <c r="I11859" t="s">
        <v>30084</v>
      </c>
      <c r="J11859" t="s">
        <v>37441</v>
      </c>
      <c r="K11859" t="s">
        <v>39057</v>
      </c>
      <c r="M11859" t="s">
        <v>41159</v>
      </c>
      <c r="N11859" t="s">
        <v>43166</v>
      </c>
      <c r="O11859" t="s">
        <v>43167</v>
      </c>
      <c r="P11859">
        <v>0</v>
      </c>
      <c r="Q11859">
        <v>10</v>
      </c>
      <c r="R11859" t="s">
        <v>43182</v>
      </c>
      <c r="S11859" t="s">
        <v>43789</v>
      </c>
      <c r="T11859" t="s">
        <v>44780</v>
      </c>
      <c r="U11859" t="s">
        <v>54670</v>
      </c>
      <c r="W11859" t="s">
        <v>41159</v>
      </c>
      <c r="X11859" t="s">
        <v>43185</v>
      </c>
    </row>
    <row r="11860" spans="1:24">
      <c r="A11860">
        <f>HYPERLINK("https://www.philgeps.gov.ph/GEPSNONPILOT/Tender/SplashBidNoticeAbstractUI.aspx?menuIndex=3&amp;refID=7056631&amp;Result=3","7056631")</f>
        <v>0</v>
      </c>
      <c r="B11860" t="s">
        <v>2040</v>
      </c>
      <c r="C11860" t="s">
        <v>14740</v>
      </c>
      <c r="D11860" t="s">
        <v>17496</v>
      </c>
      <c r="E11860" t="s">
        <v>25313</v>
      </c>
      <c r="F11860" t="s">
        <v>30052</v>
      </c>
      <c r="G11860" t="s">
        <v>30058</v>
      </c>
      <c r="H11860" t="s">
        <v>15498</v>
      </c>
      <c r="I11860" t="s">
        <v>30083</v>
      </c>
      <c r="J11860" t="s">
        <v>36747</v>
      </c>
      <c r="K11860" t="s">
        <v>39026</v>
      </c>
      <c r="M11860" t="s">
        <v>41491</v>
      </c>
      <c r="N11860" t="s">
        <v>43166</v>
      </c>
      <c r="O11860" t="s">
        <v>43167</v>
      </c>
      <c r="P11860">
        <v>0</v>
      </c>
      <c r="Q11860">
        <v>1</v>
      </c>
      <c r="R11860" t="s">
        <v>43182</v>
      </c>
      <c r="S11860" t="s">
        <v>43789</v>
      </c>
      <c r="T11860" t="s">
        <v>44718</v>
      </c>
      <c r="U11860" t="s">
        <v>53664</v>
      </c>
      <c r="W11860" t="s">
        <v>41491</v>
      </c>
      <c r="X11860" t="s">
        <v>43185</v>
      </c>
    </row>
    <row r="11861" spans="1:24">
      <c r="A11861">
        <f>HYPERLINK("https://www.philgeps.gov.ph/GEPSNONPILOT/Tender/SplashBidNoticeAbstractUI.aspx?menuIndex=3&amp;refID=7056783&amp;Result=3","7056783")</f>
        <v>0</v>
      </c>
      <c r="B11861" t="s">
        <v>684</v>
      </c>
      <c r="C11861" t="s">
        <v>14741</v>
      </c>
      <c r="D11861" t="s">
        <v>17499</v>
      </c>
      <c r="E11861" t="s">
        <v>27667</v>
      </c>
      <c r="F11861" t="s">
        <v>30052</v>
      </c>
      <c r="G11861" t="s">
        <v>30058</v>
      </c>
      <c r="H11861" t="s">
        <v>30067</v>
      </c>
      <c r="I11861" t="s">
        <v>3693</v>
      </c>
      <c r="J11861" t="s">
        <v>37442</v>
      </c>
      <c r="K11861" t="s">
        <v>39023</v>
      </c>
      <c r="M11861" t="s">
        <v>42537</v>
      </c>
      <c r="N11861" t="s">
        <v>43166</v>
      </c>
      <c r="O11861" t="s">
        <v>43167</v>
      </c>
      <c r="Q11861">
        <v>4</v>
      </c>
      <c r="R11861" t="s">
        <v>43182</v>
      </c>
      <c r="S11861" t="s">
        <v>43801</v>
      </c>
      <c r="T11861" t="s">
        <v>44802</v>
      </c>
      <c r="U11861" t="s">
        <v>54671</v>
      </c>
      <c r="W11861" t="s">
        <v>42537</v>
      </c>
      <c r="X11861" t="s">
        <v>43185</v>
      </c>
    </row>
    <row r="11862" spans="1:24">
      <c r="A11862">
        <f>HYPERLINK("https://www.philgeps.gov.ph/GEPSNONPILOT/Tender/SplashBidNoticeAbstractUI.aspx?menuIndex=3&amp;refID=7056611&amp;Result=3","7056611")</f>
        <v>0</v>
      </c>
      <c r="B11862" t="s">
        <v>53</v>
      </c>
      <c r="C11862" t="s">
        <v>14742</v>
      </c>
      <c r="D11862" t="s">
        <v>17436</v>
      </c>
      <c r="E11862" t="s">
        <v>27668</v>
      </c>
      <c r="F11862" t="s">
        <v>30052</v>
      </c>
      <c r="G11862" t="s">
        <v>30058</v>
      </c>
      <c r="H11862" t="s">
        <v>30067</v>
      </c>
      <c r="I11862" t="s">
        <v>3693</v>
      </c>
      <c r="J11862" t="s">
        <v>32177</v>
      </c>
      <c r="K11862" t="s">
        <v>39022</v>
      </c>
      <c r="M11862" t="s">
        <v>39342</v>
      </c>
      <c r="N11862" t="s">
        <v>43166</v>
      </c>
      <c r="O11862" t="s">
        <v>43167</v>
      </c>
      <c r="P11862">
        <v>0</v>
      </c>
      <c r="Q11862">
        <v>0</v>
      </c>
      <c r="R11862" t="s">
        <v>43182</v>
      </c>
      <c r="S11862" t="s">
        <v>43789</v>
      </c>
      <c r="T11862" t="s">
        <v>44706</v>
      </c>
      <c r="U11862" t="s">
        <v>54672</v>
      </c>
      <c r="W11862" t="s">
        <v>58588</v>
      </c>
      <c r="X11862" t="s">
        <v>43185</v>
      </c>
    </row>
    <row r="11863" spans="1:24">
      <c r="A11863">
        <f>HYPERLINK("https://www.philgeps.gov.ph/GEPSNONPILOT/Tender/SplashBidNoticeAbstractUI.aspx?menuIndex=3&amp;refID=7056582&amp;Result=3","7056582")</f>
        <v>0</v>
      </c>
      <c r="B11863" t="s">
        <v>53</v>
      </c>
      <c r="C11863" t="s">
        <v>14743</v>
      </c>
      <c r="D11863" t="s">
        <v>17436</v>
      </c>
      <c r="E11863" t="s">
        <v>27669</v>
      </c>
      <c r="F11863" t="s">
        <v>30052</v>
      </c>
      <c r="G11863" t="s">
        <v>30058</v>
      </c>
      <c r="H11863" t="s">
        <v>30067</v>
      </c>
      <c r="I11863" t="s">
        <v>3693</v>
      </c>
      <c r="J11863" t="s">
        <v>37443</v>
      </c>
      <c r="K11863" t="s">
        <v>39266</v>
      </c>
      <c r="M11863" t="s">
        <v>39342</v>
      </c>
      <c r="N11863" t="s">
        <v>43166</v>
      </c>
      <c r="O11863" t="s">
        <v>43167</v>
      </c>
      <c r="Q11863">
        <v>0</v>
      </c>
      <c r="R11863" t="s">
        <v>43182</v>
      </c>
      <c r="S11863" t="s">
        <v>43802</v>
      </c>
      <c r="T11863" t="s">
        <v>44706</v>
      </c>
      <c r="U11863" t="s">
        <v>54673</v>
      </c>
      <c r="W11863" t="s">
        <v>58588</v>
      </c>
      <c r="X11863" t="s">
        <v>43185</v>
      </c>
    </row>
    <row r="11864" spans="1:24">
      <c r="A11864">
        <f>HYPERLINK("https://www.philgeps.gov.ph/GEPSNONPILOT/Tender/SplashBidNoticeAbstractUI.aspx?menuIndex=3&amp;refID=7056544&amp;Result=3","7056544")</f>
        <v>0</v>
      </c>
      <c r="B11864" t="s">
        <v>3180</v>
      </c>
      <c r="C11864" t="s">
        <v>14744</v>
      </c>
      <c r="D11864" t="s">
        <v>17437</v>
      </c>
      <c r="E11864" t="s">
        <v>27670</v>
      </c>
      <c r="F11864" t="s">
        <v>30052</v>
      </c>
      <c r="G11864" t="s">
        <v>30058</v>
      </c>
      <c r="H11864" t="s">
        <v>30067</v>
      </c>
      <c r="I11864" t="s">
        <v>3693</v>
      </c>
      <c r="J11864" t="s">
        <v>37444</v>
      </c>
      <c r="K11864" t="s">
        <v>39023</v>
      </c>
      <c r="M11864" t="s">
        <v>42791</v>
      </c>
      <c r="N11864" t="s">
        <v>43166</v>
      </c>
      <c r="O11864" t="s">
        <v>43167</v>
      </c>
      <c r="P11864">
        <v>0</v>
      </c>
      <c r="Q11864">
        <v>1</v>
      </c>
      <c r="R11864" t="s">
        <v>43182</v>
      </c>
      <c r="S11864" t="s">
        <v>43789</v>
      </c>
      <c r="T11864" t="s">
        <v>44862</v>
      </c>
      <c r="U11864" t="s">
        <v>54674</v>
      </c>
      <c r="W11864" t="s">
        <v>42791</v>
      </c>
      <c r="X11864" t="s">
        <v>43185</v>
      </c>
    </row>
    <row r="11865" spans="1:24">
      <c r="A11865">
        <f>HYPERLINK("https://www.philgeps.gov.ph/GEPSNONPILOT/Tender/SplashBidNoticeAbstractUI.aspx?menuIndex=3&amp;refID=7056515&amp;Result=3","7056515")</f>
        <v>0</v>
      </c>
      <c r="B11865" t="s">
        <v>3180</v>
      </c>
      <c r="C11865" t="s">
        <v>14745</v>
      </c>
      <c r="D11865" t="s">
        <v>17437</v>
      </c>
      <c r="E11865" t="s">
        <v>27671</v>
      </c>
      <c r="F11865" t="s">
        <v>30052</v>
      </c>
      <c r="G11865" t="s">
        <v>30058</v>
      </c>
      <c r="H11865" t="s">
        <v>30067</v>
      </c>
      <c r="I11865" t="s">
        <v>3693</v>
      </c>
      <c r="J11865" t="s">
        <v>30252</v>
      </c>
      <c r="K11865" t="s">
        <v>39031</v>
      </c>
      <c r="M11865" t="s">
        <v>42791</v>
      </c>
      <c r="N11865" t="s">
        <v>43166</v>
      </c>
      <c r="O11865" t="s">
        <v>43167</v>
      </c>
      <c r="P11865">
        <v>0</v>
      </c>
      <c r="Q11865">
        <v>0</v>
      </c>
      <c r="R11865" t="s">
        <v>43182</v>
      </c>
      <c r="S11865" t="s">
        <v>43789</v>
      </c>
      <c r="T11865" t="s">
        <v>44862</v>
      </c>
      <c r="U11865" t="s">
        <v>54675</v>
      </c>
      <c r="W11865" t="s">
        <v>42791</v>
      </c>
      <c r="X11865" t="s">
        <v>43185</v>
      </c>
    </row>
    <row r="11866" spans="1:24">
      <c r="A11866">
        <f>HYPERLINK("https://www.philgeps.gov.ph/GEPSNONPILOT/Tender/SplashBidNoticeAbstractUI.aspx?menuIndex=3&amp;refID=7054544&amp;Result=3","7054544")</f>
        <v>0</v>
      </c>
      <c r="B11866" t="s">
        <v>98</v>
      </c>
      <c r="C11866" t="s">
        <v>14746</v>
      </c>
      <c r="D11866" t="s">
        <v>17499</v>
      </c>
      <c r="E11866" t="s">
        <v>27672</v>
      </c>
      <c r="F11866" t="s">
        <v>30052</v>
      </c>
      <c r="G11866" t="s">
        <v>30063</v>
      </c>
      <c r="H11866" t="s">
        <v>30067</v>
      </c>
      <c r="I11866" t="s">
        <v>3693</v>
      </c>
      <c r="J11866" t="s">
        <v>32177</v>
      </c>
      <c r="K11866" t="s">
        <v>39025</v>
      </c>
      <c r="L11866" t="s">
        <v>98</v>
      </c>
      <c r="M11866" t="s">
        <v>40536</v>
      </c>
      <c r="N11866" t="s">
        <v>43166</v>
      </c>
      <c r="O11866" t="s">
        <v>43167</v>
      </c>
      <c r="P11866">
        <v>0</v>
      </c>
      <c r="Q11866">
        <v>1</v>
      </c>
      <c r="R11866" t="s">
        <v>43182</v>
      </c>
      <c r="S11866" t="s">
        <v>43789</v>
      </c>
      <c r="T11866" t="s">
        <v>44733</v>
      </c>
      <c r="U11866" t="s">
        <v>54676</v>
      </c>
      <c r="W11866" t="s">
        <v>40536</v>
      </c>
      <c r="X11866" t="s">
        <v>43186</v>
      </c>
    </row>
    <row r="11867" spans="1:24">
      <c r="A11867">
        <f>HYPERLINK("https://www.philgeps.gov.ph/GEPSNONPILOT/Tender/SplashBidNoticeAbstractUI.aspx?menuIndex=3&amp;refID=7056499&amp;Result=3","7056499")</f>
        <v>0</v>
      </c>
      <c r="B11867" t="s">
        <v>3180</v>
      </c>
      <c r="C11867" t="s">
        <v>14747</v>
      </c>
      <c r="D11867" t="s">
        <v>17437</v>
      </c>
      <c r="E11867" t="s">
        <v>27673</v>
      </c>
      <c r="F11867" t="s">
        <v>30052</v>
      </c>
      <c r="G11867" t="s">
        <v>30058</v>
      </c>
      <c r="H11867" t="s">
        <v>30067</v>
      </c>
      <c r="I11867" t="s">
        <v>3693</v>
      </c>
      <c r="J11867" t="s">
        <v>37445</v>
      </c>
      <c r="K11867" t="s">
        <v>39023</v>
      </c>
      <c r="M11867" t="s">
        <v>42791</v>
      </c>
      <c r="N11867" t="s">
        <v>43166</v>
      </c>
      <c r="O11867" t="s">
        <v>43167</v>
      </c>
      <c r="P11867">
        <v>0</v>
      </c>
      <c r="Q11867">
        <v>0</v>
      </c>
      <c r="R11867" t="s">
        <v>43182</v>
      </c>
      <c r="S11867" t="s">
        <v>43789</v>
      </c>
      <c r="T11867" t="s">
        <v>44862</v>
      </c>
      <c r="U11867" t="s">
        <v>54677</v>
      </c>
      <c r="W11867" t="s">
        <v>42791</v>
      </c>
      <c r="X11867" t="s">
        <v>43185</v>
      </c>
    </row>
    <row r="11868" spans="1:24">
      <c r="A11868">
        <f>HYPERLINK("https://www.philgeps.gov.ph/GEPSNONPILOT/Tender/SplashBidNoticeAbstractUI.aspx?menuIndex=3&amp;refID=7056765&amp;Result=3","7056765")</f>
        <v>0</v>
      </c>
      <c r="B11868" t="s">
        <v>266</v>
      </c>
      <c r="C11868" t="s">
        <v>14748</v>
      </c>
      <c r="D11868" t="s">
        <v>17466</v>
      </c>
      <c r="E11868" t="s">
        <v>27674</v>
      </c>
      <c r="F11868" t="s">
        <v>30052</v>
      </c>
      <c r="G11868" t="s">
        <v>30058</v>
      </c>
      <c r="H11868" t="s">
        <v>30067</v>
      </c>
      <c r="I11868" t="s">
        <v>3693</v>
      </c>
      <c r="J11868" t="s">
        <v>32072</v>
      </c>
      <c r="K11868" t="s">
        <v>39025</v>
      </c>
      <c r="M11868" t="s">
        <v>39558</v>
      </c>
      <c r="N11868" t="s">
        <v>43166</v>
      </c>
      <c r="O11868" t="s">
        <v>43167</v>
      </c>
      <c r="P11868">
        <v>0</v>
      </c>
      <c r="Q11868">
        <v>2</v>
      </c>
      <c r="R11868" t="s">
        <v>43182</v>
      </c>
      <c r="S11868" t="s">
        <v>43789</v>
      </c>
      <c r="T11868" t="s">
        <v>44681</v>
      </c>
      <c r="U11868" t="s">
        <v>54678</v>
      </c>
      <c r="W11868" t="s">
        <v>39558</v>
      </c>
      <c r="X11868" t="s">
        <v>43185</v>
      </c>
    </row>
    <row r="11869" spans="1:24">
      <c r="A11869">
        <f>HYPERLINK("https://www.philgeps.gov.ph/GEPSNONPILOT/Tender/SplashBidNoticeAbstractUI.aspx?menuIndex=3&amp;refID=7056531&amp;Result=3","7056531")</f>
        <v>0</v>
      </c>
      <c r="B11869" t="s">
        <v>53</v>
      </c>
      <c r="C11869" t="s">
        <v>14749</v>
      </c>
      <c r="D11869" t="s">
        <v>17436</v>
      </c>
      <c r="E11869" t="s">
        <v>27675</v>
      </c>
      <c r="F11869" t="s">
        <v>30052</v>
      </c>
      <c r="G11869" t="s">
        <v>30058</v>
      </c>
      <c r="H11869" t="s">
        <v>30067</v>
      </c>
      <c r="I11869" t="s">
        <v>3693</v>
      </c>
      <c r="J11869" t="s">
        <v>37446</v>
      </c>
      <c r="K11869" t="s">
        <v>39163</v>
      </c>
      <c r="M11869" t="s">
        <v>39342</v>
      </c>
      <c r="N11869" t="s">
        <v>43166</v>
      </c>
      <c r="O11869" t="s">
        <v>43167</v>
      </c>
      <c r="P11869">
        <v>0</v>
      </c>
      <c r="Q11869">
        <v>0</v>
      </c>
      <c r="R11869" t="s">
        <v>43182</v>
      </c>
      <c r="S11869" t="s">
        <v>43789</v>
      </c>
      <c r="T11869" t="s">
        <v>44706</v>
      </c>
      <c r="U11869" t="s">
        <v>54679</v>
      </c>
      <c r="W11869" t="s">
        <v>58588</v>
      </c>
      <c r="X11869" t="s">
        <v>43185</v>
      </c>
    </row>
    <row r="11870" spans="1:24">
      <c r="A11870">
        <f>HYPERLINK("https://www.philgeps.gov.ph/GEPSNONPILOT/Tender/SplashBidNoticeAbstractUI.aspx?menuIndex=3&amp;refID=7056422&amp;Result=3","7056422")</f>
        <v>0</v>
      </c>
      <c r="B11870" t="s">
        <v>3180</v>
      </c>
      <c r="C11870" t="s">
        <v>14750</v>
      </c>
      <c r="D11870" t="s">
        <v>17437</v>
      </c>
      <c r="E11870" t="s">
        <v>27676</v>
      </c>
      <c r="F11870" t="s">
        <v>30052</v>
      </c>
      <c r="G11870" t="s">
        <v>30058</v>
      </c>
      <c r="H11870" t="s">
        <v>30067</v>
      </c>
      <c r="I11870" t="s">
        <v>3693</v>
      </c>
      <c r="J11870" t="s">
        <v>31198</v>
      </c>
      <c r="K11870" t="s">
        <v>39031</v>
      </c>
      <c r="M11870" t="s">
        <v>42791</v>
      </c>
      <c r="N11870" t="s">
        <v>43166</v>
      </c>
      <c r="O11870" t="s">
        <v>43167</v>
      </c>
      <c r="P11870">
        <v>0</v>
      </c>
      <c r="Q11870">
        <v>1</v>
      </c>
      <c r="R11870" t="s">
        <v>43182</v>
      </c>
      <c r="S11870" t="s">
        <v>43789</v>
      </c>
      <c r="T11870" t="s">
        <v>44862</v>
      </c>
      <c r="U11870" t="s">
        <v>54680</v>
      </c>
      <c r="W11870" t="s">
        <v>42791</v>
      </c>
      <c r="X11870" t="s">
        <v>43185</v>
      </c>
    </row>
    <row r="11871" spans="1:24">
      <c r="A11871">
        <f>HYPERLINK("https://www.philgeps.gov.ph/GEPSNONPILOT/Tender/SplashBidNoticeAbstractUI.aspx?menuIndex=3&amp;refID=7056132&amp;Result=3","7056132")</f>
        <v>0</v>
      </c>
      <c r="B11871" t="s">
        <v>3186</v>
      </c>
      <c r="C11871" t="s">
        <v>14751</v>
      </c>
      <c r="D11871" t="s">
        <v>17431</v>
      </c>
      <c r="E11871" t="s">
        <v>17554</v>
      </c>
      <c r="F11871" t="s">
        <v>30052</v>
      </c>
      <c r="G11871" t="s">
        <v>30058</v>
      </c>
      <c r="H11871" t="s">
        <v>30067</v>
      </c>
      <c r="I11871" t="s">
        <v>3693</v>
      </c>
      <c r="J11871" t="s">
        <v>37447</v>
      </c>
      <c r="K11871" t="s">
        <v>39025</v>
      </c>
      <c r="M11871" t="s">
        <v>42799</v>
      </c>
      <c r="N11871" t="s">
        <v>43166</v>
      </c>
      <c r="O11871" t="s">
        <v>43167</v>
      </c>
      <c r="P11871">
        <v>0</v>
      </c>
      <c r="Q11871">
        <v>0</v>
      </c>
      <c r="R11871" t="s">
        <v>43182</v>
      </c>
      <c r="S11871" t="s">
        <v>43789</v>
      </c>
      <c r="T11871" t="s">
        <v>44724</v>
      </c>
      <c r="U11871" t="s">
        <v>54681</v>
      </c>
      <c r="W11871" t="s">
        <v>42799</v>
      </c>
      <c r="X11871" t="s">
        <v>43185</v>
      </c>
    </row>
    <row r="11872" spans="1:24">
      <c r="A11872">
        <f>HYPERLINK("https://www.philgeps.gov.ph/GEPSNONPILOT/Tender/SplashBidNoticeAbstractUI.aspx?menuIndex=3&amp;refID=7056822&amp;Result=3","7056822")</f>
        <v>0</v>
      </c>
      <c r="B11872" t="s">
        <v>680</v>
      </c>
      <c r="C11872" t="s">
        <v>14752</v>
      </c>
      <c r="D11872" t="s">
        <v>17424</v>
      </c>
      <c r="E11872" t="s">
        <v>27677</v>
      </c>
      <c r="F11872" t="s">
        <v>30052</v>
      </c>
      <c r="G11872" t="s">
        <v>30058</v>
      </c>
      <c r="H11872" t="s">
        <v>30067</v>
      </c>
      <c r="I11872" t="s">
        <v>3693</v>
      </c>
      <c r="J11872" t="s">
        <v>30281</v>
      </c>
      <c r="K11872" t="s">
        <v>39118</v>
      </c>
      <c r="M11872" t="s">
        <v>39986</v>
      </c>
      <c r="N11872" t="s">
        <v>43166</v>
      </c>
      <c r="O11872" t="s">
        <v>43167</v>
      </c>
      <c r="P11872">
        <v>0</v>
      </c>
      <c r="Q11872">
        <v>15</v>
      </c>
      <c r="R11872" t="s">
        <v>43182</v>
      </c>
      <c r="S11872" t="s">
        <v>43789</v>
      </c>
      <c r="T11872" t="s">
        <v>44704</v>
      </c>
      <c r="U11872" t="s">
        <v>54682</v>
      </c>
      <c r="W11872" t="s">
        <v>39986</v>
      </c>
      <c r="X11872" t="s">
        <v>43185</v>
      </c>
    </row>
    <row r="11873" spans="1:24">
      <c r="A11873">
        <f>HYPERLINK("https://www.philgeps.gov.ph/GEPSNONPILOT/Tender/SplashBidNoticeAbstractUI.aspx?menuIndex=3&amp;refID=7056884&amp;Result=3","7056884")</f>
        <v>0</v>
      </c>
      <c r="B11873" t="s">
        <v>972</v>
      </c>
      <c r="C11873" t="s">
        <v>14753</v>
      </c>
      <c r="D11873" t="s">
        <v>17454</v>
      </c>
      <c r="E11873" t="s">
        <v>27678</v>
      </c>
      <c r="F11873" t="s">
        <v>30052</v>
      </c>
      <c r="G11873" t="s">
        <v>30058</v>
      </c>
      <c r="H11873" t="s">
        <v>30067</v>
      </c>
      <c r="I11873" t="s">
        <v>3693</v>
      </c>
      <c r="J11873" t="s">
        <v>37448</v>
      </c>
      <c r="K11873" t="s">
        <v>39031</v>
      </c>
      <c r="M11873" t="s">
        <v>40299</v>
      </c>
      <c r="N11873" t="s">
        <v>43166</v>
      </c>
      <c r="O11873" t="s">
        <v>43167</v>
      </c>
      <c r="P11873">
        <v>0</v>
      </c>
      <c r="Q11873">
        <v>0</v>
      </c>
      <c r="R11873" t="s">
        <v>43182</v>
      </c>
      <c r="S11873" t="s">
        <v>43789</v>
      </c>
      <c r="T11873" t="s">
        <v>44733</v>
      </c>
      <c r="U11873" t="s">
        <v>54683</v>
      </c>
      <c r="W11873" t="s">
        <v>40299</v>
      </c>
      <c r="X11873" t="s">
        <v>43185</v>
      </c>
    </row>
    <row r="11874" spans="1:24">
      <c r="A11874">
        <f>HYPERLINK("https://www.philgeps.gov.ph/GEPSNONPILOT/Tender/SplashBidNoticeAbstractUI.aspx?menuIndex=3&amp;refID=7057257&amp;Result=3","7057257")</f>
        <v>0</v>
      </c>
      <c r="B11874" t="s">
        <v>2889</v>
      </c>
      <c r="C11874" t="s">
        <v>14754</v>
      </c>
      <c r="D11874" t="s">
        <v>17459</v>
      </c>
      <c r="E11874" t="s">
        <v>18384</v>
      </c>
      <c r="F11874" t="s">
        <v>30052</v>
      </c>
      <c r="G11874" t="s">
        <v>30058</v>
      </c>
      <c r="H11874" t="s">
        <v>30067</v>
      </c>
      <c r="I11874" t="s">
        <v>3693</v>
      </c>
      <c r="J11874" t="s">
        <v>37449</v>
      </c>
      <c r="K11874" t="s">
        <v>39267</v>
      </c>
      <c r="M11874" t="s">
        <v>42440</v>
      </c>
      <c r="N11874" t="s">
        <v>43166</v>
      </c>
      <c r="O11874" t="s">
        <v>43167</v>
      </c>
      <c r="P11874">
        <v>0</v>
      </c>
      <c r="Q11874">
        <v>7</v>
      </c>
      <c r="R11874" t="s">
        <v>43182</v>
      </c>
      <c r="S11874" t="s">
        <v>43789</v>
      </c>
      <c r="T11874" t="s">
        <v>44796</v>
      </c>
      <c r="U11874" t="s">
        <v>54684</v>
      </c>
      <c r="W11874" t="s">
        <v>42440</v>
      </c>
      <c r="X11874" t="s">
        <v>43185</v>
      </c>
    </row>
    <row r="11875" spans="1:24">
      <c r="A11875">
        <f>HYPERLINK("https://www.philgeps.gov.ph/GEPSNONPILOT/Tender/SplashBidNoticeAbstractUI.aspx?menuIndex=3&amp;refID=7057235&amp;Result=3","7057235")</f>
        <v>0</v>
      </c>
      <c r="B11875" t="s">
        <v>1500</v>
      </c>
      <c r="C11875" t="s">
        <v>14755</v>
      </c>
      <c r="D11875" t="s">
        <v>17462</v>
      </c>
      <c r="E11875" t="s">
        <v>18308</v>
      </c>
      <c r="F11875" t="s">
        <v>30052</v>
      </c>
      <c r="G11875" t="s">
        <v>30058</v>
      </c>
      <c r="H11875" t="s">
        <v>15498</v>
      </c>
      <c r="I11875" t="s">
        <v>3606</v>
      </c>
      <c r="J11875" t="s">
        <v>37450</v>
      </c>
      <c r="K11875" t="s">
        <v>39023</v>
      </c>
      <c r="M11875" t="s">
        <v>40884</v>
      </c>
      <c r="N11875" t="s">
        <v>43166</v>
      </c>
      <c r="O11875" t="s">
        <v>43167</v>
      </c>
      <c r="P11875">
        <v>0</v>
      </c>
      <c r="Q11875">
        <v>12</v>
      </c>
      <c r="R11875" t="s">
        <v>43182</v>
      </c>
      <c r="S11875" t="s">
        <v>43789</v>
      </c>
      <c r="T11875" t="s">
        <v>44881</v>
      </c>
      <c r="U11875" t="s">
        <v>54685</v>
      </c>
      <c r="W11875" t="s">
        <v>40884</v>
      </c>
      <c r="X11875" t="s">
        <v>43185</v>
      </c>
    </row>
    <row r="11876" spans="1:24">
      <c r="A11876">
        <f>HYPERLINK("https://www.philgeps.gov.ph/GEPSNONPILOT/Tender/SplashBidNoticeAbstractUI.aspx?menuIndex=3&amp;refID=7056450&amp;Result=3","7056450")</f>
        <v>0</v>
      </c>
      <c r="B11876" t="s">
        <v>1372</v>
      </c>
      <c r="C11876" t="s">
        <v>14756</v>
      </c>
      <c r="D11876" t="s">
        <v>17424</v>
      </c>
      <c r="E11876" t="s">
        <v>27679</v>
      </c>
      <c r="F11876" t="s">
        <v>30052</v>
      </c>
      <c r="G11876" t="s">
        <v>30058</v>
      </c>
      <c r="H11876" t="s">
        <v>30067</v>
      </c>
      <c r="I11876" t="s">
        <v>3693</v>
      </c>
      <c r="J11876" t="s">
        <v>37451</v>
      </c>
      <c r="K11876" t="s">
        <v>39022</v>
      </c>
      <c r="M11876" t="s">
        <v>40744</v>
      </c>
      <c r="N11876" t="s">
        <v>43166</v>
      </c>
      <c r="O11876" t="s">
        <v>43167</v>
      </c>
      <c r="P11876">
        <v>0</v>
      </c>
      <c r="Q11876">
        <v>7</v>
      </c>
      <c r="R11876" t="s">
        <v>43182</v>
      </c>
      <c r="S11876" t="s">
        <v>43789</v>
      </c>
      <c r="T11876" t="s">
        <v>44681</v>
      </c>
      <c r="U11876" t="s">
        <v>48264</v>
      </c>
      <c r="W11876" t="s">
        <v>40744</v>
      </c>
      <c r="X11876" t="s">
        <v>43185</v>
      </c>
    </row>
    <row r="11877" spans="1:24">
      <c r="A11877">
        <f>HYPERLINK("https://www.philgeps.gov.ph/GEPSNONPILOT/Tender/SplashBidNoticeAbstractUI.aspx?menuIndex=3&amp;refID=7057226&amp;Result=3","7057226")</f>
        <v>0</v>
      </c>
      <c r="B11877" t="s">
        <v>1371</v>
      </c>
      <c r="C11877" t="s">
        <v>14757</v>
      </c>
      <c r="D11877" t="s">
        <v>17415</v>
      </c>
      <c r="E11877" t="s">
        <v>17843</v>
      </c>
      <c r="F11877" t="s">
        <v>30055</v>
      </c>
      <c r="G11877" t="s">
        <v>30058</v>
      </c>
      <c r="H11877" t="s">
        <v>15498</v>
      </c>
      <c r="I11877" t="s">
        <v>30125</v>
      </c>
      <c r="J11877" t="s">
        <v>30252</v>
      </c>
      <c r="K11877" t="s">
        <v>39029</v>
      </c>
      <c r="M11877" t="s">
        <v>40743</v>
      </c>
      <c r="N11877" t="s">
        <v>43166</v>
      </c>
      <c r="O11877" t="s">
        <v>43167</v>
      </c>
      <c r="P11877">
        <v>0</v>
      </c>
      <c r="Q11877">
        <v>4</v>
      </c>
      <c r="R11877" t="s">
        <v>43182</v>
      </c>
      <c r="S11877" t="s">
        <v>43789</v>
      </c>
      <c r="T11877" t="s">
        <v>45163</v>
      </c>
      <c r="U11877" t="s">
        <v>54686</v>
      </c>
      <c r="W11877" t="s">
        <v>40743</v>
      </c>
      <c r="X11877" t="s">
        <v>43185</v>
      </c>
    </row>
    <row r="11878" spans="1:24">
      <c r="A11878">
        <f>HYPERLINK("https://www.philgeps.gov.ph/GEPSNONPILOT/Tender/SplashBidNoticeAbstractUI.aspx?menuIndex=3&amp;refID=7056479&amp;Result=3","7056479")</f>
        <v>0</v>
      </c>
      <c r="B11878" t="s">
        <v>3180</v>
      </c>
      <c r="C11878" t="s">
        <v>14758</v>
      </c>
      <c r="D11878" t="s">
        <v>17437</v>
      </c>
      <c r="E11878" t="s">
        <v>27680</v>
      </c>
      <c r="F11878" t="s">
        <v>30052</v>
      </c>
      <c r="G11878" t="s">
        <v>30058</v>
      </c>
      <c r="H11878" t="s">
        <v>30067</v>
      </c>
      <c r="I11878" t="s">
        <v>3693</v>
      </c>
      <c r="J11878" t="s">
        <v>30222</v>
      </c>
      <c r="K11878" t="s">
        <v>39031</v>
      </c>
      <c r="M11878" t="s">
        <v>42791</v>
      </c>
      <c r="N11878" t="s">
        <v>43166</v>
      </c>
      <c r="O11878" t="s">
        <v>43167</v>
      </c>
      <c r="P11878">
        <v>0</v>
      </c>
      <c r="Q11878">
        <v>1</v>
      </c>
      <c r="R11878" t="s">
        <v>43182</v>
      </c>
      <c r="S11878" t="s">
        <v>43789</v>
      </c>
      <c r="T11878" t="s">
        <v>44862</v>
      </c>
      <c r="U11878" t="s">
        <v>54687</v>
      </c>
      <c r="W11878" t="s">
        <v>42791</v>
      </c>
      <c r="X11878" t="s">
        <v>43185</v>
      </c>
    </row>
    <row r="11879" spans="1:24">
      <c r="A11879">
        <f>HYPERLINK("https://www.philgeps.gov.ph/GEPSNONPILOT/Tender/SplashBidNoticeAbstractUI.aspx?menuIndex=3&amp;refID=7054010&amp;Result=3","7054010")</f>
        <v>0</v>
      </c>
      <c r="B11879" t="s">
        <v>2582</v>
      </c>
      <c r="C11879" t="s">
        <v>14759</v>
      </c>
      <c r="D11879" t="s">
        <v>17439</v>
      </c>
      <c r="E11879" t="s">
        <v>27681</v>
      </c>
      <c r="F11879" t="s">
        <v>30052</v>
      </c>
      <c r="G11879" t="s">
        <v>30058</v>
      </c>
      <c r="H11879" t="s">
        <v>30067</v>
      </c>
      <c r="I11879" t="s">
        <v>3693</v>
      </c>
      <c r="J11879" t="s">
        <v>31207</v>
      </c>
      <c r="K11879" t="s">
        <v>39057</v>
      </c>
      <c r="L11879" t="s">
        <v>2582</v>
      </c>
      <c r="M11879" t="s">
        <v>42092</v>
      </c>
      <c r="N11879" t="s">
        <v>43166</v>
      </c>
      <c r="O11879" t="s">
        <v>43167</v>
      </c>
      <c r="Q11879">
        <v>1</v>
      </c>
      <c r="R11879" t="s">
        <v>43182</v>
      </c>
      <c r="S11879" t="s">
        <v>43803</v>
      </c>
      <c r="T11879" t="s">
        <v>44681</v>
      </c>
      <c r="U11879" t="s">
        <v>52064</v>
      </c>
      <c r="V11879" t="s">
        <v>57726</v>
      </c>
      <c r="W11879" t="s">
        <v>42092</v>
      </c>
      <c r="X11879" t="s">
        <v>43186</v>
      </c>
    </row>
    <row r="11880" spans="1:24">
      <c r="A11880">
        <f>HYPERLINK("https://www.philgeps.gov.ph/GEPSNONPILOT/Tender/SplashBidNoticeAbstractUI.aspx?menuIndex=3&amp;refID=7057227&amp;Result=3","7057227")</f>
        <v>0</v>
      </c>
      <c r="B11880" t="s">
        <v>2889</v>
      </c>
      <c r="C11880" t="s">
        <v>14760</v>
      </c>
      <c r="D11880" t="s">
        <v>17459</v>
      </c>
      <c r="E11880" t="s">
        <v>18380</v>
      </c>
      <c r="F11880" t="s">
        <v>30052</v>
      </c>
      <c r="G11880" t="s">
        <v>30058</v>
      </c>
      <c r="H11880" t="s">
        <v>30067</v>
      </c>
      <c r="I11880" t="s">
        <v>3693</v>
      </c>
      <c r="J11880" t="s">
        <v>37452</v>
      </c>
      <c r="K11880" t="s">
        <v>39267</v>
      </c>
      <c r="M11880" t="s">
        <v>42440</v>
      </c>
      <c r="N11880" t="s">
        <v>43166</v>
      </c>
      <c r="O11880" t="s">
        <v>43167</v>
      </c>
      <c r="P11880">
        <v>0</v>
      </c>
      <c r="Q11880">
        <v>7</v>
      </c>
      <c r="R11880" t="s">
        <v>43182</v>
      </c>
      <c r="S11880" t="s">
        <v>43789</v>
      </c>
      <c r="T11880" t="s">
        <v>44796</v>
      </c>
      <c r="U11880" t="s">
        <v>54684</v>
      </c>
      <c r="W11880" t="s">
        <v>42440</v>
      </c>
      <c r="X11880" t="s">
        <v>43185</v>
      </c>
    </row>
    <row r="11881" spans="1:24">
      <c r="A11881">
        <f>HYPERLINK("https://www.philgeps.gov.ph/GEPSNONPILOT/Tender/SplashBidNoticeAbstractUI.aspx?menuIndex=3&amp;refID=7057177&amp;Result=3","7057177")</f>
        <v>0</v>
      </c>
      <c r="B11881" t="s">
        <v>2889</v>
      </c>
      <c r="C11881" t="s">
        <v>14761</v>
      </c>
      <c r="D11881" t="s">
        <v>17459</v>
      </c>
      <c r="E11881" t="s">
        <v>18370</v>
      </c>
      <c r="F11881" t="s">
        <v>30052</v>
      </c>
      <c r="G11881" t="s">
        <v>30058</v>
      </c>
      <c r="H11881" t="s">
        <v>30067</v>
      </c>
      <c r="I11881" t="s">
        <v>3693</v>
      </c>
      <c r="J11881" t="s">
        <v>37453</v>
      </c>
      <c r="K11881" t="s">
        <v>39268</v>
      </c>
      <c r="M11881" t="s">
        <v>42440</v>
      </c>
      <c r="N11881" t="s">
        <v>43166</v>
      </c>
      <c r="O11881" t="s">
        <v>43167</v>
      </c>
      <c r="Q11881">
        <v>9</v>
      </c>
      <c r="R11881" t="s">
        <v>43182</v>
      </c>
      <c r="S11881" t="s">
        <v>43804</v>
      </c>
      <c r="T11881" t="s">
        <v>44796</v>
      </c>
      <c r="U11881" t="s">
        <v>54684</v>
      </c>
      <c r="W11881" t="s">
        <v>42440</v>
      </c>
      <c r="X11881" t="s">
        <v>43185</v>
      </c>
    </row>
    <row r="11882" spans="1:24">
      <c r="A11882">
        <f>HYPERLINK("https://www.philgeps.gov.ph/GEPSNONPILOT/Tender/SplashBidNoticeAbstractUI.aspx?menuIndex=3&amp;refID=7057133&amp;Result=3","7057133")</f>
        <v>0</v>
      </c>
      <c r="B11882" t="s">
        <v>176</v>
      </c>
      <c r="C11882" t="s">
        <v>14762</v>
      </c>
      <c r="D11882" t="s">
        <v>17427</v>
      </c>
      <c r="E11882" t="s">
        <v>27682</v>
      </c>
      <c r="F11882" t="s">
        <v>30052</v>
      </c>
      <c r="G11882" t="s">
        <v>30058</v>
      </c>
      <c r="H11882" t="s">
        <v>30067</v>
      </c>
      <c r="I11882" t="s">
        <v>3693</v>
      </c>
      <c r="J11882" t="s">
        <v>31207</v>
      </c>
      <c r="K11882" t="s">
        <v>39057</v>
      </c>
      <c r="M11882" t="s">
        <v>39465</v>
      </c>
      <c r="N11882" t="s">
        <v>43166</v>
      </c>
      <c r="O11882" t="s">
        <v>43167</v>
      </c>
      <c r="P11882">
        <v>0</v>
      </c>
      <c r="Q11882">
        <v>0</v>
      </c>
      <c r="R11882" t="s">
        <v>43182</v>
      </c>
      <c r="S11882" t="s">
        <v>43789</v>
      </c>
      <c r="T11882" t="s">
        <v>44681</v>
      </c>
      <c r="U11882" t="s">
        <v>45883</v>
      </c>
      <c r="V11882" t="s">
        <v>58143</v>
      </c>
      <c r="W11882" t="s">
        <v>39465</v>
      </c>
      <c r="X11882" t="s">
        <v>43185</v>
      </c>
    </row>
    <row r="11883" spans="1:24">
      <c r="A11883">
        <f>HYPERLINK("https://www.philgeps.gov.ph/GEPSNONPILOT/Tender/SplashBidNoticeAbstractUI.aspx?menuIndex=3&amp;refID=7056554&amp;Result=3","7056554")</f>
        <v>0</v>
      </c>
      <c r="B11883" t="s">
        <v>2711</v>
      </c>
      <c r="C11883" t="s">
        <v>14763</v>
      </c>
      <c r="D11883" t="s">
        <v>17450</v>
      </c>
      <c r="E11883" t="s">
        <v>27683</v>
      </c>
      <c r="F11883" t="s">
        <v>30052</v>
      </c>
      <c r="G11883" t="s">
        <v>30058</v>
      </c>
      <c r="H11883" t="s">
        <v>15498</v>
      </c>
      <c r="I11883" t="s">
        <v>30083</v>
      </c>
      <c r="J11883" t="s">
        <v>33078</v>
      </c>
      <c r="K11883" t="s">
        <v>39026</v>
      </c>
      <c r="M11883" t="s">
        <v>42236</v>
      </c>
      <c r="N11883" t="s">
        <v>43166</v>
      </c>
      <c r="O11883" t="s">
        <v>43167</v>
      </c>
      <c r="Q11883">
        <v>3</v>
      </c>
      <c r="R11883" t="s">
        <v>43182</v>
      </c>
      <c r="S11883" t="s">
        <v>43805</v>
      </c>
      <c r="T11883" t="s">
        <v>44681</v>
      </c>
      <c r="U11883" t="s">
        <v>54688</v>
      </c>
      <c r="W11883" t="s">
        <v>42236</v>
      </c>
      <c r="X11883" t="s">
        <v>43185</v>
      </c>
    </row>
    <row r="11884" spans="1:24">
      <c r="A11884">
        <f>HYPERLINK("https://www.philgeps.gov.ph/GEPSNONPILOT/Tender/SplashBidNoticeAbstractUI.aspx?menuIndex=3&amp;refID=7057066&amp;Result=3","7057066")</f>
        <v>0</v>
      </c>
      <c r="B11884" t="s">
        <v>229</v>
      </c>
      <c r="C11884" t="s">
        <v>14764</v>
      </c>
      <c r="D11884" t="s">
        <v>17430</v>
      </c>
      <c r="E11884" t="s">
        <v>27684</v>
      </c>
      <c r="F11884" t="s">
        <v>30052</v>
      </c>
      <c r="G11884" t="s">
        <v>30058</v>
      </c>
      <c r="H11884" t="s">
        <v>30067</v>
      </c>
      <c r="I11884" t="s">
        <v>3693</v>
      </c>
      <c r="J11884" t="s">
        <v>37454</v>
      </c>
      <c r="K11884" t="s">
        <v>39249</v>
      </c>
      <c r="M11884" t="s">
        <v>39519</v>
      </c>
      <c r="N11884" t="s">
        <v>43166</v>
      </c>
      <c r="O11884" t="s">
        <v>43167</v>
      </c>
      <c r="P11884">
        <v>0</v>
      </c>
      <c r="Q11884">
        <v>10</v>
      </c>
      <c r="R11884" t="s">
        <v>43182</v>
      </c>
      <c r="S11884" t="s">
        <v>43789</v>
      </c>
      <c r="T11884" t="s">
        <v>44764</v>
      </c>
      <c r="U11884" t="s">
        <v>54689</v>
      </c>
      <c r="W11884" t="s">
        <v>39519</v>
      </c>
      <c r="X11884" t="s">
        <v>43185</v>
      </c>
    </row>
    <row r="11885" spans="1:24">
      <c r="A11885">
        <f>HYPERLINK("https://www.philgeps.gov.ph/GEPSNONPILOT/Tender/SplashBidNoticeAbstractUI.aspx?menuIndex=3&amp;refID=7057061&amp;Result=3","7057061")</f>
        <v>0</v>
      </c>
      <c r="B11885" t="s">
        <v>1673</v>
      </c>
      <c r="C11885" t="s">
        <v>14765</v>
      </c>
      <c r="D11885" t="s">
        <v>17476</v>
      </c>
      <c r="E11885" t="s">
        <v>27685</v>
      </c>
      <c r="F11885" t="s">
        <v>30052</v>
      </c>
      <c r="G11885" t="s">
        <v>30058</v>
      </c>
      <c r="H11885" t="s">
        <v>30067</v>
      </c>
      <c r="I11885" t="s">
        <v>3693</v>
      </c>
      <c r="J11885" t="s">
        <v>37455</v>
      </c>
      <c r="K11885" t="s">
        <v>39020</v>
      </c>
      <c r="M11885" t="s">
        <v>41080</v>
      </c>
      <c r="N11885" t="s">
        <v>43166</v>
      </c>
      <c r="O11885" t="s">
        <v>43167</v>
      </c>
      <c r="P11885">
        <v>0</v>
      </c>
      <c r="Q11885">
        <v>0</v>
      </c>
      <c r="R11885" t="s">
        <v>43182</v>
      </c>
      <c r="S11885" t="s">
        <v>43789</v>
      </c>
      <c r="T11885" t="s">
        <v>44733</v>
      </c>
      <c r="U11885" t="s">
        <v>49083</v>
      </c>
      <c r="V11885" t="s">
        <v>58144</v>
      </c>
      <c r="W11885" t="s">
        <v>41080</v>
      </c>
      <c r="X11885" t="s">
        <v>43185</v>
      </c>
    </row>
    <row r="11886" spans="1:24">
      <c r="A11886">
        <f>HYPERLINK("https://www.philgeps.gov.ph/GEPSNONPILOT/Tender/SplashBidNoticeAbstractUI.aspx?menuIndex=3&amp;refID=7057082&amp;Result=3","7057082")</f>
        <v>0</v>
      </c>
      <c r="B11886" t="s">
        <v>1372</v>
      </c>
      <c r="C11886" t="s">
        <v>14766</v>
      </c>
      <c r="D11886" t="s">
        <v>17424</v>
      </c>
      <c r="E11886" t="s">
        <v>27686</v>
      </c>
      <c r="F11886" t="s">
        <v>30052</v>
      </c>
      <c r="G11886" t="s">
        <v>30058</v>
      </c>
      <c r="H11886" t="s">
        <v>30067</v>
      </c>
      <c r="I11886" t="s">
        <v>3693</v>
      </c>
      <c r="J11886" t="s">
        <v>37456</v>
      </c>
      <c r="K11886" t="s">
        <v>39020</v>
      </c>
      <c r="M11886" t="s">
        <v>40744</v>
      </c>
      <c r="N11886" t="s">
        <v>43166</v>
      </c>
      <c r="O11886" t="s">
        <v>43167</v>
      </c>
      <c r="P11886">
        <v>0</v>
      </c>
      <c r="Q11886">
        <v>8</v>
      </c>
      <c r="R11886" t="s">
        <v>43182</v>
      </c>
      <c r="S11886" t="s">
        <v>43789</v>
      </c>
      <c r="T11886" t="s">
        <v>44681</v>
      </c>
      <c r="U11886" t="s">
        <v>48264</v>
      </c>
      <c r="W11886" t="s">
        <v>40744</v>
      </c>
      <c r="X11886" t="s">
        <v>43185</v>
      </c>
    </row>
    <row r="11887" spans="1:24">
      <c r="A11887">
        <f>HYPERLINK("https://www.philgeps.gov.ph/GEPSNONPILOT/Tender/SplashBidNoticeAbstractUI.aspx?menuIndex=3&amp;refID=7056976&amp;Result=3","7056976")</f>
        <v>0</v>
      </c>
      <c r="B11887" t="s">
        <v>1673</v>
      </c>
      <c r="C11887" t="s">
        <v>14767</v>
      </c>
      <c r="D11887" t="s">
        <v>17476</v>
      </c>
      <c r="E11887" t="s">
        <v>27687</v>
      </c>
      <c r="F11887" t="s">
        <v>30052</v>
      </c>
      <c r="G11887" t="s">
        <v>30058</v>
      </c>
      <c r="H11887" t="s">
        <v>30067</v>
      </c>
      <c r="I11887" t="s">
        <v>3693</v>
      </c>
      <c r="J11887" t="s">
        <v>37457</v>
      </c>
      <c r="K11887" t="s">
        <v>39026</v>
      </c>
      <c r="M11887" t="s">
        <v>41080</v>
      </c>
      <c r="N11887" t="s">
        <v>43166</v>
      </c>
      <c r="O11887" t="s">
        <v>43167</v>
      </c>
      <c r="P11887">
        <v>0</v>
      </c>
      <c r="Q11887">
        <v>0</v>
      </c>
      <c r="R11887" t="s">
        <v>43182</v>
      </c>
      <c r="S11887" t="s">
        <v>43789</v>
      </c>
      <c r="T11887" t="s">
        <v>44733</v>
      </c>
      <c r="U11887" t="s">
        <v>49083</v>
      </c>
      <c r="V11887" t="s">
        <v>58144</v>
      </c>
      <c r="W11887" t="s">
        <v>41080</v>
      </c>
      <c r="X11887" t="s">
        <v>43185</v>
      </c>
    </row>
    <row r="11888" spans="1:24">
      <c r="A11888">
        <f>HYPERLINK("https://www.philgeps.gov.ph/GEPSNONPILOT/Tender/SplashBidNoticeAbstractUI.aspx?menuIndex=3&amp;refID=7056950&amp;Result=3","7056950")</f>
        <v>0</v>
      </c>
      <c r="B11888" t="s">
        <v>684</v>
      </c>
      <c r="C11888" t="s">
        <v>14768</v>
      </c>
      <c r="D11888" t="s">
        <v>17499</v>
      </c>
      <c r="E11888" t="s">
        <v>27688</v>
      </c>
      <c r="F11888" t="s">
        <v>30052</v>
      </c>
      <c r="G11888" t="s">
        <v>30058</v>
      </c>
      <c r="H11888" t="s">
        <v>30067</v>
      </c>
      <c r="I11888" t="s">
        <v>3693</v>
      </c>
      <c r="J11888" t="s">
        <v>37458</v>
      </c>
      <c r="K11888" t="s">
        <v>39031</v>
      </c>
      <c r="M11888" t="s">
        <v>42537</v>
      </c>
      <c r="N11888" t="s">
        <v>43166</v>
      </c>
      <c r="O11888" t="s">
        <v>43167</v>
      </c>
      <c r="Q11888">
        <v>2</v>
      </c>
      <c r="R11888" t="s">
        <v>43182</v>
      </c>
      <c r="S11888" t="s">
        <v>43806</v>
      </c>
      <c r="T11888" t="s">
        <v>44802</v>
      </c>
      <c r="U11888" t="s">
        <v>54690</v>
      </c>
      <c r="W11888" t="s">
        <v>42537</v>
      </c>
      <c r="X11888" t="s">
        <v>43185</v>
      </c>
    </row>
    <row r="11889" spans="1:24">
      <c r="A11889">
        <f>HYPERLINK("https://www.philgeps.gov.ph/GEPSNONPILOT/Tender/SplashBidNoticeAbstractUI.aspx?menuIndex=3&amp;refID=7056888&amp;Result=3","7056888")</f>
        <v>0</v>
      </c>
      <c r="B11889" t="s">
        <v>1673</v>
      </c>
      <c r="C11889" t="s">
        <v>14769</v>
      </c>
      <c r="D11889" t="s">
        <v>17476</v>
      </c>
      <c r="E11889" t="s">
        <v>27689</v>
      </c>
      <c r="F11889" t="s">
        <v>30052</v>
      </c>
      <c r="G11889" t="s">
        <v>30058</v>
      </c>
      <c r="H11889" t="s">
        <v>30067</v>
      </c>
      <c r="I11889" t="s">
        <v>3693</v>
      </c>
      <c r="J11889" t="s">
        <v>37459</v>
      </c>
      <c r="K11889" t="s">
        <v>39069</v>
      </c>
      <c r="M11889" t="s">
        <v>41080</v>
      </c>
      <c r="N11889" t="s">
        <v>43166</v>
      </c>
      <c r="O11889" t="s">
        <v>43167</v>
      </c>
      <c r="P11889">
        <v>0</v>
      </c>
      <c r="Q11889">
        <v>0</v>
      </c>
      <c r="R11889" t="s">
        <v>43182</v>
      </c>
      <c r="S11889" t="s">
        <v>43789</v>
      </c>
      <c r="T11889" t="s">
        <v>44733</v>
      </c>
      <c r="U11889" t="s">
        <v>49083</v>
      </c>
      <c r="V11889" t="s">
        <v>58144</v>
      </c>
      <c r="W11889" t="s">
        <v>41080</v>
      </c>
      <c r="X11889" t="s">
        <v>43185</v>
      </c>
    </row>
    <row r="11890" spans="1:24">
      <c r="A11890">
        <f>HYPERLINK("https://www.philgeps.gov.ph/GEPSNONPILOT/Tender/SplashBidNoticeAbstractUI.aspx?menuIndex=3&amp;refID=7057008&amp;Result=3","7057008")</f>
        <v>0</v>
      </c>
      <c r="B11890" t="s">
        <v>2009</v>
      </c>
      <c r="C11890" t="s">
        <v>14770</v>
      </c>
      <c r="D11890" t="s">
        <v>17413</v>
      </c>
      <c r="E11890" t="s">
        <v>27690</v>
      </c>
      <c r="F11890" t="s">
        <v>30052</v>
      </c>
      <c r="G11890" t="s">
        <v>30058</v>
      </c>
      <c r="H11890" t="s">
        <v>15498</v>
      </c>
      <c r="I11890" t="s">
        <v>30091</v>
      </c>
      <c r="J11890" t="s">
        <v>37460</v>
      </c>
      <c r="K11890" t="s">
        <v>39029</v>
      </c>
      <c r="M11890" t="s">
        <v>41453</v>
      </c>
      <c r="N11890" t="s">
        <v>43166</v>
      </c>
      <c r="O11890" t="s">
        <v>43167</v>
      </c>
      <c r="Q11890">
        <v>7</v>
      </c>
      <c r="R11890" t="s">
        <v>43182</v>
      </c>
      <c r="S11890" t="s">
        <v>43807</v>
      </c>
      <c r="T11890" t="s">
        <v>44681</v>
      </c>
      <c r="U11890" t="s">
        <v>54691</v>
      </c>
      <c r="W11890" t="s">
        <v>41453</v>
      </c>
      <c r="X11890" t="s">
        <v>43185</v>
      </c>
    </row>
    <row r="11891" spans="1:24">
      <c r="A11891">
        <f>HYPERLINK("https://www.philgeps.gov.ph/GEPSNONPILOT/Tender/SplashBidNoticeAbstractUI.aspx?menuIndex=3&amp;refID=7057104&amp;Result=3","7057104")</f>
        <v>0</v>
      </c>
      <c r="B11891" t="s">
        <v>2009</v>
      </c>
      <c r="C11891" t="s">
        <v>14771</v>
      </c>
      <c r="D11891" t="s">
        <v>17413</v>
      </c>
      <c r="E11891" t="s">
        <v>27691</v>
      </c>
      <c r="F11891" t="s">
        <v>30052</v>
      </c>
      <c r="G11891" t="s">
        <v>30058</v>
      </c>
      <c r="H11891" t="s">
        <v>15498</v>
      </c>
      <c r="I11891" t="s">
        <v>30144</v>
      </c>
      <c r="J11891" t="s">
        <v>37461</v>
      </c>
      <c r="K11891" t="s">
        <v>39023</v>
      </c>
      <c r="M11891" t="s">
        <v>41453</v>
      </c>
      <c r="N11891" t="s">
        <v>43166</v>
      </c>
      <c r="O11891" t="s">
        <v>43167</v>
      </c>
      <c r="P11891">
        <v>0</v>
      </c>
      <c r="Q11891">
        <v>1</v>
      </c>
      <c r="R11891" t="s">
        <v>43182</v>
      </c>
      <c r="S11891" t="s">
        <v>43789</v>
      </c>
      <c r="T11891" t="s">
        <v>44681</v>
      </c>
      <c r="U11891" t="s">
        <v>47816</v>
      </c>
      <c r="W11891" t="s">
        <v>41453</v>
      </c>
      <c r="X11891" t="s">
        <v>43185</v>
      </c>
    </row>
    <row r="11892" spans="1:24">
      <c r="A11892">
        <f>HYPERLINK("https://www.philgeps.gov.ph/GEPSNONPILOT/Tender/SplashBidNoticeAbstractUI.aspx?menuIndex=3&amp;refID=7056956&amp;Result=3","7056956")</f>
        <v>0</v>
      </c>
      <c r="B11892" t="s">
        <v>176</v>
      </c>
      <c r="C11892" t="s">
        <v>14772</v>
      </c>
      <c r="D11892" t="s">
        <v>17427</v>
      </c>
      <c r="E11892" t="s">
        <v>27692</v>
      </c>
      <c r="F11892" t="s">
        <v>30052</v>
      </c>
      <c r="G11892" t="s">
        <v>30058</v>
      </c>
      <c r="H11892" t="s">
        <v>30067</v>
      </c>
      <c r="I11892" t="s">
        <v>3693</v>
      </c>
      <c r="J11892" t="s">
        <v>31198</v>
      </c>
      <c r="K11892" t="s">
        <v>39031</v>
      </c>
      <c r="M11892" t="s">
        <v>39465</v>
      </c>
      <c r="N11892" t="s">
        <v>43166</v>
      </c>
      <c r="O11892" t="s">
        <v>43167</v>
      </c>
      <c r="P11892">
        <v>0</v>
      </c>
      <c r="Q11892">
        <v>0</v>
      </c>
      <c r="R11892" t="s">
        <v>43182</v>
      </c>
      <c r="S11892" t="s">
        <v>43789</v>
      </c>
      <c r="T11892" t="s">
        <v>44724</v>
      </c>
      <c r="U11892" t="s">
        <v>52476</v>
      </c>
      <c r="V11892" t="s">
        <v>57786</v>
      </c>
      <c r="W11892" t="s">
        <v>39465</v>
      </c>
      <c r="X11892" t="s">
        <v>43185</v>
      </c>
    </row>
    <row r="11893" spans="1:24">
      <c r="A11893">
        <f>HYPERLINK("https://www.philgeps.gov.ph/GEPSNONPILOT/Tender/SplashBidNoticeAbstractUI.aspx?menuIndex=3&amp;refID=7056122&amp;Result=3","7056122")</f>
        <v>0</v>
      </c>
      <c r="B11893" t="s">
        <v>199</v>
      </c>
      <c r="C11893" t="s">
        <v>14773</v>
      </c>
      <c r="D11893" t="s">
        <v>17415</v>
      </c>
      <c r="E11893" t="s">
        <v>27693</v>
      </c>
      <c r="F11893" t="s">
        <v>30052</v>
      </c>
      <c r="G11893" t="s">
        <v>30058</v>
      </c>
      <c r="H11893" t="s">
        <v>15498</v>
      </c>
      <c r="I11893" t="s">
        <v>30124</v>
      </c>
      <c r="J11893" t="s">
        <v>37462</v>
      </c>
      <c r="K11893" t="s">
        <v>39029</v>
      </c>
      <c r="M11893" t="s">
        <v>42800</v>
      </c>
      <c r="N11893" t="s">
        <v>43166</v>
      </c>
      <c r="O11893" t="s">
        <v>43167</v>
      </c>
      <c r="Q11893">
        <v>4</v>
      </c>
      <c r="R11893" t="s">
        <v>43182</v>
      </c>
      <c r="S11893" t="s">
        <v>43808</v>
      </c>
      <c r="T11893" t="s">
        <v>44681</v>
      </c>
      <c r="U11893" t="s">
        <v>54692</v>
      </c>
      <c r="W11893" t="s">
        <v>42800</v>
      </c>
      <c r="X11893" t="s">
        <v>43185</v>
      </c>
    </row>
    <row r="11894" spans="1:24">
      <c r="A11894">
        <f>HYPERLINK("https://www.philgeps.gov.ph/GEPSNONPILOT/Tender/SplashBidNoticeAbstractUI.aspx?menuIndex=3&amp;refID=7056092&amp;Result=3","7056092")</f>
        <v>0</v>
      </c>
      <c r="B11894" t="s">
        <v>3127</v>
      </c>
      <c r="C11894" t="s">
        <v>14774</v>
      </c>
      <c r="D11894" t="s">
        <v>17427</v>
      </c>
      <c r="E11894" t="s">
        <v>27694</v>
      </c>
      <c r="F11894" t="s">
        <v>30052</v>
      </c>
      <c r="G11894" t="s">
        <v>30058</v>
      </c>
      <c r="H11894" t="s">
        <v>30067</v>
      </c>
      <c r="I11894" t="s">
        <v>3693</v>
      </c>
      <c r="J11894" t="s">
        <v>30205</v>
      </c>
      <c r="K11894" t="s">
        <v>39119</v>
      </c>
      <c r="M11894" t="s">
        <v>42727</v>
      </c>
      <c r="N11894" t="s">
        <v>43166</v>
      </c>
      <c r="O11894" t="s">
        <v>43167</v>
      </c>
      <c r="P11894">
        <v>0</v>
      </c>
      <c r="Q11894">
        <v>1</v>
      </c>
      <c r="R11894" t="s">
        <v>43182</v>
      </c>
      <c r="S11894" t="s">
        <v>43789</v>
      </c>
      <c r="T11894" t="s">
        <v>44811</v>
      </c>
      <c r="U11894" t="s">
        <v>54693</v>
      </c>
      <c r="V11894" t="s">
        <v>54693</v>
      </c>
      <c r="W11894" t="s">
        <v>42727</v>
      </c>
      <c r="X11894" t="s">
        <v>43185</v>
      </c>
    </row>
    <row r="11895" spans="1:24">
      <c r="A11895">
        <f>HYPERLINK("https://www.philgeps.gov.ph/GEPSNONPILOT/Tender/SplashBidNoticeAbstractUI.aspx?menuIndex=3&amp;refID=7056901&amp;Result=3","7056901")</f>
        <v>0</v>
      </c>
      <c r="B11895" t="s">
        <v>3183</v>
      </c>
      <c r="C11895" t="s">
        <v>14775</v>
      </c>
      <c r="D11895" t="s">
        <v>17473</v>
      </c>
      <c r="E11895" t="s">
        <v>27695</v>
      </c>
      <c r="F11895" t="s">
        <v>30052</v>
      </c>
      <c r="G11895" t="s">
        <v>30058</v>
      </c>
      <c r="H11895" t="s">
        <v>15498</v>
      </c>
      <c r="I11895" t="s">
        <v>3736</v>
      </c>
      <c r="J11895" t="s">
        <v>37463</v>
      </c>
      <c r="K11895" t="s">
        <v>39029</v>
      </c>
      <c r="M11895" t="s">
        <v>42796</v>
      </c>
      <c r="N11895" t="s">
        <v>43166</v>
      </c>
      <c r="O11895" t="s">
        <v>43167</v>
      </c>
      <c r="P11895">
        <v>0</v>
      </c>
      <c r="Q11895">
        <v>0</v>
      </c>
      <c r="R11895" t="s">
        <v>43182</v>
      </c>
      <c r="S11895" t="s">
        <v>43789</v>
      </c>
      <c r="T11895" t="s">
        <v>44724</v>
      </c>
      <c r="U11895" t="s">
        <v>54694</v>
      </c>
      <c r="W11895" t="s">
        <v>42796</v>
      </c>
      <c r="X11895" t="s">
        <v>43185</v>
      </c>
    </row>
    <row r="11896" spans="1:24">
      <c r="A11896">
        <f>HYPERLINK("https://www.philgeps.gov.ph/GEPSNONPILOT/Tender/SplashBidNoticeAbstractUI.aspx?menuIndex=3&amp;refID=7048515&amp;Result=3","7048515")</f>
        <v>0</v>
      </c>
      <c r="B11896" t="s">
        <v>63</v>
      </c>
      <c r="C11896" t="s">
        <v>14776</v>
      </c>
      <c r="E11896" t="s">
        <v>27696</v>
      </c>
      <c r="F11896" t="s">
        <v>30052</v>
      </c>
      <c r="G11896" t="s">
        <v>30060</v>
      </c>
      <c r="H11896" t="s">
        <v>15498</v>
      </c>
      <c r="I11896" t="s">
        <v>30074</v>
      </c>
      <c r="J11896" t="s">
        <v>30215</v>
      </c>
      <c r="K11896" t="s">
        <v>39025</v>
      </c>
      <c r="M11896" t="s">
        <v>39352</v>
      </c>
      <c r="N11896" t="s">
        <v>43166</v>
      </c>
      <c r="O11896" t="s">
        <v>43167</v>
      </c>
      <c r="Q11896">
        <v>3</v>
      </c>
      <c r="R11896" t="s">
        <v>43182</v>
      </c>
      <c r="S11896" t="s">
        <v>43809</v>
      </c>
      <c r="T11896" t="s">
        <v>45159</v>
      </c>
      <c r="U11896" t="s">
        <v>54695</v>
      </c>
      <c r="W11896" t="s">
        <v>39352</v>
      </c>
      <c r="X11896" t="s">
        <v>43188</v>
      </c>
    </row>
    <row r="11897" spans="1:24">
      <c r="A11897">
        <f>HYPERLINK("https://www.philgeps.gov.ph/GEPSNONPILOT/Tender/SplashBidNoticeAbstractUI.aspx?menuIndex=3&amp;refID=7056868&amp;Result=3","7056868")</f>
        <v>0</v>
      </c>
      <c r="B11897" t="s">
        <v>3187</v>
      </c>
      <c r="C11897" t="s">
        <v>14777</v>
      </c>
      <c r="D11897" t="s">
        <v>17432</v>
      </c>
      <c r="E11897" t="s">
        <v>25412</v>
      </c>
      <c r="F11897" t="s">
        <v>30052</v>
      </c>
      <c r="G11897" t="s">
        <v>30058</v>
      </c>
      <c r="H11897" t="s">
        <v>30067</v>
      </c>
      <c r="I11897" t="s">
        <v>3736</v>
      </c>
      <c r="J11897" t="s">
        <v>37464</v>
      </c>
      <c r="K11897" t="s">
        <v>39031</v>
      </c>
      <c r="M11897" t="s">
        <v>42801</v>
      </c>
      <c r="N11897" t="s">
        <v>43166</v>
      </c>
      <c r="O11897" t="s">
        <v>43167</v>
      </c>
      <c r="P11897">
        <v>0</v>
      </c>
      <c r="Q11897">
        <v>3</v>
      </c>
      <c r="R11897" t="s">
        <v>43182</v>
      </c>
      <c r="S11897" t="s">
        <v>43789</v>
      </c>
      <c r="T11897" t="s">
        <v>44780</v>
      </c>
      <c r="U11897" t="s">
        <v>54696</v>
      </c>
      <c r="V11897" t="s">
        <v>58145</v>
      </c>
      <c r="W11897" t="s">
        <v>42801</v>
      </c>
      <c r="X11897" t="s">
        <v>43185</v>
      </c>
    </row>
    <row r="11898" spans="1:24">
      <c r="A11898">
        <f>HYPERLINK("https://www.philgeps.gov.ph/GEPSNONPILOT/Tender/SplashBidNoticeAbstractUI.aspx?menuIndex=3&amp;refID=7056115&amp;Result=3","7056115")</f>
        <v>0</v>
      </c>
      <c r="B11898" t="s">
        <v>3180</v>
      </c>
      <c r="C11898" t="s">
        <v>14778</v>
      </c>
      <c r="D11898" t="s">
        <v>17437</v>
      </c>
      <c r="E11898" t="s">
        <v>27697</v>
      </c>
      <c r="F11898" t="s">
        <v>30052</v>
      </c>
      <c r="G11898" t="s">
        <v>30058</v>
      </c>
      <c r="H11898" t="s">
        <v>15498</v>
      </c>
      <c r="I11898" t="s">
        <v>30091</v>
      </c>
      <c r="J11898" t="s">
        <v>37465</v>
      </c>
      <c r="K11898" t="s">
        <v>39029</v>
      </c>
      <c r="M11898" t="s">
        <v>42791</v>
      </c>
      <c r="N11898" t="s">
        <v>43166</v>
      </c>
      <c r="O11898" t="s">
        <v>43167</v>
      </c>
      <c r="P11898">
        <v>0</v>
      </c>
      <c r="Q11898">
        <v>3</v>
      </c>
      <c r="R11898" t="s">
        <v>43182</v>
      </c>
      <c r="S11898" t="s">
        <v>43789</v>
      </c>
      <c r="T11898" t="s">
        <v>44862</v>
      </c>
      <c r="U11898" t="s">
        <v>54697</v>
      </c>
      <c r="W11898" t="s">
        <v>42791</v>
      </c>
      <c r="X11898" t="s">
        <v>43185</v>
      </c>
    </row>
    <row r="11899" spans="1:24">
      <c r="A11899">
        <f>HYPERLINK("https://www.philgeps.gov.ph/GEPSNONPILOT/Tender/SplashBidNoticeAbstractUI.aspx?menuIndex=3&amp;refID=7054136&amp;Result=3","7054136")</f>
        <v>0</v>
      </c>
      <c r="B11899" t="s">
        <v>2695</v>
      </c>
      <c r="C11899" t="s">
        <v>14779</v>
      </c>
      <c r="D11899" t="s">
        <v>17422</v>
      </c>
      <c r="E11899" t="s">
        <v>18233</v>
      </c>
      <c r="F11899" t="s">
        <v>30052</v>
      </c>
      <c r="G11899" t="s">
        <v>30058</v>
      </c>
      <c r="H11899" t="s">
        <v>15498</v>
      </c>
      <c r="I11899" t="s">
        <v>30074</v>
      </c>
      <c r="J11899" t="s">
        <v>37242</v>
      </c>
      <c r="K11899" t="s">
        <v>39029</v>
      </c>
      <c r="M11899" t="s">
        <v>42218</v>
      </c>
      <c r="N11899" t="s">
        <v>43166</v>
      </c>
      <c r="O11899" t="s">
        <v>43167</v>
      </c>
      <c r="P11899">
        <v>0</v>
      </c>
      <c r="Q11899">
        <v>3</v>
      </c>
      <c r="R11899" t="s">
        <v>43182</v>
      </c>
      <c r="S11899" t="s">
        <v>43789</v>
      </c>
      <c r="T11899" t="s">
        <v>44724</v>
      </c>
      <c r="U11899" t="s">
        <v>54649</v>
      </c>
      <c r="W11899" t="s">
        <v>42218</v>
      </c>
      <c r="X11899" t="s">
        <v>43186</v>
      </c>
    </row>
    <row r="11900" spans="1:24">
      <c r="A11900">
        <f>HYPERLINK("https://www.philgeps.gov.ph/GEPSNONPILOT/Tender/SplashBidNoticeAbstractUI.aspx?menuIndex=3&amp;refID=7057277&amp;Result=3","7057277")</f>
        <v>0</v>
      </c>
      <c r="B11900" t="s">
        <v>176</v>
      </c>
      <c r="C11900" t="s">
        <v>14780</v>
      </c>
      <c r="D11900" t="s">
        <v>17427</v>
      </c>
      <c r="E11900" t="s">
        <v>17620</v>
      </c>
      <c r="F11900" t="s">
        <v>30052</v>
      </c>
      <c r="G11900" t="s">
        <v>30058</v>
      </c>
      <c r="H11900" t="s">
        <v>30067</v>
      </c>
      <c r="I11900" t="s">
        <v>3693</v>
      </c>
      <c r="J11900" t="s">
        <v>35535</v>
      </c>
      <c r="K11900" t="s">
        <v>39026</v>
      </c>
      <c r="M11900" t="s">
        <v>39465</v>
      </c>
      <c r="N11900" t="s">
        <v>43166</v>
      </c>
      <c r="O11900" t="s">
        <v>43167</v>
      </c>
      <c r="P11900">
        <v>0</v>
      </c>
      <c r="Q11900">
        <v>0</v>
      </c>
      <c r="R11900" t="s">
        <v>43182</v>
      </c>
      <c r="S11900" t="s">
        <v>43789</v>
      </c>
      <c r="T11900" t="s">
        <v>44818</v>
      </c>
      <c r="U11900" t="s">
        <v>47881</v>
      </c>
      <c r="V11900" t="s">
        <v>57786</v>
      </c>
      <c r="W11900" t="s">
        <v>39465</v>
      </c>
      <c r="X11900" t="s">
        <v>43185</v>
      </c>
    </row>
    <row r="11901" spans="1:24">
      <c r="A11901">
        <f>HYPERLINK("https://www.philgeps.gov.ph/GEPSNONPILOT/Tender/SplashBidNoticeAbstractUI.aspx?menuIndex=3&amp;refID=7057497&amp;Result=3","7057497")</f>
        <v>0</v>
      </c>
      <c r="B11901" t="s">
        <v>3188</v>
      </c>
      <c r="C11901" t="s">
        <v>14781</v>
      </c>
      <c r="D11901" t="s">
        <v>17415</v>
      </c>
      <c r="E11901" t="s">
        <v>25326</v>
      </c>
      <c r="F11901" t="s">
        <v>30052</v>
      </c>
      <c r="G11901" t="s">
        <v>30058</v>
      </c>
      <c r="H11901" t="s">
        <v>15498</v>
      </c>
      <c r="I11901" t="s">
        <v>3606</v>
      </c>
      <c r="J11901" t="s">
        <v>37466</v>
      </c>
      <c r="K11901" t="s">
        <v>39025</v>
      </c>
      <c r="M11901" t="s">
        <v>42802</v>
      </c>
      <c r="N11901" t="s">
        <v>43166</v>
      </c>
      <c r="O11901" t="s">
        <v>43167</v>
      </c>
      <c r="Q11901">
        <v>9</v>
      </c>
      <c r="R11901" t="s">
        <v>43182</v>
      </c>
      <c r="S11901" t="s">
        <v>43810</v>
      </c>
      <c r="T11901" t="s">
        <v>44681</v>
      </c>
      <c r="U11901" t="s">
        <v>54698</v>
      </c>
      <c r="W11901" t="s">
        <v>42802</v>
      </c>
      <c r="X11901" t="s">
        <v>43185</v>
      </c>
    </row>
    <row r="11902" spans="1:24">
      <c r="A11902">
        <f>HYPERLINK("https://www.philgeps.gov.ph/GEPSNONPILOT/Tender/SplashBidNoticeAbstractUI.aspx?menuIndex=3&amp;refID=7057190&amp;Result=3","7057190")</f>
        <v>0</v>
      </c>
      <c r="B11902" t="s">
        <v>1500</v>
      </c>
      <c r="C11902" t="s">
        <v>14755</v>
      </c>
      <c r="D11902" t="s">
        <v>17462</v>
      </c>
      <c r="E11902" t="s">
        <v>22017</v>
      </c>
      <c r="F11902" t="s">
        <v>30052</v>
      </c>
      <c r="G11902" t="s">
        <v>30058</v>
      </c>
      <c r="H11902" t="s">
        <v>15498</v>
      </c>
      <c r="I11902" t="s">
        <v>3606</v>
      </c>
      <c r="J11902" t="s">
        <v>30588</v>
      </c>
      <c r="K11902" t="s">
        <v>39023</v>
      </c>
      <c r="M11902" t="s">
        <v>40884</v>
      </c>
      <c r="N11902" t="s">
        <v>43166</v>
      </c>
      <c r="O11902" t="s">
        <v>43167</v>
      </c>
      <c r="P11902">
        <v>0</v>
      </c>
      <c r="Q11902">
        <v>17</v>
      </c>
      <c r="R11902" t="s">
        <v>43182</v>
      </c>
      <c r="S11902" t="s">
        <v>43789</v>
      </c>
      <c r="T11902" t="s">
        <v>44881</v>
      </c>
      <c r="U11902" t="s">
        <v>54699</v>
      </c>
      <c r="W11902" t="s">
        <v>40884</v>
      </c>
      <c r="X11902" t="s">
        <v>43185</v>
      </c>
    </row>
    <row r="11903" spans="1:24">
      <c r="A11903">
        <f>HYPERLINK("https://www.philgeps.gov.ph/GEPSNONPILOT/Tender/SplashBidNoticeAbstractUI.aspx?menuIndex=3&amp;refID=7057550&amp;Result=3","7057550")</f>
        <v>0</v>
      </c>
      <c r="B11903" t="s">
        <v>3189</v>
      </c>
      <c r="C11903" t="s">
        <v>14782</v>
      </c>
      <c r="D11903" t="s">
        <v>17449</v>
      </c>
      <c r="E11903" t="s">
        <v>27698</v>
      </c>
      <c r="F11903" t="s">
        <v>30052</v>
      </c>
      <c r="G11903" t="s">
        <v>30058</v>
      </c>
      <c r="H11903" t="s">
        <v>30069</v>
      </c>
      <c r="I11903" t="s">
        <v>30098</v>
      </c>
      <c r="J11903" t="s">
        <v>37467</v>
      </c>
      <c r="K11903" t="s">
        <v>39019</v>
      </c>
      <c r="M11903" t="s">
        <v>42803</v>
      </c>
      <c r="N11903" t="s">
        <v>43166</v>
      </c>
      <c r="O11903" t="s">
        <v>43167</v>
      </c>
      <c r="P11903">
        <v>0</v>
      </c>
      <c r="Q11903">
        <v>2</v>
      </c>
      <c r="R11903" t="s">
        <v>43182</v>
      </c>
      <c r="S11903" t="s">
        <v>43789</v>
      </c>
      <c r="T11903" t="s">
        <v>44681</v>
      </c>
      <c r="U11903" t="s">
        <v>54700</v>
      </c>
      <c r="W11903" t="s">
        <v>42803</v>
      </c>
      <c r="X11903" t="s">
        <v>43185</v>
      </c>
    </row>
    <row r="11904" spans="1:24">
      <c r="A11904">
        <f>HYPERLINK("https://www.philgeps.gov.ph/GEPSNONPILOT/Tender/SplashBidNoticeAbstractUI.aspx?menuIndex=3&amp;refID=7057513&amp;Result=3","7057513")</f>
        <v>0</v>
      </c>
      <c r="B11904" t="s">
        <v>3190</v>
      </c>
      <c r="C11904" t="s">
        <v>14783</v>
      </c>
      <c r="D11904" t="s">
        <v>17463</v>
      </c>
      <c r="E11904" t="s">
        <v>27699</v>
      </c>
      <c r="F11904" t="s">
        <v>30052</v>
      </c>
      <c r="G11904" t="s">
        <v>30058</v>
      </c>
      <c r="H11904" t="s">
        <v>30067</v>
      </c>
      <c r="I11904" t="s">
        <v>3693</v>
      </c>
      <c r="J11904" t="s">
        <v>37468</v>
      </c>
      <c r="K11904" t="s">
        <v>39156</v>
      </c>
      <c r="M11904" t="s">
        <v>42804</v>
      </c>
      <c r="N11904" t="s">
        <v>43166</v>
      </c>
      <c r="O11904" t="s">
        <v>43167</v>
      </c>
      <c r="P11904">
        <v>0</v>
      </c>
      <c r="Q11904">
        <v>66</v>
      </c>
      <c r="R11904" t="s">
        <v>43182</v>
      </c>
      <c r="S11904" t="s">
        <v>43789</v>
      </c>
      <c r="T11904" t="s">
        <v>44679</v>
      </c>
      <c r="U11904" t="s">
        <v>54701</v>
      </c>
      <c r="W11904" t="s">
        <v>42804</v>
      </c>
      <c r="X11904" t="s">
        <v>43185</v>
      </c>
    </row>
    <row r="11905" spans="1:24">
      <c r="A11905">
        <f>HYPERLINK("https://www.philgeps.gov.ph/GEPSNONPILOT/Tender/SplashBidNoticeAbstractUI.aspx?menuIndex=3&amp;refID=7057455&amp;Result=3","7057455")</f>
        <v>0</v>
      </c>
      <c r="B11905" t="s">
        <v>3191</v>
      </c>
      <c r="C11905" t="s">
        <v>14784</v>
      </c>
      <c r="D11905" t="s">
        <v>17449</v>
      </c>
      <c r="E11905" t="s">
        <v>27700</v>
      </c>
      <c r="F11905" t="s">
        <v>30052</v>
      </c>
      <c r="G11905" t="s">
        <v>30058</v>
      </c>
      <c r="H11905" t="s">
        <v>30069</v>
      </c>
      <c r="I11905" t="s">
        <v>30098</v>
      </c>
      <c r="J11905" t="s">
        <v>37469</v>
      </c>
      <c r="K11905" t="s">
        <v>39019</v>
      </c>
      <c r="M11905" t="s">
        <v>42805</v>
      </c>
      <c r="N11905" t="s">
        <v>43166</v>
      </c>
      <c r="O11905" t="s">
        <v>43167</v>
      </c>
      <c r="P11905">
        <v>0</v>
      </c>
      <c r="Q11905">
        <v>2</v>
      </c>
      <c r="R11905" t="s">
        <v>43182</v>
      </c>
      <c r="S11905" t="s">
        <v>43789</v>
      </c>
      <c r="T11905" t="s">
        <v>44681</v>
      </c>
      <c r="U11905" t="s">
        <v>54702</v>
      </c>
      <c r="W11905" t="s">
        <v>42805</v>
      </c>
      <c r="X11905" t="s">
        <v>43185</v>
      </c>
    </row>
    <row r="11906" spans="1:24">
      <c r="A11906">
        <f>HYPERLINK("https://www.philgeps.gov.ph/GEPSNONPILOT/Tender/SplashBidNoticeAbstractUI.aspx?menuIndex=3&amp;refID=7057426&amp;Result=3","7057426")</f>
        <v>0</v>
      </c>
      <c r="B11906" t="s">
        <v>3190</v>
      </c>
      <c r="C11906" t="s">
        <v>14785</v>
      </c>
      <c r="D11906" t="s">
        <v>17463</v>
      </c>
      <c r="E11906" t="s">
        <v>27701</v>
      </c>
      <c r="F11906" t="s">
        <v>30052</v>
      </c>
      <c r="G11906" t="s">
        <v>30058</v>
      </c>
      <c r="H11906" t="s">
        <v>30067</v>
      </c>
      <c r="I11906" t="s">
        <v>3693</v>
      </c>
      <c r="J11906" t="s">
        <v>30247</v>
      </c>
      <c r="K11906" t="s">
        <v>39269</v>
      </c>
      <c r="M11906" t="s">
        <v>42804</v>
      </c>
      <c r="N11906" t="s">
        <v>43166</v>
      </c>
      <c r="O11906" t="s">
        <v>43167</v>
      </c>
      <c r="P11906">
        <v>0</v>
      </c>
      <c r="Q11906">
        <v>66</v>
      </c>
      <c r="R11906" t="s">
        <v>43182</v>
      </c>
      <c r="S11906" t="s">
        <v>43789</v>
      </c>
      <c r="T11906" t="s">
        <v>44679</v>
      </c>
      <c r="U11906" t="s">
        <v>54703</v>
      </c>
      <c r="W11906" t="s">
        <v>42804</v>
      </c>
      <c r="X11906" t="s">
        <v>43185</v>
      </c>
    </row>
    <row r="11907" spans="1:24">
      <c r="A11907">
        <f>HYPERLINK("https://www.philgeps.gov.ph/GEPSNONPILOT/Tender/SplashBidNoticeAbstractUI.aspx?menuIndex=3&amp;refID=7057206&amp;Result=3","7057206")</f>
        <v>0</v>
      </c>
      <c r="B11907" t="s">
        <v>1162</v>
      </c>
      <c r="C11907" t="s">
        <v>14786</v>
      </c>
      <c r="D11907" t="s">
        <v>17472</v>
      </c>
      <c r="E11907" t="s">
        <v>27702</v>
      </c>
      <c r="F11907" t="s">
        <v>30052</v>
      </c>
      <c r="G11907" t="s">
        <v>30058</v>
      </c>
      <c r="H11907" t="s">
        <v>15498</v>
      </c>
      <c r="I11907" t="s">
        <v>30074</v>
      </c>
      <c r="J11907" t="s">
        <v>37470</v>
      </c>
      <c r="K11907" t="s">
        <v>39025</v>
      </c>
      <c r="M11907" t="s">
        <v>40508</v>
      </c>
      <c r="N11907" t="s">
        <v>43166</v>
      </c>
      <c r="O11907" t="s">
        <v>43167</v>
      </c>
      <c r="Q11907">
        <v>21</v>
      </c>
      <c r="R11907" t="s">
        <v>43182</v>
      </c>
      <c r="S11907" t="s">
        <v>43811</v>
      </c>
      <c r="T11907" t="s">
        <v>44733</v>
      </c>
      <c r="U11907" t="s">
        <v>54704</v>
      </c>
      <c r="W11907" t="s">
        <v>40508</v>
      </c>
      <c r="X11907" t="s">
        <v>43185</v>
      </c>
    </row>
    <row r="11908" spans="1:24">
      <c r="A11908">
        <f>HYPERLINK("https://www.philgeps.gov.ph/GEPSNONPILOT/Tender/SplashBidNoticeAbstractUI.aspx?menuIndex=3&amp;refID=7057475&amp;Result=3","7057475")</f>
        <v>0</v>
      </c>
      <c r="B11908" t="s">
        <v>3190</v>
      </c>
      <c r="C11908" t="s">
        <v>14787</v>
      </c>
      <c r="D11908" t="s">
        <v>17463</v>
      </c>
      <c r="E11908" t="s">
        <v>27703</v>
      </c>
      <c r="F11908" t="s">
        <v>30052</v>
      </c>
      <c r="G11908" t="s">
        <v>30058</v>
      </c>
      <c r="H11908" t="s">
        <v>30067</v>
      </c>
      <c r="I11908" t="s">
        <v>3693</v>
      </c>
      <c r="J11908" t="s">
        <v>37471</v>
      </c>
      <c r="K11908" t="s">
        <v>39050</v>
      </c>
      <c r="M11908" t="s">
        <v>42804</v>
      </c>
      <c r="N11908" t="s">
        <v>43166</v>
      </c>
      <c r="O11908" t="s">
        <v>43167</v>
      </c>
      <c r="P11908">
        <v>0</v>
      </c>
      <c r="Q11908">
        <v>67</v>
      </c>
      <c r="R11908" t="s">
        <v>43182</v>
      </c>
      <c r="S11908" t="s">
        <v>43789</v>
      </c>
      <c r="T11908" t="s">
        <v>44679</v>
      </c>
      <c r="U11908" t="s">
        <v>54705</v>
      </c>
      <c r="W11908" t="s">
        <v>42804</v>
      </c>
      <c r="X11908" t="s">
        <v>43185</v>
      </c>
    </row>
    <row r="11909" spans="1:24">
      <c r="A11909">
        <f>HYPERLINK("https://www.philgeps.gov.ph/GEPSNONPILOT/Tender/SplashBidNoticeAbstractUI.aspx?menuIndex=3&amp;refID=7057385&amp;Result=3","7057385")</f>
        <v>0</v>
      </c>
      <c r="B11909" t="s">
        <v>3190</v>
      </c>
      <c r="C11909" t="s">
        <v>14788</v>
      </c>
      <c r="D11909" t="s">
        <v>17463</v>
      </c>
      <c r="E11909" t="s">
        <v>27704</v>
      </c>
      <c r="F11909" t="s">
        <v>30052</v>
      </c>
      <c r="G11909" t="s">
        <v>30058</v>
      </c>
      <c r="H11909" t="s">
        <v>30067</v>
      </c>
      <c r="I11909" t="s">
        <v>3693</v>
      </c>
      <c r="J11909" t="s">
        <v>30247</v>
      </c>
      <c r="K11909" t="s">
        <v>39269</v>
      </c>
      <c r="M11909" t="s">
        <v>42804</v>
      </c>
      <c r="N11909" t="s">
        <v>43166</v>
      </c>
      <c r="O11909" t="s">
        <v>43167</v>
      </c>
      <c r="P11909">
        <v>0</v>
      </c>
      <c r="Q11909">
        <v>69</v>
      </c>
      <c r="R11909" t="s">
        <v>43182</v>
      </c>
      <c r="S11909" t="s">
        <v>43789</v>
      </c>
      <c r="T11909" t="s">
        <v>44679</v>
      </c>
      <c r="U11909" t="s">
        <v>54706</v>
      </c>
      <c r="W11909" t="s">
        <v>42804</v>
      </c>
      <c r="X11909" t="s">
        <v>43185</v>
      </c>
    </row>
    <row r="11910" spans="1:24">
      <c r="A11910">
        <f>HYPERLINK("https://www.philgeps.gov.ph/GEPSNONPILOT/Tender/SplashBidNoticeAbstractUI.aspx?menuIndex=3&amp;refID=7057462&amp;Result=3","7057462")</f>
        <v>0</v>
      </c>
      <c r="B11910" t="s">
        <v>3190</v>
      </c>
      <c r="C11910" t="s">
        <v>14789</v>
      </c>
      <c r="D11910" t="s">
        <v>17463</v>
      </c>
      <c r="E11910" t="s">
        <v>27705</v>
      </c>
      <c r="F11910" t="s">
        <v>30052</v>
      </c>
      <c r="G11910" t="s">
        <v>30058</v>
      </c>
      <c r="H11910" t="s">
        <v>30067</v>
      </c>
      <c r="I11910" t="s">
        <v>3693</v>
      </c>
      <c r="J11910" t="s">
        <v>37472</v>
      </c>
      <c r="K11910" t="s">
        <v>39054</v>
      </c>
      <c r="M11910" t="s">
        <v>42804</v>
      </c>
      <c r="N11910" t="s">
        <v>43166</v>
      </c>
      <c r="O11910" t="s">
        <v>43167</v>
      </c>
      <c r="P11910">
        <v>0</v>
      </c>
      <c r="Q11910">
        <v>69</v>
      </c>
      <c r="R11910" t="s">
        <v>43182</v>
      </c>
      <c r="S11910" t="s">
        <v>43789</v>
      </c>
      <c r="T11910" t="s">
        <v>44679</v>
      </c>
      <c r="U11910" t="s">
        <v>54707</v>
      </c>
      <c r="W11910" t="s">
        <v>42804</v>
      </c>
      <c r="X11910" t="s">
        <v>43185</v>
      </c>
    </row>
    <row r="11911" spans="1:24">
      <c r="A11911">
        <f>HYPERLINK("https://www.philgeps.gov.ph/GEPSNONPILOT/Tender/SplashBidNoticeAbstractUI.aspx?menuIndex=3&amp;refID=7057384&amp;Result=3","7057384")</f>
        <v>0</v>
      </c>
      <c r="B11911" t="s">
        <v>3183</v>
      </c>
      <c r="C11911" t="s">
        <v>14790</v>
      </c>
      <c r="D11911" t="s">
        <v>17473</v>
      </c>
      <c r="E11911" t="s">
        <v>27706</v>
      </c>
      <c r="F11911" t="s">
        <v>30052</v>
      </c>
      <c r="G11911" t="s">
        <v>30058</v>
      </c>
      <c r="H11911" t="s">
        <v>30067</v>
      </c>
      <c r="I11911" t="s">
        <v>3693</v>
      </c>
      <c r="J11911" t="s">
        <v>30281</v>
      </c>
      <c r="K11911" t="s">
        <v>39118</v>
      </c>
      <c r="M11911" t="s">
        <v>42796</v>
      </c>
      <c r="N11911" t="s">
        <v>43166</v>
      </c>
      <c r="O11911" t="s">
        <v>43167</v>
      </c>
      <c r="P11911">
        <v>0</v>
      </c>
      <c r="Q11911">
        <v>1</v>
      </c>
      <c r="R11911" t="s">
        <v>43182</v>
      </c>
      <c r="S11911" t="s">
        <v>43789</v>
      </c>
      <c r="T11911" t="s">
        <v>44724</v>
      </c>
      <c r="U11911" t="s">
        <v>54708</v>
      </c>
      <c r="W11911" t="s">
        <v>42796</v>
      </c>
      <c r="X11911" t="s">
        <v>43185</v>
      </c>
    </row>
    <row r="11912" spans="1:24">
      <c r="A11912">
        <f>HYPERLINK("https://www.philgeps.gov.ph/GEPSNONPILOT/Tender/SplashBidNoticeAbstractUI.aspx?menuIndex=3&amp;refID=7030335&amp;Result=3","7030335")</f>
        <v>0</v>
      </c>
      <c r="B11912" t="s">
        <v>2832</v>
      </c>
      <c r="C11912" t="s">
        <v>14791</v>
      </c>
      <c r="D11912" t="s">
        <v>17422</v>
      </c>
      <c r="E11912" t="s">
        <v>27707</v>
      </c>
      <c r="F11912" t="s">
        <v>30052</v>
      </c>
      <c r="G11912" t="s">
        <v>30058</v>
      </c>
      <c r="H11912" t="s">
        <v>15498</v>
      </c>
      <c r="I11912" t="s">
        <v>3606</v>
      </c>
      <c r="J11912" t="s">
        <v>37473</v>
      </c>
      <c r="K11912" t="s">
        <v>39037</v>
      </c>
      <c r="M11912" t="s">
        <v>42378</v>
      </c>
      <c r="N11912" t="s">
        <v>43166</v>
      </c>
      <c r="O11912" t="s">
        <v>43167</v>
      </c>
      <c r="P11912">
        <v>0</v>
      </c>
      <c r="Q11912">
        <v>13</v>
      </c>
      <c r="R11912" t="s">
        <v>43182</v>
      </c>
      <c r="S11912" t="s">
        <v>43789</v>
      </c>
      <c r="T11912" t="s">
        <v>44716</v>
      </c>
      <c r="U11912" t="s">
        <v>54709</v>
      </c>
      <c r="V11912" t="s">
        <v>58146</v>
      </c>
      <c r="W11912" t="s">
        <v>42378</v>
      </c>
      <c r="X11912" t="s">
        <v>43197</v>
      </c>
    </row>
    <row r="11913" spans="1:24">
      <c r="A11913">
        <f>HYPERLINK("https://www.philgeps.gov.ph/GEPSNONPILOT/Tender/SplashBidNoticeAbstractUI.aspx?menuIndex=3&amp;refID=7057492&amp;Result=3","7057492")</f>
        <v>0</v>
      </c>
      <c r="B11913" t="s">
        <v>3190</v>
      </c>
      <c r="C11913" t="s">
        <v>14792</v>
      </c>
      <c r="D11913" t="s">
        <v>17463</v>
      </c>
      <c r="E11913" t="s">
        <v>27708</v>
      </c>
      <c r="F11913" t="s">
        <v>30052</v>
      </c>
      <c r="G11913" t="s">
        <v>30058</v>
      </c>
      <c r="H11913" t="s">
        <v>30067</v>
      </c>
      <c r="I11913" t="s">
        <v>3693</v>
      </c>
      <c r="J11913" t="s">
        <v>37474</v>
      </c>
      <c r="K11913" t="s">
        <v>39110</v>
      </c>
      <c r="M11913" t="s">
        <v>42804</v>
      </c>
      <c r="N11913" t="s">
        <v>43166</v>
      </c>
      <c r="O11913" t="s">
        <v>43167</v>
      </c>
      <c r="P11913">
        <v>0</v>
      </c>
      <c r="Q11913">
        <v>69</v>
      </c>
      <c r="R11913" t="s">
        <v>43182</v>
      </c>
      <c r="S11913" t="s">
        <v>43789</v>
      </c>
      <c r="T11913" t="s">
        <v>44679</v>
      </c>
      <c r="U11913" t="s">
        <v>54710</v>
      </c>
      <c r="W11913" t="s">
        <v>42804</v>
      </c>
      <c r="X11913" t="s">
        <v>43185</v>
      </c>
    </row>
    <row r="11914" spans="1:24">
      <c r="A11914">
        <f>HYPERLINK("https://www.philgeps.gov.ph/GEPSNONPILOT/Tender/SplashBidNoticeAbstractUI.aspx?menuIndex=3&amp;refID=7057359&amp;Result=3","7057359")</f>
        <v>0</v>
      </c>
      <c r="B11914" t="s">
        <v>3190</v>
      </c>
      <c r="C11914" t="s">
        <v>14793</v>
      </c>
      <c r="D11914" t="s">
        <v>17463</v>
      </c>
      <c r="E11914" t="s">
        <v>27709</v>
      </c>
      <c r="F11914" t="s">
        <v>30052</v>
      </c>
      <c r="G11914" t="s">
        <v>30058</v>
      </c>
      <c r="H11914" t="s">
        <v>30067</v>
      </c>
      <c r="I11914" t="s">
        <v>3693</v>
      </c>
      <c r="J11914" t="s">
        <v>37475</v>
      </c>
      <c r="K11914" t="s">
        <v>39110</v>
      </c>
      <c r="M11914" t="s">
        <v>42804</v>
      </c>
      <c r="N11914" t="s">
        <v>43166</v>
      </c>
      <c r="O11914" t="s">
        <v>43167</v>
      </c>
      <c r="P11914">
        <v>0</v>
      </c>
      <c r="Q11914">
        <v>67</v>
      </c>
      <c r="R11914" t="s">
        <v>43182</v>
      </c>
      <c r="S11914" t="s">
        <v>43789</v>
      </c>
      <c r="T11914" t="s">
        <v>44679</v>
      </c>
      <c r="U11914" t="s">
        <v>54711</v>
      </c>
      <c r="W11914" t="s">
        <v>42804</v>
      </c>
      <c r="X11914" t="s">
        <v>43185</v>
      </c>
    </row>
    <row r="11915" spans="1:24">
      <c r="A11915">
        <f>HYPERLINK("https://www.philgeps.gov.ph/GEPSNONPILOT/Tender/SplashBidNoticeAbstractUI.aspx?menuIndex=3&amp;refID=7057313&amp;Result=3","7057313")</f>
        <v>0</v>
      </c>
      <c r="B11915" t="s">
        <v>2889</v>
      </c>
      <c r="C11915" t="s">
        <v>14794</v>
      </c>
      <c r="D11915" t="s">
        <v>17475</v>
      </c>
      <c r="E11915" t="s">
        <v>18840</v>
      </c>
      <c r="F11915" t="s">
        <v>30052</v>
      </c>
      <c r="G11915" t="s">
        <v>30058</v>
      </c>
      <c r="H11915" t="s">
        <v>30067</v>
      </c>
      <c r="I11915" t="s">
        <v>3693</v>
      </c>
      <c r="J11915" t="s">
        <v>37476</v>
      </c>
      <c r="K11915" t="s">
        <v>39270</v>
      </c>
      <c r="M11915" t="s">
        <v>42440</v>
      </c>
      <c r="N11915" t="s">
        <v>43166</v>
      </c>
      <c r="O11915" t="s">
        <v>43167</v>
      </c>
      <c r="Q11915">
        <v>6</v>
      </c>
      <c r="R11915" t="s">
        <v>43182</v>
      </c>
      <c r="S11915" t="s">
        <v>43372</v>
      </c>
      <c r="T11915" t="s">
        <v>44796</v>
      </c>
      <c r="U11915" t="s">
        <v>54684</v>
      </c>
      <c r="W11915" t="s">
        <v>42440</v>
      </c>
      <c r="X11915" t="s">
        <v>43185</v>
      </c>
    </row>
    <row r="11916" spans="1:24">
      <c r="A11916">
        <f>HYPERLINK("https://www.philgeps.gov.ph/GEPSNONPILOT/Tender/SplashBidNoticeAbstractUI.aspx?menuIndex=3&amp;refID=7057339&amp;Result=3","7057339")</f>
        <v>0</v>
      </c>
      <c r="B11916" t="s">
        <v>3190</v>
      </c>
      <c r="C11916" t="s">
        <v>14795</v>
      </c>
      <c r="D11916" t="s">
        <v>17463</v>
      </c>
      <c r="E11916" t="s">
        <v>27710</v>
      </c>
      <c r="F11916" t="s">
        <v>30052</v>
      </c>
      <c r="G11916" t="s">
        <v>30058</v>
      </c>
      <c r="H11916" t="s">
        <v>30067</v>
      </c>
      <c r="I11916" t="s">
        <v>3693</v>
      </c>
      <c r="J11916" t="s">
        <v>37477</v>
      </c>
      <c r="K11916" t="s">
        <v>39116</v>
      </c>
      <c r="M11916" t="s">
        <v>42804</v>
      </c>
      <c r="N11916" t="s">
        <v>43166</v>
      </c>
      <c r="O11916" t="s">
        <v>43167</v>
      </c>
      <c r="P11916">
        <v>0</v>
      </c>
      <c r="Q11916">
        <v>69</v>
      </c>
      <c r="R11916" t="s">
        <v>43182</v>
      </c>
      <c r="S11916" t="s">
        <v>43789</v>
      </c>
      <c r="T11916" t="s">
        <v>44679</v>
      </c>
      <c r="U11916" t="s">
        <v>54712</v>
      </c>
      <c r="W11916" t="s">
        <v>42804</v>
      </c>
      <c r="X11916" t="s">
        <v>43185</v>
      </c>
    </row>
    <row r="11917" spans="1:24">
      <c r="A11917">
        <f>HYPERLINK("https://www.philgeps.gov.ph/GEPSNONPILOT/Tender/SplashBidNoticeAbstractUI.aspx?menuIndex=3&amp;refID=7057269&amp;Result=3","7057269")</f>
        <v>0</v>
      </c>
      <c r="B11917" t="s">
        <v>229</v>
      </c>
      <c r="C11917" t="s">
        <v>14796</v>
      </c>
      <c r="D11917" t="s">
        <v>17430</v>
      </c>
      <c r="E11917" t="s">
        <v>27711</v>
      </c>
      <c r="F11917" t="s">
        <v>30052</v>
      </c>
      <c r="G11917" t="s">
        <v>30058</v>
      </c>
      <c r="H11917" t="s">
        <v>30067</v>
      </c>
      <c r="I11917" t="s">
        <v>3693</v>
      </c>
      <c r="J11917" t="s">
        <v>37478</v>
      </c>
      <c r="K11917" t="s">
        <v>39271</v>
      </c>
      <c r="M11917" t="s">
        <v>39519</v>
      </c>
      <c r="N11917" t="s">
        <v>43166</v>
      </c>
      <c r="O11917" t="s">
        <v>43167</v>
      </c>
      <c r="P11917">
        <v>0</v>
      </c>
      <c r="Q11917">
        <v>11</v>
      </c>
      <c r="R11917" t="s">
        <v>43182</v>
      </c>
      <c r="S11917" t="s">
        <v>43789</v>
      </c>
      <c r="T11917" t="s">
        <v>44699</v>
      </c>
      <c r="U11917" t="s">
        <v>54713</v>
      </c>
      <c r="W11917" t="s">
        <v>39519</v>
      </c>
      <c r="X11917" t="s">
        <v>43185</v>
      </c>
    </row>
    <row r="11918" spans="1:24">
      <c r="A11918">
        <f>HYPERLINK("https://www.philgeps.gov.ph/GEPSNONPILOT/Tender/SplashBidNoticeAbstractUI.aspx?menuIndex=3&amp;refID=7044395&amp;Result=3","7044395")</f>
        <v>0</v>
      </c>
      <c r="B11918" t="s">
        <v>3192</v>
      </c>
      <c r="C11918" t="s">
        <v>14797</v>
      </c>
      <c r="D11918" t="s">
        <v>17450</v>
      </c>
      <c r="E11918" t="s">
        <v>27712</v>
      </c>
      <c r="F11918" t="s">
        <v>30052</v>
      </c>
      <c r="G11918" t="s">
        <v>30058</v>
      </c>
      <c r="H11918" t="s">
        <v>30067</v>
      </c>
      <c r="I11918" t="s">
        <v>3693</v>
      </c>
      <c r="J11918" t="s">
        <v>37479</v>
      </c>
      <c r="K11918" t="s">
        <v>39057</v>
      </c>
      <c r="M11918" t="s">
        <v>42806</v>
      </c>
      <c r="N11918" t="s">
        <v>43166</v>
      </c>
      <c r="O11918" t="s">
        <v>43167</v>
      </c>
      <c r="P11918">
        <v>0</v>
      </c>
      <c r="Q11918">
        <v>4</v>
      </c>
      <c r="R11918" t="s">
        <v>43182</v>
      </c>
      <c r="S11918" t="s">
        <v>43789</v>
      </c>
      <c r="T11918" t="s">
        <v>44721</v>
      </c>
      <c r="U11918" t="s">
        <v>54714</v>
      </c>
      <c r="V11918" t="s">
        <v>57702</v>
      </c>
      <c r="W11918" t="s">
        <v>42806</v>
      </c>
      <c r="X11918" t="s">
        <v>43189</v>
      </c>
    </row>
    <row r="11919" spans="1:24">
      <c r="A11919">
        <f>HYPERLINK("https://www.philgeps.gov.ph/GEPSNONPILOT/Tender/SplashBidNoticeAbstractUI.aspx?menuIndex=3&amp;refID=7057312&amp;Result=3","7057312")</f>
        <v>0</v>
      </c>
      <c r="B11919" t="s">
        <v>3190</v>
      </c>
      <c r="C11919" t="s">
        <v>14798</v>
      </c>
      <c r="D11919" t="s">
        <v>17463</v>
      </c>
      <c r="E11919" t="s">
        <v>27713</v>
      </c>
      <c r="F11919" t="s">
        <v>30052</v>
      </c>
      <c r="G11919" t="s">
        <v>30058</v>
      </c>
      <c r="H11919" t="s">
        <v>30067</v>
      </c>
      <c r="I11919" t="s">
        <v>3693</v>
      </c>
      <c r="J11919" t="s">
        <v>37480</v>
      </c>
      <c r="K11919" t="s">
        <v>39139</v>
      </c>
      <c r="M11919" t="s">
        <v>42804</v>
      </c>
      <c r="N11919" t="s">
        <v>43166</v>
      </c>
      <c r="O11919" t="s">
        <v>43167</v>
      </c>
      <c r="P11919">
        <v>0</v>
      </c>
      <c r="Q11919">
        <v>70</v>
      </c>
      <c r="R11919" t="s">
        <v>43182</v>
      </c>
      <c r="S11919" t="s">
        <v>43789</v>
      </c>
      <c r="T11919" t="s">
        <v>44679</v>
      </c>
      <c r="U11919" t="s">
        <v>54715</v>
      </c>
      <c r="W11919" t="s">
        <v>42804</v>
      </c>
      <c r="X11919" t="s">
        <v>43185</v>
      </c>
    </row>
    <row r="11920" spans="1:24">
      <c r="A11920">
        <f>HYPERLINK("https://www.philgeps.gov.ph/GEPSNONPILOT/Tender/SplashBidNoticeAbstractUI.aspx?menuIndex=3&amp;refID=7043997&amp;Result=3","7043997")</f>
        <v>0</v>
      </c>
      <c r="B11920" t="s">
        <v>311</v>
      </c>
      <c r="C11920" t="s">
        <v>14799</v>
      </c>
      <c r="D11920" t="s">
        <v>17429</v>
      </c>
      <c r="E11920" t="s">
        <v>27714</v>
      </c>
      <c r="F11920" t="s">
        <v>30052</v>
      </c>
      <c r="G11920" t="s">
        <v>30058</v>
      </c>
      <c r="H11920" t="s">
        <v>30067</v>
      </c>
      <c r="I11920" t="s">
        <v>3693</v>
      </c>
      <c r="J11920" t="s">
        <v>33190</v>
      </c>
      <c r="K11920" t="s">
        <v>39031</v>
      </c>
      <c r="M11920" t="s">
        <v>39607</v>
      </c>
      <c r="N11920" t="s">
        <v>43166</v>
      </c>
      <c r="O11920" t="s">
        <v>43167</v>
      </c>
      <c r="P11920">
        <v>0</v>
      </c>
      <c r="Q11920">
        <v>0</v>
      </c>
      <c r="R11920" t="s">
        <v>43182</v>
      </c>
      <c r="S11920" t="s">
        <v>43789</v>
      </c>
      <c r="T11920" t="s">
        <v>44699</v>
      </c>
      <c r="U11920" t="s">
        <v>54716</v>
      </c>
      <c r="W11920" t="s">
        <v>39607</v>
      </c>
      <c r="X11920" t="s">
        <v>43285</v>
      </c>
    </row>
    <row r="11921" spans="1:24">
      <c r="A11921">
        <f>HYPERLINK("https://www.philgeps.gov.ph/GEPSNONPILOT/Tender/SplashBidNoticeAbstractUI.aspx?menuIndex=3&amp;refID=7057271&amp;Result=3","7057271")</f>
        <v>0</v>
      </c>
      <c r="B11921" t="s">
        <v>1500</v>
      </c>
      <c r="C11921" t="s">
        <v>14800</v>
      </c>
      <c r="D11921" t="s">
        <v>17462</v>
      </c>
      <c r="E11921" t="s">
        <v>20898</v>
      </c>
      <c r="F11921" t="s">
        <v>30052</v>
      </c>
      <c r="G11921" t="s">
        <v>30058</v>
      </c>
      <c r="H11921" t="s">
        <v>30067</v>
      </c>
      <c r="I11921" t="s">
        <v>3693</v>
      </c>
      <c r="J11921" t="s">
        <v>31198</v>
      </c>
      <c r="K11921" t="s">
        <v>39023</v>
      </c>
      <c r="M11921" t="s">
        <v>40884</v>
      </c>
      <c r="N11921" t="s">
        <v>43166</v>
      </c>
      <c r="O11921" t="s">
        <v>43167</v>
      </c>
      <c r="P11921">
        <v>0</v>
      </c>
      <c r="Q11921">
        <v>6</v>
      </c>
      <c r="R11921" t="s">
        <v>43182</v>
      </c>
      <c r="S11921" t="s">
        <v>43789</v>
      </c>
      <c r="T11921" t="s">
        <v>44881</v>
      </c>
      <c r="U11921" t="s">
        <v>54717</v>
      </c>
      <c r="W11921" t="s">
        <v>40884</v>
      </c>
      <c r="X11921" t="s">
        <v>43185</v>
      </c>
    </row>
    <row r="11922" spans="1:24">
      <c r="A11922">
        <f>HYPERLINK("https://www.philgeps.gov.ph/GEPSNONPILOT/Tender/SplashBidNoticeAbstractUI.aspx?menuIndex=3&amp;refID=7043993&amp;Result=3","7043993")</f>
        <v>0</v>
      </c>
      <c r="B11922" t="s">
        <v>311</v>
      </c>
      <c r="C11922" t="s">
        <v>14801</v>
      </c>
      <c r="D11922" t="s">
        <v>17429</v>
      </c>
      <c r="E11922" t="s">
        <v>27715</v>
      </c>
      <c r="F11922" t="s">
        <v>30052</v>
      </c>
      <c r="G11922" t="s">
        <v>30058</v>
      </c>
      <c r="H11922" t="s">
        <v>30067</v>
      </c>
      <c r="I11922" t="s">
        <v>3693</v>
      </c>
      <c r="J11922" t="s">
        <v>33190</v>
      </c>
      <c r="K11922" t="s">
        <v>39031</v>
      </c>
      <c r="M11922" t="s">
        <v>39607</v>
      </c>
      <c r="N11922" t="s">
        <v>43166</v>
      </c>
      <c r="O11922" t="s">
        <v>43167</v>
      </c>
      <c r="P11922">
        <v>0</v>
      </c>
      <c r="Q11922">
        <v>0</v>
      </c>
      <c r="R11922" t="s">
        <v>43182</v>
      </c>
      <c r="S11922" t="s">
        <v>43789</v>
      </c>
      <c r="T11922" t="s">
        <v>44699</v>
      </c>
      <c r="U11922" t="s">
        <v>54718</v>
      </c>
      <c r="W11922" t="s">
        <v>39607</v>
      </c>
      <c r="X11922" t="s">
        <v>43285</v>
      </c>
    </row>
    <row r="11923" spans="1:24">
      <c r="A11923">
        <f>HYPERLINK("https://www.philgeps.gov.ph/GEPSNONPILOT/Tender/SplashBidNoticeAbstractUI.aspx?menuIndex=3&amp;refID=7044001&amp;Result=3","7044001")</f>
        <v>0</v>
      </c>
      <c r="B11923" t="s">
        <v>311</v>
      </c>
      <c r="C11923" t="s">
        <v>14802</v>
      </c>
      <c r="D11923" t="s">
        <v>17429</v>
      </c>
      <c r="E11923" t="s">
        <v>27716</v>
      </c>
      <c r="F11923" t="s">
        <v>30052</v>
      </c>
      <c r="G11923" t="s">
        <v>30058</v>
      </c>
      <c r="H11923" t="s">
        <v>30067</v>
      </c>
      <c r="I11923" t="s">
        <v>3693</v>
      </c>
      <c r="J11923" t="s">
        <v>33190</v>
      </c>
      <c r="K11923" t="s">
        <v>39031</v>
      </c>
      <c r="M11923" t="s">
        <v>39607</v>
      </c>
      <c r="N11923" t="s">
        <v>43166</v>
      </c>
      <c r="O11923" t="s">
        <v>43167</v>
      </c>
      <c r="P11923">
        <v>0</v>
      </c>
      <c r="Q11923">
        <v>0</v>
      </c>
      <c r="R11923" t="s">
        <v>43182</v>
      </c>
      <c r="S11923" t="s">
        <v>43789</v>
      </c>
      <c r="T11923" t="s">
        <v>44699</v>
      </c>
      <c r="U11923" t="s">
        <v>54719</v>
      </c>
      <c r="W11923" t="s">
        <v>39607</v>
      </c>
      <c r="X11923" t="s">
        <v>43285</v>
      </c>
    </row>
    <row r="11924" spans="1:24">
      <c r="A11924">
        <f>HYPERLINK("https://www.philgeps.gov.ph/GEPSNONPILOT/Tender/SplashBidNoticeAbstractUI.aspx?menuIndex=3&amp;refID=7061672&amp;Result=3","7061672")</f>
        <v>0</v>
      </c>
      <c r="B11924" t="s">
        <v>2070</v>
      </c>
      <c r="C11924" t="s">
        <v>14803</v>
      </c>
      <c r="D11924" t="s">
        <v>17413</v>
      </c>
      <c r="E11924" t="s">
        <v>21486</v>
      </c>
      <c r="F11924" t="s">
        <v>30052</v>
      </c>
      <c r="G11924" t="s">
        <v>30058</v>
      </c>
      <c r="H11924" t="s">
        <v>15498</v>
      </c>
      <c r="I11924" t="s">
        <v>30144</v>
      </c>
      <c r="J11924" t="s">
        <v>33247</v>
      </c>
      <c r="K11924" t="s">
        <v>39017</v>
      </c>
      <c r="L11924" t="s">
        <v>2070</v>
      </c>
      <c r="M11924" t="s">
        <v>41530</v>
      </c>
      <c r="N11924" t="s">
        <v>43166</v>
      </c>
      <c r="O11924" t="s">
        <v>43167</v>
      </c>
      <c r="P11924">
        <v>0</v>
      </c>
      <c r="Q11924">
        <v>0</v>
      </c>
      <c r="R11924" t="s">
        <v>43181</v>
      </c>
      <c r="S11924" t="s">
        <v>43729</v>
      </c>
      <c r="T11924" t="s">
        <v>44804</v>
      </c>
      <c r="U11924" t="s">
        <v>54720</v>
      </c>
      <c r="W11924" t="s">
        <v>41530</v>
      </c>
      <c r="X11924" t="s">
        <v>43182</v>
      </c>
    </row>
    <row r="11925" spans="1:24">
      <c r="A11925">
        <f>HYPERLINK("https://www.philgeps.gov.ph/GEPSNONPILOT/Tender/SplashBidNoticeAbstractUI.aspx?menuIndex=3&amp;refID=7043998&amp;Result=3","7043998")</f>
        <v>0</v>
      </c>
      <c r="B11925" t="s">
        <v>311</v>
      </c>
      <c r="C11925" t="s">
        <v>14804</v>
      </c>
      <c r="D11925" t="s">
        <v>17429</v>
      </c>
      <c r="E11925" t="s">
        <v>27717</v>
      </c>
      <c r="F11925" t="s">
        <v>30052</v>
      </c>
      <c r="G11925" t="s">
        <v>30058</v>
      </c>
      <c r="H11925" t="s">
        <v>30067</v>
      </c>
      <c r="I11925" t="s">
        <v>3693</v>
      </c>
      <c r="J11925" t="s">
        <v>33190</v>
      </c>
      <c r="K11925" t="s">
        <v>39031</v>
      </c>
      <c r="M11925" t="s">
        <v>39607</v>
      </c>
      <c r="N11925" t="s">
        <v>43166</v>
      </c>
      <c r="O11925" t="s">
        <v>43167</v>
      </c>
      <c r="P11925">
        <v>0</v>
      </c>
      <c r="Q11925">
        <v>0</v>
      </c>
      <c r="R11925" t="s">
        <v>43182</v>
      </c>
      <c r="S11925" t="s">
        <v>43789</v>
      </c>
      <c r="T11925" t="s">
        <v>44699</v>
      </c>
      <c r="U11925" t="s">
        <v>54721</v>
      </c>
      <c r="W11925" t="s">
        <v>39607</v>
      </c>
      <c r="X11925" t="s">
        <v>43285</v>
      </c>
    </row>
    <row r="11926" spans="1:24">
      <c r="A11926">
        <f>HYPERLINK("https://www.philgeps.gov.ph/GEPSNONPILOT/Tender/SplashBidNoticeAbstractUI.aspx?menuIndex=3&amp;refID=7058279&amp;Result=3","7058279")</f>
        <v>0</v>
      </c>
      <c r="B11926" t="s">
        <v>344</v>
      </c>
      <c r="C11926" t="s">
        <v>14805</v>
      </c>
      <c r="D11926" t="s">
        <v>17461</v>
      </c>
      <c r="E11926" t="s">
        <v>27718</v>
      </c>
      <c r="F11926" t="s">
        <v>30052</v>
      </c>
      <c r="G11926" t="s">
        <v>30058</v>
      </c>
      <c r="H11926" t="s">
        <v>30067</v>
      </c>
      <c r="I11926" t="s">
        <v>3693</v>
      </c>
      <c r="J11926" t="s">
        <v>37481</v>
      </c>
      <c r="K11926" t="s">
        <v>39031</v>
      </c>
      <c r="M11926" t="s">
        <v>39641</v>
      </c>
      <c r="N11926" t="s">
        <v>43166</v>
      </c>
      <c r="O11926" t="s">
        <v>43167</v>
      </c>
      <c r="P11926">
        <v>0</v>
      </c>
      <c r="Q11926">
        <v>0</v>
      </c>
      <c r="R11926" t="s">
        <v>43182</v>
      </c>
      <c r="S11926" t="s">
        <v>43789</v>
      </c>
      <c r="T11926" t="s">
        <v>44761</v>
      </c>
      <c r="U11926" t="s">
        <v>54722</v>
      </c>
      <c r="V11926" t="s">
        <v>57465</v>
      </c>
      <c r="W11926" t="s">
        <v>39641</v>
      </c>
      <c r="X11926" t="s">
        <v>43184</v>
      </c>
    </row>
    <row r="11927" spans="1:24">
      <c r="A11927">
        <f>HYPERLINK("https://www.philgeps.gov.ph/GEPSNONPILOT/Tender/SplashBidNoticeAbstractUI.aspx?menuIndex=3&amp;refID=7043995&amp;Result=3","7043995")</f>
        <v>0</v>
      </c>
      <c r="B11927" t="s">
        <v>311</v>
      </c>
      <c r="C11927" t="s">
        <v>14806</v>
      </c>
      <c r="D11927" t="s">
        <v>17429</v>
      </c>
      <c r="E11927" t="s">
        <v>27719</v>
      </c>
      <c r="F11927" t="s">
        <v>30052</v>
      </c>
      <c r="G11927" t="s">
        <v>30058</v>
      </c>
      <c r="H11927" t="s">
        <v>30067</v>
      </c>
      <c r="I11927" t="s">
        <v>3693</v>
      </c>
      <c r="J11927" t="s">
        <v>33190</v>
      </c>
      <c r="K11927" t="s">
        <v>39031</v>
      </c>
      <c r="M11927" t="s">
        <v>39607</v>
      </c>
      <c r="N11927" t="s">
        <v>43166</v>
      </c>
      <c r="O11927" t="s">
        <v>43167</v>
      </c>
      <c r="P11927">
        <v>0</v>
      </c>
      <c r="Q11927">
        <v>0</v>
      </c>
      <c r="R11927" t="s">
        <v>43182</v>
      </c>
      <c r="S11927" t="s">
        <v>43789</v>
      </c>
      <c r="T11927" t="s">
        <v>44699</v>
      </c>
      <c r="U11927" t="s">
        <v>54723</v>
      </c>
      <c r="W11927" t="s">
        <v>39607</v>
      </c>
      <c r="X11927" t="s">
        <v>43285</v>
      </c>
    </row>
    <row r="11928" spans="1:24">
      <c r="A11928">
        <f>HYPERLINK("https://www.philgeps.gov.ph/GEPSNONPILOT/Tender/SplashBidNoticeAbstractUI.aspx?menuIndex=3&amp;refID=7058360&amp;Result=3","7058360")</f>
        <v>0</v>
      </c>
      <c r="B11928" t="s">
        <v>2780</v>
      </c>
      <c r="C11928" t="s">
        <v>14807</v>
      </c>
      <c r="D11928" t="s">
        <v>17466</v>
      </c>
      <c r="E11928" t="s">
        <v>27720</v>
      </c>
      <c r="F11928" t="s">
        <v>30052</v>
      </c>
      <c r="G11928" t="s">
        <v>30058</v>
      </c>
      <c r="H11928" t="s">
        <v>15498</v>
      </c>
      <c r="I11928" t="s">
        <v>9238</v>
      </c>
      <c r="J11928" t="s">
        <v>37482</v>
      </c>
      <c r="K11928" t="s">
        <v>39023</v>
      </c>
      <c r="M11928" t="s">
        <v>42316</v>
      </c>
      <c r="N11928" t="s">
        <v>43166</v>
      </c>
      <c r="O11928" t="s">
        <v>43167</v>
      </c>
      <c r="Q11928">
        <v>39</v>
      </c>
      <c r="R11928" t="s">
        <v>43182</v>
      </c>
      <c r="S11928" t="s">
        <v>43812</v>
      </c>
      <c r="T11928" t="s">
        <v>44679</v>
      </c>
      <c r="U11928" t="s">
        <v>54724</v>
      </c>
      <c r="W11928" t="s">
        <v>42316</v>
      </c>
      <c r="X11928" t="s">
        <v>43184</v>
      </c>
    </row>
    <row r="11929" spans="1:24">
      <c r="A11929">
        <f>HYPERLINK("https://www.philgeps.gov.ph/GEPSNONPILOT/Tender/SplashBidNoticeAbstractUI.aspx?menuIndex=3&amp;refID=7057406&amp;Result=3","7057406")</f>
        <v>0</v>
      </c>
      <c r="B11929" t="s">
        <v>3190</v>
      </c>
      <c r="C11929" t="s">
        <v>14808</v>
      </c>
      <c r="D11929" t="s">
        <v>17463</v>
      </c>
      <c r="E11929" t="s">
        <v>27721</v>
      </c>
      <c r="F11929" t="s">
        <v>30052</v>
      </c>
      <c r="G11929" t="s">
        <v>30058</v>
      </c>
      <c r="H11929" t="s">
        <v>30067</v>
      </c>
      <c r="I11929" t="s">
        <v>3693</v>
      </c>
      <c r="J11929" t="s">
        <v>30247</v>
      </c>
      <c r="K11929" t="s">
        <v>39243</v>
      </c>
      <c r="M11929" t="s">
        <v>42804</v>
      </c>
      <c r="N11929" t="s">
        <v>43166</v>
      </c>
      <c r="O11929" t="s">
        <v>43167</v>
      </c>
      <c r="P11929">
        <v>0</v>
      </c>
      <c r="Q11929">
        <v>67</v>
      </c>
      <c r="R11929" t="s">
        <v>43182</v>
      </c>
      <c r="S11929" t="s">
        <v>43789</v>
      </c>
      <c r="T11929" t="s">
        <v>44679</v>
      </c>
      <c r="U11929" t="s">
        <v>54725</v>
      </c>
      <c r="W11929" t="s">
        <v>42804</v>
      </c>
      <c r="X11929" t="s">
        <v>43185</v>
      </c>
    </row>
    <row r="11930" spans="1:24">
      <c r="A11930">
        <f>HYPERLINK("https://www.philgeps.gov.ph/GEPSNONPILOT/Tender/SplashBidNoticeAbstractUI.aspx?menuIndex=3&amp;refID=7058342&amp;Result=3","7058342")</f>
        <v>0</v>
      </c>
      <c r="B11930" t="s">
        <v>3193</v>
      </c>
      <c r="C11930" t="s">
        <v>14809</v>
      </c>
      <c r="D11930" t="s">
        <v>17425</v>
      </c>
      <c r="E11930" t="s">
        <v>18907</v>
      </c>
      <c r="F11930" t="s">
        <v>30055</v>
      </c>
      <c r="G11930" t="s">
        <v>30058</v>
      </c>
      <c r="H11930" t="s">
        <v>15498</v>
      </c>
      <c r="I11930" t="s">
        <v>3736</v>
      </c>
      <c r="J11930" t="s">
        <v>37483</v>
      </c>
      <c r="K11930" t="s">
        <v>39026</v>
      </c>
      <c r="M11930" t="s">
        <v>42807</v>
      </c>
      <c r="N11930" t="s">
        <v>43166</v>
      </c>
      <c r="O11930" t="s">
        <v>43167</v>
      </c>
      <c r="P11930">
        <v>0</v>
      </c>
      <c r="Q11930">
        <v>1</v>
      </c>
      <c r="R11930" t="s">
        <v>43182</v>
      </c>
      <c r="S11930" t="s">
        <v>43789</v>
      </c>
      <c r="T11930" t="s">
        <v>44713</v>
      </c>
      <c r="U11930" t="s">
        <v>54726</v>
      </c>
      <c r="W11930" t="s">
        <v>42807</v>
      </c>
      <c r="X11930" t="s">
        <v>43184</v>
      </c>
    </row>
    <row r="11931" spans="1:24">
      <c r="A11931">
        <f>HYPERLINK("https://www.philgeps.gov.ph/GEPSNONPILOT/Tender/SplashBidNoticeAbstractUI.aspx?menuIndex=3&amp;refID=7044002&amp;Result=3","7044002")</f>
        <v>0</v>
      </c>
      <c r="B11931" t="s">
        <v>311</v>
      </c>
      <c r="C11931" t="s">
        <v>14810</v>
      </c>
      <c r="D11931" t="s">
        <v>17429</v>
      </c>
      <c r="E11931" t="s">
        <v>27722</v>
      </c>
      <c r="F11931" t="s">
        <v>30052</v>
      </c>
      <c r="G11931" t="s">
        <v>30058</v>
      </c>
      <c r="H11931" t="s">
        <v>30067</v>
      </c>
      <c r="I11931" t="s">
        <v>3693</v>
      </c>
      <c r="J11931" t="s">
        <v>33190</v>
      </c>
      <c r="K11931" t="s">
        <v>39031</v>
      </c>
      <c r="M11931" t="s">
        <v>39607</v>
      </c>
      <c r="N11931" t="s">
        <v>43166</v>
      </c>
      <c r="O11931" t="s">
        <v>43167</v>
      </c>
      <c r="P11931">
        <v>0</v>
      </c>
      <c r="Q11931">
        <v>0</v>
      </c>
      <c r="R11931" t="s">
        <v>43182</v>
      </c>
      <c r="S11931" t="s">
        <v>43789</v>
      </c>
      <c r="T11931" t="s">
        <v>44699</v>
      </c>
      <c r="U11931" t="s">
        <v>54727</v>
      </c>
      <c r="W11931" t="s">
        <v>39607</v>
      </c>
      <c r="X11931" t="s">
        <v>43285</v>
      </c>
    </row>
    <row r="11932" spans="1:24">
      <c r="A11932">
        <f>HYPERLINK("https://www.philgeps.gov.ph/GEPSNONPILOT/Tender/SplashBidNoticeAbstractUI.aspx?menuIndex=3&amp;refID=7058310&amp;Result=3","7058310")</f>
        <v>0</v>
      </c>
      <c r="B11932" t="s">
        <v>344</v>
      </c>
      <c r="C11932" t="s">
        <v>14811</v>
      </c>
      <c r="D11932" t="s">
        <v>17461</v>
      </c>
      <c r="E11932" t="s">
        <v>27723</v>
      </c>
      <c r="F11932" t="s">
        <v>30052</v>
      </c>
      <c r="G11932" t="s">
        <v>30058</v>
      </c>
      <c r="H11932" t="s">
        <v>15498</v>
      </c>
      <c r="I11932" t="s">
        <v>30085</v>
      </c>
      <c r="J11932" t="s">
        <v>36400</v>
      </c>
      <c r="K11932" t="s">
        <v>39019</v>
      </c>
      <c r="M11932" t="s">
        <v>39641</v>
      </c>
      <c r="N11932" t="s">
        <v>43166</v>
      </c>
      <c r="O11932" t="s">
        <v>43167</v>
      </c>
      <c r="P11932">
        <v>0</v>
      </c>
      <c r="Q11932">
        <v>5</v>
      </c>
      <c r="R11932" t="s">
        <v>43182</v>
      </c>
      <c r="S11932" t="s">
        <v>43789</v>
      </c>
      <c r="T11932" t="s">
        <v>44761</v>
      </c>
      <c r="U11932" t="s">
        <v>54728</v>
      </c>
      <c r="V11932" t="s">
        <v>57465</v>
      </c>
      <c r="W11932" t="s">
        <v>39641</v>
      </c>
      <c r="X11932" t="s">
        <v>43184</v>
      </c>
    </row>
    <row r="11933" spans="1:24">
      <c r="A11933">
        <f>HYPERLINK("https://www.philgeps.gov.ph/GEPSNONPILOT/Tender/SplashBidNoticeAbstractUI.aspx?menuIndex=3&amp;refID=7057286&amp;Result=3","7057286")</f>
        <v>0</v>
      </c>
      <c r="B11933" t="s">
        <v>2889</v>
      </c>
      <c r="C11933" t="s">
        <v>14812</v>
      </c>
      <c r="D11933" t="s">
        <v>17475</v>
      </c>
      <c r="E11933" t="s">
        <v>18839</v>
      </c>
      <c r="F11933" t="s">
        <v>30052</v>
      </c>
      <c r="G11933" t="s">
        <v>30058</v>
      </c>
      <c r="H11933" t="s">
        <v>30067</v>
      </c>
      <c r="I11933" t="s">
        <v>3693</v>
      </c>
      <c r="J11933" t="s">
        <v>37484</v>
      </c>
      <c r="K11933" t="s">
        <v>39270</v>
      </c>
      <c r="M11933" t="s">
        <v>42440</v>
      </c>
      <c r="N11933" t="s">
        <v>43166</v>
      </c>
      <c r="O11933" t="s">
        <v>43167</v>
      </c>
      <c r="P11933">
        <v>0</v>
      </c>
      <c r="Q11933">
        <v>6</v>
      </c>
      <c r="R11933" t="s">
        <v>43182</v>
      </c>
      <c r="S11933" t="s">
        <v>43789</v>
      </c>
      <c r="T11933" t="s">
        <v>44796</v>
      </c>
      <c r="U11933" t="s">
        <v>54684</v>
      </c>
      <c r="W11933" t="s">
        <v>42440</v>
      </c>
      <c r="X11933" t="s">
        <v>43185</v>
      </c>
    </row>
    <row r="11934" spans="1:24">
      <c r="A11934">
        <f>HYPERLINK("https://www.philgeps.gov.ph/GEPSNONPILOT/Tender/SplashBidNoticeAbstractUI.aspx?menuIndex=3&amp;refID=7058289&amp;Result=3","7058289")</f>
        <v>0</v>
      </c>
      <c r="B11934" t="s">
        <v>344</v>
      </c>
      <c r="C11934" t="s">
        <v>14813</v>
      </c>
      <c r="D11934" t="s">
        <v>17461</v>
      </c>
      <c r="E11934" t="s">
        <v>27724</v>
      </c>
      <c r="F11934" t="s">
        <v>30052</v>
      </c>
      <c r="G11934" t="s">
        <v>30058</v>
      </c>
      <c r="H11934" t="s">
        <v>15498</v>
      </c>
      <c r="I11934" t="s">
        <v>3736</v>
      </c>
      <c r="J11934" t="s">
        <v>37485</v>
      </c>
      <c r="K11934" t="s">
        <v>39046</v>
      </c>
      <c r="M11934" t="s">
        <v>39641</v>
      </c>
      <c r="N11934" t="s">
        <v>43166</v>
      </c>
      <c r="O11934" t="s">
        <v>43167</v>
      </c>
      <c r="P11934">
        <v>0</v>
      </c>
      <c r="Q11934">
        <v>2</v>
      </c>
      <c r="R11934" t="s">
        <v>43182</v>
      </c>
      <c r="S11934" t="s">
        <v>43789</v>
      </c>
      <c r="T11934" t="s">
        <v>44761</v>
      </c>
      <c r="U11934" t="s">
        <v>54729</v>
      </c>
      <c r="V11934" t="s">
        <v>57465</v>
      </c>
      <c r="W11934" t="s">
        <v>39641</v>
      </c>
      <c r="X11934" t="s">
        <v>43184</v>
      </c>
    </row>
    <row r="11935" spans="1:24">
      <c r="A11935">
        <f>HYPERLINK("https://www.philgeps.gov.ph/GEPSNONPILOT/Tender/SplashBidNoticeAbstractUI.aspx?menuIndex=3&amp;refID=7058075&amp;Result=3","7058075")</f>
        <v>0</v>
      </c>
      <c r="B11935" t="s">
        <v>2396</v>
      </c>
      <c r="C11935" t="s">
        <v>14814</v>
      </c>
      <c r="D11935" t="s">
        <v>17459</v>
      </c>
      <c r="E11935" t="s">
        <v>27725</v>
      </c>
      <c r="F11935" t="s">
        <v>30052</v>
      </c>
      <c r="G11935" t="s">
        <v>30058</v>
      </c>
      <c r="H11935" t="s">
        <v>30067</v>
      </c>
      <c r="I11935" t="s">
        <v>3693</v>
      </c>
      <c r="J11935" t="s">
        <v>37486</v>
      </c>
      <c r="K11935" t="s">
        <v>39272</v>
      </c>
      <c r="M11935" t="s">
        <v>41892</v>
      </c>
      <c r="N11935" t="s">
        <v>43166</v>
      </c>
      <c r="O11935" t="s">
        <v>43167</v>
      </c>
      <c r="Q11935">
        <v>0</v>
      </c>
      <c r="R11935" t="s">
        <v>43182</v>
      </c>
      <c r="S11935" t="s">
        <v>43813</v>
      </c>
      <c r="T11935" t="s">
        <v>44681</v>
      </c>
      <c r="U11935" t="s">
        <v>54730</v>
      </c>
      <c r="W11935" t="s">
        <v>41892</v>
      </c>
      <c r="X11935" t="s">
        <v>43184</v>
      </c>
    </row>
    <row r="11936" spans="1:24">
      <c r="A11936">
        <f>HYPERLINK("https://www.philgeps.gov.ph/GEPSNONPILOT/Tender/SplashBidNoticeAbstractUI.aspx?menuIndex=3&amp;refID=7057929&amp;Result=3","7057929")</f>
        <v>0</v>
      </c>
      <c r="B11936" t="s">
        <v>3194</v>
      </c>
      <c r="C11936" t="s">
        <v>14815</v>
      </c>
      <c r="D11936" t="s">
        <v>17445</v>
      </c>
      <c r="E11936" t="s">
        <v>27726</v>
      </c>
      <c r="F11936" t="s">
        <v>30052</v>
      </c>
      <c r="G11936" t="s">
        <v>30058</v>
      </c>
      <c r="H11936" t="s">
        <v>30067</v>
      </c>
      <c r="I11936" t="s">
        <v>3693</v>
      </c>
      <c r="J11936" t="s">
        <v>37487</v>
      </c>
      <c r="K11936" t="s">
        <v>39023</v>
      </c>
      <c r="M11936" t="s">
        <v>42808</v>
      </c>
      <c r="N11936" t="s">
        <v>43166</v>
      </c>
      <c r="O11936" t="s">
        <v>43167</v>
      </c>
      <c r="P11936">
        <v>0</v>
      </c>
      <c r="Q11936">
        <v>4</v>
      </c>
      <c r="R11936" t="s">
        <v>43182</v>
      </c>
      <c r="S11936" t="s">
        <v>43789</v>
      </c>
      <c r="T11936" t="s">
        <v>44797</v>
      </c>
      <c r="U11936" t="s">
        <v>54731</v>
      </c>
      <c r="V11936" t="s">
        <v>58147</v>
      </c>
      <c r="W11936" t="s">
        <v>42808</v>
      </c>
      <c r="X11936" t="s">
        <v>43185</v>
      </c>
    </row>
    <row r="11937" spans="1:24">
      <c r="A11937">
        <f>HYPERLINK("https://www.philgeps.gov.ph/GEPSNONPILOT/Tender/SplashBidNoticeAbstractUI.aspx?menuIndex=3&amp;refID=7057766&amp;Result=3","7057766")</f>
        <v>0</v>
      </c>
      <c r="B11937" t="s">
        <v>667</v>
      </c>
      <c r="C11937" t="s">
        <v>14816</v>
      </c>
      <c r="E11937" t="s">
        <v>27727</v>
      </c>
      <c r="F11937" t="s">
        <v>30052</v>
      </c>
      <c r="G11937" t="s">
        <v>30058</v>
      </c>
      <c r="H11937" t="s">
        <v>15498</v>
      </c>
      <c r="I11937" t="s">
        <v>30084</v>
      </c>
      <c r="J11937" t="s">
        <v>37488</v>
      </c>
      <c r="K11937" t="s">
        <v>39025</v>
      </c>
      <c r="M11937" t="s">
        <v>39973</v>
      </c>
      <c r="N11937" t="s">
        <v>43166</v>
      </c>
      <c r="O11937" t="s">
        <v>43167</v>
      </c>
      <c r="Q11937">
        <v>29</v>
      </c>
      <c r="R11937" t="s">
        <v>43182</v>
      </c>
      <c r="S11937" t="s">
        <v>43814</v>
      </c>
      <c r="T11937" t="s">
        <v>45049</v>
      </c>
      <c r="U11937" t="s">
        <v>49135</v>
      </c>
      <c r="W11937" t="s">
        <v>39973</v>
      </c>
      <c r="X11937" t="s">
        <v>43185</v>
      </c>
    </row>
    <row r="11938" spans="1:24">
      <c r="A11938">
        <f>HYPERLINK("https://www.philgeps.gov.ph/GEPSNONPILOT/Tender/SplashBidNoticeAbstractUI.aspx?menuIndex=3&amp;refID=7058315&amp;Result=3","7058315")</f>
        <v>0</v>
      </c>
      <c r="B11938" t="s">
        <v>344</v>
      </c>
      <c r="C11938" t="s">
        <v>14817</v>
      </c>
      <c r="D11938" t="s">
        <v>17461</v>
      </c>
      <c r="E11938" t="s">
        <v>27728</v>
      </c>
      <c r="F11938" t="s">
        <v>30052</v>
      </c>
      <c r="G11938" t="s">
        <v>30058</v>
      </c>
      <c r="H11938" t="s">
        <v>15498</v>
      </c>
      <c r="I11938" t="s">
        <v>30168</v>
      </c>
      <c r="J11938" t="s">
        <v>37489</v>
      </c>
      <c r="K11938" t="s">
        <v>39019</v>
      </c>
      <c r="M11938" t="s">
        <v>39641</v>
      </c>
      <c r="N11938" t="s">
        <v>43166</v>
      </c>
      <c r="O11938" t="s">
        <v>43167</v>
      </c>
      <c r="P11938">
        <v>0</v>
      </c>
      <c r="Q11938">
        <v>8</v>
      </c>
      <c r="R11938" t="s">
        <v>43182</v>
      </c>
      <c r="S11938" t="s">
        <v>43789</v>
      </c>
      <c r="T11938" t="s">
        <v>44761</v>
      </c>
      <c r="U11938" t="s">
        <v>54732</v>
      </c>
      <c r="V11938" t="s">
        <v>57465</v>
      </c>
      <c r="W11938" t="s">
        <v>39641</v>
      </c>
      <c r="X11938" t="s">
        <v>43184</v>
      </c>
    </row>
    <row r="11939" spans="1:24">
      <c r="A11939">
        <f>HYPERLINK("https://www.philgeps.gov.ph/GEPSNONPILOT/Tender/SplashBidNoticeAbstractUI.aspx?menuIndex=3&amp;refID=7057723&amp;Result=3","7057723")</f>
        <v>0</v>
      </c>
      <c r="B11939" t="s">
        <v>600</v>
      </c>
      <c r="C11939" t="s">
        <v>14818</v>
      </c>
      <c r="D11939" t="s">
        <v>17440</v>
      </c>
      <c r="E11939" t="s">
        <v>27729</v>
      </c>
      <c r="F11939" t="s">
        <v>30052</v>
      </c>
      <c r="G11939" t="s">
        <v>30058</v>
      </c>
      <c r="H11939" t="s">
        <v>30067</v>
      </c>
      <c r="I11939" t="s">
        <v>4598</v>
      </c>
      <c r="J11939" t="s">
        <v>30209</v>
      </c>
      <c r="K11939" t="s">
        <v>39029</v>
      </c>
      <c r="M11939" t="s">
        <v>39902</v>
      </c>
      <c r="N11939" t="s">
        <v>43166</v>
      </c>
      <c r="O11939" t="s">
        <v>43167</v>
      </c>
      <c r="P11939">
        <v>0</v>
      </c>
      <c r="Q11939">
        <v>5</v>
      </c>
      <c r="R11939" t="s">
        <v>43182</v>
      </c>
      <c r="S11939" t="s">
        <v>43789</v>
      </c>
      <c r="T11939" t="s">
        <v>44804</v>
      </c>
      <c r="U11939" t="s">
        <v>54733</v>
      </c>
      <c r="V11939" t="s">
        <v>56987</v>
      </c>
      <c r="W11939" t="s">
        <v>39902</v>
      </c>
      <c r="X11939" t="s">
        <v>43185</v>
      </c>
    </row>
    <row r="11940" spans="1:24">
      <c r="A11940">
        <f>HYPERLINK("https://www.philgeps.gov.ph/GEPSNONPILOT/Tender/SplashBidNoticeAbstractUI.aspx?menuIndex=3&amp;refID=7057447&amp;Result=3","7057447")</f>
        <v>0</v>
      </c>
      <c r="B11940" t="s">
        <v>3190</v>
      </c>
      <c r="C11940" t="s">
        <v>14819</v>
      </c>
      <c r="D11940" t="s">
        <v>17463</v>
      </c>
      <c r="E11940" t="s">
        <v>27730</v>
      </c>
      <c r="F11940" t="s">
        <v>30052</v>
      </c>
      <c r="G11940" t="s">
        <v>30058</v>
      </c>
      <c r="H11940" t="s">
        <v>30067</v>
      </c>
      <c r="I11940" t="s">
        <v>3693</v>
      </c>
      <c r="J11940" t="s">
        <v>37472</v>
      </c>
      <c r="K11940" t="s">
        <v>39054</v>
      </c>
      <c r="M11940" t="s">
        <v>42804</v>
      </c>
      <c r="N11940" t="s">
        <v>43166</v>
      </c>
      <c r="O11940" t="s">
        <v>43167</v>
      </c>
      <c r="P11940">
        <v>0</v>
      </c>
      <c r="Q11940">
        <v>68</v>
      </c>
      <c r="R11940" t="s">
        <v>43182</v>
      </c>
      <c r="S11940" t="s">
        <v>43789</v>
      </c>
      <c r="T11940" t="s">
        <v>44679</v>
      </c>
      <c r="U11940" t="s">
        <v>54734</v>
      </c>
      <c r="W11940" t="s">
        <v>42804</v>
      </c>
      <c r="X11940" t="s">
        <v>43185</v>
      </c>
    </row>
    <row r="11941" spans="1:24">
      <c r="A11941">
        <f>HYPERLINK("https://www.philgeps.gov.ph/GEPSNONPILOT/Tender/SplashBidNoticeAbstractUI.aspx?menuIndex=3&amp;refID=7058305&amp;Result=3","7058305")</f>
        <v>0</v>
      </c>
      <c r="B11941" t="s">
        <v>344</v>
      </c>
      <c r="C11941" t="s">
        <v>14820</v>
      </c>
      <c r="D11941" t="s">
        <v>17461</v>
      </c>
      <c r="E11941" t="s">
        <v>27731</v>
      </c>
      <c r="F11941" t="s">
        <v>30052</v>
      </c>
      <c r="G11941" t="s">
        <v>30058</v>
      </c>
      <c r="H11941" t="s">
        <v>15498</v>
      </c>
      <c r="I11941" t="s">
        <v>30096</v>
      </c>
      <c r="J11941" t="s">
        <v>30711</v>
      </c>
      <c r="K11941" t="s">
        <v>39019</v>
      </c>
      <c r="M11941" t="s">
        <v>39641</v>
      </c>
      <c r="N11941" t="s">
        <v>43166</v>
      </c>
      <c r="O11941" t="s">
        <v>43167</v>
      </c>
      <c r="P11941">
        <v>0</v>
      </c>
      <c r="Q11941">
        <v>5</v>
      </c>
      <c r="R11941" t="s">
        <v>43182</v>
      </c>
      <c r="S11941" t="s">
        <v>43789</v>
      </c>
      <c r="T11941" t="s">
        <v>44761</v>
      </c>
      <c r="U11941" t="s">
        <v>54735</v>
      </c>
      <c r="V11941" t="s">
        <v>57465</v>
      </c>
      <c r="W11941" t="s">
        <v>39641</v>
      </c>
      <c r="X11941" t="s">
        <v>43184</v>
      </c>
    </row>
    <row r="11942" spans="1:24">
      <c r="A11942">
        <f>HYPERLINK("https://www.philgeps.gov.ph/GEPSNONPILOT/Tender/SplashBidNoticeAbstractUI.aspx?menuIndex=3&amp;refID=7057635&amp;Result=3","7057635")</f>
        <v>0</v>
      </c>
      <c r="B11942" t="s">
        <v>1371</v>
      </c>
      <c r="C11942" t="s">
        <v>14821</v>
      </c>
      <c r="D11942" t="s">
        <v>17415</v>
      </c>
      <c r="E11942" t="s">
        <v>17719</v>
      </c>
      <c r="F11942" t="s">
        <v>30055</v>
      </c>
      <c r="G11942" t="s">
        <v>30058</v>
      </c>
      <c r="H11942" t="s">
        <v>15498</v>
      </c>
      <c r="I11942" t="s">
        <v>3852</v>
      </c>
      <c r="J11942" t="s">
        <v>30776</v>
      </c>
      <c r="K11942" t="s">
        <v>39029</v>
      </c>
      <c r="M11942" t="s">
        <v>40743</v>
      </c>
      <c r="N11942" t="s">
        <v>43166</v>
      </c>
      <c r="O11942" t="s">
        <v>43167</v>
      </c>
      <c r="P11942">
        <v>0</v>
      </c>
      <c r="Q11942">
        <v>2</v>
      </c>
      <c r="R11942" t="s">
        <v>43182</v>
      </c>
      <c r="S11942" t="s">
        <v>43789</v>
      </c>
      <c r="T11942" t="s">
        <v>45163</v>
      </c>
      <c r="U11942" t="s">
        <v>54736</v>
      </c>
      <c r="W11942" t="s">
        <v>40743</v>
      </c>
      <c r="X11942" t="s">
        <v>43185</v>
      </c>
    </row>
    <row r="11943" spans="1:24">
      <c r="A11943">
        <f>HYPERLINK("https://www.philgeps.gov.ph/GEPSNONPILOT/Tender/SplashBidNoticeAbstractUI.aspx?menuIndex=3&amp;refID=7057602&amp;Result=3","7057602")</f>
        <v>0</v>
      </c>
      <c r="B11943" t="s">
        <v>1371</v>
      </c>
      <c r="C11943" t="s">
        <v>14822</v>
      </c>
      <c r="D11943" t="s">
        <v>17415</v>
      </c>
      <c r="E11943" t="s">
        <v>17799</v>
      </c>
      <c r="F11943" t="s">
        <v>30055</v>
      </c>
      <c r="G11943" t="s">
        <v>30058</v>
      </c>
      <c r="H11943" t="s">
        <v>15498</v>
      </c>
      <c r="I11943" t="s">
        <v>30125</v>
      </c>
      <c r="J11943" t="s">
        <v>30397</v>
      </c>
      <c r="K11943" t="s">
        <v>39029</v>
      </c>
      <c r="M11943" t="s">
        <v>40743</v>
      </c>
      <c r="N11943" t="s">
        <v>43166</v>
      </c>
      <c r="O11943" t="s">
        <v>43167</v>
      </c>
      <c r="P11943">
        <v>0</v>
      </c>
      <c r="Q11943">
        <v>6</v>
      </c>
      <c r="R11943" t="s">
        <v>43182</v>
      </c>
      <c r="S11943" t="s">
        <v>43789</v>
      </c>
      <c r="T11943" t="s">
        <v>45163</v>
      </c>
      <c r="U11943" t="s">
        <v>54737</v>
      </c>
      <c r="W11943" t="s">
        <v>40743</v>
      </c>
      <c r="X11943" t="s">
        <v>43185</v>
      </c>
    </row>
    <row r="11944" spans="1:24">
      <c r="A11944">
        <f>HYPERLINK("https://www.philgeps.gov.ph/GEPSNONPILOT/Tender/SplashBidNoticeAbstractUI.aspx?menuIndex=3&amp;refID=7057576&amp;Result=3","7057576")</f>
        <v>0</v>
      </c>
      <c r="B11944" t="s">
        <v>3168</v>
      </c>
      <c r="C11944" t="s">
        <v>14823</v>
      </c>
      <c r="D11944" t="s">
        <v>17459</v>
      </c>
      <c r="E11944" t="s">
        <v>27732</v>
      </c>
      <c r="F11944" t="s">
        <v>30052</v>
      </c>
      <c r="G11944" t="s">
        <v>30058</v>
      </c>
      <c r="H11944" t="s">
        <v>15498</v>
      </c>
      <c r="I11944" t="s">
        <v>30100</v>
      </c>
      <c r="J11944" t="s">
        <v>37490</v>
      </c>
      <c r="K11944" t="s">
        <v>39059</v>
      </c>
      <c r="M11944" t="s">
        <v>42775</v>
      </c>
      <c r="N11944" t="s">
        <v>43166</v>
      </c>
      <c r="O11944" t="s">
        <v>43167</v>
      </c>
      <c r="Q11944">
        <v>0</v>
      </c>
      <c r="R11944" t="s">
        <v>43182</v>
      </c>
      <c r="S11944" t="s">
        <v>43815</v>
      </c>
      <c r="T11944" t="s">
        <v>44802</v>
      </c>
      <c r="U11944" t="s">
        <v>54738</v>
      </c>
      <c r="W11944" t="s">
        <v>42775</v>
      </c>
      <c r="X11944" t="s">
        <v>43185</v>
      </c>
    </row>
    <row r="11945" spans="1:24">
      <c r="A11945">
        <f>HYPERLINK("https://www.philgeps.gov.ph/GEPSNONPILOT/Tender/SplashBidNoticeAbstractUI.aspx?menuIndex=3&amp;refID=7061668&amp;Result=3","7061668")</f>
        <v>0</v>
      </c>
      <c r="B11945" t="s">
        <v>2070</v>
      </c>
      <c r="C11945" t="s">
        <v>14824</v>
      </c>
      <c r="D11945" t="s">
        <v>17413</v>
      </c>
      <c r="E11945" t="s">
        <v>24131</v>
      </c>
      <c r="F11945" t="s">
        <v>30052</v>
      </c>
      <c r="G11945" t="s">
        <v>30058</v>
      </c>
      <c r="H11945" t="s">
        <v>15498</v>
      </c>
      <c r="I11945" t="s">
        <v>30087</v>
      </c>
      <c r="J11945" t="s">
        <v>37491</v>
      </c>
      <c r="K11945" t="s">
        <v>39017</v>
      </c>
      <c r="L11945" t="s">
        <v>2070</v>
      </c>
      <c r="M11945" t="s">
        <v>41530</v>
      </c>
      <c r="N11945" t="s">
        <v>43166</v>
      </c>
      <c r="O11945" t="s">
        <v>43167</v>
      </c>
      <c r="P11945">
        <v>0</v>
      </c>
      <c r="Q11945">
        <v>2</v>
      </c>
      <c r="R11945" t="s">
        <v>43181</v>
      </c>
      <c r="S11945" t="s">
        <v>43729</v>
      </c>
      <c r="T11945" t="s">
        <v>44804</v>
      </c>
      <c r="U11945" t="s">
        <v>54739</v>
      </c>
      <c r="W11945" t="s">
        <v>41530</v>
      </c>
      <c r="X11945" t="s">
        <v>43182</v>
      </c>
    </row>
    <row r="11946" spans="1:24">
      <c r="A11946">
        <f>HYPERLINK("https://www.philgeps.gov.ph/GEPSNONPILOT/Tender/SplashBidNoticeAbstractUI.aspx?menuIndex=3&amp;refID=7061664&amp;Result=3","7061664")</f>
        <v>0</v>
      </c>
      <c r="B11946" t="s">
        <v>2070</v>
      </c>
      <c r="C11946" t="s">
        <v>14825</v>
      </c>
      <c r="D11946" t="s">
        <v>17413</v>
      </c>
      <c r="E11946" t="s">
        <v>25738</v>
      </c>
      <c r="F11946" t="s">
        <v>30052</v>
      </c>
      <c r="G11946" t="s">
        <v>30058</v>
      </c>
      <c r="H11946" t="s">
        <v>30067</v>
      </c>
      <c r="I11946" t="s">
        <v>3693</v>
      </c>
      <c r="J11946" t="s">
        <v>37492</v>
      </c>
      <c r="K11946" t="s">
        <v>39272</v>
      </c>
      <c r="L11946" t="s">
        <v>2070</v>
      </c>
      <c r="M11946" t="s">
        <v>41530</v>
      </c>
      <c r="N11946" t="s">
        <v>43166</v>
      </c>
      <c r="O11946" t="s">
        <v>43167</v>
      </c>
      <c r="P11946">
        <v>0</v>
      </c>
      <c r="Q11946">
        <v>0</v>
      </c>
      <c r="R11946" t="s">
        <v>43181</v>
      </c>
      <c r="S11946" t="s">
        <v>43729</v>
      </c>
      <c r="T11946" t="s">
        <v>44804</v>
      </c>
      <c r="U11946" t="s">
        <v>54740</v>
      </c>
      <c r="W11946" t="s">
        <v>41530</v>
      </c>
      <c r="X11946" t="s">
        <v>43182</v>
      </c>
    </row>
    <row r="11947" spans="1:24">
      <c r="A11947">
        <f>HYPERLINK("https://www.philgeps.gov.ph/GEPSNONPILOT/Tender/SplashBidNoticeAbstractUI.aspx?menuIndex=3&amp;refID=7057820&amp;Result=3","7057820")</f>
        <v>0</v>
      </c>
      <c r="B11947" t="s">
        <v>225</v>
      </c>
      <c r="C11947" t="s">
        <v>14826</v>
      </c>
      <c r="D11947" t="s">
        <v>17472</v>
      </c>
      <c r="E11947" t="s">
        <v>27733</v>
      </c>
      <c r="F11947" t="s">
        <v>30052</v>
      </c>
      <c r="G11947" t="s">
        <v>30058</v>
      </c>
      <c r="H11947" t="s">
        <v>15498</v>
      </c>
      <c r="I11947" t="s">
        <v>30073</v>
      </c>
      <c r="J11947" t="s">
        <v>37493</v>
      </c>
      <c r="K11947" t="s">
        <v>39025</v>
      </c>
      <c r="M11947" t="s">
        <v>39515</v>
      </c>
      <c r="N11947" t="s">
        <v>43166</v>
      </c>
      <c r="O11947" t="s">
        <v>43167</v>
      </c>
      <c r="P11947">
        <v>0</v>
      </c>
      <c r="Q11947">
        <v>1</v>
      </c>
      <c r="R11947" t="s">
        <v>43182</v>
      </c>
      <c r="S11947" t="s">
        <v>43789</v>
      </c>
      <c r="T11947" t="s">
        <v>44699</v>
      </c>
      <c r="U11947" t="s">
        <v>54741</v>
      </c>
      <c r="W11947" t="s">
        <v>58593</v>
      </c>
      <c r="X11947" t="s">
        <v>43185</v>
      </c>
    </row>
    <row r="11948" spans="1:24">
      <c r="A11948">
        <f>HYPERLINK("https://www.philgeps.gov.ph/GEPSNONPILOT/Tender/SplashBidNoticeAbstractUI.aspx?menuIndex=3&amp;refID=7061657&amp;Result=3","7061657")</f>
        <v>0</v>
      </c>
      <c r="B11948" t="s">
        <v>2070</v>
      </c>
      <c r="C11948" t="s">
        <v>14827</v>
      </c>
      <c r="D11948" t="s">
        <v>17413</v>
      </c>
      <c r="E11948" t="s">
        <v>23407</v>
      </c>
      <c r="F11948" t="s">
        <v>30052</v>
      </c>
      <c r="G11948" t="s">
        <v>30058</v>
      </c>
      <c r="H11948" t="s">
        <v>30067</v>
      </c>
      <c r="I11948" t="s">
        <v>3693</v>
      </c>
      <c r="J11948" t="s">
        <v>31664</v>
      </c>
      <c r="K11948" t="s">
        <v>39061</v>
      </c>
      <c r="L11948" t="s">
        <v>2070</v>
      </c>
      <c r="M11948" t="s">
        <v>41530</v>
      </c>
      <c r="N11948" t="s">
        <v>43166</v>
      </c>
      <c r="O11948" t="s">
        <v>43167</v>
      </c>
      <c r="P11948">
        <v>0</v>
      </c>
      <c r="Q11948">
        <v>0</v>
      </c>
      <c r="R11948" t="s">
        <v>43181</v>
      </c>
      <c r="S11948" t="s">
        <v>43729</v>
      </c>
      <c r="T11948" t="s">
        <v>44804</v>
      </c>
      <c r="U11948" t="s">
        <v>54742</v>
      </c>
      <c r="W11948" t="s">
        <v>41530</v>
      </c>
      <c r="X11948" t="s">
        <v>43182</v>
      </c>
    </row>
    <row r="11949" spans="1:24">
      <c r="A11949">
        <f>HYPERLINK("https://www.philgeps.gov.ph/GEPSNONPILOT/Tender/SplashBidNoticeAbstractUI.aspx?menuIndex=3&amp;refID=7058153&amp;Result=3","7058153")</f>
        <v>0</v>
      </c>
      <c r="B11949" t="s">
        <v>2827</v>
      </c>
      <c r="C11949" t="s">
        <v>14828</v>
      </c>
      <c r="D11949" t="s">
        <v>17421</v>
      </c>
      <c r="E11949" t="s">
        <v>27734</v>
      </c>
      <c r="F11949" t="s">
        <v>30052</v>
      </c>
      <c r="G11949" t="s">
        <v>30058</v>
      </c>
      <c r="H11949" t="s">
        <v>15498</v>
      </c>
      <c r="I11949" t="s">
        <v>3736</v>
      </c>
      <c r="J11949" t="s">
        <v>37494</v>
      </c>
      <c r="K11949" t="s">
        <v>39019</v>
      </c>
      <c r="M11949" t="s">
        <v>42371</v>
      </c>
      <c r="N11949" t="s">
        <v>43166</v>
      </c>
      <c r="O11949" t="s">
        <v>43167</v>
      </c>
      <c r="P11949">
        <v>0</v>
      </c>
      <c r="Q11949">
        <v>0</v>
      </c>
      <c r="R11949" t="s">
        <v>43182</v>
      </c>
      <c r="S11949" t="s">
        <v>43789</v>
      </c>
      <c r="T11949" t="s">
        <v>44698</v>
      </c>
      <c r="U11949" t="s">
        <v>54743</v>
      </c>
      <c r="W11949" t="s">
        <v>42371</v>
      </c>
      <c r="X11949" t="s">
        <v>43184</v>
      </c>
    </row>
    <row r="11950" spans="1:24">
      <c r="A11950">
        <f>HYPERLINK("https://www.philgeps.gov.ph/GEPSNONPILOT/Tender/SplashBidNoticeAbstractUI.aspx?menuIndex=3&amp;refID=7061575&amp;Result=3","7061575")</f>
        <v>0</v>
      </c>
      <c r="B11950" t="s">
        <v>964</v>
      </c>
      <c r="C11950" t="s">
        <v>14829</v>
      </c>
      <c r="D11950" t="s">
        <v>17415</v>
      </c>
      <c r="E11950" t="s">
        <v>27735</v>
      </c>
      <c r="F11950" t="s">
        <v>30052</v>
      </c>
      <c r="G11950" t="s">
        <v>30058</v>
      </c>
      <c r="H11950" t="s">
        <v>15498</v>
      </c>
      <c r="I11950" t="s">
        <v>8323</v>
      </c>
      <c r="J11950" t="s">
        <v>37495</v>
      </c>
      <c r="K11950" t="s">
        <v>39017</v>
      </c>
      <c r="M11950" t="s">
        <v>42746</v>
      </c>
      <c r="N11950" t="s">
        <v>43166</v>
      </c>
      <c r="O11950" t="s">
        <v>43167</v>
      </c>
      <c r="P11950">
        <v>0</v>
      </c>
      <c r="Q11950">
        <v>17</v>
      </c>
      <c r="R11950" t="s">
        <v>43181</v>
      </c>
      <c r="S11950" t="s">
        <v>43729</v>
      </c>
      <c r="T11950" t="s">
        <v>44762</v>
      </c>
      <c r="U11950" t="s">
        <v>54744</v>
      </c>
      <c r="W11950" t="s">
        <v>42746</v>
      </c>
      <c r="X11950" t="s">
        <v>43182</v>
      </c>
    </row>
    <row r="11951" spans="1:24">
      <c r="A11951">
        <f>HYPERLINK("https://www.philgeps.gov.ph/GEPSNONPILOT/Tender/SplashBidNoticeAbstractUI.aspx?menuIndex=3&amp;refID=7061648&amp;Result=3","7061648")</f>
        <v>0</v>
      </c>
      <c r="B11951" t="s">
        <v>463</v>
      </c>
      <c r="C11951" t="s">
        <v>14830</v>
      </c>
      <c r="D11951" t="s">
        <v>17455</v>
      </c>
      <c r="E11951" t="s">
        <v>20689</v>
      </c>
      <c r="F11951" t="s">
        <v>30052</v>
      </c>
      <c r="G11951" t="s">
        <v>30058</v>
      </c>
      <c r="H11951" t="s">
        <v>15498</v>
      </c>
      <c r="I11951" t="s">
        <v>30074</v>
      </c>
      <c r="J11951" t="s">
        <v>37496</v>
      </c>
      <c r="K11951" t="s">
        <v>39029</v>
      </c>
      <c r="M11951" t="s">
        <v>39764</v>
      </c>
      <c r="N11951" t="s">
        <v>43166</v>
      </c>
      <c r="O11951" t="s">
        <v>43167</v>
      </c>
      <c r="Q11951">
        <v>15</v>
      </c>
      <c r="R11951" t="s">
        <v>43181</v>
      </c>
      <c r="S11951" t="s">
        <v>43816</v>
      </c>
      <c r="T11951" t="s">
        <v>44681</v>
      </c>
      <c r="U11951" t="s">
        <v>54745</v>
      </c>
      <c r="W11951" t="s">
        <v>39764</v>
      </c>
      <c r="X11951" t="s">
        <v>43182</v>
      </c>
    </row>
    <row r="11952" spans="1:24">
      <c r="A11952">
        <f>HYPERLINK("https://www.philgeps.gov.ph/GEPSNONPILOT/Tender/SplashBidNoticeAbstractUI.aspx?menuIndex=3&amp;refID=7061645&amp;Result=3","7061645")</f>
        <v>0</v>
      </c>
      <c r="B11952" t="s">
        <v>1733</v>
      </c>
      <c r="C11952" t="s">
        <v>14831</v>
      </c>
      <c r="D11952" t="s">
        <v>17467</v>
      </c>
      <c r="E11952" t="s">
        <v>20004</v>
      </c>
      <c r="F11952" t="s">
        <v>30052</v>
      </c>
      <c r="G11952" t="s">
        <v>30058</v>
      </c>
      <c r="H11952" t="s">
        <v>30067</v>
      </c>
      <c r="I11952" t="s">
        <v>3693</v>
      </c>
      <c r="J11952" t="s">
        <v>30321</v>
      </c>
      <c r="K11952" t="s">
        <v>39157</v>
      </c>
      <c r="L11952" t="s">
        <v>1733</v>
      </c>
      <c r="M11952" t="s">
        <v>41150</v>
      </c>
      <c r="N11952" t="s">
        <v>43166</v>
      </c>
      <c r="O11952" t="s">
        <v>43167</v>
      </c>
      <c r="P11952">
        <v>0</v>
      </c>
      <c r="Q11952">
        <v>0</v>
      </c>
      <c r="R11952" t="s">
        <v>43181</v>
      </c>
      <c r="S11952" t="s">
        <v>43729</v>
      </c>
      <c r="T11952" t="s">
        <v>44700</v>
      </c>
      <c r="U11952" t="s">
        <v>54746</v>
      </c>
      <c r="W11952" t="s">
        <v>41150</v>
      </c>
      <c r="X11952" t="s">
        <v>43182</v>
      </c>
    </row>
    <row r="11953" spans="1:24">
      <c r="A11953">
        <f>HYPERLINK("https://www.philgeps.gov.ph/GEPSNONPILOT/Tender/SplashBidNoticeAbstractUI.aspx?menuIndex=3&amp;refID=7057632&amp;Result=3","7057632")</f>
        <v>0</v>
      </c>
      <c r="B11953" t="s">
        <v>910</v>
      </c>
      <c r="C11953" t="s">
        <v>14832</v>
      </c>
      <c r="D11953" t="s">
        <v>17427</v>
      </c>
      <c r="E11953" t="s">
        <v>27736</v>
      </c>
      <c r="F11953" t="s">
        <v>30052</v>
      </c>
      <c r="G11953" t="s">
        <v>30058</v>
      </c>
      <c r="H11953" t="s">
        <v>30069</v>
      </c>
      <c r="I11953" t="s">
        <v>30072</v>
      </c>
      <c r="J11953" t="s">
        <v>37497</v>
      </c>
      <c r="K11953" t="s">
        <v>39125</v>
      </c>
      <c r="M11953" t="s">
        <v>41159</v>
      </c>
      <c r="N11953" t="s">
        <v>43166</v>
      </c>
      <c r="O11953" t="s">
        <v>43167</v>
      </c>
      <c r="P11953">
        <v>0</v>
      </c>
      <c r="Q11953">
        <v>5</v>
      </c>
      <c r="R11953" t="s">
        <v>43182</v>
      </c>
      <c r="S11953" t="s">
        <v>43789</v>
      </c>
      <c r="T11953" t="s">
        <v>45012</v>
      </c>
      <c r="U11953" t="s">
        <v>54747</v>
      </c>
      <c r="W11953" t="s">
        <v>41159</v>
      </c>
      <c r="X11953" t="s">
        <v>43185</v>
      </c>
    </row>
    <row r="11954" spans="1:24">
      <c r="A11954">
        <f>HYPERLINK("https://www.philgeps.gov.ph/GEPSNONPILOT/Tender/SplashBidNoticeAbstractUI.aspx?menuIndex=3&amp;refID=7058573&amp;Result=3","7058573")</f>
        <v>0</v>
      </c>
      <c r="B11954" t="s">
        <v>3195</v>
      </c>
      <c r="C11954" t="s">
        <v>14833</v>
      </c>
      <c r="D11954" t="s">
        <v>17462</v>
      </c>
      <c r="E11954" t="s">
        <v>27737</v>
      </c>
      <c r="F11954" t="s">
        <v>30052</v>
      </c>
      <c r="G11954" t="s">
        <v>30058</v>
      </c>
      <c r="H11954" t="s">
        <v>15498</v>
      </c>
      <c r="I11954" t="s">
        <v>3852</v>
      </c>
      <c r="J11954" t="s">
        <v>35662</v>
      </c>
      <c r="K11954" t="s">
        <v>39037</v>
      </c>
      <c r="M11954" t="s">
        <v>42809</v>
      </c>
      <c r="N11954" t="s">
        <v>43166</v>
      </c>
      <c r="O11954" t="s">
        <v>43167</v>
      </c>
      <c r="P11954">
        <v>0</v>
      </c>
      <c r="Q11954">
        <v>2</v>
      </c>
      <c r="R11954" t="s">
        <v>43182</v>
      </c>
      <c r="S11954" t="s">
        <v>43789</v>
      </c>
      <c r="T11954" t="s">
        <v>44956</v>
      </c>
      <c r="U11954" t="s">
        <v>54748</v>
      </c>
      <c r="W11954" t="s">
        <v>42809</v>
      </c>
      <c r="X11954" t="s">
        <v>43183</v>
      </c>
    </row>
    <row r="11955" spans="1:24">
      <c r="A11955">
        <f>HYPERLINK("https://www.philgeps.gov.ph/GEPSNONPILOT/Tender/SplashBidNoticeAbstractUI.aspx?menuIndex=3&amp;refID=7057902&amp;Result=3","7057902")</f>
        <v>0</v>
      </c>
      <c r="B11955" t="s">
        <v>331</v>
      </c>
      <c r="C11955" t="s">
        <v>14834</v>
      </c>
      <c r="D11955" t="s">
        <v>17415</v>
      </c>
      <c r="E11955" t="s">
        <v>27738</v>
      </c>
      <c r="F11955" t="s">
        <v>30052</v>
      </c>
      <c r="G11955" t="s">
        <v>30058</v>
      </c>
      <c r="H11955" t="s">
        <v>30067</v>
      </c>
      <c r="I11955" t="s">
        <v>30175</v>
      </c>
      <c r="J11955" t="s">
        <v>35535</v>
      </c>
      <c r="K11955" t="s">
        <v>39022</v>
      </c>
      <c r="M11955" t="s">
        <v>39627</v>
      </c>
      <c r="N11955" t="s">
        <v>43166</v>
      </c>
      <c r="O11955" t="s">
        <v>43167</v>
      </c>
      <c r="P11955">
        <v>0</v>
      </c>
      <c r="Q11955">
        <v>6</v>
      </c>
      <c r="R11955" t="s">
        <v>43182</v>
      </c>
      <c r="S11955" t="s">
        <v>43789</v>
      </c>
      <c r="T11955" t="s">
        <v>44724</v>
      </c>
      <c r="U11955" t="s">
        <v>54749</v>
      </c>
      <c r="W11955" t="s">
        <v>39627</v>
      </c>
      <c r="X11955" t="s">
        <v>43185</v>
      </c>
    </row>
    <row r="11956" spans="1:24">
      <c r="A11956">
        <f>HYPERLINK("https://www.philgeps.gov.ph/GEPSNONPILOT/Tender/SplashBidNoticeAbstractUI.aspx?menuIndex=3&amp;refID=7058571&amp;Result=3","7058571")</f>
        <v>0</v>
      </c>
      <c r="B11956" t="s">
        <v>3195</v>
      </c>
      <c r="C11956" t="s">
        <v>14835</v>
      </c>
      <c r="D11956" t="s">
        <v>17462</v>
      </c>
      <c r="E11956" t="s">
        <v>27739</v>
      </c>
      <c r="F11956" t="s">
        <v>30052</v>
      </c>
      <c r="G11956" t="s">
        <v>30058</v>
      </c>
      <c r="H11956" t="s">
        <v>15498</v>
      </c>
      <c r="I11956" t="s">
        <v>3606</v>
      </c>
      <c r="J11956" t="s">
        <v>37498</v>
      </c>
      <c r="K11956" t="s">
        <v>39029</v>
      </c>
      <c r="M11956" t="s">
        <v>42809</v>
      </c>
      <c r="N11956" t="s">
        <v>43166</v>
      </c>
      <c r="O11956" t="s">
        <v>43167</v>
      </c>
      <c r="P11956">
        <v>0</v>
      </c>
      <c r="Q11956">
        <v>13</v>
      </c>
      <c r="R11956" t="s">
        <v>43182</v>
      </c>
      <c r="S11956" t="s">
        <v>43789</v>
      </c>
      <c r="T11956" t="s">
        <v>44956</v>
      </c>
      <c r="U11956" t="s">
        <v>54750</v>
      </c>
      <c r="W11956" t="s">
        <v>42809</v>
      </c>
      <c r="X11956" t="s">
        <v>43183</v>
      </c>
    </row>
    <row r="11957" spans="1:24">
      <c r="A11957">
        <f>HYPERLINK("https://www.philgeps.gov.ph/GEPSNONPILOT/Tender/SplashBidNoticeAbstractUI.aspx?menuIndex=3&amp;refID=7058569&amp;Result=3","7058569")</f>
        <v>0</v>
      </c>
      <c r="B11957" t="s">
        <v>3195</v>
      </c>
      <c r="C11957" t="s">
        <v>14836</v>
      </c>
      <c r="D11957" t="s">
        <v>17462</v>
      </c>
      <c r="E11957" t="s">
        <v>27740</v>
      </c>
      <c r="F11957" t="s">
        <v>30052</v>
      </c>
      <c r="G11957" t="s">
        <v>30058</v>
      </c>
      <c r="H11957" t="s">
        <v>15498</v>
      </c>
      <c r="I11957" t="s">
        <v>30109</v>
      </c>
      <c r="J11957" t="s">
        <v>37499</v>
      </c>
      <c r="K11957" t="s">
        <v>39037</v>
      </c>
      <c r="M11957" t="s">
        <v>42809</v>
      </c>
      <c r="N11957" t="s">
        <v>43166</v>
      </c>
      <c r="O11957" t="s">
        <v>43167</v>
      </c>
      <c r="P11957">
        <v>0</v>
      </c>
      <c r="Q11957">
        <v>8</v>
      </c>
      <c r="R11957" t="s">
        <v>43182</v>
      </c>
      <c r="S11957" t="s">
        <v>43789</v>
      </c>
      <c r="T11957" t="s">
        <v>44956</v>
      </c>
      <c r="U11957" t="s">
        <v>54751</v>
      </c>
      <c r="W11957" t="s">
        <v>42809</v>
      </c>
      <c r="X11957" t="s">
        <v>43183</v>
      </c>
    </row>
    <row r="11958" spans="1:24">
      <c r="A11958">
        <f>HYPERLINK("https://www.philgeps.gov.ph/GEPSNONPILOT/Tender/SplashBidNoticeAbstractUI.aspx?menuIndex=3&amp;refID=7058558&amp;Result=3","7058558")</f>
        <v>0</v>
      </c>
      <c r="B11958" t="s">
        <v>760</v>
      </c>
      <c r="C11958" t="s">
        <v>14837</v>
      </c>
      <c r="D11958" t="s">
        <v>17415</v>
      </c>
      <c r="E11958" t="s">
        <v>27741</v>
      </c>
      <c r="F11958" t="s">
        <v>30052</v>
      </c>
      <c r="G11958" t="s">
        <v>30058</v>
      </c>
      <c r="H11958" t="s">
        <v>30069</v>
      </c>
      <c r="I11958" t="s">
        <v>30100</v>
      </c>
      <c r="J11958" t="s">
        <v>37500</v>
      </c>
      <c r="K11958" t="s">
        <v>39091</v>
      </c>
      <c r="M11958" t="s">
        <v>40074</v>
      </c>
      <c r="N11958" t="s">
        <v>43166</v>
      </c>
      <c r="O11958" t="s">
        <v>43167</v>
      </c>
      <c r="Q11958">
        <v>1</v>
      </c>
      <c r="R11958" t="s">
        <v>43182</v>
      </c>
      <c r="S11958" t="s">
        <v>43817</v>
      </c>
      <c r="T11958" t="s">
        <v>44724</v>
      </c>
      <c r="U11958" t="s">
        <v>54752</v>
      </c>
      <c r="W11958" t="s">
        <v>40074</v>
      </c>
      <c r="X11958" t="s">
        <v>43183</v>
      </c>
    </row>
    <row r="11959" spans="1:24">
      <c r="A11959">
        <f>HYPERLINK("https://www.philgeps.gov.ph/GEPSNONPILOT/Tender/SplashBidNoticeAbstractUI.aspx?menuIndex=3&amp;refID=7061652&amp;Result=3","7061652")</f>
        <v>0</v>
      </c>
      <c r="B11959" t="s">
        <v>917</v>
      </c>
      <c r="C11959" t="s">
        <v>14838</v>
      </c>
      <c r="E11959" t="s">
        <v>27742</v>
      </c>
      <c r="F11959" t="s">
        <v>30052</v>
      </c>
      <c r="G11959" t="s">
        <v>30058</v>
      </c>
      <c r="H11959" t="s">
        <v>15498</v>
      </c>
      <c r="I11959" t="s">
        <v>6304</v>
      </c>
      <c r="J11959" t="s">
        <v>37501</v>
      </c>
      <c r="K11959" t="s">
        <v>39025</v>
      </c>
      <c r="M11959" t="s">
        <v>42780</v>
      </c>
      <c r="N11959" t="s">
        <v>43166</v>
      </c>
      <c r="O11959" t="s">
        <v>43167</v>
      </c>
      <c r="P11959">
        <v>0</v>
      </c>
      <c r="Q11959">
        <v>3</v>
      </c>
      <c r="R11959" t="s">
        <v>43181</v>
      </c>
      <c r="S11959" t="s">
        <v>43729</v>
      </c>
      <c r="T11959" t="s">
        <v>44780</v>
      </c>
      <c r="U11959" t="s">
        <v>54753</v>
      </c>
      <c r="V11959" t="s">
        <v>58135</v>
      </c>
      <c r="W11959" t="s">
        <v>42780</v>
      </c>
      <c r="X11959" t="s">
        <v>43182</v>
      </c>
    </row>
    <row r="11960" spans="1:24">
      <c r="A11960">
        <f>HYPERLINK("https://www.philgeps.gov.ph/GEPSNONPILOT/Tender/SplashBidNoticeAbstractUI.aspx?menuIndex=3&amp;refID=7058555&amp;Result=3","7058555")</f>
        <v>0</v>
      </c>
      <c r="B11960" t="s">
        <v>3196</v>
      </c>
      <c r="C11960" t="s">
        <v>14839</v>
      </c>
      <c r="D11960" t="s">
        <v>17429</v>
      </c>
      <c r="E11960" t="s">
        <v>21156</v>
      </c>
      <c r="F11960" t="s">
        <v>30052</v>
      </c>
      <c r="G11960" t="s">
        <v>30058</v>
      </c>
      <c r="H11960" t="s">
        <v>15498</v>
      </c>
      <c r="I11960" t="s">
        <v>30144</v>
      </c>
      <c r="J11960" t="s">
        <v>30222</v>
      </c>
      <c r="K11960" t="s">
        <v>39023</v>
      </c>
      <c r="M11960" t="s">
        <v>42810</v>
      </c>
      <c r="N11960" t="s">
        <v>43166</v>
      </c>
      <c r="O11960" t="s">
        <v>43167</v>
      </c>
      <c r="P11960">
        <v>0</v>
      </c>
      <c r="Q11960">
        <v>5</v>
      </c>
      <c r="R11960" t="s">
        <v>43182</v>
      </c>
      <c r="S11960" t="s">
        <v>43789</v>
      </c>
      <c r="T11960" t="s">
        <v>44681</v>
      </c>
      <c r="U11960" t="s">
        <v>54754</v>
      </c>
      <c r="W11960" t="s">
        <v>42810</v>
      </c>
      <c r="X11960" t="s">
        <v>43183</v>
      </c>
    </row>
    <row r="11961" spans="1:24">
      <c r="A11961">
        <f>HYPERLINK("https://www.philgeps.gov.ph/GEPSNONPILOT/Tender/SplashBidNoticeAbstractUI.aspx?menuIndex=3&amp;refID=7058551&amp;Result=3","7058551")</f>
        <v>0</v>
      </c>
      <c r="B11961" t="s">
        <v>3196</v>
      </c>
      <c r="C11961" t="s">
        <v>14840</v>
      </c>
      <c r="D11961" t="s">
        <v>17429</v>
      </c>
      <c r="E11961" t="s">
        <v>22654</v>
      </c>
      <c r="F11961" t="s">
        <v>30052</v>
      </c>
      <c r="G11961" t="s">
        <v>30058</v>
      </c>
      <c r="H11961" t="s">
        <v>30067</v>
      </c>
      <c r="I11961" t="s">
        <v>3693</v>
      </c>
      <c r="J11961" t="s">
        <v>30252</v>
      </c>
      <c r="K11961" t="s">
        <v>39029</v>
      </c>
      <c r="M11961" t="s">
        <v>42810</v>
      </c>
      <c r="N11961" t="s">
        <v>43166</v>
      </c>
      <c r="O11961" t="s">
        <v>43167</v>
      </c>
      <c r="P11961">
        <v>0</v>
      </c>
      <c r="Q11961">
        <v>0</v>
      </c>
      <c r="R11961" t="s">
        <v>43182</v>
      </c>
      <c r="S11961" t="s">
        <v>43789</v>
      </c>
      <c r="T11961" t="s">
        <v>44681</v>
      </c>
      <c r="U11961" t="s">
        <v>54754</v>
      </c>
      <c r="W11961" t="s">
        <v>42810</v>
      </c>
      <c r="X11961" t="s">
        <v>43183</v>
      </c>
    </row>
    <row r="11962" spans="1:24">
      <c r="A11962">
        <f>HYPERLINK("https://www.philgeps.gov.ph/GEPSNONPILOT/Tender/SplashBidNoticeAbstractUI.aspx?menuIndex=3&amp;refID=7058549&amp;Result=3","7058549")</f>
        <v>0</v>
      </c>
      <c r="B11962" t="s">
        <v>3197</v>
      </c>
      <c r="C11962" t="s">
        <v>14841</v>
      </c>
      <c r="D11962" t="s">
        <v>17459</v>
      </c>
      <c r="E11962" t="s">
        <v>27743</v>
      </c>
      <c r="F11962" t="s">
        <v>30052</v>
      </c>
      <c r="G11962" t="s">
        <v>30058</v>
      </c>
      <c r="H11962" t="s">
        <v>30067</v>
      </c>
      <c r="I11962" t="s">
        <v>3693</v>
      </c>
      <c r="J11962" t="s">
        <v>37502</v>
      </c>
      <c r="K11962" t="s">
        <v>39027</v>
      </c>
      <c r="M11962" t="s">
        <v>42811</v>
      </c>
      <c r="N11962" t="s">
        <v>43166</v>
      </c>
      <c r="O11962" t="s">
        <v>43167</v>
      </c>
      <c r="P11962">
        <v>0</v>
      </c>
      <c r="Q11962">
        <v>2</v>
      </c>
      <c r="R11962" t="s">
        <v>43182</v>
      </c>
      <c r="S11962" t="s">
        <v>43789</v>
      </c>
      <c r="T11962" t="s">
        <v>44679</v>
      </c>
      <c r="U11962" t="s">
        <v>54755</v>
      </c>
      <c r="W11962" t="s">
        <v>42811</v>
      </c>
      <c r="X11962" t="s">
        <v>43183</v>
      </c>
    </row>
    <row r="11963" spans="1:24">
      <c r="A11963">
        <f>HYPERLINK("https://www.philgeps.gov.ph/GEPSNONPILOT/Tender/SplashBidNoticeAbstractUI.aspx?menuIndex=3&amp;refID=7057570&amp;Result=3","7057570")</f>
        <v>0</v>
      </c>
      <c r="B11963" t="s">
        <v>3183</v>
      </c>
      <c r="C11963" t="s">
        <v>14842</v>
      </c>
      <c r="D11963" t="s">
        <v>17473</v>
      </c>
      <c r="E11963" t="s">
        <v>27744</v>
      </c>
      <c r="F11963" t="s">
        <v>30052</v>
      </c>
      <c r="G11963" t="s">
        <v>30058</v>
      </c>
      <c r="H11963" t="s">
        <v>30067</v>
      </c>
      <c r="I11963" t="s">
        <v>3693</v>
      </c>
      <c r="J11963" t="s">
        <v>37503</v>
      </c>
      <c r="K11963" t="s">
        <v>39026</v>
      </c>
      <c r="M11963" t="s">
        <v>42796</v>
      </c>
      <c r="N11963" t="s">
        <v>43166</v>
      </c>
      <c r="O11963" t="s">
        <v>43167</v>
      </c>
      <c r="P11963">
        <v>0</v>
      </c>
      <c r="Q11963">
        <v>1</v>
      </c>
      <c r="R11963" t="s">
        <v>43182</v>
      </c>
      <c r="S11963" t="s">
        <v>43789</v>
      </c>
      <c r="T11963" t="s">
        <v>44724</v>
      </c>
      <c r="U11963" t="s">
        <v>54756</v>
      </c>
      <c r="W11963" t="s">
        <v>42796</v>
      </c>
      <c r="X11963" t="s">
        <v>43185</v>
      </c>
    </row>
    <row r="11964" spans="1:24">
      <c r="A11964">
        <f>HYPERLINK("https://www.philgeps.gov.ph/GEPSNONPILOT/Tender/SplashBidNoticeAbstractUI.aspx?menuIndex=3&amp;refID=7058536&amp;Result=3","7058536")</f>
        <v>0</v>
      </c>
      <c r="B11964" t="s">
        <v>362</v>
      </c>
      <c r="C11964" t="s">
        <v>14843</v>
      </c>
      <c r="D11964" t="s">
        <v>17415</v>
      </c>
      <c r="E11964" t="s">
        <v>27745</v>
      </c>
      <c r="F11964" t="s">
        <v>30052</v>
      </c>
      <c r="G11964" t="s">
        <v>30058</v>
      </c>
      <c r="H11964" t="s">
        <v>15498</v>
      </c>
      <c r="I11964" t="s">
        <v>30096</v>
      </c>
      <c r="J11964" t="s">
        <v>37504</v>
      </c>
      <c r="K11964" t="s">
        <v>39046</v>
      </c>
      <c r="M11964" t="s">
        <v>42812</v>
      </c>
      <c r="N11964" t="s">
        <v>43166</v>
      </c>
      <c r="O11964" t="s">
        <v>43167</v>
      </c>
      <c r="P11964">
        <v>0</v>
      </c>
      <c r="Q11964">
        <v>17</v>
      </c>
      <c r="R11964" t="s">
        <v>43182</v>
      </c>
      <c r="S11964" t="s">
        <v>43789</v>
      </c>
      <c r="T11964" t="s">
        <v>44746</v>
      </c>
      <c r="U11964" t="s">
        <v>54757</v>
      </c>
      <c r="W11964" t="s">
        <v>42812</v>
      </c>
      <c r="X11964" t="s">
        <v>43183</v>
      </c>
    </row>
    <row r="11965" spans="1:24">
      <c r="A11965">
        <f>HYPERLINK("https://www.philgeps.gov.ph/GEPSNONPILOT/Tender/SplashBidNoticeAbstractUI.aspx?menuIndex=3&amp;refID=7058527&amp;Result=3","7058527")</f>
        <v>0</v>
      </c>
      <c r="B11965" t="s">
        <v>3198</v>
      </c>
      <c r="C11965" t="s">
        <v>14844</v>
      </c>
      <c r="D11965" t="s">
        <v>17434</v>
      </c>
      <c r="E11965" t="s">
        <v>17779</v>
      </c>
      <c r="F11965" t="s">
        <v>30052</v>
      </c>
      <c r="G11965" t="s">
        <v>30058</v>
      </c>
      <c r="H11965" t="s">
        <v>15498</v>
      </c>
      <c r="I11965" t="s">
        <v>30127</v>
      </c>
      <c r="J11965" t="s">
        <v>37505</v>
      </c>
      <c r="K11965" t="s">
        <v>39029</v>
      </c>
      <c r="M11965" t="s">
        <v>42813</v>
      </c>
      <c r="N11965" t="s">
        <v>43166</v>
      </c>
      <c r="O11965" t="s">
        <v>43167</v>
      </c>
      <c r="P11965">
        <v>0</v>
      </c>
      <c r="Q11965">
        <v>12</v>
      </c>
      <c r="R11965" t="s">
        <v>43182</v>
      </c>
      <c r="S11965" t="s">
        <v>43789</v>
      </c>
      <c r="T11965" t="s">
        <v>44679</v>
      </c>
      <c r="U11965" t="s">
        <v>54758</v>
      </c>
      <c r="W11965" t="s">
        <v>42813</v>
      </c>
      <c r="X11965" t="s">
        <v>43183</v>
      </c>
    </row>
    <row r="11966" spans="1:24">
      <c r="A11966">
        <f>HYPERLINK("https://www.philgeps.gov.ph/GEPSNONPILOT/Tender/SplashBidNoticeAbstractUI.aspx?menuIndex=3&amp;refID=7058524&amp;Result=3","7058524")</f>
        <v>0</v>
      </c>
      <c r="B11966" t="s">
        <v>3188</v>
      </c>
      <c r="C11966" t="s">
        <v>14845</v>
      </c>
      <c r="E11966" t="s">
        <v>27746</v>
      </c>
      <c r="F11966" t="s">
        <v>30052</v>
      </c>
      <c r="G11966" t="s">
        <v>30058</v>
      </c>
      <c r="H11966" t="s">
        <v>15498</v>
      </c>
      <c r="I11966" t="s">
        <v>30076</v>
      </c>
      <c r="J11966" t="s">
        <v>37506</v>
      </c>
      <c r="K11966" t="s">
        <v>39025</v>
      </c>
      <c r="M11966" t="s">
        <v>42814</v>
      </c>
      <c r="N11966" t="s">
        <v>43166</v>
      </c>
      <c r="O11966" t="s">
        <v>43167</v>
      </c>
      <c r="Q11966">
        <v>29</v>
      </c>
      <c r="R11966" t="s">
        <v>43182</v>
      </c>
      <c r="S11966" t="s">
        <v>43578</v>
      </c>
      <c r="T11966" t="s">
        <v>44681</v>
      </c>
      <c r="U11966" t="s">
        <v>54698</v>
      </c>
      <c r="W11966" t="s">
        <v>42814</v>
      </c>
      <c r="X11966" t="s">
        <v>43183</v>
      </c>
    </row>
    <row r="11967" spans="1:24">
      <c r="A11967">
        <f>HYPERLINK("https://www.philgeps.gov.ph/GEPSNONPILOT/Tender/SplashBidNoticeAbstractUI.aspx?menuIndex=3&amp;refID=7058564&amp;Result=3","7058564")</f>
        <v>0</v>
      </c>
      <c r="B11967" t="s">
        <v>390</v>
      </c>
      <c r="C11967" t="s">
        <v>14846</v>
      </c>
      <c r="D11967" t="s">
        <v>17415</v>
      </c>
      <c r="E11967" t="s">
        <v>27747</v>
      </c>
      <c r="F11967" t="s">
        <v>30052</v>
      </c>
      <c r="G11967" t="s">
        <v>30058</v>
      </c>
      <c r="H11967" t="s">
        <v>15498</v>
      </c>
      <c r="I11967" t="s">
        <v>30100</v>
      </c>
      <c r="J11967" t="s">
        <v>37507</v>
      </c>
      <c r="K11967" t="s">
        <v>39025</v>
      </c>
      <c r="M11967" t="s">
        <v>42815</v>
      </c>
      <c r="N11967" t="s">
        <v>43166</v>
      </c>
      <c r="O11967" t="s">
        <v>43167</v>
      </c>
      <c r="P11967">
        <v>0</v>
      </c>
      <c r="Q11967">
        <v>1</v>
      </c>
      <c r="R11967" t="s">
        <v>43182</v>
      </c>
      <c r="S11967" t="s">
        <v>43789</v>
      </c>
      <c r="T11967" t="s">
        <v>44718</v>
      </c>
      <c r="U11967" t="s">
        <v>54759</v>
      </c>
      <c r="V11967" t="s">
        <v>58148</v>
      </c>
      <c r="W11967" t="s">
        <v>42815</v>
      </c>
      <c r="X11967" t="s">
        <v>43183</v>
      </c>
    </row>
    <row r="11968" spans="1:24">
      <c r="A11968">
        <f>HYPERLINK("https://www.philgeps.gov.ph/GEPSNONPILOT/Tender/SplashBidNoticeAbstractUI.aspx?menuIndex=3&amp;refID=7058519&amp;Result=3","7058519")</f>
        <v>0</v>
      </c>
      <c r="B11968" t="s">
        <v>730</v>
      </c>
      <c r="C11968" t="s">
        <v>14847</v>
      </c>
      <c r="D11968" t="s">
        <v>17455</v>
      </c>
      <c r="E11968" t="s">
        <v>27748</v>
      </c>
      <c r="F11968" t="s">
        <v>30052</v>
      </c>
      <c r="G11968" t="s">
        <v>30058</v>
      </c>
      <c r="H11968" t="s">
        <v>30067</v>
      </c>
      <c r="I11968" t="s">
        <v>3693</v>
      </c>
      <c r="J11968" t="s">
        <v>30683</v>
      </c>
      <c r="K11968" t="s">
        <v>39031</v>
      </c>
      <c r="M11968" t="s">
        <v>42816</v>
      </c>
      <c r="N11968" t="s">
        <v>43166</v>
      </c>
      <c r="O11968" t="s">
        <v>43167</v>
      </c>
      <c r="P11968">
        <v>0</v>
      </c>
      <c r="Q11968">
        <v>6</v>
      </c>
      <c r="R11968" t="s">
        <v>43182</v>
      </c>
      <c r="S11968" t="s">
        <v>43789</v>
      </c>
      <c r="T11968" t="s">
        <v>44896</v>
      </c>
      <c r="U11968" t="s">
        <v>54760</v>
      </c>
      <c r="W11968" t="s">
        <v>42816</v>
      </c>
      <c r="X11968" t="s">
        <v>43183</v>
      </c>
    </row>
    <row r="11969" spans="1:24">
      <c r="A11969">
        <f>HYPERLINK("https://www.philgeps.gov.ph/GEPSNONPILOT/Tender/SplashBidNoticeAbstractUI.aspx?menuIndex=3&amp;refID=7058553&amp;Result=3","7058553")</f>
        <v>0</v>
      </c>
      <c r="B11969" t="s">
        <v>3196</v>
      </c>
      <c r="C11969" t="s">
        <v>14848</v>
      </c>
      <c r="D11969" t="s">
        <v>17429</v>
      </c>
      <c r="E11969" t="s">
        <v>18646</v>
      </c>
      <c r="F11969" t="s">
        <v>30052</v>
      </c>
      <c r="G11969" t="s">
        <v>30058</v>
      </c>
      <c r="H11969" t="s">
        <v>30067</v>
      </c>
      <c r="I11969" t="s">
        <v>3693</v>
      </c>
      <c r="J11969" t="s">
        <v>30671</v>
      </c>
      <c r="K11969" t="s">
        <v>39023</v>
      </c>
      <c r="M11969" t="s">
        <v>42810</v>
      </c>
      <c r="N11969" t="s">
        <v>43166</v>
      </c>
      <c r="O11969" t="s">
        <v>43167</v>
      </c>
      <c r="P11969">
        <v>0</v>
      </c>
      <c r="Q11969">
        <v>0</v>
      </c>
      <c r="R11969" t="s">
        <v>43182</v>
      </c>
      <c r="S11969" t="s">
        <v>43789</v>
      </c>
      <c r="T11969" t="s">
        <v>44681</v>
      </c>
      <c r="U11969" t="s">
        <v>54754</v>
      </c>
      <c r="W11969" t="s">
        <v>42810</v>
      </c>
      <c r="X11969" t="s">
        <v>43183</v>
      </c>
    </row>
    <row r="11970" spans="1:24">
      <c r="A11970">
        <f>HYPERLINK("https://www.philgeps.gov.ph/GEPSNONPILOT/Tender/SplashBidNoticeAbstractUI.aspx?menuIndex=3&amp;refID=7061566&amp;Result=3","7061566")</f>
        <v>0</v>
      </c>
      <c r="B11970" t="s">
        <v>459</v>
      </c>
      <c r="C11970" t="s">
        <v>11926</v>
      </c>
      <c r="D11970" t="s">
        <v>17435</v>
      </c>
      <c r="E11970" t="s">
        <v>27749</v>
      </c>
      <c r="F11970" t="s">
        <v>30052</v>
      </c>
      <c r="G11970" t="s">
        <v>30058</v>
      </c>
      <c r="H11970" t="s">
        <v>30067</v>
      </c>
      <c r="I11970" t="s">
        <v>3693</v>
      </c>
      <c r="J11970" t="s">
        <v>37508</v>
      </c>
      <c r="K11970" t="s">
        <v>39022</v>
      </c>
      <c r="M11970" t="s">
        <v>39759</v>
      </c>
      <c r="N11970" t="s">
        <v>43166</v>
      </c>
      <c r="O11970" t="s">
        <v>43167</v>
      </c>
      <c r="P11970">
        <v>0</v>
      </c>
      <c r="Q11970">
        <v>2</v>
      </c>
      <c r="R11970" t="s">
        <v>43181</v>
      </c>
      <c r="S11970" t="s">
        <v>43729</v>
      </c>
      <c r="T11970" t="s">
        <v>44717</v>
      </c>
      <c r="U11970" t="s">
        <v>52368</v>
      </c>
      <c r="W11970" t="s">
        <v>39759</v>
      </c>
      <c r="X11970" t="s">
        <v>43182</v>
      </c>
    </row>
    <row r="11971" spans="1:24">
      <c r="A11971">
        <f>HYPERLINK("https://www.philgeps.gov.ph/GEPSNONPILOT/Tender/SplashBidNoticeAbstractUI.aspx?menuIndex=3&amp;refID=7058552&amp;Result=3","7058552")</f>
        <v>0</v>
      </c>
      <c r="B11971" t="s">
        <v>3196</v>
      </c>
      <c r="C11971" t="s">
        <v>14849</v>
      </c>
      <c r="D11971" t="s">
        <v>17429</v>
      </c>
      <c r="E11971" t="s">
        <v>20087</v>
      </c>
      <c r="F11971" t="s">
        <v>30052</v>
      </c>
      <c r="G11971" t="s">
        <v>30058</v>
      </c>
      <c r="H11971" t="s">
        <v>30067</v>
      </c>
      <c r="I11971" t="s">
        <v>3693</v>
      </c>
      <c r="J11971" t="s">
        <v>30281</v>
      </c>
      <c r="K11971" t="s">
        <v>39031</v>
      </c>
      <c r="M11971" t="s">
        <v>42810</v>
      </c>
      <c r="N11971" t="s">
        <v>43166</v>
      </c>
      <c r="O11971" t="s">
        <v>43167</v>
      </c>
      <c r="P11971">
        <v>0</v>
      </c>
      <c r="Q11971">
        <v>0</v>
      </c>
      <c r="R11971" t="s">
        <v>43182</v>
      </c>
      <c r="S11971" t="s">
        <v>43789</v>
      </c>
      <c r="T11971" t="s">
        <v>44681</v>
      </c>
      <c r="U11971" t="s">
        <v>54754</v>
      </c>
      <c r="W11971" t="s">
        <v>42810</v>
      </c>
      <c r="X11971" t="s">
        <v>43183</v>
      </c>
    </row>
    <row r="11972" spans="1:24">
      <c r="A11972">
        <f>HYPERLINK("https://www.philgeps.gov.ph/GEPSNONPILOT/Tender/SplashBidNoticeAbstractUI.aspx?menuIndex=3&amp;refID=7058480&amp;Result=3","7058480")</f>
        <v>0</v>
      </c>
      <c r="B11972" t="s">
        <v>362</v>
      </c>
      <c r="C11972" t="s">
        <v>14850</v>
      </c>
      <c r="D11972" t="s">
        <v>17415</v>
      </c>
      <c r="E11972" t="s">
        <v>27750</v>
      </c>
      <c r="F11972" t="s">
        <v>30052</v>
      </c>
      <c r="G11972" t="s">
        <v>30058</v>
      </c>
      <c r="H11972" t="s">
        <v>15498</v>
      </c>
      <c r="I11972" t="s">
        <v>3736</v>
      </c>
      <c r="J11972" t="s">
        <v>30321</v>
      </c>
      <c r="K11972" t="s">
        <v>39046</v>
      </c>
      <c r="M11972" t="s">
        <v>42817</v>
      </c>
      <c r="N11972" t="s">
        <v>43166</v>
      </c>
      <c r="O11972" t="s">
        <v>43167</v>
      </c>
      <c r="P11972">
        <v>0</v>
      </c>
      <c r="Q11972">
        <v>9</v>
      </c>
      <c r="R11972" t="s">
        <v>43182</v>
      </c>
      <c r="S11972" t="s">
        <v>43789</v>
      </c>
      <c r="T11972" t="s">
        <v>44746</v>
      </c>
      <c r="U11972" t="s">
        <v>54761</v>
      </c>
      <c r="W11972" t="s">
        <v>42817</v>
      </c>
      <c r="X11972" t="s">
        <v>43184</v>
      </c>
    </row>
    <row r="11973" spans="1:24">
      <c r="A11973">
        <f>HYPERLINK("https://www.philgeps.gov.ph/GEPSNONPILOT/Tender/SplashBidNoticeAbstractUI.aspx?menuIndex=3&amp;refID=7058739&amp;Result=3","7058739")</f>
        <v>0</v>
      </c>
      <c r="B11973" t="s">
        <v>3199</v>
      </c>
      <c r="C11973" t="s">
        <v>14851</v>
      </c>
      <c r="D11973" t="s">
        <v>17448</v>
      </c>
      <c r="E11973" t="s">
        <v>27751</v>
      </c>
      <c r="F11973" t="s">
        <v>30055</v>
      </c>
      <c r="G11973" t="s">
        <v>30058</v>
      </c>
      <c r="H11973" t="s">
        <v>15498</v>
      </c>
      <c r="I11973" t="s">
        <v>3736</v>
      </c>
      <c r="J11973" t="s">
        <v>37509</v>
      </c>
      <c r="K11973" t="s">
        <v>39019</v>
      </c>
      <c r="M11973" t="s">
        <v>42818</v>
      </c>
      <c r="N11973" t="s">
        <v>43166</v>
      </c>
      <c r="O11973" t="s">
        <v>43167</v>
      </c>
      <c r="P11973">
        <v>0</v>
      </c>
      <c r="Q11973">
        <v>0</v>
      </c>
      <c r="R11973" t="s">
        <v>43182</v>
      </c>
      <c r="S11973" t="s">
        <v>43789</v>
      </c>
      <c r="T11973" t="s">
        <v>45078</v>
      </c>
      <c r="U11973" t="s">
        <v>54762</v>
      </c>
      <c r="W11973" t="s">
        <v>42818</v>
      </c>
      <c r="X11973" t="s">
        <v>43183</v>
      </c>
    </row>
    <row r="11974" spans="1:24">
      <c r="A11974">
        <f>HYPERLINK("https://www.philgeps.gov.ph/GEPSNONPILOT/Tender/SplashBidNoticeAbstractUI.aspx?menuIndex=3&amp;refID=7058587&amp;Result=3","7058587")</f>
        <v>0</v>
      </c>
      <c r="B11974" t="s">
        <v>2839</v>
      </c>
      <c r="C11974" t="s">
        <v>14852</v>
      </c>
      <c r="D11974" t="s">
        <v>17453</v>
      </c>
      <c r="E11974" t="s">
        <v>27752</v>
      </c>
      <c r="F11974" t="s">
        <v>30052</v>
      </c>
      <c r="G11974" t="s">
        <v>30058</v>
      </c>
      <c r="H11974" t="s">
        <v>15498</v>
      </c>
      <c r="I11974" t="s">
        <v>3606</v>
      </c>
      <c r="J11974" t="s">
        <v>37510</v>
      </c>
      <c r="K11974" t="s">
        <v>39025</v>
      </c>
      <c r="M11974" t="s">
        <v>42385</v>
      </c>
      <c r="N11974" t="s">
        <v>43166</v>
      </c>
      <c r="O11974" t="s">
        <v>43167</v>
      </c>
      <c r="P11974">
        <v>0</v>
      </c>
      <c r="Q11974">
        <v>2</v>
      </c>
      <c r="R11974" t="s">
        <v>43182</v>
      </c>
      <c r="S11974" t="s">
        <v>43789</v>
      </c>
      <c r="T11974" t="s">
        <v>44780</v>
      </c>
      <c r="U11974" t="s">
        <v>54763</v>
      </c>
      <c r="V11974" t="s">
        <v>58149</v>
      </c>
      <c r="W11974" t="s">
        <v>42385</v>
      </c>
      <c r="X11974" t="s">
        <v>43183</v>
      </c>
    </row>
    <row r="11975" spans="1:24">
      <c r="A11975">
        <f>HYPERLINK("https://www.philgeps.gov.ph/GEPSNONPILOT/Tender/SplashBidNoticeAbstractUI.aspx?menuIndex=3&amp;refID=7058724&amp;Result=3","7058724")</f>
        <v>0</v>
      </c>
      <c r="B11975" t="s">
        <v>1202</v>
      </c>
      <c r="C11975" t="s">
        <v>14853</v>
      </c>
      <c r="D11975" t="s">
        <v>17415</v>
      </c>
      <c r="E11975" t="s">
        <v>27753</v>
      </c>
      <c r="F11975" t="s">
        <v>30052</v>
      </c>
      <c r="G11975" t="s">
        <v>30058</v>
      </c>
      <c r="H11975" t="s">
        <v>15498</v>
      </c>
      <c r="I11975" t="s">
        <v>30074</v>
      </c>
      <c r="J11975" t="s">
        <v>31664</v>
      </c>
      <c r="K11975" t="s">
        <v>39029</v>
      </c>
      <c r="M11975" t="s">
        <v>40960</v>
      </c>
      <c r="N11975" t="s">
        <v>43166</v>
      </c>
      <c r="O11975" t="s">
        <v>43167</v>
      </c>
      <c r="Q11975">
        <v>5</v>
      </c>
      <c r="R11975" t="s">
        <v>43182</v>
      </c>
      <c r="S11975" t="s">
        <v>43818</v>
      </c>
      <c r="T11975" t="s">
        <v>44780</v>
      </c>
      <c r="U11975" t="s">
        <v>54764</v>
      </c>
      <c r="V11975" t="s">
        <v>57307</v>
      </c>
      <c r="W11975" t="s">
        <v>40960</v>
      </c>
      <c r="X11975" t="s">
        <v>43183</v>
      </c>
    </row>
    <row r="11976" spans="1:24">
      <c r="A11976">
        <f>HYPERLINK("https://www.philgeps.gov.ph/GEPSNONPILOT/Tender/SplashBidNoticeAbstractUI.aspx?menuIndex=3&amp;refID=7058742&amp;Result=3","7058742")</f>
        <v>0</v>
      </c>
      <c r="B11976" t="s">
        <v>296</v>
      </c>
      <c r="C11976" t="s">
        <v>14854</v>
      </c>
      <c r="E11976" t="s">
        <v>27754</v>
      </c>
      <c r="F11976" t="s">
        <v>30052</v>
      </c>
      <c r="G11976" t="s">
        <v>30058</v>
      </c>
      <c r="H11976" t="s">
        <v>15498</v>
      </c>
      <c r="I11976" t="s">
        <v>30123</v>
      </c>
      <c r="J11976" t="s">
        <v>30281</v>
      </c>
      <c r="K11976" t="s">
        <v>39025</v>
      </c>
      <c r="M11976" t="s">
        <v>41050</v>
      </c>
      <c r="N11976" t="s">
        <v>43166</v>
      </c>
      <c r="O11976" t="s">
        <v>43167</v>
      </c>
      <c r="Q11976">
        <v>0</v>
      </c>
      <c r="R11976" t="s">
        <v>43182</v>
      </c>
      <c r="S11976" t="s">
        <v>43819</v>
      </c>
      <c r="T11976" t="s">
        <v>44733</v>
      </c>
      <c r="U11976" t="s">
        <v>54765</v>
      </c>
      <c r="V11976" t="s">
        <v>57341</v>
      </c>
      <c r="W11976" t="s">
        <v>41050</v>
      </c>
      <c r="X11976" t="s">
        <v>43183</v>
      </c>
    </row>
    <row r="11977" spans="1:24">
      <c r="A11977">
        <f>HYPERLINK("https://www.philgeps.gov.ph/GEPSNONPILOT/Tender/SplashBidNoticeAbstractUI.aspx?menuIndex=3&amp;refID=7058523&amp;Result=3","7058523")</f>
        <v>0</v>
      </c>
      <c r="B11977" t="s">
        <v>375</v>
      </c>
      <c r="C11977" t="s">
        <v>14855</v>
      </c>
      <c r="D11977" t="s">
        <v>17476</v>
      </c>
      <c r="E11977" t="s">
        <v>22731</v>
      </c>
      <c r="F11977" t="s">
        <v>30052</v>
      </c>
      <c r="G11977" t="s">
        <v>30058</v>
      </c>
      <c r="H11977" t="s">
        <v>30068</v>
      </c>
      <c r="I11977" t="s">
        <v>30068</v>
      </c>
      <c r="J11977" t="s">
        <v>30222</v>
      </c>
      <c r="K11977" t="s">
        <v>39031</v>
      </c>
      <c r="M11977" t="s">
        <v>39673</v>
      </c>
      <c r="N11977" t="s">
        <v>43166</v>
      </c>
      <c r="O11977" t="s">
        <v>43167</v>
      </c>
      <c r="P11977">
        <v>0</v>
      </c>
      <c r="Q11977">
        <v>2</v>
      </c>
      <c r="R11977" t="s">
        <v>43182</v>
      </c>
      <c r="S11977" t="s">
        <v>43789</v>
      </c>
      <c r="T11977" t="s">
        <v>44993</v>
      </c>
      <c r="U11977" t="s">
        <v>54766</v>
      </c>
      <c r="W11977" t="s">
        <v>39673</v>
      </c>
      <c r="X11977" t="s">
        <v>43183</v>
      </c>
    </row>
    <row r="11978" spans="1:24">
      <c r="A11978">
        <f>HYPERLINK("https://www.philgeps.gov.ph/GEPSNONPILOT/Tender/SplashBidNoticeAbstractUI.aspx?menuIndex=3&amp;refID=7058718&amp;Result=3","7058718")</f>
        <v>0</v>
      </c>
      <c r="B11978" t="s">
        <v>3200</v>
      </c>
      <c r="C11978" t="s">
        <v>14856</v>
      </c>
      <c r="D11978" t="s">
        <v>17414</v>
      </c>
      <c r="E11978" t="s">
        <v>27755</v>
      </c>
      <c r="F11978" t="s">
        <v>30052</v>
      </c>
      <c r="G11978" t="s">
        <v>30058</v>
      </c>
      <c r="H11978" t="s">
        <v>15498</v>
      </c>
      <c r="I11978" t="s">
        <v>30097</v>
      </c>
      <c r="J11978" t="s">
        <v>37511</v>
      </c>
      <c r="K11978" t="s">
        <v>39034</v>
      </c>
      <c r="M11978" t="s">
        <v>42819</v>
      </c>
      <c r="N11978" t="s">
        <v>43166</v>
      </c>
      <c r="O11978" t="s">
        <v>43167</v>
      </c>
      <c r="P11978">
        <v>0</v>
      </c>
      <c r="Q11978">
        <v>6</v>
      </c>
      <c r="R11978" t="s">
        <v>43182</v>
      </c>
      <c r="S11978" t="s">
        <v>43789</v>
      </c>
      <c r="T11978" t="s">
        <v>44856</v>
      </c>
      <c r="U11978" t="s">
        <v>54767</v>
      </c>
      <c r="W11978" t="s">
        <v>42819</v>
      </c>
      <c r="X11978" t="s">
        <v>43183</v>
      </c>
    </row>
    <row r="11979" spans="1:24">
      <c r="A11979">
        <f>HYPERLINK("https://www.philgeps.gov.ph/GEPSNONPILOT/Tender/SplashBidNoticeAbstractUI.aspx?menuIndex=3&amp;refID=7058712&amp;Result=3","7058712")</f>
        <v>0</v>
      </c>
      <c r="B11979" t="s">
        <v>3200</v>
      </c>
      <c r="C11979" t="s">
        <v>14857</v>
      </c>
      <c r="D11979" t="s">
        <v>17414</v>
      </c>
      <c r="E11979" t="s">
        <v>27756</v>
      </c>
      <c r="F11979" t="s">
        <v>30052</v>
      </c>
      <c r="G11979" t="s">
        <v>30060</v>
      </c>
      <c r="H11979" t="s">
        <v>15498</v>
      </c>
      <c r="I11979" t="s">
        <v>3736</v>
      </c>
      <c r="J11979" t="s">
        <v>37512</v>
      </c>
      <c r="K11979" t="s">
        <v>39034</v>
      </c>
      <c r="M11979" t="s">
        <v>42819</v>
      </c>
      <c r="N11979" t="s">
        <v>43166</v>
      </c>
      <c r="O11979" t="s">
        <v>43167</v>
      </c>
      <c r="P11979">
        <v>0</v>
      </c>
      <c r="Q11979">
        <v>0</v>
      </c>
      <c r="R11979" t="s">
        <v>43182</v>
      </c>
      <c r="S11979" t="s">
        <v>43789</v>
      </c>
      <c r="T11979" t="s">
        <v>44856</v>
      </c>
      <c r="U11979" t="s">
        <v>54768</v>
      </c>
      <c r="W11979" t="s">
        <v>42819</v>
      </c>
      <c r="X11979" t="s">
        <v>43183</v>
      </c>
    </row>
    <row r="11980" spans="1:24">
      <c r="A11980">
        <f>HYPERLINK("https://www.philgeps.gov.ph/GEPSNONPILOT/Tender/SplashBidNoticeAbstractUI.aspx?menuIndex=3&amp;refID=7058711&amp;Result=3","7058711")</f>
        <v>0</v>
      </c>
      <c r="B11980" t="s">
        <v>3200</v>
      </c>
      <c r="C11980" t="s">
        <v>14858</v>
      </c>
      <c r="D11980" t="s">
        <v>17414</v>
      </c>
      <c r="E11980" t="s">
        <v>27757</v>
      </c>
      <c r="F11980" t="s">
        <v>30052</v>
      </c>
      <c r="G11980" t="s">
        <v>30058</v>
      </c>
      <c r="H11980" t="s">
        <v>15498</v>
      </c>
      <c r="I11980" t="s">
        <v>3736</v>
      </c>
      <c r="J11980" t="s">
        <v>37513</v>
      </c>
      <c r="K11980" t="s">
        <v>39034</v>
      </c>
      <c r="M11980" t="s">
        <v>42819</v>
      </c>
      <c r="N11980" t="s">
        <v>43166</v>
      </c>
      <c r="O11980" t="s">
        <v>43167</v>
      </c>
      <c r="P11980">
        <v>0</v>
      </c>
      <c r="Q11980">
        <v>1</v>
      </c>
      <c r="R11980" t="s">
        <v>43182</v>
      </c>
      <c r="S11980" t="s">
        <v>43789</v>
      </c>
      <c r="T11980" t="s">
        <v>44856</v>
      </c>
      <c r="U11980" t="s">
        <v>54769</v>
      </c>
      <c r="W11980" t="s">
        <v>42819</v>
      </c>
      <c r="X11980" t="s">
        <v>43183</v>
      </c>
    </row>
    <row r="11981" spans="1:24">
      <c r="A11981">
        <f>HYPERLINK("https://www.philgeps.gov.ph/GEPSNONPILOT/Tender/SplashBidNoticeAbstractUI.aspx?menuIndex=3&amp;refID=7058738&amp;Result=3","7058738")</f>
        <v>0</v>
      </c>
      <c r="B11981" t="s">
        <v>306</v>
      </c>
      <c r="C11981" t="s">
        <v>14859</v>
      </c>
      <c r="D11981" t="s">
        <v>17415</v>
      </c>
      <c r="E11981" t="s">
        <v>27758</v>
      </c>
      <c r="F11981" t="s">
        <v>30052</v>
      </c>
      <c r="G11981" t="s">
        <v>30058</v>
      </c>
      <c r="H11981" t="s">
        <v>30067</v>
      </c>
      <c r="I11981" t="s">
        <v>3693</v>
      </c>
      <c r="J11981" t="s">
        <v>37514</v>
      </c>
      <c r="K11981" t="s">
        <v>39190</v>
      </c>
      <c r="M11981" t="s">
        <v>42470</v>
      </c>
      <c r="N11981" t="s">
        <v>43166</v>
      </c>
      <c r="O11981" t="s">
        <v>43167</v>
      </c>
      <c r="Q11981">
        <v>36</v>
      </c>
      <c r="R11981" t="s">
        <v>43182</v>
      </c>
      <c r="S11981" t="s">
        <v>43820</v>
      </c>
      <c r="T11981" t="s">
        <v>44925</v>
      </c>
      <c r="U11981" t="s">
        <v>54770</v>
      </c>
      <c r="W11981" t="s">
        <v>42470</v>
      </c>
      <c r="X11981" t="s">
        <v>43183</v>
      </c>
    </row>
    <row r="11982" spans="1:24">
      <c r="A11982">
        <f>HYPERLINK("https://www.philgeps.gov.ph/GEPSNONPILOT/Tender/SplashBidNoticeAbstractUI.aspx?menuIndex=3&amp;refID=7058714&amp;Result=3","7058714")</f>
        <v>0</v>
      </c>
      <c r="B11982" t="s">
        <v>3200</v>
      </c>
      <c r="C11982" t="s">
        <v>14860</v>
      </c>
      <c r="D11982" t="s">
        <v>17414</v>
      </c>
      <c r="E11982" t="s">
        <v>27759</v>
      </c>
      <c r="F11982" t="s">
        <v>30052</v>
      </c>
      <c r="G11982" t="s">
        <v>30058</v>
      </c>
      <c r="H11982" t="s">
        <v>15498</v>
      </c>
      <c r="I11982" t="s">
        <v>30097</v>
      </c>
      <c r="J11982" t="s">
        <v>37515</v>
      </c>
      <c r="K11982" t="s">
        <v>39034</v>
      </c>
      <c r="M11982" t="s">
        <v>42819</v>
      </c>
      <c r="N11982" t="s">
        <v>43166</v>
      </c>
      <c r="O11982" t="s">
        <v>43167</v>
      </c>
      <c r="P11982">
        <v>0</v>
      </c>
      <c r="Q11982">
        <v>5</v>
      </c>
      <c r="R11982" t="s">
        <v>43182</v>
      </c>
      <c r="S11982" t="s">
        <v>43789</v>
      </c>
      <c r="T11982" t="s">
        <v>44856</v>
      </c>
      <c r="U11982" t="s">
        <v>54771</v>
      </c>
      <c r="W11982" t="s">
        <v>42819</v>
      </c>
      <c r="X11982" t="s">
        <v>43183</v>
      </c>
    </row>
    <row r="11983" spans="1:24">
      <c r="A11983">
        <f>HYPERLINK("https://www.philgeps.gov.ph/GEPSNONPILOT/Tender/SplashBidNoticeAbstractUI.aspx?menuIndex=3&amp;refID=7057662&amp;Result=3","7057662")</f>
        <v>0</v>
      </c>
      <c r="B11983" t="s">
        <v>3201</v>
      </c>
      <c r="C11983" t="s">
        <v>14861</v>
      </c>
      <c r="D11983" t="s">
        <v>17484</v>
      </c>
      <c r="E11983" t="s">
        <v>27760</v>
      </c>
      <c r="F11983" t="s">
        <v>30052</v>
      </c>
      <c r="G11983" t="s">
        <v>30058</v>
      </c>
      <c r="H11983" t="s">
        <v>15498</v>
      </c>
      <c r="I11983" t="s">
        <v>30074</v>
      </c>
      <c r="J11983" t="s">
        <v>37516</v>
      </c>
      <c r="K11983" t="s">
        <v>39031</v>
      </c>
      <c r="M11983" t="s">
        <v>42820</v>
      </c>
      <c r="N11983" t="s">
        <v>43166</v>
      </c>
      <c r="O11983" t="s">
        <v>43167</v>
      </c>
      <c r="P11983">
        <v>0</v>
      </c>
      <c r="Q11983">
        <v>16</v>
      </c>
      <c r="R11983" t="s">
        <v>43182</v>
      </c>
      <c r="S11983" t="s">
        <v>43789</v>
      </c>
      <c r="T11983" t="s">
        <v>44811</v>
      </c>
      <c r="U11983" t="s">
        <v>54772</v>
      </c>
      <c r="W11983" t="s">
        <v>42820</v>
      </c>
      <c r="X11983" t="s">
        <v>43185</v>
      </c>
    </row>
    <row r="11984" spans="1:24">
      <c r="A11984">
        <f>HYPERLINK("https://www.philgeps.gov.ph/GEPSNONPILOT/Tender/SplashBidNoticeAbstractUI.aspx?menuIndex=3&amp;refID=7058922&amp;Result=3","7058922")</f>
        <v>0</v>
      </c>
      <c r="B11984" t="s">
        <v>670</v>
      </c>
      <c r="C11984" t="s">
        <v>14862</v>
      </c>
      <c r="D11984" t="s">
        <v>17446</v>
      </c>
      <c r="E11984" t="s">
        <v>27761</v>
      </c>
      <c r="F11984" t="s">
        <v>30052</v>
      </c>
      <c r="G11984" t="s">
        <v>30058</v>
      </c>
      <c r="H11984" t="s">
        <v>30067</v>
      </c>
      <c r="I11984" t="s">
        <v>3693</v>
      </c>
      <c r="J11984" t="s">
        <v>37517</v>
      </c>
      <c r="K11984" t="s">
        <v>39025</v>
      </c>
      <c r="M11984" t="s">
        <v>42821</v>
      </c>
      <c r="N11984" t="s">
        <v>43166</v>
      </c>
      <c r="O11984" t="s">
        <v>43167</v>
      </c>
      <c r="P11984">
        <v>0</v>
      </c>
      <c r="Q11984">
        <v>0</v>
      </c>
      <c r="R11984" t="s">
        <v>43182</v>
      </c>
      <c r="S11984" t="s">
        <v>43789</v>
      </c>
      <c r="T11984" t="s">
        <v>44681</v>
      </c>
      <c r="U11984" t="s">
        <v>54773</v>
      </c>
      <c r="W11984" t="s">
        <v>42821</v>
      </c>
      <c r="X11984" t="s">
        <v>43183</v>
      </c>
    </row>
    <row r="11985" spans="1:24">
      <c r="A11985">
        <f>HYPERLINK("https://www.philgeps.gov.ph/GEPSNONPILOT/Tender/SplashBidNoticeAbstractUI.aspx?menuIndex=3&amp;refID=7058715&amp;Result=3","7058715")</f>
        <v>0</v>
      </c>
      <c r="B11985" t="s">
        <v>514</v>
      </c>
      <c r="C11985" t="s">
        <v>14863</v>
      </c>
      <c r="D11985" t="s">
        <v>17461</v>
      </c>
      <c r="E11985" t="s">
        <v>19569</v>
      </c>
      <c r="F11985" t="s">
        <v>30052</v>
      </c>
      <c r="G11985" t="s">
        <v>30058</v>
      </c>
      <c r="H11985" t="s">
        <v>15498</v>
      </c>
      <c r="I11985" t="s">
        <v>30074</v>
      </c>
      <c r="J11985" t="s">
        <v>37518</v>
      </c>
      <c r="K11985" t="s">
        <v>39046</v>
      </c>
      <c r="L11985" t="s">
        <v>514</v>
      </c>
      <c r="M11985" t="s">
        <v>39815</v>
      </c>
      <c r="N11985" t="s">
        <v>43166</v>
      </c>
      <c r="O11985" t="s">
        <v>43167</v>
      </c>
      <c r="P11985">
        <v>0</v>
      </c>
      <c r="Q11985">
        <v>6</v>
      </c>
      <c r="R11985" t="s">
        <v>43182</v>
      </c>
      <c r="S11985" t="s">
        <v>43789</v>
      </c>
      <c r="T11985" t="s">
        <v>44773</v>
      </c>
      <c r="U11985" t="s">
        <v>54774</v>
      </c>
      <c r="V11985" t="s">
        <v>58150</v>
      </c>
      <c r="W11985" t="s">
        <v>39815</v>
      </c>
      <c r="X11985" t="s">
        <v>43183</v>
      </c>
    </row>
    <row r="11986" spans="1:24">
      <c r="A11986">
        <f>HYPERLINK("https://www.philgeps.gov.ph/GEPSNONPILOT/Tender/SplashBidNoticeAbstractUI.aspx?menuIndex=3&amp;refID=7058912&amp;Result=3","7058912")</f>
        <v>0</v>
      </c>
      <c r="B11986" t="s">
        <v>1011</v>
      </c>
      <c r="C11986" t="s">
        <v>14864</v>
      </c>
      <c r="D11986" t="s">
        <v>17476</v>
      </c>
      <c r="E11986" t="s">
        <v>27762</v>
      </c>
      <c r="F11986" t="s">
        <v>30052</v>
      </c>
      <c r="G11986" t="s">
        <v>30058</v>
      </c>
      <c r="H11986" t="s">
        <v>30067</v>
      </c>
      <c r="I11986" t="s">
        <v>3693</v>
      </c>
      <c r="J11986" t="s">
        <v>32377</v>
      </c>
      <c r="K11986" t="s">
        <v>39191</v>
      </c>
      <c r="M11986" t="s">
        <v>40340</v>
      </c>
      <c r="N11986" t="s">
        <v>43166</v>
      </c>
      <c r="O11986" t="s">
        <v>43167</v>
      </c>
      <c r="P11986">
        <v>0</v>
      </c>
      <c r="Q11986">
        <v>0</v>
      </c>
      <c r="R11986" t="s">
        <v>43182</v>
      </c>
      <c r="S11986" t="s">
        <v>43789</v>
      </c>
      <c r="T11986" t="s">
        <v>44699</v>
      </c>
      <c r="U11986" t="s">
        <v>54775</v>
      </c>
      <c r="V11986" t="s">
        <v>58151</v>
      </c>
      <c r="W11986" t="s">
        <v>40340</v>
      </c>
      <c r="X11986" t="s">
        <v>43183</v>
      </c>
    </row>
    <row r="11987" spans="1:24">
      <c r="A11987">
        <f>HYPERLINK("https://www.philgeps.gov.ph/GEPSNONPILOT/Tender/SplashBidNoticeAbstractUI.aspx?menuIndex=3&amp;refID=7058917&amp;Result=3","7058917")</f>
        <v>0</v>
      </c>
      <c r="B11987" t="s">
        <v>3122</v>
      </c>
      <c r="C11987" t="s">
        <v>14865</v>
      </c>
      <c r="D11987" t="s">
        <v>17452</v>
      </c>
      <c r="E11987" t="s">
        <v>27763</v>
      </c>
      <c r="F11987" t="s">
        <v>30052</v>
      </c>
      <c r="G11987" t="s">
        <v>30058</v>
      </c>
      <c r="H11987" t="s">
        <v>15498</v>
      </c>
      <c r="I11987" t="s">
        <v>30124</v>
      </c>
      <c r="J11987" t="s">
        <v>37519</v>
      </c>
      <c r="K11987" t="s">
        <v>39034</v>
      </c>
      <c r="M11987" t="s">
        <v>42719</v>
      </c>
      <c r="N11987" t="s">
        <v>43166</v>
      </c>
      <c r="O11987" t="s">
        <v>43167</v>
      </c>
      <c r="P11987">
        <v>0</v>
      </c>
      <c r="Q11987">
        <v>7</v>
      </c>
      <c r="R11987" t="s">
        <v>43182</v>
      </c>
      <c r="S11987" t="s">
        <v>43789</v>
      </c>
      <c r="T11987" t="s">
        <v>44733</v>
      </c>
      <c r="U11987" t="s">
        <v>54776</v>
      </c>
      <c r="V11987" t="s">
        <v>58106</v>
      </c>
      <c r="W11987" t="s">
        <v>42719</v>
      </c>
      <c r="X11987" t="s">
        <v>43183</v>
      </c>
    </row>
    <row r="11988" spans="1:24">
      <c r="A11988">
        <f>HYPERLINK("https://www.philgeps.gov.ph/GEPSNONPILOT/Tender/SplashBidNoticeAbstractUI.aspx?menuIndex=3&amp;refID=7058907&amp;Result=3","7058907")</f>
        <v>0</v>
      </c>
      <c r="B11988" t="s">
        <v>670</v>
      </c>
      <c r="C11988" t="s">
        <v>14866</v>
      </c>
      <c r="D11988" t="s">
        <v>17446</v>
      </c>
      <c r="E11988" t="s">
        <v>27764</v>
      </c>
      <c r="F11988" t="s">
        <v>30052</v>
      </c>
      <c r="G11988" t="s">
        <v>30058</v>
      </c>
      <c r="H11988" t="s">
        <v>15498</v>
      </c>
      <c r="I11988" t="s">
        <v>4598</v>
      </c>
      <c r="J11988" t="s">
        <v>37520</v>
      </c>
      <c r="K11988" t="s">
        <v>39025</v>
      </c>
      <c r="M11988" t="s">
        <v>39976</v>
      </c>
      <c r="N11988" t="s">
        <v>43166</v>
      </c>
      <c r="O11988" t="s">
        <v>43167</v>
      </c>
      <c r="P11988">
        <v>0</v>
      </c>
      <c r="Q11988">
        <v>12</v>
      </c>
      <c r="R11988" t="s">
        <v>43182</v>
      </c>
      <c r="S11988" t="s">
        <v>43789</v>
      </c>
      <c r="T11988" t="s">
        <v>44681</v>
      </c>
      <c r="U11988" t="s">
        <v>54777</v>
      </c>
      <c r="W11988" t="s">
        <v>42821</v>
      </c>
      <c r="X11988" t="s">
        <v>43183</v>
      </c>
    </row>
    <row r="11989" spans="1:24">
      <c r="A11989">
        <f>HYPERLINK("https://www.philgeps.gov.ph/GEPSNONPILOT/Tender/SplashBidNoticeAbstractUI.aspx?menuIndex=3&amp;refID=7058674&amp;Result=3","7058674")</f>
        <v>0</v>
      </c>
      <c r="B11989" t="s">
        <v>311</v>
      </c>
      <c r="C11989" t="s">
        <v>14867</v>
      </c>
      <c r="D11989" t="s">
        <v>17429</v>
      </c>
      <c r="E11989" t="s">
        <v>27765</v>
      </c>
      <c r="F11989" t="s">
        <v>30052</v>
      </c>
      <c r="G11989" t="s">
        <v>30058</v>
      </c>
      <c r="H11989" t="s">
        <v>15498</v>
      </c>
      <c r="I11989" t="s">
        <v>30142</v>
      </c>
      <c r="J11989" t="s">
        <v>34092</v>
      </c>
      <c r="K11989" t="s">
        <v>39017</v>
      </c>
      <c r="L11989" t="s">
        <v>311</v>
      </c>
      <c r="M11989" t="s">
        <v>39607</v>
      </c>
      <c r="N11989" t="s">
        <v>43166</v>
      </c>
      <c r="O11989" t="s">
        <v>43167</v>
      </c>
      <c r="P11989">
        <v>0</v>
      </c>
      <c r="Q11989">
        <v>2</v>
      </c>
      <c r="R11989" t="s">
        <v>43182</v>
      </c>
      <c r="S11989" t="s">
        <v>43789</v>
      </c>
      <c r="T11989" t="s">
        <v>44710</v>
      </c>
      <c r="U11989" t="s">
        <v>54778</v>
      </c>
      <c r="W11989" t="s">
        <v>39607</v>
      </c>
      <c r="X11989" t="s">
        <v>43183</v>
      </c>
    </row>
    <row r="11990" spans="1:24">
      <c r="A11990">
        <f>HYPERLINK("https://www.philgeps.gov.ph/GEPSNONPILOT/Tender/SplashBidNoticeAbstractUI.aspx?menuIndex=3&amp;refID=7058904&amp;Result=3","7058904")</f>
        <v>0</v>
      </c>
      <c r="B11990" t="s">
        <v>670</v>
      </c>
      <c r="C11990" t="s">
        <v>14868</v>
      </c>
      <c r="D11990" t="s">
        <v>17446</v>
      </c>
      <c r="E11990" t="s">
        <v>27766</v>
      </c>
      <c r="F11990" t="s">
        <v>30052</v>
      </c>
      <c r="G11990" t="s">
        <v>30058</v>
      </c>
      <c r="H11990" t="s">
        <v>30069</v>
      </c>
      <c r="I11990" t="s">
        <v>30129</v>
      </c>
      <c r="J11990" t="s">
        <v>30397</v>
      </c>
      <c r="K11990" t="s">
        <v>39048</v>
      </c>
      <c r="M11990" t="s">
        <v>39976</v>
      </c>
      <c r="N11990" t="s">
        <v>43166</v>
      </c>
      <c r="O11990" t="s">
        <v>43167</v>
      </c>
      <c r="Q11990">
        <v>5</v>
      </c>
      <c r="R11990" t="s">
        <v>43182</v>
      </c>
      <c r="S11990" t="s">
        <v>43821</v>
      </c>
      <c r="T11990" t="s">
        <v>44681</v>
      </c>
      <c r="U11990" t="s">
        <v>54779</v>
      </c>
      <c r="W11990" t="s">
        <v>42821</v>
      </c>
      <c r="X11990" t="s">
        <v>43183</v>
      </c>
    </row>
    <row r="11991" spans="1:24">
      <c r="A11991">
        <f>HYPERLINK("https://www.philgeps.gov.ph/GEPSNONPILOT/Tender/SplashBidNoticeAbstractUI.aspx?menuIndex=3&amp;refID=7058869&amp;Result=3","7058869")</f>
        <v>0</v>
      </c>
      <c r="B11991" t="s">
        <v>1004</v>
      </c>
      <c r="C11991" t="s">
        <v>14869</v>
      </c>
      <c r="D11991" t="s">
        <v>17454</v>
      </c>
      <c r="E11991" t="s">
        <v>27767</v>
      </c>
      <c r="F11991" t="s">
        <v>30052</v>
      </c>
      <c r="G11991" t="s">
        <v>30058</v>
      </c>
      <c r="H11991" t="s">
        <v>15498</v>
      </c>
      <c r="I11991" t="s">
        <v>9238</v>
      </c>
      <c r="J11991" t="s">
        <v>37521</v>
      </c>
      <c r="K11991" t="s">
        <v>39029</v>
      </c>
      <c r="M11991" t="s">
        <v>42136</v>
      </c>
      <c r="N11991" t="s">
        <v>43166</v>
      </c>
      <c r="O11991" t="s">
        <v>43167</v>
      </c>
      <c r="Q11991">
        <v>37</v>
      </c>
      <c r="R11991" t="s">
        <v>43182</v>
      </c>
      <c r="S11991" t="s">
        <v>43822</v>
      </c>
      <c r="T11991" t="s">
        <v>44724</v>
      </c>
      <c r="U11991" t="s">
        <v>54780</v>
      </c>
      <c r="W11991" t="s">
        <v>42136</v>
      </c>
      <c r="X11991" t="s">
        <v>43183</v>
      </c>
    </row>
    <row r="11992" spans="1:24">
      <c r="A11992">
        <f>HYPERLINK("https://www.philgeps.gov.ph/GEPSNONPILOT/Tender/SplashBidNoticeAbstractUI.aspx?menuIndex=3&amp;refID=7058865&amp;Result=3","7058865")</f>
        <v>0</v>
      </c>
      <c r="B11992" t="s">
        <v>1047</v>
      </c>
      <c r="C11992" t="s">
        <v>14870</v>
      </c>
      <c r="D11992" t="s">
        <v>17476</v>
      </c>
      <c r="E11992" t="s">
        <v>27768</v>
      </c>
      <c r="F11992" t="s">
        <v>30052</v>
      </c>
      <c r="G11992" t="s">
        <v>30058</v>
      </c>
      <c r="H11992" t="s">
        <v>30067</v>
      </c>
      <c r="I11992" t="s">
        <v>3693</v>
      </c>
      <c r="J11992" t="s">
        <v>30321</v>
      </c>
      <c r="K11992" t="s">
        <v>39046</v>
      </c>
      <c r="M11992" t="s">
        <v>40380</v>
      </c>
      <c r="N11992" t="s">
        <v>43166</v>
      </c>
      <c r="O11992" t="s">
        <v>43167</v>
      </c>
      <c r="P11992">
        <v>0</v>
      </c>
      <c r="Q11992">
        <v>0</v>
      </c>
      <c r="R11992" t="s">
        <v>43182</v>
      </c>
      <c r="S11992" t="s">
        <v>43789</v>
      </c>
      <c r="T11992" t="s">
        <v>44724</v>
      </c>
      <c r="U11992" t="s">
        <v>54781</v>
      </c>
      <c r="W11992" t="s">
        <v>58624</v>
      </c>
      <c r="X11992" t="s">
        <v>43183</v>
      </c>
    </row>
    <row r="11993" spans="1:24">
      <c r="A11993">
        <f>HYPERLINK("https://www.philgeps.gov.ph/GEPSNONPILOT/Tender/SplashBidNoticeAbstractUI.aspx?menuIndex=3&amp;refID=7058859&amp;Result=3","7058859")</f>
        <v>0</v>
      </c>
      <c r="B11993" t="s">
        <v>1047</v>
      </c>
      <c r="C11993" t="s">
        <v>14871</v>
      </c>
      <c r="D11993" t="s">
        <v>17476</v>
      </c>
      <c r="E11993" t="s">
        <v>27769</v>
      </c>
      <c r="F11993" t="s">
        <v>30052</v>
      </c>
      <c r="G11993" t="s">
        <v>30058</v>
      </c>
      <c r="H11993" t="s">
        <v>30067</v>
      </c>
      <c r="I11993" t="s">
        <v>3693</v>
      </c>
      <c r="J11993" t="s">
        <v>31198</v>
      </c>
      <c r="K11993" t="s">
        <v>39046</v>
      </c>
      <c r="M11993" t="s">
        <v>40380</v>
      </c>
      <c r="N11993" t="s">
        <v>43166</v>
      </c>
      <c r="O11993" t="s">
        <v>43167</v>
      </c>
      <c r="P11993">
        <v>0</v>
      </c>
      <c r="Q11993">
        <v>0</v>
      </c>
      <c r="R11993" t="s">
        <v>43182</v>
      </c>
      <c r="S11993" t="s">
        <v>43789</v>
      </c>
      <c r="T11993" t="s">
        <v>44724</v>
      </c>
      <c r="U11993" t="s">
        <v>54782</v>
      </c>
      <c r="W11993" t="s">
        <v>58624</v>
      </c>
      <c r="X11993" t="s">
        <v>43183</v>
      </c>
    </row>
    <row r="11994" spans="1:24">
      <c r="A11994">
        <f>HYPERLINK("https://www.philgeps.gov.ph/GEPSNONPILOT/Tender/SplashBidNoticeAbstractUI.aspx?menuIndex=3&amp;refID=7058855&amp;Result=3","7058855")</f>
        <v>0</v>
      </c>
      <c r="B11994" t="s">
        <v>1004</v>
      </c>
      <c r="C11994" t="s">
        <v>14872</v>
      </c>
      <c r="D11994" t="s">
        <v>17454</v>
      </c>
      <c r="E11994" t="s">
        <v>27770</v>
      </c>
      <c r="F11994" t="s">
        <v>30052</v>
      </c>
      <c r="G11994" t="s">
        <v>30058</v>
      </c>
      <c r="H11994" t="s">
        <v>15498</v>
      </c>
      <c r="I11994" t="s">
        <v>30076</v>
      </c>
      <c r="J11994" t="s">
        <v>37522</v>
      </c>
      <c r="K11994" t="s">
        <v>39029</v>
      </c>
      <c r="M11994" t="s">
        <v>42136</v>
      </c>
      <c r="N11994" t="s">
        <v>43166</v>
      </c>
      <c r="O11994" t="s">
        <v>43167</v>
      </c>
      <c r="Q11994">
        <v>38</v>
      </c>
      <c r="R11994" t="s">
        <v>43182</v>
      </c>
      <c r="S11994" t="s">
        <v>43823</v>
      </c>
      <c r="T11994" t="s">
        <v>44780</v>
      </c>
      <c r="U11994" t="s">
        <v>54783</v>
      </c>
      <c r="W11994" t="s">
        <v>42136</v>
      </c>
      <c r="X11994" t="s">
        <v>43183</v>
      </c>
    </row>
    <row r="11995" spans="1:24">
      <c r="A11995">
        <f>HYPERLINK("https://www.philgeps.gov.ph/GEPSNONPILOT/Tender/SplashBidNoticeAbstractUI.aspx?menuIndex=3&amp;refID=7058848&amp;Result=3","7058848")</f>
        <v>0</v>
      </c>
      <c r="B11995" t="s">
        <v>813</v>
      </c>
      <c r="C11995" t="s">
        <v>14873</v>
      </c>
      <c r="D11995" t="s">
        <v>17426</v>
      </c>
      <c r="E11995" t="s">
        <v>27771</v>
      </c>
      <c r="F11995" t="s">
        <v>30052</v>
      </c>
      <c r="G11995" t="s">
        <v>30058</v>
      </c>
      <c r="H11995" t="s">
        <v>30067</v>
      </c>
      <c r="I11995" t="s">
        <v>3693</v>
      </c>
      <c r="J11995" t="s">
        <v>30222</v>
      </c>
      <c r="K11995" t="s">
        <v>39031</v>
      </c>
      <c r="M11995" t="s">
        <v>40130</v>
      </c>
      <c r="N11995" t="s">
        <v>43166</v>
      </c>
      <c r="O11995" t="s">
        <v>43167</v>
      </c>
      <c r="P11995">
        <v>0</v>
      </c>
      <c r="Q11995">
        <v>1</v>
      </c>
      <c r="R11995" t="s">
        <v>43182</v>
      </c>
      <c r="S11995" t="s">
        <v>43789</v>
      </c>
      <c r="T11995" t="s">
        <v>45143</v>
      </c>
      <c r="U11995" t="s">
        <v>46896</v>
      </c>
      <c r="W11995" t="s">
        <v>40130</v>
      </c>
      <c r="X11995" t="s">
        <v>43183</v>
      </c>
    </row>
    <row r="11996" spans="1:24">
      <c r="A11996">
        <f>HYPERLINK("https://www.philgeps.gov.ph/GEPSNONPILOT/Tender/SplashBidNoticeAbstractUI.aspx?menuIndex=3&amp;refID=7058839&amp;Result=3","7058839")</f>
        <v>0</v>
      </c>
      <c r="B11996" t="s">
        <v>3202</v>
      </c>
      <c r="C11996" t="s">
        <v>14874</v>
      </c>
      <c r="D11996" t="s">
        <v>17456</v>
      </c>
      <c r="E11996" t="s">
        <v>27772</v>
      </c>
      <c r="F11996" t="s">
        <v>30052</v>
      </c>
      <c r="G11996" t="s">
        <v>30058</v>
      </c>
      <c r="H11996" t="s">
        <v>30067</v>
      </c>
      <c r="I11996" t="s">
        <v>3693</v>
      </c>
      <c r="J11996" t="s">
        <v>37523</v>
      </c>
      <c r="K11996" t="s">
        <v>39023</v>
      </c>
      <c r="M11996" t="s">
        <v>42822</v>
      </c>
      <c r="N11996" t="s">
        <v>43166</v>
      </c>
      <c r="O11996" t="s">
        <v>43167</v>
      </c>
      <c r="Q11996">
        <v>12</v>
      </c>
      <c r="R11996" t="s">
        <v>43182</v>
      </c>
      <c r="S11996" t="s">
        <v>43824</v>
      </c>
      <c r="T11996" t="s">
        <v>44727</v>
      </c>
      <c r="U11996" t="s">
        <v>54784</v>
      </c>
      <c r="W11996" t="s">
        <v>42822</v>
      </c>
      <c r="X11996" t="s">
        <v>43183</v>
      </c>
    </row>
    <row r="11997" spans="1:24">
      <c r="A11997">
        <f>HYPERLINK("https://www.philgeps.gov.ph/GEPSNONPILOT/Tender/SplashBidNoticeAbstractUI.aspx?menuIndex=3&amp;refID=7058832&amp;Result=3","7058832")</f>
        <v>0</v>
      </c>
      <c r="B11997" t="s">
        <v>813</v>
      </c>
      <c r="C11997" t="s">
        <v>14875</v>
      </c>
      <c r="D11997" t="s">
        <v>17426</v>
      </c>
      <c r="E11997" t="s">
        <v>27773</v>
      </c>
      <c r="F11997" t="s">
        <v>30052</v>
      </c>
      <c r="G11997" t="s">
        <v>30058</v>
      </c>
      <c r="H11997" t="s">
        <v>30069</v>
      </c>
      <c r="I11997" t="s">
        <v>30098</v>
      </c>
      <c r="J11997" t="s">
        <v>37524</v>
      </c>
      <c r="K11997" t="s">
        <v>39029</v>
      </c>
      <c r="M11997" t="s">
        <v>40130</v>
      </c>
      <c r="N11997" t="s">
        <v>43166</v>
      </c>
      <c r="O11997" t="s">
        <v>43167</v>
      </c>
      <c r="P11997">
        <v>0</v>
      </c>
      <c r="Q11997">
        <v>7</v>
      </c>
      <c r="R11997" t="s">
        <v>43182</v>
      </c>
      <c r="S11997" t="s">
        <v>43789</v>
      </c>
      <c r="T11997" t="s">
        <v>44847</v>
      </c>
      <c r="U11997" t="s">
        <v>54785</v>
      </c>
      <c r="W11997" t="s">
        <v>40130</v>
      </c>
      <c r="X11997" t="s">
        <v>43183</v>
      </c>
    </row>
    <row r="11998" spans="1:24">
      <c r="A11998">
        <f>HYPERLINK("https://www.philgeps.gov.ph/GEPSNONPILOT/Tender/SplashBidNoticeAbstractUI.aspx?menuIndex=3&amp;refID=7058897&amp;Result=3","7058897")</f>
        <v>0</v>
      </c>
      <c r="B11998" t="s">
        <v>2674</v>
      </c>
      <c r="C11998" t="s">
        <v>14876</v>
      </c>
      <c r="D11998" t="s">
        <v>17443</v>
      </c>
      <c r="E11998" t="s">
        <v>27774</v>
      </c>
      <c r="F11998" t="s">
        <v>30052</v>
      </c>
      <c r="G11998" t="s">
        <v>30058</v>
      </c>
      <c r="H11998" t="s">
        <v>15498</v>
      </c>
      <c r="I11998" t="s">
        <v>30108</v>
      </c>
      <c r="J11998" t="s">
        <v>30358</v>
      </c>
      <c r="K11998" t="s">
        <v>39019</v>
      </c>
      <c r="M11998" t="s">
        <v>42194</v>
      </c>
      <c r="N11998" t="s">
        <v>43166</v>
      </c>
      <c r="O11998" t="s">
        <v>43167</v>
      </c>
      <c r="P11998">
        <v>0</v>
      </c>
      <c r="Q11998">
        <v>0</v>
      </c>
      <c r="R11998" t="s">
        <v>43182</v>
      </c>
      <c r="S11998" t="s">
        <v>43789</v>
      </c>
      <c r="T11998" t="s">
        <v>44753</v>
      </c>
      <c r="U11998" t="s">
        <v>54786</v>
      </c>
      <c r="W11998" t="s">
        <v>42194</v>
      </c>
      <c r="X11998" t="s">
        <v>43183</v>
      </c>
    </row>
    <row r="11999" spans="1:24">
      <c r="A11999">
        <f>HYPERLINK("https://www.philgeps.gov.ph/GEPSNONPILOT/Tender/SplashBidNoticeAbstractUI.aspx?menuIndex=3&amp;refID=7058911&amp;Result=3","7058911")</f>
        <v>0</v>
      </c>
      <c r="B11999" t="s">
        <v>670</v>
      </c>
      <c r="C11999" t="s">
        <v>14877</v>
      </c>
      <c r="D11999" t="s">
        <v>17446</v>
      </c>
      <c r="E11999" t="s">
        <v>27775</v>
      </c>
      <c r="F11999" t="s">
        <v>30052</v>
      </c>
      <c r="G11999" t="s">
        <v>30058</v>
      </c>
      <c r="H11999" t="s">
        <v>15498</v>
      </c>
      <c r="I11999" t="s">
        <v>30073</v>
      </c>
      <c r="J11999" t="s">
        <v>37525</v>
      </c>
      <c r="K11999" t="s">
        <v>39048</v>
      </c>
      <c r="M11999" t="s">
        <v>39976</v>
      </c>
      <c r="N11999" t="s">
        <v>43166</v>
      </c>
      <c r="O11999" t="s">
        <v>43167</v>
      </c>
      <c r="P11999">
        <v>0</v>
      </c>
      <c r="Q11999">
        <v>1</v>
      </c>
      <c r="R11999" t="s">
        <v>43182</v>
      </c>
      <c r="S11999" t="s">
        <v>43789</v>
      </c>
      <c r="T11999" t="s">
        <v>44681</v>
      </c>
      <c r="U11999" t="s">
        <v>54787</v>
      </c>
      <c r="W11999" t="s">
        <v>42821</v>
      </c>
      <c r="X11999" t="s">
        <v>43183</v>
      </c>
    </row>
    <row r="12000" spans="1:24">
      <c r="A12000">
        <f>HYPERLINK("https://www.philgeps.gov.ph/GEPSNONPILOT/Tender/SplashBidNoticeAbstractUI.aspx?menuIndex=3&amp;refID=7058751&amp;Result=3","7058751")</f>
        <v>0</v>
      </c>
      <c r="B12000" t="s">
        <v>3203</v>
      </c>
      <c r="C12000" t="s">
        <v>14878</v>
      </c>
      <c r="D12000" t="s">
        <v>17415</v>
      </c>
      <c r="E12000" t="s">
        <v>27776</v>
      </c>
      <c r="F12000" t="s">
        <v>30052</v>
      </c>
      <c r="G12000" t="s">
        <v>30058</v>
      </c>
      <c r="H12000" t="s">
        <v>30069</v>
      </c>
      <c r="I12000" t="s">
        <v>3852</v>
      </c>
      <c r="J12000" t="s">
        <v>37526</v>
      </c>
      <c r="K12000" t="s">
        <v>39029</v>
      </c>
      <c r="M12000" t="s">
        <v>42823</v>
      </c>
      <c r="N12000" t="s">
        <v>43166</v>
      </c>
      <c r="O12000" t="s">
        <v>43167</v>
      </c>
      <c r="P12000">
        <v>0</v>
      </c>
      <c r="Q12000">
        <v>5</v>
      </c>
      <c r="R12000" t="s">
        <v>43182</v>
      </c>
      <c r="S12000" t="s">
        <v>43789</v>
      </c>
      <c r="T12000" t="s">
        <v>44705</v>
      </c>
      <c r="U12000" t="s">
        <v>54788</v>
      </c>
      <c r="V12000" t="s">
        <v>58152</v>
      </c>
      <c r="W12000" t="s">
        <v>42823</v>
      </c>
      <c r="X12000" t="s">
        <v>43183</v>
      </c>
    </row>
    <row r="12001" spans="1:24">
      <c r="A12001">
        <f>HYPERLINK("https://www.philgeps.gov.ph/GEPSNONPILOT/Tender/SplashBidNoticeAbstractUI.aspx?menuIndex=3&amp;refID=7058780&amp;Result=3","7058780")</f>
        <v>0</v>
      </c>
      <c r="B12001" t="s">
        <v>306</v>
      </c>
      <c r="C12001" t="s">
        <v>14879</v>
      </c>
      <c r="D12001" t="s">
        <v>17415</v>
      </c>
      <c r="E12001" t="s">
        <v>27777</v>
      </c>
      <c r="F12001" t="s">
        <v>30052</v>
      </c>
      <c r="G12001" t="s">
        <v>30058</v>
      </c>
      <c r="H12001" t="s">
        <v>30067</v>
      </c>
      <c r="I12001" t="s">
        <v>3693</v>
      </c>
      <c r="J12001" t="s">
        <v>37527</v>
      </c>
      <c r="K12001" t="s">
        <v>39125</v>
      </c>
      <c r="M12001" t="s">
        <v>42470</v>
      </c>
      <c r="N12001" t="s">
        <v>43166</v>
      </c>
      <c r="O12001" t="s">
        <v>43167</v>
      </c>
      <c r="Q12001">
        <v>28</v>
      </c>
      <c r="R12001" t="s">
        <v>43182</v>
      </c>
      <c r="S12001" t="s">
        <v>43825</v>
      </c>
      <c r="T12001" t="s">
        <v>44925</v>
      </c>
      <c r="U12001" t="s">
        <v>54789</v>
      </c>
      <c r="W12001" t="s">
        <v>42470</v>
      </c>
      <c r="X12001" t="s">
        <v>43183</v>
      </c>
    </row>
    <row r="12002" spans="1:24">
      <c r="A12002">
        <f>HYPERLINK("https://www.philgeps.gov.ph/GEPSNONPILOT/Tender/SplashBidNoticeAbstractUI.aspx?menuIndex=3&amp;refID=7058757&amp;Result=3","7058757")</f>
        <v>0</v>
      </c>
      <c r="B12002" t="s">
        <v>296</v>
      </c>
      <c r="C12002" t="s">
        <v>14880</v>
      </c>
      <c r="E12002" t="s">
        <v>27778</v>
      </c>
      <c r="F12002" t="s">
        <v>30052</v>
      </c>
      <c r="G12002" t="s">
        <v>30058</v>
      </c>
      <c r="H12002" t="s">
        <v>15498</v>
      </c>
      <c r="I12002" t="s">
        <v>30123</v>
      </c>
      <c r="J12002" t="s">
        <v>37390</v>
      </c>
      <c r="K12002" t="s">
        <v>39025</v>
      </c>
      <c r="M12002" t="s">
        <v>41050</v>
      </c>
      <c r="N12002" t="s">
        <v>43166</v>
      </c>
      <c r="O12002" t="s">
        <v>43167</v>
      </c>
      <c r="Q12002">
        <v>1</v>
      </c>
      <c r="R12002" t="s">
        <v>43182</v>
      </c>
      <c r="S12002" t="s">
        <v>43826</v>
      </c>
      <c r="T12002" t="s">
        <v>44733</v>
      </c>
      <c r="U12002" t="s">
        <v>54790</v>
      </c>
      <c r="V12002" t="s">
        <v>57341</v>
      </c>
      <c r="W12002" t="s">
        <v>41050</v>
      </c>
      <c r="X12002" t="s">
        <v>43183</v>
      </c>
    </row>
    <row r="12003" spans="1:24">
      <c r="A12003">
        <f>HYPERLINK("https://www.philgeps.gov.ph/GEPSNONPILOT/Tender/SplashBidNoticeAbstractUI.aspx?menuIndex=3&amp;refID=7058755&amp;Result=3","7058755")</f>
        <v>0</v>
      </c>
      <c r="B12003" t="s">
        <v>306</v>
      </c>
      <c r="C12003" t="s">
        <v>14881</v>
      </c>
      <c r="D12003" t="s">
        <v>17415</v>
      </c>
      <c r="E12003" t="s">
        <v>27779</v>
      </c>
      <c r="F12003" t="s">
        <v>30052</v>
      </c>
      <c r="G12003" t="s">
        <v>30058</v>
      </c>
      <c r="H12003" t="s">
        <v>30067</v>
      </c>
      <c r="I12003" t="s">
        <v>3693</v>
      </c>
      <c r="J12003" t="s">
        <v>37528</v>
      </c>
      <c r="K12003" t="s">
        <v>39245</v>
      </c>
      <c r="M12003" t="s">
        <v>42470</v>
      </c>
      <c r="N12003" t="s">
        <v>43166</v>
      </c>
      <c r="O12003" t="s">
        <v>43167</v>
      </c>
      <c r="Q12003">
        <v>33</v>
      </c>
      <c r="R12003" t="s">
        <v>43182</v>
      </c>
      <c r="S12003" t="s">
        <v>43827</v>
      </c>
      <c r="T12003" t="s">
        <v>44925</v>
      </c>
      <c r="U12003" t="s">
        <v>54791</v>
      </c>
      <c r="W12003" t="s">
        <v>42470</v>
      </c>
      <c r="X12003" t="s">
        <v>43183</v>
      </c>
    </row>
    <row r="12004" spans="1:24">
      <c r="A12004">
        <f>HYPERLINK("https://www.philgeps.gov.ph/GEPSNONPILOT/Tender/SplashBidNoticeAbstractUI.aspx?menuIndex=3&amp;refID=7058669&amp;Result=3","7058669")</f>
        <v>0</v>
      </c>
      <c r="B12004" t="s">
        <v>364</v>
      </c>
      <c r="C12004" t="s">
        <v>14882</v>
      </c>
      <c r="D12004" t="s">
        <v>17445</v>
      </c>
      <c r="E12004" t="s">
        <v>23455</v>
      </c>
      <c r="F12004" t="s">
        <v>30052</v>
      </c>
      <c r="G12004" t="s">
        <v>30058</v>
      </c>
      <c r="H12004" t="s">
        <v>15498</v>
      </c>
      <c r="I12004" t="s">
        <v>30084</v>
      </c>
      <c r="J12004" t="s">
        <v>33348</v>
      </c>
      <c r="K12004" t="s">
        <v>39034</v>
      </c>
      <c r="M12004" t="s">
        <v>39662</v>
      </c>
      <c r="N12004" t="s">
        <v>43166</v>
      </c>
      <c r="O12004" t="s">
        <v>43167</v>
      </c>
      <c r="P12004">
        <v>0</v>
      </c>
      <c r="Q12004">
        <v>8</v>
      </c>
      <c r="R12004" t="s">
        <v>43182</v>
      </c>
      <c r="S12004" t="s">
        <v>43789</v>
      </c>
      <c r="T12004" t="s">
        <v>44687</v>
      </c>
      <c r="U12004" t="s">
        <v>54792</v>
      </c>
      <c r="W12004" t="s">
        <v>39662</v>
      </c>
      <c r="X12004" t="s">
        <v>43183</v>
      </c>
    </row>
    <row r="12005" spans="1:24">
      <c r="A12005">
        <f>HYPERLINK("https://www.philgeps.gov.ph/GEPSNONPILOT/Tender/SplashBidNoticeAbstractUI.aspx?menuIndex=3&amp;refID=7058667&amp;Result=3","7058667")</f>
        <v>0</v>
      </c>
      <c r="B12005" t="s">
        <v>311</v>
      </c>
      <c r="C12005" t="s">
        <v>14883</v>
      </c>
      <c r="D12005" t="s">
        <v>17429</v>
      </c>
      <c r="E12005" t="s">
        <v>27780</v>
      </c>
      <c r="F12005" t="s">
        <v>30052</v>
      </c>
      <c r="G12005" t="s">
        <v>30058</v>
      </c>
      <c r="H12005" t="s">
        <v>15498</v>
      </c>
      <c r="I12005" t="s">
        <v>4119</v>
      </c>
      <c r="J12005" t="s">
        <v>37529</v>
      </c>
      <c r="K12005" t="s">
        <v>39017</v>
      </c>
      <c r="L12005" t="s">
        <v>311</v>
      </c>
      <c r="M12005" t="s">
        <v>39607</v>
      </c>
      <c r="N12005" t="s">
        <v>43166</v>
      </c>
      <c r="O12005" t="s">
        <v>43167</v>
      </c>
      <c r="P12005">
        <v>0</v>
      </c>
      <c r="Q12005">
        <v>6</v>
      </c>
      <c r="R12005" t="s">
        <v>43182</v>
      </c>
      <c r="S12005" t="s">
        <v>43789</v>
      </c>
      <c r="T12005" t="s">
        <v>44715</v>
      </c>
      <c r="U12005" t="s">
        <v>54778</v>
      </c>
      <c r="W12005" t="s">
        <v>39607</v>
      </c>
      <c r="X12005" t="s">
        <v>43183</v>
      </c>
    </row>
    <row r="12006" spans="1:24">
      <c r="A12006">
        <f>HYPERLINK("https://www.philgeps.gov.ph/GEPSNONPILOT/Tender/SplashBidNoticeAbstractUI.aspx?menuIndex=3&amp;refID=7058665&amp;Result=3","7058665")</f>
        <v>0</v>
      </c>
      <c r="B12006" t="s">
        <v>364</v>
      </c>
      <c r="C12006" t="s">
        <v>14884</v>
      </c>
      <c r="D12006" t="s">
        <v>17445</v>
      </c>
      <c r="E12006" t="s">
        <v>27781</v>
      </c>
      <c r="F12006" t="s">
        <v>30052</v>
      </c>
      <c r="G12006" t="s">
        <v>30058</v>
      </c>
      <c r="H12006" t="s">
        <v>15498</v>
      </c>
      <c r="I12006" t="s">
        <v>30141</v>
      </c>
      <c r="J12006" t="s">
        <v>37530</v>
      </c>
      <c r="K12006" t="s">
        <v>39029</v>
      </c>
      <c r="M12006" t="s">
        <v>39662</v>
      </c>
      <c r="N12006" t="s">
        <v>43166</v>
      </c>
      <c r="O12006" t="s">
        <v>43167</v>
      </c>
      <c r="P12006">
        <v>0</v>
      </c>
      <c r="Q12006">
        <v>3</v>
      </c>
      <c r="R12006" t="s">
        <v>43182</v>
      </c>
      <c r="S12006" t="s">
        <v>43789</v>
      </c>
      <c r="T12006" t="s">
        <v>44687</v>
      </c>
      <c r="U12006" t="s">
        <v>54793</v>
      </c>
      <c r="W12006" t="s">
        <v>39662</v>
      </c>
      <c r="X12006" t="s">
        <v>43183</v>
      </c>
    </row>
    <row r="12007" spans="1:24">
      <c r="A12007">
        <f>HYPERLINK("https://www.philgeps.gov.ph/GEPSNONPILOT/Tender/SplashBidNoticeAbstractUI.aspx?menuIndex=3&amp;refID=7058663&amp;Result=3","7058663")</f>
        <v>0</v>
      </c>
      <c r="B12007" t="s">
        <v>311</v>
      </c>
      <c r="C12007" t="s">
        <v>14885</v>
      </c>
      <c r="D12007" t="s">
        <v>17429</v>
      </c>
      <c r="E12007" t="s">
        <v>27782</v>
      </c>
      <c r="F12007" t="s">
        <v>30052</v>
      </c>
      <c r="G12007" t="s">
        <v>30058</v>
      </c>
      <c r="H12007" t="s">
        <v>15498</v>
      </c>
      <c r="I12007" t="s">
        <v>30078</v>
      </c>
      <c r="J12007" t="s">
        <v>30205</v>
      </c>
      <c r="K12007" t="s">
        <v>39017</v>
      </c>
      <c r="L12007" t="s">
        <v>311</v>
      </c>
      <c r="M12007" t="s">
        <v>39607</v>
      </c>
      <c r="N12007" t="s">
        <v>43166</v>
      </c>
      <c r="O12007" t="s">
        <v>43167</v>
      </c>
      <c r="P12007">
        <v>0</v>
      </c>
      <c r="Q12007">
        <v>5</v>
      </c>
      <c r="R12007" t="s">
        <v>43182</v>
      </c>
      <c r="S12007" t="s">
        <v>43789</v>
      </c>
      <c r="T12007" t="s">
        <v>44710</v>
      </c>
      <c r="U12007" t="s">
        <v>54778</v>
      </c>
      <c r="W12007" t="s">
        <v>39607</v>
      </c>
      <c r="X12007" t="s">
        <v>43183</v>
      </c>
    </row>
    <row r="12008" spans="1:24">
      <c r="A12008">
        <f>HYPERLINK("https://www.philgeps.gov.ph/GEPSNONPILOT/Tender/SplashBidNoticeAbstractUI.aspx?menuIndex=3&amp;refID=7058656&amp;Result=3","7058656")</f>
        <v>0</v>
      </c>
      <c r="B12008" t="s">
        <v>474</v>
      </c>
      <c r="C12008" t="s">
        <v>14886</v>
      </c>
      <c r="D12008" t="s">
        <v>17490</v>
      </c>
      <c r="E12008" t="s">
        <v>27783</v>
      </c>
      <c r="F12008" t="s">
        <v>30052</v>
      </c>
      <c r="G12008" t="s">
        <v>30059</v>
      </c>
      <c r="H12008" t="s">
        <v>15498</v>
      </c>
      <c r="I12008" t="s">
        <v>3736</v>
      </c>
      <c r="J12008" t="s">
        <v>37531</v>
      </c>
      <c r="K12008" t="s">
        <v>39029</v>
      </c>
      <c r="M12008" t="s">
        <v>39775</v>
      </c>
      <c r="N12008" t="s">
        <v>43166</v>
      </c>
      <c r="O12008" t="s">
        <v>43167</v>
      </c>
      <c r="P12008">
        <v>0</v>
      </c>
      <c r="Q12008">
        <v>0</v>
      </c>
      <c r="R12008" t="s">
        <v>43182</v>
      </c>
      <c r="S12008" t="s">
        <v>43789</v>
      </c>
      <c r="T12008" t="s">
        <v>44832</v>
      </c>
      <c r="U12008" t="s">
        <v>54794</v>
      </c>
      <c r="W12008" t="s">
        <v>39775</v>
      </c>
      <c r="X12008" t="s">
        <v>43183</v>
      </c>
    </row>
    <row r="12009" spans="1:24">
      <c r="A12009">
        <f>HYPERLINK("https://www.philgeps.gov.ph/GEPSNONPILOT/Tender/SplashBidNoticeAbstractUI.aspx?menuIndex=3&amp;refID=7058095&amp;Result=3","7058095")</f>
        <v>0</v>
      </c>
      <c r="B12009" t="s">
        <v>558</v>
      </c>
      <c r="C12009" t="s">
        <v>14887</v>
      </c>
      <c r="D12009" t="s">
        <v>17492</v>
      </c>
      <c r="E12009" t="s">
        <v>27784</v>
      </c>
      <c r="F12009" t="s">
        <v>30052</v>
      </c>
      <c r="G12009" t="s">
        <v>30058</v>
      </c>
      <c r="H12009" t="s">
        <v>30067</v>
      </c>
      <c r="I12009" t="s">
        <v>3693</v>
      </c>
      <c r="J12009" t="s">
        <v>37532</v>
      </c>
      <c r="K12009" t="s">
        <v>39020</v>
      </c>
      <c r="M12009" t="s">
        <v>39860</v>
      </c>
      <c r="N12009" t="s">
        <v>43166</v>
      </c>
      <c r="O12009" t="s">
        <v>43167</v>
      </c>
      <c r="P12009">
        <v>0</v>
      </c>
      <c r="Q12009">
        <v>0</v>
      </c>
      <c r="R12009" t="s">
        <v>43183</v>
      </c>
      <c r="S12009" t="s">
        <v>43828</v>
      </c>
      <c r="T12009" t="s">
        <v>44698</v>
      </c>
      <c r="U12009" t="s">
        <v>54795</v>
      </c>
      <c r="W12009" t="s">
        <v>39860</v>
      </c>
      <c r="X12009" t="s">
        <v>43184</v>
      </c>
    </row>
    <row r="12010" spans="1:24">
      <c r="A12010">
        <f>HYPERLINK("https://www.philgeps.gov.ph/GEPSNONPILOT/Tender/SplashBidNoticeAbstractUI.aspx?menuIndex=3&amp;refID=7058055&amp;Result=3","7058055")</f>
        <v>0</v>
      </c>
      <c r="B12010" t="s">
        <v>720</v>
      </c>
      <c r="C12010" t="s">
        <v>14888</v>
      </c>
      <c r="E12010" t="s">
        <v>21176</v>
      </c>
      <c r="F12010" t="s">
        <v>30052</v>
      </c>
      <c r="G12010" t="s">
        <v>30058</v>
      </c>
      <c r="H12010" t="s">
        <v>30067</v>
      </c>
      <c r="I12010" t="s">
        <v>3736</v>
      </c>
      <c r="J12010" t="s">
        <v>37533</v>
      </c>
      <c r="K12010" t="s">
        <v>39025</v>
      </c>
      <c r="M12010" t="s">
        <v>40030</v>
      </c>
      <c r="N12010" t="s">
        <v>43166</v>
      </c>
      <c r="O12010" t="s">
        <v>43167</v>
      </c>
      <c r="P12010">
        <v>0</v>
      </c>
      <c r="Q12010">
        <v>0</v>
      </c>
      <c r="R12010" t="s">
        <v>43183</v>
      </c>
      <c r="S12010" t="s">
        <v>43828</v>
      </c>
      <c r="T12010" t="s">
        <v>44698</v>
      </c>
      <c r="U12010" t="s">
        <v>54796</v>
      </c>
      <c r="W12010" t="s">
        <v>40030</v>
      </c>
      <c r="X12010" t="s">
        <v>43184</v>
      </c>
    </row>
    <row r="12011" spans="1:24">
      <c r="A12011">
        <f>HYPERLINK("https://www.philgeps.gov.ph/GEPSNONPILOT/Tender/SplashBidNoticeAbstractUI.aspx?menuIndex=3&amp;refID=7058091&amp;Result=3","7058091")</f>
        <v>0</v>
      </c>
      <c r="B12011" t="s">
        <v>2014</v>
      </c>
      <c r="C12011" t="s">
        <v>14889</v>
      </c>
      <c r="D12011" t="s">
        <v>17413</v>
      </c>
      <c r="E12011" t="s">
        <v>27785</v>
      </c>
      <c r="F12011" t="s">
        <v>30052</v>
      </c>
      <c r="G12011" t="s">
        <v>30058</v>
      </c>
      <c r="H12011" t="s">
        <v>15498</v>
      </c>
      <c r="I12011" t="s">
        <v>3736</v>
      </c>
      <c r="J12011" t="s">
        <v>37534</v>
      </c>
      <c r="K12011" t="s">
        <v>39029</v>
      </c>
      <c r="M12011" t="s">
        <v>41459</v>
      </c>
      <c r="N12011" t="s">
        <v>43166</v>
      </c>
      <c r="O12011" t="s">
        <v>43167</v>
      </c>
      <c r="P12011">
        <v>0</v>
      </c>
      <c r="Q12011">
        <v>5</v>
      </c>
      <c r="R12011" t="s">
        <v>43183</v>
      </c>
      <c r="S12011" t="s">
        <v>43828</v>
      </c>
      <c r="T12011" t="s">
        <v>44806</v>
      </c>
      <c r="U12011" t="s">
        <v>54797</v>
      </c>
      <c r="V12011" t="s">
        <v>58153</v>
      </c>
      <c r="W12011" t="s">
        <v>41459</v>
      </c>
      <c r="X12011" t="s">
        <v>43184</v>
      </c>
    </row>
    <row r="12012" spans="1:24">
      <c r="A12012">
        <f>HYPERLINK("https://www.philgeps.gov.ph/GEPSNONPILOT/Tender/SplashBidNoticeAbstractUI.aspx?menuIndex=3&amp;refID=7058041&amp;Result=3","7058041")</f>
        <v>0</v>
      </c>
      <c r="B12012" t="s">
        <v>313</v>
      </c>
      <c r="C12012" t="s">
        <v>14890</v>
      </c>
      <c r="D12012" t="s">
        <v>17425</v>
      </c>
      <c r="E12012" t="s">
        <v>27786</v>
      </c>
      <c r="F12012" t="s">
        <v>30052</v>
      </c>
      <c r="G12012" t="s">
        <v>30058</v>
      </c>
      <c r="H12012" t="s">
        <v>15498</v>
      </c>
      <c r="I12012" t="s">
        <v>30071</v>
      </c>
      <c r="J12012" t="s">
        <v>37535</v>
      </c>
      <c r="K12012" t="s">
        <v>39029</v>
      </c>
      <c r="M12012" t="s">
        <v>39609</v>
      </c>
      <c r="N12012" t="s">
        <v>43166</v>
      </c>
      <c r="O12012" t="s">
        <v>43167</v>
      </c>
      <c r="P12012">
        <v>0</v>
      </c>
      <c r="Q12012">
        <v>0</v>
      </c>
      <c r="R12012" t="s">
        <v>43183</v>
      </c>
      <c r="S12012" t="s">
        <v>43828</v>
      </c>
      <c r="T12012" t="s">
        <v>44733</v>
      </c>
      <c r="U12012" t="s">
        <v>54798</v>
      </c>
      <c r="V12012" t="s">
        <v>56894</v>
      </c>
      <c r="W12012" t="s">
        <v>39609</v>
      </c>
      <c r="X12012" t="s">
        <v>43185</v>
      </c>
    </row>
    <row r="12013" spans="1:24">
      <c r="A12013">
        <f>HYPERLINK("https://www.philgeps.gov.ph/GEPSNONPILOT/Tender/SplashBidNoticeAbstractUI.aspx?menuIndex=3&amp;refID=7058080&amp;Result=3","7058080")</f>
        <v>0</v>
      </c>
      <c r="B12013" t="s">
        <v>3204</v>
      </c>
      <c r="C12013" t="s">
        <v>14891</v>
      </c>
      <c r="D12013" t="s">
        <v>17419</v>
      </c>
      <c r="E12013" t="s">
        <v>27787</v>
      </c>
      <c r="F12013" t="s">
        <v>30052</v>
      </c>
      <c r="G12013" t="s">
        <v>30058</v>
      </c>
      <c r="H12013" t="s">
        <v>15498</v>
      </c>
      <c r="I12013" t="s">
        <v>30074</v>
      </c>
      <c r="J12013" t="s">
        <v>30588</v>
      </c>
      <c r="K12013" t="s">
        <v>39029</v>
      </c>
      <c r="M12013" t="s">
        <v>42824</v>
      </c>
      <c r="N12013" t="s">
        <v>43166</v>
      </c>
      <c r="O12013" t="s">
        <v>43167</v>
      </c>
      <c r="P12013">
        <v>0</v>
      </c>
      <c r="Q12013">
        <v>4</v>
      </c>
      <c r="R12013" t="s">
        <v>43183</v>
      </c>
      <c r="S12013" t="s">
        <v>43828</v>
      </c>
      <c r="T12013" t="s">
        <v>44681</v>
      </c>
      <c r="U12013" t="s">
        <v>54799</v>
      </c>
      <c r="W12013" t="s">
        <v>42824</v>
      </c>
      <c r="X12013" t="s">
        <v>43184</v>
      </c>
    </row>
    <row r="12014" spans="1:24">
      <c r="A12014">
        <f>HYPERLINK("https://www.philgeps.gov.ph/GEPSNONPILOT/Tender/SplashBidNoticeAbstractUI.aspx?menuIndex=3&amp;refID=7058033&amp;Result=3","7058033")</f>
        <v>0</v>
      </c>
      <c r="B12014" t="s">
        <v>313</v>
      </c>
      <c r="C12014" t="s">
        <v>14892</v>
      </c>
      <c r="D12014" t="s">
        <v>17425</v>
      </c>
      <c r="E12014" t="s">
        <v>27788</v>
      </c>
      <c r="F12014" t="s">
        <v>30052</v>
      </c>
      <c r="G12014" t="s">
        <v>30058</v>
      </c>
      <c r="H12014" t="s">
        <v>15498</v>
      </c>
      <c r="I12014" t="s">
        <v>30071</v>
      </c>
      <c r="J12014" t="s">
        <v>37536</v>
      </c>
      <c r="K12014" t="s">
        <v>39029</v>
      </c>
      <c r="M12014" t="s">
        <v>39609</v>
      </c>
      <c r="N12014" t="s">
        <v>43166</v>
      </c>
      <c r="O12014" t="s">
        <v>43167</v>
      </c>
      <c r="P12014">
        <v>0</v>
      </c>
      <c r="Q12014">
        <v>0</v>
      </c>
      <c r="R12014" t="s">
        <v>43183</v>
      </c>
      <c r="S12014" t="s">
        <v>43828</v>
      </c>
      <c r="T12014" t="s">
        <v>44733</v>
      </c>
      <c r="U12014" t="s">
        <v>54800</v>
      </c>
      <c r="V12014" t="s">
        <v>56894</v>
      </c>
      <c r="W12014" t="s">
        <v>39609</v>
      </c>
      <c r="X12014" t="s">
        <v>43185</v>
      </c>
    </row>
    <row r="12015" spans="1:24">
      <c r="A12015">
        <f>HYPERLINK("https://www.philgeps.gov.ph/GEPSNONPILOT/Tender/SplashBidNoticeAbstractUI.aspx?menuIndex=3&amp;refID=7058786&amp;Result=3","7058786")</f>
        <v>0</v>
      </c>
      <c r="B12015" t="s">
        <v>306</v>
      </c>
      <c r="C12015" t="s">
        <v>14893</v>
      </c>
      <c r="D12015" t="s">
        <v>17415</v>
      </c>
      <c r="E12015" t="s">
        <v>27789</v>
      </c>
      <c r="F12015" t="s">
        <v>30052</v>
      </c>
      <c r="G12015" t="s">
        <v>30058</v>
      </c>
      <c r="H12015" t="s">
        <v>30067</v>
      </c>
      <c r="I12015" t="s">
        <v>3693</v>
      </c>
      <c r="J12015" t="s">
        <v>37537</v>
      </c>
      <c r="K12015" t="s">
        <v>39057</v>
      </c>
      <c r="M12015" t="s">
        <v>42470</v>
      </c>
      <c r="N12015" t="s">
        <v>43166</v>
      </c>
      <c r="O12015" t="s">
        <v>43167</v>
      </c>
      <c r="Q12015">
        <v>32</v>
      </c>
      <c r="R12015" t="s">
        <v>43182</v>
      </c>
      <c r="S12015" t="s">
        <v>43829</v>
      </c>
      <c r="T12015" t="s">
        <v>44925</v>
      </c>
      <c r="U12015" t="s">
        <v>54801</v>
      </c>
      <c r="W12015" t="s">
        <v>42470</v>
      </c>
      <c r="X12015" t="s">
        <v>43183</v>
      </c>
    </row>
    <row r="12016" spans="1:24">
      <c r="A12016">
        <f>HYPERLINK("https://www.philgeps.gov.ph/GEPSNONPILOT/Tender/SplashBidNoticeAbstractUI.aspx?menuIndex=3&amp;refID=7058706&amp;Result=3","7058706")</f>
        <v>0</v>
      </c>
      <c r="B12016" t="s">
        <v>338</v>
      </c>
      <c r="C12016" t="s">
        <v>14894</v>
      </c>
      <c r="D12016" t="s">
        <v>17460</v>
      </c>
      <c r="E12016" t="s">
        <v>27790</v>
      </c>
      <c r="F12016" t="s">
        <v>30052</v>
      </c>
      <c r="G12016" t="s">
        <v>30058</v>
      </c>
      <c r="H12016" t="s">
        <v>15498</v>
      </c>
      <c r="I12016" t="s">
        <v>30071</v>
      </c>
      <c r="J12016" t="s">
        <v>33069</v>
      </c>
      <c r="K12016" t="s">
        <v>39029</v>
      </c>
      <c r="M12016" t="s">
        <v>39634</v>
      </c>
      <c r="N12016" t="s">
        <v>43166</v>
      </c>
      <c r="O12016" t="s">
        <v>43167</v>
      </c>
      <c r="P12016">
        <v>0</v>
      </c>
      <c r="Q12016">
        <v>9</v>
      </c>
      <c r="R12016" t="s">
        <v>43182</v>
      </c>
      <c r="S12016" t="s">
        <v>43789</v>
      </c>
      <c r="T12016" t="s">
        <v>44816</v>
      </c>
      <c r="U12016" t="s">
        <v>54802</v>
      </c>
      <c r="V12016" t="s">
        <v>58154</v>
      </c>
      <c r="W12016" t="s">
        <v>39634</v>
      </c>
      <c r="X12016" t="s">
        <v>43183</v>
      </c>
    </row>
    <row r="12017" spans="1:24">
      <c r="A12017">
        <f>HYPERLINK("https://www.philgeps.gov.ph/GEPSNONPILOT/Tender/SplashBidNoticeAbstractUI.aspx?menuIndex=3&amp;refID=7058032&amp;Result=3","7058032")</f>
        <v>0</v>
      </c>
      <c r="B12017" t="s">
        <v>313</v>
      </c>
      <c r="C12017" t="s">
        <v>14895</v>
      </c>
      <c r="D12017" t="s">
        <v>17425</v>
      </c>
      <c r="E12017" t="s">
        <v>27791</v>
      </c>
      <c r="F12017" t="s">
        <v>30052</v>
      </c>
      <c r="G12017" t="s">
        <v>30058</v>
      </c>
      <c r="H12017" t="s">
        <v>15498</v>
      </c>
      <c r="I12017" t="s">
        <v>30071</v>
      </c>
      <c r="J12017" t="s">
        <v>37538</v>
      </c>
      <c r="K12017" t="s">
        <v>39029</v>
      </c>
      <c r="M12017" t="s">
        <v>39609</v>
      </c>
      <c r="N12017" t="s">
        <v>43166</v>
      </c>
      <c r="O12017" t="s">
        <v>43167</v>
      </c>
      <c r="P12017">
        <v>0</v>
      </c>
      <c r="Q12017">
        <v>0</v>
      </c>
      <c r="R12017" t="s">
        <v>43183</v>
      </c>
      <c r="S12017" t="s">
        <v>43828</v>
      </c>
      <c r="T12017" t="s">
        <v>44733</v>
      </c>
      <c r="U12017" t="s">
        <v>54803</v>
      </c>
      <c r="V12017" t="s">
        <v>56894</v>
      </c>
      <c r="W12017" t="s">
        <v>39609</v>
      </c>
      <c r="X12017" t="s">
        <v>43185</v>
      </c>
    </row>
    <row r="12018" spans="1:24">
      <c r="A12018">
        <f>HYPERLINK("https://www.philgeps.gov.ph/GEPSNONPILOT/Tender/SplashBidNoticeAbstractUI.aspx?menuIndex=3&amp;refID=7058030&amp;Result=3","7058030")</f>
        <v>0</v>
      </c>
      <c r="B12018" t="s">
        <v>313</v>
      </c>
      <c r="C12018" t="s">
        <v>14896</v>
      </c>
      <c r="D12018" t="s">
        <v>17425</v>
      </c>
      <c r="E12018" t="s">
        <v>27792</v>
      </c>
      <c r="F12018" t="s">
        <v>30052</v>
      </c>
      <c r="G12018" t="s">
        <v>30058</v>
      </c>
      <c r="H12018" t="s">
        <v>15498</v>
      </c>
      <c r="I12018" t="s">
        <v>30071</v>
      </c>
      <c r="J12018" t="s">
        <v>37539</v>
      </c>
      <c r="K12018" t="s">
        <v>39029</v>
      </c>
      <c r="M12018" t="s">
        <v>39609</v>
      </c>
      <c r="N12018" t="s">
        <v>43166</v>
      </c>
      <c r="O12018" t="s">
        <v>43167</v>
      </c>
      <c r="P12018">
        <v>0</v>
      </c>
      <c r="Q12018">
        <v>0</v>
      </c>
      <c r="R12018" t="s">
        <v>43183</v>
      </c>
      <c r="S12018" t="s">
        <v>43828</v>
      </c>
      <c r="T12018" t="s">
        <v>44733</v>
      </c>
      <c r="U12018" t="s">
        <v>54804</v>
      </c>
      <c r="V12018" t="s">
        <v>56894</v>
      </c>
      <c r="W12018" t="s">
        <v>39609</v>
      </c>
      <c r="X12018" t="s">
        <v>43185</v>
      </c>
    </row>
    <row r="12019" spans="1:24">
      <c r="A12019">
        <f>HYPERLINK("https://www.philgeps.gov.ph/GEPSNONPILOT/Tender/SplashBidNoticeAbstractUI.aspx?menuIndex=3&amp;refID=7057517&amp;Result=3","7057517")</f>
        <v>0</v>
      </c>
      <c r="B12019" t="s">
        <v>2014</v>
      </c>
      <c r="C12019" t="s">
        <v>14897</v>
      </c>
      <c r="D12019" t="s">
        <v>17413</v>
      </c>
      <c r="E12019" t="s">
        <v>27793</v>
      </c>
      <c r="F12019" t="s">
        <v>30052</v>
      </c>
      <c r="G12019" t="s">
        <v>30058</v>
      </c>
      <c r="H12019" t="s">
        <v>15498</v>
      </c>
      <c r="I12019" t="s">
        <v>3736</v>
      </c>
      <c r="J12019" t="s">
        <v>37540</v>
      </c>
      <c r="K12019" t="s">
        <v>39029</v>
      </c>
      <c r="M12019" t="s">
        <v>41459</v>
      </c>
      <c r="N12019" t="s">
        <v>43166</v>
      </c>
      <c r="O12019" t="s">
        <v>43167</v>
      </c>
      <c r="P12019">
        <v>0</v>
      </c>
      <c r="Q12019">
        <v>4</v>
      </c>
      <c r="R12019" t="s">
        <v>43183</v>
      </c>
      <c r="S12019" t="s">
        <v>43828</v>
      </c>
      <c r="T12019" t="s">
        <v>44806</v>
      </c>
      <c r="U12019" t="s">
        <v>54805</v>
      </c>
      <c r="V12019" t="s">
        <v>58153</v>
      </c>
      <c r="W12019" t="s">
        <v>41459</v>
      </c>
      <c r="X12019" t="s">
        <v>43185</v>
      </c>
    </row>
    <row r="12020" spans="1:24">
      <c r="A12020">
        <f>HYPERLINK("https://www.philgeps.gov.ph/GEPSNONPILOT/Tender/SplashBidNoticeAbstractUI.aspx?menuIndex=3&amp;refID=7058158&amp;Result=3","7058158")</f>
        <v>0</v>
      </c>
      <c r="B12020" t="s">
        <v>3205</v>
      </c>
      <c r="C12020" t="s">
        <v>14898</v>
      </c>
      <c r="D12020" t="s">
        <v>17452</v>
      </c>
      <c r="E12020" t="s">
        <v>27794</v>
      </c>
      <c r="F12020" t="s">
        <v>30055</v>
      </c>
      <c r="G12020" t="s">
        <v>30058</v>
      </c>
      <c r="H12020" t="s">
        <v>30067</v>
      </c>
      <c r="I12020" t="s">
        <v>3693</v>
      </c>
      <c r="J12020" t="s">
        <v>30440</v>
      </c>
      <c r="K12020" t="s">
        <v>39025</v>
      </c>
      <c r="M12020" t="s">
        <v>42825</v>
      </c>
      <c r="N12020" t="s">
        <v>43166</v>
      </c>
      <c r="O12020" t="s">
        <v>43167</v>
      </c>
      <c r="P12020">
        <v>0</v>
      </c>
      <c r="Q12020">
        <v>0</v>
      </c>
      <c r="R12020" t="s">
        <v>43183</v>
      </c>
      <c r="S12020" t="s">
        <v>43828</v>
      </c>
      <c r="T12020" t="s">
        <v>44806</v>
      </c>
      <c r="U12020" t="s">
        <v>54806</v>
      </c>
      <c r="W12020" t="s">
        <v>42825</v>
      </c>
      <c r="X12020" t="s">
        <v>43184</v>
      </c>
    </row>
    <row r="12021" spans="1:24">
      <c r="A12021">
        <f>HYPERLINK("https://www.philgeps.gov.ph/GEPSNONPILOT/Tender/SplashBidNoticeAbstractUI.aspx?menuIndex=3&amp;refID=7058036&amp;Result=3","7058036")</f>
        <v>0</v>
      </c>
      <c r="B12021" t="s">
        <v>313</v>
      </c>
      <c r="C12021" t="s">
        <v>14899</v>
      </c>
      <c r="D12021" t="s">
        <v>17425</v>
      </c>
      <c r="E12021" t="s">
        <v>27795</v>
      </c>
      <c r="F12021" t="s">
        <v>30052</v>
      </c>
      <c r="G12021" t="s">
        <v>30058</v>
      </c>
      <c r="H12021" t="s">
        <v>15498</v>
      </c>
      <c r="I12021" t="s">
        <v>30071</v>
      </c>
      <c r="J12021" t="s">
        <v>37541</v>
      </c>
      <c r="K12021" t="s">
        <v>39029</v>
      </c>
      <c r="M12021" t="s">
        <v>39609</v>
      </c>
      <c r="N12021" t="s">
        <v>43166</v>
      </c>
      <c r="O12021" t="s">
        <v>43167</v>
      </c>
      <c r="P12021">
        <v>0</v>
      </c>
      <c r="Q12021">
        <v>0</v>
      </c>
      <c r="R12021" t="s">
        <v>43183</v>
      </c>
      <c r="S12021" t="s">
        <v>43828</v>
      </c>
      <c r="T12021" t="s">
        <v>44733</v>
      </c>
      <c r="U12021" t="s">
        <v>54800</v>
      </c>
      <c r="V12021" t="s">
        <v>56894</v>
      </c>
      <c r="W12021" t="s">
        <v>39609</v>
      </c>
      <c r="X12021" t="s">
        <v>43185</v>
      </c>
    </row>
    <row r="12022" spans="1:24">
      <c r="A12022">
        <f>HYPERLINK("https://www.philgeps.gov.ph/GEPSNONPILOT/Tender/SplashBidNoticeAbstractUI.aspx?menuIndex=3&amp;refID=7058741&amp;Result=3","7058741")</f>
        <v>0</v>
      </c>
      <c r="B12022" t="s">
        <v>3206</v>
      </c>
      <c r="C12022" t="s">
        <v>14900</v>
      </c>
      <c r="D12022" t="s">
        <v>17472</v>
      </c>
      <c r="E12022" t="s">
        <v>27796</v>
      </c>
      <c r="F12022" t="s">
        <v>30052</v>
      </c>
      <c r="G12022" t="s">
        <v>30058</v>
      </c>
      <c r="H12022" t="s">
        <v>15498</v>
      </c>
      <c r="I12022" t="s">
        <v>30074</v>
      </c>
      <c r="J12022" t="s">
        <v>31644</v>
      </c>
      <c r="K12022" t="s">
        <v>39037</v>
      </c>
      <c r="M12022" t="s">
        <v>42826</v>
      </c>
      <c r="N12022" t="s">
        <v>43166</v>
      </c>
      <c r="O12022" t="s">
        <v>43167</v>
      </c>
      <c r="P12022">
        <v>0</v>
      </c>
      <c r="Q12022">
        <v>0</v>
      </c>
      <c r="R12022" t="s">
        <v>43182</v>
      </c>
      <c r="S12022" t="s">
        <v>43789</v>
      </c>
      <c r="T12022" t="s">
        <v>44718</v>
      </c>
      <c r="U12022" t="s">
        <v>54807</v>
      </c>
      <c r="W12022" t="s">
        <v>42826</v>
      </c>
      <c r="X12022" t="s">
        <v>43183</v>
      </c>
    </row>
    <row r="12023" spans="1:24">
      <c r="A12023">
        <f>HYPERLINK("https://www.philgeps.gov.ph/GEPSNONPILOT/Tender/SplashBidNoticeAbstractUI.aspx?menuIndex=3&amp;refID=7058812&amp;Result=3","7058812")</f>
        <v>0</v>
      </c>
      <c r="B12023" t="s">
        <v>3207</v>
      </c>
      <c r="C12023" t="s">
        <v>14901</v>
      </c>
      <c r="D12023" t="s">
        <v>17440</v>
      </c>
      <c r="E12023" t="s">
        <v>27797</v>
      </c>
      <c r="F12023" t="s">
        <v>30052</v>
      </c>
      <c r="G12023" t="s">
        <v>30061</v>
      </c>
      <c r="H12023" t="s">
        <v>15498</v>
      </c>
      <c r="I12023" t="s">
        <v>30160</v>
      </c>
      <c r="J12023" t="s">
        <v>31872</v>
      </c>
      <c r="K12023" t="s">
        <v>39017</v>
      </c>
      <c r="M12023" t="s">
        <v>42827</v>
      </c>
      <c r="N12023" t="s">
        <v>43166</v>
      </c>
      <c r="O12023" t="s">
        <v>43167</v>
      </c>
      <c r="P12023">
        <v>0</v>
      </c>
      <c r="Q12023">
        <v>1</v>
      </c>
      <c r="R12023" t="s">
        <v>43182</v>
      </c>
      <c r="S12023" t="s">
        <v>43789</v>
      </c>
      <c r="T12023" t="s">
        <v>44772</v>
      </c>
      <c r="U12023" t="s">
        <v>54808</v>
      </c>
      <c r="W12023" t="s">
        <v>42827</v>
      </c>
      <c r="X12023" t="s">
        <v>43183</v>
      </c>
    </row>
    <row r="12024" spans="1:24">
      <c r="A12024">
        <f>HYPERLINK("https://www.philgeps.gov.ph/GEPSNONPILOT/Tender/SplashBidNoticeAbstractUI.aspx?menuIndex=3&amp;refID=7058039&amp;Result=3","7058039")</f>
        <v>0</v>
      </c>
      <c r="B12024" t="s">
        <v>313</v>
      </c>
      <c r="C12024" t="s">
        <v>14902</v>
      </c>
      <c r="D12024" t="s">
        <v>17425</v>
      </c>
      <c r="E12024" t="s">
        <v>27798</v>
      </c>
      <c r="F12024" t="s">
        <v>30052</v>
      </c>
      <c r="G12024" t="s">
        <v>30058</v>
      </c>
      <c r="H12024" t="s">
        <v>15498</v>
      </c>
      <c r="I12024" t="s">
        <v>30071</v>
      </c>
      <c r="J12024" t="s">
        <v>37542</v>
      </c>
      <c r="K12024" t="s">
        <v>39029</v>
      </c>
      <c r="M12024" t="s">
        <v>39609</v>
      </c>
      <c r="N12024" t="s">
        <v>43166</v>
      </c>
      <c r="O12024" t="s">
        <v>43167</v>
      </c>
      <c r="P12024">
        <v>0</v>
      </c>
      <c r="Q12024">
        <v>0</v>
      </c>
      <c r="R12024" t="s">
        <v>43183</v>
      </c>
      <c r="S12024" t="s">
        <v>43828</v>
      </c>
      <c r="T12024" t="s">
        <v>44733</v>
      </c>
      <c r="U12024" t="s">
        <v>54809</v>
      </c>
      <c r="V12024" t="s">
        <v>56894</v>
      </c>
      <c r="W12024" t="s">
        <v>39609</v>
      </c>
      <c r="X12024" t="s">
        <v>43185</v>
      </c>
    </row>
    <row r="12025" spans="1:24">
      <c r="A12025">
        <f>HYPERLINK("https://www.philgeps.gov.ph/GEPSNONPILOT/Tender/SplashBidNoticeAbstractUI.aspx?menuIndex=3&amp;refID=7058277&amp;Result=3","7058277")</f>
        <v>0</v>
      </c>
      <c r="B12025" t="s">
        <v>2454</v>
      </c>
      <c r="C12025" t="s">
        <v>14903</v>
      </c>
      <c r="D12025" t="s">
        <v>17486</v>
      </c>
      <c r="E12025" t="s">
        <v>27799</v>
      </c>
      <c r="F12025" t="s">
        <v>30052</v>
      </c>
      <c r="G12025" t="s">
        <v>30058</v>
      </c>
      <c r="H12025" t="s">
        <v>30067</v>
      </c>
      <c r="I12025" t="s">
        <v>3693</v>
      </c>
      <c r="J12025" t="s">
        <v>37543</v>
      </c>
      <c r="K12025" t="s">
        <v>39022</v>
      </c>
      <c r="M12025" t="s">
        <v>41953</v>
      </c>
      <c r="N12025" t="s">
        <v>43166</v>
      </c>
      <c r="O12025" t="s">
        <v>43167</v>
      </c>
      <c r="Q12025">
        <v>5</v>
      </c>
      <c r="R12025" t="s">
        <v>43183</v>
      </c>
      <c r="S12025" t="s">
        <v>43830</v>
      </c>
      <c r="T12025" t="s">
        <v>45164</v>
      </c>
      <c r="U12025" t="s">
        <v>51720</v>
      </c>
      <c r="W12025" t="s">
        <v>41953</v>
      </c>
      <c r="X12025" t="s">
        <v>43184</v>
      </c>
    </row>
    <row r="12026" spans="1:24">
      <c r="A12026">
        <f>HYPERLINK("https://www.philgeps.gov.ph/GEPSNONPILOT/Tender/SplashBidNoticeAbstractUI.aspx?menuIndex=3&amp;refID=7058275&amp;Result=3","7058275")</f>
        <v>0</v>
      </c>
      <c r="B12026" t="s">
        <v>2454</v>
      </c>
      <c r="C12026" t="s">
        <v>14904</v>
      </c>
      <c r="D12026" t="s">
        <v>17486</v>
      </c>
      <c r="E12026" t="s">
        <v>27800</v>
      </c>
      <c r="F12026" t="s">
        <v>30052</v>
      </c>
      <c r="G12026" t="s">
        <v>30058</v>
      </c>
      <c r="H12026" t="s">
        <v>30067</v>
      </c>
      <c r="I12026" t="s">
        <v>3693</v>
      </c>
      <c r="J12026" t="s">
        <v>34923</v>
      </c>
      <c r="K12026" t="s">
        <v>39092</v>
      </c>
      <c r="M12026" t="s">
        <v>41953</v>
      </c>
      <c r="N12026" t="s">
        <v>43166</v>
      </c>
      <c r="O12026" t="s">
        <v>43167</v>
      </c>
      <c r="Q12026">
        <v>8</v>
      </c>
      <c r="R12026" t="s">
        <v>43183</v>
      </c>
      <c r="S12026" t="s">
        <v>43831</v>
      </c>
      <c r="T12026" t="s">
        <v>45164</v>
      </c>
      <c r="U12026" t="s">
        <v>51702</v>
      </c>
      <c r="W12026" t="s">
        <v>41953</v>
      </c>
      <c r="X12026" t="s">
        <v>43184</v>
      </c>
    </row>
    <row r="12027" spans="1:24">
      <c r="A12027">
        <f>HYPERLINK("https://www.philgeps.gov.ph/GEPSNONPILOT/Tender/SplashBidNoticeAbstractUI.aspx?menuIndex=3&amp;refID=7058256&amp;Result=3","7058256")</f>
        <v>0</v>
      </c>
      <c r="B12027" t="s">
        <v>2454</v>
      </c>
      <c r="C12027" t="s">
        <v>14905</v>
      </c>
      <c r="D12027" t="s">
        <v>17486</v>
      </c>
      <c r="E12027" t="s">
        <v>27801</v>
      </c>
      <c r="F12027" t="s">
        <v>30052</v>
      </c>
      <c r="G12027" t="s">
        <v>30058</v>
      </c>
      <c r="H12027" t="s">
        <v>30067</v>
      </c>
      <c r="I12027" t="s">
        <v>3693</v>
      </c>
      <c r="J12027" t="s">
        <v>30645</v>
      </c>
      <c r="K12027" t="s">
        <v>39026</v>
      </c>
      <c r="M12027" t="s">
        <v>41953</v>
      </c>
      <c r="N12027" t="s">
        <v>43166</v>
      </c>
      <c r="O12027" t="s">
        <v>43167</v>
      </c>
      <c r="P12027">
        <v>0</v>
      </c>
      <c r="Q12027">
        <v>6</v>
      </c>
      <c r="R12027" t="s">
        <v>43183</v>
      </c>
      <c r="S12027" t="s">
        <v>43828</v>
      </c>
      <c r="T12027" t="s">
        <v>44717</v>
      </c>
      <c r="U12027" t="s">
        <v>54810</v>
      </c>
      <c r="W12027" t="s">
        <v>41953</v>
      </c>
      <c r="X12027" t="s">
        <v>43184</v>
      </c>
    </row>
    <row r="12028" spans="1:24">
      <c r="A12028">
        <f>HYPERLINK("https://www.philgeps.gov.ph/GEPSNONPILOT/Tender/SplashBidNoticeAbstractUI.aspx?menuIndex=3&amp;refID=7058272&amp;Result=3","7058272")</f>
        <v>0</v>
      </c>
      <c r="B12028" t="s">
        <v>2454</v>
      </c>
      <c r="C12028" t="s">
        <v>14906</v>
      </c>
      <c r="D12028" t="s">
        <v>17486</v>
      </c>
      <c r="E12028" t="s">
        <v>27802</v>
      </c>
      <c r="F12028" t="s">
        <v>30052</v>
      </c>
      <c r="G12028" t="s">
        <v>30058</v>
      </c>
      <c r="H12028" t="s">
        <v>30067</v>
      </c>
      <c r="I12028" t="s">
        <v>3693</v>
      </c>
      <c r="J12028" t="s">
        <v>33105</v>
      </c>
      <c r="K12028" t="s">
        <v>39031</v>
      </c>
      <c r="M12028" t="s">
        <v>41953</v>
      </c>
      <c r="N12028" t="s">
        <v>43166</v>
      </c>
      <c r="O12028" t="s">
        <v>43167</v>
      </c>
      <c r="P12028">
        <v>0</v>
      </c>
      <c r="Q12028">
        <v>2</v>
      </c>
      <c r="R12028" t="s">
        <v>43183</v>
      </c>
      <c r="S12028" t="s">
        <v>43828</v>
      </c>
      <c r="T12028" t="s">
        <v>44717</v>
      </c>
      <c r="U12028" t="s">
        <v>51702</v>
      </c>
      <c r="W12028" t="s">
        <v>41953</v>
      </c>
      <c r="X12028" t="s">
        <v>43184</v>
      </c>
    </row>
    <row r="12029" spans="1:24">
      <c r="A12029">
        <f>HYPERLINK("https://www.philgeps.gov.ph/GEPSNONPILOT/Tender/SplashBidNoticeAbstractUI.aspx?menuIndex=3&amp;refID=7058028&amp;Result=3","7058028")</f>
        <v>0</v>
      </c>
      <c r="B12029" t="s">
        <v>313</v>
      </c>
      <c r="C12029" t="s">
        <v>14907</v>
      </c>
      <c r="D12029" t="s">
        <v>17425</v>
      </c>
      <c r="E12029" t="s">
        <v>27803</v>
      </c>
      <c r="F12029" t="s">
        <v>30052</v>
      </c>
      <c r="G12029" t="s">
        <v>30058</v>
      </c>
      <c r="H12029" t="s">
        <v>15498</v>
      </c>
      <c r="I12029" t="s">
        <v>30092</v>
      </c>
      <c r="J12029" t="s">
        <v>33131</v>
      </c>
      <c r="K12029" t="s">
        <v>39029</v>
      </c>
      <c r="M12029" t="s">
        <v>39609</v>
      </c>
      <c r="N12029" t="s">
        <v>43166</v>
      </c>
      <c r="O12029" t="s">
        <v>43167</v>
      </c>
      <c r="P12029">
        <v>0</v>
      </c>
      <c r="Q12029">
        <v>3</v>
      </c>
      <c r="R12029" t="s">
        <v>43183</v>
      </c>
      <c r="S12029" t="s">
        <v>43828</v>
      </c>
      <c r="T12029" t="s">
        <v>44733</v>
      </c>
      <c r="U12029" t="s">
        <v>54811</v>
      </c>
      <c r="V12029" t="s">
        <v>56894</v>
      </c>
      <c r="W12029" t="s">
        <v>39609</v>
      </c>
      <c r="X12029" t="s">
        <v>43185</v>
      </c>
    </row>
    <row r="12030" spans="1:24">
      <c r="A12030">
        <f>HYPERLINK("https://www.philgeps.gov.ph/GEPSNONPILOT/Tender/SplashBidNoticeAbstractUI.aspx?menuIndex=3&amp;refID=7058241&amp;Result=3","7058241")</f>
        <v>0</v>
      </c>
      <c r="B12030" t="s">
        <v>2454</v>
      </c>
      <c r="C12030" t="s">
        <v>14908</v>
      </c>
      <c r="D12030" t="s">
        <v>17486</v>
      </c>
      <c r="E12030" t="s">
        <v>27804</v>
      </c>
      <c r="F12030" t="s">
        <v>30052</v>
      </c>
      <c r="G12030" t="s">
        <v>30058</v>
      </c>
      <c r="H12030" t="s">
        <v>30067</v>
      </c>
      <c r="I12030" t="s">
        <v>3693</v>
      </c>
      <c r="J12030" t="s">
        <v>33872</v>
      </c>
      <c r="K12030" t="s">
        <v>39026</v>
      </c>
      <c r="M12030" t="s">
        <v>41953</v>
      </c>
      <c r="N12030" t="s">
        <v>43166</v>
      </c>
      <c r="O12030" t="s">
        <v>43167</v>
      </c>
      <c r="Q12030">
        <v>3</v>
      </c>
      <c r="R12030" t="s">
        <v>43183</v>
      </c>
      <c r="S12030" t="s">
        <v>43832</v>
      </c>
      <c r="T12030" t="s">
        <v>45164</v>
      </c>
      <c r="U12030" t="s">
        <v>51720</v>
      </c>
      <c r="W12030" t="s">
        <v>41953</v>
      </c>
      <c r="X12030" t="s">
        <v>43184</v>
      </c>
    </row>
    <row r="12031" spans="1:24">
      <c r="A12031">
        <f>HYPERLINK("https://www.philgeps.gov.ph/GEPSNONPILOT/Tender/SplashBidNoticeAbstractUI.aspx?menuIndex=3&amp;refID=7058237&amp;Result=3","7058237")</f>
        <v>0</v>
      </c>
      <c r="B12031" t="s">
        <v>2454</v>
      </c>
      <c r="C12031" t="s">
        <v>14909</v>
      </c>
      <c r="D12031" t="s">
        <v>17486</v>
      </c>
      <c r="E12031" t="s">
        <v>27805</v>
      </c>
      <c r="F12031" t="s">
        <v>30052</v>
      </c>
      <c r="G12031" t="s">
        <v>30058</v>
      </c>
      <c r="H12031" t="s">
        <v>30067</v>
      </c>
      <c r="I12031" t="s">
        <v>3693</v>
      </c>
      <c r="J12031" t="s">
        <v>36942</v>
      </c>
      <c r="K12031" t="s">
        <v>39026</v>
      </c>
      <c r="M12031" t="s">
        <v>41953</v>
      </c>
      <c r="N12031" t="s">
        <v>43166</v>
      </c>
      <c r="O12031" t="s">
        <v>43167</v>
      </c>
      <c r="P12031">
        <v>0</v>
      </c>
      <c r="Q12031">
        <v>4</v>
      </c>
      <c r="R12031" t="s">
        <v>43183</v>
      </c>
      <c r="S12031" t="s">
        <v>43828</v>
      </c>
      <c r="T12031" t="s">
        <v>44717</v>
      </c>
      <c r="U12031" t="s">
        <v>51702</v>
      </c>
      <c r="W12031" t="s">
        <v>41953</v>
      </c>
      <c r="X12031" t="s">
        <v>43184</v>
      </c>
    </row>
    <row r="12032" spans="1:24">
      <c r="A12032">
        <f>HYPERLINK("https://www.philgeps.gov.ph/GEPSNONPILOT/Tender/SplashBidNoticeAbstractUI.aspx?menuIndex=3&amp;refID=7058791&amp;Result=3","7058791")</f>
        <v>0</v>
      </c>
      <c r="B12032" t="s">
        <v>296</v>
      </c>
      <c r="C12032" t="s">
        <v>14910</v>
      </c>
      <c r="E12032" t="s">
        <v>27806</v>
      </c>
      <c r="F12032" t="s">
        <v>30052</v>
      </c>
      <c r="G12032" t="s">
        <v>30058</v>
      </c>
      <c r="H12032" t="s">
        <v>15498</v>
      </c>
      <c r="I12032" t="s">
        <v>30123</v>
      </c>
      <c r="J12032" t="s">
        <v>37544</v>
      </c>
      <c r="K12032" t="s">
        <v>39025</v>
      </c>
      <c r="M12032" t="s">
        <v>41050</v>
      </c>
      <c r="N12032" t="s">
        <v>43166</v>
      </c>
      <c r="O12032" t="s">
        <v>43167</v>
      </c>
      <c r="Q12032">
        <v>2</v>
      </c>
      <c r="R12032" t="s">
        <v>43182</v>
      </c>
      <c r="S12032" t="s">
        <v>43833</v>
      </c>
      <c r="T12032" t="s">
        <v>44733</v>
      </c>
      <c r="U12032" t="s">
        <v>54812</v>
      </c>
      <c r="V12032" t="s">
        <v>57341</v>
      </c>
      <c r="W12032" t="s">
        <v>41050</v>
      </c>
      <c r="X12032" t="s">
        <v>43183</v>
      </c>
    </row>
    <row r="12033" spans="1:24">
      <c r="A12033">
        <f>HYPERLINK("https://www.philgeps.gov.ph/GEPSNONPILOT/Tender/SplashBidNoticeAbstractUI.aspx?menuIndex=3&amp;refID=7058232&amp;Result=3","7058232")</f>
        <v>0</v>
      </c>
      <c r="B12033" t="s">
        <v>2454</v>
      </c>
      <c r="C12033" t="s">
        <v>14911</v>
      </c>
      <c r="D12033" t="s">
        <v>17486</v>
      </c>
      <c r="E12033" t="s">
        <v>27807</v>
      </c>
      <c r="F12033" t="s">
        <v>30052</v>
      </c>
      <c r="G12033" t="s">
        <v>30058</v>
      </c>
      <c r="H12033" t="s">
        <v>30067</v>
      </c>
      <c r="I12033" t="s">
        <v>3693</v>
      </c>
      <c r="J12033" t="s">
        <v>30823</v>
      </c>
      <c r="K12033" t="s">
        <v>39022</v>
      </c>
      <c r="M12033" t="s">
        <v>41953</v>
      </c>
      <c r="N12033" t="s">
        <v>43166</v>
      </c>
      <c r="O12033" t="s">
        <v>43167</v>
      </c>
      <c r="Q12033">
        <v>6</v>
      </c>
      <c r="R12033" t="s">
        <v>43183</v>
      </c>
      <c r="S12033" t="s">
        <v>43529</v>
      </c>
      <c r="T12033" t="s">
        <v>45164</v>
      </c>
      <c r="U12033" t="s">
        <v>51822</v>
      </c>
      <c r="W12033" t="s">
        <v>41953</v>
      </c>
      <c r="X12033" t="s">
        <v>43184</v>
      </c>
    </row>
    <row r="12034" spans="1:24">
      <c r="A12034">
        <f>HYPERLINK("https://www.philgeps.gov.ph/GEPSNONPILOT/Tender/SplashBidNoticeAbstractUI.aspx?menuIndex=3&amp;refID=7058216&amp;Result=3","7058216")</f>
        <v>0</v>
      </c>
      <c r="B12034" t="s">
        <v>3208</v>
      </c>
      <c r="C12034" t="s">
        <v>14912</v>
      </c>
      <c r="D12034" t="s">
        <v>17442</v>
      </c>
      <c r="E12034" t="s">
        <v>27808</v>
      </c>
      <c r="F12034" t="s">
        <v>30052</v>
      </c>
      <c r="G12034" t="s">
        <v>30058</v>
      </c>
      <c r="H12034" t="s">
        <v>15498</v>
      </c>
      <c r="I12034" t="s">
        <v>6691</v>
      </c>
      <c r="J12034" t="s">
        <v>31377</v>
      </c>
      <c r="K12034" t="s">
        <v>39019</v>
      </c>
      <c r="M12034" t="s">
        <v>42828</v>
      </c>
      <c r="N12034" t="s">
        <v>43166</v>
      </c>
      <c r="O12034" t="s">
        <v>43167</v>
      </c>
      <c r="P12034">
        <v>0</v>
      </c>
      <c r="Q12034">
        <v>0</v>
      </c>
      <c r="R12034" t="s">
        <v>43183</v>
      </c>
      <c r="S12034" t="s">
        <v>43828</v>
      </c>
      <c r="T12034" t="s">
        <v>44699</v>
      </c>
      <c r="U12034" t="s">
        <v>54813</v>
      </c>
      <c r="W12034" t="s">
        <v>42828</v>
      </c>
      <c r="X12034" t="s">
        <v>43184</v>
      </c>
    </row>
    <row r="12035" spans="1:24">
      <c r="A12035">
        <f>HYPERLINK("https://www.philgeps.gov.ph/GEPSNONPILOT/Tender/SplashBidNoticeAbstractUI.aspx?menuIndex=3&amp;refID=7058209&amp;Result=3","7058209")</f>
        <v>0</v>
      </c>
      <c r="B12035" t="s">
        <v>1359</v>
      </c>
      <c r="C12035" t="s">
        <v>14913</v>
      </c>
      <c r="D12035" t="s">
        <v>17415</v>
      </c>
      <c r="E12035" t="s">
        <v>27809</v>
      </c>
      <c r="F12035" t="s">
        <v>30052</v>
      </c>
      <c r="G12035" t="s">
        <v>30058</v>
      </c>
      <c r="H12035" t="s">
        <v>15498</v>
      </c>
      <c r="I12035" t="s">
        <v>3736</v>
      </c>
      <c r="J12035" t="s">
        <v>37545</v>
      </c>
      <c r="K12035" t="s">
        <v>39019</v>
      </c>
      <c r="M12035" t="s">
        <v>40728</v>
      </c>
      <c r="N12035" t="s">
        <v>43166</v>
      </c>
      <c r="O12035" t="s">
        <v>43167</v>
      </c>
      <c r="P12035">
        <v>0</v>
      </c>
      <c r="Q12035">
        <v>1</v>
      </c>
      <c r="R12035" t="s">
        <v>43183</v>
      </c>
      <c r="S12035" t="s">
        <v>43828</v>
      </c>
      <c r="T12035" t="s">
        <v>44698</v>
      </c>
      <c r="U12035" t="s">
        <v>54814</v>
      </c>
      <c r="W12035" t="s">
        <v>58636</v>
      </c>
      <c r="X12035" t="s">
        <v>43184</v>
      </c>
    </row>
    <row r="12036" spans="1:24">
      <c r="A12036">
        <f>HYPERLINK("https://www.philgeps.gov.ph/GEPSNONPILOT/Tender/SplashBidNoticeAbstractUI.aspx?menuIndex=3&amp;refID=7058261&amp;Result=3","7058261")</f>
        <v>0</v>
      </c>
      <c r="B12036" t="s">
        <v>2454</v>
      </c>
      <c r="C12036" t="s">
        <v>14914</v>
      </c>
      <c r="D12036" t="s">
        <v>17486</v>
      </c>
      <c r="E12036" t="s">
        <v>27810</v>
      </c>
      <c r="F12036" t="s">
        <v>30052</v>
      </c>
      <c r="G12036" t="s">
        <v>30058</v>
      </c>
      <c r="H12036" t="s">
        <v>30067</v>
      </c>
      <c r="I12036" t="s">
        <v>3693</v>
      </c>
      <c r="J12036" t="s">
        <v>31185</v>
      </c>
      <c r="K12036" t="s">
        <v>39026</v>
      </c>
      <c r="M12036" t="s">
        <v>41953</v>
      </c>
      <c r="N12036" t="s">
        <v>43166</v>
      </c>
      <c r="O12036" t="s">
        <v>43167</v>
      </c>
      <c r="P12036">
        <v>0</v>
      </c>
      <c r="Q12036">
        <v>3</v>
      </c>
      <c r="R12036" t="s">
        <v>43183</v>
      </c>
      <c r="S12036" t="s">
        <v>43828</v>
      </c>
      <c r="T12036" t="s">
        <v>44717</v>
      </c>
      <c r="U12036" t="s">
        <v>51702</v>
      </c>
      <c r="W12036" t="s">
        <v>41953</v>
      </c>
      <c r="X12036" t="s">
        <v>43184</v>
      </c>
    </row>
    <row r="12037" spans="1:24">
      <c r="A12037">
        <f>HYPERLINK("https://www.philgeps.gov.ph/GEPSNONPILOT/Tender/SplashBidNoticeAbstractUI.aspx?menuIndex=3&amp;refID=7058270&amp;Result=3","7058270")</f>
        <v>0</v>
      </c>
      <c r="B12037" t="s">
        <v>2454</v>
      </c>
      <c r="C12037" t="s">
        <v>14915</v>
      </c>
      <c r="D12037" t="s">
        <v>17486</v>
      </c>
      <c r="E12037" t="s">
        <v>27811</v>
      </c>
      <c r="F12037" t="s">
        <v>30052</v>
      </c>
      <c r="G12037" t="s">
        <v>30058</v>
      </c>
      <c r="H12037" t="s">
        <v>30067</v>
      </c>
      <c r="I12037" t="s">
        <v>3693</v>
      </c>
      <c r="J12037" t="s">
        <v>32904</v>
      </c>
      <c r="K12037" t="s">
        <v>39026</v>
      </c>
      <c r="M12037" t="s">
        <v>41953</v>
      </c>
      <c r="N12037" t="s">
        <v>43166</v>
      </c>
      <c r="O12037" t="s">
        <v>43167</v>
      </c>
      <c r="Q12037">
        <v>4</v>
      </c>
      <c r="R12037" t="s">
        <v>43183</v>
      </c>
      <c r="S12037" t="s">
        <v>43337</v>
      </c>
      <c r="T12037" t="s">
        <v>45164</v>
      </c>
      <c r="U12037" t="s">
        <v>54815</v>
      </c>
      <c r="W12037" t="s">
        <v>41953</v>
      </c>
      <c r="X12037" t="s">
        <v>43184</v>
      </c>
    </row>
    <row r="12038" spans="1:24">
      <c r="A12038">
        <f>HYPERLINK("https://www.philgeps.gov.ph/GEPSNONPILOT/Tender/SplashBidNoticeAbstractUI.aspx?menuIndex=3&amp;refID=7058441&amp;Result=3","7058441")</f>
        <v>0</v>
      </c>
      <c r="B12038" t="s">
        <v>2075</v>
      </c>
      <c r="C12038" t="s">
        <v>14916</v>
      </c>
      <c r="D12038" t="s">
        <v>17415</v>
      </c>
      <c r="E12038" t="s">
        <v>27812</v>
      </c>
      <c r="F12038" t="s">
        <v>30052</v>
      </c>
      <c r="G12038" t="s">
        <v>30058</v>
      </c>
      <c r="H12038" t="s">
        <v>15498</v>
      </c>
      <c r="I12038" t="s">
        <v>30084</v>
      </c>
      <c r="J12038" t="s">
        <v>30555</v>
      </c>
      <c r="K12038" t="s">
        <v>39067</v>
      </c>
      <c r="M12038" t="s">
        <v>41535</v>
      </c>
      <c r="N12038" t="s">
        <v>43166</v>
      </c>
      <c r="O12038" t="s">
        <v>43167</v>
      </c>
      <c r="P12038">
        <v>0</v>
      </c>
      <c r="Q12038">
        <v>8</v>
      </c>
      <c r="R12038" t="s">
        <v>43183</v>
      </c>
      <c r="S12038" t="s">
        <v>43828</v>
      </c>
      <c r="T12038" t="s">
        <v>44847</v>
      </c>
      <c r="U12038" t="s">
        <v>54816</v>
      </c>
      <c r="W12038" t="s">
        <v>41535</v>
      </c>
      <c r="X12038" t="s">
        <v>43184</v>
      </c>
    </row>
    <row r="12039" spans="1:24">
      <c r="A12039">
        <f>HYPERLINK("https://www.philgeps.gov.ph/GEPSNONPILOT/Tender/SplashBidNoticeAbstractUI.aspx?menuIndex=3&amp;refID=7058246&amp;Result=3","7058246")</f>
        <v>0</v>
      </c>
      <c r="B12039" t="s">
        <v>2454</v>
      </c>
      <c r="C12039" t="s">
        <v>14917</v>
      </c>
      <c r="D12039" t="s">
        <v>17486</v>
      </c>
      <c r="E12039" t="s">
        <v>27813</v>
      </c>
      <c r="F12039" t="s">
        <v>30052</v>
      </c>
      <c r="G12039" t="s">
        <v>30058</v>
      </c>
      <c r="H12039" t="s">
        <v>30067</v>
      </c>
      <c r="I12039" t="s">
        <v>3693</v>
      </c>
      <c r="J12039" t="s">
        <v>33872</v>
      </c>
      <c r="K12039" t="s">
        <v>39022</v>
      </c>
      <c r="M12039" t="s">
        <v>41953</v>
      </c>
      <c r="N12039" t="s">
        <v>43166</v>
      </c>
      <c r="O12039" t="s">
        <v>43167</v>
      </c>
      <c r="Q12039">
        <v>3</v>
      </c>
      <c r="R12039" t="s">
        <v>43183</v>
      </c>
      <c r="S12039" t="s">
        <v>43834</v>
      </c>
      <c r="T12039" t="s">
        <v>45164</v>
      </c>
      <c r="U12039" t="s">
        <v>51720</v>
      </c>
      <c r="W12039" t="s">
        <v>41953</v>
      </c>
      <c r="X12039" t="s">
        <v>43184</v>
      </c>
    </row>
    <row r="12040" spans="1:24">
      <c r="A12040">
        <f>HYPERLINK("https://www.philgeps.gov.ph/GEPSNONPILOT/Tender/SplashBidNoticeAbstractUI.aspx?menuIndex=3&amp;refID=7058414&amp;Result=3","7058414")</f>
        <v>0</v>
      </c>
      <c r="B12040" t="s">
        <v>2454</v>
      </c>
      <c r="C12040" t="s">
        <v>14918</v>
      </c>
      <c r="D12040" t="s">
        <v>17486</v>
      </c>
      <c r="E12040" t="s">
        <v>27814</v>
      </c>
      <c r="F12040" t="s">
        <v>30052</v>
      </c>
      <c r="G12040" t="s">
        <v>30058</v>
      </c>
      <c r="H12040" t="s">
        <v>30067</v>
      </c>
      <c r="I12040" t="s">
        <v>3693</v>
      </c>
      <c r="J12040" t="s">
        <v>35113</v>
      </c>
      <c r="K12040" t="s">
        <v>39016</v>
      </c>
      <c r="M12040" t="s">
        <v>41953</v>
      </c>
      <c r="N12040" t="s">
        <v>43166</v>
      </c>
      <c r="O12040" t="s">
        <v>43167</v>
      </c>
      <c r="Q12040">
        <v>3</v>
      </c>
      <c r="R12040" t="s">
        <v>43183</v>
      </c>
      <c r="S12040" t="s">
        <v>43835</v>
      </c>
      <c r="T12040" t="s">
        <v>45164</v>
      </c>
      <c r="U12040" t="s">
        <v>51684</v>
      </c>
      <c r="W12040" t="s">
        <v>41953</v>
      </c>
      <c r="X12040" t="s">
        <v>43184</v>
      </c>
    </row>
    <row r="12041" spans="1:24">
      <c r="A12041">
        <f>HYPERLINK("https://www.philgeps.gov.ph/GEPSNONPILOT/Tender/SplashBidNoticeAbstractUI.aspx?menuIndex=3&amp;refID=7058410&amp;Result=3","7058410")</f>
        <v>0</v>
      </c>
      <c r="B12041" t="s">
        <v>2454</v>
      </c>
      <c r="C12041" t="s">
        <v>14919</v>
      </c>
      <c r="D12041" t="s">
        <v>17486</v>
      </c>
      <c r="E12041" t="s">
        <v>27815</v>
      </c>
      <c r="F12041" t="s">
        <v>30052</v>
      </c>
      <c r="G12041" t="s">
        <v>30058</v>
      </c>
      <c r="H12041" t="s">
        <v>30067</v>
      </c>
      <c r="I12041" t="s">
        <v>3693</v>
      </c>
      <c r="J12041" t="s">
        <v>33105</v>
      </c>
      <c r="K12041" t="s">
        <v>39026</v>
      </c>
      <c r="M12041" t="s">
        <v>41953</v>
      </c>
      <c r="N12041" t="s">
        <v>43166</v>
      </c>
      <c r="O12041" t="s">
        <v>43167</v>
      </c>
      <c r="P12041">
        <v>0</v>
      </c>
      <c r="Q12041">
        <v>1</v>
      </c>
      <c r="R12041" t="s">
        <v>43183</v>
      </c>
      <c r="S12041" t="s">
        <v>43828</v>
      </c>
      <c r="T12041" t="s">
        <v>44698</v>
      </c>
      <c r="U12041" t="s">
        <v>51702</v>
      </c>
      <c r="W12041" t="s">
        <v>41953</v>
      </c>
      <c r="X12041" t="s">
        <v>43184</v>
      </c>
    </row>
    <row r="12042" spans="1:24">
      <c r="A12042">
        <f>HYPERLINK("https://www.philgeps.gov.ph/GEPSNONPILOT/Tender/SplashBidNoticeAbstractUI.aspx?menuIndex=3&amp;refID=7058420&amp;Result=3","7058420")</f>
        <v>0</v>
      </c>
      <c r="B12042" t="s">
        <v>436</v>
      </c>
      <c r="C12042" t="s">
        <v>14920</v>
      </c>
      <c r="D12042" t="s">
        <v>17461</v>
      </c>
      <c r="E12042" t="s">
        <v>27816</v>
      </c>
      <c r="F12042" t="s">
        <v>30052</v>
      </c>
      <c r="G12042" t="s">
        <v>30058</v>
      </c>
      <c r="H12042" t="s">
        <v>30067</v>
      </c>
      <c r="I12042" t="s">
        <v>3693</v>
      </c>
      <c r="J12042" t="s">
        <v>30321</v>
      </c>
      <c r="K12042" t="s">
        <v>39026</v>
      </c>
      <c r="M12042" t="s">
        <v>39735</v>
      </c>
      <c r="N12042" t="s">
        <v>43166</v>
      </c>
      <c r="O12042" t="s">
        <v>43167</v>
      </c>
      <c r="Q12042">
        <v>3</v>
      </c>
      <c r="R12042" t="s">
        <v>43183</v>
      </c>
      <c r="S12042" t="s">
        <v>43836</v>
      </c>
      <c r="T12042" t="s">
        <v>44724</v>
      </c>
      <c r="U12042" t="s">
        <v>54817</v>
      </c>
      <c r="W12042" t="s">
        <v>39735</v>
      </c>
      <c r="X12042" t="s">
        <v>43184</v>
      </c>
    </row>
    <row r="12043" spans="1:24">
      <c r="A12043">
        <f>HYPERLINK("https://www.philgeps.gov.ph/GEPSNONPILOT/Tender/SplashBidNoticeAbstractUI.aspx?menuIndex=3&amp;refID=7058408&amp;Result=3","7058408")</f>
        <v>0</v>
      </c>
      <c r="B12043" t="s">
        <v>3197</v>
      </c>
      <c r="C12043" t="s">
        <v>14921</v>
      </c>
      <c r="D12043" t="s">
        <v>17459</v>
      </c>
      <c r="E12043" t="s">
        <v>27817</v>
      </c>
      <c r="F12043" t="s">
        <v>30052</v>
      </c>
      <c r="G12043" t="s">
        <v>30058</v>
      </c>
      <c r="H12043" t="s">
        <v>30067</v>
      </c>
      <c r="I12043" t="s">
        <v>3693</v>
      </c>
      <c r="J12043" t="s">
        <v>37546</v>
      </c>
      <c r="K12043" t="s">
        <v>39110</v>
      </c>
      <c r="M12043" t="s">
        <v>42811</v>
      </c>
      <c r="N12043" t="s">
        <v>43166</v>
      </c>
      <c r="O12043" t="s">
        <v>43167</v>
      </c>
      <c r="P12043">
        <v>0</v>
      </c>
      <c r="Q12043">
        <v>1</v>
      </c>
      <c r="R12043" t="s">
        <v>43183</v>
      </c>
      <c r="S12043" t="s">
        <v>43828</v>
      </c>
      <c r="T12043" t="s">
        <v>44733</v>
      </c>
      <c r="U12043" t="s">
        <v>54818</v>
      </c>
      <c r="W12043" t="s">
        <v>42811</v>
      </c>
      <c r="X12043" t="s">
        <v>43184</v>
      </c>
    </row>
    <row r="12044" spans="1:24">
      <c r="A12044">
        <f>HYPERLINK("https://www.philgeps.gov.ph/GEPSNONPILOT/Tender/SplashBidNoticeAbstractUI.aspx?menuIndex=3&amp;refID=7058207&amp;Result=3","7058207")</f>
        <v>0</v>
      </c>
      <c r="B12044" t="s">
        <v>3208</v>
      </c>
      <c r="C12044" t="s">
        <v>14922</v>
      </c>
      <c r="D12044" t="s">
        <v>17442</v>
      </c>
      <c r="E12044" t="s">
        <v>27818</v>
      </c>
      <c r="F12044" t="s">
        <v>30052</v>
      </c>
      <c r="G12044" t="s">
        <v>30058</v>
      </c>
      <c r="H12044" t="s">
        <v>15498</v>
      </c>
      <c r="I12044" t="s">
        <v>3852</v>
      </c>
      <c r="J12044" t="s">
        <v>37547</v>
      </c>
      <c r="K12044" t="s">
        <v>39019</v>
      </c>
      <c r="M12044" t="s">
        <v>42828</v>
      </c>
      <c r="N12044" t="s">
        <v>43166</v>
      </c>
      <c r="O12044" t="s">
        <v>43167</v>
      </c>
      <c r="P12044">
        <v>0</v>
      </c>
      <c r="Q12044">
        <v>1</v>
      </c>
      <c r="R12044" t="s">
        <v>43183</v>
      </c>
      <c r="S12044" t="s">
        <v>43828</v>
      </c>
      <c r="T12044" t="s">
        <v>44699</v>
      </c>
      <c r="U12044" t="s">
        <v>54819</v>
      </c>
      <c r="W12044" t="s">
        <v>42828</v>
      </c>
      <c r="X12044" t="s">
        <v>43184</v>
      </c>
    </row>
    <row r="12045" spans="1:24">
      <c r="A12045">
        <f>HYPERLINK("https://www.philgeps.gov.ph/GEPSNONPILOT/Tender/SplashBidNoticeAbstractUI.aspx?menuIndex=3&amp;refID=7058265&amp;Result=3","7058265")</f>
        <v>0</v>
      </c>
      <c r="B12045" t="s">
        <v>2454</v>
      </c>
      <c r="C12045" t="s">
        <v>14923</v>
      </c>
      <c r="D12045" t="s">
        <v>17486</v>
      </c>
      <c r="E12045" t="s">
        <v>27819</v>
      </c>
      <c r="F12045" t="s">
        <v>30052</v>
      </c>
      <c r="G12045" t="s">
        <v>30058</v>
      </c>
      <c r="H12045" t="s">
        <v>30067</v>
      </c>
      <c r="I12045" t="s">
        <v>3693</v>
      </c>
      <c r="J12045" t="s">
        <v>33318</v>
      </c>
      <c r="K12045" t="s">
        <v>39031</v>
      </c>
      <c r="M12045" t="s">
        <v>41953</v>
      </c>
      <c r="N12045" t="s">
        <v>43166</v>
      </c>
      <c r="O12045" t="s">
        <v>43167</v>
      </c>
      <c r="P12045">
        <v>0</v>
      </c>
      <c r="Q12045">
        <v>7</v>
      </c>
      <c r="R12045" t="s">
        <v>43183</v>
      </c>
      <c r="S12045" t="s">
        <v>43828</v>
      </c>
      <c r="T12045" t="s">
        <v>44717</v>
      </c>
      <c r="U12045" t="s">
        <v>54820</v>
      </c>
      <c r="W12045" t="s">
        <v>41953</v>
      </c>
      <c r="X12045" t="s">
        <v>43184</v>
      </c>
    </row>
    <row r="12046" spans="1:24">
      <c r="A12046">
        <f>HYPERLINK("https://www.philgeps.gov.ph/GEPSNONPILOT/Tender/SplashBidNoticeAbstractUI.aspx?menuIndex=3&amp;refID=7058405&amp;Result=3","7058405")</f>
        <v>0</v>
      </c>
      <c r="B12046" t="s">
        <v>2454</v>
      </c>
      <c r="C12046" t="s">
        <v>14924</v>
      </c>
      <c r="D12046" t="s">
        <v>17486</v>
      </c>
      <c r="E12046" t="s">
        <v>27820</v>
      </c>
      <c r="F12046" t="s">
        <v>30052</v>
      </c>
      <c r="G12046" t="s">
        <v>30058</v>
      </c>
      <c r="H12046" t="s">
        <v>30067</v>
      </c>
      <c r="I12046" t="s">
        <v>3693</v>
      </c>
      <c r="J12046" t="s">
        <v>35113</v>
      </c>
      <c r="K12046" t="s">
        <v>39016</v>
      </c>
      <c r="M12046" t="s">
        <v>41953</v>
      </c>
      <c r="N12046" t="s">
        <v>43166</v>
      </c>
      <c r="O12046" t="s">
        <v>43167</v>
      </c>
      <c r="Q12046">
        <v>3</v>
      </c>
      <c r="R12046" t="s">
        <v>43183</v>
      </c>
      <c r="S12046" t="s">
        <v>43537</v>
      </c>
      <c r="T12046" t="s">
        <v>45164</v>
      </c>
      <c r="U12046" t="s">
        <v>51684</v>
      </c>
      <c r="W12046" t="s">
        <v>41953</v>
      </c>
      <c r="X12046" t="s">
        <v>43184</v>
      </c>
    </row>
    <row r="12047" spans="1:24">
      <c r="A12047">
        <f>HYPERLINK("https://www.philgeps.gov.ph/GEPSNONPILOT/Tender/SplashBidNoticeAbstractUI.aspx?menuIndex=3&amp;refID=7058404&amp;Result=3","7058404")</f>
        <v>0</v>
      </c>
      <c r="B12047" t="s">
        <v>3197</v>
      </c>
      <c r="C12047" t="s">
        <v>14925</v>
      </c>
      <c r="D12047" t="s">
        <v>17459</v>
      </c>
      <c r="E12047" t="s">
        <v>27821</v>
      </c>
      <c r="F12047" t="s">
        <v>30052</v>
      </c>
      <c r="G12047" t="s">
        <v>30058</v>
      </c>
      <c r="H12047" t="s">
        <v>15498</v>
      </c>
      <c r="I12047" t="s">
        <v>30074</v>
      </c>
      <c r="J12047" t="s">
        <v>31060</v>
      </c>
      <c r="K12047" t="s">
        <v>39023</v>
      </c>
      <c r="M12047" t="s">
        <v>42811</v>
      </c>
      <c r="N12047" t="s">
        <v>43166</v>
      </c>
      <c r="O12047" t="s">
        <v>43167</v>
      </c>
      <c r="P12047">
        <v>0</v>
      </c>
      <c r="Q12047">
        <v>2</v>
      </c>
      <c r="R12047" t="s">
        <v>43183</v>
      </c>
      <c r="S12047" t="s">
        <v>43828</v>
      </c>
      <c r="T12047" t="s">
        <v>44733</v>
      </c>
      <c r="U12047" t="s">
        <v>54821</v>
      </c>
      <c r="W12047" t="s">
        <v>42811</v>
      </c>
      <c r="X12047" t="s">
        <v>43184</v>
      </c>
    </row>
    <row r="12048" spans="1:24">
      <c r="A12048">
        <f>HYPERLINK("https://www.philgeps.gov.ph/GEPSNONPILOT/Tender/SplashBidNoticeAbstractUI.aspx?menuIndex=3&amp;refID=7058399&amp;Result=3","7058399")</f>
        <v>0</v>
      </c>
      <c r="B12048" t="s">
        <v>2454</v>
      </c>
      <c r="C12048" t="s">
        <v>14926</v>
      </c>
      <c r="D12048" t="s">
        <v>17486</v>
      </c>
      <c r="E12048" t="s">
        <v>27822</v>
      </c>
      <c r="F12048" t="s">
        <v>30052</v>
      </c>
      <c r="G12048" t="s">
        <v>30058</v>
      </c>
      <c r="H12048" t="s">
        <v>30067</v>
      </c>
      <c r="I12048" t="s">
        <v>3693</v>
      </c>
      <c r="J12048" t="s">
        <v>35970</v>
      </c>
      <c r="K12048" t="s">
        <v>39026</v>
      </c>
      <c r="M12048" t="s">
        <v>41953</v>
      </c>
      <c r="N12048" t="s">
        <v>43166</v>
      </c>
      <c r="O12048" t="s">
        <v>43167</v>
      </c>
      <c r="Q12048">
        <v>2</v>
      </c>
      <c r="R12048" t="s">
        <v>43183</v>
      </c>
      <c r="S12048" t="s">
        <v>43837</v>
      </c>
      <c r="T12048" t="s">
        <v>45164</v>
      </c>
      <c r="U12048" t="s">
        <v>51720</v>
      </c>
      <c r="W12048" t="s">
        <v>41953</v>
      </c>
      <c r="X12048" t="s">
        <v>43184</v>
      </c>
    </row>
    <row r="12049" spans="1:24">
      <c r="A12049">
        <f>HYPERLINK("https://www.philgeps.gov.ph/GEPSNONPILOT/Tender/SplashBidNoticeAbstractUI.aspx?menuIndex=3&amp;refID=7058462&amp;Result=3","7058462")</f>
        <v>0</v>
      </c>
      <c r="B12049" t="s">
        <v>221</v>
      </c>
      <c r="C12049" t="s">
        <v>14927</v>
      </c>
      <c r="E12049" t="s">
        <v>27823</v>
      </c>
      <c r="F12049" t="s">
        <v>30052</v>
      </c>
      <c r="G12049" t="s">
        <v>30058</v>
      </c>
      <c r="H12049" t="s">
        <v>15498</v>
      </c>
      <c r="I12049" t="s">
        <v>3606</v>
      </c>
      <c r="J12049" t="s">
        <v>37548</v>
      </c>
      <c r="K12049" t="s">
        <v>39025</v>
      </c>
      <c r="M12049" t="s">
        <v>39511</v>
      </c>
      <c r="N12049" t="s">
        <v>43166</v>
      </c>
      <c r="O12049" t="s">
        <v>43167</v>
      </c>
      <c r="P12049">
        <v>0</v>
      </c>
      <c r="Q12049">
        <v>23</v>
      </c>
      <c r="R12049" t="s">
        <v>43183</v>
      </c>
      <c r="S12049" t="s">
        <v>43828</v>
      </c>
      <c r="T12049" t="s">
        <v>44750</v>
      </c>
      <c r="U12049" t="s">
        <v>54822</v>
      </c>
      <c r="V12049" t="s">
        <v>58155</v>
      </c>
      <c r="W12049" t="s">
        <v>39511</v>
      </c>
      <c r="X12049" t="s">
        <v>43184</v>
      </c>
    </row>
    <row r="12050" spans="1:24">
      <c r="A12050">
        <f>HYPERLINK("https://www.philgeps.gov.ph/GEPSNONPILOT/Tender/SplashBidNoticeAbstractUI.aspx?menuIndex=3&amp;refID=7058413&amp;Result=3","7058413")</f>
        <v>0</v>
      </c>
      <c r="B12050" t="s">
        <v>3197</v>
      </c>
      <c r="C12050" t="s">
        <v>14928</v>
      </c>
      <c r="D12050" t="s">
        <v>17459</v>
      </c>
      <c r="E12050" t="s">
        <v>27824</v>
      </c>
      <c r="F12050" t="s">
        <v>30052</v>
      </c>
      <c r="G12050" t="s">
        <v>30058</v>
      </c>
      <c r="H12050" t="s">
        <v>30067</v>
      </c>
      <c r="I12050" t="s">
        <v>3693</v>
      </c>
      <c r="J12050" t="s">
        <v>37549</v>
      </c>
      <c r="K12050" t="s">
        <v>39135</v>
      </c>
      <c r="M12050" t="s">
        <v>42811</v>
      </c>
      <c r="N12050" t="s">
        <v>43166</v>
      </c>
      <c r="O12050" t="s">
        <v>43167</v>
      </c>
      <c r="P12050">
        <v>0</v>
      </c>
      <c r="Q12050">
        <v>3</v>
      </c>
      <c r="R12050" t="s">
        <v>43183</v>
      </c>
      <c r="S12050" t="s">
        <v>43828</v>
      </c>
      <c r="T12050" t="s">
        <v>44733</v>
      </c>
      <c r="U12050" t="s">
        <v>54823</v>
      </c>
      <c r="W12050" t="s">
        <v>42811</v>
      </c>
      <c r="X12050" t="s">
        <v>43184</v>
      </c>
    </row>
    <row r="12051" spans="1:24">
      <c r="A12051">
        <f>HYPERLINK("https://www.philgeps.gov.ph/GEPSNONPILOT/Tender/SplashBidNoticeAbstractUI.aspx?menuIndex=3&amp;refID=7058406&amp;Result=3","7058406")</f>
        <v>0</v>
      </c>
      <c r="B12051" t="s">
        <v>2454</v>
      </c>
      <c r="C12051" t="s">
        <v>14929</v>
      </c>
      <c r="D12051" t="s">
        <v>17486</v>
      </c>
      <c r="E12051" t="s">
        <v>27825</v>
      </c>
      <c r="F12051" t="s">
        <v>30052</v>
      </c>
      <c r="G12051" t="s">
        <v>30058</v>
      </c>
      <c r="H12051" t="s">
        <v>30067</v>
      </c>
      <c r="I12051" t="s">
        <v>3693</v>
      </c>
      <c r="J12051" t="s">
        <v>34944</v>
      </c>
      <c r="K12051" t="s">
        <v>39023</v>
      </c>
      <c r="M12051" t="s">
        <v>41953</v>
      </c>
      <c r="N12051" t="s">
        <v>43166</v>
      </c>
      <c r="O12051" t="s">
        <v>43167</v>
      </c>
      <c r="Q12051">
        <v>1</v>
      </c>
      <c r="R12051" t="s">
        <v>43183</v>
      </c>
      <c r="S12051" t="s">
        <v>43838</v>
      </c>
      <c r="T12051" t="s">
        <v>45164</v>
      </c>
      <c r="U12051" t="s">
        <v>51746</v>
      </c>
      <c r="W12051" t="s">
        <v>41953</v>
      </c>
      <c r="X12051" t="s">
        <v>43184</v>
      </c>
    </row>
    <row r="12052" spans="1:24">
      <c r="A12052">
        <f>HYPERLINK("https://www.philgeps.gov.ph/GEPSNONPILOT/Tender/SplashBidNoticeAbstractUI.aspx?menuIndex=3&amp;refID=7050335&amp;Result=3","7050335")</f>
        <v>0</v>
      </c>
      <c r="B12052" t="s">
        <v>3209</v>
      </c>
      <c r="C12052" t="s">
        <v>14930</v>
      </c>
      <c r="D12052" t="s">
        <v>17464</v>
      </c>
      <c r="E12052" t="s">
        <v>27826</v>
      </c>
      <c r="F12052" t="s">
        <v>30052</v>
      </c>
      <c r="G12052" t="s">
        <v>30058</v>
      </c>
      <c r="H12052" t="s">
        <v>30067</v>
      </c>
      <c r="I12052" t="s">
        <v>3693</v>
      </c>
      <c r="J12052" t="s">
        <v>31664</v>
      </c>
      <c r="K12052" t="s">
        <v>39025</v>
      </c>
      <c r="M12052" t="s">
        <v>42829</v>
      </c>
      <c r="N12052" t="s">
        <v>43166</v>
      </c>
      <c r="O12052" t="s">
        <v>43167</v>
      </c>
      <c r="P12052">
        <v>0</v>
      </c>
      <c r="Q12052">
        <v>1</v>
      </c>
      <c r="R12052" t="s">
        <v>43184</v>
      </c>
      <c r="S12052" t="s">
        <v>43839</v>
      </c>
      <c r="T12052" t="s">
        <v>44698</v>
      </c>
      <c r="U12052" t="s">
        <v>54824</v>
      </c>
      <c r="W12052" t="s">
        <v>42829</v>
      </c>
      <c r="X12052" t="s">
        <v>43187</v>
      </c>
    </row>
    <row r="12053" spans="1:24">
      <c r="A12053">
        <f>HYPERLINK("https://www.philgeps.gov.ph/GEPSNONPILOT/Tender/SplashBidNoticeAbstractUI.aspx?menuIndex=3&amp;refID=7058401&amp;Result=3","7058401")</f>
        <v>0</v>
      </c>
      <c r="B12053" t="s">
        <v>2454</v>
      </c>
      <c r="C12053" t="s">
        <v>14931</v>
      </c>
      <c r="D12053" t="s">
        <v>17486</v>
      </c>
      <c r="E12053" t="s">
        <v>27827</v>
      </c>
      <c r="F12053" t="s">
        <v>30052</v>
      </c>
      <c r="G12053" t="s">
        <v>30058</v>
      </c>
      <c r="H12053" t="s">
        <v>30067</v>
      </c>
      <c r="I12053" t="s">
        <v>3693</v>
      </c>
      <c r="J12053" t="s">
        <v>35113</v>
      </c>
      <c r="K12053" t="s">
        <v>39057</v>
      </c>
      <c r="M12053" t="s">
        <v>41953</v>
      </c>
      <c r="N12053" t="s">
        <v>43166</v>
      </c>
      <c r="O12053" t="s">
        <v>43167</v>
      </c>
      <c r="Q12053">
        <v>6</v>
      </c>
      <c r="R12053" t="s">
        <v>43183</v>
      </c>
      <c r="S12053" t="s">
        <v>43601</v>
      </c>
      <c r="T12053" t="s">
        <v>45164</v>
      </c>
      <c r="U12053" t="s">
        <v>51684</v>
      </c>
      <c r="W12053" t="s">
        <v>41953</v>
      </c>
      <c r="X12053" t="s">
        <v>43184</v>
      </c>
    </row>
    <row r="12054" spans="1:24">
      <c r="A12054">
        <f>HYPERLINK("https://www.philgeps.gov.ph/GEPSNONPILOT/Tender/SplashBidNoticeAbstractUI.aspx?menuIndex=3&amp;refID=7050598&amp;Result=3","7050598")</f>
        <v>0</v>
      </c>
      <c r="B12054" t="s">
        <v>784</v>
      </c>
      <c r="C12054" t="s">
        <v>14932</v>
      </c>
      <c r="E12054" t="s">
        <v>27828</v>
      </c>
      <c r="F12054" t="s">
        <v>30052</v>
      </c>
      <c r="G12054" t="s">
        <v>30058</v>
      </c>
      <c r="H12054" t="s">
        <v>30067</v>
      </c>
      <c r="I12054" t="s">
        <v>3693</v>
      </c>
      <c r="J12054" t="s">
        <v>37550</v>
      </c>
      <c r="K12054" t="s">
        <v>39025</v>
      </c>
      <c r="M12054" t="s">
        <v>40101</v>
      </c>
      <c r="N12054" t="s">
        <v>43166</v>
      </c>
      <c r="O12054" t="s">
        <v>43167</v>
      </c>
      <c r="P12054">
        <v>0</v>
      </c>
      <c r="Q12054">
        <v>9</v>
      </c>
      <c r="R12054" t="s">
        <v>43184</v>
      </c>
      <c r="S12054" t="s">
        <v>43839</v>
      </c>
      <c r="T12054" t="s">
        <v>44699</v>
      </c>
      <c r="U12054" t="s">
        <v>54825</v>
      </c>
      <c r="V12054" t="s">
        <v>58156</v>
      </c>
      <c r="W12054" t="s">
        <v>40101</v>
      </c>
      <c r="X12054" t="s">
        <v>43187</v>
      </c>
    </row>
    <row r="12055" spans="1:24">
      <c r="A12055">
        <f>HYPERLINK("https://www.philgeps.gov.ph/GEPSNONPILOT/Tender/SplashBidNoticeAbstractUI.aspx?menuIndex=3&amp;refID=7058431&amp;Result=3","7058431")</f>
        <v>0</v>
      </c>
      <c r="B12055" t="s">
        <v>721</v>
      </c>
      <c r="C12055" t="s">
        <v>14933</v>
      </c>
      <c r="D12055" t="s">
        <v>17451</v>
      </c>
      <c r="E12055" t="s">
        <v>27829</v>
      </c>
      <c r="F12055" t="s">
        <v>30052</v>
      </c>
      <c r="G12055" t="s">
        <v>30058</v>
      </c>
      <c r="H12055" t="s">
        <v>15498</v>
      </c>
      <c r="I12055" t="s">
        <v>30168</v>
      </c>
      <c r="J12055" t="s">
        <v>37551</v>
      </c>
      <c r="K12055" t="s">
        <v>39023</v>
      </c>
      <c r="M12055" t="s">
        <v>42830</v>
      </c>
      <c r="N12055" t="s">
        <v>43166</v>
      </c>
      <c r="O12055" t="s">
        <v>43167</v>
      </c>
      <c r="P12055">
        <v>0</v>
      </c>
      <c r="Q12055">
        <v>4</v>
      </c>
      <c r="R12055" t="s">
        <v>43183</v>
      </c>
      <c r="S12055" t="s">
        <v>43828</v>
      </c>
      <c r="T12055" t="s">
        <v>44844</v>
      </c>
      <c r="U12055" t="s">
        <v>54826</v>
      </c>
      <c r="W12055" t="s">
        <v>42830</v>
      </c>
      <c r="X12055" t="s">
        <v>43184</v>
      </c>
    </row>
    <row r="12056" spans="1:24">
      <c r="A12056">
        <f>HYPERLINK("https://www.philgeps.gov.ph/GEPSNONPILOT/Tender/SplashBidNoticeAbstractUI.aspx?menuIndex=3&amp;refID=7058396&amp;Result=3","7058396")</f>
        <v>0</v>
      </c>
      <c r="B12056" t="s">
        <v>2454</v>
      </c>
      <c r="C12056" t="s">
        <v>14934</v>
      </c>
      <c r="D12056" t="s">
        <v>17486</v>
      </c>
      <c r="E12056" t="s">
        <v>27830</v>
      </c>
      <c r="F12056" t="s">
        <v>30052</v>
      </c>
      <c r="G12056" t="s">
        <v>30058</v>
      </c>
      <c r="H12056" t="s">
        <v>30067</v>
      </c>
      <c r="I12056" t="s">
        <v>3693</v>
      </c>
      <c r="J12056" t="s">
        <v>35970</v>
      </c>
      <c r="K12056" t="s">
        <v>39026</v>
      </c>
      <c r="M12056" t="s">
        <v>41953</v>
      </c>
      <c r="N12056" t="s">
        <v>43166</v>
      </c>
      <c r="O12056" t="s">
        <v>43167</v>
      </c>
      <c r="Q12056">
        <v>2</v>
      </c>
      <c r="R12056" t="s">
        <v>43183</v>
      </c>
      <c r="S12056" t="s">
        <v>43840</v>
      </c>
      <c r="T12056" t="s">
        <v>45164</v>
      </c>
      <c r="U12056" t="s">
        <v>51822</v>
      </c>
      <c r="W12056" t="s">
        <v>41953</v>
      </c>
      <c r="X12056" t="s">
        <v>43184</v>
      </c>
    </row>
    <row r="12057" spans="1:24">
      <c r="A12057">
        <f>HYPERLINK("https://www.philgeps.gov.ph/GEPSNONPILOT/Tender/SplashBidNoticeAbstractUI.aspx?menuIndex=3&amp;refID=7058269&amp;Result=3","7058269")</f>
        <v>0</v>
      </c>
      <c r="B12057" t="s">
        <v>543</v>
      </c>
      <c r="C12057" t="s">
        <v>14935</v>
      </c>
      <c r="E12057" t="s">
        <v>27831</v>
      </c>
      <c r="F12057" t="s">
        <v>30052</v>
      </c>
      <c r="G12057" t="s">
        <v>30058</v>
      </c>
      <c r="H12057" t="s">
        <v>30067</v>
      </c>
      <c r="I12057" t="s">
        <v>3693</v>
      </c>
      <c r="J12057" t="s">
        <v>37552</v>
      </c>
      <c r="K12057" t="s">
        <v>39025</v>
      </c>
      <c r="M12057" t="s">
        <v>39845</v>
      </c>
      <c r="N12057" t="s">
        <v>43166</v>
      </c>
      <c r="O12057" t="s">
        <v>43167</v>
      </c>
      <c r="P12057">
        <v>0</v>
      </c>
      <c r="Q12057">
        <v>0</v>
      </c>
      <c r="R12057" t="s">
        <v>43183</v>
      </c>
      <c r="S12057" t="s">
        <v>43828</v>
      </c>
      <c r="T12057" t="s">
        <v>44718</v>
      </c>
      <c r="U12057" t="s">
        <v>54827</v>
      </c>
      <c r="W12057" t="s">
        <v>39845</v>
      </c>
      <c r="X12057" t="s">
        <v>43184</v>
      </c>
    </row>
    <row r="12058" spans="1:24">
      <c r="A12058">
        <f>HYPERLINK("https://www.philgeps.gov.ph/GEPSNONPILOT/Tender/SplashBidNoticeAbstractUI.aspx?menuIndex=3&amp;refID=7050371&amp;Result=3","7050371")</f>
        <v>0</v>
      </c>
      <c r="B12058" t="s">
        <v>3209</v>
      </c>
      <c r="C12058" t="s">
        <v>14936</v>
      </c>
      <c r="D12058" t="s">
        <v>17464</v>
      </c>
      <c r="E12058" t="s">
        <v>27832</v>
      </c>
      <c r="F12058" t="s">
        <v>30052</v>
      </c>
      <c r="G12058" t="s">
        <v>30058</v>
      </c>
      <c r="H12058" t="s">
        <v>30067</v>
      </c>
      <c r="I12058" t="s">
        <v>3693</v>
      </c>
      <c r="J12058" t="s">
        <v>30321</v>
      </c>
      <c r="K12058" t="s">
        <v>39025</v>
      </c>
      <c r="M12058" t="s">
        <v>42829</v>
      </c>
      <c r="N12058" t="s">
        <v>43166</v>
      </c>
      <c r="O12058" t="s">
        <v>43167</v>
      </c>
      <c r="P12058">
        <v>0</v>
      </c>
      <c r="Q12058">
        <v>1</v>
      </c>
      <c r="R12058" t="s">
        <v>43184</v>
      </c>
      <c r="S12058" t="s">
        <v>43839</v>
      </c>
      <c r="T12058" t="s">
        <v>44698</v>
      </c>
      <c r="U12058" t="s">
        <v>54828</v>
      </c>
      <c r="W12058" t="s">
        <v>42829</v>
      </c>
      <c r="X12058" t="s">
        <v>43187</v>
      </c>
    </row>
    <row r="12059" spans="1:24">
      <c r="A12059">
        <f>HYPERLINK("https://www.philgeps.gov.ph/GEPSNONPILOT/Tender/SplashBidNoticeAbstractUI.aspx?menuIndex=3&amp;refID=7042811&amp;Result=3","7042811")</f>
        <v>0</v>
      </c>
      <c r="B12059" t="s">
        <v>865</v>
      </c>
      <c r="C12059" t="s">
        <v>14937</v>
      </c>
      <c r="D12059" t="s">
        <v>17462</v>
      </c>
      <c r="E12059" t="s">
        <v>27833</v>
      </c>
      <c r="F12059" t="s">
        <v>30052</v>
      </c>
      <c r="G12059" t="s">
        <v>30058</v>
      </c>
      <c r="H12059" t="s">
        <v>30067</v>
      </c>
      <c r="I12059" t="s">
        <v>3693</v>
      </c>
      <c r="J12059" t="s">
        <v>30281</v>
      </c>
      <c r="K12059" t="s">
        <v>39079</v>
      </c>
      <c r="M12059" t="s">
        <v>40183</v>
      </c>
      <c r="N12059" t="s">
        <v>43166</v>
      </c>
      <c r="O12059" t="s">
        <v>43167</v>
      </c>
      <c r="P12059">
        <v>0</v>
      </c>
      <c r="Q12059">
        <v>5</v>
      </c>
      <c r="R12059" t="s">
        <v>43184</v>
      </c>
      <c r="S12059" t="s">
        <v>43839</v>
      </c>
      <c r="T12059" t="s">
        <v>44681</v>
      </c>
      <c r="U12059" t="s">
        <v>46906</v>
      </c>
      <c r="W12059" t="s">
        <v>40183</v>
      </c>
      <c r="X12059" t="s">
        <v>43192</v>
      </c>
    </row>
    <row r="12060" spans="1:24">
      <c r="A12060">
        <f>HYPERLINK("https://www.philgeps.gov.ph/GEPSNONPILOT/Tender/SplashBidNoticeAbstractUI.aspx?menuIndex=3&amp;refID=7050623&amp;Result=3","7050623")</f>
        <v>0</v>
      </c>
      <c r="B12060" t="s">
        <v>784</v>
      </c>
      <c r="C12060" t="s">
        <v>14938</v>
      </c>
      <c r="E12060" t="s">
        <v>27834</v>
      </c>
      <c r="F12060" t="s">
        <v>30052</v>
      </c>
      <c r="G12060" t="s">
        <v>30058</v>
      </c>
      <c r="H12060" t="s">
        <v>30067</v>
      </c>
      <c r="I12060" t="s">
        <v>3693</v>
      </c>
      <c r="J12060" t="s">
        <v>37553</v>
      </c>
      <c r="K12060" t="s">
        <v>39025</v>
      </c>
      <c r="M12060" t="s">
        <v>40101</v>
      </c>
      <c r="N12060" t="s">
        <v>43166</v>
      </c>
      <c r="O12060" t="s">
        <v>43167</v>
      </c>
      <c r="P12060">
        <v>0</v>
      </c>
      <c r="Q12060">
        <v>11</v>
      </c>
      <c r="R12060" t="s">
        <v>43184</v>
      </c>
      <c r="S12060" t="s">
        <v>43839</v>
      </c>
      <c r="T12060" t="s">
        <v>44699</v>
      </c>
      <c r="U12060" t="s">
        <v>54829</v>
      </c>
      <c r="V12060" t="s">
        <v>58156</v>
      </c>
      <c r="W12060" t="s">
        <v>40101</v>
      </c>
      <c r="X12060" t="s">
        <v>43187</v>
      </c>
    </row>
    <row r="12061" spans="1:24">
      <c r="A12061">
        <f>HYPERLINK("https://www.philgeps.gov.ph/GEPSNONPILOT/Tender/SplashBidNoticeAbstractUI.aspx?menuIndex=3&amp;refID=7028139&amp;Result=3","7028139")</f>
        <v>0</v>
      </c>
      <c r="B12061" t="s">
        <v>3210</v>
      </c>
      <c r="C12061" t="s">
        <v>14939</v>
      </c>
      <c r="D12061" t="s">
        <v>17458</v>
      </c>
      <c r="E12061" t="s">
        <v>18065</v>
      </c>
      <c r="F12061" t="s">
        <v>30055</v>
      </c>
      <c r="G12061" t="s">
        <v>30058</v>
      </c>
      <c r="H12061" t="s">
        <v>30067</v>
      </c>
      <c r="I12061" t="s">
        <v>3693</v>
      </c>
      <c r="J12061" t="s">
        <v>30235</v>
      </c>
      <c r="K12061" t="s">
        <v>39034</v>
      </c>
      <c r="M12061" t="s">
        <v>42831</v>
      </c>
      <c r="N12061" t="s">
        <v>43166</v>
      </c>
      <c r="O12061" t="s">
        <v>43167</v>
      </c>
      <c r="P12061">
        <v>0</v>
      </c>
      <c r="Q12061">
        <v>0</v>
      </c>
      <c r="R12061" t="s">
        <v>43184</v>
      </c>
      <c r="S12061" t="s">
        <v>43839</v>
      </c>
      <c r="T12061" t="s">
        <v>44699</v>
      </c>
      <c r="U12061" t="s">
        <v>54830</v>
      </c>
      <c r="W12061" t="s">
        <v>42831</v>
      </c>
      <c r="X12061" t="s">
        <v>43198</v>
      </c>
    </row>
    <row r="12062" spans="1:24">
      <c r="A12062">
        <f>HYPERLINK("https://www.philgeps.gov.ph/GEPSNONPILOT/Tender/SplashBidNoticeAbstractUI.aspx?menuIndex=3&amp;refID=7045175&amp;Result=3","7045175")</f>
        <v>0</v>
      </c>
      <c r="B12062" t="s">
        <v>3211</v>
      </c>
      <c r="C12062" t="s">
        <v>14940</v>
      </c>
      <c r="D12062" t="s">
        <v>17459</v>
      </c>
      <c r="E12062" t="s">
        <v>27835</v>
      </c>
      <c r="F12062" t="s">
        <v>30052</v>
      </c>
      <c r="G12062" t="s">
        <v>30058</v>
      </c>
      <c r="H12062" t="s">
        <v>15498</v>
      </c>
      <c r="I12062" t="s">
        <v>30070</v>
      </c>
      <c r="J12062" t="s">
        <v>37554</v>
      </c>
      <c r="K12062" t="s">
        <v>39025</v>
      </c>
      <c r="M12062" t="s">
        <v>42832</v>
      </c>
      <c r="N12062" t="s">
        <v>43166</v>
      </c>
      <c r="O12062" t="s">
        <v>43167</v>
      </c>
      <c r="Q12062">
        <v>5</v>
      </c>
      <c r="R12062" t="s">
        <v>43184</v>
      </c>
      <c r="S12062" t="s">
        <v>43841</v>
      </c>
      <c r="T12062" t="s">
        <v>44699</v>
      </c>
      <c r="U12062" t="s">
        <v>54831</v>
      </c>
      <c r="W12062" t="s">
        <v>42832</v>
      </c>
      <c r="X12062" t="s">
        <v>43189</v>
      </c>
    </row>
    <row r="12063" spans="1:24">
      <c r="A12063">
        <f>HYPERLINK("https://www.philgeps.gov.ph/GEPSNONPILOT/Tender/SplashBidNoticeAbstractUI.aspx?menuIndex=3&amp;refID=6960529-2&amp;Result=3","6960529-2")</f>
        <v>0</v>
      </c>
      <c r="B12063" t="s">
        <v>917</v>
      </c>
      <c r="C12063" t="s">
        <v>14941</v>
      </c>
      <c r="E12063" t="s">
        <v>27836</v>
      </c>
      <c r="F12063" t="s">
        <v>30052</v>
      </c>
      <c r="G12063" t="s">
        <v>30063</v>
      </c>
      <c r="H12063" t="s">
        <v>30068</v>
      </c>
      <c r="I12063" t="s">
        <v>30068</v>
      </c>
      <c r="J12063" t="s">
        <v>37555</v>
      </c>
      <c r="K12063" t="s">
        <v>39025</v>
      </c>
      <c r="M12063" t="s">
        <v>42833</v>
      </c>
      <c r="N12063" t="s">
        <v>43166</v>
      </c>
      <c r="O12063" t="s">
        <v>43167</v>
      </c>
      <c r="P12063">
        <v>0</v>
      </c>
      <c r="Q12063">
        <v>3</v>
      </c>
      <c r="R12063" t="s">
        <v>43184</v>
      </c>
      <c r="S12063" t="s">
        <v>43839</v>
      </c>
      <c r="T12063" t="s">
        <v>44780</v>
      </c>
      <c r="U12063" t="s">
        <v>54832</v>
      </c>
      <c r="V12063" t="s">
        <v>58157</v>
      </c>
      <c r="W12063" t="s">
        <v>42833</v>
      </c>
      <c r="X12063" t="s">
        <v>43185</v>
      </c>
    </row>
    <row r="12064" spans="1:24">
      <c r="A12064">
        <f>HYPERLINK("https://www.philgeps.gov.ph/GEPSNONPILOT/Tender/SplashBidNoticeAbstractUI.aspx?menuIndex=3&amp;refID=7028516&amp;Result=3","7028516")</f>
        <v>0</v>
      </c>
      <c r="B12064" t="s">
        <v>3210</v>
      </c>
      <c r="C12064" t="s">
        <v>14942</v>
      </c>
      <c r="D12064" t="s">
        <v>17458</v>
      </c>
      <c r="E12064" t="s">
        <v>27837</v>
      </c>
      <c r="F12064" t="s">
        <v>30055</v>
      </c>
      <c r="G12064" t="s">
        <v>30058</v>
      </c>
      <c r="H12064" t="s">
        <v>30067</v>
      </c>
      <c r="I12064" t="s">
        <v>3693</v>
      </c>
      <c r="J12064" t="s">
        <v>30222</v>
      </c>
      <c r="K12064" t="s">
        <v>39034</v>
      </c>
      <c r="M12064" t="s">
        <v>42831</v>
      </c>
      <c r="N12064" t="s">
        <v>43166</v>
      </c>
      <c r="O12064" t="s">
        <v>43167</v>
      </c>
      <c r="P12064">
        <v>0</v>
      </c>
      <c r="Q12064">
        <v>0</v>
      </c>
      <c r="R12064" t="s">
        <v>43184</v>
      </c>
      <c r="S12064" t="s">
        <v>43839</v>
      </c>
      <c r="T12064" t="s">
        <v>44699</v>
      </c>
      <c r="U12064" t="s">
        <v>54830</v>
      </c>
      <c r="W12064" t="s">
        <v>42831</v>
      </c>
      <c r="X12064" t="s">
        <v>43198</v>
      </c>
    </row>
    <row r="12065" spans="1:24">
      <c r="A12065">
        <f>HYPERLINK("https://www.philgeps.gov.ph/GEPSNONPILOT/Tender/SplashBidNoticeAbstractUI.aspx?menuIndex=3&amp;refID=6927623-2&amp;Result=3","6927623-2")</f>
        <v>0</v>
      </c>
      <c r="B12065" t="s">
        <v>826</v>
      </c>
      <c r="C12065" t="s">
        <v>14943</v>
      </c>
      <c r="D12065" t="s">
        <v>17415</v>
      </c>
      <c r="E12065" t="s">
        <v>27838</v>
      </c>
      <c r="F12065" t="s">
        <v>30052</v>
      </c>
      <c r="G12065" t="s">
        <v>30058</v>
      </c>
      <c r="H12065" t="s">
        <v>30068</v>
      </c>
      <c r="I12065" t="s">
        <v>30068</v>
      </c>
      <c r="J12065" t="s">
        <v>32885</v>
      </c>
      <c r="K12065" t="s">
        <v>39048</v>
      </c>
      <c r="M12065" t="s">
        <v>42834</v>
      </c>
      <c r="N12065" t="s">
        <v>43166</v>
      </c>
      <c r="O12065" t="s">
        <v>43167</v>
      </c>
      <c r="P12065">
        <v>0</v>
      </c>
      <c r="Q12065">
        <v>0</v>
      </c>
      <c r="R12065" t="s">
        <v>43184</v>
      </c>
      <c r="S12065" t="s">
        <v>43839</v>
      </c>
      <c r="T12065" t="s">
        <v>44841</v>
      </c>
      <c r="U12065" t="s">
        <v>54833</v>
      </c>
      <c r="V12065" t="s">
        <v>58158</v>
      </c>
      <c r="W12065" t="s">
        <v>42834</v>
      </c>
      <c r="X12065" t="s">
        <v>43185</v>
      </c>
    </row>
    <row r="12066" spans="1:24">
      <c r="A12066">
        <f>HYPERLINK("https://www.philgeps.gov.ph/GEPSNONPILOT/Tender/SplashBidNoticeAbstractUI.aspx?menuIndex=3&amp;refID=7058492&amp;Result=3","7058492")</f>
        <v>0</v>
      </c>
      <c r="B12066" t="s">
        <v>3212</v>
      </c>
      <c r="C12066" t="s">
        <v>14944</v>
      </c>
      <c r="D12066" t="s">
        <v>17494</v>
      </c>
      <c r="E12066" t="s">
        <v>27839</v>
      </c>
      <c r="F12066" t="s">
        <v>30052</v>
      </c>
      <c r="G12066" t="s">
        <v>30058</v>
      </c>
      <c r="H12066" t="s">
        <v>15498</v>
      </c>
      <c r="I12066" t="s">
        <v>30074</v>
      </c>
      <c r="J12066" t="s">
        <v>30683</v>
      </c>
      <c r="K12066" t="s">
        <v>39023</v>
      </c>
      <c r="M12066" t="s">
        <v>42835</v>
      </c>
      <c r="N12066" t="s">
        <v>43166</v>
      </c>
      <c r="O12066" t="s">
        <v>43167</v>
      </c>
      <c r="P12066">
        <v>0</v>
      </c>
      <c r="Q12066">
        <v>5</v>
      </c>
      <c r="R12066" t="s">
        <v>43183</v>
      </c>
      <c r="S12066" t="s">
        <v>43828</v>
      </c>
      <c r="T12066" t="s">
        <v>44718</v>
      </c>
      <c r="U12066" t="s">
        <v>54834</v>
      </c>
      <c r="W12066" t="s">
        <v>42835</v>
      </c>
      <c r="X12066" t="s">
        <v>43184</v>
      </c>
    </row>
    <row r="12067" spans="1:24">
      <c r="A12067">
        <f>HYPERLINK("https://www.philgeps.gov.ph/GEPSNONPILOT/Tender/SplashBidNoticeAbstractUI.aspx?menuIndex=3&amp;refID=7058409&amp;Result=3","7058409")</f>
        <v>0</v>
      </c>
      <c r="B12067" t="s">
        <v>2454</v>
      </c>
      <c r="C12067" t="s">
        <v>14945</v>
      </c>
      <c r="D12067" t="s">
        <v>17486</v>
      </c>
      <c r="E12067" t="s">
        <v>27840</v>
      </c>
      <c r="F12067" t="s">
        <v>30052</v>
      </c>
      <c r="G12067" t="s">
        <v>30058</v>
      </c>
      <c r="H12067" t="s">
        <v>30067</v>
      </c>
      <c r="I12067" t="s">
        <v>3693</v>
      </c>
      <c r="J12067" t="s">
        <v>33105</v>
      </c>
      <c r="K12067" t="s">
        <v>39026</v>
      </c>
      <c r="M12067" t="s">
        <v>41953</v>
      </c>
      <c r="N12067" t="s">
        <v>43166</v>
      </c>
      <c r="O12067" t="s">
        <v>43167</v>
      </c>
      <c r="P12067">
        <v>0</v>
      </c>
      <c r="Q12067">
        <v>1</v>
      </c>
      <c r="R12067" t="s">
        <v>43183</v>
      </c>
      <c r="S12067" t="s">
        <v>43828</v>
      </c>
      <c r="T12067" t="s">
        <v>44698</v>
      </c>
      <c r="U12067" t="s">
        <v>51702</v>
      </c>
      <c r="W12067" t="s">
        <v>41953</v>
      </c>
      <c r="X12067" t="s">
        <v>43184</v>
      </c>
    </row>
    <row r="12068" spans="1:24">
      <c r="A12068">
        <f>HYPERLINK("https://www.philgeps.gov.ph/GEPSNONPILOT/Tender/SplashBidNoticeAbstractUI.aspx?menuIndex=3&amp;refID=7044274&amp;Result=3","7044274")</f>
        <v>0</v>
      </c>
      <c r="B12068" t="s">
        <v>3213</v>
      </c>
      <c r="C12068" t="s">
        <v>14946</v>
      </c>
      <c r="D12068" t="s">
        <v>17476</v>
      </c>
      <c r="E12068" t="s">
        <v>27841</v>
      </c>
      <c r="F12068" t="s">
        <v>30052</v>
      </c>
      <c r="G12068" t="s">
        <v>30058</v>
      </c>
      <c r="H12068" t="s">
        <v>30067</v>
      </c>
      <c r="I12068" t="s">
        <v>3693</v>
      </c>
      <c r="J12068" t="s">
        <v>37556</v>
      </c>
      <c r="K12068" t="s">
        <v>39023</v>
      </c>
      <c r="M12068" t="s">
        <v>42836</v>
      </c>
      <c r="N12068" t="s">
        <v>43166</v>
      </c>
      <c r="O12068" t="s">
        <v>43167</v>
      </c>
      <c r="P12068">
        <v>0</v>
      </c>
      <c r="Q12068">
        <v>1</v>
      </c>
      <c r="R12068" t="s">
        <v>43184</v>
      </c>
      <c r="S12068" t="s">
        <v>43839</v>
      </c>
      <c r="T12068" t="s">
        <v>44777</v>
      </c>
      <c r="U12068" t="s">
        <v>54835</v>
      </c>
      <c r="W12068" t="s">
        <v>42836</v>
      </c>
      <c r="X12068" t="s">
        <v>43285</v>
      </c>
    </row>
    <row r="12069" spans="1:24">
      <c r="A12069">
        <f>HYPERLINK("https://www.philgeps.gov.ph/GEPSNONPILOT/Tender/SplashBidNoticeAbstractUI.aspx?menuIndex=3&amp;refID=7058393&amp;Result=3","7058393")</f>
        <v>0</v>
      </c>
      <c r="B12069" t="s">
        <v>2454</v>
      </c>
      <c r="C12069" t="s">
        <v>14947</v>
      </c>
      <c r="D12069" t="s">
        <v>17486</v>
      </c>
      <c r="E12069" t="s">
        <v>27842</v>
      </c>
      <c r="F12069" t="s">
        <v>30052</v>
      </c>
      <c r="G12069" t="s">
        <v>30058</v>
      </c>
      <c r="H12069" t="s">
        <v>30067</v>
      </c>
      <c r="I12069" t="s">
        <v>3693</v>
      </c>
      <c r="J12069" t="s">
        <v>30645</v>
      </c>
      <c r="K12069" t="s">
        <v>39031</v>
      </c>
      <c r="M12069" t="s">
        <v>41953</v>
      </c>
      <c r="N12069" t="s">
        <v>43166</v>
      </c>
      <c r="O12069" t="s">
        <v>43167</v>
      </c>
      <c r="P12069">
        <v>0</v>
      </c>
      <c r="Q12069">
        <v>1</v>
      </c>
      <c r="R12069" t="s">
        <v>43183</v>
      </c>
      <c r="S12069" t="s">
        <v>43828</v>
      </c>
      <c r="T12069" t="s">
        <v>44698</v>
      </c>
      <c r="U12069" t="s">
        <v>54836</v>
      </c>
      <c r="W12069" t="s">
        <v>41953</v>
      </c>
      <c r="X12069" t="s">
        <v>43184</v>
      </c>
    </row>
    <row r="12070" spans="1:24">
      <c r="A12070">
        <f>HYPERLINK("https://www.philgeps.gov.ph/GEPSNONPILOT/Tender/SplashBidNoticeAbstractUI.aspx?menuIndex=3&amp;refID=7013697-2&amp;Result=3","7013697-2")</f>
        <v>0</v>
      </c>
      <c r="B12070" t="s">
        <v>1790</v>
      </c>
      <c r="C12070" t="s">
        <v>14948</v>
      </c>
      <c r="D12070" t="s">
        <v>17431</v>
      </c>
      <c r="E12070" t="s">
        <v>27843</v>
      </c>
      <c r="F12070" t="s">
        <v>30052</v>
      </c>
      <c r="G12070" t="s">
        <v>30058</v>
      </c>
      <c r="H12070" t="s">
        <v>30068</v>
      </c>
      <c r="I12070" t="s">
        <v>30191</v>
      </c>
      <c r="J12070" t="s">
        <v>37557</v>
      </c>
      <c r="K12070" t="s">
        <v>39058</v>
      </c>
      <c r="M12070" t="s">
        <v>41212</v>
      </c>
      <c r="N12070" t="s">
        <v>43166</v>
      </c>
      <c r="O12070" t="s">
        <v>43167</v>
      </c>
      <c r="P12070">
        <v>0</v>
      </c>
      <c r="Q12070">
        <v>1</v>
      </c>
      <c r="R12070" t="s">
        <v>43184</v>
      </c>
      <c r="S12070" t="s">
        <v>43839</v>
      </c>
      <c r="T12070" t="s">
        <v>44699</v>
      </c>
      <c r="U12070" t="s">
        <v>54837</v>
      </c>
      <c r="V12070" t="s">
        <v>58159</v>
      </c>
      <c r="W12070" t="s">
        <v>41212</v>
      </c>
      <c r="X12070" t="s">
        <v>43185</v>
      </c>
    </row>
    <row r="12071" spans="1:24">
      <c r="A12071">
        <f>HYPERLINK("https://www.philgeps.gov.ph/GEPSNONPILOT/Tender/SplashBidNoticeAbstractUI.aspx?menuIndex=3&amp;refID=7058472&amp;Result=3","7058472")</f>
        <v>0</v>
      </c>
      <c r="B12071" t="s">
        <v>221</v>
      </c>
      <c r="C12071" t="s">
        <v>14949</v>
      </c>
      <c r="E12071" t="s">
        <v>27844</v>
      </c>
      <c r="F12071" t="s">
        <v>30052</v>
      </c>
      <c r="G12071" t="s">
        <v>30058</v>
      </c>
      <c r="H12071" t="s">
        <v>15498</v>
      </c>
      <c r="I12071" t="s">
        <v>3852</v>
      </c>
      <c r="J12071" t="s">
        <v>37558</v>
      </c>
      <c r="K12071" t="s">
        <v>39025</v>
      </c>
      <c r="M12071" t="s">
        <v>39511</v>
      </c>
      <c r="N12071" t="s">
        <v>43166</v>
      </c>
      <c r="O12071" t="s">
        <v>43167</v>
      </c>
      <c r="P12071">
        <v>0</v>
      </c>
      <c r="Q12071">
        <v>6</v>
      </c>
      <c r="R12071" t="s">
        <v>43183</v>
      </c>
      <c r="S12071" t="s">
        <v>43828</v>
      </c>
      <c r="T12071" t="s">
        <v>44750</v>
      </c>
      <c r="U12071" t="s">
        <v>54838</v>
      </c>
      <c r="V12071" t="s">
        <v>58160</v>
      </c>
      <c r="W12071" t="s">
        <v>39511</v>
      </c>
      <c r="X12071" t="s">
        <v>43184</v>
      </c>
    </row>
    <row r="12072" spans="1:24">
      <c r="A12072">
        <f>HYPERLINK("https://www.philgeps.gov.ph/GEPSNONPILOT/Tender/SplashBidNoticeAbstractUI.aspx?menuIndex=3&amp;refID=7058478&amp;Result=3","7058478")</f>
        <v>0</v>
      </c>
      <c r="B12072" t="s">
        <v>221</v>
      </c>
      <c r="C12072" t="s">
        <v>14950</v>
      </c>
      <c r="E12072" t="s">
        <v>27845</v>
      </c>
      <c r="F12072" t="s">
        <v>30052</v>
      </c>
      <c r="G12072" t="s">
        <v>30058</v>
      </c>
      <c r="H12072" t="s">
        <v>15498</v>
      </c>
      <c r="I12072" t="s">
        <v>30100</v>
      </c>
      <c r="J12072" t="s">
        <v>37559</v>
      </c>
      <c r="K12072" t="s">
        <v>39025</v>
      </c>
      <c r="M12072" t="s">
        <v>39511</v>
      </c>
      <c r="N12072" t="s">
        <v>43166</v>
      </c>
      <c r="O12072" t="s">
        <v>43167</v>
      </c>
      <c r="P12072">
        <v>0</v>
      </c>
      <c r="Q12072">
        <v>3</v>
      </c>
      <c r="R12072" t="s">
        <v>43183</v>
      </c>
      <c r="S12072" t="s">
        <v>43828</v>
      </c>
      <c r="T12072" t="s">
        <v>44750</v>
      </c>
      <c r="U12072" t="s">
        <v>54839</v>
      </c>
      <c r="V12072" t="s">
        <v>58161</v>
      </c>
      <c r="W12072" t="s">
        <v>39511</v>
      </c>
      <c r="X12072" t="s">
        <v>43184</v>
      </c>
    </row>
    <row r="12073" spans="1:24">
      <c r="A12073">
        <f>HYPERLINK("https://www.philgeps.gov.ph/GEPSNONPILOT/Tender/SplashBidNoticeAbstractUI.aspx?menuIndex=3&amp;refID=7058465&amp;Result=3","7058465")</f>
        <v>0</v>
      </c>
      <c r="B12073" t="s">
        <v>221</v>
      </c>
      <c r="C12073" t="s">
        <v>14951</v>
      </c>
      <c r="E12073" t="s">
        <v>27846</v>
      </c>
      <c r="F12073" t="s">
        <v>30052</v>
      </c>
      <c r="G12073" t="s">
        <v>30058</v>
      </c>
      <c r="H12073" t="s">
        <v>30067</v>
      </c>
      <c r="I12073" t="s">
        <v>3693</v>
      </c>
      <c r="J12073" t="s">
        <v>37560</v>
      </c>
      <c r="K12073" t="s">
        <v>39025</v>
      </c>
      <c r="M12073" t="s">
        <v>39511</v>
      </c>
      <c r="N12073" t="s">
        <v>43166</v>
      </c>
      <c r="O12073" t="s">
        <v>43167</v>
      </c>
      <c r="P12073">
        <v>0</v>
      </c>
      <c r="Q12073">
        <v>5</v>
      </c>
      <c r="R12073" t="s">
        <v>43183</v>
      </c>
      <c r="S12073" t="s">
        <v>43828</v>
      </c>
      <c r="T12073" t="s">
        <v>44750</v>
      </c>
      <c r="U12073" t="s">
        <v>54840</v>
      </c>
      <c r="V12073" t="s">
        <v>58162</v>
      </c>
      <c r="W12073" t="s">
        <v>39511</v>
      </c>
      <c r="X12073" t="s">
        <v>43184</v>
      </c>
    </row>
    <row r="12074" spans="1:24">
      <c r="A12074">
        <f>HYPERLINK("https://www.philgeps.gov.ph/GEPSNONPILOT/Tender/SplashBidNoticeAbstractUI.aspx?menuIndex=3&amp;refID=7053491&amp;Result=3","7053491")</f>
        <v>0</v>
      </c>
      <c r="B12074" t="s">
        <v>945</v>
      </c>
      <c r="C12074" t="s">
        <v>14952</v>
      </c>
      <c r="D12074" t="s">
        <v>17443</v>
      </c>
      <c r="E12074" t="s">
        <v>27847</v>
      </c>
      <c r="F12074" t="s">
        <v>30052</v>
      </c>
      <c r="G12074" t="s">
        <v>30058</v>
      </c>
      <c r="H12074" t="s">
        <v>15498</v>
      </c>
      <c r="I12074" t="s">
        <v>30070</v>
      </c>
      <c r="J12074" t="s">
        <v>30941</v>
      </c>
      <c r="K12074" t="s">
        <v>39034</v>
      </c>
      <c r="M12074" t="s">
        <v>40269</v>
      </c>
      <c r="N12074" t="s">
        <v>43166</v>
      </c>
      <c r="O12074" t="s">
        <v>43167</v>
      </c>
      <c r="P12074">
        <v>0</v>
      </c>
      <c r="Q12074">
        <v>3</v>
      </c>
      <c r="R12074" t="s">
        <v>43184</v>
      </c>
      <c r="S12074" t="s">
        <v>43839</v>
      </c>
      <c r="T12074" t="s">
        <v>44733</v>
      </c>
      <c r="U12074" t="s">
        <v>54841</v>
      </c>
      <c r="W12074" t="s">
        <v>40269</v>
      </c>
      <c r="X12074" t="s">
        <v>43186</v>
      </c>
    </row>
    <row r="12075" spans="1:24">
      <c r="A12075">
        <f>HYPERLINK("https://www.philgeps.gov.ph/GEPSNONPILOT/Tender/SplashBidNoticeAbstractUI.aspx?menuIndex=3&amp;refID=7055428&amp;Result=3","7055428")</f>
        <v>0</v>
      </c>
      <c r="B12075" t="s">
        <v>3214</v>
      </c>
      <c r="C12075" t="s">
        <v>14953</v>
      </c>
      <c r="E12075" t="s">
        <v>27848</v>
      </c>
      <c r="F12075" t="s">
        <v>30052</v>
      </c>
      <c r="G12075" t="s">
        <v>30058</v>
      </c>
      <c r="H12075" t="s">
        <v>15498</v>
      </c>
      <c r="I12075" t="s">
        <v>3852</v>
      </c>
      <c r="J12075" t="s">
        <v>37561</v>
      </c>
      <c r="K12075" t="s">
        <v>39023</v>
      </c>
      <c r="M12075" t="s">
        <v>42837</v>
      </c>
      <c r="N12075" t="s">
        <v>43166</v>
      </c>
      <c r="O12075" t="s">
        <v>43167</v>
      </c>
      <c r="P12075">
        <v>0</v>
      </c>
      <c r="Q12075">
        <v>3</v>
      </c>
      <c r="R12075" t="s">
        <v>43184</v>
      </c>
      <c r="S12075" t="s">
        <v>43839</v>
      </c>
      <c r="T12075" t="s">
        <v>44681</v>
      </c>
      <c r="U12075" t="s">
        <v>54842</v>
      </c>
      <c r="W12075" t="s">
        <v>42837</v>
      </c>
      <c r="X12075" t="s">
        <v>43186</v>
      </c>
    </row>
    <row r="12076" spans="1:24">
      <c r="A12076">
        <f>HYPERLINK("https://www.philgeps.gov.ph/GEPSNONPILOT/Tender/SplashBidNoticeAbstractUI.aspx?menuIndex=3&amp;refID=7028208&amp;Result=3","7028208")</f>
        <v>0</v>
      </c>
      <c r="B12076" t="s">
        <v>3210</v>
      </c>
      <c r="C12076" t="s">
        <v>14954</v>
      </c>
      <c r="D12076" t="s">
        <v>17458</v>
      </c>
      <c r="E12076" t="s">
        <v>27849</v>
      </c>
      <c r="F12076" t="s">
        <v>30055</v>
      </c>
      <c r="G12076" t="s">
        <v>30058</v>
      </c>
      <c r="H12076" t="s">
        <v>30067</v>
      </c>
      <c r="I12076" t="s">
        <v>3693</v>
      </c>
      <c r="J12076" t="s">
        <v>37562</v>
      </c>
      <c r="K12076" t="s">
        <v>39034</v>
      </c>
      <c r="M12076" t="s">
        <v>42831</v>
      </c>
      <c r="N12076" t="s">
        <v>43166</v>
      </c>
      <c r="O12076" t="s">
        <v>43167</v>
      </c>
      <c r="P12076">
        <v>0</v>
      </c>
      <c r="Q12076">
        <v>0</v>
      </c>
      <c r="R12076" t="s">
        <v>43184</v>
      </c>
      <c r="S12076" t="s">
        <v>43839</v>
      </c>
      <c r="T12076" t="s">
        <v>44699</v>
      </c>
      <c r="U12076" t="s">
        <v>54843</v>
      </c>
      <c r="W12076" t="s">
        <v>42831</v>
      </c>
      <c r="X12076" t="s">
        <v>43198</v>
      </c>
    </row>
    <row r="12077" spans="1:24">
      <c r="A12077">
        <f>HYPERLINK("https://www.philgeps.gov.ph/GEPSNONPILOT/Tender/SplashBidNoticeAbstractUI.aspx?menuIndex=3&amp;refID=7054947&amp;Result=3","7054947")</f>
        <v>0</v>
      </c>
      <c r="B12077" t="s">
        <v>2452</v>
      </c>
      <c r="C12077" t="s">
        <v>14955</v>
      </c>
      <c r="D12077" t="s">
        <v>17459</v>
      </c>
      <c r="E12077" t="s">
        <v>27850</v>
      </c>
      <c r="F12077" t="s">
        <v>30052</v>
      </c>
      <c r="G12077" t="s">
        <v>30058</v>
      </c>
      <c r="H12077" t="s">
        <v>15498</v>
      </c>
      <c r="I12077" t="s">
        <v>30129</v>
      </c>
      <c r="J12077" t="s">
        <v>37563</v>
      </c>
      <c r="K12077" t="s">
        <v>39019</v>
      </c>
      <c r="M12077" t="s">
        <v>42377</v>
      </c>
      <c r="N12077" t="s">
        <v>43166</v>
      </c>
      <c r="O12077" t="s">
        <v>43167</v>
      </c>
      <c r="P12077">
        <v>0</v>
      </c>
      <c r="Q12077">
        <v>5</v>
      </c>
      <c r="R12077" t="s">
        <v>43184</v>
      </c>
      <c r="S12077" t="s">
        <v>43839</v>
      </c>
      <c r="T12077" t="s">
        <v>44719</v>
      </c>
      <c r="U12077" t="s">
        <v>52986</v>
      </c>
      <c r="W12077" t="s">
        <v>42377</v>
      </c>
      <c r="X12077" t="s">
        <v>43186</v>
      </c>
    </row>
    <row r="12078" spans="1:24">
      <c r="A12078">
        <f>HYPERLINK("https://www.philgeps.gov.ph/GEPSNONPILOT/Tender/SplashBidNoticeAbstractUI.aspx?menuIndex=3&amp;refID=7058387&amp;Result=3","7058387")</f>
        <v>0</v>
      </c>
      <c r="B12078" t="s">
        <v>2454</v>
      </c>
      <c r="C12078" t="s">
        <v>14956</v>
      </c>
      <c r="D12078" t="s">
        <v>17486</v>
      </c>
      <c r="E12078" t="s">
        <v>27851</v>
      </c>
      <c r="F12078" t="s">
        <v>30052</v>
      </c>
      <c r="G12078" t="s">
        <v>30058</v>
      </c>
      <c r="H12078" t="s">
        <v>30067</v>
      </c>
      <c r="I12078" t="s">
        <v>3693</v>
      </c>
      <c r="J12078" t="s">
        <v>31185</v>
      </c>
      <c r="K12078" t="s">
        <v>39026</v>
      </c>
      <c r="M12078" t="s">
        <v>41953</v>
      </c>
      <c r="N12078" t="s">
        <v>43166</v>
      </c>
      <c r="O12078" t="s">
        <v>43167</v>
      </c>
      <c r="P12078">
        <v>0</v>
      </c>
      <c r="Q12078">
        <v>2</v>
      </c>
      <c r="R12078" t="s">
        <v>43183</v>
      </c>
      <c r="S12078" t="s">
        <v>43828</v>
      </c>
      <c r="T12078" t="s">
        <v>44698</v>
      </c>
      <c r="U12078" t="s">
        <v>51702</v>
      </c>
      <c r="W12078" t="s">
        <v>41953</v>
      </c>
      <c r="X12078" t="s">
        <v>43184</v>
      </c>
    </row>
    <row r="12079" spans="1:24">
      <c r="A12079">
        <f>HYPERLINK("https://www.philgeps.gov.ph/GEPSNONPILOT/Tender/SplashBidNoticeAbstractUI.aspx?menuIndex=3&amp;refID=7050349&amp;Result=3","7050349")</f>
        <v>0</v>
      </c>
      <c r="B12079" t="s">
        <v>3209</v>
      </c>
      <c r="C12079" t="s">
        <v>14957</v>
      </c>
      <c r="D12079" t="s">
        <v>17464</v>
      </c>
      <c r="E12079" t="s">
        <v>27852</v>
      </c>
      <c r="F12079" t="s">
        <v>30052</v>
      </c>
      <c r="G12079" t="s">
        <v>30058</v>
      </c>
      <c r="H12079" t="s">
        <v>30067</v>
      </c>
      <c r="I12079" t="s">
        <v>3693</v>
      </c>
      <c r="J12079" t="s">
        <v>30321</v>
      </c>
      <c r="K12079" t="s">
        <v>39025</v>
      </c>
      <c r="M12079" t="s">
        <v>42829</v>
      </c>
      <c r="N12079" t="s">
        <v>43166</v>
      </c>
      <c r="O12079" t="s">
        <v>43167</v>
      </c>
      <c r="P12079">
        <v>0</v>
      </c>
      <c r="Q12079">
        <v>1</v>
      </c>
      <c r="R12079" t="s">
        <v>43184</v>
      </c>
      <c r="S12079" t="s">
        <v>43839</v>
      </c>
      <c r="T12079" t="s">
        <v>44698</v>
      </c>
      <c r="U12079" t="s">
        <v>54844</v>
      </c>
      <c r="W12079" t="s">
        <v>42829</v>
      </c>
      <c r="X12079" t="s">
        <v>43187</v>
      </c>
    </row>
    <row r="12080" spans="1:24">
      <c r="A12080">
        <f>HYPERLINK("https://www.philgeps.gov.ph/GEPSNONPILOT/Tender/SplashBidNoticeAbstractUI.aspx?menuIndex=3&amp;refID=7054563&amp;Result=3","7054563")</f>
        <v>0</v>
      </c>
      <c r="B12080" t="s">
        <v>3215</v>
      </c>
      <c r="C12080" t="s">
        <v>14958</v>
      </c>
      <c r="E12080" t="s">
        <v>27853</v>
      </c>
      <c r="F12080" t="s">
        <v>30052</v>
      </c>
      <c r="G12080" t="s">
        <v>30058</v>
      </c>
      <c r="H12080" t="s">
        <v>15498</v>
      </c>
      <c r="I12080" t="s">
        <v>30130</v>
      </c>
      <c r="J12080" t="s">
        <v>33141</v>
      </c>
      <c r="K12080" t="s">
        <v>39025</v>
      </c>
      <c r="M12080" t="s">
        <v>42838</v>
      </c>
      <c r="N12080" t="s">
        <v>43166</v>
      </c>
      <c r="O12080" t="s">
        <v>43167</v>
      </c>
      <c r="Q12080">
        <v>21</v>
      </c>
      <c r="R12080" t="s">
        <v>43184</v>
      </c>
      <c r="S12080" t="s">
        <v>43842</v>
      </c>
      <c r="T12080" t="s">
        <v>44906</v>
      </c>
      <c r="U12080" t="s">
        <v>54845</v>
      </c>
      <c r="V12080" t="s">
        <v>58163</v>
      </c>
      <c r="W12080" t="s">
        <v>42838</v>
      </c>
      <c r="X12080" t="s">
        <v>43186</v>
      </c>
    </row>
    <row r="12081" spans="1:24">
      <c r="A12081">
        <f>HYPERLINK("https://www.philgeps.gov.ph/GEPSNONPILOT/Tender/SplashBidNoticeAbstractUI.aspx?menuIndex=3&amp;refID=7054771&amp;Result=3","7054771")</f>
        <v>0</v>
      </c>
      <c r="B12081" t="s">
        <v>1544</v>
      </c>
      <c r="C12081" t="s">
        <v>14959</v>
      </c>
      <c r="D12081" t="s">
        <v>17446</v>
      </c>
      <c r="E12081" t="s">
        <v>27854</v>
      </c>
      <c r="F12081" t="s">
        <v>30052</v>
      </c>
      <c r="G12081" t="s">
        <v>30058</v>
      </c>
      <c r="H12081" t="s">
        <v>30067</v>
      </c>
      <c r="I12081" t="s">
        <v>3693</v>
      </c>
      <c r="J12081" t="s">
        <v>37564</v>
      </c>
      <c r="K12081" t="s">
        <v>39116</v>
      </c>
      <c r="M12081" t="s">
        <v>40932</v>
      </c>
      <c r="N12081" t="s">
        <v>43166</v>
      </c>
      <c r="O12081" t="s">
        <v>43167</v>
      </c>
      <c r="P12081">
        <v>0</v>
      </c>
      <c r="Q12081">
        <v>0</v>
      </c>
      <c r="R12081" t="s">
        <v>43184</v>
      </c>
      <c r="S12081" t="s">
        <v>43839</v>
      </c>
      <c r="T12081" t="s">
        <v>44698</v>
      </c>
      <c r="U12081" t="s">
        <v>54846</v>
      </c>
      <c r="V12081" t="s">
        <v>58164</v>
      </c>
      <c r="W12081" t="s">
        <v>40932</v>
      </c>
      <c r="X12081" t="s">
        <v>43186</v>
      </c>
    </row>
    <row r="12082" spans="1:24">
      <c r="A12082">
        <f>HYPERLINK("https://www.philgeps.gov.ph/GEPSNONPILOT/Tender/SplashBidNoticeAbstractUI.aspx?menuIndex=3&amp;refID=7053275&amp;Result=3","7053275")</f>
        <v>0</v>
      </c>
      <c r="B12082" t="s">
        <v>1169</v>
      </c>
      <c r="C12082" t="s">
        <v>14960</v>
      </c>
      <c r="D12082" t="s">
        <v>17458</v>
      </c>
      <c r="E12082" t="s">
        <v>27855</v>
      </c>
      <c r="F12082" t="s">
        <v>30052</v>
      </c>
      <c r="G12082" t="s">
        <v>30058</v>
      </c>
      <c r="H12082" t="s">
        <v>30067</v>
      </c>
      <c r="I12082" t="s">
        <v>3693</v>
      </c>
      <c r="J12082" t="s">
        <v>37565</v>
      </c>
      <c r="K12082" t="s">
        <v>39092</v>
      </c>
      <c r="M12082" t="s">
        <v>40516</v>
      </c>
      <c r="N12082" t="s">
        <v>43166</v>
      </c>
      <c r="O12082" t="s">
        <v>43167</v>
      </c>
      <c r="P12082">
        <v>0</v>
      </c>
      <c r="Q12082">
        <v>6</v>
      </c>
      <c r="R12082" t="s">
        <v>43184</v>
      </c>
      <c r="S12082" t="s">
        <v>43839</v>
      </c>
      <c r="T12082" t="s">
        <v>44761</v>
      </c>
      <c r="U12082" t="s">
        <v>54847</v>
      </c>
      <c r="V12082" t="s">
        <v>58165</v>
      </c>
      <c r="W12082" t="s">
        <v>58625</v>
      </c>
      <c r="X12082" t="s">
        <v>43186</v>
      </c>
    </row>
    <row r="12083" spans="1:24">
      <c r="A12083">
        <f>HYPERLINK("https://www.philgeps.gov.ph/GEPSNONPILOT/Tender/SplashBidNoticeAbstractUI.aspx?menuIndex=3&amp;refID=7053152&amp;Result=3","7053152")</f>
        <v>0</v>
      </c>
      <c r="B12083" t="s">
        <v>1169</v>
      </c>
      <c r="C12083" t="s">
        <v>14961</v>
      </c>
      <c r="D12083" t="s">
        <v>17458</v>
      </c>
      <c r="E12083" t="s">
        <v>27856</v>
      </c>
      <c r="F12083" t="s">
        <v>30052</v>
      </c>
      <c r="G12083" t="s">
        <v>30058</v>
      </c>
      <c r="H12083" t="s">
        <v>30067</v>
      </c>
      <c r="I12083" t="s">
        <v>3693</v>
      </c>
      <c r="J12083" t="s">
        <v>37566</v>
      </c>
      <c r="K12083" t="s">
        <v>39119</v>
      </c>
      <c r="M12083" t="s">
        <v>40516</v>
      </c>
      <c r="N12083" t="s">
        <v>43166</v>
      </c>
      <c r="O12083" t="s">
        <v>43167</v>
      </c>
      <c r="P12083">
        <v>0</v>
      </c>
      <c r="Q12083">
        <v>5</v>
      </c>
      <c r="R12083" t="s">
        <v>43184</v>
      </c>
      <c r="S12083" t="s">
        <v>43839</v>
      </c>
      <c r="T12083" t="s">
        <v>44761</v>
      </c>
      <c r="U12083" t="s">
        <v>54848</v>
      </c>
      <c r="V12083" t="s">
        <v>58165</v>
      </c>
      <c r="W12083" t="s">
        <v>58625</v>
      </c>
      <c r="X12083" t="s">
        <v>43186</v>
      </c>
    </row>
    <row r="12084" spans="1:24">
      <c r="A12084">
        <f>HYPERLINK("https://www.philgeps.gov.ph/GEPSNONPILOT/Tender/SplashBidNoticeAbstractUI.aspx?menuIndex=3&amp;refID=7050785&amp;Result=3","7050785")</f>
        <v>0</v>
      </c>
      <c r="B12084" t="s">
        <v>784</v>
      </c>
      <c r="C12084" t="s">
        <v>14962</v>
      </c>
      <c r="E12084" t="s">
        <v>27857</v>
      </c>
      <c r="F12084" t="s">
        <v>30052</v>
      </c>
      <c r="G12084" t="s">
        <v>30058</v>
      </c>
      <c r="H12084" t="s">
        <v>30067</v>
      </c>
      <c r="I12084" t="s">
        <v>3693</v>
      </c>
      <c r="J12084" t="s">
        <v>37567</v>
      </c>
      <c r="K12084" t="s">
        <v>39025</v>
      </c>
      <c r="M12084" t="s">
        <v>40101</v>
      </c>
      <c r="N12084" t="s">
        <v>43166</v>
      </c>
      <c r="O12084" t="s">
        <v>43167</v>
      </c>
      <c r="P12084">
        <v>0</v>
      </c>
      <c r="Q12084">
        <v>5</v>
      </c>
      <c r="R12084" t="s">
        <v>43184</v>
      </c>
      <c r="S12084" t="s">
        <v>43839</v>
      </c>
      <c r="T12084" t="s">
        <v>44699</v>
      </c>
      <c r="U12084" t="s">
        <v>54849</v>
      </c>
      <c r="V12084" t="s">
        <v>58156</v>
      </c>
      <c r="W12084" t="s">
        <v>40101</v>
      </c>
      <c r="X12084" t="s">
        <v>43187</v>
      </c>
    </row>
    <row r="12085" spans="1:24">
      <c r="A12085">
        <f>HYPERLINK("https://www.philgeps.gov.ph/GEPSNONPILOT/Tender/SplashBidNoticeAbstractUI.aspx?menuIndex=3&amp;refID=7050781&amp;Result=3","7050781")</f>
        <v>0</v>
      </c>
      <c r="B12085" t="s">
        <v>784</v>
      </c>
      <c r="C12085" t="s">
        <v>14963</v>
      </c>
      <c r="E12085" t="s">
        <v>27858</v>
      </c>
      <c r="F12085" t="s">
        <v>30052</v>
      </c>
      <c r="G12085" t="s">
        <v>30058</v>
      </c>
      <c r="H12085" t="s">
        <v>30067</v>
      </c>
      <c r="I12085" t="s">
        <v>3693</v>
      </c>
      <c r="J12085" t="s">
        <v>37568</v>
      </c>
      <c r="K12085" t="s">
        <v>39025</v>
      </c>
      <c r="M12085" t="s">
        <v>40101</v>
      </c>
      <c r="N12085" t="s">
        <v>43166</v>
      </c>
      <c r="O12085" t="s">
        <v>43167</v>
      </c>
      <c r="P12085">
        <v>0</v>
      </c>
      <c r="Q12085">
        <v>5</v>
      </c>
      <c r="R12085" t="s">
        <v>43184</v>
      </c>
      <c r="S12085" t="s">
        <v>43839</v>
      </c>
      <c r="T12085" t="s">
        <v>44699</v>
      </c>
      <c r="U12085" t="s">
        <v>54850</v>
      </c>
      <c r="V12085" t="s">
        <v>58156</v>
      </c>
      <c r="W12085" t="s">
        <v>40101</v>
      </c>
      <c r="X12085" t="s">
        <v>43187</v>
      </c>
    </row>
    <row r="12086" spans="1:24">
      <c r="A12086">
        <f>HYPERLINK("https://www.philgeps.gov.ph/GEPSNONPILOT/Tender/SplashBidNoticeAbstractUI.aspx?menuIndex=3&amp;refID=7050776&amp;Result=3","7050776")</f>
        <v>0</v>
      </c>
      <c r="B12086" t="s">
        <v>784</v>
      </c>
      <c r="C12086" t="s">
        <v>14964</v>
      </c>
      <c r="E12086" t="s">
        <v>27859</v>
      </c>
      <c r="F12086" t="s">
        <v>30052</v>
      </c>
      <c r="G12086" t="s">
        <v>30058</v>
      </c>
      <c r="H12086" t="s">
        <v>30067</v>
      </c>
      <c r="I12086" t="s">
        <v>3693</v>
      </c>
      <c r="J12086" t="s">
        <v>37569</v>
      </c>
      <c r="K12086" t="s">
        <v>39025</v>
      </c>
      <c r="M12086" t="s">
        <v>40101</v>
      </c>
      <c r="N12086" t="s">
        <v>43166</v>
      </c>
      <c r="O12086" t="s">
        <v>43167</v>
      </c>
      <c r="P12086">
        <v>0</v>
      </c>
      <c r="Q12086">
        <v>5</v>
      </c>
      <c r="R12086" t="s">
        <v>43184</v>
      </c>
      <c r="S12086" t="s">
        <v>43839</v>
      </c>
      <c r="T12086" t="s">
        <v>44699</v>
      </c>
      <c r="U12086" t="s">
        <v>54851</v>
      </c>
      <c r="V12086" t="s">
        <v>58156</v>
      </c>
      <c r="W12086" t="s">
        <v>40101</v>
      </c>
      <c r="X12086" t="s">
        <v>43187</v>
      </c>
    </row>
    <row r="12087" spans="1:24">
      <c r="A12087">
        <f>HYPERLINK("https://www.philgeps.gov.ph/GEPSNONPILOT/Tender/SplashBidNoticeAbstractUI.aspx?menuIndex=3&amp;refID=7050773&amp;Result=3","7050773")</f>
        <v>0</v>
      </c>
      <c r="B12087" t="s">
        <v>784</v>
      </c>
      <c r="C12087" t="s">
        <v>14965</v>
      </c>
      <c r="E12087" t="s">
        <v>27860</v>
      </c>
      <c r="F12087" t="s">
        <v>30052</v>
      </c>
      <c r="G12087" t="s">
        <v>30058</v>
      </c>
      <c r="H12087" t="s">
        <v>30067</v>
      </c>
      <c r="I12087" t="s">
        <v>3693</v>
      </c>
      <c r="J12087" t="s">
        <v>37570</v>
      </c>
      <c r="K12087" t="s">
        <v>39025</v>
      </c>
      <c r="M12087" t="s">
        <v>40101</v>
      </c>
      <c r="N12087" t="s">
        <v>43166</v>
      </c>
      <c r="O12087" t="s">
        <v>43167</v>
      </c>
      <c r="P12087">
        <v>0</v>
      </c>
      <c r="Q12087">
        <v>6</v>
      </c>
      <c r="R12087" t="s">
        <v>43184</v>
      </c>
      <c r="S12087" t="s">
        <v>43839</v>
      </c>
      <c r="T12087" t="s">
        <v>44699</v>
      </c>
      <c r="U12087" t="s">
        <v>54852</v>
      </c>
      <c r="V12087" t="s">
        <v>58156</v>
      </c>
      <c r="W12087" t="s">
        <v>40101</v>
      </c>
      <c r="X12087" t="s">
        <v>43187</v>
      </c>
    </row>
    <row r="12088" spans="1:24">
      <c r="A12088">
        <f>HYPERLINK("https://www.philgeps.gov.ph/GEPSNONPILOT/Tender/SplashBidNoticeAbstractUI.aspx?menuIndex=3&amp;refID=7058377&amp;Result=3","7058377")</f>
        <v>0</v>
      </c>
      <c r="B12088" t="s">
        <v>3216</v>
      </c>
      <c r="C12088" t="s">
        <v>14966</v>
      </c>
      <c r="D12088" t="s">
        <v>17467</v>
      </c>
      <c r="E12088" t="s">
        <v>27861</v>
      </c>
      <c r="F12088" t="s">
        <v>30052</v>
      </c>
      <c r="G12088" t="s">
        <v>30058</v>
      </c>
      <c r="H12088" t="s">
        <v>30067</v>
      </c>
      <c r="I12088" t="s">
        <v>3693</v>
      </c>
      <c r="J12088" t="s">
        <v>37571</v>
      </c>
      <c r="K12088" t="s">
        <v>39019</v>
      </c>
      <c r="M12088" t="s">
        <v>42839</v>
      </c>
      <c r="N12088" t="s">
        <v>43166</v>
      </c>
      <c r="O12088" t="s">
        <v>43167</v>
      </c>
      <c r="P12088">
        <v>0</v>
      </c>
      <c r="Q12088">
        <v>0</v>
      </c>
      <c r="R12088" t="s">
        <v>43183</v>
      </c>
      <c r="S12088" t="s">
        <v>43828</v>
      </c>
      <c r="T12088" t="s">
        <v>44806</v>
      </c>
      <c r="U12088" t="s">
        <v>54853</v>
      </c>
      <c r="W12088" t="s">
        <v>42839</v>
      </c>
      <c r="X12088" t="s">
        <v>43184</v>
      </c>
    </row>
    <row r="12089" spans="1:24">
      <c r="A12089">
        <f>HYPERLINK("https://www.philgeps.gov.ph/GEPSNONPILOT/Tender/SplashBidNoticeAbstractUI.aspx?menuIndex=3&amp;refID=7054743&amp;Result=3","7054743")</f>
        <v>0</v>
      </c>
      <c r="B12089" t="s">
        <v>1544</v>
      </c>
      <c r="C12089" t="s">
        <v>14967</v>
      </c>
      <c r="D12089" t="s">
        <v>17446</v>
      </c>
      <c r="E12089" t="s">
        <v>27862</v>
      </c>
      <c r="F12089" t="s">
        <v>30052</v>
      </c>
      <c r="G12089" t="s">
        <v>30058</v>
      </c>
      <c r="H12089" t="s">
        <v>30067</v>
      </c>
      <c r="I12089" t="s">
        <v>3693</v>
      </c>
      <c r="J12089" t="s">
        <v>37572</v>
      </c>
      <c r="K12089" t="s">
        <v>39116</v>
      </c>
      <c r="M12089" t="s">
        <v>40932</v>
      </c>
      <c r="N12089" t="s">
        <v>43166</v>
      </c>
      <c r="O12089" t="s">
        <v>43167</v>
      </c>
      <c r="P12089">
        <v>0</v>
      </c>
      <c r="Q12089">
        <v>0</v>
      </c>
      <c r="R12089" t="s">
        <v>43184</v>
      </c>
      <c r="S12089" t="s">
        <v>43839</v>
      </c>
      <c r="T12089" t="s">
        <v>44698</v>
      </c>
      <c r="U12089" t="s">
        <v>54846</v>
      </c>
      <c r="V12089" t="s">
        <v>58166</v>
      </c>
      <c r="W12089" t="s">
        <v>40932</v>
      </c>
      <c r="X12089" t="s">
        <v>43186</v>
      </c>
    </row>
    <row r="12090" spans="1:24">
      <c r="A12090">
        <f>HYPERLINK("https://www.philgeps.gov.ph/GEPSNONPILOT/Tender/SplashBidNoticeAbstractUI.aspx?menuIndex=3&amp;refID=7053230&amp;Result=3","7053230")</f>
        <v>0</v>
      </c>
      <c r="B12090" t="s">
        <v>1169</v>
      </c>
      <c r="C12090" t="s">
        <v>14968</v>
      </c>
      <c r="D12090" t="s">
        <v>17458</v>
      </c>
      <c r="E12090" t="s">
        <v>27863</v>
      </c>
      <c r="F12090" t="s">
        <v>30052</v>
      </c>
      <c r="G12090" t="s">
        <v>30058</v>
      </c>
      <c r="H12090" t="s">
        <v>30067</v>
      </c>
      <c r="I12090" t="s">
        <v>3693</v>
      </c>
      <c r="J12090" t="s">
        <v>32287</v>
      </c>
      <c r="K12090" t="s">
        <v>39092</v>
      </c>
      <c r="M12090" t="s">
        <v>40516</v>
      </c>
      <c r="N12090" t="s">
        <v>43166</v>
      </c>
      <c r="O12090" t="s">
        <v>43167</v>
      </c>
      <c r="P12090">
        <v>0</v>
      </c>
      <c r="Q12090">
        <v>5</v>
      </c>
      <c r="R12090" t="s">
        <v>43184</v>
      </c>
      <c r="S12090" t="s">
        <v>43839</v>
      </c>
      <c r="T12090" t="s">
        <v>44761</v>
      </c>
      <c r="U12090" t="s">
        <v>54854</v>
      </c>
      <c r="V12090" t="s">
        <v>58165</v>
      </c>
      <c r="W12090" t="s">
        <v>58625</v>
      </c>
      <c r="X12090" t="s">
        <v>43186</v>
      </c>
    </row>
    <row r="12091" spans="1:24">
      <c r="A12091">
        <f>HYPERLINK("https://www.philgeps.gov.ph/GEPSNONPILOT/Tender/SplashBidNoticeAbstractUI.aspx?menuIndex=3&amp;refID=7055756&amp;Result=3","7055756")</f>
        <v>0</v>
      </c>
      <c r="B12091" t="s">
        <v>1104</v>
      </c>
      <c r="C12091" t="s">
        <v>14969</v>
      </c>
      <c r="D12091" t="s">
        <v>17449</v>
      </c>
      <c r="E12091" t="s">
        <v>27864</v>
      </c>
      <c r="F12091" t="s">
        <v>30052</v>
      </c>
      <c r="G12091" t="s">
        <v>30058</v>
      </c>
      <c r="H12091" t="s">
        <v>30067</v>
      </c>
      <c r="I12091" t="s">
        <v>3693</v>
      </c>
      <c r="J12091" t="s">
        <v>37573</v>
      </c>
      <c r="K12091" t="s">
        <v>39094</v>
      </c>
      <c r="M12091" t="s">
        <v>40443</v>
      </c>
      <c r="N12091" t="s">
        <v>43166</v>
      </c>
      <c r="O12091" t="s">
        <v>43167</v>
      </c>
      <c r="P12091">
        <v>0</v>
      </c>
      <c r="Q12091">
        <v>17</v>
      </c>
      <c r="R12091" t="s">
        <v>43184</v>
      </c>
      <c r="S12091" t="s">
        <v>43839</v>
      </c>
      <c r="T12091" t="s">
        <v>44698</v>
      </c>
      <c r="U12091" t="s">
        <v>47517</v>
      </c>
      <c r="W12091" t="s">
        <v>40443</v>
      </c>
      <c r="X12091" t="s">
        <v>43185</v>
      </c>
    </row>
    <row r="12092" spans="1:24">
      <c r="A12092">
        <f>HYPERLINK("https://www.philgeps.gov.ph/GEPSNONPILOT/Tender/SplashBidNoticeAbstractUI.aspx?menuIndex=3&amp;refID=7050791&amp;Result=3","7050791")</f>
        <v>0</v>
      </c>
      <c r="B12092" t="s">
        <v>784</v>
      </c>
      <c r="C12092" t="s">
        <v>14970</v>
      </c>
      <c r="E12092" t="s">
        <v>27865</v>
      </c>
      <c r="F12092" t="s">
        <v>30052</v>
      </c>
      <c r="G12092" t="s">
        <v>30058</v>
      </c>
      <c r="H12092" t="s">
        <v>15498</v>
      </c>
      <c r="I12092" t="s">
        <v>30074</v>
      </c>
      <c r="J12092" t="s">
        <v>37574</v>
      </c>
      <c r="K12092" t="s">
        <v>39025</v>
      </c>
      <c r="M12092" t="s">
        <v>40101</v>
      </c>
      <c r="N12092" t="s">
        <v>43166</v>
      </c>
      <c r="O12092" t="s">
        <v>43167</v>
      </c>
      <c r="P12092">
        <v>0</v>
      </c>
      <c r="Q12092">
        <v>2</v>
      </c>
      <c r="R12092" t="s">
        <v>43184</v>
      </c>
      <c r="S12092" t="s">
        <v>43839</v>
      </c>
      <c r="T12092" t="s">
        <v>44699</v>
      </c>
      <c r="U12092" t="s">
        <v>54855</v>
      </c>
      <c r="V12092" t="s">
        <v>58156</v>
      </c>
      <c r="W12092" t="s">
        <v>40101</v>
      </c>
      <c r="X12092" t="s">
        <v>43187</v>
      </c>
    </row>
    <row r="12093" spans="1:24">
      <c r="A12093">
        <f>HYPERLINK("https://www.philgeps.gov.ph/GEPSNONPILOT/Tender/SplashBidNoticeAbstractUI.aspx?menuIndex=3&amp;refID=7050686&amp;Result=3","7050686")</f>
        <v>0</v>
      </c>
      <c r="B12093" t="s">
        <v>784</v>
      </c>
      <c r="C12093" t="s">
        <v>14971</v>
      </c>
      <c r="E12093" t="s">
        <v>27866</v>
      </c>
      <c r="F12093" t="s">
        <v>30052</v>
      </c>
      <c r="G12093" t="s">
        <v>30058</v>
      </c>
      <c r="H12093" t="s">
        <v>15498</v>
      </c>
      <c r="I12093" t="s">
        <v>30074</v>
      </c>
      <c r="J12093" t="s">
        <v>37575</v>
      </c>
      <c r="K12093" t="s">
        <v>39025</v>
      </c>
      <c r="M12093" t="s">
        <v>40101</v>
      </c>
      <c r="N12093" t="s">
        <v>43166</v>
      </c>
      <c r="O12093" t="s">
        <v>43167</v>
      </c>
      <c r="P12093">
        <v>0</v>
      </c>
      <c r="Q12093">
        <v>6</v>
      </c>
      <c r="R12093" t="s">
        <v>43184</v>
      </c>
      <c r="S12093" t="s">
        <v>43839</v>
      </c>
      <c r="T12093" t="s">
        <v>44699</v>
      </c>
      <c r="U12093" t="s">
        <v>54856</v>
      </c>
      <c r="V12093" t="s">
        <v>58156</v>
      </c>
      <c r="W12093" t="s">
        <v>40101</v>
      </c>
      <c r="X12093" t="s">
        <v>43187</v>
      </c>
    </row>
    <row r="12094" spans="1:24">
      <c r="A12094">
        <f>HYPERLINK("https://www.philgeps.gov.ph/GEPSNONPILOT/Tender/SplashBidNoticeAbstractUI.aspx?menuIndex=3&amp;refID=7055732&amp;Result=3","7055732")</f>
        <v>0</v>
      </c>
      <c r="B12094" t="s">
        <v>1104</v>
      </c>
      <c r="C12094" t="s">
        <v>14972</v>
      </c>
      <c r="D12094" t="s">
        <v>17449</v>
      </c>
      <c r="E12094" t="s">
        <v>27867</v>
      </c>
      <c r="F12094" t="s">
        <v>30052</v>
      </c>
      <c r="G12094" t="s">
        <v>30058</v>
      </c>
      <c r="H12094" t="s">
        <v>30067</v>
      </c>
      <c r="I12094" t="s">
        <v>3693</v>
      </c>
      <c r="J12094" t="s">
        <v>37576</v>
      </c>
      <c r="K12094" t="s">
        <v>39022</v>
      </c>
      <c r="M12094" t="s">
        <v>40443</v>
      </c>
      <c r="N12094" t="s">
        <v>43166</v>
      </c>
      <c r="O12094" t="s">
        <v>43167</v>
      </c>
      <c r="P12094">
        <v>0</v>
      </c>
      <c r="Q12094">
        <v>17</v>
      </c>
      <c r="R12094" t="s">
        <v>43184</v>
      </c>
      <c r="S12094" t="s">
        <v>43839</v>
      </c>
      <c r="T12094" t="s">
        <v>44698</v>
      </c>
      <c r="U12094" t="s">
        <v>47517</v>
      </c>
      <c r="W12094" t="s">
        <v>40443</v>
      </c>
      <c r="X12094" t="s">
        <v>43185</v>
      </c>
    </row>
    <row r="12095" spans="1:24">
      <c r="A12095">
        <f>HYPERLINK("https://www.philgeps.gov.ph/GEPSNONPILOT/Tender/SplashBidNoticeAbstractUI.aspx?menuIndex=3&amp;refID=7050763&amp;Result=3","7050763")</f>
        <v>0</v>
      </c>
      <c r="B12095" t="s">
        <v>784</v>
      </c>
      <c r="C12095" t="s">
        <v>14973</v>
      </c>
      <c r="E12095" t="s">
        <v>27868</v>
      </c>
      <c r="F12095" t="s">
        <v>30052</v>
      </c>
      <c r="G12095" t="s">
        <v>30058</v>
      </c>
      <c r="H12095" t="s">
        <v>30067</v>
      </c>
      <c r="I12095" t="s">
        <v>3693</v>
      </c>
      <c r="J12095" t="s">
        <v>37570</v>
      </c>
      <c r="K12095" t="s">
        <v>39025</v>
      </c>
      <c r="M12095" t="s">
        <v>40101</v>
      </c>
      <c r="N12095" t="s">
        <v>43166</v>
      </c>
      <c r="O12095" t="s">
        <v>43167</v>
      </c>
      <c r="P12095">
        <v>0</v>
      </c>
      <c r="Q12095">
        <v>5</v>
      </c>
      <c r="R12095" t="s">
        <v>43184</v>
      </c>
      <c r="S12095" t="s">
        <v>43839</v>
      </c>
      <c r="T12095" t="s">
        <v>44699</v>
      </c>
      <c r="U12095" t="s">
        <v>54852</v>
      </c>
      <c r="V12095" t="s">
        <v>58156</v>
      </c>
      <c r="W12095" t="s">
        <v>40101</v>
      </c>
      <c r="X12095" t="s">
        <v>43187</v>
      </c>
    </row>
    <row r="12096" spans="1:24">
      <c r="A12096">
        <f>HYPERLINK("https://www.philgeps.gov.ph/GEPSNONPILOT/Tender/SplashBidNoticeAbstractUI.aspx?menuIndex=3&amp;refID=7055720&amp;Result=3","7055720")</f>
        <v>0</v>
      </c>
      <c r="B12096" t="s">
        <v>885</v>
      </c>
      <c r="C12096" t="s">
        <v>14974</v>
      </c>
      <c r="D12096" t="s">
        <v>17424</v>
      </c>
      <c r="E12096" t="s">
        <v>27869</v>
      </c>
      <c r="F12096" t="s">
        <v>30052</v>
      </c>
      <c r="G12096" t="s">
        <v>30058</v>
      </c>
      <c r="H12096" t="s">
        <v>30067</v>
      </c>
      <c r="I12096" t="s">
        <v>3693</v>
      </c>
      <c r="J12096" t="s">
        <v>37577</v>
      </c>
      <c r="K12096" t="s">
        <v>39026</v>
      </c>
      <c r="M12096" t="s">
        <v>40204</v>
      </c>
      <c r="N12096" t="s">
        <v>43166</v>
      </c>
      <c r="O12096" t="s">
        <v>43167</v>
      </c>
      <c r="P12096">
        <v>0</v>
      </c>
      <c r="Q12096">
        <v>41</v>
      </c>
      <c r="R12096" t="s">
        <v>43184</v>
      </c>
      <c r="S12096" t="s">
        <v>43839</v>
      </c>
      <c r="T12096" t="s">
        <v>44797</v>
      </c>
      <c r="U12096" t="s">
        <v>54857</v>
      </c>
      <c r="W12096" t="s">
        <v>40204</v>
      </c>
      <c r="X12096" t="s">
        <v>43185</v>
      </c>
    </row>
    <row r="12097" spans="1:24">
      <c r="A12097">
        <f>HYPERLINK("https://www.philgeps.gov.ph/GEPSNONPILOT/Tender/SplashBidNoticeAbstractUI.aspx?menuIndex=3&amp;refID=7055717&amp;Result=3","7055717")</f>
        <v>0</v>
      </c>
      <c r="B12097" t="s">
        <v>3215</v>
      </c>
      <c r="C12097" t="s">
        <v>14975</v>
      </c>
      <c r="D12097" t="s">
        <v>17441</v>
      </c>
      <c r="E12097" t="s">
        <v>27870</v>
      </c>
      <c r="F12097" t="s">
        <v>30052</v>
      </c>
      <c r="G12097" t="s">
        <v>30058</v>
      </c>
      <c r="H12097" t="s">
        <v>15498</v>
      </c>
      <c r="I12097" t="s">
        <v>30088</v>
      </c>
      <c r="J12097" t="s">
        <v>30239</v>
      </c>
      <c r="K12097" t="s">
        <v>39025</v>
      </c>
      <c r="M12097" t="s">
        <v>42838</v>
      </c>
      <c r="N12097" t="s">
        <v>43166</v>
      </c>
      <c r="O12097" t="s">
        <v>43167</v>
      </c>
      <c r="Q12097">
        <v>29</v>
      </c>
      <c r="R12097" t="s">
        <v>43184</v>
      </c>
      <c r="S12097" t="s">
        <v>43843</v>
      </c>
      <c r="T12097" t="s">
        <v>44906</v>
      </c>
      <c r="U12097" t="s">
        <v>54858</v>
      </c>
      <c r="V12097" t="s">
        <v>58167</v>
      </c>
      <c r="W12097" t="s">
        <v>42838</v>
      </c>
      <c r="X12097" t="s">
        <v>43185</v>
      </c>
    </row>
    <row r="12098" spans="1:24">
      <c r="A12098">
        <f>HYPERLINK("https://www.philgeps.gov.ph/GEPSNONPILOT/Tender/SplashBidNoticeAbstractUI.aspx?menuIndex=3&amp;refID=7055712&amp;Result=3","7055712")</f>
        <v>0</v>
      </c>
      <c r="B12098" t="s">
        <v>885</v>
      </c>
      <c r="C12098" t="s">
        <v>14976</v>
      </c>
      <c r="D12098" t="s">
        <v>17424</v>
      </c>
      <c r="E12098" t="s">
        <v>27871</v>
      </c>
      <c r="F12098" t="s">
        <v>30052</v>
      </c>
      <c r="G12098" t="s">
        <v>30058</v>
      </c>
      <c r="H12098" t="s">
        <v>30067</v>
      </c>
      <c r="I12098" t="s">
        <v>3693</v>
      </c>
      <c r="J12098" t="s">
        <v>37578</v>
      </c>
      <c r="K12098" t="s">
        <v>39031</v>
      </c>
      <c r="M12098" t="s">
        <v>40204</v>
      </c>
      <c r="N12098" t="s">
        <v>43166</v>
      </c>
      <c r="O12098" t="s">
        <v>43167</v>
      </c>
      <c r="P12098">
        <v>0</v>
      </c>
      <c r="Q12098">
        <v>34</v>
      </c>
      <c r="R12098" t="s">
        <v>43184</v>
      </c>
      <c r="S12098" t="s">
        <v>43839</v>
      </c>
      <c r="T12098" t="s">
        <v>44797</v>
      </c>
      <c r="U12098" t="s">
        <v>54859</v>
      </c>
      <c r="W12098" t="s">
        <v>40204</v>
      </c>
      <c r="X12098" t="s">
        <v>43185</v>
      </c>
    </row>
    <row r="12099" spans="1:24">
      <c r="A12099">
        <f>HYPERLINK("https://www.philgeps.gov.ph/GEPSNONPILOT/Tender/SplashBidNoticeAbstractUI.aspx?menuIndex=3&amp;refID=7055701&amp;Result=3","7055701")</f>
        <v>0</v>
      </c>
      <c r="B12099" t="s">
        <v>885</v>
      </c>
      <c r="C12099" t="s">
        <v>14977</v>
      </c>
      <c r="D12099" t="s">
        <v>17424</v>
      </c>
      <c r="E12099" t="s">
        <v>27872</v>
      </c>
      <c r="F12099" t="s">
        <v>30052</v>
      </c>
      <c r="G12099" t="s">
        <v>30058</v>
      </c>
      <c r="H12099" t="s">
        <v>30067</v>
      </c>
      <c r="I12099" t="s">
        <v>3693</v>
      </c>
      <c r="J12099" t="s">
        <v>37579</v>
      </c>
      <c r="K12099" t="s">
        <v>39026</v>
      </c>
      <c r="M12099" t="s">
        <v>40204</v>
      </c>
      <c r="N12099" t="s">
        <v>43166</v>
      </c>
      <c r="O12099" t="s">
        <v>43167</v>
      </c>
      <c r="P12099">
        <v>0</v>
      </c>
      <c r="Q12099">
        <v>36</v>
      </c>
      <c r="R12099" t="s">
        <v>43184</v>
      </c>
      <c r="S12099" t="s">
        <v>43839</v>
      </c>
      <c r="T12099" t="s">
        <v>44797</v>
      </c>
      <c r="U12099" t="s">
        <v>54860</v>
      </c>
      <c r="W12099" t="s">
        <v>40204</v>
      </c>
      <c r="X12099" t="s">
        <v>43185</v>
      </c>
    </row>
    <row r="12100" spans="1:24">
      <c r="A12100">
        <f>HYPERLINK("https://www.philgeps.gov.ph/GEPSNONPILOT/Tender/SplashBidNoticeAbstractUI.aspx?menuIndex=3&amp;refID=7055694&amp;Result=3","7055694")</f>
        <v>0</v>
      </c>
      <c r="B12100" t="s">
        <v>3217</v>
      </c>
      <c r="C12100" t="s">
        <v>14978</v>
      </c>
      <c r="D12100" t="s">
        <v>17454</v>
      </c>
      <c r="E12100" t="s">
        <v>17620</v>
      </c>
      <c r="F12100" t="s">
        <v>30052</v>
      </c>
      <c r="G12100" t="s">
        <v>30058</v>
      </c>
      <c r="H12100" t="s">
        <v>30067</v>
      </c>
      <c r="I12100" t="s">
        <v>3693</v>
      </c>
      <c r="J12100" t="s">
        <v>34659</v>
      </c>
      <c r="K12100" t="s">
        <v>39092</v>
      </c>
      <c r="M12100" t="s">
        <v>42840</v>
      </c>
      <c r="N12100" t="s">
        <v>43166</v>
      </c>
      <c r="O12100" t="s">
        <v>43167</v>
      </c>
      <c r="P12100">
        <v>0</v>
      </c>
      <c r="Q12100">
        <v>0</v>
      </c>
      <c r="R12100" t="s">
        <v>43184</v>
      </c>
      <c r="S12100" t="s">
        <v>43839</v>
      </c>
      <c r="T12100" t="s">
        <v>44722</v>
      </c>
      <c r="U12100" t="s">
        <v>54861</v>
      </c>
      <c r="W12100" t="s">
        <v>42840</v>
      </c>
      <c r="X12100" t="s">
        <v>43185</v>
      </c>
    </row>
    <row r="12101" spans="1:24">
      <c r="A12101">
        <f>HYPERLINK("https://www.philgeps.gov.ph/GEPSNONPILOT/Tender/SplashBidNoticeAbstractUI.aspx?menuIndex=3&amp;refID=7055684&amp;Result=3","7055684")</f>
        <v>0</v>
      </c>
      <c r="B12101" t="s">
        <v>885</v>
      </c>
      <c r="C12101" t="s">
        <v>14979</v>
      </c>
      <c r="D12101" t="s">
        <v>17424</v>
      </c>
      <c r="E12101" t="s">
        <v>27873</v>
      </c>
      <c r="F12101" t="s">
        <v>30052</v>
      </c>
      <c r="G12101" t="s">
        <v>30058</v>
      </c>
      <c r="H12101" t="s">
        <v>30067</v>
      </c>
      <c r="I12101" t="s">
        <v>3693</v>
      </c>
      <c r="J12101" t="s">
        <v>37580</v>
      </c>
      <c r="K12101" t="s">
        <v>39031</v>
      </c>
      <c r="M12101" t="s">
        <v>40204</v>
      </c>
      <c r="N12101" t="s">
        <v>43166</v>
      </c>
      <c r="O12101" t="s">
        <v>43167</v>
      </c>
      <c r="P12101">
        <v>0</v>
      </c>
      <c r="Q12101">
        <v>41</v>
      </c>
      <c r="R12101" t="s">
        <v>43184</v>
      </c>
      <c r="S12101" t="s">
        <v>43839</v>
      </c>
      <c r="T12101" t="s">
        <v>44797</v>
      </c>
      <c r="U12101" t="s">
        <v>54862</v>
      </c>
      <c r="W12101" t="s">
        <v>40204</v>
      </c>
      <c r="X12101" t="s">
        <v>43185</v>
      </c>
    </row>
    <row r="12102" spans="1:24">
      <c r="A12102">
        <f>HYPERLINK("https://www.philgeps.gov.ph/GEPSNONPILOT/Tender/SplashBidNoticeAbstractUI.aspx?menuIndex=3&amp;refID=7055662&amp;Result=3","7055662")</f>
        <v>0</v>
      </c>
      <c r="B12102" t="s">
        <v>674</v>
      </c>
      <c r="C12102" t="s">
        <v>14980</v>
      </c>
      <c r="D12102" t="s">
        <v>17422</v>
      </c>
      <c r="E12102" t="s">
        <v>26463</v>
      </c>
      <c r="F12102" t="s">
        <v>30052</v>
      </c>
      <c r="G12102" t="s">
        <v>30058</v>
      </c>
      <c r="H12102" t="s">
        <v>15498</v>
      </c>
      <c r="I12102" t="s">
        <v>3736</v>
      </c>
      <c r="J12102" t="s">
        <v>30236</v>
      </c>
      <c r="K12102" t="s">
        <v>39019</v>
      </c>
      <c r="M12102" t="s">
        <v>39980</v>
      </c>
      <c r="N12102" t="s">
        <v>43166</v>
      </c>
      <c r="O12102" t="s">
        <v>43167</v>
      </c>
      <c r="P12102">
        <v>0</v>
      </c>
      <c r="Q12102">
        <v>3</v>
      </c>
      <c r="R12102" t="s">
        <v>43184</v>
      </c>
      <c r="S12102" t="s">
        <v>43839</v>
      </c>
      <c r="T12102" t="s">
        <v>44970</v>
      </c>
      <c r="U12102" t="s">
        <v>46487</v>
      </c>
      <c r="W12102" t="s">
        <v>39980</v>
      </c>
      <c r="X12102" t="s">
        <v>43185</v>
      </c>
    </row>
    <row r="12103" spans="1:24">
      <c r="A12103">
        <f>HYPERLINK("https://www.philgeps.gov.ph/GEPSNONPILOT/Tender/SplashBidNoticeAbstractUI.aspx?menuIndex=3&amp;refID=7055661&amp;Result=3","7055661")</f>
        <v>0</v>
      </c>
      <c r="B12103" t="s">
        <v>674</v>
      </c>
      <c r="C12103" t="s">
        <v>14981</v>
      </c>
      <c r="D12103" t="s">
        <v>17422</v>
      </c>
      <c r="E12103" t="s">
        <v>19045</v>
      </c>
      <c r="F12103" t="s">
        <v>30052</v>
      </c>
      <c r="G12103" t="s">
        <v>30058</v>
      </c>
      <c r="H12103" t="s">
        <v>15498</v>
      </c>
      <c r="I12103" t="s">
        <v>3736</v>
      </c>
      <c r="J12103" t="s">
        <v>37581</v>
      </c>
      <c r="K12103" t="s">
        <v>39019</v>
      </c>
      <c r="M12103" t="s">
        <v>39980</v>
      </c>
      <c r="N12103" t="s">
        <v>43166</v>
      </c>
      <c r="O12103" t="s">
        <v>43167</v>
      </c>
      <c r="P12103">
        <v>0</v>
      </c>
      <c r="Q12103">
        <v>3</v>
      </c>
      <c r="R12103" t="s">
        <v>43184</v>
      </c>
      <c r="S12103" t="s">
        <v>43839</v>
      </c>
      <c r="T12103" t="s">
        <v>44970</v>
      </c>
      <c r="U12103" t="s">
        <v>46487</v>
      </c>
      <c r="W12103" t="s">
        <v>39980</v>
      </c>
      <c r="X12103" t="s">
        <v>43185</v>
      </c>
    </row>
    <row r="12104" spans="1:24">
      <c r="A12104">
        <f>HYPERLINK("https://www.philgeps.gov.ph/GEPSNONPILOT/Tender/SplashBidNoticeAbstractUI.aspx?menuIndex=3&amp;refID=7055752&amp;Result=3","7055752")</f>
        <v>0</v>
      </c>
      <c r="B12104" t="s">
        <v>3135</v>
      </c>
      <c r="C12104" t="s">
        <v>14982</v>
      </c>
      <c r="D12104" t="s">
        <v>17456</v>
      </c>
      <c r="E12104" t="s">
        <v>25360</v>
      </c>
      <c r="F12104" t="s">
        <v>30052</v>
      </c>
      <c r="G12104" t="s">
        <v>30058</v>
      </c>
      <c r="H12104" t="s">
        <v>15498</v>
      </c>
      <c r="I12104" t="s">
        <v>30125</v>
      </c>
      <c r="J12104" t="s">
        <v>37582</v>
      </c>
      <c r="K12104" t="s">
        <v>39029</v>
      </c>
      <c r="M12104" t="s">
        <v>42737</v>
      </c>
      <c r="N12104" t="s">
        <v>43166</v>
      </c>
      <c r="O12104" t="s">
        <v>43167</v>
      </c>
      <c r="P12104">
        <v>0</v>
      </c>
      <c r="Q12104">
        <v>0</v>
      </c>
      <c r="R12104" t="s">
        <v>43184</v>
      </c>
      <c r="S12104" t="s">
        <v>43839</v>
      </c>
      <c r="T12104" t="s">
        <v>44856</v>
      </c>
      <c r="U12104" t="s">
        <v>54863</v>
      </c>
      <c r="W12104" t="s">
        <v>42737</v>
      </c>
      <c r="X12104" t="s">
        <v>43185</v>
      </c>
    </row>
    <row r="12105" spans="1:24">
      <c r="A12105">
        <f>HYPERLINK("https://www.philgeps.gov.ph/GEPSNONPILOT/Tender/SplashBidNoticeAbstractUI.aspx?menuIndex=3&amp;refID=7055742&amp;Result=3","7055742")</f>
        <v>0</v>
      </c>
      <c r="B12105" t="s">
        <v>1104</v>
      </c>
      <c r="C12105" t="s">
        <v>14983</v>
      </c>
      <c r="D12105" t="s">
        <v>17449</v>
      </c>
      <c r="E12105" t="s">
        <v>27874</v>
      </c>
      <c r="F12105" t="s">
        <v>30052</v>
      </c>
      <c r="G12105" t="s">
        <v>30058</v>
      </c>
      <c r="H12105" t="s">
        <v>30067</v>
      </c>
      <c r="I12105" t="s">
        <v>3693</v>
      </c>
      <c r="J12105" t="s">
        <v>30321</v>
      </c>
      <c r="K12105" t="s">
        <v>39080</v>
      </c>
      <c r="M12105" t="s">
        <v>40443</v>
      </c>
      <c r="N12105" t="s">
        <v>43166</v>
      </c>
      <c r="O12105" t="s">
        <v>43167</v>
      </c>
      <c r="P12105">
        <v>0</v>
      </c>
      <c r="Q12105">
        <v>11</v>
      </c>
      <c r="R12105" t="s">
        <v>43184</v>
      </c>
      <c r="S12105" t="s">
        <v>43839</v>
      </c>
      <c r="T12105" t="s">
        <v>44698</v>
      </c>
      <c r="U12105" t="s">
        <v>47517</v>
      </c>
      <c r="W12105" t="s">
        <v>40443</v>
      </c>
      <c r="X12105" t="s">
        <v>43185</v>
      </c>
    </row>
    <row r="12106" spans="1:24">
      <c r="A12106">
        <f>HYPERLINK("https://www.philgeps.gov.ph/GEPSNONPILOT/Tender/SplashBidNoticeAbstractUI.aspx?menuIndex=3&amp;refID=7056024&amp;Result=3","7056024")</f>
        <v>0</v>
      </c>
      <c r="B12106" t="s">
        <v>892</v>
      </c>
      <c r="C12106" t="s">
        <v>14984</v>
      </c>
      <c r="D12106" t="s">
        <v>17471</v>
      </c>
      <c r="E12106" t="s">
        <v>27875</v>
      </c>
      <c r="F12106" t="s">
        <v>30052</v>
      </c>
      <c r="G12106" t="s">
        <v>30058</v>
      </c>
      <c r="H12106" t="s">
        <v>30067</v>
      </c>
      <c r="I12106" t="s">
        <v>3693</v>
      </c>
      <c r="J12106" t="s">
        <v>37583</v>
      </c>
      <c r="K12106" t="s">
        <v>39031</v>
      </c>
      <c r="M12106" t="s">
        <v>40211</v>
      </c>
      <c r="N12106" t="s">
        <v>43166</v>
      </c>
      <c r="O12106" t="s">
        <v>43167</v>
      </c>
      <c r="P12106">
        <v>0</v>
      </c>
      <c r="Q12106">
        <v>0</v>
      </c>
      <c r="R12106" t="s">
        <v>43184</v>
      </c>
      <c r="S12106" t="s">
        <v>43839</v>
      </c>
      <c r="T12106" t="s">
        <v>44718</v>
      </c>
      <c r="U12106" t="s">
        <v>54864</v>
      </c>
      <c r="W12106" t="s">
        <v>40211</v>
      </c>
      <c r="X12106" t="s">
        <v>43185</v>
      </c>
    </row>
    <row r="12107" spans="1:24">
      <c r="A12107">
        <f>HYPERLINK("https://www.philgeps.gov.ph/GEPSNONPILOT/Tender/SplashBidNoticeAbstractUI.aspx?menuIndex=3&amp;refID=7055702&amp;Result=3","7055702")</f>
        <v>0</v>
      </c>
      <c r="B12107" t="s">
        <v>3215</v>
      </c>
      <c r="C12107" t="s">
        <v>14985</v>
      </c>
      <c r="D12107" t="s">
        <v>17441</v>
      </c>
      <c r="E12107" t="s">
        <v>27876</v>
      </c>
      <c r="F12107" t="s">
        <v>30052</v>
      </c>
      <c r="G12107" t="s">
        <v>30058</v>
      </c>
      <c r="H12107" t="s">
        <v>15498</v>
      </c>
      <c r="I12107" t="s">
        <v>30088</v>
      </c>
      <c r="J12107" t="s">
        <v>31684</v>
      </c>
      <c r="K12107" t="s">
        <v>39025</v>
      </c>
      <c r="M12107" t="s">
        <v>42838</v>
      </c>
      <c r="N12107" t="s">
        <v>43166</v>
      </c>
      <c r="O12107" t="s">
        <v>43167</v>
      </c>
      <c r="Q12107">
        <v>17</v>
      </c>
      <c r="R12107" t="s">
        <v>43184</v>
      </c>
      <c r="S12107" t="s">
        <v>43771</v>
      </c>
      <c r="T12107" t="s">
        <v>44752</v>
      </c>
      <c r="U12107" t="s">
        <v>54865</v>
      </c>
      <c r="V12107" t="s">
        <v>58168</v>
      </c>
      <c r="W12107" t="s">
        <v>42838</v>
      </c>
      <c r="X12107" t="s">
        <v>43185</v>
      </c>
    </row>
    <row r="12108" spans="1:24">
      <c r="A12108">
        <f>HYPERLINK("https://www.philgeps.gov.ph/GEPSNONPILOT/Tender/SplashBidNoticeAbstractUI.aspx?menuIndex=3&amp;refID=7054608&amp;Result=3","7054608")</f>
        <v>0</v>
      </c>
      <c r="B12108" t="s">
        <v>3215</v>
      </c>
      <c r="C12108" t="s">
        <v>14986</v>
      </c>
      <c r="E12108" t="s">
        <v>27877</v>
      </c>
      <c r="F12108" t="s">
        <v>30052</v>
      </c>
      <c r="G12108" t="s">
        <v>30058</v>
      </c>
      <c r="H12108" t="s">
        <v>15498</v>
      </c>
      <c r="I12108" t="s">
        <v>30130</v>
      </c>
      <c r="J12108" t="s">
        <v>31531</v>
      </c>
      <c r="K12108" t="s">
        <v>39025</v>
      </c>
      <c r="M12108" t="s">
        <v>42838</v>
      </c>
      <c r="N12108" t="s">
        <v>43166</v>
      </c>
      <c r="O12108" t="s">
        <v>43167</v>
      </c>
      <c r="Q12108">
        <v>18</v>
      </c>
      <c r="R12108" t="s">
        <v>43184</v>
      </c>
      <c r="S12108" t="s">
        <v>43844</v>
      </c>
      <c r="T12108" t="s">
        <v>44752</v>
      </c>
      <c r="U12108" t="s">
        <v>54866</v>
      </c>
      <c r="V12108" t="s">
        <v>58169</v>
      </c>
      <c r="W12108" t="s">
        <v>42838</v>
      </c>
      <c r="X12108" t="s">
        <v>43186</v>
      </c>
    </row>
    <row r="12109" spans="1:24">
      <c r="A12109">
        <f>HYPERLINK("https://www.philgeps.gov.ph/GEPSNONPILOT/Tender/SplashBidNoticeAbstractUI.aspx?menuIndex=3&amp;refID=7056021&amp;Result=3","7056021")</f>
        <v>0</v>
      </c>
      <c r="B12109" t="s">
        <v>3218</v>
      </c>
      <c r="C12109" t="s">
        <v>14987</v>
      </c>
      <c r="D12109" t="s">
        <v>17444</v>
      </c>
      <c r="E12109" t="s">
        <v>17650</v>
      </c>
      <c r="F12109" t="s">
        <v>30052</v>
      </c>
      <c r="G12109" t="s">
        <v>30058</v>
      </c>
      <c r="H12109" t="s">
        <v>15498</v>
      </c>
      <c r="I12109" t="s">
        <v>3736</v>
      </c>
      <c r="J12109" t="s">
        <v>37584</v>
      </c>
      <c r="K12109" t="s">
        <v>39029</v>
      </c>
      <c r="M12109" t="s">
        <v>42841</v>
      </c>
      <c r="N12109" t="s">
        <v>43166</v>
      </c>
      <c r="O12109" t="s">
        <v>43167</v>
      </c>
      <c r="P12109">
        <v>0</v>
      </c>
      <c r="Q12109">
        <v>2</v>
      </c>
      <c r="R12109" t="s">
        <v>43184</v>
      </c>
      <c r="S12109" t="s">
        <v>43839</v>
      </c>
      <c r="T12109" t="s">
        <v>44815</v>
      </c>
      <c r="U12109" t="s">
        <v>54867</v>
      </c>
      <c r="V12109" t="s">
        <v>58170</v>
      </c>
      <c r="W12109" t="s">
        <v>42841</v>
      </c>
      <c r="X12109" t="s">
        <v>43185</v>
      </c>
    </row>
    <row r="12110" spans="1:24">
      <c r="A12110">
        <f>HYPERLINK("https://www.philgeps.gov.ph/GEPSNONPILOT/Tender/SplashBidNoticeAbstractUI.aspx?menuIndex=3&amp;refID=7055993&amp;Result=3","7055993")</f>
        <v>0</v>
      </c>
      <c r="B12110" t="s">
        <v>2857</v>
      </c>
      <c r="C12110" t="s">
        <v>14988</v>
      </c>
      <c r="D12110" t="s">
        <v>17415</v>
      </c>
      <c r="E12110" t="s">
        <v>24131</v>
      </c>
      <c r="F12110" t="s">
        <v>30052</v>
      </c>
      <c r="G12110" t="s">
        <v>30061</v>
      </c>
      <c r="H12110" t="s">
        <v>15498</v>
      </c>
      <c r="I12110" t="s">
        <v>30084</v>
      </c>
      <c r="J12110" t="s">
        <v>30377</v>
      </c>
      <c r="K12110" t="s">
        <v>39017</v>
      </c>
      <c r="M12110" t="s">
        <v>42405</v>
      </c>
      <c r="N12110" t="s">
        <v>43166</v>
      </c>
      <c r="O12110" t="s">
        <v>43167</v>
      </c>
      <c r="Q12110">
        <v>4</v>
      </c>
      <c r="R12110" t="s">
        <v>43184</v>
      </c>
      <c r="S12110" t="s">
        <v>43845</v>
      </c>
      <c r="T12110" t="s">
        <v>44826</v>
      </c>
      <c r="U12110" t="s">
        <v>54868</v>
      </c>
      <c r="V12110" t="s">
        <v>58171</v>
      </c>
      <c r="W12110" t="s">
        <v>42405</v>
      </c>
      <c r="X12110" t="s">
        <v>43185</v>
      </c>
    </row>
    <row r="12111" spans="1:24">
      <c r="A12111">
        <f>HYPERLINK("https://www.philgeps.gov.ph/GEPSNONPILOT/Tender/SplashBidNoticeAbstractUI.aspx?menuIndex=3&amp;refID=7058459&amp;Result=3","7058459")</f>
        <v>0</v>
      </c>
      <c r="B12111" t="s">
        <v>3197</v>
      </c>
      <c r="C12111" t="s">
        <v>14989</v>
      </c>
      <c r="D12111" t="s">
        <v>17459</v>
      </c>
      <c r="E12111" t="s">
        <v>27878</v>
      </c>
      <c r="F12111" t="s">
        <v>30052</v>
      </c>
      <c r="G12111" t="s">
        <v>30058</v>
      </c>
      <c r="H12111" t="s">
        <v>30067</v>
      </c>
      <c r="I12111" t="s">
        <v>3693</v>
      </c>
      <c r="J12111" t="s">
        <v>37585</v>
      </c>
      <c r="K12111" t="s">
        <v>39086</v>
      </c>
      <c r="M12111" t="s">
        <v>42811</v>
      </c>
      <c r="N12111" t="s">
        <v>43166</v>
      </c>
      <c r="O12111" t="s">
        <v>43167</v>
      </c>
      <c r="P12111">
        <v>0</v>
      </c>
      <c r="Q12111">
        <v>1</v>
      </c>
      <c r="R12111" t="s">
        <v>43183</v>
      </c>
      <c r="S12111" t="s">
        <v>43828</v>
      </c>
      <c r="T12111" t="s">
        <v>44733</v>
      </c>
      <c r="U12111" t="s">
        <v>54869</v>
      </c>
      <c r="W12111" t="s">
        <v>42811</v>
      </c>
      <c r="X12111" t="s">
        <v>43184</v>
      </c>
    </row>
    <row r="12112" spans="1:24">
      <c r="A12112">
        <f>HYPERLINK("https://www.philgeps.gov.ph/GEPSNONPILOT/Tender/SplashBidNoticeAbstractUI.aspx?menuIndex=3&amp;refID=7055985&amp;Result=3","7055985")</f>
        <v>0</v>
      </c>
      <c r="B12112" t="s">
        <v>794</v>
      </c>
      <c r="C12112" t="s">
        <v>14990</v>
      </c>
      <c r="D12112" t="s">
        <v>17494</v>
      </c>
      <c r="E12112" t="s">
        <v>27879</v>
      </c>
      <c r="F12112" t="s">
        <v>30052</v>
      </c>
      <c r="G12112" t="s">
        <v>30058</v>
      </c>
      <c r="H12112" t="s">
        <v>15498</v>
      </c>
      <c r="I12112" t="s">
        <v>30073</v>
      </c>
      <c r="J12112" t="s">
        <v>37586</v>
      </c>
      <c r="K12112" t="s">
        <v>39023</v>
      </c>
      <c r="M12112" t="s">
        <v>40111</v>
      </c>
      <c r="N12112" t="s">
        <v>43166</v>
      </c>
      <c r="O12112" t="s">
        <v>43167</v>
      </c>
      <c r="P12112">
        <v>0</v>
      </c>
      <c r="Q12112">
        <v>0</v>
      </c>
      <c r="R12112" t="s">
        <v>43184</v>
      </c>
      <c r="S12112" t="s">
        <v>43839</v>
      </c>
      <c r="T12112" t="s">
        <v>44733</v>
      </c>
      <c r="U12112" t="s">
        <v>54870</v>
      </c>
      <c r="W12112" t="s">
        <v>40111</v>
      </c>
      <c r="X12112" t="s">
        <v>43185</v>
      </c>
    </row>
    <row r="12113" spans="1:24">
      <c r="A12113">
        <f>HYPERLINK("https://www.philgeps.gov.ph/GEPSNONPILOT/Tender/SplashBidNoticeAbstractUI.aspx?menuIndex=3&amp;refID=7055979&amp;Result=3","7055979")</f>
        <v>0</v>
      </c>
      <c r="B12113" t="s">
        <v>2452</v>
      </c>
      <c r="C12113" t="s">
        <v>14991</v>
      </c>
      <c r="D12113" t="s">
        <v>17459</v>
      </c>
      <c r="E12113" t="s">
        <v>27880</v>
      </c>
      <c r="F12113" t="s">
        <v>30052</v>
      </c>
      <c r="G12113" t="s">
        <v>30058</v>
      </c>
      <c r="H12113" t="s">
        <v>15498</v>
      </c>
      <c r="I12113" t="s">
        <v>8758</v>
      </c>
      <c r="J12113" t="s">
        <v>37587</v>
      </c>
      <c r="K12113" t="s">
        <v>39019</v>
      </c>
      <c r="M12113" t="s">
        <v>42377</v>
      </c>
      <c r="N12113" t="s">
        <v>43166</v>
      </c>
      <c r="O12113" t="s">
        <v>43167</v>
      </c>
      <c r="P12113">
        <v>0</v>
      </c>
      <c r="Q12113">
        <v>4</v>
      </c>
      <c r="R12113" t="s">
        <v>43184</v>
      </c>
      <c r="S12113" t="s">
        <v>43839</v>
      </c>
      <c r="T12113" t="s">
        <v>44719</v>
      </c>
      <c r="U12113" t="s">
        <v>52986</v>
      </c>
      <c r="V12113" t="s">
        <v>58172</v>
      </c>
      <c r="W12113" t="s">
        <v>42377</v>
      </c>
      <c r="X12113" t="s">
        <v>43185</v>
      </c>
    </row>
    <row r="12114" spans="1:24">
      <c r="A12114">
        <f>HYPERLINK("https://www.philgeps.gov.ph/GEPSNONPILOT/Tender/SplashBidNoticeAbstractUI.aspx?menuIndex=3&amp;refID=7055975&amp;Result=3","7055975")</f>
        <v>0</v>
      </c>
      <c r="B12114" t="s">
        <v>2320</v>
      </c>
      <c r="C12114" t="s">
        <v>14992</v>
      </c>
      <c r="D12114" t="s">
        <v>17462</v>
      </c>
      <c r="E12114" t="s">
        <v>27881</v>
      </c>
      <c r="F12114" t="s">
        <v>30052</v>
      </c>
      <c r="G12114" t="s">
        <v>30058</v>
      </c>
      <c r="H12114" t="s">
        <v>15498</v>
      </c>
      <c r="I12114" t="s">
        <v>3736</v>
      </c>
      <c r="J12114" t="s">
        <v>37588</v>
      </c>
      <c r="K12114" t="s">
        <v>39029</v>
      </c>
      <c r="M12114" t="s">
        <v>42842</v>
      </c>
      <c r="N12114" t="s">
        <v>43166</v>
      </c>
      <c r="O12114" t="s">
        <v>43167</v>
      </c>
      <c r="P12114">
        <v>0</v>
      </c>
      <c r="Q12114">
        <v>2</v>
      </c>
      <c r="R12114" t="s">
        <v>43184</v>
      </c>
      <c r="S12114" t="s">
        <v>43839</v>
      </c>
      <c r="T12114" t="s">
        <v>44689</v>
      </c>
      <c r="U12114" t="s">
        <v>51193</v>
      </c>
      <c r="V12114" t="s">
        <v>58173</v>
      </c>
      <c r="W12114" t="s">
        <v>58688</v>
      </c>
      <c r="X12114" t="s">
        <v>43185</v>
      </c>
    </row>
    <row r="12115" spans="1:24">
      <c r="A12115">
        <f>HYPERLINK("https://www.philgeps.gov.ph/GEPSNONPILOT/Tender/SplashBidNoticeAbstractUI.aspx?menuIndex=3&amp;refID=7056025&amp;Result=3","7056025")</f>
        <v>0</v>
      </c>
      <c r="B12115" t="s">
        <v>2857</v>
      </c>
      <c r="C12115" t="s">
        <v>14993</v>
      </c>
      <c r="D12115" t="s">
        <v>17415</v>
      </c>
      <c r="E12115" t="s">
        <v>25738</v>
      </c>
      <c r="F12115" t="s">
        <v>30052</v>
      </c>
      <c r="G12115" t="s">
        <v>30061</v>
      </c>
      <c r="H12115" t="s">
        <v>15498</v>
      </c>
      <c r="I12115" t="s">
        <v>30084</v>
      </c>
      <c r="J12115" t="s">
        <v>30291</v>
      </c>
      <c r="K12115" t="s">
        <v>39017</v>
      </c>
      <c r="M12115" t="s">
        <v>42405</v>
      </c>
      <c r="N12115" t="s">
        <v>43166</v>
      </c>
      <c r="O12115" t="s">
        <v>43167</v>
      </c>
      <c r="Q12115">
        <v>8</v>
      </c>
      <c r="R12115" t="s">
        <v>43184</v>
      </c>
      <c r="S12115" t="s">
        <v>43846</v>
      </c>
      <c r="T12115" t="s">
        <v>44826</v>
      </c>
      <c r="U12115" t="s">
        <v>54871</v>
      </c>
      <c r="V12115" t="s">
        <v>57936</v>
      </c>
      <c r="W12115" t="s">
        <v>42405</v>
      </c>
      <c r="X12115" t="s">
        <v>43185</v>
      </c>
    </row>
    <row r="12116" spans="1:24">
      <c r="A12116">
        <f>HYPERLINK("https://www.philgeps.gov.ph/GEPSNONPILOT/Tender/SplashBidNoticeAbstractUI.aspx?menuIndex=3&amp;refID=7055748&amp;Result=3","7055748")</f>
        <v>0</v>
      </c>
      <c r="B12116" t="s">
        <v>1104</v>
      </c>
      <c r="C12116" t="s">
        <v>14994</v>
      </c>
      <c r="D12116" t="s">
        <v>17449</v>
      </c>
      <c r="E12116" t="s">
        <v>27882</v>
      </c>
      <c r="F12116" t="s">
        <v>30052</v>
      </c>
      <c r="G12116" t="s">
        <v>30058</v>
      </c>
      <c r="H12116" t="s">
        <v>30067</v>
      </c>
      <c r="I12116" t="s">
        <v>3693</v>
      </c>
      <c r="J12116" t="s">
        <v>37589</v>
      </c>
      <c r="K12116" t="s">
        <v>39022</v>
      </c>
      <c r="M12116" t="s">
        <v>40443</v>
      </c>
      <c r="N12116" t="s">
        <v>43166</v>
      </c>
      <c r="O12116" t="s">
        <v>43167</v>
      </c>
      <c r="P12116">
        <v>0</v>
      </c>
      <c r="Q12116">
        <v>17</v>
      </c>
      <c r="R12116" t="s">
        <v>43184</v>
      </c>
      <c r="S12116" t="s">
        <v>43839</v>
      </c>
      <c r="T12116" t="s">
        <v>44698</v>
      </c>
      <c r="U12116" t="s">
        <v>47517</v>
      </c>
      <c r="W12116" t="s">
        <v>40443</v>
      </c>
      <c r="X12116" t="s">
        <v>43185</v>
      </c>
    </row>
    <row r="12117" spans="1:24">
      <c r="A12117">
        <f>HYPERLINK("https://www.philgeps.gov.ph/GEPSNONPILOT/Tender/SplashBidNoticeAbstractUI.aspx?menuIndex=3&amp;refID=7055912&amp;Result=3","7055912")</f>
        <v>0</v>
      </c>
      <c r="B12117" t="s">
        <v>1737</v>
      </c>
      <c r="C12117" t="s">
        <v>14995</v>
      </c>
      <c r="D12117" t="s">
        <v>17415</v>
      </c>
      <c r="E12117" t="s">
        <v>27883</v>
      </c>
      <c r="F12117" t="s">
        <v>30052</v>
      </c>
      <c r="G12117" t="s">
        <v>30058</v>
      </c>
      <c r="H12117" t="s">
        <v>30067</v>
      </c>
      <c r="I12117" t="s">
        <v>3693</v>
      </c>
      <c r="J12117" t="s">
        <v>37590</v>
      </c>
      <c r="K12117" t="s">
        <v>39057</v>
      </c>
      <c r="M12117" t="s">
        <v>41154</v>
      </c>
      <c r="N12117" t="s">
        <v>43166</v>
      </c>
      <c r="O12117" t="s">
        <v>43167</v>
      </c>
      <c r="P12117">
        <v>0</v>
      </c>
      <c r="Q12117">
        <v>3</v>
      </c>
      <c r="R12117" t="s">
        <v>43184</v>
      </c>
      <c r="S12117" t="s">
        <v>43839</v>
      </c>
      <c r="T12117" t="s">
        <v>44715</v>
      </c>
      <c r="U12117" t="s">
        <v>49333</v>
      </c>
      <c r="V12117" t="s">
        <v>58174</v>
      </c>
      <c r="W12117" t="s">
        <v>41154</v>
      </c>
      <c r="X12117" t="s">
        <v>43185</v>
      </c>
    </row>
    <row r="12118" spans="1:24">
      <c r="A12118">
        <f>HYPERLINK("https://www.philgeps.gov.ph/GEPSNONPILOT/Tender/SplashBidNoticeAbstractUI.aspx?menuIndex=3&amp;refID=7055901&amp;Result=3","7055901")</f>
        <v>0</v>
      </c>
      <c r="B12118" t="s">
        <v>1737</v>
      </c>
      <c r="C12118" t="s">
        <v>14996</v>
      </c>
      <c r="D12118" t="s">
        <v>17415</v>
      </c>
      <c r="E12118" t="s">
        <v>27884</v>
      </c>
      <c r="F12118" t="s">
        <v>30052</v>
      </c>
      <c r="G12118" t="s">
        <v>30058</v>
      </c>
      <c r="H12118" t="s">
        <v>30067</v>
      </c>
      <c r="I12118" t="s">
        <v>3693</v>
      </c>
      <c r="J12118" t="s">
        <v>37591</v>
      </c>
      <c r="K12118" t="s">
        <v>39080</v>
      </c>
      <c r="M12118" t="s">
        <v>41154</v>
      </c>
      <c r="N12118" t="s">
        <v>43166</v>
      </c>
      <c r="O12118" t="s">
        <v>43167</v>
      </c>
      <c r="P12118">
        <v>0</v>
      </c>
      <c r="Q12118">
        <v>4</v>
      </c>
      <c r="R12118" t="s">
        <v>43184</v>
      </c>
      <c r="S12118" t="s">
        <v>43839</v>
      </c>
      <c r="T12118" t="s">
        <v>44719</v>
      </c>
      <c r="U12118" t="s">
        <v>54872</v>
      </c>
      <c r="V12118" t="s">
        <v>58174</v>
      </c>
      <c r="W12118" t="s">
        <v>41154</v>
      </c>
      <c r="X12118" t="s">
        <v>43185</v>
      </c>
    </row>
    <row r="12119" spans="1:24">
      <c r="A12119">
        <f>HYPERLINK("https://www.philgeps.gov.ph/GEPSNONPILOT/Tender/SplashBidNoticeAbstractUI.aspx?menuIndex=3&amp;refID=7055894&amp;Result=3","7055894")</f>
        <v>0</v>
      </c>
      <c r="B12119" t="s">
        <v>1737</v>
      </c>
      <c r="C12119" t="s">
        <v>14997</v>
      </c>
      <c r="D12119" t="s">
        <v>17415</v>
      </c>
      <c r="E12119" t="s">
        <v>27885</v>
      </c>
      <c r="F12119" t="s">
        <v>30052</v>
      </c>
      <c r="G12119" t="s">
        <v>30058</v>
      </c>
      <c r="H12119" t="s">
        <v>15498</v>
      </c>
      <c r="I12119" t="s">
        <v>3693</v>
      </c>
      <c r="J12119" t="s">
        <v>37592</v>
      </c>
      <c r="K12119" t="s">
        <v>39057</v>
      </c>
      <c r="M12119" t="s">
        <v>41154</v>
      </c>
      <c r="N12119" t="s">
        <v>43166</v>
      </c>
      <c r="O12119" t="s">
        <v>43167</v>
      </c>
      <c r="P12119">
        <v>0</v>
      </c>
      <c r="Q12119">
        <v>6</v>
      </c>
      <c r="R12119" t="s">
        <v>43184</v>
      </c>
      <c r="S12119" t="s">
        <v>43839</v>
      </c>
      <c r="T12119" t="s">
        <v>44705</v>
      </c>
      <c r="U12119" t="s">
        <v>54873</v>
      </c>
      <c r="V12119" t="s">
        <v>58174</v>
      </c>
      <c r="W12119" t="s">
        <v>41154</v>
      </c>
      <c r="X12119" t="s">
        <v>43185</v>
      </c>
    </row>
    <row r="12120" spans="1:24">
      <c r="A12120">
        <f>HYPERLINK("https://www.philgeps.gov.ph/GEPSNONPILOT/Tender/SplashBidNoticeAbstractUI.aspx?menuIndex=3&amp;refID=7055865&amp;Result=3","7055865")</f>
        <v>0</v>
      </c>
      <c r="B12120" t="s">
        <v>3215</v>
      </c>
      <c r="C12120" t="s">
        <v>14998</v>
      </c>
      <c r="D12120" t="s">
        <v>17441</v>
      </c>
      <c r="E12120" t="s">
        <v>27886</v>
      </c>
      <c r="F12120" t="s">
        <v>30052</v>
      </c>
      <c r="G12120" t="s">
        <v>30058</v>
      </c>
      <c r="H12120" t="s">
        <v>15498</v>
      </c>
      <c r="I12120" t="s">
        <v>30130</v>
      </c>
      <c r="J12120" t="s">
        <v>37593</v>
      </c>
      <c r="K12120" t="s">
        <v>39025</v>
      </c>
      <c r="M12120" t="s">
        <v>42838</v>
      </c>
      <c r="N12120" t="s">
        <v>43166</v>
      </c>
      <c r="O12120" t="s">
        <v>43167</v>
      </c>
      <c r="Q12120">
        <v>10</v>
      </c>
      <c r="R12120" t="s">
        <v>43184</v>
      </c>
      <c r="S12120" t="s">
        <v>43847</v>
      </c>
      <c r="T12120" t="s">
        <v>44752</v>
      </c>
      <c r="U12120" t="s">
        <v>54874</v>
      </c>
      <c r="V12120" t="s">
        <v>58175</v>
      </c>
      <c r="W12120" t="s">
        <v>42838</v>
      </c>
      <c r="X12120" t="s">
        <v>43185</v>
      </c>
    </row>
    <row r="12121" spans="1:24">
      <c r="A12121">
        <f>HYPERLINK("https://www.philgeps.gov.ph/GEPSNONPILOT/Tender/SplashBidNoticeAbstractUI.aspx?menuIndex=3&amp;refID=7055988&amp;Result=3","7055988")</f>
        <v>0</v>
      </c>
      <c r="B12121" t="s">
        <v>871</v>
      </c>
      <c r="C12121" t="s">
        <v>14999</v>
      </c>
      <c r="D12121" t="s">
        <v>17445</v>
      </c>
      <c r="E12121" t="s">
        <v>27887</v>
      </c>
      <c r="F12121" t="s">
        <v>30052</v>
      </c>
      <c r="G12121" t="s">
        <v>30058</v>
      </c>
      <c r="H12121" t="s">
        <v>30067</v>
      </c>
      <c r="I12121" t="s">
        <v>3693</v>
      </c>
      <c r="J12121" t="s">
        <v>37594</v>
      </c>
      <c r="K12121" t="s">
        <v>39037</v>
      </c>
      <c r="M12121" t="s">
        <v>40190</v>
      </c>
      <c r="N12121" t="s">
        <v>43166</v>
      </c>
      <c r="O12121" t="s">
        <v>43167</v>
      </c>
      <c r="P12121">
        <v>0</v>
      </c>
      <c r="Q12121">
        <v>1</v>
      </c>
      <c r="R12121" t="s">
        <v>43184</v>
      </c>
      <c r="S12121" t="s">
        <v>43839</v>
      </c>
      <c r="T12121" t="s">
        <v>44787</v>
      </c>
      <c r="U12121" t="s">
        <v>54875</v>
      </c>
      <c r="W12121" t="s">
        <v>40190</v>
      </c>
      <c r="X12121" t="s">
        <v>43185</v>
      </c>
    </row>
    <row r="12122" spans="1:24">
      <c r="A12122">
        <f>HYPERLINK("https://www.philgeps.gov.ph/GEPSNONPILOT/Tender/SplashBidNoticeAbstractUI.aspx?menuIndex=3&amp;refID=7055854&amp;Result=3","7055854")</f>
        <v>0</v>
      </c>
      <c r="B12122" t="s">
        <v>1737</v>
      </c>
      <c r="C12122" t="s">
        <v>15000</v>
      </c>
      <c r="D12122" t="s">
        <v>17415</v>
      </c>
      <c r="E12122" t="s">
        <v>27888</v>
      </c>
      <c r="F12122" t="s">
        <v>30052</v>
      </c>
      <c r="G12122" t="s">
        <v>30058</v>
      </c>
      <c r="H12122" t="s">
        <v>15498</v>
      </c>
      <c r="I12122" t="s">
        <v>3693</v>
      </c>
      <c r="J12122" t="s">
        <v>37595</v>
      </c>
      <c r="K12122" t="s">
        <v>39026</v>
      </c>
      <c r="M12122" t="s">
        <v>41154</v>
      </c>
      <c r="N12122" t="s">
        <v>43166</v>
      </c>
      <c r="O12122" t="s">
        <v>43167</v>
      </c>
      <c r="P12122">
        <v>0</v>
      </c>
      <c r="Q12122">
        <v>3</v>
      </c>
      <c r="R12122" t="s">
        <v>43184</v>
      </c>
      <c r="S12122" t="s">
        <v>43839</v>
      </c>
      <c r="T12122" t="s">
        <v>44715</v>
      </c>
      <c r="U12122" t="s">
        <v>54876</v>
      </c>
      <c r="V12122" t="s">
        <v>58174</v>
      </c>
      <c r="W12122" t="s">
        <v>41154</v>
      </c>
      <c r="X12122" t="s">
        <v>43185</v>
      </c>
    </row>
    <row r="12123" spans="1:24">
      <c r="A12123">
        <f>HYPERLINK("https://www.philgeps.gov.ph/GEPSNONPILOT/Tender/SplashBidNoticeAbstractUI.aspx?menuIndex=3&amp;refID=7055837&amp;Result=3","7055837")</f>
        <v>0</v>
      </c>
      <c r="B12123" t="s">
        <v>3215</v>
      </c>
      <c r="C12123" t="s">
        <v>15001</v>
      </c>
      <c r="D12123" t="s">
        <v>17441</v>
      </c>
      <c r="E12123" t="s">
        <v>27889</v>
      </c>
      <c r="F12123" t="s">
        <v>30052</v>
      </c>
      <c r="G12123" t="s">
        <v>30058</v>
      </c>
      <c r="H12123" t="s">
        <v>15498</v>
      </c>
      <c r="I12123" t="s">
        <v>30130</v>
      </c>
      <c r="J12123" t="s">
        <v>30813</v>
      </c>
      <c r="K12123" t="s">
        <v>39025</v>
      </c>
      <c r="M12123" t="s">
        <v>42838</v>
      </c>
      <c r="N12123" t="s">
        <v>43166</v>
      </c>
      <c r="O12123" t="s">
        <v>43167</v>
      </c>
      <c r="Q12123">
        <v>44</v>
      </c>
      <c r="R12123" t="s">
        <v>43184</v>
      </c>
      <c r="S12123" t="s">
        <v>43848</v>
      </c>
      <c r="T12123" t="s">
        <v>44752</v>
      </c>
      <c r="U12123" t="s">
        <v>54877</v>
      </c>
      <c r="V12123" t="s">
        <v>58175</v>
      </c>
      <c r="W12123" t="s">
        <v>42838</v>
      </c>
      <c r="X12123" t="s">
        <v>43185</v>
      </c>
    </row>
    <row r="12124" spans="1:24">
      <c r="A12124">
        <f>HYPERLINK("https://www.philgeps.gov.ph/GEPSNONPILOT/Tender/SplashBidNoticeAbstractUI.aspx?menuIndex=3&amp;refID=7055770&amp;Result=3","7055770")</f>
        <v>0</v>
      </c>
      <c r="B12124" t="s">
        <v>3215</v>
      </c>
      <c r="C12124" t="s">
        <v>15002</v>
      </c>
      <c r="D12124" t="s">
        <v>17441</v>
      </c>
      <c r="E12124" t="s">
        <v>27890</v>
      </c>
      <c r="F12124" t="s">
        <v>30052</v>
      </c>
      <c r="G12124" t="s">
        <v>30058</v>
      </c>
      <c r="H12124" t="s">
        <v>15498</v>
      </c>
      <c r="I12124" t="s">
        <v>9238</v>
      </c>
      <c r="J12124" t="s">
        <v>37596</v>
      </c>
      <c r="K12124" t="s">
        <v>39025</v>
      </c>
      <c r="M12124" t="s">
        <v>42838</v>
      </c>
      <c r="N12124" t="s">
        <v>43166</v>
      </c>
      <c r="O12124" t="s">
        <v>43167</v>
      </c>
      <c r="Q12124">
        <v>44</v>
      </c>
      <c r="R12124" t="s">
        <v>43184</v>
      </c>
      <c r="S12124" t="s">
        <v>43849</v>
      </c>
      <c r="T12124" t="s">
        <v>44752</v>
      </c>
      <c r="U12124" t="s">
        <v>54878</v>
      </c>
      <c r="V12124" t="s">
        <v>58176</v>
      </c>
      <c r="W12124" t="s">
        <v>42838</v>
      </c>
      <c r="X12124" t="s">
        <v>43185</v>
      </c>
    </row>
    <row r="12125" spans="1:24">
      <c r="A12125">
        <f>HYPERLINK("https://www.philgeps.gov.ph/GEPSNONPILOT/Tender/SplashBidNoticeAbstractUI.aspx?menuIndex=3&amp;refID=7055660&amp;Result=3","7055660")</f>
        <v>0</v>
      </c>
      <c r="B12125" t="s">
        <v>674</v>
      </c>
      <c r="C12125" t="s">
        <v>15003</v>
      </c>
      <c r="D12125" t="s">
        <v>17422</v>
      </c>
      <c r="E12125" t="s">
        <v>21832</v>
      </c>
      <c r="F12125" t="s">
        <v>30052</v>
      </c>
      <c r="G12125" t="s">
        <v>30058</v>
      </c>
      <c r="H12125" t="s">
        <v>15498</v>
      </c>
      <c r="I12125" t="s">
        <v>3736</v>
      </c>
      <c r="J12125" t="s">
        <v>37597</v>
      </c>
      <c r="K12125" t="s">
        <v>39019</v>
      </c>
      <c r="M12125" t="s">
        <v>39980</v>
      </c>
      <c r="N12125" t="s">
        <v>43166</v>
      </c>
      <c r="O12125" t="s">
        <v>43167</v>
      </c>
      <c r="P12125">
        <v>0</v>
      </c>
      <c r="Q12125">
        <v>3</v>
      </c>
      <c r="R12125" t="s">
        <v>43184</v>
      </c>
      <c r="S12125" t="s">
        <v>43839</v>
      </c>
      <c r="T12125" t="s">
        <v>44959</v>
      </c>
      <c r="U12125" t="s">
        <v>46487</v>
      </c>
      <c r="W12125" t="s">
        <v>39980</v>
      </c>
      <c r="X12125" t="s">
        <v>43185</v>
      </c>
    </row>
    <row r="12126" spans="1:24">
      <c r="A12126">
        <f>HYPERLINK("https://www.philgeps.gov.ph/GEPSNONPILOT/Tender/SplashBidNoticeAbstractUI.aspx?menuIndex=3&amp;refID=7055659&amp;Result=3","7055659")</f>
        <v>0</v>
      </c>
      <c r="B12126" t="s">
        <v>674</v>
      </c>
      <c r="C12126" t="s">
        <v>15004</v>
      </c>
      <c r="D12126" t="s">
        <v>17422</v>
      </c>
      <c r="E12126" t="s">
        <v>27787</v>
      </c>
      <c r="F12126" t="s">
        <v>30052</v>
      </c>
      <c r="G12126" t="s">
        <v>30058</v>
      </c>
      <c r="H12126" t="s">
        <v>15498</v>
      </c>
      <c r="I12126" t="s">
        <v>30094</v>
      </c>
      <c r="J12126" t="s">
        <v>30308</v>
      </c>
      <c r="K12126" t="s">
        <v>39019</v>
      </c>
      <c r="M12126" t="s">
        <v>39980</v>
      </c>
      <c r="N12126" t="s">
        <v>43166</v>
      </c>
      <c r="O12126" t="s">
        <v>43167</v>
      </c>
      <c r="P12126">
        <v>0</v>
      </c>
      <c r="Q12126">
        <v>0</v>
      </c>
      <c r="R12126" t="s">
        <v>43184</v>
      </c>
      <c r="S12126" t="s">
        <v>43839</v>
      </c>
      <c r="T12126" t="s">
        <v>44970</v>
      </c>
      <c r="U12126" t="s">
        <v>54879</v>
      </c>
      <c r="W12126" t="s">
        <v>39980</v>
      </c>
      <c r="X12126" t="s">
        <v>43185</v>
      </c>
    </row>
    <row r="12127" spans="1:24">
      <c r="A12127">
        <f>HYPERLINK("https://www.philgeps.gov.ph/GEPSNONPILOT/Tender/SplashBidNoticeAbstractUI.aspx?menuIndex=3&amp;refID=7055658&amp;Result=3","7055658")</f>
        <v>0</v>
      </c>
      <c r="B12127" t="s">
        <v>674</v>
      </c>
      <c r="C12127" t="s">
        <v>15005</v>
      </c>
      <c r="D12127" t="s">
        <v>17422</v>
      </c>
      <c r="E12127" t="s">
        <v>24978</v>
      </c>
      <c r="F12127" t="s">
        <v>30052</v>
      </c>
      <c r="G12127" t="s">
        <v>30058</v>
      </c>
      <c r="H12127" t="s">
        <v>15498</v>
      </c>
      <c r="I12127" t="s">
        <v>30081</v>
      </c>
      <c r="J12127" t="s">
        <v>36592</v>
      </c>
      <c r="K12127" t="s">
        <v>39019</v>
      </c>
      <c r="M12127" t="s">
        <v>39980</v>
      </c>
      <c r="N12127" t="s">
        <v>43166</v>
      </c>
      <c r="O12127" t="s">
        <v>43167</v>
      </c>
      <c r="Q12127">
        <v>2</v>
      </c>
      <c r="R12127" t="s">
        <v>43184</v>
      </c>
      <c r="S12127" t="s">
        <v>43850</v>
      </c>
      <c r="T12127" t="s">
        <v>44970</v>
      </c>
      <c r="U12127" t="s">
        <v>54880</v>
      </c>
      <c r="W12127" t="s">
        <v>39980</v>
      </c>
      <c r="X12127" t="s">
        <v>43185</v>
      </c>
    </row>
    <row r="12128" spans="1:24">
      <c r="A12128">
        <f>HYPERLINK("https://www.philgeps.gov.ph/GEPSNONPILOT/Tender/SplashBidNoticeAbstractUI.aspx?menuIndex=3&amp;refID=7055874&amp;Result=3","7055874")</f>
        <v>0</v>
      </c>
      <c r="B12128" t="s">
        <v>1737</v>
      </c>
      <c r="C12128" t="s">
        <v>15006</v>
      </c>
      <c r="D12128" t="s">
        <v>17415</v>
      </c>
      <c r="E12128" t="s">
        <v>27891</v>
      </c>
      <c r="F12128" t="s">
        <v>30052</v>
      </c>
      <c r="G12128" t="s">
        <v>30058</v>
      </c>
      <c r="H12128" t="s">
        <v>30067</v>
      </c>
      <c r="I12128" t="s">
        <v>3693</v>
      </c>
      <c r="J12128" t="s">
        <v>37598</v>
      </c>
      <c r="K12128" t="s">
        <v>39022</v>
      </c>
      <c r="M12128" t="s">
        <v>41154</v>
      </c>
      <c r="N12128" t="s">
        <v>43166</v>
      </c>
      <c r="O12128" t="s">
        <v>43167</v>
      </c>
      <c r="P12128">
        <v>0</v>
      </c>
      <c r="Q12128">
        <v>4</v>
      </c>
      <c r="R12128" t="s">
        <v>43184</v>
      </c>
      <c r="S12128" t="s">
        <v>43839</v>
      </c>
      <c r="T12128" t="s">
        <v>44715</v>
      </c>
      <c r="U12128" t="s">
        <v>54881</v>
      </c>
      <c r="V12128" t="s">
        <v>58174</v>
      </c>
      <c r="W12128" t="s">
        <v>41154</v>
      </c>
      <c r="X12128" t="s">
        <v>43185</v>
      </c>
    </row>
    <row r="12129" spans="1:24">
      <c r="A12129">
        <f>HYPERLINK("https://www.philgeps.gov.ph/GEPSNONPILOT/Tender/SplashBidNoticeAbstractUI.aspx?menuIndex=3&amp;refID=7055651&amp;Result=3","7055651")</f>
        <v>0</v>
      </c>
      <c r="B12129" t="s">
        <v>3219</v>
      </c>
      <c r="C12129" t="s">
        <v>15007</v>
      </c>
      <c r="D12129" t="s">
        <v>17434</v>
      </c>
      <c r="E12129" t="s">
        <v>27892</v>
      </c>
      <c r="F12129" t="s">
        <v>30052</v>
      </c>
      <c r="G12129" t="s">
        <v>30059</v>
      </c>
      <c r="H12129" t="s">
        <v>15498</v>
      </c>
      <c r="I12129" t="s">
        <v>30091</v>
      </c>
      <c r="J12129" t="s">
        <v>30222</v>
      </c>
      <c r="K12129" t="s">
        <v>39029</v>
      </c>
      <c r="M12129" t="s">
        <v>42843</v>
      </c>
      <c r="N12129" t="s">
        <v>43166</v>
      </c>
      <c r="O12129" t="s">
        <v>43167</v>
      </c>
      <c r="P12129">
        <v>0</v>
      </c>
      <c r="Q12129">
        <v>5</v>
      </c>
      <c r="R12129" t="s">
        <v>43184</v>
      </c>
      <c r="S12129" t="s">
        <v>43839</v>
      </c>
      <c r="T12129" t="s">
        <v>44888</v>
      </c>
      <c r="U12129" t="s">
        <v>54882</v>
      </c>
      <c r="V12129" t="s">
        <v>58177</v>
      </c>
      <c r="W12129" t="s">
        <v>42843</v>
      </c>
      <c r="X12129" t="s">
        <v>43185</v>
      </c>
    </row>
    <row r="12130" spans="1:24">
      <c r="A12130">
        <f>HYPERLINK("https://www.philgeps.gov.ph/GEPSNONPILOT/Tender/SplashBidNoticeAbstractUI.aspx?menuIndex=3&amp;refID=7055646&amp;Result=3","7055646")</f>
        <v>0</v>
      </c>
      <c r="B12130" t="s">
        <v>3219</v>
      </c>
      <c r="C12130" t="s">
        <v>15008</v>
      </c>
      <c r="D12130" t="s">
        <v>17434</v>
      </c>
      <c r="E12130" t="s">
        <v>27893</v>
      </c>
      <c r="F12130" t="s">
        <v>30052</v>
      </c>
      <c r="G12130" t="s">
        <v>30059</v>
      </c>
      <c r="H12130" t="s">
        <v>15498</v>
      </c>
      <c r="I12130" t="s">
        <v>30091</v>
      </c>
      <c r="J12130" t="s">
        <v>30343</v>
      </c>
      <c r="K12130" t="s">
        <v>39029</v>
      </c>
      <c r="M12130" t="s">
        <v>42843</v>
      </c>
      <c r="N12130" t="s">
        <v>43166</v>
      </c>
      <c r="O12130" t="s">
        <v>43167</v>
      </c>
      <c r="P12130">
        <v>0</v>
      </c>
      <c r="Q12130">
        <v>4</v>
      </c>
      <c r="R12130" t="s">
        <v>43184</v>
      </c>
      <c r="S12130" t="s">
        <v>43839</v>
      </c>
      <c r="T12130" t="s">
        <v>44888</v>
      </c>
      <c r="U12130" t="s">
        <v>54883</v>
      </c>
      <c r="V12130" t="s">
        <v>58178</v>
      </c>
      <c r="W12130" t="s">
        <v>42843</v>
      </c>
      <c r="X12130" t="s">
        <v>43185</v>
      </c>
    </row>
    <row r="12131" spans="1:24">
      <c r="A12131">
        <f>HYPERLINK("https://www.philgeps.gov.ph/GEPSNONPILOT/Tender/SplashBidNoticeAbstractUI.aspx?menuIndex=3&amp;refID=7055792&amp;Result=3","7055792")</f>
        <v>0</v>
      </c>
      <c r="B12131" t="s">
        <v>3215</v>
      </c>
      <c r="C12131" t="s">
        <v>15009</v>
      </c>
      <c r="D12131" t="s">
        <v>17441</v>
      </c>
      <c r="E12131" t="s">
        <v>27894</v>
      </c>
      <c r="F12131" t="s">
        <v>30052</v>
      </c>
      <c r="G12131" t="s">
        <v>30058</v>
      </c>
      <c r="H12131" t="s">
        <v>15498</v>
      </c>
      <c r="I12131" t="s">
        <v>30130</v>
      </c>
      <c r="J12131" t="s">
        <v>37599</v>
      </c>
      <c r="K12131" t="s">
        <v>39025</v>
      </c>
      <c r="M12131" t="s">
        <v>42838</v>
      </c>
      <c r="N12131" t="s">
        <v>43166</v>
      </c>
      <c r="O12131" t="s">
        <v>43167</v>
      </c>
      <c r="Q12131">
        <v>29</v>
      </c>
      <c r="R12131" t="s">
        <v>43184</v>
      </c>
      <c r="S12131" t="s">
        <v>43851</v>
      </c>
      <c r="T12131" t="s">
        <v>44906</v>
      </c>
      <c r="U12131" t="s">
        <v>54884</v>
      </c>
      <c r="V12131" t="s">
        <v>58179</v>
      </c>
      <c r="W12131" t="s">
        <v>42838</v>
      </c>
      <c r="X12131" t="s">
        <v>43185</v>
      </c>
    </row>
    <row r="12132" spans="1:24">
      <c r="A12132">
        <f>HYPERLINK("https://www.philgeps.gov.ph/GEPSNONPILOT/Tender/SplashBidNoticeAbstractUI.aspx?menuIndex=3&amp;refID=7055652&amp;Result=3","7055652")</f>
        <v>0</v>
      </c>
      <c r="B12132" t="s">
        <v>446</v>
      </c>
      <c r="C12132" t="s">
        <v>15010</v>
      </c>
      <c r="D12132" t="s">
        <v>17466</v>
      </c>
      <c r="E12132" t="s">
        <v>27895</v>
      </c>
      <c r="F12132" t="s">
        <v>30052</v>
      </c>
      <c r="G12132" t="s">
        <v>30058</v>
      </c>
      <c r="H12132" t="s">
        <v>15498</v>
      </c>
      <c r="I12132" t="s">
        <v>30085</v>
      </c>
      <c r="J12132" t="s">
        <v>37600</v>
      </c>
      <c r="K12132" t="s">
        <v>39036</v>
      </c>
      <c r="M12132" t="s">
        <v>39746</v>
      </c>
      <c r="N12132" t="s">
        <v>43166</v>
      </c>
      <c r="O12132" t="s">
        <v>43167</v>
      </c>
      <c r="P12132">
        <v>0</v>
      </c>
      <c r="Q12132">
        <v>0</v>
      </c>
      <c r="R12132" t="s">
        <v>43184</v>
      </c>
      <c r="S12132" t="s">
        <v>43839</v>
      </c>
      <c r="T12132" t="s">
        <v>44777</v>
      </c>
      <c r="U12132" t="s">
        <v>54885</v>
      </c>
      <c r="W12132" t="s">
        <v>39746</v>
      </c>
      <c r="X12132" t="s">
        <v>43185</v>
      </c>
    </row>
    <row r="12133" spans="1:24">
      <c r="A12133">
        <f>HYPERLINK("https://www.philgeps.gov.ph/GEPSNONPILOT/Tender/SplashBidNoticeAbstractUI.aspx?menuIndex=3&amp;refID=7058291&amp;Result=3","7058291")</f>
        <v>0</v>
      </c>
      <c r="B12133" t="s">
        <v>2454</v>
      </c>
      <c r="C12133" t="s">
        <v>15011</v>
      </c>
      <c r="D12133" t="s">
        <v>17486</v>
      </c>
      <c r="E12133" t="s">
        <v>27896</v>
      </c>
      <c r="F12133" t="s">
        <v>30052</v>
      </c>
      <c r="G12133" t="s">
        <v>30058</v>
      </c>
      <c r="H12133" t="s">
        <v>15498</v>
      </c>
      <c r="I12133" t="s">
        <v>3736</v>
      </c>
      <c r="J12133" t="s">
        <v>37601</v>
      </c>
      <c r="K12133" t="s">
        <v>39029</v>
      </c>
      <c r="M12133" t="s">
        <v>41953</v>
      </c>
      <c r="N12133" t="s">
        <v>43166</v>
      </c>
      <c r="O12133" t="s">
        <v>43167</v>
      </c>
      <c r="Q12133">
        <v>1</v>
      </c>
      <c r="R12133" t="s">
        <v>43183</v>
      </c>
      <c r="S12133" t="s">
        <v>43852</v>
      </c>
      <c r="T12133" t="s">
        <v>44717</v>
      </c>
      <c r="U12133" t="s">
        <v>54886</v>
      </c>
      <c r="W12133" t="s">
        <v>41953</v>
      </c>
      <c r="X12133" t="s">
        <v>43184</v>
      </c>
    </row>
    <row r="12134" spans="1:24">
      <c r="A12134">
        <f>HYPERLINK("https://www.philgeps.gov.ph/GEPSNONPILOT/Tender/SplashBidNoticeAbstractUI.aspx?menuIndex=3&amp;refID=7050641&amp;Result=3","7050641")</f>
        <v>0</v>
      </c>
      <c r="B12134" t="s">
        <v>784</v>
      </c>
      <c r="C12134" t="s">
        <v>15012</v>
      </c>
      <c r="E12134" t="s">
        <v>27897</v>
      </c>
      <c r="F12134" t="s">
        <v>30052</v>
      </c>
      <c r="G12134" t="s">
        <v>30058</v>
      </c>
      <c r="H12134" t="s">
        <v>30067</v>
      </c>
      <c r="I12134" t="s">
        <v>3693</v>
      </c>
      <c r="J12134" t="s">
        <v>37602</v>
      </c>
      <c r="K12134" t="s">
        <v>39025</v>
      </c>
      <c r="M12134" t="s">
        <v>40101</v>
      </c>
      <c r="N12134" t="s">
        <v>43166</v>
      </c>
      <c r="O12134" t="s">
        <v>43167</v>
      </c>
      <c r="P12134">
        <v>0</v>
      </c>
      <c r="Q12134">
        <v>6</v>
      </c>
      <c r="R12134" t="s">
        <v>43184</v>
      </c>
      <c r="S12134" t="s">
        <v>43839</v>
      </c>
      <c r="T12134" t="s">
        <v>44699</v>
      </c>
      <c r="U12134" t="s">
        <v>54887</v>
      </c>
      <c r="V12134" t="s">
        <v>58156</v>
      </c>
      <c r="W12134" t="s">
        <v>40101</v>
      </c>
      <c r="X12134" t="s">
        <v>43187</v>
      </c>
    </row>
    <row r="12135" spans="1:24">
      <c r="A12135">
        <f>HYPERLINK("https://www.philgeps.gov.ph/GEPSNONPILOT/Tender/SplashBidNoticeAbstractUI.aspx?menuIndex=3&amp;refID=7058278&amp;Result=3","7058278")</f>
        <v>0</v>
      </c>
      <c r="B12135" t="s">
        <v>2454</v>
      </c>
      <c r="C12135" t="s">
        <v>15013</v>
      </c>
      <c r="D12135" t="s">
        <v>17486</v>
      </c>
      <c r="E12135" t="s">
        <v>27898</v>
      </c>
      <c r="F12135" t="s">
        <v>30052</v>
      </c>
      <c r="G12135" t="s">
        <v>30058</v>
      </c>
      <c r="H12135" t="s">
        <v>30067</v>
      </c>
      <c r="I12135" t="s">
        <v>3693</v>
      </c>
      <c r="J12135" t="s">
        <v>30240</v>
      </c>
      <c r="K12135" t="s">
        <v>39026</v>
      </c>
      <c r="M12135" t="s">
        <v>41953</v>
      </c>
      <c r="N12135" t="s">
        <v>43166</v>
      </c>
      <c r="O12135" t="s">
        <v>43167</v>
      </c>
      <c r="P12135">
        <v>0</v>
      </c>
      <c r="Q12135">
        <v>2</v>
      </c>
      <c r="R12135" t="s">
        <v>43183</v>
      </c>
      <c r="S12135" t="s">
        <v>43828</v>
      </c>
      <c r="T12135" t="s">
        <v>44717</v>
      </c>
      <c r="U12135" t="s">
        <v>54815</v>
      </c>
      <c r="W12135" t="s">
        <v>41953</v>
      </c>
      <c r="X12135" t="s">
        <v>43184</v>
      </c>
    </row>
    <row r="12136" spans="1:24">
      <c r="A12136">
        <f>HYPERLINK("https://www.philgeps.gov.ph/GEPSNONPILOT/Tender/SplashBidNoticeAbstractUI.aspx?menuIndex=3&amp;refID=7050669&amp;Result=3","7050669")</f>
        <v>0</v>
      </c>
      <c r="B12136" t="s">
        <v>784</v>
      </c>
      <c r="C12136" t="s">
        <v>15014</v>
      </c>
      <c r="E12136" t="s">
        <v>27899</v>
      </c>
      <c r="F12136" t="s">
        <v>30052</v>
      </c>
      <c r="G12136" t="s">
        <v>30058</v>
      </c>
      <c r="H12136" t="s">
        <v>30067</v>
      </c>
      <c r="I12136" t="s">
        <v>3693</v>
      </c>
      <c r="J12136" t="s">
        <v>37603</v>
      </c>
      <c r="K12136" t="s">
        <v>39025</v>
      </c>
      <c r="M12136" t="s">
        <v>40101</v>
      </c>
      <c r="N12136" t="s">
        <v>43166</v>
      </c>
      <c r="O12136" t="s">
        <v>43167</v>
      </c>
      <c r="P12136">
        <v>0</v>
      </c>
      <c r="Q12136">
        <v>5</v>
      </c>
      <c r="R12136" t="s">
        <v>43184</v>
      </c>
      <c r="S12136" t="s">
        <v>43839</v>
      </c>
      <c r="T12136" t="s">
        <v>44699</v>
      </c>
      <c r="U12136" t="s">
        <v>54888</v>
      </c>
      <c r="V12136" t="s">
        <v>58156</v>
      </c>
      <c r="W12136" t="s">
        <v>40101</v>
      </c>
      <c r="X12136" t="s">
        <v>43187</v>
      </c>
    </row>
    <row r="12137" spans="1:24">
      <c r="A12137">
        <f>HYPERLINK("https://www.philgeps.gov.ph/GEPSNONPILOT/Tender/SplashBidNoticeAbstractUI.aspx?menuIndex=3&amp;refID=7058184&amp;Result=3","7058184")</f>
        <v>0</v>
      </c>
      <c r="B12137" t="s">
        <v>2214</v>
      </c>
      <c r="C12137" t="s">
        <v>10051</v>
      </c>
      <c r="D12137" t="s">
        <v>17415</v>
      </c>
      <c r="E12137" t="s">
        <v>27900</v>
      </c>
      <c r="F12137" t="s">
        <v>30052</v>
      </c>
      <c r="G12137" t="s">
        <v>30058</v>
      </c>
      <c r="H12137" t="s">
        <v>15498</v>
      </c>
      <c r="I12137" t="s">
        <v>4642</v>
      </c>
      <c r="J12137" t="s">
        <v>37604</v>
      </c>
      <c r="K12137" t="s">
        <v>39017</v>
      </c>
      <c r="M12137" t="s">
        <v>41684</v>
      </c>
      <c r="N12137" t="s">
        <v>43166</v>
      </c>
      <c r="O12137" t="s">
        <v>43167</v>
      </c>
      <c r="P12137">
        <v>0</v>
      </c>
      <c r="Q12137">
        <v>0</v>
      </c>
      <c r="R12137" t="s">
        <v>43183</v>
      </c>
      <c r="S12137" t="s">
        <v>43828</v>
      </c>
      <c r="T12137" t="s">
        <v>44733</v>
      </c>
      <c r="U12137" t="s">
        <v>54889</v>
      </c>
      <c r="W12137" t="s">
        <v>41684</v>
      </c>
      <c r="X12137" t="s">
        <v>43184</v>
      </c>
    </row>
    <row r="12138" spans="1:24">
      <c r="A12138">
        <f>HYPERLINK("https://www.philgeps.gov.ph/GEPSNONPILOT/Tender/SplashBidNoticeAbstractUI.aspx?menuIndex=3&amp;refID=7058119&amp;Result=3","7058119")</f>
        <v>0</v>
      </c>
      <c r="B12138" t="s">
        <v>1791</v>
      </c>
      <c r="C12138" t="s">
        <v>15015</v>
      </c>
      <c r="D12138" t="s">
        <v>17424</v>
      </c>
      <c r="E12138" t="s">
        <v>27901</v>
      </c>
      <c r="F12138" t="s">
        <v>30052</v>
      </c>
      <c r="G12138" t="s">
        <v>30058</v>
      </c>
      <c r="H12138" t="s">
        <v>15498</v>
      </c>
      <c r="I12138" t="s">
        <v>3736</v>
      </c>
      <c r="J12138" t="s">
        <v>31452</v>
      </c>
      <c r="K12138" t="s">
        <v>39029</v>
      </c>
      <c r="M12138" t="s">
        <v>41213</v>
      </c>
      <c r="N12138" t="s">
        <v>43166</v>
      </c>
      <c r="O12138" t="s">
        <v>43167</v>
      </c>
      <c r="P12138">
        <v>0</v>
      </c>
      <c r="Q12138">
        <v>2</v>
      </c>
      <c r="R12138" t="s">
        <v>43183</v>
      </c>
      <c r="S12138" t="s">
        <v>43828</v>
      </c>
      <c r="T12138" t="s">
        <v>44956</v>
      </c>
      <c r="U12138" t="s">
        <v>54890</v>
      </c>
      <c r="W12138" t="s">
        <v>41213</v>
      </c>
      <c r="X12138" t="s">
        <v>43184</v>
      </c>
    </row>
    <row r="12139" spans="1:24">
      <c r="A12139">
        <f>HYPERLINK("https://www.philgeps.gov.ph/GEPSNONPILOT/Tender/SplashBidNoticeAbstractUI.aspx?menuIndex=3&amp;refID=7055890&amp;Result=3","7055890")</f>
        <v>0</v>
      </c>
      <c r="B12139" t="s">
        <v>1865</v>
      </c>
      <c r="C12139" t="s">
        <v>15016</v>
      </c>
      <c r="D12139" t="s">
        <v>17424</v>
      </c>
      <c r="E12139" t="s">
        <v>27902</v>
      </c>
      <c r="F12139" t="s">
        <v>30052</v>
      </c>
      <c r="G12139" t="s">
        <v>30058</v>
      </c>
      <c r="H12139" t="s">
        <v>15498</v>
      </c>
      <c r="I12139" t="s">
        <v>30074</v>
      </c>
      <c r="J12139" t="s">
        <v>34761</v>
      </c>
      <c r="K12139" t="s">
        <v>39029</v>
      </c>
      <c r="M12139" t="s">
        <v>41294</v>
      </c>
      <c r="N12139" t="s">
        <v>43166</v>
      </c>
      <c r="O12139" t="s">
        <v>43167</v>
      </c>
      <c r="Q12139">
        <v>5</v>
      </c>
      <c r="R12139" t="s">
        <v>43184</v>
      </c>
      <c r="S12139" t="s">
        <v>43853</v>
      </c>
      <c r="T12139" t="s">
        <v>44880</v>
      </c>
      <c r="U12139" t="s">
        <v>54891</v>
      </c>
      <c r="W12139" t="s">
        <v>41294</v>
      </c>
      <c r="X12139" t="s">
        <v>43185</v>
      </c>
    </row>
    <row r="12140" spans="1:24">
      <c r="A12140">
        <f>HYPERLINK("https://www.philgeps.gov.ph/GEPSNONPILOT/Tender/SplashBidNoticeAbstractUI.aspx?menuIndex=3&amp;refID=7054801&amp;Result=3","7054801")</f>
        <v>0</v>
      </c>
      <c r="B12140" t="s">
        <v>492</v>
      </c>
      <c r="C12140" t="s">
        <v>15017</v>
      </c>
      <c r="E12140" t="s">
        <v>27903</v>
      </c>
      <c r="F12140" t="s">
        <v>30052</v>
      </c>
      <c r="G12140" t="s">
        <v>30058</v>
      </c>
      <c r="H12140" t="s">
        <v>15498</v>
      </c>
      <c r="I12140" t="s">
        <v>30091</v>
      </c>
      <c r="J12140" t="s">
        <v>37605</v>
      </c>
      <c r="K12140" t="s">
        <v>39029</v>
      </c>
      <c r="M12140" t="s">
        <v>39793</v>
      </c>
      <c r="N12140" t="s">
        <v>43166</v>
      </c>
      <c r="O12140" t="s">
        <v>43167</v>
      </c>
      <c r="Q12140">
        <v>2</v>
      </c>
      <c r="R12140" t="s">
        <v>43183</v>
      </c>
      <c r="S12140" t="s">
        <v>43854</v>
      </c>
      <c r="T12140" t="s">
        <v>44724</v>
      </c>
      <c r="U12140" t="s">
        <v>54892</v>
      </c>
      <c r="V12140" t="s">
        <v>58180</v>
      </c>
      <c r="W12140" t="s">
        <v>39793</v>
      </c>
      <c r="X12140" t="s">
        <v>43186</v>
      </c>
    </row>
    <row r="12141" spans="1:24">
      <c r="A12141">
        <f>HYPERLINK("https://www.philgeps.gov.ph/GEPSNONPILOT/Tender/SplashBidNoticeAbstractUI.aspx?menuIndex=3&amp;refID=7054111&amp;Result=3","7054111")</f>
        <v>0</v>
      </c>
      <c r="B12141" t="s">
        <v>490</v>
      </c>
      <c r="C12141" t="s">
        <v>15018</v>
      </c>
      <c r="D12141" t="s">
        <v>17435</v>
      </c>
      <c r="E12141" t="s">
        <v>27904</v>
      </c>
      <c r="F12141" t="s">
        <v>30052</v>
      </c>
      <c r="G12141" t="s">
        <v>30058</v>
      </c>
      <c r="H12141" t="s">
        <v>15498</v>
      </c>
      <c r="I12141" t="s">
        <v>3606</v>
      </c>
      <c r="J12141" t="s">
        <v>37606</v>
      </c>
      <c r="K12141" t="s">
        <v>39029</v>
      </c>
      <c r="M12141" t="s">
        <v>39791</v>
      </c>
      <c r="N12141" t="s">
        <v>43166</v>
      </c>
      <c r="O12141" t="s">
        <v>43167</v>
      </c>
      <c r="Q12141">
        <v>3</v>
      </c>
      <c r="R12141" t="s">
        <v>43183</v>
      </c>
      <c r="S12141" t="s">
        <v>43855</v>
      </c>
      <c r="T12141" t="s">
        <v>44681</v>
      </c>
      <c r="U12141" t="s">
        <v>54893</v>
      </c>
      <c r="V12141" t="s">
        <v>57841</v>
      </c>
      <c r="W12141" t="s">
        <v>39791</v>
      </c>
      <c r="X12141" t="s">
        <v>43186</v>
      </c>
    </row>
    <row r="12142" spans="1:24">
      <c r="A12142">
        <f>HYPERLINK("https://www.philgeps.gov.ph/GEPSNONPILOT/Tender/SplashBidNoticeAbstractUI.aspx?menuIndex=3&amp;refID=7058205&amp;Result=3","7058205")</f>
        <v>0</v>
      </c>
      <c r="B12142" t="s">
        <v>1359</v>
      </c>
      <c r="C12142" t="s">
        <v>15019</v>
      </c>
      <c r="D12142" t="s">
        <v>17415</v>
      </c>
      <c r="E12142" t="s">
        <v>27905</v>
      </c>
      <c r="F12142" t="s">
        <v>30052</v>
      </c>
      <c r="G12142" t="s">
        <v>30058</v>
      </c>
      <c r="H12142" t="s">
        <v>15498</v>
      </c>
      <c r="I12142" t="s">
        <v>3736</v>
      </c>
      <c r="J12142" t="s">
        <v>37607</v>
      </c>
      <c r="K12142" t="s">
        <v>39019</v>
      </c>
      <c r="M12142" t="s">
        <v>40728</v>
      </c>
      <c r="N12142" t="s">
        <v>43166</v>
      </c>
      <c r="O12142" t="s">
        <v>43167</v>
      </c>
      <c r="P12142">
        <v>0</v>
      </c>
      <c r="Q12142">
        <v>0</v>
      </c>
      <c r="R12142" t="s">
        <v>43183</v>
      </c>
      <c r="S12142" t="s">
        <v>43828</v>
      </c>
      <c r="T12142" t="s">
        <v>44698</v>
      </c>
      <c r="U12142" t="s">
        <v>54894</v>
      </c>
      <c r="W12142" t="s">
        <v>58636</v>
      </c>
      <c r="X12142" t="s">
        <v>43184</v>
      </c>
    </row>
    <row r="12143" spans="1:24">
      <c r="A12143">
        <f>HYPERLINK("https://www.philgeps.gov.ph/GEPSNONPILOT/Tender/SplashBidNoticeAbstractUI.aspx?menuIndex=3&amp;refID=7053984&amp;Result=3","7053984")</f>
        <v>0</v>
      </c>
      <c r="B12143" t="s">
        <v>492</v>
      </c>
      <c r="C12143" t="s">
        <v>15020</v>
      </c>
      <c r="E12143" t="s">
        <v>27906</v>
      </c>
      <c r="F12143" t="s">
        <v>30052</v>
      </c>
      <c r="G12143" t="s">
        <v>30058</v>
      </c>
      <c r="H12143" t="s">
        <v>15498</v>
      </c>
      <c r="I12143" t="s">
        <v>30091</v>
      </c>
      <c r="J12143" t="s">
        <v>37608</v>
      </c>
      <c r="K12143" t="s">
        <v>39025</v>
      </c>
      <c r="M12143" t="s">
        <v>39793</v>
      </c>
      <c r="N12143" t="s">
        <v>43166</v>
      </c>
      <c r="O12143" t="s">
        <v>43167</v>
      </c>
      <c r="P12143">
        <v>0</v>
      </c>
      <c r="Q12143">
        <v>1</v>
      </c>
      <c r="R12143" t="s">
        <v>43183</v>
      </c>
      <c r="S12143" t="s">
        <v>43828</v>
      </c>
      <c r="T12143" t="s">
        <v>44724</v>
      </c>
      <c r="U12143" t="s">
        <v>54895</v>
      </c>
      <c r="V12143" t="s">
        <v>58180</v>
      </c>
      <c r="W12143" t="s">
        <v>39793</v>
      </c>
      <c r="X12143" t="s">
        <v>43186</v>
      </c>
    </row>
    <row r="12144" spans="1:24">
      <c r="A12144">
        <f>HYPERLINK("https://www.philgeps.gov.ph/GEPSNONPILOT/Tender/SplashBidNoticeAbstractUI.aspx?menuIndex=3&amp;refID=7050657&amp;Result=3","7050657")</f>
        <v>0</v>
      </c>
      <c r="B12144" t="s">
        <v>784</v>
      </c>
      <c r="C12144" t="s">
        <v>15021</v>
      </c>
      <c r="E12144" t="s">
        <v>27907</v>
      </c>
      <c r="F12144" t="s">
        <v>30052</v>
      </c>
      <c r="G12144" t="s">
        <v>30058</v>
      </c>
      <c r="H12144" t="s">
        <v>30067</v>
      </c>
      <c r="I12144" t="s">
        <v>3693</v>
      </c>
      <c r="J12144" t="s">
        <v>37609</v>
      </c>
      <c r="K12144" t="s">
        <v>39025</v>
      </c>
      <c r="M12144" t="s">
        <v>40101</v>
      </c>
      <c r="N12144" t="s">
        <v>43166</v>
      </c>
      <c r="O12144" t="s">
        <v>43167</v>
      </c>
      <c r="P12144">
        <v>0</v>
      </c>
      <c r="Q12144">
        <v>6</v>
      </c>
      <c r="R12144" t="s">
        <v>43184</v>
      </c>
      <c r="S12144" t="s">
        <v>43839</v>
      </c>
      <c r="T12144" t="s">
        <v>44699</v>
      </c>
      <c r="U12144" t="s">
        <v>54896</v>
      </c>
      <c r="V12144" t="s">
        <v>58156</v>
      </c>
      <c r="W12144" t="s">
        <v>40101</v>
      </c>
      <c r="X12144" t="s">
        <v>43187</v>
      </c>
    </row>
    <row r="12145" spans="1:24">
      <c r="A12145">
        <f>HYPERLINK("https://www.philgeps.gov.ph/GEPSNONPILOT/Tender/SplashBidNoticeAbstractUI.aspx?menuIndex=3&amp;refID=7058145&amp;Result=3","7058145")</f>
        <v>0</v>
      </c>
      <c r="B12145" t="s">
        <v>1600</v>
      </c>
      <c r="C12145" t="s">
        <v>15022</v>
      </c>
      <c r="D12145" t="s">
        <v>17441</v>
      </c>
      <c r="E12145" t="s">
        <v>27908</v>
      </c>
      <c r="F12145" t="s">
        <v>30052</v>
      </c>
      <c r="G12145" t="s">
        <v>30058</v>
      </c>
      <c r="H12145" t="s">
        <v>30067</v>
      </c>
      <c r="I12145" t="s">
        <v>3693</v>
      </c>
      <c r="J12145" t="s">
        <v>37610</v>
      </c>
      <c r="K12145" t="s">
        <v>39026</v>
      </c>
      <c r="M12145" t="s">
        <v>40998</v>
      </c>
      <c r="N12145" t="s">
        <v>43166</v>
      </c>
      <c r="O12145" t="s">
        <v>43167</v>
      </c>
      <c r="P12145">
        <v>0</v>
      </c>
      <c r="Q12145">
        <v>16</v>
      </c>
      <c r="R12145" t="s">
        <v>43183</v>
      </c>
      <c r="S12145" t="s">
        <v>43828</v>
      </c>
      <c r="T12145" t="s">
        <v>44710</v>
      </c>
      <c r="U12145" t="s">
        <v>54897</v>
      </c>
      <c r="V12145" t="s">
        <v>58181</v>
      </c>
      <c r="W12145" t="s">
        <v>40998</v>
      </c>
      <c r="X12145" t="s">
        <v>43184</v>
      </c>
    </row>
    <row r="12146" spans="1:24">
      <c r="A12146">
        <f>HYPERLINK("https://www.philgeps.gov.ph/GEPSNONPILOT/Tender/SplashBidNoticeAbstractUI.aspx?menuIndex=3&amp;refID=7053962&amp;Result=3","7053962")</f>
        <v>0</v>
      </c>
      <c r="B12146" t="s">
        <v>492</v>
      </c>
      <c r="C12146" t="s">
        <v>15023</v>
      </c>
      <c r="D12146" t="s">
        <v>17459</v>
      </c>
      <c r="E12146" t="s">
        <v>27909</v>
      </c>
      <c r="F12146" t="s">
        <v>30052</v>
      </c>
      <c r="G12146" t="s">
        <v>30058</v>
      </c>
      <c r="H12146" t="s">
        <v>15498</v>
      </c>
      <c r="I12146" t="s">
        <v>30117</v>
      </c>
      <c r="J12146" t="s">
        <v>37611</v>
      </c>
      <c r="K12146" t="s">
        <v>39025</v>
      </c>
      <c r="M12146" t="s">
        <v>39793</v>
      </c>
      <c r="N12146" t="s">
        <v>43166</v>
      </c>
      <c r="O12146" t="s">
        <v>43167</v>
      </c>
      <c r="P12146">
        <v>0</v>
      </c>
      <c r="Q12146">
        <v>2</v>
      </c>
      <c r="R12146" t="s">
        <v>43183</v>
      </c>
      <c r="S12146" t="s">
        <v>43828</v>
      </c>
      <c r="T12146" t="s">
        <v>44724</v>
      </c>
      <c r="U12146" t="s">
        <v>54898</v>
      </c>
      <c r="V12146" t="s">
        <v>58180</v>
      </c>
      <c r="W12146" t="s">
        <v>39793</v>
      </c>
      <c r="X12146" t="s">
        <v>43186</v>
      </c>
    </row>
    <row r="12147" spans="1:24">
      <c r="A12147">
        <f>HYPERLINK("https://www.philgeps.gov.ph/GEPSNONPILOT/Tender/SplashBidNoticeAbstractUI.aspx?menuIndex=3&amp;refID=7056222&amp;Result=3","7056222")</f>
        <v>0</v>
      </c>
      <c r="B12147" t="s">
        <v>3220</v>
      </c>
      <c r="C12147" t="s">
        <v>15024</v>
      </c>
      <c r="D12147" t="s">
        <v>17417</v>
      </c>
      <c r="E12147" t="s">
        <v>17892</v>
      </c>
      <c r="F12147" t="s">
        <v>30052</v>
      </c>
      <c r="G12147" t="s">
        <v>30058</v>
      </c>
      <c r="H12147" t="s">
        <v>30067</v>
      </c>
      <c r="I12147" t="s">
        <v>3693</v>
      </c>
      <c r="J12147" t="s">
        <v>30358</v>
      </c>
      <c r="K12147" t="s">
        <v>39029</v>
      </c>
      <c r="M12147" t="s">
        <v>42844</v>
      </c>
      <c r="N12147" t="s">
        <v>43166</v>
      </c>
      <c r="O12147" t="s">
        <v>43167</v>
      </c>
      <c r="P12147">
        <v>0</v>
      </c>
      <c r="Q12147">
        <v>0</v>
      </c>
      <c r="R12147" t="s">
        <v>43184</v>
      </c>
      <c r="S12147" t="s">
        <v>43839</v>
      </c>
      <c r="T12147" t="s">
        <v>44719</v>
      </c>
      <c r="U12147" t="s">
        <v>54899</v>
      </c>
      <c r="W12147" t="s">
        <v>42844</v>
      </c>
      <c r="X12147" t="s">
        <v>43185</v>
      </c>
    </row>
    <row r="12148" spans="1:24">
      <c r="A12148">
        <f>HYPERLINK("https://www.philgeps.gov.ph/GEPSNONPILOT/Tender/SplashBidNoticeAbstractUI.aspx?menuIndex=3&amp;refID=7056229&amp;Result=3","7056229")</f>
        <v>0</v>
      </c>
      <c r="B12148" t="s">
        <v>3221</v>
      </c>
      <c r="C12148" t="s">
        <v>15025</v>
      </c>
      <c r="D12148" t="s">
        <v>17448</v>
      </c>
      <c r="E12148" t="s">
        <v>27910</v>
      </c>
      <c r="F12148" t="s">
        <v>30052</v>
      </c>
      <c r="G12148" t="s">
        <v>30058</v>
      </c>
      <c r="H12148" t="s">
        <v>30067</v>
      </c>
      <c r="I12148" t="s">
        <v>3693</v>
      </c>
      <c r="J12148" t="s">
        <v>37612</v>
      </c>
      <c r="K12148" t="s">
        <v>39023</v>
      </c>
      <c r="M12148" t="s">
        <v>42845</v>
      </c>
      <c r="N12148" t="s">
        <v>43166</v>
      </c>
      <c r="O12148" t="s">
        <v>43167</v>
      </c>
      <c r="Q12148">
        <v>0</v>
      </c>
      <c r="R12148" t="s">
        <v>43184</v>
      </c>
      <c r="S12148" t="s">
        <v>43856</v>
      </c>
      <c r="T12148" t="s">
        <v>45129</v>
      </c>
      <c r="U12148" t="s">
        <v>54900</v>
      </c>
      <c r="V12148" t="s">
        <v>58182</v>
      </c>
      <c r="W12148" t="s">
        <v>42845</v>
      </c>
      <c r="X12148" t="s">
        <v>43185</v>
      </c>
    </row>
    <row r="12149" spans="1:24">
      <c r="A12149">
        <f>HYPERLINK("https://www.philgeps.gov.ph/GEPSNONPILOT/Tender/SplashBidNoticeAbstractUI.aspx?menuIndex=3&amp;refID=7058285&amp;Result=3","7058285")</f>
        <v>0</v>
      </c>
      <c r="B12149" t="s">
        <v>2454</v>
      </c>
      <c r="C12149" t="s">
        <v>15026</v>
      </c>
      <c r="D12149" t="s">
        <v>17486</v>
      </c>
      <c r="E12149" t="s">
        <v>27911</v>
      </c>
      <c r="F12149" t="s">
        <v>30052</v>
      </c>
      <c r="G12149" t="s">
        <v>30058</v>
      </c>
      <c r="H12149" t="s">
        <v>15498</v>
      </c>
      <c r="I12149" t="s">
        <v>3693</v>
      </c>
      <c r="J12149" t="s">
        <v>37613</v>
      </c>
      <c r="K12149" t="s">
        <v>39031</v>
      </c>
      <c r="M12149" t="s">
        <v>41953</v>
      </c>
      <c r="N12149" t="s">
        <v>43166</v>
      </c>
      <c r="O12149" t="s">
        <v>43167</v>
      </c>
      <c r="P12149">
        <v>0</v>
      </c>
      <c r="Q12149">
        <v>4</v>
      </c>
      <c r="R12149" t="s">
        <v>43183</v>
      </c>
      <c r="S12149" t="s">
        <v>43828</v>
      </c>
      <c r="T12149" t="s">
        <v>44717</v>
      </c>
      <c r="U12149" t="s">
        <v>54901</v>
      </c>
      <c r="W12149" t="s">
        <v>41953</v>
      </c>
      <c r="X12149" t="s">
        <v>43184</v>
      </c>
    </row>
    <row r="12150" spans="1:24">
      <c r="A12150">
        <f>HYPERLINK("https://www.philgeps.gov.ph/GEPSNONPILOT/Tender/SplashBidNoticeAbstractUI.aspx?menuIndex=3&amp;refID=7056203&amp;Result=3","7056203")</f>
        <v>0</v>
      </c>
      <c r="B12150" t="s">
        <v>2452</v>
      </c>
      <c r="C12150" t="s">
        <v>15027</v>
      </c>
      <c r="D12150" t="s">
        <v>17459</v>
      </c>
      <c r="E12150" t="s">
        <v>27912</v>
      </c>
      <c r="F12150" t="s">
        <v>30052</v>
      </c>
      <c r="G12150" t="s">
        <v>30058</v>
      </c>
      <c r="H12150" t="s">
        <v>15498</v>
      </c>
      <c r="I12150" t="s">
        <v>3736</v>
      </c>
      <c r="J12150" t="s">
        <v>37614</v>
      </c>
      <c r="K12150" t="s">
        <v>39019</v>
      </c>
      <c r="M12150" t="s">
        <v>42377</v>
      </c>
      <c r="N12150" t="s">
        <v>43166</v>
      </c>
      <c r="O12150" t="s">
        <v>43167</v>
      </c>
      <c r="P12150">
        <v>0</v>
      </c>
      <c r="Q12150">
        <v>1</v>
      </c>
      <c r="R12150" t="s">
        <v>43184</v>
      </c>
      <c r="S12150" t="s">
        <v>43839</v>
      </c>
      <c r="T12150" t="s">
        <v>44719</v>
      </c>
      <c r="U12150" t="s">
        <v>52986</v>
      </c>
      <c r="W12150" t="s">
        <v>42377</v>
      </c>
      <c r="X12150" t="s">
        <v>43185</v>
      </c>
    </row>
    <row r="12151" spans="1:24">
      <c r="A12151">
        <f>HYPERLINK("https://www.philgeps.gov.ph/GEPSNONPILOT/Tender/SplashBidNoticeAbstractUI.aspx?menuIndex=3&amp;refID=7056200&amp;Result=3","7056200")</f>
        <v>0</v>
      </c>
      <c r="B12151" t="s">
        <v>1791</v>
      </c>
      <c r="C12151" t="s">
        <v>15028</v>
      </c>
      <c r="D12151" t="s">
        <v>17424</v>
      </c>
      <c r="E12151" t="s">
        <v>27913</v>
      </c>
      <c r="F12151" t="s">
        <v>30052</v>
      </c>
      <c r="G12151" t="s">
        <v>30058</v>
      </c>
      <c r="H12151" t="s">
        <v>15498</v>
      </c>
      <c r="I12151" t="s">
        <v>30074</v>
      </c>
      <c r="J12151" t="s">
        <v>30281</v>
      </c>
      <c r="K12151" t="s">
        <v>39029</v>
      </c>
      <c r="M12151" t="s">
        <v>41213</v>
      </c>
      <c r="N12151" t="s">
        <v>43166</v>
      </c>
      <c r="O12151" t="s">
        <v>43167</v>
      </c>
      <c r="Q12151">
        <v>6</v>
      </c>
      <c r="R12151" t="s">
        <v>43184</v>
      </c>
      <c r="S12151" t="s">
        <v>43857</v>
      </c>
      <c r="T12151" t="s">
        <v>44956</v>
      </c>
      <c r="U12151" t="s">
        <v>54902</v>
      </c>
      <c r="W12151" t="s">
        <v>41213</v>
      </c>
      <c r="X12151" t="s">
        <v>43185</v>
      </c>
    </row>
    <row r="12152" spans="1:24">
      <c r="A12152">
        <f>HYPERLINK("https://www.philgeps.gov.ph/GEPSNONPILOT/Tender/SplashBidNoticeAbstractUI.aspx?menuIndex=3&amp;refID=7056187&amp;Result=3","7056187")</f>
        <v>0</v>
      </c>
      <c r="B12152" t="s">
        <v>3222</v>
      </c>
      <c r="C12152" t="s">
        <v>15029</v>
      </c>
      <c r="D12152" t="s">
        <v>17422</v>
      </c>
      <c r="E12152" t="s">
        <v>19475</v>
      </c>
      <c r="F12152" t="s">
        <v>30052</v>
      </c>
      <c r="G12152" t="s">
        <v>30058</v>
      </c>
      <c r="H12152" t="s">
        <v>30067</v>
      </c>
      <c r="I12152" t="s">
        <v>30163</v>
      </c>
      <c r="J12152" t="s">
        <v>37615</v>
      </c>
      <c r="K12152" t="s">
        <v>39119</v>
      </c>
      <c r="M12152" t="s">
        <v>42846</v>
      </c>
      <c r="N12152" t="s">
        <v>43166</v>
      </c>
      <c r="O12152" t="s">
        <v>43167</v>
      </c>
      <c r="Q12152">
        <v>13</v>
      </c>
      <c r="R12152" t="s">
        <v>43184</v>
      </c>
      <c r="S12152" t="s">
        <v>43858</v>
      </c>
      <c r="T12152" t="s">
        <v>44718</v>
      </c>
      <c r="U12152" t="s">
        <v>54903</v>
      </c>
      <c r="W12152" t="s">
        <v>42846</v>
      </c>
      <c r="X12152" t="s">
        <v>43185</v>
      </c>
    </row>
    <row r="12153" spans="1:24">
      <c r="A12153">
        <f>HYPERLINK("https://www.philgeps.gov.ph/GEPSNONPILOT/Tender/SplashBidNoticeAbstractUI.aspx?menuIndex=3&amp;refID=7056177&amp;Result=3","7056177")</f>
        <v>0</v>
      </c>
      <c r="B12153" t="s">
        <v>3221</v>
      </c>
      <c r="C12153" t="s">
        <v>15030</v>
      </c>
      <c r="D12153" t="s">
        <v>17448</v>
      </c>
      <c r="E12153" t="s">
        <v>27910</v>
      </c>
      <c r="F12153" t="s">
        <v>30052</v>
      </c>
      <c r="G12153" t="s">
        <v>30058</v>
      </c>
      <c r="H12153" t="s">
        <v>30067</v>
      </c>
      <c r="I12153" t="s">
        <v>3693</v>
      </c>
      <c r="J12153" t="s">
        <v>37616</v>
      </c>
      <c r="K12153" t="s">
        <v>39026</v>
      </c>
      <c r="M12153" t="s">
        <v>42845</v>
      </c>
      <c r="N12153" t="s">
        <v>43166</v>
      </c>
      <c r="O12153" t="s">
        <v>43167</v>
      </c>
      <c r="Q12153">
        <v>0</v>
      </c>
      <c r="R12153" t="s">
        <v>43184</v>
      </c>
      <c r="S12153" t="s">
        <v>43859</v>
      </c>
      <c r="T12153" t="s">
        <v>45129</v>
      </c>
      <c r="U12153" t="s">
        <v>54900</v>
      </c>
      <c r="V12153" t="s">
        <v>58183</v>
      </c>
      <c r="W12153" t="s">
        <v>42845</v>
      </c>
      <c r="X12153" t="s">
        <v>43185</v>
      </c>
    </row>
    <row r="12154" spans="1:24">
      <c r="A12154">
        <f>HYPERLINK("https://www.philgeps.gov.ph/GEPSNONPILOT/Tender/SplashBidNoticeAbstractUI.aspx?menuIndex=3&amp;refID=7056221&amp;Result=3","7056221")</f>
        <v>0</v>
      </c>
      <c r="B12154" t="s">
        <v>2320</v>
      </c>
      <c r="C12154" t="s">
        <v>15031</v>
      </c>
      <c r="D12154" t="s">
        <v>17462</v>
      </c>
      <c r="E12154" t="s">
        <v>27914</v>
      </c>
      <c r="F12154" t="s">
        <v>30052</v>
      </c>
      <c r="G12154" t="s">
        <v>30058</v>
      </c>
      <c r="H12154" t="s">
        <v>15498</v>
      </c>
      <c r="I12154" t="s">
        <v>3736</v>
      </c>
      <c r="J12154" t="s">
        <v>37617</v>
      </c>
      <c r="K12154" t="s">
        <v>39029</v>
      </c>
      <c r="M12154" t="s">
        <v>42321</v>
      </c>
      <c r="N12154" t="s">
        <v>43166</v>
      </c>
      <c r="O12154" t="s">
        <v>43167</v>
      </c>
      <c r="P12154">
        <v>0</v>
      </c>
      <c r="Q12154">
        <v>3</v>
      </c>
      <c r="R12154" t="s">
        <v>43184</v>
      </c>
      <c r="S12154" t="s">
        <v>43839</v>
      </c>
      <c r="T12154" t="s">
        <v>44689</v>
      </c>
      <c r="U12154" t="s">
        <v>51193</v>
      </c>
      <c r="V12154" t="s">
        <v>58173</v>
      </c>
      <c r="W12154" t="s">
        <v>58688</v>
      </c>
      <c r="X12154" t="s">
        <v>43185</v>
      </c>
    </row>
    <row r="12155" spans="1:24">
      <c r="A12155">
        <f>HYPERLINK("https://www.philgeps.gov.ph/GEPSNONPILOT/Tender/SplashBidNoticeAbstractUI.aspx?menuIndex=3&amp;refID=7056152&amp;Result=3","7056152")</f>
        <v>0</v>
      </c>
      <c r="B12155" t="s">
        <v>1393</v>
      </c>
      <c r="C12155" t="s">
        <v>15032</v>
      </c>
      <c r="D12155" t="s">
        <v>17474</v>
      </c>
      <c r="E12155" t="s">
        <v>27915</v>
      </c>
      <c r="F12155" t="s">
        <v>30052</v>
      </c>
      <c r="G12155" t="s">
        <v>30058</v>
      </c>
      <c r="H12155" t="s">
        <v>30067</v>
      </c>
      <c r="I12155" t="s">
        <v>3693</v>
      </c>
      <c r="J12155" t="s">
        <v>37618</v>
      </c>
      <c r="K12155" t="s">
        <v>39026</v>
      </c>
      <c r="M12155" t="s">
        <v>40769</v>
      </c>
      <c r="N12155" t="s">
        <v>43166</v>
      </c>
      <c r="O12155" t="s">
        <v>43167</v>
      </c>
      <c r="P12155">
        <v>0</v>
      </c>
      <c r="Q12155">
        <v>1</v>
      </c>
      <c r="R12155" t="s">
        <v>43184</v>
      </c>
      <c r="S12155" t="s">
        <v>43839</v>
      </c>
      <c r="T12155" t="s">
        <v>44741</v>
      </c>
      <c r="U12155" t="s">
        <v>48721</v>
      </c>
      <c r="W12155" t="s">
        <v>40769</v>
      </c>
      <c r="X12155" t="s">
        <v>43185</v>
      </c>
    </row>
    <row r="12156" spans="1:24">
      <c r="A12156">
        <f>HYPERLINK("https://www.philgeps.gov.ph/GEPSNONPILOT/Tender/SplashBidNoticeAbstractUI.aspx?menuIndex=3&amp;refID=7054016&amp;Result=3","7054016")</f>
        <v>0</v>
      </c>
      <c r="B12156" t="s">
        <v>492</v>
      </c>
      <c r="C12156" t="s">
        <v>15033</v>
      </c>
      <c r="E12156" t="s">
        <v>27916</v>
      </c>
      <c r="F12156" t="s">
        <v>30052</v>
      </c>
      <c r="G12156" t="s">
        <v>30058</v>
      </c>
      <c r="H12156" t="s">
        <v>15498</v>
      </c>
      <c r="I12156" t="s">
        <v>30091</v>
      </c>
      <c r="J12156" t="s">
        <v>37619</v>
      </c>
      <c r="K12156" t="s">
        <v>39025</v>
      </c>
      <c r="M12156" t="s">
        <v>39793</v>
      </c>
      <c r="N12156" t="s">
        <v>43166</v>
      </c>
      <c r="O12156" t="s">
        <v>43167</v>
      </c>
      <c r="P12156">
        <v>0</v>
      </c>
      <c r="Q12156">
        <v>1</v>
      </c>
      <c r="R12156" t="s">
        <v>43183</v>
      </c>
      <c r="S12156" t="s">
        <v>43828</v>
      </c>
      <c r="T12156" t="s">
        <v>44724</v>
      </c>
      <c r="U12156" t="s">
        <v>54904</v>
      </c>
      <c r="V12156" t="s">
        <v>58180</v>
      </c>
      <c r="W12156" t="s">
        <v>39793</v>
      </c>
      <c r="X12156" t="s">
        <v>43186</v>
      </c>
    </row>
    <row r="12157" spans="1:24">
      <c r="A12157">
        <f>HYPERLINK("https://www.philgeps.gov.ph/GEPSNONPILOT/Tender/SplashBidNoticeAbstractUI.aspx?menuIndex=3&amp;refID=7055965&amp;Result=3","7055965")</f>
        <v>0</v>
      </c>
      <c r="B12157" t="s">
        <v>1843</v>
      </c>
      <c r="C12157" t="s">
        <v>15034</v>
      </c>
      <c r="E12157" t="s">
        <v>27917</v>
      </c>
      <c r="F12157" t="s">
        <v>30053</v>
      </c>
      <c r="G12157" t="s">
        <v>30058</v>
      </c>
      <c r="H12157" t="s">
        <v>15498</v>
      </c>
      <c r="I12157" t="s">
        <v>9238</v>
      </c>
      <c r="J12157" t="s">
        <v>37620</v>
      </c>
      <c r="K12157" t="s">
        <v>39025</v>
      </c>
      <c r="M12157" t="s">
        <v>42847</v>
      </c>
      <c r="N12157" t="s">
        <v>43166</v>
      </c>
      <c r="O12157" t="s">
        <v>43167</v>
      </c>
      <c r="P12157">
        <v>0</v>
      </c>
      <c r="Q12157">
        <v>6</v>
      </c>
      <c r="R12157" t="s">
        <v>43184</v>
      </c>
      <c r="S12157" t="s">
        <v>43839</v>
      </c>
      <c r="T12157" t="s">
        <v>44681</v>
      </c>
      <c r="U12157" t="s">
        <v>54905</v>
      </c>
      <c r="W12157" t="s">
        <v>42847</v>
      </c>
      <c r="X12157" t="s">
        <v>43185</v>
      </c>
    </row>
    <row r="12158" spans="1:24">
      <c r="A12158">
        <f>HYPERLINK("https://www.philgeps.gov.ph/GEPSNONPILOT/Tender/SplashBidNoticeAbstractUI.aspx?menuIndex=3&amp;refID=7056151&amp;Result=3","7056151")</f>
        <v>0</v>
      </c>
      <c r="B12158" t="s">
        <v>3221</v>
      </c>
      <c r="C12158" t="s">
        <v>15035</v>
      </c>
      <c r="D12158" t="s">
        <v>17448</v>
      </c>
      <c r="E12158" t="s">
        <v>27910</v>
      </c>
      <c r="F12158" t="s">
        <v>30052</v>
      </c>
      <c r="G12158" t="s">
        <v>30058</v>
      </c>
      <c r="H12158" t="s">
        <v>30067</v>
      </c>
      <c r="I12158" t="s">
        <v>3693</v>
      </c>
      <c r="J12158" t="s">
        <v>33184</v>
      </c>
      <c r="K12158" t="s">
        <v>39031</v>
      </c>
      <c r="M12158" t="s">
        <v>42845</v>
      </c>
      <c r="N12158" t="s">
        <v>43166</v>
      </c>
      <c r="O12158" t="s">
        <v>43167</v>
      </c>
      <c r="Q12158">
        <v>0</v>
      </c>
      <c r="R12158" t="s">
        <v>43184</v>
      </c>
      <c r="S12158" t="s">
        <v>43860</v>
      </c>
      <c r="T12158" t="s">
        <v>45129</v>
      </c>
      <c r="U12158" t="s">
        <v>54900</v>
      </c>
      <c r="V12158" t="s">
        <v>58184</v>
      </c>
      <c r="W12158" t="s">
        <v>42845</v>
      </c>
      <c r="X12158" t="s">
        <v>43185</v>
      </c>
    </row>
    <row r="12159" spans="1:24">
      <c r="A12159">
        <f>HYPERLINK("https://www.philgeps.gov.ph/GEPSNONPILOT/Tender/SplashBidNoticeAbstractUI.aspx?menuIndex=3&amp;refID=7056198&amp;Result=3","7056198")</f>
        <v>0</v>
      </c>
      <c r="B12159" t="s">
        <v>3221</v>
      </c>
      <c r="C12159" t="s">
        <v>15036</v>
      </c>
      <c r="D12159" t="s">
        <v>17448</v>
      </c>
      <c r="E12159" t="s">
        <v>27910</v>
      </c>
      <c r="F12159" t="s">
        <v>30052</v>
      </c>
      <c r="G12159" t="s">
        <v>30058</v>
      </c>
      <c r="H12159" t="s">
        <v>30067</v>
      </c>
      <c r="I12159" t="s">
        <v>3693</v>
      </c>
      <c r="J12159" t="s">
        <v>30212</v>
      </c>
      <c r="K12159" t="s">
        <v>39026</v>
      </c>
      <c r="M12159" t="s">
        <v>42845</v>
      </c>
      <c r="N12159" t="s">
        <v>43166</v>
      </c>
      <c r="O12159" t="s">
        <v>43167</v>
      </c>
      <c r="Q12159">
        <v>0</v>
      </c>
      <c r="R12159" t="s">
        <v>43184</v>
      </c>
      <c r="S12159" t="s">
        <v>43861</v>
      </c>
      <c r="T12159" t="s">
        <v>45129</v>
      </c>
      <c r="U12159" t="s">
        <v>54900</v>
      </c>
      <c r="V12159" t="s">
        <v>58185</v>
      </c>
      <c r="W12159" t="s">
        <v>42845</v>
      </c>
      <c r="X12159" t="s">
        <v>43185</v>
      </c>
    </row>
    <row r="12160" spans="1:24">
      <c r="A12160">
        <f>HYPERLINK("https://www.philgeps.gov.ph/GEPSNONPILOT/Tender/SplashBidNoticeAbstractUI.aspx?menuIndex=3&amp;refID=7056096&amp;Result=3","7056096")</f>
        <v>0</v>
      </c>
      <c r="B12160" t="s">
        <v>918</v>
      </c>
      <c r="C12160" t="s">
        <v>15037</v>
      </c>
      <c r="D12160" t="s">
        <v>17424</v>
      </c>
      <c r="E12160" t="s">
        <v>27918</v>
      </c>
      <c r="F12160" t="s">
        <v>30052</v>
      </c>
      <c r="G12160" t="s">
        <v>30063</v>
      </c>
      <c r="H12160" t="s">
        <v>30067</v>
      </c>
      <c r="I12160" t="s">
        <v>3693</v>
      </c>
      <c r="J12160" t="s">
        <v>37621</v>
      </c>
      <c r="K12160" t="s">
        <v>39057</v>
      </c>
      <c r="M12160" t="s">
        <v>40241</v>
      </c>
      <c r="N12160" t="s">
        <v>43166</v>
      </c>
      <c r="O12160" t="s">
        <v>43167</v>
      </c>
      <c r="P12160">
        <v>0</v>
      </c>
      <c r="Q12160">
        <v>8</v>
      </c>
      <c r="R12160" t="s">
        <v>43184</v>
      </c>
      <c r="S12160" t="s">
        <v>43839</v>
      </c>
      <c r="T12160" t="s">
        <v>44681</v>
      </c>
      <c r="U12160" t="s">
        <v>54906</v>
      </c>
      <c r="V12160" t="s">
        <v>57086</v>
      </c>
      <c r="W12160" t="s">
        <v>40241</v>
      </c>
      <c r="X12160" t="s">
        <v>43185</v>
      </c>
    </row>
    <row r="12161" spans="1:24">
      <c r="A12161">
        <f>HYPERLINK("https://www.philgeps.gov.ph/GEPSNONPILOT/Tender/SplashBidNoticeAbstractUI.aspx?menuIndex=3&amp;refID=7056179&amp;Result=3","7056179")</f>
        <v>0</v>
      </c>
      <c r="B12161" t="s">
        <v>3215</v>
      </c>
      <c r="C12161" t="s">
        <v>15038</v>
      </c>
      <c r="D12161" t="s">
        <v>17441</v>
      </c>
      <c r="E12161" t="s">
        <v>27919</v>
      </c>
      <c r="F12161" t="s">
        <v>30052</v>
      </c>
      <c r="G12161" t="s">
        <v>30058</v>
      </c>
      <c r="H12161" t="s">
        <v>15498</v>
      </c>
      <c r="I12161" t="s">
        <v>30130</v>
      </c>
      <c r="J12161" t="s">
        <v>30683</v>
      </c>
      <c r="K12161" t="s">
        <v>39025</v>
      </c>
      <c r="M12161" t="s">
        <v>42838</v>
      </c>
      <c r="N12161" t="s">
        <v>43166</v>
      </c>
      <c r="O12161" t="s">
        <v>43167</v>
      </c>
      <c r="Q12161">
        <v>21</v>
      </c>
      <c r="R12161" t="s">
        <v>43184</v>
      </c>
      <c r="S12161" t="s">
        <v>43576</v>
      </c>
      <c r="T12161" t="s">
        <v>44906</v>
      </c>
      <c r="U12161" t="s">
        <v>54907</v>
      </c>
      <c r="V12161" t="s">
        <v>58186</v>
      </c>
      <c r="W12161" t="s">
        <v>42838</v>
      </c>
      <c r="X12161" t="s">
        <v>43185</v>
      </c>
    </row>
    <row r="12162" spans="1:24">
      <c r="A12162">
        <f>HYPERLINK("https://www.philgeps.gov.ph/GEPSNONPILOT/Tender/SplashBidNoticeAbstractUI.aspx?menuIndex=3&amp;refID=7056146&amp;Result=3","7056146")</f>
        <v>0</v>
      </c>
      <c r="B12162" t="s">
        <v>3223</v>
      </c>
      <c r="C12162" t="s">
        <v>15039</v>
      </c>
      <c r="D12162" t="s">
        <v>17445</v>
      </c>
      <c r="E12162" t="s">
        <v>27920</v>
      </c>
      <c r="F12162" t="s">
        <v>30052</v>
      </c>
      <c r="G12162" t="s">
        <v>30058</v>
      </c>
      <c r="H12162" t="s">
        <v>15498</v>
      </c>
      <c r="I12162" t="s">
        <v>3736</v>
      </c>
      <c r="J12162" t="s">
        <v>37622</v>
      </c>
      <c r="K12162" t="s">
        <v>39029</v>
      </c>
      <c r="M12162" t="s">
        <v>42848</v>
      </c>
      <c r="N12162" t="s">
        <v>43166</v>
      </c>
      <c r="O12162" t="s">
        <v>43167</v>
      </c>
      <c r="P12162">
        <v>0</v>
      </c>
      <c r="Q12162">
        <v>3</v>
      </c>
      <c r="R12162" t="s">
        <v>43184</v>
      </c>
      <c r="S12162" t="s">
        <v>43839</v>
      </c>
      <c r="T12162" t="s">
        <v>44698</v>
      </c>
      <c r="U12162" t="s">
        <v>54908</v>
      </c>
      <c r="W12162" t="s">
        <v>42848</v>
      </c>
      <c r="X12162" t="s">
        <v>43185</v>
      </c>
    </row>
    <row r="12163" spans="1:24">
      <c r="A12163">
        <f>HYPERLINK("https://www.philgeps.gov.ph/GEPSNONPILOT/Tender/SplashBidNoticeAbstractUI.aspx?menuIndex=3&amp;refID=7056072&amp;Result=3","7056072")</f>
        <v>0</v>
      </c>
      <c r="B12163" t="s">
        <v>2320</v>
      </c>
      <c r="C12163" t="s">
        <v>15040</v>
      </c>
      <c r="D12163" t="s">
        <v>17462</v>
      </c>
      <c r="E12163" t="s">
        <v>27921</v>
      </c>
      <c r="F12163" t="s">
        <v>30052</v>
      </c>
      <c r="G12163" t="s">
        <v>30058</v>
      </c>
      <c r="H12163" t="s">
        <v>15498</v>
      </c>
      <c r="I12163" t="s">
        <v>30109</v>
      </c>
      <c r="J12163" t="s">
        <v>37623</v>
      </c>
      <c r="K12163" t="s">
        <v>39029</v>
      </c>
      <c r="M12163" t="s">
        <v>42321</v>
      </c>
      <c r="N12163" t="s">
        <v>43166</v>
      </c>
      <c r="O12163" t="s">
        <v>43167</v>
      </c>
      <c r="P12163">
        <v>0</v>
      </c>
      <c r="Q12163">
        <v>6</v>
      </c>
      <c r="R12163" t="s">
        <v>43184</v>
      </c>
      <c r="S12163" t="s">
        <v>43839</v>
      </c>
      <c r="T12163" t="s">
        <v>44689</v>
      </c>
      <c r="U12163" t="s">
        <v>51193</v>
      </c>
      <c r="V12163" t="s">
        <v>58173</v>
      </c>
      <c r="W12163" t="s">
        <v>58688</v>
      </c>
      <c r="X12163" t="s">
        <v>43185</v>
      </c>
    </row>
    <row r="12164" spans="1:24">
      <c r="A12164">
        <f>HYPERLINK("https://www.philgeps.gov.ph/GEPSNONPILOT/Tender/SplashBidNoticeAbstractUI.aspx?menuIndex=3&amp;refID=7056044&amp;Result=3","7056044")</f>
        <v>0</v>
      </c>
      <c r="B12164" t="s">
        <v>892</v>
      </c>
      <c r="C12164" t="s">
        <v>15041</v>
      </c>
      <c r="D12164" t="s">
        <v>17471</v>
      </c>
      <c r="E12164" t="s">
        <v>27922</v>
      </c>
      <c r="F12164" t="s">
        <v>30052</v>
      </c>
      <c r="G12164" t="s">
        <v>30058</v>
      </c>
      <c r="H12164" t="s">
        <v>30067</v>
      </c>
      <c r="I12164" t="s">
        <v>3693</v>
      </c>
      <c r="J12164" t="s">
        <v>37624</v>
      </c>
      <c r="K12164" t="s">
        <v>39026</v>
      </c>
      <c r="M12164" t="s">
        <v>40211</v>
      </c>
      <c r="N12164" t="s">
        <v>43166</v>
      </c>
      <c r="O12164" t="s">
        <v>43167</v>
      </c>
      <c r="P12164">
        <v>0</v>
      </c>
      <c r="Q12164">
        <v>1</v>
      </c>
      <c r="R12164" t="s">
        <v>43184</v>
      </c>
      <c r="S12164" t="s">
        <v>43839</v>
      </c>
      <c r="T12164" t="s">
        <v>44718</v>
      </c>
      <c r="U12164" t="s">
        <v>54909</v>
      </c>
      <c r="W12164" t="s">
        <v>40211</v>
      </c>
      <c r="X12164" t="s">
        <v>43185</v>
      </c>
    </row>
    <row r="12165" spans="1:24">
      <c r="A12165">
        <f>HYPERLINK("https://www.philgeps.gov.ph/GEPSNONPILOT/Tender/SplashBidNoticeAbstractUI.aspx?menuIndex=3&amp;refID=7056039&amp;Result=3","7056039")</f>
        <v>0</v>
      </c>
      <c r="B12165" t="s">
        <v>3224</v>
      </c>
      <c r="C12165" t="s">
        <v>15042</v>
      </c>
      <c r="D12165" t="s">
        <v>17413</v>
      </c>
      <c r="E12165" t="s">
        <v>27923</v>
      </c>
      <c r="F12165" t="s">
        <v>30052</v>
      </c>
      <c r="G12165" t="s">
        <v>30058</v>
      </c>
      <c r="H12165" t="s">
        <v>30067</v>
      </c>
      <c r="I12165" t="s">
        <v>3693</v>
      </c>
      <c r="J12165" t="s">
        <v>37625</v>
      </c>
      <c r="K12165" t="s">
        <v>39031</v>
      </c>
      <c r="M12165" t="s">
        <v>42849</v>
      </c>
      <c r="N12165" t="s">
        <v>43166</v>
      </c>
      <c r="O12165" t="s">
        <v>43167</v>
      </c>
      <c r="P12165">
        <v>0</v>
      </c>
      <c r="Q12165">
        <v>2</v>
      </c>
      <c r="R12165" t="s">
        <v>43184</v>
      </c>
      <c r="S12165" t="s">
        <v>43839</v>
      </c>
      <c r="T12165" t="s">
        <v>44733</v>
      </c>
      <c r="U12165" t="s">
        <v>54910</v>
      </c>
      <c r="W12165" t="s">
        <v>42849</v>
      </c>
      <c r="X12165" t="s">
        <v>43185</v>
      </c>
    </row>
    <row r="12166" spans="1:24">
      <c r="A12166">
        <f>HYPERLINK("https://www.philgeps.gov.ph/GEPSNONPILOT/Tender/SplashBidNoticeAbstractUI.aspx?menuIndex=3&amp;refID=7058930&amp;Result=3","7058930")</f>
        <v>0</v>
      </c>
      <c r="B12166" t="s">
        <v>670</v>
      </c>
      <c r="C12166" t="s">
        <v>15043</v>
      </c>
      <c r="D12166" t="s">
        <v>17446</v>
      </c>
      <c r="E12166" t="s">
        <v>27924</v>
      </c>
      <c r="F12166" t="s">
        <v>30052</v>
      </c>
      <c r="G12166" t="s">
        <v>30058</v>
      </c>
      <c r="H12166" t="s">
        <v>30067</v>
      </c>
      <c r="I12166" t="s">
        <v>3693</v>
      </c>
      <c r="J12166" t="s">
        <v>37626</v>
      </c>
      <c r="K12166" t="s">
        <v>39025</v>
      </c>
      <c r="M12166" t="s">
        <v>42821</v>
      </c>
      <c r="N12166" t="s">
        <v>43166</v>
      </c>
      <c r="O12166" t="s">
        <v>43167</v>
      </c>
      <c r="P12166">
        <v>0</v>
      </c>
      <c r="Q12166">
        <v>0</v>
      </c>
      <c r="R12166" t="s">
        <v>43182</v>
      </c>
      <c r="S12166" t="s">
        <v>43789</v>
      </c>
      <c r="T12166" t="s">
        <v>44681</v>
      </c>
      <c r="U12166" t="s">
        <v>54911</v>
      </c>
      <c r="W12166" t="s">
        <v>42821</v>
      </c>
      <c r="X12166" t="s">
        <v>43183</v>
      </c>
    </row>
    <row r="12167" spans="1:24">
      <c r="A12167">
        <f>HYPERLINK("https://www.philgeps.gov.ph/GEPSNONPILOT/Tender/SplashBidNoticeAbstractUI.aspx?menuIndex=3&amp;refID=7056395&amp;Result=3","7056395")</f>
        <v>0</v>
      </c>
      <c r="B12167" t="s">
        <v>868</v>
      </c>
      <c r="C12167" t="s">
        <v>15044</v>
      </c>
      <c r="D12167" t="s">
        <v>17422</v>
      </c>
      <c r="E12167" t="s">
        <v>27925</v>
      </c>
      <c r="F12167" t="s">
        <v>30052</v>
      </c>
      <c r="G12167" t="s">
        <v>30058</v>
      </c>
      <c r="H12167" t="s">
        <v>15498</v>
      </c>
      <c r="I12167" t="s">
        <v>30074</v>
      </c>
      <c r="J12167" t="s">
        <v>30218</v>
      </c>
      <c r="K12167" t="s">
        <v>39029</v>
      </c>
      <c r="M12167" t="s">
        <v>40187</v>
      </c>
      <c r="N12167" t="s">
        <v>43166</v>
      </c>
      <c r="O12167" t="s">
        <v>43167</v>
      </c>
      <c r="P12167">
        <v>0</v>
      </c>
      <c r="Q12167">
        <v>0</v>
      </c>
      <c r="R12167" t="s">
        <v>43184</v>
      </c>
      <c r="S12167" t="s">
        <v>43839</v>
      </c>
      <c r="T12167" t="s">
        <v>44762</v>
      </c>
      <c r="U12167" t="s">
        <v>54912</v>
      </c>
      <c r="V12167" t="s">
        <v>58187</v>
      </c>
      <c r="W12167" t="s">
        <v>40187</v>
      </c>
      <c r="X12167" t="s">
        <v>43185</v>
      </c>
    </row>
    <row r="12168" spans="1:24">
      <c r="A12168">
        <f>HYPERLINK("https://www.philgeps.gov.ph/GEPSNONPILOT/Tender/SplashBidNoticeAbstractUI.aspx?menuIndex=3&amp;refID=7056391&amp;Result=3","7056391")</f>
        <v>0</v>
      </c>
      <c r="B12168" t="s">
        <v>3221</v>
      </c>
      <c r="C12168" t="s">
        <v>15045</v>
      </c>
      <c r="D12168" t="s">
        <v>17448</v>
      </c>
      <c r="E12168" t="s">
        <v>27910</v>
      </c>
      <c r="F12168" t="s">
        <v>30052</v>
      </c>
      <c r="G12168" t="s">
        <v>30058</v>
      </c>
      <c r="H12168" t="s">
        <v>30067</v>
      </c>
      <c r="I12168" t="s">
        <v>3693</v>
      </c>
      <c r="J12168" t="s">
        <v>34406</v>
      </c>
      <c r="K12168" t="s">
        <v>39026</v>
      </c>
      <c r="M12168" t="s">
        <v>42845</v>
      </c>
      <c r="N12168" t="s">
        <v>43166</v>
      </c>
      <c r="O12168" t="s">
        <v>43167</v>
      </c>
      <c r="Q12168">
        <v>0</v>
      </c>
      <c r="R12168" t="s">
        <v>43184</v>
      </c>
      <c r="S12168" t="s">
        <v>43862</v>
      </c>
      <c r="T12168" t="s">
        <v>45129</v>
      </c>
      <c r="U12168" t="s">
        <v>54900</v>
      </c>
      <c r="V12168" t="s">
        <v>58188</v>
      </c>
      <c r="W12168" t="s">
        <v>42845</v>
      </c>
      <c r="X12168" t="s">
        <v>43185</v>
      </c>
    </row>
    <row r="12169" spans="1:24">
      <c r="A12169">
        <f>HYPERLINK("https://www.philgeps.gov.ph/GEPSNONPILOT/Tender/SplashBidNoticeAbstractUI.aspx?menuIndex=3&amp;refID=7056114&amp;Result=3","7056114")</f>
        <v>0</v>
      </c>
      <c r="B12169" t="s">
        <v>3221</v>
      </c>
      <c r="C12169" t="s">
        <v>15046</v>
      </c>
      <c r="D12169" t="s">
        <v>17448</v>
      </c>
      <c r="E12169" t="s">
        <v>27910</v>
      </c>
      <c r="F12169" t="s">
        <v>30052</v>
      </c>
      <c r="G12169" t="s">
        <v>30058</v>
      </c>
      <c r="H12169" t="s">
        <v>30067</v>
      </c>
      <c r="I12169" t="s">
        <v>3693</v>
      </c>
      <c r="J12169" t="s">
        <v>31207</v>
      </c>
      <c r="K12169" t="s">
        <v>39026</v>
      </c>
      <c r="M12169" t="s">
        <v>42845</v>
      </c>
      <c r="N12169" t="s">
        <v>43166</v>
      </c>
      <c r="O12169" t="s">
        <v>43167</v>
      </c>
      <c r="Q12169">
        <v>1</v>
      </c>
      <c r="R12169" t="s">
        <v>43184</v>
      </c>
      <c r="S12169" t="s">
        <v>43863</v>
      </c>
      <c r="T12169" t="s">
        <v>45129</v>
      </c>
      <c r="U12169" t="s">
        <v>54900</v>
      </c>
      <c r="V12169" t="s">
        <v>58189</v>
      </c>
      <c r="W12169" t="s">
        <v>42845</v>
      </c>
      <c r="X12169" t="s">
        <v>43185</v>
      </c>
    </row>
    <row r="12170" spans="1:24">
      <c r="A12170">
        <f>HYPERLINK("https://www.philgeps.gov.ph/GEPSNONPILOT/Tender/SplashBidNoticeAbstractUI.aspx?menuIndex=3&amp;refID=7056077&amp;Result=3","7056077")</f>
        <v>0</v>
      </c>
      <c r="B12170" t="s">
        <v>3215</v>
      </c>
      <c r="C12170" t="s">
        <v>15047</v>
      </c>
      <c r="D12170" t="s">
        <v>17441</v>
      </c>
      <c r="E12170" t="s">
        <v>27926</v>
      </c>
      <c r="F12170" t="s">
        <v>30052</v>
      </c>
      <c r="G12170" t="s">
        <v>30058</v>
      </c>
      <c r="H12170" t="s">
        <v>15498</v>
      </c>
      <c r="I12170" t="s">
        <v>30088</v>
      </c>
      <c r="J12170" t="s">
        <v>37199</v>
      </c>
      <c r="K12170" t="s">
        <v>39025</v>
      </c>
      <c r="M12170" t="s">
        <v>42838</v>
      </c>
      <c r="N12170" t="s">
        <v>43166</v>
      </c>
      <c r="O12170" t="s">
        <v>43167</v>
      </c>
      <c r="Q12170">
        <v>17</v>
      </c>
      <c r="R12170" t="s">
        <v>43184</v>
      </c>
      <c r="S12170" t="s">
        <v>43864</v>
      </c>
      <c r="T12170" t="s">
        <v>44906</v>
      </c>
      <c r="U12170" t="s">
        <v>54913</v>
      </c>
      <c r="V12170" t="s">
        <v>58190</v>
      </c>
      <c r="W12170" t="s">
        <v>42838</v>
      </c>
      <c r="X12170" t="s">
        <v>43185</v>
      </c>
    </row>
    <row r="12171" spans="1:24">
      <c r="A12171">
        <f>HYPERLINK("https://www.philgeps.gov.ph/GEPSNONPILOT/Tender/SplashBidNoticeAbstractUI.aspx?menuIndex=3&amp;refID=7056375&amp;Result=3","7056375")</f>
        <v>0</v>
      </c>
      <c r="B12171" t="s">
        <v>3222</v>
      </c>
      <c r="C12171" t="s">
        <v>15048</v>
      </c>
      <c r="D12171" t="s">
        <v>17422</v>
      </c>
      <c r="E12171" t="s">
        <v>23363</v>
      </c>
      <c r="F12171" t="s">
        <v>30052</v>
      </c>
      <c r="G12171" t="s">
        <v>30058</v>
      </c>
      <c r="H12171" t="s">
        <v>30067</v>
      </c>
      <c r="I12171" t="s">
        <v>30163</v>
      </c>
      <c r="J12171" t="s">
        <v>37627</v>
      </c>
      <c r="K12171" t="s">
        <v>39057</v>
      </c>
      <c r="M12171" t="s">
        <v>42846</v>
      </c>
      <c r="N12171" t="s">
        <v>43166</v>
      </c>
      <c r="O12171" t="s">
        <v>43167</v>
      </c>
      <c r="Q12171">
        <v>9</v>
      </c>
      <c r="R12171" t="s">
        <v>43184</v>
      </c>
      <c r="S12171" t="s">
        <v>43865</v>
      </c>
      <c r="T12171" t="s">
        <v>44721</v>
      </c>
      <c r="U12171" t="s">
        <v>54914</v>
      </c>
      <c r="W12171" t="s">
        <v>42846</v>
      </c>
      <c r="X12171" t="s">
        <v>43185</v>
      </c>
    </row>
    <row r="12172" spans="1:24">
      <c r="A12172">
        <f>HYPERLINK("https://www.philgeps.gov.ph/GEPSNONPILOT/Tender/SplashBidNoticeAbstractUI.aspx?menuIndex=3&amp;refID=7056368&amp;Result=3","7056368")</f>
        <v>0</v>
      </c>
      <c r="B12172" t="s">
        <v>3221</v>
      </c>
      <c r="C12172" t="s">
        <v>15049</v>
      </c>
      <c r="D12172" t="s">
        <v>17448</v>
      </c>
      <c r="E12172" t="s">
        <v>27910</v>
      </c>
      <c r="F12172" t="s">
        <v>30052</v>
      </c>
      <c r="G12172" t="s">
        <v>30058</v>
      </c>
      <c r="H12172" t="s">
        <v>30067</v>
      </c>
      <c r="I12172" t="s">
        <v>3693</v>
      </c>
      <c r="J12172" t="s">
        <v>31207</v>
      </c>
      <c r="K12172" t="s">
        <v>39177</v>
      </c>
      <c r="M12172" t="s">
        <v>42845</v>
      </c>
      <c r="N12172" t="s">
        <v>43166</v>
      </c>
      <c r="O12172" t="s">
        <v>43167</v>
      </c>
      <c r="Q12172">
        <v>0</v>
      </c>
      <c r="R12172" t="s">
        <v>43184</v>
      </c>
      <c r="S12172" t="s">
        <v>43866</v>
      </c>
      <c r="T12172" t="s">
        <v>45129</v>
      </c>
      <c r="U12172" t="s">
        <v>54900</v>
      </c>
      <c r="V12172" t="s">
        <v>58191</v>
      </c>
      <c r="W12172" t="s">
        <v>42845</v>
      </c>
      <c r="X12172" t="s">
        <v>43185</v>
      </c>
    </row>
    <row r="12173" spans="1:24">
      <c r="A12173">
        <f>HYPERLINK("https://www.philgeps.gov.ph/GEPSNONPILOT/Tender/SplashBidNoticeAbstractUI.aspx?menuIndex=3&amp;refID=7056351&amp;Result=3","7056351")</f>
        <v>0</v>
      </c>
      <c r="B12173" t="s">
        <v>3215</v>
      </c>
      <c r="C12173" t="s">
        <v>15050</v>
      </c>
      <c r="D12173" t="s">
        <v>17441</v>
      </c>
      <c r="E12173" t="s">
        <v>27927</v>
      </c>
      <c r="F12173" t="s">
        <v>30052</v>
      </c>
      <c r="G12173" t="s">
        <v>30058</v>
      </c>
      <c r="H12173" t="s">
        <v>15498</v>
      </c>
      <c r="I12173" t="s">
        <v>30088</v>
      </c>
      <c r="J12173" t="s">
        <v>30397</v>
      </c>
      <c r="K12173" t="s">
        <v>39025</v>
      </c>
      <c r="M12173" t="s">
        <v>42838</v>
      </c>
      <c r="N12173" t="s">
        <v>43166</v>
      </c>
      <c r="O12173" t="s">
        <v>43167</v>
      </c>
      <c r="Q12173">
        <v>18</v>
      </c>
      <c r="R12173" t="s">
        <v>43184</v>
      </c>
      <c r="S12173" t="s">
        <v>43867</v>
      </c>
      <c r="T12173" t="s">
        <v>44752</v>
      </c>
      <c r="U12173" t="s">
        <v>54915</v>
      </c>
      <c r="V12173" t="s">
        <v>58192</v>
      </c>
      <c r="W12173" t="s">
        <v>42838</v>
      </c>
      <c r="X12173" t="s">
        <v>43185</v>
      </c>
    </row>
    <row r="12174" spans="1:24">
      <c r="A12174">
        <f>HYPERLINK("https://www.philgeps.gov.ph/GEPSNONPILOT/Tender/SplashBidNoticeAbstractUI.aspx?menuIndex=3&amp;refID=7056091&amp;Result=3","7056091")</f>
        <v>0</v>
      </c>
      <c r="B12174" t="s">
        <v>3080</v>
      </c>
      <c r="C12174" t="s">
        <v>15051</v>
      </c>
      <c r="D12174" t="s">
        <v>17482</v>
      </c>
      <c r="E12174" t="s">
        <v>27928</v>
      </c>
      <c r="F12174" t="s">
        <v>30052</v>
      </c>
      <c r="G12174" t="s">
        <v>30064</v>
      </c>
      <c r="H12174" t="s">
        <v>15498</v>
      </c>
      <c r="I12174" t="s">
        <v>30078</v>
      </c>
      <c r="J12174" t="s">
        <v>37628</v>
      </c>
      <c r="K12174" t="s">
        <v>39029</v>
      </c>
      <c r="M12174" t="s">
        <v>42663</v>
      </c>
      <c r="N12174" t="s">
        <v>43166</v>
      </c>
      <c r="O12174" t="s">
        <v>43167</v>
      </c>
      <c r="P12174">
        <v>0</v>
      </c>
      <c r="Q12174">
        <v>3</v>
      </c>
      <c r="R12174" t="s">
        <v>43184</v>
      </c>
      <c r="S12174" t="s">
        <v>43839</v>
      </c>
      <c r="T12174" t="s">
        <v>44870</v>
      </c>
      <c r="U12174" t="s">
        <v>54916</v>
      </c>
      <c r="W12174" t="s">
        <v>42663</v>
      </c>
      <c r="X12174" t="s">
        <v>43185</v>
      </c>
    </row>
    <row r="12175" spans="1:24">
      <c r="A12175">
        <f>HYPERLINK("https://www.philgeps.gov.ph/GEPSNONPILOT/Tender/SplashBidNoticeAbstractUI.aspx?menuIndex=3&amp;refID=7056385&amp;Result=3","7056385")</f>
        <v>0</v>
      </c>
      <c r="B12175" t="s">
        <v>3215</v>
      </c>
      <c r="C12175" t="s">
        <v>15052</v>
      </c>
      <c r="D12175" t="s">
        <v>17441</v>
      </c>
      <c r="E12175" t="s">
        <v>27929</v>
      </c>
      <c r="F12175" t="s">
        <v>30052</v>
      </c>
      <c r="G12175" t="s">
        <v>30058</v>
      </c>
      <c r="H12175" t="s">
        <v>15498</v>
      </c>
      <c r="I12175" t="s">
        <v>30088</v>
      </c>
      <c r="J12175" t="s">
        <v>37629</v>
      </c>
      <c r="K12175" t="s">
        <v>39025</v>
      </c>
      <c r="M12175" t="s">
        <v>42838</v>
      </c>
      <c r="N12175" t="s">
        <v>43166</v>
      </c>
      <c r="O12175" t="s">
        <v>43167</v>
      </c>
      <c r="Q12175">
        <v>55</v>
      </c>
      <c r="R12175" t="s">
        <v>43184</v>
      </c>
      <c r="S12175" t="s">
        <v>43868</v>
      </c>
      <c r="T12175" t="s">
        <v>44752</v>
      </c>
      <c r="U12175" t="s">
        <v>54917</v>
      </c>
      <c r="V12175" t="s">
        <v>58193</v>
      </c>
      <c r="W12175" t="s">
        <v>42838</v>
      </c>
      <c r="X12175" t="s">
        <v>43185</v>
      </c>
    </row>
    <row r="12176" spans="1:24">
      <c r="A12176">
        <f>HYPERLINK("https://www.philgeps.gov.ph/GEPSNONPILOT/Tender/SplashBidNoticeAbstractUI.aspx?menuIndex=3&amp;refID=7056347&amp;Result=3","7056347")</f>
        <v>0</v>
      </c>
      <c r="B12176" t="s">
        <v>3221</v>
      </c>
      <c r="C12176" t="s">
        <v>15053</v>
      </c>
      <c r="D12176" t="s">
        <v>17448</v>
      </c>
      <c r="E12176" t="s">
        <v>27910</v>
      </c>
      <c r="F12176" t="s">
        <v>30052</v>
      </c>
      <c r="G12176" t="s">
        <v>30058</v>
      </c>
      <c r="H12176" t="s">
        <v>30067</v>
      </c>
      <c r="I12176" t="s">
        <v>3693</v>
      </c>
      <c r="J12176" t="s">
        <v>30247</v>
      </c>
      <c r="K12176" t="s">
        <v>39026</v>
      </c>
      <c r="M12176" t="s">
        <v>42845</v>
      </c>
      <c r="N12176" t="s">
        <v>43166</v>
      </c>
      <c r="O12176" t="s">
        <v>43167</v>
      </c>
      <c r="Q12176">
        <v>0</v>
      </c>
      <c r="R12176" t="s">
        <v>43184</v>
      </c>
      <c r="S12176" t="s">
        <v>43869</v>
      </c>
      <c r="T12176" t="s">
        <v>45129</v>
      </c>
      <c r="U12176" t="s">
        <v>54900</v>
      </c>
      <c r="V12176" t="s">
        <v>58194</v>
      </c>
      <c r="W12176" t="s">
        <v>42845</v>
      </c>
      <c r="X12176" t="s">
        <v>43185</v>
      </c>
    </row>
    <row r="12177" spans="1:24">
      <c r="A12177">
        <f>HYPERLINK("https://www.philgeps.gov.ph/GEPSNONPILOT/Tender/SplashBidNoticeAbstractUI.aspx?menuIndex=3&amp;refID=7056323&amp;Result=3","7056323")</f>
        <v>0</v>
      </c>
      <c r="B12177" t="s">
        <v>3215</v>
      </c>
      <c r="C12177" t="s">
        <v>15054</v>
      </c>
      <c r="D12177" t="s">
        <v>17441</v>
      </c>
      <c r="E12177" t="s">
        <v>27930</v>
      </c>
      <c r="F12177" t="s">
        <v>30052</v>
      </c>
      <c r="G12177" t="s">
        <v>30058</v>
      </c>
      <c r="H12177" t="s">
        <v>15498</v>
      </c>
      <c r="I12177" t="s">
        <v>30130</v>
      </c>
      <c r="J12177" t="s">
        <v>34092</v>
      </c>
      <c r="K12177" t="s">
        <v>39025</v>
      </c>
      <c r="M12177" t="s">
        <v>42838</v>
      </c>
      <c r="N12177" t="s">
        <v>43166</v>
      </c>
      <c r="O12177" t="s">
        <v>43167</v>
      </c>
      <c r="Q12177">
        <v>25</v>
      </c>
      <c r="R12177" t="s">
        <v>43184</v>
      </c>
      <c r="S12177" t="s">
        <v>43870</v>
      </c>
      <c r="T12177" t="s">
        <v>44906</v>
      </c>
      <c r="U12177" t="s">
        <v>54918</v>
      </c>
      <c r="V12177" t="s">
        <v>58195</v>
      </c>
      <c r="W12177" t="s">
        <v>42838</v>
      </c>
      <c r="X12177" t="s">
        <v>43185</v>
      </c>
    </row>
    <row r="12178" spans="1:24">
      <c r="A12178">
        <f>HYPERLINK("https://www.philgeps.gov.ph/GEPSNONPILOT/Tender/SplashBidNoticeAbstractUI.aspx?menuIndex=3&amp;refID=7056311&amp;Result=3","7056311")</f>
        <v>0</v>
      </c>
      <c r="B12178" t="s">
        <v>2320</v>
      </c>
      <c r="C12178" t="s">
        <v>15055</v>
      </c>
      <c r="D12178" t="s">
        <v>17462</v>
      </c>
      <c r="E12178" t="s">
        <v>27931</v>
      </c>
      <c r="F12178" t="s">
        <v>30052</v>
      </c>
      <c r="G12178" t="s">
        <v>30058</v>
      </c>
      <c r="H12178" t="s">
        <v>15498</v>
      </c>
      <c r="I12178" t="s">
        <v>30105</v>
      </c>
      <c r="J12178" t="s">
        <v>30555</v>
      </c>
      <c r="K12178" t="s">
        <v>39029</v>
      </c>
      <c r="M12178" t="s">
        <v>41807</v>
      </c>
      <c r="N12178" t="s">
        <v>43166</v>
      </c>
      <c r="O12178" t="s">
        <v>43167</v>
      </c>
      <c r="Q12178">
        <v>6</v>
      </c>
      <c r="R12178" t="s">
        <v>43184</v>
      </c>
      <c r="S12178" t="s">
        <v>43871</v>
      </c>
      <c r="T12178" t="s">
        <v>44689</v>
      </c>
      <c r="U12178" t="s">
        <v>51193</v>
      </c>
      <c r="V12178" t="s">
        <v>58173</v>
      </c>
      <c r="W12178" t="s">
        <v>58688</v>
      </c>
      <c r="X12178" t="s">
        <v>43185</v>
      </c>
    </row>
    <row r="12179" spans="1:24">
      <c r="A12179">
        <f>HYPERLINK("https://www.philgeps.gov.ph/GEPSNONPILOT/Tender/SplashBidNoticeAbstractUI.aspx?menuIndex=3&amp;refID=7056330&amp;Result=3","7056330")</f>
        <v>0</v>
      </c>
      <c r="B12179" t="s">
        <v>3222</v>
      </c>
      <c r="C12179" t="s">
        <v>15056</v>
      </c>
      <c r="D12179" t="s">
        <v>17422</v>
      </c>
      <c r="E12179" t="s">
        <v>17965</v>
      </c>
      <c r="F12179" t="s">
        <v>30052</v>
      </c>
      <c r="G12179" t="s">
        <v>30058</v>
      </c>
      <c r="H12179" t="s">
        <v>30067</v>
      </c>
      <c r="I12179" t="s">
        <v>30163</v>
      </c>
      <c r="J12179" t="s">
        <v>37630</v>
      </c>
      <c r="K12179" t="s">
        <v>39119</v>
      </c>
      <c r="M12179" t="s">
        <v>42846</v>
      </c>
      <c r="N12179" t="s">
        <v>43166</v>
      </c>
      <c r="O12179" t="s">
        <v>43167</v>
      </c>
      <c r="P12179">
        <v>0</v>
      </c>
      <c r="Q12179">
        <v>8</v>
      </c>
      <c r="R12179" t="s">
        <v>43184</v>
      </c>
      <c r="S12179" t="s">
        <v>43839</v>
      </c>
      <c r="T12179" t="s">
        <v>44721</v>
      </c>
      <c r="U12179" t="s">
        <v>54919</v>
      </c>
      <c r="W12179" t="s">
        <v>42846</v>
      </c>
      <c r="X12179" t="s">
        <v>43185</v>
      </c>
    </row>
    <row r="12180" spans="1:24">
      <c r="A12180">
        <f>HYPERLINK("https://www.philgeps.gov.ph/GEPSNONPILOT/Tender/SplashBidNoticeAbstractUI.aspx?menuIndex=3&amp;refID=7056305&amp;Result=3","7056305")</f>
        <v>0</v>
      </c>
      <c r="B12180" t="s">
        <v>3221</v>
      </c>
      <c r="C12180" t="s">
        <v>15057</v>
      </c>
      <c r="D12180" t="s">
        <v>17448</v>
      </c>
      <c r="E12180" t="s">
        <v>27910</v>
      </c>
      <c r="F12180" t="s">
        <v>30052</v>
      </c>
      <c r="G12180" t="s">
        <v>30058</v>
      </c>
      <c r="H12180" t="s">
        <v>30067</v>
      </c>
      <c r="I12180" t="s">
        <v>3693</v>
      </c>
      <c r="J12180" t="s">
        <v>37631</v>
      </c>
      <c r="K12180" t="s">
        <v>39023</v>
      </c>
      <c r="M12180" t="s">
        <v>42845</v>
      </c>
      <c r="N12180" t="s">
        <v>43166</v>
      </c>
      <c r="O12180" t="s">
        <v>43167</v>
      </c>
      <c r="Q12180">
        <v>0</v>
      </c>
      <c r="R12180" t="s">
        <v>43184</v>
      </c>
      <c r="S12180" t="s">
        <v>43872</v>
      </c>
      <c r="T12180" t="s">
        <v>45129</v>
      </c>
      <c r="U12180" t="s">
        <v>54900</v>
      </c>
      <c r="V12180" t="s">
        <v>58196</v>
      </c>
      <c r="W12180" t="s">
        <v>42845</v>
      </c>
      <c r="X12180" t="s">
        <v>43185</v>
      </c>
    </row>
    <row r="12181" spans="1:24">
      <c r="A12181">
        <f>HYPERLINK("https://www.philgeps.gov.ph/GEPSNONPILOT/Tender/SplashBidNoticeAbstractUI.aspx?menuIndex=3&amp;refID=7056275&amp;Result=3","7056275")</f>
        <v>0</v>
      </c>
      <c r="B12181" t="s">
        <v>3222</v>
      </c>
      <c r="C12181" t="s">
        <v>15058</v>
      </c>
      <c r="D12181" t="s">
        <v>17422</v>
      </c>
      <c r="E12181" t="s">
        <v>19120</v>
      </c>
      <c r="F12181" t="s">
        <v>30052</v>
      </c>
      <c r="G12181" t="s">
        <v>30058</v>
      </c>
      <c r="H12181" t="s">
        <v>30067</v>
      </c>
      <c r="I12181" t="s">
        <v>30163</v>
      </c>
      <c r="J12181" t="s">
        <v>37632</v>
      </c>
      <c r="K12181" t="s">
        <v>39022</v>
      </c>
      <c r="M12181" t="s">
        <v>42846</v>
      </c>
      <c r="N12181" t="s">
        <v>43166</v>
      </c>
      <c r="O12181" t="s">
        <v>43167</v>
      </c>
      <c r="P12181">
        <v>0</v>
      </c>
      <c r="Q12181">
        <v>7</v>
      </c>
      <c r="R12181" t="s">
        <v>43184</v>
      </c>
      <c r="S12181" t="s">
        <v>43839</v>
      </c>
      <c r="T12181" t="s">
        <v>44718</v>
      </c>
      <c r="U12181" t="s">
        <v>54920</v>
      </c>
      <c r="W12181" t="s">
        <v>42846</v>
      </c>
      <c r="X12181" t="s">
        <v>43185</v>
      </c>
    </row>
    <row r="12182" spans="1:24">
      <c r="A12182">
        <f>HYPERLINK("https://www.philgeps.gov.ph/GEPSNONPILOT/Tender/SplashBidNoticeAbstractUI.aspx?menuIndex=3&amp;refID=7056379&amp;Result=3","7056379")</f>
        <v>0</v>
      </c>
      <c r="B12182" t="s">
        <v>3221</v>
      </c>
      <c r="C12182" t="s">
        <v>15059</v>
      </c>
      <c r="D12182" t="s">
        <v>17448</v>
      </c>
      <c r="E12182" t="s">
        <v>27910</v>
      </c>
      <c r="F12182" t="s">
        <v>30052</v>
      </c>
      <c r="G12182" t="s">
        <v>30058</v>
      </c>
      <c r="H12182" t="s">
        <v>30067</v>
      </c>
      <c r="I12182" t="s">
        <v>3693</v>
      </c>
      <c r="J12182" t="s">
        <v>37633</v>
      </c>
      <c r="K12182" t="s">
        <v>39026</v>
      </c>
      <c r="M12182" t="s">
        <v>42845</v>
      </c>
      <c r="N12182" t="s">
        <v>43166</v>
      </c>
      <c r="O12182" t="s">
        <v>43167</v>
      </c>
      <c r="Q12182">
        <v>0</v>
      </c>
      <c r="R12182" t="s">
        <v>43184</v>
      </c>
      <c r="S12182" t="s">
        <v>43873</v>
      </c>
      <c r="T12182" t="s">
        <v>45129</v>
      </c>
      <c r="U12182" t="s">
        <v>54900</v>
      </c>
      <c r="V12182" t="s">
        <v>58197</v>
      </c>
      <c r="W12182" t="s">
        <v>42845</v>
      </c>
      <c r="X12182" t="s">
        <v>43185</v>
      </c>
    </row>
    <row r="12183" spans="1:24">
      <c r="A12183">
        <f>HYPERLINK("https://www.philgeps.gov.ph/GEPSNONPILOT/Tender/SplashBidNoticeAbstractUI.aspx?menuIndex=3&amp;refID=7056328&amp;Result=3","7056328")</f>
        <v>0</v>
      </c>
      <c r="B12183" t="s">
        <v>3221</v>
      </c>
      <c r="C12183" t="s">
        <v>15060</v>
      </c>
      <c r="D12183" t="s">
        <v>17448</v>
      </c>
      <c r="E12183" t="s">
        <v>27910</v>
      </c>
      <c r="F12183" t="s">
        <v>30052</v>
      </c>
      <c r="G12183" t="s">
        <v>30058</v>
      </c>
      <c r="H12183" t="s">
        <v>30067</v>
      </c>
      <c r="I12183" t="s">
        <v>3693</v>
      </c>
      <c r="J12183" t="s">
        <v>34871</v>
      </c>
      <c r="K12183" t="s">
        <v>39031</v>
      </c>
      <c r="M12183" t="s">
        <v>42845</v>
      </c>
      <c r="N12183" t="s">
        <v>43166</v>
      </c>
      <c r="O12183" t="s">
        <v>43167</v>
      </c>
      <c r="Q12183">
        <v>0</v>
      </c>
      <c r="R12183" t="s">
        <v>43184</v>
      </c>
      <c r="S12183" t="s">
        <v>43874</v>
      </c>
      <c r="T12183" t="s">
        <v>45129</v>
      </c>
      <c r="U12183" t="s">
        <v>54900</v>
      </c>
      <c r="V12183" t="s">
        <v>58198</v>
      </c>
      <c r="W12183" t="s">
        <v>42845</v>
      </c>
      <c r="X12183" t="s">
        <v>43185</v>
      </c>
    </row>
    <row r="12184" spans="1:24">
      <c r="A12184">
        <f>HYPERLINK("https://www.philgeps.gov.ph/GEPSNONPILOT/Tender/SplashBidNoticeAbstractUI.aspx?menuIndex=3&amp;refID=7056271&amp;Result=3","7056271")</f>
        <v>0</v>
      </c>
      <c r="B12184" t="s">
        <v>3221</v>
      </c>
      <c r="C12184" t="s">
        <v>15061</v>
      </c>
      <c r="D12184" t="s">
        <v>17448</v>
      </c>
      <c r="E12184" t="s">
        <v>27910</v>
      </c>
      <c r="F12184" t="s">
        <v>30052</v>
      </c>
      <c r="G12184" t="s">
        <v>30058</v>
      </c>
      <c r="H12184" t="s">
        <v>30067</v>
      </c>
      <c r="I12184" t="s">
        <v>3693</v>
      </c>
      <c r="J12184" t="s">
        <v>37634</v>
      </c>
      <c r="K12184" t="s">
        <v>39023</v>
      </c>
      <c r="M12184" t="s">
        <v>42845</v>
      </c>
      <c r="N12184" t="s">
        <v>43166</v>
      </c>
      <c r="O12184" t="s">
        <v>43167</v>
      </c>
      <c r="Q12184">
        <v>0</v>
      </c>
      <c r="R12184" t="s">
        <v>43184</v>
      </c>
      <c r="S12184" t="s">
        <v>43875</v>
      </c>
      <c r="T12184" t="s">
        <v>45129</v>
      </c>
      <c r="U12184" t="s">
        <v>54900</v>
      </c>
      <c r="V12184" t="s">
        <v>58199</v>
      </c>
      <c r="W12184" t="s">
        <v>42845</v>
      </c>
      <c r="X12184" t="s">
        <v>43185</v>
      </c>
    </row>
    <row r="12185" spans="1:24">
      <c r="A12185">
        <f>HYPERLINK("https://www.philgeps.gov.ph/GEPSNONPILOT/Tender/SplashBidNoticeAbstractUI.aspx?menuIndex=3&amp;refID=7056356&amp;Result=3","7056356")</f>
        <v>0</v>
      </c>
      <c r="B12185" t="s">
        <v>2320</v>
      </c>
      <c r="C12185" t="s">
        <v>15062</v>
      </c>
      <c r="D12185" t="s">
        <v>17462</v>
      </c>
      <c r="E12185" t="s">
        <v>27932</v>
      </c>
      <c r="F12185" t="s">
        <v>30052</v>
      </c>
      <c r="G12185" t="s">
        <v>30058</v>
      </c>
      <c r="H12185" t="s">
        <v>15498</v>
      </c>
      <c r="I12185" t="s">
        <v>30084</v>
      </c>
      <c r="J12185" t="s">
        <v>37635</v>
      </c>
      <c r="K12185" t="s">
        <v>39029</v>
      </c>
      <c r="M12185" t="s">
        <v>41807</v>
      </c>
      <c r="N12185" t="s">
        <v>43166</v>
      </c>
      <c r="O12185" t="s">
        <v>43167</v>
      </c>
      <c r="P12185">
        <v>0</v>
      </c>
      <c r="Q12185">
        <v>7</v>
      </c>
      <c r="R12185" t="s">
        <v>43184</v>
      </c>
      <c r="S12185" t="s">
        <v>43839</v>
      </c>
      <c r="T12185" t="s">
        <v>44689</v>
      </c>
      <c r="U12185" t="s">
        <v>51193</v>
      </c>
      <c r="V12185" t="s">
        <v>58173</v>
      </c>
      <c r="W12185" t="s">
        <v>58688</v>
      </c>
      <c r="X12185" t="s">
        <v>43185</v>
      </c>
    </row>
    <row r="12186" spans="1:24">
      <c r="A12186">
        <f>HYPERLINK("https://www.philgeps.gov.ph/GEPSNONPILOT/Tender/SplashBidNoticeAbstractUI.aspx?menuIndex=3&amp;refID=7058927&amp;Result=3","7058927")</f>
        <v>0</v>
      </c>
      <c r="B12186" t="s">
        <v>670</v>
      </c>
      <c r="C12186" t="s">
        <v>15063</v>
      </c>
      <c r="D12186" t="s">
        <v>17446</v>
      </c>
      <c r="E12186" t="s">
        <v>27933</v>
      </c>
      <c r="F12186" t="s">
        <v>30052</v>
      </c>
      <c r="G12186" t="s">
        <v>30058</v>
      </c>
      <c r="H12186" t="s">
        <v>30067</v>
      </c>
      <c r="I12186" t="s">
        <v>3693</v>
      </c>
      <c r="J12186" t="s">
        <v>37636</v>
      </c>
      <c r="K12186" t="s">
        <v>39025</v>
      </c>
      <c r="M12186" t="s">
        <v>42821</v>
      </c>
      <c r="N12186" t="s">
        <v>43166</v>
      </c>
      <c r="O12186" t="s">
        <v>43167</v>
      </c>
      <c r="P12186">
        <v>0</v>
      </c>
      <c r="Q12186">
        <v>1</v>
      </c>
      <c r="R12186" t="s">
        <v>43182</v>
      </c>
      <c r="S12186" t="s">
        <v>43789</v>
      </c>
      <c r="T12186" t="s">
        <v>44681</v>
      </c>
      <c r="U12186" t="s">
        <v>54921</v>
      </c>
      <c r="W12186" t="s">
        <v>42821</v>
      </c>
      <c r="X12186" t="s">
        <v>43183</v>
      </c>
    </row>
    <row r="12187" spans="1:24">
      <c r="A12187">
        <f>HYPERLINK("https://www.philgeps.gov.ph/GEPSNONPILOT/Tender/SplashBidNoticeAbstractUI.aspx?menuIndex=3&amp;refID=7056247&amp;Result=3","7056247")</f>
        <v>0</v>
      </c>
      <c r="B12187" t="s">
        <v>3221</v>
      </c>
      <c r="C12187" t="s">
        <v>15064</v>
      </c>
      <c r="D12187" t="s">
        <v>17448</v>
      </c>
      <c r="E12187" t="s">
        <v>27910</v>
      </c>
      <c r="F12187" t="s">
        <v>30052</v>
      </c>
      <c r="G12187" t="s">
        <v>30058</v>
      </c>
      <c r="H12187" t="s">
        <v>30067</v>
      </c>
      <c r="I12187" t="s">
        <v>3693</v>
      </c>
      <c r="J12187" t="s">
        <v>30222</v>
      </c>
      <c r="K12187" t="s">
        <v>39023</v>
      </c>
      <c r="M12187" t="s">
        <v>42845</v>
      </c>
      <c r="N12187" t="s">
        <v>43166</v>
      </c>
      <c r="O12187" t="s">
        <v>43167</v>
      </c>
      <c r="Q12187">
        <v>0</v>
      </c>
      <c r="R12187" t="s">
        <v>43184</v>
      </c>
      <c r="S12187" t="s">
        <v>43876</v>
      </c>
      <c r="T12187" t="s">
        <v>45129</v>
      </c>
      <c r="U12187" t="s">
        <v>54900</v>
      </c>
      <c r="V12187" t="s">
        <v>58200</v>
      </c>
      <c r="W12187" t="s">
        <v>42845</v>
      </c>
      <c r="X12187" t="s">
        <v>43185</v>
      </c>
    </row>
    <row r="12188" spans="1:24">
      <c r="A12188">
        <f>HYPERLINK("https://www.philgeps.gov.ph/GEPSNONPILOT/Tender/SplashBidNoticeAbstractUI.aspx?menuIndex=3&amp;refID=7056292&amp;Result=3","7056292")</f>
        <v>0</v>
      </c>
      <c r="B12188" t="s">
        <v>3221</v>
      </c>
      <c r="C12188" t="s">
        <v>15065</v>
      </c>
      <c r="D12188" t="s">
        <v>17448</v>
      </c>
      <c r="E12188" t="s">
        <v>27910</v>
      </c>
      <c r="F12188" t="s">
        <v>30052</v>
      </c>
      <c r="G12188" t="s">
        <v>30058</v>
      </c>
      <c r="H12188" t="s">
        <v>30067</v>
      </c>
      <c r="I12188" t="s">
        <v>3693</v>
      </c>
      <c r="J12188" t="s">
        <v>30222</v>
      </c>
      <c r="K12188" t="s">
        <v>39023</v>
      </c>
      <c r="M12188" t="s">
        <v>42845</v>
      </c>
      <c r="N12188" t="s">
        <v>43166</v>
      </c>
      <c r="O12188" t="s">
        <v>43167</v>
      </c>
      <c r="Q12188">
        <v>0</v>
      </c>
      <c r="R12188" t="s">
        <v>43184</v>
      </c>
      <c r="S12188" t="s">
        <v>43877</v>
      </c>
      <c r="T12188" t="s">
        <v>45129</v>
      </c>
      <c r="U12188" t="s">
        <v>54900</v>
      </c>
      <c r="V12188" t="s">
        <v>58201</v>
      </c>
      <c r="W12188" t="s">
        <v>42845</v>
      </c>
      <c r="X12188" t="s">
        <v>43185</v>
      </c>
    </row>
    <row r="12189" spans="1:24">
      <c r="A12189">
        <f>HYPERLINK("https://www.philgeps.gov.ph/GEPSNONPILOT/Tender/SplashBidNoticeAbstractUI.aspx?menuIndex=3&amp;refID=7056253&amp;Result=3","7056253")</f>
        <v>0</v>
      </c>
      <c r="B12189" t="s">
        <v>2320</v>
      </c>
      <c r="C12189" t="s">
        <v>15066</v>
      </c>
      <c r="D12189" t="s">
        <v>17462</v>
      </c>
      <c r="E12189" t="s">
        <v>27934</v>
      </c>
      <c r="F12189" t="s">
        <v>30052</v>
      </c>
      <c r="G12189" t="s">
        <v>30058</v>
      </c>
      <c r="H12189" t="s">
        <v>15498</v>
      </c>
      <c r="I12189" t="s">
        <v>30076</v>
      </c>
      <c r="J12189" t="s">
        <v>37637</v>
      </c>
      <c r="K12189" t="s">
        <v>39029</v>
      </c>
      <c r="M12189" t="s">
        <v>42321</v>
      </c>
      <c r="N12189" t="s">
        <v>43166</v>
      </c>
      <c r="O12189" t="s">
        <v>43167</v>
      </c>
      <c r="Q12189">
        <v>19</v>
      </c>
      <c r="R12189" t="s">
        <v>43184</v>
      </c>
      <c r="S12189" t="s">
        <v>43878</v>
      </c>
      <c r="T12189" t="s">
        <v>44689</v>
      </c>
      <c r="U12189" t="s">
        <v>51193</v>
      </c>
      <c r="V12189" t="s">
        <v>58173</v>
      </c>
      <c r="W12189" t="s">
        <v>58688</v>
      </c>
      <c r="X12189" t="s">
        <v>43185</v>
      </c>
    </row>
    <row r="12190" spans="1:24">
      <c r="A12190">
        <f>HYPERLINK("https://www.philgeps.gov.ph/GEPSNONPILOT/Tender/SplashBidNoticeAbstractUI.aspx?menuIndex=3&amp;refID=7056130&amp;Result=3","7056130")</f>
        <v>0</v>
      </c>
      <c r="B12190" t="s">
        <v>3221</v>
      </c>
      <c r="C12190" t="s">
        <v>15067</v>
      </c>
      <c r="D12190" t="s">
        <v>17448</v>
      </c>
      <c r="E12190" t="s">
        <v>27910</v>
      </c>
      <c r="F12190" t="s">
        <v>30052</v>
      </c>
      <c r="G12190" t="s">
        <v>30058</v>
      </c>
      <c r="H12190" t="s">
        <v>30067</v>
      </c>
      <c r="I12190" t="s">
        <v>3693</v>
      </c>
      <c r="J12190" t="s">
        <v>30222</v>
      </c>
      <c r="K12190" t="s">
        <v>39023</v>
      </c>
      <c r="M12190" t="s">
        <v>42845</v>
      </c>
      <c r="N12190" t="s">
        <v>43166</v>
      </c>
      <c r="O12190" t="s">
        <v>43167</v>
      </c>
      <c r="Q12190">
        <v>0</v>
      </c>
      <c r="R12190" t="s">
        <v>43184</v>
      </c>
      <c r="S12190" t="s">
        <v>43879</v>
      </c>
      <c r="T12190" t="s">
        <v>45129</v>
      </c>
      <c r="U12190" t="s">
        <v>54900</v>
      </c>
      <c r="V12190" t="s">
        <v>58202</v>
      </c>
      <c r="W12190" t="s">
        <v>42845</v>
      </c>
      <c r="X12190" t="s">
        <v>43185</v>
      </c>
    </row>
    <row r="12191" spans="1:24">
      <c r="A12191">
        <f>HYPERLINK("https://www.philgeps.gov.ph/GEPSNONPILOT/Tender/SplashBidNoticeAbstractUI.aspx?menuIndex=3&amp;refID=7058369&amp;Result=3","7058369")</f>
        <v>0</v>
      </c>
      <c r="B12191" t="s">
        <v>906</v>
      </c>
      <c r="C12191" t="s">
        <v>15068</v>
      </c>
      <c r="D12191" t="s">
        <v>17448</v>
      </c>
      <c r="E12191" t="s">
        <v>27935</v>
      </c>
      <c r="F12191" t="s">
        <v>30052</v>
      </c>
      <c r="G12191" t="s">
        <v>30058</v>
      </c>
      <c r="H12191" t="s">
        <v>15498</v>
      </c>
      <c r="I12191" t="s">
        <v>3606</v>
      </c>
      <c r="J12191" t="s">
        <v>37638</v>
      </c>
      <c r="K12191" t="s">
        <v>39017</v>
      </c>
      <c r="M12191" t="s">
        <v>40227</v>
      </c>
      <c r="N12191" t="s">
        <v>43166</v>
      </c>
      <c r="O12191" t="s">
        <v>43167</v>
      </c>
      <c r="P12191">
        <v>0</v>
      </c>
      <c r="Q12191">
        <v>10</v>
      </c>
      <c r="R12191" t="s">
        <v>43182</v>
      </c>
      <c r="S12191" t="s">
        <v>43789</v>
      </c>
      <c r="T12191" t="s">
        <v>44681</v>
      </c>
      <c r="U12191" t="s">
        <v>54922</v>
      </c>
      <c r="W12191" t="s">
        <v>40227</v>
      </c>
      <c r="X12191" t="s">
        <v>43184</v>
      </c>
    </row>
    <row r="12192" spans="1:24">
      <c r="A12192">
        <f>HYPERLINK("https://www.philgeps.gov.ph/GEPSNONPILOT/Tender/SplashBidNoticeAbstractUI.aspx?menuIndex=3&amp;refID=7055999&amp;Result=3","7055999")</f>
        <v>0</v>
      </c>
      <c r="B12192" t="s">
        <v>3225</v>
      </c>
      <c r="C12192" t="s">
        <v>15069</v>
      </c>
      <c r="D12192" t="s">
        <v>17437</v>
      </c>
      <c r="E12192" t="s">
        <v>27936</v>
      </c>
      <c r="F12192" t="s">
        <v>30052</v>
      </c>
      <c r="G12192" t="s">
        <v>30058</v>
      </c>
      <c r="H12192" t="s">
        <v>15498</v>
      </c>
      <c r="I12192" t="s">
        <v>30097</v>
      </c>
      <c r="J12192" t="s">
        <v>30207</v>
      </c>
      <c r="K12192" t="s">
        <v>39017</v>
      </c>
      <c r="M12192" t="s">
        <v>42850</v>
      </c>
      <c r="N12192" t="s">
        <v>43166</v>
      </c>
      <c r="O12192" t="s">
        <v>43167</v>
      </c>
      <c r="P12192">
        <v>0</v>
      </c>
      <c r="Q12192">
        <v>2</v>
      </c>
      <c r="R12192" t="s">
        <v>43184</v>
      </c>
      <c r="S12192" t="s">
        <v>43839</v>
      </c>
      <c r="T12192" t="s">
        <v>44733</v>
      </c>
      <c r="U12192" t="s">
        <v>54923</v>
      </c>
      <c r="V12192" t="s">
        <v>58203</v>
      </c>
      <c r="W12192" t="s">
        <v>58706</v>
      </c>
      <c r="X12192" t="s">
        <v>43185</v>
      </c>
    </row>
    <row r="12193" spans="1:24">
      <c r="A12193">
        <f>HYPERLINK("https://www.philgeps.gov.ph/GEPSNONPILOT/Tender/SplashBidNoticeAbstractUI.aspx?menuIndex=3&amp;refID=7058415&amp;Result=3","7058415")</f>
        <v>0</v>
      </c>
      <c r="B12193" t="s">
        <v>1317</v>
      </c>
      <c r="C12193" t="s">
        <v>15070</v>
      </c>
      <c r="D12193" t="s">
        <v>17466</v>
      </c>
      <c r="E12193" t="s">
        <v>27937</v>
      </c>
      <c r="F12193" t="s">
        <v>30052</v>
      </c>
      <c r="G12193" t="s">
        <v>30059</v>
      </c>
      <c r="H12193" t="s">
        <v>15498</v>
      </c>
      <c r="I12193" t="s">
        <v>30165</v>
      </c>
      <c r="J12193" t="s">
        <v>30395</v>
      </c>
      <c r="K12193" t="s">
        <v>39039</v>
      </c>
      <c r="M12193" t="s">
        <v>40684</v>
      </c>
      <c r="N12193" t="s">
        <v>43166</v>
      </c>
      <c r="O12193" t="s">
        <v>43167</v>
      </c>
      <c r="P12193">
        <v>0</v>
      </c>
      <c r="Q12193">
        <v>0</v>
      </c>
      <c r="R12193" t="s">
        <v>43182</v>
      </c>
      <c r="S12193" t="s">
        <v>43789</v>
      </c>
      <c r="T12193" t="s">
        <v>44715</v>
      </c>
      <c r="U12193" t="s">
        <v>54924</v>
      </c>
      <c r="W12193" t="s">
        <v>40684</v>
      </c>
      <c r="X12193" t="s">
        <v>43184</v>
      </c>
    </row>
    <row r="12194" spans="1:24">
      <c r="A12194">
        <f>HYPERLINK("https://www.philgeps.gov.ph/GEPSNONPILOT/Tender/SplashBidNoticeAbstractUI.aspx?menuIndex=3&amp;refID=7058367&amp;Result=3","7058367")</f>
        <v>0</v>
      </c>
      <c r="B12194" t="s">
        <v>390</v>
      </c>
      <c r="C12194" t="s">
        <v>15071</v>
      </c>
      <c r="D12194" t="s">
        <v>17415</v>
      </c>
      <c r="E12194" t="s">
        <v>27938</v>
      </c>
      <c r="F12194" t="s">
        <v>30052</v>
      </c>
      <c r="G12194" t="s">
        <v>30058</v>
      </c>
      <c r="H12194" t="s">
        <v>15498</v>
      </c>
      <c r="I12194" t="s">
        <v>30172</v>
      </c>
      <c r="J12194" t="s">
        <v>37639</v>
      </c>
      <c r="K12194" t="s">
        <v>39023</v>
      </c>
      <c r="M12194" t="s">
        <v>42815</v>
      </c>
      <c r="N12194" t="s">
        <v>43166</v>
      </c>
      <c r="O12194" t="s">
        <v>43167</v>
      </c>
      <c r="P12194">
        <v>0</v>
      </c>
      <c r="Q12194">
        <v>5</v>
      </c>
      <c r="R12194" t="s">
        <v>43182</v>
      </c>
      <c r="S12194" t="s">
        <v>43789</v>
      </c>
      <c r="T12194" t="s">
        <v>44718</v>
      </c>
      <c r="U12194" t="s">
        <v>54925</v>
      </c>
      <c r="V12194" t="s">
        <v>58204</v>
      </c>
      <c r="W12194" t="s">
        <v>42815</v>
      </c>
      <c r="X12194" t="s">
        <v>43184</v>
      </c>
    </row>
    <row r="12195" spans="1:24">
      <c r="A12195">
        <f>HYPERLINK("https://www.philgeps.gov.ph/GEPSNONPILOT/Tender/SplashBidNoticeAbstractUI.aspx?menuIndex=3&amp;refID=7056234&amp;Result=3","7056234")</f>
        <v>0</v>
      </c>
      <c r="B12195" t="s">
        <v>794</v>
      </c>
      <c r="C12195" t="s">
        <v>15072</v>
      </c>
      <c r="D12195" t="s">
        <v>17494</v>
      </c>
      <c r="E12195" t="s">
        <v>27939</v>
      </c>
      <c r="F12195" t="s">
        <v>30052</v>
      </c>
      <c r="G12195" t="s">
        <v>30058</v>
      </c>
      <c r="H12195" t="s">
        <v>15498</v>
      </c>
      <c r="I12195" t="s">
        <v>30124</v>
      </c>
      <c r="J12195" t="s">
        <v>30222</v>
      </c>
      <c r="K12195" t="s">
        <v>39029</v>
      </c>
      <c r="M12195" t="s">
        <v>40111</v>
      </c>
      <c r="N12195" t="s">
        <v>43166</v>
      </c>
      <c r="O12195" t="s">
        <v>43167</v>
      </c>
      <c r="P12195">
        <v>0</v>
      </c>
      <c r="Q12195">
        <v>7</v>
      </c>
      <c r="R12195" t="s">
        <v>43184</v>
      </c>
      <c r="S12195" t="s">
        <v>43839</v>
      </c>
      <c r="T12195" t="s">
        <v>44733</v>
      </c>
      <c r="U12195" t="s">
        <v>54926</v>
      </c>
      <c r="W12195" t="s">
        <v>40111</v>
      </c>
      <c r="X12195" t="s">
        <v>43185</v>
      </c>
    </row>
    <row r="12196" spans="1:24">
      <c r="A12196">
        <f>HYPERLINK("https://www.philgeps.gov.ph/GEPSNONPILOT/Tender/SplashBidNoticeAbstractUI.aspx?menuIndex=3&amp;refID=7061557&amp;Result=3","7061557")</f>
        <v>0</v>
      </c>
      <c r="B12196" t="s">
        <v>964</v>
      </c>
      <c r="C12196" t="s">
        <v>15073</v>
      </c>
      <c r="D12196" t="s">
        <v>17415</v>
      </c>
      <c r="E12196" t="s">
        <v>27940</v>
      </c>
      <c r="F12196" t="s">
        <v>30052</v>
      </c>
      <c r="G12196" t="s">
        <v>30058</v>
      </c>
      <c r="H12196" t="s">
        <v>15498</v>
      </c>
      <c r="I12196" t="s">
        <v>30151</v>
      </c>
      <c r="J12196" t="s">
        <v>30239</v>
      </c>
      <c r="K12196" t="s">
        <v>39019</v>
      </c>
      <c r="M12196" t="s">
        <v>42746</v>
      </c>
      <c r="N12196" t="s">
        <v>43166</v>
      </c>
      <c r="O12196" t="s">
        <v>43167</v>
      </c>
      <c r="P12196">
        <v>0</v>
      </c>
      <c r="Q12196">
        <v>15</v>
      </c>
      <c r="R12196" t="s">
        <v>43181</v>
      </c>
      <c r="S12196" t="s">
        <v>43729</v>
      </c>
      <c r="T12196" t="s">
        <v>44762</v>
      </c>
      <c r="U12196" t="s">
        <v>54744</v>
      </c>
      <c r="W12196" t="s">
        <v>42746</v>
      </c>
      <c r="X12196" t="s">
        <v>43182</v>
      </c>
    </row>
    <row r="12197" spans="1:24">
      <c r="A12197">
        <f>HYPERLINK("https://www.philgeps.gov.ph/GEPSNONPILOT/Tender/SplashBidNoticeAbstractUI.aspx?menuIndex=3&amp;refID=7061554&amp;Result=3","7061554")</f>
        <v>0</v>
      </c>
      <c r="B12197" t="s">
        <v>3226</v>
      </c>
      <c r="C12197" t="s">
        <v>15074</v>
      </c>
      <c r="D12197" t="s">
        <v>17462</v>
      </c>
      <c r="E12197" t="s">
        <v>27941</v>
      </c>
      <c r="F12197" t="s">
        <v>30052</v>
      </c>
      <c r="G12197" t="s">
        <v>30058</v>
      </c>
      <c r="H12197" t="s">
        <v>30068</v>
      </c>
      <c r="I12197" t="s">
        <v>30068</v>
      </c>
      <c r="J12197" t="s">
        <v>36747</v>
      </c>
      <c r="K12197" t="s">
        <v>39273</v>
      </c>
      <c r="M12197" t="s">
        <v>42851</v>
      </c>
      <c r="N12197" t="s">
        <v>43166</v>
      </c>
      <c r="O12197" t="s">
        <v>43167</v>
      </c>
      <c r="Q12197">
        <v>6</v>
      </c>
      <c r="R12197" t="s">
        <v>43181</v>
      </c>
      <c r="S12197" t="s">
        <v>43448</v>
      </c>
      <c r="T12197" t="s">
        <v>44835</v>
      </c>
      <c r="U12197" t="s">
        <v>54927</v>
      </c>
      <c r="V12197" t="s">
        <v>58205</v>
      </c>
      <c r="W12197" t="s">
        <v>42851</v>
      </c>
      <c r="X12197" t="s">
        <v>43182</v>
      </c>
    </row>
    <row r="12198" spans="1:24">
      <c r="A12198">
        <f>HYPERLINK("https://www.philgeps.gov.ph/GEPSNONPILOT/Tender/SplashBidNoticeAbstractUI.aspx?menuIndex=3&amp;refID=7058923&amp;Result=3","7058923")</f>
        <v>0</v>
      </c>
      <c r="B12198" t="s">
        <v>670</v>
      </c>
      <c r="C12198" t="s">
        <v>15075</v>
      </c>
      <c r="D12198" t="s">
        <v>17446</v>
      </c>
      <c r="E12198" t="s">
        <v>27942</v>
      </c>
      <c r="F12198" t="s">
        <v>30052</v>
      </c>
      <c r="G12198" t="s">
        <v>30058</v>
      </c>
      <c r="H12198" t="s">
        <v>30067</v>
      </c>
      <c r="I12198" t="s">
        <v>3693</v>
      </c>
      <c r="J12198" t="s">
        <v>37640</v>
      </c>
      <c r="K12198" t="s">
        <v>39025</v>
      </c>
      <c r="M12198" t="s">
        <v>42821</v>
      </c>
      <c r="N12198" t="s">
        <v>43166</v>
      </c>
      <c r="O12198" t="s">
        <v>43167</v>
      </c>
      <c r="P12198">
        <v>0</v>
      </c>
      <c r="Q12198">
        <v>0</v>
      </c>
      <c r="R12198" t="s">
        <v>43182</v>
      </c>
      <c r="S12198" t="s">
        <v>43789</v>
      </c>
      <c r="T12198" t="s">
        <v>44681</v>
      </c>
      <c r="U12198" t="s">
        <v>54928</v>
      </c>
      <c r="W12198" t="s">
        <v>42821</v>
      </c>
      <c r="X12198" t="s">
        <v>43183</v>
      </c>
    </row>
    <row r="12199" spans="1:24">
      <c r="A12199">
        <f>HYPERLINK("https://www.philgeps.gov.ph/GEPSNONPILOT/Tender/SplashBidNoticeAbstractUI.aspx?menuIndex=3&amp;refID=7061184&amp;Result=3","7061184")</f>
        <v>0</v>
      </c>
      <c r="B12199" t="s">
        <v>59</v>
      </c>
      <c r="C12199" t="s">
        <v>15076</v>
      </c>
      <c r="D12199" t="s">
        <v>17441</v>
      </c>
      <c r="E12199" t="s">
        <v>27943</v>
      </c>
      <c r="F12199" t="s">
        <v>30052</v>
      </c>
      <c r="G12199" t="s">
        <v>30058</v>
      </c>
      <c r="H12199" t="s">
        <v>30067</v>
      </c>
      <c r="I12199" t="s">
        <v>3693</v>
      </c>
      <c r="J12199" t="s">
        <v>37641</v>
      </c>
      <c r="K12199" t="s">
        <v>39031</v>
      </c>
      <c r="M12199" t="s">
        <v>39348</v>
      </c>
      <c r="N12199" t="s">
        <v>43166</v>
      </c>
      <c r="O12199" t="s">
        <v>43167</v>
      </c>
      <c r="P12199">
        <v>0</v>
      </c>
      <c r="Q12199">
        <v>22</v>
      </c>
      <c r="R12199" t="s">
        <v>43181</v>
      </c>
      <c r="S12199" t="s">
        <v>43729</v>
      </c>
      <c r="T12199" t="s">
        <v>44681</v>
      </c>
      <c r="U12199" t="s">
        <v>54929</v>
      </c>
      <c r="V12199" t="s">
        <v>56820</v>
      </c>
      <c r="W12199" t="s">
        <v>39348</v>
      </c>
      <c r="X12199" t="s">
        <v>43182</v>
      </c>
    </row>
    <row r="12200" spans="1:24">
      <c r="A12200">
        <f>HYPERLINK("https://www.philgeps.gov.ph/GEPSNONPILOT/Tender/SplashBidNoticeAbstractUI.aspx?menuIndex=3&amp;refID=7058402&amp;Result=3","7058402")</f>
        <v>0</v>
      </c>
      <c r="B12200" t="s">
        <v>1950</v>
      </c>
      <c r="C12200" t="s">
        <v>15077</v>
      </c>
      <c r="D12200" t="s">
        <v>17415</v>
      </c>
      <c r="E12200" t="s">
        <v>27944</v>
      </c>
      <c r="F12200" t="s">
        <v>30052</v>
      </c>
      <c r="G12200" t="s">
        <v>30058</v>
      </c>
      <c r="H12200" t="s">
        <v>30069</v>
      </c>
      <c r="I12200" t="s">
        <v>30084</v>
      </c>
      <c r="J12200" t="s">
        <v>37642</v>
      </c>
      <c r="K12200" t="s">
        <v>39095</v>
      </c>
      <c r="M12200" t="s">
        <v>42277</v>
      </c>
      <c r="N12200" t="s">
        <v>43166</v>
      </c>
      <c r="O12200" t="s">
        <v>43167</v>
      </c>
      <c r="P12200">
        <v>0</v>
      </c>
      <c r="Q12200">
        <v>15</v>
      </c>
      <c r="R12200" t="s">
        <v>43182</v>
      </c>
      <c r="S12200" t="s">
        <v>43789</v>
      </c>
      <c r="T12200" t="s">
        <v>44804</v>
      </c>
      <c r="U12200" t="s">
        <v>54930</v>
      </c>
      <c r="W12200" t="s">
        <v>42277</v>
      </c>
      <c r="X12200" t="s">
        <v>43184</v>
      </c>
    </row>
    <row r="12201" spans="1:24">
      <c r="A12201">
        <f>HYPERLINK("https://www.philgeps.gov.ph/GEPSNONPILOT/Tender/SplashBidNoticeAbstractUI.aspx?menuIndex=3&amp;refID=7060906&amp;Result=3","7060906")</f>
        <v>0</v>
      </c>
      <c r="B12201" t="s">
        <v>1505</v>
      </c>
      <c r="C12201" t="s">
        <v>15078</v>
      </c>
      <c r="D12201" t="s">
        <v>17462</v>
      </c>
      <c r="E12201" t="s">
        <v>27945</v>
      </c>
      <c r="F12201" t="s">
        <v>30052</v>
      </c>
      <c r="G12201" t="s">
        <v>30058</v>
      </c>
      <c r="H12201" t="s">
        <v>30067</v>
      </c>
      <c r="I12201" t="s">
        <v>3693</v>
      </c>
      <c r="J12201" t="s">
        <v>31185</v>
      </c>
      <c r="K12201" t="s">
        <v>39065</v>
      </c>
      <c r="M12201" t="s">
        <v>40889</v>
      </c>
      <c r="N12201" t="s">
        <v>43166</v>
      </c>
      <c r="O12201" t="s">
        <v>43167</v>
      </c>
      <c r="P12201">
        <v>0</v>
      </c>
      <c r="Q12201">
        <v>8</v>
      </c>
      <c r="R12201" t="s">
        <v>43181</v>
      </c>
      <c r="S12201" t="s">
        <v>43729</v>
      </c>
      <c r="T12201" t="s">
        <v>44699</v>
      </c>
      <c r="U12201" t="s">
        <v>54525</v>
      </c>
      <c r="W12201" t="s">
        <v>58641</v>
      </c>
      <c r="X12201" t="s">
        <v>43182</v>
      </c>
    </row>
    <row r="12202" spans="1:24">
      <c r="A12202">
        <f>HYPERLINK("https://www.philgeps.gov.ph/GEPSNONPILOT/Tender/SplashBidNoticeAbstractUI.aspx?menuIndex=3&amp;refID=7060900&amp;Result=3","7060900")</f>
        <v>0</v>
      </c>
      <c r="B12202" t="s">
        <v>105</v>
      </c>
      <c r="C12202" t="s">
        <v>15079</v>
      </c>
      <c r="E12202" t="s">
        <v>27946</v>
      </c>
      <c r="F12202" t="s">
        <v>30052</v>
      </c>
      <c r="G12202" t="s">
        <v>30058</v>
      </c>
      <c r="H12202" t="s">
        <v>15498</v>
      </c>
      <c r="I12202" t="s">
        <v>3606</v>
      </c>
      <c r="J12202" t="s">
        <v>37643</v>
      </c>
      <c r="K12202" t="s">
        <v>39025</v>
      </c>
      <c r="M12202" t="s">
        <v>39394</v>
      </c>
      <c r="N12202" t="s">
        <v>43166</v>
      </c>
      <c r="O12202" t="s">
        <v>43167</v>
      </c>
      <c r="P12202">
        <v>0</v>
      </c>
      <c r="Q12202">
        <v>4</v>
      </c>
      <c r="R12202" t="s">
        <v>43181</v>
      </c>
      <c r="S12202" t="s">
        <v>43729</v>
      </c>
      <c r="T12202" t="s">
        <v>44856</v>
      </c>
      <c r="U12202" t="s">
        <v>54931</v>
      </c>
      <c r="W12202" t="s">
        <v>39394</v>
      </c>
      <c r="X12202" t="s">
        <v>43182</v>
      </c>
    </row>
    <row r="12203" spans="1:24">
      <c r="A12203">
        <f>HYPERLINK("https://www.philgeps.gov.ph/GEPSNONPILOT/Tender/SplashBidNoticeAbstractUI.aspx?menuIndex=3&amp;refID=7061563&amp;Result=3","7061563")</f>
        <v>0</v>
      </c>
      <c r="B12203" t="s">
        <v>3175</v>
      </c>
      <c r="C12203" t="s">
        <v>15080</v>
      </c>
      <c r="D12203" t="s">
        <v>17465</v>
      </c>
      <c r="E12203" t="s">
        <v>27947</v>
      </c>
      <c r="F12203" t="s">
        <v>30052</v>
      </c>
      <c r="G12203" t="s">
        <v>30058</v>
      </c>
      <c r="H12203" t="s">
        <v>30067</v>
      </c>
      <c r="I12203" t="s">
        <v>3693</v>
      </c>
      <c r="J12203" t="s">
        <v>37644</v>
      </c>
      <c r="K12203" t="s">
        <v>39026</v>
      </c>
      <c r="M12203" t="s">
        <v>42786</v>
      </c>
      <c r="N12203" t="s">
        <v>43166</v>
      </c>
      <c r="O12203" t="s">
        <v>43167</v>
      </c>
      <c r="P12203">
        <v>0</v>
      </c>
      <c r="Q12203">
        <v>3</v>
      </c>
      <c r="R12203" t="s">
        <v>43181</v>
      </c>
      <c r="S12203" t="s">
        <v>43729</v>
      </c>
      <c r="T12203" t="s">
        <v>44699</v>
      </c>
      <c r="U12203" t="s">
        <v>54618</v>
      </c>
      <c r="W12203" t="s">
        <v>42786</v>
      </c>
      <c r="X12203" t="s">
        <v>43182</v>
      </c>
    </row>
    <row r="12204" spans="1:24">
      <c r="A12204">
        <f>HYPERLINK("https://www.philgeps.gov.ph/GEPSNONPILOT/Tender/SplashBidNoticeAbstractUI.aspx?menuIndex=3&amp;refID=7060880&amp;Result=3","7060880")</f>
        <v>0</v>
      </c>
      <c r="B12204" t="s">
        <v>121</v>
      </c>
      <c r="C12204" t="s">
        <v>15081</v>
      </c>
      <c r="D12204" t="s">
        <v>17440</v>
      </c>
      <c r="E12204" t="s">
        <v>27948</v>
      </c>
      <c r="F12204" t="s">
        <v>30052</v>
      </c>
      <c r="G12204" t="s">
        <v>30058</v>
      </c>
      <c r="H12204" t="s">
        <v>30067</v>
      </c>
      <c r="I12204" t="s">
        <v>3693</v>
      </c>
      <c r="J12204" t="s">
        <v>37645</v>
      </c>
      <c r="K12204" t="s">
        <v>39031</v>
      </c>
      <c r="M12204" t="s">
        <v>39410</v>
      </c>
      <c r="N12204" t="s">
        <v>43166</v>
      </c>
      <c r="O12204" t="s">
        <v>43167</v>
      </c>
      <c r="Q12204">
        <v>0</v>
      </c>
      <c r="R12204" t="s">
        <v>43181</v>
      </c>
      <c r="S12204" t="s">
        <v>43880</v>
      </c>
      <c r="T12204" t="s">
        <v>44737</v>
      </c>
      <c r="U12204" t="s">
        <v>54932</v>
      </c>
      <c r="W12204" t="s">
        <v>39410</v>
      </c>
      <c r="X12204" t="s">
        <v>43182</v>
      </c>
    </row>
    <row r="12205" spans="1:24">
      <c r="A12205">
        <f>HYPERLINK("https://www.philgeps.gov.ph/GEPSNONPILOT/Tender/SplashBidNoticeAbstractUI.aspx?menuIndex=3&amp;refID=7058576&amp;Result=3","7058576")</f>
        <v>0</v>
      </c>
      <c r="B12205" t="s">
        <v>3195</v>
      </c>
      <c r="C12205" t="s">
        <v>15082</v>
      </c>
      <c r="D12205" t="s">
        <v>17462</v>
      </c>
      <c r="E12205" t="s">
        <v>27949</v>
      </c>
      <c r="F12205" t="s">
        <v>30052</v>
      </c>
      <c r="G12205" t="s">
        <v>30058</v>
      </c>
      <c r="H12205" t="s">
        <v>15498</v>
      </c>
      <c r="I12205" t="s">
        <v>3606</v>
      </c>
      <c r="J12205" t="s">
        <v>37646</v>
      </c>
      <c r="K12205" t="s">
        <v>39019</v>
      </c>
      <c r="M12205" t="s">
        <v>42809</v>
      </c>
      <c r="N12205" t="s">
        <v>43166</v>
      </c>
      <c r="O12205" t="s">
        <v>43167</v>
      </c>
      <c r="P12205">
        <v>0</v>
      </c>
      <c r="Q12205">
        <v>5</v>
      </c>
      <c r="R12205" t="s">
        <v>43182</v>
      </c>
      <c r="S12205" t="s">
        <v>43789</v>
      </c>
      <c r="T12205" t="s">
        <v>44956</v>
      </c>
      <c r="U12205" t="s">
        <v>54933</v>
      </c>
      <c r="W12205" t="s">
        <v>42809</v>
      </c>
      <c r="X12205" t="s">
        <v>43183</v>
      </c>
    </row>
    <row r="12206" spans="1:24">
      <c r="A12206">
        <f>HYPERLINK("https://www.philgeps.gov.ph/GEPSNONPILOT/Tender/SplashBidNoticeAbstractUI.aspx?menuIndex=3&amp;refID=7060873&amp;Result=3","7060873")</f>
        <v>0</v>
      </c>
      <c r="B12206" t="s">
        <v>2941</v>
      </c>
      <c r="C12206" t="s">
        <v>15083</v>
      </c>
      <c r="D12206" t="s">
        <v>17421</v>
      </c>
      <c r="E12206" t="s">
        <v>27950</v>
      </c>
      <c r="F12206" t="s">
        <v>30052</v>
      </c>
      <c r="G12206" t="s">
        <v>30058</v>
      </c>
      <c r="H12206" t="s">
        <v>15498</v>
      </c>
      <c r="I12206" t="s">
        <v>30070</v>
      </c>
      <c r="J12206" t="s">
        <v>37647</v>
      </c>
      <c r="K12206" t="s">
        <v>39029</v>
      </c>
      <c r="M12206" t="s">
        <v>42505</v>
      </c>
      <c r="N12206" t="s">
        <v>43166</v>
      </c>
      <c r="O12206" t="s">
        <v>43167</v>
      </c>
      <c r="P12206">
        <v>0</v>
      </c>
      <c r="Q12206">
        <v>3</v>
      </c>
      <c r="R12206" t="s">
        <v>43181</v>
      </c>
      <c r="S12206" t="s">
        <v>43729</v>
      </c>
      <c r="T12206" t="s">
        <v>44699</v>
      </c>
      <c r="U12206" t="s">
        <v>54934</v>
      </c>
      <c r="W12206" t="s">
        <v>42505</v>
      </c>
      <c r="X12206" t="s">
        <v>43182</v>
      </c>
    </row>
    <row r="12207" spans="1:24">
      <c r="A12207">
        <f>HYPERLINK("https://www.philgeps.gov.ph/GEPSNONPILOT/Tender/SplashBidNoticeAbstractUI.aspx?menuIndex=3&amp;refID=7060748&amp;Result=3","7060748")</f>
        <v>0</v>
      </c>
      <c r="B12207" t="s">
        <v>830</v>
      </c>
      <c r="C12207" t="s">
        <v>15084</v>
      </c>
      <c r="E12207" t="s">
        <v>27951</v>
      </c>
      <c r="F12207" t="s">
        <v>30052</v>
      </c>
      <c r="G12207" t="s">
        <v>30060</v>
      </c>
      <c r="H12207" t="s">
        <v>15498</v>
      </c>
      <c r="I12207" t="s">
        <v>30088</v>
      </c>
      <c r="J12207" t="s">
        <v>37648</v>
      </c>
      <c r="K12207" t="s">
        <v>39025</v>
      </c>
      <c r="M12207" t="s">
        <v>42764</v>
      </c>
      <c r="N12207" t="s">
        <v>43166</v>
      </c>
      <c r="O12207" t="s">
        <v>43167</v>
      </c>
      <c r="P12207">
        <v>0</v>
      </c>
      <c r="Q12207">
        <v>37</v>
      </c>
      <c r="R12207" t="s">
        <v>43181</v>
      </c>
      <c r="S12207" t="s">
        <v>43729</v>
      </c>
      <c r="T12207" t="s">
        <v>44724</v>
      </c>
      <c r="U12207" t="s">
        <v>54515</v>
      </c>
      <c r="W12207" t="s">
        <v>42764</v>
      </c>
      <c r="X12207" t="s">
        <v>43182</v>
      </c>
    </row>
    <row r="12208" spans="1:24">
      <c r="A12208">
        <f>HYPERLINK("https://www.philgeps.gov.ph/GEPSNONPILOT/Tender/SplashBidNoticeAbstractUI.aspx?menuIndex=3&amp;refID=7061171&amp;Result=3","7061171")</f>
        <v>0</v>
      </c>
      <c r="B12208" t="s">
        <v>105</v>
      </c>
      <c r="C12208" t="s">
        <v>15085</v>
      </c>
      <c r="E12208" t="s">
        <v>27952</v>
      </c>
      <c r="F12208" t="s">
        <v>30052</v>
      </c>
      <c r="G12208" t="s">
        <v>30058</v>
      </c>
      <c r="H12208" t="s">
        <v>15498</v>
      </c>
      <c r="I12208" t="s">
        <v>30084</v>
      </c>
      <c r="J12208" t="s">
        <v>37649</v>
      </c>
      <c r="K12208" t="s">
        <v>39025</v>
      </c>
      <c r="M12208" t="s">
        <v>42710</v>
      </c>
      <c r="N12208" t="s">
        <v>43166</v>
      </c>
      <c r="O12208" t="s">
        <v>43167</v>
      </c>
      <c r="P12208">
        <v>0</v>
      </c>
      <c r="Q12208">
        <v>4</v>
      </c>
      <c r="R12208" t="s">
        <v>43181</v>
      </c>
      <c r="S12208" t="s">
        <v>43729</v>
      </c>
      <c r="T12208" t="s">
        <v>44856</v>
      </c>
      <c r="U12208" t="s">
        <v>54285</v>
      </c>
      <c r="W12208" t="s">
        <v>42710</v>
      </c>
      <c r="X12208" t="s">
        <v>43182</v>
      </c>
    </row>
    <row r="12209" spans="1:24">
      <c r="A12209">
        <f>HYPERLINK("https://www.philgeps.gov.ph/GEPSNONPILOT/Tender/SplashBidNoticeAbstractUI.aspx?menuIndex=3&amp;refID=7060753&amp;Result=3","7060753")</f>
        <v>0</v>
      </c>
      <c r="B12209" t="s">
        <v>377</v>
      </c>
      <c r="C12209" t="s">
        <v>15086</v>
      </c>
      <c r="D12209" t="s">
        <v>17447</v>
      </c>
      <c r="E12209" t="s">
        <v>27953</v>
      </c>
      <c r="F12209" t="s">
        <v>30052</v>
      </c>
      <c r="G12209" t="s">
        <v>30058</v>
      </c>
      <c r="H12209" t="s">
        <v>15498</v>
      </c>
      <c r="I12209" t="s">
        <v>30094</v>
      </c>
      <c r="J12209" t="s">
        <v>37650</v>
      </c>
      <c r="K12209" t="s">
        <v>39029</v>
      </c>
      <c r="M12209" t="s">
        <v>42595</v>
      </c>
      <c r="N12209" t="s">
        <v>43166</v>
      </c>
      <c r="O12209" t="s">
        <v>43167</v>
      </c>
      <c r="P12209">
        <v>0</v>
      </c>
      <c r="Q12209">
        <v>1</v>
      </c>
      <c r="R12209" t="s">
        <v>43181</v>
      </c>
      <c r="S12209" t="s">
        <v>43729</v>
      </c>
      <c r="T12209" t="s">
        <v>44689</v>
      </c>
      <c r="U12209" t="s">
        <v>54935</v>
      </c>
      <c r="W12209" t="s">
        <v>42595</v>
      </c>
      <c r="X12209" t="s">
        <v>43182</v>
      </c>
    </row>
    <row r="12210" spans="1:24">
      <c r="A12210">
        <f>HYPERLINK("https://www.philgeps.gov.ph/GEPSNONPILOT/Tender/SplashBidNoticeAbstractUI.aspx?menuIndex=3&amp;refID=7059245&amp;Result=3","7059245")</f>
        <v>0</v>
      </c>
      <c r="B12210" t="s">
        <v>3227</v>
      </c>
      <c r="C12210" t="s">
        <v>15087</v>
      </c>
      <c r="D12210" t="s">
        <v>17460</v>
      </c>
      <c r="E12210" t="s">
        <v>26395</v>
      </c>
      <c r="F12210" t="s">
        <v>30054</v>
      </c>
      <c r="G12210" t="s">
        <v>30058</v>
      </c>
      <c r="H12210" t="s">
        <v>15498</v>
      </c>
      <c r="I12210" t="s">
        <v>3736</v>
      </c>
      <c r="J12210" t="s">
        <v>37651</v>
      </c>
      <c r="K12210" t="s">
        <v>39019</v>
      </c>
      <c r="M12210" t="s">
        <v>42852</v>
      </c>
      <c r="N12210" t="s">
        <v>43166</v>
      </c>
      <c r="O12210" t="s">
        <v>43167</v>
      </c>
      <c r="P12210">
        <v>0</v>
      </c>
      <c r="Q12210">
        <v>4</v>
      </c>
      <c r="R12210" t="s">
        <v>43181</v>
      </c>
      <c r="S12210" t="s">
        <v>43729</v>
      </c>
      <c r="T12210" t="s">
        <v>44705</v>
      </c>
      <c r="U12210" t="s">
        <v>54936</v>
      </c>
      <c r="V12210" t="s">
        <v>56837</v>
      </c>
      <c r="W12210" t="s">
        <v>42852</v>
      </c>
      <c r="X12210" t="s">
        <v>43182</v>
      </c>
    </row>
    <row r="12211" spans="1:24">
      <c r="A12211">
        <f>HYPERLINK("https://www.philgeps.gov.ph/GEPSNONPILOT/Tender/SplashBidNoticeAbstractUI.aspx?menuIndex=3&amp;refID=7060887&amp;Result=3","7060887")</f>
        <v>0</v>
      </c>
      <c r="B12211" t="s">
        <v>1505</v>
      </c>
      <c r="C12211" t="s">
        <v>15088</v>
      </c>
      <c r="D12211" t="s">
        <v>17462</v>
      </c>
      <c r="E12211" t="s">
        <v>27954</v>
      </c>
      <c r="F12211" t="s">
        <v>30052</v>
      </c>
      <c r="G12211" t="s">
        <v>30058</v>
      </c>
      <c r="H12211" t="s">
        <v>30067</v>
      </c>
      <c r="I12211" t="s">
        <v>3693</v>
      </c>
      <c r="J12211" t="s">
        <v>31185</v>
      </c>
      <c r="K12211" t="s">
        <v>39023</v>
      </c>
      <c r="M12211" t="s">
        <v>40889</v>
      </c>
      <c r="N12211" t="s">
        <v>43166</v>
      </c>
      <c r="O12211" t="s">
        <v>43167</v>
      </c>
      <c r="P12211">
        <v>0</v>
      </c>
      <c r="Q12211">
        <v>9</v>
      </c>
      <c r="R12211" t="s">
        <v>43181</v>
      </c>
      <c r="S12211" t="s">
        <v>43729</v>
      </c>
      <c r="T12211" t="s">
        <v>44699</v>
      </c>
      <c r="U12211" t="s">
        <v>54525</v>
      </c>
      <c r="W12211" t="s">
        <v>58641</v>
      </c>
      <c r="X12211" t="s">
        <v>43182</v>
      </c>
    </row>
    <row r="12212" spans="1:24">
      <c r="A12212">
        <f>HYPERLINK("https://www.philgeps.gov.ph/GEPSNONPILOT/Tender/SplashBidNoticeAbstractUI.aspx?menuIndex=3&amp;refID=7059228&amp;Result=3","7059228")</f>
        <v>0</v>
      </c>
      <c r="B12212" t="s">
        <v>3125</v>
      </c>
      <c r="C12212" t="s">
        <v>15089</v>
      </c>
      <c r="D12212" t="s">
        <v>17423</v>
      </c>
      <c r="E12212" t="s">
        <v>27955</v>
      </c>
      <c r="F12212" t="s">
        <v>30052</v>
      </c>
      <c r="G12212" t="s">
        <v>30062</v>
      </c>
      <c r="H12212" t="s">
        <v>15498</v>
      </c>
      <c r="I12212" t="s">
        <v>30070</v>
      </c>
      <c r="J12212" t="s">
        <v>30358</v>
      </c>
      <c r="K12212" t="s">
        <v>39034</v>
      </c>
      <c r="M12212" t="s">
        <v>42725</v>
      </c>
      <c r="N12212" t="s">
        <v>43166</v>
      </c>
      <c r="O12212" t="s">
        <v>43167</v>
      </c>
      <c r="P12212">
        <v>0</v>
      </c>
      <c r="Q12212">
        <v>2</v>
      </c>
      <c r="R12212" t="s">
        <v>43181</v>
      </c>
      <c r="S12212" t="s">
        <v>43729</v>
      </c>
      <c r="T12212" t="s">
        <v>44773</v>
      </c>
      <c r="U12212" t="s">
        <v>54937</v>
      </c>
      <c r="W12212" t="s">
        <v>42725</v>
      </c>
      <c r="X12212" t="s">
        <v>43182</v>
      </c>
    </row>
    <row r="12213" spans="1:24">
      <c r="A12213">
        <f>HYPERLINK("https://www.philgeps.gov.ph/GEPSNONPILOT/Tender/SplashBidNoticeAbstractUI.aspx?menuIndex=3&amp;refID=7060762&amp;Result=3","7060762")</f>
        <v>0</v>
      </c>
      <c r="B12213" t="s">
        <v>3149</v>
      </c>
      <c r="C12213" t="s">
        <v>15090</v>
      </c>
      <c r="D12213" t="s">
        <v>17415</v>
      </c>
      <c r="E12213" t="s">
        <v>27956</v>
      </c>
      <c r="F12213" t="s">
        <v>30052</v>
      </c>
      <c r="G12213" t="s">
        <v>30058</v>
      </c>
      <c r="H12213" t="s">
        <v>15498</v>
      </c>
      <c r="I12213" t="s">
        <v>30088</v>
      </c>
      <c r="J12213" t="s">
        <v>37652</v>
      </c>
      <c r="K12213" t="s">
        <v>39025</v>
      </c>
      <c r="M12213" t="s">
        <v>42754</v>
      </c>
      <c r="N12213" t="s">
        <v>43166</v>
      </c>
      <c r="O12213" t="s">
        <v>43167</v>
      </c>
      <c r="P12213">
        <v>0</v>
      </c>
      <c r="Q12213">
        <v>32</v>
      </c>
      <c r="R12213" t="s">
        <v>43181</v>
      </c>
      <c r="S12213" t="s">
        <v>43729</v>
      </c>
      <c r="T12213" t="s">
        <v>44724</v>
      </c>
      <c r="U12213" t="s">
        <v>54938</v>
      </c>
      <c r="W12213" t="s">
        <v>42754</v>
      </c>
      <c r="X12213" t="s">
        <v>43182</v>
      </c>
    </row>
    <row r="12214" spans="1:24">
      <c r="A12214">
        <f>HYPERLINK("https://www.philgeps.gov.ph/GEPSNONPILOT/Tender/SplashBidNoticeAbstractUI.aspx?menuIndex=3&amp;refID=7059205&amp;Result=3","7059205")</f>
        <v>0</v>
      </c>
      <c r="B12214" t="s">
        <v>3009</v>
      </c>
      <c r="C12214" t="s">
        <v>15091</v>
      </c>
      <c r="D12214" t="s">
        <v>17463</v>
      </c>
      <c r="E12214" t="s">
        <v>27957</v>
      </c>
      <c r="F12214" t="s">
        <v>30056</v>
      </c>
      <c r="G12214" t="s">
        <v>30058</v>
      </c>
      <c r="H12214" t="s">
        <v>15498</v>
      </c>
      <c r="I12214" t="s">
        <v>30074</v>
      </c>
      <c r="J12214" t="s">
        <v>30247</v>
      </c>
      <c r="K12214" t="s">
        <v>39019</v>
      </c>
      <c r="M12214" t="s">
        <v>42584</v>
      </c>
      <c r="N12214" t="s">
        <v>43166</v>
      </c>
      <c r="O12214" t="s">
        <v>43167</v>
      </c>
      <c r="Q12214">
        <v>7</v>
      </c>
      <c r="R12214" t="s">
        <v>43181</v>
      </c>
      <c r="S12214" t="s">
        <v>43881</v>
      </c>
      <c r="T12214" t="s">
        <v>44689</v>
      </c>
      <c r="U12214" t="s">
        <v>54939</v>
      </c>
      <c r="W12214" t="s">
        <v>42584</v>
      </c>
      <c r="X12214" t="s">
        <v>43182</v>
      </c>
    </row>
    <row r="12215" spans="1:24">
      <c r="A12215">
        <f>HYPERLINK("https://www.philgeps.gov.ph/GEPSNONPILOT/Tender/SplashBidNoticeAbstractUI.aspx?menuIndex=3&amp;refID=7061558&amp;Result=3","7061558")</f>
        <v>0</v>
      </c>
      <c r="B12215" t="s">
        <v>1733</v>
      </c>
      <c r="C12215" t="s">
        <v>15092</v>
      </c>
      <c r="D12215" t="s">
        <v>17467</v>
      </c>
      <c r="E12215" t="s">
        <v>18160</v>
      </c>
      <c r="F12215" t="s">
        <v>30052</v>
      </c>
      <c r="G12215" t="s">
        <v>30058</v>
      </c>
      <c r="H12215" t="s">
        <v>30067</v>
      </c>
      <c r="I12215" t="s">
        <v>3693</v>
      </c>
      <c r="J12215" t="s">
        <v>37653</v>
      </c>
      <c r="K12215" t="s">
        <v>39166</v>
      </c>
      <c r="L12215" t="s">
        <v>1733</v>
      </c>
      <c r="M12215" t="s">
        <v>41150</v>
      </c>
      <c r="N12215" t="s">
        <v>43166</v>
      </c>
      <c r="O12215" t="s">
        <v>43167</v>
      </c>
      <c r="P12215">
        <v>0</v>
      </c>
      <c r="Q12215">
        <v>0</v>
      </c>
      <c r="R12215" t="s">
        <v>43181</v>
      </c>
      <c r="S12215" t="s">
        <v>43729</v>
      </c>
      <c r="T12215" t="s">
        <v>44699</v>
      </c>
      <c r="U12215" t="s">
        <v>54940</v>
      </c>
      <c r="W12215" t="s">
        <v>41150</v>
      </c>
      <c r="X12215" t="s">
        <v>43182</v>
      </c>
    </row>
    <row r="12216" spans="1:24">
      <c r="A12216">
        <f>HYPERLINK("https://www.philgeps.gov.ph/GEPSNONPILOT/Tender/SplashBidNoticeAbstractUI.aspx?menuIndex=3&amp;refID=7059200&amp;Result=3","7059200")</f>
        <v>0</v>
      </c>
      <c r="B12216" t="s">
        <v>3122</v>
      </c>
      <c r="C12216" t="s">
        <v>15093</v>
      </c>
      <c r="D12216" t="s">
        <v>17452</v>
      </c>
      <c r="E12216" t="s">
        <v>27958</v>
      </c>
      <c r="F12216" t="s">
        <v>30052</v>
      </c>
      <c r="G12216" t="s">
        <v>30058</v>
      </c>
      <c r="H12216" t="s">
        <v>15498</v>
      </c>
      <c r="I12216" t="s">
        <v>30084</v>
      </c>
      <c r="J12216" t="s">
        <v>30918</v>
      </c>
      <c r="K12216" t="s">
        <v>39034</v>
      </c>
      <c r="M12216" t="s">
        <v>42719</v>
      </c>
      <c r="N12216" t="s">
        <v>43166</v>
      </c>
      <c r="O12216" t="s">
        <v>43167</v>
      </c>
      <c r="P12216">
        <v>0</v>
      </c>
      <c r="Q12216">
        <v>8</v>
      </c>
      <c r="R12216" t="s">
        <v>43181</v>
      </c>
      <c r="S12216" t="s">
        <v>43729</v>
      </c>
      <c r="T12216" t="s">
        <v>44733</v>
      </c>
      <c r="U12216" t="s">
        <v>54941</v>
      </c>
      <c r="V12216" t="s">
        <v>58106</v>
      </c>
      <c r="W12216" t="s">
        <v>42719</v>
      </c>
      <c r="X12216" t="s">
        <v>43182</v>
      </c>
    </row>
    <row r="12217" spans="1:24">
      <c r="A12217">
        <f>HYPERLINK("https://www.philgeps.gov.ph/GEPSNONPILOT/Tender/SplashBidNoticeAbstractUI.aspx?menuIndex=3&amp;refID=7059354&amp;Result=3","7059354")</f>
        <v>0</v>
      </c>
      <c r="B12217" t="s">
        <v>105</v>
      </c>
      <c r="C12217" t="s">
        <v>15094</v>
      </c>
      <c r="E12217" t="s">
        <v>27959</v>
      </c>
      <c r="F12217" t="s">
        <v>30052</v>
      </c>
      <c r="G12217" t="s">
        <v>30058</v>
      </c>
      <c r="H12217" t="s">
        <v>15498</v>
      </c>
      <c r="I12217" t="s">
        <v>30071</v>
      </c>
      <c r="J12217" t="s">
        <v>37654</v>
      </c>
      <c r="K12217" t="s">
        <v>39025</v>
      </c>
      <c r="M12217" t="s">
        <v>42853</v>
      </c>
      <c r="N12217" t="s">
        <v>43166</v>
      </c>
      <c r="O12217" t="s">
        <v>43167</v>
      </c>
      <c r="P12217">
        <v>0</v>
      </c>
      <c r="Q12217">
        <v>3</v>
      </c>
      <c r="R12217" t="s">
        <v>43181</v>
      </c>
      <c r="S12217" t="s">
        <v>43729</v>
      </c>
      <c r="T12217" t="s">
        <v>44856</v>
      </c>
      <c r="U12217" t="s">
        <v>54942</v>
      </c>
      <c r="W12217" t="s">
        <v>42853</v>
      </c>
      <c r="X12217" t="s">
        <v>43182</v>
      </c>
    </row>
    <row r="12218" spans="1:24">
      <c r="A12218">
        <f>HYPERLINK("https://www.philgeps.gov.ph/GEPSNONPILOT/Tender/SplashBidNoticeAbstractUI.aspx?menuIndex=3&amp;refID=7059056&amp;Result=3","7059056")</f>
        <v>0</v>
      </c>
      <c r="B12218" t="s">
        <v>422</v>
      </c>
      <c r="C12218" t="s">
        <v>15095</v>
      </c>
      <c r="D12218" t="s">
        <v>17455</v>
      </c>
      <c r="E12218" t="s">
        <v>27960</v>
      </c>
      <c r="F12218" t="s">
        <v>30052</v>
      </c>
      <c r="G12218" t="s">
        <v>30062</v>
      </c>
      <c r="H12218" t="s">
        <v>15498</v>
      </c>
      <c r="I12218" t="s">
        <v>30081</v>
      </c>
      <c r="J12218" t="s">
        <v>37655</v>
      </c>
      <c r="K12218" t="s">
        <v>39025</v>
      </c>
      <c r="M12218" t="s">
        <v>42721</v>
      </c>
      <c r="N12218" t="s">
        <v>43166</v>
      </c>
      <c r="O12218" t="s">
        <v>43167</v>
      </c>
      <c r="Q12218">
        <v>4</v>
      </c>
      <c r="R12218" t="s">
        <v>43181</v>
      </c>
      <c r="S12218" t="s">
        <v>43308</v>
      </c>
      <c r="T12218" t="s">
        <v>44724</v>
      </c>
      <c r="U12218" t="s">
        <v>54943</v>
      </c>
      <c r="W12218" t="s">
        <v>42721</v>
      </c>
      <c r="X12218" t="s">
        <v>43182</v>
      </c>
    </row>
    <row r="12219" spans="1:24">
      <c r="A12219">
        <f>HYPERLINK("https://www.philgeps.gov.ph/GEPSNONPILOT/Tender/SplashBidNoticeAbstractUI.aspx?menuIndex=3&amp;refID=7056401&amp;Result=3","7056401")</f>
        <v>0</v>
      </c>
      <c r="B12219" t="s">
        <v>3223</v>
      </c>
      <c r="C12219" t="s">
        <v>15039</v>
      </c>
      <c r="D12219" t="s">
        <v>17445</v>
      </c>
      <c r="E12219" t="s">
        <v>27961</v>
      </c>
      <c r="F12219" t="s">
        <v>30052</v>
      </c>
      <c r="G12219" t="s">
        <v>30058</v>
      </c>
      <c r="H12219" t="s">
        <v>15498</v>
      </c>
      <c r="I12219" t="s">
        <v>3736</v>
      </c>
      <c r="J12219" t="s">
        <v>37622</v>
      </c>
      <c r="K12219" t="s">
        <v>39029</v>
      </c>
      <c r="M12219" t="s">
        <v>42848</v>
      </c>
      <c r="N12219" t="s">
        <v>43166</v>
      </c>
      <c r="O12219" t="s">
        <v>43167</v>
      </c>
      <c r="P12219">
        <v>0</v>
      </c>
      <c r="Q12219">
        <v>3</v>
      </c>
      <c r="R12219" t="s">
        <v>43184</v>
      </c>
      <c r="S12219" t="s">
        <v>43839</v>
      </c>
      <c r="T12219" t="s">
        <v>44698</v>
      </c>
      <c r="U12219" t="s">
        <v>54908</v>
      </c>
      <c r="W12219" t="s">
        <v>42848</v>
      </c>
      <c r="X12219" t="s">
        <v>43185</v>
      </c>
    </row>
    <row r="12220" spans="1:24">
      <c r="A12220">
        <f>HYPERLINK("https://www.philgeps.gov.ph/GEPSNONPILOT/Tender/SplashBidNoticeAbstractUI.aspx?menuIndex=3&amp;refID=7056525&amp;Result=3","7056525")</f>
        <v>0</v>
      </c>
      <c r="B12220" t="s">
        <v>2296</v>
      </c>
      <c r="C12220" t="s">
        <v>15096</v>
      </c>
      <c r="E12220" t="s">
        <v>27962</v>
      </c>
      <c r="F12220" t="s">
        <v>30052</v>
      </c>
      <c r="G12220" t="s">
        <v>30058</v>
      </c>
      <c r="H12220" t="s">
        <v>15498</v>
      </c>
      <c r="I12220" t="s">
        <v>30157</v>
      </c>
      <c r="J12220" t="s">
        <v>37656</v>
      </c>
      <c r="K12220" t="s">
        <v>39029</v>
      </c>
      <c r="M12220" t="s">
        <v>42297</v>
      </c>
      <c r="N12220" t="s">
        <v>43166</v>
      </c>
      <c r="O12220" t="s">
        <v>43167</v>
      </c>
      <c r="Q12220">
        <v>2</v>
      </c>
      <c r="R12220" t="s">
        <v>43184</v>
      </c>
      <c r="S12220" t="s">
        <v>43882</v>
      </c>
      <c r="T12220" t="s">
        <v>44681</v>
      </c>
      <c r="U12220" t="s">
        <v>51119</v>
      </c>
      <c r="W12220" t="s">
        <v>42297</v>
      </c>
      <c r="X12220" t="s">
        <v>43185</v>
      </c>
    </row>
    <row r="12221" spans="1:24">
      <c r="A12221">
        <f>HYPERLINK("https://www.philgeps.gov.ph/GEPSNONPILOT/Tender/SplashBidNoticeAbstractUI.aspx?menuIndex=3&amp;refID=7056504&amp;Result=3","7056504")</f>
        <v>0</v>
      </c>
      <c r="B12221" t="s">
        <v>3209</v>
      </c>
      <c r="C12221" t="s">
        <v>15097</v>
      </c>
      <c r="D12221" t="s">
        <v>17464</v>
      </c>
      <c r="E12221" t="s">
        <v>27963</v>
      </c>
      <c r="F12221" t="s">
        <v>30052</v>
      </c>
      <c r="G12221" t="s">
        <v>30058</v>
      </c>
      <c r="H12221" t="s">
        <v>30069</v>
      </c>
      <c r="I12221" t="s">
        <v>30129</v>
      </c>
      <c r="J12221" t="s">
        <v>35601</v>
      </c>
      <c r="K12221" t="s">
        <v>39025</v>
      </c>
      <c r="M12221" t="s">
        <v>42829</v>
      </c>
      <c r="N12221" t="s">
        <v>43166</v>
      </c>
      <c r="O12221" t="s">
        <v>43167</v>
      </c>
      <c r="P12221">
        <v>0</v>
      </c>
      <c r="Q12221">
        <v>1</v>
      </c>
      <c r="R12221" t="s">
        <v>43184</v>
      </c>
      <c r="S12221" t="s">
        <v>43839</v>
      </c>
      <c r="T12221" t="s">
        <v>44698</v>
      </c>
      <c r="U12221" t="s">
        <v>54944</v>
      </c>
      <c r="W12221" t="s">
        <v>42829</v>
      </c>
      <c r="X12221" t="s">
        <v>43185</v>
      </c>
    </row>
    <row r="12222" spans="1:24">
      <c r="A12222">
        <f>HYPERLINK("https://www.philgeps.gov.ph/GEPSNONPILOT/Tender/SplashBidNoticeAbstractUI.aspx?menuIndex=3&amp;refID=7059225&amp;Result=3","7059225")</f>
        <v>0</v>
      </c>
      <c r="B12222" t="s">
        <v>1359</v>
      </c>
      <c r="C12222" t="s">
        <v>15098</v>
      </c>
      <c r="D12222" t="s">
        <v>17415</v>
      </c>
      <c r="E12222" t="s">
        <v>27964</v>
      </c>
      <c r="F12222" t="s">
        <v>30052</v>
      </c>
      <c r="G12222" t="s">
        <v>30058</v>
      </c>
      <c r="H12222" t="s">
        <v>30067</v>
      </c>
      <c r="I12222" t="s">
        <v>3693</v>
      </c>
      <c r="J12222" t="s">
        <v>33902</v>
      </c>
      <c r="K12222" t="s">
        <v>39029</v>
      </c>
      <c r="M12222" t="s">
        <v>40728</v>
      </c>
      <c r="N12222" t="s">
        <v>43166</v>
      </c>
      <c r="O12222" t="s">
        <v>43167</v>
      </c>
      <c r="P12222">
        <v>0</v>
      </c>
      <c r="Q12222">
        <v>5</v>
      </c>
      <c r="R12222" t="s">
        <v>43181</v>
      </c>
      <c r="S12222" t="s">
        <v>43729</v>
      </c>
      <c r="T12222" t="s">
        <v>44698</v>
      </c>
      <c r="U12222" t="s">
        <v>54425</v>
      </c>
      <c r="W12222" t="s">
        <v>58636</v>
      </c>
      <c r="X12222" t="s">
        <v>43182</v>
      </c>
    </row>
    <row r="12223" spans="1:24">
      <c r="A12223">
        <f>HYPERLINK("https://www.philgeps.gov.ph/GEPSNONPILOT/Tender/SplashBidNoticeAbstractUI.aspx?menuIndex=3&amp;refID=7061542&amp;Result=3","7061542")</f>
        <v>0</v>
      </c>
      <c r="B12223" t="s">
        <v>3228</v>
      </c>
      <c r="C12223" t="s">
        <v>15099</v>
      </c>
      <c r="D12223" t="s">
        <v>17465</v>
      </c>
      <c r="E12223" t="s">
        <v>27965</v>
      </c>
      <c r="F12223" t="s">
        <v>30052</v>
      </c>
      <c r="G12223" t="s">
        <v>30058</v>
      </c>
      <c r="H12223" t="s">
        <v>15498</v>
      </c>
      <c r="I12223" t="s">
        <v>30074</v>
      </c>
      <c r="J12223" t="s">
        <v>30281</v>
      </c>
      <c r="K12223" t="s">
        <v>39029</v>
      </c>
      <c r="M12223" t="s">
        <v>42854</v>
      </c>
      <c r="N12223" t="s">
        <v>43166</v>
      </c>
      <c r="O12223" t="s">
        <v>43167</v>
      </c>
      <c r="P12223">
        <v>0</v>
      </c>
      <c r="Q12223">
        <v>5</v>
      </c>
      <c r="R12223" t="s">
        <v>43181</v>
      </c>
      <c r="S12223" t="s">
        <v>43729</v>
      </c>
      <c r="T12223" t="s">
        <v>44733</v>
      </c>
      <c r="U12223" t="s">
        <v>54945</v>
      </c>
      <c r="V12223" t="s">
        <v>58206</v>
      </c>
      <c r="W12223" t="s">
        <v>42854</v>
      </c>
      <c r="X12223" t="s">
        <v>43182</v>
      </c>
    </row>
    <row r="12224" spans="1:24">
      <c r="A12224">
        <f>HYPERLINK("https://www.philgeps.gov.ph/GEPSNONPILOT/Tender/SplashBidNoticeAbstractUI.aspx?menuIndex=3&amp;refID=7056490&amp;Result=3","7056490")</f>
        <v>0</v>
      </c>
      <c r="B12224" t="s">
        <v>3221</v>
      </c>
      <c r="C12224" t="s">
        <v>15100</v>
      </c>
      <c r="D12224" t="s">
        <v>17448</v>
      </c>
      <c r="E12224" t="s">
        <v>27910</v>
      </c>
      <c r="F12224" t="s">
        <v>30052</v>
      </c>
      <c r="G12224" t="s">
        <v>30058</v>
      </c>
      <c r="H12224" t="s">
        <v>30067</v>
      </c>
      <c r="I12224" t="s">
        <v>3693</v>
      </c>
      <c r="J12224" t="s">
        <v>30222</v>
      </c>
      <c r="K12224" t="s">
        <v>39023</v>
      </c>
      <c r="M12224" t="s">
        <v>42845</v>
      </c>
      <c r="N12224" t="s">
        <v>43166</v>
      </c>
      <c r="O12224" t="s">
        <v>43167</v>
      </c>
      <c r="Q12224">
        <v>0</v>
      </c>
      <c r="R12224" t="s">
        <v>43184</v>
      </c>
      <c r="S12224" t="s">
        <v>43883</v>
      </c>
      <c r="T12224" t="s">
        <v>45129</v>
      </c>
      <c r="U12224" t="s">
        <v>54900</v>
      </c>
      <c r="V12224" t="s">
        <v>58207</v>
      </c>
      <c r="W12224" t="s">
        <v>42845</v>
      </c>
      <c r="X12224" t="s">
        <v>43185</v>
      </c>
    </row>
    <row r="12225" spans="1:24">
      <c r="A12225">
        <f>HYPERLINK("https://www.philgeps.gov.ph/GEPSNONPILOT/Tender/SplashBidNoticeAbstractUI.aspx?menuIndex=3&amp;refID=7056496&amp;Result=3","7056496")</f>
        <v>0</v>
      </c>
      <c r="B12225" t="s">
        <v>3229</v>
      </c>
      <c r="C12225" t="s">
        <v>15101</v>
      </c>
      <c r="D12225" t="s">
        <v>17422</v>
      </c>
      <c r="E12225" t="s">
        <v>27966</v>
      </c>
      <c r="F12225" t="s">
        <v>30052</v>
      </c>
      <c r="G12225" t="s">
        <v>30058</v>
      </c>
      <c r="H12225" t="s">
        <v>15498</v>
      </c>
      <c r="I12225" t="s">
        <v>30070</v>
      </c>
      <c r="J12225" t="s">
        <v>37657</v>
      </c>
      <c r="K12225" t="s">
        <v>39025</v>
      </c>
      <c r="M12225" t="s">
        <v>42855</v>
      </c>
      <c r="N12225" t="s">
        <v>43166</v>
      </c>
      <c r="O12225" t="s">
        <v>43167</v>
      </c>
      <c r="Q12225">
        <v>2</v>
      </c>
      <c r="R12225" t="s">
        <v>43184</v>
      </c>
      <c r="S12225" t="s">
        <v>43884</v>
      </c>
      <c r="T12225" t="s">
        <v>44681</v>
      </c>
      <c r="U12225" t="s">
        <v>54946</v>
      </c>
      <c r="V12225" t="s">
        <v>58208</v>
      </c>
      <c r="W12225" t="s">
        <v>42855</v>
      </c>
      <c r="X12225" t="s">
        <v>43185</v>
      </c>
    </row>
    <row r="12226" spans="1:24">
      <c r="A12226">
        <f>HYPERLINK("https://www.philgeps.gov.ph/GEPSNONPILOT/Tender/SplashBidNoticeAbstractUI.aspx?menuIndex=3&amp;refID=7059349&amp;Result=3","7059349")</f>
        <v>0</v>
      </c>
      <c r="B12226" t="s">
        <v>1359</v>
      </c>
      <c r="C12226" t="s">
        <v>15102</v>
      </c>
      <c r="D12226" t="s">
        <v>17415</v>
      </c>
      <c r="E12226" t="s">
        <v>27967</v>
      </c>
      <c r="F12226" t="s">
        <v>30052</v>
      </c>
      <c r="G12226" t="s">
        <v>30058</v>
      </c>
      <c r="H12226" t="s">
        <v>30067</v>
      </c>
      <c r="I12226" t="s">
        <v>3693</v>
      </c>
      <c r="J12226" t="s">
        <v>37658</v>
      </c>
      <c r="K12226" t="s">
        <v>39031</v>
      </c>
      <c r="M12226" t="s">
        <v>40728</v>
      </c>
      <c r="N12226" t="s">
        <v>43166</v>
      </c>
      <c r="O12226" t="s">
        <v>43167</v>
      </c>
      <c r="P12226">
        <v>0</v>
      </c>
      <c r="Q12226">
        <v>6</v>
      </c>
      <c r="R12226" t="s">
        <v>43181</v>
      </c>
      <c r="S12226" t="s">
        <v>43729</v>
      </c>
      <c r="T12226" t="s">
        <v>44698</v>
      </c>
      <c r="U12226" t="s">
        <v>54425</v>
      </c>
      <c r="W12226" t="s">
        <v>58636</v>
      </c>
      <c r="X12226" t="s">
        <v>43182</v>
      </c>
    </row>
    <row r="12227" spans="1:24">
      <c r="A12227">
        <f>HYPERLINK("https://www.philgeps.gov.ph/GEPSNONPILOT/Tender/SplashBidNoticeAbstractUI.aspx?menuIndex=3&amp;refID=7056495&amp;Result=3","7056495")</f>
        <v>0</v>
      </c>
      <c r="B12227" t="s">
        <v>891</v>
      </c>
      <c r="C12227" t="s">
        <v>15103</v>
      </c>
      <c r="D12227" t="s">
        <v>17468</v>
      </c>
      <c r="E12227" t="s">
        <v>27968</v>
      </c>
      <c r="F12227" t="s">
        <v>30052</v>
      </c>
      <c r="G12227" t="s">
        <v>30058</v>
      </c>
      <c r="H12227" t="s">
        <v>15498</v>
      </c>
      <c r="I12227" t="s">
        <v>3693</v>
      </c>
      <c r="J12227" t="s">
        <v>37659</v>
      </c>
      <c r="K12227" t="s">
        <v>39029</v>
      </c>
      <c r="M12227" t="s">
        <v>40210</v>
      </c>
      <c r="N12227" t="s">
        <v>43166</v>
      </c>
      <c r="O12227" t="s">
        <v>43167</v>
      </c>
      <c r="P12227">
        <v>0</v>
      </c>
      <c r="Q12227">
        <v>0</v>
      </c>
      <c r="R12227" t="s">
        <v>43184</v>
      </c>
      <c r="S12227" t="s">
        <v>43839</v>
      </c>
      <c r="T12227" t="s">
        <v>44705</v>
      </c>
      <c r="U12227" t="s">
        <v>54947</v>
      </c>
      <c r="W12227" t="s">
        <v>40210</v>
      </c>
      <c r="X12227" t="s">
        <v>43185</v>
      </c>
    </row>
    <row r="12228" spans="1:24">
      <c r="A12228">
        <f>HYPERLINK("https://www.philgeps.gov.ph/GEPSNONPILOT/Tender/SplashBidNoticeAbstractUI.aspx?menuIndex=3&amp;refID=7056477&amp;Result=3","7056477")</f>
        <v>0</v>
      </c>
      <c r="B12228" t="s">
        <v>2248</v>
      </c>
      <c r="C12228" t="s">
        <v>15104</v>
      </c>
      <c r="D12228" t="s">
        <v>17424</v>
      </c>
      <c r="E12228" t="s">
        <v>27969</v>
      </c>
      <c r="F12228" t="s">
        <v>30052</v>
      </c>
      <c r="G12228" t="s">
        <v>30058</v>
      </c>
      <c r="H12228" t="s">
        <v>15498</v>
      </c>
      <c r="I12228" t="s">
        <v>30070</v>
      </c>
      <c r="J12228" t="s">
        <v>34760</v>
      </c>
      <c r="K12228" t="s">
        <v>39037</v>
      </c>
      <c r="M12228" t="s">
        <v>41726</v>
      </c>
      <c r="N12228" t="s">
        <v>43166</v>
      </c>
      <c r="O12228" t="s">
        <v>43167</v>
      </c>
      <c r="P12228">
        <v>0</v>
      </c>
      <c r="Q12228">
        <v>3</v>
      </c>
      <c r="R12228" t="s">
        <v>43184</v>
      </c>
      <c r="S12228" t="s">
        <v>43839</v>
      </c>
      <c r="T12228" t="s">
        <v>44734</v>
      </c>
      <c r="U12228" t="s">
        <v>54948</v>
      </c>
      <c r="W12228" t="s">
        <v>41726</v>
      </c>
      <c r="X12228" t="s">
        <v>43185</v>
      </c>
    </row>
    <row r="12229" spans="1:24">
      <c r="A12229">
        <f>HYPERLINK("https://www.philgeps.gov.ph/GEPSNONPILOT/Tender/SplashBidNoticeAbstractUI.aspx?menuIndex=3&amp;refID=7056470&amp;Result=3","7056470")</f>
        <v>0</v>
      </c>
      <c r="B12229" t="s">
        <v>3221</v>
      </c>
      <c r="C12229" t="s">
        <v>15105</v>
      </c>
      <c r="D12229" t="s">
        <v>17448</v>
      </c>
      <c r="E12229" t="s">
        <v>27910</v>
      </c>
      <c r="F12229" t="s">
        <v>30052</v>
      </c>
      <c r="G12229" t="s">
        <v>30058</v>
      </c>
      <c r="H12229" t="s">
        <v>30067</v>
      </c>
      <c r="I12229" t="s">
        <v>3693</v>
      </c>
      <c r="J12229" t="s">
        <v>37660</v>
      </c>
      <c r="K12229" t="s">
        <v>39023</v>
      </c>
      <c r="M12229" t="s">
        <v>42845</v>
      </c>
      <c r="N12229" t="s">
        <v>43166</v>
      </c>
      <c r="O12229" t="s">
        <v>43167</v>
      </c>
      <c r="Q12229">
        <v>0</v>
      </c>
      <c r="R12229" t="s">
        <v>43184</v>
      </c>
      <c r="S12229" t="s">
        <v>43885</v>
      </c>
      <c r="T12229" t="s">
        <v>45129</v>
      </c>
      <c r="U12229" t="s">
        <v>54900</v>
      </c>
      <c r="V12229" t="s">
        <v>58209</v>
      </c>
      <c r="W12229" t="s">
        <v>42845</v>
      </c>
      <c r="X12229" t="s">
        <v>43185</v>
      </c>
    </row>
    <row r="12230" spans="1:24">
      <c r="A12230">
        <f>HYPERLINK("https://www.philgeps.gov.ph/GEPSNONPILOT/Tender/SplashBidNoticeAbstractUI.aspx?menuIndex=3&amp;refID=7056441&amp;Result=3","7056441")</f>
        <v>0</v>
      </c>
      <c r="B12230" t="s">
        <v>3221</v>
      </c>
      <c r="C12230" t="s">
        <v>15106</v>
      </c>
      <c r="D12230" t="s">
        <v>17448</v>
      </c>
      <c r="E12230" t="s">
        <v>27910</v>
      </c>
      <c r="F12230" t="s">
        <v>30052</v>
      </c>
      <c r="G12230" t="s">
        <v>30058</v>
      </c>
      <c r="H12230" t="s">
        <v>30067</v>
      </c>
      <c r="I12230" t="s">
        <v>3693</v>
      </c>
      <c r="J12230" t="s">
        <v>30222</v>
      </c>
      <c r="K12230" t="s">
        <v>39023</v>
      </c>
      <c r="M12230" t="s">
        <v>42845</v>
      </c>
      <c r="N12230" t="s">
        <v>43166</v>
      </c>
      <c r="O12230" t="s">
        <v>43167</v>
      </c>
      <c r="Q12230">
        <v>0</v>
      </c>
      <c r="R12230" t="s">
        <v>43184</v>
      </c>
      <c r="S12230" t="s">
        <v>43886</v>
      </c>
      <c r="T12230" t="s">
        <v>45129</v>
      </c>
      <c r="U12230" t="s">
        <v>54900</v>
      </c>
      <c r="V12230" t="s">
        <v>58210</v>
      </c>
      <c r="W12230" t="s">
        <v>42845</v>
      </c>
      <c r="X12230" t="s">
        <v>43185</v>
      </c>
    </row>
    <row r="12231" spans="1:24">
      <c r="A12231">
        <f>HYPERLINK("https://www.philgeps.gov.ph/GEPSNONPILOT/Tender/SplashBidNoticeAbstractUI.aspx?menuIndex=3&amp;refID=7056434&amp;Result=3","7056434")</f>
        <v>0</v>
      </c>
      <c r="B12231" t="s">
        <v>3221</v>
      </c>
      <c r="C12231" t="s">
        <v>15107</v>
      </c>
      <c r="D12231" t="s">
        <v>17448</v>
      </c>
      <c r="E12231" t="s">
        <v>27910</v>
      </c>
      <c r="F12231" t="s">
        <v>30052</v>
      </c>
      <c r="G12231" t="s">
        <v>30058</v>
      </c>
      <c r="H12231" t="s">
        <v>30067</v>
      </c>
      <c r="I12231" t="s">
        <v>3693</v>
      </c>
      <c r="J12231" t="s">
        <v>30222</v>
      </c>
      <c r="K12231" t="s">
        <v>39023</v>
      </c>
      <c r="M12231" t="s">
        <v>42845</v>
      </c>
      <c r="N12231" t="s">
        <v>43166</v>
      </c>
      <c r="O12231" t="s">
        <v>43167</v>
      </c>
      <c r="Q12231">
        <v>0</v>
      </c>
      <c r="R12231" t="s">
        <v>43184</v>
      </c>
      <c r="S12231" t="s">
        <v>43887</v>
      </c>
      <c r="T12231" t="s">
        <v>45129</v>
      </c>
      <c r="U12231" t="s">
        <v>54900</v>
      </c>
      <c r="V12231" t="s">
        <v>58211</v>
      </c>
      <c r="W12231" t="s">
        <v>42845</v>
      </c>
      <c r="X12231" t="s">
        <v>43185</v>
      </c>
    </row>
    <row r="12232" spans="1:24">
      <c r="A12232">
        <f>HYPERLINK("https://www.philgeps.gov.ph/GEPSNONPILOT/Tender/SplashBidNoticeAbstractUI.aspx?menuIndex=3&amp;refID=7056482&amp;Result=3","7056482")</f>
        <v>0</v>
      </c>
      <c r="B12232" t="s">
        <v>3221</v>
      </c>
      <c r="C12232" t="s">
        <v>15108</v>
      </c>
      <c r="D12232" t="s">
        <v>17448</v>
      </c>
      <c r="E12232" t="s">
        <v>27910</v>
      </c>
      <c r="F12232" t="s">
        <v>30052</v>
      </c>
      <c r="G12232" t="s">
        <v>30058</v>
      </c>
      <c r="H12232" t="s">
        <v>30067</v>
      </c>
      <c r="I12232" t="s">
        <v>3693</v>
      </c>
      <c r="J12232" t="s">
        <v>30222</v>
      </c>
      <c r="K12232" t="s">
        <v>39023</v>
      </c>
      <c r="M12232" t="s">
        <v>42845</v>
      </c>
      <c r="N12232" t="s">
        <v>43166</v>
      </c>
      <c r="O12232" t="s">
        <v>43167</v>
      </c>
      <c r="Q12232">
        <v>0</v>
      </c>
      <c r="R12232" t="s">
        <v>43184</v>
      </c>
      <c r="S12232" t="s">
        <v>43888</v>
      </c>
      <c r="T12232" t="s">
        <v>45129</v>
      </c>
      <c r="U12232" t="s">
        <v>54900</v>
      </c>
      <c r="V12232" t="s">
        <v>58212</v>
      </c>
      <c r="W12232" t="s">
        <v>42845</v>
      </c>
      <c r="X12232" t="s">
        <v>43185</v>
      </c>
    </row>
    <row r="12233" spans="1:24">
      <c r="A12233">
        <f>HYPERLINK("https://www.philgeps.gov.ph/GEPSNONPILOT/Tender/SplashBidNoticeAbstractUI.aspx?menuIndex=3&amp;refID=7056427&amp;Result=3","7056427")</f>
        <v>0</v>
      </c>
      <c r="B12233" t="s">
        <v>3221</v>
      </c>
      <c r="C12233" t="s">
        <v>15109</v>
      </c>
      <c r="D12233" t="s">
        <v>17448</v>
      </c>
      <c r="E12233" t="s">
        <v>27910</v>
      </c>
      <c r="F12233" t="s">
        <v>30052</v>
      </c>
      <c r="G12233" t="s">
        <v>30058</v>
      </c>
      <c r="H12233" t="s">
        <v>30067</v>
      </c>
      <c r="I12233" t="s">
        <v>3693</v>
      </c>
      <c r="J12233" t="s">
        <v>37661</v>
      </c>
      <c r="K12233" t="s">
        <v>39023</v>
      </c>
      <c r="M12233" t="s">
        <v>42845</v>
      </c>
      <c r="N12233" t="s">
        <v>43166</v>
      </c>
      <c r="O12233" t="s">
        <v>43167</v>
      </c>
      <c r="Q12233">
        <v>0</v>
      </c>
      <c r="R12233" t="s">
        <v>43184</v>
      </c>
      <c r="S12233" t="s">
        <v>43889</v>
      </c>
      <c r="T12233" t="s">
        <v>45129</v>
      </c>
      <c r="U12233" t="s">
        <v>54900</v>
      </c>
      <c r="V12233" t="s">
        <v>58213</v>
      </c>
      <c r="W12233" t="s">
        <v>42845</v>
      </c>
      <c r="X12233" t="s">
        <v>43185</v>
      </c>
    </row>
    <row r="12234" spans="1:24">
      <c r="A12234">
        <f>HYPERLINK("https://www.philgeps.gov.ph/GEPSNONPILOT/Tender/SplashBidNoticeAbstractUI.aspx?menuIndex=3&amp;refID=7056664&amp;Result=3","7056664")</f>
        <v>0</v>
      </c>
      <c r="B12234" t="s">
        <v>2248</v>
      </c>
      <c r="C12234" t="s">
        <v>15110</v>
      </c>
      <c r="D12234" t="s">
        <v>17424</v>
      </c>
      <c r="E12234" t="s">
        <v>27970</v>
      </c>
      <c r="F12234" t="s">
        <v>30052</v>
      </c>
      <c r="G12234" t="s">
        <v>30058</v>
      </c>
      <c r="H12234" t="s">
        <v>15498</v>
      </c>
      <c r="I12234" t="s">
        <v>4650</v>
      </c>
      <c r="J12234" t="s">
        <v>30216</v>
      </c>
      <c r="K12234" t="s">
        <v>39025</v>
      </c>
      <c r="M12234" t="s">
        <v>41726</v>
      </c>
      <c r="N12234" t="s">
        <v>43166</v>
      </c>
      <c r="O12234" t="s">
        <v>43167</v>
      </c>
      <c r="P12234">
        <v>0</v>
      </c>
      <c r="Q12234">
        <v>3</v>
      </c>
      <c r="R12234" t="s">
        <v>43184</v>
      </c>
      <c r="S12234" t="s">
        <v>43839</v>
      </c>
      <c r="T12234" t="s">
        <v>44734</v>
      </c>
      <c r="U12234" t="s">
        <v>54949</v>
      </c>
      <c r="W12234" t="s">
        <v>41726</v>
      </c>
      <c r="X12234" t="s">
        <v>43185</v>
      </c>
    </row>
    <row r="12235" spans="1:24">
      <c r="A12235">
        <f>HYPERLINK("https://www.philgeps.gov.ph/GEPSNONPILOT/Tender/SplashBidNoticeAbstractUI.aspx?menuIndex=3&amp;refID=7056662&amp;Result=3","7056662")</f>
        <v>0</v>
      </c>
      <c r="B12235" t="s">
        <v>3230</v>
      </c>
      <c r="C12235" t="s">
        <v>15111</v>
      </c>
      <c r="D12235" t="s">
        <v>17415</v>
      </c>
      <c r="E12235" t="s">
        <v>27971</v>
      </c>
      <c r="F12235" t="s">
        <v>30052</v>
      </c>
      <c r="G12235" t="s">
        <v>30058</v>
      </c>
      <c r="H12235" t="s">
        <v>30067</v>
      </c>
      <c r="I12235" t="s">
        <v>3693</v>
      </c>
      <c r="J12235" t="s">
        <v>37662</v>
      </c>
      <c r="K12235" t="s">
        <v>39140</v>
      </c>
      <c r="M12235" t="s">
        <v>42856</v>
      </c>
      <c r="N12235" t="s">
        <v>43166</v>
      </c>
      <c r="O12235" t="s">
        <v>43167</v>
      </c>
      <c r="P12235">
        <v>0</v>
      </c>
      <c r="Q12235">
        <v>43</v>
      </c>
      <c r="R12235" t="s">
        <v>43184</v>
      </c>
      <c r="S12235" t="s">
        <v>43839</v>
      </c>
      <c r="T12235" t="s">
        <v>44678</v>
      </c>
      <c r="U12235" t="s">
        <v>54950</v>
      </c>
      <c r="V12235" t="s">
        <v>58214</v>
      </c>
      <c r="W12235" t="s">
        <v>42856</v>
      </c>
      <c r="X12235" t="s">
        <v>43185</v>
      </c>
    </row>
    <row r="12236" spans="1:24">
      <c r="A12236">
        <f>HYPERLINK("https://www.philgeps.gov.ph/GEPSNONPILOT/Tender/SplashBidNoticeAbstractUI.aspx?menuIndex=3&amp;refID=7056657&amp;Result=3","7056657")</f>
        <v>0</v>
      </c>
      <c r="B12236" t="s">
        <v>1843</v>
      </c>
      <c r="C12236" t="s">
        <v>15112</v>
      </c>
      <c r="E12236" t="s">
        <v>27972</v>
      </c>
      <c r="F12236" t="s">
        <v>30052</v>
      </c>
      <c r="G12236" t="s">
        <v>30058</v>
      </c>
      <c r="H12236" t="s">
        <v>15498</v>
      </c>
      <c r="I12236" t="s">
        <v>30111</v>
      </c>
      <c r="J12236" t="s">
        <v>30212</v>
      </c>
      <c r="K12236" t="s">
        <v>39025</v>
      </c>
      <c r="M12236" t="s">
        <v>42847</v>
      </c>
      <c r="N12236" t="s">
        <v>43166</v>
      </c>
      <c r="O12236" t="s">
        <v>43167</v>
      </c>
      <c r="P12236">
        <v>0</v>
      </c>
      <c r="Q12236">
        <v>6</v>
      </c>
      <c r="R12236" t="s">
        <v>43184</v>
      </c>
      <c r="S12236" t="s">
        <v>43839</v>
      </c>
      <c r="T12236" t="s">
        <v>44681</v>
      </c>
      <c r="U12236" t="s">
        <v>54951</v>
      </c>
      <c r="W12236" t="s">
        <v>42847</v>
      </c>
      <c r="X12236" t="s">
        <v>43185</v>
      </c>
    </row>
    <row r="12237" spans="1:24">
      <c r="A12237">
        <f>HYPERLINK("https://www.philgeps.gov.ph/GEPSNONPILOT/Tender/SplashBidNoticeAbstractUI.aspx?menuIndex=3&amp;refID=7056647&amp;Result=3","7056647")</f>
        <v>0</v>
      </c>
      <c r="B12237" t="s">
        <v>2165</v>
      </c>
      <c r="C12237" t="s">
        <v>15113</v>
      </c>
      <c r="D12237" t="s">
        <v>17468</v>
      </c>
      <c r="E12237" t="s">
        <v>27973</v>
      </c>
      <c r="F12237" t="s">
        <v>30052</v>
      </c>
      <c r="G12237" t="s">
        <v>30058</v>
      </c>
      <c r="H12237" t="s">
        <v>30069</v>
      </c>
      <c r="I12237" t="s">
        <v>30100</v>
      </c>
      <c r="J12237" t="s">
        <v>37663</v>
      </c>
      <c r="K12237" t="s">
        <v>39067</v>
      </c>
      <c r="M12237" t="s">
        <v>41633</v>
      </c>
      <c r="N12237" t="s">
        <v>43166</v>
      </c>
      <c r="O12237" t="s">
        <v>43167</v>
      </c>
      <c r="P12237">
        <v>0</v>
      </c>
      <c r="Q12237">
        <v>0</v>
      </c>
      <c r="R12237" t="s">
        <v>43184</v>
      </c>
      <c r="S12237" t="s">
        <v>43839</v>
      </c>
      <c r="T12237" t="s">
        <v>44720</v>
      </c>
      <c r="U12237" t="s">
        <v>54952</v>
      </c>
      <c r="W12237" t="s">
        <v>41633</v>
      </c>
      <c r="X12237" t="s">
        <v>43185</v>
      </c>
    </row>
    <row r="12238" spans="1:24">
      <c r="A12238">
        <f>HYPERLINK("https://www.philgeps.gov.ph/GEPSNONPILOT/Tender/SplashBidNoticeAbstractUI.aspx?menuIndex=3&amp;refID=7056428&amp;Result=3","7056428")</f>
        <v>0</v>
      </c>
      <c r="B12238" t="s">
        <v>3094</v>
      </c>
      <c r="C12238" t="s">
        <v>15114</v>
      </c>
      <c r="D12238" t="s">
        <v>17459</v>
      </c>
      <c r="E12238" t="s">
        <v>27974</v>
      </c>
      <c r="F12238" t="s">
        <v>30052</v>
      </c>
      <c r="G12238" t="s">
        <v>30058</v>
      </c>
      <c r="H12238" t="s">
        <v>15498</v>
      </c>
      <c r="I12238" t="s">
        <v>4119</v>
      </c>
      <c r="J12238" t="s">
        <v>37664</v>
      </c>
      <c r="K12238" t="s">
        <v>39029</v>
      </c>
      <c r="M12238" t="s">
        <v>42680</v>
      </c>
      <c r="N12238" t="s">
        <v>43166</v>
      </c>
      <c r="O12238" t="s">
        <v>43167</v>
      </c>
      <c r="Q12238">
        <v>15</v>
      </c>
      <c r="R12238" t="s">
        <v>43184</v>
      </c>
      <c r="S12238" t="s">
        <v>43890</v>
      </c>
      <c r="T12238" t="s">
        <v>45165</v>
      </c>
      <c r="U12238" t="s">
        <v>54151</v>
      </c>
      <c r="V12238" t="s">
        <v>58092</v>
      </c>
      <c r="W12238" t="s">
        <v>42680</v>
      </c>
      <c r="X12238" t="s">
        <v>43185</v>
      </c>
    </row>
    <row r="12239" spans="1:24">
      <c r="A12239">
        <f>HYPERLINK("https://www.philgeps.gov.ph/GEPSNONPILOT/Tender/SplashBidNoticeAbstractUI.aspx?menuIndex=3&amp;refID=7056646&amp;Result=3","7056646")</f>
        <v>0</v>
      </c>
      <c r="B12239" t="s">
        <v>3231</v>
      </c>
      <c r="C12239" t="s">
        <v>15115</v>
      </c>
      <c r="D12239" t="s">
        <v>17482</v>
      </c>
      <c r="E12239" t="s">
        <v>27975</v>
      </c>
      <c r="F12239" t="s">
        <v>30052</v>
      </c>
      <c r="G12239" t="s">
        <v>30058</v>
      </c>
      <c r="H12239" t="s">
        <v>15498</v>
      </c>
      <c r="I12239" t="s">
        <v>30074</v>
      </c>
      <c r="J12239" t="s">
        <v>30215</v>
      </c>
      <c r="K12239" t="s">
        <v>39023</v>
      </c>
      <c r="M12239" t="s">
        <v>42857</v>
      </c>
      <c r="N12239" t="s">
        <v>43166</v>
      </c>
      <c r="O12239" t="s">
        <v>43167</v>
      </c>
      <c r="P12239">
        <v>0</v>
      </c>
      <c r="Q12239">
        <v>7</v>
      </c>
      <c r="R12239" t="s">
        <v>43184</v>
      </c>
      <c r="S12239" t="s">
        <v>43839</v>
      </c>
      <c r="T12239" t="s">
        <v>44956</v>
      </c>
      <c r="U12239" t="s">
        <v>54953</v>
      </c>
      <c r="W12239" t="s">
        <v>42857</v>
      </c>
      <c r="X12239" t="s">
        <v>43185</v>
      </c>
    </row>
    <row r="12240" spans="1:24">
      <c r="A12240">
        <f>HYPERLINK("https://www.philgeps.gov.ph/GEPSNONPILOT/Tender/SplashBidNoticeAbstractUI.aspx?menuIndex=3&amp;refID=7056645&amp;Result=3","7056645")</f>
        <v>0</v>
      </c>
      <c r="B12240" t="s">
        <v>3221</v>
      </c>
      <c r="C12240" t="s">
        <v>15116</v>
      </c>
      <c r="D12240" t="s">
        <v>17448</v>
      </c>
      <c r="E12240" t="s">
        <v>27910</v>
      </c>
      <c r="F12240" t="s">
        <v>30052</v>
      </c>
      <c r="G12240" t="s">
        <v>30058</v>
      </c>
      <c r="H12240" t="s">
        <v>30067</v>
      </c>
      <c r="I12240" t="s">
        <v>3693</v>
      </c>
      <c r="J12240" t="s">
        <v>37665</v>
      </c>
      <c r="K12240" t="s">
        <v>39046</v>
      </c>
      <c r="M12240" t="s">
        <v>42845</v>
      </c>
      <c r="N12240" t="s">
        <v>43166</v>
      </c>
      <c r="O12240" t="s">
        <v>43167</v>
      </c>
      <c r="Q12240">
        <v>0</v>
      </c>
      <c r="R12240" t="s">
        <v>43184</v>
      </c>
      <c r="S12240" t="s">
        <v>43891</v>
      </c>
      <c r="T12240" t="s">
        <v>45129</v>
      </c>
      <c r="U12240" t="s">
        <v>54900</v>
      </c>
      <c r="V12240" t="s">
        <v>58215</v>
      </c>
      <c r="W12240" t="s">
        <v>42845</v>
      </c>
      <c r="X12240" t="s">
        <v>43185</v>
      </c>
    </row>
    <row r="12241" spans="1:24">
      <c r="A12241">
        <f>HYPERLINK("https://www.philgeps.gov.ph/GEPSNONPILOT/Tender/SplashBidNoticeAbstractUI.aspx?menuIndex=3&amp;refID=7056627&amp;Result=3","7056627")</f>
        <v>0</v>
      </c>
      <c r="B12241" t="s">
        <v>1843</v>
      </c>
      <c r="C12241" t="s">
        <v>15117</v>
      </c>
      <c r="E12241" t="s">
        <v>27976</v>
      </c>
      <c r="F12241" t="s">
        <v>30052</v>
      </c>
      <c r="G12241" t="s">
        <v>30058</v>
      </c>
      <c r="H12241" t="s">
        <v>15498</v>
      </c>
      <c r="I12241" t="s">
        <v>30115</v>
      </c>
      <c r="J12241" t="s">
        <v>37666</v>
      </c>
      <c r="K12241" t="s">
        <v>39025</v>
      </c>
      <c r="M12241" t="s">
        <v>42847</v>
      </c>
      <c r="N12241" t="s">
        <v>43166</v>
      </c>
      <c r="O12241" t="s">
        <v>43167</v>
      </c>
      <c r="P12241">
        <v>0</v>
      </c>
      <c r="Q12241">
        <v>19</v>
      </c>
      <c r="R12241" t="s">
        <v>43184</v>
      </c>
      <c r="S12241" t="s">
        <v>43839</v>
      </c>
      <c r="T12241" t="s">
        <v>44681</v>
      </c>
      <c r="U12241" t="s">
        <v>54954</v>
      </c>
      <c r="W12241" t="s">
        <v>42847</v>
      </c>
      <c r="X12241" t="s">
        <v>43185</v>
      </c>
    </row>
    <row r="12242" spans="1:24">
      <c r="A12242">
        <f>HYPERLINK("https://www.philgeps.gov.ph/GEPSNONPILOT/Tender/SplashBidNoticeAbstractUI.aspx?menuIndex=3&amp;refID=7056471&amp;Result=3","7056471")</f>
        <v>0</v>
      </c>
      <c r="B12242" t="s">
        <v>3232</v>
      </c>
      <c r="C12242" t="s">
        <v>15118</v>
      </c>
      <c r="D12242" t="s">
        <v>17466</v>
      </c>
      <c r="E12242" t="s">
        <v>27977</v>
      </c>
      <c r="F12242" t="s">
        <v>30052</v>
      </c>
      <c r="G12242" t="s">
        <v>30060</v>
      </c>
      <c r="H12242" t="s">
        <v>15498</v>
      </c>
      <c r="I12242" t="s">
        <v>30074</v>
      </c>
      <c r="J12242" t="s">
        <v>30555</v>
      </c>
      <c r="K12242" t="s">
        <v>39029</v>
      </c>
      <c r="M12242" t="s">
        <v>42858</v>
      </c>
      <c r="N12242" t="s">
        <v>43166</v>
      </c>
      <c r="O12242" t="s">
        <v>43167</v>
      </c>
      <c r="P12242">
        <v>0</v>
      </c>
      <c r="Q12242">
        <v>3</v>
      </c>
      <c r="R12242" t="s">
        <v>43184</v>
      </c>
      <c r="S12242" t="s">
        <v>43839</v>
      </c>
      <c r="T12242" t="s">
        <v>44724</v>
      </c>
      <c r="U12242" t="s">
        <v>54955</v>
      </c>
      <c r="W12242" t="s">
        <v>42858</v>
      </c>
      <c r="X12242" t="s">
        <v>43185</v>
      </c>
    </row>
    <row r="12243" spans="1:24">
      <c r="A12243">
        <f>HYPERLINK("https://www.philgeps.gov.ph/GEPSNONPILOT/Tender/SplashBidNoticeAbstractUI.aspx?menuIndex=3&amp;refID=7056498&amp;Result=3","7056498")</f>
        <v>0</v>
      </c>
      <c r="B12243" t="s">
        <v>3221</v>
      </c>
      <c r="C12243" t="s">
        <v>15119</v>
      </c>
      <c r="D12243" t="s">
        <v>17448</v>
      </c>
      <c r="E12243" t="s">
        <v>27910</v>
      </c>
      <c r="F12243" t="s">
        <v>30052</v>
      </c>
      <c r="G12243" t="s">
        <v>30058</v>
      </c>
      <c r="H12243" t="s">
        <v>30067</v>
      </c>
      <c r="I12243" t="s">
        <v>3693</v>
      </c>
      <c r="J12243" t="s">
        <v>30252</v>
      </c>
      <c r="K12243" t="s">
        <v>39046</v>
      </c>
      <c r="M12243" t="s">
        <v>42845</v>
      </c>
      <c r="N12243" t="s">
        <v>43166</v>
      </c>
      <c r="O12243" t="s">
        <v>43167</v>
      </c>
      <c r="Q12243">
        <v>0</v>
      </c>
      <c r="R12243" t="s">
        <v>43184</v>
      </c>
      <c r="S12243" t="s">
        <v>43892</v>
      </c>
      <c r="T12243" t="s">
        <v>45129</v>
      </c>
      <c r="U12243" t="s">
        <v>54900</v>
      </c>
      <c r="V12243" t="s">
        <v>58216</v>
      </c>
      <c r="W12243" t="s">
        <v>42845</v>
      </c>
      <c r="X12243" t="s">
        <v>43185</v>
      </c>
    </row>
    <row r="12244" spans="1:24">
      <c r="A12244">
        <f>HYPERLINK("https://www.philgeps.gov.ph/GEPSNONPILOT/Tender/SplashBidNoticeAbstractUI.aspx?menuIndex=3&amp;refID=7056614&amp;Result=3","7056614")</f>
        <v>0</v>
      </c>
      <c r="B12244" t="s">
        <v>3233</v>
      </c>
      <c r="C12244" t="s">
        <v>15120</v>
      </c>
      <c r="D12244" t="s">
        <v>17466</v>
      </c>
      <c r="E12244" t="s">
        <v>25255</v>
      </c>
      <c r="F12244" t="s">
        <v>30052</v>
      </c>
      <c r="G12244" t="s">
        <v>30058</v>
      </c>
      <c r="H12244" t="s">
        <v>15498</v>
      </c>
      <c r="I12244" t="s">
        <v>30070</v>
      </c>
      <c r="J12244" t="s">
        <v>33302</v>
      </c>
      <c r="K12244" t="s">
        <v>39039</v>
      </c>
      <c r="M12244" t="s">
        <v>42859</v>
      </c>
      <c r="N12244" t="s">
        <v>43166</v>
      </c>
      <c r="O12244" t="s">
        <v>43167</v>
      </c>
      <c r="P12244">
        <v>0</v>
      </c>
      <c r="Q12244">
        <v>1</v>
      </c>
      <c r="R12244" t="s">
        <v>43184</v>
      </c>
      <c r="S12244" t="s">
        <v>43839</v>
      </c>
      <c r="T12244" t="s">
        <v>44681</v>
      </c>
      <c r="U12244" t="s">
        <v>54956</v>
      </c>
      <c r="W12244" t="s">
        <v>42859</v>
      </c>
      <c r="X12244" t="s">
        <v>43185</v>
      </c>
    </row>
    <row r="12245" spans="1:24">
      <c r="A12245">
        <f>HYPERLINK("https://www.philgeps.gov.ph/GEPSNONPILOT/Tender/SplashBidNoticeAbstractUI.aspx?menuIndex=3&amp;refID=7060731&amp;Result=3","7060731")</f>
        <v>0</v>
      </c>
      <c r="B12245" t="s">
        <v>2477</v>
      </c>
      <c r="C12245" t="s">
        <v>15121</v>
      </c>
      <c r="D12245" t="s">
        <v>17417</v>
      </c>
      <c r="E12245" t="s">
        <v>27978</v>
      </c>
      <c r="F12245" t="s">
        <v>30052</v>
      </c>
      <c r="G12245" t="s">
        <v>30058</v>
      </c>
      <c r="H12245" t="s">
        <v>15498</v>
      </c>
      <c r="I12245" t="s">
        <v>7228</v>
      </c>
      <c r="J12245" t="s">
        <v>37667</v>
      </c>
      <c r="K12245" t="s">
        <v>39023</v>
      </c>
      <c r="M12245" t="s">
        <v>41977</v>
      </c>
      <c r="N12245" t="s">
        <v>43166</v>
      </c>
      <c r="O12245" t="s">
        <v>43167</v>
      </c>
      <c r="P12245">
        <v>0</v>
      </c>
      <c r="Q12245">
        <v>1</v>
      </c>
      <c r="R12245" t="s">
        <v>43181</v>
      </c>
      <c r="S12245" t="s">
        <v>43729</v>
      </c>
      <c r="T12245" t="s">
        <v>44733</v>
      </c>
      <c r="U12245" t="s">
        <v>54957</v>
      </c>
      <c r="W12245" t="s">
        <v>41977</v>
      </c>
      <c r="X12245" t="s">
        <v>43182</v>
      </c>
    </row>
    <row r="12246" spans="1:24">
      <c r="A12246">
        <f>HYPERLINK("https://www.philgeps.gov.ph/GEPSNONPILOT/Tender/SplashBidNoticeAbstractUI.aspx?menuIndex=3&amp;refID=7056617&amp;Result=3","7056617")</f>
        <v>0</v>
      </c>
      <c r="B12246" t="s">
        <v>3221</v>
      </c>
      <c r="C12246" t="s">
        <v>15122</v>
      </c>
      <c r="D12246" t="s">
        <v>17448</v>
      </c>
      <c r="E12246" t="s">
        <v>27910</v>
      </c>
      <c r="F12246" t="s">
        <v>30052</v>
      </c>
      <c r="G12246" t="s">
        <v>30058</v>
      </c>
      <c r="H12246" t="s">
        <v>30067</v>
      </c>
      <c r="I12246" t="s">
        <v>3693</v>
      </c>
      <c r="J12246" t="s">
        <v>37665</v>
      </c>
      <c r="K12246" t="s">
        <v>39046</v>
      </c>
      <c r="M12246" t="s">
        <v>42845</v>
      </c>
      <c r="N12246" t="s">
        <v>43166</v>
      </c>
      <c r="O12246" t="s">
        <v>43167</v>
      </c>
      <c r="Q12246">
        <v>0</v>
      </c>
      <c r="R12246" t="s">
        <v>43184</v>
      </c>
      <c r="S12246" t="s">
        <v>43893</v>
      </c>
      <c r="T12246" t="s">
        <v>45129</v>
      </c>
      <c r="U12246" t="s">
        <v>54900</v>
      </c>
      <c r="V12246" t="s">
        <v>58217</v>
      </c>
      <c r="W12246" t="s">
        <v>42845</v>
      </c>
      <c r="X12246" t="s">
        <v>43185</v>
      </c>
    </row>
    <row r="12247" spans="1:24">
      <c r="A12247">
        <f>HYPERLINK("https://www.philgeps.gov.ph/GEPSNONPILOT/Tender/SplashBidNoticeAbstractUI.aspx?menuIndex=3&amp;refID=7056602&amp;Result=3","7056602")</f>
        <v>0</v>
      </c>
      <c r="B12247" t="s">
        <v>3221</v>
      </c>
      <c r="C12247" t="s">
        <v>15123</v>
      </c>
      <c r="D12247" t="s">
        <v>17448</v>
      </c>
      <c r="E12247" t="s">
        <v>27910</v>
      </c>
      <c r="F12247" t="s">
        <v>30052</v>
      </c>
      <c r="G12247" t="s">
        <v>30058</v>
      </c>
      <c r="H12247" t="s">
        <v>30067</v>
      </c>
      <c r="I12247" t="s">
        <v>3693</v>
      </c>
      <c r="J12247" t="s">
        <v>37665</v>
      </c>
      <c r="K12247" t="s">
        <v>39046</v>
      </c>
      <c r="M12247" t="s">
        <v>42845</v>
      </c>
      <c r="N12247" t="s">
        <v>43166</v>
      </c>
      <c r="O12247" t="s">
        <v>43167</v>
      </c>
      <c r="Q12247">
        <v>0</v>
      </c>
      <c r="R12247" t="s">
        <v>43184</v>
      </c>
      <c r="S12247" t="s">
        <v>43894</v>
      </c>
      <c r="T12247" t="s">
        <v>45129</v>
      </c>
      <c r="U12247" t="s">
        <v>54900</v>
      </c>
      <c r="V12247" t="s">
        <v>58218</v>
      </c>
      <c r="W12247" t="s">
        <v>42845</v>
      </c>
      <c r="X12247" t="s">
        <v>43185</v>
      </c>
    </row>
    <row r="12248" spans="1:24">
      <c r="A12248">
        <f>HYPERLINK("https://www.philgeps.gov.ph/GEPSNONPILOT/Tender/SplashBidNoticeAbstractUI.aspx?menuIndex=3&amp;refID=7056644&amp;Result=3","7056644")</f>
        <v>0</v>
      </c>
      <c r="B12248" t="s">
        <v>1843</v>
      </c>
      <c r="C12248" t="s">
        <v>15124</v>
      </c>
      <c r="E12248" t="s">
        <v>27979</v>
      </c>
      <c r="F12248" t="s">
        <v>30052</v>
      </c>
      <c r="G12248" t="s">
        <v>30058</v>
      </c>
      <c r="H12248" t="s">
        <v>15498</v>
      </c>
      <c r="I12248" t="s">
        <v>4119</v>
      </c>
      <c r="J12248" t="s">
        <v>37668</v>
      </c>
      <c r="K12248" t="s">
        <v>39025</v>
      </c>
      <c r="M12248" t="s">
        <v>42847</v>
      </c>
      <c r="N12248" t="s">
        <v>43166</v>
      </c>
      <c r="O12248" t="s">
        <v>43167</v>
      </c>
      <c r="P12248">
        <v>0</v>
      </c>
      <c r="Q12248">
        <v>11</v>
      </c>
      <c r="R12248" t="s">
        <v>43184</v>
      </c>
      <c r="S12248" t="s">
        <v>43839</v>
      </c>
      <c r="T12248" t="s">
        <v>44681</v>
      </c>
      <c r="U12248" t="s">
        <v>54958</v>
      </c>
      <c r="W12248" t="s">
        <v>42847</v>
      </c>
      <c r="X12248" t="s">
        <v>43185</v>
      </c>
    </row>
    <row r="12249" spans="1:24">
      <c r="A12249">
        <f>HYPERLINK("https://www.philgeps.gov.ph/GEPSNONPILOT/Tender/SplashBidNoticeAbstractUI.aspx?menuIndex=3&amp;refID=7056610&amp;Result=3","7056610")</f>
        <v>0</v>
      </c>
      <c r="B12249" t="s">
        <v>3230</v>
      </c>
      <c r="C12249" t="s">
        <v>15125</v>
      </c>
      <c r="D12249" t="s">
        <v>17415</v>
      </c>
      <c r="E12249" t="s">
        <v>27980</v>
      </c>
      <c r="F12249" t="s">
        <v>30052</v>
      </c>
      <c r="G12249" t="s">
        <v>30058</v>
      </c>
      <c r="H12249" t="s">
        <v>30067</v>
      </c>
      <c r="I12249" t="s">
        <v>3693</v>
      </c>
      <c r="J12249" t="s">
        <v>37669</v>
      </c>
      <c r="K12249" t="s">
        <v>39274</v>
      </c>
      <c r="M12249" t="s">
        <v>42856</v>
      </c>
      <c r="N12249" t="s">
        <v>43166</v>
      </c>
      <c r="O12249" t="s">
        <v>43167</v>
      </c>
      <c r="P12249">
        <v>0</v>
      </c>
      <c r="Q12249">
        <v>48</v>
      </c>
      <c r="R12249" t="s">
        <v>43184</v>
      </c>
      <c r="S12249" t="s">
        <v>43839</v>
      </c>
      <c r="T12249" t="s">
        <v>44678</v>
      </c>
      <c r="U12249" t="s">
        <v>54959</v>
      </c>
      <c r="V12249" t="s">
        <v>58214</v>
      </c>
      <c r="W12249" t="s">
        <v>42856</v>
      </c>
      <c r="X12249" t="s">
        <v>43185</v>
      </c>
    </row>
    <row r="12250" spans="1:24">
      <c r="A12250">
        <f>HYPERLINK("https://www.philgeps.gov.ph/GEPSNONPILOT/Tender/SplashBidNoticeAbstractUI.aspx?menuIndex=3&amp;refID=7056758&amp;Result=3","7056758")</f>
        <v>0</v>
      </c>
      <c r="B12250" t="s">
        <v>3234</v>
      </c>
      <c r="C12250" t="s">
        <v>15126</v>
      </c>
      <c r="E12250" t="s">
        <v>27981</v>
      </c>
      <c r="F12250" t="s">
        <v>30052</v>
      </c>
      <c r="G12250" t="s">
        <v>30058</v>
      </c>
      <c r="H12250" t="s">
        <v>15498</v>
      </c>
      <c r="I12250" t="s">
        <v>9238</v>
      </c>
      <c r="J12250" t="s">
        <v>37670</v>
      </c>
      <c r="K12250" t="s">
        <v>39029</v>
      </c>
      <c r="M12250" t="s">
        <v>42860</v>
      </c>
      <c r="N12250" t="s">
        <v>43166</v>
      </c>
      <c r="O12250" t="s">
        <v>43167</v>
      </c>
      <c r="Q12250">
        <v>8</v>
      </c>
      <c r="R12250" t="s">
        <v>43184</v>
      </c>
      <c r="S12250" t="s">
        <v>43895</v>
      </c>
      <c r="T12250" t="s">
        <v>44791</v>
      </c>
      <c r="U12250" t="s">
        <v>54960</v>
      </c>
      <c r="W12250" t="s">
        <v>42860</v>
      </c>
      <c r="X12250" t="s">
        <v>43185</v>
      </c>
    </row>
    <row r="12251" spans="1:24">
      <c r="A12251">
        <f>HYPERLINK("https://www.philgeps.gov.ph/GEPSNONPILOT/Tender/SplashBidNoticeAbstractUI.aspx?menuIndex=3&amp;refID=7056789&amp;Result=3","7056789")</f>
        <v>0</v>
      </c>
      <c r="B12251" t="s">
        <v>3221</v>
      </c>
      <c r="C12251" t="s">
        <v>15127</v>
      </c>
      <c r="D12251" t="s">
        <v>17448</v>
      </c>
      <c r="E12251" t="s">
        <v>27910</v>
      </c>
      <c r="F12251" t="s">
        <v>30052</v>
      </c>
      <c r="G12251" t="s">
        <v>30058</v>
      </c>
      <c r="H12251" t="s">
        <v>30067</v>
      </c>
      <c r="I12251" t="s">
        <v>3693</v>
      </c>
      <c r="J12251" t="s">
        <v>37671</v>
      </c>
      <c r="K12251" t="s">
        <v>39023</v>
      </c>
      <c r="M12251" t="s">
        <v>42845</v>
      </c>
      <c r="N12251" t="s">
        <v>43166</v>
      </c>
      <c r="O12251" t="s">
        <v>43167</v>
      </c>
      <c r="Q12251">
        <v>0</v>
      </c>
      <c r="R12251" t="s">
        <v>43184</v>
      </c>
      <c r="S12251" t="s">
        <v>43896</v>
      </c>
      <c r="T12251" t="s">
        <v>45129</v>
      </c>
      <c r="U12251" t="s">
        <v>54900</v>
      </c>
      <c r="V12251" t="s">
        <v>58219</v>
      </c>
      <c r="W12251" t="s">
        <v>42845</v>
      </c>
      <c r="X12251" t="s">
        <v>43185</v>
      </c>
    </row>
    <row r="12252" spans="1:24">
      <c r="A12252">
        <f>HYPERLINK("https://www.philgeps.gov.ph/GEPSNONPILOT/Tender/SplashBidNoticeAbstractUI.aspx?menuIndex=3&amp;refID=7056754&amp;Result=3","7056754")</f>
        <v>0</v>
      </c>
      <c r="B12252" t="s">
        <v>3096</v>
      </c>
      <c r="C12252" t="s">
        <v>15128</v>
      </c>
      <c r="D12252" t="s">
        <v>17415</v>
      </c>
      <c r="E12252" t="s">
        <v>27982</v>
      </c>
      <c r="F12252" t="s">
        <v>30052</v>
      </c>
      <c r="G12252" t="s">
        <v>30058</v>
      </c>
      <c r="H12252" t="s">
        <v>30067</v>
      </c>
      <c r="I12252" t="s">
        <v>3693</v>
      </c>
      <c r="J12252" t="s">
        <v>37672</v>
      </c>
      <c r="K12252" t="s">
        <v>39140</v>
      </c>
      <c r="M12252" t="s">
        <v>42685</v>
      </c>
      <c r="N12252" t="s">
        <v>43166</v>
      </c>
      <c r="O12252" t="s">
        <v>43167</v>
      </c>
      <c r="P12252">
        <v>0</v>
      </c>
      <c r="Q12252">
        <v>1</v>
      </c>
      <c r="R12252" t="s">
        <v>43184</v>
      </c>
      <c r="S12252" t="s">
        <v>43839</v>
      </c>
      <c r="T12252" t="s">
        <v>44689</v>
      </c>
      <c r="U12252" t="s">
        <v>54961</v>
      </c>
      <c r="W12252" t="s">
        <v>42685</v>
      </c>
      <c r="X12252" t="s">
        <v>43185</v>
      </c>
    </row>
    <row r="12253" spans="1:24">
      <c r="A12253">
        <f>HYPERLINK("https://www.philgeps.gov.ph/GEPSNONPILOT/Tender/SplashBidNoticeAbstractUI.aspx?menuIndex=3&amp;refID=7056784&amp;Result=3","7056784")</f>
        <v>0</v>
      </c>
      <c r="B12253" t="s">
        <v>3232</v>
      </c>
      <c r="C12253" t="s">
        <v>15129</v>
      </c>
      <c r="D12253" t="s">
        <v>17466</v>
      </c>
      <c r="E12253" t="s">
        <v>27983</v>
      </c>
      <c r="F12253" t="s">
        <v>30052</v>
      </c>
      <c r="G12253" t="s">
        <v>30060</v>
      </c>
      <c r="H12253" t="s">
        <v>15498</v>
      </c>
      <c r="I12253" t="s">
        <v>30074</v>
      </c>
      <c r="J12253" t="s">
        <v>30683</v>
      </c>
      <c r="K12253" t="s">
        <v>39029</v>
      </c>
      <c r="M12253" t="s">
        <v>42858</v>
      </c>
      <c r="N12253" t="s">
        <v>43166</v>
      </c>
      <c r="O12253" t="s">
        <v>43167</v>
      </c>
      <c r="P12253">
        <v>0</v>
      </c>
      <c r="Q12253">
        <v>4</v>
      </c>
      <c r="R12253" t="s">
        <v>43184</v>
      </c>
      <c r="S12253" t="s">
        <v>43839</v>
      </c>
      <c r="T12253" t="s">
        <v>44724</v>
      </c>
      <c r="U12253" t="s">
        <v>54962</v>
      </c>
      <c r="W12253" t="s">
        <v>42858</v>
      </c>
      <c r="X12253" t="s">
        <v>43185</v>
      </c>
    </row>
    <row r="12254" spans="1:24">
      <c r="A12254">
        <f>HYPERLINK("https://www.philgeps.gov.ph/GEPSNONPILOT/Tender/SplashBidNoticeAbstractUI.aspx?menuIndex=3&amp;refID=7056747&amp;Result=3","7056747")</f>
        <v>0</v>
      </c>
      <c r="B12254" t="s">
        <v>918</v>
      </c>
      <c r="C12254" t="s">
        <v>15130</v>
      </c>
      <c r="D12254" t="s">
        <v>17424</v>
      </c>
      <c r="E12254" t="s">
        <v>27984</v>
      </c>
      <c r="F12254" t="s">
        <v>30052</v>
      </c>
      <c r="G12254" t="s">
        <v>30063</v>
      </c>
      <c r="H12254" t="s">
        <v>30067</v>
      </c>
      <c r="I12254" t="s">
        <v>3693</v>
      </c>
      <c r="J12254" t="s">
        <v>37673</v>
      </c>
      <c r="K12254" t="s">
        <v>39026</v>
      </c>
      <c r="M12254" t="s">
        <v>40241</v>
      </c>
      <c r="N12254" t="s">
        <v>43166</v>
      </c>
      <c r="O12254" t="s">
        <v>43167</v>
      </c>
      <c r="P12254">
        <v>0</v>
      </c>
      <c r="Q12254">
        <v>8</v>
      </c>
      <c r="R12254" t="s">
        <v>43184</v>
      </c>
      <c r="S12254" t="s">
        <v>43839</v>
      </c>
      <c r="T12254" t="s">
        <v>44681</v>
      </c>
      <c r="U12254" t="s">
        <v>54963</v>
      </c>
      <c r="V12254" t="s">
        <v>57086</v>
      </c>
      <c r="W12254" t="s">
        <v>40241</v>
      </c>
      <c r="X12254" t="s">
        <v>43185</v>
      </c>
    </row>
    <row r="12255" spans="1:24">
      <c r="A12255">
        <f>HYPERLINK("https://www.philgeps.gov.ph/GEPSNONPILOT/Tender/SplashBidNoticeAbstractUI.aspx?menuIndex=3&amp;refID=7056738&amp;Result=3","7056738")</f>
        <v>0</v>
      </c>
      <c r="B12255" t="s">
        <v>3235</v>
      </c>
      <c r="C12255" t="s">
        <v>15131</v>
      </c>
      <c r="D12255" t="s">
        <v>17445</v>
      </c>
      <c r="E12255" t="s">
        <v>27985</v>
      </c>
      <c r="F12255" t="s">
        <v>30052</v>
      </c>
      <c r="G12255" t="s">
        <v>30058</v>
      </c>
      <c r="H12255" t="s">
        <v>15498</v>
      </c>
      <c r="I12255" t="s">
        <v>3736</v>
      </c>
      <c r="J12255" t="s">
        <v>30230</v>
      </c>
      <c r="K12255" t="s">
        <v>39029</v>
      </c>
      <c r="M12255" t="s">
        <v>42861</v>
      </c>
      <c r="N12255" t="s">
        <v>43166</v>
      </c>
      <c r="O12255" t="s">
        <v>43167</v>
      </c>
      <c r="P12255">
        <v>0</v>
      </c>
      <c r="Q12255">
        <v>4</v>
      </c>
      <c r="R12255" t="s">
        <v>43184</v>
      </c>
      <c r="S12255" t="s">
        <v>43839</v>
      </c>
      <c r="T12255" t="s">
        <v>44724</v>
      </c>
      <c r="U12255" t="s">
        <v>54964</v>
      </c>
      <c r="W12255" t="s">
        <v>42861</v>
      </c>
      <c r="X12255" t="s">
        <v>43185</v>
      </c>
    </row>
    <row r="12256" spans="1:24">
      <c r="A12256">
        <f>HYPERLINK("https://www.philgeps.gov.ph/GEPSNONPILOT/Tender/SplashBidNoticeAbstractUI.aspx?menuIndex=3&amp;refID=7056715&amp;Result=3","7056715")</f>
        <v>0</v>
      </c>
      <c r="B12256" t="s">
        <v>3230</v>
      </c>
      <c r="C12256" t="s">
        <v>15132</v>
      </c>
      <c r="D12256" t="s">
        <v>17415</v>
      </c>
      <c r="E12256" t="s">
        <v>27986</v>
      </c>
      <c r="F12256" t="s">
        <v>30052</v>
      </c>
      <c r="G12256" t="s">
        <v>30058</v>
      </c>
      <c r="H12256" t="s">
        <v>30067</v>
      </c>
      <c r="I12256" t="s">
        <v>3693</v>
      </c>
      <c r="J12256" t="s">
        <v>37674</v>
      </c>
      <c r="K12256" t="s">
        <v>39108</v>
      </c>
      <c r="M12256" t="s">
        <v>42856</v>
      </c>
      <c r="N12256" t="s">
        <v>43166</v>
      </c>
      <c r="O12256" t="s">
        <v>43167</v>
      </c>
      <c r="P12256">
        <v>0</v>
      </c>
      <c r="Q12256">
        <v>43</v>
      </c>
      <c r="R12256" t="s">
        <v>43184</v>
      </c>
      <c r="S12256" t="s">
        <v>43839</v>
      </c>
      <c r="T12256" t="s">
        <v>44678</v>
      </c>
      <c r="U12256" t="s">
        <v>54965</v>
      </c>
      <c r="V12256" t="s">
        <v>58214</v>
      </c>
      <c r="W12256" t="s">
        <v>42856</v>
      </c>
      <c r="X12256" t="s">
        <v>43185</v>
      </c>
    </row>
    <row r="12257" spans="1:24">
      <c r="A12257">
        <f>HYPERLINK("https://www.philgeps.gov.ph/GEPSNONPILOT/Tender/SplashBidNoticeAbstractUI.aspx?menuIndex=3&amp;refID=7056714&amp;Result=3","7056714")</f>
        <v>0</v>
      </c>
      <c r="B12257" t="s">
        <v>2320</v>
      </c>
      <c r="C12257" t="s">
        <v>15133</v>
      </c>
      <c r="D12257" t="s">
        <v>17462</v>
      </c>
      <c r="E12257" t="s">
        <v>27987</v>
      </c>
      <c r="F12257" t="s">
        <v>30052</v>
      </c>
      <c r="G12257" t="s">
        <v>30058</v>
      </c>
      <c r="H12257" t="s">
        <v>30067</v>
      </c>
      <c r="I12257" t="s">
        <v>3693</v>
      </c>
      <c r="J12257" t="s">
        <v>37675</v>
      </c>
      <c r="K12257" t="s">
        <v>39026</v>
      </c>
      <c r="M12257" t="s">
        <v>41807</v>
      </c>
      <c r="N12257" t="s">
        <v>43166</v>
      </c>
      <c r="O12257" t="s">
        <v>43167</v>
      </c>
      <c r="P12257">
        <v>0</v>
      </c>
      <c r="Q12257">
        <v>18</v>
      </c>
      <c r="R12257" t="s">
        <v>43184</v>
      </c>
      <c r="S12257" t="s">
        <v>43839</v>
      </c>
      <c r="T12257" t="s">
        <v>44689</v>
      </c>
      <c r="U12257" t="s">
        <v>51193</v>
      </c>
      <c r="V12257" t="s">
        <v>58173</v>
      </c>
      <c r="W12257" t="s">
        <v>58688</v>
      </c>
      <c r="X12257" t="s">
        <v>43185</v>
      </c>
    </row>
    <row r="12258" spans="1:24">
      <c r="A12258">
        <f>HYPERLINK("https://www.philgeps.gov.ph/GEPSNONPILOT/Tender/SplashBidNoticeAbstractUI.aspx?menuIndex=3&amp;refID=7056713&amp;Result=3","7056713")</f>
        <v>0</v>
      </c>
      <c r="B12258" t="s">
        <v>3235</v>
      </c>
      <c r="C12258" t="s">
        <v>15134</v>
      </c>
      <c r="D12258" t="s">
        <v>17445</v>
      </c>
      <c r="E12258" t="s">
        <v>27988</v>
      </c>
      <c r="F12258" t="s">
        <v>30052</v>
      </c>
      <c r="G12258" t="s">
        <v>30058</v>
      </c>
      <c r="H12258" t="s">
        <v>15498</v>
      </c>
      <c r="I12258" t="s">
        <v>3736</v>
      </c>
      <c r="J12258" t="s">
        <v>30559</v>
      </c>
      <c r="K12258" t="s">
        <v>39029</v>
      </c>
      <c r="M12258" t="s">
        <v>42861</v>
      </c>
      <c r="N12258" t="s">
        <v>43166</v>
      </c>
      <c r="O12258" t="s">
        <v>43167</v>
      </c>
      <c r="P12258">
        <v>0</v>
      </c>
      <c r="Q12258">
        <v>4</v>
      </c>
      <c r="R12258" t="s">
        <v>43184</v>
      </c>
      <c r="S12258" t="s">
        <v>43839</v>
      </c>
      <c r="T12258" t="s">
        <v>44724</v>
      </c>
      <c r="U12258" t="s">
        <v>54966</v>
      </c>
      <c r="W12258" t="s">
        <v>42861</v>
      </c>
      <c r="X12258" t="s">
        <v>43185</v>
      </c>
    </row>
    <row r="12259" spans="1:24">
      <c r="A12259">
        <f>HYPERLINK("https://www.philgeps.gov.ph/GEPSNONPILOT/Tender/SplashBidNoticeAbstractUI.aspx?menuIndex=3&amp;refID=7056704&amp;Result=3","7056704")</f>
        <v>0</v>
      </c>
      <c r="B12259" t="s">
        <v>918</v>
      </c>
      <c r="C12259" t="s">
        <v>15135</v>
      </c>
      <c r="D12259" t="s">
        <v>17424</v>
      </c>
      <c r="E12259" t="s">
        <v>27989</v>
      </c>
      <c r="F12259" t="s">
        <v>30052</v>
      </c>
      <c r="G12259" t="s">
        <v>30063</v>
      </c>
      <c r="H12259" t="s">
        <v>30067</v>
      </c>
      <c r="I12259" t="s">
        <v>3693</v>
      </c>
      <c r="J12259" t="s">
        <v>37673</v>
      </c>
      <c r="K12259" t="s">
        <v>39026</v>
      </c>
      <c r="M12259" t="s">
        <v>40241</v>
      </c>
      <c r="N12259" t="s">
        <v>43166</v>
      </c>
      <c r="O12259" t="s">
        <v>43167</v>
      </c>
      <c r="P12259">
        <v>0</v>
      </c>
      <c r="Q12259">
        <v>7</v>
      </c>
      <c r="R12259" t="s">
        <v>43184</v>
      </c>
      <c r="S12259" t="s">
        <v>43839</v>
      </c>
      <c r="T12259" t="s">
        <v>44681</v>
      </c>
      <c r="U12259" t="s">
        <v>54967</v>
      </c>
      <c r="V12259" t="s">
        <v>57086</v>
      </c>
      <c r="W12259" t="s">
        <v>40241</v>
      </c>
      <c r="X12259" t="s">
        <v>43185</v>
      </c>
    </row>
    <row r="12260" spans="1:24">
      <c r="A12260">
        <f>HYPERLINK("https://www.philgeps.gov.ph/GEPSNONPILOT/Tender/SplashBidNoticeAbstractUI.aspx?menuIndex=3&amp;refID=7056699&amp;Result=3","7056699")</f>
        <v>0</v>
      </c>
      <c r="B12260" t="s">
        <v>3235</v>
      </c>
      <c r="C12260" t="s">
        <v>15136</v>
      </c>
      <c r="D12260" t="s">
        <v>17445</v>
      </c>
      <c r="E12260" t="s">
        <v>27990</v>
      </c>
      <c r="F12260" t="s">
        <v>30052</v>
      </c>
      <c r="G12260" t="s">
        <v>30058</v>
      </c>
      <c r="H12260" t="s">
        <v>15498</v>
      </c>
      <c r="I12260" t="s">
        <v>30074</v>
      </c>
      <c r="J12260" t="s">
        <v>30218</v>
      </c>
      <c r="K12260" t="s">
        <v>39029</v>
      </c>
      <c r="M12260" t="s">
        <v>42861</v>
      </c>
      <c r="N12260" t="s">
        <v>43166</v>
      </c>
      <c r="O12260" t="s">
        <v>43167</v>
      </c>
      <c r="P12260">
        <v>0</v>
      </c>
      <c r="Q12260">
        <v>1</v>
      </c>
      <c r="R12260" t="s">
        <v>43184</v>
      </c>
      <c r="S12260" t="s">
        <v>43839</v>
      </c>
      <c r="T12260" t="s">
        <v>44724</v>
      </c>
      <c r="U12260" t="s">
        <v>54968</v>
      </c>
      <c r="W12260" t="s">
        <v>42861</v>
      </c>
      <c r="X12260" t="s">
        <v>43185</v>
      </c>
    </row>
    <row r="12261" spans="1:24">
      <c r="A12261">
        <f>HYPERLINK("https://www.philgeps.gov.ph/GEPSNONPILOT/Tender/SplashBidNoticeAbstractUI.aspx?menuIndex=3&amp;refID=7056478&amp;Result=3","7056478")</f>
        <v>0</v>
      </c>
      <c r="B12261" t="s">
        <v>3221</v>
      </c>
      <c r="C12261" t="s">
        <v>15137</v>
      </c>
      <c r="D12261" t="s">
        <v>17448</v>
      </c>
      <c r="E12261" t="s">
        <v>27910</v>
      </c>
      <c r="F12261" t="s">
        <v>30052</v>
      </c>
      <c r="G12261" t="s">
        <v>30058</v>
      </c>
      <c r="H12261" t="s">
        <v>30067</v>
      </c>
      <c r="I12261" t="s">
        <v>3693</v>
      </c>
      <c r="J12261" t="s">
        <v>30222</v>
      </c>
      <c r="K12261" t="s">
        <v>39023</v>
      </c>
      <c r="M12261" t="s">
        <v>42845</v>
      </c>
      <c r="N12261" t="s">
        <v>43166</v>
      </c>
      <c r="O12261" t="s">
        <v>43167</v>
      </c>
      <c r="Q12261">
        <v>0</v>
      </c>
      <c r="R12261" t="s">
        <v>43184</v>
      </c>
      <c r="S12261" t="s">
        <v>43897</v>
      </c>
      <c r="T12261" t="s">
        <v>45129</v>
      </c>
      <c r="U12261" t="s">
        <v>54900</v>
      </c>
      <c r="V12261" t="s">
        <v>58220</v>
      </c>
      <c r="W12261" t="s">
        <v>42845</v>
      </c>
      <c r="X12261" t="s">
        <v>43185</v>
      </c>
    </row>
    <row r="12262" spans="1:24">
      <c r="A12262">
        <f>HYPERLINK("https://www.philgeps.gov.ph/GEPSNONPILOT/Tender/SplashBidNoticeAbstractUI.aspx?menuIndex=3&amp;refID=7056763&amp;Result=3","7056763")</f>
        <v>0</v>
      </c>
      <c r="B12262" t="s">
        <v>3221</v>
      </c>
      <c r="C12262" t="s">
        <v>15138</v>
      </c>
      <c r="D12262" t="s">
        <v>17448</v>
      </c>
      <c r="E12262" t="s">
        <v>27910</v>
      </c>
      <c r="F12262" t="s">
        <v>30052</v>
      </c>
      <c r="G12262" t="s">
        <v>30058</v>
      </c>
      <c r="H12262" t="s">
        <v>30067</v>
      </c>
      <c r="I12262" t="s">
        <v>3693</v>
      </c>
      <c r="J12262" t="s">
        <v>37671</v>
      </c>
      <c r="K12262" t="s">
        <v>39023</v>
      </c>
      <c r="M12262" t="s">
        <v>42845</v>
      </c>
      <c r="N12262" t="s">
        <v>43166</v>
      </c>
      <c r="O12262" t="s">
        <v>43167</v>
      </c>
      <c r="Q12262">
        <v>0</v>
      </c>
      <c r="R12262" t="s">
        <v>43184</v>
      </c>
      <c r="S12262" t="s">
        <v>43898</v>
      </c>
      <c r="T12262" t="s">
        <v>45129</v>
      </c>
      <c r="U12262" t="s">
        <v>54900</v>
      </c>
      <c r="V12262" t="s">
        <v>58221</v>
      </c>
      <c r="W12262" t="s">
        <v>42845</v>
      </c>
      <c r="X12262" t="s">
        <v>43185</v>
      </c>
    </row>
    <row r="12263" spans="1:24">
      <c r="A12263">
        <f>HYPERLINK("https://www.philgeps.gov.ph/GEPSNONPILOT/Tender/SplashBidNoticeAbstractUI.aspx?menuIndex=3&amp;refID=7059058&amp;Result=3","7059058")</f>
        <v>0</v>
      </c>
      <c r="B12263" t="s">
        <v>915</v>
      </c>
      <c r="C12263" t="s">
        <v>15139</v>
      </c>
      <c r="D12263" t="s">
        <v>17457</v>
      </c>
      <c r="E12263" t="s">
        <v>27991</v>
      </c>
      <c r="F12263" t="s">
        <v>30052</v>
      </c>
      <c r="G12263" t="s">
        <v>30058</v>
      </c>
      <c r="H12263" t="s">
        <v>15498</v>
      </c>
      <c r="I12263" t="s">
        <v>30074</v>
      </c>
      <c r="J12263" t="s">
        <v>30239</v>
      </c>
      <c r="K12263" t="s">
        <v>39029</v>
      </c>
      <c r="M12263" t="s">
        <v>40238</v>
      </c>
      <c r="N12263" t="s">
        <v>43166</v>
      </c>
      <c r="O12263" t="s">
        <v>43167</v>
      </c>
      <c r="Q12263">
        <v>8</v>
      </c>
      <c r="R12263" t="s">
        <v>43181</v>
      </c>
      <c r="S12263" t="s">
        <v>43899</v>
      </c>
      <c r="T12263" t="s">
        <v>44704</v>
      </c>
      <c r="U12263" t="s">
        <v>54969</v>
      </c>
      <c r="W12263" t="s">
        <v>40238</v>
      </c>
      <c r="X12263" t="s">
        <v>43182</v>
      </c>
    </row>
    <row r="12264" spans="1:24">
      <c r="A12264">
        <f>HYPERLINK("https://www.philgeps.gov.ph/GEPSNONPILOT/Tender/SplashBidNoticeAbstractUI.aspx?menuIndex=3&amp;refID=7057025&amp;Result=3","7057025")</f>
        <v>0</v>
      </c>
      <c r="B12264" t="s">
        <v>684</v>
      </c>
      <c r="C12264" t="s">
        <v>15140</v>
      </c>
      <c r="D12264" t="s">
        <v>17473</v>
      </c>
      <c r="E12264" t="s">
        <v>27992</v>
      </c>
      <c r="F12264" t="s">
        <v>30052</v>
      </c>
      <c r="G12264" t="s">
        <v>30062</v>
      </c>
      <c r="H12264" t="s">
        <v>15498</v>
      </c>
      <c r="I12264" t="s">
        <v>3852</v>
      </c>
      <c r="J12264" t="s">
        <v>37676</v>
      </c>
      <c r="K12264" t="s">
        <v>39029</v>
      </c>
      <c r="M12264" t="s">
        <v>39990</v>
      </c>
      <c r="N12264" t="s">
        <v>43166</v>
      </c>
      <c r="O12264" t="s">
        <v>43167</v>
      </c>
      <c r="Q12264">
        <v>2</v>
      </c>
      <c r="R12264" t="s">
        <v>43184</v>
      </c>
      <c r="S12264" t="s">
        <v>43741</v>
      </c>
      <c r="T12264" t="s">
        <v>44773</v>
      </c>
      <c r="U12264" t="s">
        <v>54970</v>
      </c>
      <c r="W12264" t="s">
        <v>39990</v>
      </c>
      <c r="X12264" t="s">
        <v>43185</v>
      </c>
    </row>
    <row r="12265" spans="1:24">
      <c r="A12265">
        <f>HYPERLINK("https://www.philgeps.gov.ph/GEPSNONPILOT/Tender/SplashBidNoticeAbstractUI.aspx?menuIndex=3&amp;refID=7057006&amp;Result=3","7057006")</f>
        <v>0</v>
      </c>
      <c r="B12265" t="s">
        <v>2169</v>
      </c>
      <c r="C12265" t="s">
        <v>15141</v>
      </c>
      <c r="D12265" t="s">
        <v>17418</v>
      </c>
      <c r="E12265" t="s">
        <v>20684</v>
      </c>
      <c r="F12265" t="s">
        <v>30052</v>
      </c>
      <c r="G12265" t="s">
        <v>30058</v>
      </c>
      <c r="H12265" t="s">
        <v>15498</v>
      </c>
      <c r="I12265" t="s">
        <v>30091</v>
      </c>
      <c r="J12265" t="s">
        <v>37677</v>
      </c>
      <c r="K12265" t="s">
        <v>39023</v>
      </c>
      <c r="M12265" t="s">
        <v>41637</v>
      </c>
      <c r="N12265" t="s">
        <v>43166</v>
      </c>
      <c r="O12265" t="s">
        <v>43167</v>
      </c>
      <c r="P12265">
        <v>0</v>
      </c>
      <c r="Q12265">
        <v>4</v>
      </c>
      <c r="R12265" t="s">
        <v>43184</v>
      </c>
      <c r="S12265" t="s">
        <v>43839</v>
      </c>
      <c r="T12265" t="s">
        <v>44806</v>
      </c>
      <c r="U12265" t="s">
        <v>54971</v>
      </c>
      <c r="W12265" t="s">
        <v>58666</v>
      </c>
      <c r="X12265" t="s">
        <v>43185</v>
      </c>
    </row>
    <row r="12266" spans="1:24">
      <c r="A12266">
        <f>HYPERLINK("https://www.philgeps.gov.ph/GEPSNONPILOT/Tender/SplashBidNoticeAbstractUI.aspx?menuIndex=3&amp;refID=7057017&amp;Result=3","7057017")</f>
        <v>0</v>
      </c>
      <c r="B12266" t="s">
        <v>620</v>
      </c>
      <c r="C12266" t="s">
        <v>15142</v>
      </c>
      <c r="D12266" t="s">
        <v>17427</v>
      </c>
      <c r="E12266" t="s">
        <v>27993</v>
      </c>
      <c r="F12266" t="s">
        <v>30052</v>
      </c>
      <c r="G12266" t="s">
        <v>30058</v>
      </c>
      <c r="H12266" t="s">
        <v>15498</v>
      </c>
      <c r="I12266" t="s">
        <v>30088</v>
      </c>
      <c r="J12266" t="s">
        <v>37678</v>
      </c>
      <c r="K12266" t="s">
        <v>39025</v>
      </c>
      <c r="M12266" t="s">
        <v>39923</v>
      </c>
      <c r="N12266" t="s">
        <v>43166</v>
      </c>
      <c r="O12266" t="s">
        <v>43167</v>
      </c>
      <c r="Q12266">
        <v>16</v>
      </c>
      <c r="R12266" t="s">
        <v>43184</v>
      </c>
      <c r="S12266" t="s">
        <v>43900</v>
      </c>
      <c r="T12266" t="s">
        <v>44873</v>
      </c>
      <c r="U12266" t="s">
        <v>54972</v>
      </c>
      <c r="W12266" t="s">
        <v>39923</v>
      </c>
      <c r="X12266" t="s">
        <v>43185</v>
      </c>
    </row>
    <row r="12267" spans="1:24">
      <c r="A12267">
        <f>HYPERLINK("https://www.philgeps.gov.ph/GEPSNONPILOT/Tender/SplashBidNoticeAbstractUI.aspx?menuIndex=3&amp;refID=7057005&amp;Result=3","7057005")</f>
        <v>0</v>
      </c>
      <c r="B12267" t="s">
        <v>1881</v>
      </c>
      <c r="C12267" t="s">
        <v>15143</v>
      </c>
      <c r="D12267" t="s">
        <v>17468</v>
      </c>
      <c r="E12267" t="s">
        <v>27994</v>
      </c>
      <c r="F12267" t="s">
        <v>30052</v>
      </c>
      <c r="G12267" t="s">
        <v>30058</v>
      </c>
      <c r="H12267" t="s">
        <v>30067</v>
      </c>
      <c r="I12267" t="s">
        <v>3693</v>
      </c>
      <c r="J12267" t="s">
        <v>37679</v>
      </c>
      <c r="K12267" t="s">
        <v>39057</v>
      </c>
      <c r="M12267" t="s">
        <v>41312</v>
      </c>
      <c r="N12267" t="s">
        <v>43166</v>
      </c>
      <c r="O12267" t="s">
        <v>43167</v>
      </c>
      <c r="P12267">
        <v>0</v>
      </c>
      <c r="Q12267">
        <v>1</v>
      </c>
      <c r="R12267" t="s">
        <v>43184</v>
      </c>
      <c r="S12267" t="s">
        <v>43839</v>
      </c>
      <c r="T12267" t="s">
        <v>44804</v>
      </c>
      <c r="U12267" t="s">
        <v>49695</v>
      </c>
      <c r="W12267" t="s">
        <v>41312</v>
      </c>
      <c r="X12267" t="s">
        <v>43185</v>
      </c>
    </row>
    <row r="12268" spans="1:24">
      <c r="A12268">
        <f>HYPERLINK("https://www.philgeps.gov.ph/GEPSNONPILOT/Tender/SplashBidNoticeAbstractUI.aspx?menuIndex=3&amp;refID=7056994&amp;Result=3","7056994")</f>
        <v>0</v>
      </c>
      <c r="B12268" t="s">
        <v>3221</v>
      </c>
      <c r="C12268" t="s">
        <v>15144</v>
      </c>
      <c r="D12268" t="s">
        <v>17448</v>
      </c>
      <c r="E12268" t="s">
        <v>27910</v>
      </c>
      <c r="F12268" t="s">
        <v>30052</v>
      </c>
      <c r="G12268" t="s">
        <v>30058</v>
      </c>
      <c r="H12268" t="s">
        <v>30067</v>
      </c>
      <c r="I12268" t="s">
        <v>3693</v>
      </c>
      <c r="J12268" t="s">
        <v>37680</v>
      </c>
      <c r="K12268" t="s">
        <v>39023</v>
      </c>
      <c r="M12268" t="s">
        <v>42845</v>
      </c>
      <c r="N12268" t="s">
        <v>43166</v>
      </c>
      <c r="O12268" t="s">
        <v>43167</v>
      </c>
      <c r="Q12268">
        <v>0</v>
      </c>
      <c r="R12268" t="s">
        <v>43184</v>
      </c>
      <c r="S12268" t="s">
        <v>43901</v>
      </c>
      <c r="T12268" t="s">
        <v>45129</v>
      </c>
      <c r="U12268" t="s">
        <v>54900</v>
      </c>
      <c r="V12268" t="s">
        <v>58222</v>
      </c>
      <c r="W12268" t="s">
        <v>42845</v>
      </c>
      <c r="X12268" t="s">
        <v>43185</v>
      </c>
    </row>
    <row r="12269" spans="1:24">
      <c r="A12269">
        <f>HYPERLINK("https://www.philgeps.gov.ph/GEPSNONPILOT/Tender/SplashBidNoticeAbstractUI.aspx?menuIndex=3&amp;refID=7056618&amp;Result=3","7056618")</f>
        <v>0</v>
      </c>
      <c r="B12269" t="s">
        <v>3230</v>
      </c>
      <c r="C12269" t="s">
        <v>15145</v>
      </c>
      <c r="D12269" t="s">
        <v>17415</v>
      </c>
      <c r="E12269" t="s">
        <v>27995</v>
      </c>
      <c r="F12269" t="s">
        <v>30052</v>
      </c>
      <c r="G12269" t="s">
        <v>30058</v>
      </c>
      <c r="H12269" t="s">
        <v>30067</v>
      </c>
      <c r="I12269" t="s">
        <v>3693</v>
      </c>
      <c r="J12269" t="s">
        <v>37681</v>
      </c>
      <c r="K12269" t="s">
        <v>39140</v>
      </c>
      <c r="M12269" t="s">
        <v>42856</v>
      </c>
      <c r="N12269" t="s">
        <v>43166</v>
      </c>
      <c r="O12269" t="s">
        <v>43167</v>
      </c>
      <c r="P12269">
        <v>0</v>
      </c>
      <c r="Q12269">
        <v>41</v>
      </c>
      <c r="R12269" t="s">
        <v>43184</v>
      </c>
      <c r="S12269" t="s">
        <v>43839</v>
      </c>
      <c r="T12269" t="s">
        <v>44678</v>
      </c>
      <c r="U12269" t="s">
        <v>54973</v>
      </c>
      <c r="V12269" t="s">
        <v>58214</v>
      </c>
      <c r="W12269" t="s">
        <v>42856</v>
      </c>
      <c r="X12269" t="s">
        <v>43185</v>
      </c>
    </row>
    <row r="12270" spans="1:24">
      <c r="A12270">
        <f>HYPERLINK("https://www.philgeps.gov.ph/GEPSNONPILOT/Tender/SplashBidNoticeAbstractUI.aspx?menuIndex=3&amp;refID=7056951&amp;Result=3","7056951")</f>
        <v>0</v>
      </c>
      <c r="B12270" t="s">
        <v>3236</v>
      </c>
      <c r="C12270" t="s">
        <v>15146</v>
      </c>
      <c r="D12270" t="s">
        <v>17444</v>
      </c>
      <c r="E12270" t="s">
        <v>27996</v>
      </c>
      <c r="F12270" t="s">
        <v>30052</v>
      </c>
      <c r="G12270" t="s">
        <v>30058</v>
      </c>
      <c r="H12270" t="s">
        <v>15498</v>
      </c>
      <c r="I12270" t="s">
        <v>3736</v>
      </c>
      <c r="J12270" t="s">
        <v>37682</v>
      </c>
      <c r="K12270" t="s">
        <v>39017</v>
      </c>
      <c r="M12270" t="s">
        <v>42862</v>
      </c>
      <c r="N12270" t="s">
        <v>43166</v>
      </c>
      <c r="O12270" t="s">
        <v>43167</v>
      </c>
      <c r="P12270">
        <v>0</v>
      </c>
      <c r="Q12270">
        <v>0</v>
      </c>
      <c r="R12270" t="s">
        <v>43184</v>
      </c>
      <c r="S12270" t="s">
        <v>43839</v>
      </c>
      <c r="T12270" t="s">
        <v>44768</v>
      </c>
      <c r="U12270" t="s">
        <v>54974</v>
      </c>
      <c r="V12270" t="s">
        <v>58223</v>
      </c>
      <c r="W12270" t="s">
        <v>42862</v>
      </c>
      <c r="X12270" t="s">
        <v>43185</v>
      </c>
    </row>
    <row r="12271" spans="1:24">
      <c r="A12271">
        <f>HYPERLINK("https://www.philgeps.gov.ph/GEPSNONPILOT/Tender/SplashBidNoticeAbstractUI.aspx?menuIndex=3&amp;refID=7056947&amp;Result=3","7056947")</f>
        <v>0</v>
      </c>
      <c r="B12271" t="s">
        <v>892</v>
      </c>
      <c r="C12271" t="s">
        <v>15147</v>
      </c>
      <c r="D12271" t="s">
        <v>17471</v>
      </c>
      <c r="E12271" t="s">
        <v>27997</v>
      </c>
      <c r="F12271" t="s">
        <v>30052</v>
      </c>
      <c r="G12271" t="s">
        <v>30058</v>
      </c>
      <c r="H12271" t="s">
        <v>30067</v>
      </c>
      <c r="I12271" t="s">
        <v>3693</v>
      </c>
      <c r="J12271" t="s">
        <v>37683</v>
      </c>
      <c r="K12271" t="s">
        <v>39029</v>
      </c>
      <c r="M12271" t="s">
        <v>40211</v>
      </c>
      <c r="N12271" t="s">
        <v>43166</v>
      </c>
      <c r="O12271" t="s">
        <v>43167</v>
      </c>
      <c r="P12271">
        <v>0</v>
      </c>
      <c r="Q12271">
        <v>0</v>
      </c>
      <c r="R12271" t="s">
        <v>43184</v>
      </c>
      <c r="S12271" t="s">
        <v>43839</v>
      </c>
      <c r="T12271" t="s">
        <v>44718</v>
      </c>
      <c r="U12271" t="s">
        <v>54975</v>
      </c>
      <c r="W12271" t="s">
        <v>40211</v>
      </c>
      <c r="X12271" t="s">
        <v>43185</v>
      </c>
    </row>
    <row r="12272" spans="1:24">
      <c r="A12272">
        <f>HYPERLINK("https://www.philgeps.gov.ph/GEPSNONPILOT/Tender/SplashBidNoticeAbstractUI.aspx?menuIndex=3&amp;refID=7056986&amp;Result=3","7056986")</f>
        <v>0</v>
      </c>
      <c r="B12272" t="s">
        <v>3236</v>
      </c>
      <c r="C12272" t="s">
        <v>15148</v>
      </c>
      <c r="D12272" t="s">
        <v>17444</v>
      </c>
      <c r="E12272" t="s">
        <v>27998</v>
      </c>
      <c r="F12272" t="s">
        <v>30052</v>
      </c>
      <c r="G12272" t="s">
        <v>30058</v>
      </c>
      <c r="H12272" t="s">
        <v>15498</v>
      </c>
      <c r="I12272" t="s">
        <v>3736</v>
      </c>
      <c r="J12272" t="s">
        <v>37684</v>
      </c>
      <c r="K12272" t="s">
        <v>39017</v>
      </c>
      <c r="M12272" t="s">
        <v>42862</v>
      </c>
      <c r="N12272" t="s">
        <v>43166</v>
      </c>
      <c r="O12272" t="s">
        <v>43167</v>
      </c>
      <c r="P12272">
        <v>0</v>
      </c>
      <c r="Q12272">
        <v>0</v>
      </c>
      <c r="R12272" t="s">
        <v>43184</v>
      </c>
      <c r="S12272" t="s">
        <v>43839</v>
      </c>
      <c r="T12272" t="s">
        <v>44768</v>
      </c>
      <c r="U12272" t="s">
        <v>54976</v>
      </c>
      <c r="V12272" t="s">
        <v>58223</v>
      </c>
      <c r="W12272" t="s">
        <v>42862</v>
      </c>
      <c r="X12272" t="s">
        <v>43185</v>
      </c>
    </row>
    <row r="12273" spans="1:24">
      <c r="A12273">
        <f>HYPERLINK("https://www.philgeps.gov.ph/GEPSNONPILOT/Tender/SplashBidNoticeAbstractUI.aspx?menuIndex=3&amp;refID=7056973&amp;Result=3","7056973")</f>
        <v>0</v>
      </c>
      <c r="B12273" t="s">
        <v>3221</v>
      </c>
      <c r="C12273" t="s">
        <v>15149</v>
      </c>
      <c r="D12273" t="s">
        <v>17448</v>
      </c>
      <c r="E12273" t="s">
        <v>27910</v>
      </c>
      <c r="F12273" t="s">
        <v>30052</v>
      </c>
      <c r="G12273" t="s">
        <v>30058</v>
      </c>
      <c r="H12273" t="s">
        <v>30067</v>
      </c>
      <c r="I12273" t="s">
        <v>3693</v>
      </c>
      <c r="J12273" t="s">
        <v>37685</v>
      </c>
      <c r="K12273" t="s">
        <v>39046</v>
      </c>
      <c r="M12273" t="s">
        <v>42845</v>
      </c>
      <c r="N12273" t="s">
        <v>43166</v>
      </c>
      <c r="O12273" t="s">
        <v>43167</v>
      </c>
      <c r="Q12273">
        <v>0</v>
      </c>
      <c r="R12273" t="s">
        <v>43184</v>
      </c>
      <c r="S12273" t="s">
        <v>43902</v>
      </c>
      <c r="T12273" t="s">
        <v>45129</v>
      </c>
      <c r="U12273" t="s">
        <v>54900</v>
      </c>
      <c r="V12273" t="s">
        <v>58224</v>
      </c>
      <c r="W12273" t="s">
        <v>42845</v>
      </c>
      <c r="X12273" t="s">
        <v>43185</v>
      </c>
    </row>
    <row r="12274" spans="1:24">
      <c r="A12274">
        <f>HYPERLINK("https://www.philgeps.gov.ph/GEPSNONPILOT/Tender/SplashBidNoticeAbstractUI.aspx?menuIndex=3&amp;refID=7057016&amp;Result=3","7057016")</f>
        <v>0</v>
      </c>
      <c r="B12274" t="s">
        <v>680</v>
      </c>
      <c r="C12274" t="s">
        <v>15150</v>
      </c>
      <c r="D12274" t="s">
        <v>17424</v>
      </c>
      <c r="E12274" t="s">
        <v>27999</v>
      </c>
      <c r="F12274" t="s">
        <v>30052</v>
      </c>
      <c r="G12274" t="s">
        <v>30058</v>
      </c>
      <c r="H12274" t="s">
        <v>15498</v>
      </c>
      <c r="I12274" t="s">
        <v>30080</v>
      </c>
      <c r="J12274" t="s">
        <v>31290</v>
      </c>
      <c r="K12274" t="s">
        <v>39029</v>
      </c>
      <c r="M12274" t="s">
        <v>39986</v>
      </c>
      <c r="N12274" t="s">
        <v>43166</v>
      </c>
      <c r="O12274" t="s">
        <v>43167</v>
      </c>
      <c r="P12274">
        <v>0</v>
      </c>
      <c r="Q12274">
        <v>7</v>
      </c>
      <c r="R12274" t="s">
        <v>43184</v>
      </c>
      <c r="S12274" t="s">
        <v>43839</v>
      </c>
      <c r="T12274" t="s">
        <v>44698</v>
      </c>
      <c r="U12274" t="s">
        <v>54977</v>
      </c>
      <c r="W12274" t="s">
        <v>39986</v>
      </c>
      <c r="X12274" t="s">
        <v>43185</v>
      </c>
    </row>
    <row r="12275" spans="1:24">
      <c r="A12275">
        <f>HYPERLINK("https://www.philgeps.gov.ph/GEPSNONPILOT/Tender/SplashBidNoticeAbstractUI.aspx?menuIndex=3&amp;refID=7056913&amp;Result=3","7056913")</f>
        <v>0</v>
      </c>
      <c r="B12275" t="s">
        <v>3221</v>
      </c>
      <c r="C12275" t="s">
        <v>15151</v>
      </c>
      <c r="D12275" t="s">
        <v>17448</v>
      </c>
      <c r="E12275" t="s">
        <v>27910</v>
      </c>
      <c r="F12275" t="s">
        <v>30052</v>
      </c>
      <c r="G12275" t="s">
        <v>30058</v>
      </c>
      <c r="H12275" t="s">
        <v>30067</v>
      </c>
      <c r="I12275" t="s">
        <v>3693</v>
      </c>
      <c r="J12275" t="s">
        <v>30247</v>
      </c>
      <c r="K12275" t="s">
        <v>39023</v>
      </c>
      <c r="M12275" t="s">
        <v>42845</v>
      </c>
      <c r="N12275" t="s">
        <v>43166</v>
      </c>
      <c r="O12275" t="s">
        <v>43167</v>
      </c>
      <c r="Q12275">
        <v>0</v>
      </c>
      <c r="R12275" t="s">
        <v>43184</v>
      </c>
      <c r="S12275" t="s">
        <v>43903</v>
      </c>
      <c r="T12275" t="s">
        <v>45129</v>
      </c>
      <c r="U12275" t="s">
        <v>54900</v>
      </c>
      <c r="V12275" t="s">
        <v>58225</v>
      </c>
      <c r="W12275" t="s">
        <v>42845</v>
      </c>
      <c r="X12275" t="s">
        <v>43185</v>
      </c>
    </row>
    <row r="12276" spans="1:24">
      <c r="A12276">
        <f>HYPERLINK("https://www.philgeps.gov.ph/GEPSNONPILOT/Tender/SplashBidNoticeAbstractUI.aspx?menuIndex=3&amp;refID=7056924&amp;Result=3","7056924")</f>
        <v>0</v>
      </c>
      <c r="B12276" t="s">
        <v>3221</v>
      </c>
      <c r="C12276" t="s">
        <v>15152</v>
      </c>
      <c r="D12276" t="s">
        <v>17448</v>
      </c>
      <c r="E12276" t="s">
        <v>27910</v>
      </c>
      <c r="F12276" t="s">
        <v>30052</v>
      </c>
      <c r="G12276" t="s">
        <v>30058</v>
      </c>
      <c r="H12276" t="s">
        <v>30067</v>
      </c>
      <c r="I12276" t="s">
        <v>3693</v>
      </c>
      <c r="J12276" t="s">
        <v>37686</v>
      </c>
      <c r="K12276" t="s">
        <v>39023</v>
      </c>
      <c r="M12276" t="s">
        <v>42845</v>
      </c>
      <c r="N12276" t="s">
        <v>43166</v>
      </c>
      <c r="O12276" t="s">
        <v>43167</v>
      </c>
      <c r="Q12276">
        <v>0</v>
      </c>
      <c r="R12276" t="s">
        <v>43184</v>
      </c>
      <c r="S12276" t="s">
        <v>43904</v>
      </c>
      <c r="T12276" t="s">
        <v>45129</v>
      </c>
      <c r="U12276" t="s">
        <v>54900</v>
      </c>
      <c r="V12276" t="s">
        <v>58226</v>
      </c>
      <c r="W12276" t="s">
        <v>42845</v>
      </c>
      <c r="X12276" t="s">
        <v>43185</v>
      </c>
    </row>
    <row r="12277" spans="1:24">
      <c r="A12277">
        <f>HYPERLINK("https://www.philgeps.gov.ph/GEPSNONPILOT/Tender/SplashBidNoticeAbstractUI.aspx?menuIndex=3&amp;refID=7056948&amp;Result=3","7056948")</f>
        <v>0</v>
      </c>
      <c r="B12277" t="s">
        <v>3221</v>
      </c>
      <c r="C12277" t="s">
        <v>15153</v>
      </c>
      <c r="D12277" t="s">
        <v>17448</v>
      </c>
      <c r="E12277" t="s">
        <v>27910</v>
      </c>
      <c r="F12277" t="s">
        <v>30052</v>
      </c>
      <c r="G12277" t="s">
        <v>30058</v>
      </c>
      <c r="H12277" t="s">
        <v>30067</v>
      </c>
      <c r="I12277" t="s">
        <v>3693</v>
      </c>
      <c r="J12277" t="s">
        <v>37687</v>
      </c>
      <c r="K12277" t="s">
        <v>39023</v>
      </c>
      <c r="M12277" t="s">
        <v>42845</v>
      </c>
      <c r="N12277" t="s">
        <v>43166</v>
      </c>
      <c r="O12277" t="s">
        <v>43167</v>
      </c>
      <c r="Q12277">
        <v>0</v>
      </c>
      <c r="R12277" t="s">
        <v>43184</v>
      </c>
      <c r="S12277" t="s">
        <v>43905</v>
      </c>
      <c r="T12277" t="s">
        <v>45129</v>
      </c>
      <c r="U12277" t="s">
        <v>54900</v>
      </c>
      <c r="V12277" t="s">
        <v>58227</v>
      </c>
      <c r="W12277" t="s">
        <v>42845</v>
      </c>
      <c r="X12277" t="s">
        <v>43185</v>
      </c>
    </row>
    <row r="12278" spans="1:24">
      <c r="A12278">
        <f>HYPERLINK("https://www.philgeps.gov.ph/GEPSNONPILOT/Tender/SplashBidNoticeAbstractUI.aspx?menuIndex=3&amp;refID=7056937&amp;Result=3","7056937")</f>
        <v>0</v>
      </c>
      <c r="B12278" t="s">
        <v>3237</v>
      </c>
      <c r="C12278" t="s">
        <v>15154</v>
      </c>
      <c r="D12278" t="s">
        <v>17512</v>
      </c>
      <c r="E12278" t="s">
        <v>28000</v>
      </c>
      <c r="F12278" t="s">
        <v>30052</v>
      </c>
      <c r="G12278" t="s">
        <v>30058</v>
      </c>
      <c r="H12278" t="s">
        <v>15498</v>
      </c>
      <c r="I12278" t="s">
        <v>30100</v>
      </c>
      <c r="J12278" t="s">
        <v>37688</v>
      </c>
      <c r="K12278" t="s">
        <v>39059</v>
      </c>
      <c r="M12278" t="s">
        <v>42863</v>
      </c>
      <c r="N12278" t="s">
        <v>43166</v>
      </c>
      <c r="O12278" t="s">
        <v>43167</v>
      </c>
      <c r="P12278">
        <v>0</v>
      </c>
      <c r="Q12278">
        <v>0</v>
      </c>
      <c r="R12278" t="s">
        <v>43184</v>
      </c>
      <c r="S12278" t="s">
        <v>43839</v>
      </c>
      <c r="T12278" t="s">
        <v>44721</v>
      </c>
      <c r="U12278" t="s">
        <v>54978</v>
      </c>
      <c r="W12278" t="s">
        <v>42863</v>
      </c>
      <c r="X12278" t="s">
        <v>43185</v>
      </c>
    </row>
    <row r="12279" spans="1:24">
      <c r="A12279">
        <f>HYPERLINK("https://www.philgeps.gov.ph/GEPSNONPILOT/Tender/SplashBidNoticeAbstractUI.aspx?menuIndex=3&amp;refID=7056820&amp;Result=3","7056820")</f>
        <v>0</v>
      </c>
      <c r="B12279" t="s">
        <v>2296</v>
      </c>
      <c r="C12279" t="s">
        <v>15155</v>
      </c>
      <c r="E12279" t="s">
        <v>28001</v>
      </c>
      <c r="F12279" t="s">
        <v>30052</v>
      </c>
      <c r="G12279" t="s">
        <v>30058</v>
      </c>
      <c r="H12279" t="s">
        <v>30067</v>
      </c>
      <c r="I12279" t="s">
        <v>3693</v>
      </c>
      <c r="J12279" t="s">
        <v>37689</v>
      </c>
      <c r="K12279" t="s">
        <v>39016</v>
      </c>
      <c r="M12279" t="s">
        <v>42297</v>
      </c>
      <c r="N12279" t="s">
        <v>43166</v>
      </c>
      <c r="O12279" t="s">
        <v>43167</v>
      </c>
      <c r="Q12279">
        <v>2</v>
      </c>
      <c r="R12279" t="s">
        <v>43184</v>
      </c>
      <c r="S12279" t="s">
        <v>43835</v>
      </c>
      <c r="T12279" t="s">
        <v>44681</v>
      </c>
      <c r="U12279" t="s">
        <v>54979</v>
      </c>
      <c r="W12279" t="s">
        <v>42297</v>
      </c>
      <c r="X12279" t="s">
        <v>43185</v>
      </c>
    </row>
    <row r="12280" spans="1:24">
      <c r="A12280">
        <f>HYPERLINK("https://www.philgeps.gov.ph/GEPSNONPILOT/Tender/SplashBidNoticeAbstractUI.aspx?menuIndex=3&amp;refID=7056698&amp;Result=3","7056698")</f>
        <v>0</v>
      </c>
      <c r="B12280" t="s">
        <v>3230</v>
      </c>
      <c r="C12280" t="s">
        <v>15156</v>
      </c>
      <c r="D12280" t="s">
        <v>17415</v>
      </c>
      <c r="E12280" t="s">
        <v>28002</v>
      </c>
      <c r="F12280" t="s">
        <v>30052</v>
      </c>
      <c r="G12280" t="s">
        <v>30058</v>
      </c>
      <c r="H12280" t="s">
        <v>30067</v>
      </c>
      <c r="I12280" t="s">
        <v>3693</v>
      </c>
      <c r="J12280" t="s">
        <v>37690</v>
      </c>
      <c r="K12280" t="s">
        <v>39108</v>
      </c>
      <c r="M12280" t="s">
        <v>42856</v>
      </c>
      <c r="N12280" t="s">
        <v>43166</v>
      </c>
      <c r="O12280" t="s">
        <v>43167</v>
      </c>
      <c r="P12280">
        <v>0</v>
      </c>
      <c r="Q12280">
        <v>45</v>
      </c>
      <c r="R12280" t="s">
        <v>43184</v>
      </c>
      <c r="S12280" t="s">
        <v>43839</v>
      </c>
      <c r="T12280" t="s">
        <v>44678</v>
      </c>
      <c r="U12280" t="s">
        <v>54980</v>
      </c>
      <c r="V12280" t="s">
        <v>58214</v>
      </c>
      <c r="W12280" t="s">
        <v>42856</v>
      </c>
      <c r="X12280" t="s">
        <v>43185</v>
      </c>
    </row>
    <row r="12281" spans="1:24">
      <c r="A12281">
        <f>HYPERLINK("https://www.philgeps.gov.ph/GEPSNONPILOT/Tender/SplashBidNoticeAbstractUI.aspx?menuIndex=3&amp;refID=7056887&amp;Result=3","7056887")</f>
        <v>0</v>
      </c>
      <c r="B12281" t="s">
        <v>3221</v>
      </c>
      <c r="C12281" t="s">
        <v>15157</v>
      </c>
      <c r="D12281" t="s">
        <v>17448</v>
      </c>
      <c r="E12281" t="s">
        <v>27910</v>
      </c>
      <c r="F12281" t="s">
        <v>30052</v>
      </c>
      <c r="G12281" t="s">
        <v>30058</v>
      </c>
      <c r="H12281" t="s">
        <v>30067</v>
      </c>
      <c r="I12281" t="s">
        <v>3693</v>
      </c>
      <c r="J12281" t="s">
        <v>30215</v>
      </c>
      <c r="K12281" t="s">
        <v>39029</v>
      </c>
      <c r="M12281" t="s">
        <v>42845</v>
      </c>
      <c r="N12281" t="s">
        <v>43166</v>
      </c>
      <c r="O12281" t="s">
        <v>43167</v>
      </c>
      <c r="Q12281">
        <v>2</v>
      </c>
      <c r="R12281" t="s">
        <v>43184</v>
      </c>
      <c r="S12281" t="s">
        <v>43906</v>
      </c>
      <c r="T12281" t="s">
        <v>45129</v>
      </c>
      <c r="U12281" t="s">
        <v>54900</v>
      </c>
      <c r="V12281" t="s">
        <v>58228</v>
      </c>
      <c r="W12281" t="s">
        <v>42845</v>
      </c>
      <c r="X12281" t="s">
        <v>43185</v>
      </c>
    </row>
    <row r="12282" spans="1:24">
      <c r="A12282">
        <f>HYPERLINK("https://www.philgeps.gov.ph/GEPSNONPILOT/Tender/SplashBidNoticeAbstractUI.aspx?menuIndex=3&amp;refID=7056688&amp;Result=3","7056688")</f>
        <v>0</v>
      </c>
      <c r="B12282" t="s">
        <v>3230</v>
      </c>
      <c r="C12282" t="s">
        <v>15158</v>
      </c>
      <c r="D12282" t="s">
        <v>17415</v>
      </c>
      <c r="E12282" t="s">
        <v>28003</v>
      </c>
      <c r="F12282" t="s">
        <v>30052</v>
      </c>
      <c r="G12282" t="s">
        <v>30058</v>
      </c>
      <c r="H12282" t="s">
        <v>30067</v>
      </c>
      <c r="I12282" t="s">
        <v>3693</v>
      </c>
      <c r="J12282" t="s">
        <v>30645</v>
      </c>
      <c r="K12282" t="s">
        <v>39057</v>
      </c>
      <c r="M12282" t="s">
        <v>42856</v>
      </c>
      <c r="N12282" t="s">
        <v>43166</v>
      </c>
      <c r="O12282" t="s">
        <v>43167</v>
      </c>
      <c r="P12282">
        <v>0</v>
      </c>
      <c r="Q12282">
        <v>66</v>
      </c>
      <c r="R12282" t="s">
        <v>43184</v>
      </c>
      <c r="S12282" t="s">
        <v>43839</v>
      </c>
      <c r="T12282" t="s">
        <v>44678</v>
      </c>
      <c r="U12282" t="s">
        <v>54981</v>
      </c>
      <c r="V12282" t="s">
        <v>58214</v>
      </c>
      <c r="W12282" t="s">
        <v>42856</v>
      </c>
      <c r="X12282" t="s">
        <v>43185</v>
      </c>
    </row>
    <row r="12283" spans="1:24">
      <c r="A12283">
        <f>HYPERLINK("https://www.philgeps.gov.ph/GEPSNONPILOT/Tender/SplashBidNoticeAbstractUI.aspx?menuIndex=3&amp;refID=7056975&amp;Result=3","7056975")</f>
        <v>0</v>
      </c>
      <c r="B12283" t="s">
        <v>2555</v>
      </c>
      <c r="C12283" t="s">
        <v>15159</v>
      </c>
      <c r="D12283" t="s">
        <v>17435</v>
      </c>
      <c r="E12283" t="s">
        <v>25066</v>
      </c>
      <c r="F12283" t="s">
        <v>30052</v>
      </c>
      <c r="G12283" t="s">
        <v>30058</v>
      </c>
      <c r="H12283" t="s">
        <v>30067</v>
      </c>
      <c r="I12283" t="s">
        <v>3693</v>
      </c>
      <c r="J12283" t="s">
        <v>37691</v>
      </c>
      <c r="K12283" t="s">
        <v>39057</v>
      </c>
      <c r="M12283" t="s">
        <v>42062</v>
      </c>
      <c r="N12283" t="s">
        <v>43166</v>
      </c>
      <c r="O12283" t="s">
        <v>43167</v>
      </c>
      <c r="Q12283">
        <v>0</v>
      </c>
      <c r="R12283" t="s">
        <v>43184</v>
      </c>
      <c r="S12283" t="s">
        <v>43907</v>
      </c>
      <c r="T12283" t="s">
        <v>44733</v>
      </c>
      <c r="U12283" t="s">
        <v>54982</v>
      </c>
      <c r="W12283" t="s">
        <v>42062</v>
      </c>
      <c r="X12283" t="s">
        <v>43185</v>
      </c>
    </row>
    <row r="12284" spans="1:24">
      <c r="A12284">
        <f>HYPERLINK("https://www.philgeps.gov.ph/GEPSNONPILOT/Tender/SplashBidNoticeAbstractUI.aspx?menuIndex=3&amp;refID=7056677&amp;Result=3","7056677")</f>
        <v>0</v>
      </c>
      <c r="B12284" t="s">
        <v>1843</v>
      </c>
      <c r="C12284" t="s">
        <v>15160</v>
      </c>
      <c r="E12284" t="s">
        <v>28004</v>
      </c>
      <c r="F12284" t="s">
        <v>30052</v>
      </c>
      <c r="G12284" t="s">
        <v>30058</v>
      </c>
      <c r="H12284" t="s">
        <v>15498</v>
      </c>
      <c r="I12284" t="s">
        <v>8323</v>
      </c>
      <c r="J12284" t="s">
        <v>37692</v>
      </c>
      <c r="K12284" t="s">
        <v>39025</v>
      </c>
      <c r="M12284" t="s">
        <v>42847</v>
      </c>
      <c r="N12284" t="s">
        <v>43166</v>
      </c>
      <c r="O12284" t="s">
        <v>43167</v>
      </c>
      <c r="Q12284">
        <v>16</v>
      </c>
      <c r="R12284" t="s">
        <v>43184</v>
      </c>
      <c r="S12284" t="s">
        <v>43908</v>
      </c>
      <c r="T12284" t="s">
        <v>44681</v>
      </c>
      <c r="U12284" t="s">
        <v>54983</v>
      </c>
      <c r="W12284" t="s">
        <v>42847</v>
      </c>
      <c r="X12284" t="s">
        <v>43185</v>
      </c>
    </row>
    <row r="12285" spans="1:24">
      <c r="A12285">
        <f>HYPERLINK("https://www.philgeps.gov.ph/GEPSNONPILOT/Tender/SplashBidNoticeAbstractUI.aspx?menuIndex=3&amp;refID=7056689&amp;Result=3","7056689")</f>
        <v>0</v>
      </c>
      <c r="B12285" t="s">
        <v>2320</v>
      </c>
      <c r="C12285" t="s">
        <v>15161</v>
      </c>
      <c r="D12285" t="s">
        <v>17462</v>
      </c>
      <c r="E12285" t="s">
        <v>28005</v>
      </c>
      <c r="F12285" t="s">
        <v>30052</v>
      </c>
      <c r="G12285" t="s">
        <v>30058</v>
      </c>
      <c r="H12285" t="s">
        <v>15498</v>
      </c>
      <c r="I12285" t="s">
        <v>3736</v>
      </c>
      <c r="J12285" t="s">
        <v>37693</v>
      </c>
      <c r="K12285" t="s">
        <v>39029</v>
      </c>
      <c r="M12285" t="s">
        <v>42842</v>
      </c>
      <c r="N12285" t="s">
        <v>43166</v>
      </c>
      <c r="O12285" t="s">
        <v>43167</v>
      </c>
      <c r="P12285">
        <v>0</v>
      </c>
      <c r="Q12285">
        <v>4</v>
      </c>
      <c r="R12285" t="s">
        <v>43184</v>
      </c>
      <c r="S12285" t="s">
        <v>43839</v>
      </c>
      <c r="T12285" t="s">
        <v>44689</v>
      </c>
      <c r="U12285" t="s">
        <v>51193</v>
      </c>
      <c r="V12285" t="s">
        <v>58173</v>
      </c>
      <c r="W12285" t="s">
        <v>58669</v>
      </c>
      <c r="X12285" t="s">
        <v>43185</v>
      </c>
    </row>
    <row r="12286" spans="1:24">
      <c r="A12286">
        <f>HYPERLINK("https://www.philgeps.gov.ph/GEPSNONPILOT/Tender/SplashBidNoticeAbstractUI.aspx?menuIndex=3&amp;refID=7056676&amp;Result=3","7056676")</f>
        <v>0</v>
      </c>
      <c r="B12286" t="s">
        <v>3230</v>
      </c>
      <c r="C12286" t="s">
        <v>15162</v>
      </c>
      <c r="D12286" t="s">
        <v>17415</v>
      </c>
      <c r="E12286" t="s">
        <v>28006</v>
      </c>
      <c r="F12286" t="s">
        <v>30052</v>
      </c>
      <c r="G12286" t="s">
        <v>30058</v>
      </c>
      <c r="H12286" t="s">
        <v>30067</v>
      </c>
      <c r="I12286" t="s">
        <v>3693</v>
      </c>
      <c r="J12286" t="s">
        <v>37694</v>
      </c>
      <c r="K12286" t="s">
        <v>39022</v>
      </c>
      <c r="M12286" t="s">
        <v>42856</v>
      </c>
      <c r="N12286" t="s">
        <v>43166</v>
      </c>
      <c r="O12286" t="s">
        <v>43167</v>
      </c>
      <c r="P12286">
        <v>0</v>
      </c>
      <c r="Q12286">
        <v>71</v>
      </c>
      <c r="R12286" t="s">
        <v>43184</v>
      </c>
      <c r="S12286" t="s">
        <v>43839</v>
      </c>
      <c r="T12286" t="s">
        <v>44678</v>
      </c>
      <c r="U12286" t="s">
        <v>54984</v>
      </c>
      <c r="V12286" t="s">
        <v>58214</v>
      </c>
      <c r="W12286" t="s">
        <v>42856</v>
      </c>
      <c r="X12286" t="s">
        <v>43185</v>
      </c>
    </row>
    <row r="12287" spans="1:24">
      <c r="A12287">
        <f>HYPERLINK("https://www.philgeps.gov.ph/GEPSNONPILOT/Tender/SplashBidNoticeAbstractUI.aspx?menuIndex=3&amp;refID=7056742&amp;Result=3","7056742")</f>
        <v>0</v>
      </c>
      <c r="B12287" t="s">
        <v>3221</v>
      </c>
      <c r="C12287" t="s">
        <v>15163</v>
      </c>
      <c r="D12287" t="s">
        <v>17448</v>
      </c>
      <c r="E12287" t="s">
        <v>27910</v>
      </c>
      <c r="F12287" t="s">
        <v>30052</v>
      </c>
      <c r="G12287" t="s">
        <v>30058</v>
      </c>
      <c r="H12287" t="s">
        <v>30067</v>
      </c>
      <c r="I12287" t="s">
        <v>3693</v>
      </c>
      <c r="J12287" t="s">
        <v>37665</v>
      </c>
      <c r="K12287" t="s">
        <v>39046</v>
      </c>
      <c r="M12287" t="s">
        <v>42845</v>
      </c>
      <c r="N12287" t="s">
        <v>43166</v>
      </c>
      <c r="O12287" t="s">
        <v>43167</v>
      </c>
      <c r="Q12287">
        <v>0</v>
      </c>
      <c r="R12287" t="s">
        <v>43184</v>
      </c>
      <c r="S12287" t="s">
        <v>43909</v>
      </c>
      <c r="T12287" t="s">
        <v>45129</v>
      </c>
      <c r="U12287" t="s">
        <v>54900</v>
      </c>
      <c r="V12287" t="s">
        <v>58229</v>
      </c>
      <c r="W12287" t="s">
        <v>42845</v>
      </c>
      <c r="X12287" t="s">
        <v>43185</v>
      </c>
    </row>
    <row r="12288" spans="1:24">
      <c r="A12288">
        <f>HYPERLINK("https://www.philgeps.gov.ph/GEPSNONPILOT/Tender/SplashBidNoticeAbstractUI.aspx?menuIndex=3&amp;refID=7056679&amp;Result=3","7056679")</f>
        <v>0</v>
      </c>
      <c r="B12288" t="s">
        <v>482</v>
      </c>
      <c r="C12288" t="s">
        <v>15164</v>
      </c>
      <c r="D12288" t="s">
        <v>17447</v>
      </c>
      <c r="E12288" t="s">
        <v>28007</v>
      </c>
      <c r="F12288" t="s">
        <v>30052</v>
      </c>
      <c r="G12288" t="s">
        <v>30058</v>
      </c>
      <c r="H12288" t="s">
        <v>15498</v>
      </c>
      <c r="I12288" t="s">
        <v>3736</v>
      </c>
      <c r="J12288" t="s">
        <v>30856</v>
      </c>
      <c r="K12288" t="s">
        <v>39034</v>
      </c>
      <c r="M12288" t="s">
        <v>39783</v>
      </c>
      <c r="N12288" t="s">
        <v>43166</v>
      </c>
      <c r="O12288" t="s">
        <v>43167</v>
      </c>
      <c r="P12288">
        <v>0</v>
      </c>
      <c r="Q12288">
        <v>2</v>
      </c>
      <c r="R12288" t="s">
        <v>43184</v>
      </c>
      <c r="S12288" t="s">
        <v>43839</v>
      </c>
      <c r="T12288" t="s">
        <v>44704</v>
      </c>
      <c r="U12288" t="s">
        <v>54985</v>
      </c>
      <c r="W12288" t="s">
        <v>39783</v>
      </c>
      <c r="X12288" t="s">
        <v>43185</v>
      </c>
    </row>
    <row r="12289" spans="1:24">
      <c r="A12289">
        <f>HYPERLINK("https://www.philgeps.gov.ph/GEPSNONPILOT/Tender/SplashBidNoticeAbstractUI.aspx?menuIndex=3&amp;refID=7056586&amp;Result=3","7056586")</f>
        <v>0</v>
      </c>
      <c r="B12289" t="s">
        <v>3221</v>
      </c>
      <c r="C12289" t="s">
        <v>15165</v>
      </c>
      <c r="D12289" t="s">
        <v>17448</v>
      </c>
      <c r="E12289" t="s">
        <v>27910</v>
      </c>
      <c r="F12289" t="s">
        <v>30052</v>
      </c>
      <c r="G12289" t="s">
        <v>30058</v>
      </c>
      <c r="H12289" t="s">
        <v>30067</v>
      </c>
      <c r="I12289" t="s">
        <v>3693</v>
      </c>
      <c r="J12289" t="s">
        <v>37695</v>
      </c>
      <c r="K12289" t="s">
        <v>39029</v>
      </c>
      <c r="M12289" t="s">
        <v>42845</v>
      </c>
      <c r="N12289" t="s">
        <v>43166</v>
      </c>
      <c r="O12289" t="s">
        <v>43167</v>
      </c>
      <c r="Q12289">
        <v>0</v>
      </c>
      <c r="R12289" t="s">
        <v>43184</v>
      </c>
      <c r="S12289" t="s">
        <v>43910</v>
      </c>
      <c r="T12289" t="s">
        <v>45129</v>
      </c>
      <c r="U12289" t="s">
        <v>54900</v>
      </c>
      <c r="V12289" t="s">
        <v>58230</v>
      </c>
      <c r="W12289" t="s">
        <v>42845</v>
      </c>
      <c r="X12289" t="s">
        <v>43185</v>
      </c>
    </row>
    <row r="12290" spans="1:24">
      <c r="A12290">
        <f>HYPERLINK("https://www.philgeps.gov.ph/GEPSNONPILOT/Tender/SplashBidNoticeAbstractUI.aspx?menuIndex=3&amp;refID=7056595&amp;Result=3","7056595")</f>
        <v>0</v>
      </c>
      <c r="B12290" t="s">
        <v>2248</v>
      </c>
      <c r="C12290" t="s">
        <v>15166</v>
      </c>
      <c r="D12290" t="s">
        <v>17424</v>
      </c>
      <c r="E12290" t="s">
        <v>28008</v>
      </c>
      <c r="F12290" t="s">
        <v>30052</v>
      </c>
      <c r="G12290" t="s">
        <v>30058</v>
      </c>
      <c r="H12290" t="s">
        <v>15498</v>
      </c>
      <c r="I12290" t="s">
        <v>3736</v>
      </c>
      <c r="J12290" t="s">
        <v>37696</v>
      </c>
      <c r="K12290" t="s">
        <v>39025</v>
      </c>
      <c r="M12290" t="s">
        <v>41726</v>
      </c>
      <c r="N12290" t="s">
        <v>43166</v>
      </c>
      <c r="O12290" t="s">
        <v>43167</v>
      </c>
      <c r="P12290">
        <v>0</v>
      </c>
      <c r="Q12290">
        <v>7</v>
      </c>
      <c r="R12290" t="s">
        <v>43184</v>
      </c>
      <c r="S12290" t="s">
        <v>43839</v>
      </c>
      <c r="T12290" t="s">
        <v>44734</v>
      </c>
      <c r="U12290" t="s">
        <v>54986</v>
      </c>
      <c r="W12290" t="s">
        <v>41726</v>
      </c>
      <c r="X12290" t="s">
        <v>43185</v>
      </c>
    </row>
    <row r="12291" spans="1:24">
      <c r="A12291">
        <f>HYPERLINK("https://www.philgeps.gov.ph/GEPSNONPILOT/Tender/SplashBidNoticeAbstractUI.aspx?menuIndex=3&amp;refID=7056580&amp;Result=3","7056580")</f>
        <v>0</v>
      </c>
      <c r="B12291" t="s">
        <v>2040</v>
      </c>
      <c r="C12291" t="s">
        <v>15167</v>
      </c>
      <c r="D12291" t="s">
        <v>17496</v>
      </c>
      <c r="E12291" t="s">
        <v>22764</v>
      </c>
      <c r="F12291" t="s">
        <v>30052</v>
      </c>
      <c r="G12291" t="s">
        <v>30058</v>
      </c>
      <c r="H12291" t="s">
        <v>15498</v>
      </c>
      <c r="I12291" t="s">
        <v>30078</v>
      </c>
      <c r="J12291" t="s">
        <v>37697</v>
      </c>
      <c r="K12291" t="s">
        <v>39019</v>
      </c>
      <c r="M12291" t="s">
        <v>41491</v>
      </c>
      <c r="N12291" t="s">
        <v>43166</v>
      </c>
      <c r="O12291" t="s">
        <v>43167</v>
      </c>
      <c r="P12291">
        <v>0</v>
      </c>
      <c r="Q12291">
        <v>1</v>
      </c>
      <c r="R12291" t="s">
        <v>43184</v>
      </c>
      <c r="S12291" t="s">
        <v>43839</v>
      </c>
      <c r="T12291" t="s">
        <v>44718</v>
      </c>
      <c r="U12291" t="s">
        <v>50289</v>
      </c>
      <c r="W12291" t="s">
        <v>41491</v>
      </c>
      <c r="X12291" t="s">
        <v>43185</v>
      </c>
    </row>
    <row r="12292" spans="1:24">
      <c r="A12292">
        <f>HYPERLINK("https://www.philgeps.gov.ph/GEPSNONPILOT/Tender/SplashBidNoticeAbstractUI.aspx?menuIndex=3&amp;refID=7056813&amp;Result=3","7056813")</f>
        <v>0</v>
      </c>
      <c r="B12292" t="s">
        <v>3238</v>
      </c>
      <c r="C12292" t="s">
        <v>15168</v>
      </c>
      <c r="D12292" t="s">
        <v>17419</v>
      </c>
      <c r="E12292" t="s">
        <v>28009</v>
      </c>
      <c r="F12292" t="s">
        <v>30052</v>
      </c>
      <c r="G12292" t="s">
        <v>30058</v>
      </c>
      <c r="H12292" t="s">
        <v>15498</v>
      </c>
      <c r="I12292" t="s">
        <v>30073</v>
      </c>
      <c r="J12292" t="s">
        <v>37698</v>
      </c>
      <c r="K12292" t="s">
        <v>39029</v>
      </c>
      <c r="M12292" t="s">
        <v>42864</v>
      </c>
      <c r="N12292" t="s">
        <v>43166</v>
      </c>
      <c r="O12292" t="s">
        <v>43167</v>
      </c>
      <c r="P12292">
        <v>0</v>
      </c>
      <c r="Q12292">
        <v>0</v>
      </c>
      <c r="R12292" t="s">
        <v>43184</v>
      </c>
      <c r="S12292" t="s">
        <v>43839</v>
      </c>
      <c r="T12292" t="s">
        <v>44832</v>
      </c>
      <c r="U12292" t="s">
        <v>54987</v>
      </c>
      <c r="V12292" t="s">
        <v>58231</v>
      </c>
      <c r="W12292" t="s">
        <v>42864</v>
      </c>
      <c r="X12292" t="s">
        <v>43185</v>
      </c>
    </row>
    <row r="12293" spans="1:24">
      <c r="A12293">
        <f>HYPERLINK("https://www.philgeps.gov.ph/GEPSNONPILOT/Tender/SplashBidNoticeAbstractUI.aspx?menuIndex=3&amp;refID=7057289&amp;Result=3","7057289")</f>
        <v>0</v>
      </c>
      <c r="B12293" t="s">
        <v>3239</v>
      </c>
      <c r="C12293" t="s">
        <v>15169</v>
      </c>
      <c r="E12293" t="s">
        <v>28010</v>
      </c>
      <c r="F12293" t="s">
        <v>30052</v>
      </c>
      <c r="G12293" t="s">
        <v>30058</v>
      </c>
      <c r="H12293" t="s">
        <v>30067</v>
      </c>
      <c r="I12293" t="s">
        <v>3693</v>
      </c>
      <c r="J12293" t="s">
        <v>37699</v>
      </c>
      <c r="K12293" t="s">
        <v>39026</v>
      </c>
      <c r="N12293" t="s">
        <v>43166</v>
      </c>
      <c r="O12293" t="s">
        <v>43167</v>
      </c>
      <c r="P12293">
        <v>0</v>
      </c>
      <c r="Q12293">
        <v>1</v>
      </c>
      <c r="R12293" t="s">
        <v>43184</v>
      </c>
      <c r="S12293" t="s">
        <v>43839</v>
      </c>
      <c r="T12293" t="s">
        <v>44856</v>
      </c>
      <c r="U12293" t="s">
        <v>54988</v>
      </c>
      <c r="W12293" t="s">
        <v>42866</v>
      </c>
      <c r="X12293" t="s">
        <v>43185</v>
      </c>
    </row>
    <row r="12294" spans="1:24">
      <c r="A12294">
        <f>HYPERLINK("https://www.philgeps.gov.ph/GEPSNONPILOT/Tender/SplashBidNoticeAbstractUI.aspx?menuIndex=3&amp;refID=7056667&amp;Result=3","7056667")</f>
        <v>0</v>
      </c>
      <c r="B12294" t="s">
        <v>3221</v>
      </c>
      <c r="C12294" t="s">
        <v>15170</v>
      </c>
      <c r="D12294" t="s">
        <v>17448</v>
      </c>
      <c r="E12294" t="s">
        <v>27910</v>
      </c>
      <c r="F12294" t="s">
        <v>30052</v>
      </c>
      <c r="G12294" t="s">
        <v>30058</v>
      </c>
      <c r="H12294" t="s">
        <v>30067</v>
      </c>
      <c r="I12294" t="s">
        <v>3693</v>
      </c>
      <c r="J12294" t="s">
        <v>37665</v>
      </c>
      <c r="K12294" t="s">
        <v>39046</v>
      </c>
      <c r="M12294" t="s">
        <v>42845</v>
      </c>
      <c r="N12294" t="s">
        <v>43166</v>
      </c>
      <c r="O12294" t="s">
        <v>43167</v>
      </c>
      <c r="Q12294">
        <v>0</v>
      </c>
      <c r="R12294" t="s">
        <v>43184</v>
      </c>
      <c r="S12294" t="s">
        <v>43911</v>
      </c>
      <c r="T12294" t="s">
        <v>45129</v>
      </c>
      <c r="U12294" t="s">
        <v>54900</v>
      </c>
      <c r="V12294" t="s">
        <v>58232</v>
      </c>
      <c r="W12294" t="s">
        <v>42845</v>
      </c>
      <c r="X12294" t="s">
        <v>43185</v>
      </c>
    </row>
    <row r="12295" spans="1:24">
      <c r="A12295">
        <f>HYPERLINK("https://www.philgeps.gov.ph/GEPSNONPILOT/Tender/SplashBidNoticeAbstractUI.aspx?menuIndex=3&amp;refID=7056591&amp;Result=3","7056591")</f>
        <v>0</v>
      </c>
      <c r="B12295" t="s">
        <v>3240</v>
      </c>
      <c r="C12295" t="s">
        <v>15171</v>
      </c>
      <c r="D12295" t="s">
        <v>17427</v>
      </c>
      <c r="E12295" t="s">
        <v>25598</v>
      </c>
      <c r="F12295" t="s">
        <v>30052</v>
      </c>
      <c r="G12295" t="s">
        <v>30058</v>
      </c>
      <c r="H12295" t="s">
        <v>30067</v>
      </c>
      <c r="I12295" t="s">
        <v>3693</v>
      </c>
      <c r="J12295" t="s">
        <v>30215</v>
      </c>
      <c r="K12295" t="s">
        <v>39023</v>
      </c>
      <c r="M12295" t="s">
        <v>42865</v>
      </c>
      <c r="N12295" t="s">
        <v>43166</v>
      </c>
      <c r="O12295" t="s">
        <v>43167</v>
      </c>
      <c r="Q12295">
        <v>1</v>
      </c>
      <c r="R12295" t="s">
        <v>43184</v>
      </c>
      <c r="S12295" t="s">
        <v>43912</v>
      </c>
      <c r="T12295" t="s">
        <v>44795</v>
      </c>
      <c r="U12295" t="s">
        <v>54989</v>
      </c>
      <c r="W12295" t="s">
        <v>42865</v>
      </c>
      <c r="X12295" t="s">
        <v>43185</v>
      </c>
    </row>
    <row r="12296" spans="1:24">
      <c r="A12296">
        <f>HYPERLINK("https://www.philgeps.gov.ph/GEPSNONPILOT/Tender/SplashBidNoticeAbstractUI.aspx?menuIndex=3&amp;refID=7056575&amp;Result=3","7056575")</f>
        <v>0</v>
      </c>
      <c r="B12296" t="s">
        <v>3221</v>
      </c>
      <c r="C12296" t="s">
        <v>15172</v>
      </c>
      <c r="D12296" t="s">
        <v>17448</v>
      </c>
      <c r="E12296" t="s">
        <v>27910</v>
      </c>
      <c r="F12296" t="s">
        <v>30052</v>
      </c>
      <c r="G12296" t="s">
        <v>30058</v>
      </c>
      <c r="H12296" t="s">
        <v>30067</v>
      </c>
      <c r="I12296" t="s">
        <v>3693</v>
      </c>
      <c r="J12296" t="s">
        <v>37700</v>
      </c>
      <c r="K12296" t="s">
        <v>39046</v>
      </c>
      <c r="M12296" t="s">
        <v>42845</v>
      </c>
      <c r="N12296" t="s">
        <v>43166</v>
      </c>
      <c r="O12296" t="s">
        <v>43167</v>
      </c>
      <c r="Q12296">
        <v>0</v>
      </c>
      <c r="R12296" t="s">
        <v>43184</v>
      </c>
      <c r="S12296" t="s">
        <v>43910</v>
      </c>
      <c r="T12296" t="s">
        <v>45129</v>
      </c>
      <c r="U12296" t="s">
        <v>54900</v>
      </c>
      <c r="V12296" t="s">
        <v>58233</v>
      </c>
      <c r="W12296" t="s">
        <v>42845</v>
      </c>
      <c r="X12296" t="s">
        <v>43185</v>
      </c>
    </row>
    <row r="12297" spans="1:24">
      <c r="A12297">
        <f>HYPERLINK("https://www.philgeps.gov.ph/GEPSNONPILOT/Tender/SplashBidNoticeAbstractUI.aspx?menuIndex=3&amp;refID=7056539&amp;Result=3","7056539")</f>
        <v>0</v>
      </c>
      <c r="B12297" t="s">
        <v>2248</v>
      </c>
      <c r="C12297" t="s">
        <v>15173</v>
      </c>
      <c r="E12297" t="s">
        <v>28011</v>
      </c>
      <c r="F12297" t="s">
        <v>30052</v>
      </c>
      <c r="G12297" t="s">
        <v>30058</v>
      </c>
      <c r="H12297" t="s">
        <v>15498</v>
      </c>
      <c r="I12297" t="s">
        <v>30073</v>
      </c>
      <c r="J12297" t="s">
        <v>37701</v>
      </c>
      <c r="K12297" t="s">
        <v>39025</v>
      </c>
      <c r="M12297" t="s">
        <v>41726</v>
      </c>
      <c r="N12297" t="s">
        <v>43166</v>
      </c>
      <c r="O12297" t="s">
        <v>43167</v>
      </c>
      <c r="P12297">
        <v>0</v>
      </c>
      <c r="Q12297">
        <v>3</v>
      </c>
      <c r="R12297" t="s">
        <v>43184</v>
      </c>
      <c r="S12297" t="s">
        <v>43839</v>
      </c>
      <c r="T12297" t="s">
        <v>44734</v>
      </c>
      <c r="U12297" t="s">
        <v>54990</v>
      </c>
      <c r="W12297" t="s">
        <v>41726</v>
      </c>
      <c r="X12297" t="s">
        <v>43185</v>
      </c>
    </row>
    <row r="12298" spans="1:24">
      <c r="A12298">
        <f>HYPERLINK("https://www.philgeps.gov.ph/GEPSNONPILOT/Tender/SplashBidNoticeAbstractUI.aspx?menuIndex=3&amp;refID=7056545&amp;Result=3","7056545")</f>
        <v>0</v>
      </c>
      <c r="B12298" t="s">
        <v>3233</v>
      </c>
      <c r="C12298" t="s">
        <v>15174</v>
      </c>
      <c r="D12298" t="s">
        <v>17466</v>
      </c>
      <c r="E12298" t="s">
        <v>25270</v>
      </c>
      <c r="F12298" t="s">
        <v>30052</v>
      </c>
      <c r="G12298" t="s">
        <v>30058</v>
      </c>
      <c r="H12298" t="s">
        <v>15498</v>
      </c>
      <c r="I12298" t="s">
        <v>30070</v>
      </c>
      <c r="J12298" t="s">
        <v>30333</v>
      </c>
      <c r="K12298" t="s">
        <v>39039</v>
      </c>
      <c r="M12298" t="s">
        <v>42859</v>
      </c>
      <c r="N12298" t="s">
        <v>43166</v>
      </c>
      <c r="O12298" t="s">
        <v>43167</v>
      </c>
      <c r="P12298">
        <v>0</v>
      </c>
      <c r="Q12298">
        <v>3</v>
      </c>
      <c r="R12298" t="s">
        <v>43184</v>
      </c>
      <c r="S12298" t="s">
        <v>43839</v>
      </c>
      <c r="T12298" t="s">
        <v>44681</v>
      </c>
      <c r="U12298" t="s">
        <v>54991</v>
      </c>
      <c r="W12298" t="s">
        <v>42859</v>
      </c>
      <c r="X12298" t="s">
        <v>43185</v>
      </c>
    </row>
    <row r="12299" spans="1:24">
      <c r="A12299">
        <f>HYPERLINK("https://www.philgeps.gov.ph/GEPSNONPILOT/Tender/SplashBidNoticeAbstractUI.aspx?menuIndex=3&amp;refID=7057361&amp;Result=3","7057361")</f>
        <v>0</v>
      </c>
      <c r="B12299" t="s">
        <v>3239</v>
      </c>
      <c r="C12299" t="s">
        <v>15175</v>
      </c>
      <c r="D12299" t="s">
        <v>17414</v>
      </c>
      <c r="E12299" t="s">
        <v>28012</v>
      </c>
      <c r="F12299" t="s">
        <v>30052</v>
      </c>
      <c r="G12299" t="s">
        <v>30058</v>
      </c>
      <c r="H12299" t="s">
        <v>30067</v>
      </c>
      <c r="I12299" t="s">
        <v>3693</v>
      </c>
      <c r="J12299" t="s">
        <v>37702</v>
      </c>
      <c r="K12299" t="s">
        <v>39026</v>
      </c>
      <c r="M12299" t="s">
        <v>42866</v>
      </c>
      <c r="N12299" t="s">
        <v>43166</v>
      </c>
      <c r="O12299" t="s">
        <v>43167</v>
      </c>
      <c r="P12299">
        <v>0</v>
      </c>
      <c r="Q12299">
        <v>1</v>
      </c>
      <c r="R12299" t="s">
        <v>43184</v>
      </c>
      <c r="S12299" t="s">
        <v>43839</v>
      </c>
      <c r="T12299" t="s">
        <v>44856</v>
      </c>
      <c r="U12299" t="s">
        <v>54988</v>
      </c>
      <c r="W12299" t="s">
        <v>42866</v>
      </c>
      <c r="X12299" t="s">
        <v>43185</v>
      </c>
    </row>
    <row r="12300" spans="1:24">
      <c r="A12300">
        <f>HYPERLINK("https://www.philgeps.gov.ph/GEPSNONPILOT/Tender/SplashBidNoticeAbstractUI.aspx?menuIndex=3&amp;refID=7057351&amp;Result=3","7057351")</f>
        <v>0</v>
      </c>
      <c r="B12300" t="s">
        <v>2296</v>
      </c>
      <c r="C12300" t="s">
        <v>15176</v>
      </c>
      <c r="E12300" t="s">
        <v>28013</v>
      </c>
      <c r="F12300" t="s">
        <v>30052</v>
      </c>
      <c r="G12300" t="s">
        <v>30058</v>
      </c>
      <c r="H12300" t="s">
        <v>30067</v>
      </c>
      <c r="I12300" t="s">
        <v>3693</v>
      </c>
      <c r="J12300" t="s">
        <v>37356</v>
      </c>
      <c r="K12300" t="s">
        <v>39275</v>
      </c>
      <c r="M12300" t="s">
        <v>42297</v>
      </c>
      <c r="N12300" t="s">
        <v>43166</v>
      </c>
      <c r="O12300" t="s">
        <v>43167</v>
      </c>
      <c r="Q12300">
        <v>6</v>
      </c>
      <c r="R12300" t="s">
        <v>43184</v>
      </c>
      <c r="S12300" t="s">
        <v>43913</v>
      </c>
      <c r="T12300" t="s">
        <v>44681</v>
      </c>
      <c r="U12300" t="s">
        <v>54992</v>
      </c>
      <c r="W12300" t="s">
        <v>42297</v>
      </c>
      <c r="X12300" t="s">
        <v>43185</v>
      </c>
    </row>
    <row r="12301" spans="1:24">
      <c r="A12301">
        <f>HYPERLINK("https://www.philgeps.gov.ph/GEPSNONPILOT/Tender/SplashBidNoticeAbstractUI.aspx?menuIndex=3&amp;refID=7057282&amp;Result=3","7057282")</f>
        <v>0</v>
      </c>
      <c r="B12301" t="s">
        <v>790</v>
      </c>
      <c r="C12301" t="s">
        <v>15177</v>
      </c>
      <c r="D12301" t="s">
        <v>17421</v>
      </c>
      <c r="E12301" t="s">
        <v>28014</v>
      </c>
      <c r="F12301" t="s">
        <v>30052</v>
      </c>
      <c r="G12301" t="s">
        <v>30059</v>
      </c>
      <c r="H12301" t="s">
        <v>30067</v>
      </c>
      <c r="I12301" t="s">
        <v>30100</v>
      </c>
      <c r="J12301" t="s">
        <v>37703</v>
      </c>
      <c r="K12301" t="s">
        <v>39022</v>
      </c>
      <c r="L12301" t="s">
        <v>790</v>
      </c>
      <c r="M12301" t="s">
        <v>40107</v>
      </c>
      <c r="N12301" t="s">
        <v>43166</v>
      </c>
      <c r="O12301" t="s">
        <v>43167</v>
      </c>
      <c r="P12301">
        <v>0</v>
      </c>
      <c r="Q12301">
        <v>0</v>
      </c>
      <c r="R12301" t="s">
        <v>43184</v>
      </c>
      <c r="S12301" t="s">
        <v>43839</v>
      </c>
      <c r="T12301" t="s">
        <v>44832</v>
      </c>
      <c r="U12301" t="s">
        <v>54993</v>
      </c>
      <c r="V12301" t="s">
        <v>58234</v>
      </c>
      <c r="W12301" t="s">
        <v>40107</v>
      </c>
      <c r="X12301" t="s">
        <v>43185</v>
      </c>
    </row>
    <row r="12302" spans="1:24">
      <c r="A12302">
        <f>HYPERLINK("https://www.philgeps.gov.ph/GEPSNONPILOT/Tender/SplashBidNoticeAbstractUI.aspx?menuIndex=3&amp;refID=7057350&amp;Result=3","7057350")</f>
        <v>0</v>
      </c>
      <c r="B12302" t="s">
        <v>2470</v>
      </c>
      <c r="C12302" t="s">
        <v>15178</v>
      </c>
      <c r="D12302" t="s">
        <v>17419</v>
      </c>
      <c r="E12302" t="s">
        <v>28015</v>
      </c>
      <c r="F12302" t="s">
        <v>30052</v>
      </c>
      <c r="G12302" t="s">
        <v>30058</v>
      </c>
      <c r="H12302" t="s">
        <v>15498</v>
      </c>
      <c r="I12302" t="s">
        <v>3736</v>
      </c>
      <c r="J12302" t="s">
        <v>37704</v>
      </c>
      <c r="K12302" t="s">
        <v>39017</v>
      </c>
      <c r="M12302" t="s">
        <v>41970</v>
      </c>
      <c r="N12302" t="s">
        <v>43166</v>
      </c>
      <c r="O12302" t="s">
        <v>43167</v>
      </c>
      <c r="P12302">
        <v>0</v>
      </c>
      <c r="Q12302">
        <v>0</v>
      </c>
      <c r="R12302" t="s">
        <v>43184</v>
      </c>
      <c r="S12302" t="s">
        <v>43839</v>
      </c>
      <c r="T12302" t="s">
        <v>44687</v>
      </c>
      <c r="U12302" t="s">
        <v>54994</v>
      </c>
      <c r="W12302" t="s">
        <v>41970</v>
      </c>
      <c r="X12302" t="s">
        <v>43185</v>
      </c>
    </row>
    <row r="12303" spans="1:24">
      <c r="A12303">
        <f>HYPERLINK("https://www.philgeps.gov.ph/GEPSNONPILOT/Tender/SplashBidNoticeAbstractUI.aspx?menuIndex=3&amp;refID=7057272&amp;Result=3","7057272")</f>
        <v>0</v>
      </c>
      <c r="B12303" t="s">
        <v>2470</v>
      </c>
      <c r="C12303" t="s">
        <v>15179</v>
      </c>
      <c r="D12303" t="s">
        <v>17419</v>
      </c>
      <c r="E12303" t="s">
        <v>28016</v>
      </c>
      <c r="F12303" t="s">
        <v>30052</v>
      </c>
      <c r="G12303" t="s">
        <v>30058</v>
      </c>
      <c r="H12303" t="s">
        <v>15498</v>
      </c>
      <c r="I12303" t="s">
        <v>3736</v>
      </c>
      <c r="J12303" t="s">
        <v>37705</v>
      </c>
      <c r="K12303" t="s">
        <v>39017</v>
      </c>
      <c r="M12303" t="s">
        <v>41970</v>
      </c>
      <c r="N12303" t="s">
        <v>43166</v>
      </c>
      <c r="O12303" t="s">
        <v>43167</v>
      </c>
      <c r="P12303">
        <v>0</v>
      </c>
      <c r="Q12303">
        <v>1</v>
      </c>
      <c r="R12303" t="s">
        <v>43184</v>
      </c>
      <c r="S12303" t="s">
        <v>43839</v>
      </c>
      <c r="T12303" t="s">
        <v>44687</v>
      </c>
      <c r="U12303" t="s">
        <v>54995</v>
      </c>
      <c r="W12303" t="s">
        <v>41970</v>
      </c>
      <c r="X12303" t="s">
        <v>43185</v>
      </c>
    </row>
    <row r="12304" spans="1:24">
      <c r="A12304">
        <f>HYPERLINK("https://www.philgeps.gov.ph/GEPSNONPILOT/Tender/SplashBidNoticeAbstractUI.aspx?menuIndex=3&amp;refID=7057236&amp;Result=3","7057236")</f>
        <v>0</v>
      </c>
      <c r="B12304" t="s">
        <v>3239</v>
      </c>
      <c r="C12304" t="s">
        <v>15180</v>
      </c>
      <c r="D12304" t="s">
        <v>17414</v>
      </c>
      <c r="E12304" t="s">
        <v>28017</v>
      </c>
      <c r="F12304" t="s">
        <v>30052</v>
      </c>
      <c r="G12304" t="s">
        <v>30058</v>
      </c>
      <c r="H12304" t="s">
        <v>30067</v>
      </c>
      <c r="I12304" t="s">
        <v>3693</v>
      </c>
      <c r="J12304" t="s">
        <v>37699</v>
      </c>
      <c r="K12304" t="s">
        <v>39026</v>
      </c>
      <c r="M12304" t="s">
        <v>42866</v>
      </c>
      <c r="N12304" t="s">
        <v>43166</v>
      </c>
      <c r="O12304" t="s">
        <v>43167</v>
      </c>
      <c r="P12304">
        <v>0</v>
      </c>
      <c r="Q12304">
        <v>1</v>
      </c>
      <c r="R12304" t="s">
        <v>43184</v>
      </c>
      <c r="S12304" t="s">
        <v>43839</v>
      </c>
      <c r="T12304" t="s">
        <v>44856</v>
      </c>
      <c r="U12304" t="s">
        <v>54988</v>
      </c>
      <c r="W12304" t="s">
        <v>42866</v>
      </c>
      <c r="X12304" t="s">
        <v>43185</v>
      </c>
    </row>
    <row r="12305" spans="1:24">
      <c r="A12305">
        <f>HYPERLINK("https://www.philgeps.gov.ph/GEPSNONPILOT/Tender/SplashBidNoticeAbstractUI.aspx?menuIndex=3&amp;refID=7057200&amp;Result=3","7057200")</f>
        <v>0</v>
      </c>
      <c r="B12305" t="s">
        <v>2470</v>
      </c>
      <c r="C12305" t="s">
        <v>15181</v>
      </c>
      <c r="D12305" t="s">
        <v>17419</v>
      </c>
      <c r="E12305" t="s">
        <v>28018</v>
      </c>
      <c r="F12305" t="s">
        <v>30052</v>
      </c>
      <c r="G12305" t="s">
        <v>30058</v>
      </c>
      <c r="H12305" t="s">
        <v>15498</v>
      </c>
      <c r="I12305" t="s">
        <v>3736</v>
      </c>
      <c r="J12305" t="s">
        <v>37706</v>
      </c>
      <c r="K12305" t="s">
        <v>39017</v>
      </c>
      <c r="M12305" t="s">
        <v>41970</v>
      </c>
      <c r="N12305" t="s">
        <v>43166</v>
      </c>
      <c r="O12305" t="s">
        <v>43167</v>
      </c>
      <c r="P12305">
        <v>0</v>
      </c>
      <c r="Q12305">
        <v>0</v>
      </c>
      <c r="R12305" t="s">
        <v>43184</v>
      </c>
      <c r="S12305" t="s">
        <v>43839</v>
      </c>
      <c r="T12305" t="s">
        <v>44687</v>
      </c>
      <c r="U12305" t="s">
        <v>54996</v>
      </c>
      <c r="W12305" t="s">
        <v>41970</v>
      </c>
      <c r="X12305" t="s">
        <v>43185</v>
      </c>
    </row>
    <row r="12306" spans="1:24">
      <c r="A12306">
        <f>HYPERLINK("https://www.philgeps.gov.ph/GEPSNONPILOT/Tender/SplashBidNoticeAbstractUI.aspx?menuIndex=3&amp;refID=7057199&amp;Result=3","7057199")</f>
        <v>0</v>
      </c>
      <c r="B12306" t="s">
        <v>1449</v>
      </c>
      <c r="C12306" t="s">
        <v>15182</v>
      </c>
      <c r="D12306" t="s">
        <v>17473</v>
      </c>
      <c r="E12306" t="s">
        <v>18952</v>
      </c>
      <c r="F12306" t="s">
        <v>30052</v>
      </c>
      <c r="G12306" t="s">
        <v>30058</v>
      </c>
      <c r="H12306" t="s">
        <v>15498</v>
      </c>
      <c r="I12306" t="s">
        <v>30074</v>
      </c>
      <c r="J12306" t="s">
        <v>32072</v>
      </c>
      <c r="K12306" t="s">
        <v>39034</v>
      </c>
      <c r="M12306" t="s">
        <v>40828</v>
      </c>
      <c r="N12306" t="s">
        <v>43166</v>
      </c>
      <c r="O12306" t="s">
        <v>43167</v>
      </c>
      <c r="P12306">
        <v>0</v>
      </c>
      <c r="Q12306">
        <v>3</v>
      </c>
      <c r="R12306" t="s">
        <v>43184</v>
      </c>
      <c r="S12306" t="s">
        <v>43839</v>
      </c>
      <c r="T12306" t="s">
        <v>44696</v>
      </c>
      <c r="U12306" t="s">
        <v>54997</v>
      </c>
      <c r="V12306" t="s">
        <v>58235</v>
      </c>
      <c r="W12306" t="s">
        <v>40828</v>
      </c>
      <c r="X12306" t="s">
        <v>43185</v>
      </c>
    </row>
    <row r="12307" spans="1:24">
      <c r="A12307">
        <f>HYPERLINK("https://www.philgeps.gov.ph/GEPSNONPILOT/Tender/SplashBidNoticeAbstractUI.aspx?menuIndex=3&amp;refID=7057181&amp;Result=3","7057181")</f>
        <v>0</v>
      </c>
      <c r="B12307" t="s">
        <v>3241</v>
      </c>
      <c r="C12307" t="s">
        <v>15183</v>
      </c>
      <c r="D12307" t="s">
        <v>17459</v>
      </c>
      <c r="E12307" t="s">
        <v>28019</v>
      </c>
      <c r="F12307" t="s">
        <v>30052</v>
      </c>
      <c r="G12307" t="s">
        <v>30058</v>
      </c>
      <c r="H12307" t="s">
        <v>15498</v>
      </c>
      <c r="I12307" t="s">
        <v>30084</v>
      </c>
      <c r="J12307" t="s">
        <v>33440</v>
      </c>
      <c r="K12307" t="s">
        <v>39029</v>
      </c>
      <c r="M12307" t="s">
        <v>42867</v>
      </c>
      <c r="N12307" t="s">
        <v>43166</v>
      </c>
      <c r="O12307" t="s">
        <v>43167</v>
      </c>
      <c r="P12307">
        <v>0</v>
      </c>
      <c r="Q12307">
        <v>7</v>
      </c>
      <c r="R12307" t="s">
        <v>43184</v>
      </c>
      <c r="S12307" t="s">
        <v>43839</v>
      </c>
      <c r="T12307" t="s">
        <v>44733</v>
      </c>
      <c r="U12307" t="s">
        <v>54998</v>
      </c>
      <c r="W12307" t="s">
        <v>42867</v>
      </c>
      <c r="X12307" t="s">
        <v>43185</v>
      </c>
    </row>
    <row r="12308" spans="1:24">
      <c r="A12308">
        <f>HYPERLINK("https://www.philgeps.gov.ph/GEPSNONPILOT/Tender/SplashBidNoticeAbstractUI.aspx?menuIndex=3&amp;refID=7057173&amp;Result=3","7057173")</f>
        <v>0</v>
      </c>
      <c r="B12308" t="s">
        <v>790</v>
      </c>
      <c r="C12308" t="s">
        <v>15184</v>
      </c>
      <c r="D12308" t="s">
        <v>17421</v>
      </c>
      <c r="E12308" t="s">
        <v>28020</v>
      </c>
      <c r="F12308" t="s">
        <v>30052</v>
      </c>
      <c r="G12308" t="s">
        <v>30058</v>
      </c>
      <c r="H12308" t="s">
        <v>15498</v>
      </c>
      <c r="I12308" t="s">
        <v>3736</v>
      </c>
      <c r="J12308" t="s">
        <v>37707</v>
      </c>
      <c r="K12308" t="s">
        <v>39034</v>
      </c>
      <c r="L12308" t="s">
        <v>790</v>
      </c>
      <c r="M12308" t="s">
        <v>40107</v>
      </c>
      <c r="N12308" t="s">
        <v>43166</v>
      </c>
      <c r="O12308" t="s">
        <v>43167</v>
      </c>
      <c r="P12308">
        <v>0</v>
      </c>
      <c r="Q12308">
        <v>0</v>
      </c>
      <c r="R12308" t="s">
        <v>43184</v>
      </c>
      <c r="S12308" t="s">
        <v>43839</v>
      </c>
      <c r="T12308" t="s">
        <v>44832</v>
      </c>
      <c r="U12308" t="s">
        <v>46747</v>
      </c>
      <c r="V12308" t="s">
        <v>58236</v>
      </c>
      <c r="W12308" t="s">
        <v>40107</v>
      </c>
      <c r="X12308" t="s">
        <v>43185</v>
      </c>
    </row>
    <row r="12309" spans="1:24">
      <c r="A12309">
        <f>HYPERLINK("https://www.philgeps.gov.ph/GEPSNONPILOT/Tender/SplashBidNoticeAbstractUI.aspx?menuIndex=3&amp;refID=7057128&amp;Result=3","7057128")</f>
        <v>0</v>
      </c>
      <c r="B12309" t="s">
        <v>3239</v>
      </c>
      <c r="C12309" t="s">
        <v>15185</v>
      </c>
      <c r="D12309" t="s">
        <v>17414</v>
      </c>
      <c r="E12309" t="s">
        <v>28021</v>
      </c>
      <c r="F12309" t="s">
        <v>30052</v>
      </c>
      <c r="G12309" t="s">
        <v>30058</v>
      </c>
      <c r="H12309" t="s">
        <v>30067</v>
      </c>
      <c r="I12309" t="s">
        <v>3693</v>
      </c>
      <c r="J12309" t="s">
        <v>37708</v>
      </c>
      <c r="K12309" t="s">
        <v>39026</v>
      </c>
      <c r="M12309" t="s">
        <v>42866</v>
      </c>
      <c r="N12309" t="s">
        <v>43166</v>
      </c>
      <c r="O12309" t="s">
        <v>43167</v>
      </c>
      <c r="P12309">
        <v>0</v>
      </c>
      <c r="Q12309">
        <v>1</v>
      </c>
      <c r="R12309" t="s">
        <v>43184</v>
      </c>
      <c r="S12309" t="s">
        <v>43839</v>
      </c>
      <c r="T12309" t="s">
        <v>44856</v>
      </c>
      <c r="U12309" t="s">
        <v>54999</v>
      </c>
      <c r="W12309" t="s">
        <v>42866</v>
      </c>
      <c r="X12309" t="s">
        <v>43185</v>
      </c>
    </row>
    <row r="12310" spans="1:24">
      <c r="A12310">
        <f>HYPERLINK("https://www.philgeps.gov.ph/GEPSNONPILOT/Tender/SplashBidNoticeAbstractUI.aspx?menuIndex=3&amp;refID=7057329&amp;Result=3","7057329")</f>
        <v>0</v>
      </c>
      <c r="B12310" t="s">
        <v>2296</v>
      </c>
      <c r="C12310" t="s">
        <v>15186</v>
      </c>
      <c r="E12310" t="s">
        <v>28022</v>
      </c>
      <c r="F12310" t="s">
        <v>30052</v>
      </c>
      <c r="G12310" t="s">
        <v>30058</v>
      </c>
      <c r="H12310" t="s">
        <v>30067</v>
      </c>
      <c r="I12310" t="s">
        <v>3693</v>
      </c>
      <c r="J12310" t="s">
        <v>37709</v>
      </c>
      <c r="K12310" t="s">
        <v>39276</v>
      </c>
      <c r="M12310" t="s">
        <v>42297</v>
      </c>
      <c r="N12310" t="s">
        <v>43166</v>
      </c>
      <c r="O12310" t="s">
        <v>43167</v>
      </c>
      <c r="Q12310">
        <v>10</v>
      </c>
      <c r="R12310" t="s">
        <v>43184</v>
      </c>
      <c r="S12310" t="s">
        <v>43914</v>
      </c>
      <c r="T12310" t="s">
        <v>44681</v>
      </c>
      <c r="U12310" t="s">
        <v>55000</v>
      </c>
      <c r="W12310" t="s">
        <v>42297</v>
      </c>
      <c r="X12310" t="s">
        <v>43185</v>
      </c>
    </row>
    <row r="12311" spans="1:24">
      <c r="A12311">
        <f>HYPERLINK("https://www.philgeps.gov.ph/GEPSNONPILOT/Tender/SplashBidNoticeAbstractUI.aspx?menuIndex=3&amp;refID=7057250&amp;Result=3","7057250")</f>
        <v>0</v>
      </c>
      <c r="B12311" t="s">
        <v>2555</v>
      </c>
      <c r="C12311" t="s">
        <v>15187</v>
      </c>
      <c r="D12311" t="s">
        <v>17435</v>
      </c>
      <c r="E12311" t="s">
        <v>28023</v>
      </c>
      <c r="F12311" t="s">
        <v>30052</v>
      </c>
      <c r="G12311" t="s">
        <v>30058</v>
      </c>
      <c r="H12311" t="s">
        <v>15498</v>
      </c>
      <c r="I12311" t="s">
        <v>4119</v>
      </c>
      <c r="J12311" t="s">
        <v>37710</v>
      </c>
      <c r="K12311" t="s">
        <v>39019</v>
      </c>
      <c r="M12311" t="s">
        <v>42062</v>
      </c>
      <c r="N12311" t="s">
        <v>43166</v>
      </c>
      <c r="O12311" t="s">
        <v>43167</v>
      </c>
      <c r="P12311">
        <v>0</v>
      </c>
      <c r="Q12311">
        <v>3</v>
      </c>
      <c r="R12311" t="s">
        <v>43184</v>
      </c>
      <c r="S12311" t="s">
        <v>43839</v>
      </c>
      <c r="T12311" t="s">
        <v>44797</v>
      </c>
      <c r="U12311" t="s">
        <v>54982</v>
      </c>
      <c r="W12311" t="s">
        <v>42062</v>
      </c>
      <c r="X12311" t="s">
        <v>43185</v>
      </c>
    </row>
    <row r="12312" spans="1:24">
      <c r="A12312">
        <f>HYPERLINK("https://www.philgeps.gov.ph/GEPSNONPILOT/Tender/SplashBidNoticeAbstractUI.aspx?menuIndex=3&amp;refID=7057676&amp;Result=3","7057676")</f>
        <v>0</v>
      </c>
      <c r="B12312" t="s">
        <v>1551</v>
      </c>
      <c r="C12312" t="s">
        <v>15188</v>
      </c>
      <c r="D12312" t="s">
        <v>17442</v>
      </c>
      <c r="E12312" t="s">
        <v>28024</v>
      </c>
      <c r="F12312" t="s">
        <v>30052</v>
      </c>
      <c r="G12312" t="s">
        <v>30058</v>
      </c>
      <c r="H12312" t="s">
        <v>30067</v>
      </c>
      <c r="I12312" t="s">
        <v>3693</v>
      </c>
      <c r="J12312" t="s">
        <v>32904</v>
      </c>
      <c r="K12312" t="s">
        <v>39225</v>
      </c>
      <c r="L12312" t="s">
        <v>1551</v>
      </c>
      <c r="M12312" t="s">
        <v>42868</v>
      </c>
      <c r="N12312" t="s">
        <v>43166</v>
      </c>
      <c r="O12312" t="s">
        <v>43167</v>
      </c>
      <c r="P12312">
        <v>0</v>
      </c>
      <c r="Q12312">
        <v>1</v>
      </c>
      <c r="R12312" t="s">
        <v>43184</v>
      </c>
      <c r="S12312" t="s">
        <v>43839</v>
      </c>
      <c r="T12312" t="s">
        <v>44710</v>
      </c>
      <c r="U12312" t="s">
        <v>55001</v>
      </c>
      <c r="W12312" t="s">
        <v>42868</v>
      </c>
      <c r="X12312" t="s">
        <v>43185</v>
      </c>
    </row>
    <row r="12313" spans="1:24">
      <c r="A12313">
        <f>HYPERLINK("https://www.philgeps.gov.ph/GEPSNONPILOT/Tender/SplashBidNoticeAbstractUI.aspx?menuIndex=3&amp;refID=7057706&amp;Result=3","7057706")</f>
        <v>0</v>
      </c>
      <c r="B12313" t="s">
        <v>3242</v>
      </c>
      <c r="C12313" t="s">
        <v>15189</v>
      </c>
      <c r="E12313" t="s">
        <v>28025</v>
      </c>
      <c r="F12313" t="s">
        <v>30052</v>
      </c>
      <c r="G12313" t="s">
        <v>30058</v>
      </c>
      <c r="H12313" t="s">
        <v>15498</v>
      </c>
      <c r="I12313" t="s">
        <v>30159</v>
      </c>
      <c r="J12313" t="s">
        <v>37711</v>
      </c>
      <c r="K12313" t="s">
        <v>39025</v>
      </c>
      <c r="M12313" t="s">
        <v>42869</v>
      </c>
      <c r="N12313" t="s">
        <v>43166</v>
      </c>
      <c r="O12313" t="s">
        <v>43167</v>
      </c>
      <c r="P12313">
        <v>0</v>
      </c>
      <c r="Q12313">
        <v>13</v>
      </c>
      <c r="R12313" t="s">
        <v>43184</v>
      </c>
      <c r="S12313" t="s">
        <v>43839</v>
      </c>
      <c r="T12313" t="s">
        <v>45166</v>
      </c>
      <c r="U12313" t="s">
        <v>55002</v>
      </c>
      <c r="W12313" t="s">
        <v>42869</v>
      </c>
      <c r="X12313" t="s">
        <v>43185</v>
      </c>
    </row>
    <row r="12314" spans="1:24">
      <c r="A12314">
        <f>HYPERLINK("https://www.philgeps.gov.ph/GEPSNONPILOT/Tender/SplashBidNoticeAbstractUI.aspx?menuIndex=3&amp;refID=7057654&amp;Result=3","7057654")</f>
        <v>0</v>
      </c>
      <c r="B12314" t="s">
        <v>2648</v>
      </c>
      <c r="C12314" t="s">
        <v>15190</v>
      </c>
      <c r="D12314" t="s">
        <v>17415</v>
      </c>
      <c r="E12314" t="s">
        <v>28026</v>
      </c>
      <c r="F12314" t="s">
        <v>30052</v>
      </c>
      <c r="G12314" t="s">
        <v>30058</v>
      </c>
      <c r="H12314" t="s">
        <v>15498</v>
      </c>
      <c r="I12314" t="s">
        <v>30168</v>
      </c>
      <c r="J12314" t="s">
        <v>37712</v>
      </c>
      <c r="K12314" t="s">
        <v>39029</v>
      </c>
      <c r="M12314" t="s">
        <v>42166</v>
      </c>
      <c r="N12314" t="s">
        <v>43166</v>
      </c>
      <c r="O12314" t="s">
        <v>43167</v>
      </c>
      <c r="P12314">
        <v>0</v>
      </c>
      <c r="Q12314">
        <v>10</v>
      </c>
      <c r="R12314" t="s">
        <v>43184</v>
      </c>
      <c r="S12314" t="s">
        <v>43839</v>
      </c>
      <c r="T12314" t="s">
        <v>44804</v>
      </c>
      <c r="U12314" t="s">
        <v>55003</v>
      </c>
      <c r="W12314" t="s">
        <v>42166</v>
      </c>
      <c r="X12314" t="s">
        <v>43185</v>
      </c>
    </row>
    <row r="12315" spans="1:24">
      <c r="A12315">
        <f>HYPERLINK("https://www.philgeps.gov.ph/GEPSNONPILOT/Tender/SplashBidNoticeAbstractUI.aspx?menuIndex=3&amp;refID=7056839&amp;Result=3","7056839")</f>
        <v>0</v>
      </c>
      <c r="B12315" t="s">
        <v>760</v>
      </c>
      <c r="C12315" t="s">
        <v>15191</v>
      </c>
      <c r="D12315" t="s">
        <v>17415</v>
      </c>
      <c r="E12315" t="s">
        <v>28027</v>
      </c>
      <c r="F12315" t="s">
        <v>30052</v>
      </c>
      <c r="G12315" t="s">
        <v>30058</v>
      </c>
      <c r="H12315" t="s">
        <v>30069</v>
      </c>
      <c r="I12315" t="s">
        <v>30100</v>
      </c>
      <c r="J12315" t="s">
        <v>30747</v>
      </c>
      <c r="K12315" t="s">
        <v>39196</v>
      </c>
      <c r="M12315" t="s">
        <v>40074</v>
      </c>
      <c r="N12315" t="s">
        <v>43166</v>
      </c>
      <c r="O12315" t="s">
        <v>43167</v>
      </c>
      <c r="Q12315">
        <v>0</v>
      </c>
      <c r="R12315" t="s">
        <v>43184</v>
      </c>
      <c r="S12315" t="s">
        <v>43915</v>
      </c>
      <c r="T12315" t="s">
        <v>44802</v>
      </c>
      <c r="U12315" t="s">
        <v>55004</v>
      </c>
      <c r="W12315" t="s">
        <v>40074</v>
      </c>
      <c r="X12315" t="s">
        <v>43185</v>
      </c>
    </row>
    <row r="12316" spans="1:24">
      <c r="A12316">
        <f>HYPERLINK("https://www.philgeps.gov.ph/GEPSNONPILOT/Tender/SplashBidNoticeAbstractUI.aspx?menuIndex=3&amp;refID=7057621&amp;Result=3","7057621")</f>
        <v>0</v>
      </c>
      <c r="B12316" t="s">
        <v>3140</v>
      </c>
      <c r="C12316" t="s">
        <v>15192</v>
      </c>
      <c r="D12316" t="s">
        <v>17423</v>
      </c>
      <c r="E12316" t="s">
        <v>28028</v>
      </c>
      <c r="F12316" t="s">
        <v>30052</v>
      </c>
      <c r="G12316" t="s">
        <v>30058</v>
      </c>
      <c r="H12316" t="s">
        <v>30067</v>
      </c>
      <c r="I12316" t="s">
        <v>3693</v>
      </c>
      <c r="J12316" t="s">
        <v>30440</v>
      </c>
      <c r="K12316" t="s">
        <v>39155</v>
      </c>
      <c r="M12316" t="s">
        <v>42743</v>
      </c>
      <c r="N12316" t="s">
        <v>43166</v>
      </c>
      <c r="O12316" t="s">
        <v>43167</v>
      </c>
      <c r="P12316">
        <v>0</v>
      </c>
      <c r="Q12316">
        <v>0</v>
      </c>
      <c r="R12316" t="s">
        <v>43184</v>
      </c>
      <c r="S12316" t="s">
        <v>43839</v>
      </c>
      <c r="T12316" t="s">
        <v>44787</v>
      </c>
      <c r="U12316" t="s">
        <v>55005</v>
      </c>
      <c r="V12316" t="s">
        <v>58237</v>
      </c>
      <c r="W12316" t="s">
        <v>42743</v>
      </c>
      <c r="X12316" t="s">
        <v>43185</v>
      </c>
    </row>
    <row r="12317" spans="1:24">
      <c r="A12317">
        <f>HYPERLINK("https://www.philgeps.gov.ph/GEPSNONPILOT/Tender/SplashBidNoticeAbstractUI.aspx?menuIndex=3&amp;refID=7057616&amp;Result=3","7057616")</f>
        <v>0</v>
      </c>
      <c r="B12317" t="s">
        <v>2939</v>
      </c>
      <c r="C12317" t="s">
        <v>15193</v>
      </c>
      <c r="D12317" t="s">
        <v>17426</v>
      </c>
      <c r="E12317" t="s">
        <v>28029</v>
      </c>
      <c r="F12317" t="s">
        <v>30052</v>
      </c>
      <c r="G12317" t="s">
        <v>30058</v>
      </c>
      <c r="H12317" t="s">
        <v>30067</v>
      </c>
      <c r="I12317" t="s">
        <v>3693</v>
      </c>
      <c r="J12317" t="s">
        <v>37713</v>
      </c>
      <c r="K12317" t="s">
        <v>39116</v>
      </c>
      <c r="M12317" t="s">
        <v>42503</v>
      </c>
      <c r="N12317" t="s">
        <v>43166</v>
      </c>
      <c r="O12317" t="s">
        <v>43167</v>
      </c>
      <c r="P12317">
        <v>0</v>
      </c>
      <c r="Q12317">
        <v>0</v>
      </c>
      <c r="R12317" t="s">
        <v>43184</v>
      </c>
      <c r="S12317" t="s">
        <v>43839</v>
      </c>
      <c r="T12317" t="s">
        <v>44758</v>
      </c>
      <c r="U12317" t="s">
        <v>55006</v>
      </c>
      <c r="W12317" t="s">
        <v>42503</v>
      </c>
      <c r="X12317" t="s">
        <v>43185</v>
      </c>
    </row>
    <row r="12318" spans="1:24">
      <c r="A12318">
        <f>HYPERLINK("https://www.philgeps.gov.ph/GEPSNONPILOT/Tender/SplashBidNoticeAbstractUI.aspx?menuIndex=3&amp;refID=7057582&amp;Result=3","7057582")</f>
        <v>0</v>
      </c>
      <c r="B12318" t="s">
        <v>2648</v>
      </c>
      <c r="C12318" t="s">
        <v>15194</v>
      </c>
      <c r="D12318" t="s">
        <v>17415</v>
      </c>
      <c r="E12318" t="s">
        <v>28030</v>
      </c>
      <c r="F12318" t="s">
        <v>30052</v>
      </c>
      <c r="G12318" t="s">
        <v>30058</v>
      </c>
      <c r="H12318" t="s">
        <v>15498</v>
      </c>
      <c r="I12318" t="s">
        <v>9238</v>
      </c>
      <c r="J12318" t="s">
        <v>30588</v>
      </c>
      <c r="K12318" t="s">
        <v>39026</v>
      </c>
      <c r="M12318" t="s">
        <v>42166</v>
      </c>
      <c r="N12318" t="s">
        <v>43166</v>
      </c>
      <c r="O12318" t="s">
        <v>43167</v>
      </c>
      <c r="P12318">
        <v>0</v>
      </c>
      <c r="Q12318">
        <v>4</v>
      </c>
      <c r="R12318" t="s">
        <v>43184</v>
      </c>
      <c r="S12318" t="s">
        <v>43839</v>
      </c>
      <c r="T12318" t="s">
        <v>44681</v>
      </c>
      <c r="U12318" t="s">
        <v>55007</v>
      </c>
      <c r="W12318" t="s">
        <v>42166</v>
      </c>
      <c r="X12318" t="s">
        <v>43185</v>
      </c>
    </row>
    <row r="12319" spans="1:24">
      <c r="A12319">
        <f>HYPERLINK("https://www.philgeps.gov.ph/GEPSNONPILOT/Tender/SplashBidNoticeAbstractUI.aspx?menuIndex=3&amp;refID=7056838&amp;Result=3","7056838")</f>
        <v>0</v>
      </c>
      <c r="B12319" t="s">
        <v>3221</v>
      </c>
      <c r="C12319" t="s">
        <v>15195</v>
      </c>
      <c r="D12319" t="s">
        <v>17448</v>
      </c>
      <c r="E12319" t="s">
        <v>27910</v>
      </c>
      <c r="F12319" t="s">
        <v>30052</v>
      </c>
      <c r="G12319" t="s">
        <v>30058</v>
      </c>
      <c r="H12319" t="s">
        <v>30067</v>
      </c>
      <c r="I12319" t="s">
        <v>3693</v>
      </c>
      <c r="J12319" t="s">
        <v>31202</v>
      </c>
      <c r="K12319" t="s">
        <v>39022</v>
      </c>
      <c r="M12319" t="s">
        <v>42845</v>
      </c>
      <c r="N12319" t="s">
        <v>43166</v>
      </c>
      <c r="O12319" t="s">
        <v>43167</v>
      </c>
      <c r="Q12319">
        <v>0</v>
      </c>
      <c r="R12319" t="s">
        <v>43184</v>
      </c>
      <c r="S12319" t="s">
        <v>43916</v>
      </c>
      <c r="T12319" t="s">
        <v>45129</v>
      </c>
      <c r="U12319" t="s">
        <v>54900</v>
      </c>
      <c r="V12319" t="s">
        <v>58238</v>
      </c>
      <c r="W12319" t="s">
        <v>42845</v>
      </c>
      <c r="X12319" t="s">
        <v>43185</v>
      </c>
    </row>
    <row r="12320" spans="1:24">
      <c r="A12320">
        <f>HYPERLINK("https://www.philgeps.gov.ph/GEPSNONPILOT/Tender/SplashBidNoticeAbstractUI.aspx?menuIndex=3&amp;refID=7057613&amp;Result=3","7057613")</f>
        <v>0</v>
      </c>
      <c r="B12320" t="s">
        <v>995</v>
      </c>
      <c r="C12320" t="s">
        <v>15196</v>
      </c>
      <c r="D12320" t="s">
        <v>17441</v>
      </c>
      <c r="E12320" t="s">
        <v>28031</v>
      </c>
      <c r="F12320" t="s">
        <v>30052</v>
      </c>
      <c r="G12320" t="s">
        <v>30058</v>
      </c>
      <c r="H12320" t="s">
        <v>15498</v>
      </c>
      <c r="I12320" t="s">
        <v>30089</v>
      </c>
      <c r="J12320" t="s">
        <v>30555</v>
      </c>
      <c r="K12320" t="s">
        <v>39046</v>
      </c>
      <c r="M12320" t="s">
        <v>40322</v>
      </c>
      <c r="N12320" t="s">
        <v>43166</v>
      </c>
      <c r="O12320" t="s">
        <v>43167</v>
      </c>
      <c r="P12320">
        <v>0</v>
      </c>
      <c r="Q12320">
        <v>5</v>
      </c>
      <c r="R12320" t="s">
        <v>43184</v>
      </c>
      <c r="S12320" t="s">
        <v>43839</v>
      </c>
      <c r="T12320" t="s">
        <v>44718</v>
      </c>
      <c r="U12320" t="s">
        <v>55008</v>
      </c>
      <c r="V12320" t="s">
        <v>58239</v>
      </c>
      <c r="W12320" t="s">
        <v>40322</v>
      </c>
      <c r="X12320" t="s">
        <v>43185</v>
      </c>
    </row>
    <row r="12321" spans="1:24">
      <c r="A12321">
        <f>HYPERLINK("https://www.philgeps.gov.ph/GEPSNONPILOT/Tender/SplashBidNoticeAbstractUI.aspx?menuIndex=3&amp;refID=7057505&amp;Result=3","7057505")</f>
        <v>0</v>
      </c>
      <c r="B12321" t="s">
        <v>964</v>
      </c>
      <c r="C12321" t="s">
        <v>15197</v>
      </c>
      <c r="D12321" t="s">
        <v>17415</v>
      </c>
      <c r="E12321" t="s">
        <v>28032</v>
      </c>
      <c r="F12321" t="s">
        <v>30052</v>
      </c>
      <c r="G12321" t="s">
        <v>30058</v>
      </c>
      <c r="H12321" t="s">
        <v>30067</v>
      </c>
      <c r="I12321" t="s">
        <v>3693</v>
      </c>
      <c r="J12321" t="s">
        <v>37714</v>
      </c>
      <c r="K12321" t="s">
        <v>39177</v>
      </c>
      <c r="M12321" t="s">
        <v>42637</v>
      </c>
      <c r="N12321" t="s">
        <v>43166</v>
      </c>
      <c r="O12321" t="s">
        <v>43167</v>
      </c>
      <c r="Q12321">
        <v>11</v>
      </c>
      <c r="R12321" t="s">
        <v>43184</v>
      </c>
      <c r="S12321" t="s">
        <v>43917</v>
      </c>
      <c r="T12321" t="s">
        <v>44689</v>
      </c>
      <c r="U12321" t="s">
        <v>55009</v>
      </c>
      <c r="V12321" t="s">
        <v>57652</v>
      </c>
      <c r="W12321" t="s">
        <v>42637</v>
      </c>
      <c r="X12321" t="s">
        <v>43185</v>
      </c>
    </row>
    <row r="12322" spans="1:24">
      <c r="A12322">
        <f>HYPERLINK("https://www.philgeps.gov.ph/GEPSNONPILOT/Tender/SplashBidNoticeAbstractUI.aspx?menuIndex=3&amp;refID=7057808&amp;Result=3","7057808")</f>
        <v>0</v>
      </c>
      <c r="B12322" t="s">
        <v>2462</v>
      </c>
      <c r="C12322" t="s">
        <v>15198</v>
      </c>
      <c r="D12322" t="s">
        <v>17415</v>
      </c>
      <c r="E12322" t="s">
        <v>28033</v>
      </c>
      <c r="F12322" t="s">
        <v>30052</v>
      </c>
      <c r="G12322" t="s">
        <v>30058</v>
      </c>
      <c r="H12322" t="s">
        <v>30067</v>
      </c>
      <c r="I12322" t="s">
        <v>3693</v>
      </c>
      <c r="J12322" t="s">
        <v>37715</v>
      </c>
      <c r="K12322" t="s">
        <v>39190</v>
      </c>
      <c r="M12322" t="s">
        <v>42296</v>
      </c>
      <c r="N12322" t="s">
        <v>43166</v>
      </c>
      <c r="O12322" t="s">
        <v>43167</v>
      </c>
      <c r="P12322">
        <v>0</v>
      </c>
      <c r="Q12322">
        <v>52</v>
      </c>
      <c r="R12322" t="s">
        <v>43184</v>
      </c>
      <c r="S12322" t="s">
        <v>43839</v>
      </c>
      <c r="T12322" t="s">
        <v>44720</v>
      </c>
      <c r="U12322" t="s">
        <v>52735</v>
      </c>
      <c r="V12322" t="s">
        <v>58240</v>
      </c>
      <c r="W12322" t="s">
        <v>42296</v>
      </c>
      <c r="X12322" t="s">
        <v>43185</v>
      </c>
    </row>
    <row r="12323" spans="1:24">
      <c r="A12323">
        <f>HYPERLINK("https://www.philgeps.gov.ph/GEPSNONPILOT/Tender/SplashBidNoticeAbstractUI.aspx?menuIndex=3&amp;refID=7057518&amp;Result=3","7057518")</f>
        <v>0</v>
      </c>
      <c r="B12323" t="s">
        <v>2200</v>
      </c>
      <c r="C12323" t="s">
        <v>15199</v>
      </c>
      <c r="D12323" t="s">
        <v>17463</v>
      </c>
      <c r="E12323" t="s">
        <v>28034</v>
      </c>
      <c r="F12323" t="s">
        <v>30052</v>
      </c>
      <c r="G12323" t="s">
        <v>30058</v>
      </c>
      <c r="H12323" t="s">
        <v>15498</v>
      </c>
      <c r="I12323" t="s">
        <v>3736</v>
      </c>
      <c r="J12323" t="s">
        <v>37716</v>
      </c>
      <c r="K12323" t="s">
        <v>39037</v>
      </c>
      <c r="M12323" t="s">
        <v>42870</v>
      </c>
      <c r="N12323" t="s">
        <v>43166</v>
      </c>
      <c r="O12323" t="s">
        <v>43167</v>
      </c>
      <c r="P12323">
        <v>0</v>
      </c>
      <c r="Q12323">
        <v>2</v>
      </c>
      <c r="R12323" t="s">
        <v>43184</v>
      </c>
      <c r="S12323" t="s">
        <v>43839</v>
      </c>
      <c r="T12323" t="s">
        <v>44710</v>
      </c>
      <c r="U12323" t="s">
        <v>55010</v>
      </c>
      <c r="W12323" t="s">
        <v>42870</v>
      </c>
      <c r="X12323" t="s">
        <v>43185</v>
      </c>
    </row>
    <row r="12324" spans="1:24">
      <c r="A12324">
        <f>HYPERLINK("https://www.philgeps.gov.ph/GEPSNONPILOT/Tender/SplashBidNoticeAbstractUI.aspx?menuIndex=3&amp;refID=7057866&amp;Result=3","7057866")</f>
        <v>0</v>
      </c>
      <c r="B12324" t="s">
        <v>2065</v>
      </c>
      <c r="C12324" t="s">
        <v>15200</v>
      </c>
      <c r="D12324" t="s">
        <v>17422</v>
      </c>
      <c r="E12324" t="s">
        <v>28035</v>
      </c>
      <c r="F12324" t="s">
        <v>30052</v>
      </c>
      <c r="G12324" t="s">
        <v>30058</v>
      </c>
      <c r="H12324" t="s">
        <v>30067</v>
      </c>
      <c r="I12324" t="s">
        <v>3693</v>
      </c>
      <c r="J12324" t="s">
        <v>37717</v>
      </c>
      <c r="K12324" t="s">
        <v>39208</v>
      </c>
      <c r="M12324" t="s">
        <v>42871</v>
      </c>
      <c r="N12324" t="s">
        <v>43166</v>
      </c>
      <c r="O12324" t="s">
        <v>43167</v>
      </c>
      <c r="P12324">
        <v>0</v>
      </c>
      <c r="Q12324">
        <v>4</v>
      </c>
      <c r="R12324" t="s">
        <v>43184</v>
      </c>
      <c r="S12324" t="s">
        <v>43839</v>
      </c>
      <c r="T12324" t="s">
        <v>44698</v>
      </c>
      <c r="U12324" t="s">
        <v>55011</v>
      </c>
      <c r="V12324" t="s">
        <v>58241</v>
      </c>
      <c r="W12324" t="s">
        <v>42871</v>
      </c>
      <c r="X12324" t="s">
        <v>43185</v>
      </c>
    </row>
    <row r="12325" spans="1:24">
      <c r="A12325">
        <f>HYPERLINK("https://www.philgeps.gov.ph/GEPSNONPILOT/Tender/SplashBidNoticeAbstractUI.aspx?menuIndex=3&amp;refID=7057622&amp;Result=3","7057622")</f>
        <v>0</v>
      </c>
      <c r="B12325" t="s">
        <v>348</v>
      </c>
      <c r="C12325" t="s">
        <v>15201</v>
      </c>
      <c r="D12325" t="s">
        <v>17416</v>
      </c>
      <c r="E12325" t="s">
        <v>28036</v>
      </c>
      <c r="F12325" t="s">
        <v>30052</v>
      </c>
      <c r="G12325" t="s">
        <v>30058</v>
      </c>
      <c r="H12325" t="s">
        <v>30067</v>
      </c>
      <c r="I12325" t="s">
        <v>3693</v>
      </c>
      <c r="J12325" t="s">
        <v>37718</v>
      </c>
      <c r="K12325" t="s">
        <v>39057</v>
      </c>
      <c r="M12325" t="s">
        <v>39645</v>
      </c>
      <c r="N12325" t="s">
        <v>43166</v>
      </c>
      <c r="O12325" t="s">
        <v>43167</v>
      </c>
      <c r="P12325">
        <v>0</v>
      </c>
      <c r="Q12325">
        <v>1</v>
      </c>
      <c r="R12325" t="s">
        <v>43184</v>
      </c>
      <c r="S12325" t="s">
        <v>43839</v>
      </c>
      <c r="T12325" t="s">
        <v>44795</v>
      </c>
      <c r="U12325" t="s">
        <v>55012</v>
      </c>
      <c r="W12325" t="s">
        <v>39645</v>
      </c>
      <c r="X12325" t="s">
        <v>43185</v>
      </c>
    </row>
    <row r="12326" spans="1:24">
      <c r="A12326">
        <f>HYPERLINK("https://www.philgeps.gov.ph/GEPSNONPILOT/Tender/SplashBidNoticeAbstractUI.aspx?menuIndex=3&amp;refID=7057368&amp;Result=3","7057368")</f>
        <v>0</v>
      </c>
      <c r="B12326" t="s">
        <v>1531</v>
      </c>
      <c r="C12326" t="s">
        <v>15202</v>
      </c>
      <c r="D12326" t="s">
        <v>17446</v>
      </c>
      <c r="E12326" t="s">
        <v>28037</v>
      </c>
      <c r="F12326" t="s">
        <v>30052</v>
      </c>
      <c r="G12326" t="s">
        <v>30058</v>
      </c>
      <c r="H12326" t="s">
        <v>30067</v>
      </c>
      <c r="I12326" t="s">
        <v>3693</v>
      </c>
      <c r="J12326" t="s">
        <v>37719</v>
      </c>
      <c r="K12326" t="s">
        <v>39022</v>
      </c>
      <c r="M12326" t="s">
        <v>40917</v>
      </c>
      <c r="N12326" t="s">
        <v>43166</v>
      </c>
      <c r="O12326" t="s">
        <v>43167</v>
      </c>
      <c r="P12326">
        <v>0</v>
      </c>
      <c r="Q12326">
        <v>1</v>
      </c>
      <c r="R12326" t="s">
        <v>43184</v>
      </c>
      <c r="S12326" t="s">
        <v>43839</v>
      </c>
      <c r="T12326" t="s">
        <v>44710</v>
      </c>
      <c r="U12326" t="s">
        <v>53345</v>
      </c>
      <c r="W12326" t="s">
        <v>40917</v>
      </c>
      <c r="X12326" t="s">
        <v>43185</v>
      </c>
    </row>
    <row r="12327" spans="1:24">
      <c r="A12327">
        <f>HYPERLINK("https://www.philgeps.gov.ph/GEPSNONPILOT/Tender/SplashBidNoticeAbstractUI.aspx?menuIndex=3&amp;refID=7057701&amp;Result=3","7057701")</f>
        <v>0</v>
      </c>
      <c r="B12327" t="s">
        <v>988</v>
      </c>
      <c r="C12327" t="s">
        <v>15203</v>
      </c>
      <c r="D12327" t="s">
        <v>17437</v>
      </c>
      <c r="E12327" t="s">
        <v>17620</v>
      </c>
      <c r="F12327" t="s">
        <v>30052</v>
      </c>
      <c r="G12327" t="s">
        <v>30058</v>
      </c>
      <c r="H12327" t="s">
        <v>30067</v>
      </c>
      <c r="I12327" t="s">
        <v>30097</v>
      </c>
      <c r="J12327" t="s">
        <v>37720</v>
      </c>
      <c r="K12327" t="s">
        <v>39238</v>
      </c>
      <c r="M12327" t="s">
        <v>40315</v>
      </c>
      <c r="N12327" t="s">
        <v>43166</v>
      </c>
      <c r="O12327" t="s">
        <v>43167</v>
      </c>
      <c r="Q12327">
        <v>5</v>
      </c>
      <c r="R12327" t="s">
        <v>43184</v>
      </c>
      <c r="S12327" t="s">
        <v>43833</v>
      </c>
      <c r="T12327" t="s">
        <v>44685</v>
      </c>
      <c r="U12327" t="s">
        <v>55013</v>
      </c>
      <c r="W12327" t="s">
        <v>40315</v>
      </c>
      <c r="X12327" t="s">
        <v>43185</v>
      </c>
    </row>
    <row r="12328" spans="1:24">
      <c r="A12328">
        <f>HYPERLINK("https://www.philgeps.gov.ph/GEPSNONPILOT/Tender/SplashBidNoticeAbstractUI.aspx?menuIndex=3&amp;refID=7057811&amp;Result=3","7057811")</f>
        <v>0</v>
      </c>
      <c r="B12328" t="s">
        <v>2462</v>
      </c>
      <c r="C12328" t="s">
        <v>15204</v>
      </c>
      <c r="D12328" t="s">
        <v>17415</v>
      </c>
      <c r="E12328" t="s">
        <v>28038</v>
      </c>
      <c r="F12328" t="s">
        <v>30052</v>
      </c>
      <c r="G12328" t="s">
        <v>30058</v>
      </c>
      <c r="H12328" t="s">
        <v>30067</v>
      </c>
      <c r="I12328" t="s">
        <v>3693</v>
      </c>
      <c r="J12328" t="s">
        <v>37721</v>
      </c>
      <c r="K12328" t="s">
        <v>39092</v>
      </c>
      <c r="M12328" t="s">
        <v>42296</v>
      </c>
      <c r="N12328" t="s">
        <v>43166</v>
      </c>
      <c r="O12328" t="s">
        <v>43167</v>
      </c>
      <c r="P12328">
        <v>0</v>
      </c>
      <c r="Q12328">
        <v>52</v>
      </c>
      <c r="R12328" t="s">
        <v>43184</v>
      </c>
      <c r="S12328" t="s">
        <v>43839</v>
      </c>
      <c r="T12328" t="s">
        <v>44720</v>
      </c>
      <c r="U12328" t="s">
        <v>52735</v>
      </c>
      <c r="V12328" t="s">
        <v>58242</v>
      </c>
      <c r="W12328" t="s">
        <v>42296</v>
      </c>
      <c r="X12328" t="s">
        <v>43185</v>
      </c>
    </row>
    <row r="12329" spans="1:24">
      <c r="A12329">
        <f>HYPERLINK("https://www.philgeps.gov.ph/GEPSNONPILOT/Tender/SplashBidNoticeAbstractUI.aspx?menuIndex=3&amp;refID=7057690&amp;Result=3","7057690")</f>
        <v>0</v>
      </c>
      <c r="B12329" t="s">
        <v>3242</v>
      </c>
      <c r="C12329" t="s">
        <v>15205</v>
      </c>
      <c r="E12329" t="s">
        <v>28039</v>
      </c>
      <c r="F12329" t="s">
        <v>30052</v>
      </c>
      <c r="G12329" t="s">
        <v>30058</v>
      </c>
      <c r="H12329" t="s">
        <v>15498</v>
      </c>
      <c r="I12329" t="s">
        <v>30114</v>
      </c>
      <c r="J12329" t="s">
        <v>37722</v>
      </c>
      <c r="K12329" t="s">
        <v>39025</v>
      </c>
      <c r="M12329" t="s">
        <v>42869</v>
      </c>
      <c r="N12329" t="s">
        <v>43166</v>
      </c>
      <c r="O12329" t="s">
        <v>43167</v>
      </c>
      <c r="Q12329">
        <v>14</v>
      </c>
      <c r="R12329" t="s">
        <v>43184</v>
      </c>
      <c r="S12329" t="s">
        <v>43918</v>
      </c>
      <c r="T12329" t="s">
        <v>45166</v>
      </c>
      <c r="U12329" t="s">
        <v>55002</v>
      </c>
      <c r="W12329" t="s">
        <v>42869</v>
      </c>
      <c r="X12329" t="s">
        <v>43185</v>
      </c>
    </row>
    <row r="12330" spans="1:24">
      <c r="A12330">
        <f>HYPERLINK("https://www.philgeps.gov.ph/GEPSNONPILOT/Tender/SplashBidNoticeAbstractUI.aspx?menuIndex=3&amp;refID=7057837&amp;Result=3","7057837")</f>
        <v>0</v>
      </c>
      <c r="B12330" t="s">
        <v>977</v>
      </c>
      <c r="C12330" t="s">
        <v>15206</v>
      </c>
      <c r="D12330" t="s">
        <v>17484</v>
      </c>
      <c r="E12330" t="s">
        <v>28040</v>
      </c>
      <c r="F12330" t="s">
        <v>30052</v>
      </c>
      <c r="G12330" t="s">
        <v>30058</v>
      </c>
      <c r="H12330" t="s">
        <v>15498</v>
      </c>
      <c r="I12330" t="s">
        <v>30114</v>
      </c>
      <c r="J12330" t="s">
        <v>37723</v>
      </c>
      <c r="K12330" t="s">
        <v>39029</v>
      </c>
      <c r="M12330" t="s">
        <v>40304</v>
      </c>
      <c r="N12330" t="s">
        <v>43166</v>
      </c>
      <c r="O12330" t="s">
        <v>43167</v>
      </c>
      <c r="P12330">
        <v>0</v>
      </c>
      <c r="Q12330">
        <v>7</v>
      </c>
      <c r="R12330" t="s">
        <v>43184</v>
      </c>
      <c r="S12330" t="s">
        <v>43839</v>
      </c>
      <c r="T12330" t="s">
        <v>44689</v>
      </c>
      <c r="U12330" t="s">
        <v>55014</v>
      </c>
      <c r="W12330" t="s">
        <v>40304</v>
      </c>
      <c r="X12330" t="s">
        <v>43185</v>
      </c>
    </row>
    <row r="12331" spans="1:24">
      <c r="A12331">
        <f>HYPERLINK("https://www.philgeps.gov.ph/GEPSNONPILOT/Tender/SplashBidNoticeAbstractUI.aspx?menuIndex=3&amp;refID=7057841&amp;Result=3","7057841")</f>
        <v>0</v>
      </c>
      <c r="B12331" t="s">
        <v>977</v>
      </c>
      <c r="C12331" t="s">
        <v>15207</v>
      </c>
      <c r="D12331" t="s">
        <v>17484</v>
      </c>
      <c r="E12331" t="s">
        <v>28041</v>
      </c>
      <c r="F12331" t="s">
        <v>30052</v>
      </c>
      <c r="G12331" t="s">
        <v>30058</v>
      </c>
      <c r="H12331" t="s">
        <v>30067</v>
      </c>
      <c r="I12331" t="s">
        <v>3693</v>
      </c>
      <c r="J12331" t="s">
        <v>37724</v>
      </c>
      <c r="K12331" t="s">
        <v>39223</v>
      </c>
      <c r="M12331" t="s">
        <v>40304</v>
      </c>
      <c r="N12331" t="s">
        <v>43166</v>
      </c>
      <c r="O12331" t="s">
        <v>43167</v>
      </c>
      <c r="P12331">
        <v>0</v>
      </c>
      <c r="Q12331">
        <v>0</v>
      </c>
      <c r="R12331" t="s">
        <v>43184</v>
      </c>
      <c r="S12331" t="s">
        <v>43839</v>
      </c>
      <c r="T12331" t="s">
        <v>44689</v>
      </c>
      <c r="U12331" t="s">
        <v>55015</v>
      </c>
      <c r="W12331" t="s">
        <v>40304</v>
      </c>
      <c r="X12331" t="s">
        <v>43185</v>
      </c>
    </row>
    <row r="12332" spans="1:24">
      <c r="A12332">
        <f>HYPERLINK("https://www.philgeps.gov.ph/GEPSNONPILOT/Tender/SplashBidNoticeAbstractUI.aspx?menuIndex=3&amp;refID=7057861&amp;Result=3","7057861")</f>
        <v>0</v>
      </c>
      <c r="B12332" t="s">
        <v>509</v>
      </c>
      <c r="C12332" t="s">
        <v>15208</v>
      </c>
      <c r="D12332" t="s">
        <v>17415</v>
      </c>
      <c r="E12332" t="s">
        <v>28042</v>
      </c>
      <c r="F12332" t="s">
        <v>30052</v>
      </c>
      <c r="G12332" t="s">
        <v>30058</v>
      </c>
      <c r="H12332" t="s">
        <v>30067</v>
      </c>
      <c r="I12332" t="s">
        <v>3693</v>
      </c>
      <c r="J12332" t="s">
        <v>37725</v>
      </c>
      <c r="K12332" t="s">
        <v>39140</v>
      </c>
      <c r="M12332" t="s">
        <v>39810</v>
      </c>
      <c r="N12332" t="s">
        <v>43166</v>
      </c>
      <c r="O12332" t="s">
        <v>43167</v>
      </c>
      <c r="Q12332">
        <v>22</v>
      </c>
      <c r="R12332" t="s">
        <v>43184</v>
      </c>
      <c r="S12332" t="s">
        <v>43919</v>
      </c>
      <c r="T12332" t="s">
        <v>44698</v>
      </c>
      <c r="U12332" t="s">
        <v>50415</v>
      </c>
      <c r="W12332" t="s">
        <v>39810</v>
      </c>
      <c r="X12332" t="s">
        <v>43185</v>
      </c>
    </row>
    <row r="12333" spans="1:24">
      <c r="A12333">
        <f>HYPERLINK("https://www.philgeps.gov.ph/GEPSNONPILOT/Tender/SplashBidNoticeAbstractUI.aspx?menuIndex=3&amp;refID=7057806&amp;Result=3","7057806")</f>
        <v>0</v>
      </c>
      <c r="B12333" t="s">
        <v>1589</v>
      </c>
      <c r="C12333" t="s">
        <v>15209</v>
      </c>
      <c r="D12333" t="s">
        <v>17494</v>
      </c>
      <c r="E12333" t="s">
        <v>28043</v>
      </c>
      <c r="F12333" t="s">
        <v>30052</v>
      </c>
      <c r="G12333" t="s">
        <v>30058</v>
      </c>
      <c r="H12333" t="s">
        <v>30067</v>
      </c>
      <c r="I12333" t="s">
        <v>3693</v>
      </c>
      <c r="J12333" t="s">
        <v>30281</v>
      </c>
      <c r="K12333" t="s">
        <v>39198</v>
      </c>
      <c r="M12333" t="s">
        <v>40982</v>
      </c>
      <c r="N12333" t="s">
        <v>43166</v>
      </c>
      <c r="O12333" t="s">
        <v>43167</v>
      </c>
      <c r="P12333">
        <v>0</v>
      </c>
      <c r="Q12333">
        <v>0</v>
      </c>
      <c r="R12333" t="s">
        <v>43184</v>
      </c>
      <c r="S12333" t="s">
        <v>43839</v>
      </c>
      <c r="T12333" t="s">
        <v>44753</v>
      </c>
      <c r="U12333" t="s">
        <v>55016</v>
      </c>
      <c r="W12333" t="s">
        <v>40982</v>
      </c>
      <c r="X12333" t="s">
        <v>43185</v>
      </c>
    </row>
    <row r="12334" spans="1:24">
      <c r="A12334">
        <f>HYPERLINK("https://www.philgeps.gov.ph/GEPSNONPILOT/Tender/SplashBidNoticeAbstractUI.aspx?menuIndex=3&amp;refID=7057864&amp;Result=3","7057864")</f>
        <v>0</v>
      </c>
      <c r="B12334" t="s">
        <v>2065</v>
      </c>
      <c r="C12334" t="s">
        <v>15210</v>
      </c>
      <c r="D12334" t="s">
        <v>17422</v>
      </c>
      <c r="E12334" t="s">
        <v>28044</v>
      </c>
      <c r="F12334" t="s">
        <v>30052</v>
      </c>
      <c r="G12334" t="s">
        <v>30058</v>
      </c>
      <c r="H12334" t="s">
        <v>30067</v>
      </c>
      <c r="I12334" t="s">
        <v>3693</v>
      </c>
      <c r="J12334" t="s">
        <v>30873</v>
      </c>
      <c r="K12334" t="s">
        <v>39085</v>
      </c>
      <c r="M12334" t="s">
        <v>42871</v>
      </c>
      <c r="N12334" t="s">
        <v>43166</v>
      </c>
      <c r="O12334" t="s">
        <v>43167</v>
      </c>
      <c r="P12334">
        <v>0</v>
      </c>
      <c r="Q12334">
        <v>6</v>
      </c>
      <c r="R12334" t="s">
        <v>43184</v>
      </c>
      <c r="S12334" t="s">
        <v>43839</v>
      </c>
      <c r="T12334" t="s">
        <v>44698</v>
      </c>
      <c r="U12334" t="s">
        <v>55011</v>
      </c>
      <c r="V12334" t="s">
        <v>58243</v>
      </c>
      <c r="W12334" t="s">
        <v>42871</v>
      </c>
      <c r="X12334" t="s">
        <v>43185</v>
      </c>
    </row>
    <row r="12335" spans="1:24">
      <c r="A12335">
        <f>HYPERLINK("https://www.philgeps.gov.ph/GEPSNONPILOT/Tender/SplashBidNoticeAbstractUI.aspx?menuIndex=3&amp;refID=7057859&amp;Result=3","7057859")</f>
        <v>0</v>
      </c>
      <c r="B12335" t="s">
        <v>509</v>
      </c>
      <c r="C12335" t="s">
        <v>15211</v>
      </c>
      <c r="D12335" t="s">
        <v>17415</v>
      </c>
      <c r="E12335" t="s">
        <v>28045</v>
      </c>
      <c r="F12335" t="s">
        <v>30052</v>
      </c>
      <c r="G12335" t="s">
        <v>30058</v>
      </c>
      <c r="H12335" t="s">
        <v>30067</v>
      </c>
      <c r="I12335" t="s">
        <v>3693</v>
      </c>
      <c r="J12335" t="s">
        <v>37726</v>
      </c>
      <c r="K12335" t="s">
        <v>39057</v>
      </c>
      <c r="M12335" t="s">
        <v>39810</v>
      </c>
      <c r="N12335" t="s">
        <v>43166</v>
      </c>
      <c r="O12335" t="s">
        <v>43167</v>
      </c>
      <c r="Q12335">
        <v>28</v>
      </c>
      <c r="R12335" t="s">
        <v>43184</v>
      </c>
      <c r="S12335" t="s">
        <v>43920</v>
      </c>
      <c r="T12335" t="s">
        <v>44698</v>
      </c>
      <c r="U12335" t="s">
        <v>50415</v>
      </c>
      <c r="W12335" t="s">
        <v>39810</v>
      </c>
      <c r="X12335" t="s">
        <v>43185</v>
      </c>
    </row>
    <row r="12336" spans="1:24">
      <c r="A12336">
        <f>HYPERLINK("https://www.philgeps.gov.ph/GEPSNONPILOT/Tender/SplashBidNoticeAbstractUI.aspx?menuIndex=3&amp;refID=7057803&amp;Result=3","7057803")</f>
        <v>0</v>
      </c>
      <c r="B12336" t="s">
        <v>1589</v>
      </c>
      <c r="C12336" t="s">
        <v>15212</v>
      </c>
      <c r="D12336" t="s">
        <v>17494</v>
      </c>
      <c r="E12336" t="s">
        <v>28046</v>
      </c>
      <c r="F12336" t="s">
        <v>30052</v>
      </c>
      <c r="G12336" t="s">
        <v>30058</v>
      </c>
      <c r="H12336" t="s">
        <v>30067</v>
      </c>
      <c r="I12336" t="s">
        <v>3693</v>
      </c>
      <c r="J12336" t="s">
        <v>35210</v>
      </c>
      <c r="K12336" t="s">
        <v>39016</v>
      </c>
      <c r="M12336" t="s">
        <v>40982</v>
      </c>
      <c r="N12336" t="s">
        <v>43166</v>
      </c>
      <c r="O12336" t="s">
        <v>43167</v>
      </c>
      <c r="P12336">
        <v>0</v>
      </c>
      <c r="Q12336">
        <v>3</v>
      </c>
      <c r="R12336" t="s">
        <v>43184</v>
      </c>
      <c r="S12336" t="s">
        <v>43839</v>
      </c>
      <c r="T12336" t="s">
        <v>44753</v>
      </c>
      <c r="U12336" t="s">
        <v>55017</v>
      </c>
      <c r="W12336" t="s">
        <v>40982</v>
      </c>
      <c r="X12336" t="s">
        <v>43185</v>
      </c>
    </row>
    <row r="12337" spans="1:24">
      <c r="A12337">
        <f>HYPERLINK("https://www.philgeps.gov.ph/GEPSNONPILOT/Tender/SplashBidNoticeAbstractUI.aspx?menuIndex=3&amp;refID=7057802&amp;Result=3","7057802")</f>
        <v>0</v>
      </c>
      <c r="B12337" t="s">
        <v>2462</v>
      </c>
      <c r="C12337" t="s">
        <v>15213</v>
      </c>
      <c r="D12337" t="s">
        <v>17415</v>
      </c>
      <c r="E12337" t="s">
        <v>28047</v>
      </c>
      <c r="F12337" t="s">
        <v>30052</v>
      </c>
      <c r="G12337" t="s">
        <v>30058</v>
      </c>
      <c r="H12337" t="s">
        <v>30067</v>
      </c>
      <c r="I12337" t="s">
        <v>3693</v>
      </c>
      <c r="J12337" t="s">
        <v>37727</v>
      </c>
      <c r="K12337" t="s">
        <v>39092</v>
      </c>
      <c r="M12337" t="s">
        <v>42296</v>
      </c>
      <c r="N12337" t="s">
        <v>43166</v>
      </c>
      <c r="O12337" t="s">
        <v>43167</v>
      </c>
      <c r="P12337">
        <v>0</v>
      </c>
      <c r="Q12337">
        <v>59</v>
      </c>
      <c r="R12337" t="s">
        <v>43184</v>
      </c>
      <c r="S12337" t="s">
        <v>43839</v>
      </c>
      <c r="T12337" t="s">
        <v>44720</v>
      </c>
      <c r="U12337" t="s">
        <v>52735</v>
      </c>
      <c r="V12337" t="s">
        <v>58244</v>
      </c>
      <c r="W12337" t="s">
        <v>42296</v>
      </c>
      <c r="X12337" t="s">
        <v>43185</v>
      </c>
    </row>
    <row r="12338" spans="1:24">
      <c r="A12338">
        <f>HYPERLINK("https://www.philgeps.gov.ph/GEPSNONPILOT/Tender/SplashBidNoticeAbstractUI.aspx?menuIndex=3&amp;refID=7057223&amp;Result=3","7057223")</f>
        <v>0</v>
      </c>
      <c r="B12338" t="s">
        <v>1920</v>
      </c>
      <c r="C12338" t="s">
        <v>15214</v>
      </c>
      <c r="D12338" t="s">
        <v>17476</v>
      </c>
      <c r="E12338" t="s">
        <v>15214</v>
      </c>
      <c r="F12338" t="s">
        <v>30052</v>
      </c>
      <c r="G12338" t="s">
        <v>30058</v>
      </c>
      <c r="H12338" t="s">
        <v>30067</v>
      </c>
      <c r="I12338" t="s">
        <v>3693</v>
      </c>
      <c r="J12338" t="s">
        <v>37728</v>
      </c>
      <c r="K12338" t="s">
        <v>39026</v>
      </c>
      <c r="M12338" t="s">
        <v>41352</v>
      </c>
      <c r="N12338" t="s">
        <v>43166</v>
      </c>
      <c r="O12338" t="s">
        <v>43167</v>
      </c>
      <c r="Q12338">
        <v>1</v>
      </c>
      <c r="R12338" t="s">
        <v>43184</v>
      </c>
      <c r="S12338" t="s">
        <v>43921</v>
      </c>
      <c r="T12338" t="s">
        <v>44969</v>
      </c>
      <c r="U12338" t="s">
        <v>55018</v>
      </c>
      <c r="W12338" t="s">
        <v>41352</v>
      </c>
      <c r="X12338" t="s">
        <v>43185</v>
      </c>
    </row>
    <row r="12339" spans="1:24">
      <c r="A12339">
        <f>HYPERLINK("https://www.philgeps.gov.ph/GEPSNONPILOT/Tender/SplashBidNoticeAbstractUI.aspx?menuIndex=3&amp;refID=7057789&amp;Result=3","7057789")</f>
        <v>0</v>
      </c>
      <c r="B12339" t="s">
        <v>1589</v>
      </c>
      <c r="C12339" t="s">
        <v>15215</v>
      </c>
      <c r="D12339" t="s">
        <v>17494</v>
      </c>
      <c r="E12339" t="s">
        <v>28048</v>
      </c>
      <c r="F12339" t="s">
        <v>30052</v>
      </c>
      <c r="G12339" t="s">
        <v>30058</v>
      </c>
      <c r="H12339" t="s">
        <v>30067</v>
      </c>
      <c r="I12339" t="s">
        <v>3693</v>
      </c>
      <c r="J12339" t="s">
        <v>35210</v>
      </c>
      <c r="K12339" t="s">
        <v>39016</v>
      </c>
      <c r="M12339" t="s">
        <v>40982</v>
      </c>
      <c r="N12339" t="s">
        <v>43166</v>
      </c>
      <c r="O12339" t="s">
        <v>43167</v>
      </c>
      <c r="P12339">
        <v>0</v>
      </c>
      <c r="Q12339">
        <v>2</v>
      </c>
      <c r="R12339" t="s">
        <v>43184</v>
      </c>
      <c r="S12339" t="s">
        <v>43839</v>
      </c>
      <c r="T12339" t="s">
        <v>44753</v>
      </c>
      <c r="U12339" t="s">
        <v>55019</v>
      </c>
      <c r="W12339" t="s">
        <v>40982</v>
      </c>
      <c r="X12339" t="s">
        <v>43185</v>
      </c>
    </row>
    <row r="12340" spans="1:24">
      <c r="A12340">
        <f>HYPERLINK("https://www.philgeps.gov.ph/GEPSNONPILOT/Tender/SplashBidNoticeAbstractUI.aspx?menuIndex=3&amp;refID=7057971&amp;Result=3","7057971")</f>
        <v>0</v>
      </c>
      <c r="B12340" t="s">
        <v>1646</v>
      </c>
      <c r="C12340" t="s">
        <v>15216</v>
      </c>
      <c r="E12340" t="s">
        <v>28049</v>
      </c>
      <c r="F12340" t="s">
        <v>30052</v>
      </c>
      <c r="G12340" t="s">
        <v>30059</v>
      </c>
      <c r="H12340" t="s">
        <v>15498</v>
      </c>
      <c r="I12340" t="s">
        <v>9238</v>
      </c>
      <c r="J12340" t="s">
        <v>33375</v>
      </c>
      <c r="K12340" t="s">
        <v>39025</v>
      </c>
      <c r="M12340" t="s">
        <v>42872</v>
      </c>
      <c r="N12340" t="s">
        <v>43166</v>
      </c>
      <c r="O12340" t="s">
        <v>43167</v>
      </c>
      <c r="Q12340">
        <v>18</v>
      </c>
      <c r="R12340" t="s">
        <v>43184</v>
      </c>
      <c r="S12340" t="s">
        <v>43922</v>
      </c>
      <c r="T12340" t="s">
        <v>44862</v>
      </c>
      <c r="U12340" t="s">
        <v>55020</v>
      </c>
      <c r="W12340" t="s">
        <v>42872</v>
      </c>
      <c r="X12340" t="s">
        <v>43185</v>
      </c>
    </row>
    <row r="12341" spans="1:24">
      <c r="A12341">
        <f>HYPERLINK("https://www.philgeps.gov.ph/GEPSNONPILOT/Tender/SplashBidNoticeAbstractUI.aspx?menuIndex=3&amp;refID=7057969&amp;Result=3","7057969")</f>
        <v>0</v>
      </c>
      <c r="B12341" t="s">
        <v>3213</v>
      </c>
      <c r="C12341" t="s">
        <v>15217</v>
      </c>
      <c r="D12341" t="s">
        <v>17476</v>
      </c>
      <c r="E12341" t="s">
        <v>28050</v>
      </c>
      <c r="F12341" t="s">
        <v>30052</v>
      </c>
      <c r="G12341" t="s">
        <v>30058</v>
      </c>
      <c r="H12341" t="s">
        <v>30067</v>
      </c>
      <c r="I12341" t="s">
        <v>3693</v>
      </c>
      <c r="J12341" t="s">
        <v>37729</v>
      </c>
      <c r="K12341" t="s">
        <v>39029</v>
      </c>
      <c r="M12341" t="s">
        <v>42836</v>
      </c>
      <c r="N12341" t="s">
        <v>43166</v>
      </c>
      <c r="O12341" t="s">
        <v>43167</v>
      </c>
      <c r="P12341">
        <v>0</v>
      </c>
      <c r="Q12341">
        <v>0</v>
      </c>
      <c r="R12341" t="s">
        <v>43184</v>
      </c>
      <c r="S12341" t="s">
        <v>43839</v>
      </c>
      <c r="T12341" t="s">
        <v>44777</v>
      </c>
      <c r="U12341" t="s">
        <v>55021</v>
      </c>
      <c r="W12341" t="s">
        <v>42836</v>
      </c>
      <c r="X12341" t="s">
        <v>43185</v>
      </c>
    </row>
    <row r="12342" spans="1:24">
      <c r="A12342">
        <f>HYPERLINK("https://www.philgeps.gov.ph/GEPSNONPILOT/Tender/SplashBidNoticeAbstractUI.aspx?menuIndex=3&amp;refID=7057965&amp;Result=3","7057965")</f>
        <v>0</v>
      </c>
      <c r="B12342" t="s">
        <v>3213</v>
      </c>
      <c r="C12342" t="s">
        <v>15218</v>
      </c>
      <c r="D12342" t="s">
        <v>17476</v>
      </c>
      <c r="E12342" t="s">
        <v>28051</v>
      </c>
      <c r="F12342" t="s">
        <v>30052</v>
      </c>
      <c r="G12342" t="s">
        <v>30058</v>
      </c>
      <c r="H12342" t="s">
        <v>30067</v>
      </c>
      <c r="I12342" t="s">
        <v>3693</v>
      </c>
      <c r="J12342" t="s">
        <v>37730</v>
      </c>
      <c r="K12342" t="s">
        <v>39029</v>
      </c>
      <c r="M12342" t="s">
        <v>42836</v>
      </c>
      <c r="N12342" t="s">
        <v>43166</v>
      </c>
      <c r="O12342" t="s">
        <v>43167</v>
      </c>
      <c r="P12342">
        <v>0</v>
      </c>
      <c r="Q12342">
        <v>0</v>
      </c>
      <c r="R12342" t="s">
        <v>43184</v>
      </c>
      <c r="S12342" t="s">
        <v>43839</v>
      </c>
      <c r="T12342" t="s">
        <v>44777</v>
      </c>
      <c r="U12342" t="s">
        <v>55022</v>
      </c>
      <c r="W12342" t="s">
        <v>42836</v>
      </c>
      <c r="X12342" t="s">
        <v>43185</v>
      </c>
    </row>
    <row r="12343" spans="1:24">
      <c r="A12343">
        <f>HYPERLINK("https://www.philgeps.gov.ph/GEPSNONPILOT/Tender/SplashBidNoticeAbstractUI.aspx?menuIndex=3&amp;refID=7057935&amp;Result=3","7057935")</f>
        <v>0</v>
      </c>
      <c r="B12343" t="s">
        <v>912</v>
      </c>
      <c r="C12343" t="s">
        <v>15219</v>
      </c>
      <c r="D12343" t="s">
        <v>17440</v>
      </c>
      <c r="E12343" t="s">
        <v>28052</v>
      </c>
      <c r="F12343" t="s">
        <v>30052</v>
      </c>
      <c r="G12343" t="s">
        <v>30058</v>
      </c>
      <c r="H12343" t="s">
        <v>15498</v>
      </c>
      <c r="I12343" t="s">
        <v>30130</v>
      </c>
      <c r="J12343" t="s">
        <v>36977</v>
      </c>
      <c r="K12343" t="s">
        <v>39023</v>
      </c>
      <c r="M12343" t="s">
        <v>41293</v>
      </c>
      <c r="N12343" t="s">
        <v>43166</v>
      </c>
      <c r="O12343" t="s">
        <v>43167</v>
      </c>
      <c r="P12343">
        <v>0</v>
      </c>
      <c r="Q12343">
        <v>14</v>
      </c>
      <c r="R12343" t="s">
        <v>43184</v>
      </c>
      <c r="S12343" t="s">
        <v>43839</v>
      </c>
      <c r="T12343" t="s">
        <v>45141</v>
      </c>
      <c r="U12343" t="s">
        <v>55023</v>
      </c>
      <c r="W12343" t="s">
        <v>41293</v>
      </c>
      <c r="X12343" t="s">
        <v>43185</v>
      </c>
    </row>
    <row r="12344" spans="1:24">
      <c r="A12344">
        <f>HYPERLINK("https://www.philgeps.gov.ph/GEPSNONPILOT/Tender/SplashBidNoticeAbstractUI.aspx?menuIndex=3&amp;refID=7057921&amp;Result=3","7057921")</f>
        <v>0</v>
      </c>
      <c r="B12344" t="s">
        <v>494</v>
      </c>
      <c r="C12344" t="s">
        <v>15220</v>
      </c>
      <c r="E12344" t="s">
        <v>28053</v>
      </c>
      <c r="F12344" t="s">
        <v>30052</v>
      </c>
      <c r="G12344" t="s">
        <v>30058</v>
      </c>
      <c r="H12344" t="s">
        <v>15498</v>
      </c>
      <c r="I12344" t="s">
        <v>30117</v>
      </c>
      <c r="J12344" t="s">
        <v>32884</v>
      </c>
      <c r="K12344" t="s">
        <v>39025</v>
      </c>
      <c r="M12344" t="s">
        <v>39795</v>
      </c>
      <c r="N12344" t="s">
        <v>43166</v>
      </c>
      <c r="O12344" t="s">
        <v>43167</v>
      </c>
      <c r="P12344">
        <v>0</v>
      </c>
      <c r="Q12344">
        <v>3</v>
      </c>
      <c r="R12344" t="s">
        <v>43184</v>
      </c>
      <c r="S12344" t="s">
        <v>43839</v>
      </c>
      <c r="T12344" t="s">
        <v>44704</v>
      </c>
      <c r="U12344" t="s">
        <v>55024</v>
      </c>
      <c r="W12344" t="s">
        <v>39795</v>
      </c>
      <c r="X12344" t="s">
        <v>43185</v>
      </c>
    </row>
    <row r="12345" spans="1:24">
      <c r="A12345">
        <f>HYPERLINK("https://www.philgeps.gov.ph/GEPSNONPILOT/Tender/SplashBidNoticeAbstractUI.aspx?menuIndex=3&amp;refID=7057911&amp;Result=3","7057911")</f>
        <v>0</v>
      </c>
      <c r="B12345" t="s">
        <v>509</v>
      </c>
      <c r="C12345" t="s">
        <v>15221</v>
      </c>
      <c r="D12345" t="s">
        <v>17415</v>
      </c>
      <c r="E12345" t="s">
        <v>28054</v>
      </c>
      <c r="F12345" t="s">
        <v>30052</v>
      </c>
      <c r="G12345" t="s">
        <v>30058</v>
      </c>
      <c r="H12345" t="s">
        <v>30067</v>
      </c>
      <c r="I12345" t="s">
        <v>3693</v>
      </c>
      <c r="J12345" t="s">
        <v>37731</v>
      </c>
      <c r="K12345" t="s">
        <v>39033</v>
      </c>
      <c r="M12345" t="s">
        <v>39810</v>
      </c>
      <c r="N12345" t="s">
        <v>43166</v>
      </c>
      <c r="O12345" t="s">
        <v>43167</v>
      </c>
      <c r="Q12345">
        <v>23</v>
      </c>
      <c r="R12345" t="s">
        <v>43184</v>
      </c>
      <c r="S12345" t="s">
        <v>43588</v>
      </c>
      <c r="T12345" t="s">
        <v>44698</v>
      </c>
      <c r="U12345" t="s">
        <v>50415</v>
      </c>
      <c r="W12345" t="s">
        <v>39810</v>
      </c>
      <c r="X12345" t="s">
        <v>43185</v>
      </c>
    </row>
    <row r="12346" spans="1:24">
      <c r="A12346">
        <f>HYPERLINK("https://www.philgeps.gov.ph/GEPSNONPILOT/Tender/SplashBidNoticeAbstractUI.aspx?menuIndex=3&amp;refID=7057797&amp;Result=3","7057797")</f>
        <v>0</v>
      </c>
      <c r="B12346" t="s">
        <v>1589</v>
      </c>
      <c r="C12346" t="s">
        <v>15222</v>
      </c>
      <c r="D12346" t="s">
        <v>17418</v>
      </c>
      <c r="E12346" t="s">
        <v>28055</v>
      </c>
      <c r="F12346" t="s">
        <v>30052</v>
      </c>
      <c r="G12346" t="s">
        <v>30058</v>
      </c>
      <c r="H12346" t="s">
        <v>30067</v>
      </c>
      <c r="I12346" t="s">
        <v>3693</v>
      </c>
      <c r="J12346" t="s">
        <v>35210</v>
      </c>
      <c r="K12346" t="s">
        <v>39016</v>
      </c>
      <c r="M12346" t="s">
        <v>40982</v>
      </c>
      <c r="N12346" t="s">
        <v>43166</v>
      </c>
      <c r="O12346" t="s">
        <v>43167</v>
      </c>
      <c r="P12346">
        <v>0</v>
      </c>
      <c r="Q12346">
        <v>4</v>
      </c>
      <c r="R12346" t="s">
        <v>43184</v>
      </c>
      <c r="S12346" t="s">
        <v>43839</v>
      </c>
      <c r="T12346" t="s">
        <v>44753</v>
      </c>
      <c r="U12346" t="s">
        <v>55025</v>
      </c>
      <c r="W12346" t="s">
        <v>40982</v>
      </c>
      <c r="X12346" t="s">
        <v>43185</v>
      </c>
    </row>
    <row r="12347" spans="1:24">
      <c r="A12347">
        <f>HYPERLINK("https://www.philgeps.gov.ph/GEPSNONPILOT/Tender/SplashBidNoticeAbstractUI.aspx?menuIndex=3&amp;refID=7057909&amp;Result=3","7057909")</f>
        <v>0</v>
      </c>
      <c r="B12347" t="s">
        <v>509</v>
      </c>
      <c r="C12347" t="s">
        <v>15223</v>
      </c>
      <c r="D12347" t="s">
        <v>17415</v>
      </c>
      <c r="E12347" t="s">
        <v>28056</v>
      </c>
      <c r="F12347" t="s">
        <v>30052</v>
      </c>
      <c r="G12347" t="s">
        <v>30058</v>
      </c>
      <c r="H12347" t="s">
        <v>30067</v>
      </c>
      <c r="I12347" t="s">
        <v>3693</v>
      </c>
      <c r="J12347" t="s">
        <v>37732</v>
      </c>
      <c r="K12347" t="s">
        <v>39277</v>
      </c>
      <c r="M12347" t="s">
        <v>39810</v>
      </c>
      <c r="N12347" t="s">
        <v>43166</v>
      </c>
      <c r="O12347" t="s">
        <v>43167</v>
      </c>
      <c r="Q12347">
        <v>21</v>
      </c>
      <c r="R12347" t="s">
        <v>43184</v>
      </c>
      <c r="S12347" t="s">
        <v>43923</v>
      </c>
      <c r="T12347" t="s">
        <v>44698</v>
      </c>
      <c r="U12347" t="s">
        <v>50415</v>
      </c>
      <c r="W12347" t="s">
        <v>39810</v>
      </c>
      <c r="X12347" t="s">
        <v>43185</v>
      </c>
    </row>
    <row r="12348" spans="1:24">
      <c r="A12348">
        <f>HYPERLINK("https://www.philgeps.gov.ph/GEPSNONPILOT/Tender/SplashBidNoticeAbstractUI.aspx?menuIndex=3&amp;refID=7057906&amp;Result=3","7057906")</f>
        <v>0</v>
      </c>
      <c r="B12348" t="s">
        <v>509</v>
      </c>
      <c r="C12348" t="s">
        <v>15224</v>
      </c>
      <c r="D12348" t="s">
        <v>17415</v>
      </c>
      <c r="E12348" t="s">
        <v>28057</v>
      </c>
      <c r="F12348" t="s">
        <v>30052</v>
      </c>
      <c r="G12348" t="s">
        <v>30058</v>
      </c>
      <c r="H12348" t="s">
        <v>30067</v>
      </c>
      <c r="I12348" t="s">
        <v>3693</v>
      </c>
      <c r="J12348" t="s">
        <v>37733</v>
      </c>
      <c r="K12348" t="s">
        <v>39057</v>
      </c>
      <c r="M12348" t="s">
        <v>39810</v>
      </c>
      <c r="N12348" t="s">
        <v>43166</v>
      </c>
      <c r="O12348" t="s">
        <v>43167</v>
      </c>
      <c r="Q12348">
        <v>21</v>
      </c>
      <c r="R12348" t="s">
        <v>43184</v>
      </c>
      <c r="S12348" t="s">
        <v>43924</v>
      </c>
      <c r="T12348" t="s">
        <v>44698</v>
      </c>
      <c r="U12348" t="s">
        <v>50415</v>
      </c>
      <c r="W12348" t="s">
        <v>39810</v>
      </c>
      <c r="X12348" t="s">
        <v>43185</v>
      </c>
    </row>
    <row r="12349" spans="1:24">
      <c r="A12349">
        <f>HYPERLINK("https://www.philgeps.gov.ph/GEPSNONPILOT/Tender/SplashBidNoticeAbstractUI.aspx?menuIndex=3&amp;refID=7057925&amp;Result=3","7057925")</f>
        <v>0</v>
      </c>
      <c r="B12349" t="s">
        <v>509</v>
      </c>
      <c r="C12349" t="s">
        <v>15225</v>
      </c>
      <c r="D12349" t="s">
        <v>17415</v>
      </c>
      <c r="E12349" t="s">
        <v>28058</v>
      </c>
      <c r="F12349" t="s">
        <v>30052</v>
      </c>
      <c r="G12349" t="s">
        <v>30058</v>
      </c>
      <c r="H12349" t="s">
        <v>30067</v>
      </c>
      <c r="I12349" t="s">
        <v>3693</v>
      </c>
      <c r="J12349" t="s">
        <v>37734</v>
      </c>
      <c r="K12349" t="s">
        <v>39057</v>
      </c>
      <c r="M12349" t="s">
        <v>39810</v>
      </c>
      <c r="N12349" t="s">
        <v>43166</v>
      </c>
      <c r="O12349" t="s">
        <v>43167</v>
      </c>
      <c r="Q12349">
        <v>29</v>
      </c>
      <c r="R12349" t="s">
        <v>43184</v>
      </c>
      <c r="S12349" t="s">
        <v>43550</v>
      </c>
      <c r="T12349" t="s">
        <v>44698</v>
      </c>
      <c r="U12349" t="s">
        <v>50415</v>
      </c>
      <c r="W12349" t="s">
        <v>39810</v>
      </c>
      <c r="X12349" t="s">
        <v>43185</v>
      </c>
    </row>
    <row r="12350" spans="1:24">
      <c r="A12350">
        <f>HYPERLINK("https://www.philgeps.gov.ph/GEPSNONPILOT/Tender/SplashBidNoticeAbstractUI.aspx?menuIndex=3&amp;refID=7057903&amp;Result=3","7057903")</f>
        <v>0</v>
      </c>
      <c r="B12350" t="s">
        <v>509</v>
      </c>
      <c r="C12350" t="s">
        <v>15226</v>
      </c>
      <c r="D12350" t="s">
        <v>17415</v>
      </c>
      <c r="E12350" t="s">
        <v>28059</v>
      </c>
      <c r="F12350" t="s">
        <v>30052</v>
      </c>
      <c r="G12350" t="s">
        <v>30058</v>
      </c>
      <c r="H12350" t="s">
        <v>30067</v>
      </c>
      <c r="I12350" t="s">
        <v>3693</v>
      </c>
      <c r="J12350" t="s">
        <v>37735</v>
      </c>
      <c r="K12350" t="s">
        <v>39119</v>
      </c>
      <c r="M12350" t="s">
        <v>39810</v>
      </c>
      <c r="N12350" t="s">
        <v>43166</v>
      </c>
      <c r="O12350" t="s">
        <v>43167</v>
      </c>
      <c r="Q12350">
        <v>27</v>
      </c>
      <c r="R12350" t="s">
        <v>43184</v>
      </c>
      <c r="S12350" t="s">
        <v>43925</v>
      </c>
      <c r="T12350" t="s">
        <v>44698</v>
      </c>
      <c r="U12350" t="s">
        <v>50415</v>
      </c>
      <c r="W12350" t="s">
        <v>39810</v>
      </c>
      <c r="X12350" t="s">
        <v>43185</v>
      </c>
    </row>
    <row r="12351" spans="1:24">
      <c r="A12351">
        <f>HYPERLINK("https://www.philgeps.gov.ph/GEPSNONPILOT/Tender/SplashBidNoticeAbstractUI.aspx?menuIndex=3&amp;refID=7057891&amp;Result=3","7057891")</f>
        <v>0</v>
      </c>
      <c r="B12351" t="s">
        <v>509</v>
      </c>
      <c r="C12351" t="s">
        <v>15227</v>
      </c>
      <c r="D12351" t="s">
        <v>17415</v>
      </c>
      <c r="E12351" t="s">
        <v>28060</v>
      </c>
      <c r="F12351" t="s">
        <v>30052</v>
      </c>
      <c r="G12351" t="s">
        <v>30058</v>
      </c>
      <c r="H12351" t="s">
        <v>30067</v>
      </c>
      <c r="I12351" t="s">
        <v>3693</v>
      </c>
      <c r="J12351" t="s">
        <v>37736</v>
      </c>
      <c r="K12351" t="s">
        <v>39092</v>
      </c>
      <c r="M12351" t="s">
        <v>39810</v>
      </c>
      <c r="N12351" t="s">
        <v>43166</v>
      </c>
      <c r="O12351" t="s">
        <v>43167</v>
      </c>
      <c r="Q12351">
        <v>20</v>
      </c>
      <c r="R12351" t="s">
        <v>43184</v>
      </c>
      <c r="S12351" t="s">
        <v>43926</v>
      </c>
      <c r="T12351" t="s">
        <v>44698</v>
      </c>
      <c r="U12351" t="s">
        <v>50415</v>
      </c>
      <c r="W12351" t="s">
        <v>39810</v>
      </c>
      <c r="X12351" t="s">
        <v>43185</v>
      </c>
    </row>
    <row r="12352" spans="1:24">
      <c r="A12352">
        <f>HYPERLINK("https://www.philgeps.gov.ph/GEPSNONPILOT/Tender/SplashBidNoticeAbstractUI.aspx?menuIndex=3&amp;refID=7057916&amp;Result=3","7057916")</f>
        <v>0</v>
      </c>
      <c r="B12352" t="s">
        <v>509</v>
      </c>
      <c r="C12352" t="s">
        <v>15228</v>
      </c>
      <c r="D12352" t="s">
        <v>17415</v>
      </c>
      <c r="E12352" t="s">
        <v>28061</v>
      </c>
      <c r="F12352" t="s">
        <v>30052</v>
      </c>
      <c r="G12352" t="s">
        <v>30058</v>
      </c>
      <c r="H12352" t="s">
        <v>30067</v>
      </c>
      <c r="I12352" t="s">
        <v>3693</v>
      </c>
      <c r="J12352" t="s">
        <v>37737</v>
      </c>
      <c r="K12352" t="s">
        <v>39033</v>
      </c>
      <c r="M12352" t="s">
        <v>39810</v>
      </c>
      <c r="N12352" t="s">
        <v>43166</v>
      </c>
      <c r="O12352" t="s">
        <v>43167</v>
      </c>
      <c r="Q12352">
        <v>22</v>
      </c>
      <c r="R12352" t="s">
        <v>43184</v>
      </c>
      <c r="S12352" t="s">
        <v>43927</v>
      </c>
      <c r="T12352" t="s">
        <v>44698</v>
      </c>
      <c r="U12352" t="s">
        <v>50415</v>
      </c>
      <c r="W12352" t="s">
        <v>39810</v>
      </c>
      <c r="X12352" t="s">
        <v>43185</v>
      </c>
    </row>
    <row r="12353" spans="1:24">
      <c r="A12353">
        <f>HYPERLINK("https://www.philgeps.gov.ph/GEPSNONPILOT/Tender/SplashBidNoticeAbstractUI.aspx?menuIndex=3&amp;refID=7057883&amp;Result=3","7057883")</f>
        <v>0</v>
      </c>
      <c r="B12353" t="s">
        <v>2065</v>
      </c>
      <c r="C12353" t="s">
        <v>15229</v>
      </c>
      <c r="D12353" t="s">
        <v>17422</v>
      </c>
      <c r="E12353" t="s">
        <v>28062</v>
      </c>
      <c r="F12353" t="s">
        <v>30052</v>
      </c>
      <c r="G12353" t="s">
        <v>30058</v>
      </c>
      <c r="H12353" t="s">
        <v>30067</v>
      </c>
      <c r="I12353" t="s">
        <v>3693</v>
      </c>
      <c r="J12353" t="s">
        <v>37738</v>
      </c>
      <c r="K12353" t="s">
        <v>39118</v>
      </c>
      <c r="M12353" t="s">
        <v>42871</v>
      </c>
      <c r="N12353" t="s">
        <v>43166</v>
      </c>
      <c r="O12353" t="s">
        <v>43167</v>
      </c>
      <c r="P12353">
        <v>0</v>
      </c>
      <c r="Q12353">
        <v>2</v>
      </c>
      <c r="R12353" t="s">
        <v>43184</v>
      </c>
      <c r="S12353" t="s">
        <v>43839</v>
      </c>
      <c r="T12353" t="s">
        <v>44698</v>
      </c>
      <c r="U12353" t="s">
        <v>55011</v>
      </c>
      <c r="V12353" t="s">
        <v>58245</v>
      </c>
      <c r="W12353" t="s">
        <v>42871</v>
      </c>
      <c r="X12353" t="s">
        <v>43185</v>
      </c>
    </row>
    <row r="12354" spans="1:24">
      <c r="A12354">
        <f>HYPERLINK("https://www.philgeps.gov.ph/GEPSNONPILOT/Tender/SplashBidNoticeAbstractUI.aspx?menuIndex=3&amp;refID=7057907&amp;Result=3","7057907")</f>
        <v>0</v>
      </c>
      <c r="B12354" t="s">
        <v>494</v>
      </c>
      <c r="C12354" t="s">
        <v>15230</v>
      </c>
      <c r="E12354" t="s">
        <v>28063</v>
      </c>
      <c r="F12354" t="s">
        <v>30052</v>
      </c>
      <c r="G12354" t="s">
        <v>30058</v>
      </c>
      <c r="H12354" t="s">
        <v>15498</v>
      </c>
      <c r="I12354" t="s">
        <v>30087</v>
      </c>
      <c r="J12354" t="s">
        <v>37739</v>
      </c>
      <c r="K12354" t="s">
        <v>39025</v>
      </c>
      <c r="M12354" t="s">
        <v>39795</v>
      </c>
      <c r="N12354" t="s">
        <v>43166</v>
      </c>
      <c r="O12354" t="s">
        <v>43167</v>
      </c>
      <c r="Q12354">
        <v>4</v>
      </c>
      <c r="R12354" t="s">
        <v>43184</v>
      </c>
      <c r="S12354" t="s">
        <v>43286</v>
      </c>
      <c r="T12354" t="s">
        <v>44704</v>
      </c>
      <c r="U12354" t="s">
        <v>55026</v>
      </c>
      <c r="W12354" t="s">
        <v>39795</v>
      </c>
      <c r="X12354" t="s">
        <v>43185</v>
      </c>
    </row>
    <row r="12355" spans="1:24">
      <c r="A12355">
        <f>HYPERLINK("https://www.philgeps.gov.ph/GEPSNONPILOT/Tender/SplashBidNoticeAbstractUI.aspx?menuIndex=3&amp;refID=7057962&amp;Result=3","7057962")</f>
        <v>0</v>
      </c>
      <c r="B12355" t="s">
        <v>3213</v>
      </c>
      <c r="C12355" t="s">
        <v>15231</v>
      </c>
      <c r="D12355" t="s">
        <v>17476</v>
      </c>
      <c r="E12355" t="s">
        <v>28064</v>
      </c>
      <c r="F12355" t="s">
        <v>30052</v>
      </c>
      <c r="G12355" t="s">
        <v>30058</v>
      </c>
      <c r="H12355" t="s">
        <v>30067</v>
      </c>
      <c r="I12355" t="s">
        <v>3693</v>
      </c>
      <c r="J12355" t="s">
        <v>37740</v>
      </c>
      <c r="K12355" t="s">
        <v>39026</v>
      </c>
      <c r="M12355" t="s">
        <v>42836</v>
      </c>
      <c r="N12355" t="s">
        <v>43166</v>
      </c>
      <c r="O12355" t="s">
        <v>43167</v>
      </c>
      <c r="P12355">
        <v>0</v>
      </c>
      <c r="Q12355">
        <v>0</v>
      </c>
      <c r="R12355" t="s">
        <v>43184</v>
      </c>
      <c r="S12355" t="s">
        <v>43839</v>
      </c>
      <c r="T12355" t="s">
        <v>44777</v>
      </c>
      <c r="U12355" t="s">
        <v>55027</v>
      </c>
      <c r="W12355" t="s">
        <v>42836</v>
      </c>
      <c r="X12355" t="s">
        <v>43185</v>
      </c>
    </row>
    <row r="12356" spans="1:24">
      <c r="A12356">
        <f>HYPERLINK("https://www.philgeps.gov.ph/GEPSNONPILOT/Tender/SplashBidNoticeAbstractUI.aspx?menuIndex=3&amp;refID=7047369&amp;Result=3","7047369")</f>
        <v>0</v>
      </c>
      <c r="B12356" t="s">
        <v>3128</v>
      </c>
      <c r="C12356" t="s">
        <v>15232</v>
      </c>
      <c r="D12356" t="s">
        <v>17446</v>
      </c>
      <c r="E12356" t="s">
        <v>28065</v>
      </c>
      <c r="F12356" t="s">
        <v>30052</v>
      </c>
      <c r="G12356" t="s">
        <v>30058</v>
      </c>
      <c r="H12356" t="s">
        <v>15498</v>
      </c>
      <c r="I12356" t="s">
        <v>30076</v>
      </c>
      <c r="J12356" t="s">
        <v>37741</v>
      </c>
      <c r="K12356" t="s">
        <v>39025</v>
      </c>
      <c r="M12356" t="s">
        <v>42728</v>
      </c>
      <c r="N12356" t="s">
        <v>43166</v>
      </c>
      <c r="O12356" t="s">
        <v>43167</v>
      </c>
      <c r="Q12356">
        <v>58</v>
      </c>
      <c r="R12356" t="s">
        <v>43185</v>
      </c>
      <c r="S12356" t="s">
        <v>43928</v>
      </c>
      <c r="T12356" t="s">
        <v>44780</v>
      </c>
      <c r="U12356" t="s">
        <v>55028</v>
      </c>
      <c r="W12356" t="s">
        <v>42728</v>
      </c>
      <c r="X12356" t="s">
        <v>43188</v>
      </c>
    </row>
    <row r="12357" spans="1:24">
      <c r="A12357">
        <f>HYPERLINK("https://www.philgeps.gov.ph/GEPSNONPILOT/Tender/SplashBidNoticeAbstractUI.aspx?menuIndex=3&amp;refID=7057918&amp;Result=3","7057918")</f>
        <v>0</v>
      </c>
      <c r="B12357" t="s">
        <v>509</v>
      </c>
      <c r="C12357" t="s">
        <v>15233</v>
      </c>
      <c r="D12357" t="s">
        <v>17415</v>
      </c>
      <c r="E12357" t="s">
        <v>28066</v>
      </c>
      <c r="F12357" t="s">
        <v>30052</v>
      </c>
      <c r="G12357" t="s">
        <v>30058</v>
      </c>
      <c r="H12357" t="s">
        <v>30067</v>
      </c>
      <c r="I12357" t="s">
        <v>3693</v>
      </c>
      <c r="J12357" t="s">
        <v>37742</v>
      </c>
      <c r="K12357" t="s">
        <v>39057</v>
      </c>
      <c r="M12357" t="s">
        <v>39810</v>
      </c>
      <c r="N12357" t="s">
        <v>43166</v>
      </c>
      <c r="O12357" t="s">
        <v>43167</v>
      </c>
      <c r="Q12357">
        <v>22</v>
      </c>
      <c r="R12357" t="s">
        <v>43184</v>
      </c>
      <c r="S12357" t="s">
        <v>43929</v>
      </c>
      <c r="T12357" t="s">
        <v>44698</v>
      </c>
      <c r="U12357" t="s">
        <v>50415</v>
      </c>
      <c r="W12357" t="s">
        <v>39810</v>
      </c>
      <c r="X12357" t="s">
        <v>43185</v>
      </c>
    </row>
    <row r="12358" spans="1:24">
      <c r="A12358">
        <f>HYPERLINK("https://www.philgeps.gov.ph/GEPSNONPILOT/Tender/SplashBidNoticeAbstractUI.aspx?menuIndex=3&amp;refID=7045905&amp;Result=3","7045905")</f>
        <v>0</v>
      </c>
      <c r="B12358" t="s">
        <v>3243</v>
      </c>
      <c r="C12358" t="s">
        <v>15234</v>
      </c>
      <c r="D12358" t="s">
        <v>17450</v>
      </c>
      <c r="E12358" t="s">
        <v>28067</v>
      </c>
      <c r="F12358" t="s">
        <v>30052</v>
      </c>
      <c r="G12358" t="s">
        <v>30058</v>
      </c>
      <c r="H12358" t="s">
        <v>30067</v>
      </c>
      <c r="I12358" t="s">
        <v>3693</v>
      </c>
      <c r="J12358" t="s">
        <v>37743</v>
      </c>
      <c r="K12358" t="s">
        <v>39061</v>
      </c>
      <c r="M12358" t="s">
        <v>42873</v>
      </c>
      <c r="N12358" t="s">
        <v>43166</v>
      </c>
      <c r="O12358" t="s">
        <v>43167</v>
      </c>
      <c r="P12358">
        <v>0</v>
      </c>
      <c r="Q12358">
        <v>1</v>
      </c>
      <c r="R12358" t="s">
        <v>43185</v>
      </c>
      <c r="S12358" t="s">
        <v>43930</v>
      </c>
      <c r="T12358" t="s">
        <v>44696</v>
      </c>
      <c r="U12358" t="s">
        <v>55029</v>
      </c>
      <c r="W12358" t="s">
        <v>42873</v>
      </c>
      <c r="X12358" t="s">
        <v>43189</v>
      </c>
    </row>
    <row r="12359" spans="1:24">
      <c r="A12359">
        <f>HYPERLINK("https://www.philgeps.gov.ph/GEPSNONPILOT/Tender/SplashBidNoticeAbstractUI.aspx?menuIndex=3&amp;refID=7045844&amp;Result=3","7045844")</f>
        <v>0</v>
      </c>
      <c r="B12359" t="s">
        <v>3244</v>
      </c>
      <c r="C12359" t="s">
        <v>15235</v>
      </c>
      <c r="D12359" t="s">
        <v>17459</v>
      </c>
      <c r="E12359" t="s">
        <v>28068</v>
      </c>
      <c r="F12359" t="s">
        <v>30052</v>
      </c>
      <c r="G12359" t="s">
        <v>30058</v>
      </c>
      <c r="H12359" t="s">
        <v>30067</v>
      </c>
      <c r="I12359" t="s">
        <v>3693</v>
      </c>
      <c r="J12359" t="s">
        <v>30252</v>
      </c>
      <c r="K12359" t="s">
        <v>39031</v>
      </c>
      <c r="M12359" t="s">
        <v>42874</v>
      </c>
      <c r="N12359" t="s">
        <v>43166</v>
      </c>
      <c r="O12359" t="s">
        <v>43167</v>
      </c>
      <c r="P12359">
        <v>0</v>
      </c>
      <c r="Q12359">
        <v>0</v>
      </c>
      <c r="R12359" t="s">
        <v>43185</v>
      </c>
      <c r="S12359" t="s">
        <v>43930</v>
      </c>
      <c r="T12359" t="s">
        <v>44698</v>
      </c>
      <c r="U12359" t="s">
        <v>55030</v>
      </c>
      <c r="W12359" t="s">
        <v>42874</v>
      </c>
      <c r="X12359" t="s">
        <v>43189</v>
      </c>
    </row>
    <row r="12360" spans="1:24">
      <c r="A12360">
        <f>HYPERLINK("https://www.philgeps.gov.ph/GEPSNONPILOT/Tender/SplashBidNoticeAbstractUI.aspx?menuIndex=3&amp;refID=7045768&amp;Result=3","7045768")</f>
        <v>0</v>
      </c>
      <c r="B12360" t="s">
        <v>3243</v>
      </c>
      <c r="C12360" t="s">
        <v>15236</v>
      </c>
      <c r="D12360" t="s">
        <v>17450</v>
      </c>
      <c r="E12360" t="s">
        <v>28069</v>
      </c>
      <c r="F12360" t="s">
        <v>30052</v>
      </c>
      <c r="G12360" t="s">
        <v>30058</v>
      </c>
      <c r="H12360" t="s">
        <v>30067</v>
      </c>
      <c r="I12360" t="s">
        <v>3693</v>
      </c>
      <c r="J12360" t="s">
        <v>37744</v>
      </c>
      <c r="K12360" t="s">
        <v>39061</v>
      </c>
      <c r="M12360" t="s">
        <v>42873</v>
      </c>
      <c r="N12360" t="s">
        <v>43166</v>
      </c>
      <c r="O12360" t="s">
        <v>43167</v>
      </c>
      <c r="P12360">
        <v>0</v>
      </c>
      <c r="Q12360">
        <v>0</v>
      </c>
      <c r="R12360" t="s">
        <v>43185</v>
      </c>
      <c r="S12360" t="s">
        <v>43930</v>
      </c>
      <c r="T12360" t="s">
        <v>44696</v>
      </c>
      <c r="U12360" t="s">
        <v>55031</v>
      </c>
      <c r="W12360" t="s">
        <v>42873</v>
      </c>
      <c r="X12360" t="s">
        <v>43189</v>
      </c>
    </row>
    <row r="12361" spans="1:24">
      <c r="A12361">
        <f>HYPERLINK("https://www.philgeps.gov.ph/GEPSNONPILOT/Tender/SplashBidNoticeAbstractUI.aspx?menuIndex=3&amp;refID=7043681&amp;Result=3","7043681")</f>
        <v>0</v>
      </c>
      <c r="B12361" t="s">
        <v>3245</v>
      </c>
      <c r="C12361" t="s">
        <v>15237</v>
      </c>
      <c r="D12361" t="s">
        <v>17429</v>
      </c>
      <c r="E12361" t="s">
        <v>28070</v>
      </c>
      <c r="F12361" t="s">
        <v>30052</v>
      </c>
      <c r="G12361" t="s">
        <v>30058</v>
      </c>
      <c r="H12361" t="s">
        <v>30067</v>
      </c>
      <c r="I12361" t="s">
        <v>3693</v>
      </c>
      <c r="J12361" t="s">
        <v>30557</v>
      </c>
      <c r="K12361" t="s">
        <v>39026</v>
      </c>
      <c r="M12361" t="s">
        <v>42875</v>
      </c>
      <c r="N12361" t="s">
        <v>43166</v>
      </c>
      <c r="O12361" t="s">
        <v>43167</v>
      </c>
      <c r="P12361">
        <v>0</v>
      </c>
      <c r="Q12361">
        <v>0</v>
      </c>
      <c r="R12361" t="s">
        <v>43185</v>
      </c>
      <c r="S12361" t="s">
        <v>43930</v>
      </c>
      <c r="T12361" t="s">
        <v>44844</v>
      </c>
      <c r="U12361" t="s">
        <v>55032</v>
      </c>
      <c r="W12361" t="s">
        <v>58707</v>
      </c>
      <c r="X12361" t="s">
        <v>43190</v>
      </c>
    </row>
    <row r="12362" spans="1:24">
      <c r="A12362">
        <f>HYPERLINK("https://www.philgeps.gov.ph/GEPSNONPILOT/Tender/SplashBidNoticeAbstractUI.aspx?menuIndex=3&amp;refID=7038397&amp;Result=3","7038397")</f>
        <v>0</v>
      </c>
      <c r="B12362" t="s">
        <v>1142</v>
      </c>
      <c r="C12362" t="s">
        <v>15238</v>
      </c>
      <c r="E12362" t="s">
        <v>28071</v>
      </c>
      <c r="F12362" t="s">
        <v>30052</v>
      </c>
      <c r="G12362" t="s">
        <v>30058</v>
      </c>
      <c r="H12362" t="s">
        <v>30067</v>
      </c>
      <c r="I12362" t="s">
        <v>3693</v>
      </c>
      <c r="J12362" t="s">
        <v>36436</v>
      </c>
      <c r="K12362" t="s">
        <v>39069</v>
      </c>
      <c r="M12362" t="s">
        <v>40485</v>
      </c>
      <c r="N12362" t="s">
        <v>43166</v>
      </c>
      <c r="O12362" t="s">
        <v>43167</v>
      </c>
      <c r="P12362">
        <v>0</v>
      </c>
      <c r="Q12362">
        <v>2</v>
      </c>
      <c r="R12362" t="s">
        <v>43185</v>
      </c>
      <c r="S12362" t="s">
        <v>43930</v>
      </c>
      <c r="T12362" t="s">
        <v>44777</v>
      </c>
      <c r="U12362" t="s">
        <v>55033</v>
      </c>
      <c r="W12362" t="s">
        <v>40485</v>
      </c>
      <c r="X12362" t="s">
        <v>43193</v>
      </c>
    </row>
    <row r="12363" spans="1:24">
      <c r="A12363">
        <f>HYPERLINK("https://www.philgeps.gov.ph/GEPSNONPILOT/Tender/SplashBidNoticeAbstractUI.aspx?menuIndex=3&amp;refID=7046231&amp;Result=3","7046231")</f>
        <v>0</v>
      </c>
      <c r="B12363" t="s">
        <v>3244</v>
      </c>
      <c r="C12363" t="s">
        <v>15239</v>
      </c>
      <c r="D12363" t="s">
        <v>17459</v>
      </c>
      <c r="E12363" t="s">
        <v>28072</v>
      </c>
      <c r="F12363" t="s">
        <v>30052</v>
      </c>
      <c r="G12363" t="s">
        <v>30058</v>
      </c>
      <c r="H12363" t="s">
        <v>30067</v>
      </c>
      <c r="I12363" t="s">
        <v>3693</v>
      </c>
      <c r="J12363" t="s">
        <v>30252</v>
      </c>
      <c r="K12363" t="s">
        <v>39031</v>
      </c>
      <c r="M12363" t="s">
        <v>42874</v>
      </c>
      <c r="N12363" t="s">
        <v>43166</v>
      </c>
      <c r="O12363" t="s">
        <v>43167</v>
      </c>
      <c r="P12363">
        <v>0</v>
      </c>
      <c r="Q12363">
        <v>0</v>
      </c>
      <c r="R12363" t="s">
        <v>43185</v>
      </c>
      <c r="S12363" t="s">
        <v>43930</v>
      </c>
      <c r="T12363" t="s">
        <v>44695</v>
      </c>
      <c r="U12363" t="s">
        <v>55034</v>
      </c>
      <c r="W12363" t="s">
        <v>42874</v>
      </c>
      <c r="X12363" t="s">
        <v>43189</v>
      </c>
    </row>
    <row r="12364" spans="1:24">
      <c r="A12364">
        <f>HYPERLINK("https://www.philgeps.gov.ph/GEPSNONPILOT/Tender/SplashBidNoticeAbstractUI.aspx?menuIndex=3&amp;refID=7038337&amp;Result=3","7038337")</f>
        <v>0</v>
      </c>
      <c r="B12364" t="s">
        <v>1142</v>
      </c>
      <c r="C12364" t="s">
        <v>15240</v>
      </c>
      <c r="E12364" t="s">
        <v>28073</v>
      </c>
      <c r="F12364" t="s">
        <v>30052</v>
      </c>
      <c r="G12364" t="s">
        <v>30058</v>
      </c>
      <c r="H12364" t="s">
        <v>30067</v>
      </c>
      <c r="I12364" t="s">
        <v>3693</v>
      </c>
      <c r="J12364" t="s">
        <v>37745</v>
      </c>
      <c r="K12364" t="s">
        <v>39057</v>
      </c>
      <c r="M12364" t="s">
        <v>40485</v>
      </c>
      <c r="N12364" t="s">
        <v>43166</v>
      </c>
      <c r="O12364" t="s">
        <v>43167</v>
      </c>
      <c r="P12364">
        <v>0</v>
      </c>
      <c r="Q12364">
        <v>3</v>
      </c>
      <c r="R12364" t="s">
        <v>43185</v>
      </c>
      <c r="S12364" t="s">
        <v>43930</v>
      </c>
      <c r="T12364" t="s">
        <v>44777</v>
      </c>
      <c r="U12364" t="s">
        <v>55035</v>
      </c>
      <c r="W12364" t="s">
        <v>40485</v>
      </c>
      <c r="X12364" t="s">
        <v>43193</v>
      </c>
    </row>
    <row r="12365" spans="1:24">
      <c r="A12365">
        <f>HYPERLINK("https://www.philgeps.gov.ph/GEPSNONPILOT/Tender/SplashBidNoticeAbstractUI.aspx?menuIndex=3&amp;refID=7038262&amp;Result=3","7038262")</f>
        <v>0</v>
      </c>
      <c r="B12365" t="s">
        <v>1142</v>
      </c>
      <c r="C12365" t="s">
        <v>15241</v>
      </c>
      <c r="E12365" t="s">
        <v>28074</v>
      </c>
      <c r="F12365" t="s">
        <v>30052</v>
      </c>
      <c r="G12365" t="s">
        <v>30058</v>
      </c>
      <c r="H12365" t="s">
        <v>30067</v>
      </c>
      <c r="I12365" t="s">
        <v>3693</v>
      </c>
      <c r="J12365" t="s">
        <v>37746</v>
      </c>
      <c r="K12365" t="s">
        <v>39026</v>
      </c>
      <c r="M12365" t="s">
        <v>40485</v>
      </c>
      <c r="N12365" t="s">
        <v>43166</v>
      </c>
      <c r="O12365" t="s">
        <v>43167</v>
      </c>
      <c r="P12365">
        <v>0</v>
      </c>
      <c r="Q12365">
        <v>0</v>
      </c>
      <c r="R12365" t="s">
        <v>43185</v>
      </c>
      <c r="S12365" t="s">
        <v>43930</v>
      </c>
      <c r="T12365" t="s">
        <v>44777</v>
      </c>
      <c r="U12365" t="s">
        <v>55036</v>
      </c>
      <c r="W12365" t="s">
        <v>40485</v>
      </c>
      <c r="X12365" t="s">
        <v>43193</v>
      </c>
    </row>
    <row r="12366" spans="1:24">
      <c r="A12366">
        <f>HYPERLINK("https://www.philgeps.gov.ph/GEPSNONPILOT/Tender/SplashBidNoticeAbstractUI.aspx?menuIndex=3&amp;refID=7057876&amp;Result=3","7057876")</f>
        <v>0</v>
      </c>
      <c r="B12366" t="s">
        <v>2065</v>
      </c>
      <c r="C12366" t="s">
        <v>15242</v>
      </c>
      <c r="D12366" t="s">
        <v>17422</v>
      </c>
      <c r="E12366" t="s">
        <v>28075</v>
      </c>
      <c r="F12366" t="s">
        <v>30052</v>
      </c>
      <c r="G12366" t="s">
        <v>30058</v>
      </c>
      <c r="H12366" t="s">
        <v>30067</v>
      </c>
      <c r="I12366" t="s">
        <v>3693</v>
      </c>
      <c r="J12366" t="s">
        <v>36049</v>
      </c>
      <c r="K12366" t="s">
        <v>39085</v>
      </c>
      <c r="M12366" t="s">
        <v>42871</v>
      </c>
      <c r="N12366" t="s">
        <v>43166</v>
      </c>
      <c r="O12366" t="s">
        <v>43167</v>
      </c>
      <c r="P12366">
        <v>0</v>
      </c>
      <c r="Q12366">
        <v>3</v>
      </c>
      <c r="R12366" t="s">
        <v>43184</v>
      </c>
      <c r="S12366" t="s">
        <v>43839</v>
      </c>
      <c r="T12366" t="s">
        <v>44698</v>
      </c>
      <c r="U12366" t="s">
        <v>55011</v>
      </c>
      <c r="V12366" t="s">
        <v>58246</v>
      </c>
      <c r="W12366" t="s">
        <v>42871</v>
      </c>
      <c r="X12366" t="s">
        <v>43185</v>
      </c>
    </row>
    <row r="12367" spans="1:24">
      <c r="A12367">
        <f>HYPERLINK("https://www.philgeps.gov.ph/GEPSNONPILOT/Tender/SplashBidNoticeAbstractUI.aspx?menuIndex=3&amp;refID=7038409&amp;Result=3","7038409")</f>
        <v>0</v>
      </c>
      <c r="B12367" t="s">
        <v>1142</v>
      </c>
      <c r="C12367" t="s">
        <v>15243</v>
      </c>
      <c r="E12367" t="s">
        <v>28076</v>
      </c>
      <c r="F12367" t="s">
        <v>30052</v>
      </c>
      <c r="G12367" t="s">
        <v>30058</v>
      </c>
      <c r="H12367" t="s">
        <v>30067</v>
      </c>
      <c r="I12367" t="s">
        <v>3693</v>
      </c>
      <c r="J12367" t="s">
        <v>37745</v>
      </c>
      <c r="K12367" t="s">
        <v>39022</v>
      </c>
      <c r="M12367" t="s">
        <v>40485</v>
      </c>
      <c r="N12367" t="s">
        <v>43166</v>
      </c>
      <c r="O12367" t="s">
        <v>43167</v>
      </c>
      <c r="P12367">
        <v>0</v>
      </c>
      <c r="Q12367">
        <v>3</v>
      </c>
      <c r="R12367" t="s">
        <v>43185</v>
      </c>
      <c r="S12367" t="s">
        <v>43930</v>
      </c>
      <c r="T12367" t="s">
        <v>44777</v>
      </c>
      <c r="U12367" t="s">
        <v>55037</v>
      </c>
      <c r="W12367" t="s">
        <v>40485</v>
      </c>
      <c r="X12367" t="s">
        <v>43193</v>
      </c>
    </row>
    <row r="12368" spans="1:24">
      <c r="A12368">
        <f>HYPERLINK("https://www.philgeps.gov.ph/GEPSNONPILOT/Tender/SplashBidNoticeAbstractUI.aspx?menuIndex=3&amp;refID=7057799&amp;Result=3","7057799")</f>
        <v>0</v>
      </c>
      <c r="B12368" t="s">
        <v>1589</v>
      </c>
      <c r="C12368" t="s">
        <v>15244</v>
      </c>
      <c r="D12368" t="s">
        <v>17494</v>
      </c>
      <c r="E12368" t="s">
        <v>28077</v>
      </c>
      <c r="F12368" t="s">
        <v>30052</v>
      </c>
      <c r="G12368" t="s">
        <v>30058</v>
      </c>
      <c r="H12368" t="s">
        <v>30067</v>
      </c>
      <c r="I12368" t="s">
        <v>3693</v>
      </c>
      <c r="J12368" t="s">
        <v>35210</v>
      </c>
      <c r="K12368" t="s">
        <v>39016</v>
      </c>
      <c r="M12368" t="s">
        <v>40982</v>
      </c>
      <c r="N12368" t="s">
        <v>43166</v>
      </c>
      <c r="O12368" t="s">
        <v>43167</v>
      </c>
      <c r="P12368">
        <v>0</v>
      </c>
      <c r="Q12368">
        <v>2</v>
      </c>
      <c r="R12368" t="s">
        <v>43184</v>
      </c>
      <c r="S12368" t="s">
        <v>43839</v>
      </c>
      <c r="T12368" t="s">
        <v>44753</v>
      </c>
      <c r="U12368" t="s">
        <v>55038</v>
      </c>
      <c r="W12368" t="s">
        <v>40982</v>
      </c>
      <c r="X12368" t="s">
        <v>43185</v>
      </c>
    </row>
    <row r="12369" spans="1:24">
      <c r="A12369">
        <f>HYPERLINK("https://www.philgeps.gov.ph/GEPSNONPILOT/Tender/SplashBidNoticeAbstractUI.aspx?menuIndex=3&amp;refID=7026745-2&amp;Result=3","7026745-2")</f>
        <v>0</v>
      </c>
      <c r="B12369" t="s">
        <v>3246</v>
      </c>
      <c r="C12369" t="s">
        <v>15245</v>
      </c>
      <c r="E12369" t="s">
        <v>28078</v>
      </c>
      <c r="F12369" t="s">
        <v>30052</v>
      </c>
      <c r="G12369" t="s">
        <v>30058</v>
      </c>
      <c r="H12369" t="s">
        <v>30068</v>
      </c>
      <c r="I12369" t="s">
        <v>30191</v>
      </c>
      <c r="J12369" t="s">
        <v>33488</v>
      </c>
      <c r="K12369" t="s">
        <v>39130</v>
      </c>
      <c r="M12369" t="s">
        <v>42876</v>
      </c>
      <c r="N12369" t="s">
        <v>43166</v>
      </c>
      <c r="O12369" t="s">
        <v>43167</v>
      </c>
      <c r="P12369">
        <v>0</v>
      </c>
      <c r="Q12369">
        <v>2</v>
      </c>
      <c r="R12369" t="s">
        <v>43185</v>
      </c>
      <c r="S12369" t="s">
        <v>43930</v>
      </c>
      <c r="T12369" t="s">
        <v>44773</v>
      </c>
      <c r="U12369" t="s">
        <v>55039</v>
      </c>
      <c r="V12369" t="s">
        <v>58247</v>
      </c>
      <c r="W12369" t="s">
        <v>42876</v>
      </c>
      <c r="X12369" t="s">
        <v>43187</v>
      </c>
    </row>
    <row r="12370" spans="1:24">
      <c r="A12370">
        <f>HYPERLINK("https://www.philgeps.gov.ph/GEPSNONPILOT/Tender/SplashBidNoticeAbstractUI.aspx?menuIndex=3&amp;refID=7033878&amp;Result=3","7033878")</f>
        <v>0</v>
      </c>
      <c r="B12370" t="s">
        <v>1657</v>
      </c>
      <c r="C12370" t="s">
        <v>15246</v>
      </c>
      <c r="D12370" t="s">
        <v>17450</v>
      </c>
      <c r="E12370" t="s">
        <v>17585</v>
      </c>
      <c r="F12370" t="s">
        <v>30052</v>
      </c>
      <c r="G12370" t="s">
        <v>30058</v>
      </c>
      <c r="H12370" t="s">
        <v>15498</v>
      </c>
      <c r="I12370" t="s">
        <v>30076</v>
      </c>
      <c r="J12370" t="s">
        <v>33636</v>
      </c>
      <c r="K12370" t="s">
        <v>39029</v>
      </c>
      <c r="M12370" t="s">
        <v>41062</v>
      </c>
      <c r="N12370" t="s">
        <v>43166</v>
      </c>
      <c r="O12370" t="s">
        <v>43167</v>
      </c>
      <c r="Q12370">
        <v>8</v>
      </c>
      <c r="R12370" t="s">
        <v>43185</v>
      </c>
      <c r="S12370" t="s">
        <v>43931</v>
      </c>
      <c r="T12370" t="s">
        <v>44698</v>
      </c>
      <c r="U12370" t="s">
        <v>55040</v>
      </c>
      <c r="W12370" t="s">
        <v>41062</v>
      </c>
      <c r="X12370" t="s">
        <v>43195</v>
      </c>
    </row>
    <row r="12371" spans="1:24">
      <c r="A12371">
        <f>HYPERLINK("https://www.philgeps.gov.ph/GEPSNONPILOT/Tender/SplashBidNoticeAbstractUI.aspx?menuIndex=3&amp;refID=7057898&amp;Result=3","7057898")</f>
        <v>0</v>
      </c>
      <c r="B12371" t="s">
        <v>509</v>
      </c>
      <c r="C12371" t="s">
        <v>15247</v>
      </c>
      <c r="D12371" t="s">
        <v>17415</v>
      </c>
      <c r="E12371" t="s">
        <v>28079</v>
      </c>
      <c r="F12371" t="s">
        <v>30052</v>
      </c>
      <c r="G12371" t="s">
        <v>30058</v>
      </c>
      <c r="H12371" t="s">
        <v>30067</v>
      </c>
      <c r="I12371" t="s">
        <v>3693</v>
      </c>
      <c r="J12371" t="s">
        <v>37747</v>
      </c>
      <c r="K12371" t="s">
        <v>39057</v>
      </c>
      <c r="M12371" t="s">
        <v>39810</v>
      </c>
      <c r="N12371" t="s">
        <v>43166</v>
      </c>
      <c r="O12371" t="s">
        <v>43167</v>
      </c>
      <c r="Q12371">
        <v>19</v>
      </c>
      <c r="R12371" t="s">
        <v>43184</v>
      </c>
      <c r="S12371" t="s">
        <v>43932</v>
      </c>
      <c r="T12371" t="s">
        <v>44698</v>
      </c>
      <c r="U12371" t="s">
        <v>50415</v>
      </c>
      <c r="W12371" t="s">
        <v>39810</v>
      </c>
      <c r="X12371" t="s">
        <v>43185</v>
      </c>
    </row>
    <row r="12372" spans="1:24">
      <c r="A12372">
        <f>HYPERLINK("https://www.philgeps.gov.ph/GEPSNONPILOT/Tender/SplashBidNoticeAbstractUI.aspx?menuIndex=3&amp;refID=6973550&amp;Result=3","6973550")</f>
        <v>0</v>
      </c>
      <c r="B12372" t="s">
        <v>2261</v>
      </c>
      <c r="C12372" t="s">
        <v>15248</v>
      </c>
      <c r="D12372" t="s">
        <v>17422</v>
      </c>
      <c r="E12372" t="s">
        <v>28080</v>
      </c>
      <c r="F12372" t="s">
        <v>30052</v>
      </c>
      <c r="G12372" t="s">
        <v>30058</v>
      </c>
      <c r="H12372" t="s">
        <v>15498</v>
      </c>
      <c r="I12372" t="s">
        <v>4598</v>
      </c>
      <c r="J12372" t="s">
        <v>37748</v>
      </c>
      <c r="K12372" t="s">
        <v>39017</v>
      </c>
      <c r="M12372" t="s">
        <v>41739</v>
      </c>
      <c r="N12372" t="s">
        <v>43166</v>
      </c>
      <c r="O12372" t="s">
        <v>43167</v>
      </c>
      <c r="Q12372">
        <v>7</v>
      </c>
      <c r="R12372" t="s">
        <v>43185</v>
      </c>
      <c r="S12372" t="s">
        <v>43933</v>
      </c>
      <c r="T12372" t="s">
        <v>44704</v>
      </c>
      <c r="U12372" t="s">
        <v>55041</v>
      </c>
      <c r="W12372" t="s">
        <v>41739</v>
      </c>
      <c r="X12372" t="s">
        <v>58738</v>
      </c>
    </row>
    <row r="12373" spans="1:24">
      <c r="A12373">
        <f>HYPERLINK("https://www.philgeps.gov.ph/GEPSNONPILOT/Tender/SplashBidNoticeAbstractUI.aspx?menuIndex=3&amp;refID=7038302&amp;Result=3","7038302")</f>
        <v>0</v>
      </c>
      <c r="B12373" t="s">
        <v>1142</v>
      </c>
      <c r="C12373" t="s">
        <v>15249</v>
      </c>
      <c r="E12373" t="s">
        <v>28081</v>
      </c>
      <c r="F12373" t="s">
        <v>30052</v>
      </c>
      <c r="G12373" t="s">
        <v>30058</v>
      </c>
      <c r="H12373" t="s">
        <v>30067</v>
      </c>
      <c r="I12373" t="s">
        <v>3693</v>
      </c>
      <c r="J12373" t="s">
        <v>37745</v>
      </c>
      <c r="K12373" t="s">
        <v>39057</v>
      </c>
      <c r="M12373" t="s">
        <v>40485</v>
      </c>
      <c r="N12373" t="s">
        <v>43166</v>
      </c>
      <c r="O12373" t="s">
        <v>43167</v>
      </c>
      <c r="P12373">
        <v>0</v>
      </c>
      <c r="Q12373">
        <v>2</v>
      </c>
      <c r="R12373" t="s">
        <v>43185</v>
      </c>
      <c r="S12373" t="s">
        <v>43930</v>
      </c>
      <c r="T12373" t="s">
        <v>44777</v>
      </c>
      <c r="U12373" t="s">
        <v>55042</v>
      </c>
      <c r="W12373" t="s">
        <v>40485</v>
      </c>
      <c r="X12373" t="s">
        <v>43193</v>
      </c>
    </row>
    <row r="12374" spans="1:24">
      <c r="A12374">
        <f>HYPERLINK("https://www.philgeps.gov.ph/GEPSNONPILOT/Tender/SplashBidNoticeAbstractUI.aspx?menuIndex=3&amp;refID=7057985&amp;Result=3","7057985")</f>
        <v>0</v>
      </c>
      <c r="B12374" t="s">
        <v>1391</v>
      </c>
      <c r="C12374" t="s">
        <v>15250</v>
      </c>
      <c r="D12374" t="s">
        <v>17427</v>
      </c>
      <c r="E12374" t="s">
        <v>28082</v>
      </c>
      <c r="F12374" t="s">
        <v>30052</v>
      </c>
      <c r="G12374" t="s">
        <v>30058</v>
      </c>
      <c r="H12374" t="s">
        <v>15498</v>
      </c>
      <c r="I12374" t="s">
        <v>30074</v>
      </c>
      <c r="J12374" t="s">
        <v>37749</v>
      </c>
      <c r="K12374" t="s">
        <v>39029</v>
      </c>
      <c r="M12374" t="s">
        <v>42877</v>
      </c>
      <c r="N12374" t="s">
        <v>43166</v>
      </c>
      <c r="O12374" t="s">
        <v>43167</v>
      </c>
      <c r="P12374">
        <v>0</v>
      </c>
      <c r="Q12374">
        <v>2</v>
      </c>
      <c r="R12374" t="s">
        <v>43184</v>
      </c>
      <c r="S12374" t="s">
        <v>43839</v>
      </c>
      <c r="T12374" t="s">
        <v>44724</v>
      </c>
      <c r="U12374" t="s">
        <v>55043</v>
      </c>
      <c r="V12374" t="s">
        <v>57268</v>
      </c>
      <c r="W12374" t="s">
        <v>58708</v>
      </c>
      <c r="X12374" t="s">
        <v>43185</v>
      </c>
    </row>
    <row r="12375" spans="1:24">
      <c r="A12375">
        <f>HYPERLINK("https://www.philgeps.gov.ph/GEPSNONPILOT/Tender/SplashBidNoticeAbstractUI.aspx?menuIndex=3&amp;refID=7057869&amp;Result=3","7057869")</f>
        <v>0</v>
      </c>
      <c r="B12375" t="s">
        <v>2065</v>
      </c>
      <c r="C12375" t="s">
        <v>15251</v>
      </c>
      <c r="D12375" t="s">
        <v>17422</v>
      </c>
      <c r="E12375" t="s">
        <v>28083</v>
      </c>
      <c r="F12375" t="s">
        <v>30052</v>
      </c>
      <c r="G12375" t="s">
        <v>30058</v>
      </c>
      <c r="H12375" t="s">
        <v>30067</v>
      </c>
      <c r="I12375" t="s">
        <v>3693</v>
      </c>
      <c r="J12375" t="s">
        <v>37738</v>
      </c>
      <c r="K12375" t="s">
        <v>39118</v>
      </c>
      <c r="M12375" t="s">
        <v>42871</v>
      </c>
      <c r="N12375" t="s">
        <v>43166</v>
      </c>
      <c r="O12375" t="s">
        <v>43167</v>
      </c>
      <c r="P12375">
        <v>0</v>
      </c>
      <c r="Q12375">
        <v>4</v>
      </c>
      <c r="R12375" t="s">
        <v>43184</v>
      </c>
      <c r="S12375" t="s">
        <v>43839</v>
      </c>
      <c r="T12375" t="s">
        <v>44698</v>
      </c>
      <c r="U12375" t="s">
        <v>55011</v>
      </c>
      <c r="V12375" t="s">
        <v>58248</v>
      </c>
      <c r="W12375" t="s">
        <v>42871</v>
      </c>
      <c r="X12375" t="s">
        <v>43185</v>
      </c>
    </row>
    <row r="12376" spans="1:24">
      <c r="A12376">
        <f>HYPERLINK("https://www.philgeps.gov.ph/GEPSNONPILOT/Tender/SplashBidNoticeAbstractUI.aspx?menuIndex=3&amp;refID=7029449&amp;Result=3","7029449")</f>
        <v>0</v>
      </c>
      <c r="B12376" t="s">
        <v>3247</v>
      </c>
      <c r="C12376" t="s">
        <v>15252</v>
      </c>
      <c r="D12376" t="s">
        <v>17471</v>
      </c>
      <c r="E12376" t="s">
        <v>28084</v>
      </c>
      <c r="F12376" t="s">
        <v>30052</v>
      </c>
      <c r="G12376" t="s">
        <v>30058</v>
      </c>
      <c r="H12376" t="s">
        <v>15498</v>
      </c>
      <c r="I12376" t="s">
        <v>3736</v>
      </c>
      <c r="J12376" t="s">
        <v>37750</v>
      </c>
      <c r="K12376" t="s">
        <v>39031</v>
      </c>
      <c r="M12376" t="s">
        <v>42878</v>
      </c>
      <c r="N12376" t="s">
        <v>43166</v>
      </c>
      <c r="O12376" t="s">
        <v>43167</v>
      </c>
      <c r="P12376">
        <v>0</v>
      </c>
      <c r="Q12376">
        <v>0</v>
      </c>
      <c r="R12376" t="s">
        <v>43185</v>
      </c>
      <c r="S12376" t="s">
        <v>43930</v>
      </c>
      <c r="T12376" t="s">
        <v>44773</v>
      </c>
      <c r="U12376" t="s">
        <v>55044</v>
      </c>
      <c r="W12376" t="s">
        <v>42878</v>
      </c>
      <c r="X12376" t="s">
        <v>43198</v>
      </c>
    </row>
    <row r="12377" spans="1:24">
      <c r="A12377">
        <f>HYPERLINK("https://www.philgeps.gov.ph/GEPSNONPILOT/Tender/SplashBidNoticeAbstractUI.aspx?menuIndex=3&amp;refID=7057767&amp;Result=3","7057767")</f>
        <v>0</v>
      </c>
      <c r="B12377" t="s">
        <v>772</v>
      </c>
      <c r="C12377" t="s">
        <v>15253</v>
      </c>
      <c r="D12377" t="s">
        <v>17513</v>
      </c>
      <c r="E12377" t="s">
        <v>24641</v>
      </c>
      <c r="F12377" t="s">
        <v>30052</v>
      </c>
      <c r="G12377" t="s">
        <v>30058</v>
      </c>
      <c r="H12377" t="s">
        <v>15498</v>
      </c>
      <c r="I12377" t="s">
        <v>6691</v>
      </c>
      <c r="J12377" t="s">
        <v>37751</v>
      </c>
      <c r="K12377" t="s">
        <v>39156</v>
      </c>
      <c r="M12377" t="s">
        <v>40086</v>
      </c>
      <c r="N12377" t="s">
        <v>43166</v>
      </c>
      <c r="O12377" t="s">
        <v>43167</v>
      </c>
      <c r="P12377">
        <v>0</v>
      </c>
      <c r="Q12377">
        <v>8</v>
      </c>
      <c r="R12377" t="s">
        <v>43184</v>
      </c>
      <c r="S12377" t="s">
        <v>43839</v>
      </c>
      <c r="T12377" t="s">
        <v>44724</v>
      </c>
      <c r="U12377" t="s">
        <v>45722</v>
      </c>
      <c r="W12377" t="s">
        <v>40086</v>
      </c>
      <c r="X12377" t="s">
        <v>43185</v>
      </c>
    </row>
    <row r="12378" spans="1:24">
      <c r="A12378">
        <f>HYPERLINK("https://www.philgeps.gov.ph/GEPSNONPILOT/Tender/SplashBidNoticeAbstractUI.aspx?menuIndex=3&amp;refID=7058034&amp;Result=3","7058034")</f>
        <v>0</v>
      </c>
      <c r="B12378" t="s">
        <v>405</v>
      </c>
      <c r="C12378" t="s">
        <v>15254</v>
      </c>
      <c r="E12378" t="s">
        <v>28085</v>
      </c>
      <c r="F12378" t="s">
        <v>30052</v>
      </c>
      <c r="G12378" t="s">
        <v>30058</v>
      </c>
      <c r="H12378" t="s">
        <v>30067</v>
      </c>
      <c r="I12378" t="s">
        <v>3693</v>
      </c>
      <c r="J12378" t="s">
        <v>37752</v>
      </c>
      <c r="K12378" t="s">
        <v>39026</v>
      </c>
      <c r="M12378" t="s">
        <v>39704</v>
      </c>
      <c r="N12378" t="s">
        <v>43166</v>
      </c>
      <c r="O12378" t="s">
        <v>43167</v>
      </c>
      <c r="P12378">
        <v>0</v>
      </c>
      <c r="Q12378">
        <v>3</v>
      </c>
      <c r="R12378" t="s">
        <v>43184</v>
      </c>
      <c r="S12378" t="s">
        <v>43839</v>
      </c>
      <c r="T12378" t="s">
        <v>44724</v>
      </c>
      <c r="U12378" t="s">
        <v>55045</v>
      </c>
      <c r="W12378" t="s">
        <v>39704</v>
      </c>
      <c r="X12378" t="s">
        <v>43185</v>
      </c>
    </row>
    <row r="12379" spans="1:24">
      <c r="A12379">
        <f>HYPERLINK("https://www.philgeps.gov.ph/GEPSNONPILOT/Tender/SplashBidNoticeAbstractUI.aspx?menuIndex=3&amp;refID=7047790&amp;Result=3","7047790")</f>
        <v>0</v>
      </c>
      <c r="B12379" t="s">
        <v>1142</v>
      </c>
      <c r="C12379" t="s">
        <v>15255</v>
      </c>
      <c r="E12379" t="s">
        <v>28086</v>
      </c>
      <c r="F12379" t="s">
        <v>30052</v>
      </c>
      <c r="G12379" t="s">
        <v>30058</v>
      </c>
      <c r="H12379" t="s">
        <v>15498</v>
      </c>
      <c r="I12379" t="s">
        <v>30076</v>
      </c>
      <c r="J12379" t="s">
        <v>37753</v>
      </c>
      <c r="K12379" t="s">
        <v>39025</v>
      </c>
      <c r="M12379" t="s">
        <v>40485</v>
      </c>
      <c r="N12379" t="s">
        <v>43166</v>
      </c>
      <c r="O12379" t="s">
        <v>43167</v>
      </c>
      <c r="P12379">
        <v>0</v>
      </c>
      <c r="Q12379">
        <v>12</v>
      </c>
      <c r="R12379" t="s">
        <v>43185</v>
      </c>
      <c r="S12379" t="s">
        <v>43930</v>
      </c>
      <c r="T12379" t="s">
        <v>44685</v>
      </c>
      <c r="U12379" t="s">
        <v>55046</v>
      </c>
      <c r="W12379" t="s">
        <v>40485</v>
      </c>
      <c r="X12379" t="s">
        <v>43188</v>
      </c>
    </row>
    <row r="12380" spans="1:24">
      <c r="A12380">
        <f>HYPERLINK("https://www.philgeps.gov.ph/GEPSNONPILOT/Tender/SplashBidNoticeAbstractUI.aspx?menuIndex=3&amp;refID=7057775&amp;Result=3","7057775")</f>
        <v>0</v>
      </c>
      <c r="B12380" t="s">
        <v>1589</v>
      </c>
      <c r="C12380" t="s">
        <v>15256</v>
      </c>
      <c r="D12380" t="s">
        <v>17494</v>
      </c>
      <c r="E12380" t="s">
        <v>28087</v>
      </c>
      <c r="F12380" t="s">
        <v>30052</v>
      </c>
      <c r="G12380" t="s">
        <v>30058</v>
      </c>
      <c r="H12380" t="s">
        <v>15498</v>
      </c>
      <c r="I12380" t="s">
        <v>30074</v>
      </c>
      <c r="J12380" t="s">
        <v>37754</v>
      </c>
      <c r="K12380" t="s">
        <v>39064</v>
      </c>
      <c r="M12380" t="s">
        <v>40982</v>
      </c>
      <c r="N12380" t="s">
        <v>43166</v>
      </c>
      <c r="O12380" t="s">
        <v>43167</v>
      </c>
      <c r="P12380">
        <v>0</v>
      </c>
      <c r="Q12380">
        <v>0</v>
      </c>
      <c r="R12380" t="s">
        <v>43184</v>
      </c>
      <c r="S12380" t="s">
        <v>43839</v>
      </c>
      <c r="T12380" t="s">
        <v>44717</v>
      </c>
      <c r="U12380" t="s">
        <v>55047</v>
      </c>
      <c r="W12380" t="s">
        <v>40982</v>
      </c>
      <c r="X12380" t="s">
        <v>43185</v>
      </c>
    </row>
    <row r="12381" spans="1:24">
      <c r="A12381">
        <f>HYPERLINK("https://www.philgeps.gov.ph/GEPSNONPILOT/Tender/SplashBidNoticeAbstractUI.aspx?menuIndex=3&amp;refID=7049244&amp;Result=3","7049244")</f>
        <v>0</v>
      </c>
      <c r="B12381" t="s">
        <v>3248</v>
      </c>
      <c r="C12381" t="s">
        <v>15257</v>
      </c>
      <c r="D12381" t="s">
        <v>17427</v>
      </c>
      <c r="E12381" t="s">
        <v>28088</v>
      </c>
      <c r="F12381" t="s">
        <v>30052</v>
      </c>
      <c r="G12381" t="s">
        <v>30058</v>
      </c>
      <c r="H12381" t="s">
        <v>15498</v>
      </c>
      <c r="I12381" t="s">
        <v>30071</v>
      </c>
      <c r="J12381" t="s">
        <v>37755</v>
      </c>
      <c r="K12381" t="s">
        <v>39019</v>
      </c>
      <c r="M12381" t="s">
        <v>42879</v>
      </c>
      <c r="N12381" t="s">
        <v>43166</v>
      </c>
      <c r="O12381" t="s">
        <v>43167</v>
      </c>
      <c r="P12381">
        <v>0</v>
      </c>
      <c r="Q12381">
        <v>1</v>
      </c>
      <c r="R12381" t="s">
        <v>43185</v>
      </c>
      <c r="S12381" t="s">
        <v>43930</v>
      </c>
      <c r="T12381" t="s">
        <v>44685</v>
      </c>
      <c r="U12381" t="s">
        <v>55048</v>
      </c>
      <c r="W12381" t="s">
        <v>42879</v>
      </c>
      <c r="X12381" t="s">
        <v>43188</v>
      </c>
    </row>
    <row r="12382" spans="1:24">
      <c r="A12382">
        <f>HYPERLINK("https://www.philgeps.gov.ph/GEPSNONPILOT/Tender/SplashBidNoticeAbstractUI.aspx?menuIndex=3&amp;refID=7049222&amp;Result=3","7049222")</f>
        <v>0</v>
      </c>
      <c r="B12382" t="s">
        <v>3249</v>
      </c>
      <c r="C12382" t="s">
        <v>15258</v>
      </c>
      <c r="D12382" t="s">
        <v>17414</v>
      </c>
      <c r="E12382" t="s">
        <v>28089</v>
      </c>
      <c r="F12382" t="s">
        <v>30052</v>
      </c>
      <c r="G12382" t="s">
        <v>30058</v>
      </c>
      <c r="H12382" t="s">
        <v>15498</v>
      </c>
      <c r="I12382" t="s">
        <v>30081</v>
      </c>
      <c r="J12382" t="s">
        <v>30252</v>
      </c>
      <c r="K12382" t="s">
        <v>39019</v>
      </c>
      <c r="M12382" t="s">
        <v>42880</v>
      </c>
      <c r="N12382" t="s">
        <v>43166</v>
      </c>
      <c r="O12382" t="s">
        <v>43167</v>
      </c>
      <c r="P12382">
        <v>0</v>
      </c>
      <c r="Q12382">
        <v>2</v>
      </c>
      <c r="R12382" t="s">
        <v>43185</v>
      </c>
      <c r="S12382" t="s">
        <v>43930</v>
      </c>
      <c r="T12382" t="s">
        <v>44862</v>
      </c>
      <c r="U12382" t="s">
        <v>55049</v>
      </c>
      <c r="V12382" t="s">
        <v>58249</v>
      </c>
      <c r="W12382" t="s">
        <v>42880</v>
      </c>
      <c r="X12382" t="s">
        <v>43188</v>
      </c>
    </row>
    <row r="12383" spans="1:24">
      <c r="A12383">
        <f>HYPERLINK("https://www.philgeps.gov.ph/GEPSNONPILOT/Tender/SplashBidNoticeAbstractUI.aspx?menuIndex=3&amp;refID=7048996&amp;Result=3","7048996")</f>
        <v>0</v>
      </c>
      <c r="B12383" t="s">
        <v>3248</v>
      </c>
      <c r="C12383" t="s">
        <v>15259</v>
      </c>
      <c r="D12383" t="s">
        <v>17427</v>
      </c>
      <c r="E12383" t="s">
        <v>28090</v>
      </c>
      <c r="F12383" t="s">
        <v>30052</v>
      </c>
      <c r="G12383" t="s">
        <v>30058</v>
      </c>
      <c r="H12383" t="s">
        <v>15498</v>
      </c>
      <c r="I12383" t="s">
        <v>30071</v>
      </c>
      <c r="J12383" t="s">
        <v>37756</v>
      </c>
      <c r="K12383" t="s">
        <v>39019</v>
      </c>
      <c r="M12383" t="s">
        <v>42879</v>
      </c>
      <c r="N12383" t="s">
        <v>43166</v>
      </c>
      <c r="O12383" t="s">
        <v>43167</v>
      </c>
      <c r="P12383">
        <v>0</v>
      </c>
      <c r="Q12383">
        <v>1</v>
      </c>
      <c r="R12383" t="s">
        <v>43185</v>
      </c>
      <c r="S12383" t="s">
        <v>43930</v>
      </c>
      <c r="T12383" t="s">
        <v>44685</v>
      </c>
      <c r="U12383" t="s">
        <v>55050</v>
      </c>
      <c r="W12383" t="s">
        <v>42879</v>
      </c>
      <c r="X12383" t="s">
        <v>43188</v>
      </c>
    </row>
    <row r="12384" spans="1:24">
      <c r="A12384">
        <f>HYPERLINK("https://www.philgeps.gov.ph/GEPSNONPILOT/Tender/SplashBidNoticeAbstractUI.aspx?menuIndex=3&amp;refID=7057973&amp;Result=3","7057973")</f>
        <v>0</v>
      </c>
      <c r="B12384" t="s">
        <v>3213</v>
      </c>
      <c r="C12384" t="s">
        <v>15260</v>
      </c>
      <c r="D12384" t="s">
        <v>17476</v>
      </c>
      <c r="E12384" t="s">
        <v>28091</v>
      </c>
      <c r="F12384" t="s">
        <v>30052</v>
      </c>
      <c r="G12384" t="s">
        <v>30058</v>
      </c>
      <c r="H12384" t="s">
        <v>15498</v>
      </c>
      <c r="I12384" t="s">
        <v>30074</v>
      </c>
      <c r="J12384" t="s">
        <v>30588</v>
      </c>
      <c r="K12384" t="s">
        <v>39034</v>
      </c>
      <c r="M12384" t="s">
        <v>42836</v>
      </c>
      <c r="N12384" t="s">
        <v>43166</v>
      </c>
      <c r="O12384" t="s">
        <v>43167</v>
      </c>
      <c r="P12384">
        <v>0</v>
      </c>
      <c r="Q12384">
        <v>2</v>
      </c>
      <c r="R12384" t="s">
        <v>43184</v>
      </c>
      <c r="S12384" t="s">
        <v>43839</v>
      </c>
      <c r="T12384" t="s">
        <v>44882</v>
      </c>
      <c r="U12384" t="s">
        <v>55051</v>
      </c>
      <c r="W12384" t="s">
        <v>42836</v>
      </c>
      <c r="X12384" t="s">
        <v>43185</v>
      </c>
    </row>
    <row r="12385" spans="1:24">
      <c r="A12385">
        <f>HYPERLINK("https://www.philgeps.gov.ph/GEPSNONPILOT/Tender/SplashBidNoticeAbstractUI.aspx?menuIndex=3&amp;refID=7049145&amp;Result=3","7049145")</f>
        <v>0</v>
      </c>
      <c r="B12385" t="s">
        <v>1667</v>
      </c>
      <c r="C12385" t="s">
        <v>15261</v>
      </c>
      <c r="D12385" t="s">
        <v>17416</v>
      </c>
      <c r="E12385" t="s">
        <v>28092</v>
      </c>
      <c r="F12385" t="s">
        <v>30052</v>
      </c>
      <c r="G12385" t="s">
        <v>30058</v>
      </c>
      <c r="H12385" t="s">
        <v>30067</v>
      </c>
      <c r="I12385" t="s">
        <v>3693</v>
      </c>
      <c r="J12385" t="s">
        <v>37757</v>
      </c>
      <c r="K12385" t="s">
        <v>39093</v>
      </c>
      <c r="M12385" t="s">
        <v>41681</v>
      </c>
      <c r="N12385" t="s">
        <v>43166</v>
      </c>
      <c r="O12385" t="s">
        <v>43167</v>
      </c>
      <c r="P12385">
        <v>0</v>
      </c>
      <c r="Q12385">
        <v>0</v>
      </c>
      <c r="R12385" t="s">
        <v>43185</v>
      </c>
      <c r="S12385" t="s">
        <v>43930</v>
      </c>
      <c r="T12385" t="s">
        <v>44959</v>
      </c>
      <c r="U12385" t="s">
        <v>55052</v>
      </c>
      <c r="W12385" t="s">
        <v>41681</v>
      </c>
      <c r="X12385" t="s">
        <v>43188</v>
      </c>
    </row>
    <row r="12386" spans="1:24">
      <c r="A12386">
        <f>HYPERLINK("https://www.philgeps.gov.ph/GEPSNONPILOT/Tender/SplashBidNoticeAbstractUI.aspx?menuIndex=3&amp;refID=7057754&amp;Result=3","7057754")</f>
        <v>0</v>
      </c>
      <c r="B12386" t="s">
        <v>2371</v>
      </c>
      <c r="C12386" t="s">
        <v>15262</v>
      </c>
      <c r="D12386" t="s">
        <v>17452</v>
      </c>
      <c r="E12386" t="s">
        <v>28093</v>
      </c>
      <c r="F12386" t="s">
        <v>30052</v>
      </c>
      <c r="G12386" t="s">
        <v>30058</v>
      </c>
      <c r="H12386" t="s">
        <v>30067</v>
      </c>
      <c r="I12386" t="s">
        <v>3693</v>
      </c>
      <c r="J12386" t="s">
        <v>37758</v>
      </c>
      <c r="K12386" t="s">
        <v>39016</v>
      </c>
      <c r="M12386" t="s">
        <v>41866</v>
      </c>
      <c r="N12386" t="s">
        <v>43166</v>
      </c>
      <c r="O12386" t="s">
        <v>43167</v>
      </c>
      <c r="Q12386">
        <v>2</v>
      </c>
      <c r="R12386" t="s">
        <v>43184</v>
      </c>
      <c r="S12386" t="s">
        <v>43934</v>
      </c>
      <c r="T12386" t="s">
        <v>44753</v>
      </c>
      <c r="U12386" t="s">
        <v>55053</v>
      </c>
      <c r="W12386" t="s">
        <v>41866</v>
      </c>
      <c r="X12386" t="s">
        <v>43185</v>
      </c>
    </row>
    <row r="12387" spans="1:24">
      <c r="A12387">
        <f>HYPERLINK("https://www.philgeps.gov.ph/GEPSNONPILOT/Tender/SplashBidNoticeAbstractUI.aspx?menuIndex=3&amp;refID=7048892&amp;Result=3","7048892")</f>
        <v>0</v>
      </c>
      <c r="B12387" t="s">
        <v>3248</v>
      </c>
      <c r="C12387" t="s">
        <v>15263</v>
      </c>
      <c r="D12387" t="s">
        <v>17427</v>
      </c>
      <c r="E12387" t="s">
        <v>28094</v>
      </c>
      <c r="F12387" t="s">
        <v>30052</v>
      </c>
      <c r="G12387" t="s">
        <v>30058</v>
      </c>
      <c r="H12387" t="s">
        <v>15498</v>
      </c>
      <c r="I12387" t="s">
        <v>30071</v>
      </c>
      <c r="J12387" t="s">
        <v>37759</v>
      </c>
      <c r="K12387" t="s">
        <v>39019</v>
      </c>
      <c r="M12387" t="s">
        <v>42879</v>
      </c>
      <c r="N12387" t="s">
        <v>43166</v>
      </c>
      <c r="O12387" t="s">
        <v>43167</v>
      </c>
      <c r="P12387">
        <v>0</v>
      </c>
      <c r="Q12387">
        <v>1</v>
      </c>
      <c r="R12387" t="s">
        <v>43185</v>
      </c>
      <c r="S12387" t="s">
        <v>43930</v>
      </c>
      <c r="T12387" t="s">
        <v>44685</v>
      </c>
      <c r="U12387" t="s">
        <v>55054</v>
      </c>
      <c r="W12387" t="s">
        <v>42879</v>
      </c>
      <c r="X12387" t="s">
        <v>43188</v>
      </c>
    </row>
    <row r="12388" spans="1:24">
      <c r="A12388">
        <f>HYPERLINK("https://www.philgeps.gov.ph/GEPSNONPILOT/Tender/SplashBidNoticeAbstractUI.aspx?menuIndex=3&amp;refID=7049059&amp;Result=3","7049059")</f>
        <v>0</v>
      </c>
      <c r="B12388" t="s">
        <v>3249</v>
      </c>
      <c r="C12388" t="s">
        <v>15264</v>
      </c>
      <c r="D12388" t="s">
        <v>17414</v>
      </c>
      <c r="E12388" t="s">
        <v>28095</v>
      </c>
      <c r="F12388" t="s">
        <v>30052</v>
      </c>
      <c r="G12388" t="s">
        <v>30058</v>
      </c>
      <c r="H12388" t="s">
        <v>15498</v>
      </c>
      <c r="I12388" t="s">
        <v>30140</v>
      </c>
      <c r="J12388" t="s">
        <v>30586</v>
      </c>
      <c r="K12388" t="s">
        <v>39019</v>
      </c>
      <c r="M12388" t="s">
        <v>42880</v>
      </c>
      <c r="N12388" t="s">
        <v>43166</v>
      </c>
      <c r="O12388" t="s">
        <v>43167</v>
      </c>
      <c r="P12388">
        <v>0</v>
      </c>
      <c r="Q12388">
        <v>2</v>
      </c>
      <c r="R12388" t="s">
        <v>43185</v>
      </c>
      <c r="S12388" t="s">
        <v>43930</v>
      </c>
      <c r="T12388" t="s">
        <v>44862</v>
      </c>
      <c r="U12388" t="s">
        <v>55055</v>
      </c>
      <c r="V12388" t="s">
        <v>58249</v>
      </c>
      <c r="W12388" t="s">
        <v>42880</v>
      </c>
      <c r="X12388" t="s">
        <v>43188</v>
      </c>
    </row>
    <row r="12389" spans="1:24">
      <c r="A12389">
        <f>HYPERLINK("https://www.philgeps.gov.ph/GEPSNONPILOT/Tender/SplashBidNoticeAbstractUI.aspx?menuIndex=3&amp;refID=7058004&amp;Result=3","7058004")</f>
        <v>0</v>
      </c>
      <c r="B12389" t="s">
        <v>1646</v>
      </c>
      <c r="C12389" t="s">
        <v>15265</v>
      </c>
      <c r="E12389" t="s">
        <v>28096</v>
      </c>
      <c r="F12389" t="s">
        <v>30052</v>
      </c>
      <c r="G12389" t="s">
        <v>30059</v>
      </c>
      <c r="H12389" t="s">
        <v>15498</v>
      </c>
      <c r="I12389" t="s">
        <v>30151</v>
      </c>
      <c r="J12389" t="s">
        <v>37760</v>
      </c>
      <c r="K12389" t="s">
        <v>39025</v>
      </c>
      <c r="M12389" t="s">
        <v>42872</v>
      </c>
      <c r="N12389" t="s">
        <v>43166</v>
      </c>
      <c r="O12389" t="s">
        <v>43167</v>
      </c>
      <c r="Q12389">
        <v>10</v>
      </c>
      <c r="R12389" t="s">
        <v>43184</v>
      </c>
      <c r="S12389" t="s">
        <v>43935</v>
      </c>
      <c r="T12389" t="s">
        <v>44862</v>
      </c>
      <c r="U12389" t="s">
        <v>55056</v>
      </c>
      <c r="W12389" t="s">
        <v>42872</v>
      </c>
      <c r="X12389" t="s">
        <v>43185</v>
      </c>
    </row>
    <row r="12390" spans="1:24">
      <c r="A12390">
        <f>HYPERLINK("https://www.philgeps.gov.ph/GEPSNONPILOT/Tender/SplashBidNoticeAbstractUI.aspx?menuIndex=3&amp;refID=7048820&amp;Result=3","7048820")</f>
        <v>0</v>
      </c>
      <c r="B12390" t="s">
        <v>1667</v>
      </c>
      <c r="C12390" t="s">
        <v>15266</v>
      </c>
      <c r="D12390" t="s">
        <v>17416</v>
      </c>
      <c r="E12390" t="s">
        <v>28097</v>
      </c>
      <c r="F12390" t="s">
        <v>30052</v>
      </c>
      <c r="G12390" t="s">
        <v>30058</v>
      </c>
      <c r="H12390" t="s">
        <v>30067</v>
      </c>
      <c r="I12390" t="s">
        <v>3693</v>
      </c>
      <c r="J12390" t="s">
        <v>37761</v>
      </c>
      <c r="K12390" t="s">
        <v>39186</v>
      </c>
      <c r="M12390" t="s">
        <v>41681</v>
      </c>
      <c r="N12390" t="s">
        <v>43166</v>
      </c>
      <c r="O12390" t="s">
        <v>43167</v>
      </c>
      <c r="P12390">
        <v>0</v>
      </c>
      <c r="Q12390">
        <v>0</v>
      </c>
      <c r="R12390" t="s">
        <v>43185</v>
      </c>
      <c r="S12390" t="s">
        <v>43930</v>
      </c>
      <c r="T12390" t="s">
        <v>44959</v>
      </c>
      <c r="U12390" t="s">
        <v>55057</v>
      </c>
      <c r="W12390" t="s">
        <v>41681</v>
      </c>
      <c r="X12390" t="s">
        <v>43188</v>
      </c>
    </row>
    <row r="12391" spans="1:24">
      <c r="A12391">
        <f>HYPERLINK("https://www.philgeps.gov.ph/GEPSNONPILOT/Tender/SplashBidNoticeAbstractUI.aspx?menuIndex=3&amp;refID=7034087&amp;Result=3","7034087")</f>
        <v>0</v>
      </c>
      <c r="B12391" t="s">
        <v>1657</v>
      </c>
      <c r="C12391" t="s">
        <v>14426</v>
      </c>
      <c r="D12391" t="s">
        <v>17450</v>
      </c>
      <c r="E12391" t="s">
        <v>17673</v>
      </c>
      <c r="F12391" t="s">
        <v>30052</v>
      </c>
      <c r="G12391" t="s">
        <v>30058</v>
      </c>
      <c r="H12391" t="s">
        <v>15498</v>
      </c>
      <c r="I12391" t="s">
        <v>30076</v>
      </c>
      <c r="J12391" t="s">
        <v>37762</v>
      </c>
      <c r="K12391" t="s">
        <v>39029</v>
      </c>
      <c r="M12391" t="s">
        <v>41062</v>
      </c>
      <c r="N12391" t="s">
        <v>43166</v>
      </c>
      <c r="O12391" t="s">
        <v>43167</v>
      </c>
      <c r="Q12391">
        <v>9</v>
      </c>
      <c r="R12391" t="s">
        <v>43185</v>
      </c>
      <c r="S12391" t="s">
        <v>43936</v>
      </c>
      <c r="T12391" t="s">
        <v>44808</v>
      </c>
      <c r="U12391" t="s">
        <v>55058</v>
      </c>
      <c r="W12391" t="s">
        <v>41062</v>
      </c>
      <c r="X12391" t="s">
        <v>43195</v>
      </c>
    </row>
    <row r="12392" spans="1:24">
      <c r="A12392">
        <f>HYPERLINK("https://www.philgeps.gov.ph/GEPSNONPILOT/Tender/SplashBidNoticeAbstractUI.aspx?menuIndex=3&amp;refID=7048756&amp;Result=3","7048756")</f>
        <v>0</v>
      </c>
      <c r="B12392" t="s">
        <v>3249</v>
      </c>
      <c r="C12392" t="s">
        <v>15267</v>
      </c>
      <c r="D12392" t="s">
        <v>17414</v>
      </c>
      <c r="E12392" t="s">
        <v>28098</v>
      </c>
      <c r="F12392" t="s">
        <v>30052</v>
      </c>
      <c r="G12392" t="s">
        <v>30058</v>
      </c>
      <c r="H12392" t="s">
        <v>15498</v>
      </c>
      <c r="I12392" t="s">
        <v>30096</v>
      </c>
      <c r="J12392" t="s">
        <v>30252</v>
      </c>
      <c r="K12392" t="s">
        <v>39019</v>
      </c>
      <c r="M12392" t="s">
        <v>42880</v>
      </c>
      <c r="N12392" t="s">
        <v>43166</v>
      </c>
      <c r="O12392" t="s">
        <v>43167</v>
      </c>
      <c r="P12392">
        <v>0</v>
      </c>
      <c r="Q12392">
        <v>1</v>
      </c>
      <c r="R12392" t="s">
        <v>43185</v>
      </c>
      <c r="S12392" t="s">
        <v>43930</v>
      </c>
      <c r="T12392" t="s">
        <v>44862</v>
      </c>
      <c r="U12392" t="s">
        <v>55059</v>
      </c>
      <c r="V12392" t="s">
        <v>58249</v>
      </c>
      <c r="W12392" t="s">
        <v>42880</v>
      </c>
      <c r="X12392" t="s">
        <v>43188</v>
      </c>
    </row>
    <row r="12393" spans="1:24">
      <c r="A12393">
        <f>HYPERLINK("https://www.philgeps.gov.ph/GEPSNONPILOT/Tender/SplashBidNoticeAbstractUI.aspx?menuIndex=3&amp;refID=7049132&amp;Result=3","7049132")</f>
        <v>0</v>
      </c>
      <c r="B12393" t="s">
        <v>3249</v>
      </c>
      <c r="C12393" t="s">
        <v>15268</v>
      </c>
      <c r="D12393" t="s">
        <v>17414</v>
      </c>
      <c r="E12393" t="s">
        <v>28099</v>
      </c>
      <c r="F12393" t="s">
        <v>30052</v>
      </c>
      <c r="G12393" t="s">
        <v>30058</v>
      </c>
      <c r="H12393" t="s">
        <v>15498</v>
      </c>
      <c r="I12393" t="s">
        <v>30140</v>
      </c>
      <c r="J12393" t="s">
        <v>30397</v>
      </c>
      <c r="K12393" t="s">
        <v>39019</v>
      </c>
      <c r="M12393" t="s">
        <v>42880</v>
      </c>
      <c r="N12393" t="s">
        <v>43166</v>
      </c>
      <c r="O12393" t="s">
        <v>43167</v>
      </c>
      <c r="P12393">
        <v>0</v>
      </c>
      <c r="Q12393">
        <v>6</v>
      </c>
      <c r="R12393" t="s">
        <v>43185</v>
      </c>
      <c r="S12393" t="s">
        <v>43930</v>
      </c>
      <c r="T12393" t="s">
        <v>44862</v>
      </c>
      <c r="U12393" t="s">
        <v>55060</v>
      </c>
      <c r="V12393" t="s">
        <v>58249</v>
      </c>
      <c r="W12393" t="s">
        <v>42880</v>
      </c>
      <c r="X12393" t="s">
        <v>43188</v>
      </c>
    </row>
    <row r="12394" spans="1:24">
      <c r="A12394">
        <f>HYPERLINK("https://www.philgeps.gov.ph/GEPSNONPILOT/Tender/SplashBidNoticeAbstractUI.aspx?menuIndex=3&amp;refID=7048839&amp;Result=3","7048839")</f>
        <v>0</v>
      </c>
      <c r="B12394" t="s">
        <v>3249</v>
      </c>
      <c r="C12394" t="s">
        <v>15269</v>
      </c>
      <c r="D12394" t="s">
        <v>17414</v>
      </c>
      <c r="E12394" t="s">
        <v>28100</v>
      </c>
      <c r="F12394" t="s">
        <v>30052</v>
      </c>
      <c r="G12394" t="s">
        <v>30058</v>
      </c>
      <c r="H12394" t="s">
        <v>15498</v>
      </c>
      <c r="I12394" t="s">
        <v>8758</v>
      </c>
      <c r="J12394" t="s">
        <v>35252</v>
      </c>
      <c r="K12394" t="s">
        <v>39019</v>
      </c>
      <c r="M12394" t="s">
        <v>42880</v>
      </c>
      <c r="N12394" t="s">
        <v>43166</v>
      </c>
      <c r="O12394" t="s">
        <v>43167</v>
      </c>
      <c r="P12394">
        <v>0</v>
      </c>
      <c r="Q12394">
        <v>2</v>
      </c>
      <c r="R12394" t="s">
        <v>43185</v>
      </c>
      <c r="S12394" t="s">
        <v>43930</v>
      </c>
      <c r="T12394" t="s">
        <v>44862</v>
      </c>
      <c r="U12394" t="s">
        <v>55061</v>
      </c>
      <c r="W12394" t="s">
        <v>42880</v>
      </c>
      <c r="X12394" t="s">
        <v>43188</v>
      </c>
    </row>
    <row r="12395" spans="1:24">
      <c r="A12395">
        <f>HYPERLINK("https://www.philgeps.gov.ph/GEPSNONPILOT/Tender/SplashBidNoticeAbstractUI.aspx?menuIndex=3&amp;refID=7048004&amp;Result=3","7048004")</f>
        <v>0</v>
      </c>
      <c r="B12395" t="s">
        <v>3250</v>
      </c>
      <c r="C12395" t="s">
        <v>15270</v>
      </c>
      <c r="D12395" t="s">
        <v>17422</v>
      </c>
      <c r="E12395" t="s">
        <v>28101</v>
      </c>
      <c r="F12395" t="s">
        <v>30055</v>
      </c>
      <c r="G12395" t="s">
        <v>30058</v>
      </c>
      <c r="H12395" t="s">
        <v>15498</v>
      </c>
      <c r="I12395" t="s">
        <v>3693</v>
      </c>
      <c r="J12395" t="s">
        <v>30218</v>
      </c>
      <c r="K12395" t="s">
        <v>39031</v>
      </c>
      <c r="M12395" t="s">
        <v>42881</v>
      </c>
      <c r="N12395" t="s">
        <v>43166</v>
      </c>
      <c r="O12395" t="s">
        <v>43167</v>
      </c>
      <c r="P12395">
        <v>0</v>
      </c>
      <c r="Q12395">
        <v>0</v>
      </c>
      <c r="R12395" t="s">
        <v>43185</v>
      </c>
      <c r="S12395" t="s">
        <v>43930</v>
      </c>
      <c r="T12395" t="s">
        <v>44717</v>
      </c>
      <c r="U12395" t="s">
        <v>55062</v>
      </c>
      <c r="V12395" t="s">
        <v>58250</v>
      </c>
      <c r="W12395" t="s">
        <v>42881</v>
      </c>
      <c r="X12395" t="s">
        <v>43188</v>
      </c>
    </row>
    <row r="12396" spans="1:24">
      <c r="A12396">
        <f>HYPERLINK("https://www.philgeps.gov.ph/GEPSNONPILOT/Tender/SplashBidNoticeAbstractUI.aspx?menuIndex=3&amp;refID=7048460&amp;Result=3","7048460")</f>
        <v>0</v>
      </c>
      <c r="B12396" t="s">
        <v>1142</v>
      </c>
      <c r="C12396" t="s">
        <v>6307</v>
      </c>
      <c r="E12396" t="s">
        <v>28102</v>
      </c>
      <c r="F12396" t="s">
        <v>30052</v>
      </c>
      <c r="G12396" t="s">
        <v>30058</v>
      </c>
      <c r="H12396" t="s">
        <v>15498</v>
      </c>
      <c r="I12396" t="s">
        <v>30182</v>
      </c>
      <c r="J12396" t="s">
        <v>37763</v>
      </c>
      <c r="K12396" t="s">
        <v>39025</v>
      </c>
      <c r="M12396" t="s">
        <v>40485</v>
      </c>
      <c r="N12396" t="s">
        <v>43166</v>
      </c>
      <c r="O12396" t="s">
        <v>43167</v>
      </c>
      <c r="P12396">
        <v>0</v>
      </c>
      <c r="Q12396">
        <v>4</v>
      </c>
      <c r="R12396" t="s">
        <v>43185</v>
      </c>
      <c r="S12396" t="s">
        <v>43930</v>
      </c>
      <c r="T12396" t="s">
        <v>44685</v>
      </c>
      <c r="U12396" t="s">
        <v>47682</v>
      </c>
      <c r="W12396" t="s">
        <v>40485</v>
      </c>
      <c r="X12396" t="s">
        <v>43188</v>
      </c>
    </row>
    <row r="12397" spans="1:24">
      <c r="A12397">
        <f>HYPERLINK("https://www.philgeps.gov.ph/GEPSNONPILOT/Tender/SplashBidNoticeAbstractUI.aspx?menuIndex=3&amp;refID=7051392&amp;Result=3","7051392")</f>
        <v>0</v>
      </c>
      <c r="B12397" t="s">
        <v>1667</v>
      </c>
      <c r="C12397" t="s">
        <v>15271</v>
      </c>
      <c r="D12397" t="s">
        <v>17416</v>
      </c>
      <c r="E12397" t="s">
        <v>28103</v>
      </c>
      <c r="F12397" t="s">
        <v>30052</v>
      </c>
      <c r="G12397" t="s">
        <v>30058</v>
      </c>
      <c r="H12397" t="s">
        <v>30067</v>
      </c>
      <c r="I12397" t="s">
        <v>3693</v>
      </c>
      <c r="J12397" t="s">
        <v>37764</v>
      </c>
      <c r="K12397" t="s">
        <v>39038</v>
      </c>
      <c r="M12397" t="s">
        <v>41681</v>
      </c>
      <c r="N12397" t="s">
        <v>43166</v>
      </c>
      <c r="O12397" t="s">
        <v>43167</v>
      </c>
      <c r="P12397">
        <v>0</v>
      </c>
      <c r="Q12397">
        <v>0</v>
      </c>
      <c r="R12397" t="s">
        <v>43185</v>
      </c>
      <c r="S12397" t="s">
        <v>43930</v>
      </c>
      <c r="T12397" t="s">
        <v>44959</v>
      </c>
      <c r="U12397" t="s">
        <v>55063</v>
      </c>
      <c r="W12397" t="s">
        <v>41681</v>
      </c>
      <c r="X12397" t="s">
        <v>43187</v>
      </c>
    </row>
    <row r="12398" spans="1:24">
      <c r="A12398">
        <f>HYPERLINK("https://www.philgeps.gov.ph/GEPSNONPILOT/Tender/SplashBidNoticeAbstractUI.aspx?menuIndex=3&amp;refID=7052002&amp;Result=3","7052002")</f>
        <v>0</v>
      </c>
      <c r="B12398" t="s">
        <v>910</v>
      </c>
      <c r="C12398" t="s">
        <v>15272</v>
      </c>
      <c r="E12398" t="s">
        <v>28104</v>
      </c>
      <c r="F12398" t="s">
        <v>30052</v>
      </c>
      <c r="G12398" t="s">
        <v>30058</v>
      </c>
      <c r="H12398" t="s">
        <v>30067</v>
      </c>
      <c r="I12398" t="s">
        <v>3693</v>
      </c>
      <c r="J12398" t="s">
        <v>37765</v>
      </c>
      <c r="K12398" t="s">
        <v>39057</v>
      </c>
      <c r="M12398" t="s">
        <v>41159</v>
      </c>
      <c r="N12398" t="s">
        <v>43166</v>
      </c>
      <c r="O12398" t="s">
        <v>43167</v>
      </c>
      <c r="P12398">
        <v>0</v>
      </c>
      <c r="Q12398">
        <v>1</v>
      </c>
      <c r="R12398" t="s">
        <v>43185</v>
      </c>
      <c r="S12398" t="s">
        <v>43930</v>
      </c>
      <c r="T12398" t="s">
        <v>44729</v>
      </c>
      <c r="U12398" t="s">
        <v>55064</v>
      </c>
      <c r="W12398" t="s">
        <v>41159</v>
      </c>
      <c r="X12398" t="s">
        <v>43187</v>
      </c>
    </row>
    <row r="12399" spans="1:24">
      <c r="A12399">
        <f>HYPERLINK("https://www.philgeps.gov.ph/GEPSNONPILOT/Tender/SplashBidNoticeAbstractUI.aspx?menuIndex=3&amp;refID=7049183&amp;Result=3","7049183")</f>
        <v>0</v>
      </c>
      <c r="B12399" t="s">
        <v>3249</v>
      </c>
      <c r="C12399" t="s">
        <v>15273</v>
      </c>
      <c r="D12399" t="s">
        <v>17414</v>
      </c>
      <c r="E12399" t="s">
        <v>28105</v>
      </c>
      <c r="F12399" t="s">
        <v>30052</v>
      </c>
      <c r="G12399" t="s">
        <v>30058</v>
      </c>
      <c r="H12399" t="s">
        <v>15498</v>
      </c>
      <c r="I12399" t="s">
        <v>3606</v>
      </c>
      <c r="J12399" t="s">
        <v>37766</v>
      </c>
      <c r="K12399" t="s">
        <v>39019</v>
      </c>
      <c r="M12399" t="s">
        <v>42880</v>
      </c>
      <c r="N12399" t="s">
        <v>43166</v>
      </c>
      <c r="O12399" t="s">
        <v>43167</v>
      </c>
      <c r="P12399">
        <v>0</v>
      </c>
      <c r="Q12399">
        <v>1</v>
      </c>
      <c r="R12399" t="s">
        <v>43185</v>
      </c>
      <c r="S12399" t="s">
        <v>43930</v>
      </c>
      <c r="T12399" t="s">
        <v>44862</v>
      </c>
      <c r="U12399" t="s">
        <v>55065</v>
      </c>
      <c r="V12399" t="s">
        <v>58249</v>
      </c>
      <c r="W12399" t="s">
        <v>42880</v>
      </c>
      <c r="X12399" t="s">
        <v>43188</v>
      </c>
    </row>
    <row r="12400" spans="1:24">
      <c r="A12400">
        <f>HYPERLINK("https://www.philgeps.gov.ph/GEPSNONPILOT/Tender/SplashBidNoticeAbstractUI.aspx?menuIndex=3&amp;refID=7051997&amp;Result=3","7051997")</f>
        <v>0</v>
      </c>
      <c r="B12400" t="s">
        <v>1667</v>
      </c>
      <c r="C12400" t="s">
        <v>15274</v>
      </c>
      <c r="D12400" t="s">
        <v>17416</v>
      </c>
      <c r="E12400" t="s">
        <v>28106</v>
      </c>
      <c r="F12400" t="s">
        <v>30052</v>
      </c>
      <c r="G12400" t="s">
        <v>30058</v>
      </c>
      <c r="H12400" t="s">
        <v>30067</v>
      </c>
      <c r="I12400" t="s">
        <v>3693</v>
      </c>
      <c r="J12400" t="s">
        <v>37767</v>
      </c>
      <c r="K12400" t="s">
        <v>39030</v>
      </c>
      <c r="M12400" t="s">
        <v>41681</v>
      </c>
      <c r="N12400" t="s">
        <v>43166</v>
      </c>
      <c r="O12400" t="s">
        <v>43167</v>
      </c>
      <c r="P12400">
        <v>0</v>
      </c>
      <c r="Q12400">
        <v>0</v>
      </c>
      <c r="R12400" t="s">
        <v>43185</v>
      </c>
      <c r="S12400" t="s">
        <v>43930</v>
      </c>
      <c r="T12400" t="s">
        <v>44959</v>
      </c>
      <c r="U12400" t="s">
        <v>55066</v>
      </c>
      <c r="W12400" t="s">
        <v>41681</v>
      </c>
      <c r="X12400" t="s">
        <v>43187</v>
      </c>
    </row>
    <row r="12401" spans="1:24">
      <c r="A12401">
        <f>HYPERLINK("https://www.philgeps.gov.ph/GEPSNONPILOT/Tender/SplashBidNoticeAbstractUI.aspx?menuIndex=3&amp;refID=7058009&amp;Result=3","7058009")</f>
        <v>0</v>
      </c>
      <c r="B12401" t="s">
        <v>1202</v>
      </c>
      <c r="C12401" t="s">
        <v>15275</v>
      </c>
      <c r="E12401" t="s">
        <v>28107</v>
      </c>
      <c r="F12401" t="s">
        <v>30052</v>
      </c>
      <c r="G12401" t="s">
        <v>30059</v>
      </c>
      <c r="H12401" t="s">
        <v>15498</v>
      </c>
      <c r="I12401" t="s">
        <v>30100</v>
      </c>
      <c r="J12401" t="s">
        <v>37768</v>
      </c>
      <c r="K12401" t="s">
        <v>39025</v>
      </c>
      <c r="M12401" t="s">
        <v>40556</v>
      </c>
      <c r="N12401" t="s">
        <v>43166</v>
      </c>
      <c r="O12401" t="s">
        <v>43167</v>
      </c>
      <c r="Q12401">
        <v>2</v>
      </c>
      <c r="R12401" t="s">
        <v>43184</v>
      </c>
      <c r="S12401" t="s">
        <v>43937</v>
      </c>
      <c r="T12401" t="s">
        <v>44717</v>
      </c>
      <c r="U12401" t="s">
        <v>55067</v>
      </c>
      <c r="W12401" t="s">
        <v>40556</v>
      </c>
      <c r="X12401" t="s">
        <v>43185</v>
      </c>
    </row>
    <row r="12402" spans="1:24">
      <c r="A12402">
        <f>HYPERLINK("https://www.philgeps.gov.ph/GEPSNONPILOT/Tender/SplashBidNoticeAbstractUI.aspx?menuIndex=3&amp;refID=7051871&amp;Result=3","7051871")</f>
        <v>0</v>
      </c>
      <c r="B12402" t="s">
        <v>910</v>
      </c>
      <c r="C12402" t="s">
        <v>15276</v>
      </c>
      <c r="E12402" t="s">
        <v>28108</v>
      </c>
      <c r="F12402" t="s">
        <v>30052</v>
      </c>
      <c r="G12402" t="s">
        <v>30058</v>
      </c>
      <c r="H12402" t="s">
        <v>30067</v>
      </c>
      <c r="I12402" t="s">
        <v>3693</v>
      </c>
      <c r="J12402" t="s">
        <v>37769</v>
      </c>
      <c r="K12402" t="s">
        <v>39057</v>
      </c>
      <c r="M12402" t="s">
        <v>41159</v>
      </c>
      <c r="N12402" t="s">
        <v>43166</v>
      </c>
      <c r="O12402" t="s">
        <v>43167</v>
      </c>
      <c r="P12402">
        <v>0</v>
      </c>
      <c r="Q12402">
        <v>0</v>
      </c>
      <c r="R12402" t="s">
        <v>43185</v>
      </c>
      <c r="S12402" t="s">
        <v>43930</v>
      </c>
      <c r="T12402" t="s">
        <v>44729</v>
      </c>
      <c r="U12402" t="s">
        <v>55068</v>
      </c>
      <c r="W12402" t="s">
        <v>41159</v>
      </c>
      <c r="X12402" t="s">
        <v>43187</v>
      </c>
    </row>
    <row r="12403" spans="1:24">
      <c r="A12403">
        <f>HYPERLINK("https://www.philgeps.gov.ph/GEPSNONPILOT/Tender/SplashBidNoticeAbstractUI.aspx?menuIndex=3&amp;refID=7048212&amp;Result=3","7048212")</f>
        <v>0</v>
      </c>
      <c r="B12403" t="s">
        <v>2123</v>
      </c>
      <c r="C12403" t="s">
        <v>15277</v>
      </c>
      <c r="D12403" t="s">
        <v>17414</v>
      </c>
      <c r="E12403" t="s">
        <v>28109</v>
      </c>
      <c r="F12403" t="s">
        <v>30052</v>
      </c>
      <c r="G12403" t="s">
        <v>30058</v>
      </c>
      <c r="H12403" t="s">
        <v>30067</v>
      </c>
      <c r="I12403" t="s">
        <v>3693</v>
      </c>
      <c r="J12403" t="s">
        <v>37770</v>
      </c>
      <c r="K12403" t="s">
        <v>39278</v>
      </c>
      <c r="M12403" t="s">
        <v>41587</v>
      </c>
      <c r="N12403" t="s">
        <v>43166</v>
      </c>
      <c r="O12403" t="s">
        <v>43167</v>
      </c>
      <c r="P12403">
        <v>0</v>
      </c>
      <c r="Q12403">
        <v>2</v>
      </c>
      <c r="R12403" t="s">
        <v>43185</v>
      </c>
      <c r="S12403" t="s">
        <v>43930</v>
      </c>
      <c r="T12403" t="s">
        <v>44773</v>
      </c>
      <c r="U12403" t="s">
        <v>55069</v>
      </c>
      <c r="V12403" t="s">
        <v>57525</v>
      </c>
      <c r="W12403" t="s">
        <v>41587</v>
      </c>
      <c r="X12403" t="s">
        <v>43188</v>
      </c>
    </row>
    <row r="12404" spans="1:24">
      <c r="A12404">
        <f>HYPERLINK("https://www.philgeps.gov.ph/GEPSNONPILOT/Tender/SplashBidNoticeAbstractUI.aspx?menuIndex=3&amp;refID=7051509&amp;Result=3","7051509")</f>
        <v>0</v>
      </c>
      <c r="B12404" t="s">
        <v>1667</v>
      </c>
      <c r="C12404" t="s">
        <v>15278</v>
      </c>
      <c r="D12404" t="s">
        <v>17416</v>
      </c>
      <c r="E12404" t="s">
        <v>28110</v>
      </c>
      <c r="F12404" t="s">
        <v>30052</v>
      </c>
      <c r="G12404" t="s">
        <v>30058</v>
      </c>
      <c r="H12404" t="s">
        <v>30067</v>
      </c>
      <c r="I12404" t="s">
        <v>3693</v>
      </c>
      <c r="J12404" t="s">
        <v>37771</v>
      </c>
      <c r="K12404" t="s">
        <v>39173</v>
      </c>
      <c r="M12404" t="s">
        <v>41681</v>
      </c>
      <c r="N12404" t="s">
        <v>43166</v>
      </c>
      <c r="O12404" t="s">
        <v>43167</v>
      </c>
      <c r="P12404">
        <v>0</v>
      </c>
      <c r="Q12404">
        <v>0</v>
      </c>
      <c r="R12404" t="s">
        <v>43185</v>
      </c>
      <c r="S12404" t="s">
        <v>43930</v>
      </c>
      <c r="T12404" t="s">
        <v>44959</v>
      </c>
      <c r="U12404" t="s">
        <v>55070</v>
      </c>
      <c r="W12404" t="s">
        <v>41681</v>
      </c>
      <c r="X12404" t="s">
        <v>43187</v>
      </c>
    </row>
    <row r="12405" spans="1:24">
      <c r="A12405">
        <f>HYPERLINK("https://www.philgeps.gov.ph/GEPSNONPILOT/Tender/SplashBidNoticeAbstractUI.aspx?menuIndex=3&amp;refID=7048933&amp;Result=3","7048933")</f>
        <v>0</v>
      </c>
      <c r="B12405" t="s">
        <v>3249</v>
      </c>
      <c r="C12405" t="s">
        <v>15279</v>
      </c>
      <c r="D12405" t="s">
        <v>17414</v>
      </c>
      <c r="E12405" t="s">
        <v>28111</v>
      </c>
      <c r="F12405" t="s">
        <v>30052</v>
      </c>
      <c r="G12405" t="s">
        <v>30058</v>
      </c>
      <c r="H12405" t="s">
        <v>15498</v>
      </c>
      <c r="I12405" t="s">
        <v>30135</v>
      </c>
      <c r="J12405" t="s">
        <v>31055</v>
      </c>
      <c r="K12405" t="s">
        <v>39019</v>
      </c>
      <c r="M12405" t="s">
        <v>42880</v>
      </c>
      <c r="N12405" t="s">
        <v>43166</v>
      </c>
      <c r="O12405" t="s">
        <v>43167</v>
      </c>
      <c r="P12405">
        <v>0</v>
      </c>
      <c r="Q12405">
        <v>1</v>
      </c>
      <c r="R12405" t="s">
        <v>43185</v>
      </c>
      <c r="S12405" t="s">
        <v>43930</v>
      </c>
      <c r="T12405" t="s">
        <v>44862</v>
      </c>
      <c r="U12405" t="s">
        <v>55071</v>
      </c>
      <c r="V12405" t="s">
        <v>58249</v>
      </c>
      <c r="W12405" t="s">
        <v>42880</v>
      </c>
      <c r="X12405" t="s">
        <v>43188</v>
      </c>
    </row>
    <row r="12406" spans="1:24">
      <c r="A12406">
        <f>HYPERLINK("https://www.philgeps.gov.ph/GEPSNONPILOT/Tender/SplashBidNoticeAbstractUI.aspx?menuIndex=3&amp;refID=7051810&amp;Result=3","7051810")</f>
        <v>0</v>
      </c>
      <c r="B12406" t="s">
        <v>1667</v>
      </c>
      <c r="C12406" t="s">
        <v>15280</v>
      </c>
      <c r="D12406" t="s">
        <v>17416</v>
      </c>
      <c r="E12406" t="s">
        <v>28112</v>
      </c>
      <c r="F12406" t="s">
        <v>30052</v>
      </c>
      <c r="G12406" t="s">
        <v>30058</v>
      </c>
      <c r="H12406" t="s">
        <v>30067</v>
      </c>
      <c r="I12406" t="s">
        <v>3693</v>
      </c>
      <c r="J12406" t="s">
        <v>37772</v>
      </c>
      <c r="K12406" t="s">
        <v>39173</v>
      </c>
      <c r="M12406" t="s">
        <v>41681</v>
      </c>
      <c r="N12406" t="s">
        <v>43166</v>
      </c>
      <c r="O12406" t="s">
        <v>43167</v>
      </c>
      <c r="P12406">
        <v>0</v>
      </c>
      <c r="Q12406">
        <v>0</v>
      </c>
      <c r="R12406" t="s">
        <v>43185</v>
      </c>
      <c r="S12406" t="s">
        <v>43930</v>
      </c>
      <c r="T12406" t="s">
        <v>44959</v>
      </c>
      <c r="U12406" t="s">
        <v>55072</v>
      </c>
      <c r="W12406" t="s">
        <v>41681</v>
      </c>
      <c r="X12406" t="s">
        <v>43187</v>
      </c>
    </row>
    <row r="12407" spans="1:24">
      <c r="A12407">
        <f>HYPERLINK("https://www.philgeps.gov.ph/GEPSNONPILOT/Tender/SplashBidNoticeAbstractUI.aspx?menuIndex=3&amp;refID=7051911&amp;Result=3","7051911")</f>
        <v>0</v>
      </c>
      <c r="B12407" t="s">
        <v>910</v>
      </c>
      <c r="C12407" t="s">
        <v>15281</v>
      </c>
      <c r="E12407" t="s">
        <v>28113</v>
      </c>
      <c r="F12407" t="s">
        <v>30052</v>
      </c>
      <c r="G12407" t="s">
        <v>30058</v>
      </c>
      <c r="H12407" t="s">
        <v>30067</v>
      </c>
      <c r="I12407" t="s">
        <v>3693</v>
      </c>
      <c r="J12407" t="s">
        <v>37773</v>
      </c>
      <c r="K12407" t="s">
        <v>39057</v>
      </c>
      <c r="M12407" t="s">
        <v>41159</v>
      </c>
      <c r="N12407" t="s">
        <v>43166</v>
      </c>
      <c r="O12407" t="s">
        <v>43167</v>
      </c>
      <c r="P12407">
        <v>0</v>
      </c>
      <c r="Q12407">
        <v>1</v>
      </c>
      <c r="R12407" t="s">
        <v>43185</v>
      </c>
      <c r="S12407" t="s">
        <v>43930</v>
      </c>
      <c r="T12407" t="s">
        <v>44729</v>
      </c>
      <c r="U12407" t="s">
        <v>55073</v>
      </c>
      <c r="W12407" t="s">
        <v>41159</v>
      </c>
      <c r="X12407" t="s">
        <v>43187</v>
      </c>
    </row>
    <row r="12408" spans="1:24">
      <c r="A12408">
        <f>HYPERLINK("https://www.philgeps.gov.ph/GEPSNONPILOT/Tender/SplashBidNoticeAbstractUI.aspx?menuIndex=3&amp;refID=7051194&amp;Result=3","7051194")</f>
        <v>0</v>
      </c>
      <c r="B12408" t="s">
        <v>1667</v>
      </c>
      <c r="C12408" t="s">
        <v>15282</v>
      </c>
      <c r="D12408" t="s">
        <v>17416</v>
      </c>
      <c r="E12408" t="s">
        <v>28114</v>
      </c>
      <c r="F12408" t="s">
        <v>30052</v>
      </c>
      <c r="G12408" t="s">
        <v>30058</v>
      </c>
      <c r="H12408" t="s">
        <v>30067</v>
      </c>
      <c r="I12408" t="s">
        <v>3693</v>
      </c>
      <c r="J12408" t="s">
        <v>37774</v>
      </c>
      <c r="K12408" t="s">
        <v>39279</v>
      </c>
      <c r="M12408" t="s">
        <v>41681</v>
      </c>
      <c r="N12408" t="s">
        <v>43166</v>
      </c>
      <c r="O12408" t="s">
        <v>43167</v>
      </c>
      <c r="P12408">
        <v>0</v>
      </c>
      <c r="Q12408">
        <v>1</v>
      </c>
      <c r="R12408" t="s">
        <v>43185</v>
      </c>
      <c r="S12408" t="s">
        <v>43930</v>
      </c>
      <c r="T12408" t="s">
        <v>44959</v>
      </c>
      <c r="U12408" t="s">
        <v>55074</v>
      </c>
      <c r="W12408" t="s">
        <v>41681</v>
      </c>
      <c r="X12408" t="s">
        <v>43187</v>
      </c>
    </row>
    <row r="12409" spans="1:24">
      <c r="A12409">
        <f>HYPERLINK("https://www.philgeps.gov.ph/GEPSNONPILOT/Tender/SplashBidNoticeAbstractUI.aspx?menuIndex=3&amp;refID=7050195&amp;Result=3","7050195")</f>
        <v>0</v>
      </c>
      <c r="B12409" t="s">
        <v>885</v>
      </c>
      <c r="C12409" t="s">
        <v>15283</v>
      </c>
      <c r="D12409" t="s">
        <v>17424</v>
      </c>
      <c r="E12409" t="s">
        <v>28115</v>
      </c>
      <c r="F12409" t="s">
        <v>30052</v>
      </c>
      <c r="G12409" t="s">
        <v>30064</v>
      </c>
      <c r="H12409" t="s">
        <v>30069</v>
      </c>
      <c r="I12409" t="s">
        <v>30100</v>
      </c>
      <c r="J12409" t="s">
        <v>37775</v>
      </c>
      <c r="K12409" t="s">
        <v>39280</v>
      </c>
      <c r="M12409" t="s">
        <v>40204</v>
      </c>
      <c r="N12409" t="s">
        <v>43166</v>
      </c>
      <c r="O12409" t="s">
        <v>43167</v>
      </c>
      <c r="P12409">
        <v>0</v>
      </c>
      <c r="Q12409">
        <v>0</v>
      </c>
      <c r="R12409" t="s">
        <v>43185</v>
      </c>
      <c r="S12409" t="s">
        <v>43930</v>
      </c>
      <c r="T12409" t="s">
        <v>44797</v>
      </c>
      <c r="U12409" t="s">
        <v>55075</v>
      </c>
      <c r="W12409" t="s">
        <v>40204</v>
      </c>
      <c r="X12409" t="s">
        <v>43187</v>
      </c>
    </row>
    <row r="12410" spans="1:24">
      <c r="A12410">
        <f>HYPERLINK("https://www.philgeps.gov.ph/GEPSNONPILOT/Tender/SplashBidNoticeAbstractUI.aspx?menuIndex=3&amp;refID=7048760&amp;Result=3","7048760")</f>
        <v>0</v>
      </c>
      <c r="B12410" t="s">
        <v>1667</v>
      </c>
      <c r="C12410" t="s">
        <v>15284</v>
      </c>
      <c r="D12410" t="s">
        <v>17416</v>
      </c>
      <c r="E12410" t="s">
        <v>28116</v>
      </c>
      <c r="F12410" t="s">
        <v>30052</v>
      </c>
      <c r="G12410" t="s">
        <v>30058</v>
      </c>
      <c r="H12410" t="s">
        <v>30067</v>
      </c>
      <c r="I12410" t="s">
        <v>3693</v>
      </c>
      <c r="J12410" t="s">
        <v>37776</v>
      </c>
      <c r="K12410" t="s">
        <v>39241</v>
      </c>
      <c r="M12410" t="s">
        <v>41681</v>
      </c>
      <c r="N12410" t="s">
        <v>43166</v>
      </c>
      <c r="O12410" t="s">
        <v>43167</v>
      </c>
      <c r="P12410">
        <v>0</v>
      </c>
      <c r="Q12410">
        <v>0</v>
      </c>
      <c r="R12410" t="s">
        <v>43185</v>
      </c>
      <c r="S12410" t="s">
        <v>43930</v>
      </c>
      <c r="T12410" t="s">
        <v>44959</v>
      </c>
      <c r="U12410" t="s">
        <v>55076</v>
      </c>
      <c r="W12410" t="s">
        <v>41681</v>
      </c>
      <c r="X12410" t="s">
        <v>43188</v>
      </c>
    </row>
    <row r="12411" spans="1:24">
      <c r="A12411">
        <f>HYPERLINK("https://www.philgeps.gov.ph/GEPSNONPILOT/Tender/SplashBidNoticeAbstractUI.aspx?menuIndex=3&amp;refID=7049670&amp;Result=3","7049670")</f>
        <v>0</v>
      </c>
      <c r="B12411" t="s">
        <v>1586</v>
      </c>
      <c r="C12411" t="s">
        <v>15285</v>
      </c>
      <c r="D12411" t="s">
        <v>17448</v>
      </c>
      <c r="E12411" t="s">
        <v>28117</v>
      </c>
      <c r="F12411" t="s">
        <v>30052</v>
      </c>
      <c r="G12411" t="s">
        <v>30058</v>
      </c>
      <c r="H12411" t="s">
        <v>15498</v>
      </c>
      <c r="I12411" t="s">
        <v>3606</v>
      </c>
      <c r="J12411" t="s">
        <v>37777</v>
      </c>
      <c r="K12411" t="s">
        <v>39025</v>
      </c>
      <c r="M12411" t="s">
        <v>40979</v>
      </c>
      <c r="N12411" t="s">
        <v>43166</v>
      </c>
      <c r="O12411" t="s">
        <v>43167</v>
      </c>
      <c r="P12411">
        <v>0</v>
      </c>
      <c r="Q12411">
        <v>4</v>
      </c>
      <c r="R12411" t="s">
        <v>43185</v>
      </c>
      <c r="S12411" t="s">
        <v>43930</v>
      </c>
      <c r="T12411" t="s">
        <v>44773</v>
      </c>
      <c r="U12411" t="s">
        <v>55077</v>
      </c>
      <c r="W12411" t="s">
        <v>40979</v>
      </c>
      <c r="X12411" t="s">
        <v>43188</v>
      </c>
    </row>
    <row r="12412" spans="1:24">
      <c r="A12412">
        <f>HYPERLINK("https://www.philgeps.gov.ph/GEPSNONPILOT/Tender/SplashBidNoticeAbstractUI.aspx?menuIndex=3&amp;refID=7051332&amp;Result=3","7051332")</f>
        <v>0</v>
      </c>
      <c r="B12412" t="s">
        <v>736</v>
      </c>
      <c r="C12412" t="s">
        <v>15286</v>
      </c>
      <c r="D12412" t="s">
        <v>17455</v>
      </c>
      <c r="E12412" t="s">
        <v>28118</v>
      </c>
      <c r="F12412" t="s">
        <v>30052</v>
      </c>
      <c r="G12412" t="s">
        <v>30058</v>
      </c>
      <c r="H12412" t="s">
        <v>30067</v>
      </c>
      <c r="I12412" t="s">
        <v>3693</v>
      </c>
      <c r="J12412" t="s">
        <v>30281</v>
      </c>
      <c r="K12412" t="s">
        <v>39038</v>
      </c>
      <c r="M12412" t="s">
        <v>40049</v>
      </c>
      <c r="N12412" t="s">
        <v>43166</v>
      </c>
      <c r="O12412" t="s">
        <v>43167</v>
      </c>
      <c r="P12412">
        <v>0</v>
      </c>
      <c r="Q12412">
        <v>1</v>
      </c>
      <c r="R12412" t="s">
        <v>43185</v>
      </c>
      <c r="S12412" t="s">
        <v>43930</v>
      </c>
      <c r="T12412" t="s">
        <v>44737</v>
      </c>
      <c r="U12412" t="s">
        <v>55078</v>
      </c>
      <c r="W12412" t="s">
        <v>40049</v>
      </c>
      <c r="X12412" t="s">
        <v>43187</v>
      </c>
    </row>
    <row r="12413" spans="1:24">
      <c r="A12413">
        <f>HYPERLINK("https://www.philgeps.gov.ph/GEPSNONPILOT/Tender/SplashBidNoticeAbstractUI.aspx?menuIndex=3&amp;refID=7049482&amp;Result=3","7049482")</f>
        <v>0</v>
      </c>
      <c r="B12413" t="s">
        <v>3249</v>
      </c>
      <c r="C12413" t="s">
        <v>15267</v>
      </c>
      <c r="D12413" t="s">
        <v>17414</v>
      </c>
      <c r="E12413" t="s">
        <v>28119</v>
      </c>
      <c r="F12413" t="s">
        <v>30052</v>
      </c>
      <c r="G12413" t="s">
        <v>30058</v>
      </c>
      <c r="H12413" t="s">
        <v>15498</v>
      </c>
      <c r="I12413" t="s">
        <v>30096</v>
      </c>
      <c r="J12413" t="s">
        <v>37778</v>
      </c>
      <c r="K12413" t="s">
        <v>39019</v>
      </c>
      <c r="M12413" t="s">
        <v>42880</v>
      </c>
      <c r="N12413" t="s">
        <v>43166</v>
      </c>
      <c r="O12413" t="s">
        <v>43167</v>
      </c>
      <c r="P12413">
        <v>0</v>
      </c>
      <c r="Q12413">
        <v>1</v>
      </c>
      <c r="R12413" t="s">
        <v>43185</v>
      </c>
      <c r="S12413" t="s">
        <v>43930</v>
      </c>
      <c r="T12413" t="s">
        <v>44862</v>
      </c>
      <c r="U12413" t="s">
        <v>55079</v>
      </c>
      <c r="V12413" t="s">
        <v>58249</v>
      </c>
      <c r="W12413" t="s">
        <v>42880</v>
      </c>
      <c r="X12413" t="s">
        <v>43188</v>
      </c>
    </row>
    <row r="12414" spans="1:24">
      <c r="A12414">
        <f>HYPERLINK("https://www.philgeps.gov.ph/GEPSNONPILOT/Tender/SplashBidNoticeAbstractUI.aspx?menuIndex=3&amp;refID=7049457&amp;Result=3","7049457")</f>
        <v>0</v>
      </c>
      <c r="B12414" t="s">
        <v>3249</v>
      </c>
      <c r="C12414" t="s">
        <v>15287</v>
      </c>
      <c r="D12414" t="s">
        <v>17414</v>
      </c>
      <c r="E12414" t="s">
        <v>28120</v>
      </c>
      <c r="F12414" t="s">
        <v>30052</v>
      </c>
      <c r="G12414" t="s">
        <v>30058</v>
      </c>
      <c r="H12414" t="s">
        <v>15498</v>
      </c>
      <c r="I12414" t="s">
        <v>30127</v>
      </c>
      <c r="J12414" t="s">
        <v>31058</v>
      </c>
      <c r="K12414" t="s">
        <v>39019</v>
      </c>
      <c r="M12414" t="s">
        <v>42880</v>
      </c>
      <c r="N12414" t="s">
        <v>43166</v>
      </c>
      <c r="O12414" t="s">
        <v>43167</v>
      </c>
      <c r="P12414">
        <v>0</v>
      </c>
      <c r="Q12414">
        <v>1</v>
      </c>
      <c r="R12414" t="s">
        <v>43185</v>
      </c>
      <c r="S12414" t="s">
        <v>43930</v>
      </c>
      <c r="T12414" t="s">
        <v>44862</v>
      </c>
      <c r="U12414" t="s">
        <v>55080</v>
      </c>
      <c r="V12414" t="s">
        <v>58249</v>
      </c>
      <c r="W12414" t="s">
        <v>42880</v>
      </c>
      <c r="X12414" t="s">
        <v>43188</v>
      </c>
    </row>
    <row r="12415" spans="1:24">
      <c r="A12415">
        <f>HYPERLINK("https://www.philgeps.gov.ph/GEPSNONPILOT/Tender/SplashBidNoticeAbstractUI.aspx?menuIndex=3&amp;refID=7049355&amp;Result=3","7049355")</f>
        <v>0</v>
      </c>
      <c r="B12415" t="s">
        <v>3249</v>
      </c>
      <c r="C12415" t="s">
        <v>15288</v>
      </c>
      <c r="D12415" t="s">
        <v>17414</v>
      </c>
      <c r="E12415" t="s">
        <v>28121</v>
      </c>
      <c r="F12415" t="s">
        <v>30052</v>
      </c>
      <c r="G12415" t="s">
        <v>30058</v>
      </c>
      <c r="H12415" t="s">
        <v>15498</v>
      </c>
      <c r="I12415" t="s">
        <v>30073</v>
      </c>
      <c r="J12415" t="s">
        <v>37779</v>
      </c>
      <c r="K12415" t="s">
        <v>39019</v>
      </c>
      <c r="M12415" t="s">
        <v>42880</v>
      </c>
      <c r="N12415" t="s">
        <v>43166</v>
      </c>
      <c r="O12415" t="s">
        <v>43167</v>
      </c>
      <c r="P12415">
        <v>0</v>
      </c>
      <c r="Q12415">
        <v>0</v>
      </c>
      <c r="R12415" t="s">
        <v>43185</v>
      </c>
      <c r="S12415" t="s">
        <v>43930</v>
      </c>
      <c r="T12415" t="s">
        <v>44862</v>
      </c>
      <c r="U12415" t="s">
        <v>55081</v>
      </c>
      <c r="V12415" t="s">
        <v>58249</v>
      </c>
      <c r="W12415" t="s">
        <v>42880</v>
      </c>
      <c r="X12415" t="s">
        <v>43188</v>
      </c>
    </row>
    <row r="12416" spans="1:24">
      <c r="A12416">
        <f>HYPERLINK("https://www.philgeps.gov.ph/GEPSNONPILOT/Tender/SplashBidNoticeAbstractUI.aspx?menuIndex=3&amp;refID=7049271&amp;Result=3","7049271")</f>
        <v>0</v>
      </c>
      <c r="B12416" t="s">
        <v>3249</v>
      </c>
      <c r="C12416" t="s">
        <v>15289</v>
      </c>
      <c r="D12416" t="s">
        <v>17414</v>
      </c>
      <c r="E12416" t="s">
        <v>28122</v>
      </c>
      <c r="F12416" t="s">
        <v>30052</v>
      </c>
      <c r="G12416" t="s">
        <v>30058</v>
      </c>
      <c r="H12416" t="s">
        <v>15498</v>
      </c>
      <c r="I12416" t="s">
        <v>30109</v>
      </c>
      <c r="J12416" t="s">
        <v>30252</v>
      </c>
      <c r="K12416" t="s">
        <v>39019</v>
      </c>
      <c r="M12416" t="s">
        <v>42880</v>
      </c>
      <c r="N12416" t="s">
        <v>43166</v>
      </c>
      <c r="O12416" t="s">
        <v>43167</v>
      </c>
      <c r="P12416">
        <v>0</v>
      </c>
      <c r="Q12416">
        <v>2</v>
      </c>
      <c r="R12416" t="s">
        <v>43185</v>
      </c>
      <c r="S12416" t="s">
        <v>43930</v>
      </c>
      <c r="T12416" t="s">
        <v>44862</v>
      </c>
      <c r="U12416" t="s">
        <v>55082</v>
      </c>
      <c r="V12416" t="s">
        <v>58249</v>
      </c>
      <c r="W12416" t="s">
        <v>42880</v>
      </c>
      <c r="X12416" t="s">
        <v>43188</v>
      </c>
    </row>
    <row r="12417" spans="1:24">
      <c r="A12417">
        <f>HYPERLINK("https://www.philgeps.gov.ph/GEPSNONPILOT/Tender/SplashBidNoticeAbstractUI.aspx?menuIndex=3&amp;refID=7050312&amp;Result=3","7050312")</f>
        <v>0</v>
      </c>
      <c r="B12417" t="s">
        <v>1339</v>
      </c>
      <c r="C12417" t="s">
        <v>15290</v>
      </c>
      <c r="D12417" t="s">
        <v>17474</v>
      </c>
      <c r="E12417" t="s">
        <v>28123</v>
      </c>
      <c r="F12417" t="s">
        <v>30052</v>
      </c>
      <c r="G12417" t="s">
        <v>30058</v>
      </c>
      <c r="H12417" t="s">
        <v>15498</v>
      </c>
      <c r="I12417" t="s">
        <v>3606</v>
      </c>
      <c r="J12417" t="s">
        <v>37780</v>
      </c>
      <c r="K12417" t="s">
        <v>39029</v>
      </c>
      <c r="M12417" t="s">
        <v>40706</v>
      </c>
      <c r="N12417" t="s">
        <v>43166</v>
      </c>
      <c r="O12417" t="s">
        <v>43167</v>
      </c>
      <c r="P12417">
        <v>0</v>
      </c>
      <c r="Q12417">
        <v>6</v>
      </c>
      <c r="R12417" t="s">
        <v>43185</v>
      </c>
      <c r="S12417" t="s">
        <v>43930</v>
      </c>
      <c r="T12417" t="s">
        <v>44704</v>
      </c>
      <c r="U12417" t="s">
        <v>48174</v>
      </c>
      <c r="V12417" t="s">
        <v>57248</v>
      </c>
      <c r="W12417" t="s">
        <v>40706</v>
      </c>
      <c r="X12417" t="s">
        <v>43187</v>
      </c>
    </row>
    <row r="12418" spans="1:24">
      <c r="A12418">
        <f>HYPERLINK("https://www.philgeps.gov.ph/GEPSNONPILOT/Tender/SplashBidNoticeAbstractUI.aspx?menuIndex=3&amp;refID=7047926&amp;Result=3","7047926")</f>
        <v>0</v>
      </c>
      <c r="B12418" t="s">
        <v>1142</v>
      </c>
      <c r="C12418" t="s">
        <v>6271</v>
      </c>
      <c r="E12418" t="s">
        <v>28124</v>
      </c>
      <c r="F12418" t="s">
        <v>30052</v>
      </c>
      <c r="G12418" t="s">
        <v>30058</v>
      </c>
      <c r="H12418" t="s">
        <v>15498</v>
      </c>
      <c r="I12418" t="s">
        <v>30076</v>
      </c>
      <c r="J12418" t="s">
        <v>30291</v>
      </c>
      <c r="K12418" t="s">
        <v>39025</v>
      </c>
      <c r="M12418" t="s">
        <v>40485</v>
      </c>
      <c r="N12418" t="s">
        <v>43166</v>
      </c>
      <c r="O12418" t="s">
        <v>43167</v>
      </c>
      <c r="P12418">
        <v>0</v>
      </c>
      <c r="Q12418">
        <v>17</v>
      </c>
      <c r="R12418" t="s">
        <v>43185</v>
      </c>
      <c r="S12418" t="s">
        <v>43930</v>
      </c>
      <c r="T12418" t="s">
        <v>44685</v>
      </c>
      <c r="U12418" t="s">
        <v>47647</v>
      </c>
      <c r="W12418" t="s">
        <v>40485</v>
      </c>
      <c r="X12418" t="s">
        <v>43188</v>
      </c>
    </row>
    <row r="12419" spans="1:24">
      <c r="A12419">
        <f>HYPERLINK("https://www.philgeps.gov.ph/GEPSNONPILOT/Tender/SplashBidNoticeAbstractUI.aspx?menuIndex=3&amp;refID=7051278&amp;Result=3","7051278")</f>
        <v>0</v>
      </c>
      <c r="B12419" t="s">
        <v>736</v>
      </c>
      <c r="C12419" t="s">
        <v>15291</v>
      </c>
      <c r="D12419" t="s">
        <v>17455</v>
      </c>
      <c r="E12419" t="s">
        <v>28125</v>
      </c>
      <c r="F12419" t="s">
        <v>30052</v>
      </c>
      <c r="G12419" t="s">
        <v>30058</v>
      </c>
      <c r="H12419" t="s">
        <v>30067</v>
      </c>
      <c r="I12419" t="s">
        <v>3693</v>
      </c>
      <c r="J12419" t="s">
        <v>30397</v>
      </c>
      <c r="K12419" t="s">
        <v>39173</v>
      </c>
      <c r="M12419" t="s">
        <v>40049</v>
      </c>
      <c r="N12419" t="s">
        <v>43166</v>
      </c>
      <c r="O12419" t="s">
        <v>43167</v>
      </c>
      <c r="P12419">
        <v>0</v>
      </c>
      <c r="Q12419">
        <v>0</v>
      </c>
      <c r="R12419" t="s">
        <v>43185</v>
      </c>
      <c r="S12419" t="s">
        <v>43930</v>
      </c>
      <c r="T12419" t="s">
        <v>44698</v>
      </c>
      <c r="U12419" t="s">
        <v>55083</v>
      </c>
      <c r="W12419" t="s">
        <v>40049</v>
      </c>
      <c r="X12419" t="s">
        <v>43187</v>
      </c>
    </row>
    <row r="12420" spans="1:24">
      <c r="A12420">
        <f>HYPERLINK("https://www.philgeps.gov.ph/GEPSNONPILOT/Tender/SplashBidNoticeAbstractUI.aspx?menuIndex=3&amp;refID=7047622&amp;Result=3","7047622")</f>
        <v>0</v>
      </c>
      <c r="B12420" t="s">
        <v>1142</v>
      </c>
      <c r="C12420" t="s">
        <v>15292</v>
      </c>
      <c r="E12420" t="s">
        <v>28126</v>
      </c>
      <c r="F12420" t="s">
        <v>30052</v>
      </c>
      <c r="G12420" t="s">
        <v>30058</v>
      </c>
      <c r="H12420" t="s">
        <v>15498</v>
      </c>
      <c r="I12420" t="s">
        <v>30202</v>
      </c>
      <c r="J12420" t="s">
        <v>30592</v>
      </c>
      <c r="K12420" t="s">
        <v>39025</v>
      </c>
      <c r="M12420" t="s">
        <v>40485</v>
      </c>
      <c r="N12420" t="s">
        <v>43166</v>
      </c>
      <c r="O12420" t="s">
        <v>43167</v>
      </c>
      <c r="P12420">
        <v>0</v>
      </c>
      <c r="Q12420">
        <v>10</v>
      </c>
      <c r="R12420" t="s">
        <v>43185</v>
      </c>
      <c r="S12420" t="s">
        <v>43930</v>
      </c>
      <c r="T12420" t="s">
        <v>44685</v>
      </c>
      <c r="U12420" t="s">
        <v>55084</v>
      </c>
      <c r="W12420" t="s">
        <v>40485</v>
      </c>
      <c r="X12420" t="s">
        <v>43188</v>
      </c>
    </row>
    <row r="12421" spans="1:24">
      <c r="A12421">
        <f>HYPERLINK("https://www.philgeps.gov.ph/GEPSNONPILOT/Tender/SplashBidNoticeAbstractUI.aspx?menuIndex=3&amp;refID=7057707&amp;Result=3","7057707")</f>
        <v>0</v>
      </c>
      <c r="B12421" t="s">
        <v>511</v>
      </c>
      <c r="C12421" t="s">
        <v>15293</v>
      </c>
      <c r="D12421" t="s">
        <v>17480</v>
      </c>
      <c r="E12421" t="s">
        <v>28127</v>
      </c>
      <c r="F12421" t="s">
        <v>30052</v>
      </c>
      <c r="G12421" t="s">
        <v>30058</v>
      </c>
      <c r="H12421" t="s">
        <v>15498</v>
      </c>
      <c r="I12421" t="s">
        <v>30135</v>
      </c>
      <c r="J12421" t="s">
        <v>37781</v>
      </c>
      <c r="K12421" t="s">
        <v>39023</v>
      </c>
      <c r="M12421" t="s">
        <v>39812</v>
      </c>
      <c r="N12421" t="s">
        <v>43166</v>
      </c>
      <c r="O12421" t="s">
        <v>43167</v>
      </c>
      <c r="Q12421">
        <v>14</v>
      </c>
      <c r="R12421" t="s">
        <v>43184</v>
      </c>
      <c r="S12421" t="s">
        <v>43938</v>
      </c>
      <c r="T12421" t="s">
        <v>44802</v>
      </c>
      <c r="U12421" t="s">
        <v>55085</v>
      </c>
      <c r="V12421" t="s">
        <v>57769</v>
      </c>
      <c r="W12421" t="s">
        <v>39812</v>
      </c>
      <c r="X12421" t="s">
        <v>43185</v>
      </c>
    </row>
    <row r="12422" spans="1:24">
      <c r="A12422">
        <f>HYPERLINK("https://www.philgeps.gov.ph/GEPSNONPILOT/Tender/SplashBidNoticeAbstractUI.aspx?menuIndex=3&amp;refID=7049407&amp;Result=3","7049407")</f>
        <v>0</v>
      </c>
      <c r="B12422" t="s">
        <v>3249</v>
      </c>
      <c r="C12422" t="s">
        <v>15294</v>
      </c>
      <c r="D12422" t="s">
        <v>17414</v>
      </c>
      <c r="E12422" t="s">
        <v>28128</v>
      </c>
      <c r="F12422" t="s">
        <v>30052</v>
      </c>
      <c r="G12422" t="s">
        <v>30058</v>
      </c>
      <c r="H12422" t="s">
        <v>15498</v>
      </c>
      <c r="I12422" t="s">
        <v>30115</v>
      </c>
      <c r="J12422" t="s">
        <v>37782</v>
      </c>
      <c r="K12422" t="s">
        <v>39019</v>
      </c>
      <c r="M12422" t="s">
        <v>42880</v>
      </c>
      <c r="N12422" t="s">
        <v>43166</v>
      </c>
      <c r="O12422" t="s">
        <v>43167</v>
      </c>
      <c r="P12422">
        <v>0</v>
      </c>
      <c r="Q12422">
        <v>3</v>
      </c>
      <c r="R12422" t="s">
        <v>43185</v>
      </c>
      <c r="S12422" t="s">
        <v>43930</v>
      </c>
      <c r="T12422" t="s">
        <v>44862</v>
      </c>
      <c r="U12422" t="s">
        <v>55086</v>
      </c>
      <c r="V12422" t="s">
        <v>58249</v>
      </c>
      <c r="W12422" t="s">
        <v>42880</v>
      </c>
      <c r="X12422" t="s">
        <v>43188</v>
      </c>
    </row>
    <row r="12423" spans="1:24">
      <c r="A12423">
        <f>HYPERLINK("https://www.philgeps.gov.ph/GEPSNONPILOT/Tender/SplashBidNoticeAbstractUI.aspx?menuIndex=3&amp;refID=7057714&amp;Result=3","7057714")</f>
        <v>0</v>
      </c>
      <c r="B12423" t="s">
        <v>3242</v>
      </c>
      <c r="C12423" t="s">
        <v>15295</v>
      </c>
      <c r="E12423" t="s">
        <v>28129</v>
      </c>
      <c r="F12423" t="s">
        <v>30052</v>
      </c>
      <c r="G12423" t="s">
        <v>30058</v>
      </c>
      <c r="H12423" t="s">
        <v>15498</v>
      </c>
      <c r="I12423" t="s">
        <v>30159</v>
      </c>
      <c r="J12423" t="s">
        <v>34659</v>
      </c>
      <c r="K12423" t="s">
        <v>39025</v>
      </c>
      <c r="M12423" t="s">
        <v>42869</v>
      </c>
      <c r="N12423" t="s">
        <v>43166</v>
      </c>
      <c r="O12423" t="s">
        <v>43167</v>
      </c>
      <c r="Q12423">
        <v>14</v>
      </c>
      <c r="R12423" t="s">
        <v>43184</v>
      </c>
      <c r="S12423" t="s">
        <v>43939</v>
      </c>
      <c r="T12423" t="s">
        <v>45166</v>
      </c>
      <c r="U12423" t="s">
        <v>55002</v>
      </c>
      <c r="W12423" t="s">
        <v>42869</v>
      </c>
      <c r="X12423" t="s">
        <v>43185</v>
      </c>
    </row>
    <row r="12424" spans="1:24">
      <c r="A12424">
        <f>HYPERLINK("https://www.philgeps.gov.ph/GEPSNONPILOT/Tender/SplashBidNoticeAbstractUI.aspx?menuIndex=3&amp;refID=7049294&amp;Result=3","7049294")</f>
        <v>0</v>
      </c>
      <c r="B12424" t="s">
        <v>3251</v>
      </c>
      <c r="C12424" t="s">
        <v>15296</v>
      </c>
      <c r="D12424" t="s">
        <v>17427</v>
      </c>
      <c r="E12424" t="s">
        <v>28130</v>
      </c>
      <c r="F12424" t="s">
        <v>30052</v>
      </c>
      <c r="G12424" t="s">
        <v>30058</v>
      </c>
      <c r="H12424" t="s">
        <v>15498</v>
      </c>
      <c r="I12424" t="s">
        <v>30071</v>
      </c>
      <c r="J12424" t="s">
        <v>37783</v>
      </c>
      <c r="K12424" t="s">
        <v>39019</v>
      </c>
      <c r="M12424" t="s">
        <v>42882</v>
      </c>
      <c r="N12424" t="s">
        <v>43166</v>
      </c>
      <c r="O12424" t="s">
        <v>43167</v>
      </c>
      <c r="P12424">
        <v>0</v>
      </c>
      <c r="Q12424">
        <v>1</v>
      </c>
      <c r="R12424" t="s">
        <v>43185</v>
      </c>
      <c r="S12424" t="s">
        <v>43930</v>
      </c>
      <c r="T12424" t="s">
        <v>44685</v>
      </c>
      <c r="U12424" t="s">
        <v>55087</v>
      </c>
      <c r="W12424" t="s">
        <v>42882</v>
      </c>
      <c r="X12424" t="s">
        <v>43188</v>
      </c>
    </row>
    <row r="12425" spans="1:24">
      <c r="A12425">
        <f>HYPERLINK("https://www.philgeps.gov.ph/GEPSNONPILOT/Tender/SplashBidNoticeAbstractUI.aspx?menuIndex=3&amp;refID=7057502&amp;Result=3","7057502")</f>
        <v>0</v>
      </c>
      <c r="B12425" t="s">
        <v>1920</v>
      </c>
      <c r="C12425" t="s">
        <v>15297</v>
      </c>
      <c r="D12425" t="s">
        <v>17476</v>
      </c>
      <c r="E12425" t="s">
        <v>15297</v>
      </c>
      <c r="F12425" t="s">
        <v>30052</v>
      </c>
      <c r="G12425" t="s">
        <v>30058</v>
      </c>
      <c r="H12425" t="s">
        <v>30067</v>
      </c>
      <c r="I12425" t="s">
        <v>3693</v>
      </c>
      <c r="J12425" t="s">
        <v>30683</v>
      </c>
      <c r="K12425" t="s">
        <v>39026</v>
      </c>
      <c r="M12425" t="s">
        <v>41352</v>
      </c>
      <c r="N12425" t="s">
        <v>43166</v>
      </c>
      <c r="O12425" t="s">
        <v>43167</v>
      </c>
      <c r="P12425">
        <v>0</v>
      </c>
      <c r="Q12425">
        <v>1</v>
      </c>
      <c r="R12425" t="s">
        <v>43184</v>
      </c>
      <c r="S12425" t="s">
        <v>43839</v>
      </c>
      <c r="T12425" t="s">
        <v>45167</v>
      </c>
      <c r="U12425" t="s">
        <v>55088</v>
      </c>
      <c r="W12425" t="s">
        <v>41352</v>
      </c>
      <c r="X12425" t="s">
        <v>43185</v>
      </c>
    </row>
    <row r="12426" spans="1:24">
      <c r="A12426">
        <f>HYPERLINK("https://www.philgeps.gov.ph/GEPSNONPILOT/Tender/SplashBidNoticeAbstractUI.aspx?menuIndex=3&amp;refID=7057439&amp;Result=3","7057439")</f>
        <v>0</v>
      </c>
      <c r="B12426" t="s">
        <v>1531</v>
      </c>
      <c r="C12426" t="s">
        <v>15298</v>
      </c>
      <c r="D12426" t="s">
        <v>17446</v>
      </c>
      <c r="E12426" t="s">
        <v>28131</v>
      </c>
      <c r="F12426" t="s">
        <v>30052</v>
      </c>
      <c r="G12426" t="s">
        <v>30058</v>
      </c>
      <c r="H12426" t="s">
        <v>30067</v>
      </c>
      <c r="I12426" t="s">
        <v>3693</v>
      </c>
      <c r="J12426" t="s">
        <v>37784</v>
      </c>
      <c r="K12426" t="s">
        <v>39026</v>
      </c>
      <c r="M12426" t="s">
        <v>40917</v>
      </c>
      <c r="N12426" t="s">
        <v>43166</v>
      </c>
      <c r="O12426" t="s">
        <v>43167</v>
      </c>
      <c r="P12426">
        <v>0</v>
      </c>
      <c r="Q12426">
        <v>1</v>
      </c>
      <c r="R12426" t="s">
        <v>43184</v>
      </c>
      <c r="S12426" t="s">
        <v>43839</v>
      </c>
      <c r="T12426" t="s">
        <v>44710</v>
      </c>
      <c r="U12426" t="s">
        <v>53345</v>
      </c>
      <c r="W12426" t="s">
        <v>40917</v>
      </c>
      <c r="X12426" t="s">
        <v>43185</v>
      </c>
    </row>
    <row r="12427" spans="1:24">
      <c r="A12427">
        <f>HYPERLINK("https://www.philgeps.gov.ph/GEPSNONPILOT/Tender/SplashBidNoticeAbstractUI.aspx?menuIndex=3&amp;refID=7057382&amp;Result=3","7057382")</f>
        <v>0</v>
      </c>
      <c r="B12427" t="s">
        <v>2470</v>
      </c>
      <c r="C12427" t="s">
        <v>15299</v>
      </c>
      <c r="D12427" t="s">
        <v>17419</v>
      </c>
      <c r="E12427" t="s">
        <v>28132</v>
      </c>
      <c r="F12427" t="s">
        <v>30052</v>
      </c>
      <c r="G12427" t="s">
        <v>30058</v>
      </c>
      <c r="H12427" t="s">
        <v>15498</v>
      </c>
      <c r="I12427" t="s">
        <v>3736</v>
      </c>
      <c r="J12427" t="s">
        <v>37785</v>
      </c>
      <c r="K12427" t="s">
        <v>39017</v>
      </c>
      <c r="M12427" t="s">
        <v>41970</v>
      </c>
      <c r="N12427" t="s">
        <v>43166</v>
      </c>
      <c r="O12427" t="s">
        <v>43167</v>
      </c>
      <c r="P12427">
        <v>0</v>
      </c>
      <c r="Q12427">
        <v>0</v>
      </c>
      <c r="R12427" t="s">
        <v>43184</v>
      </c>
      <c r="S12427" t="s">
        <v>43839</v>
      </c>
      <c r="T12427" t="s">
        <v>44687</v>
      </c>
      <c r="U12427" t="s">
        <v>55089</v>
      </c>
      <c r="W12427" t="s">
        <v>41970</v>
      </c>
      <c r="X12427" t="s">
        <v>43185</v>
      </c>
    </row>
    <row r="12428" spans="1:24">
      <c r="A12428">
        <f>HYPERLINK("https://www.philgeps.gov.ph/GEPSNONPILOT/Tender/SplashBidNoticeAbstractUI.aspx?menuIndex=3&amp;refID=7057374&amp;Result=3","7057374")</f>
        <v>0</v>
      </c>
      <c r="B12428" t="s">
        <v>3252</v>
      </c>
      <c r="C12428" t="s">
        <v>15300</v>
      </c>
      <c r="D12428" t="s">
        <v>17416</v>
      </c>
      <c r="E12428" t="s">
        <v>17673</v>
      </c>
      <c r="F12428" t="s">
        <v>30052</v>
      </c>
      <c r="G12428" t="s">
        <v>30058</v>
      </c>
      <c r="H12428" t="s">
        <v>30067</v>
      </c>
      <c r="I12428" t="s">
        <v>3693</v>
      </c>
      <c r="J12428" t="s">
        <v>32337</v>
      </c>
      <c r="K12428" t="s">
        <v>39086</v>
      </c>
      <c r="M12428" t="s">
        <v>42883</v>
      </c>
      <c r="N12428" t="s">
        <v>43166</v>
      </c>
      <c r="O12428" t="s">
        <v>43167</v>
      </c>
      <c r="P12428">
        <v>0</v>
      </c>
      <c r="Q12428">
        <v>0</v>
      </c>
      <c r="R12428" t="s">
        <v>43184</v>
      </c>
      <c r="S12428" t="s">
        <v>43839</v>
      </c>
      <c r="T12428" t="s">
        <v>44733</v>
      </c>
      <c r="U12428" t="s">
        <v>55090</v>
      </c>
      <c r="W12428" t="s">
        <v>42883</v>
      </c>
      <c r="X12428" t="s">
        <v>43185</v>
      </c>
    </row>
    <row r="12429" spans="1:24">
      <c r="A12429">
        <f>HYPERLINK("https://www.philgeps.gov.ph/GEPSNONPILOT/Tender/SplashBidNoticeAbstractUI.aspx?menuIndex=3&amp;refID=7057496&amp;Result=3","7057496")</f>
        <v>0</v>
      </c>
      <c r="B12429" t="s">
        <v>2956</v>
      </c>
      <c r="C12429" t="s">
        <v>15301</v>
      </c>
      <c r="D12429" t="s">
        <v>17450</v>
      </c>
      <c r="E12429" t="s">
        <v>28133</v>
      </c>
      <c r="F12429" t="s">
        <v>30052</v>
      </c>
      <c r="G12429" t="s">
        <v>30058</v>
      </c>
      <c r="H12429" t="s">
        <v>15498</v>
      </c>
      <c r="I12429" t="s">
        <v>30097</v>
      </c>
      <c r="J12429" t="s">
        <v>34687</v>
      </c>
      <c r="K12429" t="s">
        <v>39029</v>
      </c>
      <c r="M12429" t="s">
        <v>42521</v>
      </c>
      <c r="N12429" t="s">
        <v>43166</v>
      </c>
      <c r="O12429" t="s">
        <v>43167</v>
      </c>
      <c r="P12429">
        <v>0</v>
      </c>
      <c r="Q12429">
        <v>6</v>
      </c>
      <c r="R12429" t="s">
        <v>43184</v>
      </c>
      <c r="S12429" t="s">
        <v>43839</v>
      </c>
      <c r="T12429" t="s">
        <v>45044</v>
      </c>
      <c r="U12429" t="s">
        <v>55091</v>
      </c>
      <c r="W12429" t="s">
        <v>42521</v>
      </c>
      <c r="X12429" t="s">
        <v>43185</v>
      </c>
    </row>
    <row r="12430" spans="1:24">
      <c r="A12430">
        <f>HYPERLINK("https://www.philgeps.gov.ph/GEPSNONPILOT/Tender/SplashBidNoticeAbstractUI.aspx?menuIndex=3&amp;refID=7057416&amp;Result=3","7057416")</f>
        <v>0</v>
      </c>
      <c r="B12430" t="s">
        <v>1531</v>
      </c>
      <c r="C12430" t="s">
        <v>15302</v>
      </c>
      <c r="D12430" t="s">
        <v>17446</v>
      </c>
      <c r="E12430" t="s">
        <v>28134</v>
      </c>
      <c r="F12430" t="s">
        <v>30052</v>
      </c>
      <c r="G12430" t="s">
        <v>30058</v>
      </c>
      <c r="H12430" t="s">
        <v>30067</v>
      </c>
      <c r="I12430" t="s">
        <v>3693</v>
      </c>
      <c r="J12430" t="s">
        <v>37786</v>
      </c>
      <c r="K12430" t="s">
        <v>39026</v>
      </c>
      <c r="M12430" t="s">
        <v>40917</v>
      </c>
      <c r="N12430" t="s">
        <v>43166</v>
      </c>
      <c r="O12430" t="s">
        <v>43167</v>
      </c>
      <c r="P12430">
        <v>0</v>
      </c>
      <c r="Q12430">
        <v>0</v>
      </c>
      <c r="R12430" t="s">
        <v>43184</v>
      </c>
      <c r="S12430" t="s">
        <v>43839</v>
      </c>
      <c r="T12430" t="s">
        <v>44710</v>
      </c>
      <c r="U12430" t="s">
        <v>53345</v>
      </c>
      <c r="W12430" t="s">
        <v>40917</v>
      </c>
      <c r="X12430" t="s">
        <v>43185</v>
      </c>
    </row>
    <row r="12431" spans="1:24">
      <c r="A12431">
        <f>HYPERLINK("https://www.philgeps.gov.ph/GEPSNONPILOT/Tender/SplashBidNoticeAbstractUI.aspx?menuIndex=3&amp;refID=7057403&amp;Result=3","7057403")</f>
        <v>0</v>
      </c>
      <c r="B12431" t="s">
        <v>865</v>
      </c>
      <c r="C12431" t="s">
        <v>15303</v>
      </c>
      <c r="D12431" t="s">
        <v>17462</v>
      </c>
      <c r="E12431" t="s">
        <v>28135</v>
      </c>
      <c r="F12431" t="s">
        <v>30052</v>
      </c>
      <c r="G12431" t="s">
        <v>30058</v>
      </c>
      <c r="H12431" t="s">
        <v>30067</v>
      </c>
      <c r="I12431" t="s">
        <v>3693</v>
      </c>
      <c r="J12431" t="s">
        <v>30222</v>
      </c>
      <c r="K12431" t="s">
        <v>39096</v>
      </c>
      <c r="M12431" t="s">
        <v>40183</v>
      </c>
      <c r="N12431" t="s">
        <v>43166</v>
      </c>
      <c r="O12431" t="s">
        <v>43167</v>
      </c>
      <c r="P12431">
        <v>0</v>
      </c>
      <c r="Q12431">
        <v>6</v>
      </c>
      <c r="R12431" t="s">
        <v>43184</v>
      </c>
      <c r="S12431" t="s">
        <v>43839</v>
      </c>
      <c r="T12431" t="s">
        <v>44679</v>
      </c>
      <c r="U12431" t="s">
        <v>46906</v>
      </c>
      <c r="W12431" t="s">
        <v>40183</v>
      </c>
      <c r="X12431" t="s">
        <v>43185</v>
      </c>
    </row>
    <row r="12432" spans="1:24">
      <c r="A12432">
        <f>HYPERLINK("https://www.philgeps.gov.ph/GEPSNONPILOT/Tender/SplashBidNoticeAbstractUI.aspx?menuIndex=3&amp;refID=7057045&amp;Result=3","7057045")</f>
        <v>0</v>
      </c>
      <c r="B12432" t="s">
        <v>970</v>
      </c>
      <c r="C12432" t="s">
        <v>15304</v>
      </c>
      <c r="D12432" t="s">
        <v>17428</v>
      </c>
      <c r="E12432" t="s">
        <v>28136</v>
      </c>
      <c r="F12432" t="s">
        <v>30052</v>
      </c>
      <c r="G12432" t="s">
        <v>30058</v>
      </c>
      <c r="H12432" t="s">
        <v>30067</v>
      </c>
      <c r="I12432" t="s">
        <v>3693</v>
      </c>
      <c r="J12432" t="s">
        <v>37787</v>
      </c>
      <c r="K12432" t="s">
        <v>39046</v>
      </c>
      <c r="M12432" t="s">
        <v>40297</v>
      </c>
      <c r="N12432" t="s">
        <v>43166</v>
      </c>
      <c r="O12432" t="s">
        <v>43167</v>
      </c>
      <c r="P12432">
        <v>0</v>
      </c>
      <c r="Q12432">
        <v>1</v>
      </c>
      <c r="R12432" t="s">
        <v>43184</v>
      </c>
      <c r="S12432" t="s">
        <v>43839</v>
      </c>
      <c r="T12432" t="s">
        <v>44724</v>
      </c>
      <c r="U12432" t="s">
        <v>55092</v>
      </c>
      <c r="W12432" t="s">
        <v>40297</v>
      </c>
      <c r="X12432" t="s">
        <v>43185</v>
      </c>
    </row>
    <row r="12433" spans="1:24">
      <c r="A12433">
        <f>HYPERLINK("https://www.philgeps.gov.ph/GEPSNONPILOT/Tender/SplashBidNoticeAbstractUI.aspx?menuIndex=3&amp;refID=7056425&amp;Result=3","7056425")</f>
        <v>0</v>
      </c>
      <c r="B12433" t="s">
        <v>3221</v>
      </c>
      <c r="C12433" t="s">
        <v>15305</v>
      </c>
      <c r="D12433" t="s">
        <v>17448</v>
      </c>
      <c r="E12433" t="s">
        <v>27910</v>
      </c>
      <c r="F12433" t="s">
        <v>30052</v>
      </c>
      <c r="G12433" t="s">
        <v>30058</v>
      </c>
      <c r="H12433" t="s">
        <v>30067</v>
      </c>
      <c r="I12433" t="s">
        <v>3693</v>
      </c>
      <c r="J12433" t="s">
        <v>37788</v>
      </c>
      <c r="K12433" t="s">
        <v>39023</v>
      </c>
      <c r="M12433" t="s">
        <v>42845</v>
      </c>
      <c r="N12433" t="s">
        <v>43166</v>
      </c>
      <c r="O12433" t="s">
        <v>43167</v>
      </c>
      <c r="Q12433">
        <v>0</v>
      </c>
      <c r="R12433" t="s">
        <v>43184</v>
      </c>
      <c r="S12433" t="s">
        <v>43940</v>
      </c>
      <c r="T12433" t="s">
        <v>45129</v>
      </c>
      <c r="U12433" t="s">
        <v>54900</v>
      </c>
      <c r="V12433" t="s">
        <v>58251</v>
      </c>
      <c r="W12433" t="s">
        <v>42845</v>
      </c>
      <c r="X12433" t="s">
        <v>43185</v>
      </c>
    </row>
    <row r="12434" spans="1:24">
      <c r="A12434">
        <f>HYPERLINK("https://www.philgeps.gov.ph/GEPSNONPILOT/Tender/SplashBidNoticeAbstractUI.aspx?menuIndex=3&amp;refID=7051513&amp;Result=3","7051513")</f>
        <v>0</v>
      </c>
      <c r="B12434" t="s">
        <v>291</v>
      </c>
      <c r="C12434" t="s">
        <v>15306</v>
      </c>
      <c r="D12434" t="s">
        <v>17476</v>
      </c>
      <c r="E12434" t="s">
        <v>28137</v>
      </c>
      <c r="F12434" t="s">
        <v>30052</v>
      </c>
      <c r="G12434" t="s">
        <v>30058</v>
      </c>
      <c r="H12434" t="s">
        <v>15498</v>
      </c>
      <c r="I12434" t="s">
        <v>30074</v>
      </c>
      <c r="J12434" t="s">
        <v>30542</v>
      </c>
      <c r="K12434" t="s">
        <v>39029</v>
      </c>
      <c r="M12434" t="s">
        <v>39586</v>
      </c>
      <c r="N12434" t="s">
        <v>43166</v>
      </c>
      <c r="O12434" t="s">
        <v>43167</v>
      </c>
      <c r="Q12434">
        <v>5</v>
      </c>
      <c r="R12434" t="s">
        <v>43185</v>
      </c>
      <c r="S12434" t="s">
        <v>43941</v>
      </c>
      <c r="T12434" t="s">
        <v>45047</v>
      </c>
      <c r="U12434" t="s">
        <v>55093</v>
      </c>
      <c r="W12434" t="s">
        <v>39586</v>
      </c>
      <c r="X12434" t="s">
        <v>43187</v>
      </c>
    </row>
    <row r="12435" spans="1:24">
      <c r="A12435">
        <f>HYPERLINK("https://www.philgeps.gov.ph/GEPSNONPILOT/Tender/SplashBidNoticeAbstractUI.aspx?menuIndex=3&amp;refID=7052210&amp;Result=3","7052210")</f>
        <v>0</v>
      </c>
      <c r="B12435" t="s">
        <v>910</v>
      </c>
      <c r="C12435" t="s">
        <v>15307</v>
      </c>
      <c r="E12435" t="s">
        <v>28138</v>
      </c>
      <c r="F12435" t="s">
        <v>30052</v>
      </c>
      <c r="G12435" t="s">
        <v>30058</v>
      </c>
      <c r="H12435" t="s">
        <v>30067</v>
      </c>
      <c r="I12435" t="s">
        <v>3693</v>
      </c>
      <c r="J12435" t="s">
        <v>37789</v>
      </c>
      <c r="K12435" t="s">
        <v>39057</v>
      </c>
      <c r="M12435" t="s">
        <v>41159</v>
      </c>
      <c r="N12435" t="s">
        <v>43166</v>
      </c>
      <c r="O12435" t="s">
        <v>43167</v>
      </c>
      <c r="P12435">
        <v>0</v>
      </c>
      <c r="Q12435">
        <v>1</v>
      </c>
      <c r="R12435" t="s">
        <v>43185</v>
      </c>
      <c r="S12435" t="s">
        <v>43930</v>
      </c>
      <c r="T12435" t="s">
        <v>44729</v>
      </c>
      <c r="U12435" t="s">
        <v>55094</v>
      </c>
      <c r="W12435" t="s">
        <v>41159</v>
      </c>
      <c r="X12435" t="s">
        <v>43187</v>
      </c>
    </row>
    <row r="12436" spans="1:24">
      <c r="A12436">
        <f>HYPERLINK("https://www.philgeps.gov.ph/GEPSNONPILOT/Tender/SplashBidNoticeAbstractUI.aspx?menuIndex=3&amp;refID=7057433&amp;Result=3","7057433")</f>
        <v>0</v>
      </c>
      <c r="B12436" t="s">
        <v>2614</v>
      </c>
      <c r="C12436" t="s">
        <v>15308</v>
      </c>
      <c r="D12436" t="s">
        <v>17468</v>
      </c>
      <c r="E12436" t="s">
        <v>25864</v>
      </c>
      <c r="F12436" t="s">
        <v>30055</v>
      </c>
      <c r="G12436" t="s">
        <v>30059</v>
      </c>
      <c r="H12436" t="s">
        <v>30067</v>
      </c>
      <c r="I12436" t="s">
        <v>30083</v>
      </c>
      <c r="J12436" t="s">
        <v>31146</v>
      </c>
      <c r="K12436" t="s">
        <v>39037</v>
      </c>
      <c r="M12436" t="s">
        <v>42126</v>
      </c>
      <c r="N12436" t="s">
        <v>43166</v>
      </c>
      <c r="O12436" t="s">
        <v>43167</v>
      </c>
      <c r="Q12436">
        <v>1</v>
      </c>
      <c r="R12436" t="s">
        <v>43184</v>
      </c>
      <c r="S12436" t="s">
        <v>43942</v>
      </c>
      <c r="T12436" t="s">
        <v>44714</v>
      </c>
      <c r="U12436" t="s">
        <v>45799</v>
      </c>
      <c r="W12436" t="s">
        <v>42126</v>
      </c>
      <c r="X12436" t="s">
        <v>43185</v>
      </c>
    </row>
    <row r="12437" spans="1:24">
      <c r="A12437">
        <f>HYPERLINK("https://www.philgeps.gov.ph/GEPSNONPILOT/Tender/SplashBidNoticeAbstractUI.aspx?menuIndex=3&amp;refID=7052246&amp;Result=3","7052246")</f>
        <v>0</v>
      </c>
      <c r="B12437" t="s">
        <v>3253</v>
      </c>
      <c r="C12437" t="s">
        <v>15309</v>
      </c>
      <c r="D12437" t="s">
        <v>17423</v>
      </c>
      <c r="E12437" t="s">
        <v>28139</v>
      </c>
      <c r="F12437" t="s">
        <v>30052</v>
      </c>
      <c r="G12437" t="s">
        <v>30058</v>
      </c>
      <c r="H12437" t="s">
        <v>30067</v>
      </c>
      <c r="I12437" t="s">
        <v>3693</v>
      </c>
      <c r="J12437" t="s">
        <v>37790</v>
      </c>
      <c r="K12437" t="s">
        <v>39051</v>
      </c>
      <c r="M12437" t="s">
        <v>42884</v>
      </c>
      <c r="N12437" t="s">
        <v>43166</v>
      </c>
      <c r="O12437" t="s">
        <v>43167</v>
      </c>
      <c r="P12437">
        <v>0</v>
      </c>
      <c r="Q12437">
        <v>0</v>
      </c>
      <c r="R12437" t="s">
        <v>43185</v>
      </c>
      <c r="S12437" t="s">
        <v>43930</v>
      </c>
      <c r="T12437" t="s">
        <v>44773</v>
      </c>
      <c r="U12437" t="s">
        <v>55095</v>
      </c>
      <c r="W12437" t="s">
        <v>42884</v>
      </c>
      <c r="X12437" t="s">
        <v>43187</v>
      </c>
    </row>
    <row r="12438" spans="1:24">
      <c r="A12438">
        <f>HYPERLINK("https://www.philgeps.gov.ph/GEPSNONPILOT/Tender/SplashBidNoticeAbstractUI.aspx?menuIndex=3&amp;refID=7052226&amp;Result=3","7052226")</f>
        <v>0</v>
      </c>
      <c r="B12438" t="s">
        <v>3253</v>
      </c>
      <c r="C12438" t="s">
        <v>15310</v>
      </c>
      <c r="D12438" t="s">
        <v>17423</v>
      </c>
      <c r="E12438" t="s">
        <v>28140</v>
      </c>
      <c r="F12438" t="s">
        <v>30052</v>
      </c>
      <c r="G12438" t="s">
        <v>30058</v>
      </c>
      <c r="H12438" t="s">
        <v>30067</v>
      </c>
      <c r="I12438" t="s">
        <v>3693</v>
      </c>
      <c r="J12438" t="s">
        <v>37791</v>
      </c>
      <c r="K12438" t="s">
        <v>39220</v>
      </c>
      <c r="M12438" t="s">
        <v>42884</v>
      </c>
      <c r="N12438" t="s">
        <v>43166</v>
      </c>
      <c r="O12438" t="s">
        <v>43167</v>
      </c>
      <c r="P12438">
        <v>0</v>
      </c>
      <c r="Q12438">
        <v>1</v>
      </c>
      <c r="R12438" t="s">
        <v>43185</v>
      </c>
      <c r="S12438" t="s">
        <v>43930</v>
      </c>
      <c r="T12438" t="s">
        <v>44773</v>
      </c>
      <c r="U12438" t="s">
        <v>55096</v>
      </c>
      <c r="W12438" t="s">
        <v>42884</v>
      </c>
      <c r="X12438" t="s">
        <v>43187</v>
      </c>
    </row>
    <row r="12439" spans="1:24">
      <c r="A12439">
        <f>HYPERLINK("https://www.philgeps.gov.ph/GEPSNONPILOT/Tender/SplashBidNoticeAbstractUI.aspx?menuIndex=3&amp;refID=7052227&amp;Result=3","7052227")</f>
        <v>0</v>
      </c>
      <c r="B12439" t="s">
        <v>1000</v>
      </c>
      <c r="C12439" t="s">
        <v>15311</v>
      </c>
      <c r="D12439" t="s">
        <v>17422</v>
      </c>
      <c r="E12439" t="s">
        <v>28141</v>
      </c>
      <c r="F12439" t="s">
        <v>30052</v>
      </c>
      <c r="G12439" t="s">
        <v>30058</v>
      </c>
      <c r="H12439" t="s">
        <v>15498</v>
      </c>
      <c r="I12439" t="s">
        <v>3736</v>
      </c>
      <c r="J12439" t="s">
        <v>37792</v>
      </c>
      <c r="K12439" t="s">
        <v>39036</v>
      </c>
      <c r="M12439" t="s">
        <v>40329</v>
      </c>
      <c r="N12439" t="s">
        <v>43166</v>
      </c>
      <c r="O12439" t="s">
        <v>43167</v>
      </c>
      <c r="P12439">
        <v>0</v>
      </c>
      <c r="Q12439">
        <v>0</v>
      </c>
      <c r="R12439" t="s">
        <v>43185</v>
      </c>
      <c r="S12439" t="s">
        <v>43930</v>
      </c>
      <c r="T12439" t="s">
        <v>44705</v>
      </c>
      <c r="U12439" t="s">
        <v>55097</v>
      </c>
      <c r="V12439" t="s">
        <v>57175</v>
      </c>
      <c r="W12439" t="s">
        <v>40329</v>
      </c>
      <c r="X12439" t="s">
        <v>43187</v>
      </c>
    </row>
    <row r="12440" spans="1:24">
      <c r="A12440">
        <f>HYPERLINK("https://www.philgeps.gov.ph/GEPSNONPILOT/Tender/SplashBidNoticeAbstractUI.aspx?menuIndex=3&amp;refID=7057039&amp;Result=3","7057039")</f>
        <v>0</v>
      </c>
      <c r="B12440" t="s">
        <v>684</v>
      </c>
      <c r="C12440" t="s">
        <v>15312</v>
      </c>
      <c r="D12440" t="s">
        <v>17473</v>
      </c>
      <c r="E12440" t="s">
        <v>28142</v>
      </c>
      <c r="F12440" t="s">
        <v>30052</v>
      </c>
      <c r="G12440" t="s">
        <v>30059</v>
      </c>
      <c r="H12440" t="s">
        <v>15498</v>
      </c>
      <c r="I12440" t="s">
        <v>30100</v>
      </c>
      <c r="J12440" t="s">
        <v>30209</v>
      </c>
      <c r="K12440" t="s">
        <v>39029</v>
      </c>
      <c r="M12440" t="s">
        <v>39990</v>
      </c>
      <c r="N12440" t="s">
        <v>43166</v>
      </c>
      <c r="O12440" t="s">
        <v>43167</v>
      </c>
      <c r="Q12440">
        <v>6</v>
      </c>
      <c r="R12440" t="s">
        <v>43184</v>
      </c>
      <c r="S12440" t="s">
        <v>43943</v>
      </c>
      <c r="T12440" t="s">
        <v>44773</v>
      </c>
      <c r="U12440" t="s">
        <v>55098</v>
      </c>
      <c r="W12440" t="s">
        <v>39990</v>
      </c>
      <c r="X12440" t="s">
        <v>43185</v>
      </c>
    </row>
    <row r="12441" spans="1:24">
      <c r="A12441">
        <f>HYPERLINK("https://www.philgeps.gov.ph/GEPSNONPILOT/Tender/SplashBidNoticeAbstractUI.aspx?menuIndex=3&amp;refID=7052221&amp;Result=3","7052221")</f>
        <v>0</v>
      </c>
      <c r="B12441" t="s">
        <v>910</v>
      </c>
      <c r="C12441" t="s">
        <v>15313</v>
      </c>
      <c r="E12441" t="s">
        <v>28143</v>
      </c>
      <c r="F12441" t="s">
        <v>30052</v>
      </c>
      <c r="G12441" t="s">
        <v>30058</v>
      </c>
      <c r="H12441" t="s">
        <v>30067</v>
      </c>
      <c r="I12441" t="s">
        <v>3693</v>
      </c>
      <c r="J12441" t="s">
        <v>37793</v>
      </c>
      <c r="K12441" t="s">
        <v>39057</v>
      </c>
      <c r="M12441" t="s">
        <v>41159</v>
      </c>
      <c r="N12441" t="s">
        <v>43166</v>
      </c>
      <c r="O12441" t="s">
        <v>43167</v>
      </c>
      <c r="P12441">
        <v>0</v>
      </c>
      <c r="Q12441">
        <v>1</v>
      </c>
      <c r="R12441" t="s">
        <v>43185</v>
      </c>
      <c r="S12441" t="s">
        <v>43930</v>
      </c>
      <c r="T12441" t="s">
        <v>44729</v>
      </c>
      <c r="U12441" t="s">
        <v>55099</v>
      </c>
      <c r="W12441" t="s">
        <v>41159</v>
      </c>
      <c r="X12441" t="s">
        <v>43187</v>
      </c>
    </row>
    <row r="12442" spans="1:24">
      <c r="A12442">
        <f>HYPERLINK("https://www.philgeps.gov.ph/GEPSNONPILOT/Tender/SplashBidNoticeAbstractUI.aspx?menuIndex=3&amp;refID=7048442&amp;Result=3","7048442")</f>
        <v>0</v>
      </c>
      <c r="B12442" t="s">
        <v>1142</v>
      </c>
      <c r="C12442" t="s">
        <v>15314</v>
      </c>
      <c r="E12442" t="s">
        <v>28144</v>
      </c>
      <c r="F12442" t="s">
        <v>30052</v>
      </c>
      <c r="G12442" t="s">
        <v>30058</v>
      </c>
      <c r="H12442" t="s">
        <v>15498</v>
      </c>
      <c r="I12442" t="s">
        <v>30076</v>
      </c>
      <c r="J12442" t="s">
        <v>37794</v>
      </c>
      <c r="K12442" t="s">
        <v>39025</v>
      </c>
      <c r="M12442" t="s">
        <v>40485</v>
      </c>
      <c r="N12442" t="s">
        <v>43166</v>
      </c>
      <c r="O12442" t="s">
        <v>43167</v>
      </c>
      <c r="Q12442">
        <v>28</v>
      </c>
      <c r="R12442" t="s">
        <v>43185</v>
      </c>
      <c r="S12442" t="s">
        <v>43944</v>
      </c>
      <c r="T12442" t="s">
        <v>44685</v>
      </c>
      <c r="U12442" t="s">
        <v>55100</v>
      </c>
      <c r="W12442" t="s">
        <v>40485</v>
      </c>
      <c r="X12442" t="s">
        <v>43188</v>
      </c>
    </row>
    <row r="12443" spans="1:24">
      <c r="A12443">
        <f>HYPERLINK("https://www.philgeps.gov.ph/GEPSNONPILOT/Tender/SplashBidNoticeAbstractUI.aspx?menuIndex=3&amp;refID=7052200&amp;Result=3","7052200")</f>
        <v>0</v>
      </c>
      <c r="B12443" t="s">
        <v>1000</v>
      </c>
      <c r="C12443" t="s">
        <v>15315</v>
      </c>
      <c r="D12443" t="s">
        <v>17422</v>
      </c>
      <c r="E12443" t="s">
        <v>28145</v>
      </c>
      <c r="F12443" t="s">
        <v>30052</v>
      </c>
      <c r="G12443" t="s">
        <v>30058</v>
      </c>
      <c r="H12443" t="s">
        <v>15498</v>
      </c>
      <c r="I12443" t="s">
        <v>4650</v>
      </c>
      <c r="J12443" t="s">
        <v>35316</v>
      </c>
      <c r="K12443" t="s">
        <v>39064</v>
      </c>
      <c r="M12443" t="s">
        <v>40329</v>
      </c>
      <c r="N12443" t="s">
        <v>43166</v>
      </c>
      <c r="O12443" t="s">
        <v>43167</v>
      </c>
      <c r="P12443">
        <v>0</v>
      </c>
      <c r="Q12443">
        <v>3</v>
      </c>
      <c r="R12443" t="s">
        <v>43185</v>
      </c>
      <c r="S12443" t="s">
        <v>43930</v>
      </c>
      <c r="T12443" t="s">
        <v>44705</v>
      </c>
      <c r="U12443" t="s">
        <v>55101</v>
      </c>
      <c r="V12443" t="s">
        <v>57175</v>
      </c>
      <c r="W12443" t="s">
        <v>40329</v>
      </c>
      <c r="X12443" t="s">
        <v>43187</v>
      </c>
    </row>
    <row r="12444" spans="1:24">
      <c r="A12444">
        <f>HYPERLINK("https://www.philgeps.gov.ph/GEPSNONPILOT/Tender/SplashBidNoticeAbstractUI.aspx?menuIndex=3&amp;refID=7052156&amp;Result=3","7052156")</f>
        <v>0</v>
      </c>
      <c r="B12444" t="s">
        <v>1646</v>
      </c>
      <c r="C12444" t="s">
        <v>15316</v>
      </c>
      <c r="E12444" t="s">
        <v>28146</v>
      </c>
      <c r="F12444" t="s">
        <v>30052</v>
      </c>
      <c r="G12444" t="s">
        <v>30059</v>
      </c>
      <c r="H12444" t="s">
        <v>15498</v>
      </c>
      <c r="I12444" t="s">
        <v>30084</v>
      </c>
      <c r="J12444" t="s">
        <v>30252</v>
      </c>
      <c r="K12444" t="s">
        <v>39025</v>
      </c>
      <c r="M12444" t="s">
        <v>41107</v>
      </c>
      <c r="N12444" t="s">
        <v>43166</v>
      </c>
      <c r="O12444" t="s">
        <v>43167</v>
      </c>
      <c r="Q12444">
        <v>20</v>
      </c>
      <c r="R12444" t="s">
        <v>43185</v>
      </c>
      <c r="S12444" t="s">
        <v>43945</v>
      </c>
      <c r="T12444" t="s">
        <v>44862</v>
      </c>
      <c r="U12444" t="s">
        <v>46812</v>
      </c>
      <c r="W12444" t="s">
        <v>41107</v>
      </c>
      <c r="X12444" t="s">
        <v>43187</v>
      </c>
    </row>
    <row r="12445" spans="1:24">
      <c r="A12445">
        <f>HYPERLINK("https://www.philgeps.gov.ph/GEPSNONPILOT/Tender/SplashBidNoticeAbstractUI.aspx?menuIndex=3&amp;refID=7052202&amp;Result=3","7052202")</f>
        <v>0</v>
      </c>
      <c r="B12445" t="s">
        <v>3253</v>
      </c>
      <c r="C12445" t="s">
        <v>15317</v>
      </c>
      <c r="D12445" t="s">
        <v>17423</v>
      </c>
      <c r="E12445" t="s">
        <v>28147</v>
      </c>
      <c r="F12445" t="s">
        <v>30052</v>
      </c>
      <c r="G12445" t="s">
        <v>30058</v>
      </c>
      <c r="H12445" t="s">
        <v>30067</v>
      </c>
      <c r="I12445" t="s">
        <v>3693</v>
      </c>
      <c r="J12445" t="s">
        <v>37795</v>
      </c>
      <c r="K12445" t="s">
        <v>39096</v>
      </c>
      <c r="M12445" t="s">
        <v>42884</v>
      </c>
      <c r="N12445" t="s">
        <v>43166</v>
      </c>
      <c r="O12445" t="s">
        <v>43167</v>
      </c>
      <c r="P12445">
        <v>0</v>
      </c>
      <c r="Q12445">
        <v>1</v>
      </c>
      <c r="R12445" t="s">
        <v>43185</v>
      </c>
      <c r="S12445" t="s">
        <v>43930</v>
      </c>
      <c r="T12445" t="s">
        <v>44773</v>
      </c>
      <c r="U12445" t="s">
        <v>55102</v>
      </c>
      <c r="W12445" t="s">
        <v>42884</v>
      </c>
      <c r="X12445" t="s">
        <v>43187</v>
      </c>
    </row>
    <row r="12446" spans="1:24">
      <c r="A12446">
        <f>HYPERLINK("https://www.philgeps.gov.ph/GEPSNONPILOT/Tender/SplashBidNoticeAbstractUI.aspx?menuIndex=3&amp;refID=7052142&amp;Result=3","7052142")</f>
        <v>0</v>
      </c>
      <c r="B12446" t="s">
        <v>291</v>
      </c>
      <c r="C12446" t="s">
        <v>15318</v>
      </c>
      <c r="D12446" t="s">
        <v>17476</v>
      </c>
      <c r="E12446" t="s">
        <v>28148</v>
      </c>
      <c r="F12446" t="s">
        <v>30052</v>
      </c>
      <c r="G12446" t="s">
        <v>30058</v>
      </c>
      <c r="H12446" t="s">
        <v>15498</v>
      </c>
      <c r="I12446" t="s">
        <v>30074</v>
      </c>
      <c r="J12446" t="s">
        <v>30588</v>
      </c>
      <c r="K12446" t="s">
        <v>39029</v>
      </c>
      <c r="M12446" t="s">
        <v>39586</v>
      </c>
      <c r="N12446" t="s">
        <v>43166</v>
      </c>
      <c r="O12446" t="s">
        <v>43167</v>
      </c>
      <c r="Q12446">
        <v>3</v>
      </c>
      <c r="R12446" t="s">
        <v>43185</v>
      </c>
      <c r="S12446" t="s">
        <v>43946</v>
      </c>
      <c r="T12446" t="s">
        <v>45047</v>
      </c>
      <c r="U12446" t="s">
        <v>55103</v>
      </c>
      <c r="W12446" t="s">
        <v>39586</v>
      </c>
      <c r="X12446" t="s">
        <v>43187</v>
      </c>
    </row>
    <row r="12447" spans="1:24">
      <c r="A12447">
        <f>HYPERLINK("https://www.philgeps.gov.ph/GEPSNONPILOT/Tender/SplashBidNoticeAbstractUI.aspx?menuIndex=3&amp;refID=7052125&amp;Result=3","7052125")</f>
        <v>0</v>
      </c>
      <c r="B12447" t="s">
        <v>910</v>
      </c>
      <c r="C12447" t="s">
        <v>15319</v>
      </c>
      <c r="E12447" t="s">
        <v>28149</v>
      </c>
      <c r="F12447" t="s">
        <v>30052</v>
      </c>
      <c r="G12447" t="s">
        <v>30058</v>
      </c>
      <c r="H12447" t="s">
        <v>30067</v>
      </c>
      <c r="I12447" t="s">
        <v>3693</v>
      </c>
      <c r="J12447" t="s">
        <v>37796</v>
      </c>
      <c r="K12447" t="s">
        <v>39031</v>
      </c>
      <c r="M12447" t="s">
        <v>41159</v>
      </c>
      <c r="N12447" t="s">
        <v>43166</v>
      </c>
      <c r="O12447" t="s">
        <v>43167</v>
      </c>
      <c r="P12447">
        <v>0</v>
      </c>
      <c r="Q12447">
        <v>0</v>
      </c>
      <c r="R12447" t="s">
        <v>43185</v>
      </c>
      <c r="S12447" t="s">
        <v>43930</v>
      </c>
      <c r="T12447" t="s">
        <v>44729</v>
      </c>
      <c r="U12447" t="s">
        <v>55104</v>
      </c>
      <c r="W12447" t="s">
        <v>41159</v>
      </c>
      <c r="X12447" t="s">
        <v>43187</v>
      </c>
    </row>
    <row r="12448" spans="1:24">
      <c r="A12448">
        <f>HYPERLINK("https://www.philgeps.gov.ph/GEPSNONPILOT/Tender/SplashBidNoticeAbstractUI.aspx?menuIndex=3&amp;refID=7052108&amp;Result=3","7052108")</f>
        <v>0</v>
      </c>
      <c r="B12448" t="s">
        <v>1667</v>
      </c>
      <c r="C12448" t="s">
        <v>15320</v>
      </c>
      <c r="D12448" t="s">
        <v>17416</v>
      </c>
      <c r="E12448" t="s">
        <v>28150</v>
      </c>
      <c r="F12448" t="s">
        <v>30052</v>
      </c>
      <c r="G12448" t="s">
        <v>30058</v>
      </c>
      <c r="H12448" t="s">
        <v>30067</v>
      </c>
      <c r="I12448" t="s">
        <v>3693</v>
      </c>
      <c r="J12448" t="s">
        <v>37797</v>
      </c>
      <c r="K12448" t="s">
        <v>39038</v>
      </c>
      <c r="M12448" t="s">
        <v>41681</v>
      </c>
      <c r="N12448" t="s">
        <v>43166</v>
      </c>
      <c r="O12448" t="s">
        <v>43167</v>
      </c>
      <c r="P12448">
        <v>0</v>
      </c>
      <c r="Q12448">
        <v>0</v>
      </c>
      <c r="R12448" t="s">
        <v>43185</v>
      </c>
      <c r="S12448" t="s">
        <v>43930</v>
      </c>
      <c r="T12448" t="s">
        <v>44959</v>
      </c>
      <c r="U12448" t="s">
        <v>55105</v>
      </c>
      <c r="W12448" t="s">
        <v>41681</v>
      </c>
      <c r="X12448" t="s">
        <v>43187</v>
      </c>
    </row>
    <row r="12449" spans="1:24">
      <c r="A12449">
        <f>HYPERLINK("https://www.philgeps.gov.ph/GEPSNONPILOT/Tender/SplashBidNoticeAbstractUI.aspx?menuIndex=3&amp;refID=7052103&amp;Result=3","7052103")</f>
        <v>0</v>
      </c>
      <c r="B12449" t="s">
        <v>910</v>
      </c>
      <c r="C12449" t="s">
        <v>15321</v>
      </c>
      <c r="E12449" t="s">
        <v>28151</v>
      </c>
      <c r="F12449" t="s">
        <v>30052</v>
      </c>
      <c r="G12449" t="s">
        <v>30058</v>
      </c>
      <c r="H12449" t="s">
        <v>30067</v>
      </c>
      <c r="I12449" t="s">
        <v>3693</v>
      </c>
      <c r="J12449" t="s">
        <v>31207</v>
      </c>
      <c r="K12449" t="s">
        <v>39033</v>
      </c>
      <c r="M12449" t="s">
        <v>41159</v>
      </c>
      <c r="N12449" t="s">
        <v>43166</v>
      </c>
      <c r="O12449" t="s">
        <v>43167</v>
      </c>
      <c r="P12449">
        <v>0</v>
      </c>
      <c r="Q12449">
        <v>2</v>
      </c>
      <c r="R12449" t="s">
        <v>43185</v>
      </c>
      <c r="S12449" t="s">
        <v>43930</v>
      </c>
      <c r="T12449" t="s">
        <v>44729</v>
      </c>
      <c r="U12449" t="s">
        <v>55106</v>
      </c>
      <c r="W12449" t="s">
        <v>41159</v>
      </c>
      <c r="X12449" t="s">
        <v>43187</v>
      </c>
    </row>
    <row r="12450" spans="1:24">
      <c r="A12450">
        <f>HYPERLINK("https://www.philgeps.gov.ph/GEPSNONPILOT/Tender/SplashBidNoticeAbstractUI.aspx?menuIndex=3&amp;refID=7052065&amp;Result=3","7052065")</f>
        <v>0</v>
      </c>
      <c r="B12450" t="s">
        <v>910</v>
      </c>
      <c r="C12450" t="s">
        <v>15322</v>
      </c>
      <c r="E12450" t="s">
        <v>28152</v>
      </c>
      <c r="F12450" t="s">
        <v>30052</v>
      </c>
      <c r="G12450" t="s">
        <v>30058</v>
      </c>
      <c r="H12450" t="s">
        <v>30067</v>
      </c>
      <c r="I12450" t="s">
        <v>3693</v>
      </c>
      <c r="J12450" t="s">
        <v>37798</v>
      </c>
      <c r="K12450" t="s">
        <v>39022</v>
      </c>
      <c r="M12450" t="s">
        <v>41159</v>
      </c>
      <c r="N12450" t="s">
        <v>43166</v>
      </c>
      <c r="O12450" t="s">
        <v>43167</v>
      </c>
      <c r="P12450">
        <v>0</v>
      </c>
      <c r="Q12450">
        <v>0</v>
      </c>
      <c r="R12450" t="s">
        <v>43185</v>
      </c>
      <c r="S12450" t="s">
        <v>43930</v>
      </c>
      <c r="T12450" t="s">
        <v>44729</v>
      </c>
      <c r="U12450" t="s">
        <v>55107</v>
      </c>
      <c r="W12450" t="s">
        <v>41159</v>
      </c>
      <c r="X12450" t="s">
        <v>43187</v>
      </c>
    </row>
    <row r="12451" spans="1:24">
      <c r="A12451">
        <f>HYPERLINK("https://www.philgeps.gov.ph/GEPSNONPILOT/Tender/SplashBidNoticeAbstractUI.aspx?menuIndex=3&amp;refID=7052085&amp;Result=3","7052085")</f>
        <v>0</v>
      </c>
      <c r="B12451" t="s">
        <v>910</v>
      </c>
      <c r="C12451" t="s">
        <v>15323</v>
      </c>
      <c r="E12451" t="s">
        <v>28153</v>
      </c>
      <c r="F12451" t="s">
        <v>30052</v>
      </c>
      <c r="G12451" t="s">
        <v>30058</v>
      </c>
      <c r="H12451" t="s">
        <v>30067</v>
      </c>
      <c r="I12451" t="s">
        <v>3693</v>
      </c>
      <c r="J12451" t="s">
        <v>37799</v>
      </c>
      <c r="K12451" t="s">
        <v>39069</v>
      </c>
      <c r="M12451" t="s">
        <v>41159</v>
      </c>
      <c r="N12451" t="s">
        <v>43166</v>
      </c>
      <c r="O12451" t="s">
        <v>43167</v>
      </c>
      <c r="P12451">
        <v>0</v>
      </c>
      <c r="Q12451">
        <v>0</v>
      </c>
      <c r="R12451" t="s">
        <v>43185</v>
      </c>
      <c r="S12451" t="s">
        <v>43930</v>
      </c>
      <c r="T12451" t="s">
        <v>44799</v>
      </c>
      <c r="U12451" t="s">
        <v>55108</v>
      </c>
      <c r="W12451" t="s">
        <v>41159</v>
      </c>
      <c r="X12451" t="s">
        <v>43187</v>
      </c>
    </row>
    <row r="12452" spans="1:24">
      <c r="A12452">
        <f>HYPERLINK("https://www.philgeps.gov.ph/GEPSNONPILOT/Tender/SplashBidNoticeAbstractUI.aspx?menuIndex=3&amp;refID=7052050&amp;Result=3","7052050")</f>
        <v>0</v>
      </c>
      <c r="B12452" t="s">
        <v>910</v>
      </c>
      <c r="C12452" t="s">
        <v>15324</v>
      </c>
      <c r="E12452" t="s">
        <v>28154</v>
      </c>
      <c r="F12452" t="s">
        <v>30052</v>
      </c>
      <c r="G12452" t="s">
        <v>30058</v>
      </c>
      <c r="H12452" t="s">
        <v>30067</v>
      </c>
      <c r="I12452" t="s">
        <v>3693</v>
      </c>
      <c r="J12452" t="s">
        <v>37800</v>
      </c>
      <c r="K12452" t="s">
        <v>39112</v>
      </c>
      <c r="M12452" t="s">
        <v>41159</v>
      </c>
      <c r="N12452" t="s">
        <v>43166</v>
      </c>
      <c r="O12452" t="s">
        <v>43167</v>
      </c>
      <c r="P12452">
        <v>0</v>
      </c>
      <c r="Q12452">
        <v>0</v>
      </c>
      <c r="R12452" t="s">
        <v>43185</v>
      </c>
      <c r="S12452" t="s">
        <v>43930</v>
      </c>
      <c r="T12452" t="s">
        <v>44729</v>
      </c>
      <c r="U12452" t="s">
        <v>55109</v>
      </c>
      <c r="W12452" t="s">
        <v>41159</v>
      </c>
      <c r="X12452" t="s">
        <v>43187</v>
      </c>
    </row>
    <row r="12453" spans="1:24">
      <c r="A12453">
        <f>HYPERLINK("https://www.philgeps.gov.ph/GEPSNONPILOT/Tender/SplashBidNoticeAbstractUI.aspx?menuIndex=3&amp;refID=7052191&amp;Result=3","7052191")</f>
        <v>0</v>
      </c>
      <c r="B12453" t="s">
        <v>910</v>
      </c>
      <c r="C12453" t="s">
        <v>15325</v>
      </c>
      <c r="E12453" t="s">
        <v>28155</v>
      </c>
      <c r="F12453" t="s">
        <v>30052</v>
      </c>
      <c r="G12453" t="s">
        <v>30058</v>
      </c>
      <c r="H12453" t="s">
        <v>30067</v>
      </c>
      <c r="I12453" t="s">
        <v>3693</v>
      </c>
      <c r="J12453" t="s">
        <v>37801</v>
      </c>
      <c r="K12453" t="s">
        <v>39065</v>
      </c>
      <c r="M12453" t="s">
        <v>41159</v>
      </c>
      <c r="N12453" t="s">
        <v>43166</v>
      </c>
      <c r="O12453" t="s">
        <v>43167</v>
      </c>
      <c r="P12453">
        <v>0</v>
      </c>
      <c r="Q12453">
        <v>0</v>
      </c>
      <c r="R12453" t="s">
        <v>43185</v>
      </c>
      <c r="S12453" t="s">
        <v>43930</v>
      </c>
      <c r="T12453" t="s">
        <v>44729</v>
      </c>
      <c r="U12453" t="s">
        <v>55110</v>
      </c>
      <c r="W12453" t="s">
        <v>41159</v>
      </c>
      <c r="X12453" t="s">
        <v>43187</v>
      </c>
    </row>
    <row r="12454" spans="1:24">
      <c r="A12454">
        <f>HYPERLINK("https://www.philgeps.gov.ph/GEPSNONPILOT/Tender/SplashBidNoticeAbstractUI.aspx?menuIndex=3&amp;refID=7052181&amp;Result=3","7052181")</f>
        <v>0</v>
      </c>
      <c r="B12454" t="s">
        <v>910</v>
      </c>
      <c r="C12454" t="s">
        <v>15326</v>
      </c>
      <c r="E12454" t="s">
        <v>28156</v>
      </c>
      <c r="F12454" t="s">
        <v>30052</v>
      </c>
      <c r="G12454" t="s">
        <v>30058</v>
      </c>
      <c r="H12454" t="s">
        <v>30067</v>
      </c>
      <c r="I12454" t="s">
        <v>3693</v>
      </c>
      <c r="J12454" t="s">
        <v>37802</v>
      </c>
      <c r="K12454" t="s">
        <v>39031</v>
      </c>
      <c r="M12454" t="s">
        <v>41159</v>
      </c>
      <c r="N12454" t="s">
        <v>43166</v>
      </c>
      <c r="O12454" t="s">
        <v>43167</v>
      </c>
      <c r="P12454">
        <v>0</v>
      </c>
      <c r="Q12454">
        <v>1</v>
      </c>
      <c r="R12454" t="s">
        <v>43185</v>
      </c>
      <c r="S12454" t="s">
        <v>43930</v>
      </c>
      <c r="T12454" t="s">
        <v>44729</v>
      </c>
      <c r="U12454" t="s">
        <v>55111</v>
      </c>
      <c r="W12454" t="s">
        <v>41159</v>
      </c>
      <c r="X12454" t="s">
        <v>43187</v>
      </c>
    </row>
    <row r="12455" spans="1:24">
      <c r="A12455">
        <f>HYPERLINK("https://www.philgeps.gov.ph/GEPSNONPILOT/Tender/SplashBidNoticeAbstractUI.aspx?menuIndex=3&amp;refID=7056418&amp;Result=3","7056418")</f>
        <v>0</v>
      </c>
      <c r="B12455" t="s">
        <v>3221</v>
      </c>
      <c r="C12455" t="s">
        <v>15327</v>
      </c>
      <c r="D12455" t="s">
        <v>17448</v>
      </c>
      <c r="E12455" t="s">
        <v>27910</v>
      </c>
      <c r="F12455" t="s">
        <v>30052</v>
      </c>
      <c r="G12455" t="s">
        <v>30058</v>
      </c>
      <c r="H12455" t="s">
        <v>30067</v>
      </c>
      <c r="I12455" t="s">
        <v>3693</v>
      </c>
      <c r="J12455" t="s">
        <v>37803</v>
      </c>
      <c r="K12455" t="s">
        <v>39031</v>
      </c>
      <c r="M12455" t="s">
        <v>42845</v>
      </c>
      <c r="N12455" t="s">
        <v>43166</v>
      </c>
      <c r="O12455" t="s">
        <v>43167</v>
      </c>
      <c r="Q12455">
        <v>0</v>
      </c>
      <c r="R12455" t="s">
        <v>43184</v>
      </c>
      <c r="S12455" t="s">
        <v>43947</v>
      </c>
      <c r="T12455" t="s">
        <v>45129</v>
      </c>
      <c r="U12455" t="s">
        <v>54900</v>
      </c>
      <c r="V12455" t="s">
        <v>58252</v>
      </c>
      <c r="W12455" t="s">
        <v>42845</v>
      </c>
      <c r="X12455" t="s">
        <v>43185</v>
      </c>
    </row>
    <row r="12456" spans="1:24">
      <c r="A12456">
        <f>HYPERLINK("https://www.philgeps.gov.ph/GEPSNONPILOT/Tender/SplashBidNoticeAbstractUI.aspx?menuIndex=3&amp;refID=7052022&amp;Result=3","7052022")</f>
        <v>0</v>
      </c>
      <c r="B12456" t="s">
        <v>910</v>
      </c>
      <c r="C12456" t="s">
        <v>15328</v>
      </c>
      <c r="E12456" t="s">
        <v>28157</v>
      </c>
      <c r="F12456" t="s">
        <v>30052</v>
      </c>
      <c r="G12456" t="s">
        <v>30058</v>
      </c>
      <c r="H12456" t="s">
        <v>30067</v>
      </c>
      <c r="I12456" t="s">
        <v>3693</v>
      </c>
      <c r="J12456" t="s">
        <v>37804</v>
      </c>
      <c r="K12456" t="s">
        <v>39245</v>
      </c>
      <c r="M12456" t="s">
        <v>41159</v>
      </c>
      <c r="N12456" t="s">
        <v>43166</v>
      </c>
      <c r="O12456" t="s">
        <v>43167</v>
      </c>
      <c r="P12456">
        <v>0</v>
      </c>
      <c r="Q12456">
        <v>1</v>
      </c>
      <c r="R12456" t="s">
        <v>43185</v>
      </c>
      <c r="S12456" t="s">
        <v>43930</v>
      </c>
      <c r="T12456" t="s">
        <v>44729</v>
      </c>
      <c r="U12456" t="s">
        <v>55112</v>
      </c>
      <c r="W12456" t="s">
        <v>41159</v>
      </c>
      <c r="X12456" t="s">
        <v>43187</v>
      </c>
    </row>
    <row r="12457" spans="1:24">
      <c r="A12457">
        <f>HYPERLINK("https://www.philgeps.gov.ph/GEPSNONPILOT/Tender/SplashBidNoticeAbstractUI.aspx?menuIndex=3&amp;refID=7056402&amp;Result=3","7056402")</f>
        <v>0</v>
      </c>
      <c r="B12457" t="s">
        <v>3221</v>
      </c>
      <c r="C12457" t="s">
        <v>15329</v>
      </c>
      <c r="D12457" t="s">
        <v>17448</v>
      </c>
      <c r="E12457" t="s">
        <v>27910</v>
      </c>
      <c r="F12457" t="s">
        <v>30052</v>
      </c>
      <c r="G12457" t="s">
        <v>30058</v>
      </c>
      <c r="H12457" t="s">
        <v>30067</v>
      </c>
      <c r="I12457" t="s">
        <v>3693</v>
      </c>
      <c r="J12457" t="s">
        <v>34406</v>
      </c>
      <c r="K12457" t="s">
        <v>39026</v>
      </c>
      <c r="M12457" t="s">
        <v>42845</v>
      </c>
      <c r="N12457" t="s">
        <v>43166</v>
      </c>
      <c r="O12457" t="s">
        <v>43167</v>
      </c>
      <c r="Q12457">
        <v>0</v>
      </c>
      <c r="R12457" t="s">
        <v>43184</v>
      </c>
      <c r="S12457" t="s">
        <v>43948</v>
      </c>
      <c r="T12457" t="s">
        <v>45129</v>
      </c>
      <c r="U12457" t="s">
        <v>54900</v>
      </c>
      <c r="V12457" t="s">
        <v>58253</v>
      </c>
      <c r="W12457" t="s">
        <v>42845</v>
      </c>
      <c r="X12457" t="s">
        <v>43185</v>
      </c>
    </row>
    <row r="12458" spans="1:24">
      <c r="A12458">
        <f>HYPERLINK("https://www.philgeps.gov.ph/GEPSNONPILOT/Tender/SplashBidNoticeAbstractUI.aspx?menuIndex=3&amp;refID=7052057&amp;Result=3","7052057")</f>
        <v>0</v>
      </c>
      <c r="B12458" t="s">
        <v>658</v>
      </c>
      <c r="C12458" t="s">
        <v>15330</v>
      </c>
      <c r="D12458" t="s">
        <v>17415</v>
      </c>
      <c r="E12458" t="s">
        <v>21156</v>
      </c>
      <c r="F12458" t="s">
        <v>30052</v>
      </c>
      <c r="G12458" t="s">
        <v>30058</v>
      </c>
      <c r="H12458" t="s">
        <v>15498</v>
      </c>
      <c r="I12458" t="s">
        <v>6304</v>
      </c>
      <c r="J12458" t="s">
        <v>37805</v>
      </c>
      <c r="K12458" t="s">
        <v>39023</v>
      </c>
      <c r="M12458" t="s">
        <v>40517</v>
      </c>
      <c r="N12458" t="s">
        <v>43166</v>
      </c>
      <c r="O12458" t="s">
        <v>43167</v>
      </c>
      <c r="Q12458">
        <v>6</v>
      </c>
      <c r="R12458" t="s">
        <v>43185</v>
      </c>
      <c r="S12458" t="s">
        <v>43949</v>
      </c>
      <c r="T12458" t="s">
        <v>44724</v>
      </c>
      <c r="U12458" t="s">
        <v>55113</v>
      </c>
      <c r="W12458" t="s">
        <v>40517</v>
      </c>
      <c r="X12458" t="s">
        <v>43187</v>
      </c>
    </row>
    <row r="12459" spans="1:24">
      <c r="A12459">
        <f>HYPERLINK("https://www.philgeps.gov.ph/GEPSNONPILOT/Tender/SplashBidNoticeAbstractUI.aspx?menuIndex=3&amp;refID=7059043&amp;Result=3","7059043")</f>
        <v>0</v>
      </c>
      <c r="B12459" t="s">
        <v>915</v>
      </c>
      <c r="C12459" t="s">
        <v>15331</v>
      </c>
      <c r="D12459" t="s">
        <v>17457</v>
      </c>
      <c r="E12459" t="s">
        <v>28158</v>
      </c>
      <c r="F12459" t="s">
        <v>30052</v>
      </c>
      <c r="G12459" t="s">
        <v>30058</v>
      </c>
      <c r="H12459" t="s">
        <v>15498</v>
      </c>
      <c r="I12459" t="s">
        <v>30074</v>
      </c>
      <c r="J12459" t="s">
        <v>33141</v>
      </c>
      <c r="K12459" t="s">
        <v>39029</v>
      </c>
      <c r="M12459" t="s">
        <v>40238</v>
      </c>
      <c r="N12459" t="s">
        <v>43166</v>
      </c>
      <c r="O12459" t="s">
        <v>43167</v>
      </c>
      <c r="P12459">
        <v>0</v>
      </c>
      <c r="Q12459">
        <v>3</v>
      </c>
      <c r="R12459" t="s">
        <v>43181</v>
      </c>
      <c r="S12459" t="s">
        <v>43729</v>
      </c>
      <c r="T12459" t="s">
        <v>44704</v>
      </c>
      <c r="U12459" t="s">
        <v>55114</v>
      </c>
      <c r="W12459" t="s">
        <v>40238</v>
      </c>
      <c r="X12459" t="s">
        <v>43182</v>
      </c>
    </row>
    <row r="12460" spans="1:24">
      <c r="A12460">
        <f>HYPERLINK("https://www.philgeps.gov.ph/GEPSNONPILOT/Tender/SplashBidNoticeAbstractUI.aspx?menuIndex=3&amp;refID=7052033&amp;Result=3","7052033")</f>
        <v>0</v>
      </c>
      <c r="B12460" t="s">
        <v>910</v>
      </c>
      <c r="C12460" t="s">
        <v>15332</v>
      </c>
      <c r="E12460" t="s">
        <v>28159</v>
      </c>
      <c r="F12460" t="s">
        <v>30052</v>
      </c>
      <c r="G12460" t="s">
        <v>30058</v>
      </c>
      <c r="H12460" t="s">
        <v>30067</v>
      </c>
      <c r="I12460" t="s">
        <v>3693</v>
      </c>
      <c r="J12460" t="s">
        <v>37806</v>
      </c>
      <c r="K12460" t="s">
        <v>39057</v>
      </c>
      <c r="M12460" t="s">
        <v>41159</v>
      </c>
      <c r="N12460" t="s">
        <v>43166</v>
      </c>
      <c r="O12460" t="s">
        <v>43167</v>
      </c>
      <c r="P12460">
        <v>0</v>
      </c>
      <c r="Q12460">
        <v>1</v>
      </c>
      <c r="R12460" t="s">
        <v>43185</v>
      </c>
      <c r="S12460" t="s">
        <v>43930</v>
      </c>
      <c r="T12460" t="s">
        <v>44729</v>
      </c>
      <c r="U12460" t="s">
        <v>55115</v>
      </c>
      <c r="W12460" t="s">
        <v>41159</v>
      </c>
      <c r="X12460" t="s">
        <v>43187</v>
      </c>
    </row>
    <row r="12461" spans="1:24">
      <c r="A12461">
        <f>HYPERLINK("https://www.philgeps.gov.ph/GEPSNONPILOT/Tender/SplashBidNoticeAbstractUI.aspx?menuIndex=3&amp;refID=7059039&amp;Result=3","7059039")</f>
        <v>0</v>
      </c>
      <c r="B12461" t="s">
        <v>3118</v>
      </c>
      <c r="C12461" t="s">
        <v>15333</v>
      </c>
      <c r="D12461" t="s">
        <v>17448</v>
      </c>
      <c r="E12461" t="s">
        <v>28160</v>
      </c>
      <c r="F12461" t="s">
        <v>30052</v>
      </c>
      <c r="G12461" t="s">
        <v>30058</v>
      </c>
      <c r="H12461" t="s">
        <v>30067</v>
      </c>
      <c r="I12461" t="s">
        <v>3736</v>
      </c>
      <c r="J12461" t="s">
        <v>30321</v>
      </c>
      <c r="K12461" t="s">
        <v>39022</v>
      </c>
      <c r="M12461" t="s">
        <v>42715</v>
      </c>
      <c r="N12461" t="s">
        <v>43166</v>
      </c>
      <c r="O12461" t="s">
        <v>43167</v>
      </c>
      <c r="P12461">
        <v>0</v>
      </c>
      <c r="Q12461">
        <v>0</v>
      </c>
      <c r="R12461" t="s">
        <v>43181</v>
      </c>
      <c r="S12461" t="s">
        <v>43729</v>
      </c>
      <c r="T12461" t="s">
        <v>44837</v>
      </c>
      <c r="U12461" t="s">
        <v>54304</v>
      </c>
      <c r="V12461" t="s">
        <v>49915</v>
      </c>
      <c r="W12461" t="s">
        <v>42715</v>
      </c>
      <c r="X12461" t="s">
        <v>43182</v>
      </c>
    </row>
    <row r="12462" spans="1:24">
      <c r="A12462">
        <f>HYPERLINK("https://www.philgeps.gov.ph/GEPSNONPILOT/Tender/SplashBidNoticeAbstractUI.aspx?menuIndex=3&amp;refID=7059050&amp;Result=3","7059050")</f>
        <v>0</v>
      </c>
      <c r="B12462" t="s">
        <v>3118</v>
      </c>
      <c r="C12462" t="s">
        <v>15334</v>
      </c>
      <c r="D12462" t="s">
        <v>17448</v>
      </c>
      <c r="E12462" t="s">
        <v>28161</v>
      </c>
      <c r="F12462" t="s">
        <v>30052</v>
      </c>
      <c r="G12462" t="s">
        <v>30058</v>
      </c>
      <c r="H12462" t="s">
        <v>30067</v>
      </c>
      <c r="I12462" t="s">
        <v>3736</v>
      </c>
      <c r="J12462" t="s">
        <v>30397</v>
      </c>
      <c r="K12462" t="s">
        <v>39026</v>
      </c>
      <c r="M12462" t="s">
        <v>42715</v>
      </c>
      <c r="N12462" t="s">
        <v>43166</v>
      </c>
      <c r="O12462" t="s">
        <v>43167</v>
      </c>
      <c r="P12462">
        <v>0</v>
      </c>
      <c r="Q12462">
        <v>0</v>
      </c>
      <c r="R12462" t="s">
        <v>43181</v>
      </c>
      <c r="S12462" t="s">
        <v>43729</v>
      </c>
      <c r="T12462" t="s">
        <v>44837</v>
      </c>
      <c r="U12462" t="s">
        <v>54304</v>
      </c>
      <c r="V12462" t="s">
        <v>49915</v>
      </c>
      <c r="W12462" t="s">
        <v>42715</v>
      </c>
      <c r="X12462" t="s">
        <v>43182</v>
      </c>
    </row>
    <row r="12463" spans="1:24">
      <c r="A12463">
        <f>HYPERLINK("https://www.philgeps.gov.ph/GEPSNONPILOT/Tender/SplashBidNoticeAbstractUI.aspx?menuIndex=3&amp;refID=7052848&amp;Result=3","7052848")</f>
        <v>0</v>
      </c>
      <c r="B12463" t="s">
        <v>3215</v>
      </c>
      <c r="C12463" t="s">
        <v>15335</v>
      </c>
      <c r="E12463" t="s">
        <v>28162</v>
      </c>
      <c r="F12463" t="s">
        <v>30052</v>
      </c>
      <c r="G12463" t="s">
        <v>30058</v>
      </c>
      <c r="H12463" t="s">
        <v>15498</v>
      </c>
      <c r="I12463" t="s">
        <v>30130</v>
      </c>
      <c r="J12463" t="s">
        <v>31664</v>
      </c>
      <c r="K12463" t="s">
        <v>39025</v>
      </c>
      <c r="M12463" t="s">
        <v>42838</v>
      </c>
      <c r="N12463" t="s">
        <v>43166</v>
      </c>
      <c r="O12463" t="s">
        <v>43167</v>
      </c>
      <c r="Q12463">
        <v>27</v>
      </c>
      <c r="R12463" t="s">
        <v>43185</v>
      </c>
      <c r="S12463" t="s">
        <v>43950</v>
      </c>
      <c r="T12463" t="s">
        <v>44941</v>
      </c>
      <c r="U12463" t="s">
        <v>55116</v>
      </c>
      <c r="V12463" t="s">
        <v>58254</v>
      </c>
      <c r="W12463" t="s">
        <v>42838</v>
      </c>
      <c r="X12463" t="s">
        <v>43186</v>
      </c>
    </row>
    <row r="12464" spans="1:24">
      <c r="A12464">
        <f>HYPERLINK("https://www.philgeps.gov.ph/GEPSNONPILOT/Tender/SplashBidNoticeAbstractUI.aspx?menuIndex=3&amp;refID=7057055&amp;Result=3","7057055")</f>
        <v>0</v>
      </c>
      <c r="B12464" t="s">
        <v>684</v>
      </c>
      <c r="C12464" t="s">
        <v>15336</v>
      </c>
      <c r="D12464" t="s">
        <v>17473</v>
      </c>
      <c r="E12464" t="s">
        <v>28163</v>
      </c>
      <c r="F12464" t="s">
        <v>30052</v>
      </c>
      <c r="G12464" t="s">
        <v>30059</v>
      </c>
      <c r="H12464" t="s">
        <v>15498</v>
      </c>
      <c r="I12464" t="s">
        <v>30100</v>
      </c>
      <c r="J12464" t="s">
        <v>30277</v>
      </c>
      <c r="K12464" t="s">
        <v>39029</v>
      </c>
      <c r="M12464" t="s">
        <v>39990</v>
      </c>
      <c r="N12464" t="s">
        <v>43166</v>
      </c>
      <c r="O12464" t="s">
        <v>43167</v>
      </c>
      <c r="Q12464">
        <v>1</v>
      </c>
      <c r="R12464" t="s">
        <v>43184</v>
      </c>
      <c r="S12464" t="s">
        <v>43951</v>
      </c>
      <c r="T12464" t="s">
        <v>44773</v>
      </c>
      <c r="U12464" t="s">
        <v>55117</v>
      </c>
      <c r="W12464" t="s">
        <v>39990</v>
      </c>
      <c r="X12464" t="s">
        <v>43185</v>
      </c>
    </row>
    <row r="12465" spans="1:24">
      <c r="A12465">
        <f>HYPERLINK("https://www.philgeps.gov.ph/GEPSNONPILOT/Tender/SplashBidNoticeAbstractUI.aspx?menuIndex=3&amp;refID=7056410&amp;Result=3","7056410")</f>
        <v>0</v>
      </c>
      <c r="B12465" t="s">
        <v>3221</v>
      </c>
      <c r="C12465" t="s">
        <v>15337</v>
      </c>
      <c r="D12465" t="s">
        <v>17448</v>
      </c>
      <c r="E12465" t="s">
        <v>27910</v>
      </c>
      <c r="F12465" t="s">
        <v>30052</v>
      </c>
      <c r="G12465" t="s">
        <v>30058</v>
      </c>
      <c r="H12465" t="s">
        <v>30067</v>
      </c>
      <c r="I12465" t="s">
        <v>3693</v>
      </c>
      <c r="J12465" t="s">
        <v>30281</v>
      </c>
      <c r="K12465" t="s">
        <v>39023</v>
      </c>
      <c r="M12465" t="s">
        <v>42845</v>
      </c>
      <c r="N12465" t="s">
        <v>43166</v>
      </c>
      <c r="O12465" t="s">
        <v>43167</v>
      </c>
      <c r="Q12465">
        <v>0</v>
      </c>
      <c r="R12465" t="s">
        <v>43184</v>
      </c>
      <c r="S12465" t="s">
        <v>43952</v>
      </c>
      <c r="T12465" t="s">
        <v>45129</v>
      </c>
      <c r="U12465" t="s">
        <v>54900</v>
      </c>
      <c r="V12465" t="s">
        <v>58255</v>
      </c>
      <c r="W12465" t="s">
        <v>42845</v>
      </c>
      <c r="X12465" t="s">
        <v>43185</v>
      </c>
    </row>
    <row r="12466" spans="1:24">
      <c r="A12466">
        <f>HYPERLINK("https://www.philgeps.gov.ph/GEPSNONPILOT/Tender/SplashBidNoticeAbstractUI.aspx?menuIndex=3&amp;refID=7052841&amp;Result=3","7052841")</f>
        <v>0</v>
      </c>
      <c r="B12466" t="s">
        <v>2290</v>
      </c>
      <c r="C12466" t="s">
        <v>15338</v>
      </c>
      <c r="D12466" t="s">
        <v>17453</v>
      </c>
      <c r="E12466" t="s">
        <v>28164</v>
      </c>
      <c r="F12466" t="s">
        <v>30052</v>
      </c>
      <c r="G12466" t="s">
        <v>30058</v>
      </c>
      <c r="H12466" t="s">
        <v>30067</v>
      </c>
      <c r="I12466" t="s">
        <v>3693</v>
      </c>
      <c r="J12466" t="s">
        <v>31198</v>
      </c>
      <c r="K12466" t="s">
        <v>39031</v>
      </c>
      <c r="M12466" t="s">
        <v>42322</v>
      </c>
      <c r="N12466" t="s">
        <v>43166</v>
      </c>
      <c r="O12466" t="s">
        <v>43167</v>
      </c>
      <c r="P12466">
        <v>0</v>
      </c>
      <c r="Q12466">
        <v>0</v>
      </c>
      <c r="R12466" t="s">
        <v>43185</v>
      </c>
      <c r="S12466" t="s">
        <v>43930</v>
      </c>
      <c r="T12466" t="s">
        <v>44717</v>
      </c>
      <c r="U12466" t="s">
        <v>55118</v>
      </c>
      <c r="W12466" t="s">
        <v>42322</v>
      </c>
      <c r="X12466" t="s">
        <v>43186</v>
      </c>
    </row>
    <row r="12467" spans="1:24">
      <c r="A12467">
        <f>HYPERLINK("https://www.philgeps.gov.ph/GEPSNONPILOT/Tender/SplashBidNoticeAbstractUI.aspx?menuIndex=3&amp;refID=7059037&amp;Result=3","7059037")</f>
        <v>0</v>
      </c>
      <c r="B12467" t="s">
        <v>3254</v>
      </c>
      <c r="C12467" t="s">
        <v>15339</v>
      </c>
      <c r="D12467" t="s">
        <v>17449</v>
      </c>
      <c r="E12467" t="s">
        <v>28165</v>
      </c>
      <c r="F12467" t="s">
        <v>30052</v>
      </c>
      <c r="G12467" t="s">
        <v>30058</v>
      </c>
      <c r="H12467" t="s">
        <v>15498</v>
      </c>
      <c r="I12467" t="s">
        <v>30097</v>
      </c>
      <c r="J12467" t="s">
        <v>37807</v>
      </c>
      <c r="K12467" t="s">
        <v>39017</v>
      </c>
      <c r="M12467" t="s">
        <v>42885</v>
      </c>
      <c r="N12467" t="s">
        <v>43166</v>
      </c>
      <c r="O12467" t="s">
        <v>43167</v>
      </c>
      <c r="P12467">
        <v>0</v>
      </c>
      <c r="Q12467">
        <v>11</v>
      </c>
      <c r="R12467" t="s">
        <v>43181</v>
      </c>
      <c r="S12467" t="s">
        <v>43729</v>
      </c>
      <c r="T12467" t="s">
        <v>44818</v>
      </c>
      <c r="U12467" t="s">
        <v>55119</v>
      </c>
      <c r="W12467" t="s">
        <v>42885</v>
      </c>
      <c r="X12467" t="s">
        <v>43182</v>
      </c>
    </row>
    <row r="12468" spans="1:24">
      <c r="A12468">
        <f>HYPERLINK("https://www.philgeps.gov.ph/GEPSNONPILOT/Tender/SplashBidNoticeAbstractUI.aspx?menuIndex=3&amp;refID=7052745&amp;Result=3","7052745")</f>
        <v>0</v>
      </c>
      <c r="B12468" t="s">
        <v>1414</v>
      </c>
      <c r="C12468" t="s">
        <v>15340</v>
      </c>
      <c r="D12468" t="s">
        <v>17419</v>
      </c>
      <c r="E12468" t="s">
        <v>28166</v>
      </c>
      <c r="F12468" t="s">
        <v>30052</v>
      </c>
      <c r="G12468" t="s">
        <v>30058</v>
      </c>
      <c r="H12468" t="s">
        <v>15498</v>
      </c>
      <c r="I12468" t="s">
        <v>30092</v>
      </c>
      <c r="J12468" t="s">
        <v>37808</v>
      </c>
      <c r="K12468" t="s">
        <v>39019</v>
      </c>
      <c r="M12468" t="s">
        <v>40792</v>
      </c>
      <c r="N12468" t="s">
        <v>43166</v>
      </c>
      <c r="O12468" t="s">
        <v>43167</v>
      </c>
      <c r="P12468">
        <v>0</v>
      </c>
      <c r="Q12468">
        <v>1</v>
      </c>
      <c r="R12468" t="s">
        <v>43185</v>
      </c>
      <c r="S12468" t="s">
        <v>43930</v>
      </c>
      <c r="T12468" t="s">
        <v>44717</v>
      </c>
      <c r="U12468" t="s">
        <v>55120</v>
      </c>
      <c r="W12468" t="s">
        <v>40792</v>
      </c>
      <c r="X12468" t="s">
        <v>43186</v>
      </c>
    </row>
    <row r="12469" spans="1:24">
      <c r="A12469">
        <f>HYPERLINK("https://www.philgeps.gov.ph/GEPSNONPILOT/Tender/SplashBidNoticeAbstractUI.aspx?menuIndex=3&amp;refID=7052854&amp;Result=3","7052854")</f>
        <v>0</v>
      </c>
      <c r="B12469" t="s">
        <v>3255</v>
      </c>
      <c r="C12469" t="s">
        <v>15341</v>
      </c>
      <c r="D12469" t="s">
        <v>17426</v>
      </c>
      <c r="E12469" t="s">
        <v>19667</v>
      </c>
      <c r="F12469" t="s">
        <v>30052</v>
      </c>
      <c r="G12469" t="s">
        <v>30058</v>
      </c>
      <c r="H12469" t="s">
        <v>30067</v>
      </c>
      <c r="I12469" t="s">
        <v>3693</v>
      </c>
      <c r="J12469" t="s">
        <v>30397</v>
      </c>
      <c r="K12469" t="s">
        <v>39061</v>
      </c>
      <c r="M12469" t="s">
        <v>42886</v>
      </c>
      <c r="N12469" t="s">
        <v>43166</v>
      </c>
      <c r="O12469" t="s">
        <v>43167</v>
      </c>
      <c r="P12469">
        <v>0</v>
      </c>
      <c r="Q12469">
        <v>0</v>
      </c>
      <c r="R12469" t="s">
        <v>43185</v>
      </c>
      <c r="S12469" t="s">
        <v>43930</v>
      </c>
      <c r="T12469" t="s">
        <v>44798</v>
      </c>
      <c r="U12469" t="s">
        <v>55121</v>
      </c>
      <c r="W12469" t="s">
        <v>42886</v>
      </c>
      <c r="X12469" t="s">
        <v>43186</v>
      </c>
    </row>
    <row r="12470" spans="1:24">
      <c r="A12470">
        <f>HYPERLINK("https://www.philgeps.gov.ph/GEPSNONPILOT/Tender/SplashBidNoticeAbstractUI.aspx?menuIndex=3&amp;refID=7052735&amp;Result=3","7052735")</f>
        <v>0</v>
      </c>
      <c r="B12470" t="s">
        <v>3256</v>
      </c>
      <c r="C12470" t="s">
        <v>15342</v>
      </c>
      <c r="E12470" t="s">
        <v>28167</v>
      </c>
      <c r="F12470" t="s">
        <v>30052</v>
      </c>
      <c r="G12470" t="s">
        <v>30058</v>
      </c>
      <c r="H12470" t="s">
        <v>15498</v>
      </c>
      <c r="I12470" t="s">
        <v>30098</v>
      </c>
      <c r="J12470" t="s">
        <v>37489</v>
      </c>
      <c r="K12470" t="s">
        <v>39025</v>
      </c>
      <c r="M12470" t="s">
        <v>42887</v>
      </c>
      <c r="N12470" t="s">
        <v>43166</v>
      </c>
      <c r="O12470" t="s">
        <v>43167</v>
      </c>
      <c r="Q12470">
        <v>22</v>
      </c>
      <c r="R12470" t="s">
        <v>43185</v>
      </c>
      <c r="S12470" t="s">
        <v>43953</v>
      </c>
      <c r="T12470" t="s">
        <v>44758</v>
      </c>
      <c r="U12470" t="s">
        <v>55122</v>
      </c>
      <c r="W12470" t="s">
        <v>42887</v>
      </c>
      <c r="X12470" t="s">
        <v>43186</v>
      </c>
    </row>
    <row r="12471" spans="1:24">
      <c r="A12471">
        <f>HYPERLINK("https://www.philgeps.gov.ph/GEPSNONPILOT/Tender/SplashBidNoticeAbstractUI.aspx?menuIndex=3&amp;refID=7052740&amp;Result=3","7052740")</f>
        <v>0</v>
      </c>
      <c r="B12471" t="s">
        <v>652</v>
      </c>
      <c r="C12471" t="s">
        <v>13643</v>
      </c>
      <c r="D12471" t="s">
        <v>17454</v>
      </c>
      <c r="E12471" t="s">
        <v>28168</v>
      </c>
      <c r="F12471" t="s">
        <v>30052</v>
      </c>
      <c r="G12471" t="s">
        <v>30058</v>
      </c>
      <c r="H12471" t="s">
        <v>30067</v>
      </c>
      <c r="I12471" t="s">
        <v>3693</v>
      </c>
      <c r="J12471" t="s">
        <v>30343</v>
      </c>
      <c r="K12471" t="s">
        <v>39029</v>
      </c>
      <c r="M12471" t="s">
        <v>39956</v>
      </c>
      <c r="N12471" t="s">
        <v>43166</v>
      </c>
      <c r="O12471" t="s">
        <v>43167</v>
      </c>
      <c r="P12471">
        <v>0</v>
      </c>
      <c r="Q12471">
        <v>0</v>
      </c>
      <c r="R12471" t="s">
        <v>43185</v>
      </c>
      <c r="S12471" t="s">
        <v>43930</v>
      </c>
      <c r="T12471" t="s">
        <v>44832</v>
      </c>
      <c r="U12471" t="s">
        <v>55123</v>
      </c>
      <c r="W12471" t="s">
        <v>39956</v>
      </c>
      <c r="X12471" t="s">
        <v>43186</v>
      </c>
    </row>
    <row r="12472" spans="1:24">
      <c r="A12472">
        <f>HYPERLINK("https://www.philgeps.gov.ph/GEPSNONPILOT/Tender/SplashBidNoticeAbstractUI.aspx?menuIndex=3&amp;refID=7052733&amp;Result=3","7052733")</f>
        <v>0</v>
      </c>
      <c r="B12472" t="s">
        <v>1609</v>
      </c>
      <c r="C12472" t="s">
        <v>15343</v>
      </c>
      <c r="D12472" t="s">
        <v>17415</v>
      </c>
      <c r="E12472" t="s">
        <v>28169</v>
      </c>
      <c r="F12472" t="s">
        <v>30052</v>
      </c>
      <c r="G12472" t="s">
        <v>30059</v>
      </c>
      <c r="H12472" t="s">
        <v>15498</v>
      </c>
      <c r="I12472" t="s">
        <v>30111</v>
      </c>
      <c r="J12472" t="s">
        <v>32204</v>
      </c>
      <c r="K12472" t="s">
        <v>39017</v>
      </c>
      <c r="M12472" t="s">
        <v>41201</v>
      </c>
      <c r="N12472" t="s">
        <v>43166</v>
      </c>
      <c r="O12472" t="s">
        <v>43167</v>
      </c>
      <c r="Q12472">
        <v>6</v>
      </c>
      <c r="R12472" t="s">
        <v>43185</v>
      </c>
      <c r="S12472" t="s">
        <v>43359</v>
      </c>
      <c r="T12472" t="s">
        <v>44715</v>
      </c>
      <c r="U12472" t="s">
        <v>55124</v>
      </c>
      <c r="V12472" t="s">
        <v>57406</v>
      </c>
      <c r="W12472" t="s">
        <v>41201</v>
      </c>
      <c r="X12472" t="s">
        <v>43186</v>
      </c>
    </row>
    <row r="12473" spans="1:24">
      <c r="A12473">
        <f>HYPERLINK("https://www.philgeps.gov.ph/GEPSNONPILOT/Tender/SplashBidNoticeAbstractUI.aspx?menuIndex=3&amp;refID=7052730&amp;Result=3","7052730")</f>
        <v>0</v>
      </c>
      <c r="B12473" t="s">
        <v>652</v>
      </c>
      <c r="C12473" t="s">
        <v>15344</v>
      </c>
      <c r="D12473" t="s">
        <v>17454</v>
      </c>
      <c r="E12473" t="s">
        <v>18819</v>
      </c>
      <c r="F12473" t="s">
        <v>30052</v>
      </c>
      <c r="G12473" t="s">
        <v>30058</v>
      </c>
      <c r="H12473" t="s">
        <v>30069</v>
      </c>
      <c r="I12473" t="s">
        <v>3852</v>
      </c>
      <c r="J12473" t="s">
        <v>30440</v>
      </c>
      <c r="K12473" t="s">
        <v>39029</v>
      </c>
      <c r="M12473" t="s">
        <v>39956</v>
      </c>
      <c r="N12473" t="s">
        <v>43166</v>
      </c>
      <c r="O12473" t="s">
        <v>43167</v>
      </c>
      <c r="P12473">
        <v>0</v>
      </c>
      <c r="Q12473">
        <v>2</v>
      </c>
      <c r="R12473" t="s">
        <v>43185</v>
      </c>
      <c r="S12473" t="s">
        <v>43930</v>
      </c>
      <c r="T12473" t="s">
        <v>44832</v>
      </c>
      <c r="U12473" t="s">
        <v>55125</v>
      </c>
      <c r="W12473" t="s">
        <v>39956</v>
      </c>
      <c r="X12473" t="s">
        <v>43186</v>
      </c>
    </row>
    <row r="12474" spans="1:24">
      <c r="A12474">
        <f>HYPERLINK("https://www.philgeps.gov.ph/GEPSNONPILOT/Tender/SplashBidNoticeAbstractUI.aspx?menuIndex=3&amp;refID=7052750&amp;Result=3","7052750")</f>
        <v>0</v>
      </c>
      <c r="B12474" t="s">
        <v>1414</v>
      </c>
      <c r="C12474" t="s">
        <v>15345</v>
      </c>
      <c r="D12474" t="s">
        <v>17419</v>
      </c>
      <c r="E12474" t="s">
        <v>28170</v>
      </c>
      <c r="F12474" t="s">
        <v>30052</v>
      </c>
      <c r="G12474" t="s">
        <v>30058</v>
      </c>
      <c r="H12474" t="s">
        <v>15498</v>
      </c>
      <c r="I12474" t="s">
        <v>30197</v>
      </c>
      <c r="J12474" t="s">
        <v>30397</v>
      </c>
      <c r="K12474" t="s">
        <v>39019</v>
      </c>
      <c r="M12474" t="s">
        <v>40792</v>
      </c>
      <c r="N12474" t="s">
        <v>43166</v>
      </c>
      <c r="O12474" t="s">
        <v>43167</v>
      </c>
      <c r="P12474">
        <v>0</v>
      </c>
      <c r="Q12474">
        <v>2</v>
      </c>
      <c r="R12474" t="s">
        <v>43185</v>
      </c>
      <c r="S12474" t="s">
        <v>43930</v>
      </c>
      <c r="T12474" t="s">
        <v>44717</v>
      </c>
      <c r="U12474" t="s">
        <v>55126</v>
      </c>
      <c r="W12474" t="s">
        <v>40792</v>
      </c>
      <c r="X12474" t="s">
        <v>43186</v>
      </c>
    </row>
    <row r="12475" spans="1:24">
      <c r="A12475">
        <f>HYPERLINK("https://www.philgeps.gov.ph/GEPSNONPILOT/Tender/SplashBidNoticeAbstractUI.aspx?menuIndex=3&amp;refID=7052698&amp;Result=3","7052698")</f>
        <v>0</v>
      </c>
      <c r="B12475" t="s">
        <v>3257</v>
      </c>
      <c r="C12475" t="s">
        <v>15346</v>
      </c>
      <c r="D12475" t="s">
        <v>17467</v>
      </c>
      <c r="E12475" t="s">
        <v>28171</v>
      </c>
      <c r="F12475" t="s">
        <v>30052</v>
      </c>
      <c r="G12475" t="s">
        <v>30058</v>
      </c>
      <c r="H12475" t="s">
        <v>30067</v>
      </c>
      <c r="I12475" t="s">
        <v>3693</v>
      </c>
      <c r="J12475" t="s">
        <v>37809</v>
      </c>
      <c r="K12475" t="s">
        <v>39029</v>
      </c>
      <c r="M12475" t="s">
        <v>42888</v>
      </c>
      <c r="N12475" t="s">
        <v>43166</v>
      </c>
      <c r="O12475" t="s">
        <v>43167</v>
      </c>
      <c r="P12475">
        <v>0</v>
      </c>
      <c r="Q12475">
        <v>0</v>
      </c>
      <c r="R12475" t="s">
        <v>43185</v>
      </c>
      <c r="S12475" t="s">
        <v>43930</v>
      </c>
      <c r="T12475" t="s">
        <v>44832</v>
      </c>
      <c r="U12475" t="s">
        <v>55127</v>
      </c>
      <c r="W12475" t="s">
        <v>42888</v>
      </c>
      <c r="X12475" t="s">
        <v>43186</v>
      </c>
    </row>
    <row r="12476" spans="1:24">
      <c r="A12476">
        <f>HYPERLINK("https://www.philgeps.gov.ph/GEPSNONPILOT/Tender/SplashBidNoticeAbstractUI.aspx?menuIndex=3&amp;refID=7052688&amp;Result=3","7052688")</f>
        <v>0</v>
      </c>
      <c r="B12476" t="s">
        <v>2811</v>
      </c>
      <c r="C12476" t="s">
        <v>15347</v>
      </c>
      <c r="E12476" t="s">
        <v>28172</v>
      </c>
      <c r="F12476" t="s">
        <v>30052</v>
      </c>
      <c r="G12476" t="s">
        <v>30058</v>
      </c>
      <c r="H12476" t="s">
        <v>15498</v>
      </c>
      <c r="I12476" t="s">
        <v>8323</v>
      </c>
      <c r="J12476" t="s">
        <v>30763</v>
      </c>
      <c r="K12476" t="s">
        <v>39025</v>
      </c>
      <c r="M12476" t="s">
        <v>42352</v>
      </c>
      <c r="N12476" t="s">
        <v>43166</v>
      </c>
      <c r="O12476" t="s">
        <v>43167</v>
      </c>
      <c r="P12476">
        <v>0</v>
      </c>
      <c r="Q12476">
        <v>3</v>
      </c>
      <c r="R12476" t="s">
        <v>43185</v>
      </c>
      <c r="S12476" t="s">
        <v>43930</v>
      </c>
      <c r="T12476" t="s">
        <v>44685</v>
      </c>
      <c r="U12476" t="s">
        <v>46842</v>
      </c>
      <c r="W12476" t="s">
        <v>42352</v>
      </c>
      <c r="X12476" t="s">
        <v>43186</v>
      </c>
    </row>
    <row r="12477" spans="1:24">
      <c r="A12477">
        <f>HYPERLINK("https://www.philgeps.gov.ph/GEPSNONPILOT/Tender/SplashBidNoticeAbstractUI.aspx?menuIndex=3&amp;refID=7052667&amp;Result=3","7052667")</f>
        <v>0</v>
      </c>
      <c r="B12477" t="s">
        <v>2091</v>
      </c>
      <c r="C12477" t="s">
        <v>15348</v>
      </c>
      <c r="D12477" t="s">
        <v>17414</v>
      </c>
      <c r="E12477" t="s">
        <v>28173</v>
      </c>
      <c r="F12477" t="s">
        <v>30052</v>
      </c>
      <c r="G12477" t="s">
        <v>30058</v>
      </c>
      <c r="H12477" t="s">
        <v>15498</v>
      </c>
      <c r="I12477" t="s">
        <v>3736</v>
      </c>
      <c r="J12477" t="s">
        <v>37810</v>
      </c>
      <c r="K12477" t="s">
        <v>39029</v>
      </c>
      <c r="M12477" t="s">
        <v>41553</v>
      </c>
      <c r="N12477" t="s">
        <v>43166</v>
      </c>
      <c r="O12477" t="s">
        <v>43167</v>
      </c>
      <c r="P12477">
        <v>0</v>
      </c>
      <c r="Q12477">
        <v>0</v>
      </c>
      <c r="R12477" t="s">
        <v>43185</v>
      </c>
      <c r="S12477" t="s">
        <v>43930</v>
      </c>
      <c r="T12477" t="s">
        <v>44737</v>
      </c>
      <c r="U12477" t="s">
        <v>55128</v>
      </c>
      <c r="W12477" t="s">
        <v>42702</v>
      </c>
      <c r="X12477" t="s">
        <v>43187</v>
      </c>
    </row>
    <row r="12478" spans="1:24">
      <c r="A12478">
        <f>HYPERLINK("https://www.philgeps.gov.ph/GEPSNONPILOT/Tender/SplashBidNoticeAbstractUI.aspx?menuIndex=3&amp;refID=7057069&amp;Result=3","7057069")</f>
        <v>0</v>
      </c>
      <c r="B12478" t="s">
        <v>2470</v>
      </c>
      <c r="C12478" t="s">
        <v>15349</v>
      </c>
      <c r="D12478" t="s">
        <v>17419</v>
      </c>
      <c r="E12478" t="s">
        <v>28174</v>
      </c>
      <c r="F12478" t="s">
        <v>30052</v>
      </c>
      <c r="G12478" t="s">
        <v>30058</v>
      </c>
      <c r="H12478" t="s">
        <v>15498</v>
      </c>
      <c r="I12478" t="s">
        <v>3736</v>
      </c>
      <c r="J12478" t="s">
        <v>37811</v>
      </c>
      <c r="K12478" t="s">
        <v>39017</v>
      </c>
      <c r="M12478" t="s">
        <v>41970</v>
      </c>
      <c r="N12478" t="s">
        <v>43166</v>
      </c>
      <c r="O12478" t="s">
        <v>43167</v>
      </c>
      <c r="P12478">
        <v>0</v>
      </c>
      <c r="Q12478">
        <v>0</v>
      </c>
      <c r="R12478" t="s">
        <v>43184</v>
      </c>
      <c r="S12478" t="s">
        <v>43839</v>
      </c>
      <c r="T12478" t="s">
        <v>44687</v>
      </c>
      <c r="U12478" t="s">
        <v>55129</v>
      </c>
      <c r="W12478" t="s">
        <v>41970</v>
      </c>
      <c r="X12478" t="s">
        <v>43185</v>
      </c>
    </row>
    <row r="12479" spans="1:24">
      <c r="A12479">
        <f>HYPERLINK("https://www.philgeps.gov.ph/GEPSNONPILOT/Tender/SplashBidNoticeAbstractUI.aspx?menuIndex=3&amp;refID=7052732&amp;Result=3","7052732")</f>
        <v>0</v>
      </c>
      <c r="B12479" t="s">
        <v>652</v>
      </c>
      <c r="C12479" t="s">
        <v>13638</v>
      </c>
      <c r="D12479" t="s">
        <v>17454</v>
      </c>
      <c r="E12479" t="s">
        <v>19001</v>
      </c>
      <c r="F12479" t="s">
        <v>30052</v>
      </c>
      <c r="G12479" t="s">
        <v>30058</v>
      </c>
      <c r="H12479" t="s">
        <v>30069</v>
      </c>
      <c r="I12479" t="s">
        <v>30092</v>
      </c>
      <c r="J12479" t="s">
        <v>37812</v>
      </c>
      <c r="K12479" t="s">
        <v>39029</v>
      </c>
      <c r="M12479" t="s">
        <v>39956</v>
      </c>
      <c r="N12479" t="s">
        <v>43166</v>
      </c>
      <c r="O12479" t="s">
        <v>43167</v>
      </c>
      <c r="P12479">
        <v>0</v>
      </c>
      <c r="Q12479">
        <v>0</v>
      </c>
      <c r="R12479" t="s">
        <v>43185</v>
      </c>
      <c r="S12479" t="s">
        <v>43930</v>
      </c>
      <c r="T12479" t="s">
        <v>44832</v>
      </c>
      <c r="U12479" t="s">
        <v>55130</v>
      </c>
      <c r="W12479" t="s">
        <v>39956</v>
      </c>
      <c r="X12479" t="s">
        <v>43186</v>
      </c>
    </row>
    <row r="12480" spans="1:24">
      <c r="A12480">
        <f>HYPERLINK("https://www.philgeps.gov.ph/GEPSNONPILOT/Tender/SplashBidNoticeAbstractUI.aspx?menuIndex=3&amp;refID=7053006&amp;Result=3","7053006")</f>
        <v>0</v>
      </c>
      <c r="B12480" t="s">
        <v>236</v>
      </c>
      <c r="C12480" t="s">
        <v>15350</v>
      </c>
      <c r="D12480" t="s">
        <v>17427</v>
      </c>
      <c r="E12480" t="s">
        <v>23632</v>
      </c>
      <c r="F12480" t="s">
        <v>30052</v>
      </c>
      <c r="G12480" t="s">
        <v>30058</v>
      </c>
      <c r="H12480" t="s">
        <v>15498</v>
      </c>
      <c r="I12480" t="s">
        <v>30091</v>
      </c>
      <c r="J12480" t="s">
        <v>37813</v>
      </c>
      <c r="K12480" t="s">
        <v>39046</v>
      </c>
      <c r="M12480" t="s">
        <v>40534</v>
      </c>
      <c r="N12480" t="s">
        <v>43166</v>
      </c>
      <c r="O12480" t="s">
        <v>43167</v>
      </c>
      <c r="P12480">
        <v>0</v>
      </c>
      <c r="Q12480">
        <v>3</v>
      </c>
      <c r="R12480" t="s">
        <v>43185</v>
      </c>
      <c r="S12480" t="s">
        <v>43930</v>
      </c>
      <c r="T12480" t="s">
        <v>44678</v>
      </c>
      <c r="U12480" t="s">
        <v>55131</v>
      </c>
      <c r="V12480" t="s">
        <v>57184</v>
      </c>
      <c r="W12480" t="s">
        <v>40534</v>
      </c>
      <c r="X12480" t="s">
        <v>43186</v>
      </c>
    </row>
    <row r="12481" spans="1:24">
      <c r="A12481">
        <f>HYPERLINK("https://www.philgeps.gov.ph/GEPSNONPILOT/Tender/SplashBidNoticeAbstractUI.aspx?menuIndex=3&amp;refID=7052724&amp;Result=3","7052724")</f>
        <v>0</v>
      </c>
      <c r="B12481" t="s">
        <v>3258</v>
      </c>
      <c r="C12481" t="s">
        <v>15351</v>
      </c>
      <c r="D12481" t="s">
        <v>17437</v>
      </c>
      <c r="E12481" t="s">
        <v>28175</v>
      </c>
      <c r="F12481" t="s">
        <v>30052</v>
      </c>
      <c r="G12481" t="s">
        <v>30058</v>
      </c>
      <c r="H12481" t="s">
        <v>15498</v>
      </c>
      <c r="I12481" t="s">
        <v>30074</v>
      </c>
      <c r="J12481" t="s">
        <v>37814</v>
      </c>
      <c r="K12481" t="s">
        <v>39029</v>
      </c>
      <c r="M12481" t="s">
        <v>42889</v>
      </c>
      <c r="N12481" t="s">
        <v>43166</v>
      </c>
      <c r="O12481" t="s">
        <v>43167</v>
      </c>
      <c r="P12481">
        <v>0</v>
      </c>
      <c r="Q12481">
        <v>4</v>
      </c>
      <c r="R12481" t="s">
        <v>43185</v>
      </c>
      <c r="S12481" t="s">
        <v>43930</v>
      </c>
      <c r="T12481" t="s">
        <v>44710</v>
      </c>
      <c r="U12481" t="s">
        <v>55132</v>
      </c>
      <c r="V12481" t="s">
        <v>58256</v>
      </c>
      <c r="W12481" t="s">
        <v>42889</v>
      </c>
      <c r="X12481" t="s">
        <v>43186</v>
      </c>
    </row>
    <row r="12482" spans="1:24">
      <c r="A12482">
        <f>HYPERLINK("https://www.philgeps.gov.ph/GEPSNONPILOT/Tender/SplashBidNoticeAbstractUI.aspx?menuIndex=3&amp;refID=7053092&amp;Result=3","7053092")</f>
        <v>0</v>
      </c>
      <c r="B12482" t="s">
        <v>3215</v>
      </c>
      <c r="C12482" t="s">
        <v>15352</v>
      </c>
      <c r="E12482" t="s">
        <v>28176</v>
      </c>
      <c r="F12482" t="s">
        <v>30052</v>
      </c>
      <c r="G12482" t="s">
        <v>30058</v>
      </c>
      <c r="H12482" t="s">
        <v>15498</v>
      </c>
      <c r="I12482" t="s">
        <v>30130</v>
      </c>
      <c r="J12482" t="s">
        <v>30397</v>
      </c>
      <c r="K12482" t="s">
        <v>39025</v>
      </c>
      <c r="M12482" t="s">
        <v>42838</v>
      </c>
      <c r="N12482" t="s">
        <v>43166</v>
      </c>
      <c r="O12482" t="s">
        <v>43167</v>
      </c>
      <c r="Q12482">
        <v>22</v>
      </c>
      <c r="R12482" t="s">
        <v>43185</v>
      </c>
      <c r="S12482" t="s">
        <v>43954</v>
      </c>
      <c r="T12482" t="s">
        <v>44934</v>
      </c>
      <c r="U12482" t="s">
        <v>55133</v>
      </c>
      <c r="V12482" t="s">
        <v>58257</v>
      </c>
      <c r="W12482" t="s">
        <v>42838</v>
      </c>
      <c r="X12482" t="s">
        <v>43186</v>
      </c>
    </row>
    <row r="12483" spans="1:24">
      <c r="A12483">
        <f>HYPERLINK("https://www.philgeps.gov.ph/GEPSNONPILOT/Tender/SplashBidNoticeAbstractUI.aspx?menuIndex=3&amp;refID=7052668&amp;Result=3","7052668")</f>
        <v>0</v>
      </c>
      <c r="B12483" t="s">
        <v>2091</v>
      </c>
      <c r="C12483" t="s">
        <v>15353</v>
      </c>
      <c r="D12483" t="s">
        <v>17414</v>
      </c>
      <c r="E12483" t="s">
        <v>28177</v>
      </c>
      <c r="F12483" t="s">
        <v>30052</v>
      </c>
      <c r="G12483" t="s">
        <v>30058</v>
      </c>
      <c r="H12483" t="s">
        <v>15498</v>
      </c>
      <c r="I12483" t="s">
        <v>3736</v>
      </c>
      <c r="J12483" t="s">
        <v>37810</v>
      </c>
      <c r="K12483" t="s">
        <v>39029</v>
      </c>
      <c r="M12483" t="s">
        <v>41553</v>
      </c>
      <c r="N12483" t="s">
        <v>43166</v>
      </c>
      <c r="O12483" t="s">
        <v>43167</v>
      </c>
      <c r="P12483">
        <v>0</v>
      </c>
      <c r="Q12483">
        <v>0</v>
      </c>
      <c r="R12483" t="s">
        <v>43185</v>
      </c>
      <c r="S12483" t="s">
        <v>43930</v>
      </c>
      <c r="T12483" t="s">
        <v>44737</v>
      </c>
      <c r="U12483" t="s">
        <v>55128</v>
      </c>
      <c r="W12483" t="s">
        <v>42702</v>
      </c>
      <c r="X12483" t="s">
        <v>43186</v>
      </c>
    </row>
    <row r="12484" spans="1:24">
      <c r="A12484">
        <f>HYPERLINK("https://www.philgeps.gov.ph/GEPSNONPILOT/Tender/SplashBidNoticeAbstractUI.aspx?menuIndex=3&amp;refID=7053043&amp;Result=3","7053043")</f>
        <v>0</v>
      </c>
      <c r="B12484" t="s">
        <v>1600</v>
      </c>
      <c r="C12484" t="s">
        <v>15354</v>
      </c>
      <c r="D12484" t="s">
        <v>17441</v>
      </c>
      <c r="E12484" t="s">
        <v>28178</v>
      </c>
      <c r="F12484" t="s">
        <v>30052</v>
      </c>
      <c r="G12484" t="s">
        <v>30058</v>
      </c>
      <c r="H12484" t="s">
        <v>30067</v>
      </c>
      <c r="I12484" t="s">
        <v>3693</v>
      </c>
      <c r="J12484" t="s">
        <v>37815</v>
      </c>
      <c r="K12484" t="s">
        <v>39031</v>
      </c>
      <c r="M12484" t="s">
        <v>40998</v>
      </c>
      <c r="N12484" t="s">
        <v>43166</v>
      </c>
      <c r="O12484" t="s">
        <v>43167</v>
      </c>
      <c r="P12484">
        <v>0</v>
      </c>
      <c r="Q12484">
        <v>9</v>
      </c>
      <c r="R12484" t="s">
        <v>43185</v>
      </c>
      <c r="S12484" t="s">
        <v>43930</v>
      </c>
      <c r="T12484" t="s">
        <v>44773</v>
      </c>
      <c r="U12484" t="s">
        <v>55134</v>
      </c>
      <c r="V12484" t="s">
        <v>57318</v>
      </c>
      <c r="W12484" t="s">
        <v>40998</v>
      </c>
      <c r="X12484" t="s">
        <v>43186</v>
      </c>
    </row>
    <row r="12485" spans="1:24">
      <c r="A12485">
        <f>HYPERLINK("https://www.philgeps.gov.ph/GEPSNONPILOT/Tender/SplashBidNoticeAbstractUI.aspx?menuIndex=3&amp;refID=7053076&amp;Result=3","7053076")</f>
        <v>0</v>
      </c>
      <c r="B12485" t="s">
        <v>3259</v>
      </c>
      <c r="C12485" t="s">
        <v>15355</v>
      </c>
      <c r="D12485" t="s">
        <v>17482</v>
      </c>
      <c r="E12485" t="s">
        <v>28179</v>
      </c>
      <c r="F12485" t="s">
        <v>30052</v>
      </c>
      <c r="G12485" t="s">
        <v>30058</v>
      </c>
      <c r="H12485" t="s">
        <v>15498</v>
      </c>
      <c r="I12485" t="s">
        <v>30074</v>
      </c>
      <c r="J12485" t="s">
        <v>30711</v>
      </c>
      <c r="K12485" t="s">
        <v>39029</v>
      </c>
      <c r="M12485" t="s">
        <v>42890</v>
      </c>
      <c r="N12485" t="s">
        <v>43166</v>
      </c>
      <c r="O12485" t="s">
        <v>43167</v>
      </c>
      <c r="P12485">
        <v>0</v>
      </c>
      <c r="Q12485">
        <v>4</v>
      </c>
      <c r="R12485" t="s">
        <v>43185</v>
      </c>
      <c r="S12485" t="s">
        <v>43930</v>
      </c>
      <c r="T12485" t="s">
        <v>44943</v>
      </c>
      <c r="U12485" t="s">
        <v>55135</v>
      </c>
      <c r="W12485" t="s">
        <v>42890</v>
      </c>
      <c r="X12485" t="s">
        <v>43186</v>
      </c>
    </row>
    <row r="12486" spans="1:24">
      <c r="A12486">
        <f>HYPERLINK("https://www.philgeps.gov.ph/GEPSNONPILOT/Tender/SplashBidNoticeAbstractUI.aspx?menuIndex=3&amp;refID=7053001&amp;Result=3","7053001")</f>
        <v>0</v>
      </c>
      <c r="B12486" t="s">
        <v>3215</v>
      </c>
      <c r="C12486" t="s">
        <v>15356</v>
      </c>
      <c r="D12486" t="s">
        <v>17441</v>
      </c>
      <c r="E12486" t="s">
        <v>28180</v>
      </c>
      <c r="F12486" t="s">
        <v>30052</v>
      </c>
      <c r="G12486" t="s">
        <v>30058</v>
      </c>
      <c r="H12486" t="s">
        <v>15498</v>
      </c>
      <c r="I12486" t="s">
        <v>30130</v>
      </c>
      <c r="J12486" t="s">
        <v>37816</v>
      </c>
      <c r="K12486" t="s">
        <v>39025</v>
      </c>
      <c r="M12486" t="s">
        <v>42838</v>
      </c>
      <c r="N12486" t="s">
        <v>43166</v>
      </c>
      <c r="O12486" t="s">
        <v>43167</v>
      </c>
      <c r="Q12486">
        <v>15</v>
      </c>
      <c r="R12486" t="s">
        <v>43185</v>
      </c>
      <c r="S12486" t="s">
        <v>43955</v>
      </c>
      <c r="T12486" t="s">
        <v>44941</v>
      </c>
      <c r="U12486" t="s">
        <v>55136</v>
      </c>
      <c r="V12486" t="s">
        <v>58258</v>
      </c>
      <c r="W12486" t="s">
        <v>42838</v>
      </c>
      <c r="X12486" t="s">
        <v>43186</v>
      </c>
    </row>
    <row r="12487" spans="1:24">
      <c r="A12487">
        <f>HYPERLINK("https://www.philgeps.gov.ph/GEPSNONPILOT/Tender/SplashBidNoticeAbstractUI.aspx?menuIndex=3&amp;refID=7052987&amp;Result=3","7052987")</f>
        <v>0</v>
      </c>
      <c r="B12487" t="s">
        <v>2290</v>
      </c>
      <c r="C12487" t="s">
        <v>15357</v>
      </c>
      <c r="D12487" t="s">
        <v>17453</v>
      </c>
      <c r="E12487" t="s">
        <v>28181</v>
      </c>
      <c r="F12487" t="s">
        <v>30052</v>
      </c>
      <c r="G12487" t="s">
        <v>30058</v>
      </c>
      <c r="H12487" t="s">
        <v>30067</v>
      </c>
      <c r="I12487" t="s">
        <v>3693</v>
      </c>
      <c r="J12487" t="s">
        <v>30671</v>
      </c>
      <c r="K12487" t="s">
        <v>39023</v>
      </c>
      <c r="M12487" t="s">
        <v>42322</v>
      </c>
      <c r="N12487" t="s">
        <v>43166</v>
      </c>
      <c r="O12487" t="s">
        <v>43167</v>
      </c>
      <c r="P12487">
        <v>0</v>
      </c>
      <c r="Q12487">
        <v>0</v>
      </c>
      <c r="R12487" t="s">
        <v>43185</v>
      </c>
      <c r="S12487" t="s">
        <v>43930</v>
      </c>
      <c r="T12487" t="s">
        <v>44717</v>
      </c>
      <c r="U12487" t="s">
        <v>55137</v>
      </c>
      <c r="W12487" t="s">
        <v>42322</v>
      </c>
      <c r="X12487" t="s">
        <v>43186</v>
      </c>
    </row>
    <row r="12488" spans="1:24">
      <c r="A12488">
        <f>HYPERLINK("https://www.philgeps.gov.ph/GEPSNONPILOT/Tender/SplashBidNoticeAbstractUI.aspx?menuIndex=3&amp;refID=7052700&amp;Result=3","7052700")</f>
        <v>0</v>
      </c>
      <c r="B12488" t="s">
        <v>1377</v>
      </c>
      <c r="C12488" t="s">
        <v>15358</v>
      </c>
      <c r="D12488" t="s">
        <v>17415</v>
      </c>
      <c r="E12488" t="s">
        <v>28182</v>
      </c>
      <c r="F12488" t="s">
        <v>30052</v>
      </c>
      <c r="G12488" t="s">
        <v>30059</v>
      </c>
      <c r="H12488" t="s">
        <v>15498</v>
      </c>
      <c r="I12488" t="s">
        <v>3852</v>
      </c>
      <c r="J12488" t="s">
        <v>33743</v>
      </c>
      <c r="K12488" t="s">
        <v>39029</v>
      </c>
      <c r="M12488" t="s">
        <v>40752</v>
      </c>
      <c r="N12488" t="s">
        <v>43166</v>
      </c>
      <c r="O12488" t="s">
        <v>43167</v>
      </c>
      <c r="Q12488">
        <v>7</v>
      </c>
      <c r="R12488" t="s">
        <v>43185</v>
      </c>
      <c r="S12488" t="s">
        <v>43956</v>
      </c>
      <c r="T12488" t="s">
        <v>44844</v>
      </c>
      <c r="U12488" t="s">
        <v>55138</v>
      </c>
      <c r="W12488" t="s">
        <v>40752</v>
      </c>
      <c r="X12488" t="s">
        <v>43186</v>
      </c>
    </row>
    <row r="12489" spans="1:24">
      <c r="A12489">
        <f>HYPERLINK("https://www.philgeps.gov.ph/GEPSNONPILOT/Tender/SplashBidNoticeAbstractUI.aspx?menuIndex=3&amp;refID=7052971&amp;Result=3","7052971")</f>
        <v>0</v>
      </c>
      <c r="B12489" t="s">
        <v>3215</v>
      </c>
      <c r="C12489" t="s">
        <v>15359</v>
      </c>
      <c r="D12489" t="s">
        <v>17441</v>
      </c>
      <c r="E12489" t="s">
        <v>28183</v>
      </c>
      <c r="F12489" t="s">
        <v>30052</v>
      </c>
      <c r="G12489" t="s">
        <v>30058</v>
      </c>
      <c r="H12489" t="s">
        <v>15498</v>
      </c>
      <c r="I12489" t="s">
        <v>30130</v>
      </c>
      <c r="J12489" t="s">
        <v>37817</v>
      </c>
      <c r="K12489" t="s">
        <v>39025</v>
      </c>
      <c r="M12489" t="s">
        <v>42838</v>
      </c>
      <c r="N12489" t="s">
        <v>43166</v>
      </c>
      <c r="O12489" t="s">
        <v>43167</v>
      </c>
      <c r="Q12489">
        <v>40</v>
      </c>
      <c r="R12489" t="s">
        <v>43185</v>
      </c>
      <c r="S12489" t="s">
        <v>43957</v>
      </c>
      <c r="T12489" t="s">
        <v>44934</v>
      </c>
      <c r="U12489" t="s">
        <v>55139</v>
      </c>
      <c r="V12489" t="s">
        <v>58258</v>
      </c>
      <c r="W12489" t="s">
        <v>42838</v>
      </c>
      <c r="X12489" t="s">
        <v>43186</v>
      </c>
    </row>
    <row r="12490" spans="1:24">
      <c r="A12490">
        <f>HYPERLINK("https://www.philgeps.gov.ph/GEPSNONPILOT/Tender/SplashBidNoticeAbstractUI.aspx?menuIndex=3&amp;refID=7052954&amp;Result=3","7052954")</f>
        <v>0</v>
      </c>
      <c r="B12490" t="s">
        <v>751</v>
      </c>
      <c r="C12490" t="s">
        <v>8175</v>
      </c>
      <c r="D12490" t="s">
        <v>17485</v>
      </c>
      <c r="E12490" t="s">
        <v>28184</v>
      </c>
      <c r="F12490" t="s">
        <v>30052</v>
      </c>
      <c r="G12490" t="s">
        <v>30058</v>
      </c>
      <c r="H12490" t="s">
        <v>15498</v>
      </c>
      <c r="I12490" t="s">
        <v>3606</v>
      </c>
      <c r="J12490" t="s">
        <v>37818</v>
      </c>
      <c r="K12490" t="s">
        <v>39025</v>
      </c>
      <c r="M12490" t="s">
        <v>40065</v>
      </c>
      <c r="N12490" t="s">
        <v>43166</v>
      </c>
      <c r="O12490" t="s">
        <v>43167</v>
      </c>
      <c r="P12490">
        <v>0</v>
      </c>
      <c r="Q12490">
        <v>1</v>
      </c>
      <c r="R12490" t="s">
        <v>43185</v>
      </c>
      <c r="S12490" t="s">
        <v>43930</v>
      </c>
      <c r="T12490" t="s">
        <v>44804</v>
      </c>
      <c r="U12490" t="s">
        <v>55140</v>
      </c>
      <c r="W12490" t="s">
        <v>40065</v>
      </c>
      <c r="X12490" t="s">
        <v>43186</v>
      </c>
    </row>
    <row r="12491" spans="1:24">
      <c r="A12491">
        <f>HYPERLINK("https://www.philgeps.gov.ph/GEPSNONPILOT/Tender/SplashBidNoticeAbstractUI.aspx?menuIndex=3&amp;refID=7053082&amp;Result=3","7053082")</f>
        <v>0</v>
      </c>
      <c r="B12491" t="s">
        <v>1600</v>
      </c>
      <c r="C12491" t="s">
        <v>15360</v>
      </c>
      <c r="D12491" t="s">
        <v>17441</v>
      </c>
      <c r="E12491" t="s">
        <v>28185</v>
      </c>
      <c r="F12491" t="s">
        <v>30052</v>
      </c>
      <c r="G12491" t="s">
        <v>30058</v>
      </c>
      <c r="H12491" t="s">
        <v>30067</v>
      </c>
      <c r="I12491" t="s">
        <v>3693</v>
      </c>
      <c r="J12491" t="s">
        <v>37819</v>
      </c>
      <c r="K12491" t="s">
        <v>39046</v>
      </c>
      <c r="M12491" t="s">
        <v>40998</v>
      </c>
      <c r="N12491" t="s">
        <v>43166</v>
      </c>
      <c r="O12491" t="s">
        <v>43167</v>
      </c>
      <c r="P12491">
        <v>0</v>
      </c>
      <c r="Q12491">
        <v>18</v>
      </c>
      <c r="R12491" t="s">
        <v>43185</v>
      </c>
      <c r="S12491" t="s">
        <v>43930</v>
      </c>
      <c r="T12491" t="s">
        <v>44773</v>
      </c>
      <c r="U12491" t="s">
        <v>55141</v>
      </c>
      <c r="V12491" t="s">
        <v>58181</v>
      </c>
      <c r="W12491" t="s">
        <v>40998</v>
      </c>
      <c r="X12491" t="s">
        <v>43186</v>
      </c>
    </row>
    <row r="12492" spans="1:24">
      <c r="A12492">
        <f>HYPERLINK("https://www.philgeps.gov.ph/GEPSNONPILOT/Tender/SplashBidNoticeAbstractUI.aspx?menuIndex=3&amp;refID=7052931&amp;Result=3","7052931")</f>
        <v>0</v>
      </c>
      <c r="B12492" t="s">
        <v>3140</v>
      </c>
      <c r="C12492" t="s">
        <v>15361</v>
      </c>
      <c r="D12492" t="s">
        <v>17423</v>
      </c>
      <c r="E12492" t="s">
        <v>28186</v>
      </c>
      <c r="F12492" t="s">
        <v>30052</v>
      </c>
      <c r="G12492" t="s">
        <v>30058</v>
      </c>
      <c r="H12492" t="s">
        <v>15498</v>
      </c>
      <c r="I12492" t="s">
        <v>4642</v>
      </c>
      <c r="J12492" t="s">
        <v>37820</v>
      </c>
      <c r="K12492" t="s">
        <v>39037</v>
      </c>
      <c r="M12492" t="s">
        <v>42743</v>
      </c>
      <c r="N12492" t="s">
        <v>43166</v>
      </c>
      <c r="O12492" t="s">
        <v>43167</v>
      </c>
      <c r="P12492">
        <v>0</v>
      </c>
      <c r="Q12492">
        <v>2</v>
      </c>
      <c r="R12492" t="s">
        <v>43185</v>
      </c>
      <c r="S12492" t="s">
        <v>43930</v>
      </c>
      <c r="T12492" t="s">
        <v>44737</v>
      </c>
      <c r="U12492" t="s">
        <v>55142</v>
      </c>
      <c r="V12492" t="s">
        <v>58259</v>
      </c>
      <c r="W12492" t="s">
        <v>42743</v>
      </c>
      <c r="X12492" t="s">
        <v>43186</v>
      </c>
    </row>
    <row r="12493" spans="1:24">
      <c r="A12493">
        <f>HYPERLINK("https://www.philgeps.gov.ph/GEPSNONPILOT/Tender/SplashBidNoticeAbstractUI.aspx?menuIndex=3&amp;refID=7053067&amp;Result=3","7053067")</f>
        <v>0</v>
      </c>
      <c r="B12493" t="s">
        <v>709</v>
      </c>
      <c r="C12493" t="s">
        <v>15362</v>
      </c>
      <c r="D12493" t="s">
        <v>17485</v>
      </c>
      <c r="E12493" t="s">
        <v>28187</v>
      </c>
      <c r="F12493" t="s">
        <v>30052</v>
      </c>
      <c r="G12493" t="s">
        <v>30058</v>
      </c>
      <c r="H12493" t="s">
        <v>15498</v>
      </c>
      <c r="I12493" t="s">
        <v>3736</v>
      </c>
      <c r="J12493" t="s">
        <v>37821</v>
      </c>
      <c r="K12493" t="s">
        <v>39019</v>
      </c>
      <c r="M12493" t="s">
        <v>40018</v>
      </c>
      <c r="N12493" t="s">
        <v>43166</v>
      </c>
      <c r="O12493" t="s">
        <v>43167</v>
      </c>
      <c r="P12493">
        <v>0</v>
      </c>
      <c r="Q12493">
        <v>0</v>
      </c>
      <c r="R12493" t="s">
        <v>43185</v>
      </c>
      <c r="S12493" t="s">
        <v>43930</v>
      </c>
      <c r="T12493" t="s">
        <v>44773</v>
      </c>
      <c r="U12493" t="s">
        <v>55143</v>
      </c>
      <c r="W12493" t="s">
        <v>40018</v>
      </c>
      <c r="X12493" t="s">
        <v>43186</v>
      </c>
    </row>
    <row r="12494" spans="1:24">
      <c r="A12494">
        <f>HYPERLINK("https://www.philgeps.gov.ph/GEPSNONPILOT/Tender/SplashBidNoticeAbstractUI.aspx?menuIndex=3&amp;refID=7052996&amp;Result=3","7052996")</f>
        <v>0</v>
      </c>
      <c r="B12494" t="s">
        <v>3260</v>
      </c>
      <c r="C12494" t="s">
        <v>15363</v>
      </c>
      <c r="D12494" t="s">
        <v>17421</v>
      </c>
      <c r="E12494" t="s">
        <v>17646</v>
      </c>
      <c r="F12494" t="s">
        <v>30052</v>
      </c>
      <c r="G12494" t="s">
        <v>30058</v>
      </c>
      <c r="H12494" t="s">
        <v>15498</v>
      </c>
      <c r="I12494" t="s">
        <v>30098</v>
      </c>
      <c r="J12494" t="s">
        <v>30218</v>
      </c>
      <c r="K12494" t="s">
        <v>39029</v>
      </c>
      <c r="M12494" t="s">
        <v>42891</v>
      </c>
      <c r="N12494" t="s">
        <v>43166</v>
      </c>
      <c r="O12494" t="s">
        <v>43167</v>
      </c>
      <c r="Q12494">
        <v>2</v>
      </c>
      <c r="R12494" t="s">
        <v>43185</v>
      </c>
      <c r="S12494" t="s">
        <v>43958</v>
      </c>
      <c r="T12494" t="s">
        <v>44718</v>
      </c>
      <c r="U12494" t="s">
        <v>55144</v>
      </c>
      <c r="W12494" t="s">
        <v>42891</v>
      </c>
      <c r="X12494" t="s">
        <v>43186</v>
      </c>
    </row>
    <row r="12495" spans="1:24">
      <c r="A12495">
        <f>HYPERLINK("https://www.philgeps.gov.ph/GEPSNONPILOT/Tender/SplashBidNoticeAbstractUI.aspx?menuIndex=3&amp;refID=7053282&amp;Result=3","7053282")</f>
        <v>0</v>
      </c>
      <c r="B12495" t="s">
        <v>3261</v>
      </c>
      <c r="C12495" t="s">
        <v>15364</v>
      </c>
      <c r="D12495" t="s">
        <v>17432</v>
      </c>
      <c r="E12495" t="s">
        <v>18191</v>
      </c>
      <c r="F12495" t="s">
        <v>30052</v>
      </c>
      <c r="G12495" t="s">
        <v>30063</v>
      </c>
      <c r="H12495" t="s">
        <v>15498</v>
      </c>
      <c r="I12495" t="s">
        <v>30125</v>
      </c>
      <c r="J12495" t="s">
        <v>30447</v>
      </c>
      <c r="K12495" t="s">
        <v>39019</v>
      </c>
      <c r="M12495" t="s">
        <v>42892</v>
      </c>
      <c r="N12495" t="s">
        <v>43166</v>
      </c>
      <c r="O12495" t="s">
        <v>43167</v>
      </c>
      <c r="P12495">
        <v>0</v>
      </c>
      <c r="Q12495">
        <v>0</v>
      </c>
      <c r="R12495" t="s">
        <v>43185</v>
      </c>
      <c r="S12495" t="s">
        <v>43930</v>
      </c>
      <c r="T12495" t="s">
        <v>44841</v>
      </c>
      <c r="U12495" t="s">
        <v>55145</v>
      </c>
      <c r="W12495" t="s">
        <v>42892</v>
      </c>
      <c r="X12495" t="s">
        <v>43186</v>
      </c>
    </row>
    <row r="12496" spans="1:24">
      <c r="A12496">
        <f>HYPERLINK("https://www.philgeps.gov.ph/GEPSNONPILOT/Tender/SplashBidNoticeAbstractUI.aspx?menuIndex=3&amp;refID=7053313&amp;Result=3","7053313")</f>
        <v>0</v>
      </c>
      <c r="B12496" t="s">
        <v>3262</v>
      </c>
      <c r="C12496" t="s">
        <v>15365</v>
      </c>
      <c r="D12496" t="s">
        <v>17416</v>
      </c>
      <c r="E12496" t="s">
        <v>17892</v>
      </c>
      <c r="F12496" t="s">
        <v>30052</v>
      </c>
      <c r="G12496" t="s">
        <v>30058</v>
      </c>
      <c r="H12496" t="s">
        <v>15498</v>
      </c>
      <c r="I12496" t="s">
        <v>3736</v>
      </c>
      <c r="J12496" t="s">
        <v>37822</v>
      </c>
      <c r="K12496" t="s">
        <v>39034</v>
      </c>
      <c r="L12496" t="s">
        <v>3262</v>
      </c>
      <c r="M12496" t="s">
        <v>42893</v>
      </c>
      <c r="N12496" t="s">
        <v>43166</v>
      </c>
      <c r="O12496" t="s">
        <v>43167</v>
      </c>
      <c r="P12496">
        <v>0</v>
      </c>
      <c r="Q12496">
        <v>2</v>
      </c>
      <c r="R12496" t="s">
        <v>43185</v>
      </c>
      <c r="S12496" t="s">
        <v>43930</v>
      </c>
      <c r="T12496" t="s">
        <v>44787</v>
      </c>
      <c r="U12496" t="s">
        <v>55146</v>
      </c>
      <c r="V12496" t="s">
        <v>58260</v>
      </c>
      <c r="W12496" t="s">
        <v>42893</v>
      </c>
      <c r="X12496" t="s">
        <v>43186</v>
      </c>
    </row>
    <row r="12497" spans="1:24">
      <c r="A12497">
        <f>HYPERLINK("https://www.philgeps.gov.ph/GEPSNONPILOT/Tender/SplashBidNoticeAbstractUI.aspx?menuIndex=3&amp;refID=7053300&amp;Result=3","7053300")</f>
        <v>0</v>
      </c>
      <c r="B12497" t="s">
        <v>268</v>
      </c>
      <c r="C12497" t="s">
        <v>15366</v>
      </c>
      <c r="D12497" t="s">
        <v>17459</v>
      </c>
      <c r="E12497" t="s">
        <v>28188</v>
      </c>
      <c r="F12497" t="s">
        <v>30052</v>
      </c>
      <c r="G12497" t="s">
        <v>30058</v>
      </c>
      <c r="H12497" t="s">
        <v>15498</v>
      </c>
      <c r="I12497" t="s">
        <v>30144</v>
      </c>
      <c r="J12497" t="s">
        <v>37823</v>
      </c>
      <c r="K12497" t="s">
        <v>39019</v>
      </c>
      <c r="M12497" t="s">
        <v>39561</v>
      </c>
      <c r="N12497" t="s">
        <v>43166</v>
      </c>
      <c r="O12497" t="s">
        <v>43167</v>
      </c>
      <c r="P12497">
        <v>0</v>
      </c>
      <c r="Q12497">
        <v>1</v>
      </c>
      <c r="R12497" t="s">
        <v>43185</v>
      </c>
      <c r="S12497" t="s">
        <v>43930</v>
      </c>
      <c r="T12497" t="s">
        <v>44841</v>
      </c>
      <c r="U12497" t="s">
        <v>55147</v>
      </c>
      <c r="V12497" t="s">
        <v>56837</v>
      </c>
      <c r="W12497" t="s">
        <v>39561</v>
      </c>
      <c r="X12497" t="s">
        <v>43186</v>
      </c>
    </row>
    <row r="12498" spans="1:24">
      <c r="A12498">
        <f>HYPERLINK("https://www.philgeps.gov.ph/GEPSNONPILOT/Tender/SplashBidNoticeAbstractUI.aspx?menuIndex=3&amp;refID=7053292&amp;Result=3","7053292")</f>
        <v>0</v>
      </c>
      <c r="B12498" t="s">
        <v>1327</v>
      </c>
      <c r="C12498" t="s">
        <v>15367</v>
      </c>
      <c r="D12498" t="s">
        <v>17430</v>
      </c>
      <c r="E12498" t="s">
        <v>28189</v>
      </c>
      <c r="F12498" t="s">
        <v>30052</v>
      </c>
      <c r="G12498" t="s">
        <v>30058</v>
      </c>
      <c r="H12498" t="s">
        <v>15498</v>
      </c>
      <c r="I12498" t="s">
        <v>30120</v>
      </c>
      <c r="J12498" t="s">
        <v>37824</v>
      </c>
      <c r="K12498" t="s">
        <v>39046</v>
      </c>
      <c r="M12498" t="s">
        <v>40694</v>
      </c>
      <c r="N12498" t="s">
        <v>43166</v>
      </c>
      <c r="O12498" t="s">
        <v>43167</v>
      </c>
      <c r="P12498">
        <v>0</v>
      </c>
      <c r="Q12498">
        <v>5</v>
      </c>
      <c r="R12498" t="s">
        <v>43185</v>
      </c>
      <c r="S12498" t="s">
        <v>43930</v>
      </c>
      <c r="T12498" t="s">
        <v>44704</v>
      </c>
      <c r="U12498" t="s">
        <v>55148</v>
      </c>
      <c r="V12498" t="s">
        <v>57240</v>
      </c>
      <c r="W12498" t="s">
        <v>40694</v>
      </c>
      <c r="X12498" t="s">
        <v>43186</v>
      </c>
    </row>
    <row r="12499" spans="1:24">
      <c r="A12499">
        <f>HYPERLINK("https://www.philgeps.gov.ph/GEPSNONPILOT/Tender/SplashBidNoticeAbstractUI.aspx?menuIndex=3&amp;refID=7053287&amp;Result=3","7053287")</f>
        <v>0</v>
      </c>
      <c r="B12499" t="s">
        <v>2718</v>
      </c>
      <c r="C12499" t="s">
        <v>15368</v>
      </c>
      <c r="D12499" t="s">
        <v>17450</v>
      </c>
      <c r="E12499" t="s">
        <v>22628</v>
      </c>
      <c r="F12499" t="s">
        <v>30052</v>
      </c>
      <c r="G12499" t="s">
        <v>30058</v>
      </c>
      <c r="H12499" t="s">
        <v>30067</v>
      </c>
      <c r="I12499" t="s">
        <v>3693</v>
      </c>
      <c r="J12499" t="s">
        <v>31198</v>
      </c>
      <c r="K12499" t="s">
        <v>39026</v>
      </c>
      <c r="M12499" t="s">
        <v>42244</v>
      </c>
      <c r="N12499" t="s">
        <v>43166</v>
      </c>
      <c r="O12499" t="s">
        <v>43167</v>
      </c>
      <c r="P12499">
        <v>0</v>
      </c>
      <c r="Q12499">
        <v>1</v>
      </c>
      <c r="R12499" t="s">
        <v>43185</v>
      </c>
      <c r="S12499" t="s">
        <v>43930</v>
      </c>
      <c r="T12499" t="s">
        <v>44804</v>
      </c>
      <c r="U12499" t="s">
        <v>55149</v>
      </c>
      <c r="V12499" t="s">
        <v>58261</v>
      </c>
      <c r="W12499" t="s">
        <v>42244</v>
      </c>
      <c r="X12499" t="s">
        <v>43186</v>
      </c>
    </row>
    <row r="12500" spans="1:24">
      <c r="A12500">
        <f>HYPERLINK("https://www.philgeps.gov.ph/GEPSNONPILOT/Tender/SplashBidNoticeAbstractUI.aspx?menuIndex=3&amp;refID=7052942&amp;Result=3","7052942")</f>
        <v>0</v>
      </c>
      <c r="B12500" t="s">
        <v>3215</v>
      </c>
      <c r="C12500" t="s">
        <v>15369</v>
      </c>
      <c r="E12500" t="s">
        <v>28190</v>
      </c>
      <c r="F12500" t="s">
        <v>30052</v>
      </c>
      <c r="G12500" t="s">
        <v>30058</v>
      </c>
      <c r="H12500" t="s">
        <v>15498</v>
      </c>
      <c r="I12500" t="s">
        <v>30130</v>
      </c>
      <c r="J12500" t="s">
        <v>37825</v>
      </c>
      <c r="K12500" t="s">
        <v>39025</v>
      </c>
      <c r="M12500" t="s">
        <v>42838</v>
      </c>
      <c r="N12500" t="s">
        <v>43166</v>
      </c>
      <c r="O12500" t="s">
        <v>43167</v>
      </c>
      <c r="Q12500">
        <v>25</v>
      </c>
      <c r="R12500" t="s">
        <v>43185</v>
      </c>
      <c r="S12500" t="s">
        <v>43959</v>
      </c>
      <c r="T12500" t="s">
        <v>44934</v>
      </c>
      <c r="U12500" t="s">
        <v>55150</v>
      </c>
      <c r="V12500" t="s">
        <v>58262</v>
      </c>
      <c r="W12500" t="s">
        <v>42838</v>
      </c>
      <c r="X12500" t="s">
        <v>43186</v>
      </c>
    </row>
    <row r="12501" spans="1:24">
      <c r="A12501">
        <f>HYPERLINK("https://www.philgeps.gov.ph/GEPSNONPILOT/Tender/SplashBidNoticeAbstractUI.aspx?menuIndex=3&amp;refID=7053272&amp;Result=3","7053272")</f>
        <v>0</v>
      </c>
      <c r="B12501" t="s">
        <v>3215</v>
      </c>
      <c r="C12501" t="s">
        <v>15370</v>
      </c>
      <c r="D12501" t="s">
        <v>17441</v>
      </c>
      <c r="E12501" t="s">
        <v>28191</v>
      </c>
      <c r="F12501" t="s">
        <v>30052</v>
      </c>
      <c r="G12501" t="s">
        <v>30058</v>
      </c>
      <c r="H12501" t="s">
        <v>15498</v>
      </c>
      <c r="I12501" t="s">
        <v>30130</v>
      </c>
      <c r="J12501" t="s">
        <v>37826</v>
      </c>
      <c r="K12501" t="s">
        <v>39025</v>
      </c>
      <c r="M12501" t="s">
        <v>42838</v>
      </c>
      <c r="N12501" t="s">
        <v>43166</v>
      </c>
      <c r="O12501" t="s">
        <v>43167</v>
      </c>
      <c r="Q12501">
        <v>17</v>
      </c>
      <c r="R12501" t="s">
        <v>43185</v>
      </c>
      <c r="S12501" t="s">
        <v>43732</v>
      </c>
      <c r="T12501" t="s">
        <v>44934</v>
      </c>
      <c r="U12501" t="s">
        <v>55151</v>
      </c>
      <c r="V12501" t="s">
        <v>58169</v>
      </c>
      <c r="W12501" t="s">
        <v>42838</v>
      </c>
      <c r="X12501" t="s">
        <v>43186</v>
      </c>
    </row>
    <row r="12502" spans="1:24">
      <c r="A12502">
        <f>HYPERLINK("https://www.philgeps.gov.ph/GEPSNONPILOT/Tender/SplashBidNoticeAbstractUI.aspx?menuIndex=3&amp;refID=7053261&amp;Result=3","7053261")</f>
        <v>0</v>
      </c>
      <c r="B12502" t="s">
        <v>2718</v>
      </c>
      <c r="C12502" t="s">
        <v>15371</v>
      </c>
      <c r="D12502" t="s">
        <v>17450</v>
      </c>
      <c r="E12502" t="s">
        <v>27575</v>
      </c>
      <c r="F12502" t="s">
        <v>30052</v>
      </c>
      <c r="G12502" t="s">
        <v>30058</v>
      </c>
      <c r="H12502" t="s">
        <v>30067</v>
      </c>
      <c r="I12502" t="s">
        <v>3693</v>
      </c>
      <c r="J12502" t="s">
        <v>37827</v>
      </c>
      <c r="K12502" t="s">
        <v>39022</v>
      </c>
      <c r="M12502" t="s">
        <v>42244</v>
      </c>
      <c r="N12502" t="s">
        <v>43166</v>
      </c>
      <c r="O12502" t="s">
        <v>43167</v>
      </c>
      <c r="P12502">
        <v>0</v>
      </c>
      <c r="Q12502">
        <v>2</v>
      </c>
      <c r="R12502" t="s">
        <v>43185</v>
      </c>
      <c r="S12502" t="s">
        <v>43930</v>
      </c>
      <c r="T12502" t="s">
        <v>44804</v>
      </c>
      <c r="U12502" t="s">
        <v>55152</v>
      </c>
      <c r="V12502" t="s">
        <v>58261</v>
      </c>
      <c r="W12502" t="s">
        <v>42244</v>
      </c>
      <c r="X12502" t="s">
        <v>43186</v>
      </c>
    </row>
    <row r="12503" spans="1:24">
      <c r="A12503">
        <f>HYPERLINK("https://www.philgeps.gov.ph/GEPSNONPILOT/Tender/SplashBidNoticeAbstractUI.aspx?menuIndex=3&amp;refID=7053216&amp;Result=3","7053216")</f>
        <v>0</v>
      </c>
      <c r="B12503" t="s">
        <v>2718</v>
      </c>
      <c r="C12503" t="s">
        <v>15371</v>
      </c>
      <c r="D12503" t="s">
        <v>17450</v>
      </c>
      <c r="E12503" t="s">
        <v>28192</v>
      </c>
      <c r="F12503" t="s">
        <v>30052</v>
      </c>
      <c r="G12503" t="s">
        <v>30058</v>
      </c>
      <c r="H12503" t="s">
        <v>30067</v>
      </c>
      <c r="I12503" t="s">
        <v>3693</v>
      </c>
      <c r="J12503" t="s">
        <v>30321</v>
      </c>
      <c r="K12503" t="s">
        <v>39022</v>
      </c>
      <c r="M12503" t="s">
        <v>42244</v>
      </c>
      <c r="N12503" t="s">
        <v>43166</v>
      </c>
      <c r="O12503" t="s">
        <v>43167</v>
      </c>
      <c r="P12503">
        <v>0</v>
      </c>
      <c r="Q12503">
        <v>2</v>
      </c>
      <c r="R12503" t="s">
        <v>43185</v>
      </c>
      <c r="S12503" t="s">
        <v>43930</v>
      </c>
      <c r="T12503" t="s">
        <v>44804</v>
      </c>
      <c r="U12503" t="s">
        <v>55153</v>
      </c>
      <c r="V12503" t="s">
        <v>58263</v>
      </c>
      <c r="W12503" t="s">
        <v>42244</v>
      </c>
      <c r="X12503" t="s">
        <v>43186</v>
      </c>
    </row>
    <row r="12504" spans="1:24">
      <c r="A12504">
        <f>HYPERLINK("https://www.philgeps.gov.ph/GEPSNONPILOT/Tender/SplashBidNoticeAbstractUI.aspx?menuIndex=3&amp;refID=7053202&amp;Result=3","7053202")</f>
        <v>0</v>
      </c>
      <c r="B12504" t="s">
        <v>3215</v>
      </c>
      <c r="C12504" t="s">
        <v>15372</v>
      </c>
      <c r="E12504" t="s">
        <v>28193</v>
      </c>
      <c r="F12504" t="s">
        <v>30052</v>
      </c>
      <c r="G12504" t="s">
        <v>30058</v>
      </c>
      <c r="H12504" t="s">
        <v>15498</v>
      </c>
      <c r="I12504" t="s">
        <v>30130</v>
      </c>
      <c r="J12504" t="s">
        <v>37828</v>
      </c>
      <c r="K12504" t="s">
        <v>39025</v>
      </c>
      <c r="M12504" t="s">
        <v>42838</v>
      </c>
      <c r="N12504" t="s">
        <v>43166</v>
      </c>
      <c r="O12504" t="s">
        <v>43167</v>
      </c>
      <c r="Q12504">
        <v>22</v>
      </c>
      <c r="R12504" t="s">
        <v>43185</v>
      </c>
      <c r="S12504" t="s">
        <v>43960</v>
      </c>
      <c r="T12504" t="s">
        <v>44941</v>
      </c>
      <c r="U12504" t="s">
        <v>55154</v>
      </c>
      <c r="V12504" t="s">
        <v>58264</v>
      </c>
      <c r="W12504" t="s">
        <v>42838</v>
      </c>
      <c r="X12504" t="s">
        <v>43186</v>
      </c>
    </row>
    <row r="12505" spans="1:24">
      <c r="A12505">
        <f>HYPERLINK("https://www.philgeps.gov.ph/GEPSNONPILOT/Tender/SplashBidNoticeAbstractUI.aspx?menuIndex=3&amp;refID=7053197&amp;Result=3","7053197")</f>
        <v>0</v>
      </c>
      <c r="B12505" t="s">
        <v>3263</v>
      </c>
      <c r="C12505" t="s">
        <v>15373</v>
      </c>
      <c r="D12505" t="s">
        <v>17445</v>
      </c>
      <c r="E12505" t="s">
        <v>28194</v>
      </c>
      <c r="F12505" t="s">
        <v>30052</v>
      </c>
      <c r="G12505" t="s">
        <v>30058</v>
      </c>
      <c r="H12505" t="s">
        <v>30067</v>
      </c>
      <c r="I12505" t="s">
        <v>3693</v>
      </c>
      <c r="J12505" t="s">
        <v>37829</v>
      </c>
      <c r="K12505" t="s">
        <v>39046</v>
      </c>
      <c r="M12505" t="s">
        <v>42894</v>
      </c>
      <c r="N12505" t="s">
        <v>43166</v>
      </c>
      <c r="O12505" t="s">
        <v>43167</v>
      </c>
      <c r="Q12505">
        <v>3</v>
      </c>
      <c r="R12505" t="s">
        <v>43185</v>
      </c>
      <c r="S12505" t="s">
        <v>43961</v>
      </c>
      <c r="T12505" t="s">
        <v>44773</v>
      </c>
      <c r="U12505" t="s">
        <v>55155</v>
      </c>
      <c r="W12505" t="s">
        <v>42894</v>
      </c>
      <c r="X12505" t="s">
        <v>43186</v>
      </c>
    </row>
    <row r="12506" spans="1:24">
      <c r="A12506">
        <f>HYPERLINK("https://www.philgeps.gov.ph/GEPSNONPILOT/Tender/SplashBidNoticeAbstractUI.aspx?menuIndex=3&amp;refID=7052958&amp;Result=3","7052958")</f>
        <v>0</v>
      </c>
      <c r="B12506" t="s">
        <v>2842</v>
      </c>
      <c r="C12506" t="s">
        <v>15374</v>
      </c>
      <c r="D12506" t="s">
        <v>17421</v>
      </c>
      <c r="E12506" t="s">
        <v>28195</v>
      </c>
      <c r="F12506" t="s">
        <v>30052</v>
      </c>
      <c r="G12506" t="s">
        <v>30058</v>
      </c>
      <c r="H12506" t="s">
        <v>15498</v>
      </c>
      <c r="I12506" t="s">
        <v>30084</v>
      </c>
      <c r="J12506" t="s">
        <v>37830</v>
      </c>
      <c r="K12506" t="s">
        <v>39029</v>
      </c>
      <c r="M12506" t="s">
        <v>42388</v>
      </c>
      <c r="N12506" t="s">
        <v>43166</v>
      </c>
      <c r="O12506" t="s">
        <v>43167</v>
      </c>
      <c r="P12506">
        <v>0</v>
      </c>
      <c r="Q12506">
        <v>2</v>
      </c>
      <c r="R12506" t="s">
        <v>43185</v>
      </c>
      <c r="S12506" t="s">
        <v>43930</v>
      </c>
      <c r="T12506" t="s">
        <v>44828</v>
      </c>
      <c r="U12506" t="s">
        <v>55156</v>
      </c>
      <c r="V12506" t="s">
        <v>58265</v>
      </c>
      <c r="W12506" t="s">
        <v>42388</v>
      </c>
      <c r="X12506" t="s">
        <v>43186</v>
      </c>
    </row>
    <row r="12507" spans="1:24">
      <c r="A12507">
        <f>HYPERLINK("https://www.philgeps.gov.ph/GEPSNONPILOT/Tender/SplashBidNoticeAbstractUI.aspx?menuIndex=3&amp;refID=7053154&amp;Result=3","7053154")</f>
        <v>0</v>
      </c>
      <c r="B12507" t="s">
        <v>3264</v>
      </c>
      <c r="C12507" t="s">
        <v>15375</v>
      </c>
      <c r="D12507" t="s">
        <v>17455</v>
      </c>
      <c r="E12507" t="s">
        <v>28196</v>
      </c>
      <c r="F12507" t="s">
        <v>30052</v>
      </c>
      <c r="G12507" t="s">
        <v>30058</v>
      </c>
      <c r="H12507" t="s">
        <v>30067</v>
      </c>
      <c r="I12507" t="s">
        <v>3693</v>
      </c>
      <c r="J12507" t="s">
        <v>37831</v>
      </c>
      <c r="K12507" t="s">
        <v>39026</v>
      </c>
      <c r="M12507" t="s">
        <v>42895</v>
      </c>
      <c r="N12507" t="s">
        <v>43166</v>
      </c>
      <c r="O12507" t="s">
        <v>43167</v>
      </c>
      <c r="Q12507">
        <v>24</v>
      </c>
      <c r="R12507" t="s">
        <v>43185</v>
      </c>
      <c r="S12507" t="s">
        <v>43962</v>
      </c>
      <c r="T12507" t="s">
        <v>44717</v>
      </c>
      <c r="U12507" t="s">
        <v>55157</v>
      </c>
      <c r="W12507" t="s">
        <v>42895</v>
      </c>
      <c r="X12507" t="s">
        <v>43186</v>
      </c>
    </row>
    <row r="12508" spans="1:24">
      <c r="A12508">
        <f>HYPERLINK("https://www.philgeps.gov.ph/GEPSNONPILOT/Tender/SplashBidNoticeAbstractUI.aspx?menuIndex=3&amp;refID=7053288&amp;Result=3","7053288")</f>
        <v>0</v>
      </c>
      <c r="B12508" t="s">
        <v>3265</v>
      </c>
      <c r="C12508" t="s">
        <v>15376</v>
      </c>
      <c r="D12508" t="s">
        <v>17464</v>
      </c>
      <c r="E12508" t="s">
        <v>28197</v>
      </c>
      <c r="F12508" t="s">
        <v>30056</v>
      </c>
      <c r="G12508" t="s">
        <v>30058</v>
      </c>
      <c r="H12508" t="s">
        <v>15498</v>
      </c>
      <c r="I12508" t="s">
        <v>4119</v>
      </c>
      <c r="J12508" t="s">
        <v>30292</v>
      </c>
      <c r="K12508" t="s">
        <v>39018</v>
      </c>
      <c r="M12508" t="s">
        <v>42896</v>
      </c>
      <c r="N12508" t="s">
        <v>43166</v>
      </c>
      <c r="O12508" t="s">
        <v>43167</v>
      </c>
      <c r="P12508">
        <v>0</v>
      </c>
      <c r="Q12508">
        <v>6</v>
      </c>
      <c r="R12508" t="s">
        <v>43185</v>
      </c>
      <c r="S12508" t="s">
        <v>43930</v>
      </c>
      <c r="T12508" t="s">
        <v>44720</v>
      </c>
      <c r="U12508" t="s">
        <v>55158</v>
      </c>
      <c r="W12508" t="s">
        <v>42896</v>
      </c>
      <c r="X12508" t="s">
        <v>43186</v>
      </c>
    </row>
    <row r="12509" spans="1:24">
      <c r="A12509">
        <f>HYPERLINK("https://www.philgeps.gov.ph/GEPSNONPILOT/Tender/SplashBidNoticeAbstractUI.aspx?menuIndex=3&amp;refID=7053153&amp;Result=3","7053153")</f>
        <v>0</v>
      </c>
      <c r="B12509" t="s">
        <v>945</v>
      </c>
      <c r="C12509" t="s">
        <v>15377</v>
      </c>
      <c r="D12509" t="s">
        <v>17443</v>
      </c>
      <c r="E12509" t="s">
        <v>28198</v>
      </c>
      <c r="F12509" t="s">
        <v>30052</v>
      </c>
      <c r="G12509" t="s">
        <v>30058</v>
      </c>
      <c r="H12509" t="s">
        <v>15498</v>
      </c>
      <c r="I12509" t="s">
        <v>3736</v>
      </c>
      <c r="J12509" t="s">
        <v>31342</v>
      </c>
      <c r="K12509" t="s">
        <v>39034</v>
      </c>
      <c r="M12509" t="s">
        <v>40269</v>
      </c>
      <c r="N12509" t="s">
        <v>43166</v>
      </c>
      <c r="O12509" t="s">
        <v>43167</v>
      </c>
      <c r="P12509">
        <v>0</v>
      </c>
      <c r="Q12509">
        <v>0</v>
      </c>
      <c r="R12509" t="s">
        <v>43185</v>
      </c>
      <c r="S12509" t="s">
        <v>43930</v>
      </c>
      <c r="T12509" t="s">
        <v>44806</v>
      </c>
      <c r="U12509" t="s">
        <v>55159</v>
      </c>
      <c r="W12509" t="s">
        <v>40269</v>
      </c>
      <c r="X12509" t="s">
        <v>43186</v>
      </c>
    </row>
    <row r="12510" spans="1:24">
      <c r="A12510">
        <f>HYPERLINK("https://www.philgeps.gov.ph/GEPSNONPILOT/Tender/SplashBidNoticeAbstractUI.aspx?menuIndex=3&amp;refID=7053519&amp;Result=3","7053519")</f>
        <v>0</v>
      </c>
      <c r="B12510" t="s">
        <v>3266</v>
      </c>
      <c r="C12510" t="s">
        <v>15378</v>
      </c>
      <c r="D12510" t="s">
        <v>17425</v>
      </c>
      <c r="E12510" t="s">
        <v>28199</v>
      </c>
      <c r="F12510" t="s">
        <v>30052</v>
      </c>
      <c r="G12510" t="s">
        <v>30058</v>
      </c>
      <c r="H12510" t="s">
        <v>30067</v>
      </c>
      <c r="I12510" t="s">
        <v>3693</v>
      </c>
      <c r="J12510" t="s">
        <v>37832</v>
      </c>
      <c r="K12510" t="s">
        <v>39026</v>
      </c>
      <c r="M12510" t="s">
        <v>42897</v>
      </c>
      <c r="N12510" t="s">
        <v>43166</v>
      </c>
      <c r="O12510" t="s">
        <v>43167</v>
      </c>
      <c r="P12510">
        <v>0</v>
      </c>
      <c r="Q12510">
        <v>0</v>
      </c>
      <c r="R12510" t="s">
        <v>43185</v>
      </c>
      <c r="S12510" t="s">
        <v>43930</v>
      </c>
      <c r="T12510" t="s">
        <v>45047</v>
      </c>
      <c r="U12510" t="s">
        <v>55160</v>
      </c>
      <c r="V12510" t="s">
        <v>58266</v>
      </c>
      <c r="W12510" t="s">
        <v>42897</v>
      </c>
      <c r="X12510" t="s">
        <v>43186</v>
      </c>
    </row>
    <row r="12511" spans="1:24">
      <c r="A12511">
        <f>HYPERLINK("https://www.philgeps.gov.ph/GEPSNONPILOT/Tender/SplashBidNoticeAbstractUI.aspx?menuIndex=3&amp;refID=7053601&amp;Result=3","7053601")</f>
        <v>0</v>
      </c>
      <c r="B12511" t="s">
        <v>2553</v>
      </c>
      <c r="C12511" t="s">
        <v>15379</v>
      </c>
      <c r="D12511" t="s">
        <v>17432</v>
      </c>
      <c r="E12511" t="s">
        <v>28200</v>
      </c>
      <c r="F12511" t="s">
        <v>30052</v>
      </c>
      <c r="G12511" t="s">
        <v>30058</v>
      </c>
      <c r="H12511" t="s">
        <v>15498</v>
      </c>
      <c r="I12511" t="s">
        <v>30100</v>
      </c>
      <c r="J12511" t="s">
        <v>30277</v>
      </c>
      <c r="K12511" t="s">
        <v>39034</v>
      </c>
      <c r="M12511" t="s">
        <v>42060</v>
      </c>
      <c r="N12511" t="s">
        <v>43166</v>
      </c>
      <c r="O12511" t="s">
        <v>43167</v>
      </c>
      <c r="P12511">
        <v>0</v>
      </c>
      <c r="Q12511">
        <v>0</v>
      </c>
      <c r="R12511" t="s">
        <v>43185</v>
      </c>
      <c r="S12511" t="s">
        <v>43930</v>
      </c>
      <c r="T12511" t="s">
        <v>44720</v>
      </c>
      <c r="U12511" t="s">
        <v>55161</v>
      </c>
      <c r="W12511" t="s">
        <v>42060</v>
      </c>
      <c r="X12511" t="s">
        <v>43186</v>
      </c>
    </row>
    <row r="12512" spans="1:24">
      <c r="A12512">
        <f>HYPERLINK("https://www.philgeps.gov.ph/GEPSNONPILOT/Tender/SplashBidNoticeAbstractUI.aspx?menuIndex=3&amp;refID=7053580&amp;Result=3","7053580")</f>
        <v>0</v>
      </c>
      <c r="B12512" t="s">
        <v>1551</v>
      </c>
      <c r="C12512" t="s">
        <v>15380</v>
      </c>
      <c r="D12512" t="s">
        <v>17442</v>
      </c>
      <c r="E12512" t="s">
        <v>28201</v>
      </c>
      <c r="F12512" t="s">
        <v>30052</v>
      </c>
      <c r="G12512" t="s">
        <v>30058</v>
      </c>
      <c r="H12512" t="s">
        <v>30067</v>
      </c>
      <c r="I12512" t="s">
        <v>3693</v>
      </c>
      <c r="J12512" t="s">
        <v>37833</v>
      </c>
      <c r="K12512" t="s">
        <v>39065</v>
      </c>
      <c r="L12512" t="s">
        <v>1551</v>
      </c>
      <c r="M12512" t="s">
        <v>42868</v>
      </c>
      <c r="N12512" t="s">
        <v>43166</v>
      </c>
      <c r="O12512" t="s">
        <v>43167</v>
      </c>
      <c r="P12512">
        <v>0</v>
      </c>
      <c r="Q12512">
        <v>2</v>
      </c>
      <c r="R12512" t="s">
        <v>43185</v>
      </c>
      <c r="S12512" t="s">
        <v>43930</v>
      </c>
      <c r="T12512" t="s">
        <v>44698</v>
      </c>
      <c r="U12512" t="s">
        <v>55162</v>
      </c>
      <c r="W12512" t="s">
        <v>42868</v>
      </c>
      <c r="X12512" t="s">
        <v>43186</v>
      </c>
    </row>
    <row r="12513" spans="1:24">
      <c r="A12513">
        <f>HYPERLINK("https://www.philgeps.gov.ph/GEPSNONPILOT/Tender/SplashBidNoticeAbstractUI.aspx?menuIndex=3&amp;refID=7053210&amp;Result=3","7053210")</f>
        <v>0</v>
      </c>
      <c r="B12513" t="s">
        <v>3265</v>
      </c>
      <c r="C12513" t="s">
        <v>15381</v>
      </c>
      <c r="D12513" t="s">
        <v>17464</v>
      </c>
      <c r="E12513" t="s">
        <v>28202</v>
      </c>
      <c r="F12513" t="s">
        <v>30056</v>
      </c>
      <c r="G12513" t="s">
        <v>30058</v>
      </c>
      <c r="H12513" t="s">
        <v>15498</v>
      </c>
      <c r="I12513" t="s">
        <v>4119</v>
      </c>
      <c r="J12513" t="s">
        <v>30292</v>
      </c>
      <c r="K12513" t="s">
        <v>39018</v>
      </c>
      <c r="M12513" t="s">
        <v>42896</v>
      </c>
      <c r="N12513" t="s">
        <v>43166</v>
      </c>
      <c r="O12513" t="s">
        <v>43167</v>
      </c>
      <c r="P12513">
        <v>0</v>
      </c>
      <c r="Q12513">
        <v>8</v>
      </c>
      <c r="R12513" t="s">
        <v>43185</v>
      </c>
      <c r="S12513" t="s">
        <v>43930</v>
      </c>
      <c r="T12513" t="s">
        <v>44720</v>
      </c>
      <c r="U12513" t="s">
        <v>55163</v>
      </c>
      <c r="W12513" t="s">
        <v>42896</v>
      </c>
      <c r="X12513" t="s">
        <v>43186</v>
      </c>
    </row>
    <row r="12514" spans="1:24">
      <c r="A12514">
        <f>HYPERLINK("https://www.philgeps.gov.ph/GEPSNONPILOT/Tender/SplashBidNoticeAbstractUI.aspx?menuIndex=3&amp;refID=7053579&amp;Result=3","7053579")</f>
        <v>0</v>
      </c>
      <c r="B12514" t="s">
        <v>1811</v>
      </c>
      <c r="C12514" t="s">
        <v>15382</v>
      </c>
      <c r="D12514" t="s">
        <v>17450</v>
      </c>
      <c r="E12514" t="s">
        <v>28203</v>
      </c>
      <c r="F12514" t="s">
        <v>30052</v>
      </c>
      <c r="G12514" t="s">
        <v>30058</v>
      </c>
      <c r="H12514" t="s">
        <v>30067</v>
      </c>
      <c r="I12514" t="s">
        <v>3693</v>
      </c>
      <c r="J12514" t="s">
        <v>34506</v>
      </c>
      <c r="K12514" t="s">
        <v>39081</v>
      </c>
      <c r="M12514" t="s">
        <v>41234</v>
      </c>
      <c r="N12514" t="s">
        <v>43166</v>
      </c>
      <c r="O12514" t="s">
        <v>43167</v>
      </c>
      <c r="P12514">
        <v>0</v>
      </c>
      <c r="Q12514">
        <v>4</v>
      </c>
      <c r="R12514" t="s">
        <v>43185</v>
      </c>
      <c r="S12514" t="s">
        <v>43930</v>
      </c>
      <c r="T12514" t="s">
        <v>44698</v>
      </c>
      <c r="U12514" t="s">
        <v>49480</v>
      </c>
      <c r="V12514" t="s">
        <v>58267</v>
      </c>
      <c r="W12514" t="s">
        <v>41234</v>
      </c>
      <c r="X12514" t="s">
        <v>43186</v>
      </c>
    </row>
    <row r="12515" spans="1:24">
      <c r="A12515">
        <f>HYPERLINK("https://www.philgeps.gov.ph/GEPSNONPILOT/Tender/SplashBidNoticeAbstractUI.aspx?menuIndex=3&amp;refID=7053521&amp;Result=3","7053521")</f>
        <v>0</v>
      </c>
      <c r="B12515" t="s">
        <v>3267</v>
      </c>
      <c r="C12515" t="s">
        <v>15383</v>
      </c>
      <c r="D12515" t="s">
        <v>17486</v>
      </c>
      <c r="E12515" t="s">
        <v>28204</v>
      </c>
      <c r="F12515" t="s">
        <v>30052</v>
      </c>
      <c r="G12515" t="s">
        <v>30058</v>
      </c>
      <c r="H12515" t="s">
        <v>15498</v>
      </c>
      <c r="I12515" t="s">
        <v>30072</v>
      </c>
      <c r="J12515" t="s">
        <v>37834</v>
      </c>
      <c r="K12515" t="s">
        <v>39037</v>
      </c>
      <c r="M12515" t="s">
        <v>42898</v>
      </c>
      <c r="N12515" t="s">
        <v>43166</v>
      </c>
      <c r="O12515" t="s">
        <v>43167</v>
      </c>
      <c r="Q12515">
        <v>7</v>
      </c>
      <c r="R12515" t="s">
        <v>43185</v>
      </c>
      <c r="S12515" t="s">
        <v>43963</v>
      </c>
      <c r="T12515" t="s">
        <v>44843</v>
      </c>
      <c r="U12515" t="s">
        <v>55164</v>
      </c>
      <c r="W12515" t="s">
        <v>42898</v>
      </c>
      <c r="X12515" t="s">
        <v>43186</v>
      </c>
    </row>
    <row r="12516" spans="1:24">
      <c r="A12516">
        <f>HYPERLINK("https://www.philgeps.gov.ph/GEPSNONPILOT/Tender/SplashBidNoticeAbstractUI.aspx?menuIndex=3&amp;refID=7053182&amp;Result=3","7053182")</f>
        <v>0</v>
      </c>
      <c r="B12516" t="s">
        <v>2290</v>
      </c>
      <c r="C12516" t="s">
        <v>15384</v>
      </c>
      <c r="D12516" t="s">
        <v>17453</v>
      </c>
      <c r="E12516" t="s">
        <v>28205</v>
      </c>
      <c r="F12516" t="s">
        <v>30052</v>
      </c>
      <c r="G12516" t="s">
        <v>30058</v>
      </c>
      <c r="H12516" t="s">
        <v>30067</v>
      </c>
      <c r="I12516" t="s">
        <v>3693</v>
      </c>
      <c r="J12516" t="s">
        <v>30222</v>
      </c>
      <c r="K12516" t="s">
        <v>39023</v>
      </c>
      <c r="M12516" t="s">
        <v>42322</v>
      </c>
      <c r="N12516" t="s">
        <v>43166</v>
      </c>
      <c r="O12516" t="s">
        <v>43167</v>
      </c>
      <c r="P12516">
        <v>0</v>
      </c>
      <c r="Q12516">
        <v>0</v>
      </c>
      <c r="R12516" t="s">
        <v>43185</v>
      </c>
      <c r="S12516" t="s">
        <v>43930</v>
      </c>
      <c r="T12516" t="s">
        <v>44717</v>
      </c>
      <c r="U12516" t="s">
        <v>55165</v>
      </c>
      <c r="W12516" t="s">
        <v>42322</v>
      </c>
      <c r="X12516" t="s">
        <v>43186</v>
      </c>
    </row>
    <row r="12517" spans="1:24">
      <c r="A12517">
        <f>HYPERLINK("https://www.philgeps.gov.ph/GEPSNONPILOT/Tender/SplashBidNoticeAbstractUI.aspx?menuIndex=3&amp;refID=7053516&amp;Result=3","7053516")</f>
        <v>0</v>
      </c>
      <c r="B12517" t="s">
        <v>3262</v>
      </c>
      <c r="C12517" t="s">
        <v>15385</v>
      </c>
      <c r="D12517" t="s">
        <v>17416</v>
      </c>
      <c r="E12517" t="s">
        <v>17585</v>
      </c>
      <c r="F12517" t="s">
        <v>30052</v>
      </c>
      <c r="G12517" t="s">
        <v>30058</v>
      </c>
      <c r="H12517" t="s">
        <v>15498</v>
      </c>
      <c r="I12517" t="s">
        <v>3736</v>
      </c>
      <c r="J12517" t="s">
        <v>37835</v>
      </c>
      <c r="K12517" t="s">
        <v>39034</v>
      </c>
      <c r="L12517" t="s">
        <v>3262</v>
      </c>
      <c r="M12517" t="s">
        <v>42893</v>
      </c>
      <c r="N12517" t="s">
        <v>43166</v>
      </c>
      <c r="O12517" t="s">
        <v>43167</v>
      </c>
      <c r="P12517">
        <v>0</v>
      </c>
      <c r="Q12517">
        <v>2</v>
      </c>
      <c r="R12517" t="s">
        <v>43185</v>
      </c>
      <c r="S12517" t="s">
        <v>43930</v>
      </c>
      <c r="T12517" t="s">
        <v>44787</v>
      </c>
      <c r="U12517" t="s">
        <v>55166</v>
      </c>
      <c r="V12517" t="s">
        <v>58260</v>
      </c>
      <c r="W12517" t="s">
        <v>42893</v>
      </c>
      <c r="X12517" t="s">
        <v>43186</v>
      </c>
    </row>
    <row r="12518" spans="1:24">
      <c r="A12518">
        <f>HYPERLINK("https://www.philgeps.gov.ph/GEPSNONPILOT/Tender/SplashBidNoticeAbstractUI.aspx?menuIndex=3&amp;refID=7053528&amp;Result=3","7053528")</f>
        <v>0</v>
      </c>
      <c r="B12518" t="s">
        <v>640</v>
      </c>
      <c r="C12518" t="s">
        <v>15386</v>
      </c>
      <c r="D12518" t="s">
        <v>17415</v>
      </c>
      <c r="E12518" t="s">
        <v>28206</v>
      </c>
      <c r="F12518" t="s">
        <v>30052</v>
      </c>
      <c r="G12518" t="s">
        <v>30058</v>
      </c>
      <c r="H12518" t="s">
        <v>15498</v>
      </c>
      <c r="I12518" t="s">
        <v>30118</v>
      </c>
      <c r="J12518" t="s">
        <v>37836</v>
      </c>
      <c r="K12518" t="s">
        <v>39023</v>
      </c>
      <c r="M12518" t="s">
        <v>39944</v>
      </c>
      <c r="N12518" t="s">
        <v>43166</v>
      </c>
      <c r="O12518" t="s">
        <v>43167</v>
      </c>
      <c r="P12518">
        <v>0</v>
      </c>
      <c r="Q12518">
        <v>9</v>
      </c>
      <c r="R12518" t="s">
        <v>43185</v>
      </c>
      <c r="S12518" t="s">
        <v>43930</v>
      </c>
      <c r="T12518" t="s">
        <v>44839</v>
      </c>
      <c r="U12518" t="s">
        <v>55167</v>
      </c>
      <c r="W12518" t="s">
        <v>39944</v>
      </c>
      <c r="X12518" t="s">
        <v>43186</v>
      </c>
    </row>
    <row r="12519" spans="1:24">
      <c r="A12519">
        <f>HYPERLINK("https://www.philgeps.gov.ph/GEPSNONPILOT/Tender/SplashBidNoticeAbstractUI.aspx?menuIndex=3&amp;refID=7053497&amp;Result=3","7053497")</f>
        <v>0</v>
      </c>
      <c r="B12519" t="s">
        <v>291</v>
      </c>
      <c r="C12519" t="s">
        <v>15387</v>
      </c>
      <c r="D12519" t="s">
        <v>17476</v>
      </c>
      <c r="E12519" t="s">
        <v>28207</v>
      </c>
      <c r="F12519" t="s">
        <v>30052</v>
      </c>
      <c r="G12519" t="s">
        <v>30058</v>
      </c>
      <c r="H12519" t="s">
        <v>15498</v>
      </c>
      <c r="I12519" t="s">
        <v>30092</v>
      </c>
      <c r="J12519" t="s">
        <v>30281</v>
      </c>
      <c r="K12519" t="s">
        <v>39029</v>
      </c>
      <c r="M12519" t="s">
        <v>39586</v>
      </c>
      <c r="N12519" t="s">
        <v>43166</v>
      </c>
      <c r="O12519" t="s">
        <v>43167</v>
      </c>
      <c r="P12519">
        <v>0</v>
      </c>
      <c r="Q12519">
        <v>6</v>
      </c>
      <c r="R12519" t="s">
        <v>43185</v>
      </c>
      <c r="S12519" t="s">
        <v>43930</v>
      </c>
      <c r="T12519" t="s">
        <v>45047</v>
      </c>
      <c r="U12519" t="s">
        <v>55168</v>
      </c>
      <c r="W12519" t="s">
        <v>39586</v>
      </c>
      <c r="X12519" t="s">
        <v>43186</v>
      </c>
    </row>
    <row r="12520" spans="1:24">
      <c r="A12520">
        <f>HYPERLINK("https://www.philgeps.gov.ph/GEPSNONPILOT/Tender/SplashBidNoticeAbstractUI.aspx?menuIndex=3&amp;refID=7053471&amp;Result=3","7053471")</f>
        <v>0</v>
      </c>
      <c r="B12520" t="s">
        <v>3268</v>
      </c>
      <c r="C12520" t="s">
        <v>15388</v>
      </c>
      <c r="D12520" t="s">
        <v>17430</v>
      </c>
      <c r="E12520" t="s">
        <v>28208</v>
      </c>
      <c r="F12520" t="s">
        <v>30052</v>
      </c>
      <c r="G12520" t="s">
        <v>30058</v>
      </c>
      <c r="H12520" t="s">
        <v>15498</v>
      </c>
      <c r="I12520" t="s">
        <v>30074</v>
      </c>
      <c r="J12520" t="s">
        <v>30397</v>
      </c>
      <c r="K12520" t="s">
        <v>39029</v>
      </c>
      <c r="M12520" t="s">
        <v>42899</v>
      </c>
      <c r="N12520" t="s">
        <v>43166</v>
      </c>
      <c r="O12520" t="s">
        <v>43167</v>
      </c>
      <c r="P12520">
        <v>0</v>
      </c>
      <c r="Q12520">
        <v>5</v>
      </c>
      <c r="R12520" t="s">
        <v>43185</v>
      </c>
      <c r="S12520" t="s">
        <v>43930</v>
      </c>
      <c r="T12520" t="s">
        <v>44720</v>
      </c>
      <c r="U12520" t="s">
        <v>55169</v>
      </c>
      <c r="W12520" t="s">
        <v>42899</v>
      </c>
      <c r="X12520" t="s">
        <v>43186</v>
      </c>
    </row>
    <row r="12521" spans="1:24">
      <c r="A12521">
        <f>HYPERLINK("https://www.philgeps.gov.ph/GEPSNONPILOT/Tender/SplashBidNoticeAbstractUI.aspx?menuIndex=3&amp;refID=7057719&amp;Result=3","7057719")</f>
        <v>0</v>
      </c>
      <c r="B12521" t="s">
        <v>3242</v>
      </c>
      <c r="C12521" t="s">
        <v>15389</v>
      </c>
      <c r="E12521" t="s">
        <v>28209</v>
      </c>
      <c r="F12521" t="s">
        <v>30052</v>
      </c>
      <c r="G12521" t="s">
        <v>30058</v>
      </c>
      <c r="H12521" t="s">
        <v>15498</v>
      </c>
      <c r="I12521" t="s">
        <v>30159</v>
      </c>
      <c r="J12521" t="s">
        <v>37837</v>
      </c>
      <c r="K12521" t="s">
        <v>39025</v>
      </c>
      <c r="M12521" t="s">
        <v>42869</v>
      </c>
      <c r="N12521" t="s">
        <v>43166</v>
      </c>
      <c r="O12521" t="s">
        <v>43167</v>
      </c>
      <c r="P12521">
        <v>0</v>
      </c>
      <c r="Q12521">
        <v>12</v>
      </c>
      <c r="R12521" t="s">
        <v>43184</v>
      </c>
      <c r="S12521" t="s">
        <v>43839</v>
      </c>
      <c r="T12521" t="s">
        <v>45166</v>
      </c>
      <c r="U12521" t="s">
        <v>55002</v>
      </c>
      <c r="W12521" t="s">
        <v>42869</v>
      </c>
      <c r="X12521" t="s">
        <v>43185</v>
      </c>
    </row>
    <row r="12522" spans="1:24">
      <c r="A12522">
        <f>HYPERLINK("https://www.philgeps.gov.ph/GEPSNONPILOT/Tender/SplashBidNoticeAbstractUI.aspx?menuIndex=3&amp;refID=7053415&amp;Result=3","7053415")</f>
        <v>0</v>
      </c>
      <c r="B12522" t="s">
        <v>2627</v>
      </c>
      <c r="C12522" t="s">
        <v>15390</v>
      </c>
      <c r="D12522" t="s">
        <v>17446</v>
      </c>
      <c r="E12522" t="s">
        <v>28210</v>
      </c>
      <c r="F12522" t="s">
        <v>30052</v>
      </c>
      <c r="G12522" t="s">
        <v>30058</v>
      </c>
      <c r="H12522" t="s">
        <v>15498</v>
      </c>
      <c r="I12522" t="s">
        <v>30087</v>
      </c>
      <c r="J12522" t="s">
        <v>37838</v>
      </c>
      <c r="K12522" t="s">
        <v>39046</v>
      </c>
      <c r="M12522" t="s">
        <v>42141</v>
      </c>
      <c r="N12522" t="s">
        <v>43166</v>
      </c>
      <c r="O12522" t="s">
        <v>43167</v>
      </c>
      <c r="Q12522">
        <v>4</v>
      </c>
      <c r="R12522" t="s">
        <v>43185</v>
      </c>
      <c r="S12522" t="s">
        <v>43964</v>
      </c>
      <c r="T12522" t="s">
        <v>44870</v>
      </c>
      <c r="U12522" t="s">
        <v>53740</v>
      </c>
      <c r="W12522" t="s">
        <v>58683</v>
      </c>
      <c r="X12522" t="s">
        <v>43186</v>
      </c>
    </row>
    <row r="12523" spans="1:24">
      <c r="A12523">
        <f>HYPERLINK("https://www.philgeps.gov.ph/GEPSNONPILOT/Tender/SplashBidNoticeAbstractUI.aspx?menuIndex=3&amp;refID=7053400&amp;Result=3","7053400")</f>
        <v>0</v>
      </c>
      <c r="B12523" t="s">
        <v>3268</v>
      </c>
      <c r="C12523" t="s">
        <v>15391</v>
      </c>
      <c r="D12523" t="s">
        <v>17430</v>
      </c>
      <c r="E12523" t="s">
        <v>28211</v>
      </c>
      <c r="F12523" t="s">
        <v>30052</v>
      </c>
      <c r="G12523" t="s">
        <v>30058</v>
      </c>
      <c r="H12523" t="s">
        <v>15498</v>
      </c>
      <c r="I12523" t="s">
        <v>30074</v>
      </c>
      <c r="J12523" t="s">
        <v>35535</v>
      </c>
      <c r="K12523" t="s">
        <v>39029</v>
      </c>
      <c r="M12523" t="s">
        <v>42899</v>
      </c>
      <c r="N12523" t="s">
        <v>43166</v>
      </c>
      <c r="O12523" t="s">
        <v>43167</v>
      </c>
      <c r="P12523">
        <v>0</v>
      </c>
      <c r="Q12523">
        <v>7</v>
      </c>
      <c r="R12523" t="s">
        <v>43185</v>
      </c>
      <c r="S12523" t="s">
        <v>43930</v>
      </c>
      <c r="T12523" t="s">
        <v>44720</v>
      </c>
      <c r="U12523" t="s">
        <v>55170</v>
      </c>
      <c r="W12523" t="s">
        <v>42899</v>
      </c>
      <c r="X12523" t="s">
        <v>43186</v>
      </c>
    </row>
    <row r="12524" spans="1:24">
      <c r="A12524">
        <f>HYPERLINK("https://www.philgeps.gov.ph/GEPSNONPILOT/Tender/SplashBidNoticeAbstractUI.aspx?menuIndex=3&amp;refID=7053484&amp;Result=3","7053484")</f>
        <v>0</v>
      </c>
      <c r="B12524" t="s">
        <v>3178</v>
      </c>
      <c r="C12524" t="s">
        <v>15392</v>
      </c>
      <c r="D12524" t="s">
        <v>17456</v>
      </c>
      <c r="E12524" t="s">
        <v>28212</v>
      </c>
      <c r="F12524" t="s">
        <v>30052</v>
      </c>
      <c r="G12524" t="s">
        <v>30058</v>
      </c>
      <c r="H12524" t="s">
        <v>30067</v>
      </c>
      <c r="I12524" t="s">
        <v>3693</v>
      </c>
      <c r="J12524" t="s">
        <v>32291</v>
      </c>
      <c r="K12524" t="s">
        <v>39057</v>
      </c>
      <c r="M12524" t="s">
        <v>42789</v>
      </c>
      <c r="N12524" t="s">
        <v>43166</v>
      </c>
      <c r="O12524" t="s">
        <v>43167</v>
      </c>
      <c r="Q12524">
        <v>8</v>
      </c>
      <c r="R12524" t="s">
        <v>43185</v>
      </c>
      <c r="S12524" t="s">
        <v>43965</v>
      </c>
      <c r="T12524" t="s">
        <v>44724</v>
      </c>
      <c r="U12524" t="s">
        <v>55171</v>
      </c>
      <c r="W12524" t="s">
        <v>42789</v>
      </c>
      <c r="X12524" t="s">
        <v>43186</v>
      </c>
    </row>
    <row r="12525" spans="1:24">
      <c r="A12525">
        <f>HYPERLINK("https://www.philgeps.gov.ph/GEPSNONPILOT/Tender/SplashBidNoticeAbstractUI.aspx?menuIndex=3&amp;refID=7053453&amp;Result=3","7053453")</f>
        <v>0</v>
      </c>
      <c r="B12525" t="s">
        <v>1811</v>
      </c>
      <c r="C12525" t="s">
        <v>15393</v>
      </c>
      <c r="D12525" t="s">
        <v>17450</v>
      </c>
      <c r="E12525" t="s">
        <v>28213</v>
      </c>
      <c r="F12525" t="s">
        <v>30052</v>
      </c>
      <c r="G12525" t="s">
        <v>30058</v>
      </c>
      <c r="H12525" t="s">
        <v>30067</v>
      </c>
      <c r="I12525" t="s">
        <v>3693</v>
      </c>
      <c r="J12525" t="s">
        <v>31835</v>
      </c>
      <c r="K12525" t="s">
        <v>39081</v>
      </c>
      <c r="M12525" t="s">
        <v>41234</v>
      </c>
      <c r="N12525" t="s">
        <v>43166</v>
      </c>
      <c r="O12525" t="s">
        <v>43167</v>
      </c>
      <c r="P12525">
        <v>0</v>
      </c>
      <c r="Q12525">
        <v>4</v>
      </c>
      <c r="R12525" t="s">
        <v>43185</v>
      </c>
      <c r="S12525" t="s">
        <v>43930</v>
      </c>
      <c r="T12525" t="s">
        <v>44698</v>
      </c>
      <c r="U12525" t="s">
        <v>49480</v>
      </c>
      <c r="V12525" t="s">
        <v>58268</v>
      </c>
      <c r="W12525" t="s">
        <v>41234</v>
      </c>
      <c r="X12525" t="s">
        <v>43186</v>
      </c>
    </row>
    <row r="12526" spans="1:24">
      <c r="A12526">
        <f>HYPERLINK("https://www.philgeps.gov.ph/GEPSNONPILOT/Tender/SplashBidNoticeAbstractUI.aspx?menuIndex=3&amp;refID=7053556&amp;Result=3","7053556")</f>
        <v>0</v>
      </c>
      <c r="B12526" t="s">
        <v>2785</v>
      </c>
      <c r="C12526" t="s">
        <v>15394</v>
      </c>
      <c r="D12526" t="s">
        <v>17413</v>
      </c>
      <c r="E12526" t="s">
        <v>26147</v>
      </c>
      <c r="F12526" t="s">
        <v>30052</v>
      </c>
      <c r="G12526" t="s">
        <v>30058</v>
      </c>
      <c r="H12526" t="s">
        <v>30067</v>
      </c>
      <c r="I12526" t="s">
        <v>3693</v>
      </c>
      <c r="J12526" t="s">
        <v>37839</v>
      </c>
      <c r="K12526" t="s">
        <v>39019</v>
      </c>
      <c r="M12526" t="s">
        <v>42325</v>
      </c>
      <c r="N12526" t="s">
        <v>43166</v>
      </c>
      <c r="O12526" t="s">
        <v>43167</v>
      </c>
      <c r="P12526">
        <v>0</v>
      </c>
      <c r="Q12526">
        <v>1</v>
      </c>
      <c r="R12526" t="s">
        <v>43185</v>
      </c>
      <c r="S12526" t="s">
        <v>43930</v>
      </c>
      <c r="T12526" t="s">
        <v>44729</v>
      </c>
      <c r="U12526" t="s">
        <v>55172</v>
      </c>
      <c r="W12526" t="s">
        <v>42325</v>
      </c>
      <c r="X12526" t="s">
        <v>43186</v>
      </c>
    </row>
    <row r="12527" spans="1:24">
      <c r="A12527">
        <f>HYPERLINK("https://www.philgeps.gov.ph/GEPSNONPILOT/Tender/SplashBidNoticeAbstractUI.aspx?menuIndex=3&amp;refID=7053414&amp;Result=3","7053414")</f>
        <v>0</v>
      </c>
      <c r="B12527" t="s">
        <v>3262</v>
      </c>
      <c r="C12527" t="s">
        <v>15395</v>
      </c>
      <c r="D12527" t="s">
        <v>17416</v>
      </c>
      <c r="E12527" t="s">
        <v>28214</v>
      </c>
      <c r="F12527" t="s">
        <v>30052</v>
      </c>
      <c r="G12527" t="s">
        <v>30058</v>
      </c>
      <c r="H12527" t="s">
        <v>15498</v>
      </c>
      <c r="I12527" t="s">
        <v>3736</v>
      </c>
      <c r="J12527" t="s">
        <v>37840</v>
      </c>
      <c r="K12527" t="s">
        <v>39034</v>
      </c>
      <c r="L12527" t="s">
        <v>3262</v>
      </c>
      <c r="M12527" t="s">
        <v>42893</v>
      </c>
      <c r="N12527" t="s">
        <v>43166</v>
      </c>
      <c r="O12527" t="s">
        <v>43167</v>
      </c>
      <c r="P12527">
        <v>0</v>
      </c>
      <c r="Q12527">
        <v>3</v>
      </c>
      <c r="R12527" t="s">
        <v>43185</v>
      </c>
      <c r="S12527" t="s">
        <v>43930</v>
      </c>
      <c r="T12527" t="s">
        <v>44787</v>
      </c>
      <c r="U12527" t="s">
        <v>55173</v>
      </c>
      <c r="V12527" t="s">
        <v>58269</v>
      </c>
      <c r="W12527" t="s">
        <v>42893</v>
      </c>
      <c r="X12527" t="s">
        <v>43186</v>
      </c>
    </row>
    <row r="12528" spans="1:24">
      <c r="A12528">
        <f>HYPERLINK("https://www.philgeps.gov.ph/GEPSNONPILOT/Tender/SplashBidNoticeAbstractUI.aspx?menuIndex=3&amp;refID=7053721&amp;Result=3","7053721")</f>
        <v>0</v>
      </c>
      <c r="B12528" t="s">
        <v>760</v>
      </c>
      <c r="C12528" t="s">
        <v>15396</v>
      </c>
      <c r="D12528" t="s">
        <v>17415</v>
      </c>
      <c r="E12528" t="s">
        <v>19446</v>
      </c>
      <c r="F12528" t="s">
        <v>30052</v>
      </c>
      <c r="G12528" t="s">
        <v>30058</v>
      </c>
      <c r="H12528" t="s">
        <v>30069</v>
      </c>
      <c r="I12528" t="s">
        <v>30100</v>
      </c>
      <c r="J12528" t="s">
        <v>37841</v>
      </c>
      <c r="K12528" t="s">
        <v>39091</v>
      </c>
      <c r="M12528" t="s">
        <v>40074</v>
      </c>
      <c r="N12528" t="s">
        <v>43166</v>
      </c>
      <c r="O12528" t="s">
        <v>43167</v>
      </c>
      <c r="P12528">
        <v>0</v>
      </c>
      <c r="Q12528">
        <v>2</v>
      </c>
      <c r="R12528" t="s">
        <v>43185</v>
      </c>
      <c r="S12528" t="s">
        <v>43930</v>
      </c>
      <c r="T12528" t="s">
        <v>44724</v>
      </c>
      <c r="U12528" t="s">
        <v>55174</v>
      </c>
      <c r="W12528" t="s">
        <v>40074</v>
      </c>
      <c r="X12528" t="s">
        <v>43186</v>
      </c>
    </row>
    <row r="12529" spans="1:24">
      <c r="A12529">
        <f>HYPERLINK("https://www.philgeps.gov.ph/GEPSNONPILOT/Tender/SplashBidNoticeAbstractUI.aspx?menuIndex=3&amp;refID=7052879&amp;Result=3","7052879")</f>
        <v>0</v>
      </c>
      <c r="B12529" t="s">
        <v>2465</v>
      </c>
      <c r="C12529" t="s">
        <v>15397</v>
      </c>
      <c r="D12529" t="s">
        <v>17442</v>
      </c>
      <c r="E12529" t="s">
        <v>28215</v>
      </c>
      <c r="F12529" t="s">
        <v>30052</v>
      </c>
      <c r="G12529" t="s">
        <v>30058</v>
      </c>
      <c r="H12529" t="s">
        <v>15498</v>
      </c>
      <c r="I12529" t="s">
        <v>30094</v>
      </c>
      <c r="J12529" t="s">
        <v>37842</v>
      </c>
      <c r="K12529" t="s">
        <v>39023</v>
      </c>
      <c r="M12529" t="s">
        <v>41964</v>
      </c>
      <c r="N12529" t="s">
        <v>43166</v>
      </c>
      <c r="O12529" t="s">
        <v>43167</v>
      </c>
      <c r="P12529">
        <v>0</v>
      </c>
      <c r="Q12529">
        <v>0</v>
      </c>
      <c r="R12529" t="s">
        <v>43185</v>
      </c>
      <c r="S12529" t="s">
        <v>43930</v>
      </c>
      <c r="T12529" t="s">
        <v>44699</v>
      </c>
      <c r="U12529" t="s">
        <v>55175</v>
      </c>
      <c r="W12529" t="s">
        <v>41964</v>
      </c>
      <c r="X12529" t="s">
        <v>43186</v>
      </c>
    </row>
    <row r="12530" spans="1:24">
      <c r="A12530">
        <f>HYPERLINK("https://www.philgeps.gov.ph/GEPSNONPILOT/Tender/SplashBidNoticeAbstractUI.aspx?menuIndex=3&amp;refID=7053774&amp;Result=3","7053774")</f>
        <v>0</v>
      </c>
      <c r="B12530" t="s">
        <v>3269</v>
      </c>
      <c r="C12530" t="s">
        <v>15398</v>
      </c>
      <c r="D12530" t="s">
        <v>17466</v>
      </c>
      <c r="E12530" t="s">
        <v>18698</v>
      </c>
      <c r="F12530" t="s">
        <v>30052</v>
      </c>
      <c r="G12530" t="s">
        <v>30058</v>
      </c>
      <c r="H12530" t="s">
        <v>15498</v>
      </c>
      <c r="I12530" t="s">
        <v>30099</v>
      </c>
      <c r="J12530" t="s">
        <v>36814</v>
      </c>
      <c r="K12530" t="s">
        <v>39017</v>
      </c>
      <c r="L12530" t="s">
        <v>3269</v>
      </c>
      <c r="M12530" t="s">
        <v>42900</v>
      </c>
      <c r="N12530" t="s">
        <v>43166</v>
      </c>
      <c r="O12530" t="s">
        <v>43167</v>
      </c>
      <c r="P12530">
        <v>0</v>
      </c>
      <c r="Q12530">
        <v>0</v>
      </c>
      <c r="R12530" t="s">
        <v>43185</v>
      </c>
      <c r="S12530" t="s">
        <v>43930</v>
      </c>
      <c r="T12530" t="s">
        <v>44710</v>
      </c>
      <c r="U12530" t="s">
        <v>55176</v>
      </c>
      <c r="V12530" t="s">
        <v>58270</v>
      </c>
      <c r="W12530" t="s">
        <v>42900</v>
      </c>
      <c r="X12530" t="s">
        <v>43186</v>
      </c>
    </row>
    <row r="12531" spans="1:24">
      <c r="A12531">
        <f>HYPERLINK("https://www.philgeps.gov.ph/GEPSNONPILOT/Tender/SplashBidNoticeAbstractUI.aspx?menuIndex=3&amp;refID=7053389&amp;Result=3","7053389")</f>
        <v>0</v>
      </c>
      <c r="B12531" t="s">
        <v>3260</v>
      </c>
      <c r="C12531" t="s">
        <v>15399</v>
      </c>
      <c r="D12531" t="s">
        <v>17421</v>
      </c>
      <c r="E12531" t="s">
        <v>28216</v>
      </c>
      <c r="F12531" t="s">
        <v>30052</v>
      </c>
      <c r="G12531" t="s">
        <v>30058</v>
      </c>
      <c r="H12531" t="s">
        <v>30067</v>
      </c>
      <c r="I12531" t="s">
        <v>3693</v>
      </c>
      <c r="J12531" t="s">
        <v>30683</v>
      </c>
      <c r="K12531" t="s">
        <v>39023</v>
      </c>
      <c r="M12531" t="s">
        <v>42891</v>
      </c>
      <c r="N12531" t="s">
        <v>43166</v>
      </c>
      <c r="O12531" t="s">
        <v>43167</v>
      </c>
      <c r="Q12531">
        <v>1</v>
      </c>
      <c r="R12531" t="s">
        <v>43185</v>
      </c>
      <c r="S12531" t="s">
        <v>43966</v>
      </c>
      <c r="T12531" t="s">
        <v>44718</v>
      </c>
      <c r="U12531" t="s">
        <v>55177</v>
      </c>
      <c r="W12531" t="s">
        <v>42891</v>
      </c>
      <c r="X12531" t="s">
        <v>43186</v>
      </c>
    </row>
    <row r="12532" spans="1:24">
      <c r="A12532">
        <f>HYPERLINK("https://www.philgeps.gov.ph/GEPSNONPILOT/Tender/SplashBidNoticeAbstractUI.aspx?menuIndex=3&amp;refID=7053478&amp;Result=3","7053478")</f>
        <v>0</v>
      </c>
      <c r="B12532" t="s">
        <v>409</v>
      </c>
      <c r="C12532" t="s">
        <v>15400</v>
      </c>
      <c r="D12532" t="s">
        <v>17473</v>
      </c>
      <c r="E12532" t="s">
        <v>28217</v>
      </c>
      <c r="F12532" t="s">
        <v>30052</v>
      </c>
      <c r="G12532" t="s">
        <v>30058</v>
      </c>
      <c r="H12532" t="s">
        <v>30067</v>
      </c>
      <c r="I12532" t="s">
        <v>3693</v>
      </c>
      <c r="J12532" t="s">
        <v>37843</v>
      </c>
      <c r="K12532" t="s">
        <v>39026</v>
      </c>
      <c r="M12532" t="s">
        <v>42901</v>
      </c>
      <c r="N12532" t="s">
        <v>43166</v>
      </c>
      <c r="O12532" t="s">
        <v>43167</v>
      </c>
      <c r="P12532">
        <v>0</v>
      </c>
      <c r="Q12532">
        <v>4</v>
      </c>
      <c r="R12532" t="s">
        <v>43185</v>
      </c>
      <c r="S12532" t="s">
        <v>43930</v>
      </c>
      <c r="T12532" t="s">
        <v>44841</v>
      </c>
      <c r="U12532" t="s">
        <v>55178</v>
      </c>
      <c r="W12532" t="s">
        <v>42901</v>
      </c>
      <c r="X12532" t="s">
        <v>43186</v>
      </c>
    </row>
    <row r="12533" spans="1:24">
      <c r="A12533">
        <f>HYPERLINK("https://www.philgeps.gov.ph/GEPSNONPILOT/Tender/SplashBidNoticeAbstractUI.aspx?menuIndex=3&amp;refID=7053740&amp;Result=3","7053740")</f>
        <v>0</v>
      </c>
      <c r="B12533" t="s">
        <v>1624</v>
      </c>
      <c r="C12533" t="s">
        <v>15401</v>
      </c>
      <c r="D12533" t="s">
        <v>17448</v>
      </c>
      <c r="E12533" t="s">
        <v>28218</v>
      </c>
      <c r="F12533" t="s">
        <v>30052</v>
      </c>
      <c r="G12533" t="s">
        <v>30058</v>
      </c>
      <c r="H12533" t="s">
        <v>30067</v>
      </c>
      <c r="I12533" t="s">
        <v>3693</v>
      </c>
      <c r="J12533" t="s">
        <v>33318</v>
      </c>
      <c r="K12533" t="s">
        <v>39026</v>
      </c>
      <c r="L12533" t="s">
        <v>1624</v>
      </c>
      <c r="M12533" t="s">
        <v>41024</v>
      </c>
      <c r="N12533" t="s">
        <v>43166</v>
      </c>
      <c r="O12533" t="s">
        <v>43167</v>
      </c>
      <c r="P12533">
        <v>0</v>
      </c>
      <c r="Q12533">
        <v>1</v>
      </c>
      <c r="R12533" t="s">
        <v>43185</v>
      </c>
      <c r="S12533" t="s">
        <v>43930</v>
      </c>
      <c r="T12533" t="s">
        <v>44773</v>
      </c>
      <c r="U12533" t="s">
        <v>55179</v>
      </c>
      <c r="V12533" t="s">
        <v>58271</v>
      </c>
      <c r="W12533" t="s">
        <v>41024</v>
      </c>
      <c r="X12533" t="s">
        <v>43186</v>
      </c>
    </row>
    <row r="12534" spans="1:24">
      <c r="A12534">
        <f>HYPERLINK("https://www.philgeps.gov.ph/GEPSNONPILOT/Tender/SplashBidNoticeAbstractUI.aspx?menuIndex=3&amp;refID=7052752&amp;Result=3","7052752")</f>
        <v>0</v>
      </c>
      <c r="B12534" t="s">
        <v>3270</v>
      </c>
      <c r="C12534" t="s">
        <v>15402</v>
      </c>
      <c r="D12534" t="s">
        <v>17419</v>
      </c>
      <c r="E12534" t="s">
        <v>28219</v>
      </c>
      <c r="F12534" t="s">
        <v>30052</v>
      </c>
      <c r="G12534" t="s">
        <v>30058</v>
      </c>
      <c r="H12534" t="s">
        <v>15498</v>
      </c>
      <c r="I12534" t="s">
        <v>3736</v>
      </c>
      <c r="J12534" t="s">
        <v>37844</v>
      </c>
      <c r="K12534" t="s">
        <v>39019</v>
      </c>
      <c r="M12534" t="s">
        <v>42902</v>
      </c>
      <c r="N12534" t="s">
        <v>43166</v>
      </c>
      <c r="O12534" t="s">
        <v>43167</v>
      </c>
      <c r="P12534">
        <v>0</v>
      </c>
      <c r="Q12534">
        <v>1</v>
      </c>
      <c r="R12534" t="s">
        <v>43185</v>
      </c>
      <c r="S12534" t="s">
        <v>43930</v>
      </c>
      <c r="T12534" t="s">
        <v>44832</v>
      </c>
      <c r="U12534" t="s">
        <v>55180</v>
      </c>
      <c r="V12534" t="s">
        <v>58272</v>
      </c>
      <c r="W12534" t="s">
        <v>42902</v>
      </c>
      <c r="X12534" t="s">
        <v>43186</v>
      </c>
    </row>
    <row r="12535" spans="1:24">
      <c r="A12535">
        <f>HYPERLINK("https://www.philgeps.gov.ph/GEPSNONPILOT/Tender/SplashBidNoticeAbstractUI.aspx?menuIndex=3&amp;refID=7053720&amp;Result=3","7053720")</f>
        <v>0</v>
      </c>
      <c r="B12535" t="s">
        <v>3271</v>
      </c>
      <c r="C12535" t="s">
        <v>15403</v>
      </c>
      <c r="D12535" t="s">
        <v>17435</v>
      </c>
      <c r="E12535" t="s">
        <v>17779</v>
      </c>
      <c r="F12535" t="s">
        <v>30052</v>
      </c>
      <c r="G12535" t="s">
        <v>30058</v>
      </c>
      <c r="H12535" t="s">
        <v>15498</v>
      </c>
      <c r="I12535" t="s">
        <v>3736</v>
      </c>
      <c r="J12535" t="s">
        <v>37845</v>
      </c>
      <c r="K12535" t="s">
        <v>39019</v>
      </c>
      <c r="M12535" t="s">
        <v>42903</v>
      </c>
      <c r="N12535" t="s">
        <v>43166</v>
      </c>
      <c r="O12535" t="s">
        <v>43167</v>
      </c>
      <c r="P12535">
        <v>0</v>
      </c>
      <c r="Q12535">
        <v>1</v>
      </c>
      <c r="R12535" t="s">
        <v>43185</v>
      </c>
      <c r="S12535" t="s">
        <v>43930</v>
      </c>
      <c r="T12535" t="s">
        <v>44777</v>
      </c>
      <c r="U12535" t="s">
        <v>55181</v>
      </c>
      <c r="W12535" t="s">
        <v>42903</v>
      </c>
      <c r="X12535" t="s">
        <v>43186</v>
      </c>
    </row>
    <row r="12536" spans="1:24">
      <c r="A12536">
        <f>HYPERLINK("https://www.philgeps.gov.ph/GEPSNONPILOT/Tender/SplashBidNoticeAbstractUI.aspx?menuIndex=3&amp;refID=7053762&amp;Result=3","7053762")</f>
        <v>0</v>
      </c>
      <c r="B12536" t="s">
        <v>3269</v>
      </c>
      <c r="C12536" t="s">
        <v>15404</v>
      </c>
      <c r="D12536" t="s">
        <v>17466</v>
      </c>
      <c r="E12536" t="s">
        <v>19275</v>
      </c>
      <c r="F12536" t="s">
        <v>30052</v>
      </c>
      <c r="G12536" t="s">
        <v>30058</v>
      </c>
      <c r="H12536" t="s">
        <v>15498</v>
      </c>
      <c r="I12536" t="s">
        <v>30096</v>
      </c>
      <c r="J12536" t="s">
        <v>30853</v>
      </c>
      <c r="K12536" t="s">
        <v>39017</v>
      </c>
      <c r="L12536" t="s">
        <v>3269</v>
      </c>
      <c r="M12536" t="s">
        <v>42900</v>
      </c>
      <c r="N12536" t="s">
        <v>43166</v>
      </c>
      <c r="O12536" t="s">
        <v>43167</v>
      </c>
      <c r="P12536">
        <v>0</v>
      </c>
      <c r="Q12536">
        <v>1</v>
      </c>
      <c r="R12536" t="s">
        <v>43185</v>
      </c>
      <c r="S12536" t="s">
        <v>43930</v>
      </c>
      <c r="T12536" t="s">
        <v>44710</v>
      </c>
      <c r="U12536" t="s">
        <v>55176</v>
      </c>
      <c r="V12536" t="s">
        <v>58270</v>
      </c>
      <c r="W12536" t="s">
        <v>42900</v>
      </c>
      <c r="X12536" t="s">
        <v>43186</v>
      </c>
    </row>
    <row r="12537" spans="1:24">
      <c r="A12537">
        <f>HYPERLINK("https://www.philgeps.gov.ph/GEPSNONPILOT/Tender/SplashBidNoticeAbstractUI.aspx?menuIndex=3&amp;refID=7053745&amp;Result=3","7053745")</f>
        <v>0</v>
      </c>
      <c r="B12537" t="s">
        <v>3266</v>
      </c>
      <c r="C12537" t="s">
        <v>15405</v>
      </c>
      <c r="D12537" t="s">
        <v>17425</v>
      </c>
      <c r="E12537" t="s">
        <v>28220</v>
      </c>
      <c r="F12537" t="s">
        <v>30052</v>
      </c>
      <c r="G12537" t="s">
        <v>30058</v>
      </c>
      <c r="H12537" t="s">
        <v>30067</v>
      </c>
      <c r="I12537" t="s">
        <v>3693</v>
      </c>
      <c r="J12537" t="s">
        <v>37846</v>
      </c>
      <c r="K12537" t="s">
        <v>39065</v>
      </c>
      <c r="M12537" t="s">
        <v>42897</v>
      </c>
      <c r="N12537" t="s">
        <v>43166</v>
      </c>
      <c r="O12537" t="s">
        <v>43167</v>
      </c>
      <c r="P12537">
        <v>0</v>
      </c>
      <c r="Q12537">
        <v>0</v>
      </c>
      <c r="R12537" t="s">
        <v>43185</v>
      </c>
      <c r="S12537" t="s">
        <v>43930</v>
      </c>
      <c r="T12537" t="s">
        <v>44734</v>
      </c>
      <c r="U12537" t="s">
        <v>55182</v>
      </c>
      <c r="V12537" t="s">
        <v>58266</v>
      </c>
      <c r="W12537" t="s">
        <v>42897</v>
      </c>
      <c r="X12537" t="s">
        <v>43186</v>
      </c>
    </row>
    <row r="12538" spans="1:24">
      <c r="A12538">
        <f>HYPERLINK("https://www.philgeps.gov.ph/GEPSNONPILOT/Tender/SplashBidNoticeAbstractUI.aspx?menuIndex=3&amp;refID=7053708&amp;Result=3","7053708")</f>
        <v>0</v>
      </c>
      <c r="B12538" t="s">
        <v>3269</v>
      </c>
      <c r="C12538" t="s">
        <v>15406</v>
      </c>
      <c r="D12538" t="s">
        <v>17466</v>
      </c>
      <c r="E12538" t="s">
        <v>18342</v>
      </c>
      <c r="F12538" t="s">
        <v>30052</v>
      </c>
      <c r="G12538" t="s">
        <v>30058</v>
      </c>
      <c r="H12538" t="s">
        <v>15498</v>
      </c>
      <c r="I12538" t="s">
        <v>6691</v>
      </c>
      <c r="J12538" t="s">
        <v>31014</v>
      </c>
      <c r="K12538" t="s">
        <v>39017</v>
      </c>
      <c r="L12538" t="s">
        <v>3269</v>
      </c>
      <c r="M12538" t="s">
        <v>42900</v>
      </c>
      <c r="N12538" t="s">
        <v>43166</v>
      </c>
      <c r="O12538" t="s">
        <v>43167</v>
      </c>
      <c r="P12538">
        <v>0</v>
      </c>
      <c r="Q12538">
        <v>0</v>
      </c>
      <c r="R12538" t="s">
        <v>43185</v>
      </c>
      <c r="S12538" t="s">
        <v>43930</v>
      </c>
      <c r="T12538" t="s">
        <v>44715</v>
      </c>
      <c r="U12538" t="s">
        <v>55183</v>
      </c>
      <c r="V12538" t="s">
        <v>58270</v>
      </c>
      <c r="W12538" t="s">
        <v>42900</v>
      </c>
      <c r="X12538" t="s">
        <v>43186</v>
      </c>
    </row>
    <row r="12539" spans="1:24">
      <c r="A12539">
        <f>HYPERLINK("https://www.philgeps.gov.ph/GEPSNONPILOT/Tender/SplashBidNoticeAbstractUI.aspx?menuIndex=3&amp;refID=7053693&amp;Result=3","7053693")</f>
        <v>0</v>
      </c>
      <c r="B12539" t="s">
        <v>3271</v>
      </c>
      <c r="C12539" t="s">
        <v>15407</v>
      </c>
      <c r="D12539" t="s">
        <v>17435</v>
      </c>
      <c r="E12539" t="s">
        <v>17715</v>
      </c>
      <c r="F12539" t="s">
        <v>30052</v>
      </c>
      <c r="G12539" t="s">
        <v>30058</v>
      </c>
      <c r="H12539" t="s">
        <v>15498</v>
      </c>
      <c r="I12539" t="s">
        <v>3736</v>
      </c>
      <c r="J12539" t="s">
        <v>32688</v>
      </c>
      <c r="K12539" t="s">
        <v>39019</v>
      </c>
      <c r="M12539" t="s">
        <v>42903</v>
      </c>
      <c r="N12539" t="s">
        <v>43166</v>
      </c>
      <c r="O12539" t="s">
        <v>43167</v>
      </c>
      <c r="P12539">
        <v>0</v>
      </c>
      <c r="Q12539">
        <v>1</v>
      </c>
      <c r="R12539" t="s">
        <v>43185</v>
      </c>
      <c r="S12539" t="s">
        <v>43930</v>
      </c>
      <c r="T12539" t="s">
        <v>44777</v>
      </c>
      <c r="U12539" t="s">
        <v>55184</v>
      </c>
      <c r="W12539" t="s">
        <v>42903</v>
      </c>
      <c r="X12539" t="s">
        <v>43186</v>
      </c>
    </row>
    <row r="12540" spans="1:24">
      <c r="A12540">
        <f>HYPERLINK("https://www.philgeps.gov.ph/GEPSNONPILOT/Tender/SplashBidNoticeAbstractUI.aspx?menuIndex=3&amp;refID=7053381&amp;Result=3","7053381")</f>
        <v>0</v>
      </c>
      <c r="B12540" t="s">
        <v>3215</v>
      </c>
      <c r="C12540" t="s">
        <v>15408</v>
      </c>
      <c r="D12540" t="s">
        <v>17441</v>
      </c>
      <c r="E12540" t="s">
        <v>28221</v>
      </c>
      <c r="F12540" t="s">
        <v>30052</v>
      </c>
      <c r="G12540" t="s">
        <v>30058</v>
      </c>
      <c r="H12540" t="s">
        <v>15498</v>
      </c>
      <c r="I12540" t="s">
        <v>30135</v>
      </c>
      <c r="J12540" t="s">
        <v>32005</v>
      </c>
      <c r="K12540" t="s">
        <v>39025</v>
      </c>
      <c r="M12540" t="s">
        <v>42838</v>
      </c>
      <c r="N12540" t="s">
        <v>43166</v>
      </c>
      <c r="O12540" t="s">
        <v>43167</v>
      </c>
      <c r="Q12540">
        <v>16</v>
      </c>
      <c r="R12540" t="s">
        <v>43185</v>
      </c>
      <c r="S12540" t="s">
        <v>43662</v>
      </c>
      <c r="T12540" t="s">
        <v>44828</v>
      </c>
      <c r="U12540" t="s">
        <v>55185</v>
      </c>
      <c r="V12540" t="s">
        <v>58273</v>
      </c>
      <c r="W12540" t="s">
        <v>42838</v>
      </c>
      <c r="X12540" t="s">
        <v>43186</v>
      </c>
    </row>
    <row r="12541" spans="1:24">
      <c r="A12541">
        <f>HYPERLINK("https://www.philgeps.gov.ph/GEPSNONPILOT/Tender/SplashBidNoticeAbstractUI.aspx?menuIndex=3&amp;refID=7053681&amp;Result=3","7053681")</f>
        <v>0</v>
      </c>
      <c r="B12541" t="s">
        <v>291</v>
      </c>
      <c r="C12541" t="s">
        <v>15409</v>
      </c>
      <c r="D12541" t="s">
        <v>17476</v>
      </c>
      <c r="E12541" t="s">
        <v>28222</v>
      </c>
      <c r="F12541" t="s">
        <v>30052</v>
      </c>
      <c r="G12541" t="s">
        <v>30058</v>
      </c>
      <c r="H12541" t="s">
        <v>30067</v>
      </c>
      <c r="I12541" t="s">
        <v>3693</v>
      </c>
      <c r="J12541" t="s">
        <v>37847</v>
      </c>
      <c r="K12541" t="s">
        <v>39026</v>
      </c>
      <c r="M12541" t="s">
        <v>39586</v>
      </c>
      <c r="N12541" t="s">
        <v>43166</v>
      </c>
      <c r="O12541" t="s">
        <v>43167</v>
      </c>
      <c r="Q12541">
        <v>2</v>
      </c>
      <c r="R12541" t="s">
        <v>43185</v>
      </c>
      <c r="S12541" t="s">
        <v>43967</v>
      </c>
      <c r="T12541" t="s">
        <v>45047</v>
      </c>
      <c r="U12541" t="s">
        <v>55186</v>
      </c>
      <c r="W12541" t="s">
        <v>39586</v>
      </c>
      <c r="X12541" t="s">
        <v>43186</v>
      </c>
    </row>
    <row r="12542" spans="1:24">
      <c r="A12542">
        <f>HYPERLINK("https://www.philgeps.gov.ph/GEPSNONPILOT/Tender/SplashBidNoticeAbstractUI.aspx?menuIndex=3&amp;refID=7053717&amp;Result=3","7053717")</f>
        <v>0</v>
      </c>
      <c r="B12542" t="s">
        <v>2787</v>
      </c>
      <c r="C12542" t="s">
        <v>15410</v>
      </c>
      <c r="D12542" t="s">
        <v>17413</v>
      </c>
      <c r="E12542" t="s">
        <v>11486</v>
      </c>
      <c r="F12542" t="s">
        <v>30052</v>
      </c>
      <c r="G12542" t="s">
        <v>30058</v>
      </c>
      <c r="H12542" t="s">
        <v>30067</v>
      </c>
      <c r="I12542" t="s">
        <v>3693</v>
      </c>
      <c r="J12542" t="s">
        <v>34018</v>
      </c>
      <c r="K12542" t="s">
        <v>39019</v>
      </c>
      <c r="M12542" t="s">
        <v>42327</v>
      </c>
      <c r="N12542" t="s">
        <v>43166</v>
      </c>
      <c r="O12542" t="s">
        <v>43167</v>
      </c>
      <c r="P12542">
        <v>0</v>
      </c>
      <c r="Q12542">
        <v>0</v>
      </c>
      <c r="R12542" t="s">
        <v>43185</v>
      </c>
      <c r="S12542" t="s">
        <v>43930</v>
      </c>
      <c r="T12542" t="s">
        <v>44729</v>
      </c>
      <c r="U12542" t="s">
        <v>55187</v>
      </c>
      <c r="W12542" t="s">
        <v>42327</v>
      </c>
      <c r="X12542" t="s">
        <v>43186</v>
      </c>
    </row>
    <row r="12543" spans="1:24">
      <c r="A12543">
        <f>HYPERLINK("https://www.philgeps.gov.ph/GEPSNONPILOT/Tender/SplashBidNoticeAbstractUI.aspx?menuIndex=3&amp;refID=7053678&amp;Result=3","7053678")</f>
        <v>0</v>
      </c>
      <c r="B12543" t="s">
        <v>773</v>
      </c>
      <c r="C12543" t="s">
        <v>15411</v>
      </c>
      <c r="D12543" t="s">
        <v>17435</v>
      </c>
      <c r="E12543" t="s">
        <v>28223</v>
      </c>
      <c r="F12543" t="s">
        <v>30052</v>
      </c>
      <c r="G12543" t="s">
        <v>30058</v>
      </c>
      <c r="H12543" t="s">
        <v>15498</v>
      </c>
      <c r="I12543" t="s">
        <v>30153</v>
      </c>
      <c r="J12543" t="s">
        <v>30556</v>
      </c>
      <c r="K12543" t="s">
        <v>39019</v>
      </c>
      <c r="M12543" t="s">
        <v>40087</v>
      </c>
      <c r="N12543" t="s">
        <v>43166</v>
      </c>
      <c r="O12543" t="s">
        <v>43167</v>
      </c>
      <c r="P12543">
        <v>0</v>
      </c>
      <c r="Q12543">
        <v>6</v>
      </c>
      <c r="R12543" t="s">
        <v>43185</v>
      </c>
      <c r="S12543" t="s">
        <v>43930</v>
      </c>
      <c r="T12543" t="s">
        <v>44733</v>
      </c>
      <c r="U12543" t="s">
        <v>55188</v>
      </c>
      <c r="W12543" t="s">
        <v>40087</v>
      </c>
      <c r="X12543" t="s">
        <v>43186</v>
      </c>
    </row>
    <row r="12544" spans="1:24">
      <c r="A12544">
        <f>HYPERLINK("https://www.philgeps.gov.ph/GEPSNONPILOT/Tender/SplashBidNoticeAbstractUI.aspx?menuIndex=3&amp;refID=7053715&amp;Result=3","7053715")</f>
        <v>0</v>
      </c>
      <c r="B12544" t="s">
        <v>1362</v>
      </c>
      <c r="C12544" t="s">
        <v>15412</v>
      </c>
      <c r="D12544" t="s">
        <v>17421</v>
      </c>
      <c r="E12544" t="s">
        <v>18384</v>
      </c>
      <c r="F12544" t="s">
        <v>30052</v>
      </c>
      <c r="G12544" t="s">
        <v>30058</v>
      </c>
      <c r="H12544" t="s">
        <v>30067</v>
      </c>
      <c r="I12544" t="s">
        <v>3693</v>
      </c>
      <c r="J12544" t="s">
        <v>37848</v>
      </c>
      <c r="K12544" t="s">
        <v>39062</v>
      </c>
      <c r="L12544" t="s">
        <v>1362</v>
      </c>
      <c r="M12544" t="s">
        <v>40732</v>
      </c>
      <c r="N12544" t="s">
        <v>43166</v>
      </c>
      <c r="O12544" t="s">
        <v>43167</v>
      </c>
      <c r="Q12544">
        <v>0</v>
      </c>
      <c r="R12544" t="s">
        <v>43185</v>
      </c>
      <c r="S12544" t="s">
        <v>43968</v>
      </c>
      <c r="T12544" t="s">
        <v>44689</v>
      </c>
      <c r="U12544" t="s">
        <v>55189</v>
      </c>
      <c r="V12544" t="s">
        <v>46582</v>
      </c>
      <c r="W12544" t="s">
        <v>40732</v>
      </c>
      <c r="X12544" t="s">
        <v>43186</v>
      </c>
    </row>
    <row r="12545" spans="1:24">
      <c r="A12545">
        <f>HYPERLINK("https://www.philgeps.gov.ph/GEPSNONPILOT/Tender/SplashBidNoticeAbstractUI.aspx?menuIndex=3&amp;refID=7053638&amp;Result=3","7053638")</f>
        <v>0</v>
      </c>
      <c r="B12545" t="s">
        <v>3269</v>
      </c>
      <c r="C12545" t="s">
        <v>15413</v>
      </c>
      <c r="D12545" t="s">
        <v>17466</v>
      </c>
      <c r="E12545" t="s">
        <v>18907</v>
      </c>
      <c r="F12545" t="s">
        <v>30052</v>
      </c>
      <c r="G12545" t="s">
        <v>30058</v>
      </c>
      <c r="H12545" t="s">
        <v>15498</v>
      </c>
      <c r="I12545" t="s">
        <v>3736</v>
      </c>
      <c r="J12545" t="s">
        <v>30472</v>
      </c>
      <c r="K12545" t="s">
        <v>39017</v>
      </c>
      <c r="L12545" t="s">
        <v>3269</v>
      </c>
      <c r="M12545" t="s">
        <v>42900</v>
      </c>
      <c r="N12545" t="s">
        <v>43166</v>
      </c>
      <c r="O12545" t="s">
        <v>43167</v>
      </c>
      <c r="P12545">
        <v>0</v>
      </c>
      <c r="Q12545">
        <v>0</v>
      </c>
      <c r="R12545" t="s">
        <v>43185</v>
      </c>
      <c r="S12545" t="s">
        <v>43930</v>
      </c>
      <c r="T12545" t="s">
        <v>44715</v>
      </c>
      <c r="U12545" t="s">
        <v>55183</v>
      </c>
      <c r="V12545" t="s">
        <v>58274</v>
      </c>
      <c r="W12545" t="s">
        <v>42900</v>
      </c>
      <c r="X12545" t="s">
        <v>43186</v>
      </c>
    </row>
    <row r="12546" spans="1:24">
      <c r="A12546">
        <f>HYPERLINK("https://www.philgeps.gov.ph/GEPSNONPILOT/Tender/SplashBidNoticeAbstractUI.aspx?menuIndex=3&amp;refID=7053696&amp;Result=3","7053696")</f>
        <v>0</v>
      </c>
      <c r="B12546" t="s">
        <v>2553</v>
      </c>
      <c r="C12546" t="s">
        <v>15414</v>
      </c>
      <c r="D12546" t="s">
        <v>17432</v>
      </c>
      <c r="E12546" t="s">
        <v>28200</v>
      </c>
      <c r="F12546" t="s">
        <v>30052</v>
      </c>
      <c r="G12546" t="s">
        <v>30058</v>
      </c>
      <c r="H12546" t="s">
        <v>15498</v>
      </c>
      <c r="I12546" t="s">
        <v>30098</v>
      </c>
      <c r="J12546" t="s">
        <v>30559</v>
      </c>
      <c r="K12546" t="s">
        <v>39034</v>
      </c>
      <c r="M12546" t="s">
        <v>42060</v>
      </c>
      <c r="N12546" t="s">
        <v>43166</v>
      </c>
      <c r="O12546" t="s">
        <v>43167</v>
      </c>
      <c r="P12546">
        <v>0</v>
      </c>
      <c r="Q12546">
        <v>6</v>
      </c>
      <c r="R12546" t="s">
        <v>43185</v>
      </c>
      <c r="S12546" t="s">
        <v>43930</v>
      </c>
      <c r="T12546" t="s">
        <v>44720</v>
      </c>
      <c r="U12546" t="s">
        <v>55190</v>
      </c>
      <c r="W12546" t="s">
        <v>42060</v>
      </c>
      <c r="X12546" t="s">
        <v>43186</v>
      </c>
    </row>
    <row r="12547" spans="1:24">
      <c r="A12547">
        <f>HYPERLINK("https://www.philgeps.gov.ph/GEPSNONPILOT/Tender/SplashBidNoticeAbstractUI.aspx?menuIndex=3&amp;refID=7053611&amp;Result=3","7053611")</f>
        <v>0</v>
      </c>
      <c r="B12547" t="s">
        <v>268</v>
      </c>
      <c r="C12547" t="s">
        <v>15415</v>
      </c>
      <c r="D12547" t="s">
        <v>17459</v>
      </c>
      <c r="E12547" t="s">
        <v>28224</v>
      </c>
      <c r="F12547" t="s">
        <v>30052</v>
      </c>
      <c r="G12547" t="s">
        <v>30058</v>
      </c>
      <c r="H12547" t="s">
        <v>15498</v>
      </c>
      <c r="I12547" t="s">
        <v>3852</v>
      </c>
      <c r="J12547" t="s">
        <v>37849</v>
      </c>
      <c r="K12547" t="s">
        <v>39029</v>
      </c>
      <c r="M12547" t="s">
        <v>39561</v>
      </c>
      <c r="N12547" t="s">
        <v>43166</v>
      </c>
      <c r="O12547" t="s">
        <v>43167</v>
      </c>
      <c r="P12547">
        <v>0</v>
      </c>
      <c r="Q12547">
        <v>0</v>
      </c>
      <c r="R12547" t="s">
        <v>43185</v>
      </c>
      <c r="S12547" t="s">
        <v>43930</v>
      </c>
      <c r="T12547" t="s">
        <v>44841</v>
      </c>
      <c r="U12547" t="s">
        <v>55191</v>
      </c>
      <c r="V12547" t="s">
        <v>56837</v>
      </c>
      <c r="W12547" t="s">
        <v>39561</v>
      </c>
      <c r="X12547" t="s">
        <v>43186</v>
      </c>
    </row>
    <row r="12548" spans="1:24">
      <c r="A12548">
        <f>HYPERLINK("https://www.philgeps.gov.ph/GEPSNONPILOT/Tender/SplashBidNoticeAbstractUI.aspx?menuIndex=3&amp;refID=7053625&amp;Result=3","7053625")</f>
        <v>0</v>
      </c>
      <c r="B12548" t="s">
        <v>773</v>
      </c>
      <c r="C12548" t="s">
        <v>15416</v>
      </c>
      <c r="D12548" t="s">
        <v>17435</v>
      </c>
      <c r="E12548" t="s">
        <v>28225</v>
      </c>
      <c r="F12548" t="s">
        <v>30052</v>
      </c>
      <c r="G12548" t="s">
        <v>30058</v>
      </c>
      <c r="H12548" t="s">
        <v>30067</v>
      </c>
      <c r="I12548" t="s">
        <v>3693</v>
      </c>
      <c r="J12548" t="s">
        <v>37850</v>
      </c>
      <c r="K12548" t="s">
        <v>39026</v>
      </c>
      <c r="M12548" t="s">
        <v>40087</v>
      </c>
      <c r="N12548" t="s">
        <v>43166</v>
      </c>
      <c r="O12548" t="s">
        <v>43167</v>
      </c>
      <c r="P12548">
        <v>0</v>
      </c>
      <c r="Q12548">
        <v>2</v>
      </c>
      <c r="R12548" t="s">
        <v>43185</v>
      </c>
      <c r="S12548" t="s">
        <v>43930</v>
      </c>
      <c r="T12548" t="s">
        <v>44733</v>
      </c>
      <c r="U12548" t="s">
        <v>55192</v>
      </c>
      <c r="W12548" t="s">
        <v>40087</v>
      </c>
      <c r="X12548" t="s">
        <v>43186</v>
      </c>
    </row>
    <row r="12549" spans="1:24">
      <c r="A12549">
        <f>HYPERLINK("https://www.philgeps.gov.ph/GEPSNONPILOT/Tender/SplashBidNoticeAbstractUI.aspx?menuIndex=3&amp;refID=7053361&amp;Result=3","7053361")</f>
        <v>0</v>
      </c>
      <c r="B12549" t="s">
        <v>969</v>
      </c>
      <c r="C12549" t="s">
        <v>15417</v>
      </c>
      <c r="D12549" t="s">
        <v>17449</v>
      </c>
      <c r="E12549" t="s">
        <v>28226</v>
      </c>
      <c r="F12549" t="s">
        <v>30052</v>
      </c>
      <c r="G12549" t="s">
        <v>30058</v>
      </c>
      <c r="H12549" t="s">
        <v>15498</v>
      </c>
      <c r="I12549" t="s">
        <v>3606</v>
      </c>
      <c r="J12549" t="s">
        <v>30227</v>
      </c>
      <c r="K12549" t="s">
        <v>39037</v>
      </c>
      <c r="M12549" t="s">
        <v>40295</v>
      </c>
      <c r="N12549" t="s">
        <v>43166</v>
      </c>
      <c r="O12549" t="s">
        <v>43167</v>
      </c>
      <c r="P12549">
        <v>0</v>
      </c>
      <c r="Q12549">
        <v>6</v>
      </c>
      <c r="R12549" t="s">
        <v>43185</v>
      </c>
      <c r="S12549" t="s">
        <v>43930</v>
      </c>
      <c r="T12549" t="s">
        <v>44822</v>
      </c>
      <c r="U12549" t="s">
        <v>55193</v>
      </c>
      <c r="W12549" t="s">
        <v>40295</v>
      </c>
      <c r="X12549" t="s">
        <v>43186</v>
      </c>
    </row>
    <row r="12550" spans="1:24">
      <c r="A12550">
        <f>HYPERLINK("https://www.philgeps.gov.ph/GEPSNONPILOT/Tender/SplashBidNoticeAbstractUI.aspx?menuIndex=3&amp;refID=7053615&amp;Result=3","7053615")</f>
        <v>0</v>
      </c>
      <c r="B12550" t="s">
        <v>1551</v>
      </c>
      <c r="C12550" t="s">
        <v>15418</v>
      </c>
      <c r="D12550" t="s">
        <v>17442</v>
      </c>
      <c r="E12550" t="s">
        <v>28227</v>
      </c>
      <c r="F12550" t="s">
        <v>30052</v>
      </c>
      <c r="G12550" t="s">
        <v>30058</v>
      </c>
      <c r="H12550" t="s">
        <v>30067</v>
      </c>
      <c r="I12550" t="s">
        <v>3693</v>
      </c>
      <c r="J12550" t="s">
        <v>37851</v>
      </c>
      <c r="K12550" t="s">
        <v>39065</v>
      </c>
      <c r="L12550" t="s">
        <v>1551</v>
      </c>
      <c r="M12550" t="s">
        <v>42868</v>
      </c>
      <c r="N12550" t="s">
        <v>43166</v>
      </c>
      <c r="O12550" t="s">
        <v>43167</v>
      </c>
      <c r="P12550">
        <v>0</v>
      </c>
      <c r="Q12550">
        <v>2</v>
      </c>
      <c r="R12550" t="s">
        <v>43185</v>
      </c>
      <c r="S12550" t="s">
        <v>43930</v>
      </c>
      <c r="T12550" t="s">
        <v>44698</v>
      </c>
      <c r="U12550" t="s">
        <v>55194</v>
      </c>
      <c r="W12550" t="s">
        <v>42868</v>
      </c>
      <c r="X12550" t="s">
        <v>43186</v>
      </c>
    </row>
    <row r="12551" spans="1:24">
      <c r="A12551">
        <f>HYPERLINK("https://www.philgeps.gov.ph/GEPSNONPILOT/Tender/SplashBidNoticeAbstractUI.aspx?menuIndex=3&amp;refID=7053137&amp;Result=3","7053137")</f>
        <v>0</v>
      </c>
      <c r="B12551" t="s">
        <v>3215</v>
      </c>
      <c r="C12551" t="s">
        <v>15419</v>
      </c>
      <c r="E12551" t="s">
        <v>28228</v>
      </c>
      <c r="F12551" t="s">
        <v>30052</v>
      </c>
      <c r="G12551" t="s">
        <v>30058</v>
      </c>
      <c r="H12551" t="s">
        <v>15498</v>
      </c>
      <c r="I12551" t="s">
        <v>30130</v>
      </c>
      <c r="J12551" t="s">
        <v>30555</v>
      </c>
      <c r="K12551" t="s">
        <v>39025</v>
      </c>
      <c r="M12551" t="s">
        <v>42838</v>
      </c>
      <c r="N12551" t="s">
        <v>43166</v>
      </c>
      <c r="O12551" t="s">
        <v>43167</v>
      </c>
      <c r="Q12551">
        <v>11</v>
      </c>
      <c r="R12551" t="s">
        <v>43185</v>
      </c>
      <c r="S12551" t="s">
        <v>43585</v>
      </c>
      <c r="T12551" t="s">
        <v>44934</v>
      </c>
      <c r="U12551" t="s">
        <v>55195</v>
      </c>
      <c r="V12551" t="s">
        <v>58169</v>
      </c>
      <c r="W12551" t="s">
        <v>42838</v>
      </c>
      <c r="X12551" t="s">
        <v>43186</v>
      </c>
    </row>
    <row r="12552" spans="1:24">
      <c r="A12552">
        <f>HYPERLINK("https://www.philgeps.gov.ph/GEPSNONPILOT/Tender/SplashBidNoticeAbstractUI.aspx?menuIndex=3&amp;refID=7053104&amp;Result=3","7053104")</f>
        <v>0</v>
      </c>
      <c r="B12552" t="s">
        <v>2290</v>
      </c>
      <c r="C12552" t="s">
        <v>15420</v>
      </c>
      <c r="D12552" t="s">
        <v>17453</v>
      </c>
      <c r="E12552" t="s">
        <v>28229</v>
      </c>
      <c r="F12552" t="s">
        <v>30052</v>
      </c>
      <c r="G12552" t="s">
        <v>30058</v>
      </c>
      <c r="H12552" t="s">
        <v>30067</v>
      </c>
      <c r="I12552" t="s">
        <v>3693</v>
      </c>
      <c r="J12552" t="s">
        <v>33476</v>
      </c>
      <c r="K12552" t="s">
        <v>39031</v>
      </c>
      <c r="M12552" t="s">
        <v>42322</v>
      </c>
      <c r="N12552" t="s">
        <v>43166</v>
      </c>
      <c r="O12552" t="s">
        <v>43167</v>
      </c>
      <c r="P12552">
        <v>0</v>
      </c>
      <c r="Q12552">
        <v>0</v>
      </c>
      <c r="R12552" t="s">
        <v>43185</v>
      </c>
      <c r="S12552" t="s">
        <v>43930</v>
      </c>
      <c r="T12552" t="s">
        <v>44717</v>
      </c>
      <c r="U12552" t="s">
        <v>55196</v>
      </c>
      <c r="W12552" t="s">
        <v>42322</v>
      </c>
      <c r="X12552" t="s">
        <v>43186</v>
      </c>
    </row>
    <row r="12553" spans="1:24">
      <c r="A12553">
        <f>HYPERLINK("https://www.philgeps.gov.ph/GEPSNONPILOT/Tender/SplashBidNoticeAbstractUI.aspx?menuIndex=3&amp;refID=7053369&amp;Result=3","7053369")</f>
        <v>0</v>
      </c>
      <c r="B12553" t="s">
        <v>927</v>
      </c>
      <c r="C12553" t="s">
        <v>15421</v>
      </c>
      <c r="D12553" t="s">
        <v>17458</v>
      </c>
      <c r="E12553" t="s">
        <v>28230</v>
      </c>
      <c r="F12553" t="s">
        <v>30052</v>
      </c>
      <c r="G12553" t="s">
        <v>30058</v>
      </c>
      <c r="H12553" t="s">
        <v>15498</v>
      </c>
      <c r="I12553" t="s">
        <v>30073</v>
      </c>
      <c r="J12553" t="s">
        <v>30230</v>
      </c>
      <c r="K12553" t="s">
        <v>39018</v>
      </c>
      <c r="M12553" t="s">
        <v>42904</v>
      </c>
      <c r="N12553" t="s">
        <v>43166</v>
      </c>
      <c r="O12553" t="s">
        <v>43167</v>
      </c>
      <c r="P12553">
        <v>0</v>
      </c>
      <c r="Q12553">
        <v>0</v>
      </c>
      <c r="R12553" t="s">
        <v>43185</v>
      </c>
      <c r="S12553" t="s">
        <v>43930</v>
      </c>
      <c r="T12553" t="s">
        <v>44870</v>
      </c>
      <c r="U12553" t="s">
        <v>55197</v>
      </c>
      <c r="W12553" t="s">
        <v>42904</v>
      </c>
      <c r="X12553" t="s">
        <v>43186</v>
      </c>
    </row>
    <row r="12554" spans="1:24">
      <c r="A12554">
        <f>HYPERLINK("https://www.philgeps.gov.ph/GEPSNONPILOT/Tender/SplashBidNoticeAbstractUI.aspx?menuIndex=3&amp;refID=7053097&amp;Result=3","7053097")</f>
        <v>0</v>
      </c>
      <c r="B12554" t="s">
        <v>1974</v>
      </c>
      <c r="C12554" t="s">
        <v>15422</v>
      </c>
      <c r="D12554" t="s">
        <v>17435</v>
      </c>
      <c r="E12554" t="s">
        <v>28231</v>
      </c>
      <c r="F12554" t="s">
        <v>30052</v>
      </c>
      <c r="G12554" t="s">
        <v>30058</v>
      </c>
      <c r="H12554" t="s">
        <v>15498</v>
      </c>
      <c r="I12554" t="s">
        <v>30076</v>
      </c>
      <c r="J12554" t="s">
        <v>37852</v>
      </c>
      <c r="K12554" t="s">
        <v>39019</v>
      </c>
      <c r="M12554" t="s">
        <v>41415</v>
      </c>
      <c r="N12554" t="s">
        <v>43166</v>
      </c>
      <c r="O12554" t="s">
        <v>43167</v>
      </c>
      <c r="P12554">
        <v>0</v>
      </c>
      <c r="Q12554">
        <v>6</v>
      </c>
      <c r="R12554" t="s">
        <v>43185</v>
      </c>
      <c r="S12554" t="s">
        <v>43930</v>
      </c>
      <c r="T12554" t="s">
        <v>44681</v>
      </c>
      <c r="U12554" t="s">
        <v>55198</v>
      </c>
      <c r="V12554" t="s">
        <v>57457</v>
      </c>
      <c r="W12554" t="s">
        <v>41415</v>
      </c>
      <c r="X12554" t="s">
        <v>43186</v>
      </c>
    </row>
    <row r="12555" spans="1:24">
      <c r="A12555">
        <f>HYPERLINK("https://www.philgeps.gov.ph/GEPSNONPILOT/Tender/SplashBidNoticeAbstractUI.aspx?menuIndex=3&amp;refID=7053649&amp;Result=3","7053649")</f>
        <v>0</v>
      </c>
      <c r="B12555" t="s">
        <v>2553</v>
      </c>
      <c r="C12555" t="s">
        <v>15423</v>
      </c>
      <c r="D12555" t="s">
        <v>17432</v>
      </c>
      <c r="E12555" t="s">
        <v>28200</v>
      </c>
      <c r="F12555" t="s">
        <v>30052</v>
      </c>
      <c r="G12555" t="s">
        <v>30058</v>
      </c>
      <c r="H12555" t="s">
        <v>15498</v>
      </c>
      <c r="I12555" t="s">
        <v>30100</v>
      </c>
      <c r="J12555" t="s">
        <v>37853</v>
      </c>
      <c r="K12555" t="s">
        <v>39034</v>
      </c>
      <c r="M12555" t="s">
        <v>42060</v>
      </c>
      <c r="N12555" t="s">
        <v>43166</v>
      </c>
      <c r="O12555" t="s">
        <v>43167</v>
      </c>
      <c r="P12555">
        <v>0</v>
      </c>
      <c r="Q12555">
        <v>0</v>
      </c>
      <c r="R12555" t="s">
        <v>43185</v>
      </c>
      <c r="S12555" t="s">
        <v>43930</v>
      </c>
      <c r="T12555" t="s">
        <v>44696</v>
      </c>
      <c r="U12555" t="s">
        <v>55199</v>
      </c>
      <c r="W12555" t="s">
        <v>42060</v>
      </c>
      <c r="X12555" t="s">
        <v>43186</v>
      </c>
    </row>
    <row r="12556" spans="1:24">
      <c r="A12556">
        <f>HYPERLINK("https://www.philgeps.gov.ph/GEPSNONPILOT/Tender/SplashBidNoticeAbstractUI.aspx?menuIndex=3&amp;refID=7052915&amp;Result=3","7052915")</f>
        <v>0</v>
      </c>
      <c r="B12556" t="s">
        <v>3272</v>
      </c>
      <c r="C12556" t="s">
        <v>15424</v>
      </c>
      <c r="D12556" t="s">
        <v>17459</v>
      </c>
      <c r="E12556" t="s">
        <v>28232</v>
      </c>
      <c r="F12556" t="s">
        <v>30052</v>
      </c>
      <c r="G12556" t="s">
        <v>30058</v>
      </c>
      <c r="H12556" t="s">
        <v>15498</v>
      </c>
      <c r="I12556" t="s">
        <v>3736</v>
      </c>
      <c r="J12556" t="s">
        <v>37854</v>
      </c>
      <c r="K12556" t="s">
        <v>39029</v>
      </c>
      <c r="M12556" t="s">
        <v>42905</v>
      </c>
      <c r="N12556" t="s">
        <v>43166</v>
      </c>
      <c r="O12556" t="s">
        <v>43167</v>
      </c>
      <c r="P12556">
        <v>0</v>
      </c>
      <c r="Q12556">
        <v>0</v>
      </c>
      <c r="R12556" t="s">
        <v>43185</v>
      </c>
      <c r="S12556" t="s">
        <v>43930</v>
      </c>
      <c r="T12556" t="s">
        <v>44844</v>
      </c>
      <c r="U12556" t="s">
        <v>55200</v>
      </c>
      <c r="W12556" t="s">
        <v>42905</v>
      </c>
      <c r="X12556" t="s">
        <v>43186</v>
      </c>
    </row>
    <row r="12557" spans="1:24">
      <c r="A12557">
        <f>HYPERLINK("https://www.philgeps.gov.ph/GEPSNONPILOT/Tender/SplashBidNoticeAbstractUI.aspx?menuIndex=3&amp;refID=7053742&amp;Result=3","7053742")</f>
        <v>0</v>
      </c>
      <c r="B12557" t="s">
        <v>3269</v>
      </c>
      <c r="C12557" t="s">
        <v>15425</v>
      </c>
      <c r="D12557" t="s">
        <v>17466</v>
      </c>
      <c r="E12557" t="s">
        <v>18200</v>
      </c>
      <c r="F12557" t="s">
        <v>30052</v>
      </c>
      <c r="G12557" t="s">
        <v>30058</v>
      </c>
      <c r="H12557" t="s">
        <v>15498</v>
      </c>
      <c r="I12557" t="s">
        <v>6691</v>
      </c>
      <c r="J12557" t="s">
        <v>37855</v>
      </c>
      <c r="K12557" t="s">
        <v>39017</v>
      </c>
      <c r="L12557" t="s">
        <v>3269</v>
      </c>
      <c r="M12557" t="s">
        <v>42900</v>
      </c>
      <c r="N12557" t="s">
        <v>43166</v>
      </c>
      <c r="O12557" t="s">
        <v>43167</v>
      </c>
      <c r="P12557">
        <v>0</v>
      </c>
      <c r="Q12557">
        <v>0</v>
      </c>
      <c r="R12557" t="s">
        <v>43185</v>
      </c>
      <c r="S12557" t="s">
        <v>43930</v>
      </c>
      <c r="T12557" t="s">
        <v>44710</v>
      </c>
      <c r="U12557" t="s">
        <v>55176</v>
      </c>
      <c r="V12557" t="s">
        <v>58270</v>
      </c>
      <c r="W12557" t="s">
        <v>42900</v>
      </c>
      <c r="X12557" t="s">
        <v>43186</v>
      </c>
    </row>
    <row r="12558" spans="1:24">
      <c r="A12558">
        <f>HYPERLINK("https://www.philgeps.gov.ph/GEPSNONPILOT/Tender/SplashBidNoticeAbstractUI.aspx?menuIndex=3&amp;refID=7052887&amp;Result=3","7052887")</f>
        <v>0</v>
      </c>
      <c r="B12558" t="s">
        <v>3273</v>
      </c>
      <c r="C12558" t="s">
        <v>15426</v>
      </c>
      <c r="D12558" t="s">
        <v>17459</v>
      </c>
      <c r="E12558" t="s">
        <v>28232</v>
      </c>
      <c r="F12558" t="s">
        <v>30052</v>
      </c>
      <c r="G12558" t="s">
        <v>30058</v>
      </c>
      <c r="H12558" t="s">
        <v>30067</v>
      </c>
      <c r="I12558" t="s">
        <v>3693</v>
      </c>
      <c r="J12558" t="s">
        <v>37856</v>
      </c>
      <c r="K12558" t="s">
        <v>39046</v>
      </c>
      <c r="M12558" t="s">
        <v>42906</v>
      </c>
      <c r="N12558" t="s">
        <v>43166</v>
      </c>
      <c r="O12558" t="s">
        <v>43167</v>
      </c>
      <c r="P12558">
        <v>0</v>
      </c>
      <c r="Q12558">
        <v>1</v>
      </c>
      <c r="R12558" t="s">
        <v>43185</v>
      </c>
      <c r="S12558" t="s">
        <v>43930</v>
      </c>
      <c r="T12558" t="s">
        <v>44844</v>
      </c>
      <c r="U12558" t="s">
        <v>55201</v>
      </c>
      <c r="W12558" t="s">
        <v>42906</v>
      </c>
      <c r="X12558" t="s">
        <v>43186</v>
      </c>
    </row>
    <row r="12559" spans="1:24">
      <c r="A12559">
        <f>HYPERLINK("https://www.philgeps.gov.ph/GEPSNONPILOT/Tender/SplashBidNoticeAbstractUI.aspx?menuIndex=3&amp;refID=7052284&amp;Result=3","7052284")</f>
        <v>0</v>
      </c>
      <c r="B12559" t="s">
        <v>3253</v>
      </c>
      <c r="C12559" t="s">
        <v>15427</v>
      </c>
      <c r="D12559" t="s">
        <v>17423</v>
      </c>
      <c r="E12559" t="s">
        <v>28233</v>
      </c>
      <c r="F12559" t="s">
        <v>30052</v>
      </c>
      <c r="G12559" t="s">
        <v>30058</v>
      </c>
      <c r="H12559" t="s">
        <v>30067</v>
      </c>
      <c r="I12559" t="s">
        <v>3693</v>
      </c>
      <c r="J12559" t="s">
        <v>37857</v>
      </c>
      <c r="K12559" t="s">
        <v>39058</v>
      </c>
      <c r="M12559" t="s">
        <v>42884</v>
      </c>
      <c r="N12559" t="s">
        <v>43166</v>
      </c>
      <c r="O12559" t="s">
        <v>43167</v>
      </c>
      <c r="P12559">
        <v>0</v>
      </c>
      <c r="Q12559">
        <v>0</v>
      </c>
      <c r="R12559" t="s">
        <v>43185</v>
      </c>
      <c r="S12559" t="s">
        <v>43930</v>
      </c>
      <c r="T12559" t="s">
        <v>44773</v>
      </c>
      <c r="U12559" t="s">
        <v>55202</v>
      </c>
      <c r="W12559" t="s">
        <v>42884</v>
      </c>
      <c r="X12559" t="s">
        <v>43187</v>
      </c>
    </row>
    <row r="12560" spans="1:24">
      <c r="A12560">
        <f>HYPERLINK("https://www.philgeps.gov.ph/GEPSNONPILOT/Tender/SplashBidNoticeAbstractUI.aspx?menuIndex=3&amp;refID=7053730&amp;Result=3","7053730")</f>
        <v>0</v>
      </c>
      <c r="B12560" t="s">
        <v>3269</v>
      </c>
      <c r="C12560" t="s">
        <v>15428</v>
      </c>
      <c r="D12560" t="s">
        <v>17466</v>
      </c>
      <c r="E12560" t="s">
        <v>17919</v>
      </c>
      <c r="F12560" t="s">
        <v>30052</v>
      </c>
      <c r="G12560" t="s">
        <v>30058</v>
      </c>
      <c r="H12560" t="s">
        <v>15498</v>
      </c>
      <c r="I12560" t="s">
        <v>6691</v>
      </c>
      <c r="J12560" t="s">
        <v>31014</v>
      </c>
      <c r="K12560" t="s">
        <v>39017</v>
      </c>
      <c r="L12560" t="s">
        <v>3269</v>
      </c>
      <c r="M12560" t="s">
        <v>42900</v>
      </c>
      <c r="N12560" t="s">
        <v>43166</v>
      </c>
      <c r="O12560" t="s">
        <v>43167</v>
      </c>
      <c r="P12560">
        <v>0</v>
      </c>
      <c r="Q12560">
        <v>0</v>
      </c>
      <c r="R12560" t="s">
        <v>43185</v>
      </c>
      <c r="S12560" t="s">
        <v>43930</v>
      </c>
      <c r="T12560" t="s">
        <v>44710</v>
      </c>
      <c r="U12560" t="s">
        <v>55183</v>
      </c>
      <c r="V12560" t="s">
        <v>58270</v>
      </c>
      <c r="W12560" t="s">
        <v>42900</v>
      </c>
      <c r="X12560" t="s">
        <v>43186</v>
      </c>
    </row>
    <row r="12561" spans="1:24">
      <c r="A12561">
        <f>HYPERLINK("https://www.philgeps.gov.ph/GEPSNONPILOT/Tender/SplashBidNoticeAbstractUI.aspx?menuIndex=3&amp;refID=7052262&amp;Result=3","7052262")</f>
        <v>0</v>
      </c>
      <c r="B12561" t="s">
        <v>3253</v>
      </c>
      <c r="C12561" t="s">
        <v>15429</v>
      </c>
      <c r="D12561" t="s">
        <v>17423</v>
      </c>
      <c r="E12561" t="s">
        <v>28234</v>
      </c>
      <c r="F12561" t="s">
        <v>30052</v>
      </c>
      <c r="G12561" t="s">
        <v>30058</v>
      </c>
      <c r="H12561" t="s">
        <v>30067</v>
      </c>
      <c r="I12561" t="s">
        <v>3693</v>
      </c>
      <c r="J12561" t="s">
        <v>37858</v>
      </c>
      <c r="K12561" t="s">
        <v>39079</v>
      </c>
      <c r="M12561" t="s">
        <v>42884</v>
      </c>
      <c r="N12561" t="s">
        <v>43166</v>
      </c>
      <c r="O12561" t="s">
        <v>43167</v>
      </c>
      <c r="P12561">
        <v>0</v>
      </c>
      <c r="Q12561">
        <v>0</v>
      </c>
      <c r="R12561" t="s">
        <v>43185</v>
      </c>
      <c r="S12561" t="s">
        <v>43930</v>
      </c>
      <c r="T12561" t="s">
        <v>44773</v>
      </c>
      <c r="U12561" t="s">
        <v>55203</v>
      </c>
      <c r="W12561" t="s">
        <v>42884</v>
      </c>
      <c r="X12561" t="s">
        <v>43187</v>
      </c>
    </row>
    <row r="12562" spans="1:24">
      <c r="A12562">
        <f>HYPERLINK("https://www.philgeps.gov.ph/GEPSNONPILOT/Tender/SplashBidNoticeAbstractUI.aspx?menuIndex=3&amp;refID=7058732&amp;Result=3","7058732")</f>
        <v>0</v>
      </c>
      <c r="B12562" t="s">
        <v>3274</v>
      </c>
      <c r="C12562" t="s">
        <v>15430</v>
      </c>
      <c r="D12562" t="s">
        <v>17444</v>
      </c>
      <c r="E12562" t="s">
        <v>28235</v>
      </c>
      <c r="F12562" t="s">
        <v>30052</v>
      </c>
      <c r="G12562" t="s">
        <v>30058</v>
      </c>
      <c r="H12562" t="s">
        <v>15498</v>
      </c>
      <c r="I12562" t="s">
        <v>3736</v>
      </c>
      <c r="J12562" t="s">
        <v>37859</v>
      </c>
      <c r="K12562" t="s">
        <v>39019</v>
      </c>
      <c r="M12562" t="s">
        <v>42907</v>
      </c>
      <c r="N12562" t="s">
        <v>43166</v>
      </c>
      <c r="O12562" t="s">
        <v>43167</v>
      </c>
      <c r="P12562">
        <v>0</v>
      </c>
      <c r="Q12562">
        <v>0</v>
      </c>
      <c r="R12562" t="s">
        <v>43181</v>
      </c>
      <c r="S12562" t="s">
        <v>43729</v>
      </c>
      <c r="T12562" t="s">
        <v>44806</v>
      </c>
      <c r="U12562" t="s">
        <v>55204</v>
      </c>
      <c r="V12562" t="s">
        <v>58275</v>
      </c>
      <c r="W12562" t="s">
        <v>42907</v>
      </c>
      <c r="X12562" t="s">
        <v>43183</v>
      </c>
    </row>
    <row r="12563" spans="1:24">
      <c r="A12563">
        <f>HYPERLINK("https://www.philgeps.gov.ph/GEPSNONPILOT/Tender/SplashBidNoticeAbstractUI.aspx?menuIndex=3&amp;refID=7058720&amp;Result=3","7058720")</f>
        <v>0</v>
      </c>
      <c r="B12563" t="s">
        <v>3200</v>
      </c>
      <c r="C12563" t="s">
        <v>15431</v>
      </c>
      <c r="D12563" t="s">
        <v>17414</v>
      </c>
      <c r="E12563" t="s">
        <v>28236</v>
      </c>
      <c r="F12563" t="s">
        <v>30052</v>
      </c>
      <c r="G12563" t="s">
        <v>30058</v>
      </c>
      <c r="H12563" t="s">
        <v>15498</v>
      </c>
      <c r="I12563" t="s">
        <v>30097</v>
      </c>
      <c r="J12563" t="s">
        <v>30827</v>
      </c>
      <c r="K12563" t="s">
        <v>39034</v>
      </c>
      <c r="M12563" t="s">
        <v>42819</v>
      </c>
      <c r="N12563" t="s">
        <v>43166</v>
      </c>
      <c r="O12563" t="s">
        <v>43167</v>
      </c>
      <c r="P12563">
        <v>0</v>
      </c>
      <c r="Q12563">
        <v>3</v>
      </c>
      <c r="R12563" t="s">
        <v>43181</v>
      </c>
      <c r="S12563" t="s">
        <v>43729</v>
      </c>
      <c r="T12563" t="s">
        <v>44856</v>
      </c>
      <c r="U12563" t="s">
        <v>55205</v>
      </c>
      <c r="W12563" t="s">
        <v>42819</v>
      </c>
      <c r="X12563" t="s">
        <v>43183</v>
      </c>
    </row>
    <row r="12564" spans="1:24">
      <c r="A12564">
        <f>HYPERLINK("https://www.philgeps.gov.ph/GEPSNONPILOT/Tender/SplashBidNoticeAbstractUI.aspx?menuIndex=3&amp;refID=7052871&amp;Result=3","7052871")</f>
        <v>0</v>
      </c>
      <c r="B12564" t="s">
        <v>3215</v>
      </c>
      <c r="C12564" t="s">
        <v>15432</v>
      </c>
      <c r="E12564" t="s">
        <v>28237</v>
      </c>
      <c r="F12564" t="s">
        <v>30052</v>
      </c>
      <c r="G12564" t="s">
        <v>30058</v>
      </c>
      <c r="H12564" t="s">
        <v>15498</v>
      </c>
      <c r="I12564" t="s">
        <v>30130</v>
      </c>
      <c r="J12564" t="s">
        <v>37860</v>
      </c>
      <c r="K12564" t="s">
        <v>39025</v>
      </c>
      <c r="M12564" t="s">
        <v>42838</v>
      </c>
      <c r="N12564" t="s">
        <v>43166</v>
      </c>
      <c r="O12564" t="s">
        <v>43167</v>
      </c>
      <c r="Q12564">
        <v>26</v>
      </c>
      <c r="R12564" t="s">
        <v>43185</v>
      </c>
      <c r="S12564" t="s">
        <v>43969</v>
      </c>
      <c r="T12564" t="s">
        <v>44941</v>
      </c>
      <c r="U12564" t="s">
        <v>55206</v>
      </c>
      <c r="V12564" t="s">
        <v>58276</v>
      </c>
      <c r="W12564" t="s">
        <v>42838</v>
      </c>
      <c r="X12564" t="s">
        <v>43186</v>
      </c>
    </row>
    <row r="12565" spans="1:24">
      <c r="A12565">
        <f>HYPERLINK("https://www.philgeps.gov.ph/GEPSNONPILOT/Tender/SplashBidNoticeAbstractUI.aspx?menuIndex=3&amp;refID=7058693&amp;Result=3","7058693")</f>
        <v>0</v>
      </c>
      <c r="B12565" t="s">
        <v>3275</v>
      </c>
      <c r="C12565" t="s">
        <v>15433</v>
      </c>
      <c r="E12565" t="s">
        <v>28238</v>
      </c>
      <c r="F12565" t="s">
        <v>30052</v>
      </c>
      <c r="G12565" t="s">
        <v>30058</v>
      </c>
      <c r="H12565" t="s">
        <v>15498</v>
      </c>
      <c r="I12565" t="s">
        <v>8323</v>
      </c>
      <c r="J12565" t="s">
        <v>37861</v>
      </c>
      <c r="K12565" t="s">
        <v>39025</v>
      </c>
      <c r="M12565" t="s">
        <v>42908</v>
      </c>
      <c r="N12565" t="s">
        <v>43166</v>
      </c>
      <c r="O12565" t="s">
        <v>43167</v>
      </c>
      <c r="Q12565">
        <v>18</v>
      </c>
      <c r="R12565" t="s">
        <v>43181</v>
      </c>
      <c r="S12565" t="s">
        <v>43783</v>
      </c>
      <c r="T12565" t="s">
        <v>44764</v>
      </c>
      <c r="U12565" t="s">
        <v>55207</v>
      </c>
      <c r="W12565" t="s">
        <v>42908</v>
      </c>
      <c r="X12565" t="s">
        <v>43183</v>
      </c>
    </row>
    <row r="12566" spans="1:24">
      <c r="A12566">
        <f>HYPERLINK("https://www.philgeps.gov.ph/GEPSNONPILOT/Tender/SplashBidNoticeAbstractUI.aspx?menuIndex=3&amp;refID=7053100&amp;Result=3","7053100")</f>
        <v>0</v>
      </c>
      <c r="B12566" t="s">
        <v>1600</v>
      </c>
      <c r="C12566" t="s">
        <v>15434</v>
      </c>
      <c r="D12566" t="s">
        <v>17441</v>
      </c>
      <c r="E12566" t="s">
        <v>28239</v>
      </c>
      <c r="F12566" t="s">
        <v>30052</v>
      </c>
      <c r="G12566" t="s">
        <v>30058</v>
      </c>
      <c r="H12566" t="s">
        <v>30067</v>
      </c>
      <c r="I12566" t="s">
        <v>3693</v>
      </c>
      <c r="J12566" t="s">
        <v>37862</v>
      </c>
      <c r="K12566" t="s">
        <v>39046</v>
      </c>
      <c r="M12566" t="s">
        <v>40998</v>
      </c>
      <c r="N12566" t="s">
        <v>43166</v>
      </c>
      <c r="O12566" t="s">
        <v>43167</v>
      </c>
      <c r="P12566">
        <v>0</v>
      </c>
      <c r="Q12566">
        <v>16</v>
      </c>
      <c r="R12566" t="s">
        <v>43185</v>
      </c>
      <c r="S12566" t="s">
        <v>43930</v>
      </c>
      <c r="T12566" t="s">
        <v>44773</v>
      </c>
      <c r="U12566" t="s">
        <v>55208</v>
      </c>
      <c r="V12566" t="s">
        <v>58181</v>
      </c>
      <c r="W12566" t="s">
        <v>40998</v>
      </c>
      <c r="X12566" t="s">
        <v>43186</v>
      </c>
    </row>
    <row r="12567" spans="1:24">
      <c r="A12567">
        <f>HYPERLINK("https://www.philgeps.gov.ph/GEPSNONPILOT/Tender/SplashBidNoticeAbstractUI.aspx?menuIndex=3&amp;refID=7058684&amp;Result=3","7058684")</f>
        <v>0</v>
      </c>
      <c r="B12567" t="s">
        <v>3275</v>
      </c>
      <c r="C12567" t="s">
        <v>15435</v>
      </c>
      <c r="E12567" t="s">
        <v>28240</v>
      </c>
      <c r="F12567" t="s">
        <v>30052</v>
      </c>
      <c r="G12567" t="s">
        <v>30058</v>
      </c>
      <c r="H12567" t="s">
        <v>15498</v>
      </c>
      <c r="I12567" t="s">
        <v>3606</v>
      </c>
      <c r="J12567" t="s">
        <v>37863</v>
      </c>
      <c r="K12567" t="s">
        <v>39025</v>
      </c>
      <c r="M12567" t="s">
        <v>42908</v>
      </c>
      <c r="N12567" t="s">
        <v>43166</v>
      </c>
      <c r="O12567" t="s">
        <v>43167</v>
      </c>
      <c r="Q12567">
        <v>22</v>
      </c>
      <c r="R12567" t="s">
        <v>43181</v>
      </c>
      <c r="S12567" t="s">
        <v>43970</v>
      </c>
      <c r="T12567" t="s">
        <v>44764</v>
      </c>
      <c r="U12567" t="s">
        <v>55207</v>
      </c>
      <c r="W12567" t="s">
        <v>42908</v>
      </c>
      <c r="X12567" t="s">
        <v>43183</v>
      </c>
    </row>
    <row r="12568" spans="1:24">
      <c r="A12568">
        <f>HYPERLINK("https://www.philgeps.gov.ph/GEPSNONPILOT/Tender/SplashBidNoticeAbstractUI.aspx?menuIndex=3&amp;refID=7058680&amp;Result=3","7058680")</f>
        <v>0</v>
      </c>
      <c r="B12568" t="s">
        <v>3275</v>
      </c>
      <c r="C12568" t="s">
        <v>15436</v>
      </c>
      <c r="E12568" t="s">
        <v>28241</v>
      </c>
      <c r="F12568" t="s">
        <v>30052</v>
      </c>
      <c r="G12568" t="s">
        <v>30058</v>
      </c>
      <c r="H12568" t="s">
        <v>15498</v>
      </c>
      <c r="I12568" t="s">
        <v>3606</v>
      </c>
      <c r="J12568" t="s">
        <v>37864</v>
      </c>
      <c r="K12568" t="s">
        <v>39025</v>
      </c>
      <c r="M12568" t="s">
        <v>42908</v>
      </c>
      <c r="N12568" t="s">
        <v>43166</v>
      </c>
      <c r="O12568" t="s">
        <v>43167</v>
      </c>
      <c r="Q12568">
        <v>12</v>
      </c>
      <c r="R12568" t="s">
        <v>43181</v>
      </c>
      <c r="S12568" t="s">
        <v>43949</v>
      </c>
      <c r="T12568" t="s">
        <v>44764</v>
      </c>
      <c r="U12568" t="s">
        <v>55207</v>
      </c>
      <c r="W12568" t="s">
        <v>42908</v>
      </c>
      <c r="X12568" t="s">
        <v>43183</v>
      </c>
    </row>
    <row r="12569" spans="1:24">
      <c r="A12569">
        <f>HYPERLINK("https://www.philgeps.gov.ph/GEPSNONPILOT/Tender/SplashBidNoticeAbstractUI.aspx?menuIndex=3&amp;refID=7057409&amp;Result=3","7057409")</f>
        <v>0</v>
      </c>
      <c r="B12569" t="s">
        <v>2098</v>
      </c>
      <c r="C12569" t="s">
        <v>9718</v>
      </c>
      <c r="D12569" t="s">
        <v>17414</v>
      </c>
      <c r="E12569" t="s">
        <v>28242</v>
      </c>
      <c r="F12569" t="s">
        <v>30052</v>
      </c>
      <c r="G12569" t="s">
        <v>30058</v>
      </c>
      <c r="H12569" t="s">
        <v>15498</v>
      </c>
      <c r="I12569" t="s">
        <v>30074</v>
      </c>
      <c r="J12569" t="s">
        <v>37865</v>
      </c>
      <c r="K12569" t="s">
        <v>39029</v>
      </c>
      <c r="M12569" t="s">
        <v>41560</v>
      </c>
      <c r="N12569" t="s">
        <v>43166</v>
      </c>
      <c r="O12569" t="s">
        <v>43167</v>
      </c>
      <c r="P12569">
        <v>0</v>
      </c>
      <c r="Q12569">
        <v>4</v>
      </c>
      <c r="R12569" t="s">
        <v>43181</v>
      </c>
      <c r="S12569" t="s">
        <v>43729</v>
      </c>
      <c r="T12569" t="s">
        <v>45129</v>
      </c>
      <c r="U12569" t="s">
        <v>50517</v>
      </c>
      <c r="V12569" t="s">
        <v>58277</v>
      </c>
      <c r="W12569" t="s">
        <v>41560</v>
      </c>
      <c r="X12569" t="s">
        <v>43185</v>
      </c>
    </row>
    <row r="12570" spans="1:24">
      <c r="A12570">
        <f>HYPERLINK("https://www.philgeps.gov.ph/GEPSNONPILOT/Tender/SplashBidNoticeAbstractUI.aspx?menuIndex=3&amp;refID=7057381&amp;Result=3","7057381")</f>
        <v>0</v>
      </c>
      <c r="B12570" t="s">
        <v>2098</v>
      </c>
      <c r="C12570" t="s">
        <v>15437</v>
      </c>
      <c r="D12570" t="s">
        <v>17414</v>
      </c>
      <c r="E12570" t="s">
        <v>28243</v>
      </c>
      <c r="F12570" t="s">
        <v>30052</v>
      </c>
      <c r="G12570" t="s">
        <v>30058</v>
      </c>
      <c r="H12570" t="s">
        <v>15498</v>
      </c>
      <c r="I12570" t="s">
        <v>30072</v>
      </c>
      <c r="J12570" t="s">
        <v>30856</v>
      </c>
      <c r="K12570" t="s">
        <v>39017</v>
      </c>
      <c r="M12570" t="s">
        <v>41560</v>
      </c>
      <c r="N12570" t="s">
        <v>43166</v>
      </c>
      <c r="O12570" t="s">
        <v>43167</v>
      </c>
      <c r="P12570">
        <v>0</v>
      </c>
      <c r="Q12570">
        <v>0</v>
      </c>
      <c r="R12570" t="s">
        <v>43181</v>
      </c>
      <c r="S12570" t="s">
        <v>43729</v>
      </c>
      <c r="T12570" t="s">
        <v>45129</v>
      </c>
      <c r="U12570" t="s">
        <v>50520</v>
      </c>
      <c r="V12570" t="s">
        <v>58278</v>
      </c>
      <c r="W12570" t="s">
        <v>41560</v>
      </c>
      <c r="X12570" t="s">
        <v>43185</v>
      </c>
    </row>
    <row r="12571" spans="1:24">
      <c r="A12571">
        <f>HYPERLINK("https://www.philgeps.gov.ph/GEPSNONPILOT/Tender/SplashBidNoticeAbstractUI.aspx?menuIndex=3&amp;refID=7057369&amp;Result=3","7057369")</f>
        <v>0</v>
      </c>
      <c r="B12571" t="s">
        <v>2098</v>
      </c>
      <c r="C12571" t="s">
        <v>9718</v>
      </c>
      <c r="D12571" t="s">
        <v>17414</v>
      </c>
      <c r="E12571" t="s">
        <v>28244</v>
      </c>
      <c r="F12571" t="s">
        <v>30052</v>
      </c>
      <c r="G12571" t="s">
        <v>30058</v>
      </c>
      <c r="H12571" t="s">
        <v>15498</v>
      </c>
      <c r="I12571" t="s">
        <v>30074</v>
      </c>
      <c r="J12571" t="s">
        <v>30683</v>
      </c>
      <c r="K12571" t="s">
        <v>39029</v>
      </c>
      <c r="M12571" t="s">
        <v>41560</v>
      </c>
      <c r="N12571" t="s">
        <v>43166</v>
      </c>
      <c r="O12571" t="s">
        <v>43167</v>
      </c>
      <c r="P12571">
        <v>0</v>
      </c>
      <c r="Q12571">
        <v>2</v>
      </c>
      <c r="R12571" t="s">
        <v>43181</v>
      </c>
      <c r="S12571" t="s">
        <v>43729</v>
      </c>
      <c r="T12571" t="s">
        <v>45129</v>
      </c>
      <c r="U12571" t="s">
        <v>50520</v>
      </c>
      <c r="V12571" t="s">
        <v>58279</v>
      </c>
      <c r="W12571" t="s">
        <v>41560</v>
      </c>
      <c r="X12571" t="s">
        <v>43185</v>
      </c>
    </row>
    <row r="12572" spans="1:24">
      <c r="A12572">
        <f>HYPERLINK("https://www.philgeps.gov.ph/GEPSNONPILOT/Tender/SplashBidNoticeAbstractUI.aspx?menuIndex=3&amp;refID=7057288&amp;Result=3","7057288")</f>
        <v>0</v>
      </c>
      <c r="B12572" t="s">
        <v>530</v>
      </c>
      <c r="C12572" t="s">
        <v>15438</v>
      </c>
      <c r="D12572" t="s">
        <v>17445</v>
      </c>
      <c r="E12572" t="s">
        <v>28245</v>
      </c>
      <c r="F12572" t="s">
        <v>30052</v>
      </c>
      <c r="G12572" t="s">
        <v>30058</v>
      </c>
      <c r="H12572" t="s">
        <v>15498</v>
      </c>
      <c r="I12572" t="s">
        <v>30097</v>
      </c>
      <c r="J12572" t="s">
        <v>37866</v>
      </c>
      <c r="K12572" t="s">
        <v>39017</v>
      </c>
      <c r="M12572" t="s">
        <v>39832</v>
      </c>
      <c r="N12572" t="s">
        <v>43166</v>
      </c>
      <c r="O12572" t="s">
        <v>43167</v>
      </c>
      <c r="P12572">
        <v>0</v>
      </c>
      <c r="Q12572">
        <v>5</v>
      </c>
      <c r="R12572" t="s">
        <v>43181</v>
      </c>
      <c r="S12572" t="s">
        <v>43729</v>
      </c>
      <c r="T12572" t="s">
        <v>44704</v>
      </c>
      <c r="U12572" t="s">
        <v>55209</v>
      </c>
      <c r="W12572" t="s">
        <v>39832</v>
      </c>
      <c r="X12572" t="s">
        <v>43185</v>
      </c>
    </row>
    <row r="12573" spans="1:24">
      <c r="A12573">
        <f>HYPERLINK("https://www.philgeps.gov.ph/GEPSNONPILOT/Tender/SplashBidNoticeAbstractUI.aspx?menuIndex=3&amp;refID=7057347&amp;Result=3","7057347")</f>
        <v>0</v>
      </c>
      <c r="B12573" t="s">
        <v>530</v>
      </c>
      <c r="C12573" t="s">
        <v>15439</v>
      </c>
      <c r="D12573" t="s">
        <v>17445</v>
      </c>
      <c r="E12573" t="s">
        <v>28246</v>
      </c>
      <c r="F12573" t="s">
        <v>30052</v>
      </c>
      <c r="G12573" t="s">
        <v>30058</v>
      </c>
      <c r="H12573" t="s">
        <v>15498</v>
      </c>
      <c r="I12573" t="s">
        <v>3736</v>
      </c>
      <c r="J12573" t="s">
        <v>37867</v>
      </c>
      <c r="K12573" t="s">
        <v>39017</v>
      </c>
      <c r="M12573" t="s">
        <v>39832</v>
      </c>
      <c r="N12573" t="s">
        <v>43166</v>
      </c>
      <c r="O12573" t="s">
        <v>43167</v>
      </c>
      <c r="P12573">
        <v>0</v>
      </c>
      <c r="Q12573">
        <v>3</v>
      </c>
      <c r="R12573" t="s">
        <v>43181</v>
      </c>
      <c r="S12573" t="s">
        <v>43729</v>
      </c>
      <c r="T12573" t="s">
        <v>44704</v>
      </c>
      <c r="U12573" t="s">
        <v>55210</v>
      </c>
      <c r="W12573" t="s">
        <v>39832</v>
      </c>
      <c r="X12573" t="s">
        <v>43185</v>
      </c>
    </row>
    <row r="12574" spans="1:24">
      <c r="A12574">
        <f>HYPERLINK("https://www.philgeps.gov.ph/GEPSNONPILOT/Tender/SplashBidNoticeAbstractUI.aspx?menuIndex=3&amp;refID=7057026&amp;Result=3","7057026")</f>
        <v>0</v>
      </c>
      <c r="B12574" t="s">
        <v>216</v>
      </c>
      <c r="C12574" t="s">
        <v>15440</v>
      </c>
      <c r="D12574" t="s">
        <v>17419</v>
      </c>
      <c r="E12574" t="s">
        <v>28247</v>
      </c>
      <c r="F12574" t="s">
        <v>30052</v>
      </c>
      <c r="G12574" t="s">
        <v>30058</v>
      </c>
      <c r="H12574" t="s">
        <v>30068</v>
      </c>
      <c r="I12574" t="s">
        <v>30068</v>
      </c>
      <c r="J12574" t="s">
        <v>37868</v>
      </c>
      <c r="K12574" t="s">
        <v>39100</v>
      </c>
      <c r="M12574" t="s">
        <v>39506</v>
      </c>
      <c r="N12574" t="s">
        <v>43166</v>
      </c>
      <c r="O12574" t="s">
        <v>43167</v>
      </c>
      <c r="P12574">
        <v>0</v>
      </c>
      <c r="Q12574">
        <v>4</v>
      </c>
      <c r="R12574" t="s">
        <v>43181</v>
      </c>
      <c r="S12574" t="s">
        <v>43729</v>
      </c>
      <c r="T12574" t="s">
        <v>44796</v>
      </c>
      <c r="U12574" t="s">
        <v>55211</v>
      </c>
      <c r="W12574" t="s">
        <v>39506</v>
      </c>
      <c r="X12574" t="s">
        <v>43185</v>
      </c>
    </row>
    <row r="12575" spans="1:24">
      <c r="A12575">
        <f>HYPERLINK("https://www.philgeps.gov.ph/GEPSNONPILOT/Tender/SplashBidNoticeAbstractUI.aspx?menuIndex=3&amp;refID=7037492-2&amp;Result=3","7037492-2")</f>
        <v>0</v>
      </c>
      <c r="B12575" t="s">
        <v>1236</v>
      </c>
      <c r="C12575" t="s">
        <v>15441</v>
      </c>
      <c r="D12575" t="s">
        <v>17425</v>
      </c>
      <c r="E12575" t="s">
        <v>28248</v>
      </c>
      <c r="F12575" t="s">
        <v>30052</v>
      </c>
      <c r="G12575" t="s">
        <v>30058</v>
      </c>
      <c r="H12575" t="s">
        <v>30068</v>
      </c>
      <c r="I12575" t="s">
        <v>30068</v>
      </c>
      <c r="J12575" t="s">
        <v>37869</v>
      </c>
      <c r="K12575" t="s">
        <v>39029</v>
      </c>
      <c r="M12575" t="s">
        <v>42706</v>
      </c>
      <c r="N12575" t="s">
        <v>43166</v>
      </c>
      <c r="O12575" t="s">
        <v>43167</v>
      </c>
      <c r="P12575">
        <v>0</v>
      </c>
      <c r="Q12575">
        <v>1</v>
      </c>
      <c r="R12575" t="s">
        <v>43181</v>
      </c>
      <c r="S12575" t="s">
        <v>43729</v>
      </c>
      <c r="T12575" t="s">
        <v>44717</v>
      </c>
      <c r="U12575" t="s">
        <v>55212</v>
      </c>
      <c r="W12575" t="s">
        <v>42706</v>
      </c>
      <c r="X12575" t="s">
        <v>43182</v>
      </c>
    </row>
    <row r="12576" spans="1:24">
      <c r="A12576">
        <f>HYPERLINK("https://www.philgeps.gov.ph/GEPSNONPILOT/Tender/SplashBidNoticeAbstractUI.aspx?menuIndex=3&amp;refID=7052282&amp;Result=3","7052282")</f>
        <v>0</v>
      </c>
      <c r="B12576" t="s">
        <v>2123</v>
      </c>
      <c r="C12576" t="s">
        <v>15442</v>
      </c>
      <c r="D12576" t="s">
        <v>17414</v>
      </c>
      <c r="E12576" t="s">
        <v>28249</v>
      </c>
      <c r="F12576" t="s">
        <v>30052</v>
      </c>
      <c r="G12576" t="s">
        <v>30058</v>
      </c>
      <c r="H12576" t="s">
        <v>30067</v>
      </c>
      <c r="I12576" t="s">
        <v>3693</v>
      </c>
      <c r="J12576" t="s">
        <v>37870</v>
      </c>
      <c r="K12576" t="s">
        <v>39281</v>
      </c>
      <c r="M12576" t="s">
        <v>41587</v>
      </c>
      <c r="N12576" t="s">
        <v>43166</v>
      </c>
      <c r="O12576" t="s">
        <v>43167</v>
      </c>
      <c r="P12576">
        <v>0</v>
      </c>
      <c r="Q12576">
        <v>1</v>
      </c>
      <c r="R12576" t="s">
        <v>43185</v>
      </c>
      <c r="S12576" t="s">
        <v>43930</v>
      </c>
      <c r="T12576" t="s">
        <v>44773</v>
      </c>
      <c r="U12576" t="s">
        <v>51684</v>
      </c>
      <c r="V12576" t="s">
        <v>57525</v>
      </c>
      <c r="W12576" t="s">
        <v>41587</v>
      </c>
      <c r="X12576" t="s">
        <v>43187</v>
      </c>
    </row>
    <row r="12577" spans="1:24">
      <c r="A12577">
        <f>HYPERLINK("https://www.philgeps.gov.ph/GEPSNONPILOT/Tender/SplashBidNoticeAbstractUI.aspx?menuIndex=3&amp;refID=7032302-2&amp;Result=3","7032302-2")</f>
        <v>0</v>
      </c>
      <c r="B12577" t="s">
        <v>1658</v>
      </c>
      <c r="C12577" t="s">
        <v>15443</v>
      </c>
      <c r="E12577" t="s">
        <v>28250</v>
      </c>
      <c r="F12577" t="s">
        <v>30052</v>
      </c>
      <c r="G12577" t="s">
        <v>30058</v>
      </c>
      <c r="H12577" t="s">
        <v>30068</v>
      </c>
      <c r="I12577" t="s">
        <v>30068</v>
      </c>
      <c r="J12577" t="s">
        <v>37871</v>
      </c>
      <c r="K12577" t="s">
        <v>39025</v>
      </c>
      <c r="M12577" t="s">
        <v>41063</v>
      </c>
      <c r="N12577" t="s">
        <v>43166</v>
      </c>
      <c r="O12577" t="s">
        <v>43167</v>
      </c>
      <c r="Q12577">
        <v>0</v>
      </c>
      <c r="R12577" t="s">
        <v>43181</v>
      </c>
      <c r="S12577" t="s">
        <v>43971</v>
      </c>
      <c r="T12577" t="s">
        <v>44681</v>
      </c>
      <c r="U12577" t="s">
        <v>55213</v>
      </c>
      <c r="V12577" t="s">
        <v>58280</v>
      </c>
      <c r="W12577" t="s">
        <v>41063</v>
      </c>
      <c r="X12577" t="s">
        <v>43182</v>
      </c>
    </row>
    <row r="12578" spans="1:24">
      <c r="A12578">
        <f>HYPERLINK("https://www.philgeps.gov.ph/GEPSNONPILOT/Tender/SplashBidNoticeAbstractUI.aspx?menuIndex=3&amp;refID=7057383&amp;Result=3","7057383")</f>
        <v>0</v>
      </c>
      <c r="B12578" t="s">
        <v>1689</v>
      </c>
      <c r="C12578" t="s">
        <v>15444</v>
      </c>
      <c r="D12578" t="s">
        <v>17474</v>
      </c>
      <c r="E12578" t="s">
        <v>28251</v>
      </c>
      <c r="F12578" t="s">
        <v>30052</v>
      </c>
      <c r="G12578" t="s">
        <v>30058</v>
      </c>
      <c r="H12578" t="s">
        <v>15498</v>
      </c>
      <c r="I12578" t="s">
        <v>30074</v>
      </c>
      <c r="J12578" t="s">
        <v>30281</v>
      </c>
      <c r="K12578" t="s">
        <v>39029</v>
      </c>
      <c r="M12578" t="s">
        <v>41098</v>
      </c>
      <c r="N12578" t="s">
        <v>43166</v>
      </c>
      <c r="O12578" t="s">
        <v>43167</v>
      </c>
      <c r="P12578">
        <v>0</v>
      </c>
      <c r="Q12578">
        <v>3</v>
      </c>
      <c r="R12578" t="s">
        <v>43181</v>
      </c>
      <c r="S12578" t="s">
        <v>43729</v>
      </c>
      <c r="T12578" t="s">
        <v>44753</v>
      </c>
      <c r="U12578" t="s">
        <v>55214</v>
      </c>
      <c r="W12578" t="s">
        <v>41098</v>
      </c>
      <c r="X12578" t="s">
        <v>43185</v>
      </c>
    </row>
    <row r="12579" spans="1:24">
      <c r="A12579">
        <f>HYPERLINK("https://www.philgeps.gov.ph/GEPSNONPILOT/Tender/SplashBidNoticeAbstractUI.aspx?menuIndex=3&amp;refID=7064546&amp;Result=3","7064546")</f>
        <v>0</v>
      </c>
      <c r="B12579" t="s">
        <v>2091</v>
      </c>
      <c r="C12579" t="s">
        <v>15445</v>
      </c>
      <c r="D12579" t="s">
        <v>17414</v>
      </c>
      <c r="E12579" t="s">
        <v>28252</v>
      </c>
      <c r="F12579" t="s">
        <v>30052</v>
      </c>
      <c r="G12579" t="s">
        <v>30058</v>
      </c>
      <c r="H12579" t="s">
        <v>15498</v>
      </c>
      <c r="I12579" t="s">
        <v>30091</v>
      </c>
      <c r="J12579" t="s">
        <v>37872</v>
      </c>
      <c r="K12579" t="s">
        <v>39031</v>
      </c>
      <c r="M12579" t="s">
        <v>41553</v>
      </c>
      <c r="N12579" t="s">
        <v>43166</v>
      </c>
      <c r="O12579" t="s">
        <v>43167</v>
      </c>
      <c r="P12579">
        <v>0</v>
      </c>
      <c r="Q12579">
        <v>7</v>
      </c>
      <c r="R12579" t="s">
        <v>43180</v>
      </c>
      <c r="S12579" t="s">
        <v>43646</v>
      </c>
      <c r="T12579" t="s">
        <v>44689</v>
      </c>
      <c r="U12579" t="s">
        <v>54247</v>
      </c>
      <c r="W12579" t="s">
        <v>42702</v>
      </c>
      <c r="X12579" t="s">
        <v>43181</v>
      </c>
    </row>
    <row r="12580" spans="1:24">
      <c r="A12580">
        <f>HYPERLINK("https://www.philgeps.gov.ph/GEPSNONPILOT/Tender/SplashBidNoticeAbstractUI.aspx?menuIndex=3&amp;refID=7064435&amp;Result=3","7064435")</f>
        <v>0</v>
      </c>
      <c r="B12580" t="s">
        <v>917</v>
      </c>
      <c r="C12580" t="s">
        <v>15446</v>
      </c>
      <c r="E12580" t="s">
        <v>28253</v>
      </c>
      <c r="F12580" t="s">
        <v>30052</v>
      </c>
      <c r="G12580" t="s">
        <v>30063</v>
      </c>
      <c r="H12580" t="s">
        <v>15498</v>
      </c>
      <c r="I12580" t="s">
        <v>30157</v>
      </c>
      <c r="J12580" t="s">
        <v>37551</v>
      </c>
      <c r="K12580" t="s">
        <v>39025</v>
      </c>
      <c r="M12580" t="s">
        <v>42833</v>
      </c>
      <c r="N12580" t="s">
        <v>43166</v>
      </c>
      <c r="O12580" t="s">
        <v>43167</v>
      </c>
      <c r="Q12580">
        <v>8</v>
      </c>
      <c r="R12580" t="s">
        <v>43180</v>
      </c>
      <c r="S12580" t="s">
        <v>43972</v>
      </c>
      <c r="T12580" t="s">
        <v>44780</v>
      </c>
      <c r="U12580" t="s">
        <v>55215</v>
      </c>
      <c r="V12580" t="s">
        <v>58281</v>
      </c>
      <c r="W12580" t="s">
        <v>42833</v>
      </c>
      <c r="X12580" t="s">
        <v>43181</v>
      </c>
    </row>
    <row r="12581" spans="1:24">
      <c r="A12581">
        <f>HYPERLINK("https://www.philgeps.gov.ph/GEPSNONPILOT/Tender/SplashBidNoticeAbstractUI.aspx?menuIndex=3&amp;refID=7052918&amp;Result=3","7052918")</f>
        <v>0</v>
      </c>
      <c r="B12581" t="s">
        <v>751</v>
      </c>
      <c r="C12581" t="s">
        <v>8134</v>
      </c>
      <c r="D12581" t="s">
        <v>17485</v>
      </c>
      <c r="E12581" t="s">
        <v>28254</v>
      </c>
      <c r="F12581" t="s">
        <v>30052</v>
      </c>
      <c r="G12581" t="s">
        <v>30058</v>
      </c>
      <c r="H12581" t="s">
        <v>15498</v>
      </c>
      <c r="I12581" t="s">
        <v>9238</v>
      </c>
      <c r="J12581" t="s">
        <v>37873</v>
      </c>
      <c r="K12581" t="s">
        <v>39025</v>
      </c>
      <c r="M12581" t="s">
        <v>40065</v>
      </c>
      <c r="N12581" t="s">
        <v>43166</v>
      </c>
      <c r="O12581" t="s">
        <v>43167</v>
      </c>
      <c r="P12581">
        <v>0</v>
      </c>
      <c r="Q12581">
        <v>6</v>
      </c>
      <c r="R12581" t="s">
        <v>43185</v>
      </c>
      <c r="S12581" t="s">
        <v>43930</v>
      </c>
      <c r="T12581" t="s">
        <v>44804</v>
      </c>
      <c r="U12581" t="s">
        <v>55216</v>
      </c>
      <c r="W12581" t="s">
        <v>40065</v>
      </c>
      <c r="X12581" t="s">
        <v>43186</v>
      </c>
    </row>
    <row r="12582" spans="1:24">
      <c r="A12582">
        <f>HYPERLINK("https://www.philgeps.gov.ph/GEPSNONPILOT/Tender/SplashBidNoticeAbstractUI.aspx?menuIndex=3&amp;refID=7064335&amp;Result=3","7064335")</f>
        <v>0</v>
      </c>
      <c r="B12582" t="s">
        <v>3090</v>
      </c>
      <c r="C12582" t="s">
        <v>15447</v>
      </c>
      <c r="D12582" t="s">
        <v>17453</v>
      </c>
      <c r="E12582" t="s">
        <v>28255</v>
      </c>
      <c r="F12582" t="s">
        <v>30052</v>
      </c>
      <c r="G12582" t="s">
        <v>30058</v>
      </c>
      <c r="H12582" t="s">
        <v>30067</v>
      </c>
      <c r="I12582" t="s">
        <v>3693</v>
      </c>
      <c r="J12582" t="s">
        <v>30292</v>
      </c>
      <c r="K12582" t="s">
        <v>39037</v>
      </c>
      <c r="M12582" t="s">
        <v>42674</v>
      </c>
      <c r="N12582" t="s">
        <v>43166</v>
      </c>
      <c r="O12582" t="s">
        <v>43167</v>
      </c>
      <c r="P12582">
        <v>0</v>
      </c>
      <c r="Q12582">
        <v>0</v>
      </c>
      <c r="R12582" t="s">
        <v>43180</v>
      </c>
      <c r="S12582" t="s">
        <v>43646</v>
      </c>
      <c r="T12582" t="s">
        <v>44699</v>
      </c>
      <c r="U12582" t="s">
        <v>54244</v>
      </c>
      <c r="V12582" t="s">
        <v>58089</v>
      </c>
      <c r="W12582" t="s">
        <v>42674</v>
      </c>
      <c r="X12582" t="s">
        <v>43181</v>
      </c>
    </row>
    <row r="12583" spans="1:24">
      <c r="A12583">
        <f>HYPERLINK("https://www.philgeps.gov.ph/GEPSNONPILOT/Tender/SplashBidNoticeAbstractUI.aspx?menuIndex=3&amp;refID=7064334&amp;Result=3","7064334")</f>
        <v>0</v>
      </c>
      <c r="B12583" t="s">
        <v>3090</v>
      </c>
      <c r="C12583" t="s">
        <v>15448</v>
      </c>
      <c r="D12583" t="s">
        <v>17453</v>
      </c>
      <c r="E12583" t="s">
        <v>28256</v>
      </c>
      <c r="F12583" t="s">
        <v>30052</v>
      </c>
      <c r="G12583" t="s">
        <v>30058</v>
      </c>
      <c r="H12583" t="s">
        <v>30067</v>
      </c>
      <c r="I12583" t="s">
        <v>3693</v>
      </c>
      <c r="J12583" t="s">
        <v>30292</v>
      </c>
      <c r="K12583" t="s">
        <v>39037</v>
      </c>
      <c r="M12583" t="s">
        <v>42674</v>
      </c>
      <c r="N12583" t="s">
        <v>43166</v>
      </c>
      <c r="O12583" t="s">
        <v>43167</v>
      </c>
      <c r="P12583">
        <v>0</v>
      </c>
      <c r="Q12583">
        <v>0</v>
      </c>
      <c r="R12583" t="s">
        <v>43180</v>
      </c>
      <c r="S12583" t="s">
        <v>43646</v>
      </c>
      <c r="T12583" t="s">
        <v>44699</v>
      </c>
      <c r="U12583" t="s">
        <v>55217</v>
      </c>
      <c r="V12583" t="s">
        <v>58089</v>
      </c>
      <c r="W12583" t="s">
        <v>42674</v>
      </c>
      <c r="X12583" t="s">
        <v>43181</v>
      </c>
    </row>
    <row r="12584" spans="1:24">
      <c r="A12584">
        <f>HYPERLINK("https://www.philgeps.gov.ph/GEPSNONPILOT/Tender/SplashBidNoticeAbstractUI.aspx?menuIndex=3&amp;refID=7053121&amp;Result=3","7053121")</f>
        <v>0</v>
      </c>
      <c r="B12584" t="s">
        <v>2718</v>
      </c>
      <c r="C12584" t="s">
        <v>12196</v>
      </c>
      <c r="D12584" t="s">
        <v>17450</v>
      </c>
      <c r="E12584" t="s">
        <v>28257</v>
      </c>
      <c r="F12584" t="s">
        <v>30052</v>
      </c>
      <c r="G12584" t="s">
        <v>30058</v>
      </c>
      <c r="H12584" t="s">
        <v>30067</v>
      </c>
      <c r="I12584" t="s">
        <v>3693</v>
      </c>
      <c r="J12584" t="s">
        <v>30404</v>
      </c>
      <c r="K12584" t="s">
        <v>39023</v>
      </c>
      <c r="M12584" t="s">
        <v>42244</v>
      </c>
      <c r="N12584" t="s">
        <v>43166</v>
      </c>
      <c r="O12584" t="s">
        <v>43167</v>
      </c>
      <c r="P12584">
        <v>0</v>
      </c>
      <c r="Q12584">
        <v>4</v>
      </c>
      <c r="R12584" t="s">
        <v>43185</v>
      </c>
      <c r="S12584" t="s">
        <v>43930</v>
      </c>
      <c r="T12584" t="s">
        <v>44804</v>
      </c>
      <c r="U12584" t="s">
        <v>55218</v>
      </c>
      <c r="V12584" t="s">
        <v>58261</v>
      </c>
      <c r="W12584" t="s">
        <v>42244</v>
      </c>
      <c r="X12584" t="s">
        <v>43186</v>
      </c>
    </row>
    <row r="12585" spans="1:24">
      <c r="A12585">
        <f>HYPERLINK("https://www.philgeps.gov.ph/GEPSNONPILOT/Tender/SplashBidNoticeAbstractUI.aspx?menuIndex=3&amp;refID=7064544&amp;Result=3","7064544")</f>
        <v>0</v>
      </c>
      <c r="B12585" t="s">
        <v>2091</v>
      </c>
      <c r="C12585" t="s">
        <v>15449</v>
      </c>
      <c r="D12585" t="s">
        <v>17414</v>
      </c>
      <c r="E12585" t="s">
        <v>28258</v>
      </c>
      <c r="F12585" t="s">
        <v>30052</v>
      </c>
      <c r="G12585" t="s">
        <v>30058</v>
      </c>
      <c r="H12585" t="s">
        <v>15498</v>
      </c>
      <c r="I12585" t="s">
        <v>30091</v>
      </c>
      <c r="J12585" t="s">
        <v>31664</v>
      </c>
      <c r="K12585" t="s">
        <v>39031</v>
      </c>
      <c r="M12585" t="s">
        <v>41553</v>
      </c>
      <c r="N12585" t="s">
        <v>43166</v>
      </c>
      <c r="O12585" t="s">
        <v>43167</v>
      </c>
      <c r="P12585">
        <v>0</v>
      </c>
      <c r="Q12585">
        <v>2</v>
      </c>
      <c r="R12585" t="s">
        <v>43180</v>
      </c>
      <c r="S12585" t="s">
        <v>43646</v>
      </c>
      <c r="T12585" t="s">
        <v>44689</v>
      </c>
      <c r="U12585" t="s">
        <v>54247</v>
      </c>
      <c r="W12585" t="s">
        <v>42702</v>
      </c>
      <c r="X12585" t="s">
        <v>43181</v>
      </c>
    </row>
    <row r="12586" spans="1:24">
      <c r="A12586">
        <f>HYPERLINK("https://www.philgeps.gov.ph/GEPSNONPILOT/Tender/SplashBidNoticeAbstractUI.aspx?menuIndex=3&amp;refID=7053885&amp;Result=3","7053885")</f>
        <v>0</v>
      </c>
      <c r="B12586" t="s">
        <v>3269</v>
      </c>
      <c r="C12586" t="s">
        <v>15450</v>
      </c>
      <c r="D12586" t="s">
        <v>17466</v>
      </c>
      <c r="E12586" t="s">
        <v>28259</v>
      </c>
      <c r="F12586" t="s">
        <v>30052</v>
      </c>
      <c r="G12586" t="s">
        <v>30058</v>
      </c>
      <c r="H12586" t="s">
        <v>15498</v>
      </c>
      <c r="I12586" t="s">
        <v>30085</v>
      </c>
      <c r="J12586" t="s">
        <v>30644</v>
      </c>
      <c r="K12586" t="s">
        <v>39017</v>
      </c>
      <c r="L12586" t="s">
        <v>3269</v>
      </c>
      <c r="M12586" t="s">
        <v>42900</v>
      </c>
      <c r="N12586" t="s">
        <v>43166</v>
      </c>
      <c r="O12586" t="s">
        <v>43167</v>
      </c>
      <c r="P12586">
        <v>0</v>
      </c>
      <c r="Q12586">
        <v>0</v>
      </c>
      <c r="R12586" t="s">
        <v>43185</v>
      </c>
      <c r="S12586" t="s">
        <v>43930</v>
      </c>
      <c r="T12586" t="s">
        <v>44710</v>
      </c>
      <c r="U12586" t="s">
        <v>55176</v>
      </c>
      <c r="V12586" t="s">
        <v>58270</v>
      </c>
      <c r="W12586" t="s">
        <v>42900</v>
      </c>
      <c r="X12586" t="s">
        <v>43186</v>
      </c>
    </row>
    <row r="12587" spans="1:24">
      <c r="A12587">
        <f>HYPERLINK("https://www.philgeps.gov.ph/GEPSNONPILOT/Tender/SplashBidNoticeAbstractUI.aspx?menuIndex=3&amp;refID=7064539&amp;Result=3","7064539")</f>
        <v>0</v>
      </c>
      <c r="B12587" t="s">
        <v>2091</v>
      </c>
      <c r="C12587" t="s">
        <v>15451</v>
      </c>
      <c r="D12587" t="s">
        <v>17414</v>
      </c>
      <c r="E12587" t="s">
        <v>28260</v>
      </c>
      <c r="F12587" t="s">
        <v>30052</v>
      </c>
      <c r="G12587" t="s">
        <v>30058</v>
      </c>
      <c r="H12587" t="s">
        <v>15498</v>
      </c>
      <c r="I12587" t="s">
        <v>30073</v>
      </c>
      <c r="J12587" t="s">
        <v>37874</v>
      </c>
      <c r="K12587" t="s">
        <v>39017</v>
      </c>
      <c r="M12587" t="s">
        <v>41553</v>
      </c>
      <c r="N12587" t="s">
        <v>43166</v>
      </c>
      <c r="O12587" t="s">
        <v>43167</v>
      </c>
      <c r="P12587">
        <v>0</v>
      </c>
      <c r="Q12587">
        <v>0</v>
      </c>
      <c r="R12587" t="s">
        <v>43180</v>
      </c>
      <c r="S12587" t="s">
        <v>43646</v>
      </c>
      <c r="T12587" t="s">
        <v>44689</v>
      </c>
      <c r="U12587" t="s">
        <v>54247</v>
      </c>
      <c r="W12587" t="s">
        <v>42702</v>
      </c>
      <c r="X12587" t="s">
        <v>43181</v>
      </c>
    </row>
    <row r="12588" spans="1:24">
      <c r="A12588">
        <f>HYPERLINK("https://www.philgeps.gov.ph/GEPSNONPILOT/Tender/SplashBidNoticeAbstractUI.aspx?menuIndex=3&amp;refID=7053844&amp;Result=3","7053844")</f>
        <v>0</v>
      </c>
      <c r="B12588" t="s">
        <v>3269</v>
      </c>
      <c r="C12588" t="s">
        <v>15452</v>
      </c>
      <c r="D12588" t="s">
        <v>17466</v>
      </c>
      <c r="E12588" t="s">
        <v>24815</v>
      </c>
      <c r="F12588" t="s">
        <v>30052</v>
      </c>
      <c r="G12588" t="s">
        <v>30058</v>
      </c>
      <c r="H12588" t="s">
        <v>15498</v>
      </c>
      <c r="I12588" t="s">
        <v>30085</v>
      </c>
      <c r="J12588" t="s">
        <v>30763</v>
      </c>
      <c r="K12588" t="s">
        <v>39017</v>
      </c>
      <c r="L12588" t="s">
        <v>3269</v>
      </c>
      <c r="M12588" t="s">
        <v>42900</v>
      </c>
      <c r="N12588" t="s">
        <v>43166</v>
      </c>
      <c r="O12588" t="s">
        <v>43167</v>
      </c>
      <c r="P12588">
        <v>0</v>
      </c>
      <c r="Q12588">
        <v>0</v>
      </c>
      <c r="R12588" t="s">
        <v>43185</v>
      </c>
      <c r="S12588" t="s">
        <v>43930</v>
      </c>
      <c r="T12588" t="s">
        <v>44710</v>
      </c>
      <c r="U12588" t="s">
        <v>55176</v>
      </c>
      <c r="V12588" t="s">
        <v>58282</v>
      </c>
      <c r="W12588" t="s">
        <v>42900</v>
      </c>
      <c r="X12588" t="s">
        <v>43186</v>
      </c>
    </row>
    <row r="12589" spans="1:24">
      <c r="A12589">
        <f>HYPERLINK("https://www.philgeps.gov.ph/GEPSNONPILOT/Tender/SplashBidNoticeAbstractUI.aspx?menuIndex=3&amp;refID=7052920&amp;Result=3","7052920")</f>
        <v>0</v>
      </c>
      <c r="B12589" t="s">
        <v>2290</v>
      </c>
      <c r="C12589" t="s">
        <v>15453</v>
      </c>
      <c r="D12589" t="s">
        <v>17453</v>
      </c>
      <c r="E12589" t="s">
        <v>28261</v>
      </c>
      <c r="F12589" t="s">
        <v>30052</v>
      </c>
      <c r="G12589" t="s">
        <v>30058</v>
      </c>
      <c r="H12589" t="s">
        <v>30067</v>
      </c>
      <c r="I12589" t="s">
        <v>3693</v>
      </c>
      <c r="J12589" t="s">
        <v>35974</v>
      </c>
      <c r="K12589" t="s">
        <v>39031</v>
      </c>
      <c r="M12589" t="s">
        <v>42322</v>
      </c>
      <c r="N12589" t="s">
        <v>43166</v>
      </c>
      <c r="O12589" t="s">
        <v>43167</v>
      </c>
      <c r="P12589">
        <v>0</v>
      </c>
      <c r="Q12589">
        <v>0</v>
      </c>
      <c r="R12589" t="s">
        <v>43185</v>
      </c>
      <c r="S12589" t="s">
        <v>43930</v>
      </c>
      <c r="T12589" t="s">
        <v>44717</v>
      </c>
      <c r="U12589" t="s">
        <v>55219</v>
      </c>
      <c r="W12589" t="s">
        <v>42322</v>
      </c>
      <c r="X12589" t="s">
        <v>43186</v>
      </c>
    </row>
    <row r="12590" spans="1:24">
      <c r="A12590">
        <f>HYPERLINK("https://www.philgeps.gov.ph/GEPSNONPILOT/Tender/SplashBidNoticeAbstractUI.aspx?menuIndex=3&amp;refID=7053843&amp;Result=3","7053843")</f>
        <v>0</v>
      </c>
      <c r="B12590" t="s">
        <v>1236</v>
      </c>
      <c r="C12590" t="s">
        <v>15454</v>
      </c>
      <c r="D12590" t="s">
        <v>17425</v>
      </c>
      <c r="E12590" t="s">
        <v>28262</v>
      </c>
      <c r="F12590" t="s">
        <v>30052</v>
      </c>
      <c r="G12590" t="s">
        <v>30058</v>
      </c>
      <c r="H12590" t="s">
        <v>30067</v>
      </c>
      <c r="I12590" t="s">
        <v>3693</v>
      </c>
      <c r="J12590" t="s">
        <v>36903</v>
      </c>
      <c r="K12590" t="s">
        <v>39092</v>
      </c>
      <c r="M12590" t="s">
        <v>42706</v>
      </c>
      <c r="N12590" t="s">
        <v>43166</v>
      </c>
      <c r="O12590" t="s">
        <v>43167</v>
      </c>
      <c r="Q12590">
        <v>2</v>
      </c>
      <c r="R12590" t="s">
        <v>43185</v>
      </c>
      <c r="S12590" t="s">
        <v>43973</v>
      </c>
      <c r="T12590" t="s">
        <v>44832</v>
      </c>
      <c r="U12590" t="s">
        <v>55220</v>
      </c>
      <c r="W12590" t="s">
        <v>42706</v>
      </c>
      <c r="X12590" t="s">
        <v>43186</v>
      </c>
    </row>
    <row r="12591" spans="1:24">
      <c r="A12591">
        <f>HYPERLINK("https://www.philgeps.gov.ph/GEPSNONPILOT/Tender/SplashBidNoticeAbstractUI.aspx?menuIndex=3&amp;refID=7053840&amp;Result=3","7053840")</f>
        <v>0</v>
      </c>
      <c r="B12591" t="s">
        <v>3276</v>
      </c>
      <c r="C12591" t="s">
        <v>15455</v>
      </c>
      <c r="D12591" t="s">
        <v>17476</v>
      </c>
      <c r="E12591" t="s">
        <v>28263</v>
      </c>
      <c r="F12591" t="s">
        <v>30052</v>
      </c>
      <c r="G12591" t="s">
        <v>30058</v>
      </c>
      <c r="H12591" t="s">
        <v>30067</v>
      </c>
      <c r="I12591" t="s">
        <v>3693</v>
      </c>
      <c r="J12591" t="s">
        <v>30218</v>
      </c>
      <c r="K12591" t="s">
        <v>39029</v>
      </c>
      <c r="M12591" t="s">
        <v>42909</v>
      </c>
      <c r="N12591" t="s">
        <v>43166</v>
      </c>
      <c r="O12591" t="s">
        <v>43167</v>
      </c>
      <c r="P12591">
        <v>0</v>
      </c>
      <c r="Q12591">
        <v>3</v>
      </c>
      <c r="R12591" t="s">
        <v>43185</v>
      </c>
      <c r="S12591" t="s">
        <v>43930</v>
      </c>
      <c r="T12591" t="s">
        <v>44879</v>
      </c>
      <c r="U12591" t="s">
        <v>55221</v>
      </c>
      <c r="W12591" t="s">
        <v>42909</v>
      </c>
      <c r="X12591" t="s">
        <v>43186</v>
      </c>
    </row>
    <row r="12592" spans="1:24">
      <c r="A12592">
        <f>HYPERLINK("https://www.philgeps.gov.ph/GEPSNONPILOT/Tender/SplashBidNoticeAbstractUI.aspx?menuIndex=3&amp;refID=7064550&amp;Result=3","7064550")</f>
        <v>0</v>
      </c>
      <c r="B12592" t="s">
        <v>2091</v>
      </c>
      <c r="C12592" t="s">
        <v>15456</v>
      </c>
      <c r="D12592" t="s">
        <v>17414</v>
      </c>
      <c r="E12592" t="s">
        <v>28264</v>
      </c>
      <c r="F12592" t="s">
        <v>30052</v>
      </c>
      <c r="G12592" t="s">
        <v>30058</v>
      </c>
      <c r="H12592" t="s">
        <v>15498</v>
      </c>
      <c r="I12592" t="s">
        <v>30074</v>
      </c>
      <c r="J12592" t="s">
        <v>37875</v>
      </c>
      <c r="K12592" t="s">
        <v>39031</v>
      </c>
      <c r="M12592" t="s">
        <v>41553</v>
      </c>
      <c r="N12592" t="s">
        <v>43166</v>
      </c>
      <c r="O12592" t="s">
        <v>43167</v>
      </c>
      <c r="P12592">
        <v>0</v>
      </c>
      <c r="Q12592">
        <v>8</v>
      </c>
      <c r="R12592" t="s">
        <v>43180</v>
      </c>
      <c r="S12592" t="s">
        <v>43646</v>
      </c>
      <c r="T12592" t="s">
        <v>44689</v>
      </c>
      <c r="U12592" t="s">
        <v>54247</v>
      </c>
      <c r="W12592" t="s">
        <v>42702</v>
      </c>
      <c r="X12592" t="s">
        <v>43181</v>
      </c>
    </row>
    <row r="12593" spans="1:24">
      <c r="A12593">
        <f>HYPERLINK("https://www.philgeps.gov.ph/GEPSNONPILOT/Tender/SplashBidNoticeAbstractUI.aspx?menuIndex=3&amp;refID=7053831&amp;Result=3","7053831")</f>
        <v>0</v>
      </c>
      <c r="B12593" t="s">
        <v>1236</v>
      </c>
      <c r="C12593" t="s">
        <v>15457</v>
      </c>
      <c r="D12593" t="s">
        <v>17425</v>
      </c>
      <c r="E12593" t="s">
        <v>28265</v>
      </c>
      <c r="F12593" t="s">
        <v>30052</v>
      </c>
      <c r="G12593" t="s">
        <v>30058</v>
      </c>
      <c r="H12593" t="s">
        <v>30067</v>
      </c>
      <c r="I12593" t="s">
        <v>3693</v>
      </c>
      <c r="J12593" t="s">
        <v>31185</v>
      </c>
      <c r="K12593" t="s">
        <v>39026</v>
      </c>
      <c r="M12593" t="s">
        <v>42706</v>
      </c>
      <c r="N12593" t="s">
        <v>43166</v>
      </c>
      <c r="O12593" t="s">
        <v>43167</v>
      </c>
      <c r="Q12593">
        <v>1</v>
      </c>
      <c r="R12593" t="s">
        <v>43185</v>
      </c>
      <c r="S12593" t="s">
        <v>43974</v>
      </c>
      <c r="T12593" t="s">
        <v>44832</v>
      </c>
      <c r="U12593" t="s">
        <v>55222</v>
      </c>
      <c r="V12593" t="s">
        <v>46634</v>
      </c>
      <c r="W12593" t="s">
        <v>42706</v>
      </c>
      <c r="X12593" t="s">
        <v>43186</v>
      </c>
    </row>
    <row r="12594" spans="1:24">
      <c r="A12594">
        <f>HYPERLINK("https://www.philgeps.gov.ph/GEPSNONPILOT/Tender/SplashBidNoticeAbstractUI.aspx?menuIndex=3&amp;refID=7053863&amp;Result=3","7053863")</f>
        <v>0</v>
      </c>
      <c r="B12594" t="s">
        <v>3269</v>
      </c>
      <c r="C12594" t="s">
        <v>15458</v>
      </c>
      <c r="D12594" t="s">
        <v>17466</v>
      </c>
      <c r="E12594" t="s">
        <v>28266</v>
      </c>
      <c r="F12594" t="s">
        <v>30052</v>
      </c>
      <c r="G12594" t="s">
        <v>30058</v>
      </c>
      <c r="H12594" t="s">
        <v>15498</v>
      </c>
      <c r="I12594" t="s">
        <v>30142</v>
      </c>
      <c r="J12594" t="s">
        <v>30853</v>
      </c>
      <c r="K12594" t="s">
        <v>39017</v>
      </c>
      <c r="L12594" t="s">
        <v>3269</v>
      </c>
      <c r="M12594" t="s">
        <v>42900</v>
      </c>
      <c r="N12594" t="s">
        <v>43166</v>
      </c>
      <c r="O12594" t="s">
        <v>43167</v>
      </c>
      <c r="P12594">
        <v>0</v>
      </c>
      <c r="Q12594">
        <v>2</v>
      </c>
      <c r="R12594" t="s">
        <v>43185</v>
      </c>
      <c r="S12594" t="s">
        <v>43930</v>
      </c>
      <c r="T12594" t="s">
        <v>44710</v>
      </c>
      <c r="U12594" t="s">
        <v>55176</v>
      </c>
      <c r="V12594" t="s">
        <v>58270</v>
      </c>
      <c r="W12594" t="s">
        <v>42900</v>
      </c>
      <c r="X12594" t="s">
        <v>43186</v>
      </c>
    </row>
    <row r="12595" spans="1:24">
      <c r="A12595">
        <f>HYPERLINK("https://www.philgeps.gov.ph/GEPSNONPILOT/Tender/SplashBidNoticeAbstractUI.aspx?menuIndex=3&amp;refID=7053830&amp;Result=3","7053830")</f>
        <v>0</v>
      </c>
      <c r="B12595" t="s">
        <v>1566</v>
      </c>
      <c r="C12595" t="s">
        <v>15459</v>
      </c>
      <c r="D12595" t="s">
        <v>17486</v>
      </c>
      <c r="E12595" t="s">
        <v>28267</v>
      </c>
      <c r="F12595" t="s">
        <v>30052</v>
      </c>
      <c r="G12595" t="s">
        <v>30058</v>
      </c>
      <c r="H12595" t="s">
        <v>15498</v>
      </c>
      <c r="I12595" t="s">
        <v>30151</v>
      </c>
      <c r="J12595" t="s">
        <v>30410</v>
      </c>
      <c r="K12595" t="s">
        <v>39064</v>
      </c>
      <c r="M12595" t="s">
        <v>40955</v>
      </c>
      <c r="N12595" t="s">
        <v>43166</v>
      </c>
      <c r="O12595" t="s">
        <v>43167</v>
      </c>
      <c r="P12595">
        <v>0</v>
      </c>
      <c r="Q12595">
        <v>7</v>
      </c>
      <c r="R12595" t="s">
        <v>43185</v>
      </c>
      <c r="S12595" t="s">
        <v>43930</v>
      </c>
      <c r="T12595" t="s">
        <v>44753</v>
      </c>
      <c r="U12595" t="s">
        <v>55223</v>
      </c>
      <c r="W12595" t="s">
        <v>40955</v>
      </c>
      <c r="X12595" t="s">
        <v>43186</v>
      </c>
    </row>
    <row r="12596" spans="1:24">
      <c r="A12596">
        <f>HYPERLINK("https://www.philgeps.gov.ph/GEPSNONPILOT/Tender/SplashBidNoticeAbstractUI.aspx?menuIndex=3&amp;refID=7053842&amp;Result=3","7053842")</f>
        <v>0</v>
      </c>
      <c r="B12596" t="s">
        <v>1566</v>
      </c>
      <c r="C12596" t="s">
        <v>15460</v>
      </c>
      <c r="D12596" t="s">
        <v>17486</v>
      </c>
      <c r="E12596" t="s">
        <v>28268</v>
      </c>
      <c r="F12596" t="s">
        <v>30052</v>
      </c>
      <c r="G12596" t="s">
        <v>30058</v>
      </c>
      <c r="H12596" t="s">
        <v>15498</v>
      </c>
      <c r="I12596" t="s">
        <v>30076</v>
      </c>
      <c r="J12596" t="s">
        <v>37876</v>
      </c>
      <c r="K12596" t="s">
        <v>39017</v>
      </c>
      <c r="M12596" t="s">
        <v>40955</v>
      </c>
      <c r="N12596" t="s">
        <v>43166</v>
      </c>
      <c r="O12596" t="s">
        <v>43167</v>
      </c>
      <c r="P12596">
        <v>0</v>
      </c>
      <c r="Q12596">
        <v>7</v>
      </c>
      <c r="R12596" t="s">
        <v>43185</v>
      </c>
      <c r="S12596" t="s">
        <v>43930</v>
      </c>
      <c r="T12596" t="s">
        <v>44753</v>
      </c>
      <c r="U12596" t="s">
        <v>55224</v>
      </c>
      <c r="W12596" t="s">
        <v>40955</v>
      </c>
      <c r="X12596" t="s">
        <v>43186</v>
      </c>
    </row>
    <row r="12597" spans="1:24">
      <c r="A12597">
        <f>HYPERLINK("https://www.philgeps.gov.ph/GEPSNONPILOT/Tender/SplashBidNoticeAbstractUI.aspx?menuIndex=3&amp;refID=7053818&amp;Result=3","7053818")</f>
        <v>0</v>
      </c>
      <c r="B12597" t="s">
        <v>3269</v>
      </c>
      <c r="C12597" t="s">
        <v>15461</v>
      </c>
      <c r="D12597" t="s">
        <v>17466</v>
      </c>
      <c r="E12597" t="s">
        <v>21845</v>
      </c>
      <c r="F12597" t="s">
        <v>30052</v>
      </c>
      <c r="G12597" t="s">
        <v>30058</v>
      </c>
      <c r="H12597" t="s">
        <v>15498</v>
      </c>
      <c r="I12597" t="s">
        <v>3606</v>
      </c>
      <c r="J12597" t="s">
        <v>30644</v>
      </c>
      <c r="K12597" t="s">
        <v>39017</v>
      </c>
      <c r="L12597" t="s">
        <v>3269</v>
      </c>
      <c r="M12597" t="s">
        <v>42900</v>
      </c>
      <c r="N12597" t="s">
        <v>43166</v>
      </c>
      <c r="O12597" t="s">
        <v>43167</v>
      </c>
      <c r="P12597">
        <v>0</v>
      </c>
      <c r="Q12597">
        <v>0</v>
      </c>
      <c r="R12597" t="s">
        <v>43185</v>
      </c>
      <c r="S12597" t="s">
        <v>43930</v>
      </c>
      <c r="T12597" t="s">
        <v>44710</v>
      </c>
      <c r="U12597" t="s">
        <v>55176</v>
      </c>
      <c r="V12597" t="s">
        <v>58270</v>
      </c>
      <c r="W12597" t="s">
        <v>42900</v>
      </c>
      <c r="X12597" t="s">
        <v>43186</v>
      </c>
    </row>
    <row r="12598" spans="1:24">
      <c r="A12598">
        <f>HYPERLINK("https://www.philgeps.gov.ph/GEPSNONPILOT/Tender/SplashBidNoticeAbstractUI.aspx?menuIndex=3&amp;refID=7053832&amp;Result=3","7053832")</f>
        <v>0</v>
      </c>
      <c r="B12598" t="s">
        <v>3269</v>
      </c>
      <c r="C12598" t="s">
        <v>15462</v>
      </c>
      <c r="D12598" t="s">
        <v>17466</v>
      </c>
      <c r="E12598" t="s">
        <v>18148</v>
      </c>
      <c r="F12598" t="s">
        <v>30052</v>
      </c>
      <c r="G12598" t="s">
        <v>30058</v>
      </c>
      <c r="H12598" t="s">
        <v>15498</v>
      </c>
      <c r="I12598" t="s">
        <v>30070</v>
      </c>
      <c r="J12598" t="s">
        <v>30472</v>
      </c>
      <c r="K12598" t="s">
        <v>39017</v>
      </c>
      <c r="L12598" t="s">
        <v>3269</v>
      </c>
      <c r="M12598" t="s">
        <v>42900</v>
      </c>
      <c r="N12598" t="s">
        <v>43166</v>
      </c>
      <c r="O12598" t="s">
        <v>43167</v>
      </c>
      <c r="P12598">
        <v>0</v>
      </c>
      <c r="Q12598">
        <v>0</v>
      </c>
      <c r="R12598" t="s">
        <v>43185</v>
      </c>
      <c r="S12598" t="s">
        <v>43930</v>
      </c>
      <c r="T12598" t="s">
        <v>44710</v>
      </c>
      <c r="U12598" t="s">
        <v>55176</v>
      </c>
      <c r="V12598" t="s">
        <v>58270</v>
      </c>
      <c r="W12598" t="s">
        <v>42900</v>
      </c>
      <c r="X12598" t="s">
        <v>43186</v>
      </c>
    </row>
    <row r="12599" spans="1:24">
      <c r="A12599">
        <f>HYPERLINK("https://www.philgeps.gov.ph/GEPSNONPILOT/Tender/SplashBidNoticeAbstractUI.aspx?menuIndex=3&amp;refID=7053811&amp;Result=3","7053811")</f>
        <v>0</v>
      </c>
      <c r="B12599" t="s">
        <v>1512</v>
      </c>
      <c r="C12599" t="s">
        <v>15463</v>
      </c>
      <c r="D12599" t="s">
        <v>17465</v>
      </c>
      <c r="E12599" t="s">
        <v>28269</v>
      </c>
      <c r="F12599" t="s">
        <v>30052</v>
      </c>
      <c r="G12599" t="s">
        <v>30058</v>
      </c>
      <c r="H12599" t="s">
        <v>15498</v>
      </c>
      <c r="I12599" t="s">
        <v>30150</v>
      </c>
      <c r="J12599" t="s">
        <v>37877</v>
      </c>
      <c r="K12599" t="s">
        <v>39025</v>
      </c>
      <c r="M12599" t="s">
        <v>40897</v>
      </c>
      <c r="N12599" t="s">
        <v>43166</v>
      </c>
      <c r="O12599" t="s">
        <v>43167</v>
      </c>
      <c r="P12599">
        <v>0</v>
      </c>
      <c r="Q12599">
        <v>15</v>
      </c>
      <c r="R12599" t="s">
        <v>43185</v>
      </c>
      <c r="S12599" t="s">
        <v>43930</v>
      </c>
      <c r="T12599" t="s">
        <v>44696</v>
      </c>
      <c r="U12599" t="s">
        <v>55225</v>
      </c>
      <c r="W12599" t="s">
        <v>40897</v>
      </c>
      <c r="X12599" t="s">
        <v>43186</v>
      </c>
    </row>
    <row r="12600" spans="1:24">
      <c r="A12600">
        <f>HYPERLINK("https://www.philgeps.gov.ph/GEPSNONPILOT/Tender/SplashBidNoticeAbstractUI.aspx?menuIndex=3&amp;refID=7053807&amp;Result=3","7053807")</f>
        <v>0</v>
      </c>
      <c r="B12600" t="s">
        <v>1566</v>
      </c>
      <c r="C12600" t="s">
        <v>15464</v>
      </c>
      <c r="D12600" t="s">
        <v>17486</v>
      </c>
      <c r="E12600" t="s">
        <v>28270</v>
      </c>
      <c r="F12600" t="s">
        <v>30052</v>
      </c>
      <c r="G12600" t="s">
        <v>30058</v>
      </c>
      <c r="H12600" t="s">
        <v>15498</v>
      </c>
      <c r="I12600" t="s">
        <v>4119</v>
      </c>
      <c r="J12600" t="s">
        <v>34352</v>
      </c>
      <c r="K12600" t="s">
        <v>39064</v>
      </c>
      <c r="M12600" t="s">
        <v>40955</v>
      </c>
      <c r="N12600" t="s">
        <v>43166</v>
      </c>
      <c r="O12600" t="s">
        <v>43167</v>
      </c>
      <c r="P12600">
        <v>0</v>
      </c>
      <c r="Q12600">
        <v>6</v>
      </c>
      <c r="R12600" t="s">
        <v>43185</v>
      </c>
      <c r="S12600" t="s">
        <v>43930</v>
      </c>
      <c r="T12600" t="s">
        <v>44753</v>
      </c>
      <c r="U12600" t="s">
        <v>55226</v>
      </c>
      <c r="W12600" t="s">
        <v>40955</v>
      </c>
      <c r="X12600" t="s">
        <v>43186</v>
      </c>
    </row>
    <row r="12601" spans="1:24">
      <c r="A12601">
        <f>HYPERLINK("https://www.philgeps.gov.ph/GEPSNONPILOT/Tender/SplashBidNoticeAbstractUI.aspx?menuIndex=3&amp;refID=7053794&amp;Result=3","7053794")</f>
        <v>0</v>
      </c>
      <c r="B12601" t="s">
        <v>1566</v>
      </c>
      <c r="C12601" t="s">
        <v>15465</v>
      </c>
      <c r="D12601" t="s">
        <v>17486</v>
      </c>
      <c r="E12601" t="s">
        <v>28271</v>
      </c>
      <c r="F12601" t="s">
        <v>30052</v>
      </c>
      <c r="G12601" t="s">
        <v>30058</v>
      </c>
      <c r="H12601" t="s">
        <v>15498</v>
      </c>
      <c r="I12601" t="s">
        <v>4650</v>
      </c>
      <c r="J12601" t="s">
        <v>32246</v>
      </c>
      <c r="K12601" t="s">
        <v>39023</v>
      </c>
      <c r="M12601" t="s">
        <v>40955</v>
      </c>
      <c r="N12601" t="s">
        <v>43166</v>
      </c>
      <c r="O12601" t="s">
        <v>43167</v>
      </c>
      <c r="P12601">
        <v>0</v>
      </c>
      <c r="Q12601">
        <v>8</v>
      </c>
      <c r="R12601" t="s">
        <v>43185</v>
      </c>
      <c r="S12601" t="s">
        <v>43930</v>
      </c>
      <c r="T12601" t="s">
        <v>44753</v>
      </c>
      <c r="U12601" t="s">
        <v>55227</v>
      </c>
      <c r="W12601" t="s">
        <v>40955</v>
      </c>
      <c r="X12601" t="s">
        <v>43186</v>
      </c>
    </row>
    <row r="12602" spans="1:24">
      <c r="A12602">
        <f>HYPERLINK("https://www.philgeps.gov.ph/GEPSNONPILOT/Tender/SplashBidNoticeAbstractUI.aspx?menuIndex=3&amp;refID=7053797&amp;Result=3","7053797")</f>
        <v>0</v>
      </c>
      <c r="B12602" t="s">
        <v>3269</v>
      </c>
      <c r="C12602" t="s">
        <v>15466</v>
      </c>
      <c r="D12602" t="s">
        <v>17466</v>
      </c>
      <c r="E12602" t="s">
        <v>27425</v>
      </c>
      <c r="F12602" t="s">
        <v>30052</v>
      </c>
      <c r="G12602" t="s">
        <v>30058</v>
      </c>
      <c r="H12602" t="s">
        <v>15498</v>
      </c>
      <c r="I12602" t="s">
        <v>8323</v>
      </c>
      <c r="J12602" t="s">
        <v>30891</v>
      </c>
      <c r="K12602" t="s">
        <v>39017</v>
      </c>
      <c r="L12602" t="s">
        <v>3269</v>
      </c>
      <c r="M12602" t="s">
        <v>42900</v>
      </c>
      <c r="N12602" t="s">
        <v>43166</v>
      </c>
      <c r="O12602" t="s">
        <v>43167</v>
      </c>
      <c r="P12602">
        <v>0</v>
      </c>
      <c r="Q12602">
        <v>1</v>
      </c>
      <c r="R12602" t="s">
        <v>43185</v>
      </c>
      <c r="S12602" t="s">
        <v>43930</v>
      </c>
      <c r="T12602" t="s">
        <v>44710</v>
      </c>
      <c r="U12602" t="s">
        <v>55176</v>
      </c>
      <c r="V12602" t="s">
        <v>58270</v>
      </c>
      <c r="W12602" t="s">
        <v>42900</v>
      </c>
      <c r="X12602" t="s">
        <v>43186</v>
      </c>
    </row>
    <row r="12603" spans="1:24">
      <c r="A12603">
        <f>HYPERLINK("https://www.philgeps.gov.ph/GEPSNONPILOT/Tender/SplashBidNoticeAbstractUI.aspx?menuIndex=3&amp;refID=7053790&amp;Result=3","7053790")</f>
        <v>0</v>
      </c>
      <c r="B12603" t="s">
        <v>3269</v>
      </c>
      <c r="C12603" t="s">
        <v>15467</v>
      </c>
      <c r="D12603" t="s">
        <v>17466</v>
      </c>
      <c r="E12603" t="s">
        <v>24576</v>
      </c>
      <c r="F12603" t="s">
        <v>30052</v>
      </c>
      <c r="G12603" t="s">
        <v>30058</v>
      </c>
      <c r="H12603" t="s">
        <v>15498</v>
      </c>
      <c r="I12603" t="s">
        <v>8323</v>
      </c>
      <c r="J12603" t="s">
        <v>32874</v>
      </c>
      <c r="K12603" t="s">
        <v>39017</v>
      </c>
      <c r="L12603" t="s">
        <v>3269</v>
      </c>
      <c r="M12603" t="s">
        <v>42900</v>
      </c>
      <c r="N12603" t="s">
        <v>43166</v>
      </c>
      <c r="O12603" t="s">
        <v>43167</v>
      </c>
      <c r="P12603">
        <v>0</v>
      </c>
      <c r="Q12603">
        <v>0</v>
      </c>
      <c r="R12603" t="s">
        <v>43185</v>
      </c>
      <c r="S12603" t="s">
        <v>43930</v>
      </c>
      <c r="T12603" t="s">
        <v>44710</v>
      </c>
      <c r="U12603" t="s">
        <v>55176</v>
      </c>
      <c r="V12603" t="s">
        <v>58270</v>
      </c>
      <c r="W12603" t="s">
        <v>42900</v>
      </c>
      <c r="X12603" t="s">
        <v>43186</v>
      </c>
    </row>
    <row r="12604" spans="1:24">
      <c r="A12604">
        <f>HYPERLINK("https://www.philgeps.gov.ph/GEPSNONPILOT/Tender/SplashBidNoticeAbstractUI.aspx?menuIndex=3&amp;refID=7053782&amp;Result=3","7053782")</f>
        <v>0</v>
      </c>
      <c r="B12604" t="s">
        <v>1811</v>
      </c>
      <c r="C12604" t="s">
        <v>15468</v>
      </c>
      <c r="D12604" t="s">
        <v>17450</v>
      </c>
      <c r="E12604" t="s">
        <v>28272</v>
      </c>
      <c r="F12604" t="s">
        <v>30052</v>
      </c>
      <c r="G12604" t="s">
        <v>30058</v>
      </c>
      <c r="H12604" t="s">
        <v>30067</v>
      </c>
      <c r="I12604" t="s">
        <v>3693</v>
      </c>
      <c r="J12604" t="s">
        <v>31851</v>
      </c>
      <c r="K12604" t="s">
        <v>39282</v>
      </c>
      <c r="M12604" t="s">
        <v>41234</v>
      </c>
      <c r="N12604" t="s">
        <v>43166</v>
      </c>
      <c r="O12604" t="s">
        <v>43167</v>
      </c>
      <c r="P12604">
        <v>0</v>
      </c>
      <c r="Q12604">
        <v>5</v>
      </c>
      <c r="R12604" t="s">
        <v>43185</v>
      </c>
      <c r="S12604" t="s">
        <v>43930</v>
      </c>
      <c r="T12604" t="s">
        <v>44698</v>
      </c>
      <c r="U12604" t="s">
        <v>49480</v>
      </c>
      <c r="V12604" t="s">
        <v>58283</v>
      </c>
      <c r="W12604" t="s">
        <v>41234</v>
      </c>
      <c r="X12604" t="s">
        <v>43186</v>
      </c>
    </row>
    <row r="12605" spans="1:24">
      <c r="A12605">
        <f>HYPERLINK("https://www.philgeps.gov.ph/GEPSNONPILOT/Tender/SplashBidNoticeAbstractUI.aspx?menuIndex=3&amp;refID=7064326&amp;Result=3","7064326")</f>
        <v>0</v>
      </c>
      <c r="B12605" t="s">
        <v>3090</v>
      </c>
      <c r="C12605" t="s">
        <v>15469</v>
      </c>
      <c r="D12605" t="s">
        <v>17453</v>
      </c>
      <c r="E12605" t="s">
        <v>28273</v>
      </c>
      <c r="F12605" t="s">
        <v>30052</v>
      </c>
      <c r="G12605" t="s">
        <v>30058</v>
      </c>
      <c r="H12605" t="s">
        <v>30067</v>
      </c>
      <c r="I12605" t="s">
        <v>3693</v>
      </c>
      <c r="J12605" t="s">
        <v>37878</v>
      </c>
      <c r="K12605" t="s">
        <v>39029</v>
      </c>
      <c r="M12605" t="s">
        <v>42674</v>
      </c>
      <c r="N12605" t="s">
        <v>43166</v>
      </c>
      <c r="O12605" t="s">
        <v>43167</v>
      </c>
      <c r="P12605">
        <v>0</v>
      </c>
      <c r="Q12605">
        <v>0</v>
      </c>
      <c r="R12605" t="s">
        <v>43180</v>
      </c>
      <c r="S12605" t="s">
        <v>43646</v>
      </c>
      <c r="T12605" t="s">
        <v>44699</v>
      </c>
      <c r="U12605" t="s">
        <v>55228</v>
      </c>
      <c r="V12605" t="s">
        <v>58089</v>
      </c>
      <c r="W12605" t="s">
        <v>42674</v>
      </c>
      <c r="X12605" t="s">
        <v>43181</v>
      </c>
    </row>
    <row r="12606" spans="1:24">
      <c r="A12606">
        <f>HYPERLINK("https://www.philgeps.gov.ph/GEPSNONPILOT/Tender/SplashBidNoticeAbstractUI.aspx?menuIndex=3&amp;refID=7064321&amp;Result=3","7064321")</f>
        <v>0</v>
      </c>
      <c r="B12606" t="s">
        <v>3090</v>
      </c>
      <c r="C12606" t="s">
        <v>15470</v>
      </c>
      <c r="D12606" t="s">
        <v>17453</v>
      </c>
      <c r="E12606" t="s">
        <v>28274</v>
      </c>
      <c r="F12606" t="s">
        <v>30052</v>
      </c>
      <c r="G12606" t="s">
        <v>30058</v>
      </c>
      <c r="H12606" t="s">
        <v>30067</v>
      </c>
      <c r="I12606" t="s">
        <v>3693</v>
      </c>
      <c r="J12606" t="s">
        <v>30277</v>
      </c>
      <c r="K12606" t="s">
        <v>39143</v>
      </c>
      <c r="M12606" t="s">
        <v>42674</v>
      </c>
      <c r="N12606" t="s">
        <v>43166</v>
      </c>
      <c r="O12606" t="s">
        <v>43167</v>
      </c>
      <c r="P12606">
        <v>0</v>
      </c>
      <c r="Q12606">
        <v>0</v>
      </c>
      <c r="R12606" t="s">
        <v>43180</v>
      </c>
      <c r="S12606" t="s">
        <v>43646</v>
      </c>
      <c r="T12606" t="s">
        <v>44699</v>
      </c>
      <c r="U12606" t="s">
        <v>55229</v>
      </c>
      <c r="V12606" t="s">
        <v>58089</v>
      </c>
      <c r="W12606" t="s">
        <v>42674</v>
      </c>
      <c r="X12606" t="s">
        <v>43181</v>
      </c>
    </row>
    <row r="12607" spans="1:24">
      <c r="A12607">
        <f>HYPERLINK("https://www.philgeps.gov.ph/GEPSNONPILOT/Tender/SplashBidNoticeAbstractUI.aspx?menuIndex=3&amp;refID=7064284&amp;Result=3","7064284")</f>
        <v>0</v>
      </c>
      <c r="B12607" t="s">
        <v>3090</v>
      </c>
      <c r="C12607" t="s">
        <v>15471</v>
      </c>
      <c r="D12607" t="s">
        <v>17453</v>
      </c>
      <c r="E12607" t="s">
        <v>28275</v>
      </c>
      <c r="F12607" t="s">
        <v>30052</v>
      </c>
      <c r="G12607" t="s">
        <v>30058</v>
      </c>
      <c r="H12607" t="s">
        <v>30067</v>
      </c>
      <c r="I12607" t="s">
        <v>3693</v>
      </c>
      <c r="J12607" t="s">
        <v>30277</v>
      </c>
      <c r="K12607" t="s">
        <v>39029</v>
      </c>
      <c r="M12607" t="s">
        <v>42674</v>
      </c>
      <c r="N12607" t="s">
        <v>43166</v>
      </c>
      <c r="O12607" t="s">
        <v>43167</v>
      </c>
      <c r="P12607">
        <v>0</v>
      </c>
      <c r="Q12607">
        <v>0</v>
      </c>
      <c r="R12607" t="s">
        <v>43180</v>
      </c>
      <c r="S12607" t="s">
        <v>43646</v>
      </c>
      <c r="T12607" t="s">
        <v>44699</v>
      </c>
      <c r="U12607" t="s">
        <v>55230</v>
      </c>
      <c r="V12607" t="s">
        <v>58089</v>
      </c>
      <c r="W12607" t="s">
        <v>42674</v>
      </c>
      <c r="X12607" t="s">
        <v>43181</v>
      </c>
    </row>
    <row r="12608" spans="1:24">
      <c r="A12608">
        <f>HYPERLINK("https://www.philgeps.gov.ph/GEPSNONPILOT/Tender/SplashBidNoticeAbstractUI.aspx?menuIndex=3&amp;refID=7053806&amp;Result=3","7053806")</f>
        <v>0</v>
      </c>
      <c r="B12608" t="s">
        <v>3276</v>
      </c>
      <c r="C12608" t="s">
        <v>15472</v>
      </c>
      <c r="D12608" t="s">
        <v>17476</v>
      </c>
      <c r="E12608" t="s">
        <v>28276</v>
      </c>
      <c r="F12608" t="s">
        <v>30052</v>
      </c>
      <c r="G12608" t="s">
        <v>30058</v>
      </c>
      <c r="H12608" t="s">
        <v>30067</v>
      </c>
      <c r="I12608" t="s">
        <v>3693</v>
      </c>
      <c r="J12608" t="s">
        <v>30222</v>
      </c>
      <c r="K12608" t="s">
        <v>39023</v>
      </c>
      <c r="M12608" t="s">
        <v>42909</v>
      </c>
      <c r="N12608" t="s">
        <v>43166</v>
      </c>
      <c r="O12608" t="s">
        <v>43167</v>
      </c>
      <c r="P12608">
        <v>0</v>
      </c>
      <c r="Q12608">
        <v>2</v>
      </c>
      <c r="R12608" t="s">
        <v>43185</v>
      </c>
      <c r="S12608" t="s">
        <v>43930</v>
      </c>
      <c r="T12608" t="s">
        <v>44959</v>
      </c>
      <c r="U12608" t="s">
        <v>55231</v>
      </c>
      <c r="W12608" t="s">
        <v>42909</v>
      </c>
      <c r="X12608" t="s">
        <v>43186</v>
      </c>
    </row>
    <row r="12609" spans="1:24">
      <c r="A12609">
        <f>HYPERLINK("https://www.philgeps.gov.ph/GEPSNONPILOT/Tender/SplashBidNoticeAbstractUI.aspx?menuIndex=3&amp;refID=7064280&amp;Result=3","7064280")</f>
        <v>0</v>
      </c>
      <c r="B12609" t="s">
        <v>3090</v>
      </c>
      <c r="C12609" t="s">
        <v>15473</v>
      </c>
      <c r="D12609" t="s">
        <v>17453</v>
      </c>
      <c r="E12609" t="s">
        <v>28277</v>
      </c>
      <c r="F12609" t="s">
        <v>30052</v>
      </c>
      <c r="G12609" t="s">
        <v>30058</v>
      </c>
      <c r="H12609" t="s">
        <v>30067</v>
      </c>
      <c r="I12609" t="s">
        <v>3693</v>
      </c>
      <c r="J12609" t="s">
        <v>30218</v>
      </c>
      <c r="K12609" t="s">
        <v>39173</v>
      </c>
      <c r="M12609" t="s">
        <v>42674</v>
      </c>
      <c r="N12609" t="s">
        <v>43166</v>
      </c>
      <c r="O12609" t="s">
        <v>43167</v>
      </c>
      <c r="P12609">
        <v>0</v>
      </c>
      <c r="Q12609">
        <v>0</v>
      </c>
      <c r="R12609" t="s">
        <v>43180</v>
      </c>
      <c r="S12609" t="s">
        <v>43646</v>
      </c>
      <c r="T12609" t="s">
        <v>44699</v>
      </c>
      <c r="U12609" t="s">
        <v>54201</v>
      </c>
      <c r="V12609" t="s">
        <v>58089</v>
      </c>
      <c r="W12609" t="s">
        <v>42674</v>
      </c>
      <c r="X12609" t="s">
        <v>43181</v>
      </c>
    </row>
    <row r="12610" spans="1:24">
      <c r="A12610">
        <f>HYPERLINK("https://www.philgeps.gov.ph/GEPSNONPILOT/Tender/SplashBidNoticeAbstractUI.aspx?menuIndex=3&amp;refID=7064285&amp;Result=3","7064285")</f>
        <v>0</v>
      </c>
      <c r="B12610" t="s">
        <v>193</v>
      </c>
      <c r="C12610" t="s">
        <v>15474</v>
      </c>
      <c r="D12610" t="s">
        <v>17471</v>
      </c>
      <c r="E12610" t="s">
        <v>28278</v>
      </c>
      <c r="F12610" t="s">
        <v>30052</v>
      </c>
      <c r="G12610" t="s">
        <v>30058</v>
      </c>
      <c r="H12610" t="s">
        <v>30067</v>
      </c>
      <c r="I12610" t="s">
        <v>3693</v>
      </c>
      <c r="J12610" t="s">
        <v>37879</v>
      </c>
      <c r="K12610" t="s">
        <v>39259</v>
      </c>
      <c r="M12610" t="s">
        <v>39483</v>
      </c>
      <c r="N12610" t="s">
        <v>43166</v>
      </c>
      <c r="O12610" t="s">
        <v>43167</v>
      </c>
      <c r="P12610">
        <v>0</v>
      </c>
      <c r="Q12610">
        <v>0</v>
      </c>
      <c r="R12610" t="s">
        <v>43180</v>
      </c>
      <c r="S12610" t="s">
        <v>43646</v>
      </c>
      <c r="T12610" t="s">
        <v>44689</v>
      </c>
      <c r="U12610" t="s">
        <v>52790</v>
      </c>
      <c r="W12610" t="s">
        <v>39483</v>
      </c>
      <c r="X12610" t="s">
        <v>43181</v>
      </c>
    </row>
    <row r="12611" spans="1:24">
      <c r="A12611">
        <f>HYPERLINK("https://www.philgeps.gov.ph/GEPSNONPILOT/Tender/SplashBidNoticeAbstractUI.aspx?menuIndex=3&amp;refID=7064283&amp;Result=3","7064283")</f>
        <v>0</v>
      </c>
      <c r="B12611" t="s">
        <v>3010</v>
      </c>
      <c r="C12611" t="s">
        <v>12688</v>
      </c>
      <c r="D12611" t="s">
        <v>17484</v>
      </c>
      <c r="E12611" t="s">
        <v>17692</v>
      </c>
      <c r="F12611" t="s">
        <v>30052</v>
      </c>
      <c r="G12611" t="s">
        <v>30058</v>
      </c>
      <c r="H12611" t="s">
        <v>15498</v>
      </c>
      <c r="I12611" t="s">
        <v>3736</v>
      </c>
      <c r="J12611" t="s">
        <v>37880</v>
      </c>
      <c r="K12611" t="s">
        <v>39034</v>
      </c>
      <c r="M12611" t="s">
        <v>42585</v>
      </c>
      <c r="N12611" t="s">
        <v>43166</v>
      </c>
      <c r="O12611" t="s">
        <v>43167</v>
      </c>
      <c r="P12611">
        <v>0</v>
      </c>
      <c r="Q12611">
        <v>1</v>
      </c>
      <c r="R12611" t="s">
        <v>43180</v>
      </c>
      <c r="S12611" t="s">
        <v>43646</v>
      </c>
      <c r="T12611" t="s">
        <v>44753</v>
      </c>
      <c r="U12611" t="s">
        <v>55232</v>
      </c>
      <c r="W12611" t="s">
        <v>42585</v>
      </c>
      <c r="X12611" t="s">
        <v>43181</v>
      </c>
    </row>
    <row r="12612" spans="1:24">
      <c r="A12612">
        <f>HYPERLINK("https://www.philgeps.gov.ph/GEPSNONPILOT/Tender/SplashBidNoticeAbstractUI.aspx?menuIndex=3&amp;refID=7032304-2&amp;Result=3","7032304-2")</f>
        <v>0</v>
      </c>
      <c r="B12612" t="s">
        <v>1658</v>
      </c>
      <c r="C12612" t="s">
        <v>15475</v>
      </c>
      <c r="E12612" t="s">
        <v>28279</v>
      </c>
      <c r="F12612" t="s">
        <v>30052</v>
      </c>
      <c r="G12612" t="s">
        <v>30058</v>
      </c>
      <c r="H12612" t="s">
        <v>30068</v>
      </c>
      <c r="I12612" t="s">
        <v>30068</v>
      </c>
      <c r="J12612" t="s">
        <v>37881</v>
      </c>
      <c r="K12612" t="s">
        <v>39025</v>
      </c>
      <c r="M12612" t="s">
        <v>41063</v>
      </c>
      <c r="N12612" t="s">
        <v>43166</v>
      </c>
      <c r="O12612" t="s">
        <v>43167</v>
      </c>
      <c r="Q12612">
        <v>1</v>
      </c>
      <c r="R12612" t="s">
        <v>43181</v>
      </c>
      <c r="S12612" t="s">
        <v>43819</v>
      </c>
      <c r="T12612" t="s">
        <v>44681</v>
      </c>
      <c r="U12612" t="s">
        <v>55233</v>
      </c>
      <c r="V12612" t="s">
        <v>58284</v>
      </c>
      <c r="W12612" t="s">
        <v>41063</v>
      </c>
      <c r="X12612" t="s">
        <v>43182</v>
      </c>
    </row>
    <row r="12613" spans="1:24">
      <c r="A12613">
        <f>HYPERLINK("https://www.philgeps.gov.ph/GEPSNONPILOT/Tender/SplashBidNoticeAbstractUI.aspx?menuIndex=3&amp;refID=7053822&amp;Result=3","7053822")</f>
        <v>0</v>
      </c>
      <c r="B12613" t="s">
        <v>3276</v>
      </c>
      <c r="C12613" t="s">
        <v>15476</v>
      </c>
      <c r="D12613" t="s">
        <v>17476</v>
      </c>
      <c r="E12613" t="s">
        <v>28280</v>
      </c>
      <c r="F12613" t="s">
        <v>30052</v>
      </c>
      <c r="G12613" t="s">
        <v>30058</v>
      </c>
      <c r="H12613" t="s">
        <v>30067</v>
      </c>
      <c r="I12613" t="s">
        <v>3693</v>
      </c>
      <c r="J12613" t="s">
        <v>30557</v>
      </c>
      <c r="K12613" t="s">
        <v>39026</v>
      </c>
      <c r="M12613" t="s">
        <v>42909</v>
      </c>
      <c r="N12613" t="s">
        <v>43166</v>
      </c>
      <c r="O12613" t="s">
        <v>43167</v>
      </c>
      <c r="P12613">
        <v>0</v>
      </c>
      <c r="Q12613">
        <v>2</v>
      </c>
      <c r="R12613" t="s">
        <v>43185</v>
      </c>
      <c r="S12613" t="s">
        <v>43930</v>
      </c>
      <c r="T12613" t="s">
        <v>44880</v>
      </c>
      <c r="U12613" t="s">
        <v>55234</v>
      </c>
      <c r="W12613" t="s">
        <v>42909</v>
      </c>
      <c r="X12613" t="s">
        <v>43186</v>
      </c>
    </row>
    <row r="12614" spans="1:24">
      <c r="A12614">
        <f>HYPERLINK("https://www.philgeps.gov.ph/GEPSNONPILOT/Tender/SplashBidNoticeAbstractUI.aspx?menuIndex=3&amp;refID=7064329&amp;Result=3","7064329")</f>
        <v>0</v>
      </c>
      <c r="B12614" t="s">
        <v>3090</v>
      </c>
      <c r="C12614" t="s">
        <v>15477</v>
      </c>
      <c r="D12614" t="s">
        <v>17453</v>
      </c>
      <c r="E12614" t="s">
        <v>28281</v>
      </c>
      <c r="F12614" t="s">
        <v>30052</v>
      </c>
      <c r="G12614" t="s">
        <v>30058</v>
      </c>
      <c r="H12614" t="s">
        <v>30067</v>
      </c>
      <c r="I12614" t="s">
        <v>3693</v>
      </c>
      <c r="J12614" t="s">
        <v>30292</v>
      </c>
      <c r="K12614" t="s">
        <v>39134</v>
      </c>
      <c r="M12614" t="s">
        <v>42674</v>
      </c>
      <c r="N12614" t="s">
        <v>43166</v>
      </c>
      <c r="O12614" t="s">
        <v>43167</v>
      </c>
      <c r="P12614">
        <v>0</v>
      </c>
      <c r="Q12614">
        <v>0</v>
      </c>
      <c r="R12614" t="s">
        <v>43180</v>
      </c>
      <c r="S12614" t="s">
        <v>43646</v>
      </c>
      <c r="T12614" t="s">
        <v>44699</v>
      </c>
      <c r="U12614" t="s">
        <v>54240</v>
      </c>
      <c r="V12614" t="s">
        <v>58089</v>
      </c>
      <c r="W12614" t="s">
        <v>42674</v>
      </c>
      <c r="X12614" t="s">
        <v>43181</v>
      </c>
    </row>
    <row r="12615" spans="1:24">
      <c r="A12615">
        <f>HYPERLINK("https://www.philgeps.gov.ph/GEPSNONPILOT/Tender/SplashBidNoticeAbstractUI.aspx?menuIndex=3&amp;refID=7054035&amp;Result=3","7054035")</f>
        <v>0</v>
      </c>
      <c r="B12615" t="s">
        <v>1667</v>
      </c>
      <c r="C12615" t="s">
        <v>15478</v>
      </c>
      <c r="D12615" t="s">
        <v>17416</v>
      </c>
      <c r="E12615" t="s">
        <v>28282</v>
      </c>
      <c r="F12615" t="s">
        <v>30052</v>
      </c>
      <c r="G12615" t="s">
        <v>30058</v>
      </c>
      <c r="H12615" t="s">
        <v>15498</v>
      </c>
      <c r="I12615" t="s">
        <v>30092</v>
      </c>
      <c r="J12615" t="s">
        <v>37882</v>
      </c>
      <c r="K12615" t="s">
        <v>39017</v>
      </c>
      <c r="M12615" t="s">
        <v>41074</v>
      </c>
      <c r="N12615" t="s">
        <v>43166</v>
      </c>
      <c r="O12615" t="s">
        <v>43167</v>
      </c>
      <c r="P12615">
        <v>0</v>
      </c>
      <c r="Q12615">
        <v>3</v>
      </c>
      <c r="R12615" t="s">
        <v>43185</v>
      </c>
      <c r="S12615" t="s">
        <v>43930</v>
      </c>
      <c r="T12615" t="s">
        <v>44720</v>
      </c>
      <c r="U12615" t="s">
        <v>55235</v>
      </c>
      <c r="W12615" t="s">
        <v>41074</v>
      </c>
      <c r="X12615" t="s">
        <v>43186</v>
      </c>
    </row>
    <row r="12616" spans="1:24">
      <c r="A12616">
        <f>HYPERLINK("https://www.philgeps.gov.ph/GEPSNONPILOT/Tender/SplashBidNoticeAbstractUI.aspx?menuIndex=3&amp;refID=7053841&amp;Result=3","7053841")</f>
        <v>0</v>
      </c>
      <c r="B12616" t="s">
        <v>3277</v>
      </c>
      <c r="C12616" t="s">
        <v>15479</v>
      </c>
      <c r="D12616" t="s">
        <v>17448</v>
      </c>
      <c r="E12616" t="s">
        <v>28283</v>
      </c>
      <c r="F12616" t="s">
        <v>30052</v>
      </c>
      <c r="G12616" t="s">
        <v>30058</v>
      </c>
      <c r="H12616" t="s">
        <v>30067</v>
      </c>
      <c r="I12616" t="s">
        <v>3693</v>
      </c>
      <c r="J12616" t="s">
        <v>37883</v>
      </c>
      <c r="K12616" t="s">
        <v>39026</v>
      </c>
      <c r="M12616" t="s">
        <v>42910</v>
      </c>
      <c r="N12616" t="s">
        <v>43166</v>
      </c>
      <c r="O12616" t="s">
        <v>43167</v>
      </c>
      <c r="P12616">
        <v>0</v>
      </c>
      <c r="Q12616">
        <v>1</v>
      </c>
      <c r="R12616" t="s">
        <v>43185</v>
      </c>
      <c r="S12616" t="s">
        <v>43930</v>
      </c>
      <c r="T12616" t="s">
        <v>44969</v>
      </c>
      <c r="U12616" t="s">
        <v>55236</v>
      </c>
      <c r="W12616" t="s">
        <v>42910</v>
      </c>
      <c r="X12616" t="s">
        <v>43186</v>
      </c>
    </row>
    <row r="12617" spans="1:24">
      <c r="A12617">
        <f>HYPERLINK("https://www.philgeps.gov.ph/GEPSNONPILOT/Tender/SplashBidNoticeAbstractUI.aspx?menuIndex=3&amp;refID=7064279&amp;Result=3","7064279")</f>
        <v>0</v>
      </c>
      <c r="B12617" t="s">
        <v>3090</v>
      </c>
      <c r="C12617" t="s">
        <v>15480</v>
      </c>
      <c r="D12617" t="s">
        <v>17453</v>
      </c>
      <c r="E12617" t="s">
        <v>28284</v>
      </c>
      <c r="F12617" t="s">
        <v>30052</v>
      </c>
      <c r="G12617" t="s">
        <v>30058</v>
      </c>
      <c r="H12617" t="s">
        <v>30067</v>
      </c>
      <c r="I12617" t="s">
        <v>3693</v>
      </c>
      <c r="J12617" t="s">
        <v>30277</v>
      </c>
      <c r="K12617" t="s">
        <v>39044</v>
      </c>
      <c r="M12617" t="s">
        <v>42674</v>
      </c>
      <c r="N12617" t="s">
        <v>43166</v>
      </c>
      <c r="O12617" t="s">
        <v>43167</v>
      </c>
      <c r="P12617">
        <v>0</v>
      </c>
      <c r="Q12617">
        <v>0</v>
      </c>
      <c r="R12617" t="s">
        <v>43180</v>
      </c>
      <c r="S12617" t="s">
        <v>43646</v>
      </c>
      <c r="T12617" t="s">
        <v>44699</v>
      </c>
      <c r="U12617" t="s">
        <v>55217</v>
      </c>
      <c r="V12617" t="s">
        <v>58089</v>
      </c>
      <c r="W12617" t="s">
        <v>42674</v>
      </c>
      <c r="X12617" t="s">
        <v>43181</v>
      </c>
    </row>
    <row r="12618" spans="1:24">
      <c r="A12618">
        <f>HYPERLINK("https://www.philgeps.gov.ph/GEPSNONPILOT/Tender/SplashBidNoticeAbstractUI.aspx?menuIndex=3&amp;refID=7054020&amp;Result=3","7054020")</f>
        <v>0</v>
      </c>
      <c r="B12618" t="s">
        <v>3278</v>
      </c>
      <c r="C12618" t="s">
        <v>15481</v>
      </c>
      <c r="D12618" t="s">
        <v>17455</v>
      </c>
      <c r="E12618" t="s">
        <v>28285</v>
      </c>
      <c r="F12618" t="s">
        <v>30052</v>
      </c>
      <c r="G12618" t="s">
        <v>30058</v>
      </c>
      <c r="H12618" t="s">
        <v>30067</v>
      </c>
      <c r="I12618" t="s">
        <v>3693</v>
      </c>
      <c r="J12618" t="s">
        <v>30222</v>
      </c>
      <c r="K12618" t="s">
        <v>39023</v>
      </c>
      <c r="M12618" t="s">
        <v>42911</v>
      </c>
      <c r="N12618" t="s">
        <v>43166</v>
      </c>
      <c r="O12618" t="s">
        <v>43167</v>
      </c>
      <c r="Q12618">
        <v>10</v>
      </c>
      <c r="R12618" t="s">
        <v>43185</v>
      </c>
      <c r="S12618" t="s">
        <v>43975</v>
      </c>
      <c r="T12618" t="s">
        <v>44734</v>
      </c>
      <c r="U12618" t="s">
        <v>55237</v>
      </c>
      <c r="V12618" t="s">
        <v>58285</v>
      </c>
      <c r="W12618" t="s">
        <v>42911</v>
      </c>
      <c r="X12618" t="s">
        <v>43186</v>
      </c>
    </row>
    <row r="12619" spans="1:24">
      <c r="A12619">
        <f>HYPERLINK("https://www.philgeps.gov.ph/GEPSNONPILOT/Tender/SplashBidNoticeAbstractUI.aspx?menuIndex=3&amp;refID=7053812&amp;Result=3","7053812")</f>
        <v>0</v>
      </c>
      <c r="B12619" t="s">
        <v>1566</v>
      </c>
      <c r="C12619" t="s">
        <v>15482</v>
      </c>
      <c r="D12619" t="s">
        <v>17486</v>
      </c>
      <c r="E12619" t="s">
        <v>28286</v>
      </c>
      <c r="F12619" t="s">
        <v>30052</v>
      </c>
      <c r="G12619" t="s">
        <v>30058</v>
      </c>
      <c r="H12619" t="s">
        <v>15498</v>
      </c>
      <c r="I12619" t="s">
        <v>4119</v>
      </c>
      <c r="J12619" t="s">
        <v>37884</v>
      </c>
      <c r="K12619" t="s">
        <v>39064</v>
      </c>
      <c r="M12619" t="s">
        <v>40955</v>
      </c>
      <c r="N12619" t="s">
        <v>43166</v>
      </c>
      <c r="O12619" t="s">
        <v>43167</v>
      </c>
      <c r="P12619">
        <v>0</v>
      </c>
      <c r="Q12619">
        <v>2</v>
      </c>
      <c r="R12619" t="s">
        <v>43185</v>
      </c>
      <c r="S12619" t="s">
        <v>43930</v>
      </c>
      <c r="T12619" t="s">
        <v>44753</v>
      </c>
      <c r="U12619" t="s">
        <v>55238</v>
      </c>
      <c r="W12619" t="s">
        <v>40955</v>
      </c>
      <c r="X12619" t="s">
        <v>43186</v>
      </c>
    </row>
    <row r="12620" spans="1:24">
      <c r="A12620">
        <f>HYPERLINK("https://www.philgeps.gov.ph/GEPSNONPILOT/Tender/SplashBidNoticeAbstractUI.aspx?menuIndex=3&amp;refID=7054006&amp;Result=3","7054006")</f>
        <v>0</v>
      </c>
      <c r="B12620" t="s">
        <v>3215</v>
      </c>
      <c r="C12620" t="s">
        <v>15483</v>
      </c>
      <c r="E12620" t="s">
        <v>28287</v>
      </c>
      <c r="F12620" t="s">
        <v>30052</v>
      </c>
      <c r="G12620" t="s">
        <v>30058</v>
      </c>
      <c r="H12620" t="s">
        <v>15498</v>
      </c>
      <c r="I12620" t="s">
        <v>30130</v>
      </c>
      <c r="J12620" t="s">
        <v>30856</v>
      </c>
      <c r="K12620" t="s">
        <v>39025</v>
      </c>
      <c r="M12620" t="s">
        <v>42838</v>
      </c>
      <c r="N12620" t="s">
        <v>43166</v>
      </c>
      <c r="O12620" t="s">
        <v>43167</v>
      </c>
      <c r="Q12620">
        <v>26</v>
      </c>
      <c r="R12620" t="s">
        <v>43185</v>
      </c>
      <c r="S12620" t="s">
        <v>43976</v>
      </c>
      <c r="T12620" t="s">
        <v>44934</v>
      </c>
      <c r="U12620" t="s">
        <v>55239</v>
      </c>
      <c r="V12620" t="s">
        <v>58286</v>
      </c>
      <c r="W12620" t="s">
        <v>42838</v>
      </c>
      <c r="X12620" t="s">
        <v>43186</v>
      </c>
    </row>
    <row r="12621" spans="1:24">
      <c r="A12621">
        <f>HYPERLINK("https://www.philgeps.gov.ph/GEPSNONPILOT/Tender/SplashBidNoticeAbstractUI.aspx?menuIndex=3&amp;refID=7053999&amp;Result=3","7053999")</f>
        <v>0</v>
      </c>
      <c r="B12621" t="s">
        <v>1667</v>
      </c>
      <c r="C12621" t="s">
        <v>15484</v>
      </c>
      <c r="D12621" t="s">
        <v>17416</v>
      </c>
      <c r="E12621" t="s">
        <v>28288</v>
      </c>
      <c r="F12621" t="s">
        <v>30052</v>
      </c>
      <c r="G12621" t="s">
        <v>30058</v>
      </c>
      <c r="H12621" t="s">
        <v>15498</v>
      </c>
      <c r="I12621" t="s">
        <v>30092</v>
      </c>
      <c r="J12621" t="s">
        <v>30532</v>
      </c>
      <c r="K12621" t="s">
        <v>39017</v>
      </c>
      <c r="M12621" t="s">
        <v>41074</v>
      </c>
      <c r="N12621" t="s">
        <v>43166</v>
      </c>
      <c r="O12621" t="s">
        <v>43167</v>
      </c>
      <c r="P12621">
        <v>0</v>
      </c>
      <c r="Q12621">
        <v>3</v>
      </c>
      <c r="R12621" t="s">
        <v>43185</v>
      </c>
      <c r="S12621" t="s">
        <v>43930</v>
      </c>
      <c r="T12621" t="s">
        <v>44943</v>
      </c>
      <c r="U12621" t="s">
        <v>55240</v>
      </c>
      <c r="W12621" t="s">
        <v>41074</v>
      </c>
      <c r="X12621" t="s">
        <v>43186</v>
      </c>
    </row>
    <row r="12622" spans="1:24">
      <c r="A12622">
        <f>HYPERLINK("https://www.philgeps.gov.ph/GEPSNONPILOT/Tender/SplashBidNoticeAbstractUI.aspx?menuIndex=3&amp;refID=7054038&amp;Result=3","7054038")</f>
        <v>0</v>
      </c>
      <c r="B12622" t="s">
        <v>3278</v>
      </c>
      <c r="C12622" t="s">
        <v>15485</v>
      </c>
      <c r="D12622" t="s">
        <v>17455</v>
      </c>
      <c r="E12622" t="s">
        <v>28289</v>
      </c>
      <c r="F12622" t="s">
        <v>30052</v>
      </c>
      <c r="G12622" t="s">
        <v>30058</v>
      </c>
      <c r="H12622" t="s">
        <v>30067</v>
      </c>
      <c r="I12622" t="s">
        <v>3693</v>
      </c>
      <c r="J12622" t="s">
        <v>30683</v>
      </c>
      <c r="K12622" t="s">
        <v>39031</v>
      </c>
      <c r="M12622" t="s">
        <v>42911</v>
      </c>
      <c r="N12622" t="s">
        <v>43166</v>
      </c>
      <c r="O12622" t="s">
        <v>43167</v>
      </c>
      <c r="Q12622">
        <v>10</v>
      </c>
      <c r="R12622" t="s">
        <v>43185</v>
      </c>
      <c r="S12622" t="s">
        <v>43977</v>
      </c>
      <c r="T12622" t="s">
        <v>44773</v>
      </c>
      <c r="U12622" t="s">
        <v>55237</v>
      </c>
      <c r="V12622" t="s">
        <v>58285</v>
      </c>
      <c r="W12622" t="s">
        <v>42911</v>
      </c>
      <c r="X12622" t="s">
        <v>43186</v>
      </c>
    </row>
    <row r="12623" spans="1:24">
      <c r="A12623">
        <f>HYPERLINK("https://www.philgeps.gov.ph/GEPSNONPILOT/Tender/SplashBidNoticeAbstractUI.aspx?menuIndex=3&amp;refID=7064275&amp;Result=3","7064275")</f>
        <v>0</v>
      </c>
      <c r="B12623" t="s">
        <v>3090</v>
      </c>
      <c r="C12623" t="s">
        <v>15486</v>
      </c>
      <c r="D12623" t="s">
        <v>17453</v>
      </c>
      <c r="E12623" t="s">
        <v>28290</v>
      </c>
      <c r="F12623" t="s">
        <v>30052</v>
      </c>
      <c r="G12623" t="s">
        <v>30058</v>
      </c>
      <c r="H12623" t="s">
        <v>30067</v>
      </c>
      <c r="I12623" t="s">
        <v>3693</v>
      </c>
      <c r="J12623" t="s">
        <v>30230</v>
      </c>
      <c r="K12623" t="s">
        <v>39032</v>
      </c>
      <c r="M12623" t="s">
        <v>42674</v>
      </c>
      <c r="N12623" t="s">
        <v>43166</v>
      </c>
      <c r="O12623" t="s">
        <v>43167</v>
      </c>
      <c r="P12623">
        <v>0</v>
      </c>
      <c r="Q12623">
        <v>0</v>
      </c>
      <c r="R12623" t="s">
        <v>43180</v>
      </c>
      <c r="S12623" t="s">
        <v>43646</v>
      </c>
      <c r="T12623" t="s">
        <v>44699</v>
      </c>
      <c r="U12623" t="s">
        <v>55241</v>
      </c>
      <c r="V12623" t="s">
        <v>58089</v>
      </c>
      <c r="W12623" t="s">
        <v>42674</v>
      </c>
      <c r="X12623" t="s">
        <v>43181</v>
      </c>
    </row>
    <row r="12624" spans="1:24">
      <c r="A12624">
        <f>HYPERLINK("https://www.philgeps.gov.ph/GEPSNONPILOT/Tender/SplashBidNoticeAbstractUI.aspx?menuIndex=3&amp;refID=7053980&amp;Result=3","7053980")</f>
        <v>0</v>
      </c>
      <c r="B12624" t="s">
        <v>3269</v>
      </c>
      <c r="C12624" t="s">
        <v>15487</v>
      </c>
      <c r="D12624" t="s">
        <v>17466</v>
      </c>
      <c r="E12624" t="s">
        <v>28291</v>
      </c>
      <c r="F12624" t="s">
        <v>30052</v>
      </c>
      <c r="G12624" t="s">
        <v>30058</v>
      </c>
      <c r="H12624" t="s">
        <v>15498</v>
      </c>
      <c r="I12624" t="s">
        <v>3736</v>
      </c>
      <c r="J12624" t="s">
        <v>35641</v>
      </c>
      <c r="K12624" t="s">
        <v>39017</v>
      </c>
      <c r="L12624" t="s">
        <v>3269</v>
      </c>
      <c r="M12624" t="s">
        <v>42900</v>
      </c>
      <c r="N12624" t="s">
        <v>43166</v>
      </c>
      <c r="O12624" t="s">
        <v>43167</v>
      </c>
      <c r="P12624">
        <v>0</v>
      </c>
      <c r="Q12624">
        <v>0</v>
      </c>
      <c r="R12624" t="s">
        <v>43185</v>
      </c>
      <c r="S12624" t="s">
        <v>43930</v>
      </c>
      <c r="T12624" t="s">
        <v>44710</v>
      </c>
      <c r="U12624" t="s">
        <v>55176</v>
      </c>
      <c r="V12624" t="s">
        <v>58270</v>
      </c>
      <c r="W12624" t="s">
        <v>42900</v>
      </c>
      <c r="X12624" t="s">
        <v>43186</v>
      </c>
    </row>
    <row r="12625" spans="1:24">
      <c r="A12625">
        <f>HYPERLINK("https://www.philgeps.gov.ph/GEPSNONPILOT/Tender/SplashBidNoticeAbstractUI.aspx?menuIndex=3&amp;refID=7053894&amp;Result=3","7053894")</f>
        <v>0</v>
      </c>
      <c r="B12625" t="s">
        <v>1236</v>
      </c>
      <c r="C12625" t="s">
        <v>15488</v>
      </c>
      <c r="D12625" t="s">
        <v>17425</v>
      </c>
      <c r="E12625" t="s">
        <v>28292</v>
      </c>
      <c r="F12625" t="s">
        <v>30052</v>
      </c>
      <c r="G12625" t="s">
        <v>30058</v>
      </c>
      <c r="H12625" t="s">
        <v>30067</v>
      </c>
      <c r="I12625" t="s">
        <v>3693</v>
      </c>
      <c r="J12625" t="s">
        <v>34924</v>
      </c>
      <c r="K12625" t="s">
        <v>39092</v>
      </c>
      <c r="M12625" t="s">
        <v>42706</v>
      </c>
      <c r="N12625" t="s">
        <v>43166</v>
      </c>
      <c r="O12625" t="s">
        <v>43167</v>
      </c>
      <c r="Q12625">
        <v>1</v>
      </c>
      <c r="R12625" t="s">
        <v>43185</v>
      </c>
      <c r="S12625" t="s">
        <v>43978</v>
      </c>
      <c r="T12625" t="s">
        <v>44832</v>
      </c>
      <c r="U12625" t="s">
        <v>55242</v>
      </c>
      <c r="V12625" t="s">
        <v>46634</v>
      </c>
      <c r="W12625" t="s">
        <v>42706</v>
      </c>
      <c r="X12625" t="s">
        <v>43186</v>
      </c>
    </row>
    <row r="12626" spans="1:24">
      <c r="A12626">
        <f>HYPERLINK("https://www.philgeps.gov.ph/GEPSNONPILOT/Tender/SplashBidNoticeAbstractUI.aspx?menuIndex=3&amp;refID=7053998&amp;Result=3","7053998")</f>
        <v>0</v>
      </c>
      <c r="B12626" t="s">
        <v>3266</v>
      </c>
      <c r="C12626" t="s">
        <v>15489</v>
      </c>
      <c r="D12626" t="s">
        <v>17425</v>
      </c>
      <c r="E12626" t="s">
        <v>28293</v>
      </c>
      <c r="F12626" t="s">
        <v>30052</v>
      </c>
      <c r="G12626" t="s">
        <v>30058</v>
      </c>
      <c r="H12626" t="s">
        <v>30067</v>
      </c>
      <c r="I12626" t="s">
        <v>3693</v>
      </c>
      <c r="J12626" t="s">
        <v>37885</v>
      </c>
      <c r="K12626" t="s">
        <v>39065</v>
      </c>
      <c r="M12626" t="s">
        <v>42897</v>
      </c>
      <c r="N12626" t="s">
        <v>43166</v>
      </c>
      <c r="O12626" t="s">
        <v>43167</v>
      </c>
      <c r="P12626">
        <v>0</v>
      </c>
      <c r="Q12626">
        <v>0</v>
      </c>
      <c r="R12626" t="s">
        <v>43185</v>
      </c>
      <c r="S12626" t="s">
        <v>43930</v>
      </c>
      <c r="T12626" t="s">
        <v>45047</v>
      </c>
      <c r="U12626" t="s">
        <v>55160</v>
      </c>
      <c r="V12626" t="s">
        <v>58266</v>
      </c>
      <c r="W12626" t="s">
        <v>42897</v>
      </c>
      <c r="X12626" t="s">
        <v>43186</v>
      </c>
    </row>
    <row r="12627" spans="1:24">
      <c r="A12627">
        <f>HYPERLINK("https://www.philgeps.gov.ph/GEPSNONPILOT/Tender/SplashBidNoticeAbstractUI.aspx?menuIndex=3&amp;refID=7053967&amp;Result=3","7053967")</f>
        <v>0</v>
      </c>
      <c r="B12627" t="s">
        <v>2569</v>
      </c>
      <c r="C12627" t="s">
        <v>15490</v>
      </c>
      <c r="D12627" t="s">
        <v>17470</v>
      </c>
      <c r="E12627" t="s">
        <v>28294</v>
      </c>
      <c r="F12627" t="s">
        <v>30052</v>
      </c>
      <c r="G12627" t="s">
        <v>30058</v>
      </c>
      <c r="H12627" t="s">
        <v>30067</v>
      </c>
      <c r="I12627" t="s">
        <v>3693</v>
      </c>
      <c r="J12627" t="s">
        <v>30247</v>
      </c>
      <c r="K12627" t="s">
        <v>39031</v>
      </c>
      <c r="M12627" t="s">
        <v>42912</v>
      </c>
      <c r="N12627" t="s">
        <v>43166</v>
      </c>
      <c r="O12627" t="s">
        <v>43167</v>
      </c>
      <c r="P12627">
        <v>0</v>
      </c>
      <c r="Q12627">
        <v>0</v>
      </c>
      <c r="R12627" t="s">
        <v>43185</v>
      </c>
      <c r="S12627" t="s">
        <v>43930</v>
      </c>
      <c r="T12627" t="s">
        <v>45168</v>
      </c>
      <c r="U12627" t="s">
        <v>55243</v>
      </c>
      <c r="V12627" t="s">
        <v>58287</v>
      </c>
      <c r="W12627" t="s">
        <v>42912</v>
      </c>
      <c r="X12627" t="s">
        <v>43186</v>
      </c>
    </row>
    <row r="12628" spans="1:24">
      <c r="A12628">
        <f>HYPERLINK("https://www.philgeps.gov.ph/GEPSNONPILOT/Tender/SplashBidNoticeAbstractUI.aspx?menuIndex=3&amp;refID=7053955&amp;Result=3","7053955")</f>
        <v>0</v>
      </c>
      <c r="B12628" t="s">
        <v>3269</v>
      </c>
      <c r="C12628" t="s">
        <v>15491</v>
      </c>
      <c r="D12628" t="s">
        <v>17466</v>
      </c>
      <c r="E12628" t="s">
        <v>28295</v>
      </c>
      <c r="F12628" t="s">
        <v>30052</v>
      </c>
      <c r="G12628" t="s">
        <v>30058</v>
      </c>
      <c r="H12628" t="s">
        <v>15498</v>
      </c>
      <c r="I12628" t="s">
        <v>5961</v>
      </c>
      <c r="J12628" t="s">
        <v>31556</v>
      </c>
      <c r="K12628" t="s">
        <v>39017</v>
      </c>
      <c r="L12628" t="s">
        <v>3269</v>
      </c>
      <c r="M12628" t="s">
        <v>42900</v>
      </c>
      <c r="N12628" t="s">
        <v>43166</v>
      </c>
      <c r="O12628" t="s">
        <v>43167</v>
      </c>
      <c r="P12628">
        <v>0</v>
      </c>
      <c r="Q12628">
        <v>0</v>
      </c>
      <c r="R12628" t="s">
        <v>43185</v>
      </c>
      <c r="S12628" t="s">
        <v>43930</v>
      </c>
      <c r="T12628" t="s">
        <v>44710</v>
      </c>
      <c r="U12628" t="s">
        <v>55176</v>
      </c>
      <c r="V12628" t="s">
        <v>58270</v>
      </c>
      <c r="W12628" t="s">
        <v>42900</v>
      </c>
      <c r="X12628" t="s">
        <v>43186</v>
      </c>
    </row>
    <row r="12629" spans="1:24">
      <c r="A12629">
        <f>HYPERLINK("https://www.philgeps.gov.ph/GEPSNONPILOT/Tender/SplashBidNoticeAbstractUI.aspx?menuIndex=3&amp;refID=7054031&amp;Result=3","7054031")</f>
        <v>0</v>
      </c>
      <c r="B12629" t="s">
        <v>2569</v>
      </c>
      <c r="C12629" t="s">
        <v>15492</v>
      </c>
      <c r="D12629" t="s">
        <v>17470</v>
      </c>
      <c r="E12629" t="s">
        <v>28296</v>
      </c>
      <c r="F12629" t="s">
        <v>30052</v>
      </c>
      <c r="G12629" t="s">
        <v>30058</v>
      </c>
      <c r="H12629" t="s">
        <v>30067</v>
      </c>
      <c r="I12629" t="s">
        <v>3693</v>
      </c>
      <c r="J12629" t="s">
        <v>34927</v>
      </c>
      <c r="K12629" t="s">
        <v>39033</v>
      </c>
      <c r="M12629" t="s">
        <v>42912</v>
      </c>
      <c r="N12629" t="s">
        <v>43166</v>
      </c>
      <c r="O12629" t="s">
        <v>43167</v>
      </c>
      <c r="P12629">
        <v>0</v>
      </c>
      <c r="Q12629">
        <v>2</v>
      </c>
      <c r="R12629" t="s">
        <v>43185</v>
      </c>
      <c r="S12629" t="s">
        <v>43930</v>
      </c>
      <c r="T12629" t="s">
        <v>45168</v>
      </c>
      <c r="U12629" t="s">
        <v>55244</v>
      </c>
      <c r="V12629" t="s">
        <v>58288</v>
      </c>
      <c r="W12629" t="s">
        <v>42912</v>
      </c>
      <c r="X12629" t="s">
        <v>43186</v>
      </c>
    </row>
    <row r="12630" spans="1:24">
      <c r="A12630">
        <f>HYPERLINK("https://www.philgeps.gov.ph/GEPSNONPILOT/Tender/SplashBidNoticeAbstractUI.aspx?menuIndex=3&amp;refID=7053938&amp;Result=3","7053938")</f>
        <v>0</v>
      </c>
      <c r="B12630" t="s">
        <v>3269</v>
      </c>
      <c r="C12630" t="s">
        <v>15493</v>
      </c>
      <c r="D12630" t="s">
        <v>17466</v>
      </c>
      <c r="E12630" t="s">
        <v>28297</v>
      </c>
      <c r="F12630" t="s">
        <v>30052</v>
      </c>
      <c r="G12630" t="s">
        <v>30058</v>
      </c>
      <c r="H12630" t="s">
        <v>15498</v>
      </c>
      <c r="I12630" t="s">
        <v>8323</v>
      </c>
      <c r="J12630" t="s">
        <v>30783</v>
      </c>
      <c r="K12630" t="s">
        <v>39017</v>
      </c>
      <c r="L12630" t="s">
        <v>3269</v>
      </c>
      <c r="M12630" t="s">
        <v>42900</v>
      </c>
      <c r="N12630" t="s">
        <v>43166</v>
      </c>
      <c r="O12630" t="s">
        <v>43167</v>
      </c>
      <c r="P12630">
        <v>0</v>
      </c>
      <c r="Q12630">
        <v>3</v>
      </c>
      <c r="R12630" t="s">
        <v>43185</v>
      </c>
      <c r="S12630" t="s">
        <v>43930</v>
      </c>
      <c r="T12630" t="s">
        <v>44710</v>
      </c>
      <c r="U12630" t="s">
        <v>55176</v>
      </c>
      <c r="V12630" t="s">
        <v>58270</v>
      </c>
      <c r="W12630" t="s">
        <v>42900</v>
      </c>
      <c r="X12630" t="s">
        <v>43186</v>
      </c>
    </row>
    <row r="12631" spans="1:24">
      <c r="A12631">
        <f>HYPERLINK("https://www.philgeps.gov.ph/GEPSNONPILOT/Tender/SplashBidNoticeAbstractUI.aspx?menuIndex=3&amp;refID=7054003&amp;Result=3","7054003")</f>
        <v>0</v>
      </c>
      <c r="B12631" t="s">
        <v>3269</v>
      </c>
      <c r="C12631" t="s">
        <v>15494</v>
      </c>
      <c r="D12631" t="s">
        <v>17466</v>
      </c>
      <c r="E12631" t="s">
        <v>28298</v>
      </c>
      <c r="F12631" t="s">
        <v>30052</v>
      </c>
      <c r="G12631" t="s">
        <v>30058</v>
      </c>
      <c r="H12631" t="s">
        <v>15498</v>
      </c>
      <c r="I12631" t="s">
        <v>3736</v>
      </c>
      <c r="J12631" t="s">
        <v>30644</v>
      </c>
      <c r="K12631" t="s">
        <v>39017</v>
      </c>
      <c r="L12631" t="s">
        <v>3269</v>
      </c>
      <c r="M12631" t="s">
        <v>42900</v>
      </c>
      <c r="N12631" t="s">
        <v>43166</v>
      </c>
      <c r="O12631" t="s">
        <v>43167</v>
      </c>
      <c r="P12631">
        <v>0</v>
      </c>
      <c r="Q12631">
        <v>0</v>
      </c>
      <c r="R12631" t="s">
        <v>43185</v>
      </c>
      <c r="S12631" t="s">
        <v>43930</v>
      </c>
      <c r="T12631" t="s">
        <v>44710</v>
      </c>
      <c r="U12631" t="s">
        <v>55176</v>
      </c>
      <c r="V12631" t="s">
        <v>58270</v>
      </c>
      <c r="W12631" t="s">
        <v>42900</v>
      </c>
      <c r="X12631" t="s">
        <v>43186</v>
      </c>
    </row>
    <row r="12632" spans="1:24">
      <c r="A12632">
        <f>HYPERLINK("https://www.philgeps.gov.ph/GEPSNONPILOT/Tender/SplashBidNoticeAbstractUI.aspx?menuIndex=3&amp;refID=7053910&amp;Result=3","7053910")</f>
        <v>0</v>
      </c>
      <c r="B12632" t="s">
        <v>2990</v>
      </c>
      <c r="C12632" t="s">
        <v>15495</v>
      </c>
      <c r="D12632" t="s">
        <v>17461</v>
      </c>
      <c r="E12632" t="s">
        <v>28299</v>
      </c>
      <c r="F12632" t="s">
        <v>30052</v>
      </c>
      <c r="G12632" t="s">
        <v>30058</v>
      </c>
      <c r="H12632" t="s">
        <v>15498</v>
      </c>
      <c r="I12632" t="s">
        <v>30097</v>
      </c>
      <c r="J12632" t="s">
        <v>34232</v>
      </c>
      <c r="K12632" t="s">
        <v>39029</v>
      </c>
      <c r="M12632" t="s">
        <v>42560</v>
      </c>
      <c r="N12632" t="s">
        <v>43166</v>
      </c>
      <c r="O12632" t="s">
        <v>43167</v>
      </c>
      <c r="Q12632">
        <v>13</v>
      </c>
      <c r="R12632" t="s">
        <v>43185</v>
      </c>
      <c r="S12632" t="s">
        <v>43979</v>
      </c>
      <c r="T12632" t="s">
        <v>44705</v>
      </c>
      <c r="U12632" t="s">
        <v>55245</v>
      </c>
      <c r="W12632" t="s">
        <v>42560</v>
      </c>
      <c r="X12632" t="s">
        <v>43186</v>
      </c>
    </row>
    <row r="12633" spans="1:24">
      <c r="A12633">
        <f>HYPERLINK("https://www.philgeps.gov.ph/GEPSNONPILOT/Tender/SplashBidNoticeAbstractUI.aspx?menuIndex=3&amp;refID=7053975&amp;Result=3","7053975")</f>
        <v>0</v>
      </c>
      <c r="B12633" t="s">
        <v>3278</v>
      </c>
      <c r="C12633" t="s">
        <v>15496</v>
      </c>
      <c r="D12633" t="s">
        <v>17455</v>
      </c>
      <c r="E12633" t="s">
        <v>28300</v>
      </c>
      <c r="F12633" t="s">
        <v>30052</v>
      </c>
      <c r="G12633" t="s">
        <v>30058</v>
      </c>
      <c r="H12633" t="s">
        <v>30067</v>
      </c>
      <c r="I12633" t="s">
        <v>3693</v>
      </c>
      <c r="J12633" t="s">
        <v>30222</v>
      </c>
      <c r="K12633" t="s">
        <v>39023</v>
      </c>
      <c r="M12633" t="s">
        <v>42911</v>
      </c>
      <c r="N12633" t="s">
        <v>43166</v>
      </c>
      <c r="O12633" t="s">
        <v>43167</v>
      </c>
      <c r="Q12633">
        <v>11</v>
      </c>
      <c r="R12633" t="s">
        <v>43185</v>
      </c>
      <c r="S12633" t="s">
        <v>43980</v>
      </c>
      <c r="T12633" t="s">
        <v>44773</v>
      </c>
      <c r="U12633" t="s">
        <v>55237</v>
      </c>
      <c r="V12633" t="s">
        <v>58285</v>
      </c>
      <c r="W12633" t="s">
        <v>42911</v>
      </c>
      <c r="X12633" t="s">
        <v>43186</v>
      </c>
    </row>
    <row r="12634" spans="1:24">
      <c r="A12634">
        <f>HYPERLINK("https://www.philgeps.gov.ph/GEPSNONPILOT/Tender/SplashBidNoticeAbstractUI.aspx?menuIndex=3&amp;refID=7059318&amp;Result=3","7059318")</f>
        <v>0</v>
      </c>
      <c r="B12634" t="s">
        <v>3279</v>
      </c>
      <c r="C12634" t="s">
        <v>15497</v>
      </c>
      <c r="D12634" t="s">
        <v>17477</v>
      </c>
      <c r="E12634" t="s">
        <v>28301</v>
      </c>
      <c r="F12634" t="s">
        <v>30052</v>
      </c>
      <c r="G12634" t="s">
        <v>30058</v>
      </c>
      <c r="H12634" t="s">
        <v>30069</v>
      </c>
      <c r="I12634" t="s">
        <v>30084</v>
      </c>
      <c r="J12634" t="s">
        <v>37886</v>
      </c>
      <c r="K12634" t="s">
        <v>39067</v>
      </c>
      <c r="M12634" t="s">
        <v>42913</v>
      </c>
      <c r="N12634" t="s">
        <v>43166</v>
      </c>
      <c r="O12634" t="s">
        <v>43167</v>
      </c>
      <c r="P12634">
        <v>0</v>
      </c>
      <c r="Q12634">
        <v>8</v>
      </c>
      <c r="R12634" t="s">
        <v>43179</v>
      </c>
      <c r="S12634" t="s">
        <v>43583</v>
      </c>
      <c r="T12634" t="s">
        <v>44720</v>
      </c>
      <c r="U12634" t="s">
        <v>55246</v>
      </c>
      <c r="W12634" t="s">
        <v>42913</v>
      </c>
      <c r="X12634" t="s">
        <v>43182</v>
      </c>
    </row>
    <row r="12635" spans="1:24">
      <c r="A12635">
        <f>HYPERLINK("https://www.philgeps.gov.ph/GEPSNONPILOT/Tender/SplashBidNoticeAbstractUI.aspx?menuIndex=3&amp;refID=7053990&amp;Result=3","7053990")</f>
        <v>0</v>
      </c>
      <c r="B12635" t="s">
        <v>3280</v>
      </c>
      <c r="C12635" t="s">
        <v>15498</v>
      </c>
      <c r="D12635" t="s">
        <v>17414</v>
      </c>
      <c r="E12635" t="s">
        <v>17715</v>
      </c>
      <c r="F12635" t="s">
        <v>30052</v>
      </c>
      <c r="G12635" t="s">
        <v>30058</v>
      </c>
      <c r="H12635" t="s">
        <v>15498</v>
      </c>
      <c r="I12635" t="s">
        <v>30078</v>
      </c>
      <c r="J12635" t="s">
        <v>30277</v>
      </c>
      <c r="K12635" t="s">
        <v>39036</v>
      </c>
      <c r="M12635" t="s">
        <v>42914</v>
      </c>
      <c r="N12635" t="s">
        <v>43166</v>
      </c>
      <c r="O12635" t="s">
        <v>43167</v>
      </c>
      <c r="P12635">
        <v>0</v>
      </c>
      <c r="Q12635">
        <v>0</v>
      </c>
      <c r="R12635" t="s">
        <v>43185</v>
      </c>
      <c r="S12635" t="s">
        <v>43930</v>
      </c>
      <c r="T12635" t="s">
        <v>44777</v>
      </c>
      <c r="U12635" t="s">
        <v>55247</v>
      </c>
      <c r="W12635" t="s">
        <v>42914</v>
      </c>
      <c r="X12635" t="s">
        <v>43186</v>
      </c>
    </row>
    <row r="12636" spans="1:24">
      <c r="A12636">
        <f>HYPERLINK("https://www.philgeps.gov.ph/GEPSNONPILOT/Tender/SplashBidNoticeAbstractUI.aspx?menuIndex=3&amp;refID=7058585&amp;Result=3","7058585")</f>
        <v>0</v>
      </c>
      <c r="B12636" t="s">
        <v>114</v>
      </c>
      <c r="C12636" t="s">
        <v>15499</v>
      </c>
      <c r="D12636" t="s">
        <v>17460</v>
      </c>
      <c r="E12636" t="s">
        <v>28302</v>
      </c>
      <c r="F12636" t="s">
        <v>30052</v>
      </c>
      <c r="G12636" t="s">
        <v>30058</v>
      </c>
      <c r="H12636" t="s">
        <v>30067</v>
      </c>
      <c r="I12636" t="s">
        <v>3693</v>
      </c>
      <c r="J12636" t="s">
        <v>37887</v>
      </c>
      <c r="K12636" t="s">
        <v>39057</v>
      </c>
      <c r="M12636" t="s">
        <v>39403</v>
      </c>
      <c r="N12636" t="s">
        <v>43166</v>
      </c>
      <c r="O12636" t="s">
        <v>43167</v>
      </c>
      <c r="P12636">
        <v>0</v>
      </c>
      <c r="Q12636">
        <v>30</v>
      </c>
      <c r="R12636" t="s">
        <v>43179</v>
      </c>
      <c r="S12636" t="s">
        <v>43583</v>
      </c>
      <c r="T12636" t="s">
        <v>45012</v>
      </c>
      <c r="U12636" t="s">
        <v>55248</v>
      </c>
      <c r="W12636" t="s">
        <v>39403</v>
      </c>
      <c r="X12636" t="s">
        <v>43183</v>
      </c>
    </row>
    <row r="12637" spans="1:24">
      <c r="A12637">
        <f>HYPERLINK("https://www.philgeps.gov.ph/GEPSNONPILOT/Tender/SplashBidNoticeAbstractUI.aspx?menuIndex=3&amp;refID=7053965&amp;Result=3","7053965")</f>
        <v>0</v>
      </c>
      <c r="B12637" t="s">
        <v>291</v>
      </c>
      <c r="C12637" t="s">
        <v>15500</v>
      </c>
      <c r="D12637" t="s">
        <v>17476</v>
      </c>
      <c r="E12637" t="s">
        <v>28303</v>
      </c>
      <c r="F12637" t="s">
        <v>30052</v>
      </c>
      <c r="G12637" t="s">
        <v>30058</v>
      </c>
      <c r="H12637" t="s">
        <v>30067</v>
      </c>
      <c r="I12637" t="s">
        <v>3693</v>
      </c>
      <c r="J12637" t="s">
        <v>37888</v>
      </c>
      <c r="K12637" t="s">
        <v>39094</v>
      </c>
      <c r="M12637" t="s">
        <v>39586</v>
      </c>
      <c r="N12637" t="s">
        <v>43166</v>
      </c>
      <c r="O12637" t="s">
        <v>43167</v>
      </c>
      <c r="P12637">
        <v>0</v>
      </c>
      <c r="Q12637">
        <v>0</v>
      </c>
      <c r="R12637" t="s">
        <v>43185</v>
      </c>
      <c r="S12637" t="s">
        <v>43930</v>
      </c>
      <c r="T12637" t="s">
        <v>45047</v>
      </c>
      <c r="U12637" t="s">
        <v>55249</v>
      </c>
      <c r="W12637" t="s">
        <v>39586</v>
      </c>
      <c r="X12637" t="s">
        <v>43186</v>
      </c>
    </row>
    <row r="12638" spans="1:24">
      <c r="A12638">
        <f>HYPERLINK("https://www.philgeps.gov.ph/GEPSNONPILOT/Tender/SplashBidNoticeAbstractUI.aspx?menuIndex=3&amp;refID=7053933&amp;Result=3","7053933")</f>
        <v>0</v>
      </c>
      <c r="B12638" t="s">
        <v>2697</v>
      </c>
      <c r="C12638" t="s">
        <v>15501</v>
      </c>
      <c r="E12638" t="s">
        <v>23092</v>
      </c>
      <c r="F12638" t="s">
        <v>30052</v>
      </c>
      <c r="G12638" t="s">
        <v>30058</v>
      </c>
      <c r="H12638" t="s">
        <v>15498</v>
      </c>
      <c r="I12638" t="s">
        <v>3736</v>
      </c>
      <c r="J12638" t="s">
        <v>37889</v>
      </c>
      <c r="K12638" t="s">
        <v>39025</v>
      </c>
      <c r="M12638" t="s">
        <v>42221</v>
      </c>
      <c r="N12638" t="s">
        <v>43166</v>
      </c>
      <c r="O12638" t="s">
        <v>43167</v>
      </c>
      <c r="P12638">
        <v>0</v>
      </c>
      <c r="Q12638">
        <v>3</v>
      </c>
      <c r="R12638" t="s">
        <v>43185</v>
      </c>
      <c r="S12638" t="s">
        <v>43930</v>
      </c>
      <c r="T12638" t="s">
        <v>44773</v>
      </c>
      <c r="U12638" t="s">
        <v>46667</v>
      </c>
      <c r="W12638" t="s">
        <v>58685</v>
      </c>
      <c r="X12638" t="s">
        <v>43186</v>
      </c>
    </row>
    <row r="12639" spans="1:24">
      <c r="A12639">
        <f>HYPERLINK("https://www.philgeps.gov.ph/GEPSNONPILOT/Tender/SplashBidNoticeAbstractUI.aspx?menuIndex=3&amp;refID=7070237&amp;Result=3","7070237")</f>
        <v>0</v>
      </c>
      <c r="B12639" t="s">
        <v>2908</v>
      </c>
      <c r="C12639" t="s">
        <v>15502</v>
      </c>
      <c r="D12639" t="s">
        <v>17466</v>
      </c>
      <c r="E12639" t="s">
        <v>22992</v>
      </c>
      <c r="F12639" t="s">
        <v>30052</v>
      </c>
      <c r="G12639" t="s">
        <v>30058</v>
      </c>
      <c r="H12639" t="s">
        <v>15498</v>
      </c>
      <c r="I12639" t="s">
        <v>3736</v>
      </c>
      <c r="J12639" t="s">
        <v>30417</v>
      </c>
      <c r="K12639" t="s">
        <v>39039</v>
      </c>
      <c r="M12639" t="s">
        <v>42464</v>
      </c>
      <c r="N12639" t="s">
        <v>43166</v>
      </c>
      <c r="O12639" t="s">
        <v>43167</v>
      </c>
      <c r="P12639">
        <v>0</v>
      </c>
      <c r="Q12639">
        <v>0</v>
      </c>
      <c r="R12639" t="s">
        <v>43178</v>
      </c>
      <c r="S12639" t="s">
        <v>43522</v>
      </c>
      <c r="T12639" t="s">
        <v>44966</v>
      </c>
      <c r="U12639" t="s">
        <v>55250</v>
      </c>
      <c r="W12639" t="s">
        <v>42464</v>
      </c>
      <c r="X12639" t="s">
        <v>43179</v>
      </c>
    </row>
    <row r="12640" spans="1:24">
      <c r="A12640">
        <f>HYPERLINK("https://www.philgeps.gov.ph/GEPSNONPILOT/Tender/SplashBidNoticeAbstractUI.aspx?menuIndex=3&amp;refID=7064273&amp;Result=3","7064273")</f>
        <v>0</v>
      </c>
      <c r="B12640" t="s">
        <v>3090</v>
      </c>
      <c r="C12640" t="s">
        <v>15503</v>
      </c>
      <c r="D12640" t="s">
        <v>17453</v>
      </c>
      <c r="E12640" t="s">
        <v>28304</v>
      </c>
      <c r="F12640" t="s">
        <v>30052</v>
      </c>
      <c r="G12640" t="s">
        <v>30058</v>
      </c>
      <c r="H12640" t="s">
        <v>30067</v>
      </c>
      <c r="I12640" t="s">
        <v>3693</v>
      </c>
      <c r="J12640" t="s">
        <v>30230</v>
      </c>
      <c r="K12640" t="s">
        <v>39032</v>
      </c>
      <c r="M12640" t="s">
        <v>42674</v>
      </c>
      <c r="N12640" t="s">
        <v>43166</v>
      </c>
      <c r="O12640" t="s">
        <v>43167</v>
      </c>
      <c r="P12640">
        <v>0</v>
      </c>
      <c r="Q12640">
        <v>0</v>
      </c>
      <c r="R12640" t="s">
        <v>43180</v>
      </c>
      <c r="S12640" t="s">
        <v>43646</v>
      </c>
      <c r="T12640" t="s">
        <v>44699</v>
      </c>
      <c r="U12640" t="s">
        <v>55241</v>
      </c>
      <c r="V12640" t="s">
        <v>58089</v>
      </c>
      <c r="W12640" t="s">
        <v>42674</v>
      </c>
      <c r="X12640" t="s">
        <v>43181</v>
      </c>
    </row>
    <row r="12641" spans="1:24">
      <c r="A12641">
        <f>HYPERLINK("https://www.philgeps.gov.ph/GEPSNONPILOT/Tender/SplashBidNoticeAbstractUI.aspx?menuIndex=3&amp;refID=7070213&amp;Result=3","7070213")</f>
        <v>0</v>
      </c>
      <c r="B12641" t="s">
        <v>743</v>
      </c>
      <c r="C12641" t="s">
        <v>15504</v>
      </c>
      <c r="D12641" t="s">
        <v>17458</v>
      </c>
      <c r="E12641" t="s">
        <v>28305</v>
      </c>
      <c r="F12641" t="s">
        <v>30052</v>
      </c>
      <c r="G12641" t="s">
        <v>30058</v>
      </c>
      <c r="H12641" t="s">
        <v>15498</v>
      </c>
      <c r="I12641" t="s">
        <v>30124</v>
      </c>
      <c r="J12641" t="s">
        <v>37890</v>
      </c>
      <c r="K12641" t="s">
        <v>39023</v>
      </c>
      <c r="M12641" t="s">
        <v>42463</v>
      </c>
      <c r="N12641" t="s">
        <v>43166</v>
      </c>
      <c r="O12641" t="s">
        <v>43167</v>
      </c>
      <c r="Q12641">
        <v>0</v>
      </c>
      <c r="R12641" t="s">
        <v>43178</v>
      </c>
      <c r="S12641" t="s">
        <v>43981</v>
      </c>
      <c r="T12641" t="s">
        <v>44796</v>
      </c>
      <c r="U12641" t="s">
        <v>53344</v>
      </c>
      <c r="W12641" t="s">
        <v>42463</v>
      </c>
      <c r="X12641" t="s">
        <v>43179</v>
      </c>
    </row>
    <row r="12642" spans="1:24">
      <c r="A12642">
        <f>HYPERLINK("https://www.philgeps.gov.ph/GEPSNONPILOT/Tender/SplashBidNoticeAbstractUI.aspx?menuIndex=3&amp;refID=7070212&amp;Result=3","7070212")</f>
        <v>0</v>
      </c>
      <c r="B12642" t="s">
        <v>1274</v>
      </c>
      <c r="C12642" t="s">
        <v>15505</v>
      </c>
      <c r="D12642" t="s">
        <v>17466</v>
      </c>
      <c r="E12642" t="s">
        <v>28306</v>
      </c>
      <c r="F12642" t="s">
        <v>30052</v>
      </c>
      <c r="G12642" t="s">
        <v>30058</v>
      </c>
      <c r="H12642" t="s">
        <v>15498</v>
      </c>
      <c r="I12642" t="s">
        <v>4650</v>
      </c>
      <c r="J12642" t="s">
        <v>37891</v>
      </c>
      <c r="K12642" t="s">
        <v>39039</v>
      </c>
      <c r="M12642" t="s">
        <v>40634</v>
      </c>
      <c r="N12642" t="s">
        <v>43166</v>
      </c>
      <c r="O12642" t="s">
        <v>43167</v>
      </c>
      <c r="P12642">
        <v>0</v>
      </c>
      <c r="Q12642">
        <v>0</v>
      </c>
      <c r="R12642" t="s">
        <v>43178</v>
      </c>
      <c r="S12642" t="s">
        <v>43522</v>
      </c>
      <c r="T12642" t="s">
        <v>44762</v>
      </c>
      <c r="U12642" t="s">
        <v>55251</v>
      </c>
      <c r="W12642" t="s">
        <v>40634</v>
      </c>
      <c r="X12642" t="s">
        <v>43179</v>
      </c>
    </row>
    <row r="12643" spans="1:24">
      <c r="A12643">
        <f>HYPERLINK("https://www.philgeps.gov.ph/GEPSNONPILOT/Tender/SplashBidNoticeAbstractUI.aspx?menuIndex=3&amp;refID=7070209&amp;Result=3","7070209")</f>
        <v>0</v>
      </c>
      <c r="B12643" t="s">
        <v>2345</v>
      </c>
      <c r="C12643" t="s">
        <v>15506</v>
      </c>
      <c r="D12643" t="s">
        <v>17415</v>
      </c>
      <c r="E12643" t="s">
        <v>28307</v>
      </c>
      <c r="F12643" t="s">
        <v>30052</v>
      </c>
      <c r="G12643" t="s">
        <v>30058</v>
      </c>
      <c r="H12643" t="s">
        <v>15498</v>
      </c>
      <c r="I12643" t="s">
        <v>30124</v>
      </c>
      <c r="J12643" t="s">
        <v>32173</v>
      </c>
      <c r="K12643" t="s">
        <v>39023</v>
      </c>
      <c r="M12643" t="s">
        <v>41836</v>
      </c>
      <c r="N12643" t="s">
        <v>43166</v>
      </c>
      <c r="O12643" t="s">
        <v>43167</v>
      </c>
      <c r="P12643">
        <v>0</v>
      </c>
      <c r="Q12643">
        <v>3</v>
      </c>
      <c r="R12643" t="s">
        <v>43178</v>
      </c>
      <c r="S12643" t="s">
        <v>43522</v>
      </c>
      <c r="T12643" t="s">
        <v>44730</v>
      </c>
      <c r="U12643" t="s">
        <v>55252</v>
      </c>
      <c r="W12643" t="s">
        <v>41836</v>
      </c>
      <c r="X12643" t="s">
        <v>43179</v>
      </c>
    </row>
    <row r="12644" spans="1:24">
      <c r="A12644">
        <f>HYPERLINK("https://www.philgeps.gov.ph/GEPSNONPILOT/Tender/SplashBidNoticeAbstractUI.aspx?menuIndex=3&amp;refID=7070217&amp;Result=3","7070217")</f>
        <v>0</v>
      </c>
      <c r="B12644" t="s">
        <v>562</v>
      </c>
      <c r="C12644" t="s">
        <v>15507</v>
      </c>
      <c r="D12644" t="s">
        <v>17490</v>
      </c>
      <c r="E12644" t="s">
        <v>28308</v>
      </c>
      <c r="F12644" t="s">
        <v>30052</v>
      </c>
      <c r="G12644" t="s">
        <v>30058</v>
      </c>
      <c r="H12644" t="s">
        <v>30067</v>
      </c>
      <c r="I12644" t="s">
        <v>3693</v>
      </c>
      <c r="J12644" t="s">
        <v>36318</v>
      </c>
      <c r="K12644" t="s">
        <v>39019</v>
      </c>
      <c r="M12644" t="s">
        <v>39864</v>
      </c>
      <c r="N12644" t="s">
        <v>43166</v>
      </c>
      <c r="O12644" t="s">
        <v>43167</v>
      </c>
      <c r="P12644">
        <v>0</v>
      </c>
      <c r="Q12644">
        <v>0</v>
      </c>
      <c r="R12644" t="s">
        <v>43178</v>
      </c>
      <c r="S12644" t="s">
        <v>43522</v>
      </c>
      <c r="T12644" t="s">
        <v>44791</v>
      </c>
      <c r="U12644" t="s">
        <v>51442</v>
      </c>
      <c r="W12644" t="s">
        <v>39864</v>
      </c>
      <c r="X12644" t="s">
        <v>43179</v>
      </c>
    </row>
    <row r="12645" spans="1:24">
      <c r="A12645">
        <f>HYPERLINK("https://www.philgeps.gov.ph/GEPSNONPILOT/Tender/SplashBidNoticeAbstractUI.aspx?menuIndex=3&amp;refID=7070121&amp;Result=3","7070121")</f>
        <v>0</v>
      </c>
      <c r="B12645" t="s">
        <v>3281</v>
      </c>
      <c r="C12645" t="s">
        <v>15508</v>
      </c>
      <c r="D12645" t="s">
        <v>17455</v>
      </c>
      <c r="E12645" t="s">
        <v>17779</v>
      </c>
      <c r="F12645" t="s">
        <v>30052</v>
      </c>
      <c r="G12645" t="s">
        <v>30058</v>
      </c>
      <c r="H12645" t="s">
        <v>15498</v>
      </c>
      <c r="I12645" t="s">
        <v>3736</v>
      </c>
      <c r="J12645" t="s">
        <v>37892</v>
      </c>
      <c r="K12645" t="s">
        <v>39017</v>
      </c>
      <c r="M12645" t="s">
        <v>42915</v>
      </c>
      <c r="N12645" t="s">
        <v>43166</v>
      </c>
      <c r="O12645" t="s">
        <v>43167</v>
      </c>
      <c r="P12645">
        <v>0</v>
      </c>
      <c r="Q12645">
        <v>0</v>
      </c>
      <c r="R12645" t="s">
        <v>43178</v>
      </c>
      <c r="S12645" t="s">
        <v>43522</v>
      </c>
      <c r="T12645" t="s">
        <v>44862</v>
      </c>
      <c r="U12645" t="s">
        <v>55253</v>
      </c>
      <c r="W12645" t="s">
        <v>42915</v>
      </c>
      <c r="X12645" t="s">
        <v>43179</v>
      </c>
    </row>
    <row r="12646" spans="1:24">
      <c r="A12646">
        <f>HYPERLINK("https://www.philgeps.gov.ph/GEPSNONPILOT/Tender/SplashBidNoticeAbstractUI.aspx?menuIndex=3&amp;refID=7070214&amp;Result=3","7070214")</f>
        <v>0</v>
      </c>
      <c r="B12646" t="s">
        <v>1047</v>
      </c>
      <c r="C12646" t="s">
        <v>15509</v>
      </c>
      <c r="D12646" t="s">
        <v>17476</v>
      </c>
      <c r="E12646" t="s">
        <v>28309</v>
      </c>
      <c r="F12646" t="s">
        <v>30052</v>
      </c>
      <c r="G12646" t="s">
        <v>30058</v>
      </c>
      <c r="H12646" t="s">
        <v>15498</v>
      </c>
      <c r="I12646" t="s">
        <v>30081</v>
      </c>
      <c r="J12646" t="s">
        <v>31141</v>
      </c>
      <c r="K12646" t="s">
        <v>39034</v>
      </c>
      <c r="M12646" t="s">
        <v>40380</v>
      </c>
      <c r="N12646" t="s">
        <v>43166</v>
      </c>
      <c r="O12646" t="s">
        <v>43167</v>
      </c>
      <c r="P12646">
        <v>0</v>
      </c>
      <c r="Q12646">
        <v>0</v>
      </c>
      <c r="R12646" t="s">
        <v>43178</v>
      </c>
      <c r="S12646" t="s">
        <v>43522</v>
      </c>
      <c r="T12646" t="s">
        <v>44780</v>
      </c>
      <c r="U12646" t="s">
        <v>55254</v>
      </c>
      <c r="W12646" t="s">
        <v>58624</v>
      </c>
      <c r="X12646" t="s">
        <v>43179</v>
      </c>
    </row>
    <row r="12647" spans="1:24">
      <c r="A12647">
        <f>HYPERLINK("https://www.philgeps.gov.ph/GEPSNONPILOT/Tender/SplashBidNoticeAbstractUI.aspx?menuIndex=3&amp;refID=7053997&amp;Result=3","7053997")</f>
        <v>0</v>
      </c>
      <c r="B12647" t="s">
        <v>2990</v>
      </c>
      <c r="C12647" t="s">
        <v>15510</v>
      </c>
      <c r="D12647" t="s">
        <v>17461</v>
      </c>
      <c r="E12647" t="s">
        <v>28310</v>
      </c>
      <c r="F12647" t="s">
        <v>30052</v>
      </c>
      <c r="G12647" t="s">
        <v>30058</v>
      </c>
      <c r="H12647" t="s">
        <v>15498</v>
      </c>
      <c r="I12647" t="s">
        <v>30097</v>
      </c>
      <c r="J12647" t="s">
        <v>37893</v>
      </c>
      <c r="K12647" t="s">
        <v>39029</v>
      </c>
      <c r="M12647" t="s">
        <v>42560</v>
      </c>
      <c r="N12647" t="s">
        <v>43166</v>
      </c>
      <c r="O12647" t="s">
        <v>43167</v>
      </c>
      <c r="Q12647">
        <v>10</v>
      </c>
      <c r="R12647" t="s">
        <v>43185</v>
      </c>
      <c r="S12647" t="s">
        <v>43982</v>
      </c>
      <c r="T12647" t="s">
        <v>44880</v>
      </c>
      <c r="U12647" t="s">
        <v>55255</v>
      </c>
      <c r="W12647" t="s">
        <v>42560</v>
      </c>
      <c r="X12647" t="s">
        <v>43186</v>
      </c>
    </row>
    <row r="12648" spans="1:24">
      <c r="A12648">
        <f>HYPERLINK("https://www.philgeps.gov.ph/GEPSNONPILOT/Tender/SplashBidNoticeAbstractUI.aspx?menuIndex=3&amp;refID=7070119&amp;Result=3","7070119")</f>
        <v>0</v>
      </c>
      <c r="B12648" t="s">
        <v>1363</v>
      </c>
      <c r="C12648" t="s">
        <v>15511</v>
      </c>
      <c r="D12648" t="s">
        <v>17432</v>
      </c>
      <c r="E12648" t="s">
        <v>28311</v>
      </c>
      <c r="F12648" t="s">
        <v>30052</v>
      </c>
      <c r="G12648" t="s">
        <v>30058</v>
      </c>
      <c r="H12648" t="s">
        <v>15498</v>
      </c>
      <c r="I12648" t="s">
        <v>30073</v>
      </c>
      <c r="J12648" t="s">
        <v>30222</v>
      </c>
      <c r="K12648" t="s">
        <v>39029</v>
      </c>
      <c r="M12648" t="s">
        <v>40733</v>
      </c>
      <c r="N12648" t="s">
        <v>43166</v>
      </c>
      <c r="O12648" t="s">
        <v>43167</v>
      </c>
      <c r="Q12648">
        <v>3</v>
      </c>
      <c r="R12648" t="s">
        <v>43178</v>
      </c>
      <c r="S12648" t="s">
        <v>43983</v>
      </c>
      <c r="T12648" t="s">
        <v>45012</v>
      </c>
      <c r="U12648" t="s">
        <v>55256</v>
      </c>
      <c r="V12648" t="s">
        <v>57967</v>
      </c>
      <c r="W12648" t="s">
        <v>40733</v>
      </c>
      <c r="X12648" t="s">
        <v>43179</v>
      </c>
    </row>
    <row r="12649" spans="1:24">
      <c r="A12649">
        <f>HYPERLINK("https://www.philgeps.gov.ph/GEPSNONPILOT/Tender/SplashBidNoticeAbstractUI.aspx?menuIndex=3&amp;refID=7070118&amp;Result=3","7070118")</f>
        <v>0</v>
      </c>
      <c r="B12649" t="s">
        <v>1278</v>
      </c>
      <c r="C12649" t="s">
        <v>15512</v>
      </c>
      <c r="D12649" t="s">
        <v>17449</v>
      </c>
      <c r="E12649" t="s">
        <v>28312</v>
      </c>
      <c r="F12649" t="s">
        <v>30052</v>
      </c>
      <c r="G12649" t="s">
        <v>30058</v>
      </c>
      <c r="H12649" t="s">
        <v>15498</v>
      </c>
      <c r="I12649" t="s">
        <v>30091</v>
      </c>
      <c r="J12649" t="s">
        <v>30555</v>
      </c>
      <c r="K12649" t="s">
        <v>39029</v>
      </c>
      <c r="M12649" t="s">
        <v>40642</v>
      </c>
      <c r="N12649" t="s">
        <v>43166</v>
      </c>
      <c r="O12649" t="s">
        <v>43167</v>
      </c>
      <c r="P12649">
        <v>0</v>
      </c>
      <c r="Q12649">
        <v>4</v>
      </c>
      <c r="R12649" t="s">
        <v>43178</v>
      </c>
      <c r="S12649" t="s">
        <v>43522</v>
      </c>
      <c r="T12649" t="s">
        <v>44754</v>
      </c>
      <c r="U12649" t="s">
        <v>55257</v>
      </c>
      <c r="V12649" t="s">
        <v>53094</v>
      </c>
      <c r="W12649" t="s">
        <v>40642</v>
      </c>
      <c r="X12649" t="s">
        <v>43179</v>
      </c>
    </row>
    <row r="12650" spans="1:24">
      <c r="A12650">
        <f>HYPERLINK("https://www.philgeps.gov.ph/GEPSNONPILOT/Tender/SplashBidNoticeAbstractUI.aspx?menuIndex=3&amp;refID=7070210&amp;Result=3","7070210")</f>
        <v>0</v>
      </c>
      <c r="B12650" t="s">
        <v>3007</v>
      </c>
      <c r="C12650" t="s">
        <v>15513</v>
      </c>
      <c r="D12650" t="s">
        <v>17415</v>
      </c>
      <c r="E12650" t="s">
        <v>28313</v>
      </c>
      <c r="F12650" t="s">
        <v>30052</v>
      </c>
      <c r="G12650" t="s">
        <v>30058</v>
      </c>
      <c r="H12650" t="s">
        <v>30069</v>
      </c>
      <c r="I12650" t="s">
        <v>30084</v>
      </c>
      <c r="J12650" t="s">
        <v>30397</v>
      </c>
      <c r="K12650" t="s">
        <v>39067</v>
      </c>
      <c r="M12650" t="s">
        <v>42582</v>
      </c>
      <c r="N12650" t="s">
        <v>43166</v>
      </c>
      <c r="O12650" t="s">
        <v>43167</v>
      </c>
      <c r="P12650">
        <v>0</v>
      </c>
      <c r="Q12650">
        <v>14</v>
      </c>
      <c r="R12650" t="s">
        <v>43178</v>
      </c>
      <c r="S12650" t="s">
        <v>43522</v>
      </c>
      <c r="T12650" t="s">
        <v>44713</v>
      </c>
      <c r="U12650" t="s">
        <v>55258</v>
      </c>
      <c r="W12650" t="s">
        <v>42582</v>
      </c>
      <c r="X12650" t="s">
        <v>43179</v>
      </c>
    </row>
    <row r="12651" spans="1:24">
      <c r="A12651">
        <f>HYPERLINK("https://www.philgeps.gov.ph/GEPSNONPILOT/Tender/SplashBidNoticeAbstractUI.aspx?menuIndex=3&amp;refID=7070114&amp;Result=3","7070114")</f>
        <v>0</v>
      </c>
      <c r="B12651" t="s">
        <v>2395</v>
      </c>
      <c r="C12651" t="s">
        <v>15514</v>
      </c>
      <c r="E12651" t="s">
        <v>28314</v>
      </c>
      <c r="F12651" t="s">
        <v>30052</v>
      </c>
      <c r="G12651" t="s">
        <v>30058</v>
      </c>
      <c r="H12651" t="s">
        <v>30067</v>
      </c>
      <c r="I12651" t="s">
        <v>3693</v>
      </c>
      <c r="J12651" t="s">
        <v>30397</v>
      </c>
      <c r="K12651" t="s">
        <v>39031</v>
      </c>
      <c r="M12651" t="s">
        <v>41891</v>
      </c>
      <c r="N12651" t="s">
        <v>43166</v>
      </c>
      <c r="O12651" t="s">
        <v>43167</v>
      </c>
      <c r="Q12651">
        <v>0</v>
      </c>
      <c r="R12651" t="s">
        <v>43178</v>
      </c>
      <c r="S12651" t="s">
        <v>43519</v>
      </c>
      <c r="T12651" t="s">
        <v>44763</v>
      </c>
      <c r="U12651" t="s">
        <v>53317</v>
      </c>
      <c r="V12651" t="s">
        <v>57649</v>
      </c>
      <c r="W12651" t="s">
        <v>41891</v>
      </c>
      <c r="X12651" t="s">
        <v>43179</v>
      </c>
    </row>
    <row r="12652" spans="1:24">
      <c r="A12652">
        <f>HYPERLINK("https://www.philgeps.gov.ph/GEPSNONPILOT/Tender/SplashBidNoticeAbstractUI.aspx?menuIndex=3&amp;refID=7070015&amp;Result=3","7070015")</f>
        <v>0</v>
      </c>
      <c r="B12652" t="s">
        <v>2502</v>
      </c>
      <c r="C12652" t="s">
        <v>11211</v>
      </c>
      <c r="D12652" t="s">
        <v>17442</v>
      </c>
      <c r="E12652" t="s">
        <v>19706</v>
      </c>
      <c r="F12652" t="s">
        <v>30052</v>
      </c>
      <c r="G12652" t="s">
        <v>30058</v>
      </c>
      <c r="H12652" t="s">
        <v>15498</v>
      </c>
      <c r="I12652" t="s">
        <v>4119</v>
      </c>
      <c r="J12652" t="s">
        <v>37894</v>
      </c>
      <c r="K12652" t="s">
        <v>39019</v>
      </c>
      <c r="M12652" t="s">
        <v>42007</v>
      </c>
      <c r="N12652" t="s">
        <v>43166</v>
      </c>
      <c r="O12652" t="s">
        <v>43167</v>
      </c>
      <c r="P12652">
        <v>0</v>
      </c>
      <c r="Q12652">
        <v>7</v>
      </c>
      <c r="R12652" t="s">
        <v>43178</v>
      </c>
      <c r="S12652" t="s">
        <v>43522</v>
      </c>
      <c r="T12652" t="s">
        <v>44773</v>
      </c>
      <c r="U12652" t="s">
        <v>55259</v>
      </c>
      <c r="W12652" t="s">
        <v>42007</v>
      </c>
      <c r="X12652" t="s">
        <v>43179</v>
      </c>
    </row>
    <row r="12653" spans="1:24">
      <c r="A12653">
        <f>HYPERLINK("https://www.philgeps.gov.ph/GEPSNONPILOT/Tender/SplashBidNoticeAbstractUI.aspx?menuIndex=3&amp;refID=7069908&amp;Result=3","7069908")</f>
        <v>0</v>
      </c>
      <c r="B12653" t="s">
        <v>2550</v>
      </c>
      <c r="C12653" t="s">
        <v>15515</v>
      </c>
      <c r="D12653" t="s">
        <v>17445</v>
      </c>
      <c r="E12653" t="s">
        <v>28315</v>
      </c>
      <c r="F12653" t="s">
        <v>30052</v>
      </c>
      <c r="G12653" t="s">
        <v>30058</v>
      </c>
      <c r="H12653" t="s">
        <v>15498</v>
      </c>
      <c r="I12653" t="s">
        <v>5961</v>
      </c>
      <c r="J12653" t="s">
        <v>37895</v>
      </c>
      <c r="K12653" t="s">
        <v>39031</v>
      </c>
      <c r="M12653" t="s">
        <v>42057</v>
      </c>
      <c r="N12653" t="s">
        <v>43166</v>
      </c>
      <c r="O12653" t="s">
        <v>43167</v>
      </c>
      <c r="P12653">
        <v>0</v>
      </c>
      <c r="Q12653">
        <v>7</v>
      </c>
      <c r="R12653" t="s">
        <v>43178</v>
      </c>
      <c r="S12653" t="s">
        <v>43522</v>
      </c>
      <c r="T12653" t="s">
        <v>45000</v>
      </c>
      <c r="U12653" t="s">
        <v>55260</v>
      </c>
      <c r="W12653" t="s">
        <v>42057</v>
      </c>
      <c r="X12653" t="s">
        <v>43179</v>
      </c>
    </row>
    <row r="12654" spans="1:24">
      <c r="A12654">
        <f>HYPERLINK("https://www.philgeps.gov.ph/GEPSNONPILOT/Tender/SplashBidNoticeAbstractUI.aspx?menuIndex=3&amp;refID=7070207&amp;Result=3","7070207")</f>
        <v>0</v>
      </c>
      <c r="B12654" t="s">
        <v>1274</v>
      </c>
      <c r="C12654" t="s">
        <v>15516</v>
      </c>
      <c r="D12654" t="s">
        <v>17466</v>
      </c>
      <c r="E12654" t="s">
        <v>28316</v>
      </c>
      <c r="F12654" t="s">
        <v>30052</v>
      </c>
      <c r="G12654" t="s">
        <v>30058</v>
      </c>
      <c r="H12654" t="s">
        <v>15498</v>
      </c>
      <c r="I12654" t="s">
        <v>30105</v>
      </c>
      <c r="J12654" t="s">
        <v>30606</v>
      </c>
      <c r="K12654" t="s">
        <v>39039</v>
      </c>
      <c r="M12654" t="s">
        <v>40634</v>
      </c>
      <c r="N12654" t="s">
        <v>43166</v>
      </c>
      <c r="O12654" t="s">
        <v>43167</v>
      </c>
      <c r="P12654">
        <v>0</v>
      </c>
      <c r="Q12654">
        <v>1</v>
      </c>
      <c r="R12654" t="s">
        <v>43178</v>
      </c>
      <c r="S12654" t="s">
        <v>43522</v>
      </c>
      <c r="T12654" t="s">
        <v>44762</v>
      </c>
      <c r="U12654" t="s">
        <v>55261</v>
      </c>
      <c r="W12654" t="s">
        <v>40634</v>
      </c>
      <c r="X12654" t="s">
        <v>43179</v>
      </c>
    </row>
    <row r="12655" spans="1:24">
      <c r="A12655">
        <f>HYPERLINK("https://www.philgeps.gov.ph/GEPSNONPILOT/Tender/SplashBidNoticeAbstractUI.aspx?menuIndex=3&amp;refID=7069899&amp;Result=3","7069899")</f>
        <v>0</v>
      </c>
      <c r="B12655" t="s">
        <v>90</v>
      </c>
      <c r="C12655" t="s">
        <v>15517</v>
      </c>
      <c r="D12655" t="s">
        <v>17414</v>
      </c>
      <c r="E12655" t="s">
        <v>28317</v>
      </c>
      <c r="F12655" t="s">
        <v>30052</v>
      </c>
      <c r="G12655" t="s">
        <v>30058</v>
      </c>
      <c r="H12655" t="s">
        <v>15498</v>
      </c>
      <c r="I12655" t="s">
        <v>30189</v>
      </c>
      <c r="J12655" t="s">
        <v>37896</v>
      </c>
      <c r="K12655" t="s">
        <v>39023</v>
      </c>
      <c r="M12655" t="s">
        <v>42448</v>
      </c>
      <c r="N12655" t="s">
        <v>43166</v>
      </c>
      <c r="O12655" t="s">
        <v>43167</v>
      </c>
      <c r="P12655">
        <v>0</v>
      </c>
      <c r="Q12655">
        <v>6</v>
      </c>
      <c r="R12655" t="s">
        <v>43178</v>
      </c>
      <c r="S12655" t="s">
        <v>43522</v>
      </c>
      <c r="T12655" t="s">
        <v>45005</v>
      </c>
      <c r="U12655" t="s">
        <v>55262</v>
      </c>
      <c r="W12655" t="s">
        <v>42448</v>
      </c>
      <c r="X12655" t="s">
        <v>43179</v>
      </c>
    </row>
    <row r="12656" spans="1:24">
      <c r="A12656">
        <f>HYPERLINK("https://www.philgeps.gov.ph/GEPSNONPILOT/Tender/SplashBidNoticeAbstractUI.aspx?menuIndex=3&amp;refID=7070116&amp;Result=3","7070116")</f>
        <v>0</v>
      </c>
      <c r="B12656" t="s">
        <v>1363</v>
      </c>
      <c r="C12656" t="s">
        <v>15518</v>
      </c>
      <c r="D12656" t="s">
        <v>17432</v>
      </c>
      <c r="E12656" t="s">
        <v>28318</v>
      </c>
      <c r="F12656" t="s">
        <v>30052</v>
      </c>
      <c r="G12656" t="s">
        <v>30058</v>
      </c>
      <c r="H12656" t="s">
        <v>15498</v>
      </c>
      <c r="I12656" t="s">
        <v>30106</v>
      </c>
      <c r="J12656" t="s">
        <v>31362</v>
      </c>
      <c r="K12656" t="s">
        <v>39029</v>
      </c>
      <c r="M12656" t="s">
        <v>40733</v>
      </c>
      <c r="N12656" t="s">
        <v>43166</v>
      </c>
      <c r="O12656" t="s">
        <v>43167</v>
      </c>
      <c r="P12656">
        <v>0</v>
      </c>
      <c r="Q12656">
        <v>9</v>
      </c>
      <c r="R12656" t="s">
        <v>43178</v>
      </c>
      <c r="S12656" t="s">
        <v>43522</v>
      </c>
      <c r="T12656" t="s">
        <v>45012</v>
      </c>
      <c r="U12656" t="s">
        <v>55263</v>
      </c>
      <c r="V12656" t="s">
        <v>57967</v>
      </c>
      <c r="W12656" t="s">
        <v>40733</v>
      </c>
      <c r="X12656" t="s">
        <v>43179</v>
      </c>
    </row>
    <row r="12657" spans="1:24">
      <c r="A12657">
        <f>HYPERLINK("https://www.philgeps.gov.ph/GEPSNONPILOT/Tender/SplashBidNoticeAbstractUI.aspx?menuIndex=3&amp;refID=7070019&amp;Result=3","7070019")</f>
        <v>0</v>
      </c>
      <c r="B12657" t="s">
        <v>1945</v>
      </c>
      <c r="C12657" t="s">
        <v>15519</v>
      </c>
      <c r="D12657" t="s">
        <v>17427</v>
      </c>
      <c r="E12657" t="s">
        <v>28319</v>
      </c>
      <c r="F12657" t="s">
        <v>30052</v>
      </c>
      <c r="G12657" t="s">
        <v>30058</v>
      </c>
      <c r="H12657" t="s">
        <v>15498</v>
      </c>
      <c r="I12657" t="s">
        <v>8323</v>
      </c>
      <c r="J12657" t="s">
        <v>30222</v>
      </c>
      <c r="K12657" t="s">
        <v>39046</v>
      </c>
      <c r="M12657" t="s">
        <v>42354</v>
      </c>
      <c r="N12657" t="s">
        <v>43166</v>
      </c>
      <c r="O12657" t="s">
        <v>43167</v>
      </c>
      <c r="P12657">
        <v>0</v>
      </c>
      <c r="Q12657">
        <v>11</v>
      </c>
      <c r="R12657" t="s">
        <v>43178</v>
      </c>
      <c r="S12657" t="s">
        <v>43522</v>
      </c>
      <c r="T12657" t="s">
        <v>45020</v>
      </c>
      <c r="U12657" t="s">
        <v>55264</v>
      </c>
      <c r="W12657" t="s">
        <v>42354</v>
      </c>
      <c r="X12657" t="s">
        <v>43179</v>
      </c>
    </row>
    <row r="12658" spans="1:24">
      <c r="A12658">
        <f>HYPERLINK("https://www.philgeps.gov.ph/GEPSNONPILOT/Tender/SplashBidNoticeAbstractUI.aspx?menuIndex=3&amp;refID=7069913&amp;Result=3","7069913")</f>
        <v>0</v>
      </c>
      <c r="B12658" t="s">
        <v>217</v>
      </c>
      <c r="C12658" t="s">
        <v>15520</v>
      </c>
      <c r="D12658" t="s">
        <v>17458</v>
      </c>
      <c r="E12658" t="s">
        <v>28320</v>
      </c>
      <c r="F12658" t="s">
        <v>30052</v>
      </c>
      <c r="G12658" t="s">
        <v>30058</v>
      </c>
      <c r="H12658" t="s">
        <v>15498</v>
      </c>
      <c r="I12658" t="s">
        <v>30122</v>
      </c>
      <c r="J12658" t="s">
        <v>30252</v>
      </c>
      <c r="K12658" t="s">
        <v>39019</v>
      </c>
      <c r="M12658" t="s">
        <v>39507</v>
      </c>
      <c r="N12658" t="s">
        <v>43166</v>
      </c>
      <c r="O12658" t="s">
        <v>43167</v>
      </c>
      <c r="P12658">
        <v>0</v>
      </c>
      <c r="Q12658">
        <v>0</v>
      </c>
      <c r="R12658" t="s">
        <v>43178</v>
      </c>
      <c r="S12658" t="s">
        <v>43522</v>
      </c>
      <c r="T12658" t="s">
        <v>44822</v>
      </c>
      <c r="U12658" t="s">
        <v>55265</v>
      </c>
      <c r="W12658" t="s">
        <v>39507</v>
      </c>
      <c r="X12658" t="s">
        <v>43179</v>
      </c>
    </row>
    <row r="12659" spans="1:24">
      <c r="A12659">
        <f>HYPERLINK("https://www.philgeps.gov.ph/GEPSNONPILOT/Tender/SplashBidNoticeAbstractUI.aspx?menuIndex=3&amp;refID=7069893&amp;Result=3","7069893")</f>
        <v>0</v>
      </c>
      <c r="B12659" t="s">
        <v>2055</v>
      </c>
      <c r="C12659" t="s">
        <v>15521</v>
      </c>
      <c r="D12659" t="s">
        <v>17419</v>
      </c>
      <c r="E12659" t="s">
        <v>28321</v>
      </c>
      <c r="F12659" t="s">
        <v>30052</v>
      </c>
      <c r="G12659" t="s">
        <v>30058</v>
      </c>
      <c r="H12659" t="s">
        <v>15498</v>
      </c>
      <c r="I12659" t="s">
        <v>9238</v>
      </c>
      <c r="J12659" t="s">
        <v>37897</v>
      </c>
      <c r="K12659" t="s">
        <v>39025</v>
      </c>
      <c r="M12659" t="s">
        <v>42300</v>
      </c>
      <c r="N12659" t="s">
        <v>43166</v>
      </c>
      <c r="O12659" t="s">
        <v>43167</v>
      </c>
      <c r="P12659">
        <v>0</v>
      </c>
      <c r="Q12659">
        <v>14</v>
      </c>
      <c r="R12659" t="s">
        <v>43178</v>
      </c>
      <c r="S12659" t="s">
        <v>43522</v>
      </c>
      <c r="T12659" t="s">
        <v>44762</v>
      </c>
      <c r="U12659" t="s">
        <v>55266</v>
      </c>
      <c r="W12659" t="s">
        <v>42300</v>
      </c>
      <c r="X12659" t="s">
        <v>43179</v>
      </c>
    </row>
    <row r="12660" spans="1:24">
      <c r="A12660">
        <f>HYPERLINK("https://www.philgeps.gov.ph/GEPSNONPILOT/Tender/SplashBidNoticeAbstractUI.aspx?menuIndex=3&amp;refID=7069106&amp;Result=3","7069106")</f>
        <v>0</v>
      </c>
      <c r="B12660" t="s">
        <v>744</v>
      </c>
      <c r="C12660" t="s">
        <v>15522</v>
      </c>
      <c r="D12660" t="s">
        <v>17478</v>
      </c>
      <c r="E12660" t="s">
        <v>28322</v>
      </c>
      <c r="F12660" t="s">
        <v>30052</v>
      </c>
      <c r="G12660" t="s">
        <v>30058</v>
      </c>
      <c r="H12660" t="s">
        <v>30067</v>
      </c>
      <c r="I12660" t="s">
        <v>3693</v>
      </c>
      <c r="J12660" t="s">
        <v>37898</v>
      </c>
      <c r="K12660" t="s">
        <v>39023</v>
      </c>
      <c r="M12660" t="s">
        <v>40058</v>
      </c>
      <c r="N12660" t="s">
        <v>43166</v>
      </c>
      <c r="O12660" t="s">
        <v>43167</v>
      </c>
      <c r="P12660">
        <v>0</v>
      </c>
      <c r="Q12660">
        <v>1</v>
      </c>
      <c r="R12660" t="s">
        <v>43178</v>
      </c>
      <c r="S12660" t="s">
        <v>43522</v>
      </c>
      <c r="T12660" t="s">
        <v>44791</v>
      </c>
      <c r="U12660" t="s">
        <v>55267</v>
      </c>
      <c r="V12660" t="s">
        <v>58289</v>
      </c>
      <c r="W12660" t="s">
        <v>40058</v>
      </c>
      <c r="X12660" t="s">
        <v>43179</v>
      </c>
    </row>
    <row r="12661" spans="1:24">
      <c r="A12661">
        <f>HYPERLINK("https://www.philgeps.gov.ph/GEPSNONPILOT/Tender/SplashBidNoticeAbstractUI.aspx?menuIndex=3&amp;refID=7069105&amp;Result=3","7069105")</f>
        <v>0</v>
      </c>
      <c r="B12661" t="s">
        <v>2867</v>
      </c>
      <c r="C12661" t="s">
        <v>15523</v>
      </c>
      <c r="D12661" t="s">
        <v>17478</v>
      </c>
      <c r="E12661" t="s">
        <v>28323</v>
      </c>
      <c r="F12661" t="s">
        <v>30052</v>
      </c>
      <c r="G12661" t="s">
        <v>30058</v>
      </c>
      <c r="H12661" t="s">
        <v>15498</v>
      </c>
      <c r="I12661" t="s">
        <v>5961</v>
      </c>
      <c r="J12661" t="s">
        <v>31196</v>
      </c>
      <c r="K12661" t="s">
        <v>39025</v>
      </c>
      <c r="M12661" t="s">
        <v>42415</v>
      </c>
      <c r="N12661" t="s">
        <v>43166</v>
      </c>
      <c r="O12661" t="s">
        <v>43167</v>
      </c>
      <c r="P12661">
        <v>0</v>
      </c>
      <c r="Q12661">
        <v>0</v>
      </c>
      <c r="R12661" t="s">
        <v>43178</v>
      </c>
      <c r="S12661" t="s">
        <v>43522</v>
      </c>
      <c r="T12661" t="s">
        <v>44685</v>
      </c>
      <c r="U12661" t="s">
        <v>55268</v>
      </c>
      <c r="V12661" t="s">
        <v>58290</v>
      </c>
      <c r="W12661" t="s">
        <v>42415</v>
      </c>
      <c r="X12661" t="s">
        <v>43179</v>
      </c>
    </row>
    <row r="12662" spans="1:24">
      <c r="A12662">
        <f>HYPERLINK("https://www.philgeps.gov.ph/GEPSNONPILOT/Tender/SplashBidNoticeAbstractUI.aspx?menuIndex=3&amp;refID=7069091&amp;Result=3","7069091")</f>
        <v>0</v>
      </c>
      <c r="B12662" t="s">
        <v>2274</v>
      </c>
      <c r="C12662" t="s">
        <v>15524</v>
      </c>
      <c r="D12662" t="s">
        <v>17419</v>
      </c>
      <c r="E12662" t="s">
        <v>28324</v>
      </c>
      <c r="F12662" t="s">
        <v>30055</v>
      </c>
      <c r="G12662" t="s">
        <v>30058</v>
      </c>
      <c r="H12662" t="s">
        <v>15498</v>
      </c>
      <c r="I12662" t="s">
        <v>3736</v>
      </c>
      <c r="J12662" t="s">
        <v>37899</v>
      </c>
      <c r="K12662" t="s">
        <v>39029</v>
      </c>
      <c r="M12662" t="s">
        <v>42433</v>
      </c>
      <c r="N12662" t="s">
        <v>43166</v>
      </c>
      <c r="O12662" t="s">
        <v>43167</v>
      </c>
      <c r="P12662">
        <v>0</v>
      </c>
      <c r="Q12662">
        <v>0</v>
      </c>
      <c r="R12662" t="s">
        <v>43178</v>
      </c>
      <c r="S12662" t="s">
        <v>43522</v>
      </c>
      <c r="T12662" t="s">
        <v>44710</v>
      </c>
      <c r="U12662" t="s">
        <v>53173</v>
      </c>
      <c r="W12662" t="s">
        <v>42433</v>
      </c>
      <c r="X12662" t="s">
        <v>43179</v>
      </c>
    </row>
    <row r="12663" spans="1:24">
      <c r="A12663">
        <f>HYPERLINK("https://www.philgeps.gov.ph/GEPSNONPILOT/Tender/SplashBidNoticeAbstractUI.aspx?menuIndex=3&amp;refID=7069086&amp;Result=3","7069086")</f>
        <v>0</v>
      </c>
      <c r="B12663" t="s">
        <v>2870</v>
      </c>
      <c r="C12663" t="s">
        <v>15525</v>
      </c>
      <c r="D12663" t="s">
        <v>17466</v>
      </c>
      <c r="E12663" t="s">
        <v>20621</v>
      </c>
      <c r="F12663" t="s">
        <v>30052</v>
      </c>
      <c r="G12663" t="s">
        <v>30058</v>
      </c>
      <c r="H12663" t="s">
        <v>15498</v>
      </c>
      <c r="I12663" t="s">
        <v>30165</v>
      </c>
      <c r="J12663" t="s">
        <v>30905</v>
      </c>
      <c r="K12663" t="s">
        <v>39025</v>
      </c>
      <c r="M12663" t="s">
        <v>42418</v>
      </c>
      <c r="N12663" t="s">
        <v>43166</v>
      </c>
      <c r="O12663" t="s">
        <v>43167</v>
      </c>
      <c r="P12663">
        <v>0</v>
      </c>
      <c r="Q12663">
        <v>0</v>
      </c>
      <c r="R12663" t="s">
        <v>43178</v>
      </c>
      <c r="S12663" t="s">
        <v>43522</v>
      </c>
      <c r="T12663" t="s">
        <v>44806</v>
      </c>
      <c r="U12663" t="s">
        <v>55269</v>
      </c>
      <c r="W12663" t="s">
        <v>42418</v>
      </c>
      <c r="X12663" t="s">
        <v>43179</v>
      </c>
    </row>
    <row r="12664" spans="1:24">
      <c r="A12664">
        <f>HYPERLINK("https://www.philgeps.gov.ph/GEPSNONPILOT/Tender/SplashBidNoticeAbstractUI.aspx?menuIndex=3&amp;refID=7068954&amp;Result=3","7068954")</f>
        <v>0</v>
      </c>
      <c r="B12664" t="s">
        <v>2882</v>
      </c>
      <c r="C12664" t="s">
        <v>4603</v>
      </c>
      <c r="D12664" t="s">
        <v>17419</v>
      </c>
      <c r="E12664" t="s">
        <v>26052</v>
      </c>
      <c r="F12664" t="s">
        <v>30054</v>
      </c>
      <c r="G12664" t="s">
        <v>30058</v>
      </c>
      <c r="H12664" t="s">
        <v>15498</v>
      </c>
      <c r="I12664" t="s">
        <v>3736</v>
      </c>
      <c r="J12664" t="s">
        <v>32397</v>
      </c>
      <c r="K12664" t="s">
        <v>39019</v>
      </c>
      <c r="M12664" t="s">
        <v>42432</v>
      </c>
      <c r="N12664" t="s">
        <v>43166</v>
      </c>
      <c r="O12664" t="s">
        <v>43167</v>
      </c>
      <c r="P12664">
        <v>0</v>
      </c>
      <c r="Q12664">
        <v>0</v>
      </c>
      <c r="R12664" t="s">
        <v>43178</v>
      </c>
      <c r="S12664" t="s">
        <v>43522</v>
      </c>
      <c r="T12664" t="s">
        <v>44715</v>
      </c>
      <c r="U12664" t="s">
        <v>48411</v>
      </c>
      <c r="W12664" t="s">
        <v>42432</v>
      </c>
      <c r="X12664" t="s">
        <v>43179</v>
      </c>
    </row>
    <row r="12665" spans="1:24">
      <c r="A12665">
        <f>HYPERLINK("https://www.philgeps.gov.ph/GEPSNONPILOT/Tender/SplashBidNoticeAbstractUI.aspx?menuIndex=3&amp;refID=7068947&amp;Result=3","7068947")</f>
        <v>0</v>
      </c>
      <c r="B12665" t="s">
        <v>679</v>
      </c>
      <c r="C12665" t="s">
        <v>15526</v>
      </c>
      <c r="D12665" t="s">
        <v>17419</v>
      </c>
      <c r="E12665" t="s">
        <v>28325</v>
      </c>
      <c r="F12665" t="s">
        <v>30052</v>
      </c>
      <c r="G12665" t="s">
        <v>30058</v>
      </c>
      <c r="H12665" t="s">
        <v>15498</v>
      </c>
      <c r="I12665" t="s">
        <v>3736</v>
      </c>
      <c r="J12665" t="s">
        <v>37900</v>
      </c>
      <c r="K12665" t="s">
        <v>39034</v>
      </c>
      <c r="M12665" t="s">
        <v>39985</v>
      </c>
      <c r="N12665" t="s">
        <v>43166</v>
      </c>
      <c r="O12665" t="s">
        <v>43167</v>
      </c>
      <c r="P12665">
        <v>0</v>
      </c>
      <c r="Q12665">
        <v>0</v>
      </c>
      <c r="R12665" t="s">
        <v>43178</v>
      </c>
      <c r="S12665" t="s">
        <v>43522</v>
      </c>
      <c r="T12665" t="s">
        <v>44717</v>
      </c>
      <c r="U12665" t="s">
        <v>55270</v>
      </c>
      <c r="W12665" t="s">
        <v>39985</v>
      </c>
      <c r="X12665" t="s">
        <v>43179</v>
      </c>
    </row>
    <row r="12666" spans="1:24">
      <c r="A12666">
        <f>HYPERLINK("https://www.philgeps.gov.ph/GEPSNONPILOT/Tender/SplashBidNoticeAbstractUI.aspx?menuIndex=3&amp;refID=7068941&amp;Result=3","7068941")</f>
        <v>0</v>
      </c>
      <c r="B12666" t="s">
        <v>396</v>
      </c>
      <c r="C12666" t="s">
        <v>15527</v>
      </c>
      <c r="D12666" t="s">
        <v>17444</v>
      </c>
      <c r="E12666" t="s">
        <v>28326</v>
      </c>
      <c r="F12666" t="s">
        <v>30052</v>
      </c>
      <c r="G12666" t="s">
        <v>30058</v>
      </c>
      <c r="H12666" t="s">
        <v>15498</v>
      </c>
      <c r="I12666" t="s">
        <v>30137</v>
      </c>
      <c r="J12666" t="s">
        <v>34576</v>
      </c>
      <c r="K12666" t="s">
        <v>39029</v>
      </c>
      <c r="M12666" t="s">
        <v>39694</v>
      </c>
      <c r="N12666" t="s">
        <v>43166</v>
      </c>
      <c r="O12666" t="s">
        <v>43167</v>
      </c>
      <c r="Q12666">
        <v>2</v>
      </c>
      <c r="R12666" t="s">
        <v>43178</v>
      </c>
      <c r="S12666" t="s">
        <v>43984</v>
      </c>
      <c r="T12666" t="s">
        <v>44837</v>
      </c>
      <c r="U12666" t="s">
        <v>55271</v>
      </c>
      <c r="W12666" t="s">
        <v>39694</v>
      </c>
      <c r="X12666" t="s">
        <v>43179</v>
      </c>
    </row>
    <row r="12667" spans="1:24">
      <c r="A12667">
        <f>HYPERLINK("https://www.philgeps.gov.ph/GEPSNONPILOT/Tender/SplashBidNoticeAbstractUI.aspx?menuIndex=3&amp;refID=7069112&amp;Result=3","7069112")</f>
        <v>0</v>
      </c>
      <c r="B12667" t="s">
        <v>685</v>
      </c>
      <c r="C12667" t="s">
        <v>15528</v>
      </c>
      <c r="D12667" t="s">
        <v>17460</v>
      </c>
      <c r="E12667" t="s">
        <v>28327</v>
      </c>
      <c r="F12667" t="s">
        <v>30052</v>
      </c>
      <c r="G12667" t="s">
        <v>30058</v>
      </c>
      <c r="H12667" t="s">
        <v>30067</v>
      </c>
      <c r="I12667" t="s">
        <v>3693</v>
      </c>
      <c r="J12667" t="s">
        <v>30247</v>
      </c>
      <c r="K12667" t="s">
        <v>39023</v>
      </c>
      <c r="M12667" t="s">
        <v>39991</v>
      </c>
      <c r="N12667" t="s">
        <v>43166</v>
      </c>
      <c r="O12667" t="s">
        <v>43167</v>
      </c>
      <c r="P12667">
        <v>0</v>
      </c>
      <c r="Q12667">
        <v>17</v>
      </c>
      <c r="R12667" t="s">
        <v>43178</v>
      </c>
      <c r="S12667" t="s">
        <v>43522</v>
      </c>
      <c r="T12667" t="s">
        <v>44750</v>
      </c>
      <c r="U12667" t="s">
        <v>55272</v>
      </c>
      <c r="W12667" t="s">
        <v>39991</v>
      </c>
      <c r="X12667" t="s">
        <v>43179</v>
      </c>
    </row>
    <row r="12668" spans="1:24">
      <c r="A12668">
        <f>HYPERLINK("https://www.philgeps.gov.ph/GEPSNONPILOT/Tender/SplashBidNoticeAbstractUI.aspx?menuIndex=3&amp;refID=7069897&amp;Result=3","7069897")</f>
        <v>0</v>
      </c>
      <c r="B12668" t="s">
        <v>1531</v>
      </c>
      <c r="C12668" t="s">
        <v>15529</v>
      </c>
      <c r="D12668" t="s">
        <v>17446</v>
      </c>
      <c r="E12668" t="s">
        <v>28328</v>
      </c>
      <c r="F12668" t="s">
        <v>30052</v>
      </c>
      <c r="G12668" t="s">
        <v>30058</v>
      </c>
      <c r="H12668" t="s">
        <v>30067</v>
      </c>
      <c r="I12668" t="s">
        <v>3693</v>
      </c>
      <c r="J12668" t="s">
        <v>37901</v>
      </c>
      <c r="K12668" t="s">
        <v>39022</v>
      </c>
      <c r="M12668" t="s">
        <v>40917</v>
      </c>
      <c r="N12668" t="s">
        <v>43166</v>
      </c>
      <c r="O12668" t="s">
        <v>43167</v>
      </c>
      <c r="P12668">
        <v>0</v>
      </c>
      <c r="Q12668">
        <v>0</v>
      </c>
      <c r="R12668" t="s">
        <v>43178</v>
      </c>
      <c r="S12668" t="s">
        <v>43522</v>
      </c>
      <c r="T12668" t="s">
        <v>44791</v>
      </c>
      <c r="U12668" t="s">
        <v>53345</v>
      </c>
      <c r="W12668" t="s">
        <v>40917</v>
      </c>
      <c r="X12668" t="s">
        <v>43179</v>
      </c>
    </row>
    <row r="12669" spans="1:24">
      <c r="A12669">
        <f>HYPERLINK("https://www.philgeps.gov.ph/GEPSNONPILOT/Tender/SplashBidNoticeAbstractUI.aspx?menuIndex=3&amp;refID=7068946&amp;Result=3","7068946")</f>
        <v>0</v>
      </c>
      <c r="B12669" t="s">
        <v>289</v>
      </c>
      <c r="C12669" t="s">
        <v>15530</v>
      </c>
      <c r="D12669" t="s">
        <v>17442</v>
      </c>
      <c r="E12669" t="s">
        <v>28329</v>
      </c>
      <c r="F12669" t="s">
        <v>30052</v>
      </c>
      <c r="G12669" t="s">
        <v>30058</v>
      </c>
      <c r="H12669" t="s">
        <v>30067</v>
      </c>
      <c r="I12669" t="s">
        <v>3693</v>
      </c>
      <c r="J12669" t="s">
        <v>37902</v>
      </c>
      <c r="K12669" t="s">
        <v>39026</v>
      </c>
      <c r="M12669" t="s">
        <v>39584</v>
      </c>
      <c r="N12669" t="s">
        <v>43166</v>
      </c>
      <c r="O12669" t="s">
        <v>43167</v>
      </c>
      <c r="P12669">
        <v>0</v>
      </c>
      <c r="Q12669">
        <v>0</v>
      </c>
      <c r="R12669" t="s">
        <v>43178</v>
      </c>
      <c r="S12669" t="s">
        <v>43522</v>
      </c>
      <c r="T12669" t="s">
        <v>44687</v>
      </c>
      <c r="U12669" t="s">
        <v>55273</v>
      </c>
      <c r="W12669" t="s">
        <v>39584</v>
      </c>
      <c r="X12669" t="s">
        <v>43179</v>
      </c>
    </row>
    <row r="12670" spans="1:24">
      <c r="A12670">
        <f>HYPERLINK("https://www.philgeps.gov.ph/GEPSNONPILOT/Tender/SplashBidNoticeAbstractUI.aspx?menuIndex=3&amp;refID=7068853&amp;Result=3","7068853")</f>
        <v>0</v>
      </c>
      <c r="B12670" t="s">
        <v>2862</v>
      </c>
      <c r="C12670" t="s">
        <v>15531</v>
      </c>
      <c r="D12670" t="s">
        <v>17443</v>
      </c>
      <c r="E12670" t="s">
        <v>28330</v>
      </c>
      <c r="F12670" t="s">
        <v>30052</v>
      </c>
      <c r="G12670" t="s">
        <v>30058</v>
      </c>
      <c r="H12670" t="s">
        <v>15498</v>
      </c>
      <c r="I12670" t="s">
        <v>30120</v>
      </c>
      <c r="J12670" t="s">
        <v>30207</v>
      </c>
      <c r="K12670" t="s">
        <v>39029</v>
      </c>
      <c r="M12670" t="s">
        <v>42410</v>
      </c>
      <c r="N12670" t="s">
        <v>43166</v>
      </c>
      <c r="O12670" t="s">
        <v>43167</v>
      </c>
      <c r="P12670">
        <v>0</v>
      </c>
      <c r="Q12670">
        <v>2</v>
      </c>
      <c r="R12670" t="s">
        <v>43178</v>
      </c>
      <c r="S12670" t="s">
        <v>43522</v>
      </c>
      <c r="T12670" t="s">
        <v>44763</v>
      </c>
      <c r="U12670" t="s">
        <v>53156</v>
      </c>
      <c r="V12670" t="s">
        <v>57959</v>
      </c>
      <c r="W12670" t="s">
        <v>42410</v>
      </c>
      <c r="X12670" t="s">
        <v>43179</v>
      </c>
    </row>
    <row r="12671" spans="1:24">
      <c r="A12671">
        <f>HYPERLINK("https://www.philgeps.gov.ph/GEPSNONPILOT/Tender/SplashBidNoticeAbstractUI.aspx?menuIndex=3&amp;refID=7068868&amp;Result=3","7068868")</f>
        <v>0</v>
      </c>
      <c r="B12671" t="s">
        <v>2865</v>
      </c>
      <c r="C12671" t="s">
        <v>15532</v>
      </c>
      <c r="D12671" t="s">
        <v>17422</v>
      </c>
      <c r="E12671" t="s">
        <v>26000</v>
      </c>
      <c r="F12671" t="s">
        <v>30052</v>
      </c>
      <c r="G12671" t="s">
        <v>30061</v>
      </c>
      <c r="H12671" t="s">
        <v>15498</v>
      </c>
      <c r="I12671" t="s">
        <v>3736</v>
      </c>
      <c r="J12671" t="s">
        <v>37903</v>
      </c>
      <c r="K12671" t="s">
        <v>39029</v>
      </c>
      <c r="M12671" t="s">
        <v>42413</v>
      </c>
      <c r="N12671" t="s">
        <v>43166</v>
      </c>
      <c r="O12671" t="s">
        <v>43167</v>
      </c>
      <c r="P12671">
        <v>0</v>
      </c>
      <c r="Q12671">
        <v>2</v>
      </c>
      <c r="R12671" t="s">
        <v>43178</v>
      </c>
      <c r="S12671" t="s">
        <v>43522</v>
      </c>
      <c r="T12671" t="s">
        <v>44696</v>
      </c>
      <c r="U12671" t="s">
        <v>55274</v>
      </c>
      <c r="V12671" t="s">
        <v>58291</v>
      </c>
      <c r="W12671" t="s">
        <v>42413</v>
      </c>
      <c r="X12671" t="s">
        <v>43179</v>
      </c>
    </row>
    <row r="12672" spans="1:24">
      <c r="A12672">
        <f>HYPERLINK("https://www.philgeps.gov.ph/GEPSNONPILOT/Tender/SplashBidNoticeAbstractUI.aspx?menuIndex=3&amp;refID=7068852&amp;Result=3","7068852")</f>
        <v>0</v>
      </c>
      <c r="B12672" t="s">
        <v>2687</v>
      </c>
      <c r="C12672" t="s">
        <v>15533</v>
      </c>
      <c r="D12672" t="s">
        <v>17444</v>
      </c>
      <c r="E12672" t="s">
        <v>28331</v>
      </c>
      <c r="F12672" t="s">
        <v>30052</v>
      </c>
      <c r="G12672" t="s">
        <v>30059</v>
      </c>
      <c r="H12672" t="s">
        <v>15498</v>
      </c>
      <c r="I12672" t="s">
        <v>30109</v>
      </c>
      <c r="J12672" t="s">
        <v>37904</v>
      </c>
      <c r="K12672" t="s">
        <v>39019</v>
      </c>
      <c r="M12672" t="s">
        <v>42208</v>
      </c>
      <c r="N12672" t="s">
        <v>43166</v>
      </c>
      <c r="O12672" t="s">
        <v>43167</v>
      </c>
      <c r="Q12672">
        <v>3</v>
      </c>
      <c r="R12672" t="s">
        <v>43178</v>
      </c>
      <c r="S12672" t="s">
        <v>43985</v>
      </c>
      <c r="T12672" t="s">
        <v>45047</v>
      </c>
      <c r="U12672" t="s">
        <v>55275</v>
      </c>
      <c r="V12672" t="s">
        <v>58292</v>
      </c>
      <c r="W12672" t="s">
        <v>42208</v>
      </c>
      <c r="X12672" t="s">
        <v>43179</v>
      </c>
    </row>
    <row r="12673" spans="1:24">
      <c r="A12673">
        <f>HYPERLINK("https://www.philgeps.gov.ph/GEPSNONPILOT/Tender/SplashBidNoticeAbstractUI.aspx?menuIndex=3&amp;refID=7068835&amp;Result=3","7068835")</f>
        <v>0</v>
      </c>
      <c r="B12673" t="s">
        <v>744</v>
      </c>
      <c r="C12673" t="s">
        <v>15534</v>
      </c>
      <c r="D12673" t="s">
        <v>17478</v>
      </c>
      <c r="E12673" t="s">
        <v>28332</v>
      </c>
      <c r="F12673" t="s">
        <v>30052</v>
      </c>
      <c r="G12673" t="s">
        <v>30058</v>
      </c>
      <c r="H12673" t="s">
        <v>30067</v>
      </c>
      <c r="I12673" t="s">
        <v>3693</v>
      </c>
      <c r="J12673" t="s">
        <v>37905</v>
      </c>
      <c r="K12673" t="s">
        <v>39026</v>
      </c>
      <c r="M12673" t="s">
        <v>40058</v>
      </c>
      <c r="N12673" t="s">
        <v>43166</v>
      </c>
      <c r="O12673" t="s">
        <v>43167</v>
      </c>
      <c r="P12673">
        <v>0</v>
      </c>
      <c r="Q12673">
        <v>0</v>
      </c>
      <c r="R12673" t="s">
        <v>43178</v>
      </c>
      <c r="S12673" t="s">
        <v>43522</v>
      </c>
      <c r="T12673" t="s">
        <v>44791</v>
      </c>
      <c r="U12673" t="s">
        <v>55276</v>
      </c>
      <c r="V12673" t="s">
        <v>58289</v>
      </c>
      <c r="W12673" t="s">
        <v>40058</v>
      </c>
      <c r="X12673" t="s">
        <v>43179</v>
      </c>
    </row>
    <row r="12674" spans="1:24">
      <c r="A12674">
        <f>HYPERLINK("https://www.philgeps.gov.ph/GEPSNONPILOT/Tender/SplashBidNoticeAbstractUI.aspx?menuIndex=3&amp;refID=7068721&amp;Result=3","7068721")</f>
        <v>0</v>
      </c>
      <c r="B12674" t="s">
        <v>2780</v>
      </c>
      <c r="C12674" t="s">
        <v>15535</v>
      </c>
      <c r="D12674" t="s">
        <v>17466</v>
      </c>
      <c r="E12674" t="s">
        <v>28333</v>
      </c>
      <c r="F12674" t="s">
        <v>30052</v>
      </c>
      <c r="G12674" t="s">
        <v>30059</v>
      </c>
      <c r="H12674" t="s">
        <v>15498</v>
      </c>
      <c r="I12674" t="s">
        <v>9238</v>
      </c>
      <c r="J12674" t="s">
        <v>30207</v>
      </c>
      <c r="K12674" t="s">
        <v>39023</v>
      </c>
      <c r="M12674" t="s">
        <v>42316</v>
      </c>
      <c r="N12674" t="s">
        <v>43166</v>
      </c>
      <c r="O12674" t="s">
        <v>43167</v>
      </c>
      <c r="P12674">
        <v>0</v>
      </c>
      <c r="Q12674">
        <v>30</v>
      </c>
      <c r="R12674" t="s">
        <v>43178</v>
      </c>
      <c r="S12674" t="s">
        <v>43522</v>
      </c>
      <c r="T12674" t="s">
        <v>44732</v>
      </c>
      <c r="U12674" t="s">
        <v>55277</v>
      </c>
      <c r="W12674" t="s">
        <v>42316</v>
      </c>
      <c r="X12674" t="s">
        <v>43179</v>
      </c>
    </row>
    <row r="12675" spans="1:24">
      <c r="A12675">
        <f>HYPERLINK("https://www.philgeps.gov.ph/GEPSNONPILOT/Tender/SplashBidNoticeAbstractUI.aspx?menuIndex=3&amp;refID=7069894&amp;Result=3","7069894")</f>
        <v>0</v>
      </c>
      <c r="B12675" t="s">
        <v>2870</v>
      </c>
      <c r="C12675" t="s">
        <v>15536</v>
      </c>
      <c r="D12675" t="s">
        <v>17466</v>
      </c>
      <c r="E12675" t="s">
        <v>28334</v>
      </c>
      <c r="F12675" t="s">
        <v>30052</v>
      </c>
      <c r="G12675" t="s">
        <v>30058</v>
      </c>
      <c r="H12675" t="s">
        <v>15498</v>
      </c>
      <c r="I12675" t="s">
        <v>30071</v>
      </c>
      <c r="J12675" t="s">
        <v>37906</v>
      </c>
      <c r="K12675" t="s">
        <v>39025</v>
      </c>
      <c r="M12675" t="s">
        <v>42418</v>
      </c>
      <c r="N12675" t="s">
        <v>43166</v>
      </c>
      <c r="O12675" t="s">
        <v>43167</v>
      </c>
      <c r="P12675">
        <v>0</v>
      </c>
      <c r="Q12675">
        <v>0</v>
      </c>
      <c r="R12675" t="s">
        <v>43178</v>
      </c>
      <c r="S12675" t="s">
        <v>43522</v>
      </c>
      <c r="T12675" t="s">
        <v>44806</v>
      </c>
      <c r="U12675" t="s">
        <v>55278</v>
      </c>
      <c r="W12675" t="s">
        <v>42418</v>
      </c>
      <c r="X12675" t="s">
        <v>43179</v>
      </c>
    </row>
    <row r="12676" spans="1:24">
      <c r="A12676">
        <f>HYPERLINK("https://www.philgeps.gov.ph/GEPSNONPILOT/Tender/SplashBidNoticeAbstractUI.aspx?menuIndex=3&amp;refID=7068822&amp;Result=3","7068822")</f>
        <v>0</v>
      </c>
      <c r="B12676" t="s">
        <v>2780</v>
      </c>
      <c r="C12676" t="s">
        <v>15537</v>
      </c>
      <c r="D12676" t="s">
        <v>17466</v>
      </c>
      <c r="E12676" t="s">
        <v>28335</v>
      </c>
      <c r="F12676" t="s">
        <v>30052</v>
      </c>
      <c r="G12676" t="s">
        <v>30059</v>
      </c>
      <c r="H12676" t="s">
        <v>15498</v>
      </c>
      <c r="I12676" t="s">
        <v>9238</v>
      </c>
      <c r="J12676" t="s">
        <v>30218</v>
      </c>
      <c r="K12676" t="s">
        <v>39029</v>
      </c>
      <c r="M12676" t="s">
        <v>42316</v>
      </c>
      <c r="N12676" t="s">
        <v>43166</v>
      </c>
      <c r="O12676" t="s">
        <v>43167</v>
      </c>
      <c r="P12676">
        <v>0</v>
      </c>
      <c r="Q12676">
        <v>25</v>
      </c>
      <c r="R12676" t="s">
        <v>43178</v>
      </c>
      <c r="S12676" t="s">
        <v>43522</v>
      </c>
      <c r="T12676" t="s">
        <v>44732</v>
      </c>
      <c r="U12676" t="s">
        <v>55279</v>
      </c>
      <c r="W12676" t="s">
        <v>42316</v>
      </c>
      <c r="X12676" t="s">
        <v>43179</v>
      </c>
    </row>
    <row r="12677" spans="1:24">
      <c r="A12677">
        <f>HYPERLINK("https://www.philgeps.gov.ph/GEPSNONPILOT/Tender/SplashBidNoticeAbstractUI.aspx?menuIndex=3&amp;refID=7068801&amp;Result=3","7068801")</f>
        <v>0</v>
      </c>
      <c r="B12677" t="s">
        <v>2687</v>
      </c>
      <c r="C12677" t="s">
        <v>15538</v>
      </c>
      <c r="D12677" t="s">
        <v>17444</v>
      </c>
      <c r="E12677" t="s">
        <v>28336</v>
      </c>
      <c r="F12677" t="s">
        <v>30052</v>
      </c>
      <c r="G12677" t="s">
        <v>30059</v>
      </c>
      <c r="H12677" t="s">
        <v>15498</v>
      </c>
      <c r="I12677" t="s">
        <v>30070</v>
      </c>
      <c r="J12677" t="s">
        <v>37907</v>
      </c>
      <c r="K12677" t="s">
        <v>39019</v>
      </c>
      <c r="M12677" t="s">
        <v>42208</v>
      </c>
      <c r="N12677" t="s">
        <v>43166</v>
      </c>
      <c r="O12677" t="s">
        <v>43167</v>
      </c>
      <c r="Q12677">
        <v>4</v>
      </c>
      <c r="R12677" t="s">
        <v>43178</v>
      </c>
      <c r="S12677" t="s">
        <v>43986</v>
      </c>
      <c r="T12677" t="s">
        <v>45047</v>
      </c>
      <c r="U12677" t="s">
        <v>55280</v>
      </c>
      <c r="V12677" t="s">
        <v>58293</v>
      </c>
      <c r="W12677" t="s">
        <v>42208</v>
      </c>
      <c r="X12677" t="s">
        <v>43179</v>
      </c>
    </row>
    <row r="12678" spans="1:24">
      <c r="A12678">
        <f>HYPERLINK("https://www.philgeps.gov.ph/GEPSNONPILOT/Tender/SplashBidNoticeAbstractUI.aspx?menuIndex=3&amp;refID=7068711&amp;Result=3","7068711")</f>
        <v>0</v>
      </c>
      <c r="B12678" t="s">
        <v>1339</v>
      </c>
      <c r="C12678" t="s">
        <v>15539</v>
      </c>
      <c r="D12678" t="s">
        <v>17474</v>
      </c>
      <c r="E12678" t="s">
        <v>28337</v>
      </c>
      <c r="F12678" t="s">
        <v>30052</v>
      </c>
      <c r="G12678" t="s">
        <v>30058</v>
      </c>
      <c r="H12678" t="s">
        <v>15498</v>
      </c>
      <c r="I12678" t="s">
        <v>30081</v>
      </c>
      <c r="J12678" t="s">
        <v>37908</v>
      </c>
      <c r="K12678" t="s">
        <v>39029</v>
      </c>
      <c r="M12678" t="s">
        <v>41073</v>
      </c>
      <c r="N12678" t="s">
        <v>43166</v>
      </c>
      <c r="O12678" t="s">
        <v>43167</v>
      </c>
      <c r="P12678">
        <v>0</v>
      </c>
      <c r="Q12678">
        <v>0</v>
      </c>
      <c r="R12678" t="s">
        <v>43178</v>
      </c>
      <c r="S12678" t="s">
        <v>43522</v>
      </c>
      <c r="T12678" t="s">
        <v>44844</v>
      </c>
      <c r="U12678" t="s">
        <v>48174</v>
      </c>
      <c r="V12678" t="s">
        <v>57248</v>
      </c>
      <c r="W12678" t="s">
        <v>41073</v>
      </c>
      <c r="X12678" t="s">
        <v>43179</v>
      </c>
    </row>
    <row r="12679" spans="1:24">
      <c r="A12679">
        <f>HYPERLINK("https://www.philgeps.gov.ph/GEPSNONPILOT/Tender/SplashBidNoticeAbstractUI.aspx?menuIndex=3&amp;refID=7068928&amp;Result=3","7068928")</f>
        <v>0</v>
      </c>
      <c r="B12679" t="s">
        <v>2867</v>
      </c>
      <c r="C12679" t="s">
        <v>15540</v>
      </c>
      <c r="D12679" t="s">
        <v>17478</v>
      </c>
      <c r="E12679" t="s">
        <v>28338</v>
      </c>
      <c r="F12679" t="s">
        <v>30052</v>
      </c>
      <c r="G12679" t="s">
        <v>30058</v>
      </c>
      <c r="H12679" t="s">
        <v>30067</v>
      </c>
      <c r="I12679" t="s">
        <v>3693</v>
      </c>
      <c r="J12679" t="s">
        <v>32072</v>
      </c>
      <c r="K12679" t="s">
        <v>39203</v>
      </c>
      <c r="M12679" t="s">
        <v>42415</v>
      </c>
      <c r="N12679" t="s">
        <v>43166</v>
      </c>
      <c r="O12679" t="s">
        <v>43167</v>
      </c>
      <c r="P12679">
        <v>0</v>
      </c>
      <c r="Q12679">
        <v>0</v>
      </c>
      <c r="R12679" t="s">
        <v>43178</v>
      </c>
      <c r="S12679" t="s">
        <v>43522</v>
      </c>
      <c r="T12679" t="s">
        <v>44685</v>
      </c>
      <c r="U12679" t="s">
        <v>55281</v>
      </c>
      <c r="W12679" t="s">
        <v>42415</v>
      </c>
      <c r="X12679" t="s">
        <v>43179</v>
      </c>
    </row>
    <row r="12680" spans="1:24">
      <c r="A12680">
        <f>HYPERLINK("https://www.philgeps.gov.ph/GEPSNONPILOT/Tender/SplashBidNoticeAbstractUI.aspx?menuIndex=3&amp;refID=7068681&amp;Result=3","7068681")</f>
        <v>0</v>
      </c>
      <c r="B12680" t="s">
        <v>2872</v>
      </c>
      <c r="C12680" t="s">
        <v>15541</v>
      </c>
      <c r="D12680" t="s">
        <v>17424</v>
      </c>
      <c r="E12680" t="s">
        <v>28339</v>
      </c>
      <c r="F12680" t="s">
        <v>30052</v>
      </c>
      <c r="G12680" t="s">
        <v>30058</v>
      </c>
      <c r="H12680" t="s">
        <v>15498</v>
      </c>
      <c r="I12680" t="s">
        <v>30084</v>
      </c>
      <c r="J12680" t="s">
        <v>37909</v>
      </c>
      <c r="K12680" t="s">
        <v>39019</v>
      </c>
      <c r="M12680" t="s">
        <v>42420</v>
      </c>
      <c r="N12680" t="s">
        <v>43166</v>
      </c>
      <c r="O12680" t="s">
        <v>43167</v>
      </c>
      <c r="P12680">
        <v>0</v>
      </c>
      <c r="Q12680">
        <v>2</v>
      </c>
      <c r="R12680" t="s">
        <v>43178</v>
      </c>
      <c r="S12680" t="s">
        <v>43522</v>
      </c>
      <c r="T12680" t="s">
        <v>44873</v>
      </c>
      <c r="U12680" t="s">
        <v>55282</v>
      </c>
      <c r="V12680" t="s">
        <v>58294</v>
      </c>
      <c r="W12680" t="s">
        <v>42420</v>
      </c>
      <c r="X12680" t="s">
        <v>43179</v>
      </c>
    </row>
    <row r="12681" spans="1:24">
      <c r="A12681">
        <f>HYPERLINK("https://www.philgeps.gov.ph/GEPSNONPILOT/Tender/SplashBidNoticeAbstractUI.aspx?menuIndex=3&amp;refID=7068718&amp;Result=3","7068718")</f>
        <v>0</v>
      </c>
      <c r="B12681" t="s">
        <v>3282</v>
      </c>
      <c r="C12681" t="s">
        <v>15542</v>
      </c>
      <c r="D12681" t="s">
        <v>17455</v>
      </c>
      <c r="E12681" t="s">
        <v>18173</v>
      </c>
      <c r="F12681" t="s">
        <v>30052</v>
      </c>
      <c r="G12681" t="s">
        <v>30058</v>
      </c>
      <c r="H12681" t="s">
        <v>15498</v>
      </c>
      <c r="I12681" t="s">
        <v>4119</v>
      </c>
      <c r="J12681" t="s">
        <v>37910</v>
      </c>
      <c r="K12681" t="s">
        <v>39018</v>
      </c>
      <c r="M12681" t="s">
        <v>42916</v>
      </c>
      <c r="N12681" t="s">
        <v>43166</v>
      </c>
      <c r="O12681" t="s">
        <v>43167</v>
      </c>
      <c r="P12681">
        <v>0</v>
      </c>
      <c r="Q12681">
        <v>8</v>
      </c>
      <c r="R12681" t="s">
        <v>43178</v>
      </c>
      <c r="S12681" t="s">
        <v>43522</v>
      </c>
      <c r="T12681" t="s">
        <v>45169</v>
      </c>
      <c r="U12681" t="s">
        <v>55283</v>
      </c>
      <c r="W12681" t="s">
        <v>42916</v>
      </c>
      <c r="X12681" t="s">
        <v>43179</v>
      </c>
    </row>
    <row r="12682" spans="1:24">
      <c r="A12682">
        <f>HYPERLINK("https://www.philgeps.gov.ph/GEPSNONPILOT/Tender/SplashBidNoticeAbstractUI.aspx?menuIndex=3&amp;refID=7068698&amp;Result=3","7068698")</f>
        <v>0</v>
      </c>
      <c r="B12682" t="s">
        <v>1730</v>
      </c>
      <c r="C12682" t="s">
        <v>15543</v>
      </c>
      <c r="D12682" t="s">
        <v>17423</v>
      </c>
      <c r="E12682" t="s">
        <v>28340</v>
      </c>
      <c r="F12682" t="s">
        <v>30052</v>
      </c>
      <c r="G12682" t="s">
        <v>30058</v>
      </c>
      <c r="H12682" t="s">
        <v>30067</v>
      </c>
      <c r="I12682" t="s">
        <v>3693</v>
      </c>
      <c r="J12682" t="s">
        <v>37911</v>
      </c>
      <c r="K12682" t="s">
        <v>39120</v>
      </c>
      <c r="M12682" t="s">
        <v>42228</v>
      </c>
      <c r="N12682" t="s">
        <v>43166</v>
      </c>
      <c r="O12682" t="s">
        <v>43167</v>
      </c>
      <c r="P12682">
        <v>0</v>
      </c>
      <c r="Q12682">
        <v>0</v>
      </c>
      <c r="R12682" t="s">
        <v>43178</v>
      </c>
      <c r="S12682" t="s">
        <v>43522</v>
      </c>
      <c r="T12682" t="s">
        <v>44753</v>
      </c>
      <c r="U12682" t="s">
        <v>55284</v>
      </c>
      <c r="V12682" t="s">
        <v>58295</v>
      </c>
      <c r="W12682" t="s">
        <v>42228</v>
      </c>
      <c r="X12682" t="s">
        <v>43179</v>
      </c>
    </row>
    <row r="12683" spans="1:24">
      <c r="A12683">
        <f>HYPERLINK("https://www.philgeps.gov.ph/GEPSNONPILOT/Tender/SplashBidNoticeAbstractUI.aspx?menuIndex=3&amp;refID=7068686&amp;Result=3","7068686")</f>
        <v>0</v>
      </c>
      <c r="B12683" t="s">
        <v>1339</v>
      </c>
      <c r="C12683" t="s">
        <v>15544</v>
      </c>
      <c r="D12683" t="s">
        <v>17474</v>
      </c>
      <c r="E12683" t="s">
        <v>28341</v>
      </c>
      <c r="F12683" t="s">
        <v>30052</v>
      </c>
      <c r="G12683" t="s">
        <v>30058</v>
      </c>
      <c r="H12683" t="s">
        <v>15498</v>
      </c>
      <c r="I12683" t="s">
        <v>3736</v>
      </c>
      <c r="J12683" t="s">
        <v>37912</v>
      </c>
      <c r="K12683" t="s">
        <v>39029</v>
      </c>
      <c r="M12683" t="s">
        <v>41073</v>
      </c>
      <c r="N12683" t="s">
        <v>43166</v>
      </c>
      <c r="O12683" t="s">
        <v>43167</v>
      </c>
      <c r="P12683">
        <v>0</v>
      </c>
      <c r="Q12683">
        <v>0</v>
      </c>
      <c r="R12683" t="s">
        <v>43178</v>
      </c>
      <c r="S12683" t="s">
        <v>43522</v>
      </c>
      <c r="T12683" t="s">
        <v>44844</v>
      </c>
      <c r="U12683" t="s">
        <v>48174</v>
      </c>
      <c r="V12683" t="s">
        <v>57248</v>
      </c>
      <c r="W12683" t="s">
        <v>41073</v>
      </c>
      <c r="X12683" t="s">
        <v>43179</v>
      </c>
    </row>
    <row r="12684" spans="1:24">
      <c r="A12684">
        <f>HYPERLINK("https://www.philgeps.gov.ph/GEPSNONPILOT/Tender/SplashBidNoticeAbstractUI.aspx?menuIndex=3&amp;refID=7070216&amp;Result=3","7070216")</f>
        <v>0</v>
      </c>
      <c r="B12684" t="s">
        <v>562</v>
      </c>
      <c r="C12684" t="s">
        <v>15545</v>
      </c>
      <c r="D12684" t="s">
        <v>17490</v>
      </c>
      <c r="E12684" t="s">
        <v>28342</v>
      </c>
      <c r="F12684" t="s">
        <v>30052</v>
      </c>
      <c r="G12684" t="s">
        <v>30058</v>
      </c>
      <c r="H12684" t="s">
        <v>30067</v>
      </c>
      <c r="I12684" t="s">
        <v>3693</v>
      </c>
      <c r="J12684" t="s">
        <v>36318</v>
      </c>
      <c r="K12684" t="s">
        <v>39019</v>
      </c>
      <c r="M12684" t="s">
        <v>39864</v>
      </c>
      <c r="N12684" t="s">
        <v>43166</v>
      </c>
      <c r="O12684" t="s">
        <v>43167</v>
      </c>
      <c r="P12684">
        <v>0</v>
      </c>
      <c r="Q12684">
        <v>0</v>
      </c>
      <c r="R12684" t="s">
        <v>43178</v>
      </c>
      <c r="S12684" t="s">
        <v>43522</v>
      </c>
      <c r="T12684" t="s">
        <v>44791</v>
      </c>
      <c r="U12684" t="s">
        <v>51442</v>
      </c>
      <c r="W12684" t="s">
        <v>39864</v>
      </c>
      <c r="X12684" t="s">
        <v>43179</v>
      </c>
    </row>
    <row r="12685" spans="1:24">
      <c r="A12685">
        <f>HYPERLINK("https://www.philgeps.gov.ph/GEPSNONPILOT/Tender/SplashBidNoticeAbstractUI.aspx?menuIndex=3&amp;refID=7068469&amp;Result=3","7068469")</f>
        <v>0</v>
      </c>
      <c r="B12685" t="s">
        <v>1730</v>
      </c>
      <c r="C12685" t="s">
        <v>15546</v>
      </c>
      <c r="D12685" t="s">
        <v>17423</v>
      </c>
      <c r="E12685" t="s">
        <v>28343</v>
      </c>
      <c r="F12685" t="s">
        <v>30052</v>
      </c>
      <c r="G12685" t="s">
        <v>30058</v>
      </c>
      <c r="H12685" t="s">
        <v>30067</v>
      </c>
      <c r="I12685" t="s">
        <v>3693</v>
      </c>
      <c r="J12685" t="s">
        <v>30404</v>
      </c>
      <c r="K12685" t="s">
        <v>39120</v>
      </c>
      <c r="M12685" t="s">
        <v>42228</v>
      </c>
      <c r="N12685" t="s">
        <v>43166</v>
      </c>
      <c r="O12685" t="s">
        <v>43167</v>
      </c>
      <c r="P12685">
        <v>0</v>
      </c>
      <c r="Q12685">
        <v>1</v>
      </c>
      <c r="R12685" t="s">
        <v>43178</v>
      </c>
      <c r="S12685" t="s">
        <v>43522</v>
      </c>
      <c r="T12685" t="s">
        <v>44753</v>
      </c>
      <c r="U12685" t="s">
        <v>55285</v>
      </c>
      <c r="V12685" t="s">
        <v>58296</v>
      </c>
      <c r="W12685" t="s">
        <v>42228</v>
      </c>
      <c r="X12685" t="s">
        <v>43179</v>
      </c>
    </row>
    <row r="12686" spans="1:24">
      <c r="A12686">
        <f>HYPERLINK("https://www.philgeps.gov.ph/GEPSNONPILOT/Tender/SplashBidNoticeAbstractUI.aspx?menuIndex=3&amp;refID=7068462&amp;Result=3","7068462")</f>
        <v>0</v>
      </c>
      <c r="B12686" t="s">
        <v>2855</v>
      </c>
      <c r="C12686" t="s">
        <v>15547</v>
      </c>
      <c r="D12686" t="s">
        <v>17442</v>
      </c>
      <c r="E12686" t="s">
        <v>28344</v>
      </c>
      <c r="F12686" t="s">
        <v>30052</v>
      </c>
      <c r="G12686" t="s">
        <v>30058</v>
      </c>
      <c r="H12686" t="s">
        <v>15498</v>
      </c>
      <c r="I12686" t="s">
        <v>3736</v>
      </c>
      <c r="J12686" t="s">
        <v>37913</v>
      </c>
      <c r="K12686" t="s">
        <v>39029</v>
      </c>
      <c r="M12686" t="s">
        <v>42402</v>
      </c>
      <c r="N12686" t="s">
        <v>43166</v>
      </c>
      <c r="O12686" t="s">
        <v>43167</v>
      </c>
      <c r="P12686">
        <v>0</v>
      </c>
      <c r="Q12686">
        <v>1</v>
      </c>
      <c r="R12686" t="s">
        <v>43178</v>
      </c>
      <c r="S12686" t="s">
        <v>43522</v>
      </c>
      <c r="T12686" t="s">
        <v>44716</v>
      </c>
      <c r="U12686" t="s">
        <v>53117</v>
      </c>
      <c r="W12686" t="s">
        <v>42402</v>
      </c>
      <c r="X12686" t="s">
        <v>43179</v>
      </c>
    </row>
    <row r="12687" spans="1:24">
      <c r="A12687">
        <f>HYPERLINK("https://www.philgeps.gov.ph/GEPSNONPILOT/Tender/SplashBidNoticeAbstractUI.aspx?menuIndex=3&amp;refID=7067761&amp;Result=3","7067761")</f>
        <v>0</v>
      </c>
      <c r="B12687" t="s">
        <v>2840</v>
      </c>
      <c r="C12687" t="s">
        <v>15548</v>
      </c>
      <c r="D12687" t="s">
        <v>17456</v>
      </c>
      <c r="E12687" t="s">
        <v>28345</v>
      </c>
      <c r="F12687" t="s">
        <v>30052</v>
      </c>
      <c r="G12687" t="s">
        <v>30058</v>
      </c>
      <c r="H12687" t="s">
        <v>15498</v>
      </c>
      <c r="I12687" t="s">
        <v>30132</v>
      </c>
      <c r="J12687" t="s">
        <v>30953</v>
      </c>
      <c r="K12687" t="s">
        <v>39064</v>
      </c>
      <c r="M12687" t="s">
        <v>42386</v>
      </c>
      <c r="N12687" t="s">
        <v>43166</v>
      </c>
      <c r="O12687" t="s">
        <v>43167</v>
      </c>
      <c r="P12687">
        <v>0</v>
      </c>
      <c r="Q12687">
        <v>7</v>
      </c>
      <c r="R12687" t="s">
        <v>43178</v>
      </c>
      <c r="S12687" t="s">
        <v>43522</v>
      </c>
      <c r="T12687" t="s">
        <v>44763</v>
      </c>
      <c r="U12687" t="s">
        <v>55286</v>
      </c>
      <c r="V12687" t="s">
        <v>57925</v>
      </c>
      <c r="W12687" t="s">
        <v>42386</v>
      </c>
      <c r="X12687" t="s">
        <v>43179</v>
      </c>
    </row>
    <row r="12688" spans="1:24">
      <c r="A12688">
        <f>HYPERLINK("https://www.philgeps.gov.ph/GEPSNONPILOT/Tender/SplashBidNoticeAbstractUI.aspx?menuIndex=3&amp;refID=7067772&amp;Result=3","7067772")</f>
        <v>0</v>
      </c>
      <c r="B12688" t="s">
        <v>1443</v>
      </c>
      <c r="C12688" t="s">
        <v>15549</v>
      </c>
      <c r="D12688" t="s">
        <v>17436</v>
      </c>
      <c r="E12688" t="s">
        <v>28346</v>
      </c>
      <c r="F12688" t="s">
        <v>30052</v>
      </c>
      <c r="G12688" t="s">
        <v>30058</v>
      </c>
      <c r="H12688" t="s">
        <v>30067</v>
      </c>
      <c r="I12688" t="s">
        <v>3693</v>
      </c>
      <c r="J12688" t="s">
        <v>37914</v>
      </c>
      <c r="K12688" t="s">
        <v>39025</v>
      </c>
      <c r="M12688" t="s">
        <v>40821</v>
      </c>
      <c r="N12688" t="s">
        <v>43166</v>
      </c>
      <c r="O12688" t="s">
        <v>43167</v>
      </c>
      <c r="P12688">
        <v>0</v>
      </c>
      <c r="Q12688">
        <v>0</v>
      </c>
      <c r="R12688" t="s">
        <v>43178</v>
      </c>
      <c r="S12688" t="s">
        <v>43522</v>
      </c>
      <c r="T12688" t="s">
        <v>44815</v>
      </c>
      <c r="U12688" t="s">
        <v>55287</v>
      </c>
      <c r="W12688" t="s">
        <v>40821</v>
      </c>
      <c r="X12688" t="s">
        <v>43179</v>
      </c>
    </row>
    <row r="12689" spans="1:24">
      <c r="A12689">
        <f>HYPERLINK("https://www.philgeps.gov.ph/GEPSNONPILOT/Tender/SplashBidNoticeAbstractUI.aspx?menuIndex=3&amp;refID=7067538&amp;Result=3","7067538")</f>
        <v>0</v>
      </c>
      <c r="B12689" t="s">
        <v>803</v>
      </c>
      <c r="C12689" t="s">
        <v>15550</v>
      </c>
      <c r="D12689" t="s">
        <v>17476</v>
      </c>
      <c r="E12689" t="s">
        <v>19766</v>
      </c>
      <c r="F12689" t="s">
        <v>30052</v>
      </c>
      <c r="G12689" t="s">
        <v>30058</v>
      </c>
      <c r="H12689" t="s">
        <v>30067</v>
      </c>
      <c r="I12689" t="s">
        <v>3693</v>
      </c>
      <c r="J12689" t="s">
        <v>30397</v>
      </c>
      <c r="K12689" t="s">
        <v>39025</v>
      </c>
      <c r="M12689" t="s">
        <v>40120</v>
      </c>
      <c r="N12689" t="s">
        <v>43166</v>
      </c>
      <c r="O12689" t="s">
        <v>43167</v>
      </c>
      <c r="P12689">
        <v>0</v>
      </c>
      <c r="Q12689">
        <v>0</v>
      </c>
      <c r="R12689" t="s">
        <v>43178</v>
      </c>
      <c r="S12689" t="s">
        <v>43522</v>
      </c>
      <c r="T12689" t="s">
        <v>44730</v>
      </c>
      <c r="U12689" t="s">
        <v>46771</v>
      </c>
      <c r="W12689" t="s">
        <v>40120</v>
      </c>
      <c r="X12689" t="s">
        <v>43179</v>
      </c>
    </row>
    <row r="12690" spans="1:24">
      <c r="A12690">
        <f>HYPERLINK("https://www.philgeps.gov.ph/GEPSNONPILOT/Tender/SplashBidNoticeAbstractUI.aspx?menuIndex=3&amp;refID=7067770&amp;Result=3","7067770")</f>
        <v>0</v>
      </c>
      <c r="B12690" t="s">
        <v>3283</v>
      </c>
      <c r="C12690" t="s">
        <v>15551</v>
      </c>
      <c r="D12690" t="s">
        <v>17431</v>
      </c>
      <c r="E12690" t="s">
        <v>28347</v>
      </c>
      <c r="F12690" t="s">
        <v>30052</v>
      </c>
      <c r="G12690" t="s">
        <v>30058</v>
      </c>
      <c r="H12690" t="s">
        <v>15498</v>
      </c>
      <c r="I12690" t="s">
        <v>30144</v>
      </c>
      <c r="J12690" t="s">
        <v>30230</v>
      </c>
      <c r="K12690" t="s">
        <v>39037</v>
      </c>
      <c r="M12690" t="s">
        <v>42917</v>
      </c>
      <c r="N12690" t="s">
        <v>43166</v>
      </c>
      <c r="O12690" t="s">
        <v>43167</v>
      </c>
      <c r="P12690">
        <v>0</v>
      </c>
      <c r="Q12690">
        <v>0</v>
      </c>
      <c r="R12690" t="s">
        <v>43178</v>
      </c>
      <c r="S12690" t="s">
        <v>43522</v>
      </c>
      <c r="T12690" t="s">
        <v>44870</v>
      </c>
      <c r="U12690" t="s">
        <v>55288</v>
      </c>
      <c r="W12690" t="s">
        <v>42917</v>
      </c>
      <c r="X12690" t="s">
        <v>43179</v>
      </c>
    </row>
    <row r="12691" spans="1:24">
      <c r="A12691">
        <f>HYPERLINK("https://www.philgeps.gov.ph/GEPSNONPILOT/Tender/SplashBidNoticeAbstractUI.aspx?menuIndex=3&amp;refID=7053928&amp;Result=3","7053928")</f>
        <v>0</v>
      </c>
      <c r="B12691" t="s">
        <v>3266</v>
      </c>
      <c r="C12691" t="s">
        <v>15552</v>
      </c>
      <c r="D12691" t="s">
        <v>17425</v>
      </c>
      <c r="E12691" t="s">
        <v>28348</v>
      </c>
      <c r="F12691" t="s">
        <v>30052</v>
      </c>
      <c r="G12691" t="s">
        <v>30058</v>
      </c>
      <c r="H12691" t="s">
        <v>30067</v>
      </c>
      <c r="I12691" t="s">
        <v>3693</v>
      </c>
      <c r="J12691" t="s">
        <v>37915</v>
      </c>
      <c r="K12691" t="s">
        <v>39065</v>
      </c>
      <c r="M12691" t="s">
        <v>42897</v>
      </c>
      <c r="N12691" t="s">
        <v>43166</v>
      </c>
      <c r="O12691" t="s">
        <v>43167</v>
      </c>
      <c r="P12691">
        <v>0</v>
      </c>
      <c r="Q12691">
        <v>0</v>
      </c>
      <c r="R12691" t="s">
        <v>43185</v>
      </c>
      <c r="S12691" t="s">
        <v>43930</v>
      </c>
      <c r="T12691" t="s">
        <v>45047</v>
      </c>
      <c r="U12691" t="s">
        <v>55160</v>
      </c>
      <c r="V12691" t="s">
        <v>58266</v>
      </c>
      <c r="W12691" t="s">
        <v>42897</v>
      </c>
      <c r="X12691" t="s">
        <v>43186</v>
      </c>
    </row>
    <row r="12692" spans="1:24">
      <c r="A12692">
        <f>HYPERLINK("https://www.philgeps.gov.ph/GEPSNONPILOT/Tender/SplashBidNoticeAbstractUI.aspx?menuIndex=3&amp;refID=7067767&amp;Result=3","7067767")</f>
        <v>0</v>
      </c>
      <c r="B12692" t="s">
        <v>2839</v>
      </c>
      <c r="C12692" t="s">
        <v>15553</v>
      </c>
      <c r="D12692" t="s">
        <v>17453</v>
      </c>
      <c r="E12692" t="s">
        <v>28349</v>
      </c>
      <c r="F12692" t="s">
        <v>30052</v>
      </c>
      <c r="G12692" t="s">
        <v>30058</v>
      </c>
      <c r="H12692" t="s">
        <v>30067</v>
      </c>
      <c r="I12692" t="s">
        <v>3693</v>
      </c>
      <c r="J12692" t="s">
        <v>37916</v>
      </c>
      <c r="K12692" t="s">
        <v>39025</v>
      </c>
      <c r="M12692" t="s">
        <v>42385</v>
      </c>
      <c r="N12692" t="s">
        <v>43166</v>
      </c>
      <c r="O12692" t="s">
        <v>43167</v>
      </c>
      <c r="P12692">
        <v>0</v>
      </c>
      <c r="Q12692">
        <v>1</v>
      </c>
      <c r="R12692" t="s">
        <v>43178</v>
      </c>
      <c r="S12692" t="s">
        <v>43522</v>
      </c>
      <c r="T12692" t="s">
        <v>44788</v>
      </c>
      <c r="U12692" t="s">
        <v>55289</v>
      </c>
      <c r="W12692" t="s">
        <v>42385</v>
      </c>
      <c r="X12692" t="s">
        <v>43179</v>
      </c>
    </row>
    <row r="12693" spans="1:24">
      <c r="A12693">
        <f>HYPERLINK("https://www.philgeps.gov.ph/GEPSNONPILOT/Tender/SplashBidNoticeAbstractUI.aspx?menuIndex=3&amp;refID=7067533&amp;Result=3","7067533")</f>
        <v>0</v>
      </c>
      <c r="B12693" t="s">
        <v>2264</v>
      </c>
      <c r="C12693" t="s">
        <v>15554</v>
      </c>
      <c r="D12693" t="s">
        <v>17479</v>
      </c>
      <c r="E12693" t="s">
        <v>28350</v>
      </c>
      <c r="F12693" t="s">
        <v>30052</v>
      </c>
      <c r="G12693" t="s">
        <v>30058</v>
      </c>
      <c r="H12693" t="s">
        <v>15498</v>
      </c>
      <c r="I12693" t="s">
        <v>30084</v>
      </c>
      <c r="J12693" t="s">
        <v>37551</v>
      </c>
      <c r="K12693" t="s">
        <v>39025</v>
      </c>
      <c r="M12693" t="s">
        <v>41742</v>
      </c>
      <c r="N12693" t="s">
        <v>43166</v>
      </c>
      <c r="O12693" t="s">
        <v>43167</v>
      </c>
      <c r="Q12693">
        <v>5</v>
      </c>
      <c r="R12693" t="s">
        <v>43178</v>
      </c>
      <c r="S12693" t="s">
        <v>43987</v>
      </c>
      <c r="T12693" t="s">
        <v>44750</v>
      </c>
      <c r="U12693" t="s">
        <v>55290</v>
      </c>
      <c r="W12693" t="s">
        <v>41742</v>
      </c>
      <c r="X12693" t="s">
        <v>43179</v>
      </c>
    </row>
    <row r="12694" spans="1:24">
      <c r="A12694">
        <f>HYPERLINK("https://www.philgeps.gov.ph/GEPSNONPILOT/Tender/SplashBidNoticeAbstractUI.aspx?menuIndex=3&amp;refID=7067524&amp;Result=3","7067524")</f>
        <v>0</v>
      </c>
      <c r="B12694" t="s">
        <v>684</v>
      </c>
      <c r="C12694" t="s">
        <v>15555</v>
      </c>
      <c r="D12694" t="s">
        <v>17473</v>
      </c>
      <c r="E12694" t="s">
        <v>28351</v>
      </c>
      <c r="F12694" t="s">
        <v>30052</v>
      </c>
      <c r="G12694" t="s">
        <v>30062</v>
      </c>
      <c r="H12694" t="s">
        <v>15498</v>
      </c>
      <c r="I12694" t="s">
        <v>30151</v>
      </c>
      <c r="J12694" t="s">
        <v>30230</v>
      </c>
      <c r="K12694" t="s">
        <v>39029</v>
      </c>
      <c r="M12694" t="s">
        <v>39990</v>
      </c>
      <c r="N12694" t="s">
        <v>43166</v>
      </c>
      <c r="O12694" t="s">
        <v>43167</v>
      </c>
      <c r="P12694">
        <v>0</v>
      </c>
      <c r="Q12694">
        <v>7</v>
      </c>
      <c r="R12694" t="s">
        <v>43178</v>
      </c>
      <c r="S12694" t="s">
        <v>43522</v>
      </c>
      <c r="T12694" t="s">
        <v>44773</v>
      </c>
      <c r="U12694" t="s">
        <v>55291</v>
      </c>
      <c r="W12694" t="s">
        <v>39990</v>
      </c>
      <c r="X12694" t="s">
        <v>43179</v>
      </c>
    </row>
    <row r="12695" spans="1:24">
      <c r="A12695">
        <f>HYPERLINK("https://www.philgeps.gov.ph/GEPSNONPILOT/Tender/SplashBidNoticeAbstractUI.aspx?menuIndex=3&amp;refID=7067448&amp;Result=3","7067448")</f>
        <v>0</v>
      </c>
      <c r="B12695" t="s">
        <v>820</v>
      </c>
      <c r="C12695" t="s">
        <v>15556</v>
      </c>
      <c r="D12695" t="s">
        <v>17472</v>
      </c>
      <c r="E12695" t="s">
        <v>28352</v>
      </c>
      <c r="F12695" t="s">
        <v>30052</v>
      </c>
      <c r="G12695" t="s">
        <v>30058</v>
      </c>
      <c r="H12695" t="s">
        <v>30067</v>
      </c>
      <c r="I12695" t="s">
        <v>3693</v>
      </c>
      <c r="J12695" t="s">
        <v>37917</v>
      </c>
      <c r="K12695" t="s">
        <v>39020</v>
      </c>
      <c r="M12695" t="s">
        <v>40137</v>
      </c>
      <c r="N12695" t="s">
        <v>43166</v>
      </c>
      <c r="O12695" t="s">
        <v>43167</v>
      </c>
      <c r="P12695">
        <v>0</v>
      </c>
      <c r="Q12695">
        <v>0</v>
      </c>
      <c r="R12695" t="s">
        <v>43178</v>
      </c>
      <c r="S12695" t="s">
        <v>43522</v>
      </c>
      <c r="T12695" t="s">
        <v>44768</v>
      </c>
      <c r="U12695" t="s">
        <v>55292</v>
      </c>
      <c r="V12695" t="s">
        <v>57929</v>
      </c>
      <c r="W12695" t="s">
        <v>40137</v>
      </c>
      <c r="X12695" t="s">
        <v>43179</v>
      </c>
    </row>
    <row r="12696" spans="1:24">
      <c r="A12696">
        <f>HYPERLINK("https://www.philgeps.gov.ph/GEPSNONPILOT/Tender/SplashBidNoticeAbstractUI.aspx?menuIndex=3&amp;refID=7067444&amp;Result=3","7067444")</f>
        <v>0</v>
      </c>
      <c r="B12696" t="s">
        <v>2158</v>
      </c>
      <c r="C12696" t="s">
        <v>15557</v>
      </c>
      <c r="D12696" t="s">
        <v>17483</v>
      </c>
      <c r="E12696" t="s">
        <v>28353</v>
      </c>
      <c r="F12696" t="s">
        <v>30052</v>
      </c>
      <c r="G12696" t="s">
        <v>30059</v>
      </c>
      <c r="H12696" t="s">
        <v>15498</v>
      </c>
      <c r="I12696" t="s">
        <v>3606</v>
      </c>
      <c r="J12696" t="s">
        <v>37918</v>
      </c>
      <c r="K12696" t="s">
        <v>39023</v>
      </c>
      <c r="M12696" t="s">
        <v>41625</v>
      </c>
      <c r="N12696" t="s">
        <v>43166</v>
      </c>
      <c r="O12696" t="s">
        <v>43167</v>
      </c>
      <c r="P12696">
        <v>0</v>
      </c>
      <c r="Q12696">
        <v>1</v>
      </c>
      <c r="R12696" t="s">
        <v>43178</v>
      </c>
      <c r="S12696" t="s">
        <v>43522</v>
      </c>
      <c r="T12696" t="s">
        <v>44904</v>
      </c>
      <c r="U12696" t="s">
        <v>55293</v>
      </c>
      <c r="W12696" t="s">
        <v>41625</v>
      </c>
      <c r="X12696" t="s">
        <v>43179</v>
      </c>
    </row>
    <row r="12697" spans="1:24">
      <c r="A12697">
        <f>HYPERLINK("https://www.philgeps.gov.ph/GEPSNONPILOT/Tender/SplashBidNoticeAbstractUI.aspx?menuIndex=3&amp;refID=7067435&amp;Result=3","7067435")</f>
        <v>0</v>
      </c>
      <c r="B12697" t="s">
        <v>2543</v>
      </c>
      <c r="C12697" t="s">
        <v>15558</v>
      </c>
      <c r="D12697" t="s">
        <v>17415</v>
      </c>
      <c r="E12697" t="s">
        <v>28354</v>
      </c>
      <c r="F12697" t="s">
        <v>30052</v>
      </c>
      <c r="G12697" t="s">
        <v>30058</v>
      </c>
      <c r="H12697" t="s">
        <v>15498</v>
      </c>
      <c r="I12697" t="s">
        <v>30084</v>
      </c>
      <c r="J12697" t="s">
        <v>37919</v>
      </c>
      <c r="K12697" t="s">
        <v>39145</v>
      </c>
      <c r="M12697" t="s">
        <v>42050</v>
      </c>
      <c r="N12697" t="s">
        <v>43166</v>
      </c>
      <c r="O12697" t="s">
        <v>43167</v>
      </c>
      <c r="Q12697">
        <v>19</v>
      </c>
      <c r="R12697" t="s">
        <v>43178</v>
      </c>
      <c r="S12697" t="s">
        <v>43988</v>
      </c>
      <c r="T12697" t="s">
        <v>44789</v>
      </c>
      <c r="U12697" t="s">
        <v>55294</v>
      </c>
      <c r="W12697" t="s">
        <v>42050</v>
      </c>
      <c r="X12697" t="s">
        <v>43179</v>
      </c>
    </row>
    <row r="12698" spans="1:24">
      <c r="A12698">
        <f>HYPERLINK("https://www.philgeps.gov.ph/GEPSNONPILOT/Tender/SplashBidNoticeAbstractUI.aspx?menuIndex=3&amp;refID=7067429&amp;Result=3","7067429")</f>
        <v>0</v>
      </c>
      <c r="B12698" t="s">
        <v>820</v>
      </c>
      <c r="C12698" t="s">
        <v>15559</v>
      </c>
      <c r="D12698" t="s">
        <v>17472</v>
      </c>
      <c r="E12698" t="s">
        <v>28355</v>
      </c>
      <c r="F12698" t="s">
        <v>30052</v>
      </c>
      <c r="G12698" t="s">
        <v>30058</v>
      </c>
      <c r="H12698" t="s">
        <v>30067</v>
      </c>
      <c r="I12698" t="s">
        <v>3693</v>
      </c>
      <c r="J12698" t="s">
        <v>37920</v>
      </c>
      <c r="K12698" t="s">
        <v>39031</v>
      </c>
      <c r="M12698" t="s">
        <v>40137</v>
      </c>
      <c r="N12698" t="s">
        <v>43166</v>
      </c>
      <c r="O12698" t="s">
        <v>43167</v>
      </c>
      <c r="P12698">
        <v>0</v>
      </c>
      <c r="Q12698">
        <v>1</v>
      </c>
      <c r="R12698" t="s">
        <v>43178</v>
      </c>
      <c r="S12698" t="s">
        <v>43522</v>
      </c>
      <c r="T12698" t="s">
        <v>44768</v>
      </c>
      <c r="U12698" t="s">
        <v>55295</v>
      </c>
      <c r="V12698" t="s">
        <v>57920</v>
      </c>
      <c r="W12698" t="s">
        <v>40137</v>
      </c>
      <c r="X12698" t="s">
        <v>43179</v>
      </c>
    </row>
    <row r="12699" spans="1:24">
      <c r="A12699">
        <f>HYPERLINK("https://www.philgeps.gov.ph/GEPSNONPILOT/Tender/SplashBidNoticeAbstractUI.aspx?menuIndex=3&amp;refID=7067752&amp;Result=3","7067752")</f>
        <v>0</v>
      </c>
      <c r="B12699" t="s">
        <v>820</v>
      </c>
      <c r="C12699" t="s">
        <v>15560</v>
      </c>
      <c r="D12699" t="s">
        <v>17472</v>
      </c>
      <c r="E12699" t="s">
        <v>28356</v>
      </c>
      <c r="F12699" t="s">
        <v>30052</v>
      </c>
      <c r="G12699" t="s">
        <v>30058</v>
      </c>
      <c r="H12699" t="s">
        <v>30067</v>
      </c>
      <c r="I12699" t="s">
        <v>3693</v>
      </c>
      <c r="J12699" t="s">
        <v>37921</v>
      </c>
      <c r="K12699" t="s">
        <v>39031</v>
      </c>
      <c r="M12699" t="s">
        <v>40137</v>
      </c>
      <c r="N12699" t="s">
        <v>43166</v>
      </c>
      <c r="O12699" t="s">
        <v>43167</v>
      </c>
      <c r="P12699">
        <v>0</v>
      </c>
      <c r="Q12699">
        <v>0</v>
      </c>
      <c r="R12699" t="s">
        <v>43178</v>
      </c>
      <c r="S12699" t="s">
        <v>43522</v>
      </c>
      <c r="T12699" t="s">
        <v>44768</v>
      </c>
      <c r="U12699" t="s">
        <v>55296</v>
      </c>
      <c r="V12699" t="s">
        <v>57915</v>
      </c>
      <c r="W12699" t="s">
        <v>40137</v>
      </c>
      <c r="X12699" t="s">
        <v>43179</v>
      </c>
    </row>
    <row r="12700" spans="1:24">
      <c r="A12700">
        <f>HYPERLINK("https://www.philgeps.gov.ph/GEPSNONPILOT/Tender/SplashBidNoticeAbstractUI.aspx?menuIndex=3&amp;refID=7067744&amp;Result=3","7067744")</f>
        <v>0</v>
      </c>
      <c r="B12700" t="s">
        <v>1529</v>
      </c>
      <c r="C12700" t="s">
        <v>15561</v>
      </c>
      <c r="D12700" t="s">
        <v>17460</v>
      </c>
      <c r="E12700" t="s">
        <v>28357</v>
      </c>
      <c r="F12700" t="s">
        <v>30052</v>
      </c>
      <c r="G12700" t="s">
        <v>30058</v>
      </c>
      <c r="H12700" t="s">
        <v>30067</v>
      </c>
      <c r="I12700" t="s">
        <v>3693</v>
      </c>
      <c r="J12700" t="s">
        <v>30207</v>
      </c>
      <c r="K12700" t="s">
        <v>39019</v>
      </c>
      <c r="M12700" t="s">
        <v>40915</v>
      </c>
      <c r="N12700" t="s">
        <v>43166</v>
      </c>
      <c r="O12700" t="s">
        <v>43167</v>
      </c>
      <c r="P12700">
        <v>0</v>
      </c>
      <c r="Q12700">
        <v>5</v>
      </c>
      <c r="R12700" t="s">
        <v>43178</v>
      </c>
      <c r="S12700" t="s">
        <v>43522</v>
      </c>
      <c r="T12700" t="s">
        <v>44710</v>
      </c>
      <c r="U12700" t="s">
        <v>55297</v>
      </c>
      <c r="V12700" t="s">
        <v>58297</v>
      </c>
      <c r="W12700" t="s">
        <v>40915</v>
      </c>
      <c r="X12700" t="s">
        <v>43179</v>
      </c>
    </row>
    <row r="12701" spans="1:24">
      <c r="A12701">
        <f>HYPERLINK("https://www.philgeps.gov.ph/GEPSNONPILOT/Tender/SplashBidNoticeAbstractUI.aspx?menuIndex=3&amp;refID=7067170&amp;Result=3","7067170")</f>
        <v>0</v>
      </c>
      <c r="B12701" t="s">
        <v>2109</v>
      </c>
      <c r="C12701" t="s">
        <v>15562</v>
      </c>
      <c r="D12701" t="s">
        <v>17447</v>
      </c>
      <c r="E12701" t="s">
        <v>28358</v>
      </c>
      <c r="F12701" t="s">
        <v>30052</v>
      </c>
      <c r="G12701" t="s">
        <v>30058</v>
      </c>
      <c r="H12701" t="s">
        <v>30067</v>
      </c>
      <c r="I12701" t="s">
        <v>3693</v>
      </c>
      <c r="J12701" t="s">
        <v>33637</v>
      </c>
      <c r="K12701" t="s">
        <v>39023</v>
      </c>
      <c r="M12701" t="s">
        <v>41571</v>
      </c>
      <c r="N12701" t="s">
        <v>43166</v>
      </c>
      <c r="O12701" t="s">
        <v>43167</v>
      </c>
      <c r="P12701">
        <v>0</v>
      </c>
      <c r="Q12701">
        <v>2</v>
      </c>
      <c r="R12701" t="s">
        <v>43178</v>
      </c>
      <c r="S12701" t="s">
        <v>43522</v>
      </c>
      <c r="T12701" t="s">
        <v>44750</v>
      </c>
      <c r="U12701" t="s">
        <v>55298</v>
      </c>
      <c r="V12701" t="s">
        <v>58298</v>
      </c>
      <c r="W12701" t="s">
        <v>58673</v>
      </c>
      <c r="X12701" t="s">
        <v>43180</v>
      </c>
    </row>
    <row r="12702" spans="1:24">
      <c r="A12702">
        <f>HYPERLINK("https://www.philgeps.gov.ph/GEPSNONPILOT/Tender/SplashBidNoticeAbstractUI.aspx?menuIndex=3&amp;refID=7067166&amp;Result=3","7067166")</f>
        <v>0</v>
      </c>
      <c r="B12702" t="s">
        <v>2109</v>
      </c>
      <c r="C12702" t="s">
        <v>15563</v>
      </c>
      <c r="D12702" t="s">
        <v>17447</v>
      </c>
      <c r="E12702" t="s">
        <v>28359</v>
      </c>
      <c r="F12702" t="s">
        <v>30052</v>
      </c>
      <c r="G12702" t="s">
        <v>30058</v>
      </c>
      <c r="H12702" t="s">
        <v>30067</v>
      </c>
      <c r="I12702" t="s">
        <v>3693</v>
      </c>
      <c r="J12702" t="s">
        <v>37922</v>
      </c>
      <c r="K12702" t="s">
        <v>39092</v>
      </c>
      <c r="M12702" t="s">
        <v>41571</v>
      </c>
      <c r="N12702" t="s">
        <v>43166</v>
      </c>
      <c r="O12702" t="s">
        <v>43167</v>
      </c>
      <c r="P12702">
        <v>0</v>
      </c>
      <c r="Q12702">
        <v>4</v>
      </c>
      <c r="R12702" t="s">
        <v>43178</v>
      </c>
      <c r="S12702" t="s">
        <v>43522</v>
      </c>
      <c r="T12702" t="s">
        <v>44750</v>
      </c>
      <c r="U12702" t="s">
        <v>55299</v>
      </c>
      <c r="V12702" t="s">
        <v>58299</v>
      </c>
      <c r="W12702" t="s">
        <v>58673</v>
      </c>
      <c r="X12702" t="s">
        <v>43180</v>
      </c>
    </row>
    <row r="12703" spans="1:24">
      <c r="A12703">
        <f>HYPERLINK("https://www.philgeps.gov.ph/GEPSNONPILOT/Tender/SplashBidNoticeAbstractUI.aspx?menuIndex=3&amp;refID=7067156&amp;Result=3","7067156")</f>
        <v>0</v>
      </c>
      <c r="B12703" t="s">
        <v>2109</v>
      </c>
      <c r="C12703" t="s">
        <v>15564</v>
      </c>
      <c r="D12703" t="s">
        <v>17447</v>
      </c>
      <c r="E12703" t="s">
        <v>28360</v>
      </c>
      <c r="F12703" t="s">
        <v>30052</v>
      </c>
      <c r="G12703" t="s">
        <v>30058</v>
      </c>
      <c r="H12703" t="s">
        <v>30067</v>
      </c>
      <c r="I12703" t="s">
        <v>3693</v>
      </c>
      <c r="J12703" t="s">
        <v>35913</v>
      </c>
      <c r="K12703" t="s">
        <v>39057</v>
      </c>
      <c r="M12703" t="s">
        <v>41571</v>
      </c>
      <c r="N12703" t="s">
        <v>43166</v>
      </c>
      <c r="O12703" t="s">
        <v>43167</v>
      </c>
      <c r="P12703">
        <v>0</v>
      </c>
      <c r="Q12703">
        <v>3</v>
      </c>
      <c r="R12703" t="s">
        <v>43178</v>
      </c>
      <c r="S12703" t="s">
        <v>43522</v>
      </c>
      <c r="T12703" t="s">
        <v>44750</v>
      </c>
      <c r="U12703" t="s">
        <v>55300</v>
      </c>
      <c r="V12703" t="s">
        <v>58300</v>
      </c>
      <c r="W12703" t="s">
        <v>58673</v>
      </c>
      <c r="X12703" t="s">
        <v>43180</v>
      </c>
    </row>
    <row r="12704" spans="1:24">
      <c r="A12704">
        <f>HYPERLINK("https://www.philgeps.gov.ph/GEPSNONPILOT/Tender/SplashBidNoticeAbstractUI.aspx?menuIndex=3&amp;refID=7067766&amp;Result=3","7067766")</f>
        <v>0</v>
      </c>
      <c r="B12704" t="s">
        <v>3284</v>
      </c>
      <c r="C12704" t="s">
        <v>15565</v>
      </c>
      <c r="E12704" t="s">
        <v>28361</v>
      </c>
      <c r="F12704" t="s">
        <v>30052</v>
      </c>
      <c r="G12704" t="s">
        <v>30058</v>
      </c>
      <c r="H12704" t="s">
        <v>15498</v>
      </c>
      <c r="I12704" t="s">
        <v>3736</v>
      </c>
      <c r="J12704" t="s">
        <v>37923</v>
      </c>
      <c r="K12704" t="s">
        <v>39029</v>
      </c>
      <c r="M12704" t="s">
        <v>42918</v>
      </c>
      <c r="N12704" t="s">
        <v>43166</v>
      </c>
      <c r="O12704" t="s">
        <v>43167</v>
      </c>
      <c r="Q12704">
        <v>0</v>
      </c>
      <c r="R12704" t="s">
        <v>43178</v>
      </c>
      <c r="S12704" t="s">
        <v>43989</v>
      </c>
      <c r="T12704" t="s">
        <v>44856</v>
      </c>
      <c r="U12704" t="s">
        <v>46667</v>
      </c>
      <c r="W12704" t="s">
        <v>42918</v>
      </c>
      <c r="X12704" t="s">
        <v>43179</v>
      </c>
    </row>
    <row r="12705" spans="1:24">
      <c r="A12705">
        <f>HYPERLINK("https://www.philgeps.gov.ph/GEPSNONPILOT/Tender/SplashBidNoticeAbstractUI.aspx?menuIndex=3&amp;refID=7066627&amp;Result=3","7066627")</f>
        <v>0</v>
      </c>
      <c r="B12705" t="s">
        <v>3285</v>
      </c>
      <c r="C12705" t="s">
        <v>15566</v>
      </c>
      <c r="D12705" t="s">
        <v>17476</v>
      </c>
      <c r="E12705" t="s">
        <v>24659</v>
      </c>
      <c r="F12705" t="s">
        <v>30052</v>
      </c>
      <c r="G12705" t="s">
        <v>30058</v>
      </c>
      <c r="H12705" t="s">
        <v>30067</v>
      </c>
      <c r="I12705" t="s">
        <v>3693</v>
      </c>
      <c r="J12705" t="s">
        <v>30321</v>
      </c>
      <c r="K12705" t="s">
        <v>39023</v>
      </c>
      <c r="M12705" t="s">
        <v>42919</v>
      </c>
      <c r="N12705" t="s">
        <v>43166</v>
      </c>
      <c r="O12705" t="s">
        <v>43167</v>
      </c>
      <c r="P12705">
        <v>0</v>
      </c>
      <c r="Q12705">
        <v>0</v>
      </c>
      <c r="R12705" t="s">
        <v>43178</v>
      </c>
      <c r="S12705" t="s">
        <v>43522</v>
      </c>
      <c r="T12705" t="s">
        <v>44750</v>
      </c>
      <c r="U12705" t="s">
        <v>55301</v>
      </c>
      <c r="W12705" t="s">
        <v>42919</v>
      </c>
      <c r="X12705" t="s">
        <v>43180</v>
      </c>
    </row>
    <row r="12706" spans="1:24">
      <c r="A12706">
        <f>HYPERLINK("https://www.philgeps.gov.ph/GEPSNONPILOT/Tender/SplashBidNoticeAbstractUI.aspx?menuIndex=3&amp;refID=7067434&amp;Result=3","7067434")</f>
        <v>0</v>
      </c>
      <c r="B12706" t="s">
        <v>1443</v>
      </c>
      <c r="C12706" t="s">
        <v>15567</v>
      </c>
      <c r="D12706" t="s">
        <v>17436</v>
      </c>
      <c r="E12706" t="s">
        <v>28362</v>
      </c>
      <c r="F12706" t="s">
        <v>30052</v>
      </c>
      <c r="G12706" t="s">
        <v>30058</v>
      </c>
      <c r="H12706" t="s">
        <v>30067</v>
      </c>
      <c r="I12706" t="s">
        <v>3693</v>
      </c>
      <c r="J12706" t="s">
        <v>37924</v>
      </c>
      <c r="K12706" t="s">
        <v>39025</v>
      </c>
      <c r="M12706" t="s">
        <v>40821</v>
      </c>
      <c r="N12706" t="s">
        <v>43166</v>
      </c>
      <c r="O12706" t="s">
        <v>43167</v>
      </c>
      <c r="P12706">
        <v>0</v>
      </c>
      <c r="Q12706">
        <v>0</v>
      </c>
      <c r="R12706" t="s">
        <v>43178</v>
      </c>
      <c r="S12706" t="s">
        <v>43522</v>
      </c>
      <c r="T12706" t="s">
        <v>44696</v>
      </c>
      <c r="U12706" t="s">
        <v>55302</v>
      </c>
      <c r="W12706" t="s">
        <v>40821</v>
      </c>
      <c r="X12706" t="s">
        <v>43179</v>
      </c>
    </row>
    <row r="12707" spans="1:24">
      <c r="A12707">
        <f>HYPERLINK("https://www.philgeps.gov.ph/GEPSNONPILOT/Tender/SplashBidNoticeAbstractUI.aspx?menuIndex=3&amp;refID=7066566&amp;Result=3","7066566")</f>
        <v>0</v>
      </c>
      <c r="B12707" t="s">
        <v>2431</v>
      </c>
      <c r="C12707" t="s">
        <v>15568</v>
      </c>
      <c r="D12707" t="s">
        <v>17438</v>
      </c>
      <c r="E12707" t="s">
        <v>28363</v>
      </c>
      <c r="F12707" t="s">
        <v>30052</v>
      </c>
      <c r="G12707" t="s">
        <v>30058</v>
      </c>
      <c r="H12707" t="s">
        <v>15498</v>
      </c>
      <c r="I12707" t="s">
        <v>3736</v>
      </c>
      <c r="J12707" t="s">
        <v>37925</v>
      </c>
      <c r="K12707" t="s">
        <v>39019</v>
      </c>
      <c r="L12707" t="s">
        <v>2431</v>
      </c>
      <c r="M12707" t="s">
        <v>41928</v>
      </c>
      <c r="N12707" t="s">
        <v>43166</v>
      </c>
      <c r="O12707" t="s">
        <v>43167</v>
      </c>
      <c r="P12707">
        <v>0</v>
      </c>
      <c r="Q12707">
        <v>3</v>
      </c>
      <c r="R12707" t="s">
        <v>43178</v>
      </c>
      <c r="S12707" t="s">
        <v>43522</v>
      </c>
      <c r="T12707" t="s">
        <v>44791</v>
      </c>
      <c r="U12707" t="s">
        <v>55303</v>
      </c>
      <c r="W12707" t="s">
        <v>58675</v>
      </c>
      <c r="X12707" t="s">
        <v>43180</v>
      </c>
    </row>
    <row r="12708" spans="1:24">
      <c r="A12708">
        <f>HYPERLINK("https://www.philgeps.gov.ph/GEPSNONPILOT/Tender/SplashBidNoticeAbstractUI.aspx?menuIndex=3&amp;refID=7066506&amp;Result=3","7066506")</f>
        <v>0</v>
      </c>
      <c r="B12708" t="s">
        <v>1811</v>
      </c>
      <c r="C12708" t="s">
        <v>15569</v>
      </c>
      <c r="D12708" t="s">
        <v>17450</v>
      </c>
      <c r="E12708" t="s">
        <v>28364</v>
      </c>
      <c r="F12708" t="s">
        <v>30052</v>
      </c>
      <c r="G12708" t="s">
        <v>30058</v>
      </c>
      <c r="H12708" t="s">
        <v>30067</v>
      </c>
      <c r="I12708" t="s">
        <v>3693</v>
      </c>
      <c r="J12708" t="s">
        <v>34946</v>
      </c>
      <c r="K12708" t="s">
        <v>39119</v>
      </c>
      <c r="M12708" t="s">
        <v>41234</v>
      </c>
      <c r="N12708" t="s">
        <v>43166</v>
      </c>
      <c r="O12708" t="s">
        <v>43167</v>
      </c>
      <c r="P12708">
        <v>0</v>
      </c>
      <c r="Q12708">
        <v>5</v>
      </c>
      <c r="R12708" t="s">
        <v>43178</v>
      </c>
      <c r="S12708" t="s">
        <v>43522</v>
      </c>
      <c r="T12708" t="s">
        <v>44791</v>
      </c>
      <c r="U12708" t="s">
        <v>49480</v>
      </c>
      <c r="V12708" t="s">
        <v>58301</v>
      </c>
      <c r="W12708" t="s">
        <v>41234</v>
      </c>
      <c r="X12708" t="s">
        <v>43180</v>
      </c>
    </row>
    <row r="12709" spans="1:24">
      <c r="A12709">
        <f>HYPERLINK("https://www.philgeps.gov.ph/GEPSNONPILOT/Tender/SplashBidNoticeAbstractUI.aspx?menuIndex=3&amp;refID=7067161&amp;Result=3","7067161")</f>
        <v>0</v>
      </c>
      <c r="B12709" t="s">
        <v>2109</v>
      </c>
      <c r="C12709" t="s">
        <v>15570</v>
      </c>
      <c r="D12709" t="s">
        <v>17447</v>
      </c>
      <c r="E12709" t="s">
        <v>28365</v>
      </c>
      <c r="F12709" t="s">
        <v>30052</v>
      </c>
      <c r="G12709" t="s">
        <v>30058</v>
      </c>
      <c r="H12709" t="s">
        <v>30067</v>
      </c>
      <c r="I12709" t="s">
        <v>3693</v>
      </c>
      <c r="J12709" t="s">
        <v>32171</v>
      </c>
      <c r="K12709" t="s">
        <v>39208</v>
      </c>
      <c r="M12709" t="s">
        <v>41571</v>
      </c>
      <c r="N12709" t="s">
        <v>43166</v>
      </c>
      <c r="O12709" t="s">
        <v>43167</v>
      </c>
      <c r="P12709">
        <v>0</v>
      </c>
      <c r="Q12709">
        <v>3</v>
      </c>
      <c r="R12709" t="s">
        <v>43178</v>
      </c>
      <c r="S12709" t="s">
        <v>43522</v>
      </c>
      <c r="T12709" t="s">
        <v>44750</v>
      </c>
      <c r="U12709" t="s">
        <v>55304</v>
      </c>
      <c r="V12709" t="s">
        <v>58302</v>
      </c>
      <c r="W12709" t="s">
        <v>58673</v>
      </c>
      <c r="X12709" t="s">
        <v>43180</v>
      </c>
    </row>
    <row r="12710" spans="1:24">
      <c r="A12710">
        <f>HYPERLINK("https://www.philgeps.gov.ph/GEPSNONPILOT/Tender/SplashBidNoticeAbstractUI.aspx?menuIndex=3&amp;refID=7067526&amp;Result=3","7067526")</f>
        <v>0</v>
      </c>
      <c r="B12710" t="s">
        <v>820</v>
      </c>
      <c r="C12710" t="s">
        <v>15571</v>
      </c>
      <c r="D12710" t="s">
        <v>17472</v>
      </c>
      <c r="E12710" t="s">
        <v>28366</v>
      </c>
      <c r="F12710" t="s">
        <v>30052</v>
      </c>
      <c r="G12710" t="s">
        <v>30058</v>
      </c>
      <c r="H12710" t="s">
        <v>30067</v>
      </c>
      <c r="I12710" t="s">
        <v>3693</v>
      </c>
      <c r="J12710" t="s">
        <v>37926</v>
      </c>
      <c r="K12710" t="s">
        <v>39031</v>
      </c>
      <c r="M12710" t="s">
        <v>40137</v>
      </c>
      <c r="N12710" t="s">
        <v>43166</v>
      </c>
      <c r="O12710" t="s">
        <v>43167</v>
      </c>
      <c r="P12710">
        <v>0</v>
      </c>
      <c r="Q12710">
        <v>0</v>
      </c>
      <c r="R12710" t="s">
        <v>43178</v>
      </c>
      <c r="S12710" t="s">
        <v>43522</v>
      </c>
      <c r="T12710" t="s">
        <v>44768</v>
      </c>
      <c r="U12710" t="s">
        <v>55305</v>
      </c>
      <c r="V12710" t="s">
        <v>57920</v>
      </c>
      <c r="W12710" t="s">
        <v>40137</v>
      </c>
      <c r="X12710" t="s">
        <v>43179</v>
      </c>
    </row>
    <row r="12711" spans="1:24">
      <c r="A12711">
        <f>HYPERLINK("https://www.philgeps.gov.ph/GEPSNONPILOT/Tender/SplashBidNoticeAbstractUI.aspx?menuIndex=3&amp;refID=7067423&amp;Result=3","7067423")</f>
        <v>0</v>
      </c>
      <c r="B12711" t="s">
        <v>3286</v>
      </c>
      <c r="C12711" t="s">
        <v>15572</v>
      </c>
      <c r="D12711" t="s">
        <v>17422</v>
      </c>
      <c r="E12711" t="s">
        <v>28367</v>
      </c>
      <c r="F12711" t="s">
        <v>30052</v>
      </c>
      <c r="G12711" t="s">
        <v>30058</v>
      </c>
      <c r="H12711" t="s">
        <v>15498</v>
      </c>
      <c r="I12711" t="s">
        <v>30144</v>
      </c>
      <c r="J12711" t="s">
        <v>37927</v>
      </c>
      <c r="K12711" t="s">
        <v>39019</v>
      </c>
      <c r="M12711" t="s">
        <v>42920</v>
      </c>
      <c r="N12711" t="s">
        <v>43166</v>
      </c>
      <c r="O12711" t="s">
        <v>43167</v>
      </c>
      <c r="P12711">
        <v>0</v>
      </c>
      <c r="Q12711">
        <v>0</v>
      </c>
      <c r="R12711" t="s">
        <v>43178</v>
      </c>
      <c r="S12711" t="s">
        <v>43522</v>
      </c>
      <c r="T12711" t="s">
        <v>44750</v>
      </c>
      <c r="U12711" t="s">
        <v>55306</v>
      </c>
      <c r="V12711" t="s">
        <v>58303</v>
      </c>
      <c r="W12711" t="s">
        <v>42920</v>
      </c>
      <c r="X12711" t="s">
        <v>43179</v>
      </c>
    </row>
    <row r="12712" spans="1:24">
      <c r="A12712">
        <f>HYPERLINK("https://www.philgeps.gov.ph/GEPSNONPILOT/Tender/SplashBidNoticeAbstractUI.aspx?menuIndex=3&amp;refID=7066619&amp;Result=3","7066619")</f>
        <v>0</v>
      </c>
      <c r="B12712" t="s">
        <v>2431</v>
      </c>
      <c r="C12712" t="s">
        <v>15573</v>
      </c>
      <c r="D12712" t="s">
        <v>17438</v>
      </c>
      <c r="E12712" t="s">
        <v>28368</v>
      </c>
      <c r="F12712" t="s">
        <v>30052</v>
      </c>
      <c r="G12712" t="s">
        <v>30058</v>
      </c>
      <c r="H12712" t="s">
        <v>15498</v>
      </c>
      <c r="I12712" t="s">
        <v>30080</v>
      </c>
      <c r="J12712" t="s">
        <v>31202</v>
      </c>
      <c r="K12712" t="s">
        <v>39019</v>
      </c>
      <c r="L12712" t="s">
        <v>2431</v>
      </c>
      <c r="M12712" t="s">
        <v>41928</v>
      </c>
      <c r="N12712" t="s">
        <v>43166</v>
      </c>
      <c r="O12712" t="s">
        <v>43167</v>
      </c>
      <c r="Q12712">
        <v>17</v>
      </c>
      <c r="R12712" t="s">
        <v>43178</v>
      </c>
      <c r="S12712" t="s">
        <v>43990</v>
      </c>
      <c r="T12712" t="s">
        <v>44791</v>
      </c>
      <c r="U12712" t="s">
        <v>55307</v>
      </c>
      <c r="W12712" t="s">
        <v>58675</v>
      </c>
      <c r="X12712" t="s">
        <v>43180</v>
      </c>
    </row>
    <row r="12713" spans="1:24">
      <c r="A12713">
        <f>HYPERLINK("https://www.philgeps.gov.ph/GEPSNONPILOT/Tender/SplashBidNoticeAbstractUI.aspx?menuIndex=3&amp;refID=7067168&amp;Result=3","7067168")</f>
        <v>0</v>
      </c>
      <c r="B12713" t="s">
        <v>2109</v>
      </c>
      <c r="C12713" t="s">
        <v>15574</v>
      </c>
      <c r="D12713" t="s">
        <v>17447</v>
      </c>
      <c r="E12713" t="s">
        <v>28369</v>
      </c>
      <c r="F12713" t="s">
        <v>30052</v>
      </c>
      <c r="G12713" t="s">
        <v>30058</v>
      </c>
      <c r="H12713" t="s">
        <v>30067</v>
      </c>
      <c r="I12713" t="s">
        <v>3693</v>
      </c>
      <c r="J12713" t="s">
        <v>37928</v>
      </c>
      <c r="K12713" t="s">
        <v>39022</v>
      </c>
      <c r="M12713" t="s">
        <v>41571</v>
      </c>
      <c r="N12713" t="s">
        <v>43166</v>
      </c>
      <c r="O12713" t="s">
        <v>43167</v>
      </c>
      <c r="P12713">
        <v>0</v>
      </c>
      <c r="Q12713">
        <v>2</v>
      </c>
      <c r="R12713" t="s">
        <v>43178</v>
      </c>
      <c r="S12713" t="s">
        <v>43522</v>
      </c>
      <c r="T12713" t="s">
        <v>44750</v>
      </c>
      <c r="U12713" t="s">
        <v>55308</v>
      </c>
      <c r="V12713" t="s">
        <v>58304</v>
      </c>
      <c r="W12713" t="s">
        <v>58673</v>
      </c>
      <c r="X12713" t="s">
        <v>43180</v>
      </c>
    </row>
    <row r="12714" spans="1:24">
      <c r="A12714">
        <f>HYPERLINK("https://www.philgeps.gov.ph/GEPSNONPILOT/Tender/SplashBidNoticeAbstractUI.aspx?menuIndex=3&amp;refID=7071885&amp;Result=3","7071885")</f>
        <v>0</v>
      </c>
      <c r="B12714" t="s">
        <v>1052</v>
      </c>
      <c r="C12714" t="s">
        <v>15575</v>
      </c>
      <c r="D12714" t="s">
        <v>17452</v>
      </c>
      <c r="E12714" t="s">
        <v>27387</v>
      </c>
      <c r="F12714" t="s">
        <v>30052</v>
      </c>
      <c r="G12714" t="s">
        <v>30058</v>
      </c>
      <c r="H12714" t="s">
        <v>15498</v>
      </c>
      <c r="I12714" t="s">
        <v>30075</v>
      </c>
      <c r="J12714" t="s">
        <v>37929</v>
      </c>
      <c r="K12714" t="s">
        <v>39017</v>
      </c>
      <c r="M12714" t="s">
        <v>40385</v>
      </c>
      <c r="N12714" t="s">
        <v>43166</v>
      </c>
      <c r="O12714" t="s">
        <v>43167</v>
      </c>
      <c r="P12714">
        <v>0</v>
      </c>
      <c r="Q12714">
        <v>3</v>
      </c>
      <c r="R12714" t="s">
        <v>43177</v>
      </c>
      <c r="S12714" t="s">
        <v>43494</v>
      </c>
      <c r="T12714" t="s">
        <v>44968</v>
      </c>
      <c r="U12714" t="s">
        <v>55309</v>
      </c>
      <c r="V12714" t="s">
        <v>58305</v>
      </c>
      <c r="W12714" t="s">
        <v>40385</v>
      </c>
      <c r="X12714" t="s">
        <v>43178</v>
      </c>
    </row>
    <row r="12715" spans="1:24">
      <c r="A12715">
        <f>HYPERLINK("https://www.philgeps.gov.ph/GEPSNONPILOT/Tender/SplashBidNoticeAbstractUI.aspx?menuIndex=3&amp;refID=7071879&amp;Result=3","7071879")</f>
        <v>0</v>
      </c>
      <c r="B12715" t="s">
        <v>2810</v>
      </c>
      <c r="C12715" t="s">
        <v>15576</v>
      </c>
      <c r="D12715" t="s">
        <v>17496</v>
      </c>
      <c r="E12715" t="s">
        <v>28370</v>
      </c>
      <c r="F12715" t="s">
        <v>30052</v>
      </c>
      <c r="G12715" t="s">
        <v>30058</v>
      </c>
      <c r="H12715" t="s">
        <v>15498</v>
      </c>
      <c r="I12715" t="s">
        <v>30074</v>
      </c>
      <c r="J12715" t="s">
        <v>30281</v>
      </c>
      <c r="K12715" t="s">
        <v>39019</v>
      </c>
      <c r="M12715" t="s">
        <v>42351</v>
      </c>
      <c r="N12715" t="s">
        <v>43166</v>
      </c>
      <c r="O12715" t="s">
        <v>43167</v>
      </c>
      <c r="P12715">
        <v>0</v>
      </c>
      <c r="Q12715">
        <v>5</v>
      </c>
      <c r="R12715" t="s">
        <v>43177</v>
      </c>
      <c r="S12715" t="s">
        <v>43494</v>
      </c>
      <c r="T12715" t="s">
        <v>44762</v>
      </c>
      <c r="U12715" t="s">
        <v>55310</v>
      </c>
      <c r="W12715" t="s">
        <v>42351</v>
      </c>
      <c r="X12715" t="s">
        <v>43178</v>
      </c>
    </row>
    <row r="12716" spans="1:24">
      <c r="A12716">
        <f>HYPERLINK("https://www.philgeps.gov.ph/GEPSNONPILOT/Tender/SplashBidNoticeAbstractUI.aspx?menuIndex=3&amp;refID=7071722&amp;Result=3","7071722")</f>
        <v>0</v>
      </c>
      <c r="B12716" t="s">
        <v>1134</v>
      </c>
      <c r="C12716" t="s">
        <v>15577</v>
      </c>
      <c r="D12716" t="s">
        <v>17459</v>
      </c>
      <c r="E12716" t="s">
        <v>28371</v>
      </c>
      <c r="F12716" t="s">
        <v>30052</v>
      </c>
      <c r="G12716" t="s">
        <v>30059</v>
      </c>
      <c r="H12716" t="s">
        <v>15498</v>
      </c>
      <c r="I12716" t="s">
        <v>3736</v>
      </c>
      <c r="J12716" t="s">
        <v>37930</v>
      </c>
      <c r="K12716" t="s">
        <v>39037</v>
      </c>
      <c r="M12716" t="s">
        <v>40477</v>
      </c>
      <c r="N12716" t="s">
        <v>43166</v>
      </c>
      <c r="O12716" t="s">
        <v>43167</v>
      </c>
      <c r="P12716">
        <v>0</v>
      </c>
      <c r="Q12716">
        <v>0</v>
      </c>
      <c r="R12716" t="s">
        <v>43177</v>
      </c>
      <c r="S12716" t="s">
        <v>43494</v>
      </c>
      <c r="T12716" t="s">
        <v>44717</v>
      </c>
      <c r="U12716" t="s">
        <v>55311</v>
      </c>
      <c r="W12716" t="s">
        <v>40477</v>
      </c>
      <c r="X12716" t="s">
        <v>43178</v>
      </c>
    </row>
    <row r="12717" spans="1:24">
      <c r="A12717">
        <f>HYPERLINK("https://www.philgeps.gov.ph/GEPSNONPILOT/Tender/SplashBidNoticeAbstractUI.aspx?menuIndex=3&amp;refID=7066590&amp;Result=3","7066590")</f>
        <v>0</v>
      </c>
      <c r="B12717" t="s">
        <v>1990</v>
      </c>
      <c r="C12717" t="s">
        <v>15578</v>
      </c>
      <c r="D12717" t="s">
        <v>17473</v>
      </c>
      <c r="E12717" t="s">
        <v>28372</v>
      </c>
      <c r="F12717" t="s">
        <v>30052</v>
      </c>
      <c r="G12717" t="s">
        <v>30058</v>
      </c>
      <c r="H12717" t="s">
        <v>30067</v>
      </c>
      <c r="I12717" t="s">
        <v>3693</v>
      </c>
      <c r="J12717" t="s">
        <v>30205</v>
      </c>
      <c r="K12717" t="s">
        <v>39069</v>
      </c>
      <c r="M12717" t="s">
        <v>41432</v>
      </c>
      <c r="N12717" t="s">
        <v>43166</v>
      </c>
      <c r="O12717" t="s">
        <v>43167</v>
      </c>
      <c r="P12717">
        <v>0</v>
      </c>
      <c r="Q12717">
        <v>1</v>
      </c>
      <c r="R12717" t="s">
        <v>43178</v>
      </c>
      <c r="S12717" t="s">
        <v>43522</v>
      </c>
      <c r="T12717" t="s">
        <v>44842</v>
      </c>
      <c r="U12717" t="s">
        <v>55312</v>
      </c>
      <c r="W12717" t="s">
        <v>41432</v>
      </c>
      <c r="X12717" t="s">
        <v>43180</v>
      </c>
    </row>
    <row r="12718" spans="1:24">
      <c r="A12718">
        <f>HYPERLINK("https://www.philgeps.gov.ph/GEPSNONPILOT/Tender/SplashBidNoticeAbstractUI.aspx?menuIndex=3&amp;refID=7066334&amp;Result=3","7066334")</f>
        <v>0</v>
      </c>
      <c r="B12718" t="s">
        <v>1990</v>
      </c>
      <c r="C12718" t="s">
        <v>15579</v>
      </c>
      <c r="D12718" t="s">
        <v>17473</v>
      </c>
      <c r="E12718" t="s">
        <v>28373</v>
      </c>
      <c r="F12718" t="s">
        <v>30052</v>
      </c>
      <c r="G12718" t="s">
        <v>30058</v>
      </c>
      <c r="H12718" t="s">
        <v>30067</v>
      </c>
      <c r="I12718" t="s">
        <v>3693</v>
      </c>
      <c r="J12718" t="s">
        <v>37931</v>
      </c>
      <c r="K12718" t="s">
        <v>39023</v>
      </c>
      <c r="M12718" t="s">
        <v>41432</v>
      </c>
      <c r="N12718" t="s">
        <v>43166</v>
      </c>
      <c r="O12718" t="s">
        <v>43167</v>
      </c>
      <c r="P12718">
        <v>0</v>
      </c>
      <c r="Q12718">
        <v>1</v>
      </c>
      <c r="R12718" t="s">
        <v>43178</v>
      </c>
      <c r="S12718" t="s">
        <v>43522</v>
      </c>
      <c r="T12718" t="s">
        <v>44842</v>
      </c>
      <c r="U12718" t="s">
        <v>55312</v>
      </c>
      <c r="W12718" t="s">
        <v>41432</v>
      </c>
      <c r="X12718" t="s">
        <v>43180</v>
      </c>
    </row>
    <row r="12719" spans="1:24">
      <c r="A12719">
        <f>HYPERLINK("https://www.philgeps.gov.ph/GEPSNONPILOT/Tender/SplashBidNoticeAbstractUI.aspx?menuIndex=3&amp;refID=7071876&amp;Result=3","7071876")</f>
        <v>0</v>
      </c>
      <c r="B12719" t="s">
        <v>968</v>
      </c>
      <c r="C12719" t="s">
        <v>15580</v>
      </c>
      <c r="D12719" t="s">
        <v>17444</v>
      </c>
      <c r="E12719" t="s">
        <v>28374</v>
      </c>
      <c r="F12719" t="s">
        <v>30052</v>
      </c>
      <c r="G12719" t="s">
        <v>30059</v>
      </c>
      <c r="H12719" t="s">
        <v>15498</v>
      </c>
      <c r="I12719" t="s">
        <v>30110</v>
      </c>
      <c r="J12719" t="s">
        <v>33330</v>
      </c>
      <c r="K12719" t="s">
        <v>39031</v>
      </c>
      <c r="M12719" t="s">
        <v>40294</v>
      </c>
      <c r="N12719" t="s">
        <v>43166</v>
      </c>
      <c r="O12719" t="s">
        <v>43167</v>
      </c>
      <c r="P12719">
        <v>0</v>
      </c>
      <c r="Q12719">
        <v>4</v>
      </c>
      <c r="R12719" t="s">
        <v>43177</v>
      </c>
      <c r="S12719" t="s">
        <v>43494</v>
      </c>
      <c r="T12719" t="s">
        <v>44710</v>
      </c>
      <c r="U12719" t="s">
        <v>55313</v>
      </c>
      <c r="W12719" t="s">
        <v>40294</v>
      </c>
      <c r="X12719" t="s">
        <v>43178</v>
      </c>
    </row>
    <row r="12720" spans="1:24">
      <c r="A12720">
        <f>HYPERLINK("https://www.philgeps.gov.ph/GEPSNONPILOT/Tender/SplashBidNoticeAbstractUI.aspx?menuIndex=3&amp;refID=7071871&amp;Result=3","7071871")</f>
        <v>0</v>
      </c>
      <c r="B12720" t="s">
        <v>1052</v>
      </c>
      <c r="C12720" t="s">
        <v>15581</v>
      </c>
      <c r="D12720" t="s">
        <v>17452</v>
      </c>
      <c r="E12720" t="s">
        <v>28375</v>
      </c>
      <c r="F12720" t="s">
        <v>30052</v>
      </c>
      <c r="G12720" t="s">
        <v>30058</v>
      </c>
      <c r="H12720" t="s">
        <v>15498</v>
      </c>
      <c r="I12720" t="s">
        <v>3852</v>
      </c>
      <c r="J12720" t="s">
        <v>37932</v>
      </c>
      <c r="K12720" t="s">
        <v>39017</v>
      </c>
      <c r="M12720" t="s">
        <v>40385</v>
      </c>
      <c r="N12720" t="s">
        <v>43166</v>
      </c>
      <c r="O12720" t="s">
        <v>43167</v>
      </c>
      <c r="P12720">
        <v>0</v>
      </c>
      <c r="Q12720">
        <v>2</v>
      </c>
      <c r="R12720" t="s">
        <v>43177</v>
      </c>
      <c r="S12720" t="s">
        <v>43494</v>
      </c>
      <c r="T12720" t="s">
        <v>44968</v>
      </c>
      <c r="U12720" t="s">
        <v>55314</v>
      </c>
      <c r="V12720" t="s">
        <v>58305</v>
      </c>
      <c r="W12720" t="s">
        <v>40385</v>
      </c>
      <c r="X12720" t="s">
        <v>43178</v>
      </c>
    </row>
    <row r="12721" spans="1:24">
      <c r="A12721">
        <f>HYPERLINK("https://www.philgeps.gov.ph/GEPSNONPILOT/Tender/SplashBidNoticeAbstractUI.aspx?menuIndex=3&amp;refID=7071511&amp;Result=3","7071511")</f>
        <v>0</v>
      </c>
      <c r="B12721" t="s">
        <v>3287</v>
      </c>
      <c r="C12721" t="s">
        <v>15582</v>
      </c>
      <c r="D12721" t="s">
        <v>17473</v>
      </c>
      <c r="E12721" t="s">
        <v>28376</v>
      </c>
      <c r="F12721" t="s">
        <v>30052</v>
      </c>
      <c r="G12721" t="s">
        <v>30058</v>
      </c>
      <c r="H12721" t="s">
        <v>15498</v>
      </c>
      <c r="I12721" t="s">
        <v>3736</v>
      </c>
      <c r="J12721" t="s">
        <v>30227</v>
      </c>
      <c r="K12721" t="s">
        <v>39017</v>
      </c>
      <c r="L12721" t="s">
        <v>3287</v>
      </c>
      <c r="M12721" t="s">
        <v>42921</v>
      </c>
      <c r="N12721" t="s">
        <v>43166</v>
      </c>
      <c r="O12721" t="s">
        <v>43167</v>
      </c>
      <c r="P12721">
        <v>0</v>
      </c>
      <c r="Q12721">
        <v>0</v>
      </c>
      <c r="R12721" t="s">
        <v>43177</v>
      </c>
      <c r="S12721" t="s">
        <v>43494</v>
      </c>
      <c r="T12721" t="s">
        <v>44856</v>
      </c>
      <c r="U12721" t="s">
        <v>55315</v>
      </c>
      <c r="W12721" t="s">
        <v>42921</v>
      </c>
      <c r="X12721" t="s">
        <v>43178</v>
      </c>
    </row>
    <row r="12722" spans="1:24">
      <c r="A12722">
        <f>HYPERLINK("https://www.philgeps.gov.ph/GEPSNONPILOT/Tender/SplashBidNoticeAbstractUI.aspx?menuIndex=3&amp;refID=7071491&amp;Result=3","7071491")</f>
        <v>0</v>
      </c>
      <c r="B12722" t="s">
        <v>2794</v>
      </c>
      <c r="C12722" t="s">
        <v>15583</v>
      </c>
      <c r="D12722" t="s">
        <v>17414</v>
      </c>
      <c r="E12722" t="s">
        <v>28377</v>
      </c>
      <c r="F12722" t="s">
        <v>30052</v>
      </c>
      <c r="G12722" t="s">
        <v>30061</v>
      </c>
      <c r="H12722" t="s">
        <v>15498</v>
      </c>
      <c r="I12722" t="s">
        <v>30071</v>
      </c>
      <c r="J12722" t="s">
        <v>37933</v>
      </c>
      <c r="K12722" t="s">
        <v>39029</v>
      </c>
      <c r="M12722" t="s">
        <v>42334</v>
      </c>
      <c r="N12722" t="s">
        <v>43166</v>
      </c>
      <c r="O12722" t="s">
        <v>43167</v>
      </c>
      <c r="Q12722">
        <v>5</v>
      </c>
      <c r="R12722" t="s">
        <v>43177</v>
      </c>
      <c r="S12722" t="s">
        <v>43991</v>
      </c>
      <c r="T12722" t="s">
        <v>44710</v>
      </c>
      <c r="U12722" t="s">
        <v>55316</v>
      </c>
      <c r="V12722" t="s">
        <v>57865</v>
      </c>
      <c r="W12722" t="s">
        <v>42334</v>
      </c>
      <c r="X12722" t="s">
        <v>43178</v>
      </c>
    </row>
    <row r="12723" spans="1:24">
      <c r="A12723">
        <f>HYPERLINK("https://www.philgeps.gov.ph/GEPSNONPILOT/Tender/SplashBidNoticeAbstractUI.aspx?menuIndex=3&amp;refID=7066429&amp;Result=3","7066429")</f>
        <v>0</v>
      </c>
      <c r="B12723" t="s">
        <v>1990</v>
      </c>
      <c r="C12723" t="s">
        <v>15584</v>
      </c>
      <c r="D12723" t="s">
        <v>17473</v>
      </c>
      <c r="E12723" t="s">
        <v>28378</v>
      </c>
      <c r="F12723" t="s">
        <v>30052</v>
      </c>
      <c r="G12723" t="s">
        <v>30058</v>
      </c>
      <c r="H12723" t="s">
        <v>30067</v>
      </c>
      <c r="I12723" t="s">
        <v>3693</v>
      </c>
      <c r="J12723" t="s">
        <v>37934</v>
      </c>
      <c r="K12723" t="s">
        <v>39033</v>
      </c>
      <c r="M12723" t="s">
        <v>41432</v>
      </c>
      <c r="N12723" t="s">
        <v>43166</v>
      </c>
      <c r="O12723" t="s">
        <v>43167</v>
      </c>
      <c r="P12723">
        <v>0</v>
      </c>
      <c r="Q12723">
        <v>3</v>
      </c>
      <c r="R12723" t="s">
        <v>43178</v>
      </c>
      <c r="S12723" t="s">
        <v>43522</v>
      </c>
      <c r="T12723" t="s">
        <v>44842</v>
      </c>
      <c r="U12723" t="s">
        <v>55312</v>
      </c>
      <c r="W12723" t="s">
        <v>41432</v>
      </c>
      <c r="X12723" t="s">
        <v>43180</v>
      </c>
    </row>
    <row r="12724" spans="1:24">
      <c r="A12724">
        <f>HYPERLINK("https://www.philgeps.gov.ph/GEPSNONPILOT/Tender/SplashBidNoticeAbstractUI.aspx?menuIndex=3&amp;refID=7071330&amp;Result=3","7071330")</f>
        <v>0</v>
      </c>
      <c r="B12724" t="s">
        <v>2602</v>
      </c>
      <c r="C12724" t="s">
        <v>15585</v>
      </c>
      <c r="E12724" t="s">
        <v>28379</v>
      </c>
      <c r="F12724" t="s">
        <v>30052</v>
      </c>
      <c r="G12724" t="s">
        <v>30058</v>
      </c>
      <c r="H12724" t="s">
        <v>30067</v>
      </c>
      <c r="I12724" t="s">
        <v>3693</v>
      </c>
      <c r="J12724" t="s">
        <v>37935</v>
      </c>
      <c r="K12724" t="s">
        <v>39025</v>
      </c>
      <c r="M12724" t="s">
        <v>42113</v>
      </c>
      <c r="N12724" t="s">
        <v>43166</v>
      </c>
      <c r="O12724" t="s">
        <v>43167</v>
      </c>
      <c r="P12724">
        <v>0</v>
      </c>
      <c r="Q12724">
        <v>6</v>
      </c>
      <c r="R12724" t="s">
        <v>43177</v>
      </c>
      <c r="S12724" t="s">
        <v>43494</v>
      </c>
      <c r="T12724" t="s">
        <v>45122</v>
      </c>
      <c r="U12724" t="s">
        <v>52848</v>
      </c>
      <c r="V12724" t="s">
        <v>58306</v>
      </c>
      <c r="W12724" t="s">
        <v>42113</v>
      </c>
      <c r="X12724" t="s">
        <v>43178</v>
      </c>
    </row>
    <row r="12725" spans="1:24">
      <c r="A12725">
        <f>HYPERLINK("https://www.philgeps.gov.ph/GEPSNONPILOT/Tender/SplashBidNoticeAbstractUI.aspx?menuIndex=3&amp;refID=7071316&amp;Result=3","7071316")</f>
        <v>0</v>
      </c>
      <c r="B12725" t="s">
        <v>2320</v>
      </c>
      <c r="C12725" t="s">
        <v>15586</v>
      </c>
      <c r="D12725" t="s">
        <v>17462</v>
      </c>
      <c r="E12725" t="s">
        <v>28380</v>
      </c>
      <c r="F12725" t="s">
        <v>30052</v>
      </c>
      <c r="G12725" t="s">
        <v>30058</v>
      </c>
      <c r="H12725" t="s">
        <v>15498</v>
      </c>
      <c r="I12725" t="s">
        <v>3606</v>
      </c>
      <c r="J12725" t="s">
        <v>37936</v>
      </c>
      <c r="K12725" t="s">
        <v>39037</v>
      </c>
      <c r="M12725" t="s">
        <v>42321</v>
      </c>
      <c r="N12725" t="s">
        <v>43166</v>
      </c>
      <c r="O12725" t="s">
        <v>43167</v>
      </c>
      <c r="P12725">
        <v>0</v>
      </c>
      <c r="Q12725">
        <v>9</v>
      </c>
      <c r="R12725" t="s">
        <v>43177</v>
      </c>
      <c r="S12725" t="s">
        <v>43494</v>
      </c>
      <c r="T12725" t="s">
        <v>44870</v>
      </c>
      <c r="U12725" t="s">
        <v>51193</v>
      </c>
      <c r="V12725" t="s">
        <v>57595</v>
      </c>
      <c r="W12725" t="s">
        <v>58669</v>
      </c>
      <c r="X12725" t="s">
        <v>43178</v>
      </c>
    </row>
    <row r="12726" spans="1:24">
      <c r="A12726">
        <f>HYPERLINK("https://www.philgeps.gov.ph/GEPSNONPILOT/Tender/SplashBidNoticeAbstractUI.aspx?menuIndex=3&amp;refID=7071288&amp;Result=3","7071288")</f>
        <v>0</v>
      </c>
      <c r="B12726" t="s">
        <v>2550</v>
      </c>
      <c r="C12726" t="s">
        <v>15587</v>
      </c>
      <c r="D12726" t="s">
        <v>17445</v>
      </c>
      <c r="E12726" t="s">
        <v>28381</v>
      </c>
      <c r="F12726" t="s">
        <v>30052</v>
      </c>
      <c r="G12726" t="s">
        <v>30058</v>
      </c>
      <c r="H12726" t="s">
        <v>15498</v>
      </c>
      <c r="I12726" t="s">
        <v>30135</v>
      </c>
      <c r="J12726" t="s">
        <v>37937</v>
      </c>
      <c r="K12726" t="s">
        <v>39031</v>
      </c>
      <c r="M12726" t="s">
        <v>42120</v>
      </c>
      <c r="N12726" t="s">
        <v>43166</v>
      </c>
      <c r="O12726" t="s">
        <v>43167</v>
      </c>
      <c r="P12726">
        <v>0</v>
      </c>
      <c r="Q12726">
        <v>7</v>
      </c>
      <c r="R12726" t="s">
        <v>43177</v>
      </c>
      <c r="S12726" t="s">
        <v>43494</v>
      </c>
      <c r="T12726" t="s">
        <v>44945</v>
      </c>
      <c r="U12726" t="s">
        <v>52829</v>
      </c>
      <c r="W12726" t="s">
        <v>42120</v>
      </c>
      <c r="X12726" t="s">
        <v>43178</v>
      </c>
    </row>
    <row r="12727" spans="1:24">
      <c r="A12727">
        <f>HYPERLINK("https://www.philgeps.gov.ph/GEPSNONPILOT/Tender/SplashBidNoticeAbstractUI.aspx?menuIndex=3&amp;refID=7071524&amp;Result=3","7071524")</f>
        <v>0</v>
      </c>
      <c r="B12727" t="s">
        <v>2794</v>
      </c>
      <c r="C12727" t="s">
        <v>15588</v>
      </c>
      <c r="D12727" t="s">
        <v>17414</v>
      </c>
      <c r="E12727" t="s">
        <v>28382</v>
      </c>
      <c r="F12727" t="s">
        <v>30052</v>
      </c>
      <c r="G12727" t="s">
        <v>30059</v>
      </c>
      <c r="H12727" t="s">
        <v>30069</v>
      </c>
      <c r="I12727" t="s">
        <v>30148</v>
      </c>
      <c r="J12727" t="s">
        <v>37938</v>
      </c>
      <c r="K12727" t="s">
        <v>39023</v>
      </c>
      <c r="M12727" t="s">
        <v>42334</v>
      </c>
      <c r="N12727" t="s">
        <v>43166</v>
      </c>
      <c r="O12727" t="s">
        <v>43167</v>
      </c>
      <c r="Q12727">
        <v>1</v>
      </c>
      <c r="R12727" t="s">
        <v>43177</v>
      </c>
      <c r="S12727" t="s">
        <v>43712</v>
      </c>
      <c r="T12727" t="s">
        <v>44710</v>
      </c>
      <c r="U12727" t="s">
        <v>55317</v>
      </c>
      <c r="V12727" t="s">
        <v>57865</v>
      </c>
      <c r="W12727" t="s">
        <v>42334</v>
      </c>
      <c r="X12727" t="s">
        <v>43178</v>
      </c>
    </row>
    <row r="12728" spans="1:24">
      <c r="A12728">
        <f>HYPERLINK("https://www.philgeps.gov.ph/GEPSNONPILOT/Tender/SplashBidNoticeAbstractUI.aspx?menuIndex=3&amp;refID=7071716&amp;Result=3","7071716")</f>
        <v>0</v>
      </c>
      <c r="B12728" t="s">
        <v>2802</v>
      </c>
      <c r="C12728" t="s">
        <v>15589</v>
      </c>
      <c r="D12728" t="s">
        <v>17430</v>
      </c>
      <c r="E12728" t="s">
        <v>28383</v>
      </c>
      <c r="F12728" t="s">
        <v>30052</v>
      </c>
      <c r="G12728" t="s">
        <v>30058</v>
      </c>
      <c r="H12728" t="s">
        <v>30067</v>
      </c>
      <c r="I12728" t="s">
        <v>3693</v>
      </c>
      <c r="J12728" t="s">
        <v>31009</v>
      </c>
      <c r="K12728" t="s">
        <v>39029</v>
      </c>
      <c r="M12728" t="s">
        <v>42343</v>
      </c>
      <c r="N12728" t="s">
        <v>43166</v>
      </c>
      <c r="O12728" t="s">
        <v>43167</v>
      </c>
      <c r="P12728">
        <v>0</v>
      </c>
      <c r="Q12728">
        <v>1</v>
      </c>
      <c r="R12728" t="s">
        <v>43177</v>
      </c>
      <c r="S12728" t="s">
        <v>43494</v>
      </c>
      <c r="T12728" t="s">
        <v>44690</v>
      </c>
      <c r="U12728" t="s">
        <v>55318</v>
      </c>
      <c r="V12728" t="s">
        <v>58307</v>
      </c>
      <c r="W12728" t="s">
        <v>42343</v>
      </c>
      <c r="X12728" t="s">
        <v>43178</v>
      </c>
    </row>
    <row r="12729" spans="1:24">
      <c r="A12729">
        <f>HYPERLINK("https://www.philgeps.gov.ph/GEPSNONPILOT/Tender/SplashBidNoticeAbstractUI.aspx?menuIndex=3&amp;refID=7071558&amp;Result=3","7071558")</f>
        <v>0</v>
      </c>
      <c r="B12729" t="s">
        <v>2794</v>
      </c>
      <c r="C12729" t="s">
        <v>15590</v>
      </c>
      <c r="D12729" t="s">
        <v>17414</v>
      </c>
      <c r="E12729" t="s">
        <v>28384</v>
      </c>
      <c r="F12729" t="s">
        <v>30052</v>
      </c>
      <c r="G12729" t="s">
        <v>30059</v>
      </c>
      <c r="H12729" t="s">
        <v>30069</v>
      </c>
      <c r="I12729" t="s">
        <v>6304</v>
      </c>
      <c r="J12729" t="s">
        <v>30230</v>
      </c>
      <c r="K12729" t="s">
        <v>39029</v>
      </c>
      <c r="M12729" t="s">
        <v>42334</v>
      </c>
      <c r="N12729" t="s">
        <v>43166</v>
      </c>
      <c r="O12729" t="s">
        <v>43167</v>
      </c>
      <c r="Q12729">
        <v>1</v>
      </c>
      <c r="R12729" t="s">
        <v>43177</v>
      </c>
      <c r="S12729" t="s">
        <v>43992</v>
      </c>
      <c r="T12729" t="s">
        <v>44710</v>
      </c>
      <c r="U12729" t="s">
        <v>55319</v>
      </c>
      <c r="V12729" t="s">
        <v>57865</v>
      </c>
      <c r="W12729" t="s">
        <v>42334</v>
      </c>
      <c r="X12729" t="s">
        <v>43178</v>
      </c>
    </row>
    <row r="12730" spans="1:24">
      <c r="A12730">
        <f>HYPERLINK("https://www.philgeps.gov.ph/GEPSNONPILOT/Tender/SplashBidNoticeAbstractUI.aspx?menuIndex=3&amp;refID=7071555&amp;Result=3","7071555")</f>
        <v>0</v>
      </c>
      <c r="B12730" t="s">
        <v>2550</v>
      </c>
      <c r="C12730" t="s">
        <v>15591</v>
      </c>
      <c r="D12730" t="s">
        <v>17445</v>
      </c>
      <c r="E12730" t="s">
        <v>28385</v>
      </c>
      <c r="F12730" t="s">
        <v>30052</v>
      </c>
      <c r="G12730" t="s">
        <v>30058</v>
      </c>
      <c r="H12730" t="s">
        <v>15498</v>
      </c>
      <c r="I12730" t="s">
        <v>30135</v>
      </c>
      <c r="J12730" t="s">
        <v>37939</v>
      </c>
      <c r="K12730" t="s">
        <v>39031</v>
      </c>
      <c r="M12730" t="s">
        <v>42120</v>
      </c>
      <c r="N12730" t="s">
        <v>43166</v>
      </c>
      <c r="O12730" t="s">
        <v>43167</v>
      </c>
      <c r="P12730">
        <v>0</v>
      </c>
      <c r="Q12730">
        <v>5</v>
      </c>
      <c r="R12730" t="s">
        <v>43177</v>
      </c>
      <c r="S12730" t="s">
        <v>43494</v>
      </c>
      <c r="T12730" t="s">
        <v>44945</v>
      </c>
      <c r="U12730" t="s">
        <v>52829</v>
      </c>
      <c r="W12730" t="s">
        <v>42120</v>
      </c>
      <c r="X12730" t="s">
        <v>43178</v>
      </c>
    </row>
    <row r="12731" spans="1:24">
      <c r="A12731">
        <f>HYPERLINK("https://www.philgeps.gov.ph/GEPSNONPILOT/Tender/SplashBidNoticeAbstractUI.aspx?menuIndex=3&amp;refID=7054129&amp;Result=3","7054129")</f>
        <v>0</v>
      </c>
      <c r="B12731" t="s">
        <v>3215</v>
      </c>
      <c r="C12731" t="s">
        <v>15592</v>
      </c>
      <c r="E12731" t="s">
        <v>28386</v>
      </c>
      <c r="F12731" t="s">
        <v>30052</v>
      </c>
      <c r="G12731" t="s">
        <v>30058</v>
      </c>
      <c r="H12731" t="s">
        <v>15498</v>
      </c>
      <c r="I12731" t="s">
        <v>9238</v>
      </c>
      <c r="J12731" t="s">
        <v>37940</v>
      </c>
      <c r="K12731" t="s">
        <v>39025</v>
      </c>
      <c r="M12731" t="s">
        <v>42838</v>
      </c>
      <c r="N12731" t="s">
        <v>43166</v>
      </c>
      <c r="O12731" t="s">
        <v>43167</v>
      </c>
      <c r="Q12731">
        <v>23</v>
      </c>
      <c r="R12731" t="s">
        <v>43185</v>
      </c>
      <c r="S12731" t="s">
        <v>43993</v>
      </c>
      <c r="T12731" t="s">
        <v>44941</v>
      </c>
      <c r="U12731" t="s">
        <v>55320</v>
      </c>
      <c r="V12731" t="s">
        <v>58286</v>
      </c>
      <c r="W12731" t="s">
        <v>42838</v>
      </c>
      <c r="X12731" t="s">
        <v>43186</v>
      </c>
    </row>
    <row r="12732" spans="1:24">
      <c r="A12732">
        <f>HYPERLINK("https://www.philgeps.gov.ph/GEPSNONPILOT/Tender/SplashBidNoticeAbstractUI.aspx?menuIndex=3&amp;refID=7066474&amp;Result=3","7066474")</f>
        <v>0</v>
      </c>
      <c r="B12732" t="s">
        <v>1990</v>
      </c>
      <c r="C12732" t="s">
        <v>15593</v>
      </c>
      <c r="D12732" t="s">
        <v>17473</v>
      </c>
      <c r="E12732" t="s">
        <v>28387</v>
      </c>
      <c r="F12732" t="s">
        <v>30052</v>
      </c>
      <c r="G12732" t="s">
        <v>30058</v>
      </c>
      <c r="H12732" t="s">
        <v>30067</v>
      </c>
      <c r="I12732" t="s">
        <v>3693</v>
      </c>
      <c r="J12732" t="s">
        <v>30205</v>
      </c>
      <c r="K12732" t="s">
        <v>39181</v>
      </c>
      <c r="M12732" t="s">
        <v>41432</v>
      </c>
      <c r="N12732" t="s">
        <v>43166</v>
      </c>
      <c r="O12732" t="s">
        <v>43167</v>
      </c>
      <c r="P12732">
        <v>0</v>
      </c>
      <c r="Q12732">
        <v>1</v>
      </c>
      <c r="R12732" t="s">
        <v>43178</v>
      </c>
      <c r="S12732" t="s">
        <v>43522</v>
      </c>
      <c r="T12732" t="s">
        <v>44842</v>
      </c>
      <c r="U12732" t="s">
        <v>55312</v>
      </c>
      <c r="W12732" t="s">
        <v>41432</v>
      </c>
      <c r="X12732" t="s">
        <v>43180</v>
      </c>
    </row>
    <row r="12733" spans="1:24">
      <c r="A12733">
        <f>HYPERLINK("https://www.philgeps.gov.ph/GEPSNONPILOT/Tender/SplashBidNoticeAbstractUI.aspx?menuIndex=3&amp;refID=7071295&amp;Result=3","7071295")</f>
        <v>0</v>
      </c>
      <c r="B12733" t="s">
        <v>860</v>
      </c>
      <c r="C12733" t="s">
        <v>15594</v>
      </c>
      <c r="D12733" t="s">
        <v>17484</v>
      </c>
      <c r="E12733" t="s">
        <v>28388</v>
      </c>
      <c r="F12733" t="s">
        <v>30052</v>
      </c>
      <c r="G12733" t="s">
        <v>30058</v>
      </c>
      <c r="H12733" t="s">
        <v>15498</v>
      </c>
      <c r="I12733" t="s">
        <v>30073</v>
      </c>
      <c r="J12733" t="s">
        <v>32337</v>
      </c>
      <c r="K12733" t="s">
        <v>39031</v>
      </c>
      <c r="M12733" t="s">
        <v>40326</v>
      </c>
      <c r="N12733" t="s">
        <v>43166</v>
      </c>
      <c r="O12733" t="s">
        <v>43167</v>
      </c>
      <c r="P12733">
        <v>0</v>
      </c>
      <c r="Q12733">
        <v>0</v>
      </c>
      <c r="R12733" t="s">
        <v>43177</v>
      </c>
      <c r="S12733" t="s">
        <v>43494</v>
      </c>
      <c r="T12733" t="s">
        <v>44716</v>
      </c>
      <c r="U12733" t="s">
        <v>46900</v>
      </c>
      <c r="W12733" t="s">
        <v>40326</v>
      </c>
      <c r="X12733" t="s">
        <v>43178</v>
      </c>
    </row>
    <row r="12734" spans="1:24">
      <c r="A12734">
        <f>HYPERLINK("https://www.philgeps.gov.ph/GEPSNONPILOT/Tender/SplashBidNoticeAbstractUI.aspx?menuIndex=3&amp;refID=7071275&amp;Result=3","7071275")</f>
        <v>0</v>
      </c>
      <c r="B12734" t="s">
        <v>514</v>
      </c>
      <c r="C12734" t="s">
        <v>15595</v>
      </c>
      <c r="D12734" t="s">
        <v>17461</v>
      </c>
      <c r="E12734" t="s">
        <v>19608</v>
      </c>
      <c r="F12734" t="s">
        <v>30052</v>
      </c>
      <c r="G12734" t="s">
        <v>30058</v>
      </c>
      <c r="H12734" t="s">
        <v>30067</v>
      </c>
      <c r="I12734" t="s">
        <v>3693</v>
      </c>
      <c r="J12734" t="s">
        <v>37941</v>
      </c>
      <c r="K12734" t="s">
        <v>39038</v>
      </c>
      <c r="L12734" t="s">
        <v>514</v>
      </c>
      <c r="M12734" t="s">
        <v>39815</v>
      </c>
      <c r="N12734" t="s">
        <v>43166</v>
      </c>
      <c r="O12734" t="s">
        <v>43167</v>
      </c>
      <c r="P12734">
        <v>0</v>
      </c>
      <c r="Q12734">
        <v>0</v>
      </c>
      <c r="R12734" t="s">
        <v>43177</v>
      </c>
      <c r="S12734" t="s">
        <v>43494</v>
      </c>
      <c r="T12734" t="s">
        <v>44699</v>
      </c>
      <c r="U12734" t="s">
        <v>55321</v>
      </c>
      <c r="V12734" t="s">
        <v>58308</v>
      </c>
      <c r="W12734" t="s">
        <v>39815</v>
      </c>
      <c r="X12734" t="s">
        <v>43178</v>
      </c>
    </row>
    <row r="12735" spans="1:24">
      <c r="A12735">
        <f>HYPERLINK("https://www.philgeps.gov.ph/GEPSNONPILOT/Tender/SplashBidNoticeAbstractUI.aspx?menuIndex=3&amp;refID=7054155&amp;Result=3","7054155")</f>
        <v>0</v>
      </c>
      <c r="B12735" t="s">
        <v>3065</v>
      </c>
      <c r="C12735" t="s">
        <v>15596</v>
      </c>
      <c r="D12735" t="s">
        <v>17449</v>
      </c>
      <c r="E12735" t="s">
        <v>28389</v>
      </c>
      <c r="F12735" t="s">
        <v>30052</v>
      </c>
      <c r="G12735" t="s">
        <v>30058</v>
      </c>
      <c r="H12735" t="s">
        <v>30067</v>
      </c>
      <c r="I12735" t="s">
        <v>3693</v>
      </c>
      <c r="J12735" t="s">
        <v>37942</v>
      </c>
      <c r="K12735" t="s">
        <v>39080</v>
      </c>
      <c r="L12735" t="s">
        <v>3065</v>
      </c>
      <c r="M12735" t="s">
        <v>42648</v>
      </c>
      <c r="N12735" t="s">
        <v>43166</v>
      </c>
      <c r="O12735" t="s">
        <v>43167</v>
      </c>
      <c r="P12735">
        <v>0</v>
      </c>
      <c r="Q12735">
        <v>0</v>
      </c>
      <c r="R12735" t="s">
        <v>43185</v>
      </c>
      <c r="S12735" t="s">
        <v>43930</v>
      </c>
      <c r="T12735" t="s">
        <v>44705</v>
      </c>
      <c r="U12735" t="s">
        <v>55322</v>
      </c>
      <c r="W12735" t="s">
        <v>42648</v>
      </c>
      <c r="X12735" t="s">
        <v>43186</v>
      </c>
    </row>
    <row r="12736" spans="1:24">
      <c r="A12736">
        <f>HYPERLINK("https://www.philgeps.gov.ph/GEPSNONPILOT/Tender/SplashBidNoticeAbstractUI.aspx?menuIndex=3&amp;refID=7071297&amp;Result=3","7071297")</f>
        <v>0</v>
      </c>
      <c r="B12736" t="s">
        <v>2798</v>
      </c>
      <c r="C12736" t="s">
        <v>15597</v>
      </c>
      <c r="D12736" t="s">
        <v>17441</v>
      </c>
      <c r="E12736" t="s">
        <v>28390</v>
      </c>
      <c r="F12736" t="s">
        <v>30052</v>
      </c>
      <c r="G12736" t="s">
        <v>30059</v>
      </c>
      <c r="H12736" t="s">
        <v>30067</v>
      </c>
      <c r="I12736" t="s">
        <v>30152</v>
      </c>
      <c r="J12736" t="s">
        <v>30209</v>
      </c>
      <c r="K12736" t="s">
        <v>39017</v>
      </c>
      <c r="M12736" t="s">
        <v>42338</v>
      </c>
      <c r="N12736" t="s">
        <v>43166</v>
      </c>
      <c r="O12736" t="s">
        <v>43167</v>
      </c>
      <c r="P12736">
        <v>0</v>
      </c>
      <c r="Q12736">
        <v>2</v>
      </c>
      <c r="R12736" t="s">
        <v>43177</v>
      </c>
      <c r="S12736" t="s">
        <v>43494</v>
      </c>
      <c r="T12736" t="s">
        <v>44870</v>
      </c>
      <c r="U12736" t="s">
        <v>55323</v>
      </c>
      <c r="W12736" t="s">
        <v>42338</v>
      </c>
      <c r="X12736" t="s">
        <v>43178</v>
      </c>
    </row>
    <row r="12737" spans="1:24">
      <c r="A12737">
        <f>HYPERLINK("https://www.philgeps.gov.ph/GEPSNONPILOT/Tender/SplashBidNoticeAbstractUI.aspx?menuIndex=3&amp;refID=7054143&amp;Result=3","7054143")</f>
        <v>0</v>
      </c>
      <c r="B12737" t="s">
        <v>3025</v>
      </c>
      <c r="C12737" t="s">
        <v>9452</v>
      </c>
      <c r="D12737" t="s">
        <v>17470</v>
      </c>
      <c r="E12737" t="s">
        <v>28391</v>
      </c>
      <c r="F12737" t="s">
        <v>30052</v>
      </c>
      <c r="G12737" t="s">
        <v>30058</v>
      </c>
      <c r="H12737" t="s">
        <v>30067</v>
      </c>
      <c r="I12737" t="s">
        <v>3693</v>
      </c>
      <c r="J12737" t="s">
        <v>37943</v>
      </c>
      <c r="K12737" t="s">
        <v>39031</v>
      </c>
      <c r="M12737" t="s">
        <v>42603</v>
      </c>
      <c r="N12737" t="s">
        <v>43166</v>
      </c>
      <c r="O12737" t="s">
        <v>43167</v>
      </c>
      <c r="P12737">
        <v>0</v>
      </c>
      <c r="Q12737">
        <v>1</v>
      </c>
      <c r="R12737" t="s">
        <v>43185</v>
      </c>
      <c r="S12737" t="s">
        <v>43930</v>
      </c>
      <c r="T12737" t="s">
        <v>44733</v>
      </c>
      <c r="U12737" t="s">
        <v>55324</v>
      </c>
      <c r="V12737" t="s">
        <v>58309</v>
      </c>
      <c r="W12737" t="s">
        <v>42603</v>
      </c>
      <c r="X12737" t="s">
        <v>43186</v>
      </c>
    </row>
    <row r="12738" spans="1:24">
      <c r="A12738">
        <f>HYPERLINK("https://www.philgeps.gov.ph/GEPSNONPILOT/Tender/SplashBidNoticeAbstractUI.aspx?menuIndex=3&amp;refID=7054107&amp;Result=3","7054107")</f>
        <v>0</v>
      </c>
      <c r="B12738" t="s">
        <v>3025</v>
      </c>
      <c r="C12738" t="s">
        <v>15598</v>
      </c>
      <c r="D12738" t="s">
        <v>17470</v>
      </c>
      <c r="E12738" t="s">
        <v>28392</v>
      </c>
      <c r="F12738" t="s">
        <v>30052</v>
      </c>
      <c r="G12738" t="s">
        <v>30058</v>
      </c>
      <c r="H12738" t="s">
        <v>30067</v>
      </c>
      <c r="I12738" t="s">
        <v>3693</v>
      </c>
      <c r="J12738" t="s">
        <v>37944</v>
      </c>
      <c r="K12738" t="s">
        <v>39031</v>
      </c>
      <c r="M12738" t="s">
        <v>42603</v>
      </c>
      <c r="N12738" t="s">
        <v>43166</v>
      </c>
      <c r="O12738" t="s">
        <v>43167</v>
      </c>
      <c r="P12738">
        <v>0</v>
      </c>
      <c r="Q12738">
        <v>1</v>
      </c>
      <c r="R12738" t="s">
        <v>43185</v>
      </c>
      <c r="S12738" t="s">
        <v>43930</v>
      </c>
      <c r="T12738" t="s">
        <v>44733</v>
      </c>
      <c r="U12738" t="s">
        <v>55325</v>
      </c>
      <c r="V12738" t="s">
        <v>58310</v>
      </c>
      <c r="W12738" t="s">
        <v>42603</v>
      </c>
      <c r="X12738" t="s">
        <v>43186</v>
      </c>
    </row>
    <row r="12739" spans="1:24">
      <c r="A12739">
        <f>HYPERLINK("https://www.philgeps.gov.ph/GEPSNONPILOT/Tender/SplashBidNoticeAbstractUI.aspx?menuIndex=3&amp;refID=7054141&amp;Result=3","7054141")</f>
        <v>0</v>
      </c>
      <c r="B12739" t="s">
        <v>1339</v>
      </c>
      <c r="C12739" t="s">
        <v>15599</v>
      </c>
      <c r="D12739" t="s">
        <v>17474</v>
      </c>
      <c r="E12739" t="s">
        <v>28393</v>
      </c>
      <c r="F12739" t="s">
        <v>30052</v>
      </c>
      <c r="G12739" t="s">
        <v>30058</v>
      </c>
      <c r="H12739" t="s">
        <v>15498</v>
      </c>
      <c r="I12739" t="s">
        <v>3736</v>
      </c>
      <c r="J12739" t="s">
        <v>37945</v>
      </c>
      <c r="K12739" t="s">
        <v>39029</v>
      </c>
      <c r="M12739" t="s">
        <v>40706</v>
      </c>
      <c r="N12739" t="s">
        <v>43166</v>
      </c>
      <c r="O12739" t="s">
        <v>43167</v>
      </c>
      <c r="P12739">
        <v>0</v>
      </c>
      <c r="Q12739">
        <v>0</v>
      </c>
      <c r="R12739" t="s">
        <v>43185</v>
      </c>
      <c r="S12739" t="s">
        <v>43930</v>
      </c>
      <c r="T12739" t="s">
        <v>44704</v>
      </c>
      <c r="U12739" t="s">
        <v>48174</v>
      </c>
      <c r="V12739" t="s">
        <v>57248</v>
      </c>
      <c r="W12739" t="s">
        <v>40706</v>
      </c>
      <c r="X12739" t="s">
        <v>43186</v>
      </c>
    </row>
    <row r="12740" spans="1:24">
      <c r="A12740">
        <f>HYPERLINK("https://www.philgeps.gov.ph/GEPSNONPILOT/Tender/SplashBidNoticeAbstractUI.aspx?menuIndex=3&amp;refID=7054122&amp;Result=3","7054122")</f>
        <v>0</v>
      </c>
      <c r="B12740" t="s">
        <v>2990</v>
      </c>
      <c r="C12740" t="s">
        <v>15600</v>
      </c>
      <c r="D12740" t="s">
        <v>17461</v>
      </c>
      <c r="E12740" t="s">
        <v>28394</v>
      </c>
      <c r="F12740" t="s">
        <v>30052</v>
      </c>
      <c r="G12740" t="s">
        <v>30058</v>
      </c>
      <c r="H12740" t="s">
        <v>15498</v>
      </c>
      <c r="I12740" t="s">
        <v>30169</v>
      </c>
      <c r="J12740" t="s">
        <v>30600</v>
      </c>
      <c r="K12740" t="s">
        <v>39029</v>
      </c>
      <c r="M12740" t="s">
        <v>42560</v>
      </c>
      <c r="N12740" t="s">
        <v>43166</v>
      </c>
      <c r="O12740" t="s">
        <v>43167</v>
      </c>
      <c r="Q12740">
        <v>10</v>
      </c>
      <c r="R12740" t="s">
        <v>43185</v>
      </c>
      <c r="S12740" t="s">
        <v>43994</v>
      </c>
      <c r="T12740" t="s">
        <v>45086</v>
      </c>
      <c r="U12740" t="s">
        <v>55326</v>
      </c>
      <c r="W12740" t="s">
        <v>42560</v>
      </c>
      <c r="X12740" t="s">
        <v>43186</v>
      </c>
    </row>
    <row r="12741" spans="1:24">
      <c r="A12741">
        <f>HYPERLINK("https://www.philgeps.gov.ph/GEPSNONPILOT/Tender/SplashBidNoticeAbstractUI.aspx?menuIndex=3&amp;refID=7054087&amp;Result=3","7054087")</f>
        <v>0</v>
      </c>
      <c r="B12741" t="s">
        <v>3269</v>
      </c>
      <c r="C12741" t="s">
        <v>15601</v>
      </c>
      <c r="D12741" t="s">
        <v>17466</v>
      </c>
      <c r="E12741" t="s">
        <v>28395</v>
      </c>
      <c r="F12741" t="s">
        <v>30052</v>
      </c>
      <c r="G12741" t="s">
        <v>30058</v>
      </c>
      <c r="H12741" t="s">
        <v>15498</v>
      </c>
      <c r="I12741" t="s">
        <v>3736</v>
      </c>
      <c r="J12741" t="s">
        <v>30853</v>
      </c>
      <c r="K12741" t="s">
        <v>39017</v>
      </c>
      <c r="L12741" t="s">
        <v>3269</v>
      </c>
      <c r="M12741" t="s">
        <v>42900</v>
      </c>
      <c r="N12741" t="s">
        <v>43166</v>
      </c>
      <c r="O12741" t="s">
        <v>43167</v>
      </c>
      <c r="P12741">
        <v>0</v>
      </c>
      <c r="Q12741">
        <v>0</v>
      </c>
      <c r="R12741" t="s">
        <v>43185</v>
      </c>
      <c r="S12741" t="s">
        <v>43930</v>
      </c>
      <c r="T12741" t="s">
        <v>44710</v>
      </c>
      <c r="U12741" t="s">
        <v>55176</v>
      </c>
      <c r="V12741" t="s">
        <v>58270</v>
      </c>
      <c r="W12741" t="s">
        <v>42900</v>
      </c>
      <c r="X12741" t="s">
        <v>43186</v>
      </c>
    </row>
    <row r="12742" spans="1:24">
      <c r="A12742">
        <f>HYPERLINK("https://www.philgeps.gov.ph/GEPSNONPILOT/Tender/SplashBidNoticeAbstractUI.aspx?menuIndex=3&amp;refID=7054158&amp;Result=3","7054158")</f>
        <v>0</v>
      </c>
      <c r="B12742" t="s">
        <v>2264</v>
      </c>
      <c r="C12742" t="s">
        <v>15602</v>
      </c>
      <c r="D12742" t="s">
        <v>17479</v>
      </c>
      <c r="E12742" t="s">
        <v>15602</v>
      </c>
      <c r="F12742" t="s">
        <v>30052</v>
      </c>
      <c r="G12742" t="s">
        <v>30058</v>
      </c>
      <c r="H12742" t="s">
        <v>15498</v>
      </c>
      <c r="I12742" t="s">
        <v>30113</v>
      </c>
      <c r="J12742" t="s">
        <v>37946</v>
      </c>
      <c r="K12742" t="s">
        <v>39029</v>
      </c>
      <c r="M12742" t="s">
        <v>41742</v>
      </c>
      <c r="N12742" t="s">
        <v>43166</v>
      </c>
      <c r="O12742" t="s">
        <v>43167</v>
      </c>
      <c r="P12742">
        <v>0</v>
      </c>
      <c r="Q12742">
        <v>1</v>
      </c>
      <c r="R12742" t="s">
        <v>43185</v>
      </c>
      <c r="S12742" t="s">
        <v>43930</v>
      </c>
      <c r="T12742" t="s">
        <v>44773</v>
      </c>
      <c r="U12742" t="s">
        <v>55327</v>
      </c>
      <c r="W12742" t="s">
        <v>41742</v>
      </c>
      <c r="X12742" t="s">
        <v>43186</v>
      </c>
    </row>
    <row r="12743" spans="1:24">
      <c r="A12743">
        <f>HYPERLINK("https://www.philgeps.gov.ph/GEPSNONPILOT/Tender/SplashBidNoticeAbstractUI.aspx?menuIndex=3&amp;refID=7054105&amp;Result=3","7054105")</f>
        <v>0</v>
      </c>
      <c r="B12743" t="s">
        <v>3278</v>
      </c>
      <c r="C12743" t="s">
        <v>15603</v>
      </c>
      <c r="D12743" t="s">
        <v>17455</v>
      </c>
      <c r="E12743" t="s">
        <v>28396</v>
      </c>
      <c r="F12743" t="s">
        <v>30052</v>
      </c>
      <c r="G12743" t="s">
        <v>30058</v>
      </c>
      <c r="H12743" t="s">
        <v>30067</v>
      </c>
      <c r="I12743" t="s">
        <v>3693</v>
      </c>
      <c r="J12743" t="s">
        <v>37947</v>
      </c>
      <c r="K12743" t="s">
        <v>39023</v>
      </c>
      <c r="M12743" t="s">
        <v>42911</v>
      </c>
      <c r="N12743" t="s">
        <v>43166</v>
      </c>
      <c r="O12743" t="s">
        <v>43167</v>
      </c>
      <c r="Q12743">
        <v>10</v>
      </c>
      <c r="R12743" t="s">
        <v>43185</v>
      </c>
      <c r="S12743" t="s">
        <v>43995</v>
      </c>
      <c r="T12743" t="s">
        <v>44773</v>
      </c>
      <c r="U12743" t="s">
        <v>55237</v>
      </c>
      <c r="V12743" t="s">
        <v>58285</v>
      </c>
      <c r="W12743" t="s">
        <v>42911</v>
      </c>
      <c r="X12743" t="s">
        <v>43186</v>
      </c>
    </row>
    <row r="12744" spans="1:24">
      <c r="A12744">
        <f>HYPERLINK("https://www.philgeps.gov.ph/GEPSNONPILOT/Tender/SplashBidNoticeAbstractUI.aspx?menuIndex=3&amp;refID=7054084&amp;Result=3","7054084")</f>
        <v>0</v>
      </c>
      <c r="B12744" t="s">
        <v>3278</v>
      </c>
      <c r="C12744" t="s">
        <v>15604</v>
      </c>
      <c r="D12744" t="s">
        <v>17455</v>
      </c>
      <c r="E12744" t="s">
        <v>28397</v>
      </c>
      <c r="F12744" t="s">
        <v>30052</v>
      </c>
      <c r="G12744" t="s">
        <v>30058</v>
      </c>
      <c r="H12744" t="s">
        <v>30067</v>
      </c>
      <c r="I12744" t="s">
        <v>3693</v>
      </c>
      <c r="J12744" t="s">
        <v>30281</v>
      </c>
      <c r="K12744" t="s">
        <v>39031</v>
      </c>
      <c r="M12744" t="s">
        <v>42911</v>
      </c>
      <c r="N12744" t="s">
        <v>43166</v>
      </c>
      <c r="O12744" t="s">
        <v>43167</v>
      </c>
      <c r="Q12744">
        <v>11</v>
      </c>
      <c r="R12744" t="s">
        <v>43185</v>
      </c>
      <c r="S12744" t="s">
        <v>43996</v>
      </c>
      <c r="T12744" t="s">
        <v>44773</v>
      </c>
      <c r="U12744" t="s">
        <v>55237</v>
      </c>
      <c r="V12744" t="s">
        <v>58285</v>
      </c>
      <c r="W12744" t="s">
        <v>42911</v>
      </c>
      <c r="X12744" t="s">
        <v>43186</v>
      </c>
    </row>
    <row r="12745" spans="1:24">
      <c r="A12745">
        <f>HYPERLINK("https://www.philgeps.gov.ph/GEPSNONPILOT/Tender/SplashBidNoticeAbstractUI.aspx?menuIndex=3&amp;refID=7054074&amp;Result=3","7054074")</f>
        <v>0</v>
      </c>
      <c r="B12745" t="s">
        <v>3025</v>
      </c>
      <c r="C12745" t="s">
        <v>15598</v>
      </c>
      <c r="D12745" t="s">
        <v>17470</v>
      </c>
      <c r="E12745" t="s">
        <v>28398</v>
      </c>
      <c r="F12745" t="s">
        <v>30052</v>
      </c>
      <c r="G12745" t="s">
        <v>30058</v>
      </c>
      <c r="H12745" t="s">
        <v>30067</v>
      </c>
      <c r="I12745" t="s">
        <v>3693</v>
      </c>
      <c r="J12745" t="s">
        <v>37948</v>
      </c>
      <c r="K12745" t="s">
        <v>39031</v>
      </c>
      <c r="M12745" t="s">
        <v>42603</v>
      </c>
      <c r="N12745" t="s">
        <v>43166</v>
      </c>
      <c r="O12745" t="s">
        <v>43167</v>
      </c>
      <c r="P12745">
        <v>0</v>
      </c>
      <c r="Q12745">
        <v>1</v>
      </c>
      <c r="R12745" t="s">
        <v>43185</v>
      </c>
      <c r="S12745" t="s">
        <v>43930</v>
      </c>
      <c r="T12745" t="s">
        <v>44733</v>
      </c>
      <c r="U12745" t="s">
        <v>55328</v>
      </c>
      <c r="V12745" t="s">
        <v>58311</v>
      </c>
      <c r="W12745" t="s">
        <v>42603</v>
      </c>
      <c r="X12745" t="s">
        <v>43186</v>
      </c>
    </row>
    <row r="12746" spans="1:24">
      <c r="A12746">
        <f>HYPERLINK("https://www.philgeps.gov.ph/GEPSNONPILOT/Tender/SplashBidNoticeAbstractUI.aspx?menuIndex=3&amp;refID=7071153&amp;Result=3","7071153")</f>
        <v>0</v>
      </c>
      <c r="B12746" t="s">
        <v>878</v>
      </c>
      <c r="C12746" t="s">
        <v>15605</v>
      </c>
      <c r="D12746" t="s">
        <v>17416</v>
      </c>
      <c r="E12746" t="s">
        <v>19422</v>
      </c>
      <c r="F12746" t="s">
        <v>30052</v>
      </c>
      <c r="G12746" t="s">
        <v>30058</v>
      </c>
      <c r="H12746" t="s">
        <v>15498</v>
      </c>
      <c r="I12746" t="s">
        <v>30091</v>
      </c>
      <c r="J12746" t="s">
        <v>37949</v>
      </c>
      <c r="K12746" t="s">
        <v>39029</v>
      </c>
      <c r="M12746" t="s">
        <v>40197</v>
      </c>
      <c r="N12746" t="s">
        <v>43166</v>
      </c>
      <c r="O12746" t="s">
        <v>43167</v>
      </c>
      <c r="P12746">
        <v>0</v>
      </c>
      <c r="Q12746">
        <v>4</v>
      </c>
      <c r="R12746" t="s">
        <v>43177</v>
      </c>
      <c r="S12746" t="s">
        <v>43494</v>
      </c>
      <c r="T12746" t="s">
        <v>44730</v>
      </c>
      <c r="U12746" t="s">
        <v>55329</v>
      </c>
      <c r="W12746" t="s">
        <v>40197</v>
      </c>
      <c r="X12746" t="s">
        <v>43178</v>
      </c>
    </row>
    <row r="12747" spans="1:24">
      <c r="A12747">
        <f>HYPERLINK("https://www.philgeps.gov.ph/GEPSNONPILOT/Tender/SplashBidNoticeAbstractUI.aspx?menuIndex=3&amp;refID=7054102&amp;Result=3","7054102")</f>
        <v>0</v>
      </c>
      <c r="B12747" t="s">
        <v>3266</v>
      </c>
      <c r="C12747" t="s">
        <v>15606</v>
      </c>
      <c r="D12747" t="s">
        <v>17425</v>
      </c>
      <c r="E12747" t="s">
        <v>28399</v>
      </c>
      <c r="F12747" t="s">
        <v>30052</v>
      </c>
      <c r="G12747" t="s">
        <v>30058</v>
      </c>
      <c r="H12747" t="s">
        <v>15498</v>
      </c>
      <c r="I12747" t="s">
        <v>3736</v>
      </c>
      <c r="J12747" t="s">
        <v>37950</v>
      </c>
      <c r="K12747" t="s">
        <v>39034</v>
      </c>
      <c r="M12747" t="s">
        <v>42897</v>
      </c>
      <c r="N12747" t="s">
        <v>43166</v>
      </c>
      <c r="O12747" t="s">
        <v>43167</v>
      </c>
      <c r="P12747">
        <v>0</v>
      </c>
      <c r="Q12747">
        <v>0</v>
      </c>
      <c r="R12747" t="s">
        <v>43185</v>
      </c>
      <c r="S12747" t="s">
        <v>43930</v>
      </c>
      <c r="T12747" t="s">
        <v>45047</v>
      </c>
      <c r="U12747" t="s">
        <v>55330</v>
      </c>
      <c r="V12747" t="s">
        <v>58312</v>
      </c>
      <c r="W12747" t="s">
        <v>42897</v>
      </c>
      <c r="X12747" t="s">
        <v>43186</v>
      </c>
    </row>
    <row r="12748" spans="1:24">
      <c r="A12748">
        <f>HYPERLINK("https://www.philgeps.gov.ph/GEPSNONPILOT/Tender/SplashBidNoticeAbstractUI.aspx?menuIndex=3&amp;refID=7071283&amp;Result=3","7071283")</f>
        <v>0</v>
      </c>
      <c r="B12748" t="s">
        <v>1057</v>
      </c>
      <c r="C12748" t="s">
        <v>15607</v>
      </c>
      <c r="D12748" t="s">
        <v>17423</v>
      </c>
      <c r="E12748" t="s">
        <v>28400</v>
      </c>
      <c r="F12748" t="s">
        <v>30052</v>
      </c>
      <c r="G12748" t="s">
        <v>30060</v>
      </c>
      <c r="H12748" t="s">
        <v>15498</v>
      </c>
      <c r="I12748" t="s">
        <v>30076</v>
      </c>
      <c r="J12748" t="s">
        <v>37951</v>
      </c>
      <c r="K12748" t="s">
        <v>39034</v>
      </c>
      <c r="M12748" t="s">
        <v>42340</v>
      </c>
      <c r="N12748" t="s">
        <v>43166</v>
      </c>
      <c r="O12748" t="s">
        <v>43167</v>
      </c>
      <c r="P12748">
        <v>0</v>
      </c>
      <c r="Q12748">
        <v>7</v>
      </c>
      <c r="R12748" t="s">
        <v>43177</v>
      </c>
      <c r="S12748" t="s">
        <v>43494</v>
      </c>
      <c r="T12748" t="s">
        <v>44733</v>
      </c>
      <c r="U12748" t="s">
        <v>55331</v>
      </c>
      <c r="V12748" t="s">
        <v>57868</v>
      </c>
      <c r="W12748" t="s">
        <v>42340</v>
      </c>
      <c r="X12748" t="s">
        <v>43178</v>
      </c>
    </row>
    <row r="12749" spans="1:24">
      <c r="A12749">
        <f>HYPERLINK("https://www.philgeps.gov.ph/GEPSNONPILOT/Tender/SplashBidNoticeAbstractUI.aspx?menuIndex=3&amp;refID=7054069&amp;Result=3","7054069")</f>
        <v>0</v>
      </c>
      <c r="B12749" t="s">
        <v>3215</v>
      </c>
      <c r="C12749" t="s">
        <v>15608</v>
      </c>
      <c r="E12749" t="s">
        <v>28401</v>
      </c>
      <c r="F12749" t="s">
        <v>30052</v>
      </c>
      <c r="G12749" t="s">
        <v>30058</v>
      </c>
      <c r="H12749" t="s">
        <v>15498</v>
      </c>
      <c r="I12749" t="s">
        <v>9238</v>
      </c>
      <c r="J12749" t="s">
        <v>32337</v>
      </c>
      <c r="K12749" t="s">
        <v>39025</v>
      </c>
      <c r="M12749" t="s">
        <v>42838</v>
      </c>
      <c r="N12749" t="s">
        <v>43166</v>
      </c>
      <c r="O12749" t="s">
        <v>43167</v>
      </c>
      <c r="Q12749">
        <v>17</v>
      </c>
      <c r="R12749" t="s">
        <v>43185</v>
      </c>
      <c r="S12749" t="s">
        <v>43997</v>
      </c>
      <c r="T12749" t="s">
        <v>44941</v>
      </c>
      <c r="U12749" t="s">
        <v>55332</v>
      </c>
      <c r="V12749" t="s">
        <v>58313</v>
      </c>
      <c r="W12749" t="s">
        <v>42838</v>
      </c>
      <c r="X12749" t="s">
        <v>43186</v>
      </c>
    </row>
    <row r="12750" spans="1:24">
      <c r="A12750">
        <f>HYPERLINK("https://www.philgeps.gov.ph/GEPSNONPILOT/Tender/SplashBidNoticeAbstractUI.aspx?menuIndex=3&amp;refID=7054319&amp;Result=3","7054319")</f>
        <v>0</v>
      </c>
      <c r="B12750" t="s">
        <v>3288</v>
      </c>
      <c r="C12750" t="s">
        <v>15609</v>
      </c>
      <c r="D12750" t="s">
        <v>17466</v>
      </c>
      <c r="E12750" t="s">
        <v>28402</v>
      </c>
      <c r="F12750" t="s">
        <v>30052</v>
      </c>
      <c r="G12750" t="s">
        <v>30058</v>
      </c>
      <c r="H12750" t="s">
        <v>30069</v>
      </c>
      <c r="I12750" t="s">
        <v>7228</v>
      </c>
      <c r="J12750" t="s">
        <v>37952</v>
      </c>
      <c r="K12750" t="s">
        <v>39146</v>
      </c>
      <c r="M12750" t="s">
        <v>42922</v>
      </c>
      <c r="N12750" t="s">
        <v>43166</v>
      </c>
      <c r="O12750" t="s">
        <v>43167</v>
      </c>
      <c r="Q12750">
        <v>0</v>
      </c>
      <c r="R12750" t="s">
        <v>43185</v>
      </c>
      <c r="S12750" t="s">
        <v>43998</v>
      </c>
      <c r="T12750" t="s">
        <v>44696</v>
      </c>
      <c r="U12750" t="s">
        <v>55333</v>
      </c>
      <c r="W12750" t="s">
        <v>42922</v>
      </c>
      <c r="X12750" t="s">
        <v>43186</v>
      </c>
    </row>
    <row r="12751" spans="1:24">
      <c r="A12751">
        <f>HYPERLINK("https://www.philgeps.gov.ph/GEPSNONPILOT/Tender/SplashBidNoticeAbstractUI.aspx?menuIndex=3&amp;refID=7054343&amp;Result=3","7054343")</f>
        <v>0</v>
      </c>
      <c r="B12751" t="s">
        <v>1740</v>
      </c>
      <c r="C12751" t="s">
        <v>15610</v>
      </c>
      <c r="D12751" t="s">
        <v>17456</v>
      </c>
      <c r="E12751" t="s">
        <v>28403</v>
      </c>
      <c r="F12751" t="s">
        <v>30052</v>
      </c>
      <c r="G12751" t="s">
        <v>30058</v>
      </c>
      <c r="H12751" t="s">
        <v>30067</v>
      </c>
      <c r="I12751" t="s">
        <v>3693</v>
      </c>
      <c r="J12751" t="s">
        <v>37953</v>
      </c>
      <c r="K12751" t="s">
        <v>39016</v>
      </c>
      <c r="M12751" t="s">
        <v>41157</v>
      </c>
      <c r="N12751" t="s">
        <v>43166</v>
      </c>
      <c r="O12751" t="s">
        <v>43167</v>
      </c>
      <c r="Q12751">
        <v>5</v>
      </c>
      <c r="R12751" t="s">
        <v>43185</v>
      </c>
      <c r="S12751" t="s">
        <v>43999</v>
      </c>
      <c r="T12751" t="s">
        <v>44841</v>
      </c>
      <c r="U12751" t="s">
        <v>53973</v>
      </c>
      <c r="W12751" t="s">
        <v>41157</v>
      </c>
      <c r="X12751" t="s">
        <v>43186</v>
      </c>
    </row>
    <row r="12752" spans="1:24">
      <c r="A12752">
        <f>HYPERLINK("https://www.philgeps.gov.ph/GEPSNONPILOT/Tender/SplashBidNoticeAbstractUI.aspx?menuIndex=3&amp;refID=7054317&amp;Result=3","7054317")</f>
        <v>0</v>
      </c>
      <c r="B12752" t="s">
        <v>3025</v>
      </c>
      <c r="C12752" t="s">
        <v>15611</v>
      </c>
      <c r="D12752" t="s">
        <v>17470</v>
      </c>
      <c r="E12752" t="s">
        <v>28404</v>
      </c>
      <c r="F12752" t="s">
        <v>30052</v>
      </c>
      <c r="G12752" t="s">
        <v>30058</v>
      </c>
      <c r="H12752" t="s">
        <v>30067</v>
      </c>
      <c r="I12752" t="s">
        <v>3693</v>
      </c>
      <c r="J12752" t="s">
        <v>37954</v>
      </c>
      <c r="K12752" t="s">
        <v>39026</v>
      </c>
      <c r="M12752" t="s">
        <v>42603</v>
      </c>
      <c r="N12752" t="s">
        <v>43166</v>
      </c>
      <c r="O12752" t="s">
        <v>43167</v>
      </c>
      <c r="P12752">
        <v>0</v>
      </c>
      <c r="Q12752">
        <v>1</v>
      </c>
      <c r="R12752" t="s">
        <v>43185</v>
      </c>
      <c r="S12752" t="s">
        <v>43930</v>
      </c>
      <c r="T12752" t="s">
        <v>44733</v>
      </c>
      <c r="U12752" t="s">
        <v>55334</v>
      </c>
      <c r="V12752" t="s">
        <v>58314</v>
      </c>
      <c r="W12752" t="s">
        <v>42603</v>
      </c>
      <c r="X12752" t="s">
        <v>43186</v>
      </c>
    </row>
    <row r="12753" spans="1:24">
      <c r="A12753">
        <f>HYPERLINK("https://www.philgeps.gov.ph/GEPSNONPILOT/Tender/SplashBidNoticeAbstractUI.aspx?menuIndex=3&amp;refID=7054305&amp;Result=3","7054305")</f>
        <v>0</v>
      </c>
      <c r="B12753" t="s">
        <v>3289</v>
      </c>
      <c r="C12753" t="s">
        <v>15612</v>
      </c>
      <c r="D12753" t="s">
        <v>17420</v>
      </c>
      <c r="E12753" t="s">
        <v>28405</v>
      </c>
      <c r="F12753" t="s">
        <v>30052</v>
      </c>
      <c r="G12753" t="s">
        <v>30058</v>
      </c>
      <c r="H12753" t="s">
        <v>15498</v>
      </c>
      <c r="I12753" t="s">
        <v>30097</v>
      </c>
      <c r="J12753" t="s">
        <v>37955</v>
      </c>
      <c r="K12753" t="s">
        <v>39025</v>
      </c>
      <c r="M12753" t="s">
        <v>42923</v>
      </c>
      <c r="N12753" t="s">
        <v>43166</v>
      </c>
      <c r="O12753" t="s">
        <v>43167</v>
      </c>
      <c r="P12753">
        <v>0</v>
      </c>
      <c r="Q12753">
        <v>12</v>
      </c>
      <c r="R12753" t="s">
        <v>43185</v>
      </c>
      <c r="S12753" t="s">
        <v>43930</v>
      </c>
      <c r="T12753" t="s">
        <v>44703</v>
      </c>
      <c r="U12753" t="s">
        <v>55335</v>
      </c>
      <c r="W12753" t="s">
        <v>42923</v>
      </c>
      <c r="X12753" t="s">
        <v>43186</v>
      </c>
    </row>
    <row r="12754" spans="1:24">
      <c r="A12754">
        <f>HYPERLINK("https://www.philgeps.gov.ph/GEPSNONPILOT/Tender/SplashBidNoticeAbstractUI.aspx?menuIndex=3&amp;refID=7054335&amp;Result=3","7054335")</f>
        <v>0</v>
      </c>
      <c r="B12754" t="s">
        <v>3290</v>
      </c>
      <c r="C12754" t="s">
        <v>15613</v>
      </c>
      <c r="D12754" t="s">
        <v>17438</v>
      </c>
      <c r="E12754" t="s">
        <v>28406</v>
      </c>
      <c r="F12754" t="s">
        <v>30052</v>
      </c>
      <c r="G12754" t="s">
        <v>30058</v>
      </c>
      <c r="H12754" t="s">
        <v>15498</v>
      </c>
      <c r="I12754" t="s">
        <v>3736</v>
      </c>
      <c r="J12754" t="s">
        <v>37956</v>
      </c>
      <c r="K12754" t="s">
        <v>39034</v>
      </c>
      <c r="M12754" t="s">
        <v>42924</v>
      </c>
      <c r="N12754" t="s">
        <v>43166</v>
      </c>
      <c r="O12754" t="s">
        <v>43167</v>
      </c>
      <c r="P12754">
        <v>0</v>
      </c>
      <c r="Q12754">
        <v>3</v>
      </c>
      <c r="R12754" t="s">
        <v>43185</v>
      </c>
      <c r="S12754" t="s">
        <v>43930</v>
      </c>
      <c r="T12754" t="s">
        <v>44698</v>
      </c>
      <c r="U12754" t="s">
        <v>55336</v>
      </c>
      <c r="W12754" t="s">
        <v>42924</v>
      </c>
      <c r="X12754" t="s">
        <v>43186</v>
      </c>
    </row>
    <row r="12755" spans="1:24">
      <c r="A12755">
        <f>HYPERLINK("https://www.philgeps.gov.ph/GEPSNONPILOT/Tender/SplashBidNoticeAbstractUI.aspx?menuIndex=3&amp;refID=7054289&amp;Result=3","7054289")</f>
        <v>0</v>
      </c>
      <c r="B12755" t="s">
        <v>1740</v>
      </c>
      <c r="C12755" t="s">
        <v>15614</v>
      </c>
      <c r="D12755" t="s">
        <v>17456</v>
      </c>
      <c r="E12755" t="s">
        <v>28407</v>
      </c>
      <c r="F12755" t="s">
        <v>30052</v>
      </c>
      <c r="G12755" t="s">
        <v>30058</v>
      </c>
      <c r="H12755" t="s">
        <v>30067</v>
      </c>
      <c r="I12755" t="s">
        <v>3693</v>
      </c>
      <c r="J12755" t="s">
        <v>37957</v>
      </c>
      <c r="K12755" t="s">
        <v>39080</v>
      </c>
      <c r="M12755" t="s">
        <v>41157</v>
      </c>
      <c r="N12755" t="s">
        <v>43166</v>
      </c>
      <c r="O12755" t="s">
        <v>43167</v>
      </c>
      <c r="Q12755">
        <v>4</v>
      </c>
      <c r="R12755" t="s">
        <v>43185</v>
      </c>
      <c r="S12755" t="s">
        <v>44000</v>
      </c>
      <c r="T12755" t="s">
        <v>44841</v>
      </c>
      <c r="U12755" t="s">
        <v>53973</v>
      </c>
      <c r="W12755" t="s">
        <v>41157</v>
      </c>
      <c r="X12755" t="s">
        <v>43186</v>
      </c>
    </row>
    <row r="12756" spans="1:24">
      <c r="A12756">
        <f>HYPERLINK("https://www.philgeps.gov.ph/GEPSNONPILOT/Tender/SplashBidNoticeAbstractUI.aspx?menuIndex=3&amp;refID=7054287&amp;Result=3","7054287")</f>
        <v>0</v>
      </c>
      <c r="B12756" t="s">
        <v>3065</v>
      </c>
      <c r="C12756" t="s">
        <v>15615</v>
      </c>
      <c r="D12756" t="s">
        <v>17449</v>
      </c>
      <c r="E12756" t="s">
        <v>28408</v>
      </c>
      <c r="F12756" t="s">
        <v>30052</v>
      </c>
      <c r="G12756" t="s">
        <v>30058</v>
      </c>
      <c r="H12756" t="s">
        <v>30067</v>
      </c>
      <c r="I12756" t="s">
        <v>3693</v>
      </c>
      <c r="J12756" t="s">
        <v>37942</v>
      </c>
      <c r="K12756" t="s">
        <v>39080</v>
      </c>
      <c r="L12756" t="s">
        <v>3065</v>
      </c>
      <c r="M12756" t="s">
        <v>42648</v>
      </c>
      <c r="N12756" t="s">
        <v>43166</v>
      </c>
      <c r="O12756" t="s">
        <v>43167</v>
      </c>
      <c r="P12756">
        <v>0</v>
      </c>
      <c r="Q12756">
        <v>0</v>
      </c>
      <c r="R12756" t="s">
        <v>43185</v>
      </c>
      <c r="S12756" t="s">
        <v>43930</v>
      </c>
      <c r="T12756" t="s">
        <v>44705</v>
      </c>
      <c r="U12756" t="s">
        <v>55322</v>
      </c>
      <c r="W12756" t="s">
        <v>42648</v>
      </c>
      <c r="X12756" t="s">
        <v>43186</v>
      </c>
    </row>
    <row r="12757" spans="1:24">
      <c r="A12757">
        <f>HYPERLINK("https://www.philgeps.gov.ph/GEPSNONPILOT/Tender/SplashBidNoticeAbstractUI.aspx?menuIndex=3&amp;refID=7054112&amp;Result=3","7054112")</f>
        <v>0</v>
      </c>
      <c r="B12757" t="s">
        <v>3269</v>
      </c>
      <c r="C12757" t="s">
        <v>15616</v>
      </c>
      <c r="D12757" t="s">
        <v>17466</v>
      </c>
      <c r="E12757" t="s">
        <v>28409</v>
      </c>
      <c r="F12757" t="s">
        <v>30052</v>
      </c>
      <c r="G12757" t="s">
        <v>30058</v>
      </c>
      <c r="H12757" t="s">
        <v>15498</v>
      </c>
      <c r="I12757" t="s">
        <v>3736</v>
      </c>
      <c r="J12757" t="s">
        <v>30644</v>
      </c>
      <c r="K12757" t="s">
        <v>39017</v>
      </c>
      <c r="L12757" t="s">
        <v>3269</v>
      </c>
      <c r="M12757" t="s">
        <v>42900</v>
      </c>
      <c r="N12757" t="s">
        <v>43166</v>
      </c>
      <c r="O12757" t="s">
        <v>43167</v>
      </c>
      <c r="P12757">
        <v>0</v>
      </c>
      <c r="Q12757">
        <v>0</v>
      </c>
      <c r="R12757" t="s">
        <v>43185</v>
      </c>
      <c r="S12757" t="s">
        <v>43930</v>
      </c>
      <c r="T12757" t="s">
        <v>44710</v>
      </c>
      <c r="U12757" t="s">
        <v>55176</v>
      </c>
      <c r="V12757" t="s">
        <v>58270</v>
      </c>
      <c r="W12757" t="s">
        <v>42900</v>
      </c>
      <c r="X12757" t="s">
        <v>43186</v>
      </c>
    </row>
    <row r="12758" spans="1:24">
      <c r="A12758">
        <f>HYPERLINK("https://www.philgeps.gov.ph/GEPSNONPILOT/Tender/SplashBidNoticeAbstractUI.aspx?menuIndex=3&amp;refID=7054256&amp;Result=3","7054256")</f>
        <v>0</v>
      </c>
      <c r="B12758" t="s">
        <v>3133</v>
      </c>
      <c r="C12758" t="s">
        <v>15617</v>
      </c>
      <c r="D12758" t="s">
        <v>17444</v>
      </c>
      <c r="E12758" t="s">
        <v>28410</v>
      </c>
      <c r="F12758" t="s">
        <v>30052</v>
      </c>
      <c r="G12758" t="s">
        <v>30058</v>
      </c>
      <c r="H12758" t="s">
        <v>30067</v>
      </c>
      <c r="I12758" t="s">
        <v>3736</v>
      </c>
      <c r="J12758" t="s">
        <v>37958</v>
      </c>
      <c r="K12758" t="s">
        <v>39023</v>
      </c>
      <c r="L12758" t="s">
        <v>3133</v>
      </c>
      <c r="M12758" t="s">
        <v>42735</v>
      </c>
      <c r="N12758" t="s">
        <v>43166</v>
      </c>
      <c r="O12758" t="s">
        <v>43167</v>
      </c>
      <c r="P12758">
        <v>0</v>
      </c>
      <c r="Q12758">
        <v>1</v>
      </c>
      <c r="R12758" t="s">
        <v>43185</v>
      </c>
      <c r="S12758" t="s">
        <v>43930</v>
      </c>
      <c r="T12758" t="s">
        <v>44777</v>
      </c>
      <c r="U12758" t="s">
        <v>55337</v>
      </c>
      <c r="W12758" t="s">
        <v>42735</v>
      </c>
      <c r="X12758" t="s">
        <v>43186</v>
      </c>
    </row>
    <row r="12759" spans="1:24">
      <c r="A12759">
        <f>HYPERLINK("https://www.philgeps.gov.ph/GEPSNONPILOT/Tender/SplashBidNoticeAbstractUI.aspx?menuIndex=3&amp;refID=7054324&amp;Result=3","7054324")</f>
        <v>0</v>
      </c>
      <c r="B12759" t="s">
        <v>2116</v>
      </c>
      <c r="C12759" t="s">
        <v>15618</v>
      </c>
      <c r="E12759" t="s">
        <v>28411</v>
      </c>
      <c r="F12759" t="s">
        <v>30052</v>
      </c>
      <c r="G12759" t="s">
        <v>30058</v>
      </c>
      <c r="H12759" t="s">
        <v>15498</v>
      </c>
      <c r="I12759" t="s">
        <v>4642</v>
      </c>
      <c r="J12759" t="s">
        <v>30207</v>
      </c>
      <c r="K12759" t="s">
        <v>39025</v>
      </c>
      <c r="M12759" t="s">
        <v>41578</v>
      </c>
      <c r="N12759" t="s">
        <v>43166</v>
      </c>
      <c r="O12759" t="s">
        <v>43167</v>
      </c>
      <c r="Q12759">
        <v>3</v>
      </c>
      <c r="R12759" t="s">
        <v>43185</v>
      </c>
      <c r="S12759" t="s">
        <v>44001</v>
      </c>
      <c r="T12759" t="s">
        <v>44797</v>
      </c>
      <c r="U12759" t="s">
        <v>51405</v>
      </c>
      <c r="W12759" t="s">
        <v>41578</v>
      </c>
      <c r="X12759" t="s">
        <v>43186</v>
      </c>
    </row>
    <row r="12760" spans="1:24">
      <c r="A12760">
        <f>HYPERLINK("https://www.philgeps.gov.ph/GEPSNONPILOT/Tender/SplashBidNoticeAbstractUI.aspx?menuIndex=3&amp;refID=7054096&amp;Result=3","7054096")</f>
        <v>0</v>
      </c>
      <c r="B12760" t="s">
        <v>3278</v>
      </c>
      <c r="C12760" t="s">
        <v>15619</v>
      </c>
      <c r="D12760" t="s">
        <v>17455</v>
      </c>
      <c r="E12760" t="s">
        <v>28412</v>
      </c>
      <c r="F12760" t="s">
        <v>30052</v>
      </c>
      <c r="G12760" t="s">
        <v>30058</v>
      </c>
      <c r="H12760" t="s">
        <v>30067</v>
      </c>
      <c r="I12760" t="s">
        <v>3693</v>
      </c>
      <c r="J12760" t="s">
        <v>30215</v>
      </c>
      <c r="K12760" t="s">
        <v>39118</v>
      </c>
      <c r="M12760" t="s">
        <v>42911</v>
      </c>
      <c r="N12760" t="s">
        <v>43166</v>
      </c>
      <c r="O12760" t="s">
        <v>43167</v>
      </c>
      <c r="Q12760">
        <v>11</v>
      </c>
      <c r="R12760" t="s">
        <v>43185</v>
      </c>
      <c r="S12760" t="s">
        <v>44002</v>
      </c>
      <c r="T12760" t="s">
        <v>44773</v>
      </c>
      <c r="U12760" t="s">
        <v>55237</v>
      </c>
      <c r="V12760" t="s">
        <v>58285</v>
      </c>
      <c r="W12760" t="s">
        <v>42911</v>
      </c>
      <c r="X12760" t="s">
        <v>43186</v>
      </c>
    </row>
    <row r="12761" spans="1:24">
      <c r="A12761">
        <f>HYPERLINK("https://www.philgeps.gov.ph/GEPSNONPILOT/Tender/SplashBidNoticeAbstractUI.aspx?menuIndex=3&amp;refID=7054535&amp;Result=3","7054535")</f>
        <v>0</v>
      </c>
      <c r="B12761" t="s">
        <v>3133</v>
      </c>
      <c r="C12761" t="s">
        <v>15620</v>
      </c>
      <c r="D12761" t="s">
        <v>17444</v>
      </c>
      <c r="E12761" t="s">
        <v>28413</v>
      </c>
      <c r="F12761" t="s">
        <v>30052</v>
      </c>
      <c r="G12761" t="s">
        <v>30058</v>
      </c>
      <c r="H12761" t="s">
        <v>30067</v>
      </c>
      <c r="I12761" t="s">
        <v>3693</v>
      </c>
      <c r="J12761" t="s">
        <v>30281</v>
      </c>
      <c r="K12761" t="s">
        <v>39031</v>
      </c>
      <c r="L12761" t="s">
        <v>3133</v>
      </c>
      <c r="M12761" t="s">
        <v>42735</v>
      </c>
      <c r="N12761" t="s">
        <v>43166</v>
      </c>
      <c r="O12761" t="s">
        <v>43167</v>
      </c>
      <c r="P12761">
        <v>0</v>
      </c>
      <c r="Q12761">
        <v>2</v>
      </c>
      <c r="R12761" t="s">
        <v>43185</v>
      </c>
      <c r="S12761" t="s">
        <v>43930</v>
      </c>
      <c r="T12761" t="s">
        <v>44777</v>
      </c>
      <c r="U12761" t="s">
        <v>55338</v>
      </c>
      <c r="W12761" t="s">
        <v>42735</v>
      </c>
      <c r="X12761" t="s">
        <v>43186</v>
      </c>
    </row>
    <row r="12762" spans="1:24">
      <c r="A12762">
        <f>HYPERLINK("https://www.philgeps.gov.ph/GEPSNONPILOT/Tender/SplashBidNoticeAbstractUI.aspx?menuIndex=3&amp;refID=7054080&amp;Result=3","7054080")</f>
        <v>0</v>
      </c>
      <c r="B12762" t="s">
        <v>340</v>
      </c>
      <c r="C12762" t="s">
        <v>15621</v>
      </c>
      <c r="D12762" t="s">
        <v>17486</v>
      </c>
      <c r="E12762" t="s">
        <v>22857</v>
      </c>
      <c r="F12762" t="s">
        <v>30052</v>
      </c>
      <c r="G12762" t="s">
        <v>30058</v>
      </c>
      <c r="H12762" t="s">
        <v>15498</v>
      </c>
      <c r="I12762" t="s">
        <v>30076</v>
      </c>
      <c r="J12762" t="s">
        <v>37959</v>
      </c>
      <c r="K12762" t="s">
        <v>39025</v>
      </c>
      <c r="M12762" t="s">
        <v>39636</v>
      </c>
      <c r="N12762" t="s">
        <v>43166</v>
      </c>
      <c r="O12762" t="s">
        <v>43167</v>
      </c>
      <c r="P12762">
        <v>0</v>
      </c>
      <c r="Q12762">
        <v>4</v>
      </c>
      <c r="R12762" t="s">
        <v>43185</v>
      </c>
      <c r="S12762" t="s">
        <v>43930</v>
      </c>
      <c r="T12762" t="s">
        <v>44832</v>
      </c>
      <c r="U12762" t="s">
        <v>55339</v>
      </c>
      <c r="V12762" t="s">
        <v>58315</v>
      </c>
      <c r="W12762" t="s">
        <v>39636</v>
      </c>
      <c r="X12762" t="s">
        <v>43186</v>
      </c>
    </row>
    <row r="12763" spans="1:24">
      <c r="A12763">
        <f>HYPERLINK("https://www.philgeps.gov.ph/GEPSNONPILOT/Tender/SplashBidNoticeAbstractUI.aspx?menuIndex=3&amp;refID=7054526&amp;Result=3","7054526")</f>
        <v>0</v>
      </c>
      <c r="B12763" t="s">
        <v>749</v>
      </c>
      <c r="C12763" t="s">
        <v>15622</v>
      </c>
      <c r="D12763" t="s">
        <v>17444</v>
      </c>
      <c r="E12763" t="s">
        <v>28414</v>
      </c>
      <c r="F12763" t="s">
        <v>30052</v>
      </c>
      <c r="G12763" t="s">
        <v>30058</v>
      </c>
      <c r="H12763" t="s">
        <v>15498</v>
      </c>
      <c r="I12763" t="s">
        <v>3736</v>
      </c>
      <c r="J12763" t="s">
        <v>37960</v>
      </c>
      <c r="K12763" t="s">
        <v>39029</v>
      </c>
      <c r="M12763" t="s">
        <v>40063</v>
      </c>
      <c r="N12763" t="s">
        <v>43166</v>
      </c>
      <c r="O12763" t="s">
        <v>43167</v>
      </c>
      <c r="P12763">
        <v>0</v>
      </c>
      <c r="Q12763">
        <v>0</v>
      </c>
      <c r="R12763" t="s">
        <v>43185</v>
      </c>
      <c r="S12763" t="s">
        <v>43930</v>
      </c>
      <c r="T12763" t="s">
        <v>44826</v>
      </c>
      <c r="U12763" t="s">
        <v>52913</v>
      </c>
      <c r="W12763" t="s">
        <v>40063</v>
      </c>
      <c r="X12763" t="s">
        <v>43186</v>
      </c>
    </row>
    <row r="12764" spans="1:24">
      <c r="A12764">
        <f>HYPERLINK("https://www.philgeps.gov.ph/GEPSNONPILOT/Tender/SplashBidNoticeAbstractUI.aspx?menuIndex=3&amp;refID=7054492&amp;Result=3","7054492")</f>
        <v>0</v>
      </c>
      <c r="B12764" t="s">
        <v>268</v>
      </c>
      <c r="C12764" t="s">
        <v>15623</v>
      </c>
      <c r="D12764" t="s">
        <v>17459</v>
      </c>
      <c r="E12764" t="s">
        <v>28415</v>
      </c>
      <c r="F12764" t="s">
        <v>30052</v>
      </c>
      <c r="G12764" t="s">
        <v>30058</v>
      </c>
      <c r="H12764" t="s">
        <v>30067</v>
      </c>
      <c r="I12764" t="s">
        <v>3693</v>
      </c>
      <c r="J12764" t="s">
        <v>37961</v>
      </c>
      <c r="K12764" t="s">
        <v>39022</v>
      </c>
      <c r="M12764" t="s">
        <v>39561</v>
      </c>
      <c r="N12764" t="s">
        <v>43166</v>
      </c>
      <c r="O12764" t="s">
        <v>43167</v>
      </c>
      <c r="P12764">
        <v>0</v>
      </c>
      <c r="Q12764">
        <v>2</v>
      </c>
      <c r="R12764" t="s">
        <v>43185</v>
      </c>
      <c r="S12764" t="s">
        <v>43930</v>
      </c>
      <c r="T12764" t="s">
        <v>44841</v>
      </c>
      <c r="U12764" t="s">
        <v>55340</v>
      </c>
      <c r="V12764" t="s">
        <v>56837</v>
      </c>
      <c r="W12764" t="s">
        <v>39561</v>
      </c>
      <c r="X12764" t="s">
        <v>43186</v>
      </c>
    </row>
    <row r="12765" spans="1:24">
      <c r="A12765">
        <f>HYPERLINK("https://www.philgeps.gov.ph/GEPSNONPILOT/Tender/SplashBidNoticeAbstractUI.aspx?menuIndex=3&amp;refID=7054520&amp;Result=3","7054520")</f>
        <v>0</v>
      </c>
      <c r="B12765" t="s">
        <v>3291</v>
      </c>
      <c r="C12765" t="s">
        <v>15624</v>
      </c>
      <c r="D12765" t="s">
        <v>17488</v>
      </c>
      <c r="E12765" t="s">
        <v>28416</v>
      </c>
      <c r="F12765" t="s">
        <v>30052</v>
      </c>
      <c r="G12765" t="s">
        <v>30058</v>
      </c>
      <c r="H12765" t="s">
        <v>15498</v>
      </c>
      <c r="I12765" t="s">
        <v>30074</v>
      </c>
      <c r="J12765" t="s">
        <v>37962</v>
      </c>
      <c r="K12765" t="s">
        <v>39017</v>
      </c>
      <c r="M12765" t="s">
        <v>42925</v>
      </c>
      <c r="N12765" t="s">
        <v>43166</v>
      </c>
      <c r="O12765" t="s">
        <v>43167</v>
      </c>
      <c r="Q12765">
        <v>1</v>
      </c>
      <c r="R12765" t="s">
        <v>43185</v>
      </c>
      <c r="S12765" t="s">
        <v>44003</v>
      </c>
      <c r="T12765" t="s">
        <v>45129</v>
      </c>
      <c r="U12765" t="s">
        <v>55341</v>
      </c>
      <c r="V12765" t="s">
        <v>58316</v>
      </c>
      <c r="W12765" t="s">
        <v>42925</v>
      </c>
      <c r="X12765" t="s">
        <v>43186</v>
      </c>
    </row>
    <row r="12766" spans="1:24">
      <c r="A12766">
        <f>HYPERLINK("https://www.philgeps.gov.ph/GEPSNONPILOT/Tender/SplashBidNoticeAbstractUI.aspx?menuIndex=3&amp;refID=7054498&amp;Result=3","7054498")</f>
        <v>0</v>
      </c>
      <c r="B12766" t="s">
        <v>3292</v>
      </c>
      <c r="C12766" t="s">
        <v>15625</v>
      </c>
      <c r="D12766" t="s">
        <v>17473</v>
      </c>
      <c r="E12766" t="s">
        <v>28417</v>
      </c>
      <c r="F12766" t="s">
        <v>30052</v>
      </c>
      <c r="G12766" t="s">
        <v>30058</v>
      </c>
      <c r="H12766" t="s">
        <v>30067</v>
      </c>
      <c r="I12766" t="s">
        <v>6304</v>
      </c>
      <c r="J12766" t="s">
        <v>37963</v>
      </c>
      <c r="K12766" t="s">
        <v>39283</v>
      </c>
      <c r="M12766" t="s">
        <v>42926</v>
      </c>
      <c r="N12766" t="s">
        <v>43166</v>
      </c>
      <c r="O12766" t="s">
        <v>43167</v>
      </c>
      <c r="P12766">
        <v>0</v>
      </c>
      <c r="Q12766">
        <v>0</v>
      </c>
      <c r="R12766" t="s">
        <v>43185</v>
      </c>
      <c r="S12766" t="s">
        <v>43930</v>
      </c>
      <c r="T12766" t="s">
        <v>44691</v>
      </c>
      <c r="U12766" t="s">
        <v>55342</v>
      </c>
      <c r="V12766" t="s">
        <v>58317</v>
      </c>
      <c r="W12766" t="s">
        <v>42926</v>
      </c>
      <c r="X12766" t="s">
        <v>43186</v>
      </c>
    </row>
    <row r="12767" spans="1:24">
      <c r="A12767">
        <f>HYPERLINK("https://www.philgeps.gov.ph/GEPSNONPILOT/Tender/SplashBidNoticeAbstractUI.aspx?menuIndex=3&amp;refID=7054330&amp;Result=3","7054330")</f>
        <v>0</v>
      </c>
      <c r="B12767" t="s">
        <v>3133</v>
      </c>
      <c r="C12767" t="s">
        <v>15626</v>
      </c>
      <c r="D12767" t="s">
        <v>17444</v>
      </c>
      <c r="E12767" t="s">
        <v>28418</v>
      </c>
      <c r="F12767" t="s">
        <v>30052</v>
      </c>
      <c r="G12767" t="s">
        <v>30058</v>
      </c>
      <c r="H12767" t="s">
        <v>30067</v>
      </c>
      <c r="I12767" t="s">
        <v>3736</v>
      </c>
      <c r="J12767" t="s">
        <v>30247</v>
      </c>
      <c r="K12767" t="s">
        <v>39031</v>
      </c>
      <c r="L12767" t="s">
        <v>3133</v>
      </c>
      <c r="M12767" t="s">
        <v>42735</v>
      </c>
      <c r="N12767" t="s">
        <v>43166</v>
      </c>
      <c r="O12767" t="s">
        <v>43167</v>
      </c>
      <c r="P12767">
        <v>0</v>
      </c>
      <c r="Q12767">
        <v>1</v>
      </c>
      <c r="R12767" t="s">
        <v>43185</v>
      </c>
      <c r="S12767" t="s">
        <v>43930</v>
      </c>
      <c r="T12767" t="s">
        <v>44777</v>
      </c>
      <c r="U12767" t="s">
        <v>55343</v>
      </c>
      <c r="W12767" t="s">
        <v>42735</v>
      </c>
      <c r="X12767" t="s">
        <v>43186</v>
      </c>
    </row>
    <row r="12768" spans="1:24">
      <c r="A12768">
        <f>HYPERLINK("https://www.philgeps.gov.ph/GEPSNONPILOT/Tender/SplashBidNoticeAbstractUI.aspx?menuIndex=3&amp;refID=7054466&amp;Result=3","7054466")</f>
        <v>0</v>
      </c>
      <c r="B12768" t="s">
        <v>3133</v>
      </c>
      <c r="C12768" t="s">
        <v>15627</v>
      </c>
      <c r="D12768" t="s">
        <v>17444</v>
      </c>
      <c r="E12768" t="s">
        <v>28419</v>
      </c>
      <c r="F12768" t="s">
        <v>30052</v>
      </c>
      <c r="G12768" t="s">
        <v>30058</v>
      </c>
      <c r="H12768" t="s">
        <v>30067</v>
      </c>
      <c r="I12768" t="s">
        <v>3693</v>
      </c>
      <c r="J12768" t="s">
        <v>30277</v>
      </c>
      <c r="K12768" t="s">
        <v>39029</v>
      </c>
      <c r="L12768" t="s">
        <v>3133</v>
      </c>
      <c r="M12768" t="s">
        <v>42735</v>
      </c>
      <c r="N12768" t="s">
        <v>43166</v>
      </c>
      <c r="O12768" t="s">
        <v>43167</v>
      </c>
      <c r="P12768">
        <v>0</v>
      </c>
      <c r="Q12768">
        <v>1</v>
      </c>
      <c r="R12768" t="s">
        <v>43185</v>
      </c>
      <c r="S12768" t="s">
        <v>43930</v>
      </c>
      <c r="T12768" t="s">
        <v>44777</v>
      </c>
      <c r="U12768" t="s">
        <v>55344</v>
      </c>
      <c r="W12768" t="s">
        <v>42735</v>
      </c>
      <c r="X12768" t="s">
        <v>43186</v>
      </c>
    </row>
    <row r="12769" spans="1:24">
      <c r="A12769">
        <f>HYPERLINK("https://www.philgeps.gov.ph/GEPSNONPILOT/Tender/SplashBidNoticeAbstractUI.aspx?menuIndex=3&amp;refID=7054496&amp;Result=3","7054496")</f>
        <v>0</v>
      </c>
      <c r="B12769" t="s">
        <v>3133</v>
      </c>
      <c r="C12769" t="s">
        <v>15628</v>
      </c>
      <c r="D12769" t="s">
        <v>17444</v>
      </c>
      <c r="E12769" t="s">
        <v>28420</v>
      </c>
      <c r="F12769" t="s">
        <v>30052</v>
      </c>
      <c r="G12769" t="s">
        <v>30058</v>
      </c>
      <c r="H12769" t="s">
        <v>30067</v>
      </c>
      <c r="I12769" t="s">
        <v>3693</v>
      </c>
      <c r="J12769" t="s">
        <v>30222</v>
      </c>
      <c r="K12769" t="s">
        <v>39023</v>
      </c>
      <c r="L12769" t="s">
        <v>3133</v>
      </c>
      <c r="M12769" t="s">
        <v>42735</v>
      </c>
      <c r="N12769" t="s">
        <v>43166</v>
      </c>
      <c r="O12769" t="s">
        <v>43167</v>
      </c>
      <c r="P12769">
        <v>0</v>
      </c>
      <c r="Q12769">
        <v>2</v>
      </c>
      <c r="R12769" t="s">
        <v>43185</v>
      </c>
      <c r="S12769" t="s">
        <v>43930</v>
      </c>
      <c r="T12769" t="s">
        <v>44777</v>
      </c>
      <c r="U12769" t="s">
        <v>55345</v>
      </c>
      <c r="W12769" t="s">
        <v>42735</v>
      </c>
      <c r="X12769" t="s">
        <v>43186</v>
      </c>
    </row>
    <row r="12770" spans="1:24">
      <c r="A12770">
        <f>HYPERLINK("https://www.philgeps.gov.ph/GEPSNONPILOT/Tender/SplashBidNoticeAbstractUI.aspx?menuIndex=3&amp;refID=7054465&amp;Result=3","7054465")</f>
        <v>0</v>
      </c>
      <c r="B12770" t="s">
        <v>3293</v>
      </c>
      <c r="C12770" t="s">
        <v>15629</v>
      </c>
      <c r="D12770" t="s">
        <v>17422</v>
      </c>
      <c r="E12770" t="s">
        <v>28421</v>
      </c>
      <c r="F12770" t="s">
        <v>30052</v>
      </c>
      <c r="G12770" t="s">
        <v>30058</v>
      </c>
      <c r="H12770" t="s">
        <v>15498</v>
      </c>
      <c r="I12770" t="s">
        <v>30070</v>
      </c>
      <c r="J12770" t="s">
        <v>37964</v>
      </c>
      <c r="K12770" t="s">
        <v>39029</v>
      </c>
      <c r="M12770" t="s">
        <v>42927</v>
      </c>
      <c r="N12770" t="s">
        <v>43166</v>
      </c>
      <c r="O12770" t="s">
        <v>43167</v>
      </c>
      <c r="P12770">
        <v>0</v>
      </c>
      <c r="Q12770">
        <v>4</v>
      </c>
      <c r="R12770" t="s">
        <v>43185</v>
      </c>
      <c r="S12770" t="s">
        <v>43930</v>
      </c>
      <c r="T12770" t="s">
        <v>44732</v>
      </c>
      <c r="U12770" t="s">
        <v>55346</v>
      </c>
      <c r="W12770" t="s">
        <v>42927</v>
      </c>
      <c r="X12770" t="s">
        <v>43186</v>
      </c>
    </row>
    <row r="12771" spans="1:24">
      <c r="A12771">
        <f>HYPERLINK("https://www.philgeps.gov.ph/GEPSNONPILOT/Tender/SplashBidNoticeAbstractUI.aspx?menuIndex=3&amp;refID=7054452&amp;Result=3","7054452")</f>
        <v>0</v>
      </c>
      <c r="B12771" t="s">
        <v>3294</v>
      </c>
      <c r="C12771" t="s">
        <v>15630</v>
      </c>
      <c r="D12771" t="s">
        <v>17474</v>
      </c>
      <c r="E12771" t="s">
        <v>21605</v>
      </c>
      <c r="F12771" t="s">
        <v>30052</v>
      </c>
      <c r="G12771" t="s">
        <v>30058</v>
      </c>
      <c r="H12771" t="s">
        <v>15498</v>
      </c>
      <c r="I12771" t="s">
        <v>30135</v>
      </c>
      <c r="J12771" t="s">
        <v>37965</v>
      </c>
      <c r="K12771" t="s">
        <v>39023</v>
      </c>
      <c r="M12771" t="s">
        <v>42928</v>
      </c>
      <c r="N12771" t="s">
        <v>43166</v>
      </c>
      <c r="O12771" t="s">
        <v>43167</v>
      </c>
      <c r="P12771">
        <v>0</v>
      </c>
      <c r="Q12771">
        <v>5</v>
      </c>
      <c r="R12771" t="s">
        <v>43185</v>
      </c>
      <c r="S12771" t="s">
        <v>43930</v>
      </c>
      <c r="T12771" t="s">
        <v>44832</v>
      </c>
      <c r="U12771" t="s">
        <v>55347</v>
      </c>
      <c r="V12771" t="s">
        <v>58318</v>
      </c>
      <c r="W12771" t="s">
        <v>42928</v>
      </c>
      <c r="X12771" t="s">
        <v>43186</v>
      </c>
    </row>
    <row r="12772" spans="1:24">
      <c r="A12772">
        <f>HYPERLINK("https://www.philgeps.gov.ph/GEPSNONPILOT/Tender/SplashBidNoticeAbstractUI.aspx?menuIndex=3&amp;refID=7054483&amp;Result=3","7054483")</f>
        <v>0</v>
      </c>
      <c r="B12772" t="s">
        <v>1321</v>
      </c>
      <c r="C12772" t="s">
        <v>15631</v>
      </c>
      <c r="D12772" t="s">
        <v>17424</v>
      </c>
      <c r="E12772" t="s">
        <v>28422</v>
      </c>
      <c r="F12772" t="s">
        <v>30052</v>
      </c>
      <c r="G12772" t="s">
        <v>30058</v>
      </c>
      <c r="H12772" t="s">
        <v>15498</v>
      </c>
      <c r="I12772" t="s">
        <v>30092</v>
      </c>
      <c r="J12772" t="s">
        <v>37966</v>
      </c>
      <c r="K12772" t="s">
        <v>39023</v>
      </c>
      <c r="M12772" t="s">
        <v>41779</v>
      </c>
      <c r="N12772" t="s">
        <v>43166</v>
      </c>
      <c r="O12772" t="s">
        <v>43167</v>
      </c>
      <c r="Q12772">
        <v>2</v>
      </c>
      <c r="R12772" t="s">
        <v>43185</v>
      </c>
      <c r="S12772" t="s">
        <v>44004</v>
      </c>
      <c r="T12772" t="s">
        <v>44679</v>
      </c>
      <c r="U12772" t="s">
        <v>55348</v>
      </c>
      <c r="W12772" t="s">
        <v>41779</v>
      </c>
      <c r="X12772" t="s">
        <v>43186</v>
      </c>
    </row>
    <row r="12773" spans="1:24">
      <c r="A12773">
        <f>HYPERLINK("https://www.philgeps.gov.ph/GEPSNONPILOT/Tender/SplashBidNoticeAbstractUI.aspx?menuIndex=3&amp;refID=7054427&amp;Result=3","7054427")</f>
        <v>0</v>
      </c>
      <c r="B12773" t="s">
        <v>1321</v>
      </c>
      <c r="C12773" t="s">
        <v>15632</v>
      </c>
      <c r="D12773" t="s">
        <v>17424</v>
      </c>
      <c r="E12773" t="s">
        <v>28423</v>
      </c>
      <c r="F12773" t="s">
        <v>30052</v>
      </c>
      <c r="G12773" t="s">
        <v>30058</v>
      </c>
      <c r="H12773" t="s">
        <v>15498</v>
      </c>
      <c r="I12773" t="s">
        <v>30091</v>
      </c>
      <c r="J12773" t="s">
        <v>37967</v>
      </c>
      <c r="K12773" t="s">
        <v>39023</v>
      </c>
      <c r="M12773" t="s">
        <v>41779</v>
      </c>
      <c r="N12773" t="s">
        <v>43166</v>
      </c>
      <c r="O12773" t="s">
        <v>43167</v>
      </c>
      <c r="Q12773">
        <v>4</v>
      </c>
      <c r="R12773" t="s">
        <v>43185</v>
      </c>
      <c r="S12773" t="s">
        <v>44005</v>
      </c>
      <c r="T12773" t="s">
        <v>44679</v>
      </c>
      <c r="U12773" t="s">
        <v>55349</v>
      </c>
      <c r="W12773" t="s">
        <v>41779</v>
      </c>
      <c r="X12773" t="s">
        <v>43186</v>
      </c>
    </row>
    <row r="12774" spans="1:24">
      <c r="A12774">
        <f>HYPERLINK("https://www.philgeps.gov.ph/GEPSNONPILOT/Tender/SplashBidNoticeAbstractUI.aspx?menuIndex=3&amp;refID=7054839&amp;Result=3","7054839")</f>
        <v>0</v>
      </c>
      <c r="B12774" t="s">
        <v>602</v>
      </c>
      <c r="C12774" t="s">
        <v>15633</v>
      </c>
      <c r="D12774" t="s">
        <v>17448</v>
      </c>
      <c r="E12774" t="s">
        <v>28424</v>
      </c>
      <c r="F12774" t="s">
        <v>30052</v>
      </c>
      <c r="G12774" t="s">
        <v>30058</v>
      </c>
      <c r="H12774" t="s">
        <v>30067</v>
      </c>
      <c r="I12774" t="s">
        <v>3693</v>
      </c>
      <c r="J12774" t="s">
        <v>31160</v>
      </c>
      <c r="K12774" t="s">
        <v>39117</v>
      </c>
      <c r="L12774" t="s">
        <v>602</v>
      </c>
      <c r="M12774" t="s">
        <v>42929</v>
      </c>
      <c r="N12774" t="s">
        <v>43166</v>
      </c>
      <c r="O12774" t="s">
        <v>43167</v>
      </c>
      <c r="P12774">
        <v>0</v>
      </c>
      <c r="Q12774">
        <v>9</v>
      </c>
      <c r="R12774" t="s">
        <v>43185</v>
      </c>
      <c r="S12774" t="s">
        <v>43930</v>
      </c>
      <c r="T12774" t="s">
        <v>44943</v>
      </c>
      <c r="U12774" t="s">
        <v>55350</v>
      </c>
      <c r="W12774" t="s">
        <v>42929</v>
      </c>
      <c r="X12774" t="s">
        <v>43186</v>
      </c>
    </row>
    <row r="12775" spans="1:24">
      <c r="A12775">
        <f>HYPERLINK("https://www.philgeps.gov.ph/GEPSNONPILOT/Tender/SplashBidNoticeAbstractUI.aspx?menuIndex=3&amp;refID=7054834&amp;Result=3","7054834")</f>
        <v>0</v>
      </c>
      <c r="B12775" t="s">
        <v>977</v>
      </c>
      <c r="C12775" t="s">
        <v>15634</v>
      </c>
      <c r="D12775" t="s">
        <v>17484</v>
      </c>
      <c r="E12775" t="s">
        <v>28425</v>
      </c>
      <c r="F12775" t="s">
        <v>30052</v>
      </c>
      <c r="G12775" t="s">
        <v>30058</v>
      </c>
      <c r="H12775" t="s">
        <v>15498</v>
      </c>
      <c r="I12775" t="s">
        <v>30120</v>
      </c>
      <c r="J12775" t="s">
        <v>37968</v>
      </c>
      <c r="K12775" t="s">
        <v>39029</v>
      </c>
      <c r="M12775" t="s">
        <v>40304</v>
      </c>
      <c r="N12775" t="s">
        <v>43166</v>
      </c>
      <c r="O12775" t="s">
        <v>43167</v>
      </c>
      <c r="P12775">
        <v>0</v>
      </c>
      <c r="Q12775">
        <v>3</v>
      </c>
      <c r="R12775" t="s">
        <v>43185</v>
      </c>
      <c r="S12775" t="s">
        <v>43930</v>
      </c>
      <c r="T12775" t="s">
        <v>44737</v>
      </c>
      <c r="U12775" t="s">
        <v>55351</v>
      </c>
      <c r="W12775" t="s">
        <v>40304</v>
      </c>
      <c r="X12775" t="s">
        <v>43186</v>
      </c>
    </row>
    <row r="12776" spans="1:24">
      <c r="A12776">
        <f>HYPERLINK("https://www.philgeps.gov.ph/GEPSNONPILOT/Tender/SplashBidNoticeAbstractUI.aspx?menuIndex=3&amp;refID=7054277&amp;Result=3","7054277")</f>
        <v>0</v>
      </c>
      <c r="B12776" t="s">
        <v>3025</v>
      </c>
      <c r="C12776" t="s">
        <v>15635</v>
      </c>
      <c r="D12776" t="s">
        <v>17470</v>
      </c>
      <c r="E12776" t="s">
        <v>28426</v>
      </c>
      <c r="F12776" t="s">
        <v>30052</v>
      </c>
      <c r="G12776" t="s">
        <v>30058</v>
      </c>
      <c r="H12776" t="s">
        <v>30067</v>
      </c>
      <c r="I12776" t="s">
        <v>3693</v>
      </c>
      <c r="J12776" t="s">
        <v>37969</v>
      </c>
      <c r="K12776" t="s">
        <v>39031</v>
      </c>
      <c r="M12776" t="s">
        <v>42603</v>
      </c>
      <c r="N12776" t="s">
        <v>43166</v>
      </c>
      <c r="O12776" t="s">
        <v>43167</v>
      </c>
      <c r="P12776">
        <v>0</v>
      </c>
      <c r="Q12776">
        <v>1</v>
      </c>
      <c r="R12776" t="s">
        <v>43185</v>
      </c>
      <c r="S12776" t="s">
        <v>43930</v>
      </c>
      <c r="T12776" t="s">
        <v>44733</v>
      </c>
      <c r="U12776" t="s">
        <v>55352</v>
      </c>
      <c r="V12776" t="s">
        <v>58319</v>
      </c>
      <c r="W12776" t="s">
        <v>42603</v>
      </c>
      <c r="X12776" t="s">
        <v>43186</v>
      </c>
    </row>
    <row r="12777" spans="1:24">
      <c r="A12777">
        <f>HYPERLINK("https://www.philgeps.gov.ph/GEPSNONPILOT/Tender/SplashBidNoticeAbstractUI.aspx?menuIndex=3&amp;refID=7054828&amp;Result=3","7054828")</f>
        <v>0</v>
      </c>
      <c r="B12777" t="s">
        <v>602</v>
      </c>
      <c r="C12777" t="s">
        <v>15636</v>
      </c>
      <c r="D12777" t="s">
        <v>17448</v>
      </c>
      <c r="E12777" t="s">
        <v>28427</v>
      </c>
      <c r="F12777" t="s">
        <v>30052</v>
      </c>
      <c r="G12777" t="s">
        <v>30058</v>
      </c>
      <c r="H12777" t="s">
        <v>30067</v>
      </c>
      <c r="I12777" t="s">
        <v>3693</v>
      </c>
      <c r="J12777" t="s">
        <v>34946</v>
      </c>
      <c r="K12777" t="s">
        <v>39022</v>
      </c>
      <c r="L12777" t="s">
        <v>602</v>
      </c>
      <c r="M12777" t="s">
        <v>42929</v>
      </c>
      <c r="N12777" t="s">
        <v>43166</v>
      </c>
      <c r="O12777" t="s">
        <v>43167</v>
      </c>
      <c r="P12777">
        <v>0</v>
      </c>
      <c r="Q12777">
        <v>7</v>
      </c>
      <c r="R12777" t="s">
        <v>43185</v>
      </c>
      <c r="S12777" t="s">
        <v>43930</v>
      </c>
      <c r="T12777" t="s">
        <v>44943</v>
      </c>
      <c r="U12777" t="s">
        <v>55350</v>
      </c>
      <c r="W12777" t="s">
        <v>42929</v>
      </c>
      <c r="X12777" t="s">
        <v>43186</v>
      </c>
    </row>
    <row r="12778" spans="1:24">
      <c r="A12778">
        <f>HYPERLINK("https://www.philgeps.gov.ph/GEPSNONPILOT/Tender/SplashBidNoticeAbstractUI.aspx?menuIndex=3&amp;refID=7054804&amp;Result=3","7054804")</f>
        <v>0</v>
      </c>
      <c r="B12778" t="s">
        <v>602</v>
      </c>
      <c r="C12778" t="s">
        <v>15637</v>
      </c>
      <c r="D12778" t="s">
        <v>17448</v>
      </c>
      <c r="E12778" t="s">
        <v>28428</v>
      </c>
      <c r="F12778" t="s">
        <v>30052</v>
      </c>
      <c r="G12778" t="s">
        <v>30058</v>
      </c>
      <c r="H12778" t="s">
        <v>30067</v>
      </c>
      <c r="I12778" t="s">
        <v>3693</v>
      </c>
      <c r="J12778" t="s">
        <v>33996</v>
      </c>
      <c r="K12778" t="s">
        <v>39092</v>
      </c>
      <c r="L12778" t="s">
        <v>602</v>
      </c>
      <c r="M12778" t="s">
        <v>42929</v>
      </c>
      <c r="N12778" t="s">
        <v>43166</v>
      </c>
      <c r="O12778" t="s">
        <v>43167</v>
      </c>
      <c r="P12778">
        <v>0</v>
      </c>
      <c r="Q12778">
        <v>8</v>
      </c>
      <c r="R12778" t="s">
        <v>43185</v>
      </c>
      <c r="S12778" t="s">
        <v>43930</v>
      </c>
      <c r="T12778" t="s">
        <v>44943</v>
      </c>
      <c r="U12778" t="s">
        <v>55350</v>
      </c>
      <c r="W12778" t="s">
        <v>42929</v>
      </c>
      <c r="X12778" t="s">
        <v>43186</v>
      </c>
    </row>
    <row r="12779" spans="1:24">
      <c r="A12779">
        <f>HYPERLINK("https://www.philgeps.gov.ph/GEPSNONPILOT/Tender/SplashBidNoticeAbstractUI.aspx?menuIndex=3&amp;refID=7054823&amp;Result=3","7054823")</f>
        <v>0</v>
      </c>
      <c r="B12779" t="s">
        <v>2415</v>
      </c>
      <c r="C12779" t="s">
        <v>15638</v>
      </c>
      <c r="D12779" t="s">
        <v>17489</v>
      </c>
      <c r="E12779" t="s">
        <v>28429</v>
      </c>
      <c r="F12779" t="s">
        <v>30052</v>
      </c>
      <c r="G12779" t="s">
        <v>30058</v>
      </c>
      <c r="H12779" t="s">
        <v>15498</v>
      </c>
      <c r="I12779" t="s">
        <v>30081</v>
      </c>
      <c r="J12779" t="s">
        <v>37970</v>
      </c>
      <c r="K12779" t="s">
        <v>39023</v>
      </c>
      <c r="M12779" t="s">
        <v>41912</v>
      </c>
      <c r="N12779" t="s">
        <v>43166</v>
      </c>
      <c r="O12779" t="s">
        <v>43167</v>
      </c>
      <c r="P12779">
        <v>0</v>
      </c>
      <c r="Q12779">
        <v>1</v>
      </c>
      <c r="R12779" t="s">
        <v>43185</v>
      </c>
      <c r="S12779" t="s">
        <v>43930</v>
      </c>
      <c r="T12779" t="s">
        <v>44773</v>
      </c>
      <c r="U12779" t="s">
        <v>55353</v>
      </c>
      <c r="V12779" t="s">
        <v>58320</v>
      </c>
      <c r="W12779" t="s">
        <v>41912</v>
      </c>
      <c r="X12779" t="s">
        <v>43186</v>
      </c>
    </row>
    <row r="12780" spans="1:24">
      <c r="A12780">
        <f>HYPERLINK("https://www.philgeps.gov.ph/GEPSNONPILOT/Tender/SplashBidNoticeAbstractUI.aspx?menuIndex=3&amp;refID=7054800&amp;Result=3","7054800")</f>
        <v>0</v>
      </c>
      <c r="B12780" t="s">
        <v>498</v>
      </c>
      <c r="C12780" t="s">
        <v>15639</v>
      </c>
      <c r="D12780" t="s">
        <v>17431</v>
      </c>
      <c r="E12780" t="s">
        <v>28430</v>
      </c>
      <c r="F12780" t="s">
        <v>30052</v>
      </c>
      <c r="G12780" t="s">
        <v>30063</v>
      </c>
      <c r="H12780" t="s">
        <v>30067</v>
      </c>
      <c r="I12780" t="s">
        <v>3693</v>
      </c>
      <c r="J12780" t="s">
        <v>37971</v>
      </c>
      <c r="K12780" t="s">
        <v>39031</v>
      </c>
      <c r="M12780" t="s">
        <v>39799</v>
      </c>
      <c r="N12780" t="s">
        <v>43166</v>
      </c>
      <c r="O12780" t="s">
        <v>43167</v>
      </c>
      <c r="Q12780">
        <v>1</v>
      </c>
      <c r="R12780" t="s">
        <v>43185</v>
      </c>
      <c r="S12780" t="s">
        <v>44006</v>
      </c>
      <c r="T12780" t="s">
        <v>44698</v>
      </c>
      <c r="U12780" t="s">
        <v>55354</v>
      </c>
      <c r="W12780" t="s">
        <v>39799</v>
      </c>
      <c r="X12780" t="s">
        <v>43186</v>
      </c>
    </row>
    <row r="12781" spans="1:24">
      <c r="A12781">
        <f>HYPERLINK("https://www.philgeps.gov.ph/GEPSNONPILOT/Tender/SplashBidNoticeAbstractUI.aspx?menuIndex=3&amp;refID=7054436&amp;Result=3","7054436")</f>
        <v>0</v>
      </c>
      <c r="B12781" t="s">
        <v>3065</v>
      </c>
      <c r="C12781" t="s">
        <v>15640</v>
      </c>
      <c r="D12781" t="s">
        <v>17449</v>
      </c>
      <c r="E12781" t="s">
        <v>28431</v>
      </c>
      <c r="F12781" t="s">
        <v>30052</v>
      </c>
      <c r="G12781" t="s">
        <v>30058</v>
      </c>
      <c r="H12781" t="s">
        <v>30067</v>
      </c>
      <c r="I12781" t="s">
        <v>3693</v>
      </c>
      <c r="J12781" t="s">
        <v>37942</v>
      </c>
      <c r="K12781" t="s">
        <v>39080</v>
      </c>
      <c r="L12781" t="s">
        <v>3065</v>
      </c>
      <c r="M12781" t="s">
        <v>42648</v>
      </c>
      <c r="N12781" t="s">
        <v>43166</v>
      </c>
      <c r="O12781" t="s">
        <v>43167</v>
      </c>
      <c r="P12781">
        <v>0</v>
      </c>
      <c r="Q12781">
        <v>0</v>
      </c>
      <c r="R12781" t="s">
        <v>43185</v>
      </c>
      <c r="S12781" t="s">
        <v>43930</v>
      </c>
      <c r="T12781" t="s">
        <v>44705</v>
      </c>
      <c r="U12781" t="s">
        <v>55322</v>
      </c>
      <c r="W12781" t="s">
        <v>42648</v>
      </c>
      <c r="X12781" t="s">
        <v>43186</v>
      </c>
    </row>
    <row r="12782" spans="1:24">
      <c r="A12782">
        <f>HYPERLINK("https://www.philgeps.gov.ph/GEPSNONPILOT/Tender/SplashBidNoticeAbstractUI.aspx?menuIndex=3&amp;refID=7054470&amp;Result=3","7054470")</f>
        <v>0</v>
      </c>
      <c r="B12782" t="s">
        <v>501</v>
      </c>
      <c r="C12782" t="s">
        <v>15641</v>
      </c>
      <c r="E12782" t="s">
        <v>28432</v>
      </c>
      <c r="F12782" t="s">
        <v>30052</v>
      </c>
      <c r="G12782" t="s">
        <v>30059</v>
      </c>
      <c r="H12782" t="s">
        <v>15498</v>
      </c>
      <c r="I12782" t="s">
        <v>30165</v>
      </c>
      <c r="J12782" t="s">
        <v>33343</v>
      </c>
      <c r="K12782" t="s">
        <v>39025</v>
      </c>
      <c r="M12782" t="s">
        <v>39802</v>
      </c>
      <c r="N12782" t="s">
        <v>43166</v>
      </c>
      <c r="O12782" t="s">
        <v>43167</v>
      </c>
      <c r="P12782">
        <v>0</v>
      </c>
      <c r="Q12782">
        <v>0</v>
      </c>
      <c r="R12782" t="s">
        <v>43185</v>
      </c>
      <c r="S12782" t="s">
        <v>43930</v>
      </c>
      <c r="T12782" t="s">
        <v>44826</v>
      </c>
      <c r="U12782" t="s">
        <v>55355</v>
      </c>
      <c r="V12782" t="s">
        <v>57495</v>
      </c>
      <c r="W12782" t="s">
        <v>39802</v>
      </c>
      <c r="X12782" t="s">
        <v>43186</v>
      </c>
    </row>
    <row r="12783" spans="1:24">
      <c r="A12783">
        <f>HYPERLINK("https://www.philgeps.gov.ph/GEPSNONPILOT/Tender/SplashBidNoticeAbstractUI.aspx?menuIndex=3&amp;refID=7054773&amp;Result=3","7054773")</f>
        <v>0</v>
      </c>
      <c r="B12783" t="s">
        <v>3295</v>
      </c>
      <c r="C12783" t="s">
        <v>15642</v>
      </c>
      <c r="D12783" t="s">
        <v>17418</v>
      </c>
      <c r="E12783" t="s">
        <v>28433</v>
      </c>
      <c r="F12783" t="s">
        <v>30052</v>
      </c>
      <c r="G12783" t="s">
        <v>30058</v>
      </c>
      <c r="H12783" t="s">
        <v>15498</v>
      </c>
      <c r="I12783" t="s">
        <v>30074</v>
      </c>
      <c r="J12783" t="s">
        <v>31684</v>
      </c>
      <c r="K12783" t="s">
        <v>39025</v>
      </c>
      <c r="M12783" t="s">
        <v>42930</v>
      </c>
      <c r="N12783" t="s">
        <v>43166</v>
      </c>
      <c r="O12783" t="s">
        <v>43167</v>
      </c>
      <c r="P12783">
        <v>0</v>
      </c>
      <c r="Q12783">
        <v>3</v>
      </c>
      <c r="R12783" t="s">
        <v>43185</v>
      </c>
      <c r="S12783" t="s">
        <v>43930</v>
      </c>
      <c r="T12783" t="s">
        <v>44705</v>
      </c>
      <c r="U12783" t="s">
        <v>55356</v>
      </c>
      <c r="W12783" t="s">
        <v>42930</v>
      </c>
      <c r="X12783" t="s">
        <v>43186</v>
      </c>
    </row>
    <row r="12784" spans="1:24">
      <c r="A12784">
        <f>HYPERLINK("https://www.philgeps.gov.ph/GEPSNONPILOT/Tender/SplashBidNoticeAbstractUI.aspx?menuIndex=3&amp;refID=7054763&amp;Result=3","7054763")</f>
        <v>0</v>
      </c>
      <c r="B12784" t="s">
        <v>3296</v>
      </c>
      <c r="C12784" t="s">
        <v>15643</v>
      </c>
      <c r="D12784" t="s">
        <v>17424</v>
      </c>
      <c r="E12784" t="s">
        <v>28434</v>
      </c>
      <c r="F12784" t="s">
        <v>30052</v>
      </c>
      <c r="G12784" t="s">
        <v>30058</v>
      </c>
      <c r="H12784" t="s">
        <v>30067</v>
      </c>
      <c r="I12784" t="s">
        <v>30093</v>
      </c>
      <c r="J12784" t="s">
        <v>30281</v>
      </c>
      <c r="K12784" t="s">
        <v>39022</v>
      </c>
      <c r="M12784" t="s">
        <v>42931</v>
      </c>
      <c r="N12784" t="s">
        <v>43166</v>
      </c>
      <c r="O12784" t="s">
        <v>43167</v>
      </c>
      <c r="P12784">
        <v>0</v>
      </c>
      <c r="Q12784">
        <v>3</v>
      </c>
      <c r="R12784" t="s">
        <v>43185</v>
      </c>
      <c r="S12784" t="s">
        <v>43930</v>
      </c>
      <c r="T12784" t="s">
        <v>44870</v>
      </c>
      <c r="U12784" t="s">
        <v>55357</v>
      </c>
      <c r="V12784" t="s">
        <v>58321</v>
      </c>
      <c r="W12784" t="s">
        <v>42931</v>
      </c>
      <c r="X12784" t="s">
        <v>43186</v>
      </c>
    </row>
    <row r="12785" spans="1:24">
      <c r="A12785">
        <f>HYPERLINK("https://www.philgeps.gov.ph/GEPSNONPILOT/Tender/SplashBidNoticeAbstractUI.aspx?menuIndex=3&amp;refID=7054748&amp;Result=3","7054748")</f>
        <v>0</v>
      </c>
      <c r="B12785" t="s">
        <v>3297</v>
      </c>
      <c r="C12785" t="s">
        <v>15644</v>
      </c>
      <c r="D12785" t="s">
        <v>17453</v>
      </c>
      <c r="E12785" t="s">
        <v>28435</v>
      </c>
      <c r="F12785" t="s">
        <v>30052</v>
      </c>
      <c r="G12785" t="s">
        <v>30058</v>
      </c>
      <c r="H12785" t="s">
        <v>30067</v>
      </c>
      <c r="I12785" t="s">
        <v>3693</v>
      </c>
      <c r="J12785" t="s">
        <v>30281</v>
      </c>
      <c r="K12785" t="s">
        <v>39025</v>
      </c>
      <c r="M12785" t="s">
        <v>42932</v>
      </c>
      <c r="N12785" t="s">
        <v>43166</v>
      </c>
      <c r="O12785" t="s">
        <v>43167</v>
      </c>
      <c r="P12785">
        <v>0</v>
      </c>
      <c r="Q12785">
        <v>0</v>
      </c>
      <c r="R12785" t="s">
        <v>43185</v>
      </c>
      <c r="S12785" t="s">
        <v>43930</v>
      </c>
      <c r="T12785" t="s">
        <v>44808</v>
      </c>
      <c r="U12785" t="s">
        <v>55358</v>
      </c>
      <c r="V12785" t="s">
        <v>58322</v>
      </c>
      <c r="W12785" t="s">
        <v>58709</v>
      </c>
      <c r="X12785" t="s">
        <v>43186</v>
      </c>
    </row>
    <row r="12786" spans="1:24">
      <c r="A12786">
        <f>HYPERLINK("https://www.philgeps.gov.ph/GEPSNONPILOT/Tender/SplashBidNoticeAbstractUI.aspx?menuIndex=3&amp;refID=7054737&amp;Result=3","7054737")</f>
        <v>0</v>
      </c>
      <c r="B12786" t="s">
        <v>2040</v>
      </c>
      <c r="C12786" t="s">
        <v>15645</v>
      </c>
      <c r="D12786" t="s">
        <v>17496</v>
      </c>
      <c r="E12786" t="s">
        <v>22694</v>
      </c>
      <c r="F12786" t="s">
        <v>30052</v>
      </c>
      <c r="G12786" t="s">
        <v>30058</v>
      </c>
      <c r="H12786" t="s">
        <v>15498</v>
      </c>
      <c r="I12786" t="s">
        <v>30120</v>
      </c>
      <c r="J12786" t="s">
        <v>37972</v>
      </c>
      <c r="K12786" t="s">
        <v>39019</v>
      </c>
      <c r="M12786" t="s">
        <v>41491</v>
      </c>
      <c r="N12786" t="s">
        <v>43166</v>
      </c>
      <c r="O12786" t="s">
        <v>43167</v>
      </c>
      <c r="P12786">
        <v>0</v>
      </c>
      <c r="Q12786">
        <v>2</v>
      </c>
      <c r="R12786" t="s">
        <v>43185</v>
      </c>
      <c r="S12786" t="s">
        <v>43930</v>
      </c>
      <c r="T12786" t="s">
        <v>44685</v>
      </c>
      <c r="U12786" t="s">
        <v>50289</v>
      </c>
      <c r="W12786" t="s">
        <v>41491</v>
      </c>
      <c r="X12786" t="s">
        <v>43186</v>
      </c>
    </row>
    <row r="12787" spans="1:24">
      <c r="A12787">
        <f>HYPERLINK("https://www.philgeps.gov.ph/GEPSNONPILOT/Tender/SplashBidNoticeAbstractUI.aspx?menuIndex=3&amp;refID=7054750&amp;Result=3","7054750")</f>
        <v>0</v>
      </c>
      <c r="B12787" t="s">
        <v>602</v>
      </c>
      <c r="C12787" t="s">
        <v>15646</v>
      </c>
      <c r="D12787" t="s">
        <v>17448</v>
      </c>
      <c r="E12787" t="s">
        <v>28436</v>
      </c>
      <c r="F12787" t="s">
        <v>30052</v>
      </c>
      <c r="G12787" t="s">
        <v>30058</v>
      </c>
      <c r="H12787" t="s">
        <v>30067</v>
      </c>
      <c r="I12787" t="s">
        <v>3693</v>
      </c>
      <c r="J12787" t="s">
        <v>31160</v>
      </c>
      <c r="K12787" t="s">
        <v>39057</v>
      </c>
      <c r="L12787" t="s">
        <v>602</v>
      </c>
      <c r="M12787" t="s">
        <v>42929</v>
      </c>
      <c r="N12787" t="s">
        <v>43166</v>
      </c>
      <c r="O12787" t="s">
        <v>43167</v>
      </c>
      <c r="P12787">
        <v>0</v>
      </c>
      <c r="Q12787">
        <v>4</v>
      </c>
      <c r="R12787" t="s">
        <v>43185</v>
      </c>
      <c r="S12787" t="s">
        <v>43930</v>
      </c>
      <c r="T12787" t="s">
        <v>44943</v>
      </c>
      <c r="U12787" t="s">
        <v>55350</v>
      </c>
      <c r="W12787" t="s">
        <v>42929</v>
      </c>
      <c r="X12787" t="s">
        <v>43186</v>
      </c>
    </row>
    <row r="12788" spans="1:24">
      <c r="A12788">
        <f>HYPERLINK("https://www.philgeps.gov.ph/GEPSNONPILOT/Tender/SplashBidNoticeAbstractUI.aspx?menuIndex=3&amp;refID=7054739&amp;Result=3","7054739")</f>
        <v>0</v>
      </c>
      <c r="B12788" t="s">
        <v>268</v>
      </c>
      <c r="C12788" t="s">
        <v>15647</v>
      </c>
      <c r="D12788" t="s">
        <v>17459</v>
      </c>
      <c r="E12788" t="s">
        <v>28437</v>
      </c>
      <c r="F12788" t="s">
        <v>30052</v>
      </c>
      <c r="G12788" t="s">
        <v>30058</v>
      </c>
      <c r="H12788" t="s">
        <v>30067</v>
      </c>
      <c r="I12788" t="s">
        <v>3693</v>
      </c>
      <c r="J12788" t="s">
        <v>30321</v>
      </c>
      <c r="K12788" t="s">
        <v>39023</v>
      </c>
      <c r="M12788" t="s">
        <v>39561</v>
      </c>
      <c r="N12788" t="s">
        <v>43166</v>
      </c>
      <c r="O12788" t="s">
        <v>43167</v>
      </c>
      <c r="P12788">
        <v>0</v>
      </c>
      <c r="Q12788">
        <v>2</v>
      </c>
      <c r="R12788" t="s">
        <v>43185</v>
      </c>
      <c r="S12788" t="s">
        <v>43930</v>
      </c>
      <c r="T12788" t="s">
        <v>44841</v>
      </c>
      <c r="U12788" t="s">
        <v>55359</v>
      </c>
      <c r="V12788" t="s">
        <v>56837</v>
      </c>
      <c r="W12788" t="s">
        <v>39561</v>
      </c>
      <c r="X12788" t="s">
        <v>43186</v>
      </c>
    </row>
    <row r="12789" spans="1:24">
      <c r="A12789">
        <f>HYPERLINK("https://www.philgeps.gov.ph/GEPSNONPILOT/Tender/SplashBidNoticeAbstractUI.aspx?menuIndex=3&amp;refID=7054983&amp;Result=3","7054983")</f>
        <v>0</v>
      </c>
      <c r="B12789" t="s">
        <v>798</v>
      </c>
      <c r="C12789" t="s">
        <v>15648</v>
      </c>
      <c r="D12789" t="s">
        <v>17435</v>
      </c>
      <c r="E12789" t="s">
        <v>28438</v>
      </c>
      <c r="F12789" t="s">
        <v>30055</v>
      </c>
      <c r="G12789" t="s">
        <v>30058</v>
      </c>
      <c r="H12789" t="s">
        <v>30069</v>
      </c>
      <c r="I12789" t="s">
        <v>30072</v>
      </c>
      <c r="J12789" t="s">
        <v>37973</v>
      </c>
      <c r="K12789" t="s">
        <v>39164</v>
      </c>
      <c r="M12789" t="s">
        <v>40115</v>
      </c>
      <c r="N12789" t="s">
        <v>43166</v>
      </c>
      <c r="O12789" t="s">
        <v>43167</v>
      </c>
      <c r="Q12789">
        <v>1</v>
      </c>
      <c r="R12789" t="s">
        <v>43185</v>
      </c>
      <c r="S12789" t="s">
        <v>44007</v>
      </c>
      <c r="T12789" t="s">
        <v>44843</v>
      </c>
      <c r="U12789" t="s">
        <v>55360</v>
      </c>
      <c r="V12789" t="s">
        <v>58323</v>
      </c>
      <c r="W12789" t="s">
        <v>40115</v>
      </c>
      <c r="X12789" t="s">
        <v>43186</v>
      </c>
    </row>
    <row r="12790" spans="1:24">
      <c r="A12790">
        <f>HYPERLINK("https://www.philgeps.gov.ph/GEPSNONPILOT/Tender/SplashBidNoticeAbstractUI.aspx?menuIndex=3&amp;refID=7054732&amp;Result=3","7054732")</f>
        <v>0</v>
      </c>
      <c r="B12790" t="s">
        <v>2553</v>
      </c>
      <c r="C12790" t="s">
        <v>15649</v>
      </c>
      <c r="D12790" t="s">
        <v>17432</v>
      </c>
      <c r="E12790" t="s">
        <v>28200</v>
      </c>
      <c r="F12790" t="s">
        <v>30052</v>
      </c>
      <c r="G12790" t="s">
        <v>30058</v>
      </c>
      <c r="H12790" t="s">
        <v>15498</v>
      </c>
      <c r="I12790" t="s">
        <v>30083</v>
      </c>
      <c r="J12790" t="s">
        <v>37974</v>
      </c>
      <c r="K12790" t="s">
        <v>39034</v>
      </c>
      <c r="M12790" t="s">
        <v>42060</v>
      </c>
      <c r="N12790" t="s">
        <v>43166</v>
      </c>
      <c r="O12790" t="s">
        <v>43167</v>
      </c>
      <c r="P12790">
        <v>0</v>
      </c>
      <c r="Q12790">
        <v>0</v>
      </c>
      <c r="R12790" t="s">
        <v>43185</v>
      </c>
      <c r="S12790" t="s">
        <v>43930</v>
      </c>
      <c r="T12790" t="s">
        <v>44696</v>
      </c>
      <c r="U12790" t="s">
        <v>55361</v>
      </c>
      <c r="W12790" t="s">
        <v>42060</v>
      </c>
      <c r="X12790" t="s">
        <v>43186</v>
      </c>
    </row>
    <row r="12791" spans="1:24">
      <c r="A12791">
        <f>HYPERLINK("https://www.philgeps.gov.ph/GEPSNONPILOT/Tender/SplashBidNoticeAbstractUI.aspx?menuIndex=3&amp;refID=7054815&amp;Result=3","7054815")</f>
        <v>0</v>
      </c>
      <c r="B12791" t="s">
        <v>602</v>
      </c>
      <c r="C12791" t="s">
        <v>15650</v>
      </c>
      <c r="D12791" t="s">
        <v>17448</v>
      </c>
      <c r="E12791" t="s">
        <v>28439</v>
      </c>
      <c r="F12791" t="s">
        <v>30052</v>
      </c>
      <c r="G12791" t="s">
        <v>30058</v>
      </c>
      <c r="H12791" t="s">
        <v>30067</v>
      </c>
      <c r="I12791" t="s">
        <v>3693</v>
      </c>
      <c r="J12791" t="s">
        <v>34923</v>
      </c>
      <c r="K12791" t="s">
        <v>39092</v>
      </c>
      <c r="L12791" t="s">
        <v>602</v>
      </c>
      <c r="M12791" t="s">
        <v>42929</v>
      </c>
      <c r="N12791" t="s">
        <v>43166</v>
      </c>
      <c r="O12791" t="s">
        <v>43167</v>
      </c>
      <c r="P12791">
        <v>0</v>
      </c>
      <c r="Q12791">
        <v>7</v>
      </c>
      <c r="R12791" t="s">
        <v>43185</v>
      </c>
      <c r="S12791" t="s">
        <v>43930</v>
      </c>
      <c r="T12791" t="s">
        <v>44943</v>
      </c>
      <c r="U12791" t="s">
        <v>55350</v>
      </c>
      <c r="W12791" t="s">
        <v>42929</v>
      </c>
      <c r="X12791" t="s">
        <v>43186</v>
      </c>
    </row>
    <row r="12792" spans="1:24">
      <c r="A12792">
        <f>HYPERLINK("https://www.philgeps.gov.ph/GEPSNONPILOT/Tender/SplashBidNoticeAbstractUI.aspx?menuIndex=3&amp;refID=7054973&amp;Result=3","7054973")</f>
        <v>0</v>
      </c>
      <c r="B12792" t="s">
        <v>2320</v>
      </c>
      <c r="C12792" t="s">
        <v>15651</v>
      </c>
      <c r="D12792" t="s">
        <v>17462</v>
      </c>
      <c r="E12792" t="s">
        <v>28440</v>
      </c>
      <c r="F12792" t="s">
        <v>30052</v>
      </c>
      <c r="G12792" t="s">
        <v>30058</v>
      </c>
      <c r="H12792" t="s">
        <v>30067</v>
      </c>
      <c r="I12792" t="s">
        <v>3693</v>
      </c>
      <c r="J12792" t="s">
        <v>30212</v>
      </c>
      <c r="K12792" t="s">
        <v>39031</v>
      </c>
      <c r="M12792" t="s">
        <v>42321</v>
      </c>
      <c r="N12792" t="s">
        <v>43166</v>
      </c>
      <c r="O12792" t="s">
        <v>43167</v>
      </c>
      <c r="P12792">
        <v>0</v>
      </c>
      <c r="Q12792">
        <v>23</v>
      </c>
      <c r="R12792" t="s">
        <v>43185</v>
      </c>
      <c r="S12792" t="s">
        <v>43930</v>
      </c>
      <c r="T12792" t="s">
        <v>44689</v>
      </c>
      <c r="U12792" t="s">
        <v>51193</v>
      </c>
      <c r="V12792" t="s">
        <v>58173</v>
      </c>
      <c r="W12792" t="s">
        <v>58688</v>
      </c>
      <c r="X12792" t="s">
        <v>43186</v>
      </c>
    </row>
    <row r="12793" spans="1:24">
      <c r="A12793">
        <f>HYPERLINK("https://www.philgeps.gov.ph/GEPSNONPILOT/Tender/SplashBidNoticeAbstractUI.aspx?menuIndex=3&amp;refID=7054290&amp;Result=3","7054290")</f>
        <v>0</v>
      </c>
      <c r="B12793" t="s">
        <v>1472</v>
      </c>
      <c r="C12793" t="s">
        <v>15652</v>
      </c>
      <c r="D12793" t="s">
        <v>17489</v>
      </c>
      <c r="E12793" t="s">
        <v>28441</v>
      </c>
      <c r="F12793" t="s">
        <v>30052</v>
      </c>
      <c r="G12793" t="s">
        <v>30058</v>
      </c>
      <c r="H12793" t="s">
        <v>15498</v>
      </c>
      <c r="I12793" t="s">
        <v>4119</v>
      </c>
      <c r="J12793" t="s">
        <v>37975</v>
      </c>
      <c r="K12793" t="s">
        <v>39037</v>
      </c>
      <c r="M12793" t="s">
        <v>40854</v>
      </c>
      <c r="N12793" t="s">
        <v>43166</v>
      </c>
      <c r="O12793" t="s">
        <v>43167</v>
      </c>
      <c r="P12793">
        <v>0</v>
      </c>
      <c r="Q12793">
        <v>2</v>
      </c>
      <c r="R12793" t="s">
        <v>43185</v>
      </c>
      <c r="S12793" t="s">
        <v>43930</v>
      </c>
      <c r="T12793" t="s">
        <v>44773</v>
      </c>
      <c r="U12793" t="s">
        <v>55362</v>
      </c>
      <c r="W12793" t="s">
        <v>40854</v>
      </c>
      <c r="X12793" t="s">
        <v>43186</v>
      </c>
    </row>
    <row r="12794" spans="1:24">
      <c r="A12794">
        <f>HYPERLINK("https://www.philgeps.gov.ph/GEPSNONPILOT/Tender/SplashBidNoticeAbstractUI.aspx?menuIndex=3&amp;refID=7054911&amp;Result=3","7054911")</f>
        <v>0</v>
      </c>
      <c r="B12794" t="s">
        <v>1996</v>
      </c>
      <c r="C12794" t="s">
        <v>15653</v>
      </c>
      <c r="D12794" t="s">
        <v>17449</v>
      </c>
      <c r="E12794" t="s">
        <v>28442</v>
      </c>
      <c r="F12794" t="s">
        <v>30052</v>
      </c>
      <c r="G12794" t="s">
        <v>30058</v>
      </c>
      <c r="H12794" t="s">
        <v>30067</v>
      </c>
      <c r="I12794" t="s">
        <v>3693</v>
      </c>
      <c r="J12794" t="s">
        <v>37976</v>
      </c>
      <c r="K12794" t="s">
        <v>39284</v>
      </c>
      <c r="M12794" t="s">
        <v>41439</v>
      </c>
      <c r="N12794" t="s">
        <v>43166</v>
      </c>
      <c r="O12794" t="s">
        <v>43167</v>
      </c>
      <c r="P12794">
        <v>0</v>
      </c>
      <c r="Q12794">
        <v>12</v>
      </c>
      <c r="R12794" t="s">
        <v>43185</v>
      </c>
      <c r="S12794" t="s">
        <v>43930</v>
      </c>
      <c r="T12794" t="s">
        <v>44698</v>
      </c>
      <c r="U12794" t="s">
        <v>55363</v>
      </c>
      <c r="V12794" t="s">
        <v>58324</v>
      </c>
      <c r="W12794" t="s">
        <v>41439</v>
      </c>
      <c r="X12794" t="s">
        <v>43186</v>
      </c>
    </row>
    <row r="12795" spans="1:24">
      <c r="A12795">
        <f>HYPERLINK("https://www.philgeps.gov.ph/GEPSNONPILOT/Tender/SplashBidNoticeAbstractUI.aspx?menuIndex=3&amp;refID=7054960&amp;Result=3","7054960")</f>
        <v>0</v>
      </c>
      <c r="B12795" t="s">
        <v>977</v>
      </c>
      <c r="C12795" t="s">
        <v>15654</v>
      </c>
      <c r="D12795" t="s">
        <v>17484</v>
      </c>
      <c r="E12795" t="s">
        <v>28443</v>
      </c>
      <c r="F12795" t="s">
        <v>30052</v>
      </c>
      <c r="G12795" t="s">
        <v>30058</v>
      </c>
      <c r="H12795" t="s">
        <v>15498</v>
      </c>
      <c r="I12795" t="s">
        <v>30076</v>
      </c>
      <c r="J12795" t="s">
        <v>37977</v>
      </c>
      <c r="K12795" t="s">
        <v>39029</v>
      </c>
      <c r="M12795" t="s">
        <v>40304</v>
      </c>
      <c r="N12795" t="s">
        <v>43166</v>
      </c>
      <c r="O12795" t="s">
        <v>43167</v>
      </c>
      <c r="P12795">
        <v>0</v>
      </c>
      <c r="Q12795">
        <v>1</v>
      </c>
      <c r="R12795" t="s">
        <v>43185</v>
      </c>
      <c r="S12795" t="s">
        <v>43930</v>
      </c>
      <c r="T12795" t="s">
        <v>44737</v>
      </c>
      <c r="U12795" t="s">
        <v>55364</v>
      </c>
      <c r="W12795" t="s">
        <v>40304</v>
      </c>
      <c r="X12795" t="s">
        <v>43186</v>
      </c>
    </row>
    <row r="12796" spans="1:24">
      <c r="A12796">
        <f>HYPERLINK("https://www.philgeps.gov.ph/GEPSNONPILOT/Tender/SplashBidNoticeAbstractUI.aspx?menuIndex=3&amp;refID=7054910&amp;Result=3","7054910")</f>
        <v>0</v>
      </c>
      <c r="B12796" t="s">
        <v>3133</v>
      </c>
      <c r="C12796" t="s">
        <v>15655</v>
      </c>
      <c r="D12796" t="s">
        <v>17444</v>
      </c>
      <c r="E12796" t="s">
        <v>28444</v>
      </c>
      <c r="F12796" t="s">
        <v>30052</v>
      </c>
      <c r="G12796" t="s">
        <v>30058</v>
      </c>
      <c r="H12796" t="s">
        <v>15498</v>
      </c>
      <c r="I12796" t="s">
        <v>30076</v>
      </c>
      <c r="J12796" t="s">
        <v>30343</v>
      </c>
      <c r="K12796" t="s">
        <v>39029</v>
      </c>
      <c r="L12796" t="s">
        <v>3133</v>
      </c>
      <c r="M12796" t="s">
        <v>42735</v>
      </c>
      <c r="N12796" t="s">
        <v>43166</v>
      </c>
      <c r="O12796" t="s">
        <v>43167</v>
      </c>
      <c r="P12796">
        <v>0</v>
      </c>
      <c r="Q12796">
        <v>2</v>
      </c>
      <c r="R12796" t="s">
        <v>43185</v>
      </c>
      <c r="S12796" t="s">
        <v>43930</v>
      </c>
      <c r="T12796" t="s">
        <v>44734</v>
      </c>
      <c r="U12796" t="s">
        <v>55365</v>
      </c>
      <c r="W12796" t="s">
        <v>42735</v>
      </c>
      <c r="X12796" t="s">
        <v>43186</v>
      </c>
    </row>
    <row r="12797" spans="1:24">
      <c r="A12797">
        <f>HYPERLINK("https://www.philgeps.gov.ph/GEPSNONPILOT/Tender/SplashBidNoticeAbstractUI.aspx?menuIndex=3&amp;refID=7054925&amp;Result=3","7054925")</f>
        <v>0</v>
      </c>
      <c r="B12797" t="s">
        <v>2320</v>
      </c>
      <c r="C12797" t="s">
        <v>15656</v>
      </c>
      <c r="D12797" t="s">
        <v>17462</v>
      </c>
      <c r="E12797" t="s">
        <v>28445</v>
      </c>
      <c r="F12797" t="s">
        <v>30052</v>
      </c>
      <c r="G12797" t="s">
        <v>30058</v>
      </c>
      <c r="H12797" t="s">
        <v>15498</v>
      </c>
      <c r="I12797" t="s">
        <v>30105</v>
      </c>
      <c r="J12797" t="s">
        <v>30711</v>
      </c>
      <c r="K12797" t="s">
        <v>39029</v>
      </c>
      <c r="M12797" t="s">
        <v>41819</v>
      </c>
      <c r="N12797" t="s">
        <v>43166</v>
      </c>
      <c r="O12797" t="s">
        <v>43167</v>
      </c>
      <c r="Q12797">
        <v>11</v>
      </c>
      <c r="R12797" t="s">
        <v>43185</v>
      </c>
      <c r="S12797" t="s">
        <v>44008</v>
      </c>
      <c r="T12797" t="s">
        <v>44689</v>
      </c>
      <c r="U12797" t="s">
        <v>51193</v>
      </c>
      <c r="V12797" t="s">
        <v>58173</v>
      </c>
      <c r="W12797" t="s">
        <v>58688</v>
      </c>
      <c r="X12797" t="s">
        <v>43186</v>
      </c>
    </row>
    <row r="12798" spans="1:24">
      <c r="A12798">
        <f>HYPERLINK("https://www.philgeps.gov.ph/GEPSNONPILOT/Tender/SplashBidNoticeAbstractUI.aspx?menuIndex=3&amp;refID=7054893&amp;Result=3","7054893")</f>
        <v>0</v>
      </c>
      <c r="B12798" t="s">
        <v>2320</v>
      </c>
      <c r="C12798" t="s">
        <v>15657</v>
      </c>
      <c r="D12798" t="s">
        <v>17462</v>
      </c>
      <c r="E12798" t="s">
        <v>28446</v>
      </c>
      <c r="F12798" t="s">
        <v>30052</v>
      </c>
      <c r="G12798" t="s">
        <v>30058</v>
      </c>
      <c r="H12798" t="s">
        <v>30067</v>
      </c>
      <c r="I12798" t="s">
        <v>3693</v>
      </c>
      <c r="J12798" t="s">
        <v>30247</v>
      </c>
      <c r="K12798" t="s">
        <v>39031</v>
      </c>
      <c r="M12798" t="s">
        <v>42321</v>
      </c>
      <c r="N12798" t="s">
        <v>43166</v>
      </c>
      <c r="O12798" t="s">
        <v>43167</v>
      </c>
      <c r="P12798">
        <v>0</v>
      </c>
      <c r="Q12798">
        <v>24</v>
      </c>
      <c r="R12798" t="s">
        <v>43185</v>
      </c>
      <c r="S12798" t="s">
        <v>43930</v>
      </c>
      <c r="T12798" t="s">
        <v>44689</v>
      </c>
      <c r="U12798" t="s">
        <v>51193</v>
      </c>
      <c r="V12798" t="s">
        <v>58173</v>
      </c>
      <c r="W12798" t="s">
        <v>58669</v>
      </c>
      <c r="X12798" t="s">
        <v>43186</v>
      </c>
    </row>
    <row r="12799" spans="1:24">
      <c r="A12799">
        <f>HYPERLINK("https://www.philgeps.gov.ph/GEPSNONPILOT/Tender/SplashBidNoticeAbstractUI.aspx?menuIndex=3&amp;refID=7054908&amp;Result=3","7054908")</f>
        <v>0</v>
      </c>
      <c r="B12799" t="s">
        <v>977</v>
      </c>
      <c r="C12799" t="s">
        <v>15658</v>
      </c>
      <c r="D12799" t="s">
        <v>17484</v>
      </c>
      <c r="E12799" t="s">
        <v>28447</v>
      </c>
      <c r="F12799" t="s">
        <v>30052</v>
      </c>
      <c r="G12799" t="s">
        <v>30058</v>
      </c>
      <c r="H12799" t="s">
        <v>15498</v>
      </c>
      <c r="I12799" t="s">
        <v>3606</v>
      </c>
      <c r="J12799" t="s">
        <v>33419</v>
      </c>
      <c r="K12799" t="s">
        <v>39029</v>
      </c>
      <c r="M12799" t="s">
        <v>40304</v>
      </c>
      <c r="N12799" t="s">
        <v>43166</v>
      </c>
      <c r="O12799" t="s">
        <v>43167</v>
      </c>
      <c r="P12799">
        <v>0</v>
      </c>
      <c r="Q12799">
        <v>0</v>
      </c>
      <c r="R12799" t="s">
        <v>43185</v>
      </c>
      <c r="S12799" t="s">
        <v>43930</v>
      </c>
      <c r="T12799" t="s">
        <v>44737</v>
      </c>
      <c r="U12799" t="s">
        <v>55366</v>
      </c>
      <c r="W12799" t="s">
        <v>40304</v>
      </c>
      <c r="X12799" t="s">
        <v>43186</v>
      </c>
    </row>
    <row r="12800" spans="1:24">
      <c r="A12800">
        <f>HYPERLINK("https://www.philgeps.gov.ph/GEPSNONPILOT/Tender/SplashBidNoticeAbstractUI.aspx?menuIndex=3&amp;refID=7054280&amp;Result=3","7054280")</f>
        <v>0</v>
      </c>
      <c r="B12800" t="s">
        <v>3133</v>
      </c>
      <c r="C12800" t="s">
        <v>15659</v>
      </c>
      <c r="D12800" t="s">
        <v>17444</v>
      </c>
      <c r="E12800" t="s">
        <v>28448</v>
      </c>
      <c r="F12800" t="s">
        <v>30052</v>
      </c>
      <c r="G12800" t="s">
        <v>30058</v>
      </c>
      <c r="H12800" t="s">
        <v>30067</v>
      </c>
      <c r="I12800" t="s">
        <v>3693</v>
      </c>
      <c r="J12800" t="s">
        <v>37978</v>
      </c>
      <c r="K12800" t="s">
        <v>39023</v>
      </c>
      <c r="L12800" t="s">
        <v>3133</v>
      </c>
      <c r="M12800" t="s">
        <v>42735</v>
      </c>
      <c r="N12800" t="s">
        <v>43166</v>
      </c>
      <c r="O12800" t="s">
        <v>43167</v>
      </c>
      <c r="P12800">
        <v>0</v>
      </c>
      <c r="Q12800">
        <v>0</v>
      </c>
      <c r="R12800" t="s">
        <v>43185</v>
      </c>
      <c r="S12800" t="s">
        <v>43930</v>
      </c>
      <c r="T12800" t="s">
        <v>44777</v>
      </c>
      <c r="U12800" t="s">
        <v>55367</v>
      </c>
      <c r="W12800" t="s">
        <v>42735</v>
      </c>
      <c r="X12800" t="s">
        <v>43186</v>
      </c>
    </row>
    <row r="12801" spans="1:24">
      <c r="A12801">
        <f>HYPERLINK("https://www.philgeps.gov.ph/GEPSNONPILOT/Tender/SplashBidNoticeAbstractUI.aspx?menuIndex=3&amp;refID=7054878&amp;Result=3","7054878")</f>
        <v>0</v>
      </c>
      <c r="B12801" t="s">
        <v>2592</v>
      </c>
      <c r="C12801" t="s">
        <v>15660</v>
      </c>
      <c r="D12801" t="s">
        <v>17445</v>
      </c>
      <c r="E12801" t="s">
        <v>25655</v>
      </c>
      <c r="F12801" t="s">
        <v>30055</v>
      </c>
      <c r="G12801" t="s">
        <v>30058</v>
      </c>
      <c r="H12801" t="s">
        <v>15498</v>
      </c>
      <c r="I12801" t="s">
        <v>3852</v>
      </c>
      <c r="J12801" t="s">
        <v>37979</v>
      </c>
      <c r="K12801" t="s">
        <v>39025</v>
      </c>
      <c r="M12801" t="s">
        <v>42103</v>
      </c>
      <c r="N12801" t="s">
        <v>43166</v>
      </c>
      <c r="O12801" t="s">
        <v>43167</v>
      </c>
      <c r="P12801">
        <v>0</v>
      </c>
      <c r="Q12801">
        <v>0</v>
      </c>
      <c r="R12801" t="s">
        <v>43185</v>
      </c>
      <c r="S12801" t="s">
        <v>43930</v>
      </c>
      <c r="T12801" t="s">
        <v>44734</v>
      </c>
      <c r="U12801" t="s">
        <v>55368</v>
      </c>
      <c r="W12801" t="s">
        <v>42103</v>
      </c>
      <c r="X12801" t="s">
        <v>43186</v>
      </c>
    </row>
    <row r="12802" spans="1:24">
      <c r="A12802">
        <f>HYPERLINK("https://www.philgeps.gov.ph/GEPSNONPILOT/Tender/SplashBidNoticeAbstractUI.aspx?menuIndex=3&amp;refID=7054877&amp;Result=3","7054877")</f>
        <v>0</v>
      </c>
      <c r="B12802" t="s">
        <v>602</v>
      </c>
      <c r="C12802" t="s">
        <v>15661</v>
      </c>
      <c r="D12802" t="s">
        <v>17448</v>
      </c>
      <c r="E12802" t="s">
        <v>28449</v>
      </c>
      <c r="F12802" t="s">
        <v>30052</v>
      </c>
      <c r="G12802" t="s">
        <v>30058</v>
      </c>
      <c r="H12802" t="s">
        <v>30067</v>
      </c>
      <c r="I12802" t="s">
        <v>3693</v>
      </c>
      <c r="J12802" t="s">
        <v>30645</v>
      </c>
      <c r="K12802" t="s">
        <v>39156</v>
      </c>
      <c r="L12802" t="s">
        <v>602</v>
      </c>
      <c r="M12802" t="s">
        <v>42929</v>
      </c>
      <c r="N12802" t="s">
        <v>43166</v>
      </c>
      <c r="O12802" t="s">
        <v>43167</v>
      </c>
      <c r="P12802">
        <v>0</v>
      </c>
      <c r="Q12802">
        <v>1</v>
      </c>
      <c r="R12802" t="s">
        <v>43185</v>
      </c>
      <c r="S12802" t="s">
        <v>43930</v>
      </c>
      <c r="T12802" t="s">
        <v>44943</v>
      </c>
      <c r="U12802" t="s">
        <v>55350</v>
      </c>
      <c r="W12802" t="s">
        <v>42929</v>
      </c>
      <c r="X12802" t="s">
        <v>43186</v>
      </c>
    </row>
    <row r="12803" spans="1:24">
      <c r="A12803">
        <f>HYPERLINK("https://www.philgeps.gov.ph/GEPSNONPILOT/Tender/SplashBidNoticeAbstractUI.aspx?menuIndex=3&amp;refID=7054865&amp;Result=3","7054865")</f>
        <v>0</v>
      </c>
      <c r="B12803" t="s">
        <v>977</v>
      </c>
      <c r="C12803" t="s">
        <v>15662</v>
      </c>
      <c r="D12803" t="s">
        <v>17484</v>
      </c>
      <c r="E12803" t="s">
        <v>28450</v>
      </c>
      <c r="F12803" t="s">
        <v>30052</v>
      </c>
      <c r="G12803" t="s">
        <v>30058</v>
      </c>
      <c r="H12803" t="s">
        <v>15498</v>
      </c>
      <c r="I12803" t="s">
        <v>3852</v>
      </c>
      <c r="J12803" t="s">
        <v>37980</v>
      </c>
      <c r="K12803" t="s">
        <v>39029</v>
      </c>
      <c r="M12803" t="s">
        <v>40304</v>
      </c>
      <c r="N12803" t="s">
        <v>43166</v>
      </c>
      <c r="O12803" t="s">
        <v>43167</v>
      </c>
      <c r="P12803">
        <v>0</v>
      </c>
      <c r="Q12803">
        <v>0</v>
      </c>
      <c r="R12803" t="s">
        <v>43185</v>
      </c>
      <c r="S12803" t="s">
        <v>43930</v>
      </c>
      <c r="T12803" t="s">
        <v>44737</v>
      </c>
      <c r="U12803" t="s">
        <v>55369</v>
      </c>
      <c r="W12803" t="s">
        <v>40304</v>
      </c>
      <c r="X12803" t="s">
        <v>43186</v>
      </c>
    </row>
    <row r="12804" spans="1:24">
      <c r="A12804">
        <f>HYPERLINK("https://www.philgeps.gov.ph/GEPSNONPILOT/Tender/SplashBidNoticeAbstractUI.aspx?menuIndex=3&amp;refID=7054853&amp;Result=3","7054853")</f>
        <v>0</v>
      </c>
      <c r="B12804" t="s">
        <v>602</v>
      </c>
      <c r="C12804" t="s">
        <v>15663</v>
      </c>
      <c r="D12804" t="s">
        <v>17448</v>
      </c>
      <c r="E12804" t="s">
        <v>28451</v>
      </c>
      <c r="F12804" t="s">
        <v>30052</v>
      </c>
      <c r="G12804" t="s">
        <v>30058</v>
      </c>
      <c r="H12804" t="s">
        <v>30067</v>
      </c>
      <c r="I12804" t="s">
        <v>3693</v>
      </c>
      <c r="J12804" t="s">
        <v>35970</v>
      </c>
      <c r="K12804" t="s">
        <v>39026</v>
      </c>
      <c r="L12804" t="s">
        <v>602</v>
      </c>
      <c r="M12804" t="s">
        <v>42929</v>
      </c>
      <c r="N12804" t="s">
        <v>43166</v>
      </c>
      <c r="O12804" t="s">
        <v>43167</v>
      </c>
      <c r="P12804">
        <v>0</v>
      </c>
      <c r="Q12804">
        <v>2</v>
      </c>
      <c r="R12804" t="s">
        <v>43185</v>
      </c>
      <c r="S12804" t="s">
        <v>43930</v>
      </c>
      <c r="T12804" t="s">
        <v>44943</v>
      </c>
      <c r="U12804" t="s">
        <v>55350</v>
      </c>
      <c r="W12804" t="s">
        <v>42929</v>
      </c>
      <c r="X12804" t="s">
        <v>43186</v>
      </c>
    </row>
    <row r="12805" spans="1:24">
      <c r="A12805">
        <f>HYPERLINK("https://www.philgeps.gov.ph/GEPSNONPILOT/Tender/SplashBidNoticeAbstractUI.aspx?menuIndex=3&amp;refID=7054851&amp;Result=3","7054851")</f>
        <v>0</v>
      </c>
      <c r="B12805" t="s">
        <v>2774</v>
      </c>
      <c r="C12805" t="s">
        <v>15664</v>
      </c>
      <c r="D12805" t="s">
        <v>17457</v>
      </c>
      <c r="E12805" t="s">
        <v>28452</v>
      </c>
      <c r="F12805" t="s">
        <v>30052</v>
      </c>
      <c r="G12805" t="s">
        <v>30058</v>
      </c>
      <c r="H12805" t="s">
        <v>15498</v>
      </c>
      <c r="I12805" t="s">
        <v>30074</v>
      </c>
      <c r="J12805" t="s">
        <v>37981</v>
      </c>
      <c r="K12805" t="s">
        <v>39023</v>
      </c>
      <c r="L12805" t="s">
        <v>2774</v>
      </c>
      <c r="M12805" t="s">
        <v>42310</v>
      </c>
      <c r="N12805" t="s">
        <v>43166</v>
      </c>
      <c r="O12805" t="s">
        <v>43167</v>
      </c>
      <c r="Q12805">
        <v>8</v>
      </c>
      <c r="R12805" t="s">
        <v>43185</v>
      </c>
      <c r="S12805" t="s">
        <v>44009</v>
      </c>
      <c r="T12805" t="s">
        <v>44687</v>
      </c>
      <c r="U12805" t="s">
        <v>55370</v>
      </c>
      <c r="W12805" t="s">
        <v>42310</v>
      </c>
      <c r="X12805" t="s">
        <v>43186</v>
      </c>
    </row>
    <row r="12806" spans="1:24">
      <c r="A12806">
        <f>HYPERLINK("https://www.philgeps.gov.ph/GEPSNONPILOT/Tender/SplashBidNoticeAbstractUI.aspx?menuIndex=3&amp;refID=7054887&amp;Result=3","7054887")</f>
        <v>0</v>
      </c>
      <c r="B12806" t="s">
        <v>602</v>
      </c>
      <c r="C12806" t="s">
        <v>15665</v>
      </c>
      <c r="D12806" t="s">
        <v>17448</v>
      </c>
      <c r="E12806" t="s">
        <v>28453</v>
      </c>
      <c r="F12806" t="s">
        <v>30052</v>
      </c>
      <c r="G12806" t="s">
        <v>30058</v>
      </c>
      <c r="H12806" t="s">
        <v>30067</v>
      </c>
      <c r="I12806" t="s">
        <v>3693</v>
      </c>
      <c r="J12806" t="s">
        <v>30873</v>
      </c>
      <c r="K12806" t="s">
        <v>39031</v>
      </c>
      <c r="L12806" t="s">
        <v>602</v>
      </c>
      <c r="M12806" t="s">
        <v>42929</v>
      </c>
      <c r="N12806" t="s">
        <v>43166</v>
      </c>
      <c r="O12806" t="s">
        <v>43167</v>
      </c>
      <c r="P12806">
        <v>0</v>
      </c>
      <c r="Q12806">
        <v>2</v>
      </c>
      <c r="R12806" t="s">
        <v>43185</v>
      </c>
      <c r="S12806" t="s">
        <v>43930</v>
      </c>
      <c r="T12806" t="s">
        <v>44943</v>
      </c>
      <c r="U12806" t="s">
        <v>55350</v>
      </c>
      <c r="W12806" t="s">
        <v>42929</v>
      </c>
      <c r="X12806" t="s">
        <v>43186</v>
      </c>
    </row>
    <row r="12807" spans="1:24">
      <c r="A12807">
        <f>HYPERLINK("https://www.philgeps.gov.ph/GEPSNONPILOT/Tender/SplashBidNoticeAbstractUI.aspx?menuIndex=3&amp;refID=7054848&amp;Result=3","7054848")</f>
        <v>0</v>
      </c>
      <c r="B12807" t="s">
        <v>602</v>
      </c>
      <c r="C12807" t="s">
        <v>15666</v>
      </c>
      <c r="D12807" t="s">
        <v>17448</v>
      </c>
      <c r="E12807" t="s">
        <v>28454</v>
      </c>
      <c r="F12807" t="s">
        <v>30052</v>
      </c>
      <c r="G12807" t="s">
        <v>30058</v>
      </c>
      <c r="H12807" t="s">
        <v>30067</v>
      </c>
      <c r="I12807" t="s">
        <v>3693</v>
      </c>
      <c r="J12807" t="s">
        <v>35970</v>
      </c>
      <c r="K12807" t="s">
        <v>39086</v>
      </c>
      <c r="L12807" t="s">
        <v>602</v>
      </c>
      <c r="M12807" t="s">
        <v>42929</v>
      </c>
      <c r="N12807" t="s">
        <v>43166</v>
      </c>
      <c r="O12807" t="s">
        <v>43167</v>
      </c>
      <c r="P12807">
        <v>0</v>
      </c>
      <c r="Q12807">
        <v>5</v>
      </c>
      <c r="R12807" t="s">
        <v>43185</v>
      </c>
      <c r="S12807" t="s">
        <v>43930</v>
      </c>
      <c r="T12807" t="s">
        <v>44943</v>
      </c>
      <c r="U12807" t="s">
        <v>55350</v>
      </c>
      <c r="W12807" t="s">
        <v>42929</v>
      </c>
      <c r="X12807" t="s">
        <v>43186</v>
      </c>
    </row>
    <row r="12808" spans="1:24">
      <c r="A12808">
        <f>HYPERLINK("https://www.philgeps.gov.ph/GEPSNONPILOT/Tender/SplashBidNoticeAbstractUI.aspx?menuIndex=3&amp;refID=7054870&amp;Result=3","7054870")</f>
        <v>0</v>
      </c>
      <c r="B12808" t="s">
        <v>3133</v>
      </c>
      <c r="C12808" t="s">
        <v>15667</v>
      </c>
      <c r="D12808" t="s">
        <v>17444</v>
      </c>
      <c r="E12808" t="s">
        <v>28455</v>
      </c>
      <c r="F12808" t="s">
        <v>30052</v>
      </c>
      <c r="G12808" t="s">
        <v>30058</v>
      </c>
      <c r="H12808" t="s">
        <v>15498</v>
      </c>
      <c r="I12808" t="s">
        <v>30098</v>
      </c>
      <c r="J12808" t="s">
        <v>37982</v>
      </c>
      <c r="K12808" t="s">
        <v>39029</v>
      </c>
      <c r="L12808" t="s">
        <v>3133</v>
      </c>
      <c r="M12808" t="s">
        <v>42735</v>
      </c>
      <c r="N12808" t="s">
        <v>43166</v>
      </c>
      <c r="O12808" t="s">
        <v>43167</v>
      </c>
      <c r="P12808">
        <v>0</v>
      </c>
      <c r="Q12808">
        <v>1</v>
      </c>
      <c r="R12808" t="s">
        <v>43185</v>
      </c>
      <c r="S12808" t="s">
        <v>43930</v>
      </c>
      <c r="T12808" t="s">
        <v>44788</v>
      </c>
      <c r="U12808" t="s">
        <v>55371</v>
      </c>
      <c r="W12808" t="s">
        <v>42735</v>
      </c>
      <c r="X12808" t="s">
        <v>43186</v>
      </c>
    </row>
    <row r="12809" spans="1:24">
      <c r="A12809">
        <f>HYPERLINK("https://www.philgeps.gov.ph/GEPSNONPILOT/Tender/SplashBidNoticeAbstractUI.aspx?menuIndex=3&amp;refID=7054888&amp;Result=3","7054888")</f>
        <v>0</v>
      </c>
      <c r="B12809" t="s">
        <v>2692</v>
      </c>
      <c r="C12809" t="s">
        <v>15668</v>
      </c>
      <c r="D12809" t="s">
        <v>17461</v>
      </c>
      <c r="E12809" t="s">
        <v>22654</v>
      </c>
      <c r="F12809" t="s">
        <v>30052</v>
      </c>
      <c r="G12809" t="s">
        <v>30058</v>
      </c>
      <c r="H12809" t="s">
        <v>15498</v>
      </c>
      <c r="I12809" t="s">
        <v>30170</v>
      </c>
      <c r="J12809" t="s">
        <v>37983</v>
      </c>
      <c r="K12809" t="s">
        <v>39023</v>
      </c>
      <c r="M12809" t="s">
        <v>42215</v>
      </c>
      <c r="N12809" t="s">
        <v>43166</v>
      </c>
      <c r="O12809" t="s">
        <v>43167</v>
      </c>
      <c r="P12809">
        <v>0</v>
      </c>
      <c r="Q12809">
        <v>8</v>
      </c>
      <c r="R12809" t="s">
        <v>43185</v>
      </c>
      <c r="S12809" t="s">
        <v>43930</v>
      </c>
      <c r="T12809" t="s">
        <v>44764</v>
      </c>
      <c r="U12809" t="s">
        <v>55372</v>
      </c>
      <c r="V12809" t="s">
        <v>57790</v>
      </c>
      <c r="W12809" t="s">
        <v>42215</v>
      </c>
      <c r="X12809" t="s">
        <v>43186</v>
      </c>
    </row>
    <row r="12810" spans="1:24">
      <c r="A12810">
        <f>HYPERLINK("https://www.philgeps.gov.ph/GEPSNONPILOT/Tender/SplashBidNoticeAbstractUI.aspx?menuIndex=3&amp;refID=7054866&amp;Result=3","7054866")</f>
        <v>0</v>
      </c>
      <c r="B12810" t="s">
        <v>602</v>
      </c>
      <c r="C12810" t="s">
        <v>15669</v>
      </c>
      <c r="D12810" t="s">
        <v>17448</v>
      </c>
      <c r="E12810" t="s">
        <v>28456</v>
      </c>
      <c r="F12810" t="s">
        <v>30052</v>
      </c>
      <c r="G12810" t="s">
        <v>30058</v>
      </c>
      <c r="H12810" t="s">
        <v>30067</v>
      </c>
      <c r="I12810" t="s">
        <v>3693</v>
      </c>
      <c r="J12810" t="s">
        <v>30645</v>
      </c>
      <c r="K12810" t="s">
        <v>39031</v>
      </c>
      <c r="L12810" t="s">
        <v>602</v>
      </c>
      <c r="M12810" t="s">
        <v>42929</v>
      </c>
      <c r="N12810" t="s">
        <v>43166</v>
      </c>
      <c r="O12810" t="s">
        <v>43167</v>
      </c>
      <c r="P12810">
        <v>0</v>
      </c>
      <c r="Q12810">
        <v>1</v>
      </c>
      <c r="R12810" t="s">
        <v>43185</v>
      </c>
      <c r="S12810" t="s">
        <v>43930</v>
      </c>
      <c r="T12810" t="s">
        <v>44943</v>
      </c>
      <c r="U12810" t="s">
        <v>55350</v>
      </c>
      <c r="W12810" t="s">
        <v>42929</v>
      </c>
      <c r="X12810" t="s">
        <v>43186</v>
      </c>
    </row>
    <row r="12811" spans="1:24">
      <c r="A12811">
        <f>HYPERLINK("https://www.philgeps.gov.ph/GEPSNONPILOT/Tender/SplashBidNoticeAbstractUI.aspx?menuIndex=3&amp;refID=7055092&amp;Result=3","7055092")</f>
        <v>0</v>
      </c>
      <c r="B12811" t="s">
        <v>1801</v>
      </c>
      <c r="C12811" t="s">
        <v>15670</v>
      </c>
      <c r="D12811" t="s">
        <v>17440</v>
      </c>
      <c r="E12811" t="s">
        <v>28457</v>
      </c>
      <c r="F12811" t="s">
        <v>30052</v>
      </c>
      <c r="G12811" t="s">
        <v>30058</v>
      </c>
      <c r="H12811" t="s">
        <v>30067</v>
      </c>
      <c r="I12811" t="s">
        <v>3693</v>
      </c>
      <c r="J12811" t="s">
        <v>37984</v>
      </c>
      <c r="K12811" t="s">
        <v>39026</v>
      </c>
      <c r="M12811" t="s">
        <v>41224</v>
      </c>
      <c r="N12811" t="s">
        <v>43166</v>
      </c>
      <c r="O12811" t="s">
        <v>43167</v>
      </c>
      <c r="Q12811">
        <v>35</v>
      </c>
      <c r="R12811" t="s">
        <v>43185</v>
      </c>
      <c r="S12811" t="s">
        <v>44010</v>
      </c>
      <c r="T12811" t="s">
        <v>44698</v>
      </c>
      <c r="U12811" t="s">
        <v>55373</v>
      </c>
      <c r="V12811" t="s">
        <v>57409</v>
      </c>
      <c r="W12811" t="s">
        <v>41224</v>
      </c>
      <c r="X12811" t="s">
        <v>43186</v>
      </c>
    </row>
    <row r="12812" spans="1:24">
      <c r="A12812">
        <f>HYPERLINK("https://www.philgeps.gov.ph/GEPSNONPILOT/Tender/SplashBidNoticeAbstractUI.aspx?menuIndex=3&amp;refID=7054898&amp;Result=3","7054898")</f>
        <v>0</v>
      </c>
      <c r="B12812" t="s">
        <v>602</v>
      </c>
      <c r="C12812" t="s">
        <v>15671</v>
      </c>
      <c r="D12812" t="s">
        <v>17448</v>
      </c>
      <c r="E12812" t="s">
        <v>28458</v>
      </c>
      <c r="F12812" t="s">
        <v>30052</v>
      </c>
      <c r="G12812" t="s">
        <v>30058</v>
      </c>
      <c r="H12812" t="s">
        <v>30067</v>
      </c>
      <c r="I12812" t="s">
        <v>3693</v>
      </c>
      <c r="J12812" t="s">
        <v>31772</v>
      </c>
      <c r="K12812" t="s">
        <v>39285</v>
      </c>
      <c r="L12812" t="s">
        <v>602</v>
      </c>
      <c r="M12812" t="s">
        <v>42929</v>
      </c>
      <c r="N12812" t="s">
        <v>43166</v>
      </c>
      <c r="O12812" t="s">
        <v>43167</v>
      </c>
      <c r="Q12812">
        <v>1</v>
      </c>
      <c r="R12812" t="s">
        <v>43185</v>
      </c>
      <c r="S12812" t="s">
        <v>44011</v>
      </c>
      <c r="T12812" t="s">
        <v>44943</v>
      </c>
      <c r="U12812" t="s">
        <v>55350</v>
      </c>
      <c r="W12812" t="s">
        <v>42929</v>
      </c>
      <c r="X12812" t="s">
        <v>43186</v>
      </c>
    </row>
    <row r="12813" spans="1:24">
      <c r="A12813">
        <f>HYPERLINK("https://www.philgeps.gov.ph/GEPSNONPILOT/Tender/SplashBidNoticeAbstractUI.aspx?menuIndex=3&amp;refID=7054977&amp;Result=3","7054977")</f>
        <v>0</v>
      </c>
      <c r="B12813" t="s">
        <v>1996</v>
      </c>
      <c r="C12813" t="s">
        <v>15672</v>
      </c>
      <c r="D12813" t="s">
        <v>17449</v>
      </c>
      <c r="E12813" t="s">
        <v>28459</v>
      </c>
      <c r="F12813" t="s">
        <v>30052</v>
      </c>
      <c r="G12813" t="s">
        <v>30058</v>
      </c>
      <c r="H12813" t="s">
        <v>30067</v>
      </c>
      <c r="I12813" t="s">
        <v>3693</v>
      </c>
      <c r="J12813" t="s">
        <v>32171</v>
      </c>
      <c r="K12813" t="s">
        <v>39286</v>
      </c>
      <c r="M12813" t="s">
        <v>41439</v>
      </c>
      <c r="N12813" t="s">
        <v>43166</v>
      </c>
      <c r="O12813" t="s">
        <v>43167</v>
      </c>
      <c r="P12813">
        <v>0</v>
      </c>
      <c r="Q12813">
        <v>12</v>
      </c>
      <c r="R12813" t="s">
        <v>43185</v>
      </c>
      <c r="S12813" t="s">
        <v>43930</v>
      </c>
      <c r="T12813" t="s">
        <v>44698</v>
      </c>
      <c r="U12813" t="s">
        <v>55374</v>
      </c>
      <c r="V12813" t="s">
        <v>58325</v>
      </c>
      <c r="W12813" t="s">
        <v>41439</v>
      </c>
      <c r="X12813" t="s">
        <v>43186</v>
      </c>
    </row>
    <row r="12814" spans="1:24">
      <c r="A12814">
        <f>HYPERLINK("https://www.philgeps.gov.ph/GEPSNONPILOT/Tender/SplashBidNoticeAbstractUI.aspx?menuIndex=3&amp;refID=7055075&amp;Result=3","7055075")</f>
        <v>0</v>
      </c>
      <c r="B12814" t="s">
        <v>291</v>
      </c>
      <c r="C12814" t="s">
        <v>15673</v>
      </c>
      <c r="D12814" t="s">
        <v>17476</v>
      </c>
      <c r="E12814" t="s">
        <v>28460</v>
      </c>
      <c r="F12814" t="s">
        <v>30052</v>
      </c>
      <c r="G12814" t="s">
        <v>30058</v>
      </c>
      <c r="H12814" t="s">
        <v>15498</v>
      </c>
      <c r="I12814" t="s">
        <v>3736</v>
      </c>
      <c r="J12814" t="s">
        <v>37985</v>
      </c>
      <c r="K12814" t="s">
        <v>39019</v>
      </c>
      <c r="M12814" t="s">
        <v>39586</v>
      </c>
      <c r="N12814" t="s">
        <v>43166</v>
      </c>
      <c r="O12814" t="s">
        <v>43167</v>
      </c>
      <c r="P12814">
        <v>0</v>
      </c>
      <c r="Q12814">
        <v>1</v>
      </c>
      <c r="R12814" t="s">
        <v>43185</v>
      </c>
      <c r="S12814" t="s">
        <v>43930</v>
      </c>
      <c r="T12814" t="s">
        <v>45047</v>
      </c>
      <c r="U12814" t="s">
        <v>55375</v>
      </c>
      <c r="W12814" t="s">
        <v>39586</v>
      </c>
      <c r="X12814" t="s">
        <v>43186</v>
      </c>
    </row>
    <row r="12815" spans="1:24">
      <c r="A12815">
        <f>HYPERLINK("https://www.philgeps.gov.ph/GEPSNONPILOT/Tender/SplashBidNoticeAbstractUI.aspx?menuIndex=3&amp;refID=7055061&amp;Result=3","7055061")</f>
        <v>0</v>
      </c>
      <c r="B12815" t="s">
        <v>2479</v>
      </c>
      <c r="C12815" t="s">
        <v>15674</v>
      </c>
      <c r="D12815" t="s">
        <v>17444</v>
      </c>
      <c r="E12815" t="s">
        <v>28461</v>
      </c>
      <c r="F12815" t="s">
        <v>30052</v>
      </c>
      <c r="G12815" t="s">
        <v>30058</v>
      </c>
      <c r="H12815" t="s">
        <v>30067</v>
      </c>
      <c r="I12815" t="s">
        <v>3693</v>
      </c>
      <c r="J12815" t="s">
        <v>30397</v>
      </c>
      <c r="K12815" t="s">
        <v>39022</v>
      </c>
      <c r="M12815" t="s">
        <v>41979</v>
      </c>
      <c r="N12815" t="s">
        <v>43166</v>
      </c>
      <c r="O12815" t="s">
        <v>43167</v>
      </c>
      <c r="P12815">
        <v>0</v>
      </c>
      <c r="Q12815">
        <v>3</v>
      </c>
      <c r="R12815" t="s">
        <v>43185</v>
      </c>
      <c r="S12815" t="s">
        <v>43930</v>
      </c>
      <c r="T12815" t="s">
        <v>44905</v>
      </c>
      <c r="U12815" t="s">
        <v>55376</v>
      </c>
      <c r="W12815" t="s">
        <v>41979</v>
      </c>
      <c r="X12815" t="s">
        <v>43186</v>
      </c>
    </row>
    <row r="12816" spans="1:24">
      <c r="A12816">
        <f>HYPERLINK("https://www.philgeps.gov.ph/GEPSNONPILOT/Tender/SplashBidNoticeAbstractUI.aspx?menuIndex=3&amp;refID=7055066&amp;Result=3","7055066")</f>
        <v>0</v>
      </c>
      <c r="B12816" t="s">
        <v>3298</v>
      </c>
      <c r="C12816" t="s">
        <v>15675</v>
      </c>
      <c r="D12816" t="s">
        <v>17452</v>
      </c>
      <c r="E12816" t="s">
        <v>28462</v>
      </c>
      <c r="F12816" t="s">
        <v>30052</v>
      </c>
      <c r="G12816" t="s">
        <v>30058</v>
      </c>
      <c r="H12816" t="s">
        <v>15498</v>
      </c>
      <c r="I12816" t="s">
        <v>4119</v>
      </c>
      <c r="J12816" t="s">
        <v>37986</v>
      </c>
      <c r="K12816" t="s">
        <v>39029</v>
      </c>
      <c r="M12816" t="s">
        <v>42933</v>
      </c>
      <c r="N12816" t="s">
        <v>43166</v>
      </c>
      <c r="O12816" t="s">
        <v>43167</v>
      </c>
      <c r="Q12816">
        <v>8</v>
      </c>
      <c r="R12816" t="s">
        <v>43185</v>
      </c>
      <c r="S12816" t="s">
        <v>44012</v>
      </c>
      <c r="T12816" t="s">
        <v>45047</v>
      </c>
      <c r="U12816" t="s">
        <v>55377</v>
      </c>
      <c r="V12816" t="s">
        <v>58326</v>
      </c>
      <c r="W12816" t="s">
        <v>42933</v>
      </c>
      <c r="X12816" t="s">
        <v>43186</v>
      </c>
    </row>
    <row r="12817" spans="1:24">
      <c r="A12817">
        <f>HYPERLINK("https://www.philgeps.gov.ph/GEPSNONPILOT/Tender/SplashBidNoticeAbstractUI.aspx?menuIndex=3&amp;refID=7055057&amp;Result=3","7055057")</f>
        <v>0</v>
      </c>
      <c r="B12817" t="s">
        <v>3229</v>
      </c>
      <c r="C12817" t="s">
        <v>15676</v>
      </c>
      <c r="D12817" t="s">
        <v>17422</v>
      </c>
      <c r="E12817" t="s">
        <v>28463</v>
      </c>
      <c r="F12817" t="s">
        <v>30052</v>
      </c>
      <c r="G12817" t="s">
        <v>30058</v>
      </c>
      <c r="H12817" t="s">
        <v>15498</v>
      </c>
      <c r="I12817" t="s">
        <v>4650</v>
      </c>
      <c r="J12817" t="s">
        <v>37987</v>
      </c>
      <c r="K12817" t="s">
        <v>39025</v>
      </c>
      <c r="M12817" t="s">
        <v>42855</v>
      </c>
      <c r="N12817" t="s">
        <v>43166</v>
      </c>
      <c r="O12817" t="s">
        <v>43167</v>
      </c>
      <c r="Q12817">
        <v>5</v>
      </c>
      <c r="R12817" t="s">
        <v>43185</v>
      </c>
      <c r="S12817" t="s">
        <v>43844</v>
      </c>
      <c r="T12817" t="s">
        <v>44698</v>
      </c>
      <c r="U12817" t="s">
        <v>55378</v>
      </c>
      <c r="V12817" t="s">
        <v>58208</v>
      </c>
      <c r="W12817" t="s">
        <v>42855</v>
      </c>
      <c r="X12817" t="s">
        <v>43186</v>
      </c>
    </row>
    <row r="12818" spans="1:24">
      <c r="A12818">
        <f>HYPERLINK("https://www.philgeps.gov.ph/GEPSNONPILOT/Tender/SplashBidNoticeAbstractUI.aspx?menuIndex=3&amp;refID=7055100&amp;Result=3","7055100")</f>
        <v>0</v>
      </c>
      <c r="B12818" t="s">
        <v>1801</v>
      </c>
      <c r="C12818" t="s">
        <v>15677</v>
      </c>
      <c r="D12818" t="s">
        <v>17440</v>
      </c>
      <c r="E12818" t="s">
        <v>28464</v>
      </c>
      <c r="F12818" t="s">
        <v>30052</v>
      </c>
      <c r="G12818" t="s">
        <v>30058</v>
      </c>
      <c r="H12818" t="s">
        <v>30067</v>
      </c>
      <c r="I12818" t="s">
        <v>3693</v>
      </c>
      <c r="J12818" t="s">
        <v>37988</v>
      </c>
      <c r="K12818" t="s">
        <v>39026</v>
      </c>
      <c r="M12818" t="s">
        <v>41224</v>
      </c>
      <c r="N12818" t="s">
        <v>43166</v>
      </c>
      <c r="O12818" t="s">
        <v>43167</v>
      </c>
      <c r="Q12818">
        <v>34</v>
      </c>
      <c r="R12818" t="s">
        <v>43185</v>
      </c>
      <c r="S12818" t="s">
        <v>44013</v>
      </c>
      <c r="T12818" t="s">
        <v>44698</v>
      </c>
      <c r="U12818" t="s">
        <v>55379</v>
      </c>
      <c r="V12818" t="s">
        <v>57409</v>
      </c>
      <c r="W12818" t="s">
        <v>41224</v>
      </c>
      <c r="X12818" t="s">
        <v>43186</v>
      </c>
    </row>
    <row r="12819" spans="1:24">
      <c r="A12819">
        <f>HYPERLINK("https://www.philgeps.gov.ph/GEPSNONPILOT/Tender/SplashBidNoticeAbstractUI.aspx?menuIndex=3&amp;refID=7055036&amp;Result=3","7055036")</f>
        <v>0</v>
      </c>
      <c r="B12819" t="s">
        <v>3299</v>
      </c>
      <c r="C12819" t="s">
        <v>15678</v>
      </c>
      <c r="D12819" t="s">
        <v>17459</v>
      </c>
      <c r="E12819" t="s">
        <v>28465</v>
      </c>
      <c r="F12819" t="s">
        <v>30052</v>
      </c>
      <c r="G12819" t="s">
        <v>30058</v>
      </c>
      <c r="H12819" t="s">
        <v>30067</v>
      </c>
      <c r="I12819" t="s">
        <v>3693</v>
      </c>
      <c r="J12819" t="s">
        <v>37989</v>
      </c>
      <c r="K12819" t="s">
        <v>39024</v>
      </c>
      <c r="M12819" t="s">
        <v>42934</v>
      </c>
      <c r="N12819" t="s">
        <v>43166</v>
      </c>
      <c r="O12819" t="s">
        <v>43167</v>
      </c>
      <c r="P12819">
        <v>0</v>
      </c>
      <c r="Q12819">
        <v>2</v>
      </c>
      <c r="R12819" t="s">
        <v>43185</v>
      </c>
      <c r="S12819" t="s">
        <v>43930</v>
      </c>
      <c r="T12819" t="s">
        <v>44773</v>
      </c>
      <c r="U12819" t="s">
        <v>55380</v>
      </c>
      <c r="W12819" t="s">
        <v>42934</v>
      </c>
      <c r="X12819" t="s">
        <v>43186</v>
      </c>
    </row>
    <row r="12820" spans="1:24">
      <c r="A12820">
        <f>HYPERLINK("https://www.philgeps.gov.ph/GEPSNONPILOT/Tender/SplashBidNoticeAbstractUI.aspx?menuIndex=3&amp;refID=7055080&amp;Result=3","7055080")</f>
        <v>0</v>
      </c>
      <c r="B12820" t="s">
        <v>407</v>
      </c>
      <c r="C12820" t="s">
        <v>15679</v>
      </c>
      <c r="D12820" t="s">
        <v>17421</v>
      </c>
      <c r="E12820" t="s">
        <v>19629</v>
      </c>
      <c r="F12820" t="s">
        <v>30052</v>
      </c>
      <c r="G12820" t="s">
        <v>30058</v>
      </c>
      <c r="H12820" t="s">
        <v>15498</v>
      </c>
      <c r="I12820" t="s">
        <v>30130</v>
      </c>
      <c r="J12820" t="s">
        <v>37990</v>
      </c>
      <c r="K12820" t="s">
        <v>39023</v>
      </c>
      <c r="M12820" t="s">
        <v>40366</v>
      </c>
      <c r="N12820" t="s">
        <v>43166</v>
      </c>
      <c r="O12820" t="s">
        <v>43167</v>
      </c>
      <c r="Q12820">
        <v>27</v>
      </c>
      <c r="R12820" t="s">
        <v>43185</v>
      </c>
      <c r="S12820" t="s">
        <v>44014</v>
      </c>
      <c r="T12820" t="s">
        <v>44704</v>
      </c>
      <c r="U12820" t="s">
        <v>55381</v>
      </c>
      <c r="W12820" t="s">
        <v>40366</v>
      </c>
      <c r="X12820" t="s">
        <v>43186</v>
      </c>
    </row>
    <row r="12821" spans="1:24">
      <c r="A12821">
        <f>HYPERLINK("https://www.philgeps.gov.ph/GEPSNONPILOT/Tender/SplashBidNoticeAbstractUI.aspx?menuIndex=3&amp;refID=7055072&amp;Result=3","7055072")</f>
        <v>0</v>
      </c>
      <c r="B12821" t="s">
        <v>620</v>
      </c>
      <c r="C12821" t="s">
        <v>15680</v>
      </c>
      <c r="D12821" t="s">
        <v>17427</v>
      </c>
      <c r="E12821" t="s">
        <v>28466</v>
      </c>
      <c r="F12821" t="s">
        <v>30052</v>
      </c>
      <c r="G12821" t="s">
        <v>30058</v>
      </c>
      <c r="H12821" t="s">
        <v>15498</v>
      </c>
      <c r="I12821" t="s">
        <v>30088</v>
      </c>
      <c r="J12821" t="s">
        <v>30813</v>
      </c>
      <c r="K12821" t="s">
        <v>39025</v>
      </c>
      <c r="M12821" t="s">
        <v>39923</v>
      </c>
      <c r="N12821" t="s">
        <v>43166</v>
      </c>
      <c r="O12821" t="s">
        <v>43167</v>
      </c>
      <c r="Q12821">
        <v>8</v>
      </c>
      <c r="R12821" t="s">
        <v>43185</v>
      </c>
      <c r="S12821" t="s">
        <v>44015</v>
      </c>
      <c r="T12821" t="s">
        <v>44685</v>
      </c>
      <c r="U12821" t="s">
        <v>55382</v>
      </c>
      <c r="W12821" t="s">
        <v>39923</v>
      </c>
      <c r="X12821" t="s">
        <v>43186</v>
      </c>
    </row>
    <row r="12822" spans="1:24">
      <c r="A12822">
        <f>HYPERLINK("https://www.philgeps.gov.ph/GEPSNONPILOT/Tender/SplashBidNoticeAbstractUI.aspx?menuIndex=3&amp;refID=7055021&amp;Result=3","7055021")</f>
        <v>0</v>
      </c>
      <c r="B12822" t="s">
        <v>2320</v>
      </c>
      <c r="C12822" t="s">
        <v>15681</v>
      </c>
      <c r="D12822" t="s">
        <v>17462</v>
      </c>
      <c r="E12822" t="s">
        <v>28467</v>
      </c>
      <c r="F12822" t="s">
        <v>30052</v>
      </c>
      <c r="G12822" t="s">
        <v>30058</v>
      </c>
      <c r="H12822" t="s">
        <v>15498</v>
      </c>
      <c r="I12822" t="s">
        <v>30100</v>
      </c>
      <c r="J12822" t="s">
        <v>30588</v>
      </c>
      <c r="K12822" t="s">
        <v>39029</v>
      </c>
      <c r="M12822" t="s">
        <v>42321</v>
      </c>
      <c r="N12822" t="s">
        <v>43166</v>
      </c>
      <c r="O12822" t="s">
        <v>43167</v>
      </c>
      <c r="P12822">
        <v>0</v>
      </c>
      <c r="Q12822">
        <v>2</v>
      </c>
      <c r="R12822" t="s">
        <v>43185</v>
      </c>
      <c r="S12822" t="s">
        <v>43930</v>
      </c>
      <c r="T12822" t="s">
        <v>44689</v>
      </c>
      <c r="U12822" t="s">
        <v>51193</v>
      </c>
      <c r="V12822" t="s">
        <v>58173</v>
      </c>
      <c r="W12822" t="s">
        <v>58669</v>
      </c>
      <c r="X12822" t="s">
        <v>43186</v>
      </c>
    </row>
    <row r="12823" spans="1:24">
      <c r="A12823">
        <f>HYPERLINK("https://www.philgeps.gov.ph/GEPSNONPILOT/Tender/SplashBidNoticeAbstractUI.aspx?menuIndex=3&amp;refID=7055103&amp;Result=3","7055103")</f>
        <v>0</v>
      </c>
      <c r="B12823" t="s">
        <v>74</v>
      </c>
      <c r="C12823" t="s">
        <v>15682</v>
      </c>
      <c r="E12823" t="s">
        <v>28468</v>
      </c>
      <c r="F12823" t="s">
        <v>30052</v>
      </c>
      <c r="G12823" t="s">
        <v>30058</v>
      </c>
      <c r="H12823" t="s">
        <v>30067</v>
      </c>
      <c r="I12823" t="s">
        <v>3693</v>
      </c>
      <c r="J12823" t="s">
        <v>37991</v>
      </c>
      <c r="K12823" t="s">
        <v>39025</v>
      </c>
      <c r="M12823" t="s">
        <v>39363</v>
      </c>
      <c r="N12823" t="s">
        <v>43166</v>
      </c>
      <c r="O12823" t="s">
        <v>43167</v>
      </c>
      <c r="Q12823">
        <v>5</v>
      </c>
      <c r="R12823" t="s">
        <v>43185</v>
      </c>
      <c r="S12823" t="s">
        <v>44016</v>
      </c>
      <c r="T12823" t="s">
        <v>44777</v>
      </c>
      <c r="U12823" t="s">
        <v>55383</v>
      </c>
      <c r="W12823" t="s">
        <v>39363</v>
      </c>
      <c r="X12823" t="s">
        <v>43186</v>
      </c>
    </row>
    <row r="12824" spans="1:24">
      <c r="A12824">
        <f>HYPERLINK("https://www.philgeps.gov.ph/GEPSNONPILOT/Tender/SplashBidNoticeAbstractUI.aspx?menuIndex=3&amp;refID=7055009&amp;Result=3","7055009")</f>
        <v>0</v>
      </c>
      <c r="B12824" t="s">
        <v>3133</v>
      </c>
      <c r="C12824" t="s">
        <v>15683</v>
      </c>
      <c r="D12824" t="s">
        <v>17444</v>
      </c>
      <c r="E12824" t="s">
        <v>28469</v>
      </c>
      <c r="F12824" t="s">
        <v>30052</v>
      </c>
      <c r="G12824" t="s">
        <v>30058</v>
      </c>
      <c r="H12824" t="s">
        <v>15498</v>
      </c>
      <c r="I12824" t="s">
        <v>30076</v>
      </c>
      <c r="J12824" t="s">
        <v>30343</v>
      </c>
      <c r="K12824" t="s">
        <v>39029</v>
      </c>
      <c r="L12824" t="s">
        <v>3133</v>
      </c>
      <c r="M12824" t="s">
        <v>42735</v>
      </c>
      <c r="N12824" t="s">
        <v>43166</v>
      </c>
      <c r="O12824" t="s">
        <v>43167</v>
      </c>
      <c r="P12824">
        <v>0</v>
      </c>
      <c r="Q12824">
        <v>7</v>
      </c>
      <c r="R12824" t="s">
        <v>43185</v>
      </c>
      <c r="S12824" t="s">
        <v>43930</v>
      </c>
      <c r="T12824" t="s">
        <v>44777</v>
      </c>
      <c r="U12824" t="s">
        <v>55384</v>
      </c>
      <c r="W12824" t="s">
        <v>42735</v>
      </c>
      <c r="X12824" t="s">
        <v>43186</v>
      </c>
    </row>
    <row r="12825" spans="1:24">
      <c r="A12825">
        <f>HYPERLINK("https://www.philgeps.gov.ph/GEPSNONPILOT/Tender/SplashBidNoticeAbstractUI.aspx?menuIndex=3&amp;refID=7055049&amp;Result=3","7055049")</f>
        <v>0</v>
      </c>
      <c r="B12825" t="s">
        <v>3133</v>
      </c>
      <c r="C12825" t="s">
        <v>15684</v>
      </c>
      <c r="D12825" t="s">
        <v>17444</v>
      </c>
      <c r="E12825" t="s">
        <v>28470</v>
      </c>
      <c r="F12825" t="s">
        <v>30052</v>
      </c>
      <c r="G12825" t="s">
        <v>30058</v>
      </c>
      <c r="H12825" t="s">
        <v>15498</v>
      </c>
      <c r="I12825" t="s">
        <v>30130</v>
      </c>
      <c r="J12825" t="s">
        <v>30207</v>
      </c>
      <c r="K12825" t="s">
        <v>39029</v>
      </c>
      <c r="L12825" t="s">
        <v>3133</v>
      </c>
      <c r="M12825" t="s">
        <v>42735</v>
      </c>
      <c r="N12825" t="s">
        <v>43166</v>
      </c>
      <c r="O12825" t="s">
        <v>43167</v>
      </c>
      <c r="P12825">
        <v>0</v>
      </c>
      <c r="Q12825">
        <v>5</v>
      </c>
      <c r="R12825" t="s">
        <v>43185</v>
      </c>
      <c r="S12825" t="s">
        <v>43930</v>
      </c>
      <c r="T12825" t="s">
        <v>44777</v>
      </c>
      <c r="U12825" t="s">
        <v>55385</v>
      </c>
      <c r="W12825" t="s">
        <v>42735</v>
      </c>
      <c r="X12825" t="s">
        <v>43186</v>
      </c>
    </row>
    <row r="12826" spans="1:24">
      <c r="A12826">
        <f>HYPERLINK("https://www.philgeps.gov.ph/GEPSNONPILOT/Tender/SplashBidNoticeAbstractUI.aspx?menuIndex=3&amp;refID=7055039&amp;Result=3","7055039")</f>
        <v>0</v>
      </c>
      <c r="B12826" t="s">
        <v>1996</v>
      </c>
      <c r="C12826" t="s">
        <v>15685</v>
      </c>
      <c r="D12826" t="s">
        <v>17449</v>
      </c>
      <c r="E12826" t="s">
        <v>28471</v>
      </c>
      <c r="F12826" t="s">
        <v>30052</v>
      </c>
      <c r="G12826" t="s">
        <v>30058</v>
      </c>
      <c r="H12826" t="s">
        <v>30067</v>
      </c>
      <c r="I12826" t="s">
        <v>3693</v>
      </c>
      <c r="J12826" t="s">
        <v>37056</v>
      </c>
      <c r="K12826" t="s">
        <v>39235</v>
      </c>
      <c r="M12826" t="s">
        <v>41439</v>
      </c>
      <c r="N12826" t="s">
        <v>43166</v>
      </c>
      <c r="O12826" t="s">
        <v>43167</v>
      </c>
      <c r="P12826">
        <v>0</v>
      </c>
      <c r="Q12826">
        <v>10</v>
      </c>
      <c r="R12826" t="s">
        <v>43185</v>
      </c>
      <c r="S12826" t="s">
        <v>43930</v>
      </c>
      <c r="T12826" t="s">
        <v>44698</v>
      </c>
      <c r="U12826" t="s">
        <v>55386</v>
      </c>
      <c r="V12826" t="s">
        <v>58327</v>
      </c>
      <c r="W12826" t="s">
        <v>41439</v>
      </c>
      <c r="X12826" t="s">
        <v>43186</v>
      </c>
    </row>
    <row r="12827" spans="1:24">
      <c r="A12827">
        <f>HYPERLINK("https://www.philgeps.gov.ph/GEPSNONPILOT/Tender/SplashBidNoticeAbstractUI.aspx?menuIndex=3&amp;refID=7054456&amp;Result=3","7054456")</f>
        <v>0</v>
      </c>
      <c r="B12827" t="s">
        <v>268</v>
      </c>
      <c r="C12827" t="s">
        <v>15686</v>
      </c>
      <c r="D12827" t="s">
        <v>17459</v>
      </c>
      <c r="E12827" t="s">
        <v>28472</v>
      </c>
      <c r="F12827" t="s">
        <v>30052</v>
      </c>
      <c r="G12827" t="s">
        <v>30058</v>
      </c>
      <c r="H12827" t="s">
        <v>30067</v>
      </c>
      <c r="I12827" t="s">
        <v>3693</v>
      </c>
      <c r="J12827" t="s">
        <v>30281</v>
      </c>
      <c r="K12827" t="s">
        <v>39026</v>
      </c>
      <c r="M12827" t="s">
        <v>39561</v>
      </c>
      <c r="N12827" t="s">
        <v>43166</v>
      </c>
      <c r="O12827" t="s">
        <v>43167</v>
      </c>
      <c r="P12827">
        <v>0</v>
      </c>
      <c r="Q12827">
        <v>2</v>
      </c>
      <c r="R12827" t="s">
        <v>43185</v>
      </c>
      <c r="S12827" t="s">
        <v>43930</v>
      </c>
      <c r="T12827" t="s">
        <v>44841</v>
      </c>
      <c r="U12827" t="s">
        <v>55387</v>
      </c>
      <c r="V12827" t="s">
        <v>56837</v>
      </c>
      <c r="W12827" t="s">
        <v>39561</v>
      </c>
      <c r="X12827" t="s">
        <v>43186</v>
      </c>
    </row>
    <row r="12828" spans="1:24">
      <c r="A12828">
        <f>HYPERLINK("https://www.philgeps.gov.ph/GEPSNONPILOT/Tender/SplashBidNoticeAbstractUI.aspx?menuIndex=3&amp;refID=7055005&amp;Result=3","7055005")</f>
        <v>0</v>
      </c>
      <c r="B12828" t="s">
        <v>1996</v>
      </c>
      <c r="C12828" t="s">
        <v>15687</v>
      </c>
      <c r="D12828" t="s">
        <v>17449</v>
      </c>
      <c r="E12828" t="s">
        <v>28473</v>
      </c>
      <c r="F12828" t="s">
        <v>30052</v>
      </c>
      <c r="G12828" t="s">
        <v>30058</v>
      </c>
      <c r="H12828" t="s">
        <v>30067</v>
      </c>
      <c r="I12828" t="s">
        <v>3693</v>
      </c>
      <c r="J12828" t="s">
        <v>32171</v>
      </c>
      <c r="K12828" t="s">
        <v>39286</v>
      </c>
      <c r="M12828" t="s">
        <v>41439</v>
      </c>
      <c r="N12828" t="s">
        <v>43166</v>
      </c>
      <c r="O12828" t="s">
        <v>43167</v>
      </c>
      <c r="Q12828">
        <v>11</v>
      </c>
      <c r="R12828" t="s">
        <v>43185</v>
      </c>
      <c r="S12828" t="s">
        <v>44017</v>
      </c>
      <c r="T12828" t="s">
        <v>44698</v>
      </c>
      <c r="U12828" t="s">
        <v>55388</v>
      </c>
      <c r="V12828" t="s">
        <v>58328</v>
      </c>
      <c r="W12828" t="s">
        <v>41439</v>
      </c>
      <c r="X12828" t="s">
        <v>43186</v>
      </c>
    </row>
    <row r="12829" spans="1:24">
      <c r="A12829">
        <f>HYPERLINK("https://www.philgeps.gov.ph/GEPSNONPILOT/Tender/SplashBidNoticeAbstractUI.aspx?menuIndex=3&amp;refID=7054990&amp;Result=3","7054990")</f>
        <v>0</v>
      </c>
      <c r="B12829" t="s">
        <v>3300</v>
      </c>
      <c r="C12829" t="s">
        <v>15688</v>
      </c>
      <c r="D12829" t="s">
        <v>17481</v>
      </c>
      <c r="E12829" t="s">
        <v>28474</v>
      </c>
      <c r="F12829" t="s">
        <v>30052</v>
      </c>
      <c r="G12829" t="s">
        <v>30058</v>
      </c>
      <c r="H12829" t="s">
        <v>30067</v>
      </c>
      <c r="I12829" t="s">
        <v>3693</v>
      </c>
      <c r="J12829" t="s">
        <v>37992</v>
      </c>
      <c r="K12829" t="s">
        <v>39022</v>
      </c>
      <c r="M12829" t="s">
        <v>42935</v>
      </c>
      <c r="N12829" t="s">
        <v>43166</v>
      </c>
      <c r="O12829" t="s">
        <v>43167</v>
      </c>
      <c r="P12829">
        <v>0</v>
      </c>
      <c r="Q12829">
        <v>3</v>
      </c>
      <c r="R12829" t="s">
        <v>43185</v>
      </c>
      <c r="S12829" t="s">
        <v>43930</v>
      </c>
      <c r="T12829" t="s">
        <v>45038</v>
      </c>
      <c r="U12829" t="s">
        <v>55389</v>
      </c>
      <c r="W12829" t="s">
        <v>42935</v>
      </c>
      <c r="X12829" t="s">
        <v>43186</v>
      </c>
    </row>
    <row r="12830" spans="1:24">
      <c r="A12830">
        <f>HYPERLINK("https://www.philgeps.gov.ph/GEPSNONPILOT/Tender/SplashBidNoticeAbstractUI.aspx?menuIndex=3&amp;refID=7054659&amp;Result=3","7054659")</f>
        <v>0</v>
      </c>
      <c r="B12830" t="s">
        <v>3133</v>
      </c>
      <c r="C12830" t="s">
        <v>15689</v>
      </c>
      <c r="D12830" t="s">
        <v>17444</v>
      </c>
      <c r="E12830" t="s">
        <v>28475</v>
      </c>
      <c r="F12830" t="s">
        <v>30052</v>
      </c>
      <c r="G12830" t="s">
        <v>30058</v>
      </c>
      <c r="H12830" t="s">
        <v>15498</v>
      </c>
      <c r="I12830" t="s">
        <v>3736</v>
      </c>
      <c r="J12830" t="s">
        <v>36779</v>
      </c>
      <c r="K12830" t="s">
        <v>39023</v>
      </c>
      <c r="L12830" t="s">
        <v>3133</v>
      </c>
      <c r="M12830" t="s">
        <v>42735</v>
      </c>
      <c r="N12830" t="s">
        <v>43166</v>
      </c>
      <c r="O12830" t="s">
        <v>43167</v>
      </c>
      <c r="P12830">
        <v>0</v>
      </c>
      <c r="Q12830">
        <v>0</v>
      </c>
      <c r="R12830" t="s">
        <v>43185</v>
      </c>
      <c r="S12830" t="s">
        <v>43930</v>
      </c>
      <c r="T12830" t="s">
        <v>44777</v>
      </c>
      <c r="U12830" t="s">
        <v>55390</v>
      </c>
      <c r="W12830" t="s">
        <v>42735</v>
      </c>
      <c r="X12830" t="s">
        <v>43186</v>
      </c>
    </row>
    <row r="12831" spans="1:24">
      <c r="A12831">
        <f>HYPERLINK("https://www.philgeps.gov.ph/GEPSNONPILOT/Tender/SplashBidNoticeAbstractUI.aspx?menuIndex=3&amp;refID=7054631&amp;Result=3","7054631")</f>
        <v>0</v>
      </c>
      <c r="B12831" t="s">
        <v>268</v>
      </c>
      <c r="C12831" t="s">
        <v>15690</v>
      </c>
      <c r="D12831" t="s">
        <v>17459</v>
      </c>
      <c r="E12831" t="s">
        <v>28476</v>
      </c>
      <c r="F12831" t="s">
        <v>30052</v>
      </c>
      <c r="G12831" t="s">
        <v>30058</v>
      </c>
      <c r="H12831" t="s">
        <v>15498</v>
      </c>
      <c r="I12831" t="s">
        <v>30076</v>
      </c>
      <c r="J12831" t="s">
        <v>37993</v>
      </c>
      <c r="K12831" t="s">
        <v>39029</v>
      </c>
      <c r="M12831" t="s">
        <v>39561</v>
      </c>
      <c r="N12831" t="s">
        <v>43166</v>
      </c>
      <c r="O12831" t="s">
        <v>43167</v>
      </c>
      <c r="P12831">
        <v>0</v>
      </c>
      <c r="Q12831">
        <v>5</v>
      </c>
      <c r="R12831" t="s">
        <v>43185</v>
      </c>
      <c r="S12831" t="s">
        <v>43930</v>
      </c>
      <c r="T12831" t="s">
        <v>44841</v>
      </c>
      <c r="U12831" t="s">
        <v>51191</v>
      </c>
      <c r="V12831" t="s">
        <v>56837</v>
      </c>
      <c r="W12831" t="s">
        <v>39561</v>
      </c>
      <c r="X12831" t="s">
        <v>43186</v>
      </c>
    </row>
    <row r="12832" spans="1:24">
      <c r="A12832">
        <f>HYPERLINK("https://www.philgeps.gov.ph/GEPSNONPILOT/Tender/SplashBidNoticeAbstractUI.aspx?menuIndex=3&amp;refID=7054613&amp;Result=3","7054613")</f>
        <v>0</v>
      </c>
      <c r="B12832" t="s">
        <v>3133</v>
      </c>
      <c r="C12832" t="s">
        <v>15691</v>
      </c>
      <c r="D12832" t="s">
        <v>17444</v>
      </c>
      <c r="E12832" t="s">
        <v>28477</v>
      </c>
      <c r="F12832" t="s">
        <v>30052</v>
      </c>
      <c r="G12832" t="s">
        <v>30058</v>
      </c>
      <c r="H12832" t="s">
        <v>30067</v>
      </c>
      <c r="I12832" t="s">
        <v>3693</v>
      </c>
      <c r="J12832" t="s">
        <v>30281</v>
      </c>
      <c r="K12832" t="s">
        <v>39023</v>
      </c>
      <c r="L12832" t="s">
        <v>3133</v>
      </c>
      <c r="M12832" t="s">
        <v>42735</v>
      </c>
      <c r="N12832" t="s">
        <v>43166</v>
      </c>
      <c r="O12832" t="s">
        <v>43167</v>
      </c>
      <c r="P12832">
        <v>0</v>
      </c>
      <c r="Q12832">
        <v>4</v>
      </c>
      <c r="R12832" t="s">
        <v>43185</v>
      </c>
      <c r="S12832" t="s">
        <v>43930</v>
      </c>
      <c r="T12832" t="s">
        <v>44777</v>
      </c>
      <c r="U12832" t="s">
        <v>55391</v>
      </c>
      <c r="W12832" t="s">
        <v>42735</v>
      </c>
      <c r="X12832" t="s">
        <v>43186</v>
      </c>
    </row>
    <row r="12833" spans="1:24">
      <c r="A12833">
        <f>HYPERLINK("https://www.philgeps.gov.ph/GEPSNONPILOT/Tender/SplashBidNoticeAbstractUI.aspx?menuIndex=3&amp;refID=7054555&amp;Result=3","7054555")</f>
        <v>0</v>
      </c>
      <c r="B12833" t="s">
        <v>2320</v>
      </c>
      <c r="C12833" t="s">
        <v>15692</v>
      </c>
      <c r="D12833" t="s">
        <v>17462</v>
      </c>
      <c r="E12833" t="s">
        <v>28478</v>
      </c>
      <c r="F12833" t="s">
        <v>30052</v>
      </c>
      <c r="G12833" t="s">
        <v>30058</v>
      </c>
      <c r="H12833" t="s">
        <v>15498</v>
      </c>
      <c r="I12833" t="s">
        <v>3852</v>
      </c>
      <c r="J12833" t="s">
        <v>37994</v>
      </c>
      <c r="K12833" t="s">
        <v>39029</v>
      </c>
      <c r="M12833" t="s">
        <v>41819</v>
      </c>
      <c r="N12833" t="s">
        <v>43166</v>
      </c>
      <c r="O12833" t="s">
        <v>43167</v>
      </c>
      <c r="P12833">
        <v>0</v>
      </c>
      <c r="Q12833">
        <v>11</v>
      </c>
      <c r="R12833" t="s">
        <v>43185</v>
      </c>
      <c r="S12833" t="s">
        <v>43930</v>
      </c>
      <c r="T12833" t="s">
        <v>44689</v>
      </c>
      <c r="U12833" t="s">
        <v>51193</v>
      </c>
      <c r="V12833" t="s">
        <v>58173</v>
      </c>
      <c r="W12833" t="s">
        <v>58688</v>
      </c>
      <c r="X12833" t="s">
        <v>43186</v>
      </c>
    </row>
    <row r="12834" spans="1:24">
      <c r="A12834">
        <f>HYPERLINK("https://www.philgeps.gov.ph/GEPSNONPILOT/Tender/SplashBidNoticeAbstractUI.aspx?menuIndex=3&amp;refID=7054536&amp;Result=3","7054536")</f>
        <v>0</v>
      </c>
      <c r="B12834" t="s">
        <v>415</v>
      </c>
      <c r="C12834" t="s">
        <v>15693</v>
      </c>
      <c r="D12834" t="s">
        <v>17472</v>
      </c>
      <c r="E12834" t="s">
        <v>28479</v>
      </c>
      <c r="F12834" t="s">
        <v>30052</v>
      </c>
      <c r="G12834" t="s">
        <v>30058</v>
      </c>
      <c r="H12834" t="s">
        <v>30068</v>
      </c>
      <c r="I12834" t="s">
        <v>30191</v>
      </c>
      <c r="J12834" t="s">
        <v>30900</v>
      </c>
      <c r="K12834" t="s">
        <v>39025</v>
      </c>
      <c r="M12834" t="s">
        <v>40024</v>
      </c>
      <c r="N12834" t="s">
        <v>43166</v>
      </c>
      <c r="O12834" t="s">
        <v>43167</v>
      </c>
      <c r="P12834">
        <v>0</v>
      </c>
      <c r="Q12834">
        <v>2</v>
      </c>
      <c r="R12834" t="s">
        <v>43185</v>
      </c>
      <c r="S12834" t="s">
        <v>43930</v>
      </c>
      <c r="T12834" t="s">
        <v>44681</v>
      </c>
      <c r="U12834" t="s">
        <v>55392</v>
      </c>
      <c r="V12834" t="s">
        <v>57013</v>
      </c>
      <c r="W12834" t="s">
        <v>58610</v>
      </c>
      <c r="X12834" t="s">
        <v>43186</v>
      </c>
    </row>
    <row r="12835" spans="1:24">
      <c r="A12835">
        <f>HYPERLINK("https://www.philgeps.gov.ph/GEPSNONPILOT/Tender/SplashBidNoticeAbstractUI.aspx?menuIndex=3&amp;refID=7054423&amp;Result=3","7054423")</f>
        <v>0</v>
      </c>
      <c r="B12835" t="s">
        <v>814</v>
      </c>
      <c r="C12835" t="s">
        <v>15694</v>
      </c>
      <c r="D12835" t="s">
        <v>17424</v>
      </c>
      <c r="E12835" t="s">
        <v>28480</v>
      </c>
      <c r="F12835" t="s">
        <v>30052</v>
      </c>
      <c r="G12835" t="s">
        <v>30058</v>
      </c>
      <c r="H12835" t="s">
        <v>30067</v>
      </c>
      <c r="I12835" t="s">
        <v>3693</v>
      </c>
      <c r="J12835" t="s">
        <v>30222</v>
      </c>
      <c r="K12835" t="s">
        <v>39026</v>
      </c>
      <c r="M12835" t="s">
        <v>40131</v>
      </c>
      <c r="N12835" t="s">
        <v>43166</v>
      </c>
      <c r="O12835" t="s">
        <v>43167</v>
      </c>
      <c r="P12835">
        <v>0</v>
      </c>
      <c r="Q12835">
        <v>40</v>
      </c>
      <c r="R12835" t="s">
        <v>43185</v>
      </c>
      <c r="S12835" t="s">
        <v>43930</v>
      </c>
      <c r="T12835" t="s">
        <v>44773</v>
      </c>
      <c r="U12835" t="s">
        <v>55393</v>
      </c>
      <c r="W12835" t="s">
        <v>40131</v>
      </c>
      <c r="X12835" t="s">
        <v>43186</v>
      </c>
    </row>
    <row r="12836" spans="1:24">
      <c r="A12836">
        <f>HYPERLINK("https://www.philgeps.gov.ph/GEPSNONPILOT/Tender/SplashBidNoticeAbstractUI.aspx?menuIndex=3&amp;refID=7054421&amp;Result=3","7054421")</f>
        <v>0</v>
      </c>
      <c r="B12836" t="s">
        <v>3133</v>
      </c>
      <c r="C12836" t="s">
        <v>15695</v>
      </c>
      <c r="D12836" t="s">
        <v>17444</v>
      </c>
      <c r="E12836" t="s">
        <v>28481</v>
      </c>
      <c r="F12836" t="s">
        <v>30052</v>
      </c>
      <c r="G12836" t="s">
        <v>30058</v>
      </c>
      <c r="H12836" t="s">
        <v>30067</v>
      </c>
      <c r="I12836" t="s">
        <v>3693</v>
      </c>
      <c r="J12836" t="s">
        <v>31060</v>
      </c>
      <c r="K12836" t="s">
        <v>39031</v>
      </c>
      <c r="L12836" t="s">
        <v>3133</v>
      </c>
      <c r="M12836" t="s">
        <v>42735</v>
      </c>
      <c r="N12836" t="s">
        <v>43166</v>
      </c>
      <c r="O12836" t="s">
        <v>43167</v>
      </c>
      <c r="P12836">
        <v>0</v>
      </c>
      <c r="Q12836">
        <v>1</v>
      </c>
      <c r="R12836" t="s">
        <v>43185</v>
      </c>
      <c r="S12836" t="s">
        <v>43930</v>
      </c>
      <c r="T12836" t="s">
        <v>44777</v>
      </c>
      <c r="U12836" t="s">
        <v>55394</v>
      </c>
      <c r="W12836" t="s">
        <v>42735</v>
      </c>
      <c r="X12836" t="s">
        <v>43186</v>
      </c>
    </row>
    <row r="12837" spans="1:24">
      <c r="A12837">
        <f>HYPERLINK("https://www.philgeps.gov.ph/GEPSNONPILOT/Tender/SplashBidNoticeAbstractUI.aspx?menuIndex=3&amp;refID=7054408&amp;Result=3","7054408")</f>
        <v>0</v>
      </c>
      <c r="B12837" t="s">
        <v>3288</v>
      </c>
      <c r="C12837" t="s">
        <v>15696</v>
      </c>
      <c r="D12837" t="s">
        <v>17466</v>
      </c>
      <c r="E12837" t="s">
        <v>28482</v>
      </c>
      <c r="F12837" t="s">
        <v>30052</v>
      </c>
      <c r="G12837" t="s">
        <v>30058</v>
      </c>
      <c r="H12837" t="s">
        <v>30069</v>
      </c>
      <c r="I12837" t="s">
        <v>7228</v>
      </c>
      <c r="J12837" t="s">
        <v>37995</v>
      </c>
      <c r="K12837" t="s">
        <v>39068</v>
      </c>
      <c r="M12837" t="s">
        <v>42922</v>
      </c>
      <c r="N12837" t="s">
        <v>43166</v>
      </c>
      <c r="O12837" t="s">
        <v>43167</v>
      </c>
      <c r="P12837">
        <v>0</v>
      </c>
      <c r="Q12837">
        <v>1</v>
      </c>
      <c r="R12837" t="s">
        <v>43185</v>
      </c>
      <c r="S12837" t="s">
        <v>43930</v>
      </c>
      <c r="T12837" t="s">
        <v>44695</v>
      </c>
      <c r="U12837" t="s">
        <v>55395</v>
      </c>
      <c r="W12837" t="s">
        <v>42922</v>
      </c>
      <c r="X12837" t="s">
        <v>43186</v>
      </c>
    </row>
    <row r="12838" spans="1:24">
      <c r="A12838">
        <f>HYPERLINK("https://www.philgeps.gov.ph/GEPSNONPILOT/Tender/SplashBidNoticeAbstractUI.aspx?menuIndex=3&amp;refID=7054388&amp;Result=3","7054388")</f>
        <v>0</v>
      </c>
      <c r="B12838" t="s">
        <v>3290</v>
      </c>
      <c r="C12838" t="s">
        <v>15697</v>
      </c>
      <c r="D12838" t="s">
        <v>17438</v>
      </c>
      <c r="E12838" t="s">
        <v>28483</v>
      </c>
      <c r="F12838" t="s">
        <v>30052</v>
      </c>
      <c r="G12838" t="s">
        <v>30058</v>
      </c>
      <c r="H12838" t="s">
        <v>15498</v>
      </c>
      <c r="I12838" t="s">
        <v>3736</v>
      </c>
      <c r="J12838" t="s">
        <v>37996</v>
      </c>
      <c r="K12838" t="s">
        <v>39034</v>
      </c>
      <c r="M12838" t="s">
        <v>42924</v>
      </c>
      <c r="N12838" t="s">
        <v>43166</v>
      </c>
      <c r="O12838" t="s">
        <v>43167</v>
      </c>
      <c r="P12838">
        <v>0</v>
      </c>
      <c r="Q12838">
        <v>3</v>
      </c>
      <c r="R12838" t="s">
        <v>43185</v>
      </c>
      <c r="S12838" t="s">
        <v>43930</v>
      </c>
      <c r="T12838" t="s">
        <v>44698</v>
      </c>
      <c r="U12838" t="s">
        <v>55396</v>
      </c>
      <c r="W12838" t="s">
        <v>42924</v>
      </c>
      <c r="X12838" t="s">
        <v>43186</v>
      </c>
    </row>
    <row r="12839" spans="1:24">
      <c r="A12839">
        <f>HYPERLINK("https://www.philgeps.gov.ph/GEPSNONPILOT/Tender/SplashBidNoticeAbstractUI.aspx?menuIndex=3&amp;refID=7054347&amp;Result=3","7054347")</f>
        <v>0</v>
      </c>
      <c r="B12839" t="s">
        <v>3065</v>
      </c>
      <c r="C12839" t="s">
        <v>15698</v>
      </c>
      <c r="D12839" t="s">
        <v>17449</v>
      </c>
      <c r="E12839" t="s">
        <v>28484</v>
      </c>
      <c r="F12839" t="s">
        <v>30052</v>
      </c>
      <c r="G12839" t="s">
        <v>30058</v>
      </c>
      <c r="H12839" t="s">
        <v>30067</v>
      </c>
      <c r="I12839" t="s">
        <v>3693</v>
      </c>
      <c r="J12839" t="s">
        <v>37942</v>
      </c>
      <c r="K12839" t="s">
        <v>39080</v>
      </c>
      <c r="L12839" t="s">
        <v>3065</v>
      </c>
      <c r="M12839" t="s">
        <v>42648</v>
      </c>
      <c r="N12839" t="s">
        <v>43166</v>
      </c>
      <c r="O12839" t="s">
        <v>43167</v>
      </c>
      <c r="P12839">
        <v>0</v>
      </c>
      <c r="Q12839">
        <v>0</v>
      </c>
      <c r="R12839" t="s">
        <v>43185</v>
      </c>
      <c r="S12839" t="s">
        <v>43930</v>
      </c>
      <c r="T12839" t="s">
        <v>44705</v>
      </c>
      <c r="U12839" t="s">
        <v>55322</v>
      </c>
      <c r="W12839" t="s">
        <v>42648</v>
      </c>
      <c r="X12839" t="s">
        <v>43186</v>
      </c>
    </row>
    <row r="12840" spans="1:24">
      <c r="A12840">
        <f>HYPERLINK("https://www.philgeps.gov.ph/GEPSNONPILOT/Tender/SplashBidNoticeAbstractUI.aspx?menuIndex=3&amp;refID=7055029&amp;Result=3","7055029")</f>
        <v>0</v>
      </c>
      <c r="B12840" t="s">
        <v>501</v>
      </c>
      <c r="C12840" t="s">
        <v>15699</v>
      </c>
      <c r="E12840" t="s">
        <v>28485</v>
      </c>
      <c r="F12840" t="s">
        <v>30052</v>
      </c>
      <c r="G12840" t="s">
        <v>30059</v>
      </c>
      <c r="H12840" t="s">
        <v>15498</v>
      </c>
      <c r="I12840" t="s">
        <v>30135</v>
      </c>
      <c r="J12840" t="s">
        <v>37997</v>
      </c>
      <c r="K12840" t="s">
        <v>39025</v>
      </c>
      <c r="M12840" t="s">
        <v>39802</v>
      </c>
      <c r="N12840" t="s">
        <v>43166</v>
      </c>
      <c r="O12840" t="s">
        <v>43167</v>
      </c>
      <c r="Q12840">
        <v>3</v>
      </c>
      <c r="R12840" t="s">
        <v>43185</v>
      </c>
      <c r="S12840" t="s">
        <v>44018</v>
      </c>
      <c r="T12840" t="s">
        <v>44826</v>
      </c>
      <c r="U12840" t="s">
        <v>55397</v>
      </c>
      <c r="V12840" t="s">
        <v>58329</v>
      </c>
      <c r="W12840" t="s">
        <v>39802</v>
      </c>
      <c r="X12840" t="s">
        <v>43186</v>
      </c>
    </row>
    <row r="12841" spans="1:24">
      <c r="A12841">
        <f>HYPERLINK("https://www.philgeps.gov.ph/GEPSNONPILOT/Tender/SplashBidNoticeAbstractUI.aspx?menuIndex=3&amp;refID=7055008&amp;Result=3","7055008")</f>
        <v>0</v>
      </c>
      <c r="B12841" t="s">
        <v>3301</v>
      </c>
      <c r="C12841" t="s">
        <v>15700</v>
      </c>
      <c r="D12841" t="s">
        <v>17427</v>
      </c>
      <c r="E12841" t="s">
        <v>28486</v>
      </c>
      <c r="F12841" t="s">
        <v>30052</v>
      </c>
      <c r="G12841" t="s">
        <v>30058</v>
      </c>
      <c r="H12841" t="s">
        <v>15498</v>
      </c>
      <c r="I12841" t="s">
        <v>4119</v>
      </c>
      <c r="J12841" t="s">
        <v>37998</v>
      </c>
      <c r="K12841" t="s">
        <v>39019</v>
      </c>
      <c r="M12841" t="s">
        <v>42936</v>
      </c>
      <c r="N12841" t="s">
        <v>43166</v>
      </c>
      <c r="O12841" t="s">
        <v>43167</v>
      </c>
      <c r="P12841">
        <v>0</v>
      </c>
      <c r="Q12841">
        <v>10</v>
      </c>
      <c r="R12841" t="s">
        <v>43185</v>
      </c>
      <c r="S12841" t="s">
        <v>43930</v>
      </c>
      <c r="T12841" t="s">
        <v>44733</v>
      </c>
      <c r="U12841" t="s">
        <v>55398</v>
      </c>
      <c r="W12841" t="s">
        <v>42936</v>
      </c>
      <c r="X12841" t="s">
        <v>43186</v>
      </c>
    </row>
    <row r="12842" spans="1:24">
      <c r="A12842">
        <f>HYPERLINK("https://www.philgeps.gov.ph/GEPSNONPILOT/Tender/SplashBidNoticeAbstractUI.aspx?menuIndex=3&amp;refID=7054236&amp;Result=3","7054236")</f>
        <v>0</v>
      </c>
      <c r="B12842" t="s">
        <v>3025</v>
      </c>
      <c r="C12842" t="s">
        <v>15635</v>
      </c>
      <c r="D12842" t="s">
        <v>17470</v>
      </c>
      <c r="E12842" t="s">
        <v>28487</v>
      </c>
      <c r="F12842" t="s">
        <v>30052</v>
      </c>
      <c r="G12842" t="s">
        <v>30058</v>
      </c>
      <c r="H12842" t="s">
        <v>30067</v>
      </c>
      <c r="I12842" t="s">
        <v>3693</v>
      </c>
      <c r="J12842" t="s">
        <v>37999</v>
      </c>
      <c r="K12842" t="s">
        <v>39026</v>
      </c>
      <c r="M12842" t="s">
        <v>42603</v>
      </c>
      <c r="N12842" t="s">
        <v>43166</v>
      </c>
      <c r="O12842" t="s">
        <v>43167</v>
      </c>
      <c r="P12842">
        <v>0</v>
      </c>
      <c r="Q12842">
        <v>1</v>
      </c>
      <c r="R12842" t="s">
        <v>43185</v>
      </c>
      <c r="S12842" t="s">
        <v>43930</v>
      </c>
      <c r="T12842" t="s">
        <v>44733</v>
      </c>
      <c r="U12842" t="s">
        <v>55399</v>
      </c>
      <c r="V12842" t="s">
        <v>58330</v>
      </c>
      <c r="W12842" t="s">
        <v>42603</v>
      </c>
      <c r="X12842" t="s">
        <v>43186</v>
      </c>
    </row>
    <row r="12843" spans="1:24">
      <c r="A12843">
        <f>HYPERLINK("https://www.philgeps.gov.ph/GEPSNONPILOT/Tender/SplashBidNoticeAbstractUI.aspx?menuIndex=3&amp;refID=7054227&amp;Result=3","7054227")</f>
        <v>0</v>
      </c>
      <c r="B12843" t="s">
        <v>816</v>
      </c>
      <c r="C12843" t="s">
        <v>15701</v>
      </c>
      <c r="D12843" t="s">
        <v>17449</v>
      </c>
      <c r="E12843" t="s">
        <v>28488</v>
      </c>
      <c r="F12843" t="s">
        <v>30052</v>
      </c>
      <c r="G12843" t="s">
        <v>30058</v>
      </c>
      <c r="H12843" t="s">
        <v>30067</v>
      </c>
      <c r="I12843" t="s">
        <v>3693</v>
      </c>
      <c r="J12843" t="s">
        <v>38000</v>
      </c>
      <c r="K12843" t="s">
        <v>39282</v>
      </c>
      <c r="M12843" t="s">
        <v>40133</v>
      </c>
      <c r="N12843" t="s">
        <v>43166</v>
      </c>
      <c r="O12843" t="s">
        <v>43167</v>
      </c>
      <c r="Q12843">
        <v>2</v>
      </c>
      <c r="R12843" t="s">
        <v>43185</v>
      </c>
      <c r="S12843" t="s">
        <v>44019</v>
      </c>
      <c r="T12843" t="s">
        <v>44753</v>
      </c>
      <c r="U12843" t="s">
        <v>55400</v>
      </c>
      <c r="W12843" t="s">
        <v>40133</v>
      </c>
      <c r="X12843" t="s">
        <v>43186</v>
      </c>
    </row>
    <row r="12844" spans="1:24">
      <c r="A12844">
        <f>HYPERLINK("https://www.philgeps.gov.ph/GEPSNONPILOT/Tender/SplashBidNoticeAbstractUI.aspx?menuIndex=3&amp;refID=7054637&amp;Result=3","7054637")</f>
        <v>0</v>
      </c>
      <c r="B12844" t="s">
        <v>3141</v>
      </c>
      <c r="C12844" t="s">
        <v>15702</v>
      </c>
      <c r="D12844" t="s">
        <v>17473</v>
      </c>
      <c r="E12844" t="s">
        <v>28489</v>
      </c>
      <c r="F12844" t="s">
        <v>30052</v>
      </c>
      <c r="G12844" t="s">
        <v>30058</v>
      </c>
      <c r="H12844" t="s">
        <v>30069</v>
      </c>
      <c r="I12844" t="s">
        <v>3736</v>
      </c>
      <c r="J12844" t="s">
        <v>38001</v>
      </c>
      <c r="K12844" t="s">
        <v>39029</v>
      </c>
      <c r="M12844" t="s">
        <v>42744</v>
      </c>
      <c r="N12844" t="s">
        <v>43166</v>
      </c>
      <c r="O12844" t="s">
        <v>43167</v>
      </c>
      <c r="Q12844">
        <v>1</v>
      </c>
      <c r="R12844" t="s">
        <v>43185</v>
      </c>
      <c r="S12844" t="s">
        <v>44020</v>
      </c>
      <c r="T12844" t="s">
        <v>44710</v>
      </c>
      <c r="U12844" t="s">
        <v>55401</v>
      </c>
      <c r="W12844" t="s">
        <v>42744</v>
      </c>
      <c r="X12844" t="s">
        <v>43186</v>
      </c>
    </row>
    <row r="12845" spans="1:24">
      <c r="A12845">
        <f>HYPERLINK("https://www.philgeps.gov.ph/GEPSNONPILOT/Tender/SplashBidNoticeAbstractUI.aspx?menuIndex=3&amp;refID=7054368&amp;Result=3","7054368")</f>
        <v>0</v>
      </c>
      <c r="B12845" t="s">
        <v>101</v>
      </c>
      <c r="C12845" t="s">
        <v>15703</v>
      </c>
      <c r="D12845" t="s">
        <v>17422</v>
      </c>
      <c r="E12845" t="s">
        <v>28490</v>
      </c>
      <c r="F12845" t="s">
        <v>30052</v>
      </c>
      <c r="G12845" t="s">
        <v>30058</v>
      </c>
      <c r="H12845" t="s">
        <v>15498</v>
      </c>
      <c r="I12845" t="s">
        <v>30081</v>
      </c>
      <c r="J12845" t="s">
        <v>38002</v>
      </c>
      <c r="K12845" t="s">
        <v>39029</v>
      </c>
      <c r="M12845" t="s">
        <v>42937</v>
      </c>
      <c r="N12845" t="s">
        <v>43166</v>
      </c>
      <c r="O12845" t="s">
        <v>43167</v>
      </c>
      <c r="P12845">
        <v>0</v>
      </c>
      <c r="Q12845">
        <v>0</v>
      </c>
      <c r="R12845" t="s">
        <v>43185</v>
      </c>
      <c r="S12845" t="s">
        <v>43930</v>
      </c>
      <c r="T12845" t="s">
        <v>44787</v>
      </c>
      <c r="U12845" t="s">
        <v>55402</v>
      </c>
      <c r="W12845" t="s">
        <v>42937</v>
      </c>
      <c r="X12845" t="s">
        <v>43186</v>
      </c>
    </row>
    <row r="12846" spans="1:24">
      <c r="A12846">
        <f>HYPERLINK("https://www.philgeps.gov.ph/GEPSNONPILOT/Tender/SplashBidNoticeAbstractUI.aspx?menuIndex=3&amp;refID=7054243&amp;Result=3","7054243")</f>
        <v>0</v>
      </c>
      <c r="B12846" t="s">
        <v>1740</v>
      </c>
      <c r="C12846" t="s">
        <v>15704</v>
      </c>
      <c r="D12846" t="s">
        <v>17456</v>
      </c>
      <c r="E12846" t="s">
        <v>28491</v>
      </c>
      <c r="F12846" t="s">
        <v>30052</v>
      </c>
      <c r="G12846" t="s">
        <v>30058</v>
      </c>
      <c r="H12846" t="s">
        <v>30067</v>
      </c>
      <c r="I12846" t="s">
        <v>3693</v>
      </c>
      <c r="J12846" t="s">
        <v>38003</v>
      </c>
      <c r="K12846" t="s">
        <v>39177</v>
      </c>
      <c r="M12846" t="s">
        <v>41157</v>
      </c>
      <c r="N12846" t="s">
        <v>43166</v>
      </c>
      <c r="O12846" t="s">
        <v>43167</v>
      </c>
      <c r="Q12846">
        <v>5</v>
      </c>
      <c r="R12846" t="s">
        <v>43185</v>
      </c>
      <c r="S12846" t="s">
        <v>44021</v>
      </c>
      <c r="T12846" t="s">
        <v>44841</v>
      </c>
      <c r="U12846" t="s">
        <v>53973</v>
      </c>
      <c r="W12846" t="s">
        <v>41157</v>
      </c>
      <c r="X12846" t="s">
        <v>43186</v>
      </c>
    </row>
    <row r="12847" spans="1:24">
      <c r="A12847">
        <f>HYPERLINK("https://www.philgeps.gov.ph/GEPSNONPILOT/Tender/SplashBidNoticeAbstractUI.aspx?menuIndex=3&amp;refID=7054986&amp;Result=3","7054986")</f>
        <v>0</v>
      </c>
      <c r="B12847" t="s">
        <v>3299</v>
      </c>
      <c r="C12847" t="s">
        <v>15705</v>
      </c>
      <c r="D12847" t="s">
        <v>17459</v>
      </c>
      <c r="E12847" t="s">
        <v>28492</v>
      </c>
      <c r="F12847" t="s">
        <v>30052</v>
      </c>
      <c r="G12847" t="s">
        <v>30058</v>
      </c>
      <c r="H12847" t="s">
        <v>30067</v>
      </c>
      <c r="I12847" t="s">
        <v>3693</v>
      </c>
      <c r="J12847" t="s">
        <v>38004</v>
      </c>
      <c r="K12847" t="s">
        <v>39023</v>
      </c>
      <c r="M12847" t="s">
        <v>42934</v>
      </c>
      <c r="N12847" t="s">
        <v>43166</v>
      </c>
      <c r="O12847" t="s">
        <v>43167</v>
      </c>
      <c r="P12847">
        <v>0</v>
      </c>
      <c r="Q12847">
        <v>2</v>
      </c>
      <c r="R12847" t="s">
        <v>43185</v>
      </c>
      <c r="S12847" t="s">
        <v>43930</v>
      </c>
      <c r="T12847" t="s">
        <v>44777</v>
      </c>
      <c r="U12847" t="s">
        <v>55403</v>
      </c>
      <c r="W12847" t="s">
        <v>42934</v>
      </c>
      <c r="X12847" t="s">
        <v>43186</v>
      </c>
    </row>
    <row r="12848" spans="1:24">
      <c r="A12848">
        <f>HYPERLINK("https://www.philgeps.gov.ph/GEPSNONPILOT/Tender/SplashBidNoticeAbstractUI.aspx?menuIndex=3&amp;refID=7054050&amp;Result=3","7054050")</f>
        <v>0</v>
      </c>
      <c r="B12848" t="s">
        <v>3302</v>
      </c>
      <c r="C12848" t="s">
        <v>15706</v>
      </c>
      <c r="D12848" t="s">
        <v>17459</v>
      </c>
      <c r="E12848" t="s">
        <v>18583</v>
      </c>
      <c r="F12848" t="s">
        <v>30052</v>
      </c>
      <c r="G12848" t="s">
        <v>30058</v>
      </c>
      <c r="H12848" t="s">
        <v>30067</v>
      </c>
      <c r="I12848" t="s">
        <v>30106</v>
      </c>
      <c r="J12848" t="s">
        <v>38005</v>
      </c>
      <c r="K12848" t="s">
        <v>39046</v>
      </c>
      <c r="M12848" t="s">
        <v>42938</v>
      </c>
      <c r="N12848" t="s">
        <v>43166</v>
      </c>
      <c r="O12848" t="s">
        <v>43167</v>
      </c>
      <c r="P12848">
        <v>0</v>
      </c>
      <c r="Q12848">
        <v>4</v>
      </c>
      <c r="R12848" t="s">
        <v>43185</v>
      </c>
      <c r="S12848" t="s">
        <v>43930</v>
      </c>
      <c r="T12848" t="s">
        <v>44724</v>
      </c>
      <c r="U12848" t="s">
        <v>55404</v>
      </c>
      <c r="W12848" t="s">
        <v>42938</v>
      </c>
      <c r="X12848" t="s">
        <v>43186</v>
      </c>
    </row>
    <row r="12849" spans="1:24">
      <c r="A12849">
        <f>HYPERLINK("https://www.philgeps.gov.ph/GEPSNONPILOT/Tender/SplashBidNoticeAbstractUI.aspx?menuIndex=3&amp;refID=7054199&amp;Result=3","7054199")</f>
        <v>0</v>
      </c>
      <c r="B12849" t="s">
        <v>1059</v>
      </c>
      <c r="C12849" t="s">
        <v>15707</v>
      </c>
      <c r="D12849" t="s">
        <v>17432</v>
      </c>
      <c r="E12849" t="s">
        <v>28493</v>
      </c>
      <c r="F12849" t="s">
        <v>30052</v>
      </c>
      <c r="G12849" t="s">
        <v>30058</v>
      </c>
      <c r="H12849" t="s">
        <v>30067</v>
      </c>
      <c r="I12849" t="s">
        <v>4598</v>
      </c>
      <c r="J12849" t="s">
        <v>30247</v>
      </c>
      <c r="K12849" t="s">
        <v>39023</v>
      </c>
      <c r="M12849" t="s">
        <v>40394</v>
      </c>
      <c r="N12849" t="s">
        <v>43166</v>
      </c>
      <c r="O12849" t="s">
        <v>43167</v>
      </c>
      <c r="P12849">
        <v>0</v>
      </c>
      <c r="Q12849">
        <v>14</v>
      </c>
      <c r="R12849" t="s">
        <v>43185</v>
      </c>
      <c r="S12849" t="s">
        <v>43930</v>
      </c>
      <c r="T12849" t="s">
        <v>44696</v>
      </c>
      <c r="U12849" t="s">
        <v>55405</v>
      </c>
      <c r="V12849" t="s">
        <v>57136</v>
      </c>
      <c r="W12849" t="s">
        <v>40394</v>
      </c>
      <c r="X12849" t="s">
        <v>43186</v>
      </c>
    </row>
    <row r="12850" spans="1:24">
      <c r="A12850">
        <f>HYPERLINK("https://www.philgeps.gov.ph/GEPSNONPILOT/Tender/SplashBidNoticeAbstractUI.aspx?menuIndex=3&amp;refID=7054043&amp;Result=3","7054043")</f>
        <v>0</v>
      </c>
      <c r="B12850" t="s">
        <v>3025</v>
      </c>
      <c r="C12850" t="s">
        <v>15598</v>
      </c>
      <c r="D12850" t="s">
        <v>17470</v>
      </c>
      <c r="E12850" t="s">
        <v>28494</v>
      </c>
      <c r="F12850" t="s">
        <v>30052</v>
      </c>
      <c r="G12850" t="s">
        <v>30058</v>
      </c>
      <c r="H12850" t="s">
        <v>30067</v>
      </c>
      <c r="I12850" t="s">
        <v>3693</v>
      </c>
      <c r="J12850" t="s">
        <v>38006</v>
      </c>
      <c r="K12850" t="s">
        <v>39031</v>
      </c>
      <c r="M12850" t="s">
        <v>42603</v>
      </c>
      <c r="N12850" t="s">
        <v>43166</v>
      </c>
      <c r="O12850" t="s">
        <v>43167</v>
      </c>
      <c r="P12850">
        <v>0</v>
      </c>
      <c r="Q12850">
        <v>1</v>
      </c>
      <c r="R12850" t="s">
        <v>43185</v>
      </c>
      <c r="S12850" t="s">
        <v>43930</v>
      </c>
      <c r="T12850" t="s">
        <v>44733</v>
      </c>
      <c r="U12850" t="s">
        <v>55406</v>
      </c>
      <c r="V12850" t="s">
        <v>58331</v>
      </c>
      <c r="W12850" t="s">
        <v>42603</v>
      </c>
      <c r="X12850" t="s">
        <v>43186</v>
      </c>
    </row>
    <row r="12851" spans="1:24">
      <c r="A12851">
        <f>HYPERLINK("https://www.philgeps.gov.ph/GEPSNONPILOT/Tender/SplashBidNoticeAbstractUI.aspx?menuIndex=3&amp;refID=7071149&amp;Result=3","7071149")</f>
        <v>0</v>
      </c>
      <c r="B12851" t="s">
        <v>3298</v>
      </c>
      <c r="C12851" t="s">
        <v>15708</v>
      </c>
      <c r="D12851" t="s">
        <v>17452</v>
      </c>
      <c r="E12851" t="s">
        <v>23772</v>
      </c>
      <c r="F12851" t="s">
        <v>30052</v>
      </c>
      <c r="G12851" t="s">
        <v>30058</v>
      </c>
      <c r="H12851" t="s">
        <v>30067</v>
      </c>
      <c r="I12851" t="s">
        <v>3693</v>
      </c>
      <c r="J12851" t="s">
        <v>38007</v>
      </c>
      <c r="K12851" t="s">
        <v>39127</v>
      </c>
      <c r="M12851" t="s">
        <v>42933</v>
      </c>
      <c r="N12851" t="s">
        <v>43166</v>
      </c>
      <c r="O12851" t="s">
        <v>43167</v>
      </c>
      <c r="P12851">
        <v>0</v>
      </c>
      <c r="Q12851">
        <v>2</v>
      </c>
      <c r="R12851" t="s">
        <v>43177</v>
      </c>
      <c r="S12851" t="s">
        <v>43494</v>
      </c>
      <c r="T12851" t="s">
        <v>44716</v>
      </c>
      <c r="U12851" t="s">
        <v>55407</v>
      </c>
      <c r="W12851" t="s">
        <v>42933</v>
      </c>
      <c r="X12851" t="s">
        <v>43178</v>
      </c>
    </row>
    <row r="12852" spans="1:24">
      <c r="A12852">
        <f>HYPERLINK("https://www.philgeps.gov.ph/GEPSNONPILOT/Tender/SplashBidNoticeAbstractUI.aspx?menuIndex=3&amp;refID=7054191&amp;Result=3","7054191")</f>
        <v>0</v>
      </c>
      <c r="B12852" t="s">
        <v>852</v>
      </c>
      <c r="C12852" t="s">
        <v>15709</v>
      </c>
      <c r="D12852" t="s">
        <v>17440</v>
      </c>
      <c r="E12852" t="s">
        <v>28495</v>
      </c>
      <c r="F12852" t="s">
        <v>30055</v>
      </c>
      <c r="G12852" t="s">
        <v>30058</v>
      </c>
      <c r="H12852" t="s">
        <v>15498</v>
      </c>
      <c r="I12852" t="s">
        <v>9238</v>
      </c>
      <c r="J12852" t="s">
        <v>31848</v>
      </c>
      <c r="K12852" t="s">
        <v>39031</v>
      </c>
      <c r="M12852" t="s">
        <v>40169</v>
      </c>
      <c r="N12852" t="s">
        <v>43166</v>
      </c>
      <c r="O12852" t="s">
        <v>43167</v>
      </c>
      <c r="P12852">
        <v>0</v>
      </c>
      <c r="Q12852">
        <v>9</v>
      </c>
      <c r="R12852" t="s">
        <v>43185</v>
      </c>
      <c r="S12852" t="s">
        <v>43930</v>
      </c>
      <c r="T12852" t="s">
        <v>44723</v>
      </c>
      <c r="U12852" t="s">
        <v>55408</v>
      </c>
      <c r="W12852" t="s">
        <v>40169</v>
      </c>
      <c r="X12852" t="s">
        <v>43186</v>
      </c>
    </row>
    <row r="12853" spans="1:24">
      <c r="A12853">
        <f>HYPERLINK("https://www.philgeps.gov.ph/GEPSNONPILOT/Tender/SplashBidNoticeAbstractUI.aspx?menuIndex=3&amp;refID=7054989&amp;Result=3","7054989")</f>
        <v>0</v>
      </c>
      <c r="B12853" t="s">
        <v>777</v>
      </c>
      <c r="C12853" t="s">
        <v>15710</v>
      </c>
      <c r="E12853" t="s">
        <v>28496</v>
      </c>
      <c r="F12853" t="s">
        <v>30052</v>
      </c>
      <c r="G12853" t="s">
        <v>30058</v>
      </c>
      <c r="H12853" t="s">
        <v>15498</v>
      </c>
      <c r="I12853" t="s">
        <v>3693</v>
      </c>
      <c r="J12853" t="s">
        <v>38008</v>
      </c>
      <c r="K12853" t="s">
        <v>39025</v>
      </c>
      <c r="M12853" t="s">
        <v>40092</v>
      </c>
      <c r="N12853" t="s">
        <v>43166</v>
      </c>
      <c r="O12853" t="s">
        <v>43167</v>
      </c>
      <c r="P12853">
        <v>0</v>
      </c>
      <c r="Q12853">
        <v>0</v>
      </c>
      <c r="R12853" t="s">
        <v>43185</v>
      </c>
      <c r="S12853" t="s">
        <v>43930</v>
      </c>
      <c r="T12853" t="s">
        <v>44696</v>
      </c>
      <c r="U12853" t="s">
        <v>55409</v>
      </c>
      <c r="W12853" t="s">
        <v>40092</v>
      </c>
      <c r="X12853" t="s">
        <v>43186</v>
      </c>
    </row>
    <row r="12854" spans="1:24">
      <c r="A12854">
        <f>HYPERLINK("https://www.philgeps.gov.ph/GEPSNONPILOT/Tender/SplashBidNoticeAbstractUI.aspx?menuIndex=3&amp;refID=7071139&amp;Result=3","7071139")</f>
        <v>0</v>
      </c>
      <c r="B12854" t="s">
        <v>1585</v>
      </c>
      <c r="C12854" t="s">
        <v>15711</v>
      </c>
      <c r="D12854" t="s">
        <v>17476</v>
      </c>
      <c r="E12854" t="s">
        <v>28497</v>
      </c>
      <c r="F12854" t="s">
        <v>30052</v>
      </c>
      <c r="G12854" t="s">
        <v>30058</v>
      </c>
      <c r="H12854" t="s">
        <v>30067</v>
      </c>
      <c r="I12854" t="s">
        <v>3693</v>
      </c>
      <c r="J12854" t="s">
        <v>38009</v>
      </c>
      <c r="K12854" t="s">
        <v>39017</v>
      </c>
      <c r="M12854" t="s">
        <v>40978</v>
      </c>
      <c r="N12854" t="s">
        <v>43166</v>
      </c>
      <c r="O12854" t="s">
        <v>43167</v>
      </c>
      <c r="P12854">
        <v>0</v>
      </c>
      <c r="Q12854">
        <v>0</v>
      </c>
      <c r="R12854" t="s">
        <v>43177</v>
      </c>
      <c r="S12854" t="s">
        <v>43494</v>
      </c>
      <c r="T12854" t="s">
        <v>44716</v>
      </c>
      <c r="U12854" t="s">
        <v>55410</v>
      </c>
      <c r="W12854" t="s">
        <v>40978</v>
      </c>
      <c r="X12854" t="s">
        <v>43178</v>
      </c>
    </row>
    <row r="12855" spans="1:24">
      <c r="A12855">
        <f>HYPERLINK("https://www.philgeps.gov.ph/GEPSNONPILOT/Tender/SplashBidNoticeAbstractUI.aspx?menuIndex=3&amp;refID=7070881&amp;Result=3","7070881")</f>
        <v>0</v>
      </c>
      <c r="B12855" t="s">
        <v>2320</v>
      </c>
      <c r="C12855" t="s">
        <v>15712</v>
      </c>
      <c r="D12855" t="s">
        <v>17462</v>
      </c>
      <c r="E12855" t="s">
        <v>25614</v>
      </c>
      <c r="F12855" t="s">
        <v>30052</v>
      </c>
      <c r="G12855" t="s">
        <v>30058</v>
      </c>
      <c r="H12855" t="s">
        <v>30067</v>
      </c>
      <c r="I12855" t="s">
        <v>3693</v>
      </c>
      <c r="J12855" t="s">
        <v>30321</v>
      </c>
      <c r="K12855" t="s">
        <v>39061</v>
      </c>
      <c r="M12855" t="s">
        <v>41807</v>
      </c>
      <c r="N12855" t="s">
        <v>43166</v>
      </c>
      <c r="O12855" t="s">
        <v>43167</v>
      </c>
      <c r="P12855">
        <v>0</v>
      </c>
      <c r="Q12855">
        <v>14</v>
      </c>
      <c r="R12855" t="s">
        <v>43177</v>
      </c>
      <c r="S12855" t="s">
        <v>43494</v>
      </c>
      <c r="T12855" t="s">
        <v>44711</v>
      </c>
      <c r="U12855" t="s">
        <v>52800</v>
      </c>
      <c r="V12855" t="s">
        <v>57857</v>
      </c>
      <c r="W12855" t="s">
        <v>58688</v>
      </c>
      <c r="X12855" t="s">
        <v>43178</v>
      </c>
    </row>
    <row r="12856" spans="1:24">
      <c r="A12856">
        <f>HYPERLINK("https://www.philgeps.gov.ph/GEPSNONPILOT/Tender/SplashBidNoticeAbstractUI.aspx?menuIndex=3&amp;refID=7054056&amp;Result=3","7054056")</f>
        <v>0</v>
      </c>
      <c r="B12856" t="s">
        <v>2990</v>
      </c>
      <c r="C12856" t="s">
        <v>15713</v>
      </c>
      <c r="D12856" t="s">
        <v>17461</v>
      </c>
      <c r="E12856" t="s">
        <v>28498</v>
      </c>
      <c r="F12856" t="s">
        <v>30052</v>
      </c>
      <c r="G12856" t="s">
        <v>30058</v>
      </c>
      <c r="H12856" t="s">
        <v>15498</v>
      </c>
      <c r="I12856" t="s">
        <v>30097</v>
      </c>
      <c r="J12856" t="s">
        <v>31344</v>
      </c>
      <c r="K12856" t="s">
        <v>39029</v>
      </c>
      <c r="M12856" t="s">
        <v>42560</v>
      </c>
      <c r="N12856" t="s">
        <v>43166</v>
      </c>
      <c r="O12856" t="s">
        <v>43167</v>
      </c>
      <c r="Q12856">
        <v>8</v>
      </c>
      <c r="R12856" t="s">
        <v>43185</v>
      </c>
      <c r="S12856" t="s">
        <v>44022</v>
      </c>
      <c r="T12856" t="s">
        <v>44787</v>
      </c>
      <c r="U12856" t="s">
        <v>55411</v>
      </c>
      <c r="W12856" t="s">
        <v>42560</v>
      </c>
      <c r="X12856" t="s">
        <v>43186</v>
      </c>
    </row>
    <row r="12857" spans="1:24">
      <c r="A12857">
        <f>HYPERLINK("https://www.philgeps.gov.ph/GEPSNONPILOT/Tender/SplashBidNoticeAbstractUI.aspx?menuIndex=3&amp;refID=7070867&amp;Result=3","7070867")</f>
        <v>0</v>
      </c>
      <c r="B12857" t="s">
        <v>760</v>
      </c>
      <c r="C12857" t="s">
        <v>15714</v>
      </c>
      <c r="D12857" t="s">
        <v>17415</v>
      </c>
      <c r="E12857" t="s">
        <v>23548</v>
      </c>
      <c r="F12857" t="s">
        <v>30052</v>
      </c>
      <c r="G12857" t="s">
        <v>30058</v>
      </c>
      <c r="H12857" t="s">
        <v>15498</v>
      </c>
      <c r="I12857" t="s">
        <v>3606</v>
      </c>
      <c r="J12857" t="s">
        <v>38010</v>
      </c>
      <c r="K12857" t="s">
        <v>39064</v>
      </c>
      <c r="M12857" t="s">
        <v>40074</v>
      </c>
      <c r="N12857" t="s">
        <v>43166</v>
      </c>
      <c r="O12857" t="s">
        <v>43167</v>
      </c>
      <c r="P12857">
        <v>0</v>
      </c>
      <c r="Q12857">
        <v>5</v>
      </c>
      <c r="R12857" t="s">
        <v>43177</v>
      </c>
      <c r="S12857" t="s">
        <v>43494</v>
      </c>
      <c r="T12857" t="s">
        <v>44873</v>
      </c>
      <c r="U12857" t="s">
        <v>55412</v>
      </c>
      <c r="W12857" t="s">
        <v>40074</v>
      </c>
      <c r="X12857" t="s">
        <v>43178</v>
      </c>
    </row>
    <row r="12858" spans="1:24">
      <c r="A12858">
        <f>HYPERLINK("https://www.philgeps.gov.ph/GEPSNONPILOT/Tender/SplashBidNoticeAbstractUI.aspx?menuIndex=3&amp;refID=7054194&amp;Result=3","7054194")</f>
        <v>0</v>
      </c>
      <c r="B12858" t="s">
        <v>3084</v>
      </c>
      <c r="C12858" t="s">
        <v>15715</v>
      </c>
      <c r="D12858" t="s">
        <v>17452</v>
      </c>
      <c r="E12858" t="s">
        <v>28499</v>
      </c>
      <c r="F12858" t="s">
        <v>30052</v>
      </c>
      <c r="G12858" t="s">
        <v>30058</v>
      </c>
      <c r="H12858" t="s">
        <v>30067</v>
      </c>
      <c r="I12858" t="s">
        <v>3693</v>
      </c>
      <c r="J12858" t="s">
        <v>38011</v>
      </c>
      <c r="K12858" t="s">
        <v>39026</v>
      </c>
      <c r="M12858" t="s">
        <v>42668</v>
      </c>
      <c r="N12858" t="s">
        <v>43166</v>
      </c>
      <c r="O12858" t="s">
        <v>43167</v>
      </c>
      <c r="P12858">
        <v>0</v>
      </c>
      <c r="Q12858">
        <v>2</v>
      </c>
      <c r="R12858" t="s">
        <v>43185</v>
      </c>
      <c r="S12858" t="s">
        <v>43930</v>
      </c>
      <c r="T12858" t="s">
        <v>44837</v>
      </c>
      <c r="U12858" t="s">
        <v>55413</v>
      </c>
      <c r="W12858" t="s">
        <v>42668</v>
      </c>
      <c r="X12858" t="s">
        <v>43186</v>
      </c>
    </row>
    <row r="12859" spans="1:24">
      <c r="A12859">
        <f>HYPERLINK("https://www.philgeps.gov.ph/GEPSNONPILOT/Tender/SplashBidNoticeAbstractUI.aspx?menuIndex=3&amp;refID=7055239&amp;Result=3","7055239")</f>
        <v>0</v>
      </c>
      <c r="B12859" t="s">
        <v>1321</v>
      </c>
      <c r="C12859" t="s">
        <v>15716</v>
      </c>
      <c r="E12859" t="s">
        <v>28500</v>
      </c>
      <c r="F12859" t="s">
        <v>30052</v>
      </c>
      <c r="G12859" t="s">
        <v>30058</v>
      </c>
      <c r="H12859" t="s">
        <v>15498</v>
      </c>
      <c r="I12859" t="s">
        <v>4650</v>
      </c>
      <c r="J12859" t="s">
        <v>38012</v>
      </c>
      <c r="K12859" t="s">
        <v>39029</v>
      </c>
      <c r="M12859" t="s">
        <v>42939</v>
      </c>
      <c r="N12859" t="s">
        <v>43166</v>
      </c>
      <c r="O12859" t="s">
        <v>43167</v>
      </c>
      <c r="Q12859">
        <v>9</v>
      </c>
      <c r="R12859" t="s">
        <v>43185</v>
      </c>
      <c r="S12859" t="s">
        <v>44023</v>
      </c>
      <c r="T12859" t="s">
        <v>44724</v>
      </c>
      <c r="U12859" t="s">
        <v>55414</v>
      </c>
      <c r="W12859" t="s">
        <v>42939</v>
      </c>
      <c r="X12859" t="s">
        <v>43186</v>
      </c>
    </row>
    <row r="12860" spans="1:24">
      <c r="A12860">
        <f>HYPERLINK("https://www.philgeps.gov.ph/GEPSNONPILOT/Tender/SplashBidNoticeAbstractUI.aspx?menuIndex=3&amp;refID=7071148&amp;Result=3","7071148")</f>
        <v>0</v>
      </c>
      <c r="B12860" t="s">
        <v>1585</v>
      </c>
      <c r="C12860" t="s">
        <v>15717</v>
      </c>
      <c r="D12860" t="s">
        <v>17476</v>
      </c>
      <c r="E12860" t="s">
        <v>28501</v>
      </c>
      <c r="F12860" t="s">
        <v>30052</v>
      </c>
      <c r="G12860" t="s">
        <v>30058</v>
      </c>
      <c r="H12860" t="s">
        <v>30067</v>
      </c>
      <c r="I12860" t="s">
        <v>3693</v>
      </c>
      <c r="J12860" t="s">
        <v>38013</v>
      </c>
      <c r="K12860" t="s">
        <v>39026</v>
      </c>
      <c r="M12860" t="s">
        <v>40978</v>
      </c>
      <c r="N12860" t="s">
        <v>43166</v>
      </c>
      <c r="O12860" t="s">
        <v>43167</v>
      </c>
      <c r="P12860">
        <v>0</v>
      </c>
      <c r="Q12860">
        <v>0</v>
      </c>
      <c r="R12860" t="s">
        <v>43177</v>
      </c>
      <c r="S12860" t="s">
        <v>43494</v>
      </c>
      <c r="T12860" t="s">
        <v>44716</v>
      </c>
      <c r="U12860" t="s">
        <v>55415</v>
      </c>
      <c r="W12860" t="s">
        <v>40978</v>
      </c>
      <c r="X12860" t="s">
        <v>43178</v>
      </c>
    </row>
    <row r="12861" spans="1:24">
      <c r="A12861">
        <f>HYPERLINK("https://www.philgeps.gov.ph/GEPSNONPILOT/Tender/SplashBidNoticeAbstractUI.aspx?menuIndex=3&amp;refID=7055229&amp;Result=3","7055229")</f>
        <v>0</v>
      </c>
      <c r="B12861" t="s">
        <v>3303</v>
      </c>
      <c r="C12861" t="s">
        <v>15718</v>
      </c>
      <c r="D12861" t="s">
        <v>17445</v>
      </c>
      <c r="E12861" t="s">
        <v>17877</v>
      </c>
      <c r="F12861" t="s">
        <v>30052</v>
      </c>
      <c r="G12861" t="s">
        <v>30059</v>
      </c>
      <c r="H12861" t="s">
        <v>30067</v>
      </c>
      <c r="I12861" t="s">
        <v>3693</v>
      </c>
      <c r="J12861" t="s">
        <v>38014</v>
      </c>
      <c r="K12861" t="s">
        <v>39029</v>
      </c>
      <c r="M12861" t="s">
        <v>42940</v>
      </c>
      <c r="N12861" t="s">
        <v>43166</v>
      </c>
      <c r="O12861" t="s">
        <v>43167</v>
      </c>
      <c r="Q12861">
        <v>1</v>
      </c>
      <c r="R12861" t="s">
        <v>43185</v>
      </c>
      <c r="S12861" t="s">
        <v>44024</v>
      </c>
      <c r="T12861" t="s">
        <v>44693</v>
      </c>
      <c r="U12861" t="s">
        <v>55416</v>
      </c>
      <c r="V12861" t="s">
        <v>58332</v>
      </c>
      <c r="W12861" t="s">
        <v>42940</v>
      </c>
      <c r="X12861" t="s">
        <v>43186</v>
      </c>
    </row>
    <row r="12862" spans="1:24">
      <c r="A12862">
        <f>HYPERLINK("https://www.philgeps.gov.ph/GEPSNONPILOT/Tender/SplashBidNoticeAbstractUI.aspx?menuIndex=3&amp;refID=7054068&amp;Result=3","7054068")</f>
        <v>0</v>
      </c>
      <c r="B12862" t="s">
        <v>1667</v>
      </c>
      <c r="C12862" t="s">
        <v>15719</v>
      </c>
      <c r="D12862" t="s">
        <v>17416</v>
      </c>
      <c r="E12862" t="s">
        <v>28502</v>
      </c>
      <c r="F12862" t="s">
        <v>30052</v>
      </c>
      <c r="G12862" t="s">
        <v>30058</v>
      </c>
      <c r="H12862" t="s">
        <v>15498</v>
      </c>
      <c r="I12862" t="s">
        <v>30130</v>
      </c>
      <c r="J12862" t="s">
        <v>38015</v>
      </c>
      <c r="K12862" t="s">
        <v>39017</v>
      </c>
      <c r="M12862" t="s">
        <v>41074</v>
      </c>
      <c r="N12862" t="s">
        <v>43166</v>
      </c>
      <c r="O12862" t="s">
        <v>43167</v>
      </c>
      <c r="P12862">
        <v>0</v>
      </c>
      <c r="Q12862">
        <v>11</v>
      </c>
      <c r="R12862" t="s">
        <v>43185</v>
      </c>
      <c r="S12862" t="s">
        <v>43930</v>
      </c>
      <c r="T12862" t="s">
        <v>44943</v>
      </c>
      <c r="U12862" t="s">
        <v>55417</v>
      </c>
      <c r="W12862" t="s">
        <v>41074</v>
      </c>
      <c r="X12862" t="s">
        <v>43186</v>
      </c>
    </row>
    <row r="12863" spans="1:24">
      <c r="A12863">
        <f>HYPERLINK("https://www.philgeps.gov.ph/GEPSNONPILOT/Tender/SplashBidNoticeAbstractUI.aspx?menuIndex=3&amp;refID=7070879&amp;Result=3","7070879")</f>
        <v>0</v>
      </c>
      <c r="B12863" t="s">
        <v>2468</v>
      </c>
      <c r="C12863" t="s">
        <v>15720</v>
      </c>
      <c r="D12863" t="s">
        <v>17458</v>
      </c>
      <c r="E12863" t="s">
        <v>28503</v>
      </c>
      <c r="F12863" t="s">
        <v>30052</v>
      </c>
      <c r="G12863" t="s">
        <v>30061</v>
      </c>
      <c r="H12863" t="s">
        <v>15498</v>
      </c>
      <c r="I12863" t="s">
        <v>30070</v>
      </c>
      <c r="J12863" t="s">
        <v>32932</v>
      </c>
      <c r="K12863" t="s">
        <v>39025</v>
      </c>
      <c r="M12863" t="s">
        <v>41968</v>
      </c>
      <c r="N12863" t="s">
        <v>43166</v>
      </c>
      <c r="O12863" t="s">
        <v>43167</v>
      </c>
      <c r="P12863">
        <v>0</v>
      </c>
      <c r="Q12863">
        <v>0</v>
      </c>
      <c r="R12863" t="s">
        <v>43177</v>
      </c>
      <c r="S12863" t="s">
        <v>43494</v>
      </c>
      <c r="T12863" t="s">
        <v>44822</v>
      </c>
      <c r="U12863" t="s">
        <v>51712</v>
      </c>
      <c r="W12863" t="s">
        <v>41968</v>
      </c>
      <c r="X12863" t="s">
        <v>43178</v>
      </c>
    </row>
    <row r="12864" spans="1:24">
      <c r="A12864">
        <f>HYPERLINK("https://www.philgeps.gov.ph/GEPSNONPILOT/Tender/SplashBidNoticeAbstractUI.aspx?menuIndex=3&amp;refID=7055218&amp;Result=3","7055218")</f>
        <v>0</v>
      </c>
      <c r="B12864" t="s">
        <v>3303</v>
      </c>
      <c r="C12864" t="s">
        <v>15721</v>
      </c>
      <c r="D12864" t="s">
        <v>17445</v>
      </c>
      <c r="E12864" t="s">
        <v>17613</v>
      </c>
      <c r="F12864" t="s">
        <v>30052</v>
      </c>
      <c r="G12864" t="s">
        <v>30058</v>
      </c>
      <c r="H12864" t="s">
        <v>30067</v>
      </c>
      <c r="I12864" t="s">
        <v>3693</v>
      </c>
      <c r="J12864" t="s">
        <v>38016</v>
      </c>
      <c r="K12864" t="s">
        <v>39046</v>
      </c>
      <c r="M12864" t="s">
        <v>42940</v>
      </c>
      <c r="N12864" t="s">
        <v>43166</v>
      </c>
      <c r="O12864" t="s">
        <v>43167</v>
      </c>
      <c r="Q12864">
        <v>1</v>
      </c>
      <c r="R12864" t="s">
        <v>43185</v>
      </c>
      <c r="S12864" t="s">
        <v>43617</v>
      </c>
      <c r="T12864" t="s">
        <v>44693</v>
      </c>
      <c r="U12864" t="s">
        <v>55418</v>
      </c>
      <c r="V12864" t="s">
        <v>58332</v>
      </c>
      <c r="W12864" t="s">
        <v>42940</v>
      </c>
      <c r="X12864" t="s">
        <v>43186</v>
      </c>
    </row>
    <row r="12865" spans="1:24">
      <c r="A12865">
        <f>HYPERLINK("https://www.philgeps.gov.ph/GEPSNONPILOT/Tender/SplashBidNoticeAbstractUI.aspx?menuIndex=3&amp;refID=7054178&amp;Result=3","7054178")</f>
        <v>0</v>
      </c>
      <c r="B12865" t="s">
        <v>3025</v>
      </c>
      <c r="C12865" t="s">
        <v>15722</v>
      </c>
      <c r="D12865" t="s">
        <v>17470</v>
      </c>
      <c r="E12865" t="s">
        <v>28504</v>
      </c>
      <c r="F12865" t="s">
        <v>30052</v>
      </c>
      <c r="G12865" t="s">
        <v>30058</v>
      </c>
      <c r="H12865" t="s">
        <v>30067</v>
      </c>
      <c r="I12865" t="s">
        <v>3693</v>
      </c>
      <c r="J12865" t="s">
        <v>38017</v>
      </c>
      <c r="K12865" t="s">
        <v>39026</v>
      </c>
      <c r="M12865" t="s">
        <v>42603</v>
      </c>
      <c r="N12865" t="s">
        <v>43166</v>
      </c>
      <c r="O12865" t="s">
        <v>43167</v>
      </c>
      <c r="P12865">
        <v>0</v>
      </c>
      <c r="Q12865">
        <v>1</v>
      </c>
      <c r="R12865" t="s">
        <v>43185</v>
      </c>
      <c r="S12865" t="s">
        <v>43930</v>
      </c>
      <c r="T12865" t="s">
        <v>44733</v>
      </c>
      <c r="U12865" t="s">
        <v>55419</v>
      </c>
      <c r="V12865" t="s">
        <v>58333</v>
      </c>
      <c r="W12865" t="s">
        <v>42603</v>
      </c>
      <c r="X12865" t="s">
        <v>43186</v>
      </c>
    </row>
    <row r="12866" spans="1:24">
      <c r="A12866">
        <f>HYPERLINK("https://www.philgeps.gov.ph/GEPSNONPILOT/Tender/SplashBidNoticeAbstractUI.aspx?menuIndex=3&amp;refID=7055210&amp;Result=3","7055210")</f>
        <v>0</v>
      </c>
      <c r="B12866" t="s">
        <v>3304</v>
      </c>
      <c r="C12866" t="s">
        <v>15723</v>
      </c>
      <c r="D12866" t="s">
        <v>17452</v>
      </c>
      <c r="E12866" t="s">
        <v>28505</v>
      </c>
      <c r="F12866" t="s">
        <v>30052</v>
      </c>
      <c r="G12866" t="s">
        <v>30058</v>
      </c>
      <c r="H12866" t="s">
        <v>15498</v>
      </c>
      <c r="I12866" t="s">
        <v>3736</v>
      </c>
      <c r="J12866" t="s">
        <v>38018</v>
      </c>
      <c r="K12866" t="s">
        <v>39019</v>
      </c>
      <c r="L12866" t="s">
        <v>3304</v>
      </c>
      <c r="M12866" t="s">
        <v>42941</v>
      </c>
      <c r="N12866" t="s">
        <v>43166</v>
      </c>
      <c r="O12866" t="s">
        <v>43167</v>
      </c>
      <c r="P12866">
        <v>0</v>
      </c>
      <c r="Q12866">
        <v>1</v>
      </c>
      <c r="R12866" t="s">
        <v>43185</v>
      </c>
      <c r="S12866" t="s">
        <v>43930</v>
      </c>
      <c r="T12866" t="s">
        <v>44806</v>
      </c>
      <c r="U12866" t="s">
        <v>55420</v>
      </c>
      <c r="W12866" t="s">
        <v>42941</v>
      </c>
      <c r="X12866" t="s">
        <v>43186</v>
      </c>
    </row>
    <row r="12867" spans="1:24">
      <c r="A12867">
        <f>HYPERLINK("https://www.philgeps.gov.ph/GEPSNONPILOT/Tender/SplashBidNoticeAbstractUI.aspx?menuIndex=3&amp;refID=7055185&amp;Result=3","7055185")</f>
        <v>0</v>
      </c>
      <c r="B12867" t="s">
        <v>1801</v>
      </c>
      <c r="C12867" t="s">
        <v>15724</v>
      </c>
      <c r="D12867" t="s">
        <v>17440</v>
      </c>
      <c r="E12867" t="s">
        <v>28506</v>
      </c>
      <c r="F12867" t="s">
        <v>30052</v>
      </c>
      <c r="G12867" t="s">
        <v>30058</v>
      </c>
      <c r="H12867" t="s">
        <v>30067</v>
      </c>
      <c r="I12867" t="s">
        <v>3693</v>
      </c>
      <c r="J12867" t="s">
        <v>38019</v>
      </c>
      <c r="K12867" t="s">
        <v>39022</v>
      </c>
      <c r="M12867" t="s">
        <v>41224</v>
      </c>
      <c r="N12867" t="s">
        <v>43166</v>
      </c>
      <c r="O12867" t="s">
        <v>43167</v>
      </c>
      <c r="Q12867">
        <v>36</v>
      </c>
      <c r="R12867" t="s">
        <v>43185</v>
      </c>
      <c r="S12867" t="s">
        <v>43767</v>
      </c>
      <c r="T12867" t="s">
        <v>44698</v>
      </c>
      <c r="U12867" t="s">
        <v>55421</v>
      </c>
      <c r="V12867" t="s">
        <v>57409</v>
      </c>
      <c r="W12867" t="s">
        <v>41224</v>
      </c>
      <c r="X12867" t="s">
        <v>43186</v>
      </c>
    </row>
    <row r="12868" spans="1:24">
      <c r="A12868">
        <f>HYPERLINK("https://www.philgeps.gov.ph/GEPSNONPILOT/Tender/SplashBidNoticeAbstractUI.aspx?menuIndex=3&amp;refID=7071137&amp;Result=3","7071137")</f>
        <v>0</v>
      </c>
      <c r="B12868" t="s">
        <v>2248</v>
      </c>
      <c r="C12868" t="s">
        <v>15725</v>
      </c>
      <c r="D12868" t="s">
        <v>17424</v>
      </c>
      <c r="E12868" t="s">
        <v>28507</v>
      </c>
      <c r="F12868" t="s">
        <v>30052</v>
      </c>
      <c r="G12868" t="s">
        <v>30058</v>
      </c>
      <c r="H12868" t="s">
        <v>30067</v>
      </c>
      <c r="I12868" t="s">
        <v>3693</v>
      </c>
      <c r="J12868" t="s">
        <v>38020</v>
      </c>
      <c r="K12868" t="s">
        <v>39114</v>
      </c>
      <c r="M12868" t="s">
        <v>41726</v>
      </c>
      <c r="N12868" t="s">
        <v>43166</v>
      </c>
      <c r="O12868" t="s">
        <v>43167</v>
      </c>
      <c r="Q12868">
        <v>20</v>
      </c>
      <c r="R12868" t="s">
        <v>43177</v>
      </c>
      <c r="S12868" t="s">
        <v>43366</v>
      </c>
      <c r="T12868" t="s">
        <v>44781</v>
      </c>
      <c r="U12868" t="s">
        <v>52828</v>
      </c>
      <c r="W12868" t="s">
        <v>41726</v>
      </c>
      <c r="X12868" t="s">
        <v>43178</v>
      </c>
    </row>
    <row r="12869" spans="1:24">
      <c r="A12869">
        <f>HYPERLINK("https://www.philgeps.gov.ph/GEPSNONPILOT/Tender/SplashBidNoticeAbstractUI.aspx?menuIndex=3&amp;refID=7055170&amp;Result=3","7055170")</f>
        <v>0</v>
      </c>
      <c r="B12869" t="s">
        <v>1801</v>
      </c>
      <c r="C12869" t="s">
        <v>15726</v>
      </c>
      <c r="D12869" t="s">
        <v>17440</v>
      </c>
      <c r="E12869" t="s">
        <v>28508</v>
      </c>
      <c r="F12869" t="s">
        <v>30052</v>
      </c>
      <c r="G12869" t="s">
        <v>30058</v>
      </c>
      <c r="H12869" t="s">
        <v>30067</v>
      </c>
      <c r="I12869" t="s">
        <v>3693</v>
      </c>
      <c r="J12869" t="s">
        <v>38021</v>
      </c>
      <c r="K12869" t="s">
        <v>39022</v>
      </c>
      <c r="M12869" t="s">
        <v>41224</v>
      </c>
      <c r="N12869" t="s">
        <v>43166</v>
      </c>
      <c r="O12869" t="s">
        <v>43167</v>
      </c>
      <c r="Q12869">
        <v>34</v>
      </c>
      <c r="R12869" t="s">
        <v>43185</v>
      </c>
      <c r="S12869" t="s">
        <v>44025</v>
      </c>
      <c r="T12869" t="s">
        <v>44698</v>
      </c>
      <c r="U12869" t="s">
        <v>55422</v>
      </c>
      <c r="V12869" t="s">
        <v>57409</v>
      </c>
      <c r="W12869" t="s">
        <v>41224</v>
      </c>
      <c r="X12869" t="s">
        <v>43186</v>
      </c>
    </row>
    <row r="12870" spans="1:24">
      <c r="A12870">
        <f>HYPERLINK("https://www.philgeps.gov.ph/GEPSNONPILOT/Tender/SplashBidNoticeAbstractUI.aspx?menuIndex=3&amp;refID=7055214&amp;Result=3","7055214")</f>
        <v>0</v>
      </c>
      <c r="B12870" t="s">
        <v>74</v>
      </c>
      <c r="C12870" t="s">
        <v>15727</v>
      </c>
      <c r="E12870" t="s">
        <v>28509</v>
      </c>
      <c r="F12870" t="s">
        <v>30052</v>
      </c>
      <c r="G12870" t="s">
        <v>30058</v>
      </c>
      <c r="H12870" t="s">
        <v>30067</v>
      </c>
      <c r="I12870" t="s">
        <v>3693</v>
      </c>
      <c r="J12870" t="s">
        <v>38022</v>
      </c>
      <c r="K12870" t="s">
        <v>39025</v>
      </c>
      <c r="M12870" t="s">
        <v>39363</v>
      </c>
      <c r="N12870" t="s">
        <v>43166</v>
      </c>
      <c r="O12870" t="s">
        <v>43167</v>
      </c>
      <c r="Q12870">
        <v>3</v>
      </c>
      <c r="R12870" t="s">
        <v>43185</v>
      </c>
      <c r="S12870" t="s">
        <v>44026</v>
      </c>
      <c r="T12870" t="s">
        <v>44841</v>
      </c>
      <c r="U12870" t="s">
        <v>55423</v>
      </c>
      <c r="W12870" t="s">
        <v>39363</v>
      </c>
      <c r="X12870" t="s">
        <v>43186</v>
      </c>
    </row>
    <row r="12871" spans="1:24">
      <c r="A12871">
        <f>HYPERLINK("https://www.philgeps.gov.ph/GEPSNONPILOT/Tender/SplashBidNoticeAbstractUI.aspx?menuIndex=3&amp;refID=7055165&amp;Result=3","7055165")</f>
        <v>0</v>
      </c>
      <c r="B12871" t="s">
        <v>74</v>
      </c>
      <c r="C12871" t="s">
        <v>15728</v>
      </c>
      <c r="E12871" t="s">
        <v>28510</v>
      </c>
      <c r="F12871" t="s">
        <v>30052</v>
      </c>
      <c r="G12871" t="s">
        <v>30058</v>
      </c>
      <c r="H12871" t="s">
        <v>30067</v>
      </c>
      <c r="I12871" t="s">
        <v>3693</v>
      </c>
      <c r="J12871" t="s">
        <v>38023</v>
      </c>
      <c r="K12871" t="s">
        <v>39025</v>
      </c>
      <c r="M12871" t="s">
        <v>39363</v>
      </c>
      <c r="N12871" t="s">
        <v>43166</v>
      </c>
      <c r="O12871" t="s">
        <v>43167</v>
      </c>
      <c r="Q12871">
        <v>4</v>
      </c>
      <c r="R12871" t="s">
        <v>43185</v>
      </c>
      <c r="S12871" t="s">
        <v>44027</v>
      </c>
      <c r="T12871" t="s">
        <v>44773</v>
      </c>
      <c r="U12871" t="s">
        <v>55424</v>
      </c>
      <c r="W12871" t="s">
        <v>39363</v>
      </c>
      <c r="X12871" t="s">
        <v>43186</v>
      </c>
    </row>
    <row r="12872" spans="1:24">
      <c r="A12872">
        <f>HYPERLINK("https://www.philgeps.gov.ph/GEPSNONPILOT/Tender/SplashBidNoticeAbstractUI.aspx?menuIndex=3&amp;refID=7055157&amp;Result=3","7055157")</f>
        <v>0</v>
      </c>
      <c r="B12872" t="s">
        <v>1175</v>
      </c>
      <c r="C12872" t="s">
        <v>15729</v>
      </c>
      <c r="D12872" t="s">
        <v>17427</v>
      </c>
      <c r="E12872" t="s">
        <v>28511</v>
      </c>
      <c r="F12872" t="s">
        <v>30052</v>
      </c>
      <c r="G12872" t="s">
        <v>30058</v>
      </c>
      <c r="H12872" t="s">
        <v>15498</v>
      </c>
      <c r="I12872" t="s">
        <v>3736</v>
      </c>
      <c r="J12872" t="s">
        <v>38024</v>
      </c>
      <c r="K12872" t="s">
        <v>39029</v>
      </c>
      <c r="M12872" t="s">
        <v>42942</v>
      </c>
      <c r="N12872" t="s">
        <v>43166</v>
      </c>
      <c r="O12872" t="s">
        <v>43167</v>
      </c>
      <c r="P12872">
        <v>0</v>
      </c>
      <c r="Q12872">
        <v>0</v>
      </c>
      <c r="R12872" t="s">
        <v>43185</v>
      </c>
      <c r="S12872" t="s">
        <v>43930</v>
      </c>
      <c r="T12872" t="s">
        <v>44698</v>
      </c>
      <c r="U12872" t="s">
        <v>55425</v>
      </c>
      <c r="W12872" t="s">
        <v>58710</v>
      </c>
      <c r="X12872" t="s">
        <v>43186</v>
      </c>
    </row>
    <row r="12873" spans="1:24">
      <c r="A12873">
        <f>HYPERLINK("https://www.philgeps.gov.ph/GEPSNONPILOT/Tender/SplashBidNoticeAbstractUI.aspx?menuIndex=3&amp;refID=7055151&amp;Result=3","7055151")</f>
        <v>0</v>
      </c>
      <c r="B12873" t="s">
        <v>1801</v>
      </c>
      <c r="C12873" t="s">
        <v>15730</v>
      </c>
      <c r="D12873" t="s">
        <v>17440</v>
      </c>
      <c r="E12873" t="s">
        <v>28512</v>
      </c>
      <c r="F12873" t="s">
        <v>30052</v>
      </c>
      <c r="G12873" t="s">
        <v>30058</v>
      </c>
      <c r="H12873" t="s">
        <v>30067</v>
      </c>
      <c r="I12873" t="s">
        <v>3693</v>
      </c>
      <c r="J12873" t="s">
        <v>38025</v>
      </c>
      <c r="K12873" t="s">
        <v>39026</v>
      </c>
      <c r="M12873" t="s">
        <v>41224</v>
      </c>
      <c r="N12873" t="s">
        <v>43166</v>
      </c>
      <c r="O12873" t="s">
        <v>43167</v>
      </c>
      <c r="Q12873">
        <v>35</v>
      </c>
      <c r="R12873" t="s">
        <v>43185</v>
      </c>
      <c r="S12873" t="s">
        <v>44028</v>
      </c>
      <c r="T12873" t="s">
        <v>44698</v>
      </c>
      <c r="U12873" t="s">
        <v>55426</v>
      </c>
      <c r="V12873" t="s">
        <v>57409</v>
      </c>
      <c r="W12873" t="s">
        <v>41224</v>
      </c>
      <c r="X12873" t="s">
        <v>43186</v>
      </c>
    </row>
    <row r="12874" spans="1:24">
      <c r="A12874">
        <f>HYPERLINK("https://www.philgeps.gov.ph/GEPSNONPILOT/Tender/SplashBidNoticeAbstractUI.aspx?menuIndex=3&amp;refID=7055148&amp;Result=3","7055148")</f>
        <v>0</v>
      </c>
      <c r="B12874" t="s">
        <v>1491</v>
      </c>
      <c r="C12874" t="s">
        <v>13640</v>
      </c>
      <c r="D12874" t="s">
        <v>17457</v>
      </c>
      <c r="E12874" t="s">
        <v>28513</v>
      </c>
      <c r="F12874" t="s">
        <v>30052</v>
      </c>
      <c r="G12874" t="s">
        <v>30058</v>
      </c>
      <c r="H12874" t="s">
        <v>30067</v>
      </c>
      <c r="I12874" t="s">
        <v>3693</v>
      </c>
      <c r="J12874" t="s">
        <v>32865</v>
      </c>
      <c r="K12874" t="s">
        <v>39086</v>
      </c>
      <c r="M12874" t="s">
        <v>40875</v>
      </c>
      <c r="N12874" t="s">
        <v>43166</v>
      </c>
      <c r="O12874" t="s">
        <v>43167</v>
      </c>
      <c r="P12874">
        <v>0</v>
      </c>
      <c r="Q12874">
        <v>0</v>
      </c>
      <c r="R12874" t="s">
        <v>43185</v>
      </c>
      <c r="S12874" t="s">
        <v>43930</v>
      </c>
      <c r="T12874" t="s">
        <v>44873</v>
      </c>
      <c r="U12874" t="s">
        <v>55427</v>
      </c>
      <c r="W12874" t="s">
        <v>40875</v>
      </c>
      <c r="X12874" t="s">
        <v>43186</v>
      </c>
    </row>
    <row r="12875" spans="1:24">
      <c r="A12875">
        <f>HYPERLINK("https://www.philgeps.gov.ph/GEPSNONPILOT/Tender/SplashBidNoticeAbstractUI.aspx?menuIndex=3&amp;refID=7055198&amp;Result=3","7055198")</f>
        <v>0</v>
      </c>
      <c r="B12875" t="s">
        <v>74</v>
      </c>
      <c r="C12875" t="s">
        <v>15731</v>
      </c>
      <c r="E12875" t="s">
        <v>28514</v>
      </c>
      <c r="F12875" t="s">
        <v>30052</v>
      </c>
      <c r="G12875" t="s">
        <v>30058</v>
      </c>
      <c r="H12875" t="s">
        <v>30067</v>
      </c>
      <c r="I12875" t="s">
        <v>3693</v>
      </c>
      <c r="J12875" t="s">
        <v>35112</v>
      </c>
      <c r="K12875" t="s">
        <v>39025</v>
      </c>
      <c r="M12875" t="s">
        <v>39363</v>
      </c>
      <c r="N12875" t="s">
        <v>43166</v>
      </c>
      <c r="O12875" t="s">
        <v>43167</v>
      </c>
      <c r="Q12875">
        <v>4</v>
      </c>
      <c r="R12875" t="s">
        <v>43185</v>
      </c>
      <c r="S12875" t="s">
        <v>44029</v>
      </c>
      <c r="T12875" t="s">
        <v>44882</v>
      </c>
      <c r="U12875" t="s">
        <v>55428</v>
      </c>
      <c r="W12875" t="s">
        <v>39363</v>
      </c>
      <c r="X12875" t="s">
        <v>43186</v>
      </c>
    </row>
    <row r="12876" spans="1:24">
      <c r="A12876">
        <f>HYPERLINK("https://www.philgeps.gov.ph/GEPSNONPILOT/Tender/SplashBidNoticeAbstractUI.aspx?menuIndex=3&amp;refID=7055219&amp;Result=3","7055219")</f>
        <v>0</v>
      </c>
      <c r="B12876" t="s">
        <v>3305</v>
      </c>
      <c r="C12876" t="s">
        <v>15732</v>
      </c>
      <c r="E12876" t="s">
        <v>28515</v>
      </c>
      <c r="F12876" t="s">
        <v>30052</v>
      </c>
      <c r="G12876" t="s">
        <v>30058</v>
      </c>
      <c r="H12876" t="s">
        <v>15498</v>
      </c>
      <c r="I12876" t="s">
        <v>3736</v>
      </c>
      <c r="J12876" t="s">
        <v>38026</v>
      </c>
      <c r="K12876" t="s">
        <v>39025</v>
      </c>
      <c r="M12876" t="s">
        <v>42943</v>
      </c>
      <c r="N12876" t="s">
        <v>43166</v>
      </c>
      <c r="O12876" t="s">
        <v>43167</v>
      </c>
      <c r="P12876">
        <v>0</v>
      </c>
      <c r="Q12876">
        <v>0</v>
      </c>
      <c r="R12876" t="s">
        <v>43185</v>
      </c>
      <c r="S12876" t="s">
        <v>43930</v>
      </c>
      <c r="T12876" t="s">
        <v>44777</v>
      </c>
      <c r="U12876" t="s">
        <v>55429</v>
      </c>
      <c r="W12876" t="s">
        <v>42943</v>
      </c>
      <c r="X12876" t="s">
        <v>43186</v>
      </c>
    </row>
    <row r="12877" spans="1:24">
      <c r="A12877">
        <f>HYPERLINK("https://www.philgeps.gov.ph/GEPSNONPILOT/Tender/SplashBidNoticeAbstractUI.aspx?menuIndex=3&amp;refID=7055119&amp;Result=3","7055119")</f>
        <v>0</v>
      </c>
      <c r="B12877" t="s">
        <v>1067</v>
      </c>
      <c r="C12877" t="s">
        <v>15733</v>
      </c>
      <c r="D12877" t="s">
        <v>17422</v>
      </c>
      <c r="E12877" t="s">
        <v>28516</v>
      </c>
      <c r="F12877" t="s">
        <v>30052</v>
      </c>
      <c r="G12877" t="s">
        <v>30058</v>
      </c>
      <c r="H12877" t="s">
        <v>15498</v>
      </c>
      <c r="I12877" t="s">
        <v>30081</v>
      </c>
      <c r="J12877" t="s">
        <v>38027</v>
      </c>
      <c r="K12877" t="s">
        <v>39019</v>
      </c>
      <c r="M12877" t="s">
        <v>40402</v>
      </c>
      <c r="N12877" t="s">
        <v>43166</v>
      </c>
      <c r="O12877" t="s">
        <v>43167</v>
      </c>
      <c r="Q12877">
        <v>1</v>
      </c>
      <c r="R12877" t="s">
        <v>43185</v>
      </c>
      <c r="S12877" t="s">
        <v>44030</v>
      </c>
      <c r="T12877" t="s">
        <v>44710</v>
      </c>
      <c r="U12877" t="s">
        <v>55430</v>
      </c>
      <c r="V12877" t="s">
        <v>58334</v>
      </c>
      <c r="W12877" t="s">
        <v>40402</v>
      </c>
      <c r="X12877" t="s">
        <v>43186</v>
      </c>
    </row>
    <row r="12878" spans="1:24">
      <c r="A12878">
        <f>HYPERLINK("https://www.philgeps.gov.ph/GEPSNONPILOT/Tender/SplashBidNoticeAbstractUI.aspx?menuIndex=3&amp;refID=7055131&amp;Result=3","7055131")</f>
        <v>0</v>
      </c>
      <c r="B12878" t="s">
        <v>1801</v>
      </c>
      <c r="C12878" t="s">
        <v>15734</v>
      </c>
      <c r="D12878" t="s">
        <v>17440</v>
      </c>
      <c r="E12878" t="s">
        <v>28517</v>
      </c>
      <c r="F12878" t="s">
        <v>30052</v>
      </c>
      <c r="G12878" t="s">
        <v>30058</v>
      </c>
      <c r="H12878" t="s">
        <v>30067</v>
      </c>
      <c r="I12878" t="s">
        <v>3693</v>
      </c>
      <c r="J12878" t="s">
        <v>38028</v>
      </c>
      <c r="K12878" t="s">
        <v>39026</v>
      </c>
      <c r="M12878" t="s">
        <v>41224</v>
      </c>
      <c r="N12878" t="s">
        <v>43166</v>
      </c>
      <c r="O12878" t="s">
        <v>43167</v>
      </c>
      <c r="Q12878">
        <v>34</v>
      </c>
      <c r="R12878" t="s">
        <v>43185</v>
      </c>
      <c r="S12878" t="s">
        <v>43476</v>
      </c>
      <c r="T12878" t="s">
        <v>44698</v>
      </c>
      <c r="U12878" t="s">
        <v>55431</v>
      </c>
      <c r="V12878" t="s">
        <v>57409</v>
      </c>
      <c r="W12878" t="s">
        <v>41224</v>
      </c>
      <c r="X12878" t="s">
        <v>43186</v>
      </c>
    </row>
    <row r="12879" spans="1:24">
      <c r="A12879">
        <f>HYPERLINK("https://www.philgeps.gov.ph/GEPSNONPILOT/Tender/SplashBidNoticeAbstractUI.aspx?menuIndex=3&amp;refID=7055114&amp;Result=3","7055114")</f>
        <v>0</v>
      </c>
      <c r="B12879" t="s">
        <v>1491</v>
      </c>
      <c r="C12879" t="s">
        <v>15735</v>
      </c>
      <c r="D12879" t="s">
        <v>17457</v>
      </c>
      <c r="E12879" t="s">
        <v>28518</v>
      </c>
      <c r="F12879" t="s">
        <v>30052</v>
      </c>
      <c r="G12879" t="s">
        <v>30058</v>
      </c>
      <c r="H12879" t="s">
        <v>30067</v>
      </c>
      <c r="I12879" t="s">
        <v>3693</v>
      </c>
      <c r="J12879" t="s">
        <v>38029</v>
      </c>
      <c r="K12879" t="s">
        <v>39287</v>
      </c>
      <c r="M12879" t="s">
        <v>40875</v>
      </c>
      <c r="N12879" t="s">
        <v>43166</v>
      </c>
      <c r="O12879" t="s">
        <v>43167</v>
      </c>
      <c r="P12879">
        <v>0</v>
      </c>
      <c r="Q12879">
        <v>1</v>
      </c>
      <c r="R12879" t="s">
        <v>43185</v>
      </c>
      <c r="S12879" t="s">
        <v>43930</v>
      </c>
      <c r="T12879" t="s">
        <v>44873</v>
      </c>
      <c r="U12879" t="s">
        <v>55432</v>
      </c>
      <c r="W12879" t="s">
        <v>40875</v>
      </c>
      <c r="X12879" t="s">
        <v>43186</v>
      </c>
    </row>
    <row r="12880" spans="1:24">
      <c r="A12880">
        <f>HYPERLINK("https://www.philgeps.gov.ph/GEPSNONPILOT/Tender/SplashBidNoticeAbstractUI.aspx?menuIndex=3&amp;refID=7070651&amp;Result=3","7070651")</f>
        <v>0</v>
      </c>
      <c r="B12880" t="s">
        <v>158</v>
      </c>
      <c r="C12880" t="s">
        <v>15736</v>
      </c>
      <c r="D12880" t="s">
        <v>17471</v>
      </c>
      <c r="E12880" t="s">
        <v>28519</v>
      </c>
      <c r="F12880" t="s">
        <v>30052</v>
      </c>
      <c r="G12880" t="s">
        <v>30058</v>
      </c>
      <c r="H12880" t="s">
        <v>15498</v>
      </c>
      <c r="I12880" t="s">
        <v>30078</v>
      </c>
      <c r="J12880" t="s">
        <v>38030</v>
      </c>
      <c r="K12880" t="s">
        <v>39029</v>
      </c>
      <c r="M12880" t="s">
        <v>39447</v>
      </c>
      <c r="N12880" t="s">
        <v>43166</v>
      </c>
      <c r="O12880" t="s">
        <v>43167</v>
      </c>
      <c r="P12880">
        <v>0</v>
      </c>
      <c r="Q12880">
        <v>1</v>
      </c>
      <c r="R12880" t="s">
        <v>43177</v>
      </c>
      <c r="S12880" t="s">
        <v>43494</v>
      </c>
      <c r="T12880" t="s">
        <v>44704</v>
      </c>
      <c r="U12880" t="s">
        <v>55433</v>
      </c>
      <c r="W12880" t="s">
        <v>39447</v>
      </c>
      <c r="X12880" t="s">
        <v>43178</v>
      </c>
    </row>
    <row r="12881" spans="1:24">
      <c r="A12881">
        <f>HYPERLINK("https://www.philgeps.gov.ph/GEPSNONPILOT/Tender/SplashBidNoticeAbstractUI.aspx?menuIndex=3&amp;refID=7072794&amp;Result=3","7072794")</f>
        <v>0</v>
      </c>
      <c r="B12881" t="s">
        <v>3306</v>
      </c>
      <c r="C12881" t="s">
        <v>15737</v>
      </c>
      <c r="D12881" t="s">
        <v>17414</v>
      </c>
      <c r="E12881" t="s">
        <v>11577</v>
      </c>
      <c r="F12881" t="s">
        <v>30052</v>
      </c>
      <c r="G12881" t="s">
        <v>30058</v>
      </c>
      <c r="H12881" t="s">
        <v>15498</v>
      </c>
      <c r="I12881" t="s">
        <v>3736</v>
      </c>
      <c r="J12881" t="s">
        <v>30230</v>
      </c>
      <c r="K12881" t="s">
        <v>39029</v>
      </c>
      <c r="M12881" t="s">
        <v>42944</v>
      </c>
      <c r="N12881" t="s">
        <v>43166</v>
      </c>
      <c r="O12881" t="s">
        <v>43167</v>
      </c>
      <c r="P12881">
        <v>0</v>
      </c>
      <c r="Q12881">
        <v>0</v>
      </c>
      <c r="R12881" t="s">
        <v>43176</v>
      </c>
      <c r="S12881" t="s">
        <v>43481</v>
      </c>
      <c r="T12881" t="s">
        <v>44832</v>
      </c>
      <c r="U12881" t="s">
        <v>55434</v>
      </c>
      <c r="W12881" t="s">
        <v>42944</v>
      </c>
      <c r="X12881" t="s">
        <v>43177</v>
      </c>
    </row>
    <row r="12882" spans="1:24">
      <c r="A12882">
        <f>HYPERLINK("https://www.philgeps.gov.ph/GEPSNONPILOT/Tender/SplashBidNoticeAbstractUI.aspx?menuIndex=3&amp;refID=7055145&amp;Result=3","7055145")</f>
        <v>0</v>
      </c>
      <c r="B12882" t="s">
        <v>3304</v>
      </c>
      <c r="C12882" t="s">
        <v>15738</v>
      </c>
      <c r="D12882" t="s">
        <v>17452</v>
      </c>
      <c r="E12882" t="s">
        <v>28520</v>
      </c>
      <c r="F12882" t="s">
        <v>30052</v>
      </c>
      <c r="G12882" t="s">
        <v>30058</v>
      </c>
      <c r="H12882" t="s">
        <v>15498</v>
      </c>
      <c r="I12882" t="s">
        <v>30073</v>
      </c>
      <c r="J12882" t="s">
        <v>38031</v>
      </c>
      <c r="K12882" t="s">
        <v>39019</v>
      </c>
      <c r="L12882" t="s">
        <v>3304</v>
      </c>
      <c r="M12882" t="s">
        <v>42941</v>
      </c>
      <c r="N12882" t="s">
        <v>43166</v>
      </c>
      <c r="O12882" t="s">
        <v>43167</v>
      </c>
      <c r="P12882">
        <v>0</v>
      </c>
      <c r="Q12882">
        <v>1</v>
      </c>
      <c r="R12882" t="s">
        <v>43185</v>
      </c>
      <c r="S12882" t="s">
        <v>43930</v>
      </c>
      <c r="T12882" t="s">
        <v>44806</v>
      </c>
      <c r="U12882" t="s">
        <v>55435</v>
      </c>
      <c r="W12882" t="s">
        <v>42941</v>
      </c>
      <c r="X12882" t="s">
        <v>43186</v>
      </c>
    </row>
    <row r="12883" spans="1:24">
      <c r="A12883">
        <f>HYPERLINK("https://www.philgeps.gov.ph/GEPSNONPILOT/Tender/SplashBidNoticeAbstractUI.aspx?menuIndex=3&amp;refID=7055122&amp;Result=3","7055122")</f>
        <v>0</v>
      </c>
      <c r="B12883" t="s">
        <v>1801</v>
      </c>
      <c r="C12883" t="s">
        <v>15739</v>
      </c>
      <c r="D12883" t="s">
        <v>17440</v>
      </c>
      <c r="E12883" t="s">
        <v>28521</v>
      </c>
      <c r="F12883" t="s">
        <v>30052</v>
      </c>
      <c r="G12883" t="s">
        <v>30058</v>
      </c>
      <c r="H12883" t="s">
        <v>30067</v>
      </c>
      <c r="I12883" t="s">
        <v>3693</v>
      </c>
      <c r="J12883" t="s">
        <v>38032</v>
      </c>
      <c r="K12883" t="s">
        <v>39026</v>
      </c>
      <c r="M12883" t="s">
        <v>41224</v>
      </c>
      <c r="N12883" t="s">
        <v>43166</v>
      </c>
      <c r="O12883" t="s">
        <v>43167</v>
      </c>
      <c r="Q12883">
        <v>34</v>
      </c>
      <c r="R12883" t="s">
        <v>43185</v>
      </c>
      <c r="S12883" t="s">
        <v>43966</v>
      </c>
      <c r="T12883" t="s">
        <v>44698</v>
      </c>
      <c r="U12883" t="s">
        <v>55436</v>
      </c>
      <c r="V12883" t="s">
        <v>57409</v>
      </c>
      <c r="W12883" t="s">
        <v>41224</v>
      </c>
      <c r="X12883" t="s">
        <v>43186</v>
      </c>
    </row>
    <row r="12884" spans="1:24">
      <c r="A12884">
        <f>HYPERLINK("https://www.philgeps.gov.ph/GEPSNONPILOT/Tender/SplashBidNoticeAbstractUI.aspx?menuIndex=3&amp;refID=7055183&amp;Result=3","7055183")</f>
        <v>0</v>
      </c>
      <c r="B12884" t="s">
        <v>3303</v>
      </c>
      <c r="C12884" t="s">
        <v>15740</v>
      </c>
      <c r="D12884" t="s">
        <v>17445</v>
      </c>
      <c r="E12884" t="s">
        <v>23563</v>
      </c>
      <c r="F12884" t="s">
        <v>30052</v>
      </c>
      <c r="G12884" t="s">
        <v>30058</v>
      </c>
      <c r="H12884" t="s">
        <v>30067</v>
      </c>
      <c r="I12884" t="s">
        <v>3693</v>
      </c>
      <c r="J12884" t="s">
        <v>38033</v>
      </c>
      <c r="K12884" t="s">
        <v>39031</v>
      </c>
      <c r="M12884" t="s">
        <v>42940</v>
      </c>
      <c r="N12884" t="s">
        <v>43166</v>
      </c>
      <c r="O12884" t="s">
        <v>43167</v>
      </c>
      <c r="Q12884">
        <v>1</v>
      </c>
      <c r="R12884" t="s">
        <v>43185</v>
      </c>
      <c r="S12884" t="s">
        <v>44031</v>
      </c>
      <c r="T12884" t="s">
        <v>44693</v>
      </c>
      <c r="U12884" t="s">
        <v>55437</v>
      </c>
      <c r="V12884" t="s">
        <v>58332</v>
      </c>
      <c r="W12884" t="s">
        <v>42940</v>
      </c>
      <c r="X12884" t="s">
        <v>43186</v>
      </c>
    </row>
    <row r="12885" spans="1:24">
      <c r="A12885">
        <f>HYPERLINK("https://www.philgeps.gov.ph/GEPSNONPILOT/Tender/SplashBidNoticeAbstractUI.aspx?menuIndex=3&amp;refID=7055453&amp;Result=3","7055453")</f>
        <v>0</v>
      </c>
      <c r="B12885" t="s">
        <v>3307</v>
      </c>
      <c r="C12885" t="s">
        <v>15741</v>
      </c>
      <c r="D12885" t="s">
        <v>17471</v>
      </c>
      <c r="E12885" t="s">
        <v>20904</v>
      </c>
      <c r="F12885" t="s">
        <v>30052</v>
      </c>
      <c r="G12885" t="s">
        <v>30058</v>
      </c>
      <c r="H12885" t="s">
        <v>15498</v>
      </c>
      <c r="I12885" t="s">
        <v>30081</v>
      </c>
      <c r="J12885" t="s">
        <v>38034</v>
      </c>
      <c r="K12885" t="s">
        <v>39025</v>
      </c>
      <c r="M12885" t="s">
        <v>42945</v>
      </c>
      <c r="N12885" t="s">
        <v>43166</v>
      </c>
      <c r="O12885" t="s">
        <v>43167</v>
      </c>
      <c r="P12885">
        <v>0</v>
      </c>
      <c r="Q12885">
        <v>1</v>
      </c>
      <c r="R12885" t="s">
        <v>43185</v>
      </c>
      <c r="S12885" t="s">
        <v>43930</v>
      </c>
      <c r="T12885" t="s">
        <v>44696</v>
      </c>
      <c r="U12885" t="s">
        <v>55438</v>
      </c>
      <c r="W12885" t="s">
        <v>42945</v>
      </c>
      <c r="X12885" t="s">
        <v>43186</v>
      </c>
    </row>
    <row r="12886" spans="1:24">
      <c r="A12886">
        <f>HYPERLINK("https://www.philgeps.gov.ph/GEPSNONPILOT/Tender/SplashBidNoticeAbstractUI.aspx?menuIndex=3&amp;refID=7055442&amp;Result=3","7055442")</f>
        <v>0</v>
      </c>
      <c r="B12886" t="s">
        <v>3308</v>
      </c>
      <c r="C12886" t="s">
        <v>15742</v>
      </c>
      <c r="D12886" t="s">
        <v>17429</v>
      </c>
      <c r="E12886" t="s">
        <v>17843</v>
      </c>
      <c r="F12886" t="s">
        <v>30052</v>
      </c>
      <c r="G12886" t="s">
        <v>30058</v>
      </c>
      <c r="H12886" t="s">
        <v>15498</v>
      </c>
      <c r="I12886" t="s">
        <v>30088</v>
      </c>
      <c r="J12886" t="s">
        <v>38035</v>
      </c>
      <c r="K12886" t="s">
        <v>39023</v>
      </c>
      <c r="M12886" t="s">
        <v>42946</v>
      </c>
      <c r="N12886" t="s">
        <v>43166</v>
      </c>
      <c r="O12886" t="s">
        <v>43167</v>
      </c>
      <c r="P12886">
        <v>0</v>
      </c>
      <c r="Q12886">
        <v>58</v>
      </c>
      <c r="R12886" t="s">
        <v>43185</v>
      </c>
      <c r="S12886" t="s">
        <v>43930</v>
      </c>
      <c r="T12886" t="s">
        <v>44698</v>
      </c>
      <c r="U12886" t="s">
        <v>55439</v>
      </c>
      <c r="W12886" t="s">
        <v>42946</v>
      </c>
      <c r="X12886" t="s">
        <v>43186</v>
      </c>
    </row>
    <row r="12887" spans="1:24">
      <c r="A12887">
        <f>HYPERLINK("https://www.philgeps.gov.ph/GEPSNONPILOT/Tender/SplashBidNoticeAbstractUI.aspx?menuIndex=3&amp;refID=7055446&amp;Result=3","7055446")</f>
        <v>0</v>
      </c>
      <c r="B12887" t="s">
        <v>3307</v>
      </c>
      <c r="C12887" t="s">
        <v>15743</v>
      </c>
      <c r="D12887" t="s">
        <v>17471</v>
      </c>
      <c r="E12887" t="s">
        <v>20932</v>
      </c>
      <c r="F12887" t="s">
        <v>30052</v>
      </c>
      <c r="G12887" t="s">
        <v>30058</v>
      </c>
      <c r="H12887" t="s">
        <v>30067</v>
      </c>
      <c r="I12887" t="s">
        <v>3693</v>
      </c>
      <c r="J12887" t="s">
        <v>30321</v>
      </c>
      <c r="K12887" t="s">
        <v>39025</v>
      </c>
      <c r="M12887" t="s">
        <v>42945</v>
      </c>
      <c r="N12887" t="s">
        <v>43166</v>
      </c>
      <c r="O12887" t="s">
        <v>43167</v>
      </c>
      <c r="P12887">
        <v>0</v>
      </c>
      <c r="Q12887">
        <v>0</v>
      </c>
      <c r="R12887" t="s">
        <v>43185</v>
      </c>
      <c r="S12887" t="s">
        <v>43930</v>
      </c>
      <c r="T12887" t="s">
        <v>44696</v>
      </c>
      <c r="U12887" t="s">
        <v>55440</v>
      </c>
      <c r="W12887" t="s">
        <v>42945</v>
      </c>
      <c r="X12887" t="s">
        <v>43186</v>
      </c>
    </row>
    <row r="12888" spans="1:24">
      <c r="A12888">
        <f>HYPERLINK("https://www.philgeps.gov.ph/GEPSNONPILOT/Tender/SplashBidNoticeAbstractUI.aspx?menuIndex=3&amp;refID=7072791&amp;Result=3","7072791")</f>
        <v>0</v>
      </c>
      <c r="B12888" t="s">
        <v>3306</v>
      </c>
      <c r="C12888" t="s">
        <v>15744</v>
      </c>
      <c r="D12888" t="s">
        <v>17414</v>
      </c>
      <c r="E12888" t="s">
        <v>18312</v>
      </c>
      <c r="F12888" t="s">
        <v>30052</v>
      </c>
      <c r="G12888" t="s">
        <v>30058</v>
      </c>
      <c r="H12888" t="s">
        <v>15498</v>
      </c>
      <c r="I12888" t="s">
        <v>3736</v>
      </c>
      <c r="J12888" t="s">
        <v>30230</v>
      </c>
      <c r="K12888" t="s">
        <v>39029</v>
      </c>
      <c r="M12888" t="s">
        <v>42944</v>
      </c>
      <c r="N12888" t="s">
        <v>43166</v>
      </c>
      <c r="O12888" t="s">
        <v>43167</v>
      </c>
      <c r="P12888">
        <v>0</v>
      </c>
      <c r="Q12888">
        <v>1</v>
      </c>
      <c r="R12888" t="s">
        <v>43176</v>
      </c>
      <c r="S12888" t="s">
        <v>43481</v>
      </c>
      <c r="T12888" t="s">
        <v>44832</v>
      </c>
      <c r="U12888" t="s">
        <v>55441</v>
      </c>
      <c r="W12888" t="s">
        <v>42944</v>
      </c>
      <c r="X12888" t="s">
        <v>43177</v>
      </c>
    </row>
    <row r="12889" spans="1:24">
      <c r="A12889">
        <f>HYPERLINK("https://www.philgeps.gov.ph/GEPSNONPILOT/Tender/SplashBidNoticeAbstractUI.aspx?menuIndex=3&amp;refID=7055414&amp;Result=3","7055414")</f>
        <v>0</v>
      </c>
      <c r="B12889" t="s">
        <v>3309</v>
      </c>
      <c r="C12889" t="s">
        <v>15745</v>
      </c>
      <c r="D12889" t="s">
        <v>17442</v>
      </c>
      <c r="E12889" t="s">
        <v>23632</v>
      </c>
      <c r="F12889" t="s">
        <v>30052</v>
      </c>
      <c r="G12889" t="s">
        <v>30058</v>
      </c>
      <c r="H12889" t="s">
        <v>30067</v>
      </c>
      <c r="I12889" t="s">
        <v>3693</v>
      </c>
      <c r="J12889" t="s">
        <v>31684</v>
      </c>
      <c r="K12889" t="s">
        <v>39046</v>
      </c>
      <c r="M12889" t="s">
        <v>42947</v>
      </c>
      <c r="N12889" t="s">
        <v>43166</v>
      </c>
      <c r="O12889" t="s">
        <v>43167</v>
      </c>
      <c r="P12889">
        <v>0</v>
      </c>
      <c r="Q12889">
        <v>0</v>
      </c>
      <c r="R12889" t="s">
        <v>43185</v>
      </c>
      <c r="S12889" t="s">
        <v>43930</v>
      </c>
      <c r="T12889" t="s">
        <v>44870</v>
      </c>
      <c r="U12889" t="s">
        <v>55442</v>
      </c>
      <c r="W12889" t="s">
        <v>42947</v>
      </c>
      <c r="X12889" t="s">
        <v>43186</v>
      </c>
    </row>
    <row r="12890" spans="1:24">
      <c r="A12890">
        <f>HYPERLINK("https://www.philgeps.gov.ph/GEPSNONPILOT/Tender/SplashBidNoticeAbstractUI.aspx?menuIndex=3&amp;refID=7072770&amp;Result=3","7072770")</f>
        <v>0</v>
      </c>
      <c r="B12890" t="s">
        <v>2770</v>
      </c>
      <c r="C12890" t="s">
        <v>15746</v>
      </c>
      <c r="E12890" t="s">
        <v>28522</v>
      </c>
      <c r="F12890" t="s">
        <v>30052</v>
      </c>
      <c r="G12890" t="s">
        <v>30058</v>
      </c>
      <c r="H12890" t="s">
        <v>30067</v>
      </c>
      <c r="I12890" t="s">
        <v>3693</v>
      </c>
      <c r="J12890" t="s">
        <v>38036</v>
      </c>
      <c r="K12890" t="s">
        <v>39047</v>
      </c>
      <c r="M12890" t="s">
        <v>42306</v>
      </c>
      <c r="N12890" t="s">
        <v>43166</v>
      </c>
      <c r="O12890" t="s">
        <v>43167</v>
      </c>
      <c r="P12890">
        <v>0</v>
      </c>
      <c r="Q12890">
        <v>0</v>
      </c>
      <c r="R12890" t="s">
        <v>43176</v>
      </c>
      <c r="S12890" t="s">
        <v>43481</v>
      </c>
      <c r="T12890" t="s">
        <v>44718</v>
      </c>
      <c r="U12890" t="s">
        <v>55443</v>
      </c>
      <c r="W12890" t="s">
        <v>42306</v>
      </c>
      <c r="X12890" t="s">
        <v>43177</v>
      </c>
    </row>
    <row r="12891" spans="1:24">
      <c r="A12891">
        <f>HYPERLINK("https://www.philgeps.gov.ph/GEPSNONPILOT/Tender/SplashBidNoticeAbstractUI.aspx?menuIndex=3&amp;refID=7055392&amp;Result=3","7055392")</f>
        <v>0</v>
      </c>
      <c r="B12891" t="s">
        <v>2479</v>
      </c>
      <c r="C12891" t="s">
        <v>15747</v>
      </c>
      <c r="D12891" t="s">
        <v>17444</v>
      </c>
      <c r="E12891" t="s">
        <v>28523</v>
      </c>
      <c r="F12891" t="s">
        <v>30052</v>
      </c>
      <c r="G12891" t="s">
        <v>30058</v>
      </c>
      <c r="H12891" t="s">
        <v>30067</v>
      </c>
      <c r="I12891" t="s">
        <v>3693</v>
      </c>
      <c r="J12891" t="s">
        <v>30222</v>
      </c>
      <c r="K12891" t="s">
        <v>39031</v>
      </c>
      <c r="M12891" t="s">
        <v>41979</v>
      </c>
      <c r="N12891" t="s">
        <v>43166</v>
      </c>
      <c r="O12891" t="s">
        <v>43167</v>
      </c>
      <c r="P12891">
        <v>0</v>
      </c>
      <c r="Q12891">
        <v>3</v>
      </c>
      <c r="R12891" t="s">
        <v>43185</v>
      </c>
      <c r="S12891" t="s">
        <v>43930</v>
      </c>
      <c r="T12891" t="s">
        <v>44905</v>
      </c>
      <c r="U12891" t="s">
        <v>55376</v>
      </c>
      <c r="W12891" t="s">
        <v>41979</v>
      </c>
      <c r="X12891" t="s">
        <v>43186</v>
      </c>
    </row>
    <row r="12892" spans="1:24">
      <c r="A12892">
        <f>HYPERLINK("https://www.philgeps.gov.ph/GEPSNONPILOT/Tender/SplashBidNoticeAbstractUI.aspx?menuIndex=3&amp;refID=7055380&amp;Result=3","7055380")</f>
        <v>0</v>
      </c>
      <c r="B12892" t="s">
        <v>1177</v>
      </c>
      <c r="C12892" t="s">
        <v>15748</v>
      </c>
      <c r="D12892" t="s">
        <v>17460</v>
      </c>
      <c r="E12892" t="s">
        <v>28524</v>
      </c>
      <c r="F12892" t="s">
        <v>30052</v>
      </c>
      <c r="G12892" t="s">
        <v>30058</v>
      </c>
      <c r="H12892" t="s">
        <v>30067</v>
      </c>
      <c r="I12892" t="s">
        <v>3693</v>
      </c>
      <c r="J12892" t="s">
        <v>34507</v>
      </c>
      <c r="K12892" t="s">
        <v>39022</v>
      </c>
      <c r="M12892" t="s">
        <v>42948</v>
      </c>
      <c r="N12892" t="s">
        <v>43166</v>
      </c>
      <c r="O12892" t="s">
        <v>43167</v>
      </c>
      <c r="P12892">
        <v>0</v>
      </c>
      <c r="Q12892">
        <v>82</v>
      </c>
      <c r="R12892" t="s">
        <v>43185</v>
      </c>
      <c r="S12892" t="s">
        <v>43930</v>
      </c>
      <c r="T12892" t="s">
        <v>44832</v>
      </c>
      <c r="U12892" t="s">
        <v>55444</v>
      </c>
      <c r="V12892" t="s">
        <v>58335</v>
      </c>
      <c r="W12892" t="s">
        <v>58711</v>
      </c>
      <c r="X12892" t="s">
        <v>43186</v>
      </c>
    </row>
    <row r="12893" spans="1:24">
      <c r="A12893">
        <f>HYPERLINK("https://www.philgeps.gov.ph/GEPSNONPILOT/Tender/SplashBidNoticeAbstractUI.aspx?menuIndex=3&amp;refID=7070656&amp;Result=3","7070656")</f>
        <v>0</v>
      </c>
      <c r="B12893" t="s">
        <v>2320</v>
      </c>
      <c r="C12893" t="s">
        <v>15749</v>
      </c>
      <c r="D12893" t="s">
        <v>17462</v>
      </c>
      <c r="E12893" t="s">
        <v>28525</v>
      </c>
      <c r="F12893" t="s">
        <v>30052</v>
      </c>
      <c r="G12893" t="s">
        <v>30058</v>
      </c>
      <c r="H12893" t="s">
        <v>30067</v>
      </c>
      <c r="I12893" t="s">
        <v>3693</v>
      </c>
      <c r="J12893" t="s">
        <v>30205</v>
      </c>
      <c r="K12893" t="s">
        <v>39026</v>
      </c>
      <c r="M12893" t="s">
        <v>41807</v>
      </c>
      <c r="N12893" t="s">
        <v>43166</v>
      </c>
      <c r="O12893" t="s">
        <v>43167</v>
      </c>
      <c r="P12893">
        <v>0</v>
      </c>
      <c r="Q12893">
        <v>17</v>
      </c>
      <c r="R12893" t="s">
        <v>43177</v>
      </c>
      <c r="S12893" t="s">
        <v>43494</v>
      </c>
      <c r="T12893" t="s">
        <v>44711</v>
      </c>
      <c r="U12893" t="s">
        <v>52800</v>
      </c>
      <c r="V12893" t="s">
        <v>57857</v>
      </c>
      <c r="W12893" t="s">
        <v>58688</v>
      </c>
      <c r="X12893" t="s">
        <v>43178</v>
      </c>
    </row>
    <row r="12894" spans="1:24">
      <c r="A12894">
        <f>HYPERLINK("https://www.philgeps.gov.ph/GEPSNONPILOT/Tender/SplashBidNoticeAbstractUI.aspx?menuIndex=3&amp;refID=7055382&amp;Result=3","7055382")</f>
        <v>0</v>
      </c>
      <c r="B12894" t="s">
        <v>2814</v>
      </c>
      <c r="C12894" t="s">
        <v>15750</v>
      </c>
      <c r="D12894" t="s">
        <v>17414</v>
      </c>
      <c r="E12894" t="s">
        <v>28526</v>
      </c>
      <c r="F12894" t="s">
        <v>30052</v>
      </c>
      <c r="G12894" t="s">
        <v>30058</v>
      </c>
      <c r="H12894" t="s">
        <v>15498</v>
      </c>
      <c r="I12894" t="s">
        <v>30088</v>
      </c>
      <c r="J12894" t="s">
        <v>38037</v>
      </c>
      <c r="K12894" t="s">
        <v>39031</v>
      </c>
      <c r="M12894" t="s">
        <v>42357</v>
      </c>
      <c r="N12894" t="s">
        <v>43166</v>
      </c>
      <c r="O12894" t="s">
        <v>43167</v>
      </c>
      <c r="Q12894">
        <v>44</v>
      </c>
      <c r="R12894" t="s">
        <v>43185</v>
      </c>
      <c r="S12894" t="s">
        <v>44032</v>
      </c>
      <c r="T12894" t="s">
        <v>44681</v>
      </c>
      <c r="U12894" t="s">
        <v>55445</v>
      </c>
      <c r="V12894" t="s">
        <v>58336</v>
      </c>
      <c r="W12894" t="s">
        <v>42357</v>
      </c>
      <c r="X12894" t="s">
        <v>43186</v>
      </c>
    </row>
    <row r="12895" spans="1:24">
      <c r="A12895">
        <f>HYPERLINK("https://www.philgeps.gov.ph/GEPSNONPILOT/Tender/SplashBidNoticeAbstractUI.aspx?menuIndex=3&amp;refID=7055362&amp;Result=3","7055362")</f>
        <v>0</v>
      </c>
      <c r="B12895" t="s">
        <v>1321</v>
      </c>
      <c r="C12895" t="s">
        <v>15751</v>
      </c>
      <c r="E12895" t="s">
        <v>28527</v>
      </c>
      <c r="F12895" t="s">
        <v>30052</v>
      </c>
      <c r="G12895" t="s">
        <v>30058</v>
      </c>
      <c r="H12895" t="s">
        <v>15498</v>
      </c>
      <c r="I12895" t="s">
        <v>30087</v>
      </c>
      <c r="J12895" t="s">
        <v>38038</v>
      </c>
      <c r="K12895" t="s">
        <v>39029</v>
      </c>
      <c r="M12895" t="s">
        <v>42939</v>
      </c>
      <c r="N12895" t="s">
        <v>43166</v>
      </c>
      <c r="O12895" t="s">
        <v>43167</v>
      </c>
      <c r="Q12895">
        <v>2</v>
      </c>
      <c r="R12895" t="s">
        <v>43185</v>
      </c>
      <c r="S12895" t="s">
        <v>44033</v>
      </c>
      <c r="T12895" t="s">
        <v>44724</v>
      </c>
      <c r="U12895" t="s">
        <v>55446</v>
      </c>
      <c r="W12895" t="s">
        <v>42939</v>
      </c>
      <c r="X12895" t="s">
        <v>43186</v>
      </c>
    </row>
    <row r="12896" spans="1:24">
      <c r="A12896">
        <f>HYPERLINK("https://www.philgeps.gov.ph/GEPSNONPILOT/Tender/SplashBidNoticeAbstractUI.aspx?menuIndex=3&amp;refID=7055341&amp;Result=3","7055341")</f>
        <v>0</v>
      </c>
      <c r="B12896" t="s">
        <v>658</v>
      </c>
      <c r="C12896" t="s">
        <v>15752</v>
      </c>
      <c r="D12896" t="s">
        <v>17434</v>
      </c>
      <c r="E12896" t="s">
        <v>20668</v>
      </c>
      <c r="F12896" t="s">
        <v>30052</v>
      </c>
      <c r="G12896" t="s">
        <v>30058</v>
      </c>
      <c r="H12896" t="s">
        <v>15498</v>
      </c>
      <c r="I12896" t="s">
        <v>3852</v>
      </c>
      <c r="J12896" t="s">
        <v>38039</v>
      </c>
      <c r="K12896" t="s">
        <v>39029</v>
      </c>
      <c r="M12896" t="s">
        <v>40517</v>
      </c>
      <c r="N12896" t="s">
        <v>43166</v>
      </c>
      <c r="O12896" t="s">
        <v>43167</v>
      </c>
      <c r="Q12896">
        <v>5</v>
      </c>
      <c r="R12896" t="s">
        <v>43185</v>
      </c>
      <c r="S12896" t="s">
        <v>44034</v>
      </c>
      <c r="T12896" t="s">
        <v>45170</v>
      </c>
      <c r="U12896" t="s">
        <v>55447</v>
      </c>
      <c r="W12896" t="s">
        <v>40517</v>
      </c>
      <c r="X12896" t="s">
        <v>43186</v>
      </c>
    </row>
    <row r="12897" spans="1:24">
      <c r="A12897">
        <f>HYPERLINK("https://www.philgeps.gov.ph/GEPSNONPILOT/Tender/SplashBidNoticeAbstractUI.aspx?menuIndex=3&amp;refID=7055366&amp;Result=3","7055366")</f>
        <v>0</v>
      </c>
      <c r="B12897" t="s">
        <v>1177</v>
      </c>
      <c r="C12897" t="s">
        <v>15753</v>
      </c>
      <c r="D12897" t="s">
        <v>17460</v>
      </c>
      <c r="E12897" t="s">
        <v>28528</v>
      </c>
      <c r="F12897" t="s">
        <v>30052</v>
      </c>
      <c r="G12897" t="s">
        <v>30058</v>
      </c>
      <c r="H12897" t="s">
        <v>30067</v>
      </c>
      <c r="I12897" t="s">
        <v>3693</v>
      </c>
      <c r="J12897" t="s">
        <v>34779</v>
      </c>
      <c r="K12897" t="s">
        <v>39033</v>
      </c>
      <c r="M12897" t="s">
        <v>42948</v>
      </c>
      <c r="N12897" t="s">
        <v>43166</v>
      </c>
      <c r="O12897" t="s">
        <v>43167</v>
      </c>
      <c r="P12897">
        <v>0</v>
      </c>
      <c r="Q12897">
        <v>84</v>
      </c>
      <c r="R12897" t="s">
        <v>43185</v>
      </c>
      <c r="S12897" t="s">
        <v>43930</v>
      </c>
      <c r="T12897" t="s">
        <v>44832</v>
      </c>
      <c r="U12897" t="s">
        <v>55444</v>
      </c>
      <c r="V12897" t="s">
        <v>58337</v>
      </c>
      <c r="W12897" t="s">
        <v>58711</v>
      </c>
      <c r="X12897" t="s">
        <v>43186</v>
      </c>
    </row>
    <row r="12898" spans="1:24">
      <c r="A12898">
        <f>HYPERLINK("https://www.philgeps.gov.ph/GEPSNONPILOT/Tender/SplashBidNoticeAbstractUI.aspx?menuIndex=3&amp;refID=7055424&amp;Result=3","7055424")</f>
        <v>0</v>
      </c>
      <c r="B12898" t="s">
        <v>2479</v>
      </c>
      <c r="C12898" t="s">
        <v>15754</v>
      </c>
      <c r="D12898" t="s">
        <v>17444</v>
      </c>
      <c r="E12898" t="s">
        <v>28529</v>
      </c>
      <c r="F12898" t="s">
        <v>30052</v>
      </c>
      <c r="G12898" t="s">
        <v>30058</v>
      </c>
      <c r="H12898" t="s">
        <v>15498</v>
      </c>
      <c r="I12898" t="s">
        <v>30071</v>
      </c>
      <c r="J12898" t="s">
        <v>38040</v>
      </c>
      <c r="K12898" t="s">
        <v>39019</v>
      </c>
      <c r="M12898" t="s">
        <v>41979</v>
      </c>
      <c r="N12898" t="s">
        <v>43166</v>
      </c>
      <c r="O12898" t="s">
        <v>43167</v>
      </c>
      <c r="P12898">
        <v>0</v>
      </c>
      <c r="Q12898">
        <v>2</v>
      </c>
      <c r="R12898" t="s">
        <v>43185</v>
      </c>
      <c r="S12898" t="s">
        <v>43930</v>
      </c>
      <c r="T12898" t="s">
        <v>44905</v>
      </c>
      <c r="U12898" t="s">
        <v>55448</v>
      </c>
      <c r="V12898" t="s">
        <v>58338</v>
      </c>
      <c r="W12898" t="s">
        <v>41979</v>
      </c>
      <c r="X12898" t="s">
        <v>43186</v>
      </c>
    </row>
    <row r="12899" spans="1:24">
      <c r="A12899">
        <f>HYPERLINK("https://www.philgeps.gov.ph/GEPSNONPILOT/Tender/SplashBidNoticeAbstractUI.aspx?menuIndex=3&amp;refID=7055303&amp;Result=3","7055303")</f>
        <v>0</v>
      </c>
      <c r="B12899" t="s">
        <v>1321</v>
      </c>
      <c r="C12899" t="s">
        <v>15755</v>
      </c>
      <c r="E12899" t="s">
        <v>28530</v>
      </c>
      <c r="F12899" t="s">
        <v>30052</v>
      </c>
      <c r="G12899" t="s">
        <v>30058</v>
      </c>
      <c r="H12899" t="s">
        <v>15498</v>
      </c>
      <c r="I12899" t="s">
        <v>30087</v>
      </c>
      <c r="J12899" t="s">
        <v>38038</v>
      </c>
      <c r="K12899" t="s">
        <v>39029</v>
      </c>
      <c r="M12899" t="s">
        <v>42939</v>
      </c>
      <c r="N12899" t="s">
        <v>43166</v>
      </c>
      <c r="O12899" t="s">
        <v>43167</v>
      </c>
      <c r="Q12899">
        <v>2</v>
      </c>
      <c r="R12899" t="s">
        <v>43185</v>
      </c>
      <c r="S12899" t="s">
        <v>44035</v>
      </c>
      <c r="T12899" t="s">
        <v>44724</v>
      </c>
      <c r="U12899" t="s">
        <v>55449</v>
      </c>
      <c r="W12899" t="s">
        <v>42939</v>
      </c>
      <c r="X12899" t="s">
        <v>43186</v>
      </c>
    </row>
    <row r="12900" spans="1:24">
      <c r="A12900">
        <f>HYPERLINK("https://www.philgeps.gov.ph/GEPSNONPILOT/Tender/SplashBidNoticeAbstractUI.aspx?menuIndex=3&amp;refID=7055295&amp;Result=3","7055295")</f>
        <v>0</v>
      </c>
      <c r="B12900" t="s">
        <v>193</v>
      </c>
      <c r="C12900" t="s">
        <v>15756</v>
      </c>
      <c r="D12900" t="s">
        <v>17471</v>
      </c>
      <c r="E12900" t="s">
        <v>28531</v>
      </c>
      <c r="F12900" t="s">
        <v>30052</v>
      </c>
      <c r="G12900" t="s">
        <v>30058</v>
      </c>
      <c r="H12900" t="s">
        <v>30067</v>
      </c>
      <c r="I12900" t="s">
        <v>3693</v>
      </c>
      <c r="J12900" t="s">
        <v>30823</v>
      </c>
      <c r="K12900" t="s">
        <v>39020</v>
      </c>
      <c r="M12900" t="s">
        <v>39483</v>
      </c>
      <c r="N12900" t="s">
        <v>43166</v>
      </c>
      <c r="O12900" t="s">
        <v>43167</v>
      </c>
      <c r="Q12900">
        <v>2</v>
      </c>
      <c r="R12900" t="s">
        <v>43185</v>
      </c>
      <c r="S12900" t="s">
        <v>43440</v>
      </c>
      <c r="T12900" t="s">
        <v>44925</v>
      </c>
      <c r="U12900" t="s">
        <v>55450</v>
      </c>
      <c r="V12900" t="s">
        <v>58339</v>
      </c>
      <c r="W12900" t="s">
        <v>39483</v>
      </c>
      <c r="X12900" t="s">
        <v>43186</v>
      </c>
    </row>
    <row r="12901" spans="1:24">
      <c r="A12901">
        <f>HYPERLINK("https://www.philgeps.gov.ph/GEPSNONPILOT/Tender/SplashBidNoticeAbstractUI.aspx?menuIndex=3&amp;refID=7055280&amp;Result=3","7055280")</f>
        <v>0</v>
      </c>
      <c r="B12901" t="s">
        <v>498</v>
      </c>
      <c r="C12901" t="s">
        <v>15757</v>
      </c>
      <c r="D12901" t="s">
        <v>17431</v>
      </c>
      <c r="E12901" t="s">
        <v>28532</v>
      </c>
      <c r="F12901" t="s">
        <v>30052</v>
      </c>
      <c r="G12901" t="s">
        <v>30063</v>
      </c>
      <c r="H12901" t="s">
        <v>30067</v>
      </c>
      <c r="I12901" t="s">
        <v>3693</v>
      </c>
      <c r="J12901" t="s">
        <v>38041</v>
      </c>
      <c r="K12901" t="s">
        <v>39023</v>
      </c>
      <c r="M12901" t="s">
        <v>39799</v>
      </c>
      <c r="N12901" t="s">
        <v>43166</v>
      </c>
      <c r="O12901" t="s">
        <v>43167</v>
      </c>
      <c r="Q12901">
        <v>0</v>
      </c>
      <c r="R12901" t="s">
        <v>43185</v>
      </c>
      <c r="S12901" t="s">
        <v>44036</v>
      </c>
      <c r="T12901" t="s">
        <v>44710</v>
      </c>
      <c r="U12901" t="s">
        <v>55451</v>
      </c>
      <c r="W12901" t="s">
        <v>39799</v>
      </c>
      <c r="X12901" t="s">
        <v>43186</v>
      </c>
    </row>
    <row r="12902" spans="1:24">
      <c r="A12902">
        <f>HYPERLINK("https://www.philgeps.gov.ph/GEPSNONPILOT/Tender/SplashBidNoticeAbstractUI.aspx?menuIndex=3&amp;refID=7055279&amp;Result=3","7055279")</f>
        <v>0</v>
      </c>
      <c r="B12902" t="s">
        <v>193</v>
      </c>
      <c r="C12902" t="s">
        <v>15758</v>
      </c>
      <c r="D12902" t="s">
        <v>17471</v>
      </c>
      <c r="E12902" t="s">
        <v>28533</v>
      </c>
      <c r="F12902" t="s">
        <v>30052</v>
      </c>
      <c r="G12902" t="s">
        <v>30058</v>
      </c>
      <c r="H12902" t="s">
        <v>30067</v>
      </c>
      <c r="I12902" t="s">
        <v>3693</v>
      </c>
      <c r="J12902" t="s">
        <v>30823</v>
      </c>
      <c r="K12902" t="s">
        <v>39020</v>
      </c>
      <c r="M12902" t="s">
        <v>39483</v>
      </c>
      <c r="N12902" t="s">
        <v>43166</v>
      </c>
      <c r="O12902" t="s">
        <v>43167</v>
      </c>
      <c r="Q12902">
        <v>1</v>
      </c>
      <c r="R12902" t="s">
        <v>43185</v>
      </c>
      <c r="S12902" t="s">
        <v>44037</v>
      </c>
      <c r="T12902" t="s">
        <v>44925</v>
      </c>
      <c r="U12902" t="s">
        <v>55450</v>
      </c>
      <c r="V12902" t="s">
        <v>58340</v>
      </c>
      <c r="W12902" t="s">
        <v>39483</v>
      </c>
      <c r="X12902" t="s">
        <v>43186</v>
      </c>
    </row>
    <row r="12903" spans="1:24">
      <c r="A12903">
        <f>HYPERLINK("https://www.philgeps.gov.ph/GEPSNONPILOT/Tender/SplashBidNoticeAbstractUI.aspx?menuIndex=3&amp;refID=7055252&amp;Result=3","7055252")</f>
        <v>0</v>
      </c>
      <c r="B12903" t="s">
        <v>1801</v>
      </c>
      <c r="C12903" t="s">
        <v>15759</v>
      </c>
      <c r="D12903" t="s">
        <v>17440</v>
      </c>
      <c r="E12903" t="s">
        <v>28534</v>
      </c>
      <c r="F12903" t="s">
        <v>30052</v>
      </c>
      <c r="G12903" t="s">
        <v>30058</v>
      </c>
      <c r="H12903" t="s">
        <v>30067</v>
      </c>
      <c r="I12903" t="s">
        <v>3693</v>
      </c>
      <c r="J12903" t="s">
        <v>38042</v>
      </c>
      <c r="K12903" t="s">
        <v>39122</v>
      </c>
      <c r="M12903" t="s">
        <v>41224</v>
      </c>
      <c r="N12903" t="s">
        <v>43166</v>
      </c>
      <c r="O12903" t="s">
        <v>43167</v>
      </c>
      <c r="Q12903">
        <v>26</v>
      </c>
      <c r="R12903" t="s">
        <v>43185</v>
      </c>
      <c r="S12903" t="s">
        <v>44038</v>
      </c>
      <c r="T12903" t="s">
        <v>44698</v>
      </c>
      <c r="U12903" t="s">
        <v>55452</v>
      </c>
      <c r="V12903" t="s">
        <v>57409</v>
      </c>
      <c r="W12903" t="s">
        <v>41224</v>
      </c>
      <c r="X12903" t="s">
        <v>43186</v>
      </c>
    </row>
    <row r="12904" spans="1:24">
      <c r="A12904">
        <f>HYPERLINK("https://www.philgeps.gov.ph/GEPSNONPILOT/Tender/SplashBidNoticeAbstractUI.aspx?menuIndex=3&amp;refID=7072763&amp;Result=3","7072763")</f>
        <v>0</v>
      </c>
      <c r="B12904" t="s">
        <v>2770</v>
      </c>
      <c r="C12904" t="s">
        <v>15760</v>
      </c>
      <c r="E12904" t="s">
        <v>28535</v>
      </c>
      <c r="F12904" t="s">
        <v>30052</v>
      </c>
      <c r="G12904" t="s">
        <v>30058</v>
      </c>
      <c r="H12904" t="s">
        <v>30067</v>
      </c>
      <c r="I12904" t="s">
        <v>3693</v>
      </c>
      <c r="J12904" t="s">
        <v>38043</v>
      </c>
      <c r="K12904" t="s">
        <v>39029</v>
      </c>
      <c r="M12904" t="s">
        <v>42306</v>
      </c>
      <c r="N12904" t="s">
        <v>43166</v>
      </c>
      <c r="O12904" t="s">
        <v>43167</v>
      </c>
      <c r="P12904">
        <v>0</v>
      </c>
      <c r="Q12904">
        <v>0</v>
      </c>
      <c r="R12904" t="s">
        <v>43176</v>
      </c>
      <c r="S12904" t="s">
        <v>43481</v>
      </c>
      <c r="T12904" t="s">
        <v>44718</v>
      </c>
      <c r="U12904" t="s">
        <v>55453</v>
      </c>
      <c r="W12904" t="s">
        <v>42306</v>
      </c>
      <c r="X12904" t="s">
        <v>43177</v>
      </c>
    </row>
    <row r="12905" spans="1:24">
      <c r="A12905">
        <f>HYPERLINK("https://www.philgeps.gov.ph/GEPSNONPILOT/Tender/SplashBidNoticeAbstractUI.aspx?menuIndex=3&amp;refID=7055373&amp;Result=3","7055373")</f>
        <v>0</v>
      </c>
      <c r="B12905" t="s">
        <v>1177</v>
      </c>
      <c r="C12905" t="s">
        <v>15761</v>
      </c>
      <c r="D12905" t="s">
        <v>17460</v>
      </c>
      <c r="E12905" t="s">
        <v>28536</v>
      </c>
      <c r="F12905" t="s">
        <v>30052</v>
      </c>
      <c r="G12905" t="s">
        <v>30058</v>
      </c>
      <c r="H12905" t="s">
        <v>30067</v>
      </c>
      <c r="I12905" t="s">
        <v>3693</v>
      </c>
      <c r="J12905" t="s">
        <v>31664</v>
      </c>
      <c r="K12905" t="s">
        <v>39022</v>
      </c>
      <c r="M12905" t="s">
        <v>42948</v>
      </c>
      <c r="N12905" t="s">
        <v>43166</v>
      </c>
      <c r="O12905" t="s">
        <v>43167</v>
      </c>
      <c r="P12905">
        <v>0</v>
      </c>
      <c r="Q12905">
        <v>82</v>
      </c>
      <c r="R12905" t="s">
        <v>43185</v>
      </c>
      <c r="S12905" t="s">
        <v>43930</v>
      </c>
      <c r="T12905" t="s">
        <v>44832</v>
      </c>
      <c r="U12905" t="s">
        <v>55444</v>
      </c>
      <c r="V12905" t="s">
        <v>58341</v>
      </c>
      <c r="W12905" t="s">
        <v>58711</v>
      </c>
      <c r="X12905" t="s">
        <v>43186</v>
      </c>
    </row>
    <row r="12906" spans="1:24">
      <c r="A12906">
        <f>HYPERLINK("https://www.philgeps.gov.ph/GEPSNONPILOT/Tender/SplashBidNoticeAbstractUI.aspx?menuIndex=3&amp;refID=7055311&amp;Result=3","7055311")</f>
        <v>0</v>
      </c>
      <c r="B12906" t="s">
        <v>1429</v>
      </c>
      <c r="C12906" t="s">
        <v>15762</v>
      </c>
      <c r="D12906" t="s">
        <v>17432</v>
      </c>
      <c r="E12906" t="s">
        <v>28537</v>
      </c>
      <c r="F12906" t="s">
        <v>30052</v>
      </c>
      <c r="G12906" t="s">
        <v>30058</v>
      </c>
      <c r="H12906" t="s">
        <v>30067</v>
      </c>
      <c r="I12906" t="s">
        <v>3693</v>
      </c>
      <c r="J12906" t="s">
        <v>38044</v>
      </c>
      <c r="K12906" t="s">
        <v>39031</v>
      </c>
      <c r="M12906" t="s">
        <v>42453</v>
      </c>
      <c r="N12906" t="s">
        <v>43166</v>
      </c>
      <c r="O12906" t="s">
        <v>43167</v>
      </c>
      <c r="P12906">
        <v>0</v>
      </c>
      <c r="Q12906">
        <v>1</v>
      </c>
      <c r="R12906" t="s">
        <v>43185</v>
      </c>
      <c r="S12906" t="s">
        <v>43930</v>
      </c>
      <c r="T12906" t="s">
        <v>44741</v>
      </c>
      <c r="U12906" t="s">
        <v>53300</v>
      </c>
      <c r="W12906" t="s">
        <v>42453</v>
      </c>
      <c r="X12906" t="s">
        <v>43186</v>
      </c>
    </row>
    <row r="12907" spans="1:24">
      <c r="A12907">
        <f>HYPERLINK("https://www.philgeps.gov.ph/GEPSNONPILOT/Tender/SplashBidNoticeAbstractUI.aspx?menuIndex=3&amp;refID=7055524&amp;Result=3","7055524")</f>
        <v>0</v>
      </c>
      <c r="B12907" t="s">
        <v>509</v>
      </c>
      <c r="C12907" t="s">
        <v>15763</v>
      </c>
      <c r="D12907" t="s">
        <v>17415</v>
      </c>
      <c r="E12907" t="s">
        <v>28538</v>
      </c>
      <c r="F12907" t="s">
        <v>30052</v>
      </c>
      <c r="G12907" t="s">
        <v>30058</v>
      </c>
      <c r="H12907" t="s">
        <v>30067</v>
      </c>
      <c r="I12907" t="s">
        <v>30068</v>
      </c>
      <c r="J12907" t="s">
        <v>38045</v>
      </c>
      <c r="K12907" t="s">
        <v>39092</v>
      </c>
      <c r="M12907" t="s">
        <v>39810</v>
      </c>
      <c r="N12907" t="s">
        <v>43166</v>
      </c>
      <c r="O12907" t="s">
        <v>43167</v>
      </c>
      <c r="Q12907">
        <v>23</v>
      </c>
      <c r="R12907" t="s">
        <v>43185</v>
      </c>
      <c r="S12907" t="s">
        <v>44039</v>
      </c>
      <c r="T12907" t="s">
        <v>44773</v>
      </c>
      <c r="U12907" t="s">
        <v>50415</v>
      </c>
      <c r="W12907" t="s">
        <v>39810</v>
      </c>
      <c r="X12907" t="s">
        <v>43186</v>
      </c>
    </row>
    <row r="12908" spans="1:24">
      <c r="A12908">
        <f>HYPERLINK("https://www.philgeps.gov.ph/GEPSNONPILOT/Tender/SplashBidNoticeAbstractUI.aspx?menuIndex=3&amp;refID=7055292&amp;Result=3","7055292")</f>
        <v>0</v>
      </c>
      <c r="B12908" t="s">
        <v>1429</v>
      </c>
      <c r="C12908" t="s">
        <v>15764</v>
      </c>
      <c r="D12908" t="s">
        <v>17432</v>
      </c>
      <c r="E12908" t="s">
        <v>28539</v>
      </c>
      <c r="F12908" t="s">
        <v>30052</v>
      </c>
      <c r="G12908" t="s">
        <v>30058</v>
      </c>
      <c r="H12908" t="s">
        <v>30067</v>
      </c>
      <c r="I12908" t="s">
        <v>3693</v>
      </c>
      <c r="J12908" t="s">
        <v>38044</v>
      </c>
      <c r="K12908" t="s">
        <v>39031</v>
      </c>
      <c r="M12908" t="s">
        <v>42453</v>
      </c>
      <c r="N12908" t="s">
        <v>43166</v>
      </c>
      <c r="O12908" t="s">
        <v>43167</v>
      </c>
      <c r="P12908">
        <v>0</v>
      </c>
      <c r="Q12908">
        <v>1</v>
      </c>
      <c r="R12908" t="s">
        <v>43185</v>
      </c>
      <c r="S12908" t="s">
        <v>43930</v>
      </c>
      <c r="T12908" t="s">
        <v>44741</v>
      </c>
      <c r="U12908" t="s">
        <v>53300</v>
      </c>
      <c r="W12908" t="s">
        <v>42453</v>
      </c>
      <c r="X12908" t="s">
        <v>43186</v>
      </c>
    </row>
    <row r="12909" spans="1:24">
      <c r="A12909">
        <f>HYPERLINK("https://www.philgeps.gov.ph/GEPSNONPILOT/Tender/SplashBidNoticeAbstractUI.aspx?menuIndex=3&amp;refID=7055513&amp;Result=3","7055513")</f>
        <v>0</v>
      </c>
      <c r="B12909" t="s">
        <v>3259</v>
      </c>
      <c r="C12909" t="s">
        <v>15765</v>
      </c>
      <c r="D12909" t="s">
        <v>17482</v>
      </c>
      <c r="E12909" t="s">
        <v>28540</v>
      </c>
      <c r="F12909" t="s">
        <v>30052</v>
      </c>
      <c r="G12909" t="s">
        <v>30058</v>
      </c>
      <c r="H12909" t="s">
        <v>30067</v>
      </c>
      <c r="I12909" t="s">
        <v>30093</v>
      </c>
      <c r="J12909" t="s">
        <v>30281</v>
      </c>
      <c r="K12909" t="s">
        <v>39022</v>
      </c>
      <c r="M12909" t="s">
        <v>42890</v>
      </c>
      <c r="N12909" t="s">
        <v>43166</v>
      </c>
      <c r="O12909" t="s">
        <v>43167</v>
      </c>
      <c r="P12909">
        <v>0</v>
      </c>
      <c r="Q12909">
        <v>17</v>
      </c>
      <c r="R12909" t="s">
        <v>43185</v>
      </c>
      <c r="S12909" t="s">
        <v>43930</v>
      </c>
      <c r="T12909" t="s">
        <v>44943</v>
      </c>
      <c r="U12909" t="s">
        <v>55454</v>
      </c>
      <c r="W12909" t="s">
        <v>42890</v>
      </c>
      <c r="X12909" t="s">
        <v>43186</v>
      </c>
    </row>
    <row r="12910" spans="1:24">
      <c r="A12910">
        <f>HYPERLINK("https://www.philgeps.gov.ph/GEPSNONPILOT/Tender/SplashBidNoticeAbstractUI.aspx?menuIndex=3&amp;refID=7072767&amp;Result=3","7072767")</f>
        <v>0</v>
      </c>
      <c r="B12910" t="s">
        <v>2770</v>
      </c>
      <c r="C12910" t="s">
        <v>15766</v>
      </c>
      <c r="E12910" t="s">
        <v>28541</v>
      </c>
      <c r="F12910" t="s">
        <v>30052</v>
      </c>
      <c r="G12910" t="s">
        <v>30058</v>
      </c>
      <c r="H12910" t="s">
        <v>30067</v>
      </c>
      <c r="I12910" t="s">
        <v>3693</v>
      </c>
      <c r="J12910" t="s">
        <v>38046</v>
      </c>
      <c r="K12910" t="s">
        <v>39029</v>
      </c>
      <c r="M12910" t="s">
        <v>42306</v>
      </c>
      <c r="N12910" t="s">
        <v>43166</v>
      </c>
      <c r="O12910" t="s">
        <v>43167</v>
      </c>
      <c r="P12910">
        <v>0</v>
      </c>
      <c r="Q12910">
        <v>0</v>
      </c>
      <c r="R12910" t="s">
        <v>43176</v>
      </c>
      <c r="S12910" t="s">
        <v>43481</v>
      </c>
      <c r="T12910" t="s">
        <v>44718</v>
      </c>
      <c r="U12910" t="s">
        <v>55455</v>
      </c>
      <c r="W12910" t="s">
        <v>42306</v>
      </c>
      <c r="X12910" t="s">
        <v>43177</v>
      </c>
    </row>
    <row r="12911" spans="1:24">
      <c r="A12911">
        <f>HYPERLINK("https://www.philgeps.gov.ph/GEPSNONPILOT/Tender/SplashBidNoticeAbstractUI.aspx?menuIndex=3&amp;refID=7055509&amp;Result=3","7055509")</f>
        <v>0</v>
      </c>
      <c r="B12911" t="s">
        <v>3259</v>
      </c>
      <c r="C12911" t="s">
        <v>15765</v>
      </c>
      <c r="D12911" t="s">
        <v>17482</v>
      </c>
      <c r="E12911" t="s">
        <v>28542</v>
      </c>
      <c r="F12911" t="s">
        <v>30052</v>
      </c>
      <c r="G12911" t="s">
        <v>30058</v>
      </c>
      <c r="H12911" t="s">
        <v>30067</v>
      </c>
      <c r="I12911" t="s">
        <v>30093</v>
      </c>
      <c r="J12911" t="s">
        <v>30321</v>
      </c>
      <c r="K12911" t="s">
        <v>39022</v>
      </c>
      <c r="M12911" t="s">
        <v>42890</v>
      </c>
      <c r="N12911" t="s">
        <v>43166</v>
      </c>
      <c r="O12911" t="s">
        <v>43167</v>
      </c>
      <c r="P12911">
        <v>0</v>
      </c>
      <c r="Q12911">
        <v>17</v>
      </c>
      <c r="R12911" t="s">
        <v>43185</v>
      </c>
      <c r="S12911" t="s">
        <v>43930</v>
      </c>
      <c r="T12911" t="s">
        <v>44943</v>
      </c>
      <c r="U12911" t="s">
        <v>55456</v>
      </c>
      <c r="W12911" t="s">
        <v>42890</v>
      </c>
      <c r="X12911" t="s">
        <v>43186</v>
      </c>
    </row>
    <row r="12912" spans="1:24">
      <c r="A12912">
        <f>HYPERLINK("https://www.philgeps.gov.ph/GEPSNONPILOT/Tender/SplashBidNoticeAbstractUI.aspx?menuIndex=3&amp;refID=7055508&amp;Result=3","7055508")</f>
        <v>0</v>
      </c>
      <c r="B12912" t="s">
        <v>509</v>
      </c>
      <c r="C12912" t="s">
        <v>15767</v>
      </c>
      <c r="D12912" t="s">
        <v>17415</v>
      </c>
      <c r="E12912" t="s">
        <v>28543</v>
      </c>
      <c r="F12912" t="s">
        <v>30052</v>
      </c>
      <c r="G12912" t="s">
        <v>30058</v>
      </c>
      <c r="H12912" t="s">
        <v>30067</v>
      </c>
      <c r="I12912" t="s">
        <v>3693</v>
      </c>
      <c r="J12912" t="s">
        <v>38047</v>
      </c>
      <c r="K12912" t="s">
        <v>39033</v>
      </c>
      <c r="M12912" t="s">
        <v>39810</v>
      </c>
      <c r="N12912" t="s">
        <v>43166</v>
      </c>
      <c r="O12912" t="s">
        <v>43167</v>
      </c>
      <c r="Q12912">
        <v>23</v>
      </c>
      <c r="R12912" t="s">
        <v>43185</v>
      </c>
      <c r="S12912" t="s">
        <v>44040</v>
      </c>
      <c r="T12912" t="s">
        <v>44773</v>
      </c>
      <c r="U12912" t="s">
        <v>50415</v>
      </c>
      <c r="W12912" t="s">
        <v>39810</v>
      </c>
      <c r="X12912" t="s">
        <v>43186</v>
      </c>
    </row>
    <row r="12913" spans="1:24">
      <c r="A12913">
        <f>HYPERLINK("https://www.philgeps.gov.ph/GEPSNONPILOT/Tender/SplashBidNoticeAbstractUI.aspx?menuIndex=3&amp;refID=7055502&amp;Result=3","7055502")</f>
        <v>0</v>
      </c>
      <c r="B12913" t="s">
        <v>509</v>
      </c>
      <c r="C12913" t="s">
        <v>15768</v>
      </c>
      <c r="D12913" t="s">
        <v>17415</v>
      </c>
      <c r="E12913" t="s">
        <v>28544</v>
      </c>
      <c r="F12913" t="s">
        <v>30052</v>
      </c>
      <c r="G12913" t="s">
        <v>30058</v>
      </c>
      <c r="H12913" t="s">
        <v>30067</v>
      </c>
      <c r="I12913" t="s">
        <v>3693</v>
      </c>
      <c r="J12913" t="s">
        <v>38048</v>
      </c>
      <c r="K12913" t="s">
        <v>39016</v>
      </c>
      <c r="M12913" t="s">
        <v>39810</v>
      </c>
      <c r="N12913" t="s">
        <v>43166</v>
      </c>
      <c r="O12913" t="s">
        <v>43167</v>
      </c>
      <c r="Q12913">
        <v>29</v>
      </c>
      <c r="R12913" t="s">
        <v>43185</v>
      </c>
      <c r="S12913" t="s">
        <v>44041</v>
      </c>
      <c r="T12913" t="s">
        <v>44773</v>
      </c>
      <c r="U12913" t="s">
        <v>50415</v>
      </c>
      <c r="W12913" t="s">
        <v>39810</v>
      </c>
      <c r="X12913" t="s">
        <v>43186</v>
      </c>
    </row>
    <row r="12914" spans="1:24">
      <c r="A12914">
        <f>HYPERLINK("https://www.philgeps.gov.ph/GEPSNONPILOT/Tender/SplashBidNoticeAbstractUI.aspx?menuIndex=3&amp;refID=7055496&amp;Result=3","7055496")</f>
        <v>0</v>
      </c>
      <c r="B12914" t="s">
        <v>3259</v>
      </c>
      <c r="C12914" t="s">
        <v>15765</v>
      </c>
      <c r="D12914" t="s">
        <v>17482</v>
      </c>
      <c r="E12914" t="s">
        <v>28545</v>
      </c>
      <c r="F12914" t="s">
        <v>30052</v>
      </c>
      <c r="G12914" t="s">
        <v>30058</v>
      </c>
      <c r="H12914" t="s">
        <v>30067</v>
      </c>
      <c r="I12914" t="s">
        <v>30093</v>
      </c>
      <c r="J12914" t="s">
        <v>30222</v>
      </c>
      <c r="K12914" t="s">
        <v>39031</v>
      </c>
      <c r="M12914" t="s">
        <v>42890</v>
      </c>
      <c r="N12914" t="s">
        <v>43166</v>
      </c>
      <c r="O12914" t="s">
        <v>43167</v>
      </c>
      <c r="P12914">
        <v>0</v>
      </c>
      <c r="Q12914">
        <v>16</v>
      </c>
      <c r="R12914" t="s">
        <v>43185</v>
      </c>
      <c r="S12914" t="s">
        <v>43930</v>
      </c>
      <c r="T12914" t="s">
        <v>44943</v>
      </c>
      <c r="U12914" t="s">
        <v>55457</v>
      </c>
      <c r="W12914" t="s">
        <v>42890</v>
      </c>
      <c r="X12914" t="s">
        <v>43186</v>
      </c>
    </row>
    <row r="12915" spans="1:24">
      <c r="A12915">
        <f>HYPERLINK("https://www.philgeps.gov.ph/GEPSNONPILOT/Tender/SplashBidNoticeAbstractUI.aspx?menuIndex=3&amp;refID=7055233&amp;Result=3","7055233")</f>
        <v>0</v>
      </c>
      <c r="B12915" t="s">
        <v>3304</v>
      </c>
      <c r="C12915" t="s">
        <v>15769</v>
      </c>
      <c r="D12915" t="s">
        <v>17452</v>
      </c>
      <c r="E12915" t="s">
        <v>28505</v>
      </c>
      <c r="F12915" t="s">
        <v>30052</v>
      </c>
      <c r="G12915" t="s">
        <v>30058</v>
      </c>
      <c r="H12915" t="s">
        <v>15498</v>
      </c>
      <c r="I12915" t="s">
        <v>30070</v>
      </c>
      <c r="J12915" t="s">
        <v>38049</v>
      </c>
      <c r="K12915" t="s">
        <v>39019</v>
      </c>
      <c r="L12915" t="s">
        <v>3304</v>
      </c>
      <c r="M12915" t="s">
        <v>42941</v>
      </c>
      <c r="N12915" t="s">
        <v>43166</v>
      </c>
      <c r="O12915" t="s">
        <v>43167</v>
      </c>
      <c r="P12915">
        <v>0</v>
      </c>
      <c r="Q12915">
        <v>5</v>
      </c>
      <c r="R12915" t="s">
        <v>43185</v>
      </c>
      <c r="S12915" t="s">
        <v>43930</v>
      </c>
      <c r="T12915" t="s">
        <v>44806</v>
      </c>
      <c r="U12915" t="s">
        <v>55458</v>
      </c>
      <c r="W12915" t="s">
        <v>42941</v>
      </c>
      <c r="X12915" t="s">
        <v>43186</v>
      </c>
    </row>
    <row r="12916" spans="1:24">
      <c r="A12916">
        <f>HYPERLINK("https://www.philgeps.gov.ph/GEPSNONPILOT/Tender/SplashBidNoticeAbstractUI.aspx?menuIndex=3&amp;refID=7055489&amp;Result=3","7055489")</f>
        <v>0</v>
      </c>
      <c r="B12916" t="s">
        <v>3310</v>
      </c>
      <c r="C12916" t="s">
        <v>15770</v>
      </c>
      <c r="D12916" t="s">
        <v>17415</v>
      </c>
      <c r="E12916" t="s">
        <v>28546</v>
      </c>
      <c r="F12916" t="s">
        <v>30052</v>
      </c>
      <c r="G12916" t="s">
        <v>30058</v>
      </c>
      <c r="H12916" t="s">
        <v>15498</v>
      </c>
      <c r="I12916" t="s">
        <v>30084</v>
      </c>
      <c r="J12916" t="s">
        <v>31207</v>
      </c>
      <c r="K12916" t="s">
        <v>39046</v>
      </c>
      <c r="M12916" t="s">
        <v>42949</v>
      </c>
      <c r="N12916" t="s">
        <v>43166</v>
      </c>
      <c r="O12916" t="s">
        <v>43167</v>
      </c>
      <c r="Q12916">
        <v>25</v>
      </c>
      <c r="R12916" t="s">
        <v>43185</v>
      </c>
      <c r="S12916" t="s">
        <v>43400</v>
      </c>
      <c r="T12916" t="s">
        <v>44724</v>
      </c>
      <c r="U12916" t="s">
        <v>55459</v>
      </c>
      <c r="W12916" t="s">
        <v>42949</v>
      </c>
      <c r="X12916" t="s">
        <v>43186</v>
      </c>
    </row>
    <row r="12917" spans="1:24">
      <c r="A12917">
        <f>HYPERLINK("https://www.philgeps.gov.ph/GEPSNONPILOT/Tender/SplashBidNoticeAbstractUI.aspx?menuIndex=3&amp;refID=7055300&amp;Result=3","7055300")</f>
        <v>0</v>
      </c>
      <c r="B12917" t="s">
        <v>193</v>
      </c>
      <c r="C12917" t="s">
        <v>15771</v>
      </c>
      <c r="D12917" t="s">
        <v>17471</v>
      </c>
      <c r="E12917" t="s">
        <v>28547</v>
      </c>
      <c r="F12917" t="s">
        <v>30052</v>
      </c>
      <c r="G12917" t="s">
        <v>30058</v>
      </c>
      <c r="H12917" t="s">
        <v>30067</v>
      </c>
      <c r="I12917" t="s">
        <v>3693</v>
      </c>
      <c r="J12917" t="s">
        <v>30823</v>
      </c>
      <c r="K12917" t="s">
        <v>39020</v>
      </c>
      <c r="M12917" t="s">
        <v>39483</v>
      </c>
      <c r="N12917" t="s">
        <v>43166</v>
      </c>
      <c r="O12917" t="s">
        <v>43167</v>
      </c>
      <c r="Q12917">
        <v>1</v>
      </c>
      <c r="R12917" t="s">
        <v>43185</v>
      </c>
      <c r="S12917" t="s">
        <v>44042</v>
      </c>
      <c r="T12917" t="s">
        <v>44925</v>
      </c>
      <c r="U12917" t="s">
        <v>55450</v>
      </c>
      <c r="V12917" t="s">
        <v>58342</v>
      </c>
      <c r="W12917" t="s">
        <v>39483</v>
      </c>
      <c r="X12917" t="s">
        <v>43186</v>
      </c>
    </row>
    <row r="12918" spans="1:24">
      <c r="A12918">
        <f>HYPERLINK("https://www.philgeps.gov.ph/GEPSNONPILOT/Tender/SplashBidNoticeAbstractUI.aspx?menuIndex=3&amp;refID=7055504&amp;Result=3","7055504")</f>
        <v>0</v>
      </c>
      <c r="B12918" t="s">
        <v>3259</v>
      </c>
      <c r="C12918" t="s">
        <v>15765</v>
      </c>
      <c r="D12918" t="s">
        <v>17482</v>
      </c>
      <c r="E12918" t="s">
        <v>28548</v>
      </c>
      <c r="F12918" t="s">
        <v>30052</v>
      </c>
      <c r="G12918" t="s">
        <v>30058</v>
      </c>
      <c r="H12918" t="s">
        <v>30067</v>
      </c>
      <c r="I12918" t="s">
        <v>30093</v>
      </c>
      <c r="J12918" t="s">
        <v>30281</v>
      </c>
      <c r="K12918" t="s">
        <v>39026</v>
      </c>
      <c r="M12918" t="s">
        <v>42890</v>
      </c>
      <c r="N12918" t="s">
        <v>43166</v>
      </c>
      <c r="O12918" t="s">
        <v>43167</v>
      </c>
      <c r="P12918">
        <v>0</v>
      </c>
      <c r="Q12918">
        <v>17</v>
      </c>
      <c r="R12918" t="s">
        <v>43185</v>
      </c>
      <c r="S12918" t="s">
        <v>43930</v>
      </c>
      <c r="T12918" t="s">
        <v>44943</v>
      </c>
      <c r="U12918" t="s">
        <v>55460</v>
      </c>
      <c r="W12918" t="s">
        <v>42890</v>
      </c>
      <c r="X12918" t="s">
        <v>43186</v>
      </c>
    </row>
    <row r="12919" spans="1:24">
      <c r="A12919">
        <f>HYPERLINK("https://www.philgeps.gov.ph/GEPSNONPILOT/Tender/SplashBidNoticeAbstractUI.aspx?menuIndex=3&amp;refID=7055487&amp;Result=3","7055487")</f>
        <v>0</v>
      </c>
      <c r="B12919" t="s">
        <v>3311</v>
      </c>
      <c r="C12919" t="s">
        <v>15772</v>
      </c>
      <c r="D12919" t="s">
        <v>17413</v>
      </c>
      <c r="E12919" t="s">
        <v>28549</v>
      </c>
      <c r="F12919" t="s">
        <v>30052</v>
      </c>
      <c r="G12919" t="s">
        <v>30058</v>
      </c>
      <c r="H12919" t="s">
        <v>30067</v>
      </c>
      <c r="I12919" t="s">
        <v>3693</v>
      </c>
      <c r="J12919" t="s">
        <v>30275</v>
      </c>
      <c r="K12919" t="s">
        <v>39046</v>
      </c>
      <c r="M12919" t="s">
        <v>42950</v>
      </c>
      <c r="N12919" t="s">
        <v>43166</v>
      </c>
      <c r="O12919" t="s">
        <v>43167</v>
      </c>
      <c r="P12919">
        <v>0</v>
      </c>
      <c r="Q12919">
        <v>1</v>
      </c>
      <c r="R12919" t="s">
        <v>43185</v>
      </c>
      <c r="S12919" t="s">
        <v>43930</v>
      </c>
      <c r="T12919" t="s">
        <v>44710</v>
      </c>
      <c r="U12919" t="s">
        <v>55461</v>
      </c>
      <c r="W12919" t="s">
        <v>42950</v>
      </c>
      <c r="X12919" t="s">
        <v>43186</v>
      </c>
    </row>
    <row r="12920" spans="1:24">
      <c r="A12920">
        <f>HYPERLINK("https://www.philgeps.gov.ph/GEPSNONPILOT/Tender/SplashBidNoticeAbstractUI.aspx?menuIndex=3&amp;refID=7055483&amp;Result=3","7055483")</f>
        <v>0</v>
      </c>
      <c r="B12920" t="s">
        <v>3311</v>
      </c>
      <c r="C12920" t="s">
        <v>15773</v>
      </c>
      <c r="D12920" t="s">
        <v>17413</v>
      </c>
      <c r="E12920" t="s">
        <v>28550</v>
      </c>
      <c r="F12920" t="s">
        <v>30052</v>
      </c>
      <c r="G12920" t="s">
        <v>30058</v>
      </c>
      <c r="H12920" t="s">
        <v>30067</v>
      </c>
      <c r="I12920" t="s">
        <v>3693</v>
      </c>
      <c r="J12920" t="s">
        <v>38050</v>
      </c>
      <c r="K12920" t="s">
        <v>39026</v>
      </c>
      <c r="M12920" t="s">
        <v>42950</v>
      </c>
      <c r="N12920" t="s">
        <v>43166</v>
      </c>
      <c r="O12920" t="s">
        <v>43167</v>
      </c>
      <c r="P12920">
        <v>0</v>
      </c>
      <c r="Q12920">
        <v>1</v>
      </c>
      <c r="R12920" t="s">
        <v>43185</v>
      </c>
      <c r="S12920" t="s">
        <v>43930</v>
      </c>
      <c r="T12920" t="s">
        <v>44710</v>
      </c>
      <c r="U12920" t="s">
        <v>55462</v>
      </c>
      <c r="W12920" t="s">
        <v>42950</v>
      </c>
      <c r="X12920" t="s">
        <v>43186</v>
      </c>
    </row>
    <row r="12921" spans="1:24">
      <c r="A12921">
        <f>HYPERLINK("https://www.philgeps.gov.ph/GEPSNONPILOT/Tender/SplashBidNoticeAbstractUI.aspx?menuIndex=3&amp;refID=7055495&amp;Result=3","7055495")</f>
        <v>0</v>
      </c>
      <c r="B12921" t="s">
        <v>509</v>
      </c>
      <c r="C12921" t="s">
        <v>15774</v>
      </c>
      <c r="D12921" t="s">
        <v>17415</v>
      </c>
      <c r="E12921" t="s">
        <v>28551</v>
      </c>
      <c r="F12921" t="s">
        <v>30052</v>
      </c>
      <c r="G12921" t="s">
        <v>30058</v>
      </c>
      <c r="H12921" t="s">
        <v>30067</v>
      </c>
      <c r="I12921" t="s">
        <v>3693</v>
      </c>
      <c r="J12921" t="s">
        <v>38051</v>
      </c>
      <c r="K12921" t="s">
        <v>39057</v>
      </c>
      <c r="M12921" t="s">
        <v>39810</v>
      </c>
      <c r="N12921" t="s">
        <v>43166</v>
      </c>
      <c r="O12921" t="s">
        <v>43167</v>
      </c>
      <c r="Q12921">
        <v>23</v>
      </c>
      <c r="R12921" t="s">
        <v>43185</v>
      </c>
      <c r="S12921" t="s">
        <v>44043</v>
      </c>
      <c r="T12921" t="s">
        <v>44773</v>
      </c>
      <c r="U12921" t="s">
        <v>50415</v>
      </c>
      <c r="W12921" t="s">
        <v>39810</v>
      </c>
      <c r="X12921" t="s">
        <v>43186</v>
      </c>
    </row>
    <row r="12922" spans="1:24">
      <c r="A12922">
        <f>HYPERLINK("https://www.philgeps.gov.ph/GEPSNONPILOT/Tender/SplashBidNoticeAbstractUI.aspx?menuIndex=3&amp;refID=7035477&amp;Result=3","7035477")</f>
        <v>0</v>
      </c>
      <c r="B12922" t="s">
        <v>3312</v>
      </c>
      <c r="C12922" t="s">
        <v>15775</v>
      </c>
      <c r="D12922" t="s">
        <v>17461</v>
      </c>
      <c r="E12922" t="s">
        <v>28552</v>
      </c>
      <c r="F12922" t="s">
        <v>30052</v>
      </c>
      <c r="G12922" t="s">
        <v>30058</v>
      </c>
      <c r="H12922" t="s">
        <v>30067</v>
      </c>
      <c r="I12922" t="s">
        <v>3693</v>
      </c>
      <c r="J12922" t="s">
        <v>32291</v>
      </c>
      <c r="K12922" t="s">
        <v>39022</v>
      </c>
      <c r="M12922" t="s">
        <v>42951</v>
      </c>
      <c r="N12922" t="s">
        <v>43166</v>
      </c>
      <c r="O12922" t="s">
        <v>43167</v>
      </c>
      <c r="Q12922">
        <v>7</v>
      </c>
      <c r="R12922" t="s">
        <v>43186</v>
      </c>
      <c r="S12922" t="s">
        <v>44044</v>
      </c>
      <c r="T12922" t="s">
        <v>44714</v>
      </c>
      <c r="U12922" t="s">
        <v>55463</v>
      </c>
      <c r="V12922" t="s">
        <v>58343</v>
      </c>
      <c r="W12922" t="s">
        <v>42951</v>
      </c>
      <c r="X12922" t="s">
        <v>43194</v>
      </c>
    </row>
    <row r="12923" spans="1:24">
      <c r="A12923">
        <f>HYPERLINK("https://www.philgeps.gov.ph/GEPSNONPILOT/Tender/SplashBidNoticeAbstractUI.aspx?menuIndex=3&amp;refID=7035323&amp;Result=3","7035323")</f>
        <v>0</v>
      </c>
      <c r="B12923" t="s">
        <v>3312</v>
      </c>
      <c r="C12923" t="s">
        <v>15776</v>
      </c>
      <c r="D12923" t="s">
        <v>17461</v>
      </c>
      <c r="E12923" t="s">
        <v>28553</v>
      </c>
      <c r="F12923" t="s">
        <v>30052</v>
      </c>
      <c r="G12923" t="s">
        <v>30058</v>
      </c>
      <c r="H12923" t="s">
        <v>30067</v>
      </c>
      <c r="I12923" t="s">
        <v>3693</v>
      </c>
      <c r="J12923" t="s">
        <v>32291</v>
      </c>
      <c r="K12923" t="s">
        <v>39022</v>
      </c>
      <c r="M12923" t="s">
        <v>42951</v>
      </c>
      <c r="N12923" t="s">
        <v>43166</v>
      </c>
      <c r="O12923" t="s">
        <v>43167</v>
      </c>
      <c r="Q12923">
        <v>10</v>
      </c>
      <c r="R12923" t="s">
        <v>43186</v>
      </c>
      <c r="S12923" t="s">
        <v>44045</v>
      </c>
      <c r="T12923" t="s">
        <v>44714</v>
      </c>
      <c r="U12923" t="s">
        <v>55464</v>
      </c>
      <c r="V12923" t="s">
        <v>58343</v>
      </c>
      <c r="W12923" t="s">
        <v>42951</v>
      </c>
      <c r="X12923" t="s">
        <v>43194</v>
      </c>
    </row>
    <row r="12924" spans="1:24">
      <c r="A12924">
        <f>HYPERLINK("https://www.philgeps.gov.ph/GEPSNONPILOT/Tender/SplashBidNoticeAbstractUI.aspx?menuIndex=3&amp;refID=7026766&amp;Result=3","7026766")</f>
        <v>0</v>
      </c>
      <c r="B12924" t="s">
        <v>2647</v>
      </c>
      <c r="C12924" t="s">
        <v>15777</v>
      </c>
      <c r="D12924" t="s">
        <v>17488</v>
      </c>
      <c r="E12924" t="s">
        <v>28554</v>
      </c>
      <c r="F12924" t="s">
        <v>30052</v>
      </c>
      <c r="G12924" t="s">
        <v>30058</v>
      </c>
      <c r="H12924" t="s">
        <v>30067</v>
      </c>
      <c r="I12924" t="s">
        <v>30203</v>
      </c>
      <c r="J12924" t="s">
        <v>38052</v>
      </c>
      <c r="K12924" t="s">
        <v>39247</v>
      </c>
      <c r="M12924" t="s">
        <v>42165</v>
      </c>
      <c r="N12924" t="s">
        <v>43166</v>
      </c>
      <c r="O12924" t="s">
        <v>43167</v>
      </c>
      <c r="Q12924">
        <v>0</v>
      </c>
      <c r="R12924" t="s">
        <v>43186</v>
      </c>
      <c r="S12924" t="s">
        <v>43388</v>
      </c>
      <c r="T12924" t="s">
        <v>44681</v>
      </c>
      <c r="U12924" t="s">
        <v>55465</v>
      </c>
      <c r="W12924" t="s">
        <v>42165</v>
      </c>
      <c r="X12924" t="s">
        <v>43199</v>
      </c>
    </row>
    <row r="12925" spans="1:24">
      <c r="A12925">
        <f>HYPERLINK("https://www.philgeps.gov.ph/GEPSNONPILOT/Tender/SplashBidNoticeAbstractUI.aspx?menuIndex=3&amp;refID=7055570&amp;Result=3","7055570")</f>
        <v>0</v>
      </c>
      <c r="B12925" t="s">
        <v>3297</v>
      </c>
      <c r="C12925" t="s">
        <v>15778</v>
      </c>
      <c r="D12925" t="s">
        <v>17453</v>
      </c>
      <c r="E12925" t="s">
        <v>28555</v>
      </c>
      <c r="F12925" t="s">
        <v>30052</v>
      </c>
      <c r="G12925" t="s">
        <v>30058</v>
      </c>
      <c r="H12925" t="s">
        <v>30067</v>
      </c>
      <c r="I12925" t="s">
        <v>3693</v>
      </c>
      <c r="J12925" t="s">
        <v>30222</v>
      </c>
      <c r="K12925" t="s">
        <v>39025</v>
      </c>
      <c r="M12925" t="s">
        <v>42932</v>
      </c>
      <c r="N12925" t="s">
        <v>43166</v>
      </c>
      <c r="O12925" t="s">
        <v>43167</v>
      </c>
      <c r="P12925">
        <v>0</v>
      </c>
      <c r="Q12925">
        <v>0</v>
      </c>
      <c r="R12925" t="s">
        <v>43185</v>
      </c>
      <c r="S12925" t="s">
        <v>43930</v>
      </c>
      <c r="T12925" t="s">
        <v>44808</v>
      </c>
      <c r="U12925" t="s">
        <v>55466</v>
      </c>
      <c r="V12925" t="s">
        <v>58322</v>
      </c>
      <c r="W12925" t="s">
        <v>58709</v>
      </c>
      <c r="X12925" t="s">
        <v>43186</v>
      </c>
    </row>
    <row r="12926" spans="1:24">
      <c r="A12926">
        <f>HYPERLINK("https://www.philgeps.gov.ph/GEPSNONPILOT/Tender/SplashBidNoticeAbstractUI.aspx?menuIndex=3&amp;refID=7055510&amp;Result=3","7055510")</f>
        <v>0</v>
      </c>
      <c r="B12926" t="s">
        <v>30</v>
      </c>
      <c r="C12926" t="s">
        <v>15779</v>
      </c>
      <c r="E12926" t="s">
        <v>28556</v>
      </c>
      <c r="F12926" t="s">
        <v>30055</v>
      </c>
      <c r="G12926" t="s">
        <v>30065</v>
      </c>
      <c r="H12926" t="s">
        <v>30068</v>
      </c>
      <c r="I12926" t="s">
        <v>30068</v>
      </c>
      <c r="J12926" t="s">
        <v>32397</v>
      </c>
      <c r="K12926" t="s">
        <v>39288</v>
      </c>
      <c r="M12926" t="s">
        <v>39320</v>
      </c>
      <c r="N12926" t="s">
        <v>43166</v>
      </c>
      <c r="O12926" t="s">
        <v>43167</v>
      </c>
      <c r="P12926">
        <v>0</v>
      </c>
      <c r="Q12926">
        <v>4</v>
      </c>
      <c r="R12926" t="s">
        <v>43185</v>
      </c>
      <c r="S12926" t="s">
        <v>43930</v>
      </c>
      <c r="T12926" t="s">
        <v>45171</v>
      </c>
      <c r="U12926" t="s">
        <v>55467</v>
      </c>
      <c r="V12926" t="s">
        <v>58344</v>
      </c>
      <c r="W12926" t="s">
        <v>39320</v>
      </c>
      <c r="X12926" t="s">
        <v>43186</v>
      </c>
    </row>
    <row r="12927" spans="1:24">
      <c r="A12927">
        <f>HYPERLINK("https://www.philgeps.gov.ph/GEPSNONPILOT/Tender/SplashBidNoticeAbstractUI.aspx?menuIndex=3&amp;refID=7055637&amp;Result=3","7055637")</f>
        <v>0</v>
      </c>
      <c r="B12927" t="s">
        <v>29</v>
      </c>
      <c r="C12927" t="s">
        <v>15780</v>
      </c>
      <c r="D12927" t="s">
        <v>17418</v>
      </c>
      <c r="E12927" t="s">
        <v>28557</v>
      </c>
      <c r="F12927" t="s">
        <v>30052</v>
      </c>
      <c r="G12927" t="s">
        <v>30058</v>
      </c>
      <c r="H12927" t="s">
        <v>30067</v>
      </c>
      <c r="I12927" t="s">
        <v>3693</v>
      </c>
      <c r="J12927" t="s">
        <v>30321</v>
      </c>
      <c r="K12927" t="s">
        <v>39103</v>
      </c>
      <c r="M12927" t="s">
        <v>39319</v>
      </c>
      <c r="N12927" t="s">
        <v>43166</v>
      </c>
      <c r="O12927" t="s">
        <v>43167</v>
      </c>
      <c r="P12927">
        <v>0</v>
      </c>
      <c r="Q12927">
        <v>5</v>
      </c>
      <c r="R12927" t="s">
        <v>43185</v>
      </c>
      <c r="S12927" t="s">
        <v>43930</v>
      </c>
      <c r="T12927" t="s">
        <v>45135</v>
      </c>
      <c r="U12927" t="s">
        <v>55468</v>
      </c>
      <c r="W12927" t="s">
        <v>39319</v>
      </c>
      <c r="X12927" t="s">
        <v>43186</v>
      </c>
    </row>
    <row r="12928" spans="1:24">
      <c r="A12928">
        <f>HYPERLINK("https://www.philgeps.gov.ph/GEPSNONPILOT/Tender/SplashBidNoticeAbstractUI.aspx?menuIndex=3&amp;refID=7055632&amp;Result=3","7055632")</f>
        <v>0</v>
      </c>
      <c r="B12928" t="s">
        <v>29</v>
      </c>
      <c r="C12928" t="s">
        <v>15781</v>
      </c>
      <c r="D12928" t="s">
        <v>17418</v>
      </c>
      <c r="E12928" t="s">
        <v>28558</v>
      </c>
      <c r="F12928" t="s">
        <v>30052</v>
      </c>
      <c r="G12928" t="s">
        <v>30058</v>
      </c>
      <c r="H12928" t="s">
        <v>15498</v>
      </c>
      <c r="I12928" t="s">
        <v>4119</v>
      </c>
      <c r="J12928" t="s">
        <v>38053</v>
      </c>
      <c r="K12928" t="s">
        <v>39067</v>
      </c>
      <c r="M12928" t="s">
        <v>39319</v>
      </c>
      <c r="N12928" t="s">
        <v>43166</v>
      </c>
      <c r="O12928" t="s">
        <v>43167</v>
      </c>
      <c r="P12928">
        <v>0</v>
      </c>
      <c r="Q12928">
        <v>3</v>
      </c>
      <c r="R12928" t="s">
        <v>43185</v>
      </c>
      <c r="S12928" t="s">
        <v>43930</v>
      </c>
      <c r="T12928" t="s">
        <v>45135</v>
      </c>
      <c r="U12928" t="s">
        <v>55469</v>
      </c>
      <c r="W12928" t="s">
        <v>39319</v>
      </c>
      <c r="X12928" t="s">
        <v>43186</v>
      </c>
    </row>
    <row r="12929" spans="1:24">
      <c r="A12929">
        <f>HYPERLINK("https://www.philgeps.gov.ph/GEPSNONPILOT/Tender/SplashBidNoticeAbstractUI.aspx?menuIndex=3&amp;refID=7055627&amp;Result=3","7055627")</f>
        <v>0</v>
      </c>
      <c r="B12929" t="s">
        <v>3309</v>
      </c>
      <c r="C12929" t="s">
        <v>15782</v>
      </c>
      <c r="D12929" t="s">
        <v>17442</v>
      </c>
      <c r="E12929" t="s">
        <v>26554</v>
      </c>
      <c r="F12929" t="s">
        <v>30052</v>
      </c>
      <c r="G12929" t="s">
        <v>30058</v>
      </c>
      <c r="H12929" t="s">
        <v>30067</v>
      </c>
      <c r="I12929" t="s">
        <v>3693</v>
      </c>
      <c r="J12929" t="s">
        <v>38054</v>
      </c>
      <c r="K12929" t="s">
        <v>39023</v>
      </c>
      <c r="M12929" t="s">
        <v>42947</v>
      </c>
      <c r="N12929" t="s">
        <v>43166</v>
      </c>
      <c r="O12929" t="s">
        <v>43167</v>
      </c>
      <c r="P12929">
        <v>0</v>
      </c>
      <c r="Q12929">
        <v>0</v>
      </c>
      <c r="R12929" t="s">
        <v>43185</v>
      </c>
      <c r="S12929" t="s">
        <v>43930</v>
      </c>
      <c r="T12929" t="s">
        <v>44870</v>
      </c>
      <c r="U12929" t="s">
        <v>55470</v>
      </c>
      <c r="W12929" t="s">
        <v>42947</v>
      </c>
      <c r="X12929" t="s">
        <v>43186</v>
      </c>
    </row>
    <row r="12930" spans="1:24">
      <c r="A12930">
        <f>HYPERLINK("https://www.philgeps.gov.ph/GEPSNONPILOT/Tender/SplashBidNoticeAbstractUI.aspx?menuIndex=3&amp;refID=7055485&amp;Result=3","7055485")</f>
        <v>0</v>
      </c>
      <c r="B12930" t="s">
        <v>509</v>
      </c>
      <c r="C12930" t="s">
        <v>15783</v>
      </c>
      <c r="D12930" t="s">
        <v>17415</v>
      </c>
      <c r="E12930" t="s">
        <v>28559</v>
      </c>
      <c r="F12930" t="s">
        <v>30052</v>
      </c>
      <c r="G12930" t="s">
        <v>30058</v>
      </c>
      <c r="H12930" t="s">
        <v>30067</v>
      </c>
      <c r="I12930" t="s">
        <v>3693</v>
      </c>
      <c r="J12930" t="s">
        <v>38055</v>
      </c>
      <c r="K12930" t="s">
        <v>39033</v>
      </c>
      <c r="M12930" t="s">
        <v>39810</v>
      </c>
      <c r="N12930" t="s">
        <v>43166</v>
      </c>
      <c r="O12930" t="s">
        <v>43167</v>
      </c>
      <c r="Q12930">
        <v>25</v>
      </c>
      <c r="R12930" t="s">
        <v>43185</v>
      </c>
      <c r="S12930" t="s">
        <v>44046</v>
      </c>
      <c r="T12930" t="s">
        <v>44773</v>
      </c>
      <c r="U12930" t="s">
        <v>50415</v>
      </c>
      <c r="W12930" t="s">
        <v>39810</v>
      </c>
      <c r="X12930" t="s">
        <v>43186</v>
      </c>
    </row>
    <row r="12931" spans="1:24">
      <c r="A12931">
        <f>HYPERLINK("https://www.philgeps.gov.ph/GEPSNONPILOT/Tender/SplashBidNoticeAbstractUI.aspx?menuIndex=3&amp;refID=7055617&amp;Result=3","7055617")</f>
        <v>0</v>
      </c>
      <c r="B12931" t="s">
        <v>3309</v>
      </c>
      <c r="C12931" t="s">
        <v>15784</v>
      </c>
      <c r="D12931" t="s">
        <v>17442</v>
      </c>
      <c r="E12931" t="s">
        <v>26539</v>
      </c>
      <c r="F12931" t="s">
        <v>30052</v>
      </c>
      <c r="G12931" t="s">
        <v>30058</v>
      </c>
      <c r="H12931" t="s">
        <v>30067</v>
      </c>
      <c r="I12931" t="s">
        <v>3693</v>
      </c>
      <c r="J12931" t="s">
        <v>37233</v>
      </c>
      <c r="K12931" t="s">
        <v>39026</v>
      </c>
      <c r="M12931" t="s">
        <v>42947</v>
      </c>
      <c r="N12931" t="s">
        <v>43166</v>
      </c>
      <c r="O12931" t="s">
        <v>43167</v>
      </c>
      <c r="P12931">
        <v>0</v>
      </c>
      <c r="Q12931">
        <v>0</v>
      </c>
      <c r="R12931" t="s">
        <v>43185</v>
      </c>
      <c r="S12931" t="s">
        <v>43930</v>
      </c>
      <c r="T12931" t="s">
        <v>44870</v>
      </c>
      <c r="U12931" t="s">
        <v>55471</v>
      </c>
      <c r="W12931" t="s">
        <v>42947</v>
      </c>
      <c r="X12931" t="s">
        <v>43186</v>
      </c>
    </row>
    <row r="12932" spans="1:24">
      <c r="A12932">
        <f>HYPERLINK("https://www.philgeps.gov.ph/GEPSNONPILOT/Tender/SplashBidNoticeAbstractUI.aspx?menuIndex=3&amp;refID=6947353&amp;Result=3","6947353")</f>
        <v>0</v>
      </c>
      <c r="B12932" t="s">
        <v>3239</v>
      </c>
      <c r="C12932" t="s">
        <v>15785</v>
      </c>
      <c r="D12932" t="s">
        <v>17414</v>
      </c>
      <c r="E12932" t="s">
        <v>28560</v>
      </c>
      <c r="F12932" t="s">
        <v>30052</v>
      </c>
      <c r="G12932" t="s">
        <v>30058</v>
      </c>
      <c r="H12932" t="s">
        <v>30067</v>
      </c>
      <c r="I12932" t="s">
        <v>3693</v>
      </c>
      <c r="J12932" t="s">
        <v>38056</v>
      </c>
      <c r="K12932" t="s">
        <v>39023</v>
      </c>
      <c r="M12932" t="s">
        <v>42866</v>
      </c>
      <c r="N12932" t="s">
        <v>43166</v>
      </c>
      <c r="O12932" t="s">
        <v>43167</v>
      </c>
      <c r="P12932">
        <v>0</v>
      </c>
      <c r="Q12932">
        <v>1</v>
      </c>
      <c r="R12932" t="s">
        <v>43186</v>
      </c>
      <c r="S12932" t="s">
        <v>44047</v>
      </c>
      <c r="T12932" t="s">
        <v>44856</v>
      </c>
      <c r="U12932" t="s">
        <v>55472</v>
      </c>
      <c r="W12932" t="s">
        <v>42866</v>
      </c>
      <c r="X12932" t="s">
        <v>43227</v>
      </c>
    </row>
    <row r="12933" spans="1:24">
      <c r="A12933">
        <f>HYPERLINK("https://www.philgeps.gov.ph/GEPSNONPILOT/Tender/SplashBidNoticeAbstractUI.aspx?menuIndex=3&amp;refID=7055587&amp;Result=3","7055587")</f>
        <v>0</v>
      </c>
      <c r="B12933" t="s">
        <v>3309</v>
      </c>
      <c r="C12933" t="s">
        <v>15786</v>
      </c>
      <c r="D12933" t="s">
        <v>17442</v>
      </c>
      <c r="E12933" t="s">
        <v>26521</v>
      </c>
      <c r="F12933" t="s">
        <v>30052</v>
      </c>
      <c r="G12933" t="s">
        <v>30058</v>
      </c>
      <c r="H12933" t="s">
        <v>30067</v>
      </c>
      <c r="I12933" t="s">
        <v>3693</v>
      </c>
      <c r="J12933" t="s">
        <v>33440</v>
      </c>
      <c r="K12933" t="s">
        <v>39029</v>
      </c>
      <c r="M12933" t="s">
        <v>42947</v>
      </c>
      <c r="N12933" t="s">
        <v>43166</v>
      </c>
      <c r="O12933" t="s">
        <v>43167</v>
      </c>
      <c r="P12933">
        <v>0</v>
      </c>
      <c r="Q12933">
        <v>0</v>
      </c>
      <c r="R12933" t="s">
        <v>43185</v>
      </c>
      <c r="S12933" t="s">
        <v>43930</v>
      </c>
      <c r="T12933" t="s">
        <v>44870</v>
      </c>
      <c r="U12933" t="s">
        <v>55473</v>
      </c>
      <c r="W12933" t="s">
        <v>42947</v>
      </c>
      <c r="X12933" t="s">
        <v>43186</v>
      </c>
    </row>
    <row r="12934" spans="1:24">
      <c r="A12934">
        <f>HYPERLINK("https://www.philgeps.gov.ph/GEPSNONPILOT/Tender/SplashBidNoticeAbstractUI.aspx?menuIndex=3&amp;refID=7055633&amp;Result=3","7055633")</f>
        <v>0</v>
      </c>
      <c r="B12934" t="s">
        <v>3309</v>
      </c>
      <c r="C12934" t="s">
        <v>15787</v>
      </c>
      <c r="D12934" t="s">
        <v>17442</v>
      </c>
      <c r="E12934" t="s">
        <v>17702</v>
      </c>
      <c r="F12934" t="s">
        <v>30052</v>
      </c>
      <c r="G12934" t="s">
        <v>30058</v>
      </c>
      <c r="H12934" t="s">
        <v>30067</v>
      </c>
      <c r="I12934" t="s">
        <v>3693</v>
      </c>
      <c r="J12934" t="s">
        <v>30218</v>
      </c>
      <c r="K12934" t="s">
        <v>39019</v>
      </c>
      <c r="M12934" t="s">
        <v>42947</v>
      </c>
      <c r="N12934" t="s">
        <v>43166</v>
      </c>
      <c r="O12934" t="s">
        <v>43167</v>
      </c>
      <c r="P12934">
        <v>0</v>
      </c>
      <c r="Q12934">
        <v>0</v>
      </c>
      <c r="R12934" t="s">
        <v>43185</v>
      </c>
      <c r="S12934" t="s">
        <v>43930</v>
      </c>
      <c r="T12934" t="s">
        <v>44870</v>
      </c>
      <c r="U12934" t="s">
        <v>55474</v>
      </c>
      <c r="W12934" t="s">
        <v>42947</v>
      </c>
      <c r="X12934" t="s">
        <v>43186</v>
      </c>
    </row>
    <row r="12935" spans="1:24">
      <c r="A12935">
        <f>HYPERLINK("https://www.philgeps.gov.ph/GEPSNONPILOT/Tender/SplashBidNoticeAbstractUI.aspx?menuIndex=3&amp;refID=7055583&amp;Result=3","7055583")</f>
        <v>0</v>
      </c>
      <c r="B12935" t="s">
        <v>3297</v>
      </c>
      <c r="C12935" t="s">
        <v>15788</v>
      </c>
      <c r="D12935" t="s">
        <v>17453</v>
      </c>
      <c r="E12935" t="s">
        <v>28561</v>
      </c>
      <c r="F12935" t="s">
        <v>30052</v>
      </c>
      <c r="G12935" t="s">
        <v>30058</v>
      </c>
      <c r="H12935" t="s">
        <v>30067</v>
      </c>
      <c r="I12935" t="s">
        <v>3693</v>
      </c>
      <c r="J12935" t="s">
        <v>30856</v>
      </c>
      <c r="K12935" t="s">
        <v>39025</v>
      </c>
      <c r="M12935" t="s">
        <v>42932</v>
      </c>
      <c r="N12935" t="s">
        <v>43166</v>
      </c>
      <c r="O12935" t="s">
        <v>43167</v>
      </c>
      <c r="P12935">
        <v>0</v>
      </c>
      <c r="Q12935">
        <v>0</v>
      </c>
      <c r="R12935" t="s">
        <v>43185</v>
      </c>
      <c r="S12935" t="s">
        <v>43930</v>
      </c>
      <c r="T12935" t="s">
        <v>44808</v>
      </c>
      <c r="U12935" t="s">
        <v>55475</v>
      </c>
      <c r="V12935" t="s">
        <v>58322</v>
      </c>
      <c r="W12935" t="s">
        <v>58709</v>
      </c>
      <c r="X12935" t="s">
        <v>43186</v>
      </c>
    </row>
    <row r="12936" spans="1:24">
      <c r="A12936">
        <f>HYPERLINK("https://www.philgeps.gov.ph/GEPSNONPILOT/Tender/SplashBidNoticeAbstractUI.aspx?menuIndex=3&amp;refID=7055517&amp;Result=3","7055517")</f>
        <v>0</v>
      </c>
      <c r="B12936" t="s">
        <v>509</v>
      </c>
      <c r="C12936" t="s">
        <v>15789</v>
      </c>
      <c r="D12936" t="s">
        <v>17415</v>
      </c>
      <c r="E12936" t="s">
        <v>28562</v>
      </c>
      <c r="F12936" t="s">
        <v>30052</v>
      </c>
      <c r="G12936" t="s">
        <v>30058</v>
      </c>
      <c r="H12936" t="s">
        <v>30067</v>
      </c>
      <c r="I12936" t="s">
        <v>3693</v>
      </c>
      <c r="J12936" t="s">
        <v>38057</v>
      </c>
      <c r="K12936" t="s">
        <v>39057</v>
      </c>
      <c r="M12936" t="s">
        <v>39810</v>
      </c>
      <c r="N12936" t="s">
        <v>43166</v>
      </c>
      <c r="O12936" t="s">
        <v>43167</v>
      </c>
      <c r="Q12936">
        <v>21</v>
      </c>
      <c r="R12936" t="s">
        <v>43185</v>
      </c>
      <c r="S12936" t="s">
        <v>44048</v>
      </c>
      <c r="T12936" t="s">
        <v>44773</v>
      </c>
      <c r="U12936" t="s">
        <v>50415</v>
      </c>
      <c r="W12936" t="s">
        <v>39810</v>
      </c>
      <c r="X12936" t="s">
        <v>43186</v>
      </c>
    </row>
    <row r="12937" spans="1:24">
      <c r="A12937">
        <f>HYPERLINK("https://www.philgeps.gov.ph/GEPSNONPILOT/Tender/SplashBidNoticeAbstractUI.aspx?menuIndex=3&amp;refID=7055577&amp;Result=3","7055577")</f>
        <v>0</v>
      </c>
      <c r="B12937" t="s">
        <v>3297</v>
      </c>
      <c r="C12937" t="s">
        <v>15790</v>
      </c>
      <c r="D12937" t="s">
        <v>17453</v>
      </c>
      <c r="E12937" t="s">
        <v>28563</v>
      </c>
      <c r="F12937" t="s">
        <v>30052</v>
      </c>
      <c r="G12937" t="s">
        <v>30058</v>
      </c>
      <c r="H12937" t="s">
        <v>30067</v>
      </c>
      <c r="I12937" t="s">
        <v>3693</v>
      </c>
      <c r="J12937" t="s">
        <v>30222</v>
      </c>
      <c r="K12937" t="s">
        <v>39025</v>
      </c>
      <c r="M12937" t="s">
        <v>42932</v>
      </c>
      <c r="N12937" t="s">
        <v>43166</v>
      </c>
      <c r="O12937" t="s">
        <v>43167</v>
      </c>
      <c r="P12937">
        <v>0</v>
      </c>
      <c r="Q12937">
        <v>0</v>
      </c>
      <c r="R12937" t="s">
        <v>43185</v>
      </c>
      <c r="S12937" t="s">
        <v>43930</v>
      </c>
      <c r="T12937" t="s">
        <v>44808</v>
      </c>
      <c r="U12937" t="s">
        <v>55476</v>
      </c>
      <c r="V12937" t="s">
        <v>58322</v>
      </c>
      <c r="W12937" t="s">
        <v>58709</v>
      </c>
      <c r="X12937" t="s">
        <v>43186</v>
      </c>
    </row>
    <row r="12938" spans="1:24">
      <c r="A12938">
        <f>HYPERLINK("https://www.philgeps.gov.ph/GEPSNONPILOT/Tender/SplashBidNoticeAbstractUI.aspx?menuIndex=3&amp;refID=7055493&amp;Result=3","7055493")</f>
        <v>0</v>
      </c>
      <c r="B12938" t="s">
        <v>3311</v>
      </c>
      <c r="C12938" t="s">
        <v>15791</v>
      </c>
      <c r="D12938" t="s">
        <v>17413</v>
      </c>
      <c r="E12938" t="s">
        <v>28564</v>
      </c>
      <c r="F12938" t="s">
        <v>30052</v>
      </c>
      <c r="G12938" t="s">
        <v>30058</v>
      </c>
      <c r="H12938" t="s">
        <v>30067</v>
      </c>
      <c r="I12938" t="s">
        <v>3693</v>
      </c>
      <c r="J12938" t="s">
        <v>30252</v>
      </c>
      <c r="K12938" t="s">
        <v>39032</v>
      </c>
      <c r="M12938" t="s">
        <v>42950</v>
      </c>
      <c r="N12938" t="s">
        <v>43166</v>
      </c>
      <c r="O12938" t="s">
        <v>43167</v>
      </c>
      <c r="P12938">
        <v>0</v>
      </c>
      <c r="Q12938">
        <v>1</v>
      </c>
      <c r="R12938" t="s">
        <v>43185</v>
      </c>
      <c r="S12938" t="s">
        <v>43930</v>
      </c>
      <c r="T12938" t="s">
        <v>44710</v>
      </c>
      <c r="U12938" t="s">
        <v>55477</v>
      </c>
      <c r="W12938" t="s">
        <v>42950</v>
      </c>
      <c r="X12938" t="s">
        <v>43186</v>
      </c>
    </row>
    <row r="12939" spans="1:24">
      <c r="A12939">
        <f>HYPERLINK("https://www.philgeps.gov.ph/GEPSNONPILOT/Tender/SplashBidNoticeAbstractUI.aspx?menuIndex=3&amp;refID=7055594&amp;Result=3","7055594")</f>
        <v>0</v>
      </c>
      <c r="B12939" t="s">
        <v>3297</v>
      </c>
      <c r="C12939" t="s">
        <v>15792</v>
      </c>
      <c r="D12939" t="s">
        <v>17453</v>
      </c>
      <c r="E12939" t="s">
        <v>28565</v>
      </c>
      <c r="F12939" t="s">
        <v>30052</v>
      </c>
      <c r="G12939" t="s">
        <v>30058</v>
      </c>
      <c r="H12939" t="s">
        <v>30067</v>
      </c>
      <c r="I12939" t="s">
        <v>3693</v>
      </c>
      <c r="J12939" t="s">
        <v>30397</v>
      </c>
      <c r="K12939" t="s">
        <v>39025</v>
      </c>
      <c r="M12939" t="s">
        <v>42932</v>
      </c>
      <c r="N12939" t="s">
        <v>43166</v>
      </c>
      <c r="O12939" t="s">
        <v>43167</v>
      </c>
      <c r="P12939">
        <v>0</v>
      </c>
      <c r="Q12939">
        <v>0</v>
      </c>
      <c r="R12939" t="s">
        <v>43185</v>
      </c>
      <c r="S12939" t="s">
        <v>43930</v>
      </c>
      <c r="T12939" t="s">
        <v>44808</v>
      </c>
      <c r="U12939" t="s">
        <v>55478</v>
      </c>
      <c r="V12939" t="s">
        <v>58322</v>
      </c>
      <c r="W12939" t="s">
        <v>58709</v>
      </c>
      <c r="X12939" t="s">
        <v>43186</v>
      </c>
    </row>
    <row r="12940" spans="1:24">
      <c r="A12940">
        <f>HYPERLINK("https://www.philgeps.gov.ph/GEPSNONPILOT/Tender/SplashBidNoticeAbstractUI.aspx?menuIndex=3&amp;refID=7044116&amp;Result=3","7044116")</f>
        <v>0</v>
      </c>
      <c r="B12940" t="s">
        <v>3313</v>
      </c>
      <c r="C12940" t="s">
        <v>15793</v>
      </c>
      <c r="D12940" t="s">
        <v>17416</v>
      </c>
      <c r="E12940" t="s">
        <v>28566</v>
      </c>
      <c r="F12940" t="s">
        <v>30052</v>
      </c>
      <c r="G12940" t="s">
        <v>30058</v>
      </c>
      <c r="H12940" t="s">
        <v>15498</v>
      </c>
      <c r="I12940" t="s">
        <v>3736</v>
      </c>
      <c r="J12940" t="s">
        <v>38058</v>
      </c>
      <c r="K12940" t="s">
        <v>39064</v>
      </c>
      <c r="M12940" t="s">
        <v>42952</v>
      </c>
      <c r="N12940" t="s">
        <v>43166</v>
      </c>
      <c r="O12940" t="s">
        <v>43167</v>
      </c>
      <c r="P12940">
        <v>0</v>
      </c>
      <c r="Q12940">
        <v>1</v>
      </c>
      <c r="R12940" t="s">
        <v>43186</v>
      </c>
      <c r="S12940" t="s">
        <v>44047</v>
      </c>
      <c r="T12940" t="s">
        <v>44681</v>
      </c>
      <c r="U12940" t="s">
        <v>55479</v>
      </c>
      <c r="W12940" t="s">
        <v>42952</v>
      </c>
      <c r="X12940" t="s">
        <v>43285</v>
      </c>
    </row>
    <row r="12941" spans="1:24">
      <c r="A12941">
        <f>HYPERLINK("https://www.philgeps.gov.ph/GEPSNONPILOT/Tender/SplashBidNoticeAbstractUI.aspx?menuIndex=3&amp;refID=7055579&amp;Result=3","7055579")</f>
        <v>0</v>
      </c>
      <c r="B12941" t="s">
        <v>2085</v>
      </c>
      <c r="C12941" t="s">
        <v>15794</v>
      </c>
      <c r="D12941" t="s">
        <v>17415</v>
      </c>
      <c r="E12941" t="s">
        <v>28567</v>
      </c>
      <c r="F12941" t="s">
        <v>30052</v>
      </c>
      <c r="G12941" t="s">
        <v>30058</v>
      </c>
      <c r="H12941" t="s">
        <v>30067</v>
      </c>
      <c r="I12941" t="s">
        <v>3693</v>
      </c>
      <c r="J12941" t="s">
        <v>38059</v>
      </c>
      <c r="K12941" t="s">
        <v>39031</v>
      </c>
      <c r="M12941" t="s">
        <v>41546</v>
      </c>
      <c r="N12941" t="s">
        <v>43166</v>
      </c>
      <c r="O12941" t="s">
        <v>43167</v>
      </c>
      <c r="Q12941">
        <v>18</v>
      </c>
      <c r="R12941" t="s">
        <v>43185</v>
      </c>
      <c r="S12941" t="s">
        <v>44049</v>
      </c>
      <c r="T12941" t="s">
        <v>44685</v>
      </c>
      <c r="U12941" t="s">
        <v>55480</v>
      </c>
      <c r="W12941" t="s">
        <v>41546</v>
      </c>
      <c r="X12941" t="s">
        <v>43186</v>
      </c>
    </row>
    <row r="12942" spans="1:24">
      <c r="A12942">
        <f>HYPERLINK("https://www.philgeps.gov.ph/GEPSNONPILOT/Tender/SplashBidNoticeAbstractUI.aspx?menuIndex=3&amp;refID=7055604&amp;Result=3","7055604")</f>
        <v>0</v>
      </c>
      <c r="B12942" t="s">
        <v>3309</v>
      </c>
      <c r="C12942" t="s">
        <v>15795</v>
      </c>
      <c r="D12942" t="s">
        <v>17442</v>
      </c>
      <c r="E12942" t="s">
        <v>26443</v>
      </c>
      <c r="F12942" t="s">
        <v>30052</v>
      </c>
      <c r="G12942" t="s">
        <v>30058</v>
      </c>
      <c r="H12942" t="s">
        <v>30067</v>
      </c>
      <c r="I12942" t="s">
        <v>3693</v>
      </c>
      <c r="J12942" t="s">
        <v>30222</v>
      </c>
      <c r="K12942" t="s">
        <v>39029</v>
      </c>
      <c r="M12942" t="s">
        <v>42947</v>
      </c>
      <c r="N12942" t="s">
        <v>43166</v>
      </c>
      <c r="O12942" t="s">
        <v>43167</v>
      </c>
      <c r="P12942">
        <v>0</v>
      </c>
      <c r="Q12942">
        <v>0</v>
      </c>
      <c r="R12942" t="s">
        <v>43185</v>
      </c>
      <c r="S12942" t="s">
        <v>43930</v>
      </c>
      <c r="T12942" t="s">
        <v>44870</v>
      </c>
      <c r="U12942" t="s">
        <v>55481</v>
      </c>
      <c r="W12942" t="s">
        <v>42947</v>
      </c>
      <c r="X12942" t="s">
        <v>43186</v>
      </c>
    </row>
    <row r="12943" spans="1:24">
      <c r="A12943">
        <f>HYPERLINK("https://www.philgeps.gov.ph/GEPSNONPILOT/Tender/SplashBidNoticeAbstractUI.aspx?menuIndex=3&amp;refID=7055584&amp;Result=3","7055584")</f>
        <v>0</v>
      </c>
      <c r="B12943" t="s">
        <v>1172</v>
      </c>
      <c r="C12943" t="s">
        <v>15796</v>
      </c>
      <c r="D12943" t="s">
        <v>17466</v>
      </c>
      <c r="E12943" t="s">
        <v>28568</v>
      </c>
      <c r="F12943" t="s">
        <v>30052</v>
      </c>
      <c r="G12943" t="s">
        <v>30060</v>
      </c>
      <c r="H12943" t="s">
        <v>30067</v>
      </c>
      <c r="I12943" t="s">
        <v>3693</v>
      </c>
      <c r="J12943" t="s">
        <v>38060</v>
      </c>
      <c r="K12943" t="s">
        <v>39152</v>
      </c>
      <c r="M12943" t="s">
        <v>40520</v>
      </c>
      <c r="N12943" t="s">
        <v>43166</v>
      </c>
      <c r="O12943" t="s">
        <v>43167</v>
      </c>
      <c r="Q12943">
        <v>14</v>
      </c>
      <c r="R12943" t="s">
        <v>43185</v>
      </c>
      <c r="S12943" t="s">
        <v>44050</v>
      </c>
      <c r="T12943" t="s">
        <v>44733</v>
      </c>
      <c r="U12943" t="s">
        <v>55482</v>
      </c>
      <c r="W12943" t="s">
        <v>58705</v>
      </c>
      <c r="X12943" t="s">
        <v>43186</v>
      </c>
    </row>
    <row r="12944" spans="1:24">
      <c r="A12944">
        <f>HYPERLINK("https://www.philgeps.gov.ph/GEPSNONPILOT/Tender/SplashBidNoticeAbstractUI.aspx?menuIndex=3&amp;refID=7045696&amp;Result=3","7045696")</f>
        <v>0</v>
      </c>
      <c r="B12944" t="s">
        <v>261</v>
      </c>
      <c r="C12944" t="s">
        <v>15797</v>
      </c>
      <c r="D12944" t="s">
        <v>17454</v>
      </c>
      <c r="E12944" t="s">
        <v>28569</v>
      </c>
      <c r="F12944" t="s">
        <v>30052</v>
      </c>
      <c r="G12944" t="s">
        <v>30058</v>
      </c>
      <c r="H12944" t="s">
        <v>15498</v>
      </c>
      <c r="I12944" t="s">
        <v>5961</v>
      </c>
      <c r="J12944" t="s">
        <v>38061</v>
      </c>
      <c r="K12944" t="s">
        <v>39032</v>
      </c>
      <c r="M12944" t="s">
        <v>39552</v>
      </c>
      <c r="N12944" t="s">
        <v>43166</v>
      </c>
      <c r="O12944" t="s">
        <v>43167</v>
      </c>
      <c r="P12944">
        <v>0</v>
      </c>
      <c r="Q12944">
        <v>2</v>
      </c>
      <c r="R12944" t="s">
        <v>43186</v>
      </c>
      <c r="S12944" t="s">
        <v>44047</v>
      </c>
      <c r="T12944" t="s">
        <v>44753</v>
      </c>
      <c r="U12944" t="s">
        <v>55483</v>
      </c>
      <c r="W12944" t="s">
        <v>39552</v>
      </c>
      <c r="X12944" t="s">
        <v>43189</v>
      </c>
    </row>
    <row r="12945" spans="1:24">
      <c r="A12945">
        <f>HYPERLINK("https://www.philgeps.gov.ph/GEPSNONPILOT/Tender/SplashBidNoticeAbstractUI.aspx?menuIndex=3&amp;refID=7045638&amp;Result=3","7045638")</f>
        <v>0</v>
      </c>
      <c r="B12945" t="s">
        <v>3314</v>
      </c>
      <c r="C12945" t="s">
        <v>15798</v>
      </c>
      <c r="D12945" t="s">
        <v>17475</v>
      </c>
      <c r="E12945" t="s">
        <v>28570</v>
      </c>
      <c r="F12945" t="s">
        <v>30052</v>
      </c>
      <c r="G12945" t="s">
        <v>30058</v>
      </c>
      <c r="H12945" t="s">
        <v>30067</v>
      </c>
      <c r="I12945" t="s">
        <v>3693</v>
      </c>
      <c r="J12945" t="s">
        <v>38062</v>
      </c>
      <c r="K12945" t="s">
        <v>39020</v>
      </c>
      <c r="M12945" t="s">
        <v>42953</v>
      </c>
      <c r="N12945" t="s">
        <v>43166</v>
      </c>
      <c r="O12945" t="s">
        <v>43167</v>
      </c>
      <c r="Q12945">
        <v>9</v>
      </c>
      <c r="R12945" t="s">
        <v>43186</v>
      </c>
      <c r="S12945" t="s">
        <v>44051</v>
      </c>
      <c r="T12945" t="s">
        <v>44777</v>
      </c>
      <c r="U12945" t="s">
        <v>55484</v>
      </c>
      <c r="V12945" t="s">
        <v>46667</v>
      </c>
      <c r="W12945" t="s">
        <v>42953</v>
      </c>
      <c r="X12945" t="s">
        <v>43189</v>
      </c>
    </row>
    <row r="12946" spans="1:24">
      <c r="A12946">
        <f>HYPERLINK("https://www.philgeps.gov.ph/GEPSNONPILOT/Tender/SplashBidNoticeAbstractUI.aspx?menuIndex=3&amp;refID=7055578&amp;Result=3","7055578")</f>
        <v>0</v>
      </c>
      <c r="B12946" t="s">
        <v>1373</v>
      </c>
      <c r="C12946" t="s">
        <v>15799</v>
      </c>
      <c r="D12946" t="s">
        <v>17501</v>
      </c>
      <c r="E12946" t="s">
        <v>24235</v>
      </c>
      <c r="F12946" t="s">
        <v>30052</v>
      </c>
      <c r="G12946" t="s">
        <v>30058</v>
      </c>
      <c r="H12946" t="s">
        <v>30067</v>
      </c>
      <c r="I12946" t="s">
        <v>3693</v>
      </c>
      <c r="J12946" t="s">
        <v>38063</v>
      </c>
      <c r="K12946" t="s">
        <v>39289</v>
      </c>
      <c r="M12946" t="s">
        <v>40745</v>
      </c>
      <c r="N12946" t="s">
        <v>43166</v>
      </c>
      <c r="O12946" t="s">
        <v>43167</v>
      </c>
      <c r="P12946">
        <v>0</v>
      </c>
      <c r="Q12946">
        <v>9</v>
      </c>
      <c r="R12946" t="s">
        <v>43185</v>
      </c>
      <c r="S12946" t="s">
        <v>43930</v>
      </c>
      <c r="T12946" t="s">
        <v>44685</v>
      </c>
      <c r="U12946" t="s">
        <v>55485</v>
      </c>
      <c r="W12946" t="s">
        <v>40745</v>
      </c>
      <c r="X12946" t="s">
        <v>43186</v>
      </c>
    </row>
    <row r="12947" spans="1:24">
      <c r="A12947">
        <f>HYPERLINK("https://www.philgeps.gov.ph/GEPSNONPILOT/Tender/SplashBidNoticeAbstractUI.aspx?menuIndex=3&amp;refID=7042580&amp;Result=3","7042580")</f>
        <v>0</v>
      </c>
      <c r="B12947" t="s">
        <v>501</v>
      </c>
      <c r="C12947" t="s">
        <v>15800</v>
      </c>
      <c r="E12947" t="s">
        <v>28571</v>
      </c>
      <c r="F12947" t="s">
        <v>30052</v>
      </c>
      <c r="G12947" t="s">
        <v>30058</v>
      </c>
      <c r="H12947" t="s">
        <v>15498</v>
      </c>
      <c r="I12947" t="s">
        <v>30084</v>
      </c>
      <c r="J12947" t="s">
        <v>38064</v>
      </c>
      <c r="K12947" t="s">
        <v>39025</v>
      </c>
      <c r="M12947" t="s">
        <v>39802</v>
      </c>
      <c r="N12947" t="s">
        <v>43166</v>
      </c>
      <c r="O12947" t="s">
        <v>43167</v>
      </c>
      <c r="P12947">
        <v>0</v>
      </c>
      <c r="Q12947">
        <v>5</v>
      </c>
      <c r="R12947" t="s">
        <v>43186</v>
      </c>
      <c r="S12947" t="s">
        <v>44047</v>
      </c>
      <c r="T12947" t="s">
        <v>45085</v>
      </c>
      <c r="U12947" t="s">
        <v>55486</v>
      </c>
      <c r="V12947" t="s">
        <v>58345</v>
      </c>
      <c r="W12947" t="s">
        <v>58672</v>
      </c>
      <c r="X12947" t="s">
        <v>43192</v>
      </c>
    </row>
    <row r="12948" spans="1:24">
      <c r="A12948">
        <f>HYPERLINK("https://www.philgeps.gov.ph/GEPSNONPILOT/Tender/SplashBidNoticeAbstractUI.aspx?menuIndex=3&amp;refID=7042522&amp;Result=3","7042522")</f>
        <v>0</v>
      </c>
      <c r="B12948" t="s">
        <v>501</v>
      </c>
      <c r="C12948" t="s">
        <v>15801</v>
      </c>
      <c r="E12948" t="s">
        <v>28572</v>
      </c>
      <c r="F12948" t="s">
        <v>30052</v>
      </c>
      <c r="G12948" t="s">
        <v>30058</v>
      </c>
      <c r="H12948" t="s">
        <v>15498</v>
      </c>
      <c r="I12948" t="s">
        <v>30084</v>
      </c>
      <c r="J12948" t="s">
        <v>38065</v>
      </c>
      <c r="K12948" t="s">
        <v>39025</v>
      </c>
      <c r="M12948" t="s">
        <v>39802</v>
      </c>
      <c r="N12948" t="s">
        <v>43166</v>
      </c>
      <c r="O12948" t="s">
        <v>43167</v>
      </c>
      <c r="P12948">
        <v>0</v>
      </c>
      <c r="Q12948">
        <v>14</v>
      </c>
      <c r="R12948" t="s">
        <v>43186</v>
      </c>
      <c r="S12948" t="s">
        <v>44047</v>
      </c>
      <c r="T12948" t="s">
        <v>45085</v>
      </c>
      <c r="U12948" t="s">
        <v>55487</v>
      </c>
      <c r="V12948" t="s">
        <v>58346</v>
      </c>
      <c r="W12948" t="s">
        <v>58672</v>
      </c>
      <c r="X12948" t="s">
        <v>43192</v>
      </c>
    </row>
    <row r="12949" spans="1:24">
      <c r="A12949">
        <f>HYPERLINK("https://www.philgeps.gov.ph/GEPSNONPILOT/Tender/SplashBidNoticeAbstractUI.aspx?menuIndex=3&amp;refID=7055522&amp;Result=3","7055522")</f>
        <v>0</v>
      </c>
      <c r="B12949" t="s">
        <v>3259</v>
      </c>
      <c r="C12949" t="s">
        <v>15765</v>
      </c>
      <c r="D12949" t="s">
        <v>17482</v>
      </c>
      <c r="E12949" t="s">
        <v>28573</v>
      </c>
      <c r="F12949" t="s">
        <v>30052</v>
      </c>
      <c r="G12949" t="s">
        <v>30058</v>
      </c>
      <c r="H12949" t="s">
        <v>30067</v>
      </c>
      <c r="I12949" t="s">
        <v>30093</v>
      </c>
      <c r="J12949" t="s">
        <v>30218</v>
      </c>
      <c r="K12949" t="s">
        <v>39046</v>
      </c>
      <c r="M12949" t="s">
        <v>42890</v>
      </c>
      <c r="N12949" t="s">
        <v>43166</v>
      </c>
      <c r="O12949" t="s">
        <v>43167</v>
      </c>
      <c r="P12949">
        <v>0</v>
      </c>
      <c r="Q12949">
        <v>14</v>
      </c>
      <c r="R12949" t="s">
        <v>43185</v>
      </c>
      <c r="S12949" t="s">
        <v>43930</v>
      </c>
      <c r="T12949" t="s">
        <v>44943</v>
      </c>
      <c r="U12949" t="s">
        <v>55488</v>
      </c>
      <c r="W12949" t="s">
        <v>42890</v>
      </c>
      <c r="X12949" t="s">
        <v>43186</v>
      </c>
    </row>
    <row r="12950" spans="1:24">
      <c r="A12950">
        <f>HYPERLINK("https://www.philgeps.gov.ph/GEPSNONPILOT/Tender/SplashBidNoticeAbstractUI.aspx?menuIndex=3&amp;refID=7041482&amp;Result=3","7041482")</f>
        <v>0</v>
      </c>
      <c r="B12950" t="s">
        <v>3132</v>
      </c>
      <c r="C12950" t="s">
        <v>15802</v>
      </c>
      <c r="D12950" t="s">
        <v>17422</v>
      </c>
      <c r="E12950" t="s">
        <v>28574</v>
      </c>
      <c r="F12950" t="s">
        <v>30052</v>
      </c>
      <c r="G12950" t="s">
        <v>30058</v>
      </c>
      <c r="H12950" t="s">
        <v>15498</v>
      </c>
      <c r="I12950" t="s">
        <v>30146</v>
      </c>
      <c r="J12950" t="s">
        <v>30327</v>
      </c>
      <c r="K12950" t="s">
        <v>39019</v>
      </c>
      <c r="M12950" t="s">
        <v>42734</v>
      </c>
      <c r="N12950" t="s">
        <v>43166</v>
      </c>
      <c r="O12950" t="s">
        <v>43167</v>
      </c>
      <c r="P12950">
        <v>0</v>
      </c>
      <c r="Q12950">
        <v>0</v>
      </c>
      <c r="R12950" t="s">
        <v>43186</v>
      </c>
      <c r="S12950" t="s">
        <v>44047</v>
      </c>
      <c r="T12950" t="s">
        <v>44717</v>
      </c>
      <c r="U12950" t="s">
        <v>55489</v>
      </c>
      <c r="V12950" t="s">
        <v>58347</v>
      </c>
      <c r="W12950" t="s">
        <v>42734</v>
      </c>
      <c r="X12950" t="s">
        <v>43192</v>
      </c>
    </row>
    <row r="12951" spans="1:24">
      <c r="A12951">
        <f>HYPERLINK("https://www.philgeps.gov.ph/GEPSNONPILOT/Tender/SplashBidNoticeAbstractUI.aspx?menuIndex=3&amp;refID=7044597&amp;Result=3","7044597")</f>
        <v>0</v>
      </c>
      <c r="B12951" t="s">
        <v>1184</v>
      </c>
      <c r="C12951" t="s">
        <v>15803</v>
      </c>
      <c r="D12951" t="s">
        <v>17427</v>
      </c>
      <c r="E12951" t="s">
        <v>24135</v>
      </c>
      <c r="F12951" t="s">
        <v>30052</v>
      </c>
      <c r="G12951" t="s">
        <v>30058</v>
      </c>
      <c r="H12951" t="s">
        <v>30067</v>
      </c>
      <c r="I12951" t="s">
        <v>3693</v>
      </c>
      <c r="J12951" t="s">
        <v>38066</v>
      </c>
      <c r="K12951" t="s">
        <v>39026</v>
      </c>
      <c r="M12951" t="s">
        <v>40535</v>
      </c>
      <c r="N12951" t="s">
        <v>43166</v>
      </c>
      <c r="O12951" t="s">
        <v>43167</v>
      </c>
      <c r="P12951">
        <v>0</v>
      </c>
      <c r="Q12951">
        <v>0</v>
      </c>
      <c r="R12951" t="s">
        <v>43186</v>
      </c>
      <c r="S12951" t="s">
        <v>44047</v>
      </c>
      <c r="T12951" t="s">
        <v>44695</v>
      </c>
      <c r="U12951" t="s">
        <v>55490</v>
      </c>
      <c r="W12951" t="s">
        <v>40535</v>
      </c>
      <c r="X12951" t="s">
        <v>43189</v>
      </c>
    </row>
    <row r="12952" spans="1:24">
      <c r="A12952">
        <f>HYPERLINK("https://www.philgeps.gov.ph/GEPSNONPILOT/Tender/SplashBidNoticeAbstractUI.aspx?menuIndex=3&amp;refID=7040878&amp;Result=3","7040878")</f>
        <v>0</v>
      </c>
      <c r="B12952" t="s">
        <v>127</v>
      </c>
      <c r="C12952" t="s">
        <v>15804</v>
      </c>
      <c r="D12952" t="s">
        <v>17434</v>
      </c>
      <c r="E12952" t="s">
        <v>28575</v>
      </c>
      <c r="F12952" t="s">
        <v>30052</v>
      </c>
      <c r="G12952" t="s">
        <v>30058</v>
      </c>
      <c r="H12952" t="s">
        <v>15498</v>
      </c>
      <c r="I12952" t="s">
        <v>30076</v>
      </c>
      <c r="J12952" t="s">
        <v>30247</v>
      </c>
      <c r="K12952" t="s">
        <v>39025</v>
      </c>
      <c r="M12952" t="s">
        <v>39416</v>
      </c>
      <c r="N12952" t="s">
        <v>43166</v>
      </c>
      <c r="O12952" t="s">
        <v>43167</v>
      </c>
      <c r="P12952">
        <v>0</v>
      </c>
      <c r="Q12952">
        <v>2</v>
      </c>
      <c r="R12952" t="s">
        <v>43186</v>
      </c>
      <c r="S12952" t="s">
        <v>44047</v>
      </c>
      <c r="T12952" t="s">
        <v>44969</v>
      </c>
      <c r="U12952" t="s">
        <v>55491</v>
      </c>
      <c r="V12952" t="s">
        <v>56840</v>
      </c>
      <c r="W12952" t="s">
        <v>39416</v>
      </c>
      <c r="X12952" t="s">
        <v>43193</v>
      </c>
    </row>
    <row r="12953" spans="1:24">
      <c r="A12953">
        <f>HYPERLINK("https://www.philgeps.gov.ph/GEPSNONPILOT/Tender/SplashBidNoticeAbstractUI.aspx?menuIndex=3&amp;refID=7055530&amp;Result=3","7055530")</f>
        <v>0</v>
      </c>
      <c r="B12953" t="s">
        <v>509</v>
      </c>
      <c r="C12953" t="s">
        <v>15805</v>
      </c>
      <c r="D12953" t="s">
        <v>17415</v>
      </c>
      <c r="E12953" t="s">
        <v>28576</v>
      </c>
      <c r="F12953" t="s">
        <v>30052</v>
      </c>
      <c r="G12953" t="s">
        <v>30058</v>
      </c>
      <c r="H12953" t="s">
        <v>30067</v>
      </c>
      <c r="I12953" t="s">
        <v>3693</v>
      </c>
      <c r="J12953" t="s">
        <v>38067</v>
      </c>
      <c r="K12953" t="s">
        <v>39092</v>
      </c>
      <c r="M12953" t="s">
        <v>39810</v>
      </c>
      <c r="N12953" t="s">
        <v>43166</v>
      </c>
      <c r="O12953" t="s">
        <v>43167</v>
      </c>
      <c r="Q12953">
        <v>21</v>
      </c>
      <c r="R12953" t="s">
        <v>43185</v>
      </c>
      <c r="S12953" t="s">
        <v>44052</v>
      </c>
      <c r="T12953" t="s">
        <v>44773</v>
      </c>
      <c r="U12953" t="s">
        <v>50415</v>
      </c>
      <c r="W12953" t="s">
        <v>39810</v>
      </c>
      <c r="X12953" t="s">
        <v>43186</v>
      </c>
    </row>
    <row r="12954" spans="1:24">
      <c r="A12954">
        <f>HYPERLINK("https://www.philgeps.gov.ph/GEPSNONPILOT/Tender/SplashBidNoticeAbstractUI.aspx?menuIndex=3&amp;refID=7041363&amp;Result=3","7041363")</f>
        <v>0</v>
      </c>
      <c r="B12954" t="s">
        <v>3132</v>
      </c>
      <c r="C12954" t="s">
        <v>12682</v>
      </c>
      <c r="D12954" t="s">
        <v>17422</v>
      </c>
      <c r="E12954" t="s">
        <v>28577</v>
      </c>
      <c r="F12954" t="s">
        <v>30052</v>
      </c>
      <c r="G12954" t="s">
        <v>30058</v>
      </c>
      <c r="H12954" t="s">
        <v>15498</v>
      </c>
      <c r="I12954" t="s">
        <v>30070</v>
      </c>
      <c r="J12954" t="s">
        <v>38068</v>
      </c>
      <c r="K12954" t="s">
        <v>39034</v>
      </c>
      <c r="M12954" t="s">
        <v>42734</v>
      </c>
      <c r="N12954" t="s">
        <v>43166</v>
      </c>
      <c r="O12954" t="s">
        <v>43167</v>
      </c>
      <c r="P12954">
        <v>0</v>
      </c>
      <c r="Q12954">
        <v>0</v>
      </c>
      <c r="R12954" t="s">
        <v>43186</v>
      </c>
      <c r="S12954" t="s">
        <v>44047</v>
      </c>
      <c r="T12954" t="s">
        <v>44717</v>
      </c>
      <c r="U12954" t="s">
        <v>55492</v>
      </c>
      <c r="V12954" t="s">
        <v>58348</v>
      </c>
      <c r="W12954" t="s">
        <v>42734</v>
      </c>
      <c r="X12954" t="s">
        <v>43192</v>
      </c>
    </row>
    <row r="12955" spans="1:24">
      <c r="A12955">
        <f>HYPERLINK("https://www.philgeps.gov.ph/GEPSNONPILOT/Tender/SplashBidNoticeAbstractUI.aspx?menuIndex=3&amp;refID=7045729&amp;Result=3","7045729")</f>
        <v>0</v>
      </c>
      <c r="B12955" t="s">
        <v>261</v>
      </c>
      <c r="C12955" t="s">
        <v>15806</v>
      </c>
      <c r="D12955" t="s">
        <v>17454</v>
      </c>
      <c r="E12955" t="s">
        <v>28578</v>
      </c>
      <c r="F12955" t="s">
        <v>30052</v>
      </c>
      <c r="G12955" t="s">
        <v>30058</v>
      </c>
      <c r="H12955" t="s">
        <v>15498</v>
      </c>
      <c r="I12955" t="s">
        <v>30074</v>
      </c>
      <c r="J12955" t="s">
        <v>38069</v>
      </c>
      <c r="K12955" t="s">
        <v>39029</v>
      </c>
      <c r="M12955" t="s">
        <v>39552</v>
      </c>
      <c r="N12955" t="s">
        <v>43166</v>
      </c>
      <c r="O12955" t="s">
        <v>43167</v>
      </c>
      <c r="P12955">
        <v>0</v>
      </c>
      <c r="Q12955">
        <v>3</v>
      </c>
      <c r="R12955" t="s">
        <v>43186</v>
      </c>
      <c r="S12955" t="s">
        <v>44047</v>
      </c>
      <c r="T12955" t="s">
        <v>44753</v>
      </c>
      <c r="U12955" t="s">
        <v>55493</v>
      </c>
      <c r="W12955" t="s">
        <v>39552</v>
      </c>
      <c r="X12955" t="s">
        <v>43189</v>
      </c>
    </row>
    <row r="12956" spans="1:24">
      <c r="A12956">
        <f>HYPERLINK("https://www.philgeps.gov.ph/GEPSNONPILOT/Tender/SplashBidNoticeAbstractUI.aspx?menuIndex=3&amp;refID=7041304&amp;Result=3","7041304")</f>
        <v>0</v>
      </c>
      <c r="B12956" t="s">
        <v>3132</v>
      </c>
      <c r="C12956" t="s">
        <v>15807</v>
      </c>
      <c r="D12956" t="s">
        <v>17422</v>
      </c>
      <c r="E12956" t="s">
        <v>28579</v>
      </c>
      <c r="F12956" t="s">
        <v>30052</v>
      </c>
      <c r="G12956" t="s">
        <v>30058</v>
      </c>
      <c r="H12956" t="s">
        <v>15498</v>
      </c>
      <c r="I12956" t="s">
        <v>30070</v>
      </c>
      <c r="J12956" t="s">
        <v>38070</v>
      </c>
      <c r="K12956" t="s">
        <v>39034</v>
      </c>
      <c r="M12956" t="s">
        <v>42734</v>
      </c>
      <c r="N12956" t="s">
        <v>43166</v>
      </c>
      <c r="O12956" t="s">
        <v>43167</v>
      </c>
      <c r="P12956">
        <v>0</v>
      </c>
      <c r="Q12956">
        <v>0</v>
      </c>
      <c r="R12956" t="s">
        <v>43186</v>
      </c>
      <c r="S12956" t="s">
        <v>44047</v>
      </c>
      <c r="T12956" t="s">
        <v>44717</v>
      </c>
      <c r="U12956" t="s">
        <v>55492</v>
      </c>
      <c r="V12956" t="s">
        <v>58349</v>
      </c>
      <c r="W12956" t="s">
        <v>42734</v>
      </c>
      <c r="X12956" t="s">
        <v>43192</v>
      </c>
    </row>
    <row r="12957" spans="1:24">
      <c r="A12957">
        <f>HYPERLINK("https://www.philgeps.gov.ph/GEPSNONPILOT/Tender/SplashBidNoticeAbstractUI.aspx?menuIndex=3&amp;refID=7041095&amp;Result=3","7041095")</f>
        <v>0</v>
      </c>
      <c r="B12957" t="s">
        <v>3315</v>
      </c>
      <c r="C12957" t="s">
        <v>11592</v>
      </c>
      <c r="D12957" t="s">
        <v>17474</v>
      </c>
      <c r="E12957" t="s">
        <v>28580</v>
      </c>
      <c r="F12957" t="s">
        <v>30052</v>
      </c>
      <c r="G12957" t="s">
        <v>30058</v>
      </c>
      <c r="H12957" t="s">
        <v>15498</v>
      </c>
      <c r="I12957" t="s">
        <v>3693</v>
      </c>
      <c r="J12957" t="s">
        <v>38071</v>
      </c>
      <c r="K12957" t="s">
        <v>39029</v>
      </c>
      <c r="M12957" t="s">
        <v>42954</v>
      </c>
      <c r="N12957" t="s">
        <v>43166</v>
      </c>
      <c r="O12957" t="s">
        <v>43167</v>
      </c>
      <c r="P12957">
        <v>0</v>
      </c>
      <c r="Q12957">
        <v>2</v>
      </c>
      <c r="R12957" t="s">
        <v>43186</v>
      </c>
      <c r="S12957" t="s">
        <v>44047</v>
      </c>
      <c r="T12957" t="s">
        <v>44717</v>
      </c>
      <c r="U12957" t="s">
        <v>55494</v>
      </c>
      <c r="V12957" t="s">
        <v>58350</v>
      </c>
      <c r="W12957" t="s">
        <v>42954</v>
      </c>
      <c r="X12957" t="s">
        <v>43192</v>
      </c>
    </row>
    <row r="12958" spans="1:24">
      <c r="A12958">
        <f>HYPERLINK("https://www.philgeps.gov.ph/GEPSNONPILOT/Tender/SplashBidNoticeAbstractUI.aspx?menuIndex=3&amp;refID=7047488&amp;Result=3","7047488")</f>
        <v>0</v>
      </c>
      <c r="B12958" t="s">
        <v>2914</v>
      </c>
      <c r="C12958" t="s">
        <v>15808</v>
      </c>
      <c r="D12958" t="s">
        <v>17448</v>
      </c>
      <c r="E12958" t="s">
        <v>28581</v>
      </c>
      <c r="F12958" t="s">
        <v>30052</v>
      </c>
      <c r="G12958" t="s">
        <v>30058</v>
      </c>
      <c r="H12958" t="s">
        <v>15498</v>
      </c>
      <c r="I12958" t="s">
        <v>30151</v>
      </c>
      <c r="J12958" t="s">
        <v>38072</v>
      </c>
      <c r="K12958" t="s">
        <v>39023</v>
      </c>
      <c r="M12958" t="s">
        <v>42473</v>
      </c>
      <c r="N12958" t="s">
        <v>43166</v>
      </c>
      <c r="O12958" t="s">
        <v>43167</v>
      </c>
      <c r="P12958">
        <v>0</v>
      </c>
      <c r="Q12958">
        <v>3</v>
      </c>
      <c r="R12958" t="s">
        <v>43186</v>
      </c>
      <c r="S12958" t="s">
        <v>44047</v>
      </c>
      <c r="T12958" t="s">
        <v>44841</v>
      </c>
      <c r="U12958" t="s">
        <v>55495</v>
      </c>
      <c r="W12958" t="s">
        <v>42473</v>
      </c>
      <c r="X12958" t="s">
        <v>43188</v>
      </c>
    </row>
    <row r="12959" spans="1:24">
      <c r="A12959">
        <f>HYPERLINK("https://www.philgeps.gov.ph/GEPSNONPILOT/Tender/SplashBidNoticeAbstractUI.aspx?menuIndex=3&amp;refID=7047677&amp;Result=3","7047677")</f>
        <v>0</v>
      </c>
      <c r="B12959" t="s">
        <v>1661</v>
      </c>
      <c r="C12959" t="s">
        <v>15809</v>
      </c>
      <c r="D12959" t="s">
        <v>17422</v>
      </c>
      <c r="E12959" t="s">
        <v>28582</v>
      </c>
      <c r="F12959" t="s">
        <v>30052</v>
      </c>
      <c r="G12959" t="s">
        <v>30058</v>
      </c>
      <c r="H12959" t="s">
        <v>15498</v>
      </c>
      <c r="I12959" t="s">
        <v>30074</v>
      </c>
      <c r="J12959" t="s">
        <v>32173</v>
      </c>
      <c r="K12959" t="s">
        <v>39029</v>
      </c>
      <c r="M12959" t="s">
        <v>41066</v>
      </c>
      <c r="N12959" t="s">
        <v>43166</v>
      </c>
      <c r="O12959" t="s">
        <v>43167</v>
      </c>
      <c r="P12959">
        <v>0</v>
      </c>
      <c r="Q12959">
        <v>5</v>
      </c>
      <c r="R12959" t="s">
        <v>43186</v>
      </c>
      <c r="S12959" t="s">
        <v>44047</v>
      </c>
      <c r="T12959" t="s">
        <v>44685</v>
      </c>
      <c r="U12959" t="s">
        <v>55496</v>
      </c>
      <c r="W12959" t="s">
        <v>41066</v>
      </c>
      <c r="X12959" t="s">
        <v>43188</v>
      </c>
    </row>
    <row r="12960" spans="1:24">
      <c r="A12960">
        <f>HYPERLINK("https://www.philgeps.gov.ph/GEPSNONPILOT/Tender/SplashBidNoticeAbstractUI.aspx?menuIndex=3&amp;refID=7047242&amp;Result=3","7047242")</f>
        <v>0</v>
      </c>
      <c r="B12960" t="s">
        <v>1722</v>
      </c>
      <c r="C12960" t="s">
        <v>15810</v>
      </c>
      <c r="D12960" t="s">
        <v>17421</v>
      </c>
      <c r="E12960" t="s">
        <v>28583</v>
      </c>
      <c r="F12960" t="s">
        <v>30052</v>
      </c>
      <c r="G12960" t="s">
        <v>30058</v>
      </c>
      <c r="H12960" t="s">
        <v>15498</v>
      </c>
      <c r="I12960" t="s">
        <v>30091</v>
      </c>
      <c r="J12960" t="s">
        <v>32820</v>
      </c>
      <c r="K12960" t="s">
        <v>39020</v>
      </c>
      <c r="M12960" t="s">
        <v>42955</v>
      </c>
      <c r="N12960" t="s">
        <v>43166</v>
      </c>
      <c r="O12960" t="s">
        <v>43167</v>
      </c>
      <c r="Q12960">
        <v>3</v>
      </c>
      <c r="R12960" t="s">
        <v>43186</v>
      </c>
      <c r="S12960" t="s">
        <v>44053</v>
      </c>
      <c r="T12960" t="s">
        <v>44773</v>
      </c>
      <c r="U12960" t="s">
        <v>55497</v>
      </c>
      <c r="W12960" t="s">
        <v>58712</v>
      </c>
      <c r="X12960" t="s">
        <v>43188</v>
      </c>
    </row>
    <row r="12961" spans="1:24">
      <c r="A12961">
        <f>HYPERLINK("https://www.philgeps.gov.ph/GEPSNONPILOT/Tender/SplashBidNoticeAbstractUI.aspx?menuIndex=3&amp;refID=7046950&amp;Result=3","7046950")</f>
        <v>0</v>
      </c>
      <c r="B12961" t="s">
        <v>1722</v>
      </c>
      <c r="C12961" t="s">
        <v>15811</v>
      </c>
      <c r="D12961" t="s">
        <v>17421</v>
      </c>
      <c r="E12961" t="s">
        <v>28584</v>
      </c>
      <c r="F12961" t="s">
        <v>30052</v>
      </c>
      <c r="G12961" t="s">
        <v>30058</v>
      </c>
      <c r="H12961" t="s">
        <v>15498</v>
      </c>
      <c r="I12961" t="s">
        <v>30091</v>
      </c>
      <c r="J12961" t="s">
        <v>38073</v>
      </c>
      <c r="K12961" t="s">
        <v>39031</v>
      </c>
      <c r="M12961" t="s">
        <v>42955</v>
      </c>
      <c r="N12961" t="s">
        <v>43166</v>
      </c>
      <c r="O12961" t="s">
        <v>43167</v>
      </c>
      <c r="Q12961">
        <v>2</v>
      </c>
      <c r="R12961" t="s">
        <v>43186</v>
      </c>
      <c r="S12961" t="s">
        <v>44054</v>
      </c>
      <c r="T12961" t="s">
        <v>44773</v>
      </c>
      <c r="U12961" t="s">
        <v>55498</v>
      </c>
      <c r="W12961" t="s">
        <v>58712</v>
      </c>
      <c r="X12961" t="s">
        <v>43189</v>
      </c>
    </row>
    <row r="12962" spans="1:24">
      <c r="A12962">
        <f>HYPERLINK("https://www.philgeps.gov.ph/GEPSNONPILOT/Tender/SplashBidNoticeAbstractUI.aspx?menuIndex=3&amp;refID=7046300&amp;Result=3","7046300")</f>
        <v>0</v>
      </c>
      <c r="B12962" t="s">
        <v>1722</v>
      </c>
      <c r="C12962" t="s">
        <v>15812</v>
      </c>
      <c r="D12962" t="s">
        <v>17419</v>
      </c>
      <c r="E12962" t="s">
        <v>28585</v>
      </c>
      <c r="F12962" t="s">
        <v>30052</v>
      </c>
      <c r="G12962" t="s">
        <v>30058</v>
      </c>
      <c r="H12962" t="s">
        <v>30067</v>
      </c>
      <c r="I12962" t="s">
        <v>3693</v>
      </c>
      <c r="J12962" t="s">
        <v>38074</v>
      </c>
      <c r="K12962" t="s">
        <v>39022</v>
      </c>
      <c r="M12962" t="s">
        <v>42955</v>
      </c>
      <c r="N12962" t="s">
        <v>43166</v>
      </c>
      <c r="O12962" t="s">
        <v>43167</v>
      </c>
      <c r="P12962">
        <v>0</v>
      </c>
      <c r="Q12962">
        <v>1</v>
      </c>
      <c r="R12962" t="s">
        <v>43186</v>
      </c>
      <c r="S12962" t="s">
        <v>44047</v>
      </c>
      <c r="T12962" t="s">
        <v>44773</v>
      </c>
      <c r="U12962" t="s">
        <v>55499</v>
      </c>
      <c r="W12962" t="s">
        <v>58712</v>
      </c>
      <c r="X12962" t="s">
        <v>43189</v>
      </c>
    </row>
    <row r="12963" spans="1:24">
      <c r="A12963">
        <f>HYPERLINK("https://www.philgeps.gov.ph/GEPSNONPILOT/Tender/SplashBidNoticeAbstractUI.aspx?menuIndex=3&amp;refID=7046108&amp;Result=3","7046108")</f>
        <v>0</v>
      </c>
      <c r="B12963" t="s">
        <v>3314</v>
      </c>
      <c r="C12963" t="s">
        <v>15813</v>
      </c>
      <c r="D12963" t="s">
        <v>17475</v>
      </c>
      <c r="E12963" t="s">
        <v>28586</v>
      </c>
      <c r="F12963" t="s">
        <v>30052</v>
      </c>
      <c r="G12963" t="s">
        <v>30058</v>
      </c>
      <c r="H12963" t="s">
        <v>30067</v>
      </c>
      <c r="I12963" t="s">
        <v>3693</v>
      </c>
      <c r="J12963" t="s">
        <v>38075</v>
      </c>
      <c r="K12963" t="s">
        <v>39026</v>
      </c>
      <c r="M12963" t="s">
        <v>42953</v>
      </c>
      <c r="N12963" t="s">
        <v>43166</v>
      </c>
      <c r="O12963" t="s">
        <v>43167</v>
      </c>
      <c r="Q12963">
        <v>6</v>
      </c>
      <c r="R12963" t="s">
        <v>43186</v>
      </c>
      <c r="S12963" t="s">
        <v>44055</v>
      </c>
      <c r="T12963" t="s">
        <v>44777</v>
      </c>
      <c r="U12963" t="s">
        <v>55500</v>
      </c>
      <c r="V12963" t="s">
        <v>46582</v>
      </c>
      <c r="W12963" t="s">
        <v>42953</v>
      </c>
      <c r="X12963" t="s">
        <v>43189</v>
      </c>
    </row>
    <row r="12964" spans="1:24">
      <c r="A12964">
        <f>HYPERLINK("https://www.philgeps.gov.ph/GEPSNONPILOT/Tender/SplashBidNoticeAbstractUI.aspx?menuIndex=3&amp;refID=7046087&amp;Result=3","7046087")</f>
        <v>0</v>
      </c>
      <c r="B12964" t="s">
        <v>3314</v>
      </c>
      <c r="C12964" t="s">
        <v>15814</v>
      </c>
      <c r="D12964" t="s">
        <v>17475</v>
      </c>
      <c r="E12964" t="s">
        <v>28587</v>
      </c>
      <c r="F12964" t="s">
        <v>30052</v>
      </c>
      <c r="G12964" t="s">
        <v>30058</v>
      </c>
      <c r="H12964" t="s">
        <v>30067</v>
      </c>
      <c r="I12964" t="s">
        <v>3693</v>
      </c>
      <c r="J12964" t="s">
        <v>38076</v>
      </c>
      <c r="K12964" t="s">
        <v>39031</v>
      </c>
      <c r="M12964" t="s">
        <v>42953</v>
      </c>
      <c r="N12964" t="s">
        <v>43166</v>
      </c>
      <c r="O12964" t="s">
        <v>43167</v>
      </c>
      <c r="Q12964">
        <v>5</v>
      </c>
      <c r="R12964" t="s">
        <v>43186</v>
      </c>
      <c r="S12964" t="s">
        <v>44056</v>
      </c>
      <c r="T12964" t="s">
        <v>44777</v>
      </c>
      <c r="U12964" t="s">
        <v>55501</v>
      </c>
      <c r="V12964" t="s">
        <v>46582</v>
      </c>
      <c r="W12964" t="s">
        <v>42953</v>
      </c>
      <c r="X12964" t="s">
        <v>43189</v>
      </c>
    </row>
    <row r="12965" spans="1:24">
      <c r="A12965">
        <f>HYPERLINK("https://www.philgeps.gov.ph/GEPSNONPILOT/Tender/SplashBidNoticeAbstractUI.aspx?menuIndex=3&amp;refID=7046078&amp;Result=3","7046078")</f>
        <v>0</v>
      </c>
      <c r="B12965" t="s">
        <v>3314</v>
      </c>
      <c r="C12965" t="s">
        <v>15815</v>
      </c>
      <c r="D12965" t="s">
        <v>17475</v>
      </c>
      <c r="E12965" t="s">
        <v>28588</v>
      </c>
      <c r="F12965" t="s">
        <v>30052</v>
      </c>
      <c r="G12965" t="s">
        <v>30058</v>
      </c>
      <c r="H12965" t="s">
        <v>30067</v>
      </c>
      <c r="I12965" t="s">
        <v>3693</v>
      </c>
      <c r="J12965" t="s">
        <v>38077</v>
      </c>
      <c r="K12965" t="s">
        <v>39020</v>
      </c>
      <c r="M12965" t="s">
        <v>42953</v>
      </c>
      <c r="N12965" t="s">
        <v>43166</v>
      </c>
      <c r="O12965" t="s">
        <v>43167</v>
      </c>
      <c r="Q12965">
        <v>4</v>
      </c>
      <c r="R12965" t="s">
        <v>43186</v>
      </c>
      <c r="S12965" t="s">
        <v>44057</v>
      </c>
      <c r="T12965" t="s">
        <v>44777</v>
      </c>
      <c r="U12965" t="s">
        <v>55502</v>
      </c>
      <c r="V12965" t="s">
        <v>46582</v>
      </c>
      <c r="W12965" t="s">
        <v>42953</v>
      </c>
      <c r="X12965" t="s">
        <v>43189</v>
      </c>
    </row>
    <row r="12966" spans="1:24">
      <c r="A12966">
        <f>HYPERLINK("https://www.philgeps.gov.ph/GEPSNONPILOT/Tender/SplashBidNoticeAbstractUI.aspx?menuIndex=3&amp;refID=7047561&amp;Result=3","7047561")</f>
        <v>0</v>
      </c>
      <c r="B12966" t="s">
        <v>2914</v>
      </c>
      <c r="C12966" t="s">
        <v>15816</v>
      </c>
      <c r="D12966" t="s">
        <v>17448</v>
      </c>
      <c r="E12966" t="s">
        <v>28589</v>
      </c>
      <c r="F12966" t="s">
        <v>30052</v>
      </c>
      <c r="G12966" t="s">
        <v>30058</v>
      </c>
      <c r="H12966" t="s">
        <v>30067</v>
      </c>
      <c r="I12966" t="s">
        <v>3693</v>
      </c>
      <c r="J12966" t="s">
        <v>38078</v>
      </c>
      <c r="K12966" t="s">
        <v>39023</v>
      </c>
      <c r="M12966" t="s">
        <v>42473</v>
      </c>
      <c r="N12966" t="s">
        <v>43166</v>
      </c>
      <c r="O12966" t="s">
        <v>43167</v>
      </c>
      <c r="P12966">
        <v>0</v>
      </c>
      <c r="Q12966">
        <v>0</v>
      </c>
      <c r="R12966" t="s">
        <v>43186</v>
      </c>
      <c r="S12966" t="s">
        <v>44047</v>
      </c>
      <c r="T12966" t="s">
        <v>44841</v>
      </c>
      <c r="U12966" t="s">
        <v>55503</v>
      </c>
      <c r="W12966" t="s">
        <v>42473</v>
      </c>
      <c r="X12966" t="s">
        <v>43188</v>
      </c>
    </row>
    <row r="12967" spans="1:24">
      <c r="A12967">
        <f>HYPERLINK("https://www.philgeps.gov.ph/GEPSNONPILOT/Tender/SplashBidNoticeAbstractUI.aspx?menuIndex=3&amp;refID=7046067&amp;Result=3","7046067")</f>
        <v>0</v>
      </c>
      <c r="B12967" t="s">
        <v>3314</v>
      </c>
      <c r="C12967" t="s">
        <v>15817</v>
      </c>
      <c r="D12967" t="s">
        <v>17475</v>
      </c>
      <c r="E12967" t="s">
        <v>28590</v>
      </c>
      <c r="F12967" t="s">
        <v>30052</v>
      </c>
      <c r="G12967" t="s">
        <v>30058</v>
      </c>
      <c r="H12967" t="s">
        <v>30067</v>
      </c>
      <c r="I12967" t="s">
        <v>3693</v>
      </c>
      <c r="J12967" t="s">
        <v>38079</v>
      </c>
      <c r="K12967" t="s">
        <v>39020</v>
      </c>
      <c r="M12967" t="s">
        <v>42953</v>
      </c>
      <c r="N12967" t="s">
        <v>43166</v>
      </c>
      <c r="O12967" t="s">
        <v>43167</v>
      </c>
      <c r="Q12967">
        <v>5</v>
      </c>
      <c r="R12967" t="s">
        <v>43186</v>
      </c>
      <c r="S12967" t="s">
        <v>44058</v>
      </c>
      <c r="T12967" t="s">
        <v>44777</v>
      </c>
      <c r="U12967" t="s">
        <v>55504</v>
      </c>
      <c r="V12967" t="s">
        <v>46582</v>
      </c>
      <c r="W12967" t="s">
        <v>42953</v>
      </c>
      <c r="X12967" t="s">
        <v>43189</v>
      </c>
    </row>
    <row r="12968" spans="1:24">
      <c r="A12968">
        <f>HYPERLINK("https://www.philgeps.gov.ph/GEPSNONPILOT/Tender/SplashBidNoticeAbstractUI.aspx?menuIndex=3&amp;refID=7049395&amp;Result=3","7049395")</f>
        <v>0</v>
      </c>
      <c r="B12968" t="s">
        <v>3264</v>
      </c>
      <c r="C12968" t="s">
        <v>15818</v>
      </c>
      <c r="D12968" t="s">
        <v>17455</v>
      </c>
      <c r="E12968" t="s">
        <v>28591</v>
      </c>
      <c r="F12968" t="s">
        <v>30052</v>
      </c>
      <c r="G12968" t="s">
        <v>30058</v>
      </c>
      <c r="H12968" t="s">
        <v>30067</v>
      </c>
      <c r="I12968" t="s">
        <v>3693</v>
      </c>
      <c r="J12968" t="s">
        <v>38080</v>
      </c>
      <c r="K12968" t="s">
        <v>39092</v>
      </c>
      <c r="M12968" t="s">
        <v>42895</v>
      </c>
      <c r="N12968" t="s">
        <v>43166</v>
      </c>
      <c r="O12968" t="s">
        <v>43167</v>
      </c>
      <c r="Q12968">
        <v>14</v>
      </c>
      <c r="R12968" t="s">
        <v>43186</v>
      </c>
      <c r="S12968" t="s">
        <v>44059</v>
      </c>
      <c r="T12968" t="s">
        <v>44717</v>
      </c>
      <c r="U12968" t="s">
        <v>55157</v>
      </c>
      <c r="W12968" t="s">
        <v>42895</v>
      </c>
      <c r="X12968" t="s">
        <v>43188</v>
      </c>
    </row>
    <row r="12969" spans="1:24">
      <c r="A12969">
        <f>HYPERLINK("https://www.philgeps.gov.ph/GEPSNONPILOT/Tender/SplashBidNoticeAbstractUI.aspx?menuIndex=3&amp;refID=7041455&amp;Result=3","7041455")</f>
        <v>0</v>
      </c>
      <c r="B12969" t="s">
        <v>3132</v>
      </c>
      <c r="C12969" t="s">
        <v>15819</v>
      </c>
      <c r="D12969" t="s">
        <v>17422</v>
      </c>
      <c r="E12969" t="s">
        <v>28592</v>
      </c>
      <c r="F12969" t="s">
        <v>30052</v>
      </c>
      <c r="G12969" t="s">
        <v>30058</v>
      </c>
      <c r="H12969" t="s">
        <v>15498</v>
      </c>
      <c r="I12969" t="s">
        <v>30126</v>
      </c>
      <c r="J12969" t="s">
        <v>30256</v>
      </c>
      <c r="K12969" t="s">
        <v>39034</v>
      </c>
      <c r="M12969" t="s">
        <v>42734</v>
      </c>
      <c r="N12969" t="s">
        <v>43166</v>
      </c>
      <c r="O12969" t="s">
        <v>43167</v>
      </c>
      <c r="P12969">
        <v>0</v>
      </c>
      <c r="Q12969">
        <v>1</v>
      </c>
      <c r="R12969" t="s">
        <v>43186</v>
      </c>
      <c r="S12969" t="s">
        <v>44047</v>
      </c>
      <c r="T12969" t="s">
        <v>44717</v>
      </c>
      <c r="U12969" t="s">
        <v>55505</v>
      </c>
      <c r="V12969" t="s">
        <v>58351</v>
      </c>
      <c r="W12969" t="s">
        <v>42734</v>
      </c>
      <c r="X12969" t="s">
        <v>43192</v>
      </c>
    </row>
    <row r="12970" spans="1:24">
      <c r="A12970">
        <f>HYPERLINK("https://www.philgeps.gov.ph/GEPSNONPILOT/Tender/SplashBidNoticeAbstractUI.aspx?menuIndex=3&amp;refID=7046735&amp;Result=3","7046735")</f>
        <v>0</v>
      </c>
      <c r="B12970" t="s">
        <v>127</v>
      </c>
      <c r="C12970" t="s">
        <v>15820</v>
      </c>
      <c r="D12970" t="s">
        <v>17434</v>
      </c>
      <c r="E12970" t="s">
        <v>28593</v>
      </c>
      <c r="F12970" t="s">
        <v>30052</v>
      </c>
      <c r="G12970" t="s">
        <v>30058</v>
      </c>
      <c r="H12970" t="s">
        <v>15498</v>
      </c>
      <c r="I12970" t="s">
        <v>30074</v>
      </c>
      <c r="J12970" t="s">
        <v>33078</v>
      </c>
      <c r="K12970" t="s">
        <v>39025</v>
      </c>
      <c r="M12970" t="s">
        <v>39416</v>
      </c>
      <c r="N12970" t="s">
        <v>43166</v>
      </c>
      <c r="O12970" t="s">
        <v>43167</v>
      </c>
      <c r="P12970">
        <v>0</v>
      </c>
      <c r="Q12970">
        <v>7</v>
      </c>
      <c r="R12970" t="s">
        <v>43186</v>
      </c>
      <c r="S12970" t="s">
        <v>44047</v>
      </c>
      <c r="T12970" t="s">
        <v>44969</v>
      </c>
      <c r="U12970" t="s">
        <v>55506</v>
      </c>
      <c r="V12970" t="s">
        <v>56840</v>
      </c>
      <c r="W12970" t="s">
        <v>39416</v>
      </c>
      <c r="X12970" t="s">
        <v>43189</v>
      </c>
    </row>
    <row r="12971" spans="1:24">
      <c r="A12971">
        <f>HYPERLINK("https://www.philgeps.gov.ph/GEPSNONPILOT/Tender/SplashBidNoticeAbstractUI.aspx?menuIndex=3&amp;refID=7047635&amp;Result=3","7047635")</f>
        <v>0</v>
      </c>
      <c r="B12971" t="s">
        <v>2914</v>
      </c>
      <c r="C12971" t="s">
        <v>15821</v>
      </c>
      <c r="D12971" t="s">
        <v>17448</v>
      </c>
      <c r="E12971" t="s">
        <v>28594</v>
      </c>
      <c r="F12971" t="s">
        <v>30052</v>
      </c>
      <c r="G12971" t="s">
        <v>30058</v>
      </c>
      <c r="H12971" t="s">
        <v>30067</v>
      </c>
      <c r="I12971" t="s">
        <v>3693</v>
      </c>
      <c r="J12971" t="s">
        <v>38081</v>
      </c>
      <c r="K12971" t="s">
        <v>39023</v>
      </c>
      <c r="M12971" t="s">
        <v>42473</v>
      </c>
      <c r="N12971" t="s">
        <v>43166</v>
      </c>
      <c r="O12971" t="s">
        <v>43167</v>
      </c>
      <c r="P12971">
        <v>0</v>
      </c>
      <c r="Q12971">
        <v>0</v>
      </c>
      <c r="R12971" t="s">
        <v>43186</v>
      </c>
      <c r="S12971" t="s">
        <v>44047</v>
      </c>
      <c r="T12971" t="s">
        <v>44841</v>
      </c>
      <c r="U12971" t="s">
        <v>55507</v>
      </c>
      <c r="W12971" t="s">
        <v>42473</v>
      </c>
      <c r="X12971" t="s">
        <v>43188</v>
      </c>
    </row>
    <row r="12972" spans="1:24">
      <c r="A12972">
        <f>HYPERLINK("https://www.philgeps.gov.ph/GEPSNONPILOT/Tender/SplashBidNoticeAbstractUI.aspx?menuIndex=3&amp;refID=7049439&amp;Result=3","7049439")</f>
        <v>0</v>
      </c>
      <c r="B12972" t="s">
        <v>3264</v>
      </c>
      <c r="C12972" t="s">
        <v>15822</v>
      </c>
      <c r="D12972" t="s">
        <v>17455</v>
      </c>
      <c r="E12972" t="s">
        <v>28595</v>
      </c>
      <c r="F12972" t="s">
        <v>30052</v>
      </c>
      <c r="G12972" t="s">
        <v>30058</v>
      </c>
      <c r="H12972" t="s">
        <v>30067</v>
      </c>
      <c r="I12972" t="s">
        <v>3693</v>
      </c>
      <c r="J12972" t="s">
        <v>38082</v>
      </c>
      <c r="K12972" t="s">
        <v>39190</v>
      </c>
      <c r="M12972" t="s">
        <v>42895</v>
      </c>
      <c r="N12972" t="s">
        <v>43166</v>
      </c>
      <c r="O12972" t="s">
        <v>43167</v>
      </c>
      <c r="Q12972">
        <v>16</v>
      </c>
      <c r="R12972" t="s">
        <v>43186</v>
      </c>
      <c r="S12972" t="s">
        <v>44060</v>
      </c>
      <c r="T12972" t="s">
        <v>44717</v>
      </c>
      <c r="U12972" t="s">
        <v>55157</v>
      </c>
      <c r="W12972" t="s">
        <v>42895</v>
      </c>
      <c r="X12972" t="s">
        <v>43188</v>
      </c>
    </row>
    <row r="12973" spans="1:24">
      <c r="A12973">
        <f>HYPERLINK("https://www.philgeps.gov.ph/GEPSNONPILOT/Tender/SplashBidNoticeAbstractUI.aspx?menuIndex=3&amp;refID=7049477&amp;Result=3","7049477")</f>
        <v>0</v>
      </c>
      <c r="B12973" t="s">
        <v>1000</v>
      </c>
      <c r="C12973" t="s">
        <v>15823</v>
      </c>
      <c r="D12973" t="s">
        <v>17422</v>
      </c>
      <c r="E12973" t="s">
        <v>28596</v>
      </c>
      <c r="F12973" t="s">
        <v>30052</v>
      </c>
      <c r="G12973" t="s">
        <v>30058</v>
      </c>
      <c r="H12973" t="s">
        <v>30067</v>
      </c>
      <c r="I12973" t="s">
        <v>3693</v>
      </c>
      <c r="J12973" t="s">
        <v>30786</v>
      </c>
      <c r="K12973" t="s">
        <v>39022</v>
      </c>
      <c r="M12973" t="s">
        <v>42956</v>
      </c>
      <c r="N12973" t="s">
        <v>43166</v>
      </c>
      <c r="O12973" t="s">
        <v>43167</v>
      </c>
      <c r="P12973">
        <v>0</v>
      </c>
      <c r="Q12973">
        <v>1</v>
      </c>
      <c r="R12973" t="s">
        <v>43186</v>
      </c>
      <c r="S12973" t="s">
        <v>44047</v>
      </c>
      <c r="T12973" t="s">
        <v>44705</v>
      </c>
      <c r="U12973" t="s">
        <v>55508</v>
      </c>
      <c r="V12973" t="s">
        <v>56838</v>
      </c>
      <c r="W12973" t="s">
        <v>42956</v>
      </c>
      <c r="X12973" t="s">
        <v>43188</v>
      </c>
    </row>
    <row r="12974" spans="1:24">
      <c r="A12974">
        <f>HYPERLINK("https://www.philgeps.gov.ph/GEPSNONPILOT/Tender/SplashBidNoticeAbstractUI.aspx?menuIndex=3&amp;refID=7049428&amp;Result=3","7049428")</f>
        <v>0</v>
      </c>
      <c r="B12974" t="s">
        <v>3264</v>
      </c>
      <c r="C12974" t="s">
        <v>15824</v>
      </c>
      <c r="D12974" t="s">
        <v>17455</v>
      </c>
      <c r="E12974" t="s">
        <v>28597</v>
      </c>
      <c r="F12974" t="s">
        <v>30052</v>
      </c>
      <c r="G12974" t="s">
        <v>30058</v>
      </c>
      <c r="H12974" t="s">
        <v>30067</v>
      </c>
      <c r="I12974" t="s">
        <v>3693</v>
      </c>
      <c r="J12974" t="s">
        <v>38083</v>
      </c>
      <c r="K12974" t="s">
        <v>39016</v>
      </c>
      <c r="M12974" t="s">
        <v>42895</v>
      </c>
      <c r="N12974" t="s">
        <v>43166</v>
      </c>
      <c r="O12974" t="s">
        <v>43167</v>
      </c>
      <c r="Q12974">
        <v>23</v>
      </c>
      <c r="R12974" t="s">
        <v>43186</v>
      </c>
      <c r="S12974" t="s">
        <v>44061</v>
      </c>
      <c r="T12974" t="s">
        <v>44717</v>
      </c>
      <c r="U12974" t="s">
        <v>55157</v>
      </c>
      <c r="W12974" t="s">
        <v>42895</v>
      </c>
      <c r="X12974" t="s">
        <v>43188</v>
      </c>
    </row>
    <row r="12975" spans="1:24">
      <c r="A12975">
        <f>HYPERLINK("https://www.philgeps.gov.ph/GEPSNONPILOT/Tender/SplashBidNoticeAbstractUI.aspx?menuIndex=3&amp;refID=7046043&amp;Result=3","7046043")</f>
        <v>0</v>
      </c>
      <c r="B12975" t="s">
        <v>3314</v>
      </c>
      <c r="C12975" t="s">
        <v>15825</v>
      </c>
      <c r="D12975" t="s">
        <v>17475</v>
      </c>
      <c r="E12975" t="s">
        <v>28598</v>
      </c>
      <c r="F12975" t="s">
        <v>30052</v>
      </c>
      <c r="G12975" t="s">
        <v>30058</v>
      </c>
      <c r="H12975" t="s">
        <v>30067</v>
      </c>
      <c r="I12975" t="s">
        <v>3693</v>
      </c>
      <c r="J12975" t="s">
        <v>38084</v>
      </c>
      <c r="K12975" t="s">
        <v>39020</v>
      </c>
      <c r="M12975" t="s">
        <v>42953</v>
      </c>
      <c r="N12975" t="s">
        <v>43166</v>
      </c>
      <c r="O12975" t="s">
        <v>43167</v>
      </c>
      <c r="Q12975">
        <v>5</v>
      </c>
      <c r="R12975" t="s">
        <v>43186</v>
      </c>
      <c r="S12975" t="s">
        <v>44062</v>
      </c>
      <c r="T12975" t="s">
        <v>44777</v>
      </c>
      <c r="U12975" t="s">
        <v>55509</v>
      </c>
      <c r="V12975" t="s">
        <v>46582</v>
      </c>
      <c r="W12975" t="s">
        <v>42953</v>
      </c>
      <c r="X12975" t="s">
        <v>43189</v>
      </c>
    </row>
    <row r="12976" spans="1:24">
      <c r="A12976">
        <f>HYPERLINK("https://www.philgeps.gov.ph/GEPSNONPILOT/Tender/SplashBidNoticeAbstractUI.aspx?menuIndex=3&amp;refID=7049413&amp;Result=3","7049413")</f>
        <v>0</v>
      </c>
      <c r="B12976" t="s">
        <v>3264</v>
      </c>
      <c r="C12976" t="s">
        <v>15826</v>
      </c>
      <c r="D12976" t="s">
        <v>17455</v>
      </c>
      <c r="E12976" t="s">
        <v>28599</v>
      </c>
      <c r="F12976" t="s">
        <v>30052</v>
      </c>
      <c r="G12976" t="s">
        <v>30058</v>
      </c>
      <c r="H12976" t="s">
        <v>30067</v>
      </c>
      <c r="I12976" t="s">
        <v>3693</v>
      </c>
      <c r="J12976" t="s">
        <v>38085</v>
      </c>
      <c r="K12976" t="s">
        <v>39016</v>
      </c>
      <c r="M12976" t="s">
        <v>42895</v>
      </c>
      <c r="N12976" t="s">
        <v>43166</v>
      </c>
      <c r="O12976" t="s">
        <v>43167</v>
      </c>
      <c r="Q12976">
        <v>25</v>
      </c>
      <c r="R12976" t="s">
        <v>43186</v>
      </c>
      <c r="S12976" t="s">
        <v>44063</v>
      </c>
      <c r="T12976" t="s">
        <v>44717</v>
      </c>
      <c r="U12976" t="s">
        <v>55157</v>
      </c>
      <c r="W12976" t="s">
        <v>42895</v>
      </c>
      <c r="X12976" t="s">
        <v>43188</v>
      </c>
    </row>
    <row r="12977" spans="1:24">
      <c r="A12977">
        <f>HYPERLINK("https://www.philgeps.gov.ph/GEPSNONPILOT/Tender/SplashBidNoticeAbstractUI.aspx?menuIndex=3&amp;refID=7049386&amp;Result=3","7049386")</f>
        <v>0</v>
      </c>
      <c r="B12977" t="s">
        <v>623</v>
      </c>
      <c r="C12977" t="s">
        <v>15827</v>
      </c>
      <c r="D12977" t="s">
        <v>17449</v>
      </c>
      <c r="E12977" t="s">
        <v>28600</v>
      </c>
      <c r="F12977" t="s">
        <v>30052</v>
      </c>
      <c r="G12977" t="s">
        <v>30058</v>
      </c>
      <c r="H12977" t="s">
        <v>30067</v>
      </c>
      <c r="I12977" t="s">
        <v>3693</v>
      </c>
      <c r="J12977" t="s">
        <v>31185</v>
      </c>
      <c r="K12977" t="s">
        <v>39026</v>
      </c>
      <c r="M12977" t="s">
        <v>40445</v>
      </c>
      <c r="N12977" t="s">
        <v>43166</v>
      </c>
      <c r="O12977" t="s">
        <v>43167</v>
      </c>
      <c r="P12977">
        <v>0</v>
      </c>
      <c r="Q12977">
        <v>2</v>
      </c>
      <c r="R12977" t="s">
        <v>43186</v>
      </c>
      <c r="S12977" t="s">
        <v>44047</v>
      </c>
      <c r="T12977" t="s">
        <v>44822</v>
      </c>
      <c r="U12977" t="s">
        <v>55510</v>
      </c>
      <c r="W12977" t="s">
        <v>40445</v>
      </c>
      <c r="X12977" t="s">
        <v>43188</v>
      </c>
    </row>
    <row r="12978" spans="1:24">
      <c r="A12978">
        <f>HYPERLINK("https://www.philgeps.gov.ph/GEPSNONPILOT/Tender/SplashBidNoticeAbstractUI.aspx?menuIndex=3&amp;refID=7049449&amp;Result=3","7049449")</f>
        <v>0</v>
      </c>
      <c r="B12978" t="s">
        <v>1000</v>
      </c>
      <c r="C12978" t="s">
        <v>15828</v>
      </c>
      <c r="D12978" t="s">
        <v>17422</v>
      </c>
      <c r="E12978" t="s">
        <v>28601</v>
      </c>
      <c r="F12978" t="s">
        <v>30052</v>
      </c>
      <c r="G12978" t="s">
        <v>30058</v>
      </c>
      <c r="H12978" t="s">
        <v>30067</v>
      </c>
      <c r="I12978" t="s">
        <v>3693</v>
      </c>
      <c r="J12978" t="s">
        <v>30397</v>
      </c>
      <c r="K12978" t="s">
        <v>39023</v>
      </c>
      <c r="M12978" t="s">
        <v>42956</v>
      </c>
      <c r="N12978" t="s">
        <v>43166</v>
      </c>
      <c r="O12978" t="s">
        <v>43167</v>
      </c>
      <c r="P12978">
        <v>0</v>
      </c>
      <c r="Q12978">
        <v>1</v>
      </c>
      <c r="R12978" t="s">
        <v>43186</v>
      </c>
      <c r="S12978" t="s">
        <v>44047</v>
      </c>
      <c r="T12978" t="s">
        <v>44705</v>
      </c>
      <c r="U12978" t="s">
        <v>55508</v>
      </c>
      <c r="V12978" t="s">
        <v>56838</v>
      </c>
      <c r="W12978" t="s">
        <v>42956</v>
      </c>
      <c r="X12978" t="s">
        <v>43188</v>
      </c>
    </row>
    <row r="12979" spans="1:24">
      <c r="A12979">
        <f>HYPERLINK("https://www.philgeps.gov.ph/GEPSNONPILOT/Tender/SplashBidNoticeAbstractUI.aspx?menuIndex=3&amp;refID=7048888&amp;Result=3","7048888")</f>
        <v>0</v>
      </c>
      <c r="B12979" t="s">
        <v>3316</v>
      </c>
      <c r="C12979" t="s">
        <v>15829</v>
      </c>
      <c r="D12979" t="s">
        <v>17452</v>
      </c>
      <c r="E12979" t="s">
        <v>28602</v>
      </c>
      <c r="F12979" t="s">
        <v>30052</v>
      </c>
      <c r="G12979" t="s">
        <v>30058</v>
      </c>
      <c r="H12979" t="s">
        <v>30069</v>
      </c>
      <c r="I12979" t="s">
        <v>30072</v>
      </c>
      <c r="J12979" t="s">
        <v>38086</v>
      </c>
      <c r="K12979" t="s">
        <v>39068</v>
      </c>
      <c r="M12979" t="s">
        <v>42957</v>
      </c>
      <c r="N12979" t="s">
        <v>43166</v>
      </c>
      <c r="O12979" t="s">
        <v>43167</v>
      </c>
      <c r="Q12979">
        <v>3</v>
      </c>
      <c r="R12979" t="s">
        <v>43186</v>
      </c>
      <c r="S12979" t="s">
        <v>44064</v>
      </c>
      <c r="T12979" t="s">
        <v>45172</v>
      </c>
      <c r="U12979" t="s">
        <v>55511</v>
      </c>
      <c r="W12979" t="s">
        <v>42957</v>
      </c>
      <c r="X12979" t="s">
        <v>43188</v>
      </c>
    </row>
    <row r="12980" spans="1:24">
      <c r="A12980">
        <f>HYPERLINK("https://www.philgeps.gov.ph/GEPSNONPILOT/Tender/SplashBidNoticeAbstractUI.aspx?menuIndex=3&amp;refID=7045707&amp;Result=3","7045707")</f>
        <v>0</v>
      </c>
      <c r="B12980" t="s">
        <v>3314</v>
      </c>
      <c r="C12980" t="s">
        <v>15830</v>
      </c>
      <c r="D12980" t="s">
        <v>17475</v>
      </c>
      <c r="E12980" t="s">
        <v>28603</v>
      </c>
      <c r="F12980" t="s">
        <v>30052</v>
      </c>
      <c r="G12980" t="s">
        <v>30058</v>
      </c>
      <c r="H12980" t="s">
        <v>30067</v>
      </c>
      <c r="I12980" t="s">
        <v>3693</v>
      </c>
      <c r="J12980" t="s">
        <v>38087</v>
      </c>
      <c r="K12980" t="s">
        <v>39085</v>
      </c>
      <c r="M12980" t="s">
        <v>42953</v>
      </c>
      <c r="N12980" t="s">
        <v>43166</v>
      </c>
      <c r="O12980" t="s">
        <v>43167</v>
      </c>
      <c r="Q12980">
        <v>5</v>
      </c>
      <c r="R12980" t="s">
        <v>43186</v>
      </c>
      <c r="S12980" t="s">
        <v>44065</v>
      </c>
      <c r="T12980" t="s">
        <v>44777</v>
      </c>
      <c r="U12980" t="s">
        <v>55512</v>
      </c>
      <c r="V12980" t="s">
        <v>46582</v>
      </c>
      <c r="W12980" t="s">
        <v>42953</v>
      </c>
      <c r="X12980" t="s">
        <v>43189</v>
      </c>
    </row>
    <row r="12981" spans="1:24">
      <c r="A12981">
        <f>HYPERLINK("https://www.philgeps.gov.ph/GEPSNONPILOT/Tender/SplashBidNoticeAbstractUI.aspx?menuIndex=3&amp;refID=7049432&amp;Result=3","7049432")</f>
        <v>0</v>
      </c>
      <c r="B12981" t="s">
        <v>1000</v>
      </c>
      <c r="C12981" t="s">
        <v>15831</v>
      </c>
      <c r="D12981" t="s">
        <v>17422</v>
      </c>
      <c r="E12981" t="s">
        <v>28604</v>
      </c>
      <c r="F12981" t="s">
        <v>30052</v>
      </c>
      <c r="G12981" t="s">
        <v>30058</v>
      </c>
      <c r="H12981" t="s">
        <v>30067</v>
      </c>
      <c r="I12981" t="s">
        <v>3693</v>
      </c>
      <c r="J12981" t="s">
        <v>38088</v>
      </c>
      <c r="K12981" t="s">
        <v>39057</v>
      </c>
      <c r="M12981" t="s">
        <v>42956</v>
      </c>
      <c r="N12981" t="s">
        <v>43166</v>
      </c>
      <c r="O12981" t="s">
        <v>43167</v>
      </c>
      <c r="P12981">
        <v>0</v>
      </c>
      <c r="Q12981">
        <v>2</v>
      </c>
      <c r="R12981" t="s">
        <v>43186</v>
      </c>
      <c r="S12981" t="s">
        <v>44047</v>
      </c>
      <c r="T12981" t="s">
        <v>44705</v>
      </c>
      <c r="U12981" t="s">
        <v>55508</v>
      </c>
      <c r="V12981" t="s">
        <v>56838</v>
      </c>
      <c r="W12981" t="s">
        <v>42956</v>
      </c>
      <c r="X12981" t="s">
        <v>43188</v>
      </c>
    </row>
    <row r="12982" spans="1:24">
      <c r="A12982">
        <f>HYPERLINK("https://www.philgeps.gov.ph/GEPSNONPILOT/Tender/SplashBidNoticeAbstractUI.aspx?menuIndex=3&amp;refID=7049093&amp;Result=3","7049093")</f>
        <v>0</v>
      </c>
      <c r="B12982" t="s">
        <v>3317</v>
      </c>
      <c r="C12982" t="s">
        <v>15832</v>
      </c>
      <c r="D12982" t="s">
        <v>17476</v>
      </c>
      <c r="E12982" t="s">
        <v>28605</v>
      </c>
      <c r="F12982" t="s">
        <v>30052</v>
      </c>
      <c r="G12982" t="s">
        <v>30058</v>
      </c>
      <c r="H12982" t="s">
        <v>30067</v>
      </c>
      <c r="I12982" t="s">
        <v>3693</v>
      </c>
      <c r="J12982" t="s">
        <v>30397</v>
      </c>
      <c r="K12982" t="s">
        <v>39046</v>
      </c>
      <c r="M12982" t="s">
        <v>42958</v>
      </c>
      <c r="N12982" t="s">
        <v>43166</v>
      </c>
      <c r="O12982" t="s">
        <v>43167</v>
      </c>
      <c r="P12982">
        <v>0</v>
      </c>
      <c r="Q12982">
        <v>0</v>
      </c>
      <c r="R12982" t="s">
        <v>43186</v>
      </c>
      <c r="S12982" t="s">
        <v>44047</v>
      </c>
      <c r="T12982" t="s">
        <v>44859</v>
      </c>
      <c r="U12982" t="s">
        <v>55513</v>
      </c>
      <c r="V12982" t="s">
        <v>58352</v>
      </c>
      <c r="W12982" t="s">
        <v>42958</v>
      </c>
      <c r="X12982" t="s">
        <v>43188</v>
      </c>
    </row>
    <row r="12983" spans="1:24">
      <c r="A12983">
        <f>HYPERLINK("https://www.philgeps.gov.ph/GEPSNONPILOT/Tender/SplashBidNoticeAbstractUI.aspx?menuIndex=3&amp;refID=7048594&amp;Result=3","7048594")</f>
        <v>0</v>
      </c>
      <c r="B12983" t="s">
        <v>3317</v>
      </c>
      <c r="C12983" t="s">
        <v>15833</v>
      </c>
      <c r="D12983" t="s">
        <v>17476</v>
      </c>
      <c r="E12983" t="s">
        <v>28606</v>
      </c>
      <c r="F12983" t="s">
        <v>30052</v>
      </c>
      <c r="G12983" t="s">
        <v>30058</v>
      </c>
      <c r="H12983" t="s">
        <v>30067</v>
      </c>
      <c r="I12983" t="s">
        <v>3693</v>
      </c>
      <c r="J12983" t="s">
        <v>30222</v>
      </c>
      <c r="K12983" t="s">
        <v>39046</v>
      </c>
      <c r="M12983" t="s">
        <v>42958</v>
      </c>
      <c r="N12983" t="s">
        <v>43166</v>
      </c>
      <c r="O12983" t="s">
        <v>43167</v>
      </c>
      <c r="P12983">
        <v>0</v>
      </c>
      <c r="Q12983">
        <v>0</v>
      </c>
      <c r="R12983" t="s">
        <v>43186</v>
      </c>
      <c r="S12983" t="s">
        <v>44047</v>
      </c>
      <c r="T12983" t="s">
        <v>44717</v>
      </c>
      <c r="U12983" t="s">
        <v>55514</v>
      </c>
      <c r="V12983" t="s">
        <v>58353</v>
      </c>
      <c r="W12983" t="s">
        <v>42958</v>
      </c>
      <c r="X12983" t="s">
        <v>43188</v>
      </c>
    </row>
    <row r="12984" spans="1:24">
      <c r="A12984">
        <f>HYPERLINK("https://www.philgeps.gov.ph/GEPSNONPILOT/Tender/SplashBidNoticeAbstractUI.aspx?menuIndex=3&amp;refID=7048061&amp;Result=3","7048061")</f>
        <v>0</v>
      </c>
      <c r="B12984" t="s">
        <v>1689</v>
      </c>
      <c r="C12984" t="s">
        <v>15834</v>
      </c>
      <c r="D12984" t="s">
        <v>17474</v>
      </c>
      <c r="E12984" t="s">
        <v>28607</v>
      </c>
      <c r="F12984" t="s">
        <v>30052</v>
      </c>
      <c r="G12984" t="s">
        <v>30058</v>
      </c>
      <c r="H12984" t="s">
        <v>15498</v>
      </c>
      <c r="I12984" t="s">
        <v>30151</v>
      </c>
      <c r="J12984" t="s">
        <v>38089</v>
      </c>
      <c r="K12984" t="s">
        <v>39029</v>
      </c>
      <c r="M12984" t="s">
        <v>41098</v>
      </c>
      <c r="N12984" t="s">
        <v>43166</v>
      </c>
      <c r="O12984" t="s">
        <v>43167</v>
      </c>
      <c r="P12984">
        <v>0</v>
      </c>
      <c r="Q12984">
        <v>2</v>
      </c>
      <c r="R12984" t="s">
        <v>43186</v>
      </c>
      <c r="S12984" t="s">
        <v>44047</v>
      </c>
      <c r="T12984" t="s">
        <v>44856</v>
      </c>
      <c r="U12984" t="s">
        <v>55515</v>
      </c>
      <c r="W12984" t="s">
        <v>41098</v>
      </c>
      <c r="X12984" t="s">
        <v>43188</v>
      </c>
    </row>
    <row r="12985" spans="1:24">
      <c r="A12985">
        <f>HYPERLINK("https://www.philgeps.gov.ph/GEPSNONPILOT/Tender/SplashBidNoticeAbstractUI.aspx?menuIndex=3&amp;refID=7049363&amp;Result=3","7049363")</f>
        <v>0</v>
      </c>
      <c r="B12985" t="s">
        <v>3264</v>
      </c>
      <c r="C12985" t="s">
        <v>15835</v>
      </c>
      <c r="D12985" t="s">
        <v>17455</v>
      </c>
      <c r="E12985" t="s">
        <v>28608</v>
      </c>
      <c r="F12985" t="s">
        <v>30052</v>
      </c>
      <c r="G12985" t="s">
        <v>30058</v>
      </c>
      <c r="H12985" t="s">
        <v>30067</v>
      </c>
      <c r="I12985" t="s">
        <v>3693</v>
      </c>
      <c r="J12985" t="s">
        <v>38090</v>
      </c>
      <c r="K12985" t="s">
        <v>39092</v>
      </c>
      <c r="M12985" t="s">
        <v>42895</v>
      </c>
      <c r="N12985" t="s">
        <v>43166</v>
      </c>
      <c r="O12985" t="s">
        <v>43167</v>
      </c>
      <c r="Q12985">
        <v>13</v>
      </c>
      <c r="R12985" t="s">
        <v>43186</v>
      </c>
      <c r="S12985" t="s">
        <v>44066</v>
      </c>
      <c r="T12985" t="s">
        <v>44717</v>
      </c>
      <c r="U12985" t="s">
        <v>55157</v>
      </c>
      <c r="W12985" t="s">
        <v>42895</v>
      </c>
      <c r="X12985" t="s">
        <v>43188</v>
      </c>
    </row>
    <row r="12986" spans="1:24">
      <c r="A12986">
        <f>HYPERLINK("https://www.philgeps.gov.ph/GEPSNONPILOT/Tender/SplashBidNoticeAbstractUI.aspx?menuIndex=3&amp;refID=7048860&amp;Result=3","7048860")</f>
        <v>0</v>
      </c>
      <c r="B12986" t="s">
        <v>3317</v>
      </c>
      <c r="C12986" t="s">
        <v>15836</v>
      </c>
      <c r="D12986" t="s">
        <v>17476</v>
      </c>
      <c r="E12986" t="s">
        <v>28609</v>
      </c>
      <c r="F12986" t="s">
        <v>30052</v>
      </c>
      <c r="G12986" t="s">
        <v>30058</v>
      </c>
      <c r="H12986" t="s">
        <v>30067</v>
      </c>
      <c r="I12986" t="s">
        <v>3693</v>
      </c>
      <c r="J12986" t="s">
        <v>30605</v>
      </c>
      <c r="K12986" t="s">
        <v>39046</v>
      </c>
      <c r="M12986" t="s">
        <v>42958</v>
      </c>
      <c r="N12986" t="s">
        <v>43166</v>
      </c>
      <c r="O12986" t="s">
        <v>43167</v>
      </c>
      <c r="P12986">
        <v>0</v>
      </c>
      <c r="Q12986">
        <v>0</v>
      </c>
      <c r="R12986" t="s">
        <v>43186</v>
      </c>
      <c r="S12986" t="s">
        <v>44047</v>
      </c>
      <c r="T12986" t="s">
        <v>44844</v>
      </c>
      <c r="U12986" t="s">
        <v>55514</v>
      </c>
      <c r="V12986" t="s">
        <v>58354</v>
      </c>
      <c r="W12986" t="s">
        <v>42958</v>
      </c>
      <c r="X12986" t="s">
        <v>43188</v>
      </c>
    </row>
    <row r="12987" spans="1:24">
      <c r="A12987">
        <f>HYPERLINK("https://www.philgeps.gov.ph/GEPSNONPILOT/Tender/SplashBidNoticeAbstractUI.aspx?menuIndex=3&amp;refID=7049228&amp;Result=3","7049228")</f>
        <v>0</v>
      </c>
      <c r="B12987" t="s">
        <v>3317</v>
      </c>
      <c r="C12987" t="s">
        <v>15837</v>
      </c>
      <c r="D12987" t="s">
        <v>17476</v>
      </c>
      <c r="E12987" t="s">
        <v>28610</v>
      </c>
      <c r="F12987" t="s">
        <v>30052</v>
      </c>
      <c r="G12987" t="s">
        <v>30058</v>
      </c>
      <c r="H12987" t="s">
        <v>30067</v>
      </c>
      <c r="I12987" t="s">
        <v>3693</v>
      </c>
      <c r="J12987" t="s">
        <v>30222</v>
      </c>
      <c r="K12987" t="s">
        <v>39046</v>
      </c>
      <c r="M12987" t="s">
        <v>42958</v>
      </c>
      <c r="N12987" t="s">
        <v>43166</v>
      </c>
      <c r="O12987" t="s">
        <v>43167</v>
      </c>
      <c r="P12987">
        <v>0</v>
      </c>
      <c r="Q12987">
        <v>0</v>
      </c>
      <c r="R12987" t="s">
        <v>43186</v>
      </c>
      <c r="S12987" t="s">
        <v>44047</v>
      </c>
      <c r="T12987" t="s">
        <v>44863</v>
      </c>
      <c r="U12987" t="s">
        <v>55513</v>
      </c>
      <c r="V12987" t="s">
        <v>58355</v>
      </c>
      <c r="W12987" t="s">
        <v>42958</v>
      </c>
      <c r="X12987" t="s">
        <v>43188</v>
      </c>
    </row>
    <row r="12988" spans="1:24">
      <c r="A12988">
        <f>HYPERLINK("https://www.philgeps.gov.ph/GEPSNONPILOT/Tender/SplashBidNoticeAbstractUI.aspx?menuIndex=3&amp;refID=7048244&amp;Result=3","7048244")</f>
        <v>0</v>
      </c>
      <c r="B12988" t="s">
        <v>95</v>
      </c>
      <c r="C12988" t="s">
        <v>15838</v>
      </c>
      <c r="D12988" t="s">
        <v>17413</v>
      </c>
      <c r="E12988" t="s">
        <v>28611</v>
      </c>
      <c r="F12988" t="s">
        <v>30052</v>
      </c>
      <c r="G12988" t="s">
        <v>30058</v>
      </c>
      <c r="H12988" t="s">
        <v>30067</v>
      </c>
      <c r="I12988" t="s">
        <v>3693</v>
      </c>
      <c r="J12988" t="s">
        <v>38091</v>
      </c>
      <c r="K12988" t="s">
        <v>39026</v>
      </c>
      <c r="M12988" t="s">
        <v>39384</v>
      </c>
      <c r="N12988" t="s">
        <v>43166</v>
      </c>
      <c r="O12988" t="s">
        <v>43167</v>
      </c>
      <c r="P12988">
        <v>0</v>
      </c>
      <c r="Q12988">
        <v>0</v>
      </c>
      <c r="R12988" t="s">
        <v>43186</v>
      </c>
      <c r="S12988" t="s">
        <v>44047</v>
      </c>
      <c r="T12988" t="s">
        <v>44736</v>
      </c>
      <c r="U12988" t="s">
        <v>55516</v>
      </c>
      <c r="V12988" t="s">
        <v>58356</v>
      </c>
      <c r="W12988" t="s">
        <v>39384</v>
      </c>
      <c r="X12988" t="s">
        <v>43188</v>
      </c>
    </row>
    <row r="12989" spans="1:24">
      <c r="A12989">
        <f>HYPERLINK("https://www.philgeps.gov.ph/GEPSNONPILOT/Tender/SplashBidNoticeAbstractUI.aspx?menuIndex=3&amp;refID=7049180&amp;Result=3","7049180")</f>
        <v>0</v>
      </c>
      <c r="B12989" t="s">
        <v>1142</v>
      </c>
      <c r="C12989" t="s">
        <v>15839</v>
      </c>
      <c r="E12989" t="s">
        <v>21269</v>
      </c>
      <c r="F12989" t="s">
        <v>30052</v>
      </c>
      <c r="G12989" t="s">
        <v>30058</v>
      </c>
      <c r="H12989" t="s">
        <v>15498</v>
      </c>
      <c r="I12989" t="s">
        <v>30127</v>
      </c>
      <c r="J12989" t="s">
        <v>30252</v>
      </c>
      <c r="K12989" t="s">
        <v>39025</v>
      </c>
      <c r="M12989" t="s">
        <v>40485</v>
      </c>
      <c r="N12989" t="s">
        <v>43166</v>
      </c>
      <c r="O12989" t="s">
        <v>43167</v>
      </c>
      <c r="P12989">
        <v>0</v>
      </c>
      <c r="Q12989">
        <v>6</v>
      </c>
      <c r="R12989" t="s">
        <v>43186</v>
      </c>
      <c r="S12989" t="s">
        <v>44047</v>
      </c>
      <c r="T12989" t="s">
        <v>44844</v>
      </c>
      <c r="U12989" t="s">
        <v>55517</v>
      </c>
      <c r="W12989" t="s">
        <v>40485</v>
      </c>
      <c r="X12989" t="s">
        <v>43188</v>
      </c>
    </row>
    <row r="12990" spans="1:24">
      <c r="A12990">
        <f>HYPERLINK("https://www.philgeps.gov.ph/GEPSNONPILOT/Tender/SplashBidNoticeAbstractUI.aspx?menuIndex=3&amp;refID=7049946&amp;Result=3","7049946")</f>
        <v>0</v>
      </c>
      <c r="B12990" t="s">
        <v>3318</v>
      </c>
      <c r="C12990" t="s">
        <v>15840</v>
      </c>
      <c r="D12990" t="s">
        <v>17488</v>
      </c>
      <c r="E12990" t="s">
        <v>28612</v>
      </c>
      <c r="F12990" t="s">
        <v>30052</v>
      </c>
      <c r="G12990" t="s">
        <v>30058</v>
      </c>
      <c r="H12990" t="s">
        <v>30067</v>
      </c>
      <c r="I12990" t="s">
        <v>3693</v>
      </c>
      <c r="J12990" t="s">
        <v>31728</v>
      </c>
      <c r="K12990" t="s">
        <v>39290</v>
      </c>
      <c r="M12990" t="s">
        <v>42959</v>
      </c>
      <c r="N12990" t="s">
        <v>43166</v>
      </c>
      <c r="O12990" t="s">
        <v>43167</v>
      </c>
      <c r="Q12990">
        <v>0</v>
      </c>
      <c r="R12990" t="s">
        <v>43186</v>
      </c>
      <c r="S12990" t="s">
        <v>44067</v>
      </c>
      <c r="T12990" t="s">
        <v>44773</v>
      </c>
      <c r="U12990" t="s">
        <v>55518</v>
      </c>
      <c r="W12990" t="s">
        <v>42959</v>
      </c>
      <c r="X12990" t="s">
        <v>43187</v>
      </c>
    </row>
    <row r="12991" spans="1:24">
      <c r="A12991">
        <f>HYPERLINK("https://www.philgeps.gov.ph/GEPSNONPILOT/Tender/SplashBidNoticeAbstractUI.aspx?menuIndex=3&amp;refID=7049936&amp;Result=3","7049936")</f>
        <v>0</v>
      </c>
      <c r="B12991" t="s">
        <v>3319</v>
      </c>
      <c r="C12991" t="s">
        <v>15841</v>
      </c>
      <c r="D12991" t="s">
        <v>17474</v>
      </c>
      <c r="E12991" t="s">
        <v>18646</v>
      </c>
      <c r="F12991" t="s">
        <v>30052</v>
      </c>
      <c r="G12991" t="s">
        <v>30058</v>
      </c>
      <c r="H12991" t="s">
        <v>30067</v>
      </c>
      <c r="I12991" t="s">
        <v>3693</v>
      </c>
      <c r="J12991" t="s">
        <v>30212</v>
      </c>
      <c r="K12991" t="s">
        <v>39026</v>
      </c>
      <c r="M12991" t="s">
        <v>42960</v>
      </c>
      <c r="N12991" t="s">
        <v>43166</v>
      </c>
      <c r="O12991" t="s">
        <v>43167</v>
      </c>
      <c r="P12991">
        <v>0</v>
      </c>
      <c r="Q12991">
        <v>3</v>
      </c>
      <c r="R12991" t="s">
        <v>43186</v>
      </c>
      <c r="S12991" t="s">
        <v>44047</v>
      </c>
      <c r="T12991" t="s">
        <v>44832</v>
      </c>
      <c r="U12991" t="s">
        <v>55519</v>
      </c>
      <c r="V12991" t="s">
        <v>58357</v>
      </c>
      <c r="W12991" t="s">
        <v>42960</v>
      </c>
      <c r="X12991" t="s">
        <v>43187</v>
      </c>
    </row>
    <row r="12992" spans="1:24">
      <c r="A12992">
        <f>HYPERLINK("https://www.philgeps.gov.ph/GEPSNONPILOT/Tender/SplashBidNoticeAbstractUI.aspx?menuIndex=3&amp;refID=7049924&amp;Result=3","7049924")</f>
        <v>0</v>
      </c>
      <c r="B12992" t="s">
        <v>3318</v>
      </c>
      <c r="C12992" t="s">
        <v>15842</v>
      </c>
      <c r="D12992" t="s">
        <v>17488</v>
      </c>
      <c r="E12992" t="s">
        <v>28613</v>
      </c>
      <c r="F12992" t="s">
        <v>30052</v>
      </c>
      <c r="G12992" t="s">
        <v>30058</v>
      </c>
      <c r="H12992" t="s">
        <v>30067</v>
      </c>
      <c r="I12992" t="s">
        <v>3693</v>
      </c>
      <c r="J12992" t="s">
        <v>38092</v>
      </c>
      <c r="K12992" t="s">
        <v>39291</v>
      </c>
      <c r="M12992" t="s">
        <v>42959</v>
      </c>
      <c r="N12992" t="s">
        <v>43166</v>
      </c>
      <c r="O12992" t="s">
        <v>43167</v>
      </c>
      <c r="Q12992">
        <v>0</v>
      </c>
      <c r="R12992" t="s">
        <v>43186</v>
      </c>
      <c r="S12992" t="s">
        <v>44068</v>
      </c>
      <c r="T12992" t="s">
        <v>44773</v>
      </c>
      <c r="U12992" t="s">
        <v>55520</v>
      </c>
      <c r="W12992" t="s">
        <v>42959</v>
      </c>
      <c r="X12992" t="s">
        <v>43187</v>
      </c>
    </row>
    <row r="12993" spans="1:24">
      <c r="A12993">
        <f>HYPERLINK("https://www.philgeps.gov.ph/GEPSNONPILOT/Tender/SplashBidNoticeAbstractUI.aspx?menuIndex=3&amp;refID=7049960&amp;Result=3","7049960")</f>
        <v>0</v>
      </c>
      <c r="B12993" t="s">
        <v>3319</v>
      </c>
      <c r="C12993" t="s">
        <v>15843</v>
      </c>
      <c r="D12993" t="s">
        <v>17474</v>
      </c>
      <c r="E12993" t="s">
        <v>21156</v>
      </c>
      <c r="F12993" t="s">
        <v>30052</v>
      </c>
      <c r="G12993" t="s">
        <v>30058</v>
      </c>
      <c r="H12993" t="s">
        <v>30067</v>
      </c>
      <c r="I12993" t="s">
        <v>3693</v>
      </c>
      <c r="J12993" t="s">
        <v>38093</v>
      </c>
      <c r="K12993" t="s">
        <v>39026</v>
      </c>
      <c r="M12993" t="s">
        <v>42960</v>
      </c>
      <c r="N12993" t="s">
        <v>43166</v>
      </c>
      <c r="O12993" t="s">
        <v>43167</v>
      </c>
      <c r="P12993">
        <v>0</v>
      </c>
      <c r="Q12993">
        <v>2</v>
      </c>
      <c r="R12993" t="s">
        <v>43186</v>
      </c>
      <c r="S12993" t="s">
        <v>44047</v>
      </c>
      <c r="T12993" t="s">
        <v>44832</v>
      </c>
      <c r="U12993" t="s">
        <v>55521</v>
      </c>
      <c r="V12993" t="s">
        <v>58358</v>
      </c>
      <c r="W12993" t="s">
        <v>42960</v>
      </c>
      <c r="X12993" t="s">
        <v>43187</v>
      </c>
    </row>
    <row r="12994" spans="1:24">
      <c r="A12994">
        <f>HYPERLINK("https://www.philgeps.gov.ph/GEPSNONPILOT/Tender/SplashBidNoticeAbstractUI.aspx?menuIndex=3&amp;refID=7049917&amp;Result=3","7049917")</f>
        <v>0</v>
      </c>
      <c r="B12994" t="s">
        <v>1300</v>
      </c>
      <c r="C12994" t="s">
        <v>15844</v>
      </c>
      <c r="D12994" t="s">
        <v>17445</v>
      </c>
      <c r="E12994" t="s">
        <v>28614</v>
      </c>
      <c r="F12994" t="s">
        <v>30052</v>
      </c>
      <c r="G12994" t="s">
        <v>30058</v>
      </c>
      <c r="H12994" t="s">
        <v>30069</v>
      </c>
      <c r="I12994" t="s">
        <v>30109</v>
      </c>
      <c r="J12994" t="s">
        <v>30397</v>
      </c>
      <c r="K12994" t="s">
        <v>39083</v>
      </c>
      <c r="M12994" t="s">
        <v>40666</v>
      </c>
      <c r="N12994" t="s">
        <v>43166</v>
      </c>
      <c r="O12994" t="s">
        <v>43167</v>
      </c>
      <c r="Q12994">
        <v>1</v>
      </c>
      <c r="R12994" t="s">
        <v>43186</v>
      </c>
      <c r="S12994" t="s">
        <v>44069</v>
      </c>
      <c r="T12994" t="s">
        <v>44685</v>
      </c>
      <c r="U12994" t="s">
        <v>48064</v>
      </c>
      <c r="V12994" t="s">
        <v>57256</v>
      </c>
      <c r="W12994" t="s">
        <v>40666</v>
      </c>
      <c r="X12994" t="s">
        <v>43187</v>
      </c>
    </row>
    <row r="12995" spans="1:24">
      <c r="A12995">
        <f>HYPERLINK("https://www.philgeps.gov.ph/GEPSNONPILOT/Tender/SplashBidNoticeAbstractUI.aspx?menuIndex=3&amp;refID=7049903&amp;Result=3","7049903")</f>
        <v>0</v>
      </c>
      <c r="B12995" t="s">
        <v>1300</v>
      </c>
      <c r="C12995" t="s">
        <v>15845</v>
      </c>
      <c r="D12995" t="s">
        <v>17458</v>
      </c>
      <c r="E12995" t="s">
        <v>28615</v>
      </c>
      <c r="F12995" t="s">
        <v>30052</v>
      </c>
      <c r="G12995" t="s">
        <v>30058</v>
      </c>
      <c r="H12995" t="s">
        <v>30069</v>
      </c>
      <c r="I12995" t="s">
        <v>12885</v>
      </c>
      <c r="J12995" t="s">
        <v>38094</v>
      </c>
      <c r="K12995" t="s">
        <v>39248</v>
      </c>
      <c r="M12995" t="s">
        <v>40666</v>
      </c>
      <c r="N12995" t="s">
        <v>43166</v>
      </c>
      <c r="O12995" t="s">
        <v>43167</v>
      </c>
      <c r="Q12995">
        <v>2</v>
      </c>
      <c r="R12995" t="s">
        <v>43186</v>
      </c>
      <c r="S12995" t="s">
        <v>44070</v>
      </c>
      <c r="T12995" t="s">
        <v>44685</v>
      </c>
      <c r="U12995" t="s">
        <v>48064</v>
      </c>
      <c r="V12995" t="s">
        <v>57256</v>
      </c>
      <c r="W12995" t="s">
        <v>40666</v>
      </c>
      <c r="X12995" t="s">
        <v>43187</v>
      </c>
    </row>
    <row r="12996" spans="1:24">
      <c r="A12996">
        <f>HYPERLINK("https://www.philgeps.gov.ph/GEPSNONPILOT/Tender/SplashBidNoticeAbstractUI.aspx?menuIndex=3&amp;refID=7049882&amp;Result=3","7049882")</f>
        <v>0</v>
      </c>
      <c r="B12996" t="s">
        <v>1300</v>
      </c>
      <c r="C12996" t="s">
        <v>15846</v>
      </c>
      <c r="D12996" t="s">
        <v>17439</v>
      </c>
      <c r="E12996" t="s">
        <v>28616</v>
      </c>
      <c r="F12996" t="s">
        <v>30052</v>
      </c>
      <c r="G12996" t="s">
        <v>30058</v>
      </c>
      <c r="H12996" t="s">
        <v>30069</v>
      </c>
      <c r="I12996" t="s">
        <v>30185</v>
      </c>
      <c r="J12996" t="s">
        <v>38095</v>
      </c>
      <c r="K12996" t="s">
        <v>39029</v>
      </c>
      <c r="M12996" t="s">
        <v>40666</v>
      </c>
      <c r="N12996" t="s">
        <v>43166</v>
      </c>
      <c r="O12996" t="s">
        <v>43167</v>
      </c>
      <c r="Q12996">
        <v>9</v>
      </c>
      <c r="R12996" t="s">
        <v>43186</v>
      </c>
      <c r="S12996" t="s">
        <v>43899</v>
      </c>
      <c r="T12996" t="s">
        <v>44685</v>
      </c>
      <c r="U12996" t="s">
        <v>48064</v>
      </c>
      <c r="V12996" t="s">
        <v>57256</v>
      </c>
      <c r="W12996" t="s">
        <v>40666</v>
      </c>
      <c r="X12996" t="s">
        <v>43187</v>
      </c>
    </row>
    <row r="12997" spans="1:24">
      <c r="A12997">
        <f>HYPERLINK("https://www.philgeps.gov.ph/GEPSNONPILOT/Tender/SplashBidNoticeAbstractUI.aspx?menuIndex=3&amp;refID=7049879&amp;Result=3","7049879")</f>
        <v>0</v>
      </c>
      <c r="B12997" t="s">
        <v>3320</v>
      </c>
      <c r="C12997" t="s">
        <v>15847</v>
      </c>
      <c r="D12997" t="s">
        <v>17477</v>
      </c>
      <c r="E12997" t="s">
        <v>28617</v>
      </c>
      <c r="F12997" t="s">
        <v>30052</v>
      </c>
      <c r="G12997" t="s">
        <v>30058</v>
      </c>
      <c r="H12997" t="s">
        <v>15498</v>
      </c>
      <c r="I12997" t="s">
        <v>3736</v>
      </c>
      <c r="J12997" t="s">
        <v>30337</v>
      </c>
      <c r="K12997" t="s">
        <v>39019</v>
      </c>
      <c r="M12997" t="s">
        <v>42961</v>
      </c>
      <c r="N12997" t="s">
        <v>43166</v>
      </c>
      <c r="O12997" t="s">
        <v>43167</v>
      </c>
      <c r="P12997">
        <v>0</v>
      </c>
      <c r="Q12997">
        <v>0</v>
      </c>
      <c r="R12997" t="s">
        <v>43186</v>
      </c>
      <c r="S12997" t="s">
        <v>44047</v>
      </c>
      <c r="T12997" t="s">
        <v>44685</v>
      </c>
      <c r="U12997" t="s">
        <v>55522</v>
      </c>
      <c r="W12997" t="s">
        <v>42961</v>
      </c>
      <c r="X12997" t="s">
        <v>43187</v>
      </c>
    </row>
    <row r="12998" spans="1:24">
      <c r="A12998">
        <f>HYPERLINK("https://www.philgeps.gov.ph/GEPSNONPILOT/Tender/SplashBidNoticeAbstractUI.aspx?menuIndex=3&amp;refID=7049864&amp;Result=3","7049864")</f>
        <v>0</v>
      </c>
      <c r="B12998" t="s">
        <v>3321</v>
      </c>
      <c r="C12998" t="s">
        <v>15848</v>
      </c>
      <c r="D12998" t="s">
        <v>17415</v>
      </c>
      <c r="E12998" t="s">
        <v>28618</v>
      </c>
      <c r="F12998" t="s">
        <v>30052</v>
      </c>
      <c r="G12998" t="s">
        <v>30065</v>
      </c>
      <c r="H12998" t="s">
        <v>15498</v>
      </c>
      <c r="I12998" t="s">
        <v>30100</v>
      </c>
      <c r="J12998" t="s">
        <v>30683</v>
      </c>
      <c r="K12998" t="s">
        <v>39067</v>
      </c>
      <c r="M12998" t="s">
        <v>42962</v>
      </c>
      <c r="N12998" t="s">
        <v>43166</v>
      </c>
      <c r="O12998" t="s">
        <v>43167</v>
      </c>
      <c r="Q12998">
        <v>9</v>
      </c>
      <c r="R12998" t="s">
        <v>43186</v>
      </c>
      <c r="S12998" t="s">
        <v>44071</v>
      </c>
      <c r="T12998" t="s">
        <v>44750</v>
      </c>
      <c r="U12998" t="s">
        <v>55523</v>
      </c>
      <c r="W12998" t="s">
        <v>42962</v>
      </c>
      <c r="X12998" t="s">
        <v>43187</v>
      </c>
    </row>
    <row r="12999" spans="1:24">
      <c r="A12999">
        <f>HYPERLINK("https://www.philgeps.gov.ph/GEPSNONPILOT/Tender/SplashBidNoticeAbstractUI.aspx?menuIndex=3&amp;refID=7049966&amp;Result=3","7049966")</f>
        <v>0</v>
      </c>
      <c r="B12999" t="s">
        <v>3318</v>
      </c>
      <c r="C12999" t="s">
        <v>15849</v>
      </c>
      <c r="D12999" t="s">
        <v>17488</v>
      </c>
      <c r="E12999" t="s">
        <v>28619</v>
      </c>
      <c r="F12999" t="s">
        <v>30052</v>
      </c>
      <c r="G12999" t="s">
        <v>30058</v>
      </c>
      <c r="H12999" t="s">
        <v>30067</v>
      </c>
      <c r="I12999" t="s">
        <v>3693</v>
      </c>
      <c r="J12999" t="s">
        <v>31732</v>
      </c>
      <c r="K12999" t="s">
        <v>39092</v>
      </c>
      <c r="M12999" t="s">
        <v>42959</v>
      </c>
      <c r="N12999" t="s">
        <v>43166</v>
      </c>
      <c r="O12999" t="s">
        <v>43167</v>
      </c>
      <c r="Q12999">
        <v>1</v>
      </c>
      <c r="R12999" t="s">
        <v>43186</v>
      </c>
      <c r="S12999" t="s">
        <v>44072</v>
      </c>
      <c r="T12999" t="s">
        <v>44773</v>
      </c>
      <c r="U12999" t="s">
        <v>55524</v>
      </c>
      <c r="W12999" t="s">
        <v>42959</v>
      </c>
      <c r="X12999" t="s">
        <v>43187</v>
      </c>
    </row>
    <row r="13000" spans="1:24">
      <c r="A13000">
        <f>HYPERLINK("https://www.philgeps.gov.ph/GEPSNONPILOT/Tender/SplashBidNoticeAbstractUI.aspx?menuIndex=3&amp;refID=7050060&amp;Result=3","7050060")</f>
        <v>0</v>
      </c>
      <c r="B13000" t="s">
        <v>746</v>
      </c>
      <c r="C13000" t="s">
        <v>15850</v>
      </c>
      <c r="D13000" t="s">
        <v>17421</v>
      </c>
      <c r="E13000" t="s">
        <v>21262</v>
      </c>
      <c r="F13000" t="s">
        <v>30052</v>
      </c>
      <c r="G13000" t="s">
        <v>30058</v>
      </c>
      <c r="H13000" t="s">
        <v>15498</v>
      </c>
      <c r="I13000" t="s">
        <v>30153</v>
      </c>
      <c r="J13000" t="s">
        <v>38096</v>
      </c>
      <c r="K13000" t="s">
        <v>39023</v>
      </c>
      <c r="M13000" t="s">
        <v>40060</v>
      </c>
      <c r="N13000" t="s">
        <v>43166</v>
      </c>
      <c r="O13000" t="s">
        <v>43167</v>
      </c>
      <c r="P13000">
        <v>0</v>
      </c>
      <c r="Q13000">
        <v>6</v>
      </c>
      <c r="R13000" t="s">
        <v>43186</v>
      </c>
      <c r="S13000" t="s">
        <v>44047</v>
      </c>
      <c r="T13000" t="s">
        <v>44696</v>
      </c>
      <c r="U13000" t="s">
        <v>55525</v>
      </c>
      <c r="W13000" t="s">
        <v>40060</v>
      </c>
      <c r="X13000" t="s">
        <v>43187</v>
      </c>
    </row>
    <row r="13001" spans="1:24">
      <c r="A13001">
        <f>HYPERLINK("https://www.philgeps.gov.ph/GEPSNONPILOT/Tender/SplashBidNoticeAbstractUI.aspx?menuIndex=3&amp;refID=7049923&amp;Result=3","7049923")</f>
        <v>0</v>
      </c>
      <c r="B13001" t="s">
        <v>450</v>
      </c>
      <c r="C13001" t="s">
        <v>15851</v>
      </c>
      <c r="D13001" t="s">
        <v>17467</v>
      </c>
      <c r="E13001" t="s">
        <v>28620</v>
      </c>
      <c r="F13001" t="s">
        <v>30052</v>
      </c>
      <c r="G13001" t="s">
        <v>30058</v>
      </c>
      <c r="H13001" t="s">
        <v>15498</v>
      </c>
      <c r="I13001" t="s">
        <v>30081</v>
      </c>
      <c r="J13001" t="s">
        <v>38097</v>
      </c>
      <c r="K13001" t="s">
        <v>39023</v>
      </c>
      <c r="M13001" t="s">
        <v>39750</v>
      </c>
      <c r="N13001" t="s">
        <v>43166</v>
      </c>
      <c r="O13001" t="s">
        <v>43167</v>
      </c>
      <c r="P13001">
        <v>0</v>
      </c>
      <c r="Q13001">
        <v>4</v>
      </c>
      <c r="R13001" t="s">
        <v>43186</v>
      </c>
      <c r="S13001" t="s">
        <v>44047</v>
      </c>
      <c r="T13001" t="s">
        <v>44733</v>
      </c>
      <c r="U13001" t="s">
        <v>55526</v>
      </c>
      <c r="W13001" t="s">
        <v>39750</v>
      </c>
      <c r="X13001" t="s">
        <v>43187</v>
      </c>
    </row>
    <row r="13002" spans="1:24">
      <c r="A13002">
        <f>HYPERLINK("https://www.philgeps.gov.ph/GEPSNONPILOT/Tender/SplashBidNoticeAbstractUI.aspx?menuIndex=3&amp;refID=7050139&amp;Result=3","7050139")</f>
        <v>0</v>
      </c>
      <c r="B13002" t="s">
        <v>202</v>
      </c>
      <c r="C13002" t="s">
        <v>15852</v>
      </c>
      <c r="D13002" t="s">
        <v>17461</v>
      </c>
      <c r="E13002" t="s">
        <v>28621</v>
      </c>
      <c r="F13002" t="s">
        <v>30052</v>
      </c>
      <c r="G13002" t="s">
        <v>30058</v>
      </c>
      <c r="H13002" t="s">
        <v>30067</v>
      </c>
      <c r="I13002" t="s">
        <v>3693</v>
      </c>
      <c r="J13002" t="s">
        <v>38098</v>
      </c>
      <c r="K13002" t="s">
        <v>39054</v>
      </c>
      <c r="M13002" t="s">
        <v>42091</v>
      </c>
      <c r="N13002" t="s">
        <v>43166</v>
      </c>
      <c r="O13002" t="s">
        <v>43167</v>
      </c>
      <c r="P13002">
        <v>0</v>
      </c>
      <c r="Q13002">
        <v>2</v>
      </c>
      <c r="R13002" t="s">
        <v>43186</v>
      </c>
      <c r="S13002" t="s">
        <v>44047</v>
      </c>
      <c r="T13002" t="s">
        <v>44678</v>
      </c>
      <c r="U13002" t="s">
        <v>55527</v>
      </c>
      <c r="W13002" t="s">
        <v>42091</v>
      </c>
      <c r="X13002" t="s">
        <v>43187</v>
      </c>
    </row>
    <row r="13003" spans="1:24">
      <c r="A13003">
        <f>HYPERLINK("https://www.philgeps.gov.ph/GEPSNONPILOT/Tender/SplashBidNoticeAbstractUI.aspx?menuIndex=3&amp;refID=7047698&amp;Result=3","7047698")</f>
        <v>0</v>
      </c>
      <c r="B13003" t="s">
        <v>3322</v>
      </c>
      <c r="C13003" t="s">
        <v>15853</v>
      </c>
      <c r="D13003" t="s">
        <v>17487</v>
      </c>
      <c r="E13003" t="s">
        <v>28622</v>
      </c>
      <c r="F13003" t="s">
        <v>30052</v>
      </c>
      <c r="G13003" t="s">
        <v>30058</v>
      </c>
      <c r="H13003" t="s">
        <v>30067</v>
      </c>
      <c r="I13003" t="s">
        <v>3693</v>
      </c>
      <c r="J13003" t="s">
        <v>38099</v>
      </c>
      <c r="K13003" t="s">
        <v>39031</v>
      </c>
      <c r="M13003" t="s">
        <v>42963</v>
      </c>
      <c r="N13003" t="s">
        <v>43166</v>
      </c>
      <c r="O13003" t="s">
        <v>43167</v>
      </c>
      <c r="P13003">
        <v>0</v>
      </c>
      <c r="Q13003">
        <v>1</v>
      </c>
      <c r="R13003" t="s">
        <v>43186</v>
      </c>
      <c r="S13003" t="s">
        <v>44047</v>
      </c>
      <c r="T13003" t="s">
        <v>44859</v>
      </c>
      <c r="U13003" t="s">
        <v>55528</v>
      </c>
      <c r="V13003" t="s">
        <v>58359</v>
      </c>
      <c r="W13003" t="s">
        <v>42963</v>
      </c>
      <c r="X13003" t="s">
        <v>43188</v>
      </c>
    </row>
    <row r="13004" spans="1:24">
      <c r="A13004">
        <f>HYPERLINK("https://www.philgeps.gov.ph/GEPSNONPILOT/Tender/SplashBidNoticeAbstractUI.aspx?menuIndex=3&amp;refID=7049901&amp;Result=3","7049901")</f>
        <v>0</v>
      </c>
      <c r="B13004" t="s">
        <v>3320</v>
      </c>
      <c r="C13004" t="s">
        <v>15854</v>
      </c>
      <c r="D13004" t="s">
        <v>17477</v>
      </c>
      <c r="E13004" t="s">
        <v>28623</v>
      </c>
      <c r="F13004" t="s">
        <v>30052</v>
      </c>
      <c r="G13004" t="s">
        <v>30058</v>
      </c>
      <c r="H13004" t="s">
        <v>15498</v>
      </c>
      <c r="I13004" t="s">
        <v>30073</v>
      </c>
      <c r="J13004" t="s">
        <v>30207</v>
      </c>
      <c r="K13004" t="s">
        <v>39019</v>
      </c>
      <c r="M13004" t="s">
        <v>42961</v>
      </c>
      <c r="N13004" t="s">
        <v>43166</v>
      </c>
      <c r="O13004" t="s">
        <v>43167</v>
      </c>
      <c r="P13004">
        <v>0</v>
      </c>
      <c r="Q13004">
        <v>0</v>
      </c>
      <c r="R13004" t="s">
        <v>43186</v>
      </c>
      <c r="S13004" t="s">
        <v>44047</v>
      </c>
      <c r="T13004" t="s">
        <v>44685</v>
      </c>
      <c r="U13004" t="s">
        <v>55529</v>
      </c>
      <c r="W13004" t="s">
        <v>42961</v>
      </c>
      <c r="X13004" t="s">
        <v>43187</v>
      </c>
    </row>
    <row r="13005" spans="1:24">
      <c r="A13005">
        <f>HYPERLINK("https://www.philgeps.gov.ph/GEPSNONPILOT/Tender/SplashBidNoticeAbstractUI.aspx?menuIndex=3&amp;refID=7047704&amp;Result=3","7047704")</f>
        <v>0</v>
      </c>
      <c r="B13005" t="s">
        <v>2914</v>
      </c>
      <c r="C13005" t="s">
        <v>15855</v>
      </c>
      <c r="D13005" t="s">
        <v>17448</v>
      </c>
      <c r="E13005" t="s">
        <v>28624</v>
      </c>
      <c r="F13005" t="s">
        <v>30052</v>
      </c>
      <c r="G13005" t="s">
        <v>30058</v>
      </c>
      <c r="H13005" t="s">
        <v>30067</v>
      </c>
      <c r="I13005" t="s">
        <v>3693</v>
      </c>
      <c r="J13005" t="s">
        <v>38100</v>
      </c>
      <c r="K13005" t="s">
        <v>39023</v>
      </c>
      <c r="M13005" t="s">
        <v>42473</v>
      </c>
      <c r="N13005" t="s">
        <v>43166</v>
      </c>
      <c r="O13005" t="s">
        <v>43167</v>
      </c>
      <c r="P13005">
        <v>0</v>
      </c>
      <c r="Q13005">
        <v>0</v>
      </c>
      <c r="R13005" t="s">
        <v>43186</v>
      </c>
      <c r="S13005" t="s">
        <v>44047</v>
      </c>
      <c r="T13005" t="s">
        <v>44841</v>
      </c>
      <c r="U13005" t="s">
        <v>55530</v>
      </c>
      <c r="W13005" t="s">
        <v>42473</v>
      </c>
      <c r="X13005" t="s">
        <v>43188</v>
      </c>
    </row>
    <row r="13006" spans="1:24">
      <c r="A13006">
        <f>HYPERLINK("https://www.philgeps.gov.ph/GEPSNONPILOT/Tender/SplashBidNoticeAbstractUI.aspx?menuIndex=3&amp;refID=7048316&amp;Result=3","7048316")</f>
        <v>0</v>
      </c>
      <c r="B13006" t="s">
        <v>3128</v>
      </c>
      <c r="C13006" t="s">
        <v>15856</v>
      </c>
      <c r="D13006" t="s">
        <v>17446</v>
      </c>
      <c r="E13006" t="s">
        <v>28625</v>
      </c>
      <c r="F13006" t="s">
        <v>30052</v>
      </c>
      <c r="G13006" t="s">
        <v>30058</v>
      </c>
      <c r="H13006" t="s">
        <v>15498</v>
      </c>
      <c r="I13006" t="s">
        <v>9238</v>
      </c>
      <c r="J13006" t="s">
        <v>38101</v>
      </c>
      <c r="K13006" t="s">
        <v>39025</v>
      </c>
      <c r="M13006" t="s">
        <v>42728</v>
      </c>
      <c r="N13006" t="s">
        <v>43166</v>
      </c>
      <c r="O13006" t="s">
        <v>43167</v>
      </c>
      <c r="Q13006">
        <v>38</v>
      </c>
      <c r="R13006" t="s">
        <v>43186</v>
      </c>
      <c r="S13006" t="s">
        <v>44013</v>
      </c>
      <c r="T13006" t="s">
        <v>44704</v>
      </c>
      <c r="U13006" t="s">
        <v>55531</v>
      </c>
      <c r="W13006" t="s">
        <v>42728</v>
      </c>
      <c r="X13006" t="s">
        <v>43188</v>
      </c>
    </row>
    <row r="13007" spans="1:24">
      <c r="A13007">
        <f>HYPERLINK("https://www.philgeps.gov.ph/GEPSNONPILOT/Tender/SplashBidNoticeAbstractUI.aspx?menuIndex=3&amp;refID=7050121&amp;Result=3","7050121")</f>
        <v>0</v>
      </c>
      <c r="B13007" t="s">
        <v>937</v>
      </c>
      <c r="C13007" t="s">
        <v>15857</v>
      </c>
      <c r="D13007" t="s">
        <v>17428</v>
      </c>
      <c r="E13007" t="s">
        <v>28626</v>
      </c>
      <c r="F13007" t="s">
        <v>30052</v>
      </c>
      <c r="G13007" t="s">
        <v>30058</v>
      </c>
      <c r="H13007" t="s">
        <v>15498</v>
      </c>
      <c r="I13007" t="s">
        <v>3606</v>
      </c>
      <c r="J13007" t="s">
        <v>38102</v>
      </c>
      <c r="K13007" t="s">
        <v>39019</v>
      </c>
      <c r="M13007" t="s">
        <v>40261</v>
      </c>
      <c r="N13007" t="s">
        <v>43166</v>
      </c>
      <c r="O13007" t="s">
        <v>43167</v>
      </c>
      <c r="Q13007">
        <v>5</v>
      </c>
      <c r="R13007" t="s">
        <v>43186</v>
      </c>
      <c r="S13007" t="s">
        <v>43791</v>
      </c>
      <c r="T13007" t="s">
        <v>44733</v>
      </c>
      <c r="U13007" t="s">
        <v>55532</v>
      </c>
      <c r="W13007" t="s">
        <v>40261</v>
      </c>
      <c r="X13007" t="s">
        <v>43187</v>
      </c>
    </row>
    <row r="13008" spans="1:24">
      <c r="A13008">
        <f>HYPERLINK("https://www.philgeps.gov.ph/GEPSNONPILOT/Tender/SplashBidNoticeAbstractUI.aspx?menuIndex=3&amp;refID=7050086&amp;Result=3","7050086")</f>
        <v>0</v>
      </c>
      <c r="B13008" t="s">
        <v>3215</v>
      </c>
      <c r="C13008" t="s">
        <v>15858</v>
      </c>
      <c r="D13008" t="s">
        <v>17441</v>
      </c>
      <c r="E13008" t="s">
        <v>28627</v>
      </c>
      <c r="F13008" t="s">
        <v>30052</v>
      </c>
      <c r="G13008" t="s">
        <v>30058</v>
      </c>
      <c r="H13008" t="s">
        <v>15498</v>
      </c>
      <c r="I13008" t="s">
        <v>30096</v>
      </c>
      <c r="J13008" t="s">
        <v>38103</v>
      </c>
      <c r="K13008" t="s">
        <v>39025</v>
      </c>
      <c r="M13008" t="s">
        <v>42838</v>
      </c>
      <c r="N13008" t="s">
        <v>43166</v>
      </c>
      <c r="O13008" t="s">
        <v>43167</v>
      </c>
      <c r="Q13008">
        <v>11</v>
      </c>
      <c r="R13008" t="s">
        <v>43186</v>
      </c>
      <c r="S13008" t="s">
        <v>44073</v>
      </c>
      <c r="T13008" t="s">
        <v>44828</v>
      </c>
      <c r="U13008" t="s">
        <v>55533</v>
      </c>
      <c r="V13008" t="s">
        <v>58262</v>
      </c>
      <c r="W13008" t="s">
        <v>42838</v>
      </c>
      <c r="X13008" t="s">
        <v>43187</v>
      </c>
    </row>
    <row r="13009" spans="1:24">
      <c r="A13009">
        <f>HYPERLINK("https://www.philgeps.gov.ph/GEPSNONPILOT/Tender/SplashBidNoticeAbstractUI.aspx?menuIndex=3&amp;refID=7050080&amp;Result=3","7050080")</f>
        <v>0</v>
      </c>
      <c r="B13009" t="s">
        <v>1790</v>
      </c>
      <c r="C13009" t="s">
        <v>15859</v>
      </c>
      <c r="D13009" t="s">
        <v>17431</v>
      </c>
      <c r="E13009" t="s">
        <v>28628</v>
      </c>
      <c r="F13009" t="s">
        <v>30052</v>
      </c>
      <c r="G13009" t="s">
        <v>30058</v>
      </c>
      <c r="H13009" t="s">
        <v>30067</v>
      </c>
      <c r="I13009" t="s">
        <v>3693</v>
      </c>
      <c r="J13009" t="s">
        <v>38104</v>
      </c>
      <c r="K13009" t="s">
        <v>39031</v>
      </c>
      <c r="M13009" t="s">
        <v>41212</v>
      </c>
      <c r="N13009" t="s">
        <v>43166</v>
      </c>
      <c r="O13009" t="s">
        <v>43167</v>
      </c>
      <c r="P13009">
        <v>0</v>
      </c>
      <c r="Q13009">
        <v>2</v>
      </c>
      <c r="R13009" t="s">
        <v>43186</v>
      </c>
      <c r="S13009" t="s">
        <v>44047</v>
      </c>
      <c r="T13009" t="s">
        <v>44698</v>
      </c>
      <c r="U13009" t="s">
        <v>55534</v>
      </c>
      <c r="W13009" t="s">
        <v>41212</v>
      </c>
      <c r="X13009" t="s">
        <v>43187</v>
      </c>
    </row>
    <row r="13010" spans="1:24">
      <c r="A13010">
        <f>HYPERLINK("https://www.philgeps.gov.ph/GEPSNONPILOT/Tender/SplashBidNoticeAbstractUI.aspx?menuIndex=3&amp;refID=7050120&amp;Result=3","7050120")</f>
        <v>0</v>
      </c>
      <c r="B13010" t="s">
        <v>1790</v>
      </c>
      <c r="C13010" t="s">
        <v>15860</v>
      </c>
      <c r="D13010" t="s">
        <v>17431</v>
      </c>
      <c r="E13010" t="s">
        <v>28629</v>
      </c>
      <c r="F13010" t="s">
        <v>30052</v>
      </c>
      <c r="G13010" t="s">
        <v>30058</v>
      </c>
      <c r="H13010" t="s">
        <v>30067</v>
      </c>
      <c r="I13010" t="s">
        <v>3693</v>
      </c>
      <c r="J13010" t="s">
        <v>38105</v>
      </c>
      <c r="K13010" t="s">
        <v>39023</v>
      </c>
      <c r="M13010" t="s">
        <v>41212</v>
      </c>
      <c r="N13010" t="s">
        <v>43166</v>
      </c>
      <c r="O13010" t="s">
        <v>43167</v>
      </c>
      <c r="P13010">
        <v>0</v>
      </c>
      <c r="Q13010">
        <v>2</v>
      </c>
      <c r="R13010" t="s">
        <v>43186</v>
      </c>
      <c r="S13010" t="s">
        <v>44047</v>
      </c>
      <c r="T13010" t="s">
        <v>44698</v>
      </c>
      <c r="U13010" t="s">
        <v>55534</v>
      </c>
      <c r="W13010" t="s">
        <v>41212</v>
      </c>
      <c r="X13010" t="s">
        <v>43187</v>
      </c>
    </row>
    <row r="13011" spans="1:24">
      <c r="A13011">
        <f>HYPERLINK("https://www.philgeps.gov.ph/GEPSNONPILOT/Tender/SplashBidNoticeAbstractUI.aspx?menuIndex=3&amp;refID=7050041&amp;Result=3","7050041")</f>
        <v>0</v>
      </c>
      <c r="B13011" t="s">
        <v>3215</v>
      </c>
      <c r="C13011" t="s">
        <v>15861</v>
      </c>
      <c r="D13011" t="s">
        <v>17441</v>
      </c>
      <c r="E13011" t="s">
        <v>28630</v>
      </c>
      <c r="F13011" t="s">
        <v>30052</v>
      </c>
      <c r="G13011" t="s">
        <v>30058</v>
      </c>
      <c r="H13011" t="s">
        <v>15498</v>
      </c>
      <c r="I13011" t="s">
        <v>9238</v>
      </c>
      <c r="J13011" t="s">
        <v>33111</v>
      </c>
      <c r="K13011" t="s">
        <v>39025</v>
      </c>
      <c r="M13011" t="s">
        <v>42838</v>
      </c>
      <c r="N13011" t="s">
        <v>43166</v>
      </c>
      <c r="O13011" t="s">
        <v>43167</v>
      </c>
      <c r="Q13011">
        <v>16</v>
      </c>
      <c r="R13011" t="s">
        <v>43186</v>
      </c>
      <c r="S13011" t="s">
        <v>44074</v>
      </c>
      <c r="T13011" t="s">
        <v>45021</v>
      </c>
      <c r="U13011" t="s">
        <v>55535</v>
      </c>
      <c r="V13011" t="s">
        <v>58360</v>
      </c>
      <c r="W13011" t="s">
        <v>42838</v>
      </c>
      <c r="X13011" t="s">
        <v>43187</v>
      </c>
    </row>
    <row r="13012" spans="1:24">
      <c r="A13012">
        <f>HYPERLINK("https://www.philgeps.gov.ph/GEPSNONPILOT/Tender/SplashBidNoticeAbstractUI.aspx?menuIndex=3&amp;refID=7050039&amp;Result=3","7050039")</f>
        <v>0</v>
      </c>
      <c r="B13012" t="s">
        <v>39</v>
      </c>
      <c r="C13012" t="s">
        <v>15862</v>
      </c>
      <c r="D13012" t="s">
        <v>17419</v>
      </c>
      <c r="E13012" t="s">
        <v>28631</v>
      </c>
      <c r="F13012" t="s">
        <v>30052</v>
      </c>
      <c r="G13012" t="s">
        <v>30058</v>
      </c>
      <c r="H13012" t="s">
        <v>30067</v>
      </c>
      <c r="I13012" t="s">
        <v>3693</v>
      </c>
      <c r="J13012" t="s">
        <v>38106</v>
      </c>
      <c r="K13012" t="s">
        <v>39020</v>
      </c>
      <c r="M13012" t="s">
        <v>39329</v>
      </c>
      <c r="N13012" t="s">
        <v>43166</v>
      </c>
      <c r="O13012" t="s">
        <v>43167</v>
      </c>
      <c r="Q13012">
        <v>1</v>
      </c>
      <c r="R13012" t="s">
        <v>43186</v>
      </c>
      <c r="S13012" t="s">
        <v>44075</v>
      </c>
      <c r="T13012" t="s">
        <v>44696</v>
      </c>
      <c r="U13012" t="s">
        <v>55536</v>
      </c>
      <c r="W13012" t="s">
        <v>39329</v>
      </c>
      <c r="X13012" t="s">
        <v>43187</v>
      </c>
    </row>
    <row r="13013" spans="1:24">
      <c r="A13013">
        <f>HYPERLINK("https://www.philgeps.gov.ph/GEPSNONPILOT/Tender/SplashBidNoticeAbstractUI.aspx?menuIndex=3&amp;refID=7050107&amp;Result=3","7050107")</f>
        <v>0</v>
      </c>
      <c r="B13013" t="s">
        <v>202</v>
      </c>
      <c r="C13013" t="s">
        <v>15863</v>
      </c>
      <c r="D13013" t="s">
        <v>17461</v>
      </c>
      <c r="E13013" t="s">
        <v>28632</v>
      </c>
      <c r="F13013" t="s">
        <v>30052</v>
      </c>
      <c r="G13013" t="s">
        <v>30058</v>
      </c>
      <c r="H13013" t="s">
        <v>30067</v>
      </c>
      <c r="I13013" t="s">
        <v>3693</v>
      </c>
      <c r="J13013" t="s">
        <v>38107</v>
      </c>
      <c r="K13013" t="s">
        <v>39080</v>
      </c>
      <c r="M13013" t="s">
        <v>42091</v>
      </c>
      <c r="N13013" t="s">
        <v>43166</v>
      </c>
      <c r="O13013" t="s">
        <v>43167</v>
      </c>
      <c r="P13013">
        <v>0</v>
      </c>
      <c r="Q13013">
        <v>0</v>
      </c>
      <c r="R13013" t="s">
        <v>43186</v>
      </c>
      <c r="S13013" t="s">
        <v>44047</v>
      </c>
      <c r="T13013" t="s">
        <v>44678</v>
      </c>
      <c r="U13013" t="s">
        <v>55537</v>
      </c>
      <c r="W13013" t="s">
        <v>42091</v>
      </c>
      <c r="X13013" t="s">
        <v>43187</v>
      </c>
    </row>
    <row r="13014" spans="1:24">
      <c r="A13014">
        <f>HYPERLINK("https://www.philgeps.gov.ph/GEPSNONPILOT/Tender/SplashBidNoticeAbstractUI.aspx?menuIndex=3&amp;refID=7050138&amp;Result=3","7050138")</f>
        <v>0</v>
      </c>
      <c r="B13014" t="s">
        <v>701</v>
      </c>
      <c r="C13014" t="s">
        <v>15864</v>
      </c>
      <c r="D13014" t="s">
        <v>17419</v>
      </c>
      <c r="E13014" t="s">
        <v>28633</v>
      </c>
      <c r="F13014" t="s">
        <v>30052</v>
      </c>
      <c r="G13014" t="s">
        <v>30058</v>
      </c>
      <c r="H13014" t="s">
        <v>30067</v>
      </c>
      <c r="I13014" t="s">
        <v>3693</v>
      </c>
      <c r="J13014" t="s">
        <v>38108</v>
      </c>
      <c r="K13014" t="s">
        <v>39025</v>
      </c>
      <c r="M13014" t="s">
        <v>40858</v>
      </c>
      <c r="N13014" t="s">
        <v>43166</v>
      </c>
      <c r="O13014" t="s">
        <v>43167</v>
      </c>
      <c r="P13014">
        <v>0</v>
      </c>
      <c r="Q13014">
        <v>0</v>
      </c>
      <c r="R13014" t="s">
        <v>43186</v>
      </c>
      <c r="S13014" t="s">
        <v>44047</v>
      </c>
      <c r="T13014" t="s">
        <v>44717</v>
      </c>
      <c r="U13014" t="s">
        <v>55538</v>
      </c>
      <c r="W13014" t="s">
        <v>40858</v>
      </c>
      <c r="X13014" t="s">
        <v>43187</v>
      </c>
    </row>
    <row r="13015" spans="1:24">
      <c r="A13015">
        <f>HYPERLINK("https://www.philgeps.gov.ph/GEPSNONPILOT/Tender/SplashBidNoticeAbstractUI.aspx?menuIndex=3&amp;refID=7050427&amp;Result=3","7050427")</f>
        <v>0</v>
      </c>
      <c r="B13015" t="s">
        <v>3323</v>
      </c>
      <c r="C13015" t="s">
        <v>15865</v>
      </c>
      <c r="D13015" t="s">
        <v>17445</v>
      </c>
      <c r="E13015" t="s">
        <v>28634</v>
      </c>
      <c r="F13015" t="s">
        <v>30052</v>
      </c>
      <c r="G13015" t="s">
        <v>30058</v>
      </c>
      <c r="H13015" t="s">
        <v>15498</v>
      </c>
      <c r="I13015" t="s">
        <v>3736</v>
      </c>
      <c r="J13015" t="s">
        <v>38109</v>
      </c>
      <c r="K13015" t="s">
        <v>39029</v>
      </c>
      <c r="M13015" t="s">
        <v>42964</v>
      </c>
      <c r="N13015" t="s">
        <v>43166</v>
      </c>
      <c r="O13015" t="s">
        <v>43167</v>
      </c>
      <c r="P13015">
        <v>0</v>
      </c>
      <c r="Q13015">
        <v>2</v>
      </c>
      <c r="R13015" t="s">
        <v>43186</v>
      </c>
      <c r="S13015" t="s">
        <v>44047</v>
      </c>
      <c r="T13015" t="s">
        <v>44724</v>
      </c>
      <c r="U13015" t="s">
        <v>55539</v>
      </c>
      <c r="W13015" t="s">
        <v>42964</v>
      </c>
      <c r="X13015" t="s">
        <v>43187</v>
      </c>
    </row>
    <row r="13016" spans="1:24">
      <c r="A13016">
        <f>HYPERLINK("https://www.philgeps.gov.ph/GEPSNONPILOT/Tender/SplashBidNoticeAbstractUI.aspx?menuIndex=3&amp;refID=7050418&amp;Result=3","7050418")</f>
        <v>0</v>
      </c>
      <c r="B13016" t="s">
        <v>3324</v>
      </c>
      <c r="C13016" t="s">
        <v>15866</v>
      </c>
      <c r="D13016" t="s">
        <v>17413</v>
      </c>
      <c r="E13016" t="s">
        <v>24978</v>
      </c>
      <c r="F13016" t="s">
        <v>30052</v>
      </c>
      <c r="G13016" t="s">
        <v>30058</v>
      </c>
      <c r="H13016" t="s">
        <v>15498</v>
      </c>
      <c r="I13016" t="s">
        <v>30070</v>
      </c>
      <c r="J13016" t="s">
        <v>38110</v>
      </c>
      <c r="K13016" t="s">
        <v>39017</v>
      </c>
      <c r="M13016" t="s">
        <v>42965</v>
      </c>
      <c r="N13016" t="s">
        <v>43166</v>
      </c>
      <c r="O13016" t="s">
        <v>43167</v>
      </c>
      <c r="P13016">
        <v>0</v>
      </c>
      <c r="Q13016">
        <v>3</v>
      </c>
      <c r="R13016" t="s">
        <v>43186</v>
      </c>
      <c r="S13016" t="s">
        <v>44047</v>
      </c>
      <c r="T13016" t="s">
        <v>44773</v>
      </c>
      <c r="U13016" t="s">
        <v>55540</v>
      </c>
      <c r="W13016" t="s">
        <v>42965</v>
      </c>
      <c r="X13016" t="s">
        <v>43187</v>
      </c>
    </row>
    <row r="13017" spans="1:24">
      <c r="A13017">
        <f>HYPERLINK("https://www.philgeps.gov.ph/GEPSNONPILOT/Tender/SplashBidNoticeAbstractUI.aspx?menuIndex=3&amp;refID=7055560&amp;Result=3","7055560")</f>
        <v>0</v>
      </c>
      <c r="B13017" t="s">
        <v>3297</v>
      </c>
      <c r="C13017" t="s">
        <v>15867</v>
      </c>
      <c r="D13017" t="s">
        <v>17453</v>
      </c>
      <c r="E13017" t="s">
        <v>28635</v>
      </c>
      <c r="F13017" t="s">
        <v>30052</v>
      </c>
      <c r="G13017" t="s">
        <v>30058</v>
      </c>
      <c r="H13017" t="s">
        <v>30067</v>
      </c>
      <c r="I13017" t="s">
        <v>3693</v>
      </c>
      <c r="J13017" t="s">
        <v>30281</v>
      </c>
      <c r="K13017" t="s">
        <v>39025</v>
      </c>
      <c r="M13017" t="s">
        <v>42932</v>
      </c>
      <c r="N13017" t="s">
        <v>43166</v>
      </c>
      <c r="O13017" t="s">
        <v>43167</v>
      </c>
      <c r="P13017">
        <v>0</v>
      </c>
      <c r="Q13017">
        <v>0</v>
      </c>
      <c r="R13017" t="s">
        <v>43185</v>
      </c>
      <c r="S13017" t="s">
        <v>43930</v>
      </c>
      <c r="T13017" t="s">
        <v>44808</v>
      </c>
      <c r="U13017" t="s">
        <v>55541</v>
      </c>
      <c r="V13017" t="s">
        <v>58322</v>
      </c>
      <c r="W13017" t="s">
        <v>58709</v>
      </c>
      <c r="X13017" t="s">
        <v>43186</v>
      </c>
    </row>
    <row r="13018" spans="1:24">
      <c r="A13018">
        <f>HYPERLINK("https://www.philgeps.gov.ph/GEPSNONPILOT/Tender/SplashBidNoticeAbstractUI.aspx?menuIndex=3&amp;refID=7050017&amp;Result=3","7050017")</f>
        <v>0</v>
      </c>
      <c r="B13018" t="s">
        <v>1745</v>
      </c>
      <c r="C13018" t="s">
        <v>15868</v>
      </c>
      <c r="D13018" t="s">
        <v>17415</v>
      </c>
      <c r="E13018" t="s">
        <v>28636</v>
      </c>
      <c r="F13018" t="s">
        <v>30052</v>
      </c>
      <c r="G13018" t="s">
        <v>30058</v>
      </c>
      <c r="H13018" t="s">
        <v>15498</v>
      </c>
      <c r="I13018" t="s">
        <v>30074</v>
      </c>
      <c r="J13018" t="s">
        <v>36670</v>
      </c>
      <c r="K13018" t="s">
        <v>39029</v>
      </c>
      <c r="M13018" t="s">
        <v>41164</v>
      </c>
      <c r="N13018" t="s">
        <v>43166</v>
      </c>
      <c r="O13018" t="s">
        <v>43167</v>
      </c>
      <c r="P13018">
        <v>0</v>
      </c>
      <c r="Q13018">
        <v>11</v>
      </c>
      <c r="R13018" t="s">
        <v>43186</v>
      </c>
      <c r="S13018" t="s">
        <v>44047</v>
      </c>
      <c r="T13018" t="s">
        <v>44832</v>
      </c>
      <c r="U13018" t="s">
        <v>55542</v>
      </c>
      <c r="W13018" t="s">
        <v>41164</v>
      </c>
      <c r="X13018" t="s">
        <v>43187</v>
      </c>
    </row>
    <row r="13019" spans="1:24">
      <c r="A13019">
        <f>HYPERLINK("https://www.philgeps.gov.ph/GEPSNONPILOT/Tender/SplashBidNoticeAbstractUI.aspx?menuIndex=3&amp;refID=7050110&amp;Result=3","7050110")</f>
        <v>0</v>
      </c>
      <c r="B13019" t="s">
        <v>3215</v>
      </c>
      <c r="C13019" t="s">
        <v>15869</v>
      </c>
      <c r="D13019" t="s">
        <v>17441</v>
      </c>
      <c r="E13019" t="s">
        <v>28637</v>
      </c>
      <c r="F13019" t="s">
        <v>30052</v>
      </c>
      <c r="G13019" t="s">
        <v>30058</v>
      </c>
      <c r="H13019" t="s">
        <v>15498</v>
      </c>
      <c r="I13019" t="s">
        <v>9238</v>
      </c>
      <c r="J13019" t="s">
        <v>30222</v>
      </c>
      <c r="K13019" t="s">
        <v>39025</v>
      </c>
      <c r="M13019" t="s">
        <v>42838</v>
      </c>
      <c r="N13019" t="s">
        <v>43166</v>
      </c>
      <c r="O13019" t="s">
        <v>43167</v>
      </c>
      <c r="Q13019">
        <v>10</v>
      </c>
      <c r="R13019" t="s">
        <v>43186</v>
      </c>
      <c r="S13019" t="s">
        <v>44076</v>
      </c>
      <c r="T13019" t="s">
        <v>45021</v>
      </c>
      <c r="U13019" t="s">
        <v>55543</v>
      </c>
      <c r="V13019" t="s">
        <v>58175</v>
      </c>
      <c r="W13019" t="s">
        <v>42838</v>
      </c>
      <c r="X13019" t="s">
        <v>43187</v>
      </c>
    </row>
    <row r="13020" spans="1:24">
      <c r="A13020">
        <f>HYPERLINK("https://www.philgeps.gov.ph/GEPSNONPILOT/Tender/SplashBidNoticeAbstractUI.aspx?menuIndex=3&amp;refID=7050303&amp;Result=3","7050303")</f>
        <v>0</v>
      </c>
      <c r="B13020" t="s">
        <v>450</v>
      </c>
      <c r="C13020" t="s">
        <v>15870</v>
      </c>
      <c r="D13020" t="s">
        <v>17467</v>
      </c>
      <c r="E13020" t="s">
        <v>28638</v>
      </c>
      <c r="F13020" t="s">
        <v>30052</v>
      </c>
      <c r="G13020" t="s">
        <v>30058</v>
      </c>
      <c r="H13020" t="s">
        <v>30067</v>
      </c>
      <c r="I13020" t="s">
        <v>3693</v>
      </c>
      <c r="J13020" t="s">
        <v>38111</v>
      </c>
      <c r="K13020" t="s">
        <v>39031</v>
      </c>
      <c r="M13020" t="s">
        <v>39750</v>
      </c>
      <c r="N13020" t="s">
        <v>43166</v>
      </c>
      <c r="O13020" t="s">
        <v>43167</v>
      </c>
      <c r="P13020">
        <v>0</v>
      </c>
      <c r="Q13020">
        <v>1</v>
      </c>
      <c r="R13020" t="s">
        <v>43186</v>
      </c>
      <c r="S13020" t="s">
        <v>44047</v>
      </c>
      <c r="T13020" t="s">
        <v>44733</v>
      </c>
      <c r="U13020" t="s">
        <v>55544</v>
      </c>
      <c r="W13020" t="s">
        <v>39750</v>
      </c>
      <c r="X13020" t="s">
        <v>43187</v>
      </c>
    </row>
    <row r="13021" spans="1:24">
      <c r="A13021">
        <f>HYPERLINK("https://www.philgeps.gov.ph/GEPSNONPILOT/Tender/SplashBidNoticeAbstractUI.aspx?menuIndex=3&amp;refID=7050030&amp;Result=3","7050030")</f>
        <v>0</v>
      </c>
      <c r="B13021" t="s">
        <v>1745</v>
      </c>
      <c r="C13021" t="s">
        <v>15871</v>
      </c>
      <c r="D13021" t="s">
        <v>17415</v>
      </c>
      <c r="E13021" t="s">
        <v>28639</v>
      </c>
      <c r="F13021" t="s">
        <v>30052</v>
      </c>
      <c r="G13021" t="s">
        <v>30058</v>
      </c>
      <c r="H13021" t="s">
        <v>15498</v>
      </c>
      <c r="I13021" t="s">
        <v>30074</v>
      </c>
      <c r="J13021" t="s">
        <v>38112</v>
      </c>
      <c r="K13021" t="s">
        <v>39029</v>
      </c>
      <c r="M13021" t="s">
        <v>41164</v>
      </c>
      <c r="N13021" t="s">
        <v>43166</v>
      </c>
      <c r="O13021" t="s">
        <v>43167</v>
      </c>
      <c r="P13021">
        <v>0</v>
      </c>
      <c r="Q13021">
        <v>13</v>
      </c>
      <c r="R13021" t="s">
        <v>43186</v>
      </c>
      <c r="S13021" t="s">
        <v>44047</v>
      </c>
      <c r="T13021" t="s">
        <v>44832</v>
      </c>
      <c r="U13021" t="s">
        <v>55545</v>
      </c>
      <c r="W13021" t="s">
        <v>41164</v>
      </c>
      <c r="X13021" t="s">
        <v>43187</v>
      </c>
    </row>
    <row r="13022" spans="1:24">
      <c r="A13022">
        <f>HYPERLINK("https://www.philgeps.gov.ph/GEPSNONPILOT/Tender/SplashBidNoticeAbstractUI.aspx?menuIndex=3&amp;refID=7050398&amp;Result=3","7050398")</f>
        <v>0</v>
      </c>
      <c r="B13022" t="s">
        <v>3325</v>
      </c>
      <c r="C13022" t="s">
        <v>15872</v>
      </c>
      <c r="D13022" t="s">
        <v>17435</v>
      </c>
      <c r="E13022" t="s">
        <v>17667</v>
      </c>
      <c r="F13022" t="s">
        <v>30052</v>
      </c>
      <c r="G13022" t="s">
        <v>30058</v>
      </c>
      <c r="H13022" t="s">
        <v>15498</v>
      </c>
      <c r="I13022" t="s">
        <v>3736</v>
      </c>
      <c r="J13022" t="s">
        <v>38113</v>
      </c>
      <c r="K13022" t="s">
        <v>39029</v>
      </c>
      <c r="M13022" t="s">
        <v>42966</v>
      </c>
      <c r="N13022" t="s">
        <v>43166</v>
      </c>
      <c r="O13022" t="s">
        <v>43167</v>
      </c>
      <c r="P13022">
        <v>0</v>
      </c>
      <c r="Q13022">
        <v>1</v>
      </c>
      <c r="R13022" t="s">
        <v>43186</v>
      </c>
      <c r="S13022" t="s">
        <v>44047</v>
      </c>
      <c r="T13022" t="s">
        <v>44689</v>
      </c>
      <c r="U13022" t="s">
        <v>55546</v>
      </c>
      <c r="W13022" t="s">
        <v>42966</v>
      </c>
      <c r="X13022" t="s">
        <v>43187</v>
      </c>
    </row>
    <row r="13023" spans="1:24">
      <c r="A13023">
        <f>HYPERLINK("https://www.philgeps.gov.ph/GEPSNONPILOT/Tender/SplashBidNoticeAbstractUI.aspx?menuIndex=3&amp;refID=7050390&amp;Result=3","7050390")</f>
        <v>0</v>
      </c>
      <c r="B13023" t="s">
        <v>450</v>
      </c>
      <c r="C13023" t="s">
        <v>15873</v>
      </c>
      <c r="D13023" t="s">
        <v>17467</v>
      </c>
      <c r="E13023" t="s">
        <v>28640</v>
      </c>
      <c r="F13023" t="s">
        <v>30052</v>
      </c>
      <c r="G13023" t="s">
        <v>30058</v>
      </c>
      <c r="H13023" t="s">
        <v>30067</v>
      </c>
      <c r="I13023" t="s">
        <v>3693</v>
      </c>
      <c r="J13023" t="s">
        <v>38114</v>
      </c>
      <c r="K13023" t="s">
        <v>39023</v>
      </c>
      <c r="M13023" t="s">
        <v>39750</v>
      </c>
      <c r="N13023" t="s">
        <v>43166</v>
      </c>
      <c r="O13023" t="s">
        <v>43167</v>
      </c>
      <c r="P13023">
        <v>0</v>
      </c>
      <c r="Q13023">
        <v>0</v>
      </c>
      <c r="R13023" t="s">
        <v>43186</v>
      </c>
      <c r="S13023" t="s">
        <v>44047</v>
      </c>
      <c r="T13023" t="s">
        <v>44733</v>
      </c>
      <c r="U13023" t="s">
        <v>55547</v>
      </c>
      <c r="W13023" t="s">
        <v>39750</v>
      </c>
      <c r="X13023" t="s">
        <v>43187</v>
      </c>
    </row>
    <row r="13024" spans="1:24">
      <c r="A13024">
        <f>HYPERLINK("https://www.philgeps.gov.ph/GEPSNONPILOT/Tender/SplashBidNoticeAbstractUI.aspx?menuIndex=3&amp;refID=7050101&amp;Result=3","7050101")</f>
        <v>0</v>
      </c>
      <c r="B13024" t="s">
        <v>1790</v>
      </c>
      <c r="C13024" t="s">
        <v>15874</v>
      </c>
      <c r="D13024" t="s">
        <v>17431</v>
      </c>
      <c r="E13024" t="s">
        <v>28641</v>
      </c>
      <c r="F13024" t="s">
        <v>30052</v>
      </c>
      <c r="G13024" t="s">
        <v>30058</v>
      </c>
      <c r="H13024" t="s">
        <v>30067</v>
      </c>
      <c r="I13024" t="s">
        <v>3693</v>
      </c>
      <c r="J13024" t="s">
        <v>38115</v>
      </c>
      <c r="K13024" t="s">
        <v>39023</v>
      </c>
      <c r="M13024" t="s">
        <v>41212</v>
      </c>
      <c r="N13024" t="s">
        <v>43166</v>
      </c>
      <c r="O13024" t="s">
        <v>43167</v>
      </c>
      <c r="P13024">
        <v>0</v>
      </c>
      <c r="Q13024">
        <v>2</v>
      </c>
      <c r="R13024" t="s">
        <v>43186</v>
      </c>
      <c r="S13024" t="s">
        <v>44047</v>
      </c>
      <c r="T13024" t="s">
        <v>44698</v>
      </c>
      <c r="U13024" t="s">
        <v>55534</v>
      </c>
      <c r="W13024" t="s">
        <v>41212</v>
      </c>
      <c r="X13024" t="s">
        <v>43187</v>
      </c>
    </row>
    <row r="13025" spans="1:24">
      <c r="A13025">
        <f>HYPERLINK("https://www.philgeps.gov.ph/GEPSNONPILOT/Tender/SplashBidNoticeAbstractUI.aspx?menuIndex=3&amp;refID=7050278&amp;Result=3","7050278")</f>
        <v>0</v>
      </c>
      <c r="B13025" t="s">
        <v>1339</v>
      </c>
      <c r="C13025" t="s">
        <v>15875</v>
      </c>
      <c r="D13025" t="s">
        <v>17474</v>
      </c>
      <c r="E13025" t="s">
        <v>28642</v>
      </c>
      <c r="F13025" t="s">
        <v>30052</v>
      </c>
      <c r="G13025" t="s">
        <v>30058</v>
      </c>
      <c r="H13025" t="s">
        <v>15498</v>
      </c>
      <c r="I13025" t="s">
        <v>30144</v>
      </c>
      <c r="J13025" t="s">
        <v>31664</v>
      </c>
      <c r="K13025" t="s">
        <v>39029</v>
      </c>
      <c r="M13025" t="s">
        <v>40706</v>
      </c>
      <c r="N13025" t="s">
        <v>43166</v>
      </c>
      <c r="O13025" t="s">
        <v>43167</v>
      </c>
      <c r="P13025">
        <v>0</v>
      </c>
      <c r="Q13025">
        <v>3</v>
      </c>
      <c r="R13025" t="s">
        <v>43186</v>
      </c>
      <c r="S13025" t="s">
        <v>44047</v>
      </c>
      <c r="T13025" t="s">
        <v>44685</v>
      </c>
      <c r="U13025" t="s">
        <v>48174</v>
      </c>
      <c r="V13025" t="s">
        <v>57248</v>
      </c>
      <c r="W13025" t="s">
        <v>40706</v>
      </c>
      <c r="X13025" t="s">
        <v>43187</v>
      </c>
    </row>
    <row r="13026" spans="1:24">
      <c r="A13026">
        <f>HYPERLINK("https://www.philgeps.gov.ph/GEPSNONPILOT/Tender/SplashBidNoticeAbstractUI.aspx?menuIndex=3&amp;refID=7050380&amp;Result=3","7050380")</f>
        <v>0</v>
      </c>
      <c r="B13026" t="s">
        <v>3326</v>
      </c>
      <c r="C13026" t="s">
        <v>15876</v>
      </c>
      <c r="D13026" t="s">
        <v>17474</v>
      </c>
      <c r="E13026" t="s">
        <v>28643</v>
      </c>
      <c r="F13026" t="s">
        <v>30052</v>
      </c>
      <c r="G13026" t="s">
        <v>30058</v>
      </c>
      <c r="H13026" t="s">
        <v>15498</v>
      </c>
      <c r="I13026" t="s">
        <v>3736</v>
      </c>
      <c r="J13026" t="s">
        <v>31644</v>
      </c>
      <c r="K13026" t="s">
        <v>39034</v>
      </c>
      <c r="M13026" t="s">
        <v>42967</v>
      </c>
      <c r="N13026" t="s">
        <v>43166</v>
      </c>
      <c r="O13026" t="s">
        <v>43167</v>
      </c>
      <c r="P13026">
        <v>0</v>
      </c>
      <c r="Q13026">
        <v>1</v>
      </c>
      <c r="R13026" t="s">
        <v>43186</v>
      </c>
      <c r="S13026" t="s">
        <v>44047</v>
      </c>
      <c r="T13026" t="s">
        <v>44777</v>
      </c>
      <c r="U13026" t="s">
        <v>55548</v>
      </c>
      <c r="W13026" t="s">
        <v>42967</v>
      </c>
      <c r="X13026" t="s">
        <v>43187</v>
      </c>
    </row>
    <row r="13027" spans="1:24">
      <c r="A13027">
        <f>HYPERLINK("https://www.philgeps.gov.ph/GEPSNONPILOT/Tender/SplashBidNoticeAbstractUI.aspx?menuIndex=3&amp;refID=7050262&amp;Result=3","7050262")</f>
        <v>0</v>
      </c>
      <c r="B13027" t="s">
        <v>3215</v>
      </c>
      <c r="C13027" t="s">
        <v>15877</v>
      </c>
      <c r="D13027" t="s">
        <v>17441</v>
      </c>
      <c r="E13027" t="s">
        <v>28644</v>
      </c>
      <c r="F13027" t="s">
        <v>30052</v>
      </c>
      <c r="G13027" t="s">
        <v>30058</v>
      </c>
      <c r="H13027" t="s">
        <v>15498</v>
      </c>
      <c r="I13027" t="s">
        <v>9238</v>
      </c>
      <c r="J13027" t="s">
        <v>36224</v>
      </c>
      <c r="K13027" t="s">
        <v>39025</v>
      </c>
      <c r="M13027" t="s">
        <v>42838</v>
      </c>
      <c r="N13027" t="s">
        <v>43166</v>
      </c>
      <c r="O13027" t="s">
        <v>43167</v>
      </c>
      <c r="Q13027">
        <v>20</v>
      </c>
      <c r="R13027" t="s">
        <v>43186</v>
      </c>
      <c r="S13027" t="s">
        <v>44077</v>
      </c>
      <c r="T13027" t="s">
        <v>45021</v>
      </c>
      <c r="U13027" t="s">
        <v>55549</v>
      </c>
      <c r="V13027" t="s">
        <v>58361</v>
      </c>
      <c r="W13027" t="s">
        <v>42838</v>
      </c>
      <c r="X13027" t="s">
        <v>43187</v>
      </c>
    </row>
    <row r="13028" spans="1:24">
      <c r="A13028">
        <f>HYPERLINK("https://www.philgeps.gov.ph/GEPSNONPILOT/Tender/SplashBidNoticeAbstractUI.aspx?menuIndex=3&amp;refID=7050286&amp;Result=3","7050286")</f>
        <v>0</v>
      </c>
      <c r="B13028" t="s">
        <v>3326</v>
      </c>
      <c r="C13028" t="s">
        <v>15878</v>
      </c>
      <c r="D13028" t="s">
        <v>17474</v>
      </c>
      <c r="E13028" t="s">
        <v>28645</v>
      </c>
      <c r="F13028" t="s">
        <v>30052</v>
      </c>
      <c r="G13028" t="s">
        <v>30058</v>
      </c>
      <c r="H13028" t="s">
        <v>15498</v>
      </c>
      <c r="I13028" t="s">
        <v>30074</v>
      </c>
      <c r="J13028" t="s">
        <v>30208</v>
      </c>
      <c r="K13028" t="s">
        <v>39034</v>
      </c>
      <c r="M13028" t="s">
        <v>42967</v>
      </c>
      <c r="N13028" t="s">
        <v>43166</v>
      </c>
      <c r="O13028" t="s">
        <v>43167</v>
      </c>
      <c r="P13028">
        <v>0</v>
      </c>
      <c r="Q13028">
        <v>2</v>
      </c>
      <c r="R13028" t="s">
        <v>43186</v>
      </c>
      <c r="S13028" t="s">
        <v>44047</v>
      </c>
      <c r="T13028" t="s">
        <v>44777</v>
      </c>
      <c r="U13028" t="s">
        <v>55550</v>
      </c>
      <c r="W13028" t="s">
        <v>42967</v>
      </c>
      <c r="X13028" t="s">
        <v>43187</v>
      </c>
    </row>
    <row r="13029" spans="1:24">
      <c r="A13029">
        <f>HYPERLINK("https://www.philgeps.gov.ph/GEPSNONPILOT/Tender/SplashBidNoticeAbstractUI.aspx?menuIndex=3&amp;refID=7050670&amp;Result=3","7050670")</f>
        <v>0</v>
      </c>
      <c r="B13029" t="s">
        <v>1472</v>
      </c>
      <c r="C13029" t="s">
        <v>15879</v>
      </c>
      <c r="D13029" t="s">
        <v>17489</v>
      </c>
      <c r="E13029" t="s">
        <v>28646</v>
      </c>
      <c r="F13029" t="s">
        <v>30052</v>
      </c>
      <c r="G13029" t="s">
        <v>30058</v>
      </c>
      <c r="H13029" t="s">
        <v>15498</v>
      </c>
      <c r="I13029" t="s">
        <v>30074</v>
      </c>
      <c r="J13029" t="s">
        <v>30711</v>
      </c>
      <c r="K13029" t="s">
        <v>39037</v>
      </c>
      <c r="M13029" t="s">
        <v>40854</v>
      </c>
      <c r="N13029" t="s">
        <v>43166</v>
      </c>
      <c r="O13029" t="s">
        <v>43167</v>
      </c>
      <c r="P13029">
        <v>0</v>
      </c>
      <c r="Q13029">
        <v>2</v>
      </c>
      <c r="R13029" t="s">
        <v>43186</v>
      </c>
      <c r="S13029" t="s">
        <v>44047</v>
      </c>
      <c r="T13029" t="s">
        <v>44773</v>
      </c>
      <c r="U13029" t="s">
        <v>55551</v>
      </c>
      <c r="W13029" t="s">
        <v>40854</v>
      </c>
      <c r="X13029" t="s">
        <v>43187</v>
      </c>
    </row>
    <row r="13030" spans="1:24">
      <c r="A13030">
        <f>HYPERLINK("https://www.philgeps.gov.ph/GEPSNONPILOT/Tender/SplashBidNoticeAbstractUI.aspx?menuIndex=3&amp;refID=7050673&amp;Result=3","7050673")</f>
        <v>0</v>
      </c>
      <c r="B13030" t="s">
        <v>1863</v>
      </c>
      <c r="C13030" t="s">
        <v>15880</v>
      </c>
      <c r="D13030" t="s">
        <v>17451</v>
      </c>
      <c r="E13030" t="s">
        <v>28647</v>
      </c>
      <c r="F13030" t="s">
        <v>30052</v>
      </c>
      <c r="G13030" t="s">
        <v>30058</v>
      </c>
      <c r="H13030" t="s">
        <v>15498</v>
      </c>
      <c r="I13030" t="s">
        <v>3606</v>
      </c>
      <c r="J13030" t="s">
        <v>38116</v>
      </c>
      <c r="K13030" t="s">
        <v>39029</v>
      </c>
      <c r="M13030" t="s">
        <v>41291</v>
      </c>
      <c r="N13030" t="s">
        <v>43166</v>
      </c>
      <c r="O13030" t="s">
        <v>43167</v>
      </c>
      <c r="P13030">
        <v>0</v>
      </c>
      <c r="Q13030">
        <v>5</v>
      </c>
      <c r="R13030" t="s">
        <v>43186</v>
      </c>
      <c r="S13030" t="s">
        <v>44047</v>
      </c>
      <c r="T13030" t="s">
        <v>44777</v>
      </c>
      <c r="U13030" t="s">
        <v>55552</v>
      </c>
      <c r="V13030" t="s">
        <v>58362</v>
      </c>
      <c r="W13030" t="s">
        <v>41291</v>
      </c>
      <c r="X13030" t="s">
        <v>43187</v>
      </c>
    </row>
    <row r="13031" spans="1:24">
      <c r="A13031">
        <f>HYPERLINK("https://www.philgeps.gov.ph/GEPSNONPILOT/Tender/SplashBidNoticeAbstractUI.aspx?menuIndex=3&amp;refID=7050634&amp;Result=3","7050634")</f>
        <v>0</v>
      </c>
      <c r="B13031" t="s">
        <v>3327</v>
      </c>
      <c r="C13031" t="s">
        <v>15881</v>
      </c>
      <c r="D13031" t="s">
        <v>17458</v>
      </c>
      <c r="E13031" t="s">
        <v>28648</v>
      </c>
      <c r="F13031" t="s">
        <v>30052</v>
      </c>
      <c r="G13031" t="s">
        <v>30058</v>
      </c>
      <c r="H13031" t="s">
        <v>15498</v>
      </c>
      <c r="I13031" t="s">
        <v>30097</v>
      </c>
      <c r="J13031" t="s">
        <v>38117</v>
      </c>
      <c r="K13031" t="s">
        <v>39025</v>
      </c>
      <c r="M13031" t="s">
        <v>42968</v>
      </c>
      <c r="N13031" t="s">
        <v>43166</v>
      </c>
      <c r="O13031" t="s">
        <v>43167</v>
      </c>
      <c r="Q13031">
        <v>4</v>
      </c>
      <c r="R13031" t="s">
        <v>43186</v>
      </c>
      <c r="S13031" t="s">
        <v>44078</v>
      </c>
      <c r="T13031" t="s">
        <v>44733</v>
      </c>
      <c r="U13031" t="s">
        <v>55553</v>
      </c>
      <c r="W13031" t="s">
        <v>42968</v>
      </c>
      <c r="X13031" t="s">
        <v>43187</v>
      </c>
    </row>
    <row r="13032" spans="1:24">
      <c r="A13032">
        <f>HYPERLINK("https://www.philgeps.gov.ph/GEPSNONPILOT/Tender/SplashBidNoticeAbstractUI.aspx?menuIndex=3&amp;refID=7050661&amp;Result=3","7050661")</f>
        <v>0</v>
      </c>
      <c r="B13032" t="s">
        <v>3327</v>
      </c>
      <c r="C13032" t="s">
        <v>15882</v>
      </c>
      <c r="D13032" t="s">
        <v>17458</v>
      </c>
      <c r="E13032" t="s">
        <v>28649</v>
      </c>
      <c r="F13032" t="s">
        <v>30052</v>
      </c>
      <c r="G13032" t="s">
        <v>30058</v>
      </c>
      <c r="H13032" t="s">
        <v>15498</v>
      </c>
      <c r="I13032" t="s">
        <v>30124</v>
      </c>
      <c r="J13032" t="s">
        <v>38118</v>
      </c>
      <c r="K13032" t="s">
        <v>39025</v>
      </c>
      <c r="M13032" t="s">
        <v>42968</v>
      </c>
      <c r="N13032" t="s">
        <v>43166</v>
      </c>
      <c r="O13032" t="s">
        <v>43167</v>
      </c>
      <c r="P13032">
        <v>0</v>
      </c>
      <c r="Q13032">
        <v>3</v>
      </c>
      <c r="R13032" t="s">
        <v>43186</v>
      </c>
      <c r="S13032" t="s">
        <v>44047</v>
      </c>
      <c r="T13032" t="s">
        <v>44733</v>
      </c>
      <c r="U13032" t="s">
        <v>55554</v>
      </c>
      <c r="W13032" t="s">
        <v>42968</v>
      </c>
      <c r="X13032" t="s">
        <v>43187</v>
      </c>
    </row>
    <row r="13033" spans="1:24">
      <c r="A13033">
        <f>HYPERLINK("https://www.philgeps.gov.ph/GEPSNONPILOT/Tender/SplashBidNoticeAbstractUI.aspx?menuIndex=3&amp;refID=7050621&amp;Result=3","7050621")</f>
        <v>0</v>
      </c>
      <c r="B13033" t="s">
        <v>548</v>
      </c>
      <c r="C13033" t="s">
        <v>15883</v>
      </c>
      <c r="D13033" t="s">
        <v>17425</v>
      </c>
      <c r="E13033" t="s">
        <v>28650</v>
      </c>
      <c r="F13033" t="s">
        <v>30052</v>
      </c>
      <c r="G13033" t="s">
        <v>30058</v>
      </c>
      <c r="H13033" t="s">
        <v>30067</v>
      </c>
      <c r="I13033" t="s">
        <v>3693</v>
      </c>
      <c r="J13033" t="s">
        <v>32574</v>
      </c>
      <c r="K13033" t="s">
        <v>39065</v>
      </c>
      <c r="L13033" t="s">
        <v>548</v>
      </c>
      <c r="M13033" t="s">
        <v>39850</v>
      </c>
      <c r="N13033" t="s">
        <v>43166</v>
      </c>
      <c r="O13033" t="s">
        <v>43167</v>
      </c>
      <c r="P13033">
        <v>0</v>
      </c>
      <c r="Q13033">
        <v>0</v>
      </c>
      <c r="R13033" t="s">
        <v>43186</v>
      </c>
      <c r="S13033" t="s">
        <v>44047</v>
      </c>
      <c r="T13033" t="s">
        <v>44969</v>
      </c>
      <c r="U13033" t="s">
        <v>55555</v>
      </c>
      <c r="V13033" t="s">
        <v>56971</v>
      </c>
      <c r="W13033" t="s">
        <v>39850</v>
      </c>
      <c r="X13033" t="s">
        <v>43187</v>
      </c>
    </row>
    <row r="13034" spans="1:24">
      <c r="A13034">
        <f>HYPERLINK("https://www.philgeps.gov.ph/GEPSNONPILOT/Tender/SplashBidNoticeAbstractUI.aspx?menuIndex=3&amp;refID=7050613&amp;Result=3","7050613")</f>
        <v>0</v>
      </c>
      <c r="B13034" t="s">
        <v>3325</v>
      </c>
      <c r="C13034" t="s">
        <v>15884</v>
      </c>
      <c r="D13034" t="s">
        <v>17435</v>
      </c>
      <c r="E13034" t="s">
        <v>27349</v>
      </c>
      <c r="F13034" t="s">
        <v>30052</v>
      </c>
      <c r="G13034" t="s">
        <v>30058</v>
      </c>
      <c r="H13034" t="s">
        <v>15498</v>
      </c>
      <c r="I13034" t="s">
        <v>3736</v>
      </c>
      <c r="J13034" t="s">
        <v>38119</v>
      </c>
      <c r="K13034" t="s">
        <v>39029</v>
      </c>
      <c r="M13034" t="s">
        <v>42966</v>
      </c>
      <c r="N13034" t="s">
        <v>43166</v>
      </c>
      <c r="O13034" t="s">
        <v>43167</v>
      </c>
      <c r="P13034">
        <v>0</v>
      </c>
      <c r="Q13034">
        <v>1</v>
      </c>
      <c r="R13034" t="s">
        <v>43186</v>
      </c>
      <c r="S13034" t="s">
        <v>44047</v>
      </c>
      <c r="T13034" t="s">
        <v>44689</v>
      </c>
      <c r="U13034" t="s">
        <v>55556</v>
      </c>
      <c r="W13034" t="s">
        <v>42966</v>
      </c>
      <c r="X13034" t="s">
        <v>43187</v>
      </c>
    </row>
    <row r="13035" spans="1:24">
      <c r="A13035">
        <f>HYPERLINK("https://www.philgeps.gov.ph/GEPSNONPILOT/Tender/SplashBidNoticeAbstractUI.aspx?menuIndex=3&amp;refID=7050322&amp;Result=3","7050322")</f>
        <v>0</v>
      </c>
      <c r="B13035" t="s">
        <v>1339</v>
      </c>
      <c r="C13035" t="s">
        <v>15885</v>
      </c>
      <c r="D13035" t="s">
        <v>17474</v>
      </c>
      <c r="E13035" t="s">
        <v>28651</v>
      </c>
      <c r="F13035" t="s">
        <v>30052</v>
      </c>
      <c r="G13035" t="s">
        <v>30058</v>
      </c>
      <c r="H13035" t="s">
        <v>15498</v>
      </c>
      <c r="I13035" t="s">
        <v>3736</v>
      </c>
      <c r="J13035" t="s">
        <v>38120</v>
      </c>
      <c r="K13035" t="s">
        <v>39029</v>
      </c>
      <c r="M13035" t="s">
        <v>40706</v>
      </c>
      <c r="N13035" t="s">
        <v>43166</v>
      </c>
      <c r="O13035" t="s">
        <v>43167</v>
      </c>
      <c r="P13035">
        <v>0</v>
      </c>
      <c r="Q13035">
        <v>0</v>
      </c>
      <c r="R13035" t="s">
        <v>43186</v>
      </c>
      <c r="S13035" t="s">
        <v>44047</v>
      </c>
      <c r="T13035" t="s">
        <v>44685</v>
      </c>
      <c r="U13035" t="s">
        <v>48174</v>
      </c>
      <c r="V13035" t="s">
        <v>57248</v>
      </c>
      <c r="W13035" t="s">
        <v>40706</v>
      </c>
      <c r="X13035" t="s">
        <v>43187</v>
      </c>
    </row>
    <row r="13036" spans="1:24">
      <c r="A13036">
        <f>HYPERLINK("https://www.philgeps.gov.ph/GEPSNONPILOT/Tender/SplashBidNoticeAbstractUI.aspx?menuIndex=3&amp;refID=7050606&amp;Result=3","7050606")</f>
        <v>0</v>
      </c>
      <c r="B13036" t="s">
        <v>3328</v>
      </c>
      <c r="C13036" t="s">
        <v>15886</v>
      </c>
      <c r="D13036" t="s">
        <v>17427</v>
      </c>
      <c r="E13036" t="s">
        <v>26413</v>
      </c>
      <c r="F13036" t="s">
        <v>30052</v>
      </c>
      <c r="G13036" t="s">
        <v>30058</v>
      </c>
      <c r="H13036" t="s">
        <v>30067</v>
      </c>
      <c r="I13036" t="s">
        <v>3693</v>
      </c>
      <c r="J13036" t="s">
        <v>38121</v>
      </c>
      <c r="K13036" t="s">
        <v>39026</v>
      </c>
      <c r="M13036" t="s">
        <v>42969</v>
      </c>
      <c r="N13036" t="s">
        <v>43166</v>
      </c>
      <c r="O13036" t="s">
        <v>43167</v>
      </c>
      <c r="P13036">
        <v>0</v>
      </c>
      <c r="Q13036">
        <v>0</v>
      </c>
      <c r="R13036" t="s">
        <v>43186</v>
      </c>
      <c r="S13036" t="s">
        <v>44047</v>
      </c>
      <c r="T13036" t="s">
        <v>44685</v>
      </c>
      <c r="U13036" t="s">
        <v>55557</v>
      </c>
      <c r="W13036" t="s">
        <v>42969</v>
      </c>
      <c r="X13036" t="s">
        <v>43187</v>
      </c>
    </row>
    <row r="13037" spans="1:24">
      <c r="A13037">
        <f>HYPERLINK("https://www.philgeps.gov.ph/GEPSNONPILOT/Tender/SplashBidNoticeAbstractUI.aspx?menuIndex=3&amp;refID=7050535&amp;Result=3","7050535")</f>
        <v>0</v>
      </c>
      <c r="B13037" t="s">
        <v>3325</v>
      </c>
      <c r="C13037" t="s">
        <v>15887</v>
      </c>
      <c r="D13037" t="s">
        <v>17435</v>
      </c>
      <c r="E13037" t="s">
        <v>17692</v>
      </c>
      <c r="F13037" t="s">
        <v>30052</v>
      </c>
      <c r="G13037" t="s">
        <v>30058</v>
      </c>
      <c r="H13037" t="s">
        <v>15498</v>
      </c>
      <c r="I13037" t="s">
        <v>3736</v>
      </c>
      <c r="J13037" t="s">
        <v>38122</v>
      </c>
      <c r="K13037" t="s">
        <v>39029</v>
      </c>
      <c r="M13037" t="s">
        <v>42966</v>
      </c>
      <c r="N13037" t="s">
        <v>43166</v>
      </c>
      <c r="O13037" t="s">
        <v>43167</v>
      </c>
      <c r="P13037">
        <v>0</v>
      </c>
      <c r="Q13037">
        <v>1</v>
      </c>
      <c r="R13037" t="s">
        <v>43186</v>
      </c>
      <c r="S13037" t="s">
        <v>44047</v>
      </c>
      <c r="T13037" t="s">
        <v>44689</v>
      </c>
      <c r="U13037" t="s">
        <v>55558</v>
      </c>
      <c r="W13037" t="s">
        <v>42966</v>
      </c>
      <c r="X13037" t="s">
        <v>43187</v>
      </c>
    </row>
    <row r="13038" spans="1:24">
      <c r="A13038">
        <f>HYPERLINK("https://www.philgeps.gov.ph/GEPSNONPILOT/Tender/SplashBidNoticeAbstractUI.aspx?menuIndex=3&amp;refID=7050627&amp;Result=3","7050627")</f>
        <v>0</v>
      </c>
      <c r="B13038" t="s">
        <v>285</v>
      </c>
      <c r="C13038" t="s">
        <v>15888</v>
      </c>
      <c r="D13038" t="s">
        <v>17475</v>
      </c>
      <c r="E13038" t="s">
        <v>28652</v>
      </c>
      <c r="F13038" t="s">
        <v>30052</v>
      </c>
      <c r="G13038" t="s">
        <v>30058</v>
      </c>
      <c r="H13038" t="s">
        <v>15498</v>
      </c>
      <c r="I13038" t="s">
        <v>3852</v>
      </c>
      <c r="J13038" t="s">
        <v>38123</v>
      </c>
      <c r="K13038" t="s">
        <v>39023</v>
      </c>
      <c r="M13038" t="s">
        <v>39580</v>
      </c>
      <c r="N13038" t="s">
        <v>43166</v>
      </c>
      <c r="O13038" t="s">
        <v>43167</v>
      </c>
      <c r="P13038">
        <v>0</v>
      </c>
      <c r="Q13038">
        <v>0</v>
      </c>
      <c r="R13038" t="s">
        <v>43186</v>
      </c>
      <c r="S13038" t="s">
        <v>44047</v>
      </c>
      <c r="T13038" t="s">
        <v>44681</v>
      </c>
      <c r="U13038" t="s">
        <v>55559</v>
      </c>
      <c r="W13038" t="s">
        <v>39580</v>
      </c>
      <c r="X13038" t="s">
        <v>43187</v>
      </c>
    </row>
    <row r="13039" spans="1:24">
      <c r="A13039">
        <f>HYPERLINK("https://www.philgeps.gov.ph/GEPSNONPILOT/Tender/SplashBidNoticeAbstractUI.aspx?menuIndex=3&amp;refID=7050532&amp;Result=3","7050532")</f>
        <v>0</v>
      </c>
      <c r="B13039" t="s">
        <v>285</v>
      </c>
      <c r="C13039" t="s">
        <v>15889</v>
      </c>
      <c r="D13039" t="s">
        <v>17475</v>
      </c>
      <c r="E13039" t="s">
        <v>28653</v>
      </c>
      <c r="F13039" t="s">
        <v>30052</v>
      </c>
      <c r="G13039" t="s">
        <v>30058</v>
      </c>
      <c r="H13039" t="s">
        <v>15498</v>
      </c>
      <c r="I13039" t="s">
        <v>30073</v>
      </c>
      <c r="J13039" t="s">
        <v>38124</v>
      </c>
      <c r="K13039" t="s">
        <v>39031</v>
      </c>
      <c r="M13039" t="s">
        <v>39580</v>
      </c>
      <c r="N13039" t="s">
        <v>43166</v>
      </c>
      <c r="O13039" t="s">
        <v>43167</v>
      </c>
      <c r="P13039">
        <v>0</v>
      </c>
      <c r="Q13039">
        <v>2</v>
      </c>
      <c r="R13039" t="s">
        <v>43186</v>
      </c>
      <c r="S13039" t="s">
        <v>44047</v>
      </c>
      <c r="T13039" t="s">
        <v>44956</v>
      </c>
      <c r="U13039" t="s">
        <v>55560</v>
      </c>
      <c r="W13039" t="s">
        <v>39580</v>
      </c>
      <c r="X13039" t="s">
        <v>43187</v>
      </c>
    </row>
    <row r="13040" spans="1:24">
      <c r="A13040">
        <f>HYPERLINK("https://www.philgeps.gov.ph/GEPSNONPILOT/Tender/SplashBidNoticeAbstractUI.aspx?menuIndex=3&amp;refID=7050502&amp;Result=3","7050502")</f>
        <v>0</v>
      </c>
      <c r="B13040" t="s">
        <v>3329</v>
      </c>
      <c r="C13040" t="s">
        <v>15890</v>
      </c>
      <c r="D13040" t="s">
        <v>17468</v>
      </c>
      <c r="E13040" t="s">
        <v>28654</v>
      </c>
      <c r="F13040" t="s">
        <v>30052</v>
      </c>
      <c r="G13040" t="s">
        <v>30058</v>
      </c>
      <c r="H13040" t="s">
        <v>15498</v>
      </c>
      <c r="I13040" t="s">
        <v>3736</v>
      </c>
      <c r="J13040" t="s">
        <v>38125</v>
      </c>
      <c r="K13040" t="s">
        <v>39019</v>
      </c>
      <c r="M13040" t="s">
        <v>42970</v>
      </c>
      <c r="N13040" t="s">
        <v>43166</v>
      </c>
      <c r="O13040" t="s">
        <v>43167</v>
      </c>
      <c r="P13040">
        <v>0</v>
      </c>
      <c r="Q13040">
        <v>0</v>
      </c>
      <c r="R13040" t="s">
        <v>43186</v>
      </c>
      <c r="S13040" t="s">
        <v>44047</v>
      </c>
      <c r="T13040" t="s">
        <v>44773</v>
      </c>
      <c r="U13040" t="s">
        <v>55561</v>
      </c>
      <c r="W13040" t="s">
        <v>42970</v>
      </c>
      <c r="X13040" t="s">
        <v>43187</v>
      </c>
    </row>
    <row r="13041" spans="1:24">
      <c r="A13041">
        <f>HYPERLINK("https://www.philgeps.gov.ph/GEPSNONPILOT/Tender/SplashBidNoticeAbstractUI.aspx?menuIndex=3&amp;refID=7050558&amp;Result=3","7050558")</f>
        <v>0</v>
      </c>
      <c r="B13041" t="s">
        <v>3325</v>
      </c>
      <c r="C13041" t="s">
        <v>15891</v>
      </c>
      <c r="D13041" t="s">
        <v>17435</v>
      </c>
      <c r="E13041" t="s">
        <v>26695</v>
      </c>
      <c r="F13041" t="s">
        <v>30052</v>
      </c>
      <c r="G13041" t="s">
        <v>30058</v>
      </c>
      <c r="H13041" t="s">
        <v>15498</v>
      </c>
      <c r="I13041" t="s">
        <v>30094</v>
      </c>
      <c r="J13041" t="s">
        <v>38126</v>
      </c>
      <c r="K13041" t="s">
        <v>39019</v>
      </c>
      <c r="M13041" t="s">
        <v>42966</v>
      </c>
      <c r="N13041" t="s">
        <v>43166</v>
      </c>
      <c r="O13041" t="s">
        <v>43167</v>
      </c>
      <c r="P13041">
        <v>0</v>
      </c>
      <c r="Q13041">
        <v>1</v>
      </c>
      <c r="R13041" t="s">
        <v>43186</v>
      </c>
      <c r="S13041" t="s">
        <v>44047</v>
      </c>
      <c r="T13041" t="s">
        <v>44689</v>
      </c>
      <c r="U13041" t="s">
        <v>55562</v>
      </c>
      <c r="W13041" t="s">
        <v>42966</v>
      </c>
      <c r="X13041" t="s">
        <v>43187</v>
      </c>
    </row>
    <row r="13042" spans="1:24">
      <c r="A13042">
        <f>HYPERLINK("https://www.philgeps.gov.ph/GEPSNONPILOT/Tender/SplashBidNoticeAbstractUI.aspx?menuIndex=3&amp;refID=7050298&amp;Result=3","7050298")</f>
        <v>0</v>
      </c>
      <c r="B13042" t="s">
        <v>3215</v>
      </c>
      <c r="C13042" t="s">
        <v>15892</v>
      </c>
      <c r="D13042" t="s">
        <v>17441</v>
      </c>
      <c r="E13042" t="s">
        <v>28655</v>
      </c>
      <c r="F13042" t="s">
        <v>30052</v>
      </c>
      <c r="G13042" t="s">
        <v>30058</v>
      </c>
      <c r="H13042" t="s">
        <v>15498</v>
      </c>
      <c r="I13042" t="s">
        <v>9238</v>
      </c>
      <c r="J13042" t="s">
        <v>33394</v>
      </c>
      <c r="K13042" t="s">
        <v>39025</v>
      </c>
      <c r="M13042" t="s">
        <v>42838</v>
      </c>
      <c r="N13042" t="s">
        <v>43166</v>
      </c>
      <c r="O13042" t="s">
        <v>43167</v>
      </c>
      <c r="Q13042">
        <v>14</v>
      </c>
      <c r="R13042" t="s">
        <v>43186</v>
      </c>
      <c r="S13042" t="s">
        <v>44076</v>
      </c>
      <c r="T13042" t="s">
        <v>45021</v>
      </c>
      <c r="U13042" t="s">
        <v>55563</v>
      </c>
      <c r="V13042" t="s">
        <v>58363</v>
      </c>
      <c r="W13042" t="s">
        <v>42838</v>
      </c>
      <c r="X13042" t="s">
        <v>43187</v>
      </c>
    </row>
    <row r="13043" spans="1:24">
      <c r="A13043">
        <f>HYPERLINK("https://www.philgeps.gov.ph/GEPSNONPILOT/Tender/SplashBidNoticeAbstractUI.aspx?menuIndex=3&amp;refID=7050865&amp;Result=3","7050865")</f>
        <v>0</v>
      </c>
      <c r="B13043" t="s">
        <v>256</v>
      </c>
      <c r="C13043" t="s">
        <v>15893</v>
      </c>
      <c r="D13043" t="s">
        <v>17415</v>
      </c>
      <c r="E13043" t="s">
        <v>28656</v>
      </c>
      <c r="F13043" t="s">
        <v>30052</v>
      </c>
      <c r="G13043" t="s">
        <v>30058</v>
      </c>
      <c r="H13043" t="s">
        <v>30067</v>
      </c>
      <c r="I13043" t="s">
        <v>3693</v>
      </c>
      <c r="J13043" t="s">
        <v>38127</v>
      </c>
      <c r="K13043" t="s">
        <v>39025</v>
      </c>
      <c r="M13043" t="s">
        <v>39547</v>
      </c>
      <c r="N13043" t="s">
        <v>43166</v>
      </c>
      <c r="O13043" t="s">
        <v>43167</v>
      </c>
      <c r="P13043">
        <v>0</v>
      </c>
      <c r="Q13043">
        <v>4</v>
      </c>
      <c r="R13043" t="s">
        <v>43186</v>
      </c>
      <c r="S13043" t="s">
        <v>44047</v>
      </c>
      <c r="T13043" t="s">
        <v>44837</v>
      </c>
      <c r="U13043" t="s">
        <v>55564</v>
      </c>
      <c r="W13043" t="s">
        <v>39547</v>
      </c>
      <c r="X13043" t="s">
        <v>43187</v>
      </c>
    </row>
    <row r="13044" spans="1:24">
      <c r="A13044">
        <f>HYPERLINK("https://www.philgeps.gov.ph/GEPSNONPILOT/Tender/SplashBidNoticeAbstractUI.aspx?menuIndex=3&amp;refID=7050788&amp;Result=3","7050788")</f>
        <v>0</v>
      </c>
      <c r="B13044" t="s">
        <v>548</v>
      </c>
      <c r="C13044" t="s">
        <v>15894</v>
      </c>
      <c r="D13044" t="s">
        <v>17425</v>
      </c>
      <c r="E13044" t="s">
        <v>28657</v>
      </c>
      <c r="F13044" t="s">
        <v>30052</v>
      </c>
      <c r="G13044" t="s">
        <v>30058</v>
      </c>
      <c r="H13044" t="s">
        <v>30067</v>
      </c>
      <c r="I13044" t="s">
        <v>3693</v>
      </c>
      <c r="J13044" t="s">
        <v>38128</v>
      </c>
      <c r="K13044" t="s">
        <v>39026</v>
      </c>
      <c r="L13044" t="s">
        <v>548</v>
      </c>
      <c r="M13044" t="s">
        <v>39850</v>
      </c>
      <c r="N13044" t="s">
        <v>43166</v>
      </c>
      <c r="O13044" t="s">
        <v>43167</v>
      </c>
      <c r="P13044">
        <v>0</v>
      </c>
      <c r="Q13044">
        <v>0</v>
      </c>
      <c r="R13044" t="s">
        <v>43186</v>
      </c>
      <c r="S13044" t="s">
        <v>44047</v>
      </c>
      <c r="T13044" t="s">
        <v>44969</v>
      </c>
      <c r="U13044" t="s">
        <v>55565</v>
      </c>
      <c r="V13044" t="s">
        <v>56971</v>
      </c>
      <c r="W13044" t="s">
        <v>39850</v>
      </c>
      <c r="X13044" t="s">
        <v>43187</v>
      </c>
    </row>
    <row r="13045" spans="1:24">
      <c r="A13045">
        <f>HYPERLINK("https://www.philgeps.gov.ph/GEPSNONPILOT/Tender/SplashBidNoticeAbstractUI.aspx?menuIndex=3&amp;refID=7050855&amp;Result=3","7050855")</f>
        <v>0</v>
      </c>
      <c r="B13045" t="s">
        <v>256</v>
      </c>
      <c r="C13045" t="s">
        <v>15895</v>
      </c>
      <c r="D13045" t="s">
        <v>17415</v>
      </c>
      <c r="E13045" t="s">
        <v>28658</v>
      </c>
      <c r="F13045" t="s">
        <v>30052</v>
      </c>
      <c r="G13045" t="s">
        <v>30058</v>
      </c>
      <c r="H13045" t="s">
        <v>30067</v>
      </c>
      <c r="I13045" t="s">
        <v>3693</v>
      </c>
      <c r="J13045" t="s">
        <v>38129</v>
      </c>
      <c r="K13045" t="s">
        <v>39025</v>
      </c>
      <c r="M13045" t="s">
        <v>39547</v>
      </c>
      <c r="N13045" t="s">
        <v>43166</v>
      </c>
      <c r="O13045" t="s">
        <v>43167</v>
      </c>
      <c r="P13045">
        <v>0</v>
      </c>
      <c r="Q13045">
        <v>2</v>
      </c>
      <c r="R13045" t="s">
        <v>43186</v>
      </c>
      <c r="S13045" t="s">
        <v>44047</v>
      </c>
      <c r="T13045" t="s">
        <v>44837</v>
      </c>
      <c r="U13045" t="s">
        <v>55566</v>
      </c>
      <c r="W13045" t="s">
        <v>39547</v>
      </c>
      <c r="X13045" t="s">
        <v>43187</v>
      </c>
    </row>
    <row r="13046" spans="1:24">
      <c r="A13046">
        <f>HYPERLINK("https://www.philgeps.gov.ph/GEPSNONPILOT/Tender/SplashBidNoticeAbstractUI.aspx?menuIndex=3&amp;refID=7050068&amp;Result=3","7050068")</f>
        <v>0</v>
      </c>
      <c r="B13046" t="s">
        <v>450</v>
      </c>
      <c r="C13046" t="s">
        <v>15896</v>
      </c>
      <c r="D13046" t="s">
        <v>17467</v>
      </c>
      <c r="E13046" t="s">
        <v>28659</v>
      </c>
      <c r="F13046" t="s">
        <v>30052</v>
      </c>
      <c r="G13046" t="s">
        <v>30058</v>
      </c>
      <c r="H13046" t="s">
        <v>15498</v>
      </c>
      <c r="I13046" t="s">
        <v>30074</v>
      </c>
      <c r="J13046" t="s">
        <v>32690</v>
      </c>
      <c r="K13046" t="s">
        <v>39031</v>
      </c>
      <c r="M13046" t="s">
        <v>39750</v>
      </c>
      <c r="N13046" t="s">
        <v>43166</v>
      </c>
      <c r="O13046" t="s">
        <v>43167</v>
      </c>
      <c r="P13046">
        <v>0</v>
      </c>
      <c r="Q13046">
        <v>12</v>
      </c>
      <c r="R13046" t="s">
        <v>43186</v>
      </c>
      <c r="S13046" t="s">
        <v>44047</v>
      </c>
      <c r="T13046" t="s">
        <v>44733</v>
      </c>
      <c r="U13046" t="s">
        <v>55567</v>
      </c>
      <c r="W13046" t="s">
        <v>39750</v>
      </c>
      <c r="X13046" t="s">
        <v>43187</v>
      </c>
    </row>
    <row r="13047" spans="1:24">
      <c r="A13047">
        <f>HYPERLINK("https://www.philgeps.gov.ph/GEPSNONPILOT/Tender/SplashBidNoticeAbstractUI.aspx?menuIndex=3&amp;refID=7050767&amp;Result=3","7050767")</f>
        <v>0</v>
      </c>
      <c r="B13047" t="s">
        <v>1863</v>
      </c>
      <c r="C13047" t="s">
        <v>15897</v>
      </c>
      <c r="D13047" t="s">
        <v>17451</v>
      </c>
      <c r="E13047" t="s">
        <v>28660</v>
      </c>
      <c r="F13047" t="s">
        <v>30052</v>
      </c>
      <c r="G13047" t="s">
        <v>30058</v>
      </c>
      <c r="H13047" t="s">
        <v>15498</v>
      </c>
      <c r="I13047" t="s">
        <v>30077</v>
      </c>
      <c r="J13047" t="s">
        <v>38130</v>
      </c>
      <c r="K13047" t="s">
        <v>39029</v>
      </c>
      <c r="M13047" t="s">
        <v>41291</v>
      </c>
      <c r="N13047" t="s">
        <v>43166</v>
      </c>
      <c r="O13047" t="s">
        <v>43167</v>
      </c>
      <c r="P13047">
        <v>0</v>
      </c>
      <c r="Q13047">
        <v>4</v>
      </c>
      <c r="R13047" t="s">
        <v>43186</v>
      </c>
      <c r="S13047" t="s">
        <v>44047</v>
      </c>
      <c r="T13047" t="s">
        <v>44777</v>
      </c>
      <c r="U13047" t="s">
        <v>55568</v>
      </c>
      <c r="W13047" t="s">
        <v>41291</v>
      </c>
      <c r="X13047" t="s">
        <v>43187</v>
      </c>
    </row>
    <row r="13048" spans="1:24">
      <c r="A13048">
        <f>HYPERLINK("https://www.philgeps.gov.ph/GEPSNONPILOT/Tender/SplashBidNoticeAbstractUI.aspx?menuIndex=3&amp;refID=7050878&amp;Result=3","7050878")</f>
        <v>0</v>
      </c>
      <c r="B13048" t="s">
        <v>3325</v>
      </c>
      <c r="C13048" t="s">
        <v>15898</v>
      </c>
      <c r="D13048" t="s">
        <v>17435</v>
      </c>
      <c r="E13048" t="s">
        <v>19805</v>
      </c>
      <c r="F13048" t="s">
        <v>30052</v>
      </c>
      <c r="G13048" t="s">
        <v>30058</v>
      </c>
      <c r="H13048" t="s">
        <v>15498</v>
      </c>
      <c r="I13048" t="s">
        <v>30125</v>
      </c>
      <c r="J13048" t="s">
        <v>38131</v>
      </c>
      <c r="K13048" t="s">
        <v>39019</v>
      </c>
      <c r="M13048" t="s">
        <v>42966</v>
      </c>
      <c r="N13048" t="s">
        <v>43166</v>
      </c>
      <c r="O13048" t="s">
        <v>43167</v>
      </c>
      <c r="P13048">
        <v>0</v>
      </c>
      <c r="Q13048">
        <v>4</v>
      </c>
      <c r="R13048" t="s">
        <v>43186</v>
      </c>
      <c r="S13048" t="s">
        <v>44047</v>
      </c>
      <c r="T13048" t="s">
        <v>44689</v>
      </c>
      <c r="U13048" t="s">
        <v>55569</v>
      </c>
      <c r="W13048" t="s">
        <v>42966</v>
      </c>
      <c r="X13048" t="s">
        <v>43187</v>
      </c>
    </row>
    <row r="13049" spans="1:24">
      <c r="A13049">
        <f>HYPERLINK("https://www.philgeps.gov.ph/GEPSNONPILOT/Tender/SplashBidNoticeAbstractUI.aspx?menuIndex=3&amp;refID=7050745&amp;Result=3","7050745")</f>
        <v>0</v>
      </c>
      <c r="B13049" t="s">
        <v>3215</v>
      </c>
      <c r="C13049" t="s">
        <v>15899</v>
      </c>
      <c r="D13049" t="s">
        <v>17441</v>
      </c>
      <c r="E13049" t="s">
        <v>28661</v>
      </c>
      <c r="F13049" t="s">
        <v>30052</v>
      </c>
      <c r="G13049" t="s">
        <v>30058</v>
      </c>
      <c r="H13049" t="s">
        <v>15498</v>
      </c>
      <c r="I13049" t="s">
        <v>30135</v>
      </c>
      <c r="J13049" t="s">
        <v>30227</v>
      </c>
      <c r="K13049" t="s">
        <v>39025</v>
      </c>
      <c r="M13049" t="s">
        <v>42838</v>
      </c>
      <c r="N13049" t="s">
        <v>43166</v>
      </c>
      <c r="O13049" t="s">
        <v>43167</v>
      </c>
      <c r="Q13049">
        <v>4</v>
      </c>
      <c r="R13049" t="s">
        <v>43186</v>
      </c>
      <c r="S13049" t="s">
        <v>44079</v>
      </c>
      <c r="T13049" t="s">
        <v>44828</v>
      </c>
      <c r="U13049" t="s">
        <v>55570</v>
      </c>
      <c r="V13049" t="s">
        <v>58364</v>
      </c>
      <c r="W13049" t="s">
        <v>42838</v>
      </c>
      <c r="X13049" t="s">
        <v>43187</v>
      </c>
    </row>
    <row r="13050" spans="1:24">
      <c r="A13050">
        <f>HYPERLINK("https://www.philgeps.gov.ph/GEPSNONPILOT/Tender/SplashBidNoticeAbstractUI.aspx?menuIndex=3&amp;refID=7050555&amp;Result=3","7050555")</f>
        <v>0</v>
      </c>
      <c r="B13050" t="s">
        <v>3215</v>
      </c>
      <c r="C13050" t="s">
        <v>15900</v>
      </c>
      <c r="D13050" t="s">
        <v>17441</v>
      </c>
      <c r="E13050" t="s">
        <v>28662</v>
      </c>
      <c r="F13050" t="s">
        <v>30052</v>
      </c>
      <c r="G13050" t="s">
        <v>30058</v>
      </c>
      <c r="H13050" t="s">
        <v>15498</v>
      </c>
      <c r="I13050" t="s">
        <v>8323</v>
      </c>
      <c r="J13050" t="s">
        <v>30218</v>
      </c>
      <c r="K13050" t="s">
        <v>39025</v>
      </c>
      <c r="M13050" t="s">
        <v>42838</v>
      </c>
      <c r="N13050" t="s">
        <v>43166</v>
      </c>
      <c r="O13050" t="s">
        <v>43167</v>
      </c>
      <c r="Q13050">
        <v>9</v>
      </c>
      <c r="R13050" t="s">
        <v>43186</v>
      </c>
      <c r="S13050" t="s">
        <v>44080</v>
      </c>
      <c r="T13050" t="s">
        <v>44828</v>
      </c>
      <c r="U13050" t="s">
        <v>55571</v>
      </c>
      <c r="V13050" t="s">
        <v>58365</v>
      </c>
      <c r="W13050" t="s">
        <v>42838</v>
      </c>
      <c r="X13050" t="s">
        <v>43187</v>
      </c>
    </row>
    <row r="13051" spans="1:24">
      <c r="A13051">
        <f>HYPERLINK("https://www.philgeps.gov.ph/GEPSNONPILOT/Tender/SplashBidNoticeAbstractUI.aspx?menuIndex=3&amp;refID=7050810&amp;Result=3","7050810")</f>
        <v>0</v>
      </c>
      <c r="B13051" t="s">
        <v>1260</v>
      </c>
      <c r="C13051" t="s">
        <v>15901</v>
      </c>
      <c r="D13051" t="s">
        <v>17478</v>
      </c>
      <c r="E13051" t="s">
        <v>28663</v>
      </c>
      <c r="F13051" t="s">
        <v>30052</v>
      </c>
      <c r="G13051" t="s">
        <v>30063</v>
      </c>
      <c r="H13051" t="s">
        <v>30067</v>
      </c>
      <c r="I13051" t="s">
        <v>3693</v>
      </c>
      <c r="J13051" t="s">
        <v>38132</v>
      </c>
      <c r="K13051" t="s">
        <v>39183</v>
      </c>
      <c r="M13051" t="s">
        <v>42093</v>
      </c>
      <c r="N13051" t="s">
        <v>43166</v>
      </c>
      <c r="O13051" t="s">
        <v>43167</v>
      </c>
      <c r="P13051">
        <v>0</v>
      </c>
      <c r="Q13051">
        <v>0</v>
      </c>
      <c r="R13051" t="s">
        <v>43186</v>
      </c>
      <c r="S13051" t="s">
        <v>44047</v>
      </c>
      <c r="T13051" t="s">
        <v>44698</v>
      </c>
      <c r="U13051" t="s">
        <v>52067</v>
      </c>
      <c r="V13051" t="s">
        <v>58366</v>
      </c>
      <c r="W13051" t="s">
        <v>58679</v>
      </c>
      <c r="X13051" t="s">
        <v>43187</v>
      </c>
    </row>
    <row r="13052" spans="1:24">
      <c r="A13052">
        <f>HYPERLINK("https://www.philgeps.gov.ph/GEPSNONPILOT/Tender/SplashBidNoticeAbstractUI.aspx?menuIndex=3&amp;refID=7050743&amp;Result=3","7050743")</f>
        <v>0</v>
      </c>
      <c r="B13052" t="s">
        <v>1863</v>
      </c>
      <c r="C13052" t="s">
        <v>15902</v>
      </c>
      <c r="D13052" t="s">
        <v>17451</v>
      </c>
      <c r="E13052" t="s">
        <v>28664</v>
      </c>
      <c r="F13052" t="s">
        <v>30052</v>
      </c>
      <c r="G13052" t="s">
        <v>30058</v>
      </c>
      <c r="H13052" t="s">
        <v>15498</v>
      </c>
      <c r="I13052" t="s">
        <v>30084</v>
      </c>
      <c r="J13052" t="s">
        <v>38133</v>
      </c>
      <c r="K13052" t="s">
        <v>39029</v>
      </c>
      <c r="M13052" t="s">
        <v>41291</v>
      </c>
      <c r="N13052" t="s">
        <v>43166</v>
      </c>
      <c r="O13052" t="s">
        <v>43167</v>
      </c>
      <c r="P13052">
        <v>0</v>
      </c>
      <c r="Q13052">
        <v>10</v>
      </c>
      <c r="R13052" t="s">
        <v>43186</v>
      </c>
      <c r="S13052" t="s">
        <v>44047</v>
      </c>
      <c r="T13052" t="s">
        <v>44777</v>
      </c>
      <c r="U13052" t="s">
        <v>55572</v>
      </c>
      <c r="W13052" t="s">
        <v>41291</v>
      </c>
      <c r="X13052" t="s">
        <v>43187</v>
      </c>
    </row>
    <row r="13053" spans="1:24">
      <c r="A13053">
        <f>HYPERLINK("https://www.philgeps.gov.ph/GEPSNONPILOT/Tender/SplashBidNoticeAbstractUI.aspx?menuIndex=3&amp;refID=7050727&amp;Result=3","7050727")</f>
        <v>0</v>
      </c>
      <c r="B13053" t="s">
        <v>1685</v>
      </c>
      <c r="C13053" t="s">
        <v>15903</v>
      </c>
      <c r="D13053" t="s">
        <v>17455</v>
      </c>
      <c r="E13053" t="s">
        <v>28665</v>
      </c>
      <c r="F13053" t="s">
        <v>30052</v>
      </c>
      <c r="G13053" t="s">
        <v>30058</v>
      </c>
      <c r="H13053" t="s">
        <v>15498</v>
      </c>
      <c r="I13053" t="s">
        <v>30130</v>
      </c>
      <c r="J13053" t="s">
        <v>30397</v>
      </c>
      <c r="K13053" t="s">
        <v>39034</v>
      </c>
      <c r="M13053" t="s">
        <v>41094</v>
      </c>
      <c r="N13053" t="s">
        <v>43166</v>
      </c>
      <c r="O13053" t="s">
        <v>43167</v>
      </c>
      <c r="P13053">
        <v>0</v>
      </c>
      <c r="Q13053">
        <v>19</v>
      </c>
      <c r="R13053" t="s">
        <v>43186</v>
      </c>
      <c r="S13053" t="s">
        <v>44047</v>
      </c>
      <c r="T13053" t="s">
        <v>44773</v>
      </c>
      <c r="U13053" t="s">
        <v>55573</v>
      </c>
      <c r="W13053" t="s">
        <v>58652</v>
      </c>
      <c r="X13053" t="s">
        <v>43187</v>
      </c>
    </row>
    <row r="13054" spans="1:24">
      <c r="A13054">
        <f>HYPERLINK("https://www.philgeps.gov.ph/GEPSNONPILOT/Tender/SplashBidNoticeAbstractUI.aspx?menuIndex=3&amp;refID=7050738&amp;Result=3","7050738")</f>
        <v>0</v>
      </c>
      <c r="B13054" t="s">
        <v>2953</v>
      </c>
      <c r="C13054" t="s">
        <v>15904</v>
      </c>
      <c r="D13054" t="s">
        <v>17466</v>
      </c>
      <c r="E13054" t="s">
        <v>28666</v>
      </c>
      <c r="F13054" t="s">
        <v>30052</v>
      </c>
      <c r="G13054" t="s">
        <v>30058</v>
      </c>
      <c r="H13054" t="s">
        <v>30067</v>
      </c>
      <c r="I13054" t="s">
        <v>3693</v>
      </c>
      <c r="J13054" t="s">
        <v>30212</v>
      </c>
      <c r="K13054" t="s">
        <v>39190</v>
      </c>
      <c r="M13054" t="s">
        <v>42518</v>
      </c>
      <c r="N13054" t="s">
        <v>43166</v>
      </c>
      <c r="O13054" t="s">
        <v>43167</v>
      </c>
      <c r="P13054">
        <v>0</v>
      </c>
      <c r="Q13054">
        <v>4</v>
      </c>
      <c r="R13054" t="s">
        <v>43186</v>
      </c>
      <c r="S13054" t="s">
        <v>44047</v>
      </c>
      <c r="T13054" t="s">
        <v>45139</v>
      </c>
      <c r="U13054" t="s">
        <v>55574</v>
      </c>
      <c r="W13054" t="s">
        <v>58692</v>
      </c>
      <c r="X13054" t="s">
        <v>43187</v>
      </c>
    </row>
    <row r="13055" spans="1:24">
      <c r="A13055">
        <f>HYPERLINK("https://www.philgeps.gov.ph/GEPSNONPILOT/Tender/SplashBidNoticeAbstractUI.aspx?menuIndex=3&amp;refID=7050734&amp;Result=3","7050734")</f>
        <v>0</v>
      </c>
      <c r="B13055" t="s">
        <v>1863</v>
      </c>
      <c r="C13055" t="s">
        <v>15905</v>
      </c>
      <c r="D13055" t="s">
        <v>17451</v>
      </c>
      <c r="E13055" t="s">
        <v>28667</v>
      </c>
      <c r="F13055" t="s">
        <v>30052</v>
      </c>
      <c r="G13055" t="s">
        <v>30058</v>
      </c>
      <c r="H13055" t="s">
        <v>15498</v>
      </c>
      <c r="I13055" t="s">
        <v>3852</v>
      </c>
      <c r="J13055" t="s">
        <v>31464</v>
      </c>
      <c r="K13055" t="s">
        <v>39029</v>
      </c>
      <c r="M13055" t="s">
        <v>41291</v>
      </c>
      <c r="N13055" t="s">
        <v>43166</v>
      </c>
      <c r="O13055" t="s">
        <v>43167</v>
      </c>
      <c r="P13055">
        <v>0</v>
      </c>
      <c r="Q13055">
        <v>5</v>
      </c>
      <c r="R13055" t="s">
        <v>43186</v>
      </c>
      <c r="S13055" t="s">
        <v>44047</v>
      </c>
      <c r="T13055" t="s">
        <v>44777</v>
      </c>
      <c r="U13055" t="s">
        <v>55575</v>
      </c>
      <c r="W13055" t="s">
        <v>41291</v>
      </c>
      <c r="X13055" t="s">
        <v>43187</v>
      </c>
    </row>
    <row r="13056" spans="1:24">
      <c r="A13056">
        <f>HYPERLINK("https://www.philgeps.gov.ph/GEPSNONPILOT/Tender/SplashBidNoticeAbstractUI.aspx?menuIndex=3&amp;refID=7050721&amp;Result=3","7050721")</f>
        <v>0</v>
      </c>
      <c r="B13056" t="s">
        <v>1863</v>
      </c>
      <c r="C13056" t="s">
        <v>15906</v>
      </c>
      <c r="D13056" t="s">
        <v>17451</v>
      </c>
      <c r="E13056" t="s">
        <v>28668</v>
      </c>
      <c r="F13056" t="s">
        <v>30052</v>
      </c>
      <c r="G13056" t="s">
        <v>30058</v>
      </c>
      <c r="H13056" t="s">
        <v>15498</v>
      </c>
      <c r="I13056" t="s">
        <v>3852</v>
      </c>
      <c r="J13056" t="s">
        <v>38134</v>
      </c>
      <c r="K13056" t="s">
        <v>39029</v>
      </c>
      <c r="M13056" t="s">
        <v>41291</v>
      </c>
      <c r="N13056" t="s">
        <v>43166</v>
      </c>
      <c r="O13056" t="s">
        <v>43167</v>
      </c>
      <c r="P13056">
        <v>0</v>
      </c>
      <c r="Q13056">
        <v>1</v>
      </c>
      <c r="R13056" t="s">
        <v>43186</v>
      </c>
      <c r="S13056" t="s">
        <v>44047</v>
      </c>
      <c r="T13056" t="s">
        <v>44777</v>
      </c>
      <c r="U13056" t="s">
        <v>55552</v>
      </c>
      <c r="V13056" t="s">
        <v>58367</v>
      </c>
      <c r="W13056" t="s">
        <v>41291</v>
      </c>
      <c r="X13056" t="s">
        <v>43187</v>
      </c>
    </row>
    <row r="13057" spans="1:24">
      <c r="A13057">
        <f>HYPERLINK("https://www.philgeps.gov.ph/GEPSNONPILOT/Tender/SplashBidNoticeAbstractUI.aspx?menuIndex=3&amp;refID=7050712&amp;Result=3","7050712")</f>
        <v>0</v>
      </c>
      <c r="B13057" t="s">
        <v>2953</v>
      </c>
      <c r="C13057" t="s">
        <v>15907</v>
      </c>
      <c r="D13057" t="s">
        <v>17466</v>
      </c>
      <c r="E13057" t="s">
        <v>28669</v>
      </c>
      <c r="F13057" t="s">
        <v>30052</v>
      </c>
      <c r="G13057" t="s">
        <v>30058</v>
      </c>
      <c r="H13057" t="s">
        <v>30067</v>
      </c>
      <c r="I13057" t="s">
        <v>3693</v>
      </c>
      <c r="J13057" t="s">
        <v>38135</v>
      </c>
      <c r="K13057" t="s">
        <v>39023</v>
      </c>
      <c r="M13057" t="s">
        <v>42518</v>
      </c>
      <c r="N13057" t="s">
        <v>43166</v>
      </c>
      <c r="O13057" t="s">
        <v>43167</v>
      </c>
      <c r="P13057">
        <v>0</v>
      </c>
      <c r="Q13057">
        <v>2</v>
      </c>
      <c r="R13057" t="s">
        <v>43186</v>
      </c>
      <c r="S13057" t="s">
        <v>44047</v>
      </c>
      <c r="T13057" t="s">
        <v>44704</v>
      </c>
      <c r="U13057" t="s">
        <v>55576</v>
      </c>
      <c r="W13057" t="s">
        <v>58692</v>
      </c>
      <c r="X13057" t="s">
        <v>43187</v>
      </c>
    </row>
    <row r="13058" spans="1:24">
      <c r="A13058">
        <f>HYPERLINK("https://www.philgeps.gov.ph/GEPSNONPILOT/Tender/SplashBidNoticeAbstractUI.aspx?menuIndex=3&amp;refID=7050794&amp;Result=3","7050794")</f>
        <v>0</v>
      </c>
      <c r="B13058" t="s">
        <v>3212</v>
      </c>
      <c r="C13058" t="s">
        <v>15908</v>
      </c>
      <c r="D13058" t="s">
        <v>17494</v>
      </c>
      <c r="E13058" t="s">
        <v>28670</v>
      </c>
      <c r="F13058" t="s">
        <v>30052</v>
      </c>
      <c r="G13058" t="s">
        <v>30058</v>
      </c>
      <c r="H13058" t="s">
        <v>15498</v>
      </c>
      <c r="I13058" t="s">
        <v>30074</v>
      </c>
      <c r="J13058" t="s">
        <v>30574</v>
      </c>
      <c r="K13058" t="s">
        <v>39023</v>
      </c>
      <c r="M13058" t="s">
        <v>42835</v>
      </c>
      <c r="N13058" t="s">
        <v>43166</v>
      </c>
      <c r="O13058" t="s">
        <v>43167</v>
      </c>
      <c r="P13058">
        <v>0</v>
      </c>
      <c r="Q13058">
        <v>0</v>
      </c>
      <c r="R13058" t="s">
        <v>43186</v>
      </c>
      <c r="S13058" t="s">
        <v>44047</v>
      </c>
      <c r="T13058" t="s">
        <v>44870</v>
      </c>
      <c r="U13058" t="s">
        <v>55577</v>
      </c>
      <c r="W13058" t="s">
        <v>42835</v>
      </c>
      <c r="X13058" t="s">
        <v>43187</v>
      </c>
    </row>
    <row r="13059" spans="1:24">
      <c r="A13059">
        <f>HYPERLINK("https://www.philgeps.gov.ph/GEPSNONPILOT/Tender/SplashBidNoticeAbstractUI.aspx?menuIndex=3&amp;refID=7050696&amp;Result=3","7050696")</f>
        <v>0</v>
      </c>
      <c r="B13059" t="s">
        <v>1273</v>
      </c>
      <c r="C13059" t="s">
        <v>15909</v>
      </c>
      <c r="D13059" t="s">
        <v>17434</v>
      </c>
      <c r="E13059" t="s">
        <v>28671</v>
      </c>
      <c r="F13059" t="s">
        <v>30052</v>
      </c>
      <c r="G13059" t="s">
        <v>30058</v>
      </c>
      <c r="H13059" t="s">
        <v>15498</v>
      </c>
      <c r="I13059" t="s">
        <v>3852</v>
      </c>
      <c r="J13059" t="s">
        <v>30876</v>
      </c>
      <c r="K13059" t="s">
        <v>39034</v>
      </c>
      <c r="M13059" t="s">
        <v>41435</v>
      </c>
      <c r="N13059" t="s">
        <v>43166</v>
      </c>
      <c r="O13059" t="s">
        <v>43167</v>
      </c>
      <c r="P13059">
        <v>0</v>
      </c>
      <c r="Q13059">
        <v>6</v>
      </c>
      <c r="R13059" t="s">
        <v>43186</v>
      </c>
      <c r="S13059" t="s">
        <v>44047</v>
      </c>
      <c r="T13059" t="s">
        <v>44678</v>
      </c>
      <c r="U13059" t="s">
        <v>55578</v>
      </c>
      <c r="W13059" t="s">
        <v>41435</v>
      </c>
      <c r="X13059" t="s">
        <v>43187</v>
      </c>
    </row>
    <row r="13060" spans="1:24">
      <c r="A13060">
        <f>HYPERLINK("https://www.philgeps.gov.ph/GEPSNONPILOT/Tender/SplashBidNoticeAbstractUI.aspx?menuIndex=3&amp;refID=7050682&amp;Result=3","7050682")</f>
        <v>0</v>
      </c>
      <c r="B13060" t="s">
        <v>3327</v>
      </c>
      <c r="C13060" t="s">
        <v>15910</v>
      </c>
      <c r="D13060" t="s">
        <v>17458</v>
      </c>
      <c r="E13060" t="s">
        <v>28672</v>
      </c>
      <c r="F13060" t="s">
        <v>30052</v>
      </c>
      <c r="G13060" t="s">
        <v>30058</v>
      </c>
      <c r="H13060" t="s">
        <v>15498</v>
      </c>
      <c r="I13060" t="s">
        <v>3736</v>
      </c>
      <c r="J13060" t="s">
        <v>38136</v>
      </c>
      <c r="K13060" t="s">
        <v>39025</v>
      </c>
      <c r="M13060" t="s">
        <v>42968</v>
      </c>
      <c r="N13060" t="s">
        <v>43166</v>
      </c>
      <c r="O13060" t="s">
        <v>43167</v>
      </c>
      <c r="P13060">
        <v>0</v>
      </c>
      <c r="Q13060">
        <v>1</v>
      </c>
      <c r="R13060" t="s">
        <v>43186</v>
      </c>
      <c r="S13060" t="s">
        <v>44047</v>
      </c>
      <c r="T13060" t="s">
        <v>44733</v>
      </c>
      <c r="U13060" t="s">
        <v>55579</v>
      </c>
      <c r="W13060" t="s">
        <v>42968</v>
      </c>
      <c r="X13060" t="s">
        <v>43187</v>
      </c>
    </row>
    <row r="13061" spans="1:24">
      <c r="A13061">
        <f>HYPERLINK("https://www.philgeps.gov.ph/GEPSNONPILOT/Tender/SplashBidNoticeAbstractUI.aspx?menuIndex=3&amp;refID=7050680&amp;Result=3","7050680")</f>
        <v>0</v>
      </c>
      <c r="B13061" t="s">
        <v>1688</v>
      </c>
      <c r="C13061" t="s">
        <v>15911</v>
      </c>
      <c r="D13061" t="s">
        <v>17427</v>
      </c>
      <c r="E13061" t="s">
        <v>28673</v>
      </c>
      <c r="F13061" t="s">
        <v>30052</v>
      </c>
      <c r="G13061" t="s">
        <v>30058</v>
      </c>
      <c r="H13061" t="s">
        <v>30067</v>
      </c>
      <c r="I13061" t="s">
        <v>3693</v>
      </c>
      <c r="J13061" t="s">
        <v>38137</v>
      </c>
      <c r="K13061" t="s">
        <v>39026</v>
      </c>
      <c r="M13061" t="s">
        <v>41097</v>
      </c>
      <c r="N13061" t="s">
        <v>43166</v>
      </c>
      <c r="O13061" t="s">
        <v>43167</v>
      </c>
      <c r="P13061">
        <v>0</v>
      </c>
      <c r="Q13061">
        <v>0</v>
      </c>
      <c r="R13061" t="s">
        <v>43186</v>
      </c>
      <c r="S13061" t="s">
        <v>44047</v>
      </c>
      <c r="T13061" t="s">
        <v>44685</v>
      </c>
      <c r="U13061" t="s">
        <v>55580</v>
      </c>
      <c r="W13061" t="s">
        <v>41097</v>
      </c>
      <c r="X13061" t="s">
        <v>43187</v>
      </c>
    </row>
    <row r="13062" spans="1:24">
      <c r="A13062">
        <f>HYPERLINK("https://www.philgeps.gov.ph/GEPSNONPILOT/Tender/SplashBidNoticeAbstractUI.aspx?menuIndex=3&amp;refID=7050497&amp;Result=3","7050497")</f>
        <v>0</v>
      </c>
      <c r="B13062" t="s">
        <v>3325</v>
      </c>
      <c r="C13062" t="s">
        <v>15912</v>
      </c>
      <c r="D13062" t="s">
        <v>17435</v>
      </c>
      <c r="E13062" t="s">
        <v>24521</v>
      </c>
      <c r="F13062" t="s">
        <v>30052</v>
      </c>
      <c r="G13062" t="s">
        <v>30058</v>
      </c>
      <c r="H13062" t="s">
        <v>15498</v>
      </c>
      <c r="I13062" t="s">
        <v>3736</v>
      </c>
      <c r="J13062" t="s">
        <v>38138</v>
      </c>
      <c r="K13062" t="s">
        <v>39029</v>
      </c>
      <c r="M13062" t="s">
        <v>42966</v>
      </c>
      <c r="N13062" t="s">
        <v>43166</v>
      </c>
      <c r="O13062" t="s">
        <v>43167</v>
      </c>
      <c r="P13062">
        <v>0</v>
      </c>
      <c r="Q13062">
        <v>2</v>
      </c>
      <c r="R13062" t="s">
        <v>43186</v>
      </c>
      <c r="S13062" t="s">
        <v>44047</v>
      </c>
      <c r="T13062" t="s">
        <v>44689</v>
      </c>
      <c r="U13062" t="s">
        <v>55581</v>
      </c>
      <c r="W13062" t="s">
        <v>42966</v>
      </c>
      <c r="X13062" t="s">
        <v>43187</v>
      </c>
    </row>
    <row r="13063" spans="1:24">
      <c r="A13063">
        <f>HYPERLINK("https://www.philgeps.gov.ph/GEPSNONPILOT/Tender/SplashBidNoticeAbstractUI.aspx?menuIndex=3&amp;refID=7050728&amp;Result=3","7050728")</f>
        <v>0</v>
      </c>
      <c r="B13063" t="s">
        <v>1772</v>
      </c>
      <c r="C13063" t="s">
        <v>15913</v>
      </c>
      <c r="D13063" t="s">
        <v>17425</v>
      </c>
      <c r="E13063" t="s">
        <v>28674</v>
      </c>
      <c r="F13063" t="s">
        <v>30052</v>
      </c>
      <c r="G13063" t="s">
        <v>30058</v>
      </c>
      <c r="H13063" t="s">
        <v>30067</v>
      </c>
      <c r="I13063" t="s">
        <v>3693</v>
      </c>
      <c r="J13063" t="s">
        <v>30281</v>
      </c>
      <c r="K13063" t="s">
        <v>39031</v>
      </c>
      <c r="M13063" t="s">
        <v>41192</v>
      </c>
      <c r="N13063" t="s">
        <v>43166</v>
      </c>
      <c r="O13063" t="s">
        <v>43167</v>
      </c>
      <c r="P13063">
        <v>0</v>
      </c>
      <c r="Q13063">
        <v>1</v>
      </c>
      <c r="R13063" t="s">
        <v>43186</v>
      </c>
      <c r="S13063" t="s">
        <v>44047</v>
      </c>
      <c r="T13063" t="s">
        <v>44681</v>
      </c>
      <c r="U13063" t="s">
        <v>55582</v>
      </c>
      <c r="W13063" t="s">
        <v>58655</v>
      </c>
      <c r="X13063" t="s">
        <v>43187</v>
      </c>
    </row>
    <row r="13064" spans="1:24">
      <c r="A13064">
        <f>HYPERLINK("https://www.philgeps.gov.ph/GEPSNONPILOT/Tender/SplashBidNoticeAbstractUI.aspx?menuIndex=3&amp;refID=7051078&amp;Result=3","7051078")</f>
        <v>0</v>
      </c>
      <c r="B13064" t="s">
        <v>3317</v>
      </c>
      <c r="C13064" t="s">
        <v>15914</v>
      </c>
      <c r="D13064" t="s">
        <v>17476</v>
      </c>
      <c r="E13064" t="s">
        <v>28675</v>
      </c>
      <c r="F13064" t="s">
        <v>30052</v>
      </c>
      <c r="G13064" t="s">
        <v>30058</v>
      </c>
      <c r="H13064" t="s">
        <v>30067</v>
      </c>
      <c r="I13064" t="s">
        <v>3693</v>
      </c>
      <c r="J13064" t="s">
        <v>38139</v>
      </c>
      <c r="K13064" t="s">
        <v>39023</v>
      </c>
      <c r="M13064" t="s">
        <v>42958</v>
      </c>
      <c r="N13064" t="s">
        <v>43166</v>
      </c>
      <c r="O13064" t="s">
        <v>43167</v>
      </c>
      <c r="P13064">
        <v>0</v>
      </c>
      <c r="Q13064">
        <v>0</v>
      </c>
      <c r="R13064" t="s">
        <v>43186</v>
      </c>
      <c r="S13064" t="s">
        <v>44047</v>
      </c>
      <c r="T13064" t="s">
        <v>44969</v>
      </c>
      <c r="U13064" t="s">
        <v>55514</v>
      </c>
      <c r="V13064" t="s">
        <v>58368</v>
      </c>
      <c r="W13064" t="s">
        <v>42958</v>
      </c>
      <c r="X13064" t="s">
        <v>43187</v>
      </c>
    </row>
    <row r="13065" spans="1:24">
      <c r="A13065">
        <f>HYPERLINK("https://www.philgeps.gov.ph/GEPSNONPILOT/Tender/SplashBidNoticeAbstractUI.aspx?menuIndex=3&amp;refID=7050755&amp;Result=3","7050755")</f>
        <v>0</v>
      </c>
      <c r="B13065" t="s">
        <v>3327</v>
      </c>
      <c r="C13065" t="s">
        <v>15915</v>
      </c>
      <c r="D13065" t="s">
        <v>17458</v>
      </c>
      <c r="E13065" t="s">
        <v>28676</v>
      </c>
      <c r="F13065" t="s">
        <v>30052</v>
      </c>
      <c r="G13065" t="s">
        <v>30058</v>
      </c>
      <c r="H13065" t="s">
        <v>15498</v>
      </c>
      <c r="I13065" t="s">
        <v>30144</v>
      </c>
      <c r="J13065" t="s">
        <v>30277</v>
      </c>
      <c r="K13065" t="s">
        <v>39025</v>
      </c>
      <c r="M13065" t="s">
        <v>42968</v>
      </c>
      <c r="N13065" t="s">
        <v>43166</v>
      </c>
      <c r="O13065" t="s">
        <v>43167</v>
      </c>
      <c r="P13065">
        <v>0</v>
      </c>
      <c r="Q13065">
        <v>1</v>
      </c>
      <c r="R13065" t="s">
        <v>43186</v>
      </c>
      <c r="S13065" t="s">
        <v>44047</v>
      </c>
      <c r="T13065" t="s">
        <v>44733</v>
      </c>
      <c r="U13065" t="s">
        <v>55583</v>
      </c>
      <c r="W13065" t="s">
        <v>42968</v>
      </c>
      <c r="X13065" t="s">
        <v>43187</v>
      </c>
    </row>
    <row r="13066" spans="1:24">
      <c r="A13066">
        <f>HYPERLINK("https://www.philgeps.gov.ph/GEPSNONPILOT/Tender/SplashBidNoticeAbstractUI.aspx?menuIndex=3&amp;refID=7051094&amp;Result=3","7051094")</f>
        <v>0</v>
      </c>
      <c r="B13066" t="s">
        <v>1014</v>
      </c>
      <c r="C13066" t="s">
        <v>15916</v>
      </c>
      <c r="D13066" t="s">
        <v>17465</v>
      </c>
      <c r="E13066" t="s">
        <v>28677</v>
      </c>
      <c r="F13066" t="s">
        <v>30052</v>
      </c>
      <c r="G13066" t="s">
        <v>30058</v>
      </c>
      <c r="H13066" t="s">
        <v>15498</v>
      </c>
      <c r="I13066" t="s">
        <v>30074</v>
      </c>
      <c r="J13066" t="s">
        <v>38140</v>
      </c>
      <c r="K13066" t="s">
        <v>39025</v>
      </c>
      <c r="M13066" t="s">
        <v>40343</v>
      </c>
      <c r="N13066" t="s">
        <v>43166</v>
      </c>
      <c r="O13066" t="s">
        <v>43167</v>
      </c>
      <c r="P13066">
        <v>0</v>
      </c>
      <c r="Q13066">
        <v>2</v>
      </c>
      <c r="R13066" t="s">
        <v>43186</v>
      </c>
      <c r="S13066" t="s">
        <v>44047</v>
      </c>
      <c r="T13066" t="s">
        <v>44717</v>
      </c>
      <c r="U13066" t="s">
        <v>55584</v>
      </c>
      <c r="W13066" t="s">
        <v>58623</v>
      </c>
      <c r="X13066" t="s">
        <v>43187</v>
      </c>
    </row>
    <row r="13067" spans="1:24">
      <c r="A13067">
        <f>HYPERLINK("https://www.philgeps.gov.ph/GEPSNONPILOT/Tender/SplashBidNoticeAbstractUI.aspx?menuIndex=3&amp;refID=7051032&amp;Result=3","7051032")</f>
        <v>0</v>
      </c>
      <c r="B13067" t="s">
        <v>2980</v>
      </c>
      <c r="C13067" t="s">
        <v>15917</v>
      </c>
      <c r="E13067" t="s">
        <v>17779</v>
      </c>
      <c r="F13067" t="s">
        <v>30052</v>
      </c>
      <c r="G13067" t="s">
        <v>30058</v>
      </c>
      <c r="H13067" t="s">
        <v>15498</v>
      </c>
      <c r="I13067" t="s">
        <v>3606</v>
      </c>
      <c r="J13067" t="s">
        <v>38141</v>
      </c>
      <c r="K13067" t="s">
        <v>39025</v>
      </c>
      <c r="M13067" t="s">
        <v>42550</v>
      </c>
      <c r="N13067" t="s">
        <v>43166</v>
      </c>
      <c r="O13067" t="s">
        <v>43167</v>
      </c>
      <c r="P13067">
        <v>0</v>
      </c>
      <c r="Q13067">
        <v>1</v>
      </c>
      <c r="R13067" t="s">
        <v>43186</v>
      </c>
      <c r="S13067" t="s">
        <v>44047</v>
      </c>
      <c r="T13067" t="s">
        <v>45111</v>
      </c>
      <c r="U13067" t="s">
        <v>55585</v>
      </c>
      <c r="W13067" t="s">
        <v>42550</v>
      </c>
      <c r="X13067" t="s">
        <v>43187</v>
      </c>
    </row>
    <row r="13068" spans="1:24">
      <c r="A13068">
        <f>HYPERLINK("https://www.philgeps.gov.ph/GEPSNONPILOT/Tender/SplashBidNoticeAbstractUI.aspx?menuIndex=3&amp;refID=7051100&amp;Result=3","7051100")</f>
        <v>0</v>
      </c>
      <c r="B13068" t="s">
        <v>2980</v>
      </c>
      <c r="C13068" t="s">
        <v>15918</v>
      </c>
      <c r="E13068" t="s">
        <v>17585</v>
      </c>
      <c r="F13068" t="s">
        <v>30052</v>
      </c>
      <c r="G13068" t="s">
        <v>30058</v>
      </c>
      <c r="H13068" t="s">
        <v>15498</v>
      </c>
      <c r="I13068" t="s">
        <v>30071</v>
      </c>
      <c r="J13068" t="s">
        <v>38142</v>
      </c>
      <c r="K13068" t="s">
        <v>39025</v>
      </c>
      <c r="M13068" t="s">
        <v>42550</v>
      </c>
      <c r="N13068" t="s">
        <v>43166</v>
      </c>
      <c r="O13068" t="s">
        <v>43167</v>
      </c>
      <c r="P13068">
        <v>0</v>
      </c>
      <c r="Q13068">
        <v>0</v>
      </c>
      <c r="R13068" t="s">
        <v>43186</v>
      </c>
      <c r="S13068" t="s">
        <v>44047</v>
      </c>
      <c r="T13068" t="s">
        <v>45111</v>
      </c>
      <c r="U13068" t="s">
        <v>55586</v>
      </c>
      <c r="W13068" t="s">
        <v>42550</v>
      </c>
      <c r="X13068" t="s">
        <v>43187</v>
      </c>
    </row>
    <row r="13069" spans="1:24">
      <c r="A13069">
        <f>HYPERLINK("https://www.philgeps.gov.ph/GEPSNONPILOT/Tender/SplashBidNoticeAbstractUI.aspx?menuIndex=3&amp;refID=7051019&amp;Result=3","7051019")</f>
        <v>0</v>
      </c>
      <c r="B13069" t="s">
        <v>3215</v>
      </c>
      <c r="C13069" t="s">
        <v>15919</v>
      </c>
      <c r="D13069" t="s">
        <v>17441</v>
      </c>
      <c r="E13069" t="s">
        <v>28678</v>
      </c>
      <c r="F13069" t="s">
        <v>30052</v>
      </c>
      <c r="G13069" t="s">
        <v>30058</v>
      </c>
      <c r="H13069" t="s">
        <v>15498</v>
      </c>
      <c r="I13069" t="s">
        <v>30088</v>
      </c>
      <c r="J13069" t="s">
        <v>33400</v>
      </c>
      <c r="K13069" t="s">
        <v>39025</v>
      </c>
      <c r="M13069" t="s">
        <v>42838</v>
      </c>
      <c r="N13069" t="s">
        <v>43166</v>
      </c>
      <c r="O13069" t="s">
        <v>43167</v>
      </c>
      <c r="Q13069">
        <v>12</v>
      </c>
      <c r="R13069" t="s">
        <v>43186</v>
      </c>
      <c r="S13069" t="s">
        <v>44081</v>
      </c>
      <c r="T13069" t="s">
        <v>45021</v>
      </c>
      <c r="U13069" t="s">
        <v>55587</v>
      </c>
      <c r="V13069" t="s">
        <v>58369</v>
      </c>
      <c r="W13069" t="s">
        <v>42838</v>
      </c>
      <c r="X13069" t="s">
        <v>43187</v>
      </c>
    </row>
    <row r="13070" spans="1:24">
      <c r="A13070">
        <f>HYPERLINK("https://www.philgeps.gov.ph/GEPSNONPILOT/Tender/SplashBidNoticeAbstractUI.aspx?menuIndex=3&amp;refID=7051006&amp;Result=3","7051006")</f>
        <v>0</v>
      </c>
      <c r="B13070" t="s">
        <v>256</v>
      </c>
      <c r="C13070" t="s">
        <v>15920</v>
      </c>
      <c r="D13070" t="s">
        <v>17415</v>
      </c>
      <c r="E13070" t="s">
        <v>28679</v>
      </c>
      <c r="F13070" t="s">
        <v>30052</v>
      </c>
      <c r="G13070" t="s">
        <v>30058</v>
      </c>
      <c r="H13070" t="s">
        <v>15498</v>
      </c>
      <c r="I13070" t="s">
        <v>30076</v>
      </c>
      <c r="J13070" t="s">
        <v>38143</v>
      </c>
      <c r="K13070" t="s">
        <v>39025</v>
      </c>
      <c r="M13070" t="s">
        <v>39547</v>
      </c>
      <c r="N13070" t="s">
        <v>43166</v>
      </c>
      <c r="O13070" t="s">
        <v>43167</v>
      </c>
      <c r="P13070">
        <v>0</v>
      </c>
      <c r="Q13070">
        <v>32</v>
      </c>
      <c r="R13070" t="s">
        <v>43186</v>
      </c>
      <c r="S13070" t="s">
        <v>44047</v>
      </c>
      <c r="T13070" t="s">
        <v>44837</v>
      </c>
      <c r="U13070" t="s">
        <v>55588</v>
      </c>
      <c r="W13070" t="s">
        <v>39547</v>
      </c>
      <c r="X13070" t="s">
        <v>43187</v>
      </c>
    </row>
    <row r="13071" spans="1:24">
      <c r="A13071">
        <f>HYPERLINK("https://www.philgeps.gov.ph/GEPSNONPILOT/Tender/SplashBidNoticeAbstractUI.aspx?menuIndex=3&amp;refID=7051080&amp;Result=3","7051080")</f>
        <v>0</v>
      </c>
      <c r="B13071" t="s">
        <v>3094</v>
      </c>
      <c r="C13071" t="s">
        <v>15921</v>
      </c>
      <c r="D13071" t="s">
        <v>17459</v>
      </c>
      <c r="E13071" t="s">
        <v>28680</v>
      </c>
      <c r="F13071" t="s">
        <v>30052</v>
      </c>
      <c r="G13071" t="s">
        <v>30058</v>
      </c>
      <c r="H13071" t="s">
        <v>15498</v>
      </c>
      <c r="I13071" t="s">
        <v>30117</v>
      </c>
      <c r="J13071" t="s">
        <v>38144</v>
      </c>
      <c r="K13071" t="s">
        <v>39029</v>
      </c>
      <c r="M13071" t="s">
        <v>42680</v>
      </c>
      <c r="N13071" t="s">
        <v>43166</v>
      </c>
      <c r="O13071" t="s">
        <v>43167</v>
      </c>
      <c r="Q13071">
        <v>0</v>
      </c>
      <c r="R13071" t="s">
        <v>43186</v>
      </c>
      <c r="S13071" t="s">
        <v>44082</v>
      </c>
      <c r="T13071" t="s">
        <v>45173</v>
      </c>
      <c r="U13071" t="s">
        <v>54151</v>
      </c>
      <c r="V13071" t="s">
        <v>58092</v>
      </c>
      <c r="W13071" t="s">
        <v>42680</v>
      </c>
      <c r="X13071" t="s">
        <v>43187</v>
      </c>
    </row>
    <row r="13072" spans="1:24">
      <c r="A13072">
        <f>HYPERLINK("https://www.philgeps.gov.ph/GEPSNONPILOT/Tender/SplashBidNoticeAbstractUI.aspx?menuIndex=3&amp;refID=7050482&amp;Result=3","7050482")</f>
        <v>0</v>
      </c>
      <c r="B13072" t="s">
        <v>3215</v>
      </c>
      <c r="C13072" t="s">
        <v>15922</v>
      </c>
      <c r="D13072" t="s">
        <v>17441</v>
      </c>
      <c r="E13072" t="s">
        <v>28681</v>
      </c>
      <c r="F13072" t="s">
        <v>30052</v>
      </c>
      <c r="G13072" t="s">
        <v>30058</v>
      </c>
      <c r="H13072" t="s">
        <v>15498</v>
      </c>
      <c r="I13072" t="s">
        <v>7228</v>
      </c>
      <c r="J13072" t="s">
        <v>30222</v>
      </c>
      <c r="K13072" t="s">
        <v>39025</v>
      </c>
      <c r="M13072" t="s">
        <v>42838</v>
      </c>
      <c r="N13072" t="s">
        <v>43166</v>
      </c>
      <c r="O13072" t="s">
        <v>43167</v>
      </c>
      <c r="Q13072">
        <v>3</v>
      </c>
      <c r="R13072" t="s">
        <v>43186</v>
      </c>
      <c r="S13072" t="s">
        <v>44083</v>
      </c>
      <c r="T13072" t="s">
        <v>44828</v>
      </c>
      <c r="U13072" t="s">
        <v>55589</v>
      </c>
      <c r="V13072" t="s">
        <v>58370</v>
      </c>
      <c r="W13072" t="s">
        <v>42838</v>
      </c>
      <c r="X13072" t="s">
        <v>43187</v>
      </c>
    </row>
    <row r="13073" spans="1:24">
      <c r="A13073">
        <f>HYPERLINK("https://www.philgeps.gov.ph/GEPSNONPILOT/Tender/SplashBidNoticeAbstractUI.aspx?menuIndex=3&amp;refID=7050996&amp;Result=3","7050996")</f>
        <v>0</v>
      </c>
      <c r="B13073" t="s">
        <v>2980</v>
      </c>
      <c r="C13073" t="s">
        <v>15923</v>
      </c>
      <c r="E13073" t="s">
        <v>17892</v>
      </c>
      <c r="F13073" t="s">
        <v>30052</v>
      </c>
      <c r="G13073" t="s">
        <v>30058</v>
      </c>
      <c r="H13073" t="s">
        <v>15498</v>
      </c>
      <c r="I13073" t="s">
        <v>30097</v>
      </c>
      <c r="J13073" t="s">
        <v>36888</v>
      </c>
      <c r="K13073" t="s">
        <v>39025</v>
      </c>
      <c r="M13073" t="s">
        <v>42550</v>
      </c>
      <c r="N13073" t="s">
        <v>43166</v>
      </c>
      <c r="O13073" t="s">
        <v>43167</v>
      </c>
      <c r="P13073">
        <v>0</v>
      </c>
      <c r="Q13073">
        <v>3</v>
      </c>
      <c r="R13073" t="s">
        <v>43186</v>
      </c>
      <c r="S13073" t="s">
        <v>44047</v>
      </c>
      <c r="T13073" t="s">
        <v>45111</v>
      </c>
      <c r="U13073" t="s">
        <v>55590</v>
      </c>
      <c r="W13073" t="s">
        <v>42550</v>
      </c>
      <c r="X13073" t="s">
        <v>43187</v>
      </c>
    </row>
    <row r="13074" spans="1:24">
      <c r="A13074">
        <f>HYPERLINK("https://www.philgeps.gov.ph/GEPSNONPILOT/Tender/SplashBidNoticeAbstractUI.aspx?menuIndex=3&amp;refID=7050970&amp;Result=3","7050970")</f>
        <v>0</v>
      </c>
      <c r="B13074" t="s">
        <v>256</v>
      </c>
      <c r="C13074" t="s">
        <v>15924</v>
      </c>
      <c r="D13074" t="s">
        <v>17415</v>
      </c>
      <c r="E13074" t="s">
        <v>28682</v>
      </c>
      <c r="F13074" t="s">
        <v>30052</v>
      </c>
      <c r="G13074" t="s">
        <v>30058</v>
      </c>
      <c r="H13074" t="s">
        <v>15498</v>
      </c>
      <c r="I13074" t="s">
        <v>3606</v>
      </c>
      <c r="J13074" t="s">
        <v>38145</v>
      </c>
      <c r="K13074" t="s">
        <v>39025</v>
      </c>
      <c r="M13074" t="s">
        <v>39547</v>
      </c>
      <c r="N13074" t="s">
        <v>43166</v>
      </c>
      <c r="O13074" t="s">
        <v>43167</v>
      </c>
      <c r="P13074">
        <v>0</v>
      </c>
      <c r="Q13074">
        <v>3</v>
      </c>
      <c r="R13074" t="s">
        <v>43186</v>
      </c>
      <c r="S13074" t="s">
        <v>44047</v>
      </c>
      <c r="T13074" t="s">
        <v>44837</v>
      </c>
      <c r="U13074" t="s">
        <v>55591</v>
      </c>
      <c r="W13074" t="s">
        <v>39547</v>
      </c>
      <c r="X13074" t="s">
        <v>43187</v>
      </c>
    </row>
    <row r="13075" spans="1:24">
      <c r="A13075">
        <f>HYPERLINK("https://www.philgeps.gov.ph/GEPSNONPILOT/Tender/SplashBidNoticeAbstractUI.aspx?menuIndex=3&amp;refID=7050959&amp;Result=3","7050959")</f>
        <v>0</v>
      </c>
      <c r="B13075" t="s">
        <v>202</v>
      </c>
      <c r="C13075" t="s">
        <v>15925</v>
      </c>
      <c r="D13075" t="s">
        <v>17461</v>
      </c>
      <c r="E13075" t="s">
        <v>28683</v>
      </c>
      <c r="F13075" t="s">
        <v>30052</v>
      </c>
      <c r="G13075" t="s">
        <v>30058</v>
      </c>
      <c r="H13075" t="s">
        <v>30067</v>
      </c>
      <c r="I13075" t="s">
        <v>3693</v>
      </c>
      <c r="J13075" t="s">
        <v>38146</v>
      </c>
      <c r="K13075" t="s">
        <v>39054</v>
      </c>
      <c r="M13075" t="s">
        <v>42091</v>
      </c>
      <c r="N13075" t="s">
        <v>43166</v>
      </c>
      <c r="O13075" t="s">
        <v>43167</v>
      </c>
      <c r="P13075">
        <v>0</v>
      </c>
      <c r="Q13075">
        <v>1</v>
      </c>
      <c r="R13075" t="s">
        <v>43186</v>
      </c>
      <c r="S13075" t="s">
        <v>44047</v>
      </c>
      <c r="T13075" t="s">
        <v>44678</v>
      </c>
      <c r="U13075" t="s">
        <v>55592</v>
      </c>
      <c r="W13075" t="s">
        <v>42091</v>
      </c>
      <c r="X13075" t="s">
        <v>43187</v>
      </c>
    </row>
    <row r="13076" spans="1:24">
      <c r="A13076">
        <f>HYPERLINK("https://www.philgeps.gov.ph/GEPSNONPILOT/Tender/SplashBidNoticeAbstractUI.aspx?menuIndex=3&amp;refID=7050955&amp;Result=3","7050955")</f>
        <v>0</v>
      </c>
      <c r="B13076" t="s">
        <v>2486</v>
      </c>
      <c r="C13076" t="s">
        <v>15926</v>
      </c>
      <c r="D13076" t="s">
        <v>17463</v>
      </c>
      <c r="E13076" t="s">
        <v>28684</v>
      </c>
      <c r="F13076" t="s">
        <v>30052</v>
      </c>
      <c r="G13076" t="s">
        <v>30058</v>
      </c>
      <c r="H13076" t="s">
        <v>15498</v>
      </c>
      <c r="I13076" t="s">
        <v>30073</v>
      </c>
      <c r="J13076" t="s">
        <v>38147</v>
      </c>
      <c r="K13076" t="s">
        <v>39019</v>
      </c>
      <c r="M13076" t="s">
        <v>41987</v>
      </c>
      <c r="N13076" t="s">
        <v>43166</v>
      </c>
      <c r="O13076" t="s">
        <v>43167</v>
      </c>
      <c r="P13076">
        <v>0</v>
      </c>
      <c r="Q13076">
        <v>1</v>
      </c>
      <c r="R13076" t="s">
        <v>43186</v>
      </c>
      <c r="S13076" t="s">
        <v>44047</v>
      </c>
      <c r="T13076" t="s">
        <v>45174</v>
      </c>
      <c r="U13076" t="s">
        <v>51765</v>
      </c>
      <c r="W13076" t="s">
        <v>41987</v>
      </c>
      <c r="X13076" t="s">
        <v>43187</v>
      </c>
    </row>
    <row r="13077" spans="1:24">
      <c r="A13077">
        <f>HYPERLINK("https://www.philgeps.gov.ph/GEPSNONPILOT/Tender/SplashBidNoticeAbstractUI.aspx?menuIndex=3&amp;refID=7050972&amp;Result=3","7050972")</f>
        <v>0</v>
      </c>
      <c r="B13077" t="s">
        <v>3215</v>
      </c>
      <c r="C13077" t="s">
        <v>15927</v>
      </c>
      <c r="D13077" t="s">
        <v>17441</v>
      </c>
      <c r="E13077" t="s">
        <v>28685</v>
      </c>
      <c r="F13077" t="s">
        <v>30052</v>
      </c>
      <c r="G13077" t="s">
        <v>30058</v>
      </c>
      <c r="H13077" t="s">
        <v>15498</v>
      </c>
      <c r="I13077" t="s">
        <v>3606</v>
      </c>
      <c r="J13077" t="s">
        <v>38148</v>
      </c>
      <c r="K13077" t="s">
        <v>39025</v>
      </c>
      <c r="M13077" t="s">
        <v>42838</v>
      </c>
      <c r="N13077" t="s">
        <v>43166</v>
      </c>
      <c r="O13077" t="s">
        <v>43167</v>
      </c>
      <c r="Q13077">
        <v>13</v>
      </c>
      <c r="R13077" t="s">
        <v>43186</v>
      </c>
      <c r="S13077" t="s">
        <v>44084</v>
      </c>
      <c r="T13077" t="s">
        <v>45021</v>
      </c>
      <c r="U13077" t="s">
        <v>55593</v>
      </c>
      <c r="V13077" t="s">
        <v>58371</v>
      </c>
      <c r="W13077" t="s">
        <v>42838</v>
      </c>
      <c r="X13077" t="s">
        <v>43187</v>
      </c>
    </row>
    <row r="13078" spans="1:24">
      <c r="A13078">
        <f>HYPERLINK("https://www.philgeps.gov.ph/GEPSNONPILOT/Tender/SplashBidNoticeAbstractUI.aspx?menuIndex=3&amp;refID=7050924&amp;Result=3","7050924")</f>
        <v>0</v>
      </c>
      <c r="B13078" t="s">
        <v>202</v>
      </c>
      <c r="C13078" t="s">
        <v>15928</v>
      </c>
      <c r="D13078" t="s">
        <v>17461</v>
      </c>
      <c r="E13078" t="s">
        <v>28686</v>
      </c>
      <c r="F13078" t="s">
        <v>30052</v>
      </c>
      <c r="G13078" t="s">
        <v>30058</v>
      </c>
      <c r="H13078" t="s">
        <v>30067</v>
      </c>
      <c r="I13078" t="s">
        <v>3693</v>
      </c>
      <c r="J13078" t="s">
        <v>38146</v>
      </c>
      <c r="K13078" t="s">
        <v>39054</v>
      </c>
      <c r="M13078" t="s">
        <v>42091</v>
      </c>
      <c r="N13078" t="s">
        <v>43166</v>
      </c>
      <c r="O13078" t="s">
        <v>43167</v>
      </c>
      <c r="P13078">
        <v>0</v>
      </c>
      <c r="Q13078">
        <v>2</v>
      </c>
      <c r="R13078" t="s">
        <v>43186</v>
      </c>
      <c r="S13078" t="s">
        <v>44047</v>
      </c>
      <c r="T13078" t="s">
        <v>44678</v>
      </c>
      <c r="U13078" t="s">
        <v>55594</v>
      </c>
      <c r="W13078" t="s">
        <v>42091</v>
      </c>
      <c r="X13078" t="s">
        <v>43187</v>
      </c>
    </row>
    <row r="13079" spans="1:24">
      <c r="A13079">
        <f>HYPERLINK("https://www.philgeps.gov.ph/GEPSNONPILOT/Tender/SplashBidNoticeAbstractUI.aspx?menuIndex=3&amp;refID=7050693&amp;Result=3","7050693")</f>
        <v>0</v>
      </c>
      <c r="B13079" t="s">
        <v>1863</v>
      </c>
      <c r="C13079" t="s">
        <v>15929</v>
      </c>
      <c r="D13079" t="s">
        <v>17451</v>
      </c>
      <c r="E13079" t="s">
        <v>28687</v>
      </c>
      <c r="F13079" t="s">
        <v>30052</v>
      </c>
      <c r="G13079" t="s">
        <v>30058</v>
      </c>
      <c r="H13079" t="s">
        <v>15498</v>
      </c>
      <c r="I13079" t="s">
        <v>30074</v>
      </c>
      <c r="J13079" t="s">
        <v>30494</v>
      </c>
      <c r="K13079" t="s">
        <v>39029</v>
      </c>
      <c r="M13079" t="s">
        <v>41291</v>
      </c>
      <c r="N13079" t="s">
        <v>43166</v>
      </c>
      <c r="O13079" t="s">
        <v>43167</v>
      </c>
      <c r="P13079">
        <v>0</v>
      </c>
      <c r="Q13079">
        <v>6</v>
      </c>
      <c r="R13079" t="s">
        <v>43186</v>
      </c>
      <c r="S13079" t="s">
        <v>44047</v>
      </c>
      <c r="T13079" t="s">
        <v>44777</v>
      </c>
      <c r="U13079" t="s">
        <v>55552</v>
      </c>
      <c r="V13079" t="s">
        <v>58362</v>
      </c>
      <c r="W13079" t="s">
        <v>41291</v>
      </c>
      <c r="X13079" t="s">
        <v>43187</v>
      </c>
    </row>
    <row r="13080" spans="1:24">
      <c r="A13080">
        <f>HYPERLINK("https://www.philgeps.gov.ph/GEPSNONPILOT/Tender/SplashBidNoticeAbstractUI.aspx?menuIndex=3&amp;refID=7050269&amp;Result=3","7050269")</f>
        <v>0</v>
      </c>
      <c r="B13080" t="s">
        <v>1339</v>
      </c>
      <c r="C13080" t="s">
        <v>15930</v>
      </c>
      <c r="D13080" t="s">
        <v>17474</v>
      </c>
      <c r="E13080" t="s">
        <v>28688</v>
      </c>
      <c r="F13080" t="s">
        <v>30052</v>
      </c>
      <c r="G13080" t="s">
        <v>30058</v>
      </c>
      <c r="H13080" t="s">
        <v>15498</v>
      </c>
      <c r="I13080" t="s">
        <v>3736</v>
      </c>
      <c r="J13080" t="s">
        <v>38149</v>
      </c>
      <c r="K13080" t="s">
        <v>39029</v>
      </c>
      <c r="M13080" t="s">
        <v>40706</v>
      </c>
      <c r="N13080" t="s">
        <v>43166</v>
      </c>
      <c r="O13080" t="s">
        <v>43167</v>
      </c>
      <c r="P13080">
        <v>0</v>
      </c>
      <c r="Q13080">
        <v>1</v>
      </c>
      <c r="R13080" t="s">
        <v>43186</v>
      </c>
      <c r="S13080" t="s">
        <v>44047</v>
      </c>
      <c r="T13080" t="s">
        <v>44685</v>
      </c>
      <c r="U13080" t="s">
        <v>48174</v>
      </c>
      <c r="V13080" t="s">
        <v>57248</v>
      </c>
      <c r="W13080" t="s">
        <v>40706</v>
      </c>
      <c r="X13080" t="s">
        <v>43187</v>
      </c>
    </row>
    <row r="13081" spans="1:24">
      <c r="A13081">
        <f>HYPERLINK("https://www.philgeps.gov.ph/GEPSNONPILOT/Tender/SplashBidNoticeAbstractUI.aspx?menuIndex=3&amp;refID=7050907&amp;Result=3","7050907")</f>
        <v>0</v>
      </c>
      <c r="B13081" t="s">
        <v>3325</v>
      </c>
      <c r="C13081" t="s">
        <v>15931</v>
      </c>
      <c r="D13081" t="s">
        <v>17435</v>
      </c>
      <c r="E13081" t="s">
        <v>28375</v>
      </c>
      <c r="F13081" t="s">
        <v>30052</v>
      </c>
      <c r="G13081" t="s">
        <v>30058</v>
      </c>
      <c r="H13081" t="s">
        <v>15498</v>
      </c>
      <c r="I13081" t="s">
        <v>3606</v>
      </c>
      <c r="J13081" t="s">
        <v>38150</v>
      </c>
      <c r="K13081" t="s">
        <v>39019</v>
      </c>
      <c r="M13081" t="s">
        <v>42966</v>
      </c>
      <c r="N13081" t="s">
        <v>43166</v>
      </c>
      <c r="O13081" t="s">
        <v>43167</v>
      </c>
      <c r="P13081">
        <v>0</v>
      </c>
      <c r="Q13081">
        <v>8</v>
      </c>
      <c r="R13081" t="s">
        <v>43186</v>
      </c>
      <c r="S13081" t="s">
        <v>44047</v>
      </c>
      <c r="T13081" t="s">
        <v>44689</v>
      </c>
      <c r="U13081" t="s">
        <v>55595</v>
      </c>
      <c r="W13081" t="s">
        <v>42966</v>
      </c>
      <c r="X13081" t="s">
        <v>43187</v>
      </c>
    </row>
    <row r="13082" spans="1:24">
      <c r="A13082">
        <f>HYPERLINK("https://www.philgeps.gov.ph/GEPSNONPILOT/Tender/SplashBidNoticeAbstractUI.aspx?menuIndex=3&amp;refID=7050905&amp;Result=3","7050905")</f>
        <v>0</v>
      </c>
      <c r="B13082" t="s">
        <v>256</v>
      </c>
      <c r="C13082" t="s">
        <v>15932</v>
      </c>
      <c r="D13082" t="s">
        <v>17415</v>
      </c>
      <c r="E13082" t="s">
        <v>28689</v>
      </c>
      <c r="F13082" t="s">
        <v>30052</v>
      </c>
      <c r="G13082" t="s">
        <v>30058</v>
      </c>
      <c r="H13082" t="s">
        <v>30069</v>
      </c>
      <c r="I13082" t="s">
        <v>30100</v>
      </c>
      <c r="J13082" t="s">
        <v>30397</v>
      </c>
      <c r="K13082" t="s">
        <v>39067</v>
      </c>
      <c r="M13082" t="s">
        <v>39547</v>
      </c>
      <c r="N13082" t="s">
        <v>43166</v>
      </c>
      <c r="O13082" t="s">
        <v>43167</v>
      </c>
      <c r="P13082">
        <v>0</v>
      </c>
      <c r="Q13082">
        <v>10</v>
      </c>
      <c r="R13082" t="s">
        <v>43186</v>
      </c>
      <c r="S13082" t="s">
        <v>44047</v>
      </c>
      <c r="T13082" t="s">
        <v>44837</v>
      </c>
      <c r="U13082" t="s">
        <v>55596</v>
      </c>
      <c r="W13082" t="s">
        <v>39547</v>
      </c>
      <c r="X13082" t="s">
        <v>43187</v>
      </c>
    </row>
    <row r="13083" spans="1:24">
      <c r="A13083">
        <f>HYPERLINK("https://www.philgeps.gov.ph/GEPSNONPILOT/Tender/SplashBidNoticeAbstractUI.aspx?menuIndex=3&amp;refID=7050936&amp;Result=3","7050936")</f>
        <v>0</v>
      </c>
      <c r="B13083" t="s">
        <v>2486</v>
      </c>
      <c r="C13083" t="s">
        <v>15933</v>
      </c>
      <c r="D13083" t="s">
        <v>17463</v>
      </c>
      <c r="E13083" t="s">
        <v>28690</v>
      </c>
      <c r="F13083" t="s">
        <v>30052</v>
      </c>
      <c r="G13083" t="s">
        <v>30058</v>
      </c>
      <c r="H13083" t="s">
        <v>15498</v>
      </c>
      <c r="I13083" t="s">
        <v>3736</v>
      </c>
      <c r="J13083" t="s">
        <v>38151</v>
      </c>
      <c r="K13083" t="s">
        <v>39029</v>
      </c>
      <c r="M13083" t="s">
        <v>41987</v>
      </c>
      <c r="N13083" t="s">
        <v>43166</v>
      </c>
      <c r="O13083" t="s">
        <v>43167</v>
      </c>
      <c r="P13083">
        <v>0</v>
      </c>
      <c r="Q13083">
        <v>0</v>
      </c>
      <c r="R13083" t="s">
        <v>43186</v>
      </c>
      <c r="S13083" t="s">
        <v>44047</v>
      </c>
      <c r="T13083" t="s">
        <v>44717</v>
      </c>
      <c r="U13083" t="s">
        <v>51765</v>
      </c>
      <c r="W13083" t="s">
        <v>41987</v>
      </c>
      <c r="X13083" t="s">
        <v>43187</v>
      </c>
    </row>
    <row r="13084" spans="1:24">
      <c r="A13084">
        <f>HYPERLINK("https://www.philgeps.gov.ph/GEPSNONPILOT/Tender/SplashBidNoticeAbstractUI.aspx?menuIndex=3&amp;refID=7050470&amp;Result=3","7050470")</f>
        <v>0</v>
      </c>
      <c r="B13084" t="s">
        <v>3324</v>
      </c>
      <c r="C13084" t="s">
        <v>15934</v>
      </c>
      <c r="E13084" t="s">
        <v>27787</v>
      </c>
      <c r="F13084" t="s">
        <v>30052</v>
      </c>
      <c r="G13084" t="s">
        <v>30058</v>
      </c>
      <c r="H13084" t="s">
        <v>15498</v>
      </c>
      <c r="I13084" t="s">
        <v>4650</v>
      </c>
      <c r="J13084" t="s">
        <v>31146</v>
      </c>
      <c r="K13084" t="s">
        <v>39017</v>
      </c>
      <c r="M13084" t="s">
        <v>42965</v>
      </c>
      <c r="N13084" t="s">
        <v>43166</v>
      </c>
      <c r="O13084" t="s">
        <v>43167</v>
      </c>
      <c r="P13084">
        <v>0</v>
      </c>
      <c r="Q13084">
        <v>2</v>
      </c>
      <c r="R13084" t="s">
        <v>43186</v>
      </c>
      <c r="S13084" t="s">
        <v>44047</v>
      </c>
      <c r="T13084" t="s">
        <v>44773</v>
      </c>
      <c r="U13084" t="s">
        <v>55597</v>
      </c>
      <c r="W13084" t="s">
        <v>42965</v>
      </c>
      <c r="X13084" t="s">
        <v>43187</v>
      </c>
    </row>
    <row r="13085" spans="1:24">
      <c r="A13085">
        <f>HYPERLINK("https://www.philgeps.gov.ph/GEPSNONPILOT/Tender/SplashBidNoticeAbstractUI.aspx?menuIndex=3&amp;refID=7050904&amp;Result=3","7050904")</f>
        <v>0</v>
      </c>
      <c r="B13085" t="s">
        <v>202</v>
      </c>
      <c r="C13085" t="s">
        <v>15935</v>
      </c>
      <c r="D13085" t="s">
        <v>17461</v>
      </c>
      <c r="E13085" t="s">
        <v>28691</v>
      </c>
      <c r="F13085" t="s">
        <v>30052</v>
      </c>
      <c r="G13085" t="s">
        <v>30058</v>
      </c>
      <c r="H13085" t="s">
        <v>30067</v>
      </c>
      <c r="I13085" t="s">
        <v>3693</v>
      </c>
      <c r="J13085" t="s">
        <v>38152</v>
      </c>
      <c r="K13085" t="s">
        <v>39065</v>
      </c>
      <c r="M13085" t="s">
        <v>42091</v>
      </c>
      <c r="N13085" t="s">
        <v>43166</v>
      </c>
      <c r="O13085" t="s">
        <v>43167</v>
      </c>
      <c r="P13085">
        <v>0</v>
      </c>
      <c r="Q13085">
        <v>1</v>
      </c>
      <c r="R13085" t="s">
        <v>43186</v>
      </c>
      <c r="S13085" t="s">
        <v>44047</v>
      </c>
      <c r="T13085" t="s">
        <v>44678</v>
      </c>
      <c r="U13085" t="s">
        <v>55598</v>
      </c>
      <c r="W13085" t="s">
        <v>42091</v>
      </c>
      <c r="X13085" t="s">
        <v>43187</v>
      </c>
    </row>
    <row r="13086" spans="1:24">
      <c r="A13086">
        <f>HYPERLINK("https://www.philgeps.gov.ph/GEPSNONPILOT/Tender/SplashBidNoticeAbstractUI.aspx?menuIndex=3&amp;refID=7050431&amp;Result=3","7050431")</f>
        <v>0</v>
      </c>
      <c r="B13086" t="s">
        <v>1960</v>
      </c>
      <c r="C13086" t="s">
        <v>15936</v>
      </c>
      <c r="D13086" t="s">
        <v>17427</v>
      </c>
      <c r="E13086" t="s">
        <v>15936</v>
      </c>
      <c r="F13086" t="s">
        <v>30052</v>
      </c>
      <c r="G13086" t="s">
        <v>30058</v>
      </c>
      <c r="H13086" t="s">
        <v>15498</v>
      </c>
      <c r="I13086" t="s">
        <v>3606</v>
      </c>
      <c r="J13086" t="s">
        <v>31137</v>
      </c>
      <c r="K13086" t="s">
        <v>39025</v>
      </c>
      <c r="M13086" t="s">
        <v>41397</v>
      </c>
      <c r="N13086" t="s">
        <v>43166</v>
      </c>
      <c r="O13086" t="s">
        <v>43167</v>
      </c>
      <c r="Q13086">
        <v>6</v>
      </c>
      <c r="R13086" t="s">
        <v>43186</v>
      </c>
      <c r="S13086" t="s">
        <v>44085</v>
      </c>
      <c r="T13086" t="s">
        <v>44777</v>
      </c>
      <c r="U13086" t="s">
        <v>55599</v>
      </c>
      <c r="V13086" t="s">
        <v>57866</v>
      </c>
      <c r="W13086" t="s">
        <v>41397</v>
      </c>
      <c r="X13086" t="s">
        <v>43187</v>
      </c>
    </row>
    <row r="13087" spans="1:24">
      <c r="A13087">
        <f>HYPERLINK("https://www.philgeps.gov.ph/GEPSNONPILOT/Tender/SplashBidNoticeAbstractUI.aspx?menuIndex=3&amp;refID=7050428&amp;Result=3","7050428")</f>
        <v>0</v>
      </c>
      <c r="B13087" t="s">
        <v>3330</v>
      </c>
      <c r="C13087" t="s">
        <v>15937</v>
      </c>
      <c r="D13087" t="s">
        <v>17431</v>
      </c>
      <c r="E13087" t="s">
        <v>28692</v>
      </c>
      <c r="F13087" t="s">
        <v>30052</v>
      </c>
      <c r="G13087" t="s">
        <v>30058</v>
      </c>
      <c r="H13087" t="s">
        <v>30067</v>
      </c>
      <c r="I13087" t="s">
        <v>3693</v>
      </c>
      <c r="J13087" t="s">
        <v>30360</v>
      </c>
      <c r="K13087" t="s">
        <v>39025</v>
      </c>
      <c r="M13087" t="s">
        <v>42971</v>
      </c>
      <c r="N13087" t="s">
        <v>43166</v>
      </c>
      <c r="O13087" t="s">
        <v>43167</v>
      </c>
      <c r="P13087">
        <v>0</v>
      </c>
      <c r="Q13087">
        <v>0</v>
      </c>
      <c r="R13087" t="s">
        <v>43186</v>
      </c>
      <c r="S13087" t="s">
        <v>44047</v>
      </c>
      <c r="T13087" t="s">
        <v>44685</v>
      </c>
      <c r="U13087" t="s">
        <v>55600</v>
      </c>
      <c r="W13087" t="s">
        <v>42971</v>
      </c>
      <c r="X13087" t="s">
        <v>43187</v>
      </c>
    </row>
    <row r="13088" spans="1:24">
      <c r="A13088">
        <f>HYPERLINK("https://www.philgeps.gov.ph/GEPSNONPILOT/Tender/SplashBidNoticeAbstractUI.aspx?menuIndex=3&amp;refID=7050884&amp;Result=3","7050884")</f>
        <v>0</v>
      </c>
      <c r="B13088" t="s">
        <v>256</v>
      </c>
      <c r="C13088" t="s">
        <v>15938</v>
      </c>
      <c r="D13088" t="s">
        <v>17415</v>
      </c>
      <c r="E13088" t="s">
        <v>28693</v>
      </c>
      <c r="F13088" t="s">
        <v>30052</v>
      </c>
      <c r="G13088" t="s">
        <v>30058</v>
      </c>
      <c r="H13088" t="s">
        <v>15498</v>
      </c>
      <c r="I13088" t="s">
        <v>3606</v>
      </c>
      <c r="J13088" t="s">
        <v>38153</v>
      </c>
      <c r="K13088" t="s">
        <v>39025</v>
      </c>
      <c r="M13088" t="s">
        <v>39547</v>
      </c>
      <c r="N13088" t="s">
        <v>43166</v>
      </c>
      <c r="O13088" t="s">
        <v>43167</v>
      </c>
      <c r="P13088">
        <v>0</v>
      </c>
      <c r="Q13088">
        <v>9</v>
      </c>
      <c r="R13088" t="s">
        <v>43186</v>
      </c>
      <c r="S13088" t="s">
        <v>44047</v>
      </c>
      <c r="T13088" t="s">
        <v>44837</v>
      </c>
      <c r="U13088" t="s">
        <v>55601</v>
      </c>
      <c r="W13088" t="s">
        <v>39547</v>
      </c>
      <c r="X13088" t="s">
        <v>43187</v>
      </c>
    </row>
    <row r="13089" spans="1:24">
      <c r="A13089">
        <f>HYPERLINK("https://www.philgeps.gov.ph/GEPSNONPILOT/Tender/SplashBidNoticeAbstractUI.aspx?menuIndex=3&amp;refID=7050255&amp;Result=3","7050255")</f>
        <v>0</v>
      </c>
      <c r="B13089" t="s">
        <v>1503</v>
      </c>
      <c r="C13089" t="s">
        <v>15939</v>
      </c>
      <c r="D13089" t="s">
        <v>17474</v>
      </c>
      <c r="E13089" t="s">
        <v>28694</v>
      </c>
      <c r="F13089" t="s">
        <v>30052</v>
      </c>
      <c r="G13089" t="s">
        <v>30058</v>
      </c>
      <c r="H13089" t="s">
        <v>15498</v>
      </c>
      <c r="I13089" t="s">
        <v>30074</v>
      </c>
      <c r="J13089" t="s">
        <v>38154</v>
      </c>
      <c r="K13089" t="s">
        <v>39029</v>
      </c>
      <c r="M13089" t="s">
        <v>40887</v>
      </c>
      <c r="N13089" t="s">
        <v>43166</v>
      </c>
      <c r="O13089" t="s">
        <v>43167</v>
      </c>
      <c r="P13089">
        <v>0</v>
      </c>
      <c r="Q13089">
        <v>4</v>
      </c>
      <c r="R13089" t="s">
        <v>43186</v>
      </c>
      <c r="S13089" t="s">
        <v>44047</v>
      </c>
      <c r="T13089" t="s">
        <v>44773</v>
      </c>
      <c r="U13089" t="s">
        <v>48570</v>
      </c>
      <c r="W13089" t="s">
        <v>40887</v>
      </c>
      <c r="X13089" t="s">
        <v>43187</v>
      </c>
    </row>
    <row r="13090" spans="1:24">
      <c r="A13090">
        <f>HYPERLINK("https://www.philgeps.gov.ph/GEPSNONPILOT/Tender/SplashBidNoticeAbstractUI.aspx?menuIndex=3&amp;refID=7050232&amp;Result=3","7050232")</f>
        <v>0</v>
      </c>
      <c r="B13090" t="s">
        <v>765</v>
      </c>
      <c r="C13090" t="s">
        <v>15940</v>
      </c>
      <c r="D13090" t="s">
        <v>17468</v>
      </c>
      <c r="E13090" t="s">
        <v>19626</v>
      </c>
      <c r="F13090" t="s">
        <v>30052</v>
      </c>
      <c r="G13090" t="s">
        <v>30058</v>
      </c>
      <c r="H13090" t="s">
        <v>30067</v>
      </c>
      <c r="I13090" t="s">
        <v>3693</v>
      </c>
      <c r="J13090" t="s">
        <v>38155</v>
      </c>
      <c r="K13090" t="s">
        <v>39087</v>
      </c>
      <c r="M13090" t="s">
        <v>42972</v>
      </c>
      <c r="N13090" t="s">
        <v>43166</v>
      </c>
      <c r="O13090" t="s">
        <v>43167</v>
      </c>
      <c r="P13090">
        <v>0</v>
      </c>
      <c r="Q13090">
        <v>5</v>
      </c>
      <c r="R13090" t="s">
        <v>43186</v>
      </c>
      <c r="S13090" t="s">
        <v>44047</v>
      </c>
      <c r="T13090" t="s">
        <v>44704</v>
      </c>
      <c r="U13090" t="s">
        <v>55602</v>
      </c>
      <c r="W13090" t="s">
        <v>42972</v>
      </c>
      <c r="X13090" t="s">
        <v>43187</v>
      </c>
    </row>
    <row r="13091" spans="1:24">
      <c r="A13091">
        <f>HYPERLINK("https://www.philgeps.gov.ph/GEPSNONPILOT/Tender/SplashBidNoticeAbstractUI.aspx?menuIndex=3&amp;refID=7050295&amp;Result=3","7050295")</f>
        <v>0</v>
      </c>
      <c r="B13091" t="s">
        <v>548</v>
      </c>
      <c r="C13091" t="s">
        <v>15941</v>
      </c>
      <c r="D13091" t="s">
        <v>17425</v>
      </c>
      <c r="E13091" t="s">
        <v>28695</v>
      </c>
      <c r="F13091" t="s">
        <v>30052</v>
      </c>
      <c r="G13091" t="s">
        <v>30058</v>
      </c>
      <c r="H13091" t="s">
        <v>30067</v>
      </c>
      <c r="I13091" t="s">
        <v>3693</v>
      </c>
      <c r="J13091" t="s">
        <v>38156</v>
      </c>
      <c r="K13091" t="s">
        <v>39026</v>
      </c>
      <c r="L13091" t="s">
        <v>548</v>
      </c>
      <c r="M13091" t="s">
        <v>39850</v>
      </c>
      <c r="N13091" t="s">
        <v>43166</v>
      </c>
      <c r="O13091" t="s">
        <v>43167</v>
      </c>
      <c r="P13091">
        <v>0</v>
      </c>
      <c r="Q13091">
        <v>0</v>
      </c>
      <c r="R13091" t="s">
        <v>43186</v>
      </c>
      <c r="S13091" t="s">
        <v>44047</v>
      </c>
      <c r="T13091" t="s">
        <v>44969</v>
      </c>
      <c r="U13091" t="s">
        <v>55603</v>
      </c>
      <c r="V13091" t="s">
        <v>56971</v>
      </c>
      <c r="W13091" t="s">
        <v>39850</v>
      </c>
      <c r="X13091" t="s">
        <v>43187</v>
      </c>
    </row>
    <row r="13092" spans="1:24">
      <c r="A13092">
        <f>HYPERLINK("https://www.philgeps.gov.ph/GEPSNONPILOT/Tender/SplashBidNoticeAbstractUI.aspx?menuIndex=3&amp;refID=7051270&amp;Result=3","7051270")</f>
        <v>0</v>
      </c>
      <c r="B13092" t="s">
        <v>1730</v>
      </c>
      <c r="C13092" t="s">
        <v>15942</v>
      </c>
      <c r="D13092" t="s">
        <v>17423</v>
      </c>
      <c r="E13092" t="s">
        <v>28696</v>
      </c>
      <c r="F13092" t="s">
        <v>30052</v>
      </c>
      <c r="G13092" t="s">
        <v>30058</v>
      </c>
      <c r="H13092" t="s">
        <v>30067</v>
      </c>
      <c r="I13092" t="s">
        <v>3693</v>
      </c>
      <c r="J13092" t="s">
        <v>38157</v>
      </c>
      <c r="K13092" t="s">
        <v>39227</v>
      </c>
      <c r="M13092" t="s">
        <v>42228</v>
      </c>
      <c r="N13092" t="s">
        <v>43166</v>
      </c>
      <c r="O13092" t="s">
        <v>43167</v>
      </c>
      <c r="P13092">
        <v>0</v>
      </c>
      <c r="Q13092">
        <v>0</v>
      </c>
      <c r="R13092" t="s">
        <v>43186</v>
      </c>
      <c r="S13092" t="s">
        <v>44047</v>
      </c>
      <c r="T13092" t="s">
        <v>44856</v>
      </c>
      <c r="U13092" t="s">
        <v>55604</v>
      </c>
      <c r="V13092" t="s">
        <v>58372</v>
      </c>
      <c r="W13092" t="s">
        <v>42228</v>
      </c>
      <c r="X13092" t="s">
        <v>43187</v>
      </c>
    </row>
    <row r="13093" spans="1:24">
      <c r="A13093">
        <f>HYPERLINK("https://www.philgeps.gov.ph/GEPSNONPILOT/Tender/SplashBidNoticeAbstractUI.aspx?menuIndex=3&amp;refID=7050442&amp;Result=3","7050442")</f>
        <v>0</v>
      </c>
      <c r="B13093" t="s">
        <v>780</v>
      </c>
      <c r="C13093" t="s">
        <v>15943</v>
      </c>
      <c r="D13093" t="s">
        <v>17441</v>
      </c>
      <c r="E13093" t="s">
        <v>28697</v>
      </c>
      <c r="F13093" t="s">
        <v>30052</v>
      </c>
      <c r="G13093" t="s">
        <v>30058</v>
      </c>
      <c r="H13093" t="s">
        <v>30067</v>
      </c>
      <c r="I13093" t="s">
        <v>3693</v>
      </c>
      <c r="J13093" t="s">
        <v>38158</v>
      </c>
      <c r="K13093" t="s">
        <v>39025</v>
      </c>
      <c r="M13093" t="s">
        <v>40095</v>
      </c>
      <c r="N13093" t="s">
        <v>43166</v>
      </c>
      <c r="O13093" t="s">
        <v>43167</v>
      </c>
      <c r="Q13093">
        <v>99</v>
      </c>
      <c r="R13093" t="s">
        <v>43186</v>
      </c>
      <c r="S13093" t="s">
        <v>44086</v>
      </c>
      <c r="T13093" t="s">
        <v>44777</v>
      </c>
      <c r="U13093" t="s">
        <v>55605</v>
      </c>
      <c r="W13093" t="s">
        <v>40095</v>
      </c>
      <c r="X13093" t="s">
        <v>43187</v>
      </c>
    </row>
    <row r="13094" spans="1:24">
      <c r="A13094">
        <f>HYPERLINK("https://www.philgeps.gov.ph/GEPSNONPILOT/Tender/SplashBidNoticeAbstractUI.aspx?menuIndex=3&amp;refID=7051247&amp;Result=3","7051247")</f>
        <v>0</v>
      </c>
      <c r="B13094" t="s">
        <v>3317</v>
      </c>
      <c r="C13094" t="s">
        <v>15944</v>
      </c>
      <c r="D13094" t="s">
        <v>17476</v>
      </c>
      <c r="E13094" t="s">
        <v>28698</v>
      </c>
      <c r="F13094" t="s">
        <v>30052</v>
      </c>
      <c r="G13094" t="s">
        <v>30058</v>
      </c>
      <c r="H13094" t="s">
        <v>30067</v>
      </c>
      <c r="I13094" t="s">
        <v>3693</v>
      </c>
      <c r="J13094" t="s">
        <v>30281</v>
      </c>
      <c r="K13094" t="s">
        <v>39023</v>
      </c>
      <c r="M13094" t="s">
        <v>42958</v>
      </c>
      <c r="N13094" t="s">
        <v>43166</v>
      </c>
      <c r="O13094" t="s">
        <v>43167</v>
      </c>
      <c r="P13094">
        <v>0</v>
      </c>
      <c r="Q13094">
        <v>0</v>
      </c>
      <c r="R13094" t="s">
        <v>43186</v>
      </c>
      <c r="S13094" t="s">
        <v>44047</v>
      </c>
      <c r="T13094" t="s">
        <v>44856</v>
      </c>
      <c r="U13094" t="s">
        <v>55514</v>
      </c>
      <c r="V13094" t="s">
        <v>58373</v>
      </c>
      <c r="W13094" t="s">
        <v>42958</v>
      </c>
      <c r="X13094" t="s">
        <v>43187</v>
      </c>
    </row>
    <row r="13095" spans="1:24">
      <c r="A13095">
        <f>HYPERLINK("https://www.philgeps.gov.ph/GEPSNONPILOT/Tender/SplashBidNoticeAbstractUI.aspx?menuIndex=3&amp;refID=7051244&amp;Result=3","7051244")</f>
        <v>0</v>
      </c>
      <c r="B13095" t="s">
        <v>1670</v>
      </c>
      <c r="C13095" t="s">
        <v>15945</v>
      </c>
      <c r="D13095" t="s">
        <v>17452</v>
      </c>
      <c r="E13095" t="s">
        <v>28699</v>
      </c>
      <c r="F13095" t="s">
        <v>30052</v>
      </c>
      <c r="G13095" t="s">
        <v>30058</v>
      </c>
      <c r="H13095" t="s">
        <v>30067</v>
      </c>
      <c r="I13095" t="s">
        <v>3693</v>
      </c>
      <c r="J13095" t="s">
        <v>38159</v>
      </c>
      <c r="K13095" t="s">
        <v>39038</v>
      </c>
      <c r="M13095" t="s">
        <v>41077</v>
      </c>
      <c r="N13095" t="s">
        <v>43166</v>
      </c>
      <c r="O13095" t="s">
        <v>43167</v>
      </c>
      <c r="P13095">
        <v>0</v>
      </c>
      <c r="Q13095">
        <v>4</v>
      </c>
      <c r="R13095" t="s">
        <v>43186</v>
      </c>
      <c r="S13095" t="s">
        <v>44047</v>
      </c>
      <c r="T13095" t="s">
        <v>44717</v>
      </c>
      <c r="U13095" t="s">
        <v>55606</v>
      </c>
      <c r="V13095" t="s">
        <v>58374</v>
      </c>
      <c r="W13095" t="s">
        <v>41077</v>
      </c>
      <c r="X13095" t="s">
        <v>43187</v>
      </c>
    </row>
    <row r="13096" spans="1:24">
      <c r="A13096">
        <f>HYPERLINK("https://www.philgeps.gov.ph/GEPSNONPILOT/Tender/SplashBidNoticeAbstractUI.aspx?menuIndex=3&amp;refID=7051222&amp;Result=3","7051222")</f>
        <v>0</v>
      </c>
      <c r="B13096" t="s">
        <v>1730</v>
      </c>
      <c r="C13096" t="s">
        <v>15946</v>
      </c>
      <c r="D13096" t="s">
        <v>17423</v>
      </c>
      <c r="E13096" t="s">
        <v>28700</v>
      </c>
      <c r="F13096" t="s">
        <v>30052</v>
      </c>
      <c r="G13096" t="s">
        <v>30058</v>
      </c>
      <c r="H13096" t="s">
        <v>30067</v>
      </c>
      <c r="I13096" t="s">
        <v>3693</v>
      </c>
      <c r="J13096" t="s">
        <v>38160</v>
      </c>
      <c r="K13096" t="s">
        <v>39246</v>
      </c>
      <c r="M13096" t="s">
        <v>42228</v>
      </c>
      <c r="N13096" t="s">
        <v>43166</v>
      </c>
      <c r="O13096" t="s">
        <v>43167</v>
      </c>
      <c r="P13096">
        <v>0</v>
      </c>
      <c r="Q13096">
        <v>0</v>
      </c>
      <c r="R13096" t="s">
        <v>43186</v>
      </c>
      <c r="S13096" t="s">
        <v>44047</v>
      </c>
      <c r="T13096" t="s">
        <v>44856</v>
      </c>
      <c r="U13096" t="s">
        <v>55607</v>
      </c>
      <c r="V13096" t="s">
        <v>58375</v>
      </c>
      <c r="W13096" t="s">
        <v>42228</v>
      </c>
      <c r="X13096" t="s">
        <v>43187</v>
      </c>
    </row>
    <row r="13097" spans="1:24">
      <c r="A13097">
        <f>HYPERLINK("https://www.philgeps.gov.ph/GEPSNONPILOT/Tender/SplashBidNoticeAbstractUI.aspx?menuIndex=3&amp;refID=7050939&amp;Result=3","7050939")</f>
        <v>0</v>
      </c>
      <c r="B13097" t="s">
        <v>3144</v>
      </c>
      <c r="C13097" t="s">
        <v>15947</v>
      </c>
      <c r="E13097" t="s">
        <v>28692</v>
      </c>
      <c r="F13097" t="s">
        <v>30052</v>
      </c>
      <c r="G13097" t="s">
        <v>30058</v>
      </c>
      <c r="H13097" t="s">
        <v>30067</v>
      </c>
      <c r="I13097" t="s">
        <v>3693</v>
      </c>
      <c r="J13097" t="s">
        <v>31189</v>
      </c>
      <c r="K13097" t="s">
        <v>39025</v>
      </c>
      <c r="M13097" t="s">
        <v>42748</v>
      </c>
      <c r="N13097" t="s">
        <v>43166</v>
      </c>
      <c r="O13097" t="s">
        <v>43167</v>
      </c>
      <c r="P13097">
        <v>0</v>
      </c>
      <c r="Q13097">
        <v>0</v>
      </c>
      <c r="R13097" t="s">
        <v>43186</v>
      </c>
      <c r="S13097" t="s">
        <v>44047</v>
      </c>
      <c r="T13097" t="s">
        <v>44698</v>
      </c>
      <c r="U13097" t="s">
        <v>55608</v>
      </c>
      <c r="W13097" t="s">
        <v>42748</v>
      </c>
      <c r="X13097" t="s">
        <v>43187</v>
      </c>
    </row>
    <row r="13098" spans="1:24">
      <c r="A13098">
        <f>HYPERLINK("https://www.philgeps.gov.ph/GEPSNONPILOT/Tender/SplashBidNoticeAbstractUI.aspx?menuIndex=3&amp;refID=7050452&amp;Result=3","7050452")</f>
        <v>0</v>
      </c>
      <c r="B13098" t="s">
        <v>1960</v>
      </c>
      <c r="C13098" t="s">
        <v>15948</v>
      </c>
      <c r="D13098" t="s">
        <v>17427</v>
      </c>
      <c r="E13098" t="s">
        <v>28701</v>
      </c>
      <c r="F13098" t="s">
        <v>30052</v>
      </c>
      <c r="G13098" t="s">
        <v>30058</v>
      </c>
      <c r="H13098" t="s">
        <v>15498</v>
      </c>
      <c r="I13098" t="s">
        <v>30076</v>
      </c>
      <c r="J13098" t="s">
        <v>38161</v>
      </c>
      <c r="K13098" t="s">
        <v>39025</v>
      </c>
      <c r="M13098" t="s">
        <v>41397</v>
      </c>
      <c r="N13098" t="s">
        <v>43166</v>
      </c>
      <c r="O13098" t="s">
        <v>43167</v>
      </c>
      <c r="Q13098">
        <v>5</v>
      </c>
      <c r="R13098" t="s">
        <v>43186</v>
      </c>
      <c r="S13098" t="s">
        <v>44087</v>
      </c>
      <c r="T13098" t="s">
        <v>44777</v>
      </c>
      <c r="U13098" t="s">
        <v>55599</v>
      </c>
      <c r="V13098" t="s">
        <v>57866</v>
      </c>
      <c r="W13098" t="s">
        <v>41397</v>
      </c>
      <c r="X13098" t="s">
        <v>43187</v>
      </c>
    </row>
    <row r="13099" spans="1:24">
      <c r="A13099">
        <f>HYPERLINK("https://www.philgeps.gov.ph/GEPSNONPILOT/Tender/SplashBidNoticeAbstractUI.aspx?menuIndex=3&amp;refID=7051105&amp;Result=3","7051105")</f>
        <v>0</v>
      </c>
      <c r="B13099" t="s">
        <v>3331</v>
      </c>
      <c r="C13099" t="s">
        <v>15949</v>
      </c>
      <c r="D13099" t="s">
        <v>17476</v>
      </c>
      <c r="E13099" t="s">
        <v>18666</v>
      </c>
      <c r="F13099" t="s">
        <v>30052</v>
      </c>
      <c r="G13099" t="s">
        <v>30058</v>
      </c>
      <c r="H13099" t="s">
        <v>30067</v>
      </c>
      <c r="I13099" t="s">
        <v>3693</v>
      </c>
      <c r="J13099" t="s">
        <v>30215</v>
      </c>
      <c r="K13099" t="s">
        <v>39026</v>
      </c>
      <c r="M13099" t="s">
        <v>42973</v>
      </c>
      <c r="N13099" t="s">
        <v>43166</v>
      </c>
      <c r="O13099" t="s">
        <v>43167</v>
      </c>
      <c r="P13099">
        <v>0</v>
      </c>
      <c r="Q13099">
        <v>1</v>
      </c>
      <c r="R13099" t="s">
        <v>43186</v>
      </c>
      <c r="S13099" t="s">
        <v>44047</v>
      </c>
      <c r="T13099" t="s">
        <v>44717</v>
      </c>
      <c r="U13099" t="s">
        <v>55609</v>
      </c>
      <c r="W13099" t="s">
        <v>42973</v>
      </c>
      <c r="X13099" t="s">
        <v>43187</v>
      </c>
    </row>
    <row r="13100" spans="1:24">
      <c r="A13100">
        <f>HYPERLINK("https://www.philgeps.gov.ph/GEPSNONPILOT/Tender/SplashBidNoticeAbstractUI.aspx?menuIndex=3&amp;refID=7051213&amp;Result=3","7051213")</f>
        <v>0</v>
      </c>
      <c r="B13100" t="s">
        <v>723</v>
      </c>
      <c r="C13100" t="s">
        <v>15950</v>
      </c>
      <c r="D13100" t="s">
        <v>17459</v>
      </c>
      <c r="E13100" t="s">
        <v>28702</v>
      </c>
      <c r="F13100" t="s">
        <v>30052</v>
      </c>
      <c r="G13100" t="s">
        <v>30058</v>
      </c>
      <c r="H13100" t="s">
        <v>15498</v>
      </c>
      <c r="I13100" t="s">
        <v>3736</v>
      </c>
      <c r="J13100" t="s">
        <v>30559</v>
      </c>
      <c r="K13100" t="s">
        <v>39037</v>
      </c>
      <c r="M13100" t="s">
        <v>40034</v>
      </c>
      <c r="N13100" t="s">
        <v>43166</v>
      </c>
      <c r="O13100" t="s">
        <v>43167</v>
      </c>
      <c r="P13100">
        <v>0</v>
      </c>
      <c r="Q13100">
        <v>1</v>
      </c>
      <c r="R13100" t="s">
        <v>43186</v>
      </c>
      <c r="S13100" t="s">
        <v>44047</v>
      </c>
      <c r="T13100" t="s">
        <v>44832</v>
      </c>
      <c r="U13100" t="s">
        <v>55610</v>
      </c>
      <c r="W13100" t="s">
        <v>40034</v>
      </c>
      <c r="X13100" t="s">
        <v>43187</v>
      </c>
    </row>
    <row r="13101" spans="1:24">
      <c r="A13101">
        <f>HYPERLINK("https://www.philgeps.gov.ph/GEPSNONPILOT/Tender/SplashBidNoticeAbstractUI.aspx?menuIndex=3&amp;refID=7051218&amp;Result=3","7051218")</f>
        <v>0</v>
      </c>
      <c r="B13101" t="s">
        <v>1841</v>
      </c>
      <c r="C13101" t="s">
        <v>15951</v>
      </c>
      <c r="D13101" t="s">
        <v>17445</v>
      </c>
      <c r="E13101" t="s">
        <v>28703</v>
      </c>
      <c r="F13101" t="s">
        <v>30052</v>
      </c>
      <c r="G13101" t="s">
        <v>30058</v>
      </c>
      <c r="H13101" t="s">
        <v>30067</v>
      </c>
      <c r="I13101" t="s">
        <v>3693</v>
      </c>
      <c r="J13101" t="s">
        <v>35255</v>
      </c>
      <c r="K13101" t="s">
        <v>39033</v>
      </c>
      <c r="L13101" t="s">
        <v>1841</v>
      </c>
      <c r="M13101" t="s">
        <v>41266</v>
      </c>
      <c r="N13101" t="s">
        <v>43166</v>
      </c>
      <c r="O13101" t="s">
        <v>43167</v>
      </c>
      <c r="Q13101">
        <v>3</v>
      </c>
      <c r="R13101" t="s">
        <v>43186</v>
      </c>
      <c r="S13101" t="s">
        <v>44088</v>
      </c>
      <c r="T13101" t="s">
        <v>44717</v>
      </c>
      <c r="U13101" t="s">
        <v>55611</v>
      </c>
      <c r="W13101" t="s">
        <v>41266</v>
      </c>
      <c r="X13101" t="s">
        <v>43187</v>
      </c>
    </row>
    <row r="13102" spans="1:24">
      <c r="A13102">
        <f>HYPERLINK("https://www.philgeps.gov.ph/GEPSNONPILOT/Tender/SplashBidNoticeAbstractUI.aspx?menuIndex=3&amp;refID=7051215&amp;Result=3","7051215")</f>
        <v>0</v>
      </c>
      <c r="B13102" t="s">
        <v>748</v>
      </c>
      <c r="C13102" t="s">
        <v>15952</v>
      </c>
      <c r="D13102" t="s">
        <v>17427</v>
      </c>
      <c r="E13102" t="s">
        <v>28704</v>
      </c>
      <c r="F13102" t="s">
        <v>30052</v>
      </c>
      <c r="G13102" t="s">
        <v>30058</v>
      </c>
      <c r="H13102" t="s">
        <v>15498</v>
      </c>
      <c r="I13102" t="s">
        <v>30074</v>
      </c>
      <c r="J13102" t="s">
        <v>36371</v>
      </c>
      <c r="K13102" t="s">
        <v>39029</v>
      </c>
      <c r="M13102" t="s">
        <v>40062</v>
      </c>
      <c r="N13102" t="s">
        <v>43166</v>
      </c>
      <c r="O13102" t="s">
        <v>43167</v>
      </c>
      <c r="P13102">
        <v>0</v>
      </c>
      <c r="Q13102">
        <v>3</v>
      </c>
      <c r="R13102" t="s">
        <v>43186</v>
      </c>
      <c r="S13102" t="s">
        <v>44047</v>
      </c>
      <c r="T13102" t="s">
        <v>44787</v>
      </c>
      <c r="U13102" t="s">
        <v>55612</v>
      </c>
      <c r="W13102" t="s">
        <v>40062</v>
      </c>
      <c r="X13102" t="s">
        <v>43187</v>
      </c>
    </row>
    <row r="13103" spans="1:24">
      <c r="A13103">
        <f>HYPERLINK("https://www.philgeps.gov.ph/GEPSNONPILOT/Tender/SplashBidNoticeAbstractUI.aspx?menuIndex=3&amp;refID=7051176&amp;Result=3","7051176")</f>
        <v>0</v>
      </c>
      <c r="B13103" t="s">
        <v>3332</v>
      </c>
      <c r="C13103" t="s">
        <v>15953</v>
      </c>
      <c r="D13103" t="s">
        <v>17473</v>
      </c>
      <c r="E13103" t="s">
        <v>28705</v>
      </c>
      <c r="F13103" t="s">
        <v>30052</v>
      </c>
      <c r="G13103" t="s">
        <v>30058</v>
      </c>
      <c r="H13103" t="s">
        <v>30067</v>
      </c>
      <c r="I13103" t="s">
        <v>3693</v>
      </c>
      <c r="J13103" t="s">
        <v>30277</v>
      </c>
      <c r="K13103" t="s">
        <v>39029</v>
      </c>
      <c r="M13103" t="s">
        <v>42974</v>
      </c>
      <c r="N13103" t="s">
        <v>43166</v>
      </c>
      <c r="O13103" t="s">
        <v>43167</v>
      </c>
      <c r="P13103">
        <v>0</v>
      </c>
      <c r="Q13103">
        <v>0</v>
      </c>
      <c r="R13103" t="s">
        <v>43186</v>
      </c>
      <c r="S13103" t="s">
        <v>44047</v>
      </c>
      <c r="T13103" t="s">
        <v>44870</v>
      </c>
      <c r="U13103" t="s">
        <v>55613</v>
      </c>
      <c r="W13103" t="s">
        <v>42974</v>
      </c>
      <c r="X13103" t="s">
        <v>43187</v>
      </c>
    </row>
    <row r="13104" spans="1:24">
      <c r="A13104">
        <f>HYPERLINK("https://www.philgeps.gov.ph/GEPSNONPILOT/Tender/SplashBidNoticeAbstractUI.aspx?menuIndex=3&amp;refID=7051138&amp;Result=3","7051138")</f>
        <v>0</v>
      </c>
      <c r="B13104" t="s">
        <v>2413</v>
      </c>
      <c r="C13104" t="s">
        <v>15954</v>
      </c>
      <c r="D13104" t="s">
        <v>17444</v>
      </c>
      <c r="E13104" t="s">
        <v>28706</v>
      </c>
      <c r="F13104" t="s">
        <v>30052</v>
      </c>
      <c r="G13104" t="s">
        <v>30058</v>
      </c>
      <c r="H13104" t="s">
        <v>15498</v>
      </c>
      <c r="I13104" t="s">
        <v>30074</v>
      </c>
      <c r="J13104" t="s">
        <v>31060</v>
      </c>
      <c r="K13104" t="s">
        <v>39031</v>
      </c>
      <c r="M13104" t="s">
        <v>41910</v>
      </c>
      <c r="N13104" t="s">
        <v>43166</v>
      </c>
      <c r="O13104" t="s">
        <v>43167</v>
      </c>
      <c r="P13104">
        <v>0</v>
      </c>
      <c r="Q13104">
        <v>4</v>
      </c>
      <c r="R13104" t="s">
        <v>43186</v>
      </c>
      <c r="S13104" t="s">
        <v>44047</v>
      </c>
      <c r="T13104" t="s">
        <v>44773</v>
      </c>
      <c r="U13104" t="s">
        <v>55614</v>
      </c>
      <c r="V13104" t="s">
        <v>58376</v>
      </c>
      <c r="W13104" t="s">
        <v>41910</v>
      </c>
      <c r="X13104" t="s">
        <v>43187</v>
      </c>
    </row>
    <row r="13105" spans="1:24">
      <c r="A13105">
        <f>HYPERLINK("https://www.philgeps.gov.ph/GEPSNONPILOT/Tender/SplashBidNoticeAbstractUI.aspx?menuIndex=3&amp;refID=7051201&amp;Result=3","7051201")</f>
        <v>0</v>
      </c>
      <c r="B13105" t="s">
        <v>3239</v>
      </c>
      <c r="C13105" t="s">
        <v>15955</v>
      </c>
      <c r="D13105" t="s">
        <v>17414</v>
      </c>
      <c r="E13105" t="s">
        <v>28707</v>
      </c>
      <c r="F13105" t="s">
        <v>30052</v>
      </c>
      <c r="G13105" t="s">
        <v>30058</v>
      </c>
      <c r="H13105" t="s">
        <v>15498</v>
      </c>
      <c r="I13105" t="s">
        <v>30088</v>
      </c>
      <c r="J13105" t="s">
        <v>30277</v>
      </c>
      <c r="K13105" t="s">
        <v>39019</v>
      </c>
      <c r="M13105" t="s">
        <v>42866</v>
      </c>
      <c r="N13105" t="s">
        <v>43166</v>
      </c>
      <c r="O13105" t="s">
        <v>43167</v>
      </c>
      <c r="P13105">
        <v>0</v>
      </c>
      <c r="Q13105">
        <v>4</v>
      </c>
      <c r="R13105" t="s">
        <v>43186</v>
      </c>
      <c r="S13105" t="s">
        <v>44047</v>
      </c>
      <c r="T13105" t="s">
        <v>44856</v>
      </c>
      <c r="U13105" t="s">
        <v>55615</v>
      </c>
      <c r="W13105" t="s">
        <v>42866</v>
      </c>
      <c r="X13105" t="s">
        <v>43187</v>
      </c>
    </row>
    <row r="13106" spans="1:24">
      <c r="A13106">
        <f>HYPERLINK("https://www.philgeps.gov.ph/GEPSNONPILOT/Tender/SplashBidNoticeAbstractUI.aspx?menuIndex=3&amp;refID=7051180&amp;Result=3","7051180")</f>
        <v>0</v>
      </c>
      <c r="B13106" t="s">
        <v>1670</v>
      </c>
      <c r="C13106" t="s">
        <v>15956</v>
      </c>
      <c r="D13106" t="s">
        <v>17452</v>
      </c>
      <c r="E13106" t="s">
        <v>28708</v>
      </c>
      <c r="F13106" t="s">
        <v>30052</v>
      </c>
      <c r="G13106" t="s">
        <v>30058</v>
      </c>
      <c r="H13106" t="s">
        <v>30067</v>
      </c>
      <c r="I13106" t="s">
        <v>3693</v>
      </c>
      <c r="J13106" t="s">
        <v>38162</v>
      </c>
      <c r="K13106" t="s">
        <v>39038</v>
      </c>
      <c r="M13106" t="s">
        <v>41077</v>
      </c>
      <c r="N13106" t="s">
        <v>43166</v>
      </c>
      <c r="O13106" t="s">
        <v>43167</v>
      </c>
      <c r="P13106">
        <v>0</v>
      </c>
      <c r="Q13106">
        <v>5</v>
      </c>
      <c r="R13106" t="s">
        <v>43186</v>
      </c>
      <c r="S13106" t="s">
        <v>44047</v>
      </c>
      <c r="T13106" t="s">
        <v>44717</v>
      </c>
      <c r="U13106" t="s">
        <v>55616</v>
      </c>
      <c r="V13106" t="s">
        <v>58374</v>
      </c>
      <c r="W13106" t="s">
        <v>41077</v>
      </c>
      <c r="X13106" t="s">
        <v>43187</v>
      </c>
    </row>
    <row r="13107" spans="1:24">
      <c r="A13107">
        <f>HYPERLINK("https://www.philgeps.gov.ph/GEPSNONPILOT/Tender/SplashBidNoticeAbstractUI.aspx?menuIndex=3&amp;refID=7051228&amp;Result=3","7051228")</f>
        <v>0</v>
      </c>
      <c r="B13107" t="s">
        <v>3333</v>
      </c>
      <c r="C13107" t="s">
        <v>15957</v>
      </c>
      <c r="D13107" t="s">
        <v>17469</v>
      </c>
      <c r="E13107" t="s">
        <v>28709</v>
      </c>
      <c r="F13107" t="s">
        <v>30052</v>
      </c>
      <c r="G13107" t="s">
        <v>30058</v>
      </c>
      <c r="H13107" t="s">
        <v>15498</v>
      </c>
      <c r="I13107" t="s">
        <v>30074</v>
      </c>
      <c r="J13107" t="s">
        <v>31198</v>
      </c>
      <c r="K13107" t="s">
        <v>39029</v>
      </c>
      <c r="M13107" t="s">
        <v>42975</v>
      </c>
      <c r="N13107" t="s">
        <v>43166</v>
      </c>
      <c r="O13107" t="s">
        <v>43167</v>
      </c>
      <c r="P13107">
        <v>0</v>
      </c>
      <c r="Q13107">
        <v>5</v>
      </c>
      <c r="R13107" t="s">
        <v>43186</v>
      </c>
      <c r="S13107" t="s">
        <v>44047</v>
      </c>
      <c r="T13107" t="s">
        <v>44804</v>
      </c>
      <c r="U13107" t="s">
        <v>55617</v>
      </c>
      <c r="W13107" t="s">
        <v>42975</v>
      </c>
      <c r="X13107" t="s">
        <v>43187</v>
      </c>
    </row>
    <row r="13108" spans="1:24">
      <c r="A13108">
        <f>HYPERLINK("https://www.philgeps.gov.ph/GEPSNONPILOT/Tender/SplashBidNoticeAbstractUI.aspx?menuIndex=3&amp;refID=7051170&amp;Result=3","7051170")</f>
        <v>0</v>
      </c>
      <c r="B13108" t="s">
        <v>1730</v>
      </c>
      <c r="C13108" t="s">
        <v>15958</v>
      </c>
      <c r="D13108" t="s">
        <v>17423</v>
      </c>
      <c r="E13108" t="s">
        <v>28710</v>
      </c>
      <c r="F13108" t="s">
        <v>30052</v>
      </c>
      <c r="G13108" t="s">
        <v>30058</v>
      </c>
      <c r="H13108" t="s">
        <v>30067</v>
      </c>
      <c r="I13108" t="s">
        <v>3693</v>
      </c>
      <c r="J13108" t="s">
        <v>38163</v>
      </c>
      <c r="K13108" t="s">
        <v>39292</v>
      </c>
      <c r="M13108" t="s">
        <v>42228</v>
      </c>
      <c r="N13108" t="s">
        <v>43166</v>
      </c>
      <c r="O13108" t="s">
        <v>43167</v>
      </c>
      <c r="P13108">
        <v>0</v>
      </c>
      <c r="Q13108">
        <v>1</v>
      </c>
      <c r="R13108" t="s">
        <v>43186</v>
      </c>
      <c r="S13108" t="s">
        <v>44047</v>
      </c>
      <c r="T13108" t="s">
        <v>44856</v>
      </c>
      <c r="U13108" t="s">
        <v>55618</v>
      </c>
      <c r="V13108" t="s">
        <v>58375</v>
      </c>
      <c r="W13108" t="s">
        <v>42228</v>
      </c>
      <c r="X13108" t="s">
        <v>43187</v>
      </c>
    </row>
    <row r="13109" spans="1:24">
      <c r="A13109">
        <f>HYPERLINK("https://www.philgeps.gov.ph/GEPSNONPILOT/Tender/SplashBidNoticeAbstractUI.aspx?menuIndex=3&amp;refID=7051272&amp;Result=3","7051272")</f>
        <v>0</v>
      </c>
      <c r="B13109" t="s">
        <v>2421</v>
      </c>
      <c r="C13109" t="s">
        <v>15959</v>
      </c>
      <c r="E13109" t="s">
        <v>28711</v>
      </c>
      <c r="F13109" t="s">
        <v>30052</v>
      </c>
      <c r="G13109" t="s">
        <v>30058</v>
      </c>
      <c r="H13109" t="s">
        <v>15498</v>
      </c>
      <c r="I13109" t="s">
        <v>30195</v>
      </c>
      <c r="J13109" t="s">
        <v>38164</v>
      </c>
      <c r="K13109" t="s">
        <v>39057</v>
      </c>
      <c r="M13109" t="s">
        <v>41918</v>
      </c>
      <c r="N13109" t="s">
        <v>43166</v>
      </c>
      <c r="O13109" t="s">
        <v>43167</v>
      </c>
      <c r="Q13109">
        <v>7</v>
      </c>
      <c r="R13109" t="s">
        <v>43186</v>
      </c>
      <c r="S13109" t="s">
        <v>44089</v>
      </c>
      <c r="T13109" t="s">
        <v>44804</v>
      </c>
      <c r="U13109" t="s">
        <v>55619</v>
      </c>
      <c r="W13109" t="s">
        <v>41918</v>
      </c>
      <c r="X13109" t="s">
        <v>43187</v>
      </c>
    </row>
    <row r="13110" spans="1:24">
      <c r="A13110">
        <f>HYPERLINK("https://www.philgeps.gov.ph/GEPSNONPILOT/Tender/SplashBidNoticeAbstractUI.aspx?menuIndex=3&amp;refID=7051127&amp;Result=3","7051127")</f>
        <v>0</v>
      </c>
      <c r="B13110" t="s">
        <v>2980</v>
      </c>
      <c r="C13110" t="s">
        <v>15960</v>
      </c>
      <c r="E13110" t="s">
        <v>17673</v>
      </c>
      <c r="F13110" t="s">
        <v>30052</v>
      </c>
      <c r="G13110" t="s">
        <v>30058</v>
      </c>
      <c r="H13110" t="s">
        <v>15498</v>
      </c>
      <c r="I13110" t="s">
        <v>30071</v>
      </c>
      <c r="J13110" t="s">
        <v>38165</v>
      </c>
      <c r="K13110" t="s">
        <v>39025</v>
      </c>
      <c r="M13110" t="s">
        <v>42550</v>
      </c>
      <c r="N13110" t="s">
        <v>43166</v>
      </c>
      <c r="O13110" t="s">
        <v>43167</v>
      </c>
      <c r="P13110">
        <v>0</v>
      </c>
      <c r="Q13110">
        <v>1</v>
      </c>
      <c r="R13110" t="s">
        <v>43186</v>
      </c>
      <c r="S13110" t="s">
        <v>44047</v>
      </c>
      <c r="T13110" t="s">
        <v>45111</v>
      </c>
      <c r="U13110" t="s">
        <v>55620</v>
      </c>
      <c r="W13110" t="s">
        <v>42550</v>
      </c>
      <c r="X13110" t="s">
        <v>43187</v>
      </c>
    </row>
    <row r="13111" spans="1:24">
      <c r="A13111">
        <f>HYPERLINK("https://www.philgeps.gov.ph/GEPSNONPILOT/Tender/SplashBidNoticeAbstractUI.aspx?menuIndex=3&amp;refID=7051129&amp;Result=3","7051129")</f>
        <v>0</v>
      </c>
      <c r="B13111" t="s">
        <v>1014</v>
      </c>
      <c r="C13111" t="s">
        <v>15961</v>
      </c>
      <c r="D13111" t="s">
        <v>17465</v>
      </c>
      <c r="E13111" t="s">
        <v>28712</v>
      </c>
      <c r="F13111" t="s">
        <v>30052</v>
      </c>
      <c r="G13111" t="s">
        <v>30058</v>
      </c>
      <c r="H13111" t="s">
        <v>15498</v>
      </c>
      <c r="I13111" t="s">
        <v>30074</v>
      </c>
      <c r="J13111" t="s">
        <v>31198</v>
      </c>
      <c r="K13111" t="s">
        <v>39025</v>
      </c>
      <c r="M13111" t="s">
        <v>40343</v>
      </c>
      <c r="N13111" t="s">
        <v>43166</v>
      </c>
      <c r="O13111" t="s">
        <v>43167</v>
      </c>
      <c r="P13111">
        <v>0</v>
      </c>
      <c r="Q13111">
        <v>3</v>
      </c>
      <c r="R13111" t="s">
        <v>43186</v>
      </c>
      <c r="S13111" t="s">
        <v>44047</v>
      </c>
      <c r="T13111" t="s">
        <v>44717</v>
      </c>
      <c r="U13111" t="s">
        <v>55621</v>
      </c>
      <c r="W13111" t="s">
        <v>58623</v>
      </c>
      <c r="X13111" t="s">
        <v>43187</v>
      </c>
    </row>
    <row r="13112" spans="1:24">
      <c r="A13112">
        <f>HYPERLINK("https://www.philgeps.gov.ph/GEPSNONPILOT/Tender/SplashBidNoticeAbstractUI.aspx?menuIndex=3&amp;refID=7051016&amp;Result=3","7051016")</f>
        <v>0</v>
      </c>
      <c r="B13112" t="s">
        <v>285</v>
      </c>
      <c r="C13112" t="s">
        <v>15962</v>
      </c>
      <c r="D13112" t="s">
        <v>17475</v>
      </c>
      <c r="E13112" t="s">
        <v>28713</v>
      </c>
      <c r="F13112" t="s">
        <v>30052</v>
      </c>
      <c r="G13112" t="s">
        <v>30058</v>
      </c>
      <c r="H13112" t="s">
        <v>30069</v>
      </c>
      <c r="I13112" t="s">
        <v>30084</v>
      </c>
      <c r="J13112" t="s">
        <v>30281</v>
      </c>
      <c r="K13112" t="s">
        <v>39023</v>
      </c>
      <c r="M13112" t="s">
        <v>39580</v>
      </c>
      <c r="N13112" t="s">
        <v>43166</v>
      </c>
      <c r="O13112" t="s">
        <v>43167</v>
      </c>
      <c r="P13112">
        <v>0</v>
      </c>
      <c r="Q13112">
        <v>11</v>
      </c>
      <c r="R13112" t="s">
        <v>43186</v>
      </c>
      <c r="S13112" t="s">
        <v>44047</v>
      </c>
      <c r="T13112" t="s">
        <v>44804</v>
      </c>
      <c r="U13112" t="s">
        <v>55622</v>
      </c>
      <c r="W13112" t="s">
        <v>39580</v>
      </c>
      <c r="X13112" t="s">
        <v>43187</v>
      </c>
    </row>
    <row r="13113" spans="1:24">
      <c r="A13113">
        <f>HYPERLINK("https://www.philgeps.gov.ph/GEPSNONPILOT/Tender/SplashBidNoticeAbstractUI.aspx?menuIndex=3&amp;refID=7051154&amp;Result=3","7051154")</f>
        <v>0</v>
      </c>
      <c r="B13113" t="s">
        <v>2980</v>
      </c>
      <c r="C13113" t="s">
        <v>15963</v>
      </c>
      <c r="E13113" t="s">
        <v>17843</v>
      </c>
      <c r="F13113" t="s">
        <v>30052</v>
      </c>
      <c r="G13113" t="s">
        <v>30058</v>
      </c>
      <c r="H13113" t="s">
        <v>15498</v>
      </c>
      <c r="I13113" t="s">
        <v>30070</v>
      </c>
      <c r="J13113" t="s">
        <v>38166</v>
      </c>
      <c r="K13113" t="s">
        <v>39025</v>
      </c>
      <c r="M13113" t="s">
        <v>42550</v>
      </c>
      <c r="N13113" t="s">
        <v>43166</v>
      </c>
      <c r="O13113" t="s">
        <v>43167</v>
      </c>
      <c r="P13113">
        <v>0</v>
      </c>
      <c r="Q13113">
        <v>1</v>
      </c>
      <c r="R13113" t="s">
        <v>43186</v>
      </c>
      <c r="S13113" t="s">
        <v>44047</v>
      </c>
      <c r="T13113" t="s">
        <v>45111</v>
      </c>
      <c r="U13113" t="s">
        <v>55623</v>
      </c>
      <c r="W13113" t="s">
        <v>42550</v>
      </c>
      <c r="X13113" t="s">
        <v>43187</v>
      </c>
    </row>
    <row r="13114" spans="1:24">
      <c r="A13114">
        <f>HYPERLINK("https://www.philgeps.gov.ph/GEPSNONPILOT/Tender/SplashBidNoticeAbstractUI.aspx?menuIndex=3&amp;refID=7051402&amp;Result=3","7051402")</f>
        <v>0</v>
      </c>
      <c r="B13114" t="s">
        <v>3239</v>
      </c>
      <c r="C13114" t="s">
        <v>15964</v>
      </c>
      <c r="D13114" t="s">
        <v>17414</v>
      </c>
      <c r="E13114" t="s">
        <v>28714</v>
      </c>
      <c r="F13114" t="s">
        <v>30052</v>
      </c>
      <c r="G13114" t="s">
        <v>30058</v>
      </c>
      <c r="H13114" t="s">
        <v>15498</v>
      </c>
      <c r="I13114" t="s">
        <v>30077</v>
      </c>
      <c r="J13114" t="s">
        <v>30230</v>
      </c>
      <c r="K13114" t="s">
        <v>39019</v>
      </c>
      <c r="M13114" t="s">
        <v>42866</v>
      </c>
      <c r="N13114" t="s">
        <v>43166</v>
      </c>
      <c r="O13114" t="s">
        <v>43167</v>
      </c>
      <c r="P13114">
        <v>0</v>
      </c>
      <c r="Q13114">
        <v>2</v>
      </c>
      <c r="R13114" t="s">
        <v>43186</v>
      </c>
      <c r="S13114" t="s">
        <v>44047</v>
      </c>
      <c r="T13114" t="s">
        <v>44856</v>
      </c>
      <c r="U13114" t="s">
        <v>55624</v>
      </c>
      <c r="W13114" t="s">
        <v>42866</v>
      </c>
      <c r="X13114" t="s">
        <v>43187</v>
      </c>
    </row>
    <row r="13115" spans="1:24">
      <c r="A13115">
        <f>HYPERLINK("https://www.philgeps.gov.ph/GEPSNONPILOT/Tender/SplashBidNoticeAbstractUI.aspx?menuIndex=3&amp;refID=7051391&amp;Result=3","7051391")</f>
        <v>0</v>
      </c>
      <c r="B13115" t="s">
        <v>422</v>
      </c>
      <c r="C13115" t="s">
        <v>15965</v>
      </c>
      <c r="D13115" t="s">
        <v>17455</v>
      </c>
      <c r="E13115" t="s">
        <v>28715</v>
      </c>
      <c r="F13115" t="s">
        <v>30052</v>
      </c>
      <c r="G13115" t="s">
        <v>30059</v>
      </c>
      <c r="H13115" t="s">
        <v>15498</v>
      </c>
      <c r="I13115" t="s">
        <v>3693</v>
      </c>
      <c r="J13115" t="s">
        <v>31133</v>
      </c>
      <c r="K13115" t="s">
        <v>39025</v>
      </c>
      <c r="M13115" t="s">
        <v>40641</v>
      </c>
      <c r="N13115" t="s">
        <v>43166</v>
      </c>
      <c r="O13115" t="s">
        <v>43167</v>
      </c>
      <c r="Q13115">
        <v>0</v>
      </c>
      <c r="R13115" t="s">
        <v>43186</v>
      </c>
      <c r="S13115" t="s">
        <v>43379</v>
      </c>
      <c r="T13115" t="s">
        <v>44681</v>
      </c>
      <c r="U13115" t="s">
        <v>48012</v>
      </c>
      <c r="W13115" t="s">
        <v>40641</v>
      </c>
      <c r="X13115" t="s">
        <v>43187</v>
      </c>
    </row>
    <row r="13116" spans="1:24">
      <c r="A13116">
        <f>HYPERLINK("https://www.philgeps.gov.ph/GEPSNONPILOT/Tender/SplashBidNoticeAbstractUI.aspx?menuIndex=3&amp;refID=7051431&amp;Result=3","7051431")</f>
        <v>0</v>
      </c>
      <c r="B13116" t="s">
        <v>3317</v>
      </c>
      <c r="C13116" t="s">
        <v>15966</v>
      </c>
      <c r="D13116" t="s">
        <v>17476</v>
      </c>
      <c r="E13116" t="s">
        <v>28716</v>
      </c>
      <c r="F13116" t="s">
        <v>30052</v>
      </c>
      <c r="G13116" t="s">
        <v>30058</v>
      </c>
      <c r="H13116" t="s">
        <v>30067</v>
      </c>
      <c r="I13116" t="s">
        <v>3693</v>
      </c>
      <c r="J13116" t="s">
        <v>30711</v>
      </c>
      <c r="K13116" t="s">
        <v>39026</v>
      </c>
      <c r="M13116" t="s">
        <v>42958</v>
      </c>
      <c r="N13116" t="s">
        <v>43166</v>
      </c>
      <c r="O13116" t="s">
        <v>43167</v>
      </c>
      <c r="P13116">
        <v>0</v>
      </c>
      <c r="Q13116">
        <v>0</v>
      </c>
      <c r="R13116" t="s">
        <v>43186</v>
      </c>
      <c r="S13116" t="s">
        <v>44047</v>
      </c>
      <c r="T13116" t="s">
        <v>45175</v>
      </c>
      <c r="U13116" t="s">
        <v>55625</v>
      </c>
      <c r="V13116" t="s">
        <v>58377</v>
      </c>
      <c r="W13116" t="s">
        <v>42958</v>
      </c>
      <c r="X13116" t="s">
        <v>43187</v>
      </c>
    </row>
    <row r="13117" spans="1:24">
      <c r="A13117">
        <f>HYPERLINK("https://www.philgeps.gov.ph/GEPSNONPILOT/Tender/SplashBidNoticeAbstractUI.aspx?menuIndex=3&amp;refID=7051417&amp;Result=3","7051417")</f>
        <v>0</v>
      </c>
      <c r="B13117" t="s">
        <v>3322</v>
      </c>
      <c r="C13117" t="s">
        <v>15967</v>
      </c>
      <c r="D13117" t="s">
        <v>17487</v>
      </c>
      <c r="E13117" t="s">
        <v>15498</v>
      </c>
      <c r="F13117" t="s">
        <v>30052</v>
      </c>
      <c r="G13117" t="s">
        <v>30058</v>
      </c>
      <c r="H13117" t="s">
        <v>15498</v>
      </c>
      <c r="I13117" t="s">
        <v>9238</v>
      </c>
      <c r="J13117" t="s">
        <v>38167</v>
      </c>
      <c r="K13117" t="s">
        <v>39029</v>
      </c>
      <c r="M13117" t="s">
        <v>42963</v>
      </c>
      <c r="N13117" t="s">
        <v>43166</v>
      </c>
      <c r="O13117" t="s">
        <v>43167</v>
      </c>
      <c r="P13117">
        <v>0</v>
      </c>
      <c r="Q13117">
        <v>3</v>
      </c>
      <c r="R13117" t="s">
        <v>43186</v>
      </c>
      <c r="S13117" t="s">
        <v>44047</v>
      </c>
      <c r="T13117" t="s">
        <v>44717</v>
      </c>
      <c r="U13117" t="s">
        <v>55626</v>
      </c>
      <c r="V13117" t="s">
        <v>58378</v>
      </c>
      <c r="W13117" t="s">
        <v>42963</v>
      </c>
      <c r="X13117" t="s">
        <v>43187</v>
      </c>
    </row>
    <row r="13118" spans="1:24">
      <c r="A13118">
        <f>HYPERLINK("https://www.philgeps.gov.ph/GEPSNONPILOT/Tender/SplashBidNoticeAbstractUI.aspx?menuIndex=3&amp;refID=7051405&amp;Result=3","7051405")</f>
        <v>0</v>
      </c>
      <c r="B13118" t="s">
        <v>3334</v>
      </c>
      <c r="C13118" t="s">
        <v>15968</v>
      </c>
      <c r="D13118" t="s">
        <v>17438</v>
      </c>
      <c r="E13118" t="s">
        <v>28717</v>
      </c>
      <c r="F13118" t="s">
        <v>30052</v>
      </c>
      <c r="G13118" t="s">
        <v>30058</v>
      </c>
      <c r="H13118" t="s">
        <v>30067</v>
      </c>
      <c r="I13118" t="s">
        <v>3693</v>
      </c>
      <c r="J13118" t="s">
        <v>30397</v>
      </c>
      <c r="K13118" t="s">
        <v>39062</v>
      </c>
      <c r="M13118" t="s">
        <v>42976</v>
      </c>
      <c r="N13118" t="s">
        <v>43166</v>
      </c>
      <c r="O13118" t="s">
        <v>43167</v>
      </c>
      <c r="P13118">
        <v>0</v>
      </c>
      <c r="Q13118">
        <v>4</v>
      </c>
      <c r="R13118" t="s">
        <v>43186</v>
      </c>
      <c r="S13118" t="s">
        <v>44047</v>
      </c>
      <c r="T13118" t="s">
        <v>44844</v>
      </c>
      <c r="U13118" t="s">
        <v>55627</v>
      </c>
      <c r="W13118" t="s">
        <v>42976</v>
      </c>
      <c r="X13118" t="s">
        <v>43187</v>
      </c>
    </row>
    <row r="13119" spans="1:24">
      <c r="A13119">
        <f>HYPERLINK("https://www.philgeps.gov.ph/GEPSNONPILOT/Tender/SplashBidNoticeAbstractUI.aspx?menuIndex=3&amp;refID=7051354&amp;Result=3","7051354")</f>
        <v>0</v>
      </c>
      <c r="B13119" t="s">
        <v>3239</v>
      </c>
      <c r="C13119" t="s">
        <v>15969</v>
      </c>
      <c r="D13119" t="s">
        <v>17414</v>
      </c>
      <c r="E13119" t="s">
        <v>28718</v>
      </c>
      <c r="F13119" t="s">
        <v>30052</v>
      </c>
      <c r="G13119" t="s">
        <v>30058</v>
      </c>
      <c r="H13119" t="s">
        <v>15498</v>
      </c>
      <c r="I13119" t="s">
        <v>30076</v>
      </c>
      <c r="J13119" t="s">
        <v>30207</v>
      </c>
      <c r="K13119" t="s">
        <v>39019</v>
      </c>
      <c r="M13119" t="s">
        <v>42866</v>
      </c>
      <c r="N13119" t="s">
        <v>43166</v>
      </c>
      <c r="O13119" t="s">
        <v>43167</v>
      </c>
      <c r="P13119">
        <v>0</v>
      </c>
      <c r="Q13119">
        <v>1</v>
      </c>
      <c r="R13119" t="s">
        <v>43186</v>
      </c>
      <c r="S13119" t="s">
        <v>44047</v>
      </c>
      <c r="T13119" t="s">
        <v>44856</v>
      </c>
      <c r="U13119" t="s">
        <v>55628</v>
      </c>
      <c r="W13119" t="s">
        <v>42866</v>
      </c>
      <c r="X13119" t="s">
        <v>43187</v>
      </c>
    </row>
    <row r="13120" spans="1:24">
      <c r="A13120">
        <f>HYPERLINK("https://www.philgeps.gov.ph/GEPSNONPILOT/Tender/SplashBidNoticeAbstractUI.aspx?menuIndex=3&amp;refID=7051346&amp;Result=3","7051346")</f>
        <v>0</v>
      </c>
      <c r="B13120" t="s">
        <v>1670</v>
      </c>
      <c r="C13120" t="s">
        <v>15970</v>
      </c>
      <c r="D13120" t="s">
        <v>17452</v>
      </c>
      <c r="E13120" t="s">
        <v>28719</v>
      </c>
      <c r="F13120" t="s">
        <v>30052</v>
      </c>
      <c r="G13120" t="s">
        <v>30058</v>
      </c>
      <c r="H13120" t="s">
        <v>30067</v>
      </c>
      <c r="I13120" t="s">
        <v>3693</v>
      </c>
      <c r="J13120" t="s">
        <v>38168</v>
      </c>
      <c r="K13120" t="s">
        <v>39065</v>
      </c>
      <c r="M13120" t="s">
        <v>41077</v>
      </c>
      <c r="N13120" t="s">
        <v>43166</v>
      </c>
      <c r="O13120" t="s">
        <v>43167</v>
      </c>
      <c r="Q13120">
        <v>2</v>
      </c>
      <c r="R13120" t="s">
        <v>43186</v>
      </c>
      <c r="S13120" t="s">
        <v>44090</v>
      </c>
      <c r="T13120" t="s">
        <v>44717</v>
      </c>
      <c r="U13120" t="s">
        <v>55629</v>
      </c>
      <c r="V13120" t="s">
        <v>58374</v>
      </c>
      <c r="W13120" t="s">
        <v>41077</v>
      </c>
      <c r="X13120" t="s">
        <v>43187</v>
      </c>
    </row>
    <row r="13121" spans="1:24">
      <c r="A13121">
        <f>HYPERLINK("https://www.philgeps.gov.ph/GEPSNONPILOT/Tender/SplashBidNoticeAbstractUI.aspx?menuIndex=3&amp;refID=7051243&amp;Result=3","7051243")</f>
        <v>0</v>
      </c>
      <c r="B13121" t="s">
        <v>2452</v>
      </c>
      <c r="C13121" t="s">
        <v>15971</v>
      </c>
      <c r="D13121" t="s">
        <v>17459</v>
      </c>
      <c r="E13121" t="s">
        <v>28720</v>
      </c>
      <c r="F13121" t="s">
        <v>30052</v>
      </c>
      <c r="G13121" t="s">
        <v>30058</v>
      </c>
      <c r="H13121" t="s">
        <v>15498</v>
      </c>
      <c r="I13121" t="s">
        <v>30142</v>
      </c>
      <c r="J13121" t="s">
        <v>30216</v>
      </c>
      <c r="K13121" t="s">
        <v>39019</v>
      </c>
      <c r="M13121" t="s">
        <v>42377</v>
      </c>
      <c r="N13121" t="s">
        <v>43166</v>
      </c>
      <c r="O13121" t="s">
        <v>43167</v>
      </c>
      <c r="P13121">
        <v>0</v>
      </c>
      <c r="Q13121">
        <v>3</v>
      </c>
      <c r="R13121" t="s">
        <v>43186</v>
      </c>
      <c r="S13121" t="s">
        <v>44047</v>
      </c>
      <c r="T13121" t="s">
        <v>44788</v>
      </c>
      <c r="U13121" t="s">
        <v>55630</v>
      </c>
      <c r="W13121" t="s">
        <v>42377</v>
      </c>
      <c r="X13121" t="s">
        <v>43187</v>
      </c>
    </row>
    <row r="13122" spans="1:24">
      <c r="A13122">
        <f>HYPERLINK("https://www.philgeps.gov.ph/GEPSNONPILOT/Tender/SplashBidNoticeAbstractUI.aspx?menuIndex=3&amp;refID=7051385&amp;Result=3","7051385")</f>
        <v>0</v>
      </c>
      <c r="B13122" t="s">
        <v>1670</v>
      </c>
      <c r="C13122" t="s">
        <v>15972</v>
      </c>
      <c r="D13122" t="s">
        <v>17452</v>
      </c>
      <c r="E13122" t="s">
        <v>28721</v>
      </c>
      <c r="F13122" t="s">
        <v>30052</v>
      </c>
      <c r="G13122" t="s">
        <v>30058</v>
      </c>
      <c r="H13122" t="s">
        <v>30067</v>
      </c>
      <c r="I13122" t="s">
        <v>3693</v>
      </c>
      <c r="J13122" t="s">
        <v>38169</v>
      </c>
      <c r="K13122" t="s">
        <v>39029</v>
      </c>
      <c r="M13122" t="s">
        <v>41077</v>
      </c>
      <c r="N13122" t="s">
        <v>43166</v>
      </c>
      <c r="O13122" t="s">
        <v>43167</v>
      </c>
      <c r="P13122">
        <v>0</v>
      </c>
      <c r="Q13122">
        <v>2</v>
      </c>
      <c r="R13122" t="s">
        <v>43186</v>
      </c>
      <c r="S13122" t="s">
        <v>44047</v>
      </c>
      <c r="T13122" t="s">
        <v>44717</v>
      </c>
      <c r="U13122" t="s">
        <v>55631</v>
      </c>
      <c r="V13122" t="s">
        <v>58374</v>
      </c>
      <c r="W13122" t="s">
        <v>41077</v>
      </c>
      <c r="X13122" t="s">
        <v>43187</v>
      </c>
    </row>
    <row r="13123" spans="1:24">
      <c r="A13123">
        <f>HYPERLINK("https://www.philgeps.gov.ph/GEPSNONPILOT/Tender/SplashBidNoticeAbstractUI.aspx?menuIndex=3&amp;refID=7051112&amp;Result=3","7051112")</f>
        <v>0</v>
      </c>
      <c r="B13123" t="s">
        <v>927</v>
      </c>
      <c r="C13123" t="s">
        <v>5578</v>
      </c>
      <c r="D13123" t="s">
        <v>17458</v>
      </c>
      <c r="E13123" t="s">
        <v>28722</v>
      </c>
      <c r="F13123" t="s">
        <v>30052</v>
      </c>
      <c r="G13123" t="s">
        <v>30058</v>
      </c>
      <c r="H13123" t="s">
        <v>15498</v>
      </c>
      <c r="I13123" t="s">
        <v>30073</v>
      </c>
      <c r="J13123" t="s">
        <v>30209</v>
      </c>
      <c r="K13123" t="s">
        <v>39018</v>
      </c>
      <c r="M13123" t="s">
        <v>42977</v>
      </c>
      <c r="N13123" t="s">
        <v>43166</v>
      </c>
      <c r="O13123" t="s">
        <v>43167</v>
      </c>
      <c r="P13123">
        <v>0</v>
      </c>
      <c r="Q13123">
        <v>0</v>
      </c>
      <c r="R13123" t="s">
        <v>43186</v>
      </c>
      <c r="S13123" t="s">
        <v>44047</v>
      </c>
      <c r="T13123" t="s">
        <v>44856</v>
      </c>
      <c r="U13123" t="s">
        <v>55632</v>
      </c>
      <c r="W13123" t="s">
        <v>42977</v>
      </c>
      <c r="X13123" t="s">
        <v>43187</v>
      </c>
    </row>
    <row r="13124" spans="1:24">
      <c r="A13124">
        <f>HYPERLINK("https://www.philgeps.gov.ph/GEPSNONPILOT/Tender/SplashBidNoticeAbstractUI.aspx?menuIndex=3&amp;refID=7051362&amp;Result=3","7051362")</f>
        <v>0</v>
      </c>
      <c r="B13124" t="s">
        <v>721</v>
      </c>
      <c r="C13124" t="s">
        <v>15973</v>
      </c>
      <c r="D13124" t="s">
        <v>17451</v>
      </c>
      <c r="E13124" t="s">
        <v>28723</v>
      </c>
      <c r="F13124" t="s">
        <v>30052</v>
      </c>
      <c r="G13124" t="s">
        <v>30058</v>
      </c>
      <c r="H13124" t="s">
        <v>30067</v>
      </c>
      <c r="I13124" t="s">
        <v>3693</v>
      </c>
      <c r="J13124" t="s">
        <v>38170</v>
      </c>
      <c r="K13124" t="s">
        <v>39054</v>
      </c>
      <c r="M13124" t="s">
        <v>40031</v>
      </c>
      <c r="N13124" t="s">
        <v>43166</v>
      </c>
      <c r="O13124" t="s">
        <v>43167</v>
      </c>
      <c r="P13124">
        <v>0</v>
      </c>
      <c r="Q13124">
        <v>0</v>
      </c>
      <c r="R13124" t="s">
        <v>43186</v>
      </c>
      <c r="S13124" t="s">
        <v>44047</v>
      </c>
      <c r="T13124" t="s">
        <v>44780</v>
      </c>
      <c r="U13124" t="s">
        <v>51728</v>
      </c>
      <c r="W13124" t="s">
        <v>40031</v>
      </c>
      <c r="X13124" t="s">
        <v>43187</v>
      </c>
    </row>
    <row r="13125" spans="1:24">
      <c r="A13125">
        <f>HYPERLINK("https://www.philgeps.gov.ph/GEPSNONPILOT/Tender/SplashBidNoticeAbstractUI.aspx?menuIndex=3&amp;refID=7051349&amp;Result=3","7051349")</f>
        <v>0</v>
      </c>
      <c r="B13125" t="s">
        <v>1432</v>
      </c>
      <c r="C13125" t="s">
        <v>15974</v>
      </c>
      <c r="D13125" t="s">
        <v>17417</v>
      </c>
      <c r="E13125" t="s">
        <v>26434</v>
      </c>
      <c r="F13125" t="s">
        <v>30052</v>
      </c>
      <c r="G13125" t="s">
        <v>30058</v>
      </c>
      <c r="H13125" t="s">
        <v>30067</v>
      </c>
      <c r="I13125" t="s">
        <v>3693</v>
      </c>
      <c r="J13125" t="s">
        <v>30235</v>
      </c>
      <c r="K13125" t="s">
        <v>39031</v>
      </c>
      <c r="M13125" t="s">
        <v>40810</v>
      </c>
      <c r="N13125" t="s">
        <v>43166</v>
      </c>
      <c r="O13125" t="s">
        <v>43167</v>
      </c>
      <c r="P13125">
        <v>0</v>
      </c>
      <c r="Q13125">
        <v>4</v>
      </c>
      <c r="R13125" t="s">
        <v>43186</v>
      </c>
      <c r="S13125" t="s">
        <v>44047</v>
      </c>
      <c r="T13125" t="s">
        <v>44856</v>
      </c>
      <c r="U13125" t="s">
        <v>55633</v>
      </c>
      <c r="W13125" t="s">
        <v>40810</v>
      </c>
      <c r="X13125" t="s">
        <v>43187</v>
      </c>
    </row>
    <row r="13126" spans="1:24">
      <c r="A13126">
        <f>HYPERLINK("https://www.philgeps.gov.ph/GEPSNONPILOT/Tender/SplashBidNoticeAbstractUI.aspx?menuIndex=3&amp;refID=7051573&amp;Result=3","7051573")</f>
        <v>0</v>
      </c>
      <c r="B13126" t="s">
        <v>1059</v>
      </c>
      <c r="C13126" t="s">
        <v>15975</v>
      </c>
      <c r="D13126" t="s">
        <v>17432</v>
      </c>
      <c r="E13126" t="s">
        <v>28724</v>
      </c>
      <c r="F13126" t="s">
        <v>30052</v>
      </c>
      <c r="G13126" t="s">
        <v>30058</v>
      </c>
      <c r="H13126" t="s">
        <v>15498</v>
      </c>
      <c r="I13126" t="s">
        <v>30106</v>
      </c>
      <c r="J13126" t="s">
        <v>38171</v>
      </c>
      <c r="K13126" t="s">
        <v>39046</v>
      </c>
      <c r="M13126" t="s">
        <v>40394</v>
      </c>
      <c r="N13126" t="s">
        <v>43166</v>
      </c>
      <c r="O13126" t="s">
        <v>43167</v>
      </c>
      <c r="Q13126">
        <v>8</v>
      </c>
      <c r="R13126" t="s">
        <v>43186</v>
      </c>
      <c r="S13126" t="s">
        <v>44091</v>
      </c>
      <c r="T13126" t="s">
        <v>44832</v>
      </c>
      <c r="U13126" t="s">
        <v>55634</v>
      </c>
      <c r="V13126" t="s">
        <v>57136</v>
      </c>
      <c r="W13126" t="s">
        <v>40394</v>
      </c>
      <c r="X13126" t="s">
        <v>43187</v>
      </c>
    </row>
    <row r="13127" spans="1:24">
      <c r="A13127">
        <f>HYPERLINK("https://www.philgeps.gov.ph/GEPSNONPILOT/Tender/SplashBidNoticeAbstractUI.aspx?menuIndex=3&amp;refID=7051562&amp;Result=3","7051562")</f>
        <v>0</v>
      </c>
      <c r="B13127" t="s">
        <v>3335</v>
      </c>
      <c r="C13127" t="s">
        <v>15976</v>
      </c>
      <c r="D13127" t="s">
        <v>17422</v>
      </c>
      <c r="E13127" t="s">
        <v>18659</v>
      </c>
      <c r="F13127" t="s">
        <v>30052</v>
      </c>
      <c r="G13127" t="s">
        <v>30058</v>
      </c>
      <c r="H13127" t="s">
        <v>30067</v>
      </c>
      <c r="I13127" t="s">
        <v>3693</v>
      </c>
      <c r="J13127" t="s">
        <v>38172</v>
      </c>
      <c r="K13127" t="s">
        <v>39046</v>
      </c>
      <c r="M13127" t="s">
        <v>42978</v>
      </c>
      <c r="N13127" t="s">
        <v>43166</v>
      </c>
      <c r="O13127" t="s">
        <v>43167</v>
      </c>
      <c r="P13127">
        <v>0</v>
      </c>
      <c r="Q13127">
        <v>0</v>
      </c>
      <c r="R13127" t="s">
        <v>43186</v>
      </c>
      <c r="S13127" t="s">
        <v>44047</v>
      </c>
      <c r="T13127" t="s">
        <v>44837</v>
      </c>
      <c r="U13127" t="s">
        <v>55635</v>
      </c>
      <c r="W13127" t="s">
        <v>42978</v>
      </c>
      <c r="X13127" t="s">
        <v>43187</v>
      </c>
    </row>
    <row r="13128" spans="1:24">
      <c r="A13128">
        <f>HYPERLINK("https://www.philgeps.gov.ph/GEPSNONPILOT/Tender/SplashBidNoticeAbstractUI.aspx?menuIndex=3&amp;refID=7051553&amp;Result=3","7051553")</f>
        <v>0</v>
      </c>
      <c r="B13128" t="s">
        <v>2470</v>
      </c>
      <c r="C13128" t="s">
        <v>15977</v>
      </c>
      <c r="D13128" t="s">
        <v>17419</v>
      </c>
      <c r="E13128" t="s">
        <v>28725</v>
      </c>
      <c r="F13128" t="s">
        <v>30052</v>
      </c>
      <c r="G13128" t="s">
        <v>30058</v>
      </c>
      <c r="H13128" t="s">
        <v>15498</v>
      </c>
      <c r="I13128" t="s">
        <v>3736</v>
      </c>
      <c r="J13128" t="s">
        <v>32123</v>
      </c>
      <c r="K13128" t="s">
        <v>39017</v>
      </c>
      <c r="M13128" t="s">
        <v>41970</v>
      </c>
      <c r="N13128" t="s">
        <v>43166</v>
      </c>
      <c r="O13128" t="s">
        <v>43167</v>
      </c>
      <c r="P13128">
        <v>0</v>
      </c>
      <c r="Q13128">
        <v>0</v>
      </c>
      <c r="R13128" t="s">
        <v>43186</v>
      </c>
      <c r="S13128" t="s">
        <v>44047</v>
      </c>
      <c r="T13128" t="s">
        <v>44969</v>
      </c>
      <c r="U13128" t="s">
        <v>55636</v>
      </c>
      <c r="W13128" t="s">
        <v>41970</v>
      </c>
      <c r="X13128" t="s">
        <v>43187</v>
      </c>
    </row>
    <row r="13129" spans="1:24">
      <c r="A13129">
        <f>HYPERLINK("https://www.philgeps.gov.ph/GEPSNONPILOT/Tender/SplashBidNoticeAbstractUI.aspx?menuIndex=3&amp;refID=7051381&amp;Result=3","7051381")</f>
        <v>0</v>
      </c>
      <c r="B13129" t="s">
        <v>1730</v>
      </c>
      <c r="C13129" t="s">
        <v>15978</v>
      </c>
      <c r="D13129" t="s">
        <v>17423</v>
      </c>
      <c r="E13129" t="s">
        <v>28726</v>
      </c>
      <c r="F13129" t="s">
        <v>30052</v>
      </c>
      <c r="G13129" t="s">
        <v>30058</v>
      </c>
      <c r="H13129" t="s">
        <v>30067</v>
      </c>
      <c r="I13129" t="s">
        <v>3693</v>
      </c>
      <c r="J13129" t="s">
        <v>38173</v>
      </c>
      <c r="K13129" t="s">
        <v>39173</v>
      </c>
      <c r="M13129" t="s">
        <v>42228</v>
      </c>
      <c r="N13129" t="s">
        <v>43166</v>
      </c>
      <c r="O13129" t="s">
        <v>43167</v>
      </c>
      <c r="P13129">
        <v>0</v>
      </c>
      <c r="Q13129">
        <v>0</v>
      </c>
      <c r="R13129" t="s">
        <v>43186</v>
      </c>
      <c r="S13129" t="s">
        <v>44047</v>
      </c>
      <c r="T13129" t="s">
        <v>44856</v>
      </c>
      <c r="U13129" t="s">
        <v>55637</v>
      </c>
      <c r="V13129" t="s">
        <v>58379</v>
      </c>
      <c r="W13129" t="s">
        <v>42228</v>
      </c>
      <c r="X13129" t="s">
        <v>43187</v>
      </c>
    </row>
    <row r="13130" spans="1:24">
      <c r="A13130">
        <f>HYPERLINK("https://www.philgeps.gov.ph/GEPSNONPILOT/Tender/SplashBidNoticeAbstractUI.aspx?menuIndex=3&amp;refID=7051552&amp;Result=3","7051552")</f>
        <v>0</v>
      </c>
      <c r="B13130" t="s">
        <v>2656</v>
      </c>
      <c r="C13130" t="s">
        <v>15979</v>
      </c>
      <c r="D13130" t="s">
        <v>17458</v>
      </c>
      <c r="E13130" t="s">
        <v>28727</v>
      </c>
      <c r="F13130" t="s">
        <v>30052</v>
      </c>
      <c r="G13130" t="s">
        <v>30058</v>
      </c>
      <c r="H13130" t="s">
        <v>30067</v>
      </c>
      <c r="I13130" t="s">
        <v>3693</v>
      </c>
      <c r="J13130" t="s">
        <v>31732</v>
      </c>
      <c r="K13130" t="s">
        <v>39025</v>
      </c>
      <c r="L13130" t="s">
        <v>2656</v>
      </c>
      <c r="M13130" t="s">
        <v>42174</v>
      </c>
      <c r="N13130" t="s">
        <v>43166</v>
      </c>
      <c r="O13130" t="s">
        <v>43167</v>
      </c>
      <c r="Q13130">
        <v>1</v>
      </c>
      <c r="R13130" t="s">
        <v>43186</v>
      </c>
      <c r="S13130" t="s">
        <v>44092</v>
      </c>
      <c r="T13130" t="s">
        <v>44842</v>
      </c>
      <c r="U13130" t="s">
        <v>55638</v>
      </c>
      <c r="V13130" t="s">
        <v>57765</v>
      </c>
      <c r="W13130" t="s">
        <v>42174</v>
      </c>
      <c r="X13130" t="s">
        <v>43187</v>
      </c>
    </row>
    <row r="13131" spans="1:24">
      <c r="A13131">
        <f>HYPERLINK("https://www.philgeps.gov.ph/GEPSNONPILOT/Tender/SplashBidNoticeAbstractUI.aspx?menuIndex=3&amp;refID=7051550&amp;Result=3","7051550")</f>
        <v>0</v>
      </c>
      <c r="B13131" t="s">
        <v>3336</v>
      </c>
      <c r="C13131" t="s">
        <v>15980</v>
      </c>
      <c r="D13131" t="s">
        <v>17459</v>
      </c>
      <c r="E13131" t="s">
        <v>18583</v>
      </c>
      <c r="F13131" t="s">
        <v>30052</v>
      </c>
      <c r="G13131" t="s">
        <v>30058</v>
      </c>
      <c r="H13131" t="s">
        <v>30067</v>
      </c>
      <c r="I13131" t="s">
        <v>3693</v>
      </c>
      <c r="J13131" t="s">
        <v>38174</v>
      </c>
      <c r="K13131" t="s">
        <v>39025</v>
      </c>
      <c r="M13131" t="s">
        <v>42979</v>
      </c>
      <c r="N13131" t="s">
        <v>43166</v>
      </c>
      <c r="O13131" t="s">
        <v>43167</v>
      </c>
      <c r="P13131">
        <v>0</v>
      </c>
      <c r="Q13131">
        <v>8</v>
      </c>
      <c r="R13131" t="s">
        <v>43186</v>
      </c>
      <c r="S13131" t="s">
        <v>44047</v>
      </c>
      <c r="T13131" t="s">
        <v>44832</v>
      </c>
      <c r="U13131" t="s">
        <v>55639</v>
      </c>
      <c r="W13131" t="s">
        <v>42979</v>
      </c>
      <c r="X13131" t="s">
        <v>43187</v>
      </c>
    </row>
    <row r="13132" spans="1:24">
      <c r="A13132">
        <f>HYPERLINK("https://www.philgeps.gov.ph/GEPSNONPILOT/Tender/SplashBidNoticeAbstractUI.aspx?menuIndex=3&amp;refID=7051543&amp;Result=3","7051543")</f>
        <v>0</v>
      </c>
      <c r="B13132" t="s">
        <v>2320</v>
      </c>
      <c r="C13132" t="s">
        <v>15981</v>
      </c>
      <c r="D13132" t="s">
        <v>17462</v>
      </c>
      <c r="E13132" t="s">
        <v>28728</v>
      </c>
      <c r="F13132" t="s">
        <v>30052</v>
      </c>
      <c r="G13132" t="s">
        <v>30058</v>
      </c>
      <c r="H13132" t="s">
        <v>30067</v>
      </c>
      <c r="I13132" t="s">
        <v>3693</v>
      </c>
      <c r="J13132" t="s">
        <v>30281</v>
      </c>
      <c r="K13132" t="s">
        <v>39020</v>
      </c>
      <c r="M13132" t="s">
        <v>41819</v>
      </c>
      <c r="N13132" t="s">
        <v>43166</v>
      </c>
      <c r="O13132" t="s">
        <v>43167</v>
      </c>
      <c r="P13132">
        <v>0</v>
      </c>
      <c r="Q13132">
        <v>26</v>
      </c>
      <c r="R13132" t="s">
        <v>43186</v>
      </c>
      <c r="S13132" t="s">
        <v>44047</v>
      </c>
      <c r="T13132" t="s">
        <v>44870</v>
      </c>
      <c r="U13132" t="s">
        <v>51193</v>
      </c>
      <c r="V13132" t="s">
        <v>58173</v>
      </c>
      <c r="W13132" t="s">
        <v>58688</v>
      </c>
      <c r="X13132" t="s">
        <v>43187</v>
      </c>
    </row>
    <row r="13133" spans="1:24">
      <c r="A13133">
        <f>HYPERLINK("https://www.philgeps.gov.ph/GEPSNONPILOT/Tender/SplashBidNoticeAbstractUI.aspx?menuIndex=3&amp;refID=7051535&amp;Result=3","7051535")</f>
        <v>0</v>
      </c>
      <c r="B13133" t="s">
        <v>1730</v>
      </c>
      <c r="C13133" t="s">
        <v>15982</v>
      </c>
      <c r="D13133" t="s">
        <v>17423</v>
      </c>
      <c r="E13133" t="s">
        <v>28729</v>
      </c>
      <c r="F13133" t="s">
        <v>30052</v>
      </c>
      <c r="G13133" t="s">
        <v>30058</v>
      </c>
      <c r="H13133" t="s">
        <v>15498</v>
      </c>
      <c r="I13133" t="s">
        <v>3693</v>
      </c>
      <c r="J13133" t="s">
        <v>38175</v>
      </c>
      <c r="K13133" t="s">
        <v>39244</v>
      </c>
      <c r="M13133" t="s">
        <v>42228</v>
      </c>
      <c r="N13133" t="s">
        <v>43166</v>
      </c>
      <c r="O13133" t="s">
        <v>43167</v>
      </c>
      <c r="P13133">
        <v>0</v>
      </c>
      <c r="Q13133">
        <v>0</v>
      </c>
      <c r="R13133" t="s">
        <v>43186</v>
      </c>
      <c r="S13133" t="s">
        <v>44047</v>
      </c>
      <c r="T13133" t="s">
        <v>44856</v>
      </c>
      <c r="U13133" t="s">
        <v>55640</v>
      </c>
      <c r="V13133" t="s">
        <v>58380</v>
      </c>
      <c r="W13133" t="s">
        <v>42228</v>
      </c>
      <c r="X13133" t="s">
        <v>43187</v>
      </c>
    </row>
    <row r="13134" spans="1:24">
      <c r="A13134">
        <f>HYPERLINK("https://www.philgeps.gov.ph/GEPSNONPILOT/Tender/SplashBidNoticeAbstractUI.aspx?menuIndex=3&amp;refID=7051534&amp;Result=3","7051534")</f>
        <v>0</v>
      </c>
      <c r="B13134" t="s">
        <v>2656</v>
      </c>
      <c r="C13134" t="s">
        <v>15983</v>
      </c>
      <c r="D13134" t="s">
        <v>17458</v>
      </c>
      <c r="E13134" t="s">
        <v>28730</v>
      </c>
      <c r="F13134" t="s">
        <v>30052</v>
      </c>
      <c r="G13134" t="s">
        <v>30058</v>
      </c>
      <c r="H13134" t="s">
        <v>30067</v>
      </c>
      <c r="I13134" t="s">
        <v>3693</v>
      </c>
      <c r="J13134" t="s">
        <v>35571</v>
      </c>
      <c r="K13134" t="s">
        <v>39025</v>
      </c>
      <c r="L13134" t="s">
        <v>2656</v>
      </c>
      <c r="M13134" t="s">
        <v>42174</v>
      </c>
      <c r="N13134" t="s">
        <v>43166</v>
      </c>
      <c r="O13134" t="s">
        <v>43167</v>
      </c>
      <c r="Q13134">
        <v>1</v>
      </c>
      <c r="R13134" t="s">
        <v>43186</v>
      </c>
      <c r="S13134" t="s">
        <v>44093</v>
      </c>
      <c r="T13134" t="s">
        <v>44842</v>
      </c>
      <c r="U13134" t="s">
        <v>55638</v>
      </c>
      <c r="V13134" t="s">
        <v>57765</v>
      </c>
      <c r="W13134" t="s">
        <v>42174</v>
      </c>
      <c r="X13134" t="s">
        <v>43187</v>
      </c>
    </row>
    <row r="13135" spans="1:24">
      <c r="A13135">
        <f>HYPERLINK("https://www.philgeps.gov.ph/GEPSNONPILOT/Tender/SplashBidNoticeAbstractUI.aspx?menuIndex=3&amp;refID=7051527&amp;Result=3","7051527")</f>
        <v>0</v>
      </c>
      <c r="B13135" t="s">
        <v>2229</v>
      </c>
      <c r="C13135" t="s">
        <v>15984</v>
      </c>
      <c r="D13135" t="s">
        <v>17413</v>
      </c>
      <c r="E13135" t="s">
        <v>28731</v>
      </c>
      <c r="F13135" t="s">
        <v>30052</v>
      </c>
      <c r="G13135" t="s">
        <v>30058</v>
      </c>
      <c r="H13135" t="s">
        <v>30067</v>
      </c>
      <c r="I13135" t="s">
        <v>3693</v>
      </c>
      <c r="J13135" t="s">
        <v>38176</v>
      </c>
      <c r="K13135" t="s">
        <v>39023</v>
      </c>
      <c r="M13135" t="s">
        <v>41701</v>
      </c>
      <c r="N13135" t="s">
        <v>43166</v>
      </c>
      <c r="O13135" t="s">
        <v>43167</v>
      </c>
      <c r="P13135">
        <v>0</v>
      </c>
      <c r="Q13135">
        <v>0</v>
      </c>
      <c r="R13135" t="s">
        <v>43186</v>
      </c>
      <c r="S13135" t="s">
        <v>44047</v>
      </c>
      <c r="T13135" t="s">
        <v>44734</v>
      </c>
      <c r="U13135" t="s">
        <v>55641</v>
      </c>
      <c r="V13135" t="s">
        <v>58381</v>
      </c>
      <c r="W13135" t="s">
        <v>41701</v>
      </c>
      <c r="X13135" t="s">
        <v>43187</v>
      </c>
    </row>
    <row r="13136" spans="1:24">
      <c r="A13136">
        <f>HYPERLINK("https://www.philgeps.gov.ph/GEPSNONPILOT/Tender/SplashBidNoticeAbstractUI.aspx?menuIndex=3&amp;refID=7051511&amp;Result=3","7051511")</f>
        <v>0</v>
      </c>
      <c r="B13136" t="s">
        <v>2656</v>
      </c>
      <c r="C13136" t="s">
        <v>15985</v>
      </c>
      <c r="D13136" t="s">
        <v>17458</v>
      </c>
      <c r="E13136" t="s">
        <v>28732</v>
      </c>
      <c r="F13136" t="s">
        <v>30052</v>
      </c>
      <c r="G13136" t="s">
        <v>30058</v>
      </c>
      <c r="H13136" t="s">
        <v>30067</v>
      </c>
      <c r="I13136" t="s">
        <v>3693</v>
      </c>
      <c r="J13136" t="s">
        <v>38177</v>
      </c>
      <c r="K13136" t="s">
        <v>39025</v>
      </c>
      <c r="L13136" t="s">
        <v>2656</v>
      </c>
      <c r="M13136" t="s">
        <v>42174</v>
      </c>
      <c r="N13136" t="s">
        <v>43166</v>
      </c>
      <c r="O13136" t="s">
        <v>43167</v>
      </c>
      <c r="Q13136">
        <v>1</v>
      </c>
      <c r="R13136" t="s">
        <v>43186</v>
      </c>
      <c r="S13136" t="s">
        <v>44094</v>
      </c>
      <c r="T13136" t="s">
        <v>44842</v>
      </c>
      <c r="U13136" t="s">
        <v>55638</v>
      </c>
      <c r="V13136" t="s">
        <v>57765</v>
      </c>
      <c r="W13136" t="s">
        <v>42174</v>
      </c>
      <c r="X13136" t="s">
        <v>43187</v>
      </c>
    </row>
    <row r="13137" spans="1:24">
      <c r="A13137">
        <f>HYPERLINK("https://www.philgeps.gov.ph/GEPSNONPILOT/Tender/SplashBidNoticeAbstractUI.aspx?menuIndex=3&amp;refID=7051507&amp;Result=3","7051507")</f>
        <v>0</v>
      </c>
      <c r="B13137" t="s">
        <v>1432</v>
      </c>
      <c r="C13137" t="s">
        <v>15986</v>
      </c>
      <c r="D13137" t="s">
        <v>17417</v>
      </c>
      <c r="E13137" t="s">
        <v>17823</v>
      </c>
      <c r="F13137" t="s">
        <v>30052</v>
      </c>
      <c r="G13137" t="s">
        <v>30058</v>
      </c>
      <c r="H13137" t="s">
        <v>30067</v>
      </c>
      <c r="I13137" t="s">
        <v>3693</v>
      </c>
      <c r="J13137" t="s">
        <v>30297</v>
      </c>
      <c r="K13137" t="s">
        <v>39073</v>
      </c>
      <c r="M13137" t="s">
        <v>40810</v>
      </c>
      <c r="N13137" t="s">
        <v>43166</v>
      </c>
      <c r="O13137" t="s">
        <v>43167</v>
      </c>
      <c r="P13137">
        <v>0</v>
      </c>
      <c r="Q13137">
        <v>4</v>
      </c>
      <c r="R13137" t="s">
        <v>43186</v>
      </c>
      <c r="S13137" t="s">
        <v>44047</v>
      </c>
      <c r="T13137" t="s">
        <v>44864</v>
      </c>
      <c r="U13137" t="s">
        <v>55642</v>
      </c>
      <c r="W13137" t="s">
        <v>40810</v>
      </c>
      <c r="X13137" t="s">
        <v>43187</v>
      </c>
    </row>
    <row r="13138" spans="1:24">
      <c r="A13138">
        <f>HYPERLINK("https://www.philgeps.gov.ph/GEPSNONPILOT/Tender/SplashBidNoticeAbstractUI.aspx?menuIndex=3&amp;refID=7051497&amp;Result=3","7051497")</f>
        <v>0</v>
      </c>
      <c r="B13138" t="s">
        <v>2594</v>
      </c>
      <c r="C13138" t="s">
        <v>15987</v>
      </c>
      <c r="D13138" t="s">
        <v>17448</v>
      </c>
      <c r="E13138" t="s">
        <v>28733</v>
      </c>
      <c r="F13138" t="s">
        <v>30052</v>
      </c>
      <c r="G13138" t="s">
        <v>30058</v>
      </c>
      <c r="H13138" t="s">
        <v>30067</v>
      </c>
      <c r="I13138" t="s">
        <v>30106</v>
      </c>
      <c r="J13138" t="s">
        <v>38178</v>
      </c>
      <c r="K13138" t="s">
        <v>39023</v>
      </c>
      <c r="M13138" t="s">
        <v>42105</v>
      </c>
      <c r="N13138" t="s">
        <v>43166</v>
      </c>
      <c r="O13138" t="s">
        <v>43167</v>
      </c>
      <c r="P13138">
        <v>0</v>
      </c>
      <c r="Q13138">
        <v>0</v>
      </c>
      <c r="R13138" t="s">
        <v>43186</v>
      </c>
      <c r="S13138" t="s">
        <v>44047</v>
      </c>
      <c r="T13138" t="s">
        <v>44864</v>
      </c>
      <c r="U13138" t="s">
        <v>55643</v>
      </c>
      <c r="W13138" t="s">
        <v>42105</v>
      </c>
      <c r="X13138" t="s">
        <v>43187</v>
      </c>
    </row>
    <row r="13139" spans="1:24">
      <c r="A13139">
        <f>HYPERLINK("https://www.philgeps.gov.ph/GEPSNONPILOT/Tender/SplashBidNoticeAbstractUI.aspx?menuIndex=3&amp;refID=7051575&amp;Result=3","7051575")</f>
        <v>0</v>
      </c>
      <c r="B13139" t="s">
        <v>2656</v>
      </c>
      <c r="C13139" t="s">
        <v>15988</v>
      </c>
      <c r="D13139" t="s">
        <v>17458</v>
      </c>
      <c r="E13139" t="s">
        <v>28734</v>
      </c>
      <c r="F13139" t="s">
        <v>30052</v>
      </c>
      <c r="G13139" t="s">
        <v>30058</v>
      </c>
      <c r="H13139" t="s">
        <v>30067</v>
      </c>
      <c r="I13139" t="s">
        <v>3693</v>
      </c>
      <c r="J13139" t="s">
        <v>36903</v>
      </c>
      <c r="K13139" t="s">
        <v>39025</v>
      </c>
      <c r="L13139" t="s">
        <v>2656</v>
      </c>
      <c r="M13139" t="s">
        <v>42174</v>
      </c>
      <c r="N13139" t="s">
        <v>43166</v>
      </c>
      <c r="O13139" t="s">
        <v>43167</v>
      </c>
      <c r="Q13139">
        <v>3</v>
      </c>
      <c r="R13139" t="s">
        <v>43186</v>
      </c>
      <c r="S13139" t="s">
        <v>44095</v>
      </c>
      <c r="T13139" t="s">
        <v>44842</v>
      </c>
      <c r="U13139" t="s">
        <v>55638</v>
      </c>
      <c r="V13139" t="s">
        <v>57765</v>
      </c>
      <c r="W13139" t="s">
        <v>42174</v>
      </c>
      <c r="X13139" t="s">
        <v>43187</v>
      </c>
    </row>
    <row r="13140" spans="1:24">
      <c r="A13140">
        <f>HYPERLINK("https://www.philgeps.gov.ph/GEPSNONPILOT/Tender/SplashBidNoticeAbstractUI.aspx?menuIndex=3&amp;refID=7051465&amp;Result=3","7051465")</f>
        <v>0</v>
      </c>
      <c r="B13140" t="s">
        <v>407</v>
      </c>
      <c r="C13140" t="s">
        <v>15989</v>
      </c>
      <c r="D13140" t="s">
        <v>17421</v>
      </c>
      <c r="E13140" t="s">
        <v>19599</v>
      </c>
      <c r="F13140" t="s">
        <v>30052</v>
      </c>
      <c r="G13140" t="s">
        <v>30058</v>
      </c>
      <c r="H13140" t="s">
        <v>15498</v>
      </c>
      <c r="I13140" t="s">
        <v>30130</v>
      </c>
      <c r="J13140" t="s">
        <v>38179</v>
      </c>
      <c r="K13140" t="s">
        <v>39023</v>
      </c>
      <c r="M13140" t="s">
        <v>40366</v>
      </c>
      <c r="N13140" t="s">
        <v>43166</v>
      </c>
      <c r="O13140" t="s">
        <v>43167</v>
      </c>
      <c r="P13140">
        <v>0</v>
      </c>
      <c r="Q13140">
        <v>24</v>
      </c>
      <c r="R13140" t="s">
        <v>43186</v>
      </c>
      <c r="S13140" t="s">
        <v>44047</v>
      </c>
      <c r="T13140" t="s">
        <v>45173</v>
      </c>
      <c r="U13140" t="s">
        <v>55644</v>
      </c>
      <c r="W13140" t="s">
        <v>40366</v>
      </c>
      <c r="X13140" t="s">
        <v>43187</v>
      </c>
    </row>
    <row r="13141" spans="1:24">
      <c r="A13141">
        <f>HYPERLINK("https://www.philgeps.gov.ph/GEPSNONPILOT/Tender/SplashBidNoticeAbstractUI.aspx?menuIndex=3&amp;refID=7051448&amp;Result=3","7051448")</f>
        <v>0</v>
      </c>
      <c r="B13141" t="s">
        <v>721</v>
      </c>
      <c r="C13141" t="s">
        <v>15990</v>
      </c>
      <c r="D13141" t="s">
        <v>17451</v>
      </c>
      <c r="E13141" t="s">
        <v>28735</v>
      </c>
      <c r="F13141" t="s">
        <v>30052</v>
      </c>
      <c r="G13141" t="s">
        <v>30058</v>
      </c>
      <c r="H13141" t="s">
        <v>30067</v>
      </c>
      <c r="I13141" t="s">
        <v>3693</v>
      </c>
      <c r="J13141" t="s">
        <v>38180</v>
      </c>
      <c r="K13141" t="s">
        <v>39029</v>
      </c>
      <c r="M13141" t="s">
        <v>40031</v>
      </c>
      <c r="N13141" t="s">
        <v>43166</v>
      </c>
      <c r="O13141" t="s">
        <v>43167</v>
      </c>
      <c r="P13141">
        <v>0</v>
      </c>
      <c r="Q13141">
        <v>0</v>
      </c>
      <c r="R13141" t="s">
        <v>43186</v>
      </c>
      <c r="S13141" t="s">
        <v>44047</v>
      </c>
      <c r="T13141" t="s">
        <v>44780</v>
      </c>
      <c r="U13141" t="s">
        <v>51728</v>
      </c>
      <c r="W13141" t="s">
        <v>40031</v>
      </c>
      <c r="X13141" t="s">
        <v>43187</v>
      </c>
    </row>
    <row r="13142" spans="1:24">
      <c r="A13142">
        <f>HYPERLINK("https://www.philgeps.gov.ph/GEPSNONPILOT/Tender/SplashBidNoticeAbstractUI.aspx?menuIndex=3&amp;refID=7051438&amp;Result=3","7051438")</f>
        <v>0</v>
      </c>
      <c r="B13142" t="s">
        <v>1670</v>
      </c>
      <c r="C13142" t="s">
        <v>15991</v>
      </c>
      <c r="D13142" t="s">
        <v>17452</v>
      </c>
      <c r="E13142" t="s">
        <v>28736</v>
      </c>
      <c r="F13142" t="s">
        <v>30052</v>
      </c>
      <c r="G13142" t="s">
        <v>30058</v>
      </c>
      <c r="H13142" t="s">
        <v>30067</v>
      </c>
      <c r="I13142" t="s">
        <v>3693</v>
      </c>
      <c r="J13142" t="s">
        <v>38181</v>
      </c>
      <c r="K13142" t="s">
        <v>39111</v>
      </c>
      <c r="M13142" t="s">
        <v>41077</v>
      </c>
      <c r="N13142" t="s">
        <v>43166</v>
      </c>
      <c r="O13142" t="s">
        <v>43167</v>
      </c>
      <c r="P13142">
        <v>0</v>
      </c>
      <c r="Q13142">
        <v>2</v>
      </c>
      <c r="R13142" t="s">
        <v>43186</v>
      </c>
      <c r="S13142" t="s">
        <v>44047</v>
      </c>
      <c r="T13142" t="s">
        <v>44717</v>
      </c>
      <c r="U13142" t="s">
        <v>55645</v>
      </c>
      <c r="V13142" t="s">
        <v>58374</v>
      </c>
      <c r="W13142" t="s">
        <v>41077</v>
      </c>
      <c r="X13142" t="s">
        <v>43187</v>
      </c>
    </row>
    <row r="13143" spans="1:24">
      <c r="A13143">
        <f>HYPERLINK("https://www.philgeps.gov.ph/GEPSNONPILOT/Tender/SplashBidNoticeAbstractUI.aspx?menuIndex=3&amp;refID=7051327&amp;Result=3","7051327")</f>
        <v>0</v>
      </c>
      <c r="B13143" t="s">
        <v>1730</v>
      </c>
      <c r="C13143" t="s">
        <v>15992</v>
      </c>
      <c r="D13143" t="s">
        <v>17423</v>
      </c>
      <c r="E13143" t="s">
        <v>28737</v>
      </c>
      <c r="F13143" t="s">
        <v>30052</v>
      </c>
      <c r="G13143" t="s">
        <v>30058</v>
      </c>
      <c r="H13143" t="s">
        <v>30067</v>
      </c>
      <c r="I13143" t="s">
        <v>3693</v>
      </c>
      <c r="J13143" t="s">
        <v>38182</v>
      </c>
      <c r="K13143" t="s">
        <v>39120</v>
      </c>
      <c r="M13143" t="s">
        <v>42228</v>
      </c>
      <c r="N13143" t="s">
        <v>43166</v>
      </c>
      <c r="O13143" t="s">
        <v>43167</v>
      </c>
      <c r="P13143">
        <v>0</v>
      </c>
      <c r="Q13143">
        <v>0</v>
      </c>
      <c r="R13143" t="s">
        <v>43186</v>
      </c>
      <c r="S13143" t="s">
        <v>44047</v>
      </c>
      <c r="T13143" t="s">
        <v>44856</v>
      </c>
      <c r="U13143" t="s">
        <v>55646</v>
      </c>
      <c r="V13143" t="s">
        <v>58382</v>
      </c>
      <c r="W13143" t="s">
        <v>42228</v>
      </c>
      <c r="X13143" t="s">
        <v>43187</v>
      </c>
    </row>
    <row r="13144" spans="1:24">
      <c r="A13144">
        <f>HYPERLINK("https://www.philgeps.gov.ph/GEPSNONPILOT/Tender/SplashBidNoticeAbstractUI.aspx?menuIndex=3&amp;refID=7051457&amp;Result=3","7051457")</f>
        <v>0</v>
      </c>
      <c r="B13144" t="s">
        <v>1730</v>
      </c>
      <c r="C13144" t="s">
        <v>15993</v>
      </c>
      <c r="D13144" t="s">
        <v>17423</v>
      </c>
      <c r="E13144" t="s">
        <v>28738</v>
      </c>
      <c r="F13144" t="s">
        <v>30052</v>
      </c>
      <c r="G13144" t="s">
        <v>30058</v>
      </c>
      <c r="H13144" t="s">
        <v>30067</v>
      </c>
      <c r="I13144" t="s">
        <v>3693</v>
      </c>
      <c r="J13144" t="s">
        <v>38183</v>
      </c>
      <c r="K13144" t="s">
        <v>39044</v>
      </c>
      <c r="M13144" t="s">
        <v>42228</v>
      </c>
      <c r="N13144" t="s">
        <v>43166</v>
      </c>
      <c r="O13144" t="s">
        <v>43167</v>
      </c>
      <c r="P13144">
        <v>0</v>
      </c>
      <c r="Q13144">
        <v>0</v>
      </c>
      <c r="R13144" t="s">
        <v>43186</v>
      </c>
      <c r="S13144" t="s">
        <v>44047</v>
      </c>
      <c r="T13144" t="s">
        <v>44856</v>
      </c>
      <c r="U13144" t="s">
        <v>55647</v>
      </c>
      <c r="V13144" t="s">
        <v>58383</v>
      </c>
      <c r="W13144" t="s">
        <v>42228</v>
      </c>
      <c r="X13144" t="s">
        <v>43187</v>
      </c>
    </row>
    <row r="13145" spans="1:24">
      <c r="A13145">
        <f>HYPERLINK("https://www.philgeps.gov.ph/GEPSNONPILOT/Tender/SplashBidNoticeAbstractUI.aspx?menuIndex=3&amp;refID=7051324&amp;Result=3","7051324")</f>
        <v>0</v>
      </c>
      <c r="B13145" t="s">
        <v>723</v>
      </c>
      <c r="C13145" t="s">
        <v>15994</v>
      </c>
      <c r="D13145" t="s">
        <v>17459</v>
      </c>
      <c r="E13145" t="s">
        <v>28739</v>
      </c>
      <c r="F13145" t="s">
        <v>30052</v>
      </c>
      <c r="G13145" t="s">
        <v>30058</v>
      </c>
      <c r="H13145" t="s">
        <v>15498</v>
      </c>
      <c r="I13145" t="s">
        <v>3852</v>
      </c>
      <c r="J13145" t="s">
        <v>38184</v>
      </c>
      <c r="K13145" t="s">
        <v>39034</v>
      </c>
      <c r="M13145" t="s">
        <v>40034</v>
      </c>
      <c r="N13145" t="s">
        <v>43166</v>
      </c>
      <c r="O13145" t="s">
        <v>43167</v>
      </c>
      <c r="P13145">
        <v>0</v>
      </c>
      <c r="Q13145">
        <v>0</v>
      </c>
      <c r="R13145" t="s">
        <v>43186</v>
      </c>
      <c r="S13145" t="s">
        <v>44047</v>
      </c>
      <c r="T13145" t="s">
        <v>44832</v>
      </c>
      <c r="U13145" t="s">
        <v>55648</v>
      </c>
      <c r="W13145" t="s">
        <v>40034</v>
      </c>
      <c r="X13145" t="s">
        <v>43187</v>
      </c>
    </row>
    <row r="13146" spans="1:24">
      <c r="A13146">
        <f>HYPERLINK("https://www.philgeps.gov.ph/GEPSNONPILOT/Tender/SplashBidNoticeAbstractUI.aspx?menuIndex=3&amp;refID=7051318&amp;Result=3","7051318")</f>
        <v>0</v>
      </c>
      <c r="B13146" t="s">
        <v>1272</v>
      </c>
      <c r="C13146" t="s">
        <v>15995</v>
      </c>
      <c r="E13146" t="s">
        <v>28740</v>
      </c>
      <c r="F13146" t="s">
        <v>30052</v>
      </c>
      <c r="G13146" t="s">
        <v>30058</v>
      </c>
      <c r="H13146" t="s">
        <v>15498</v>
      </c>
      <c r="I13146" t="s">
        <v>30084</v>
      </c>
      <c r="J13146" t="s">
        <v>38185</v>
      </c>
      <c r="K13146" t="s">
        <v>39046</v>
      </c>
      <c r="M13146" t="s">
        <v>42476</v>
      </c>
      <c r="N13146" t="s">
        <v>43166</v>
      </c>
      <c r="O13146" t="s">
        <v>43167</v>
      </c>
      <c r="Q13146">
        <v>33</v>
      </c>
      <c r="R13146" t="s">
        <v>43186</v>
      </c>
      <c r="S13146" t="s">
        <v>44096</v>
      </c>
      <c r="T13146" t="s">
        <v>44763</v>
      </c>
      <c r="U13146" t="s">
        <v>55649</v>
      </c>
      <c r="W13146" t="s">
        <v>42476</v>
      </c>
      <c r="X13146" t="s">
        <v>43187</v>
      </c>
    </row>
    <row r="13147" spans="1:24">
      <c r="A13147">
        <f>HYPERLINK("https://www.philgeps.gov.ph/GEPSNONPILOT/Tender/SplashBidNoticeAbstractUI.aspx?menuIndex=3&amp;refID=7051312&amp;Result=3","7051312")</f>
        <v>0</v>
      </c>
      <c r="B13147" t="s">
        <v>2229</v>
      </c>
      <c r="C13147" t="s">
        <v>15996</v>
      </c>
      <c r="D13147" t="s">
        <v>17413</v>
      </c>
      <c r="E13147" t="s">
        <v>28741</v>
      </c>
      <c r="F13147" t="s">
        <v>30052</v>
      </c>
      <c r="G13147" t="s">
        <v>30058</v>
      </c>
      <c r="H13147" t="s">
        <v>15498</v>
      </c>
      <c r="I13147" t="s">
        <v>3736</v>
      </c>
      <c r="J13147" t="s">
        <v>38186</v>
      </c>
      <c r="K13147" t="s">
        <v>39025</v>
      </c>
      <c r="M13147" t="s">
        <v>41701</v>
      </c>
      <c r="N13147" t="s">
        <v>43166</v>
      </c>
      <c r="O13147" t="s">
        <v>43167</v>
      </c>
      <c r="P13147">
        <v>0</v>
      </c>
      <c r="Q13147">
        <v>0</v>
      </c>
      <c r="R13147" t="s">
        <v>43186</v>
      </c>
      <c r="S13147" t="s">
        <v>44047</v>
      </c>
      <c r="T13147" t="s">
        <v>44734</v>
      </c>
      <c r="U13147" t="s">
        <v>55650</v>
      </c>
      <c r="V13147" t="s">
        <v>58384</v>
      </c>
      <c r="W13147" t="s">
        <v>41701</v>
      </c>
      <c r="X13147" t="s">
        <v>43187</v>
      </c>
    </row>
    <row r="13148" spans="1:24">
      <c r="A13148">
        <f>HYPERLINK("https://www.philgeps.gov.ph/GEPSNONPILOT/Tender/SplashBidNoticeAbstractUI.aspx?menuIndex=3&amp;refID=7051461&amp;Result=3","7051461")</f>
        <v>0</v>
      </c>
      <c r="B13148" t="s">
        <v>3239</v>
      </c>
      <c r="C13148" t="s">
        <v>15997</v>
      </c>
      <c r="D13148" t="s">
        <v>17414</v>
      </c>
      <c r="E13148" t="s">
        <v>28742</v>
      </c>
      <c r="F13148" t="s">
        <v>30052</v>
      </c>
      <c r="G13148" t="s">
        <v>30058</v>
      </c>
      <c r="H13148" t="s">
        <v>15498</v>
      </c>
      <c r="I13148" t="s">
        <v>4642</v>
      </c>
      <c r="J13148" t="s">
        <v>31510</v>
      </c>
      <c r="K13148" t="s">
        <v>39019</v>
      </c>
      <c r="M13148" t="s">
        <v>42866</v>
      </c>
      <c r="N13148" t="s">
        <v>43166</v>
      </c>
      <c r="O13148" t="s">
        <v>43167</v>
      </c>
      <c r="P13148">
        <v>0</v>
      </c>
      <c r="Q13148">
        <v>6</v>
      </c>
      <c r="R13148" t="s">
        <v>43186</v>
      </c>
      <c r="S13148" t="s">
        <v>44047</v>
      </c>
      <c r="T13148" t="s">
        <v>44856</v>
      </c>
      <c r="U13148" t="s">
        <v>55651</v>
      </c>
      <c r="W13148" t="s">
        <v>42866</v>
      </c>
      <c r="X13148" t="s">
        <v>43187</v>
      </c>
    </row>
    <row r="13149" spans="1:24">
      <c r="A13149">
        <f>HYPERLINK("https://www.philgeps.gov.ph/GEPSNONPILOT/Tender/SplashBidNoticeAbstractUI.aspx?menuIndex=3&amp;refID=7051304&amp;Result=3","7051304")</f>
        <v>0</v>
      </c>
      <c r="B13149" t="s">
        <v>1670</v>
      </c>
      <c r="C13149" t="s">
        <v>15998</v>
      </c>
      <c r="D13149" t="s">
        <v>17452</v>
      </c>
      <c r="E13149" t="s">
        <v>28743</v>
      </c>
      <c r="F13149" t="s">
        <v>30052</v>
      </c>
      <c r="G13149" t="s">
        <v>30058</v>
      </c>
      <c r="H13149" t="s">
        <v>30067</v>
      </c>
      <c r="I13149" t="s">
        <v>3693</v>
      </c>
      <c r="J13149" t="s">
        <v>38187</v>
      </c>
      <c r="K13149" t="s">
        <v>39030</v>
      </c>
      <c r="M13149" t="s">
        <v>41077</v>
      </c>
      <c r="N13149" t="s">
        <v>43166</v>
      </c>
      <c r="O13149" t="s">
        <v>43167</v>
      </c>
      <c r="P13149">
        <v>0</v>
      </c>
      <c r="Q13149">
        <v>2</v>
      </c>
      <c r="R13149" t="s">
        <v>43186</v>
      </c>
      <c r="S13149" t="s">
        <v>44047</v>
      </c>
      <c r="T13149" t="s">
        <v>44717</v>
      </c>
      <c r="U13149" t="s">
        <v>55652</v>
      </c>
      <c r="V13149" t="s">
        <v>58374</v>
      </c>
      <c r="W13149" t="s">
        <v>41077</v>
      </c>
      <c r="X13149" t="s">
        <v>43187</v>
      </c>
    </row>
    <row r="13150" spans="1:24">
      <c r="A13150">
        <f>HYPERLINK("https://www.philgeps.gov.ph/GEPSNONPILOT/Tender/SplashBidNoticeAbstractUI.aspx?menuIndex=3&amp;refID=7051323&amp;Result=3","7051323")</f>
        <v>0</v>
      </c>
      <c r="B13150" t="s">
        <v>3337</v>
      </c>
      <c r="C13150" t="s">
        <v>15999</v>
      </c>
      <c r="D13150" t="s">
        <v>17427</v>
      </c>
      <c r="E13150" t="s">
        <v>28744</v>
      </c>
      <c r="F13150" t="s">
        <v>30052</v>
      </c>
      <c r="G13150" t="s">
        <v>30058</v>
      </c>
      <c r="H13150" t="s">
        <v>30067</v>
      </c>
      <c r="I13150" t="s">
        <v>3693</v>
      </c>
      <c r="J13150" t="s">
        <v>30281</v>
      </c>
      <c r="K13150" t="s">
        <v>39031</v>
      </c>
      <c r="M13150" t="s">
        <v>42980</v>
      </c>
      <c r="N13150" t="s">
        <v>43166</v>
      </c>
      <c r="O13150" t="s">
        <v>43167</v>
      </c>
      <c r="P13150">
        <v>0</v>
      </c>
      <c r="Q13150">
        <v>0</v>
      </c>
      <c r="R13150" t="s">
        <v>43186</v>
      </c>
      <c r="S13150" t="s">
        <v>44047</v>
      </c>
      <c r="T13150" t="s">
        <v>44717</v>
      </c>
      <c r="U13150" t="s">
        <v>54425</v>
      </c>
      <c r="V13150" t="s">
        <v>58385</v>
      </c>
      <c r="W13150" t="s">
        <v>42980</v>
      </c>
      <c r="X13150" t="s">
        <v>43187</v>
      </c>
    </row>
    <row r="13151" spans="1:24">
      <c r="A13151">
        <f>HYPERLINK("https://www.philgeps.gov.ph/GEPSNONPILOT/Tender/SplashBidNoticeAbstractUI.aspx?menuIndex=3&amp;refID=7051296&amp;Result=3","7051296")</f>
        <v>0</v>
      </c>
      <c r="B13151" t="s">
        <v>3239</v>
      </c>
      <c r="C13151" t="s">
        <v>16000</v>
      </c>
      <c r="D13151" t="s">
        <v>17414</v>
      </c>
      <c r="E13151" t="s">
        <v>28745</v>
      </c>
      <c r="F13151" t="s">
        <v>30052</v>
      </c>
      <c r="G13151" t="s">
        <v>30058</v>
      </c>
      <c r="H13151" t="s">
        <v>15498</v>
      </c>
      <c r="I13151" t="s">
        <v>30076</v>
      </c>
      <c r="J13151" t="s">
        <v>38188</v>
      </c>
      <c r="K13151" t="s">
        <v>39019</v>
      </c>
      <c r="M13151" t="s">
        <v>42866</v>
      </c>
      <c r="N13151" t="s">
        <v>43166</v>
      </c>
      <c r="O13151" t="s">
        <v>43167</v>
      </c>
      <c r="P13151">
        <v>0</v>
      </c>
      <c r="Q13151">
        <v>3</v>
      </c>
      <c r="R13151" t="s">
        <v>43186</v>
      </c>
      <c r="S13151" t="s">
        <v>44047</v>
      </c>
      <c r="T13151" t="s">
        <v>44856</v>
      </c>
      <c r="U13151" t="s">
        <v>55653</v>
      </c>
      <c r="W13151" t="s">
        <v>42866</v>
      </c>
      <c r="X13151" t="s">
        <v>43187</v>
      </c>
    </row>
    <row r="13152" spans="1:24">
      <c r="A13152">
        <f>HYPERLINK("https://www.philgeps.gov.ph/GEPSNONPILOT/Tender/SplashBidNoticeAbstractUI.aspx?menuIndex=3&amp;refID=7051321&amp;Result=3","7051321")</f>
        <v>0</v>
      </c>
      <c r="B13152" t="s">
        <v>1690</v>
      </c>
      <c r="C13152" t="s">
        <v>16001</v>
      </c>
      <c r="D13152" t="s">
        <v>17454</v>
      </c>
      <c r="E13152" t="s">
        <v>28746</v>
      </c>
      <c r="F13152" t="s">
        <v>30052</v>
      </c>
      <c r="G13152" t="s">
        <v>30058</v>
      </c>
      <c r="H13152" t="s">
        <v>30067</v>
      </c>
      <c r="I13152" t="s">
        <v>3693</v>
      </c>
      <c r="J13152" t="s">
        <v>30247</v>
      </c>
      <c r="K13152" t="s">
        <v>39031</v>
      </c>
      <c r="M13152" t="s">
        <v>41252</v>
      </c>
      <c r="N13152" t="s">
        <v>43166</v>
      </c>
      <c r="O13152" t="s">
        <v>43167</v>
      </c>
      <c r="P13152">
        <v>0</v>
      </c>
      <c r="Q13152">
        <v>0</v>
      </c>
      <c r="R13152" t="s">
        <v>43186</v>
      </c>
      <c r="S13152" t="s">
        <v>44047</v>
      </c>
      <c r="T13152" t="s">
        <v>44698</v>
      </c>
      <c r="U13152" t="s">
        <v>49540</v>
      </c>
      <c r="W13152" t="s">
        <v>41252</v>
      </c>
      <c r="X13152" t="s">
        <v>43187</v>
      </c>
    </row>
    <row r="13153" spans="1:24">
      <c r="A13153">
        <f>HYPERLINK("https://www.philgeps.gov.ph/GEPSNONPILOT/Tender/SplashBidNoticeAbstractUI.aspx?menuIndex=3&amp;refID=7051508&amp;Result=3","7051508")</f>
        <v>0</v>
      </c>
      <c r="B13153" t="s">
        <v>3239</v>
      </c>
      <c r="C13153" t="s">
        <v>16002</v>
      </c>
      <c r="D13153" t="s">
        <v>17414</v>
      </c>
      <c r="E13153" t="s">
        <v>28747</v>
      </c>
      <c r="F13153" t="s">
        <v>30052</v>
      </c>
      <c r="G13153" t="s">
        <v>30058</v>
      </c>
      <c r="H13153" t="s">
        <v>15498</v>
      </c>
      <c r="I13153" t="s">
        <v>4642</v>
      </c>
      <c r="J13153" t="s">
        <v>38189</v>
      </c>
      <c r="K13153" t="s">
        <v>39019</v>
      </c>
      <c r="M13153" t="s">
        <v>42866</v>
      </c>
      <c r="N13153" t="s">
        <v>43166</v>
      </c>
      <c r="O13153" t="s">
        <v>43167</v>
      </c>
      <c r="P13153">
        <v>0</v>
      </c>
      <c r="Q13153">
        <v>5</v>
      </c>
      <c r="R13153" t="s">
        <v>43186</v>
      </c>
      <c r="S13153" t="s">
        <v>44047</v>
      </c>
      <c r="T13153" t="s">
        <v>44856</v>
      </c>
      <c r="U13153" t="s">
        <v>55654</v>
      </c>
      <c r="W13153" t="s">
        <v>42866</v>
      </c>
      <c r="X13153" t="s">
        <v>43187</v>
      </c>
    </row>
    <row r="13154" spans="1:24">
      <c r="A13154">
        <f>HYPERLINK("https://www.philgeps.gov.ph/GEPSNONPILOT/Tender/SplashBidNoticeAbstractUI.aspx?menuIndex=3&amp;refID=7050159&amp;Result=3","7050159")</f>
        <v>0</v>
      </c>
      <c r="B13154" t="s">
        <v>701</v>
      </c>
      <c r="C13154" t="s">
        <v>16003</v>
      </c>
      <c r="D13154" t="s">
        <v>17419</v>
      </c>
      <c r="E13154" t="s">
        <v>28748</v>
      </c>
      <c r="F13154" t="s">
        <v>30052</v>
      </c>
      <c r="G13154" t="s">
        <v>30058</v>
      </c>
      <c r="H13154" t="s">
        <v>15498</v>
      </c>
      <c r="I13154" t="s">
        <v>3736</v>
      </c>
      <c r="J13154" t="s">
        <v>38190</v>
      </c>
      <c r="K13154" t="s">
        <v>39025</v>
      </c>
      <c r="M13154" t="s">
        <v>40858</v>
      </c>
      <c r="N13154" t="s">
        <v>43166</v>
      </c>
      <c r="O13154" t="s">
        <v>43167</v>
      </c>
      <c r="P13154">
        <v>0</v>
      </c>
      <c r="Q13154">
        <v>1</v>
      </c>
      <c r="R13154" t="s">
        <v>43186</v>
      </c>
      <c r="S13154" t="s">
        <v>44047</v>
      </c>
      <c r="T13154" t="s">
        <v>44717</v>
      </c>
      <c r="U13154" t="s">
        <v>55655</v>
      </c>
      <c r="W13154" t="s">
        <v>40858</v>
      </c>
      <c r="X13154" t="s">
        <v>43187</v>
      </c>
    </row>
    <row r="13155" spans="1:24">
      <c r="A13155">
        <f>HYPERLINK("https://www.philgeps.gov.ph/GEPSNONPILOT/Tender/SplashBidNoticeAbstractUI.aspx?menuIndex=3&amp;refID=7051104&amp;Result=3","7051104")</f>
        <v>0</v>
      </c>
      <c r="B13155" t="s">
        <v>723</v>
      </c>
      <c r="C13155" t="s">
        <v>16004</v>
      </c>
      <c r="D13155" t="s">
        <v>17459</v>
      </c>
      <c r="E13155" t="s">
        <v>28749</v>
      </c>
      <c r="F13155" t="s">
        <v>30052</v>
      </c>
      <c r="G13155" t="s">
        <v>30058</v>
      </c>
      <c r="H13155" t="s">
        <v>15498</v>
      </c>
      <c r="I13155" t="s">
        <v>30074</v>
      </c>
      <c r="J13155" t="s">
        <v>30494</v>
      </c>
      <c r="K13155" t="s">
        <v>39023</v>
      </c>
      <c r="M13155" t="s">
        <v>40034</v>
      </c>
      <c r="N13155" t="s">
        <v>43166</v>
      </c>
      <c r="O13155" t="s">
        <v>43167</v>
      </c>
      <c r="P13155">
        <v>0</v>
      </c>
      <c r="Q13155">
        <v>2</v>
      </c>
      <c r="R13155" t="s">
        <v>43186</v>
      </c>
      <c r="S13155" t="s">
        <v>44047</v>
      </c>
      <c r="T13155" t="s">
        <v>44832</v>
      </c>
      <c r="U13155" t="s">
        <v>55656</v>
      </c>
      <c r="W13155" t="s">
        <v>40034</v>
      </c>
      <c r="X13155" t="s">
        <v>43187</v>
      </c>
    </row>
    <row r="13156" spans="1:24">
      <c r="A13156">
        <f>HYPERLINK("https://www.philgeps.gov.ph/GEPSNONPILOT/Tender/SplashBidNoticeAbstractUI.aspx?menuIndex=3&amp;refID=7050006&amp;Result=3","7050006")</f>
        <v>0</v>
      </c>
      <c r="B13156" t="s">
        <v>3338</v>
      </c>
      <c r="C13156" t="s">
        <v>16005</v>
      </c>
      <c r="D13156" t="s">
        <v>17489</v>
      </c>
      <c r="E13156" t="s">
        <v>28750</v>
      </c>
      <c r="F13156" t="s">
        <v>30052</v>
      </c>
      <c r="G13156" t="s">
        <v>30058</v>
      </c>
      <c r="H13156" t="s">
        <v>15498</v>
      </c>
      <c r="I13156" t="s">
        <v>30074</v>
      </c>
      <c r="J13156" t="s">
        <v>38191</v>
      </c>
      <c r="K13156" t="s">
        <v>39025</v>
      </c>
      <c r="M13156" t="s">
        <v>42981</v>
      </c>
      <c r="N13156" t="s">
        <v>43166</v>
      </c>
      <c r="O13156" t="s">
        <v>43167</v>
      </c>
      <c r="P13156">
        <v>0</v>
      </c>
      <c r="Q13156">
        <v>4</v>
      </c>
      <c r="R13156" t="s">
        <v>43186</v>
      </c>
      <c r="S13156" t="s">
        <v>44047</v>
      </c>
      <c r="T13156" t="s">
        <v>44717</v>
      </c>
      <c r="U13156" t="s">
        <v>55657</v>
      </c>
      <c r="V13156" t="s">
        <v>58386</v>
      </c>
      <c r="W13156" t="s">
        <v>42981</v>
      </c>
      <c r="X13156" t="s">
        <v>43187</v>
      </c>
    </row>
    <row r="13157" spans="1:24">
      <c r="A13157">
        <f>HYPERLINK("https://www.philgeps.gov.ph/GEPSNONPILOT/Tender/SplashBidNoticeAbstractUI.aspx?menuIndex=3&amp;refID=7049984&amp;Result=3","7049984")</f>
        <v>0</v>
      </c>
      <c r="B13157" t="s">
        <v>1300</v>
      </c>
      <c r="C13157" t="s">
        <v>16006</v>
      </c>
      <c r="D13157" t="s">
        <v>17415</v>
      </c>
      <c r="E13157" t="s">
        <v>28751</v>
      </c>
      <c r="F13157" t="s">
        <v>30052</v>
      </c>
      <c r="G13157" t="s">
        <v>30058</v>
      </c>
      <c r="H13157" t="s">
        <v>30069</v>
      </c>
      <c r="I13157" t="s">
        <v>30185</v>
      </c>
      <c r="J13157" t="s">
        <v>38192</v>
      </c>
      <c r="K13157" t="s">
        <v>39046</v>
      </c>
      <c r="M13157" t="s">
        <v>40666</v>
      </c>
      <c r="N13157" t="s">
        <v>43166</v>
      </c>
      <c r="O13157" t="s">
        <v>43167</v>
      </c>
      <c r="Q13157">
        <v>7</v>
      </c>
      <c r="R13157" t="s">
        <v>43186</v>
      </c>
      <c r="S13157" t="s">
        <v>44097</v>
      </c>
      <c r="T13157" t="s">
        <v>44685</v>
      </c>
      <c r="U13157" t="s">
        <v>48064</v>
      </c>
      <c r="V13157" t="s">
        <v>57256</v>
      </c>
      <c r="W13157" t="s">
        <v>40666</v>
      </c>
      <c r="X13157" t="s">
        <v>43187</v>
      </c>
    </row>
    <row r="13158" spans="1:24">
      <c r="A13158">
        <f>HYPERLINK("https://www.philgeps.gov.ph/GEPSNONPILOT/Tender/SplashBidNoticeAbstractUI.aspx?menuIndex=3&amp;refID=7051574&amp;Result=3","7051574")</f>
        <v>0</v>
      </c>
      <c r="B13158" t="s">
        <v>557</v>
      </c>
      <c r="C13158" t="s">
        <v>16007</v>
      </c>
      <c r="D13158" t="s">
        <v>17422</v>
      </c>
      <c r="E13158" t="s">
        <v>28752</v>
      </c>
      <c r="F13158" t="s">
        <v>30052</v>
      </c>
      <c r="G13158" t="s">
        <v>30058</v>
      </c>
      <c r="H13158" t="s">
        <v>15498</v>
      </c>
      <c r="I13158" t="s">
        <v>30078</v>
      </c>
      <c r="J13158" t="s">
        <v>38193</v>
      </c>
      <c r="K13158" t="s">
        <v>39029</v>
      </c>
      <c r="M13158" t="s">
        <v>39859</v>
      </c>
      <c r="N13158" t="s">
        <v>43166</v>
      </c>
      <c r="O13158" t="s">
        <v>43167</v>
      </c>
      <c r="Q13158">
        <v>3</v>
      </c>
      <c r="R13158" t="s">
        <v>43186</v>
      </c>
      <c r="S13158" t="s">
        <v>44098</v>
      </c>
      <c r="T13158" t="s">
        <v>44865</v>
      </c>
      <c r="U13158" t="s">
        <v>55658</v>
      </c>
      <c r="W13158" t="s">
        <v>39859</v>
      </c>
      <c r="X13158" t="s">
        <v>43187</v>
      </c>
    </row>
    <row r="13159" spans="1:24">
      <c r="A13159">
        <f>HYPERLINK("https://www.philgeps.gov.ph/GEPSNONPILOT/Tender/SplashBidNoticeAbstractUI.aspx?menuIndex=3&amp;refID=7050165&amp;Result=3","7050165")</f>
        <v>0</v>
      </c>
      <c r="B13159" t="s">
        <v>3339</v>
      </c>
      <c r="C13159" t="s">
        <v>16008</v>
      </c>
      <c r="D13159" t="s">
        <v>17458</v>
      </c>
      <c r="E13159" t="s">
        <v>28753</v>
      </c>
      <c r="F13159" t="s">
        <v>30052</v>
      </c>
      <c r="G13159" t="s">
        <v>30058</v>
      </c>
      <c r="H13159" t="s">
        <v>15498</v>
      </c>
      <c r="I13159" t="s">
        <v>30074</v>
      </c>
      <c r="J13159" t="s">
        <v>31258</v>
      </c>
      <c r="K13159" t="s">
        <v>39029</v>
      </c>
      <c r="M13159" t="s">
        <v>42982</v>
      </c>
      <c r="N13159" t="s">
        <v>43166</v>
      </c>
      <c r="O13159" t="s">
        <v>43167</v>
      </c>
      <c r="P13159">
        <v>0</v>
      </c>
      <c r="Q13159">
        <v>2</v>
      </c>
      <c r="R13159" t="s">
        <v>43186</v>
      </c>
      <c r="S13159" t="s">
        <v>44047</v>
      </c>
      <c r="T13159" t="s">
        <v>44710</v>
      </c>
      <c r="U13159" t="s">
        <v>55659</v>
      </c>
      <c r="W13159" t="s">
        <v>42982</v>
      </c>
      <c r="X13159" t="s">
        <v>43187</v>
      </c>
    </row>
    <row r="13160" spans="1:24">
      <c r="A13160">
        <f>HYPERLINK("https://www.philgeps.gov.ph/GEPSNONPILOT/Tender/SplashBidNoticeAbstractUI.aspx?menuIndex=3&amp;refID=7049845&amp;Result=3","7049845")</f>
        <v>0</v>
      </c>
      <c r="B13160" t="s">
        <v>534</v>
      </c>
      <c r="C13160" t="s">
        <v>16009</v>
      </c>
      <c r="D13160" t="s">
        <v>17467</v>
      </c>
      <c r="E13160" t="s">
        <v>23376</v>
      </c>
      <c r="F13160" t="s">
        <v>30052</v>
      </c>
      <c r="G13160" t="s">
        <v>30058</v>
      </c>
      <c r="H13160" t="s">
        <v>15498</v>
      </c>
      <c r="I13160" t="s">
        <v>4650</v>
      </c>
      <c r="J13160" t="s">
        <v>38194</v>
      </c>
      <c r="K13160" t="s">
        <v>39019</v>
      </c>
      <c r="M13160" t="s">
        <v>39836</v>
      </c>
      <c r="N13160" t="s">
        <v>43166</v>
      </c>
      <c r="O13160" t="s">
        <v>43167</v>
      </c>
      <c r="P13160">
        <v>0</v>
      </c>
      <c r="Q13160">
        <v>5</v>
      </c>
      <c r="R13160" t="s">
        <v>43186</v>
      </c>
      <c r="S13160" t="s">
        <v>44047</v>
      </c>
      <c r="T13160" t="s">
        <v>44859</v>
      </c>
      <c r="U13160" t="s">
        <v>55660</v>
      </c>
      <c r="W13160" t="s">
        <v>39836</v>
      </c>
      <c r="X13160" t="s">
        <v>43187</v>
      </c>
    </row>
    <row r="13161" spans="1:24">
      <c r="A13161">
        <f>HYPERLINK("https://www.philgeps.gov.ph/GEPSNONPILOT/Tender/SplashBidNoticeAbstractUI.aspx?menuIndex=3&amp;refID=7049843&amp;Result=3","7049843")</f>
        <v>0</v>
      </c>
      <c r="B13161" t="s">
        <v>534</v>
      </c>
      <c r="C13161" t="s">
        <v>16010</v>
      </c>
      <c r="D13161" t="s">
        <v>17467</v>
      </c>
      <c r="E13161" t="s">
        <v>23390</v>
      </c>
      <c r="F13161" t="s">
        <v>30052</v>
      </c>
      <c r="G13161" t="s">
        <v>30058</v>
      </c>
      <c r="H13161" t="s">
        <v>15498</v>
      </c>
      <c r="I13161" t="s">
        <v>30070</v>
      </c>
      <c r="J13161" t="s">
        <v>38195</v>
      </c>
      <c r="K13161" t="s">
        <v>39019</v>
      </c>
      <c r="M13161" t="s">
        <v>39836</v>
      </c>
      <c r="N13161" t="s">
        <v>43166</v>
      </c>
      <c r="O13161" t="s">
        <v>43167</v>
      </c>
      <c r="P13161">
        <v>0</v>
      </c>
      <c r="Q13161">
        <v>4</v>
      </c>
      <c r="R13161" t="s">
        <v>43186</v>
      </c>
      <c r="S13161" t="s">
        <v>44047</v>
      </c>
      <c r="T13161" t="s">
        <v>44717</v>
      </c>
      <c r="U13161" t="s">
        <v>55661</v>
      </c>
      <c r="W13161" t="s">
        <v>39836</v>
      </c>
      <c r="X13161" t="s">
        <v>43187</v>
      </c>
    </row>
    <row r="13162" spans="1:24">
      <c r="A13162">
        <f>HYPERLINK("https://www.philgeps.gov.ph/GEPSNONPILOT/Tender/SplashBidNoticeAbstractUI.aspx?menuIndex=3&amp;refID=7049835&amp;Result=3","7049835")</f>
        <v>0</v>
      </c>
      <c r="B13162" t="s">
        <v>3340</v>
      </c>
      <c r="C13162" t="s">
        <v>16011</v>
      </c>
      <c r="D13162" t="s">
        <v>17479</v>
      </c>
      <c r="E13162" t="s">
        <v>28754</v>
      </c>
      <c r="F13162" t="s">
        <v>30052</v>
      </c>
      <c r="G13162" t="s">
        <v>30058</v>
      </c>
      <c r="H13162" t="s">
        <v>15498</v>
      </c>
      <c r="I13162" t="s">
        <v>30112</v>
      </c>
      <c r="J13162" t="s">
        <v>31207</v>
      </c>
      <c r="K13162" t="s">
        <v>39026</v>
      </c>
      <c r="M13162" t="s">
        <v>42983</v>
      </c>
      <c r="N13162" t="s">
        <v>43166</v>
      </c>
      <c r="O13162" t="s">
        <v>43167</v>
      </c>
      <c r="P13162">
        <v>0</v>
      </c>
      <c r="Q13162">
        <v>7</v>
      </c>
      <c r="R13162" t="s">
        <v>43186</v>
      </c>
      <c r="S13162" t="s">
        <v>44047</v>
      </c>
      <c r="T13162" t="s">
        <v>44773</v>
      </c>
      <c r="U13162" t="s">
        <v>55662</v>
      </c>
      <c r="V13162" t="s">
        <v>58387</v>
      </c>
      <c r="W13162" t="s">
        <v>42983</v>
      </c>
      <c r="X13162" t="s">
        <v>43188</v>
      </c>
    </row>
    <row r="13163" spans="1:24">
      <c r="A13163">
        <f>HYPERLINK("https://www.philgeps.gov.ph/GEPSNONPILOT/Tender/SplashBidNoticeAbstractUI.aspx?menuIndex=3&amp;refID=7050147&amp;Result=3","7050147")</f>
        <v>0</v>
      </c>
      <c r="B13163" t="s">
        <v>701</v>
      </c>
      <c r="C13163" t="s">
        <v>16012</v>
      </c>
      <c r="D13163" t="s">
        <v>17419</v>
      </c>
      <c r="E13163" t="s">
        <v>28755</v>
      </c>
      <c r="F13163" t="s">
        <v>30052</v>
      </c>
      <c r="G13163" t="s">
        <v>30058</v>
      </c>
      <c r="H13163" t="s">
        <v>30067</v>
      </c>
      <c r="I13163" t="s">
        <v>3693</v>
      </c>
      <c r="J13163" t="s">
        <v>37543</v>
      </c>
      <c r="K13163" t="s">
        <v>39025</v>
      </c>
      <c r="M13163" t="s">
        <v>40858</v>
      </c>
      <c r="N13163" t="s">
        <v>43166</v>
      </c>
      <c r="O13163" t="s">
        <v>43167</v>
      </c>
      <c r="P13163">
        <v>0</v>
      </c>
      <c r="Q13163">
        <v>0</v>
      </c>
      <c r="R13163" t="s">
        <v>43186</v>
      </c>
      <c r="S13163" t="s">
        <v>44047</v>
      </c>
      <c r="T13163" t="s">
        <v>44717</v>
      </c>
      <c r="U13163" t="s">
        <v>55663</v>
      </c>
      <c r="W13163" t="s">
        <v>40858</v>
      </c>
      <c r="X13163" t="s">
        <v>43187</v>
      </c>
    </row>
    <row r="13164" spans="1:24">
      <c r="A13164">
        <f>HYPERLINK("https://www.philgeps.gov.ph/GEPSNONPILOT/Tender/SplashBidNoticeAbstractUI.aspx?menuIndex=3&amp;refID=7049611&amp;Result=3","7049611")</f>
        <v>0</v>
      </c>
      <c r="B13164" t="s">
        <v>3341</v>
      </c>
      <c r="C13164" t="s">
        <v>16013</v>
      </c>
      <c r="D13164" t="s">
        <v>17415</v>
      </c>
      <c r="E13164" t="s">
        <v>28756</v>
      </c>
      <c r="F13164" t="s">
        <v>30052</v>
      </c>
      <c r="G13164" t="s">
        <v>30063</v>
      </c>
      <c r="H13164" t="s">
        <v>15498</v>
      </c>
      <c r="I13164" t="s">
        <v>30084</v>
      </c>
      <c r="J13164" t="s">
        <v>38196</v>
      </c>
      <c r="K13164" t="s">
        <v>39046</v>
      </c>
      <c r="M13164" t="s">
        <v>42984</v>
      </c>
      <c r="N13164" t="s">
        <v>43166</v>
      </c>
      <c r="O13164" t="s">
        <v>43167</v>
      </c>
      <c r="Q13164">
        <v>27</v>
      </c>
      <c r="R13164" t="s">
        <v>43186</v>
      </c>
      <c r="S13164" t="s">
        <v>44099</v>
      </c>
      <c r="T13164" t="s">
        <v>44713</v>
      </c>
      <c r="U13164" t="s">
        <v>55664</v>
      </c>
      <c r="V13164" t="s">
        <v>58388</v>
      </c>
      <c r="W13164" t="s">
        <v>42984</v>
      </c>
      <c r="X13164" t="s">
        <v>43188</v>
      </c>
    </row>
    <row r="13165" spans="1:24">
      <c r="A13165">
        <f>HYPERLINK("https://www.philgeps.gov.ph/GEPSNONPILOT/Tender/SplashBidNoticeAbstractUI.aspx?menuIndex=3&amp;refID=7049982&amp;Result=3","7049982")</f>
        <v>0</v>
      </c>
      <c r="B13165" t="s">
        <v>3318</v>
      </c>
      <c r="C13165" t="s">
        <v>16014</v>
      </c>
      <c r="D13165" t="s">
        <v>17488</v>
      </c>
      <c r="E13165" t="s">
        <v>28757</v>
      </c>
      <c r="F13165" t="s">
        <v>30052</v>
      </c>
      <c r="G13165" t="s">
        <v>30058</v>
      </c>
      <c r="H13165" t="s">
        <v>15498</v>
      </c>
      <c r="I13165" t="s">
        <v>3693</v>
      </c>
      <c r="J13165" t="s">
        <v>38197</v>
      </c>
      <c r="K13165" t="s">
        <v>39019</v>
      </c>
      <c r="M13165" t="s">
        <v>42959</v>
      </c>
      <c r="N13165" t="s">
        <v>43166</v>
      </c>
      <c r="O13165" t="s">
        <v>43167</v>
      </c>
      <c r="Q13165">
        <v>1</v>
      </c>
      <c r="R13165" t="s">
        <v>43186</v>
      </c>
      <c r="S13165" t="s">
        <v>44100</v>
      </c>
      <c r="T13165" t="s">
        <v>44773</v>
      </c>
      <c r="U13165" t="s">
        <v>55665</v>
      </c>
      <c r="W13165" t="s">
        <v>42959</v>
      </c>
      <c r="X13165" t="s">
        <v>43187</v>
      </c>
    </row>
    <row r="13166" spans="1:24">
      <c r="A13166">
        <f>HYPERLINK("https://www.philgeps.gov.ph/GEPSNONPILOT/Tender/SplashBidNoticeAbstractUI.aspx?menuIndex=3&amp;refID=7049558&amp;Result=3","7049558")</f>
        <v>0</v>
      </c>
      <c r="B13166" t="s">
        <v>1300</v>
      </c>
      <c r="C13166" t="s">
        <v>16015</v>
      </c>
      <c r="D13166" t="s">
        <v>17415</v>
      </c>
      <c r="E13166" t="s">
        <v>28758</v>
      </c>
      <c r="F13166" t="s">
        <v>30052</v>
      </c>
      <c r="G13166" t="s">
        <v>30058</v>
      </c>
      <c r="H13166" t="s">
        <v>30069</v>
      </c>
      <c r="I13166" t="s">
        <v>30185</v>
      </c>
      <c r="J13166" t="s">
        <v>38198</v>
      </c>
      <c r="K13166" t="s">
        <v>39031</v>
      </c>
      <c r="M13166" t="s">
        <v>40666</v>
      </c>
      <c r="N13166" t="s">
        <v>43166</v>
      </c>
      <c r="O13166" t="s">
        <v>43167</v>
      </c>
      <c r="Q13166">
        <v>13</v>
      </c>
      <c r="R13166" t="s">
        <v>43186</v>
      </c>
      <c r="S13166" t="s">
        <v>44101</v>
      </c>
      <c r="T13166" t="s">
        <v>44685</v>
      </c>
      <c r="U13166" t="s">
        <v>48064</v>
      </c>
      <c r="V13166" t="s">
        <v>57230</v>
      </c>
      <c r="W13166" t="s">
        <v>40666</v>
      </c>
      <c r="X13166" t="s">
        <v>43188</v>
      </c>
    </row>
    <row r="13167" spans="1:24">
      <c r="A13167">
        <f>HYPERLINK("https://www.philgeps.gov.ph/GEPSNONPILOT/Tender/SplashBidNoticeAbstractUI.aspx?menuIndex=3&amp;refID=7049510&amp;Result=3","7049510")</f>
        <v>0</v>
      </c>
      <c r="B13167" t="s">
        <v>2462</v>
      </c>
      <c r="C13167" t="s">
        <v>16016</v>
      </c>
      <c r="D13167" t="s">
        <v>17415</v>
      </c>
      <c r="E13167" t="s">
        <v>28759</v>
      </c>
      <c r="F13167" t="s">
        <v>30052</v>
      </c>
      <c r="G13167" t="s">
        <v>30058</v>
      </c>
      <c r="H13167" t="s">
        <v>15498</v>
      </c>
      <c r="I13167" t="s">
        <v>3736</v>
      </c>
      <c r="J13167" t="s">
        <v>38199</v>
      </c>
      <c r="K13167" t="s">
        <v>39029</v>
      </c>
      <c r="M13167" t="s">
        <v>41961</v>
      </c>
      <c r="N13167" t="s">
        <v>43166</v>
      </c>
      <c r="O13167" t="s">
        <v>43167</v>
      </c>
      <c r="P13167">
        <v>0</v>
      </c>
      <c r="Q13167">
        <v>6</v>
      </c>
      <c r="R13167" t="s">
        <v>43186</v>
      </c>
      <c r="S13167" t="s">
        <v>44047</v>
      </c>
      <c r="T13167" t="s">
        <v>44717</v>
      </c>
      <c r="U13167" t="s">
        <v>55666</v>
      </c>
      <c r="W13167" t="s">
        <v>41961</v>
      </c>
      <c r="X13167" t="s">
        <v>43188</v>
      </c>
    </row>
    <row r="13168" spans="1:24">
      <c r="A13168">
        <f>HYPERLINK("https://www.philgeps.gov.ph/GEPSNONPILOT/Tender/SplashBidNoticeAbstractUI.aspx?menuIndex=3&amp;refID=7049561&amp;Result=3","7049561")</f>
        <v>0</v>
      </c>
      <c r="B13168" t="s">
        <v>2647</v>
      </c>
      <c r="C13168" t="s">
        <v>16017</v>
      </c>
      <c r="D13168" t="s">
        <v>17488</v>
      </c>
      <c r="E13168" t="s">
        <v>28760</v>
      </c>
      <c r="F13168" t="s">
        <v>30052</v>
      </c>
      <c r="G13168" t="s">
        <v>30058</v>
      </c>
      <c r="H13168" t="s">
        <v>30068</v>
      </c>
      <c r="I13168" t="s">
        <v>30164</v>
      </c>
      <c r="J13168" t="s">
        <v>34779</v>
      </c>
      <c r="K13168" t="s">
        <v>39156</v>
      </c>
      <c r="M13168" t="s">
        <v>42165</v>
      </c>
      <c r="N13168" t="s">
        <v>43166</v>
      </c>
      <c r="O13168" t="s">
        <v>43167</v>
      </c>
      <c r="Q13168">
        <v>12</v>
      </c>
      <c r="R13168" t="s">
        <v>43186</v>
      </c>
      <c r="S13168" t="s">
        <v>44102</v>
      </c>
      <c r="T13168" t="s">
        <v>44681</v>
      </c>
      <c r="U13168" t="s">
        <v>55667</v>
      </c>
      <c r="W13168" t="s">
        <v>42165</v>
      </c>
      <c r="X13168" t="s">
        <v>43188</v>
      </c>
    </row>
    <row r="13169" spans="1:24">
      <c r="A13169">
        <f>HYPERLINK("https://www.philgeps.gov.ph/GEPSNONPILOT/Tender/SplashBidNoticeAbstractUI.aspx?menuIndex=3&amp;refID=7050164&amp;Result=3","7050164")</f>
        <v>0</v>
      </c>
      <c r="B13169" t="s">
        <v>450</v>
      </c>
      <c r="C13169" t="s">
        <v>16018</v>
      </c>
      <c r="D13169" t="s">
        <v>17467</v>
      </c>
      <c r="E13169" t="s">
        <v>28761</v>
      </c>
      <c r="F13169" t="s">
        <v>30052</v>
      </c>
      <c r="G13169" t="s">
        <v>30058</v>
      </c>
      <c r="H13169" t="s">
        <v>15498</v>
      </c>
      <c r="I13169" t="s">
        <v>30076</v>
      </c>
      <c r="J13169" t="s">
        <v>37890</v>
      </c>
      <c r="K13169" t="s">
        <v>39046</v>
      </c>
      <c r="M13169" t="s">
        <v>39750</v>
      </c>
      <c r="N13169" t="s">
        <v>43166</v>
      </c>
      <c r="O13169" t="s">
        <v>43167</v>
      </c>
      <c r="P13169">
        <v>0</v>
      </c>
      <c r="Q13169">
        <v>2</v>
      </c>
      <c r="R13169" t="s">
        <v>43186</v>
      </c>
      <c r="S13169" t="s">
        <v>44047</v>
      </c>
      <c r="T13169" t="s">
        <v>44733</v>
      </c>
      <c r="U13169" t="s">
        <v>55668</v>
      </c>
      <c r="W13169" t="s">
        <v>39750</v>
      </c>
      <c r="X13169" t="s">
        <v>43187</v>
      </c>
    </row>
    <row r="13170" spans="1:24">
      <c r="A13170">
        <f>HYPERLINK("https://www.philgeps.gov.ph/GEPSNONPILOT/Tender/SplashBidNoticeAbstractUI.aspx?menuIndex=3&amp;refID=7046021&amp;Result=3","7046021")</f>
        <v>0</v>
      </c>
      <c r="B13170" t="s">
        <v>3314</v>
      </c>
      <c r="C13170" t="s">
        <v>16019</v>
      </c>
      <c r="D13170" t="s">
        <v>17475</v>
      </c>
      <c r="E13170" t="s">
        <v>28762</v>
      </c>
      <c r="F13170" t="s">
        <v>30052</v>
      </c>
      <c r="G13170" t="s">
        <v>30058</v>
      </c>
      <c r="H13170" t="s">
        <v>30067</v>
      </c>
      <c r="I13170" t="s">
        <v>3693</v>
      </c>
      <c r="J13170" t="s">
        <v>38200</v>
      </c>
      <c r="K13170" t="s">
        <v>39026</v>
      </c>
      <c r="M13170" t="s">
        <v>42953</v>
      </c>
      <c r="N13170" t="s">
        <v>43166</v>
      </c>
      <c r="O13170" t="s">
        <v>43167</v>
      </c>
      <c r="Q13170">
        <v>6</v>
      </c>
      <c r="R13170" t="s">
        <v>43186</v>
      </c>
      <c r="S13170" t="s">
        <v>44103</v>
      </c>
      <c r="T13170" t="s">
        <v>44777</v>
      </c>
      <c r="U13170" t="s">
        <v>55669</v>
      </c>
      <c r="V13170" t="s">
        <v>58389</v>
      </c>
      <c r="W13170" t="s">
        <v>42953</v>
      </c>
      <c r="X13170" t="s">
        <v>43189</v>
      </c>
    </row>
    <row r="13171" spans="1:24">
      <c r="A13171">
        <f>HYPERLINK("https://www.philgeps.gov.ph/GEPSNONPILOT/Tender/SplashBidNoticeAbstractUI.aspx?menuIndex=3&amp;refID=7049992&amp;Result=3","7049992")</f>
        <v>0</v>
      </c>
      <c r="B13171" t="s">
        <v>39</v>
      </c>
      <c r="C13171" t="s">
        <v>16020</v>
      </c>
      <c r="D13171" t="s">
        <v>17419</v>
      </c>
      <c r="E13171" t="s">
        <v>28763</v>
      </c>
      <c r="F13171" t="s">
        <v>30052</v>
      </c>
      <c r="G13171" t="s">
        <v>30058</v>
      </c>
      <c r="H13171" t="s">
        <v>30067</v>
      </c>
      <c r="I13171" t="s">
        <v>3693</v>
      </c>
      <c r="J13171" t="s">
        <v>38201</v>
      </c>
      <c r="K13171" t="s">
        <v>39031</v>
      </c>
      <c r="M13171" t="s">
        <v>39329</v>
      </c>
      <c r="N13171" t="s">
        <v>43166</v>
      </c>
      <c r="O13171" t="s">
        <v>43167</v>
      </c>
      <c r="Q13171">
        <v>1</v>
      </c>
      <c r="R13171" t="s">
        <v>43186</v>
      </c>
      <c r="S13171" t="s">
        <v>44104</v>
      </c>
      <c r="T13171" t="s">
        <v>44696</v>
      </c>
      <c r="U13171" t="s">
        <v>55670</v>
      </c>
      <c r="W13171" t="s">
        <v>39329</v>
      </c>
      <c r="X13171" t="s">
        <v>43187</v>
      </c>
    </row>
    <row r="13172" spans="1:24">
      <c r="A13172">
        <f>HYPERLINK("https://www.philgeps.gov.ph/GEPSNONPILOT/Tender/SplashBidNoticeAbstractUI.aspx?menuIndex=3&amp;refID=7045900&amp;Result=3","7045900")</f>
        <v>0</v>
      </c>
      <c r="B13172" t="s">
        <v>501</v>
      </c>
      <c r="C13172" t="s">
        <v>16021</v>
      </c>
      <c r="E13172" t="s">
        <v>28764</v>
      </c>
      <c r="F13172" t="s">
        <v>30052</v>
      </c>
      <c r="G13172" t="s">
        <v>30058</v>
      </c>
      <c r="H13172" t="s">
        <v>15498</v>
      </c>
      <c r="I13172" t="s">
        <v>30084</v>
      </c>
      <c r="J13172" t="s">
        <v>30588</v>
      </c>
      <c r="K13172" t="s">
        <v>39025</v>
      </c>
      <c r="M13172" t="s">
        <v>39802</v>
      </c>
      <c r="N13172" t="s">
        <v>43166</v>
      </c>
      <c r="O13172" t="s">
        <v>43167</v>
      </c>
      <c r="Q13172">
        <v>14</v>
      </c>
      <c r="R13172" t="s">
        <v>43186</v>
      </c>
      <c r="S13172" t="s">
        <v>44105</v>
      </c>
      <c r="T13172" t="s">
        <v>44710</v>
      </c>
      <c r="U13172" t="s">
        <v>55671</v>
      </c>
      <c r="V13172" t="s">
        <v>58390</v>
      </c>
      <c r="W13172" t="s">
        <v>39802</v>
      </c>
      <c r="X13172" t="s">
        <v>43189</v>
      </c>
    </row>
    <row r="13173" spans="1:24">
      <c r="A13173">
        <f>HYPERLINK("https://www.philgeps.gov.ph/GEPSNONPILOT/Tender/SplashBidNoticeAbstractUI.aspx?menuIndex=3&amp;refID=7045996&amp;Result=3","7045996")</f>
        <v>0</v>
      </c>
      <c r="B13173" t="s">
        <v>3314</v>
      </c>
      <c r="C13173" t="s">
        <v>16022</v>
      </c>
      <c r="D13173" t="s">
        <v>17475</v>
      </c>
      <c r="E13173" t="s">
        <v>28765</v>
      </c>
      <c r="F13173" t="s">
        <v>30052</v>
      </c>
      <c r="G13173" t="s">
        <v>30058</v>
      </c>
      <c r="H13173" t="s">
        <v>30067</v>
      </c>
      <c r="I13173" t="s">
        <v>3693</v>
      </c>
      <c r="J13173" t="s">
        <v>38202</v>
      </c>
      <c r="K13173" t="s">
        <v>39020</v>
      </c>
      <c r="M13173" t="s">
        <v>42953</v>
      </c>
      <c r="N13173" t="s">
        <v>43166</v>
      </c>
      <c r="O13173" t="s">
        <v>43167</v>
      </c>
      <c r="Q13173">
        <v>6</v>
      </c>
      <c r="R13173" t="s">
        <v>43186</v>
      </c>
      <c r="S13173" t="s">
        <v>43559</v>
      </c>
      <c r="T13173" t="s">
        <v>44777</v>
      </c>
      <c r="U13173" t="s">
        <v>55672</v>
      </c>
      <c r="V13173" t="s">
        <v>46582</v>
      </c>
      <c r="W13173" t="s">
        <v>42953</v>
      </c>
      <c r="X13173" t="s">
        <v>43189</v>
      </c>
    </row>
    <row r="13174" spans="1:24">
      <c r="A13174">
        <f>HYPERLINK("https://www.philgeps.gov.ph/GEPSNONPILOT/Tender/SplashBidNoticeAbstractUI.aspx?menuIndex=3&amp;refID=7045843&amp;Result=3","7045843")</f>
        <v>0</v>
      </c>
      <c r="B13174" t="s">
        <v>501</v>
      </c>
      <c r="C13174" t="s">
        <v>16023</v>
      </c>
      <c r="E13174" t="s">
        <v>28766</v>
      </c>
      <c r="F13174" t="s">
        <v>30052</v>
      </c>
      <c r="G13174" t="s">
        <v>30058</v>
      </c>
      <c r="H13174" t="s">
        <v>15498</v>
      </c>
      <c r="I13174" t="s">
        <v>30118</v>
      </c>
      <c r="J13174" t="s">
        <v>38203</v>
      </c>
      <c r="K13174" t="s">
        <v>39025</v>
      </c>
      <c r="M13174" t="s">
        <v>39802</v>
      </c>
      <c r="N13174" t="s">
        <v>43166</v>
      </c>
      <c r="O13174" t="s">
        <v>43167</v>
      </c>
      <c r="P13174">
        <v>0</v>
      </c>
      <c r="Q13174">
        <v>6</v>
      </c>
      <c r="R13174" t="s">
        <v>43186</v>
      </c>
      <c r="S13174" t="s">
        <v>44047</v>
      </c>
      <c r="T13174" t="s">
        <v>45085</v>
      </c>
      <c r="U13174" t="s">
        <v>55673</v>
      </c>
      <c r="V13174" t="s">
        <v>58391</v>
      </c>
      <c r="W13174" t="s">
        <v>39802</v>
      </c>
      <c r="X13174" t="s">
        <v>43189</v>
      </c>
    </row>
    <row r="13175" spans="1:24">
      <c r="A13175">
        <f>HYPERLINK("https://www.philgeps.gov.ph/GEPSNONPILOT/Tender/SplashBidNoticeAbstractUI.aspx?menuIndex=3&amp;refID=7045799&amp;Result=3","7045799")</f>
        <v>0</v>
      </c>
      <c r="B13175" t="s">
        <v>261</v>
      </c>
      <c r="C13175" t="s">
        <v>16024</v>
      </c>
      <c r="D13175" t="s">
        <v>17454</v>
      </c>
      <c r="E13175" t="s">
        <v>28767</v>
      </c>
      <c r="F13175" t="s">
        <v>30052</v>
      </c>
      <c r="G13175" t="s">
        <v>30058</v>
      </c>
      <c r="H13175" t="s">
        <v>30067</v>
      </c>
      <c r="I13175" t="s">
        <v>3693</v>
      </c>
      <c r="J13175" t="s">
        <v>30222</v>
      </c>
      <c r="K13175" t="s">
        <v>39023</v>
      </c>
      <c r="M13175" t="s">
        <v>39552</v>
      </c>
      <c r="N13175" t="s">
        <v>43166</v>
      </c>
      <c r="O13175" t="s">
        <v>43167</v>
      </c>
      <c r="P13175">
        <v>0</v>
      </c>
      <c r="Q13175">
        <v>1</v>
      </c>
      <c r="R13175" t="s">
        <v>43186</v>
      </c>
      <c r="S13175" t="s">
        <v>44047</v>
      </c>
      <c r="T13175" t="s">
        <v>44753</v>
      </c>
      <c r="U13175" t="s">
        <v>55674</v>
      </c>
      <c r="W13175" t="s">
        <v>39552</v>
      </c>
      <c r="X13175" t="s">
        <v>43189</v>
      </c>
    </row>
    <row r="13176" spans="1:24">
      <c r="A13176">
        <f>HYPERLINK("https://www.philgeps.gov.ph/GEPSNONPILOT/Tender/SplashBidNoticeAbstractUI.aspx?menuIndex=3&amp;refID=7049490&amp;Result=3","7049490")</f>
        <v>0</v>
      </c>
      <c r="B13176" t="s">
        <v>1000</v>
      </c>
      <c r="C13176" t="s">
        <v>16025</v>
      </c>
      <c r="D13176" t="s">
        <v>17422</v>
      </c>
      <c r="E13176" t="s">
        <v>28768</v>
      </c>
      <c r="F13176" t="s">
        <v>30052</v>
      </c>
      <c r="G13176" t="s">
        <v>30058</v>
      </c>
      <c r="H13176" t="s">
        <v>30067</v>
      </c>
      <c r="I13176" t="s">
        <v>3693</v>
      </c>
      <c r="J13176" t="s">
        <v>30532</v>
      </c>
      <c r="K13176" t="s">
        <v>39046</v>
      </c>
      <c r="M13176" t="s">
        <v>42956</v>
      </c>
      <c r="N13176" t="s">
        <v>43166</v>
      </c>
      <c r="O13176" t="s">
        <v>43167</v>
      </c>
      <c r="P13176">
        <v>0</v>
      </c>
      <c r="Q13176">
        <v>0</v>
      </c>
      <c r="R13176" t="s">
        <v>43186</v>
      </c>
      <c r="S13176" t="s">
        <v>44047</v>
      </c>
      <c r="T13176" t="s">
        <v>44705</v>
      </c>
      <c r="U13176" t="s">
        <v>55508</v>
      </c>
      <c r="V13176" t="s">
        <v>56838</v>
      </c>
      <c r="W13176" t="s">
        <v>42956</v>
      </c>
      <c r="X13176" t="s">
        <v>43188</v>
      </c>
    </row>
    <row r="13177" spans="1:24">
      <c r="A13177">
        <f>HYPERLINK("https://www.philgeps.gov.ph/GEPSNONPILOT/Tender/SplashBidNoticeAbstractUI.aspx?menuIndex=3&amp;refID=7040852&amp;Result=3","7040852")</f>
        <v>0</v>
      </c>
      <c r="B13177" t="s">
        <v>127</v>
      </c>
      <c r="C13177" t="s">
        <v>16026</v>
      </c>
      <c r="D13177" t="s">
        <v>17434</v>
      </c>
      <c r="E13177" t="s">
        <v>28769</v>
      </c>
      <c r="F13177" t="s">
        <v>30052</v>
      </c>
      <c r="G13177" t="s">
        <v>30058</v>
      </c>
      <c r="H13177" t="s">
        <v>15498</v>
      </c>
      <c r="I13177" t="s">
        <v>30102</v>
      </c>
      <c r="J13177" t="s">
        <v>38204</v>
      </c>
      <c r="K13177" t="s">
        <v>39025</v>
      </c>
      <c r="M13177" t="s">
        <v>39416</v>
      </c>
      <c r="N13177" t="s">
        <v>43166</v>
      </c>
      <c r="O13177" t="s">
        <v>43167</v>
      </c>
      <c r="P13177">
        <v>0</v>
      </c>
      <c r="Q13177">
        <v>7</v>
      </c>
      <c r="R13177" t="s">
        <v>43186</v>
      </c>
      <c r="S13177" t="s">
        <v>44047</v>
      </c>
      <c r="T13177" t="s">
        <v>44969</v>
      </c>
      <c r="U13177" t="s">
        <v>55675</v>
      </c>
      <c r="V13177" t="s">
        <v>56840</v>
      </c>
      <c r="W13177" t="s">
        <v>39416</v>
      </c>
      <c r="X13177" t="s">
        <v>43193</v>
      </c>
    </row>
    <row r="13178" spans="1:24">
      <c r="A13178">
        <f>HYPERLINK("https://www.philgeps.gov.ph/GEPSNONPILOT/Tender/SplashBidNoticeAbstractUI.aspx?menuIndex=3&amp;refID=7045759&amp;Result=3","7045759")</f>
        <v>0</v>
      </c>
      <c r="B13178" t="s">
        <v>261</v>
      </c>
      <c r="C13178" t="s">
        <v>16027</v>
      </c>
      <c r="D13178" t="s">
        <v>17454</v>
      </c>
      <c r="E13178" t="s">
        <v>28770</v>
      </c>
      <c r="F13178" t="s">
        <v>30052</v>
      </c>
      <c r="G13178" t="s">
        <v>30058</v>
      </c>
      <c r="H13178" t="s">
        <v>30067</v>
      </c>
      <c r="I13178" t="s">
        <v>3693</v>
      </c>
      <c r="J13178" t="s">
        <v>30281</v>
      </c>
      <c r="K13178" t="s">
        <v>39023</v>
      </c>
      <c r="M13178" t="s">
        <v>39552</v>
      </c>
      <c r="N13178" t="s">
        <v>43166</v>
      </c>
      <c r="O13178" t="s">
        <v>43167</v>
      </c>
      <c r="P13178">
        <v>0</v>
      </c>
      <c r="Q13178">
        <v>1</v>
      </c>
      <c r="R13178" t="s">
        <v>43186</v>
      </c>
      <c r="S13178" t="s">
        <v>44047</v>
      </c>
      <c r="T13178" t="s">
        <v>44753</v>
      </c>
      <c r="U13178" t="s">
        <v>55676</v>
      </c>
      <c r="W13178" t="s">
        <v>39552</v>
      </c>
      <c r="X13178" t="s">
        <v>43189</v>
      </c>
    </row>
    <row r="13179" spans="1:24">
      <c r="A13179">
        <f>HYPERLINK("https://www.philgeps.gov.ph/GEPSNONPILOT/Tender/SplashBidNoticeAbstractUI.aspx?menuIndex=3&amp;refID=7040272&amp;Result=3","7040272")</f>
        <v>0</v>
      </c>
      <c r="B13179" t="s">
        <v>3132</v>
      </c>
      <c r="C13179" t="s">
        <v>16028</v>
      </c>
      <c r="D13179" t="s">
        <v>17422</v>
      </c>
      <c r="E13179" t="s">
        <v>28771</v>
      </c>
      <c r="F13179" t="s">
        <v>30052</v>
      </c>
      <c r="G13179" t="s">
        <v>30058</v>
      </c>
      <c r="H13179" t="s">
        <v>15498</v>
      </c>
      <c r="I13179" t="s">
        <v>30070</v>
      </c>
      <c r="J13179" t="s">
        <v>38205</v>
      </c>
      <c r="K13179" t="s">
        <v>39034</v>
      </c>
      <c r="M13179" t="s">
        <v>42734</v>
      </c>
      <c r="N13179" t="s">
        <v>43166</v>
      </c>
      <c r="O13179" t="s">
        <v>43167</v>
      </c>
      <c r="P13179">
        <v>0</v>
      </c>
      <c r="Q13179">
        <v>1</v>
      </c>
      <c r="R13179" t="s">
        <v>43186</v>
      </c>
      <c r="S13179" t="s">
        <v>44047</v>
      </c>
      <c r="T13179" t="s">
        <v>44717</v>
      </c>
      <c r="U13179" t="s">
        <v>55492</v>
      </c>
      <c r="V13179" t="s">
        <v>58392</v>
      </c>
      <c r="W13179" t="s">
        <v>42734</v>
      </c>
      <c r="X13179" t="s">
        <v>43193</v>
      </c>
    </row>
    <row r="13180" spans="1:24">
      <c r="A13180">
        <f>HYPERLINK("https://www.philgeps.gov.ph/GEPSNONPILOT/Tender/SplashBidNoticeAbstractUI.aspx?menuIndex=3&amp;refID=7040243&amp;Result=3","7040243")</f>
        <v>0</v>
      </c>
      <c r="B13180" t="s">
        <v>3132</v>
      </c>
      <c r="C13180" t="s">
        <v>16029</v>
      </c>
      <c r="D13180" t="s">
        <v>17422</v>
      </c>
      <c r="E13180" t="s">
        <v>28772</v>
      </c>
      <c r="F13180" t="s">
        <v>30052</v>
      </c>
      <c r="G13180" t="s">
        <v>30058</v>
      </c>
      <c r="H13180" t="s">
        <v>15498</v>
      </c>
      <c r="I13180" t="s">
        <v>30070</v>
      </c>
      <c r="J13180" t="s">
        <v>38206</v>
      </c>
      <c r="K13180" t="s">
        <v>39034</v>
      </c>
      <c r="M13180" t="s">
        <v>42734</v>
      </c>
      <c r="N13180" t="s">
        <v>43166</v>
      </c>
      <c r="O13180" t="s">
        <v>43167</v>
      </c>
      <c r="P13180">
        <v>0</v>
      </c>
      <c r="Q13180">
        <v>1</v>
      </c>
      <c r="R13180" t="s">
        <v>43186</v>
      </c>
      <c r="S13180" t="s">
        <v>44047</v>
      </c>
      <c r="T13180" t="s">
        <v>44717</v>
      </c>
      <c r="U13180" t="s">
        <v>55492</v>
      </c>
      <c r="V13180" t="s">
        <v>58393</v>
      </c>
      <c r="W13180" t="s">
        <v>42734</v>
      </c>
      <c r="X13180" t="s">
        <v>43193</v>
      </c>
    </row>
    <row r="13181" spans="1:24">
      <c r="A13181">
        <f>HYPERLINK("https://www.philgeps.gov.ph/GEPSNONPILOT/Tender/SplashBidNoticeAbstractUI.aspx?menuIndex=3&amp;refID=7040200&amp;Result=3","7040200")</f>
        <v>0</v>
      </c>
      <c r="B13181" t="s">
        <v>3132</v>
      </c>
      <c r="C13181" t="s">
        <v>16030</v>
      </c>
      <c r="D13181" t="s">
        <v>17422</v>
      </c>
      <c r="E13181" t="s">
        <v>28773</v>
      </c>
      <c r="F13181" t="s">
        <v>30052</v>
      </c>
      <c r="G13181" t="s">
        <v>30058</v>
      </c>
      <c r="H13181" t="s">
        <v>15498</v>
      </c>
      <c r="I13181" t="s">
        <v>30076</v>
      </c>
      <c r="J13181" t="s">
        <v>38207</v>
      </c>
      <c r="K13181" t="s">
        <v>39034</v>
      </c>
      <c r="M13181" t="s">
        <v>42734</v>
      </c>
      <c r="N13181" t="s">
        <v>43166</v>
      </c>
      <c r="O13181" t="s">
        <v>43167</v>
      </c>
      <c r="P13181">
        <v>0</v>
      </c>
      <c r="Q13181">
        <v>6</v>
      </c>
      <c r="R13181" t="s">
        <v>43186</v>
      </c>
      <c r="S13181" t="s">
        <v>44047</v>
      </c>
      <c r="T13181" t="s">
        <v>44717</v>
      </c>
      <c r="U13181" t="s">
        <v>55677</v>
      </c>
      <c r="V13181" t="s">
        <v>58394</v>
      </c>
      <c r="W13181" t="s">
        <v>42734</v>
      </c>
      <c r="X13181" t="s">
        <v>43193</v>
      </c>
    </row>
    <row r="13182" spans="1:24">
      <c r="A13182">
        <f>HYPERLINK("https://www.philgeps.gov.ph/GEPSNONPILOT/Tender/SplashBidNoticeAbstractUI.aspx?menuIndex=3&amp;refID=7035498&amp;Result=3","7035498")</f>
        <v>0</v>
      </c>
      <c r="B13182" t="s">
        <v>3312</v>
      </c>
      <c r="C13182" t="s">
        <v>16031</v>
      </c>
      <c r="D13182" t="s">
        <v>17461</v>
      </c>
      <c r="E13182" t="s">
        <v>28774</v>
      </c>
      <c r="F13182" t="s">
        <v>30052</v>
      </c>
      <c r="G13182" t="s">
        <v>30058</v>
      </c>
      <c r="H13182" t="s">
        <v>30067</v>
      </c>
      <c r="I13182" t="s">
        <v>3693</v>
      </c>
      <c r="J13182" t="s">
        <v>32291</v>
      </c>
      <c r="K13182" t="s">
        <v>39022</v>
      </c>
      <c r="M13182" t="s">
        <v>42951</v>
      </c>
      <c r="N13182" t="s">
        <v>43166</v>
      </c>
      <c r="O13182" t="s">
        <v>43167</v>
      </c>
      <c r="Q13182">
        <v>7</v>
      </c>
      <c r="R13182" t="s">
        <v>43186</v>
      </c>
      <c r="S13182" t="s">
        <v>43628</v>
      </c>
      <c r="T13182" t="s">
        <v>44714</v>
      </c>
      <c r="U13182" t="s">
        <v>55678</v>
      </c>
      <c r="V13182" t="s">
        <v>58343</v>
      </c>
      <c r="W13182" t="s">
        <v>42951</v>
      </c>
      <c r="X13182" t="s">
        <v>43194</v>
      </c>
    </row>
    <row r="13183" spans="1:24">
      <c r="A13183">
        <f>HYPERLINK("https://www.philgeps.gov.ph/GEPSNONPILOT/Tender/SplashBidNoticeAbstractUI.aspx?menuIndex=3&amp;refID=7055479&amp;Result=3","7055479")</f>
        <v>0</v>
      </c>
      <c r="B13183" t="s">
        <v>3307</v>
      </c>
      <c r="C13183" t="s">
        <v>16032</v>
      </c>
      <c r="D13183" t="s">
        <v>17471</v>
      </c>
      <c r="E13183" t="s">
        <v>21253</v>
      </c>
      <c r="F13183" t="s">
        <v>30052</v>
      </c>
      <c r="G13183" t="s">
        <v>30058</v>
      </c>
      <c r="H13183" t="s">
        <v>15498</v>
      </c>
      <c r="I13183" t="s">
        <v>7228</v>
      </c>
      <c r="J13183" t="s">
        <v>38208</v>
      </c>
      <c r="K13183" t="s">
        <v>39025</v>
      </c>
      <c r="M13183" t="s">
        <v>42945</v>
      </c>
      <c r="N13183" t="s">
        <v>43166</v>
      </c>
      <c r="O13183" t="s">
        <v>43167</v>
      </c>
      <c r="P13183">
        <v>0</v>
      </c>
      <c r="Q13183">
        <v>0</v>
      </c>
      <c r="R13183" t="s">
        <v>43185</v>
      </c>
      <c r="S13183" t="s">
        <v>43930</v>
      </c>
      <c r="T13183" t="s">
        <v>44696</v>
      </c>
      <c r="U13183" t="s">
        <v>55679</v>
      </c>
      <c r="W13183" t="s">
        <v>42945</v>
      </c>
      <c r="X13183" t="s">
        <v>43186</v>
      </c>
    </row>
    <row r="13184" spans="1:24">
      <c r="A13184">
        <f>HYPERLINK("https://www.philgeps.gov.ph/GEPSNONPILOT/Tender/SplashBidNoticeAbstractUI.aspx?menuIndex=3&amp;refID=7055473&amp;Result=3","7055473")</f>
        <v>0</v>
      </c>
      <c r="B13184" t="s">
        <v>3311</v>
      </c>
      <c r="C13184" t="s">
        <v>12644</v>
      </c>
      <c r="D13184" t="s">
        <v>17413</v>
      </c>
      <c r="E13184" t="s">
        <v>28775</v>
      </c>
      <c r="F13184" t="s">
        <v>30052</v>
      </c>
      <c r="G13184" t="s">
        <v>30058</v>
      </c>
      <c r="H13184" t="s">
        <v>15498</v>
      </c>
      <c r="I13184" t="s">
        <v>30126</v>
      </c>
      <c r="J13184" t="s">
        <v>38209</v>
      </c>
      <c r="K13184" t="s">
        <v>39034</v>
      </c>
      <c r="M13184" t="s">
        <v>42950</v>
      </c>
      <c r="N13184" t="s">
        <v>43166</v>
      </c>
      <c r="O13184" t="s">
        <v>43167</v>
      </c>
      <c r="P13184">
        <v>0</v>
      </c>
      <c r="Q13184">
        <v>4</v>
      </c>
      <c r="R13184" t="s">
        <v>43185</v>
      </c>
      <c r="S13184" t="s">
        <v>43930</v>
      </c>
      <c r="T13184" t="s">
        <v>44710</v>
      </c>
      <c r="U13184" t="s">
        <v>55680</v>
      </c>
      <c r="W13184" t="s">
        <v>42950</v>
      </c>
      <c r="X13184" t="s">
        <v>43186</v>
      </c>
    </row>
    <row r="13185" spans="1:24">
      <c r="A13185">
        <f>HYPERLINK("https://www.philgeps.gov.ph/GEPSNONPILOT/Tender/SplashBidNoticeAbstractUI.aspx?menuIndex=3&amp;refID=7049504&amp;Result=3","7049504")</f>
        <v>0</v>
      </c>
      <c r="B13185" t="s">
        <v>1891</v>
      </c>
      <c r="C13185" t="s">
        <v>16033</v>
      </c>
      <c r="D13185" t="s">
        <v>17418</v>
      </c>
      <c r="E13185" t="s">
        <v>28776</v>
      </c>
      <c r="F13185" t="s">
        <v>30052</v>
      </c>
      <c r="G13185" t="s">
        <v>30058</v>
      </c>
      <c r="H13185" t="s">
        <v>15498</v>
      </c>
      <c r="I13185" t="s">
        <v>30109</v>
      </c>
      <c r="J13185" t="s">
        <v>30402</v>
      </c>
      <c r="K13185" t="s">
        <v>39017</v>
      </c>
      <c r="M13185" t="s">
        <v>41322</v>
      </c>
      <c r="N13185" t="s">
        <v>43166</v>
      </c>
      <c r="O13185" t="s">
        <v>43167</v>
      </c>
      <c r="P13185">
        <v>0</v>
      </c>
      <c r="Q13185">
        <v>0</v>
      </c>
      <c r="R13185" t="s">
        <v>43186</v>
      </c>
      <c r="S13185" t="s">
        <v>44047</v>
      </c>
      <c r="T13185" t="s">
        <v>44728</v>
      </c>
      <c r="U13185" t="s">
        <v>55681</v>
      </c>
      <c r="V13185" t="s">
        <v>58395</v>
      </c>
      <c r="W13185" t="s">
        <v>41322</v>
      </c>
      <c r="X13185" t="s">
        <v>43188</v>
      </c>
    </row>
    <row r="13186" spans="1:24">
      <c r="A13186">
        <f>HYPERLINK("https://www.philgeps.gov.ph/GEPSNONPILOT/Tender/SplashBidNoticeAbstractUI.aspx?menuIndex=3&amp;refID=7040868&amp;Result=3","7040868")</f>
        <v>0</v>
      </c>
      <c r="B13186" t="s">
        <v>127</v>
      </c>
      <c r="C13186" t="s">
        <v>16034</v>
      </c>
      <c r="D13186" t="s">
        <v>17434</v>
      </c>
      <c r="E13186" t="s">
        <v>28777</v>
      </c>
      <c r="F13186" t="s">
        <v>30052</v>
      </c>
      <c r="G13186" t="s">
        <v>30058</v>
      </c>
      <c r="H13186" t="s">
        <v>15498</v>
      </c>
      <c r="I13186" t="s">
        <v>30076</v>
      </c>
      <c r="J13186" t="s">
        <v>31664</v>
      </c>
      <c r="K13186" t="s">
        <v>39025</v>
      </c>
      <c r="M13186" t="s">
        <v>39416</v>
      </c>
      <c r="N13186" t="s">
        <v>43166</v>
      </c>
      <c r="O13186" t="s">
        <v>43167</v>
      </c>
      <c r="P13186">
        <v>0</v>
      </c>
      <c r="Q13186">
        <v>4</v>
      </c>
      <c r="R13186" t="s">
        <v>43186</v>
      </c>
      <c r="S13186" t="s">
        <v>44047</v>
      </c>
      <c r="T13186" t="s">
        <v>44969</v>
      </c>
      <c r="U13186" t="s">
        <v>55682</v>
      </c>
      <c r="V13186" t="s">
        <v>56840</v>
      </c>
      <c r="W13186" t="s">
        <v>39416</v>
      </c>
      <c r="X13186" t="s">
        <v>43193</v>
      </c>
    </row>
    <row r="13187" spans="1:24">
      <c r="A13187">
        <f>HYPERLINK("https://www.philgeps.gov.ph/GEPSNONPILOT/Tender/SplashBidNoticeAbstractUI.aspx?menuIndex=3&amp;refID=7036744&amp;Result=3","7036744")</f>
        <v>0</v>
      </c>
      <c r="B13187" t="s">
        <v>2171</v>
      </c>
      <c r="C13187" t="s">
        <v>16035</v>
      </c>
      <c r="D13187" t="s">
        <v>17426</v>
      </c>
      <c r="E13187" t="s">
        <v>28778</v>
      </c>
      <c r="F13187" t="s">
        <v>30052</v>
      </c>
      <c r="G13187" t="s">
        <v>30058</v>
      </c>
      <c r="H13187" t="s">
        <v>15498</v>
      </c>
      <c r="I13187" t="s">
        <v>30074</v>
      </c>
      <c r="J13187" t="s">
        <v>30856</v>
      </c>
      <c r="K13187" t="s">
        <v>39019</v>
      </c>
      <c r="M13187" t="s">
        <v>41639</v>
      </c>
      <c r="N13187" t="s">
        <v>43166</v>
      </c>
      <c r="O13187" t="s">
        <v>43167</v>
      </c>
      <c r="P13187">
        <v>0</v>
      </c>
      <c r="Q13187">
        <v>7</v>
      </c>
      <c r="R13187" t="s">
        <v>43186</v>
      </c>
      <c r="S13187" t="s">
        <v>44047</v>
      </c>
      <c r="T13187" t="s">
        <v>44773</v>
      </c>
      <c r="U13187" t="s">
        <v>55683</v>
      </c>
      <c r="W13187" t="s">
        <v>41639</v>
      </c>
      <c r="X13187" t="s">
        <v>43194</v>
      </c>
    </row>
    <row r="13188" spans="1:24">
      <c r="A13188">
        <f>HYPERLINK("https://www.philgeps.gov.ph/GEPSNONPILOT/Tender/SplashBidNoticeAbstractUI.aspx?menuIndex=3&amp;refID=7072488&amp;Result=3","7072488")</f>
        <v>0</v>
      </c>
      <c r="B13188" t="s">
        <v>382</v>
      </c>
      <c r="C13188" t="s">
        <v>16036</v>
      </c>
      <c r="D13188" t="s">
        <v>17474</v>
      </c>
      <c r="E13188" t="s">
        <v>28779</v>
      </c>
      <c r="F13188" t="s">
        <v>30052</v>
      </c>
      <c r="G13188" t="s">
        <v>30058</v>
      </c>
      <c r="H13188" t="s">
        <v>15498</v>
      </c>
      <c r="I13188" t="s">
        <v>3852</v>
      </c>
      <c r="J13188" t="s">
        <v>30230</v>
      </c>
      <c r="K13188" t="s">
        <v>39025</v>
      </c>
      <c r="M13188" t="s">
        <v>39680</v>
      </c>
      <c r="N13188" t="s">
        <v>43166</v>
      </c>
      <c r="O13188" t="s">
        <v>43167</v>
      </c>
      <c r="P13188">
        <v>0</v>
      </c>
      <c r="Q13188">
        <v>1</v>
      </c>
      <c r="R13188" t="s">
        <v>43176</v>
      </c>
      <c r="S13188" t="s">
        <v>43481</v>
      </c>
      <c r="T13188" t="s">
        <v>44969</v>
      </c>
      <c r="U13188" t="s">
        <v>52736</v>
      </c>
      <c r="W13188" t="s">
        <v>39680</v>
      </c>
      <c r="X13188" t="s">
        <v>43177</v>
      </c>
    </row>
    <row r="13189" spans="1:24">
      <c r="A13189">
        <f>HYPERLINK("https://www.philgeps.gov.ph/GEPSNONPILOT/Tender/SplashBidNoticeAbstractUI.aspx?menuIndex=3&amp;refID=7072487&amp;Result=3","7072487")</f>
        <v>0</v>
      </c>
      <c r="B13189" t="s">
        <v>382</v>
      </c>
      <c r="C13189" t="s">
        <v>16037</v>
      </c>
      <c r="D13189" t="s">
        <v>17474</v>
      </c>
      <c r="E13189" t="s">
        <v>28780</v>
      </c>
      <c r="F13189" t="s">
        <v>30052</v>
      </c>
      <c r="G13189" t="s">
        <v>30058</v>
      </c>
      <c r="H13189" t="s">
        <v>15498</v>
      </c>
      <c r="I13189" t="s">
        <v>5961</v>
      </c>
      <c r="J13189" t="s">
        <v>38210</v>
      </c>
      <c r="K13189" t="s">
        <v>39025</v>
      </c>
      <c r="M13189" t="s">
        <v>39680</v>
      </c>
      <c r="N13189" t="s">
        <v>43166</v>
      </c>
      <c r="O13189" t="s">
        <v>43167</v>
      </c>
      <c r="P13189">
        <v>0</v>
      </c>
      <c r="Q13189">
        <v>1</v>
      </c>
      <c r="R13189" t="s">
        <v>43176</v>
      </c>
      <c r="S13189" t="s">
        <v>43481</v>
      </c>
      <c r="T13189" t="s">
        <v>44969</v>
      </c>
      <c r="U13189" t="s">
        <v>52736</v>
      </c>
      <c r="W13189" t="s">
        <v>39680</v>
      </c>
      <c r="X13189" t="s">
        <v>43177</v>
      </c>
    </row>
    <row r="13190" spans="1:24">
      <c r="A13190">
        <f>HYPERLINK("https://www.philgeps.gov.ph/GEPSNONPILOT/Tender/SplashBidNoticeAbstractUI.aspx?menuIndex=3&amp;refID=7055476&amp;Result=3","7055476")</f>
        <v>0</v>
      </c>
      <c r="B13190" t="s">
        <v>3307</v>
      </c>
      <c r="C13190" t="s">
        <v>16038</v>
      </c>
      <c r="D13190" t="s">
        <v>17471</v>
      </c>
      <c r="E13190" t="s">
        <v>21240</v>
      </c>
      <c r="F13190" t="s">
        <v>30052</v>
      </c>
      <c r="G13190" t="s">
        <v>30058</v>
      </c>
      <c r="H13190" t="s">
        <v>15498</v>
      </c>
      <c r="I13190" t="s">
        <v>7228</v>
      </c>
      <c r="J13190" t="s">
        <v>38208</v>
      </c>
      <c r="K13190" t="s">
        <v>39025</v>
      </c>
      <c r="M13190" t="s">
        <v>42945</v>
      </c>
      <c r="N13190" t="s">
        <v>43166</v>
      </c>
      <c r="O13190" t="s">
        <v>43167</v>
      </c>
      <c r="P13190">
        <v>0</v>
      </c>
      <c r="Q13190">
        <v>3</v>
      </c>
      <c r="R13190" t="s">
        <v>43185</v>
      </c>
      <c r="S13190" t="s">
        <v>43930</v>
      </c>
      <c r="T13190" t="s">
        <v>44696</v>
      </c>
      <c r="U13190" t="s">
        <v>55684</v>
      </c>
      <c r="W13190" t="s">
        <v>42945</v>
      </c>
      <c r="X13190" t="s">
        <v>43186</v>
      </c>
    </row>
    <row r="13191" spans="1:24">
      <c r="A13191">
        <f>HYPERLINK("https://www.philgeps.gov.ph/GEPSNONPILOT/Tender/SplashBidNoticeAbstractUI.aspx?menuIndex=3&amp;refID=7073065&amp;Result=3","7073065")</f>
        <v>0</v>
      </c>
      <c r="B13191" t="s">
        <v>1137</v>
      </c>
      <c r="C13191" t="s">
        <v>16039</v>
      </c>
      <c r="D13191" t="s">
        <v>17435</v>
      </c>
      <c r="E13191" t="s">
        <v>28781</v>
      </c>
      <c r="F13191" t="s">
        <v>30052</v>
      </c>
      <c r="G13191" t="s">
        <v>30058</v>
      </c>
      <c r="H13191" t="s">
        <v>30067</v>
      </c>
      <c r="I13191" t="s">
        <v>3693</v>
      </c>
      <c r="J13191" t="s">
        <v>35970</v>
      </c>
      <c r="K13191" t="s">
        <v>39020</v>
      </c>
      <c r="M13191" t="s">
        <v>40480</v>
      </c>
      <c r="N13191" t="s">
        <v>43166</v>
      </c>
      <c r="O13191" t="s">
        <v>43167</v>
      </c>
      <c r="P13191">
        <v>0</v>
      </c>
      <c r="Q13191">
        <v>3</v>
      </c>
      <c r="R13191" t="s">
        <v>43175</v>
      </c>
      <c r="S13191" t="s">
        <v>43460</v>
      </c>
      <c r="T13191" t="s">
        <v>44791</v>
      </c>
      <c r="U13191" t="s">
        <v>52681</v>
      </c>
      <c r="W13191" t="s">
        <v>40480</v>
      </c>
      <c r="X13191" t="s">
        <v>43176</v>
      </c>
    </row>
    <row r="13192" spans="1:24">
      <c r="A13192">
        <f>HYPERLINK("https://www.philgeps.gov.ph/GEPSNONPILOT/Tender/SplashBidNoticeAbstractUI.aspx?menuIndex=3&amp;refID=7073059&amp;Result=3","7073059")</f>
        <v>0</v>
      </c>
      <c r="B13192" t="s">
        <v>3342</v>
      </c>
      <c r="C13192" t="s">
        <v>9844</v>
      </c>
      <c r="D13192" t="s">
        <v>17413</v>
      </c>
      <c r="E13192" t="s">
        <v>17745</v>
      </c>
      <c r="F13192" t="s">
        <v>30052</v>
      </c>
      <c r="G13192" t="s">
        <v>30058</v>
      </c>
      <c r="H13192" t="s">
        <v>30067</v>
      </c>
      <c r="I13192" t="s">
        <v>3736</v>
      </c>
      <c r="J13192" t="s">
        <v>38211</v>
      </c>
      <c r="K13192" t="s">
        <v>39017</v>
      </c>
      <c r="M13192" t="s">
        <v>42985</v>
      </c>
      <c r="N13192" t="s">
        <v>43166</v>
      </c>
      <c r="O13192" t="s">
        <v>43167</v>
      </c>
      <c r="P13192">
        <v>0</v>
      </c>
      <c r="Q13192">
        <v>0</v>
      </c>
      <c r="R13192" t="s">
        <v>43175</v>
      </c>
      <c r="S13192" t="s">
        <v>43460</v>
      </c>
      <c r="T13192" t="s">
        <v>44763</v>
      </c>
      <c r="U13192" t="s">
        <v>55685</v>
      </c>
      <c r="W13192" t="s">
        <v>42985</v>
      </c>
      <c r="X13192" t="s">
        <v>43176</v>
      </c>
    </row>
    <row r="13193" spans="1:24">
      <c r="A13193">
        <f>HYPERLINK("https://www.philgeps.gov.ph/GEPSNONPILOT/Tender/SplashBidNoticeAbstractUI.aspx?menuIndex=3&amp;refID=7073058&amp;Result=3","7073058")</f>
        <v>0</v>
      </c>
      <c r="B13193" t="s">
        <v>1137</v>
      </c>
      <c r="C13193" t="s">
        <v>16040</v>
      </c>
      <c r="D13193" t="s">
        <v>17435</v>
      </c>
      <c r="E13193" t="s">
        <v>28782</v>
      </c>
      <c r="F13193" t="s">
        <v>30052</v>
      </c>
      <c r="G13193" t="s">
        <v>30058</v>
      </c>
      <c r="H13193" t="s">
        <v>30067</v>
      </c>
      <c r="I13193" t="s">
        <v>3693</v>
      </c>
      <c r="J13193" t="s">
        <v>35629</v>
      </c>
      <c r="K13193" t="s">
        <v>39184</v>
      </c>
      <c r="M13193" t="s">
        <v>40480</v>
      </c>
      <c r="N13193" t="s">
        <v>43166</v>
      </c>
      <c r="O13193" t="s">
        <v>43167</v>
      </c>
      <c r="P13193">
        <v>0</v>
      </c>
      <c r="Q13193">
        <v>4</v>
      </c>
      <c r="R13193" t="s">
        <v>43175</v>
      </c>
      <c r="S13193" t="s">
        <v>43460</v>
      </c>
      <c r="T13193" t="s">
        <v>44791</v>
      </c>
      <c r="U13193" t="s">
        <v>52681</v>
      </c>
      <c r="W13193" t="s">
        <v>40480</v>
      </c>
      <c r="X13193" t="s">
        <v>43176</v>
      </c>
    </row>
    <row r="13194" spans="1:24">
      <c r="A13194">
        <f>HYPERLINK("https://www.philgeps.gov.ph/GEPSNONPILOT/Tender/SplashBidNoticeAbstractUI.aspx?menuIndex=3&amp;refID=7070535&amp;Result=3","7070535")</f>
        <v>0</v>
      </c>
      <c r="B13194" t="s">
        <v>2703</v>
      </c>
      <c r="C13194" t="s">
        <v>16041</v>
      </c>
      <c r="D13194" t="s">
        <v>17444</v>
      </c>
      <c r="E13194" t="s">
        <v>18583</v>
      </c>
      <c r="F13194" t="s">
        <v>30052</v>
      </c>
      <c r="G13194" t="s">
        <v>30059</v>
      </c>
      <c r="H13194" t="s">
        <v>15498</v>
      </c>
      <c r="I13194" t="s">
        <v>30128</v>
      </c>
      <c r="J13194" t="s">
        <v>30337</v>
      </c>
      <c r="K13194" t="s">
        <v>39017</v>
      </c>
      <c r="M13194" t="s">
        <v>42227</v>
      </c>
      <c r="N13194" t="s">
        <v>43166</v>
      </c>
      <c r="O13194" t="s">
        <v>43167</v>
      </c>
      <c r="P13194">
        <v>0</v>
      </c>
      <c r="Q13194">
        <v>1</v>
      </c>
      <c r="R13194" t="s">
        <v>43175</v>
      </c>
      <c r="S13194" t="s">
        <v>43460</v>
      </c>
      <c r="T13194" t="s">
        <v>44777</v>
      </c>
      <c r="U13194" t="s">
        <v>55686</v>
      </c>
      <c r="W13194" t="s">
        <v>42227</v>
      </c>
      <c r="X13194" t="s">
        <v>43178</v>
      </c>
    </row>
    <row r="13195" spans="1:24">
      <c r="A13195">
        <f>HYPERLINK("https://www.philgeps.gov.ph/GEPSNONPILOT/Tender/SplashBidNoticeAbstractUI.aspx?menuIndex=3&amp;refID=7072490&amp;Result=3","7072490")</f>
        <v>0</v>
      </c>
      <c r="B13195" t="s">
        <v>382</v>
      </c>
      <c r="C13195" t="s">
        <v>16042</v>
      </c>
      <c r="D13195" t="s">
        <v>17474</v>
      </c>
      <c r="E13195" t="s">
        <v>28783</v>
      </c>
      <c r="F13195" t="s">
        <v>30052</v>
      </c>
      <c r="G13195" t="s">
        <v>30058</v>
      </c>
      <c r="H13195" t="s">
        <v>15498</v>
      </c>
      <c r="I13195" t="s">
        <v>4650</v>
      </c>
      <c r="J13195" t="s">
        <v>38212</v>
      </c>
      <c r="K13195" t="s">
        <v>39025</v>
      </c>
      <c r="M13195" t="s">
        <v>39680</v>
      </c>
      <c r="N13195" t="s">
        <v>43166</v>
      </c>
      <c r="O13195" t="s">
        <v>43167</v>
      </c>
      <c r="P13195">
        <v>0</v>
      </c>
      <c r="Q13195">
        <v>1</v>
      </c>
      <c r="R13195" t="s">
        <v>43176</v>
      </c>
      <c r="S13195" t="s">
        <v>43481</v>
      </c>
      <c r="T13195" t="s">
        <v>44969</v>
      </c>
      <c r="U13195" t="s">
        <v>52736</v>
      </c>
      <c r="W13195" t="s">
        <v>39680</v>
      </c>
      <c r="X13195" t="s">
        <v>43177</v>
      </c>
    </row>
    <row r="13196" spans="1:24">
      <c r="A13196">
        <f>HYPERLINK("https://www.philgeps.gov.ph/GEPSNONPILOT/Tender/SplashBidNoticeAbstractUI.aspx?menuIndex=3&amp;refID=7070526&amp;Result=3","7070526")</f>
        <v>0</v>
      </c>
      <c r="B13196" t="s">
        <v>1730</v>
      </c>
      <c r="C13196" t="s">
        <v>16043</v>
      </c>
      <c r="D13196" t="s">
        <v>17423</v>
      </c>
      <c r="E13196" t="s">
        <v>28784</v>
      </c>
      <c r="F13196" t="s">
        <v>30052</v>
      </c>
      <c r="G13196" t="s">
        <v>30058</v>
      </c>
      <c r="H13196" t="s">
        <v>30067</v>
      </c>
      <c r="I13196" t="s">
        <v>3693</v>
      </c>
      <c r="J13196" t="s">
        <v>38213</v>
      </c>
      <c r="K13196" t="s">
        <v>39042</v>
      </c>
      <c r="M13196" t="s">
        <v>42228</v>
      </c>
      <c r="N13196" t="s">
        <v>43166</v>
      </c>
      <c r="O13196" t="s">
        <v>43167</v>
      </c>
      <c r="P13196">
        <v>0</v>
      </c>
      <c r="Q13196">
        <v>0</v>
      </c>
      <c r="R13196" t="s">
        <v>43175</v>
      </c>
      <c r="S13196" t="s">
        <v>43460</v>
      </c>
      <c r="T13196" t="s">
        <v>44696</v>
      </c>
      <c r="U13196" t="s">
        <v>55687</v>
      </c>
      <c r="V13196" t="s">
        <v>58396</v>
      </c>
      <c r="W13196" t="s">
        <v>42228</v>
      </c>
      <c r="X13196" t="s">
        <v>43178</v>
      </c>
    </row>
    <row r="13197" spans="1:24">
      <c r="A13197">
        <f>HYPERLINK("https://www.philgeps.gov.ph/GEPSNONPILOT/Tender/SplashBidNoticeAbstractUI.aspx?menuIndex=3&amp;refID=7070524&amp;Result=3","7070524")</f>
        <v>0</v>
      </c>
      <c r="B13197" t="s">
        <v>244</v>
      </c>
      <c r="C13197" t="s">
        <v>16044</v>
      </c>
      <c r="D13197" t="s">
        <v>17414</v>
      </c>
      <c r="E13197" t="s">
        <v>28785</v>
      </c>
      <c r="F13197" t="s">
        <v>30052</v>
      </c>
      <c r="G13197" t="s">
        <v>30058</v>
      </c>
      <c r="H13197" t="s">
        <v>15498</v>
      </c>
      <c r="I13197" t="s">
        <v>30097</v>
      </c>
      <c r="J13197" t="s">
        <v>38214</v>
      </c>
      <c r="K13197" t="s">
        <v>39063</v>
      </c>
      <c r="M13197" t="s">
        <v>39534</v>
      </c>
      <c r="N13197" t="s">
        <v>43166</v>
      </c>
      <c r="O13197" t="s">
        <v>43167</v>
      </c>
      <c r="P13197">
        <v>0</v>
      </c>
      <c r="Q13197">
        <v>1</v>
      </c>
      <c r="R13197" t="s">
        <v>43175</v>
      </c>
      <c r="S13197" t="s">
        <v>43460</v>
      </c>
      <c r="T13197" t="s">
        <v>44873</v>
      </c>
      <c r="U13197" t="s">
        <v>55688</v>
      </c>
      <c r="V13197" t="s">
        <v>56883</v>
      </c>
      <c r="W13197" t="s">
        <v>39534</v>
      </c>
      <c r="X13197" t="s">
        <v>43178</v>
      </c>
    </row>
    <row r="13198" spans="1:24">
      <c r="A13198">
        <f>HYPERLINK("https://www.philgeps.gov.ph/GEPSNONPILOT/Tender/SplashBidNoticeAbstractUI.aspx?menuIndex=3&amp;refID=7070543&amp;Result=3","7070543")</f>
        <v>0</v>
      </c>
      <c r="B13198" t="s">
        <v>3343</v>
      </c>
      <c r="C13198" t="s">
        <v>16045</v>
      </c>
      <c r="D13198" t="s">
        <v>17488</v>
      </c>
      <c r="E13198" t="s">
        <v>28786</v>
      </c>
      <c r="F13198" t="s">
        <v>30052</v>
      </c>
      <c r="G13198" t="s">
        <v>30058</v>
      </c>
      <c r="H13198" t="s">
        <v>15498</v>
      </c>
      <c r="I13198" t="s">
        <v>3736</v>
      </c>
      <c r="J13198" t="s">
        <v>38215</v>
      </c>
      <c r="K13198" t="s">
        <v>39029</v>
      </c>
      <c r="M13198" t="s">
        <v>42986</v>
      </c>
      <c r="N13198" t="s">
        <v>43166</v>
      </c>
      <c r="O13198" t="s">
        <v>43167</v>
      </c>
      <c r="P13198">
        <v>0</v>
      </c>
      <c r="Q13198">
        <v>1</v>
      </c>
      <c r="R13198" t="s">
        <v>43175</v>
      </c>
      <c r="S13198" t="s">
        <v>43460</v>
      </c>
      <c r="T13198" t="s">
        <v>44777</v>
      </c>
      <c r="U13198" t="s">
        <v>55689</v>
      </c>
      <c r="W13198" t="s">
        <v>42986</v>
      </c>
      <c r="X13198" t="s">
        <v>43178</v>
      </c>
    </row>
    <row r="13199" spans="1:24">
      <c r="A13199">
        <f>HYPERLINK("https://www.philgeps.gov.ph/GEPSNONPILOT/Tender/SplashBidNoticeAbstractUI.aspx?menuIndex=3&amp;refID=7075235&amp;Result=3","7075235")</f>
        <v>0</v>
      </c>
      <c r="B13199" t="s">
        <v>2597</v>
      </c>
      <c r="C13199" t="s">
        <v>16046</v>
      </c>
      <c r="D13199" t="s">
        <v>17425</v>
      </c>
      <c r="E13199" t="s">
        <v>26522</v>
      </c>
      <c r="F13199" t="s">
        <v>30052</v>
      </c>
      <c r="G13199" t="s">
        <v>30058</v>
      </c>
      <c r="H13199" t="s">
        <v>15498</v>
      </c>
      <c r="I13199" t="s">
        <v>3852</v>
      </c>
      <c r="J13199" t="s">
        <v>30277</v>
      </c>
      <c r="K13199" t="s">
        <v>39017</v>
      </c>
      <c r="M13199" t="s">
        <v>42108</v>
      </c>
      <c r="N13199" t="s">
        <v>43166</v>
      </c>
      <c r="O13199" t="s">
        <v>43167</v>
      </c>
      <c r="P13199">
        <v>0</v>
      </c>
      <c r="Q13199">
        <v>2</v>
      </c>
      <c r="R13199" t="s">
        <v>43174</v>
      </c>
      <c r="S13199" t="s">
        <v>43396</v>
      </c>
      <c r="T13199" t="s">
        <v>44753</v>
      </c>
      <c r="U13199" t="s">
        <v>55690</v>
      </c>
      <c r="V13199" t="s">
        <v>58397</v>
      </c>
      <c r="W13199" t="s">
        <v>42108</v>
      </c>
      <c r="X13199" t="s">
        <v>43175</v>
      </c>
    </row>
    <row r="13200" spans="1:24">
      <c r="A13200">
        <f>HYPERLINK("https://www.philgeps.gov.ph/GEPSNONPILOT/Tender/SplashBidNoticeAbstractUI.aspx?menuIndex=3&amp;refID=7075229&amp;Result=3","7075229")</f>
        <v>0</v>
      </c>
      <c r="B13200" t="s">
        <v>623</v>
      </c>
      <c r="C13200" t="s">
        <v>16047</v>
      </c>
      <c r="D13200" t="s">
        <v>17449</v>
      </c>
      <c r="E13200" t="s">
        <v>28787</v>
      </c>
      <c r="F13200" t="s">
        <v>30052</v>
      </c>
      <c r="G13200" t="s">
        <v>30058</v>
      </c>
      <c r="H13200" t="s">
        <v>30067</v>
      </c>
      <c r="I13200" t="s">
        <v>3693</v>
      </c>
      <c r="J13200" t="s">
        <v>38216</v>
      </c>
      <c r="K13200" t="s">
        <v>39122</v>
      </c>
      <c r="M13200" t="s">
        <v>40445</v>
      </c>
      <c r="N13200" t="s">
        <v>43166</v>
      </c>
      <c r="O13200" t="s">
        <v>43167</v>
      </c>
      <c r="P13200">
        <v>0</v>
      </c>
      <c r="Q13200">
        <v>1</v>
      </c>
      <c r="R13200" t="s">
        <v>43174</v>
      </c>
      <c r="S13200" t="s">
        <v>43396</v>
      </c>
      <c r="T13200" t="s">
        <v>45000</v>
      </c>
      <c r="U13200" t="s">
        <v>55691</v>
      </c>
      <c r="W13200" t="s">
        <v>40445</v>
      </c>
      <c r="X13200" t="s">
        <v>43175</v>
      </c>
    </row>
    <row r="13201" spans="1:24">
      <c r="A13201">
        <f>HYPERLINK("https://www.philgeps.gov.ph/GEPSNONPILOT/Tender/SplashBidNoticeAbstractUI.aspx?menuIndex=3&amp;refID=7055482&amp;Result=3","7055482")</f>
        <v>0</v>
      </c>
      <c r="B13201" t="s">
        <v>509</v>
      </c>
      <c r="C13201" t="s">
        <v>16048</v>
      </c>
      <c r="D13201" t="s">
        <v>17415</v>
      </c>
      <c r="E13201" t="s">
        <v>28788</v>
      </c>
      <c r="F13201" t="s">
        <v>30052</v>
      </c>
      <c r="G13201" t="s">
        <v>30058</v>
      </c>
      <c r="H13201" t="s">
        <v>30067</v>
      </c>
      <c r="I13201" t="s">
        <v>3693</v>
      </c>
      <c r="J13201" t="s">
        <v>38217</v>
      </c>
      <c r="K13201" t="s">
        <v>39031</v>
      </c>
      <c r="M13201" t="s">
        <v>39810</v>
      </c>
      <c r="N13201" t="s">
        <v>43166</v>
      </c>
      <c r="O13201" t="s">
        <v>43167</v>
      </c>
      <c r="Q13201">
        <v>15</v>
      </c>
      <c r="R13201" t="s">
        <v>43185</v>
      </c>
      <c r="S13201" t="s">
        <v>44106</v>
      </c>
      <c r="T13201" t="s">
        <v>44773</v>
      </c>
      <c r="U13201" t="s">
        <v>50415</v>
      </c>
      <c r="W13201" t="s">
        <v>39810</v>
      </c>
      <c r="X13201" t="s">
        <v>43186</v>
      </c>
    </row>
    <row r="13202" spans="1:24">
      <c r="A13202">
        <f>HYPERLINK("https://www.philgeps.gov.ph/GEPSNONPILOT/Tender/SplashBidNoticeAbstractUI.aspx?menuIndex=3&amp;refID=7075227&amp;Result=3","7075227")</f>
        <v>0</v>
      </c>
      <c r="B13202" t="s">
        <v>1111</v>
      </c>
      <c r="C13202" t="s">
        <v>16049</v>
      </c>
      <c r="D13202" t="s">
        <v>17413</v>
      </c>
      <c r="E13202" t="s">
        <v>28789</v>
      </c>
      <c r="F13202" t="s">
        <v>30052</v>
      </c>
      <c r="G13202" t="s">
        <v>30061</v>
      </c>
      <c r="H13202" t="s">
        <v>30067</v>
      </c>
      <c r="I13202" t="s">
        <v>3693</v>
      </c>
      <c r="J13202" t="s">
        <v>38218</v>
      </c>
      <c r="K13202" t="s">
        <v>39017</v>
      </c>
      <c r="M13202" t="s">
        <v>40451</v>
      </c>
      <c r="N13202" t="s">
        <v>43166</v>
      </c>
      <c r="O13202" t="s">
        <v>43167</v>
      </c>
      <c r="P13202">
        <v>0</v>
      </c>
      <c r="Q13202">
        <v>0</v>
      </c>
      <c r="R13202" t="s">
        <v>43174</v>
      </c>
      <c r="S13202" t="s">
        <v>43396</v>
      </c>
      <c r="T13202" t="s">
        <v>44844</v>
      </c>
      <c r="U13202" t="s">
        <v>55692</v>
      </c>
      <c r="W13202" t="s">
        <v>40451</v>
      </c>
      <c r="X13202" t="s">
        <v>43175</v>
      </c>
    </row>
    <row r="13203" spans="1:24">
      <c r="A13203">
        <f>HYPERLINK("https://www.philgeps.gov.ph/GEPSNONPILOT/Tender/SplashBidNoticeAbstractUI.aspx?menuIndex=3&amp;refID=7070547&amp;Result=3","7070547")</f>
        <v>0</v>
      </c>
      <c r="B13203" t="s">
        <v>1730</v>
      </c>
      <c r="C13203" t="s">
        <v>16050</v>
      </c>
      <c r="D13203" t="s">
        <v>17423</v>
      </c>
      <c r="E13203" t="s">
        <v>28790</v>
      </c>
      <c r="F13203" t="s">
        <v>30052</v>
      </c>
      <c r="G13203" t="s">
        <v>30058</v>
      </c>
      <c r="H13203" t="s">
        <v>30067</v>
      </c>
      <c r="I13203" t="s">
        <v>3693</v>
      </c>
      <c r="J13203" t="s">
        <v>30252</v>
      </c>
      <c r="K13203" t="s">
        <v>39047</v>
      </c>
      <c r="M13203" t="s">
        <v>42228</v>
      </c>
      <c r="N13203" t="s">
        <v>43166</v>
      </c>
      <c r="O13203" t="s">
        <v>43167</v>
      </c>
      <c r="P13203">
        <v>0</v>
      </c>
      <c r="Q13203">
        <v>0</v>
      </c>
      <c r="R13203" t="s">
        <v>43175</v>
      </c>
      <c r="S13203" t="s">
        <v>43460</v>
      </c>
      <c r="T13203" t="s">
        <v>44696</v>
      </c>
      <c r="U13203" t="s">
        <v>55693</v>
      </c>
      <c r="V13203" t="s">
        <v>58398</v>
      </c>
      <c r="W13203" t="s">
        <v>42228</v>
      </c>
      <c r="X13203" t="s">
        <v>43178</v>
      </c>
    </row>
    <row r="13204" spans="1:24">
      <c r="A13204">
        <f>HYPERLINK("https://www.philgeps.gov.ph/GEPSNONPILOT/Tender/SplashBidNoticeAbstractUI.aspx?menuIndex=3&amp;refID=7075185&amp;Result=3","7075185")</f>
        <v>0</v>
      </c>
      <c r="B13204" t="s">
        <v>190</v>
      </c>
      <c r="C13204" t="s">
        <v>16051</v>
      </c>
      <c r="D13204" t="s">
        <v>17478</v>
      </c>
      <c r="E13204" t="s">
        <v>28791</v>
      </c>
      <c r="F13204" t="s">
        <v>30052</v>
      </c>
      <c r="G13204" t="s">
        <v>30058</v>
      </c>
      <c r="H13204" t="s">
        <v>30067</v>
      </c>
      <c r="I13204" t="s">
        <v>3693</v>
      </c>
      <c r="J13204" t="s">
        <v>38219</v>
      </c>
      <c r="K13204" t="s">
        <v>39031</v>
      </c>
      <c r="M13204" t="s">
        <v>42033</v>
      </c>
      <c r="N13204" t="s">
        <v>43166</v>
      </c>
      <c r="O13204" t="s">
        <v>43167</v>
      </c>
      <c r="P13204">
        <v>0</v>
      </c>
      <c r="Q13204">
        <v>0</v>
      </c>
      <c r="R13204" t="s">
        <v>43174</v>
      </c>
      <c r="S13204" t="s">
        <v>43396</v>
      </c>
      <c r="T13204" t="s">
        <v>44725</v>
      </c>
      <c r="U13204" t="s">
        <v>51891</v>
      </c>
      <c r="W13204" t="s">
        <v>42033</v>
      </c>
      <c r="X13204" t="s">
        <v>43175</v>
      </c>
    </row>
    <row r="13205" spans="1:24">
      <c r="A13205">
        <f>HYPERLINK("https://www.philgeps.gov.ph/GEPSNONPILOT/Tender/SplashBidNoticeAbstractUI.aspx?menuIndex=3&amp;refID=7075225&amp;Result=3","7075225")</f>
        <v>0</v>
      </c>
      <c r="B13205" t="s">
        <v>893</v>
      </c>
      <c r="C13205" t="s">
        <v>16052</v>
      </c>
      <c r="D13205" t="s">
        <v>17460</v>
      </c>
      <c r="E13205" t="s">
        <v>28792</v>
      </c>
      <c r="F13205" t="s">
        <v>30052</v>
      </c>
      <c r="G13205" t="s">
        <v>30058</v>
      </c>
      <c r="H13205" t="s">
        <v>30067</v>
      </c>
      <c r="I13205" t="s">
        <v>3693</v>
      </c>
      <c r="J13205" t="s">
        <v>30230</v>
      </c>
      <c r="K13205" t="s">
        <v>39017</v>
      </c>
      <c r="M13205" t="s">
        <v>40212</v>
      </c>
      <c r="N13205" t="s">
        <v>43166</v>
      </c>
      <c r="O13205" t="s">
        <v>43167</v>
      </c>
      <c r="P13205">
        <v>0</v>
      </c>
      <c r="Q13205">
        <v>3</v>
      </c>
      <c r="R13205" t="s">
        <v>43174</v>
      </c>
      <c r="S13205" t="s">
        <v>43396</v>
      </c>
      <c r="T13205" t="s">
        <v>44773</v>
      </c>
      <c r="U13205" t="s">
        <v>55694</v>
      </c>
      <c r="V13205" t="s">
        <v>58399</v>
      </c>
      <c r="W13205" t="s">
        <v>40212</v>
      </c>
      <c r="X13205" t="s">
        <v>43175</v>
      </c>
    </row>
    <row r="13206" spans="1:24">
      <c r="A13206">
        <f>HYPERLINK("https://www.philgeps.gov.ph/GEPSNONPILOT/Tender/SplashBidNoticeAbstractUI.aspx?menuIndex=3&amp;refID=7075221&amp;Result=3","7075221")</f>
        <v>0</v>
      </c>
      <c r="B13206" t="s">
        <v>820</v>
      </c>
      <c r="C13206" t="s">
        <v>16053</v>
      </c>
      <c r="E13206" t="s">
        <v>28793</v>
      </c>
      <c r="F13206" t="s">
        <v>30052</v>
      </c>
      <c r="G13206" t="s">
        <v>30059</v>
      </c>
      <c r="H13206" t="s">
        <v>15498</v>
      </c>
      <c r="I13206" t="s">
        <v>3852</v>
      </c>
      <c r="J13206" t="s">
        <v>30248</v>
      </c>
      <c r="K13206" t="s">
        <v>39034</v>
      </c>
      <c r="M13206" t="s">
        <v>40137</v>
      </c>
      <c r="N13206" t="s">
        <v>43166</v>
      </c>
      <c r="O13206" t="s">
        <v>43167</v>
      </c>
      <c r="P13206">
        <v>0</v>
      </c>
      <c r="Q13206">
        <v>1</v>
      </c>
      <c r="R13206" t="s">
        <v>43174</v>
      </c>
      <c r="S13206" t="s">
        <v>43396</v>
      </c>
      <c r="T13206" t="s">
        <v>44737</v>
      </c>
      <c r="U13206" t="s">
        <v>55695</v>
      </c>
      <c r="V13206" t="s">
        <v>57736</v>
      </c>
      <c r="W13206" t="s">
        <v>40137</v>
      </c>
      <c r="X13206" t="s">
        <v>43175</v>
      </c>
    </row>
    <row r="13207" spans="1:24">
      <c r="A13207">
        <f>HYPERLINK("https://www.philgeps.gov.ph/GEPSNONPILOT/Tender/SplashBidNoticeAbstractUI.aspx?menuIndex=3&amp;refID=7075181&amp;Result=3","7075181")</f>
        <v>0</v>
      </c>
      <c r="B13207" t="s">
        <v>1527</v>
      </c>
      <c r="C13207" t="s">
        <v>16054</v>
      </c>
      <c r="E13207" t="s">
        <v>28794</v>
      </c>
      <c r="F13207" t="s">
        <v>30052</v>
      </c>
      <c r="G13207" t="s">
        <v>30058</v>
      </c>
      <c r="H13207" t="s">
        <v>30067</v>
      </c>
      <c r="I13207" t="s">
        <v>3693</v>
      </c>
      <c r="J13207" t="s">
        <v>38220</v>
      </c>
      <c r="K13207" t="s">
        <v>39025</v>
      </c>
      <c r="M13207" t="s">
        <v>40913</v>
      </c>
      <c r="N13207" t="s">
        <v>43166</v>
      </c>
      <c r="O13207" t="s">
        <v>43167</v>
      </c>
      <c r="Q13207">
        <v>7</v>
      </c>
      <c r="R13207" t="s">
        <v>43174</v>
      </c>
      <c r="S13207" t="s">
        <v>44107</v>
      </c>
      <c r="T13207" t="s">
        <v>44716</v>
      </c>
      <c r="U13207" t="s">
        <v>55696</v>
      </c>
      <c r="W13207" t="s">
        <v>58643</v>
      </c>
      <c r="X13207" t="s">
        <v>43175</v>
      </c>
    </row>
    <row r="13208" spans="1:24">
      <c r="A13208">
        <f>HYPERLINK("https://www.philgeps.gov.ph/GEPSNONPILOT/Tender/SplashBidNoticeAbstractUI.aspx?menuIndex=3&amp;refID=7075178&amp;Result=3","7075178")</f>
        <v>0</v>
      </c>
      <c r="B13208" t="s">
        <v>3344</v>
      </c>
      <c r="C13208" t="s">
        <v>16055</v>
      </c>
      <c r="D13208" t="s">
        <v>17455</v>
      </c>
      <c r="E13208" t="s">
        <v>28795</v>
      </c>
      <c r="F13208" t="s">
        <v>30052</v>
      </c>
      <c r="G13208" t="s">
        <v>30058</v>
      </c>
      <c r="H13208" t="s">
        <v>30067</v>
      </c>
      <c r="I13208" t="s">
        <v>3693</v>
      </c>
      <c r="J13208" t="s">
        <v>31660</v>
      </c>
      <c r="K13208" t="s">
        <v>39056</v>
      </c>
      <c r="M13208" t="s">
        <v>42987</v>
      </c>
      <c r="N13208" t="s">
        <v>43166</v>
      </c>
      <c r="O13208" t="s">
        <v>43167</v>
      </c>
      <c r="P13208">
        <v>0</v>
      </c>
      <c r="Q13208">
        <v>0</v>
      </c>
      <c r="R13208" t="s">
        <v>43174</v>
      </c>
      <c r="S13208" t="s">
        <v>43396</v>
      </c>
      <c r="T13208" t="s">
        <v>44843</v>
      </c>
      <c r="U13208" t="s">
        <v>55697</v>
      </c>
      <c r="W13208" t="s">
        <v>42987</v>
      </c>
      <c r="X13208" t="s">
        <v>43175</v>
      </c>
    </row>
    <row r="13209" spans="1:24">
      <c r="A13209">
        <f>HYPERLINK("https://www.philgeps.gov.ph/GEPSNONPILOT/Tender/SplashBidNoticeAbstractUI.aspx?menuIndex=3&amp;refID=7072761&amp;Result=3","7072761")</f>
        <v>0</v>
      </c>
      <c r="B13209" t="s">
        <v>2770</v>
      </c>
      <c r="C13209" t="s">
        <v>16056</v>
      </c>
      <c r="E13209" t="s">
        <v>28796</v>
      </c>
      <c r="F13209" t="s">
        <v>30052</v>
      </c>
      <c r="G13209" t="s">
        <v>30058</v>
      </c>
      <c r="H13209" t="s">
        <v>30067</v>
      </c>
      <c r="I13209" t="s">
        <v>3693</v>
      </c>
      <c r="J13209" t="s">
        <v>38221</v>
      </c>
      <c r="K13209" t="s">
        <v>39029</v>
      </c>
      <c r="M13209" t="s">
        <v>42306</v>
      </c>
      <c r="N13209" t="s">
        <v>43166</v>
      </c>
      <c r="O13209" t="s">
        <v>43167</v>
      </c>
      <c r="P13209">
        <v>0</v>
      </c>
      <c r="Q13209">
        <v>0</v>
      </c>
      <c r="R13209" t="s">
        <v>43176</v>
      </c>
      <c r="S13209" t="s">
        <v>43481</v>
      </c>
      <c r="T13209" t="s">
        <v>44718</v>
      </c>
      <c r="U13209" t="s">
        <v>55698</v>
      </c>
      <c r="W13209" t="s">
        <v>42306</v>
      </c>
      <c r="X13209" t="s">
        <v>43177</v>
      </c>
    </row>
    <row r="13210" spans="1:24">
      <c r="A13210">
        <f>HYPERLINK("https://www.philgeps.gov.ph/GEPSNONPILOT/Tender/SplashBidNoticeAbstractUI.aspx?menuIndex=3&amp;refID=7075967&amp;Result=3","7075967")</f>
        <v>0</v>
      </c>
      <c r="B13210" t="s">
        <v>2679</v>
      </c>
      <c r="C13210" t="s">
        <v>16057</v>
      </c>
      <c r="D13210" t="s">
        <v>17445</v>
      </c>
      <c r="E13210" t="s">
        <v>28797</v>
      </c>
      <c r="F13210" t="s">
        <v>30052</v>
      </c>
      <c r="G13210" t="s">
        <v>30058</v>
      </c>
      <c r="H13210" t="s">
        <v>30067</v>
      </c>
      <c r="I13210" t="s">
        <v>3693</v>
      </c>
      <c r="J13210" t="s">
        <v>38222</v>
      </c>
      <c r="K13210" t="s">
        <v>39016</v>
      </c>
      <c r="M13210" t="s">
        <v>42199</v>
      </c>
      <c r="N13210" t="s">
        <v>43166</v>
      </c>
      <c r="O13210" t="s">
        <v>43167</v>
      </c>
      <c r="P13210">
        <v>0</v>
      </c>
      <c r="Q13210">
        <v>1</v>
      </c>
      <c r="R13210" t="s">
        <v>43174</v>
      </c>
      <c r="S13210" t="s">
        <v>43396</v>
      </c>
      <c r="T13210" t="s">
        <v>44815</v>
      </c>
      <c r="U13210" t="s">
        <v>52417</v>
      </c>
      <c r="W13210" t="s">
        <v>42199</v>
      </c>
      <c r="X13210" t="s">
        <v>43175</v>
      </c>
    </row>
    <row r="13211" spans="1:24">
      <c r="A13211">
        <f>HYPERLINK("https://www.philgeps.gov.ph/GEPSNONPILOT/Tender/SplashBidNoticeAbstractUI.aspx?menuIndex=3&amp;refID=7075184&amp;Result=3","7075184")</f>
        <v>0</v>
      </c>
      <c r="B13211" t="s">
        <v>980</v>
      </c>
      <c r="C13211" t="s">
        <v>16058</v>
      </c>
      <c r="D13211" t="s">
        <v>17437</v>
      </c>
      <c r="E13211" t="s">
        <v>28798</v>
      </c>
      <c r="F13211" t="s">
        <v>30052</v>
      </c>
      <c r="G13211" t="s">
        <v>30058</v>
      </c>
      <c r="H13211" t="s">
        <v>30068</v>
      </c>
      <c r="I13211" t="s">
        <v>30068</v>
      </c>
      <c r="J13211" t="s">
        <v>31290</v>
      </c>
      <c r="K13211" t="s">
        <v>39023</v>
      </c>
      <c r="M13211" t="s">
        <v>40307</v>
      </c>
      <c r="N13211" t="s">
        <v>43166</v>
      </c>
      <c r="O13211" t="s">
        <v>43167</v>
      </c>
      <c r="P13211">
        <v>0</v>
      </c>
      <c r="Q13211">
        <v>7</v>
      </c>
      <c r="R13211" t="s">
        <v>43174</v>
      </c>
      <c r="S13211" t="s">
        <v>43396</v>
      </c>
      <c r="T13211" t="s">
        <v>44773</v>
      </c>
      <c r="U13211" t="s">
        <v>55699</v>
      </c>
      <c r="W13211" t="s">
        <v>40307</v>
      </c>
      <c r="X13211" t="s">
        <v>43175</v>
      </c>
    </row>
    <row r="13212" spans="1:24">
      <c r="A13212">
        <f>HYPERLINK("https://www.philgeps.gov.ph/GEPSNONPILOT/Tender/SplashBidNoticeAbstractUI.aspx?menuIndex=3&amp;refID=7051691&amp;Result=3","7051691")</f>
        <v>0</v>
      </c>
      <c r="B13212" t="s">
        <v>2656</v>
      </c>
      <c r="C13212" t="s">
        <v>16059</v>
      </c>
      <c r="D13212" t="s">
        <v>17458</v>
      </c>
      <c r="E13212" t="s">
        <v>28799</v>
      </c>
      <c r="F13212" t="s">
        <v>30052</v>
      </c>
      <c r="G13212" t="s">
        <v>30058</v>
      </c>
      <c r="H13212" t="s">
        <v>30067</v>
      </c>
      <c r="I13212" t="s">
        <v>3693</v>
      </c>
      <c r="J13212" t="s">
        <v>31732</v>
      </c>
      <c r="K13212" t="s">
        <v>39025</v>
      </c>
      <c r="L13212" t="s">
        <v>2656</v>
      </c>
      <c r="M13212" t="s">
        <v>42174</v>
      </c>
      <c r="N13212" t="s">
        <v>43166</v>
      </c>
      <c r="O13212" t="s">
        <v>43167</v>
      </c>
      <c r="Q13212">
        <v>1</v>
      </c>
      <c r="R13212" t="s">
        <v>43186</v>
      </c>
      <c r="S13212" t="s">
        <v>43953</v>
      </c>
      <c r="T13212" t="s">
        <v>44842</v>
      </c>
      <c r="U13212" t="s">
        <v>55638</v>
      </c>
      <c r="V13212" t="s">
        <v>57765</v>
      </c>
      <c r="W13212" t="s">
        <v>42174</v>
      </c>
      <c r="X13212" t="s">
        <v>43187</v>
      </c>
    </row>
    <row r="13213" spans="1:24">
      <c r="A13213">
        <f>HYPERLINK("https://www.philgeps.gov.ph/GEPSNONPILOT/Tender/SplashBidNoticeAbstractUI.aspx?menuIndex=3&amp;refID=7051685&amp;Result=3","7051685")</f>
        <v>0</v>
      </c>
      <c r="B13213" t="s">
        <v>3345</v>
      </c>
      <c r="C13213" t="s">
        <v>16060</v>
      </c>
      <c r="D13213" t="s">
        <v>17445</v>
      </c>
      <c r="E13213" t="s">
        <v>28800</v>
      </c>
      <c r="F13213" t="s">
        <v>30052</v>
      </c>
      <c r="G13213" t="s">
        <v>30058</v>
      </c>
      <c r="H13213" t="s">
        <v>15498</v>
      </c>
      <c r="I13213" t="s">
        <v>30101</v>
      </c>
      <c r="J13213" t="s">
        <v>30281</v>
      </c>
      <c r="K13213" t="s">
        <v>39031</v>
      </c>
      <c r="M13213" t="s">
        <v>42988</v>
      </c>
      <c r="N13213" t="s">
        <v>43166</v>
      </c>
      <c r="O13213" t="s">
        <v>43167</v>
      </c>
      <c r="Q13213">
        <v>7</v>
      </c>
      <c r="R13213" t="s">
        <v>43186</v>
      </c>
      <c r="S13213" t="s">
        <v>44108</v>
      </c>
      <c r="T13213" t="s">
        <v>44698</v>
      </c>
      <c r="U13213" t="s">
        <v>55700</v>
      </c>
      <c r="W13213" t="s">
        <v>42988</v>
      </c>
      <c r="X13213" t="s">
        <v>43187</v>
      </c>
    </row>
    <row r="13214" spans="1:24">
      <c r="A13214">
        <f>HYPERLINK("https://www.philgeps.gov.ph/GEPSNONPILOT/Tender/SplashBidNoticeAbstractUI.aspx?menuIndex=3&amp;refID=7051677&amp;Result=3","7051677")</f>
        <v>0</v>
      </c>
      <c r="B13214" t="s">
        <v>222</v>
      </c>
      <c r="C13214" t="s">
        <v>16061</v>
      </c>
      <c r="D13214" t="s">
        <v>17456</v>
      </c>
      <c r="E13214" t="s">
        <v>24122</v>
      </c>
      <c r="F13214" t="s">
        <v>30052</v>
      </c>
      <c r="G13214" t="s">
        <v>30058</v>
      </c>
      <c r="H13214" t="s">
        <v>30067</v>
      </c>
      <c r="I13214" t="s">
        <v>3693</v>
      </c>
      <c r="J13214" t="s">
        <v>30281</v>
      </c>
      <c r="K13214" t="s">
        <v>39022</v>
      </c>
      <c r="M13214" t="s">
        <v>39512</v>
      </c>
      <c r="N13214" t="s">
        <v>43166</v>
      </c>
      <c r="O13214" t="s">
        <v>43167</v>
      </c>
      <c r="P13214">
        <v>0</v>
      </c>
      <c r="Q13214">
        <v>3</v>
      </c>
      <c r="R13214" t="s">
        <v>43186</v>
      </c>
      <c r="S13214" t="s">
        <v>44047</v>
      </c>
      <c r="T13214" t="s">
        <v>44787</v>
      </c>
      <c r="U13214" t="s">
        <v>55701</v>
      </c>
      <c r="W13214" t="s">
        <v>39512</v>
      </c>
      <c r="X13214" t="s">
        <v>43187</v>
      </c>
    </row>
    <row r="13215" spans="1:24">
      <c r="A13215">
        <f>HYPERLINK("https://www.philgeps.gov.ph/GEPSNONPILOT/Tender/SplashBidNoticeAbstractUI.aspx?menuIndex=3&amp;refID=7075179&amp;Result=3","7075179")</f>
        <v>0</v>
      </c>
      <c r="B13215" t="s">
        <v>841</v>
      </c>
      <c r="C13215" t="s">
        <v>16062</v>
      </c>
      <c r="D13215" t="s">
        <v>17456</v>
      </c>
      <c r="E13215" t="s">
        <v>28801</v>
      </c>
      <c r="F13215" t="s">
        <v>30052</v>
      </c>
      <c r="G13215" t="s">
        <v>30058</v>
      </c>
      <c r="H13215" t="s">
        <v>15498</v>
      </c>
      <c r="I13215" t="s">
        <v>30144</v>
      </c>
      <c r="J13215" t="s">
        <v>38223</v>
      </c>
      <c r="K13215" t="s">
        <v>39019</v>
      </c>
      <c r="M13215" t="s">
        <v>40158</v>
      </c>
      <c r="N13215" t="s">
        <v>43166</v>
      </c>
      <c r="O13215" t="s">
        <v>43167</v>
      </c>
      <c r="P13215">
        <v>0</v>
      </c>
      <c r="Q13215">
        <v>1</v>
      </c>
      <c r="R13215" t="s">
        <v>43174</v>
      </c>
      <c r="S13215" t="s">
        <v>43396</v>
      </c>
      <c r="T13215" t="s">
        <v>44685</v>
      </c>
      <c r="U13215" t="s">
        <v>55702</v>
      </c>
      <c r="W13215" t="s">
        <v>40158</v>
      </c>
      <c r="X13215" t="s">
        <v>43175</v>
      </c>
    </row>
    <row r="13216" spans="1:24">
      <c r="A13216">
        <f>HYPERLINK("https://www.philgeps.gov.ph/GEPSNONPILOT/Tender/SplashBidNoticeAbstractUI.aspx?menuIndex=3&amp;refID=7075562&amp;Result=3","7075562")</f>
        <v>0</v>
      </c>
      <c r="B13216" t="s">
        <v>2318</v>
      </c>
      <c r="C13216" t="s">
        <v>16063</v>
      </c>
      <c r="D13216" t="s">
        <v>17473</v>
      </c>
      <c r="E13216" t="s">
        <v>28802</v>
      </c>
      <c r="F13216" t="s">
        <v>30052</v>
      </c>
      <c r="G13216" t="s">
        <v>30059</v>
      </c>
      <c r="H13216" t="s">
        <v>15498</v>
      </c>
      <c r="I13216" t="s">
        <v>9238</v>
      </c>
      <c r="J13216" t="s">
        <v>38224</v>
      </c>
      <c r="K13216" t="s">
        <v>39029</v>
      </c>
      <c r="M13216" t="s">
        <v>41804</v>
      </c>
      <c r="N13216" t="s">
        <v>43166</v>
      </c>
      <c r="O13216" t="s">
        <v>43167</v>
      </c>
      <c r="P13216">
        <v>0</v>
      </c>
      <c r="Q13216">
        <v>1</v>
      </c>
      <c r="R13216" t="s">
        <v>43174</v>
      </c>
      <c r="S13216" t="s">
        <v>43396</v>
      </c>
      <c r="T13216" t="s">
        <v>44806</v>
      </c>
      <c r="U13216" t="s">
        <v>55703</v>
      </c>
      <c r="W13216" t="s">
        <v>41804</v>
      </c>
      <c r="X13216" t="s">
        <v>43175</v>
      </c>
    </row>
    <row r="13217" spans="1:24">
      <c r="A13217">
        <f>HYPERLINK("https://www.philgeps.gov.ph/GEPSNONPILOT/Tender/SplashBidNoticeAbstractUI.aspx?menuIndex=3&amp;refID=7051668&amp;Result=3","7051668")</f>
        <v>0</v>
      </c>
      <c r="B13217" t="s">
        <v>1059</v>
      </c>
      <c r="C13217" t="s">
        <v>16064</v>
      </c>
      <c r="D13217" t="s">
        <v>17432</v>
      </c>
      <c r="E13217" t="s">
        <v>28803</v>
      </c>
      <c r="F13217" t="s">
        <v>30052</v>
      </c>
      <c r="G13217" t="s">
        <v>30058</v>
      </c>
      <c r="H13217" t="s">
        <v>15498</v>
      </c>
      <c r="I13217" t="s">
        <v>30076</v>
      </c>
      <c r="J13217" t="s">
        <v>30239</v>
      </c>
      <c r="K13217" t="s">
        <v>39031</v>
      </c>
      <c r="M13217" t="s">
        <v>40394</v>
      </c>
      <c r="N13217" t="s">
        <v>43166</v>
      </c>
      <c r="O13217" t="s">
        <v>43167</v>
      </c>
      <c r="P13217">
        <v>0</v>
      </c>
      <c r="Q13217">
        <v>10</v>
      </c>
      <c r="R13217" t="s">
        <v>43186</v>
      </c>
      <c r="S13217" t="s">
        <v>44047</v>
      </c>
      <c r="T13217" t="s">
        <v>44832</v>
      </c>
      <c r="U13217" t="s">
        <v>55704</v>
      </c>
      <c r="V13217" t="s">
        <v>57136</v>
      </c>
      <c r="W13217" t="s">
        <v>40394</v>
      </c>
      <c r="X13217" t="s">
        <v>43187</v>
      </c>
    </row>
    <row r="13218" spans="1:24">
      <c r="A13218">
        <f>HYPERLINK("https://www.philgeps.gov.ph/GEPSNONPILOT/Tender/SplashBidNoticeAbstractUI.aspx?menuIndex=3&amp;refID=7051667&amp;Result=3","7051667")</f>
        <v>0</v>
      </c>
      <c r="B13218" t="s">
        <v>2871</v>
      </c>
      <c r="C13218" t="s">
        <v>16065</v>
      </c>
      <c r="D13218" t="s">
        <v>17475</v>
      </c>
      <c r="E13218" t="s">
        <v>11577</v>
      </c>
      <c r="F13218" t="s">
        <v>30052</v>
      </c>
      <c r="G13218" t="s">
        <v>30058</v>
      </c>
      <c r="H13218" t="s">
        <v>15498</v>
      </c>
      <c r="I13218" t="s">
        <v>4598</v>
      </c>
      <c r="J13218" t="s">
        <v>30208</v>
      </c>
      <c r="K13218" t="s">
        <v>39017</v>
      </c>
      <c r="M13218" t="s">
        <v>42419</v>
      </c>
      <c r="N13218" t="s">
        <v>43166</v>
      </c>
      <c r="O13218" t="s">
        <v>43167</v>
      </c>
      <c r="P13218">
        <v>0</v>
      </c>
      <c r="Q13218">
        <v>4</v>
      </c>
      <c r="R13218" t="s">
        <v>43186</v>
      </c>
      <c r="S13218" t="s">
        <v>44047</v>
      </c>
      <c r="T13218" t="s">
        <v>44856</v>
      </c>
      <c r="U13218" t="s">
        <v>55705</v>
      </c>
      <c r="W13218" t="s">
        <v>42419</v>
      </c>
      <c r="X13218" t="s">
        <v>43187</v>
      </c>
    </row>
    <row r="13219" spans="1:24">
      <c r="A13219">
        <f>HYPERLINK("https://www.philgeps.gov.ph/GEPSNONPILOT/Tender/SplashBidNoticeAbstractUI.aspx?menuIndex=3&amp;refID=7051657&amp;Result=3","7051657")</f>
        <v>0</v>
      </c>
      <c r="B13219" t="s">
        <v>723</v>
      </c>
      <c r="C13219" t="s">
        <v>8769</v>
      </c>
      <c r="D13219" t="s">
        <v>17459</v>
      </c>
      <c r="E13219" t="s">
        <v>28804</v>
      </c>
      <c r="F13219" t="s">
        <v>30052</v>
      </c>
      <c r="G13219" t="s">
        <v>30058</v>
      </c>
      <c r="H13219" t="s">
        <v>15498</v>
      </c>
      <c r="I13219" t="s">
        <v>30073</v>
      </c>
      <c r="J13219" t="s">
        <v>38225</v>
      </c>
      <c r="K13219" t="s">
        <v>39046</v>
      </c>
      <c r="M13219" t="s">
        <v>40034</v>
      </c>
      <c r="N13219" t="s">
        <v>43166</v>
      </c>
      <c r="O13219" t="s">
        <v>43167</v>
      </c>
      <c r="P13219">
        <v>0</v>
      </c>
      <c r="Q13219">
        <v>1</v>
      </c>
      <c r="R13219" t="s">
        <v>43186</v>
      </c>
      <c r="S13219" t="s">
        <v>44047</v>
      </c>
      <c r="T13219" t="s">
        <v>44832</v>
      </c>
      <c r="U13219" t="s">
        <v>55706</v>
      </c>
      <c r="W13219" t="s">
        <v>40034</v>
      </c>
      <c r="X13219" t="s">
        <v>43187</v>
      </c>
    </row>
    <row r="13220" spans="1:24">
      <c r="A13220">
        <f>HYPERLINK("https://www.philgeps.gov.ph/GEPSNONPILOT/Tender/SplashBidNoticeAbstractUI.aspx?menuIndex=3&amp;refID=7051683&amp;Result=3","7051683")</f>
        <v>0</v>
      </c>
      <c r="B13220" t="s">
        <v>3346</v>
      </c>
      <c r="C13220" t="s">
        <v>16066</v>
      </c>
      <c r="D13220" t="s">
        <v>17485</v>
      </c>
      <c r="E13220" t="s">
        <v>28805</v>
      </c>
      <c r="F13220" t="s">
        <v>30052</v>
      </c>
      <c r="G13220" t="s">
        <v>30058</v>
      </c>
      <c r="H13220" t="s">
        <v>30067</v>
      </c>
      <c r="I13220" t="s">
        <v>3693</v>
      </c>
      <c r="J13220" t="s">
        <v>38226</v>
      </c>
      <c r="K13220" t="s">
        <v>39026</v>
      </c>
      <c r="M13220" t="s">
        <v>42989</v>
      </c>
      <c r="N13220" t="s">
        <v>43166</v>
      </c>
      <c r="O13220" t="s">
        <v>43167</v>
      </c>
      <c r="Q13220">
        <v>0</v>
      </c>
      <c r="R13220" t="s">
        <v>43186</v>
      </c>
      <c r="S13220" t="s">
        <v>44109</v>
      </c>
      <c r="T13220" t="s">
        <v>44844</v>
      </c>
      <c r="U13220" t="s">
        <v>55707</v>
      </c>
      <c r="W13220" t="s">
        <v>42989</v>
      </c>
      <c r="X13220" t="s">
        <v>43187</v>
      </c>
    </row>
    <row r="13221" spans="1:24">
      <c r="A13221">
        <f>HYPERLINK("https://www.philgeps.gov.ph/GEPSNONPILOT/Tender/SplashBidNoticeAbstractUI.aspx?menuIndex=3&amp;refID=7051695&amp;Result=3","7051695")</f>
        <v>0</v>
      </c>
      <c r="B13221" t="s">
        <v>2470</v>
      </c>
      <c r="C13221" t="s">
        <v>16067</v>
      </c>
      <c r="D13221" t="s">
        <v>17419</v>
      </c>
      <c r="E13221" t="s">
        <v>28806</v>
      </c>
      <c r="F13221" t="s">
        <v>30052</v>
      </c>
      <c r="G13221" t="s">
        <v>30058</v>
      </c>
      <c r="H13221" t="s">
        <v>15498</v>
      </c>
      <c r="I13221" t="s">
        <v>3736</v>
      </c>
      <c r="J13221" t="s">
        <v>38227</v>
      </c>
      <c r="K13221" t="s">
        <v>39017</v>
      </c>
      <c r="M13221" t="s">
        <v>41970</v>
      </c>
      <c r="N13221" t="s">
        <v>43166</v>
      </c>
      <c r="O13221" t="s">
        <v>43167</v>
      </c>
      <c r="P13221">
        <v>0</v>
      </c>
      <c r="Q13221">
        <v>0</v>
      </c>
      <c r="R13221" t="s">
        <v>43186</v>
      </c>
      <c r="S13221" t="s">
        <v>44047</v>
      </c>
      <c r="T13221" t="s">
        <v>44969</v>
      </c>
      <c r="U13221" t="s">
        <v>55708</v>
      </c>
      <c r="W13221" t="s">
        <v>41970</v>
      </c>
      <c r="X13221" t="s">
        <v>43187</v>
      </c>
    </row>
    <row r="13222" spans="1:24">
      <c r="A13222">
        <f>HYPERLINK("https://www.philgeps.gov.ph/GEPSNONPILOT/Tender/SplashBidNoticeAbstractUI.aspx?menuIndex=3&amp;refID=7051800&amp;Result=3","7051800")</f>
        <v>0</v>
      </c>
      <c r="B13222" t="s">
        <v>1059</v>
      </c>
      <c r="C13222" t="s">
        <v>16068</v>
      </c>
      <c r="D13222" t="s">
        <v>17432</v>
      </c>
      <c r="E13222" t="s">
        <v>28807</v>
      </c>
      <c r="F13222" t="s">
        <v>30052</v>
      </c>
      <c r="G13222" t="s">
        <v>30058</v>
      </c>
      <c r="H13222" t="s">
        <v>15498</v>
      </c>
      <c r="I13222" t="s">
        <v>4119</v>
      </c>
      <c r="J13222" t="s">
        <v>38228</v>
      </c>
      <c r="K13222" t="s">
        <v>39029</v>
      </c>
      <c r="M13222" t="s">
        <v>40394</v>
      </c>
      <c r="N13222" t="s">
        <v>43166</v>
      </c>
      <c r="O13222" t="s">
        <v>43167</v>
      </c>
      <c r="Q13222">
        <v>7</v>
      </c>
      <c r="R13222" t="s">
        <v>43186</v>
      </c>
      <c r="S13222" t="s">
        <v>44110</v>
      </c>
      <c r="T13222" t="s">
        <v>44832</v>
      </c>
      <c r="U13222" t="s">
        <v>55709</v>
      </c>
      <c r="V13222" t="s">
        <v>57136</v>
      </c>
      <c r="W13222" t="s">
        <v>40394</v>
      </c>
      <c r="X13222" t="s">
        <v>43187</v>
      </c>
    </row>
    <row r="13223" spans="1:24">
      <c r="A13223">
        <f>HYPERLINK("https://www.philgeps.gov.ph/GEPSNONPILOT/Tender/SplashBidNoticeAbstractUI.aspx?menuIndex=3&amp;refID=7051672&amp;Result=3","7051672")</f>
        <v>0</v>
      </c>
      <c r="B13223" t="s">
        <v>2656</v>
      </c>
      <c r="C13223" t="s">
        <v>16069</v>
      </c>
      <c r="D13223" t="s">
        <v>17458</v>
      </c>
      <c r="E13223" t="s">
        <v>28808</v>
      </c>
      <c r="F13223" t="s">
        <v>30052</v>
      </c>
      <c r="G13223" t="s">
        <v>30058</v>
      </c>
      <c r="H13223" t="s">
        <v>30067</v>
      </c>
      <c r="I13223" t="s">
        <v>3693</v>
      </c>
      <c r="J13223" t="s">
        <v>38229</v>
      </c>
      <c r="K13223" t="s">
        <v>39025</v>
      </c>
      <c r="L13223" t="s">
        <v>2656</v>
      </c>
      <c r="M13223" t="s">
        <v>42174</v>
      </c>
      <c r="N13223" t="s">
        <v>43166</v>
      </c>
      <c r="O13223" t="s">
        <v>43167</v>
      </c>
      <c r="Q13223">
        <v>2</v>
      </c>
      <c r="R13223" t="s">
        <v>43186</v>
      </c>
      <c r="S13223" t="s">
        <v>44111</v>
      </c>
      <c r="T13223" t="s">
        <v>44842</v>
      </c>
      <c r="U13223" t="s">
        <v>55638</v>
      </c>
      <c r="V13223" t="s">
        <v>57765</v>
      </c>
      <c r="W13223" t="s">
        <v>42174</v>
      </c>
      <c r="X13223" t="s">
        <v>43187</v>
      </c>
    </row>
    <row r="13224" spans="1:24">
      <c r="A13224">
        <f>HYPERLINK("https://www.philgeps.gov.ph/GEPSNONPILOT/Tender/SplashBidNoticeAbstractUI.aspx?menuIndex=3&amp;refID=7051797&amp;Result=3","7051797")</f>
        <v>0</v>
      </c>
      <c r="B13224" t="s">
        <v>2320</v>
      </c>
      <c r="C13224" t="s">
        <v>16070</v>
      </c>
      <c r="D13224" t="s">
        <v>17462</v>
      </c>
      <c r="E13224" t="s">
        <v>28809</v>
      </c>
      <c r="F13224" t="s">
        <v>30052</v>
      </c>
      <c r="G13224" t="s">
        <v>30058</v>
      </c>
      <c r="H13224" t="s">
        <v>30067</v>
      </c>
      <c r="I13224" t="s">
        <v>3693</v>
      </c>
      <c r="J13224" t="s">
        <v>30247</v>
      </c>
      <c r="K13224" t="s">
        <v>39054</v>
      </c>
      <c r="M13224" t="s">
        <v>41819</v>
      </c>
      <c r="N13224" t="s">
        <v>43166</v>
      </c>
      <c r="O13224" t="s">
        <v>43167</v>
      </c>
      <c r="P13224">
        <v>0</v>
      </c>
      <c r="Q13224">
        <v>26</v>
      </c>
      <c r="R13224" t="s">
        <v>43186</v>
      </c>
      <c r="S13224" t="s">
        <v>44047</v>
      </c>
      <c r="T13224" t="s">
        <v>44870</v>
      </c>
      <c r="U13224" t="s">
        <v>51193</v>
      </c>
      <c r="V13224" t="s">
        <v>58173</v>
      </c>
      <c r="W13224" t="s">
        <v>58688</v>
      </c>
      <c r="X13224" t="s">
        <v>43187</v>
      </c>
    </row>
    <row r="13225" spans="1:24">
      <c r="A13225">
        <f>HYPERLINK("https://www.philgeps.gov.ph/GEPSNONPILOT/Tender/SplashBidNoticeAbstractUI.aspx?menuIndex=3&amp;refID=7075224&amp;Result=3","7075224")</f>
        <v>0</v>
      </c>
      <c r="B13225" t="s">
        <v>2635</v>
      </c>
      <c r="C13225" t="s">
        <v>16071</v>
      </c>
      <c r="D13225" t="s">
        <v>17453</v>
      </c>
      <c r="E13225" t="s">
        <v>28810</v>
      </c>
      <c r="F13225" t="s">
        <v>30052</v>
      </c>
      <c r="G13225" t="s">
        <v>30058</v>
      </c>
      <c r="H13225" t="s">
        <v>30067</v>
      </c>
      <c r="I13225" t="s">
        <v>3693</v>
      </c>
      <c r="J13225" t="s">
        <v>38230</v>
      </c>
      <c r="K13225" t="s">
        <v>39043</v>
      </c>
      <c r="M13225" t="s">
        <v>42153</v>
      </c>
      <c r="N13225" t="s">
        <v>43166</v>
      </c>
      <c r="O13225" t="s">
        <v>43167</v>
      </c>
      <c r="P13225">
        <v>0</v>
      </c>
      <c r="Q13225">
        <v>0</v>
      </c>
      <c r="R13225" t="s">
        <v>43174</v>
      </c>
      <c r="S13225" t="s">
        <v>43396</v>
      </c>
      <c r="T13225" t="s">
        <v>44724</v>
      </c>
      <c r="U13225" t="s">
        <v>55710</v>
      </c>
      <c r="V13225" t="s">
        <v>57751</v>
      </c>
      <c r="W13225" t="s">
        <v>42153</v>
      </c>
      <c r="X13225" t="s">
        <v>43175</v>
      </c>
    </row>
    <row r="13226" spans="1:24">
      <c r="A13226">
        <f>HYPERLINK("https://www.philgeps.gov.ph/GEPSNONPILOT/Tender/SplashBidNoticeAbstractUI.aspx?menuIndex=3&amp;refID=7051646&amp;Result=3","7051646")</f>
        <v>0</v>
      </c>
      <c r="B13226" t="s">
        <v>1976</v>
      </c>
      <c r="C13226" t="s">
        <v>16072</v>
      </c>
      <c r="E13226" t="s">
        <v>28811</v>
      </c>
      <c r="F13226" t="s">
        <v>30052</v>
      </c>
      <c r="G13226" t="s">
        <v>30059</v>
      </c>
      <c r="H13226" t="s">
        <v>15498</v>
      </c>
      <c r="I13226" t="s">
        <v>30102</v>
      </c>
      <c r="J13226" t="s">
        <v>38231</v>
      </c>
      <c r="K13226" t="s">
        <v>39025</v>
      </c>
      <c r="M13226" t="s">
        <v>41417</v>
      </c>
      <c r="N13226" t="s">
        <v>43166</v>
      </c>
      <c r="O13226" t="s">
        <v>43167</v>
      </c>
      <c r="Q13226">
        <v>9</v>
      </c>
      <c r="R13226" t="s">
        <v>43186</v>
      </c>
      <c r="S13226" t="s">
        <v>44112</v>
      </c>
      <c r="T13226" t="s">
        <v>44832</v>
      </c>
      <c r="U13226" t="s">
        <v>50045</v>
      </c>
      <c r="W13226" t="s">
        <v>41417</v>
      </c>
      <c r="X13226" t="s">
        <v>43187</v>
      </c>
    </row>
    <row r="13227" spans="1:24">
      <c r="A13227">
        <f>HYPERLINK("https://www.philgeps.gov.ph/GEPSNONPILOT/Tender/SplashBidNoticeAbstractUI.aspx?menuIndex=3&amp;refID=7051651&amp;Result=3","7051651")</f>
        <v>0</v>
      </c>
      <c r="B13227" t="s">
        <v>1804</v>
      </c>
      <c r="C13227" t="s">
        <v>16073</v>
      </c>
      <c r="E13227" t="s">
        <v>28812</v>
      </c>
      <c r="F13227" t="s">
        <v>30052</v>
      </c>
      <c r="G13227" t="s">
        <v>30058</v>
      </c>
      <c r="H13227" t="s">
        <v>15498</v>
      </c>
      <c r="I13227" t="s">
        <v>30092</v>
      </c>
      <c r="J13227" t="s">
        <v>38232</v>
      </c>
      <c r="K13227" t="s">
        <v>39025</v>
      </c>
      <c r="M13227" t="s">
        <v>41227</v>
      </c>
      <c r="N13227" t="s">
        <v>43166</v>
      </c>
      <c r="O13227" t="s">
        <v>43167</v>
      </c>
      <c r="P13227">
        <v>0</v>
      </c>
      <c r="Q13227">
        <v>5</v>
      </c>
      <c r="R13227" t="s">
        <v>43186</v>
      </c>
      <c r="S13227" t="s">
        <v>44047</v>
      </c>
      <c r="T13227" t="s">
        <v>44753</v>
      </c>
      <c r="U13227" t="s">
        <v>55711</v>
      </c>
      <c r="W13227" t="s">
        <v>41227</v>
      </c>
      <c r="X13227" t="s">
        <v>43187</v>
      </c>
    </row>
    <row r="13228" spans="1:24">
      <c r="A13228">
        <f>HYPERLINK("https://www.philgeps.gov.ph/GEPSNONPILOT/Tender/SplashBidNoticeAbstractUI.aspx?menuIndex=3&amp;refID=7051783&amp;Result=3","7051783")</f>
        <v>0</v>
      </c>
      <c r="B13228" t="s">
        <v>222</v>
      </c>
      <c r="C13228" t="s">
        <v>16074</v>
      </c>
      <c r="D13228" t="s">
        <v>17456</v>
      </c>
      <c r="E13228" t="s">
        <v>22983</v>
      </c>
      <c r="F13228" t="s">
        <v>30052</v>
      </c>
      <c r="G13228" t="s">
        <v>30058</v>
      </c>
      <c r="H13228" t="s">
        <v>30067</v>
      </c>
      <c r="I13228" t="s">
        <v>3693</v>
      </c>
      <c r="J13228" t="s">
        <v>38233</v>
      </c>
      <c r="K13228" t="s">
        <v>39026</v>
      </c>
      <c r="M13228" t="s">
        <v>39512</v>
      </c>
      <c r="N13228" t="s">
        <v>43166</v>
      </c>
      <c r="O13228" t="s">
        <v>43167</v>
      </c>
      <c r="P13228">
        <v>0</v>
      </c>
      <c r="Q13228">
        <v>5</v>
      </c>
      <c r="R13228" t="s">
        <v>43186</v>
      </c>
      <c r="S13228" t="s">
        <v>44047</v>
      </c>
      <c r="T13228" t="s">
        <v>44787</v>
      </c>
      <c r="U13228" t="s">
        <v>55712</v>
      </c>
      <c r="W13228" t="s">
        <v>39512</v>
      </c>
      <c r="X13228" t="s">
        <v>43187</v>
      </c>
    </row>
    <row r="13229" spans="1:24">
      <c r="A13229">
        <f>HYPERLINK("https://www.philgeps.gov.ph/GEPSNONPILOT/Tender/SplashBidNoticeAbstractUI.aspx?menuIndex=3&amp;refID=7051790&amp;Result=3","7051790")</f>
        <v>0</v>
      </c>
      <c r="B13229" t="s">
        <v>2470</v>
      </c>
      <c r="C13229" t="s">
        <v>16075</v>
      </c>
      <c r="D13229" t="s">
        <v>17419</v>
      </c>
      <c r="E13229" t="s">
        <v>28813</v>
      </c>
      <c r="F13229" t="s">
        <v>30052</v>
      </c>
      <c r="G13229" t="s">
        <v>30058</v>
      </c>
      <c r="H13229" t="s">
        <v>15498</v>
      </c>
      <c r="I13229" t="s">
        <v>30074</v>
      </c>
      <c r="J13229" t="s">
        <v>30605</v>
      </c>
      <c r="K13229" t="s">
        <v>39017</v>
      </c>
      <c r="M13229" t="s">
        <v>41970</v>
      </c>
      <c r="N13229" t="s">
        <v>43166</v>
      </c>
      <c r="O13229" t="s">
        <v>43167</v>
      </c>
      <c r="P13229">
        <v>0</v>
      </c>
      <c r="Q13229">
        <v>0</v>
      </c>
      <c r="R13229" t="s">
        <v>43186</v>
      </c>
      <c r="S13229" t="s">
        <v>44047</v>
      </c>
      <c r="T13229" t="s">
        <v>44798</v>
      </c>
      <c r="U13229" t="s">
        <v>55713</v>
      </c>
      <c r="W13229" t="s">
        <v>41970</v>
      </c>
      <c r="X13229" t="s">
        <v>43187</v>
      </c>
    </row>
    <row r="13230" spans="1:24">
      <c r="A13230">
        <f>HYPERLINK("https://www.philgeps.gov.ph/GEPSNONPILOT/Tender/SplashBidNoticeAbstractUI.aspx?menuIndex=3&amp;refID=7051794&amp;Result=3","7051794")</f>
        <v>0</v>
      </c>
      <c r="B13230" t="s">
        <v>2656</v>
      </c>
      <c r="C13230" t="s">
        <v>16076</v>
      </c>
      <c r="D13230" t="s">
        <v>17458</v>
      </c>
      <c r="E13230" t="s">
        <v>28814</v>
      </c>
      <c r="F13230" t="s">
        <v>30052</v>
      </c>
      <c r="G13230" t="s">
        <v>30058</v>
      </c>
      <c r="H13230" t="s">
        <v>30067</v>
      </c>
      <c r="I13230" t="s">
        <v>3693</v>
      </c>
      <c r="J13230" t="s">
        <v>30397</v>
      </c>
      <c r="K13230" t="s">
        <v>39025</v>
      </c>
      <c r="L13230" t="s">
        <v>2656</v>
      </c>
      <c r="M13230" t="s">
        <v>42174</v>
      </c>
      <c r="N13230" t="s">
        <v>43166</v>
      </c>
      <c r="O13230" t="s">
        <v>43167</v>
      </c>
      <c r="P13230">
        <v>0</v>
      </c>
      <c r="Q13230">
        <v>0</v>
      </c>
      <c r="R13230" t="s">
        <v>43186</v>
      </c>
      <c r="S13230" t="s">
        <v>44047</v>
      </c>
      <c r="T13230" t="s">
        <v>44698</v>
      </c>
      <c r="U13230" t="s">
        <v>55638</v>
      </c>
      <c r="V13230" t="s">
        <v>57765</v>
      </c>
      <c r="W13230" t="s">
        <v>42174</v>
      </c>
      <c r="X13230" t="s">
        <v>43187</v>
      </c>
    </row>
    <row r="13231" spans="1:24">
      <c r="A13231">
        <f>HYPERLINK("https://www.philgeps.gov.ph/GEPSNONPILOT/Tender/SplashBidNoticeAbstractUI.aspx?menuIndex=3&amp;refID=7051692&amp;Result=3","7051692")</f>
        <v>0</v>
      </c>
      <c r="B13231" t="s">
        <v>2577</v>
      </c>
      <c r="C13231" t="s">
        <v>16077</v>
      </c>
      <c r="D13231" t="s">
        <v>17422</v>
      </c>
      <c r="E13231" t="s">
        <v>28815</v>
      </c>
      <c r="F13231" t="s">
        <v>30052</v>
      </c>
      <c r="G13231" t="s">
        <v>30058</v>
      </c>
      <c r="H13231" t="s">
        <v>30067</v>
      </c>
      <c r="I13231" t="s">
        <v>3693</v>
      </c>
      <c r="J13231" t="s">
        <v>30281</v>
      </c>
      <c r="K13231" t="s">
        <v>39025</v>
      </c>
      <c r="M13231" t="s">
        <v>42084</v>
      </c>
      <c r="N13231" t="s">
        <v>43166</v>
      </c>
      <c r="O13231" t="s">
        <v>43167</v>
      </c>
      <c r="P13231">
        <v>0</v>
      </c>
      <c r="Q13231">
        <v>0</v>
      </c>
      <c r="R13231" t="s">
        <v>43186</v>
      </c>
      <c r="S13231" t="s">
        <v>44047</v>
      </c>
      <c r="T13231" t="s">
        <v>44773</v>
      </c>
      <c r="U13231" t="s">
        <v>55714</v>
      </c>
      <c r="W13231" t="s">
        <v>42084</v>
      </c>
      <c r="X13231" t="s">
        <v>43187</v>
      </c>
    </row>
    <row r="13232" spans="1:24">
      <c r="A13232">
        <f>HYPERLINK("https://www.philgeps.gov.ph/GEPSNONPILOT/Tender/SplashBidNoticeAbstractUI.aspx?menuIndex=3&amp;refID=7051775&amp;Result=3","7051775")</f>
        <v>0</v>
      </c>
      <c r="B13232" t="s">
        <v>1804</v>
      </c>
      <c r="C13232" t="s">
        <v>16078</v>
      </c>
      <c r="E13232" t="s">
        <v>28816</v>
      </c>
      <c r="F13232" t="s">
        <v>30052</v>
      </c>
      <c r="G13232" t="s">
        <v>30058</v>
      </c>
      <c r="H13232" t="s">
        <v>15498</v>
      </c>
      <c r="I13232" t="s">
        <v>30087</v>
      </c>
      <c r="J13232" t="s">
        <v>38234</v>
      </c>
      <c r="K13232" t="s">
        <v>39025</v>
      </c>
      <c r="M13232" t="s">
        <v>41227</v>
      </c>
      <c r="N13232" t="s">
        <v>43166</v>
      </c>
      <c r="O13232" t="s">
        <v>43167</v>
      </c>
      <c r="P13232">
        <v>0</v>
      </c>
      <c r="Q13232">
        <v>4</v>
      </c>
      <c r="R13232" t="s">
        <v>43186</v>
      </c>
      <c r="S13232" t="s">
        <v>44047</v>
      </c>
      <c r="T13232" t="s">
        <v>44753</v>
      </c>
      <c r="U13232" t="s">
        <v>55711</v>
      </c>
      <c r="W13232" t="s">
        <v>41227</v>
      </c>
      <c r="X13232" t="s">
        <v>43187</v>
      </c>
    </row>
    <row r="13233" spans="1:24">
      <c r="A13233">
        <f>HYPERLINK("https://www.philgeps.gov.ph/GEPSNONPILOT/Tender/SplashBidNoticeAbstractUI.aspx?menuIndex=3&amp;refID=7051761&amp;Result=3","7051761")</f>
        <v>0</v>
      </c>
      <c r="B13233" t="s">
        <v>2656</v>
      </c>
      <c r="C13233" t="s">
        <v>16079</v>
      </c>
      <c r="D13233" t="s">
        <v>17458</v>
      </c>
      <c r="E13233" t="s">
        <v>28817</v>
      </c>
      <c r="F13233" t="s">
        <v>30052</v>
      </c>
      <c r="G13233" t="s">
        <v>30058</v>
      </c>
      <c r="H13233" t="s">
        <v>30067</v>
      </c>
      <c r="I13233" t="s">
        <v>3693</v>
      </c>
      <c r="J13233" t="s">
        <v>30397</v>
      </c>
      <c r="K13233" t="s">
        <v>39025</v>
      </c>
      <c r="L13233" t="s">
        <v>2656</v>
      </c>
      <c r="M13233" t="s">
        <v>42174</v>
      </c>
      <c r="N13233" t="s">
        <v>43166</v>
      </c>
      <c r="O13233" t="s">
        <v>43167</v>
      </c>
      <c r="P13233">
        <v>0</v>
      </c>
      <c r="Q13233">
        <v>0</v>
      </c>
      <c r="R13233" t="s">
        <v>43186</v>
      </c>
      <c r="S13233" t="s">
        <v>44047</v>
      </c>
      <c r="T13233" t="s">
        <v>44698</v>
      </c>
      <c r="U13233" t="s">
        <v>55638</v>
      </c>
      <c r="V13233" t="s">
        <v>57765</v>
      </c>
      <c r="W13233" t="s">
        <v>42174</v>
      </c>
      <c r="X13233" t="s">
        <v>43187</v>
      </c>
    </row>
    <row r="13234" spans="1:24">
      <c r="A13234">
        <f>HYPERLINK("https://www.philgeps.gov.ph/GEPSNONPILOT/Tender/SplashBidNoticeAbstractUI.aspx?menuIndex=3&amp;refID=7051749&amp;Result=3","7051749")</f>
        <v>0</v>
      </c>
      <c r="B13234" t="s">
        <v>3347</v>
      </c>
      <c r="C13234" t="s">
        <v>16080</v>
      </c>
      <c r="D13234" t="s">
        <v>17442</v>
      </c>
      <c r="E13234" t="s">
        <v>23351</v>
      </c>
      <c r="F13234" t="s">
        <v>30052</v>
      </c>
      <c r="G13234" t="s">
        <v>30058</v>
      </c>
      <c r="H13234" t="s">
        <v>30067</v>
      </c>
      <c r="I13234" t="s">
        <v>3693</v>
      </c>
      <c r="J13234" t="s">
        <v>38235</v>
      </c>
      <c r="K13234" t="s">
        <v>39147</v>
      </c>
      <c r="M13234" t="s">
        <v>42990</v>
      </c>
      <c r="N13234" t="s">
        <v>43166</v>
      </c>
      <c r="O13234" t="s">
        <v>43167</v>
      </c>
      <c r="P13234">
        <v>0</v>
      </c>
      <c r="Q13234">
        <v>0</v>
      </c>
      <c r="R13234" t="s">
        <v>43186</v>
      </c>
      <c r="S13234" t="s">
        <v>44047</v>
      </c>
      <c r="T13234" t="s">
        <v>44737</v>
      </c>
      <c r="U13234" t="s">
        <v>55715</v>
      </c>
      <c r="W13234" t="s">
        <v>42990</v>
      </c>
      <c r="X13234" t="s">
        <v>43187</v>
      </c>
    </row>
    <row r="13235" spans="1:24">
      <c r="A13235">
        <f>HYPERLINK("https://www.philgeps.gov.ph/GEPSNONPILOT/Tender/SplashBidNoticeAbstractUI.aspx?menuIndex=3&amp;refID=7051786&amp;Result=3","7051786")</f>
        <v>0</v>
      </c>
      <c r="B13235" t="s">
        <v>3228</v>
      </c>
      <c r="C13235" t="s">
        <v>16081</v>
      </c>
      <c r="D13235" t="s">
        <v>17465</v>
      </c>
      <c r="E13235" t="s">
        <v>24692</v>
      </c>
      <c r="F13235" t="s">
        <v>30052</v>
      </c>
      <c r="G13235" t="s">
        <v>30058</v>
      </c>
      <c r="H13235" t="s">
        <v>30067</v>
      </c>
      <c r="I13235" t="s">
        <v>3693</v>
      </c>
      <c r="J13235" t="s">
        <v>30645</v>
      </c>
      <c r="K13235" t="s">
        <v>39022</v>
      </c>
      <c r="M13235" t="s">
        <v>42854</v>
      </c>
      <c r="N13235" t="s">
        <v>43166</v>
      </c>
      <c r="O13235" t="s">
        <v>43167</v>
      </c>
      <c r="P13235">
        <v>0</v>
      </c>
      <c r="Q13235">
        <v>7</v>
      </c>
      <c r="R13235" t="s">
        <v>43186</v>
      </c>
      <c r="S13235" t="s">
        <v>44047</v>
      </c>
      <c r="T13235" t="s">
        <v>44832</v>
      </c>
      <c r="U13235" t="s">
        <v>55716</v>
      </c>
      <c r="V13235" t="s">
        <v>58400</v>
      </c>
      <c r="W13235" t="s">
        <v>42854</v>
      </c>
      <c r="X13235" t="s">
        <v>43187</v>
      </c>
    </row>
    <row r="13236" spans="1:24">
      <c r="A13236">
        <f>HYPERLINK("https://www.philgeps.gov.ph/GEPSNONPILOT/Tender/SplashBidNoticeAbstractUI.aspx?menuIndex=3&amp;refID=7051740&amp;Result=3","7051740")</f>
        <v>0</v>
      </c>
      <c r="B13236" t="s">
        <v>3348</v>
      </c>
      <c r="C13236" t="s">
        <v>16082</v>
      </c>
      <c r="D13236" t="s">
        <v>17460</v>
      </c>
      <c r="E13236" t="s">
        <v>28818</v>
      </c>
      <c r="F13236" t="s">
        <v>30055</v>
      </c>
      <c r="G13236" t="s">
        <v>30058</v>
      </c>
      <c r="H13236" t="s">
        <v>30067</v>
      </c>
      <c r="I13236" t="s">
        <v>3736</v>
      </c>
      <c r="J13236" t="s">
        <v>30209</v>
      </c>
      <c r="K13236" t="s">
        <v>39038</v>
      </c>
      <c r="M13236" t="s">
        <v>42991</v>
      </c>
      <c r="N13236" t="s">
        <v>43166</v>
      </c>
      <c r="O13236" t="s">
        <v>43167</v>
      </c>
      <c r="P13236">
        <v>0</v>
      </c>
      <c r="Q13236">
        <v>4</v>
      </c>
      <c r="R13236" t="s">
        <v>43186</v>
      </c>
      <c r="S13236" t="s">
        <v>44047</v>
      </c>
      <c r="T13236" t="s">
        <v>44832</v>
      </c>
      <c r="U13236" t="s">
        <v>55717</v>
      </c>
      <c r="W13236" t="s">
        <v>42991</v>
      </c>
      <c r="X13236" t="s">
        <v>43187</v>
      </c>
    </row>
    <row r="13237" spans="1:24">
      <c r="A13237">
        <f>HYPERLINK("https://www.philgeps.gov.ph/GEPSNONPILOT/Tender/SplashBidNoticeAbstractUI.aspx?menuIndex=3&amp;refID=7051734&amp;Result=3","7051734")</f>
        <v>0</v>
      </c>
      <c r="B13237" t="s">
        <v>1059</v>
      </c>
      <c r="C13237" t="s">
        <v>16083</v>
      </c>
      <c r="D13237" t="s">
        <v>17432</v>
      </c>
      <c r="E13237" t="s">
        <v>28819</v>
      </c>
      <c r="F13237" t="s">
        <v>30052</v>
      </c>
      <c r="G13237" t="s">
        <v>30058</v>
      </c>
      <c r="H13237" t="s">
        <v>15498</v>
      </c>
      <c r="I13237" t="s">
        <v>4650</v>
      </c>
      <c r="J13237" t="s">
        <v>34092</v>
      </c>
      <c r="K13237" t="s">
        <v>39029</v>
      </c>
      <c r="M13237" t="s">
        <v>40394</v>
      </c>
      <c r="N13237" t="s">
        <v>43166</v>
      </c>
      <c r="O13237" t="s">
        <v>43167</v>
      </c>
      <c r="Q13237">
        <v>7</v>
      </c>
      <c r="R13237" t="s">
        <v>43186</v>
      </c>
      <c r="S13237" t="s">
        <v>44113</v>
      </c>
      <c r="T13237" t="s">
        <v>44832</v>
      </c>
      <c r="U13237" t="s">
        <v>55718</v>
      </c>
      <c r="V13237" t="s">
        <v>57136</v>
      </c>
      <c r="W13237" t="s">
        <v>40394</v>
      </c>
      <c r="X13237" t="s">
        <v>43187</v>
      </c>
    </row>
    <row r="13238" spans="1:24">
      <c r="A13238">
        <f>HYPERLINK("https://www.philgeps.gov.ph/GEPSNONPILOT/Tender/SplashBidNoticeAbstractUI.aspx?menuIndex=3&amp;refID=7051732&amp;Result=3","7051732")</f>
        <v>0</v>
      </c>
      <c r="B13238" t="s">
        <v>222</v>
      </c>
      <c r="C13238" t="s">
        <v>16084</v>
      </c>
      <c r="D13238" t="s">
        <v>17456</v>
      </c>
      <c r="E13238" t="s">
        <v>23022</v>
      </c>
      <c r="F13238" t="s">
        <v>30052</v>
      </c>
      <c r="G13238" t="s">
        <v>30058</v>
      </c>
      <c r="H13238" t="s">
        <v>30067</v>
      </c>
      <c r="I13238" t="s">
        <v>3693</v>
      </c>
      <c r="J13238" t="s">
        <v>35210</v>
      </c>
      <c r="K13238" t="s">
        <v>39245</v>
      </c>
      <c r="M13238" t="s">
        <v>39512</v>
      </c>
      <c r="N13238" t="s">
        <v>43166</v>
      </c>
      <c r="O13238" t="s">
        <v>43167</v>
      </c>
      <c r="P13238">
        <v>0</v>
      </c>
      <c r="Q13238">
        <v>7</v>
      </c>
      <c r="R13238" t="s">
        <v>43186</v>
      </c>
      <c r="S13238" t="s">
        <v>44047</v>
      </c>
      <c r="T13238" t="s">
        <v>44787</v>
      </c>
      <c r="U13238" t="s">
        <v>55701</v>
      </c>
      <c r="W13238" t="s">
        <v>39512</v>
      </c>
      <c r="X13238" t="s">
        <v>43187</v>
      </c>
    </row>
    <row r="13239" spans="1:24">
      <c r="A13239">
        <f>HYPERLINK("https://www.philgeps.gov.ph/GEPSNONPILOT/Tender/SplashBidNoticeAbstractUI.aspx?menuIndex=3&amp;refID=7051729&amp;Result=3","7051729")</f>
        <v>0</v>
      </c>
      <c r="B13239" t="s">
        <v>2320</v>
      </c>
      <c r="C13239" t="s">
        <v>16085</v>
      </c>
      <c r="D13239" t="s">
        <v>17462</v>
      </c>
      <c r="E13239" t="s">
        <v>28820</v>
      </c>
      <c r="F13239" t="s">
        <v>30052</v>
      </c>
      <c r="G13239" t="s">
        <v>30058</v>
      </c>
      <c r="H13239" t="s">
        <v>30067</v>
      </c>
      <c r="I13239" t="s">
        <v>3693</v>
      </c>
      <c r="J13239" t="s">
        <v>30215</v>
      </c>
      <c r="K13239" t="s">
        <v>39023</v>
      </c>
      <c r="M13239" t="s">
        <v>42842</v>
      </c>
      <c r="N13239" t="s">
        <v>43166</v>
      </c>
      <c r="O13239" t="s">
        <v>43167</v>
      </c>
      <c r="P13239">
        <v>0</v>
      </c>
      <c r="Q13239">
        <v>26</v>
      </c>
      <c r="R13239" t="s">
        <v>43186</v>
      </c>
      <c r="S13239" t="s">
        <v>44047</v>
      </c>
      <c r="T13239" t="s">
        <v>44870</v>
      </c>
      <c r="U13239" t="s">
        <v>51193</v>
      </c>
      <c r="V13239" t="s">
        <v>58173</v>
      </c>
      <c r="W13239" t="s">
        <v>58688</v>
      </c>
      <c r="X13239" t="s">
        <v>43187</v>
      </c>
    </row>
    <row r="13240" spans="1:24">
      <c r="A13240">
        <f>HYPERLINK("https://www.philgeps.gov.ph/GEPSNONPILOT/Tender/SplashBidNoticeAbstractUI.aspx?menuIndex=3&amp;refID=7051789&amp;Result=3","7051789")</f>
        <v>0</v>
      </c>
      <c r="B13240" t="s">
        <v>723</v>
      </c>
      <c r="C13240" t="s">
        <v>16086</v>
      </c>
      <c r="D13240" t="s">
        <v>17459</v>
      </c>
      <c r="E13240" t="s">
        <v>28821</v>
      </c>
      <c r="F13240" t="s">
        <v>30052</v>
      </c>
      <c r="G13240" t="s">
        <v>30058</v>
      </c>
      <c r="H13240" t="s">
        <v>15498</v>
      </c>
      <c r="I13240" t="s">
        <v>30073</v>
      </c>
      <c r="J13240" t="s">
        <v>30218</v>
      </c>
      <c r="K13240" t="s">
        <v>39037</v>
      </c>
      <c r="M13240" t="s">
        <v>40034</v>
      </c>
      <c r="N13240" t="s">
        <v>43166</v>
      </c>
      <c r="O13240" t="s">
        <v>43167</v>
      </c>
      <c r="P13240">
        <v>0</v>
      </c>
      <c r="Q13240">
        <v>0</v>
      </c>
      <c r="R13240" t="s">
        <v>43186</v>
      </c>
      <c r="S13240" t="s">
        <v>44047</v>
      </c>
      <c r="T13240" t="s">
        <v>44832</v>
      </c>
      <c r="U13240" t="s">
        <v>55719</v>
      </c>
      <c r="W13240" t="s">
        <v>40034</v>
      </c>
      <c r="X13240" t="s">
        <v>43187</v>
      </c>
    </row>
    <row r="13241" spans="1:24">
      <c r="A13241">
        <f>HYPERLINK("https://www.philgeps.gov.ph/GEPSNONPILOT/Tender/SplashBidNoticeAbstractUI.aspx?menuIndex=3&amp;refID=7051882&amp;Result=3","7051882")</f>
        <v>0</v>
      </c>
      <c r="B13241" t="s">
        <v>1658</v>
      </c>
      <c r="C13241" t="s">
        <v>16087</v>
      </c>
      <c r="E13241" t="s">
        <v>28822</v>
      </c>
      <c r="F13241" t="s">
        <v>30052</v>
      </c>
      <c r="G13241" t="s">
        <v>30058</v>
      </c>
      <c r="H13241" t="s">
        <v>30067</v>
      </c>
      <c r="I13241" t="s">
        <v>3693</v>
      </c>
      <c r="J13241" t="s">
        <v>38236</v>
      </c>
      <c r="K13241" t="s">
        <v>39025</v>
      </c>
      <c r="M13241" t="s">
        <v>41063</v>
      </c>
      <c r="N13241" t="s">
        <v>43166</v>
      </c>
      <c r="O13241" t="s">
        <v>43167</v>
      </c>
      <c r="Q13241">
        <v>3</v>
      </c>
      <c r="R13241" t="s">
        <v>43186</v>
      </c>
      <c r="S13241" t="s">
        <v>44114</v>
      </c>
      <c r="T13241" t="s">
        <v>44722</v>
      </c>
      <c r="U13241" t="s">
        <v>55720</v>
      </c>
      <c r="V13241" t="s">
        <v>58401</v>
      </c>
      <c r="W13241" t="s">
        <v>41063</v>
      </c>
      <c r="X13241" t="s">
        <v>43187</v>
      </c>
    </row>
    <row r="13242" spans="1:24">
      <c r="A13242">
        <f>HYPERLINK("https://www.philgeps.gov.ph/GEPSNONPILOT/Tender/SplashBidNoticeAbstractUI.aspx?menuIndex=3&amp;refID=7051850&amp;Result=3","7051850")</f>
        <v>0</v>
      </c>
      <c r="B13242" t="s">
        <v>3347</v>
      </c>
      <c r="C13242" t="s">
        <v>16088</v>
      </c>
      <c r="D13242" t="s">
        <v>17442</v>
      </c>
      <c r="E13242" t="s">
        <v>24135</v>
      </c>
      <c r="F13242" t="s">
        <v>30052</v>
      </c>
      <c r="G13242" t="s">
        <v>30058</v>
      </c>
      <c r="H13242" t="s">
        <v>30067</v>
      </c>
      <c r="I13242" t="s">
        <v>3693</v>
      </c>
      <c r="J13242" t="s">
        <v>36683</v>
      </c>
      <c r="K13242" t="s">
        <v>39031</v>
      </c>
      <c r="M13242" t="s">
        <v>42990</v>
      </c>
      <c r="N13242" t="s">
        <v>43166</v>
      </c>
      <c r="O13242" t="s">
        <v>43167</v>
      </c>
      <c r="P13242">
        <v>0</v>
      </c>
      <c r="Q13242">
        <v>0</v>
      </c>
      <c r="R13242" t="s">
        <v>43186</v>
      </c>
      <c r="S13242" t="s">
        <v>44047</v>
      </c>
      <c r="T13242" t="s">
        <v>44737</v>
      </c>
      <c r="U13242" t="s">
        <v>55721</v>
      </c>
      <c r="W13242" t="s">
        <v>42990</v>
      </c>
      <c r="X13242" t="s">
        <v>43187</v>
      </c>
    </row>
    <row r="13243" spans="1:24">
      <c r="A13243">
        <f>HYPERLINK("https://www.philgeps.gov.ph/GEPSNONPILOT/Tender/SplashBidNoticeAbstractUI.aspx?menuIndex=3&amp;refID=7051881&amp;Result=3","7051881")</f>
        <v>0</v>
      </c>
      <c r="B13243" t="s">
        <v>1297</v>
      </c>
      <c r="C13243" t="s">
        <v>16089</v>
      </c>
      <c r="D13243" t="s">
        <v>17488</v>
      </c>
      <c r="E13243" t="s">
        <v>28823</v>
      </c>
      <c r="F13243" t="s">
        <v>30052</v>
      </c>
      <c r="G13243" t="s">
        <v>30058</v>
      </c>
      <c r="H13243" t="s">
        <v>15498</v>
      </c>
      <c r="I13243" t="s">
        <v>30074</v>
      </c>
      <c r="J13243" t="s">
        <v>30397</v>
      </c>
      <c r="K13243" t="s">
        <v>39019</v>
      </c>
      <c r="M13243" t="s">
        <v>40663</v>
      </c>
      <c r="N13243" t="s">
        <v>43166</v>
      </c>
      <c r="O13243" t="s">
        <v>43167</v>
      </c>
      <c r="P13243">
        <v>0</v>
      </c>
      <c r="Q13243">
        <v>1</v>
      </c>
      <c r="R13243" t="s">
        <v>43186</v>
      </c>
      <c r="S13243" t="s">
        <v>44047</v>
      </c>
      <c r="T13243" t="s">
        <v>44717</v>
      </c>
      <c r="U13243" t="s">
        <v>55722</v>
      </c>
      <c r="V13243" t="s">
        <v>58402</v>
      </c>
      <c r="W13243" t="s">
        <v>40663</v>
      </c>
      <c r="X13243" t="s">
        <v>43187</v>
      </c>
    </row>
    <row r="13244" spans="1:24">
      <c r="A13244">
        <f>HYPERLINK("https://www.philgeps.gov.ph/GEPSNONPILOT/Tender/SplashBidNoticeAbstractUI.aspx?menuIndex=3&amp;refID=7051802&amp;Result=3","7051802")</f>
        <v>0</v>
      </c>
      <c r="B13244" t="s">
        <v>3349</v>
      </c>
      <c r="C13244" t="s">
        <v>16090</v>
      </c>
      <c r="D13244" t="s">
        <v>17445</v>
      </c>
      <c r="E13244" t="s">
        <v>28824</v>
      </c>
      <c r="F13244" t="s">
        <v>30052</v>
      </c>
      <c r="G13244" t="s">
        <v>30058</v>
      </c>
      <c r="H13244" t="s">
        <v>30067</v>
      </c>
      <c r="I13244" t="s">
        <v>3693</v>
      </c>
      <c r="J13244" t="s">
        <v>30218</v>
      </c>
      <c r="K13244" t="s">
        <v>39019</v>
      </c>
      <c r="M13244" t="s">
        <v>42992</v>
      </c>
      <c r="N13244" t="s">
        <v>43166</v>
      </c>
      <c r="O13244" t="s">
        <v>43167</v>
      </c>
      <c r="P13244">
        <v>0</v>
      </c>
      <c r="Q13244">
        <v>1</v>
      </c>
      <c r="R13244" t="s">
        <v>43186</v>
      </c>
      <c r="S13244" t="s">
        <v>44047</v>
      </c>
      <c r="T13244" t="s">
        <v>44832</v>
      </c>
      <c r="U13244" t="s">
        <v>55723</v>
      </c>
      <c r="W13244" t="s">
        <v>42992</v>
      </c>
      <c r="X13244" t="s">
        <v>43187</v>
      </c>
    </row>
    <row r="13245" spans="1:24">
      <c r="A13245">
        <f>HYPERLINK("https://www.philgeps.gov.ph/GEPSNONPILOT/Tender/SplashBidNoticeAbstractUI.aspx?menuIndex=3&amp;refID=7051884&amp;Result=3","7051884")</f>
        <v>0</v>
      </c>
      <c r="B13245" t="s">
        <v>773</v>
      </c>
      <c r="C13245" t="s">
        <v>16091</v>
      </c>
      <c r="D13245" t="s">
        <v>17435</v>
      </c>
      <c r="E13245" t="s">
        <v>28825</v>
      </c>
      <c r="F13245" t="s">
        <v>30052</v>
      </c>
      <c r="G13245" t="s">
        <v>30058</v>
      </c>
      <c r="H13245" t="s">
        <v>15498</v>
      </c>
      <c r="I13245" t="s">
        <v>30074</v>
      </c>
      <c r="J13245" t="s">
        <v>30212</v>
      </c>
      <c r="K13245" t="s">
        <v>39029</v>
      </c>
      <c r="M13245" t="s">
        <v>40087</v>
      </c>
      <c r="N13245" t="s">
        <v>43166</v>
      </c>
      <c r="O13245" t="s">
        <v>43167</v>
      </c>
      <c r="P13245">
        <v>0</v>
      </c>
      <c r="Q13245">
        <v>4</v>
      </c>
      <c r="R13245" t="s">
        <v>43186</v>
      </c>
      <c r="S13245" t="s">
        <v>44047</v>
      </c>
      <c r="T13245" t="s">
        <v>44733</v>
      </c>
      <c r="U13245" t="s">
        <v>55724</v>
      </c>
      <c r="W13245" t="s">
        <v>40087</v>
      </c>
      <c r="X13245" t="s">
        <v>43187</v>
      </c>
    </row>
    <row r="13246" spans="1:24">
      <c r="A13246">
        <f>HYPERLINK("https://www.philgeps.gov.ph/GEPSNONPILOT/Tender/SplashBidNoticeAbstractUI.aspx?menuIndex=3&amp;refID=7051865&amp;Result=3","7051865")</f>
        <v>0</v>
      </c>
      <c r="B13246" t="s">
        <v>2320</v>
      </c>
      <c r="C13246" t="s">
        <v>16092</v>
      </c>
      <c r="D13246" t="s">
        <v>17462</v>
      </c>
      <c r="E13246" t="s">
        <v>28826</v>
      </c>
      <c r="F13246" t="s">
        <v>30052</v>
      </c>
      <c r="G13246" t="s">
        <v>30058</v>
      </c>
      <c r="H13246" t="s">
        <v>30067</v>
      </c>
      <c r="I13246" t="s">
        <v>3693</v>
      </c>
      <c r="J13246" t="s">
        <v>36683</v>
      </c>
      <c r="K13246" t="s">
        <v>39031</v>
      </c>
      <c r="M13246" t="s">
        <v>42842</v>
      </c>
      <c r="N13246" t="s">
        <v>43166</v>
      </c>
      <c r="O13246" t="s">
        <v>43167</v>
      </c>
      <c r="P13246">
        <v>0</v>
      </c>
      <c r="Q13246">
        <v>24</v>
      </c>
      <c r="R13246" t="s">
        <v>43186</v>
      </c>
      <c r="S13246" t="s">
        <v>44047</v>
      </c>
      <c r="T13246" t="s">
        <v>44870</v>
      </c>
      <c r="U13246" t="s">
        <v>51193</v>
      </c>
      <c r="V13246" t="s">
        <v>58173</v>
      </c>
      <c r="W13246" t="s">
        <v>58669</v>
      </c>
      <c r="X13246" t="s">
        <v>43187</v>
      </c>
    </row>
    <row r="13247" spans="1:24">
      <c r="A13247">
        <f>HYPERLINK("https://www.philgeps.gov.ph/GEPSNONPILOT/Tender/SplashBidNoticeAbstractUI.aspx?menuIndex=3&amp;refID=7051784&amp;Result=3","7051784")</f>
        <v>0</v>
      </c>
      <c r="B13247" t="s">
        <v>2448</v>
      </c>
      <c r="C13247" t="s">
        <v>16093</v>
      </c>
      <c r="D13247" t="s">
        <v>17445</v>
      </c>
      <c r="E13247" t="s">
        <v>21872</v>
      </c>
      <c r="F13247" t="s">
        <v>30052</v>
      </c>
      <c r="G13247" t="s">
        <v>30058</v>
      </c>
      <c r="H13247" t="s">
        <v>15498</v>
      </c>
      <c r="I13247" t="s">
        <v>30074</v>
      </c>
      <c r="J13247" t="s">
        <v>30588</v>
      </c>
      <c r="K13247" t="s">
        <v>39019</v>
      </c>
      <c r="M13247" t="s">
        <v>41947</v>
      </c>
      <c r="N13247" t="s">
        <v>43166</v>
      </c>
      <c r="O13247" t="s">
        <v>43167</v>
      </c>
      <c r="P13247">
        <v>0</v>
      </c>
      <c r="Q13247">
        <v>3</v>
      </c>
      <c r="R13247" t="s">
        <v>43186</v>
      </c>
      <c r="S13247" t="s">
        <v>44047</v>
      </c>
      <c r="T13247" t="s">
        <v>44832</v>
      </c>
      <c r="U13247" t="s">
        <v>55725</v>
      </c>
      <c r="W13247" t="s">
        <v>41947</v>
      </c>
      <c r="X13247" t="s">
        <v>43187</v>
      </c>
    </row>
    <row r="13248" spans="1:24">
      <c r="A13248">
        <f>HYPERLINK("https://www.philgeps.gov.ph/GEPSNONPILOT/Tender/SplashBidNoticeAbstractUI.aspx?menuIndex=3&amp;refID=7051844&amp;Result=3","7051844")</f>
        <v>0</v>
      </c>
      <c r="B13248" t="s">
        <v>1996</v>
      </c>
      <c r="C13248" t="s">
        <v>16094</v>
      </c>
      <c r="D13248" t="s">
        <v>17449</v>
      </c>
      <c r="E13248" t="s">
        <v>16094</v>
      </c>
      <c r="F13248" t="s">
        <v>30052</v>
      </c>
      <c r="G13248" t="s">
        <v>30059</v>
      </c>
      <c r="H13248" t="s">
        <v>15498</v>
      </c>
      <c r="I13248" t="s">
        <v>30073</v>
      </c>
      <c r="J13248" t="s">
        <v>38237</v>
      </c>
      <c r="K13248" t="s">
        <v>39034</v>
      </c>
      <c r="M13248" t="s">
        <v>41439</v>
      </c>
      <c r="N13248" t="s">
        <v>43166</v>
      </c>
      <c r="O13248" t="s">
        <v>43167</v>
      </c>
      <c r="P13248">
        <v>0</v>
      </c>
      <c r="Q13248">
        <v>0</v>
      </c>
      <c r="R13248" t="s">
        <v>43186</v>
      </c>
      <c r="S13248" t="s">
        <v>44047</v>
      </c>
      <c r="T13248" t="s">
        <v>44698</v>
      </c>
      <c r="U13248" t="s">
        <v>50105</v>
      </c>
      <c r="W13248" t="s">
        <v>41439</v>
      </c>
      <c r="X13248" t="s">
        <v>43187</v>
      </c>
    </row>
    <row r="13249" spans="1:24">
      <c r="A13249">
        <f>HYPERLINK("https://www.philgeps.gov.ph/GEPSNONPILOT/Tender/SplashBidNoticeAbstractUI.aspx?menuIndex=3&amp;refID=7051840&amp;Result=3","7051840")</f>
        <v>0</v>
      </c>
      <c r="B13249" t="s">
        <v>1190</v>
      </c>
      <c r="C13249" t="s">
        <v>16095</v>
      </c>
      <c r="D13249" t="s">
        <v>17415</v>
      </c>
      <c r="E13249" t="s">
        <v>28827</v>
      </c>
      <c r="F13249" t="s">
        <v>30052</v>
      </c>
      <c r="G13249" t="s">
        <v>30058</v>
      </c>
      <c r="H13249" t="s">
        <v>15498</v>
      </c>
      <c r="I13249" t="s">
        <v>30131</v>
      </c>
      <c r="J13249" t="s">
        <v>30397</v>
      </c>
      <c r="K13249" t="s">
        <v>39025</v>
      </c>
      <c r="M13249" t="s">
        <v>42993</v>
      </c>
      <c r="N13249" t="s">
        <v>43166</v>
      </c>
      <c r="O13249" t="s">
        <v>43167</v>
      </c>
      <c r="P13249">
        <v>0</v>
      </c>
      <c r="Q13249">
        <v>2</v>
      </c>
      <c r="R13249" t="s">
        <v>43186</v>
      </c>
      <c r="S13249" t="s">
        <v>44047</v>
      </c>
      <c r="T13249" t="s">
        <v>44698</v>
      </c>
      <c r="U13249" t="s">
        <v>55726</v>
      </c>
      <c r="V13249" t="s">
        <v>58403</v>
      </c>
      <c r="W13249" t="s">
        <v>42993</v>
      </c>
      <c r="X13249" t="s">
        <v>43187</v>
      </c>
    </row>
    <row r="13250" spans="1:24">
      <c r="A13250">
        <f>HYPERLINK("https://www.philgeps.gov.ph/GEPSNONPILOT/Tender/SplashBidNoticeAbstractUI.aspx?menuIndex=3&amp;refID=7051824&amp;Result=3","7051824")</f>
        <v>0</v>
      </c>
      <c r="B13250" t="s">
        <v>222</v>
      </c>
      <c r="C13250" t="s">
        <v>16096</v>
      </c>
      <c r="D13250" t="s">
        <v>17456</v>
      </c>
      <c r="E13250" t="s">
        <v>21094</v>
      </c>
      <c r="F13250" t="s">
        <v>30052</v>
      </c>
      <c r="G13250" t="s">
        <v>30058</v>
      </c>
      <c r="H13250" t="s">
        <v>30067</v>
      </c>
      <c r="I13250" t="s">
        <v>3693</v>
      </c>
      <c r="J13250" t="s">
        <v>30397</v>
      </c>
      <c r="K13250" t="s">
        <v>39031</v>
      </c>
      <c r="M13250" t="s">
        <v>39512</v>
      </c>
      <c r="N13250" t="s">
        <v>43166</v>
      </c>
      <c r="O13250" t="s">
        <v>43167</v>
      </c>
      <c r="P13250">
        <v>0</v>
      </c>
      <c r="Q13250">
        <v>2</v>
      </c>
      <c r="R13250" t="s">
        <v>43186</v>
      </c>
      <c r="S13250" t="s">
        <v>44047</v>
      </c>
      <c r="T13250" t="s">
        <v>44787</v>
      </c>
      <c r="U13250" t="s">
        <v>55712</v>
      </c>
      <c r="W13250" t="s">
        <v>39512</v>
      </c>
      <c r="X13250" t="s">
        <v>43187</v>
      </c>
    </row>
    <row r="13251" spans="1:24">
      <c r="A13251">
        <f>HYPERLINK("https://www.philgeps.gov.ph/GEPSNONPILOT/Tender/SplashBidNoticeAbstractUI.aspx?menuIndex=3&amp;refID=7051823&amp;Result=3","7051823")</f>
        <v>0</v>
      </c>
      <c r="B13251" t="s">
        <v>1917</v>
      </c>
      <c r="C13251" t="s">
        <v>16097</v>
      </c>
      <c r="D13251" t="s">
        <v>17417</v>
      </c>
      <c r="E13251" t="s">
        <v>28828</v>
      </c>
      <c r="F13251" t="s">
        <v>30052</v>
      </c>
      <c r="G13251" t="s">
        <v>30058</v>
      </c>
      <c r="H13251" t="s">
        <v>15498</v>
      </c>
      <c r="I13251" t="s">
        <v>30084</v>
      </c>
      <c r="J13251" t="s">
        <v>36620</v>
      </c>
      <c r="K13251" t="s">
        <v>39029</v>
      </c>
      <c r="M13251" t="s">
        <v>41348</v>
      </c>
      <c r="N13251" t="s">
        <v>43166</v>
      </c>
      <c r="O13251" t="s">
        <v>43167</v>
      </c>
      <c r="Q13251">
        <v>11</v>
      </c>
      <c r="R13251" t="s">
        <v>43186</v>
      </c>
      <c r="S13251" t="s">
        <v>44115</v>
      </c>
      <c r="T13251" t="s">
        <v>44769</v>
      </c>
      <c r="U13251" t="s">
        <v>55727</v>
      </c>
      <c r="W13251" t="s">
        <v>41348</v>
      </c>
      <c r="X13251" t="s">
        <v>43187</v>
      </c>
    </row>
    <row r="13252" spans="1:24">
      <c r="A13252">
        <f>HYPERLINK("https://www.philgeps.gov.ph/GEPSNONPILOT/Tender/SplashBidNoticeAbstractUI.aspx?menuIndex=3&amp;refID=7051821&amp;Result=3","7051821")</f>
        <v>0</v>
      </c>
      <c r="B13252" t="s">
        <v>1024</v>
      </c>
      <c r="C13252" t="s">
        <v>16098</v>
      </c>
      <c r="D13252" t="s">
        <v>17432</v>
      </c>
      <c r="E13252" t="s">
        <v>28829</v>
      </c>
      <c r="F13252" t="s">
        <v>30052</v>
      </c>
      <c r="G13252" t="s">
        <v>30058</v>
      </c>
      <c r="H13252" t="s">
        <v>30067</v>
      </c>
      <c r="I13252" t="s">
        <v>3693</v>
      </c>
      <c r="J13252" t="s">
        <v>38238</v>
      </c>
      <c r="K13252" t="s">
        <v>39023</v>
      </c>
      <c r="M13252" t="s">
        <v>40353</v>
      </c>
      <c r="N13252" t="s">
        <v>43166</v>
      </c>
      <c r="O13252" t="s">
        <v>43167</v>
      </c>
      <c r="P13252">
        <v>0</v>
      </c>
      <c r="Q13252">
        <v>2</v>
      </c>
      <c r="R13252" t="s">
        <v>43186</v>
      </c>
      <c r="S13252" t="s">
        <v>44047</v>
      </c>
      <c r="T13252" t="s">
        <v>44698</v>
      </c>
      <c r="U13252" t="s">
        <v>55728</v>
      </c>
      <c r="W13252" t="s">
        <v>40353</v>
      </c>
      <c r="X13252" t="s">
        <v>43187</v>
      </c>
    </row>
    <row r="13253" spans="1:24">
      <c r="A13253">
        <f>HYPERLINK("https://www.philgeps.gov.ph/GEPSNONPILOT/Tender/SplashBidNoticeAbstractUI.aspx?menuIndex=3&amp;refID=7051818&amp;Result=3","7051818")</f>
        <v>0</v>
      </c>
      <c r="B13253" t="s">
        <v>1996</v>
      </c>
      <c r="C13253" t="s">
        <v>16099</v>
      </c>
      <c r="D13253" t="s">
        <v>17449</v>
      </c>
      <c r="E13253" t="s">
        <v>16099</v>
      </c>
      <c r="F13253" t="s">
        <v>30052</v>
      </c>
      <c r="G13253" t="s">
        <v>30059</v>
      </c>
      <c r="H13253" t="s">
        <v>15498</v>
      </c>
      <c r="I13253" t="s">
        <v>30073</v>
      </c>
      <c r="J13253" t="s">
        <v>38239</v>
      </c>
      <c r="K13253" t="s">
        <v>39034</v>
      </c>
      <c r="M13253" t="s">
        <v>41439</v>
      </c>
      <c r="N13253" t="s">
        <v>43166</v>
      </c>
      <c r="O13253" t="s">
        <v>43167</v>
      </c>
      <c r="P13253">
        <v>0</v>
      </c>
      <c r="Q13253">
        <v>0</v>
      </c>
      <c r="R13253" t="s">
        <v>43186</v>
      </c>
      <c r="S13253" t="s">
        <v>44047</v>
      </c>
      <c r="T13253" t="s">
        <v>44698</v>
      </c>
      <c r="U13253" t="s">
        <v>50105</v>
      </c>
      <c r="W13253" t="s">
        <v>41439</v>
      </c>
      <c r="X13253" t="s">
        <v>43187</v>
      </c>
    </row>
    <row r="13254" spans="1:24">
      <c r="A13254">
        <f>HYPERLINK("https://www.philgeps.gov.ph/GEPSNONPILOT/Tender/SplashBidNoticeAbstractUI.aspx?menuIndex=3&amp;refID=7051752&amp;Result=3","7051752")</f>
        <v>0</v>
      </c>
      <c r="B13254" t="s">
        <v>2452</v>
      </c>
      <c r="C13254" t="s">
        <v>16100</v>
      </c>
      <c r="D13254" t="s">
        <v>17459</v>
      </c>
      <c r="E13254" t="s">
        <v>28830</v>
      </c>
      <c r="F13254" t="s">
        <v>30052</v>
      </c>
      <c r="G13254" t="s">
        <v>30058</v>
      </c>
      <c r="H13254" t="s">
        <v>15498</v>
      </c>
      <c r="I13254" t="s">
        <v>4650</v>
      </c>
      <c r="J13254" t="s">
        <v>38240</v>
      </c>
      <c r="K13254" t="s">
        <v>39019</v>
      </c>
      <c r="M13254" t="s">
        <v>42377</v>
      </c>
      <c r="N13254" t="s">
        <v>43166</v>
      </c>
      <c r="O13254" t="s">
        <v>43167</v>
      </c>
      <c r="P13254">
        <v>0</v>
      </c>
      <c r="Q13254">
        <v>6</v>
      </c>
      <c r="R13254" t="s">
        <v>43186</v>
      </c>
      <c r="S13254" t="s">
        <v>44047</v>
      </c>
      <c r="T13254" t="s">
        <v>44734</v>
      </c>
      <c r="U13254" t="s">
        <v>52986</v>
      </c>
      <c r="W13254" t="s">
        <v>42377</v>
      </c>
      <c r="X13254" t="s">
        <v>43187</v>
      </c>
    </row>
    <row r="13255" spans="1:24">
      <c r="A13255">
        <f>HYPERLINK("https://www.philgeps.gov.ph/GEPSNONPILOT/Tender/SplashBidNoticeAbstractUI.aspx?menuIndex=3&amp;refID=7052011&amp;Result=3","7052011")</f>
        <v>0</v>
      </c>
      <c r="B13255" t="s">
        <v>358</v>
      </c>
      <c r="C13255" t="s">
        <v>16101</v>
      </c>
      <c r="D13255" t="s">
        <v>17421</v>
      </c>
      <c r="E13255" t="s">
        <v>18233</v>
      </c>
      <c r="F13255" t="s">
        <v>30052</v>
      </c>
      <c r="G13255" t="s">
        <v>30058</v>
      </c>
      <c r="H13255" t="s">
        <v>30067</v>
      </c>
      <c r="I13255" t="s">
        <v>3693</v>
      </c>
      <c r="J13255" t="s">
        <v>38241</v>
      </c>
      <c r="K13255" t="s">
        <v>39031</v>
      </c>
      <c r="M13255" t="s">
        <v>39655</v>
      </c>
      <c r="N13255" t="s">
        <v>43166</v>
      </c>
      <c r="O13255" t="s">
        <v>43167</v>
      </c>
      <c r="P13255">
        <v>0</v>
      </c>
      <c r="Q13255">
        <v>1</v>
      </c>
      <c r="R13255" t="s">
        <v>43186</v>
      </c>
      <c r="S13255" t="s">
        <v>44047</v>
      </c>
      <c r="T13255" t="s">
        <v>44969</v>
      </c>
      <c r="U13255" t="s">
        <v>55729</v>
      </c>
      <c r="W13255" t="s">
        <v>39655</v>
      </c>
      <c r="X13255" t="s">
        <v>43187</v>
      </c>
    </row>
    <row r="13256" spans="1:24">
      <c r="A13256">
        <f>HYPERLINK("https://www.philgeps.gov.ph/GEPSNONPILOT/Tender/SplashBidNoticeAbstractUI.aspx?menuIndex=3&amp;refID=7051841&amp;Result=3","7051841")</f>
        <v>0</v>
      </c>
      <c r="B13256" t="s">
        <v>3350</v>
      </c>
      <c r="C13256" t="s">
        <v>16102</v>
      </c>
      <c r="E13256" t="s">
        <v>28831</v>
      </c>
      <c r="F13256" t="s">
        <v>30052</v>
      </c>
      <c r="G13256" t="s">
        <v>30058</v>
      </c>
      <c r="H13256" t="s">
        <v>15498</v>
      </c>
      <c r="I13256" t="s">
        <v>30100</v>
      </c>
      <c r="J13256" t="s">
        <v>38242</v>
      </c>
      <c r="K13256" t="s">
        <v>39025</v>
      </c>
      <c r="M13256" t="s">
        <v>42994</v>
      </c>
      <c r="N13256" t="s">
        <v>43166</v>
      </c>
      <c r="O13256" t="s">
        <v>43167</v>
      </c>
      <c r="P13256">
        <v>0</v>
      </c>
      <c r="Q13256">
        <v>2</v>
      </c>
      <c r="R13256" t="s">
        <v>43186</v>
      </c>
      <c r="S13256" t="s">
        <v>44047</v>
      </c>
      <c r="T13256" t="s">
        <v>44699</v>
      </c>
      <c r="U13256" t="s">
        <v>55730</v>
      </c>
      <c r="V13256" t="s">
        <v>58404</v>
      </c>
      <c r="W13256" t="s">
        <v>42994</v>
      </c>
      <c r="X13256" t="s">
        <v>43187</v>
      </c>
    </row>
    <row r="13257" spans="1:24">
      <c r="A13257">
        <f>HYPERLINK("https://www.philgeps.gov.ph/GEPSNONPILOT/Tender/SplashBidNoticeAbstractUI.aspx?menuIndex=3&amp;refID=7051991&amp;Result=3","7051991")</f>
        <v>0</v>
      </c>
      <c r="B13257" t="s">
        <v>3223</v>
      </c>
      <c r="C13257" t="s">
        <v>16103</v>
      </c>
      <c r="D13257" t="s">
        <v>17445</v>
      </c>
      <c r="E13257" t="s">
        <v>28832</v>
      </c>
      <c r="F13257" t="s">
        <v>30052</v>
      </c>
      <c r="G13257" t="s">
        <v>30058</v>
      </c>
      <c r="H13257" t="s">
        <v>15498</v>
      </c>
      <c r="I13257" t="s">
        <v>30144</v>
      </c>
      <c r="J13257" t="s">
        <v>30559</v>
      </c>
      <c r="K13257" t="s">
        <v>39029</v>
      </c>
      <c r="M13257" t="s">
        <v>42848</v>
      </c>
      <c r="N13257" t="s">
        <v>43166</v>
      </c>
      <c r="O13257" t="s">
        <v>43167</v>
      </c>
      <c r="P13257">
        <v>0</v>
      </c>
      <c r="Q13257">
        <v>1</v>
      </c>
      <c r="R13257" t="s">
        <v>43186</v>
      </c>
      <c r="S13257" t="s">
        <v>44047</v>
      </c>
      <c r="T13257" t="s">
        <v>44856</v>
      </c>
      <c r="U13257" t="s">
        <v>55731</v>
      </c>
      <c r="V13257" t="s">
        <v>58405</v>
      </c>
      <c r="W13257" t="s">
        <v>42848</v>
      </c>
      <c r="X13257" t="s">
        <v>43187</v>
      </c>
    </row>
    <row r="13258" spans="1:24">
      <c r="A13258">
        <f>HYPERLINK("https://www.philgeps.gov.ph/GEPSNONPILOT/Tender/SplashBidNoticeAbstractUI.aspx?menuIndex=3&amp;refID=7051980&amp;Result=3","7051980")</f>
        <v>0</v>
      </c>
      <c r="B13258" t="s">
        <v>1416</v>
      </c>
      <c r="C13258" t="s">
        <v>16104</v>
      </c>
      <c r="D13258" t="s">
        <v>17414</v>
      </c>
      <c r="E13258" t="s">
        <v>28833</v>
      </c>
      <c r="F13258" t="s">
        <v>30052</v>
      </c>
      <c r="G13258" t="s">
        <v>30058</v>
      </c>
      <c r="H13258" t="s">
        <v>15498</v>
      </c>
      <c r="I13258" t="s">
        <v>5961</v>
      </c>
      <c r="J13258" t="s">
        <v>38243</v>
      </c>
      <c r="K13258" t="s">
        <v>39037</v>
      </c>
      <c r="M13258" t="s">
        <v>40794</v>
      </c>
      <c r="N13258" t="s">
        <v>43166</v>
      </c>
      <c r="O13258" t="s">
        <v>43167</v>
      </c>
      <c r="P13258">
        <v>0</v>
      </c>
      <c r="Q13258">
        <v>1</v>
      </c>
      <c r="R13258" t="s">
        <v>43186</v>
      </c>
      <c r="S13258" t="s">
        <v>44047</v>
      </c>
      <c r="T13258" t="s">
        <v>44862</v>
      </c>
      <c r="U13258" t="s">
        <v>55732</v>
      </c>
      <c r="V13258" t="s">
        <v>58406</v>
      </c>
      <c r="W13258" t="s">
        <v>40794</v>
      </c>
      <c r="X13258" t="s">
        <v>43187</v>
      </c>
    </row>
    <row r="13259" spans="1:24">
      <c r="A13259">
        <f>HYPERLINK("https://www.philgeps.gov.ph/GEPSNONPILOT/Tender/SplashBidNoticeAbstractUI.aspx?menuIndex=3&amp;refID=7052001&amp;Result=3","7052001")</f>
        <v>0</v>
      </c>
      <c r="B13259" t="s">
        <v>1014</v>
      </c>
      <c r="C13259" t="s">
        <v>16105</v>
      </c>
      <c r="D13259" t="s">
        <v>17465</v>
      </c>
      <c r="E13259" t="s">
        <v>28834</v>
      </c>
      <c r="F13259" t="s">
        <v>30052</v>
      </c>
      <c r="G13259" t="s">
        <v>30058</v>
      </c>
      <c r="H13259" t="s">
        <v>15498</v>
      </c>
      <c r="I13259" t="s">
        <v>30076</v>
      </c>
      <c r="J13259" t="s">
        <v>38244</v>
      </c>
      <c r="K13259" t="s">
        <v>39025</v>
      </c>
      <c r="M13259" t="s">
        <v>40343</v>
      </c>
      <c r="N13259" t="s">
        <v>43166</v>
      </c>
      <c r="O13259" t="s">
        <v>43167</v>
      </c>
      <c r="P13259">
        <v>0</v>
      </c>
      <c r="Q13259">
        <v>2</v>
      </c>
      <c r="R13259" t="s">
        <v>43186</v>
      </c>
      <c r="S13259" t="s">
        <v>44047</v>
      </c>
      <c r="T13259" t="s">
        <v>44717</v>
      </c>
      <c r="U13259" t="s">
        <v>55733</v>
      </c>
      <c r="W13259" t="s">
        <v>58623</v>
      </c>
      <c r="X13259" t="s">
        <v>43187</v>
      </c>
    </row>
    <row r="13260" spans="1:24">
      <c r="A13260">
        <f>HYPERLINK("https://www.philgeps.gov.ph/GEPSNONPILOT/Tender/SplashBidNoticeAbstractUI.aspx?menuIndex=3&amp;refID=7051999&amp;Result=3","7051999")</f>
        <v>0</v>
      </c>
      <c r="B13260" t="s">
        <v>2320</v>
      </c>
      <c r="C13260" t="s">
        <v>16106</v>
      </c>
      <c r="D13260" t="s">
        <v>17462</v>
      </c>
      <c r="E13260" t="s">
        <v>28835</v>
      </c>
      <c r="F13260" t="s">
        <v>30052</v>
      </c>
      <c r="G13260" t="s">
        <v>30058</v>
      </c>
      <c r="H13260" t="s">
        <v>30067</v>
      </c>
      <c r="I13260" t="s">
        <v>3693</v>
      </c>
      <c r="J13260" t="s">
        <v>38245</v>
      </c>
      <c r="K13260" t="s">
        <v>39031</v>
      </c>
      <c r="M13260" t="s">
        <v>41807</v>
      </c>
      <c r="N13260" t="s">
        <v>43166</v>
      </c>
      <c r="O13260" t="s">
        <v>43167</v>
      </c>
      <c r="P13260">
        <v>0</v>
      </c>
      <c r="Q13260">
        <v>26</v>
      </c>
      <c r="R13260" t="s">
        <v>43186</v>
      </c>
      <c r="S13260" t="s">
        <v>44047</v>
      </c>
      <c r="T13260" t="s">
        <v>44870</v>
      </c>
      <c r="U13260" t="s">
        <v>51193</v>
      </c>
      <c r="V13260" t="s">
        <v>58173</v>
      </c>
      <c r="W13260" t="s">
        <v>58669</v>
      </c>
      <c r="X13260" t="s">
        <v>43187</v>
      </c>
    </row>
    <row r="13261" spans="1:24">
      <c r="A13261">
        <f>HYPERLINK("https://www.philgeps.gov.ph/GEPSNONPILOT/Tender/SplashBidNoticeAbstractUI.aspx?menuIndex=3&amp;refID=7051979&amp;Result=3","7051979")</f>
        <v>0</v>
      </c>
      <c r="B13261" t="s">
        <v>3351</v>
      </c>
      <c r="C13261" t="s">
        <v>16107</v>
      </c>
      <c r="D13261" t="s">
        <v>17427</v>
      </c>
      <c r="E13261" t="s">
        <v>26413</v>
      </c>
      <c r="F13261" t="s">
        <v>30052</v>
      </c>
      <c r="G13261" t="s">
        <v>30058</v>
      </c>
      <c r="H13261" t="s">
        <v>30067</v>
      </c>
      <c r="I13261" t="s">
        <v>30106</v>
      </c>
      <c r="J13261" t="s">
        <v>38246</v>
      </c>
      <c r="K13261" t="s">
        <v>39031</v>
      </c>
      <c r="M13261" t="s">
        <v>42995</v>
      </c>
      <c r="N13261" t="s">
        <v>43166</v>
      </c>
      <c r="O13261" t="s">
        <v>43167</v>
      </c>
      <c r="P13261">
        <v>0</v>
      </c>
      <c r="Q13261">
        <v>4</v>
      </c>
      <c r="R13261" t="s">
        <v>43186</v>
      </c>
      <c r="S13261" t="s">
        <v>44047</v>
      </c>
      <c r="T13261" t="s">
        <v>44685</v>
      </c>
      <c r="U13261" t="s">
        <v>55734</v>
      </c>
      <c r="W13261" t="s">
        <v>42995</v>
      </c>
      <c r="X13261" t="s">
        <v>43187</v>
      </c>
    </row>
    <row r="13262" spans="1:24">
      <c r="A13262">
        <f>HYPERLINK("https://www.philgeps.gov.ph/GEPSNONPILOT/Tender/SplashBidNoticeAbstractUI.aspx?menuIndex=3&amp;refID=7051976&amp;Result=3","7051976")</f>
        <v>0</v>
      </c>
      <c r="B13262" t="s">
        <v>3352</v>
      </c>
      <c r="C13262" t="s">
        <v>16108</v>
      </c>
      <c r="D13262" t="s">
        <v>17459</v>
      </c>
      <c r="E13262" t="s">
        <v>28836</v>
      </c>
      <c r="F13262" t="s">
        <v>30052</v>
      </c>
      <c r="G13262" t="s">
        <v>30058</v>
      </c>
      <c r="H13262" t="s">
        <v>15498</v>
      </c>
      <c r="I13262" t="s">
        <v>30074</v>
      </c>
      <c r="J13262" t="s">
        <v>38247</v>
      </c>
      <c r="K13262" t="s">
        <v>39023</v>
      </c>
      <c r="M13262" t="s">
        <v>42996</v>
      </c>
      <c r="N13262" t="s">
        <v>43166</v>
      </c>
      <c r="O13262" t="s">
        <v>43167</v>
      </c>
      <c r="P13262">
        <v>0</v>
      </c>
      <c r="Q13262">
        <v>4</v>
      </c>
      <c r="R13262" t="s">
        <v>43186</v>
      </c>
      <c r="S13262" t="s">
        <v>44047</v>
      </c>
      <c r="T13262" t="s">
        <v>44773</v>
      </c>
      <c r="U13262" t="s">
        <v>55735</v>
      </c>
      <c r="V13262" t="s">
        <v>58407</v>
      </c>
      <c r="W13262" t="s">
        <v>42996</v>
      </c>
      <c r="X13262" t="s">
        <v>43187</v>
      </c>
    </row>
    <row r="13263" spans="1:24">
      <c r="A13263">
        <f>HYPERLINK("https://www.philgeps.gov.ph/GEPSNONPILOT/Tender/SplashBidNoticeAbstractUI.aspx?menuIndex=3&amp;refID=7051963&amp;Result=3","7051963")</f>
        <v>0</v>
      </c>
      <c r="B13263" t="s">
        <v>358</v>
      </c>
      <c r="C13263" t="s">
        <v>16109</v>
      </c>
      <c r="D13263" t="s">
        <v>17421</v>
      </c>
      <c r="E13263" t="s">
        <v>18233</v>
      </c>
      <c r="F13263" t="s">
        <v>30052</v>
      </c>
      <c r="G13263" t="s">
        <v>30058</v>
      </c>
      <c r="H13263" t="s">
        <v>30067</v>
      </c>
      <c r="I13263" t="s">
        <v>3693</v>
      </c>
      <c r="J13263" t="s">
        <v>38248</v>
      </c>
      <c r="K13263" t="s">
        <v>39026</v>
      </c>
      <c r="M13263" t="s">
        <v>39655</v>
      </c>
      <c r="N13263" t="s">
        <v>43166</v>
      </c>
      <c r="O13263" t="s">
        <v>43167</v>
      </c>
      <c r="P13263">
        <v>0</v>
      </c>
      <c r="Q13263">
        <v>1</v>
      </c>
      <c r="R13263" t="s">
        <v>43186</v>
      </c>
      <c r="S13263" t="s">
        <v>44047</v>
      </c>
      <c r="T13263" t="s">
        <v>44969</v>
      </c>
      <c r="U13263" t="s">
        <v>55736</v>
      </c>
      <c r="W13263" t="s">
        <v>39655</v>
      </c>
      <c r="X13263" t="s">
        <v>43187</v>
      </c>
    </row>
    <row r="13264" spans="1:24">
      <c r="A13264">
        <f>HYPERLINK("https://www.philgeps.gov.ph/GEPSNONPILOT/Tender/SplashBidNoticeAbstractUI.aspx?menuIndex=3&amp;refID=7051946&amp;Result=3","7051946")</f>
        <v>0</v>
      </c>
      <c r="B13264" t="s">
        <v>3347</v>
      </c>
      <c r="C13264" t="s">
        <v>16110</v>
      </c>
      <c r="D13264" t="s">
        <v>17442</v>
      </c>
      <c r="E13264" t="s">
        <v>22731</v>
      </c>
      <c r="F13264" t="s">
        <v>30052</v>
      </c>
      <c r="G13264" t="s">
        <v>30058</v>
      </c>
      <c r="H13264" t="s">
        <v>30067</v>
      </c>
      <c r="I13264" t="s">
        <v>3693</v>
      </c>
      <c r="J13264" t="s">
        <v>38249</v>
      </c>
      <c r="K13264" t="s">
        <v>39205</v>
      </c>
      <c r="M13264" t="s">
        <v>42990</v>
      </c>
      <c r="N13264" t="s">
        <v>43166</v>
      </c>
      <c r="O13264" t="s">
        <v>43167</v>
      </c>
      <c r="P13264">
        <v>0</v>
      </c>
      <c r="Q13264">
        <v>0</v>
      </c>
      <c r="R13264" t="s">
        <v>43186</v>
      </c>
      <c r="S13264" t="s">
        <v>44047</v>
      </c>
      <c r="T13264" t="s">
        <v>44737</v>
      </c>
      <c r="U13264" t="s">
        <v>55721</v>
      </c>
      <c r="W13264" t="s">
        <v>42990</v>
      </c>
      <c r="X13264" t="s">
        <v>43187</v>
      </c>
    </row>
    <row r="13265" spans="1:24">
      <c r="A13265">
        <f>HYPERLINK("https://www.philgeps.gov.ph/GEPSNONPILOT/Tender/SplashBidNoticeAbstractUI.aspx?menuIndex=3&amp;refID=7051942&amp;Result=3","7051942")</f>
        <v>0</v>
      </c>
      <c r="B13265" t="s">
        <v>3336</v>
      </c>
      <c r="C13265" t="s">
        <v>16111</v>
      </c>
      <c r="D13265" t="s">
        <v>17459</v>
      </c>
      <c r="E13265" t="s">
        <v>18734</v>
      </c>
      <c r="F13265" t="s">
        <v>30052</v>
      </c>
      <c r="G13265" t="s">
        <v>30058</v>
      </c>
      <c r="H13265" t="s">
        <v>15498</v>
      </c>
      <c r="I13265" t="s">
        <v>30074</v>
      </c>
      <c r="J13265" t="s">
        <v>30247</v>
      </c>
      <c r="K13265" t="s">
        <v>39025</v>
      </c>
      <c r="M13265" t="s">
        <v>42979</v>
      </c>
      <c r="N13265" t="s">
        <v>43166</v>
      </c>
      <c r="O13265" t="s">
        <v>43167</v>
      </c>
      <c r="P13265">
        <v>0</v>
      </c>
      <c r="Q13265">
        <v>6</v>
      </c>
      <c r="R13265" t="s">
        <v>43186</v>
      </c>
      <c r="S13265" t="s">
        <v>44047</v>
      </c>
      <c r="T13265" t="s">
        <v>44832</v>
      </c>
      <c r="U13265" t="s">
        <v>55737</v>
      </c>
      <c r="W13265" t="s">
        <v>42979</v>
      </c>
      <c r="X13265" t="s">
        <v>43187</v>
      </c>
    </row>
    <row r="13266" spans="1:24">
      <c r="A13266">
        <f>HYPERLINK("https://www.philgeps.gov.ph/GEPSNONPILOT/Tender/SplashBidNoticeAbstractUI.aspx?menuIndex=3&amp;refID=7051935&amp;Result=3","7051935")</f>
        <v>0</v>
      </c>
      <c r="B13266" t="s">
        <v>1416</v>
      </c>
      <c r="C13266" t="s">
        <v>16112</v>
      </c>
      <c r="D13266" t="s">
        <v>17414</v>
      </c>
      <c r="E13266" t="s">
        <v>25154</v>
      </c>
      <c r="F13266" t="s">
        <v>30052</v>
      </c>
      <c r="G13266" t="s">
        <v>30058</v>
      </c>
      <c r="H13266" t="s">
        <v>15498</v>
      </c>
      <c r="I13266" t="s">
        <v>30074</v>
      </c>
      <c r="J13266" t="s">
        <v>33204</v>
      </c>
      <c r="K13266" t="s">
        <v>39037</v>
      </c>
      <c r="M13266" t="s">
        <v>40794</v>
      </c>
      <c r="N13266" t="s">
        <v>43166</v>
      </c>
      <c r="O13266" t="s">
        <v>43167</v>
      </c>
      <c r="P13266">
        <v>0</v>
      </c>
      <c r="Q13266">
        <v>4</v>
      </c>
      <c r="R13266" t="s">
        <v>43186</v>
      </c>
      <c r="S13266" t="s">
        <v>44047</v>
      </c>
      <c r="T13266" t="s">
        <v>44862</v>
      </c>
      <c r="U13266" t="s">
        <v>55738</v>
      </c>
      <c r="V13266" t="s">
        <v>58406</v>
      </c>
      <c r="W13266" t="s">
        <v>40794</v>
      </c>
      <c r="X13266" t="s">
        <v>43187</v>
      </c>
    </row>
    <row r="13267" spans="1:24">
      <c r="A13267">
        <f>HYPERLINK("https://www.philgeps.gov.ph/GEPSNONPILOT/Tender/SplashBidNoticeAbstractUI.aspx?menuIndex=3&amp;refID=7052139&amp;Result=3","7052139")</f>
        <v>0</v>
      </c>
      <c r="B13267" t="s">
        <v>2999</v>
      </c>
      <c r="C13267" t="s">
        <v>16113</v>
      </c>
      <c r="D13267" t="s">
        <v>17439</v>
      </c>
      <c r="E13267" t="s">
        <v>28837</v>
      </c>
      <c r="F13267" t="s">
        <v>30052</v>
      </c>
      <c r="G13267" t="s">
        <v>30058</v>
      </c>
      <c r="H13267" t="s">
        <v>15498</v>
      </c>
      <c r="I13267" t="s">
        <v>30151</v>
      </c>
      <c r="J13267" t="s">
        <v>33348</v>
      </c>
      <c r="K13267" t="s">
        <v>39029</v>
      </c>
      <c r="M13267" t="s">
        <v>42569</v>
      </c>
      <c r="N13267" t="s">
        <v>43166</v>
      </c>
      <c r="O13267" t="s">
        <v>43167</v>
      </c>
      <c r="P13267">
        <v>0</v>
      </c>
      <c r="Q13267">
        <v>4</v>
      </c>
      <c r="R13267" t="s">
        <v>43186</v>
      </c>
      <c r="S13267" t="s">
        <v>44047</v>
      </c>
      <c r="T13267" t="s">
        <v>44728</v>
      </c>
      <c r="U13267" t="s">
        <v>55739</v>
      </c>
      <c r="V13267" t="s">
        <v>58408</v>
      </c>
      <c r="W13267" t="s">
        <v>58697</v>
      </c>
      <c r="X13267" t="s">
        <v>43187</v>
      </c>
    </row>
    <row r="13268" spans="1:24">
      <c r="A13268">
        <f>HYPERLINK("https://www.philgeps.gov.ph/GEPSNONPILOT/Tender/SplashBidNoticeAbstractUI.aspx?menuIndex=3&amp;refID=7051819&amp;Result=3","7051819")</f>
        <v>0</v>
      </c>
      <c r="B13268" t="s">
        <v>3336</v>
      </c>
      <c r="C13268" t="s">
        <v>16114</v>
      </c>
      <c r="D13268" t="s">
        <v>17459</v>
      </c>
      <c r="E13268" t="s">
        <v>17745</v>
      </c>
      <c r="F13268" t="s">
        <v>30052</v>
      </c>
      <c r="G13268" t="s">
        <v>30058</v>
      </c>
      <c r="H13268" t="s">
        <v>30067</v>
      </c>
      <c r="I13268" t="s">
        <v>3693</v>
      </c>
      <c r="J13268" t="s">
        <v>38250</v>
      </c>
      <c r="K13268" t="s">
        <v>39025</v>
      </c>
      <c r="M13268" t="s">
        <v>42979</v>
      </c>
      <c r="N13268" t="s">
        <v>43166</v>
      </c>
      <c r="O13268" t="s">
        <v>43167</v>
      </c>
      <c r="P13268">
        <v>0</v>
      </c>
      <c r="Q13268">
        <v>4</v>
      </c>
      <c r="R13268" t="s">
        <v>43186</v>
      </c>
      <c r="S13268" t="s">
        <v>44047</v>
      </c>
      <c r="T13268" t="s">
        <v>44832</v>
      </c>
      <c r="U13268" t="s">
        <v>55740</v>
      </c>
      <c r="W13268" t="s">
        <v>42979</v>
      </c>
      <c r="X13268" t="s">
        <v>43187</v>
      </c>
    </row>
    <row r="13269" spans="1:24">
      <c r="A13269">
        <f>HYPERLINK("https://www.philgeps.gov.ph/GEPSNONPILOT/Tender/SplashBidNoticeAbstractUI.aspx?menuIndex=3&amp;refID=7052213&amp;Result=3","7052213")</f>
        <v>0</v>
      </c>
      <c r="B13269" t="s">
        <v>1502</v>
      </c>
      <c r="C13269" t="s">
        <v>16115</v>
      </c>
      <c r="D13269" t="s">
        <v>17416</v>
      </c>
      <c r="E13269" t="s">
        <v>28838</v>
      </c>
      <c r="F13269" t="s">
        <v>30052</v>
      </c>
      <c r="G13269" t="s">
        <v>30058</v>
      </c>
      <c r="H13269" t="s">
        <v>30067</v>
      </c>
      <c r="I13269" t="s">
        <v>3693</v>
      </c>
      <c r="J13269" t="s">
        <v>38251</v>
      </c>
      <c r="K13269" t="s">
        <v>39143</v>
      </c>
      <c r="M13269" t="s">
        <v>40886</v>
      </c>
      <c r="N13269" t="s">
        <v>43166</v>
      </c>
      <c r="O13269" t="s">
        <v>43167</v>
      </c>
      <c r="P13269">
        <v>0</v>
      </c>
      <c r="Q13269">
        <v>0</v>
      </c>
      <c r="R13269" t="s">
        <v>43186</v>
      </c>
      <c r="S13269" t="s">
        <v>44047</v>
      </c>
      <c r="T13269" t="s">
        <v>44841</v>
      </c>
      <c r="U13269" t="s">
        <v>55741</v>
      </c>
      <c r="W13269" t="s">
        <v>40886</v>
      </c>
      <c r="X13269" t="s">
        <v>43187</v>
      </c>
    </row>
    <row r="13270" spans="1:24">
      <c r="A13270">
        <f>HYPERLINK("https://www.philgeps.gov.ph/GEPSNONPILOT/Tender/SplashBidNoticeAbstractUI.aspx?menuIndex=3&amp;refID=7052171&amp;Result=3","7052171")</f>
        <v>0</v>
      </c>
      <c r="B13270" t="s">
        <v>1052</v>
      </c>
      <c r="C13270" t="s">
        <v>16116</v>
      </c>
      <c r="D13270" t="s">
        <v>17452</v>
      </c>
      <c r="E13270" t="s">
        <v>19805</v>
      </c>
      <c r="F13270" t="s">
        <v>30052</v>
      </c>
      <c r="G13270" t="s">
        <v>30058</v>
      </c>
      <c r="H13270" t="s">
        <v>30067</v>
      </c>
      <c r="I13270" t="s">
        <v>3693</v>
      </c>
      <c r="J13270" t="s">
        <v>38252</v>
      </c>
      <c r="K13270" t="s">
        <v>39155</v>
      </c>
      <c r="M13270" t="s">
        <v>40385</v>
      </c>
      <c r="N13270" t="s">
        <v>43166</v>
      </c>
      <c r="O13270" t="s">
        <v>43167</v>
      </c>
      <c r="P13270">
        <v>0</v>
      </c>
      <c r="Q13270">
        <v>1</v>
      </c>
      <c r="R13270" t="s">
        <v>43186</v>
      </c>
      <c r="S13270" t="s">
        <v>44047</v>
      </c>
      <c r="T13270" t="s">
        <v>44862</v>
      </c>
      <c r="U13270" t="s">
        <v>55742</v>
      </c>
      <c r="V13270" t="s">
        <v>58409</v>
      </c>
      <c r="W13270" t="s">
        <v>40385</v>
      </c>
      <c r="X13270" t="s">
        <v>43187</v>
      </c>
    </row>
    <row r="13271" spans="1:24">
      <c r="A13271">
        <f>HYPERLINK("https://www.philgeps.gov.ph/GEPSNONPILOT/Tender/SplashBidNoticeAbstractUI.aspx?menuIndex=3&amp;refID=7052168&amp;Result=3","7052168")</f>
        <v>0</v>
      </c>
      <c r="B13271" t="s">
        <v>1321</v>
      </c>
      <c r="C13271" t="s">
        <v>16117</v>
      </c>
      <c r="D13271" t="s">
        <v>17424</v>
      </c>
      <c r="E13271" t="s">
        <v>28839</v>
      </c>
      <c r="F13271" t="s">
        <v>30052</v>
      </c>
      <c r="G13271" t="s">
        <v>30058</v>
      </c>
      <c r="H13271" t="s">
        <v>15498</v>
      </c>
      <c r="I13271" t="s">
        <v>30126</v>
      </c>
      <c r="J13271" t="s">
        <v>38253</v>
      </c>
      <c r="K13271" t="s">
        <v>39023</v>
      </c>
      <c r="M13271" t="s">
        <v>40688</v>
      </c>
      <c r="N13271" t="s">
        <v>43166</v>
      </c>
      <c r="O13271" t="s">
        <v>43167</v>
      </c>
      <c r="Q13271">
        <v>1</v>
      </c>
      <c r="R13271" t="s">
        <v>43186</v>
      </c>
      <c r="S13271" t="s">
        <v>44116</v>
      </c>
      <c r="T13271" t="s">
        <v>44777</v>
      </c>
      <c r="U13271" t="s">
        <v>55743</v>
      </c>
      <c r="W13271" t="s">
        <v>40688</v>
      </c>
      <c r="X13271" t="s">
        <v>43187</v>
      </c>
    </row>
    <row r="13272" spans="1:24">
      <c r="A13272">
        <f>HYPERLINK("https://www.philgeps.gov.ph/GEPSNONPILOT/Tender/SplashBidNoticeAbstractUI.aspx?menuIndex=3&amp;refID=7051974&amp;Result=3","7051974")</f>
        <v>0</v>
      </c>
      <c r="B13272" t="s">
        <v>1804</v>
      </c>
      <c r="C13272" t="s">
        <v>16118</v>
      </c>
      <c r="E13272" t="s">
        <v>28840</v>
      </c>
      <c r="F13272" t="s">
        <v>30052</v>
      </c>
      <c r="G13272" t="s">
        <v>30058</v>
      </c>
      <c r="H13272" t="s">
        <v>15498</v>
      </c>
      <c r="I13272" t="s">
        <v>3852</v>
      </c>
      <c r="J13272" t="s">
        <v>33141</v>
      </c>
      <c r="K13272" t="s">
        <v>39025</v>
      </c>
      <c r="M13272" t="s">
        <v>41227</v>
      </c>
      <c r="N13272" t="s">
        <v>43166</v>
      </c>
      <c r="O13272" t="s">
        <v>43167</v>
      </c>
      <c r="P13272">
        <v>0</v>
      </c>
      <c r="Q13272">
        <v>4</v>
      </c>
      <c r="R13272" t="s">
        <v>43186</v>
      </c>
      <c r="S13272" t="s">
        <v>44047</v>
      </c>
      <c r="T13272" t="s">
        <v>44753</v>
      </c>
      <c r="U13272" t="s">
        <v>55711</v>
      </c>
      <c r="W13272" t="s">
        <v>41227</v>
      </c>
      <c r="X13272" t="s">
        <v>43187</v>
      </c>
    </row>
    <row r="13273" spans="1:24">
      <c r="A13273">
        <f>HYPERLINK("https://www.philgeps.gov.ph/GEPSNONPILOT/Tender/SplashBidNoticeAbstractUI.aspx?menuIndex=3&amp;refID=7052166&amp;Result=3","7052166")</f>
        <v>0</v>
      </c>
      <c r="B13273" t="s">
        <v>3239</v>
      </c>
      <c r="C13273" t="s">
        <v>16119</v>
      </c>
      <c r="D13273" t="s">
        <v>17414</v>
      </c>
      <c r="E13273" t="s">
        <v>28841</v>
      </c>
      <c r="F13273" t="s">
        <v>30052</v>
      </c>
      <c r="G13273" t="s">
        <v>30058</v>
      </c>
      <c r="H13273" t="s">
        <v>15498</v>
      </c>
      <c r="I13273" t="s">
        <v>30092</v>
      </c>
      <c r="J13273" t="s">
        <v>30377</v>
      </c>
      <c r="K13273" t="s">
        <v>39019</v>
      </c>
      <c r="M13273" t="s">
        <v>42866</v>
      </c>
      <c r="N13273" t="s">
        <v>43166</v>
      </c>
      <c r="O13273" t="s">
        <v>43167</v>
      </c>
      <c r="P13273">
        <v>0</v>
      </c>
      <c r="Q13273">
        <v>1</v>
      </c>
      <c r="R13273" t="s">
        <v>43186</v>
      </c>
      <c r="S13273" t="s">
        <v>44047</v>
      </c>
      <c r="T13273" t="s">
        <v>44856</v>
      </c>
      <c r="U13273" t="s">
        <v>55744</v>
      </c>
      <c r="W13273" t="s">
        <v>42866</v>
      </c>
      <c r="X13273" t="s">
        <v>43187</v>
      </c>
    </row>
    <row r="13274" spans="1:24">
      <c r="A13274">
        <f>HYPERLINK("https://www.philgeps.gov.ph/GEPSNONPILOT/Tender/SplashBidNoticeAbstractUI.aspx?menuIndex=3&amp;refID=7052154&amp;Result=3","7052154")</f>
        <v>0</v>
      </c>
      <c r="B13274" t="s">
        <v>3212</v>
      </c>
      <c r="C13274" t="s">
        <v>16120</v>
      </c>
      <c r="D13274" t="s">
        <v>17494</v>
      </c>
      <c r="E13274" t="s">
        <v>28842</v>
      </c>
      <c r="F13274" t="s">
        <v>30052</v>
      </c>
      <c r="G13274" t="s">
        <v>30058</v>
      </c>
      <c r="H13274" t="s">
        <v>15498</v>
      </c>
      <c r="I13274" t="s">
        <v>30074</v>
      </c>
      <c r="J13274" t="s">
        <v>30247</v>
      </c>
      <c r="K13274" t="s">
        <v>39023</v>
      </c>
      <c r="M13274" t="s">
        <v>42835</v>
      </c>
      <c r="N13274" t="s">
        <v>43166</v>
      </c>
      <c r="O13274" t="s">
        <v>43167</v>
      </c>
      <c r="P13274">
        <v>0</v>
      </c>
      <c r="Q13274">
        <v>1</v>
      </c>
      <c r="R13274" t="s">
        <v>43186</v>
      </c>
      <c r="S13274" t="s">
        <v>44047</v>
      </c>
      <c r="T13274" t="s">
        <v>44870</v>
      </c>
      <c r="U13274" t="s">
        <v>55745</v>
      </c>
      <c r="W13274" t="s">
        <v>42835</v>
      </c>
      <c r="X13274" t="s">
        <v>43187</v>
      </c>
    </row>
    <row r="13275" spans="1:24">
      <c r="A13275">
        <f>HYPERLINK("https://www.philgeps.gov.ph/GEPSNONPILOT/Tender/SplashBidNoticeAbstractUI.aspx?menuIndex=3&amp;refID=7052147&amp;Result=3","7052147")</f>
        <v>0</v>
      </c>
      <c r="B13275" t="s">
        <v>1321</v>
      </c>
      <c r="C13275" t="s">
        <v>16121</v>
      </c>
      <c r="D13275" t="s">
        <v>17424</v>
      </c>
      <c r="E13275" t="s">
        <v>28843</v>
      </c>
      <c r="F13275" t="s">
        <v>30052</v>
      </c>
      <c r="G13275" t="s">
        <v>30058</v>
      </c>
      <c r="H13275" t="s">
        <v>15498</v>
      </c>
      <c r="I13275" t="s">
        <v>30126</v>
      </c>
      <c r="J13275" t="s">
        <v>34234</v>
      </c>
      <c r="K13275" t="s">
        <v>39023</v>
      </c>
      <c r="M13275" t="s">
        <v>40688</v>
      </c>
      <c r="N13275" t="s">
        <v>43166</v>
      </c>
      <c r="O13275" t="s">
        <v>43167</v>
      </c>
      <c r="Q13275">
        <v>2</v>
      </c>
      <c r="R13275" t="s">
        <v>43186</v>
      </c>
      <c r="S13275" t="s">
        <v>44117</v>
      </c>
      <c r="T13275" t="s">
        <v>44777</v>
      </c>
      <c r="U13275" t="s">
        <v>55746</v>
      </c>
      <c r="W13275" t="s">
        <v>40688</v>
      </c>
      <c r="X13275" t="s">
        <v>43187</v>
      </c>
    </row>
    <row r="13276" spans="1:24">
      <c r="A13276">
        <f>HYPERLINK("https://www.philgeps.gov.ph/GEPSNONPILOT/Tender/SplashBidNoticeAbstractUI.aspx?menuIndex=3&amp;refID=7052112&amp;Result=3","7052112")</f>
        <v>0</v>
      </c>
      <c r="B13276" t="s">
        <v>2999</v>
      </c>
      <c r="C13276" t="s">
        <v>16122</v>
      </c>
      <c r="D13276" t="s">
        <v>17439</v>
      </c>
      <c r="E13276" t="s">
        <v>28844</v>
      </c>
      <c r="F13276" t="s">
        <v>30052</v>
      </c>
      <c r="G13276" t="s">
        <v>30058</v>
      </c>
      <c r="H13276" t="s">
        <v>15498</v>
      </c>
      <c r="I13276" t="s">
        <v>30070</v>
      </c>
      <c r="J13276" t="s">
        <v>38254</v>
      </c>
      <c r="K13276" t="s">
        <v>39029</v>
      </c>
      <c r="M13276" t="s">
        <v>42569</v>
      </c>
      <c r="N13276" t="s">
        <v>43166</v>
      </c>
      <c r="O13276" t="s">
        <v>43167</v>
      </c>
      <c r="P13276">
        <v>0</v>
      </c>
      <c r="Q13276">
        <v>3</v>
      </c>
      <c r="R13276" t="s">
        <v>43186</v>
      </c>
      <c r="S13276" t="s">
        <v>44047</v>
      </c>
      <c r="T13276" t="s">
        <v>44728</v>
      </c>
      <c r="U13276" t="s">
        <v>55747</v>
      </c>
      <c r="V13276" t="s">
        <v>58410</v>
      </c>
      <c r="W13276" t="s">
        <v>58697</v>
      </c>
      <c r="X13276" t="s">
        <v>43187</v>
      </c>
    </row>
    <row r="13277" spans="1:24">
      <c r="A13277">
        <f>HYPERLINK("https://www.philgeps.gov.ph/GEPSNONPILOT/Tender/SplashBidNoticeAbstractUI.aspx?menuIndex=3&amp;refID=7051858&amp;Result=3","7051858")</f>
        <v>0</v>
      </c>
      <c r="B13277" t="s">
        <v>1658</v>
      </c>
      <c r="C13277" t="s">
        <v>16123</v>
      </c>
      <c r="E13277" t="s">
        <v>28845</v>
      </c>
      <c r="F13277" t="s">
        <v>30052</v>
      </c>
      <c r="G13277" t="s">
        <v>30058</v>
      </c>
      <c r="H13277" t="s">
        <v>30067</v>
      </c>
      <c r="I13277" t="s">
        <v>3693</v>
      </c>
      <c r="J13277" t="s">
        <v>38255</v>
      </c>
      <c r="K13277" t="s">
        <v>39025</v>
      </c>
      <c r="M13277" t="s">
        <v>41063</v>
      </c>
      <c r="N13277" t="s">
        <v>43166</v>
      </c>
      <c r="O13277" t="s">
        <v>43167</v>
      </c>
      <c r="Q13277">
        <v>4</v>
      </c>
      <c r="R13277" t="s">
        <v>43186</v>
      </c>
      <c r="S13277" t="s">
        <v>44118</v>
      </c>
      <c r="T13277" t="s">
        <v>44722</v>
      </c>
      <c r="U13277" t="s">
        <v>55748</v>
      </c>
      <c r="V13277" t="s">
        <v>58411</v>
      </c>
      <c r="W13277" t="s">
        <v>41063</v>
      </c>
      <c r="X13277" t="s">
        <v>43187</v>
      </c>
    </row>
    <row r="13278" spans="1:24">
      <c r="A13278">
        <f>HYPERLINK("https://www.philgeps.gov.ph/GEPSNONPILOT/Tender/SplashBidNoticeAbstractUI.aspx?menuIndex=3&amp;refID=7052084&amp;Result=3","7052084")</f>
        <v>0</v>
      </c>
      <c r="B13278" t="s">
        <v>1014</v>
      </c>
      <c r="C13278" t="s">
        <v>16124</v>
      </c>
      <c r="D13278" t="s">
        <v>17465</v>
      </c>
      <c r="E13278" t="s">
        <v>28846</v>
      </c>
      <c r="F13278" t="s">
        <v>30052</v>
      </c>
      <c r="G13278" t="s">
        <v>30058</v>
      </c>
      <c r="H13278" t="s">
        <v>15498</v>
      </c>
      <c r="I13278" t="s">
        <v>30144</v>
      </c>
      <c r="J13278" t="s">
        <v>38256</v>
      </c>
      <c r="K13278" t="s">
        <v>39025</v>
      </c>
      <c r="M13278" t="s">
        <v>40343</v>
      </c>
      <c r="N13278" t="s">
        <v>43166</v>
      </c>
      <c r="O13278" t="s">
        <v>43167</v>
      </c>
      <c r="Q13278">
        <v>1</v>
      </c>
      <c r="R13278" t="s">
        <v>43186</v>
      </c>
      <c r="S13278" t="s">
        <v>44119</v>
      </c>
      <c r="T13278" t="s">
        <v>44717</v>
      </c>
      <c r="U13278" t="s">
        <v>55749</v>
      </c>
      <c r="W13278" t="s">
        <v>58623</v>
      </c>
      <c r="X13278" t="s">
        <v>43187</v>
      </c>
    </row>
    <row r="13279" spans="1:24">
      <c r="A13279">
        <f>HYPERLINK("https://www.philgeps.gov.ph/GEPSNONPILOT/Tender/SplashBidNoticeAbstractUI.aspx?menuIndex=3&amp;refID=7052173&amp;Result=3","7052173")</f>
        <v>0</v>
      </c>
      <c r="B13279" t="s">
        <v>2229</v>
      </c>
      <c r="C13279" t="s">
        <v>16125</v>
      </c>
      <c r="D13279" t="s">
        <v>17413</v>
      </c>
      <c r="E13279" t="s">
        <v>28847</v>
      </c>
      <c r="F13279" t="s">
        <v>30052</v>
      </c>
      <c r="G13279" t="s">
        <v>30058</v>
      </c>
      <c r="H13279" t="s">
        <v>30067</v>
      </c>
      <c r="I13279" t="s">
        <v>3693</v>
      </c>
      <c r="J13279" t="s">
        <v>38257</v>
      </c>
      <c r="K13279" t="s">
        <v>39023</v>
      </c>
      <c r="M13279" t="s">
        <v>41701</v>
      </c>
      <c r="N13279" t="s">
        <v>43166</v>
      </c>
      <c r="O13279" t="s">
        <v>43167</v>
      </c>
      <c r="P13279">
        <v>0</v>
      </c>
      <c r="Q13279">
        <v>0</v>
      </c>
      <c r="R13279" t="s">
        <v>43186</v>
      </c>
      <c r="S13279" t="s">
        <v>44047</v>
      </c>
      <c r="T13279" t="s">
        <v>44734</v>
      </c>
      <c r="U13279" t="s">
        <v>55641</v>
      </c>
      <c r="V13279" t="s">
        <v>58412</v>
      </c>
      <c r="W13279" t="s">
        <v>41701</v>
      </c>
      <c r="X13279" t="s">
        <v>43187</v>
      </c>
    </row>
    <row r="13280" spans="1:24">
      <c r="A13280">
        <f>HYPERLINK("https://www.philgeps.gov.ph/GEPSNONPILOT/Tender/SplashBidNoticeAbstractUI.aspx?menuIndex=3&amp;refID=7052077&amp;Result=3","7052077")</f>
        <v>0</v>
      </c>
      <c r="B13280" t="s">
        <v>2229</v>
      </c>
      <c r="C13280" t="s">
        <v>16126</v>
      </c>
      <c r="D13280" t="s">
        <v>17413</v>
      </c>
      <c r="E13280" t="s">
        <v>28848</v>
      </c>
      <c r="F13280" t="s">
        <v>30052</v>
      </c>
      <c r="G13280" t="s">
        <v>30058</v>
      </c>
      <c r="H13280" t="s">
        <v>30067</v>
      </c>
      <c r="I13280" t="s">
        <v>3693</v>
      </c>
      <c r="J13280" t="s">
        <v>38258</v>
      </c>
      <c r="K13280" t="s">
        <v>39092</v>
      </c>
      <c r="M13280" t="s">
        <v>41701</v>
      </c>
      <c r="N13280" t="s">
        <v>43166</v>
      </c>
      <c r="O13280" t="s">
        <v>43167</v>
      </c>
      <c r="P13280">
        <v>0</v>
      </c>
      <c r="Q13280">
        <v>0</v>
      </c>
      <c r="R13280" t="s">
        <v>43186</v>
      </c>
      <c r="S13280" t="s">
        <v>44047</v>
      </c>
      <c r="T13280" t="s">
        <v>44734</v>
      </c>
      <c r="U13280" t="s">
        <v>55750</v>
      </c>
      <c r="V13280" t="s">
        <v>58413</v>
      </c>
      <c r="W13280" t="s">
        <v>41701</v>
      </c>
      <c r="X13280" t="s">
        <v>43187</v>
      </c>
    </row>
    <row r="13281" spans="1:24">
      <c r="A13281">
        <f>HYPERLINK("https://www.philgeps.gov.ph/GEPSNONPILOT/Tender/SplashBidNoticeAbstractUI.aspx?menuIndex=3&amp;refID=7052060&amp;Result=3","7052060")</f>
        <v>0</v>
      </c>
      <c r="B13281" t="s">
        <v>1014</v>
      </c>
      <c r="C13281" t="s">
        <v>16127</v>
      </c>
      <c r="D13281" t="s">
        <v>17465</v>
      </c>
      <c r="E13281" t="s">
        <v>28849</v>
      </c>
      <c r="F13281" t="s">
        <v>30052</v>
      </c>
      <c r="G13281" t="s">
        <v>30058</v>
      </c>
      <c r="H13281" t="s">
        <v>15498</v>
      </c>
      <c r="I13281" t="s">
        <v>30144</v>
      </c>
      <c r="J13281" t="s">
        <v>37390</v>
      </c>
      <c r="K13281" t="s">
        <v>39025</v>
      </c>
      <c r="M13281" t="s">
        <v>40343</v>
      </c>
      <c r="N13281" t="s">
        <v>43166</v>
      </c>
      <c r="O13281" t="s">
        <v>43167</v>
      </c>
      <c r="P13281">
        <v>0</v>
      </c>
      <c r="Q13281">
        <v>1</v>
      </c>
      <c r="R13281" t="s">
        <v>43186</v>
      </c>
      <c r="S13281" t="s">
        <v>44047</v>
      </c>
      <c r="T13281" t="s">
        <v>44717</v>
      </c>
      <c r="U13281" t="s">
        <v>55751</v>
      </c>
      <c r="W13281" t="s">
        <v>58623</v>
      </c>
      <c r="X13281" t="s">
        <v>43187</v>
      </c>
    </row>
    <row r="13282" spans="1:24">
      <c r="A13282">
        <f>HYPERLINK("https://www.philgeps.gov.ph/GEPSNONPILOT/Tender/SplashBidNoticeAbstractUI.aspx?menuIndex=3&amp;refID=7052031&amp;Result=3","7052031")</f>
        <v>0</v>
      </c>
      <c r="B13282" t="s">
        <v>1014</v>
      </c>
      <c r="C13282" t="s">
        <v>16128</v>
      </c>
      <c r="D13282" t="s">
        <v>17465</v>
      </c>
      <c r="E13282" t="s">
        <v>28850</v>
      </c>
      <c r="F13282" t="s">
        <v>30052</v>
      </c>
      <c r="G13282" t="s">
        <v>30058</v>
      </c>
      <c r="H13282" t="s">
        <v>15498</v>
      </c>
      <c r="I13282" t="s">
        <v>30137</v>
      </c>
      <c r="J13282" t="s">
        <v>38259</v>
      </c>
      <c r="K13282" t="s">
        <v>39025</v>
      </c>
      <c r="M13282" t="s">
        <v>40343</v>
      </c>
      <c r="N13282" t="s">
        <v>43166</v>
      </c>
      <c r="O13282" t="s">
        <v>43167</v>
      </c>
      <c r="P13282">
        <v>0</v>
      </c>
      <c r="Q13282">
        <v>4</v>
      </c>
      <c r="R13282" t="s">
        <v>43186</v>
      </c>
      <c r="S13282" t="s">
        <v>44047</v>
      </c>
      <c r="T13282" t="s">
        <v>44717</v>
      </c>
      <c r="U13282" t="s">
        <v>55752</v>
      </c>
      <c r="W13282" t="s">
        <v>58623</v>
      </c>
      <c r="X13282" t="s">
        <v>43187</v>
      </c>
    </row>
    <row r="13283" spans="1:24">
      <c r="A13283">
        <f>HYPERLINK("https://www.philgeps.gov.ph/GEPSNONPILOT/Tender/SplashBidNoticeAbstractUI.aspx?menuIndex=3&amp;refID=7052041&amp;Result=3","7052041")</f>
        <v>0</v>
      </c>
      <c r="B13283" t="s">
        <v>2320</v>
      </c>
      <c r="C13283" t="s">
        <v>16129</v>
      </c>
      <c r="D13283" t="s">
        <v>17462</v>
      </c>
      <c r="E13283" t="s">
        <v>28851</v>
      </c>
      <c r="F13283" t="s">
        <v>30052</v>
      </c>
      <c r="G13283" t="s">
        <v>30058</v>
      </c>
      <c r="H13283" t="s">
        <v>30067</v>
      </c>
      <c r="I13283" t="s">
        <v>3693</v>
      </c>
      <c r="J13283" t="s">
        <v>30281</v>
      </c>
      <c r="K13283" t="s">
        <v>39061</v>
      </c>
      <c r="M13283" t="s">
        <v>41807</v>
      </c>
      <c r="N13283" t="s">
        <v>43166</v>
      </c>
      <c r="O13283" t="s">
        <v>43167</v>
      </c>
      <c r="P13283">
        <v>0</v>
      </c>
      <c r="Q13283">
        <v>24</v>
      </c>
      <c r="R13283" t="s">
        <v>43186</v>
      </c>
      <c r="S13283" t="s">
        <v>44047</v>
      </c>
      <c r="T13283" t="s">
        <v>44870</v>
      </c>
      <c r="U13283" t="s">
        <v>51193</v>
      </c>
      <c r="V13283" t="s">
        <v>58173</v>
      </c>
      <c r="W13283" t="s">
        <v>58669</v>
      </c>
      <c r="X13283" t="s">
        <v>43187</v>
      </c>
    </row>
    <row r="13284" spans="1:24">
      <c r="A13284">
        <f>HYPERLINK("https://www.philgeps.gov.ph/GEPSNONPILOT/Tender/SplashBidNoticeAbstractUI.aspx?menuIndex=3&amp;refID=7052120&amp;Result=3","7052120")</f>
        <v>0</v>
      </c>
      <c r="B13284" t="s">
        <v>1321</v>
      </c>
      <c r="C13284" t="s">
        <v>16130</v>
      </c>
      <c r="D13284" t="s">
        <v>17424</v>
      </c>
      <c r="E13284" t="s">
        <v>28852</v>
      </c>
      <c r="F13284" t="s">
        <v>30052</v>
      </c>
      <c r="G13284" t="s">
        <v>30058</v>
      </c>
      <c r="H13284" t="s">
        <v>15498</v>
      </c>
      <c r="I13284" t="s">
        <v>30126</v>
      </c>
      <c r="J13284" t="s">
        <v>30532</v>
      </c>
      <c r="K13284" t="s">
        <v>39046</v>
      </c>
      <c r="M13284" t="s">
        <v>40688</v>
      </c>
      <c r="N13284" t="s">
        <v>43166</v>
      </c>
      <c r="O13284" t="s">
        <v>43167</v>
      </c>
      <c r="Q13284">
        <v>1</v>
      </c>
      <c r="R13284" t="s">
        <v>43186</v>
      </c>
      <c r="S13284" t="s">
        <v>44120</v>
      </c>
      <c r="T13284" t="s">
        <v>44777</v>
      </c>
      <c r="U13284" t="s">
        <v>55753</v>
      </c>
      <c r="W13284" t="s">
        <v>40688</v>
      </c>
      <c r="X13284" t="s">
        <v>43187</v>
      </c>
    </row>
    <row r="13285" spans="1:24">
      <c r="A13285">
        <f>HYPERLINK("https://www.philgeps.gov.ph/GEPSNONPILOT/Tender/SplashBidNoticeAbstractUI.aspx?menuIndex=3&amp;refID=7052313&amp;Result=3","7052313")</f>
        <v>0</v>
      </c>
      <c r="B13285" t="s">
        <v>1589</v>
      </c>
      <c r="C13285" t="s">
        <v>16131</v>
      </c>
      <c r="D13285" t="s">
        <v>17494</v>
      </c>
      <c r="E13285" t="s">
        <v>28853</v>
      </c>
      <c r="F13285" t="s">
        <v>30052</v>
      </c>
      <c r="G13285" t="s">
        <v>30058</v>
      </c>
      <c r="H13285" t="s">
        <v>30068</v>
      </c>
      <c r="I13285" t="s">
        <v>3693</v>
      </c>
      <c r="J13285" t="s">
        <v>38260</v>
      </c>
      <c r="K13285" t="s">
        <v>39047</v>
      </c>
      <c r="M13285" t="s">
        <v>40982</v>
      </c>
      <c r="N13285" t="s">
        <v>43166</v>
      </c>
      <c r="O13285" t="s">
        <v>43167</v>
      </c>
      <c r="P13285">
        <v>0</v>
      </c>
      <c r="Q13285">
        <v>1</v>
      </c>
      <c r="R13285" t="s">
        <v>43186</v>
      </c>
      <c r="S13285" t="s">
        <v>44047</v>
      </c>
      <c r="T13285" t="s">
        <v>44773</v>
      </c>
      <c r="U13285" t="s">
        <v>55754</v>
      </c>
      <c r="W13285" t="s">
        <v>40982</v>
      </c>
      <c r="X13285" t="s">
        <v>43187</v>
      </c>
    </row>
    <row r="13286" spans="1:24">
      <c r="A13286">
        <f>HYPERLINK("https://www.philgeps.gov.ph/GEPSNONPILOT/Tender/SplashBidNoticeAbstractUI.aspx?menuIndex=3&amp;refID=7052325&amp;Result=3","7052325")</f>
        <v>0</v>
      </c>
      <c r="B13286" t="s">
        <v>1589</v>
      </c>
      <c r="C13286" t="s">
        <v>16132</v>
      </c>
      <c r="D13286" t="s">
        <v>17494</v>
      </c>
      <c r="E13286" t="s">
        <v>28854</v>
      </c>
      <c r="F13286" t="s">
        <v>30052</v>
      </c>
      <c r="G13286" t="s">
        <v>30058</v>
      </c>
      <c r="H13286" t="s">
        <v>30068</v>
      </c>
      <c r="I13286" t="s">
        <v>3693</v>
      </c>
      <c r="J13286" t="s">
        <v>38261</v>
      </c>
      <c r="K13286" t="s">
        <v>39034</v>
      </c>
      <c r="M13286" t="s">
        <v>40982</v>
      </c>
      <c r="N13286" t="s">
        <v>43166</v>
      </c>
      <c r="O13286" t="s">
        <v>43167</v>
      </c>
      <c r="P13286">
        <v>0</v>
      </c>
      <c r="Q13286">
        <v>1</v>
      </c>
      <c r="R13286" t="s">
        <v>43186</v>
      </c>
      <c r="S13286" t="s">
        <v>44047</v>
      </c>
      <c r="T13286" t="s">
        <v>44773</v>
      </c>
      <c r="U13286" t="s">
        <v>55755</v>
      </c>
      <c r="W13286" t="s">
        <v>40982</v>
      </c>
      <c r="X13286" t="s">
        <v>43187</v>
      </c>
    </row>
    <row r="13287" spans="1:24">
      <c r="A13287">
        <f>HYPERLINK("https://www.philgeps.gov.ph/GEPSNONPILOT/Tender/SplashBidNoticeAbstractUI.aspx?menuIndex=3&amp;refID=7052321&amp;Result=3","7052321")</f>
        <v>0</v>
      </c>
      <c r="B13287" t="s">
        <v>783</v>
      </c>
      <c r="C13287" t="s">
        <v>16133</v>
      </c>
      <c r="D13287" t="s">
        <v>17448</v>
      </c>
      <c r="E13287" t="s">
        <v>28855</v>
      </c>
      <c r="F13287" t="s">
        <v>30052</v>
      </c>
      <c r="G13287" t="s">
        <v>30058</v>
      </c>
      <c r="H13287" t="s">
        <v>30067</v>
      </c>
      <c r="I13287" t="s">
        <v>3693</v>
      </c>
      <c r="J13287" t="s">
        <v>38262</v>
      </c>
      <c r="K13287" t="s">
        <v>39033</v>
      </c>
      <c r="M13287" t="s">
        <v>40099</v>
      </c>
      <c r="N13287" t="s">
        <v>43166</v>
      </c>
      <c r="O13287" t="s">
        <v>43167</v>
      </c>
      <c r="P13287">
        <v>0</v>
      </c>
      <c r="Q13287">
        <v>0</v>
      </c>
      <c r="R13287" t="s">
        <v>43186</v>
      </c>
      <c r="S13287" t="s">
        <v>44047</v>
      </c>
      <c r="T13287" t="s">
        <v>44870</v>
      </c>
      <c r="U13287" t="s">
        <v>55756</v>
      </c>
      <c r="W13287" t="s">
        <v>40099</v>
      </c>
      <c r="X13287" t="s">
        <v>43187</v>
      </c>
    </row>
    <row r="13288" spans="1:24">
      <c r="A13288">
        <f>HYPERLINK("https://www.philgeps.gov.ph/GEPSNONPILOT/Tender/SplashBidNoticeAbstractUI.aspx?menuIndex=3&amp;refID=7051861&amp;Result=3","7051861")</f>
        <v>0</v>
      </c>
      <c r="B13288" t="s">
        <v>1416</v>
      </c>
      <c r="C13288" t="s">
        <v>16134</v>
      </c>
      <c r="D13288" t="s">
        <v>17414</v>
      </c>
      <c r="E13288" t="s">
        <v>27403</v>
      </c>
      <c r="F13288" t="s">
        <v>30052</v>
      </c>
      <c r="G13288" t="s">
        <v>30058</v>
      </c>
      <c r="H13288" t="s">
        <v>15498</v>
      </c>
      <c r="I13288" t="s">
        <v>3736</v>
      </c>
      <c r="J13288" t="s">
        <v>38263</v>
      </c>
      <c r="K13288" t="s">
        <v>39037</v>
      </c>
      <c r="M13288" t="s">
        <v>40794</v>
      </c>
      <c r="N13288" t="s">
        <v>43166</v>
      </c>
      <c r="O13288" t="s">
        <v>43167</v>
      </c>
      <c r="P13288">
        <v>0</v>
      </c>
      <c r="Q13288">
        <v>0</v>
      </c>
      <c r="R13288" t="s">
        <v>43186</v>
      </c>
      <c r="S13288" t="s">
        <v>44047</v>
      </c>
      <c r="T13288" t="s">
        <v>44862</v>
      </c>
      <c r="U13288" t="s">
        <v>55757</v>
      </c>
      <c r="V13288" t="s">
        <v>58406</v>
      </c>
      <c r="W13288" t="s">
        <v>40794</v>
      </c>
      <c r="X13288" t="s">
        <v>43187</v>
      </c>
    </row>
    <row r="13289" spans="1:24">
      <c r="A13289">
        <f>HYPERLINK("https://www.philgeps.gov.ph/GEPSNONPILOT/Tender/SplashBidNoticeAbstractUI.aspx?menuIndex=3&amp;refID=7052106&amp;Result=3","7052106")</f>
        <v>0</v>
      </c>
      <c r="B13289" t="s">
        <v>151</v>
      </c>
      <c r="C13289" t="s">
        <v>16135</v>
      </c>
      <c r="D13289" t="s">
        <v>17476</v>
      </c>
      <c r="E13289" t="s">
        <v>28856</v>
      </c>
      <c r="F13289" t="s">
        <v>30052</v>
      </c>
      <c r="G13289" t="s">
        <v>30058</v>
      </c>
      <c r="H13289" t="s">
        <v>15498</v>
      </c>
      <c r="I13289" t="s">
        <v>30078</v>
      </c>
      <c r="J13289" t="s">
        <v>38264</v>
      </c>
      <c r="K13289" t="s">
        <v>39029</v>
      </c>
      <c r="M13289" t="s">
        <v>39440</v>
      </c>
      <c r="N13289" t="s">
        <v>43166</v>
      </c>
      <c r="O13289" t="s">
        <v>43167</v>
      </c>
      <c r="Q13289">
        <v>4</v>
      </c>
      <c r="R13289" t="s">
        <v>43186</v>
      </c>
      <c r="S13289" t="s">
        <v>44121</v>
      </c>
      <c r="T13289" t="s">
        <v>44773</v>
      </c>
      <c r="U13289" t="s">
        <v>55758</v>
      </c>
      <c r="W13289" t="s">
        <v>39440</v>
      </c>
      <c r="X13289" t="s">
        <v>43187</v>
      </c>
    </row>
    <row r="13290" spans="1:24">
      <c r="A13290">
        <f>HYPERLINK("https://www.philgeps.gov.ph/GEPSNONPILOT/Tender/SplashBidNoticeAbstractUI.aspx?menuIndex=3&amp;refID=7052320&amp;Result=3","7052320")</f>
        <v>0</v>
      </c>
      <c r="B13290" t="s">
        <v>2077</v>
      </c>
      <c r="C13290" t="s">
        <v>16136</v>
      </c>
      <c r="D13290" t="s">
        <v>17448</v>
      </c>
      <c r="E13290" t="s">
        <v>28857</v>
      </c>
      <c r="F13290" t="s">
        <v>30052</v>
      </c>
      <c r="G13290" t="s">
        <v>30058</v>
      </c>
      <c r="H13290" t="s">
        <v>30067</v>
      </c>
      <c r="I13290" t="s">
        <v>3693</v>
      </c>
      <c r="J13290" t="s">
        <v>38265</v>
      </c>
      <c r="K13290" t="s">
        <v>39092</v>
      </c>
      <c r="M13290" t="s">
        <v>42465</v>
      </c>
      <c r="N13290" t="s">
        <v>43166</v>
      </c>
      <c r="O13290" t="s">
        <v>43167</v>
      </c>
      <c r="Q13290">
        <v>19</v>
      </c>
      <c r="R13290" t="s">
        <v>43186</v>
      </c>
      <c r="S13290" t="s">
        <v>44122</v>
      </c>
      <c r="T13290" t="s">
        <v>44777</v>
      </c>
      <c r="U13290" t="s">
        <v>55759</v>
      </c>
      <c r="V13290" t="s">
        <v>58414</v>
      </c>
      <c r="W13290" t="s">
        <v>42465</v>
      </c>
      <c r="X13290" t="s">
        <v>43187</v>
      </c>
    </row>
    <row r="13291" spans="1:24">
      <c r="A13291">
        <f>HYPERLINK("https://www.philgeps.gov.ph/GEPSNONPILOT/Tender/SplashBidNoticeAbstractUI.aspx?menuIndex=3&amp;refID=7052327&amp;Result=3","7052327")</f>
        <v>0</v>
      </c>
      <c r="B13291" t="s">
        <v>1094</v>
      </c>
      <c r="C13291" t="s">
        <v>16137</v>
      </c>
      <c r="D13291" t="s">
        <v>17464</v>
      </c>
      <c r="E13291" t="s">
        <v>28858</v>
      </c>
      <c r="F13291" t="s">
        <v>30052</v>
      </c>
      <c r="G13291" t="s">
        <v>30058</v>
      </c>
      <c r="H13291" t="s">
        <v>30069</v>
      </c>
      <c r="I13291" t="s">
        <v>30072</v>
      </c>
      <c r="J13291" t="s">
        <v>38266</v>
      </c>
      <c r="K13291" t="s">
        <v>39022</v>
      </c>
      <c r="M13291" t="s">
        <v>41132</v>
      </c>
      <c r="N13291" t="s">
        <v>43166</v>
      </c>
      <c r="O13291" t="s">
        <v>43167</v>
      </c>
      <c r="Q13291">
        <v>5</v>
      </c>
      <c r="R13291" t="s">
        <v>43186</v>
      </c>
      <c r="S13291" t="s">
        <v>43695</v>
      </c>
      <c r="T13291" t="s">
        <v>44943</v>
      </c>
      <c r="U13291" t="s">
        <v>55760</v>
      </c>
      <c r="W13291" t="s">
        <v>41132</v>
      </c>
      <c r="X13291" t="s">
        <v>43187</v>
      </c>
    </row>
    <row r="13292" spans="1:24">
      <c r="A13292">
        <f>HYPERLINK("https://www.philgeps.gov.ph/GEPSNONPILOT/Tender/SplashBidNoticeAbstractUI.aspx?menuIndex=3&amp;refID=7052297&amp;Result=3","7052297")</f>
        <v>0</v>
      </c>
      <c r="B13292" t="s">
        <v>358</v>
      </c>
      <c r="C13292" t="s">
        <v>16138</v>
      </c>
      <c r="D13292" t="s">
        <v>17421</v>
      </c>
      <c r="E13292" t="s">
        <v>18233</v>
      </c>
      <c r="F13292" t="s">
        <v>30052</v>
      </c>
      <c r="G13292" t="s">
        <v>30058</v>
      </c>
      <c r="H13292" t="s">
        <v>30067</v>
      </c>
      <c r="I13292" t="s">
        <v>3693</v>
      </c>
      <c r="J13292" t="s">
        <v>30277</v>
      </c>
      <c r="K13292" t="s">
        <v>39029</v>
      </c>
      <c r="M13292" t="s">
        <v>39655</v>
      </c>
      <c r="N13292" t="s">
        <v>43166</v>
      </c>
      <c r="O13292" t="s">
        <v>43167</v>
      </c>
      <c r="Q13292">
        <v>0</v>
      </c>
      <c r="R13292" t="s">
        <v>43186</v>
      </c>
      <c r="S13292" t="s">
        <v>44123</v>
      </c>
      <c r="T13292" t="s">
        <v>45054</v>
      </c>
      <c r="U13292" t="s">
        <v>55761</v>
      </c>
      <c r="W13292" t="s">
        <v>39655</v>
      </c>
      <c r="X13292" t="s">
        <v>43187</v>
      </c>
    </row>
    <row r="13293" spans="1:24">
      <c r="A13293">
        <f>HYPERLINK("https://www.philgeps.gov.ph/GEPSNONPILOT/Tender/SplashBidNoticeAbstractUI.aspx?menuIndex=3&amp;refID=7052285&amp;Result=3","7052285")</f>
        <v>0</v>
      </c>
      <c r="B13293" t="s">
        <v>2077</v>
      </c>
      <c r="C13293" t="s">
        <v>16139</v>
      </c>
      <c r="D13293" t="s">
        <v>17448</v>
      </c>
      <c r="E13293" t="s">
        <v>28859</v>
      </c>
      <c r="F13293" t="s">
        <v>30052</v>
      </c>
      <c r="G13293" t="s">
        <v>30058</v>
      </c>
      <c r="H13293" t="s">
        <v>30067</v>
      </c>
      <c r="I13293" t="s">
        <v>3693</v>
      </c>
      <c r="J13293" t="s">
        <v>38267</v>
      </c>
      <c r="K13293" t="s">
        <v>39092</v>
      </c>
      <c r="M13293" t="s">
        <v>42465</v>
      </c>
      <c r="N13293" t="s">
        <v>43166</v>
      </c>
      <c r="O13293" t="s">
        <v>43167</v>
      </c>
      <c r="Q13293">
        <v>19</v>
      </c>
      <c r="R13293" t="s">
        <v>43186</v>
      </c>
      <c r="S13293" t="s">
        <v>44124</v>
      </c>
      <c r="T13293" t="s">
        <v>44777</v>
      </c>
      <c r="U13293" t="s">
        <v>55759</v>
      </c>
      <c r="V13293" t="s">
        <v>58414</v>
      </c>
      <c r="W13293" t="s">
        <v>42465</v>
      </c>
      <c r="X13293" t="s">
        <v>43187</v>
      </c>
    </row>
    <row r="13294" spans="1:24">
      <c r="A13294">
        <f>HYPERLINK("https://www.philgeps.gov.ph/GEPSNONPILOT/Tender/SplashBidNoticeAbstractUI.aspx?menuIndex=3&amp;refID=7052278&amp;Result=3","7052278")</f>
        <v>0</v>
      </c>
      <c r="B13294" t="s">
        <v>3353</v>
      </c>
      <c r="C13294" t="s">
        <v>16140</v>
      </c>
      <c r="D13294" t="s">
        <v>17415</v>
      </c>
      <c r="E13294" t="s">
        <v>28860</v>
      </c>
      <c r="F13294" t="s">
        <v>30052</v>
      </c>
      <c r="G13294" t="s">
        <v>30058</v>
      </c>
      <c r="H13294" t="s">
        <v>15498</v>
      </c>
      <c r="I13294" t="s">
        <v>30102</v>
      </c>
      <c r="J13294" t="s">
        <v>38268</v>
      </c>
      <c r="K13294" t="s">
        <v>39025</v>
      </c>
      <c r="M13294" t="s">
        <v>42997</v>
      </c>
      <c r="N13294" t="s">
        <v>43166</v>
      </c>
      <c r="O13294" t="s">
        <v>43167</v>
      </c>
      <c r="Q13294">
        <v>16</v>
      </c>
      <c r="R13294" t="s">
        <v>43186</v>
      </c>
      <c r="S13294" t="s">
        <v>44125</v>
      </c>
      <c r="T13294" t="s">
        <v>44844</v>
      </c>
      <c r="U13294" t="s">
        <v>55762</v>
      </c>
      <c r="W13294" t="s">
        <v>58713</v>
      </c>
      <c r="X13294" t="s">
        <v>43187</v>
      </c>
    </row>
    <row r="13295" spans="1:24">
      <c r="A13295">
        <f>HYPERLINK("https://www.philgeps.gov.ph/GEPSNONPILOT/Tender/SplashBidNoticeAbstractUI.aspx?menuIndex=3&amp;refID=7052312&amp;Result=3","7052312")</f>
        <v>0</v>
      </c>
      <c r="B13295" t="s">
        <v>1510</v>
      </c>
      <c r="C13295" t="s">
        <v>16141</v>
      </c>
      <c r="D13295" t="s">
        <v>17484</v>
      </c>
      <c r="E13295" t="s">
        <v>28861</v>
      </c>
      <c r="F13295" t="s">
        <v>30052</v>
      </c>
      <c r="G13295" t="s">
        <v>30058</v>
      </c>
      <c r="H13295" t="s">
        <v>15498</v>
      </c>
      <c r="I13295" t="s">
        <v>30114</v>
      </c>
      <c r="J13295" t="s">
        <v>30218</v>
      </c>
      <c r="K13295" t="s">
        <v>39037</v>
      </c>
      <c r="M13295" t="s">
        <v>40895</v>
      </c>
      <c r="N13295" t="s">
        <v>43166</v>
      </c>
      <c r="O13295" t="s">
        <v>43167</v>
      </c>
      <c r="P13295">
        <v>0</v>
      </c>
      <c r="Q13295">
        <v>3</v>
      </c>
      <c r="R13295" t="s">
        <v>43186</v>
      </c>
      <c r="S13295" t="s">
        <v>44047</v>
      </c>
      <c r="T13295" t="s">
        <v>44837</v>
      </c>
      <c r="U13295" t="s">
        <v>55763</v>
      </c>
      <c r="W13295" t="s">
        <v>40895</v>
      </c>
      <c r="X13295" t="s">
        <v>43187</v>
      </c>
    </row>
    <row r="13296" spans="1:24">
      <c r="A13296">
        <f>HYPERLINK("https://www.philgeps.gov.ph/GEPSNONPILOT/Tender/SplashBidNoticeAbstractUI.aspx?menuIndex=3&amp;refID=7052275&amp;Result=3","7052275")</f>
        <v>0</v>
      </c>
      <c r="B13296" t="s">
        <v>3212</v>
      </c>
      <c r="C13296" t="s">
        <v>11926</v>
      </c>
      <c r="D13296" t="s">
        <v>17494</v>
      </c>
      <c r="E13296" t="s">
        <v>28862</v>
      </c>
      <c r="F13296" t="s">
        <v>30052</v>
      </c>
      <c r="G13296" t="s">
        <v>30058</v>
      </c>
      <c r="H13296" t="s">
        <v>30067</v>
      </c>
      <c r="I13296" t="s">
        <v>3693</v>
      </c>
      <c r="J13296" t="s">
        <v>30281</v>
      </c>
      <c r="K13296" t="s">
        <v>39023</v>
      </c>
      <c r="M13296" t="s">
        <v>42835</v>
      </c>
      <c r="N13296" t="s">
        <v>43166</v>
      </c>
      <c r="O13296" t="s">
        <v>43167</v>
      </c>
      <c r="P13296">
        <v>0</v>
      </c>
      <c r="Q13296">
        <v>1</v>
      </c>
      <c r="R13296" t="s">
        <v>43186</v>
      </c>
      <c r="S13296" t="s">
        <v>44047</v>
      </c>
      <c r="T13296" t="s">
        <v>44870</v>
      </c>
      <c r="U13296" t="s">
        <v>55764</v>
      </c>
      <c r="W13296" t="s">
        <v>42835</v>
      </c>
      <c r="X13296" t="s">
        <v>43187</v>
      </c>
    </row>
    <row r="13297" spans="1:24">
      <c r="A13297">
        <f>HYPERLINK("https://www.philgeps.gov.ph/GEPSNONPILOT/Tender/SplashBidNoticeAbstractUI.aspx?menuIndex=3&amp;refID=7052266&amp;Result=3","7052266")</f>
        <v>0</v>
      </c>
      <c r="B13297" t="s">
        <v>1059</v>
      </c>
      <c r="C13297" t="s">
        <v>16142</v>
      </c>
      <c r="D13297" t="s">
        <v>17432</v>
      </c>
      <c r="E13297" t="s">
        <v>28863</v>
      </c>
      <c r="F13297" t="s">
        <v>30052</v>
      </c>
      <c r="G13297" t="s">
        <v>30058</v>
      </c>
      <c r="H13297" t="s">
        <v>15498</v>
      </c>
      <c r="I13297" t="s">
        <v>30084</v>
      </c>
      <c r="J13297" t="s">
        <v>38269</v>
      </c>
      <c r="K13297" t="s">
        <v>39031</v>
      </c>
      <c r="M13297" t="s">
        <v>40394</v>
      </c>
      <c r="N13297" t="s">
        <v>43166</v>
      </c>
      <c r="O13297" t="s">
        <v>43167</v>
      </c>
      <c r="Q13297">
        <v>17</v>
      </c>
      <c r="R13297" t="s">
        <v>43186</v>
      </c>
      <c r="S13297" t="s">
        <v>44126</v>
      </c>
      <c r="T13297" t="s">
        <v>44832</v>
      </c>
      <c r="U13297" t="s">
        <v>55765</v>
      </c>
      <c r="V13297" t="s">
        <v>57136</v>
      </c>
      <c r="W13297" t="s">
        <v>40394</v>
      </c>
      <c r="X13297" t="s">
        <v>43187</v>
      </c>
    </row>
    <row r="13298" spans="1:24">
      <c r="A13298">
        <f>HYPERLINK("https://www.philgeps.gov.ph/GEPSNONPILOT/Tender/SplashBidNoticeAbstractUI.aspx?menuIndex=3&amp;refID=7052299&amp;Result=3","7052299")</f>
        <v>0</v>
      </c>
      <c r="B13298" t="s">
        <v>3354</v>
      </c>
      <c r="C13298" t="s">
        <v>16143</v>
      </c>
      <c r="D13298" t="s">
        <v>17429</v>
      </c>
      <c r="E13298" t="s">
        <v>28864</v>
      </c>
      <c r="F13298" t="s">
        <v>30052</v>
      </c>
      <c r="G13298" t="s">
        <v>30058</v>
      </c>
      <c r="H13298" t="s">
        <v>15498</v>
      </c>
      <c r="I13298" t="s">
        <v>7228</v>
      </c>
      <c r="J13298" t="s">
        <v>38270</v>
      </c>
      <c r="K13298" t="s">
        <v>39293</v>
      </c>
      <c r="M13298" t="s">
        <v>42998</v>
      </c>
      <c r="N13298" t="s">
        <v>43166</v>
      </c>
      <c r="O13298" t="s">
        <v>43167</v>
      </c>
      <c r="P13298">
        <v>0</v>
      </c>
      <c r="Q13298">
        <v>1</v>
      </c>
      <c r="R13298" t="s">
        <v>43186</v>
      </c>
      <c r="S13298" t="s">
        <v>44047</v>
      </c>
      <c r="T13298" t="s">
        <v>44734</v>
      </c>
      <c r="U13298" t="s">
        <v>55766</v>
      </c>
      <c r="W13298" t="s">
        <v>42998</v>
      </c>
      <c r="X13298" t="s">
        <v>43187</v>
      </c>
    </row>
    <row r="13299" spans="1:24">
      <c r="A13299">
        <f>HYPERLINK("https://www.philgeps.gov.ph/GEPSNONPILOT/Tender/SplashBidNoticeAbstractUI.aspx?menuIndex=3&amp;refID=7052251&amp;Result=3","7052251")</f>
        <v>0</v>
      </c>
      <c r="B13299" t="s">
        <v>2229</v>
      </c>
      <c r="C13299" t="s">
        <v>16144</v>
      </c>
      <c r="D13299" t="s">
        <v>17413</v>
      </c>
      <c r="E13299" t="s">
        <v>28865</v>
      </c>
      <c r="F13299" t="s">
        <v>30052</v>
      </c>
      <c r="G13299" t="s">
        <v>30058</v>
      </c>
      <c r="H13299" t="s">
        <v>15498</v>
      </c>
      <c r="I13299" t="s">
        <v>30087</v>
      </c>
      <c r="J13299" t="s">
        <v>38271</v>
      </c>
      <c r="K13299" t="s">
        <v>39017</v>
      </c>
      <c r="M13299" t="s">
        <v>41701</v>
      </c>
      <c r="N13299" t="s">
        <v>43166</v>
      </c>
      <c r="O13299" t="s">
        <v>43167</v>
      </c>
      <c r="P13299">
        <v>0</v>
      </c>
      <c r="Q13299">
        <v>4</v>
      </c>
      <c r="R13299" t="s">
        <v>43186</v>
      </c>
      <c r="S13299" t="s">
        <v>44047</v>
      </c>
      <c r="T13299" t="s">
        <v>44734</v>
      </c>
      <c r="U13299" t="s">
        <v>55767</v>
      </c>
      <c r="V13299" t="s">
        <v>58415</v>
      </c>
      <c r="W13299" t="s">
        <v>41701</v>
      </c>
      <c r="X13299" t="s">
        <v>43187</v>
      </c>
    </row>
    <row r="13300" spans="1:24">
      <c r="A13300">
        <f>HYPERLINK("https://www.philgeps.gov.ph/GEPSNONPILOT/Tender/SplashBidNoticeAbstractUI.aspx?menuIndex=3&amp;refID=7052240&amp;Result=3","7052240")</f>
        <v>0</v>
      </c>
      <c r="B13300" t="s">
        <v>199</v>
      </c>
      <c r="C13300" t="s">
        <v>16145</v>
      </c>
      <c r="D13300" t="s">
        <v>17415</v>
      </c>
      <c r="E13300" t="s">
        <v>28866</v>
      </c>
      <c r="F13300" t="s">
        <v>30052</v>
      </c>
      <c r="G13300" t="s">
        <v>30058</v>
      </c>
      <c r="H13300" t="s">
        <v>15498</v>
      </c>
      <c r="I13300" t="s">
        <v>30151</v>
      </c>
      <c r="J13300" t="s">
        <v>34775</v>
      </c>
      <c r="K13300" t="s">
        <v>39029</v>
      </c>
      <c r="M13300" t="s">
        <v>40474</v>
      </c>
      <c r="N13300" t="s">
        <v>43166</v>
      </c>
      <c r="O13300" t="s">
        <v>43167</v>
      </c>
      <c r="Q13300">
        <v>7</v>
      </c>
      <c r="R13300" t="s">
        <v>43186</v>
      </c>
      <c r="S13300" t="s">
        <v>44127</v>
      </c>
      <c r="T13300" t="s">
        <v>44718</v>
      </c>
      <c r="U13300" t="s">
        <v>47617</v>
      </c>
      <c r="W13300" t="s">
        <v>40474</v>
      </c>
      <c r="X13300" t="s">
        <v>43187</v>
      </c>
    </row>
    <row r="13301" spans="1:24">
      <c r="A13301">
        <f>HYPERLINK("https://www.philgeps.gov.ph/GEPSNONPILOT/Tender/SplashBidNoticeAbstractUI.aspx?menuIndex=3&amp;refID=7052218&amp;Result=3","7052218")</f>
        <v>0</v>
      </c>
      <c r="B13301" t="s">
        <v>1510</v>
      </c>
      <c r="C13301" t="s">
        <v>16146</v>
      </c>
      <c r="D13301" t="s">
        <v>17484</v>
      </c>
      <c r="E13301" t="s">
        <v>28867</v>
      </c>
      <c r="F13301" t="s">
        <v>30052</v>
      </c>
      <c r="G13301" t="s">
        <v>30058</v>
      </c>
      <c r="H13301" t="s">
        <v>30067</v>
      </c>
      <c r="I13301" t="s">
        <v>3693</v>
      </c>
      <c r="J13301" t="s">
        <v>38272</v>
      </c>
      <c r="K13301" t="s">
        <v>39022</v>
      </c>
      <c r="M13301" t="s">
        <v>40895</v>
      </c>
      <c r="N13301" t="s">
        <v>43166</v>
      </c>
      <c r="O13301" t="s">
        <v>43167</v>
      </c>
      <c r="P13301">
        <v>0</v>
      </c>
      <c r="Q13301">
        <v>0</v>
      </c>
      <c r="R13301" t="s">
        <v>43186</v>
      </c>
      <c r="S13301" t="s">
        <v>44047</v>
      </c>
      <c r="T13301" t="s">
        <v>44837</v>
      </c>
      <c r="U13301" t="s">
        <v>55768</v>
      </c>
      <c r="W13301" t="s">
        <v>40895</v>
      </c>
      <c r="X13301" t="s">
        <v>43187</v>
      </c>
    </row>
    <row r="13302" spans="1:24">
      <c r="A13302">
        <f>HYPERLINK("https://www.philgeps.gov.ph/GEPSNONPILOT/Tender/SplashBidNoticeAbstractUI.aspx?menuIndex=3&amp;refID=7052216&amp;Result=3","7052216")</f>
        <v>0</v>
      </c>
      <c r="B13302" t="s">
        <v>3212</v>
      </c>
      <c r="C13302" t="s">
        <v>16147</v>
      </c>
      <c r="D13302" t="s">
        <v>17494</v>
      </c>
      <c r="E13302" t="s">
        <v>28868</v>
      </c>
      <c r="F13302" t="s">
        <v>30052</v>
      </c>
      <c r="G13302" t="s">
        <v>30058</v>
      </c>
      <c r="H13302" t="s">
        <v>15498</v>
      </c>
      <c r="I13302" t="s">
        <v>30169</v>
      </c>
      <c r="J13302" t="s">
        <v>30218</v>
      </c>
      <c r="K13302" t="s">
        <v>39023</v>
      </c>
      <c r="M13302" t="s">
        <v>42835</v>
      </c>
      <c r="N13302" t="s">
        <v>43166</v>
      </c>
      <c r="O13302" t="s">
        <v>43167</v>
      </c>
      <c r="P13302">
        <v>0</v>
      </c>
      <c r="Q13302">
        <v>1</v>
      </c>
      <c r="R13302" t="s">
        <v>43186</v>
      </c>
      <c r="S13302" t="s">
        <v>44047</v>
      </c>
      <c r="T13302" t="s">
        <v>44870</v>
      </c>
      <c r="U13302" t="s">
        <v>55769</v>
      </c>
      <c r="W13302" t="s">
        <v>42835</v>
      </c>
      <c r="X13302" t="s">
        <v>43187</v>
      </c>
    </row>
    <row r="13303" spans="1:24">
      <c r="A13303">
        <f>HYPERLINK("https://www.philgeps.gov.ph/GEPSNONPILOT/Tender/SplashBidNoticeAbstractUI.aspx?menuIndex=3&amp;refID=7052215&amp;Result=3","7052215")</f>
        <v>0</v>
      </c>
      <c r="B13303" t="s">
        <v>2229</v>
      </c>
      <c r="C13303" t="s">
        <v>16148</v>
      </c>
      <c r="D13303" t="s">
        <v>17413</v>
      </c>
      <c r="E13303" t="s">
        <v>28869</v>
      </c>
      <c r="F13303" t="s">
        <v>30052</v>
      </c>
      <c r="G13303" t="s">
        <v>30058</v>
      </c>
      <c r="H13303" t="s">
        <v>15498</v>
      </c>
      <c r="I13303" t="s">
        <v>30074</v>
      </c>
      <c r="J13303" t="s">
        <v>35535</v>
      </c>
      <c r="K13303" t="s">
        <v>39029</v>
      </c>
      <c r="M13303" t="s">
        <v>41701</v>
      </c>
      <c r="N13303" t="s">
        <v>43166</v>
      </c>
      <c r="O13303" t="s">
        <v>43167</v>
      </c>
      <c r="P13303">
        <v>0</v>
      </c>
      <c r="Q13303">
        <v>4</v>
      </c>
      <c r="R13303" t="s">
        <v>43186</v>
      </c>
      <c r="S13303" t="s">
        <v>44047</v>
      </c>
      <c r="T13303" t="s">
        <v>44734</v>
      </c>
      <c r="U13303" t="s">
        <v>55770</v>
      </c>
      <c r="V13303" t="s">
        <v>58416</v>
      </c>
      <c r="W13303" t="s">
        <v>41701</v>
      </c>
      <c r="X13303" t="s">
        <v>43187</v>
      </c>
    </row>
    <row r="13304" spans="1:24">
      <c r="A13304">
        <f>HYPERLINK("https://www.philgeps.gov.ph/GEPSNONPILOT/Tender/SplashBidNoticeAbstractUI.aspx?menuIndex=3&amp;refID=7052081&amp;Result=3","7052081")</f>
        <v>0</v>
      </c>
      <c r="B13304" t="s">
        <v>3223</v>
      </c>
      <c r="C13304" t="s">
        <v>16149</v>
      </c>
      <c r="D13304" t="s">
        <v>17445</v>
      </c>
      <c r="E13304" t="s">
        <v>28870</v>
      </c>
      <c r="F13304" t="s">
        <v>30052</v>
      </c>
      <c r="G13304" t="s">
        <v>30058</v>
      </c>
      <c r="H13304" t="s">
        <v>15498</v>
      </c>
      <c r="I13304" t="s">
        <v>30091</v>
      </c>
      <c r="J13304" t="s">
        <v>33069</v>
      </c>
      <c r="K13304" t="s">
        <v>39029</v>
      </c>
      <c r="M13304" t="s">
        <v>42848</v>
      </c>
      <c r="N13304" t="s">
        <v>43166</v>
      </c>
      <c r="O13304" t="s">
        <v>43167</v>
      </c>
      <c r="P13304">
        <v>0</v>
      </c>
      <c r="Q13304">
        <v>2</v>
      </c>
      <c r="R13304" t="s">
        <v>43186</v>
      </c>
      <c r="S13304" t="s">
        <v>44047</v>
      </c>
      <c r="T13304" t="s">
        <v>44856</v>
      </c>
      <c r="U13304" t="s">
        <v>55771</v>
      </c>
      <c r="V13304" t="s">
        <v>58405</v>
      </c>
      <c r="W13304" t="s">
        <v>42848</v>
      </c>
      <c r="X13304" t="s">
        <v>43187</v>
      </c>
    </row>
    <row r="13305" spans="1:24">
      <c r="A13305">
        <f>HYPERLINK("https://www.philgeps.gov.ph/GEPSNONPILOT/Tender/SplashBidNoticeAbstractUI.aspx?menuIndex=3&amp;refID=7052445&amp;Result=3","7052445")</f>
        <v>0</v>
      </c>
      <c r="B13305" t="s">
        <v>2902</v>
      </c>
      <c r="C13305" t="s">
        <v>16150</v>
      </c>
      <c r="D13305" t="s">
        <v>17482</v>
      </c>
      <c r="E13305" t="s">
        <v>28871</v>
      </c>
      <c r="F13305" t="s">
        <v>30052</v>
      </c>
      <c r="G13305" t="s">
        <v>30058</v>
      </c>
      <c r="H13305" t="s">
        <v>30067</v>
      </c>
      <c r="I13305" t="s">
        <v>3693</v>
      </c>
      <c r="J13305" t="s">
        <v>38273</v>
      </c>
      <c r="K13305" t="s">
        <v>39294</v>
      </c>
      <c r="M13305" t="s">
        <v>42456</v>
      </c>
      <c r="N13305" t="s">
        <v>43166</v>
      </c>
      <c r="O13305" t="s">
        <v>43167</v>
      </c>
      <c r="P13305">
        <v>0</v>
      </c>
      <c r="Q13305">
        <v>4</v>
      </c>
      <c r="R13305" t="s">
        <v>43186</v>
      </c>
      <c r="S13305" t="s">
        <v>44047</v>
      </c>
      <c r="T13305" t="s">
        <v>44773</v>
      </c>
      <c r="U13305" t="s">
        <v>53309</v>
      </c>
      <c r="V13305" t="s">
        <v>58417</v>
      </c>
      <c r="W13305" t="s">
        <v>42456</v>
      </c>
      <c r="X13305" t="s">
        <v>43187</v>
      </c>
    </row>
    <row r="13306" spans="1:24">
      <c r="A13306">
        <f>HYPERLINK("https://www.philgeps.gov.ph/GEPSNONPILOT/Tender/SplashBidNoticeAbstractUI.aspx?menuIndex=3&amp;refID=7052451&amp;Result=3","7052451")</f>
        <v>0</v>
      </c>
      <c r="B13306" t="s">
        <v>3355</v>
      </c>
      <c r="C13306" t="s">
        <v>16151</v>
      </c>
      <c r="D13306" t="s">
        <v>17444</v>
      </c>
      <c r="E13306" t="s">
        <v>28872</v>
      </c>
      <c r="F13306" t="s">
        <v>30052</v>
      </c>
      <c r="G13306" t="s">
        <v>30058</v>
      </c>
      <c r="H13306" t="s">
        <v>30067</v>
      </c>
      <c r="I13306" t="s">
        <v>3693</v>
      </c>
      <c r="J13306" t="s">
        <v>30222</v>
      </c>
      <c r="K13306" t="s">
        <v>39044</v>
      </c>
      <c r="M13306" t="s">
        <v>42999</v>
      </c>
      <c r="N13306" t="s">
        <v>43166</v>
      </c>
      <c r="O13306" t="s">
        <v>43167</v>
      </c>
      <c r="Q13306">
        <v>1</v>
      </c>
      <c r="R13306" t="s">
        <v>43186</v>
      </c>
      <c r="S13306" t="s">
        <v>44128</v>
      </c>
      <c r="T13306" t="s">
        <v>44717</v>
      </c>
      <c r="U13306" t="s">
        <v>55772</v>
      </c>
      <c r="W13306" t="s">
        <v>42999</v>
      </c>
      <c r="X13306" t="s">
        <v>43187</v>
      </c>
    </row>
    <row r="13307" spans="1:24">
      <c r="A13307">
        <f>HYPERLINK("https://www.philgeps.gov.ph/GEPSNONPILOT/Tender/SplashBidNoticeAbstractUI.aspx?menuIndex=3&amp;refID=7052260&amp;Result=3","7052260")</f>
        <v>0</v>
      </c>
      <c r="B13307" t="s">
        <v>3356</v>
      </c>
      <c r="C13307" t="s">
        <v>16152</v>
      </c>
      <c r="D13307" t="s">
        <v>17417</v>
      </c>
      <c r="E13307" t="s">
        <v>21262</v>
      </c>
      <c r="F13307" t="s">
        <v>30052</v>
      </c>
      <c r="G13307" t="s">
        <v>30058</v>
      </c>
      <c r="H13307" t="s">
        <v>15498</v>
      </c>
      <c r="I13307" t="s">
        <v>30076</v>
      </c>
      <c r="J13307" t="s">
        <v>38274</v>
      </c>
      <c r="K13307" t="s">
        <v>39019</v>
      </c>
      <c r="M13307" t="s">
        <v>43000</v>
      </c>
      <c r="N13307" t="s">
        <v>43166</v>
      </c>
      <c r="O13307" t="s">
        <v>43167</v>
      </c>
      <c r="P13307">
        <v>0</v>
      </c>
      <c r="Q13307">
        <v>2</v>
      </c>
      <c r="R13307" t="s">
        <v>43186</v>
      </c>
      <c r="S13307" t="s">
        <v>44047</v>
      </c>
      <c r="T13307" t="s">
        <v>44717</v>
      </c>
      <c r="U13307" t="s">
        <v>55773</v>
      </c>
      <c r="V13307" t="s">
        <v>58418</v>
      </c>
      <c r="W13307" t="s">
        <v>43000</v>
      </c>
      <c r="X13307" t="s">
        <v>43187</v>
      </c>
    </row>
    <row r="13308" spans="1:24">
      <c r="A13308">
        <f>HYPERLINK("https://www.philgeps.gov.ph/GEPSNONPILOT/Tender/SplashBidNoticeAbstractUI.aspx?menuIndex=3&amp;refID=7052437&amp;Result=3","7052437")</f>
        <v>0</v>
      </c>
      <c r="B13308" t="s">
        <v>2368</v>
      </c>
      <c r="C13308" t="s">
        <v>16153</v>
      </c>
      <c r="D13308" t="s">
        <v>17466</v>
      </c>
      <c r="E13308" t="s">
        <v>28873</v>
      </c>
      <c r="F13308" t="s">
        <v>30052</v>
      </c>
      <c r="G13308" t="s">
        <v>30058</v>
      </c>
      <c r="H13308" t="s">
        <v>15498</v>
      </c>
      <c r="I13308" t="s">
        <v>30071</v>
      </c>
      <c r="J13308" t="s">
        <v>38275</v>
      </c>
      <c r="K13308" t="s">
        <v>39036</v>
      </c>
      <c r="M13308" t="s">
        <v>41863</v>
      </c>
      <c r="N13308" t="s">
        <v>43166</v>
      </c>
      <c r="O13308" t="s">
        <v>43167</v>
      </c>
      <c r="P13308">
        <v>0</v>
      </c>
      <c r="Q13308">
        <v>0</v>
      </c>
      <c r="R13308" t="s">
        <v>43186</v>
      </c>
      <c r="S13308" t="s">
        <v>44047</v>
      </c>
      <c r="T13308" t="s">
        <v>44870</v>
      </c>
      <c r="U13308" t="s">
        <v>45564</v>
      </c>
      <c r="W13308" t="s">
        <v>41863</v>
      </c>
      <c r="X13308" t="s">
        <v>43187</v>
      </c>
    </row>
    <row r="13309" spans="1:24">
      <c r="A13309">
        <f>HYPERLINK("https://www.philgeps.gov.ph/GEPSNONPILOT/Tender/SplashBidNoticeAbstractUI.aspx?menuIndex=3&amp;refID=7052452&amp;Result=3","7052452")</f>
        <v>0</v>
      </c>
      <c r="B13309" t="s">
        <v>2902</v>
      </c>
      <c r="C13309" t="s">
        <v>16154</v>
      </c>
      <c r="D13309" t="s">
        <v>17482</v>
      </c>
      <c r="E13309" t="s">
        <v>28874</v>
      </c>
      <c r="F13309" t="s">
        <v>30052</v>
      </c>
      <c r="G13309" t="s">
        <v>30058</v>
      </c>
      <c r="H13309" t="s">
        <v>30067</v>
      </c>
      <c r="I13309" t="s">
        <v>3693</v>
      </c>
      <c r="J13309" t="s">
        <v>38276</v>
      </c>
      <c r="K13309" t="s">
        <v>39294</v>
      </c>
      <c r="M13309" t="s">
        <v>42456</v>
      </c>
      <c r="N13309" t="s">
        <v>43166</v>
      </c>
      <c r="O13309" t="s">
        <v>43167</v>
      </c>
      <c r="P13309">
        <v>0</v>
      </c>
      <c r="Q13309">
        <v>5</v>
      </c>
      <c r="R13309" t="s">
        <v>43186</v>
      </c>
      <c r="S13309" t="s">
        <v>44047</v>
      </c>
      <c r="T13309" t="s">
        <v>44773</v>
      </c>
      <c r="U13309" t="s">
        <v>53309</v>
      </c>
      <c r="V13309" t="s">
        <v>58419</v>
      </c>
      <c r="W13309" t="s">
        <v>42456</v>
      </c>
      <c r="X13309" t="s">
        <v>43187</v>
      </c>
    </row>
    <row r="13310" spans="1:24">
      <c r="A13310">
        <f>HYPERLINK("https://www.philgeps.gov.ph/GEPSNONPILOT/Tender/SplashBidNoticeAbstractUI.aspx?menuIndex=3&amp;refID=7052436&amp;Result=3","7052436")</f>
        <v>0</v>
      </c>
      <c r="B13310" t="s">
        <v>2902</v>
      </c>
      <c r="C13310" t="s">
        <v>16155</v>
      </c>
      <c r="D13310" t="s">
        <v>17482</v>
      </c>
      <c r="E13310" t="s">
        <v>28875</v>
      </c>
      <c r="F13310" t="s">
        <v>30052</v>
      </c>
      <c r="G13310" t="s">
        <v>30058</v>
      </c>
      <c r="H13310" t="s">
        <v>30067</v>
      </c>
      <c r="I13310" t="s">
        <v>3693</v>
      </c>
      <c r="J13310" t="s">
        <v>38277</v>
      </c>
      <c r="K13310" t="s">
        <v>39294</v>
      </c>
      <c r="M13310" t="s">
        <v>42456</v>
      </c>
      <c r="N13310" t="s">
        <v>43166</v>
      </c>
      <c r="O13310" t="s">
        <v>43167</v>
      </c>
      <c r="P13310">
        <v>0</v>
      </c>
      <c r="Q13310">
        <v>4</v>
      </c>
      <c r="R13310" t="s">
        <v>43186</v>
      </c>
      <c r="S13310" t="s">
        <v>44047</v>
      </c>
      <c r="T13310" t="s">
        <v>44773</v>
      </c>
      <c r="U13310" t="s">
        <v>53309</v>
      </c>
      <c r="V13310" t="s">
        <v>58420</v>
      </c>
      <c r="W13310" t="s">
        <v>42456</v>
      </c>
      <c r="X13310" t="s">
        <v>43187</v>
      </c>
    </row>
    <row r="13311" spans="1:24">
      <c r="A13311">
        <f>HYPERLINK("https://www.philgeps.gov.ph/GEPSNONPILOT/Tender/SplashBidNoticeAbstractUI.aspx?menuIndex=3&amp;refID=7052441&amp;Result=3","7052441")</f>
        <v>0</v>
      </c>
      <c r="B13311" t="s">
        <v>2902</v>
      </c>
      <c r="C13311" t="s">
        <v>16156</v>
      </c>
      <c r="D13311" t="s">
        <v>17482</v>
      </c>
      <c r="E13311" t="s">
        <v>28876</v>
      </c>
      <c r="F13311" t="s">
        <v>30052</v>
      </c>
      <c r="G13311" t="s">
        <v>30058</v>
      </c>
      <c r="H13311" t="s">
        <v>30067</v>
      </c>
      <c r="I13311" t="s">
        <v>3693</v>
      </c>
      <c r="J13311" t="s">
        <v>38278</v>
      </c>
      <c r="K13311" t="s">
        <v>39294</v>
      </c>
      <c r="M13311" t="s">
        <v>42456</v>
      </c>
      <c r="N13311" t="s">
        <v>43166</v>
      </c>
      <c r="O13311" t="s">
        <v>43167</v>
      </c>
      <c r="P13311">
        <v>0</v>
      </c>
      <c r="Q13311">
        <v>4</v>
      </c>
      <c r="R13311" t="s">
        <v>43186</v>
      </c>
      <c r="S13311" t="s">
        <v>44047</v>
      </c>
      <c r="T13311" t="s">
        <v>44773</v>
      </c>
      <c r="U13311" t="s">
        <v>53309</v>
      </c>
      <c r="V13311" t="s">
        <v>58421</v>
      </c>
      <c r="W13311" t="s">
        <v>42456</v>
      </c>
      <c r="X13311" t="s">
        <v>43187</v>
      </c>
    </row>
    <row r="13312" spans="1:24">
      <c r="A13312">
        <f>HYPERLINK("https://www.philgeps.gov.ph/GEPSNONPILOT/Tender/SplashBidNoticeAbstractUI.aspx?menuIndex=3&amp;refID=7052420&amp;Result=3","7052420")</f>
        <v>0</v>
      </c>
      <c r="B13312" t="s">
        <v>2881</v>
      </c>
      <c r="C13312" t="s">
        <v>16157</v>
      </c>
      <c r="D13312" t="s">
        <v>17452</v>
      </c>
      <c r="E13312" t="s">
        <v>28877</v>
      </c>
      <c r="F13312" t="s">
        <v>30052</v>
      </c>
      <c r="G13312" t="s">
        <v>30058</v>
      </c>
      <c r="H13312" t="s">
        <v>30067</v>
      </c>
      <c r="I13312" t="s">
        <v>3693</v>
      </c>
      <c r="J13312" t="s">
        <v>38279</v>
      </c>
      <c r="K13312" t="s">
        <v>39038</v>
      </c>
      <c r="M13312" t="s">
        <v>42431</v>
      </c>
      <c r="N13312" t="s">
        <v>43166</v>
      </c>
      <c r="O13312" t="s">
        <v>43167</v>
      </c>
      <c r="P13312">
        <v>0</v>
      </c>
      <c r="Q13312">
        <v>1</v>
      </c>
      <c r="R13312" t="s">
        <v>43186</v>
      </c>
      <c r="S13312" t="s">
        <v>44047</v>
      </c>
      <c r="T13312" t="s">
        <v>44717</v>
      </c>
      <c r="U13312" t="s">
        <v>55774</v>
      </c>
      <c r="W13312" t="s">
        <v>42431</v>
      </c>
      <c r="X13312" t="s">
        <v>43187</v>
      </c>
    </row>
    <row r="13313" spans="1:24">
      <c r="A13313">
        <f>HYPERLINK("https://www.philgeps.gov.ph/GEPSNONPILOT/Tender/SplashBidNoticeAbstractUI.aspx?menuIndex=3&amp;refID=7052303&amp;Result=3","7052303")</f>
        <v>0</v>
      </c>
      <c r="B13313" t="s">
        <v>1589</v>
      </c>
      <c r="C13313" t="s">
        <v>16158</v>
      </c>
      <c r="D13313" t="s">
        <v>17494</v>
      </c>
      <c r="E13313" t="s">
        <v>28878</v>
      </c>
      <c r="F13313" t="s">
        <v>30052</v>
      </c>
      <c r="G13313" t="s">
        <v>30058</v>
      </c>
      <c r="H13313" t="s">
        <v>30068</v>
      </c>
      <c r="I13313" t="s">
        <v>30068</v>
      </c>
      <c r="J13313" t="s">
        <v>38280</v>
      </c>
      <c r="K13313" t="s">
        <v>39037</v>
      </c>
      <c r="M13313" t="s">
        <v>40982</v>
      </c>
      <c r="N13313" t="s">
        <v>43166</v>
      </c>
      <c r="O13313" t="s">
        <v>43167</v>
      </c>
      <c r="P13313">
        <v>0</v>
      </c>
      <c r="Q13313">
        <v>2</v>
      </c>
      <c r="R13313" t="s">
        <v>43186</v>
      </c>
      <c r="S13313" t="s">
        <v>44047</v>
      </c>
      <c r="T13313" t="s">
        <v>44773</v>
      </c>
      <c r="U13313" t="s">
        <v>55775</v>
      </c>
      <c r="W13313" t="s">
        <v>40982</v>
      </c>
      <c r="X13313" t="s">
        <v>43187</v>
      </c>
    </row>
    <row r="13314" spans="1:24">
      <c r="A13314">
        <f>HYPERLINK("https://www.philgeps.gov.ph/GEPSNONPILOT/Tender/SplashBidNoticeAbstractUI.aspx?menuIndex=3&amp;refID=7052416&amp;Result=3","7052416")</f>
        <v>0</v>
      </c>
      <c r="B13314" t="s">
        <v>3357</v>
      </c>
      <c r="C13314" t="s">
        <v>16159</v>
      </c>
      <c r="D13314" t="s">
        <v>17430</v>
      </c>
      <c r="E13314" t="s">
        <v>23941</v>
      </c>
      <c r="F13314" t="s">
        <v>30052</v>
      </c>
      <c r="G13314" t="s">
        <v>30058</v>
      </c>
      <c r="H13314" t="s">
        <v>30067</v>
      </c>
      <c r="I13314" t="s">
        <v>3693</v>
      </c>
      <c r="J13314" t="s">
        <v>38281</v>
      </c>
      <c r="K13314" t="s">
        <v>39031</v>
      </c>
      <c r="M13314" t="s">
        <v>43001</v>
      </c>
      <c r="N13314" t="s">
        <v>43166</v>
      </c>
      <c r="O13314" t="s">
        <v>43167</v>
      </c>
      <c r="P13314">
        <v>0</v>
      </c>
      <c r="Q13314">
        <v>2</v>
      </c>
      <c r="R13314" t="s">
        <v>43186</v>
      </c>
      <c r="S13314" t="s">
        <v>44047</v>
      </c>
      <c r="T13314" t="s">
        <v>44788</v>
      </c>
      <c r="U13314" t="s">
        <v>55776</v>
      </c>
      <c r="W13314" t="s">
        <v>43001</v>
      </c>
      <c r="X13314" t="s">
        <v>43187</v>
      </c>
    </row>
    <row r="13315" spans="1:24">
      <c r="A13315">
        <f>HYPERLINK("https://www.philgeps.gov.ph/GEPSNONPILOT/Tender/SplashBidNoticeAbstractUI.aspx?menuIndex=3&amp;refID=7051879&amp;Result=3","7051879")</f>
        <v>0</v>
      </c>
      <c r="B13315" t="s">
        <v>3358</v>
      </c>
      <c r="C13315" t="s">
        <v>16160</v>
      </c>
      <c r="D13315" t="s">
        <v>17466</v>
      </c>
      <c r="E13315" t="s">
        <v>28879</v>
      </c>
      <c r="F13315" t="s">
        <v>30052</v>
      </c>
      <c r="G13315" t="s">
        <v>30058</v>
      </c>
      <c r="H13315" t="s">
        <v>30067</v>
      </c>
      <c r="I13315" t="s">
        <v>3693</v>
      </c>
      <c r="J13315" t="s">
        <v>38282</v>
      </c>
      <c r="K13315" t="s">
        <v>39274</v>
      </c>
      <c r="M13315" t="s">
        <v>43002</v>
      </c>
      <c r="N13315" t="s">
        <v>43166</v>
      </c>
      <c r="O13315" t="s">
        <v>43167</v>
      </c>
      <c r="P13315">
        <v>0</v>
      </c>
      <c r="Q13315">
        <v>6</v>
      </c>
      <c r="R13315" t="s">
        <v>43186</v>
      </c>
      <c r="S13315" t="s">
        <v>44047</v>
      </c>
      <c r="T13315" t="s">
        <v>44865</v>
      </c>
      <c r="U13315" t="s">
        <v>55777</v>
      </c>
      <c r="W13315" t="s">
        <v>43002</v>
      </c>
      <c r="X13315" t="s">
        <v>43187</v>
      </c>
    </row>
    <row r="13316" spans="1:24">
      <c r="A13316">
        <f>HYPERLINK("https://www.philgeps.gov.ph/GEPSNONPILOT/Tender/SplashBidNoticeAbstractUI.aspx?menuIndex=3&amp;refID=7052405&amp;Result=3","7052405")</f>
        <v>0</v>
      </c>
      <c r="B13316" t="s">
        <v>3357</v>
      </c>
      <c r="C13316" t="s">
        <v>16161</v>
      </c>
      <c r="D13316" t="s">
        <v>17430</v>
      </c>
      <c r="E13316" t="s">
        <v>28880</v>
      </c>
      <c r="F13316" t="s">
        <v>30052</v>
      </c>
      <c r="G13316" t="s">
        <v>30058</v>
      </c>
      <c r="H13316" t="s">
        <v>30067</v>
      </c>
      <c r="I13316" t="s">
        <v>3693</v>
      </c>
      <c r="J13316" t="s">
        <v>38283</v>
      </c>
      <c r="K13316" t="s">
        <v>39065</v>
      </c>
      <c r="M13316" t="s">
        <v>43001</v>
      </c>
      <c r="N13316" t="s">
        <v>43166</v>
      </c>
      <c r="O13316" t="s">
        <v>43167</v>
      </c>
      <c r="P13316">
        <v>0</v>
      </c>
      <c r="Q13316">
        <v>3</v>
      </c>
      <c r="R13316" t="s">
        <v>43186</v>
      </c>
      <c r="S13316" t="s">
        <v>44047</v>
      </c>
      <c r="T13316" t="s">
        <v>44788</v>
      </c>
      <c r="U13316" t="s">
        <v>55778</v>
      </c>
      <c r="W13316" t="s">
        <v>43001</v>
      </c>
      <c r="X13316" t="s">
        <v>43187</v>
      </c>
    </row>
    <row r="13317" spans="1:24">
      <c r="A13317">
        <f>HYPERLINK("https://www.philgeps.gov.ph/GEPSNONPILOT/Tender/SplashBidNoticeAbstractUI.aspx?menuIndex=3&amp;refID=7052442&amp;Result=3","7052442")</f>
        <v>0</v>
      </c>
      <c r="B13317" t="s">
        <v>648</v>
      </c>
      <c r="C13317" t="s">
        <v>16162</v>
      </c>
      <c r="D13317" t="s">
        <v>17415</v>
      </c>
      <c r="E13317" t="s">
        <v>28881</v>
      </c>
      <c r="F13317" t="s">
        <v>30052</v>
      </c>
      <c r="G13317" t="s">
        <v>30058</v>
      </c>
      <c r="H13317" t="s">
        <v>30067</v>
      </c>
      <c r="I13317" t="s">
        <v>3693</v>
      </c>
      <c r="J13317" t="s">
        <v>38284</v>
      </c>
      <c r="K13317" t="s">
        <v>39195</v>
      </c>
      <c r="M13317" t="s">
        <v>39952</v>
      </c>
      <c r="N13317" t="s">
        <v>43166</v>
      </c>
      <c r="O13317" t="s">
        <v>43167</v>
      </c>
      <c r="Q13317">
        <v>11</v>
      </c>
      <c r="R13317" t="s">
        <v>43186</v>
      </c>
      <c r="S13317" t="s">
        <v>44129</v>
      </c>
      <c r="T13317" t="s">
        <v>44758</v>
      </c>
      <c r="U13317" t="s">
        <v>55779</v>
      </c>
      <c r="W13317" t="s">
        <v>39952</v>
      </c>
      <c r="X13317" t="s">
        <v>43187</v>
      </c>
    </row>
    <row r="13318" spans="1:24">
      <c r="A13318">
        <f>HYPERLINK("https://www.philgeps.gov.ph/GEPSNONPILOT/Tender/SplashBidNoticeAbstractUI.aspx?menuIndex=3&amp;refID=7052490&amp;Result=3","7052490")</f>
        <v>0</v>
      </c>
      <c r="B13318" t="s">
        <v>3359</v>
      </c>
      <c r="C13318" t="s">
        <v>16163</v>
      </c>
      <c r="D13318" t="s">
        <v>17467</v>
      </c>
      <c r="E13318" t="s">
        <v>28882</v>
      </c>
      <c r="F13318" t="s">
        <v>30052</v>
      </c>
      <c r="G13318" t="s">
        <v>30058</v>
      </c>
      <c r="H13318" t="s">
        <v>30067</v>
      </c>
      <c r="I13318" t="s">
        <v>3693</v>
      </c>
      <c r="J13318" t="s">
        <v>38285</v>
      </c>
      <c r="K13318" t="s">
        <v>39023</v>
      </c>
      <c r="M13318" t="s">
        <v>43003</v>
      </c>
      <c r="N13318" t="s">
        <v>43166</v>
      </c>
      <c r="O13318" t="s">
        <v>43167</v>
      </c>
      <c r="P13318">
        <v>0</v>
      </c>
      <c r="Q13318">
        <v>2</v>
      </c>
      <c r="R13318" t="s">
        <v>43186</v>
      </c>
      <c r="S13318" t="s">
        <v>44047</v>
      </c>
      <c r="T13318" t="s">
        <v>44856</v>
      </c>
      <c r="U13318" t="s">
        <v>55780</v>
      </c>
      <c r="W13318" t="s">
        <v>43003</v>
      </c>
      <c r="X13318" t="s">
        <v>43187</v>
      </c>
    </row>
    <row r="13319" spans="1:24">
      <c r="A13319">
        <f>HYPERLINK("https://www.philgeps.gov.ph/GEPSNONPILOT/Tender/SplashBidNoticeAbstractUI.aspx?menuIndex=3&amp;refID=7052428&amp;Result=3","7052428")</f>
        <v>0</v>
      </c>
      <c r="B13319" t="s">
        <v>2902</v>
      </c>
      <c r="C13319" t="s">
        <v>16164</v>
      </c>
      <c r="D13319" t="s">
        <v>17482</v>
      </c>
      <c r="E13319" t="s">
        <v>28883</v>
      </c>
      <c r="F13319" t="s">
        <v>30052</v>
      </c>
      <c r="G13319" t="s">
        <v>30058</v>
      </c>
      <c r="H13319" t="s">
        <v>30067</v>
      </c>
      <c r="I13319" t="s">
        <v>3693</v>
      </c>
      <c r="J13319" t="s">
        <v>38286</v>
      </c>
      <c r="K13319" t="s">
        <v>39294</v>
      </c>
      <c r="M13319" t="s">
        <v>42456</v>
      </c>
      <c r="N13319" t="s">
        <v>43166</v>
      </c>
      <c r="O13319" t="s">
        <v>43167</v>
      </c>
      <c r="P13319">
        <v>0</v>
      </c>
      <c r="Q13319">
        <v>4</v>
      </c>
      <c r="R13319" t="s">
        <v>43186</v>
      </c>
      <c r="S13319" t="s">
        <v>44047</v>
      </c>
      <c r="T13319" t="s">
        <v>44773</v>
      </c>
      <c r="U13319" t="s">
        <v>53309</v>
      </c>
      <c r="V13319" t="s">
        <v>58422</v>
      </c>
      <c r="W13319" t="s">
        <v>42456</v>
      </c>
      <c r="X13319" t="s">
        <v>43187</v>
      </c>
    </row>
    <row r="13320" spans="1:24">
      <c r="A13320">
        <f>HYPERLINK("https://www.philgeps.gov.ph/GEPSNONPILOT/Tender/SplashBidNoticeAbstractUI.aspx?menuIndex=3&amp;refID=7052509&amp;Result=3","7052509")</f>
        <v>0</v>
      </c>
      <c r="B13320" t="s">
        <v>1707</v>
      </c>
      <c r="C13320" t="s">
        <v>16165</v>
      </c>
      <c r="D13320" t="s">
        <v>17422</v>
      </c>
      <c r="E13320" t="s">
        <v>28884</v>
      </c>
      <c r="F13320" t="s">
        <v>30052</v>
      </c>
      <c r="G13320" t="s">
        <v>30058</v>
      </c>
      <c r="H13320" t="s">
        <v>15498</v>
      </c>
      <c r="I13320" t="s">
        <v>30091</v>
      </c>
      <c r="J13320" t="s">
        <v>33743</v>
      </c>
      <c r="K13320" t="s">
        <v>39029</v>
      </c>
      <c r="M13320" t="s">
        <v>41122</v>
      </c>
      <c r="N13320" t="s">
        <v>43166</v>
      </c>
      <c r="O13320" t="s">
        <v>43167</v>
      </c>
      <c r="P13320">
        <v>0</v>
      </c>
      <c r="Q13320">
        <v>1</v>
      </c>
      <c r="R13320" t="s">
        <v>43186</v>
      </c>
      <c r="S13320" t="s">
        <v>44047</v>
      </c>
      <c r="T13320" t="s">
        <v>44773</v>
      </c>
      <c r="U13320" t="s">
        <v>55781</v>
      </c>
      <c r="V13320" t="s">
        <v>58423</v>
      </c>
      <c r="W13320" t="s">
        <v>41122</v>
      </c>
      <c r="X13320" t="s">
        <v>43187</v>
      </c>
    </row>
    <row r="13321" spans="1:24">
      <c r="A13321">
        <f>HYPERLINK("https://www.philgeps.gov.ph/GEPSNONPILOT/Tender/SplashBidNoticeAbstractUI.aspx?menuIndex=3&amp;refID=7052504&amp;Result=3","7052504")</f>
        <v>0</v>
      </c>
      <c r="B13321" t="s">
        <v>476</v>
      </c>
      <c r="C13321" t="s">
        <v>16166</v>
      </c>
      <c r="D13321" t="s">
        <v>17442</v>
      </c>
      <c r="E13321" t="s">
        <v>28885</v>
      </c>
      <c r="F13321" t="s">
        <v>30052</v>
      </c>
      <c r="G13321" t="s">
        <v>30058</v>
      </c>
      <c r="H13321" t="s">
        <v>30067</v>
      </c>
      <c r="I13321" t="s">
        <v>3693</v>
      </c>
      <c r="J13321" t="s">
        <v>38287</v>
      </c>
      <c r="K13321" t="s">
        <v>39160</v>
      </c>
      <c r="M13321" t="s">
        <v>39777</v>
      </c>
      <c r="N13321" t="s">
        <v>43166</v>
      </c>
      <c r="O13321" t="s">
        <v>43167</v>
      </c>
      <c r="Q13321">
        <v>0</v>
      </c>
      <c r="R13321" t="s">
        <v>43186</v>
      </c>
      <c r="S13321" t="s">
        <v>44130</v>
      </c>
      <c r="T13321" t="s">
        <v>44718</v>
      </c>
      <c r="U13321" t="s">
        <v>55782</v>
      </c>
      <c r="W13321" t="s">
        <v>58714</v>
      </c>
      <c r="X13321" t="s">
        <v>43187</v>
      </c>
    </row>
    <row r="13322" spans="1:24">
      <c r="A13322">
        <f>HYPERLINK("https://www.philgeps.gov.ph/GEPSNONPILOT/Tender/SplashBidNoticeAbstractUI.aspx?menuIndex=3&amp;refID=7052493&amp;Result=3","7052493")</f>
        <v>0</v>
      </c>
      <c r="B13322" t="s">
        <v>3359</v>
      </c>
      <c r="C13322" t="s">
        <v>16167</v>
      </c>
      <c r="D13322" t="s">
        <v>17467</v>
      </c>
      <c r="E13322" t="s">
        <v>28886</v>
      </c>
      <c r="F13322" t="s">
        <v>30052</v>
      </c>
      <c r="G13322" t="s">
        <v>30058</v>
      </c>
      <c r="H13322" t="s">
        <v>30067</v>
      </c>
      <c r="I13322" t="s">
        <v>3693</v>
      </c>
      <c r="J13322" t="s">
        <v>38288</v>
      </c>
      <c r="K13322" t="s">
        <v>39023</v>
      </c>
      <c r="M13322" t="s">
        <v>43003</v>
      </c>
      <c r="N13322" t="s">
        <v>43166</v>
      </c>
      <c r="O13322" t="s">
        <v>43167</v>
      </c>
      <c r="P13322">
        <v>0</v>
      </c>
      <c r="Q13322">
        <v>0</v>
      </c>
      <c r="R13322" t="s">
        <v>43186</v>
      </c>
      <c r="S13322" t="s">
        <v>44047</v>
      </c>
      <c r="T13322" t="s">
        <v>44856</v>
      </c>
      <c r="U13322" t="s">
        <v>55783</v>
      </c>
      <c r="W13322" t="s">
        <v>43003</v>
      </c>
      <c r="X13322" t="s">
        <v>43187</v>
      </c>
    </row>
    <row r="13323" spans="1:24">
      <c r="A13323">
        <f>HYPERLINK("https://www.philgeps.gov.ph/GEPSNONPILOT/Tender/SplashBidNoticeAbstractUI.aspx?menuIndex=3&amp;refID=7052398&amp;Result=3","7052398")</f>
        <v>0</v>
      </c>
      <c r="B13323" t="s">
        <v>3357</v>
      </c>
      <c r="C13323" t="s">
        <v>16168</v>
      </c>
      <c r="D13323" t="s">
        <v>17430</v>
      </c>
      <c r="E13323" t="s">
        <v>28887</v>
      </c>
      <c r="F13323" t="s">
        <v>30052</v>
      </c>
      <c r="G13323" t="s">
        <v>30058</v>
      </c>
      <c r="H13323" t="s">
        <v>30067</v>
      </c>
      <c r="I13323" t="s">
        <v>3693</v>
      </c>
      <c r="J13323" t="s">
        <v>38289</v>
      </c>
      <c r="K13323" t="s">
        <v>39026</v>
      </c>
      <c r="M13323" t="s">
        <v>43001</v>
      </c>
      <c r="N13323" t="s">
        <v>43166</v>
      </c>
      <c r="O13323" t="s">
        <v>43167</v>
      </c>
      <c r="P13323">
        <v>0</v>
      </c>
      <c r="Q13323">
        <v>2</v>
      </c>
      <c r="R13323" t="s">
        <v>43186</v>
      </c>
      <c r="S13323" t="s">
        <v>44047</v>
      </c>
      <c r="T13323" t="s">
        <v>44788</v>
      </c>
      <c r="U13323" t="s">
        <v>55776</v>
      </c>
      <c r="W13323" t="s">
        <v>43001</v>
      </c>
      <c r="X13323" t="s">
        <v>43187</v>
      </c>
    </row>
    <row r="13324" spans="1:24">
      <c r="A13324">
        <f>HYPERLINK("https://www.philgeps.gov.ph/GEPSNONPILOT/Tender/SplashBidNoticeAbstractUI.aspx?menuIndex=3&amp;refID=7052239&amp;Result=3","7052239")</f>
        <v>0</v>
      </c>
      <c r="B13324" t="s">
        <v>2077</v>
      </c>
      <c r="C13324" t="s">
        <v>16169</v>
      </c>
      <c r="D13324" t="s">
        <v>17448</v>
      </c>
      <c r="E13324" t="s">
        <v>28888</v>
      </c>
      <c r="F13324" t="s">
        <v>30052</v>
      </c>
      <c r="G13324" t="s">
        <v>30058</v>
      </c>
      <c r="H13324" t="s">
        <v>30067</v>
      </c>
      <c r="I13324" t="s">
        <v>3693</v>
      </c>
      <c r="J13324" t="s">
        <v>38265</v>
      </c>
      <c r="K13324" t="s">
        <v>39092</v>
      </c>
      <c r="M13324" t="s">
        <v>42465</v>
      </c>
      <c r="N13324" t="s">
        <v>43166</v>
      </c>
      <c r="O13324" t="s">
        <v>43167</v>
      </c>
      <c r="Q13324">
        <v>22</v>
      </c>
      <c r="R13324" t="s">
        <v>43186</v>
      </c>
      <c r="S13324" t="s">
        <v>44131</v>
      </c>
      <c r="T13324" t="s">
        <v>44777</v>
      </c>
      <c r="U13324" t="s">
        <v>55759</v>
      </c>
      <c r="V13324" t="s">
        <v>58414</v>
      </c>
      <c r="W13324" t="s">
        <v>42465</v>
      </c>
      <c r="X13324" t="s">
        <v>43187</v>
      </c>
    </row>
    <row r="13325" spans="1:24">
      <c r="A13325">
        <f>HYPERLINK("https://www.philgeps.gov.ph/GEPSNONPILOT/Tender/SplashBidNoticeAbstractUI.aspx?menuIndex=3&amp;refID=7052492&amp;Result=3","7052492")</f>
        <v>0</v>
      </c>
      <c r="B13325" t="s">
        <v>2368</v>
      </c>
      <c r="C13325" t="s">
        <v>13540</v>
      </c>
      <c r="D13325" t="s">
        <v>17466</v>
      </c>
      <c r="E13325" t="s">
        <v>28889</v>
      </c>
      <c r="F13325" t="s">
        <v>30052</v>
      </c>
      <c r="G13325" t="s">
        <v>30058</v>
      </c>
      <c r="H13325" t="s">
        <v>15498</v>
      </c>
      <c r="I13325" t="s">
        <v>30137</v>
      </c>
      <c r="J13325" t="s">
        <v>30891</v>
      </c>
      <c r="K13325" t="s">
        <v>39039</v>
      </c>
      <c r="M13325" t="s">
        <v>41863</v>
      </c>
      <c r="N13325" t="s">
        <v>43166</v>
      </c>
      <c r="O13325" t="s">
        <v>43167</v>
      </c>
      <c r="P13325">
        <v>0</v>
      </c>
      <c r="Q13325">
        <v>0</v>
      </c>
      <c r="R13325" t="s">
        <v>43186</v>
      </c>
      <c r="S13325" t="s">
        <v>44047</v>
      </c>
      <c r="T13325" t="s">
        <v>44870</v>
      </c>
      <c r="U13325" t="s">
        <v>45564</v>
      </c>
      <c r="W13325" t="s">
        <v>41863</v>
      </c>
      <c r="X13325" t="s">
        <v>43187</v>
      </c>
    </row>
    <row r="13326" spans="1:24">
      <c r="A13326">
        <f>HYPERLINK("https://www.philgeps.gov.ph/GEPSNONPILOT/Tender/SplashBidNoticeAbstractUI.aspx?menuIndex=3&amp;refID=7052487&amp;Result=3","7052487")</f>
        <v>0</v>
      </c>
      <c r="B13326" t="s">
        <v>2368</v>
      </c>
      <c r="C13326" t="s">
        <v>16170</v>
      </c>
      <c r="D13326" t="s">
        <v>17466</v>
      </c>
      <c r="E13326" t="s">
        <v>28890</v>
      </c>
      <c r="F13326" t="s">
        <v>30052</v>
      </c>
      <c r="G13326" t="s">
        <v>30058</v>
      </c>
      <c r="H13326" t="s">
        <v>15498</v>
      </c>
      <c r="I13326" t="s">
        <v>3852</v>
      </c>
      <c r="J13326" t="s">
        <v>32763</v>
      </c>
      <c r="K13326" t="s">
        <v>39036</v>
      </c>
      <c r="M13326" t="s">
        <v>41863</v>
      </c>
      <c r="N13326" t="s">
        <v>43166</v>
      </c>
      <c r="O13326" t="s">
        <v>43167</v>
      </c>
      <c r="P13326">
        <v>0</v>
      </c>
      <c r="Q13326">
        <v>1</v>
      </c>
      <c r="R13326" t="s">
        <v>43186</v>
      </c>
      <c r="S13326" t="s">
        <v>44047</v>
      </c>
      <c r="T13326" t="s">
        <v>44870</v>
      </c>
      <c r="U13326" t="s">
        <v>45564</v>
      </c>
      <c r="W13326" t="s">
        <v>41863</v>
      </c>
      <c r="X13326" t="s">
        <v>43187</v>
      </c>
    </row>
    <row r="13327" spans="1:24">
      <c r="A13327">
        <f>HYPERLINK("https://www.philgeps.gov.ph/GEPSNONPILOT/Tender/SplashBidNoticeAbstractUI.aspx?menuIndex=3&amp;refID=7052484&amp;Result=3","7052484")</f>
        <v>0</v>
      </c>
      <c r="B13327" t="s">
        <v>3355</v>
      </c>
      <c r="C13327" t="s">
        <v>16171</v>
      </c>
      <c r="D13327" t="s">
        <v>17444</v>
      </c>
      <c r="E13327" t="s">
        <v>28891</v>
      </c>
      <c r="F13327" t="s">
        <v>30052</v>
      </c>
      <c r="G13327" t="s">
        <v>30058</v>
      </c>
      <c r="H13327" t="s">
        <v>30067</v>
      </c>
      <c r="I13327" t="s">
        <v>3693</v>
      </c>
      <c r="J13327" t="s">
        <v>30247</v>
      </c>
      <c r="K13327" t="s">
        <v>39253</v>
      </c>
      <c r="M13327" t="s">
        <v>42999</v>
      </c>
      <c r="N13327" t="s">
        <v>43166</v>
      </c>
      <c r="O13327" t="s">
        <v>43167</v>
      </c>
      <c r="Q13327">
        <v>1</v>
      </c>
      <c r="R13327" t="s">
        <v>43186</v>
      </c>
      <c r="S13327" t="s">
        <v>44132</v>
      </c>
      <c r="T13327" t="s">
        <v>44717</v>
      </c>
      <c r="U13327" t="s">
        <v>55784</v>
      </c>
      <c r="W13327" t="s">
        <v>42999</v>
      </c>
      <c r="X13327" t="s">
        <v>43187</v>
      </c>
    </row>
    <row r="13328" spans="1:24">
      <c r="A13328">
        <f>HYPERLINK("https://www.philgeps.gov.ph/GEPSNONPILOT/Tender/SplashBidNoticeAbstractUI.aspx?menuIndex=3&amp;refID=7052418&amp;Result=3","7052418")</f>
        <v>0</v>
      </c>
      <c r="B13328" t="s">
        <v>2902</v>
      </c>
      <c r="C13328" t="s">
        <v>16172</v>
      </c>
      <c r="D13328" t="s">
        <v>17482</v>
      </c>
      <c r="E13328" t="s">
        <v>28892</v>
      </c>
      <c r="F13328" t="s">
        <v>30052</v>
      </c>
      <c r="G13328" t="s">
        <v>30058</v>
      </c>
      <c r="H13328" t="s">
        <v>30067</v>
      </c>
      <c r="I13328" t="s">
        <v>3693</v>
      </c>
      <c r="J13328" t="s">
        <v>38290</v>
      </c>
      <c r="K13328" t="s">
        <v>39294</v>
      </c>
      <c r="M13328" t="s">
        <v>42456</v>
      </c>
      <c r="N13328" t="s">
        <v>43166</v>
      </c>
      <c r="O13328" t="s">
        <v>43167</v>
      </c>
      <c r="Q13328">
        <v>5</v>
      </c>
      <c r="R13328" t="s">
        <v>43186</v>
      </c>
      <c r="S13328" t="s">
        <v>44133</v>
      </c>
      <c r="T13328" t="s">
        <v>44773</v>
      </c>
      <c r="U13328" t="s">
        <v>53309</v>
      </c>
      <c r="V13328" t="s">
        <v>58424</v>
      </c>
      <c r="W13328" t="s">
        <v>42456</v>
      </c>
      <c r="X13328" t="s">
        <v>43187</v>
      </c>
    </row>
    <row r="13329" spans="1:24">
      <c r="A13329">
        <f>HYPERLINK("https://www.philgeps.gov.ph/GEPSNONPILOT/Tender/SplashBidNoticeAbstractUI.aspx?menuIndex=3&amp;refID=7052485&amp;Result=3","7052485")</f>
        <v>0</v>
      </c>
      <c r="B13329" t="s">
        <v>1616</v>
      </c>
      <c r="C13329" t="s">
        <v>16173</v>
      </c>
      <c r="D13329" t="s">
        <v>17433</v>
      </c>
      <c r="E13329" t="s">
        <v>28893</v>
      </c>
      <c r="F13329" t="s">
        <v>30052</v>
      </c>
      <c r="G13329" t="s">
        <v>30058</v>
      </c>
      <c r="H13329" t="s">
        <v>30067</v>
      </c>
      <c r="I13329" t="s">
        <v>3693</v>
      </c>
      <c r="J13329" t="s">
        <v>30397</v>
      </c>
      <c r="K13329" t="s">
        <v>39116</v>
      </c>
      <c r="M13329" t="s">
        <v>41016</v>
      </c>
      <c r="N13329" t="s">
        <v>43166</v>
      </c>
      <c r="O13329" t="s">
        <v>43167</v>
      </c>
      <c r="P13329">
        <v>0</v>
      </c>
      <c r="Q13329">
        <v>0</v>
      </c>
      <c r="R13329" t="s">
        <v>43186</v>
      </c>
      <c r="S13329" t="s">
        <v>44047</v>
      </c>
      <c r="T13329" t="s">
        <v>44870</v>
      </c>
      <c r="U13329" t="s">
        <v>48982</v>
      </c>
      <c r="V13329" t="s">
        <v>57327</v>
      </c>
      <c r="W13329" t="s">
        <v>41016</v>
      </c>
      <c r="X13329" t="s">
        <v>43187</v>
      </c>
    </row>
    <row r="13330" spans="1:24">
      <c r="A13330">
        <f>HYPERLINK("https://www.philgeps.gov.ph/GEPSNONPILOT/Tender/SplashBidNoticeAbstractUI.aspx?menuIndex=3&amp;refID=7052480&amp;Result=3","7052480")</f>
        <v>0</v>
      </c>
      <c r="B13330" t="s">
        <v>3355</v>
      </c>
      <c r="C13330" t="s">
        <v>16174</v>
      </c>
      <c r="D13330" t="s">
        <v>17444</v>
      </c>
      <c r="E13330" t="s">
        <v>28894</v>
      </c>
      <c r="F13330" t="s">
        <v>30052</v>
      </c>
      <c r="G13330" t="s">
        <v>30058</v>
      </c>
      <c r="H13330" t="s">
        <v>30067</v>
      </c>
      <c r="I13330" t="s">
        <v>3693</v>
      </c>
      <c r="J13330" t="s">
        <v>30397</v>
      </c>
      <c r="K13330" t="s">
        <v>39076</v>
      </c>
      <c r="M13330" t="s">
        <v>42999</v>
      </c>
      <c r="N13330" t="s">
        <v>43166</v>
      </c>
      <c r="O13330" t="s">
        <v>43167</v>
      </c>
      <c r="Q13330">
        <v>1</v>
      </c>
      <c r="R13330" t="s">
        <v>43186</v>
      </c>
      <c r="S13330" t="s">
        <v>44134</v>
      </c>
      <c r="T13330" t="s">
        <v>44717</v>
      </c>
      <c r="U13330" t="s">
        <v>55785</v>
      </c>
      <c r="W13330" t="s">
        <v>42999</v>
      </c>
      <c r="X13330" t="s">
        <v>43187</v>
      </c>
    </row>
    <row r="13331" spans="1:24">
      <c r="A13331">
        <f>HYPERLINK("https://www.philgeps.gov.ph/GEPSNONPILOT/Tender/SplashBidNoticeAbstractUI.aspx?menuIndex=3&amp;refID=7052475&amp;Result=3","7052475")</f>
        <v>0</v>
      </c>
      <c r="B13331" t="s">
        <v>3355</v>
      </c>
      <c r="C13331" t="s">
        <v>16175</v>
      </c>
      <c r="D13331" t="s">
        <v>17444</v>
      </c>
      <c r="E13331" t="s">
        <v>28895</v>
      </c>
      <c r="F13331" t="s">
        <v>30052</v>
      </c>
      <c r="G13331" t="s">
        <v>30058</v>
      </c>
      <c r="H13331" t="s">
        <v>30067</v>
      </c>
      <c r="I13331" t="s">
        <v>3693</v>
      </c>
      <c r="J13331" t="s">
        <v>30252</v>
      </c>
      <c r="K13331" t="s">
        <v>39071</v>
      </c>
      <c r="M13331" t="s">
        <v>42999</v>
      </c>
      <c r="N13331" t="s">
        <v>43166</v>
      </c>
      <c r="O13331" t="s">
        <v>43167</v>
      </c>
      <c r="Q13331">
        <v>0</v>
      </c>
      <c r="R13331" t="s">
        <v>43186</v>
      </c>
      <c r="S13331" t="s">
        <v>44135</v>
      </c>
      <c r="T13331" t="s">
        <v>44717</v>
      </c>
      <c r="U13331" t="s">
        <v>55786</v>
      </c>
      <c r="W13331" t="s">
        <v>42999</v>
      </c>
      <c r="X13331" t="s">
        <v>43187</v>
      </c>
    </row>
    <row r="13332" spans="1:24">
      <c r="A13332">
        <f>HYPERLINK("https://www.philgeps.gov.ph/GEPSNONPILOT/Tender/SplashBidNoticeAbstractUI.aspx?menuIndex=3&amp;refID=7052473&amp;Result=3","7052473")</f>
        <v>0</v>
      </c>
      <c r="B13332" t="s">
        <v>3355</v>
      </c>
      <c r="C13332" t="s">
        <v>16176</v>
      </c>
      <c r="D13332" t="s">
        <v>17444</v>
      </c>
      <c r="E13332" t="s">
        <v>28896</v>
      </c>
      <c r="F13332" t="s">
        <v>30052</v>
      </c>
      <c r="G13332" t="s">
        <v>30058</v>
      </c>
      <c r="H13332" t="s">
        <v>30067</v>
      </c>
      <c r="I13332" t="s">
        <v>3693</v>
      </c>
      <c r="J13332" t="s">
        <v>30559</v>
      </c>
      <c r="K13332" t="s">
        <v>39071</v>
      </c>
      <c r="M13332" t="s">
        <v>42999</v>
      </c>
      <c r="N13332" t="s">
        <v>43166</v>
      </c>
      <c r="O13332" t="s">
        <v>43167</v>
      </c>
      <c r="Q13332">
        <v>1</v>
      </c>
      <c r="R13332" t="s">
        <v>43186</v>
      </c>
      <c r="S13332" t="s">
        <v>44135</v>
      </c>
      <c r="T13332" t="s">
        <v>44717</v>
      </c>
      <c r="U13332" t="s">
        <v>55787</v>
      </c>
      <c r="W13332" t="s">
        <v>42999</v>
      </c>
      <c r="X13332" t="s">
        <v>43187</v>
      </c>
    </row>
    <row r="13333" spans="1:24">
      <c r="A13333">
        <f>HYPERLINK("https://www.philgeps.gov.ph/GEPSNONPILOT/Tender/SplashBidNoticeAbstractUI.aspx?menuIndex=3&amp;refID=7052468&amp;Result=3","7052468")</f>
        <v>0</v>
      </c>
      <c r="B13333" t="s">
        <v>3355</v>
      </c>
      <c r="C13333" t="s">
        <v>16177</v>
      </c>
      <c r="D13333" t="s">
        <v>17444</v>
      </c>
      <c r="E13333" t="s">
        <v>28897</v>
      </c>
      <c r="F13333" t="s">
        <v>30052</v>
      </c>
      <c r="G13333" t="s">
        <v>30058</v>
      </c>
      <c r="H13333" t="s">
        <v>30067</v>
      </c>
      <c r="I13333" t="s">
        <v>3693</v>
      </c>
      <c r="J13333" t="s">
        <v>30397</v>
      </c>
      <c r="K13333" t="s">
        <v>39046</v>
      </c>
      <c r="M13333" t="s">
        <v>42999</v>
      </c>
      <c r="N13333" t="s">
        <v>43166</v>
      </c>
      <c r="O13333" t="s">
        <v>43167</v>
      </c>
      <c r="Q13333">
        <v>1</v>
      </c>
      <c r="R13333" t="s">
        <v>43186</v>
      </c>
      <c r="S13333" t="s">
        <v>44136</v>
      </c>
      <c r="T13333" t="s">
        <v>44717</v>
      </c>
      <c r="U13333" t="s">
        <v>55788</v>
      </c>
      <c r="W13333" t="s">
        <v>42999</v>
      </c>
      <c r="X13333" t="s">
        <v>43187</v>
      </c>
    </row>
    <row r="13334" spans="1:24">
      <c r="A13334">
        <f>HYPERLINK("https://www.philgeps.gov.ph/GEPSNONPILOT/Tender/SplashBidNoticeAbstractUI.aspx?menuIndex=3&amp;refID=7052467&amp;Result=3","7052467")</f>
        <v>0</v>
      </c>
      <c r="B13334" t="s">
        <v>3355</v>
      </c>
      <c r="C13334" t="s">
        <v>16178</v>
      </c>
      <c r="D13334" t="s">
        <v>17444</v>
      </c>
      <c r="E13334" t="s">
        <v>28898</v>
      </c>
      <c r="F13334" t="s">
        <v>30052</v>
      </c>
      <c r="G13334" t="s">
        <v>30058</v>
      </c>
      <c r="H13334" t="s">
        <v>30067</v>
      </c>
      <c r="I13334" t="s">
        <v>3693</v>
      </c>
      <c r="J13334" t="s">
        <v>30222</v>
      </c>
      <c r="K13334" t="s">
        <v>39044</v>
      </c>
      <c r="M13334" t="s">
        <v>42999</v>
      </c>
      <c r="N13334" t="s">
        <v>43166</v>
      </c>
      <c r="O13334" t="s">
        <v>43167</v>
      </c>
      <c r="Q13334">
        <v>1</v>
      </c>
      <c r="R13334" t="s">
        <v>43186</v>
      </c>
      <c r="S13334" t="s">
        <v>44137</v>
      </c>
      <c r="T13334" t="s">
        <v>44717</v>
      </c>
      <c r="U13334" t="s">
        <v>55789</v>
      </c>
      <c r="W13334" t="s">
        <v>42999</v>
      </c>
      <c r="X13334" t="s">
        <v>43187</v>
      </c>
    </row>
    <row r="13335" spans="1:24">
      <c r="A13335">
        <f>HYPERLINK("https://www.philgeps.gov.ph/GEPSNONPILOT/Tender/SplashBidNoticeAbstractUI.aspx?menuIndex=3&amp;refID=7052465&amp;Result=3","7052465")</f>
        <v>0</v>
      </c>
      <c r="B13335" t="s">
        <v>3355</v>
      </c>
      <c r="C13335" t="s">
        <v>16179</v>
      </c>
      <c r="D13335" t="s">
        <v>17444</v>
      </c>
      <c r="E13335" t="s">
        <v>28899</v>
      </c>
      <c r="F13335" t="s">
        <v>30052</v>
      </c>
      <c r="G13335" t="s">
        <v>30058</v>
      </c>
      <c r="H13335" t="s">
        <v>30067</v>
      </c>
      <c r="I13335" t="s">
        <v>3693</v>
      </c>
      <c r="J13335" t="s">
        <v>30222</v>
      </c>
      <c r="K13335" t="s">
        <v>39044</v>
      </c>
      <c r="M13335" t="s">
        <v>42999</v>
      </c>
      <c r="N13335" t="s">
        <v>43166</v>
      </c>
      <c r="O13335" t="s">
        <v>43167</v>
      </c>
      <c r="Q13335">
        <v>1</v>
      </c>
      <c r="R13335" t="s">
        <v>43186</v>
      </c>
      <c r="S13335" t="s">
        <v>44138</v>
      </c>
      <c r="T13335" t="s">
        <v>44717</v>
      </c>
      <c r="U13335" t="s">
        <v>55790</v>
      </c>
      <c r="W13335" t="s">
        <v>42999</v>
      </c>
      <c r="X13335" t="s">
        <v>43187</v>
      </c>
    </row>
    <row r="13336" spans="1:24">
      <c r="A13336">
        <f>HYPERLINK("https://www.philgeps.gov.ph/GEPSNONPILOT/Tender/SplashBidNoticeAbstractUI.aspx?menuIndex=3&amp;refID=7050229&amp;Result=3","7050229")</f>
        <v>0</v>
      </c>
      <c r="B13336" t="s">
        <v>3215</v>
      </c>
      <c r="C13336" t="s">
        <v>16180</v>
      </c>
      <c r="D13336" t="s">
        <v>17441</v>
      </c>
      <c r="E13336" t="s">
        <v>28900</v>
      </c>
      <c r="F13336" t="s">
        <v>30052</v>
      </c>
      <c r="G13336" t="s">
        <v>30058</v>
      </c>
      <c r="H13336" t="s">
        <v>15498</v>
      </c>
      <c r="I13336" t="s">
        <v>3852</v>
      </c>
      <c r="J13336" t="s">
        <v>38291</v>
      </c>
      <c r="K13336" t="s">
        <v>39025</v>
      </c>
      <c r="M13336" t="s">
        <v>42838</v>
      </c>
      <c r="N13336" t="s">
        <v>43166</v>
      </c>
      <c r="O13336" t="s">
        <v>43167</v>
      </c>
      <c r="Q13336">
        <v>11</v>
      </c>
      <c r="R13336" t="s">
        <v>43186</v>
      </c>
      <c r="S13336" t="s">
        <v>44139</v>
      </c>
      <c r="T13336" t="s">
        <v>44828</v>
      </c>
      <c r="U13336" t="s">
        <v>55791</v>
      </c>
      <c r="V13336" t="s">
        <v>58425</v>
      </c>
      <c r="W13336" t="s">
        <v>42838</v>
      </c>
      <c r="X13336" t="s">
        <v>43187</v>
      </c>
    </row>
    <row r="13337" spans="1:24">
      <c r="A13337">
        <f>HYPERLINK("https://www.philgeps.gov.ph/GEPSNONPILOT/Tender/SplashBidNoticeAbstractUI.aspx?menuIndex=3&amp;refID=7052455&amp;Result=3","7052455")</f>
        <v>0</v>
      </c>
      <c r="B13337" t="s">
        <v>3355</v>
      </c>
      <c r="C13337" t="s">
        <v>16181</v>
      </c>
      <c r="D13337" t="s">
        <v>17444</v>
      </c>
      <c r="E13337" t="s">
        <v>28901</v>
      </c>
      <c r="F13337" t="s">
        <v>30052</v>
      </c>
      <c r="G13337" t="s">
        <v>30058</v>
      </c>
      <c r="H13337" t="s">
        <v>30067</v>
      </c>
      <c r="I13337" t="s">
        <v>3693</v>
      </c>
      <c r="J13337" t="s">
        <v>30222</v>
      </c>
      <c r="K13337" t="s">
        <v>39044</v>
      </c>
      <c r="M13337" t="s">
        <v>42999</v>
      </c>
      <c r="N13337" t="s">
        <v>43166</v>
      </c>
      <c r="O13337" t="s">
        <v>43167</v>
      </c>
      <c r="Q13337">
        <v>1</v>
      </c>
      <c r="R13337" t="s">
        <v>43186</v>
      </c>
      <c r="S13337" t="s">
        <v>44140</v>
      </c>
      <c r="T13337" t="s">
        <v>44717</v>
      </c>
      <c r="U13337" t="s">
        <v>55792</v>
      </c>
      <c r="W13337" t="s">
        <v>42999</v>
      </c>
      <c r="X13337" t="s">
        <v>43187</v>
      </c>
    </row>
    <row r="13338" spans="1:24">
      <c r="A13338">
        <f>HYPERLINK("https://www.philgeps.gov.ph/GEPSNONPILOT/Tender/SplashBidNoticeAbstractUI.aspx?menuIndex=3&amp;refID=7052384&amp;Result=3","7052384")</f>
        <v>0</v>
      </c>
      <c r="B13338" t="s">
        <v>3357</v>
      </c>
      <c r="C13338" t="s">
        <v>16182</v>
      </c>
      <c r="D13338" t="s">
        <v>17430</v>
      </c>
      <c r="E13338" t="s">
        <v>18370</v>
      </c>
      <c r="F13338" t="s">
        <v>30052</v>
      </c>
      <c r="G13338" t="s">
        <v>30058</v>
      </c>
      <c r="H13338" t="s">
        <v>30067</v>
      </c>
      <c r="I13338" t="s">
        <v>3693</v>
      </c>
      <c r="J13338" t="s">
        <v>30222</v>
      </c>
      <c r="K13338" t="s">
        <v>39023</v>
      </c>
      <c r="M13338" t="s">
        <v>43001</v>
      </c>
      <c r="N13338" t="s">
        <v>43166</v>
      </c>
      <c r="O13338" t="s">
        <v>43167</v>
      </c>
      <c r="P13338">
        <v>0</v>
      </c>
      <c r="Q13338">
        <v>1</v>
      </c>
      <c r="R13338" t="s">
        <v>43186</v>
      </c>
      <c r="S13338" t="s">
        <v>44047</v>
      </c>
      <c r="T13338" t="s">
        <v>44788</v>
      </c>
      <c r="U13338" t="s">
        <v>55776</v>
      </c>
      <c r="W13338" t="s">
        <v>43001</v>
      </c>
      <c r="X13338" t="s">
        <v>43187</v>
      </c>
    </row>
    <row r="13339" spans="1:24">
      <c r="A13339">
        <f>HYPERLINK("https://www.philgeps.gov.ph/GEPSNONPILOT/Tender/SplashBidNoticeAbstractUI.aspx?menuIndex=3&amp;refID=7052658&amp;Result=3","7052658")</f>
        <v>0</v>
      </c>
      <c r="B13339" t="s">
        <v>2091</v>
      </c>
      <c r="C13339" t="s">
        <v>16183</v>
      </c>
      <c r="D13339" t="s">
        <v>17414</v>
      </c>
      <c r="E13339" t="s">
        <v>28902</v>
      </c>
      <c r="F13339" t="s">
        <v>30052</v>
      </c>
      <c r="G13339" t="s">
        <v>30058</v>
      </c>
      <c r="H13339" t="s">
        <v>15498</v>
      </c>
      <c r="I13339" t="s">
        <v>30074</v>
      </c>
      <c r="J13339" t="s">
        <v>31198</v>
      </c>
      <c r="K13339" t="s">
        <v>39025</v>
      </c>
      <c r="M13339" t="s">
        <v>41553</v>
      </c>
      <c r="N13339" t="s">
        <v>43166</v>
      </c>
      <c r="O13339" t="s">
        <v>43167</v>
      </c>
      <c r="P13339">
        <v>0</v>
      </c>
      <c r="Q13339">
        <v>4</v>
      </c>
      <c r="R13339" t="s">
        <v>43186</v>
      </c>
      <c r="S13339" t="s">
        <v>44047</v>
      </c>
      <c r="T13339" t="s">
        <v>44737</v>
      </c>
      <c r="U13339" t="s">
        <v>54247</v>
      </c>
      <c r="W13339" t="s">
        <v>42702</v>
      </c>
      <c r="X13339" t="s">
        <v>43187</v>
      </c>
    </row>
    <row r="13340" spans="1:24">
      <c r="A13340">
        <f>HYPERLINK("https://www.philgeps.gov.ph/GEPSNONPILOT/Tender/SplashBidNoticeAbstractUI.aspx?menuIndex=3&amp;refID=7052459&amp;Result=3","7052459")</f>
        <v>0</v>
      </c>
      <c r="B13340" t="s">
        <v>3355</v>
      </c>
      <c r="C13340" t="s">
        <v>16184</v>
      </c>
      <c r="D13340" t="s">
        <v>17444</v>
      </c>
      <c r="E13340" t="s">
        <v>28903</v>
      </c>
      <c r="F13340" t="s">
        <v>30052</v>
      </c>
      <c r="G13340" t="s">
        <v>30058</v>
      </c>
      <c r="H13340" t="s">
        <v>30067</v>
      </c>
      <c r="I13340" t="s">
        <v>3693</v>
      </c>
      <c r="J13340" t="s">
        <v>30222</v>
      </c>
      <c r="K13340" t="s">
        <v>39044</v>
      </c>
      <c r="M13340" t="s">
        <v>42999</v>
      </c>
      <c r="N13340" t="s">
        <v>43166</v>
      </c>
      <c r="O13340" t="s">
        <v>43167</v>
      </c>
      <c r="Q13340">
        <v>1</v>
      </c>
      <c r="R13340" t="s">
        <v>43186</v>
      </c>
      <c r="S13340" t="s">
        <v>44140</v>
      </c>
      <c r="T13340" t="s">
        <v>44717</v>
      </c>
      <c r="U13340" t="s">
        <v>55793</v>
      </c>
      <c r="W13340" t="s">
        <v>42999</v>
      </c>
      <c r="X13340" t="s">
        <v>43187</v>
      </c>
    </row>
    <row r="13341" spans="1:24">
      <c r="A13341">
        <f>HYPERLINK("https://www.philgeps.gov.ph/GEPSNONPILOT/Tender/SplashBidNoticeAbstractUI.aspx?menuIndex=3&amp;refID=7052479&amp;Result=3","7052479")</f>
        <v>0</v>
      </c>
      <c r="B13341" t="s">
        <v>1616</v>
      </c>
      <c r="C13341" t="s">
        <v>16185</v>
      </c>
      <c r="D13341" t="s">
        <v>17433</v>
      </c>
      <c r="E13341" t="s">
        <v>28904</v>
      </c>
      <c r="F13341" t="s">
        <v>30052</v>
      </c>
      <c r="G13341" t="s">
        <v>30058</v>
      </c>
      <c r="H13341" t="s">
        <v>30067</v>
      </c>
      <c r="I13341" t="s">
        <v>3693</v>
      </c>
      <c r="J13341" t="s">
        <v>30281</v>
      </c>
      <c r="K13341" t="s">
        <v>39116</v>
      </c>
      <c r="M13341" t="s">
        <v>41016</v>
      </c>
      <c r="N13341" t="s">
        <v>43166</v>
      </c>
      <c r="O13341" t="s">
        <v>43167</v>
      </c>
      <c r="P13341">
        <v>0</v>
      </c>
      <c r="Q13341">
        <v>0</v>
      </c>
      <c r="R13341" t="s">
        <v>43186</v>
      </c>
      <c r="S13341" t="s">
        <v>44047</v>
      </c>
      <c r="T13341" t="s">
        <v>44870</v>
      </c>
      <c r="U13341" t="s">
        <v>48982</v>
      </c>
      <c r="V13341" t="s">
        <v>57327</v>
      </c>
      <c r="W13341" t="s">
        <v>41016</v>
      </c>
      <c r="X13341" t="s">
        <v>43187</v>
      </c>
    </row>
    <row r="13342" spans="1:24">
      <c r="A13342">
        <f>HYPERLINK("https://www.philgeps.gov.ph/GEPSNONPILOT/Tender/SplashBidNoticeAbstractUI.aspx?menuIndex=3&amp;refID=7052635&amp;Result=3","7052635")</f>
        <v>0</v>
      </c>
      <c r="B13342" t="s">
        <v>1104</v>
      </c>
      <c r="C13342" t="s">
        <v>16186</v>
      </c>
      <c r="D13342" t="s">
        <v>17449</v>
      </c>
      <c r="E13342" t="s">
        <v>28905</v>
      </c>
      <c r="F13342" t="s">
        <v>30052</v>
      </c>
      <c r="G13342" t="s">
        <v>30058</v>
      </c>
      <c r="H13342" t="s">
        <v>30067</v>
      </c>
      <c r="I13342" t="s">
        <v>3693</v>
      </c>
      <c r="J13342" t="s">
        <v>30557</v>
      </c>
      <c r="K13342" t="s">
        <v>39029</v>
      </c>
      <c r="M13342" t="s">
        <v>40443</v>
      </c>
      <c r="N13342" t="s">
        <v>43166</v>
      </c>
      <c r="O13342" t="s">
        <v>43167</v>
      </c>
      <c r="P13342">
        <v>0</v>
      </c>
      <c r="Q13342">
        <v>9</v>
      </c>
      <c r="R13342" t="s">
        <v>43186</v>
      </c>
      <c r="S13342" t="s">
        <v>44047</v>
      </c>
      <c r="T13342" t="s">
        <v>44717</v>
      </c>
      <c r="U13342" t="s">
        <v>47517</v>
      </c>
      <c r="W13342" t="s">
        <v>40443</v>
      </c>
      <c r="X13342" t="s">
        <v>43187</v>
      </c>
    </row>
    <row r="13343" spans="1:24">
      <c r="A13343">
        <f>HYPERLINK("https://www.philgeps.gov.ph/GEPSNONPILOT/Tender/SplashBidNoticeAbstractUI.aspx?menuIndex=3&amp;refID=7052655&amp;Result=3","7052655")</f>
        <v>0</v>
      </c>
      <c r="B13343" t="s">
        <v>2091</v>
      </c>
      <c r="C13343" t="s">
        <v>16187</v>
      </c>
      <c r="D13343" t="s">
        <v>17414</v>
      </c>
      <c r="E13343" t="s">
        <v>28906</v>
      </c>
      <c r="F13343" t="s">
        <v>30052</v>
      </c>
      <c r="G13343" t="s">
        <v>30058</v>
      </c>
      <c r="H13343" t="s">
        <v>15498</v>
      </c>
      <c r="I13343" t="s">
        <v>30074</v>
      </c>
      <c r="J13343" t="s">
        <v>32072</v>
      </c>
      <c r="K13343" t="s">
        <v>39025</v>
      </c>
      <c r="M13343" t="s">
        <v>41553</v>
      </c>
      <c r="N13343" t="s">
        <v>43166</v>
      </c>
      <c r="O13343" t="s">
        <v>43167</v>
      </c>
      <c r="P13343">
        <v>0</v>
      </c>
      <c r="Q13343">
        <v>4</v>
      </c>
      <c r="R13343" t="s">
        <v>43186</v>
      </c>
      <c r="S13343" t="s">
        <v>44047</v>
      </c>
      <c r="T13343" t="s">
        <v>44737</v>
      </c>
      <c r="U13343" t="s">
        <v>55794</v>
      </c>
      <c r="W13343" t="s">
        <v>42702</v>
      </c>
      <c r="X13343" t="s">
        <v>43187</v>
      </c>
    </row>
    <row r="13344" spans="1:24">
      <c r="A13344">
        <f>HYPERLINK("https://www.philgeps.gov.ph/GEPSNONPILOT/Tender/SplashBidNoticeAbstractUI.aspx?menuIndex=3&amp;refID=7052631&amp;Result=3","7052631")</f>
        <v>0</v>
      </c>
      <c r="B13344" t="s">
        <v>1104</v>
      </c>
      <c r="C13344" t="s">
        <v>16188</v>
      </c>
      <c r="D13344" t="s">
        <v>17449</v>
      </c>
      <c r="E13344" t="s">
        <v>28907</v>
      </c>
      <c r="F13344" t="s">
        <v>30052</v>
      </c>
      <c r="G13344" t="s">
        <v>30058</v>
      </c>
      <c r="H13344" t="s">
        <v>30067</v>
      </c>
      <c r="I13344" t="s">
        <v>3693</v>
      </c>
      <c r="J13344" t="s">
        <v>30559</v>
      </c>
      <c r="K13344" t="s">
        <v>39029</v>
      </c>
      <c r="M13344" t="s">
        <v>40443</v>
      </c>
      <c r="N13344" t="s">
        <v>43166</v>
      </c>
      <c r="O13344" t="s">
        <v>43167</v>
      </c>
      <c r="P13344">
        <v>0</v>
      </c>
      <c r="Q13344">
        <v>9</v>
      </c>
      <c r="R13344" t="s">
        <v>43186</v>
      </c>
      <c r="S13344" t="s">
        <v>44047</v>
      </c>
      <c r="T13344" t="s">
        <v>44717</v>
      </c>
      <c r="U13344" t="s">
        <v>47517</v>
      </c>
      <c r="W13344" t="s">
        <v>40443</v>
      </c>
      <c r="X13344" t="s">
        <v>43187</v>
      </c>
    </row>
    <row r="13345" spans="1:24">
      <c r="A13345">
        <f>HYPERLINK("https://www.philgeps.gov.ph/GEPSNONPILOT/Tender/SplashBidNoticeAbstractUI.aspx?menuIndex=3&amp;refID=7052477&amp;Result=3","7052477")</f>
        <v>0</v>
      </c>
      <c r="B13345" t="s">
        <v>3355</v>
      </c>
      <c r="C13345" t="s">
        <v>16189</v>
      </c>
      <c r="D13345" t="s">
        <v>17444</v>
      </c>
      <c r="E13345" t="s">
        <v>28908</v>
      </c>
      <c r="F13345" t="s">
        <v>30052</v>
      </c>
      <c r="G13345" t="s">
        <v>30058</v>
      </c>
      <c r="H13345" t="s">
        <v>30067</v>
      </c>
      <c r="I13345" t="s">
        <v>3693</v>
      </c>
      <c r="J13345" t="s">
        <v>30397</v>
      </c>
      <c r="K13345" t="s">
        <v>39046</v>
      </c>
      <c r="M13345" t="s">
        <v>42999</v>
      </c>
      <c r="N13345" t="s">
        <v>43166</v>
      </c>
      <c r="O13345" t="s">
        <v>43167</v>
      </c>
      <c r="Q13345">
        <v>1</v>
      </c>
      <c r="R13345" t="s">
        <v>43186</v>
      </c>
      <c r="S13345" t="s">
        <v>44141</v>
      </c>
      <c r="T13345" t="s">
        <v>44717</v>
      </c>
      <c r="U13345" t="s">
        <v>55795</v>
      </c>
      <c r="W13345" t="s">
        <v>42999</v>
      </c>
      <c r="X13345" t="s">
        <v>43187</v>
      </c>
    </row>
    <row r="13346" spans="1:24">
      <c r="A13346">
        <f>HYPERLINK("https://www.philgeps.gov.ph/GEPSNONPILOT/Tender/SplashBidNoticeAbstractUI.aspx?menuIndex=3&amp;refID=7052497&amp;Result=3","7052497")</f>
        <v>0</v>
      </c>
      <c r="B13346" t="s">
        <v>476</v>
      </c>
      <c r="C13346" t="s">
        <v>16190</v>
      </c>
      <c r="D13346" t="s">
        <v>17442</v>
      </c>
      <c r="E13346" t="s">
        <v>28909</v>
      </c>
      <c r="F13346" t="s">
        <v>30052</v>
      </c>
      <c r="G13346" t="s">
        <v>30058</v>
      </c>
      <c r="H13346" t="s">
        <v>30067</v>
      </c>
      <c r="I13346" t="s">
        <v>3693</v>
      </c>
      <c r="J13346" t="s">
        <v>38292</v>
      </c>
      <c r="K13346" t="s">
        <v>39026</v>
      </c>
      <c r="M13346" t="s">
        <v>39777</v>
      </c>
      <c r="N13346" t="s">
        <v>43166</v>
      </c>
      <c r="O13346" t="s">
        <v>43167</v>
      </c>
      <c r="Q13346">
        <v>1</v>
      </c>
      <c r="R13346" t="s">
        <v>43186</v>
      </c>
      <c r="S13346" t="s">
        <v>44142</v>
      </c>
      <c r="T13346" t="s">
        <v>44718</v>
      </c>
      <c r="U13346" t="s">
        <v>55796</v>
      </c>
      <c r="W13346" t="s">
        <v>58714</v>
      </c>
      <c r="X13346" t="s">
        <v>43187</v>
      </c>
    </row>
    <row r="13347" spans="1:24">
      <c r="A13347">
        <f>HYPERLINK("https://www.philgeps.gov.ph/GEPSNONPILOT/Tender/SplashBidNoticeAbstractUI.aspx?menuIndex=3&amp;refID=7052622&amp;Result=3","7052622")</f>
        <v>0</v>
      </c>
      <c r="B13347" t="s">
        <v>138</v>
      </c>
      <c r="C13347" t="s">
        <v>16191</v>
      </c>
      <c r="D13347" t="s">
        <v>17422</v>
      </c>
      <c r="E13347" t="s">
        <v>28910</v>
      </c>
      <c r="F13347" t="s">
        <v>30052</v>
      </c>
      <c r="G13347" t="s">
        <v>30058</v>
      </c>
      <c r="H13347" t="s">
        <v>15498</v>
      </c>
      <c r="I13347" t="s">
        <v>30123</v>
      </c>
      <c r="J13347" t="s">
        <v>37865</v>
      </c>
      <c r="K13347" t="s">
        <v>39029</v>
      </c>
      <c r="M13347" t="s">
        <v>41707</v>
      </c>
      <c r="N13347" t="s">
        <v>43166</v>
      </c>
      <c r="O13347" t="s">
        <v>43167</v>
      </c>
      <c r="Q13347">
        <v>4</v>
      </c>
      <c r="R13347" t="s">
        <v>43186</v>
      </c>
      <c r="S13347" t="s">
        <v>44143</v>
      </c>
      <c r="T13347" t="s">
        <v>44737</v>
      </c>
      <c r="U13347" t="s">
        <v>55797</v>
      </c>
      <c r="W13347" t="s">
        <v>41707</v>
      </c>
      <c r="X13347" t="s">
        <v>43187</v>
      </c>
    </row>
    <row r="13348" spans="1:24">
      <c r="A13348">
        <f>HYPERLINK("https://www.philgeps.gov.ph/GEPSNONPILOT/Tender/SplashBidNoticeAbstractUI.aspx?menuIndex=3&amp;refID=7052630&amp;Result=3","7052630")</f>
        <v>0</v>
      </c>
      <c r="B13348" t="s">
        <v>1104</v>
      </c>
      <c r="C13348" t="s">
        <v>16192</v>
      </c>
      <c r="D13348" t="s">
        <v>17449</v>
      </c>
      <c r="E13348" t="s">
        <v>28911</v>
      </c>
      <c r="F13348" t="s">
        <v>30052</v>
      </c>
      <c r="G13348" t="s">
        <v>30058</v>
      </c>
      <c r="H13348" t="s">
        <v>30067</v>
      </c>
      <c r="I13348" t="s">
        <v>3693</v>
      </c>
      <c r="J13348" t="s">
        <v>30222</v>
      </c>
      <c r="K13348" t="s">
        <v>39029</v>
      </c>
      <c r="M13348" t="s">
        <v>40443</v>
      </c>
      <c r="N13348" t="s">
        <v>43166</v>
      </c>
      <c r="O13348" t="s">
        <v>43167</v>
      </c>
      <c r="P13348">
        <v>0</v>
      </c>
      <c r="Q13348">
        <v>9</v>
      </c>
      <c r="R13348" t="s">
        <v>43186</v>
      </c>
      <c r="S13348" t="s">
        <v>44047</v>
      </c>
      <c r="T13348" t="s">
        <v>44717</v>
      </c>
      <c r="U13348" t="s">
        <v>47517</v>
      </c>
      <c r="W13348" t="s">
        <v>40443</v>
      </c>
      <c r="X13348" t="s">
        <v>43187</v>
      </c>
    </row>
    <row r="13349" spans="1:24">
      <c r="A13349">
        <f>HYPERLINK("https://www.philgeps.gov.ph/GEPSNONPILOT/Tender/SplashBidNoticeAbstractUI.aspx?menuIndex=3&amp;refID=7052607&amp;Result=3","7052607")</f>
        <v>0</v>
      </c>
      <c r="B13349" t="s">
        <v>3360</v>
      </c>
      <c r="C13349" t="s">
        <v>16193</v>
      </c>
      <c r="D13349" t="s">
        <v>17417</v>
      </c>
      <c r="E13349" t="s">
        <v>28912</v>
      </c>
      <c r="F13349" t="s">
        <v>30052</v>
      </c>
      <c r="G13349" t="s">
        <v>30058</v>
      </c>
      <c r="H13349" t="s">
        <v>30067</v>
      </c>
      <c r="I13349" t="s">
        <v>3693</v>
      </c>
      <c r="J13349" t="s">
        <v>38293</v>
      </c>
      <c r="K13349" t="s">
        <v>39023</v>
      </c>
      <c r="M13349" t="s">
        <v>43004</v>
      </c>
      <c r="N13349" t="s">
        <v>43166</v>
      </c>
      <c r="O13349" t="s">
        <v>43167</v>
      </c>
      <c r="P13349">
        <v>0</v>
      </c>
      <c r="Q13349">
        <v>0</v>
      </c>
      <c r="R13349" t="s">
        <v>43186</v>
      </c>
      <c r="S13349" t="s">
        <v>44047</v>
      </c>
      <c r="T13349" t="s">
        <v>44844</v>
      </c>
      <c r="U13349" t="s">
        <v>55798</v>
      </c>
      <c r="W13349" t="s">
        <v>43004</v>
      </c>
      <c r="X13349" t="s">
        <v>43187</v>
      </c>
    </row>
    <row r="13350" spans="1:24">
      <c r="A13350">
        <f>HYPERLINK("https://www.philgeps.gov.ph/GEPSNONPILOT/Tender/SplashBidNoticeAbstractUI.aspx?menuIndex=3&amp;refID=7052590&amp;Result=3","7052590")</f>
        <v>0</v>
      </c>
      <c r="B13350" t="s">
        <v>3360</v>
      </c>
      <c r="C13350" t="s">
        <v>16194</v>
      </c>
      <c r="D13350" t="s">
        <v>17417</v>
      </c>
      <c r="E13350" t="s">
        <v>22930</v>
      </c>
      <c r="F13350" t="s">
        <v>30052</v>
      </c>
      <c r="G13350" t="s">
        <v>30058</v>
      </c>
      <c r="H13350" t="s">
        <v>30067</v>
      </c>
      <c r="I13350" t="s">
        <v>3693</v>
      </c>
      <c r="J13350" t="s">
        <v>38294</v>
      </c>
      <c r="K13350" t="s">
        <v>39029</v>
      </c>
      <c r="M13350" t="s">
        <v>43004</v>
      </c>
      <c r="N13350" t="s">
        <v>43166</v>
      </c>
      <c r="O13350" t="s">
        <v>43167</v>
      </c>
      <c r="P13350">
        <v>0</v>
      </c>
      <c r="Q13350">
        <v>1</v>
      </c>
      <c r="R13350" t="s">
        <v>43186</v>
      </c>
      <c r="S13350" t="s">
        <v>44047</v>
      </c>
      <c r="T13350" t="s">
        <v>44844</v>
      </c>
      <c r="U13350" t="s">
        <v>55799</v>
      </c>
      <c r="W13350" t="s">
        <v>43004</v>
      </c>
      <c r="X13350" t="s">
        <v>43187</v>
      </c>
    </row>
    <row r="13351" spans="1:24">
      <c r="A13351">
        <f>HYPERLINK("https://www.philgeps.gov.ph/GEPSNONPILOT/Tender/SplashBidNoticeAbstractUI.aspx?menuIndex=3&amp;refID=7052626&amp;Result=3","7052626")</f>
        <v>0</v>
      </c>
      <c r="B13351" t="s">
        <v>1104</v>
      </c>
      <c r="C13351" t="s">
        <v>16195</v>
      </c>
      <c r="D13351" t="s">
        <v>17449</v>
      </c>
      <c r="E13351" t="s">
        <v>28913</v>
      </c>
      <c r="F13351" t="s">
        <v>30052</v>
      </c>
      <c r="G13351" t="s">
        <v>30058</v>
      </c>
      <c r="H13351" t="s">
        <v>30067</v>
      </c>
      <c r="I13351" t="s">
        <v>3693</v>
      </c>
      <c r="J13351" t="s">
        <v>30222</v>
      </c>
      <c r="K13351" t="s">
        <v>39029</v>
      </c>
      <c r="M13351" t="s">
        <v>40443</v>
      </c>
      <c r="N13351" t="s">
        <v>43166</v>
      </c>
      <c r="O13351" t="s">
        <v>43167</v>
      </c>
      <c r="P13351">
        <v>0</v>
      </c>
      <c r="Q13351">
        <v>9</v>
      </c>
      <c r="R13351" t="s">
        <v>43186</v>
      </c>
      <c r="S13351" t="s">
        <v>44047</v>
      </c>
      <c r="T13351" t="s">
        <v>44717</v>
      </c>
      <c r="U13351" t="s">
        <v>47517</v>
      </c>
      <c r="W13351" t="s">
        <v>40443</v>
      </c>
      <c r="X13351" t="s">
        <v>43187</v>
      </c>
    </row>
    <row r="13352" spans="1:24">
      <c r="A13352">
        <f>HYPERLINK("https://www.philgeps.gov.ph/GEPSNONPILOT/Tender/SplashBidNoticeAbstractUI.aspx?menuIndex=3&amp;refID=7052550&amp;Result=3","7052550")</f>
        <v>0</v>
      </c>
      <c r="B13352" t="s">
        <v>476</v>
      </c>
      <c r="C13352" t="s">
        <v>16196</v>
      </c>
      <c r="E13352" t="s">
        <v>28914</v>
      </c>
      <c r="F13352" t="s">
        <v>30052</v>
      </c>
      <c r="G13352" t="s">
        <v>30058</v>
      </c>
      <c r="H13352" t="s">
        <v>30067</v>
      </c>
      <c r="I13352" t="s">
        <v>3693</v>
      </c>
      <c r="J13352" t="s">
        <v>38295</v>
      </c>
      <c r="K13352" t="s">
        <v>39046</v>
      </c>
      <c r="M13352" t="s">
        <v>39777</v>
      </c>
      <c r="N13352" t="s">
        <v>43166</v>
      </c>
      <c r="O13352" t="s">
        <v>43167</v>
      </c>
      <c r="Q13352">
        <v>2</v>
      </c>
      <c r="R13352" t="s">
        <v>43186</v>
      </c>
      <c r="S13352" t="s">
        <v>44144</v>
      </c>
      <c r="T13352" t="s">
        <v>44718</v>
      </c>
      <c r="U13352" t="s">
        <v>55800</v>
      </c>
      <c r="W13352" t="s">
        <v>58714</v>
      </c>
      <c r="X13352" t="s">
        <v>43187</v>
      </c>
    </row>
    <row r="13353" spans="1:24">
      <c r="A13353">
        <f>HYPERLINK("https://www.philgeps.gov.ph/GEPSNONPILOT/Tender/SplashBidNoticeAbstractUI.aspx?menuIndex=3&amp;refID=7052638&amp;Result=3","7052638")</f>
        <v>0</v>
      </c>
      <c r="B13353" t="s">
        <v>1104</v>
      </c>
      <c r="C13353" t="s">
        <v>16197</v>
      </c>
      <c r="D13353" t="s">
        <v>17449</v>
      </c>
      <c r="E13353" t="s">
        <v>28915</v>
      </c>
      <c r="F13353" t="s">
        <v>30052</v>
      </c>
      <c r="G13353" t="s">
        <v>30058</v>
      </c>
      <c r="H13353" t="s">
        <v>30067</v>
      </c>
      <c r="I13353" t="s">
        <v>3693</v>
      </c>
      <c r="J13353" t="s">
        <v>30683</v>
      </c>
      <c r="K13353" t="s">
        <v>39023</v>
      </c>
      <c r="M13353" t="s">
        <v>40443</v>
      </c>
      <c r="N13353" t="s">
        <v>43166</v>
      </c>
      <c r="O13353" t="s">
        <v>43167</v>
      </c>
      <c r="Q13353">
        <v>9</v>
      </c>
      <c r="R13353" t="s">
        <v>43186</v>
      </c>
      <c r="S13353" t="s">
        <v>44145</v>
      </c>
      <c r="T13353" t="s">
        <v>44717</v>
      </c>
      <c r="U13353" t="s">
        <v>47517</v>
      </c>
      <c r="W13353" t="s">
        <v>40443</v>
      </c>
      <c r="X13353" t="s">
        <v>43187</v>
      </c>
    </row>
    <row r="13354" spans="1:24">
      <c r="A13354">
        <f>HYPERLINK("https://www.philgeps.gov.ph/GEPSNONPILOT/Tender/SplashBidNoticeAbstractUI.aspx?menuIndex=3&amp;refID=7043281&amp;Result=3","7043281")</f>
        <v>0</v>
      </c>
      <c r="B13354" t="s">
        <v>1000</v>
      </c>
      <c r="C13354" t="s">
        <v>16198</v>
      </c>
      <c r="D13354" t="s">
        <v>17422</v>
      </c>
      <c r="E13354" t="s">
        <v>28916</v>
      </c>
      <c r="F13354" t="s">
        <v>30052</v>
      </c>
      <c r="G13354" t="s">
        <v>30058</v>
      </c>
      <c r="H13354" t="s">
        <v>15498</v>
      </c>
      <c r="I13354" t="s">
        <v>30074</v>
      </c>
      <c r="J13354" t="s">
        <v>38296</v>
      </c>
      <c r="K13354" t="s">
        <v>39064</v>
      </c>
      <c r="M13354" t="s">
        <v>42692</v>
      </c>
      <c r="N13354" t="s">
        <v>43166</v>
      </c>
      <c r="O13354" t="s">
        <v>43167</v>
      </c>
      <c r="Q13354">
        <v>9</v>
      </c>
      <c r="R13354" t="s">
        <v>43187</v>
      </c>
      <c r="S13354" t="s">
        <v>43598</v>
      </c>
      <c r="T13354" t="s">
        <v>44777</v>
      </c>
      <c r="U13354" t="s">
        <v>55801</v>
      </c>
      <c r="V13354" t="s">
        <v>57200</v>
      </c>
      <c r="W13354" t="s">
        <v>42692</v>
      </c>
      <c r="X13354" t="s">
        <v>43192</v>
      </c>
    </row>
    <row r="13355" spans="1:24">
      <c r="A13355">
        <f>HYPERLINK("https://www.philgeps.gov.ph/GEPSNONPILOT/Tender/SplashBidNoticeAbstractUI.aspx?menuIndex=3&amp;refID=7052617&amp;Result=3","7052617")</f>
        <v>0</v>
      </c>
      <c r="B13355" t="s">
        <v>138</v>
      </c>
      <c r="C13355" t="s">
        <v>16199</v>
      </c>
      <c r="D13355" t="s">
        <v>17422</v>
      </c>
      <c r="E13355" t="s">
        <v>28917</v>
      </c>
      <c r="F13355" t="s">
        <v>30052</v>
      </c>
      <c r="G13355" t="s">
        <v>30058</v>
      </c>
      <c r="H13355" t="s">
        <v>15498</v>
      </c>
      <c r="I13355" t="s">
        <v>30123</v>
      </c>
      <c r="J13355" t="s">
        <v>38297</v>
      </c>
      <c r="K13355" t="s">
        <v>39029</v>
      </c>
      <c r="M13355" t="s">
        <v>41707</v>
      </c>
      <c r="N13355" t="s">
        <v>43166</v>
      </c>
      <c r="O13355" t="s">
        <v>43167</v>
      </c>
      <c r="Q13355">
        <v>5</v>
      </c>
      <c r="R13355" t="s">
        <v>43186</v>
      </c>
      <c r="S13355" t="s">
        <v>44146</v>
      </c>
      <c r="T13355" t="s">
        <v>44737</v>
      </c>
      <c r="U13355" t="s">
        <v>55802</v>
      </c>
      <c r="W13355" t="s">
        <v>41707</v>
      </c>
      <c r="X13355" t="s">
        <v>43187</v>
      </c>
    </row>
    <row r="13356" spans="1:24">
      <c r="A13356">
        <f>HYPERLINK("https://www.philgeps.gov.ph/GEPSNONPILOT/Tender/SplashBidNoticeAbstractUI.aspx?menuIndex=3&amp;refID=7041375&amp;Result=3","7041375")</f>
        <v>0</v>
      </c>
      <c r="B13356" t="s">
        <v>1000</v>
      </c>
      <c r="C13356" t="s">
        <v>16200</v>
      </c>
      <c r="D13356" t="s">
        <v>17422</v>
      </c>
      <c r="E13356" t="s">
        <v>28918</v>
      </c>
      <c r="F13356" t="s">
        <v>30052</v>
      </c>
      <c r="G13356" t="s">
        <v>30058</v>
      </c>
      <c r="H13356" t="s">
        <v>15498</v>
      </c>
      <c r="I13356" t="s">
        <v>3606</v>
      </c>
      <c r="J13356" t="s">
        <v>38298</v>
      </c>
      <c r="K13356" t="s">
        <v>39064</v>
      </c>
      <c r="M13356" t="s">
        <v>40541</v>
      </c>
      <c r="N13356" t="s">
        <v>43166</v>
      </c>
      <c r="O13356" t="s">
        <v>43167</v>
      </c>
      <c r="P13356">
        <v>0</v>
      </c>
      <c r="Q13356">
        <v>4</v>
      </c>
      <c r="R13356" t="s">
        <v>43187</v>
      </c>
      <c r="S13356" t="s">
        <v>44147</v>
      </c>
      <c r="T13356" t="s">
        <v>44777</v>
      </c>
      <c r="U13356" t="s">
        <v>55803</v>
      </c>
      <c r="V13356" t="s">
        <v>58426</v>
      </c>
      <c r="W13356" t="s">
        <v>40541</v>
      </c>
      <c r="X13356" t="s">
        <v>43192</v>
      </c>
    </row>
    <row r="13357" spans="1:24">
      <c r="A13357">
        <f>HYPERLINK("https://www.philgeps.gov.ph/GEPSNONPILOT/Tender/SplashBidNoticeAbstractUI.aspx?menuIndex=3&amp;refID=7052615&amp;Result=3","7052615")</f>
        <v>0</v>
      </c>
      <c r="B13357" t="s">
        <v>390</v>
      </c>
      <c r="C13357" t="s">
        <v>16201</v>
      </c>
      <c r="D13357" t="s">
        <v>17415</v>
      </c>
      <c r="E13357" t="s">
        <v>28919</v>
      </c>
      <c r="F13357" t="s">
        <v>30052</v>
      </c>
      <c r="G13357" t="s">
        <v>30058</v>
      </c>
      <c r="H13357" t="s">
        <v>15498</v>
      </c>
      <c r="I13357" t="s">
        <v>30112</v>
      </c>
      <c r="J13357" t="s">
        <v>38299</v>
      </c>
      <c r="K13357" t="s">
        <v>39067</v>
      </c>
      <c r="M13357" t="s">
        <v>43005</v>
      </c>
      <c r="N13357" t="s">
        <v>43166</v>
      </c>
      <c r="O13357" t="s">
        <v>43167</v>
      </c>
      <c r="P13357">
        <v>0</v>
      </c>
      <c r="Q13357">
        <v>13</v>
      </c>
      <c r="R13357" t="s">
        <v>43186</v>
      </c>
      <c r="S13357" t="s">
        <v>44047</v>
      </c>
      <c r="T13357" t="s">
        <v>44718</v>
      </c>
      <c r="U13357" t="s">
        <v>55804</v>
      </c>
      <c r="W13357" t="s">
        <v>43005</v>
      </c>
      <c r="X13357" t="s">
        <v>43187</v>
      </c>
    </row>
    <row r="13358" spans="1:24">
      <c r="A13358">
        <f>HYPERLINK("https://www.philgeps.gov.ph/GEPSNONPILOT/Tender/SplashBidNoticeAbstractUI.aspx?menuIndex=3&amp;refID=7042285&amp;Result=3","7042285")</f>
        <v>0</v>
      </c>
      <c r="B13358" t="s">
        <v>1722</v>
      </c>
      <c r="C13358" t="s">
        <v>16202</v>
      </c>
      <c r="D13358" t="s">
        <v>17445</v>
      </c>
      <c r="E13358" t="s">
        <v>28920</v>
      </c>
      <c r="F13358" t="s">
        <v>30052</v>
      </c>
      <c r="G13358" t="s">
        <v>30058</v>
      </c>
      <c r="H13358" t="s">
        <v>15498</v>
      </c>
      <c r="I13358" t="s">
        <v>30151</v>
      </c>
      <c r="J13358" t="s">
        <v>38300</v>
      </c>
      <c r="K13358" t="s">
        <v>39029</v>
      </c>
      <c r="M13358" t="s">
        <v>41138</v>
      </c>
      <c r="N13358" t="s">
        <v>43166</v>
      </c>
      <c r="O13358" t="s">
        <v>43167</v>
      </c>
      <c r="Q13358">
        <v>3</v>
      </c>
      <c r="R13358" t="s">
        <v>43187</v>
      </c>
      <c r="S13358" t="s">
        <v>44148</v>
      </c>
      <c r="T13358" t="s">
        <v>44717</v>
      </c>
      <c r="U13358" t="s">
        <v>55805</v>
      </c>
      <c r="W13358" t="s">
        <v>58653</v>
      </c>
      <c r="X13358" t="s">
        <v>43192</v>
      </c>
    </row>
    <row r="13359" spans="1:24">
      <c r="A13359">
        <f>HYPERLINK("https://www.philgeps.gov.ph/GEPSNONPILOT/Tender/SplashBidNoticeAbstractUI.aspx?menuIndex=3&amp;refID=7041076&amp;Result=3","7041076")</f>
        <v>0</v>
      </c>
      <c r="B13359" t="s">
        <v>98</v>
      </c>
      <c r="C13359" t="s">
        <v>16203</v>
      </c>
      <c r="D13359" t="s">
        <v>17456</v>
      </c>
      <c r="E13359" t="s">
        <v>28921</v>
      </c>
      <c r="F13359" t="s">
        <v>30052</v>
      </c>
      <c r="G13359" t="s">
        <v>30063</v>
      </c>
      <c r="H13359" t="s">
        <v>30068</v>
      </c>
      <c r="I13359" t="s">
        <v>30068</v>
      </c>
      <c r="J13359" t="s">
        <v>38301</v>
      </c>
      <c r="K13359" t="s">
        <v>39025</v>
      </c>
      <c r="L13359" t="s">
        <v>98</v>
      </c>
      <c r="M13359" t="s">
        <v>40536</v>
      </c>
      <c r="N13359" t="s">
        <v>43166</v>
      </c>
      <c r="O13359" t="s">
        <v>43167</v>
      </c>
      <c r="Q13359">
        <v>7</v>
      </c>
      <c r="R13359" t="s">
        <v>43187</v>
      </c>
      <c r="S13359" t="s">
        <v>44149</v>
      </c>
      <c r="T13359" t="s">
        <v>44815</v>
      </c>
      <c r="U13359" t="s">
        <v>55806</v>
      </c>
      <c r="W13359" t="s">
        <v>40536</v>
      </c>
      <c r="X13359" t="s">
        <v>43192</v>
      </c>
    </row>
    <row r="13360" spans="1:24">
      <c r="A13360">
        <f>HYPERLINK("https://www.philgeps.gov.ph/GEPSNONPILOT/Tender/SplashBidNoticeAbstractUI.aspx?menuIndex=3&amp;refID=7034144&amp;Result=3","7034144")</f>
        <v>0</v>
      </c>
      <c r="B13360" t="s">
        <v>1316</v>
      </c>
      <c r="C13360" t="s">
        <v>16204</v>
      </c>
      <c r="D13360" t="s">
        <v>17445</v>
      </c>
      <c r="E13360" t="s">
        <v>28922</v>
      </c>
      <c r="F13360" t="s">
        <v>30052</v>
      </c>
      <c r="G13360" t="s">
        <v>30058</v>
      </c>
      <c r="H13360" t="s">
        <v>30067</v>
      </c>
      <c r="I13360" t="s">
        <v>3693</v>
      </c>
      <c r="J13360" t="s">
        <v>38302</v>
      </c>
      <c r="K13360" t="s">
        <v>39031</v>
      </c>
      <c r="M13360" t="s">
        <v>40683</v>
      </c>
      <c r="N13360" t="s">
        <v>43166</v>
      </c>
      <c r="O13360" t="s">
        <v>43167</v>
      </c>
      <c r="P13360">
        <v>0</v>
      </c>
      <c r="Q13360">
        <v>1</v>
      </c>
      <c r="R13360" t="s">
        <v>43187</v>
      </c>
      <c r="S13360" t="s">
        <v>44147</v>
      </c>
      <c r="T13360" t="s">
        <v>44717</v>
      </c>
      <c r="U13360" t="s">
        <v>48098</v>
      </c>
      <c r="W13360" t="s">
        <v>40683</v>
      </c>
      <c r="X13360" t="s">
        <v>43195</v>
      </c>
    </row>
    <row r="13361" spans="1:24">
      <c r="A13361">
        <f>HYPERLINK("https://www.philgeps.gov.ph/GEPSNONPILOT/Tender/SplashBidNoticeAbstractUI.aspx?menuIndex=3&amp;refID=7028248&amp;Result=3","7028248")</f>
        <v>0</v>
      </c>
      <c r="B13361" t="s">
        <v>1000</v>
      </c>
      <c r="C13361" t="s">
        <v>16205</v>
      </c>
      <c r="D13361" t="s">
        <v>17422</v>
      </c>
      <c r="E13361" t="s">
        <v>16205</v>
      </c>
      <c r="F13361" t="s">
        <v>30052</v>
      </c>
      <c r="G13361" t="s">
        <v>30058</v>
      </c>
      <c r="H13361" t="s">
        <v>15498</v>
      </c>
      <c r="I13361" t="s">
        <v>30133</v>
      </c>
      <c r="J13361" t="s">
        <v>30230</v>
      </c>
      <c r="K13361" t="s">
        <v>39017</v>
      </c>
      <c r="M13361" t="s">
        <v>40329</v>
      </c>
      <c r="N13361" t="s">
        <v>43166</v>
      </c>
      <c r="O13361" t="s">
        <v>43167</v>
      </c>
      <c r="P13361">
        <v>0</v>
      </c>
      <c r="Q13361">
        <v>0</v>
      </c>
      <c r="R13361" t="s">
        <v>43187</v>
      </c>
      <c r="S13361" t="s">
        <v>44147</v>
      </c>
      <c r="T13361" t="s">
        <v>44777</v>
      </c>
      <c r="U13361" t="s">
        <v>55807</v>
      </c>
      <c r="V13361" t="s">
        <v>57200</v>
      </c>
      <c r="W13361" t="s">
        <v>40329</v>
      </c>
      <c r="X13361" t="s">
        <v>43198</v>
      </c>
    </row>
    <row r="13362" spans="1:24">
      <c r="A13362">
        <f>HYPERLINK("https://www.philgeps.gov.ph/GEPSNONPILOT/Tender/SplashBidNoticeAbstractUI.aspx?menuIndex=3&amp;refID=7052601&amp;Result=3","7052601")</f>
        <v>0</v>
      </c>
      <c r="B13362" t="s">
        <v>1707</v>
      </c>
      <c r="C13362" t="s">
        <v>16206</v>
      </c>
      <c r="D13362" t="s">
        <v>17422</v>
      </c>
      <c r="E13362" t="s">
        <v>28650</v>
      </c>
      <c r="F13362" t="s">
        <v>30052</v>
      </c>
      <c r="G13362" t="s">
        <v>30058</v>
      </c>
      <c r="H13362" t="s">
        <v>15498</v>
      </c>
      <c r="I13362" t="s">
        <v>30095</v>
      </c>
      <c r="J13362" t="s">
        <v>30218</v>
      </c>
      <c r="K13362" t="s">
        <v>39029</v>
      </c>
      <c r="M13362" t="s">
        <v>41122</v>
      </c>
      <c r="N13362" t="s">
        <v>43166</v>
      </c>
      <c r="O13362" t="s">
        <v>43167</v>
      </c>
      <c r="P13362">
        <v>0</v>
      </c>
      <c r="Q13362">
        <v>0</v>
      </c>
      <c r="R13362" t="s">
        <v>43186</v>
      </c>
      <c r="S13362" t="s">
        <v>44047</v>
      </c>
      <c r="T13362" t="s">
        <v>44773</v>
      </c>
      <c r="U13362" t="s">
        <v>55808</v>
      </c>
      <c r="V13362" t="s">
        <v>58423</v>
      </c>
      <c r="W13362" t="s">
        <v>41122</v>
      </c>
      <c r="X13362" t="s">
        <v>43187</v>
      </c>
    </row>
    <row r="13363" spans="1:24">
      <c r="A13363">
        <f>HYPERLINK("https://www.philgeps.gov.ph/GEPSNONPILOT/Tender/SplashBidNoticeAbstractUI.aspx?menuIndex=3&amp;refID=7042332&amp;Result=3","7042332")</f>
        <v>0</v>
      </c>
      <c r="B13363" t="s">
        <v>1722</v>
      </c>
      <c r="C13363" t="s">
        <v>16207</v>
      </c>
      <c r="D13363" t="s">
        <v>17445</v>
      </c>
      <c r="E13363" t="s">
        <v>28923</v>
      </c>
      <c r="F13363" t="s">
        <v>30052</v>
      </c>
      <c r="G13363" t="s">
        <v>30058</v>
      </c>
      <c r="H13363" t="s">
        <v>15498</v>
      </c>
      <c r="I13363" t="s">
        <v>30151</v>
      </c>
      <c r="J13363" t="s">
        <v>30698</v>
      </c>
      <c r="K13363" t="s">
        <v>39029</v>
      </c>
      <c r="M13363" t="s">
        <v>41138</v>
      </c>
      <c r="N13363" t="s">
        <v>43166</v>
      </c>
      <c r="O13363" t="s">
        <v>43167</v>
      </c>
      <c r="Q13363">
        <v>2</v>
      </c>
      <c r="R13363" t="s">
        <v>43187</v>
      </c>
      <c r="S13363" t="s">
        <v>44150</v>
      </c>
      <c r="T13363" t="s">
        <v>44717</v>
      </c>
      <c r="U13363" t="s">
        <v>55809</v>
      </c>
      <c r="W13363" t="s">
        <v>58653</v>
      </c>
      <c r="X13363" t="s">
        <v>43192</v>
      </c>
    </row>
    <row r="13364" spans="1:24">
      <c r="A13364">
        <f>HYPERLINK("https://www.philgeps.gov.ph/GEPSNONPILOT/Tender/SplashBidNoticeAbstractUI.aspx?menuIndex=3&amp;refID=7023535-2&amp;Result=3","7023535-2")</f>
        <v>0</v>
      </c>
      <c r="B13364" t="s">
        <v>1717</v>
      </c>
      <c r="C13364" t="s">
        <v>16208</v>
      </c>
      <c r="D13364" t="s">
        <v>17435</v>
      </c>
      <c r="E13364" t="s">
        <v>28924</v>
      </c>
      <c r="F13364" t="s">
        <v>30052</v>
      </c>
      <c r="G13364" t="s">
        <v>30058</v>
      </c>
      <c r="H13364" t="s">
        <v>30068</v>
      </c>
      <c r="I13364" t="s">
        <v>30068</v>
      </c>
      <c r="J13364" t="s">
        <v>30671</v>
      </c>
      <c r="K13364" t="s">
        <v>39031</v>
      </c>
      <c r="M13364" t="s">
        <v>43006</v>
      </c>
      <c r="N13364" t="s">
        <v>43166</v>
      </c>
      <c r="O13364" t="s">
        <v>43167</v>
      </c>
      <c r="P13364">
        <v>0</v>
      </c>
      <c r="Q13364">
        <v>0</v>
      </c>
      <c r="R13364" t="s">
        <v>43187</v>
      </c>
      <c r="S13364" t="s">
        <v>44147</v>
      </c>
      <c r="T13364" t="s">
        <v>44681</v>
      </c>
      <c r="U13364" t="s">
        <v>55810</v>
      </c>
      <c r="W13364" t="s">
        <v>43006</v>
      </c>
      <c r="X13364" t="s">
        <v>43188</v>
      </c>
    </row>
    <row r="13365" spans="1:24">
      <c r="A13365">
        <f>HYPERLINK("https://www.philgeps.gov.ph/GEPSNONPILOT/Tender/SplashBidNoticeAbstractUI.aspx?menuIndex=3&amp;refID=7028170&amp;Result=3","7028170")</f>
        <v>0</v>
      </c>
      <c r="B13365" t="s">
        <v>2823</v>
      </c>
      <c r="C13365" t="s">
        <v>16209</v>
      </c>
      <c r="E13365" t="s">
        <v>28925</v>
      </c>
      <c r="F13365" t="s">
        <v>30052</v>
      </c>
      <c r="G13365" t="s">
        <v>30058</v>
      </c>
      <c r="H13365" t="s">
        <v>30067</v>
      </c>
      <c r="I13365" t="s">
        <v>3693</v>
      </c>
      <c r="J13365" t="s">
        <v>30321</v>
      </c>
      <c r="K13365" t="s">
        <v>39025</v>
      </c>
      <c r="M13365" t="s">
        <v>42367</v>
      </c>
      <c r="N13365" t="s">
        <v>43166</v>
      </c>
      <c r="O13365" t="s">
        <v>43167</v>
      </c>
      <c r="P13365">
        <v>0</v>
      </c>
      <c r="Q13365">
        <v>0</v>
      </c>
      <c r="R13365" t="s">
        <v>43187</v>
      </c>
      <c r="S13365" t="s">
        <v>44147</v>
      </c>
      <c r="T13365" t="s">
        <v>44717</v>
      </c>
      <c r="U13365" t="s">
        <v>55811</v>
      </c>
      <c r="W13365" t="s">
        <v>42367</v>
      </c>
      <c r="X13365" t="s">
        <v>43198</v>
      </c>
    </row>
    <row r="13366" spans="1:24">
      <c r="A13366">
        <f>HYPERLINK("https://www.philgeps.gov.ph/GEPSNONPILOT/Tender/SplashBidNoticeAbstractUI.aspx?menuIndex=3&amp;refID=7036129&amp;Result=3","7036129")</f>
        <v>0</v>
      </c>
      <c r="B13366" t="s">
        <v>1077</v>
      </c>
      <c r="C13366" t="s">
        <v>16210</v>
      </c>
      <c r="D13366" t="s">
        <v>17437</v>
      </c>
      <c r="E13366" t="s">
        <v>17719</v>
      </c>
      <c r="F13366" t="s">
        <v>30052</v>
      </c>
      <c r="G13366" t="s">
        <v>30058</v>
      </c>
      <c r="H13366" t="s">
        <v>15498</v>
      </c>
      <c r="I13366" t="s">
        <v>30101</v>
      </c>
      <c r="J13366" t="s">
        <v>31207</v>
      </c>
      <c r="K13366" t="s">
        <v>39026</v>
      </c>
      <c r="M13366" t="s">
        <v>43007</v>
      </c>
      <c r="N13366" t="s">
        <v>43166</v>
      </c>
      <c r="O13366" t="s">
        <v>43167</v>
      </c>
      <c r="Q13366">
        <v>20</v>
      </c>
      <c r="R13366" t="s">
        <v>43187</v>
      </c>
      <c r="S13366" t="s">
        <v>44151</v>
      </c>
      <c r="T13366" t="s">
        <v>44832</v>
      </c>
      <c r="U13366" t="s">
        <v>55812</v>
      </c>
      <c r="W13366" t="s">
        <v>43007</v>
      </c>
      <c r="X13366" t="s">
        <v>43194</v>
      </c>
    </row>
    <row r="13367" spans="1:24">
      <c r="A13367">
        <f>HYPERLINK("https://www.philgeps.gov.ph/GEPSNONPILOT/Tender/SplashBidNoticeAbstractUI.aspx?menuIndex=3&amp;refID=7045642&amp;Result=3","7045642")</f>
        <v>0</v>
      </c>
      <c r="B13367" t="s">
        <v>1722</v>
      </c>
      <c r="C13367" t="s">
        <v>16211</v>
      </c>
      <c r="D13367" t="s">
        <v>17445</v>
      </c>
      <c r="E13367" t="s">
        <v>28926</v>
      </c>
      <c r="F13367" t="s">
        <v>30052</v>
      </c>
      <c r="G13367" t="s">
        <v>30058</v>
      </c>
      <c r="H13367" t="s">
        <v>15498</v>
      </c>
      <c r="I13367" t="s">
        <v>30151</v>
      </c>
      <c r="J13367" t="s">
        <v>38303</v>
      </c>
      <c r="K13367" t="s">
        <v>39029</v>
      </c>
      <c r="M13367" t="s">
        <v>41138</v>
      </c>
      <c r="N13367" t="s">
        <v>43166</v>
      </c>
      <c r="O13367" t="s">
        <v>43167</v>
      </c>
      <c r="Q13367">
        <v>1</v>
      </c>
      <c r="R13367" t="s">
        <v>43187</v>
      </c>
      <c r="S13367" t="s">
        <v>44152</v>
      </c>
      <c r="T13367" t="s">
        <v>44717</v>
      </c>
      <c r="U13367" t="s">
        <v>55813</v>
      </c>
      <c r="W13367" t="s">
        <v>58653</v>
      </c>
      <c r="X13367" t="s">
        <v>43189</v>
      </c>
    </row>
    <row r="13368" spans="1:24">
      <c r="A13368">
        <f>HYPERLINK("https://www.philgeps.gov.ph/GEPSNONPILOT/Tender/SplashBidNoticeAbstractUI.aspx?menuIndex=3&amp;refID=7039849&amp;Result=3","7039849")</f>
        <v>0</v>
      </c>
      <c r="B13368" t="s">
        <v>579</v>
      </c>
      <c r="C13368" t="s">
        <v>16212</v>
      </c>
      <c r="D13368" t="s">
        <v>17441</v>
      </c>
      <c r="E13368" t="s">
        <v>28927</v>
      </c>
      <c r="F13368" t="s">
        <v>30052</v>
      </c>
      <c r="G13368" t="s">
        <v>30063</v>
      </c>
      <c r="H13368" t="s">
        <v>15498</v>
      </c>
      <c r="I13368" t="s">
        <v>4650</v>
      </c>
      <c r="J13368" t="s">
        <v>30397</v>
      </c>
      <c r="K13368" t="s">
        <v>39029</v>
      </c>
      <c r="M13368" t="s">
        <v>43008</v>
      </c>
      <c r="N13368" t="s">
        <v>43166</v>
      </c>
      <c r="O13368" t="s">
        <v>43167</v>
      </c>
      <c r="P13368">
        <v>0</v>
      </c>
      <c r="Q13368">
        <v>8</v>
      </c>
      <c r="R13368" t="s">
        <v>43187</v>
      </c>
      <c r="S13368" t="s">
        <v>44147</v>
      </c>
      <c r="T13368" t="s">
        <v>44717</v>
      </c>
      <c r="U13368" t="s">
        <v>55814</v>
      </c>
      <c r="V13368" t="s">
        <v>58427</v>
      </c>
      <c r="W13368" t="s">
        <v>43008</v>
      </c>
      <c r="X13368" t="s">
        <v>43193</v>
      </c>
    </row>
    <row r="13369" spans="1:24">
      <c r="A13369">
        <f>HYPERLINK("https://www.philgeps.gov.ph/GEPSNONPILOT/Tender/SplashBidNoticeAbstractUI.aspx?menuIndex=3&amp;refID=7046094&amp;Result=3","7046094")</f>
        <v>0</v>
      </c>
      <c r="B13369" t="s">
        <v>2711</v>
      </c>
      <c r="C13369" t="s">
        <v>16213</v>
      </c>
      <c r="D13369" t="s">
        <v>17450</v>
      </c>
      <c r="E13369" t="s">
        <v>28928</v>
      </c>
      <c r="F13369" t="s">
        <v>30052</v>
      </c>
      <c r="G13369" t="s">
        <v>30058</v>
      </c>
      <c r="H13369" t="s">
        <v>30067</v>
      </c>
      <c r="I13369" t="s">
        <v>3693</v>
      </c>
      <c r="J13369" t="s">
        <v>38304</v>
      </c>
      <c r="K13369" t="s">
        <v>39069</v>
      </c>
      <c r="M13369" t="s">
        <v>43009</v>
      </c>
      <c r="N13369" t="s">
        <v>43166</v>
      </c>
      <c r="O13369" t="s">
        <v>43167</v>
      </c>
      <c r="P13369">
        <v>0</v>
      </c>
      <c r="Q13369">
        <v>1</v>
      </c>
      <c r="R13369" t="s">
        <v>43187</v>
      </c>
      <c r="S13369" t="s">
        <v>44147</v>
      </c>
      <c r="T13369" t="s">
        <v>44856</v>
      </c>
      <c r="U13369" t="s">
        <v>55815</v>
      </c>
      <c r="W13369" t="s">
        <v>43011</v>
      </c>
      <c r="X13369" t="s">
        <v>43189</v>
      </c>
    </row>
    <row r="13370" spans="1:24">
      <c r="A13370">
        <f>HYPERLINK("https://www.philgeps.gov.ph/GEPSNONPILOT/Tender/SplashBidNoticeAbstractUI.aspx?menuIndex=3&amp;refID=7046032&amp;Result=3","7046032")</f>
        <v>0</v>
      </c>
      <c r="B13370" t="s">
        <v>104</v>
      </c>
      <c r="C13370" t="s">
        <v>16214</v>
      </c>
      <c r="D13370" t="s">
        <v>17457</v>
      </c>
      <c r="E13370" t="s">
        <v>28929</v>
      </c>
      <c r="F13370" t="s">
        <v>30052</v>
      </c>
      <c r="G13370" t="s">
        <v>30058</v>
      </c>
      <c r="H13370" t="s">
        <v>15498</v>
      </c>
      <c r="I13370" t="s">
        <v>30096</v>
      </c>
      <c r="J13370" t="s">
        <v>30277</v>
      </c>
      <c r="K13370" t="s">
        <v>39029</v>
      </c>
      <c r="M13370" t="s">
        <v>39393</v>
      </c>
      <c r="N13370" t="s">
        <v>43166</v>
      </c>
      <c r="O13370" t="s">
        <v>43167</v>
      </c>
      <c r="Q13370">
        <v>1</v>
      </c>
      <c r="R13370" t="s">
        <v>43187</v>
      </c>
      <c r="S13370" t="s">
        <v>44153</v>
      </c>
      <c r="T13370" t="s">
        <v>44844</v>
      </c>
      <c r="U13370" t="s">
        <v>55816</v>
      </c>
      <c r="V13370" t="s">
        <v>57514</v>
      </c>
      <c r="W13370" t="s">
        <v>39393</v>
      </c>
      <c r="X13370" t="s">
        <v>43189</v>
      </c>
    </row>
    <row r="13371" spans="1:24">
      <c r="A13371">
        <f>HYPERLINK("https://www.philgeps.gov.ph/GEPSNONPILOT/Tender/SplashBidNoticeAbstractUI.aspx?menuIndex=3&amp;refID=7046130&amp;Result=3","7046130")</f>
        <v>0</v>
      </c>
      <c r="B13371" t="s">
        <v>2711</v>
      </c>
      <c r="C13371" t="s">
        <v>16215</v>
      </c>
      <c r="D13371" t="s">
        <v>17450</v>
      </c>
      <c r="E13371" t="s">
        <v>28930</v>
      </c>
      <c r="F13371" t="s">
        <v>30052</v>
      </c>
      <c r="G13371" t="s">
        <v>30058</v>
      </c>
      <c r="H13371" t="s">
        <v>30067</v>
      </c>
      <c r="I13371" t="s">
        <v>3693</v>
      </c>
      <c r="J13371" t="s">
        <v>38305</v>
      </c>
      <c r="K13371" t="s">
        <v>39026</v>
      </c>
      <c r="M13371" t="s">
        <v>43009</v>
      </c>
      <c r="N13371" t="s">
        <v>43166</v>
      </c>
      <c r="O13371" t="s">
        <v>43167</v>
      </c>
      <c r="P13371">
        <v>0</v>
      </c>
      <c r="Q13371">
        <v>1</v>
      </c>
      <c r="R13371" t="s">
        <v>43187</v>
      </c>
      <c r="S13371" t="s">
        <v>44147</v>
      </c>
      <c r="T13371" t="s">
        <v>44856</v>
      </c>
      <c r="U13371" t="s">
        <v>55817</v>
      </c>
      <c r="W13371" t="s">
        <v>43011</v>
      </c>
      <c r="X13371" t="s">
        <v>43189</v>
      </c>
    </row>
    <row r="13372" spans="1:24">
      <c r="A13372">
        <f>HYPERLINK("https://www.philgeps.gov.ph/GEPSNONPILOT/Tender/SplashBidNoticeAbstractUI.aspx?menuIndex=3&amp;refID=7052482&amp;Result=3","7052482")</f>
        <v>0</v>
      </c>
      <c r="B13372" t="s">
        <v>3355</v>
      </c>
      <c r="C13372" t="s">
        <v>16216</v>
      </c>
      <c r="D13372" t="s">
        <v>17444</v>
      </c>
      <c r="E13372" t="s">
        <v>28931</v>
      </c>
      <c r="F13372" t="s">
        <v>30052</v>
      </c>
      <c r="G13372" t="s">
        <v>30058</v>
      </c>
      <c r="H13372" t="s">
        <v>30067</v>
      </c>
      <c r="I13372" t="s">
        <v>3693</v>
      </c>
      <c r="J13372" t="s">
        <v>30247</v>
      </c>
      <c r="K13372" t="s">
        <v>39253</v>
      </c>
      <c r="M13372" t="s">
        <v>42999</v>
      </c>
      <c r="N13372" t="s">
        <v>43166</v>
      </c>
      <c r="O13372" t="s">
        <v>43167</v>
      </c>
      <c r="Q13372">
        <v>1</v>
      </c>
      <c r="R13372" t="s">
        <v>43186</v>
      </c>
      <c r="S13372" t="s">
        <v>44132</v>
      </c>
      <c r="T13372" t="s">
        <v>44717</v>
      </c>
      <c r="U13372" t="s">
        <v>55818</v>
      </c>
      <c r="W13372" t="s">
        <v>42999</v>
      </c>
      <c r="X13372" t="s">
        <v>43187</v>
      </c>
    </row>
    <row r="13373" spans="1:24">
      <c r="A13373">
        <f>HYPERLINK("https://www.philgeps.gov.ph/GEPSNONPILOT/Tender/SplashBidNoticeAbstractUI.aspx?menuIndex=3&amp;refID=7041399&amp;Result=3","7041399")</f>
        <v>0</v>
      </c>
      <c r="B13373" t="s">
        <v>1000</v>
      </c>
      <c r="C13373" t="s">
        <v>16217</v>
      </c>
      <c r="D13373" t="s">
        <v>17422</v>
      </c>
      <c r="E13373" t="s">
        <v>28932</v>
      </c>
      <c r="F13373" t="s">
        <v>30052</v>
      </c>
      <c r="G13373" t="s">
        <v>30058</v>
      </c>
      <c r="H13373" t="s">
        <v>15498</v>
      </c>
      <c r="I13373" t="s">
        <v>3606</v>
      </c>
      <c r="J13373" t="s">
        <v>38306</v>
      </c>
      <c r="K13373" t="s">
        <v>39064</v>
      </c>
      <c r="M13373" t="s">
        <v>40541</v>
      </c>
      <c r="N13373" t="s">
        <v>43166</v>
      </c>
      <c r="O13373" t="s">
        <v>43167</v>
      </c>
      <c r="P13373">
        <v>0</v>
      </c>
      <c r="Q13373">
        <v>8</v>
      </c>
      <c r="R13373" t="s">
        <v>43187</v>
      </c>
      <c r="S13373" t="s">
        <v>44147</v>
      </c>
      <c r="T13373" t="s">
        <v>44777</v>
      </c>
      <c r="U13373" t="s">
        <v>55819</v>
      </c>
      <c r="V13373" t="s">
        <v>58426</v>
      </c>
      <c r="W13373" t="s">
        <v>40541</v>
      </c>
      <c r="X13373" t="s">
        <v>43192</v>
      </c>
    </row>
    <row r="13374" spans="1:24">
      <c r="A13374">
        <f>HYPERLINK("https://www.philgeps.gov.ph/GEPSNONPILOT/Tender/SplashBidNoticeAbstractUI.aspx?menuIndex=3&amp;refID=7025866&amp;Result=3","7025866")</f>
        <v>0</v>
      </c>
      <c r="B13374" t="s">
        <v>3014</v>
      </c>
      <c r="C13374" t="s">
        <v>16218</v>
      </c>
      <c r="D13374" t="s">
        <v>17462</v>
      </c>
      <c r="E13374" t="s">
        <v>28933</v>
      </c>
      <c r="F13374" t="s">
        <v>30052</v>
      </c>
      <c r="G13374" t="s">
        <v>30058</v>
      </c>
      <c r="H13374" t="s">
        <v>15498</v>
      </c>
      <c r="I13374" t="s">
        <v>30074</v>
      </c>
      <c r="J13374" t="s">
        <v>30321</v>
      </c>
      <c r="K13374" t="s">
        <v>39031</v>
      </c>
      <c r="M13374" t="s">
        <v>42590</v>
      </c>
      <c r="N13374" t="s">
        <v>43166</v>
      </c>
      <c r="O13374" t="s">
        <v>43167</v>
      </c>
      <c r="P13374">
        <v>0</v>
      </c>
      <c r="Q13374">
        <v>12</v>
      </c>
      <c r="R13374" t="s">
        <v>43187</v>
      </c>
      <c r="S13374" t="s">
        <v>44147</v>
      </c>
      <c r="T13374" t="s">
        <v>44856</v>
      </c>
      <c r="U13374" t="s">
        <v>55820</v>
      </c>
      <c r="W13374" t="s">
        <v>42590</v>
      </c>
      <c r="X13374" t="s">
        <v>43199</v>
      </c>
    </row>
    <row r="13375" spans="1:24">
      <c r="A13375">
        <f>HYPERLINK("https://www.philgeps.gov.ph/GEPSNONPILOT/Tender/SplashBidNoticeAbstractUI.aspx?menuIndex=3&amp;refID=7045762&amp;Result=3","7045762")</f>
        <v>0</v>
      </c>
      <c r="B13375" t="s">
        <v>1674</v>
      </c>
      <c r="C13375" t="s">
        <v>16219</v>
      </c>
      <c r="D13375" t="s">
        <v>17466</v>
      </c>
      <c r="E13375" t="s">
        <v>28934</v>
      </c>
      <c r="F13375" t="s">
        <v>30052</v>
      </c>
      <c r="G13375" t="s">
        <v>30058</v>
      </c>
      <c r="H13375" t="s">
        <v>30067</v>
      </c>
      <c r="I13375" t="s">
        <v>3693</v>
      </c>
      <c r="J13375" t="s">
        <v>38307</v>
      </c>
      <c r="K13375" t="s">
        <v>39025</v>
      </c>
      <c r="M13375" t="s">
        <v>41081</v>
      </c>
      <c r="N13375" t="s">
        <v>43166</v>
      </c>
      <c r="O13375" t="s">
        <v>43167</v>
      </c>
      <c r="P13375">
        <v>0</v>
      </c>
      <c r="Q13375">
        <v>7</v>
      </c>
      <c r="R13375" t="s">
        <v>43187</v>
      </c>
      <c r="S13375" t="s">
        <v>44147</v>
      </c>
      <c r="T13375" t="s">
        <v>44844</v>
      </c>
      <c r="U13375" t="s">
        <v>49088</v>
      </c>
      <c r="W13375" t="s">
        <v>41081</v>
      </c>
      <c r="X13375" t="s">
        <v>43189</v>
      </c>
    </row>
    <row r="13376" spans="1:24">
      <c r="A13376">
        <f>HYPERLINK("https://www.philgeps.gov.ph/GEPSNONPILOT/Tender/SplashBidNoticeAbstractUI.aspx?menuIndex=3&amp;refID=7045820&amp;Result=3","7045820")</f>
        <v>0</v>
      </c>
      <c r="B13376" t="s">
        <v>1722</v>
      </c>
      <c r="C13376" t="s">
        <v>16220</v>
      </c>
      <c r="D13376" t="s">
        <v>17421</v>
      </c>
      <c r="E13376" t="s">
        <v>28935</v>
      </c>
      <c r="F13376" t="s">
        <v>30052</v>
      </c>
      <c r="G13376" t="s">
        <v>30058</v>
      </c>
      <c r="H13376" t="s">
        <v>15498</v>
      </c>
      <c r="I13376" t="s">
        <v>30144</v>
      </c>
      <c r="J13376" t="s">
        <v>36371</v>
      </c>
      <c r="K13376" t="s">
        <v>39031</v>
      </c>
      <c r="M13376" t="s">
        <v>41138</v>
      </c>
      <c r="N13376" t="s">
        <v>43166</v>
      </c>
      <c r="O13376" t="s">
        <v>43167</v>
      </c>
      <c r="P13376">
        <v>0</v>
      </c>
      <c r="Q13376">
        <v>0</v>
      </c>
      <c r="R13376" t="s">
        <v>43187</v>
      </c>
      <c r="S13376" t="s">
        <v>44147</v>
      </c>
      <c r="T13376" t="s">
        <v>44717</v>
      </c>
      <c r="U13376" t="s">
        <v>55821</v>
      </c>
      <c r="W13376" t="s">
        <v>58653</v>
      </c>
      <c r="X13376" t="s">
        <v>43189</v>
      </c>
    </row>
    <row r="13377" spans="1:24">
      <c r="A13377">
        <f>HYPERLINK("https://www.philgeps.gov.ph/GEPSNONPILOT/Tender/SplashBidNoticeAbstractUI.aspx?menuIndex=3&amp;refID=7045784&amp;Result=3","7045784")</f>
        <v>0</v>
      </c>
      <c r="B13377" t="s">
        <v>1722</v>
      </c>
      <c r="C13377" t="s">
        <v>16221</v>
      </c>
      <c r="D13377" t="s">
        <v>17421</v>
      </c>
      <c r="E13377" t="s">
        <v>28936</v>
      </c>
      <c r="F13377" t="s">
        <v>30052</v>
      </c>
      <c r="G13377" t="s">
        <v>30058</v>
      </c>
      <c r="H13377" t="s">
        <v>15498</v>
      </c>
      <c r="I13377" t="s">
        <v>30117</v>
      </c>
      <c r="J13377" t="s">
        <v>31246</v>
      </c>
      <c r="K13377" t="s">
        <v>39029</v>
      </c>
      <c r="M13377" t="s">
        <v>41138</v>
      </c>
      <c r="N13377" t="s">
        <v>43166</v>
      </c>
      <c r="O13377" t="s">
        <v>43167</v>
      </c>
      <c r="P13377">
        <v>0</v>
      </c>
      <c r="Q13377">
        <v>0</v>
      </c>
      <c r="R13377" t="s">
        <v>43187</v>
      </c>
      <c r="S13377" t="s">
        <v>44147</v>
      </c>
      <c r="T13377" t="s">
        <v>44717</v>
      </c>
      <c r="U13377" t="s">
        <v>55822</v>
      </c>
      <c r="W13377" t="s">
        <v>58653</v>
      </c>
      <c r="X13377" t="s">
        <v>43189</v>
      </c>
    </row>
    <row r="13378" spans="1:24">
      <c r="A13378">
        <f>HYPERLINK("https://www.philgeps.gov.ph/GEPSNONPILOT/Tender/SplashBidNoticeAbstractUI.aspx?menuIndex=3&amp;refID=7045691&amp;Result=3","7045691")</f>
        <v>0</v>
      </c>
      <c r="B13378" t="s">
        <v>1722</v>
      </c>
      <c r="C13378" t="s">
        <v>16222</v>
      </c>
      <c r="D13378" t="s">
        <v>17421</v>
      </c>
      <c r="E13378" t="s">
        <v>28937</v>
      </c>
      <c r="F13378" t="s">
        <v>30052</v>
      </c>
      <c r="G13378" t="s">
        <v>30058</v>
      </c>
      <c r="H13378" t="s">
        <v>15498</v>
      </c>
      <c r="I13378" t="s">
        <v>30117</v>
      </c>
      <c r="J13378" t="s">
        <v>33456</v>
      </c>
      <c r="K13378" t="s">
        <v>39029</v>
      </c>
      <c r="M13378" t="s">
        <v>41138</v>
      </c>
      <c r="N13378" t="s">
        <v>43166</v>
      </c>
      <c r="O13378" t="s">
        <v>43167</v>
      </c>
      <c r="P13378">
        <v>0</v>
      </c>
      <c r="Q13378">
        <v>2</v>
      </c>
      <c r="R13378" t="s">
        <v>43187</v>
      </c>
      <c r="S13378" t="s">
        <v>44147</v>
      </c>
      <c r="T13378" t="s">
        <v>44717</v>
      </c>
      <c r="U13378" t="s">
        <v>55823</v>
      </c>
      <c r="W13378" t="s">
        <v>58653</v>
      </c>
      <c r="X13378" t="s">
        <v>43189</v>
      </c>
    </row>
    <row r="13379" spans="1:24">
      <c r="A13379">
        <f>HYPERLINK("https://www.philgeps.gov.ph/GEPSNONPILOT/Tender/SplashBidNoticeAbstractUI.aspx?menuIndex=3&amp;refID=7052410&amp;Result=3","7052410")</f>
        <v>0</v>
      </c>
      <c r="B13379" t="s">
        <v>2902</v>
      </c>
      <c r="C13379" t="s">
        <v>16223</v>
      </c>
      <c r="D13379" t="s">
        <v>17482</v>
      </c>
      <c r="E13379" t="s">
        <v>28938</v>
      </c>
      <c r="F13379" t="s">
        <v>30052</v>
      </c>
      <c r="G13379" t="s">
        <v>30058</v>
      </c>
      <c r="H13379" t="s">
        <v>30067</v>
      </c>
      <c r="I13379" t="s">
        <v>3693</v>
      </c>
      <c r="J13379" t="s">
        <v>38308</v>
      </c>
      <c r="K13379" t="s">
        <v>39256</v>
      </c>
      <c r="M13379" t="s">
        <v>42456</v>
      </c>
      <c r="N13379" t="s">
        <v>43166</v>
      </c>
      <c r="O13379" t="s">
        <v>43167</v>
      </c>
      <c r="Q13379">
        <v>7</v>
      </c>
      <c r="R13379" t="s">
        <v>43186</v>
      </c>
      <c r="S13379" t="s">
        <v>44154</v>
      </c>
      <c r="T13379" t="s">
        <v>44773</v>
      </c>
      <c r="U13379" t="s">
        <v>53309</v>
      </c>
      <c r="V13379" t="s">
        <v>58428</v>
      </c>
      <c r="W13379" t="s">
        <v>42456</v>
      </c>
      <c r="X13379" t="s">
        <v>43187</v>
      </c>
    </row>
    <row r="13380" spans="1:24">
      <c r="A13380">
        <f>HYPERLINK("https://www.philgeps.gov.ph/GEPSNONPILOT/Tender/SplashBidNoticeAbstractUI.aspx?menuIndex=3&amp;refID=7045014&amp;Result=3","7045014")</f>
        <v>0</v>
      </c>
      <c r="B13380" t="s">
        <v>104</v>
      </c>
      <c r="C13380" t="s">
        <v>16224</v>
      </c>
      <c r="D13380" t="s">
        <v>17457</v>
      </c>
      <c r="E13380" t="s">
        <v>28939</v>
      </c>
      <c r="F13380" t="s">
        <v>30052</v>
      </c>
      <c r="G13380" t="s">
        <v>30058</v>
      </c>
      <c r="H13380" t="s">
        <v>15498</v>
      </c>
      <c r="I13380" t="s">
        <v>30070</v>
      </c>
      <c r="J13380" t="s">
        <v>38309</v>
      </c>
      <c r="K13380" t="s">
        <v>39029</v>
      </c>
      <c r="M13380" t="s">
        <v>39393</v>
      </c>
      <c r="N13380" t="s">
        <v>43166</v>
      </c>
      <c r="O13380" t="s">
        <v>43167</v>
      </c>
      <c r="P13380">
        <v>0</v>
      </c>
      <c r="Q13380">
        <v>5</v>
      </c>
      <c r="R13380" t="s">
        <v>43187</v>
      </c>
      <c r="S13380" t="s">
        <v>44147</v>
      </c>
      <c r="T13380" t="s">
        <v>44844</v>
      </c>
      <c r="U13380" t="s">
        <v>55824</v>
      </c>
      <c r="V13380" t="s">
        <v>57514</v>
      </c>
      <c r="W13380" t="s">
        <v>39393</v>
      </c>
      <c r="X13380" t="s">
        <v>43189</v>
      </c>
    </row>
    <row r="13381" spans="1:24">
      <c r="A13381">
        <f>HYPERLINK("https://www.philgeps.gov.ph/GEPSNONPILOT/Tender/SplashBidNoticeAbstractUI.aspx?menuIndex=3&amp;refID=7046001&amp;Result=3","7046001")</f>
        <v>0</v>
      </c>
      <c r="B13381" t="s">
        <v>2711</v>
      </c>
      <c r="C13381" t="s">
        <v>16225</v>
      </c>
      <c r="D13381" t="s">
        <v>17450</v>
      </c>
      <c r="E13381" t="s">
        <v>28940</v>
      </c>
      <c r="F13381" t="s">
        <v>30052</v>
      </c>
      <c r="G13381" t="s">
        <v>30058</v>
      </c>
      <c r="H13381" t="s">
        <v>30067</v>
      </c>
      <c r="I13381" t="s">
        <v>3693</v>
      </c>
      <c r="J13381" t="s">
        <v>38310</v>
      </c>
      <c r="K13381" t="s">
        <v>39057</v>
      </c>
      <c r="M13381" t="s">
        <v>43009</v>
      </c>
      <c r="N13381" t="s">
        <v>43166</v>
      </c>
      <c r="O13381" t="s">
        <v>43167</v>
      </c>
      <c r="P13381">
        <v>0</v>
      </c>
      <c r="Q13381">
        <v>1</v>
      </c>
      <c r="R13381" t="s">
        <v>43187</v>
      </c>
      <c r="S13381" t="s">
        <v>44147</v>
      </c>
      <c r="T13381" t="s">
        <v>44856</v>
      </c>
      <c r="U13381" t="s">
        <v>55815</v>
      </c>
      <c r="W13381" t="s">
        <v>43011</v>
      </c>
      <c r="X13381" t="s">
        <v>43189</v>
      </c>
    </row>
    <row r="13382" spans="1:24">
      <c r="A13382">
        <f>HYPERLINK("https://www.philgeps.gov.ph/GEPSNONPILOT/Tender/SplashBidNoticeAbstractUI.aspx?menuIndex=3&amp;refID=7046621&amp;Result=3","7046621")</f>
        <v>0</v>
      </c>
      <c r="B13382" t="s">
        <v>217</v>
      </c>
      <c r="C13382" t="s">
        <v>16226</v>
      </c>
      <c r="D13382" t="s">
        <v>17458</v>
      </c>
      <c r="E13382" t="s">
        <v>28941</v>
      </c>
      <c r="F13382" t="s">
        <v>30052</v>
      </c>
      <c r="G13382" t="s">
        <v>30058</v>
      </c>
      <c r="H13382" t="s">
        <v>30067</v>
      </c>
      <c r="I13382" t="s">
        <v>3693</v>
      </c>
      <c r="J13382" t="s">
        <v>30281</v>
      </c>
      <c r="K13382" t="s">
        <v>39031</v>
      </c>
      <c r="M13382" t="s">
        <v>43010</v>
      </c>
      <c r="N13382" t="s">
        <v>43166</v>
      </c>
      <c r="O13382" t="s">
        <v>43167</v>
      </c>
      <c r="Q13382">
        <v>1</v>
      </c>
      <c r="R13382" t="s">
        <v>43187</v>
      </c>
      <c r="S13382" t="s">
        <v>44155</v>
      </c>
      <c r="T13382" t="s">
        <v>44943</v>
      </c>
      <c r="U13382" t="s">
        <v>55825</v>
      </c>
      <c r="V13382" t="s">
        <v>58429</v>
      </c>
      <c r="W13382" t="s">
        <v>43010</v>
      </c>
      <c r="X13382" t="s">
        <v>43189</v>
      </c>
    </row>
    <row r="13383" spans="1:24">
      <c r="A13383">
        <f>HYPERLINK("https://www.philgeps.gov.ph/GEPSNONPILOT/Tender/SplashBidNoticeAbstractUI.aspx?menuIndex=3&amp;refID=7046572&amp;Result=3","7046572")</f>
        <v>0</v>
      </c>
      <c r="B13383" t="s">
        <v>1722</v>
      </c>
      <c r="C13383" t="s">
        <v>16227</v>
      </c>
      <c r="D13383" t="s">
        <v>17421</v>
      </c>
      <c r="E13383" t="s">
        <v>28942</v>
      </c>
      <c r="F13383" t="s">
        <v>30052</v>
      </c>
      <c r="G13383" t="s">
        <v>30058</v>
      </c>
      <c r="H13383" t="s">
        <v>15498</v>
      </c>
      <c r="I13383" t="s">
        <v>30117</v>
      </c>
      <c r="J13383" t="s">
        <v>38311</v>
      </c>
      <c r="K13383" t="s">
        <v>39029</v>
      </c>
      <c r="M13383" t="s">
        <v>41138</v>
      </c>
      <c r="N13383" t="s">
        <v>43166</v>
      </c>
      <c r="O13383" t="s">
        <v>43167</v>
      </c>
      <c r="P13383">
        <v>0</v>
      </c>
      <c r="Q13383">
        <v>0</v>
      </c>
      <c r="R13383" t="s">
        <v>43187</v>
      </c>
      <c r="S13383" t="s">
        <v>44147</v>
      </c>
      <c r="T13383" t="s">
        <v>44717</v>
      </c>
      <c r="U13383" t="s">
        <v>55826</v>
      </c>
      <c r="W13383" t="s">
        <v>58653</v>
      </c>
      <c r="X13383" t="s">
        <v>43189</v>
      </c>
    </row>
    <row r="13384" spans="1:24">
      <c r="A13384">
        <f>HYPERLINK("https://www.philgeps.gov.ph/GEPSNONPILOT/Tender/SplashBidNoticeAbstractUI.aspx?menuIndex=3&amp;refID=7045435&amp;Result=3","7045435")</f>
        <v>0</v>
      </c>
      <c r="B13384" t="s">
        <v>1675</v>
      </c>
      <c r="C13384" t="s">
        <v>16228</v>
      </c>
      <c r="D13384" t="s">
        <v>17471</v>
      </c>
      <c r="E13384" t="s">
        <v>28943</v>
      </c>
      <c r="F13384" t="s">
        <v>30052</v>
      </c>
      <c r="G13384" t="s">
        <v>30058</v>
      </c>
      <c r="H13384" t="s">
        <v>30067</v>
      </c>
      <c r="I13384" t="s">
        <v>3693</v>
      </c>
      <c r="J13384" t="s">
        <v>36788</v>
      </c>
      <c r="K13384" t="s">
        <v>39033</v>
      </c>
      <c r="M13384" t="s">
        <v>41082</v>
      </c>
      <c r="N13384" t="s">
        <v>43166</v>
      </c>
      <c r="O13384" t="s">
        <v>43167</v>
      </c>
      <c r="P13384">
        <v>0</v>
      </c>
      <c r="Q13384">
        <v>0</v>
      </c>
      <c r="R13384" t="s">
        <v>43187</v>
      </c>
      <c r="S13384" t="s">
        <v>44147</v>
      </c>
      <c r="T13384" t="s">
        <v>44698</v>
      </c>
      <c r="U13384" t="s">
        <v>55827</v>
      </c>
      <c r="W13384" t="s">
        <v>41082</v>
      </c>
      <c r="X13384" t="s">
        <v>43189</v>
      </c>
    </row>
    <row r="13385" spans="1:24">
      <c r="A13385">
        <f>HYPERLINK("https://www.philgeps.gov.ph/GEPSNONPILOT/Tender/SplashBidNoticeAbstractUI.aspx?menuIndex=3&amp;refID=7046398&amp;Result=3","7046398")</f>
        <v>0</v>
      </c>
      <c r="B13385" t="s">
        <v>2711</v>
      </c>
      <c r="C13385" t="s">
        <v>16229</v>
      </c>
      <c r="D13385" t="s">
        <v>17450</v>
      </c>
      <c r="E13385" t="s">
        <v>28944</v>
      </c>
      <c r="F13385" t="s">
        <v>30052</v>
      </c>
      <c r="G13385" t="s">
        <v>30058</v>
      </c>
      <c r="H13385" t="s">
        <v>30067</v>
      </c>
      <c r="I13385" t="s">
        <v>3693</v>
      </c>
      <c r="J13385" t="s">
        <v>30904</v>
      </c>
      <c r="K13385" t="s">
        <v>39022</v>
      </c>
      <c r="M13385" t="s">
        <v>43009</v>
      </c>
      <c r="N13385" t="s">
        <v>43166</v>
      </c>
      <c r="O13385" t="s">
        <v>43167</v>
      </c>
      <c r="P13385">
        <v>0</v>
      </c>
      <c r="Q13385">
        <v>2</v>
      </c>
      <c r="R13385" t="s">
        <v>43187</v>
      </c>
      <c r="S13385" t="s">
        <v>44147</v>
      </c>
      <c r="T13385" t="s">
        <v>44856</v>
      </c>
      <c r="U13385" t="s">
        <v>55828</v>
      </c>
      <c r="W13385" t="s">
        <v>43011</v>
      </c>
      <c r="X13385" t="s">
        <v>43189</v>
      </c>
    </row>
    <row r="13386" spans="1:24">
      <c r="A13386">
        <f>HYPERLINK("https://www.philgeps.gov.ph/GEPSNONPILOT/Tender/SplashBidNoticeAbstractUI.aspx?menuIndex=3&amp;refID=7046448&amp;Result=3","7046448")</f>
        <v>0</v>
      </c>
      <c r="B13386" t="s">
        <v>2316</v>
      </c>
      <c r="C13386" t="s">
        <v>16230</v>
      </c>
      <c r="D13386" t="s">
        <v>17445</v>
      </c>
      <c r="E13386" t="s">
        <v>28945</v>
      </c>
      <c r="F13386" t="s">
        <v>30052</v>
      </c>
      <c r="G13386" t="s">
        <v>30058</v>
      </c>
      <c r="H13386" t="s">
        <v>15498</v>
      </c>
      <c r="I13386" t="s">
        <v>3606</v>
      </c>
      <c r="J13386" t="s">
        <v>38312</v>
      </c>
      <c r="K13386" t="s">
        <v>39029</v>
      </c>
      <c r="M13386" t="s">
        <v>41802</v>
      </c>
      <c r="N13386" t="s">
        <v>43166</v>
      </c>
      <c r="O13386" t="s">
        <v>43167</v>
      </c>
      <c r="P13386">
        <v>0</v>
      </c>
      <c r="Q13386">
        <v>1</v>
      </c>
      <c r="R13386" t="s">
        <v>43187</v>
      </c>
      <c r="S13386" t="s">
        <v>44147</v>
      </c>
      <c r="T13386" t="s">
        <v>44698</v>
      </c>
      <c r="U13386" t="s">
        <v>55829</v>
      </c>
      <c r="V13386" t="s">
        <v>57593</v>
      </c>
      <c r="W13386" t="s">
        <v>41802</v>
      </c>
      <c r="X13386" t="s">
        <v>43189</v>
      </c>
    </row>
    <row r="13387" spans="1:24">
      <c r="A13387">
        <f>HYPERLINK("https://www.philgeps.gov.ph/GEPSNONPILOT/Tender/SplashBidNoticeAbstractUI.aspx?menuIndex=3&amp;refID=7046394&amp;Result=3","7046394")</f>
        <v>0</v>
      </c>
      <c r="B13387" t="s">
        <v>1722</v>
      </c>
      <c r="C13387" t="s">
        <v>16231</v>
      </c>
      <c r="D13387" t="s">
        <v>17421</v>
      </c>
      <c r="E13387" t="s">
        <v>28946</v>
      </c>
      <c r="F13387" t="s">
        <v>30052</v>
      </c>
      <c r="G13387" t="s">
        <v>30058</v>
      </c>
      <c r="H13387" t="s">
        <v>15498</v>
      </c>
      <c r="I13387" t="s">
        <v>30092</v>
      </c>
      <c r="J13387" t="s">
        <v>31062</v>
      </c>
      <c r="K13387" t="s">
        <v>39029</v>
      </c>
      <c r="M13387" t="s">
        <v>41138</v>
      </c>
      <c r="N13387" t="s">
        <v>43166</v>
      </c>
      <c r="O13387" t="s">
        <v>43167</v>
      </c>
      <c r="P13387">
        <v>0</v>
      </c>
      <c r="Q13387">
        <v>2</v>
      </c>
      <c r="R13387" t="s">
        <v>43187</v>
      </c>
      <c r="S13387" t="s">
        <v>44147</v>
      </c>
      <c r="T13387" t="s">
        <v>44717</v>
      </c>
      <c r="U13387" t="s">
        <v>55830</v>
      </c>
      <c r="W13387" t="s">
        <v>58653</v>
      </c>
      <c r="X13387" t="s">
        <v>43189</v>
      </c>
    </row>
    <row r="13388" spans="1:24">
      <c r="A13388">
        <f>HYPERLINK("https://www.philgeps.gov.ph/GEPSNONPILOT/Tender/SplashBidNoticeAbstractUI.aspx?menuIndex=3&amp;refID=7046370&amp;Result=3","7046370")</f>
        <v>0</v>
      </c>
      <c r="B13388" t="s">
        <v>2711</v>
      </c>
      <c r="C13388" t="s">
        <v>16232</v>
      </c>
      <c r="D13388" t="s">
        <v>17450</v>
      </c>
      <c r="E13388" t="s">
        <v>28947</v>
      </c>
      <c r="F13388" t="s">
        <v>30052</v>
      </c>
      <c r="G13388" t="s">
        <v>30058</v>
      </c>
      <c r="H13388" t="s">
        <v>30067</v>
      </c>
      <c r="I13388" t="s">
        <v>3693</v>
      </c>
      <c r="J13388" t="s">
        <v>30222</v>
      </c>
      <c r="K13388" t="s">
        <v>39026</v>
      </c>
      <c r="M13388" t="s">
        <v>43009</v>
      </c>
      <c r="N13388" t="s">
        <v>43166</v>
      </c>
      <c r="O13388" t="s">
        <v>43167</v>
      </c>
      <c r="P13388">
        <v>0</v>
      </c>
      <c r="Q13388">
        <v>0</v>
      </c>
      <c r="R13388" t="s">
        <v>43187</v>
      </c>
      <c r="S13388" t="s">
        <v>44147</v>
      </c>
      <c r="T13388" t="s">
        <v>44856</v>
      </c>
      <c r="U13388" t="s">
        <v>55831</v>
      </c>
      <c r="W13388" t="s">
        <v>43011</v>
      </c>
      <c r="X13388" t="s">
        <v>43189</v>
      </c>
    </row>
    <row r="13389" spans="1:24">
      <c r="A13389">
        <f>HYPERLINK("https://www.philgeps.gov.ph/GEPSNONPILOT/Tender/SplashBidNoticeAbstractUI.aspx?menuIndex=3&amp;refID=7045592&amp;Result=3","7045592")</f>
        <v>0</v>
      </c>
      <c r="B13389" t="s">
        <v>1310</v>
      </c>
      <c r="C13389" t="s">
        <v>16233</v>
      </c>
      <c r="D13389" t="s">
        <v>17459</v>
      </c>
      <c r="E13389" t="s">
        <v>28948</v>
      </c>
      <c r="F13389" t="s">
        <v>30052</v>
      </c>
      <c r="G13389" t="s">
        <v>30058</v>
      </c>
      <c r="H13389" t="s">
        <v>30067</v>
      </c>
      <c r="I13389" t="s">
        <v>3693</v>
      </c>
      <c r="J13389" t="s">
        <v>38313</v>
      </c>
      <c r="K13389" t="s">
        <v>39032</v>
      </c>
      <c r="M13389" t="s">
        <v>40677</v>
      </c>
      <c r="N13389" t="s">
        <v>43166</v>
      </c>
      <c r="O13389" t="s">
        <v>43167</v>
      </c>
      <c r="P13389">
        <v>0</v>
      </c>
      <c r="Q13389">
        <v>0</v>
      </c>
      <c r="R13389" t="s">
        <v>43187</v>
      </c>
      <c r="S13389" t="s">
        <v>44147</v>
      </c>
      <c r="T13389" t="s">
        <v>44717</v>
      </c>
      <c r="U13389" t="s">
        <v>55832</v>
      </c>
      <c r="W13389" t="s">
        <v>40677</v>
      </c>
      <c r="X13389" t="s">
        <v>43189</v>
      </c>
    </row>
    <row r="13390" spans="1:24">
      <c r="A13390">
        <f>HYPERLINK("https://www.philgeps.gov.ph/GEPSNONPILOT/Tender/SplashBidNoticeAbstractUI.aspx?menuIndex=3&amp;refID=7046422&amp;Result=3","7046422")</f>
        <v>0</v>
      </c>
      <c r="B13390" t="s">
        <v>1722</v>
      </c>
      <c r="C13390" t="s">
        <v>16234</v>
      </c>
      <c r="D13390" t="s">
        <v>17514</v>
      </c>
      <c r="E13390" t="s">
        <v>28949</v>
      </c>
      <c r="F13390" t="s">
        <v>30052</v>
      </c>
      <c r="G13390" t="s">
        <v>30058</v>
      </c>
      <c r="H13390" t="s">
        <v>15498</v>
      </c>
      <c r="I13390" t="s">
        <v>30092</v>
      </c>
      <c r="J13390" t="s">
        <v>38314</v>
      </c>
      <c r="K13390" t="s">
        <v>39023</v>
      </c>
      <c r="M13390" t="s">
        <v>41138</v>
      </c>
      <c r="N13390" t="s">
        <v>43166</v>
      </c>
      <c r="O13390" t="s">
        <v>43167</v>
      </c>
      <c r="P13390">
        <v>0</v>
      </c>
      <c r="Q13390">
        <v>4</v>
      </c>
      <c r="R13390" t="s">
        <v>43187</v>
      </c>
      <c r="S13390" t="s">
        <v>44147</v>
      </c>
      <c r="T13390" t="s">
        <v>44717</v>
      </c>
      <c r="U13390" t="s">
        <v>55833</v>
      </c>
      <c r="W13390" t="s">
        <v>58653</v>
      </c>
      <c r="X13390" t="s">
        <v>43189</v>
      </c>
    </row>
    <row r="13391" spans="1:24">
      <c r="A13391">
        <f>HYPERLINK("https://www.philgeps.gov.ph/GEPSNONPILOT/Tender/SplashBidNoticeAbstractUI.aspx?menuIndex=3&amp;refID=7046260&amp;Result=3","7046260")</f>
        <v>0</v>
      </c>
      <c r="B13391" t="s">
        <v>607</v>
      </c>
      <c r="C13391" t="s">
        <v>16235</v>
      </c>
      <c r="D13391" t="s">
        <v>17459</v>
      </c>
      <c r="E13391" t="s">
        <v>28950</v>
      </c>
      <c r="F13391" t="s">
        <v>30052</v>
      </c>
      <c r="G13391" t="s">
        <v>30058</v>
      </c>
      <c r="H13391" t="s">
        <v>15498</v>
      </c>
      <c r="I13391" t="s">
        <v>30074</v>
      </c>
      <c r="J13391" t="s">
        <v>30215</v>
      </c>
      <c r="K13391" t="s">
        <v>39023</v>
      </c>
      <c r="M13391" t="s">
        <v>39909</v>
      </c>
      <c r="N13391" t="s">
        <v>43166</v>
      </c>
      <c r="O13391" t="s">
        <v>43167</v>
      </c>
      <c r="P13391">
        <v>0</v>
      </c>
      <c r="Q13391">
        <v>7</v>
      </c>
      <c r="R13391" t="s">
        <v>43187</v>
      </c>
      <c r="S13391" t="s">
        <v>44147</v>
      </c>
      <c r="T13391" t="s">
        <v>44822</v>
      </c>
      <c r="U13391" t="s">
        <v>51178</v>
      </c>
      <c r="W13391" t="s">
        <v>39909</v>
      </c>
      <c r="X13391" t="s">
        <v>43189</v>
      </c>
    </row>
    <row r="13392" spans="1:24">
      <c r="A13392">
        <f>HYPERLINK("https://www.philgeps.gov.ph/GEPSNONPILOT/Tender/SplashBidNoticeAbstractUI.aspx?menuIndex=3&amp;refID=7046323&amp;Result=3","7046323")</f>
        <v>0</v>
      </c>
      <c r="B13392" t="s">
        <v>2711</v>
      </c>
      <c r="C13392" t="s">
        <v>16236</v>
      </c>
      <c r="D13392" t="s">
        <v>17450</v>
      </c>
      <c r="E13392" t="s">
        <v>28951</v>
      </c>
      <c r="F13392" t="s">
        <v>30052</v>
      </c>
      <c r="G13392" t="s">
        <v>30058</v>
      </c>
      <c r="H13392" t="s">
        <v>30067</v>
      </c>
      <c r="I13392" t="s">
        <v>3693</v>
      </c>
      <c r="J13392" t="s">
        <v>30281</v>
      </c>
      <c r="K13392" t="s">
        <v>39026</v>
      </c>
      <c r="M13392" t="s">
        <v>43011</v>
      </c>
      <c r="N13392" t="s">
        <v>43166</v>
      </c>
      <c r="O13392" t="s">
        <v>43167</v>
      </c>
      <c r="P13392">
        <v>0</v>
      </c>
      <c r="Q13392">
        <v>2</v>
      </c>
      <c r="R13392" t="s">
        <v>43187</v>
      </c>
      <c r="S13392" t="s">
        <v>44147</v>
      </c>
      <c r="T13392" t="s">
        <v>44856</v>
      </c>
      <c r="U13392" t="s">
        <v>55834</v>
      </c>
      <c r="W13392" t="s">
        <v>43011</v>
      </c>
      <c r="X13392" t="s">
        <v>43189</v>
      </c>
    </row>
    <row r="13393" spans="1:24">
      <c r="A13393">
        <f>HYPERLINK("https://www.philgeps.gov.ph/GEPSNONPILOT/Tender/SplashBidNoticeAbstractUI.aspx?menuIndex=3&amp;refID=7046355&amp;Result=3","7046355")</f>
        <v>0</v>
      </c>
      <c r="B13393" t="s">
        <v>607</v>
      </c>
      <c r="C13393" t="s">
        <v>16237</v>
      </c>
      <c r="D13393" t="s">
        <v>17459</v>
      </c>
      <c r="E13393" t="s">
        <v>28952</v>
      </c>
      <c r="F13393" t="s">
        <v>30052</v>
      </c>
      <c r="G13393" t="s">
        <v>30058</v>
      </c>
      <c r="H13393" t="s">
        <v>30067</v>
      </c>
      <c r="I13393" t="s">
        <v>3693</v>
      </c>
      <c r="J13393" t="s">
        <v>38315</v>
      </c>
      <c r="K13393" t="s">
        <v>39245</v>
      </c>
      <c r="M13393" t="s">
        <v>40755</v>
      </c>
      <c r="N13393" t="s">
        <v>43166</v>
      </c>
      <c r="O13393" t="s">
        <v>43167</v>
      </c>
      <c r="P13393">
        <v>0</v>
      </c>
      <c r="Q13393">
        <v>1</v>
      </c>
      <c r="R13393" t="s">
        <v>43187</v>
      </c>
      <c r="S13393" t="s">
        <v>44147</v>
      </c>
      <c r="T13393" t="s">
        <v>44822</v>
      </c>
      <c r="U13393" t="s">
        <v>55835</v>
      </c>
      <c r="W13393" t="s">
        <v>40755</v>
      </c>
      <c r="X13393" t="s">
        <v>43189</v>
      </c>
    </row>
    <row r="13394" spans="1:24">
      <c r="A13394">
        <f>HYPERLINK("https://www.philgeps.gov.ph/GEPSNONPILOT/Tender/SplashBidNoticeAbstractUI.aspx?menuIndex=3&amp;refID=7046223&amp;Result=3","7046223")</f>
        <v>0</v>
      </c>
      <c r="B13394" t="s">
        <v>607</v>
      </c>
      <c r="C13394" t="s">
        <v>16238</v>
      </c>
      <c r="D13394" t="s">
        <v>17459</v>
      </c>
      <c r="E13394" t="s">
        <v>28953</v>
      </c>
      <c r="F13394" t="s">
        <v>30052</v>
      </c>
      <c r="G13394" t="s">
        <v>30058</v>
      </c>
      <c r="H13394" t="s">
        <v>15498</v>
      </c>
      <c r="I13394" t="s">
        <v>30074</v>
      </c>
      <c r="J13394" t="s">
        <v>31664</v>
      </c>
      <c r="K13394" t="s">
        <v>39046</v>
      </c>
      <c r="M13394" t="s">
        <v>39909</v>
      </c>
      <c r="N13394" t="s">
        <v>43166</v>
      </c>
      <c r="O13394" t="s">
        <v>43167</v>
      </c>
      <c r="P13394">
        <v>0</v>
      </c>
      <c r="Q13394">
        <v>4</v>
      </c>
      <c r="R13394" t="s">
        <v>43187</v>
      </c>
      <c r="S13394" t="s">
        <v>44147</v>
      </c>
      <c r="T13394" t="s">
        <v>44822</v>
      </c>
      <c r="U13394" t="s">
        <v>51178</v>
      </c>
      <c r="W13394" t="s">
        <v>39909</v>
      </c>
      <c r="X13394" t="s">
        <v>43189</v>
      </c>
    </row>
    <row r="13395" spans="1:24">
      <c r="A13395">
        <f>HYPERLINK("https://www.philgeps.gov.ph/GEPSNONPILOT/Tender/SplashBidNoticeAbstractUI.aspx?menuIndex=3&amp;refID=7046667&amp;Result=3","7046667")</f>
        <v>0</v>
      </c>
      <c r="B13395" t="s">
        <v>3361</v>
      </c>
      <c r="C13395" t="s">
        <v>16239</v>
      </c>
      <c r="E13395" t="s">
        <v>28954</v>
      </c>
      <c r="F13395" t="s">
        <v>30052</v>
      </c>
      <c r="G13395" t="s">
        <v>30058</v>
      </c>
      <c r="H13395" t="s">
        <v>15498</v>
      </c>
      <c r="I13395" t="s">
        <v>30144</v>
      </c>
      <c r="J13395" t="s">
        <v>30397</v>
      </c>
      <c r="K13395" t="s">
        <v>39019</v>
      </c>
      <c r="M13395" t="s">
        <v>43012</v>
      </c>
      <c r="N13395" t="s">
        <v>43166</v>
      </c>
      <c r="O13395" t="s">
        <v>43167</v>
      </c>
      <c r="P13395">
        <v>0</v>
      </c>
      <c r="Q13395">
        <v>1</v>
      </c>
      <c r="R13395" t="s">
        <v>43187</v>
      </c>
      <c r="S13395" t="s">
        <v>44147</v>
      </c>
      <c r="T13395" t="s">
        <v>44717</v>
      </c>
      <c r="U13395" t="s">
        <v>55836</v>
      </c>
      <c r="W13395" t="s">
        <v>43012</v>
      </c>
      <c r="X13395" t="s">
        <v>43189</v>
      </c>
    </row>
    <row r="13396" spans="1:24">
      <c r="A13396">
        <f>HYPERLINK("https://www.philgeps.gov.ph/GEPSNONPILOT/Tender/SplashBidNoticeAbstractUI.aspx?menuIndex=3&amp;refID=7046186&amp;Result=3","7046186")</f>
        <v>0</v>
      </c>
      <c r="B13396" t="s">
        <v>607</v>
      </c>
      <c r="C13396" t="s">
        <v>16240</v>
      </c>
      <c r="D13396" t="s">
        <v>17459</v>
      </c>
      <c r="E13396" t="s">
        <v>28955</v>
      </c>
      <c r="F13396" t="s">
        <v>30052</v>
      </c>
      <c r="G13396" t="s">
        <v>30058</v>
      </c>
      <c r="H13396" t="s">
        <v>15498</v>
      </c>
      <c r="I13396" t="s">
        <v>3606</v>
      </c>
      <c r="J13396" t="s">
        <v>38316</v>
      </c>
      <c r="K13396" t="s">
        <v>39032</v>
      </c>
      <c r="M13396" t="s">
        <v>39909</v>
      </c>
      <c r="N13396" t="s">
        <v>43166</v>
      </c>
      <c r="O13396" t="s">
        <v>43167</v>
      </c>
      <c r="P13396">
        <v>0</v>
      </c>
      <c r="Q13396">
        <v>5</v>
      </c>
      <c r="R13396" t="s">
        <v>43187</v>
      </c>
      <c r="S13396" t="s">
        <v>44147</v>
      </c>
      <c r="T13396" t="s">
        <v>44822</v>
      </c>
      <c r="U13396" t="s">
        <v>51178</v>
      </c>
      <c r="W13396" t="s">
        <v>39909</v>
      </c>
      <c r="X13396" t="s">
        <v>43189</v>
      </c>
    </row>
    <row r="13397" spans="1:24">
      <c r="A13397">
        <f>HYPERLINK("https://www.philgeps.gov.ph/GEPSNONPILOT/Tender/SplashBidNoticeAbstractUI.aspx?menuIndex=3&amp;refID=7046302&amp;Result=3","7046302")</f>
        <v>0</v>
      </c>
      <c r="B13397" t="s">
        <v>2711</v>
      </c>
      <c r="C13397" t="s">
        <v>16241</v>
      </c>
      <c r="D13397" t="s">
        <v>17450</v>
      </c>
      <c r="E13397" t="s">
        <v>28956</v>
      </c>
      <c r="F13397" t="s">
        <v>30052</v>
      </c>
      <c r="G13397" t="s">
        <v>30058</v>
      </c>
      <c r="H13397" t="s">
        <v>30067</v>
      </c>
      <c r="I13397" t="s">
        <v>3693</v>
      </c>
      <c r="J13397" t="s">
        <v>30281</v>
      </c>
      <c r="K13397" t="s">
        <v>39026</v>
      </c>
      <c r="M13397" t="s">
        <v>43009</v>
      </c>
      <c r="N13397" t="s">
        <v>43166</v>
      </c>
      <c r="O13397" t="s">
        <v>43167</v>
      </c>
      <c r="P13397">
        <v>0</v>
      </c>
      <c r="Q13397">
        <v>1</v>
      </c>
      <c r="R13397" t="s">
        <v>43187</v>
      </c>
      <c r="S13397" t="s">
        <v>44147</v>
      </c>
      <c r="T13397" t="s">
        <v>44856</v>
      </c>
      <c r="U13397" t="s">
        <v>55834</v>
      </c>
      <c r="W13397" t="s">
        <v>43011</v>
      </c>
      <c r="X13397" t="s">
        <v>43189</v>
      </c>
    </row>
    <row r="13398" spans="1:24">
      <c r="A13398">
        <f>HYPERLINK("https://www.philgeps.gov.ph/GEPSNONPILOT/Tender/SplashBidNoticeAbstractUI.aspx?menuIndex=3&amp;refID=7046252&amp;Result=3","7046252")</f>
        <v>0</v>
      </c>
      <c r="B13398" t="s">
        <v>2711</v>
      </c>
      <c r="C13398" t="s">
        <v>16242</v>
      </c>
      <c r="D13398" t="s">
        <v>17450</v>
      </c>
      <c r="E13398" t="s">
        <v>28957</v>
      </c>
      <c r="F13398" t="s">
        <v>30052</v>
      </c>
      <c r="G13398" t="s">
        <v>30058</v>
      </c>
      <c r="H13398" t="s">
        <v>30067</v>
      </c>
      <c r="I13398" t="s">
        <v>3693</v>
      </c>
      <c r="J13398" t="s">
        <v>38317</v>
      </c>
      <c r="K13398" t="s">
        <v>39026</v>
      </c>
      <c r="M13398" t="s">
        <v>43009</v>
      </c>
      <c r="N13398" t="s">
        <v>43166</v>
      </c>
      <c r="O13398" t="s">
        <v>43167</v>
      </c>
      <c r="P13398">
        <v>0</v>
      </c>
      <c r="Q13398">
        <v>2</v>
      </c>
      <c r="R13398" t="s">
        <v>43187</v>
      </c>
      <c r="S13398" t="s">
        <v>44147</v>
      </c>
      <c r="T13398" t="s">
        <v>44856</v>
      </c>
      <c r="U13398" t="s">
        <v>55817</v>
      </c>
      <c r="W13398" t="s">
        <v>43011</v>
      </c>
      <c r="X13398" t="s">
        <v>43189</v>
      </c>
    </row>
    <row r="13399" spans="1:24">
      <c r="A13399">
        <f>HYPERLINK("https://www.philgeps.gov.ph/GEPSNONPILOT/Tender/SplashBidNoticeAbstractUI.aspx?menuIndex=3&amp;refID=7047404&amp;Result=3","7047404")</f>
        <v>0</v>
      </c>
      <c r="B13399" t="s">
        <v>3100</v>
      </c>
      <c r="C13399" t="s">
        <v>16243</v>
      </c>
      <c r="D13399" t="s">
        <v>17477</v>
      </c>
      <c r="E13399" t="s">
        <v>28958</v>
      </c>
      <c r="F13399" t="s">
        <v>30052</v>
      </c>
      <c r="G13399" t="s">
        <v>30058</v>
      </c>
      <c r="H13399" t="s">
        <v>15498</v>
      </c>
      <c r="I13399" t="s">
        <v>7228</v>
      </c>
      <c r="J13399" t="s">
        <v>38318</v>
      </c>
      <c r="K13399" t="s">
        <v>39025</v>
      </c>
      <c r="M13399" t="s">
        <v>42689</v>
      </c>
      <c r="N13399" t="s">
        <v>43166</v>
      </c>
      <c r="O13399" t="s">
        <v>43167</v>
      </c>
      <c r="P13399">
        <v>0</v>
      </c>
      <c r="Q13399">
        <v>1</v>
      </c>
      <c r="R13399" t="s">
        <v>43187</v>
      </c>
      <c r="S13399" t="s">
        <v>44147</v>
      </c>
      <c r="T13399" t="s">
        <v>44734</v>
      </c>
      <c r="U13399" t="s">
        <v>55837</v>
      </c>
      <c r="W13399" t="s">
        <v>42689</v>
      </c>
      <c r="X13399" t="s">
        <v>43188</v>
      </c>
    </row>
    <row r="13400" spans="1:24">
      <c r="A13400">
        <f>HYPERLINK("https://www.philgeps.gov.ph/GEPSNONPILOT/Tender/SplashBidNoticeAbstractUI.aspx?menuIndex=3&amp;refID=7047398&amp;Result=3","7047398")</f>
        <v>0</v>
      </c>
      <c r="B13400" t="s">
        <v>50</v>
      </c>
      <c r="C13400" t="s">
        <v>16244</v>
      </c>
      <c r="D13400" t="s">
        <v>17433</v>
      </c>
      <c r="E13400" t="s">
        <v>28959</v>
      </c>
      <c r="F13400" t="s">
        <v>30052</v>
      </c>
      <c r="G13400" t="s">
        <v>30058</v>
      </c>
      <c r="H13400" t="s">
        <v>30067</v>
      </c>
      <c r="I13400" t="s">
        <v>3693</v>
      </c>
      <c r="J13400" t="s">
        <v>38319</v>
      </c>
      <c r="K13400" t="s">
        <v>39140</v>
      </c>
      <c r="M13400" t="s">
        <v>40640</v>
      </c>
      <c r="N13400" t="s">
        <v>43166</v>
      </c>
      <c r="O13400" t="s">
        <v>43167</v>
      </c>
      <c r="P13400">
        <v>0</v>
      </c>
      <c r="Q13400">
        <v>1</v>
      </c>
      <c r="R13400" t="s">
        <v>43187</v>
      </c>
      <c r="S13400" t="s">
        <v>44147</v>
      </c>
      <c r="T13400" t="s">
        <v>44844</v>
      </c>
      <c r="U13400" t="s">
        <v>55838</v>
      </c>
      <c r="W13400" t="s">
        <v>40640</v>
      </c>
      <c r="X13400" t="s">
        <v>43188</v>
      </c>
    </row>
    <row r="13401" spans="1:24">
      <c r="A13401">
        <f>HYPERLINK("https://www.philgeps.gov.ph/GEPSNONPILOT/Tender/SplashBidNoticeAbstractUI.aspx?menuIndex=3&amp;refID=7047350&amp;Result=3","7047350")</f>
        <v>0</v>
      </c>
      <c r="B13401" t="s">
        <v>1020</v>
      </c>
      <c r="C13401" t="s">
        <v>16245</v>
      </c>
      <c r="D13401" t="s">
        <v>17421</v>
      </c>
      <c r="E13401" t="s">
        <v>24362</v>
      </c>
      <c r="F13401" t="s">
        <v>30052</v>
      </c>
      <c r="G13401" t="s">
        <v>30058</v>
      </c>
      <c r="H13401" t="s">
        <v>30067</v>
      </c>
      <c r="I13401" t="s">
        <v>3693</v>
      </c>
      <c r="J13401" t="s">
        <v>30321</v>
      </c>
      <c r="K13401" t="s">
        <v>39080</v>
      </c>
      <c r="M13401" t="s">
        <v>40349</v>
      </c>
      <c r="N13401" t="s">
        <v>43166</v>
      </c>
      <c r="O13401" t="s">
        <v>43167</v>
      </c>
      <c r="P13401">
        <v>0</v>
      </c>
      <c r="Q13401">
        <v>0</v>
      </c>
      <c r="R13401" t="s">
        <v>43187</v>
      </c>
      <c r="S13401" t="s">
        <v>44147</v>
      </c>
      <c r="T13401" t="s">
        <v>44832</v>
      </c>
      <c r="U13401" t="s">
        <v>55839</v>
      </c>
      <c r="W13401" t="s">
        <v>40349</v>
      </c>
      <c r="X13401" t="s">
        <v>43188</v>
      </c>
    </row>
    <row r="13402" spans="1:24">
      <c r="A13402">
        <f>HYPERLINK("https://www.philgeps.gov.ph/GEPSNONPILOT/Tender/SplashBidNoticeAbstractUI.aspx?menuIndex=3&amp;refID=7047377&amp;Result=3","7047377")</f>
        <v>0</v>
      </c>
      <c r="B13402" t="s">
        <v>2348</v>
      </c>
      <c r="C13402" t="s">
        <v>8128</v>
      </c>
      <c r="D13402" t="s">
        <v>17455</v>
      </c>
      <c r="E13402" t="s">
        <v>28960</v>
      </c>
      <c r="F13402" t="s">
        <v>30052</v>
      </c>
      <c r="G13402" t="s">
        <v>30058</v>
      </c>
      <c r="H13402" t="s">
        <v>15498</v>
      </c>
      <c r="I13402" t="s">
        <v>3606</v>
      </c>
      <c r="J13402" t="s">
        <v>30209</v>
      </c>
      <c r="K13402" t="s">
        <v>39017</v>
      </c>
      <c r="M13402" t="s">
        <v>41839</v>
      </c>
      <c r="N13402" t="s">
        <v>43166</v>
      </c>
      <c r="O13402" t="s">
        <v>43167</v>
      </c>
      <c r="P13402">
        <v>0</v>
      </c>
      <c r="Q13402">
        <v>6</v>
      </c>
      <c r="R13402" t="s">
        <v>43187</v>
      </c>
      <c r="S13402" t="s">
        <v>44147</v>
      </c>
      <c r="T13402" t="s">
        <v>44717</v>
      </c>
      <c r="U13402" t="s">
        <v>48320</v>
      </c>
      <c r="W13402" t="s">
        <v>41839</v>
      </c>
      <c r="X13402" t="s">
        <v>43188</v>
      </c>
    </row>
    <row r="13403" spans="1:24">
      <c r="A13403">
        <f>HYPERLINK("https://www.philgeps.gov.ph/GEPSNONPILOT/Tender/SplashBidNoticeAbstractUI.aspx?menuIndex=3&amp;refID=7047325&amp;Result=3","7047325")</f>
        <v>0</v>
      </c>
      <c r="B13403" t="s">
        <v>3100</v>
      </c>
      <c r="C13403" t="s">
        <v>16246</v>
      </c>
      <c r="D13403" t="s">
        <v>17477</v>
      </c>
      <c r="E13403" t="s">
        <v>28961</v>
      </c>
      <c r="F13403" t="s">
        <v>30052</v>
      </c>
      <c r="G13403" t="s">
        <v>30058</v>
      </c>
      <c r="H13403" t="s">
        <v>15498</v>
      </c>
      <c r="I13403" t="s">
        <v>4650</v>
      </c>
      <c r="J13403" t="s">
        <v>30292</v>
      </c>
      <c r="K13403" t="s">
        <v>39025</v>
      </c>
      <c r="M13403" t="s">
        <v>42689</v>
      </c>
      <c r="N13403" t="s">
        <v>43166</v>
      </c>
      <c r="O13403" t="s">
        <v>43167</v>
      </c>
      <c r="P13403">
        <v>0</v>
      </c>
      <c r="Q13403">
        <v>0</v>
      </c>
      <c r="R13403" t="s">
        <v>43187</v>
      </c>
      <c r="S13403" t="s">
        <v>44147</v>
      </c>
      <c r="T13403" t="s">
        <v>44734</v>
      </c>
      <c r="U13403" t="s">
        <v>55840</v>
      </c>
      <c r="W13403" t="s">
        <v>42689</v>
      </c>
      <c r="X13403" t="s">
        <v>43188</v>
      </c>
    </row>
    <row r="13404" spans="1:24">
      <c r="A13404">
        <f>HYPERLINK("https://www.philgeps.gov.ph/GEPSNONPILOT/Tender/SplashBidNoticeAbstractUI.aspx?menuIndex=3&amp;refID=7046405&amp;Result=3","7046405")</f>
        <v>0</v>
      </c>
      <c r="B13404" t="s">
        <v>2316</v>
      </c>
      <c r="C13404" t="s">
        <v>16247</v>
      </c>
      <c r="D13404" t="s">
        <v>17445</v>
      </c>
      <c r="E13404" t="s">
        <v>28962</v>
      </c>
      <c r="F13404" t="s">
        <v>30052</v>
      </c>
      <c r="G13404" t="s">
        <v>30058</v>
      </c>
      <c r="H13404" t="s">
        <v>15498</v>
      </c>
      <c r="I13404" t="s">
        <v>30076</v>
      </c>
      <c r="J13404" t="s">
        <v>38320</v>
      </c>
      <c r="K13404" t="s">
        <v>39029</v>
      </c>
      <c r="M13404" t="s">
        <v>41802</v>
      </c>
      <c r="N13404" t="s">
        <v>43166</v>
      </c>
      <c r="O13404" t="s">
        <v>43167</v>
      </c>
      <c r="P13404">
        <v>0</v>
      </c>
      <c r="Q13404">
        <v>6</v>
      </c>
      <c r="R13404" t="s">
        <v>43187</v>
      </c>
      <c r="S13404" t="s">
        <v>44147</v>
      </c>
      <c r="T13404" t="s">
        <v>44698</v>
      </c>
      <c r="U13404" t="s">
        <v>55841</v>
      </c>
      <c r="V13404" t="s">
        <v>57593</v>
      </c>
      <c r="W13404" t="s">
        <v>41802</v>
      </c>
      <c r="X13404" t="s">
        <v>43189</v>
      </c>
    </row>
    <row r="13405" spans="1:24">
      <c r="A13405">
        <f>HYPERLINK("https://www.philgeps.gov.ph/GEPSNONPILOT/Tender/SplashBidNoticeAbstractUI.aspx?menuIndex=3&amp;refID=7047321&amp;Result=3","7047321")</f>
        <v>0</v>
      </c>
      <c r="B13405" t="s">
        <v>2473</v>
      </c>
      <c r="C13405" t="s">
        <v>16248</v>
      </c>
      <c r="D13405" t="s">
        <v>17437</v>
      </c>
      <c r="E13405" t="s">
        <v>28963</v>
      </c>
      <c r="F13405" t="s">
        <v>30052</v>
      </c>
      <c r="G13405" t="s">
        <v>30058</v>
      </c>
      <c r="H13405" t="s">
        <v>30067</v>
      </c>
      <c r="I13405" t="s">
        <v>3693</v>
      </c>
      <c r="J13405" t="s">
        <v>38321</v>
      </c>
      <c r="K13405" t="s">
        <v>39031</v>
      </c>
      <c r="M13405" t="s">
        <v>41973</v>
      </c>
      <c r="N13405" t="s">
        <v>43166</v>
      </c>
      <c r="O13405" t="s">
        <v>43167</v>
      </c>
      <c r="P13405">
        <v>0</v>
      </c>
      <c r="Q13405">
        <v>0</v>
      </c>
      <c r="R13405" t="s">
        <v>43187</v>
      </c>
      <c r="S13405" t="s">
        <v>44147</v>
      </c>
      <c r="T13405" t="s">
        <v>44844</v>
      </c>
      <c r="U13405" t="s">
        <v>55842</v>
      </c>
      <c r="W13405" t="s">
        <v>41973</v>
      </c>
      <c r="X13405" t="s">
        <v>43188</v>
      </c>
    </row>
    <row r="13406" spans="1:24">
      <c r="A13406">
        <f>HYPERLINK("https://www.philgeps.gov.ph/GEPSNONPILOT/Tender/SplashBidNoticeAbstractUI.aspx?menuIndex=3&amp;refID=7046236&amp;Result=3","7046236")</f>
        <v>0</v>
      </c>
      <c r="B13406" t="s">
        <v>104</v>
      </c>
      <c r="C13406" t="s">
        <v>16249</v>
      </c>
      <c r="D13406" t="s">
        <v>17457</v>
      </c>
      <c r="E13406" t="s">
        <v>28964</v>
      </c>
      <c r="F13406" t="s">
        <v>30052</v>
      </c>
      <c r="G13406" t="s">
        <v>30060</v>
      </c>
      <c r="H13406" t="s">
        <v>15498</v>
      </c>
      <c r="I13406" t="s">
        <v>4650</v>
      </c>
      <c r="J13406" t="s">
        <v>30252</v>
      </c>
      <c r="K13406" t="s">
        <v>39029</v>
      </c>
      <c r="M13406" t="s">
        <v>39393</v>
      </c>
      <c r="N13406" t="s">
        <v>43166</v>
      </c>
      <c r="O13406" t="s">
        <v>43167</v>
      </c>
      <c r="P13406">
        <v>0</v>
      </c>
      <c r="Q13406">
        <v>3</v>
      </c>
      <c r="R13406" t="s">
        <v>43187</v>
      </c>
      <c r="S13406" t="s">
        <v>44147</v>
      </c>
      <c r="T13406" t="s">
        <v>44844</v>
      </c>
      <c r="U13406" t="s">
        <v>55843</v>
      </c>
      <c r="V13406" t="s">
        <v>58430</v>
      </c>
      <c r="W13406" t="s">
        <v>39393</v>
      </c>
      <c r="X13406" t="s">
        <v>43189</v>
      </c>
    </row>
    <row r="13407" spans="1:24">
      <c r="A13407">
        <f>HYPERLINK("https://www.philgeps.gov.ph/GEPSNONPILOT/Tender/SplashBidNoticeAbstractUI.aspx?menuIndex=3&amp;refID=7047353&amp;Result=3","7047353")</f>
        <v>0</v>
      </c>
      <c r="B13407" t="s">
        <v>3009</v>
      </c>
      <c r="C13407" t="s">
        <v>16250</v>
      </c>
      <c r="D13407" t="s">
        <v>17463</v>
      </c>
      <c r="E13407" t="s">
        <v>28965</v>
      </c>
      <c r="F13407" t="s">
        <v>30056</v>
      </c>
      <c r="G13407" t="s">
        <v>30058</v>
      </c>
      <c r="H13407" t="s">
        <v>15498</v>
      </c>
      <c r="I13407" t="s">
        <v>30097</v>
      </c>
      <c r="J13407" t="s">
        <v>30605</v>
      </c>
      <c r="K13407" t="s">
        <v>39019</v>
      </c>
      <c r="M13407" t="s">
        <v>42584</v>
      </c>
      <c r="N13407" t="s">
        <v>43166</v>
      </c>
      <c r="O13407" t="s">
        <v>43167</v>
      </c>
      <c r="P13407">
        <v>0</v>
      </c>
      <c r="Q13407">
        <v>2</v>
      </c>
      <c r="R13407" t="s">
        <v>43187</v>
      </c>
      <c r="S13407" t="s">
        <v>44147</v>
      </c>
      <c r="T13407" t="s">
        <v>44734</v>
      </c>
      <c r="U13407" t="s">
        <v>55844</v>
      </c>
      <c r="W13407" t="s">
        <v>42584</v>
      </c>
      <c r="X13407" t="s">
        <v>43188</v>
      </c>
    </row>
    <row r="13408" spans="1:24">
      <c r="A13408">
        <f>HYPERLINK("https://www.philgeps.gov.ph/GEPSNONPILOT/Tender/SplashBidNoticeAbstractUI.aspx?menuIndex=3&amp;refID=7045065&amp;Result=3","7045065")</f>
        <v>0</v>
      </c>
      <c r="B13408" t="s">
        <v>1675</v>
      </c>
      <c r="C13408" t="s">
        <v>16251</v>
      </c>
      <c r="D13408" t="s">
        <v>17471</v>
      </c>
      <c r="E13408" t="s">
        <v>28966</v>
      </c>
      <c r="F13408" t="s">
        <v>30052</v>
      </c>
      <c r="G13408" t="s">
        <v>30058</v>
      </c>
      <c r="H13408" t="s">
        <v>30067</v>
      </c>
      <c r="I13408" t="s">
        <v>3693</v>
      </c>
      <c r="J13408" t="s">
        <v>32820</v>
      </c>
      <c r="K13408" t="s">
        <v>39026</v>
      </c>
      <c r="M13408" t="s">
        <v>41082</v>
      </c>
      <c r="N13408" t="s">
        <v>43166</v>
      </c>
      <c r="O13408" t="s">
        <v>43167</v>
      </c>
      <c r="P13408">
        <v>0</v>
      </c>
      <c r="Q13408">
        <v>0</v>
      </c>
      <c r="R13408" t="s">
        <v>43187</v>
      </c>
      <c r="S13408" t="s">
        <v>44147</v>
      </c>
      <c r="T13408" t="s">
        <v>44698</v>
      </c>
      <c r="U13408" t="s">
        <v>55845</v>
      </c>
      <c r="W13408" t="s">
        <v>41082</v>
      </c>
      <c r="X13408" t="s">
        <v>43189</v>
      </c>
    </row>
    <row r="13409" spans="1:24">
      <c r="A13409">
        <f>HYPERLINK("https://www.philgeps.gov.ph/GEPSNONPILOT/Tender/SplashBidNoticeAbstractUI.aspx?menuIndex=3&amp;refID=7047296&amp;Result=3","7047296")</f>
        <v>0</v>
      </c>
      <c r="B13409" t="s">
        <v>3362</v>
      </c>
      <c r="C13409" t="s">
        <v>16252</v>
      </c>
      <c r="D13409" t="s">
        <v>17434</v>
      </c>
      <c r="E13409" t="s">
        <v>28967</v>
      </c>
      <c r="F13409" t="s">
        <v>30052</v>
      </c>
      <c r="G13409" t="s">
        <v>30058</v>
      </c>
      <c r="H13409" t="s">
        <v>30067</v>
      </c>
      <c r="I13409" t="s">
        <v>3693</v>
      </c>
      <c r="J13409" t="s">
        <v>38322</v>
      </c>
      <c r="K13409" t="s">
        <v>39029</v>
      </c>
      <c r="M13409" t="s">
        <v>43013</v>
      </c>
      <c r="N13409" t="s">
        <v>43166</v>
      </c>
      <c r="O13409" t="s">
        <v>43167</v>
      </c>
      <c r="P13409">
        <v>0</v>
      </c>
      <c r="Q13409">
        <v>2</v>
      </c>
      <c r="R13409" t="s">
        <v>43187</v>
      </c>
      <c r="S13409" t="s">
        <v>44147</v>
      </c>
      <c r="T13409" t="s">
        <v>44717</v>
      </c>
      <c r="U13409" t="s">
        <v>55846</v>
      </c>
      <c r="V13409" t="s">
        <v>58431</v>
      </c>
      <c r="W13409" t="s">
        <v>43013</v>
      </c>
      <c r="X13409" t="s">
        <v>43188</v>
      </c>
    </row>
    <row r="13410" spans="1:24">
      <c r="A13410">
        <f>HYPERLINK("https://www.philgeps.gov.ph/GEPSNONPILOT/Tender/SplashBidNoticeAbstractUI.aspx?menuIndex=3&amp;refID=7047627&amp;Result=3","7047627")</f>
        <v>0</v>
      </c>
      <c r="B13410" t="s">
        <v>2507</v>
      </c>
      <c r="C13410" t="s">
        <v>16253</v>
      </c>
      <c r="D13410" t="s">
        <v>17440</v>
      </c>
      <c r="E13410" t="s">
        <v>28968</v>
      </c>
      <c r="F13410" t="s">
        <v>30052</v>
      </c>
      <c r="G13410" t="s">
        <v>30058</v>
      </c>
      <c r="H13410" t="s">
        <v>15498</v>
      </c>
      <c r="I13410" t="s">
        <v>30074</v>
      </c>
      <c r="J13410" t="s">
        <v>32173</v>
      </c>
      <c r="K13410" t="s">
        <v>39023</v>
      </c>
      <c r="M13410" t="s">
        <v>42012</v>
      </c>
      <c r="N13410" t="s">
        <v>43166</v>
      </c>
      <c r="O13410" t="s">
        <v>43167</v>
      </c>
      <c r="P13410">
        <v>0</v>
      </c>
      <c r="Q13410">
        <v>7</v>
      </c>
      <c r="R13410" t="s">
        <v>43187</v>
      </c>
      <c r="S13410" t="s">
        <v>44147</v>
      </c>
      <c r="T13410" t="s">
        <v>44856</v>
      </c>
      <c r="U13410" t="s">
        <v>55847</v>
      </c>
      <c r="W13410" t="s">
        <v>58676</v>
      </c>
      <c r="X13410" t="s">
        <v>43188</v>
      </c>
    </row>
    <row r="13411" spans="1:24">
      <c r="A13411">
        <f>HYPERLINK("https://www.philgeps.gov.ph/GEPSNONPILOT/Tender/SplashBidNoticeAbstractUI.aspx?menuIndex=3&amp;refID=7047614&amp;Result=3","7047614")</f>
        <v>0</v>
      </c>
      <c r="B13411" t="s">
        <v>3363</v>
      </c>
      <c r="C13411" t="s">
        <v>16254</v>
      </c>
      <c r="D13411" t="s">
        <v>17456</v>
      </c>
      <c r="E13411" t="s">
        <v>28969</v>
      </c>
      <c r="F13411" t="s">
        <v>30052</v>
      </c>
      <c r="G13411" t="s">
        <v>30058</v>
      </c>
      <c r="H13411" t="s">
        <v>30067</v>
      </c>
      <c r="I13411" t="s">
        <v>3693</v>
      </c>
      <c r="J13411" t="s">
        <v>38323</v>
      </c>
      <c r="K13411" t="s">
        <v>39025</v>
      </c>
      <c r="L13411" t="s">
        <v>3363</v>
      </c>
      <c r="M13411" t="s">
        <v>43014</v>
      </c>
      <c r="N13411" t="s">
        <v>43166</v>
      </c>
      <c r="O13411" t="s">
        <v>43167</v>
      </c>
      <c r="P13411">
        <v>0</v>
      </c>
      <c r="Q13411">
        <v>1</v>
      </c>
      <c r="R13411" t="s">
        <v>43187</v>
      </c>
      <c r="S13411" t="s">
        <v>44147</v>
      </c>
      <c r="T13411" t="s">
        <v>44777</v>
      </c>
      <c r="U13411" t="s">
        <v>55848</v>
      </c>
      <c r="W13411" t="s">
        <v>43014</v>
      </c>
      <c r="X13411" t="s">
        <v>43188</v>
      </c>
    </row>
    <row r="13412" spans="1:24">
      <c r="A13412">
        <f>HYPERLINK("https://www.philgeps.gov.ph/GEPSNONPILOT/Tender/SplashBidNoticeAbstractUI.aspx?menuIndex=3&amp;refID=7047376&amp;Result=3","7047376")</f>
        <v>0</v>
      </c>
      <c r="B13412" t="s">
        <v>136</v>
      </c>
      <c r="C13412" t="s">
        <v>16255</v>
      </c>
      <c r="D13412" t="s">
        <v>17466</v>
      </c>
      <c r="E13412" t="s">
        <v>28970</v>
      </c>
      <c r="F13412" t="s">
        <v>30052</v>
      </c>
      <c r="G13412" t="s">
        <v>30058</v>
      </c>
      <c r="H13412" t="s">
        <v>30067</v>
      </c>
      <c r="I13412" t="s">
        <v>3693</v>
      </c>
      <c r="J13412" t="s">
        <v>38324</v>
      </c>
      <c r="K13412" t="s">
        <v>39295</v>
      </c>
      <c r="M13412" t="s">
        <v>39425</v>
      </c>
      <c r="N13412" t="s">
        <v>43166</v>
      </c>
      <c r="O13412" t="s">
        <v>43167</v>
      </c>
      <c r="P13412">
        <v>0</v>
      </c>
      <c r="Q13412">
        <v>10</v>
      </c>
      <c r="R13412" t="s">
        <v>43187</v>
      </c>
      <c r="S13412" t="s">
        <v>44147</v>
      </c>
      <c r="T13412" t="s">
        <v>44717</v>
      </c>
      <c r="U13412" t="s">
        <v>55849</v>
      </c>
      <c r="W13412" t="s">
        <v>39425</v>
      </c>
      <c r="X13412" t="s">
        <v>43188</v>
      </c>
    </row>
    <row r="13413" spans="1:24">
      <c r="A13413">
        <f>HYPERLINK("https://www.philgeps.gov.ph/GEPSNONPILOT/Tender/SplashBidNoticeAbstractUI.aspx?menuIndex=3&amp;refID=7047611&amp;Result=3","7047611")</f>
        <v>0</v>
      </c>
      <c r="B13413" t="s">
        <v>777</v>
      </c>
      <c r="C13413" t="s">
        <v>16256</v>
      </c>
      <c r="E13413" t="s">
        <v>28971</v>
      </c>
      <c r="F13413" t="s">
        <v>30052</v>
      </c>
      <c r="G13413" t="s">
        <v>30058</v>
      </c>
      <c r="H13413" t="s">
        <v>30067</v>
      </c>
      <c r="I13413" t="s">
        <v>3693</v>
      </c>
      <c r="J13413" t="s">
        <v>30252</v>
      </c>
      <c r="K13413" t="s">
        <v>39025</v>
      </c>
      <c r="M13413" t="s">
        <v>40092</v>
      </c>
      <c r="N13413" t="s">
        <v>43166</v>
      </c>
      <c r="O13413" t="s">
        <v>43167</v>
      </c>
      <c r="P13413">
        <v>0</v>
      </c>
      <c r="Q13413">
        <v>0</v>
      </c>
      <c r="R13413" t="s">
        <v>43187</v>
      </c>
      <c r="S13413" t="s">
        <v>44147</v>
      </c>
      <c r="T13413" t="s">
        <v>44856</v>
      </c>
      <c r="U13413" t="s">
        <v>55850</v>
      </c>
      <c r="W13413" t="s">
        <v>40092</v>
      </c>
      <c r="X13413" t="s">
        <v>43188</v>
      </c>
    </row>
    <row r="13414" spans="1:24">
      <c r="A13414">
        <f>HYPERLINK("https://www.philgeps.gov.ph/GEPSNONPILOT/Tender/SplashBidNoticeAbstractUI.aspx?menuIndex=3&amp;refID=7047600&amp;Result=3","7047600")</f>
        <v>0</v>
      </c>
      <c r="B13414" t="s">
        <v>608</v>
      </c>
      <c r="C13414" t="s">
        <v>16257</v>
      </c>
      <c r="D13414" t="s">
        <v>17449</v>
      </c>
      <c r="E13414" t="s">
        <v>28972</v>
      </c>
      <c r="F13414" t="s">
        <v>30052</v>
      </c>
      <c r="G13414" t="s">
        <v>30058</v>
      </c>
      <c r="H13414" t="s">
        <v>15498</v>
      </c>
      <c r="I13414" t="s">
        <v>30091</v>
      </c>
      <c r="J13414" t="s">
        <v>31168</v>
      </c>
      <c r="K13414" t="s">
        <v>39025</v>
      </c>
      <c r="M13414" t="s">
        <v>39910</v>
      </c>
      <c r="N13414" t="s">
        <v>43166</v>
      </c>
      <c r="O13414" t="s">
        <v>43167</v>
      </c>
      <c r="Q13414">
        <v>2</v>
      </c>
      <c r="R13414" t="s">
        <v>43187</v>
      </c>
      <c r="S13414" t="s">
        <v>44156</v>
      </c>
      <c r="T13414" t="s">
        <v>44862</v>
      </c>
      <c r="U13414" t="s">
        <v>55851</v>
      </c>
      <c r="W13414" t="s">
        <v>39910</v>
      </c>
      <c r="X13414" t="s">
        <v>43188</v>
      </c>
    </row>
    <row r="13415" spans="1:24">
      <c r="A13415">
        <f>HYPERLINK("https://www.philgeps.gov.ph/GEPSNONPILOT/Tender/SplashBidNoticeAbstractUI.aspx?menuIndex=3&amp;refID=7047557&amp;Result=3","7047557")</f>
        <v>0</v>
      </c>
      <c r="B13415" t="s">
        <v>3364</v>
      </c>
      <c r="C13415" t="s">
        <v>16258</v>
      </c>
      <c r="D13415" t="s">
        <v>17428</v>
      </c>
      <c r="E13415" t="s">
        <v>21832</v>
      </c>
      <c r="F13415" t="s">
        <v>30052</v>
      </c>
      <c r="G13415" t="s">
        <v>30058</v>
      </c>
      <c r="H13415" t="s">
        <v>30067</v>
      </c>
      <c r="I13415" t="s">
        <v>3693</v>
      </c>
      <c r="J13415" t="s">
        <v>30297</v>
      </c>
      <c r="K13415" t="s">
        <v>39046</v>
      </c>
      <c r="M13415" t="s">
        <v>43015</v>
      </c>
      <c r="N13415" t="s">
        <v>43166</v>
      </c>
      <c r="O13415" t="s">
        <v>43167</v>
      </c>
      <c r="P13415">
        <v>0</v>
      </c>
      <c r="Q13415">
        <v>0</v>
      </c>
      <c r="R13415" t="s">
        <v>43187</v>
      </c>
      <c r="S13415" t="s">
        <v>44147</v>
      </c>
      <c r="T13415" t="s">
        <v>44844</v>
      </c>
      <c r="U13415" t="s">
        <v>55852</v>
      </c>
      <c r="W13415" t="s">
        <v>43015</v>
      </c>
      <c r="X13415" t="s">
        <v>43188</v>
      </c>
    </row>
    <row r="13416" spans="1:24">
      <c r="A13416">
        <f>HYPERLINK("https://www.philgeps.gov.ph/GEPSNONPILOT/Tender/SplashBidNoticeAbstractUI.aspx?menuIndex=3&amp;refID=7047295&amp;Result=3","7047295")</f>
        <v>0</v>
      </c>
      <c r="B13416" t="s">
        <v>3128</v>
      </c>
      <c r="C13416" t="s">
        <v>16259</v>
      </c>
      <c r="D13416" t="s">
        <v>17446</v>
      </c>
      <c r="E13416" t="s">
        <v>28973</v>
      </c>
      <c r="F13416" t="s">
        <v>30052</v>
      </c>
      <c r="G13416" t="s">
        <v>30060</v>
      </c>
      <c r="H13416" t="s">
        <v>15498</v>
      </c>
      <c r="I13416" t="s">
        <v>3606</v>
      </c>
      <c r="J13416" t="s">
        <v>38325</v>
      </c>
      <c r="K13416" t="s">
        <v>39025</v>
      </c>
      <c r="M13416" t="s">
        <v>42728</v>
      </c>
      <c r="N13416" t="s">
        <v>43166</v>
      </c>
      <c r="O13416" t="s">
        <v>43167</v>
      </c>
      <c r="Q13416">
        <v>30</v>
      </c>
      <c r="R13416" t="s">
        <v>43187</v>
      </c>
      <c r="S13416" t="s">
        <v>44157</v>
      </c>
      <c r="T13416" t="s">
        <v>44844</v>
      </c>
      <c r="U13416" t="s">
        <v>55853</v>
      </c>
      <c r="W13416" t="s">
        <v>42728</v>
      </c>
      <c r="X13416" t="s">
        <v>43188</v>
      </c>
    </row>
    <row r="13417" spans="1:24">
      <c r="A13417">
        <f>HYPERLINK("https://www.philgeps.gov.ph/GEPSNONPILOT/Tender/SplashBidNoticeAbstractUI.aspx?menuIndex=3&amp;refID=7047319&amp;Result=3","7047319")</f>
        <v>0</v>
      </c>
      <c r="B13417" t="s">
        <v>3365</v>
      </c>
      <c r="C13417" t="s">
        <v>16260</v>
      </c>
      <c r="D13417" t="s">
        <v>17488</v>
      </c>
      <c r="E13417" t="s">
        <v>28974</v>
      </c>
      <c r="F13417" t="s">
        <v>30052</v>
      </c>
      <c r="G13417" t="s">
        <v>30058</v>
      </c>
      <c r="H13417" t="s">
        <v>15498</v>
      </c>
      <c r="I13417" t="s">
        <v>3736</v>
      </c>
      <c r="J13417" t="s">
        <v>34540</v>
      </c>
      <c r="K13417" t="s">
        <v>39034</v>
      </c>
      <c r="M13417" t="s">
        <v>43016</v>
      </c>
      <c r="N13417" t="s">
        <v>43166</v>
      </c>
      <c r="O13417" t="s">
        <v>43167</v>
      </c>
      <c r="P13417">
        <v>0</v>
      </c>
      <c r="Q13417">
        <v>0</v>
      </c>
      <c r="R13417" t="s">
        <v>43187</v>
      </c>
      <c r="S13417" t="s">
        <v>44147</v>
      </c>
      <c r="T13417" t="s">
        <v>44794</v>
      </c>
      <c r="U13417" t="s">
        <v>55854</v>
      </c>
      <c r="V13417" t="s">
        <v>58432</v>
      </c>
      <c r="W13417" t="s">
        <v>43016</v>
      </c>
      <c r="X13417" t="s">
        <v>43188</v>
      </c>
    </row>
    <row r="13418" spans="1:24">
      <c r="A13418">
        <f>HYPERLINK("https://www.philgeps.gov.ph/GEPSNONPILOT/Tender/SplashBidNoticeAbstractUI.aspx?menuIndex=3&amp;refID=7047524&amp;Result=3","7047524")</f>
        <v>0</v>
      </c>
      <c r="B13418" t="s">
        <v>175</v>
      </c>
      <c r="C13418" t="s">
        <v>16261</v>
      </c>
      <c r="D13418" t="s">
        <v>17476</v>
      </c>
      <c r="E13418" t="s">
        <v>23363</v>
      </c>
      <c r="F13418" t="s">
        <v>30052</v>
      </c>
      <c r="G13418" t="s">
        <v>30058</v>
      </c>
      <c r="H13418" t="s">
        <v>15498</v>
      </c>
      <c r="I13418" t="s">
        <v>30126</v>
      </c>
      <c r="J13418" t="s">
        <v>30900</v>
      </c>
      <c r="K13418" t="s">
        <v>39029</v>
      </c>
      <c r="M13418" t="s">
        <v>39464</v>
      </c>
      <c r="N13418" t="s">
        <v>43166</v>
      </c>
      <c r="O13418" t="s">
        <v>43167</v>
      </c>
      <c r="P13418">
        <v>0</v>
      </c>
      <c r="Q13418">
        <v>1</v>
      </c>
      <c r="R13418" t="s">
        <v>43187</v>
      </c>
      <c r="S13418" t="s">
        <v>44147</v>
      </c>
      <c r="T13418" t="s">
        <v>44844</v>
      </c>
      <c r="U13418" t="s">
        <v>55855</v>
      </c>
      <c r="V13418" t="s">
        <v>58433</v>
      </c>
      <c r="W13418" t="s">
        <v>39464</v>
      </c>
      <c r="X13418" t="s">
        <v>43188</v>
      </c>
    </row>
    <row r="13419" spans="1:24">
      <c r="A13419">
        <f>HYPERLINK("https://www.philgeps.gov.ph/GEPSNONPILOT/Tender/SplashBidNoticeAbstractUI.aspx?menuIndex=3&amp;refID=7047307&amp;Result=3","7047307")</f>
        <v>0</v>
      </c>
      <c r="B13419" t="s">
        <v>3100</v>
      </c>
      <c r="C13419" t="s">
        <v>16262</v>
      </c>
      <c r="D13419" t="s">
        <v>17477</v>
      </c>
      <c r="E13419" t="s">
        <v>28975</v>
      </c>
      <c r="F13419" t="s">
        <v>30052</v>
      </c>
      <c r="G13419" t="s">
        <v>30058</v>
      </c>
      <c r="H13419" t="s">
        <v>15498</v>
      </c>
      <c r="I13419" t="s">
        <v>30070</v>
      </c>
      <c r="J13419" t="s">
        <v>30508</v>
      </c>
      <c r="K13419" t="s">
        <v>39025</v>
      </c>
      <c r="M13419" t="s">
        <v>42689</v>
      </c>
      <c r="N13419" t="s">
        <v>43166</v>
      </c>
      <c r="O13419" t="s">
        <v>43167</v>
      </c>
      <c r="P13419">
        <v>0</v>
      </c>
      <c r="Q13419">
        <v>2</v>
      </c>
      <c r="R13419" t="s">
        <v>43187</v>
      </c>
      <c r="S13419" t="s">
        <v>44147</v>
      </c>
      <c r="T13419" t="s">
        <v>44734</v>
      </c>
      <c r="U13419" t="s">
        <v>55856</v>
      </c>
      <c r="W13419" t="s">
        <v>42689</v>
      </c>
      <c r="X13419" t="s">
        <v>43188</v>
      </c>
    </row>
    <row r="13420" spans="1:24">
      <c r="A13420">
        <f>HYPERLINK("https://www.philgeps.gov.ph/GEPSNONPILOT/Tender/SplashBidNoticeAbstractUI.aspx?menuIndex=3&amp;refID=7047510&amp;Result=3","7047510")</f>
        <v>0</v>
      </c>
      <c r="B13420" t="s">
        <v>2059</v>
      </c>
      <c r="C13420" t="s">
        <v>16263</v>
      </c>
      <c r="D13420" t="s">
        <v>17432</v>
      </c>
      <c r="E13420" t="s">
        <v>28976</v>
      </c>
      <c r="F13420" t="s">
        <v>30052</v>
      </c>
      <c r="G13420" t="s">
        <v>30058</v>
      </c>
      <c r="H13420" t="s">
        <v>30067</v>
      </c>
      <c r="I13420" t="s">
        <v>3736</v>
      </c>
      <c r="J13420" t="s">
        <v>38326</v>
      </c>
      <c r="K13420" t="s">
        <v>39016</v>
      </c>
      <c r="M13420" t="s">
        <v>41516</v>
      </c>
      <c r="N13420" t="s">
        <v>43166</v>
      </c>
      <c r="O13420" t="s">
        <v>43167</v>
      </c>
      <c r="Q13420">
        <v>5</v>
      </c>
      <c r="R13420" t="s">
        <v>43187</v>
      </c>
      <c r="S13420" t="s">
        <v>44158</v>
      </c>
      <c r="T13420" t="s">
        <v>44969</v>
      </c>
      <c r="U13420" t="s">
        <v>55857</v>
      </c>
      <c r="V13420" t="s">
        <v>58434</v>
      </c>
      <c r="W13420" t="s">
        <v>41516</v>
      </c>
      <c r="X13420" t="s">
        <v>43188</v>
      </c>
    </row>
    <row r="13421" spans="1:24">
      <c r="A13421">
        <f>HYPERLINK("https://www.philgeps.gov.ph/GEPSNONPILOT/Tender/SplashBidNoticeAbstractUI.aspx?menuIndex=3&amp;refID=7047558&amp;Result=3","7047558")</f>
        <v>0</v>
      </c>
      <c r="B13421" t="s">
        <v>3366</v>
      </c>
      <c r="C13421" t="s">
        <v>16264</v>
      </c>
      <c r="D13421" t="s">
        <v>17449</v>
      </c>
      <c r="E13421" t="s">
        <v>28977</v>
      </c>
      <c r="F13421" t="s">
        <v>30052</v>
      </c>
      <c r="G13421" t="s">
        <v>30058</v>
      </c>
      <c r="H13421" t="s">
        <v>15498</v>
      </c>
      <c r="I13421" t="s">
        <v>30153</v>
      </c>
      <c r="J13421" t="s">
        <v>38327</v>
      </c>
      <c r="K13421" t="s">
        <v>39036</v>
      </c>
      <c r="M13421" t="s">
        <v>43017</v>
      </c>
      <c r="N13421" t="s">
        <v>43166</v>
      </c>
      <c r="O13421" t="s">
        <v>43167</v>
      </c>
      <c r="P13421">
        <v>0</v>
      </c>
      <c r="Q13421">
        <v>6</v>
      </c>
      <c r="R13421" t="s">
        <v>43187</v>
      </c>
      <c r="S13421" t="s">
        <v>44147</v>
      </c>
      <c r="T13421" t="s">
        <v>44695</v>
      </c>
      <c r="U13421" t="s">
        <v>55858</v>
      </c>
      <c r="W13421" t="s">
        <v>43017</v>
      </c>
      <c r="X13421" t="s">
        <v>43188</v>
      </c>
    </row>
    <row r="13422" spans="1:24">
      <c r="A13422">
        <f>HYPERLINK("https://www.philgeps.gov.ph/GEPSNONPILOT/Tender/SplashBidNoticeAbstractUI.aspx?menuIndex=3&amp;refID=7046227&amp;Result=3","7046227")</f>
        <v>0</v>
      </c>
      <c r="B13422" t="s">
        <v>2711</v>
      </c>
      <c r="C13422" t="s">
        <v>16265</v>
      </c>
      <c r="D13422" t="s">
        <v>17450</v>
      </c>
      <c r="E13422" t="s">
        <v>28978</v>
      </c>
      <c r="F13422" t="s">
        <v>30052</v>
      </c>
      <c r="G13422" t="s">
        <v>30058</v>
      </c>
      <c r="H13422" t="s">
        <v>30067</v>
      </c>
      <c r="I13422" t="s">
        <v>3693</v>
      </c>
      <c r="J13422" t="s">
        <v>38328</v>
      </c>
      <c r="K13422" t="s">
        <v>39069</v>
      </c>
      <c r="M13422" t="s">
        <v>43009</v>
      </c>
      <c r="N13422" t="s">
        <v>43166</v>
      </c>
      <c r="O13422" t="s">
        <v>43167</v>
      </c>
      <c r="P13422">
        <v>0</v>
      </c>
      <c r="Q13422">
        <v>2</v>
      </c>
      <c r="R13422" t="s">
        <v>43187</v>
      </c>
      <c r="S13422" t="s">
        <v>44147</v>
      </c>
      <c r="T13422" t="s">
        <v>44856</v>
      </c>
      <c r="U13422" t="s">
        <v>55815</v>
      </c>
      <c r="W13422" t="s">
        <v>43011</v>
      </c>
      <c r="X13422" t="s">
        <v>43189</v>
      </c>
    </row>
    <row r="13423" spans="1:24">
      <c r="A13423">
        <f>HYPERLINK("https://www.philgeps.gov.ph/GEPSNONPILOT/Tender/SplashBidNoticeAbstractUI.aspx?menuIndex=3&amp;refID=7047511&amp;Result=3","7047511")</f>
        <v>0</v>
      </c>
      <c r="B13423" t="s">
        <v>3366</v>
      </c>
      <c r="C13423" t="s">
        <v>16266</v>
      </c>
      <c r="D13423" t="s">
        <v>17449</v>
      </c>
      <c r="E13423" t="s">
        <v>28979</v>
      </c>
      <c r="F13423" t="s">
        <v>30052</v>
      </c>
      <c r="G13423" t="s">
        <v>30058</v>
      </c>
      <c r="H13423" t="s">
        <v>15498</v>
      </c>
      <c r="I13423" t="s">
        <v>30153</v>
      </c>
      <c r="J13423" t="s">
        <v>31684</v>
      </c>
      <c r="K13423" t="s">
        <v>39036</v>
      </c>
      <c r="M13423" t="s">
        <v>43017</v>
      </c>
      <c r="N13423" t="s">
        <v>43166</v>
      </c>
      <c r="O13423" t="s">
        <v>43167</v>
      </c>
      <c r="P13423">
        <v>0</v>
      </c>
      <c r="Q13423">
        <v>11</v>
      </c>
      <c r="R13423" t="s">
        <v>43187</v>
      </c>
      <c r="S13423" t="s">
        <v>44147</v>
      </c>
      <c r="T13423" t="s">
        <v>44685</v>
      </c>
      <c r="U13423" t="s">
        <v>55859</v>
      </c>
      <c r="W13423" t="s">
        <v>43017</v>
      </c>
      <c r="X13423" t="s">
        <v>43188</v>
      </c>
    </row>
    <row r="13424" spans="1:24">
      <c r="A13424">
        <f>HYPERLINK("https://www.philgeps.gov.ph/GEPSNONPILOT/Tender/SplashBidNoticeAbstractUI.aspx?menuIndex=3&amp;refID=7047473&amp;Result=3","7047473")</f>
        <v>0</v>
      </c>
      <c r="B13424" t="s">
        <v>2059</v>
      </c>
      <c r="C13424" t="s">
        <v>16267</v>
      </c>
      <c r="D13424" t="s">
        <v>17432</v>
      </c>
      <c r="E13424" t="s">
        <v>28980</v>
      </c>
      <c r="F13424" t="s">
        <v>30052</v>
      </c>
      <c r="G13424" t="s">
        <v>30058</v>
      </c>
      <c r="H13424" t="s">
        <v>30067</v>
      </c>
      <c r="I13424" t="s">
        <v>3736</v>
      </c>
      <c r="J13424" t="s">
        <v>38329</v>
      </c>
      <c r="K13424" t="s">
        <v>39022</v>
      </c>
      <c r="M13424" t="s">
        <v>41516</v>
      </c>
      <c r="N13424" t="s">
        <v>43166</v>
      </c>
      <c r="O13424" t="s">
        <v>43167</v>
      </c>
      <c r="Q13424">
        <v>6</v>
      </c>
      <c r="R13424" t="s">
        <v>43187</v>
      </c>
      <c r="S13424" t="s">
        <v>44159</v>
      </c>
      <c r="T13424" t="s">
        <v>44969</v>
      </c>
      <c r="U13424" t="s">
        <v>55860</v>
      </c>
      <c r="V13424" t="s">
        <v>58434</v>
      </c>
      <c r="W13424" t="s">
        <v>41516</v>
      </c>
      <c r="X13424" t="s">
        <v>43188</v>
      </c>
    </row>
    <row r="13425" spans="1:24">
      <c r="A13425">
        <f>HYPERLINK("https://www.philgeps.gov.ph/GEPSNONPILOT/Tender/SplashBidNoticeAbstractUI.aspx?menuIndex=3&amp;refID=7047458&amp;Result=3","7047458")</f>
        <v>0</v>
      </c>
      <c r="B13425" t="s">
        <v>3030</v>
      </c>
      <c r="C13425" t="s">
        <v>16268</v>
      </c>
      <c r="D13425" t="s">
        <v>17468</v>
      </c>
      <c r="E13425" t="s">
        <v>28981</v>
      </c>
      <c r="F13425" t="s">
        <v>30052</v>
      </c>
      <c r="G13425" t="s">
        <v>30058</v>
      </c>
      <c r="H13425" t="s">
        <v>15498</v>
      </c>
      <c r="I13425" t="s">
        <v>30114</v>
      </c>
      <c r="J13425" t="s">
        <v>30903</v>
      </c>
      <c r="K13425" t="s">
        <v>39019</v>
      </c>
      <c r="M13425" t="s">
        <v>42608</v>
      </c>
      <c r="N13425" t="s">
        <v>43166</v>
      </c>
      <c r="O13425" t="s">
        <v>43167</v>
      </c>
      <c r="P13425">
        <v>0</v>
      </c>
      <c r="Q13425">
        <v>3</v>
      </c>
      <c r="R13425" t="s">
        <v>43187</v>
      </c>
      <c r="S13425" t="s">
        <v>44147</v>
      </c>
      <c r="T13425" t="s">
        <v>44856</v>
      </c>
      <c r="U13425" t="s">
        <v>55861</v>
      </c>
      <c r="W13425" t="s">
        <v>42608</v>
      </c>
      <c r="X13425" t="s">
        <v>43188</v>
      </c>
    </row>
    <row r="13426" spans="1:24">
      <c r="A13426">
        <f>HYPERLINK("https://www.philgeps.gov.ph/GEPSNONPILOT/Tender/SplashBidNoticeAbstractUI.aspx?menuIndex=3&amp;refID=7047451&amp;Result=3","7047451")</f>
        <v>0</v>
      </c>
      <c r="B13426" t="s">
        <v>42</v>
      </c>
      <c r="C13426" t="s">
        <v>16269</v>
      </c>
      <c r="D13426" t="s">
        <v>17425</v>
      </c>
      <c r="E13426" t="s">
        <v>28982</v>
      </c>
      <c r="F13426" t="s">
        <v>30052</v>
      </c>
      <c r="G13426" t="s">
        <v>30058</v>
      </c>
      <c r="H13426" t="s">
        <v>30067</v>
      </c>
      <c r="I13426" t="s">
        <v>3693</v>
      </c>
      <c r="J13426" t="s">
        <v>31613</v>
      </c>
      <c r="K13426" t="s">
        <v>39074</v>
      </c>
      <c r="M13426" t="s">
        <v>39332</v>
      </c>
      <c r="N13426" t="s">
        <v>43166</v>
      </c>
      <c r="O13426" t="s">
        <v>43167</v>
      </c>
      <c r="P13426">
        <v>0</v>
      </c>
      <c r="Q13426">
        <v>0</v>
      </c>
      <c r="R13426" t="s">
        <v>43187</v>
      </c>
      <c r="S13426" t="s">
        <v>44147</v>
      </c>
      <c r="T13426" t="s">
        <v>44696</v>
      </c>
      <c r="U13426" t="s">
        <v>55862</v>
      </c>
      <c r="W13426" t="s">
        <v>39332</v>
      </c>
      <c r="X13426" t="s">
        <v>43188</v>
      </c>
    </row>
    <row r="13427" spans="1:24">
      <c r="A13427">
        <f>HYPERLINK("https://www.philgeps.gov.ph/GEPSNONPILOT/Tender/SplashBidNoticeAbstractUI.aspx?menuIndex=3&amp;refID=7047447&amp;Result=3","7047447")</f>
        <v>0</v>
      </c>
      <c r="B13427" t="s">
        <v>50</v>
      </c>
      <c r="C13427" t="s">
        <v>16270</v>
      </c>
      <c r="D13427" t="s">
        <v>17433</v>
      </c>
      <c r="E13427" t="s">
        <v>28983</v>
      </c>
      <c r="F13427" t="s">
        <v>30052</v>
      </c>
      <c r="G13427" t="s">
        <v>30058</v>
      </c>
      <c r="H13427" t="s">
        <v>30067</v>
      </c>
      <c r="I13427" t="s">
        <v>3693</v>
      </c>
      <c r="J13427" t="s">
        <v>38330</v>
      </c>
      <c r="K13427" t="s">
        <v>39057</v>
      </c>
      <c r="M13427" t="s">
        <v>40640</v>
      </c>
      <c r="N13427" t="s">
        <v>43166</v>
      </c>
      <c r="O13427" t="s">
        <v>43167</v>
      </c>
      <c r="P13427">
        <v>0</v>
      </c>
      <c r="Q13427">
        <v>0</v>
      </c>
      <c r="R13427" t="s">
        <v>43187</v>
      </c>
      <c r="S13427" t="s">
        <v>44147</v>
      </c>
      <c r="T13427" t="s">
        <v>44844</v>
      </c>
      <c r="U13427" t="s">
        <v>55838</v>
      </c>
      <c r="W13427" t="s">
        <v>40640</v>
      </c>
      <c r="X13427" t="s">
        <v>43188</v>
      </c>
    </row>
    <row r="13428" spans="1:24">
      <c r="A13428">
        <f>HYPERLINK("https://www.philgeps.gov.ph/GEPSNONPILOT/Tender/SplashBidNoticeAbstractUI.aspx?menuIndex=3&amp;refID=7047826&amp;Result=3","7047826")</f>
        <v>0</v>
      </c>
      <c r="B13428" t="s">
        <v>3367</v>
      </c>
      <c r="C13428" t="s">
        <v>16271</v>
      </c>
      <c r="D13428" t="s">
        <v>17432</v>
      </c>
      <c r="E13428" t="s">
        <v>28984</v>
      </c>
      <c r="F13428" t="s">
        <v>30052</v>
      </c>
      <c r="G13428" t="s">
        <v>30058</v>
      </c>
      <c r="H13428" t="s">
        <v>15498</v>
      </c>
      <c r="I13428" t="s">
        <v>3736</v>
      </c>
      <c r="J13428" t="s">
        <v>38331</v>
      </c>
      <c r="K13428" t="s">
        <v>39025</v>
      </c>
      <c r="M13428" t="s">
        <v>43018</v>
      </c>
      <c r="N13428" t="s">
        <v>43166</v>
      </c>
      <c r="O13428" t="s">
        <v>43167</v>
      </c>
      <c r="P13428">
        <v>0</v>
      </c>
      <c r="Q13428">
        <v>5</v>
      </c>
      <c r="R13428" t="s">
        <v>43187</v>
      </c>
      <c r="S13428" t="s">
        <v>44147</v>
      </c>
      <c r="T13428" t="s">
        <v>44717</v>
      </c>
      <c r="U13428" t="s">
        <v>55863</v>
      </c>
      <c r="V13428" t="s">
        <v>58115</v>
      </c>
      <c r="W13428" t="s">
        <v>43018</v>
      </c>
      <c r="X13428" t="s">
        <v>43188</v>
      </c>
    </row>
    <row r="13429" spans="1:24">
      <c r="A13429">
        <f>HYPERLINK("https://www.philgeps.gov.ph/GEPSNONPILOT/Tender/SplashBidNoticeAbstractUI.aspx?menuIndex=3&amp;refID=7047823&amp;Result=3","7047823")</f>
        <v>0</v>
      </c>
      <c r="B13429" t="s">
        <v>3339</v>
      </c>
      <c r="C13429" t="s">
        <v>16272</v>
      </c>
      <c r="D13429" t="s">
        <v>17458</v>
      </c>
      <c r="E13429" t="s">
        <v>28985</v>
      </c>
      <c r="F13429" t="s">
        <v>30052</v>
      </c>
      <c r="G13429" t="s">
        <v>30058</v>
      </c>
      <c r="H13429" t="s">
        <v>15498</v>
      </c>
      <c r="I13429" t="s">
        <v>30075</v>
      </c>
      <c r="J13429" t="s">
        <v>30277</v>
      </c>
      <c r="K13429" t="s">
        <v>39029</v>
      </c>
      <c r="M13429" t="s">
        <v>42982</v>
      </c>
      <c r="N13429" t="s">
        <v>43166</v>
      </c>
      <c r="O13429" t="s">
        <v>43167</v>
      </c>
      <c r="P13429">
        <v>0</v>
      </c>
      <c r="Q13429">
        <v>7</v>
      </c>
      <c r="R13429" t="s">
        <v>43187</v>
      </c>
      <c r="S13429" t="s">
        <v>44147</v>
      </c>
      <c r="T13429" t="s">
        <v>44710</v>
      </c>
      <c r="U13429" t="s">
        <v>55864</v>
      </c>
      <c r="W13429" t="s">
        <v>42982</v>
      </c>
      <c r="X13429" t="s">
        <v>43188</v>
      </c>
    </row>
    <row r="13430" spans="1:24">
      <c r="A13430">
        <f>HYPERLINK("https://www.philgeps.gov.ph/GEPSNONPILOT/Tender/SplashBidNoticeAbstractUI.aspx?menuIndex=3&amp;refID=7047338&amp;Result=3","7047338")</f>
        <v>0</v>
      </c>
      <c r="B13430" t="s">
        <v>3368</v>
      </c>
      <c r="C13430" t="s">
        <v>16273</v>
      </c>
      <c r="D13430" t="s">
        <v>17431</v>
      </c>
      <c r="E13430" t="s">
        <v>28986</v>
      </c>
      <c r="F13430" t="s">
        <v>30052</v>
      </c>
      <c r="G13430" t="s">
        <v>30058</v>
      </c>
      <c r="H13430" t="s">
        <v>15498</v>
      </c>
      <c r="I13430" t="s">
        <v>30129</v>
      </c>
      <c r="J13430" t="s">
        <v>38332</v>
      </c>
      <c r="K13430" t="s">
        <v>39023</v>
      </c>
      <c r="M13430" t="s">
        <v>43019</v>
      </c>
      <c r="N13430" t="s">
        <v>43166</v>
      </c>
      <c r="O13430" t="s">
        <v>43167</v>
      </c>
      <c r="P13430">
        <v>0</v>
      </c>
      <c r="Q13430">
        <v>4</v>
      </c>
      <c r="R13430" t="s">
        <v>43187</v>
      </c>
      <c r="S13430" t="s">
        <v>44147</v>
      </c>
      <c r="T13430" t="s">
        <v>44704</v>
      </c>
      <c r="U13430" t="s">
        <v>55865</v>
      </c>
      <c r="W13430" t="s">
        <v>43019</v>
      </c>
      <c r="X13430" t="s">
        <v>43188</v>
      </c>
    </row>
    <row r="13431" spans="1:24">
      <c r="A13431">
        <f>HYPERLINK("https://www.philgeps.gov.ph/GEPSNONPILOT/Tender/SplashBidNoticeAbstractUI.aspx?menuIndex=3&amp;refID=7047494&amp;Result=3","7047494")</f>
        <v>0</v>
      </c>
      <c r="B13431" t="s">
        <v>1429</v>
      </c>
      <c r="C13431" t="s">
        <v>16274</v>
      </c>
      <c r="D13431" t="s">
        <v>17432</v>
      </c>
      <c r="E13431" t="s">
        <v>28987</v>
      </c>
      <c r="F13431" t="s">
        <v>30052</v>
      </c>
      <c r="G13431" t="s">
        <v>30058</v>
      </c>
      <c r="H13431" t="s">
        <v>15498</v>
      </c>
      <c r="I13431" t="s">
        <v>4650</v>
      </c>
      <c r="J13431" t="s">
        <v>31531</v>
      </c>
      <c r="K13431" t="s">
        <v>39029</v>
      </c>
      <c r="M13431" t="s">
        <v>41690</v>
      </c>
      <c r="N13431" t="s">
        <v>43166</v>
      </c>
      <c r="O13431" t="s">
        <v>43167</v>
      </c>
      <c r="Q13431">
        <v>24</v>
      </c>
      <c r="R13431" t="s">
        <v>43187</v>
      </c>
      <c r="S13431" t="s">
        <v>44160</v>
      </c>
      <c r="T13431" t="s">
        <v>44717</v>
      </c>
      <c r="U13431" t="s">
        <v>55866</v>
      </c>
      <c r="W13431" t="s">
        <v>41690</v>
      </c>
      <c r="X13431" t="s">
        <v>43188</v>
      </c>
    </row>
    <row r="13432" spans="1:24">
      <c r="A13432">
        <f>HYPERLINK("https://www.philgeps.gov.ph/GEPSNONPILOT/Tender/SplashBidNoticeAbstractUI.aspx?menuIndex=3&amp;refID=7047822&amp;Result=3","7047822")</f>
        <v>0</v>
      </c>
      <c r="B13432" t="s">
        <v>1666</v>
      </c>
      <c r="C13432" t="s">
        <v>16275</v>
      </c>
      <c r="D13432" t="s">
        <v>17459</v>
      </c>
      <c r="E13432" t="s">
        <v>28988</v>
      </c>
      <c r="F13432" t="s">
        <v>30052</v>
      </c>
      <c r="G13432" t="s">
        <v>30058</v>
      </c>
      <c r="H13432" t="s">
        <v>15498</v>
      </c>
      <c r="I13432" t="s">
        <v>3736</v>
      </c>
      <c r="J13432" t="s">
        <v>38333</v>
      </c>
      <c r="K13432" t="s">
        <v>39019</v>
      </c>
      <c r="M13432" t="s">
        <v>41072</v>
      </c>
      <c r="N13432" t="s">
        <v>43166</v>
      </c>
      <c r="O13432" t="s">
        <v>43167</v>
      </c>
      <c r="P13432">
        <v>0</v>
      </c>
      <c r="Q13432">
        <v>4</v>
      </c>
      <c r="R13432" t="s">
        <v>43187</v>
      </c>
      <c r="S13432" t="s">
        <v>44147</v>
      </c>
      <c r="T13432" t="s">
        <v>44806</v>
      </c>
      <c r="U13432" t="s">
        <v>55867</v>
      </c>
      <c r="W13432" t="s">
        <v>41072</v>
      </c>
      <c r="X13432" t="s">
        <v>43188</v>
      </c>
    </row>
    <row r="13433" spans="1:24">
      <c r="A13433">
        <f>HYPERLINK("https://www.philgeps.gov.ph/GEPSNONPILOT/Tender/SplashBidNoticeAbstractUI.aspx?menuIndex=3&amp;refID=7047479&amp;Result=3","7047479")</f>
        <v>0</v>
      </c>
      <c r="B13433" t="s">
        <v>50</v>
      </c>
      <c r="C13433" t="s">
        <v>16276</v>
      </c>
      <c r="D13433" t="s">
        <v>17433</v>
      </c>
      <c r="E13433" t="s">
        <v>28989</v>
      </c>
      <c r="F13433" t="s">
        <v>30052</v>
      </c>
      <c r="G13433" t="s">
        <v>30058</v>
      </c>
      <c r="H13433" t="s">
        <v>30067</v>
      </c>
      <c r="I13433" t="s">
        <v>3693</v>
      </c>
      <c r="J13433" t="s">
        <v>38334</v>
      </c>
      <c r="K13433" t="s">
        <v>39022</v>
      </c>
      <c r="M13433" t="s">
        <v>40640</v>
      </c>
      <c r="N13433" t="s">
        <v>43166</v>
      </c>
      <c r="O13433" t="s">
        <v>43167</v>
      </c>
      <c r="P13433">
        <v>0</v>
      </c>
      <c r="Q13433">
        <v>0</v>
      </c>
      <c r="R13433" t="s">
        <v>43187</v>
      </c>
      <c r="S13433" t="s">
        <v>44147</v>
      </c>
      <c r="T13433" t="s">
        <v>44844</v>
      </c>
      <c r="U13433" t="s">
        <v>55838</v>
      </c>
      <c r="W13433" t="s">
        <v>40640</v>
      </c>
      <c r="X13433" t="s">
        <v>43188</v>
      </c>
    </row>
    <row r="13434" spans="1:24">
      <c r="A13434">
        <f>HYPERLINK("https://www.philgeps.gov.ph/GEPSNONPILOT/Tender/SplashBidNoticeAbstractUI.aspx?menuIndex=3&amp;refID=7047777&amp;Result=3","7047777")</f>
        <v>0</v>
      </c>
      <c r="B13434" t="s">
        <v>1517</v>
      </c>
      <c r="C13434" t="s">
        <v>16277</v>
      </c>
      <c r="D13434" t="s">
        <v>17421</v>
      </c>
      <c r="E13434" t="s">
        <v>28990</v>
      </c>
      <c r="F13434" t="s">
        <v>30052</v>
      </c>
      <c r="G13434" t="s">
        <v>30058</v>
      </c>
      <c r="H13434" t="s">
        <v>15498</v>
      </c>
      <c r="I13434" t="s">
        <v>4650</v>
      </c>
      <c r="J13434" t="s">
        <v>38335</v>
      </c>
      <c r="K13434" t="s">
        <v>39023</v>
      </c>
      <c r="M13434" t="s">
        <v>41614</v>
      </c>
      <c r="N13434" t="s">
        <v>43166</v>
      </c>
      <c r="O13434" t="s">
        <v>43167</v>
      </c>
      <c r="P13434">
        <v>0</v>
      </c>
      <c r="Q13434">
        <v>10</v>
      </c>
      <c r="R13434" t="s">
        <v>43187</v>
      </c>
      <c r="S13434" t="s">
        <v>44147</v>
      </c>
      <c r="T13434" t="s">
        <v>45047</v>
      </c>
      <c r="U13434" t="s">
        <v>55868</v>
      </c>
      <c r="W13434" t="s">
        <v>41614</v>
      </c>
      <c r="X13434" t="s">
        <v>43188</v>
      </c>
    </row>
    <row r="13435" spans="1:24">
      <c r="A13435">
        <f>HYPERLINK("https://www.philgeps.gov.ph/GEPSNONPILOT/Tender/SplashBidNoticeAbstractUI.aspx?menuIndex=3&amp;refID=7047776&amp;Result=3","7047776")</f>
        <v>0</v>
      </c>
      <c r="B13435" t="s">
        <v>2465</v>
      </c>
      <c r="C13435" t="s">
        <v>16278</v>
      </c>
      <c r="D13435" t="s">
        <v>17442</v>
      </c>
      <c r="E13435" t="s">
        <v>28991</v>
      </c>
      <c r="F13435" t="s">
        <v>30052</v>
      </c>
      <c r="G13435" t="s">
        <v>30058</v>
      </c>
      <c r="H13435" t="s">
        <v>30067</v>
      </c>
      <c r="I13435" t="s">
        <v>3693</v>
      </c>
      <c r="J13435" t="s">
        <v>34507</v>
      </c>
      <c r="K13435" t="s">
        <v>39031</v>
      </c>
      <c r="M13435" t="s">
        <v>41964</v>
      </c>
      <c r="N13435" t="s">
        <v>43166</v>
      </c>
      <c r="O13435" t="s">
        <v>43167</v>
      </c>
      <c r="P13435">
        <v>0</v>
      </c>
      <c r="Q13435">
        <v>1</v>
      </c>
      <c r="R13435" t="s">
        <v>43187</v>
      </c>
      <c r="S13435" t="s">
        <v>44147</v>
      </c>
      <c r="T13435" t="s">
        <v>44734</v>
      </c>
      <c r="U13435" t="s">
        <v>55869</v>
      </c>
      <c r="W13435" t="s">
        <v>41964</v>
      </c>
      <c r="X13435" t="s">
        <v>43188</v>
      </c>
    </row>
    <row r="13436" spans="1:24">
      <c r="A13436">
        <f>HYPERLINK("https://www.philgeps.gov.ph/GEPSNONPILOT/Tender/SplashBidNoticeAbstractUI.aspx?menuIndex=3&amp;refID=7047816&amp;Result=3","7047816")</f>
        <v>0</v>
      </c>
      <c r="B13436" t="s">
        <v>3369</v>
      </c>
      <c r="C13436" t="s">
        <v>16279</v>
      </c>
      <c r="D13436" t="s">
        <v>17445</v>
      </c>
      <c r="E13436" t="s">
        <v>28992</v>
      </c>
      <c r="F13436" t="s">
        <v>30052</v>
      </c>
      <c r="G13436" t="s">
        <v>30058</v>
      </c>
      <c r="H13436" t="s">
        <v>30067</v>
      </c>
      <c r="I13436" t="s">
        <v>3693</v>
      </c>
      <c r="J13436" t="s">
        <v>30222</v>
      </c>
      <c r="K13436" t="s">
        <v>39032</v>
      </c>
      <c r="L13436" t="s">
        <v>3369</v>
      </c>
      <c r="M13436" t="s">
        <v>43020</v>
      </c>
      <c r="N13436" t="s">
        <v>43166</v>
      </c>
      <c r="O13436" t="s">
        <v>43167</v>
      </c>
      <c r="P13436">
        <v>0</v>
      </c>
      <c r="Q13436">
        <v>1</v>
      </c>
      <c r="R13436" t="s">
        <v>43187</v>
      </c>
      <c r="S13436" t="s">
        <v>44147</v>
      </c>
      <c r="T13436" t="s">
        <v>44832</v>
      </c>
      <c r="U13436" t="s">
        <v>55870</v>
      </c>
      <c r="W13436" t="s">
        <v>43020</v>
      </c>
      <c r="X13436" t="s">
        <v>43188</v>
      </c>
    </row>
    <row r="13437" spans="1:24">
      <c r="A13437">
        <f>HYPERLINK("https://www.philgeps.gov.ph/GEPSNONPILOT/Tender/SplashBidNoticeAbstractUI.aspx?menuIndex=3&amp;refID=7047754&amp;Result=3","7047754")</f>
        <v>0</v>
      </c>
      <c r="B13437" t="s">
        <v>2538</v>
      </c>
      <c r="C13437" t="s">
        <v>16280</v>
      </c>
      <c r="D13437" t="s">
        <v>17494</v>
      </c>
      <c r="E13437" t="s">
        <v>19271</v>
      </c>
      <c r="F13437" t="s">
        <v>30052</v>
      </c>
      <c r="G13437" t="s">
        <v>30058</v>
      </c>
      <c r="H13437" t="s">
        <v>15498</v>
      </c>
      <c r="I13437" t="s">
        <v>3736</v>
      </c>
      <c r="J13437" t="s">
        <v>38336</v>
      </c>
      <c r="K13437" t="s">
        <v>39029</v>
      </c>
      <c r="M13437" t="s">
        <v>42045</v>
      </c>
      <c r="N13437" t="s">
        <v>43166</v>
      </c>
      <c r="O13437" t="s">
        <v>43167</v>
      </c>
      <c r="P13437">
        <v>0</v>
      </c>
      <c r="Q13437">
        <v>1</v>
      </c>
      <c r="R13437" t="s">
        <v>43187</v>
      </c>
      <c r="S13437" t="s">
        <v>44147</v>
      </c>
      <c r="T13437" t="s">
        <v>44822</v>
      </c>
      <c r="U13437" t="s">
        <v>55871</v>
      </c>
      <c r="V13437" t="s">
        <v>58435</v>
      </c>
      <c r="W13437" t="s">
        <v>42045</v>
      </c>
      <c r="X13437" t="s">
        <v>43188</v>
      </c>
    </row>
    <row r="13438" spans="1:24">
      <c r="A13438">
        <f>HYPERLINK("https://www.philgeps.gov.ph/GEPSNONPILOT/Tender/SplashBidNoticeAbstractUI.aspx?menuIndex=3&amp;refID=7047787&amp;Result=3","7047787")</f>
        <v>0</v>
      </c>
      <c r="B13438" t="s">
        <v>1112</v>
      </c>
      <c r="C13438" t="s">
        <v>16281</v>
      </c>
      <c r="D13438" t="s">
        <v>17479</v>
      </c>
      <c r="E13438" t="s">
        <v>28993</v>
      </c>
      <c r="F13438" t="s">
        <v>30052</v>
      </c>
      <c r="G13438" t="s">
        <v>30058</v>
      </c>
      <c r="H13438" t="s">
        <v>15498</v>
      </c>
      <c r="I13438" t="s">
        <v>30100</v>
      </c>
      <c r="J13438" t="s">
        <v>38337</v>
      </c>
      <c r="K13438" t="s">
        <v>39029</v>
      </c>
      <c r="M13438" t="s">
        <v>40452</v>
      </c>
      <c r="N13438" t="s">
        <v>43166</v>
      </c>
      <c r="O13438" t="s">
        <v>43167</v>
      </c>
      <c r="P13438">
        <v>0</v>
      </c>
      <c r="Q13438">
        <v>1</v>
      </c>
      <c r="R13438" t="s">
        <v>43187</v>
      </c>
      <c r="S13438" t="s">
        <v>44147</v>
      </c>
      <c r="T13438" t="s">
        <v>44856</v>
      </c>
      <c r="U13438" t="s">
        <v>55872</v>
      </c>
      <c r="V13438" t="s">
        <v>58436</v>
      </c>
      <c r="W13438" t="s">
        <v>40452</v>
      </c>
      <c r="X13438" t="s">
        <v>43188</v>
      </c>
    </row>
    <row r="13439" spans="1:24">
      <c r="A13439">
        <f>HYPERLINK("https://www.philgeps.gov.ph/GEPSNONPILOT/Tender/SplashBidNoticeAbstractUI.aspx?menuIndex=3&amp;refID=7048039&amp;Result=3","7048039")</f>
        <v>0</v>
      </c>
      <c r="B13439" t="s">
        <v>501</v>
      </c>
      <c r="C13439" t="s">
        <v>16282</v>
      </c>
      <c r="E13439" t="s">
        <v>28994</v>
      </c>
      <c r="F13439" t="s">
        <v>30052</v>
      </c>
      <c r="G13439" t="s">
        <v>30059</v>
      </c>
      <c r="H13439" t="s">
        <v>15498</v>
      </c>
      <c r="I13439" t="s">
        <v>30118</v>
      </c>
      <c r="J13439" t="s">
        <v>34410</v>
      </c>
      <c r="K13439" t="s">
        <v>39025</v>
      </c>
      <c r="M13439" t="s">
        <v>39802</v>
      </c>
      <c r="N13439" t="s">
        <v>43166</v>
      </c>
      <c r="O13439" t="s">
        <v>43167</v>
      </c>
      <c r="Q13439">
        <v>15</v>
      </c>
      <c r="R13439" t="s">
        <v>43187</v>
      </c>
      <c r="S13439" t="s">
        <v>44161</v>
      </c>
      <c r="T13439" t="s">
        <v>44826</v>
      </c>
      <c r="U13439" t="s">
        <v>55873</v>
      </c>
      <c r="V13439" t="s">
        <v>58437</v>
      </c>
      <c r="W13439" t="s">
        <v>39802</v>
      </c>
      <c r="X13439" t="s">
        <v>43188</v>
      </c>
    </row>
    <row r="13440" spans="1:24">
      <c r="A13440">
        <f>HYPERLINK("https://www.philgeps.gov.ph/GEPSNONPILOT/Tender/SplashBidNoticeAbstractUI.aspx?menuIndex=3&amp;refID=7047812&amp;Result=3","7047812")</f>
        <v>0</v>
      </c>
      <c r="B13440" t="s">
        <v>3324</v>
      </c>
      <c r="C13440" t="s">
        <v>16283</v>
      </c>
      <c r="D13440" t="s">
        <v>17413</v>
      </c>
      <c r="E13440" t="s">
        <v>24659</v>
      </c>
      <c r="F13440" t="s">
        <v>30052</v>
      </c>
      <c r="G13440" t="s">
        <v>30058</v>
      </c>
      <c r="H13440" t="s">
        <v>30067</v>
      </c>
      <c r="I13440" t="s">
        <v>3693</v>
      </c>
      <c r="J13440" t="s">
        <v>31207</v>
      </c>
      <c r="K13440" t="s">
        <v>39218</v>
      </c>
      <c r="M13440" t="s">
        <v>42965</v>
      </c>
      <c r="N13440" t="s">
        <v>43166</v>
      </c>
      <c r="O13440" t="s">
        <v>43167</v>
      </c>
      <c r="P13440">
        <v>0</v>
      </c>
      <c r="Q13440">
        <v>1</v>
      </c>
      <c r="R13440" t="s">
        <v>43187</v>
      </c>
      <c r="S13440" t="s">
        <v>44147</v>
      </c>
      <c r="T13440" t="s">
        <v>44717</v>
      </c>
      <c r="U13440" t="s">
        <v>55874</v>
      </c>
      <c r="W13440" t="s">
        <v>42965</v>
      </c>
      <c r="X13440" t="s">
        <v>43188</v>
      </c>
    </row>
    <row r="13441" spans="1:24">
      <c r="A13441">
        <f>HYPERLINK("https://www.philgeps.gov.ph/GEPSNONPILOT/Tender/SplashBidNoticeAbstractUI.aspx?menuIndex=3&amp;refID=7047525&amp;Result=3","7047525")</f>
        <v>0</v>
      </c>
      <c r="B13441" t="s">
        <v>1372</v>
      </c>
      <c r="C13441" t="s">
        <v>16284</v>
      </c>
      <c r="D13441" t="s">
        <v>17424</v>
      </c>
      <c r="E13441" t="s">
        <v>28995</v>
      </c>
      <c r="F13441" t="s">
        <v>30052</v>
      </c>
      <c r="G13441" t="s">
        <v>30058</v>
      </c>
      <c r="H13441" t="s">
        <v>30067</v>
      </c>
      <c r="I13441" t="s">
        <v>3693</v>
      </c>
      <c r="J13441" t="s">
        <v>38338</v>
      </c>
      <c r="K13441" t="s">
        <v>39026</v>
      </c>
      <c r="M13441" t="s">
        <v>40744</v>
      </c>
      <c r="N13441" t="s">
        <v>43166</v>
      </c>
      <c r="O13441" t="s">
        <v>43167</v>
      </c>
      <c r="P13441">
        <v>0</v>
      </c>
      <c r="Q13441">
        <v>12</v>
      </c>
      <c r="R13441" t="s">
        <v>43187</v>
      </c>
      <c r="S13441" t="s">
        <v>44147</v>
      </c>
      <c r="T13441" t="s">
        <v>44717</v>
      </c>
      <c r="U13441" t="s">
        <v>48264</v>
      </c>
      <c r="W13441" t="s">
        <v>40744</v>
      </c>
      <c r="X13441" t="s">
        <v>43188</v>
      </c>
    </row>
    <row r="13442" spans="1:24">
      <c r="A13442">
        <f>HYPERLINK("https://www.philgeps.gov.ph/GEPSNONPILOT/Tender/SplashBidNoticeAbstractUI.aspx?menuIndex=3&amp;refID=7047806&amp;Result=3","7047806")</f>
        <v>0</v>
      </c>
      <c r="B13442" t="s">
        <v>608</v>
      </c>
      <c r="C13442" t="s">
        <v>16285</v>
      </c>
      <c r="D13442" t="s">
        <v>17449</v>
      </c>
      <c r="E13442" t="s">
        <v>28996</v>
      </c>
      <c r="F13442" t="s">
        <v>30052</v>
      </c>
      <c r="G13442" t="s">
        <v>30058</v>
      </c>
      <c r="H13442" t="s">
        <v>15498</v>
      </c>
      <c r="I13442" t="s">
        <v>30091</v>
      </c>
      <c r="J13442" t="s">
        <v>30212</v>
      </c>
      <c r="K13442" t="s">
        <v>39025</v>
      </c>
      <c r="M13442" t="s">
        <v>39910</v>
      </c>
      <c r="N13442" t="s">
        <v>43166</v>
      </c>
      <c r="O13442" t="s">
        <v>43167</v>
      </c>
      <c r="Q13442">
        <v>3</v>
      </c>
      <c r="R13442" t="s">
        <v>43187</v>
      </c>
      <c r="S13442" t="s">
        <v>44162</v>
      </c>
      <c r="T13442" t="s">
        <v>44862</v>
      </c>
      <c r="U13442" t="s">
        <v>55875</v>
      </c>
      <c r="W13442" t="s">
        <v>39910</v>
      </c>
      <c r="X13442" t="s">
        <v>43188</v>
      </c>
    </row>
    <row r="13443" spans="1:24">
      <c r="A13443">
        <f>HYPERLINK("https://www.philgeps.gov.ph/GEPSNONPILOT/Tender/SplashBidNoticeAbstractUI.aspx?menuIndex=3&amp;refID=7048012&amp;Result=3","7048012")</f>
        <v>0</v>
      </c>
      <c r="B13443" t="s">
        <v>1512</v>
      </c>
      <c r="C13443" t="s">
        <v>16286</v>
      </c>
      <c r="D13443" t="s">
        <v>17465</v>
      </c>
      <c r="E13443" t="s">
        <v>28997</v>
      </c>
      <c r="F13443" t="s">
        <v>30052</v>
      </c>
      <c r="G13443" t="s">
        <v>30058</v>
      </c>
      <c r="H13443" t="s">
        <v>15498</v>
      </c>
      <c r="I13443" t="s">
        <v>9238</v>
      </c>
      <c r="J13443" t="s">
        <v>33440</v>
      </c>
      <c r="K13443" t="s">
        <v>39025</v>
      </c>
      <c r="M13443" t="s">
        <v>40897</v>
      </c>
      <c r="N13443" t="s">
        <v>43166</v>
      </c>
      <c r="O13443" t="s">
        <v>43167</v>
      </c>
      <c r="P13443">
        <v>0</v>
      </c>
      <c r="Q13443">
        <v>26</v>
      </c>
      <c r="R13443" t="s">
        <v>43187</v>
      </c>
      <c r="S13443" t="s">
        <v>44147</v>
      </c>
      <c r="T13443" t="s">
        <v>44856</v>
      </c>
      <c r="U13443" t="s">
        <v>55876</v>
      </c>
      <c r="W13443" t="s">
        <v>40897</v>
      </c>
      <c r="X13443" t="s">
        <v>43188</v>
      </c>
    </row>
    <row r="13444" spans="1:24">
      <c r="A13444">
        <f>HYPERLINK("https://www.philgeps.gov.ph/GEPSNONPILOT/Tender/SplashBidNoticeAbstractUI.aspx?menuIndex=3&amp;refID=7047528&amp;Result=3","7047528")</f>
        <v>0</v>
      </c>
      <c r="B13444" t="s">
        <v>3363</v>
      </c>
      <c r="C13444" t="s">
        <v>16287</v>
      </c>
      <c r="D13444" t="s">
        <v>17456</v>
      </c>
      <c r="E13444" t="s">
        <v>28998</v>
      </c>
      <c r="F13444" t="s">
        <v>30052</v>
      </c>
      <c r="G13444" t="s">
        <v>30058</v>
      </c>
      <c r="H13444" t="s">
        <v>30067</v>
      </c>
      <c r="I13444" t="s">
        <v>3693</v>
      </c>
      <c r="J13444" t="s">
        <v>30297</v>
      </c>
      <c r="K13444" t="s">
        <v>39025</v>
      </c>
      <c r="L13444" t="s">
        <v>3363</v>
      </c>
      <c r="M13444" t="s">
        <v>43014</v>
      </c>
      <c r="N13444" t="s">
        <v>43166</v>
      </c>
      <c r="O13444" t="s">
        <v>43167</v>
      </c>
      <c r="P13444">
        <v>0</v>
      </c>
      <c r="Q13444">
        <v>1</v>
      </c>
      <c r="R13444" t="s">
        <v>43187</v>
      </c>
      <c r="S13444" t="s">
        <v>44147</v>
      </c>
      <c r="T13444" t="s">
        <v>44777</v>
      </c>
      <c r="U13444" t="s">
        <v>55848</v>
      </c>
      <c r="W13444" t="s">
        <v>43014</v>
      </c>
      <c r="X13444" t="s">
        <v>43188</v>
      </c>
    </row>
    <row r="13445" spans="1:24">
      <c r="A13445">
        <f>HYPERLINK("https://www.philgeps.gov.ph/GEPSNONPILOT/Tender/SplashBidNoticeAbstractUI.aspx?menuIndex=3&amp;refID=7047955&amp;Result=3","7047955")</f>
        <v>0</v>
      </c>
      <c r="B13445" t="s">
        <v>742</v>
      </c>
      <c r="C13445" t="s">
        <v>16288</v>
      </c>
      <c r="D13445" t="s">
        <v>17455</v>
      </c>
      <c r="E13445" t="s">
        <v>28999</v>
      </c>
      <c r="F13445" t="s">
        <v>30052</v>
      </c>
      <c r="G13445" t="s">
        <v>30058</v>
      </c>
      <c r="H13445" t="s">
        <v>30067</v>
      </c>
      <c r="I13445" t="s">
        <v>3693</v>
      </c>
      <c r="J13445" t="s">
        <v>38339</v>
      </c>
      <c r="K13445" t="s">
        <v>39031</v>
      </c>
      <c r="M13445" t="s">
        <v>40056</v>
      </c>
      <c r="N13445" t="s">
        <v>43166</v>
      </c>
      <c r="O13445" t="s">
        <v>43167</v>
      </c>
      <c r="P13445">
        <v>0</v>
      </c>
      <c r="Q13445">
        <v>0</v>
      </c>
      <c r="R13445" t="s">
        <v>43187</v>
      </c>
      <c r="S13445" t="s">
        <v>44147</v>
      </c>
      <c r="T13445" t="s">
        <v>44717</v>
      </c>
      <c r="U13445" t="s">
        <v>55877</v>
      </c>
      <c r="W13445" t="s">
        <v>58614</v>
      </c>
      <c r="X13445" t="s">
        <v>43188</v>
      </c>
    </row>
    <row r="13446" spans="1:24">
      <c r="A13446">
        <f>HYPERLINK("https://www.philgeps.gov.ph/GEPSNONPILOT/Tender/SplashBidNoticeAbstractUI.aspx?menuIndex=3&amp;refID=7047953&amp;Result=3","7047953")</f>
        <v>0</v>
      </c>
      <c r="B13446" t="s">
        <v>2276</v>
      </c>
      <c r="C13446" t="s">
        <v>16289</v>
      </c>
      <c r="D13446" t="s">
        <v>17459</v>
      </c>
      <c r="E13446" t="s">
        <v>29000</v>
      </c>
      <c r="F13446" t="s">
        <v>30052</v>
      </c>
      <c r="G13446" t="s">
        <v>30058</v>
      </c>
      <c r="H13446" t="s">
        <v>30067</v>
      </c>
      <c r="I13446" t="s">
        <v>3693</v>
      </c>
      <c r="J13446" t="s">
        <v>37390</v>
      </c>
      <c r="K13446" t="s">
        <v>39031</v>
      </c>
      <c r="M13446" t="s">
        <v>41757</v>
      </c>
      <c r="N13446" t="s">
        <v>43166</v>
      </c>
      <c r="O13446" t="s">
        <v>43167</v>
      </c>
      <c r="P13446">
        <v>0</v>
      </c>
      <c r="Q13446">
        <v>1</v>
      </c>
      <c r="R13446" t="s">
        <v>43187</v>
      </c>
      <c r="S13446" t="s">
        <v>44147</v>
      </c>
      <c r="T13446" t="s">
        <v>44832</v>
      </c>
      <c r="U13446" t="s">
        <v>55878</v>
      </c>
      <c r="V13446" t="s">
        <v>58438</v>
      </c>
      <c r="W13446" t="s">
        <v>41757</v>
      </c>
      <c r="X13446" t="s">
        <v>43188</v>
      </c>
    </row>
    <row r="13447" spans="1:24">
      <c r="A13447">
        <f>HYPERLINK("https://www.philgeps.gov.ph/GEPSNONPILOT/Tender/SplashBidNoticeAbstractUI.aspx?menuIndex=3&amp;refID=7047937&amp;Result=3","7047937")</f>
        <v>0</v>
      </c>
      <c r="B13447" t="s">
        <v>3367</v>
      </c>
      <c r="C13447" t="s">
        <v>16290</v>
      </c>
      <c r="D13447" t="s">
        <v>17432</v>
      </c>
      <c r="E13447" t="s">
        <v>29001</v>
      </c>
      <c r="F13447" t="s">
        <v>30052</v>
      </c>
      <c r="G13447" t="s">
        <v>30058</v>
      </c>
      <c r="H13447" t="s">
        <v>15498</v>
      </c>
      <c r="I13447" t="s">
        <v>3736</v>
      </c>
      <c r="J13447" t="s">
        <v>38340</v>
      </c>
      <c r="K13447" t="s">
        <v>39025</v>
      </c>
      <c r="M13447" t="s">
        <v>43018</v>
      </c>
      <c r="N13447" t="s">
        <v>43166</v>
      </c>
      <c r="O13447" t="s">
        <v>43167</v>
      </c>
      <c r="P13447">
        <v>0</v>
      </c>
      <c r="Q13447">
        <v>2</v>
      </c>
      <c r="R13447" t="s">
        <v>43187</v>
      </c>
      <c r="S13447" t="s">
        <v>44147</v>
      </c>
      <c r="T13447" t="s">
        <v>44717</v>
      </c>
      <c r="U13447" t="s">
        <v>55879</v>
      </c>
      <c r="V13447" t="s">
        <v>58115</v>
      </c>
      <c r="W13447" t="s">
        <v>43018</v>
      </c>
      <c r="X13447" t="s">
        <v>43188</v>
      </c>
    </row>
    <row r="13448" spans="1:24">
      <c r="A13448">
        <f>HYPERLINK("https://www.philgeps.gov.ph/GEPSNONPILOT/Tender/SplashBidNoticeAbstractUI.aspx?menuIndex=3&amp;refID=7048017&amp;Result=3","7048017")</f>
        <v>0</v>
      </c>
      <c r="B13448" t="s">
        <v>208</v>
      </c>
      <c r="C13448" t="s">
        <v>16291</v>
      </c>
      <c r="D13448" t="s">
        <v>17415</v>
      </c>
      <c r="E13448" t="s">
        <v>29002</v>
      </c>
      <c r="F13448" t="s">
        <v>30052</v>
      </c>
      <c r="G13448" t="s">
        <v>30058</v>
      </c>
      <c r="H13448" t="s">
        <v>15498</v>
      </c>
      <c r="I13448" t="s">
        <v>30084</v>
      </c>
      <c r="J13448" t="s">
        <v>38341</v>
      </c>
      <c r="K13448" t="s">
        <v>39025</v>
      </c>
      <c r="M13448" t="s">
        <v>40867</v>
      </c>
      <c r="N13448" t="s">
        <v>43166</v>
      </c>
      <c r="O13448" t="s">
        <v>43167</v>
      </c>
      <c r="Q13448">
        <v>40</v>
      </c>
      <c r="R13448" t="s">
        <v>43187</v>
      </c>
      <c r="S13448" t="s">
        <v>43607</v>
      </c>
      <c r="T13448" t="s">
        <v>44753</v>
      </c>
      <c r="U13448" t="s">
        <v>55880</v>
      </c>
      <c r="W13448" t="s">
        <v>40867</v>
      </c>
      <c r="X13448" t="s">
        <v>43188</v>
      </c>
    </row>
    <row r="13449" spans="1:24">
      <c r="A13449">
        <f>HYPERLINK("https://www.philgeps.gov.ph/GEPSNONPILOT/Tender/SplashBidNoticeAbstractUI.aspx?menuIndex=3&amp;refID=7047934&amp;Result=3","7047934")</f>
        <v>0</v>
      </c>
      <c r="B13449" t="s">
        <v>1432</v>
      </c>
      <c r="C13449" t="s">
        <v>16292</v>
      </c>
      <c r="D13449" t="s">
        <v>17417</v>
      </c>
      <c r="E13449" t="s">
        <v>29003</v>
      </c>
      <c r="F13449" t="s">
        <v>30052</v>
      </c>
      <c r="G13449" t="s">
        <v>30058</v>
      </c>
      <c r="H13449" t="s">
        <v>15498</v>
      </c>
      <c r="I13449" t="s">
        <v>30074</v>
      </c>
      <c r="J13449" t="s">
        <v>30532</v>
      </c>
      <c r="K13449" t="s">
        <v>39046</v>
      </c>
      <c r="M13449" t="s">
        <v>40810</v>
      </c>
      <c r="N13449" t="s">
        <v>43166</v>
      </c>
      <c r="O13449" t="s">
        <v>43167</v>
      </c>
      <c r="P13449">
        <v>0</v>
      </c>
      <c r="Q13449">
        <v>5</v>
      </c>
      <c r="R13449" t="s">
        <v>43187</v>
      </c>
      <c r="S13449" t="s">
        <v>44147</v>
      </c>
      <c r="T13449" t="s">
        <v>44856</v>
      </c>
      <c r="U13449" t="s">
        <v>55881</v>
      </c>
      <c r="W13449" t="s">
        <v>40810</v>
      </c>
      <c r="X13449" t="s">
        <v>43188</v>
      </c>
    </row>
    <row r="13450" spans="1:24">
      <c r="A13450">
        <f>HYPERLINK("https://www.philgeps.gov.ph/GEPSNONPILOT/Tender/SplashBidNoticeAbstractUI.aspx?menuIndex=3&amp;refID=7047929&amp;Result=3","7047929")</f>
        <v>0</v>
      </c>
      <c r="B13450" t="s">
        <v>2956</v>
      </c>
      <c r="C13450" t="s">
        <v>16293</v>
      </c>
      <c r="D13450" t="s">
        <v>17450</v>
      </c>
      <c r="E13450" t="s">
        <v>29004</v>
      </c>
      <c r="F13450" t="s">
        <v>30052</v>
      </c>
      <c r="G13450" t="s">
        <v>30058</v>
      </c>
      <c r="H13450" t="s">
        <v>15498</v>
      </c>
      <c r="I13450" t="s">
        <v>30127</v>
      </c>
      <c r="J13450" t="s">
        <v>38342</v>
      </c>
      <c r="K13450" t="s">
        <v>39025</v>
      </c>
      <c r="M13450" t="s">
        <v>42521</v>
      </c>
      <c r="N13450" t="s">
        <v>43166</v>
      </c>
      <c r="O13450" t="s">
        <v>43167</v>
      </c>
      <c r="P13450">
        <v>0</v>
      </c>
      <c r="Q13450">
        <v>0</v>
      </c>
      <c r="R13450" t="s">
        <v>43187</v>
      </c>
      <c r="S13450" t="s">
        <v>44147</v>
      </c>
      <c r="T13450" t="s">
        <v>44804</v>
      </c>
      <c r="U13450" t="s">
        <v>55882</v>
      </c>
      <c r="W13450" t="s">
        <v>42521</v>
      </c>
      <c r="X13450" t="s">
        <v>43188</v>
      </c>
    </row>
    <row r="13451" spans="1:24">
      <c r="A13451">
        <f>HYPERLINK("https://www.philgeps.gov.ph/GEPSNONPILOT/Tender/SplashBidNoticeAbstractUI.aspx?menuIndex=3&amp;refID=7047982&amp;Result=3","7047982")</f>
        <v>0</v>
      </c>
      <c r="B13451" t="s">
        <v>3367</v>
      </c>
      <c r="C13451" t="s">
        <v>16294</v>
      </c>
      <c r="D13451" t="s">
        <v>17432</v>
      </c>
      <c r="E13451" t="s">
        <v>29005</v>
      </c>
      <c r="F13451" t="s">
        <v>30052</v>
      </c>
      <c r="G13451" t="s">
        <v>30058</v>
      </c>
      <c r="H13451" t="s">
        <v>15498</v>
      </c>
      <c r="I13451" t="s">
        <v>3736</v>
      </c>
      <c r="J13451" t="s">
        <v>38343</v>
      </c>
      <c r="K13451" t="s">
        <v>39025</v>
      </c>
      <c r="M13451" t="s">
        <v>43018</v>
      </c>
      <c r="N13451" t="s">
        <v>43166</v>
      </c>
      <c r="O13451" t="s">
        <v>43167</v>
      </c>
      <c r="P13451">
        <v>0</v>
      </c>
      <c r="Q13451">
        <v>4</v>
      </c>
      <c r="R13451" t="s">
        <v>43187</v>
      </c>
      <c r="S13451" t="s">
        <v>44147</v>
      </c>
      <c r="T13451" t="s">
        <v>44859</v>
      </c>
      <c r="U13451" t="s">
        <v>55883</v>
      </c>
      <c r="V13451" t="s">
        <v>58115</v>
      </c>
      <c r="W13451" t="s">
        <v>43018</v>
      </c>
      <c r="X13451" t="s">
        <v>43188</v>
      </c>
    </row>
    <row r="13452" spans="1:24">
      <c r="A13452">
        <f>HYPERLINK("https://www.philgeps.gov.ph/GEPSNONPILOT/Tender/SplashBidNoticeAbstractUI.aspx?menuIndex=3&amp;refID=7047550&amp;Result=3","7047550")</f>
        <v>0</v>
      </c>
      <c r="B13452" t="s">
        <v>1517</v>
      </c>
      <c r="C13452" t="s">
        <v>16295</v>
      </c>
      <c r="D13452" t="s">
        <v>17421</v>
      </c>
      <c r="E13452" t="s">
        <v>29006</v>
      </c>
      <c r="F13452" t="s">
        <v>30052</v>
      </c>
      <c r="G13452" t="s">
        <v>30058</v>
      </c>
      <c r="H13452" t="s">
        <v>30067</v>
      </c>
      <c r="I13452" t="s">
        <v>3736</v>
      </c>
      <c r="J13452" t="s">
        <v>38344</v>
      </c>
      <c r="K13452" t="s">
        <v>39031</v>
      </c>
      <c r="M13452" t="s">
        <v>41614</v>
      </c>
      <c r="N13452" t="s">
        <v>43166</v>
      </c>
      <c r="O13452" t="s">
        <v>43167</v>
      </c>
      <c r="P13452">
        <v>0</v>
      </c>
      <c r="Q13452">
        <v>1</v>
      </c>
      <c r="R13452" t="s">
        <v>43187</v>
      </c>
      <c r="S13452" t="s">
        <v>44147</v>
      </c>
      <c r="T13452" t="s">
        <v>45047</v>
      </c>
      <c r="U13452" t="s">
        <v>55884</v>
      </c>
      <c r="W13452" t="s">
        <v>41614</v>
      </c>
      <c r="X13452" t="s">
        <v>43188</v>
      </c>
    </row>
    <row r="13453" spans="1:24">
      <c r="A13453">
        <f>HYPERLINK("https://www.philgeps.gov.ph/GEPSNONPILOT/Tender/SplashBidNoticeAbstractUI.aspx?menuIndex=3&amp;refID=7047882&amp;Result=3","7047882")</f>
        <v>0</v>
      </c>
      <c r="B13453" t="s">
        <v>3370</v>
      </c>
      <c r="C13453" t="s">
        <v>16296</v>
      </c>
      <c r="D13453" t="s">
        <v>17459</v>
      </c>
      <c r="E13453" t="s">
        <v>29007</v>
      </c>
      <c r="F13453" t="s">
        <v>30055</v>
      </c>
      <c r="G13453" t="s">
        <v>30058</v>
      </c>
      <c r="H13453" t="s">
        <v>15498</v>
      </c>
      <c r="I13453" t="s">
        <v>3736</v>
      </c>
      <c r="J13453" t="s">
        <v>38345</v>
      </c>
      <c r="K13453" t="s">
        <v>39019</v>
      </c>
      <c r="M13453" t="s">
        <v>43021</v>
      </c>
      <c r="N13453" t="s">
        <v>43166</v>
      </c>
      <c r="O13453" t="s">
        <v>43167</v>
      </c>
      <c r="P13453">
        <v>0</v>
      </c>
      <c r="Q13453">
        <v>0</v>
      </c>
      <c r="R13453" t="s">
        <v>43187</v>
      </c>
      <c r="S13453" t="s">
        <v>44147</v>
      </c>
      <c r="T13453" t="s">
        <v>44717</v>
      </c>
      <c r="U13453" t="s">
        <v>55885</v>
      </c>
      <c r="V13453" t="s">
        <v>58439</v>
      </c>
      <c r="W13453" t="s">
        <v>43021</v>
      </c>
      <c r="X13453" t="s">
        <v>43188</v>
      </c>
    </row>
    <row r="13454" spans="1:24">
      <c r="A13454">
        <f>HYPERLINK("https://www.philgeps.gov.ph/GEPSNONPILOT/Tender/SplashBidNoticeAbstractUI.aspx?menuIndex=3&amp;refID=7048035&amp;Result=3","7048035")</f>
        <v>0</v>
      </c>
      <c r="B13454" t="s">
        <v>3367</v>
      </c>
      <c r="C13454" t="s">
        <v>16297</v>
      </c>
      <c r="D13454" t="s">
        <v>17432</v>
      </c>
      <c r="E13454" t="s">
        <v>29008</v>
      </c>
      <c r="F13454" t="s">
        <v>30052</v>
      </c>
      <c r="G13454" t="s">
        <v>30058</v>
      </c>
      <c r="H13454" t="s">
        <v>15498</v>
      </c>
      <c r="I13454" t="s">
        <v>3736</v>
      </c>
      <c r="J13454" t="s">
        <v>38346</v>
      </c>
      <c r="K13454" t="s">
        <v>39025</v>
      </c>
      <c r="M13454" t="s">
        <v>43018</v>
      </c>
      <c r="N13454" t="s">
        <v>43166</v>
      </c>
      <c r="O13454" t="s">
        <v>43167</v>
      </c>
      <c r="P13454">
        <v>0</v>
      </c>
      <c r="Q13454">
        <v>4</v>
      </c>
      <c r="R13454" t="s">
        <v>43187</v>
      </c>
      <c r="S13454" t="s">
        <v>44147</v>
      </c>
      <c r="T13454" t="s">
        <v>44717</v>
      </c>
      <c r="U13454" t="s">
        <v>55886</v>
      </c>
      <c r="V13454" t="s">
        <v>58115</v>
      </c>
      <c r="W13454" t="s">
        <v>43018</v>
      </c>
      <c r="X13454" t="s">
        <v>43188</v>
      </c>
    </row>
    <row r="13455" spans="1:24">
      <c r="A13455">
        <f>HYPERLINK("https://www.philgeps.gov.ph/GEPSNONPILOT/Tender/SplashBidNoticeAbstractUI.aspx?menuIndex=3&amp;refID=7047870&amp;Result=3","7047870")</f>
        <v>0</v>
      </c>
      <c r="B13455" t="s">
        <v>742</v>
      </c>
      <c r="C13455" t="s">
        <v>16298</v>
      </c>
      <c r="D13455" t="s">
        <v>17455</v>
      </c>
      <c r="E13455" t="s">
        <v>29009</v>
      </c>
      <c r="F13455" t="s">
        <v>30052</v>
      </c>
      <c r="G13455" t="s">
        <v>30058</v>
      </c>
      <c r="H13455" t="s">
        <v>15498</v>
      </c>
      <c r="I13455" t="s">
        <v>3606</v>
      </c>
      <c r="J13455" t="s">
        <v>38347</v>
      </c>
      <c r="K13455" t="s">
        <v>39031</v>
      </c>
      <c r="M13455" t="s">
        <v>40056</v>
      </c>
      <c r="N13455" t="s">
        <v>43166</v>
      </c>
      <c r="O13455" t="s">
        <v>43167</v>
      </c>
      <c r="P13455">
        <v>0</v>
      </c>
      <c r="Q13455">
        <v>6</v>
      </c>
      <c r="R13455" t="s">
        <v>43187</v>
      </c>
      <c r="S13455" t="s">
        <v>44147</v>
      </c>
      <c r="T13455" t="s">
        <v>44717</v>
      </c>
      <c r="U13455" t="s">
        <v>55887</v>
      </c>
      <c r="W13455" t="s">
        <v>58614</v>
      </c>
      <c r="X13455" t="s">
        <v>43188</v>
      </c>
    </row>
    <row r="13456" spans="1:24">
      <c r="A13456">
        <f>HYPERLINK("https://www.philgeps.gov.ph/GEPSNONPILOT/Tender/SplashBidNoticeAbstractUI.aspx?menuIndex=3&amp;refID=7047854&amp;Result=3","7047854")</f>
        <v>0</v>
      </c>
      <c r="B13456" t="s">
        <v>3367</v>
      </c>
      <c r="C13456" t="s">
        <v>16299</v>
      </c>
      <c r="D13456" t="s">
        <v>17432</v>
      </c>
      <c r="E13456" t="s">
        <v>29010</v>
      </c>
      <c r="F13456" t="s">
        <v>30052</v>
      </c>
      <c r="G13456" t="s">
        <v>30058</v>
      </c>
      <c r="H13456" t="s">
        <v>15498</v>
      </c>
      <c r="I13456" t="s">
        <v>30073</v>
      </c>
      <c r="J13456" t="s">
        <v>38348</v>
      </c>
      <c r="K13456" t="s">
        <v>39025</v>
      </c>
      <c r="M13456" t="s">
        <v>43018</v>
      </c>
      <c r="N13456" t="s">
        <v>43166</v>
      </c>
      <c r="O13456" t="s">
        <v>43167</v>
      </c>
      <c r="P13456">
        <v>0</v>
      </c>
      <c r="Q13456">
        <v>0</v>
      </c>
      <c r="R13456" t="s">
        <v>43187</v>
      </c>
      <c r="S13456" t="s">
        <v>44147</v>
      </c>
      <c r="T13456" t="s">
        <v>44717</v>
      </c>
      <c r="U13456" t="s">
        <v>55888</v>
      </c>
      <c r="V13456" t="s">
        <v>58115</v>
      </c>
      <c r="W13456" t="s">
        <v>43018</v>
      </c>
      <c r="X13456" t="s">
        <v>43188</v>
      </c>
    </row>
    <row r="13457" spans="1:24">
      <c r="A13457">
        <f>HYPERLINK("https://www.philgeps.gov.ph/GEPSNONPILOT/Tender/SplashBidNoticeAbstractUI.aspx?menuIndex=3&amp;refID=7047952&amp;Result=3","7047952")</f>
        <v>0</v>
      </c>
      <c r="B13457" t="s">
        <v>208</v>
      </c>
      <c r="C13457" t="s">
        <v>16300</v>
      </c>
      <c r="D13457" t="s">
        <v>17415</v>
      </c>
      <c r="E13457" t="s">
        <v>29011</v>
      </c>
      <c r="F13457" t="s">
        <v>30052</v>
      </c>
      <c r="G13457" t="s">
        <v>30058</v>
      </c>
      <c r="H13457" t="s">
        <v>15498</v>
      </c>
      <c r="I13457" t="s">
        <v>30084</v>
      </c>
      <c r="J13457" t="s">
        <v>38349</v>
      </c>
      <c r="K13457" t="s">
        <v>39025</v>
      </c>
      <c r="M13457" t="s">
        <v>40867</v>
      </c>
      <c r="N13457" t="s">
        <v>43166</v>
      </c>
      <c r="O13457" t="s">
        <v>43167</v>
      </c>
      <c r="Q13457">
        <v>34</v>
      </c>
      <c r="R13457" t="s">
        <v>43187</v>
      </c>
      <c r="S13457" t="s">
        <v>44163</v>
      </c>
      <c r="T13457" t="s">
        <v>45176</v>
      </c>
      <c r="U13457" t="s">
        <v>55889</v>
      </c>
      <c r="W13457" t="s">
        <v>40867</v>
      </c>
      <c r="X13457" t="s">
        <v>43188</v>
      </c>
    </row>
    <row r="13458" spans="1:24">
      <c r="A13458">
        <f>HYPERLINK("https://www.philgeps.gov.ph/GEPSNONPILOT/Tender/SplashBidNoticeAbstractUI.aspx?menuIndex=3&amp;refID=7048231&amp;Result=3","7048231")</f>
        <v>0</v>
      </c>
      <c r="B13458" t="s">
        <v>3284</v>
      </c>
      <c r="C13458" t="s">
        <v>16301</v>
      </c>
      <c r="E13458" t="s">
        <v>29012</v>
      </c>
      <c r="F13458" t="s">
        <v>30052</v>
      </c>
      <c r="G13458" t="s">
        <v>30058</v>
      </c>
      <c r="H13458" t="s">
        <v>30067</v>
      </c>
      <c r="I13458" t="s">
        <v>3693</v>
      </c>
      <c r="J13458" t="s">
        <v>31835</v>
      </c>
      <c r="K13458" t="s">
        <v>39057</v>
      </c>
      <c r="M13458" t="s">
        <v>42918</v>
      </c>
      <c r="N13458" t="s">
        <v>43166</v>
      </c>
      <c r="O13458" t="s">
        <v>43167</v>
      </c>
      <c r="Q13458">
        <v>1</v>
      </c>
      <c r="R13458" t="s">
        <v>43187</v>
      </c>
      <c r="S13458" t="s">
        <v>44164</v>
      </c>
      <c r="T13458" t="s">
        <v>44696</v>
      </c>
      <c r="U13458" t="s">
        <v>46667</v>
      </c>
      <c r="W13458" t="s">
        <v>42918</v>
      </c>
      <c r="X13458" t="s">
        <v>43188</v>
      </c>
    </row>
    <row r="13459" spans="1:24">
      <c r="A13459">
        <f>HYPERLINK("https://www.philgeps.gov.ph/GEPSNONPILOT/Tender/SplashBidNoticeAbstractUI.aspx?menuIndex=3&amp;refID=7048222&amp;Result=3","7048222")</f>
        <v>0</v>
      </c>
      <c r="B13459" t="s">
        <v>3284</v>
      </c>
      <c r="C13459" t="s">
        <v>16302</v>
      </c>
      <c r="E13459" t="s">
        <v>29013</v>
      </c>
      <c r="F13459" t="s">
        <v>30052</v>
      </c>
      <c r="G13459" t="s">
        <v>30058</v>
      </c>
      <c r="H13459" t="s">
        <v>30067</v>
      </c>
      <c r="I13459" t="s">
        <v>3693</v>
      </c>
      <c r="J13459" t="s">
        <v>31851</v>
      </c>
      <c r="K13459" t="s">
        <v>39057</v>
      </c>
      <c r="M13459" t="s">
        <v>42918</v>
      </c>
      <c r="N13459" t="s">
        <v>43166</v>
      </c>
      <c r="O13459" t="s">
        <v>43167</v>
      </c>
      <c r="Q13459">
        <v>3</v>
      </c>
      <c r="R13459" t="s">
        <v>43187</v>
      </c>
      <c r="S13459" t="s">
        <v>44165</v>
      </c>
      <c r="T13459" t="s">
        <v>44696</v>
      </c>
      <c r="U13459" t="s">
        <v>46667</v>
      </c>
      <c r="W13459" t="s">
        <v>42918</v>
      </c>
      <c r="X13459" t="s">
        <v>43188</v>
      </c>
    </row>
    <row r="13460" spans="1:24">
      <c r="A13460">
        <f>HYPERLINK("https://www.philgeps.gov.ph/GEPSNONPILOT/Tender/SplashBidNoticeAbstractUI.aspx?menuIndex=3&amp;refID=7047890&amp;Result=3","7047890")</f>
        <v>0</v>
      </c>
      <c r="B13460" t="s">
        <v>24</v>
      </c>
      <c r="C13460" t="s">
        <v>16303</v>
      </c>
      <c r="D13460" t="s">
        <v>17413</v>
      </c>
      <c r="E13460" t="s">
        <v>29014</v>
      </c>
      <c r="F13460" t="s">
        <v>30052</v>
      </c>
      <c r="G13460" t="s">
        <v>30058</v>
      </c>
      <c r="H13460" t="s">
        <v>15498</v>
      </c>
      <c r="I13460" t="s">
        <v>30137</v>
      </c>
      <c r="J13460" t="s">
        <v>30247</v>
      </c>
      <c r="K13460" t="s">
        <v>39031</v>
      </c>
      <c r="M13460" t="s">
        <v>43022</v>
      </c>
      <c r="N13460" t="s">
        <v>43166</v>
      </c>
      <c r="O13460" t="s">
        <v>43167</v>
      </c>
      <c r="Q13460">
        <v>4</v>
      </c>
      <c r="R13460" t="s">
        <v>43187</v>
      </c>
      <c r="S13460" t="s">
        <v>44166</v>
      </c>
      <c r="T13460" t="s">
        <v>44704</v>
      </c>
      <c r="U13460" t="s">
        <v>55890</v>
      </c>
      <c r="V13460" t="s">
        <v>58440</v>
      </c>
      <c r="W13460" t="s">
        <v>43022</v>
      </c>
      <c r="X13460" t="s">
        <v>43188</v>
      </c>
    </row>
    <row r="13461" spans="1:24">
      <c r="A13461">
        <f>HYPERLINK("https://www.philgeps.gov.ph/GEPSNONPILOT/Tender/SplashBidNoticeAbstractUI.aspx?menuIndex=3&amp;refID=7047906&amp;Result=3","7047906")</f>
        <v>0</v>
      </c>
      <c r="B13461" t="s">
        <v>3367</v>
      </c>
      <c r="C13461" t="s">
        <v>16304</v>
      </c>
      <c r="D13461" t="s">
        <v>17432</v>
      </c>
      <c r="E13461" t="s">
        <v>29015</v>
      </c>
      <c r="F13461" t="s">
        <v>30052</v>
      </c>
      <c r="G13461" t="s">
        <v>30058</v>
      </c>
      <c r="H13461" t="s">
        <v>15498</v>
      </c>
      <c r="I13461" t="s">
        <v>3736</v>
      </c>
      <c r="J13461" t="s">
        <v>38350</v>
      </c>
      <c r="K13461" t="s">
        <v>39025</v>
      </c>
      <c r="M13461" t="s">
        <v>43018</v>
      </c>
      <c r="N13461" t="s">
        <v>43166</v>
      </c>
      <c r="O13461" t="s">
        <v>43167</v>
      </c>
      <c r="P13461">
        <v>0</v>
      </c>
      <c r="Q13461">
        <v>3</v>
      </c>
      <c r="R13461" t="s">
        <v>43187</v>
      </c>
      <c r="S13461" t="s">
        <v>44147</v>
      </c>
      <c r="T13461" t="s">
        <v>44717</v>
      </c>
      <c r="U13461" t="s">
        <v>55891</v>
      </c>
      <c r="V13461" t="s">
        <v>58115</v>
      </c>
      <c r="W13461" t="s">
        <v>43018</v>
      </c>
      <c r="X13461" t="s">
        <v>43188</v>
      </c>
    </row>
    <row r="13462" spans="1:24">
      <c r="A13462">
        <f>HYPERLINK("https://www.philgeps.gov.ph/GEPSNONPILOT/Tender/SplashBidNoticeAbstractUI.aspx?menuIndex=3&amp;refID=7048197&amp;Result=3","7048197")</f>
        <v>0</v>
      </c>
      <c r="B13462" t="s">
        <v>828</v>
      </c>
      <c r="C13462" t="s">
        <v>16305</v>
      </c>
      <c r="D13462" t="s">
        <v>17422</v>
      </c>
      <c r="E13462" t="s">
        <v>29016</v>
      </c>
      <c r="F13462" t="s">
        <v>30052</v>
      </c>
      <c r="G13462" t="s">
        <v>30058</v>
      </c>
      <c r="H13462" t="s">
        <v>15498</v>
      </c>
      <c r="I13462" t="s">
        <v>30074</v>
      </c>
      <c r="J13462" t="s">
        <v>30532</v>
      </c>
      <c r="K13462" t="s">
        <v>39026</v>
      </c>
      <c r="M13462" t="s">
        <v>40145</v>
      </c>
      <c r="N13462" t="s">
        <v>43166</v>
      </c>
      <c r="O13462" t="s">
        <v>43167</v>
      </c>
      <c r="P13462">
        <v>0</v>
      </c>
      <c r="Q13462">
        <v>2</v>
      </c>
      <c r="R13462" t="s">
        <v>43187</v>
      </c>
      <c r="S13462" t="s">
        <v>44147</v>
      </c>
      <c r="T13462" t="s">
        <v>44832</v>
      </c>
      <c r="U13462" t="s">
        <v>55892</v>
      </c>
      <c r="W13462" t="s">
        <v>40145</v>
      </c>
      <c r="X13462" t="s">
        <v>43188</v>
      </c>
    </row>
    <row r="13463" spans="1:24">
      <c r="A13463">
        <f>HYPERLINK("https://www.philgeps.gov.ph/GEPSNONPILOT/Tender/SplashBidNoticeAbstractUI.aspx?menuIndex=3&amp;refID=7047880&amp;Result=3","7047880")</f>
        <v>0</v>
      </c>
      <c r="B13463" t="s">
        <v>3367</v>
      </c>
      <c r="C13463" t="s">
        <v>16306</v>
      </c>
      <c r="D13463" t="s">
        <v>17432</v>
      </c>
      <c r="E13463" t="s">
        <v>29017</v>
      </c>
      <c r="F13463" t="s">
        <v>30052</v>
      </c>
      <c r="G13463" t="s">
        <v>30058</v>
      </c>
      <c r="H13463" t="s">
        <v>15498</v>
      </c>
      <c r="I13463" t="s">
        <v>3736</v>
      </c>
      <c r="J13463" t="s">
        <v>38351</v>
      </c>
      <c r="K13463" t="s">
        <v>39025</v>
      </c>
      <c r="M13463" t="s">
        <v>43018</v>
      </c>
      <c r="N13463" t="s">
        <v>43166</v>
      </c>
      <c r="O13463" t="s">
        <v>43167</v>
      </c>
      <c r="P13463">
        <v>0</v>
      </c>
      <c r="Q13463">
        <v>2</v>
      </c>
      <c r="R13463" t="s">
        <v>43187</v>
      </c>
      <c r="S13463" t="s">
        <v>44147</v>
      </c>
      <c r="T13463" t="s">
        <v>44717</v>
      </c>
      <c r="U13463" t="s">
        <v>55893</v>
      </c>
      <c r="V13463" t="s">
        <v>58115</v>
      </c>
      <c r="W13463" t="s">
        <v>43018</v>
      </c>
      <c r="X13463" t="s">
        <v>43188</v>
      </c>
    </row>
    <row r="13464" spans="1:24">
      <c r="A13464">
        <f>HYPERLINK("https://www.philgeps.gov.ph/GEPSNONPILOT/Tender/SplashBidNoticeAbstractUI.aspx?menuIndex=3&amp;refID=7047847&amp;Result=3","7047847")</f>
        <v>0</v>
      </c>
      <c r="B13464" t="s">
        <v>1666</v>
      </c>
      <c r="C13464" t="s">
        <v>16307</v>
      </c>
      <c r="D13464" t="s">
        <v>17459</v>
      </c>
      <c r="E13464" t="s">
        <v>29018</v>
      </c>
      <c r="F13464" t="s">
        <v>30052</v>
      </c>
      <c r="G13464" t="s">
        <v>30060</v>
      </c>
      <c r="H13464" t="s">
        <v>15498</v>
      </c>
      <c r="I13464" t="s">
        <v>30088</v>
      </c>
      <c r="J13464" t="s">
        <v>38352</v>
      </c>
      <c r="K13464" t="s">
        <v>39019</v>
      </c>
      <c r="M13464" t="s">
        <v>41072</v>
      </c>
      <c r="N13464" t="s">
        <v>43166</v>
      </c>
      <c r="O13464" t="s">
        <v>43167</v>
      </c>
      <c r="P13464">
        <v>0</v>
      </c>
      <c r="Q13464">
        <v>16</v>
      </c>
      <c r="R13464" t="s">
        <v>43187</v>
      </c>
      <c r="S13464" t="s">
        <v>44147</v>
      </c>
      <c r="T13464" t="s">
        <v>44723</v>
      </c>
      <c r="U13464" t="s">
        <v>55867</v>
      </c>
      <c r="W13464" t="s">
        <v>41072</v>
      </c>
      <c r="X13464" t="s">
        <v>43188</v>
      </c>
    </row>
    <row r="13465" spans="1:24">
      <c r="A13465">
        <f>HYPERLINK("https://www.philgeps.gov.ph/GEPSNONPILOT/Tender/SplashBidNoticeAbstractUI.aspx?menuIndex=3&amp;refID=7048184&amp;Result=3","7048184")</f>
        <v>0</v>
      </c>
      <c r="B13465" t="s">
        <v>3371</v>
      </c>
      <c r="C13465" t="s">
        <v>16308</v>
      </c>
      <c r="D13465" t="s">
        <v>17415</v>
      </c>
      <c r="E13465" t="s">
        <v>29019</v>
      </c>
      <c r="F13465" t="s">
        <v>30052</v>
      </c>
      <c r="G13465" t="s">
        <v>30058</v>
      </c>
      <c r="H13465" t="s">
        <v>30067</v>
      </c>
      <c r="I13465" t="s">
        <v>3693</v>
      </c>
      <c r="J13465" t="s">
        <v>38353</v>
      </c>
      <c r="K13465" t="s">
        <v>39026</v>
      </c>
      <c r="M13465" t="s">
        <v>43023</v>
      </c>
      <c r="N13465" t="s">
        <v>43166</v>
      </c>
      <c r="O13465" t="s">
        <v>43167</v>
      </c>
      <c r="Q13465">
        <v>10</v>
      </c>
      <c r="R13465" t="s">
        <v>43187</v>
      </c>
      <c r="S13465" t="s">
        <v>44167</v>
      </c>
      <c r="T13465" t="s">
        <v>44822</v>
      </c>
      <c r="U13465" t="s">
        <v>55894</v>
      </c>
      <c r="V13465" t="s">
        <v>58441</v>
      </c>
      <c r="W13465" t="s">
        <v>43023</v>
      </c>
      <c r="X13465" t="s">
        <v>43188</v>
      </c>
    </row>
    <row r="13466" spans="1:24">
      <c r="A13466">
        <f>HYPERLINK("https://www.philgeps.gov.ph/GEPSNONPILOT/Tender/SplashBidNoticeAbstractUI.aspx?menuIndex=3&amp;refID=7048191&amp;Result=3","7048191")</f>
        <v>0</v>
      </c>
      <c r="B13466" t="s">
        <v>3372</v>
      </c>
      <c r="C13466" t="s">
        <v>16309</v>
      </c>
      <c r="E13466" t="s">
        <v>29020</v>
      </c>
      <c r="F13466" t="s">
        <v>30052</v>
      </c>
      <c r="G13466" t="s">
        <v>30058</v>
      </c>
      <c r="H13466" t="s">
        <v>30067</v>
      </c>
      <c r="I13466" t="s">
        <v>3693</v>
      </c>
      <c r="J13466" t="s">
        <v>38354</v>
      </c>
      <c r="K13466" t="s">
        <v>39025</v>
      </c>
      <c r="M13466" t="s">
        <v>43024</v>
      </c>
      <c r="N13466" t="s">
        <v>43166</v>
      </c>
      <c r="O13466" t="s">
        <v>43167</v>
      </c>
      <c r="P13466">
        <v>0</v>
      </c>
      <c r="Q13466">
        <v>0</v>
      </c>
      <c r="R13466" t="s">
        <v>43187</v>
      </c>
      <c r="S13466" t="s">
        <v>44147</v>
      </c>
      <c r="T13466" t="s">
        <v>44841</v>
      </c>
      <c r="U13466" t="s">
        <v>55895</v>
      </c>
      <c r="V13466" t="s">
        <v>58442</v>
      </c>
      <c r="W13466" t="s">
        <v>43024</v>
      </c>
      <c r="X13466" t="s">
        <v>43188</v>
      </c>
    </row>
    <row r="13467" spans="1:24">
      <c r="A13467">
        <f>HYPERLINK("https://www.philgeps.gov.ph/GEPSNONPILOT/Tender/SplashBidNoticeAbstractUI.aspx?menuIndex=3&amp;refID=7048150&amp;Result=3","7048150")</f>
        <v>0</v>
      </c>
      <c r="B13467" t="s">
        <v>3111</v>
      </c>
      <c r="C13467" t="s">
        <v>16310</v>
      </c>
      <c r="D13467" t="s">
        <v>17434</v>
      </c>
      <c r="E13467" t="s">
        <v>29021</v>
      </c>
      <c r="F13467" t="s">
        <v>30052</v>
      </c>
      <c r="G13467" t="s">
        <v>30058</v>
      </c>
      <c r="H13467" t="s">
        <v>15498</v>
      </c>
      <c r="I13467" t="s">
        <v>30097</v>
      </c>
      <c r="J13467" t="s">
        <v>38355</v>
      </c>
      <c r="K13467" t="s">
        <v>39073</v>
      </c>
      <c r="M13467" t="s">
        <v>42703</v>
      </c>
      <c r="N13467" t="s">
        <v>43166</v>
      </c>
      <c r="O13467" t="s">
        <v>43167</v>
      </c>
      <c r="Q13467">
        <v>16</v>
      </c>
      <c r="R13467" t="s">
        <v>43187</v>
      </c>
      <c r="S13467" t="s">
        <v>44168</v>
      </c>
      <c r="T13467" t="s">
        <v>44790</v>
      </c>
      <c r="U13467" t="s">
        <v>55896</v>
      </c>
      <c r="W13467" t="s">
        <v>42703</v>
      </c>
      <c r="X13467" t="s">
        <v>43188</v>
      </c>
    </row>
    <row r="13468" spans="1:24">
      <c r="A13468">
        <f>HYPERLINK("https://www.philgeps.gov.ph/GEPSNONPILOT/Tender/SplashBidNoticeAbstractUI.aspx?menuIndex=3&amp;refID=7048112&amp;Result=3","7048112")</f>
        <v>0</v>
      </c>
      <c r="B13468" t="s">
        <v>3367</v>
      </c>
      <c r="C13468" t="s">
        <v>16311</v>
      </c>
      <c r="D13468" t="s">
        <v>17432</v>
      </c>
      <c r="E13468" t="s">
        <v>29022</v>
      </c>
      <c r="F13468" t="s">
        <v>30052</v>
      </c>
      <c r="G13468" t="s">
        <v>30058</v>
      </c>
      <c r="H13468" t="s">
        <v>15498</v>
      </c>
      <c r="I13468" t="s">
        <v>3736</v>
      </c>
      <c r="J13468" t="s">
        <v>38356</v>
      </c>
      <c r="K13468" t="s">
        <v>39025</v>
      </c>
      <c r="M13468" t="s">
        <v>43018</v>
      </c>
      <c r="N13468" t="s">
        <v>43166</v>
      </c>
      <c r="O13468" t="s">
        <v>43167</v>
      </c>
      <c r="P13468">
        <v>0</v>
      </c>
      <c r="Q13468">
        <v>3</v>
      </c>
      <c r="R13468" t="s">
        <v>43187</v>
      </c>
      <c r="S13468" t="s">
        <v>44147</v>
      </c>
      <c r="T13468" t="s">
        <v>44717</v>
      </c>
      <c r="U13468" t="s">
        <v>55897</v>
      </c>
      <c r="V13468" t="s">
        <v>58115</v>
      </c>
      <c r="W13468" t="s">
        <v>43018</v>
      </c>
      <c r="X13468" t="s">
        <v>43188</v>
      </c>
    </row>
    <row r="13469" spans="1:24">
      <c r="A13469">
        <f>HYPERLINK("https://www.philgeps.gov.ph/GEPSNONPILOT/Tender/SplashBidNoticeAbstractUI.aspx?menuIndex=3&amp;refID=7048110&amp;Result=3","7048110")</f>
        <v>0</v>
      </c>
      <c r="B13469" t="s">
        <v>742</v>
      </c>
      <c r="C13469" t="s">
        <v>16312</v>
      </c>
      <c r="D13469" t="s">
        <v>17455</v>
      </c>
      <c r="E13469" t="s">
        <v>22179</v>
      </c>
      <c r="F13469" t="s">
        <v>30052</v>
      </c>
      <c r="G13469" t="s">
        <v>30058</v>
      </c>
      <c r="H13469" t="s">
        <v>30067</v>
      </c>
      <c r="I13469" t="s">
        <v>3693</v>
      </c>
      <c r="J13469" t="s">
        <v>38357</v>
      </c>
      <c r="K13469" t="s">
        <v>39022</v>
      </c>
      <c r="M13469" t="s">
        <v>40056</v>
      </c>
      <c r="N13469" t="s">
        <v>43166</v>
      </c>
      <c r="O13469" t="s">
        <v>43167</v>
      </c>
      <c r="P13469">
        <v>0</v>
      </c>
      <c r="Q13469">
        <v>0</v>
      </c>
      <c r="R13469" t="s">
        <v>43187</v>
      </c>
      <c r="S13469" t="s">
        <v>44147</v>
      </c>
      <c r="T13469" t="s">
        <v>44717</v>
      </c>
      <c r="U13469" t="s">
        <v>55898</v>
      </c>
      <c r="W13469" t="s">
        <v>58614</v>
      </c>
      <c r="X13469" t="s">
        <v>43188</v>
      </c>
    </row>
    <row r="13470" spans="1:24">
      <c r="A13470">
        <f>HYPERLINK("https://www.philgeps.gov.ph/GEPSNONPILOT/Tender/SplashBidNoticeAbstractUI.aspx?menuIndex=3&amp;refID=7048226&amp;Result=3","7048226")</f>
        <v>0</v>
      </c>
      <c r="B13470" t="s">
        <v>3182</v>
      </c>
      <c r="C13470" t="s">
        <v>16313</v>
      </c>
      <c r="D13470" t="s">
        <v>17435</v>
      </c>
      <c r="E13470" t="s">
        <v>29023</v>
      </c>
      <c r="F13470" t="s">
        <v>30052</v>
      </c>
      <c r="G13470" t="s">
        <v>30058</v>
      </c>
      <c r="H13470" t="s">
        <v>30067</v>
      </c>
      <c r="I13470" t="s">
        <v>3693</v>
      </c>
      <c r="J13470" t="s">
        <v>33184</v>
      </c>
      <c r="K13470" t="s">
        <v>39025</v>
      </c>
      <c r="M13470" t="s">
        <v>42795</v>
      </c>
      <c r="N13470" t="s">
        <v>43166</v>
      </c>
      <c r="O13470" t="s">
        <v>43167</v>
      </c>
      <c r="P13470">
        <v>0</v>
      </c>
      <c r="Q13470">
        <v>1</v>
      </c>
      <c r="R13470" t="s">
        <v>43187</v>
      </c>
      <c r="S13470" t="s">
        <v>44147</v>
      </c>
      <c r="T13470" t="s">
        <v>44859</v>
      </c>
      <c r="U13470" t="s">
        <v>55899</v>
      </c>
      <c r="W13470" t="s">
        <v>42795</v>
      </c>
      <c r="X13470" t="s">
        <v>43188</v>
      </c>
    </row>
    <row r="13471" spans="1:24">
      <c r="A13471">
        <f>HYPERLINK("https://www.philgeps.gov.ph/GEPSNONPILOT/Tender/SplashBidNoticeAbstractUI.aspx?menuIndex=3&amp;refID=7048096&amp;Result=3","7048096")</f>
        <v>0</v>
      </c>
      <c r="B13471" t="s">
        <v>3367</v>
      </c>
      <c r="C13471" t="s">
        <v>16314</v>
      </c>
      <c r="D13471" t="s">
        <v>17432</v>
      </c>
      <c r="E13471" t="s">
        <v>29024</v>
      </c>
      <c r="F13471" t="s">
        <v>30052</v>
      </c>
      <c r="G13471" t="s">
        <v>30058</v>
      </c>
      <c r="H13471" t="s">
        <v>15498</v>
      </c>
      <c r="I13471" t="s">
        <v>3736</v>
      </c>
      <c r="J13471" t="s">
        <v>38358</v>
      </c>
      <c r="K13471" t="s">
        <v>39025</v>
      </c>
      <c r="M13471" t="s">
        <v>43018</v>
      </c>
      <c r="N13471" t="s">
        <v>43166</v>
      </c>
      <c r="O13471" t="s">
        <v>43167</v>
      </c>
      <c r="P13471">
        <v>0</v>
      </c>
      <c r="Q13471">
        <v>3</v>
      </c>
      <c r="R13471" t="s">
        <v>43187</v>
      </c>
      <c r="S13471" t="s">
        <v>44147</v>
      </c>
      <c r="T13471" t="s">
        <v>44717</v>
      </c>
      <c r="U13471" t="s">
        <v>55900</v>
      </c>
      <c r="V13471" t="s">
        <v>58115</v>
      </c>
      <c r="W13471" t="s">
        <v>43018</v>
      </c>
      <c r="X13471" t="s">
        <v>43188</v>
      </c>
    </row>
    <row r="13472" spans="1:24">
      <c r="A13472">
        <f>HYPERLINK("https://www.philgeps.gov.ph/GEPSNONPILOT/Tender/SplashBidNoticeAbstractUI.aspx?menuIndex=3&amp;refID=7048085&amp;Result=3","7048085")</f>
        <v>0</v>
      </c>
      <c r="B13472" t="s">
        <v>3373</v>
      </c>
      <c r="C13472" t="s">
        <v>16315</v>
      </c>
      <c r="D13472" t="s">
        <v>17466</v>
      </c>
      <c r="E13472" t="s">
        <v>18839</v>
      </c>
      <c r="F13472" t="s">
        <v>30052</v>
      </c>
      <c r="G13472" t="s">
        <v>30058</v>
      </c>
      <c r="H13472" t="s">
        <v>15498</v>
      </c>
      <c r="I13472" t="s">
        <v>30070</v>
      </c>
      <c r="J13472" t="s">
        <v>38359</v>
      </c>
      <c r="K13472" t="s">
        <v>39036</v>
      </c>
      <c r="M13472" t="s">
        <v>43025</v>
      </c>
      <c r="N13472" t="s">
        <v>43166</v>
      </c>
      <c r="O13472" t="s">
        <v>43167</v>
      </c>
      <c r="P13472">
        <v>0</v>
      </c>
      <c r="Q13472">
        <v>1</v>
      </c>
      <c r="R13472" t="s">
        <v>43187</v>
      </c>
      <c r="S13472" t="s">
        <v>44147</v>
      </c>
      <c r="T13472" t="s">
        <v>44724</v>
      </c>
      <c r="U13472" t="s">
        <v>55901</v>
      </c>
      <c r="W13472" t="s">
        <v>43025</v>
      </c>
      <c r="X13472" t="s">
        <v>43188</v>
      </c>
    </row>
    <row r="13473" spans="1:24">
      <c r="A13473">
        <f>HYPERLINK("https://www.philgeps.gov.ph/GEPSNONPILOT/Tender/SplashBidNoticeAbstractUI.aspx?menuIndex=3&amp;refID=7048084&amp;Result=3","7048084")</f>
        <v>0</v>
      </c>
      <c r="B13473" t="s">
        <v>1197</v>
      </c>
      <c r="C13473" t="s">
        <v>16316</v>
      </c>
      <c r="D13473" t="s">
        <v>17463</v>
      </c>
      <c r="E13473" t="s">
        <v>29025</v>
      </c>
      <c r="F13473" t="s">
        <v>30052</v>
      </c>
      <c r="G13473" t="s">
        <v>30058</v>
      </c>
      <c r="H13473" t="s">
        <v>15498</v>
      </c>
      <c r="I13473" t="s">
        <v>30074</v>
      </c>
      <c r="J13473" t="s">
        <v>30588</v>
      </c>
      <c r="K13473" t="s">
        <v>39031</v>
      </c>
      <c r="M13473" t="s">
        <v>40550</v>
      </c>
      <c r="N13473" t="s">
        <v>43166</v>
      </c>
      <c r="O13473" t="s">
        <v>43167</v>
      </c>
      <c r="P13473">
        <v>0</v>
      </c>
      <c r="Q13473">
        <v>3</v>
      </c>
      <c r="R13473" t="s">
        <v>43187</v>
      </c>
      <c r="S13473" t="s">
        <v>44147</v>
      </c>
      <c r="T13473" t="s">
        <v>44773</v>
      </c>
      <c r="U13473" t="s">
        <v>55902</v>
      </c>
      <c r="W13473" t="s">
        <v>40550</v>
      </c>
      <c r="X13473" t="s">
        <v>43188</v>
      </c>
    </row>
    <row r="13474" spans="1:24">
      <c r="A13474">
        <f>HYPERLINK("https://www.philgeps.gov.ph/GEPSNONPILOT/Tender/SplashBidNoticeAbstractUI.aspx?menuIndex=3&amp;refID=7048158&amp;Result=3","7048158")</f>
        <v>0</v>
      </c>
      <c r="B13474" t="s">
        <v>3372</v>
      </c>
      <c r="C13474" t="s">
        <v>16317</v>
      </c>
      <c r="E13474" t="s">
        <v>29026</v>
      </c>
      <c r="F13474" t="s">
        <v>30052</v>
      </c>
      <c r="G13474" t="s">
        <v>30058</v>
      </c>
      <c r="H13474" t="s">
        <v>30067</v>
      </c>
      <c r="I13474" t="s">
        <v>3693</v>
      </c>
      <c r="J13474" t="s">
        <v>38360</v>
      </c>
      <c r="K13474" t="s">
        <v>39025</v>
      </c>
      <c r="M13474" t="s">
        <v>43024</v>
      </c>
      <c r="N13474" t="s">
        <v>43166</v>
      </c>
      <c r="O13474" t="s">
        <v>43167</v>
      </c>
      <c r="P13474">
        <v>0</v>
      </c>
      <c r="Q13474">
        <v>0</v>
      </c>
      <c r="R13474" t="s">
        <v>43187</v>
      </c>
      <c r="S13474" t="s">
        <v>44147</v>
      </c>
      <c r="T13474" t="s">
        <v>44841</v>
      </c>
      <c r="U13474" t="s">
        <v>55903</v>
      </c>
      <c r="V13474" t="s">
        <v>58443</v>
      </c>
      <c r="W13474" t="s">
        <v>43024</v>
      </c>
      <c r="X13474" t="s">
        <v>43188</v>
      </c>
    </row>
    <row r="13475" spans="1:24">
      <c r="A13475">
        <f>HYPERLINK("https://www.philgeps.gov.ph/GEPSNONPILOT/Tender/SplashBidNoticeAbstractUI.aspx?menuIndex=3&amp;refID=7048105&amp;Result=3","7048105")</f>
        <v>0</v>
      </c>
      <c r="B13475" t="s">
        <v>3367</v>
      </c>
      <c r="C13475" t="s">
        <v>16318</v>
      </c>
      <c r="D13475" t="s">
        <v>17432</v>
      </c>
      <c r="E13475" t="s">
        <v>29027</v>
      </c>
      <c r="F13475" t="s">
        <v>30052</v>
      </c>
      <c r="G13475" t="s">
        <v>30058</v>
      </c>
      <c r="H13475" t="s">
        <v>15498</v>
      </c>
      <c r="I13475" t="s">
        <v>3736</v>
      </c>
      <c r="J13475" t="s">
        <v>38361</v>
      </c>
      <c r="K13475" t="s">
        <v>39025</v>
      </c>
      <c r="M13475" t="s">
        <v>43018</v>
      </c>
      <c r="N13475" t="s">
        <v>43166</v>
      </c>
      <c r="O13475" t="s">
        <v>43167</v>
      </c>
      <c r="P13475">
        <v>0</v>
      </c>
      <c r="Q13475">
        <v>2</v>
      </c>
      <c r="R13475" t="s">
        <v>43187</v>
      </c>
      <c r="S13475" t="s">
        <v>44147</v>
      </c>
      <c r="T13475" t="s">
        <v>44717</v>
      </c>
      <c r="U13475" t="s">
        <v>55904</v>
      </c>
      <c r="V13475" t="s">
        <v>58115</v>
      </c>
      <c r="W13475" t="s">
        <v>43018</v>
      </c>
      <c r="X13475" t="s">
        <v>43188</v>
      </c>
    </row>
    <row r="13476" spans="1:24">
      <c r="A13476">
        <f>HYPERLINK("https://www.philgeps.gov.ph/GEPSNONPILOT/Tender/SplashBidNoticeAbstractUI.aspx?menuIndex=3&amp;refID=7047848&amp;Result=3","7047848")</f>
        <v>0</v>
      </c>
      <c r="B13476" t="s">
        <v>2507</v>
      </c>
      <c r="C13476" t="s">
        <v>16319</v>
      </c>
      <c r="D13476" t="s">
        <v>17440</v>
      </c>
      <c r="E13476" t="s">
        <v>29028</v>
      </c>
      <c r="F13476" t="s">
        <v>30052</v>
      </c>
      <c r="G13476" t="s">
        <v>30058</v>
      </c>
      <c r="H13476" t="s">
        <v>15498</v>
      </c>
      <c r="I13476" t="s">
        <v>30083</v>
      </c>
      <c r="J13476" t="s">
        <v>30212</v>
      </c>
      <c r="K13476" t="s">
        <v>39029</v>
      </c>
      <c r="M13476" t="s">
        <v>42012</v>
      </c>
      <c r="N13476" t="s">
        <v>43166</v>
      </c>
      <c r="O13476" t="s">
        <v>43167</v>
      </c>
      <c r="Q13476">
        <v>6</v>
      </c>
      <c r="R13476" t="s">
        <v>43187</v>
      </c>
      <c r="S13476" t="s">
        <v>44169</v>
      </c>
      <c r="T13476" t="s">
        <v>44856</v>
      </c>
      <c r="U13476" t="s">
        <v>55905</v>
      </c>
      <c r="W13476" t="s">
        <v>58676</v>
      </c>
      <c r="X13476" t="s">
        <v>43188</v>
      </c>
    </row>
    <row r="13477" spans="1:24">
      <c r="A13477">
        <f>HYPERLINK("https://www.philgeps.gov.ph/GEPSNONPILOT/Tender/SplashBidNoticeAbstractUI.aspx?menuIndex=3&amp;refID=7048089&amp;Result=3","7048089")</f>
        <v>0</v>
      </c>
      <c r="B13477" t="s">
        <v>3367</v>
      </c>
      <c r="C13477" t="s">
        <v>16320</v>
      </c>
      <c r="D13477" t="s">
        <v>17432</v>
      </c>
      <c r="E13477" t="s">
        <v>29029</v>
      </c>
      <c r="F13477" t="s">
        <v>30052</v>
      </c>
      <c r="G13477" t="s">
        <v>30058</v>
      </c>
      <c r="H13477" t="s">
        <v>15498</v>
      </c>
      <c r="I13477" t="s">
        <v>3736</v>
      </c>
      <c r="J13477" t="s">
        <v>38362</v>
      </c>
      <c r="K13477" t="s">
        <v>39025</v>
      </c>
      <c r="M13477" t="s">
        <v>43018</v>
      </c>
      <c r="N13477" t="s">
        <v>43166</v>
      </c>
      <c r="O13477" t="s">
        <v>43167</v>
      </c>
      <c r="P13477">
        <v>0</v>
      </c>
      <c r="Q13477">
        <v>4</v>
      </c>
      <c r="R13477" t="s">
        <v>43187</v>
      </c>
      <c r="S13477" t="s">
        <v>44147</v>
      </c>
      <c r="T13477" t="s">
        <v>44717</v>
      </c>
      <c r="U13477" t="s">
        <v>55906</v>
      </c>
      <c r="V13477" t="s">
        <v>58115</v>
      </c>
      <c r="W13477" t="s">
        <v>43018</v>
      </c>
      <c r="X13477" t="s">
        <v>43188</v>
      </c>
    </row>
    <row r="13478" spans="1:24">
      <c r="A13478">
        <f>HYPERLINK("https://www.philgeps.gov.ph/GEPSNONPILOT/Tender/SplashBidNoticeAbstractUI.aspx?menuIndex=3&amp;refID=7048051&amp;Result=3","7048051")</f>
        <v>0</v>
      </c>
      <c r="B13478" t="s">
        <v>208</v>
      </c>
      <c r="C13478" t="s">
        <v>16321</v>
      </c>
      <c r="D13478" t="s">
        <v>17415</v>
      </c>
      <c r="E13478" t="s">
        <v>29030</v>
      </c>
      <c r="F13478" t="s">
        <v>30052</v>
      </c>
      <c r="G13478" t="s">
        <v>30058</v>
      </c>
      <c r="H13478" t="s">
        <v>15498</v>
      </c>
      <c r="I13478" t="s">
        <v>30084</v>
      </c>
      <c r="J13478" t="s">
        <v>38363</v>
      </c>
      <c r="K13478" t="s">
        <v>39025</v>
      </c>
      <c r="M13478" t="s">
        <v>40867</v>
      </c>
      <c r="N13478" t="s">
        <v>43166</v>
      </c>
      <c r="O13478" t="s">
        <v>43167</v>
      </c>
      <c r="Q13478">
        <v>16</v>
      </c>
      <c r="R13478" t="s">
        <v>43187</v>
      </c>
      <c r="S13478" t="s">
        <v>44170</v>
      </c>
      <c r="T13478" t="s">
        <v>45078</v>
      </c>
      <c r="U13478" t="s">
        <v>55907</v>
      </c>
      <c r="W13478" t="s">
        <v>40867</v>
      </c>
      <c r="X13478" t="s">
        <v>43188</v>
      </c>
    </row>
    <row r="13479" spans="1:24">
      <c r="A13479">
        <f>HYPERLINK("https://www.philgeps.gov.ph/GEPSNONPILOT/Tender/SplashBidNoticeAbstractUI.aspx?menuIndex=3&amp;refID=7048046&amp;Result=3","7048046")</f>
        <v>0</v>
      </c>
      <c r="B13479" t="s">
        <v>742</v>
      </c>
      <c r="C13479" t="s">
        <v>16322</v>
      </c>
      <c r="D13479" t="s">
        <v>17455</v>
      </c>
      <c r="E13479" t="s">
        <v>21716</v>
      </c>
      <c r="F13479" t="s">
        <v>30052</v>
      </c>
      <c r="G13479" t="s">
        <v>30058</v>
      </c>
      <c r="H13479" t="s">
        <v>30067</v>
      </c>
      <c r="I13479" t="s">
        <v>3693</v>
      </c>
      <c r="J13479" t="s">
        <v>30397</v>
      </c>
      <c r="K13479" t="s">
        <v>39029</v>
      </c>
      <c r="M13479" t="s">
        <v>40056</v>
      </c>
      <c r="N13479" t="s">
        <v>43166</v>
      </c>
      <c r="O13479" t="s">
        <v>43167</v>
      </c>
      <c r="P13479">
        <v>0</v>
      </c>
      <c r="Q13479">
        <v>0</v>
      </c>
      <c r="R13479" t="s">
        <v>43187</v>
      </c>
      <c r="S13479" t="s">
        <v>44147</v>
      </c>
      <c r="T13479" t="s">
        <v>44717</v>
      </c>
      <c r="U13479" t="s">
        <v>55908</v>
      </c>
      <c r="W13479" t="s">
        <v>58614</v>
      </c>
      <c r="X13479" t="s">
        <v>43188</v>
      </c>
    </row>
    <row r="13480" spans="1:24">
      <c r="A13480">
        <f>HYPERLINK("https://www.philgeps.gov.ph/GEPSNONPILOT/Tender/SplashBidNoticeAbstractUI.aspx?menuIndex=3&amp;refID=7047720&amp;Result=3","7047720")</f>
        <v>0</v>
      </c>
      <c r="B13480" t="s">
        <v>50</v>
      </c>
      <c r="C13480" t="s">
        <v>16323</v>
      </c>
      <c r="D13480" t="s">
        <v>17433</v>
      </c>
      <c r="E13480" t="s">
        <v>29031</v>
      </c>
      <c r="F13480" t="s">
        <v>30052</v>
      </c>
      <c r="G13480" t="s">
        <v>30058</v>
      </c>
      <c r="H13480" t="s">
        <v>15498</v>
      </c>
      <c r="I13480" t="s">
        <v>30081</v>
      </c>
      <c r="J13480" t="s">
        <v>38364</v>
      </c>
      <c r="K13480" t="s">
        <v>39017</v>
      </c>
      <c r="M13480" t="s">
        <v>40640</v>
      </c>
      <c r="N13480" t="s">
        <v>43166</v>
      </c>
      <c r="O13480" t="s">
        <v>43167</v>
      </c>
      <c r="P13480">
        <v>0</v>
      </c>
      <c r="Q13480">
        <v>5</v>
      </c>
      <c r="R13480" t="s">
        <v>43187</v>
      </c>
      <c r="S13480" t="s">
        <v>44147</v>
      </c>
      <c r="T13480" t="s">
        <v>44844</v>
      </c>
      <c r="U13480" t="s">
        <v>55909</v>
      </c>
      <c r="W13480" t="s">
        <v>40640</v>
      </c>
      <c r="X13480" t="s">
        <v>43188</v>
      </c>
    </row>
    <row r="13481" spans="1:24">
      <c r="A13481">
        <f>HYPERLINK("https://www.philgeps.gov.ph/GEPSNONPILOT/Tender/SplashBidNoticeAbstractUI.aspx?menuIndex=3&amp;refID=7048043&amp;Result=3","7048043")</f>
        <v>0</v>
      </c>
      <c r="B13481" t="s">
        <v>1512</v>
      </c>
      <c r="C13481" t="s">
        <v>16324</v>
      </c>
      <c r="D13481" t="s">
        <v>17465</v>
      </c>
      <c r="E13481" t="s">
        <v>29032</v>
      </c>
      <c r="F13481" t="s">
        <v>30052</v>
      </c>
      <c r="G13481" t="s">
        <v>30058</v>
      </c>
      <c r="H13481" t="s">
        <v>15498</v>
      </c>
      <c r="I13481" t="s">
        <v>30117</v>
      </c>
      <c r="J13481" t="s">
        <v>38365</v>
      </c>
      <c r="K13481" t="s">
        <v>39025</v>
      </c>
      <c r="M13481" t="s">
        <v>40897</v>
      </c>
      <c r="N13481" t="s">
        <v>43166</v>
      </c>
      <c r="O13481" t="s">
        <v>43167</v>
      </c>
      <c r="P13481">
        <v>0</v>
      </c>
      <c r="Q13481">
        <v>3</v>
      </c>
      <c r="R13481" t="s">
        <v>43187</v>
      </c>
      <c r="S13481" t="s">
        <v>44147</v>
      </c>
      <c r="T13481" t="s">
        <v>44856</v>
      </c>
      <c r="U13481" t="s">
        <v>55876</v>
      </c>
      <c r="W13481" t="s">
        <v>40897</v>
      </c>
      <c r="X13481" t="s">
        <v>43188</v>
      </c>
    </row>
    <row r="13482" spans="1:24">
      <c r="A13482">
        <f>HYPERLINK("https://www.philgeps.gov.ph/GEPSNONPILOT/Tender/SplashBidNoticeAbstractUI.aspx?menuIndex=3&amp;refID=7047735&amp;Result=3","7047735")</f>
        <v>0</v>
      </c>
      <c r="B13482" t="s">
        <v>3324</v>
      </c>
      <c r="C13482" t="s">
        <v>16325</v>
      </c>
      <c r="D13482" t="s">
        <v>17413</v>
      </c>
      <c r="E13482" t="s">
        <v>23847</v>
      </c>
      <c r="F13482" t="s">
        <v>30052</v>
      </c>
      <c r="G13482" t="s">
        <v>30058</v>
      </c>
      <c r="H13482" t="s">
        <v>30067</v>
      </c>
      <c r="I13482" t="s">
        <v>3693</v>
      </c>
      <c r="J13482" t="s">
        <v>31207</v>
      </c>
      <c r="K13482" t="s">
        <v>39144</v>
      </c>
      <c r="M13482" t="s">
        <v>42965</v>
      </c>
      <c r="N13482" t="s">
        <v>43166</v>
      </c>
      <c r="O13482" t="s">
        <v>43167</v>
      </c>
      <c r="P13482">
        <v>0</v>
      </c>
      <c r="Q13482">
        <v>1</v>
      </c>
      <c r="R13482" t="s">
        <v>43187</v>
      </c>
      <c r="S13482" t="s">
        <v>44147</v>
      </c>
      <c r="T13482" t="s">
        <v>44717</v>
      </c>
      <c r="U13482" t="s">
        <v>55910</v>
      </c>
      <c r="W13482" t="s">
        <v>42965</v>
      </c>
      <c r="X13482" t="s">
        <v>43188</v>
      </c>
    </row>
    <row r="13483" spans="1:24">
      <c r="A13483">
        <f>HYPERLINK("https://www.philgeps.gov.ph/GEPSNONPILOT/Tender/SplashBidNoticeAbstractUI.aspx?menuIndex=3&amp;refID=7047846&amp;Result=3","7047846")</f>
        <v>0</v>
      </c>
      <c r="B13483" t="s">
        <v>2033</v>
      </c>
      <c r="C13483" t="s">
        <v>16326</v>
      </c>
      <c r="D13483" t="s">
        <v>17448</v>
      </c>
      <c r="E13483" t="s">
        <v>29033</v>
      </c>
      <c r="F13483" t="s">
        <v>30052</v>
      </c>
      <c r="G13483" t="s">
        <v>30058</v>
      </c>
      <c r="H13483" t="s">
        <v>30067</v>
      </c>
      <c r="I13483" t="s">
        <v>3693</v>
      </c>
      <c r="J13483" t="s">
        <v>30222</v>
      </c>
      <c r="K13483" t="s">
        <v>39031</v>
      </c>
      <c r="M13483" t="s">
        <v>41482</v>
      </c>
      <c r="N13483" t="s">
        <v>43166</v>
      </c>
      <c r="O13483" t="s">
        <v>43167</v>
      </c>
      <c r="P13483">
        <v>0</v>
      </c>
      <c r="Q13483">
        <v>1</v>
      </c>
      <c r="R13483" t="s">
        <v>43187</v>
      </c>
      <c r="S13483" t="s">
        <v>44147</v>
      </c>
      <c r="T13483" t="s">
        <v>44773</v>
      </c>
      <c r="U13483" t="s">
        <v>55911</v>
      </c>
      <c r="W13483" t="s">
        <v>41482</v>
      </c>
      <c r="X13483" t="s">
        <v>43188</v>
      </c>
    </row>
    <row r="13484" spans="1:24">
      <c r="A13484">
        <f>HYPERLINK("https://www.philgeps.gov.ph/GEPSNONPILOT/Tender/SplashBidNoticeAbstractUI.aspx?menuIndex=3&amp;refID=7047668&amp;Result=3","7047668")</f>
        <v>0</v>
      </c>
      <c r="B13484" t="s">
        <v>3374</v>
      </c>
      <c r="C13484" t="s">
        <v>16327</v>
      </c>
      <c r="D13484" t="s">
        <v>17466</v>
      </c>
      <c r="E13484" t="s">
        <v>29034</v>
      </c>
      <c r="F13484" t="s">
        <v>30052</v>
      </c>
      <c r="G13484" t="s">
        <v>30058</v>
      </c>
      <c r="H13484" t="s">
        <v>15498</v>
      </c>
      <c r="I13484" t="s">
        <v>4119</v>
      </c>
      <c r="J13484" t="s">
        <v>38366</v>
      </c>
      <c r="K13484" t="s">
        <v>39034</v>
      </c>
      <c r="L13484" t="s">
        <v>3374</v>
      </c>
      <c r="M13484" t="s">
        <v>43026</v>
      </c>
      <c r="N13484" t="s">
        <v>43166</v>
      </c>
      <c r="O13484" t="s">
        <v>43167</v>
      </c>
      <c r="P13484">
        <v>0</v>
      </c>
      <c r="Q13484">
        <v>14</v>
      </c>
      <c r="R13484" t="s">
        <v>43187</v>
      </c>
      <c r="S13484" t="s">
        <v>44147</v>
      </c>
      <c r="T13484" t="s">
        <v>44844</v>
      </c>
      <c r="U13484" t="s">
        <v>55912</v>
      </c>
      <c r="W13484" t="s">
        <v>43026</v>
      </c>
      <c r="X13484" t="s">
        <v>43188</v>
      </c>
    </row>
    <row r="13485" spans="1:24">
      <c r="A13485">
        <f>HYPERLINK("https://www.philgeps.gov.ph/GEPSNONPILOT/Tender/SplashBidNoticeAbstractUI.aspx?menuIndex=3&amp;refID=7047667&amp;Result=3","7047667")</f>
        <v>0</v>
      </c>
      <c r="B13485" t="s">
        <v>49</v>
      </c>
      <c r="C13485" t="s">
        <v>16328</v>
      </c>
      <c r="D13485" t="s">
        <v>17432</v>
      </c>
      <c r="E13485" t="s">
        <v>29035</v>
      </c>
      <c r="F13485" t="s">
        <v>30052</v>
      </c>
      <c r="G13485" t="s">
        <v>30058</v>
      </c>
      <c r="H13485" t="s">
        <v>30067</v>
      </c>
      <c r="I13485" t="s">
        <v>3693</v>
      </c>
      <c r="J13485" t="s">
        <v>30557</v>
      </c>
      <c r="K13485" t="s">
        <v>39085</v>
      </c>
      <c r="M13485" t="s">
        <v>39339</v>
      </c>
      <c r="N13485" t="s">
        <v>43166</v>
      </c>
      <c r="O13485" t="s">
        <v>43167</v>
      </c>
      <c r="P13485">
        <v>0</v>
      </c>
      <c r="Q13485">
        <v>6</v>
      </c>
      <c r="R13485" t="s">
        <v>43187</v>
      </c>
      <c r="S13485" t="s">
        <v>44147</v>
      </c>
      <c r="T13485" t="s">
        <v>44856</v>
      </c>
      <c r="U13485" t="s">
        <v>55913</v>
      </c>
      <c r="W13485" t="s">
        <v>39339</v>
      </c>
      <c r="X13485" t="s">
        <v>43188</v>
      </c>
    </row>
    <row r="13486" spans="1:24">
      <c r="A13486">
        <f>HYPERLINK("https://www.philgeps.gov.ph/GEPSNONPILOT/Tender/SplashBidNoticeAbstractUI.aspx?menuIndex=3&amp;refID=7047666&amp;Result=3","7047666")</f>
        <v>0</v>
      </c>
      <c r="B13486" t="s">
        <v>175</v>
      </c>
      <c r="C13486" t="s">
        <v>16329</v>
      </c>
      <c r="D13486" t="s">
        <v>17476</v>
      </c>
      <c r="E13486" t="s">
        <v>23351</v>
      </c>
      <c r="F13486" t="s">
        <v>30052</v>
      </c>
      <c r="G13486" t="s">
        <v>30058</v>
      </c>
      <c r="H13486" t="s">
        <v>15498</v>
      </c>
      <c r="I13486" t="s">
        <v>30091</v>
      </c>
      <c r="J13486" t="s">
        <v>37563</v>
      </c>
      <c r="K13486" t="s">
        <v>39023</v>
      </c>
      <c r="M13486" t="s">
        <v>39464</v>
      </c>
      <c r="N13486" t="s">
        <v>43166</v>
      </c>
      <c r="O13486" t="s">
        <v>43167</v>
      </c>
      <c r="P13486">
        <v>0</v>
      </c>
      <c r="Q13486">
        <v>3</v>
      </c>
      <c r="R13486" t="s">
        <v>43187</v>
      </c>
      <c r="S13486" t="s">
        <v>44147</v>
      </c>
      <c r="T13486" t="s">
        <v>44844</v>
      </c>
      <c r="U13486" t="s">
        <v>55914</v>
      </c>
      <c r="V13486" t="s">
        <v>58038</v>
      </c>
      <c r="W13486" t="s">
        <v>39464</v>
      </c>
      <c r="X13486" t="s">
        <v>43188</v>
      </c>
    </row>
    <row r="13487" spans="1:24">
      <c r="A13487">
        <f>HYPERLINK("https://www.philgeps.gov.ph/GEPSNONPILOT/Tender/SplashBidNoticeAbstractUI.aspx?menuIndex=3&amp;refID=7047441&amp;Result=3","7047441")</f>
        <v>0</v>
      </c>
      <c r="B13487" t="s">
        <v>2059</v>
      </c>
      <c r="C13487" t="s">
        <v>16330</v>
      </c>
      <c r="D13487" t="s">
        <v>17432</v>
      </c>
      <c r="E13487" t="s">
        <v>29036</v>
      </c>
      <c r="F13487" t="s">
        <v>30052</v>
      </c>
      <c r="G13487" t="s">
        <v>30058</v>
      </c>
      <c r="H13487" t="s">
        <v>30067</v>
      </c>
      <c r="I13487" t="s">
        <v>3736</v>
      </c>
      <c r="J13487" t="s">
        <v>38367</v>
      </c>
      <c r="K13487" t="s">
        <v>39022</v>
      </c>
      <c r="M13487" t="s">
        <v>41516</v>
      </c>
      <c r="N13487" t="s">
        <v>43166</v>
      </c>
      <c r="O13487" t="s">
        <v>43167</v>
      </c>
      <c r="Q13487">
        <v>5</v>
      </c>
      <c r="R13487" t="s">
        <v>43187</v>
      </c>
      <c r="S13487" t="s">
        <v>43465</v>
      </c>
      <c r="T13487" t="s">
        <v>44969</v>
      </c>
      <c r="U13487" t="s">
        <v>55915</v>
      </c>
      <c r="V13487" t="s">
        <v>58444</v>
      </c>
      <c r="W13487" t="s">
        <v>41516</v>
      </c>
      <c r="X13487" t="s">
        <v>43188</v>
      </c>
    </row>
    <row r="13488" spans="1:24">
      <c r="A13488">
        <f>HYPERLINK("https://www.philgeps.gov.ph/GEPSNONPILOT/Tender/SplashBidNoticeAbstractUI.aspx?menuIndex=3&amp;refID=7047408&amp;Result=3","7047408")</f>
        <v>0</v>
      </c>
      <c r="B13488" t="s">
        <v>2059</v>
      </c>
      <c r="C13488" t="s">
        <v>16331</v>
      </c>
      <c r="D13488" t="s">
        <v>17432</v>
      </c>
      <c r="E13488" t="s">
        <v>29037</v>
      </c>
      <c r="F13488" t="s">
        <v>30052</v>
      </c>
      <c r="G13488" t="s">
        <v>30058</v>
      </c>
      <c r="H13488" t="s">
        <v>30067</v>
      </c>
      <c r="I13488" t="s">
        <v>3736</v>
      </c>
      <c r="J13488" t="s">
        <v>30205</v>
      </c>
      <c r="K13488" t="s">
        <v>39190</v>
      </c>
      <c r="M13488" t="s">
        <v>41516</v>
      </c>
      <c r="N13488" t="s">
        <v>43166</v>
      </c>
      <c r="O13488" t="s">
        <v>43167</v>
      </c>
      <c r="Q13488">
        <v>10</v>
      </c>
      <c r="R13488" t="s">
        <v>43187</v>
      </c>
      <c r="S13488" t="s">
        <v>44171</v>
      </c>
      <c r="T13488" t="s">
        <v>44969</v>
      </c>
      <c r="U13488" t="s">
        <v>55916</v>
      </c>
      <c r="V13488" t="s">
        <v>58434</v>
      </c>
      <c r="W13488" t="s">
        <v>41516</v>
      </c>
      <c r="X13488" t="s">
        <v>43188</v>
      </c>
    </row>
    <row r="13489" spans="1:24">
      <c r="A13489">
        <f>HYPERLINK("https://www.philgeps.gov.ph/GEPSNONPILOT/Tender/SplashBidNoticeAbstractUI.aspx?menuIndex=3&amp;refID=7047280&amp;Result=3","7047280")</f>
        <v>0</v>
      </c>
      <c r="B13489" t="s">
        <v>645</v>
      </c>
      <c r="C13489" t="s">
        <v>16332</v>
      </c>
      <c r="D13489" t="s">
        <v>17464</v>
      </c>
      <c r="E13489" t="s">
        <v>29038</v>
      </c>
      <c r="F13489" t="s">
        <v>30052</v>
      </c>
      <c r="G13489" t="s">
        <v>30058</v>
      </c>
      <c r="H13489" t="s">
        <v>30067</v>
      </c>
      <c r="I13489" t="s">
        <v>3693</v>
      </c>
      <c r="J13489" t="s">
        <v>38368</v>
      </c>
      <c r="K13489" t="s">
        <v>39025</v>
      </c>
      <c r="M13489" t="s">
        <v>39949</v>
      </c>
      <c r="N13489" t="s">
        <v>43166</v>
      </c>
      <c r="O13489" t="s">
        <v>43167</v>
      </c>
      <c r="P13489">
        <v>0</v>
      </c>
      <c r="Q13489">
        <v>50</v>
      </c>
      <c r="R13489" t="s">
        <v>43187</v>
      </c>
      <c r="S13489" t="s">
        <v>44147</v>
      </c>
      <c r="T13489" t="s">
        <v>44717</v>
      </c>
      <c r="U13489" t="s">
        <v>55917</v>
      </c>
      <c r="W13489" t="s">
        <v>39949</v>
      </c>
      <c r="X13489" t="s">
        <v>43188</v>
      </c>
    </row>
    <row r="13490" spans="1:24">
      <c r="A13490">
        <f>HYPERLINK("https://www.philgeps.gov.ph/GEPSNONPILOT/Tender/SplashBidNoticeAbstractUI.aspx?menuIndex=3&amp;refID=7047695&amp;Result=3","7047695")</f>
        <v>0</v>
      </c>
      <c r="B13490" t="s">
        <v>3375</v>
      </c>
      <c r="C13490" t="s">
        <v>16333</v>
      </c>
      <c r="D13490" t="s">
        <v>17426</v>
      </c>
      <c r="E13490" t="s">
        <v>29039</v>
      </c>
      <c r="F13490" t="s">
        <v>30052</v>
      </c>
      <c r="G13490" t="s">
        <v>30058</v>
      </c>
      <c r="H13490" t="s">
        <v>30067</v>
      </c>
      <c r="I13490" t="s">
        <v>3693</v>
      </c>
      <c r="J13490" t="s">
        <v>38369</v>
      </c>
      <c r="K13490" t="s">
        <v>39045</v>
      </c>
      <c r="M13490" t="s">
        <v>43027</v>
      </c>
      <c r="N13490" t="s">
        <v>43166</v>
      </c>
      <c r="O13490" t="s">
        <v>43167</v>
      </c>
      <c r="P13490">
        <v>0</v>
      </c>
      <c r="Q13490">
        <v>0</v>
      </c>
      <c r="R13490" t="s">
        <v>43187</v>
      </c>
      <c r="S13490" t="s">
        <v>44147</v>
      </c>
      <c r="T13490" t="s">
        <v>44777</v>
      </c>
      <c r="U13490" t="s">
        <v>55918</v>
      </c>
      <c r="W13490" t="s">
        <v>43027</v>
      </c>
      <c r="X13490" t="s">
        <v>43188</v>
      </c>
    </row>
    <row r="13491" spans="1:24">
      <c r="A13491">
        <f>HYPERLINK("https://www.philgeps.gov.ph/GEPSNONPILOT/Tender/SplashBidNoticeAbstractUI.aspx?menuIndex=3&amp;refID=7047259&amp;Result=3","7047259")</f>
        <v>0</v>
      </c>
      <c r="B13491" t="s">
        <v>3100</v>
      </c>
      <c r="C13491" t="s">
        <v>16334</v>
      </c>
      <c r="D13491" t="s">
        <v>17477</v>
      </c>
      <c r="E13491" t="s">
        <v>29040</v>
      </c>
      <c r="F13491" t="s">
        <v>30052</v>
      </c>
      <c r="G13491" t="s">
        <v>30058</v>
      </c>
      <c r="H13491" t="s">
        <v>15498</v>
      </c>
      <c r="I13491" t="s">
        <v>30125</v>
      </c>
      <c r="J13491" t="s">
        <v>38370</v>
      </c>
      <c r="K13491" t="s">
        <v>39025</v>
      </c>
      <c r="M13491" t="s">
        <v>42689</v>
      </c>
      <c r="N13491" t="s">
        <v>43166</v>
      </c>
      <c r="O13491" t="s">
        <v>43167</v>
      </c>
      <c r="P13491">
        <v>0</v>
      </c>
      <c r="Q13491">
        <v>4</v>
      </c>
      <c r="R13491" t="s">
        <v>43187</v>
      </c>
      <c r="S13491" t="s">
        <v>44147</v>
      </c>
      <c r="T13491" t="s">
        <v>44734</v>
      </c>
      <c r="U13491" t="s">
        <v>55919</v>
      </c>
      <c r="W13491" t="s">
        <v>42689</v>
      </c>
      <c r="X13491" t="s">
        <v>43188</v>
      </c>
    </row>
    <row r="13492" spans="1:24">
      <c r="A13492">
        <f>HYPERLINK("https://www.philgeps.gov.ph/GEPSNONPILOT/Tender/SplashBidNoticeAbstractUI.aspx?menuIndex=3&amp;refID=7047231&amp;Result=3","7047231")</f>
        <v>0</v>
      </c>
      <c r="B13492" t="s">
        <v>3100</v>
      </c>
      <c r="C13492" t="s">
        <v>16335</v>
      </c>
      <c r="D13492" t="s">
        <v>17477</v>
      </c>
      <c r="E13492" t="s">
        <v>29041</v>
      </c>
      <c r="F13492" t="s">
        <v>30052</v>
      </c>
      <c r="G13492" t="s">
        <v>30058</v>
      </c>
      <c r="H13492" t="s">
        <v>30067</v>
      </c>
      <c r="I13492" t="s">
        <v>30093</v>
      </c>
      <c r="J13492" t="s">
        <v>38371</v>
      </c>
      <c r="K13492" t="s">
        <v>39025</v>
      </c>
      <c r="M13492" t="s">
        <v>42689</v>
      </c>
      <c r="N13492" t="s">
        <v>43166</v>
      </c>
      <c r="O13492" t="s">
        <v>43167</v>
      </c>
      <c r="P13492">
        <v>0</v>
      </c>
      <c r="Q13492">
        <v>0</v>
      </c>
      <c r="R13492" t="s">
        <v>43187</v>
      </c>
      <c r="S13492" t="s">
        <v>44147</v>
      </c>
      <c r="T13492" t="s">
        <v>44734</v>
      </c>
      <c r="U13492" t="s">
        <v>55920</v>
      </c>
      <c r="W13492" t="s">
        <v>42689</v>
      </c>
      <c r="X13492" t="s">
        <v>43188</v>
      </c>
    </row>
    <row r="13493" spans="1:24">
      <c r="A13493">
        <f>HYPERLINK("https://www.philgeps.gov.ph/GEPSNONPILOT/Tender/SplashBidNoticeAbstractUI.aspx?menuIndex=3&amp;refID=7047702&amp;Result=3","7047702")</f>
        <v>0</v>
      </c>
      <c r="B13493" t="s">
        <v>104</v>
      </c>
      <c r="C13493" t="s">
        <v>16336</v>
      </c>
      <c r="D13493" t="s">
        <v>17457</v>
      </c>
      <c r="E13493" t="s">
        <v>29042</v>
      </c>
      <c r="F13493" t="s">
        <v>30052</v>
      </c>
      <c r="G13493" t="s">
        <v>30058</v>
      </c>
      <c r="H13493" t="s">
        <v>15498</v>
      </c>
      <c r="I13493" t="s">
        <v>30074</v>
      </c>
      <c r="J13493" t="s">
        <v>38372</v>
      </c>
      <c r="K13493" t="s">
        <v>39029</v>
      </c>
      <c r="M13493" t="s">
        <v>39393</v>
      </c>
      <c r="N13493" t="s">
        <v>43166</v>
      </c>
      <c r="O13493" t="s">
        <v>43167</v>
      </c>
      <c r="P13493">
        <v>0</v>
      </c>
      <c r="Q13493">
        <v>5</v>
      </c>
      <c r="R13493" t="s">
        <v>43187</v>
      </c>
      <c r="S13493" t="s">
        <v>44147</v>
      </c>
      <c r="T13493" t="s">
        <v>44844</v>
      </c>
      <c r="U13493" t="s">
        <v>55921</v>
      </c>
      <c r="V13493" t="s">
        <v>57514</v>
      </c>
      <c r="W13493" t="s">
        <v>39393</v>
      </c>
      <c r="X13493" t="s">
        <v>43188</v>
      </c>
    </row>
    <row r="13494" spans="1:24">
      <c r="A13494">
        <f>HYPERLINK("https://www.philgeps.gov.ph/GEPSNONPILOT/Tender/SplashBidNoticeAbstractUI.aspx?menuIndex=3&amp;refID=7048235&amp;Result=3","7048235")</f>
        <v>0</v>
      </c>
      <c r="B13494" t="s">
        <v>3284</v>
      </c>
      <c r="C13494" t="s">
        <v>16337</v>
      </c>
      <c r="E13494" t="s">
        <v>29043</v>
      </c>
      <c r="F13494" t="s">
        <v>30052</v>
      </c>
      <c r="G13494" t="s">
        <v>30058</v>
      </c>
      <c r="H13494" t="s">
        <v>30067</v>
      </c>
      <c r="I13494" t="s">
        <v>3693</v>
      </c>
      <c r="J13494" t="s">
        <v>38373</v>
      </c>
      <c r="K13494" t="s">
        <v>39057</v>
      </c>
      <c r="M13494" t="s">
        <v>42918</v>
      </c>
      <c r="N13494" t="s">
        <v>43166</v>
      </c>
      <c r="O13494" t="s">
        <v>43167</v>
      </c>
      <c r="Q13494">
        <v>1</v>
      </c>
      <c r="R13494" t="s">
        <v>43187</v>
      </c>
      <c r="S13494" t="s">
        <v>44172</v>
      </c>
      <c r="T13494" t="s">
        <v>44696</v>
      </c>
      <c r="U13494" t="s">
        <v>46667</v>
      </c>
      <c r="W13494" t="s">
        <v>42918</v>
      </c>
      <c r="X13494" t="s">
        <v>43188</v>
      </c>
    </row>
    <row r="13495" spans="1:24">
      <c r="A13495">
        <f>HYPERLINK("https://www.philgeps.gov.ph/GEPSNONPILOT/Tender/SplashBidNoticeAbstractUI.aspx?menuIndex=3&amp;refID=7047696&amp;Result=3","7047696")</f>
        <v>0</v>
      </c>
      <c r="B13495" t="s">
        <v>1465</v>
      </c>
      <c r="C13495" t="s">
        <v>16338</v>
      </c>
      <c r="D13495" t="s">
        <v>17456</v>
      </c>
      <c r="E13495" t="s">
        <v>29044</v>
      </c>
      <c r="F13495" t="s">
        <v>30052</v>
      </c>
      <c r="G13495" t="s">
        <v>30058</v>
      </c>
      <c r="H13495" t="s">
        <v>15498</v>
      </c>
      <c r="I13495" t="s">
        <v>3852</v>
      </c>
      <c r="J13495" t="s">
        <v>38374</v>
      </c>
      <c r="K13495" t="s">
        <v>39029</v>
      </c>
      <c r="M13495" t="s">
        <v>40846</v>
      </c>
      <c r="N13495" t="s">
        <v>43166</v>
      </c>
      <c r="O13495" t="s">
        <v>43167</v>
      </c>
      <c r="Q13495">
        <v>3</v>
      </c>
      <c r="R13495" t="s">
        <v>43187</v>
      </c>
      <c r="S13495" t="s">
        <v>44173</v>
      </c>
      <c r="T13495" t="s">
        <v>45177</v>
      </c>
      <c r="U13495" t="s">
        <v>55922</v>
      </c>
      <c r="W13495" t="s">
        <v>40846</v>
      </c>
      <c r="X13495" t="s">
        <v>43188</v>
      </c>
    </row>
    <row r="13496" spans="1:24">
      <c r="A13496">
        <f>HYPERLINK("https://www.philgeps.gov.ph/GEPSNONPILOT/Tender/SplashBidNoticeAbstractUI.aspx?menuIndex=3&amp;refID=7048428&amp;Result=3","7048428")</f>
        <v>0</v>
      </c>
      <c r="B13496" t="s">
        <v>2452</v>
      </c>
      <c r="C13496" t="s">
        <v>16339</v>
      </c>
      <c r="D13496" t="s">
        <v>17459</v>
      </c>
      <c r="E13496" t="s">
        <v>29045</v>
      </c>
      <c r="F13496" t="s">
        <v>30052</v>
      </c>
      <c r="G13496" t="s">
        <v>30058</v>
      </c>
      <c r="H13496" t="s">
        <v>15498</v>
      </c>
      <c r="I13496" t="s">
        <v>3736</v>
      </c>
      <c r="J13496" t="s">
        <v>38375</v>
      </c>
      <c r="K13496" t="s">
        <v>39019</v>
      </c>
      <c r="M13496" t="s">
        <v>41951</v>
      </c>
      <c r="N13496" t="s">
        <v>43166</v>
      </c>
      <c r="O13496" t="s">
        <v>43167</v>
      </c>
      <c r="P13496">
        <v>0</v>
      </c>
      <c r="Q13496">
        <v>1</v>
      </c>
      <c r="R13496" t="s">
        <v>43187</v>
      </c>
      <c r="S13496" t="s">
        <v>44147</v>
      </c>
      <c r="T13496" t="s">
        <v>45178</v>
      </c>
      <c r="U13496" t="s">
        <v>51675</v>
      </c>
      <c r="V13496" t="s">
        <v>58445</v>
      </c>
      <c r="W13496" t="s">
        <v>41951</v>
      </c>
      <c r="X13496" t="s">
        <v>43188</v>
      </c>
    </row>
    <row r="13497" spans="1:24">
      <c r="A13497">
        <f>HYPERLINK("https://www.philgeps.gov.ph/GEPSNONPILOT/Tender/SplashBidNoticeAbstractUI.aspx?menuIndex=3&amp;refID=7048401&amp;Result=3","7048401")</f>
        <v>0</v>
      </c>
      <c r="B13497" t="s">
        <v>3376</v>
      </c>
      <c r="C13497" t="s">
        <v>16340</v>
      </c>
      <c r="D13497" t="s">
        <v>17448</v>
      </c>
      <c r="E13497" t="s">
        <v>29046</v>
      </c>
      <c r="F13497" t="s">
        <v>30052</v>
      </c>
      <c r="G13497" t="s">
        <v>30058</v>
      </c>
      <c r="H13497" t="s">
        <v>30067</v>
      </c>
      <c r="I13497" t="s">
        <v>30152</v>
      </c>
      <c r="J13497" t="s">
        <v>30281</v>
      </c>
      <c r="K13497" t="s">
        <v>39023</v>
      </c>
      <c r="M13497" t="s">
        <v>43028</v>
      </c>
      <c r="N13497" t="s">
        <v>43166</v>
      </c>
      <c r="O13497" t="s">
        <v>43167</v>
      </c>
      <c r="P13497">
        <v>0</v>
      </c>
      <c r="Q13497">
        <v>4</v>
      </c>
      <c r="R13497" t="s">
        <v>43187</v>
      </c>
      <c r="S13497" t="s">
        <v>44147</v>
      </c>
      <c r="T13497" t="s">
        <v>44718</v>
      </c>
      <c r="U13497" t="s">
        <v>55923</v>
      </c>
      <c r="W13497" t="s">
        <v>43028</v>
      </c>
      <c r="X13497" t="s">
        <v>43188</v>
      </c>
    </row>
    <row r="13498" spans="1:24">
      <c r="A13498">
        <f>HYPERLINK("https://www.philgeps.gov.ph/GEPSNONPILOT/Tender/SplashBidNoticeAbstractUI.aspx?menuIndex=3&amp;refID=7048395&amp;Result=3","7048395")</f>
        <v>0</v>
      </c>
      <c r="B13498" t="s">
        <v>1730</v>
      </c>
      <c r="C13498" t="s">
        <v>16341</v>
      </c>
      <c r="D13498" t="s">
        <v>17423</v>
      </c>
      <c r="E13498" t="s">
        <v>29047</v>
      </c>
      <c r="F13498" t="s">
        <v>30052</v>
      </c>
      <c r="G13498" t="s">
        <v>30058</v>
      </c>
      <c r="H13498" t="s">
        <v>15498</v>
      </c>
      <c r="I13498" t="s">
        <v>30081</v>
      </c>
      <c r="J13498" t="s">
        <v>38376</v>
      </c>
      <c r="K13498" t="s">
        <v>39019</v>
      </c>
      <c r="M13498" t="s">
        <v>41999</v>
      </c>
      <c r="N13498" t="s">
        <v>43166</v>
      </c>
      <c r="O13498" t="s">
        <v>43167</v>
      </c>
      <c r="Q13498">
        <v>0</v>
      </c>
      <c r="R13498" t="s">
        <v>43187</v>
      </c>
      <c r="S13498" t="s">
        <v>44174</v>
      </c>
      <c r="T13498" t="s">
        <v>44965</v>
      </c>
      <c r="U13498" t="s">
        <v>55924</v>
      </c>
      <c r="W13498" t="s">
        <v>41999</v>
      </c>
      <c r="X13498" t="s">
        <v>43188</v>
      </c>
    </row>
    <row r="13499" spans="1:24">
      <c r="A13499">
        <f>HYPERLINK("https://www.philgeps.gov.ph/GEPSNONPILOT/Tender/SplashBidNoticeAbstractUI.aspx?menuIndex=3&amp;refID=7048379&amp;Result=3","7048379")</f>
        <v>0</v>
      </c>
      <c r="B13499" t="s">
        <v>2452</v>
      </c>
      <c r="C13499" t="s">
        <v>16342</v>
      </c>
      <c r="D13499" t="s">
        <v>17459</v>
      </c>
      <c r="E13499" t="s">
        <v>29048</v>
      </c>
      <c r="F13499" t="s">
        <v>30052</v>
      </c>
      <c r="G13499" t="s">
        <v>30058</v>
      </c>
      <c r="H13499" t="s">
        <v>30067</v>
      </c>
      <c r="I13499" t="s">
        <v>3693</v>
      </c>
      <c r="J13499" t="s">
        <v>30205</v>
      </c>
      <c r="K13499" t="s">
        <v>39057</v>
      </c>
      <c r="M13499" t="s">
        <v>41951</v>
      </c>
      <c r="N13499" t="s">
        <v>43166</v>
      </c>
      <c r="O13499" t="s">
        <v>43167</v>
      </c>
      <c r="Q13499">
        <v>0</v>
      </c>
      <c r="R13499" t="s">
        <v>43187</v>
      </c>
      <c r="S13499" t="s">
        <v>44175</v>
      </c>
      <c r="T13499" t="s">
        <v>45178</v>
      </c>
      <c r="U13499" t="s">
        <v>51675</v>
      </c>
      <c r="W13499" t="s">
        <v>41951</v>
      </c>
      <c r="X13499" t="s">
        <v>43188</v>
      </c>
    </row>
    <row r="13500" spans="1:24">
      <c r="A13500">
        <f>HYPERLINK("https://www.philgeps.gov.ph/GEPSNONPILOT/Tender/SplashBidNoticeAbstractUI.aspx?menuIndex=3&amp;refID=7048333&amp;Result=3","7048333")</f>
        <v>0</v>
      </c>
      <c r="B13500" t="s">
        <v>2395</v>
      </c>
      <c r="C13500" t="s">
        <v>16343</v>
      </c>
      <c r="D13500" t="s">
        <v>17448</v>
      </c>
      <c r="E13500" t="s">
        <v>29049</v>
      </c>
      <c r="F13500" t="s">
        <v>30052</v>
      </c>
      <c r="G13500" t="s">
        <v>30058</v>
      </c>
      <c r="H13500" t="s">
        <v>15498</v>
      </c>
      <c r="I13500" t="s">
        <v>30118</v>
      </c>
      <c r="J13500" t="s">
        <v>38377</v>
      </c>
      <c r="K13500" t="s">
        <v>39029</v>
      </c>
      <c r="M13500" t="s">
        <v>42591</v>
      </c>
      <c r="N13500" t="s">
        <v>43166</v>
      </c>
      <c r="O13500" t="s">
        <v>43167</v>
      </c>
      <c r="P13500">
        <v>0</v>
      </c>
      <c r="Q13500">
        <v>3</v>
      </c>
      <c r="R13500" t="s">
        <v>43187</v>
      </c>
      <c r="S13500" t="s">
        <v>44147</v>
      </c>
      <c r="T13500" t="s">
        <v>44844</v>
      </c>
      <c r="U13500" t="s">
        <v>55925</v>
      </c>
      <c r="V13500" t="s">
        <v>58042</v>
      </c>
      <c r="W13500" t="s">
        <v>42591</v>
      </c>
      <c r="X13500" t="s">
        <v>43188</v>
      </c>
    </row>
    <row r="13501" spans="1:24">
      <c r="A13501">
        <f>HYPERLINK("https://www.philgeps.gov.ph/GEPSNONPILOT/Tender/SplashBidNoticeAbstractUI.aspx?menuIndex=3&amp;refID=7047708&amp;Result=3","7047708")</f>
        <v>0</v>
      </c>
      <c r="B13501" t="s">
        <v>2538</v>
      </c>
      <c r="C13501" t="s">
        <v>16344</v>
      </c>
      <c r="D13501" t="s">
        <v>17494</v>
      </c>
      <c r="E13501" t="s">
        <v>29050</v>
      </c>
      <c r="F13501" t="s">
        <v>30052</v>
      </c>
      <c r="G13501" t="s">
        <v>30058</v>
      </c>
      <c r="H13501" t="s">
        <v>15498</v>
      </c>
      <c r="I13501" t="s">
        <v>30073</v>
      </c>
      <c r="J13501" t="s">
        <v>38378</v>
      </c>
      <c r="K13501" t="s">
        <v>39029</v>
      </c>
      <c r="M13501" t="s">
        <v>42045</v>
      </c>
      <c r="N13501" t="s">
        <v>43166</v>
      </c>
      <c r="O13501" t="s">
        <v>43167</v>
      </c>
      <c r="P13501">
        <v>0</v>
      </c>
      <c r="Q13501">
        <v>0</v>
      </c>
      <c r="R13501" t="s">
        <v>43187</v>
      </c>
      <c r="S13501" t="s">
        <v>44147</v>
      </c>
      <c r="T13501" t="s">
        <v>44822</v>
      </c>
      <c r="U13501" t="s">
        <v>55926</v>
      </c>
      <c r="V13501" t="s">
        <v>58446</v>
      </c>
      <c r="W13501" t="s">
        <v>42045</v>
      </c>
      <c r="X13501" t="s">
        <v>43188</v>
      </c>
    </row>
    <row r="13502" spans="1:24">
      <c r="A13502">
        <f>HYPERLINK("https://www.philgeps.gov.ph/GEPSNONPILOT/Tender/SplashBidNoticeAbstractUI.aspx?menuIndex=3&amp;refID=7048317&amp;Result=3","7048317")</f>
        <v>0</v>
      </c>
      <c r="B13502" t="s">
        <v>3243</v>
      </c>
      <c r="C13502" t="s">
        <v>16345</v>
      </c>
      <c r="D13502" t="s">
        <v>17450</v>
      </c>
      <c r="E13502" t="s">
        <v>29051</v>
      </c>
      <c r="F13502" t="s">
        <v>30052</v>
      </c>
      <c r="G13502" t="s">
        <v>30058</v>
      </c>
      <c r="H13502" t="s">
        <v>15498</v>
      </c>
      <c r="I13502" t="s">
        <v>30074</v>
      </c>
      <c r="J13502" t="s">
        <v>31664</v>
      </c>
      <c r="K13502" t="s">
        <v>39029</v>
      </c>
      <c r="M13502" t="s">
        <v>42873</v>
      </c>
      <c r="N13502" t="s">
        <v>43166</v>
      </c>
      <c r="O13502" t="s">
        <v>43167</v>
      </c>
      <c r="P13502">
        <v>0</v>
      </c>
      <c r="Q13502">
        <v>4</v>
      </c>
      <c r="R13502" t="s">
        <v>43187</v>
      </c>
      <c r="S13502" t="s">
        <v>44147</v>
      </c>
      <c r="T13502" t="s">
        <v>44806</v>
      </c>
      <c r="U13502" t="s">
        <v>55927</v>
      </c>
      <c r="W13502" t="s">
        <v>42873</v>
      </c>
      <c r="X13502" t="s">
        <v>43188</v>
      </c>
    </row>
    <row r="13503" spans="1:24">
      <c r="A13503">
        <f>HYPERLINK("https://www.philgeps.gov.ph/GEPSNONPILOT/Tender/SplashBidNoticeAbstractUI.aspx?menuIndex=3&amp;refID=7048315&amp;Result=3","7048315")</f>
        <v>0</v>
      </c>
      <c r="B13503" t="s">
        <v>439</v>
      </c>
      <c r="C13503" t="s">
        <v>16346</v>
      </c>
      <c r="E13503" t="s">
        <v>29052</v>
      </c>
      <c r="F13503" t="s">
        <v>30052</v>
      </c>
      <c r="G13503" t="s">
        <v>30058</v>
      </c>
      <c r="H13503" t="s">
        <v>30069</v>
      </c>
      <c r="I13503" t="s">
        <v>30165</v>
      </c>
      <c r="J13503" t="s">
        <v>38379</v>
      </c>
      <c r="K13503" t="s">
        <v>39068</v>
      </c>
      <c r="M13503" t="s">
        <v>43029</v>
      </c>
      <c r="N13503" t="s">
        <v>43166</v>
      </c>
      <c r="O13503" t="s">
        <v>43167</v>
      </c>
      <c r="P13503">
        <v>0</v>
      </c>
      <c r="Q13503">
        <v>1</v>
      </c>
      <c r="R13503" t="s">
        <v>43187</v>
      </c>
      <c r="S13503" t="s">
        <v>44147</v>
      </c>
      <c r="T13503" t="s">
        <v>44717</v>
      </c>
      <c r="U13503" t="s">
        <v>55928</v>
      </c>
      <c r="V13503" t="s">
        <v>58447</v>
      </c>
      <c r="W13503" t="s">
        <v>43029</v>
      </c>
      <c r="X13503" t="s">
        <v>43188</v>
      </c>
    </row>
    <row r="13504" spans="1:24">
      <c r="A13504">
        <f>HYPERLINK("https://www.philgeps.gov.ph/GEPSNONPILOT/Tender/SplashBidNoticeAbstractUI.aspx?menuIndex=3&amp;refID=7048314&amp;Result=3","7048314")</f>
        <v>0</v>
      </c>
      <c r="B13504" t="s">
        <v>1779</v>
      </c>
      <c r="C13504" t="s">
        <v>16347</v>
      </c>
      <c r="D13504" t="s">
        <v>17444</v>
      </c>
      <c r="E13504" t="s">
        <v>29053</v>
      </c>
      <c r="F13504" t="s">
        <v>30052</v>
      </c>
      <c r="G13504" t="s">
        <v>30058</v>
      </c>
      <c r="H13504" t="s">
        <v>15498</v>
      </c>
      <c r="I13504" t="s">
        <v>3852</v>
      </c>
      <c r="J13504" t="s">
        <v>30397</v>
      </c>
      <c r="K13504" t="s">
        <v>39034</v>
      </c>
      <c r="M13504" t="s">
        <v>41621</v>
      </c>
      <c r="N13504" t="s">
        <v>43166</v>
      </c>
      <c r="O13504" t="s">
        <v>43167</v>
      </c>
      <c r="P13504">
        <v>0</v>
      </c>
      <c r="Q13504">
        <v>1</v>
      </c>
      <c r="R13504" t="s">
        <v>43187</v>
      </c>
      <c r="S13504" t="s">
        <v>44147</v>
      </c>
      <c r="T13504" t="s">
        <v>44717</v>
      </c>
      <c r="U13504" t="s">
        <v>55929</v>
      </c>
      <c r="V13504" t="s">
        <v>57534</v>
      </c>
      <c r="W13504" t="s">
        <v>41621</v>
      </c>
      <c r="X13504" t="s">
        <v>43188</v>
      </c>
    </row>
    <row r="13505" spans="1:24">
      <c r="A13505">
        <f>HYPERLINK("https://www.philgeps.gov.ph/GEPSNONPILOT/Tender/SplashBidNoticeAbstractUI.aspx?menuIndex=3&amp;refID=7048306&amp;Result=3","7048306")</f>
        <v>0</v>
      </c>
      <c r="B13505" t="s">
        <v>298</v>
      </c>
      <c r="C13505" t="s">
        <v>16348</v>
      </c>
      <c r="D13505" t="s">
        <v>17468</v>
      </c>
      <c r="E13505" t="s">
        <v>29054</v>
      </c>
      <c r="F13505" t="s">
        <v>30052</v>
      </c>
      <c r="G13505" t="s">
        <v>30058</v>
      </c>
      <c r="H13505" t="s">
        <v>30067</v>
      </c>
      <c r="I13505" t="s">
        <v>3693</v>
      </c>
      <c r="J13505" t="s">
        <v>38380</v>
      </c>
      <c r="K13505" t="s">
        <v>39209</v>
      </c>
      <c r="M13505" t="s">
        <v>39593</v>
      </c>
      <c r="N13505" t="s">
        <v>43166</v>
      </c>
      <c r="O13505" t="s">
        <v>43167</v>
      </c>
      <c r="P13505">
        <v>0</v>
      </c>
      <c r="Q13505">
        <v>0</v>
      </c>
      <c r="R13505" t="s">
        <v>43187</v>
      </c>
      <c r="S13505" t="s">
        <v>44147</v>
      </c>
      <c r="T13505" t="s">
        <v>44806</v>
      </c>
      <c r="U13505" t="s">
        <v>55930</v>
      </c>
      <c r="W13505" t="s">
        <v>39593</v>
      </c>
      <c r="X13505" t="s">
        <v>43188</v>
      </c>
    </row>
    <row r="13506" spans="1:24">
      <c r="A13506">
        <f>HYPERLINK("https://www.philgeps.gov.ph/GEPSNONPILOT/Tender/SplashBidNoticeAbstractUI.aspx?menuIndex=3&amp;refID=7048305&amp;Result=3","7048305")</f>
        <v>0</v>
      </c>
      <c r="B13506" t="s">
        <v>3069</v>
      </c>
      <c r="C13506" t="s">
        <v>16349</v>
      </c>
      <c r="D13506" t="s">
        <v>17474</v>
      </c>
      <c r="E13506" t="s">
        <v>29055</v>
      </c>
      <c r="F13506" t="s">
        <v>30052</v>
      </c>
      <c r="G13506" t="s">
        <v>30058</v>
      </c>
      <c r="H13506" t="s">
        <v>15498</v>
      </c>
      <c r="I13506" t="s">
        <v>3693</v>
      </c>
      <c r="J13506" t="s">
        <v>38381</v>
      </c>
      <c r="K13506" t="s">
        <v>39023</v>
      </c>
      <c r="M13506" t="s">
        <v>42652</v>
      </c>
      <c r="N13506" t="s">
        <v>43166</v>
      </c>
      <c r="O13506" t="s">
        <v>43167</v>
      </c>
      <c r="P13506">
        <v>0</v>
      </c>
      <c r="Q13506">
        <v>2</v>
      </c>
      <c r="R13506" t="s">
        <v>43187</v>
      </c>
      <c r="S13506" t="s">
        <v>44147</v>
      </c>
      <c r="T13506" t="s">
        <v>44870</v>
      </c>
      <c r="U13506" t="s">
        <v>55931</v>
      </c>
      <c r="W13506" t="s">
        <v>42652</v>
      </c>
      <c r="X13506" t="s">
        <v>43188</v>
      </c>
    </row>
    <row r="13507" spans="1:24">
      <c r="A13507">
        <f>HYPERLINK("https://www.philgeps.gov.ph/GEPSNONPILOT/Tender/SplashBidNoticeAbstractUI.aspx?menuIndex=3&amp;refID=7048285&amp;Result=3","7048285")</f>
        <v>0</v>
      </c>
      <c r="B13507" t="s">
        <v>50</v>
      </c>
      <c r="C13507" t="s">
        <v>16350</v>
      </c>
      <c r="D13507" t="s">
        <v>17433</v>
      </c>
      <c r="E13507" t="s">
        <v>29056</v>
      </c>
      <c r="F13507" t="s">
        <v>30052</v>
      </c>
      <c r="G13507" t="s">
        <v>30058</v>
      </c>
      <c r="H13507" t="s">
        <v>15498</v>
      </c>
      <c r="I13507" t="s">
        <v>30081</v>
      </c>
      <c r="J13507" t="s">
        <v>38382</v>
      </c>
      <c r="K13507" t="s">
        <v>39017</v>
      </c>
      <c r="M13507" t="s">
        <v>40640</v>
      </c>
      <c r="N13507" t="s">
        <v>43166</v>
      </c>
      <c r="O13507" t="s">
        <v>43167</v>
      </c>
      <c r="P13507">
        <v>0</v>
      </c>
      <c r="Q13507">
        <v>4</v>
      </c>
      <c r="R13507" t="s">
        <v>43187</v>
      </c>
      <c r="S13507" t="s">
        <v>44147</v>
      </c>
      <c r="T13507" t="s">
        <v>44844</v>
      </c>
      <c r="U13507" t="s">
        <v>55909</v>
      </c>
      <c r="W13507" t="s">
        <v>40640</v>
      </c>
      <c r="X13507" t="s">
        <v>43188</v>
      </c>
    </row>
    <row r="13508" spans="1:24">
      <c r="A13508">
        <f>HYPERLINK("https://www.philgeps.gov.ph/GEPSNONPILOT/Tender/SplashBidNoticeAbstractUI.aspx?menuIndex=3&amp;refID=7048284&amp;Result=3","7048284")</f>
        <v>0</v>
      </c>
      <c r="B13508" t="s">
        <v>1779</v>
      </c>
      <c r="C13508" t="s">
        <v>16351</v>
      </c>
      <c r="D13508" t="s">
        <v>17444</v>
      </c>
      <c r="E13508" t="s">
        <v>29057</v>
      </c>
      <c r="F13508" t="s">
        <v>30052</v>
      </c>
      <c r="G13508" t="s">
        <v>30058</v>
      </c>
      <c r="H13508" t="s">
        <v>15498</v>
      </c>
      <c r="I13508" t="s">
        <v>30120</v>
      </c>
      <c r="J13508" t="s">
        <v>31071</v>
      </c>
      <c r="K13508" t="s">
        <v>39037</v>
      </c>
      <c r="M13508" t="s">
        <v>41621</v>
      </c>
      <c r="N13508" t="s">
        <v>43166</v>
      </c>
      <c r="O13508" t="s">
        <v>43167</v>
      </c>
      <c r="P13508">
        <v>0</v>
      </c>
      <c r="Q13508">
        <v>0</v>
      </c>
      <c r="R13508" t="s">
        <v>43187</v>
      </c>
      <c r="S13508" t="s">
        <v>44147</v>
      </c>
      <c r="T13508" t="s">
        <v>44717</v>
      </c>
      <c r="U13508" t="s">
        <v>55932</v>
      </c>
      <c r="V13508" t="s">
        <v>57534</v>
      </c>
      <c r="W13508" t="s">
        <v>41621</v>
      </c>
      <c r="X13508" t="s">
        <v>43188</v>
      </c>
    </row>
    <row r="13509" spans="1:24">
      <c r="A13509">
        <f>HYPERLINK("https://www.philgeps.gov.ph/GEPSNONPILOT/Tender/SplashBidNoticeAbstractUI.aspx?menuIndex=3&amp;refID=7048270&amp;Result=3","7048270")</f>
        <v>0</v>
      </c>
      <c r="B13509" t="s">
        <v>3367</v>
      </c>
      <c r="C13509" t="s">
        <v>16352</v>
      </c>
      <c r="D13509" t="s">
        <v>17432</v>
      </c>
      <c r="E13509" t="s">
        <v>29058</v>
      </c>
      <c r="F13509" t="s">
        <v>30052</v>
      </c>
      <c r="G13509" t="s">
        <v>30058</v>
      </c>
      <c r="H13509" t="s">
        <v>15498</v>
      </c>
      <c r="I13509" t="s">
        <v>4119</v>
      </c>
      <c r="J13509" t="s">
        <v>38383</v>
      </c>
      <c r="K13509" t="s">
        <v>39025</v>
      </c>
      <c r="M13509" t="s">
        <v>43018</v>
      </c>
      <c r="N13509" t="s">
        <v>43166</v>
      </c>
      <c r="O13509" t="s">
        <v>43167</v>
      </c>
      <c r="P13509">
        <v>0</v>
      </c>
      <c r="Q13509">
        <v>3</v>
      </c>
      <c r="R13509" t="s">
        <v>43187</v>
      </c>
      <c r="S13509" t="s">
        <v>44147</v>
      </c>
      <c r="T13509" t="s">
        <v>44717</v>
      </c>
      <c r="U13509" t="s">
        <v>55933</v>
      </c>
      <c r="V13509" t="s">
        <v>58115</v>
      </c>
      <c r="W13509" t="s">
        <v>43018</v>
      </c>
      <c r="X13509" t="s">
        <v>43188</v>
      </c>
    </row>
    <row r="13510" spans="1:24">
      <c r="A13510">
        <f>HYPERLINK("https://www.philgeps.gov.ph/GEPSNONPILOT/Tender/SplashBidNoticeAbstractUI.aspx?menuIndex=3&amp;refID=7048266&amp;Result=3","7048266")</f>
        <v>0</v>
      </c>
      <c r="B13510" t="s">
        <v>650</v>
      </c>
      <c r="C13510" t="s">
        <v>16353</v>
      </c>
      <c r="D13510" t="s">
        <v>17424</v>
      </c>
      <c r="E13510" t="s">
        <v>29059</v>
      </c>
      <c r="F13510" t="s">
        <v>30052</v>
      </c>
      <c r="G13510" t="s">
        <v>30058</v>
      </c>
      <c r="H13510" t="s">
        <v>30067</v>
      </c>
      <c r="I13510" t="s">
        <v>3693</v>
      </c>
      <c r="J13510" t="s">
        <v>30222</v>
      </c>
      <c r="K13510" t="s">
        <v>39086</v>
      </c>
      <c r="L13510" t="s">
        <v>650</v>
      </c>
      <c r="M13510" t="s">
        <v>39954</v>
      </c>
      <c r="N13510" t="s">
        <v>43166</v>
      </c>
      <c r="O13510" t="s">
        <v>43167</v>
      </c>
      <c r="P13510">
        <v>0</v>
      </c>
      <c r="Q13510">
        <v>92</v>
      </c>
      <c r="R13510" t="s">
        <v>43187</v>
      </c>
      <c r="S13510" t="s">
        <v>44147</v>
      </c>
      <c r="T13510" t="s">
        <v>44870</v>
      </c>
      <c r="U13510" t="s">
        <v>55934</v>
      </c>
      <c r="W13510" t="s">
        <v>39954</v>
      </c>
      <c r="X13510" t="s">
        <v>43188</v>
      </c>
    </row>
    <row r="13511" spans="1:24">
      <c r="A13511">
        <f>HYPERLINK("https://www.philgeps.gov.ph/GEPSNONPILOT/Tender/SplashBidNoticeAbstractUI.aspx?menuIndex=3&amp;refID=7047201&amp;Result=3","7047201")</f>
        <v>0</v>
      </c>
      <c r="B13511" t="s">
        <v>1169</v>
      </c>
      <c r="C13511" t="s">
        <v>16354</v>
      </c>
      <c r="D13511" t="s">
        <v>17458</v>
      </c>
      <c r="E13511" t="s">
        <v>29060</v>
      </c>
      <c r="F13511" t="s">
        <v>30052</v>
      </c>
      <c r="G13511" t="s">
        <v>30058</v>
      </c>
      <c r="H13511" t="s">
        <v>30067</v>
      </c>
      <c r="I13511" t="s">
        <v>3693</v>
      </c>
      <c r="J13511" t="s">
        <v>36524</v>
      </c>
      <c r="K13511" t="s">
        <v>39126</v>
      </c>
      <c r="M13511" t="s">
        <v>40516</v>
      </c>
      <c r="N13511" t="s">
        <v>43166</v>
      </c>
      <c r="O13511" t="s">
        <v>43167</v>
      </c>
      <c r="P13511">
        <v>0</v>
      </c>
      <c r="Q13511">
        <v>4</v>
      </c>
      <c r="R13511" t="s">
        <v>43187</v>
      </c>
      <c r="S13511" t="s">
        <v>44147</v>
      </c>
      <c r="T13511" t="s">
        <v>44862</v>
      </c>
      <c r="U13511" t="s">
        <v>55935</v>
      </c>
      <c r="V13511" t="s">
        <v>57181</v>
      </c>
      <c r="W13511" t="s">
        <v>58625</v>
      </c>
      <c r="X13511" t="s">
        <v>43188</v>
      </c>
    </row>
    <row r="13512" spans="1:24">
      <c r="A13512">
        <f>HYPERLINK("https://www.philgeps.gov.ph/GEPSNONPILOT/Tender/SplashBidNoticeAbstractUI.aspx?menuIndex=3&amp;refID=7048252&amp;Result=3","7048252")</f>
        <v>0</v>
      </c>
      <c r="B13512" t="s">
        <v>828</v>
      </c>
      <c r="C13512" t="s">
        <v>16355</v>
      </c>
      <c r="D13512" t="s">
        <v>17422</v>
      </c>
      <c r="E13512" t="s">
        <v>29061</v>
      </c>
      <c r="F13512" t="s">
        <v>30052</v>
      </c>
      <c r="G13512" t="s">
        <v>30058</v>
      </c>
      <c r="H13512" t="s">
        <v>15498</v>
      </c>
      <c r="I13512" t="s">
        <v>3736</v>
      </c>
      <c r="J13512" t="s">
        <v>38384</v>
      </c>
      <c r="K13512" t="s">
        <v>39029</v>
      </c>
      <c r="M13512" t="s">
        <v>40145</v>
      </c>
      <c r="N13512" t="s">
        <v>43166</v>
      </c>
      <c r="O13512" t="s">
        <v>43167</v>
      </c>
      <c r="P13512">
        <v>0</v>
      </c>
      <c r="Q13512">
        <v>2</v>
      </c>
      <c r="R13512" t="s">
        <v>43187</v>
      </c>
      <c r="S13512" t="s">
        <v>44147</v>
      </c>
      <c r="T13512" t="s">
        <v>44832</v>
      </c>
      <c r="U13512" t="s">
        <v>55936</v>
      </c>
      <c r="W13512" t="s">
        <v>40145</v>
      </c>
      <c r="X13512" t="s">
        <v>43188</v>
      </c>
    </row>
    <row r="13513" spans="1:24">
      <c r="A13513">
        <f>HYPERLINK("https://www.philgeps.gov.ph/GEPSNONPILOT/Tender/SplashBidNoticeAbstractUI.aspx?menuIndex=3&amp;refID=7048243&amp;Result=3","7048243")</f>
        <v>0</v>
      </c>
      <c r="B13513" t="s">
        <v>3367</v>
      </c>
      <c r="C13513" t="s">
        <v>16356</v>
      </c>
      <c r="D13513" t="s">
        <v>17432</v>
      </c>
      <c r="E13513" t="s">
        <v>29062</v>
      </c>
      <c r="F13513" t="s">
        <v>30052</v>
      </c>
      <c r="G13513" t="s">
        <v>30058</v>
      </c>
      <c r="H13513" t="s">
        <v>15498</v>
      </c>
      <c r="I13513" t="s">
        <v>3736</v>
      </c>
      <c r="J13513" t="s">
        <v>38385</v>
      </c>
      <c r="K13513" t="s">
        <v>39025</v>
      </c>
      <c r="M13513" t="s">
        <v>43018</v>
      </c>
      <c r="N13513" t="s">
        <v>43166</v>
      </c>
      <c r="O13513" t="s">
        <v>43167</v>
      </c>
      <c r="P13513">
        <v>0</v>
      </c>
      <c r="Q13513">
        <v>4</v>
      </c>
      <c r="R13513" t="s">
        <v>43187</v>
      </c>
      <c r="S13513" t="s">
        <v>44147</v>
      </c>
      <c r="T13513" t="s">
        <v>44717</v>
      </c>
      <c r="U13513" t="s">
        <v>55937</v>
      </c>
      <c r="V13513" t="s">
        <v>58115</v>
      </c>
      <c r="W13513" t="s">
        <v>43018</v>
      </c>
      <c r="X13513" t="s">
        <v>43188</v>
      </c>
    </row>
    <row r="13514" spans="1:24">
      <c r="A13514">
        <f>HYPERLINK("https://www.philgeps.gov.ph/GEPSNONPILOT/Tender/SplashBidNoticeAbstractUI.aspx?menuIndex=3&amp;refID=7047189&amp;Result=3","7047189")</f>
        <v>0</v>
      </c>
      <c r="B13514" t="s">
        <v>1169</v>
      </c>
      <c r="C13514" t="s">
        <v>16357</v>
      </c>
      <c r="D13514" t="s">
        <v>17458</v>
      </c>
      <c r="E13514" t="s">
        <v>29063</v>
      </c>
      <c r="F13514" t="s">
        <v>30052</v>
      </c>
      <c r="G13514" t="s">
        <v>30058</v>
      </c>
      <c r="H13514" t="s">
        <v>30067</v>
      </c>
      <c r="I13514" t="s">
        <v>3693</v>
      </c>
      <c r="J13514" t="s">
        <v>38386</v>
      </c>
      <c r="K13514" t="s">
        <v>39194</v>
      </c>
      <c r="M13514" t="s">
        <v>40516</v>
      </c>
      <c r="N13514" t="s">
        <v>43166</v>
      </c>
      <c r="O13514" t="s">
        <v>43167</v>
      </c>
      <c r="P13514">
        <v>0</v>
      </c>
      <c r="Q13514">
        <v>3</v>
      </c>
      <c r="R13514" t="s">
        <v>43187</v>
      </c>
      <c r="S13514" t="s">
        <v>44147</v>
      </c>
      <c r="T13514" t="s">
        <v>44862</v>
      </c>
      <c r="U13514" t="s">
        <v>55938</v>
      </c>
      <c r="V13514" t="s">
        <v>57181</v>
      </c>
      <c r="W13514" t="s">
        <v>58625</v>
      </c>
      <c r="X13514" t="s">
        <v>43188</v>
      </c>
    </row>
    <row r="13515" spans="1:24">
      <c r="A13515">
        <f>HYPERLINK("https://www.philgeps.gov.ph/GEPSNONPILOT/Tender/SplashBidNoticeAbstractUI.aspx?menuIndex=3&amp;refID=7047634&amp;Result=3","7047634")</f>
        <v>0</v>
      </c>
      <c r="B13515" t="s">
        <v>3364</v>
      </c>
      <c r="C13515" t="s">
        <v>16358</v>
      </c>
      <c r="D13515" t="s">
        <v>17428</v>
      </c>
      <c r="E13515" t="s">
        <v>26463</v>
      </c>
      <c r="F13515" t="s">
        <v>30052</v>
      </c>
      <c r="G13515" t="s">
        <v>30058</v>
      </c>
      <c r="H13515" t="s">
        <v>30067</v>
      </c>
      <c r="I13515" t="s">
        <v>3693</v>
      </c>
      <c r="J13515" t="s">
        <v>30222</v>
      </c>
      <c r="K13515" t="s">
        <v>39046</v>
      </c>
      <c r="M13515" t="s">
        <v>43015</v>
      </c>
      <c r="N13515" t="s">
        <v>43166</v>
      </c>
      <c r="O13515" t="s">
        <v>43167</v>
      </c>
      <c r="P13515">
        <v>0</v>
      </c>
      <c r="Q13515">
        <v>0</v>
      </c>
      <c r="R13515" t="s">
        <v>43187</v>
      </c>
      <c r="S13515" t="s">
        <v>44147</v>
      </c>
      <c r="T13515" t="s">
        <v>44844</v>
      </c>
      <c r="U13515" t="s">
        <v>55939</v>
      </c>
      <c r="W13515" t="s">
        <v>43015</v>
      </c>
      <c r="X13515" t="s">
        <v>43188</v>
      </c>
    </row>
    <row r="13516" spans="1:24">
      <c r="A13516">
        <f>HYPERLINK("https://www.philgeps.gov.ph/GEPSNONPILOT/Tender/SplashBidNoticeAbstractUI.aspx?menuIndex=3&amp;refID=7048275&amp;Result=3","7048275")</f>
        <v>0</v>
      </c>
      <c r="B13516" t="s">
        <v>3182</v>
      </c>
      <c r="C13516" t="s">
        <v>16359</v>
      </c>
      <c r="E13516" t="s">
        <v>29064</v>
      </c>
      <c r="F13516" t="s">
        <v>30052</v>
      </c>
      <c r="G13516" t="s">
        <v>30058</v>
      </c>
      <c r="H13516" t="s">
        <v>30067</v>
      </c>
      <c r="I13516" t="s">
        <v>3693</v>
      </c>
      <c r="J13516" t="s">
        <v>30281</v>
      </c>
      <c r="K13516" t="s">
        <v>39025</v>
      </c>
      <c r="M13516" t="s">
        <v>42795</v>
      </c>
      <c r="N13516" t="s">
        <v>43166</v>
      </c>
      <c r="O13516" t="s">
        <v>43167</v>
      </c>
      <c r="P13516">
        <v>0</v>
      </c>
      <c r="Q13516">
        <v>1</v>
      </c>
      <c r="R13516" t="s">
        <v>43187</v>
      </c>
      <c r="S13516" t="s">
        <v>44147</v>
      </c>
      <c r="T13516" t="s">
        <v>44859</v>
      </c>
      <c r="U13516" t="s">
        <v>55899</v>
      </c>
      <c r="W13516" t="s">
        <v>42795</v>
      </c>
      <c r="X13516" t="s">
        <v>43188</v>
      </c>
    </row>
    <row r="13517" spans="1:24">
      <c r="A13517">
        <f>HYPERLINK("https://www.philgeps.gov.ph/GEPSNONPILOT/Tender/SplashBidNoticeAbstractUI.aspx?menuIndex=3&amp;refID=7048325&amp;Result=3","7048325")</f>
        <v>0</v>
      </c>
      <c r="B13517" t="s">
        <v>1779</v>
      </c>
      <c r="C13517" t="s">
        <v>16360</v>
      </c>
      <c r="D13517" t="s">
        <v>17444</v>
      </c>
      <c r="E13517" t="s">
        <v>29065</v>
      </c>
      <c r="F13517" t="s">
        <v>30052</v>
      </c>
      <c r="G13517" t="s">
        <v>30058</v>
      </c>
      <c r="H13517" t="s">
        <v>15498</v>
      </c>
      <c r="I13517" t="s">
        <v>30109</v>
      </c>
      <c r="J13517" t="s">
        <v>38387</v>
      </c>
      <c r="K13517" t="s">
        <v>39034</v>
      </c>
      <c r="M13517" t="s">
        <v>41621</v>
      </c>
      <c r="N13517" t="s">
        <v>43166</v>
      </c>
      <c r="O13517" t="s">
        <v>43167</v>
      </c>
      <c r="P13517">
        <v>0</v>
      </c>
      <c r="Q13517">
        <v>3</v>
      </c>
      <c r="R13517" t="s">
        <v>43187</v>
      </c>
      <c r="S13517" t="s">
        <v>44147</v>
      </c>
      <c r="T13517" t="s">
        <v>44717</v>
      </c>
      <c r="U13517" t="s">
        <v>55940</v>
      </c>
      <c r="V13517" t="s">
        <v>57534</v>
      </c>
      <c r="W13517" t="s">
        <v>41621</v>
      </c>
      <c r="X13517" t="s">
        <v>43188</v>
      </c>
    </row>
    <row r="13518" spans="1:24">
      <c r="A13518">
        <f>HYPERLINK("https://www.philgeps.gov.ph/GEPSNONPILOT/Tender/SplashBidNoticeAbstractUI.aspx?menuIndex=3&amp;refID=7048246&amp;Result=3","7048246")</f>
        <v>0</v>
      </c>
      <c r="B13518" t="s">
        <v>650</v>
      </c>
      <c r="C13518" t="s">
        <v>16361</v>
      </c>
      <c r="D13518" t="s">
        <v>17424</v>
      </c>
      <c r="E13518" t="s">
        <v>29066</v>
      </c>
      <c r="F13518" t="s">
        <v>30052</v>
      </c>
      <c r="G13518" t="s">
        <v>30058</v>
      </c>
      <c r="H13518" t="s">
        <v>30067</v>
      </c>
      <c r="I13518" t="s">
        <v>3693</v>
      </c>
      <c r="J13518" t="s">
        <v>30222</v>
      </c>
      <c r="K13518" t="s">
        <v>39086</v>
      </c>
      <c r="L13518" t="s">
        <v>650</v>
      </c>
      <c r="M13518" t="s">
        <v>39954</v>
      </c>
      <c r="N13518" t="s">
        <v>43166</v>
      </c>
      <c r="O13518" t="s">
        <v>43167</v>
      </c>
      <c r="P13518">
        <v>0</v>
      </c>
      <c r="Q13518">
        <v>92</v>
      </c>
      <c r="R13518" t="s">
        <v>43187</v>
      </c>
      <c r="S13518" t="s">
        <v>44147</v>
      </c>
      <c r="T13518" t="s">
        <v>44717</v>
      </c>
      <c r="U13518" t="s">
        <v>55941</v>
      </c>
      <c r="W13518" t="s">
        <v>39954</v>
      </c>
      <c r="X13518" t="s">
        <v>43188</v>
      </c>
    </row>
    <row r="13519" spans="1:24">
      <c r="A13519">
        <f>HYPERLINK("https://www.philgeps.gov.ph/GEPSNONPILOT/Tender/SplashBidNoticeAbstractUI.aspx?menuIndex=3&amp;refID=7048870&amp;Result=3","7048870")</f>
        <v>0</v>
      </c>
      <c r="B13519" t="s">
        <v>2627</v>
      </c>
      <c r="C13519" t="s">
        <v>16362</v>
      </c>
      <c r="D13519" t="s">
        <v>17446</v>
      </c>
      <c r="E13519" t="s">
        <v>29067</v>
      </c>
      <c r="F13519" t="s">
        <v>30052</v>
      </c>
      <c r="G13519" t="s">
        <v>30058</v>
      </c>
      <c r="H13519" t="s">
        <v>15498</v>
      </c>
      <c r="I13519" t="s">
        <v>30074</v>
      </c>
      <c r="J13519" t="s">
        <v>38388</v>
      </c>
      <c r="K13519" t="s">
        <v>39046</v>
      </c>
      <c r="M13519" t="s">
        <v>42141</v>
      </c>
      <c r="N13519" t="s">
        <v>43166</v>
      </c>
      <c r="O13519" t="s">
        <v>43167</v>
      </c>
      <c r="Q13519">
        <v>9</v>
      </c>
      <c r="R13519" t="s">
        <v>43187</v>
      </c>
      <c r="S13519" t="s">
        <v>44176</v>
      </c>
      <c r="T13519" t="s">
        <v>44870</v>
      </c>
      <c r="U13519" t="s">
        <v>53740</v>
      </c>
      <c r="W13519" t="s">
        <v>58683</v>
      </c>
      <c r="X13519" t="s">
        <v>43188</v>
      </c>
    </row>
    <row r="13520" spans="1:24">
      <c r="A13520">
        <f>HYPERLINK("https://www.philgeps.gov.ph/GEPSNONPILOT/Tender/SplashBidNoticeAbstractUI.aspx?menuIndex=3&amp;refID=7048841&amp;Result=3","7048841")</f>
        <v>0</v>
      </c>
      <c r="B13520" t="s">
        <v>3377</v>
      </c>
      <c r="C13520" t="s">
        <v>16363</v>
      </c>
      <c r="D13520" t="s">
        <v>17476</v>
      </c>
      <c r="E13520" t="s">
        <v>29068</v>
      </c>
      <c r="F13520" t="s">
        <v>30052</v>
      </c>
      <c r="G13520" t="s">
        <v>30058</v>
      </c>
      <c r="H13520" t="s">
        <v>15498</v>
      </c>
      <c r="I13520" t="s">
        <v>3736</v>
      </c>
      <c r="J13520" t="s">
        <v>38389</v>
      </c>
      <c r="K13520" t="s">
        <v>39019</v>
      </c>
      <c r="M13520" t="s">
        <v>43030</v>
      </c>
      <c r="N13520" t="s">
        <v>43166</v>
      </c>
      <c r="O13520" t="s">
        <v>43167</v>
      </c>
      <c r="P13520">
        <v>0</v>
      </c>
      <c r="Q13520">
        <v>0</v>
      </c>
      <c r="R13520" t="s">
        <v>43187</v>
      </c>
      <c r="S13520" t="s">
        <v>44147</v>
      </c>
      <c r="T13520" t="s">
        <v>44844</v>
      </c>
      <c r="U13520" t="s">
        <v>55942</v>
      </c>
      <c r="W13520" t="s">
        <v>43030</v>
      </c>
      <c r="X13520" t="s">
        <v>43188</v>
      </c>
    </row>
    <row r="13521" spans="1:24">
      <c r="A13521">
        <f>HYPERLINK("https://www.philgeps.gov.ph/GEPSNONPILOT/Tender/SplashBidNoticeAbstractUI.aspx?menuIndex=3&amp;refID=7048203&amp;Result=3","7048203")</f>
        <v>0</v>
      </c>
      <c r="B13521" t="s">
        <v>3372</v>
      </c>
      <c r="C13521" t="s">
        <v>16364</v>
      </c>
      <c r="E13521" t="s">
        <v>29069</v>
      </c>
      <c r="F13521" t="s">
        <v>30052</v>
      </c>
      <c r="G13521" t="s">
        <v>30058</v>
      </c>
      <c r="H13521" t="s">
        <v>30067</v>
      </c>
      <c r="I13521" t="s">
        <v>3693</v>
      </c>
      <c r="J13521" t="s">
        <v>38390</v>
      </c>
      <c r="K13521" t="s">
        <v>39025</v>
      </c>
      <c r="M13521" t="s">
        <v>43024</v>
      </c>
      <c r="N13521" t="s">
        <v>43166</v>
      </c>
      <c r="O13521" t="s">
        <v>43167</v>
      </c>
      <c r="P13521">
        <v>0</v>
      </c>
      <c r="Q13521">
        <v>0</v>
      </c>
      <c r="R13521" t="s">
        <v>43187</v>
      </c>
      <c r="S13521" t="s">
        <v>44147</v>
      </c>
      <c r="T13521" t="s">
        <v>44841</v>
      </c>
      <c r="U13521" t="s">
        <v>55943</v>
      </c>
      <c r="V13521" t="s">
        <v>58448</v>
      </c>
      <c r="W13521" t="s">
        <v>43024</v>
      </c>
      <c r="X13521" t="s">
        <v>43188</v>
      </c>
    </row>
    <row r="13522" spans="1:24">
      <c r="A13522">
        <f>HYPERLINK("https://www.philgeps.gov.ph/GEPSNONPILOT/Tender/SplashBidNoticeAbstractUI.aspx?menuIndex=3&amp;refID=7048812&amp;Result=3","7048812")</f>
        <v>0</v>
      </c>
      <c r="B13522" t="s">
        <v>1517</v>
      </c>
      <c r="C13522" t="s">
        <v>16365</v>
      </c>
      <c r="D13522" t="s">
        <v>17421</v>
      </c>
      <c r="E13522" t="s">
        <v>29070</v>
      </c>
      <c r="F13522" t="s">
        <v>30052</v>
      </c>
      <c r="G13522" t="s">
        <v>30058</v>
      </c>
      <c r="H13522" t="s">
        <v>15498</v>
      </c>
      <c r="I13522" t="s">
        <v>30074</v>
      </c>
      <c r="J13522" t="s">
        <v>30215</v>
      </c>
      <c r="K13522" t="s">
        <v>39029</v>
      </c>
      <c r="M13522" t="s">
        <v>41614</v>
      </c>
      <c r="N13522" t="s">
        <v>43166</v>
      </c>
      <c r="O13522" t="s">
        <v>43167</v>
      </c>
      <c r="P13522">
        <v>0</v>
      </c>
      <c r="Q13522">
        <v>9</v>
      </c>
      <c r="R13522" t="s">
        <v>43187</v>
      </c>
      <c r="S13522" t="s">
        <v>44147</v>
      </c>
      <c r="T13522" t="s">
        <v>45047</v>
      </c>
      <c r="U13522" t="s">
        <v>55944</v>
      </c>
      <c r="W13522" t="s">
        <v>41614</v>
      </c>
      <c r="X13522" t="s">
        <v>43188</v>
      </c>
    </row>
    <row r="13523" spans="1:24">
      <c r="A13523">
        <f>HYPERLINK("https://www.philgeps.gov.ph/GEPSNONPILOT/Tender/SplashBidNoticeAbstractUI.aspx?menuIndex=3&amp;refID=7046952&amp;Result=3","7046952")</f>
        <v>0</v>
      </c>
      <c r="B13523" t="s">
        <v>354</v>
      </c>
      <c r="C13523" t="s">
        <v>16366</v>
      </c>
      <c r="D13523" t="s">
        <v>17437</v>
      </c>
      <c r="E13523" t="s">
        <v>29071</v>
      </c>
      <c r="F13523" t="s">
        <v>30052</v>
      </c>
      <c r="G13523" t="s">
        <v>30058</v>
      </c>
      <c r="H13523" t="s">
        <v>30067</v>
      </c>
      <c r="I13523" t="s">
        <v>3693</v>
      </c>
      <c r="J13523" t="s">
        <v>38391</v>
      </c>
      <c r="K13523" t="s">
        <v>39046</v>
      </c>
      <c r="M13523" t="s">
        <v>43031</v>
      </c>
      <c r="N13523" t="s">
        <v>43166</v>
      </c>
      <c r="O13523" t="s">
        <v>43167</v>
      </c>
      <c r="P13523">
        <v>0</v>
      </c>
      <c r="Q13523">
        <v>1</v>
      </c>
      <c r="R13523" t="s">
        <v>43187</v>
      </c>
      <c r="S13523" t="s">
        <v>44147</v>
      </c>
      <c r="T13523" t="s">
        <v>44698</v>
      </c>
      <c r="U13523" t="s">
        <v>55945</v>
      </c>
      <c r="W13523" t="s">
        <v>43031</v>
      </c>
      <c r="X13523" t="s">
        <v>43189</v>
      </c>
    </row>
    <row r="13524" spans="1:24">
      <c r="A13524">
        <f>HYPERLINK("https://www.philgeps.gov.ph/GEPSNONPILOT/Tender/SplashBidNoticeAbstractUI.aspx?menuIndex=3&amp;refID=7048719&amp;Result=3","7048719")</f>
        <v>0</v>
      </c>
      <c r="B13524" t="s">
        <v>1503</v>
      </c>
      <c r="C13524" t="s">
        <v>16367</v>
      </c>
      <c r="D13524" t="s">
        <v>17474</v>
      </c>
      <c r="E13524" t="s">
        <v>18476</v>
      </c>
      <c r="F13524" t="s">
        <v>30052</v>
      </c>
      <c r="G13524" t="s">
        <v>30058</v>
      </c>
      <c r="H13524" t="s">
        <v>15498</v>
      </c>
      <c r="I13524" t="s">
        <v>3736</v>
      </c>
      <c r="J13524" t="s">
        <v>38392</v>
      </c>
      <c r="K13524" t="s">
        <v>39034</v>
      </c>
      <c r="M13524" t="s">
        <v>40887</v>
      </c>
      <c r="N13524" t="s">
        <v>43166</v>
      </c>
      <c r="O13524" t="s">
        <v>43167</v>
      </c>
      <c r="P13524">
        <v>0</v>
      </c>
      <c r="Q13524">
        <v>0</v>
      </c>
      <c r="R13524" t="s">
        <v>43187</v>
      </c>
      <c r="S13524" t="s">
        <v>44147</v>
      </c>
      <c r="T13524" t="s">
        <v>44717</v>
      </c>
      <c r="U13524" t="s">
        <v>48570</v>
      </c>
      <c r="W13524" t="s">
        <v>40887</v>
      </c>
      <c r="X13524" t="s">
        <v>43188</v>
      </c>
    </row>
    <row r="13525" spans="1:24">
      <c r="A13525">
        <f>HYPERLINK("https://www.philgeps.gov.ph/GEPSNONPILOT/Tender/SplashBidNoticeAbstractUI.aspx?menuIndex=3&amp;refID=7048691&amp;Result=3","7048691")</f>
        <v>0</v>
      </c>
      <c r="B13525" t="s">
        <v>1316</v>
      </c>
      <c r="C13525" t="s">
        <v>16368</v>
      </c>
      <c r="D13525" t="s">
        <v>17445</v>
      </c>
      <c r="E13525" t="s">
        <v>29072</v>
      </c>
      <c r="F13525" t="s">
        <v>30052</v>
      </c>
      <c r="G13525" t="s">
        <v>30058</v>
      </c>
      <c r="H13525" t="s">
        <v>30067</v>
      </c>
      <c r="I13525" t="s">
        <v>3693</v>
      </c>
      <c r="J13525" t="s">
        <v>38393</v>
      </c>
      <c r="K13525" t="s">
        <v>39031</v>
      </c>
      <c r="M13525" t="s">
        <v>40683</v>
      </c>
      <c r="N13525" t="s">
        <v>43166</v>
      </c>
      <c r="O13525" t="s">
        <v>43167</v>
      </c>
      <c r="P13525">
        <v>0</v>
      </c>
      <c r="Q13525">
        <v>1</v>
      </c>
      <c r="R13525" t="s">
        <v>43187</v>
      </c>
      <c r="S13525" t="s">
        <v>44147</v>
      </c>
      <c r="T13525" t="s">
        <v>44859</v>
      </c>
      <c r="U13525" t="s">
        <v>48098</v>
      </c>
      <c r="W13525" t="s">
        <v>40683</v>
      </c>
      <c r="X13525" t="s">
        <v>43188</v>
      </c>
    </row>
    <row r="13526" spans="1:24">
      <c r="A13526">
        <f>HYPERLINK("https://www.philgeps.gov.ph/GEPSNONPILOT/Tender/SplashBidNoticeAbstractUI.aspx?menuIndex=3&amp;refID=7048881&amp;Result=3","7048881")</f>
        <v>0</v>
      </c>
      <c r="B13526" t="s">
        <v>37</v>
      </c>
      <c r="C13526" t="s">
        <v>16369</v>
      </c>
      <c r="D13526" t="s">
        <v>17422</v>
      </c>
      <c r="E13526" t="s">
        <v>29073</v>
      </c>
      <c r="F13526" t="s">
        <v>30052</v>
      </c>
      <c r="G13526" t="s">
        <v>30058</v>
      </c>
      <c r="H13526" t="s">
        <v>15498</v>
      </c>
      <c r="I13526" t="s">
        <v>30096</v>
      </c>
      <c r="J13526" t="s">
        <v>38394</v>
      </c>
      <c r="K13526" t="s">
        <v>39029</v>
      </c>
      <c r="M13526" t="s">
        <v>39327</v>
      </c>
      <c r="N13526" t="s">
        <v>43166</v>
      </c>
      <c r="O13526" t="s">
        <v>43167</v>
      </c>
      <c r="Q13526">
        <v>12</v>
      </c>
      <c r="R13526" t="s">
        <v>43187</v>
      </c>
      <c r="S13526" t="s">
        <v>44177</v>
      </c>
      <c r="T13526" t="s">
        <v>45047</v>
      </c>
      <c r="U13526" t="s">
        <v>55946</v>
      </c>
      <c r="W13526" t="s">
        <v>39327</v>
      </c>
      <c r="X13526" t="s">
        <v>43188</v>
      </c>
    </row>
    <row r="13527" spans="1:24">
      <c r="A13527">
        <f>HYPERLINK("https://www.philgeps.gov.ph/GEPSNONPILOT/Tender/SplashBidNoticeAbstractUI.aspx?menuIndex=3&amp;refID=7048805&amp;Result=3","7048805")</f>
        <v>0</v>
      </c>
      <c r="B13527" t="s">
        <v>2550</v>
      </c>
      <c r="C13527" t="s">
        <v>16370</v>
      </c>
      <c r="D13527" t="s">
        <v>17445</v>
      </c>
      <c r="E13527" t="s">
        <v>29074</v>
      </c>
      <c r="F13527" t="s">
        <v>30052</v>
      </c>
      <c r="G13527" t="s">
        <v>30058</v>
      </c>
      <c r="H13527" t="s">
        <v>15498</v>
      </c>
      <c r="I13527" t="s">
        <v>30135</v>
      </c>
      <c r="J13527" t="s">
        <v>38395</v>
      </c>
      <c r="K13527" t="s">
        <v>39031</v>
      </c>
      <c r="M13527" t="s">
        <v>42120</v>
      </c>
      <c r="N13527" t="s">
        <v>43166</v>
      </c>
      <c r="O13527" t="s">
        <v>43167</v>
      </c>
      <c r="P13527">
        <v>0</v>
      </c>
      <c r="Q13527">
        <v>6</v>
      </c>
      <c r="R13527" t="s">
        <v>43187</v>
      </c>
      <c r="S13527" t="s">
        <v>44147</v>
      </c>
      <c r="T13527" t="s">
        <v>44822</v>
      </c>
      <c r="U13527" t="s">
        <v>55947</v>
      </c>
      <c r="W13527" t="s">
        <v>42120</v>
      </c>
      <c r="X13527" t="s">
        <v>43188</v>
      </c>
    </row>
    <row r="13528" spans="1:24">
      <c r="A13528">
        <f>HYPERLINK("https://www.philgeps.gov.ph/GEPSNONPILOT/Tender/SplashBidNoticeAbstractUI.aspx?menuIndex=3&amp;refID=7048711&amp;Result=3","7048711")</f>
        <v>0</v>
      </c>
      <c r="B13528" t="s">
        <v>857</v>
      </c>
      <c r="C13528" t="s">
        <v>16371</v>
      </c>
      <c r="D13528" t="s">
        <v>17424</v>
      </c>
      <c r="E13528" t="s">
        <v>29075</v>
      </c>
      <c r="F13528" t="s">
        <v>30052</v>
      </c>
      <c r="G13528" t="s">
        <v>30058</v>
      </c>
      <c r="H13528" t="s">
        <v>15498</v>
      </c>
      <c r="I13528" t="s">
        <v>9238</v>
      </c>
      <c r="J13528" t="s">
        <v>38396</v>
      </c>
      <c r="K13528" t="s">
        <v>39029</v>
      </c>
      <c r="M13528" t="s">
        <v>40174</v>
      </c>
      <c r="N13528" t="s">
        <v>43166</v>
      </c>
      <c r="O13528" t="s">
        <v>43167</v>
      </c>
      <c r="Q13528">
        <v>30</v>
      </c>
      <c r="R13528" t="s">
        <v>43187</v>
      </c>
      <c r="S13528" t="s">
        <v>44178</v>
      </c>
      <c r="T13528" t="s">
        <v>45179</v>
      </c>
      <c r="U13528" t="s">
        <v>55948</v>
      </c>
      <c r="W13528" t="s">
        <v>40174</v>
      </c>
      <c r="X13528" t="s">
        <v>43188</v>
      </c>
    </row>
    <row r="13529" spans="1:24">
      <c r="A13529">
        <f>HYPERLINK("https://www.philgeps.gov.ph/GEPSNONPILOT/Tender/SplashBidNoticeAbstractUI.aspx?menuIndex=3&amp;refID=7048678&amp;Result=3","7048678")</f>
        <v>0</v>
      </c>
      <c r="B13529" t="s">
        <v>635</v>
      </c>
      <c r="C13529" t="s">
        <v>16372</v>
      </c>
      <c r="D13529" t="s">
        <v>17427</v>
      </c>
      <c r="E13529" t="s">
        <v>29076</v>
      </c>
      <c r="F13529" t="s">
        <v>30052</v>
      </c>
      <c r="G13529" t="s">
        <v>30063</v>
      </c>
      <c r="H13529" t="s">
        <v>15498</v>
      </c>
      <c r="I13529" t="s">
        <v>30074</v>
      </c>
      <c r="J13529" t="s">
        <v>38223</v>
      </c>
      <c r="K13529" t="s">
        <v>39029</v>
      </c>
      <c r="M13529" t="s">
        <v>39938</v>
      </c>
      <c r="N13529" t="s">
        <v>43166</v>
      </c>
      <c r="O13529" t="s">
        <v>43167</v>
      </c>
      <c r="P13529">
        <v>0</v>
      </c>
      <c r="Q13529">
        <v>1</v>
      </c>
      <c r="R13529" t="s">
        <v>43187</v>
      </c>
      <c r="S13529" t="s">
        <v>44147</v>
      </c>
      <c r="T13529" t="s">
        <v>44837</v>
      </c>
      <c r="U13529" t="s">
        <v>55949</v>
      </c>
      <c r="W13529" t="s">
        <v>39938</v>
      </c>
      <c r="X13529" t="s">
        <v>43188</v>
      </c>
    </row>
    <row r="13530" spans="1:24">
      <c r="A13530">
        <f>HYPERLINK("https://www.philgeps.gov.ph/GEPSNONPILOT/Tender/SplashBidNoticeAbstractUI.aspx?menuIndex=3&amp;refID=7048528&amp;Result=3","7048528")</f>
        <v>0</v>
      </c>
      <c r="B13530" t="s">
        <v>3378</v>
      </c>
      <c r="C13530" t="s">
        <v>16373</v>
      </c>
      <c r="D13530" t="s">
        <v>17485</v>
      </c>
      <c r="E13530" t="s">
        <v>24765</v>
      </c>
      <c r="F13530" t="s">
        <v>30052</v>
      </c>
      <c r="G13530" t="s">
        <v>30058</v>
      </c>
      <c r="H13530" t="s">
        <v>30067</v>
      </c>
      <c r="I13530" t="s">
        <v>3693</v>
      </c>
      <c r="J13530" t="s">
        <v>38397</v>
      </c>
      <c r="K13530" t="s">
        <v>39046</v>
      </c>
      <c r="M13530" t="s">
        <v>43032</v>
      </c>
      <c r="N13530" t="s">
        <v>43166</v>
      </c>
      <c r="O13530" t="s">
        <v>43167</v>
      </c>
      <c r="P13530">
        <v>0</v>
      </c>
      <c r="Q13530">
        <v>0</v>
      </c>
      <c r="R13530" t="s">
        <v>43187</v>
      </c>
      <c r="S13530" t="s">
        <v>44147</v>
      </c>
      <c r="T13530" t="s">
        <v>44717</v>
      </c>
      <c r="U13530" t="s">
        <v>55950</v>
      </c>
      <c r="W13530" t="s">
        <v>43032</v>
      </c>
      <c r="X13530" t="s">
        <v>43188</v>
      </c>
    </row>
    <row r="13531" spans="1:24">
      <c r="A13531">
        <f>HYPERLINK("https://www.philgeps.gov.ph/GEPSNONPILOT/Tender/SplashBidNoticeAbstractUI.aspx?menuIndex=3&amp;refID=7048613&amp;Result=3","7048613")</f>
        <v>0</v>
      </c>
      <c r="B13531" t="s">
        <v>857</v>
      </c>
      <c r="C13531" t="s">
        <v>16374</v>
      </c>
      <c r="D13531" t="s">
        <v>17424</v>
      </c>
      <c r="E13531" t="s">
        <v>29077</v>
      </c>
      <c r="F13531" t="s">
        <v>30052</v>
      </c>
      <c r="G13531" t="s">
        <v>30058</v>
      </c>
      <c r="H13531" t="s">
        <v>15498</v>
      </c>
      <c r="I13531" t="s">
        <v>30153</v>
      </c>
      <c r="J13531" t="s">
        <v>38398</v>
      </c>
      <c r="K13531" t="s">
        <v>39029</v>
      </c>
      <c r="M13531" t="s">
        <v>40174</v>
      </c>
      <c r="N13531" t="s">
        <v>43166</v>
      </c>
      <c r="O13531" t="s">
        <v>43167</v>
      </c>
      <c r="Q13531">
        <v>5</v>
      </c>
      <c r="R13531" t="s">
        <v>43187</v>
      </c>
      <c r="S13531" t="s">
        <v>43335</v>
      </c>
      <c r="T13531" t="s">
        <v>44891</v>
      </c>
      <c r="U13531" t="s">
        <v>55951</v>
      </c>
      <c r="W13531" t="s">
        <v>40174</v>
      </c>
      <c r="X13531" t="s">
        <v>43188</v>
      </c>
    </row>
    <row r="13532" spans="1:24">
      <c r="A13532">
        <f>HYPERLINK("https://www.philgeps.gov.ph/GEPSNONPILOT/Tender/SplashBidNoticeAbstractUI.aspx?menuIndex=3&amp;refID=7048523&amp;Result=3","7048523")</f>
        <v>0</v>
      </c>
      <c r="B13532" t="s">
        <v>746</v>
      </c>
      <c r="C13532" t="s">
        <v>16375</v>
      </c>
      <c r="D13532" t="s">
        <v>17421</v>
      </c>
      <c r="E13532" t="s">
        <v>29078</v>
      </c>
      <c r="F13532" t="s">
        <v>30052</v>
      </c>
      <c r="G13532" t="s">
        <v>30058</v>
      </c>
      <c r="H13532" t="s">
        <v>15498</v>
      </c>
      <c r="I13532" t="s">
        <v>3852</v>
      </c>
      <c r="J13532" t="s">
        <v>38399</v>
      </c>
      <c r="K13532" t="s">
        <v>39046</v>
      </c>
      <c r="M13532" t="s">
        <v>40060</v>
      </c>
      <c r="N13532" t="s">
        <v>43166</v>
      </c>
      <c r="O13532" t="s">
        <v>43167</v>
      </c>
      <c r="P13532">
        <v>0</v>
      </c>
      <c r="Q13532">
        <v>5</v>
      </c>
      <c r="R13532" t="s">
        <v>43187</v>
      </c>
      <c r="S13532" t="s">
        <v>44147</v>
      </c>
      <c r="T13532" t="s">
        <v>44696</v>
      </c>
      <c r="U13532" t="s">
        <v>55952</v>
      </c>
      <c r="W13532" t="s">
        <v>40060</v>
      </c>
      <c r="X13532" t="s">
        <v>43188</v>
      </c>
    </row>
    <row r="13533" spans="1:24">
      <c r="A13533">
        <f>HYPERLINK("https://www.philgeps.gov.ph/GEPSNONPILOT/Tender/SplashBidNoticeAbstractUI.aspx?menuIndex=3&amp;refID=7047078&amp;Result=3","7047078")</f>
        <v>0</v>
      </c>
      <c r="B13533" t="s">
        <v>354</v>
      </c>
      <c r="C13533" t="s">
        <v>16376</v>
      </c>
      <c r="D13533" t="s">
        <v>17437</v>
      </c>
      <c r="E13533" t="s">
        <v>29079</v>
      </c>
      <c r="F13533" t="s">
        <v>30052</v>
      </c>
      <c r="G13533" t="s">
        <v>30058</v>
      </c>
      <c r="H13533" t="s">
        <v>30067</v>
      </c>
      <c r="I13533" t="s">
        <v>3693</v>
      </c>
      <c r="J13533" t="s">
        <v>38400</v>
      </c>
      <c r="K13533" t="s">
        <v>39046</v>
      </c>
      <c r="M13533" t="s">
        <v>43031</v>
      </c>
      <c r="N13533" t="s">
        <v>43166</v>
      </c>
      <c r="O13533" t="s">
        <v>43167</v>
      </c>
      <c r="P13533">
        <v>0</v>
      </c>
      <c r="Q13533">
        <v>1</v>
      </c>
      <c r="R13533" t="s">
        <v>43187</v>
      </c>
      <c r="S13533" t="s">
        <v>44147</v>
      </c>
      <c r="T13533" t="s">
        <v>44698</v>
      </c>
      <c r="U13533" t="s">
        <v>55953</v>
      </c>
      <c r="W13533" t="s">
        <v>43031</v>
      </c>
      <c r="X13533" t="s">
        <v>43189</v>
      </c>
    </row>
    <row r="13534" spans="1:24">
      <c r="A13534">
        <f>HYPERLINK("https://www.philgeps.gov.ph/GEPSNONPILOT/Tender/SplashBidNoticeAbstractUI.aspx?menuIndex=3&amp;refID=7048509&amp;Result=3","7048509")</f>
        <v>0</v>
      </c>
      <c r="B13534" t="s">
        <v>229</v>
      </c>
      <c r="C13534" t="s">
        <v>16377</v>
      </c>
      <c r="D13534" t="s">
        <v>17430</v>
      </c>
      <c r="E13534" t="s">
        <v>29080</v>
      </c>
      <c r="F13534" t="s">
        <v>30052</v>
      </c>
      <c r="G13534" t="s">
        <v>30058</v>
      </c>
      <c r="H13534" t="s">
        <v>30067</v>
      </c>
      <c r="I13534" t="s">
        <v>3693</v>
      </c>
      <c r="J13534" t="s">
        <v>38401</v>
      </c>
      <c r="K13534" t="s">
        <v>39023</v>
      </c>
      <c r="M13534" t="s">
        <v>39519</v>
      </c>
      <c r="N13534" t="s">
        <v>43166</v>
      </c>
      <c r="O13534" t="s">
        <v>43167</v>
      </c>
      <c r="P13534">
        <v>0</v>
      </c>
      <c r="Q13534">
        <v>3</v>
      </c>
      <c r="R13534" t="s">
        <v>43187</v>
      </c>
      <c r="S13534" t="s">
        <v>44147</v>
      </c>
      <c r="T13534" t="s">
        <v>44698</v>
      </c>
      <c r="U13534" t="s">
        <v>55954</v>
      </c>
      <c r="W13534" t="s">
        <v>39519</v>
      </c>
      <c r="X13534" t="s">
        <v>43188</v>
      </c>
    </row>
    <row r="13535" spans="1:24">
      <c r="A13535">
        <f>HYPERLINK("https://www.philgeps.gov.ph/GEPSNONPILOT/Tender/SplashBidNoticeAbstractUI.aspx?menuIndex=3&amp;refID=7048451&amp;Result=3","7048451")</f>
        <v>0</v>
      </c>
      <c r="B13535" t="s">
        <v>1909</v>
      </c>
      <c r="C13535" t="s">
        <v>13447</v>
      </c>
      <c r="D13535" t="s">
        <v>17438</v>
      </c>
      <c r="E13535" t="s">
        <v>29081</v>
      </c>
      <c r="F13535" t="s">
        <v>30052</v>
      </c>
      <c r="G13535" t="s">
        <v>30058</v>
      </c>
      <c r="H13535" t="s">
        <v>30067</v>
      </c>
      <c r="I13535" t="s">
        <v>3693</v>
      </c>
      <c r="J13535" t="s">
        <v>30397</v>
      </c>
      <c r="K13535" t="s">
        <v>39057</v>
      </c>
      <c r="M13535" t="s">
        <v>41340</v>
      </c>
      <c r="N13535" t="s">
        <v>43166</v>
      </c>
      <c r="O13535" t="s">
        <v>43167</v>
      </c>
      <c r="P13535">
        <v>0</v>
      </c>
      <c r="Q13535">
        <v>2</v>
      </c>
      <c r="R13535" t="s">
        <v>43187</v>
      </c>
      <c r="S13535" t="s">
        <v>44147</v>
      </c>
      <c r="T13535" t="s">
        <v>44859</v>
      </c>
      <c r="U13535" t="s">
        <v>55955</v>
      </c>
      <c r="W13535" t="s">
        <v>41340</v>
      </c>
      <c r="X13535" t="s">
        <v>43188</v>
      </c>
    </row>
    <row r="13536" spans="1:24">
      <c r="A13536">
        <f>HYPERLINK("https://www.philgeps.gov.ph/GEPSNONPILOT/Tender/SplashBidNoticeAbstractUI.aspx?menuIndex=3&amp;refID=7048437&amp;Result=3","7048437")</f>
        <v>0</v>
      </c>
      <c r="B13536" t="s">
        <v>439</v>
      </c>
      <c r="C13536" t="s">
        <v>16378</v>
      </c>
      <c r="E13536" t="s">
        <v>29052</v>
      </c>
      <c r="F13536" t="s">
        <v>30052</v>
      </c>
      <c r="G13536" t="s">
        <v>30058</v>
      </c>
      <c r="H13536" t="s">
        <v>30069</v>
      </c>
      <c r="I13536" t="s">
        <v>30165</v>
      </c>
      <c r="J13536" t="s">
        <v>38402</v>
      </c>
      <c r="K13536" t="s">
        <v>39068</v>
      </c>
      <c r="M13536" t="s">
        <v>43029</v>
      </c>
      <c r="N13536" t="s">
        <v>43166</v>
      </c>
      <c r="O13536" t="s">
        <v>43167</v>
      </c>
      <c r="P13536">
        <v>0</v>
      </c>
      <c r="Q13536">
        <v>0</v>
      </c>
      <c r="R13536" t="s">
        <v>43187</v>
      </c>
      <c r="S13536" t="s">
        <v>44147</v>
      </c>
      <c r="T13536" t="s">
        <v>44717</v>
      </c>
      <c r="U13536" t="s">
        <v>55928</v>
      </c>
      <c r="V13536" t="s">
        <v>58449</v>
      </c>
      <c r="W13536" t="s">
        <v>43029</v>
      </c>
      <c r="X13536" t="s">
        <v>43188</v>
      </c>
    </row>
    <row r="13537" spans="1:24">
      <c r="A13537">
        <f>HYPERLINK("https://www.philgeps.gov.ph/GEPSNONPILOT/Tender/SplashBidNoticeAbstractUI.aspx?menuIndex=3&amp;refID=7048210&amp;Result=3","7048210")</f>
        <v>0</v>
      </c>
      <c r="B13537" t="s">
        <v>3367</v>
      </c>
      <c r="C13537" t="s">
        <v>16379</v>
      </c>
      <c r="D13537" t="s">
        <v>17432</v>
      </c>
      <c r="E13537" t="s">
        <v>29082</v>
      </c>
      <c r="F13537" t="s">
        <v>30052</v>
      </c>
      <c r="G13537" t="s">
        <v>30058</v>
      </c>
      <c r="H13537" t="s">
        <v>15498</v>
      </c>
      <c r="I13537" t="s">
        <v>3736</v>
      </c>
      <c r="J13537" t="s">
        <v>38403</v>
      </c>
      <c r="K13537" t="s">
        <v>39025</v>
      </c>
      <c r="M13537" t="s">
        <v>43018</v>
      </c>
      <c r="N13537" t="s">
        <v>43166</v>
      </c>
      <c r="O13537" t="s">
        <v>43167</v>
      </c>
      <c r="P13537">
        <v>0</v>
      </c>
      <c r="Q13537">
        <v>2</v>
      </c>
      <c r="R13537" t="s">
        <v>43187</v>
      </c>
      <c r="S13537" t="s">
        <v>44147</v>
      </c>
      <c r="T13537" t="s">
        <v>44717</v>
      </c>
      <c r="U13537" t="s">
        <v>55956</v>
      </c>
      <c r="V13537" t="s">
        <v>58115</v>
      </c>
      <c r="W13537" t="s">
        <v>43018</v>
      </c>
      <c r="X13537" t="s">
        <v>43188</v>
      </c>
    </row>
    <row r="13538" spans="1:24">
      <c r="A13538">
        <f>HYPERLINK("https://www.philgeps.gov.ph/GEPSNONPILOT/Tender/SplashBidNoticeAbstractUI.aspx?menuIndex=3&amp;refID=7048550&amp;Result=3","7048550")</f>
        <v>0</v>
      </c>
      <c r="B13538" t="s">
        <v>229</v>
      </c>
      <c r="C13538" t="s">
        <v>16380</v>
      </c>
      <c r="D13538" t="s">
        <v>17430</v>
      </c>
      <c r="E13538" t="s">
        <v>29083</v>
      </c>
      <c r="F13538" t="s">
        <v>30052</v>
      </c>
      <c r="G13538" t="s">
        <v>30058</v>
      </c>
      <c r="H13538" t="s">
        <v>15498</v>
      </c>
      <c r="I13538" t="s">
        <v>4650</v>
      </c>
      <c r="J13538" t="s">
        <v>34557</v>
      </c>
      <c r="K13538" t="s">
        <v>39029</v>
      </c>
      <c r="M13538" t="s">
        <v>39519</v>
      </c>
      <c r="N13538" t="s">
        <v>43166</v>
      </c>
      <c r="O13538" t="s">
        <v>43167</v>
      </c>
      <c r="P13538">
        <v>0</v>
      </c>
      <c r="Q13538">
        <v>6</v>
      </c>
      <c r="R13538" t="s">
        <v>43187</v>
      </c>
      <c r="S13538" t="s">
        <v>44147</v>
      </c>
      <c r="T13538" t="s">
        <v>44698</v>
      </c>
      <c r="U13538" t="s">
        <v>55957</v>
      </c>
      <c r="W13538" t="s">
        <v>39519</v>
      </c>
      <c r="X13538" t="s">
        <v>43188</v>
      </c>
    </row>
    <row r="13539" spans="1:24">
      <c r="A13539">
        <f>HYPERLINK("https://www.philgeps.gov.ph/GEPSNONPILOT/Tender/SplashBidNoticeAbstractUI.aspx?menuIndex=3&amp;refID=7049079&amp;Result=3","7049079")</f>
        <v>0</v>
      </c>
      <c r="B13539" t="s">
        <v>1607</v>
      </c>
      <c r="C13539" t="s">
        <v>16381</v>
      </c>
      <c r="E13539" t="s">
        <v>29084</v>
      </c>
      <c r="F13539" t="s">
        <v>30052</v>
      </c>
      <c r="G13539" t="s">
        <v>30058</v>
      </c>
      <c r="H13539" t="s">
        <v>15498</v>
      </c>
      <c r="I13539" t="s">
        <v>30088</v>
      </c>
      <c r="J13539" t="s">
        <v>38404</v>
      </c>
      <c r="K13539" t="s">
        <v>39025</v>
      </c>
      <c r="M13539" t="s">
        <v>41006</v>
      </c>
      <c r="N13539" t="s">
        <v>43166</v>
      </c>
      <c r="O13539" t="s">
        <v>43167</v>
      </c>
      <c r="Q13539">
        <v>10</v>
      </c>
      <c r="R13539" t="s">
        <v>43187</v>
      </c>
      <c r="S13539" t="s">
        <v>44179</v>
      </c>
      <c r="T13539" t="s">
        <v>44804</v>
      </c>
      <c r="U13539" t="s">
        <v>55958</v>
      </c>
      <c r="W13539" t="s">
        <v>41006</v>
      </c>
      <c r="X13539" t="s">
        <v>43188</v>
      </c>
    </row>
    <row r="13540" spans="1:24">
      <c r="A13540">
        <f>HYPERLINK("https://www.philgeps.gov.ph/GEPSNONPILOT/Tender/SplashBidNoticeAbstractUI.aspx?menuIndex=3&amp;refID=7049068&amp;Result=3","7049068")</f>
        <v>0</v>
      </c>
      <c r="B13540" t="s">
        <v>3369</v>
      </c>
      <c r="C13540" t="s">
        <v>16382</v>
      </c>
      <c r="D13540" t="s">
        <v>17445</v>
      </c>
      <c r="E13540" t="s">
        <v>29085</v>
      </c>
      <c r="F13540" t="s">
        <v>30052</v>
      </c>
      <c r="G13540" t="s">
        <v>30058</v>
      </c>
      <c r="H13540" t="s">
        <v>30067</v>
      </c>
      <c r="I13540" t="s">
        <v>3693</v>
      </c>
      <c r="J13540" t="s">
        <v>30397</v>
      </c>
      <c r="K13540" t="s">
        <v>39032</v>
      </c>
      <c r="L13540" t="s">
        <v>3369</v>
      </c>
      <c r="M13540" t="s">
        <v>43020</v>
      </c>
      <c r="N13540" t="s">
        <v>43166</v>
      </c>
      <c r="O13540" t="s">
        <v>43167</v>
      </c>
      <c r="P13540">
        <v>0</v>
      </c>
      <c r="Q13540">
        <v>2</v>
      </c>
      <c r="R13540" t="s">
        <v>43187</v>
      </c>
      <c r="S13540" t="s">
        <v>44147</v>
      </c>
      <c r="T13540" t="s">
        <v>44832</v>
      </c>
      <c r="U13540" t="s">
        <v>55959</v>
      </c>
      <c r="W13540" t="s">
        <v>43020</v>
      </c>
      <c r="X13540" t="s">
        <v>43188</v>
      </c>
    </row>
    <row r="13541" spans="1:24">
      <c r="A13541">
        <f>HYPERLINK("https://www.philgeps.gov.ph/GEPSNONPILOT/Tender/SplashBidNoticeAbstractUI.aspx?menuIndex=3&amp;refID=7046181&amp;Result=3","7046181")</f>
        <v>0</v>
      </c>
      <c r="B13541" t="s">
        <v>2711</v>
      </c>
      <c r="C13541" t="s">
        <v>16383</v>
      </c>
      <c r="D13541" t="s">
        <v>17450</v>
      </c>
      <c r="E13541" t="s">
        <v>29086</v>
      </c>
      <c r="F13541" t="s">
        <v>30052</v>
      </c>
      <c r="G13541" t="s">
        <v>30058</v>
      </c>
      <c r="H13541" t="s">
        <v>30067</v>
      </c>
      <c r="I13541" t="s">
        <v>3693</v>
      </c>
      <c r="J13541" t="s">
        <v>38305</v>
      </c>
      <c r="K13541" t="s">
        <v>39026</v>
      </c>
      <c r="M13541" t="s">
        <v>43009</v>
      </c>
      <c r="N13541" t="s">
        <v>43166</v>
      </c>
      <c r="O13541" t="s">
        <v>43167</v>
      </c>
      <c r="P13541">
        <v>0</v>
      </c>
      <c r="Q13541">
        <v>3</v>
      </c>
      <c r="R13541" t="s">
        <v>43187</v>
      </c>
      <c r="S13541" t="s">
        <v>44147</v>
      </c>
      <c r="T13541" t="s">
        <v>44856</v>
      </c>
      <c r="U13541" t="s">
        <v>55817</v>
      </c>
      <c r="W13541" t="s">
        <v>43011</v>
      </c>
      <c r="X13541" t="s">
        <v>43189</v>
      </c>
    </row>
    <row r="13542" spans="1:24">
      <c r="A13542">
        <f>HYPERLINK("https://www.philgeps.gov.ph/GEPSNONPILOT/Tender/SplashBidNoticeAbstractUI.aspx?menuIndex=3&amp;refID=7049060&amp;Result=3","7049060")</f>
        <v>0</v>
      </c>
      <c r="B13542" t="s">
        <v>1660</v>
      </c>
      <c r="C13542" t="s">
        <v>16384</v>
      </c>
      <c r="D13542" t="s">
        <v>17423</v>
      </c>
      <c r="E13542" t="s">
        <v>29087</v>
      </c>
      <c r="F13542" t="s">
        <v>30052</v>
      </c>
      <c r="G13542" t="s">
        <v>30058</v>
      </c>
      <c r="H13542" t="s">
        <v>30067</v>
      </c>
      <c r="I13542" t="s">
        <v>3693</v>
      </c>
      <c r="J13542" t="s">
        <v>38405</v>
      </c>
      <c r="K13542" t="s">
        <v>39033</v>
      </c>
      <c r="M13542" t="s">
        <v>41065</v>
      </c>
      <c r="N13542" t="s">
        <v>43166</v>
      </c>
      <c r="O13542" t="s">
        <v>43167</v>
      </c>
      <c r="P13542">
        <v>0</v>
      </c>
      <c r="Q13542">
        <v>1</v>
      </c>
      <c r="R13542" t="s">
        <v>43187</v>
      </c>
      <c r="S13542" t="s">
        <v>44147</v>
      </c>
      <c r="T13542" t="s">
        <v>44717</v>
      </c>
      <c r="U13542" t="s">
        <v>55960</v>
      </c>
      <c r="V13542" t="s">
        <v>58450</v>
      </c>
      <c r="W13542" t="s">
        <v>41065</v>
      </c>
      <c r="X13542" t="s">
        <v>43188</v>
      </c>
    </row>
    <row r="13543" spans="1:24">
      <c r="A13543">
        <f>HYPERLINK("https://www.philgeps.gov.ph/GEPSNONPILOT/Tender/SplashBidNoticeAbstractUI.aspx?menuIndex=3&amp;refID=7049054&amp;Result=3","7049054")</f>
        <v>0</v>
      </c>
      <c r="B13543" t="s">
        <v>678</v>
      </c>
      <c r="C13543" t="s">
        <v>16385</v>
      </c>
      <c r="D13543" t="s">
        <v>17432</v>
      </c>
      <c r="E13543" t="s">
        <v>29088</v>
      </c>
      <c r="F13543" t="s">
        <v>30052</v>
      </c>
      <c r="G13543" t="s">
        <v>30058</v>
      </c>
      <c r="H13543" t="s">
        <v>30067</v>
      </c>
      <c r="I13543" t="s">
        <v>3693</v>
      </c>
      <c r="J13543" t="s">
        <v>30645</v>
      </c>
      <c r="K13543" t="s">
        <v>39016</v>
      </c>
      <c r="M13543" t="s">
        <v>39984</v>
      </c>
      <c r="N13543" t="s">
        <v>43166</v>
      </c>
      <c r="O13543" t="s">
        <v>43167</v>
      </c>
      <c r="Q13543">
        <v>1</v>
      </c>
      <c r="R13543" t="s">
        <v>43187</v>
      </c>
      <c r="S13543" t="s">
        <v>44180</v>
      </c>
      <c r="T13543" t="s">
        <v>44717</v>
      </c>
      <c r="U13543" t="s">
        <v>55961</v>
      </c>
      <c r="W13543" t="s">
        <v>39984</v>
      </c>
      <c r="X13543" t="s">
        <v>43188</v>
      </c>
    </row>
    <row r="13544" spans="1:24">
      <c r="A13544">
        <f>HYPERLINK("https://www.philgeps.gov.ph/GEPSNONPILOT/Tender/SplashBidNoticeAbstractUI.aspx?menuIndex=3&amp;refID=7049048&amp;Result=3","7049048")</f>
        <v>0</v>
      </c>
      <c r="B13544" t="s">
        <v>3369</v>
      </c>
      <c r="C13544" t="s">
        <v>16386</v>
      </c>
      <c r="D13544" t="s">
        <v>17445</v>
      </c>
      <c r="E13544" t="s">
        <v>29089</v>
      </c>
      <c r="F13544" t="s">
        <v>30052</v>
      </c>
      <c r="G13544" t="s">
        <v>30058</v>
      </c>
      <c r="H13544" t="s">
        <v>30067</v>
      </c>
      <c r="I13544" t="s">
        <v>3693</v>
      </c>
      <c r="J13544" t="s">
        <v>30397</v>
      </c>
      <c r="K13544" t="s">
        <v>39032</v>
      </c>
      <c r="L13544" t="s">
        <v>3369</v>
      </c>
      <c r="M13544" t="s">
        <v>43020</v>
      </c>
      <c r="N13544" t="s">
        <v>43166</v>
      </c>
      <c r="O13544" t="s">
        <v>43167</v>
      </c>
      <c r="P13544">
        <v>0</v>
      </c>
      <c r="Q13544">
        <v>2</v>
      </c>
      <c r="R13544" t="s">
        <v>43187</v>
      </c>
      <c r="S13544" t="s">
        <v>44147</v>
      </c>
      <c r="T13544" t="s">
        <v>44832</v>
      </c>
      <c r="U13544" t="s">
        <v>55959</v>
      </c>
      <c r="W13544" t="s">
        <v>43020</v>
      </c>
      <c r="X13544" t="s">
        <v>43188</v>
      </c>
    </row>
    <row r="13545" spans="1:24">
      <c r="A13545">
        <f>HYPERLINK("https://www.philgeps.gov.ph/GEPSNONPILOT/Tender/SplashBidNoticeAbstractUI.aspx?menuIndex=3&amp;refID=7048446&amp;Result=3","7048446")</f>
        <v>0</v>
      </c>
      <c r="B13545" t="s">
        <v>650</v>
      </c>
      <c r="C13545" t="s">
        <v>16387</v>
      </c>
      <c r="D13545" t="s">
        <v>17424</v>
      </c>
      <c r="E13545" t="s">
        <v>29090</v>
      </c>
      <c r="F13545" t="s">
        <v>30052</v>
      </c>
      <c r="G13545" t="s">
        <v>30058</v>
      </c>
      <c r="H13545" t="s">
        <v>30067</v>
      </c>
      <c r="I13545" t="s">
        <v>3693</v>
      </c>
      <c r="J13545" t="s">
        <v>30222</v>
      </c>
      <c r="K13545" t="s">
        <v>39086</v>
      </c>
      <c r="L13545" t="s">
        <v>650</v>
      </c>
      <c r="M13545" t="s">
        <v>39954</v>
      </c>
      <c r="N13545" t="s">
        <v>43166</v>
      </c>
      <c r="O13545" t="s">
        <v>43167</v>
      </c>
      <c r="P13545">
        <v>0</v>
      </c>
      <c r="Q13545">
        <v>84</v>
      </c>
      <c r="R13545" t="s">
        <v>43187</v>
      </c>
      <c r="S13545" t="s">
        <v>44147</v>
      </c>
      <c r="T13545" t="s">
        <v>44844</v>
      </c>
      <c r="U13545" t="s">
        <v>55962</v>
      </c>
      <c r="W13545" t="s">
        <v>39954</v>
      </c>
      <c r="X13545" t="s">
        <v>43188</v>
      </c>
    </row>
    <row r="13546" spans="1:24">
      <c r="A13546">
        <f>HYPERLINK("https://www.philgeps.gov.ph/GEPSNONPILOT/Tender/SplashBidNoticeAbstractUI.aspx?menuIndex=3&amp;refID=7049029&amp;Result=3","7049029")</f>
        <v>0</v>
      </c>
      <c r="B13546" t="s">
        <v>678</v>
      </c>
      <c r="C13546" t="s">
        <v>16388</v>
      </c>
      <c r="D13546" t="s">
        <v>17432</v>
      </c>
      <c r="E13546" t="s">
        <v>29091</v>
      </c>
      <c r="F13546" t="s">
        <v>30052</v>
      </c>
      <c r="G13546" t="s">
        <v>30058</v>
      </c>
      <c r="H13546" t="s">
        <v>30067</v>
      </c>
      <c r="I13546" t="s">
        <v>3693</v>
      </c>
      <c r="J13546" t="s">
        <v>31160</v>
      </c>
      <c r="K13546" t="s">
        <v>39092</v>
      </c>
      <c r="M13546" t="s">
        <v>39984</v>
      </c>
      <c r="N13546" t="s">
        <v>43166</v>
      </c>
      <c r="O13546" t="s">
        <v>43167</v>
      </c>
      <c r="Q13546">
        <v>4</v>
      </c>
      <c r="R13546" t="s">
        <v>43187</v>
      </c>
      <c r="S13546" t="s">
        <v>44181</v>
      </c>
      <c r="T13546" t="s">
        <v>44717</v>
      </c>
      <c r="U13546" t="s">
        <v>55961</v>
      </c>
      <c r="W13546" t="s">
        <v>39984</v>
      </c>
      <c r="X13546" t="s">
        <v>43188</v>
      </c>
    </row>
    <row r="13547" spans="1:24">
      <c r="A13547">
        <f>HYPERLINK("https://www.philgeps.gov.ph/GEPSNONPILOT/Tender/SplashBidNoticeAbstractUI.aspx?menuIndex=3&amp;refID=7048540&amp;Result=3","7048540")</f>
        <v>0</v>
      </c>
      <c r="B13547" t="s">
        <v>635</v>
      </c>
      <c r="C13547" t="s">
        <v>16389</v>
      </c>
      <c r="D13547" t="s">
        <v>17427</v>
      </c>
      <c r="E13547" t="s">
        <v>28421</v>
      </c>
      <c r="F13547" t="s">
        <v>30055</v>
      </c>
      <c r="G13547" t="s">
        <v>30058</v>
      </c>
      <c r="H13547" t="s">
        <v>15498</v>
      </c>
      <c r="I13547" t="s">
        <v>30074</v>
      </c>
      <c r="J13547" t="s">
        <v>30766</v>
      </c>
      <c r="K13547" t="s">
        <v>39029</v>
      </c>
      <c r="M13547" t="s">
        <v>39938</v>
      </c>
      <c r="N13547" t="s">
        <v>43166</v>
      </c>
      <c r="O13547" t="s">
        <v>43167</v>
      </c>
      <c r="P13547">
        <v>0</v>
      </c>
      <c r="Q13547">
        <v>3</v>
      </c>
      <c r="R13547" t="s">
        <v>43187</v>
      </c>
      <c r="S13547" t="s">
        <v>44147</v>
      </c>
      <c r="T13547" t="s">
        <v>44837</v>
      </c>
      <c r="U13547" t="s">
        <v>55963</v>
      </c>
      <c r="W13547" t="s">
        <v>39938</v>
      </c>
      <c r="X13547" t="s">
        <v>43188</v>
      </c>
    </row>
    <row r="13548" spans="1:24">
      <c r="A13548">
        <f>HYPERLINK("https://www.philgeps.gov.ph/GEPSNONPILOT/Tender/SplashBidNoticeAbstractUI.aspx?menuIndex=3&amp;refID=7049030&amp;Result=3","7049030")</f>
        <v>0</v>
      </c>
      <c r="B13548" t="s">
        <v>1660</v>
      </c>
      <c r="C13548" t="s">
        <v>16390</v>
      </c>
      <c r="D13548" t="s">
        <v>17427</v>
      </c>
      <c r="E13548" t="s">
        <v>29092</v>
      </c>
      <c r="F13548" t="s">
        <v>30052</v>
      </c>
      <c r="G13548" t="s">
        <v>30058</v>
      </c>
      <c r="H13548" t="s">
        <v>15498</v>
      </c>
      <c r="I13548" t="s">
        <v>30084</v>
      </c>
      <c r="J13548" t="s">
        <v>38406</v>
      </c>
      <c r="K13548" t="s">
        <v>39029</v>
      </c>
      <c r="M13548" t="s">
        <v>41065</v>
      </c>
      <c r="N13548" t="s">
        <v>43166</v>
      </c>
      <c r="O13548" t="s">
        <v>43167</v>
      </c>
      <c r="P13548">
        <v>0</v>
      </c>
      <c r="Q13548">
        <v>6</v>
      </c>
      <c r="R13548" t="s">
        <v>43187</v>
      </c>
      <c r="S13548" t="s">
        <v>44147</v>
      </c>
      <c r="T13548" t="s">
        <v>44717</v>
      </c>
      <c r="U13548" t="s">
        <v>55964</v>
      </c>
      <c r="W13548" t="s">
        <v>41065</v>
      </c>
      <c r="X13548" t="s">
        <v>43188</v>
      </c>
    </row>
    <row r="13549" spans="1:24">
      <c r="A13549">
        <f>HYPERLINK("https://www.philgeps.gov.ph/GEPSNONPILOT/Tender/SplashBidNoticeAbstractUI.aspx?menuIndex=3&amp;refID=7049009&amp;Result=3","7049009")</f>
        <v>0</v>
      </c>
      <c r="B13549" t="s">
        <v>1607</v>
      </c>
      <c r="C13549" t="s">
        <v>16391</v>
      </c>
      <c r="E13549" t="s">
        <v>29093</v>
      </c>
      <c r="F13549" t="s">
        <v>30052</v>
      </c>
      <c r="G13549" t="s">
        <v>30058</v>
      </c>
      <c r="H13549" t="s">
        <v>15498</v>
      </c>
      <c r="I13549" t="s">
        <v>30088</v>
      </c>
      <c r="J13549" t="s">
        <v>30813</v>
      </c>
      <c r="K13549" t="s">
        <v>39025</v>
      </c>
      <c r="M13549" t="s">
        <v>42441</v>
      </c>
      <c r="N13549" t="s">
        <v>43166</v>
      </c>
      <c r="O13549" t="s">
        <v>43167</v>
      </c>
      <c r="Q13549">
        <v>22</v>
      </c>
      <c r="R13549" t="s">
        <v>43187</v>
      </c>
      <c r="S13549" t="s">
        <v>44182</v>
      </c>
      <c r="T13549" t="s">
        <v>44733</v>
      </c>
      <c r="U13549" t="s">
        <v>55965</v>
      </c>
      <c r="W13549" t="s">
        <v>42441</v>
      </c>
      <c r="X13549" t="s">
        <v>43188</v>
      </c>
    </row>
    <row r="13550" spans="1:24">
      <c r="A13550">
        <f>HYPERLINK("https://www.philgeps.gov.ph/GEPSNONPILOT/Tender/SplashBidNoticeAbstractUI.aspx?menuIndex=3&amp;refID=7049081&amp;Result=3","7049081")</f>
        <v>0</v>
      </c>
      <c r="B13550" t="s">
        <v>678</v>
      </c>
      <c r="C13550" t="s">
        <v>16392</v>
      </c>
      <c r="D13550" t="s">
        <v>17432</v>
      </c>
      <c r="E13550" t="s">
        <v>29094</v>
      </c>
      <c r="F13550" t="s">
        <v>30052</v>
      </c>
      <c r="G13550" t="s">
        <v>30058</v>
      </c>
      <c r="H13550" t="s">
        <v>30067</v>
      </c>
      <c r="I13550" t="s">
        <v>3693</v>
      </c>
      <c r="J13550" t="s">
        <v>31185</v>
      </c>
      <c r="K13550" t="s">
        <v>39118</v>
      </c>
      <c r="M13550" t="s">
        <v>39984</v>
      </c>
      <c r="N13550" t="s">
        <v>43166</v>
      </c>
      <c r="O13550" t="s">
        <v>43167</v>
      </c>
      <c r="Q13550">
        <v>1</v>
      </c>
      <c r="R13550" t="s">
        <v>43187</v>
      </c>
      <c r="S13550" t="s">
        <v>44183</v>
      </c>
      <c r="T13550" t="s">
        <v>44717</v>
      </c>
      <c r="U13550" t="s">
        <v>55961</v>
      </c>
      <c r="W13550" t="s">
        <v>39984</v>
      </c>
      <c r="X13550" t="s">
        <v>43188</v>
      </c>
    </row>
    <row r="13551" spans="1:24">
      <c r="A13551">
        <f>HYPERLINK("https://www.philgeps.gov.ph/GEPSNONPILOT/Tender/SplashBidNoticeAbstractUI.aspx?menuIndex=3&amp;refID=7049229&amp;Result=3","7049229")</f>
        <v>0</v>
      </c>
      <c r="B13551" t="s">
        <v>729</v>
      </c>
      <c r="C13551" t="s">
        <v>16393</v>
      </c>
      <c r="D13551" t="s">
        <v>17471</v>
      </c>
      <c r="E13551" t="s">
        <v>29095</v>
      </c>
      <c r="F13551" t="s">
        <v>30052</v>
      </c>
      <c r="G13551" t="s">
        <v>30058</v>
      </c>
      <c r="H13551" t="s">
        <v>30067</v>
      </c>
      <c r="I13551" t="s">
        <v>3693</v>
      </c>
      <c r="J13551" t="s">
        <v>30321</v>
      </c>
      <c r="K13551" t="s">
        <v>39031</v>
      </c>
      <c r="M13551" t="s">
        <v>40040</v>
      </c>
      <c r="N13551" t="s">
        <v>43166</v>
      </c>
      <c r="O13551" t="s">
        <v>43167</v>
      </c>
      <c r="P13551">
        <v>0</v>
      </c>
      <c r="Q13551">
        <v>0</v>
      </c>
      <c r="R13551" t="s">
        <v>43187</v>
      </c>
      <c r="S13551" t="s">
        <v>44147</v>
      </c>
      <c r="T13551" t="s">
        <v>44773</v>
      </c>
      <c r="U13551" t="s">
        <v>55966</v>
      </c>
      <c r="W13551" t="s">
        <v>40040</v>
      </c>
      <c r="X13551" t="s">
        <v>43188</v>
      </c>
    </row>
    <row r="13552" spans="1:24">
      <c r="A13552">
        <f>HYPERLINK("https://www.philgeps.gov.ph/GEPSNONPILOT/Tender/SplashBidNoticeAbstractUI.aspx?menuIndex=3&amp;refID=7049024&amp;Result=3","7049024")</f>
        <v>0</v>
      </c>
      <c r="B13552" t="s">
        <v>2550</v>
      </c>
      <c r="C13552" t="s">
        <v>16394</v>
      </c>
      <c r="D13552" t="s">
        <v>17445</v>
      </c>
      <c r="E13552" t="s">
        <v>29096</v>
      </c>
      <c r="F13552" t="s">
        <v>30052</v>
      </c>
      <c r="G13552" t="s">
        <v>30058</v>
      </c>
      <c r="H13552" t="s">
        <v>15498</v>
      </c>
      <c r="I13552" t="s">
        <v>30135</v>
      </c>
      <c r="J13552" t="s">
        <v>38407</v>
      </c>
      <c r="K13552" t="s">
        <v>39031</v>
      </c>
      <c r="M13552" t="s">
        <v>42120</v>
      </c>
      <c r="N13552" t="s">
        <v>43166</v>
      </c>
      <c r="O13552" t="s">
        <v>43167</v>
      </c>
      <c r="P13552">
        <v>0</v>
      </c>
      <c r="Q13552">
        <v>5</v>
      </c>
      <c r="R13552" t="s">
        <v>43187</v>
      </c>
      <c r="S13552" t="s">
        <v>44147</v>
      </c>
      <c r="T13552" t="s">
        <v>44822</v>
      </c>
      <c r="U13552" t="s">
        <v>55947</v>
      </c>
      <c r="W13552" t="s">
        <v>42120</v>
      </c>
      <c r="X13552" t="s">
        <v>43188</v>
      </c>
    </row>
    <row r="13553" spans="1:24">
      <c r="A13553">
        <f>HYPERLINK("https://www.philgeps.gov.ph/GEPSNONPILOT/Tender/SplashBidNoticeAbstractUI.aspx?menuIndex=3&amp;refID=7048548&amp;Result=3","7048548")</f>
        <v>0</v>
      </c>
      <c r="B13553" t="s">
        <v>746</v>
      </c>
      <c r="C13553" t="s">
        <v>16395</v>
      </c>
      <c r="D13553" t="s">
        <v>17421</v>
      </c>
      <c r="E13553" t="s">
        <v>29097</v>
      </c>
      <c r="F13553" t="s">
        <v>30052</v>
      </c>
      <c r="G13553" t="s">
        <v>30058</v>
      </c>
      <c r="H13553" t="s">
        <v>15498</v>
      </c>
      <c r="I13553" t="s">
        <v>3852</v>
      </c>
      <c r="J13553" t="s">
        <v>31447</v>
      </c>
      <c r="K13553" t="s">
        <v>39031</v>
      </c>
      <c r="M13553" t="s">
        <v>40060</v>
      </c>
      <c r="N13553" t="s">
        <v>43166</v>
      </c>
      <c r="O13553" t="s">
        <v>43167</v>
      </c>
      <c r="P13553">
        <v>0</v>
      </c>
      <c r="Q13553">
        <v>9</v>
      </c>
      <c r="R13553" t="s">
        <v>43187</v>
      </c>
      <c r="S13553" t="s">
        <v>44147</v>
      </c>
      <c r="T13553" t="s">
        <v>44696</v>
      </c>
      <c r="U13553" t="s">
        <v>55967</v>
      </c>
      <c r="W13553" t="s">
        <v>40060</v>
      </c>
      <c r="X13553" t="s">
        <v>43188</v>
      </c>
    </row>
    <row r="13554" spans="1:24">
      <c r="A13554">
        <f>HYPERLINK("https://www.philgeps.gov.ph/GEPSNONPILOT/Tender/SplashBidNoticeAbstractUI.aspx?menuIndex=3&amp;refID=7049014&amp;Result=3","7049014")</f>
        <v>0</v>
      </c>
      <c r="B13554" t="s">
        <v>679</v>
      </c>
      <c r="C13554" t="s">
        <v>16396</v>
      </c>
      <c r="D13554" t="s">
        <v>17419</v>
      </c>
      <c r="E13554" t="s">
        <v>29098</v>
      </c>
      <c r="F13554" t="s">
        <v>30052</v>
      </c>
      <c r="G13554" t="s">
        <v>30058</v>
      </c>
      <c r="H13554" t="s">
        <v>15498</v>
      </c>
      <c r="I13554" t="s">
        <v>30083</v>
      </c>
      <c r="J13554" t="s">
        <v>38408</v>
      </c>
      <c r="K13554" t="s">
        <v>39025</v>
      </c>
      <c r="M13554" t="s">
        <v>43033</v>
      </c>
      <c r="N13554" t="s">
        <v>43166</v>
      </c>
      <c r="O13554" t="s">
        <v>43167</v>
      </c>
      <c r="P13554">
        <v>0</v>
      </c>
      <c r="Q13554">
        <v>0</v>
      </c>
      <c r="R13554" t="s">
        <v>43187</v>
      </c>
      <c r="S13554" t="s">
        <v>44147</v>
      </c>
      <c r="T13554" t="s">
        <v>44717</v>
      </c>
      <c r="U13554" t="s">
        <v>55968</v>
      </c>
      <c r="W13554" t="s">
        <v>43033</v>
      </c>
      <c r="X13554" t="s">
        <v>43188</v>
      </c>
    </row>
    <row r="13555" spans="1:24">
      <c r="A13555">
        <f>HYPERLINK("https://www.philgeps.gov.ph/GEPSNONPILOT/Tender/SplashBidNoticeAbstractUI.aspx?menuIndex=3&amp;refID=7049037&amp;Result=3","7049037")</f>
        <v>0</v>
      </c>
      <c r="B13555" t="s">
        <v>2939</v>
      </c>
      <c r="C13555" t="s">
        <v>16397</v>
      </c>
      <c r="D13555" t="s">
        <v>17426</v>
      </c>
      <c r="E13555" t="s">
        <v>29099</v>
      </c>
      <c r="F13555" t="s">
        <v>30052</v>
      </c>
      <c r="G13555" t="s">
        <v>30058</v>
      </c>
      <c r="H13555" t="s">
        <v>15498</v>
      </c>
      <c r="I13555" t="s">
        <v>3736</v>
      </c>
      <c r="J13555" t="s">
        <v>38409</v>
      </c>
      <c r="K13555" t="s">
        <v>39019</v>
      </c>
      <c r="M13555" t="s">
        <v>42503</v>
      </c>
      <c r="N13555" t="s">
        <v>43166</v>
      </c>
      <c r="O13555" t="s">
        <v>43167</v>
      </c>
      <c r="P13555">
        <v>0</v>
      </c>
      <c r="Q13555">
        <v>0</v>
      </c>
      <c r="R13555" t="s">
        <v>43187</v>
      </c>
      <c r="S13555" t="s">
        <v>44147</v>
      </c>
      <c r="T13555" t="s">
        <v>44695</v>
      </c>
      <c r="U13555" t="s">
        <v>55969</v>
      </c>
      <c r="W13555" t="s">
        <v>42503</v>
      </c>
      <c r="X13555" t="s">
        <v>43188</v>
      </c>
    </row>
    <row r="13556" spans="1:24">
      <c r="A13556">
        <f>HYPERLINK("https://www.philgeps.gov.ph/GEPSNONPILOT/Tender/SplashBidNoticeAbstractUI.aspx?menuIndex=3&amp;refID=7049194&amp;Result=3","7049194")</f>
        <v>0</v>
      </c>
      <c r="B13556" t="s">
        <v>678</v>
      </c>
      <c r="C13556" t="s">
        <v>16398</v>
      </c>
      <c r="D13556" t="s">
        <v>17432</v>
      </c>
      <c r="E13556" t="s">
        <v>29100</v>
      </c>
      <c r="F13556" t="s">
        <v>30052</v>
      </c>
      <c r="G13556" t="s">
        <v>30058</v>
      </c>
      <c r="H13556" t="s">
        <v>30067</v>
      </c>
      <c r="I13556" t="s">
        <v>3693</v>
      </c>
      <c r="J13556" t="s">
        <v>35691</v>
      </c>
      <c r="K13556" t="s">
        <v>39136</v>
      </c>
      <c r="M13556" t="s">
        <v>39984</v>
      </c>
      <c r="N13556" t="s">
        <v>43166</v>
      </c>
      <c r="O13556" t="s">
        <v>43167</v>
      </c>
      <c r="Q13556">
        <v>2</v>
      </c>
      <c r="R13556" t="s">
        <v>43187</v>
      </c>
      <c r="S13556" t="s">
        <v>44184</v>
      </c>
      <c r="T13556" t="s">
        <v>44717</v>
      </c>
      <c r="U13556" t="s">
        <v>55961</v>
      </c>
      <c r="W13556" t="s">
        <v>39984</v>
      </c>
      <c r="X13556" t="s">
        <v>43188</v>
      </c>
    </row>
    <row r="13557" spans="1:24">
      <c r="A13557">
        <f>HYPERLINK("https://www.philgeps.gov.ph/GEPSNONPILOT/Tender/SplashBidNoticeAbstractUI.aspx?menuIndex=3&amp;refID=7049097&amp;Result=3","7049097")</f>
        <v>0</v>
      </c>
      <c r="B13557" t="s">
        <v>3369</v>
      </c>
      <c r="C13557" t="s">
        <v>16399</v>
      </c>
      <c r="D13557" t="s">
        <v>17445</v>
      </c>
      <c r="E13557" t="s">
        <v>29101</v>
      </c>
      <c r="F13557" t="s">
        <v>30052</v>
      </c>
      <c r="G13557" t="s">
        <v>30058</v>
      </c>
      <c r="H13557" t="s">
        <v>30067</v>
      </c>
      <c r="I13557" t="s">
        <v>3693</v>
      </c>
      <c r="J13557" t="s">
        <v>38247</v>
      </c>
      <c r="K13557" t="s">
        <v>39032</v>
      </c>
      <c r="L13557" t="s">
        <v>3369</v>
      </c>
      <c r="M13557" t="s">
        <v>43020</v>
      </c>
      <c r="N13557" t="s">
        <v>43166</v>
      </c>
      <c r="O13557" t="s">
        <v>43167</v>
      </c>
      <c r="P13557">
        <v>0</v>
      </c>
      <c r="Q13557">
        <v>1</v>
      </c>
      <c r="R13557" t="s">
        <v>43187</v>
      </c>
      <c r="S13557" t="s">
        <v>44147</v>
      </c>
      <c r="T13557" t="s">
        <v>44832</v>
      </c>
      <c r="U13557" t="s">
        <v>55970</v>
      </c>
      <c r="W13557" t="s">
        <v>43020</v>
      </c>
      <c r="X13557" t="s">
        <v>43188</v>
      </c>
    </row>
    <row r="13558" spans="1:24">
      <c r="A13558">
        <f>HYPERLINK("https://www.philgeps.gov.ph/GEPSNONPILOT/Tender/SplashBidNoticeAbstractUI.aspx?menuIndex=3&amp;refID=7049174&amp;Result=3","7049174")</f>
        <v>0</v>
      </c>
      <c r="B13558" t="s">
        <v>3369</v>
      </c>
      <c r="C13558" t="s">
        <v>16400</v>
      </c>
      <c r="D13558" t="s">
        <v>17445</v>
      </c>
      <c r="E13558" t="s">
        <v>29102</v>
      </c>
      <c r="F13558" t="s">
        <v>30052</v>
      </c>
      <c r="G13558" t="s">
        <v>30058</v>
      </c>
      <c r="H13558" t="s">
        <v>30067</v>
      </c>
      <c r="I13558" t="s">
        <v>3693</v>
      </c>
      <c r="J13558" t="s">
        <v>30532</v>
      </c>
      <c r="K13558" t="s">
        <v>39032</v>
      </c>
      <c r="L13558" t="s">
        <v>3369</v>
      </c>
      <c r="M13558" t="s">
        <v>43020</v>
      </c>
      <c r="N13558" t="s">
        <v>43166</v>
      </c>
      <c r="O13558" t="s">
        <v>43167</v>
      </c>
      <c r="P13558">
        <v>0</v>
      </c>
      <c r="Q13558">
        <v>1</v>
      </c>
      <c r="R13558" t="s">
        <v>43187</v>
      </c>
      <c r="S13558" t="s">
        <v>44147</v>
      </c>
      <c r="T13558" t="s">
        <v>44832</v>
      </c>
      <c r="U13558" t="s">
        <v>55971</v>
      </c>
      <c r="W13558" t="s">
        <v>43020</v>
      </c>
      <c r="X13558" t="s">
        <v>43188</v>
      </c>
    </row>
    <row r="13559" spans="1:24">
      <c r="A13559">
        <f>HYPERLINK("https://www.philgeps.gov.ph/GEPSNONPILOT/Tender/SplashBidNoticeAbstractUI.aspx?menuIndex=3&amp;refID=7049173&amp;Result=3","7049173")</f>
        <v>0</v>
      </c>
      <c r="B13559" t="s">
        <v>828</v>
      </c>
      <c r="C13559" t="s">
        <v>16401</v>
      </c>
      <c r="D13559" t="s">
        <v>17422</v>
      </c>
      <c r="E13559" t="s">
        <v>29103</v>
      </c>
      <c r="F13559" t="s">
        <v>30052</v>
      </c>
      <c r="G13559" t="s">
        <v>30058</v>
      </c>
      <c r="H13559" t="s">
        <v>15498</v>
      </c>
      <c r="I13559" t="s">
        <v>30076</v>
      </c>
      <c r="J13559" t="s">
        <v>38410</v>
      </c>
      <c r="K13559" t="s">
        <v>39031</v>
      </c>
      <c r="M13559" t="s">
        <v>40145</v>
      </c>
      <c r="N13559" t="s">
        <v>43166</v>
      </c>
      <c r="O13559" t="s">
        <v>43167</v>
      </c>
      <c r="Q13559">
        <v>11</v>
      </c>
      <c r="R13559" t="s">
        <v>43187</v>
      </c>
      <c r="S13559" t="s">
        <v>44185</v>
      </c>
      <c r="T13559" t="s">
        <v>44832</v>
      </c>
      <c r="U13559" t="s">
        <v>55972</v>
      </c>
      <c r="W13559" t="s">
        <v>40145</v>
      </c>
      <c r="X13559" t="s">
        <v>43188</v>
      </c>
    </row>
    <row r="13560" spans="1:24">
      <c r="A13560">
        <f>HYPERLINK("https://www.philgeps.gov.ph/GEPSNONPILOT/Tender/SplashBidNoticeAbstractUI.aspx?menuIndex=3&amp;refID=7049161&amp;Result=3","7049161")</f>
        <v>0</v>
      </c>
      <c r="B13560" t="s">
        <v>678</v>
      </c>
      <c r="C13560" t="s">
        <v>16402</v>
      </c>
      <c r="D13560" t="s">
        <v>17432</v>
      </c>
      <c r="E13560" t="s">
        <v>29104</v>
      </c>
      <c r="F13560" t="s">
        <v>30052</v>
      </c>
      <c r="G13560" t="s">
        <v>30058</v>
      </c>
      <c r="H13560" t="s">
        <v>30067</v>
      </c>
      <c r="I13560" t="s">
        <v>3693</v>
      </c>
      <c r="J13560" t="s">
        <v>30645</v>
      </c>
      <c r="K13560" t="s">
        <v>39016</v>
      </c>
      <c r="M13560" t="s">
        <v>39984</v>
      </c>
      <c r="N13560" t="s">
        <v>43166</v>
      </c>
      <c r="O13560" t="s">
        <v>43167</v>
      </c>
      <c r="Q13560">
        <v>2</v>
      </c>
      <c r="R13560" t="s">
        <v>43187</v>
      </c>
      <c r="S13560" t="s">
        <v>44186</v>
      </c>
      <c r="T13560" t="s">
        <v>44717</v>
      </c>
      <c r="U13560" t="s">
        <v>55961</v>
      </c>
      <c r="W13560" t="s">
        <v>39984</v>
      </c>
      <c r="X13560" t="s">
        <v>43188</v>
      </c>
    </row>
    <row r="13561" spans="1:24">
      <c r="A13561">
        <f>HYPERLINK("https://www.philgeps.gov.ph/GEPSNONPILOT/Tender/SplashBidNoticeAbstractUI.aspx?menuIndex=3&amp;refID=7048477&amp;Result=3","7048477")</f>
        <v>0</v>
      </c>
      <c r="B13561" t="s">
        <v>990</v>
      </c>
      <c r="C13561" t="s">
        <v>16403</v>
      </c>
      <c r="D13561" t="s">
        <v>17474</v>
      </c>
      <c r="E13561" t="s">
        <v>29105</v>
      </c>
      <c r="F13561" t="s">
        <v>30052</v>
      </c>
      <c r="G13561" t="s">
        <v>30058</v>
      </c>
      <c r="H13561" t="s">
        <v>15498</v>
      </c>
      <c r="I13561" t="s">
        <v>30135</v>
      </c>
      <c r="J13561" t="s">
        <v>38411</v>
      </c>
      <c r="K13561" t="s">
        <v>39029</v>
      </c>
      <c r="M13561" t="s">
        <v>40317</v>
      </c>
      <c r="N13561" t="s">
        <v>43166</v>
      </c>
      <c r="O13561" t="s">
        <v>43167</v>
      </c>
      <c r="P13561">
        <v>0</v>
      </c>
      <c r="Q13561">
        <v>7</v>
      </c>
      <c r="R13561" t="s">
        <v>43187</v>
      </c>
      <c r="S13561" t="s">
        <v>44147</v>
      </c>
      <c r="T13561" t="s">
        <v>44826</v>
      </c>
      <c r="U13561" t="s">
        <v>55973</v>
      </c>
      <c r="V13561" t="s">
        <v>58451</v>
      </c>
      <c r="W13561" t="s">
        <v>40317</v>
      </c>
      <c r="X13561" t="s">
        <v>43188</v>
      </c>
    </row>
    <row r="13562" spans="1:24">
      <c r="A13562">
        <f>HYPERLINK("https://www.philgeps.gov.ph/GEPSNONPILOT/Tender/SplashBidNoticeAbstractUI.aspx?menuIndex=3&amp;refID=7049150&amp;Result=3","7049150")</f>
        <v>0</v>
      </c>
      <c r="B13562" t="s">
        <v>3369</v>
      </c>
      <c r="C13562" t="s">
        <v>16404</v>
      </c>
      <c r="D13562" t="s">
        <v>17445</v>
      </c>
      <c r="E13562" t="s">
        <v>29106</v>
      </c>
      <c r="F13562" t="s">
        <v>30052</v>
      </c>
      <c r="G13562" t="s">
        <v>30058</v>
      </c>
      <c r="H13562" t="s">
        <v>30067</v>
      </c>
      <c r="I13562" t="s">
        <v>3693</v>
      </c>
      <c r="J13562" t="s">
        <v>30397</v>
      </c>
      <c r="K13562" t="s">
        <v>39032</v>
      </c>
      <c r="L13562" t="s">
        <v>3369</v>
      </c>
      <c r="M13562" t="s">
        <v>43020</v>
      </c>
      <c r="N13562" t="s">
        <v>43166</v>
      </c>
      <c r="O13562" t="s">
        <v>43167</v>
      </c>
      <c r="P13562">
        <v>0</v>
      </c>
      <c r="Q13562">
        <v>1</v>
      </c>
      <c r="R13562" t="s">
        <v>43187</v>
      </c>
      <c r="S13562" t="s">
        <v>44147</v>
      </c>
      <c r="T13562" t="s">
        <v>44832</v>
      </c>
      <c r="U13562" t="s">
        <v>55974</v>
      </c>
      <c r="W13562" t="s">
        <v>43020</v>
      </c>
      <c r="X13562" t="s">
        <v>43188</v>
      </c>
    </row>
    <row r="13563" spans="1:24">
      <c r="A13563">
        <f>HYPERLINK("https://www.philgeps.gov.ph/GEPSNONPILOT/Tender/SplashBidNoticeAbstractUI.aspx?menuIndex=3&amp;refID=7049131&amp;Result=3","7049131")</f>
        <v>0</v>
      </c>
      <c r="B13563" t="s">
        <v>3369</v>
      </c>
      <c r="C13563" t="s">
        <v>16405</v>
      </c>
      <c r="D13563" t="s">
        <v>17445</v>
      </c>
      <c r="E13563" t="s">
        <v>29107</v>
      </c>
      <c r="F13563" t="s">
        <v>30052</v>
      </c>
      <c r="G13563" t="s">
        <v>30058</v>
      </c>
      <c r="H13563" t="s">
        <v>30067</v>
      </c>
      <c r="I13563" t="s">
        <v>3693</v>
      </c>
      <c r="J13563" t="s">
        <v>30215</v>
      </c>
      <c r="K13563" t="s">
        <v>39032</v>
      </c>
      <c r="L13563" t="s">
        <v>3369</v>
      </c>
      <c r="M13563" t="s">
        <v>43020</v>
      </c>
      <c r="N13563" t="s">
        <v>43166</v>
      </c>
      <c r="O13563" t="s">
        <v>43167</v>
      </c>
      <c r="P13563">
        <v>0</v>
      </c>
      <c r="Q13563">
        <v>1</v>
      </c>
      <c r="R13563" t="s">
        <v>43187</v>
      </c>
      <c r="S13563" t="s">
        <v>44147</v>
      </c>
      <c r="T13563" t="s">
        <v>44832</v>
      </c>
      <c r="U13563" t="s">
        <v>55975</v>
      </c>
      <c r="W13563" t="s">
        <v>43020</v>
      </c>
      <c r="X13563" t="s">
        <v>43188</v>
      </c>
    </row>
    <row r="13564" spans="1:24">
      <c r="A13564">
        <f>HYPERLINK("https://www.philgeps.gov.ph/GEPSNONPILOT/Tender/SplashBidNoticeAbstractUI.aspx?menuIndex=3&amp;refID=7049116&amp;Result=3","7049116")</f>
        <v>0</v>
      </c>
      <c r="B13564" t="s">
        <v>678</v>
      </c>
      <c r="C13564" t="s">
        <v>16406</v>
      </c>
      <c r="D13564" t="s">
        <v>17432</v>
      </c>
      <c r="E13564" t="s">
        <v>29108</v>
      </c>
      <c r="F13564" t="s">
        <v>30052</v>
      </c>
      <c r="G13564" t="s">
        <v>30058</v>
      </c>
      <c r="H13564" t="s">
        <v>30067</v>
      </c>
      <c r="I13564" t="s">
        <v>3693</v>
      </c>
      <c r="J13564" t="s">
        <v>30645</v>
      </c>
      <c r="K13564" t="s">
        <v>39016</v>
      </c>
      <c r="M13564" t="s">
        <v>39984</v>
      </c>
      <c r="N13564" t="s">
        <v>43166</v>
      </c>
      <c r="O13564" t="s">
        <v>43167</v>
      </c>
      <c r="Q13564">
        <v>1</v>
      </c>
      <c r="R13564" t="s">
        <v>43187</v>
      </c>
      <c r="S13564" t="s">
        <v>44187</v>
      </c>
      <c r="T13564" t="s">
        <v>44717</v>
      </c>
      <c r="U13564" t="s">
        <v>55961</v>
      </c>
      <c r="W13564" t="s">
        <v>39984</v>
      </c>
      <c r="X13564" t="s">
        <v>43188</v>
      </c>
    </row>
    <row r="13565" spans="1:24">
      <c r="A13565">
        <f>HYPERLINK("https://www.philgeps.gov.ph/GEPSNONPILOT/Tender/SplashBidNoticeAbstractUI.aspx?menuIndex=3&amp;refID=7049114&amp;Result=3","7049114")</f>
        <v>0</v>
      </c>
      <c r="B13565" t="s">
        <v>3369</v>
      </c>
      <c r="C13565" t="s">
        <v>16407</v>
      </c>
      <c r="D13565" t="s">
        <v>17445</v>
      </c>
      <c r="E13565" t="s">
        <v>29109</v>
      </c>
      <c r="F13565" t="s">
        <v>30052</v>
      </c>
      <c r="G13565" t="s">
        <v>30058</v>
      </c>
      <c r="H13565" t="s">
        <v>30067</v>
      </c>
      <c r="I13565" t="s">
        <v>3693</v>
      </c>
      <c r="J13565" t="s">
        <v>30532</v>
      </c>
      <c r="K13565" t="s">
        <v>39032</v>
      </c>
      <c r="L13565" t="s">
        <v>3369</v>
      </c>
      <c r="M13565" t="s">
        <v>43020</v>
      </c>
      <c r="N13565" t="s">
        <v>43166</v>
      </c>
      <c r="O13565" t="s">
        <v>43167</v>
      </c>
      <c r="P13565">
        <v>0</v>
      </c>
      <c r="Q13565">
        <v>0</v>
      </c>
      <c r="R13565" t="s">
        <v>43187</v>
      </c>
      <c r="S13565" t="s">
        <v>44147</v>
      </c>
      <c r="T13565" t="s">
        <v>44832</v>
      </c>
      <c r="U13565" t="s">
        <v>55971</v>
      </c>
      <c r="W13565" t="s">
        <v>43020</v>
      </c>
      <c r="X13565" t="s">
        <v>43188</v>
      </c>
    </row>
    <row r="13566" spans="1:24">
      <c r="A13566">
        <f>HYPERLINK("https://www.philgeps.gov.ph/GEPSNONPILOT/Tender/SplashBidNoticeAbstractUI.aspx?menuIndex=3&amp;refID=7049263&amp;Result=3","7049263")</f>
        <v>0</v>
      </c>
      <c r="B13566" t="s">
        <v>581</v>
      </c>
      <c r="C13566" t="s">
        <v>16408</v>
      </c>
      <c r="D13566" t="s">
        <v>17476</v>
      </c>
      <c r="E13566" t="s">
        <v>18825</v>
      </c>
      <c r="F13566" t="s">
        <v>30052</v>
      </c>
      <c r="G13566" t="s">
        <v>30058</v>
      </c>
      <c r="H13566" t="s">
        <v>15498</v>
      </c>
      <c r="I13566" t="s">
        <v>4119</v>
      </c>
      <c r="J13566" t="s">
        <v>30746</v>
      </c>
      <c r="K13566" t="s">
        <v>39029</v>
      </c>
      <c r="M13566" t="s">
        <v>39883</v>
      </c>
      <c r="N13566" t="s">
        <v>43166</v>
      </c>
      <c r="O13566" t="s">
        <v>43167</v>
      </c>
      <c r="Q13566">
        <v>4</v>
      </c>
      <c r="R13566" t="s">
        <v>43187</v>
      </c>
      <c r="S13566" t="s">
        <v>44188</v>
      </c>
      <c r="T13566" t="s">
        <v>44832</v>
      </c>
      <c r="U13566" t="s">
        <v>55976</v>
      </c>
      <c r="V13566" t="s">
        <v>56980</v>
      </c>
      <c r="W13566" t="s">
        <v>39883</v>
      </c>
      <c r="X13566" t="s">
        <v>43188</v>
      </c>
    </row>
    <row r="13567" spans="1:24">
      <c r="A13567">
        <f>HYPERLINK("https://www.philgeps.gov.ph/GEPSNONPILOT/Tender/SplashBidNoticeAbstractUI.aspx?menuIndex=3&amp;refID=7049165&amp;Result=3","7049165")</f>
        <v>0</v>
      </c>
      <c r="B13567" t="s">
        <v>3379</v>
      </c>
      <c r="C13567" t="s">
        <v>16409</v>
      </c>
      <c r="D13567" t="s">
        <v>17466</v>
      </c>
      <c r="E13567" t="s">
        <v>29110</v>
      </c>
      <c r="F13567" t="s">
        <v>30052</v>
      </c>
      <c r="G13567" t="s">
        <v>30058</v>
      </c>
      <c r="H13567" t="s">
        <v>30067</v>
      </c>
      <c r="I13567" t="s">
        <v>30152</v>
      </c>
      <c r="J13567" t="s">
        <v>30247</v>
      </c>
      <c r="K13567" t="s">
        <v>39029</v>
      </c>
      <c r="M13567" t="s">
        <v>43034</v>
      </c>
      <c r="N13567" t="s">
        <v>43166</v>
      </c>
      <c r="O13567" t="s">
        <v>43167</v>
      </c>
      <c r="Q13567">
        <v>3</v>
      </c>
      <c r="R13567" t="s">
        <v>43187</v>
      </c>
      <c r="S13567" t="s">
        <v>44189</v>
      </c>
      <c r="T13567" t="s">
        <v>44773</v>
      </c>
      <c r="U13567" t="s">
        <v>55977</v>
      </c>
      <c r="V13567" t="s">
        <v>58452</v>
      </c>
      <c r="W13567" t="s">
        <v>43034</v>
      </c>
      <c r="X13567" t="s">
        <v>43188</v>
      </c>
    </row>
    <row r="13568" spans="1:24">
      <c r="A13568">
        <f>HYPERLINK("https://www.philgeps.gov.ph/GEPSNONPILOT/Tender/SplashBidNoticeAbstractUI.aspx?menuIndex=3&amp;refID=7049253&amp;Result=3","7049253")</f>
        <v>0</v>
      </c>
      <c r="B13568" t="s">
        <v>678</v>
      </c>
      <c r="C13568" t="s">
        <v>16410</v>
      </c>
      <c r="D13568" t="s">
        <v>17432</v>
      </c>
      <c r="E13568" t="s">
        <v>29111</v>
      </c>
      <c r="F13568" t="s">
        <v>30052</v>
      </c>
      <c r="G13568" t="s">
        <v>30058</v>
      </c>
      <c r="H13568" t="s">
        <v>30067</v>
      </c>
      <c r="I13568" t="s">
        <v>3693</v>
      </c>
      <c r="J13568" t="s">
        <v>31772</v>
      </c>
      <c r="K13568" t="s">
        <v>39079</v>
      </c>
      <c r="M13568" t="s">
        <v>39984</v>
      </c>
      <c r="N13568" t="s">
        <v>43166</v>
      </c>
      <c r="O13568" t="s">
        <v>43167</v>
      </c>
      <c r="Q13568">
        <v>1</v>
      </c>
      <c r="R13568" t="s">
        <v>43187</v>
      </c>
      <c r="S13568" t="s">
        <v>44190</v>
      </c>
      <c r="T13568" t="s">
        <v>44717</v>
      </c>
      <c r="U13568" t="s">
        <v>55961</v>
      </c>
      <c r="W13568" t="s">
        <v>39984</v>
      </c>
      <c r="X13568" t="s">
        <v>43188</v>
      </c>
    </row>
    <row r="13569" spans="1:24">
      <c r="A13569">
        <f>HYPERLINK("https://www.philgeps.gov.ph/GEPSNONPILOT/Tender/SplashBidNoticeAbstractUI.aspx?menuIndex=3&amp;refID=7049137&amp;Result=3","7049137")</f>
        <v>0</v>
      </c>
      <c r="B13569" t="s">
        <v>678</v>
      </c>
      <c r="C13569" t="s">
        <v>16411</v>
      </c>
      <c r="D13569" t="s">
        <v>17432</v>
      </c>
      <c r="E13569" t="s">
        <v>29112</v>
      </c>
      <c r="F13569" t="s">
        <v>30052</v>
      </c>
      <c r="G13569" t="s">
        <v>30058</v>
      </c>
      <c r="H13569" t="s">
        <v>30067</v>
      </c>
      <c r="I13569" t="s">
        <v>3693</v>
      </c>
      <c r="J13569" t="s">
        <v>33105</v>
      </c>
      <c r="K13569" t="s">
        <v>39079</v>
      </c>
      <c r="M13569" t="s">
        <v>39984</v>
      </c>
      <c r="N13569" t="s">
        <v>43166</v>
      </c>
      <c r="O13569" t="s">
        <v>43167</v>
      </c>
      <c r="Q13569">
        <v>1</v>
      </c>
      <c r="R13569" t="s">
        <v>43187</v>
      </c>
      <c r="S13569" t="s">
        <v>44191</v>
      </c>
      <c r="T13569" t="s">
        <v>44717</v>
      </c>
      <c r="U13569" t="s">
        <v>55961</v>
      </c>
      <c r="W13569" t="s">
        <v>39984</v>
      </c>
      <c r="X13569" t="s">
        <v>43188</v>
      </c>
    </row>
    <row r="13570" spans="1:24">
      <c r="A13570">
        <f>HYPERLINK("https://www.philgeps.gov.ph/GEPSNONPILOT/Tender/SplashBidNoticeAbstractUI.aspx?menuIndex=3&amp;refID=7049501&amp;Result=3","7049501")</f>
        <v>0</v>
      </c>
      <c r="B13570" t="s">
        <v>2550</v>
      </c>
      <c r="C13570" t="s">
        <v>16412</v>
      </c>
      <c r="D13570" t="s">
        <v>17445</v>
      </c>
      <c r="E13570" t="s">
        <v>29113</v>
      </c>
      <c r="F13570" t="s">
        <v>30052</v>
      </c>
      <c r="G13570" t="s">
        <v>30058</v>
      </c>
      <c r="H13570" t="s">
        <v>15498</v>
      </c>
      <c r="I13570" t="s">
        <v>30135</v>
      </c>
      <c r="J13570" t="s">
        <v>38412</v>
      </c>
      <c r="K13570" t="s">
        <v>39031</v>
      </c>
      <c r="M13570" t="s">
        <v>42057</v>
      </c>
      <c r="N13570" t="s">
        <v>43166</v>
      </c>
      <c r="O13570" t="s">
        <v>43167</v>
      </c>
      <c r="P13570">
        <v>0</v>
      </c>
      <c r="Q13570">
        <v>4</v>
      </c>
      <c r="R13570" t="s">
        <v>43187</v>
      </c>
      <c r="S13570" t="s">
        <v>44147</v>
      </c>
      <c r="T13570" t="s">
        <v>44822</v>
      </c>
      <c r="U13570" t="s">
        <v>55978</v>
      </c>
      <c r="W13570" t="s">
        <v>42057</v>
      </c>
      <c r="X13570" t="s">
        <v>43188</v>
      </c>
    </row>
    <row r="13571" spans="1:24">
      <c r="A13571">
        <f>HYPERLINK("https://www.philgeps.gov.ph/GEPSNONPILOT/Tender/SplashBidNoticeAbstractUI.aspx?menuIndex=3&amp;refID=7049478&amp;Result=3","7049478")</f>
        <v>0</v>
      </c>
      <c r="B13571" t="s">
        <v>2842</v>
      </c>
      <c r="C13571" t="s">
        <v>16413</v>
      </c>
      <c r="D13571" t="s">
        <v>17421</v>
      </c>
      <c r="E13571" t="s">
        <v>29114</v>
      </c>
      <c r="F13571" t="s">
        <v>30052</v>
      </c>
      <c r="G13571" t="s">
        <v>30058</v>
      </c>
      <c r="H13571" t="s">
        <v>15498</v>
      </c>
      <c r="I13571" t="s">
        <v>4650</v>
      </c>
      <c r="J13571" t="s">
        <v>38134</v>
      </c>
      <c r="K13571" t="s">
        <v>39023</v>
      </c>
      <c r="M13571" t="s">
        <v>42388</v>
      </c>
      <c r="N13571" t="s">
        <v>43166</v>
      </c>
      <c r="O13571" t="s">
        <v>43167</v>
      </c>
      <c r="Q13571">
        <v>4</v>
      </c>
      <c r="R13571" t="s">
        <v>43187</v>
      </c>
      <c r="S13571" t="s">
        <v>44192</v>
      </c>
      <c r="T13571" t="s">
        <v>45180</v>
      </c>
      <c r="U13571" t="s">
        <v>55979</v>
      </c>
      <c r="V13571" t="s">
        <v>58453</v>
      </c>
      <c r="W13571" t="s">
        <v>42388</v>
      </c>
      <c r="X13571" t="s">
        <v>43188</v>
      </c>
    </row>
    <row r="13572" spans="1:24">
      <c r="A13572">
        <f>HYPERLINK("https://www.philgeps.gov.ph/GEPSNONPILOT/Tender/SplashBidNoticeAbstractUI.aspx?menuIndex=3&amp;refID=7049453&amp;Result=3","7049453")</f>
        <v>0</v>
      </c>
      <c r="B13572" t="s">
        <v>2842</v>
      </c>
      <c r="C13572" t="s">
        <v>16414</v>
      </c>
      <c r="D13572" t="s">
        <v>17421</v>
      </c>
      <c r="E13572" t="s">
        <v>29115</v>
      </c>
      <c r="F13572" t="s">
        <v>30052</v>
      </c>
      <c r="G13572" t="s">
        <v>30058</v>
      </c>
      <c r="H13572" t="s">
        <v>15498</v>
      </c>
      <c r="I13572" t="s">
        <v>30105</v>
      </c>
      <c r="J13572" t="s">
        <v>38413</v>
      </c>
      <c r="K13572" t="s">
        <v>39029</v>
      </c>
      <c r="M13572" t="s">
        <v>42388</v>
      </c>
      <c r="N13572" t="s">
        <v>43166</v>
      </c>
      <c r="O13572" t="s">
        <v>43167</v>
      </c>
      <c r="Q13572">
        <v>5</v>
      </c>
      <c r="R13572" t="s">
        <v>43187</v>
      </c>
      <c r="S13572" t="s">
        <v>44193</v>
      </c>
      <c r="T13572" t="s">
        <v>45181</v>
      </c>
      <c r="U13572" t="s">
        <v>55980</v>
      </c>
      <c r="V13572" t="s">
        <v>58454</v>
      </c>
      <c r="W13572" t="s">
        <v>42388</v>
      </c>
      <c r="X13572" t="s">
        <v>43188</v>
      </c>
    </row>
    <row r="13573" spans="1:24">
      <c r="A13573">
        <f>HYPERLINK("https://www.philgeps.gov.ph/GEPSNONPILOT/Tender/SplashBidNoticeAbstractUI.aspx?menuIndex=3&amp;refID=7049371&amp;Result=3","7049371")</f>
        <v>0</v>
      </c>
      <c r="B13573" t="s">
        <v>2550</v>
      </c>
      <c r="C13573" t="s">
        <v>16415</v>
      </c>
      <c r="D13573" t="s">
        <v>17445</v>
      </c>
      <c r="E13573" t="s">
        <v>29116</v>
      </c>
      <c r="F13573" t="s">
        <v>30052</v>
      </c>
      <c r="G13573" t="s">
        <v>30058</v>
      </c>
      <c r="H13573" t="s">
        <v>15498</v>
      </c>
      <c r="I13573" t="s">
        <v>30135</v>
      </c>
      <c r="J13573" t="s">
        <v>38414</v>
      </c>
      <c r="K13573" t="s">
        <v>39031</v>
      </c>
      <c r="M13573" t="s">
        <v>42120</v>
      </c>
      <c r="N13573" t="s">
        <v>43166</v>
      </c>
      <c r="O13573" t="s">
        <v>43167</v>
      </c>
      <c r="P13573">
        <v>0</v>
      </c>
      <c r="Q13573">
        <v>6</v>
      </c>
      <c r="R13573" t="s">
        <v>43187</v>
      </c>
      <c r="S13573" t="s">
        <v>44147</v>
      </c>
      <c r="T13573" t="s">
        <v>44822</v>
      </c>
      <c r="U13573" t="s">
        <v>55947</v>
      </c>
      <c r="W13573" t="s">
        <v>42120</v>
      </c>
      <c r="X13573" t="s">
        <v>43188</v>
      </c>
    </row>
    <row r="13574" spans="1:24">
      <c r="A13574">
        <f>HYPERLINK("https://www.philgeps.gov.ph/GEPSNONPILOT/Tender/SplashBidNoticeAbstractUI.aspx?menuIndex=3&amp;refID=7049352&amp;Result=3","7049352")</f>
        <v>0</v>
      </c>
      <c r="B13574" t="s">
        <v>2550</v>
      </c>
      <c r="C13574" t="s">
        <v>16416</v>
      </c>
      <c r="D13574" t="s">
        <v>17445</v>
      </c>
      <c r="E13574" t="s">
        <v>29117</v>
      </c>
      <c r="F13574" t="s">
        <v>30052</v>
      </c>
      <c r="G13574" t="s">
        <v>30058</v>
      </c>
      <c r="H13574" t="s">
        <v>15498</v>
      </c>
      <c r="I13574" t="s">
        <v>30135</v>
      </c>
      <c r="J13574" t="s">
        <v>38415</v>
      </c>
      <c r="K13574" t="s">
        <v>39031</v>
      </c>
      <c r="M13574" t="s">
        <v>42057</v>
      </c>
      <c r="N13574" t="s">
        <v>43166</v>
      </c>
      <c r="O13574" t="s">
        <v>43167</v>
      </c>
      <c r="P13574">
        <v>0</v>
      </c>
      <c r="Q13574">
        <v>4</v>
      </c>
      <c r="R13574" t="s">
        <v>43187</v>
      </c>
      <c r="S13574" t="s">
        <v>44147</v>
      </c>
      <c r="T13574" t="s">
        <v>44822</v>
      </c>
      <c r="U13574" t="s">
        <v>55981</v>
      </c>
      <c r="W13574" t="s">
        <v>42057</v>
      </c>
      <c r="X13574" t="s">
        <v>43188</v>
      </c>
    </row>
    <row r="13575" spans="1:24">
      <c r="A13575">
        <f>HYPERLINK("https://www.philgeps.gov.ph/GEPSNONPILOT/Tender/SplashBidNoticeAbstractUI.aspx?menuIndex=3&amp;refID=7049344&amp;Result=3","7049344")</f>
        <v>0</v>
      </c>
      <c r="B13575" t="s">
        <v>1151</v>
      </c>
      <c r="C13575" t="s">
        <v>16417</v>
      </c>
      <c r="D13575" t="s">
        <v>17472</v>
      </c>
      <c r="E13575" t="s">
        <v>29118</v>
      </c>
      <c r="F13575" t="s">
        <v>30052</v>
      </c>
      <c r="G13575" t="s">
        <v>30061</v>
      </c>
      <c r="H13575" t="s">
        <v>15498</v>
      </c>
      <c r="I13575" t="s">
        <v>9238</v>
      </c>
      <c r="J13575" t="s">
        <v>30248</v>
      </c>
      <c r="K13575" t="s">
        <v>39029</v>
      </c>
      <c r="M13575" t="s">
        <v>40495</v>
      </c>
      <c r="N13575" t="s">
        <v>43166</v>
      </c>
      <c r="O13575" t="s">
        <v>43167</v>
      </c>
      <c r="Q13575">
        <v>4</v>
      </c>
      <c r="R13575" t="s">
        <v>43187</v>
      </c>
      <c r="S13575" t="s">
        <v>44194</v>
      </c>
      <c r="T13575" t="s">
        <v>44721</v>
      </c>
      <c r="U13575" t="s">
        <v>55982</v>
      </c>
      <c r="W13575" t="s">
        <v>40495</v>
      </c>
      <c r="X13575" t="s">
        <v>43188</v>
      </c>
    </row>
    <row r="13576" spans="1:24">
      <c r="A13576">
        <f>HYPERLINK("https://www.philgeps.gov.ph/GEPSNONPILOT/Tender/SplashBidNoticeAbstractUI.aspx?menuIndex=3&amp;refID=7049327&amp;Result=3","7049327")</f>
        <v>0</v>
      </c>
      <c r="B13576" t="s">
        <v>1460</v>
      </c>
      <c r="C13576" t="s">
        <v>16418</v>
      </c>
      <c r="D13576" t="s">
        <v>17415</v>
      </c>
      <c r="E13576" t="s">
        <v>29119</v>
      </c>
      <c r="F13576" t="s">
        <v>30052</v>
      </c>
      <c r="G13576" t="s">
        <v>30058</v>
      </c>
      <c r="H13576" t="s">
        <v>15498</v>
      </c>
      <c r="I13576" t="s">
        <v>30096</v>
      </c>
      <c r="J13576" t="s">
        <v>30252</v>
      </c>
      <c r="K13576" t="s">
        <v>39025</v>
      </c>
      <c r="M13576" t="s">
        <v>43035</v>
      </c>
      <c r="N13576" t="s">
        <v>43166</v>
      </c>
      <c r="O13576" t="s">
        <v>43167</v>
      </c>
      <c r="Q13576">
        <v>16</v>
      </c>
      <c r="R13576" t="s">
        <v>43187</v>
      </c>
      <c r="S13576" t="s">
        <v>44195</v>
      </c>
      <c r="T13576" t="s">
        <v>44791</v>
      </c>
      <c r="U13576" t="s">
        <v>55983</v>
      </c>
      <c r="W13576" t="s">
        <v>43035</v>
      </c>
      <c r="X13576" t="s">
        <v>43188</v>
      </c>
    </row>
    <row r="13577" spans="1:24">
      <c r="A13577">
        <f>HYPERLINK("https://www.philgeps.gov.ph/GEPSNONPILOT/Tender/SplashBidNoticeAbstractUI.aspx?menuIndex=3&amp;refID=7049320&amp;Result=3","7049320")</f>
        <v>0</v>
      </c>
      <c r="B13577" t="s">
        <v>2939</v>
      </c>
      <c r="C13577" t="s">
        <v>16419</v>
      </c>
      <c r="D13577" t="s">
        <v>17426</v>
      </c>
      <c r="E13577" t="s">
        <v>29120</v>
      </c>
      <c r="F13577" t="s">
        <v>30052</v>
      </c>
      <c r="G13577" t="s">
        <v>30058</v>
      </c>
      <c r="H13577" t="s">
        <v>15498</v>
      </c>
      <c r="I13577" t="s">
        <v>30070</v>
      </c>
      <c r="J13577" t="s">
        <v>38416</v>
      </c>
      <c r="K13577" t="s">
        <v>39019</v>
      </c>
      <c r="M13577" t="s">
        <v>42503</v>
      </c>
      <c r="N13577" t="s">
        <v>43166</v>
      </c>
      <c r="O13577" t="s">
        <v>43167</v>
      </c>
      <c r="P13577">
        <v>0</v>
      </c>
      <c r="Q13577">
        <v>2</v>
      </c>
      <c r="R13577" t="s">
        <v>43187</v>
      </c>
      <c r="S13577" t="s">
        <v>44147</v>
      </c>
      <c r="T13577" t="s">
        <v>44696</v>
      </c>
      <c r="U13577" t="s">
        <v>55984</v>
      </c>
      <c r="W13577" t="s">
        <v>42503</v>
      </c>
      <c r="X13577" t="s">
        <v>43188</v>
      </c>
    </row>
    <row r="13578" spans="1:24">
      <c r="A13578">
        <f>HYPERLINK("https://www.philgeps.gov.ph/GEPSNONPILOT/Tender/SplashBidNoticeAbstractUI.aspx?menuIndex=3&amp;refID=7049302&amp;Result=3","7049302")</f>
        <v>0</v>
      </c>
      <c r="B13578" t="s">
        <v>678</v>
      </c>
      <c r="C13578" t="s">
        <v>16420</v>
      </c>
      <c r="D13578" t="s">
        <v>17432</v>
      </c>
      <c r="E13578" t="s">
        <v>29121</v>
      </c>
      <c r="F13578" t="s">
        <v>30052</v>
      </c>
      <c r="G13578" t="s">
        <v>30058</v>
      </c>
      <c r="H13578" t="s">
        <v>30067</v>
      </c>
      <c r="I13578" t="s">
        <v>3693</v>
      </c>
      <c r="J13578" t="s">
        <v>31185</v>
      </c>
      <c r="K13578" t="s">
        <v>39118</v>
      </c>
      <c r="M13578" t="s">
        <v>39984</v>
      </c>
      <c r="N13578" t="s">
        <v>43166</v>
      </c>
      <c r="O13578" t="s">
        <v>43167</v>
      </c>
      <c r="Q13578">
        <v>2</v>
      </c>
      <c r="R13578" t="s">
        <v>43187</v>
      </c>
      <c r="S13578" t="s">
        <v>44196</v>
      </c>
      <c r="T13578" t="s">
        <v>44717</v>
      </c>
      <c r="U13578" t="s">
        <v>55961</v>
      </c>
      <c r="W13578" t="s">
        <v>39984</v>
      </c>
      <c r="X13578" t="s">
        <v>43188</v>
      </c>
    </row>
    <row r="13579" spans="1:24">
      <c r="A13579">
        <f>HYPERLINK("https://www.philgeps.gov.ph/GEPSNONPILOT/Tender/SplashBidNoticeAbstractUI.aspx?menuIndex=3&amp;refID=7049319&amp;Result=3","7049319")</f>
        <v>0</v>
      </c>
      <c r="B13579" t="s">
        <v>2550</v>
      </c>
      <c r="C13579" t="s">
        <v>16421</v>
      </c>
      <c r="D13579" t="s">
        <v>17445</v>
      </c>
      <c r="E13579" t="s">
        <v>29122</v>
      </c>
      <c r="F13579" t="s">
        <v>30052</v>
      </c>
      <c r="G13579" t="s">
        <v>30058</v>
      </c>
      <c r="H13579" t="s">
        <v>15498</v>
      </c>
      <c r="I13579" t="s">
        <v>30135</v>
      </c>
      <c r="J13579" t="s">
        <v>38417</v>
      </c>
      <c r="K13579" t="s">
        <v>39031</v>
      </c>
      <c r="M13579" t="s">
        <v>42120</v>
      </c>
      <c r="N13579" t="s">
        <v>43166</v>
      </c>
      <c r="O13579" t="s">
        <v>43167</v>
      </c>
      <c r="P13579">
        <v>0</v>
      </c>
      <c r="Q13579">
        <v>5</v>
      </c>
      <c r="R13579" t="s">
        <v>43187</v>
      </c>
      <c r="S13579" t="s">
        <v>44147</v>
      </c>
      <c r="T13579" t="s">
        <v>44822</v>
      </c>
      <c r="U13579" t="s">
        <v>55947</v>
      </c>
      <c r="W13579" t="s">
        <v>42120</v>
      </c>
      <c r="X13579" t="s">
        <v>43188</v>
      </c>
    </row>
    <row r="13580" spans="1:24">
      <c r="A13580">
        <f>HYPERLINK("https://www.philgeps.gov.ph/GEPSNONPILOT/Tender/SplashBidNoticeAbstractUI.aspx?menuIndex=3&amp;refID=7049293&amp;Result=3","7049293")</f>
        <v>0</v>
      </c>
      <c r="B13580" t="s">
        <v>729</v>
      </c>
      <c r="C13580" t="s">
        <v>16422</v>
      </c>
      <c r="D13580" t="s">
        <v>17471</v>
      </c>
      <c r="E13580" t="s">
        <v>29123</v>
      </c>
      <c r="F13580" t="s">
        <v>30052</v>
      </c>
      <c r="G13580" t="s">
        <v>30058</v>
      </c>
      <c r="H13580" t="s">
        <v>15498</v>
      </c>
      <c r="I13580" t="s">
        <v>3736</v>
      </c>
      <c r="J13580" t="s">
        <v>38418</v>
      </c>
      <c r="K13580" t="s">
        <v>39046</v>
      </c>
      <c r="M13580" t="s">
        <v>40040</v>
      </c>
      <c r="N13580" t="s">
        <v>43166</v>
      </c>
      <c r="O13580" t="s">
        <v>43167</v>
      </c>
      <c r="P13580">
        <v>0</v>
      </c>
      <c r="Q13580">
        <v>0</v>
      </c>
      <c r="R13580" t="s">
        <v>43187</v>
      </c>
      <c r="S13580" t="s">
        <v>44147</v>
      </c>
      <c r="T13580" t="s">
        <v>44773</v>
      </c>
      <c r="U13580" t="s">
        <v>55985</v>
      </c>
      <c r="W13580" t="s">
        <v>40040</v>
      </c>
      <c r="X13580" t="s">
        <v>43188</v>
      </c>
    </row>
    <row r="13581" spans="1:24">
      <c r="A13581">
        <f>HYPERLINK("https://www.philgeps.gov.ph/GEPSNONPILOT/Tender/SplashBidNoticeAbstractUI.aspx?menuIndex=3&amp;refID=7049214&amp;Result=3","7049214")</f>
        <v>0</v>
      </c>
      <c r="B13581" t="s">
        <v>1607</v>
      </c>
      <c r="C13581" t="s">
        <v>16423</v>
      </c>
      <c r="E13581" t="s">
        <v>29124</v>
      </c>
      <c r="F13581" t="s">
        <v>30052</v>
      </c>
      <c r="G13581" t="s">
        <v>30058</v>
      </c>
      <c r="H13581" t="s">
        <v>15498</v>
      </c>
      <c r="I13581" t="s">
        <v>30088</v>
      </c>
      <c r="J13581" t="s">
        <v>30281</v>
      </c>
      <c r="K13581" t="s">
        <v>39025</v>
      </c>
      <c r="M13581" t="s">
        <v>41006</v>
      </c>
      <c r="N13581" t="s">
        <v>43166</v>
      </c>
      <c r="O13581" t="s">
        <v>43167</v>
      </c>
      <c r="Q13581">
        <v>14</v>
      </c>
      <c r="R13581" t="s">
        <v>43187</v>
      </c>
      <c r="S13581" t="s">
        <v>44197</v>
      </c>
      <c r="T13581" t="s">
        <v>44804</v>
      </c>
      <c r="U13581" t="s">
        <v>55958</v>
      </c>
      <c r="W13581" t="s">
        <v>41006</v>
      </c>
      <c r="X13581" t="s">
        <v>43188</v>
      </c>
    </row>
    <row r="13582" spans="1:24">
      <c r="A13582">
        <f>HYPERLINK("https://www.philgeps.gov.ph/GEPSNONPILOT/Tender/SplashBidNoticeAbstractUI.aspx?menuIndex=3&amp;refID=7049288&amp;Result=3","7049288")</f>
        <v>0</v>
      </c>
      <c r="B13582" t="s">
        <v>1161</v>
      </c>
      <c r="C13582" t="s">
        <v>16424</v>
      </c>
      <c r="D13582" t="s">
        <v>17468</v>
      </c>
      <c r="E13582" t="s">
        <v>19725</v>
      </c>
      <c r="F13582" t="s">
        <v>30052</v>
      </c>
      <c r="G13582" t="s">
        <v>30058</v>
      </c>
      <c r="H13582" t="s">
        <v>15498</v>
      </c>
      <c r="I13582" t="s">
        <v>30073</v>
      </c>
      <c r="J13582" t="s">
        <v>30397</v>
      </c>
      <c r="K13582" t="s">
        <v>39032</v>
      </c>
      <c r="M13582" t="s">
        <v>40507</v>
      </c>
      <c r="N13582" t="s">
        <v>43166</v>
      </c>
      <c r="O13582" t="s">
        <v>43167</v>
      </c>
      <c r="Q13582">
        <v>0</v>
      </c>
      <c r="R13582" t="s">
        <v>43187</v>
      </c>
      <c r="S13582" t="s">
        <v>44198</v>
      </c>
      <c r="T13582" t="s">
        <v>44717</v>
      </c>
      <c r="U13582" t="s">
        <v>55986</v>
      </c>
      <c r="V13582" t="s">
        <v>58455</v>
      </c>
      <c r="W13582" t="s">
        <v>40507</v>
      </c>
      <c r="X13582" t="s">
        <v>43188</v>
      </c>
    </row>
    <row r="13583" spans="1:24">
      <c r="A13583">
        <f>HYPERLINK("https://www.philgeps.gov.ph/GEPSNONPILOT/Tender/SplashBidNoticeAbstractUI.aspx?menuIndex=3&amp;refID=7049418&amp;Result=3","7049418")</f>
        <v>0</v>
      </c>
      <c r="B13583" t="s">
        <v>2550</v>
      </c>
      <c r="C13583" t="s">
        <v>16425</v>
      </c>
      <c r="D13583" t="s">
        <v>17445</v>
      </c>
      <c r="E13583" t="s">
        <v>29125</v>
      </c>
      <c r="F13583" t="s">
        <v>30052</v>
      </c>
      <c r="G13583" t="s">
        <v>30058</v>
      </c>
      <c r="H13583" t="s">
        <v>15498</v>
      </c>
      <c r="I13583" t="s">
        <v>30135</v>
      </c>
      <c r="J13583" t="s">
        <v>31358</v>
      </c>
      <c r="K13583" t="s">
        <v>39031</v>
      </c>
      <c r="M13583" t="s">
        <v>42057</v>
      </c>
      <c r="N13583" t="s">
        <v>43166</v>
      </c>
      <c r="O13583" t="s">
        <v>43167</v>
      </c>
      <c r="P13583">
        <v>0</v>
      </c>
      <c r="Q13583">
        <v>5</v>
      </c>
      <c r="R13583" t="s">
        <v>43187</v>
      </c>
      <c r="S13583" t="s">
        <v>44147</v>
      </c>
      <c r="T13583" t="s">
        <v>44822</v>
      </c>
      <c r="U13583" t="s">
        <v>55987</v>
      </c>
      <c r="W13583" t="s">
        <v>42057</v>
      </c>
      <c r="X13583" t="s">
        <v>43188</v>
      </c>
    </row>
    <row r="13584" spans="1:24">
      <c r="A13584">
        <f>HYPERLINK("https://www.philgeps.gov.ph/GEPSNONPILOT/Tender/SplashBidNoticeAbstractUI.aspx?menuIndex=3&amp;refID=7049198&amp;Result=3","7049198")</f>
        <v>0</v>
      </c>
      <c r="B13584" t="s">
        <v>3380</v>
      </c>
      <c r="C13584" t="s">
        <v>16426</v>
      </c>
      <c r="E13584" t="s">
        <v>29126</v>
      </c>
      <c r="F13584" t="s">
        <v>30052</v>
      </c>
      <c r="G13584" t="s">
        <v>30058</v>
      </c>
      <c r="H13584" t="s">
        <v>15498</v>
      </c>
      <c r="I13584" t="s">
        <v>30123</v>
      </c>
      <c r="J13584" t="s">
        <v>38419</v>
      </c>
      <c r="K13584" t="s">
        <v>39025</v>
      </c>
      <c r="M13584" t="s">
        <v>43036</v>
      </c>
      <c r="N13584" t="s">
        <v>43166</v>
      </c>
      <c r="O13584" t="s">
        <v>43167</v>
      </c>
      <c r="P13584">
        <v>0</v>
      </c>
      <c r="Q13584">
        <v>2</v>
      </c>
      <c r="R13584" t="s">
        <v>43187</v>
      </c>
      <c r="S13584" t="s">
        <v>44147</v>
      </c>
      <c r="T13584" t="s">
        <v>44837</v>
      </c>
      <c r="U13584" t="s">
        <v>55988</v>
      </c>
      <c r="W13584" t="s">
        <v>58715</v>
      </c>
      <c r="X13584" t="s">
        <v>43188</v>
      </c>
    </row>
    <row r="13585" spans="1:24">
      <c r="A13585">
        <f>HYPERLINK("https://www.philgeps.gov.ph/GEPSNONPILOT/Tender/SplashBidNoticeAbstractUI.aspx?menuIndex=3&amp;refID=7049669&amp;Result=3","7049669")</f>
        <v>0</v>
      </c>
      <c r="B13585" t="s">
        <v>2465</v>
      </c>
      <c r="C13585" t="s">
        <v>16427</v>
      </c>
      <c r="D13585" t="s">
        <v>17442</v>
      </c>
      <c r="E13585" t="s">
        <v>28991</v>
      </c>
      <c r="F13585" t="s">
        <v>30052</v>
      </c>
      <c r="G13585" t="s">
        <v>30058</v>
      </c>
      <c r="H13585" t="s">
        <v>15498</v>
      </c>
      <c r="I13585" t="s">
        <v>30076</v>
      </c>
      <c r="J13585" t="s">
        <v>38420</v>
      </c>
      <c r="K13585" t="s">
        <v>39029</v>
      </c>
      <c r="M13585" t="s">
        <v>41964</v>
      </c>
      <c r="N13585" t="s">
        <v>43166</v>
      </c>
      <c r="O13585" t="s">
        <v>43167</v>
      </c>
      <c r="P13585">
        <v>0</v>
      </c>
      <c r="Q13585">
        <v>14</v>
      </c>
      <c r="R13585" t="s">
        <v>43187</v>
      </c>
      <c r="S13585" t="s">
        <v>44147</v>
      </c>
      <c r="T13585" t="s">
        <v>44882</v>
      </c>
      <c r="U13585" t="s">
        <v>55989</v>
      </c>
      <c r="W13585" t="s">
        <v>41964</v>
      </c>
      <c r="X13585" t="s">
        <v>43188</v>
      </c>
    </row>
    <row r="13586" spans="1:24">
      <c r="A13586">
        <f>HYPERLINK("https://www.philgeps.gov.ph/GEPSNONPILOT/Tender/SplashBidNoticeAbstractUI.aspx?menuIndex=3&amp;refID=7049215&amp;Result=3","7049215")</f>
        <v>0</v>
      </c>
      <c r="B13586" t="s">
        <v>3094</v>
      </c>
      <c r="C13586" t="s">
        <v>16428</v>
      </c>
      <c r="D13586" t="s">
        <v>17459</v>
      </c>
      <c r="E13586" t="s">
        <v>29127</v>
      </c>
      <c r="F13586" t="s">
        <v>30052</v>
      </c>
      <c r="G13586" t="s">
        <v>30058</v>
      </c>
      <c r="H13586" t="s">
        <v>15498</v>
      </c>
      <c r="I13586" t="s">
        <v>9238</v>
      </c>
      <c r="J13586" t="s">
        <v>38421</v>
      </c>
      <c r="K13586" t="s">
        <v>39031</v>
      </c>
      <c r="M13586" t="s">
        <v>42680</v>
      </c>
      <c r="N13586" t="s">
        <v>43166</v>
      </c>
      <c r="O13586" t="s">
        <v>43167</v>
      </c>
      <c r="Q13586">
        <v>42</v>
      </c>
      <c r="R13586" t="s">
        <v>43187</v>
      </c>
      <c r="S13586" t="s">
        <v>44199</v>
      </c>
      <c r="T13586" t="s">
        <v>45182</v>
      </c>
      <c r="U13586" t="s">
        <v>54151</v>
      </c>
      <c r="V13586" t="s">
        <v>58092</v>
      </c>
      <c r="W13586" t="s">
        <v>42680</v>
      </c>
      <c r="X13586" t="s">
        <v>43188</v>
      </c>
    </row>
    <row r="13587" spans="1:24">
      <c r="A13587">
        <f>HYPERLINK("https://www.philgeps.gov.ph/GEPSNONPILOT/Tender/SplashBidNoticeAbstractUI.aspx?menuIndex=3&amp;refID=7049104&amp;Result=3","7049104")</f>
        <v>0</v>
      </c>
      <c r="B13587" t="s">
        <v>1607</v>
      </c>
      <c r="C13587" t="s">
        <v>16429</v>
      </c>
      <c r="E13587" t="s">
        <v>29128</v>
      </c>
      <c r="F13587" t="s">
        <v>30052</v>
      </c>
      <c r="G13587" t="s">
        <v>30058</v>
      </c>
      <c r="H13587" t="s">
        <v>15498</v>
      </c>
      <c r="I13587" t="s">
        <v>30130</v>
      </c>
      <c r="J13587" t="s">
        <v>30557</v>
      </c>
      <c r="K13587" t="s">
        <v>39025</v>
      </c>
      <c r="M13587" t="s">
        <v>42441</v>
      </c>
      <c r="N13587" t="s">
        <v>43166</v>
      </c>
      <c r="O13587" t="s">
        <v>43167</v>
      </c>
      <c r="Q13587">
        <v>20</v>
      </c>
      <c r="R13587" t="s">
        <v>43187</v>
      </c>
      <c r="S13587" t="s">
        <v>44200</v>
      </c>
      <c r="T13587" t="s">
        <v>44733</v>
      </c>
      <c r="U13587" t="s">
        <v>55965</v>
      </c>
      <c r="W13587" t="s">
        <v>42441</v>
      </c>
      <c r="X13587" t="s">
        <v>43188</v>
      </c>
    </row>
    <row r="13588" spans="1:24">
      <c r="A13588">
        <f>HYPERLINK("https://www.philgeps.gov.ph/GEPSNONPILOT/Tender/SplashBidNoticeAbstractUI.aspx?menuIndex=3&amp;refID=7049694&amp;Result=3","7049694")</f>
        <v>0</v>
      </c>
      <c r="B13588" t="s">
        <v>2990</v>
      </c>
      <c r="C13588" t="s">
        <v>16430</v>
      </c>
      <c r="D13588" t="s">
        <v>17461</v>
      </c>
      <c r="E13588" t="s">
        <v>29129</v>
      </c>
      <c r="F13588" t="s">
        <v>30052</v>
      </c>
      <c r="G13588" t="s">
        <v>30058</v>
      </c>
      <c r="H13588" t="s">
        <v>15498</v>
      </c>
      <c r="I13588" t="s">
        <v>30124</v>
      </c>
      <c r="J13588" t="s">
        <v>38422</v>
      </c>
      <c r="K13588" t="s">
        <v>39046</v>
      </c>
      <c r="M13588" t="s">
        <v>42560</v>
      </c>
      <c r="N13588" t="s">
        <v>43166</v>
      </c>
      <c r="O13588" t="s">
        <v>43167</v>
      </c>
      <c r="Q13588">
        <v>8</v>
      </c>
      <c r="R13588" t="s">
        <v>43187</v>
      </c>
      <c r="S13588" t="s">
        <v>44201</v>
      </c>
      <c r="T13588" t="s">
        <v>44777</v>
      </c>
      <c r="U13588" t="s">
        <v>55990</v>
      </c>
      <c r="W13588" t="s">
        <v>42560</v>
      </c>
      <c r="X13588" t="s">
        <v>43188</v>
      </c>
    </row>
    <row r="13589" spans="1:24">
      <c r="A13589">
        <f>HYPERLINK("https://www.philgeps.gov.ph/GEPSNONPILOT/Tender/SplashBidNoticeAbstractUI.aspx?menuIndex=3&amp;refID=7049639&amp;Result=3","7049639")</f>
        <v>0</v>
      </c>
      <c r="B13589" t="s">
        <v>1730</v>
      </c>
      <c r="C13589" t="s">
        <v>16431</v>
      </c>
      <c r="D13589" t="s">
        <v>17423</v>
      </c>
      <c r="E13589" t="s">
        <v>29130</v>
      </c>
      <c r="F13589" t="s">
        <v>30052</v>
      </c>
      <c r="G13589" t="s">
        <v>30058</v>
      </c>
      <c r="H13589" t="s">
        <v>15498</v>
      </c>
      <c r="I13589" t="s">
        <v>30130</v>
      </c>
      <c r="J13589" t="s">
        <v>32208</v>
      </c>
      <c r="K13589" t="s">
        <v>39023</v>
      </c>
      <c r="M13589" t="s">
        <v>41147</v>
      </c>
      <c r="N13589" t="s">
        <v>43166</v>
      </c>
      <c r="O13589" t="s">
        <v>43167</v>
      </c>
      <c r="P13589">
        <v>0</v>
      </c>
      <c r="Q13589">
        <v>4</v>
      </c>
      <c r="R13589" t="s">
        <v>43187</v>
      </c>
      <c r="S13589" t="s">
        <v>44147</v>
      </c>
      <c r="T13589" t="s">
        <v>44965</v>
      </c>
      <c r="U13589" t="s">
        <v>55991</v>
      </c>
      <c r="V13589" t="s">
        <v>56838</v>
      </c>
      <c r="W13589" t="s">
        <v>41147</v>
      </c>
      <c r="X13589" t="s">
        <v>43188</v>
      </c>
    </row>
    <row r="13590" spans="1:24">
      <c r="A13590">
        <f>HYPERLINK("https://www.philgeps.gov.ph/GEPSNONPILOT/Tender/SplashBidNoticeAbstractUI.aspx?menuIndex=3&amp;refID=7049283&amp;Result=3","7049283")</f>
        <v>0</v>
      </c>
      <c r="B13590" t="s">
        <v>678</v>
      </c>
      <c r="C13590" t="s">
        <v>16432</v>
      </c>
      <c r="D13590" t="s">
        <v>17432</v>
      </c>
      <c r="E13590" t="s">
        <v>29131</v>
      </c>
      <c r="F13590" t="s">
        <v>30052</v>
      </c>
      <c r="G13590" t="s">
        <v>30058</v>
      </c>
      <c r="H13590" t="s">
        <v>30067</v>
      </c>
      <c r="I13590" t="s">
        <v>3693</v>
      </c>
      <c r="J13590" t="s">
        <v>31772</v>
      </c>
      <c r="K13590" t="s">
        <v>39079</v>
      </c>
      <c r="M13590" t="s">
        <v>39984</v>
      </c>
      <c r="N13590" t="s">
        <v>43166</v>
      </c>
      <c r="O13590" t="s">
        <v>43167</v>
      </c>
      <c r="Q13590">
        <v>2</v>
      </c>
      <c r="R13590" t="s">
        <v>43187</v>
      </c>
      <c r="S13590" t="s">
        <v>44202</v>
      </c>
      <c r="T13590" t="s">
        <v>44717</v>
      </c>
      <c r="U13590" t="s">
        <v>55961</v>
      </c>
      <c r="W13590" t="s">
        <v>39984</v>
      </c>
      <c r="X13590" t="s">
        <v>43188</v>
      </c>
    </row>
    <row r="13591" spans="1:24">
      <c r="A13591">
        <f>HYPERLINK("https://www.philgeps.gov.ph/GEPSNONPILOT/Tender/SplashBidNoticeAbstractUI.aspx?menuIndex=3&amp;refID=7049620&amp;Result=3","7049620")</f>
        <v>0</v>
      </c>
      <c r="B13591" t="s">
        <v>511</v>
      </c>
      <c r="C13591" t="s">
        <v>16433</v>
      </c>
      <c r="D13591" t="s">
        <v>17415</v>
      </c>
      <c r="E13591" t="s">
        <v>29132</v>
      </c>
      <c r="F13591" t="s">
        <v>30052</v>
      </c>
      <c r="G13591" t="s">
        <v>30058</v>
      </c>
      <c r="H13591" t="s">
        <v>15498</v>
      </c>
      <c r="I13591" t="s">
        <v>30084</v>
      </c>
      <c r="J13591" t="s">
        <v>38423</v>
      </c>
      <c r="K13591" t="s">
        <v>39029</v>
      </c>
      <c r="M13591" t="s">
        <v>39812</v>
      </c>
      <c r="N13591" t="s">
        <v>43166</v>
      </c>
      <c r="O13591" t="s">
        <v>43167</v>
      </c>
      <c r="Q13591">
        <v>13</v>
      </c>
      <c r="R13591" t="s">
        <v>43187</v>
      </c>
      <c r="S13591" t="s">
        <v>44203</v>
      </c>
      <c r="T13591" t="s">
        <v>44943</v>
      </c>
      <c r="U13591" t="s">
        <v>55992</v>
      </c>
      <c r="V13591" t="s">
        <v>58456</v>
      </c>
      <c r="W13591" t="s">
        <v>39812</v>
      </c>
      <c r="X13591" t="s">
        <v>43188</v>
      </c>
    </row>
    <row r="13592" spans="1:24">
      <c r="A13592">
        <f>HYPERLINK("https://www.philgeps.gov.ph/GEPSNONPILOT/Tender/SplashBidNoticeAbstractUI.aspx?menuIndex=3&amp;refID=7049619&amp;Result=3","7049619")</f>
        <v>0</v>
      </c>
      <c r="B13592" t="s">
        <v>511</v>
      </c>
      <c r="C13592" t="s">
        <v>16434</v>
      </c>
      <c r="D13592" t="s">
        <v>17415</v>
      </c>
      <c r="E13592" t="s">
        <v>29133</v>
      </c>
      <c r="F13592" t="s">
        <v>30052</v>
      </c>
      <c r="G13592" t="s">
        <v>30058</v>
      </c>
      <c r="H13592" t="s">
        <v>15498</v>
      </c>
      <c r="I13592" t="s">
        <v>30084</v>
      </c>
      <c r="J13592" t="s">
        <v>38424</v>
      </c>
      <c r="K13592" t="s">
        <v>39046</v>
      </c>
      <c r="M13592" t="s">
        <v>39812</v>
      </c>
      <c r="N13592" t="s">
        <v>43166</v>
      </c>
      <c r="O13592" t="s">
        <v>43167</v>
      </c>
      <c r="Q13592">
        <v>17</v>
      </c>
      <c r="R13592" t="s">
        <v>43187</v>
      </c>
      <c r="S13592" t="s">
        <v>44204</v>
      </c>
      <c r="T13592" t="s">
        <v>44943</v>
      </c>
      <c r="U13592" t="s">
        <v>55992</v>
      </c>
      <c r="V13592" t="s">
        <v>58457</v>
      </c>
      <c r="W13592" t="s">
        <v>39812</v>
      </c>
      <c r="X13592" t="s">
        <v>43188</v>
      </c>
    </row>
    <row r="13593" spans="1:24">
      <c r="A13593">
        <f>HYPERLINK("https://www.philgeps.gov.ph/GEPSNONPILOT/Tender/SplashBidNoticeAbstractUI.aspx?menuIndex=3&amp;refID=7049617&amp;Result=3","7049617")</f>
        <v>0</v>
      </c>
      <c r="B13593" t="s">
        <v>2627</v>
      </c>
      <c r="C13593" t="s">
        <v>16435</v>
      </c>
      <c r="D13593" t="s">
        <v>17446</v>
      </c>
      <c r="E13593" t="s">
        <v>29134</v>
      </c>
      <c r="F13593" t="s">
        <v>30052</v>
      </c>
      <c r="G13593" t="s">
        <v>30058</v>
      </c>
      <c r="H13593" t="s">
        <v>30067</v>
      </c>
      <c r="I13593" t="s">
        <v>3693</v>
      </c>
      <c r="J13593" t="s">
        <v>38425</v>
      </c>
      <c r="K13593" t="s">
        <v>39054</v>
      </c>
      <c r="M13593" t="s">
        <v>42141</v>
      </c>
      <c r="N13593" t="s">
        <v>43166</v>
      </c>
      <c r="O13593" t="s">
        <v>43167</v>
      </c>
      <c r="P13593">
        <v>0</v>
      </c>
      <c r="Q13593">
        <v>5</v>
      </c>
      <c r="R13593" t="s">
        <v>43187</v>
      </c>
      <c r="S13593" t="s">
        <v>44147</v>
      </c>
      <c r="T13593" t="s">
        <v>44870</v>
      </c>
      <c r="U13593" t="s">
        <v>53740</v>
      </c>
      <c r="W13593" t="s">
        <v>58683</v>
      </c>
      <c r="X13593" t="s">
        <v>43188</v>
      </c>
    </row>
    <row r="13594" spans="1:24">
      <c r="A13594">
        <f>HYPERLINK("https://www.philgeps.gov.ph/GEPSNONPILOT/Tender/SplashBidNoticeAbstractUI.aspx?menuIndex=3&amp;refID=7049593&amp;Result=3","7049593")</f>
        <v>0</v>
      </c>
      <c r="B13594" t="s">
        <v>1460</v>
      </c>
      <c r="C13594" t="s">
        <v>16436</v>
      </c>
      <c r="E13594" t="s">
        <v>29135</v>
      </c>
      <c r="F13594" t="s">
        <v>30052</v>
      </c>
      <c r="G13594" t="s">
        <v>30058</v>
      </c>
      <c r="H13594" t="s">
        <v>15498</v>
      </c>
      <c r="I13594" t="s">
        <v>30076</v>
      </c>
      <c r="J13594" t="s">
        <v>30588</v>
      </c>
      <c r="K13594" t="s">
        <v>39029</v>
      </c>
      <c r="M13594" t="s">
        <v>43037</v>
      </c>
      <c r="N13594" t="s">
        <v>43166</v>
      </c>
      <c r="O13594" t="s">
        <v>43167</v>
      </c>
      <c r="Q13594">
        <v>6</v>
      </c>
      <c r="R13594" t="s">
        <v>43187</v>
      </c>
      <c r="S13594" t="s">
        <v>44205</v>
      </c>
      <c r="T13594" t="s">
        <v>44791</v>
      </c>
      <c r="U13594" t="s">
        <v>55993</v>
      </c>
      <c r="W13594" t="s">
        <v>43037</v>
      </c>
      <c r="X13594" t="s">
        <v>43188</v>
      </c>
    </row>
    <row r="13595" spans="1:24">
      <c r="A13595">
        <f>HYPERLINK("https://www.philgeps.gov.ph/GEPSNONPILOT/Tender/SplashBidNoticeAbstractUI.aspx?menuIndex=3&amp;refID=7049650&amp;Result=3","7049650")</f>
        <v>0</v>
      </c>
      <c r="B13595" t="s">
        <v>3381</v>
      </c>
      <c r="C13595" t="s">
        <v>16437</v>
      </c>
      <c r="D13595" t="s">
        <v>17494</v>
      </c>
      <c r="E13595" t="s">
        <v>29136</v>
      </c>
      <c r="F13595" t="s">
        <v>30052</v>
      </c>
      <c r="G13595" t="s">
        <v>30058</v>
      </c>
      <c r="H13595" t="s">
        <v>30068</v>
      </c>
      <c r="I13595" t="s">
        <v>30068</v>
      </c>
      <c r="J13595" t="s">
        <v>38426</v>
      </c>
      <c r="K13595" t="s">
        <v>39046</v>
      </c>
      <c r="M13595" t="s">
        <v>43038</v>
      </c>
      <c r="N13595" t="s">
        <v>43166</v>
      </c>
      <c r="O13595" t="s">
        <v>43167</v>
      </c>
      <c r="P13595">
        <v>0</v>
      </c>
      <c r="Q13595">
        <v>4</v>
      </c>
      <c r="R13595" t="s">
        <v>43187</v>
      </c>
      <c r="S13595" t="s">
        <v>44147</v>
      </c>
      <c r="T13595" t="s">
        <v>44681</v>
      </c>
      <c r="U13595" t="s">
        <v>55994</v>
      </c>
      <c r="W13595" t="s">
        <v>43038</v>
      </c>
      <c r="X13595" t="s">
        <v>43188</v>
      </c>
    </row>
    <row r="13596" spans="1:24">
      <c r="A13596">
        <f>HYPERLINK("https://www.philgeps.gov.ph/GEPSNONPILOT/Tender/SplashBidNoticeAbstractUI.aspx?menuIndex=3&amp;refID=7049706&amp;Result=3","7049706")</f>
        <v>0</v>
      </c>
      <c r="B13596" t="s">
        <v>3382</v>
      </c>
      <c r="C13596" t="s">
        <v>16438</v>
      </c>
      <c r="E13596" t="s">
        <v>29137</v>
      </c>
      <c r="F13596" t="s">
        <v>30052</v>
      </c>
      <c r="G13596" t="s">
        <v>30058</v>
      </c>
      <c r="H13596" t="s">
        <v>15498</v>
      </c>
      <c r="I13596" t="s">
        <v>30096</v>
      </c>
      <c r="J13596" t="s">
        <v>38427</v>
      </c>
      <c r="K13596" t="s">
        <v>39025</v>
      </c>
      <c r="M13596" t="s">
        <v>43039</v>
      </c>
      <c r="N13596" t="s">
        <v>43166</v>
      </c>
      <c r="O13596" t="s">
        <v>43167</v>
      </c>
      <c r="Q13596">
        <v>15</v>
      </c>
      <c r="R13596" t="s">
        <v>43187</v>
      </c>
      <c r="S13596" t="s">
        <v>44206</v>
      </c>
      <c r="T13596" t="s">
        <v>44969</v>
      </c>
      <c r="U13596" t="s">
        <v>55995</v>
      </c>
      <c r="V13596" t="s">
        <v>58458</v>
      </c>
      <c r="W13596" t="s">
        <v>58716</v>
      </c>
      <c r="X13596" t="s">
        <v>43188</v>
      </c>
    </row>
    <row r="13597" spans="1:24">
      <c r="A13597">
        <f>HYPERLINK("https://www.philgeps.gov.ph/GEPSNONPILOT/Tender/SplashBidNoticeAbstractUI.aspx?menuIndex=3&amp;refID=7049671&amp;Result=3","7049671")</f>
        <v>0</v>
      </c>
      <c r="B13597" t="s">
        <v>3383</v>
      </c>
      <c r="C13597" t="s">
        <v>16439</v>
      </c>
      <c r="D13597" t="s">
        <v>17415</v>
      </c>
      <c r="E13597" t="s">
        <v>29138</v>
      </c>
      <c r="F13597" t="s">
        <v>30052</v>
      </c>
      <c r="G13597" t="s">
        <v>30058</v>
      </c>
      <c r="H13597" t="s">
        <v>15498</v>
      </c>
      <c r="I13597" t="s">
        <v>30074</v>
      </c>
      <c r="J13597" t="s">
        <v>37838</v>
      </c>
      <c r="K13597" t="s">
        <v>39025</v>
      </c>
      <c r="M13597" t="s">
        <v>43040</v>
      </c>
      <c r="N13597" t="s">
        <v>43166</v>
      </c>
      <c r="O13597" t="s">
        <v>43167</v>
      </c>
      <c r="Q13597">
        <v>6</v>
      </c>
      <c r="R13597" t="s">
        <v>43187</v>
      </c>
      <c r="S13597" t="s">
        <v>44207</v>
      </c>
      <c r="T13597" t="s">
        <v>44773</v>
      </c>
      <c r="U13597" t="s">
        <v>55996</v>
      </c>
      <c r="W13597" t="s">
        <v>43040</v>
      </c>
      <c r="X13597" t="s">
        <v>43188</v>
      </c>
    </row>
    <row r="13598" spans="1:24">
      <c r="A13598">
        <f>HYPERLINK("https://www.philgeps.gov.ph/GEPSNONPILOT/Tender/SplashBidNoticeAbstractUI.aspx?menuIndex=3&amp;refID=7049633&amp;Result=3","7049633")</f>
        <v>0</v>
      </c>
      <c r="B13598" t="s">
        <v>2627</v>
      </c>
      <c r="C13598" t="s">
        <v>16440</v>
      </c>
      <c r="D13598" t="s">
        <v>17446</v>
      </c>
      <c r="E13598" t="s">
        <v>29139</v>
      </c>
      <c r="F13598" t="s">
        <v>30052</v>
      </c>
      <c r="G13598" t="s">
        <v>30058</v>
      </c>
      <c r="H13598" t="s">
        <v>30067</v>
      </c>
      <c r="I13598" t="s">
        <v>3693</v>
      </c>
      <c r="J13598" t="s">
        <v>38428</v>
      </c>
      <c r="K13598" t="s">
        <v>39296</v>
      </c>
      <c r="M13598" t="s">
        <v>42141</v>
      </c>
      <c r="N13598" t="s">
        <v>43166</v>
      </c>
      <c r="O13598" t="s">
        <v>43167</v>
      </c>
      <c r="P13598">
        <v>0</v>
      </c>
      <c r="Q13598">
        <v>3</v>
      </c>
      <c r="R13598" t="s">
        <v>43187</v>
      </c>
      <c r="S13598" t="s">
        <v>44147</v>
      </c>
      <c r="T13598" t="s">
        <v>44870</v>
      </c>
      <c r="U13598" t="s">
        <v>55997</v>
      </c>
      <c r="W13598" t="s">
        <v>58683</v>
      </c>
      <c r="X13598" t="s">
        <v>43188</v>
      </c>
    </row>
    <row r="13599" spans="1:24">
      <c r="A13599">
        <f>HYPERLINK("https://www.philgeps.gov.ph/GEPSNONPILOT/Tender/SplashBidNoticeAbstractUI.aspx?menuIndex=3&amp;refID=7049788&amp;Result=3","7049788")</f>
        <v>0</v>
      </c>
      <c r="B13599" t="s">
        <v>354</v>
      </c>
      <c r="C13599" t="s">
        <v>16441</v>
      </c>
      <c r="D13599" t="s">
        <v>17437</v>
      </c>
      <c r="E13599" t="s">
        <v>29140</v>
      </c>
      <c r="F13599" t="s">
        <v>30052</v>
      </c>
      <c r="G13599" t="s">
        <v>30058</v>
      </c>
      <c r="H13599" t="s">
        <v>15498</v>
      </c>
      <c r="I13599" t="s">
        <v>30073</v>
      </c>
      <c r="J13599" t="s">
        <v>38429</v>
      </c>
      <c r="K13599" t="s">
        <v>39034</v>
      </c>
      <c r="M13599" t="s">
        <v>43031</v>
      </c>
      <c r="N13599" t="s">
        <v>43166</v>
      </c>
      <c r="O13599" t="s">
        <v>43167</v>
      </c>
      <c r="P13599">
        <v>0</v>
      </c>
      <c r="Q13599">
        <v>3</v>
      </c>
      <c r="R13599" t="s">
        <v>43187</v>
      </c>
      <c r="S13599" t="s">
        <v>44147</v>
      </c>
      <c r="T13599" t="s">
        <v>44698</v>
      </c>
      <c r="U13599" t="s">
        <v>55998</v>
      </c>
      <c r="W13599" t="s">
        <v>43031</v>
      </c>
      <c r="X13599" t="s">
        <v>43188</v>
      </c>
    </row>
    <row r="13600" spans="1:24">
      <c r="A13600">
        <f>HYPERLINK("https://www.philgeps.gov.ph/GEPSNONPILOT/Tender/SplashBidNoticeAbstractUI.aspx?menuIndex=3&amp;refID=7049626&amp;Result=3","7049626")</f>
        <v>0</v>
      </c>
      <c r="B13600" t="s">
        <v>2627</v>
      </c>
      <c r="C13600" t="s">
        <v>16442</v>
      </c>
      <c r="D13600" t="s">
        <v>17446</v>
      </c>
      <c r="E13600" t="s">
        <v>29141</v>
      </c>
      <c r="F13600" t="s">
        <v>30052</v>
      </c>
      <c r="G13600" t="s">
        <v>30058</v>
      </c>
      <c r="H13600" t="s">
        <v>30067</v>
      </c>
      <c r="I13600" t="s">
        <v>3693</v>
      </c>
      <c r="J13600" t="s">
        <v>38430</v>
      </c>
      <c r="K13600" t="s">
        <v>39182</v>
      </c>
      <c r="M13600" t="s">
        <v>42141</v>
      </c>
      <c r="N13600" t="s">
        <v>43166</v>
      </c>
      <c r="O13600" t="s">
        <v>43167</v>
      </c>
      <c r="P13600">
        <v>0</v>
      </c>
      <c r="Q13600">
        <v>2</v>
      </c>
      <c r="R13600" t="s">
        <v>43187</v>
      </c>
      <c r="S13600" t="s">
        <v>44147</v>
      </c>
      <c r="T13600" t="s">
        <v>44870</v>
      </c>
      <c r="U13600" t="s">
        <v>53740</v>
      </c>
      <c r="W13600" t="s">
        <v>58683</v>
      </c>
      <c r="X13600" t="s">
        <v>43188</v>
      </c>
    </row>
    <row r="13601" spans="1:24">
      <c r="A13601">
        <f>HYPERLINK("https://www.philgeps.gov.ph/GEPSNONPILOT/Tender/SplashBidNoticeAbstractUI.aspx?menuIndex=3&amp;refID=7049771&amp;Result=3","7049771")</f>
        <v>0</v>
      </c>
      <c r="B13601" t="s">
        <v>3384</v>
      </c>
      <c r="C13601" t="s">
        <v>16443</v>
      </c>
      <c r="D13601" t="s">
        <v>17477</v>
      </c>
      <c r="E13601" t="s">
        <v>28880</v>
      </c>
      <c r="F13601" t="s">
        <v>30052</v>
      </c>
      <c r="G13601" t="s">
        <v>30058</v>
      </c>
      <c r="H13601" t="s">
        <v>15498</v>
      </c>
      <c r="I13601" t="s">
        <v>30074</v>
      </c>
      <c r="J13601" t="s">
        <v>38431</v>
      </c>
      <c r="K13601" t="s">
        <v>39032</v>
      </c>
      <c r="M13601" t="s">
        <v>43041</v>
      </c>
      <c r="N13601" t="s">
        <v>43166</v>
      </c>
      <c r="O13601" t="s">
        <v>43167</v>
      </c>
      <c r="P13601">
        <v>0</v>
      </c>
      <c r="Q13601">
        <v>10</v>
      </c>
      <c r="R13601" t="s">
        <v>43187</v>
      </c>
      <c r="S13601" t="s">
        <v>44147</v>
      </c>
      <c r="T13601" t="s">
        <v>44734</v>
      </c>
      <c r="U13601" t="s">
        <v>55999</v>
      </c>
      <c r="W13601" t="s">
        <v>43041</v>
      </c>
      <c r="X13601" t="s">
        <v>43188</v>
      </c>
    </row>
    <row r="13602" spans="1:24">
      <c r="A13602">
        <f>HYPERLINK("https://www.philgeps.gov.ph/GEPSNONPILOT/Tender/SplashBidNoticeAbstractUI.aspx?menuIndex=3&amp;refID=7049785&amp;Result=3","7049785")</f>
        <v>0</v>
      </c>
      <c r="B13602" t="s">
        <v>2085</v>
      </c>
      <c r="C13602" t="s">
        <v>16444</v>
      </c>
      <c r="D13602" t="s">
        <v>17415</v>
      </c>
      <c r="E13602" t="s">
        <v>29142</v>
      </c>
      <c r="F13602" t="s">
        <v>30052</v>
      </c>
      <c r="G13602" t="s">
        <v>30058</v>
      </c>
      <c r="H13602" t="s">
        <v>30067</v>
      </c>
      <c r="I13602" t="s">
        <v>3693</v>
      </c>
      <c r="J13602" t="s">
        <v>38432</v>
      </c>
      <c r="K13602" t="s">
        <v>39022</v>
      </c>
      <c r="M13602" t="s">
        <v>41546</v>
      </c>
      <c r="N13602" t="s">
        <v>43166</v>
      </c>
      <c r="O13602" t="s">
        <v>43167</v>
      </c>
      <c r="Q13602">
        <v>39</v>
      </c>
      <c r="R13602" t="s">
        <v>43187</v>
      </c>
      <c r="S13602" t="s">
        <v>44208</v>
      </c>
      <c r="T13602" t="s">
        <v>44844</v>
      </c>
      <c r="U13602" t="s">
        <v>56000</v>
      </c>
      <c r="W13602" t="s">
        <v>41546</v>
      </c>
      <c r="X13602" t="s">
        <v>43188</v>
      </c>
    </row>
    <row r="13603" spans="1:24">
      <c r="A13603">
        <f>HYPERLINK("https://www.philgeps.gov.ph/GEPSNONPILOT/Tender/SplashBidNoticeAbstractUI.aspx?menuIndex=3&amp;refID=7049758&amp;Result=3","7049758")</f>
        <v>0</v>
      </c>
      <c r="B13603" t="s">
        <v>354</v>
      </c>
      <c r="C13603" t="s">
        <v>16445</v>
      </c>
      <c r="D13603" t="s">
        <v>17437</v>
      </c>
      <c r="E13603" t="s">
        <v>29143</v>
      </c>
      <c r="F13603" t="s">
        <v>30052</v>
      </c>
      <c r="G13603" t="s">
        <v>30058</v>
      </c>
      <c r="H13603" t="s">
        <v>15498</v>
      </c>
      <c r="I13603" t="s">
        <v>30084</v>
      </c>
      <c r="J13603" t="s">
        <v>38433</v>
      </c>
      <c r="K13603" t="s">
        <v>39029</v>
      </c>
      <c r="M13603" t="s">
        <v>43031</v>
      </c>
      <c r="N13603" t="s">
        <v>43166</v>
      </c>
      <c r="O13603" t="s">
        <v>43167</v>
      </c>
      <c r="P13603">
        <v>0</v>
      </c>
      <c r="Q13603">
        <v>7</v>
      </c>
      <c r="R13603" t="s">
        <v>43187</v>
      </c>
      <c r="S13603" t="s">
        <v>44147</v>
      </c>
      <c r="T13603" t="s">
        <v>44698</v>
      </c>
      <c r="U13603" t="s">
        <v>56001</v>
      </c>
      <c r="W13603" t="s">
        <v>43031</v>
      </c>
      <c r="X13603" t="s">
        <v>43188</v>
      </c>
    </row>
    <row r="13604" spans="1:24">
      <c r="A13604">
        <f>HYPERLINK("https://www.philgeps.gov.ph/GEPSNONPILOT/Tender/SplashBidNoticeAbstractUI.aspx?menuIndex=3&amp;refID=7049766&amp;Result=3","7049766")</f>
        <v>0</v>
      </c>
      <c r="B13604" t="s">
        <v>3340</v>
      </c>
      <c r="C13604" t="s">
        <v>16446</v>
      </c>
      <c r="D13604" t="s">
        <v>17479</v>
      </c>
      <c r="E13604" t="s">
        <v>29144</v>
      </c>
      <c r="F13604" t="s">
        <v>30052</v>
      </c>
      <c r="G13604" t="s">
        <v>30058</v>
      </c>
      <c r="H13604" t="s">
        <v>30067</v>
      </c>
      <c r="I13604" t="s">
        <v>3693</v>
      </c>
      <c r="J13604" t="s">
        <v>38434</v>
      </c>
      <c r="K13604" t="s">
        <v>39031</v>
      </c>
      <c r="M13604" t="s">
        <v>42983</v>
      </c>
      <c r="N13604" t="s">
        <v>43166</v>
      </c>
      <c r="O13604" t="s">
        <v>43167</v>
      </c>
      <c r="P13604">
        <v>0</v>
      </c>
      <c r="Q13604">
        <v>16</v>
      </c>
      <c r="R13604" t="s">
        <v>43187</v>
      </c>
      <c r="S13604" t="s">
        <v>44147</v>
      </c>
      <c r="T13604" t="s">
        <v>44717</v>
      </c>
      <c r="U13604" t="s">
        <v>56002</v>
      </c>
      <c r="V13604" t="s">
        <v>58459</v>
      </c>
      <c r="W13604" t="s">
        <v>42983</v>
      </c>
      <c r="X13604" t="s">
        <v>43188</v>
      </c>
    </row>
    <row r="13605" spans="1:24">
      <c r="A13605">
        <f>HYPERLINK("https://www.philgeps.gov.ph/GEPSNONPILOT/Tender/SplashBidNoticeAbstractUI.aspx?menuIndex=3&amp;refID=7049783&amp;Result=3","7049783")</f>
        <v>0</v>
      </c>
      <c r="B13605" t="s">
        <v>354</v>
      </c>
      <c r="C13605" t="s">
        <v>16447</v>
      </c>
      <c r="D13605" t="s">
        <v>17437</v>
      </c>
      <c r="E13605" t="s">
        <v>29145</v>
      </c>
      <c r="F13605" t="s">
        <v>30052</v>
      </c>
      <c r="G13605" t="s">
        <v>30058</v>
      </c>
      <c r="H13605" t="s">
        <v>15498</v>
      </c>
      <c r="I13605" t="s">
        <v>9238</v>
      </c>
      <c r="J13605" t="s">
        <v>38435</v>
      </c>
      <c r="K13605" t="s">
        <v>39034</v>
      </c>
      <c r="M13605" t="s">
        <v>43031</v>
      </c>
      <c r="N13605" t="s">
        <v>43166</v>
      </c>
      <c r="O13605" t="s">
        <v>43167</v>
      </c>
      <c r="P13605">
        <v>0</v>
      </c>
      <c r="Q13605">
        <v>11</v>
      </c>
      <c r="R13605" t="s">
        <v>43187</v>
      </c>
      <c r="S13605" t="s">
        <v>44147</v>
      </c>
      <c r="T13605" t="s">
        <v>44698</v>
      </c>
      <c r="U13605" t="s">
        <v>56003</v>
      </c>
      <c r="W13605" t="s">
        <v>43031</v>
      </c>
      <c r="X13605" t="s">
        <v>43188</v>
      </c>
    </row>
    <row r="13606" spans="1:24">
      <c r="A13606">
        <f>HYPERLINK("https://www.philgeps.gov.ph/GEPSNONPILOT/Tender/SplashBidNoticeAbstractUI.aspx?menuIndex=3&amp;refID=7049746&amp;Result=3","7049746")</f>
        <v>0</v>
      </c>
      <c r="B13606" t="s">
        <v>1024</v>
      </c>
      <c r="C13606" t="s">
        <v>16448</v>
      </c>
      <c r="D13606" t="s">
        <v>17432</v>
      </c>
      <c r="E13606" t="s">
        <v>29146</v>
      </c>
      <c r="F13606" t="s">
        <v>30052</v>
      </c>
      <c r="G13606" t="s">
        <v>30058</v>
      </c>
      <c r="H13606" t="s">
        <v>15498</v>
      </c>
      <c r="I13606" t="s">
        <v>30070</v>
      </c>
      <c r="J13606" t="s">
        <v>38436</v>
      </c>
      <c r="K13606" t="s">
        <v>39029</v>
      </c>
      <c r="M13606" t="s">
        <v>41806</v>
      </c>
      <c r="N13606" t="s">
        <v>43166</v>
      </c>
      <c r="O13606" t="s">
        <v>43167</v>
      </c>
      <c r="P13606">
        <v>0</v>
      </c>
      <c r="Q13606">
        <v>6</v>
      </c>
      <c r="R13606" t="s">
        <v>43187</v>
      </c>
      <c r="S13606" t="s">
        <v>44147</v>
      </c>
      <c r="T13606" t="s">
        <v>44717</v>
      </c>
      <c r="U13606" t="s">
        <v>56004</v>
      </c>
      <c r="W13606" t="s">
        <v>41806</v>
      </c>
      <c r="X13606" t="s">
        <v>43188</v>
      </c>
    </row>
    <row r="13607" spans="1:24">
      <c r="A13607">
        <f>HYPERLINK("https://www.philgeps.gov.ph/GEPSNONPILOT/Tender/SplashBidNoticeAbstractUI.aspx?menuIndex=3&amp;refID=7049631&amp;Result=3","7049631")</f>
        <v>0</v>
      </c>
      <c r="B13607" t="s">
        <v>654</v>
      </c>
      <c r="C13607" t="s">
        <v>16449</v>
      </c>
      <c r="D13607" t="s">
        <v>17453</v>
      </c>
      <c r="E13607" t="s">
        <v>29147</v>
      </c>
      <c r="F13607" t="s">
        <v>30052</v>
      </c>
      <c r="G13607" t="s">
        <v>30058</v>
      </c>
      <c r="H13607" t="s">
        <v>15498</v>
      </c>
      <c r="I13607" t="s">
        <v>30088</v>
      </c>
      <c r="J13607" t="s">
        <v>38437</v>
      </c>
      <c r="K13607" t="s">
        <v>39025</v>
      </c>
      <c r="M13607" t="s">
        <v>39958</v>
      </c>
      <c r="N13607" t="s">
        <v>43166</v>
      </c>
      <c r="O13607" t="s">
        <v>43167</v>
      </c>
      <c r="Q13607">
        <v>54</v>
      </c>
      <c r="R13607" t="s">
        <v>43187</v>
      </c>
      <c r="S13607" t="s">
        <v>44209</v>
      </c>
      <c r="T13607" t="s">
        <v>44773</v>
      </c>
      <c r="U13607" t="s">
        <v>56005</v>
      </c>
      <c r="W13607" t="s">
        <v>39958</v>
      </c>
      <c r="X13607" t="s">
        <v>43188</v>
      </c>
    </row>
    <row r="13608" spans="1:24">
      <c r="A13608">
        <f>HYPERLINK("https://www.philgeps.gov.ph/GEPSNONPILOT/Tender/SplashBidNoticeAbstractUI.aspx?menuIndex=3&amp;refID=7049732&amp;Result=3","7049732")</f>
        <v>0</v>
      </c>
      <c r="B13608" t="s">
        <v>2990</v>
      </c>
      <c r="C13608" t="s">
        <v>16450</v>
      </c>
      <c r="D13608" t="s">
        <v>17461</v>
      </c>
      <c r="E13608" t="s">
        <v>29148</v>
      </c>
      <c r="F13608" t="s">
        <v>30052</v>
      </c>
      <c r="G13608" t="s">
        <v>30058</v>
      </c>
      <c r="H13608" t="s">
        <v>15498</v>
      </c>
      <c r="I13608" t="s">
        <v>30124</v>
      </c>
      <c r="J13608" t="s">
        <v>38438</v>
      </c>
      <c r="K13608" t="s">
        <v>39046</v>
      </c>
      <c r="M13608" t="s">
        <v>42560</v>
      </c>
      <c r="N13608" t="s">
        <v>43166</v>
      </c>
      <c r="O13608" t="s">
        <v>43167</v>
      </c>
      <c r="Q13608">
        <v>8</v>
      </c>
      <c r="R13608" t="s">
        <v>43187</v>
      </c>
      <c r="S13608" t="s">
        <v>44210</v>
      </c>
      <c r="T13608" t="s">
        <v>44734</v>
      </c>
      <c r="U13608" t="s">
        <v>56006</v>
      </c>
      <c r="W13608" t="s">
        <v>42560</v>
      </c>
      <c r="X13608" t="s">
        <v>43188</v>
      </c>
    </row>
    <row r="13609" spans="1:24">
      <c r="A13609">
        <f>HYPERLINK("https://www.philgeps.gov.ph/GEPSNONPILOT/Tender/SplashBidNoticeAbstractUI.aspx?menuIndex=3&amp;refID=7049713&amp;Result=3","7049713")</f>
        <v>0</v>
      </c>
      <c r="B13609" t="s">
        <v>2990</v>
      </c>
      <c r="C13609" t="s">
        <v>16451</v>
      </c>
      <c r="D13609" t="s">
        <v>17461</v>
      </c>
      <c r="E13609" t="s">
        <v>29149</v>
      </c>
      <c r="F13609" t="s">
        <v>30052</v>
      </c>
      <c r="G13609" t="s">
        <v>30058</v>
      </c>
      <c r="H13609" t="s">
        <v>15498</v>
      </c>
      <c r="I13609" t="s">
        <v>30124</v>
      </c>
      <c r="J13609" t="s">
        <v>38439</v>
      </c>
      <c r="K13609" t="s">
        <v>39046</v>
      </c>
      <c r="M13609" t="s">
        <v>42560</v>
      </c>
      <c r="N13609" t="s">
        <v>43166</v>
      </c>
      <c r="O13609" t="s">
        <v>43167</v>
      </c>
      <c r="Q13609">
        <v>8</v>
      </c>
      <c r="R13609" t="s">
        <v>43187</v>
      </c>
      <c r="S13609" t="s">
        <v>44211</v>
      </c>
      <c r="T13609" t="s">
        <v>44734</v>
      </c>
      <c r="U13609" t="s">
        <v>56007</v>
      </c>
      <c r="W13609" t="s">
        <v>42560</v>
      </c>
      <c r="X13609" t="s">
        <v>43188</v>
      </c>
    </row>
    <row r="13610" spans="1:24">
      <c r="A13610">
        <f>HYPERLINK("https://www.philgeps.gov.ph/GEPSNONPILOT/Tender/SplashBidNoticeAbstractUI.aspx?menuIndex=3&amp;refID=7049769&amp;Result=3","7049769")</f>
        <v>0</v>
      </c>
      <c r="B13610" t="s">
        <v>354</v>
      </c>
      <c r="C13610" t="s">
        <v>16452</v>
      </c>
      <c r="D13610" t="s">
        <v>17437</v>
      </c>
      <c r="E13610" t="s">
        <v>29150</v>
      </c>
      <c r="F13610" t="s">
        <v>30052</v>
      </c>
      <c r="G13610" t="s">
        <v>30058</v>
      </c>
      <c r="H13610" t="s">
        <v>15498</v>
      </c>
      <c r="I13610" t="s">
        <v>30084</v>
      </c>
      <c r="J13610" t="s">
        <v>38440</v>
      </c>
      <c r="K13610" t="s">
        <v>39029</v>
      </c>
      <c r="M13610" t="s">
        <v>43031</v>
      </c>
      <c r="N13610" t="s">
        <v>43166</v>
      </c>
      <c r="O13610" t="s">
        <v>43167</v>
      </c>
      <c r="P13610">
        <v>0</v>
      </c>
      <c r="Q13610">
        <v>10</v>
      </c>
      <c r="R13610" t="s">
        <v>43187</v>
      </c>
      <c r="S13610" t="s">
        <v>44147</v>
      </c>
      <c r="T13610" t="s">
        <v>44698</v>
      </c>
      <c r="U13610" t="s">
        <v>56008</v>
      </c>
      <c r="W13610" t="s">
        <v>43031</v>
      </c>
      <c r="X13610" t="s">
        <v>43188</v>
      </c>
    </row>
    <row r="13611" spans="1:24">
      <c r="A13611">
        <f>HYPERLINK("https://www.philgeps.gov.ph/GEPSNONPILOT/Tender/SplashBidNoticeAbstractUI.aspx?menuIndex=3&amp;refID=7049711&amp;Result=3","7049711")</f>
        <v>0</v>
      </c>
      <c r="B13611" t="s">
        <v>2526</v>
      </c>
      <c r="C13611" t="s">
        <v>16453</v>
      </c>
      <c r="D13611" t="s">
        <v>17460</v>
      </c>
      <c r="E13611" t="s">
        <v>29151</v>
      </c>
      <c r="F13611" t="s">
        <v>30052</v>
      </c>
      <c r="G13611" t="s">
        <v>30058</v>
      </c>
      <c r="H13611" t="s">
        <v>15498</v>
      </c>
      <c r="I13611" t="s">
        <v>30078</v>
      </c>
      <c r="J13611" t="s">
        <v>30247</v>
      </c>
      <c r="K13611" t="s">
        <v>39019</v>
      </c>
      <c r="M13611" t="s">
        <v>42032</v>
      </c>
      <c r="N13611" t="s">
        <v>43166</v>
      </c>
      <c r="O13611" t="s">
        <v>43167</v>
      </c>
      <c r="Q13611">
        <v>1</v>
      </c>
      <c r="R13611" t="s">
        <v>43187</v>
      </c>
      <c r="S13611" t="s">
        <v>44212</v>
      </c>
      <c r="T13611" t="s">
        <v>44737</v>
      </c>
      <c r="U13611" t="s">
        <v>56009</v>
      </c>
      <c r="V13611" t="s">
        <v>58460</v>
      </c>
      <c r="W13611" t="s">
        <v>42032</v>
      </c>
      <c r="X13611" t="s">
        <v>43188</v>
      </c>
    </row>
    <row r="13612" spans="1:24">
      <c r="A13612">
        <f>HYPERLINK("https://www.philgeps.gov.ph/GEPSNONPILOT/Tender/SplashBidNoticeAbstractUI.aspx?menuIndex=3&amp;refID=7049751&amp;Result=3","7049751")</f>
        <v>0</v>
      </c>
      <c r="B13612" t="s">
        <v>409</v>
      </c>
      <c r="C13612" t="s">
        <v>16454</v>
      </c>
      <c r="D13612" t="s">
        <v>17473</v>
      </c>
      <c r="E13612" t="s">
        <v>29152</v>
      </c>
      <c r="F13612" t="s">
        <v>30052</v>
      </c>
      <c r="G13612" t="s">
        <v>30058</v>
      </c>
      <c r="H13612" t="s">
        <v>15498</v>
      </c>
      <c r="I13612" t="s">
        <v>30076</v>
      </c>
      <c r="J13612" t="s">
        <v>38441</v>
      </c>
      <c r="K13612" t="s">
        <v>39034</v>
      </c>
      <c r="M13612" t="s">
        <v>39708</v>
      </c>
      <c r="N13612" t="s">
        <v>43166</v>
      </c>
      <c r="O13612" t="s">
        <v>43167</v>
      </c>
      <c r="P13612">
        <v>0</v>
      </c>
      <c r="Q13612">
        <v>10</v>
      </c>
      <c r="R13612" t="s">
        <v>43187</v>
      </c>
      <c r="S13612" t="s">
        <v>44147</v>
      </c>
      <c r="T13612" t="s">
        <v>44734</v>
      </c>
      <c r="U13612" t="s">
        <v>56010</v>
      </c>
      <c r="W13612" t="s">
        <v>39708</v>
      </c>
      <c r="X13612" t="s">
        <v>43188</v>
      </c>
    </row>
    <row r="13613" spans="1:24">
      <c r="A13613">
        <f>HYPERLINK("https://www.philgeps.gov.ph/GEPSNONPILOT/Tender/SplashBidNoticeAbstractUI.aspx?menuIndex=3&amp;refID=7037617&amp;Result=3","7037617")</f>
        <v>0</v>
      </c>
      <c r="B13613" t="s">
        <v>1142</v>
      </c>
      <c r="C13613" t="s">
        <v>6267</v>
      </c>
      <c r="E13613" t="s">
        <v>28144</v>
      </c>
      <c r="F13613" t="s">
        <v>30052</v>
      </c>
      <c r="G13613" t="s">
        <v>30058</v>
      </c>
      <c r="H13613" t="s">
        <v>15498</v>
      </c>
      <c r="I13613" t="s">
        <v>30076</v>
      </c>
      <c r="J13613" t="s">
        <v>32848</v>
      </c>
      <c r="K13613" t="s">
        <v>39025</v>
      </c>
      <c r="M13613" t="s">
        <v>40485</v>
      </c>
      <c r="N13613" t="s">
        <v>43166</v>
      </c>
      <c r="O13613" t="s">
        <v>43167</v>
      </c>
      <c r="P13613">
        <v>0</v>
      </c>
      <c r="Q13613">
        <v>15</v>
      </c>
      <c r="R13613" t="s">
        <v>43188</v>
      </c>
      <c r="S13613" t="s">
        <v>44213</v>
      </c>
      <c r="T13613" t="s">
        <v>44844</v>
      </c>
      <c r="U13613" t="s">
        <v>47644</v>
      </c>
      <c r="W13613" t="s">
        <v>40485</v>
      </c>
      <c r="X13613" t="s">
        <v>43194</v>
      </c>
    </row>
    <row r="13614" spans="1:24">
      <c r="A13614">
        <f>HYPERLINK("https://www.philgeps.gov.ph/GEPSNONPILOT/Tender/SplashBidNoticeAbstractUI.aspx?menuIndex=3&amp;refID=7049743&amp;Result=3","7049743")</f>
        <v>0</v>
      </c>
      <c r="B13614" t="s">
        <v>354</v>
      </c>
      <c r="C13614" t="s">
        <v>16455</v>
      </c>
      <c r="D13614" t="s">
        <v>17437</v>
      </c>
      <c r="E13614" t="s">
        <v>29153</v>
      </c>
      <c r="F13614" t="s">
        <v>30052</v>
      </c>
      <c r="G13614" t="s">
        <v>30058</v>
      </c>
      <c r="H13614" t="s">
        <v>15498</v>
      </c>
      <c r="I13614" t="s">
        <v>3606</v>
      </c>
      <c r="J13614" t="s">
        <v>38442</v>
      </c>
      <c r="K13614" t="s">
        <v>39034</v>
      </c>
      <c r="M13614" t="s">
        <v>43031</v>
      </c>
      <c r="N13614" t="s">
        <v>43166</v>
      </c>
      <c r="O13614" t="s">
        <v>43167</v>
      </c>
      <c r="P13614">
        <v>0</v>
      </c>
      <c r="Q13614">
        <v>11</v>
      </c>
      <c r="R13614" t="s">
        <v>43187</v>
      </c>
      <c r="S13614" t="s">
        <v>44147</v>
      </c>
      <c r="T13614" t="s">
        <v>44698</v>
      </c>
      <c r="U13614" t="s">
        <v>56011</v>
      </c>
      <c r="W13614" t="s">
        <v>43031</v>
      </c>
      <c r="X13614" t="s">
        <v>43188</v>
      </c>
    </row>
    <row r="13615" spans="1:24">
      <c r="A13615">
        <f>HYPERLINK("https://www.philgeps.gov.ph/GEPSNONPILOT/Tender/SplashBidNoticeAbstractUI.aspx?menuIndex=3&amp;refID=7037564&amp;Result=3","7037564")</f>
        <v>0</v>
      </c>
      <c r="B13615" t="s">
        <v>1142</v>
      </c>
      <c r="C13615" t="s">
        <v>16456</v>
      </c>
      <c r="E13615" t="s">
        <v>29154</v>
      </c>
      <c r="F13615" t="s">
        <v>30052</v>
      </c>
      <c r="G13615" t="s">
        <v>30058</v>
      </c>
      <c r="H13615" t="s">
        <v>15498</v>
      </c>
      <c r="I13615" t="s">
        <v>30076</v>
      </c>
      <c r="J13615" t="s">
        <v>33141</v>
      </c>
      <c r="K13615" t="s">
        <v>39025</v>
      </c>
      <c r="M13615" t="s">
        <v>40485</v>
      </c>
      <c r="N13615" t="s">
        <v>43166</v>
      </c>
      <c r="O13615" t="s">
        <v>43167</v>
      </c>
      <c r="P13615">
        <v>0</v>
      </c>
      <c r="Q13615">
        <v>7</v>
      </c>
      <c r="R13615" t="s">
        <v>43188</v>
      </c>
      <c r="S13615" t="s">
        <v>44213</v>
      </c>
      <c r="T13615" t="s">
        <v>44844</v>
      </c>
      <c r="U13615" t="s">
        <v>56012</v>
      </c>
      <c r="W13615" t="s">
        <v>40485</v>
      </c>
      <c r="X13615" t="s">
        <v>43194</v>
      </c>
    </row>
    <row r="13616" spans="1:24">
      <c r="A13616">
        <f>HYPERLINK("https://www.philgeps.gov.ph/GEPSNONPILOT/Tender/SplashBidNoticeAbstractUI.aspx?menuIndex=3&amp;refID=7037529&amp;Result=3","7037529")</f>
        <v>0</v>
      </c>
      <c r="B13616" t="s">
        <v>1142</v>
      </c>
      <c r="C13616" t="s">
        <v>16457</v>
      </c>
      <c r="E13616" t="s">
        <v>29155</v>
      </c>
      <c r="F13616" t="s">
        <v>30052</v>
      </c>
      <c r="G13616" t="s">
        <v>30058</v>
      </c>
      <c r="H13616" t="s">
        <v>15498</v>
      </c>
      <c r="I13616" t="s">
        <v>30076</v>
      </c>
      <c r="J13616" t="s">
        <v>38443</v>
      </c>
      <c r="K13616" t="s">
        <v>39025</v>
      </c>
      <c r="M13616" t="s">
        <v>40485</v>
      </c>
      <c r="N13616" t="s">
        <v>43166</v>
      </c>
      <c r="O13616" t="s">
        <v>43167</v>
      </c>
      <c r="P13616">
        <v>0</v>
      </c>
      <c r="Q13616">
        <v>8</v>
      </c>
      <c r="R13616" t="s">
        <v>43188</v>
      </c>
      <c r="S13616" t="s">
        <v>44213</v>
      </c>
      <c r="T13616" t="s">
        <v>44844</v>
      </c>
      <c r="U13616" t="s">
        <v>56013</v>
      </c>
      <c r="W13616" t="s">
        <v>40485</v>
      </c>
      <c r="X13616" t="s">
        <v>43194</v>
      </c>
    </row>
    <row r="13617" spans="1:24">
      <c r="A13617">
        <f>HYPERLINK("https://www.philgeps.gov.ph/GEPSNONPILOT/Tender/SplashBidNoticeAbstractUI.aspx?menuIndex=3&amp;refID=7049727&amp;Result=3","7049727")</f>
        <v>0</v>
      </c>
      <c r="B13617" t="s">
        <v>354</v>
      </c>
      <c r="C13617" t="s">
        <v>16458</v>
      </c>
      <c r="D13617" t="s">
        <v>17437</v>
      </c>
      <c r="E13617" t="s">
        <v>29156</v>
      </c>
      <c r="F13617" t="s">
        <v>30052</v>
      </c>
      <c r="G13617" t="s">
        <v>30058</v>
      </c>
      <c r="H13617" t="s">
        <v>15498</v>
      </c>
      <c r="I13617" t="s">
        <v>9238</v>
      </c>
      <c r="J13617" t="s">
        <v>38444</v>
      </c>
      <c r="K13617" t="s">
        <v>39034</v>
      </c>
      <c r="M13617" t="s">
        <v>43031</v>
      </c>
      <c r="N13617" t="s">
        <v>43166</v>
      </c>
      <c r="O13617" t="s">
        <v>43167</v>
      </c>
      <c r="P13617">
        <v>0</v>
      </c>
      <c r="Q13617">
        <v>13</v>
      </c>
      <c r="R13617" t="s">
        <v>43187</v>
      </c>
      <c r="S13617" t="s">
        <v>44147</v>
      </c>
      <c r="T13617" t="s">
        <v>44698</v>
      </c>
      <c r="U13617" t="s">
        <v>56014</v>
      </c>
      <c r="W13617" t="s">
        <v>43031</v>
      </c>
      <c r="X13617" t="s">
        <v>43188</v>
      </c>
    </row>
    <row r="13618" spans="1:24">
      <c r="A13618">
        <f>HYPERLINK("https://www.philgeps.gov.ph/GEPSNONPILOT/Tender/SplashBidNoticeAbstractUI.aspx?menuIndex=3&amp;refID=7049206&amp;Result=3","7049206")</f>
        <v>0</v>
      </c>
      <c r="B13618" t="s">
        <v>3369</v>
      </c>
      <c r="C13618" t="s">
        <v>16459</v>
      </c>
      <c r="D13618" t="s">
        <v>17445</v>
      </c>
      <c r="E13618" t="s">
        <v>29102</v>
      </c>
      <c r="F13618" t="s">
        <v>30052</v>
      </c>
      <c r="G13618" t="s">
        <v>30058</v>
      </c>
      <c r="H13618" t="s">
        <v>30067</v>
      </c>
      <c r="I13618" t="s">
        <v>3693</v>
      </c>
      <c r="J13618" t="s">
        <v>30252</v>
      </c>
      <c r="K13618" t="s">
        <v>39032</v>
      </c>
      <c r="L13618" t="s">
        <v>3369</v>
      </c>
      <c r="M13618" t="s">
        <v>43020</v>
      </c>
      <c r="N13618" t="s">
        <v>43166</v>
      </c>
      <c r="O13618" t="s">
        <v>43167</v>
      </c>
      <c r="P13618">
        <v>0</v>
      </c>
      <c r="Q13618">
        <v>1</v>
      </c>
      <c r="R13618" t="s">
        <v>43187</v>
      </c>
      <c r="S13618" t="s">
        <v>44147</v>
      </c>
      <c r="T13618" t="s">
        <v>44832</v>
      </c>
      <c r="U13618" t="s">
        <v>56015</v>
      </c>
      <c r="W13618" t="s">
        <v>43020</v>
      </c>
      <c r="X13618" t="s">
        <v>43188</v>
      </c>
    </row>
    <row r="13619" spans="1:24">
      <c r="A13619">
        <f>HYPERLINK("https://www.philgeps.gov.ph/GEPSNONPILOT/Tender/SplashBidNoticeAbstractUI.aspx?menuIndex=3&amp;refID=7036451&amp;Result=3","7036451")</f>
        <v>0</v>
      </c>
      <c r="B13619" t="s">
        <v>2271</v>
      </c>
      <c r="C13619" t="s">
        <v>5662</v>
      </c>
      <c r="D13619" t="s">
        <v>17442</v>
      </c>
      <c r="E13619" t="s">
        <v>29157</v>
      </c>
      <c r="F13619" t="s">
        <v>30052</v>
      </c>
      <c r="G13619" t="s">
        <v>30058</v>
      </c>
      <c r="H13619" t="s">
        <v>15498</v>
      </c>
      <c r="I13619" t="s">
        <v>30096</v>
      </c>
      <c r="J13619" t="s">
        <v>38445</v>
      </c>
      <c r="K13619" t="s">
        <v>39029</v>
      </c>
      <c r="M13619" t="s">
        <v>41750</v>
      </c>
      <c r="N13619" t="s">
        <v>43166</v>
      </c>
      <c r="O13619" t="s">
        <v>43167</v>
      </c>
      <c r="P13619">
        <v>0</v>
      </c>
      <c r="Q13619">
        <v>3</v>
      </c>
      <c r="R13619" t="s">
        <v>43188</v>
      </c>
      <c r="S13619" t="s">
        <v>44213</v>
      </c>
      <c r="T13619" t="s">
        <v>44717</v>
      </c>
      <c r="U13619" t="s">
        <v>56016</v>
      </c>
      <c r="V13619" t="s">
        <v>58461</v>
      </c>
      <c r="W13619" t="s">
        <v>41750</v>
      </c>
      <c r="X13619" t="s">
        <v>43194</v>
      </c>
    </row>
    <row r="13620" spans="1:24">
      <c r="A13620">
        <f>HYPERLINK("https://www.philgeps.gov.ph/GEPSNONPILOT/Tender/SplashBidNoticeAbstractUI.aspx?menuIndex=3&amp;refID=7031606&amp;Result=3","7031606")</f>
        <v>0</v>
      </c>
      <c r="B13620" t="s">
        <v>2476</v>
      </c>
      <c r="C13620" t="s">
        <v>16460</v>
      </c>
      <c r="D13620" t="s">
        <v>17472</v>
      </c>
      <c r="E13620" t="s">
        <v>24779</v>
      </c>
      <c r="F13620" t="s">
        <v>30052</v>
      </c>
      <c r="G13620" t="s">
        <v>30058</v>
      </c>
      <c r="H13620" t="s">
        <v>30069</v>
      </c>
      <c r="I13620" t="s">
        <v>30169</v>
      </c>
      <c r="J13620" t="s">
        <v>30321</v>
      </c>
      <c r="K13620" t="s">
        <v>39031</v>
      </c>
      <c r="M13620" t="s">
        <v>41976</v>
      </c>
      <c r="N13620" t="s">
        <v>43166</v>
      </c>
      <c r="O13620" t="s">
        <v>43167</v>
      </c>
      <c r="Q13620">
        <v>2</v>
      </c>
      <c r="R13620" t="s">
        <v>43188</v>
      </c>
      <c r="S13620" t="s">
        <v>44214</v>
      </c>
      <c r="T13620" t="s">
        <v>44870</v>
      </c>
      <c r="U13620" t="s">
        <v>56017</v>
      </c>
      <c r="V13620" t="s">
        <v>58462</v>
      </c>
      <c r="W13620" t="s">
        <v>41976</v>
      </c>
      <c r="X13620" t="s">
        <v>43197</v>
      </c>
    </row>
    <row r="13621" spans="1:24">
      <c r="A13621">
        <f>HYPERLINK("https://www.philgeps.gov.ph/GEPSNONPILOT/Tender/SplashBidNoticeAbstractUI.aspx?menuIndex=3&amp;refID=7049827&amp;Result=3","7049827")</f>
        <v>0</v>
      </c>
      <c r="B13621" t="s">
        <v>977</v>
      </c>
      <c r="C13621" t="s">
        <v>16461</v>
      </c>
      <c r="D13621" t="s">
        <v>17484</v>
      </c>
      <c r="E13621" t="s">
        <v>29158</v>
      </c>
      <c r="F13621" t="s">
        <v>30052</v>
      </c>
      <c r="G13621" t="s">
        <v>30058</v>
      </c>
      <c r="H13621" t="s">
        <v>30067</v>
      </c>
      <c r="I13621" t="s">
        <v>3693</v>
      </c>
      <c r="J13621" t="s">
        <v>38446</v>
      </c>
      <c r="K13621" t="s">
        <v>39247</v>
      </c>
      <c r="M13621" t="s">
        <v>40304</v>
      </c>
      <c r="N13621" t="s">
        <v>43166</v>
      </c>
      <c r="O13621" t="s">
        <v>43167</v>
      </c>
      <c r="P13621">
        <v>0</v>
      </c>
      <c r="Q13621">
        <v>0</v>
      </c>
      <c r="R13621" t="s">
        <v>43187</v>
      </c>
      <c r="S13621" t="s">
        <v>44147</v>
      </c>
      <c r="T13621" t="s">
        <v>44870</v>
      </c>
      <c r="U13621" t="s">
        <v>56018</v>
      </c>
      <c r="W13621" t="s">
        <v>40304</v>
      </c>
      <c r="X13621" t="s">
        <v>43188</v>
      </c>
    </row>
    <row r="13622" spans="1:24">
      <c r="A13622">
        <f>HYPERLINK("https://www.philgeps.gov.ph/GEPSNONPILOT/Tender/SplashBidNoticeAbstractUI.aspx?menuIndex=3&amp;refID=7049825&amp;Result=3","7049825")</f>
        <v>0</v>
      </c>
      <c r="B13622" t="s">
        <v>977</v>
      </c>
      <c r="C13622" t="s">
        <v>16462</v>
      </c>
      <c r="D13622" t="s">
        <v>17484</v>
      </c>
      <c r="E13622" t="s">
        <v>29159</v>
      </c>
      <c r="F13622" t="s">
        <v>30052</v>
      </c>
      <c r="G13622" t="s">
        <v>30058</v>
      </c>
      <c r="H13622" t="s">
        <v>15498</v>
      </c>
      <c r="I13622" t="s">
        <v>30073</v>
      </c>
      <c r="J13622" t="s">
        <v>38447</v>
      </c>
      <c r="K13622" t="s">
        <v>39046</v>
      </c>
      <c r="M13622" t="s">
        <v>40304</v>
      </c>
      <c r="N13622" t="s">
        <v>43166</v>
      </c>
      <c r="O13622" t="s">
        <v>43167</v>
      </c>
      <c r="P13622">
        <v>0</v>
      </c>
      <c r="Q13622">
        <v>0</v>
      </c>
      <c r="R13622" t="s">
        <v>43187</v>
      </c>
      <c r="S13622" t="s">
        <v>44147</v>
      </c>
      <c r="T13622" t="s">
        <v>44870</v>
      </c>
      <c r="U13622" t="s">
        <v>56019</v>
      </c>
      <c r="W13622" t="s">
        <v>40304</v>
      </c>
      <c r="X13622" t="s">
        <v>43188</v>
      </c>
    </row>
    <row r="13623" spans="1:24">
      <c r="A13623">
        <f>HYPERLINK("https://www.philgeps.gov.ph/GEPSNONPILOT/Tender/SplashBidNoticeAbstractUI.aspx?menuIndex=3&amp;refID=7049792&amp;Result=3","7049792")</f>
        <v>0</v>
      </c>
      <c r="B13623" t="s">
        <v>354</v>
      </c>
      <c r="C13623" t="s">
        <v>16463</v>
      </c>
      <c r="D13623" t="s">
        <v>17437</v>
      </c>
      <c r="E13623" t="s">
        <v>29160</v>
      </c>
      <c r="F13623" t="s">
        <v>30052</v>
      </c>
      <c r="G13623" t="s">
        <v>30058</v>
      </c>
      <c r="H13623" t="s">
        <v>15498</v>
      </c>
      <c r="I13623" t="s">
        <v>30073</v>
      </c>
      <c r="J13623" t="s">
        <v>38448</v>
      </c>
      <c r="K13623" t="s">
        <v>39034</v>
      </c>
      <c r="M13623" t="s">
        <v>43031</v>
      </c>
      <c r="N13623" t="s">
        <v>43166</v>
      </c>
      <c r="O13623" t="s">
        <v>43167</v>
      </c>
      <c r="P13623">
        <v>0</v>
      </c>
      <c r="Q13623">
        <v>1</v>
      </c>
      <c r="R13623" t="s">
        <v>43187</v>
      </c>
      <c r="S13623" t="s">
        <v>44147</v>
      </c>
      <c r="T13623" t="s">
        <v>44698</v>
      </c>
      <c r="U13623" t="s">
        <v>56020</v>
      </c>
      <c r="W13623" t="s">
        <v>43031</v>
      </c>
      <c r="X13623" t="s">
        <v>43188</v>
      </c>
    </row>
    <row r="13624" spans="1:24">
      <c r="A13624">
        <f>HYPERLINK("https://www.philgeps.gov.ph/GEPSNONPILOT/Tender/SplashBidNoticeAbstractUI.aspx?menuIndex=3&amp;refID=7037588&amp;Result=3","7037588")</f>
        <v>0</v>
      </c>
      <c r="B13624" t="s">
        <v>1142</v>
      </c>
      <c r="C13624" t="s">
        <v>6271</v>
      </c>
      <c r="E13624" t="s">
        <v>29161</v>
      </c>
      <c r="F13624" t="s">
        <v>30052</v>
      </c>
      <c r="G13624" t="s">
        <v>30058</v>
      </c>
      <c r="H13624" t="s">
        <v>15498</v>
      </c>
      <c r="I13624" t="s">
        <v>30076</v>
      </c>
      <c r="J13624" t="s">
        <v>38449</v>
      </c>
      <c r="K13624" t="s">
        <v>39025</v>
      </c>
      <c r="M13624" t="s">
        <v>40485</v>
      </c>
      <c r="N13624" t="s">
        <v>43166</v>
      </c>
      <c r="O13624" t="s">
        <v>43167</v>
      </c>
      <c r="P13624">
        <v>0</v>
      </c>
      <c r="Q13624">
        <v>22</v>
      </c>
      <c r="R13624" t="s">
        <v>43188</v>
      </c>
      <c r="S13624" t="s">
        <v>44213</v>
      </c>
      <c r="T13624" t="s">
        <v>44844</v>
      </c>
      <c r="U13624" t="s">
        <v>47647</v>
      </c>
      <c r="W13624" t="s">
        <v>40485</v>
      </c>
      <c r="X13624" t="s">
        <v>43194</v>
      </c>
    </row>
    <row r="13625" spans="1:24">
      <c r="A13625">
        <f>HYPERLINK("https://www.philgeps.gov.ph/GEPSNONPILOT/Tender/SplashBidNoticeAbstractUI.aspx?menuIndex=3&amp;refID=6991554-2&amp;Result=3","6991554-2")</f>
        <v>0</v>
      </c>
      <c r="B13625" t="s">
        <v>1078</v>
      </c>
      <c r="C13625" t="s">
        <v>16464</v>
      </c>
      <c r="D13625" t="s">
        <v>17452</v>
      </c>
      <c r="E13625" t="s">
        <v>29162</v>
      </c>
      <c r="F13625" t="s">
        <v>30052</v>
      </c>
      <c r="G13625" t="s">
        <v>30058</v>
      </c>
      <c r="H13625" t="s">
        <v>30068</v>
      </c>
      <c r="I13625" t="s">
        <v>30068</v>
      </c>
      <c r="J13625" t="s">
        <v>38450</v>
      </c>
      <c r="K13625" t="s">
        <v>39140</v>
      </c>
      <c r="M13625" t="s">
        <v>43042</v>
      </c>
      <c r="N13625" t="s">
        <v>43166</v>
      </c>
      <c r="O13625" t="s">
        <v>43167</v>
      </c>
      <c r="Q13625">
        <v>3</v>
      </c>
      <c r="R13625" t="s">
        <v>43188</v>
      </c>
      <c r="S13625" t="s">
        <v>44215</v>
      </c>
      <c r="T13625" t="s">
        <v>44815</v>
      </c>
      <c r="U13625" t="s">
        <v>56021</v>
      </c>
      <c r="W13625" t="s">
        <v>43042</v>
      </c>
      <c r="X13625" t="s">
        <v>43189</v>
      </c>
    </row>
    <row r="13626" spans="1:24">
      <c r="A13626">
        <f>HYPERLINK("https://www.philgeps.gov.ph/GEPSNONPILOT/Tender/SplashBidNoticeAbstractUI.aspx?menuIndex=3&amp;refID=7049819&amp;Result=3","7049819")</f>
        <v>0</v>
      </c>
      <c r="B13626" t="s">
        <v>977</v>
      </c>
      <c r="C13626" t="s">
        <v>16465</v>
      </c>
      <c r="D13626" t="s">
        <v>17484</v>
      </c>
      <c r="E13626" t="s">
        <v>29163</v>
      </c>
      <c r="F13626" t="s">
        <v>30052</v>
      </c>
      <c r="G13626" t="s">
        <v>30058</v>
      </c>
      <c r="H13626" t="s">
        <v>15498</v>
      </c>
      <c r="I13626" t="s">
        <v>7228</v>
      </c>
      <c r="J13626" t="s">
        <v>38451</v>
      </c>
      <c r="K13626" t="s">
        <v>39038</v>
      </c>
      <c r="M13626" t="s">
        <v>40304</v>
      </c>
      <c r="N13626" t="s">
        <v>43166</v>
      </c>
      <c r="O13626" t="s">
        <v>43167</v>
      </c>
      <c r="P13626">
        <v>0</v>
      </c>
      <c r="Q13626">
        <v>0</v>
      </c>
      <c r="R13626" t="s">
        <v>43187</v>
      </c>
      <c r="S13626" t="s">
        <v>44147</v>
      </c>
      <c r="T13626" t="s">
        <v>44870</v>
      </c>
      <c r="U13626" t="s">
        <v>56022</v>
      </c>
      <c r="W13626" t="s">
        <v>40304</v>
      </c>
      <c r="X13626" t="s">
        <v>43188</v>
      </c>
    </row>
    <row r="13627" spans="1:24">
      <c r="A13627">
        <f>HYPERLINK("https://www.philgeps.gov.ph/GEPSNONPILOT/Tender/SplashBidNoticeAbstractUI.aspx?menuIndex=3&amp;refID=7049817&amp;Result=3","7049817")</f>
        <v>0</v>
      </c>
      <c r="B13627" t="s">
        <v>354</v>
      </c>
      <c r="C13627" t="s">
        <v>16466</v>
      </c>
      <c r="D13627" t="s">
        <v>17437</v>
      </c>
      <c r="E13627" t="s">
        <v>29164</v>
      </c>
      <c r="F13627" t="s">
        <v>30052</v>
      </c>
      <c r="G13627" t="s">
        <v>30058</v>
      </c>
      <c r="H13627" t="s">
        <v>15498</v>
      </c>
      <c r="I13627" t="s">
        <v>3852</v>
      </c>
      <c r="J13627" t="s">
        <v>34092</v>
      </c>
      <c r="K13627" t="s">
        <v>39034</v>
      </c>
      <c r="M13627" t="s">
        <v>43031</v>
      </c>
      <c r="N13627" t="s">
        <v>43166</v>
      </c>
      <c r="O13627" t="s">
        <v>43167</v>
      </c>
      <c r="Q13627">
        <v>4</v>
      </c>
      <c r="R13627" t="s">
        <v>43187</v>
      </c>
      <c r="S13627" t="s">
        <v>44216</v>
      </c>
      <c r="T13627" t="s">
        <v>44698</v>
      </c>
      <c r="U13627" t="s">
        <v>56023</v>
      </c>
      <c r="W13627" t="s">
        <v>43031</v>
      </c>
      <c r="X13627" t="s">
        <v>43188</v>
      </c>
    </row>
    <row r="13628" spans="1:24">
      <c r="A13628">
        <f>HYPERLINK("https://www.philgeps.gov.ph/GEPSNONPILOT/Tender/SplashBidNoticeAbstractUI.aspx?menuIndex=3&amp;refID=7049754&amp;Result=3","7049754")</f>
        <v>0</v>
      </c>
      <c r="B13628" t="s">
        <v>826</v>
      </c>
      <c r="C13628" t="s">
        <v>16467</v>
      </c>
      <c r="D13628" t="s">
        <v>17415</v>
      </c>
      <c r="E13628" t="s">
        <v>29165</v>
      </c>
      <c r="F13628" t="s">
        <v>30052</v>
      </c>
      <c r="G13628" t="s">
        <v>30060</v>
      </c>
      <c r="H13628" t="s">
        <v>30068</v>
      </c>
      <c r="I13628" t="s">
        <v>30068</v>
      </c>
      <c r="J13628" t="s">
        <v>30215</v>
      </c>
      <c r="K13628" t="s">
        <v>39145</v>
      </c>
      <c r="M13628" t="s">
        <v>43043</v>
      </c>
      <c r="N13628" t="s">
        <v>43166</v>
      </c>
      <c r="O13628" t="s">
        <v>43167</v>
      </c>
      <c r="Q13628">
        <v>13</v>
      </c>
      <c r="R13628" t="s">
        <v>43187</v>
      </c>
      <c r="S13628" t="s">
        <v>44217</v>
      </c>
      <c r="T13628" t="s">
        <v>44996</v>
      </c>
      <c r="U13628" t="s">
        <v>56024</v>
      </c>
      <c r="W13628" t="s">
        <v>43043</v>
      </c>
      <c r="X13628" t="s">
        <v>43188</v>
      </c>
    </row>
    <row r="13629" spans="1:24">
      <c r="A13629">
        <f>HYPERLINK("https://www.philgeps.gov.ph/GEPSNONPILOT/Tender/SplashBidNoticeAbstractUI.aspx?menuIndex=3&amp;refID=7049815&amp;Result=3","7049815")</f>
        <v>0</v>
      </c>
      <c r="B13629" t="s">
        <v>354</v>
      </c>
      <c r="C13629" t="s">
        <v>16468</v>
      </c>
      <c r="D13629" t="s">
        <v>17437</v>
      </c>
      <c r="E13629" t="s">
        <v>29166</v>
      </c>
      <c r="F13629" t="s">
        <v>30052</v>
      </c>
      <c r="G13629" t="s">
        <v>30058</v>
      </c>
      <c r="H13629" t="s">
        <v>15498</v>
      </c>
      <c r="I13629" t="s">
        <v>30153</v>
      </c>
      <c r="J13629" t="s">
        <v>38452</v>
      </c>
      <c r="K13629" t="s">
        <v>39034</v>
      </c>
      <c r="M13629" t="s">
        <v>43031</v>
      </c>
      <c r="N13629" t="s">
        <v>43166</v>
      </c>
      <c r="O13629" t="s">
        <v>43167</v>
      </c>
      <c r="P13629">
        <v>0</v>
      </c>
      <c r="Q13629">
        <v>1</v>
      </c>
      <c r="R13629" t="s">
        <v>43187</v>
      </c>
      <c r="S13629" t="s">
        <v>44147</v>
      </c>
      <c r="T13629" t="s">
        <v>44698</v>
      </c>
      <c r="U13629" t="s">
        <v>56025</v>
      </c>
      <c r="W13629" t="s">
        <v>43031</v>
      </c>
      <c r="X13629" t="s">
        <v>43188</v>
      </c>
    </row>
    <row r="13630" spans="1:24">
      <c r="A13630">
        <f>HYPERLINK("https://www.philgeps.gov.ph/GEPSNONPILOT/Tender/SplashBidNoticeAbstractUI.aspx?menuIndex=3&amp;refID=7049803&amp;Result=3","7049803")</f>
        <v>0</v>
      </c>
      <c r="B13630" t="s">
        <v>354</v>
      </c>
      <c r="C13630" t="s">
        <v>16469</v>
      </c>
      <c r="D13630" t="s">
        <v>17437</v>
      </c>
      <c r="E13630" t="s">
        <v>29167</v>
      </c>
      <c r="F13630" t="s">
        <v>30052</v>
      </c>
      <c r="G13630" t="s">
        <v>30058</v>
      </c>
      <c r="H13630" t="s">
        <v>15498</v>
      </c>
      <c r="I13630" t="s">
        <v>3606</v>
      </c>
      <c r="J13630" t="s">
        <v>38453</v>
      </c>
      <c r="K13630" t="s">
        <v>39034</v>
      </c>
      <c r="M13630" t="s">
        <v>43031</v>
      </c>
      <c r="N13630" t="s">
        <v>43166</v>
      </c>
      <c r="O13630" t="s">
        <v>43167</v>
      </c>
      <c r="P13630">
        <v>0</v>
      </c>
      <c r="Q13630">
        <v>1</v>
      </c>
      <c r="R13630" t="s">
        <v>43187</v>
      </c>
      <c r="S13630" t="s">
        <v>44147</v>
      </c>
      <c r="T13630" t="s">
        <v>44698</v>
      </c>
      <c r="U13630" t="s">
        <v>56026</v>
      </c>
      <c r="W13630" t="s">
        <v>43031</v>
      </c>
      <c r="X13630" t="s">
        <v>43188</v>
      </c>
    </row>
    <row r="13631" spans="1:24">
      <c r="A13631">
        <f>HYPERLINK("https://www.philgeps.gov.ph/GEPSNONPILOT/Tender/SplashBidNoticeAbstractUI.aspx?menuIndex=3&amp;refID=7049824&amp;Result=3","7049824")</f>
        <v>0</v>
      </c>
      <c r="B13631" t="s">
        <v>354</v>
      </c>
      <c r="C13631" t="s">
        <v>16470</v>
      </c>
      <c r="D13631" t="s">
        <v>17437</v>
      </c>
      <c r="E13631" t="s">
        <v>29168</v>
      </c>
      <c r="F13631" t="s">
        <v>30052</v>
      </c>
      <c r="G13631" t="s">
        <v>30058</v>
      </c>
      <c r="H13631" t="s">
        <v>15498</v>
      </c>
      <c r="I13631" t="s">
        <v>30076</v>
      </c>
      <c r="J13631" t="s">
        <v>38454</v>
      </c>
      <c r="K13631" t="s">
        <v>39034</v>
      </c>
      <c r="M13631" t="s">
        <v>43031</v>
      </c>
      <c r="N13631" t="s">
        <v>43166</v>
      </c>
      <c r="O13631" t="s">
        <v>43167</v>
      </c>
      <c r="P13631">
        <v>0</v>
      </c>
      <c r="Q13631">
        <v>1</v>
      </c>
      <c r="R13631" t="s">
        <v>43187</v>
      </c>
      <c r="S13631" t="s">
        <v>44147</v>
      </c>
      <c r="T13631" t="s">
        <v>44698</v>
      </c>
      <c r="U13631" t="s">
        <v>56027</v>
      </c>
      <c r="W13631" t="s">
        <v>43031</v>
      </c>
      <c r="X13631" t="s">
        <v>43188</v>
      </c>
    </row>
    <row r="13632" spans="1:24">
      <c r="A13632">
        <f>HYPERLINK("https://www.philgeps.gov.ph/GEPSNONPILOT/Tender/SplashBidNoticeAbstractUI.aspx?menuIndex=3&amp;refID=7049798&amp;Result=3","7049798")</f>
        <v>0</v>
      </c>
      <c r="B13632" t="s">
        <v>1730</v>
      </c>
      <c r="C13632" t="s">
        <v>16471</v>
      </c>
      <c r="D13632" t="s">
        <v>17423</v>
      </c>
      <c r="E13632" t="s">
        <v>29169</v>
      </c>
      <c r="F13632" t="s">
        <v>30052</v>
      </c>
      <c r="G13632" t="s">
        <v>30058</v>
      </c>
      <c r="H13632" t="s">
        <v>15498</v>
      </c>
      <c r="I13632" t="s">
        <v>30084</v>
      </c>
      <c r="J13632" t="s">
        <v>38455</v>
      </c>
      <c r="K13632" t="s">
        <v>39019</v>
      </c>
      <c r="M13632" t="s">
        <v>43044</v>
      </c>
      <c r="N13632" t="s">
        <v>43166</v>
      </c>
      <c r="O13632" t="s">
        <v>43167</v>
      </c>
      <c r="P13632">
        <v>0</v>
      </c>
      <c r="Q13632">
        <v>6</v>
      </c>
      <c r="R13632" t="s">
        <v>43187</v>
      </c>
      <c r="S13632" t="s">
        <v>44147</v>
      </c>
      <c r="T13632" t="s">
        <v>44965</v>
      </c>
      <c r="U13632" t="s">
        <v>56028</v>
      </c>
      <c r="V13632" t="s">
        <v>56838</v>
      </c>
      <c r="W13632" t="s">
        <v>43044</v>
      </c>
      <c r="X13632" t="s">
        <v>43188</v>
      </c>
    </row>
    <row r="13633" spans="1:24">
      <c r="A13633">
        <f>HYPERLINK("https://www.philgeps.gov.ph/GEPSNONPILOT/Tender/SplashBidNoticeAbstractUI.aspx?menuIndex=3&amp;refID=7049821&amp;Result=3","7049821")</f>
        <v>0</v>
      </c>
      <c r="B13633" t="s">
        <v>977</v>
      </c>
      <c r="C13633" t="s">
        <v>16472</v>
      </c>
      <c r="D13633" t="s">
        <v>17484</v>
      </c>
      <c r="E13633" t="s">
        <v>29170</v>
      </c>
      <c r="F13633" t="s">
        <v>30052</v>
      </c>
      <c r="G13633" t="s">
        <v>30058</v>
      </c>
      <c r="H13633" t="s">
        <v>15498</v>
      </c>
      <c r="I13633" t="s">
        <v>3852</v>
      </c>
      <c r="J13633" t="s">
        <v>30953</v>
      </c>
      <c r="K13633" t="s">
        <v>39029</v>
      </c>
      <c r="M13633" t="s">
        <v>40304</v>
      </c>
      <c r="N13633" t="s">
        <v>43166</v>
      </c>
      <c r="O13633" t="s">
        <v>43167</v>
      </c>
      <c r="P13633">
        <v>0</v>
      </c>
      <c r="Q13633">
        <v>6</v>
      </c>
      <c r="R13633" t="s">
        <v>43187</v>
      </c>
      <c r="S13633" t="s">
        <v>44147</v>
      </c>
      <c r="T13633" t="s">
        <v>44870</v>
      </c>
      <c r="U13633" t="s">
        <v>56029</v>
      </c>
      <c r="W13633" t="s">
        <v>40304</v>
      </c>
      <c r="X13633" t="s">
        <v>43188</v>
      </c>
    </row>
    <row r="13634" spans="1:24">
      <c r="A13634">
        <f>HYPERLINK("https://www.philgeps.gov.ph/GEPSNONPILOT/Tender/SplashBidNoticeAbstractUI.aspx?menuIndex=3&amp;refID=7049710&amp;Result=3","7049710")</f>
        <v>0</v>
      </c>
      <c r="B13634" t="s">
        <v>1169</v>
      </c>
      <c r="C13634" t="s">
        <v>16473</v>
      </c>
      <c r="D13634" t="s">
        <v>17458</v>
      </c>
      <c r="E13634" t="s">
        <v>29171</v>
      </c>
      <c r="F13634" t="s">
        <v>30052</v>
      </c>
      <c r="G13634" t="s">
        <v>30058</v>
      </c>
      <c r="H13634" t="s">
        <v>15498</v>
      </c>
      <c r="I13634" t="s">
        <v>30081</v>
      </c>
      <c r="J13634" t="s">
        <v>38456</v>
      </c>
      <c r="K13634" t="s">
        <v>39025</v>
      </c>
      <c r="M13634" t="s">
        <v>42765</v>
      </c>
      <c r="N13634" t="s">
        <v>43166</v>
      </c>
      <c r="O13634" t="s">
        <v>43167</v>
      </c>
      <c r="Q13634">
        <v>3</v>
      </c>
      <c r="R13634" t="s">
        <v>43187</v>
      </c>
      <c r="S13634" t="s">
        <v>44218</v>
      </c>
      <c r="T13634" t="s">
        <v>44689</v>
      </c>
      <c r="U13634" t="s">
        <v>56030</v>
      </c>
      <c r="W13634" t="s">
        <v>42765</v>
      </c>
      <c r="X13634" t="s">
        <v>43188</v>
      </c>
    </row>
    <row r="13635" spans="1:24">
      <c r="A13635">
        <f>HYPERLINK("https://www.philgeps.gov.ph/GEPSNONPILOT/Tender/SplashBidNoticeAbstractUI.aspx?menuIndex=3&amp;refID=7049707&amp;Result=3","7049707")</f>
        <v>0</v>
      </c>
      <c r="B13635" t="s">
        <v>2990</v>
      </c>
      <c r="C13635" t="s">
        <v>16474</v>
      </c>
      <c r="D13635" t="s">
        <v>17461</v>
      </c>
      <c r="E13635" t="s">
        <v>29172</v>
      </c>
      <c r="F13635" t="s">
        <v>30052</v>
      </c>
      <c r="G13635" t="s">
        <v>30058</v>
      </c>
      <c r="H13635" t="s">
        <v>15498</v>
      </c>
      <c r="I13635" t="s">
        <v>30124</v>
      </c>
      <c r="J13635" t="s">
        <v>30281</v>
      </c>
      <c r="K13635" t="s">
        <v>39046</v>
      </c>
      <c r="M13635" t="s">
        <v>42560</v>
      </c>
      <c r="N13635" t="s">
        <v>43166</v>
      </c>
      <c r="O13635" t="s">
        <v>43167</v>
      </c>
      <c r="Q13635">
        <v>12</v>
      </c>
      <c r="R13635" t="s">
        <v>43187</v>
      </c>
      <c r="S13635" t="s">
        <v>44219</v>
      </c>
      <c r="T13635" t="s">
        <v>44861</v>
      </c>
      <c r="U13635" t="s">
        <v>56031</v>
      </c>
      <c r="W13635" t="s">
        <v>42560</v>
      </c>
      <c r="X13635" t="s">
        <v>43188</v>
      </c>
    </row>
    <row r="13636" spans="1:24">
      <c r="A13636">
        <f>HYPERLINK("https://www.philgeps.gov.ph/GEPSNONPILOT/Tender/SplashBidNoticeAbstractUI.aspx?menuIndex=3&amp;refID=7049703&amp;Result=3","7049703")</f>
        <v>0</v>
      </c>
      <c r="B13636" t="s">
        <v>354</v>
      </c>
      <c r="C13636" t="s">
        <v>16475</v>
      </c>
      <c r="D13636" t="s">
        <v>17437</v>
      </c>
      <c r="E13636" t="s">
        <v>29173</v>
      </c>
      <c r="F13636" t="s">
        <v>30052</v>
      </c>
      <c r="G13636" t="s">
        <v>30058</v>
      </c>
      <c r="H13636" t="s">
        <v>15498</v>
      </c>
      <c r="I13636" t="s">
        <v>30084</v>
      </c>
      <c r="J13636" t="s">
        <v>38457</v>
      </c>
      <c r="K13636" t="s">
        <v>39031</v>
      </c>
      <c r="M13636" t="s">
        <v>43031</v>
      </c>
      <c r="N13636" t="s">
        <v>43166</v>
      </c>
      <c r="O13636" t="s">
        <v>43167</v>
      </c>
      <c r="P13636">
        <v>0</v>
      </c>
      <c r="Q13636">
        <v>11</v>
      </c>
      <c r="R13636" t="s">
        <v>43187</v>
      </c>
      <c r="S13636" t="s">
        <v>44147</v>
      </c>
      <c r="T13636" t="s">
        <v>44698</v>
      </c>
      <c r="U13636" t="s">
        <v>56032</v>
      </c>
      <c r="W13636" t="s">
        <v>43031</v>
      </c>
      <c r="X13636" t="s">
        <v>43188</v>
      </c>
    </row>
    <row r="13637" spans="1:24">
      <c r="A13637">
        <f>HYPERLINK("https://www.philgeps.gov.ph/GEPSNONPILOT/Tender/SplashBidNoticeAbstractUI.aspx?menuIndex=3&amp;refID=7032692&amp;Result=3","7032692")</f>
        <v>0</v>
      </c>
      <c r="B13637" t="s">
        <v>3196</v>
      </c>
      <c r="C13637" t="s">
        <v>16476</v>
      </c>
      <c r="D13637" t="s">
        <v>17429</v>
      </c>
      <c r="E13637" t="s">
        <v>18952</v>
      </c>
      <c r="F13637" t="s">
        <v>30052</v>
      </c>
      <c r="G13637" t="s">
        <v>30058</v>
      </c>
      <c r="H13637" t="s">
        <v>30067</v>
      </c>
      <c r="I13637" t="s">
        <v>3693</v>
      </c>
      <c r="J13637" t="s">
        <v>38458</v>
      </c>
      <c r="K13637" t="s">
        <v>39029</v>
      </c>
      <c r="M13637" t="s">
        <v>42810</v>
      </c>
      <c r="N13637" t="s">
        <v>43166</v>
      </c>
      <c r="O13637" t="s">
        <v>43167</v>
      </c>
      <c r="P13637">
        <v>0</v>
      </c>
      <c r="Q13637">
        <v>0</v>
      </c>
      <c r="R13637" t="s">
        <v>43188</v>
      </c>
      <c r="S13637" t="s">
        <v>44213</v>
      </c>
      <c r="T13637" t="s">
        <v>44773</v>
      </c>
      <c r="U13637" t="s">
        <v>54754</v>
      </c>
      <c r="W13637" t="s">
        <v>42810</v>
      </c>
      <c r="X13637" t="s">
        <v>43284</v>
      </c>
    </row>
    <row r="13638" spans="1:24">
      <c r="A13638">
        <f>HYPERLINK("https://www.philgeps.gov.ph/GEPSNONPILOT/Tender/SplashBidNoticeAbstractUI.aspx?menuIndex=3&amp;refID=7049799&amp;Result=3","7049799")</f>
        <v>0</v>
      </c>
      <c r="B13638" t="s">
        <v>354</v>
      </c>
      <c r="C13638" t="s">
        <v>16477</v>
      </c>
      <c r="D13638" t="s">
        <v>17437</v>
      </c>
      <c r="E13638" t="s">
        <v>29174</v>
      </c>
      <c r="F13638" t="s">
        <v>30052</v>
      </c>
      <c r="G13638" t="s">
        <v>30058</v>
      </c>
      <c r="H13638" t="s">
        <v>15498</v>
      </c>
      <c r="I13638" t="s">
        <v>30130</v>
      </c>
      <c r="J13638" t="s">
        <v>38459</v>
      </c>
      <c r="K13638" t="s">
        <v>39029</v>
      </c>
      <c r="M13638" t="s">
        <v>43031</v>
      </c>
      <c r="N13638" t="s">
        <v>43166</v>
      </c>
      <c r="O13638" t="s">
        <v>43167</v>
      </c>
      <c r="P13638">
        <v>0</v>
      </c>
      <c r="Q13638">
        <v>7</v>
      </c>
      <c r="R13638" t="s">
        <v>43187</v>
      </c>
      <c r="S13638" t="s">
        <v>44147</v>
      </c>
      <c r="T13638" t="s">
        <v>44698</v>
      </c>
      <c r="U13638" t="s">
        <v>56033</v>
      </c>
      <c r="W13638" t="s">
        <v>43031</v>
      </c>
      <c r="X13638" t="s">
        <v>43188</v>
      </c>
    </row>
    <row r="13639" spans="1:24">
      <c r="A13639">
        <f>HYPERLINK("https://www.philgeps.gov.ph/GEPSNONPILOT/Tender/SplashBidNoticeAbstractUI.aspx?menuIndex=3&amp;refID=7049517&amp;Result=3","7049517")</f>
        <v>0</v>
      </c>
      <c r="B13639" t="s">
        <v>3000</v>
      </c>
      <c r="C13639" t="s">
        <v>16478</v>
      </c>
      <c r="D13639" t="s">
        <v>17415</v>
      </c>
      <c r="E13639" t="s">
        <v>29175</v>
      </c>
      <c r="F13639" t="s">
        <v>30052</v>
      </c>
      <c r="G13639" t="s">
        <v>30058</v>
      </c>
      <c r="H13639" t="s">
        <v>15498</v>
      </c>
      <c r="I13639" t="s">
        <v>30096</v>
      </c>
      <c r="J13639" t="s">
        <v>38460</v>
      </c>
      <c r="K13639" t="s">
        <v>39029</v>
      </c>
      <c r="M13639" t="s">
        <v>42570</v>
      </c>
      <c r="N13639" t="s">
        <v>43166</v>
      </c>
      <c r="O13639" t="s">
        <v>43167</v>
      </c>
      <c r="Q13639">
        <v>18</v>
      </c>
      <c r="R13639" t="s">
        <v>43187</v>
      </c>
      <c r="S13639" t="s">
        <v>44040</v>
      </c>
      <c r="T13639" t="s">
        <v>44968</v>
      </c>
      <c r="U13639" t="s">
        <v>53721</v>
      </c>
      <c r="V13639" t="s">
        <v>58463</v>
      </c>
      <c r="W13639" t="s">
        <v>42570</v>
      </c>
      <c r="X13639" t="s">
        <v>43188</v>
      </c>
    </row>
    <row r="13640" spans="1:24">
      <c r="A13640">
        <f>HYPERLINK("https://www.philgeps.gov.ph/GEPSNONPILOT/Tender/SplashBidNoticeAbstractUI.aspx?menuIndex=3&amp;refID=7049802&amp;Result=3","7049802")</f>
        <v>0</v>
      </c>
      <c r="B13640" t="s">
        <v>2854</v>
      </c>
      <c r="C13640" t="s">
        <v>16479</v>
      </c>
      <c r="D13640" t="s">
        <v>17444</v>
      </c>
      <c r="E13640" t="s">
        <v>18583</v>
      </c>
      <c r="F13640" t="s">
        <v>30052</v>
      </c>
      <c r="G13640" t="s">
        <v>30058</v>
      </c>
      <c r="H13640" t="s">
        <v>15498</v>
      </c>
      <c r="I13640" t="s">
        <v>3852</v>
      </c>
      <c r="J13640" t="s">
        <v>38461</v>
      </c>
      <c r="K13640" t="s">
        <v>39034</v>
      </c>
      <c r="L13640" t="s">
        <v>2854</v>
      </c>
      <c r="M13640" t="s">
        <v>42401</v>
      </c>
      <c r="N13640" t="s">
        <v>43166</v>
      </c>
      <c r="O13640" t="s">
        <v>43167</v>
      </c>
      <c r="P13640">
        <v>0</v>
      </c>
      <c r="Q13640">
        <v>1</v>
      </c>
      <c r="R13640" t="s">
        <v>43187</v>
      </c>
      <c r="S13640" t="s">
        <v>44147</v>
      </c>
      <c r="T13640" t="s">
        <v>44882</v>
      </c>
      <c r="U13640" t="s">
        <v>56034</v>
      </c>
      <c r="V13640" t="s">
        <v>58464</v>
      </c>
      <c r="W13640" t="s">
        <v>42401</v>
      </c>
      <c r="X13640" t="s">
        <v>43188</v>
      </c>
    </row>
    <row r="13641" spans="1:24">
      <c r="A13641">
        <f>HYPERLINK("https://www.philgeps.gov.ph/GEPSNONPILOT/Tender/SplashBidNoticeAbstractUI.aspx?menuIndex=3&amp;refID=7049515&amp;Result=3","7049515")</f>
        <v>0</v>
      </c>
      <c r="B13641" t="s">
        <v>1377</v>
      </c>
      <c r="C13641" t="s">
        <v>16480</v>
      </c>
      <c r="E13641" t="s">
        <v>29176</v>
      </c>
      <c r="F13641" t="s">
        <v>30052</v>
      </c>
      <c r="G13641" t="s">
        <v>30058</v>
      </c>
      <c r="H13641" t="s">
        <v>15498</v>
      </c>
      <c r="I13641" t="s">
        <v>30096</v>
      </c>
      <c r="J13641" t="s">
        <v>33078</v>
      </c>
      <c r="K13641" t="s">
        <v>39023</v>
      </c>
      <c r="M13641" t="s">
        <v>43045</v>
      </c>
      <c r="N13641" t="s">
        <v>43166</v>
      </c>
      <c r="O13641" t="s">
        <v>43167</v>
      </c>
      <c r="P13641">
        <v>0</v>
      </c>
      <c r="Q13641">
        <v>12</v>
      </c>
      <c r="R13641" t="s">
        <v>43187</v>
      </c>
      <c r="S13641" t="s">
        <v>44147</v>
      </c>
      <c r="T13641" t="s">
        <v>44777</v>
      </c>
      <c r="U13641" t="s">
        <v>56035</v>
      </c>
      <c r="W13641" t="s">
        <v>43045</v>
      </c>
      <c r="X13641" t="s">
        <v>43188</v>
      </c>
    </row>
    <row r="13642" spans="1:24">
      <c r="A13642">
        <f>HYPERLINK("https://www.philgeps.gov.ph/GEPSNONPILOT/Tender/SplashBidNoticeAbstractUI.aspx?menuIndex=3&amp;refID=7049514&amp;Result=3","7049514")</f>
        <v>0</v>
      </c>
      <c r="B13642" t="s">
        <v>2550</v>
      </c>
      <c r="C13642" t="s">
        <v>16481</v>
      </c>
      <c r="D13642" t="s">
        <v>17445</v>
      </c>
      <c r="E13642" t="s">
        <v>29177</v>
      </c>
      <c r="F13642" t="s">
        <v>30052</v>
      </c>
      <c r="G13642" t="s">
        <v>30058</v>
      </c>
      <c r="H13642" t="s">
        <v>15498</v>
      </c>
      <c r="I13642" t="s">
        <v>30135</v>
      </c>
      <c r="J13642" t="s">
        <v>38462</v>
      </c>
      <c r="K13642" t="s">
        <v>39031</v>
      </c>
      <c r="M13642" t="s">
        <v>42057</v>
      </c>
      <c r="N13642" t="s">
        <v>43166</v>
      </c>
      <c r="O13642" t="s">
        <v>43167</v>
      </c>
      <c r="P13642">
        <v>0</v>
      </c>
      <c r="Q13642">
        <v>7</v>
      </c>
      <c r="R13642" t="s">
        <v>43187</v>
      </c>
      <c r="S13642" t="s">
        <v>44147</v>
      </c>
      <c r="T13642" t="s">
        <v>44822</v>
      </c>
      <c r="U13642" t="s">
        <v>56036</v>
      </c>
      <c r="W13642" t="s">
        <v>42057</v>
      </c>
      <c r="X13642" t="s">
        <v>43188</v>
      </c>
    </row>
    <row r="13643" spans="1:24">
      <c r="A13643">
        <f>HYPERLINK("https://www.philgeps.gov.ph/GEPSNONPILOT/Tender/SplashBidNoticeAbstractUI.aspx?menuIndex=3&amp;refID=7049557&amp;Result=3","7049557")</f>
        <v>0</v>
      </c>
      <c r="B13643" t="s">
        <v>3000</v>
      </c>
      <c r="C13643" t="s">
        <v>16482</v>
      </c>
      <c r="D13643" t="s">
        <v>17415</v>
      </c>
      <c r="E13643" t="s">
        <v>29178</v>
      </c>
      <c r="F13643" t="s">
        <v>30052</v>
      </c>
      <c r="G13643" t="s">
        <v>30058</v>
      </c>
      <c r="H13643" t="s">
        <v>15498</v>
      </c>
      <c r="I13643" t="s">
        <v>30096</v>
      </c>
      <c r="J13643" t="s">
        <v>38094</v>
      </c>
      <c r="K13643" t="s">
        <v>39029</v>
      </c>
      <c r="M13643" t="s">
        <v>42570</v>
      </c>
      <c r="N13643" t="s">
        <v>43166</v>
      </c>
      <c r="O13643" t="s">
        <v>43167</v>
      </c>
      <c r="Q13643">
        <v>11</v>
      </c>
      <c r="R13643" t="s">
        <v>43187</v>
      </c>
      <c r="S13643" t="s">
        <v>44220</v>
      </c>
      <c r="T13643" t="s">
        <v>44968</v>
      </c>
      <c r="U13643" t="s">
        <v>53721</v>
      </c>
      <c r="V13643" t="s">
        <v>58463</v>
      </c>
      <c r="W13643" t="s">
        <v>42570</v>
      </c>
      <c r="X13643" t="s">
        <v>43188</v>
      </c>
    </row>
    <row r="13644" spans="1:24">
      <c r="A13644">
        <f>HYPERLINK("https://www.philgeps.gov.ph/GEPSNONPILOT/Tender/SplashBidNoticeAbstractUI.aspx?menuIndex=3&amp;refID=7049281&amp;Result=3","7049281")</f>
        <v>0</v>
      </c>
      <c r="B13644" t="s">
        <v>2550</v>
      </c>
      <c r="C13644" t="s">
        <v>16483</v>
      </c>
      <c r="D13644" t="s">
        <v>17445</v>
      </c>
      <c r="E13644" t="s">
        <v>29179</v>
      </c>
      <c r="F13644" t="s">
        <v>30052</v>
      </c>
      <c r="G13644" t="s">
        <v>30058</v>
      </c>
      <c r="H13644" t="s">
        <v>15498</v>
      </c>
      <c r="I13644" t="s">
        <v>30135</v>
      </c>
      <c r="J13644" t="s">
        <v>38463</v>
      </c>
      <c r="K13644" t="s">
        <v>39031</v>
      </c>
      <c r="M13644" t="s">
        <v>42057</v>
      </c>
      <c r="N13644" t="s">
        <v>43166</v>
      </c>
      <c r="O13644" t="s">
        <v>43167</v>
      </c>
      <c r="P13644">
        <v>0</v>
      </c>
      <c r="Q13644">
        <v>5</v>
      </c>
      <c r="R13644" t="s">
        <v>43187</v>
      </c>
      <c r="S13644" t="s">
        <v>44147</v>
      </c>
      <c r="T13644" t="s">
        <v>44822</v>
      </c>
      <c r="U13644" t="s">
        <v>56037</v>
      </c>
      <c r="W13644" t="s">
        <v>42057</v>
      </c>
      <c r="X13644" t="s">
        <v>43188</v>
      </c>
    </row>
    <row r="13645" spans="1:24">
      <c r="A13645">
        <f>HYPERLINK("https://www.philgeps.gov.ph/GEPSNONPILOT/Tender/SplashBidNoticeAbstractUI.aspx?menuIndex=3&amp;refID=7049503&amp;Result=3","7049503")</f>
        <v>0</v>
      </c>
      <c r="B13645" t="s">
        <v>2842</v>
      </c>
      <c r="C13645" t="s">
        <v>16484</v>
      </c>
      <c r="D13645" t="s">
        <v>17421</v>
      </c>
      <c r="E13645" t="s">
        <v>29180</v>
      </c>
      <c r="F13645" t="s">
        <v>30052</v>
      </c>
      <c r="G13645" t="s">
        <v>30058</v>
      </c>
      <c r="H13645" t="s">
        <v>15498</v>
      </c>
      <c r="I13645" t="s">
        <v>9238</v>
      </c>
      <c r="J13645" t="s">
        <v>38464</v>
      </c>
      <c r="K13645" t="s">
        <v>39023</v>
      </c>
      <c r="M13645" t="s">
        <v>42388</v>
      </c>
      <c r="N13645" t="s">
        <v>43166</v>
      </c>
      <c r="O13645" t="s">
        <v>43167</v>
      </c>
      <c r="Q13645">
        <v>6</v>
      </c>
      <c r="R13645" t="s">
        <v>43187</v>
      </c>
      <c r="S13645" t="s">
        <v>44221</v>
      </c>
      <c r="T13645" t="s">
        <v>45183</v>
      </c>
      <c r="U13645" t="s">
        <v>56038</v>
      </c>
      <c r="V13645" t="s">
        <v>58465</v>
      </c>
      <c r="W13645" t="s">
        <v>42388</v>
      </c>
      <c r="X13645" t="s">
        <v>43188</v>
      </c>
    </row>
    <row r="13646" spans="1:24">
      <c r="A13646">
        <f>HYPERLINK("https://www.philgeps.gov.ph/GEPSNONPILOT/Tender/SplashBidNoticeAbstractUI.aspx?menuIndex=3&amp;refID=7049279&amp;Result=3","7049279")</f>
        <v>0</v>
      </c>
      <c r="B13646" t="s">
        <v>729</v>
      </c>
      <c r="C13646" t="s">
        <v>5057</v>
      </c>
      <c r="D13646" t="s">
        <v>17471</v>
      </c>
      <c r="E13646" t="s">
        <v>29181</v>
      </c>
      <c r="F13646" t="s">
        <v>30052</v>
      </c>
      <c r="G13646" t="s">
        <v>30058</v>
      </c>
      <c r="H13646" t="s">
        <v>15498</v>
      </c>
      <c r="I13646" t="s">
        <v>30073</v>
      </c>
      <c r="J13646" t="s">
        <v>30247</v>
      </c>
      <c r="K13646" t="s">
        <v>39057</v>
      </c>
      <c r="M13646" t="s">
        <v>40040</v>
      </c>
      <c r="N13646" t="s">
        <v>43166</v>
      </c>
      <c r="O13646" t="s">
        <v>43167</v>
      </c>
      <c r="P13646">
        <v>0</v>
      </c>
      <c r="Q13646">
        <v>0</v>
      </c>
      <c r="R13646" t="s">
        <v>43187</v>
      </c>
      <c r="S13646" t="s">
        <v>44147</v>
      </c>
      <c r="T13646" t="s">
        <v>44773</v>
      </c>
      <c r="U13646" t="s">
        <v>46596</v>
      </c>
      <c r="W13646" t="s">
        <v>40040</v>
      </c>
      <c r="X13646" t="s">
        <v>43188</v>
      </c>
    </row>
    <row r="13647" spans="1:24">
      <c r="A13647">
        <f>HYPERLINK("https://www.philgeps.gov.ph/GEPSNONPILOT/Tender/SplashBidNoticeAbstractUI.aspx?menuIndex=3&amp;refID=7049264&amp;Result=3","7049264")</f>
        <v>0</v>
      </c>
      <c r="B13647" t="s">
        <v>2550</v>
      </c>
      <c r="C13647" t="s">
        <v>16485</v>
      </c>
      <c r="D13647" t="s">
        <v>17445</v>
      </c>
      <c r="E13647" t="s">
        <v>29182</v>
      </c>
      <c r="F13647" t="s">
        <v>30052</v>
      </c>
      <c r="G13647" t="s">
        <v>30058</v>
      </c>
      <c r="H13647" t="s">
        <v>15498</v>
      </c>
      <c r="I13647" t="s">
        <v>30135</v>
      </c>
      <c r="J13647" t="s">
        <v>38465</v>
      </c>
      <c r="K13647" t="s">
        <v>39031</v>
      </c>
      <c r="M13647" t="s">
        <v>42120</v>
      </c>
      <c r="N13647" t="s">
        <v>43166</v>
      </c>
      <c r="O13647" t="s">
        <v>43167</v>
      </c>
      <c r="P13647">
        <v>0</v>
      </c>
      <c r="Q13647">
        <v>8</v>
      </c>
      <c r="R13647" t="s">
        <v>43187</v>
      </c>
      <c r="S13647" t="s">
        <v>44147</v>
      </c>
      <c r="T13647" t="s">
        <v>44822</v>
      </c>
      <c r="U13647" t="s">
        <v>55947</v>
      </c>
      <c r="W13647" t="s">
        <v>42120</v>
      </c>
      <c r="X13647" t="s">
        <v>43188</v>
      </c>
    </row>
    <row r="13648" spans="1:24">
      <c r="A13648">
        <f>HYPERLINK("https://www.philgeps.gov.ph/GEPSNONPILOT/Tender/SplashBidNoticeAbstractUI.aspx?menuIndex=3&amp;refID=7049102&amp;Result=3","7049102")</f>
        <v>0</v>
      </c>
      <c r="B13648" t="s">
        <v>1607</v>
      </c>
      <c r="C13648" t="s">
        <v>16486</v>
      </c>
      <c r="E13648" t="s">
        <v>29183</v>
      </c>
      <c r="F13648" t="s">
        <v>30052</v>
      </c>
      <c r="G13648" t="s">
        <v>30058</v>
      </c>
      <c r="H13648" t="s">
        <v>15498</v>
      </c>
      <c r="I13648" t="s">
        <v>30130</v>
      </c>
      <c r="J13648" t="s">
        <v>30557</v>
      </c>
      <c r="K13648" t="s">
        <v>39025</v>
      </c>
      <c r="M13648" t="s">
        <v>43046</v>
      </c>
      <c r="N13648" t="s">
        <v>43166</v>
      </c>
      <c r="O13648" t="s">
        <v>43167</v>
      </c>
      <c r="Q13648">
        <v>20</v>
      </c>
      <c r="R13648" t="s">
        <v>43187</v>
      </c>
      <c r="S13648" t="s">
        <v>44222</v>
      </c>
      <c r="T13648" t="s">
        <v>44804</v>
      </c>
      <c r="U13648" t="s">
        <v>55965</v>
      </c>
      <c r="W13648" t="s">
        <v>43046</v>
      </c>
      <c r="X13648" t="s">
        <v>43188</v>
      </c>
    </row>
    <row r="13649" spans="1:24">
      <c r="A13649">
        <f>HYPERLINK("https://www.philgeps.gov.ph/GEPSNONPILOT/Tender/SplashBidNoticeAbstractUI.aspx?menuIndex=3&amp;refID=7049568&amp;Result=3","7049568")</f>
        <v>0</v>
      </c>
      <c r="B13649" t="s">
        <v>1606</v>
      </c>
      <c r="C13649" t="s">
        <v>16487</v>
      </c>
      <c r="D13649" t="s">
        <v>17477</v>
      </c>
      <c r="E13649" t="s">
        <v>29184</v>
      </c>
      <c r="F13649" t="s">
        <v>30052</v>
      </c>
      <c r="G13649" t="s">
        <v>30058</v>
      </c>
      <c r="H13649" t="s">
        <v>30067</v>
      </c>
      <c r="I13649" t="s">
        <v>3693</v>
      </c>
      <c r="J13649" t="s">
        <v>38466</v>
      </c>
      <c r="K13649" t="s">
        <v>39033</v>
      </c>
      <c r="M13649" t="s">
        <v>41005</v>
      </c>
      <c r="N13649" t="s">
        <v>43166</v>
      </c>
      <c r="O13649" t="s">
        <v>43167</v>
      </c>
      <c r="P13649">
        <v>0</v>
      </c>
      <c r="Q13649">
        <v>5</v>
      </c>
      <c r="R13649" t="s">
        <v>43187</v>
      </c>
      <c r="S13649" t="s">
        <v>44147</v>
      </c>
      <c r="T13649" t="s">
        <v>44717</v>
      </c>
      <c r="U13649" t="s">
        <v>56039</v>
      </c>
      <c r="V13649" t="s">
        <v>58466</v>
      </c>
      <c r="W13649" t="s">
        <v>41005</v>
      </c>
      <c r="X13649" t="s">
        <v>43188</v>
      </c>
    </row>
    <row r="13650" spans="1:24">
      <c r="A13650">
        <f>HYPERLINK("https://www.philgeps.gov.ph/GEPSNONPILOT/Tender/SplashBidNoticeAbstractUI.aspx?menuIndex=3&amp;refID=7049536&amp;Result=3","7049536")</f>
        <v>0</v>
      </c>
      <c r="B13650" t="s">
        <v>3000</v>
      </c>
      <c r="C13650" t="s">
        <v>16488</v>
      </c>
      <c r="D13650" t="s">
        <v>17415</v>
      </c>
      <c r="E13650" t="s">
        <v>29185</v>
      </c>
      <c r="F13650" t="s">
        <v>30052</v>
      </c>
      <c r="G13650" t="s">
        <v>30058</v>
      </c>
      <c r="H13650" t="s">
        <v>15498</v>
      </c>
      <c r="I13650" t="s">
        <v>30137</v>
      </c>
      <c r="J13650" t="s">
        <v>38467</v>
      </c>
      <c r="K13650" t="s">
        <v>39019</v>
      </c>
      <c r="M13650" t="s">
        <v>42570</v>
      </c>
      <c r="N13650" t="s">
        <v>43166</v>
      </c>
      <c r="O13650" t="s">
        <v>43167</v>
      </c>
      <c r="Q13650">
        <v>4</v>
      </c>
      <c r="R13650" t="s">
        <v>43187</v>
      </c>
      <c r="S13650" t="s">
        <v>44223</v>
      </c>
      <c r="T13650" t="s">
        <v>44968</v>
      </c>
      <c r="U13650" t="s">
        <v>53721</v>
      </c>
      <c r="V13650" t="s">
        <v>58463</v>
      </c>
      <c r="W13650" t="s">
        <v>42570</v>
      </c>
      <c r="X13650" t="s">
        <v>43188</v>
      </c>
    </row>
    <row r="13651" spans="1:24">
      <c r="A13651">
        <f>HYPERLINK("https://www.philgeps.gov.ph/GEPSNONPILOT/Tender/SplashBidNoticeAbstractUI.aspx?menuIndex=3&amp;refID=7049099&amp;Result=3","7049099")</f>
        <v>0</v>
      </c>
      <c r="B13651" t="s">
        <v>2550</v>
      </c>
      <c r="C13651" t="s">
        <v>16489</v>
      </c>
      <c r="D13651" t="s">
        <v>17445</v>
      </c>
      <c r="E13651" t="s">
        <v>29186</v>
      </c>
      <c r="F13651" t="s">
        <v>30052</v>
      </c>
      <c r="G13651" t="s">
        <v>30058</v>
      </c>
      <c r="H13651" t="s">
        <v>15498</v>
      </c>
      <c r="I13651" t="s">
        <v>30135</v>
      </c>
      <c r="J13651" t="s">
        <v>38468</v>
      </c>
      <c r="K13651" t="s">
        <v>39031</v>
      </c>
      <c r="M13651" t="s">
        <v>42057</v>
      </c>
      <c r="N13651" t="s">
        <v>43166</v>
      </c>
      <c r="O13651" t="s">
        <v>43167</v>
      </c>
      <c r="P13651">
        <v>0</v>
      </c>
      <c r="Q13651">
        <v>4</v>
      </c>
      <c r="R13651" t="s">
        <v>43187</v>
      </c>
      <c r="S13651" t="s">
        <v>44147</v>
      </c>
      <c r="T13651" t="s">
        <v>44822</v>
      </c>
      <c r="U13651" t="s">
        <v>56040</v>
      </c>
      <c r="W13651" t="s">
        <v>42057</v>
      </c>
      <c r="X13651" t="s">
        <v>43188</v>
      </c>
    </row>
    <row r="13652" spans="1:24">
      <c r="A13652">
        <f>HYPERLINK("https://www.philgeps.gov.ph/GEPSNONPILOT/Tender/SplashBidNoticeAbstractUI.aspx?menuIndex=3&amp;refID=7042896&amp;Result=3","7042896")</f>
        <v>0</v>
      </c>
      <c r="B13652" t="s">
        <v>2410</v>
      </c>
      <c r="C13652" t="s">
        <v>16490</v>
      </c>
      <c r="D13652" t="s">
        <v>17470</v>
      </c>
      <c r="E13652" t="s">
        <v>29187</v>
      </c>
      <c r="F13652" t="s">
        <v>30052</v>
      </c>
      <c r="G13652" t="s">
        <v>30058</v>
      </c>
      <c r="H13652" t="s">
        <v>15498</v>
      </c>
      <c r="I13652" t="s">
        <v>30081</v>
      </c>
      <c r="J13652" t="s">
        <v>31853</v>
      </c>
      <c r="K13652" t="s">
        <v>39029</v>
      </c>
      <c r="M13652" t="s">
        <v>41907</v>
      </c>
      <c r="N13652" t="s">
        <v>43166</v>
      </c>
      <c r="O13652" t="s">
        <v>43167</v>
      </c>
      <c r="P13652">
        <v>0</v>
      </c>
      <c r="Q13652">
        <v>0</v>
      </c>
      <c r="R13652" t="s">
        <v>43188</v>
      </c>
      <c r="S13652" t="s">
        <v>44213</v>
      </c>
      <c r="T13652" t="s">
        <v>44717</v>
      </c>
      <c r="U13652" t="s">
        <v>56041</v>
      </c>
      <c r="W13652" t="s">
        <v>41907</v>
      </c>
      <c r="X13652" t="s">
        <v>43192</v>
      </c>
    </row>
    <row r="13653" spans="1:24">
      <c r="A13653">
        <f>HYPERLINK("https://www.philgeps.gov.ph/GEPSNONPILOT/Tender/SplashBidNoticeAbstractUI.aspx?menuIndex=3&amp;refID=7039688&amp;Result=3","7039688")</f>
        <v>0</v>
      </c>
      <c r="B13653" t="s">
        <v>2410</v>
      </c>
      <c r="C13653" t="s">
        <v>16491</v>
      </c>
      <c r="D13653" t="s">
        <v>17470</v>
      </c>
      <c r="E13653" t="s">
        <v>29188</v>
      </c>
      <c r="F13653" t="s">
        <v>30052</v>
      </c>
      <c r="G13653" t="s">
        <v>30058</v>
      </c>
      <c r="H13653" t="s">
        <v>30067</v>
      </c>
      <c r="I13653" t="s">
        <v>3693</v>
      </c>
      <c r="J13653" t="s">
        <v>38469</v>
      </c>
      <c r="K13653" t="s">
        <v>39065</v>
      </c>
      <c r="M13653" t="s">
        <v>41907</v>
      </c>
      <c r="N13653" t="s">
        <v>43166</v>
      </c>
      <c r="O13653" t="s">
        <v>43167</v>
      </c>
      <c r="P13653">
        <v>0</v>
      </c>
      <c r="Q13653">
        <v>1</v>
      </c>
      <c r="R13653" t="s">
        <v>43188</v>
      </c>
      <c r="S13653" t="s">
        <v>44213</v>
      </c>
      <c r="T13653" t="s">
        <v>44717</v>
      </c>
      <c r="U13653" t="s">
        <v>56042</v>
      </c>
      <c r="W13653" t="s">
        <v>41907</v>
      </c>
      <c r="X13653" t="s">
        <v>43193</v>
      </c>
    </row>
    <row r="13654" spans="1:24">
      <c r="A13654">
        <f>HYPERLINK("https://www.philgeps.gov.ph/GEPSNONPILOT/Tender/SplashBidNoticeAbstractUI.aspx?menuIndex=3&amp;refID=7042975&amp;Result=3","7042975")</f>
        <v>0</v>
      </c>
      <c r="B13654" t="s">
        <v>2410</v>
      </c>
      <c r="C13654" t="s">
        <v>16492</v>
      </c>
      <c r="D13654" t="s">
        <v>17470</v>
      </c>
      <c r="E13654" t="s">
        <v>29189</v>
      </c>
      <c r="F13654" t="s">
        <v>30052</v>
      </c>
      <c r="G13654" t="s">
        <v>30058</v>
      </c>
      <c r="H13654" t="s">
        <v>15498</v>
      </c>
      <c r="I13654" t="s">
        <v>30094</v>
      </c>
      <c r="J13654" t="s">
        <v>33546</v>
      </c>
      <c r="K13654" t="s">
        <v>39029</v>
      </c>
      <c r="M13654" t="s">
        <v>41907</v>
      </c>
      <c r="N13654" t="s">
        <v>43166</v>
      </c>
      <c r="O13654" t="s">
        <v>43167</v>
      </c>
      <c r="P13654">
        <v>0</v>
      </c>
      <c r="Q13654">
        <v>0</v>
      </c>
      <c r="R13654" t="s">
        <v>43188</v>
      </c>
      <c r="S13654" t="s">
        <v>44213</v>
      </c>
      <c r="T13654" t="s">
        <v>44717</v>
      </c>
      <c r="U13654" t="s">
        <v>56043</v>
      </c>
      <c r="W13654" t="s">
        <v>41907</v>
      </c>
      <c r="X13654" t="s">
        <v>43192</v>
      </c>
    </row>
    <row r="13655" spans="1:24">
      <c r="A13655">
        <f>HYPERLINK("https://www.philgeps.gov.ph/GEPSNONPILOT/Tender/SplashBidNoticeAbstractUI.aspx?menuIndex=3&amp;refID=7041010&amp;Result=3","7041010")</f>
        <v>0</v>
      </c>
      <c r="B13655" t="s">
        <v>1360</v>
      </c>
      <c r="C13655" t="s">
        <v>16493</v>
      </c>
      <c r="D13655" t="s">
        <v>17471</v>
      </c>
      <c r="E13655" t="s">
        <v>29190</v>
      </c>
      <c r="F13655" t="s">
        <v>30052</v>
      </c>
      <c r="G13655" t="s">
        <v>30058</v>
      </c>
      <c r="H13655" t="s">
        <v>30068</v>
      </c>
      <c r="I13655" t="s">
        <v>30068</v>
      </c>
      <c r="J13655" t="s">
        <v>38470</v>
      </c>
      <c r="K13655" t="s">
        <v>39076</v>
      </c>
      <c r="M13655" t="s">
        <v>40729</v>
      </c>
      <c r="N13655" t="s">
        <v>43166</v>
      </c>
      <c r="O13655" t="s">
        <v>43167</v>
      </c>
      <c r="P13655">
        <v>0</v>
      </c>
      <c r="Q13655">
        <v>4</v>
      </c>
      <c r="R13655" t="s">
        <v>43188</v>
      </c>
      <c r="S13655" t="s">
        <v>44213</v>
      </c>
      <c r="T13655" t="s">
        <v>44681</v>
      </c>
      <c r="U13655" t="s">
        <v>56044</v>
      </c>
      <c r="W13655" t="s">
        <v>40729</v>
      </c>
      <c r="X13655" t="s">
        <v>43192</v>
      </c>
    </row>
    <row r="13656" spans="1:24">
      <c r="A13656">
        <f>HYPERLINK("https://www.philgeps.gov.ph/GEPSNONPILOT/Tender/SplashBidNoticeAbstractUI.aspx?menuIndex=3&amp;refID=7042246&amp;Result=3","7042246")</f>
        <v>0</v>
      </c>
      <c r="B13656" t="s">
        <v>3076</v>
      </c>
      <c r="C13656" t="s">
        <v>16494</v>
      </c>
      <c r="D13656" t="s">
        <v>17468</v>
      </c>
      <c r="E13656" t="s">
        <v>29191</v>
      </c>
      <c r="F13656" t="s">
        <v>30052</v>
      </c>
      <c r="G13656" t="s">
        <v>30058</v>
      </c>
      <c r="H13656" t="s">
        <v>30067</v>
      </c>
      <c r="I13656" t="s">
        <v>3693</v>
      </c>
      <c r="J13656" t="s">
        <v>38471</v>
      </c>
      <c r="K13656" t="s">
        <v>39080</v>
      </c>
      <c r="L13656" t="s">
        <v>3076</v>
      </c>
      <c r="M13656" t="s">
        <v>42659</v>
      </c>
      <c r="N13656" t="s">
        <v>43166</v>
      </c>
      <c r="O13656" t="s">
        <v>43167</v>
      </c>
      <c r="P13656">
        <v>0</v>
      </c>
      <c r="Q13656">
        <v>3</v>
      </c>
      <c r="R13656" t="s">
        <v>43188</v>
      </c>
      <c r="S13656" t="s">
        <v>44213</v>
      </c>
      <c r="T13656" t="s">
        <v>44685</v>
      </c>
      <c r="U13656" t="s">
        <v>56045</v>
      </c>
      <c r="V13656" t="s">
        <v>58081</v>
      </c>
      <c r="W13656" t="s">
        <v>42659</v>
      </c>
      <c r="X13656" t="s">
        <v>43192</v>
      </c>
    </row>
    <row r="13657" spans="1:24">
      <c r="A13657">
        <f>HYPERLINK("https://www.philgeps.gov.ph/GEPSNONPILOT/Tender/SplashBidNoticeAbstractUI.aspx?menuIndex=3&amp;refID=7039567&amp;Result=3","7039567")</f>
        <v>0</v>
      </c>
      <c r="B13657" t="s">
        <v>2410</v>
      </c>
      <c r="C13657" t="s">
        <v>16495</v>
      </c>
      <c r="D13657" t="s">
        <v>17470</v>
      </c>
      <c r="E13657" t="s">
        <v>29192</v>
      </c>
      <c r="F13657" t="s">
        <v>30052</v>
      </c>
      <c r="G13657" t="s">
        <v>30058</v>
      </c>
      <c r="H13657" t="s">
        <v>30067</v>
      </c>
      <c r="I13657" t="s">
        <v>3693</v>
      </c>
      <c r="J13657" t="s">
        <v>38472</v>
      </c>
      <c r="K13657" t="s">
        <v>39016</v>
      </c>
      <c r="M13657" t="s">
        <v>41907</v>
      </c>
      <c r="N13657" t="s">
        <v>43166</v>
      </c>
      <c r="O13657" t="s">
        <v>43167</v>
      </c>
      <c r="P13657">
        <v>0</v>
      </c>
      <c r="Q13657">
        <v>1</v>
      </c>
      <c r="R13657" t="s">
        <v>43188</v>
      </c>
      <c r="S13657" t="s">
        <v>44213</v>
      </c>
      <c r="T13657" t="s">
        <v>44717</v>
      </c>
      <c r="U13657" t="s">
        <v>56046</v>
      </c>
      <c r="W13657" t="s">
        <v>41907</v>
      </c>
      <c r="X13657" t="s">
        <v>43193</v>
      </c>
    </row>
    <row r="13658" spans="1:24">
      <c r="A13658">
        <f>HYPERLINK("https://www.philgeps.gov.ph/GEPSNONPILOT/Tender/SplashBidNoticeAbstractUI.aspx?menuIndex=3&amp;refID=7049809&amp;Result=3","7049809")</f>
        <v>0</v>
      </c>
      <c r="B13658" t="s">
        <v>354</v>
      </c>
      <c r="C13658" t="s">
        <v>16496</v>
      </c>
      <c r="D13658" t="s">
        <v>17437</v>
      </c>
      <c r="E13658" t="s">
        <v>29193</v>
      </c>
      <c r="F13658" t="s">
        <v>30052</v>
      </c>
      <c r="G13658" t="s">
        <v>30058</v>
      </c>
      <c r="H13658" t="s">
        <v>15498</v>
      </c>
      <c r="I13658" t="s">
        <v>30070</v>
      </c>
      <c r="J13658" t="s">
        <v>38473</v>
      </c>
      <c r="K13658" t="s">
        <v>39034</v>
      </c>
      <c r="M13658" t="s">
        <v>43031</v>
      </c>
      <c r="N13658" t="s">
        <v>43166</v>
      </c>
      <c r="O13658" t="s">
        <v>43167</v>
      </c>
      <c r="P13658">
        <v>0</v>
      </c>
      <c r="Q13658">
        <v>2</v>
      </c>
      <c r="R13658" t="s">
        <v>43187</v>
      </c>
      <c r="S13658" t="s">
        <v>44147</v>
      </c>
      <c r="T13658" t="s">
        <v>44698</v>
      </c>
      <c r="U13658" t="s">
        <v>56047</v>
      </c>
      <c r="W13658" t="s">
        <v>43031</v>
      </c>
      <c r="X13658" t="s">
        <v>43188</v>
      </c>
    </row>
    <row r="13659" spans="1:24">
      <c r="A13659">
        <f>HYPERLINK("https://www.philgeps.gov.ph/GEPSNONPILOT/Tender/SplashBidNoticeAbstractUI.aspx?menuIndex=3&amp;refID=7039492&amp;Result=3","7039492")</f>
        <v>0</v>
      </c>
      <c r="B13659" t="s">
        <v>2410</v>
      </c>
      <c r="C13659" t="s">
        <v>16497</v>
      </c>
      <c r="D13659" t="s">
        <v>17470</v>
      </c>
      <c r="E13659" t="s">
        <v>29194</v>
      </c>
      <c r="F13659" t="s">
        <v>30052</v>
      </c>
      <c r="G13659" t="s">
        <v>30058</v>
      </c>
      <c r="H13659" t="s">
        <v>30067</v>
      </c>
      <c r="I13659" t="s">
        <v>3693</v>
      </c>
      <c r="J13659" t="s">
        <v>38474</v>
      </c>
      <c r="K13659" t="s">
        <v>39057</v>
      </c>
      <c r="M13659" t="s">
        <v>41907</v>
      </c>
      <c r="N13659" t="s">
        <v>43166</v>
      </c>
      <c r="O13659" t="s">
        <v>43167</v>
      </c>
      <c r="P13659">
        <v>0</v>
      </c>
      <c r="Q13659">
        <v>1</v>
      </c>
      <c r="R13659" t="s">
        <v>43188</v>
      </c>
      <c r="S13659" t="s">
        <v>44213</v>
      </c>
      <c r="T13659" t="s">
        <v>44717</v>
      </c>
      <c r="U13659" t="s">
        <v>56048</v>
      </c>
      <c r="W13659" t="s">
        <v>41907</v>
      </c>
      <c r="X13659" t="s">
        <v>43193</v>
      </c>
    </row>
    <row r="13660" spans="1:24">
      <c r="A13660">
        <f>HYPERLINK("https://www.philgeps.gov.ph/GEPSNONPILOT/Tender/SplashBidNoticeAbstractUI.aspx?menuIndex=3&amp;refID=7049231&amp;Result=3","7049231")</f>
        <v>0</v>
      </c>
      <c r="B13660" t="s">
        <v>678</v>
      </c>
      <c r="C13660" t="s">
        <v>16498</v>
      </c>
      <c r="D13660" t="s">
        <v>17432</v>
      </c>
      <c r="E13660" t="s">
        <v>29195</v>
      </c>
      <c r="F13660" t="s">
        <v>30052</v>
      </c>
      <c r="G13660" t="s">
        <v>30058</v>
      </c>
      <c r="H13660" t="s">
        <v>30067</v>
      </c>
      <c r="I13660" t="s">
        <v>3693</v>
      </c>
      <c r="J13660" t="s">
        <v>31772</v>
      </c>
      <c r="K13660" t="s">
        <v>39079</v>
      </c>
      <c r="M13660" t="s">
        <v>39984</v>
      </c>
      <c r="N13660" t="s">
        <v>43166</v>
      </c>
      <c r="O13660" t="s">
        <v>43167</v>
      </c>
      <c r="Q13660">
        <v>3</v>
      </c>
      <c r="R13660" t="s">
        <v>43187</v>
      </c>
      <c r="S13660" t="s">
        <v>44224</v>
      </c>
      <c r="T13660" t="s">
        <v>44717</v>
      </c>
      <c r="U13660" t="s">
        <v>55961</v>
      </c>
      <c r="W13660" t="s">
        <v>39984</v>
      </c>
      <c r="X13660" t="s">
        <v>43188</v>
      </c>
    </row>
    <row r="13661" spans="1:24">
      <c r="A13661">
        <f>HYPERLINK("https://www.philgeps.gov.ph/GEPSNONPILOT/Tender/SplashBidNoticeAbstractUI.aspx?menuIndex=3&amp;refID=7039457&amp;Result=3","7039457")</f>
        <v>0</v>
      </c>
      <c r="B13661" t="s">
        <v>2410</v>
      </c>
      <c r="C13661" t="s">
        <v>16499</v>
      </c>
      <c r="D13661" t="s">
        <v>17470</v>
      </c>
      <c r="E13661" t="s">
        <v>29196</v>
      </c>
      <c r="F13661" t="s">
        <v>30052</v>
      </c>
      <c r="G13661" t="s">
        <v>30058</v>
      </c>
      <c r="H13661" t="s">
        <v>30067</v>
      </c>
      <c r="I13661" t="s">
        <v>3693</v>
      </c>
      <c r="J13661" t="s">
        <v>38475</v>
      </c>
      <c r="K13661" t="s">
        <v>39029</v>
      </c>
      <c r="M13661" t="s">
        <v>41907</v>
      </c>
      <c r="N13661" t="s">
        <v>43166</v>
      </c>
      <c r="O13661" t="s">
        <v>43167</v>
      </c>
      <c r="P13661">
        <v>0</v>
      </c>
      <c r="Q13661">
        <v>1</v>
      </c>
      <c r="R13661" t="s">
        <v>43188</v>
      </c>
      <c r="S13661" t="s">
        <v>44213</v>
      </c>
      <c r="T13661" t="s">
        <v>44717</v>
      </c>
      <c r="U13661" t="s">
        <v>56049</v>
      </c>
      <c r="W13661" t="s">
        <v>41907</v>
      </c>
      <c r="X13661" t="s">
        <v>43193</v>
      </c>
    </row>
    <row r="13662" spans="1:24">
      <c r="A13662">
        <f>HYPERLINK("https://www.philgeps.gov.ph/GEPSNONPILOT/Tender/SplashBidNoticeAbstractUI.aspx?menuIndex=3&amp;refID=7039435&amp;Result=3","7039435")</f>
        <v>0</v>
      </c>
      <c r="B13662" t="s">
        <v>2410</v>
      </c>
      <c r="C13662" t="s">
        <v>16500</v>
      </c>
      <c r="D13662" t="s">
        <v>17470</v>
      </c>
      <c r="E13662" t="s">
        <v>29197</v>
      </c>
      <c r="F13662" t="s">
        <v>30052</v>
      </c>
      <c r="G13662" t="s">
        <v>30058</v>
      </c>
      <c r="H13662" t="s">
        <v>30067</v>
      </c>
      <c r="I13662" t="s">
        <v>3693</v>
      </c>
      <c r="J13662" t="s">
        <v>38476</v>
      </c>
      <c r="K13662" t="s">
        <v>39029</v>
      </c>
      <c r="M13662" t="s">
        <v>41907</v>
      </c>
      <c r="N13662" t="s">
        <v>43166</v>
      </c>
      <c r="O13662" t="s">
        <v>43167</v>
      </c>
      <c r="P13662">
        <v>0</v>
      </c>
      <c r="Q13662">
        <v>1</v>
      </c>
      <c r="R13662" t="s">
        <v>43188</v>
      </c>
      <c r="S13662" t="s">
        <v>44213</v>
      </c>
      <c r="T13662" t="s">
        <v>44717</v>
      </c>
      <c r="U13662" t="s">
        <v>56050</v>
      </c>
      <c r="W13662" t="s">
        <v>41907</v>
      </c>
      <c r="X13662" t="s">
        <v>43193</v>
      </c>
    </row>
    <row r="13663" spans="1:24">
      <c r="A13663">
        <f>HYPERLINK("https://www.philgeps.gov.ph/GEPSNONPILOT/Tender/SplashBidNoticeAbstractUI.aspx?menuIndex=3&amp;refID=7042858&amp;Result=3","7042858")</f>
        <v>0</v>
      </c>
      <c r="B13663" t="s">
        <v>2098</v>
      </c>
      <c r="C13663" t="s">
        <v>7067</v>
      </c>
      <c r="D13663" t="s">
        <v>17414</v>
      </c>
      <c r="E13663" t="s">
        <v>29198</v>
      </c>
      <c r="F13663" t="s">
        <v>30052</v>
      </c>
      <c r="G13663" t="s">
        <v>30058</v>
      </c>
      <c r="H13663" t="s">
        <v>15498</v>
      </c>
      <c r="I13663" t="s">
        <v>4598</v>
      </c>
      <c r="J13663" t="s">
        <v>38477</v>
      </c>
      <c r="K13663" t="s">
        <v>39017</v>
      </c>
      <c r="M13663" t="s">
        <v>41560</v>
      </c>
      <c r="N13663" t="s">
        <v>43166</v>
      </c>
      <c r="O13663" t="s">
        <v>43167</v>
      </c>
      <c r="P13663">
        <v>0</v>
      </c>
      <c r="Q13663">
        <v>9</v>
      </c>
      <c r="R13663" t="s">
        <v>43188</v>
      </c>
      <c r="S13663" t="s">
        <v>44213</v>
      </c>
      <c r="T13663" t="s">
        <v>45047</v>
      </c>
      <c r="U13663" t="s">
        <v>50517</v>
      </c>
      <c r="V13663" t="s">
        <v>58467</v>
      </c>
      <c r="W13663" t="s">
        <v>41560</v>
      </c>
      <c r="X13663" t="s">
        <v>43192</v>
      </c>
    </row>
    <row r="13664" spans="1:24">
      <c r="A13664">
        <f>HYPERLINK("https://www.philgeps.gov.ph/GEPSNONPILOT/Tender/SplashBidNoticeAbstractUI.aspx?menuIndex=3&amp;refID=7039616&amp;Result=3","7039616")</f>
        <v>0</v>
      </c>
      <c r="B13664" t="s">
        <v>2410</v>
      </c>
      <c r="C13664" t="s">
        <v>16501</v>
      </c>
      <c r="D13664" t="s">
        <v>17470</v>
      </c>
      <c r="E13664" t="s">
        <v>29199</v>
      </c>
      <c r="F13664" t="s">
        <v>30052</v>
      </c>
      <c r="G13664" t="s">
        <v>30058</v>
      </c>
      <c r="H13664" t="s">
        <v>30067</v>
      </c>
      <c r="I13664" t="s">
        <v>3693</v>
      </c>
      <c r="J13664" t="s">
        <v>38478</v>
      </c>
      <c r="K13664" t="s">
        <v>39026</v>
      </c>
      <c r="M13664" t="s">
        <v>41907</v>
      </c>
      <c r="N13664" t="s">
        <v>43166</v>
      </c>
      <c r="O13664" t="s">
        <v>43167</v>
      </c>
      <c r="P13664">
        <v>0</v>
      </c>
      <c r="Q13664">
        <v>1</v>
      </c>
      <c r="R13664" t="s">
        <v>43188</v>
      </c>
      <c r="S13664" t="s">
        <v>44213</v>
      </c>
      <c r="T13664" t="s">
        <v>44717</v>
      </c>
      <c r="U13664" t="s">
        <v>56051</v>
      </c>
      <c r="W13664" t="s">
        <v>41907</v>
      </c>
      <c r="X13664" t="s">
        <v>43193</v>
      </c>
    </row>
    <row r="13665" spans="1:24">
      <c r="A13665">
        <f>HYPERLINK("https://www.philgeps.gov.ph/GEPSNONPILOT/Tender/SplashBidNoticeAbstractUI.aspx?menuIndex=3&amp;refID=7043022&amp;Result=3","7043022")</f>
        <v>0</v>
      </c>
      <c r="B13665" t="s">
        <v>2410</v>
      </c>
      <c r="C13665" t="s">
        <v>16502</v>
      </c>
      <c r="D13665" t="s">
        <v>17470</v>
      </c>
      <c r="E13665" t="s">
        <v>29200</v>
      </c>
      <c r="F13665" t="s">
        <v>30052</v>
      </c>
      <c r="G13665" t="s">
        <v>30058</v>
      </c>
      <c r="H13665" t="s">
        <v>15498</v>
      </c>
      <c r="I13665" t="s">
        <v>6691</v>
      </c>
      <c r="J13665" t="s">
        <v>38479</v>
      </c>
      <c r="K13665" t="s">
        <v>39029</v>
      </c>
      <c r="M13665" t="s">
        <v>41907</v>
      </c>
      <c r="N13665" t="s">
        <v>43166</v>
      </c>
      <c r="O13665" t="s">
        <v>43167</v>
      </c>
      <c r="P13665">
        <v>0</v>
      </c>
      <c r="Q13665">
        <v>0</v>
      </c>
      <c r="R13665" t="s">
        <v>43188</v>
      </c>
      <c r="S13665" t="s">
        <v>44213</v>
      </c>
      <c r="T13665" t="s">
        <v>44717</v>
      </c>
      <c r="U13665" t="s">
        <v>56052</v>
      </c>
      <c r="W13665" t="s">
        <v>41907</v>
      </c>
      <c r="X13665" t="s">
        <v>43192</v>
      </c>
    </row>
    <row r="13666" spans="1:24">
      <c r="A13666">
        <f>HYPERLINK("https://www.philgeps.gov.ph/GEPSNONPILOT/Tender/SplashBidNoticeAbstractUI.aspx?menuIndex=3&amp;refID=7043961&amp;Result=3","7043961")</f>
        <v>0</v>
      </c>
      <c r="B13666" t="s">
        <v>2410</v>
      </c>
      <c r="C13666" t="s">
        <v>16503</v>
      </c>
      <c r="D13666" t="s">
        <v>17470</v>
      </c>
      <c r="E13666" t="s">
        <v>29201</v>
      </c>
      <c r="F13666" t="s">
        <v>30052</v>
      </c>
      <c r="G13666" t="s">
        <v>30058</v>
      </c>
      <c r="H13666" t="s">
        <v>15498</v>
      </c>
      <c r="I13666" t="s">
        <v>3736</v>
      </c>
      <c r="J13666" t="s">
        <v>30900</v>
      </c>
      <c r="K13666" t="s">
        <v>39029</v>
      </c>
      <c r="M13666" t="s">
        <v>41907</v>
      </c>
      <c r="N13666" t="s">
        <v>43166</v>
      </c>
      <c r="O13666" t="s">
        <v>43167</v>
      </c>
      <c r="P13666">
        <v>0</v>
      </c>
      <c r="Q13666">
        <v>3</v>
      </c>
      <c r="R13666" t="s">
        <v>43188</v>
      </c>
      <c r="S13666" t="s">
        <v>44213</v>
      </c>
      <c r="T13666" t="s">
        <v>44717</v>
      </c>
      <c r="U13666" t="s">
        <v>56053</v>
      </c>
      <c r="W13666" t="s">
        <v>41907</v>
      </c>
      <c r="X13666" t="s">
        <v>43285</v>
      </c>
    </row>
    <row r="13667" spans="1:24">
      <c r="A13667">
        <f>HYPERLINK("https://www.philgeps.gov.ph/GEPSNONPILOT/Tender/SplashBidNoticeAbstractUI.aspx?menuIndex=3&amp;refID=7039652&amp;Result=3","7039652")</f>
        <v>0</v>
      </c>
      <c r="B13667" t="s">
        <v>2410</v>
      </c>
      <c r="C13667" t="s">
        <v>16504</v>
      </c>
      <c r="D13667" t="s">
        <v>17470</v>
      </c>
      <c r="E13667" t="s">
        <v>29202</v>
      </c>
      <c r="F13667" t="s">
        <v>30052</v>
      </c>
      <c r="G13667" t="s">
        <v>30058</v>
      </c>
      <c r="H13667" t="s">
        <v>30067</v>
      </c>
      <c r="I13667" t="s">
        <v>3693</v>
      </c>
      <c r="J13667" t="s">
        <v>38480</v>
      </c>
      <c r="K13667" t="s">
        <v>39026</v>
      </c>
      <c r="M13667" t="s">
        <v>41907</v>
      </c>
      <c r="N13667" t="s">
        <v>43166</v>
      </c>
      <c r="O13667" t="s">
        <v>43167</v>
      </c>
      <c r="P13667">
        <v>0</v>
      </c>
      <c r="Q13667">
        <v>1</v>
      </c>
      <c r="R13667" t="s">
        <v>43188</v>
      </c>
      <c r="S13667" t="s">
        <v>44213</v>
      </c>
      <c r="T13667" t="s">
        <v>44717</v>
      </c>
      <c r="U13667" t="s">
        <v>56054</v>
      </c>
      <c r="W13667" t="s">
        <v>41907</v>
      </c>
      <c r="X13667" t="s">
        <v>43193</v>
      </c>
    </row>
    <row r="13668" spans="1:24">
      <c r="A13668">
        <f>HYPERLINK("https://www.philgeps.gov.ph/GEPSNONPILOT/Tender/SplashBidNoticeAbstractUI.aspx?menuIndex=3&amp;refID=7043969&amp;Result=3","7043969")</f>
        <v>0</v>
      </c>
      <c r="B13668" t="s">
        <v>2410</v>
      </c>
      <c r="C13668" t="s">
        <v>16505</v>
      </c>
      <c r="D13668" t="s">
        <v>17470</v>
      </c>
      <c r="E13668" t="s">
        <v>29203</v>
      </c>
      <c r="F13668" t="s">
        <v>30052</v>
      </c>
      <c r="G13668" t="s">
        <v>30058</v>
      </c>
      <c r="H13668" t="s">
        <v>15498</v>
      </c>
      <c r="I13668" t="s">
        <v>30070</v>
      </c>
      <c r="J13668" t="s">
        <v>38481</v>
      </c>
      <c r="K13668" t="s">
        <v>39029</v>
      </c>
      <c r="M13668" t="s">
        <v>41907</v>
      </c>
      <c r="N13668" t="s">
        <v>43166</v>
      </c>
      <c r="O13668" t="s">
        <v>43167</v>
      </c>
      <c r="P13668">
        <v>0</v>
      </c>
      <c r="Q13668">
        <v>2</v>
      </c>
      <c r="R13668" t="s">
        <v>43188</v>
      </c>
      <c r="S13668" t="s">
        <v>44213</v>
      </c>
      <c r="T13668" t="s">
        <v>44717</v>
      </c>
      <c r="U13668" t="s">
        <v>56055</v>
      </c>
      <c r="W13668" t="s">
        <v>41907</v>
      </c>
      <c r="X13668" t="s">
        <v>43285</v>
      </c>
    </row>
    <row r="13669" spans="1:24">
      <c r="A13669">
        <f>HYPERLINK("https://www.philgeps.gov.ph/GEPSNONPILOT/Tender/SplashBidNoticeAbstractUI.aspx?menuIndex=3&amp;refID=7043977&amp;Result=3","7043977")</f>
        <v>0</v>
      </c>
      <c r="B13669" t="s">
        <v>2410</v>
      </c>
      <c r="C13669" t="s">
        <v>16506</v>
      </c>
      <c r="D13669" t="s">
        <v>17470</v>
      </c>
      <c r="E13669" t="s">
        <v>29204</v>
      </c>
      <c r="F13669" t="s">
        <v>30052</v>
      </c>
      <c r="G13669" t="s">
        <v>30058</v>
      </c>
      <c r="H13669" t="s">
        <v>15498</v>
      </c>
      <c r="I13669" t="s">
        <v>30111</v>
      </c>
      <c r="J13669" t="s">
        <v>30566</v>
      </c>
      <c r="K13669" t="s">
        <v>39029</v>
      </c>
      <c r="M13669" t="s">
        <v>41907</v>
      </c>
      <c r="N13669" t="s">
        <v>43166</v>
      </c>
      <c r="O13669" t="s">
        <v>43167</v>
      </c>
      <c r="P13669">
        <v>0</v>
      </c>
      <c r="Q13669">
        <v>0</v>
      </c>
      <c r="R13669" t="s">
        <v>43188</v>
      </c>
      <c r="S13669" t="s">
        <v>44213</v>
      </c>
      <c r="T13669" t="s">
        <v>44717</v>
      </c>
      <c r="U13669" t="s">
        <v>56056</v>
      </c>
      <c r="W13669" t="s">
        <v>41907</v>
      </c>
      <c r="X13669" t="s">
        <v>43285</v>
      </c>
    </row>
    <row r="13670" spans="1:24">
      <c r="A13670">
        <f>HYPERLINK("https://www.philgeps.gov.ph/GEPSNONPILOT/Tender/SplashBidNoticeAbstractUI.aspx?menuIndex=3&amp;refID=7049523&amp;Result=3","7049523")</f>
        <v>0</v>
      </c>
      <c r="B13670" t="s">
        <v>2166</v>
      </c>
      <c r="C13670" t="s">
        <v>16507</v>
      </c>
      <c r="D13670" t="s">
        <v>17459</v>
      </c>
      <c r="E13670" t="s">
        <v>29205</v>
      </c>
      <c r="F13670" t="s">
        <v>30052</v>
      </c>
      <c r="G13670" t="s">
        <v>30058</v>
      </c>
      <c r="H13670" t="s">
        <v>30067</v>
      </c>
      <c r="I13670" t="s">
        <v>3693</v>
      </c>
      <c r="J13670" t="s">
        <v>31207</v>
      </c>
      <c r="K13670" t="s">
        <v>39031</v>
      </c>
      <c r="M13670" t="s">
        <v>41634</v>
      </c>
      <c r="N13670" t="s">
        <v>43166</v>
      </c>
      <c r="O13670" t="s">
        <v>43167</v>
      </c>
      <c r="P13670">
        <v>0</v>
      </c>
      <c r="Q13670">
        <v>4</v>
      </c>
      <c r="R13670" t="s">
        <v>43187</v>
      </c>
      <c r="S13670" t="s">
        <v>44147</v>
      </c>
      <c r="T13670" t="s">
        <v>44844</v>
      </c>
      <c r="U13670" t="s">
        <v>56057</v>
      </c>
      <c r="W13670" t="s">
        <v>41634</v>
      </c>
      <c r="X13670" t="s">
        <v>43188</v>
      </c>
    </row>
    <row r="13671" spans="1:24">
      <c r="A13671">
        <f>HYPERLINK("https://www.philgeps.gov.ph/GEPSNONPILOT/Tender/SplashBidNoticeAbstractUI.aspx?menuIndex=3&amp;refID=7043987&amp;Result=3","7043987")</f>
        <v>0</v>
      </c>
      <c r="B13671" t="s">
        <v>2410</v>
      </c>
      <c r="C13671" t="s">
        <v>16508</v>
      </c>
      <c r="D13671" t="s">
        <v>17470</v>
      </c>
      <c r="E13671" t="s">
        <v>29206</v>
      </c>
      <c r="F13671" t="s">
        <v>30052</v>
      </c>
      <c r="G13671" t="s">
        <v>30058</v>
      </c>
      <c r="H13671" t="s">
        <v>15498</v>
      </c>
      <c r="I13671" t="s">
        <v>3852</v>
      </c>
      <c r="J13671" t="s">
        <v>38482</v>
      </c>
      <c r="K13671" t="s">
        <v>39029</v>
      </c>
      <c r="M13671" t="s">
        <v>41907</v>
      </c>
      <c r="N13671" t="s">
        <v>43166</v>
      </c>
      <c r="O13671" t="s">
        <v>43167</v>
      </c>
      <c r="P13671">
        <v>0</v>
      </c>
      <c r="Q13671">
        <v>1</v>
      </c>
      <c r="R13671" t="s">
        <v>43188</v>
      </c>
      <c r="S13671" t="s">
        <v>44213</v>
      </c>
      <c r="T13671" t="s">
        <v>44717</v>
      </c>
      <c r="U13671" t="s">
        <v>56058</v>
      </c>
      <c r="W13671" t="s">
        <v>41907</v>
      </c>
      <c r="X13671" t="s">
        <v>43285</v>
      </c>
    </row>
    <row r="13672" spans="1:24">
      <c r="A13672">
        <f>HYPERLINK("https://www.philgeps.gov.ph/GEPSNONPILOT/Tender/SplashBidNoticeAbstractUI.aspx?menuIndex=3&amp;refID=7043794&amp;Result=3","7043794")</f>
        <v>0</v>
      </c>
      <c r="B13672" t="s">
        <v>2410</v>
      </c>
      <c r="C13672" t="s">
        <v>16509</v>
      </c>
      <c r="D13672" t="s">
        <v>17470</v>
      </c>
      <c r="E13672" t="s">
        <v>29207</v>
      </c>
      <c r="F13672" t="s">
        <v>30052</v>
      </c>
      <c r="G13672" t="s">
        <v>30058</v>
      </c>
      <c r="H13672" t="s">
        <v>15498</v>
      </c>
      <c r="I13672" t="s">
        <v>30084</v>
      </c>
      <c r="J13672" t="s">
        <v>38483</v>
      </c>
      <c r="K13672" t="s">
        <v>39029</v>
      </c>
      <c r="M13672" t="s">
        <v>41907</v>
      </c>
      <c r="N13672" t="s">
        <v>43166</v>
      </c>
      <c r="O13672" t="s">
        <v>43167</v>
      </c>
      <c r="P13672">
        <v>0</v>
      </c>
      <c r="Q13672">
        <v>5</v>
      </c>
      <c r="R13672" t="s">
        <v>43188</v>
      </c>
      <c r="S13672" t="s">
        <v>44213</v>
      </c>
      <c r="T13672" t="s">
        <v>44717</v>
      </c>
      <c r="U13672" t="s">
        <v>56059</v>
      </c>
      <c r="W13672" t="s">
        <v>41907</v>
      </c>
      <c r="X13672" t="s">
        <v>43191</v>
      </c>
    </row>
    <row r="13673" spans="1:24">
      <c r="A13673">
        <f>HYPERLINK("https://www.philgeps.gov.ph/GEPSNONPILOT/Tender/SplashBidNoticeAbstractUI.aspx?menuIndex=3&amp;refID=7043735&amp;Result=3","7043735")</f>
        <v>0</v>
      </c>
      <c r="B13673" t="s">
        <v>2410</v>
      </c>
      <c r="C13673" t="s">
        <v>16510</v>
      </c>
      <c r="D13673" t="s">
        <v>17470</v>
      </c>
      <c r="E13673" t="s">
        <v>29208</v>
      </c>
      <c r="F13673" t="s">
        <v>30052</v>
      </c>
      <c r="G13673" t="s">
        <v>30058</v>
      </c>
      <c r="H13673" t="s">
        <v>15498</v>
      </c>
      <c r="I13673" t="s">
        <v>30130</v>
      </c>
      <c r="J13673" t="s">
        <v>30440</v>
      </c>
      <c r="K13673" t="s">
        <v>39029</v>
      </c>
      <c r="M13673" t="s">
        <v>41907</v>
      </c>
      <c r="N13673" t="s">
        <v>43166</v>
      </c>
      <c r="O13673" t="s">
        <v>43167</v>
      </c>
      <c r="P13673">
        <v>0</v>
      </c>
      <c r="Q13673">
        <v>8</v>
      </c>
      <c r="R13673" t="s">
        <v>43188</v>
      </c>
      <c r="S13673" t="s">
        <v>44213</v>
      </c>
      <c r="T13673" t="s">
        <v>44717</v>
      </c>
      <c r="U13673" t="s">
        <v>56060</v>
      </c>
      <c r="W13673" t="s">
        <v>41907</v>
      </c>
      <c r="X13673" t="s">
        <v>43191</v>
      </c>
    </row>
    <row r="13674" spans="1:24">
      <c r="A13674">
        <f>HYPERLINK("https://www.philgeps.gov.ph/GEPSNONPILOT/Tender/SplashBidNoticeAbstractUI.aspx?menuIndex=3&amp;refID=7043785&amp;Result=3","7043785")</f>
        <v>0</v>
      </c>
      <c r="B13674" t="s">
        <v>2410</v>
      </c>
      <c r="C13674" t="s">
        <v>16511</v>
      </c>
      <c r="D13674" t="s">
        <v>17470</v>
      </c>
      <c r="E13674" t="s">
        <v>29209</v>
      </c>
      <c r="F13674" t="s">
        <v>30052</v>
      </c>
      <c r="G13674" t="s">
        <v>30058</v>
      </c>
      <c r="H13674" t="s">
        <v>15498</v>
      </c>
      <c r="I13674" t="s">
        <v>3852</v>
      </c>
      <c r="J13674" t="s">
        <v>38484</v>
      </c>
      <c r="K13674" t="s">
        <v>39029</v>
      </c>
      <c r="M13674" t="s">
        <v>41907</v>
      </c>
      <c r="N13674" t="s">
        <v>43166</v>
      </c>
      <c r="O13674" t="s">
        <v>43167</v>
      </c>
      <c r="P13674">
        <v>0</v>
      </c>
      <c r="Q13674">
        <v>0</v>
      </c>
      <c r="R13674" t="s">
        <v>43188</v>
      </c>
      <c r="S13674" t="s">
        <v>44213</v>
      </c>
      <c r="T13674" t="s">
        <v>44717</v>
      </c>
      <c r="U13674" t="s">
        <v>56061</v>
      </c>
      <c r="W13674" t="s">
        <v>41907</v>
      </c>
      <c r="X13674" t="s">
        <v>43191</v>
      </c>
    </row>
    <row r="13675" spans="1:24">
      <c r="A13675">
        <f>HYPERLINK("https://www.philgeps.gov.ph/GEPSNONPILOT/Tender/SplashBidNoticeAbstractUI.aspx?menuIndex=3&amp;refID=7043752&amp;Result=3","7043752")</f>
        <v>0</v>
      </c>
      <c r="B13675" t="s">
        <v>2410</v>
      </c>
      <c r="C13675" t="s">
        <v>16490</v>
      </c>
      <c r="D13675" t="s">
        <v>17470</v>
      </c>
      <c r="E13675" t="s">
        <v>29210</v>
      </c>
      <c r="F13675" t="s">
        <v>30052</v>
      </c>
      <c r="G13675" t="s">
        <v>30058</v>
      </c>
      <c r="H13675" t="s">
        <v>15498</v>
      </c>
      <c r="I13675" t="s">
        <v>30081</v>
      </c>
      <c r="J13675" t="s">
        <v>35196</v>
      </c>
      <c r="K13675" t="s">
        <v>39029</v>
      </c>
      <c r="M13675" t="s">
        <v>41907</v>
      </c>
      <c r="N13675" t="s">
        <v>43166</v>
      </c>
      <c r="O13675" t="s">
        <v>43167</v>
      </c>
      <c r="P13675">
        <v>0</v>
      </c>
      <c r="Q13675">
        <v>0</v>
      </c>
      <c r="R13675" t="s">
        <v>43188</v>
      </c>
      <c r="S13675" t="s">
        <v>44213</v>
      </c>
      <c r="T13675" t="s">
        <v>44717</v>
      </c>
      <c r="U13675" t="s">
        <v>56062</v>
      </c>
      <c r="W13675" t="s">
        <v>41907</v>
      </c>
      <c r="X13675" t="s">
        <v>43191</v>
      </c>
    </row>
    <row r="13676" spans="1:24">
      <c r="A13676">
        <f>HYPERLINK("https://www.philgeps.gov.ph/GEPSNONPILOT/Tender/SplashBidNoticeAbstractUI.aspx?menuIndex=3&amp;refID=7044918&amp;Result=3","7044918")</f>
        <v>0</v>
      </c>
      <c r="B13676" t="s">
        <v>2694</v>
      </c>
      <c r="C13676" t="s">
        <v>16512</v>
      </c>
      <c r="D13676" t="s">
        <v>17471</v>
      </c>
      <c r="E13676" t="s">
        <v>18907</v>
      </c>
      <c r="F13676" t="s">
        <v>30052</v>
      </c>
      <c r="G13676" t="s">
        <v>30058</v>
      </c>
      <c r="H13676" t="s">
        <v>15498</v>
      </c>
      <c r="I13676" t="s">
        <v>3736</v>
      </c>
      <c r="J13676" t="s">
        <v>31015</v>
      </c>
      <c r="K13676" t="s">
        <v>39029</v>
      </c>
      <c r="M13676" t="s">
        <v>42217</v>
      </c>
      <c r="N13676" t="s">
        <v>43166</v>
      </c>
      <c r="O13676" t="s">
        <v>43167</v>
      </c>
      <c r="P13676">
        <v>0</v>
      </c>
      <c r="Q13676">
        <v>0</v>
      </c>
      <c r="R13676" t="s">
        <v>43188</v>
      </c>
      <c r="S13676" t="s">
        <v>44213</v>
      </c>
      <c r="T13676" t="s">
        <v>44681</v>
      </c>
      <c r="U13676" t="s">
        <v>56063</v>
      </c>
      <c r="W13676" t="s">
        <v>42217</v>
      </c>
      <c r="X13676" t="s">
        <v>43189</v>
      </c>
    </row>
    <row r="13677" spans="1:24">
      <c r="A13677">
        <f>HYPERLINK("https://www.philgeps.gov.ph/GEPSNONPILOT/Tender/SplashBidNoticeAbstractUI.aspx?menuIndex=3&amp;refID=7043791&amp;Result=3","7043791")</f>
        <v>0</v>
      </c>
      <c r="B13677" t="s">
        <v>2410</v>
      </c>
      <c r="C13677" t="s">
        <v>16513</v>
      </c>
      <c r="D13677" t="s">
        <v>17470</v>
      </c>
      <c r="E13677" t="s">
        <v>29211</v>
      </c>
      <c r="F13677" t="s">
        <v>30052</v>
      </c>
      <c r="G13677" t="s">
        <v>30058</v>
      </c>
      <c r="H13677" t="s">
        <v>15498</v>
      </c>
      <c r="I13677" t="s">
        <v>30084</v>
      </c>
      <c r="J13677" t="s">
        <v>38485</v>
      </c>
      <c r="K13677" t="s">
        <v>39029</v>
      </c>
      <c r="M13677" t="s">
        <v>41907</v>
      </c>
      <c r="N13677" t="s">
        <v>43166</v>
      </c>
      <c r="O13677" t="s">
        <v>43167</v>
      </c>
      <c r="P13677">
        <v>0</v>
      </c>
      <c r="Q13677">
        <v>4</v>
      </c>
      <c r="R13677" t="s">
        <v>43188</v>
      </c>
      <c r="S13677" t="s">
        <v>44213</v>
      </c>
      <c r="T13677" t="s">
        <v>44717</v>
      </c>
      <c r="U13677" t="s">
        <v>56064</v>
      </c>
      <c r="W13677" t="s">
        <v>41907</v>
      </c>
      <c r="X13677" t="s">
        <v>43191</v>
      </c>
    </row>
    <row r="13678" spans="1:24">
      <c r="A13678">
        <f>HYPERLINK("https://www.philgeps.gov.ph/GEPSNONPILOT/Tender/SplashBidNoticeAbstractUI.aspx?menuIndex=3&amp;refID=7043745&amp;Result=3","7043745")</f>
        <v>0</v>
      </c>
      <c r="B13678" t="s">
        <v>2410</v>
      </c>
      <c r="C13678" t="s">
        <v>16514</v>
      </c>
      <c r="D13678" t="s">
        <v>17470</v>
      </c>
      <c r="E13678" t="s">
        <v>29212</v>
      </c>
      <c r="F13678" t="s">
        <v>30052</v>
      </c>
      <c r="G13678" t="s">
        <v>30058</v>
      </c>
      <c r="H13678" t="s">
        <v>15498</v>
      </c>
      <c r="I13678" t="s">
        <v>30081</v>
      </c>
      <c r="J13678" t="s">
        <v>33309</v>
      </c>
      <c r="K13678" t="s">
        <v>39029</v>
      </c>
      <c r="M13678" t="s">
        <v>41907</v>
      </c>
      <c r="N13678" t="s">
        <v>43166</v>
      </c>
      <c r="O13678" t="s">
        <v>43167</v>
      </c>
      <c r="P13678">
        <v>0</v>
      </c>
      <c r="Q13678">
        <v>0</v>
      </c>
      <c r="R13678" t="s">
        <v>43188</v>
      </c>
      <c r="S13678" t="s">
        <v>44213</v>
      </c>
      <c r="T13678" t="s">
        <v>44717</v>
      </c>
      <c r="U13678" t="s">
        <v>56065</v>
      </c>
      <c r="W13678" t="s">
        <v>41907</v>
      </c>
      <c r="X13678" t="s">
        <v>43191</v>
      </c>
    </row>
    <row r="13679" spans="1:24">
      <c r="A13679">
        <f>HYPERLINK("https://www.philgeps.gov.ph/GEPSNONPILOT/Tender/SplashBidNoticeAbstractUI.aspx?menuIndex=3&amp;refID=7039525&amp;Result=3","7039525")</f>
        <v>0</v>
      </c>
      <c r="B13679" t="s">
        <v>2410</v>
      </c>
      <c r="C13679" t="s">
        <v>16515</v>
      </c>
      <c r="E13679" t="s">
        <v>29213</v>
      </c>
      <c r="F13679" t="s">
        <v>30052</v>
      </c>
      <c r="G13679" t="s">
        <v>30058</v>
      </c>
      <c r="H13679" t="s">
        <v>30067</v>
      </c>
      <c r="I13679" t="s">
        <v>3693</v>
      </c>
      <c r="J13679" t="s">
        <v>38486</v>
      </c>
      <c r="K13679" t="s">
        <v>39023</v>
      </c>
      <c r="M13679" t="s">
        <v>41907</v>
      </c>
      <c r="N13679" t="s">
        <v>43166</v>
      </c>
      <c r="O13679" t="s">
        <v>43167</v>
      </c>
      <c r="P13679">
        <v>0</v>
      </c>
      <c r="Q13679">
        <v>2</v>
      </c>
      <c r="R13679" t="s">
        <v>43188</v>
      </c>
      <c r="S13679" t="s">
        <v>44213</v>
      </c>
      <c r="T13679" t="s">
        <v>44717</v>
      </c>
      <c r="U13679" t="s">
        <v>56066</v>
      </c>
      <c r="W13679" t="s">
        <v>41907</v>
      </c>
      <c r="X13679" t="s">
        <v>43193</v>
      </c>
    </row>
    <row r="13680" spans="1:24">
      <c r="A13680">
        <f>HYPERLINK("https://www.philgeps.gov.ph/GEPSNONPILOT/Tender/SplashBidNoticeAbstractUI.aspx?menuIndex=3&amp;refID=7043749&amp;Result=3","7043749")</f>
        <v>0</v>
      </c>
      <c r="B13680" t="s">
        <v>2410</v>
      </c>
      <c r="C13680" t="s">
        <v>16516</v>
      </c>
      <c r="D13680" t="s">
        <v>17470</v>
      </c>
      <c r="E13680" t="s">
        <v>29214</v>
      </c>
      <c r="F13680" t="s">
        <v>30052</v>
      </c>
      <c r="G13680" t="s">
        <v>30058</v>
      </c>
      <c r="H13680" t="s">
        <v>15498</v>
      </c>
      <c r="I13680" t="s">
        <v>30094</v>
      </c>
      <c r="J13680" t="s">
        <v>35065</v>
      </c>
      <c r="K13680" t="s">
        <v>39029</v>
      </c>
      <c r="M13680" t="s">
        <v>41907</v>
      </c>
      <c r="N13680" t="s">
        <v>43166</v>
      </c>
      <c r="O13680" t="s">
        <v>43167</v>
      </c>
      <c r="P13680">
        <v>0</v>
      </c>
      <c r="Q13680">
        <v>0</v>
      </c>
      <c r="R13680" t="s">
        <v>43188</v>
      </c>
      <c r="S13680" t="s">
        <v>44213</v>
      </c>
      <c r="T13680" t="s">
        <v>44717</v>
      </c>
      <c r="U13680" t="s">
        <v>56067</v>
      </c>
      <c r="W13680" t="s">
        <v>41907</v>
      </c>
      <c r="X13680" t="s">
        <v>43191</v>
      </c>
    </row>
    <row r="13681" spans="1:24">
      <c r="A13681">
        <f>HYPERLINK("https://www.philgeps.gov.ph/GEPSNONPILOT/Tender/SplashBidNoticeAbstractUI.aspx?menuIndex=3&amp;refID=7043965&amp;Result=3","7043965")</f>
        <v>0</v>
      </c>
      <c r="B13681" t="s">
        <v>2410</v>
      </c>
      <c r="C13681" t="s">
        <v>16517</v>
      </c>
      <c r="D13681" t="s">
        <v>17470</v>
      </c>
      <c r="E13681" t="s">
        <v>29215</v>
      </c>
      <c r="F13681" t="s">
        <v>30052</v>
      </c>
      <c r="G13681" t="s">
        <v>30058</v>
      </c>
      <c r="H13681" t="s">
        <v>15498</v>
      </c>
      <c r="I13681" t="s">
        <v>6691</v>
      </c>
      <c r="J13681" t="s">
        <v>38487</v>
      </c>
      <c r="K13681" t="s">
        <v>39029</v>
      </c>
      <c r="M13681" t="s">
        <v>41907</v>
      </c>
      <c r="N13681" t="s">
        <v>43166</v>
      </c>
      <c r="O13681" t="s">
        <v>43167</v>
      </c>
      <c r="P13681">
        <v>0</v>
      </c>
      <c r="Q13681">
        <v>0</v>
      </c>
      <c r="R13681" t="s">
        <v>43188</v>
      </c>
      <c r="S13681" t="s">
        <v>44213</v>
      </c>
      <c r="T13681" t="s">
        <v>44717</v>
      </c>
      <c r="U13681" t="s">
        <v>56068</v>
      </c>
      <c r="W13681" t="s">
        <v>41907</v>
      </c>
      <c r="X13681" t="s">
        <v>43285</v>
      </c>
    </row>
    <row r="13682" spans="1:24">
      <c r="A13682">
        <f>HYPERLINK("https://www.philgeps.gov.ph/GEPSNONPILOT/Tender/SplashBidNoticeAbstractUI.aspx?menuIndex=3&amp;refID=7044826&amp;Result=3","7044826")</f>
        <v>0</v>
      </c>
      <c r="B13682" t="s">
        <v>3385</v>
      </c>
      <c r="C13682" t="s">
        <v>16518</v>
      </c>
      <c r="D13682" t="s">
        <v>17434</v>
      </c>
      <c r="E13682" t="s">
        <v>18646</v>
      </c>
      <c r="F13682" t="s">
        <v>30052</v>
      </c>
      <c r="G13682" t="s">
        <v>30058</v>
      </c>
      <c r="H13682" t="s">
        <v>30067</v>
      </c>
      <c r="I13682" t="s">
        <v>3693</v>
      </c>
      <c r="J13682" t="s">
        <v>38488</v>
      </c>
      <c r="K13682" t="s">
        <v>39065</v>
      </c>
      <c r="M13682" t="s">
        <v>43047</v>
      </c>
      <c r="N13682" t="s">
        <v>43166</v>
      </c>
      <c r="O13682" t="s">
        <v>43167</v>
      </c>
      <c r="P13682">
        <v>0</v>
      </c>
      <c r="Q13682">
        <v>1</v>
      </c>
      <c r="R13682" t="s">
        <v>43188</v>
      </c>
      <c r="S13682" t="s">
        <v>44213</v>
      </c>
      <c r="T13682" t="s">
        <v>44699</v>
      </c>
      <c r="U13682" t="s">
        <v>56069</v>
      </c>
      <c r="W13682" t="s">
        <v>43047</v>
      </c>
      <c r="X13682" t="s">
        <v>43189</v>
      </c>
    </row>
    <row r="13683" spans="1:24">
      <c r="A13683">
        <f>HYPERLINK("https://www.philgeps.gov.ph/GEPSNONPILOT/Tender/SplashBidNoticeAbstractUI.aspx?menuIndex=3&amp;refID=7044687&amp;Result=3","7044687")</f>
        <v>0</v>
      </c>
      <c r="B13683" t="s">
        <v>2348</v>
      </c>
      <c r="C13683" t="s">
        <v>16519</v>
      </c>
      <c r="D13683" t="s">
        <v>17455</v>
      </c>
      <c r="E13683" t="s">
        <v>29216</v>
      </c>
      <c r="F13683" t="s">
        <v>30052</v>
      </c>
      <c r="G13683" t="s">
        <v>30058</v>
      </c>
      <c r="H13683" t="s">
        <v>30067</v>
      </c>
      <c r="I13683" t="s">
        <v>30106</v>
      </c>
      <c r="J13683" t="s">
        <v>38489</v>
      </c>
      <c r="K13683" t="s">
        <v>39031</v>
      </c>
      <c r="M13683" t="s">
        <v>41839</v>
      </c>
      <c r="N13683" t="s">
        <v>43166</v>
      </c>
      <c r="O13683" t="s">
        <v>43167</v>
      </c>
      <c r="P13683">
        <v>0</v>
      </c>
      <c r="Q13683">
        <v>10</v>
      </c>
      <c r="R13683" t="s">
        <v>43188</v>
      </c>
      <c r="S13683" t="s">
        <v>44213</v>
      </c>
      <c r="T13683" t="s">
        <v>44717</v>
      </c>
      <c r="U13683" t="s">
        <v>48320</v>
      </c>
      <c r="W13683" t="s">
        <v>41839</v>
      </c>
      <c r="X13683" t="s">
        <v>43189</v>
      </c>
    </row>
    <row r="13684" spans="1:24">
      <c r="A13684">
        <f>HYPERLINK("https://www.philgeps.gov.ph/GEPSNONPILOT/Tender/SplashBidNoticeAbstractUI.aspx?menuIndex=3&amp;refID=7044787&amp;Result=3","7044787")</f>
        <v>0</v>
      </c>
      <c r="B13684" t="s">
        <v>2410</v>
      </c>
      <c r="C13684" t="s">
        <v>16520</v>
      </c>
      <c r="D13684" t="s">
        <v>17470</v>
      </c>
      <c r="E13684" t="s">
        <v>29217</v>
      </c>
      <c r="F13684" t="s">
        <v>30052</v>
      </c>
      <c r="G13684" t="s">
        <v>30058</v>
      </c>
      <c r="H13684" t="s">
        <v>15498</v>
      </c>
      <c r="I13684" t="s">
        <v>4650</v>
      </c>
      <c r="J13684" t="s">
        <v>38490</v>
      </c>
      <c r="K13684" t="s">
        <v>39029</v>
      </c>
      <c r="M13684" t="s">
        <v>41907</v>
      </c>
      <c r="N13684" t="s">
        <v>43166</v>
      </c>
      <c r="O13684" t="s">
        <v>43167</v>
      </c>
      <c r="P13684">
        <v>0</v>
      </c>
      <c r="Q13684">
        <v>2</v>
      </c>
      <c r="R13684" t="s">
        <v>43188</v>
      </c>
      <c r="S13684" t="s">
        <v>44213</v>
      </c>
      <c r="T13684" t="s">
        <v>44717</v>
      </c>
      <c r="U13684" t="s">
        <v>56070</v>
      </c>
      <c r="W13684" t="s">
        <v>41907</v>
      </c>
      <c r="X13684" t="s">
        <v>43189</v>
      </c>
    </row>
    <row r="13685" spans="1:24">
      <c r="A13685">
        <f>HYPERLINK("https://www.philgeps.gov.ph/GEPSNONPILOT/Tender/SplashBidNoticeAbstractUI.aspx?menuIndex=3&amp;refID=7044814&amp;Result=3","7044814")</f>
        <v>0</v>
      </c>
      <c r="B13685" t="s">
        <v>3386</v>
      </c>
      <c r="C13685" t="s">
        <v>16521</v>
      </c>
      <c r="D13685" t="s">
        <v>17467</v>
      </c>
      <c r="E13685" t="s">
        <v>17606</v>
      </c>
      <c r="F13685" t="s">
        <v>30052</v>
      </c>
      <c r="G13685" t="s">
        <v>30058</v>
      </c>
      <c r="H13685" t="s">
        <v>30067</v>
      </c>
      <c r="I13685" t="s">
        <v>3693</v>
      </c>
      <c r="J13685" t="s">
        <v>30900</v>
      </c>
      <c r="K13685" t="s">
        <v>39029</v>
      </c>
      <c r="M13685" t="s">
        <v>43048</v>
      </c>
      <c r="N13685" t="s">
        <v>43166</v>
      </c>
      <c r="O13685" t="s">
        <v>43167</v>
      </c>
      <c r="P13685">
        <v>0</v>
      </c>
      <c r="Q13685">
        <v>0</v>
      </c>
      <c r="R13685" t="s">
        <v>43188</v>
      </c>
      <c r="S13685" t="s">
        <v>44213</v>
      </c>
      <c r="T13685" t="s">
        <v>44717</v>
      </c>
      <c r="U13685" t="s">
        <v>56071</v>
      </c>
      <c r="V13685" t="s">
        <v>58468</v>
      </c>
      <c r="W13685" t="s">
        <v>43048</v>
      </c>
      <c r="X13685" t="s">
        <v>43189</v>
      </c>
    </row>
    <row r="13686" spans="1:24">
      <c r="A13686">
        <f>HYPERLINK("https://www.philgeps.gov.ph/GEPSNONPILOT/Tender/SplashBidNoticeAbstractUI.aspx?menuIndex=3&amp;refID=7044667&amp;Result=3","7044667")</f>
        <v>0</v>
      </c>
      <c r="B13686" t="s">
        <v>1736</v>
      </c>
      <c r="C13686" t="s">
        <v>7228</v>
      </c>
      <c r="D13686" t="s">
        <v>17444</v>
      </c>
      <c r="E13686" t="s">
        <v>29218</v>
      </c>
      <c r="F13686" t="s">
        <v>30052</v>
      </c>
      <c r="G13686" t="s">
        <v>30058</v>
      </c>
      <c r="H13686" t="s">
        <v>15498</v>
      </c>
      <c r="I13686" t="s">
        <v>7228</v>
      </c>
      <c r="J13686" t="s">
        <v>38491</v>
      </c>
      <c r="K13686" t="s">
        <v>39034</v>
      </c>
      <c r="M13686" t="s">
        <v>41153</v>
      </c>
      <c r="N13686" t="s">
        <v>43166</v>
      </c>
      <c r="O13686" t="s">
        <v>43167</v>
      </c>
      <c r="P13686">
        <v>0</v>
      </c>
      <c r="Q13686">
        <v>0</v>
      </c>
      <c r="R13686" t="s">
        <v>43188</v>
      </c>
      <c r="S13686" t="s">
        <v>44213</v>
      </c>
      <c r="T13686" t="s">
        <v>44717</v>
      </c>
      <c r="U13686" t="s">
        <v>56072</v>
      </c>
      <c r="W13686" t="s">
        <v>41153</v>
      </c>
      <c r="X13686" t="s">
        <v>43189</v>
      </c>
    </row>
    <row r="13687" spans="1:24">
      <c r="A13687">
        <f>HYPERLINK("https://www.philgeps.gov.ph/GEPSNONPILOT/Tender/SplashBidNoticeAbstractUI.aspx?menuIndex=3&amp;refID=7044658&amp;Result=3","7044658")</f>
        <v>0</v>
      </c>
      <c r="B13687" t="s">
        <v>1339</v>
      </c>
      <c r="C13687" t="s">
        <v>16522</v>
      </c>
      <c r="D13687" t="s">
        <v>17474</v>
      </c>
      <c r="E13687" t="s">
        <v>29219</v>
      </c>
      <c r="F13687" t="s">
        <v>30052</v>
      </c>
      <c r="G13687" t="s">
        <v>30058</v>
      </c>
      <c r="H13687" t="s">
        <v>15498</v>
      </c>
      <c r="I13687" t="s">
        <v>30117</v>
      </c>
      <c r="J13687" t="s">
        <v>38492</v>
      </c>
      <c r="K13687" t="s">
        <v>39029</v>
      </c>
      <c r="M13687" t="s">
        <v>41073</v>
      </c>
      <c r="N13687" t="s">
        <v>43166</v>
      </c>
      <c r="O13687" t="s">
        <v>43167</v>
      </c>
      <c r="P13687">
        <v>0</v>
      </c>
      <c r="Q13687">
        <v>2</v>
      </c>
      <c r="R13687" t="s">
        <v>43188</v>
      </c>
      <c r="S13687" t="s">
        <v>44213</v>
      </c>
      <c r="T13687" t="s">
        <v>44844</v>
      </c>
      <c r="U13687" t="s">
        <v>48174</v>
      </c>
      <c r="V13687" t="s">
        <v>57248</v>
      </c>
      <c r="W13687" t="s">
        <v>41073</v>
      </c>
      <c r="X13687" t="s">
        <v>43189</v>
      </c>
    </row>
    <row r="13688" spans="1:24">
      <c r="A13688">
        <f>HYPERLINK("https://www.philgeps.gov.ph/GEPSNONPILOT/Tender/SplashBidNoticeAbstractUI.aspx?menuIndex=3&amp;refID=7044563&amp;Result=3","7044563")</f>
        <v>0</v>
      </c>
      <c r="B13688" t="s">
        <v>126</v>
      </c>
      <c r="C13688" t="s">
        <v>16523</v>
      </c>
      <c r="D13688" t="s">
        <v>17426</v>
      </c>
      <c r="E13688" t="s">
        <v>22185</v>
      </c>
      <c r="F13688" t="s">
        <v>30052</v>
      </c>
      <c r="G13688" t="s">
        <v>30058</v>
      </c>
      <c r="H13688" t="s">
        <v>15498</v>
      </c>
      <c r="I13688" t="s">
        <v>9238</v>
      </c>
      <c r="J13688" t="s">
        <v>30247</v>
      </c>
      <c r="K13688" t="s">
        <v>39026</v>
      </c>
      <c r="M13688" t="s">
        <v>39415</v>
      </c>
      <c r="N13688" t="s">
        <v>43166</v>
      </c>
      <c r="O13688" t="s">
        <v>43167</v>
      </c>
      <c r="Q13688">
        <v>27</v>
      </c>
      <c r="R13688" t="s">
        <v>43188</v>
      </c>
      <c r="S13688" t="s">
        <v>44225</v>
      </c>
      <c r="T13688" t="s">
        <v>44777</v>
      </c>
      <c r="U13688" t="s">
        <v>56073</v>
      </c>
      <c r="V13688" t="s">
        <v>58469</v>
      </c>
      <c r="W13688" t="s">
        <v>39415</v>
      </c>
      <c r="X13688" t="s">
        <v>43189</v>
      </c>
    </row>
    <row r="13689" spans="1:24">
      <c r="A13689">
        <f>HYPERLINK("https://www.philgeps.gov.ph/GEPSNONPILOT/Tender/SplashBidNoticeAbstractUI.aspx?menuIndex=3&amp;refID=7044653&amp;Result=3","7044653")</f>
        <v>0</v>
      </c>
      <c r="B13689" t="s">
        <v>3387</v>
      </c>
      <c r="C13689" t="s">
        <v>16524</v>
      </c>
      <c r="D13689" t="s">
        <v>17415</v>
      </c>
      <c r="E13689" t="s">
        <v>29220</v>
      </c>
      <c r="F13689" t="s">
        <v>30052</v>
      </c>
      <c r="G13689" t="s">
        <v>30058</v>
      </c>
      <c r="H13689" t="s">
        <v>15498</v>
      </c>
      <c r="I13689" t="s">
        <v>9238</v>
      </c>
      <c r="J13689" t="s">
        <v>38493</v>
      </c>
      <c r="K13689" t="s">
        <v>39031</v>
      </c>
      <c r="M13689" t="s">
        <v>43049</v>
      </c>
      <c r="N13689" t="s">
        <v>43166</v>
      </c>
      <c r="O13689" t="s">
        <v>43167</v>
      </c>
      <c r="P13689">
        <v>0</v>
      </c>
      <c r="Q13689">
        <v>10</v>
      </c>
      <c r="R13689" t="s">
        <v>43188</v>
      </c>
      <c r="S13689" t="s">
        <v>44213</v>
      </c>
      <c r="T13689" t="s">
        <v>45184</v>
      </c>
      <c r="U13689" t="s">
        <v>56074</v>
      </c>
      <c r="V13689" t="s">
        <v>58470</v>
      </c>
      <c r="W13689" t="s">
        <v>43049</v>
      </c>
      <c r="X13689" t="s">
        <v>43189</v>
      </c>
    </row>
    <row r="13690" spans="1:24">
      <c r="A13690">
        <f>HYPERLINK("https://www.philgeps.gov.ph/GEPSNONPILOT/Tender/SplashBidNoticeAbstractUI.aspx?menuIndex=3&amp;refID=7044438&amp;Result=3","7044438")</f>
        <v>0</v>
      </c>
      <c r="B13690" t="s">
        <v>3366</v>
      </c>
      <c r="C13690" t="s">
        <v>14750</v>
      </c>
      <c r="D13690" t="s">
        <v>17449</v>
      </c>
      <c r="E13690" t="s">
        <v>29221</v>
      </c>
      <c r="F13690" t="s">
        <v>30052</v>
      </c>
      <c r="G13690" t="s">
        <v>30058</v>
      </c>
      <c r="H13690" t="s">
        <v>30067</v>
      </c>
      <c r="I13690" t="s">
        <v>3693</v>
      </c>
      <c r="J13690" t="s">
        <v>30397</v>
      </c>
      <c r="K13690" t="s">
        <v>39023</v>
      </c>
      <c r="M13690" t="s">
        <v>43017</v>
      </c>
      <c r="N13690" t="s">
        <v>43166</v>
      </c>
      <c r="O13690" t="s">
        <v>43167</v>
      </c>
      <c r="P13690">
        <v>0</v>
      </c>
      <c r="Q13690">
        <v>0</v>
      </c>
      <c r="R13690" t="s">
        <v>43188</v>
      </c>
      <c r="S13690" t="s">
        <v>44213</v>
      </c>
      <c r="T13690" t="s">
        <v>44777</v>
      </c>
      <c r="U13690" t="s">
        <v>56075</v>
      </c>
      <c r="W13690" t="s">
        <v>43017</v>
      </c>
      <c r="X13690" t="s">
        <v>43189</v>
      </c>
    </row>
    <row r="13691" spans="1:24">
      <c r="A13691">
        <f>HYPERLINK("https://www.philgeps.gov.ph/GEPSNONPILOT/Tender/SplashBidNoticeAbstractUI.aspx?menuIndex=3&amp;refID=7044415&amp;Result=3","7044415")</f>
        <v>0</v>
      </c>
      <c r="B13691" t="s">
        <v>550</v>
      </c>
      <c r="C13691" t="s">
        <v>16525</v>
      </c>
      <c r="D13691" t="s">
        <v>17453</v>
      </c>
      <c r="E13691" t="s">
        <v>29222</v>
      </c>
      <c r="F13691" t="s">
        <v>30052</v>
      </c>
      <c r="G13691" t="s">
        <v>30058</v>
      </c>
      <c r="H13691" t="s">
        <v>15498</v>
      </c>
      <c r="I13691" t="s">
        <v>30074</v>
      </c>
      <c r="J13691" t="s">
        <v>33141</v>
      </c>
      <c r="K13691" t="s">
        <v>39019</v>
      </c>
      <c r="M13691" t="s">
        <v>39852</v>
      </c>
      <c r="N13691" t="s">
        <v>43166</v>
      </c>
      <c r="O13691" t="s">
        <v>43167</v>
      </c>
      <c r="P13691">
        <v>0</v>
      </c>
      <c r="Q13691">
        <v>9</v>
      </c>
      <c r="R13691" t="s">
        <v>43188</v>
      </c>
      <c r="S13691" t="s">
        <v>44213</v>
      </c>
      <c r="T13691" t="s">
        <v>44840</v>
      </c>
      <c r="U13691" t="s">
        <v>49863</v>
      </c>
      <c r="W13691" t="s">
        <v>39852</v>
      </c>
      <c r="X13691" t="s">
        <v>43189</v>
      </c>
    </row>
    <row r="13692" spans="1:24">
      <c r="A13692">
        <f>HYPERLINK("https://www.philgeps.gov.ph/GEPSNONPILOT/Tender/SplashBidNoticeAbstractUI.aspx?menuIndex=3&amp;refID=7044838&amp;Result=3","7044838")</f>
        <v>0</v>
      </c>
      <c r="B13692" t="s">
        <v>2204</v>
      </c>
      <c r="C13692" t="s">
        <v>16526</v>
      </c>
      <c r="D13692" t="s">
        <v>17432</v>
      </c>
      <c r="E13692" t="s">
        <v>19475</v>
      </c>
      <c r="F13692" t="s">
        <v>30052</v>
      </c>
      <c r="G13692" t="s">
        <v>30058</v>
      </c>
      <c r="H13692" t="s">
        <v>15498</v>
      </c>
      <c r="I13692" t="s">
        <v>30092</v>
      </c>
      <c r="J13692" t="s">
        <v>38494</v>
      </c>
      <c r="K13692" t="s">
        <v>39034</v>
      </c>
      <c r="M13692" t="s">
        <v>41673</v>
      </c>
      <c r="N13692" t="s">
        <v>43166</v>
      </c>
      <c r="O13692" t="s">
        <v>43167</v>
      </c>
      <c r="P13692">
        <v>0</v>
      </c>
      <c r="Q13692">
        <v>5</v>
      </c>
      <c r="R13692" t="s">
        <v>43188</v>
      </c>
      <c r="S13692" t="s">
        <v>44213</v>
      </c>
      <c r="T13692" t="s">
        <v>44943</v>
      </c>
      <c r="U13692" t="s">
        <v>56076</v>
      </c>
      <c r="W13692" t="s">
        <v>41673</v>
      </c>
      <c r="X13692" t="s">
        <v>43189</v>
      </c>
    </row>
    <row r="13693" spans="1:24">
      <c r="A13693">
        <f>HYPERLINK("https://www.philgeps.gov.ph/GEPSNONPILOT/Tender/SplashBidNoticeAbstractUI.aspx?menuIndex=3&amp;refID=7044361&amp;Result=3","7044361")</f>
        <v>0</v>
      </c>
      <c r="B13693" t="s">
        <v>3243</v>
      </c>
      <c r="C13693" t="s">
        <v>16527</v>
      </c>
      <c r="D13693" t="s">
        <v>17450</v>
      </c>
      <c r="E13693" t="s">
        <v>29223</v>
      </c>
      <c r="F13693" t="s">
        <v>30052</v>
      </c>
      <c r="G13693" t="s">
        <v>30058</v>
      </c>
      <c r="H13693" t="s">
        <v>15498</v>
      </c>
      <c r="I13693" t="s">
        <v>30092</v>
      </c>
      <c r="J13693" t="s">
        <v>38495</v>
      </c>
      <c r="K13693" t="s">
        <v>39019</v>
      </c>
      <c r="M13693" t="s">
        <v>42873</v>
      </c>
      <c r="N13693" t="s">
        <v>43166</v>
      </c>
      <c r="O13693" t="s">
        <v>43167</v>
      </c>
      <c r="P13693">
        <v>0</v>
      </c>
      <c r="Q13693">
        <v>2</v>
      </c>
      <c r="R13693" t="s">
        <v>43188</v>
      </c>
      <c r="S13693" t="s">
        <v>44213</v>
      </c>
      <c r="T13693" t="s">
        <v>44856</v>
      </c>
      <c r="U13693" t="s">
        <v>56077</v>
      </c>
      <c r="W13693" t="s">
        <v>42873</v>
      </c>
      <c r="X13693" t="s">
        <v>43189</v>
      </c>
    </row>
    <row r="13694" spans="1:24">
      <c r="A13694">
        <f>HYPERLINK("https://www.philgeps.gov.ph/GEPSNONPILOT/Tender/SplashBidNoticeAbstractUI.aspx?menuIndex=3&amp;refID=7045111&amp;Result=3","7045111")</f>
        <v>0</v>
      </c>
      <c r="B13694" t="s">
        <v>1667</v>
      </c>
      <c r="C13694" t="s">
        <v>16528</v>
      </c>
      <c r="D13694" t="s">
        <v>17416</v>
      </c>
      <c r="E13694" t="s">
        <v>29224</v>
      </c>
      <c r="F13694" t="s">
        <v>30052</v>
      </c>
      <c r="G13694" t="s">
        <v>30058</v>
      </c>
      <c r="H13694" t="s">
        <v>15498</v>
      </c>
      <c r="I13694" t="s">
        <v>30130</v>
      </c>
      <c r="J13694" t="s">
        <v>38496</v>
      </c>
      <c r="K13694" t="s">
        <v>39017</v>
      </c>
      <c r="M13694" t="s">
        <v>41074</v>
      </c>
      <c r="N13694" t="s">
        <v>43166</v>
      </c>
      <c r="O13694" t="s">
        <v>43167</v>
      </c>
      <c r="P13694">
        <v>0</v>
      </c>
      <c r="Q13694">
        <v>19</v>
      </c>
      <c r="R13694" t="s">
        <v>43188</v>
      </c>
      <c r="S13694" t="s">
        <v>44213</v>
      </c>
      <c r="T13694" t="s">
        <v>44822</v>
      </c>
      <c r="U13694" t="s">
        <v>56078</v>
      </c>
      <c r="W13694" t="s">
        <v>41074</v>
      </c>
      <c r="X13694" t="s">
        <v>43189</v>
      </c>
    </row>
    <row r="13695" spans="1:24">
      <c r="A13695">
        <f>HYPERLINK("https://www.philgeps.gov.ph/GEPSNONPILOT/Tender/SplashBidNoticeAbstractUI.aspx?menuIndex=3&amp;refID=7045113&amp;Result=3","7045113")</f>
        <v>0</v>
      </c>
      <c r="B13695" t="s">
        <v>776</v>
      </c>
      <c r="C13695" t="s">
        <v>16529</v>
      </c>
      <c r="D13695" t="s">
        <v>17444</v>
      </c>
      <c r="E13695" t="s">
        <v>29225</v>
      </c>
      <c r="F13695" t="s">
        <v>30052</v>
      </c>
      <c r="G13695" t="s">
        <v>30058</v>
      </c>
      <c r="H13695" t="s">
        <v>15498</v>
      </c>
      <c r="I13695" t="s">
        <v>30084</v>
      </c>
      <c r="J13695" t="s">
        <v>31202</v>
      </c>
      <c r="K13695" t="s">
        <v>39026</v>
      </c>
      <c r="M13695" t="s">
        <v>40091</v>
      </c>
      <c r="N13695" t="s">
        <v>43166</v>
      </c>
      <c r="O13695" t="s">
        <v>43167</v>
      </c>
      <c r="Q13695">
        <v>8</v>
      </c>
      <c r="R13695" t="s">
        <v>43188</v>
      </c>
      <c r="S13695" t="s">
        <v>43656</v>
      </c>
      <c r="T13695" t="s">
        <v>44699</v>
      </c>
      <c r="U13695" t="s">
        <v>56079</v>
      </c>
      <c r="V13695" t="s">
        <v>58074</v>
      </c>
      <c r="W13695" t="s">
        <v>40091</v>
      </c>
      <c r="X13695" t="s">
        <v>43189</v>
      </c>
    </row>
    <row r="13696" spans="1:24">
      <c r="A13696">
        <f>HYPERLINK("https://www.philgeps.gov.ph/GEPSNONPILOT/Tender/SplashBidNoticeAbstractUI.aspx?menuIndex=3&amp;refID=7044779&amp;Result=3","7044779")</f>
        <v>0</v>
      </c>
      <c r="B13696" t="s">
        <v>3387</v>
      </c>
      <c r="C13696" t="s">
        <v>16530</v>
      </c>
      <c r="D13696" t="s">
        <v>17415</v>
      </c>
      <c r="E13696" t="s">
        <v>29226</v>
      </c>
      <c r="F13696" t="s">
        <v>30052</v>
      </c>
      <c r="G13696" t="s">
        <v>30058</v>
      </c>
      <c r="H13696" t="s">
        <v>15498</v>
      </c>
      <c r="I13696" t="s">
        <v>30140</v>
      </c>
      <c r="J13696" t="s">
        <v>30247</v>
      </c>
      <c r="K13696" t="s">
        <v>39029</v>
      </c>
      <c r="M13696" t="s">
        <v>43049</v>
      </c>
      <c r="N13696" t="s">
        <v>43166</v>
      </c>
      <c r="O13696" t="s">
        <v>43167</v>
      </c>
      <c r="Q13696">
        <v>13</v>
      </c>
      <c r="R13696" t="s">
        <v>43188</v>
      </c>
      <c r="S13696" t="s">
        <v>44226</v>
      </c>
      <c r="T13696" t="s">
        <v>45184</v>
      </c>
      <c r="U13696" t="s">
        <v>56080</v>
      </c>
      <c r="V13696" t="s">
        <v>58470</v>
      </c>
      <c r="W13696" t="s">
        <v>43049</v>
      </c>
      <c r="X13696" t="s">
        <v>43189</v>
      </c>
    </row>
    <row r="13697" spans="1:24">
      <c r="A13697">
        <f>HYPERLINK("https://www.philgeps.gov.ph/GEPSNONPILOT/Tender/SplashBidNoticeAbstractUI.aspx?menuIndex=3&amp;refID=7044707&amp;Result=3","7044707")</f>
        <v>0</v>
      </c>
      <c r="B13697" t="s">
        <v>1707</v>
      </c>
      <c r="C13697" t="s">
        <v>16531</v>
      </c>
      <c r="E13697" t="s">
        <v>29227</v>
      </c>
      <c r="F13697" t="s">
        <v>30052</v>
      </c>
      <c r="G13697" t="s">
        <v>30058</v>
      </c>
      <c r="H13697" t="s">
        <v>15498</v>
      </c>
      <c r="I13697" t="s">
        <v>3736</v>
      </c>
      <c r="J13697" t="s">
        <v>38497</v>
      </c>
      <c r="K13697" t="s">
        <v>39037</v>
      </c>
      <c r="M13697" t="s">
        <v>41122</v>
      </c>
      <c r="N13697" t="s">
        <v>43166</v>
      </c>
      <c r="O13697" t="s">
        <v>43167</v>
      </c>
      <c r="P13697">
        <v>0</v>
      </c>
      <c r="Q13697">
        <v>3</v>
      </c>
      <c r="R13697" t="s">
        <v>43188</v>
      </c>
      <c r="S13697" t="s">
        <v>44213</v>
      </c>
      <c r="T13697" t="s">
        <v>44773</v>
      </c>
      <c r="U13697" t="s">
        <v>53476</v>
      </c>
      <c r="V13697" t="s">
        <v>58471</v>
      </c>
      <c r="W13697" t="s">
        <v>41122</v>
      </c>
      <c r="X13697" t="s">
        <v>43189</v>
      </c>
    </row>
    <row r="13698" spans="1:24">
      <c r="A13698">
        <f>HYPERLINK("https://www.philgeps.gov.ph/GEPSNONPILOT/Tender/SplashBidNoticeAbstractUI.aspx?menuIndex=3&amp;refID=7045084&amp;Result=3","7045084")</f>
        <v>0</v>
      </c>
      <c r="B13698" t="s">
        <v>202</v>
      </c>
      <c r="C13698" t="s">
        <v>16532</v>
      </c>
      <c r="D13698" t="s">
        <v>17461</v>
      </c>
      <c r="E13698" t="s">
        <v>29228</v>
      </c>
      <c r="F13698" t="s">
        <v>30052</v>
      </c>
      <c r="G13698" t="s">
        <v>30058</v>
      </c>
      <c r="H13698" t="s">
        <v>15498</v>
      </c>
      <c r="I13698" t="s">
        <v>30128</v>
      </c>
      <c r="J13698" t="s">
        <v>38498</v>
      </c>
      <c r="K13698" t="s">
        <v>39029</v>
      </c>
      <c r="L13698" t="s">
        <v>202</v>
      </c>
      <c r="M13698" t="s">
        <v>39492</v>
      </c>
      <c r="N13698" t="s">
        <v>43166</v>
      </c>
      <c r="O13698" t="s">
        <v>43167</v>
      </c>
      <c r="Q13698">
        <v>7</v>
      </c>
      <c r="R13698" t="s">
        <v>43188</v>
      </c>
      <c r="S13698" t="s">
        <v>44227</v>
      </c>
      <c r="T13698" t="s">
        <v>44862</v>
      </c>
      <c r="U13698" t="s">
        <v>56081</v>
      </c>
      <c r="W13698" t="s">
        <v>39492</v>
      </c>
      <c r="X13698" t="s">
        <v>43189</v>
      </c>
    </row>
    <row r="13699" spans="1:24">
      <c r="A13699">
        <f>HYPERLINK("https://www.philgeps.gov.ph/GEPSNONPILOT/Tender/SplashBidNoticeAbstractUI.aspx?menuIndex=3&amp;refID=7044613&amp;Result=3","7044613")</f>
        <v>0</v>
      </c>
      <c r="B13699" t="s">
        <v>1736</v>
      </c>
      <c r="C13699" t="s">
        <v>7228</v>
      </c>
      <c r="D13699" t="s">
        <v>17444</v>
      </c>
      <c r="E13699" t="s">
        <v>29229</v>
      </c>
      <c r="F13699" t="s">
        <v>30052</v>
      </c>
      <c r="G13699" t="s">
        <v>30058</v>
      </c>
      <c r="H13699" t="s">
        <v>15498</v>
      </c>
      <c r="I13699" t="s">
        <v>7228</v>
      </c>
      <c r="J13699" t="s">
        <v>38499</v>
      </c>
      <c r="K13699" t="s">
        <v>39034</v>
      </c>
      <c r="M13699" t="s">
        <v>41153</v>
      </c>
      <c r="N13699" t="s">
        <v>43166</v>
      </c>
      <c r="O13699" t="s">
        <v>43167</v>
      </c>
      <c r="P13699">
        <v>0</v>
      </c>
      <c r="Q13699">
        <v>0</v>
      </c>
      <c r="R13699" t="s">
        <v>43188</v>
      </c>
      <c r="S13699" t="s">
        <v>44213</v>
      </c>
      <c r="T13699" t="s">
        <v>44717</v>
      </c>
      <c r="U13699" t="s">
        <v>56082</v>
      </c>
      <c r="W13699" t="s">
        <v>41153</v>
      </c>
      <c r="X13699" t="s">
        <v>43189</v>
      </c>
    </row>
    <row r="13700" spans="1:24">
      <c r="A13700">
        <f>HYPERLINK("https://www.philgeps.gov.ph/GEPSNONPILOT/Tender/SplashBidNoticeAbstractUI.aspx?menuIndex=3&amp;refID=7045055&amp;Result=3","7045055")</f>
        <v>0</v>
      </c>
      <c r="B13700" t="s">
        <v>773</v>
      </c>
      <c r="C13700" t="s">
        <v>16533</v>
      </c>
      <c r="D13700" t="s">
        <v>17435</v>
      </c>
      <c r="E13700" t="s">
        <v>29230</v>
      </c>
      <c r="F13700" t="s">
        <v>30052</v>
      </c>
      <c r="G13700" t="s">
        <v>30058</v>
      </c>
      <c r="H13700" t="s">
        <v>30067</v>
      </c>
      <c r="I13700" t="s">
        <v>3693</v>
      </c>
      <c r="J13700" t="s">
        <v>38500</v>
      </c>
      <c r="K13700" t="s">
        <v>39031</v>
      </c>
      <c r="M13700" t="s">
        <v>40087</v>
      </c>
      <c r="N13700" t="s">
        <v>43166</v>
      </c>
      <c r="O13700" t="s">
        <v>43167</v>
      </c>
      <c r="P13700">
        <v>0</v>
      </c>
      <c r="Q13700">
        <v>2</v>
      </c>
      <c r="R13700" t="s">
        <v>43188</v>
      </c>
      <c r="S13700" t="s">
        <v>44213</v>
      </c>
      <c r="T13700" t="s">
        <v>44733</v>
      </c>
      <c r="U13700" t="s">
        <v>56083</v>
      </c>
      <c r="W13700" t="s">
        <v>40087</v>
      </c>
      <c r="X13700" t="s">
        <v>43189</v>
      </c>
    </row>
    <row r="13701" spans="1:24">
      <c r="A13701">
        <f>HYPERLINK("https://www.philgeps.gov.ph/GEPSNONPILOT/Tender/SplashBidNoticeAbstractUI.aspx?menuIndex=3&amp;refID=7045106&amp;Result=3","7045106")</f>
        <v>0</v>
      </c>
      <c r="B13701" t="s">
        <v>2410</v>
      </c>
      <c r="C13701" t="s">
        <v>16534</v>
      </c>
      <c r="D13701" t="s">
        <v>17470</v>
      </c>
      <c r="E13701" t="s">
        <v>29231</v>
      </c>
      <c r="F13701" t="s">
        <v>30052</v>
      </c>
      <c r="G13701" t="s">
        <v>30058</v>
      </c>
      <c r="H13701" t="s">
        <v>15498</v>
      </c>
      <c r="I13701" t="s">
        <v>30080</v>
      </c>
      <c r="J13701" t="s">
        <v>30588</v>
      </c>
      <c r="K13701" t="s">
        <v>39029</v>
      </c>
      <c r="M13701" t="s">
        <v>41907</v>
      </c>
      <c r="N13701" t="s">
        <v>43166</v>
      </c>
      <c r="O13701" t="s">
        <v>43167</v>
      </c>
      <c r="P13701">
        <v>0</v>
      </c>
      <c r="Q13701">
        <v>12</v>
      </c>
      <c r="R13701" t="s">
        <v>43188</v>
      </c>
      <c r="S13701" t="s">
        <v>44213</v>
      </c>
      <c r="T13701" t="s">
        <v>44717</v>
      </c>
      <c r="U13701" t="s">
        <v>56084</v>
      </c>
      <c r="W13701" t="s">
        <v>41907</v>
      </c>
      <c r="X13701" t="s">
        <v>43189</v>
      </c>
    </row>
    <row r="13702" spans="1:24">
      <c r="A13702">
        <f>HYPERLINK("https://www.philgeps.gov.ph/GEPSNONPILOT/Tender/SplashBidNoticeAbstractUI.aspx?menuIndex=3&amp;refID=7044732&amp;Result=3","7044732")</f>
        <v>0</v>
      </c>
      <c r="B13702" t="s">
        <v>1736</v>
      </c>
      <c r="C13702" t="s">
        <v>3615</v>
      </c>
      <c r="D13702" t="s">
        <v>17444</v>
      </c>
      <c r="E13702" t="s">
        <v>29232</v>
      </c>
      <c r="F13702" t="s">
        <v>30052</v>
      </c>
      <c r="G13702" t="s">
        <v>30058</v>
      </c>
      <c r="H13702" t="s">
        <v>30067</v>
      </c>
      <c r="I13702" t="s">
        <v>3736</v>
      </c>
      <c r="J13702" t="s">
        <v>38501</v>
      </c>
      <c r="K13702" t="s">
        <v>39034</v>
      </c>
      <c r="M13702" t="s">
        <v>41153</v>
      </c>
      <c r="N13702" t="s">
        <v>43166</v>
      </c>
      <c r="O13702" t="s">
        <v>43167</v>
      </c>
      <c r="P13702">
        <v>0</v>
      </c>
      <c r="Q13702">
        <v>1</v>
      </c>
      <c r="R13702" t="s">
        <v>43188</v>
      </c>
      <c r="S13702" t="s">
        <v>44213</v>
      </c>
      <c r="T13702" t="s">
        <v>44717</v>
      </c>
      <c r="U13702" t="s">
        <v>56085</v>
      </c>
      <c r="W13702" t="s">
        <v>41153</v>
      </c>
      <c r="X13702" t="s">
        <v>43189</v>
      </c>
    </row>
    <row r="13703" spans="1:24">
      <c r="A13703">
        <f>HYPERLINK("https://www.philgeps.gov.ph/GEPSNONPILOT/Tender/SplashBidNoticeAbstractUI.aspx?menuIndex=3&amp;refID=7045034&amp;Result=3","7045034")</f>
        <v>0</v>
      </c>
      <c r="B13703" t="s">
        <v>2410</v>
      </c>
      <c r="C13703" t="s">
        <v>16535</v>
      </c>
      <c r="D13703" t="s">
        <v>17470</v>
      </c>
      <c r="E13703" t="s">
        <v>29233</v>
      </c>
      <c r="F13703" t="s">
        <v>30052</v>
      </c>
      <c r="G13703" t="s">
        <v>30058</v>
      </c>
      <c r="H13703" t="s">
        <v>15498</v>
      </c>
      <c r="I13703" t="s">
        <v>3606</v>
      </c>
      <c r="J13703" t="s">
        <v>38502</v>
      </c>
      <c r="K13703" t="s">
        <v>39029</v>
      </c>
      <c r="M13703" t="s">
        <v>41907</v>
      </c>
      <c r="N13703" t="s">
        <v>43166</v>
      </c>
      <c r="O13703" t="s">
        <v>43167</v>
      </c>
      <c r="P13703">
        <v>0</v>
      </c>
      <c r="Q13703">
        <v>9</v>
      </c>
      <c r="R13703" t="s">
        <v>43188</v>
      </c>
      <c r="S13703" t="s">
        <v>44213</v>
      </c>
      <c r="T13703" t="s">
        <v>44717</v>
      </c>
      <c r="U13703" t="s">
        <v>56086</v>
      </c>
      <c r="W13703" t="s">
        <v>41907</v>
      </c>
      <c r="X13703" t="s">
        <v>43189</v>
      </c>
    </row>
    <row r="13704" spans="1:24">
      <c r="A13704">
        <f>HYPERLINK("https://www.philgeps.gov.ph/GEPSNONPILOT/Tender/SplashBidNoticeAbstractUI.aspx?menuIndex=3&amp;refID=7044794&amp;Result=3","7044794")</f>
        <v>0</v>
      </c>
      <c r="B13704" t="s">
        <v>1736</v>
      </c>
      <c r="C13704" t="s">
        <v>16536</v>
      </c>
      <c r="D13704" t="s">
        <v>17444</v>
      </c>
      <c r="E13704" t="s">
        <v>29234</v>
      </c>
      <c r="F13704" t="s">
        <v>30052</v>
      </c>
      <c r="G13704" t="s">
        <v>30058</v>
      </c>
      <c r="H13704" t="s">
        <v>30067</v>
      </c>
      <c r="I13704" t="s">
        <v>3736</v>
      </c>
      <c r="J13704" t="s">
        <v>38503</v>
      </c>
      <c r="K13704" t="s">
        <v>39034</v>
      </c>
      <c r="M13704" t="s">
        <v>41153</v>
      </c>
      <c r="N13704" t="s">
        <v>43166</v>
      </c>
      <c r="O13704" t="s">
        <v>43167</v>
      </c>
      <c r="P13704">
        <v>0</v>
      </c>
      <c r="Q13704">
        <v>1</v>
      </c>
      <c r="R13704" t="s">
        <v>43188</v>
      </c>
      <c r="S13704" t="s">
        <v>44213</v>
      </c>
      <c r="T13704" t="s">
        <v>44717</v>
      </c>
      <c r="U13704" t="s">
        <v>56087</v>
      </c>
      <c r="W13704" t="s">
        <v>41153</v>
      </c>
      <c r="X13704" t="s">
        <v>43189</v>
      </c>
    </row>
    <row r="13705" spans="1:24">
      <c r="A13705">
        <f>HYPERLINK("https://www.philgeps.gov.ph/GEPSNONPILOT/Tender/SplashBidNoticeAbstractUI.aspx?menuIndex=3&amp;refID=7045031&amp;Result=3","7045031")</f>
        <v>0</v>
      </c>
      <c r="B13705" t="s">
        <v>146</v>
      </c>
      <c r="C13705" t="s">
        <v>16537</v>
      </c>
      <c r="D13705" t="s">
        <v>17432</v>
      </c>
      <c r="E13705" t="s">
        <v>29235</v>
      </c>
      <c r="F13705" t="s">
        <v>30052</v>
      </c>
      <c r="G13705" t="s">
        <v>30058</v>
      </c>
      <c r="H13705" t="s">
        <v>15498</v>
      </c>
      <c r="I13705" t="s">
        <v>30073</v>
      </c>
      <c r="J13705" t="s">
        <v>38504</v>
      </c>
      <c r="K13705" t="s">
        <v>39034</v>
      </c>
      <c r="M13705" t="s">
        <v>39435</v>
      </c>
      <c r="N13705" t="s">
        <v>43166</v>
      </c>
      <c r="O13705" t="s">
        <v>43167</v>
      </c>
      <c r="P13705">
        <v>0</v>
      </c>
      <c r="Q13705">
        <v>1</v>
      </c>
      <c r="R13705" t="s">
        <v>43188</v>
      </c>
      <c r="S13705" t="s">
        <v>44213</v>
      </c>
      <c r="T13705" t="s">
        <v>44698</v>
      </c>
      <c r="U13705" t="s">
        <v>56088</v>
      </c>
      <c r="V13705" t="s">
        <v>58472</v>
      </c>
      <c r="W13705" t="s">
        <v>39435</v>
      </c>
      <c r="X13705" t="s">
        <v>43189</v>
      </c>
    </row>
    <row r="13706" spans="1:24">
      <c r="A13706">
        <f>HYPERLINK("https://www.philgeps.gov.ph/GEPSNONPILOT/Tender/SplashBidNoticeAbstractUI.aspx?menuIndex=3&amp;refID=7045057&amp;Result=3","7045057")</f>
        <v>0</v>
      </c>
      <c r="B13706" t="s">
        <v>1667</v>
      </c>
      <c r="C13706" t="s">
        <v>16538</v>
      </c>
      <c r="D13706" t="s">
        <v>17416</v>
      </c>
      <c r="E13706" t="s">
        <v>29236</v>
      </c>
      <c r="F13706" t="s">
        <v>30052</v>
      </c>
      <c r="G13706" t="s">
        <v>30058</v>
      </c>
      <c r="H13706" t="s">
        <v>15498</v>
      </c>
      <c r="I13706" t="s">
        <v>3736</v>
      </c>
      <c r="J13706" t="s">
        <v>38505</v>
      </c>
      <c r="K13706" t="s">
        <v>39017</v>
      </c>
      <c r="M13706" t="s">
        <v>41074</v>
      </c>
      <c r="N13706" t="s">
        <v>43166</v>
      </c>
      <c r="O13706" t="s">
        <v>43167</v>
      </c>
      <c r="P13706">
        <v>0</v>
      </c>
      <c r="Q13706">
        <v>2</v>
      </c>
      <c r="R13706" t="s">
        <v>43188</v>
      </c>
      <c r="S13706" t="s">
        <v>44213</v>
      </c>
      <c r="T13706" t="s">
        <v>44822</v>
      </c>
      <c r="U13706" t="s">
        <v>56089</v>
      </c>
      <c r="W13706" t="s">
        <v>41074</v>
      </c>
      <c r="X13706" t="s">
        <v>43189</v>
      </c>
    </row>
    <row r="13707" spans="1:24">
      <c r="A13707">
        <f>HYPERLINK("https://www.philgeps.gov.ph/GEPSNONPILOT/Tender/SplashBidNoticeAbstractUI.aspx?menuIndex=3&amp;refID=7045085&amp;Result=3","7045085")</f>
        <v>0</v>
      </c>
      <c r="B13707" t="s">
        <v>1667</v>
      </c>
      <c r="C13707" t="s">
        <v>16539</v>
      </c>
      <c r="D13707" t="s">
        <v>17416</v>
      </c>
      <c r="E13707" t="s">
        <v>29237</v>
      </c>
      <c r="F13707" t="s">
        <v>30052</v>
      </c>
      <c r="G13707" t="s">
        <v>30058</v>
      </c>
      <c r="H13707" t="s">
        <v>15498</v>
      </c>
      <c r="I13707" t="s">
        <v>4598</v>
      </c>
      <c r="J13707" t="s">
        <v>38506</v>
      </c>
      <c r="K13707" t="s">
        <v>39017</v>
      </c>
      <c r="M13707" t="s">
        <v>41074</v>
      </c>
      <c r="N13707" t="s">
        <v>43166</v>
      </c>
      <c r="O13707" t="s">
        <v>43167</v>
      </c>
      <c r="P13707">
        <v>0</v>
      </c>
      <c r="Q13707">
        <v>6</v>
      </c>
      <c r="R13707" t="s">
        <v>43188</v>
      </c>
      <c r="S13707" t="s">
        <v>44213</v>
      </c>
      <c r="T13707" t="s">
        <v>44822</v>
      </c>
      <c r="U13707" t="s">
        <v>56090</v>
      </c>
      <c r="W13707" t="s">
        <v>41074</v>
      </c>
      <c r="X13707" t="s">
        <v>43189</v>
      </c>
    </row>
    <row r="13708" spans="1:24">
      <c r="A13708">
        <f>HYPERLINK("https://www.philgeps.gov.ph/GEPSNONPILOT/Tender/SplashBidNoticeAbstractUI.aspx?menuIndex=3&amp;refID=7045038&amp;Result=3","7045038")</f>
        <v>0</v>
      </c>
      <c r="B13708" t="s">
        <v>736</v>
      </c>
      <c r="C13708" t="s">
        <v>16540</v>
      </c>
      <c r="D13708" t="s">
        <v>17455</v>
      </c>
      <c r="E13708" t="s">
        <v>29238</v>
      </c>
      <c r="F13708" t="s">
        <v>30052</v>
      </c>
      <c r="G13708" t="s">
        <v>30058</v>
      </c>
      <c r="H13708" t="s">
        <v>30069</v>
      </c>
      <c r="I13708" t="s">
        <v>30072</v>
      </c>
      <c r="J13708" t="s">
        <v>38507</v>
      </c>
      <c r="K13708" t="s">
        <v>39048</v>
      </c>
      <c r="M13708" t="s">
        <v>40049</v>
      </c>
      <c r="N13708" t="s">
        <v>43166</v>
      </c>
      <c r="O13708" t="s">
        <v>43167</v>
      </c>
      <c r="P13708">
        <v>0</v>
      </c>
      <c r="Q13708">
        <v>0</v>
      </c>
      <c r="R13708" t="s">
        <v>43188</v>
      </c>
      <c r="S13708" t="s">
        <v>44213</v>
      </c>
      <c r="T13708" t="s">
        <v>44717</v>
      </c>
      <c r="U13708" t="s">
        <v>56091</v>
      </c>
      <c r="W13708" t="s">
        <v>40049</v>
      </c>
      <c r="X13708" t="s">
        <v>43189</v>
      </c>
    </row>
    <row r="13709" spans="1:24">
      <c r="A13709">
        <f>HYPERLINK("https://www.philgeps.gov.ph/GEPSNONPILOT/Tender/SplashBidNoticeAbstractUI.aspx?menuIndex=3&amp;refID=7044964&amp;Result=3","7044964")</f>
        <v>0</v>
      </c>
      <c r="B13709" t="s">
        <v>3243</v>
      </c>
      <c r="C13709" t="s">
        <v>16541</v>
      </c>
      <c r="D13709" t="s">
        <v>17450</v>
      </c>
      <c r="E13709" t="s">
        <v>29239</v>
      </c>
      <c r="F13709" t="s">
        <v>30052</v>
      </c>
      <c r="G13709" t="s">
        <v>30058</v>
      </c>
      <c r="H13709" t="s">
        <v>15498</v>
      </c>
      <c r="I13709" t="s">
        <v>30140</v>
      </c>
      <c r="J13709" t="s">
        <v>30252</v>
      </c>
      <c r="K13709" t="s">
        <v>39029</v>
      </c>
      <c r="M13709" t="s">
        <v>42873</v>
      </c>
      <c r="N13709" t="s">
        <v>43166</v>
      </c>
      <c r="O13709" t="s">
        <v>43167</v>
      </c>
      <c r="P13709">
        <v>0</v>
      </c>
      <c r="Q13709">
        <v>3</v>
      </c>
      <c r="R13709" t="s">
        <v>43188</v>
      </c>
      <c r="S13709" t="s">
        <v>44213</v>
      </c>
      <c r="T13709" t="s">
        <v>44856</v>
      </c>
      <c r="U13709" t="s">
        <v>56092</v>
      </c>
      <c r="W13709" t="s">
        <v>42873</v>
      </c>
      <c r="X13709" t="s">
        <v>43189</v>
      </c>
    </row>
    <row r="13710" spans="1:24">
      <c r="A13710">
        <f>HYPERLINK("https://www.philgeps.gov.ph/GEPSNONPILOT/Tender/SplashBidNoticeAbstractUI.aspx?menuIndex=3&amp;refID=7045266&amp;Result=3","7045266")</f>
        <v>0</v>
      </c>
      <c r="B13710" t="s">
        <v>483</v>
      </c>
      <c r="C13710" t="s">
        <v>16542</v>
      </c>
      <c r="D13710" t="s">
        <v>17489</v>
      </c>
      <c r="E13710" t="s">
        <v>29240</v>
      </c>
      <c r="F13710" t="s">
        <v>30052</v>
      </c>
      <c r="G13710" t="s">
        <v>30058</v>
      </c>
      <c r="H13710" t="s">
        <v>30067</v>
      </c>
      <c r="I13710" t="s">
        <v>3693</v>
      </c>
      <c r="J13710" t="s">
        <v>38508</v>
      </c>
      <c r="K13710" t="s">
        <v>39198</v>
      </c>
      <c r="M13710" t="s">
        <v>39784</v>
      </c>
      <c r="N13710" t="s">
        <v>43166</v>
      </c>
      <c r="O13710" t="s">
        <v>43167</v>
      </c>
      <c r="P13710">
        <v>0</v>
      </c>
      <c r="Q13710">
        <v>0</v>
      </c>
      <c r="R13710" t="s">
        <v>43188</v>
      </c>
      <c r="S13710" t="s">
        <v>44213</v>
      </c>
      <c r="T13710" t="s">
        <v>44717</v>
      </c>
      <c r="U13710" t="s">
        <v>56093</v>
      </c>
      <c r="W13710" t="s">
        <v>39784</v>
      </c>
      <c r="X13710" t="s">
        <v>43189</v>
      </c>
    </row>
    <row r="13711" spans="1:24">
      <c r="A13711">
        <f>HYPERLINK("https://www.philgeps.gov.ph/GEPSNONPILOT/Tender/SplashBidNoticeAbstractUI.aspx?menuIndex=3&amp;refID=7045001&amp;Result=3","7045001")</f>
        <v>0</v>
      </c>
      <c r="B13711" t="s">
        <v>483</v>
      </c>
      <c r="C13711" t="s">
        <v>16543</v>
      </c>
      <c r="D13711" t="s">
        <v>17489</v>
      </c>
      <c r="E13711" t="s">
        <v>29241</v>
      </c>
      <c r="F13711" t="s">
        <v>30052</v>
      </c>
      <c r="G13711" t="s">
        <v>30058</v>
      </c>
      <c r="H13711" t="s">
        <v>30067</v>
      </c>
      <c r="I13711" t="s">
        <v>3693</v>
      </c>
      <c r="J13711" t="s">
        <v>30559</v>
      </c>
      <c r="K13711" t="s">
        <v>39032</v>
      </c>
      <c r="M13711" t="s">
        <v>39784</v>
      </c>
      <c r="N13711" t="s">
        <v>43166</v>
      </c>
      <c r="O13711" t="s">
        <v>43167</v>
      </c>
      <c r="P13711">
        <v>0</v>
      </c>
      <c r="Q13711">
        <v>0</v>
      </c>
      <c r="R13711" t="s">
        <v>43188</v>
      </c>
      <c r="S13711" t="s">
        <v>44213</v>
      </c>
      <c r="T13711" t="s">
        <v>44717</v>
      </c>
      <c r="U13711" t="s">
        <v>56094</v>
      </c>
      <c r="W13711" t="s">
        <v>39784</v>
      </c>
      <c r="X13711" t="s">
        <v>43189</v>
      </c>
    </row>
    <row r="13712" spans="1:24">
      <c r="A13712">
        <f>HYPERLINK("https://www.philgeps.gov.ph/GEPSNONPILOT/Tender/SplashBidNoticeAbstractUI.aspx?menuIndex=3&amp;refID=7045231&amp;Result=3","7045231")</f>
        <v>0</v>
      </c>
      <c r="B13712" t="s">
        <v>2410</v>
      </c>
      <c r="C13712" t="s">
        <v>16544</v>
      </c>
      <c r="D13712" t="s">
        <v>17470</v>
      </c>
      <c r="E13712" t="s">
        <v>29242</v>
      </c>
      <c r="F13712" t="s">
        <v>30052</v>
      </c>
      <c r="G13712" t="s">
        <v>30058</v>
      </c>
      <c r="H13712" t="s">
        <v>15498</v>
      </c>
      <c r="I13712" t="s">
        <v>30083</v>
      </c>
      <c r="J13712" t="s">
        <v>38509</v>
      </c>
      <c r="K13712" t="s">
        <v>39029</v>
      </c>
      <c r="M13712" t="s">
        <v>41907</v>
      </c>
      <c r="N13712" t="s">
        <v>43166</v>
      </c>
      <c r="O13712" t="s">
        <v>43167</v>
      </c>
      <c r="P13712">
        <v>0</v>
      </c>
      <c r="Q13712">
        <v>0</v>
      </c>
      <c r="R13712" t="s">
        <v>43188</v>
      </c>
      <c r="S13712" t="s">
        <v>44213</v>
      </c>
      <c r="T13712" t="s">
        <v>44717</v>
      </c>
      <c r="U13712" t="s">
        <v>56095</v>
      </c>
      <c r="W13712" t="s">
        <v>41907</v>
      </c>
      <c r="X13712" t="s">
        <v>43189</v>
      </c>
    </row>
    <row r="13713" spans="1:24">
      <c r="A13713">
        <f>HYPERLINK("https://www.philgeps.gov.ph/GEPSNONPILOT/Tender/SplashBidNoticeAbstractUI.aspx?menuIndex=3&amp;refID=7044987&amp;Result=3","7044987")</f>
        <v>0</v>
      </c>
      <c r="B13713" t="s">
        <v>202</v>
      </c>
      <c r="C13713" t="s">
        <v>16545</v>
      </c>
      <c r="D13713" t="s">
        <v>17461</v>
      </c>
      <c r="E13713" t="s">
        <v>29243</v>
      </c>
      <c r="F13713" t="s">
        <v>30052</v>
      </c>
      <c r="G13713" t="s">
        <v>30058</v>
      </c>
      <c r="H13713" t="s">
        <v>15498</v>
      </c>
      <c r="I13713" t="s">
        <v>3736</v>
      </c>
      <c r="J13713" t="s">
        <v>38510</v>
      </c>
      <c r="K13713" t="s">
        <v>39029</v>
      </c>
      <c r="L13713" t="s">
        <v>202</v>
      </c>
      <c r="M13713" t="s">
        <v>39492</v>
      </c>
      <c r="N13713" t="s">
        <v>43166</v>
      </c>
      <c r="O13713" t="s">
        <v>43167</v>
      </c>
      <c r="P13713">
        <v>0</v>
      </c>
      <c r="Q13713">
        <v>2</v>
      </c>
      <c r="R13713" t="s">
        <v>43188</v>
      </c>
      <c r="S13713" t="s">
        <v>44213</v>
      </c>
      <c r="T13713" t="s">
        <v>44862</v>
      </c>
      <c r="U13713" t="s">
        <v>56096</v>
      </c>
      <c r="W13713" t="s">
        <v>39492</v>
      </c>
      <c r="X13713" t="s">
        <v>43189</v>
      </c>
    </row>
    <row r="13714" spans="1:24">
      <c r="A13714">
        <f>HYPERLINK("https://www.philgeps.gov.ph/GEPSNONPILOT/Tender/SplashBidNoticeAbstractUI.aspx?menuIndex=3&amp;refID=7045221&amp;Result=3","7045221")</f>
        <v>0</v>
      </c>
      <c r="B13714" t="s">
        <v>3201</v>
      </c>
      <c r="C13714" t="s">
        <v>16546</v>
      </c>
      <c r="D13714" t="s">
        <v>17484</v>
      </c>
      <c r="E13714" t="s">
        <v>29244</v>
      </c>
      <c r="F13714" t="s">
        <v>30052</v>
      </c>
      <c r="G13714" t="s">
        <v>30058</v>
      </c>
      <c r="H13714" t="s">
        <v>30067</v>
      </c>
      <c r="I13714" t="s">
        <v>3693</v>
      </c>
      <c r="J13714" t="s">
        <v>30247</v>
      </c>
      <c r="K13714" t="s">
        <v>39057</v>
      </c>
      <c r="M13714" t="s">
        <v>42820</v>
      </c>
      <c r="N13714" t="s">
        <v>43166</v>
      </c>
      <c r="O13714" t="s">
        <v>43167</v>
      </c>
      <c r="P13714">
        <v>0</v>
      </c>
      <c r="Q13714">
        <v>1</v>
      </c>
      <c r="R13714" t="s">
        <v>43188</v>
      </c>
      <c r="S13714" t="s">
        <v>44213</v>
      </c>
      <c r="T13714" t="s">
        <v>44777</v>
      </c>
      <c r="U13714" t="s">
        <v>56097</v>
      </c>
      <c r="W13714" t="s">
        <v>42820</v>
      </c>
      <c r="X13714" t="s">
        <v>43189</v>
      </c>
    </row>
    <row r="13715" spans="1:24">
      <c r="A13715">
        <f>HYPERLINK("https://www.philgeps.gov.ph/GEPSNONPILOT/Tender/SplashBidNoticeAbstractUI.aspx?menuIndex=3&amp;refID=7045212&amp;Result=3","7045212")</f>
        <v>0</v>
      </c>
      <c r="B13715" t="s">
        <v>3388</v>
      </c>
      <c r="C13715" t="s">
        <v>16547</v>
      </c>
      <c r="D13715" t="s">
        <v>17471</v>
      </c>
      <c r="E13715" t="s">
        <v>29245</v>
      </c>
      <c r="F13715" t="s">
        <v>30052</v>
      </c>
      <c r="G13715" t="s">
        <v>30058</v>
      </c>
      <c r="H13715" t="s">
        <v>30067</v>
      </c>
      <c r="I13715" t="s">
        <v>3693</v>
      </c>
      <c r="J13715" t="s">
        <v>30239</v>
      </c>
      <c r="K13715" t="s">
        <v>39057</v>
      </c>
      <c r="M13715" t="s">
        <v>43050</v>
      </c>
      <c r="N13715" t="s">
        <v>43166</v>
      </c>
      <c r="O13715" t="s">
        <v>43167</v>
      </c>
      <c r="P13715">
        <v>0</v>
      </c>
      <c r="Q13715">
        <v>0</v>
      </c>
      <c r="R13715" t="s">
        <v>43188</v>
      </c>
      <c r="S13715" t="s">
        <v>44213</v>
      </c>
      <c r="T13715" t="s">
        <v>44717</v>
      </c>
      <c r="U13715" t="s">
        <v>56098</v>
      </c>
      <c r="W13715" t="s">
        <v>43050</v>
      </c>
      <c r="X13715" t="s">
        <v>43189</v>
      </c>
    </row>
    <row r="13716" spans="1:24">
      <c r="A13716">
        <f>HYPERLINK("https://www.philgeps.gov.ph/GEPSNONPILOT/Tender/SplashBidNoticeAbstractUI.aspx?menuIndex=3&amp;refID=7045201&amp;Result=3","7045201")</f>
        <v>0</v>
      </c>
      <c r="B13716" t="s">
        <v>3388</v>
      </c>
      <c r="C13716" t="s">
        <v>16548</v>
      </c>
      <c r="D13716" t="s">
        <v>17471</v>
      </c>
      <c r="E13716" t="s">
        <v>29246</v>
      </c>
      <c r="F13716" t="s">
        <v>30052</v>
      </c>
      <c r="G13716" t="s">
        <v>30058</v>
      </c>
      <c r="H13716" t="s">
        <v>30067</v>
      </c>
      <c r="I13716" t="s">
        <v>3693</v>
      </c>
      <c r="J13716" t="s">
        <v>30239</v>
      </c>
      <c r="K13716" t="s">
        <v>39057</v>
      </c>
      <c r="M13716" t="s">
        <v>43050</v>
      </c>
      <c r="N13716" t="s">
        <v>43166</v>
      </c>
      <c r="O13716" t="s">
        <v>43167</v>
      </c>
      <c r="P13716">
        <v>0</v>
      </c>
      <c r="Q13716">
        <v>0</v>
      </c>
      <c r="R13716" t="s">
        <v>43188</v>
      </c>
      <c r="S13716" t="s">
        <v>44213</v>
      </c>
      <c r="T13716" t="s">
        <v>44717</v>
      </c>
      <c r="U13716" t="s">
        <v>56099</v>
      </c>
      <c r="W13716" t="s">
        <v>43050</v>
      </c>
      <c r="X13716" t="s">
        <v>43189</v>
      </c>
    </row>
    <row r="13717" spans="1:24">
      <c r="A13717">
        <f>HYPERLINK("https://www.philgeps.gov.ph/GEPSNONPILOT/Tender/SplashBidNoticeAbstractUI.aspx?menuIndex=3&amp;refID=7045041&amp;Result=3","7045041")</f>
        <v>0</v>
      </c>
      <c r="B13717" t="s">
        <v>202</v>
      </c>
      <c r="C13717" t="s">
        <v>16549</v>
      </c>
      <c r="D13717" t="s">
        <v>17461</v>
      </c>
      <c r="E13717" t="s">
        <v>29247</v>
      </c>
      <c r="F13717" t="s">
        <v>30052</v>
      </c>
      <c r="G13717" t="s">
        <v>30058</v>
      </c>
      <c r="H13717" t="s">
        <v>15498</v>
      </c>
      <c r="I13717" t="s">
        <v>30073</v>
      </c>
      <c r="J13717" t="s">
        <v>38511</v>
      </c>
      <c r="K13717" t="s">
        <v>39029</v>
      </c>
      <c r="L13717" t="s">
        <v>202</v>
      </c>
      <c r="M13717" t="s">
        <v>39492</v>
      </c>
      <c r="N13717" t="s">
        <v>43166</v>
      </c>
      <c r="O13717" t="s">
        <v>43167</v>
      </c>
      <c r="P13717">
        <v>0</v>
      </c>
      <c r="Q13717">
        <v>2</v>
      </c>
      <c r="R13717" t="s">
        <v>43188</v>
      </c>
      <c r="S13717" t="s">
        <v>44213</v>
      </c>
      <c r="T13717" t="s">
        <v>44862</v>
      </c>
      <c r="U13717" t="s">
        <v>56100</v>
      </c>
      <c r="W13717" t="s">
        <v>39492</v>
      </c>
      <c r="X13717" t="s">
        <v>43189</v>
      </c>
    </row>
    <row r="13718" spans="1:24">
      <c r="A13718">
        <f>HYPERLINK("https://www.philgeps.gov.ph/GEPSNONPILOT/Tender/SplashBidNoticeAbstractUI.aspx?menuIndex=3&amp;refID=7045197&amp;Result=3","7045197")</f>
        <v>0</v>
      </c>
      <c r="B13718" t="s">
        <v>2410</v>
      </c>
      <c r="C13718" t="s">
        <v>16550</v>
      </c>
      <c r="D13718" t="s">
        <v>17470</v>
      </c>
      <c r="E13718" t="s">
        <v>29248</v>
      </c>
      <c r="F13718" t="s">
        <v>30052</v>
      </c>
      <c r="G13718" t="s">
        <v>30058</v>
      </c>
      <c r="H13718" t="s">
        <v>15498</v>
      </c>
      <c r="I13718" t="s">
        <v>3852</v>
      </c>
      <c r="J13718" t="s">
        <v>38512</v>
      </c>
      <c r="K13718" t="s">
        <v>39029</v>
      </c>
      <c r="M13718" t="s">
        <v>41907</v>
      </c>
      <c r="N13718" t="s">
        <v>43166</v>
      </c>
      <c r="O13718" t="s">
        <v>43167</v>
      </c>
      <c r="P13718">
        <v>0</v>
      </c>
      <c r="Q13718">
        <v>0</v>
      </c>
      <c r="R13718" t="s">
        <v>43188</v>
      </c>
      <c r="S13718" t="s">
        <v>44213</v>
      </c>
      <c r="T13718" t="s">
        <v>44717</v>
      </c>
      <c r="U13718" t="s">
        <v>56101</v>
      </c>
      <c r="W13718" t="s">
        <v>41907</v>
      </c>
      <c r="X13718" t="s">
        <v>43189</v>
      </c>
    </row>
    <row r="13719" spans="1:24">
      <c r="A13719">
        <f>HYPERLINK("https://www.philgeps.gov.ph/GEPSNONPILOT/Tender/SplashBidNoticeAbstractUI.aspx?menuIndex=3&amp;refID=7045196&amp;Result=3","7045196")</f>
        <v>0</v>
      </c>
      <c r="B13719" t="s">
        <v>598</v>
      </c>
      <c r="C13719" t="s">
        <v>16551</v>
      </c>
      <c r="D13719" t="s">
        <v>17421</v>
      </c>
      <c r="E13719" t="s">
        <v>29249</v>
      </c>
      <c r="F13719" t="s">
        <v>30052</v>
      </c>
      <c r="G13719" t="s">
        <v>30058</v>
      </c>
      <c r="H13719" t="s">
        <v>30067</v>
      </c>
      <c r="I13719" t="s">
        <v>3693</v>
      </c>
      <c r="J13719" t="s">
        <v>38513</v>
      </c>
      <c r="K13719" t="s">
        <v>39065</v>
      </c>
      <c r="M13719" t="s">
        <v>39900</v>
      </c>
      <c r="N13719" t="s">
        <v>43166</v>
      </c>
      <c r="O13719" t="s">
        <v>43167</v>
      </c>
      <c r="P13719">
        <v>0</v>
      </c>
      <c r="Q13719">
        <v>3</v>
      </c>
      <c r="R13719" t="s">
        <v>43188</v>
      </c>
      <c r="S13719" t="s">
        <v>44213</v>
      </c>
      <c r="T13719" t="s">
        <v>44798</v>
      </c>
      <c r="U13719" t="s">
        <v>46370</v>
      </c>
      <c r="W13719" t="s">
        <v>39900</v>
      </c>
      <c r="X13719" t="s">
        <v>43189</v>
      </c>
    </row>
    <row r="13720" spans="1:24">
      <c r="A13720">
        <f>HYPERLINK("https://www.philgeps.gov.ph/GEPSNONPILOT/Tender/SplashBidNoticeAbstractUI.aspx?menuIndex=3&amp;refID=7045271&amp;Result=3","7045271")</f>
        <v>0</v>
      </c>
      <c r="B13720" t="s">
        <v>2709</v>
      </c>
      <c r="C13720" t="s">
        <v>16552</v>
      </c>
      <c r="D13720" t="s">
        <v>17459</v>
      </c>
      <c r="E13720" t="s">
        <v>29250</v>
      </c>
      <c r="F13720" t="s">
        <v>30052</v>
      </c>
      <c r="G13720" t="s">
        <v>30058</v>
      </c>
      <c r="H13720" t="s">
        <v>15498</v>
      </c>
      <c r="I13720" t="s">
        <v>30150</v>
      </c>
      <c r="J13720" t="s">
        <v>30297</v>
      </c>
      <c r="K13720" t="s">
        <v>39029</v>
      </c>
      <c r="M13720" t="s">
        <v>42234</v>
      </c>
      <c r="N13720" t="s">
        <v>43166</v>
      </c>
      <c r="O13720" t="s">
        <v>43167</v>
      </c>
      <c r="Q13720">
        <v>6</v>
      </c>
      <c r="R13720" t="s">
        <v>43188</v>
      </c>
      <c r="S13720" t="s">
        <v>44228</v>
      </c>
      <c r="T13720" t="s">
        <v>44804</v>
      </c>
      <c r="U13720" t="s">
        <v>52553</v>
      </c>
      <c r="W13720" t="s">
        <v>42234</v>
      </c>
      <c r="X13720" t="s">
        <v>43189</v>
      </c>
    </row>
    <row r="13721" spans="1:24">
      <c r="A13721">
        <f>HYPERLINK("https://www.philgeps.gov.ph/GEPSNONPILOT/Tender/SplashBidNoticeAbstractUI.aspx?menuIndex=3&amp;refID=7045182&amp;Result=3","7045182")</f>
        <v>0</v>
      </c>
      <c r="B13721" t="s">
        <v>813</v>
      </c>
      <c r="C13721" t="s">
        <v>16553</v>
      </c>
      <c r="D13721" t="s">
        <v>17426</v>
      </c>
      <c r="E13721" t="s">
        <v>29251</v>
      </c>
      <c r="F13721" t="s">
        <v>30052</v>
      </c>
      <c r="G13721" t="s">
        <v>30058</v>
      </c>
      <c r="H13721" t="s">
        <v>30067</v>
      </c>
      <c r="I13721" t="s">
        <v>3693</v>
      </c>
      <c r="J13721" t="s">
        <v>30252</v>
      </c>
      <c r="K13721" t="s">
        <v>39086</v>
      </c>
      <c r="M13721" t="s">
        <v>40130</v>
      </c>
      <c r="N13721" t="s">
        <v>43166</v>
      </c>
      <c r="O13721" t="s">
        <v>43167</v>
      </c>
      <c r="P13721">
        <v>0</v>
      </c>
      <c r="Q13721">
        <v>0</v>
      </c>
      <c r="R13721" t="s">
        <v>43188</v>
      </c>
      <c r="S13721" t="s">
        <v>44213</v>
      </c>
      <c r="T13721" t="s">
        <v>44861</v>
      </c>
      <c r="U13721" t="s">
        <v>46896</v>
      </c>
      <c r="W13721" t="s">
        <v>40130</v>
      </c>
      <c r="X13721" t="s">
        <v>43189</v>
      </c>
    </row>
    <row r="13722" spans="1:24">
      <c r="A13722">
        <f>HYPERLINK("https://www.philgeps.gov.ph/GEPSNONPILOT/Tender/SplashBidNoticeAbstractUI.aspx?menuIndex=3&amp;refID=7045169&amp;Result=3","7045169")</f>
        <v>0</v>
      </c>
      <c r="B13722" t="s">
        <v>1667</v>
      </c>
      <c r="C13722" t="s">
        <v>16554</v>
      </c>
      <c r="D13722" t="s">
        <v>17416</v>
      </c>
      <c r="E13722" t="s">
        <v>29252</v>
      </c>
      <c r="F13722" t="s">
        <v>30052</v>
      </c>
      <c r="G13722" t="s">
        <v>30058</v>
      </c>
      <c r="H13722" t="s">
        <v>15498</v>
      </c>
      <c r="I13722" t="s">
        <v>30142</v>
      </c>
      <c r="J13722" t="s">
        <v>38514</v>
      </c>
      <c r="K13722" t="s">
        <v>39017</v>
      </c>
      <c r="M13722" t="s">
        <v>41074</v>
      </c>
      <c r="N13722" t="s">
        <v>43166</v>
      </c>
      <c r="O13722" t="s">
        <v>43167</v>
      </c>
      <c r="P13722">
        <v>0</v>
      </c>
      <c r="Q13722">
        <v>2</v>
      </c>
      <c r="R13722" t="s">
        <v>43188</v>
      </c>
      <c r="S13722" t="s">
        <v>44213</v>
      </c>
      <c r="T13722" t="s">
        <v>44822</v>
      </c>
      <c r="U13722" t="s">
        <v>56102</v>
      </c>
      <c r="W13722" t="s">
        <v>41074</v>
      </c>
      <c r="X13722" t="s">
        <v>43189</v>
      </c>
    </row>
    <row r="13723" spans="1:24">
      <c r="A13723">
        <f>HYPERLINK("https://www.philgeps.gov.ph/GEPSNONPILOT/Tender/SplashBidNoticeAbstractUI.aspx?menuIndex=3&amp;refID=7045152&amp;Result=3","7045152")</f>
        <v>0</v>
      </c>
      <c r="B13723" t="s">
        <v>1736</v>
      </c>
      <c r="C13723" t="s">
        <v>3736</v>
      </c>
      <c r="D13723" t="s">
        <v>17444</v>
      </c>
      <c r="E13723" t="s">
        <v>29253</v>
      </c>
      <c r="F13723" t="s">
        <v>30052</v>
      </c>
      <c r="G13723" t="s">
        <v>30058</v>
      </c>
      <c r="H13723" t="s">
        <v>30067</v>
      </c>
      <c r="I13723" t="s">
        <v>3736</v>
      </c>
      <c r="J13723" t="s">
        <v>38515</v>
      </c>
      <c r="K13723" t="s">
        <v>39034</v>
      </c>
      <c r="M13723" t="s">
        <v>41153</v>
      </c>
      <c r="N13723" t="s">
        <v>43166</v>
      </c>
      <c r="O13723" t="s">
        <v>43167</v>
      </c>
      <c r="Q13723">
        <v>1</v>
      </c>
      <c r="R13723" t="s">
        <v>43188</v>
      </c>
      <c r="S13723" t="s">
        <v>44229</v>
      </c>
      <c r="T13723" t="s">
        <v>44717</v>
      </c>
      <c r="U13723" t="s">
        <v>56103</v>
      </c>
      <c r="W13723" t="s">
        <v>41153</v>
      </c>
      <c r="X13723" t="s">
        <v>43189</v>
      </c>
    </row>
    <row r="13724" spans="1:24">
      <c r="A13724">
        <f>HYPERLINK("https://www.philgeps.gov.ph/GEPSNONPILOT/Tender/SplashBidNoticeAbstractUI.aspx?menuIndex=3&amp;refID=7045274&amp;Result=3","7045274")</f>
        <v>0</v>
      </c>
      <c r="B13724" t="s">
        <v>382</v>
      </c>
      <c r="C13724" t="s">
        <v>16555</v>
      </c>
      <c r="D13724" t="s">
        <v>17474</v>
      </c>
      <c r="E13724" t="s">
        <v>29254</v>
      </c>
      <c r="F13724" t="s">
        <v>30052</v>
      </c>
      <c r="G13724" t="s">
        <v>30058</v>
      </c>
      <c r="H13724" t="s">
        <v>15498</v>
      </c>
      <c r="I13724" t="s">
        <v>7228</v>
      </c>
      <c r="J13724" t="s">
        <v>38516</v>
      </c>
      <c r="K13724" t="s">
        <v>39025</v>
      </c>
      <c r="M13724" t="s">
        <v>39680</v>
      </c>
      <c r="N13724" t="s">
        <v>43166</v>
      </c>
      <c r="O13724" t="s">
        <v>43167</v>
      </c>
      <c r="P13724">
        <v>0</v>
      </c>
      <c r="Q13724">
        <v>1</v>
      </c>
      <c r="R13724" t="s">
        <v>43188</v>
      </c>
      <c r="S13724" t="s">
        <v>44213</v>
      </c>
      <c r="T13724" t="s">
        <v>44969</v>
      </c>
      <c r="U13724" t="s">
        <v>56104</v>
      </c>
      <c r="W13724" t="s">
        <v>39680</v>
      </c>
      <c r="X13724" t="s">
        <v>43189</v>
      </c>
    </row>
    <row r="13725" spans="1:24">
      <c r="A13725">
        <f>HYPERLINK("https://www.philgeps.gov.ph/GEPSNONPILOT/Tender/SplashBidNoticeAbstractUI.aspx?menuIndex=3&amp;refID=7045272&amp;Result=3","7045272")</f>
        <v>0</v>
      </c>
      <c r="B13725" t="s">
        <v>2953</v>
      </c>
      <c r="C13725" t="s">
        <v>16556</v>
      </c>
      <c r="D13725" t="s">
        <v>17466</v>
      </c>
      <c r="E13725" t="s">
        <v>29255</v>
      </c>
      <c r="F13725" t="s">
        <v>30052</v>
      </c>
      <c r="G13725" t="s">
        <v>30058</v>
      </c>
      <c r="H13725" t="s">
        <v>15498</v>
      </c>
      <c r="I13725" t="s">
        <v>30150</v>
      </c>
      <c r="J13725" t="s">
        <v>38517</v>
      </c>
      <c r="K13725" t="s">
        <v>39046</v>
      </c>
      <c r="M13725" t="s">
        <v>42518</v>
      </c>
      <c r="N13725" t="s">
        <v>43166</v>
      </c>
      <c r="O13725" t="s">
        <v>43167</v>
      </c>
      <c r="Q13725">
        <v>12</v>
      </c>
      <c r="R13725" t="s">
        <v>43188</v>
      </c>
      <c r="S13725" t="s">
        <v>44230</v>
      </c>
      <c r="T13725" t="s">
        <v>44777</v>
      </c>
      <c r="U13725" t="s">
        <v>56105</v>
      </c>
      <c r="W13725" t="s">
        <v>58692</v>
      </c>
      <c r="X13725" t="s">
        <v>43189</v>
      </c>
    </row>
    <row r="13726" spans="1:24">
      <c r="A13726">
        <f>HYPERLINK("https://www.philgeps.gov.ph/GEPSNONPILOT/Tender/SplashBidNoticeAbstractUI.aspx?menuIndex=3&amp;refID=7045610&amp;Result=3","7045610")</f>
        <v>0</v>
      </c>
      <c r="B13726" t="s">
        <v>390</v>
      </c>
      <c r="C13726" t="s">
        <v>16557</v>
      </c>
      <c r="D13726" t="s">
        <v>17415</v>
      </c>
      <c r="E13726" t="s">
        <v>29256</v>
      </c>
      <c r="F13726" t="s">
        <v>30052</v>
      </c>
      <c r="G13726" t="s">
        <v>30058</v>
      </c>
      <c r="H13726" t="s">
        <v>15498</v>
      </c>
      <c r="I13726" t="s">
        <v>30116</v>
      </c>
      <c r="J13726" t="s">
        <v>30813</v>
      </c>
      <c r="K13726" t="s">
        <v>39025</v>
      </c>
      <c r="M13726" t="s">
        <v>43005</v>
      </c>
      <c r="N13726" t="s">
        <v>43166</v>
      </c>
      <c r="O13726" t="s">
        <v>43167</v>
      </c>
      <c r="Q13726">
        <v>12</v>
      </c>
      <c r="R13726" t="s">
        <v>43188</v>
      </c>
      <c r="S13726" t="s">
        <v>44231</v>
      </c>
      <c r="T13726" t="s">
        <v>44832</v>
      </c>
      <c r="U13726" t="s">
        <v>56106</v>
      </c>
      <c r="W13726" t="s">
        <v>43005</v>
      </c>
      <c r="X13726" t="s">
        <v>43189</v>
      </c>
    </row>
    <row r="13727" spans="1:24">
      <c r="A13727">
        <f>HYPERLINK("https://www.philgeps.gov.ph/GEPSNONPILOT/Tender/SplashBidNoticeAbstractUI.aspx?menuIndex=3&amp;refID=7045023&amp;Result=3","7045023")</f>
        <v>0</v>
      </c>
      <c r="B13727" t="s">
        <v>1667</v>
      </c>
      <c r="C13727" t="s">
        <v>16558</v>
      </c>
      <c r="D13727" t="s">
        <v>17416</v>
      </c>
      <c r="E13727" t="s">
        <v>29257</v>
      </c>
      <c r="F13727" t="s">
        <v>30052</v>
      </c>
      <c r="G13727" t="s">
        <v>30058</v>
      </c>
      <c r="H13727" t="s">
        <v>15498</v>
      </c>
      <c r="I13727" t="s">
        <v>30153</v>
      </c>
      <c r="J13727" t="s">
        <v>38518</v>
      </c>
      <c r="K13727" t="s">
        <v>39017</v>
      </c>
      <c r="M13727" t="s">
        <v>41074</v>
      </c>
      <c r="N13727" t="s">
        <v>43166</v>
      </c>
      <c r="O13727" t="s">
        <v>43167</v>
      </c>
      <c r="P13727">
        <v>0</v>
      </c>
      <c r="Q13727">
        <v>5</v>
      </c>
      <c r="R13727" t="s">
        <v>43188</v>
      </c>
      <c r="S13727" t="s">
        <v>44213</v>
      </c>
      <c r="T13727" t="s">
        <v>44822</v>
      </c>
      <c r="U13727" t="s">
        <v>56107</v>
      </c>
      <c r="W13727" t="s">
        <v>41074</v>
      </c>
      <c r="X13727" t="s">
        <v>43189</v>
      </c>
    </row>
    <row r="13728" spans="1:24">
      <c r="A13728">
        <f>HYPERLINK("https://www.philgeps.gov.ph/GEPSNONPILOT/Tender/SplashBidNoticeAbstractUI.aspx?menuIndex=3&amp;refID=7045198&amp;Result=3","7045198")</f>
        <v>0</v>
      </c>
      <c r="B13728" t="s">
        <v>3201</v>
      </c>
      <c r="C13728" t="s">
        <v>16559</v>
      </c>
      <c r="D13728" t="s">
        <v>17484</v>
      </c>
      <c r="E13728" t="s">
        <v>29258</v>
      </c>
      <c r="F13728" t="s">
        <v>30052</v>
      </c>
      <c r="G13728" t="s">
        <v>30058</v>
      </c>
      <c r="H13728" t="s">
        <v>30067</v>
      </c>
      <c r="I13728" t="s">
        <v>3693</v>
      </c>
      <c r="J13728" t="s">
        <v>30222</v>
      </c>
      <c r="K13728" t="s">
        <v>39023</v>
      </c>
      <c r="M13728" t="s">
        <v>42820</v>
      </c>
      <c r="N13728" t="s">
        <v>43166</v>
      </c>
      <c r="O13728" t="s">
        <v>43167</v>
      </c>
      <c r="P13728">
        <v>0</v>
      </c>
      <c r="Q13728">
        <v>1</v>
      </c>
      <c r="R13728" t="s">
        <v>43188</v>
      </c>
      <c r="S13728" t="s">
        <v>44213</v>
      </c>
      <c r="T13728" t="s">
        <v>44788</v>
      </c>
      <c r="U13728" t="s">
        <v>56108</v>
      </c>
      <c r="W13728" t="s">
        <v>42820</v>
      </c>
      <c r="X13728" t="s">
        <v>43189</v>
      </c>
    </row>
    <row r="13729" spans="1:24">
      <c r="A13729">
        <f>HYPERLINK("https://www.philgeps.gov.ph/GEPSNONPILOT/Tender/SplashBidNoticeAbstractUI.aspx?menuIndex=3&amp;refID=7045574&amp;Result=3","7045574")</f>
        <v>0</v>
      </c>
      <c r="B13729" t="s">
        <v>964</v>
      </c>
      <c r="C13729" t="s">
        <v>16560</v>
      </c>
      <c r="D13729" t="s">
        <v>17415</v>
      </c>
      <c r="E13729" t="s">
        <v>29259</v>
      </c>
      <c r="F13729" t="s">
        <v>30052</v>
      </c>
      <c r="G13729" t="s">
        <v>30058</v>
      </c>
      <c r="H13729" t="s">
        <v>30067</v>
      </c>
      <c r="I13729" t="s">
        <v>3693</v>
      </c>
      <c r="J13729" t="s">
        <v>38519</v>
      </c>
      <c r="K13729" t="s">
        <v>39022</v>
      </c>
      <c r="M13729" t="s">
        <v>42637</v>
      </c>
      <c r="N13729" t="s">
        <v>43166</v>
      </c>
      <c r="O13729" t="s">
        <v>43167</v>
      </c>
      <c r="Q13729">
        <v>20</v>
      </c>
      <c r="R13729" t="s">
        <v>43188</v>
      </c>
      <c r="S13729" t="s">
        <v>44232</v>
      </c>
      <c r="T13729" t="s">
        <v>44870</v>
      </c>
      <c r="U13729" t="s">
        <v>56109</v>
      </c>
      <c r="V13729" t="s">
        <v>57652</v>
      </c>
      <c r="W13729" t="s">
        <v>42637</v>
      </c>
      <c r="X13729" t="s">
        <v>43189</v>
      </c>
    </row>
    <row r="13730" spans="1:24">
      <c r="A13730">
        <f>HYPERLINK("https://www.philgeps.gov.ph/GEPSNONPILOT/Tender/SplashBidNoticeAbstractUI.aspx?menuIndex=3&amp;refID=7045493&amp;Result=3","7045493")</f>
        <v>0</v>
      </c>
      <c r="B13730" t="s">
        <v>1393</v>
      </c>
      <c r="C13730" t="s">
        <v>16561</v>
      </c>
      <c r="D13730" t="s">
        <v>17474</v>
      </c>
      <c r="E13730" t="s">
        <v>29260</v>
      </c>
      <c r="F13730" t="s">
        <v>30052</v>
      </c>
      <c r="G13730" t="s">
        <v>30058</v>
      </c>
      <c r="H13730" t="s">
        <v>15498</v>
      </c>
      <c r="I13730" t="s">
        <v>3736</v>
      </c>
      <c r="J13730" t="s">
        <v>31207</v>
      </c>
      <c r="K13730" t="s">
        <v>39034</v>
      </c>
      <c r="M13730" t="s">
        <v>40769</v>
      </c>
      <c r="N13730" t="s">
        <v>43166</v>
      </c>
      <c r="O13730" t="s">
        <v>43167</v>
      </c>
      <c r="P13730">
        <v>0</v>
      </c>
      <c r="Q13730">
        <v>0</v>
      </c>
      <c r="R13730" t="s">
        <v>43188</v>
      </c>
      <c r="S13730" t="s">
        <v>44213</v>
      </c>
      <c r="T13730" t="s">
        <v>44822</v>
      </c>
      <c r="U13730" t="s">
        <v>48721</v>
      </c>
      <c r="W13730" t="s">
        <v>40769</v>
      </c>
      <c r="X13730" t="s">
        <v>43189</v>
      </c>
    </row>
    <row r="13731" spans="1:24">
      <c r="A13731">
        <f>HYPERLINK("https://www.philgeps.gov.ph/GEPSNONPILOT/Tender/SplashBidNoticeAbstractUI.aspx?menuIndex=3&amp;refID=7045463&amp;Result=3","7045463")</f>
        <v>0</v>
      </c>
      <c r="B13731" t="s">
        <v>3389</v>
      </c>
      <c r="C13731" t="s">
        <v>16562</v>
      </c>
      <c r="D13731" t="s">
        <v>17431</v>
      </c>
      <c r="E13731" t="s">
        <v>29261</v>
      </c>
      <c r="F13731" t="s">
        <v>30052</v>
      </c>
      <c r="G13731" t="s">
        <v>30058</v>
      </c>
      <c r="H13731" t="s">
        <v>30067</v>
      </c>
      <c r="I13731" t="s">
        <v>3693</v>
      </c>
      <c r="J13731" t="s">
        <v>38520</v>
      </c>
      <c r="K13731" t="s">
        <v>39031</v>
      </c>
      <c r="M13731" t="s">
        <v>43051</v>
      </c>
      <c r="N13731" t="s">
        <v>43166</v>
      </c>
      <c r="O13731" t="s">
        <v>43167</v>
      </c>
      <c r="P13731">
        <v>0</v>
      </c>
      <c r="Q13731">
        <v>0</v>
      </c>
      <c r="R13731" t="s">
        <v>43188</v>
      </c>
      <c r="S13731" t="s">
        <v>44213</v>
      </c>
      <c r="T13731" t="s">
        <v>44856</v>
      </c>
      <c r="U13731" t="s">
        <v>56110</v>
      </c>
      <c r="W13731" t="s">
        <v>43051</v>
      </c>
      <c r="X13731" t="s">
        <v>43189</v>
      </c>
    </row>
    <row r="13732" spans="1:24">
      <c r="A13732">
        <f>HYPERLINK("https://www.philgeps.gov.ph/GEPSNONPILOT/Tender/SplashBidNoticeAbstractUI.aspx?menuIndex=3&amp;refID=7045180&amp;Result=3","7045180")</f>
        <v>0</v>
      </c>
      <c r="B13732" t="s">
        <v>483</v>
      </c>
      <c r="C13732" t="s">
        <v>16563</v>
      </c>
      <c r="D13732" t="s">
        <v>17489</v>
      </c>
      <c r="E13732" t="s">
        <v>29262</v>
      </c>
      <c r="F13732" t="s">
        <v>30052</v>
      </c>
      <c r="G13732" t="s">
        <v>30058</v>
      </c>
      <c r="H13732" t="s">
        <v>30067</v>
      </c>
      <c r="I13732" t="s">
        <v>3693</v>
      </c>
      <c r="J13732" t="s">
        <v>38521</v>
      </c>
      <c r="K13732" t="s">
        <v>39047</v>
      </c>
      <c r="M13732" t="s">
        <v>39784</v>
      </c>
      <c r="N13732" t="s">
        <v>43166</v>
      </c>
      <c r="O13732" t="s">
        <v>43167</v>
      </c>
      <c r="P13732">
        <v>0</v>
      </c>
      <c r="Q13732">
        <v>0</v>
      </c>
      <c r="R13732" t="s">
        <v>43188</v>
      </c>
      <c r="S13732" t="s">
        <v>44213</v>
      </c>
      <c r="T13732" t="s">
        <v>44717</v>
      </c>
      <c r="U13732" t="s">
        <v>56111</v>
      </c>
      <c r="W13732" t="s">
        <v>39784</v>
      </c>
      <c r="X13732" t="s">
        <v>43189</v>
      </c>
    </row>
    <row r="13733" spans="1:24">
      <c r="A13733">
        <f>HYPERLINK("https://www.philgeps.gov.ph/GEPSNONPILOT/Tender/SplashBidNoticeAbstractUI.aspx?menuIndex=3&amp;refID=7045447&amp;Result=3","7045447")</f>
        <v>0</v>
      </c>
      <c r="B13733" t="s">
        <v>3390</v>
      </c>
      <c r="C13733" t="s">
        <v>16564</v>
      </c>
      <c r="D13733" t="s">
        <v>17475</v>
      </c>
      <c r="E13733" t="s">
        <v>29263</v>
      </c>
      <c r="F13733" t="s">
        <v>30052</v>
      </c>
      <c r="G13733" t="s">
        <v>30058</v>
      </c>
      <c r="H13733" t="s">
        <v>15498</v>
      </c>
      <c r="I13733" t="s">
        <v>30161</v>
      </c>
      <c r="J13733" t="s">
        <v>30222</v>
      </c>
      <c r="K13733" t="s">
        <v>39023</v>
      </c>
      <c r="M13733" t="s">
        <v>43052</v>
      </c>
      <c r="N13733" t="s">
        <v>43166</v>
      </c>
      <c r="O13733" t="s">
        <v>43167</v>
      </c>
      <c r="Q13733">
        <v>10</v>
      </c>
      <c r="R13733" t="s">
        <v>43188</v>
      </c>
      <c r="S13733" t="s">
        <v>44233</v>
      </c>
      <c r="T13733" t="s">
        <v>45185</v>
      </c>
      <c r="U13733" t="s">
        <v>56112</v>
      </c>
      <c r="W13733" t="s">
        <v>43052</v>
      </c>
      <c r="X13733" t="s">
        <v>43189</v>
      </c>
    </row>
    <row r="13734" spans="1:24">
      <c r="A13734">
        <f>HYPERLINK("https://www.philgeps.gov.ph/GEPSNONPILOT/Tender/SplashBidNoticeAbstractUI.aspx?menuIndex=3&amp;refID=7045487&amp;Result=3","7045487")</f>
        <v>0</v>
      </c>
      <c r="B13734" t="s">
        <v>2172</v>
      </c>
      <c r="C13734" t="s">
        <v>16565</v>
      </c>
      <c r="D13734" t="s">
        <v>17476</v>
      </c>
      <c r="E13734" t="s">
        <v>18710</v>
      </c>
      <c r="F13734" t="s">
        <v>30052</v>
      </c>
      <c r="G13734" t="s">
        <v>30058</v>
      </c>
      <c r="H13734" t="s">
        <v>30067</v>
      </c>
      <c r="I13734" t="s">
        <v>3693</v>
      </c>
      <c r="J13734" t="s">
        <v>38522</v>
      </c>
      <c r="K13734" t="s">
        <v>39026</v>
      </c>
      <c r="M13734" t="s">
        <v>41640</v>
      </c>
      <c r="N13734" t="s">
        <v>43166</v>
      </c>
      <c r="O13734" t="s">
        <v>43167</v>
      </c>
      <c r="P13734">
        <v>0</v>
      </c>
      <c r="Q13734">
        <v>0</v>
      </c>
      <c r="R13734" t="s">
        <v>43188</v>
      </c>
      <c r="S13734" t="s">
        <v>44213</v>
      </c>
      <c r="T13734" t="s">
        <v>44822</v>
      </c>
      <c r="U13734" t="s">
        <v>56113</v>
      </c>
      <c r="W13734" t="s">
        <v>41640</v>
      </c>
      <c r="X13734" t="s">
        <v>43189</v>
      </c>
    </row>
    <row r="13735" spans="1:24">
      <c r="A13735">
        <f>HYPERLINK("https://www.philgeps.gov.ph/GEPSNONPILOT/Tender/SplashBidNoticeAbstractUI.aspx?menuIndex=3&amp;refID=7045446&amp;Result=3","7045446")</f>
        <v>0</v>
      </c>
      <c r="B13735" t="s">
        <v>2172</v>
      </c>
      <c r="C13735" t="s">
        <v>16566</v>
      </c>
      <c r="D13735" t="s">
        <v>17476</v>
      </c>
      <c r="E13735" t="s">
        <v>29264</v>
      </c>
      <c r="F13735" t="s">
        <v>30052</v>
      </c>
      <c r="G13735" t="s">
        <v>30058</v>
      </c>
      <c r="H13735" t="s">
        <v>30067</v>
      </c>
      <c r="I13735" t="s">
        <v>3693</v>
      </c>
      <c r="J13735" t="s">
        <v>31207</v>
      </c>
      <c r="K13735" t="s">
        <v>39022</v>
      </c>
      <c r="M13735" t="s">
        <v>41640</v>
      </c>
      <c r="N13735" t="s">
        <v>43166</v>
      </c>
      <c r="O13735" t="s">
        <v>43167</v>
      </c>
      <c r="P13735">
        <v>0</v>
      </c>
      <c r="Q13735">
        <v>0</v>
      </c>
      <c r="R13735" t="s">
        <v>43188</v>
      </c>
      <c r="S13735" t="s">
        <v>44213</v>
      </c>
      <c r="T13735" t="s">
        <v>44844</v>
      </c>
      <c r="U13735" t="s">
        <v>56114</v>
      </c>
      <c r="W13735" t="s">
        <v>41640</v>
      </c>
      <c r="X13735" t="s">
        <v>43189</v>
      </c>
    </row>
    <row r="13736" spans="1:24">
      <c r="A13736">
        <f>HYPERLINK("https://www.philgeps.gov.ph/GEPSNONPILOT/Tender/SplashBidNoticeAbstractUI.aspx?menuIndex=3&amp;refID=7045482&amp;Result=3","7045482")</f>
        <v>0</v>
      </c>
      <c r="B13736" t="s">
        <v>2410</v>
      </c>
      <c r="C13736" t="s">
        <v>16567</v>
      </c>
      <c r="D13736" t="s">
        <v>17470</v>
      </c>
      <c r="E13736" t="s">
        <v>29265</v>
      </c>
      <c r="F13736" t="s">
        <v>30052</v>
      </c>
      <c r="G13736" t="s">
        <v>30058</v>
      </c>
      <c r="H13736" t="s">
        <v>15498</v>
      </c>
      <c r="I13736" t="s">
        <v>6691</v>
      </c>
      <c r="J13736" t="s">
        <v>32566</v>
      </c>
      <c r="K13736" t="s">
        <v>39029</v>
      </c>
      <c r="M13736" t="s">
        <v>41907</v>
      </c>
      <c r="N13736" t="s">
        <v>43166</v>
      </c>
      <c r="O13736" t="s">
        <v>43167</v>
      </c>
      <c r="P13736">
        <v>0</v>
      </c>
      <c r="Q13736">
        <v>0</v>
      </c>
      <c r="R13736" t="s">
        <v>43188</v>
      </c>
      <c r="S13736" t="s">
        <v>44213</v>
      </c>
      <c r="T13736" t="s">
        <v>44717</v>
      </c>
      <c r="U13736" t="s">
        <v>56115</v>
      </c>
      <c r="W13736" t="s">
        <v>41907</v>
      </c>
      <c r="X13736" t="s">
        <v>43189</v>
      </c>
    </row>
    <row r="13737" spans="1:24">
      <c r="A13737">
        <f>HYPERLINK("https://www.philgeps.gov.ph/GEPSNONPILOT/Tender/SplashBidNoticeAbstractUI.aspx?menuIndex=3&amp;refID=7045404&amp;Result=3","7045404")</f>
        <v>0</v>
      </c>
      <c r="B13737" t="s">
        <v>2410</v>
      </c>
      <c r="C13737" t="s">
        <v>10969</v>
      </c>
      <c r="D13737" t="s">
        <v>17470</v>
      </c>
      <c r="E13737" t="s">
        <v>29266</v>
      </c>
      <c r="F13737" t="s">
        <v>30052</v>
      </c>
      <c r="G13737" t="s">
        <v>30058</v>
      </c>
      <c r="H13737" t="s">
        <v>15498</v>
      </c>
      <c r="I13737" t="s">
        <v>30070</v>
      </c>
      <c r="J13737" t="s">
        <v>38523</v>
      </c>
      <c r="K13737" t="s">
        <v>39029</v>
      </c>
      <c r="M13737" t="s">
        <v>41907</v>
      </c>
      <c r="N13737" t="s">
        <v>43166</v>
      </c>
      <c r="O13737" t="s">
        <v>43167</v>
      </c>
      <c r="P13737">
        <v>0</v>
      </c>
      <c r="Q13737">
        <v>2</v>
      </c>
      <c r="R13737" t="s">
        <v>43188</v>
      </c>
      <c r="S13737" t="s">
        <v>44213</v>
      </c>
      <c r="T13737" t="s">
        <v>44717</v>
      </c>
      <c r="U13737" t="s">
        <v>56116</v>
      </c>
      <c r="W13737" t="s">
        <v>41907</v>
      </c>
      <c r="X13737" t="s">
        <v>43189</v>
      </c>
    </row>
    <row r="13738" spans="1:24">
      <c r="A13738">
        <f>HYPERLINK("https://www.philgeps.gov.ph/GEPSNONPILOT/Tender/SplashBidNoticeAbstractUI.aspx?menuIndex=3&amp;refID=7045210&amp;Result=3","7045210")</f>
        <v>0</v>
      </c>
      <c r="B13738" t="s">
        <v>1667</v>
      </c>
      <c r="C13738" t="s">
        <v>16568</v>
      </c>
      <c r="D13738" t="s">
        <v>17416</v>
      </c>
      <c r="E13738" t="s">
        <v>29267</v>
      </c>
      <c r="F13738" t="s">
        <v>30052</v>
      </c>
      <c r="G13738" t="s">
        <v>30058</v>
      </c>
      <c r="H13738" t="s">
        <v>15498</v>
      </c>
      <c r="I13738" t="s">
        <v>30074</v>
      </c>
      <c r="J13738" t="s">
        <v>30215</v>
      </c>
      <c r="K13738" t="s">
        <v>39017</v>
      </c>
      <c r="M13738" t="s">
        <v>41074</v>
      </c>
      <c r="N13738" t="s">
        <v>43166</v>
      </c>
      <c r="O13738" t="s">
        <v>43167</v>
      </c>
      <c r="P13738">
        <v>0</v>
      </c>
      <c r="Q13738">
        <v>8</v>
      </c>
      <c r="R13738" t="s">
        <v>43188</v>
      </c>
      <c r="S13738" t="s">
        <v>44213</v>
      </c>
      <c r="T13738" t="s">
        <v>44822</v>
      </c>
      <c r="U13738" t="s">
        <v>56117</v>
      </c>
      <c r="W13738" t="s">
        <v>41074</v>
      </c>
      <c r="X13738" t="s">
        <v>43189</v>
      </c>
    </row>
    <row r="13739" spans="1:24">
      <c r="A13739">
        <f>HYPERLINK("https://www.philgeps.gov.ph/GEPSNONPILOT/Tender/SplashBidNoticeAbstractUI.aspx?menuIndex=3&amp;refID=7045425&amp;Result=3","7045425")</f>
        <v>0</v>
      </c>
      <c r="B13739" t="s">
        <v>3390</v>
      </c>
      <c r="C13739" t="s">
        <v>16569</v>
      </c>
      <c r="D13739" t="s">
        <v>17475</v>
      </c>
      <c r="E13739" t="s">
        <v>29268</v>
      </c>
      <c r="F13739" t="s">
        <v>30052</v>
      </c>
      <c r="G13739" t="s">
        <v>30058</v>
      </c>
      <c r="H13739" t="s">
        <v>15498</v>
      </c>
      <c r="I13739" t="s">
        <v>8323</v>
      </c>
      <c r="J13739" t="s">
        <v>38524</v>
      </c>
      <c r="K13739" t="s">
        <v>39031</v>
      </c>
      <c r="M13739" t="s">
        <v>43052</v>
      </c>
      <c r="N13739" t="s">
        <v>43166</v>
      </c>
      <c r="O13739" t="s">
        <v>43167</v>
      </c>
      <c r="Q13739">
        <v>15</v>
      </c>
      <c r="R13739" t="s">
        <v>43188</v>
      </c>
      <c r="S13739" t="s">
        <v>44234</v>
      </c>
      <c r="T13739" t="s">
        <v>44847</v>
      </c>
      <c r="U13739" t="s">
        <v>56118</v>
      </c>
      <c r="W13739" t="s">
        <v>43052</v>
      </c>
      <c r="X13739" t="s">
        <v>43189</v>
      </c>
    </row>
    <row r="13740" spans="1:24">
      <c r="A13740">
        <f>HYPERLINK("https://www.philgeps.gov.ph/GEPSNONPILOT/Tender/SplashBidNoticeAbstractUI.aspx?menuIndex=3&amp;refID=7045078&amp;Result=3","7045078")</f>
        <v>0</v>
      </c>
      <c r="B13740" t="s">
        <v>736</v>
      </c>
      <c r="C13740" t="s">
        <v>16570</v>
      </c>
      <c r="D13740" t="s">
        <v>17455</v>
      </c>
      <c r="E13740" t="s">
        <v>29269</v>
      </c>
      <c r="F13740" t="s">
        <v>30052</v>
      </c>
      <c r="G13740" t="s">
        <v>30058</v>
      </c>
      <c r="H13740" t="s">
        <v>30069</v>
      </c>
      <c r="I13740" t="s">
        <v>12885</v>
      </c>
      <c r="J13740" t="s">
        <v>38525</v>
      </c>
      <c r="K13740" t="s">
        <v>39048</v>
      </c>
      <c r="M13740" t="s">
        <v>40049</v>
      </c>
      <c r="N13740" t="s">
        <v>43166</v>
      </c>
      <c r="O13740" t="s">
        <v>43167</v>
      </c>
      <c r="P13740">
        <v>0</v>
      </c>
      <c r="Q13740">
        <v>3</v>
      </c>
      <c r="R13740" t="s">
        <v>43188</v>
      </c>
      <c r="S13740" t="s">
        <v>44213</v>
      </c>
      <c r="T13740" t="s">
        <v>44717</v>
      </c>
      <c r="U13740" t="s">
        <v>56119</v>
      </c>
      <c r="W13740" t="s">
        <v>40049</v>
      </c>
      <c r="X13740" t="s">
        <v>43189</v>
      </c>
    </row>
    <row r="13741" spans="1:24">
      <c r="A13741">
        <f>HYPERLINK("https://www.philgeps.gov.ph/GEPSNONPILOT/Tender/SplashBidNoticeAbstractUI.aspx?menuIndex=3&amp;refID=7046084&amp;Result=3","7046084")</f>
        <v>0</v>
      </c>
      <c r="B13741" t="s">
        <v>3391</v>
      </c>
      <c r="C13741" t="s">
        <v>16571</v>
      </c>
      <c r="D13741" t="s">
        <v>17475</v>
      </c>
      <c r="E13741" t="s">
        <v>29270</v>
      </c>
      <c r="F13741" t="s">
        <v>30052</v>
      </c>
      <c r="G13741" t="s">
        <v>30058</v>
      </c>
      <c r="H13741" t="s">
        <v>15498</v>
      </c>
      <c r="I13741" t="s">
        <v>9238</v>
      </c>
      <c r="J13741" t="s">
        <v>30209</v>
      </c>
      <c r="K13741" t="s">
        <v>39031</v>
      </c>
      <c r="M13741" t="s">
        <v>43053</v>
      </c>
      <c r="N13741" t="s">
        <v>43166</v>
      </c>
      <c r="O13741" t="s">
        <v>43167</v>
      </c>
      <c r="Q13741">
        <v>8</v>
      </c>
      <c r="R13741" t="s">
        <v>43188</v>
      </c>
      <c r="S13741" t="s">
        <v>44235</v>
      </c>
      <c r="T13741" t="s">
        <v>44936</v>
      </c>
      <c r="U13741" t="s">
        <v>56120</v>
      </c>
      <c r="V13741" t="s">
        <v>58473</v>
      </c>
      <c r="W13741" t="s">
        <v>43053</v>
      </c>
      <c r="X13741" t="s">
        <v>43189</v>
      </c>
    </row>
    <row r="13742" spans="1:24">
      <c r="A13742">
        <f>HYPERLINK("https://www.philgeps.gov.ph/GEPSNONPILOT/Tender/SplashBidNoticeAbstractUI.aspx?menuIndex=3&amp;refID=7046065&amp;Result=3","7046065")</f>
        <v>0</v>
      </c>
      <c r="B13742" t="s">
        <v>2410</v>
      </c>
      <c r="C13742" t="s">
        <v>16572</v>
      </c>
      <c r="D13742" t="s">
        <v>17470</v>
      </c>
      <c r="E13742" t="s">
        <v>29271</v>
      </c>
      <c r="F13742" t="s">
        <v>30052</v>
      </c>
      <c r="G13742" t="s">
        <v>30058</v>
      </c>
      <c r="H13742" t="s">
        <v>15498</v>
      </c>
      <c r="I13742" t="s">
        <v>30092</v>
      </c>
      <c r="J13742" t="s">
        <v>30337</v>
      </c>
      <c r="K13742" t="s">
        <v>39029</v>
      </c>
      <c r="M13742" t="s">
        <v>41907</v>
      </c>
      <c r="N13742" t="s">
        <v>43166</v>
      </c>
      <c r="O13742" t="s">
        <v>43167</v>
      </c>
      <c r="P13742">
        <v>0</v>
      </c>
      <c r="Q13742">
        <v>1</v>
      </c>
      <c r="R13742" t="s">
        <v>43188</v>
      </c>
      <c r="S13742" t="s">
        <v>44213</v>
      </c>
      <c r="T13742" t="s">
        <v>44717</v>
      </c>
      <c r="U13742" t="s">
        <v>56121</v>
      </c>
      <c r="W13742" t="s">
        <v>41907</v>
      </c>
      <c r="X13742" t="s">
        <v>43189</v>
      </c>
    </row>
    <row r="13743" spans="1:24">
      <c r="A13743">
        <f>HYPERLINK("https://www.philgeps.gov.ph/GEPSNONPILOT/Tender/SplashBidNoticeAbstractUI.aspx?menuIndex=3&amp;refID=7046124&amp;Result=3","7046124")</f>
        <v>0</v>
      </c>
      <c r="B13743" t="s">
        <v>3391</v>
      </c>
      <c r="C13743" t="s">
        <v>16573</v>
      </c>
      <c r="D13743" t="s">
        <v>17475</v>
      </c>
      <c r="E13743" t="s">
        <v>29272</v>
      </c>
      <c r="F13743" t="s">
        <v>30052</v>
      </c>
      <c r="G13743" t="s">
        <v>30058</v>
      </c>
      <c r="H13743" t="s">
        <v>15498</v>
      </c>
      <c r="I13743" t="s">
        <v>9238</v>
      </c>
      <c r="J13743" t="s">
        <v>32231</v>
      </c>
      <c r="K13743" t="s">
        <v>39031</v>
      </c>
      <c r="M13743" t="s">
        <v>43053</v>
      </c>
      <c r="N13743" t="s">
        <v>43166</v>
      </c>
      <c r="O13743" t="s">
        <v>43167</v>
      </c>
      <c r="Q13743">
        <v>7</v>
      </c>
      <c r="R13743" t="s">
        <v>43188</v>
      </c>
      <c r="S13743" t="s">
        <v>43595</v>
      </c>
      <c r="T13743" t="s">
        <v>44936</v>
      </c>
      <c r="U13743" t="s">
        <v>56122</v>
      </c>
      <c r="V13743" t="s">
        <v>58473</v>
      </c>
      <c r="W13743" t="s">
        <v>43053</v>
      </c>
      <c r="X13743" t="s">
        <v>43189</v>
      </c>
    </row>
    <row r="13744" spans="1:24">
      <c r="A13744">
        <f>HYPERLINK("https://www.philgeps.gov.ph/GEPSNONPILOT/Tender/SplashBidNoticeAbstractUI.aspx?menuIndex=3&amp;refID=7045990&amp;Result=3","7045990")</f>
        <v>0</v>
      </c>
      <c r="B13744" t="s">
        <v>991</v>
      </c>
      <c r="C13744" t="s">
        <v>11211</v>
      </c>
      <c r="D13744" t="s">
        <v>17444</v>
      </c>
      <c r="E13744" t="s">
        <v>26569</v>
      </c>
      <c r="F13744" t="s">
        <v>30055</v>
      </c>
      <c r="G13744" t="s">
        <v>30058</v>
      </c>
      <c r="H13744" t="s">
        <v>15498</v>
      </c>
      <c r="I13744" t="s">
        <v>30070</v>
      </c>
      <c r="J13744" t="s">
        <v>38526</v>
      </c>
      <c r="K13744" t="s">
        <v>39017</v>
      </c>
      <c r="M13744" t="s">
        <v>40318</v>
      </c>
      <c r="N13744" t="s">
        <v>43166</v>
      </c>
      <c r="O13744" t="s">
        <v>43167</v>
      </c>
      <c r="P13744">
        <v>0</v>
      </c>
      <c r="Q13744">
        <v>4</v>
      </c>
      <c r="R13744" t="s">
        <v>43188</v>
      </c>
      <c r="S13744" t="s">
        <v>44213</v>
      </c>
      <c r="T13744" t="s">
        <v>44717</v>
      </c>
      <c r="U13744" t="s">
        <v>56123</v>
      </c>
      <c r="V13744" t="s">
        <v>58474</v>
      </c>
      <c r="W13744" t="s">
        <v>40318</v>
      </c>
      <c r="X13744" t="s">
        <v>43189</v>
      </c>
    </row>
    <row r="13745" spans="1:24">
      <c r="A13745">
        <f>HYPERLINK("https://www.philgeps.gov.ph/GEPSNONPILOT/Tender/SplashBidNoticeAbstractUI.aspx?menuIndex=3&amp;refID=7045571&amp;Result=3","7045571")</f>
        <v>0</v>
      </c>
      <c r="B13745" t="s">
        <v>3389</v>
      </c>
      <c r="C13745" t="s">
        <v>16574</v>
      </c>
      <c r="D13745" t="s">
        <v>17431</v>
      </c>
      <c r="E13745" t="s">
        <v>29273</v>
      </c>
      <c r="F13745" t="s">
        <v>30052</v>
      </c>
      <c r="G13745" t="s">
        <v>30058</v>
      </c>
      <c r="H13745" t="s">
        <v>30067</v>
      </c>
      <c r="I13745" t="s">
        <v>3693</v>
      </c>
      <c r="J13745" t="s">
        <v>38527</v>
      </c>
      <c r="K13745" t="s">
        <v>39023</v>
      </c>
      <c r="M13745" t="s">
        <v>43051</v>
      </c>
      <c r="N13745" t="s">
        <v>43166</v>
      </c>
      <c r="O13745" t="s">
        <v>43167</v>
      </c>
      <c r="P13745">
        <v>0</v>
      </c>
      <c r="Q13745">
        <v>0</v>
      </c>
      <c r="R13745" t="s">
        <v>43188</v>
      </c>
      <c r="S13745" t="s">
        <v>44213</v>
      </c>
      <c r="T13745" t="s">
        <v>44856</v>
      </c>
      <c r="U13745" t="s">
        <v>56124</v>
      </c>
      <c r="W13745" t="s">
        <v>43051</v>
      </c>
      <c r="X13745" t="s">
        <v>43189</v>
      </c>
    </row>
    <row r="13746" spans="1:24">
      <c r="A13746">
        <f>HYPERLINK("https://www.philgeps.gov.ph/GEPSNONPILOT/Tender/SplashBidNoticeAbstractUI.aspx?menuIndex=3&amp;refID=7045989&amp;Result=3","7045989")</f>
        <v>0</v>
      </c>
      <c r="B13746" t="s">
        <v>3391</v>
      </c>
      <c r="C13746" t="s">
        <v>16575</v>
      </c>
      <c r="D13746" t="s">
        <v>17475</v>
      </c>
      <c r="E13746" t="s">
        <v>29274</v>
      </c>
      <c r="F13746" t="s">
        <v>30052</v>
      </c>
      <c r="G13746" t="s">
        <v>30058</v>
      </c>
      <c r="H13746" t="s">
        <v>15498</v>
      </c>
      <c r="I13746" t="s">
        <v>9238</v>
      </c>
      <c r="J13746" t="s">
        <v>38528</v>
      </c>
      <c r="K13746" t="s">
        <v>39031</v>
      </c>
      <c r="M13746" t="s">
        <v>43053</v>
      </c>
      <c r="N13746" t="s">
        <v>43166</v>
      </c>
      <c r="O13746" t="s">
        <v>43167</v>
      </c>
      <c r="Q13746">
        <v>16</v>
      </c>
      <c r="R13746" t="s">
        <v>43188</v>
      </c>
      <c r="S13746" t="s">
        <v>44236</v>
      </c>
      <c r="T13746" t="s">
        <v>44936</v>
      </c>
      <c r="U13746" t="s">
        <v>56125</v>
      </c>
      <c r="V13746" t="s">
        <v>58473</v>
      </c>
      <c r="W13746" t="s">
        <v>43053</v>
      </c>
      <c r="X13746" t="s">
        <v>43189</v>
      </c>
    </row>
    <row r="13747" spans="1:24">
      <c r="A13747">
        <f>HYPERLINK("https://www.philgeps.gov.ph/GEPSNONPILOT/Tender/SplashBidNoticeAbstractUI.aspx?menuIndex=3&amp;refID=7045407&amp;Result=3","7045407")</f>
        <v>0</v>
      </c>
      <c r="B13747" t="s">
        <v>3390</v>
      </c>
      <c r="C13747" t="s">
        <v>16576</v>
      </c>
      <c r="D13747" t="s">
        <v>17475</v>
      </c>
      <c r="E13747" t="s">
        <v>29275</v>
      </c>
      <c r="F13747" t="s">
        <v>30052</v>
      </c>
      <c r="G13747" t="s">
        <v>30058</v>
      </c>
      <c r="H13747" t="s">
        <v>15498</v>
      </c>
      <c r="I13747" t="s">
        <v>9238</v>
      </c>
      <c r="J13747" t="s">
        <v>30239</v>
      </c>
      <c r="K13747" t="s">
        <v>39046</v>
      </c>
      <c r="M13747" t="s">
        <v>43052</v>
      </c>
      <c r="N13747" t="s">
        <v>43166</v>
      </c>
      <c r="O13747" t="s">
        <v>43167</v>
      </c>
      <c r="Q13747">
        <v>47</v>
      </c>
      <c r="R13747" t="s">
        <v>43188</v>
      </c>
      <c r="S13747" t="s">
        <v>44237</v>
      </c>
      <c r="T13747" t="s">
        <v>44802</v>
      </c>
      <c r="U13747" t="s">
        <v>56126</v>
      </c>
      <c r="W13747" t="s">
        <v>43052</v>
      </c>
      <c r="X13747" t="s">
        <v>43189</v>
      </c>
    </row>
    <row r="13748" spans="1:24">
      <c r="A13748">
        <f>HYPERLINK("https://www.philgeps.gov.ph/GEPSNONPILOT/Tender/SplashBidNoticeAbstractUI.aspx?menuIndex=3&amp;refID=7046053&amp;Result=3","7046053")</f>
        <v>0</v>
      </c>
      <c r="B13748" t="s">
        <v>3391</v>
      </c>
      <c r="C13748" t="s">
        <v>16577</v>
      </c>
      <c r="D13748" t="s">
        <v>17475</v>
      </c>
      <c r="E13748" t="s">
        <v>29276</v>
      </c>
      <c r="F13748" t="s">
        <v>30052</v>
      </c>
      <c r="G13748" t="s">
        <v>30058</v>
      </c>
      <c r="H13748" t="s">
        <v>15498</v>
      </c>
      <c r="I13748" t="s">
        <v>9238</v>
      </c>
      <c r="J13748" t="s">
        <v>31734</v>
      </c>
      <c r="K13748" t="s">
        <v>39031</v>
      </c>
      <c r="M13748" t="s">
        <v>43053</v>
      </c>
      <c r="N13748" t="s">
        <v>43166</v>
      </c>
      <c r="O13748" t="s">
        <v>43167</v>
      </c>
      <c r="Q13748">
        <v>6</v>
      </c>
      <c r="R13748" t="s">
        <v>43188</v>
      </c>
      <c r="S13748" t="s">
        <v>43380</v>
      </c>
      <c r="T13748" t="s">
        <v>44936</v>
      </c>
      <c r="U13748" t="s">
        <v>56127</v>
      </c>
      <c r="V13748" t="s">
        <v>58473</v>
      </c>
      <c r="W13748" t="s">
        <v>43053</v>
      </c>
      <c r="X13748" t="s">
        <v>43189</v>
      </c>
    </row>
    <row r="13749" spans="1:24">
      <c r="A13749">
        <f>HYPERLINK("https://www.philgeps.gov.ph/GEPSNONPILOT/Tender/SplashBidNoticeAbstractUI.aspx?menuIndex=3&amp;refID=7045150&amp;Result=3","7045150")</f>
        <v>0</v>
      </c>
      <c r="B13749" t="s">
        <v>2410</v>
      </c>
      <c r="C13749" t="s">
        <v>16578</v>
      </c>
      <c r="D13749" t="s">
        <v>17470</v>
      </c>
      <c r="E13749" t="s">
        <v>29277</v>
      </c>
      <c r="F13749" t="s">
        <v>30052</v>
      </c>
      <c r="G13749" t="s">
        <v>30058</v>
      </c>
      <c r="H13749" t="s">
        <v>15498</v>
      </c>
      <c r="I13749" t="s">
        <v>6691</v>
      </c>
      <c r="J13749" t="s">
        <v>38529</v>
      </c>
      <c r="K13749" t="s">
        <v>39029</v>
      </c>
      <c r="M13749" t="s">
        <v>41907</v>
      </c>
      <c r="N13749" t="s">
        <v>43166</v>
      </c>
      <c r="O13749" t="s">
        <v>43167</v>
      </c>
      <c r="P13749">
        <v>0</v>
      </c>
      <c r="Q13749">
        <v>0</v>
      </c>
      <c r="R13749" t="s">
        <v>43188</v>
      </c>
      <c r="S13749" t="s">
        <v>44213</v>
      </c>
      <c r="T13749" t="s">
        <v>44717</v>
      </c>
      <c r="U13749" t="s">
        <v>56128</v>
      </c>
      <c r="W13749" t="s">
        <v>41907</v>
      </c>
      <c r="X13749" t="s">
        <v>43189</v>
      </c>
    </row>
    <row r="13750" spans="1:24">
      <c r="A13750">
        <f>HYPERLINK("https://www.philgeps.gov.ph/GEPSNONPILOT/Tender/SplashBidNoticeAbstractUI.aspx?menuIndex=3&amp;refID=7045459&amp;Result=3","7045459")</f>
        <v>0</v>
      </c>
      <c r="B13750" t="s">
        <v>2410</v>
      </c>
      <c r="C13750" t="s">
        <v>16579</v>
      </c>
      <c r="D13750" t="s">
        <v>17470</v>
      </c>
      <c r="E13750" t="s">
        <v>29278</v>
      </c>
      <c r="F13750" t="s">
        <v>30052</v>
      </c>
      <c r="G13750" t="s">
        <v>30058</v>
      </c>
      <c r="H13750" t="s">
        <v>15498</v>
      </c>
      <c r="I13750" t="s">
        <v>30084</v>
      </c>
      <c r="J13750" t="s">
        <v>38530</v>
      </c>
      <c r="K13750" t="s">
        <v>39029</v>
      </c>
      <c r="M13750" t="s">
        <v>41907</v>
      </c>
      <c r="N13750" t="s">
        <v>43166</v>
      </c>
      <c r="O13750" t="s">
        <v>43167</v>
      </c>
      <c r="P13750">
        <v>0</v>
      </c>
      <c r="Q13750">
        <v>3</v>
      </c>
      <c r="R13750" t="s">
        <v>43188</v>
      </c>
      <c r="S13750" t="s">
        <v>44213</v>
      </c>
      <c r="T13750" t="s">
        <v>44717</v>
      </c>
      <c r="U13750" t="s">
        <v>56129</v>
      </c>
      <c r="W13750" t="s">
        <v>41907</v>
      </c>
      <c r="X13750" t="s">
        <v>43189</v>
      </c>
    </row>
    <row r="13751" spans="1:24">
      <c r="A13751">
        <f>HYPERLINK("https://www.philgeps.gov.ph/GEPSNONPILOT/Tender/SplashBidNoticeAbstractUI.aspx?menuIndex=3&amp;refID=7046135&amp;Result=3","7046135")</f>
        <v>0</v>
      </c>
      <c r="B13751" t="s">
        <v>3392</v>
      </c>
      <c r="C13751" t="s">
        <v>16580</v>
      </c>
      <c r="D13751" t="s">
        <v>17494</v>
      </c>
      <c r="E13751" t="s">
        <v>29279</v>
      </c>
      <c r="F13751" t="s">
        <v>30052</v>
      </c>
      <c r="G13751" t="s">
        <v>30058</v>
      </c>
      <c r="H13751" t="s">
        <v>15498</v>
      </c>
      <c r="I13751" t="s">
        <v>9238</v>
      </c>
      <c r="J13751" t="s">
        <v>30281</v>
      </c>
      <c r="K13751" t="s">
        <v>39023</v>
      </c>
      <c r="M13751" t="s">
        <v>43054</v>
      </c>
      <c r="N13751" t="s">
        <v>43166</v>
      </c>
      <c r="O13751" t="s">
        <v>43167</v>
      </c>
      <c r="Q13751">
        <v>27</v>
      </c>
      <c r="R13751" t="s">
        <v>43188</v>
      </c>
      <c r="S13751" t="s">
        <v>44238</v>
      </c>
      <c r="T13751" t="s">
        <v>44687</v>
      </c>
      <c r="U13751" t="s">
        <v>56130</v>
      </c>
      <c r="W13751" t="s">
        <v>43054</v>
      </c>
      <c r="X13751" t="s">
        <v>43189</v>
      </c>
    </row>
    <row r="13752" spans="1:24">
      <c r="A13752">
        <f>HYPERLINK("https://www.philgeps.gov.ph/GEPSNONPILOT/Tender/SplashBidNoticeAbstractUI.aspx?menuIndex=3&amp;refID=7046014&amp;Result=3","7046014")</f>
        <v>0</v>
      </c>
      <c r="B13752" t="s">
        <v>3393</v>
      </c>
      <c r="C13752" t="s">
        <v>16581</v>
      </c>
      <c r="D13752" t="s">
        <v>17449</v>
      </c>
      <c r="E13752" t="s">
        <v>29280</v>
      </c>
      <c r="F13752" t="s">
        <v>30052</v>
      </c>
      <c r="G13752" t="s">
        <v>30058</v>
      </c>
      <c r="H13752" t="s">
        <v>30067</v>
      </c>
      <c r="I13752" t="s">
        <v>3693</v>
      </c>
      <c r="J13752" t="s">
        <v>38531</v>
      </c>
      <c r="K13752" t="s">
        <v>39106</v>
      </c>
      <c r="M13752" t="s">
        <v>43055</v>
      </c>
      <c r="N13752" t="s">
        <v>43166</v>
      </c>
      <c r="O13752" t="s">
        <v>43167</v>
      </c>
      <c r="P13752">
        <v>0</v>
      </c>
      <c r="Q13752">
        <v>1</v>
      </c>
      <c r="R13752" t="s">
        <v>43188</v>
      </c>
      <c r="S13752" t="s">
        <v>44213</v>
      </c>
      <c r="T13752" t="s">
        <v>44822</v>
      </c>
      <c r="U13752" t="s">
        <v>56131</v>
      </c>
      <c r="V13752" t="s">
        <v>58475</v>
      </c>
      <c r="W13752" t="s">
        <v>43055</v>
      </c>
      <c r="X13752" t="s">
        <v>43189</v>
      </c>
    </row>
    <row r="13753" spans="1:24">
      <c r="A13753">
        <f>HYPERLINK("https://www.philgeps.gov.ph/GEPSNONPILOT/Tender/SplashBidNoticeAbstractUI.aspx?menuIndex=3&amp;refID=7046299&amp;Result=3","7046299")</f>
        <v>0</v>
      </c>
      <c r="B13753" t="s">
        <v>705</v>
      </c>
      <c r="C13753" t="s">
        <v>16582</v>
      </c>
      <c r="D13753" t="s">
        <v>17414</v>
      </c>
      <c r="E13753" t="s">
        <v>29281</v>
      </c>
      <c r="F13753" t="s">
        <v>30052</v>
      </c>
      <c r="G13753" t="s">
        <v>30058</v>
      </c>
      <c r="H13753" t="s">
        <v>30067</v>
      </c>
      <c r="I13753" t="s">
        <v>30127</v>
      </c>
      <c r="J13753" t="s">
        <v>35210</v>
      </c>
      <c r="K13753" t="s">
        <v>39020</v>
      </c>
      <c r="M13753" t="s">
        <v>40014</v>
      </c>
      <c r="N13753" t="s">
        <v>43166</v>
      </c>
      <c r="O13753" t="s">
        <v>43167</v>
      </c>
      <c r="Q13753">
        <v>9</v>
      </c>
      <c r="R13753" t="s">
        <v>43188</v>
      </c>
      <c r="S13753" t="s">
        <v>44239</v>
      </c>
      <c r="T13753" t="s">
        <v>45186</v>
      </c>
      <c r="U13753" t="s">
        <v>56132</v>
      </c>
      <c r="V13753" t="s">
        <v>57694</v>
      </c>
      <c r="W13753" t="s">
        <v>40014</v>
      </c>
      <c r="X13753" t="s">
        <v>43189</v>
      </c>
    </row>
    <row r="13754" spans="1:24">
      <c r="A13754">
        <f>HYPERLINK("https://www.philgeps.gov.ph/GEPSNONPILOT/Tender/SplashBidNoticeAbstractUI.aspx?menuIndex=3&amp;refID=7046109&amp;Result=3","7046109")</f>
        <v>0</v>
      </c>
      <c r="B13754" t="s">
        <v>2093</v>
      </c>
      <c r="C13754" t="s">
        <v>16583</v>
      </c>
      <c r="D13754" t="s">
        <v>17434</v>
      </c>
      <c r="E13754" t="s">
        <v>29282</v>
      </c>
      <c r="F13754" t="s">
        <v>30052</v>
      </c>
      <c r="G13754" t="s">
        <v>30058</v>
      </c>
      <c r="H13754" t="s">
        <v>30067</v>
      </c>
      <c r="I13754" t="s">
        <v>3693</v>
      </c>
      <c r="J13754" t="s">
        <v>38532</v>
      </c>
      <c r="K13754" t="s">
        <v>39129</v>
      </c>
      <c r="M13754" t="s">
        <v>41555</v>
      </c>
      <c r="N13754" t="s">
        <v>43166</v>
      </c>
      <c r="O13754" t="s">
        <v>43167</v>
      </c>
      <c r="P13754">
        <v>0</v>
      </c>
      <c r="Q13754">
        <v>1</v>
      </c>
      <c r="R13754" t="s">
        <v>43188</v>
      </c>
      <c r="S13754" t="s">
        <v>44213</v>
      </c>
      <c r="T13754" t="s">
        <v>44856</v>
      </c>
      <c r="U13754" t="s">
        <v>56133</v>
      </c>
      <c r="W13754" t="s">
        <v>41555</v>
      </c>
      <c r="X13754" t="s">
        <v>43189</v>
      </c>
    </row>
    <row r="13755" spans="1:24">
      <c r="A13755">
        <f>HYPERLINK("https://www.philgeps.gov.ph/GEPSNONPILOT/Tender/SplashBidNoticeAbstractUI.aspx?menuIndex=3&amp;refID=7045842&amp;Result=3","7045842")</f>
        <v>0</v>
      </c>
      <c r="B13755" t="s">
        <v>782</v>
      </c>
      <c r="C13755" t="s">
        <v>16584</v>
      </c>
      <c r="D13755" t="s">
        <v>17415</v>
      </c>
      <c r="E13755" t="s">
        <v>29283</v>
      </c>
      <c r="F13755" t="s">
        <v>30052</v>
      </c>
      <c r="G13755" t="s">
        <v>30058</v>
      </c>
      <c r="H13755" t="s">
        <v>15498</v>
      </c>
      <c r="I13755" t="s">
        <v>30132</v>
      </c>
      <c r="J13755" t="s">
        <v>38533</v>
      </c>
      <c r="K13755" t="s">
        <v>39099</v>
      </c>
      <c r="M13755" t="s">
        <v>40097</v>
      </c>
      <c r="N13755" t="s">
        <v>43166</v>
      </c>
      <c r="O13755" t="s">
        <v>43167</v>
      </c>
      <c r="Q13755">
        <v>1</v>
      </c>
      <c r="R13755" t="s">
        <v>43188</v>
      </c>
      <c r="S13755" t="s">
        <v>43914</v>
      </c>
      <c r="T13755" t="s">
        <v>44710</v>
      </c>
      <c r="U13755" t="s">
        <v>56134</v>
      </c>
      <c r="W13755" t="s">
        <v>40097</v>
      </c>
      <c r="X13755" t="s">
        <v>43189</v>
      </c>
    </row>
    <row r="13756" spans="1:24">
      <c r="A13756">
        <f>HYPERLINK("https://www.philgeps.gov.ph/GEPSNONPILOT/Tender/SplashBidNoticeAbstractUI.aspx?menuIndex=3&amp;refID=7046258&amp;Result=3","7046258")</f>
        <v>0</v>
      </c>
      <c r="B13756" t="s">
        <v>3391</v>
      </c>
      <c r="C13756" t="s">
        <v>16585</v>
      </c>
      <c r="D13756" t="s">
        <v>17475</v>
      </c>
      <c r="E13756" t="s">
        <v>29284</v>
      </c>
      <c r="F13756" t="s">
        <v>30052</v>
      </c>
      <c r="G13756" t="s">
        <v>30058</v>
      </c>
      <c r="H13756" t="s">
        <v>15498</v>
      </c>
      <c r="I13756" t="s">
        <v>9238</v>
      </c>
      <c r="J13756" t="s">
        <v>38534</v>
      </c>
      <c r="K13756" t="s">
        <v>39023</v>
      </c>
      <c r="M13756" t="s">
        <v>43053</v>
      </c>
      <c r="N13756" t="s">
        <v>43166</v>
      </c>
      <c r="O13756" t="s">
        <v>43167</v>
      </c>
      <c r="Q13756">
        <v>15</v>
      </c>
      <c r="R13756" t="s">
        <v>43188</v>
      </c>
      <c r="S13756" t="s">
        <v>43593</v>
      </c>
      <c r="T13756" t="s">
        <v>44892</v>
      </c>
      <c r="U13756" t="s">
        <v>56135</v>
      </c>
      <c r="V13756" t="s">
        <v>58473</v>
      </c>
      <c r="W13756" t="s">
        <v>43053</v>
      </c>
      <c r="X13756" t="s">
        <v>43189</v>
      </c>
    </row>
    <row r="13757" spans="1:24">
      <c r="A13757">
        <f>HYPERLINK("https://www.philgeps.gov.ph/GEPSNONPILOT/Tender/SplashBidNoticeAbstractUI.aspx?menuIndex=3&amp;refID=7046230&amp;Result=3","7046230")</f>
        <v>0</v>
      </c>
      <c r="B13757" t="s">
        <v>2005</v>
      </c>
      <c r="C13757" t="s">
        <v>16586</v>
      </c>
      <c r="D13757" t="s">
        <v>17424</v>
      </c>
      <c r="E13757" t="s">
        <v>29285</v>
      </c>
      <c r="F13757" t="s">
        <v>30052</v>
      </c>
      <c r="G13757" t="s">
        <v>30058</v>
      </c>
      <c r="H13757" t="s">
        <v>30067</v>
      </c>
      <c r="I13757" t="s">
        <v>3693</v>
      </c>
      <c r="J13757" t="s">
        <v>32177</v>
      </c>
      <c r="K13757" t="s">
        <v>39297</v>
      </c>
      <c r="M13757" t="s">
        <v>41449</v>
      </c>
      <c r="N13757" t="s">
        <v>43166</v>
      </c>
      <c r="O13757" t="s">
        <v>43167</v>
      </c>
      <c r="Q13757">
        <v>23</v>
      </c>
      <c r="R13757" t="s">
        <v>43188</v>
      </c>
      <c r="S13757" t="s">
        <v>44240</v>
      </c>
      <c r="T13757" t="s">
        <v>44828</v>
      </c>
      <c r="U13757" t="s">
        <v>56136</v>
      </c>
      <c r="W13757" t="s">
        <v>58659</v>
      </c>
      <c r="X13757" t="s">
        <v>43189</v>
      </c>
    </row>
    <row r="13758" spans="1:24">
      <c r="A13758">
        <f>HYPERLINK("https://www.philgeps.gov.ph/GEPSNONPILOT/Tender/SplashBidNoticeAbstractUI.aspx?menuIndex=3&amp;refID=7045892&amp;Result=3","7045892")</f>
        <v>0</v>
      </c>
      <c r="B13758" t="s">
        <v>217</v>
      </c>
      <c r="C13758" t="s">
        <v>16587</v>
      </c>
      <c r="D13758" t="s">
        <v>17458</v>
      </c>
      <c r="E13758" t="s">
        <v>29286</v>
      </c>
      <c r="F13758" t="s">
        <v>30052</v>
      </c>
      <c r="G13758" t="s">
        <v>30058</v>
      </c>
      <c r="H13758" t="s">
        <v>30067</v>
      </c>
      <c r="I13758" t="s">
        <v>3693</v>
      </c>
      <c r="J13758" t="s">
        <v>30212</v>
      </c>
      <c r="K13758" t="s">
        <v>39031</v>
      </c>
      <c r="M13758" t="s">
        <v>43010</v>
      </c>
      <c r="N13758" t="s">
        <v>43166</v>
      </c>
      <c r="O13758" t="s">
        <v>43167</v>
      </c>
      <c r="Q13758">
        <v>3</v>
      </c>
      <c r="R13758" t="s">
        <v>43188</v>
      </c>
      <c r="S13758" t="s">
        <v>44241</v>
      </c>
      <c r="T13758" t="s">
        <v>44943</v>
      </c>
      <c r="U13758" t="s">
        <v>56137</v>
      </c>
      <c r="V13758" t="s">
        <v>58476</v>
      </c>
      <c r="W13758" t="s">
        <v>43010</v>
      </c>
      <c r="X13758" t="s">
        <v>43189</v>
      </c>
    </row>
    <row r="13759" spans="1:24">
      <c r="A13759">
        <f>HYPERLINK("https://www.philgeps.gov.ph/GEPSNONPILOT/Tender/SplashBidNoticeAbstractUI.aspx?menuIndex=3&amp;refID=7046273&amp;Result=3","7046273")</f>
        <v>0</v>
      </c>
      <c r="B13759" t="s">
        <v>2476</v>
      </c>
      <c r="C13759" t="s">
        <v>16588</v>
      </c>
      <c r="D13759" t="s">
        <v>17472</v>
      </c>
      <c r="E13759" t="s">
        <v>24779</v>
      </c>
      <c r="F13759" t="s">
        <v>30052</v>
      </c>
      <c r="G13759" t="s">
        <v>30058</v>
      </c>
      <c r="H13759" t="s">
        <v>15498</v>
      </c>
      <c r="I13759" t="s">
        <v>30070</v>
      </c>
      <c r="J13759" t="s">
        <v>38535</v>
      </c>
      <c r="K13759" t="s">
        <v>39019</v>
      </c>
      <c r="M13759" t="s">
        <v>41976</v>
      </c>
      <c r="N13759" t="s">
        <v>43166</v>
      </c>
      <c r="O13759" t="s">
        <v>43167</v>
      </c>
      <c r="P13759">
        <v>0</v>
      </c>
      <c r="Q13759">
        <v>5</v>
      </c>
      <c r="R13759" t="s">
        <v>43188</v>
      </c>
      <c r="S13759" t="s">
        <v>44213</v>
      </c>
      <c r="T13759" t="s">
        <v>44870</v>
      </c>
      <c r="U13759" t="s">
        <v>56138</v>
      </c>
      <c r="W13759" t="s">
        <v>41976</v>
      </c>
      <c r="X13759" t="s">
        <v>43189</v>
      </c>
    </row>
    <row r="13760" spans="1:24">
      <c r="A13760">
        <f>HYPERLINK("https://www.philgeps.gov.ph/GEPSNONPILOT/Tender/SplashBidNoticeAbstractUI.aspx?menuIndex=3&amp;refID=7046218&amp;Result=3","7046218")</f>
        <v>0</v>
      </c>
      <c r="B13760" t="s">
        <v>2410</v>
      </c>
      <c r="C13760" t="s">
        <v>16589</v>
      </c>
      <c r="D13760" t="s">
        <v>17470</v>
      </c>
      <c r="E13760" t="s">
        <v>29287</v>
      </c>
      <c r="F13760" t="s">
        <v>30052</v>
      </c>
      <c r="G13760" t="s">
        <v>30058</v>
      </c>
      <c r="H13760" t="s">
        <v>15498</v>
      </c>
      <c r="I13760" t="s">
        <v>30134</v>
      </c>
      <c r="J13760" t="s">
        <v>32106</v>
      </c>
      <c r="K13760" t="s">
        <v>39029</v>
      </c>
      <c r="M13760" t="s">
        <v>41907</v>
      </c>
      <c r="N13760" t="s">
        <v>43166</v>
      </c>
      <c r="O13760" t="s">
        <v>43167</v>
      </c>
      <c r="P13760">
        <v>0</v>
      </c>
      <c r="Q13760">
        <v>0</v>
      </c>
      <c r="R13760" t="s">
        <v>43188</v>
      </c>
      <c r="S13760" t="s">
        <v>44213</v>
      </c>
      <c r="T13760" t="s">
        <v>44717</v>
      </c>
      <c r="U13760" t="s">
        <v>56139</v>
      </c>
      <c r="W13760" t="s">
        <v>41907</v>
      </c>
      <c r="X13760" t="s">
        <v>43189</v>
      </c>
    </row>
    <row r="13761" spans="1:24">
      <c r="A13761">
        <f>HYPERLINK("https://www.philgeps.gov.ph/GEPSNONPILOT/Tender/SplashBidNoticeAbstractUI.aspx?menuIndex=3&amp;refID=7046211&amp;Result=3","7046211")</f>
        <v>0</v>
      </c>
      <c r="B13761" t="s">
        <v>3391</v>
      </c>
      <c r="C13761" t="s">
        <v>16590</v>
      </c>
      <c r="D13761" t="s">
        <v>17475</v>
      </c>
      <c r="E13761" t="s">
        <v>29288</v>
      </c>
      <c r="F13761" t="s">
        <v>30052</v>
      </c>
      <c r="G13761" t="s">
        <v>30058</v>
      </c>
      <c r="H13761" t="s">
        <v>15498</v>
      </c>
      <c r="I13761" t="s">
        <v>9238</v>
      </c>
      <c r="J13761" t="s">
        <v>30397</v>
      </c>
      <c r="K13761" t="s">
        <v>39023</v>
      </c>
      <c r="M13761" t="s">
        <v>43053</v>
      </c>
      <c r="N13761" t="s">
        <v>43166</v>
      </c>
      <c r="O13761" t="s">
        <v>43167</v>
      </c>
      <c r="Q13761">
        <v>11</v>
      </c>
      <c r="R13761" t="s">
        <v>43188</v>
      </c>
      <c r="S13761" t="s">
        <v>44242</v>
      </c>
      <c r="T13761" t="s">
        <v>44892</v>
      </c>
      <c r="U13761" t="s">
        <v>56140</v>
      </c>
      <c r="V13761" t="s">
        <v>58473</v>
      </c>
      <c r="W13761" t="s">
        <v>43053</v>
      </c>
      <c r="X13761" t="s">
        <v>43189</v>
      </c>
    </row>
    <row r="13762" spans="1:24">
      <c r="A13762">
        <f>HYPERLINK("https://www.philgeps.gov.ph/GEPSNONPILOT/Tender/SplashBidNoticeAbstractUI.aspx?menuIndex=3&amp;refID=7046192&amp;Result=3","7046192")</f>
        <v>0</v>
      </c>
      <c r="B13762" t="s">
        <v>2410</v>
      </c>
      <c r="C13762" t="s">
        <v>16591</v>
      </c>
      <c r="D13762" t="s">
        <v>17470</v>
      </c>
      <c r="E13762" t="s">
        <v>29287</v>
      </c>
      <c r="F13762" t="s">
        <v>30052</v>
      </c>
      <c r="G13762" t="s">
        <v>30058</v>
      </c>
      <c r="H13762" t="s">
        <v>15498</v>
      </c>
      <c r="I13762" t="s">
        <v>6691</v>
      </c>
      <c r="J13762" t="s">
        <v>38536</v>
      </c>
      <c r="K13762" t="s">
        <v>39029</v>
      </c>
      <c r="M13762" t="s">
        <v>41907</v>
      </c>
      <c r="N13762" t="s">
        <v>43166</v>
      </c>
      <c r="O13762" t="s">
        <v>43167</v>
      </c>
      <c r="P13762">
        <v>0</v>
      </c>
      <c r="Q13762">
        <v>0</v>
      </c>
      <c r="R13762" t="s">
        <v>43188</v>
      </c>
      <c r="S13762" t="s">
        <v>44213</v>
      </c>
      <c r="T13762" t="s">
        <v>44717</v>
      </c>
      <c r="U13762" t="s">
        <v>56139</v>
      </c>
      <c r="W13762" t="s">
        <v>41907</v>
      </c>
      <c r="X13762" t="s">
        <v>43189</v>
      </c>
    </row>
    <row r="13763" spans="1:24">
      <c r="A13763">
        <f>HYPERLINK("https://www.philgeps.gov.ph/GEPSNONPILOT/Tender/SplashBidNoticeAbstractUI.aspx?menuIndex=3&amp;refID=7046281&amp;Result=3","7046281")</f>
        <v>0</v>
      </c>
      <c r="B13763" t="s">
        <v>2410</v>
      </c>
      <c r="C13763" t="s">
        <v>16592</v>
      </c>
      <c r="D13763" t="s">
        <v>17470</v>
      </c>
      <c r="E13763" t="s">
        <v>29287</v>
      </c>
      <c r="F13763" t="s">
        <v>30052</v>
      </c>
      <c r="G13763" t="s">
        <v>30058</v>
      </c>
      <c r="H13763" t="s">
        <v>15498</v>
      </c>
      <c r="I13763" t="s">
        <v>30091</v>
      </c>
      <c r="J13763" t="s">
        <v>38537</v>
      </c>
      <c r="K13763" t="s">
        <v>39029</v>
      </c>
      <c r="M13763" t="s">
        <v>41907</v>
      </c>
      <c r="N13763" t="s">
        <v>43166</v>
      </c>
      <c r="O13763" t="s">
        <v>43167</v>
      </c>
      <c r="P13763">
        <v>0</v>
      </c>
      <c r="Q13763">
        <v>0</v>
      </c>
      <c r="R13763" t="s">
        <v>43188</v>
      </c>
      <c r="S13763" t="s">
        <v>44213</v>
      </c>
      <c r="T13763" t="s">
        <v>44717</v>
      </c>
      <c r="U13763" t="s">
        <v>56139</v>
      </c>
      <c r="W13763" t="s">
        <v>41907</v>
      </c>
      <c r="X13763" t="s">
        <v>43189</v>
      </c>
    </row>
    <row r="13764" spans="1:24">
      <c r="A13764">
        <f>HYPERLINK("https://www.philgeps.gov.ph/GEPSNONPILOT/Tender/SplashBidNoticeAbstractUI.aspx?menuIndex=3&amp;refID=7046183&amp;Result=3","7046183")</f>
        <v>0</v>
      </c>
      <c r="B13764" t="s">
        <v>1377</v>
      </c>
      <c r="C13764" t="s">
        <v>16593</v>
      </c>
      <c r="D13764" t="s">
        <v>17415</v>
      </c>
      <c r="E13764" t="s">
        <v>29289</v>
      </c>
      <c r="F13764" t="s">
        <v>30052</v>
      </c>
      <c r="G13764" t="s">
        <v>30058</v>
      </c>
      <c r="H13764" t="s">
        <v>15498</v>
      </c>
      <c r="I13764" t="s">
        <v>9238</v>
      </c>
      <c r="J13764" t="s">
        <v>38538</v>
      </c>
      <c r="K13764" t="s">
        <v>39026</v>
      </c>
      <c r="M13764" t="s">
        <v>43056</v>
      </c>
      <c r="N13764" t="s">
        <v>43166</v>
      </c>
      <c r="O13764" t="s">
        <v>43167</v>
      </c>
      <c r="Q13764">
        <v>13</v>
      </c>
      <c r="R13764" t="s">
        <v>43188</v>
      </c>
      <c r="S13764" t="s">
        <v>44243</v>
      </c>
      <c r="T13764" t="s">
        <v>44844</v>
      </c>
      <c r="U13764" t="s">
        <v>56141</v>
      </c>
      <c r="W13764" t="s">
        <v>43056</v>
      </c>
      <c r="X13764" t="s">
        <v>43189</v>
      </c>
    </row>
    <row r="13765" spans="1:24">
      <c r="A13765">
        <f>HYPERLINK("https://www.philgeps.gov.ph/GEPSNONPILOT/Tender/SplashBidNoticeAbstractUI.aspx?menuIndex=3&amp;refID=7046201&amp;Result=3","7046201")</f>
        <v>0</v>
      </c>
      <c r="B13765" t="s">
        <v>1293</v>
      </c>
      <c r="C13765" t="s">
        <v>16594</v>
      </c>
      <c r="D13765" t="s">
        <v>17415</v>
      </c>
      <c r="E13765" t="s">
        <v>25598</v>
      </c>
      <c r="F13765" t="s">
        <v>30052</v>
      </c>
      <c r="G13765" t="s">
        <v>30061</v>
      </c>
      <c r="H13765" t="s">
        <v>15498</v>
      </c>
      <c r="I13765" t="s">
        <v>3852</v>
      </c>
      <c r="J13765" t="s">
        <v>38539</v>
      </c>
      <c r="K13765" t="s">
        <v>39025</v>
      </c>
      <c r="M13765" t="s">
        <v>40659</v>
      </c>
      <c r="N13765" t="s">
        <v>43166</v>
      </c>
      <c r="O13765" t="s">
        <v>43167</v>
      </c>
      <c r="Q13765">
        <v>2</v>
      </c>
      <c r="R13765" t="s">
        <v>43188</v>
      </c>
      <c r="S13765" t="s">
        <v>44244</v>
      </c>
      <c r="T13765" t="s">
        <v>44837</v>
      </c>
      <c r="U13765" t="s">
        <v>56142</v>
      </c>
      <c r="W13765" t="s">
        <v>40659</v>
      </c>
      <c r="X13765" t="s">
        <v>43189</v>
      </c>
    </row>
    <row r="13766" spans="1:24">
      <c r="A13766">
        <f>HYPERLINK("https://www.philgeps.gov.ph/GEPSNONPILOT/Tender/SplashBidNoticeAbstractUI.aspx?menuIndex=3&amp;refID=7046159&amp;Result=3","7046159")</f>
        <v>0</v>
      </c>
      <c r="B13766" t="s">
        <v>705</v>
      </c>
      <c r="C13766" t="s">
        <v>16595</v>
      </c>
      <c r="D13766" t="s">
        <v>17414</v>
      </c>
      <c r="E13766" t="s">
        <v>29290</v>
      </c>
      <c r="F13766" t="s">
        <v>30052</v>
      </c>
      <c r="G13766" t="s">
        <v>30058</v>
      </c>
      <c r="H13766" t="s">
        <v>15498</v>
      </c>
      <c r="I13766" t="s">
        <v>30074</v>
      </c>
      <c r="J13766" t="s">
        <v>38540</v>
      </c>
      <c r="K13766" t="s">
        <v>39023</v>
      </c>
      <c r="M13766" t="s">
        <v>40014</v>
      </c>
      <c r="N13766" t="s">
        <v>43166</v>
      </c>
      <c r="O13766" t="s">
        <v>43167</v>
      </c>
      <c r="P13766">
        <v>0</v>
      </c>
      <c r="Q13766">
        <v>5</v>
      </c>
      <c r="R13766" t="s">
        <v>43188</v>
      </c>
      <c r="S13766" t="s">
        <v>44213</v>
      </c>
      <c r="T13766" t="s">
        <v>44773</v>
      </c>
      <c r="U13766" t="s">
        <v>56143</v>
      </c>
      <c r="V13766" t="s">
        <v>57746</v>
      </c>
      <c r="W13766" t="s">
        <v>40014</v>
      </c>
      <c r="X13766" t="s">
        <v>43189</v>
      </c>
    </row>
    <row r="13767" spans="1:24">
      <c r="A13767">
        <f>HYPERLINK("https://www.philgeps.gov.ph/GEPSNONPILOT/Tender/SplashBidNoticeAbstractUI.aspx?menuIndex=3&amp;refID=7046146&amp;Result=3","7046146")</f>
        <v>0</v>
      </c>
      <c r="B13767" t="s">
        <v>3394</v>
      </c>
      <c r="C13767" t="s">
        <v>16596</v>
      </c>
      <c r="D13767" t="s">
        <v>17454</v>
      </c>
      <c r="E13767" t="s">
        <v>29291</v>
      </c>
      <c r="F13767" t="s">
        <v>30052</v>
      </c>
      <c r="G13767" t="s">
        <v>30058</v>
      </c>
      <c r="H13767" t="s">
        <v>30068</v>
      </c>
      <c r="I13767" t="s">
        <v>30068</v>
      </c>
      <c r="J13767" t="s">
        <v>30397</v>
      </c>
      <c r="K13767" t="s">
        <v>39031</v>
      </c>
      <c r="M13767" t="s">
        <v>43057</v>
      </c>
      <c r="N13767" t="s">
        <v>43166</v>
      </c>
      <c r="O13767" t="s">
        <v>43167</v>
      </c>
      <c r="P13767">
        <v>0</v>
      </c>
      <c r="Q13767">
        <v>11</v>
      </c>
      <c r="R13767" t="s">
        <v>43188</v>
      </c>
      <c r="S13767" t="s">
        <v>44213</v>
      </c>
      <c r="T13767" t="s">
        <v>44832</v>
      </c>
      <c r="U13767" t="s">
        <v>56144</v>
      </c>
      <c r="W13767" t="s">
        <v>43057</v>
      </c>
      <c r="X13767" t="s">
        <v>43189</v>
      </c>
    </row>
    <row r="13768" spans="1:24">
      <c r="A13768">
        <f>HYPERLINK("https://www.philgeps.gov.ph/GEPSNONPILOT/Tender/SplashBidNoticeAbstractUI.aspx?menuIndex=3&amp;refID=7045888&amp;Result=3","7045888")</f>
        <v>0</v>
      </c>
      <c r="B13768" t="s">
        <v>3392</v>
      </c>
      <c r="C13768" t="s">
        <v>16597</v>
      </c>
      <c r="D13768" t="s">
        <v>17494</v>
      </c>
      <c r="E13768" t="s">
        <v>29292</v>
      </c>
      <c r="F13768" t="s">
        <v>30052</v>
      </c>
      <c r="G13768" t="s">
        <v>30058</v>
      </c>
      <c r="H13768" t="s">
        <v>15498</v>
      </c>
      <c r="I13768" t="s">
        <v>9238</v>
      </c>
      <c r="J13768" t="s">
        <v>38541</v>
      </c>
      <c r="K13768" t="s">
        <v>39023</v>
      </c>
      <c r="M13768" t="s">
        <v>43054</v>
      </c>
      <c r="N13768" t="s">
        <v>43166</v>
      </c>
      <c r="O13768" t="s">
        <v>43167</v>
      </c>
      <c r="Q13768">
        <v>29</v>
      </c>
      <c r="R13768" t="s">
        <v>43188</v>
      </c>
      <c r="S13768" t="s">
        <v>44245</v>
      </c>
      <c r="T13768" t="s">
        <v>44687</v>
      </c>
      <c r="U13768" t="s">
        <v>56145</v>
      </c>
      <c r="W13768" t="s">
        <v>43054</v>
      </c>
      <c r="X13768" t="s">
        <v>43189</v>
      </c>
    </row>
    <row r="13769" spans="1:24">
      <c r="A13769">
        <f>HYPERLINK("https://www.philgeps.gov.ph/GEPSNONPILOT/Tender/SplashBidNoticeAbstractUI.aspx?menuIndex=3&amp;refID=7046129&amp;Result=3","7046129")</f>
        <v>0</v>
      </c>
      <c r="B13769" t="s">
        <v>2093</v>
      </c>
      <c r="C13769" t="s">
        <v>16598</v>
      </c>
      <c r="D13769" t="s">
        <v>17434</v>
      </c>
      <c r="E13769" t="s">
        <v>29293</v>
      </c>
      <c r="F13769" t="s">
        <v>30052</v>
      </c>
      <c r="G13769" t="s">
        <v>30058</v>
      </c>
      <c r="H13769" t="s">
        <v>30067</v>
      </c>
      <c r="I13769" t="s">
        <v>3693</v>
      </c>
      <c r="J13769" t="s">
        <v>38542</v>
      </c>
      <c r="K13769" t="s">
        <v>39178</v>
      </c>
      <c r="M13769" t="s">
        <v>41555</v>
      </c>
      <c r="N13769" t="s">
        <v>43166</v>
      </c>
      <c r="O13769" t="s">
        <v>43167</v>
      </c>
      <c r="P13769">
        <v>0</v>
      </c>
      <c r="Q13769">
        <v>1</v>
      </c>
      <c r="R13769" t="s">
        <v>43188</v>
      </c>
      <c r="S13769" t="s">
        <v>44213</v>
      </c>
      <c r="T13769" t="s">
        <v>44856</v>
      </c>
      <c r="U13769" t="s">
        <v>56133</v>
      </c>
      <c r="W13769" t="s">
        <v>41555</v>
      </c>
      <c r="X13769" t="s">
        <v>43189</v>
      </c>
    </row>
    <row r="13770" spans="1:24">
      <c r="A13770">
        <f>HYPERLINK("https://www.philgeps.gov.ph/GEPSNONPILOT/Tender/SplashBidNoticeAbstractUI.aspx?menuIndex=3&amp;refID=7046126&amp;Result=3","7046126")</f>
        <v>0</v>
      </c>
      <c r="B13770" t="s">
        <v>2410</v>
      </c>
      <c r="C13770" t="s">
        <v>16599</v>
      </c>
      <c r="D13770" t="s">
        <v>17470</v>
      </c>
      <c r="E13770" t="s">
        <v>29294</v>
      </c>
      <c r="F13770" t="s">
        <v>30052</v>
      </c>
      <c r="G13770" t="s">
        <v>30058</v>
      </c>
      <c r="H13770" t="s">
        <v>15498</v>
      </c>
      <c r="I13770" t="s">
        <v>6691</v>
      </c>
      <c r="J13770" t="s">
        <v>33711</v>
      </c>
      <c r="K13770" t="s">
        <v>39029</v>
      </c>
      <c r="M13770" t="s">
        <v>41907</v>
      </c>
      <c r="N13770" t="s">
        <v>43166</v>
      </c>
      <c r="O13770" t="s">
        <v>43167</v>
      </c>
      <c r="P13770">
        <v>0</v>
      </c>
      <c r="Q13770">
        <v>0</v>
      </c>
      <c r="R13770" t="s">
        <v>43188</v>
      </c>
      <c r="S13770" t="s">
        <v>44213</v>
      </c>
      <c r="T13770" t="s">
        <v>44717</v>
      </c>
      <c r="U13770" t="s">
        <v>56146</v>
      </c>
      <c r="W13770" t="s">
        <v>41907</v>
      </c>
      <c r="X13770" t="s">
        <v>43189</v>
      </c>
    </row>
    <row r="13771" spans="1:24">
      <c r="A13771">
        <f>HYPERLINK("https://www.philgeps.gov.ph/GEPSNONPILOT/Tender/SplashBidNoticeAbstractUI.aspx?menuIndex=3&amp;refID=7045823&amp;Result=3","7045823")</f>
        <v>0</v>
      </c>
      <c r="B13771" t="s">
        <v>2410</v>
      </c>
      <c r="C13771" t="s">
        <v>16600</v>
      </c>
      <c r="D13771" t="s">
        <v>17470</v>
      </c>
      <c r="E13771" t="s">
        <v>29295</v>
      </c>
      <c r="F13771" t="s">
        <v>30052</v>
      </c>
      <c r="G13771" t="s">
        <v>30058</v>
      </c>
      <c r="H13771" t="s">
        <v>15498</v>
      </c>
      <c r="I13771" t="s">
        <v>3852</v>
      </c>
      <c r="J13771" t="s">
        <v>38543</v>
      </c>
      <c r="K13771" t="s">
        <v>39029</v>
      </c>
      <c r="M13771" t="s">
        <v>41907</v>
      </c>
      <c r="N13771" t="s">
        <v>43166</v>
      </c>
      <c r="O13771" t="s">
        <v>43167</v>
      </c>
      <c r="P13771">
        <v>0</v>
      </c>
      <c r="Q13771">
        <v>2</v>
      </c>
      <c r="R13771" t="s">
        <v>43188</v>
      </c>
      <c r="S13771" t="s">
        <v>44213</v>
      </c>
      <c r="T13771" t="s">
        <v>44717</v>
      </c>
      <c r="U13771" t="s">
        <v>56147</v>
      </c>
      <c r="W13771" t="s">
        <v>41907</v>
      </c>
      <c r="X13771" t="s">
        <v>43189</v>
      </c>
    </row>
    <row r="13772" spans="1:24">
      <c r="A13772">
        <f>HYPERLINK("https://www.philgeps.gov.ph/GEPSNONPILOT/Tender/SplashBidNoticeAbstractUI.aspx?menuIndex=3&amp;refID=7045822&amp;Result=3","7045822")</f>
        <v>0</v>
      </c>
      <c r="B13772" t="s">
        <v>1429</v>
      </c>
      <c r="C13772" t="s">
        <v>16601</v>
      </c>
      <c r="D13772" t="s">
        <v>17432</v>
      </c>
      <c r="E13772" t="s">
        <v>29296</v>
      </c>
      <c r="F13772" t="s">
        <v>30052</v>
      </c>
      <c r="G13772" t="s">
        <v>30058</v>
      </c>
      <c r="H13772" t="s">
        <v>15498</v>
      </c>
      <c r="I13772" t="s">
        <v>30106</v>
      </c>
      <c r="J13772" t="s">
        <v>30876</v>
      </c>
      <c r="K13772" t="s">
        <v>39023</v>
      </c>
      <c r="M13772" t="s">
        <v>41690</v>
      </c>
      <c r="N13772" t="s">
        <v>43166</v>
      </c>
      <c r="O13772" t="s">
        <v>43167</v>
      </c>
      <c r="P13772">
        <v>0</v>
      </c>
      <c r="Q13772">
        <v>10</v>
      </c>
      <c r="R13772" t="s">
        <v>43188</v>
      </c>
      <c r="S13772" t="s">
        <v>44213</v>
      </c>
      <c r="T13772" t="s">
        <v>44717</v>
      </c>
      <c r="U13772" t="s">
        <v>55866</v>
      </c>
      <c r="W13772" t="s">
        <v>41690</v>
      </c>
      <c r="X13772" t="s">
        <v>43189</v>
      </c>
    </row>
    <row r="13773" spans="1:24">
      <c r="A13773">
        <f>HYPERLINK("https://www.philgeps.gov.ph/GEPSNONPILOT/Tender/SplashBidNoticeAbstractUI.aspx?menuIndex=3&amp;refID=7046615&amp;Result=3","7046615")</f>
        <v>0</v>
      </c>
      <c r="B13773" t="s">
        <v>3395</v>
      </c>
      <c r="C13773" t="s">
        <v>16602</v>
      </c>
      <c r="D13773" t="s">
        <v>17492</v>
      </c>
      <c r="E13773" t="s">
        <v>29297</v>
      </c>
      <c r="F13773" t="s">
        <v>30052</v>
      </c>
      <c r="G13773" t="s">
        <v>30058</v>
      </c>
      <c r="H13773" t="s">
        <v>30067</v>
      </c>
      <c r="I13773" t="s">
        <v>3693</v>
      </c>
      <c r="J13773" t="s">
        <v>38544</v>
      </c>
      <c r="K13773" t="s">
        <v>39070</v>
      </c>
      <c r="M13773" t="s">
        <v>43058</v>
      </c>
      <c r="N13773" t="s">
        <v>43166</v>
      </c>
      <c r="O13773" t="s">
        <v>43167</v>
      </c>
      <c r="P13773">
        <v>0</v>
      </c>
      <c r="Q13773">
        <v>0</v>
      </c>
      <c r="R13773" t="s">
        <v>43188</v>
      </c>
      <c r="S13773" t="s">
        <v>44213</v>
      </c>
      <c r="T13773" t="s">
        <v>44777</v>
      </c>
      <c r="U13773" t="s">
        <v>56148</v>
      </c>
      <c r="W13773" t="s">
        <v>43058</v>
      </c>
      <c r="X13773" t="s">
        <v>43189</v>
      </c>
    </row>
    <row r="13774" spans="1:24">
      <c r="A13774">
        <f>HYPERLINK("https://www.philgeps.gov.ph/GEPSNONPILOT/Tender/SplashBidNoticeAbstractUI.aspx?menuIndex=3&amp;refID=7046607&amp;Result=3","7046607")</f>
        <v>0</v>
      </c>
      <c r="B13774" t="s">
        <v>976</v>
      </c>
      <c r="C13774" t="s">
        <v>16603</v>
      </c>
      <c r="D13774" t="s">
        <v>17424</v>
      </c>
      <c r="E13774" t="s">
        <v>29298</v>
      </c>
      <c r="F13774" t="s">
        <v>30052</v>
      </c>
      <c r="G13774" t="s">
        <v>30065</v>
      </c>
      <c r="H13774" t="s">
        <v>30068</v>
      </c>
      <c r="I13774" t="s">
        <v>30068</v>
      </c>
      <c r="J13774" t="s">
        <v>38545</v>
      </c>
      <c r="K13774" t="s">
        <v>39057</v>
      </c>
      <c r="M13774" t="s">
        <v>40303</v>
      </c>
      <c r="N13774" t="s">
        <v>43166</v>
      </c>
      <c r="O13774" t="s">
        <v>43167</v>
      </c>
      <c r="Q13774">
        <v>5</v>
      </c>
      <c r="R13774" t="s">
        <v>43188</v>
      </c>
      <c r="S13774" t="s">
        <v>44246</v>
      </c>
      <c r="T13774" t="s">
        <v>45187</v>
      </c>
      <c r="U13774" t="s">
        <v>56149</v>
      </c>
      <c r="W13774" t="s">
        <v>40303</v>
      </c>
      <c r="X13774" t="s">
        <v>43189</v>
      </c>
    </row>
    <row r="13775" spans="1:24">
      <c r="A13775">
        <f>HYPERLINK("https://www.philgeps.gov.ph/GEPSNONPILOT/Tender/SplashBidNoticeAbstractUI.aspx?menuIndex=3&amp;refID=7046196&amp;Result=3","7046196")</f>
        <v>0</v>
      </c>
      <c r="B13775" t="s">
        <v>1316</v>
      </c>
      <c r="C13775" t="s">
        <v>16604</v>
      </c>
      <c r="D13775" t="s">
        <v>17445</v>
      </c>
      <c r="E13775" t="s">
        <v>29299</v>
      </c>
      <c r="F13775" t="s">
        <v>30052</v>
      </c>
      <c r="G13775" t="s">
        <v>30058</v>
      </c>
      <c r="H13775" t="s">
        <v>15498</v>
      </c>
      <c r="I13775" t="s">
        <v>30074</v>
      </c>
      <c r="J13775" t="s">
        <v>30247</v>
      </c>
      <c r="K13775" t="s">
        <v>39029</v>
      </c>
      <c r="M13775" t="s">
        <v>40683</v>
      </c>
      <c r="N13775" t="s">
        <v>43166</v>
      </c>
      <c r="O13775" t="s">
        <v>43167</v>
      </c>
      <c r="P13775">
        <v>0</v>
      </c>
      <c r="Q13775">
        <v>8</v>
      </c>
      <c r="R13775" t="s">
        <v>43188</v>
      </c>
      <c r="S13775" t="s">
        <v>44213</v>
      </c>
      <c r="T13775" t="s">
        <v>44870</v>
      </c>
      <c r="U13775" t="s">
        <v>48098</v>
      </c>
      <c r="W13775" t="s">
        <v>40683</v>
      </c>
      <c r="X13775" t="s">
        <v>43189</v>
      </c>
    </row>
    <row r="13776" spans="1:24">
      <c r="A13776">
        <f>HYPERLINK("https://www.philgeps.gov.ph/GEPSNONPILOT/Tender/SplashBidNoticeAbstractUI.aspx?menuIndex=3&amp;refID=7046579&amp;Result=3","7046579")</f>
        <v>0</v>
      </c>
      <c r="B13776" t="s">
        <v>2410</v>
      </c>
      <c r="C13776" t="s">
        <v>16605</v>
      </c>
      <c r="D13776" t="s">
        <v>17470</v>
      </c>
      <c r="E13776" t="s">
        <v>29300</v>
      </c>
      <c r="F13776" t="s">
        <v>30052</v>
      </c>
      <c r="G13776" t="s">
        <v>30058</v>
      </c>
      <c r="H13776" t="s">
        <v>15498</v>
      </c>
      <c r="I13776" t="s">
        <v>30073</v>
      </c>
      <c r="J13776" t="s">
        <v>38546</v>
      </c>
      <c r="K13776" t="s">
        <v>39029</v>
      </c>
      <c r="M13776" t="s">
        <v>41907</v>
      </c>
      <c r="N13776" t="s">
        <v>43166</v>
      </c>
      <c r="O13776" t="s">
        <v>43167</v>
      </c>
      <c r="P13776">
        <v>0</v>
      </c>
      <c r="Q13776">
        <v>0</v>
      </c>
      <c r="R13776" t="s">
        <v>43188</v>
      </c>
      <c r="S13776" t="s">
        <v>44213</v>
      </c>
      <c r="T13776" t="s">
        <v>44717</v>
      </c>
      <c r="U13776" t="s">
        <v>56150</v>
      </c>
      <c r="W13776" t="s">
        <v>41907</v>
      </c>
      <c r="X13776" t="s">
        <v>43189</v>
      </c>
    </row>
    <row r="13777" spans="1:24">
      <c r="A13777">
        <f>HYPERLINK("https://www.philgeps.gov.ph/GEPSNONPILOT/Tender/SplashBidNoticeAbstractUI.aspx?menuIndex=3&amp;refID=7046157&amp;Result=3","7046157")</f>
        <v>0</v>
      </c>
      <c r="B13777" t="s">
        <v>1377</v>
      </c>
      <c r="C13777" t="s">
        <v>16606</v>
      </c>
      <c r="D13777" t="s">
        <v>17415</v>
      </c>
      <c r="E13777" t="s">
        <v>29301</v>
      </c>
      <c r="F13777" t="s">
        <v>30052</v>
      </c>
      <c r="G13777" t="s">
        <v>30058</v>
      </c>
      <c r="H13777" t="s">
        <v>15498</v>
      </c>
      <c r="I13777" t="s">
        <v>30127</v>
      </c>
      <c r="J13777" t="s">
        <v>38366</v>
      </c>
      <c r="K13777" t="s">
        <v>39029</v>
      </c>
      <c r="M13777" t="s">
        <v>43056</v>
      </c>
      <c r="N13777" t="s">
        <v>43166</v>
      </c>
      <c r="O13777" t="s">
        <v>43167</v>
      </c>
      <c r="Q13777">
        <v>2</v>
      </c>
      <c r="R13777" t="s">
        <v>43188</v>
      </c>
      <c r="S13777" t="s">
        <v>44247</v>
      </c>
      <c r="T13777" t="s">
        <v>44844</v>
      </c>
      <c r="U13777" t="s">
        <v>56151</v>
      </c>
      <c r="W13777" t="s">
        <v>43056</v>
      </c>
      <c r="X13777" t="s">
        <v>43189</v>
      </c>
    </row>
    <row r="13778" spans="1:24">
      <c r="A13778">
        <f>HYPERLINK("https://www.philgeps.gov.ph/GEPSNONPILOT/Tender/SplashBidNoticeAbstractUI.aspx?menuIndex=3&amp;refID=7046162&amp;Result=3","7046162")</f>
        <v>0</v>
      </c>
      <c r="B13778" t="s">
        <v>2410</v>
      </c>
      <c r="C13778" t="s">
        <v>16607</v>
      </c>
      <c r="D13778" t="s">
        <v>17470</v>
      </c>
      <c r="E13778" t="s">
        <v>29294</v>
      </c>
      <c r="F13778" t="s">
        <v>30052</v>
      </c>
      <c r="G13778" t="s">
        <v>30058</v>
      </c>
      <c r="H13778" t="s">
        <v>15498</v>
      </c>
      <c r="I13778" t="s">
        <v>30070</v>
      </c>
      <c r="J13778" t="s">
        <v>38547</v>
      </c>
      <c r="K13778" t="s">
        <v>39029</v>
      </c>
      <c r="M13778" t="s">
        <v>41907</v>
      </c>
      <c r="N13778" t="s">
        <v>43166</v>
      </c>
      <c r="O13778" t="s">
        <v>43167</v>
      </c>
      <c r="P13778">
        <v>0</v>
      </c>
      <c r="Q13778">
        <v>0</v>
      </c>
      <c r="R13778" t="s">
        <v>43188</v>
      </c>
      <c r="S13778" t="s">
        <v>44213</v>
      </c>
      <c r="T13778" t="s">
        <v>44717</v>
      </c>
      <c r="U13778" t="s">
        <v>56146</v>
      </c>
      <c r="W13778" t="s">
        <v>41907</v>
      </c>
      <c r="X13778" t="s">
        <v>43189</v>
      </c>
    </row>
    <row r="13779" spans="1:24">
      <c r="A13779">
        <f>HYPERLINK("https://www.philgeps.gov.ph/GEPSNONPILOT/Tender/SplashBidNoticeAbstractUI.aspx?menuIndex=3&amp;refID=7046523&amp;Result=3","7046523")</f>
        <v>0</v>
      </c>
      <c r="B13779" t="s">
        <v>1260</v>
      </c>
      <c r="C13779" t="s">
        <v>16608</v>
      </c>
      <c r="D13779" t="s">
        <v>17478</v>
      </c>
      <c r="E13779" t="s">
        <v>29302</v>
      </c>
      <c r="F13779" t="s">
        <v>30052</v>
      </c>
      <c r="G13779" t="s">
        <v>30063</v>
      </c>
      <c r="H13779" t="s">
        <v>30067</v>
      </c>
      <c r="I13779" t="s">
        <v>3693</v>
      </c>
      <c r="J13779" t="s">
        <v>38548</v>
      </c>
      <c r="K13779" t="s">
        <v>39031</v>
      </c>
      <c r="M13779" t="s">
        <v>42093</v>
      </c>
      <c r="N13779" t="s">
        <v>43166</v>
      </c>
      <c r="O13779" t="s">
        <v>43167</v>
      </c>
      <c r="P13779">
        <v>0</v>
      </c>
      <c r="Q13779">
        <v>0</v>
      </c>
      <c r="R13779" t="s">
        <v>43188</v>
      </c>
      <c r="S13779" t="s">
        <v>44213</v>
      </c>
      <c r="T13779" t="s">
        <v>44717</v>
      </c>
      <c r="U13779" t="s">
        <v>52067</v>
      </c>
      <c r="V13779" t="s">
        <v>58477</v>
      </c>
      <c r="W13779" t="s">
        <v>58679</v>
      </c>
      <c r="X13779" t="s">
        <v>43189</v>
      </c>
    </row>
    <row r="13780" spans="1:24">
      <c r="A13780">
        <f>HYPERLINK("https://www.philgeps.gov.ph/GEPSNONPILOT/Tender/SplashBidNoticeAbstractUI.aspx?menuIndex=3&amp;refID=7046509&amp;Result=3","7046509")</f>
        <v>0</v>
      </c>
      <c r="B13780" t="s">
        <v>2410</v>
      </c>
      <c r="C13780" t="s">
        <v>16609</v>
      </c>
      <c r="D13780" t="s">
        <v>17470</v>
      </c>
      <c r="E13780" t="s">
        <v>29303</v>
      </c>
      <c r="F13780" t="s">
        <v>30052</v>
      </c>
      <c r="G13780" t="s">
        <v>30058</v>
      </c>
      <c r="H13780" t="s">
        <v>15498</v>
      </c>
      <c r="I13780" t="s">
        <v>6691</v>
      </c>
      <c r="J13780" t="s">
        <v>31566</v>
      </c>
      <c r="K13780" t="s">
        <v>39029</v>
      </c>
      <c r="M13780" t="s">
        <v>41907</v>
      </c>
      <c r="N13780" t="s">
        <v>43166</v>
      </c>
      <c r="O13780" t="s">
        <v>43167</v>
      </c>
      <c r="P13780">
        <v>0</v>
      </c>
      <c r="Q13780">
        <v>0</v>
      </c>
      <c r="R13780" t="s">
        <v>43188</v>
      </c>
      <c r="S13780" t="s">
        <v>44213</v>
      </c>
      <c r="T13780" t="s">
        <v>44717</v>
      </c>
      <c r="U13780" t="s">
        <v>56152</v>
      </c>
      <c r="W13780" t="s">
        <v>41907</v>
      </c>
      <c r="X13780" t="s">
        <v>43189</v>
      </c>
    </row>
    <row r="13781" spans="1:24">
      <c r="A13781">
        <f>HYPERLINK("https://www.philgeps.gov.ph/GEPSNONPILOT/Tender/SplashBidNoticeAbstractUI.aspx?menuIndex=3&amp;refID=7046489&amp;Result=3","7046489")</f>
        <v>0</v>
      </c>
      <c r="B13781" t="s">
        <v>3396</v>
      </c>
      <c r="C13781" t="s">
        <v>16610</v>
      </c>
      <c r="D13781" t="s">
        <v>17413</v>
      </c>
      <c r="E13781" t="s">
        <v>17650</v>
      </c>
      <c r="F13781" t="s">
        <v>30052</v>
      </c>
      <c r="G13781" t="s">
        <v>30058</v>
      </c>
      <c r="H13781" t="s">
        <v>30067</v>
      </c>
      <c r="I13781" t="s">
        <v>3693</v>
      </c>
      <c r="J13781" t="s">
        <v>30321</v>
      </c>
      <c r="K13781" t="s">
        <v>39031</v>
      </c>
      <c r="M13781" t="s">
        <v>43059</v>
      </c>
      <c r="N13781" t="s">
        <v>43166</v>
      </c>
      <c r="O13781" t="s">
        <v>43167</v>
      </c>
      <c r="P13781">
        <v>0</v>
      </c>
      <c r="Q13781">
        <v>6</v>
      </c>
      <c r="R13781" t="s">
        <v>43188</v>
      </c>
      <c r="S13781" t="s">
        <v>44213</v>
      </c>
      <c r="T13781" t="s">
        <v>44844</v>
      </c>
      <c r="U13781" t="s">
        <v>56153</v>
      </c>
      <c r="W13781" t="s">
        <v>43059</v>
      </c>
      <c r="X13781" t="s">
        <v>43189</v>
      </c>
    </row>
    <row r="13782" spans="1:24">
      <c r="A13782">
        <f>HYPERLINK("https://www.philgeps.gov.ph/GEPSNONPILOT/Tender/SplashBidNoticeAbstractUI.aspx?menuIndex=3&amp;refID=7046163&amp;Result=3","7046163")</f>
        <v>0</v>
      </c>
      <c r="B13782" t="s">
        <v>3391</v>
      </c>
      <c r="C13782" t="s">
        <v>16611</v>
      </c>
      <c r="D13782" t="s">
        <v>17475</v>
      </c>
      <c r="E13782" t="s">
        <v>29304</v>
      </c>
      <c r="F13782" t="s">
        <v>30052</v>
      </c>
      <c r="G13782" t="s">
        <v>30058</v>
      </c>
      <c r="H13782" t="s">
        <v>15498</v>
      </c>
      <c r="I13782" t="s">
        <v>9238</v>
      </c>
      <c r="J13782" t="s">
        <v>38549</v>
      </c>
      <c r="K13782" t="s">
        <v>39031</v>
      </c>
      <c r="M13782" t="s">
        <v>43053</v>
      </c>
      <c r="N13782" t="s">
        <v>43166</v>
      </c>
      <c r="O13782" t="s">
        <v>43167</v>
      </c>
      <c r="Q13782">
        <v>8</v>
      </c>
      <c r="R13782" t="s">
        <v>43188</v>
      </c>
      <c r="S13782" t="s">
        <v>43386</v>
      </c>
      <c r="T13782" t="s">
        <v>44936</v>
      </c>
      <c r="U13782" t="s">
        <v>56154</v>
      </c>
      <c r="V13782" t="s">
        <v>58473</v>
      </c>
      <c r="W13782" t="s">
        <v>43053</v>
      </c>
      <c r="X13782" t="s">
        <v>43189</v>
      </c>
    </row>
    <row r="13783" spans="1:24">
      <c r="A13783">
        <f>HYPERLINK("https://www.philgeps.gov.ph/GEPSNONPILOT/Tender/SplashBidNoticeAbstractUI.aspx?menuIndex=3&amp;refID=7046487&amp;Result=3","7046487")</f>
        <v>0</v>
      </c>
      <c r="B13783" t="s">
        <v>1260</v>
      </c>
      <c r="C13783" t="s">
        <v>16612</v>
      </c>
      <c r="D13783" t="s">
        <v>17478</v>
      </c>
      <c r="E13783" t="s">
        <v>29305</v>
      </c>
      <c r="F13783" t="s">
        <v>30052</v>
      </c>
      <c r="G13783" t="s">
        <v>30063</v>
      </c>
      <c r="H13783" t="s">
        <v>30067</v>
      </c>
      <c r="I13783" t="s">
        <v>3693</v>
      </c>
      <c r="J13783" t="s">
        <v>38550</v>
      </c>
      <c r="K13783" t="s">
        <v>39031</v>
      </c>
      <c r="M13783" t="s">
        <v>42093</v>
      </c>
      <c r="N13783" t="s">
        <v>43166</v>
      </c>
      <c r="O13783" t="s">
        <v>43167</v>
      </c>
      <c r="P13783">
        <v>0</v>
      </c>
      <c r="Q13783">
        <v>0</v>
      </c>
      <c r="R13783" t="s">
        <v>43188</v>
      </c>
      <c r="S13783" t="s">
        <v>44213</v>
      </c>
      <c r="T13783" t="s">
        <v>44717</v>
      </c>
      <c r="U13783" t="s">
        <v>52067</v>
      </c>
      <c r="V13783" t="s">
        <v>58478</v>
      </c>
      <c r="W13783" t="s">
        <v>58679</v>
      </c>
      <c r="X13783" t="s">
        <v>43189</v>
      </c>
    </row>
    <row r="13784" spans="1:24">
      <c r="A13784">
        <f>HYPERLINK("https://www.philgeps.gov.ph/GEPSNONPILOT/Tender/SplashBidNoticeAbstractUI.aspx?menuIndex=3&amp;refID=7046421&amp;Result=3","7046421")</f>
        <v>0</v>
      </c>
      <c r="B13784" t="s">
        <v>917</v>
      </c>
      <c r="C13784" t="s">
        <v>16613</v>
      </c>
      <c r="D13784" t="s">
        <v>17415</v>
      </c>
      <c r="E13784" t="s">
        <v>29306</v>
      </c>
      <c r="F13784" t="s">
        <v>30052</v>
      </c>
      <c r="G13784" t="s">
        <v>30058</v>
      </c>
      <c r="H13784" t="s">
        <v>15498</v>
      </c>
      <c r="I13784" t="s">
        <v>6304</v>
      </c>
      <c r="J13784" t="s">
        <v>38551</v>
      </c>
      <c r="K13784" t="s">
        <v>39025</v>
      </c>
      <c r="M13784" t="s">
        <v>43060</v>
      </c>
      <c r="N13784" t="s">
        <v>43166</v>
      </c>
      <c r="O13784" t="s">
        <v>43167</v>
      </c>
      <c r="P13784">
        <v>0</v>
      </c>
      <c r="Q13784">
        <v>3</v>
      </c>
      <c r="R13784" t="s">
        <v>43188</v>
      </c>
      <c r="S13784" t="s">
        <v>44213</v>
      </c>
      <c r="T13784" t="s">
        <v>44777</v>
      </c>
      <c r="U13784" t="s">
        <v>56155</v>
      </c>
      <c r="V13784" t="s">
        <v>58479</v>
      </c>
      <c r="W13784" t="s">
        <v>43060</v>
      </c>
      <c r="X13784" t="s">
        <v>43189</v>
      </c>
    </row>
    <row r="13785" spans="1:24">
      <c r="A13785">
        <f>HYPERLINK("https://www.philgeps.gov.ph/GEPSNONPILOT/Tender/SplashBidNoticeAbstractUI.aspx?menuIndex=3&amp;refID=7046517&amp;Result=3","7046517")</f>
        <v>0</v>
      </c>
      <c r="B13785" t="s">
        <v>3397</v>
      </c>
      <c r="C13785" t="s">
        <v>16614</v>
      </c>
      <c r="D13785" t="s">
        <v>17448</v>
      </c>
      <c r="E13785" t="s">
        <v>24250</v>
      </c>
      <c r="F13785" t="s">
        <v>30052</v>
      </c>
      <c r="G13785" t="s">
        <v>30058</v>
      </c>
      <c r="H13785" t="s">
        <v>30067</v>
      </c>
      <c r="I13785" t="s">
        <v>3693</v>
      </c>
      <c r="J13785" t="s">
        <v>38552</v>
      </c>
      <c r="K13785" t="s">
        <v>39037</v>
      </c>
      <c r="M13785" t="s">
        <v>43061</v>
      </c>
      <c r="N13785" t="s">
        <v>43166</v>
      </c>
      <c r="O13785" t="s">
        <v>43167</v>
      </c>
      <c r="P13785">
        <v>0</v>
      </c>
      <c r="Q13785">
        <v>0</v>
      </c>
      <c r="R13785" t="s">
        <v>43188</v>
      </c>
      <c r="S13785" t="s">
        <v>44213</v>
      </c>
      <c r="T13785" t="s">
        <v>44792</v>
      </c>
      <c r="U13785" t="s">
        <v>56156</v>
      </c>
      <c r="W13785" t="s">
        <v>43061</v>
      </c>
      <c r="X13785" t="s">
        <v>43189</v>
      </c>
    </row>
    <row r="13786" spans="1:24">
      <c r="A13786">
        <f>HYPERLINK("https://www.philgeps.gov.ph/GEPSNONPILOT/Tender/SplashBidNoticeAbstractUI.aspx?menuIndex=3&amp;refID=7046542&amp;Result=3","7046542")</f>
        <v>0</v>
      </c>
      <c r="B13786" t="s">
        <v>3339</v>
      </c>
      <c r="C13786" t="s">
        <v>16615</v>
      </c>
      <c r="D13786" t="s">
        <v>17458</v>
      </c>
      <c r="E13786" t="s">
        <v>29307</v>
      </c>
      <c r="F13786" t="s">
        <v>30052</v>
      </c>
      <c r="G13786" t="s">
        <v>30058</v>
      </c>
      <c r="H13786" t="s">
        <v>30067</v>
      </c>
      <c r="I13786" t="s">
        <v>3693</v>
      </c>
      <c r="J13786" t="s">
        <v>30247</v>
      </c>
      <c r="K13786" t="s">
        <v>39023</v>
      </c>
      <c r="M13786" t="s">
        <v>42982</v>
      </c>
      <c r="N13786" t="s">
        <v>43166</v>
      </c>
      <c r="O13786" t="s">
        <v>43167</v>
      </c>
      <c r="P13786">
        <v>0</v>
      </c>
      <c r="Q13786">
        <v>1</v>
      </c>
      <c r="R13786" t="s">
        <v>43188</v>
      </c>
      <c r="S13786" t="s">
        <v>44213</v>
      </c>
      <c r="T13786" t="s">
        <v>44710</v>
      </c>
      <c r="U13786" t="s">
        <v>56157</v>
      </c>
      <c r="W13786" t="s">
        <v>42982</v>
      </c>
      <c r="X13786" t="s">
        <v>43189</v>
      </c>
    </row>
    <row r="13787" spans="1:24">
      <c r="A13787">
        <f>HYPERLINK("https://www.philgeps.gov.ph/GEPSNONPILOT/Tender/SplashBidNoticeAbstractUI.aspx?menuIndex=3&amp;refID=7046248&amp;Result=3","7046248")</f>
        <v>0</v>
      </c>
      <c r="B13787" t="s">
        <v>2410</v>
      </c>
      <c r="C13787" t="s">
        <v>16616</v>
      </c>
      <c r="D13787" t="s">
        <v>17470</v>
      </c>
      <c r="E13787" t="s">
        <v>29287</v>
      </c>
      <c r="F13787" t="s">
        <v>30052</v>
      </c>
      <c r="G13787" t="s">
        <v>30058</v>
      </c>
      <c r="H13787" t="s">
        <v>15498</v>
      </c>
      <c r="I13787" t="s">
        <v>30070</v>
      </c>
      <c r="J13787" t="s">
        <v>38553</v>
      </c>
      <c r="K13787" t="s">
        <v>39029</v>
      </c>
      <c r="M13787" t="s">
        <v>41907</v>
      </c>
      <c r="N13787" t="s">
        <v>43166</v>
      </c>
      <c r="O13787" t="s">
        <v>43167</v>
      </c>
      <c r="P13787">
        <v>0</v>
      </c>
      <c r="Q13787">
        <v>0</v>
      </c>
      <c r="R13787" t="s">
        <v>43188</v>
      </c>
      <c r="S13787" t="s">
        <v>44213</v>
      </c>
      <c r="T13787" t="s">
        <v>44717</v>
      </c>
      <c r="U13787" t="s">
        <v>56139</v>
      </c>
      <c r="W13787" t="s">
        <v>41907</v>
      </c>
      <c r="X13787" t="s">
        <v>43189</v>
      </c>
    </row>
    <row r="13788" spans="1:24">
      <c r="A13788">
        <f>HYPERLINK("https://www.philgeps.gov.ph/GEPSNONPILOT/Tender/SplashBidNoticeAbstractUI.aspx?menuIndex=3&amp;refID=7046740&amp;Result=3","7046740")</f>
        <v>0</v>
      </c>
      <c r="B13788" t="s">
        <v>174</v>
      </c>
      <c r="C13788" t="s">
        <v>16617</v>
      </c>
      <c r="D13788" t="s">
        <v>17419</v>
      </c>
      <c r="E13788" t="s">
        <v>29308</v>
      </c>
      <c r="F13788" t="s">
        <v>30052</v>
      </c>
      <c r="G13788" t="s">
        <v>30058</v>
      </c>
      <c r="H13788" t="s">
        <v>30067</v>
      </c>
      <c r="I13788" t="s">
        <v>3693</v>
      </c>
      <c r="J13788" t="s">
        <v>30281</v>
      </c>
      <c r="K13788" t="s">
        <v>39026</v>
      </c>
      <c r="M13788" t="s">
        <v>39463</v>
      </c>
      <c r="N13788" t="s">
        <v>43166</v>
      </c>
      <c r="O13788" t="s">
        <v>43167</v>
      </c>
      <c r="P13788">
        <v>0</v>
      </c>
      <c r="Q13788">
        <v>2</v>
      </c>
      <c r="R13788" t="s">
        <v>43188</v>
      </c>
      <c r="S13788" t="s">
        <v>44213</v>
      </c>
      <c r="T13788" t="s">
        <v>44844</v>
      </c>
      <c r="U13788" t="s">
        <v>56158</v>
      </c>
      <c r="W13788" t="s">
        <v>39463</v>
      </c>
      <c r="X13788" t="s">
        <v>43189</v>
      </c>
    </row>
    <row r="13789" spans="1:24">
      <c r="A13789">
        <f>HYPERLINK("https://www.philgeps.gov.ph/GEPSNONPILOT/Tender/SplashBidNoticeAbstractUI.aspx?menuIndex=3&amp;refID=7046438&amp;Result=3","7046438")</f>
        <v>0</v>
      </c>
      <c r="B13789" t="s">
        <v>3396</v>
      </c>
      <c r="C13789" t="s">
        <v>16618</v>
      </c>
      <c r="D13789" t="s">
        <v>17413</v>
      </c>
      <c r="E13789" t="s">
        <v>17715</v>
      </c>
      <c r="F13789" t="s">
        <v>30052</v>
      </c>
      <c r="G13789" t="s">
        <v>30058</v>
      </c>
      <c r="H13789" t="s">
        <v>30067</v>
      </c>
      <c r="I13789" t="s">
        <v>3693</v>
      </c>
      <c r="J13789" t="s">
        <v>30247</v>
      </c>
      <c r="K13789" t="s">
        <v>39023</v>
      </c>
      <c r="M13789" t="s">
        <v>43059</v>
      </c>
      <c r="N13789" t="s">
        <v>43166</v>
      </c>
      <c r="O13789" t="s">
        <v>43167</v>
      </c>
      <c r="P13789">
        <v>0</v>
      </c>
      <c r="Q13789">
        <v>5</v>
      </c>
      <c r="R13789" t="s">
        <v>43188</v>
      </c>
      <c r="S13789" t="s">
        <v>44213</v>
      </c>
      <c r="T13789" t="s">
        <v>44844</v>
      </c>
      <c r="U13789" t="s">
        <v>56159</v>
      </c>
      <c r="W13789" t="s">
        <v>43059</v>
      </c>
      <c r="X13789" t="s">
        <v>43189</v>
      </c>
    </row>
    <row r="13790" spans="1:24">
      <c r="A13790">
        <f>HYPERLINK("https://www.philgeps.gov.ph/GEPSNONPILOT/Tender/SplashBidNoticeAbstractUI.aspx?menuIndex=3&amp;refID=7046731&amp;Result=3","7046731")</f>
        <v>0</v>
      </c>
      <c r="B13790" t="s">
        <v>3188</v>
      </c>
      <c r="C13790" t="s">
        <v>16619</v>
      </c>
      <c r="D13790" t="s">
        <v>17415</v>
      </c>
      <c r="E13790" t="s">
        <v>24094</v>
      </c>
      <c r="F13790" t="s">
        <v>30052</v>
      </c>
      <c r="G13790" t="s">
        <v>30058</v>
      </c>
      <c r="H13790" t="s">
        <v>15498</v>
      </c>
      <c r="I13790" t="s">
        <v>30088</v>
      </c>
      <c r="J13790" t="s">
        <v>32344</v>
      </c>
      <c r="K13790" t="s">
        <v>39031</v>
      </c>
      <c r="M13790" t="s">
        <v>43062</v>
      </c>
      <c r="N13790" t="s">
        <v>43166</v>
      </c>
      <c r="O13790" t="s">
        <v>43167</v>
      </c>
      <c r="Q13790">
        <v>54</v>
      </c>
      <c r="R13790" t="s">
        <v>43188</v>
      </c>
      <c r="S13790" t="s">
        <v>44248</v>
      </c>
      <c r="T13790" t="s">
        <v>44717</v>
      </c>
      <c r="U13790" t="s">
        <v>56160</v>
      </c>
      <c r="W13790" t="s">
        <v>43062</v>
      </c>
      <c r="X13790" t="s">
        <v>43189</v>
      </c>
    </row>
    <row r="13791" spans="1:24">
      <c r="A13791">
        <f>HYPERLINK("https://www.philgeps.gov.ph/GEPSNONPILOT/Tender/SplashBidNoticeAbstractUI.aspx?menuIndex=3&amp;refID=7046714&amp;Result=3","7046714")</f>
        <v>0</v>
      </c>
      <c r="B13791" t="s">
        <v>1133</v>
      </c>
      <c r="C13791" t="s">
        <v>16620</v>
      </c>
      <c r="D13791" t="s">
        <v>17415</v>
      </c>
      <c r="E13791" t="s">
        <v>27143</v>
      </c>
      <c r="F13791" t="s">
        <v>30052</v>
      </c>
      <c r="G13791" t="s">
        <v>30058</v>
      </c>
      <c r="H13791" t="s">
        <v>15498</v>
      </c>
      <c r="I13791" t="s">
        <v>30070</v>
      </c>
      <c r="J13791" t="s">
        <v>38554</v>
      </c>
      <c r="K13791" t="s">
        <v>39025</v>
      </c>
      <c r="M13791" t="s">
        <v>40476</v>
      </c>
      <c r="N13791" t="s">
        <v>43166</v>
      </c>
      <c r="O13791" t="s">
        <v>43167</v>
      </c>
      <c r="Q13791">
        <v>8</v>
      </c>
      <c r="R13791" t="s">
        <v>43188</v>
      </c>
      <c r="S13791" t="s">
        <v>44249</v>
      </c>
      <c r="T13791" t="s">
        <v>44717</v>
      </c>
      <c r="U13791" t="s">
        <v>56161</v>
      </c>
      <c r="W13791" t="s">
        <v>40476</v>
      </c>
      <c r="X13791" t="s">
        <v>43189</v>
      </c>
    </row>
    <row r="13792" spans="1:24">
      <c r="A13792">
        <f>HYPERLINK("https://www.philgeps.gov.ph/GEPSNONPILOT/Tender/SplashBidNoticeAbstractUI.aspx?menuIndex=3&amp;refID=7046694&amp;Result=3","7046694")</f>
        <v>0</v>
      </c>
      <c r="B13792" t="s">
        <v>2410</v>
      </c>
      <c r="C13792" t="s">
        <v>16621</v>
      </c>
      <c r="D13792" t="s">
        <v>17470</v>
      </c>
      <c r="E13792" t="s">
        <v>29309</v>
      </c>
      <c r="F13792" t="s">
        <v>30052</v>
      </c>
      <c r="G13792" t="s">
        <v>30058</v>
      </c>
      <c r="H13792" t="s">
        <v>15498</v>
      </c>
      <c r="I13792" t="s">
        <v>3852</v>
      </c>
      <c r="J13792" t="s">
        <v>38555</v>
      </c>
      <c r="K13792" t="s">
        <v>39029</v>
      </c>
      <c r="M13792" t="s">
        <v>41907</v>
      </c>
      <c r="N13792" t="s">
        <v>43166</v>
      </c>
      <c r="O13792" t="s">
        <v>43167</v>
      </c>
      <c r="P13792">
        <v>0</v>
      </c>
      <c r="Q13792">
        <v>1</v>
      </c>
      <c r="R13792" t="s">
        <v>43188</v>
      </c>
      <c r="S13792" t="s">
        <v>44213</v>
      </c>
      <c r="T13792" t="s">
        <v>44717</v>
      </c>
      <c r="U13792" t="s">
        <v>56162</v>
      </c>
      <c r="W13792" t="s">
        <v>41907</v>
      </c>
      <c r="X13792" t="s">
        <v>43189</v>
      </c>
    </row>
    <row r="13793" spans="1:24">
      <c r="A13793">
        <f>HYPERLINK("https://www.philgeps.gov.ph/GEPSNONPILOT/Tender/SplashBidNoticeAbstractUI.aspx?menuIndex=3&amp;refID=7046420&amp;Result=3","7046420")</f>
        <v>0</v>
      </c>
      <c r="B13793" t="s">
        <v>777</v>
      </c>
      <c r="C13793" t="s">
        <v>16622</v>
      </c>
      <c r="E13793" t="s">
        <v>29310</v>
      </c>
      <c r="F13793" t="s">
        <v>30052</v>
      </c>
      <c r="G13793" t="s">
        <v>30058</v>
      </c>
      <c r="H13793" t="s">
        <v>15498</v>
      </c>
      <c r="I13793" t="s">
        <v>30098</v>
      </c>
      <c r="J13793" t="s">
        <v>38556</v>
      </c>
      <c r="K13793" t="s">
        <v>39025</v>
      </c>
      <c r="M13793" t="s">
        <v>40092</v>
      </c>
      <c r="N13793" t="s">
        <v>43166</v>
      </c>
      <c r="O13793" t="s">
        <v>43167</v>
      </c>
      <c r="P13793">
        <v>0</v>
      </c>
      <c r="Q13793">
        <v>3</v>
      </c>
      <c r="R13793" t="s">
        <v>43188</v>
      </c>
      <c r="S13793" t="s">
        <v>44213</v>
      </c>
      <c r="T13793" t="s">
        <v>44856</v>
      </c>
      <c r="U13793" t="s">
        <v>56163</v>
      </c>
      <c r="W13793" t="s">
        <v>40092</v>
      </c>
      <c r="X13793" t="s">
        <v>43189</v>
      </c>
    </row>
    <row r="13794" spans="1:24">
      <c r="A13794">
        <f>HYPERLINK("https://www.philgeps.gov.ph/GEPSNONPILOT/Tender/SplashBidNoticeAbstractUI.aspx?menuIndex=3&amp;refID=7046668&amp;Result=3","7046668")</f>
        <v>0</v>
      </c>
      <c r="B13794" t="s">
        <v>2410</v>
      </c>
      <c r="C13794" t="s">
        <v>16623</v>
      </c>
      <c r="D13794" t="s">
        <v>17470</v>
      </c>
      <c r="E13794" t="s">
        <v>29311</v>
      </c>
      <c r="F13794" t="s">
        <v>30052</v>
      </c>
      <c r="G13794" t="s">
        <v>30058</v>
      </c>
      <c r="H13794" t="s">
        <v>15498</v>
      </c>
      <c r="I13794" t="s">
        <v>30087</v>
      </c>
      <c r="J13794" t="s">
        <v>30677</v>
      </c>
      <c r="K13794" t="s">
        <v>39029</v>
      </c>
      <c r="M13794" t="s">
        <v>41907</v>
      </c>
      <c r="N13794" t="s">
        <v>43166</v>
      </c>
      <c r="O13794" t="s">
        <v>43167</v>
      </c>
      <c r="P13794">
        <v>0</v>
      </c>
      <c r="Q13794">
        <v>0</v>
      </c>
      <c r="R13794" t="s">
        <v>43188</v>
      </c>
      <c r="S13794" t="s">
        <v>44213</v>
      </c>
      <c r="T13794" t="s">
        <v>44717</v>
      </c>
      <c r="U13794" t="s">
        <v>56164</v>
      </c>
      <c r="W13794" t="s">
        <v>41907</v>
      </c>
      <c r="X13794" t="s">
        <v>43189</v>
      </c>
    </row>
    <row r="13795" spans="1:24">
      <c r="A13795">
        <f>HYPERLINK("https://www.philgeps.gov.ph/GEPSNONPILOT/Tender/SplashBidNoticeAbstractUI.aspx?menuIndex=3&amp;refID=7045908&amp;Result=3","7045908")</f>
        <v>0</v>
      </c>
      <c r="B13795" t="s">
        <v>3391</v>
      </c>
      <c r="C13795" t="s">
        <v>16624</v>
      </c>
      <c r="D13795" t="s">
        <v>17475</v>
      </c>
      <c r="E13795" t="s">
        <v>29312</v>
      </c>
      <c r="F13795" t="s">
        <v>30052</v>
      </c>
      <c r="G13795" t="s">
        <v>30058</v>
      </c>
      <c r="H13795" t="s">
        <v>15498</v>
      </c>
      <c r="I13795" t="s">
        <v>9238</v>
      </c>
      <c r="J13795" t="s">
        <v>30222</v>
      </c>
      <c r="K13795" t="s">
        <v>39031</v>
      </c>
      <c r="M13795" t="s">
        <v>43053</v>
      </c>
      <c r="N13795" t="s">
        <v>43166</v>
      </c>
      <c r="O13795" t="s">
        <v>43167</v>
      </c>
      <c r="Q13795">
        <v>29</v>
      </c>
      <c r="R13795" t="s">
        <v>43188</v>
      </c>
      <c r="S13795" t="s">
        <v>44250</v>
      </c>
      <c r="T13795" t="s">
        <v>44936</v>
      </c>
      <c r="U13795" t="s">
        <v>56165</v>
      </c>
      <c r="V13795" t="s">
        <v>58473</v>
      </c>
      <c r="W13795" t="s">
        <v>43053</v>
      </c>
      <c r="X13795" t="s">
        <v>43189</v>
      </c>
    </row>
    <row r="13796" spans="1:24">
      <c r="A13796">
        <f>HYPERLINK("https://www.philgeps.gov.ph/GEPSNONPILOT/Tender/SplashBidNoticeAbstractUI.aspx?menuIndex=3&amp;refID=7046660&amp;Result=3","7046660")</f>
        <v>0</v>
      </c>
      <c r="B13796" t="s">
        <v>2864</v>
      </c>
      <c r="C13796" t="s">
        <v>16625</v>
      </c>
      <c r="D13796" t="s">
        <v>17475</v>
      </c>
      <c r="E13796" t="s">
        <v>29313</v>
      </c>
      <c r="F13796" t="s">
        <v>30052</v>
      </c>
      <c r="G13796" t="s">
        <v>30058</v>
      </c>
      <c r="H13796" t="s">
        <v>30067</v>
      </c>
      <c r="I13796" t="s">
        <v>3693</v>
      </c>
      <c r="J13796" t="s">
        <v>38557</v>
      </c>
      <c r="K13796" t="s">
        <v>39025</v>
      </c>
      <c r="M13796" t="s">
        <v>42475</v>
      </c>
      <c r="N13796" t="s">
        <v>43166</v>
      </c>
      <c r="O13796" t="s">
        <v>43167</v>
      </c>
      <c r="P13796">
        <v>0</v>
      </c>
      <c r="Q13796">
        <v>2</v>
      </c>
      <c r="R13796" t="s">
        <v>43188</v>
      </c>
      <c r="S13796" t="s">
        <v>44213</v>
      </c>
      <c r="T13796" t="s">
        <v>44856</v>
      </c>
      <c r="U13796" t="s">
        <v>53437</v>
      </c>
      <c r="W13796" t="s">
        <v>42475</v>
      </c>
      <c r="X13796" t="s">
        <v>43189</v>
      </c>
    </row>
    <row r="13797" spans="1:24">
      <c r="A13797">
        <f>HYPERLINK("https://www.philgeps.gov.ph/GEPSNONPILOT/Tender/SplashBidNoticeAbstractUI.aspx?menuIndex=3&amp;refID=7046658&amp;Result=3","7046658")</f>
        <v>0</v>
      </c>
      <c r="B13797" t="s">
        <v>3396</v>
      </c>
      <c r="C13797" t="s">
        <v>16626</v>
      </c>
      <c r="D13797" t="s">
        <v>17413</v>
      </c>
      <c r="E13797" t="s">
        <v>18173</v>
      </c>
      <c r="F13797" t="s">
        <v>30052</v>
      </c>
      <c r="G13797" t="s">
        <v>30058</v>
      </c>
      <c r="H13797" t="s">
        <v>30067</v>
      </c>
      <c r="I13797" t="s">
        <v>3693</v>
      </c>
      <c r="J13797" t="s">
        <v>30218</v>
      </c>
      <c r="K13797" t="s">
        <v>39038</v>
      </c>
      <c r="M13797" t="s">
        <v>43059</v>
      </c>
      <c r="N13797" t="s">
        <v>43166</v>
      </c>
      <c r="O13797" t="s">
        <v>43167</v>
      </c>
      <c r="P13797">
        <v>0</v>
      </c>
      <c r="Q13797">
        <v>5</v>
      </c>
      <c r="R13797" t="s">
        <v>43188</v>
      </c>
      <c r="S13797" t="s">
        <v>44213</v>
      </c>
      <c r="T13797" t="s">
        <v>44844</v>
      </c>
      <c r="U13797" t="s">
        <v>56166</v>
      </c>
      <c r="W13797" t="s">
        <v>43059</v>
      </c>
      <c r="X13797" t="s">
        <v>43189</v>
      </c>
    </row>
    <row r="13798" spans="1:24">
      <c r="A13798">
        <f>HYPERLINK("https://www.philgeps.gov.ph/GEPSNONPILOT/Tender/SplashBidNoticeAbstractUI.aspx?menuIndex=3&amp;refID=7046568&amp;Result=3","7046568")</f>
        <v>0</v>
      </c>
      <c r="B13798" t="s">
        <v>3396</v>
      </c>
      <c r="C13798" t="s">
        <v>16627</v>
      </c>
      <c r="D13798" t="s">
        <v>17413</v>
      </c>
      <c r="E13798" t="s">
        <v>21642</v>
      </c>
      <c r="F13798" t="s">
        <v>30052</v>
      </c>
      <c r="G13798" t="s">
        <v>30058</v>
      </c>
      <c r="H13798" t="s">
        <v>30067</v>
      </c>
      <c r="I13798" t="s">
        <v>3693</v>
      </c>
      <c r="J13798" t="s">
        <v>30205</v>
      </c>
      <c r="K13798" t="s">
        <v>39022</v>
      </c>
      <c r="M13798" t="s">
        <v>43059</v>
      </c>
      <c r="N13798" t="s">
        <v>43166</v>
      </c>
      <c r="O13798" t="s">
        <v>43167</v>
      </c>
      <c r="P13798">
        <v>0</v>
      </c>
      <c r="Q13798">
        <v>4</v>
      </c>
      <c r="R13798" t="s">
        <v>43188</v>
      </c>
      <c r="S13798" t="s">
        <v>44213</v>
      </c>
      <c r="T13798" t="s">
        <v>44844</v>
      </c>
      <c r="U13798" t="s">
        <v>56167</v>
      </c>
      <c r="W13798" t="s">
        <v>43059</v>
      </c>
      <c r="X13798" t="s">
        <v>43189</v>
      </c>
    </row>
    <row r="13799" spans="1:24">
      <c r="A13799">
        <f>HYPERLINK("https://www.philgeps.gov.ph/GEPSNONPILOT/Tender/SplashBidNoticeAbstractUI.aspx?menuIndex=3&amp;refID=7046858&amp;Result=3","7046858")</f>
        <v>0</v>
      </c>
      <c r="B13799" t="s">
        <v>1589</v>
      </c>
      <c r="C13799" t="s">
        <v>16628</v>
      </c>
      <c r="D13799" t="s">
        <v>17494</v>
      </c>
      <c r="E13799" t="s">
        <v>29314</v>
      </c>
      <c r="F13799" t="s">
        <v>30052</v>
      </c>
      <c r="G13799" t="s">
        <v>30058</v>
      </c>
      <c r="H13799" t="s">
        <v>30067</v>
      </c>
      <c r="I13799" t="s">
        <v>3693</v>
      </c>
      <c r="J13799" t="s">
        <v>33895</v>
      </c>
      <c r="K13799" t="s">
        <v>39079</v>
      </c>
      <c r="M13799" t="s">
        <v>40982</v>
      </c>
      <c r="N13799" t="s">
        <v>43166</v>
      </c>
      <c r="O13799" t="s">
        <v>43167</v>
      </c>
      <c r="P13799">
        <v>0</v>
      </c>
      <c r="Q13799">
        <v>0</v>
      </c>
      <c r="R13799" t="s">
        <v>43188</v>
      </c>
      <c r="S13799" t="s">
        <v>44213</v>
      </c>
      <c r="T13799" t="s">
        <v>44856</v>
      </c>
      <c r="U13799" t="s">
        <v>56168</v>
      </c>
      <c r="W13799" t="s">
        <v>40982</v>
      </c>
      <c r="X13799" t="s">
        <v>43189</v>
      </c>
    </row>
    <row r="13800" spans="1:24">
      <c r="A13800">
        <f>HYPERLINK("https://www.philgeps.gov.ph/GEPSNONPILOT/Tender/SplashBidNoticeAbstractUI.aspx?menuIndex=3&amp;refID=7046855&amp;Result=3","7046855")</f>
        <v>0</v>
      </c>
      <c r="B13800" t="s">
        <v>1589</v>
      </c>
      <c r="C13800" t="s">
        <v>16629</v>
      </c>
      <c r="D13800" t="s">
        <v>17494</v>
      </c>
      <c r="E13800" t="s">
        <v>29315</v>
      </c>
      <c r="F13800" t="s">
        <v>30052</v>
      </c>
      <c r="G13800" t="s">
        <v>30058</v>
      </c>
      <c r="H13800" t="s">
        <v>15498</v>
      </c>
      <c r="I13800" t="s">
        <v>30081</v>
      </c>
      <c r="J13800" t="s">
        <v>31206</v>
      </c>
      <c r="K13800" t="s">
        <v>39019</v>
      </c>
      <c r="M13800" t="s">
        <v>40982</v>
      </c>
      <c r="N13800" t="s">
        <v>43166</v>
      </c>
      <c r="O13800" t="s">
        <v>43167</v>
      </c>
      <c r="P13800">
        <v>0</v>
      </c>
      <c r="Q13800">
        <v>0</v>
      </c>
      <c r="R13800" t="s">
        <v>43188</v>
      </c>
      <c r="S13800" t="s">
        <v>44213</v>
      </c>
      <c r="T13800" t="s">
        <v>44717</v>
      </c>
      <c r="U13800" t="s">
        <v>56169</v>
      </c>
      <c r="W13800" t="s">
        <v>40982</v>
      </c>
      <c r="X13800" t="s">
        <v>43189</v>
      </c>
    </row>
    <row r="13801" spans="1:24">
      <c r="A13801">
        <f>HYPERLINK("https://www.philgeps.gov.ph/GEPSNONPILOT/Tender/SplashBidNoticeAbstractUI.aspx?menuIndex=3&amp;refID=7046850&amp;Result=3","7046850")</f>
        <v>0</v>
      </c>
      <c r="B13801" t="s">
        <v>2077</v>
      </c>
      <c r="C13801" t="s">
        <v>16630</v>
      </c>
      <c r="D13801" t="s">
        <v>17415</v>
      </c>
      <c r="E13801" t="s">
        <v>29316</v>
      </c>
      <c r="F13801" t="s">
        <v>30052</v>
      </c>
      <c r="G13801" t="s">
        <v>30058</v>
      </c>
      <c r="H13801" t="s">
        <v>15498</v>
      </c>
      <c r="I13801" t="s">
        <v>30072</v>
      </c>
      <c r="J13801" t="s">
        <v>38558</v>
      </c>
      <c r="K13801" t="s">
        <v>39025</v>
      </c>
      <c r="M13801" t="s">
        <v>41537</v>
      </c>
      <c r="N13801" t="s">
        <v>43166</v>
      </c>
      <c r="O13801" t="s">
        <v>43167</v>
      </c>
      <c r="Q13801">
        <v>7</v>
      </c>
      <c r="R13801" t="s">
        <v>43188</v>
      </c>
      <c r="S13801" t="s">
        <v>43620</v>
      </c>
      <c r="T13801" t="s">
        <v>44704</v>
      </c>
      <c r="U13801" t="s">
        <v>56170</v>
      </c>
      <c r="W13801" t="s">
        <v>41537</v>
      </c>
      <c r="X13801" t="s">
        <v>43189</v>
      </c>
    </row>
    <row r="13802" spans="1:24">
      <c r="A13802">
        <f>HYPERLINK("https://www.philgeps.gov.ph/GEPSNONPILOT/Tender/SplashBidNoticeAbstractUI.aspx?menuIndex=3&amp;refID=7046453&amp;Result=3","7046453")</f>
        <v>0</v>
      </c>
      <c r="B13802" t="s">
        <v>1260</v>
      </c>
      <c r="C13802" t="s">
        <v>16631</v>
      </c>
      <c r="D13802" t="s">
        <v>17478</v>
      </c>
      <c r="E13802" t="s">
        <v>29317</v>
      </c>
      <c r="F13802" t="s">
        <v>30052</v>
      </c>
      <c r="G13802" t="s">
        <v>30063</v>
      </c>
      <c r="H13802" t="s">
        <v>30067</v>
      </c>
      <c r="I13802" t="s">
        <v>3693</v>
      </c>
      <c r="J13802" t="s">
        <v>38559</v>
      </c>
      <c r="K13802" t="s">
        <v>39179</v>
      </c>
      <c r="M13802" t="s">
        <v>42093</v>
      </c>
      <c r="N13802" t="s">
        <v>43166</v>
      </c>
      <c r="O13802" t="s">
        <v>43167</v>
      </c>
      <c r="P13802">
        <v>0</v>
      </c>
      <c r="Q13802">
        <v>0</v>
      </c>
      <c r="R13802" t="s">
        <v>43188</v>
      </c>
      <c r="S13802" t="s">
        <v>44213</v>
      </c>
      <c r="T13802" t="s">
        <v>44717</v>
      </c>
      <c r="U13802" t="s">
        <v>52067</v>
      </c>
      <c r="V13802" t="s">
        <v>58480</v>
      </c>
      <c r="W13802" t="s">
        <v>58679</v>
      </c>
      <c r="X13802" t="s">
        <v>43189</v>
      </c>
    </row>
    <row r="13803" spans="1:24">
      <c r="A13803">
        <f>HYPERLINK("https://www.philgeps.gov.ph/GEPSNONPILOT/Tender/SplashBidNoticeAbstractUI.aspx?menuIndex=3&amp;refID=7046707&amp;Result=3","7046707")</f>
        <v>0</v>
      </c>
      <c r="B13803" t="s">
        <v>3398</v>
      </c>
      <c r="C13803" t="s">
        <v>16632</v>
      </c>
      <c r="D13803" t="s">
        <v>17415</v>
      </c>
      <c r="E13803" t="s">
        <v>29318</v>
      </c>
      <c r="F13803" t="s">
        <v>30052</v>
      </c>
      <c r="G13803" t="s">
        <v>30058</v>
      </c>
      <c r="H13803" t="s">
        <v>30067</v>
      </c>
      <c r="I13803" t="s">
        <v>3693</v>
      </c>
      <c r="J13803" t="s">
        <v>38560</v>
      </c>
      <c r="K13803" t="s">
        <v>39031</v>
      </c>
      <c r="M13803" t="s">
        <v>43063</v>
      </c>
      <c r="N13803" t="s">
        <v>43166</v>
      </c>
      <c r="O13803" t="s">
        <v>43167</v>
      </c>
      <c r="P13803">
        <v>0</v>
      </c>
      <c r="Q13803">
        <v>9</v>
      </c>
      <c r="R13803" t="s">
        <v>43188</v>
      </c>
      <c r="S13803" t="s">
        <v>44213</v>
      </c>
      <c r="T13803" t="s">
        <v>44733</v>
      </c>
      <c r="U13803" t="s">
        <v>56171</v>
      </c>
      <c r="W13803" t="s">
        <v>43063</v>
      </c>
      <c r="X13803" t="s">
        <v>43189</v>
      </c>
    </row>
    <row r="13804" spans="1:24">
      <c r="A13804">
        <f>HYPERLINK("https://www.philgeps.gov.ph/GEPSNONPILOT/Tender/SplashBidNoticeAbstractUI.aspx?menuIndex=3&amp;refID=7046942&amp;Result=3","7046942")</f>
        <v>0</v>
      </c>
      <c r="B13804" t="s">
        <v>428</v>
      </c>
      <c r="C13804" t="s">
        <v>16633</v>
      </c>
      <c r="D13804" t="s">
        <v>17445</v>
      </c>
      <c r="E13804" t="s">
        <v>29319</v>
      </c>
      <c r="F13804" t="s">
        <v>30052</v>
      </c>
      <c r="G13804" t="s">
        <v>30058</v>
      </c>
      <c r="H13804" t="s">
        <v>30067</v>
      </c>
      <c r="I13804" t="s">
        <v>3693</v>
      </c>
      <c r="J13804" t="s">
        <v>38561</v>
      </c>
      <c r="K13804" t="s">
        <v>39023</v>
      </c>
      <c r="M13804" t="s">
        <v>39727</v>
      </c>
      <c r="N13804" t="s">
        <v>43166</v>
      </c>
      <c r="O13804" t="s">
        <v>43167</v>
      </c>
      <c r="P13804">
        <v>0</v>
      </c>
      <c r="Q13804">
        <v>3</v>
      </c>
      <c r="R13804" t="s">
        <v>43188</v>
      </c>
      <c r="S13804" t="s">
        <v>44213</v>
      </c>
      <c r="T13804" t="s">
        <v>44856</v>
      </c>
      <c r="U13804" t="s">
        <v>56172</v>
      </c>
      <c r="W13804" t="s">
        <v>39727</v>
      </c>
      <c r="X13804" t="s">
        <v>43189</v>
      </c>
    </row>
    <row r="13805" spans="1:24">
      <c r="A13805">
        <f>HYPERLINK("https://www.philgeps.gov.ph/GEPSNONPILOT/Tender/SplashBidNoticeAbstractUI.aspx?menuIndex=3&amp;refID=7046914&amp;Result=3","7046914")</f>
        <v>0</v>
      </c>
      <c r="B13805" t="s">
        <v>390</v>
      </c>
      <c r="C13805" t="s">
        <v>16634</v>
      </c>
      <c r="D13805" t="s">
        <v>17415</v>
      </c>
      <c r="E13805" t="s">
        <v>29320</v>
      </c>
      <c r="F13805" t="s">
        <v>30052</v>
      </c>
      <c r="G13805" t="s">
        <v>30058</v>
      </c>
      <c r="H13805" t="s">
        <v>15498</v>
      </c>
      <c r="I13805" t="s">
        <v>30112</v>
      </c>
      <c r="J13805" t="s">
        <v>38562</v>
      </c>
      <c r="K13805" t="s">
        <v>39067</v>
      </c>
      <c r="M13805" t="s">
        <v>43064</v>
      </c>
      <c r="N13805" t="s">
        <v>43166</v>
      </c>
      <c r="O13805" t="s">
        <v>43167</v>
      </c>
      <c r="Q13805">
        <v>13</v>
      </c>
      <c r="R13805" t="s">
        <v>43188</v>
      </c>
      <c r="S13805" t="s">
        <v>43983</v>
      </c>
      <c r="T13805" t="s">
        <v>44832</v>
      </c>
      <c r="U13805" t="s">
        <v>56173</v>
      </c>
      <c r="W13805" t="s">
        <v>43064</v>
      </c>
      <c r="X13805" t="s">
        <v>43189</v>
      </c>
    </row>
    <row r="13806" spans="1:24">
      <c r="A13806">
        <f>HYPERLINK("https://www.philgeps.gov.ph/GEPSNONPILOT/Tender/SplashBidNoticeAbstractUI.aspx?menuIndex=3&amp;refID=7046862&amp;Result=3","7046862")</f>
        <v>0</v>
      </c>
      <c r="B13806" t="s">
        <v>3396</v>
      </c>
      <c r="C13806" t="s">
        <v>16635</v>
      </c>
      <c r="D13806" t="s">
        <v>17413</v>
      </c>
      <c r="E13806" t="s">
        <v>18233</v>
      </c>
      <c r="F13806" t="s">
        <v>30052</v>
      </c>
      <c r="G13806" t="s">
        <v>30058</v>
      </c>
      <c r="H13806" t="s">
        <v>15498</v>
      </c>
      <c r="I13806" t="s">
        <v>3606</v>
      </c>
      <c r="J13806" t="s">
        <v>30277</v>
      </c>
      <c r="K13806" t="s">
        <v>39019</v>
      </c>
      <c r="M13806" t="s">
        <v>43059</v>
      </c>
      <c r="N13806" t="s">
        <v>43166</v>
      </c>
      <c r="O13806" t="s">
        <v>43167</v>
      </c>
      <c r="P13806">
        <v>0</v>
      </c>
      <c r="Q13806">
        <v>1</v>
      </c>
      <c r="R13806" t="s">
        <v>43188</v>
      </c>
      <c r="S13806" t="s">
        <v>44213</v>
      </c>
      <c r="T13806" t="s">
        <v>44844</v>
      </c>
      <c r="U13806" t="s">
        <v>56174</v>
      </c>
      <c r="W13806" t="s">
        <v>43059</v>
      </c>
      <c r="X13806" t="s">
        <v>43189</v>
      </c>
    </row>
    <row r="13807" spans="1:24">
      <c r="A13807">
        <f>HYPERLINK("https://www.philgeps.gov.ph/GEPSNONPILOT/Tender/SplashBidNoticeAbstractUI.aspx?menuIndex=3&amp;refID=7046689&amp;Result=3","7046689")</f>
        <v>0</v>
      </c>
      <c r="B13807" t="s">
        <v>3398</v>
      </c>
      <c r="C13807" t="s">
        <v>16636</v>
      </c>
      <c r="D13807" t="s">
        <v>17415</v>
      </c>
      <c r="E13807" t="s">
        <v>29321</v>
      </c>
      <c r="F13807" t="s">
        <v>30052</v>
      </c>
      <c r="G13807" t="s">
        <v>30058</v>
      </c>
      <c r="H13807" t="s">
        <v>15498</v>
      </c>
      <c r="I13807" t="s">
        <v>30096</v>
      </c>
      <c r="J13807" t="s">
        <v>36324</v>
      </c>
      <c r="K13807" t="s">
        <v>39031</v>
      </c>
      <c r="M13807" t="s">
        <v>43063</v>
      </c>
      <c r="N13807" t="s">
        <v>43166</v>
      </c>
      <c r="O13807" t="s">
        <v>43167</v>
      </c>
      <c r="P13807">
        <v>0</v>
      </c>
      <c r="Q13807">
        <v>19</v>
      </c>
      <c r="R13807" t="s">
        <v>43188</v>
      </c>
      <c r="S13807" t="s">
        <v>44213</v>
      </c>
      <c r="T13807" t="s">
        <v>44681</v>
      </c>
      <c r="U13807" t="s">
        <v>56175</v>
      </c>
      <c r="W13807" t="s">
        <v>43063</v>
      </c>
      <c r="X13807" t="s">
        <v>43189</v>
      </c>
    </row>
    <row r="13808" spans="1:24">
      <c r="A13808">
        <f>HYPERLINK("https://www.philgeps.gov.ph/GEPSNONPILOT/Tender/SplashBidNoticeAbstractUI.aspx?menuIndex=3&amp;refID=7046861&amp;Result=3","7046861")</f>
        <v>0</v>
      </c>
      <c r="B13808" t="s">
        <v>1589</v>
      </c>
      <c r="C13808" t="s">
        <v>16637</v>
      </c>
      <c r="D13808" t="s">
        <v>17494</v>
      </c>
      <c r="E13808" t="s">
        <v>29322</v>
      </c>
      <c r="F13808" t="s">
        <v>30052</v>
      </c>
      <c r="G13808" t="s">
        <v>30058</v>
      </c>
      <c r="H13808" t="s">
        <v>30067</v>
      </c>
      <c r="I13808" t="s">
        <v>3693</v>
      </c>
      <c r="J13808" t="s">
        <v>31157</v>
      </c>
      <c r="K13808" t="s">
        <v>39172</v>
      </c>
      <c r="M13808" t="s">
        <v>40982</v>
      </c>
      <c r="N13808" t="s">
        <v>43166</v>
      </c>
      <c r="O13808" t="s">
        <v>43167</v>
      </c>
      <c r="P13808">
        <v>0</v>
      </c>
      <c r="Q13808">
        <v>1</v>
      </c>
      <c r="R13808" t="s">
        <v>43188</v>
      </c>
      <c r="S13808" t="s">
        <v>44213</v>
      </c>
      <c r="T13808" t="s">
        <v>44856</v>
      </c>
      <c r="U13808" t="s">
        <v>56176</v>
      </c>
      <c r="W13808" t="s">
        <v>40982</v>
      </c>
      <c r="X13808" t="s">
        <v>43189</v>
      </c>
    </row>
    <row r="13809" spans="1:24">
      <c r="A13809">
        <f>HYPERLINK("https://www.philgeps.gov.ph/GEPSNONPILOT/Tender/SplashBidNoticeAbstractUI.aspx?menuIndex=3&amp;refID=7046796&amp;Result=3","7046796")</f>
        <v>0</v>
      </c>
      <c r="B13809" t="s">
        <v>2410</v>
      </c>
      <c r="C13809" t="s">
        <v>16638</v>
      </c>
      <c r="D13809" t="s">
        <v>17470</v>
      </c>
      <c r="E13809" t="s">
        <v>29323</v>
      </c>
      <c r="F13809" t="s">
        <v>30052</v>
      </c>
      <c r="G13809" t="s">
        <v>30058</v>
      </c>
      <c r="H13809" t="s">
        <v>15498</v>
      </c>
      <c r="I13809" t="s">
        <v>30134</v>
      </c>
      <c r="J13809" t="s">
        <v>36837</v>
      </c>
      <c r="K13809" t="s">
        <v>39029</v>
      </c>
      <c r="M13809" t="s">
        <v>41907</v>
      </c>
      <c r="N13809" t="s">
        <v>43166</v>
      </c>
      <c r="O13809" t="s">
        <v>43167</v>
      </c>
      <c r="P13809">
        <v>0</v>
      </c>
      <c r="Q13809">
        <v>0</v>
      </c>
      <c r="R13809" t="s">
        <v>43188</v>
      </c>
      <c r="S13809" t="s">
        <v>44213</v>
      </c>
      <c r="T13809" t="s">
        <v>44717</v>
      </c>
      <c r="U13809" t="s">
        <v>56177</v>
      </c>
      <c r="W13809" t="s">
        <v>41907</v>
      </c>
      <c r="X13809" t="s">
        <v>43189</v>
      </c>
    </row>
    <row r="13810" spans="1:24">
      <c r="A13810">
        <f>HYPERLINK("https://www.philgeps.gov.ph/GEPSNONPILOT/Tender/SplashBidNoticeAbstractUI.aspx?menuIndex=3&amp;refID=7046955&amp;Result=3","7046955")</f>
        <v>0</v>
      </c>
      <c r="B13810" t="s">
        <v>3399</v>
      </c>
      <c r="C13810" t="s">
        <v>16639</v>
      </c>
      <c r="D13810" t="s">
        <v>17422</v>
      </c>
      <c r="E13810" t="s">
        <v>29324</v>
      </c>
      <c r="F13810" t="s">
        <v>30052</v>
      </c>
      <c r="G13810" t="s">
        <v>30058</v>
      </c>
      <c r="H13810" t="s">
        <v>15498</v>
      </c>
      <c r="I13810" t="s">
        <v>30074</v>
      </c>
      <c r="J13810" t="s">
        <v>30856</v>
      </c>
      <c r="K13810" t="s">
        <v>39029</v>
      </c>
      <c r="M13810" t="s">
        <v>43065</v>
      </c>
      <c r="N13810" t="s">
        <v>43166</v>
      </c>
      <c r="O13810" t="s">
        <v>43167</v>
      </c>
      <c r="P13810">
        <v>0</v>
      </c>
      <c r="Q13810">
        <v>4</v>
      </c>
      <c r="R13810" t="s">
        <v>43188</v>
      </c>
      <c r="S13810" t="s">
        <v>44213</v>
      </c>
      <c r="T13810" t="s">
        <v>44822</v>
      </c>
      <c r="U13810" t="s">
        <v>56178</v>
      </c>
      <c r="W13810" t="s">
        <v>43065</v>
      </c>
      <c r="X13810" t="s">
        <v>43189</v>
      </c>
    </row>
    <row r="13811" spans="1:24">
      <c r="A13811">
        <f>HYPERLINK("https://www.philgeps.gov.ph/GEPSNONPILOT/Tender/SplashBidNoticeAbstractUI.aspx?menuIndex=3&amp;refID=7046788&amp;Result=3","7046788")</f>
        <v>0</v>
      </c>
      <c r="B13811" t="s">
        <v>2410</v>
      </c>
      <c r="C13811" t="s">
        <v>16640</v>
      </c>
      <c r="D13811" t="s">
        <v>17470</v>
      </c>
      <c r="E13811" t="s">
        <v>29323</v>
      </c>
      <c r="F13811" t="s">
        <v>30052</v>
      </c>
      <c r="G13811" t="s">
        <v>30058</v>
      </c>
      <c r="H13811" t="s">
        <v>15498</v>
      </c>
      <c r="I13811" t="s">
        <v>6691</v>
      </c>
      <c r="J13811" t="s">
        <v>38563</v>
      </c>
      <c r="K13811" t="s">
        <v>39029</v>
      </c>
      <c r="M13811" t="s">
        <v>41907</v>
      </c>
      <c r="N13811" t="s">
        <v>43166</v>
      </c>
      <c r="O13811" t="s">
        <v>43167</v>
      </c>
      <c r="P13811">
        <v>0</v>
      </c>
      <c r="Q13811">
        <v>0</v>
      </c>
      <c r="R13811" t="s">
        <v>43188</v>
      </c>
      <c r="S13811" t="s">
        <v>44213</v>
      </c>
      <c r="T13811" t="s">
        <v>44717</v>
      </c>
      <c r="U13811" t="s">
        <v>56177</v>
      </c>
      <c r="W13811" t="s">
        <v>41907</v>
      </c>
      <c r="X13811" t="s">
        <v>43189</v>
      </c>
    </row>
    <row r="13812" spans="1:24">
      <c r="A13812">
        <f>HYPERLINK("https://www.philgeps.gov.ph/GEPSNONPILOT/Tender/SplashBidNoticeAbstractUI.aspx?menuIndex=3&amp;refID=7046783&amp;Result=3","7046783")</f>
        <v>0</v>
      </c>
      <c r="B13812" t="s">
        <v>2410</v>
      </c>
      <c r="C13812" t="s">
        <v>16641</v>
      </c>
      <c r="D13812" t="s">
        <v>17470</v>
      </c>
      <c r="E13812" t="s">
        <v>29325</v>
      </c>
      <c r="F13812" t="s">
        <v>30052</v>
      </c>
      <c r="G13812" t="s">
        <v>30058</v>
      </c>
      <c r="H13812" t="s">
        <v>15498</v>
      </c>
      <c r="I13812" t="s">
        <v>30074</v>
      </c>
      <c r="J13812" t="s">
        <v>30215</v>
      </c>
      <c r="K13812" t="s">
        <v>39029</v>
      </c>
      <c r="M13812" t="s">
        <v>41907</v>
      </c>
      <c r="N13812" t="s">
        <v>43166</v>
      </c>
      <c r="O13812" t="s">
        <v>43167</v>
      </c>
      <c r="P13812">
        <v>0</v>
      </c>
      <c r="Q13812">
        <v>6</v>
      </c>
      <c r="R13812" t="s">
        <v>43188</v>
      </c>
      <c r="S13812" t="s">
        <v>44213</v>
      </c>
      <c r="T13812" t="s">
        <v>44717</v>
      </c>
      <c r="U13812" t="s">
        <v>56179</v>
      </c>
      <c r="W13812" t="s">
        <v>41907</v>
      </c>
      <c r="X13812" t="s">
        <v>43189</v>
      </c>
    </row>
    <row r="13813" spans="1:24">
      <c r="A13813">
        <f>HYPERLINK("https://www.philgeps.gov.ph/GEPSNONPILOT/Tender/SplashBidNoticeAbstractUI.aspx?menuIndex=3&amp;refID=7046778&amp;Result=3","7046778")</f>
        <v>0</v>
      </c>
      <c r="B13813" t="s">
        <v>193</v>
      </c>
      <c r="C13813" t="s">
        <v>16642</v>
      </c>
      <c r="D13813" t="s">
        <v>17471</v>
      </c>
      <c r="E13813" t="s">
        <v>29326</v>
      </c>
      <c r="F13813" t="s">
        <v>30052</v>
      </c>
      <c r="G13813" t="s">
        <v>30058</v>
      </c>
      <c r="H13813" t="s">
        <v>30067</v>
      </c>
      <c r="I13813" t="s">
        <v>3693</v>
      </c>
      <c r="J13813" t="s">
        <v>38564</v>
      </c>
      <c r="K13813" t="s">
        <v>39057</v>
      </c>
      <c r="M13813" t="s">
        <v>39483</v>
      </c>
      <c r="N13813" t="s">
        <v>43166</v>
      </c>
      <c r="O13813" t="s">
        <v>43167</v>
      </c>
      <c r="Q13813">
        <v>0</v>
      </c>
      <c r="R13813" t="s">
        <v>43188</v>
      </c>
      <c r="S13813" t="s">
        <v>44251</v>
      </c>
      <c r="T13813" t="s">
        <v>44689</v>
      </c>
      <c r="U13813" t="s">
        <v>52790</v>
      </c>
      <c r="W13813" t="s">
        <v>39483</v>
      </c>
      <c r="X13813" t="s">
        <v>43189</v>
      </c>
    </row>
    <row r="13814" spans="1:24">
      <c r="A13814">
        <f>HYPERLINK("https://www.philgeps.gov.ph/GEPSNONPILOT/Tender/SplashBidNoticeAbstractUI.aspx?menuIndex=3&amp;refID=7046775&amp;Result=3","7046775")</f>
        <v>0</v>
      </c>
      <c r="B13814" t="s">
        <v>2410</v>
      </c>
      <c r="C13814" t="s">
        <v>16643</v>
      </c>
      <c r="D13814" t="s">
        <v>17470</v>
      </c>
      <c r="E13814" t="s">
        <v>29327</v>
      </c>
      <c r="F13814" t="s">
        <v>30052</v>
      </c>
      <c r="G13814" t="s">
        <v>30058</v>
      </c>
      <c r="H13814" t="s">
        <v>15498</v>
      </c>
      <c r="I13814" t="s">
        <v>30098</v>
      </c>
      <c r="J13814" t="s">
        <v>32706</v>
      </c>
      <c r="K13814" t="s">
        <v>39029</v>
      </c>
      <c r="M13814" t="s">
        <v>41907</v>
      </c>
      <c r="N13814" t="s">
        <v>43166</v>
      </c>
      <c r="O13814" t="s">
        <v>43167</v>
      </c>
      <c r="Q13814">
        <v>3</v>
      </c>
      <c r="R13814" t="s">
        <v>43188</v>
      </c>
      <c r="S13814" t="s">
        <v>44252</v>
      </c>
      <c r="T13814" t="s">
        <v>44717</v>
      </c>
      <c r="U13814" t="s">
        <v>56180</v>
      </c>
      <c r="W13814" t="s">
        <v>41907</v>
      </c>
      <c r="X13814" t="s">
        <v>43189</v>
      </c>
    </row>
    <row r="13815" spans="1:24">
      <c r="A13815">
        <f>HYPERLINK("https://www.philgeps.gov.ph/GEPSNONPILOT/Tender/SplashBidNoticeAbstractUI.aspx?menuIndex=3&amp;refID=7046767&amp;Result=3","7046767")</f>
        <v>0</v>
      </c>
      <c r="B13815" t="s">
        <v>2410</v>
      </c>
      <c r="C13815" t="s">
        <v>16644</v>
      </c>
      <c r="D13815" t="s">
        <v>17470</v>
      </c>
      <c r="E13815" t="s">
        <v>29328</v>
      </c>
      <c r="F13815" t="s">
        <v>30052</v>
      </c>
      <c r="G13815" t="s">
        <v>30058</v>
      </c>
      <c r="H13815" t="s">
        <v>15498</v>
      </c>
      <c r="I13815" t="s">
        <v>30081</v>
      </c>
      <c r="J13815" t="s">
        <v>31163</v>
      </c>
      <c r="K13815" t="s">
        <v>39029</v>
      </c>
      <c r="M13815" t="s">
        <v>41907</v>
      </c>
      <c r="N13815" t="s">
        <v>43166</v>
      </c>
      <c r="O13815" t="s">
        <v>43167</v>
      </c>
      <c r="P13815">
        <v>0</v>
      </c>
      <c r="Q13815">
        <v>0</v>
      </c>
      <c r="R13815" t="s">
        <v>43188</v>
      </c>
      <c r="S13815" t="s">
        <v>44213</v>
      </c>
      <c r="T13815" t="s">
        <v>44717</v>
      </c>
      <c r="U13815" t="s">
        <v>56181</v>
      </c>
      <c r="W13815" t="s">
        <v>41907</v>
      </c>
      <c r="X13815" t="s">
        <v>43189</v>
      </c>
    </row>
    <row r="13816" spans="1:24">
      <c r="A13816">
        <f>HYPERLINK("https://www.philgeps.gov.ph/GEPSNONPILOT/Tender/SplashBidNoticeAbstractUI.aspx?menuIndex=3&amp;refID=7046766&amp;Result=3","7046766")</f>
        <v>0</v>
      </c>
      <c r="B13816" t="s">
        <v>3363</v>
      </c>
      <c r="C13816" t="s">
        <v>16645</v>
      </c>
      <c r="D13816" t="s">
        <v>17456</v>
      </c>
      <c r="E13816" t="s">
        <v>29329</v>
      </c>
      <c r="F13816" t="s">
        <v>30052</v>
      </c>
      <c r="G13816" t="s">
        <v>30058</v>
      </c>
      <c r="H13816" t="s">
        <v>15498</v>
      </c>
      <c r="I13816" t="s">
        <v>3736</v>
      </c>
      <c r="J13816" t="s">
        <v>38565</v>
      </c>
      <c r="K13816" t="s">
        <v>39025</v>
      </c>
      <c r="L13816" t="s">
        <v>3363</v>
      </c>
      <c r="M13816" t="s">
        <v>43014</v>
      </c>
      <c r="N13816" t="s">
        <v>43166</v>
      </c>
      <c r="O13816" t="s">
        <v>43167</v>
      </c>
      <c r="P13816">
        <v>0</v>
      </c>
      <c r="Q13816">
        <v>4</v>
      </c>
      <c r="R13816" t="s">
        <v>43188</v>
      </c>
      <c r="S13816" t="s">
        <v>44213</v>
      </c>
      <c r="T13816" t="s">
        <v>44832</v>
      </c>
      <c r="U13816" t="s">
        <v>55848</v>
      </c>
      <c r="W13816" t="s">
        <v>43014</v>
      </c>
      <c r="X13816" t="s">
        <v>43189</v>
      </c>
    </row>
    <row r="13817" spans="1:24">
      <c r="A13817">
        <f>HYPERLINK("https://www.philgeps.gov.ph/GEPSNONPILOT/Tender/SplashBidNoticeAbstractUI.aspx?menuIndex=3&amp;refID=7046845&amp;Result=3","7046845")</f>
        <v>0</v>
      </c>
      <c r="B13817" t="s">
        <v>3396</v>
      </c>
      <c r="C13817" t="s">
        <v>16646</v>
      </c>
      <c r="D13817" t="s">
        <v>17413</v>
      </c>
      <c r="E13817" t="s">
        <v>18191</v>
      </c>
      <c r="F13817" t="s">
        <v>30052</v>
      </c>
      <c r="G13817" t="s">
        <v>30058</v>
      </c>
      <c r="H13817" t="s">
        <v>30067</v>
      </c>
      <c r="I13817" t="s">
        <v>3693</v>
      </c>
      <c r="J13817" t="s">
        <v>30281</v>
      </c>
      <c r="K13817" t="s">
        <v>39022</v>
      </c>
      <c r="M13817" t="s">
        <v>43059</v>
      </c>
      <c r="N13817" t="s">
        <v>43166</v>
      </c>
      <c r="O13817" t="s">
        <v>43167</v>
      </c>
      <c r="P13817">
        <v>0</v>
      </c>
      <c r="Q13817">
        <v>5</v>
      </c>
      <c r="R13817" t="s">
        <v>43188</v>
      </c>
      <c r="S13817" t="s">
        <v>44213</v>
      </c>
      <c r="T13817" t="s">
        <v>44844</v>
      </c>
      <c r="U13817" t="s">
        <v>56182</v>
      </c>
      <c r="W13817" t="s">
        <v>43059</v>
      </c>
      <c r="X13817" t="s">
        <v>43189</v>
      </c>
    </row>
    <row r="13818" spans="1:24">
      <c r="A13818">
        <f>HYPERLINK("https://www.philgeps.gov.ph/GEPSNONPILOT/Tender/SplashBidNoticeAbstractUI.aspx?menuIndex=3&amp;refID=7046652&amp;Result=3","7046652")</f>
        <v>0</v>
      </c>
      <c r="B13818" t="s">
        <v>2864</v>
      </c>
      <c r="C13818" t="s">
        <v>16647</v>
      </c>
      <c r="D13818" t="s">
        <v>17475</v>
      </c>
      <c r="E13818" t="s">
        <v>29330</v>
      </c>
      <c r="F13818" t="s">
        <v>30052</v>
      </c>
      <c r="G13818" t="s">
        <v>30058</v>
      </c>
      <c r="H13818" t="s">
        <v>30067</v>
      </c>
      <c r="I13818" t="s">
        <v>3693</v>
      </c>
      <c r="J13818" t="s">
        <v>38566</v>
      </c>
      <c r="K13818" t="s">
        <v>39025</v>
      </c>
      <c r="M13818" t="s">
        <v>42475</v>
      </c>
      <c r="N13818" t="s">
        <v>43166</v>
      </c>
      <c r="O13818" t="s">
        <v>43167</v>
      </c>
      <c r="P13818">
        <v>0</v>
      </c>
      <c r="Q13818">
        <v>1</v>
      </c>
      <c r="R13818" t="s">
        <v>43188</v>
      </c>
      <c r="S13818" t="s">
        <v>44213</v>
      </c>
      <c r="T13818" t="s">
        <v>44856</v>
      </c>
      <c r="U13818" t="s">
        <v>53437</v>
      </c>
      <c r="W13818" t="s">
        <v>42475</v>
      </c>
      <c r="X13818" t="s">
        <v>43189</v>
      </c>
    </row>
    <row r="13819" spans="1:24">
      <c r="A13819">
        <f>HYPERLINK("https://www.philgeps.gov.ph/GEPSNONPILOT/Tender/SplashBidNoticeAbstractUI.aspx?menuIndex=3&amp;refID=7046794&amp;Result=3","7046794")</f>
        <v>0</v>
      </c>
      <c r="B13819" t="s">
        <v>193</v>
      </c>
      <c r="C13819" t="s">
        <v>16648</v>
      </c>
      <c r="D13819" t="s">
        <v>17471</v>
      </c>
      <c r="E13819" t="s">
        <v>29331</v>
      </c>
      <c r="F13819" t="s">
        <v>30052</v>
      </c>
      <c r="G13819" t="s">
        <v>30058</v>
      </c>
      <c r="H13819" t="s">
        <v>30067</v>
      </c>
      <c r="I13819" t="s">
        <v>3693</v>
      </c>
      <c r="J13819" t="s">
        <v>31185</v>
      </c>
      <c r="K13819" t="s">
        <v>39026</v>
      </c>
      <c r="M13819" t="s">
        <v>39483</v>
      </c>
      <c r="N13819" t="s">
        <v>43166</v>
      </c>
      <c r="O13819" t="s">
        <v>43167</v>
      </c>
      <c r="Q13819">
        <v>1</v>
      </c>
      <c r="R13819" t="s">
        <v>43188</v>
      </c>
      <c r="S13819" t="s">
        <v>44253</v>
      </c>
      <c r="T13819" t="s">
        <v>44689</v>
      </c>
      <c r="U13819" t="s">
        <v>52790</v>
      </c>
      <c r="W13819" t="s">
        <v>39483</v>
      </c>
      <c r="X13819" t="s">
        <v>43189</v>
      </c>
    </row>
    <row r="13820" spans="1:24">
      <c r="A13820">
        <f>HYPERLINK("https://www.philgeps.gov.ph/GEPSNONPILOT/Tender/SplashBidNoticeAbstractUI.aspx?menuIndex=3&amp;refID=7046690&amp;Result=3","7046690")</f>
        <v>0</v>
      </c>
      <c r="B13820" t="s">
        <v>3396</v>
      </c>
      <c r="C13820" t="s">
        <v>16649</v>
      </c>
      <c r="D13820" t="s">
        <v>17413</v>
      </c>
      <c r="E13820" t="s">
        <v>18184</v>
      </c>
      <c r="F13820" t="s">
        <v>30052</v>
      </c>
      <c r="G13820" t="s">
        <v>30058</v>
      </c>
      <c r="H13820" t="s">
        <v>15498</v>
      </c>
      <c r="I13820" t="s">
        <v>4650</v>
      </c>
      <c r="J13820" t="s">
        <v>30440</v>
      </c>
      <c r="K13820" t="s">
        <v>39029</v>
      </c>
      <c r="M13820" t="s">
        <v>43059</v>
      </c>
      <c r="N13820" t="s">
        <v>43166</v>
      </c>
      <c r="O13820" t="s">
        <v>43167</v>
      </c>
      <c r="P13820">
        <v>0</v>
      </c>
      <c r="Q13820">
        <v>1</v>
      </c>
      <c r="R13820" t="s">
        <v>43188</v>
      </c>
      <c r="S13820" t="s">
        <v>44213</v>
      </c>
      <c r="T13820" t="s">
        <v>44844</v>
      </c>
      <c r="U13820" t="s">
        <v>56183</v>
      </c>
      <c r="W13820" t="s">
        <v>43059</v>
      </c>
      <c r="X13820" t="s">
        <v>43189</v>
      </c>
    </row>
    <row r="13821" spans="1:24">
      <c r="A13821">
        <f>HYPERLINK("https://www.philgeps.gov.ph/GEPSNONPILOT/Tender/SplashBidNoticeAbstractUI.aspx?menuIndex=3&amp;refID=7041615&amp;Result=3","7041615")</f>
        <v>0</v>
      </c>
      <c r="B13821" t="s">
        <v>925</v>
      </c>
      <c r="C13821" t="s">
        <v>16650</v>
      </c>
      <c r="D13821" t="s">
        <v>17474</v>
      </c>
      <c r="E13821" t="s">
        <v>29332</v>
      </c>
      <c r="F13821" t="s">
        <v>30052</v>
      </c>
      <c r="G13821" t="s">
        <v>30058</v>
      </c>
      <c r="H13821" t="s">
        <v>15498</v>
      </c>
      <c r="I13821" t="s">
        <v>30084</v>
      </c>
      <c r="J13821" t="s">
        <v>38567</v>
      </c>
      <c r="K13821" t="s">
        <v>39019</v>
      </c>
      <c r="M13821" t="s">
        <v>40984</v>
      </c>
      <c r="N13821" t="s">
        <v>43166</v>
      </c>
      <c r="O13821" t="s">
        <v>43167</v>
      </c>
      <c r="P13821">
        <v>0</v>
      </c>
      <c r="Q13821">
        <v>4</v>
      </c>
      <c r="R13821" t="s">
        <v>43189</v>
      </c>
      <c r="S13821" t="s">
        <v>44254</v>
      </c>
      <c r="T13821" t="s">
        <v>44856</v>
      </c>
      <c r="U13821" t="s">
        <v>56184</v>
      </c>
      <c r="W13821" t="s">
        <v>40984</v>
      </c>
      <c r="X13821" t="s">
        <v>43192</v>
      </c>
    </row>
    <row r="13822" spans="1:24">
      <c r="A13822">
        <f>HYPERLINK("https://www.philgeps.gov.ph/GEPSNONPILOT/Tender/SplashBidNoticeAbstractUI.aspx?menuIndex=3&amp;refID=7046799&amp;Result=3","7046799")</f>
        <v>0</v>
      </c>
      <c r="B13822" t="s">
        <v>2410</v>
      </c>
      <c r="C13822" t="s">
        <v>16651</v>
      </c>
      <c r="D13822" t="s">
        <v>17470</v>
      </c>
      <c r="E13822" t="s">
        <v>29323</v>
      </c>
      <c r="F13822" t="s">
        <v>30052</v>
      </c>
      <c r="G13822" t="s">
        <v>30058</v>
      </c>
      <c r="H13822" t="s">
        <v>15498</v>
      </c>
      <c r="I13822" t="s">
        <v>30134</v>
      </c>
      <c r="J13822" t="s">
        <v>38568</v>
      </c>
      <c r="K13822" t="s">
        <v>39029</v>
      </c>
      <c r="M13822" t="s">
        <v>41907</v>
      </c>
      <c r="N13822" t="s">
        <v>43166</v>
      </c>
      <c r="O13822" t="s">
        <v>43167</v>
      </c>
      <c r="P13822">
        <v>0</v>
      </c>
      <c r="Q13822">
        <v>0</v>
      </c>
      <c r="R13822" t="s">
        <v>43188</v>
      </c>
      <c r="S13822" t="s">
        <v>44213</v>
      </c>
      <c r="T13822" t="s">
        <v>44717</v>
      </c>
      <c r="U13822" t="s">
        <v>56177</v>
      </c>
      <c r="W13822" t="s">
        <v>41907</v>
      </c>
      <c r="X13822" t="s">
        <v>43189</v>
      </c>
    </row>
    <row r="13823" spans="1:24">
      <c r="A13823">
        <f>HYPERLINK("https://www.philgeps.gov.ph/GEPSNONPILOT/Tender/SplashBidNoticeAbstractUI.aspx?menuIndex=3&amp;refID=7046756&amp;Result=3","7046756")</f>
        <v>0</v>
      </c>
      <c r="B13823" t="s">
        <v>2410</v>
      </c>
      <c r="C13823" t="s">
        <v>16652</v>
      </c>
      <c r="D13823" t="s">
        <v>17470</v>
      </c>
      <c r="E13823" t="s">
        <v>29333</v>
      </c>
      <c r="F13823" t="s">
        <v>30052</v>
      </c>
      <c r="G13823" t="s">
        <v>30058</v>
      </c>
      <c r="H13823" t="s">
        <v>15498</v>
      </c>
      <c r="I13823" t="s">
        <v>7228</v>
      </c>
      <c r="J13823" t="s">
        <v>30252</v>
      </c>
      <c r="K13823" t="s">
        <v>39029</v>
      </c>
      <c r="M13823" t="s">
        <v>41907</v>
      </c>
      <c r="N13823" t="s">
        <v>43166</v>
      </c>
      <c r="O13823" t="s">
        <v>43167</v>
      </c>
      <c r="P13823">
        <v>0</v>
      </c>
      <c r="Q13823">
        <v>0</v>
      </c>
      <c r="R13823" t="s">
        <v>43188</v>
      </c>
      <c r="S13823" t="s">
        <v>44213</v>
      </c>
      <c r="T13823" t="s">
        <v>44717</v>
      </c>
      <c r="U13823" t="s">
        <v>56185</v>
      </c>
      <c r="W13823" t="s">
        <v>41907</v>
      </c>
      <c r="X13823" t="s">
        <v>43189</v>
      </c>
    </row>
    <row r="13824" spans="1:24">
      <c r="A13824">
        <f>HYPERLINK("https://www.philgeps.gov.ph/GEPSNONPILOT/Tender/SplashBidNoticeAbstractUI.aspx?menuIndex=3&amp;refID=7040331&amp;Result=3","7040331")</f>
        <v>0</v>
      </c>
      <c r="B13824" t="s">
        <v>63</v>
      </c>
      <c r="C13824" t="s">
        <v>16653</v>
      </c>
      <c r="E13824" t="s">
        <v>29334</v>
      </c>
      <c r="F13824" t="s">
        <v>30052</v>
      </c>
      <c r="G13824" t="s">
        <v>30058</v>
      </c>
      <c r="H13824" t="s">
        <v>30067</v>
      </c>
      <c r="I13824" t="s">
        <v>3693</v>
      </c>
      <c r="J13824" t="s">
        <v>38569</v>
      </c>
      <c r="K13824" t="s">
        <v>39025</v>
      </c>
      <c r="M13824" t="s">
        <v>39352</v>
      </c>
      <c r="N13824" t="s">
        <v>43166</v>
      </c>
      <c r="O13824" t="s">
        <v>43167</v>
      </c>
      <c r="P13824">
        <v>0</v>
      </c>
      <c r="Q13824">
        <v>6</v>
      </c>
      <c r="R13824" t="s">
        <v>43189</v>
      </c>
      <c r="S13824" t="s">
        <v>44254</v>
      </c>
      <c r="T13824" t="s">
        <v>44844</v>
      </c>
      <c r="U13824" t="s">
        <v>56186</v>
      </c>
      <c r="W13824" t="s">
        <v>39352</v>
      </c>
      <c r="X13824" t="s">
        <v>43193</v>
      </c>
    </row>
    <row r="13825" spans="1:24">
      <c r="A13825">
        <f>HYPERLINK("https://www.philgeps.gov.ph/GEPSNONPILOT/Tender/SplashBidNoticeAbstractUI.aspx?menuIndex=3&amp;refID=7046695&amp;Result=3","7046695")</f>
        <v>0</v>
      </c>
      <c r="B13825" t="s">
        <v>511</v>
      </c>
      <c r="C13825" t="s">
        <v>16654</v>
      </c>
      <c r="D13825" t="s">
        <v>17480</v>
      </c>
      <c r="E13825" t="s">
        <v>29335</v>
      </c>
      <c r="F13825" t="s">
        <v>30052</v>
      </c>
      <c r="G13825" t="s">
        <v>30058</v>
      </c>
      <c r="H13825" t="s">
        <v>15498</v>
      </c>
      <c r="I13825" t="s">
        <v>30115</v>
      </c>
      <c r="J13825" t="s">
        <v>38570</v>
      </c>
      <c r="K13825" t="s">
        <v>39023</v>
      </c>
      <c r="M13825" t="s">
        <v>39812</v>
      </c>
      <c r="N13825" t="s">
        <v>43166</v>
      </c>
      <c r="O13825" t="s">
        <v>43167</v>
      </c>
      <c r="Q13825">
        <v>31</v>
      </c>
      <c r="R13825" t="s">
        <v>43188</v>
      </c>
      <c r="S13825" t="s">
        <v>44255</v>
      </c>
      <c r="T13825" t="s">
        <v>44970</v>
      </c>
      <c r="U13825" t="s">
        <v>56187</v>
      </c>
      <c r="V13825" t="s">
        <v>58481</v>
      </c>
      <c r="W13825" t="s">
        <v>39812</v>
      </c>
      <c r="X13825" t="s">
        <v>43189</v>
      </c>
    </row>
    <row r="13826" spans="1:24">
      <c r="A13826">
        <f>HYPERLINK("https://www.philgeps.gov.ph/GEPSNONPILOT/Tender/SplashBidNoticeAbstractUI.aspx?menuIndex=3&amp;refID=7041068&amp;Result=3","7041068")</f>
        <v>0</v>
      </c>
      <c r="B13826" t="s">
        <v>1000</v>
      </c>
      <c r="C13826" t="s">
        <v>16655</v>
      </c>
      <c r="D13826" t="s">
        <v>17422</v>
      </c>
      <c r="E13826" t="s">
        <v>29336</v>
      </c>
      <c r="F13826" t="s">
        <v>30052</v>
      </c>
      <c r="G13826" t="s">
        <v>30058</v>
      </c>
      <c r="H13826" t="s">
        <v>15498</v>
      </c>
      <c r="I13826" t="s">
        <v>30083</v>
      </c>
      <c r="J13826" t="s">
        <v>38571</v>
      </c>
      <c r="K13826" t="s">
        <v>39031</v>
      </c>
      <c r="M13826" t="s">
        <v>40505</v>
      </c>
      <c r="N13826" t="s">
        <v>43166</v>
      </c>
      <c r="O13826" t="s">
        <v>43167</v>
      </c>
      <c r="P13826">
        <v>0</v>
      </c>
      <c r="Q13826">
        <v>1</v>
      </c>
      <c r="R13826" t="s">
        <v>43189</v>
      </c>
      <c r="S13826" t="s">
        <v>44254</v>
      </c>
      <c r="T13826" t="s">
        <v>44705</v>
      </c>
      <c r="U13826" t="s">
        <v>56188</v>
      </c>
      <c r="V13826" t="s">
        <v>58426</v>
      </c>
      <c r="W13826" t="s">
        <v>40505</v>
      </c>
      <c r="X13826" t="s">
        <v>43192</v>
      </c>
    </row>
    <row r="13827" spans="1:24">
      <c r="A13827">
        <f>HYPERLINK("https://www.philgeps.gov.ph/GEPSNONPILOT/Tender/SplashBidNoticeAbstractUI.aspx?menuIndex=3&amp;refID=7047072&amp;Result=3","7047072")</f>
        <v>0</v>
      </c>
      <c r="B13827" t="s">
        <v>483</v>
      </c>
      <c r="C13827" t="s">
        <v>16656</v>
      </c>
      <c r="D13827" t="s">
        <v>17489</v>
      </c>
      <c r="E13827" t="s">
        <v>29337</v>
      </c>
      <c r="F13827" t="s">
        <v>30052</v>
      </c>
      <c r="G13827" t="s">
        <v>30058</v>
      </c>
      <c r="H13827" t="s">
        <v>30067</v>
      </c>
      <c r="I13827" t="s">
        <v>3693</v>
      </c>
      <c r="J13827" t="s">
        <v>30559</v>
      </c>
      <c r="K13827" t="s">
        <v>39030</v>
      </c>
      <c r="M13827" t="s">
        <v>39784</v>
      </c>
      <c r="N13827" t="s">
        <v>43166</v>
      </c>
      <c r="O13827" t="s">
        <v>43167</v>
      </c>
      <c r="P13827">
        <v>0</v>
      </c>
      <c r="Q13827">
        <v>0</v>
      </c>
      <c r="R13827" t="s">
        <v>43188</v>
      </c>
      <c r="S13827" t="s">
        <v>44213</v>
      </c>
      <c r="T13827" t="s">
        <v>44717</v>
      </c>
      <c r="U13827" t="s">
        <v>56189</v>
      </c>
      <c r="W13827" t="s">
        <v>39784</v>
      </c>
      <c r="X13827" t="s">
        <v>43189</v>
      </c>
    </row>
    <row r="13828" spans="1:24">
      <c r="A13828">
        <f>HYPERLINK("https://www.philgeps.gov.ph/GEPSNONPILOT/Tender/SplashBidNoticeAbstractUI.aspx?menuIndex=3&amp;refID=7041265&amp;Result=3","7041265")</f>
        <v>0</v>
      </c>
      <c r="B13828" t="s">
        <v>1000</v>
      </c>
      <c r="C13828" t="s">
        <v>16657</v>
      </c>
      <c r="D13828" t="s">
        <v>17422</v>
      </c>
      <c r="E13828" t="s">
        <v>29338</v>
      </c>
      <c r="F13828" t="s">
        <v>30052</v>
      </c>
      <c r="G13828" t="s">
        <v>30058</v>
      </c>
      <c r="H13828" t="s">
        <v>30067</v>
      </c>
      <c r="I13828" t="s">
        <v>3693</v>
      </c>
      <c r="J13828" t="s">
        <v>33184</v>
      </c>
      <c r="K13828" t="s">
        <v>39022</v>
      </c>
      <c r="M13828" t="s">
        <v>40505</v>
      </c>
      <c r="N13828" t="s">
        <v>43166</v>
      </c>
      <c r="O13828" t="s">
        <v>43167</v>
      </c>
      <c r="P13828">
        <v>0</v>
      </c>
      <c r="Q13828">
        <v>0</v>
      </c>
      <c r="R13828" t="s">
        <v>43189</v>
      </c>
      <c r="S13828" t="s">
        <v>44254</v>
      </c>
      <c r="T13828" t="s">
        <v>44777</v>
      </c>
      <c r="U13828" t="s">
        <v>55508</v>
      </c>
      <c r="V13828" t="s">
        <v>56838</v>
      </c>
      <c r="W13828" t="s">
        <v>40505</v>
      </c>
      <c r="X13828" t="s">
        <v>43192</v>
      </c>
    </row>
    <row r="13829" spans="1:24">
      <c r="A13829">
        <f>HYPERLINK("https://www.philgeps.gov.ph/GEPSNONPILOT/Tender/SplashBidNoticeAbstractUI.aspx?menuIndex=3&amp;refID=7047065&amp;Result=3","7047065")</f>
        <v>0</v>
      </c>
      <c r="B13829" t="s">
        <v>483</v>
      </c>
      <c r="C13829" t="s">
        <v>16658</v>
      </c>
      <c r="D13829" t="s">
        <v>17489</v>
      </c>
      <c r="E13829" t="s">
        <v>29339</v>
      </c>
      <c r="F13829" t="s">
        <v>30052</v>
      </c>
      <c r="G13829" t="s">
        <v>30058</v>
      </c>
      <c r="H13829" t="s">
        <v>30067</v>
      </c>
      <c r="I13829" t="s">
        <v>3693</v>
      </c>
      <c r="J13829" t="s">
        <v>38572</v>
      </c>
      <c r="K13829" t="s">
        <v>39029</v>
      </c>
      <c r="M13829" t="s">
        <v>39784</v>
      </c>
      <c r="N13829" t="s">
        <v>43166</v>
      </c>
      <c r="O13829" t="s">
        <v>43167</v>
      </c>
      <c r="P13829">
        <v>0</v>
      </c>
      <c r="Q13829">
        <v>0</v>
      </c>
      <c r="R13829" t="s">
        <v>43188</v>
      </c>
      <c r="S13829" t="s">
        <v>44213</v>
      </c>
      <c r="T13829" t="s">
        <v>44717</v>
      </c>
      <c r="U13829" t="s">
        <v>56190</v>
      </c>
      <c r="W13829" t="s">
        <v>39784</v>
      </c>
      <c r="X13829" t="s">
        <v>43189</v>
      </c>
    </row>
    <row r="13830" spans="1:24">
      <c r="A13830">
        <f>HYPERLINK("https://www.philgeps.gov.ph/GEPSNONPILOT/Tender/SplashBidNoticeAbstractUI.aspx?menuIndex=3&amp;refID=7037096&amp;Result=3","7037096")</f>
        <v>0</v>
      </c>
      <c r="B13830" t="s">
        <v>2479</v>
      </c>
      <c r="C13830" t="s">
        <v>16659</v>
      </c>
      <c r="D13830" t="s">
        <v>17444</v>
      </c>
      <c r="E13830" t="s">
        <v>29340</v>
      </c>
      <c r="F13830" t="s">
        <v>30052</v>
      </c>
      <c r="G13830" t="s">
        <v>30058</v>
      </c>
      <c r="H13830" t="s">
        <v>15498</v>
      </c>
      <c r="I13830" t="s">
        <v>30073</v>
      </c>
      <c r="J13830" t="s">
        <v>38573</v>
      </c>
      <c r="K13830" t="s">
        <v>39099</v>
      </c>
      <c r="M13830" t="s">
        <v>41979</v>
      </c>
      <c r="N13830" t="s">
        <v>43166</v>
      </c>
      <c r="O13830" t="s">
        <v>43167</v>
      </c>
      <c r="P13830">
        <v>0</v>
      </c>
      <c r="Q13830">
        <v>2</v>
      </c>
      <c r="R13830" t="s">
        <v>43189</v>
      </c>
      <c r="S13830" t="s">
        <v>44254</v>
      </c>
      <c r="T13830" t="s">
        <v>44718</v>
      </c>
      <c r="U13830" t="s">
        <v>56191</v>
      </c>
      <c r="W13830" t="s">
        <v>41979</v>
      </c>
      <c r="X13830" t="s">
        <v>43194</v>
      </c>
    </row>
    <row r="13831" spans="1:24">
      <c r="A13831">
        <f>HYPERLINK("https://www.philgeps.gov.ph/GEPSNONPILOT/Tender/SplashBidNoticeAbstractUI.aspx?menuIndex=3&amp;refID=7017395&amp;Result=3","7017395")</f>
        <v>0</v>
      </c>
      <c r="B13831" t="s">
        <v>490</v>
      </c>
      <c r="C13831" t="s">
        <v>16660</v>
      </c>
      <c r="D13831" t="s">
        <v>17435</v>
      </c>
      <c r="E13831" t="s">
        <v>29341</v>
      </c>
      <c r="F13831" t="s">
        <v>30052</v>
      </c>
      <c r="G13831" t="s">
        <v>30058</v>
      </c>
      <c r="H13831" t="s">
        <v>30067</v>
      </c>
      <c r="I13831" t="s">
        <v>3693</v>
      </c>
      <c r="J13831" t="s">
        <v>38574</v>
      </c>
      <c r="K13831" t="s">
        <v>39092</v>
      </c>
      <c r="M13831" t="s">
        <v>43066</v>
      </c>
      <c r="N13831" t="s">
        <v>43166</v>
      </c>
      <c r="O13831" t="s">
        <v>43167</v>
      </c>
      <c r="P13831">
        <v>0</v>
      </c>
      <c r="Q13831">
        <v>3</v>
      </c>
      <c r="R13831" t="s">
        <v>43189</v>
      </c>
      <c r="S13831" t="s">
        <v>44254</v>
      </c>
      <c r="T13831" t="s">
        <v>44698</v>
      </c>
      <c r="U13831" t="s">
        <v>56192</v>
      </c>
      <c r="V13831" t="s">
        <v>58482</v>
      </c>
      <c r="W13831" t="s">
        <v>43066</v>
      </c>
      <c r="X13831" t="s">
        <v>43208</v>
      </c>
    </row>
    <row r="13832" spans="1:24">
      <c r="A13832">
        <f>HYPERLINK("https://www.philgeps.gov.ph/GEPSNONPILOT/Tender/SplashBidNoticeAbstractUI.aspx?menuIndex=3&amp;refID=7047048&amp;Result=3","7047048")</f>
        <v>0</v>
      </c>
      <c r="B13832" t="s">
        <v>483</v>
      </c>
      <c r="C13832" t="s">
        <v>16661</v>
      </c>
      <c r="D13832" t="s">
        <v>17489</v>
      </c>
      <c r="E13832" t="s">
        <v>29342</v>
      </c>
      <c r="F13832" t="s">
        <v>30052</v>
      </c>
      <c r="G13832" t="s">
        <v>30058</v>
      </c>
      <c r="H13832" t="s">
        <v>30067</v>
      </c>
      <c r="I13832" t="s">
        <v>3693</v>
      </c>
      <c r="J13832" t="s">
        <v>38575</v>
      </c>
      <c r="K13832" t="s">
        <v>39071</v>
      </c>
      <c r="M13832" t="s">
        <v>39784</v>
      </c>
      <c r="N13832" t="s">
        <v>43166</v>
      </c>
      <c r="O13832" t="s">
        <v>43167</v>
      </c>
      <c r="P13832">
        <v>0</v>
      </c>
      <c r="Q13832">
        <v>0</v>
      </c>
      <c r="R13832" t="s">
        <v>43188</v>
      </c>
      <c r="S13832" t="s">
        <v>44213</v>
      </c>
      <c r="T13832" t="s">
        <v>44717</v>
      </c>
      <c r="U13832" t="s">
        <v>56193</v>
      </c>
      <c r="W13832" t="s">
        <v>39784</v>
      </c>
      <c r="X13832" t="s">
        <v>43189</v>
      </c>
    </row>
    <row r="13833" spans="1:24">
      <c r="A13833">
        <f>HYPERLINK("https://www.philgeps.gov.ph/GEPSNONPILOT/Tender/SplashBidNoticeAbstractUI.aspx?menuIndex=3&amp;refID=6938443&amp;Result=3","6938443")</f>
        <v>0</v>
      </c>
      <c r="B13833" t="s">
        <v>2689</v>
      </c>
      <c r="C13833" t="s">
        <v>16662</v>
      </c>
      <c r="D13833" t="s">
        <v>17422</v>
      </c>
      <c r="E13833" t="s">
        <v>29343</v>
      </c>
      <c r="F13833" t="s">
        <v>30052</v>
      </c>
      <c r="G13833" t="s">
        <v>30058</v>
      </c>
      <c r="H13833" t="s">
        <v>30067</v>
      </c>
      <c r="I13833" t="s">
        <v>3693</v>
      </c>
      <c r="J13833" t="s">
        <v>36490</v>
      </c>
      <c r="K13833" t="s">
        <v>39140</v>
      </c>
      <c r="M13833" t="s">
        <v>42211</v>
      </c>
      <c r="N13833" t="s">
        <v>43166</v>
      </c>
      <c r="O13833" t="s">
        <v>43167</v>
      </c>
      <c r="Q13833">
        <v>11</v>
      </c>
      <c r="R13833" t="s">
        <v>43189</v>
      </c>
      <c r="S13833" t="s">
        <v>44256</v>
      </c>
      <c r="T13833" t="s">
        <v>44900</v>
      </c>
      <c r="U13833" t="s">
        <v>56194</v>
      </c>
      <c r="W13833" t="s">
        <v>42211</v>
      </c>
      <c r="X13833" t="s">
        <v>43229</v>
      </c>
    </row>
    <row r="13834" spans="1:24">
      <c r="A13834">
        <f>HYPERLINK("https://www.philgeps.gov.ph/GEPSNONPILOT/Tender/SplashBidNoticeAbstractUI.aspx?menuIndex=3&amp;refID=7047002&amp;Result=3","7047002")</f>
        <v>0</v>
      </c>
      <c r="B13834" t="s">
        <v>3399</v>
      </c>
      <c r="C13834" t="s">
        <v>16663</v>
      </c>
      <c r="D13834" t="s">
        <v>17422</v>
      </c>
      <c r="E13834" t="s">
        <v>29344</v>
      </c>
      <c r="F13834" t="s">
        <v>30052</v>
      </c>
      <c r="G13834" t="s">
        <v>30058</v>
      </c>
      <c r="H13834" t="s">
        <v>15498</v>
      </c>
      <c r="I13834" t="s">
        <v>6691</v>
      </c>
      <c r="J13834" t="s">
        <v>38576</v>
      </c>
      <c r="K13834" t="s">
        <v>39059</v>
      </c>
      <c r="M13834" t="s">
        <v>43065</v>
      </c>
      <c r="N13834" t="s">
        <v>43166</v>
      </c>
      <c r="O13834" t="s">
        <v>43167</v>
      </c>
      <c r="P13834">
        <v>0</v>
      </c>
      <c r="Q13834">
        <v>2</v>
      </c>
      <c r="R13834" t="s">
        <v>43188</v>
      </c>
      <c r="S13834" t="s">
        <v>44213</v>
      </c>
      <c r="T13834" t="s">
        <v>44822</v>
      </c>
      <c r="U13834" t="s">
        <v>56195</v>
      </c>
      <c r="W13834" t="s">
        <v>43065</v>
      </c>
      <c r="X13834" t="s">
        <v>43189</v>
      </c>
    </row>
    <row r="13835" spans="1:24">
      <c r="A13835">
        <f>HYPERLINK("https://www.philgeps.gov.ph/GEPSNONPILOT/Tender/SplashBidNoticeAbstractUI.aspx?menuIndex=3&amp;refID=7047036&amp;Result=3","7047036")</f>
        <v>0</v>
      </c>
      <c r="B13835" t="s">
        <v>2824</v>
      </c>
      <c r="C13835" t="s">
        <v>16664</v>
      </c>
      <c r="D13835" t="s">
        <v>17466</v>
      </c>
      <c r="E13835" t="s">
        <v>18200</v>
      </c>
      <c r="F13835" t="s">
        <v>30054</v>
      </c>
      <c r="G13835" t="s">
        <v>30058</v>
      </c>
      <c r="H13835" t="s">
        <v>15498</v>
      </c>
      <c r="I13835" t="s">
        <v>30074</v>
      </c>
      <c r="J13835" t="s">
        <v>30218</v>
      </c>
      <c r="K13835" t="s">
        <v>39017</v>
      </c>
      <c r="M13835" t="s">
        <v>42368</v>
      </c>
      <c r="N13835" t="s">
        <v>43166</v>
      </c>
      <c r="O13835" t="s">
        <v>43167</v>
      </c>
      <c r="P13835">
        <v>0</v>
      </c>
      <c r="Q13835">
        <v>0</v>
      </c>
      <c r="R13835" t="s">
        <v>43188</v>
      </c>
      <c r="S13835" t="s">
        <v>44213</v>
      </c>
      <c r="T13835" t="s">
        <v>44870</v>
      </c>
      <c r="U13835" t="s">
        <v>56196</v>
      </c>
      <c r="W13835" t="s">
        <v>42368</v>
      </c>
      <c r="X13835" t="s">
        <v>43189</v>
      </c>
    </row>
    <row r="13836" spans="1:24">
      <c r="A13836">
        <f>HYPERLINK("https://www.philgeps.gov.ph/GEPSNONPILOT/Tender/SplashBidNoticeAbstractUI.aspx?menuIndex=3&amp;refID=7046984&amp;Result=3","7046984")</f>
        <v>0</v>
      </c>
      <c r="B13836" t="s">
        <v>3399</v>
      </c>
      <c r="C13836" t="s">
        <v>16665</v>
      </c>
      <c r="D13836" t="s">
        <v>17422</v>
      </c>
      <c r="E13836" t="s">
        <v>29345</v>
      </c>
      <c r="F13836" t="s">
        <v>30052</v>
      </c>
      <c r="G13836" t="s">
        <v>30058</v>
      </c>
      <c r="H13836" t="s">
        <v>30067</v>
      </c>
      <c r="I13836" t="s">
        <v>3693</v>
      </c>
      <c r="J13836" t="s">
        <v>38577</v>
      </c>
      <c r="K13836" t="s">
        <v>39029</v>
      </c>
      <c r="M13836" t="s">
        <v>43065</v>
      </c>
      <c r="N13836" t="s">
        <v>43166</v>
      </c>
      <c r="O13836" t="s">
        <v>43167</v>
      </c>
      <c r="P13836">
        <v>0</v>
      </c>
      <c r="Q13836">
        <v>3</v>
      </c>
      <c r="R13836" t="s">
        <v>43188</v>
      </c>
      <c r="S13836" t="s">
        <v>44213</v>
      </c>
      <c r="T13836" t="s">
        <v>44822</v>
      </c>
      <c r="U13836" t="s">
        <v>56197</v>
      </c>
      <c r="W13836" t="s">
        <v>43065</v>
      </c>
      <c r="X13836" t="s">
        <v>43189</v>
      </c>
    </row>
    <row r="13837" spans="1:24">
      <c r="A13837">
        <f>HYPERLINK("https://www.philgeps.gov.ph/GEPSNONPILOT/Tender/SplashBidNoticeAbstractUI.aspx?menuIndex=3&amp;refID=7046996&amp;Result=3","7046996")</f>
        <v>0</v>
      </c>
      <c r="B13837" t="s">
        <v>3399</v>
      </c>
      <c r="C13837" t="s">
        <v>16666</v>
      </c>
      <c r="D13837" t="s">
        <v>17422</v>
      </c>
      <c r="E13837" t="s">
        <v>29346</v>
      </c>
      <c r="F13837" t="s">
        <v>30052</v>
      </c>
      <c r="G13837" t="s">
        <v>30058</v>
      </c>
      <c r="H13837" t="s">
        <v>15498</v>
      </c>
      <c r="I13837" t="s">
        <v>30074</v>
      </c>
      <c r="J13837" t="s">
        <v>38578</v>
      </c>
      <c r="K13837" t="s">
        <v>39029</v>
      </c>
      <c r="M13837" t="s">
        <v>43065</v>
      </c>
      <c r="N13837" t="s">
        <v>43166</v>
      </c>
      <c r="O13837" t="s">
        <v>43167</v>
      </c>
      <c r="P13837">
        <v>0</v>
      </c>
      <c r="Q13837">
        <v>7</v>
      </c>
      <c r="R13837" t="s">
        <v>43188</v>
      </c>
      <c r="S13837" t="s">
        <v>44213</v>
      </c>
      <c r="T13837" t="s">
        <v>44822</v>
      </c>
      <c r="U13837" t="s">
        <v>56198</v>
      </c>
      <c r="W13837" t="s">
        <v>43065</v>
      </c>
      <c r="X13837" t="s">
        <v>43189</v>
      </c>
    </row>
    <row r="13838" spans="1:24">
      <c r="A13838">
        <f>HYPERLINK("https://www.philgeps.gov.ph/GEPSNONPILOT/Tender/SplashBidNoticeAbstractUI.aspx?menuIndex=3&amp;refID=7046987&amp;Result=3","7046987")</f>
        <v>0</v>
      </c>
      <c r="B13838" t="s">
        <v>3399</v>
      </c>
      <c r="C13838" t="s">
        <v>16667</v>
      </c>
      <c r="D13838" t="s">
        <v>17422</v>
      </c>
      <c r="E13838" t="s">
        <v>29347</v>
      </c>
      <c r="F13838" t="s">
        <v>30052</v>
      </c>
      <c r="G13838" t="s">
        <v>30058</v>
      </c>
      <c r="H13838" t="s">
        <v>30067</v>
      </c>
      <c r="I13838" t="s">
        <v>3693</v>
      </c>
      <c r="J13838" t="s">
        <v>30218</v>
      </c>
      <c r="K13838" t="s">
        <v>39029</v>
      </c>
      <c r="M13838" t="s">
        <v>43065</v>
      </c>
      <c r="N13838" t="s">
        <v>43166</v>
      </c>
      <c r="O13838" t="s">
        <v>43167</v>
      </c>
      <c r="P13838">
        <v>0</v>
      </c>
      <c r="Q13838">
        <v>3</v>
      </c>
      <c r="R13838" t="s">
        <v>43188</v>
      </c>
      <c r="S13838" t="s">
        <v>44213</v>
      </c>
      <c r="T13838" t="s">
        <v>44822</v>
      </c>
      <c r="U13838" t="s">
        <v>56199</v>
      </c>
      <c r="W13838" t="s">
        <v>43065</v>
      </c>
      <c r="X13838" t="s">
        <v>43189</v>
      </c>
    </row>
    <row r="13839" spans="1:24">
      <c r="A13839">
        <f>HYPERLINK("https://www.philgeps.gov.ph/GEPSNONPILOT/Tender/SplashBidNoticeAbstractUI.aspx?menuIndex=3&amp;refID=7047050&amp;Result=3","7047050")</f>
        <v>0</v>
      </c>
      <c r="B13839" t="s">
        <v>390</v>
      </c>
      <c r="C13839" t="s">
        <v>16668</v>
      </c>
      <c r="D13839" t="s">
        <v>17415</v>
      </c>
      <c r="E13839" t="s">
        <v>29348</v>
      </c>
      <c r="F13839" t="s">
        <v>30052</v>
      </c>
      <c r="G13839" t="s">
        <v>30058</v>
      </c>
      <c r="H13839" t="s">
        <v>15498</v>
      </c>
      <c r="I13839" t="s">
        <v>30112</v>
      </c>
      <c r="J13839" t="s">
        <v>30221</v>
      </c>
      <c r="K13839" t="s">
        <v>39067</v>
      </c>
      <c r="M13839" t="s">
        <v>43064</v>
      </c>
      <c r="N13839" t="s">
        <v>43166</v>
      </c>
      <c r="O13839" t="s">
        <v>43167</v>
      </c>
      <c r="Q13839">
        <v>13</v>
      </c>
      <c r="R13839" t="s">
        <v>43188</v>
      </c>
      <c r="S13839" t="s">
        <v>44257</v>
      </c>
      <c r="T13839" t="s">
        <v>44832</v>
      </c>
      <c r="U13839" t="s">
        <v>56200</v>
      </c>
      <c r="W13839" t="s">
        <v>43064</v>
      </c>
      <c r="X13839" t="s">
        <v>43189</v>
      </c>
    </row>
    <row r="13840" spans="1:24">
      <c r="A13840">
        <f>HYPERLINK("https://www.philgeps.gov.ph/GEPSNONPILOT/Tender/SplashBidNoticeAbstractUI.aspx?menuIndex=3&amp;refID=7046648&amp;Result=3","7046648")</f>
        <v>0</v>
      </c>
      <c r="B13840" t="s">
        <v>1822</v>
      </c>
      <c r="C13840" t="s">
        <v>16669</v>
      </c>
      <c r="D13840" t="s">
        <v>17437</v>
      </c>
      <c r="E13840" t="s">
        <v>29349</v>
      </c>
      <c r="F13840" t="s">
        <v>30052</v>
      </c>
      <c r="G13840" t="s">
        <v>30058</v>
      </c>
      <c r="H13840" t="s">
        <v>15498</v>
      </c>
      <c r="I13840" t="s">
        <v>30074</v>
      </c>
      <c r="J13840" t="s">
        <v>38579</v>
      </c>
      <c r="K13840" t="s">
        <v>39019</v>
      </c>
      <c r="M13840" t="s">
        <v>41474</v>
      </c>
      <c r="N13840" t="s">
        <v>43166</v>
      </c>
      <c r="O13840" t="s">
        <v>43167</v>
      </c>
      <c r="P13840">
        <v>0</v>
      </c>
      <c r="Q13840">
        <v>5</v>
      </c>
      <c r="R13840" t="s">
        <v>43188</v>
      </c>
      <c r="S13840" t="s">
        <v>44213</v>
      </c>
      <c r="T13840" t="s">
        <v>44856</v>
      </c>
      <c r="U13840" t="s">
        <v>56201</v>
      </c>
      <c r="W13840" t="s">
        <v>41474</v>
      </c>
      <c r="X13840" t="s">
        <v>43189</v>
      </c>
    </row>
    <row r="13841" spans="1:24">
      <c r="A13841">
        <f>HYPERLINK("https://www.philgeps.gov.ph/GEPSNONPILOT/Tender/SplashBidNoticeAbstractUI.aspx?menuIndex=3&amp;refID=7046645&amp;Result=3","7046645")</f>
        <v>0</v>
      </c>
      <c r="B13841" t="s">
        <v>3400</v>
      </c>
      <c r="C13841" t="s">
        <v>16670</v>
      </c>
      <c r="D13841" t="s">
        <v>17448</v>
      </c>
      <c r="E13841" t="s">
        <v>24250</v>
      </c>
      <c r="F13841" t="s">
        <v>30052</v>
      </c>
      <c r="G13841" t="s">
        <v>30058</v>
      </c>
      <c r="H13841" t="s">
        <v>30067</v>
      </c>
      <c r="I13841" t="s">
        <v>3693</v>
      </c>
      <c r="J13841" t="s">
        <v>38580</v>
      </c>
      <c r="K13841" t="s">
        <v>39023</v>
      </c>
      <c r="M13841" t="s">
        <v>43067</v>
      </c>
      <c r="N13841" t="s">
        <v>43166</v>
      </c>
      <c r="O13841" t="s">
        <v>43167</v>
      </c>
      <c r="P13841">
        <v>0</v>
      </c>
      <c r="Q13841">
        <v>0</v>
      </c>
      <c r="R13841" t="s">
        <v>43188</v>
      </c>
      <c r="S13841" t="s">
        <v>44213</v>
      </c>
      <c r="T13841" t="s">
        <v>44832</v>
      </c>
      <c r="U13841" t="s">
        <v>56202</v>
      </c>
      <c r="W13841" t="s">
        <v>43067</v>
      </c>
      <c r="X13841" t="s">
        <v>43189</v>
      </c>
    </row>
    <row r="13842" spans="1:24">
      <c r="A13842">
        <f>HYPERLINK("https://www.philgeps.gov.ph/GEPSNONPILOT/Tender/SplashBidNoticeAbstractUI.aspx?menuIndex=3&amp;refID=7046642&amp;Result=3","7046642")</f>
        <v>0</v>
      </c>
      <c r="B13842" t="s">
        <v>2864</v>
      </c>
      <c r="C13842" t="s">
        <v>16671</v>
      </c>
      <c r="D13842" t="s">
        <v>17475</v>
      </c>
      <c r="E13842" t="s">
        <v>29350</v>
      </c>
      <c r="F13842" t="s">
        <v>30052</v>
      </c>
      <c r="G13842" t="s">
        <v>30058</v>
      </c>
      <c r="H13842" t="s">
        <v>30067</v>
      </c>
      <c r="I13842" t="s">
        <v>3693</v>
      </c>
      <c r="J13842" t="s">
        <v>38581</v>
      </c>
      <c r="K13842" t="s">
        <v>39025</v>
      </c>
      <c r="M13842" t="s">
        <v>42475</v>
      </c>
      <c r="N13842" t="s">
        <v>43166</v>
      </c>
      <c r="O13842" t="s">
        <v>43167</v>
      </c>
      <c r="P13842">
        <v>0</v>
      </c>
      <c r="Q13842">
        <v>2</v>
      </c>
      <c r="R13842" t="s">
        <v>43188</v>
      </c>
      <c r="S13842" t="s">
        <v>44213</v>
      </c>
      <c r="T13842" t="s">
        <v>44856</v>
      </c>
      <c r="U13842" t="s">
        <v>53437</v>
      </c>
      <c r="W13842" t="s">
        <v>42475</v>
      </c>
      <c r="X13842" t="s">
        <v>43189</v>
      </c>
    </row>
    <row r="13843" spans="1:24">
      <c r="A13843">
        <f>HYPERLINK("https://www.philgeps.gov.ph/GEPSNONPILOT/Tender/SplashBidNoticeAbstractUI.aspx?menuIndex=3&amp;refID=7046634&amp;Result=3","7046634")</f>
        <v>0</v>
      </c>
      <c r="B13843" t="s">
        <v>511</v>
      </c>
      <c r="C13843" t="s">
        <v>16672</v>
      </c>
      <c r="D13843" t="s">
        <v>17421</v>
      </c>
      <c r="E13843" t="s">
        <v>29351</v>
      </c>
      <c r="F13843" t="s">
        <v>30052</v>
      </c>
      <c r="G13843" t="s">
        <v>30058</v>
      </c>
      <c r="H13843" t="s">
        <v>15498</v>
      </c>
      <c r="I13843" t="s">
        <v>30135</v>
      </c>
      <c r="J13843" t="s">
        <v>38582</v>
      </c>
      <c r="K13843" t="s">
        <v>39140</v>
      </c>
      <c r="M13843" t="s">
        <v>39812</v>
      </c>
      <c r="N13843" t="s">
        <v>43166</v>
      </c>
      <c r="O13843" t="s">
        <v>43167</v>
      </c>
      <c r="Q13843">
        <v>8</v>
      </c>
      <c r="R13843" t="s">
        <v>43188</v>
      </c>
      <c r="S13843" t="s">
        <v>43309</v>
      </c>
      <c r="T13843" t="s">
        <v>44741</v>
      </c>
      <c r="U13843" t="s">
        <v>56203</v>
      </c>
      <c r="V13843" t="s">
        <v>58483</v>
      </c>
      <c r="W13843" t="s">
        <v>39812</v>
      </c>
      <c r="X13843" t="s">
        <v>43189</v>
      </c>
    </row>
    <row r="13844" spans="1:24">
      <c r="A13844">
        <f>HYPERLINK("https://www.philgeps.gov.ph/GEPSNONPILOT/Tender/SplashBidNoticeAbstractUI.aspx?menuIndex=3&amp;refID=7046629&amp;Result=3","7046629")</f>
        <v>0</v>
      </c>
      <c r="B13844" t="s">
        <v>2864</v>
      </c>
      <c r="C13844" t="s">
        <v>16673</v>
      </c>
      <c r="D13844" t="s">
        <v>17475</v>
      </c>
      <c r="E13844" t="s">
        <v>29352</v>
      </c>
      <c r="F13844" t="s">
        <v>30052</v>
      </c>
      <c r="G13844" t="s">
        <v>30058</v>
      </c>
      <c r="H13844" t="s">
        <v>30067</v>
      </c>
      <c r="I13844" t="s">
        <v>3693</v>
      </c>
      <c r="J13844" t="s">
        <v>38583</v>
      </c>
      <c r="K13844" t="s">
        <v>39025</v>
      </c>
      <c r="M13844" t="s">
        <v>42475</v>
      </c>
      <c r="N13844" t="s">
        <v>43166</v>
      </c>
      <c r="O13844" t="s">
        <v>43167</v>
      </c>
      <c r="P13844">
        <v>0</v>
      </c>
      <c r="Q13844">
        <v>2</v>
      </c>
      <c r="R13844" t="s">
        <v>43188</v>
      </c>
      <c r="S13844" t="s">
        <v>44213</v>
      </c>
      <c r="T13844" t="s">
        <v>44856</v>
      </c>
      <c r="U13844" t="s">
        <v>53437</v>
      </c>
      <c r="W13844" t="s">
        <v>42475</v>
      </c>
      <c r="X13844" t="s">
        <v>43189</v>
      </c>
    </row>
    <row r="13845" spans="1:24">
      <c r="A13845">
        <f>HYPERLINK("https://www.philgeps.gov.ph/GEPSNONPILOT/Tender/SplashBidNoticeAbstractUI.aspx?menuIndex=3&amp;refID=7046627&amp;Result=3","7046627")</f>
        <v>0</v>
      </c>
      <c r="B13845" t="s">
        <v>3396</v>
      </c>
      <c r="C13845" t="s">
        <v>16674</v>
      </c>
      <c r="D13845" t="s">
        <v>17413</v>
      </c>
      <c r="E13845" t="s">
        <v>18240</v>
      </c>
      <c r="F13845" t="s">
        <v>30052</v>
      </c>
      <c r="G13845" t="s">
        <v>30058</v>
      </c>
      <c r="H13845" t="s">
        <v>30067</v>
      </c>
      <c r="I13845" t="s">
        <v>3693</v>
      </c>
      <c r="J13845" t="s">
        <v>30205</v>
      </c>
      <c r="K13845" t="s">
        <v>39022</v>
      </c>
      <c r="M13845" t="s">
        <v>43059</v>
      </c>
      <c r="N13845" t="s">
        <v>43166</v>
      </c>
      <c r="O13845" t="s">
        <v>43167</v>
      </c>
      <c r="P13845">
        <v>0</v>
      </c>
      <c r="Q13845">
        <v>4</v>
      </c>
      <c r="R13845" t="s">
        <v>43188</v>
      </c>
      <c r="S13845" t="s">
        <v>44213</v>
      </c>
      <c r="T13845" t="s">
        <v>44844</v>
      </c>
      <c r="U13845" t="s">
        <v>56204</v>
      </c>
      <c r="W13845" t="s">
        <v>43059</v>
      </c>
      <c r="X13845" t="s">
        <v>43189</v>
      </c>
    </row>
    <row r="13846" spans="1:24">
      <c r="A13846">
        <f>HYPERLINK("https://www.philgeps.gov.ph/GEPSNONPILOT/Tender/SplashBidNoticeAbstractUI.aspx?menuIndex=3&amp;refID=7046969&amp;Result=3","7046969")</f>
        <v>0</v>
      </c>
      <c r="B13846" t="s">
        <v>3401</v>
      </c>
      <c r="C13846" t="s">
        <v>16675</v>
      </c>
      <c r="D13846" t="s">
        <v>17432</v>
      </c>
      <c r="E13846" t="s">
        <v>18666</v>
      </c>
      <c r="F13846" t="s">
        <v>30052</v>
      </c>
      <c r="G13846" t="s">
        <v>30058</v>
      </c>
      <c r="H13846" t="s">
        <v>15498</v>
      </c>
      <c r="I13846" t="s">
        <v>30152</v>
      </c>
      <c r="J13846" t="s">
        <v>30215</v>
      </c>
      <c r="K13846" t="s">
        <v>39023</v>
      </c>
      <c r="M13846" t="s">
        <v>43068</v>
      </c>
      <c r="N13846" t="s">
        <v>43166</v>
      </c>
      <c r="O13846" t="s">
        <v>43167</v>
      </c>
      <c r="P13846">
        <v>0</v>
      </c>
      <c r="Q13846">
        <v>6</v>
      </c>
      <c r="R13846" t="s">
        <v>43188</v>
      </c>
      <c r="S13846" t="s">
        <v>44213</v>
      </c>
      <c r="T13846" t="s">
        <v>44757</v>
      </c>
      <c r="U13846" t="s">
        <v>56205</v>
      </c>
      <c r="V13846" t="s">
        <v>58484</v>
      </c>
      <c r="W13846" t="s">
        <v>43068</v>
      </c>
      <c r="X13846" t="s">
        <v>43189</v>
      </c>
    </row>
    <row r="13847" spans="1:24">
      <c r="A13847">
        <f>HYPERLINK("https://www.philgeps.gov.ph/GEPSNONPILOT/Tender/SplashBidNoticeAbstractUI.aspx?menuIndex=3&amp;refID=7043242&amp;Result=3","7043242")</f>
        <v>0</v>
      </c>
      <c r="B13847" t="s">
        <v>3402</v>
      </c>
      <c r="C13847" t="s">
        <v>16676</v>
      </c>
      <c r="D13847" t="s">
        <v>17443</v>
      </c>
      <c r="E13847" t="s">
        <v>29353</v>
      </c>
      <c r="F13847" t="s">
        <v>30052</v>
      </c>
      <c r="G13847" t="s">
        <v>30058</v>
      </c>
      <c r="H13847" t="s">
        <v>30067</v>
      </c>
      <c r="I13847" t="s">
        <v>3693</v>
      </c>
      <c r="J13847" t="s">
        <v>38584</v>
      </c>
      <c r="K13847" t="s">
        <v>39065</v>
      </c>
      <c r="M13847" t="s">
        <v>43069</v>
      </c>
      <c r="N13847" t="s">
        <v>43166</v>
      </c>
      <c r="O13847" t="s">
        <v>43167</v>
      </c>
      <c r="P13847">
        <v>0</v>
      </c>
      <c r="Q13847">
        <v>0</v>
      </c>
      <c r="R13847" t="s">
        <v>43189</v>
      </c>
      <c r="S13847" t="s">
        <v>44254</v>
      </c>
      <c r="T13847" t="s">
        <v>44717</v>
      </c>
      <c r="U13847" t="s">
        <v>56206</v>
      </c>
      <c r="W13847" t="s">
        <v>43069</v>
      </c>
      <c r="X13847" t="s">
        <v>43192</v>
      </c>
    </row>
    <row r="13848" spans="1:24">
      <c r="A13848">
        <f>HYPERLINK("https://www.philgeps.gov.ph/GEPSNONPILOT/Tender/SplashBidNoticeAbstractUI.aspx?menuIndex=3&amp;refID=7043056&amp;Result=3","7043056")</f>
        <v>0</v>
      </c>
      <c r="B13848" t="s">
        <v>730</v>
      </c>
      <c r="C13848" t="s">
        <v>16677</v>
      </c>
      <c r="E13848" t="s">
        <v>29354</v>
      </c>
      <c r="F13848" t="s">
        <v>30052</v>
      </c>
      <c r="G13848" t="s">
        <v>30058</v>
      </c>
      <c r="H13848" t="s">
        <v>15498</v>
      </c>
      <c r="I13848" t="s">
        <v>9238</v>
      </c>
      <c r="J13848" t="s">
        <v>38585</v>
      </c>
      <c r="K13848" t="s">
        <v>39023</v>
      </c>
      <c r="M13848" t="s">
        <v>42816</v>
      </c>
      <c r="N13848" t="s">
        <v>43166</v>
      </c>
      <c r="O13848" t="s">
        <v>43167</v>
      </c>
      <c r="P13848">
        <v>0</v>
      </c>
      <c r="Q13848">
        <v>23</v>
      </c>
      <c r="R13848" t="s">
        <v>43189</v>
      </c>
      <c r="S13848" t="s">
        <v>44254</v>
      </c>
      <c r="T13848" t="s">
        <v>44703</v>
      </c>
      <c r="U13848" t="s">
        <v>56207</v>
      </c>
      <c r="W13848" t="s">
        <v>42816</v>
      </c>
      <c r="X13848" t="s">
        <v>43192</v>
      </c>
    </row>
    <row r="13849" spans="1:24">
      <c r="A13849">
        <f>HYPERLINK("https://www.philgeps.gov.ph/GEPSNONPILOT/Tender/SplashBidNoticeAbstractUI.aspx?menuIndex=3&amp;refID=7043234&amp;Result=3","7043234")</f>
        <v>0</v>
      </c>
      <c r="B13849" t="s">
        <v>3402</v>
      </c>
      <c r="C13849" t="s">
        <v>16678</v>
      </c>
      <c r="D13849" t="s">
        <v>17443</v>
      </c>
      <c r="E13849" t="s">
        <v>29355</v>
      </c>
      <c r="F13849" t="s">
        <v>30052</v>
      </c>
      <c r="G13849" t="s">
        <v>30058</v>
      </c>
      <c r="H13849" t="s">
        <v>30067</v>
      </c>
      <c r="I13849" t="s">
        <v>3693</v>
      </c>
      <c r="J13849" t="s">
        <v>38586</v>
      </c>
      <c r="K13849" t="s">
        <v>39029</v>
      </c>
      <c r="M13849" t="s">
        <v>43069</v>
      </c>
      <c r="N13849" t="s">
        <v>43166</v>
      </c>
      <c r="O13849" t="s">
        <v>43167</v>
      </c>
      <c r="P13849">
        <v>0</v>
      </c>
      <c r="Q13849">
        <v>1</v>
      </c>
      <c r="R13849" t="s">
        <v>43189</v>
      </c>
      <c r="S13849" t="s">
        <v>44254</v>
      </c>
      <c r="T13849" t="s">
        <v>44717</v>
      </c>
      <c r="U13849" t="s">
        <v>56208</v>
      </c>
      <c r="W13849" t="s">
        <v>43069</v>
      </c>
      <c r="X13849" t="s">
        <v>43192</v>
      </c>
    </row>
    <row r="13850" spans="1:24">
      <c r="A13850">
        <f>HYPERLINK("https://www.philgeps.gov.ph/GEPSNONPILOT/Tender/SplashBidNoticeAbstractUI.aspx?menuIndex=3&amp;refID=7047020&amp;Result=3","7047020")</f>
        <v>0</v>
      </c>
      <c r="B13850" t="s">
        <v>3399</v>
      </c>
      <c r="C13850" t="s">
        <v>16679</v>
      </c>
      <c r="D13850" t="s">
        <v>17422</v>
      </c>
      <c r="E13850" t="s">
        <v>29356</v>
      </c>
      <c r="F13850" t="s">
        <v>30052</v>
      </c>
      <c r="G13850" t="s">
        <v>30058</v>
      </c>
      <c r="H13850" t="s">
        <v>15498</v>
      </c>
      <c r="I13850" t="s">
        <v>4598</v>
      </c>
      <c r="J13850" t="s">
        <v>32651</v>
      </c>
      <c r="K13850" t="s">
        <v>39029</v>
      </c>
      <c r="M13850" t="s">
        <v>43065</v>
      </c>
      <c r="N13850" t="s">
        <v>43166</v>
      </c>
      <c r="O13850" t="s">
        <v>43167</v>
      </c>
      <c r="P13850">
        <v>0</v>
      </c>
      <c r="Q13850">
        <v>3</v>
      </c>
      <c r="R13850" t="s">
        <v>43188</v>
      </c>
      <c r="S13850" t="s">
        <v>44213</v>
      </c>
      <c r="T13850" t="s">
        <v>44822</v>
      </c>
      <c r="U13850" t="s">
        <v>56209</v>
      </c>
      <c r="W13850" t="s">
        <v>43065</v>
      </c>
      <c r="X13850" t="s">
        <v>43189</v>
      </c>
    </row>
    <row r="13851" spans="1:24">
      <c r="A13851">
        <f>HYPERLINK("https://www.philgeps.gov.ph/GEPSNONPILOT/Tender/SplashBidNoticeAbstractUI.aspx?menuIndex=3&amp;refID=7043227&amp;Result=3","7043227")</f>
        <v>0</v>
      </c>
      <c r="B13851" t="s">
        <v>3402</v>
      </c>
      <c r="C13851" t="s">
        <v>16680</v>
      </c>
      <c r="D13851" t="s">
        <v>17443</v>
      </c>
      <c r="E13851" t="s">
        <v>29357</v>
      </c>
      <c r="F13851" t="s">
        <v>30052</v>
      </c>
      <c r="G13851" t="s">
        <v>30058</v>
      </c>
      <c r="H13851" t="s">
        <v>30067</v>
      </c>
      <c r="I13851" t="s">
        <v>3693</v>
      </c>
      <c r="J13851" t="s">
        <v>38587</v>
      </c>
      <c r="K13851" t="s">
        <v>39073</v>
      </c>
      <c r="M13851" t="s">
        <v>43069</v>
      </c>
      <c r="N13851" t="s">
        <v>43166</v>
      </c>
      <c r="O13851" t="s">
        <v>43167</v>
      </c>
      <c r="P13851">
        <v>0</v>
      </c>
      <c r="Q13851">
        <v>0</v>
      </c>
      <c r="R13851" t="s">
        <v>43189</v>
      </c>
      <c r="S13851" t="s">
        <v>44254</v>
      </c>
      <c r="T13851" t="s">
        <v>44717</v>
      </c>
      <c r="U13851" t="s">
        <v>56210</v>
      </c>
      <c r="W13851" t="s">
        <v>43069</v>
      </c>
      <c r="X13851" t="s">
        <v>43192</v>
      </c>
    </row>
    <row r="13852" spans="1:24">
      <c r="A13852">
        <f>HYPERLINK("https://www.philgeps.gov.ph/GEPSNONPILOT/Tender/SplashBidNoticeAbstractUI.aspx?menuIndex=3&amp;refID=7043238&amp;Result=3","7043238")</f>
        <v>0</v>
      </c>
      <c r="B13852" t="s">
        <v>3402</v>
      </c>
      <c r="C13852" t="s">
        <v>16681</v>
      </c>
      <c r="D13852" t="s">
        <v>17443</v>
      </c>
      <c r="E13852" t="s">
        <v>29358</v>
      </c>
      <c r="F13852" t="s">
        <v>30052</v>
      </c>
      <c r="G13852" t="s">
        <v>30058</v>
      </c>
      <c r="H13852" t="s">
        <v>30067</v>
      </c>
      <c r="I13852" t="s">
        <v>3693</v>
      </c>
      <c r="J13852" t="s">
        <v>38588</v>
      </c>
      <c r="K13852" t="s">
        <v>39086</v>
      </c>
      <c r="M13852" t="s">
        <v>43069</v>
      </c>
      <c r="N13852" t="s">
        <v>43166</v>
      </c>
      <c r="O13852" t="s">
        <v>43167</v>
      </c>
      <c r="P13852">
        <v>0</v>
      </c>
      <c r="Q13852">
        <v>1</v>
      </c>
      <c r="R13852" t="s">
        <v>43189</v>
      </c>
      <c r="S13852" t="s">
        <v>44254</v>
      </c>
      <c r="T13852" t="s">
        <v>44717</v>
      </c>
      <c r="U13852" t="s">
        <v>56211</v>
      </c>
      <c r="W13852" t="s">
        <v>43069</v>
      </c>
      <c r="X13852" t="s">
        <v>43192</v>
      </c>
    </row>
    <row r="13853" spans="1:24">
      <c r="A13853">
        <f>HYPERLINK("https://www.philgeps.gov.ph/GEPSNONPILOT/Tender/SplashBidNoticeAbstractUI.aspx?menuIndex=3&amp;refID=7043216&amp;Result=3","7043216")</f>
        <v>0</v>
      </c>
      <c r="B13853" t="s">
        <v>3402</v>
      </c>
      <c r="C13853" t="s">
        <v>16682</v>
      </c>
      <c r="D13853" t="s">
        <v>17443</v>
      </c>
      <c r="E13853" t="s">
        <v>29359</v>
      </c>
      <c r="F13853" t="s">
        <v>30052</v>
      </c>
      <c r="G13853" t="s">
        <v>30058</v>
      </c>
      <c r="H13853" t="s">
        <v>30067</v>
      </c>
      <c r="I13853" t="s">
        <v>3693</v>
      </c>
      <c r="J13853" t="s">
        <v>38589</v>
      </c>
      <c r="K13853" t="s">
        <v>39023</v>
      </c>
      <c r="M13853" t="s">
        <v>43069</v>
      </c>
      <c r="N13853" t="s">
        <v>43166</v>
      </c>
      <c r="O13853" t="s">
        <v>43167</v>
      </c>
      <c r="P13853">
        <v>0</v>
      </c>
      <c r="Q13853">
        <v>2</v>
      </c>
      <c r="R13853" t="s">
        <v>43189</v>
      </c>
      <c r="S13853" t="s">
        <v>44254</v>
      </c>
      <c r="T13853" t="s">
        <v>44717</v>
      </c>
      <c r="U13853" t="s">
        <v>56212</v>
      </c>
      <c r="W13853" t="s">
        <v>43069</v>
      </c>
      <c r="X13853" t="s">
        <v>43192</v>
      </c>
    </row>
    <row r="13854" spans="1:24">
      <c r="A13854">
        <f>HYPERLINK("https://www.philgeps.gov.ph/GEPSNONPILOT/Tender/SplashBidNoticeAbstractUI.aspx?menuIndex=3&amp;refID=7043237&amp;Result=3","7043237")</f>
        <v>0</v>
      </c>
      <c r="B13854" t="s">
        <v>3402</v>
      </c>
      <c r="C13854" t="s">
        <v>16683</v>
      </c>
      <c r="D13854" t="s">
        <v>17443</v>
      </c>
      <c r="E13854" t="s">
        <v>29360</v>
      </c>
      <c r="F13854" t="s">
        <v>30052</v>
      </c>
      <c r="G13854" t="s">
        <v>30058</v>
      </c>
      <c r="H13854" t="s">
        <v>30067</v>
      </c>
      <c r="I13854" t="s">
        <v>3693</v>
      </c>
      <c r="J13854" t="s">
        <v>38586</v>
      </c>
      <c r="K13854" t="s">
        <v>39029</v>
      </c>
      <c r="M13854" t="s">
        <v>43069</v>
      </c>
      <c r="N13854" t="s">
        <v>43166</v>
      </c>
      <c r="O13854" t="s">
        <v>43167</v>
      </c>
      <c r="P13854">
        <v>0</v>
      </c>
      <c r="Q13854">
        <v>1</v>
      </c>
      <c r="R13854" t="s">
        <v>43189</v>
      </c>
      <c r="S13854" t="s">
        <v>44254</v>
      </c>
      <c r="T13854" t="s">
        <v>44717</v>
      </c>
      <c r="U13854" t="s">
        <v>56213</v>
      </c>
      <c r="W13854" t="s">
        <v>43069</v>
      </c>
      <c r="X13854" t="s">
        <v>43192</v>
      </c>
    </row>
    <row r="13855" spans="1:24">
      <c r="A13855">
        <f>HYPERLINK("https://www.philgeps.gov.ph/GEPSNONPILOT/Tender/SplashBidNoticeAbstractUI.aspx?menuIndex=3&amp;refID=7046981&amp;Result=3","7046981")</f>
        <v>0</v>
      </c>
      <c r="B13855" t="s">
        <v>3399</v>
      </c>
      <c r="C13855" t="s">
        <v>16684</v>
      </c>
      <c r="D13855" t="s">
        <v>17422</v>
      </c>
      <c r="E13855" t="s">
        <v>29361</v>
      </c>
      <c r="F13855" t="s">
        <v>30052</v>
      </c>
      <c r="G13855" t="s">
        <v>30058</v>
      </c>
      <c r="H13855" t="s">
        <v>30067</v>
      </c>
      <c r="I13855" t="s">
        <v>3693</v>
      </c>
      <c r="J13855" t="s">
        <v>30218</v>
      </c>
      <c r="K13855" t="s">
        <v>39029</v>
      </c>
      <c r="M13855" t="s">
        <v>43065</v>
      </c>
      <c r="N13855" t="s">
        <v>43166</v>
      </c>
      <c r="O13855" t="s">
        <v>43167</v>
      </c>
      <c r="P13855">
        <v>0</v>
      </c>
      <c r="Q13855">
        <v>2</v>
      </c>
      <c r="R13855" t="s">
        <v>43188</v>
      </c>
      <c r="S13855" t="s">
        <v>44213</v>
      </c>
      <c r="T13855" t="s">
        <v>44822</v>
      </c>
      <c r="U13855" t="s">
        <v>56214</v>
      </c>
      <c r="W13855" t="s">
        <v>43065</v>
      </c>
      <c r="X13855" t="s">
        <v>43189</v>
      </c>
    </row>
    <row r="13856" spans="1:24">
      <c r="A13856">
        <f>HYPERLINK("https://www.philgeps.gov.ph/GEPSNONPILOT/Tender/SplashBidNoticeAbstractUI.aspx?menuIndex=3&amp;refID=7043222&amp;Result=3","7043222")</f>
        <v>0</v>
      </c>
      <c r="B13856" t="s">
        <v>3402</v>
      </c>
      <c r="C13856" t="s">
        <v>16685</v>
      </c>
      <c r="D13856" t="s">
        <v>17443</v>
      </c>
      <c r="E13856" t="s">
        <v>29362</v>
      </c>
      <c r="F13856" t="s">
        <v>30052</v>
      </c>
      <c r="G13856" t="s">
        <v>30058</v>
      </c>
      <c r="H13856" t="s">
        <v>30067</v>
      </c>
      <c r="I13856" t="s">
        <v>3693</v>
      </c>
      <c r="J13856" t="s">
        <v>38590</v>
      </c>
      <c r="K13856" t="s">
        <v>39062</v>
      </c>
      <c r="M13856" t="s">
        <v>43069</v>
      </c>
      <c r="N13856" t="s">
        <v>43166</v>
      </c>
      <c r="O13856" t="s">
        <v>43167</v>
      </c>
      <c r="P13856">
        <v>0</v>
      </c>
      <c r="Q13856">
        <v>1</v>
      </c>
      <c r="R13856" t="s">
        <v>43189</v>
      </c>
      <c r="S13856" t="s">
        <v>44254</v>
      </c>
      <c r="T13856" t="s">
        <v>44717</v>
      </c>
      <c r="U13856" t="s">
        <v>56215</v>
      </c>
      <c r="W13856" t="s">
        <v>43069</v>
      </c>
      <c r="X13856" t="s">
        <v>43192</v>
      </c>
    </row>
    <row r="13857" spans="1:24">
      <c r="A13857">
        <f>HYPERLINK("https://www.philgeps.gov.ph/GEPSNONPILOT/Tender/SplashBidNoticeAbstractUI.aspx?menuIndex=3&amp;refID=7043038&amp;Result=3","7043038")</f>
        <v>0</v>
      </c>
      <c r="B13857" t="s">
        <v>730</v>
      </c>
      <c r="C13857" t="s">
        <v>16686</v>
      </c>
      <c r="D13857" t="s">
        <v>17415</v>
      </c>
      <c r="E13857" t="s">
        <v>29363</v>
      </c>
      <c r="F13857" t="s">
        <v>30052</v>
      </c>
      <c r="G13857" t="s">
        <v>30058</v>
      </c>
      <c r="H13857" t="s">
        <v>30067</v>
      </c>
      <c r="I13857" t="s">
        <v>3693</v>
      </c>
      <c r="J13857" t="s">
        <v>30856</v>
      </c>
      <c r="K13857" t="s">
        <v>39031</v>
      </c>
      <c r="M13857" t="s">
        <v>42816</v>
      </c>
      <c r="N13857" t="s">
        <v>43166</v>
      </c>
      <c r="O13857" t="s">
        <v>43167</v>
      </c>
      <c r="P13857">
        <v>0</v>
      </c>
      <c r="Q13857">
        <v>14</v>
      </c>
      <c r="R13857" t="s">
        <v>43189</v>
      </c>
      <c r="S13857" t="s">
        <v>44254</v>
      </c>
      <c r="T13857" t="s">
        <v>44892</v>
      </c>
      <c r="U13857" t="s">
        <v>56207</v>
      </c>
      <c r="W13857" t="s">
        <v>42816</v>
      </c>
      <c r="X13857" t="s">
        <v>43192</v>
      </c>
    </row>
    <row r="13858" spans="1:24">
      <c r="A13858">
        <f>HYPERLINK("https://www.philgeps.gov.ph/GEPSNONPILOT/Tender/SplashBidNoticeAbstractUI.aspx?menuIndex=3&amp;refID=7042862&amp;Result=3","7042862")</f>
        <v>0</v>
      </c>
      <c r="B13858" t="s">
        <v>730</v>
      </c>
      <c r="C13858" t="s">
        <v>16687</v>
      </c>
      <c r="E13858" t="s">
        <v>29364</v>
      </c>
      <c r="F13858" t="s">
        <v>30052</v>
      </c>
      <c r="G13858" t="s">
        <v>30058</v>
      </c>
      <c r="H13858" t="s">
        <v>15498</v>
      </c>
      <c r="I13858" t="s">
        <v>9238</v>
      </c>
      <c r="J13858" t="s">
        <v>38591</v>
      </c>
      <c r="K13858" t="s">
        <v>39023</v>
      </c>
      <c r="M13858" t="s">
        <v>42816</v>
      </c>
      <c r="N13858" t="s">
        <v>43166</v>
      </c>
      <c r="O13858" t="s">
        <v>43167</v>
      </c>
      <c r="P13858">
        <v>0</v>
      </c>
      <c r="Q13858">
        <v>53</v>
      </c>
      <c r="R13858" t="s">
        <v>43189</v>
      </c>
      <c r="S13858" t="s">
        <v>44254</v>
      </c>
      <c r="T13858" t="s">
        <v>44934</v>
      </c>
      <c r="U13858" t="s">
        <v>56207</v>
      </c>
      <c r="W13858" t="s">
        <v>42816</v>
      </c>
      <c r="X13858" t="s">
        <v>43192</v>
      </c>
    </row>
    <row r="13859" spans="1:24">
      <c r="A13859">
        <f>HYPERLINK("https://www.philgeps.gov.ph/GEPSNONPILOT/Tender/SplashBidNoticeAbstractUI.aspx?menuIndex=3&amp;refID=7043035&amp;Result=3","7043035")</f>
        <v>0</v>
      </c>
      <c r="B13859" t="s">
        <v>746</v>
      </c>
      <c r="C13859" t="s">
        <v>16688</v>
      </c>
      <c r="D13859" t="s">
        <v>17421</v>
      </c>
      <c r="E13859" t="s">
        <v>29365</v>
      </c>
      <c r="F13859" t="s">
        <v>30052</v>
      </c>
      <c r="G13859" t="s">
        <v>30058</v>
      </c>
      <c r="H13859" t="s">
        <v>30067</v>
      </c>
      <c r="I13859" t="s">
        <v>6304</v>
      </c>
      <c r="J13859" t="s">
        <v>38592</v>
      </c>
      <c r="K13859" t="s">
        <v>39123</v>
      </c>
      <c r="M13859" t="s">
        <v>40060</v>
      </c>
      <c r="N13859" t="s">
        <v>43166</v>
      </c>
      <c r="O13859" t="s">
        <v>43167</v>
      </c>
      <c r="P13859">
        <v>0</v>
      </c>
      <c r="Q13859">
        <v>2</v>
      </c>
      <c r="R13859" t="s">
        <v>43189</v>
      </c>
      <c r="S13859" t="s">
        <v>44254</v>
      </c>
      <c r="T13859" t="s">
        <v>44856</v>
      </c>
      <c r="U13859" t="s">
        <v>56216</v>
      </c>
      <c r="W13859" t="s">
        <v>40060</v>
      </c>
      <c r="X13859" t="s">
        <v>43192</v>
      </c>
    </row>
    <row r="13860" spans="1:24">
      <c r="A13860">
        <f>HYPERLINK("https://www.philgeps.gov.ph/GEPSNONPILOT/Tender/SplashBidNoticeAbstractUI.aspx?menuIndex=3&amp;refID=7046638&amp;Result=3","7046638")</f>
        <v>0</v>
      </c>
      <c r="B13860" t="s">
        <v>2410</v>
      </c>
      <c r="C13860" t="s">
        <v>16689</v>
      </c>
      <c r="D13860" t="s">
        <v>17470</v>
      </c>
      <c r="E13860" t="s">
        <v>29311</v>
      </c>
      <c r="F13860" t="s">
        <v>30052</v>
      </c>
      <c r="G13860" t="s">
        <v>30058</v>
      </c>
      <c r="H13860" t="s">
        <v>15498</v>
      </c>
      <c r="I13860" t="s">
        <v>30092</v>
      </c>
      <c r="J13860" t="s">
        <v>38593</v>
      </c>
      <c r="K13860" t="s">
        <v>39029</v>
      </c>
      <c r="M13860" t="s">
        <v>41907</v>
      </c>
      <c r="N13860" t="s">
        <v>43166</v>
      </c>
      <c r="O13860" t="s">
        <v>43167</v>
      </c>
      <c r="P13860">
        <v>0</v>
      </c>
      <c r="Q13860">
        <v>0</v>
      </c>
      <c r="R13860" t="s">
        <v>43188</v>
      </c>
      <c r="S13860" t="s">
        <v>44213</v>
      </c>
      <c r="T13860" t="s">
        <v>44717</v>
      </c>
      <c r="U13860" t="s">
        <v>56164</v>
      </c>
      <c r="W13860" t="s">
        <v>41907</v>
      </c>
      <c r="X13860" t="s">
        <v>43189</v>
      </c>
    </row>
    <row r="13861" spans="1:24">
      <c r="A13861">
        <f>HYPERLINK("https://www.philgeps.gov.ph/GEPSNONPILOT/Tender/SplashBidNoticeAbstractUI.aspx?menuIndex=3&amp;refID=7041915&amp;Result=3","7041915")</f>
        <v>0</v>
      </c>
      <c r="B13861" t="s">
        <v>1485</v>
      </c>
      <c r="C13861" t="s">
        <v>4394</v>
      </c>
      <c r="D13861" t="s">
        <v>17422</v>
      </c>
      <c r="E13861" t="s">
        <v>24478</v>
      </c>
      <c r="F13861" t="s">
        <v>30052</v>
      </c>
      <c r="G13861" t="s">
        <v>30058</v>
      </c>
      <c r="H13861" t="s">
        <v>15498</v>
      </c>
      <c r="I13861" t="s">
        <v>3736</v>
      </c>
      <c r="J13861" t="s">
        <v>38594</v>
      </c>
      <c r="K13861" t="s">
        <v>39029</v>
      </c>
      <c r="M13861" t="s">
        <v>40869</v>
      </c>
      <c r="N13861" t="s">
        <v>43166</v>
      </c>
      <c r="O13861" t="s">
        <v>43167</v>
      </c>
      <c r="P13861">
        <v>0</v>
      </c>
      <c r="Q13861">
        <v>0</v>
      </c>
      <c r="R13861" t="s">
        <v>43189</v>
      </c>
      <c r="S13861" t="s">
        <v>44254</v>
      </c>
      <c r="T13861" t="s">
        <v>44771</v>
      </c>
      <c r="U13861" t="s">
        <v>56217</v>
      </c>
      <c r="W13861" t="s">
        <v>40869</v>
      </c>
      <c r="X13861" t="s">
        <v>43192</v>
      </c>
    </row>
    <row r="13862" spans="1:24">
      <c r="A13862">
        <f>HYPERLINK("https://www.philgeps.gov.ph/GEPSNONPILOT/Tender/SplashBidNoticeAbstractUI.aspx?menuIndex=3&amp;refID=7043773&amp;Result=3","7043773")</f>
        <v>0</v>
      </c>
      <c r="B13862" t="s">
        <v>3403</v>
      </c>
      <c r="C13862" t="s">
        <v>16690</v>
      </c>
      <c r="D13862" t="s">
        <v>17478</v>
      </c>
      <c r="E13862" t="s">
        <v>29366</v>
      </c>
      <c r="F13862" t="s">
        <v>30052</v>
      </c>
      <c r="G13862" t="s">
        <v>30058</v>
      </c>
      <c r="H13862" t="s">
        <v>15498</v>
      </c>
      <c r="I13862" t="s">
        <v>30124</v>
      </c>
      <c r="J13862" t="s">
        <v>30230</v>
      </c>
      <c r="K13862" t="s">
        <v>39023</v>
      </c>
      <c r="M13862" t="s">
        <v>43070</v>
      </c>
      <c r="N13862" t="s">
        <v>43166</v>
      </c>
      <c r="O13862" t="s">
        <v>43167</v>
      </c>
      <c r="P13862">
        <v>0</v>
      </c>
      <c r="Q13862">
        <v>0</v>
      </c>
      <c r="R13862" t="s">
        <v>43189</v>
      </c>
      <c r="S13862" t="s">
        <v>44254</v>
      </c>
      <c r="T13862" t="s">
        <v>44681</v>
      </c>
      <c r="U13862" t="s">
        <v>56218</v>
      </c>
      <c r="W13862" t="s">
        <v>43070</v>
      </c>
      <c r="X13862" t="s">
        <v>43191</v>
      </c>
    </row>
    <row r="13863" spans="1:24">
      <c r="A13863">
        <f>HYPERLINK("https://www.philgeps.gov.ph/GEPSNONPILOT/Tender/SplashBidNoticeAbstractUI.aspx?menuIndex=3&amp;refID=7043766&amp;Result=3","7043766")</f>
        <v>0</v>
      </c>
      <c r="B13863" t="s">
        <v>3403</v>
      </c>
      <c r="C13863" t="s">
        <v>16691</v>
      </c>
      <c r="D13863" t="s">
        <v>17489</v>
      </c>
      <c r="E13863" t="s">
        <v>29367</v>
      </c>
      <c r="F13863" t="s">
        <v>30052</v>
      </c>
      <c r="G13863" t="s">
        <v>30058</v>
      </c>
      <c r="H13863" t="s">
        <v>15498</v>
      </c>
      <c r="I13863" t="s">
        <v>30124</v>
      </c>
      <c r="J13863" t="s">
        <v>38595</v>
      </c>
      <c r="K13863" t="s">
        <v>39023</v>
      </c>
      <c r="M13863" t="s">
        <v>43070</v>
      </c>
      <c r="N13863" t="s">
        <v>43166</v>
      </c>
      <c r="O13863" t="s">
        <v>43167</v>
      </c>
      <c r="Q13863">
        <v>3</v>
      </c>
      <c r="R13863" t="s">
        <v>43189</v>
      </c>
      <c r="S13863" t="s">
        <v>44258</v>
      </c>
      <c r="T13863" t="s">
        <v>44681</v>
      </c>
      <c r="U13863" t="s">
        <v>56219</v>
      </c>
      <c r="W13863" t="s">
        <v>43070</v>
      </c>
      <c r="X13863" t="s">
        <v>43191</v>
      </c>
    </row>
    <row r="13864" spans="1:24">
      <c r="A13864">
        <f>HYPERLINK("https://www.philgeps.gov.ph/GEPSNONPILOT/Tender/SplashBidNoticeAbstractUI.aspx?menuIndex=3&amp;refID=7043763&amp;Result=3","7043763")</f>
        <v>0</v>
      </c>
      <c r="B13864" t="s">
        <v>3403</v>
      </c>
      <c r="C13864" t="s">
        <v>16692</v>
      </c>
      <c r="D13864" t="s">
        <v>17489</v>
      </c>
      <c r="E13864" t="s">
        <v>29368</v>
      </c>
      <c r="F13864" t="s">
        <v>30052</v>
      </c>
      <c r="G13864" t="s">
        <v>30058</v>
      </c>
      <c r="H13864" t="s">
        <v>15498</v>
      </c>
      <c r="I13864" t="s">
        <v>30124</v>
      </c>
      <c r="J13864" t="s">
        <v>38596</v>
      </c>
      <c r="K13864" t="s">
        <v>39023</v>
      </c>
      <c r="M13864" t="s">
        <v>43070</v>
      </c>
      <c r="N13864" t="s">
        <v>43166</v>
      </c>
      <c r="O13864" t="s">
        <v>43167</v>
      </c>
      <c r="Q13864">
        <v>4</v>
      </c>
      <c r="R13864" t="s">
        <v>43189</v>
      </c>
      <c r="S13864" t="s">
        <v>44259</v>
      </c>
      <c r="T13864" t="s">
        <v>44681</v>
      </c>
      <c r="U13864" t="s">
        <v>56220</v>
      </c>
      <c r="W13864" t="s">
        <v>43070</v>
      </c>
      <c r="X13864" t="s">
        <v>43191</v>
      </c>
    </row>
    <row r="13865" spans="1:24">
      <c r="A13865">
        <f>HYPERLINK("https://www.philgeps.gov.ph/GEPSNONPILOT/Tender/SplashBidNoticeAbstractUI.aspx?menuIndex=3&amp;refID=7046848&amp;Result=3","7046848")</f>
        <v>0</v>
      </c>
      <c r="B13865" t="s">
        <v>1589</v>
      </c>
      <c r="C13865" t="s">
        <v>16693</v>
      </c>
      <c r="D13865" t="s">
        <v>17494</v>
      </c>
      <c r="E13865" t="s">
        <v>29369</v>
      </c>
      <c r="F13865" t="s">
        <v>30052</v>
      </c>
      <c r="G13865" t="s">
        <v>30058</v>
      </c>
      <c r="H13865" t="s">
        <v>15498</v>
      </c>
      <c r="I13865" t="s">
        <v>30073</v>
      </c>
      <c r="J13865" t="s">
        <v>38597</v>
      </c>
      <c r="K13865" t="s">
        <v>39019</v>
      </c>
      <c r="M13865" t="s">
        <v>40982</v>
      </c>
      <c r="N13865" t="s">
        <v>43166</v>
      </c>
      <c r="O13865" t="s">
        <v>43167</v>
      </c>
      <c r="P13865">
        <v>0</v>
      </c>
      <c r="Q13865">
        <v>0</v>
      </c>
      <c r="R13865" t="s">
        <v>43188</v>
      </c>
      <c r="S13865" t="s">
        <v>44213</v>
      </c>
      <c r="T13865" t="s">
        <v>44717</v>
      </c>
      <c r="U13865" t="s">
        <v>56221</v>
      </c>
      <c r="W13865" t="s">
        <v>40982</v>
      </c>
      <c r="X13865" t="s">
        <v>43189</v>
      </c>
    </row>
    <row r="13866" spans="1:24">
      <c r="A13866">
        <f>HYPERLINK("https://www.philgeps.gov.ph/GEPSNONPILOT/Tender/SplashBidNoticeAbstractUI.aspx?menuIndex=3&amp;refID=7043616&amp;Result=3","7043616")</f>
        <v>0</v>
      </c>
      <c r="B13866" t="s">
        <v>3402</v>
      </c>
      <c r="C13866" t="s">
        <v>16694</v>
      </c>
      <c r="D13866" t="s">
        <v>17443</v>
      </c>
      <c r="E13866" t="s">
        <v>29370</v>
      </c>
      <c r="F13866" t="s">
        <v>30052</v>
      </c>
      <c r="G13866" t="s">
        <v>30058</v>
      </c>
      <c r="H13866" t="s">
        <v>30067</v>
      </c>
      <c r="I13866" t="s">
        <v>3693</v>
      </c>
      <c r="J13866" t="s">
        <v>38598</v>
      </c>
      <c r="K13866" t="s">
        <v>39023</v>
      </c>
      <c r="M13866" t="s">
        <v>43069</v>
      </c>
      <c r="N13866" t="s">
        <v>43166</v>
      </c>
      <c r="O13866" t="s">
        <v>43167</v>
      </c>
      <c r="P13866">
        <v>0</v>
      </c>
      <c r="Q13866">
        <v>0</v>
      </c>
      <c r="R13866" t="s">
        <v>43189</v>
      </c>
      <c r="S13866" t="s">
        <v>44254</v>
      </c>
      <c r="T13866" t="s">
        <v>44717</v>
      </c>
      <c r="U13866" t="s">
        <v>56222</v>
      </c>
      <c r="W13866" t="s">
        <v>43069</v>
      </c>
      <c r="X13866" t="s">
        <v>43190</v>
      </c>
    </row>
    <row r="13867" spans="1:24">
      <c r="A13867">
        <f>HYPERLINK("https://www.philgeps.gov.ph/GEPSNONPILOT/Tender/SplashBidNoticeAbstractUI.aspx?menuIndex=3&amp;refID=7043578&amp;Result=3","7043578")</f>
        <v>0</v>
      </c>
      <c r="B13867" t="s">
        <v>3402</v>
      </c>
      <c r="C13867" t="s">
        <v>16695</v>
      </c>
      <c r="D13867" t="s">
        <v>17443</v>
      </c>
      <c r="E13867" t="s">
        <v>29371</v>
      </c>
      <c r="F13867" t="s">
        <v>30052</v>
      </c>
      <c r="G13867" t="s">
        <v>30058</v>
      </c>
      <c r="H13867" t="s">
        <v>30067</v>
      </c>
      <c r="I13867" t="s">
        <v>3693</v>
      </c>
      <c r="J13867" t="s">
        <v>38599</v>
      </c>
      <c r="K13867" t="s">
        <v>39031</v>
      </c>
      <c r="M13867" t="s">
        <v>43069</v>
      </c>
      <c r="N13867" t="s">
        <v>43166</v>
      </c>
      <c r="O13867" t="s">
        <v>43167</v>
      </c>
      <c r="P13867">
        <v>0</v>
      </c>
      <c r="Q13867">
        <v>1</v>
      </c>
      <c r="R13867" t="s">
        <v>43189</v>
      </c>
      <c r="S13867" t="s">
        <v>44254</v>
      </c>
      <c r="T13867" t="s">
        <v>44717</v>
      </c>
      <c r="U13867" t="s">
        <v>56223</v>
      </c>
      <c r="W13867" t="s">
        <v>43069</v>
      </c>
      <c r="X13867" t="s">
        <v>43190</v>
      </c>
    </row>
    <row r="13868" spans="1:24">
      <c r="A13868">
        <f>HYPERLINK("https://www.philgeps.gov.ph/GEPSNONPILOT/Tender/SplashBidNoticeAbstractUI.aspx?menuIndex=3&amp;refID=7043500&amp;Result=3","7043500")</f>
        <v>0</v>
      </c>
      <c r="B13868" t="s">
        <v>3403</v>
      </c>
      <c r="C13868" t="s">
        <v>16696</v>
      </c>
      <c r="D13868" t="s">
        <v>17478</v>
      </c>
      <c r="E13868" t="s">
        <v>29372</v>
      </c>
      <c r="F13868" t="s">
        <v>30052</v>
      </c>
      <c r="G13868" t="s">
        <v>30058</v>
      </c>
      <c r="H13868" t="s">
        <v>15498</v>
      </c>
      <c r="I13868" t="s">
        <v>30124</v>
      </c>
      <c r="J13868" t="s">
        <v>30358</v>
      </c>
      <c r="K13868" t="s">
        <v>39023</v>
      </c>
      <c r="M13868" t="s">
        <v>43070</v>
      </c>
      <c r="N13868" t="s">
        <v>43166</v>
      </c>
      <c r="O13868" t="s">
        <v>43167</v>
      </c>
      <c r="P13868">
        <v>0</v>
      </c>
      <c r="Q13868">
        <v>1</v>
      </c>
      <c r="R13868" t="s">
        <v>43189</v>
      </c>
      <c r="S13868" t="s">
        <v>44254</v>
      </c>
      <c r="T13868" t="s">
        <v>44681</v>
      </c>
      <c r="U13868" t="s">
        <v>56224</v>
      </c>
      <c r="W13868" t="s">
        <v>43070</v>
      </c>
      <c r="X13868" t="s">
        <v>43190</v>
      </c>
    </row>
    <row r="13869" spans="1:24">
      <c r="A13869">
        <f>HYPERLINK("https://www.philgeps.gov.ph/GEPSNONPILOT/Tender/SplashBidNoticeAbstractUI.aspx?menuIndex=3&amp;refID=7043497&amp;Result=3","7043497")</f>
        <v>0</v>
      </c>
      <c r="B13869" t="s">
        <v>3403</v>
      </c>
      <c r="C13869" t="s">
        <v>16697</v>
      </c>
      <c r="D13869" t="s">
        <v>17478</v>
      </c>
      <c r="E13869" t="s">
        <v>29373</v>
      </c>
      <c r="F13869" t="s">
        <v>30052</v>
      </c>
      <c r="G13869" t="s">
        <v>30058</v>
      </c>
      <c r="H13869" t="s">
        <v>15498</v>
      </c>
      <c r="I13869" t="s">
        <v>30124</v>
      </c>
      <c r="J13869" t="s">
        <v>38600</v>
      </c>
      <c r="K13869" t="s">
        <v>39023</v>
      </c>
      <c r="M13869" t="s">
        <v>43070</v>
      </c>
      <c r="N13869" t="s">
        <v>43166</v>
      </c>
      <c r="O13869" t="s">
        <v>43167</v>
      </c>
      <c r="P13869">
        <v>0</v>
      </c>
      <c r="Q13869">
        <v>5</v>
      </c>
      <c r="R13869" t="s">
        <v>43189</v>
      </c>
      <c r="S13869" t="s">
        <v>44254</v>
      </c>
      <c r="T13869" t="s">
        <v>44681</v>
      </c>
      <c r="U13869" t="s">
        <v>56225</v>
      </c>
      <c r="W13869" t="s">
        <v>43070</v>
      </c>
      <c r="X13869" t="s">
        <v>43190</v>
      </c>
    </row>
    <row r="13870" spans="1:24">
      <c r="A13870">
        <f>HYPERLINK("https://www.philgeps.gov.ph/GEPSNONPILOT/Tender/SplashBidNoticeAbstractUI.aspx?menuIndex=3&amp;refID=7043769&amp;Result=3","7043769")</f>
        <v>0</v>
      </c>
      <c r="B13870" t="s">
        <v>3403</v>
      </c>
      <c r="C13870" t="s">
        <v>16698</v>
      </c>
      <c r="D13870" t="s">
        <v>17489</v>
      </c>
      <c r="E13870" t="s">
        <v>29374</v>
      </c>
      <c r="F13870" t="s">
        <v>30052</v>
      </c>
      <c r="G13870" t="s">
        <v>30058</v>
      </c>
      <c r="H13870" t="s">
        <v>15498</v>
      </c>
      <c r="I13870" t="s">
        <v>30124</v>
      </c>
      <c r="J13870" t="s">
        <v>38601</v>
      </c>
      <c r="K13870" t="s">
        <v>39023</v>
      </c>
      <c r="M13870" t="s">
        <v>43070</v>
      </c>
      <c r="N13870" t="s">
        <v>43166</v>
      </c>
      <c r="O13870" t="s">
        <v>43167</v>
      </c>
      <c r="Q13870">
        <v>4</v>
      </c>
      <c r="R13870" t="s">
        <v>43189</v>
      </c>
      <c r="S13870" t="s">
        <v>44260</v>
      </c>
      <c r="T13870" t="s">
        <v>44681</v>
      </c>
      <c r="U13870" t="s">
        <v>56226</v>
      </c>
      <c r="W13870" t="s">
        <v>43070</v>
      </c>
      <c r="X13870" t="s">
        <v>43191</v>
      </c>
    </row>
    <row r="13871" spans="1:24">
      <c r="A13871">
        <f>HYPERLINK("https://www.philgeps.gov.ph/GEPSNONPILOT/Tender/SplashBidNoticeAbstractUI.aspx?menuIndex=3&amp;refID=7043493&amp;Result=3","7043493")</f>
        <v>0</v>
      </c>
      <c r="B13871" t="s">
        <v>3403</v>
      </c>
      <c r="C13871" t="s">
        <v>16699</v>
      </c>
      <c r="D13871" t="s">
        <v>17478</v>
      </c>
      <c r="E13871" t="s">
        <v>29375</v>
      </c>
      <c r="F13871" t="s">
        <v>30052</v>
      </c>
      <c r="G13871" t="s">
        <v>30058</v>
      </c>
      <c r="H13871" t="s">
        <v>15498</v>
      </c>
      <c r="I13871" t="s">
        <v>30124</v>
      </c>
      <c r="J13871" t="s">
        <v>38602</v>
      </c>
      <c r="K13871" t="s">
        <v>39023</v>
      </c>
      <c r="M13871" t="s">
        <v>43070</v>
      </c>
      <c r="N13871" t="s">
        <v>43166</v>
      </c>
      <c r="O13871" t="s">
        <v>43167</v>
      </c>
      <c r="P13871">
        <v>0</v>
      </c>
      <c r="Q13871">
        <v>6</v>
      </c>
      <c r="R13871" t="s">
        <v>43189</v>
      </c>
      <c r="S13871" t="s">
        <v>44254</v>
      </c>
      <c r="T13871" t="s">
        <v>44681</v>
      </c>
      <c r="U13871" t="s">
        <v>56227</v>
      </c>
      <c r="W13871" t="s">
        <v>43070</v>
      </c>
      <c r="X13871" t="s">
        <v>43190</v>
      </c>
    </row>
    <row r="13872" spans="1:24">
      <c r="A13872">
        <f>HYPERLINK("https://www.philgeps.gov.ph/GEPSNONPILOT/Tender/SplashBidNoticeAbstractUI.aspx?menuIndex=3&amp;refID=7043489&amp;Result=3","7043489")</f>
        <v>0</v>
      </c>
      <c r="B13872" t="s">
        <v>3403</v>
      </c>
      <c r="C13872" t="s">
        <v>16700</v>
      </c>
      <c r="D13872" t="s">
        <v>17478</v>
      </c>
      <c r="E13872" t="s">
        <v>29376</v>
      </c>
      <c r="F13872" t="s">
        <v>30052</v>
      </c>
      <c r="G13872" t="s">
        <v>30058</v>
      </c>
      <c r="H13872" t="s">
        <v>15498</v>
      </c>
      <c r="I13872" t="s">
        <v>30124</v>
      </c>
      <c r="J13872" t="s">
        <v>38603</v>
      </c>
      <c r="K13872" t="s">
        <v>39023</v>
      </c>
      <c r="M13872" t="s">
        <v>43070</v>
      </c>
      <c r="N13872" t="s">
        <v>43166</v>
      </c>
      <c r="O13872" t="s">
        <v>43167</v>
      </c>
      <c r="P13872">
        <v>0</v>
      </c>
      <c r="Q13872">
        <v>3</v>
      </c>
      <c r="R13872" t="s">
        <v>43189</v>
      </c>
      <c r="S13872" t="s">
        <v>44254</v>
      </c>
      <c r="T13872" t="s">
        <v>44681</v>
      </c>
      <c r="U13872" t="s">
        <v>56228</v>
      </c>
      <c r="W13872" t="s">
        <v>43070</v>
      </c>
      <c r="X13872" t="s">
        <v>43190</v>
      </c>
    </row>
    <row r="13873" spans="1:24">
      <c r="A13873">
        <f>HYPERLINK("https://www.philgeps.gov.ph/GEPSNONPILOT/Tender/SplashBidNoticeAbstractUI.aspx?menuIndex=3&amp;refID=7043732&amp;Result=3","7043732")</f>
        <v>0</v>
      </c>
      <c r="B13873" t="s">
        <v>311</v>
      </c>
      <c r="C13873" t="s">
        <v>16701</v>
      </c>
      <c r="D13873" t="s">
        <v>17429</v>
      </c>
      <c r="E13873" t="s">
        <v>29377</v>
      </c>
      <c r="F13873" t="s">
        <v>30052</v>
      </c>
      <c r="G13873" t="s">
        <v>30058</v>
      </c>
      <c r="H13873" t="s">
        <v>30067</v>
      </c>
      <c r="I13873" t="s">
        <v>3693</v>
      </c>
      <c r="J13873" t="s">
        <v>30321</v>
      </c>
      <c r="K13873" t="s">
        <v>39065</v>
      </c>
      <c r="M13873" t="s">
        <v>39607</v>
      </c>
      <c r="N13873" t="s">
        <v>43166</v>
      </c>
      <c r="O13873" t="s">
        <v>43167</v>
      </c>
      <c r="P13873">
        <v>0</v>
      </c>
      <c r="Q13873">
        <v>2</v>
      </c>
      <c r="R13873" t="s">
        <v>43189</v>
      </c>
      <c r="S13873" t="s">
        <v>44254</v>
      </c>
      <c r="T13873" t="s">
        <v>44717</v>
      </c>
      <c r="U13873" t="s">
        <v>56229</v>
      </c>
      <c r="W13873" t="s">
        <v>39607</v>
      </c>
      <c r="X13873" t="s">
        <v>43191</v>
      </c>
    </row>
    <row r="13874" spans="1:24">
      <c r="A13874">
        <f>HYPERLINK("https://www.philgeps.gov.ph/GEPSNONPILOT/Tender/SplashBidNoticeAbstractUI.aspx?menuIndex=3&amp;refID=7043483&amp;Result=3","7043483")</f>
        <v>0</v>
      </c>
      <c r="B13874" t="s">
        <v>3403</v>
      </c>
      <c r="C13874" t="s">
        <v>16702</v>
      </c>
      <c r="D13874" t="s">
        <v>17478</v>
      </c>
      <c r="E13874" t="s">
        <v>29378</v>
      </c>
      <c r="F13874" t="s">
        <v>30052</v>
      </c>
      <c r="G13874" t="s">
        <v>30058</v>
      </c>
      <c r="H13874" t="s">
        <v>15498</v>
      </c>
      <c r="I13874" t="s">
        <v>30124</v>
      </c>
      <c r="J13874" t="s">
        <v>38604</v>
      </c>
      <c r="K13874" t="s">
        <v>39023</v>
      </c>
      <c r="M13874" t="s">
        <v>43070</v>
      </c>
      <c r="N13874" t="s">
        <v>43166</v>
      </c>
      <c r="O13874" t="s">
        <v>43167</v>
      </c>
      <c r="P13874">
        <v>0</v>
      </c>
      <c r="Q13874">
        <v>4</v>
      </c>
      <c r="R13874" t="s">
        <v>43189</v>
      </c>
      <c r="S13874" t="s">
        <v>44254</v>
      </c>
      <c r="T13874" t="s">
        <v>44681</v>
      </c>
      <c r="U13874" t="s">
        <v>56230</v>
      </c>
      <c r="W13874" t="s">
        <v>43070</v>
      </c>
      <c r="X13874" t="s">
        <v>43190</v>
      </c>
    </row>
    <row r="13875" spans="1:24">
      <c r="A13875">
        <f>HYPERLINK("https://www.philgeps.gov.ph/GEPSNONPILOT/Tender/SplashBidNoticeAbstractUI.aspx?menuIndex=3&amp;refID=7043480&amp;Result=3","7043480")</f>
        <v>0</v>
      </c>
      <c r="B13875" t="s">
        <v>3403</v>
      </c>
      <c r="C13875" t="s">
        <v>16703</v>
      </c>
      <c r="D13875" t="s">
        <v>17478</v>
      </c>
      <c r="E13875" t="s">
        <v>29379</v>
      </c>
      <c r="F13875" t="s">
        <v>30052</v>
      </c>
      <c r="G13875" t="s">
        <v>30058</v>
      </c>
      <c r="H13875" t="s">
        <v>15498</v>
      </c>
      <c r="I13875" t="s">
        <v>30124</v>
      </c>
      <c r="J13875" t="s">
        <v>38605</v>
      </c>
      <c r="K13875" t="s">
        <v>39023</v>
      </c>
      <c r="M13875" t="s">
        <v>43070</v>
      </c>
      <c r="N13875" t="s">
        <v>43166</v>
      </c>
      <c r="O13875" t="s">
        <v>43167</v>
      </c>
      <c r="Q13875">
        <v>0</v>
      </c>
      <c r="R13875" t="s">
        <v>43189</v>
      </c>
      <c r="S13875" t="s">
        <v>44261</v>
      </c>
      <c r="T13875" t="s">
        <v>44681</v>
      </c>
      <c r="U13875" t="s">
        <v>56231</v>
      </c>
      <c r="W13875" t="s">
        <v>43070</v>
      </c>
      <c r="X13875" t="s">
        <v>43190</v>
      </c>
    </row>
    <row r="13876" spans="1:24">
      <c r="A13876">
        <f>HYPERLINK("https://www.philgeps.gov.ph/GEPSNONPILOT/Tender/SplashBidNoticeAbstractUI.aspx?menuIndex=3&amp;refID=7043513&amp;Result=3","7043513")</f>
        <v>0</v>
      </c>
      <c r="B13876" t="s">
        <v>3403</v>
      </c>
      <c r="C13876" t="s">
        <v>16704</v>
      </c>
      <c r="D13876" t="s">
        <v>17478</v>
      </c>
      <c r="E13876" t="s">
        <v>29380</v>
      </c>
      <c r="F13876" t="s">
        <v>30052</v>
      </c>
      <c r="G13876" t="s">
        <v>30058</v>
      </c>
      <c r="H13876" t="s">
        <v>15498</v>
      </c>
      <c r="I13876" t="s">
        <v>30124</v>
      </c>
      <c r="J13876" t="s">
        <v>31602</v>
      </c>
      <c r="K13876" t="s">
        <v>39023</v>
      </c>
      <c r="M13876" t="s">
        <v>43070</v>
      </c>
      <c r="N13876" t="s">
        <v>43166</v>
      </c>
      <c r="O13876" t="s">
        <v>43167</v>
      </c>
      <c r="Q13876">
        <v>1</v>
      </c>
      <c r="R13876" t="s">
        <v>43189</v>
      </c>
      <c r="S13876" t="s">
        <v>44262</v>
      </c>
      <c r="T13876" t="s">
        <v>44681</v>
      </c>
      <c r="U13876" t="s">
        <v>56232</v>
      </c>
      <c r="W13876" t="s">
        <v>43070</v>
      </c>
      <c r="X13876" t="s">
        <v>43190</v>
      </c>
    </row>
    <row r="13877" spans="1:24">
      <c r="A13877">
        <f>HYPERLINK("https://www.philgeps.gov.ph/GEPSNONPILOT/Tender/SplashBidNoticeAbstractUI.aspx?menuIndex=3&amp;refID=7043476&amp;Result=3","7043476")</f>
        <v>0</v>
      </c>
      <c r="B13877" t="s">
        <v>3403</v>
      </c>
      <c r="C13877" t="s">
        <v>16705</v>
      </c>
      <c r="D13877" t="s">
        <v>17478</v>
      </c>
      <c r="E13877" t="s">
        <v>29381</v>
      </c>
      <c r="F13877" t="s">
        <v>30052</v>
      </c>
      <c r="G13877" t="s">
        <v>30058</v>
      </c>
      <c r="H13877" t="s">
        <v>15498</v>
      </c>
      <c r="I13877" t="s">
        <v>30124</v>
      </c>
      <c r="J13877" t="s">
        <v>30256</v>
      </c>
      <c r="K13877" t="s">
        <v>39023</v>
      </c>
      <c r="M13877" t="s">
        <v>43070</v>
      </c>
      <c r="N13877" t="s">
        <v>43166</v>
      </c>
      <c r="O13877" t="s">
        <v>43167</v>
      </c>
      <c r="P13877">
        <v>0</v>
      </c>
      <c r="Q13877">
        <v>0</v>
      </c>
      <c r="R13877" t="s">
        <v>43189</v>
      </c>
      <c r="S13877" t="s">
        <v>44254</v>
      </c>
      <c r="T13877" t="s">
        <v>44681</v>
      </c>
      <c r="U13877" t="s">
        <v>56233</v>
      </c>
      <c r="W13877" t="s">
        <v>43070</v>
      </c>
      <c r="X13877" t="s">
        <v>43190</v>
      </c>
    </row>
    <row r="13878" spans="1:24">
      <c r="A13878">
        <f>HYPERLINK("https://www.philgeps.gov.ph/GEPSNONPILOT/Tender/SplashBidNoticeAbstractUI.aspx?menuIndex=3&amp;refID=7043248&amp;Result=3","7043248")</f>
        <v>0</v>
      </c>
      <c r="B13878" t="s">
        <v>3402</v>
      </c>
      <c r="C13878" t="s">
        <v>16706</v>
      </c>
      <c r="D13878" t="s">
        <v>17443</v>
      </c>
      <c r="E13878" t="s">
        <v>29382</v>
      </c>
      <c r="F13878" t="s">
        <v>30052</v>
      </c>
      <c r="G13878" t="s">
        <v>30058</v>
      </c>
      <c r="H13878" t="s">
        <v>30067</v>
      </c>
      <c r="I13878" t="s">
        <v>3693</v>
      </c>
      <c r="J13878" t="s">
        <v>38606</v>
      </c>
      <c r="K13878" t="s">
        <v>39046</v>
      </c>
      <c r="M13878" t="s">
        <v>43069</v>
      </c>
      <c r="N13878" t="s">
        <v>43166</v>
      </c>
      <c r="O13878" t="s">
        <v>43167</v>
      </c>
      <c r="P13878">
        <v>0</v>
      </c>
      <c r="Q13878">
        <v>0</v>
      </c>
      <c r="R13878" t="s">
        <v>43189</v>
      </c>
      <c r="S13878" t="s">
        <v>44254</v>
      </c>
      <c r="T13878" t="s">
        <v>44717</v>
      </c>
      <c r="U13878" t="s">
        <v>56234</v>
      </c>
      <c r="W13878" t="s">
        <v>43069</v>
      </c>
      <c r="X13878" t="s">
        <v>43192</v>
      </c>
    </row>
    <row r="13879" spans="1:24">
      <c r="A13879">
        <f>HYPERLINK("https://www.philgeps.gov.ph/GEPSNONPILOT/Tender/SplashBidNoticeAbstractUI.aspx?menuIndex=3&amp;refID=7043245&amp;Result=3","7043245")</f>
        <v>0</v>
      </c>
      <c r="B13879" t="s">
        <v>3402</v>
      </c>
      <c r="C13879" t="s">
        <v>16707</v>
      </c>
      <c r="D13879" t="s">
        <v>17443</v>
      </c>
      <c r="E13879" t="s">
        <v>29383</v>
      </c>
      <c r="F13879" t="s">
        <v>30052</v>
      </c>
      <c r="G13879" t="s">
        <v>30058</v>
      </c>
      <c r="H13879" t="s">
        <v>30067</v>
      </c>
      <c r="I13879" t="s">
        <v>3693</v>
      </c>
      <c r="J13879" t="s">
        <v>38607</v>
      </c>
      <c r="K13879" t="s">
        <v>39046</v>
      </c>
      <c r="M13879" t="s">
        <v>43069</v>
      </c>
      <c r="N13879" t="s">
        <v>43166</v>
      </c>
      <c r="O13879" t="s">
        <v>43167</v>
      </c>
      <c r="P13879">
        <v>0</v>
      </c>
      <c r="Q13879">
        <v>0</v>
      </c>
      <c r="R13879" t="s">
        <v>43189</v>
      </c>
      <c r="S13879" t="s">
        <v>44254</v>
      </c>
      <c r="T13879" t="s">
        <v>44717</v>
      </c>
      <c r="U13879" t="s">
        <v>56235</v>
      </c>
      <c r="W13879" t="s">
        <v>43069</v>
      </c>
      <c r="X13879" t="s">
        <v>43192</v>
      </c>
    </row>
    <row r="13880" spans="1:24">
      <c r="A13880">
        <f>HYPERLINK("https://www.philgeps.gov.ph/GEPSNONPILOT/Tender/SplashBidNoticeAbstractUI.aspx?menuIndex=3&amp;refID=7043779&amp;Result=3","7043779")</f>
        <v>0</v>
      </c>
      <c r="B13880" t="s">
        <v>3403</v>
      </c>
      <c r="C13880" t="s">
        <v>16708</v>
      </c>
      <c r="D13880" t="s">
        <v>17478</v>
      </c>
      <c r="E13880" t="s">
        <v>29384</v>
      </c>
      <c r="F13880" t="s">
        <v>30052</v>
      </c>
      <c r="G13880" t="s">
        <v>30058</v>
      </c>
      <c r="H13880" t="s">
        <v>15498</v>
      </c>
      <c r="I13880" t="s">
        <v>30124</v>
      </c>
      <c r="J13880" t="s">
        <v>38608</v>
      </c>
      <c r="K13880" t="s">
        <v>39023</v>
      </c>
      <c r="M13880" t="s">
        <v>43070</v>
      </c>
      <c r="N13880" t="s">
        <v>43166</v>
      </c>
      <c r="O13880" t="s">
        <v>43167</v>
      </c>
      <c r="Q13880">
        <v>0</v>
      </c>
      <c r="R13880" t="s">
        <v>43189</v>
      </c>
      <c r="S13880" t="s">
        <v>44263</v>
      </c>
      <c r="T13880" t="s">
        <v>44681</v>
      </c>
      <c r="U13880" t="s">
        <v>56230</v>
      </c>
      <c r="W13880" t="s">
        <v>43070</v>
      </c>
      <c r="X13880" t="s">
        <v>43191</v>
      </c>
    </row>
    <row r="13881" spans="1:24">
      <c r="A13881">
        <f>HYPERLINK("https://www.philgeps.gov.ph/GEPSNONPILOT/Tender/SplashBidNoticeAbstractUI.aspx?menuIndex=3&amp;refID=7043842&amp;Result=3","7043842")</f>
        <v>0</v>
      </c>
      <c r="B13881" t="s">
        <v>311</v>
      </c>
      <c r="C13881" t="s">
        <v>16709</v>
      </c>
      <c r="D13881" t="s">
        <v>17429</v>
      </c>
      <c r="E13881" t="s">
        <v>29385</v>
      </c>
      <c r="F13881" t="s">
        <v>30052</v>
      </c>
      <c r="G13881" t="s">
        <v>30058</v>
      </c>
      <c r="H13881" t="s">
        <v>30067</v>
      </c>
      <c r="I13881" t="s">
        <v>3693</v>
      </c>
      <c r="J13881" t="s">
        <v>30321</v>
      </c>
      <c r="K13881" t="s">
        <v>39046</v>
      </c>
      <c r="M13881" t="s">
        <v>39607</v>
      </c>
      <c r="N13881" t="s">
        <v>43166</v>
      </c>
      <c r="O13881" t="s">
        <v>43167</v>
      </c>
      <c r="P13881">
        <v>0</v>
      </c>
      <c r="Q13881">
        <v>2</v>
      </c>
      <c r="R13881" t="s">
        <v>43189</v>
      </c>
      <c r="S13881" t="s">
        <v>44254</v>
      </c>
      <c r="T13881" t="s">
        <v>44717</v>
      </c>
      <c r="U13881" t="s">
        <v>56236</v>
      </c>
      <c r="W13881" t="s">
        <v>39607</v>
      </c>
      <c r="X13881" t="s">
        <v>43191</v>
      </c>
    </row>
    <row r="13882" spans="1:24">
      <c r="A13882">
        <f>HYPERLINK("https://www.philgeps.gov.ph/GEPSNONPILOT/Tender/SplashBidNoticeAbstractUI.aspx?menuIndex=3&amp;refID=7043487&amp;Result=3","7043487")</f>
        <v>0</v>
      </c>
      <c r="B13882" t="s">
        <v>3403</v>
      </c>
      <c r="C13882" t="s">
        <v>16710</v>
      </c>
      <c r="D13882" t="s">
        <v>17478</v>
      </c>
      <c r="E13882" t="s">
        <v>29386</v>
      </c>
      <c r="F13882" t="s">
        <v>30052</v>
      </c>
      <c r="G13882" t="s">
        <v>30058</v>
      </c>
      <c r="H13882" t="s">
        <v>15498</v>
      </c>
      <c r="I13882" t="s">
        <v>30124</v>
      </c>
      <c r="J13882" t="s">
        <v>38609</v>
      </c>
      <c r="K13882" t="s">
        <v>39023</v>
      </c>
      <c r="M13882" t="s">
        <v>43070</v>
      </c>
      <c r="N13882" t="s">
        <v>43166</v>
      </c>
      <c r="O13882" t="s">
        <v>43167</v>
      </c>
      <c r="P13882">
        <v>0</v>
      </c>
      <c r="Q13882">
        <v>4</v>
      </c>
      <c r="R13882" t="s">
        <v>43189</v>
      </c>
      <c r="S13882" t="s">
        <v>44254</v>
      </c>
      <c r="T13882" t="s">
        <v>44681</v>
      </c>
      <c r="U13882" t="s">
        <v>56237</v>
      </c>
      <c r="W13882" t="s">
        <v>43070</v>
      </c>
      <c r="X13882" t="s">
        <v>43190</v>
      </c>
    </row>
    <row r="13883" spans="1:24">
      <c r="A13883">
        <f>HYPERLINK("https://www.philgeps.gov.ph/GEPSNONPILOT/Tender/SplashBidNoticeAbstractUI.aspx?menuIndex=3&amp;refID=7042684&amp;Result=3","7042684")</f>
        <v>0</v>
      </c>
      <c r="B13883" t="s">
        <v>105</v>
      </c>
      <c r="C13883" t="s">
        <v>16711</v>
      </c>
      <c r="E13883" t="s">
        <v>29387</v>
      </c>
      <c r="F13883" t="s">
        <v>30052</v>
      </c>
      <c r="G13883" t="s">
        <v>30058</v>
      </c>
      <c r="H13883" t="s">
        <v>15498</v>
      </c>
      <c r="I13883" t="s">
        <v>30130</v>
      </c>
      <c r="J13883" t="s">
        <v>38610</v>
      </c>
      <c r="K13883" t="s">
        <v>39025</v>
      </c>
      <c r="M13883" t="s">
        <v>39394</v>
      </c>
      <c r="N13883" t="s">
        <v>43166</v>
      </c>
      <c r="O13883" t="s">
        <v>43167</v>
      </c>
      <c r="Q13883">
        <v>63</v>
      </c>
      <c r="R13883" t="s">
        <v>43189</v>
      </c>
      <c r="S13883" t="s">
        <v>44264</v>
      </c>
      <c r="T13883" t="s">
        <v>44828</v>
      </c>
      <c r="U13883" t="s">
        <v>56238</v>
      </c>
      <c r="W13883" t="s">
        <v>39394</v>
      </c>
      <c r="X13883" t="s">
        <v>43192</v>
      </c>
    </row>
    <row r="13884" spans="1:24">
      <c r="A13884">
        <f>HYPERLINK("https://www.philgeps.gov.ph/GEPSNONPILOT/Tender/SplashBidNoticeAbstractUI.aspx?menuIndex=3&amp;refID=7042892&amp;Result=3","7042892")</f>
        <v>0</v>
      </c>
      <c r="B13884" t="s">
        <v>730</v>
      </c>
      <c r="C13884" t="s">
        <v>16687</v>
      </c>
      <c r="E13884" t="s">
        <v>29388</v>
      </c>
      <c r="F13884" t="s">
        <v>30052</v>
      </c>
      <c r="G13884" t="s">
        <v>30058</v>
      </c>
      <c r="H13884" t="s">
        <v>15498</v>
      </c>
      <c r="I13884" t="s">
        <v>9238</v>
      </c>
      <c r="J13884" t="s">
        <v>30671</v>
      </c>
      <c r="K13884" t="s">
        <v>39023</v>
      </c>
      <c r="M13884" t="s">
        <v>42816</v>
      </c>
      <c r="N13884" t="s">
        <v>43166</v>
      </c>
      <c r="O13884" t="s">
        <v>43167</v>
      </c>
      <c r="P13884">
        <v>0</v>
      </c>
      <c r="Q13884">
        <v>47</v>
      </c>
      <c r="R13884" t="s">
        <v>43189</v>
      </c>
      <c r="S13884" t="s">
        <v>44254</v>
      </c>
      <c r="T13884" t="s">
        <v>44842</v>
      </c>
      <c r="U13884" t="s">
        <v>56207</v>
      </c>
      <c r="W13884" t="s">
        <v>42816</v>
      </c>
      <c r="X13884" t="s">
        <v>43192</v>
      </c>
    </row>
    <row r="13885" spans="1:24">
      <c r="A13885">
        <f>HYPERLINK("https://www.philgeps.gov.ph/GEPSNONPILOT/Tender/SplashBidNoticeAbstractUI.aspx?menuIndex=3&amp;refID=7043844&amp;Result=3","7043844")</f>
        <v>0</v>
      </c>
      <c r="B13885" t="s">
        <v>311</v>
      </c>
      <c r="C13885" t="s">
        <v>16712</v>
      </c>
      <c r="D13885" t="s">
        <v>17429</v>
      </c>
      <c r="E13885" t="s">
        <v>29389</v>
      </c>
      <c r="F13885" t="s">
        <v>30052</v>
      </c>
      <c r="G13885" t="s">
        <v>30058</v>
      </c>
      <c r="H13885" t="s">
        <v>30067</v>
      </c>
      <c r="I13885" t="s">
        <v>3693</v>
      </c>
      <c r="J13885" t="s">
        <v>30321</v>
      </c>
      <c r="K13885" t="s">
        <v>39023</v>
      </c>
      <c r="M13885" t="s">
        <v>39607</v>
      </c>
      <c r="N13885" t="s">
        <v>43166</v>
      </c>
      <c r="O13885" t="s">
        <v>43167</v>
      </c>
      <c r="P13885">
        <v>0</v>
      </c>
      <c r="Q13885">
        <v>2</v>
      </c>
      <c r="R13885" t="s">
        <v>43189</v>
      </c>
      <c r="S13885" t="s">
        <v>44254</v>
      </c>
      <c r="T13885" t="s">
        <v>44717</v>
      </c>
      <c r="U13885" t="s">
        <v>56239</v>
      </c>
      <c r="W13885" t="s">
        <v>39607</v>
      </c>
      <c r="X13885" t="s">
        <v>43191</v>
      </c>
    </row>
    <row r="13886" spans="1:24">
      <c r="A13886">
        <f>HYPERLINK("https://www.philgeps.gov.ph/GEPSNONPILOT/Tender/SplashBidNoticeAbstractUI.aspx?menuIndex=3&amp;refID=7043853&amp;Result=3","7043853")</f>
        <v>0</v>
      </c>
      <c r="B13886" t="s">
        <v>390</v>
      </c>
      <c r="C13886" t="s">
        <v>16713</v>
      </c>
      <c r="D13886" t="s">
        <v>17415</v>
      </c>
      <c r="E13886" t="s">
        <v>29390</v>
      </c>
      <c r="F13886" t="s">
        <v>30052</v>
      </c>
      <c r="G13886" t="s">
        <v>30058</v>
      </c>
      <c r="H13886" t="s">
        <v>15498</v>
      </c>
      <c r="I13886" t="s">
        <v>30084</v>
      </c>
      <c r="J13886" t="s">
        <v>38611</v>
      </c>
      <c r="K13886" t="s">
        <v>39067</v>
      </c>
      <c r="M13886" t="s">
        <v>41584</v>
      </c>
      <c r="N13886" t="s">
        <v>43166</v>
      </c>
      <c r="O13886" t="s">
        <v>43167</v>
      </c>
      <c r="Q13886">
        <v>6</v>
      </c>
      <c r="R13886" t="s">
        <v>43189</v>
      </c>
      <c r="S13886" t="s">
        <v>44265</v>
      </c>
      <c r="T13886" t="s">
        <v>44718</v>
      </c>
      <c r="U13886" t="s">
        <v>50605</v>
      </c>
      <c r="V13886" t="s">
        <v>58485</v>
      </c>
      <c r="W13886" t="s">
        <v>41584</v>
      </c>
      <c r="X13886" t="s">
        <v>43191</v>
      </c>
    </row>
    <row r="13887" spans="1:24">
      <c r="A13887">
        <f>HYPERLINK("https://www.philgeps.gov.ph/GEPSNONPILOT/Tender/SplashBidNoticeAbstractUI.aspx?menuIndex=3&amp;refID=7043839&amp;Result=3","7043839")</f>
        <v>0</v>
      </c>
      <c r="B13887" t="s">
        <v>3402</v>
      </c>
      <c r="C13887" t="s">
        <v>16714</v>
      </c>
      <c r="D13887" t="s">
        <v>17443</v>
      </c>
      <c r="E13887" t="s">
        <v>29391</v>
      </c>
      <c r="F13887" t="s">
        <v>30052</v>
      </c>
      <c r="G13887" t="s">
        <v>30058</v>
      </c>
      <c r="H13887" t="s">
        <v>30067</v>
      </c>
      <c r="I13887" t="s">
        <v>3693</v>
      </c>
      <c r="J13887" t="s">
        <v>38612</v>
      </c>
      <c r="K13887" t="s">
        <v>39019</v>
      </c>
      <c r="M13887" t="s">
        <v>43069</v>
      </c>
      <c r="N13887" t="s">
        <v>43166</v>
      </c>
      <c r="O13887" t="s">
        <v>43167</v>
      </c>
      <c r="P13887">
        <v>0</v>
      </c>
      <c r="Q13887">
        <v>0</v>
      </c>
      <c r="R13887" t="s">
        <v>43189</v>
      </c>
      <c r="S13887" t="s">
        <v>44254</v>
      </c>
      <c r="T13887" t="s">
        <v>44717</v>
      </c>
      <c r="U13887" t="s">
        <v>56240</v>
      </c>
      <c r="W13887" t="s">
        <v>43069</v>
      </c>
      <c r="X13887" t="s">
        <v>43191</v>
      </c>
    </row>
    <row r="13888" spans="1:24">
      <c r="A13888">
        <f>HYPERLINK("https://www.philgeps.gov.ph/GEPSNONPILOT/Tender/SplashBidNoticeAbstractUI.aspx?menuIndex=3&amp;refID=7043836&amp;Result=3","7043836")</f>
        <v>0</v>
      </c>
      <c r="B13888" t="s">
        <v>311</v>
      </c>
      <c r="C13888" t="s">
        <v>16715</v>
      </c>
      <c r="D13888" t="s">
        <v>17429</v>
      </c>
      <c r="E13888" t="s">
        <v>29392</v>
      </c>
      <c r="F13888" t="s">
        <v>30052</v>
      </c>
      <c r="G13888" t="s">
        <v>30058</v>
      </c>
      <c r="H13888" t="s">
        <v>30067</v>
      </c>
      <c r="I13888" t="s">
        <v>3693</v>
      </c>
      <c r="J13888" t="s">
        <v>30321</v>
      </c>
      <c r="K13888" t="s">
        <v>39065</v>
      </c>
      <c r="M13888" t="s">
        <v>39607</v>
      </c>
      <c r="N13888" t="s">
        <v>43166</v>
      </c>
      <c r="O13888" t="s">
        <v>43167</v>
      </c>
      <c r="P13888">
        <v>0</v>
      </c>
      <c r="Q13888">
        <v>2</v>
      </c>
      <c r="R13888" t="s">
        <v>43189</v>
      </c>
      <c r="S13888" t="s">
        <v>44254</v>
      </c>
      <c r="T13888" t="s">
        <v>44717</v>
      </c>
      <c r="U13888" t="s">
        <v>56241</v>
      </c>
      <c r="W13888" t="s">
        <v>39607</v>
      </c>
      <c r="X13888" t="s">
        <v>43191</v>
      </c>
    </row>
    <row r="13889" spans="1:24">
      <c r="A13889">
        <f>HYPERLINK("https://www.philgeps.gov.ph/GEPSNONPILOT/Tender/SplashBidNoticeAbstractUI.aspx?menuIndex=3&amp;refID=7043255&amp;Result=3","7043255")</f>
        <v>0</v>
      </c>
      <c r="B13889" t="s">
        <v>3402</v>
      </c>
      <c r="C13889" t="s">
        <v>16716</v>
      </c>
      <c r="D13889" t="s">
        <v>17443</v>
      </c>
      <c r="E13889" t="s">
        <v>29393</v>
      </c>
      <c r="F13889" t="s">
        <v>30052</v>
      </c>
      <c r="G13889" t="s">
        <v>30058</v>
      </c>
      <c r="H13889" t="s">
        <v>30067</v>
      </c>
      <c r="I13889" t="s">
        <v>3693</v>
      </c>
      <c r="J13889" t="s">
        <v>38130</v>
      </c>
      <c r="K13889" t="s">
        <v>39046</v>
      </c>
      <c r="M13889" t="s">
        <v>43069</v>
      </c>
      <c r="N13889" t="s">
        <v>43166</v>
      </c>
      <c r="O13889" t="s">
        <v>43167</v>
      </c>
      <c r="P13889">
        <v>0</v>
      </c>
      <c r="Q13889">
        <v>0</v>
      </c>
      <c r="R13889" t="s">
        <v>43189</v>
      </c>
      <c r="S13889" t="s">
        <v>44254</v>
      </c>
      <c r="T13889" t="s">
        <v>44717</v>
      </c>
      <c r="U13889" t="s">
        <v>56242</v>
      </c>
      <c r="W13889" t="s">
        <v>43069</v>
      </c>
      <c r="X13889" t="s">
        <v>43192</v>
      </c>
    </row>
    <row r="13890" spans="1:24">
      <c r="A13890">
        <f>HYPERLINK("https://www.philgeps.gov.ph/GEPSNONPILOT/Tender/SplashBidNoticeAbstractUI.aspx?menuIndex=3&amp;refID=7043835&amp;Result=3","7043835")</f>
        <v>0</v>
      </c>
      <c r="B13890" t="s">
        <v>3402</v>
      </c>
      <c r="C13890" t="s">
        <v>16717</v>
      </c>
      <c r="D13890" t="s">
        <v>17443</v>
      </c>
      <c r="E13890" t="s">
        <v>29394</v>
      </c>
      <c r="F13890" t="s">
        <v>30052</v>
      </c>
      <c r="G13890" t="s">
        <v>30058</v>
      </c>
      <c r="H13890" t="s">
        <v>30067</v>
      </c>
      <c r="I13890" t="s">
        <v>3693</v>
      </c>
      <c r="J13890" t="s">
        <v>38613</v>
      </c>
      <c r="K13890" t="s">
        <v>39026</v>
      </c>
      <c r="M13890" t="s">
        <v>43069</v>
      </c>
      <c r="N13890" t="s">
        <v>43166</v>
      </c>
      <c r="O13890" t="s">
        <v>43167</v>
      </c>
      <c r="P13890">
        <v>0</v>
      </c>
      <c r="Q13890">
        <v>1</v>
      </c>
      <c r="R13890" t="s">
        <v>43189</v>
      </c>
      <c r="S13890" t="s">
        <v>44254</v>
      </c>
      <c r="T13890" t="s">
        <v>44717</v>
      </c>
      <c r="U13890" t="s">
        <v>56243</v>
      </c>
      <c r="W13890" t="s">
        <v>43069</v>
      </c>
      <c r="X13890" t="s">
        <v>43191</v>
      </c>
    </row>
    <row r="13891" spans="1:24">
      <c r="A13891">
        <f>HYPERLINK("https://www.philgeps.gov.ph/GEPSNONPILOT/Tender/SplashBidNoticeAbstractUI.aspx?menuIndex=3&amp;refID=7043833&amp;Result=3","7043833")</f>
        <v>0</v>
      </c>
      <c r="B13891" t="s">
        <v>3402</v>
      </c>
      <c r="C13891" t="s">
        <v>16718</v>
      </c>
      <c r="D13891" t="s">
        <v>17443</v>
      </c>
      <c r="E13891" t="s">
        <v>29395</v>
      </c>
      <c r="F13891" t="s">
        <v>30052</v>
      </c>
      <c r="G13891" t="s">
        <v>30058</v>
      </c>
      <c r="H13891" t="s">
        <v>30067</v>
      </c>
      <c r="I13891" t="s">
        <v>3693</v>
      </c>
      <c r="J13891" t="s">
        <v>38614</v>
      </c>
      <c r="K13891" t="s">
        <v>39029</v>
      </c>
      <c r="M13891" t="s">
        <v>43069</v>
      </c>
      <c r="N13891" t="s">
        <v>43166</v>
      </c>
      <c r="O13891" t="s">
        <v>43167</v>
      </c>
      <c r="P13891">
        <v>0</v>
      </c>
      <c r="Q13891">
        <v>0</v>
      </c>
      <c r="R13891" t="s">
        <v>43189</v>
      </c>
      <c r="S13891" t="s">
        <v>44254</v>
      </c>
      <c r="T13891" t="s">
        <v>44717</v>
      </c>
      <c r="U13891" t="s">
        <v>56244</v>
      </c>
      <c r="W13891" t="s">
        <v>43069</v>
      </c>
      <c r="X13891" t="s">
        <v>43191</v>
      </c>
    </row>
    <row r="13892" spans="1:24">
      <c r="A13892">
        <f>HYPERLINK("https://www.philgeps.gov.ph/GEPSNONPILOT/Tender/SplashBidNoticeAbstractUI.aspx?menuIndex=3&amp;refID=7043822&amp;Result=3","7043822")</f>
        <v>0</v>
      </c>
      <c r="B13892" t="s">
        <v>3402</v>
      </c>
      <c r="C13892" t="s">
        <v>16719</v>
      </c>
      <c r="D13892" t="s">
        <v>17443</v>
      </c>
      <c r="E13892" t="s">
        <v>29396</v>
      </c>
      <c r="F13892" t="s">
        <v>30052</v>
      </c>
      <c r="G13892" t="s">
        <v>30058</v>
      </c>
      <c r="H13892" t="s">
        <v>30067</v>
      </c>
      <c r="I13892" t="s">
        <v>3693</v>
      </c>
      <c r="J13892" t="s">
        <v>38615</v>
      </c>
      <c r="K13892" t="s">
        <v>39061</v>
      </c>
      <c r="M13892" t="s">
        <v>43069</v>
      </c>
      <c r="N13892" t="s">
        <v>43166</v>
      </c>
      <c r="O13892" t="s">
        <v>43167</v>
      </c>
      <c r="P13892">
        <v>0</v>
      </c>
      <c r="Q13892">
        <v>1</v>
      </c>
      <c r="R13892" t="s">
        <v>43189</v>
      </c>
      <c r="S13892" t="s">
        <v>44254</v>
      </c>
      <c r="T13892" t="s">
        <v>44717</v>
      </c>
      <c r="U13892" t="s">
        <v>56245</v>
      </c>
      <c r="W13892" t="s">
        <v>43069</v>
      </c>
      <c r="X13892" t="s">
        <v>43191</v>
      </c>
    </row>
    <row r="13893" spans="1:24">
      <c r="A13893">
        <f>HYPERLINK("https://www.philgeps.gov.ph/GEPSNONPILOT/Tender/SplashBidNoticeAbstractUI.aspx?menuIndex=3&amp;refID=7043511&amp;Result=3","7043511")</f>
        <v>0</v>
      </c>
      <c r="B13893" t="s">
        <v>3403</v>
      </c>
      <c r="C13893" t="s">
        <v>16720</v>
      </c>
      <c r="D13893" t="s">
        <v>17478</v>
      </c>
      <c r="E13893" t="s">
        <v>29397</v>
      </c>
      <c r="F13893" t="s">
        <v>30052</v>
      </c>
      <c r="G13893" t="s">
        <v>30058</v>
      </c>
      <c r="H13893" t="s">
        <v>15498</v>
      </c>
      <c r="I13893" t="s">
        <v>30124</v>
      </c>
      <c r="J13893" t="s">
        <v>38616</v>
      </c>
      <c r="K13893" t="s">
        <v>39023</v>
      </c>
      <c r="M13893" t="s">
        <v>43070</v>
      </c>
      <c r="N13893" t="s">
        <v>43166</v>
      </c>
      <c r="O13893" t="s">
        <v>43167</v>
      </c>
      <c r="Q13893">
        <v>1</v>
      </c>
      <c r="R13893" t="s">
        <v>43189</v>
      </c>
      <c r="S13893" t="s">
        <v>44266</v>
      </c>
      <c r="T13893" t="s">
        <v>44681</v>
      </c>
      <c r="U13893" t="s">
        <v>56246</v>
      </c>
      <c r="W13893" t="s">
        <v>43070</v>
      </c>
      <c r="X13893" t="s">
        <v>43190</v>
      </c>
    </row>
    <row r="13894" spans="1:24">
      <c r="A13894">
        <f>HYPERLINK("https://www.philgeps.gov.ph/GEPSNONPILOT/Tender/SplashBidNoticeAbstractUI.aspx?menuIndex=3&amp;refID=7043788&amp;Result=3","7043788")</f>
        <v>0</v>
      </c>
      <c r="B13894" t="s">
        <v>3403</v>
      </c>
      <c r="C13894" t="s">
        <v>16721</v>
      </c>
      <c r="D13894" t="s">
        <v>17489</v>
      </c>
      <c r="E13894" t="s">
        <v>29398</v>
      </c>
      <c r="F13894" t="s">
        <v>30052</v>
      </c>
      <c r="G13894" t="s">
        <v>30058</v>
      </c>
      <c r="H13894" t="s">
        <v>15498</v>
      </c>
      <c r="I13894" t="s">
        <v>30124</v>
      </c>
      <c r="J13894" t="s">
        <v>38617</v>
      </c>
      <c r="K13894" t="s">
        <v>39023</v>
      </c>
      <c r="M13894" t="s">
        <v>43070</v>
      </c>
      <c r="N13894" t="s">
        <v>43166</v>
      </c>
      <c r="O13894" t="s">
        <v>43167</v>
      </c>
      <c r="Q13894">
        <v>3</v>
      </c>
      <c r="R13894" t="s">
        <v>43189</v>
      </c>
      <c r="S13894" t="s">
        <v>44267</v>
      </c>
      <c r="T13894" t="s">
        <v>44681</v>
      </c>
      <c r="U13894" t="s">
        <v>56247</v>
      </c>
      <c r="W13894" t="s">
        <v>43070</v>
      </c>
      <c r="X13894" t="s">
        <v>43191</v>
      </c>
    </row>
    <row r="13895" spans="1:24">
      <c r="A13895">
        <f>HYPERLINK("https://www.philgeps.gov.ph/GEPSNONPILOT/Tender/SplashBidNoticeAbstractUI.aspx?menuIndex=3&amp;refID=7043847&amp;Result=3","7043847")</f>
        <v>0</v>
      </c>
      <c r="B13895" t="s">
        <v>390</v>
      </c>
      <c r="C13895" t="s">
        <v>16722</v>
      </c>
      <c r="D13895" t="s">
        <v>17415</v>
      </c>
      <c r="E13895" t="s">
        <v>29399</v>
      </c>
      <c r="F13895" t="s">
        <v>30052</v>
      </c>
      <c r="G13895" t="s">
        <v>30058</v>
      </c>
      <c r="H13895" t="s">
        <v>15498</v>
      </c>
      <c r="I13895" t="s">
        <v>30084</v>
      </c>
      <c r="J13895" t="s">
        <v>38618</v>
      </c>
      <c r="K13895" t="s">
        <v>39067</v>
      </c>
      <c r="M13895" t="s">
        <v>41584</v>
      </c>
      <c r="N13895" t="s">
        <v>43166</v>
      </c>
      <c r="O13895" t="s">
        <v>43167</v>
      </c>
      <c r="Q13895">
        <v>5</v>
      </c>
      <c r="R13895" t="s">
        <v>43189</v>
      </c>
      <c r="S13895" t="s">
        <v>44268</v>
      </c>
      <c r="T13895" t="s">
        <v>44737</v>
      </c>
      <c r="U13895" t="s">
        <v>50605</v>
      </c>
      <c r="V13895" t="s">
        <v>58486</v>
      </c>
      <c r="W13895" t="s">
        <v>41584</v>
      </c>
      <c r="X13895" t="s">
        <v>43191</v>
      </c>
    </row>
    <row r="13896" spans="1:24">
      <c r="A13896">
        <f>HYPERLINK("https://www.philgeps.gov.ph/GEPSNONPILOT/Tender/SplashBidNoticeAbstractUI.aspx?menuIndex=3&amp;refID=7043846&amp;Result=3","7043846")</f>
        <v>0</v>
      </c>
      <c r="B13896" t="s">
        <v>311</v>
      </c>
      <c r="C13896" t="s">
        <v>16723</v>
      </c>
      <c r="D13896" t="s">
        <v>17429</v>
      </c>
      <c r="E13896" t="s">
        <v>29400</v>
      </c>
      <c r="F13896" t="s">
        <v>30052</v>
      </c>
      <c r="G13896" t="s">
        <v>30058</v>
      </c>
      <c r="H13896" t="s">
        <v>30067</v>
      </c>
      <c r="I13896" t="s">
        <v>3693</v>
      </c>
      <c r="J13896" t="s">
        <v>31447</v>
      </c>
      <c r="K13896" t="s">
        <v>39065</v>
      </c>
      <c r="M13896" t="s">
        <v>39607</v>
      </c>
      <c r="N13896" t="s">
        <v>43166</v>
      </c>
      <c r="O13896" t="s">
        <v>43167</v>
      </c>
      <c r="P13896">
        <v>0</v>
      </c>
      <c r="Q13896">
        <v>2</v>
      </c>
      <c r="R13896" t="s">
        <v>43189</v>
      </c>
      <c r="S13896" t="s">
        <v>44254</v>
      </c>
      <c r="T13896" t="s">
        <v>44717</v>
      </c>
      <c r="U13896" t="s">
        <v>56248</v>
      </c>
      <c r="W13896" t="s">
        <v>39607</v>
      </c>
      <c r="X13896" t="s">
        <v>43191</v>
      </c>
    </row>
    <row r="13897" spans="1:24">
      <c r="A13897">
        <f>HYPERLINK("https://www.philgeps.gov.ph/GEPSNONPILOT/Tender/SplashBidNoticeAbstractUI.aspx?menuIndex=3&amp;refID=7043826&amp;Result=3","7043826")</f>
        <v>0</v>
      </c>
      <c r="B13897" t="s">
        <v>3402</v>
      </c>
      <c r="C13897" t="s">
        <v>16724</v>
      </c>
      <c r="D13897" t="s">
        <v>17443</v>
      </c>
      <c r="E13897" t="s">
        <v>29401</v>
      </c>
      <c r="F13897" t="s">
        <v>30052</v>
      </c>
      <c r="G13897" t="s">
        <v>30058</v>
      </c>
      <c r="H13897" t="s">
        <v>30067</v>
      </c>
      <c r="I13897" t="s">
        <v>3693</v>
      </c>
      <c r="J13897" t="s">
        <v>38619</v>
      </c>
      <c r="K13897" t="s">
        <v>39062</v>
      </c>
      <c r="M13897" t="s">
        <v>43069</v>
      </c>
      <c r="N13897" t="s">
        <v>43166</v>
      </c>
      <c r="O13897" t="s">
        <v>43167</v>
      </c>
      <c r="P13897">
        <v>0</v>
      </c>
      <c r="Q13897">
        <v>0</v>
      </c>
      <c r="R13897" t="s">
        <v>43189</v>
      </c>
      <c r="S13897" t="s">
        <v>44254</v>
      </c>
      <c r="T13897" t="s">
        <v>44717</v>
      </c>
      <c r="U13897" t="s">
        <v>56249</v>
      </c>
      <c r="W13897" t="s">
        <v>43069</v>
      </c>
      <c r="X13897" t="s">
        <v>43191</v>
      </c>
    </row>
    <row r="13898" spans="1:24">
      <c r="A13898">
        <f>HYPERLINK("https://www.philgeps.gov.ph/GEPSNONPILOT/Tender/SplashBidNoticeAbstractUI.aspx?menuIndex=3&amp;refID=7043832&amp;Result=3","7043832")</f>
        <v>0</v>
      </c>
      <c r="B13898" t="s">
        <v>311</v>
      </c>
      <c r="C13898" t="s">
        <v>16725</v>
      </c>
      <c r="D13898" t="s">
        <v>17429</v>
      </c>
      <c r="E13898" t="s">
        <v>29402</v>
      </c>
      <c r="F13898" t="s">
        <v>30052</v>
      </c>
      <c r="G13898" t="s">
        <v>30058</v>
      </c>
      <c r="H13898" t="s">
        <v>30067</v>
      </c>
      <c r="I13898" t="s">
        <v>3693</v>
      </c>
      <c r="J13898" t="s">
        <v>30321</v>
      </c>
      <c r="K13898" t="s">
        <v>39065</v>
      </c>
      <c r="M13898" t="s">
        <v>39607</v>
      </c>
      <c r="N13898" t="s">
        <v>43166</v>
      </c>
      <c r="O13898" t="s">
        <v>43167</v>
      </c>
      <c r="P13898">
        <v>0</v>
      </c>
      <c r="Q13898">
        <v>2</v>
      </c>
      <c r="R13898" t="s">
        <v>43189</v>
      </c>
      <c r="S13898" t="s">
        <v>44254</v>
      </c>
      <c r="T13898" t="s">
        <v>44717</v>
      </c>
      <c r="U13898" t="s">
        <v>56250</v>
      </c>
      <c r="W13898" t="s">
        <v>39607</v>
      </c>
      <c r="X13898" t="s">
        <v>43191</v>
      </c>
    </row>
    <row r="13899" spans="1:24">
      <c r="A13899">
        <f>HYPERLINK("https://www.philgeps.gov.ph/GEPSNONPILOT/Tender/SplashBidNoticeAbstractUI.aspx?menuIndex=3&amp;refID=7044182&amp;Result=3","7044182")</f>
        <v>0</v>
      </c>
      <c r="B13899" t="s">
        <v>3404</v>
      </c>
      <c r="C13899" t="s">
        <v>16726</v>
      </c>
      <c r="D13899" t="s">
        <v>17443</v>
      </c>
      <c r="E13899" t="s">
        <v>28717</v>
      </c>
      <c r="F13899" t="s">
        <v>30052</v>
      </c>
      <c r="G13899" t="s">
        <v>30058</v>
      </c>
      <c r="H13899" t="s">
        <v>30067</v>
      </c>
      <c r="I13899" t="s">
        <v>3693</v>
      </c>
      <c r="J13899" t="s">
        <v>38620</v>
      </c>
      <c r="K13899" t="s">
        <v>39093</v>
      </c>
      <c r="L13899" t="s">
        <v>3404</v>
      </c>
      <c r="M13899" t="s">
        <v>43071</v>
      </c>
      <c r="N13899" t="s">
        <v>43166</v>
      </c>
      <c r="O13899" t="s">
        <v>43167</v>
      </c>
      <c r="P13899">
        <v>0</v>
      </c>
      <c r="Q13899">
        <v>0</v>
      </c>
      <c r="R13899" t="s">
        <v>43189</v>
      </c>
      <c r="S13899" t="s">
        <v>44254</v>
      </c>
      <c r="T13899" t="s">
        <v>44844</v>
      </c>
      <c r="U13899" t="s">
        <v>56251</v>
      </c>
      <c r="V13899" t="s">
        <v>58487</v>
      </c>
      <c r="W13899" t="s">
        <v>43071</v>
      </c>
      <c r="X13899" t="s">
        <v>43285</v>
      </c>
    </row>
    <row r="13900" spans="1:24">
      <c r="A13900">
        <f>HYPERLINK("https://www.philgeps.gov.ph/GEPSNONPILOT/Tender/SplashBidNoticeAbstractUI.aspx?menuIndex=3&amp;refID=7044160&amp;Result=3","7044160")</f>
        <v>0</v>
      </c>
      <c r="B13900" t="s">
        <v>3404</v>
      </c>
      <c r="C13900" t="s">
        <v>16727</v>
      </c>
      <c r="D13900" t="s">
        <v>17443</v>
      </c>
      <c r="E13900" t="s">
        <v>29403</v>
      </c>
      <c r="F13900" t="s">
        <v>30052</v>
      </c>
      <c r="G13900" t="s">
        <v>30058</v>
      </c>
      <c r="H13900" t="s">
        <v>30067</v>
      </c>
      <c r="I13900" t="s">
        <v>3693</v>
      </c>
      <c r="J13900" t="s">
        <v>38621</v>
      </c>
      <c r="K13900" t="s">
        <v>39046</v>
      </c>
      <c r="L13900" t="s">
        <v>3404</v>
      </c>
      <c r="M13900" t="s">
        <v>43071</v>
      </c>
      <c r="N13900" t="s">
        <v>43166</v>
      </c>
      <c r="O13900" t="s">
        <v>43167</v>
      </c>
      <c r="P13900">
        <v>0</v>
      </c>
      <c r="Q13900">
        <v>0</v>
      </c>
      <c r="R13900" t="s">
        <v>43189</v>
      </c>
      <c r="S13900" t="s">
        <v>44254</v>
      </c>
      <c r="T13900" t="s">
        <v>44844</v>
      </c>
      <c r="U13900" t="s">
        <v>56252</v>
      </c>
      <c r="V13900" t="s">
        <v>58487</v>
      </c>
      <c r="W13900" t="s">
        <v>43071</v>
      </c>
      <c r="X13900" t="s">
        <v>43285</v>
      </c>
    </row>
    <row r="13901" spans="1:24">
      <c r="A13901">
        <f>HYPERLINK("https://www.philgeps.gov.ph/GEPSNONPILOT/Tender/SplashBidNoticeAbstractUI.aspx?menuIndex=3&amp;refID=7044153&amp;Result=3","7044153")</f>
        <v>0</v>
      </c>
      <c r="B13901" t="s">
        <v>964</v>
      </c>
      <c r="C13901" t="s">
        <v>16728</v>
      </c>
      <c r="D13901" t="s">
        <v>17415</v>
      </c>
      <c r="E13901" t="s">
        <v>29404</v>
      </c>
      <c r="F13901" t="s">
        <v>30052</v>
      </c>
      <c r="G13901" t="s">
        <v>30058</v>
      </c>
      <c r="H13901" t="s">
        <v>15498</v>
      </c>
      <c r="I13901" t="s">
        <v>30125</v>
      </c>
      <c r="J13901" t="s">
        <v>38622</v>
      </c>
      <c r="K13901" t="s">
        <v>39019</v>
      </c>
      <c r="M13901" t="s">
        <v>42746</v>
      </c>
      <c r="N13901" t="s">
        <v>43166</v>
      </c>
      <c r="O13901" t="s">
        <v>43167</v>
      </c>
      <c r="P13901">
        <v>0</v>
      </c>
      <c r="Q13901">
        <v>9</v>
      </c>
      <c r="R13901" t="s">
        <v>43189</v>
      </c>
      <c r="S13901" t="s">
        <v>44254</v>
      </c>
      <c r="T13901" t="s">
        <v>44705</v>
      </c>
      <c r="U13901" t="s">
        <v>56253</v>
      </c>
      <c r="W13901" t="s">
        <v>42746</v>
      </c>
      <c r="X13901" t="s">
        <v>43285</v>
      </c>
    </row>
    <row r="13902" spans="1:24">
      <c r="A13902">
        <f>HYPERLINK("https://www.philgeps.gov.ph/GEPSNONPILOT/Tender/SplashBidNoticeAbstractUI.aspx?menuIndex=3&amp;refID=7043786&amp;Result=3","7043786")</f>
        <v>0</v>
      </c>
      <c r="B13902" t="s">
        <v>3403</v>
      </c>
      <c r="C13902" t="s">
        <v>16729</v>
      </c>
      <c r="D13902" t="s">
        <v>17489</v>
      </c>
      <c r="E13902" t="s">
        <v>29405</v>
      </c>
      <c r="F13902" t="s">
        <v>30052</v>
      </c>
      <c r="G13902" t="s">
        <v>30058</v>
      </c>
      <c r="H13902" t="s">
        <v>15498</v>
      </c>
      <c r="I13902" t="s">
        <v>30124</v>
      </c>
      <c r="J13902" t="s">
        <v>38623</v>
      </c>
      <c r="K13902" t="s">
        <v>39023</v>
      </c>
      <c r="M13902" t="s">
        <v>43070</v>
      </c>
      <c r="N13902" t="s">
        <v>43166</v>
      </c>
      <c r="O13902" t="s">
        <v>43167</v>
      </c>
      <c r="Q13902">
        <v>4</v>
      </c>
      <c r="R13902" t="s">
        <v>43189</v>
      </c>
      <c r="S13902" t="s">
        <v>44269</v>
      </c>
      <c r="T13902" t="s">
        <v>44681</v>
      </c>
      <c r="U13902" t="s">
        <v>56254</v>
      </c>
      <c r="W13902" t="s">
        <v>43070</v>
      </c>
      <c r="X13902" t="s">
        <v>43191</v>
      </c>
    </row>
    <row r="13903" spans="1:24">
      <c r="A13903">
        <f>HYPERLINK("https://www.philgeps.gov.ph/GEPSNONPILOT/Tender/SplashBidNoticeAbstractUI.aspx?menuIndex=3&amp;refID=7044149&amp;Result=3","7044149")</f>
        <v>0</v>
      </c>
      <c r="B13903" t="s">
        <v>3404</v>
      </c>
      <c r="C13903" t="s">
        <v>16730</v>
      </c>
      <c r="D13903" t="s">
        <v>17443</v>
      </c>
      <c r="E13903" t="s">
        <v>29406</v>
      </c>
      <c r="F13903" t="s">
        <v>30052</v>
      </c>
      <c r="G13903" t="s">
        <v>30058</v>
      </c>
      <c r="H13903" t="s">
        <v>30067</v>
      </c>
      <c r="I13903" t="s">
        <v>3693</v>
      </c>
      <c r="J13903" t="s">
        <v>38624</v>
      </c>
      <c r="K13903" t="s">
        <v>39046</v>
      </c>
      <c r="L13903" t="s">
        <v>3404</v>
      </c>
      <c r="M13903" t="s">
        <v>43071</v>
      </c>
      <c r="N13903" t="s">
        <v>43166</v>
      </c>
      <c r="O13903" t="s">
        <v>43167</v>
      </c>
      <c r="P13903">
        <v>0</v>
      </c>
      <c r="Q13903">
        <v>0</v>
      </c>
      <c r="R13903" t="s">
        <v>43189</v>
      </c>
      <c r="S13903" t="s">
        <v>44254</v>
      </c>
      <c r="T13903" t="s">
        <v>44844</v>
      </c>
      <c r="U13903" t="s">
        <v>56255</v>
      </c>
      <c r="V13903" t="s">
        <v>58487</v>
      </c>
      <c r="W13903" t="s">
        <v>43071</v>
      </c>
      <c r="X13903" t="s">
        <v>43285</v>
      </c>
    </row>
    <row r="13904" spans="1:24">
      <c r="A13904">
        <f>HYPERLINK("https://www.philgeps.gov.ph/GEPSNONPILOT/Tender/SplashBidNoticeAbstractUI.aspx?menuIndex=3&amp;refID=7044176&amp;Result=3","7044176")</f>
        <v>0</v>
      </c>
      <c r="B13904" t="s">
        <v>3404</v>
      </c>
      <c r="C13904" t="s">
        <v>16731</v>
      </c>
      <c r="D13904" t="s">
        <v>17443</v>
      </c>
      <c r="E13904" t="s">
        <v>29407</v>
      </c>
      <c r="F13904" t="s">
        <v>30052</v>
      </c>
      <c r="G13904" t="s">
        <v>30058</v>
      </c>
      <c r="H13904" t="s">
        <v>30067</v>
      </c>
      <c r="I13904" t="s">
        <v>3693</v>
      </c>
      <c r="J13904" t="s">
        <v>38625</v>
      </c>
      <c r="K13904" t="s">
        <v>39093</v>
      </c>
      <c r="L13904" t="s">
        <v>3404</v>
      </c>
      <c r="M13904" t="s">
        <v>43071</v>
      </c>
      <c r="N13904" t="s">
        <v>43166</v>
      </c>
      <c r="O13904" t="s">
        <v>43167</v>
      </c>
      <c r="P13904">
        <v>0</v>
      </c>
      <c r="Q13904">
        <v>0</v>
      </c>
      <c r="R13904" t="s">
        <v>43189</v>
      </c>
      <c r="S13904" t="s">
        <v>44254</v>
      </c>
      <c r="T13904" t="s">
        <v>44844</v>
      </c>
      <c r="U13904" t="s">
        <v>56256</v>
      </c>
      <c r="V13904" t="s">
        <v>58487</v>
      </c>
      <c r="W13904" t="s">
        <v>43071</v>
      </c>
      <c r="X13904" t="s">
        <v>43285</v>
      </c>
    </row>
    <row r="13905" spans="1:24">
      <c r="A13905">
        <f>HYPERLINK("https://www.philgeps.gov.ph/GEPSNONPILOT/Tender/SplashBidNoticeAbstractUI.aspx?menuIndex=3&amp;refID=7043843&amp;Result=3","7043843")</f>
        <v>0</v>
      </c>
      <c r="B13905" t="s">
        <v>3402</v>
      </c>
      <c r="C13905" t="s">
        <v>16732</v>
      </c>
      <c r="D13905" t="s">
        <v>17443</v>
      </c>
      <c r="E13905" t="s">
        <v>29408</v>
      </c>
      <c r="F13905" t="s">
        <v>30052</v>
      </c>
      <c r="G13905" t="s">
        <v>30058</v>
      </c>
      <c r="H13905" t="s">
        <v>30067</v>
      </c>
      <c r="I13905" t="s">
        <v>3693</v>
      </c>
      <c r="J13905" t="s">
        <v>38626</v>
      </c>
      <c r="K13905" t="s">
        <v>39023</v>
      </c>
      <c r="M13905" t="s">
        <v>43069</v>
      </c>
      <c r="N13905" t="s">
        <v>43166</v>
      </c>
      <c r="O13905" t="s">
        <v>43167</v>
      </c>
      <c r="P13905">
        <v>0</v>
      </c>
      <c r="Q13905">
        <v>0</v>
      </c>
      <c r="R13905" t="s">
        <v>43189</v>
      </c>
      <c r="S13905" t="s">
        <v>44254</v>
      </c>
      <c r="T13905" t="s">
        <v>44717</v>
      </c>
      <c r="U13905" t="s">
        <v>56257</v>
      </c>
      <c r="W13905" t="s">
        <v>43069</v>
      </c>
      <c r="X13905" t="s">
        <v>43191</v>
      </c>
    </row>
    <row r="13906" spans="1:24">
      <c r="A13906">
        <f>HYPERLINK("https://www.philgeps.gov.ph/GEPSNONPILOT/Tender/SplashBidNoticeAbstractUI.aspx?menuIndex=3&amp;refID=7044155&amp;Result=3","7044155")</f>
        <v>0</v>
      </c>
      <c r="B13906" t="s">
        <v>3404</v>
      </c>
      <c r="C13906" t="s">
        <v>16733</v>
      </c>
      <c r="D13906" t="s">
        <v>17443</v>
      </c>
      <c r="E13906" t="s">
        <v>29409</v>
      </c>
      <c r="F13906" t="s">
        <v>30052</v>
      </c>
      <c r="G13906" t="s">
        <v>30058</v>
      </c>
      <c r="H13906" t="s">
        <v>30067</v>
      </c>
      <c r="I13906" t="s">
        <v>3693</v>
      </c>
      <c r="J13906" t="s">
        <v>38627</v>
      </c>
      <c r="K13906" t="s">
        <v>39046</v>
      </c>
      <c r="L13906" t="s">
        <v>3404</v>
      </c>
      <c r="M13906" t="s">
        <v>43071</v>
      </c>
      <c r="N13906" t="s">
        <v>43166</v>
      </c>
      <c r="O13906" t="s">
        <v>43167</v>
      </c>
      <c r="P13906">
        <v>0</v>
      </c>
      <c r="Q13906">
        <v>0</v>
      </c>
      <c r="R13906" t="s">
        <v>43189</v>
      </c>
      <c r="S13906" t="s">
        <v>44254</v>
      </c>
      <c r="T13906" t="s">
        <v>44844</v>
      </c>
      <c r="U13906" t="s">
        <v>56258</v>
      </c>
      <c r="V13906" t="s">
        <v>58487</v>
      </c>
      <c r="W13906" t="s">
        <v>43071</v>
      </c>
      <c r="X13906" t="s">
        <v>43285</v>
      </c>
    </row>
    <row r="13907" spans="1:24">
      <c r="A13907">
        <f>HYPERLINK("https://www.philgeps.gov.ph/GEPSNONPILOT/Tender/SplashBidNoticeAbstractUI.aspx?menuIndex=3&amp;refID=7044129&amp;Result=3","7044129")</f>
        <v>0</v>
      </c>
      <c r="B13907" t="s">
        <v>964</v>
      </c>
      <c r="C13907" t="s">
        <v>16734</v>
      </c>
      <c r="D13907" t="s">
        <v>17415</v>
      </c>
      <c r="E13907" t="s">
        <v>29410</v>
      </c>
      <c r="F13907" t="s">
        <v>30052</v>
      </c>
      <c r="G13907" t="s">
        <v>30058</v>
      </c>
      <c r="H13907" t="s">
        <v>15498</v>
      </c>
      <c r="I13907" t="s">
        <v>30100</v>
      </c>
      <c r="J13907" t="s">
        <v>38628</v>
      </c>
      <c r="K13907" t="s">
        <v>39019</v>
      </c>
      <c r="M13907" t="s">
        <v>42746</v>
      </c>
      <c r="N13907" t="s">
        <v>43166</v>
      </c>
      <c r="O13907" t="s">
        <v>43167</v>
      </c>
      <c r="P13907">
        <v>0</v>
      </c>
      <c r="Q13907">
        <v>4</v>
      </c>
      <c r="R13907" t="s">
        <v>43189</v>
      </c>
      <c r="S13907" t="s">
        <v>44254</v>
      </c>
      <c r="T13907" t="s">
        <v>44705</v>
      </c>
      <c r="U13907" t="s">
        <v>56259</v>
      </c>
      <c r="W13907" t="s">
        <v>42746</v>
      </c>
      <c r="X13907" t="s">
        <v>43285</v>
      </c>
    </row>
    <row r="13908" spans="1:24">
      <c r="A13908">
        <f>HYPERLINK("https://www.philgeps.gov.ph/GEPSNONPILOT/Tender/SplashBidNoticeAbstractUI.aspx?menuIndex=3&amp;refID=7044137&amp;Result=3","7044137")</f>
        <v>0</v>
      </c>
      <c r="B13908" t="s">
        <v>964</v>
      </c>
      <c r="C13908" t="s">
        <v>16735</v>
      </c>
      <c r="D13908" t="s">
        <v>17415</v>
      </c>
      <c r="E13908" t="s">
        <v>29411</v>
      </c>
      <c r="F13908" t="s">
        <v>30052</v>
      </c>
      <c r="G13908" t="s">
        <v>30058</v>
      </c>
      <c r="H13908" t="s">
        <v>15498</v>
      </c>
      <c r="I13908" t="s">
        <v>30130</v>
      </c>
      <c r="J13908" t="s">
        <v>31060</v>
      </c>
      <c r="K13908" t="s">
        <v>39023</v>
      </c>
      <c r="M13908" t="s">
        <v>42746</v>
      </c>
      <c r="N13908" t="s">
        <v>43166</v>
      </c>
      <c r="O13908" t="s">
        <v>43167</v>
      </c>
      <c r="P13908">
        <v>0</v>
      </c>
      <c r="Q13908">
        <v>24</v>
      </c>
      <c r="R13908" t="s">
        <v>43189</v>
      </c>
      <c r="S13908" t="s">
        <v>44254</v>
      </c>
      <c r="T13908" t="s">
        <v>44705</v>
      </c>
      <c r="U13908" t="s">
        <v>54744</v>
      </c>
      <c r="W13908" t="s">
        <v>42746</v>
      </c>
      <c r="X13908" t="s">
        <v>43285</v>
      </c>
    </row>
    <row r="13909" spans="1:24">
      <c r="A13909">
        <f>HYPERLINK("https://www.philgeps.gov.ph/GEPSNONPILOT/Tender/SplashBidNoticeAbstractUI.aspx?menuIndex=3&amp;refID=7044117&amp;Result=3","7044117")</f>
        <v>0</v>
      </c>
      <c r="B13909" t="s">
        <v>964</v>
      </c>
      <c r="C13909" t="s">
        <v>16736</v>
      </c>
      <c r="D13909" t="s">
        <v>17415</v>
      </c>
      <c r="E13909" t="s">
        <v>29412</v>
      </c>
      <c r="F13909" t="s">
        <v>30052</v>
      </c>
      <c r="G13909" t="s">
        <v>30058</v>
      </c>
      <c r="H13909" t="s">
        <v>15498</v>
      </c>
      <c r="I13909" t="s">
        <v>4650</v>
      </c>
      <c r="J13909" t="s">
        <v>37593</v>
      </c>
      <c r="K13909" t="s">
        <v>39031</v>
      </c>
      <c r="M13909" t="s">
        <v>42746</v>
      </c>
      <c r="N13909" t="s">
        <v>43166</v>
      </c>
      <c r="O13909" t="s">
        <v>43167</v>
      </c>
      <c r="P13909">
        <v>0</v>
      </c>
      <c r="Q13909">
        <v>15</v>
      </c>
      <c r="R13909" t="s">
        <v>43189</v>
      </c>
      <c r="S13909" t="s">
        <v>44254</v>
      </c>
      <c r="T13909" t="s">
        <v>44705</v>
      </c>
      <c r="U13909" t="s">
        <v>54585</v>
      </c>
      <c r="W13909" t="s">
        <v>42746</v>
      </c>
      <c r="X13909" t="s">
        <v>43285</v>
      </c>
    </row>
    <row r="13910" spans="1:24">
      <c r="A13910">
        <f>HYPERLINK("https://www.philgeps.gov.ph/GEPSNONPILOT/Tender/SplashBidNoticeAbstractUI.aspx?menuIndex=3&amp;refID=7044142&amp;Result=3","7044142")</f>
        <v>0</v>
      </c>
      <c r="B13910" t="s">
        <v>3404</v>
      </c>
      <c r="C13910" t="s">
        <v>16737</v>
      </c>
      <c r="D13910" t="s">
        <v>17443</v>
      </c>
      <c r="E13910" t="s">
        <v>21497</v>
      </c>
      <c r="F13910" t="s">
        <v>30052</v>
      </c>
      <c r="G13910" t="s">
        <v>30058</v>
      </c>
      <c r="H13910" t="s">
        <v>30067</v>
      </c>
      <c r="I13910" t="s">
        <v>3693</v>
      </c>
      <c r="J13910" t="s">
        <v>38629</v>
      </c>
      <c r="K13910" t="s">
        <v>39147</v>
      </c>
      <c r="L13910" t="s">
        <v>3404</v>
      </c>
      <c r="M13910" t="s">
        <v>43071</v>
      </c>
      <c r="N13910" t="s">
        <v>43166</v>
      </c>
      <c r="O13910" t="s">
        <v>43167</v>
      </c>
      <c r="P13910">
        <v>0</v>
      </c>
      <c r="Q13910">
        <v>0</v>
      </c>
      <c r="R13910" t="s">
        <v>43189</v>
      </c>
      <c r="S13910" t="s">
        <v>44254</v>
      </c>
      <c r="T13910" t="s">
        <v>44844</v>
      </c>
      <c r="U13910" t="s">
        <v>56260</v>
      </c>
      <c r="V13910" t="s">
        <v>58487</v>
      </c>
      <c r="W13910" t="s">
        <v>43071</v>
      </c>
      <c r="X13910" t="s">
        <v>43285</v>
      </c>
    </row>
    <row r="13911" spans="1:24">
      <c r="A13911">
        <f>HYPERLINK("https://www.philgeps.gov.ph/GEPSNONPILOT/Tender/SplashBidNoticeAbstractUI.aspx?menuIndex=3&amp;refID=7044099&amp;Result=3","7044099")</f>
        <v>0</v>
      </c>
      <c r="B13911" t="s">
        <v>964</v>
      </c>
      <c r="C13911" t="s">
        <v>16738</v>
      </c>
      <c r="D13911" t="s">
        <v>17415</v>
      </c>
      <c r="E13911" t="s">
        <v>29413</v>
      </c>
      <c r="F13911" t="s">
        <v>30052</v>
      </c>
      <c r="G13911" t="s">
        <v>30058</v>
      </c>
      <c r="H13911" t="s">
        <v>15498</v>
      </c>
      <c r="I13911" t="s">
        <v>30096</v>
      </c>
      <c r="J13911" t="s">
        <v>38630</v>
      </c>
      <c r="K13911" t="s">
        <v>39017</v>
      </c>
      <c r="M13911" t="s">
        <v>42746</v>
      </c>
      <c r="N13911" t="s">
        <v>43166</v>
      </c>
      <c r="O13911" t="s">
        <v>43167</v>
      </c>
      <c r="P13911">
        <v>0</v>
      </c>
      <c r="Q13911">
        <v>27</v>
      </c>
      <c r="R13911" t="s">
        <v>43189</v>
      </c>
      <c r="S13911" t="s">
        <v>44254</v>
      </c>
      <c r="T13911" t="s">
        <v>44705</v>
      </c>
      <c r="U13911" t="s">
        <v>54585</v>
      </c>
      <c r="W13911" t="s">
        <v>42746</v>
      </c>
      <c r="X13911" t="s">
        <v>43285</v>
      </c>
    </row>
    <row r="13912" spans="1:24">
      <c r="A13912">
        <f>HYPERLINK("https://www.philgeps.gov.ph/GEPSNONPILOT/Tender/SplashBidNoticeAbstractUI.aspx?menuIndex=3&amp;refID=7044166&amp;Result=3","7044166")</f>
        <v>0</v>
      </c>
      <c r="B13912" t="s">
        <v>964</v>
      </c>
      <c r="C13912" t="s">
        <v>16739</v>
      </c>
      <c r="D13912" t="s">
        <v>17415</v>
      </c>
      <c r="E13912" t="s">
        <v>29414</v>
      </c>
      <c r="F13912" t="s">
        <v>30052</v>
      </c>
      <c r="G13912" t="s">
        <v>30058</v>
      </c>
      <c r="H13912" t="s">
        <v>15498</v>
      </c>
      <c r="I13912" t="s">
        <v>6304</v>
      </c>
      <c r="J13912" t="s">
        <v>30397</v>
      </c>
      <c r="K13912" t="s">
        <v>39017</v>
      </c>
      <c r="M13912" t="s">
        <v>42746</v>
      </c>
      <c r="N13912" t="s">
        <v>43166</v>
      </c>
      <c r="O13912" t="s">
        <v>43167</v>
      </c>
      <c r="P13912">
        <v>0</v>
      </c>
      <c r="Q13912">
        <v>2</v>
      </c>
      <c r="R13912" t="s">
        <v>43189</v>
      </c>
      <c r="S13912" t="s">
        <v>44254</v>
      </c>
      <c r="T13912" t="s">
        <v>44705</v>
      </c>
      <c r="U13912" t="s">
        <v>56261</v>
      </c>
      <c r="W13912" t="s">
        <v>42746</v>
      </c>
      <c r="X13912" t="s">
        <v>43285</v>
      </c>
    </row>
    <row r="13913" spans="1:24">
      <c r="A13913">
        <f>HYPERLINK("https://www.philgeps.gov.ph/GEPSNONPILOT/Tender/SplashBidNoticeAbstractUI.aspx?menuIndex=3&amp;refID=7043917&amp;Result=3","7043917")</f>
        <v>0</v>
      </c>
      <c r="B13913" t="s">
        <v>3405</v>
      </c>
      <c r="C13913" t="s">
        <v>16740</v>
      </c>
      <c r="D13913" t="s">
        <v>17473</v>
      </c>
      <c r="E13913" t="s">
        <v>29415</v>
      </c>
      <c r="F13913" t="s">
        <v>30052</v>
      </c>
      <c r="G13913" t="s">
        <v>30058</v>
      </c>
      <c r="H13913" t="s">
        <v>30067</v>
      </c>
      <c r="I13913" t="s">
        <v>3693</v>
      </c>
      <c r="J13913" t="s">
        <v>30557</v>
      </c>
      <c r="K13913" t="s">
        <v>39031</v>
      </c>
      <c r="M13913" t="s">
        <v>43072</v>
      </c>
      <c r="N13913" t="s">
        <v>43166</v>
      </c>
      <c r="O13913" t="s">
        <v>43167</v>
      </c>
      <c r="P13913">
        <v>0</v>
      </c>
      <c r="Q13913">
        <v>4</v>
      </c>
      <c r="R13913" t="s">
        <v>43189</v>
      </c>
      <c r="S13913" t="s">
        <v>44254</v>
      </c>
      <c r="T13913" t="s">
        <v>44681</v>
      </c>
      <c r="U13913" t="s">
        <v>56262</v>
      </c>
      <c r="W13913" t="s">
        <v>43072</v>
      </c>
      <c r="X13913" t="s">
        <v>43285</v>
      </c>
    </row>
    <row r="13914" spans="1:24">
      <c r="A13914">
        <f>HYPERLINK("https://www.philgeps.gov.ph/GEPSNONPILOT/Tender/SplashBidNoticeAbstractUI.aspx?menuIndex=3&amp;refID=7044098&amp;Result=3","7044098")</f>
        <v>0</v>
      </c>
      <c r="B13914" t="s">
        <v>77</v>
      </c>
      <c r="C13914" t="s">
        <v>16741</v>
      </c>
      <c r="D13914" t="s">
        <v>17419</v>
      </c>
      <c r="E13914" t="s">
        <v>29416</v>
      </c>
      <c r="F13914" t="s">
        <v>30052</v>
      </c>
      <c r="G13914" t="s">
        <v>30058</v>
      </c>
      <c r="H13914" t="s">
        <v>15498</v>
      </c>
      <c r="I13914" t="s">
        <v>3736</v>
      </c>
      <c r="J13914" t="s">
        <v>38631</v>
      </c>
      <c r="K13914" t="s">
        <v>39022</v>
      </c>
      <c r="L13914" t="s">
        <v>77</v>
      </c>
      <c r="M13914" t="s">
        <v>39366</v>
      </c>
      <c r="N13914" t="s">
        <v>43166</v>
      </c>
      <c r="O13914" t="s">
        <v>43167</v>
      </c>
      <c r="P13914">
        <v>0</v>
      </c>
      <c r="Q13914">
        <v>2</v>
      </c>
      <c r="R13914" t="s">
        <v>43189</v>
      </c>
      <c r="S13914" t="s">
        <v>44254</v>
      </c>
      <c r="T13914" t="s">
        <v>44777</v>
      </c>
      <c r="U13914" t="s">
        <v>56263</v>
      </c>
      <c r="V13914" t="s">
        <v>58488</v>
      </c>
      <c r="W13914" t="s">
        <v>39366</v>
      </c>
      <c r="X13914" t="s">
        <v>43285</v>
      </c>
    </row>
    <row r="13915" spans="1:24">
      <c r="A13915">
        <f>HYPERLINK("https://www.philgeps.gov.ph/GEPSNONPILOT/Tender/SplashBidNoticeAbstractUI.aspx?menuIndex=3&amp;refID=7043872&amp;Result=3","7043872")</f>
        <v>0</v>
      </c>
      <c r="B13915" t="s">
        <v>3406</v>
      </c>
      <c r="C13915" t="s">
        <v>16742</v>
      </c>
      <c r="D13915" t="s">
        <v>17414</v>
      </c>
      <c r="E13915" t="s">
        <v>29417</v>
      </c>
      <c r="F13915" t="s">
        <v>30052</v>
      </c>
      <c r="G13915" t="s">
        <v>30060</v>
      </c>
      <c r="H13915" t="s">
        <v>15498</v>
      </c>
      <c r="I13915" t="s">
        <v>4119</v>
      </c>
      <c r="J13915" t="s">
        <v>38632</v>
      </c>
      <c r="K13915" t="s">
        <v>39019</v>
      </c>
      <c r="M13915" t="s">
        <v>43073</v>
      </c>
      <c r="N13915" t="s">
        <v>43166</v>
      </c>
      <c r="O13915" t="s">
        <v>43167</v>
      </c>
      <c r="P13915">
        <v>0</v>
      </c>
      <c r="Q13915">
        <v>6</v>
      </c>
      <c r="R13915" t="s">
        <v>43189</v>
      </c>
      <c r="S13915" t="s">
        <v>44254</v>
      </c>
      <c r="T13915" t="s">
        <v>44698</v>
      </c>
      <c r="U13915" t="s">
        <v>56264</v>
      </c>
      <c r="V13915" t="s">
        <v>58489</v>
      </c>
      <c r="W13915" t="s">
        <v>43073</v>
      </c>
      <c r="X13915" t="s">
        <v>43191</v>
      </c>
    </row>
    <row r="13916" spans="1:24">
      <c r="A13916">
        <f>HYPERLINK("https://www.philgeps.gov.ph/GEPSNONPILOT/Tender/SplashBidNoticeAbstractUI.aspx?menuIndex=3&amp;refID=7043781&amp;Result=3","7043781")</f>
        <v>0</v>
      </c>
      <c r="B13916" t="s">
        <v>3403</v>
      </c>
      <c r="C13916" t="s">
        <v>16743</v>
      </c>
      <c r="D13916" t="s">
        <v>17489</v>
      </c>
      <c r="E13916" t="s">
        <v>29418</v>
      </c>
      <c r="F13916" t="s">
        <v>30052</v>
      </c>
      <c r="G13916" t="s">
        <v>30058</v>
      </c>
      <c r="H13916" t="s">
        <v>15498</v>
      </c>
      <c r="I13916" t="s">
        <v>30124</v>
      </c>
      <c r="J13916" t="s">
        <v>38633</v>
      </c>
      <c r="K13916" t="s">
        <v>39023</v>
      </c>
      <c r="M13916" t="s">
        <v>43070</v>
      </c>
      <c r="N13916" t="s">
        <v>43166</v>
      </c>
      <c r="O13916" t="s">
        <v>43167</v>
      </c>
      <c r="Q13916">
        <v>5</v>
      </c>
      <c r="R13916" t="s">
        <v>43189</v>
      </c>
      <c r="S13916" t="s">
        <v>44270</v>
      </c>
      <c r="T13916" t="s">
        <v>44681</v>
      </c>
      <c r="U13916" t="s">
        <v>56254</v>
      </c>
      <c r="W13916" t="s">
        <v>43070</v>
      </c>
      <c r="X13916" t="s">
        <v>43191</v>
      </c>
    </row>
    <row r="13917" spans="1:24">
      <c r="A13917">
        <f>HYPERLINK("https://www.philgeps.gov.ph/GEPSNONPILOT/Tender/SplashBidNoticeAbstractUI.aspx?menuIndex=3&amp;refID=7042632&amp;Result=3","7042632")</f>
        <v>0</v>
      </c>
      <c r="B13917" t="s">
        <v>105</v>
      </c>
      <c r="C13917" t="s">
        <v>16744</v>
      </c>
      <c r="E13917" t="s">
        <v>29419</v>
      </c>
      <c r="F13917" t="s">
        <v>30052</v>
      </c>
      <c r="G13917" t="s">
        <v>30058</v>
      </c>
      <c r="H13917" t="s">
        <v>15498</v>
      </c>
      <c r="I13917" t="s">
        <v>30123</v>
      </c>
      <c r="J13917" t="s">
        <v>38634</v>
      </c>
      <c r="K13917" t="s">
        <v>39025</v>
      </c>
      <c r="M13917" t="s">
        <v>39394</v>
      </c>
      <c r="N13917" t="s">
        <v>43166</v>
      </c>
      <c r="O13917" t="s">
        <v>43167</v>
      </c>
      <c r="Q13917">
        <v>7</v>
      </c>
      <c r="R13917" t="s">
        <v>43189</v>
      </c>
      <c r="S13917" t="s">
        <v>44271</v>
      </c>
      <c r="T13917" t="s">
        <v>44789</v>
      </c>
      <c r="U13917" t="s">
        <v>56265</v>
      </c>
      <c r="W13917" t="s">
        <v>39394</v>
      </c>
      <c r="X13917" t="s">
        <v>43192</v>
      </c>
    </row>
    <row r="13918" spans="1:24">
      <c r="A13918">
        <f>HYPERLINK("https://www.philgeps.gov.ph/GEPSNONPILOT/Tender/SplashBidNoticeAbstractUI.aspx?menuIndex=3&amp;refID=7043783&amp;Result=3","7043783")</f>
        <v>0</v>
      </c>
      <c r="B13918" t="s">
        <v>3403</v>
      </c>
      <c r="C13918" t="s">
        <v>16691</v>
      </c>
      <c r="D13918" t="s">
        <v>17489</v>
      </c>
      <c r="E13918" t="s">
        <v>29420</v>
      </c>
      <c r="F13918" t="s">
        <v>30052</v>
      </c>
      <c r="G13918" t="s">
        <v>30058</v>
      </c>
      <c r="H13918" t="s">
        <v>15498</v>
      </c>
      <c r="I13918" t="s">
        <v>30124</v>
      </c>
      <c r="J13918" t="s">
        <v>38635</v>
      </c>
      <c r="K13918" t="s">
        <v>39023</v>
      </c>
      <c r="M13918" t="s">
        <v>43070</v>
      </c>
      <c r="N13918" t="s">
        <v>43166</v>
      </c>
      <c r="O13918" t="s">
        <v>43167</v>
      </c>
      <c r="Q13918">
        <v>3</v>
      </c>
      <c r="R13918" t="s">
        <v>43189</v>
      </c>
      <c r="S13918" t="s">
        <v>44272</v>
      </c>
      <c r="T13918" t="s">
        <v>44681</v>
      </c>
      <c r="U13918" t="s">
        <v>56219</v>
      </c>
      <c r="W13918" t="s">
        <v>43070</v>
      </c>
      <c r="X13918" t="s">
        <v>43191</v>
      </c>
    </row>
    <row r="13919" spans="1:24">
      <c r="A13919">
        <f>HYPERLINK("https://www.philgeps.gov.ph/GEPSNONPILOT/Tender/SplashBidNoticeAbstractUI.aspx?menuIndex=3&amp;refID=7044019&amp;Result=3","7044019")</f>
        <v>0</v>
      </c>
      <c r="B13919" t="s">
        <v>433</v>
      </c>
      <c r="C13919" t="s">
        <v>16745</v>
      </c>
      <c r="D13919" t="s">
        <v>17415</v>
      </c>
      <c r="E13919" t="s">
        <v>29421</v>
      </c>
      <c r="F13919" t="s">
        <v>30052</v>
      </c>
      <c r="G13919" t="s">
        <v>30058</v>
      </c>
      <c r="H13919" t="s">
        <v>15498</v>
      </c>
      <c r="I13919" t="s">
        <v>30125</v>
      </c>
      <c r="J13919" t="s">
        <v>30277</v>
      </c>
      <c r="K13919" t="s">
        <v>39025</v>
      </c>
      <c r="M13919" t="s">
        <v>39732</v>
      </c>
      <c r="N13919" t="s">
        <v>43166</v>
      </c>
      <c r="O13919" t="s">
        <v>43167</v>
      </c>
      <c r="P13919">
        <v>0</v>
      </c>
      <c r="Q13919">
        <v>6</v>
      </c>
      <c r="R13919" t="s">
        <v>43189</v>
      </c>
      <c r="S13919" t="s">
        <v>44254</v>
      </c>
      <c r="T13919" t="s">
        <v>44703</v>
      </c>
      <c r="U13919" t="s">
        <v>56266</v>
      </c>
      <c r="W13919" t="s">
        <v>39732</v>
      </c>
      <c r="X13919" t="s">
        <v>43285</v>
      </c>
    </row>
    <row r="13920" spans="1:24">
      <c r="A13920">
        <f>HYPERLINK("https://www.philgeps.gov.ph/GEPSNONPILOT/Tender/SplashBidNoticeAbstractUI.aspx?menuIndex=3&amp;refID=7044293&amp;Result=3","7044293")</f>
        <v>0</v>
      </c>
      <c r="B13920" t="s">
        <v>2674</v>
      </c>
      <c r="C13920" t="s">
        <v>16746</v>
      </c>
      <c r="D13920" t="s">
        <v>17443</v>
      </c>
      <c r="E13920" t="s">
        <v>29422</v>
      </c>
      <c r="F13920" t="s">
        <v>30052</v>
      </c>
      <c r="G13920" t="s">
        <v>30058</v>
      </c>
      <c r="H13920" t="s">
        <v>15498</v>
      </c>
      <c r="I13920" t="s">
        <v>3736</v>
      </c>
      <c r="J13920" t="s">
        <v>38636</v>
      </c>
      <c r="K13920" t="s">
        <v>39019</v>
      </c>
      <c r="M13920" t="s">
        <v>42194</v>
      </c>
      <c r="N13920" t="s">
        <v>43166</v>
      </c>
      <c r="O13920" t="s">
        <v>43167</v>
      </c>
      <c r="P13920">
        <v>0</v>
      </c>
      <c r="Q13920">
        <v>0</v>
      </c>
      <c r="R13920" t="s">
        <v>43189</v>
      </c>
      <c r="S13920" t="s">
        <v>44254</v>
      </c>
      <c r="T13920" t="s">
        <v>44856</v>
      </c>
      <c r="U13920" t="s">
        <v>56267</v>
      </c>
      <c r="W13920" t="s">
        <v>42194</v>
      </c>
      <c r="X13920" t="s">
        <v>43285</v>
      </c>
    </row>
    <row r="13921" spans="1:24">
      <c r="A13921">
        <f>HYPERLINK("https://www.philgeps.gov.ph/GEPSNONPILOT/Tender/SplashBidNoticeAbstractUI.aspx?menuIndex=3&amp;refID=7044282&amp;Result=3","7044282")</f>
        <v>0</v>
      </c>
      <c r="B13921" t="s">
        <v>2674</v>
      </c>
      <c r="C13921" t="s">
        <v>16747</v>
      </c>
      <c r="D13921" t="s">
        <v>17443</v>
      </c>
      <c r="E13921" t="s">
        <v>29423</v>
      </c>
      <c r="F13921" t="s">
        <v>30052</v>
      </c>
      <c r="G13921" t="s">
        <v>30058</v>
      </c>
      <c r="H13921" t="s">
        <v>15498</v>
      </c>
      <c r="I13921" t="s">
        <v>30098</v>
      </c>
      <c r="J13921" t="s">
        <v>31383</v>
      </c>
      <c r="K13921" t="s">
        <v>39019</v>
      </c>
      <c r="M13921" t="s">
        <v>42194</v>
      </c>
      <c r="N13921" t="s">
        <v>43166</v>
      </c>
      <c r="O13921" t="s">
        <v>43167</v>
      </c>
      <c r="P13921">
        <v>0</v>
      </c>
      <c r="Q13921">
        <v>1</v>
      </c>
      <c r="R13921" t="s">
        <v>43189</v>
      </c>
      <c r="S13921" t="s">
        <v>44254</v>
      </c>
      <c r="T13921" t="s">
        <v>44856</v>
      </c>
      <c r="U13921" t="s">
        <v>56268</v>
      </c>
      <c r="W13921" t="s">
        <v>42194</v>
      </c>
      <c r="X13921" t="s">
        <v>43285</v>
      </c>
    </row>
    <row r="13922" spans="1:24">
      <c r="A13922">
        <f>HYPERLINK("https://www.philgeps.gov.ph/GEPSNONPILOT/Tender/SplashBidNoticeAbstractUI.aspx?menuIndex=3&amp;refID=7044277&amp;Result=3","7044277")</f>
        <v>0</v>
      </c>
      <c r="B13922" t="s">
        <v>670</v>
      </c>
      <c r="C13922" t="s">
        <v>16748</v>
      </c>
      <c r="D13922" t="s">
        <v>17446</v>
      </c>
      <c r="E13922" t="s">
        <v>29424</v>
      </c>
      <c r="F13922" t="s">
        <v>30052</v>
      </c>
      <c r="G13922" t="s">
        <v>30058</v>
      </c>
      <c r="H13922" t="s">
        <v>30067</v>
      </c>
      <c r="I13922" t="s">
        <v>3693</v>
      </c>
      <c r="J13922" t="s">
        <v>30205</v>
      </c>
      <c r="K13922" t="s">
        <v>39025</v>
      </c>
      <c r="M13922" t="s">
        <v>42821</v>
      </c>
      <c r="N13922" t="s">
        <v>43166</v>
      </c>
      <c r="O13922" t="s">
        <v>43167</v>
      </c>
      <c r="Q13922">
        <v>3</v>
      </c>
      <c r="R13922" t="s">
        <v>43189</v>
      </c>
      <c r="S13922" t="s">
        <v>43323</v>
      </c>
      <c r="T13922" t="s">
        <v>44710</v>
      </c>
      <c r="U13922" t="s">
        <v>56269</v>
      </c>
      <c r="W13922" t="s">
        <v>42821</v>
      </c>
      <c r="X13922" t="s">
        <v>43285</v>
      </c>
    </row>
    <row r="13923" spans="1:24">
      <c r="A13923">
        <f>HYPERLINK("https://www.philgeps.gov.ph/GEPSNONPILOT/Tender/SplashBidNoticeAbstractUI.aspx?menuIndex=3&amp;refID=7044094&amp;Result=3","7044094")</f>
        <v>0</v>
      </c>
      <c r="B13923" t="s">
        <v>77</v>
      </c>
      <c r="C13923" t="s">
        <v>16749</v>
      </c>
      <c r="D13923" t="s">
        <v>17419</v>
      </c>
      <c r="E13923" t="s">
        <v>29425</v>
      </c>
      <c r="F13923" t="s">
        <v>30052</v>
      </c>
      <c r="G13923" t="s">
        <v>30058</v>
      </c>
      <c r="H13923" t="s">
        <v>15498</v>
      </c>
      <c r="I13923" t="s">
        <v>3736</v>
      </c>
      <c r="J13923" t="s">
        <v>38637</v>
      </c>
      <c r="K13923" t="s">
        <v>39022</v>
      </c>
      <c r="L13923" t="s">
        <v>77</v>
      </c>
      <c r="M13923" t="s">
        <v>39366</v>
      </c>
      <c r="N13923" t="s">
        <v>43166</v>
      </c>
      <c r="O13923" t="s">
        <v>43167</v>
      </c>
      <c r="P13923">
        <v>0</v>
      </c>
      <c r="Q13923">
        <v>1</v>
      </c>
      <c r="R13923" t="s">
        <v>43189</v>
      </c>
      <c r="S13923" t="s">
        <v>44254</v>
      </c>
      <c r="T13923" t="s">
        <v>44777</v>
      </c>
      <c r="U13923" t="s">
        <v>56270</v>
      </c>
      <c r="V13923" t="s">
        <v>58490</v>
      </c>
      <c r="W13923" t="s">
        <v>39366</v>
      </c>
      <c r="X13923" t="s">
        <v>43285</v>
      </c>
    </row>
    <row r="13924" spans="1:24">
      <c r="A13924">
        <f>HYPERLINK("https://www.philgeps.gov.ph/GEPSNONPILOT/Tender/SplashBidNoticeAbstractUI.aspx?menuIndex=3&amp;refID=7044270&amp;Result=3","7044270")</f>
        <v>0</v>
      </c>
      <c r="B13924" t="s">
        <v>2674</v>
      </c>
      <c r="C13924" t="s">
        <v>16750</v>
      </c>
      <c r="D13924" t="s">
        <v>17443</v>
      </c>
      <c r="E13924" t="s">
        <v>29426</v>
      </c>
      <c r="F13924" t="s">
        <v>30052</v>
      </c>
      <c r="G13924" t="s">
        <v>30058</v>
      </c>
      <c r="H13924" t="s">
        <v>15498</v>
      </c>
      <c r="I13924" t="s">
        <v>30106</v>
      </c>
      <c r="J13924" t="s">
        <v>38638</v>
      </c>
      <c r="K13924" t="s">
        <v>39019</v>
      </c>
      <c r="M13924" t="s">
        <v>42194</v>
      </c>
      <c r="N13924" t="s">
        <v>43166</v>
      </c>
      <c r="O13924" t="s">
        <v>43167</v>
      </c>
      <c r="P13924">
        <v>0</v>
      </c>
      <c r="Q13924">
        <v>0</v>
      </c>
      <c r="R13924" t="s">
        <v>43189</v>
      </c>
      <c r="S13924" t="s">
        <v>44254</v>
      </c>
      <c r="T13924" t="s">
        <v>44856</v>
      </c>
      <c r="U13924" t="s">
        <v>56271</v>
      </c>
      <c r="W13924" t="s">
        <v>42194</v>
      </c>
      <c r="X13924" t="s">
        <v>43285</v>
      </c>
    </row>
    <row r="13925" spans="1:24">
      <c r="A13925">
        <f>HYPERLINK("https://www.philgeps.gov.ph/GEPSNONPILOT/Tender/SplashBidNoticeAbstractUI.aspx?menuIndex=3&amp;refID=7044269&amp;Result=3","7044269")</f>
        <v>0</v>
      </c>
      <c r="B13925" t="s">
        <v>3407</v>
      </c>
      <c r="C13925" t="s">
        <v>16751</v>
      </c>
      <c r="D13925" t="s">
        <v>17413</v>
      </c>
      <c r="E13925" t="s">
        <v>29427</v>
      </c>
      <c r="F13925" t="s">
        <v>30052</v>
      </c>
      <c r="G13925" t="s">
        <v>30058</v>
      </c>
      <c r="H13925" t="s">
        <v>30067</v>
      </c>
      <c r="I13925" t="s">
        <v>3693</v>
      </c>
      <c r="J13925" t="s">
        <v>38639</v>
      </c>
      <c r="K13925" t="s">
        <v>39279</v>
      </c>
      <c r="M13925" t="s">
        <v>43074</v>
      </c>
      <c r="N13925" t="s">
        <v>43166</v>
      </c>
      <c r="O13925" t="s">
        <v>43167</v>
      </c>
      <c r="P13925">
        <v>0</v>
      </c>
      <c r="Q13925">
        <v>2</v>
      </c>
      <c r="R13925" t="s">
        <v>43189</v>
      </c>
      <c r="S13925" t="s">
        <v>44254</v>
      </c>
      <c r="T13925" t="s">
        <v>44856</v>
      </c>
      <c r="U13925" t="s">
        <v>56272</v>
      </c>
      <c r="W13925" t="s">
        <v>43074</v>
      </c>
      <c r="X13925" t="s">
        <v>43285</v>
      </c>
    </row>
    <row r="13926" spans="1:24">
      <c r="A13926">
        <f>HYPERLINK("https://www.philgeps.gov.ph/GEPSNONPILOT/Tender/SplashBidNoticeAbstractUI.aspx?menuIndex=3&amp;refID=7044264&amp;Result=3","7044264")</f>
        <v>0</v>
      </c>
      <c r="B13926" t="s">
        <v>3407</v>
      </c>
      <c r="C13926" t="s">
        <v>16752</v>
      </c>
      <c r="D13926" t="s">
        <v>17413</v>
      </c>
      <c r="E13926" t="s">
        <v>29428</v>
      </c>
      <c r="F13926" t="s">
        <v>30052</v>
      </c>
      <c r="G13926" t="s">
        <v>30058</v>
      </c>
      <c r="H13926" t="s">
        <v>30067</v>
      </c>
      <c r="I13926" t="s">
        <v>3693</v>
      </c>
      <c r="J13926" t="s">
        <v>38640</v>
      </c>
      <c r="K13926" t="s">
        <v>39029</v>
      </c>
      <c r="M13926" t="s">
        <v>43074</v>
      </c>
      <c r="N13926" t="s">
        <v>43166</v>
      </c>
      <c r="O13926" t="s">
        <v>43167</v>
      </c>
      <c r="P13926">
        <v>0</v>
      </c>
      <c r="Q13926">
        <v>2</v>
      </c>
      <c r="R13926" t="s">
        <v>43189</v>
      </c>
      <c r="S13926" t="s">
        <v>44254</v>
      </c>
      <c r="T13926" t="s">
        <v>44856</v>
      </c>
      <c r="U13926" t="s">
        <v>56273</v>
      </c>
      <c r="W13926" t="s">
        <v>43074</v>
      </c>
      <c r="X13926" t="s">
        <v>43285</v>
      </c>
    </row>
    <row r="13927" spans="1:24">
      <c r="A13927">
        <f>HYPERLINK("https://www.philgeps.gov.ph/GEPSNONPILOT/Tender/SplashBidNoticeAbstractUI.aspx?menuIndex=3&amp;refID=7044279&amp;Result=3","7044279")</f>
        <v>0</v>
      </c>
      <c r="B13927" t="s">
        <v>3407</v>
      </c>
      <c r="C13927" t="s">
        <v>16753</v>
      </c>
      <c r="D13927" t="s">
        <v>17413</v>
      </c>
      <c r="E13927" t="s">
        <v>29429</v>
      </c>
      <c r="F13927" t="s">
        <v>30052</v>
      </c>
      <c r="G13927" t="s">
        <v>30058</v>
      </c>
      <c r="H13927" t="s">
        <v>30067</v>
      </c>
      <c r="I13927" t="s">
        <v>3693</v>
      </c>
      <c r="J13927" t="s">
        <v>38641</v>
      </c>
      <c r="K13927" t="s">
        <v>39107</v>
      </c>
      <c r="M13927" t="s">
        <v>43074</v>
      </c>
      <c r="N13927" t="s">
        <v>43166</v>
      </c>
      <c r="O13927" t="s">
        <v>43167</v>
      </c>
      <c r="P13927">
        <v>0</v>
      </c>
      <c r="Q13927">
        <v>2</v>
      </c>
      <c r="R13927" t="s">
        <v>43189</v>
      </c>
      <c r="S13927" t="s">
        <v>44254</v>
      </c>
      <c r="T13927" t="s">
        <v>44856</v>
      </c>
      <c r="U13927" t="s">
        <v>56274</v>
      </c>
      <c r="W13927" t="s">
        <v>43074</v>
      </c>
      <c r="X13927" t="s">
        <v>43285</v>
      </c>
    </row>
    <row r="13928" spans="1:24">
      <c r="A13928">
        <f>HYPERLINK("https://www.philgeps.gov.ph/GEPSNONPILOT/Tender/SplashBidNoticeAbstractUI.aspx?menuIndex=3&amp;refID=7044109&amp;Result=3","7044109")</f>
        <v>0</v>
      </c>
      <c r="B13928" t="s">
        <v>964</v>
      </c>
      <c r="C13928" t="s">
        <v>16754</v>
      </c>
      <c r="D13928" t="s">
        <v>17415</v>
      </c>
      <c r="E13928" t="s">
        <v>29430</v>
      </c>
      <c r="F13928" t="s">
        <v>30052</v>
      </c>
      <c r="G13928" t="s">
        <v>30058</v>
      </c>
      <c r="H13928" t="s">
        <v>15498</v>
      </c>
      <c r="I13928" t="s">
        <v>30151</v>
      </c>
      <c r="J13928" t="s">
        <v>38642</v>
      </c>
      <c r="K13928" t="s">
        <v>39017</v>
      </c>
      <c r="M13928" t="s">
        <v>42746</v>
      </c>
      <c r="N13928" t="s">
        <v>43166</v>
      </c>
      <c r="O13928" t="s">
        <v>43167</v>
      </c>
      <c r="P13928">
        <v>0</v>
      </c>
      <c r="Q13928">
        <v>21</v>
      </c>
      <c r="R13928" t="s">
        <v>43189</v>
      </c>
      <c r="S13928" t="s">
        <v>44254</v>
      </c>
      <c r="T13928" t="s">
        <v>44705</v>
      </c>
      <c r="U13928" t="s">
        <v>54585</v>
      </c>
      <c r="W13928" t="s">
        <v>42746</v>
      </c>
      <c r="X13928" t="s">
        <v>43285</v>
      </c>
    </row>
    <row r="13929" spans="1:24">
      <c r="A13929">
        <f>HYPERLINK("https://www.philgeps.gov.ph/GEPSNONPILOT/Tender/SplashBidNoticeAbstractUI.aspx?menuIndex=3&amp;refID=7044251&amp;Result=3","7044251")</f>
        <v>0</v>
      </c>
      <c r="B13929" t="s">
        <v>2674</v>
      </c>
      <c r="C13929" t="s">
        <v>16755</v>
      </c>
      <c r="D13929" t="s">
        <v>17443</v>
      </c>
      <c r="E13929" t="s">
        <v>29431</v>
      </c>
      <c r="F13929" t="s">
        <v>30052</v>
      </c>
      <c r="G13929" t="s">
        <v>30058</v>
      </c>
      <c r="H13929" t="s">
        <v>15498</v>
      </c>
      <c r="I13929" t="s">
        <v>30096</v>
      </c>
      <c r="J13929" t="s">
        <v>30377</v>
      </c>
      <c r="K13929" t="s">
        <v>39019</v>
      </c>
      <c r="M13929" t="s">
        <v>42194</v>
      </c>
      <c r="N13929" t="s">
        <v>43166</v>
      </c>
      <c r="O13929" t="s">
        <v>43167</v>
      </c>
      <c r="P13929">
        <v>0</v>
      </c>
      <c r="Q13929">
        <v>0</v>
      </c>
      <c r="R13929" t="s">
        <v>43189</v>
      </c>
      <c r="S13929" t="s">
        <v>44254</v>
      </c>
      <c r="T13929" t="s">
        <v>44856</v>
      </c>
      <c r="U13929" t="s">
        <v>56275</v>
      </c>
      <c r="W13929" t="s">
        <v>42194</v>
      </c>
      <c r="X13929" t="s">
        <v>43285</v>
      </c>
    </row>
    <row r="13930" spans="1:24">
      <c r="A13930">
        <f>HYPERLINK("https://www.philgeps.gov.ph/GEPSNONPILOT/Tender/SplashBidNoticeAbstractUI.aspx?menuIndex=3&amp;refID=7044336&amp;Result=3","7044336")</f>
        <v>0</v>
      </c>
      <c r="B13930" t="s">
        <v>3387</v>
      </c>
      <c r="C13930" t="s">
        <v>16756</v>
      </c>
      <c r="D13930" t="s">
        <v>17415</v>
      </c>
      <c r="E13930" t="s">
        <v>25519</v>
      </c>
      <c r="F13930" t="s">
        <v>30052</v>
      </c>
      <c r="G13930" t="s">
        <v>30058</v>
      </c>
      <c r="H13930" t="s">
        <v>15498</v>
      </c>
      <c r="I13930" t="s">
        <v>30204</v>
      </c>
      <c r="J13930" t="s">
        <v>38643</v>
      </c>
      <c r="K13930" t="s">
        <v>39031</v>
      </c>
      <c r="M13930" t="s">
        <v>43049</v>
      </c>
      <c r="N13930" t="s">
        <v>43166</v>
      </c>
      <c r="O13930" t="s">
        <v>43167</v>
      </c>
      <c r="P13930">
        <v>0</v>
      </c>
      <c r="Q13930">
        <v>11</v>
      </c>
      <c r="R13930" t="s">
        <v>43189</v>
      </c>
      <c r="S13930" t="s">
        <v>44254</v>
      </c>
      <c r="T13930" t="s">
        <v>44822</v>
      </c>
      <c r="U13930" t="s">
        <v>56276</v>
      </c>
      <c r="V13930" t="s">
        <v>58491</v>
      </c>
      <c r="W13930" t="s">
        <v>43049</v>
      </c>
      <c r="X13930" t="s">
        <v>43285</v>
      </c>
    </row>
    <row r="13931" spans="1:24">
      <c r="A13931">
        <f>HYPERLINK("https://www.philgeps.gov.ph/GEPSNONPILOT/Tender/SplashBidNoticeAbstractUI.aspx?menuIndex=3&amp;refID=7043780&amp;Result=3","7043780")</f>
        <v>0</v>
      </c>
      <c r="B13931" t="s">
        <v>3403</v>
      </c>
      <c r="C13931" t="s">
        <v>16757</v>
      </c>
      <c r="D13931" t="s">
        <v>17478</v>
      </c>
      <c r="E13931" t="s">
        <v>29432</v>
      </c>
      <c r="F13931" t="s">
        <v>30052</v>
      </c>
      <c r="G13931" t="s">
        <v>30058</v>
      </c>
      <c r="H13931" t="s">
        <v>15498</v>
      </c>
      <c r="I13931" t="s">
        <v>30124</v>
      </c>
      <c r="J13931" t="s">
        <v>38644</v>
      </c>
      <c r="K13931" t="s">
        <v>39023</v>
      </c>
      <c r="M13931" t="s">
        <v>43070</v>
      </c>
      <c r="N13931" t="s">
        <v>43166</v>
      </c>
      <c r="O13931" t="s">
        <v>43167</v>
      </c>
      <c r="Q13931">
        <v>0</v>
      </c>
      <c r="R13931" t="s">
        <v>43189</v>
      </c>
      <c r="S13931" t="s">
        <v>44273</v>
      </c>
      <c r="T13931" t="s">
        <v>44681</v>
      </c>
      <c r="U13931" t="s">
        <v>56218</v>
      </c>
      <c r="W13931" t="s">
        <v>43070</v>
      </c>
      <c r="X13931" t="s">
        <v>43191</v>
      </c>
    </row>
    <row r="13932" spans="1:24">
      <c r="A13932">
        <f>HYPERLINK("https://www.philgeps.gov.ph/GEPSNONPILOT/Tender/SplashBidNoticeAbstractUI.aspx?menuIndex=3&amp;refID=7044261&amp;Result=3","7044261")</f>
        <v>0</v>
      </c>
      <c r="B13932" t="s">
        <v>3407</v>
      </c>
      <c r="C13932" t="s">
        <v>16758</v>
      </c>
      <c r="D13932" t="s">
        <v>17413</v>
      </c>
      <c r="E13932" t="s">
        <v>29433</v>
      </c>
      <c r="F13932" t="s">
        <v>30052</v>
      </c>
      <c r="G13932" t="s">
        <v>30058</v>
      </c>
      <c r="H13932" t="s">
        <v>30067</v>
      </c>
      <c r="I13932" t="s">
        <v>3693</v>
      </c>
      <c r="J13932" t="s">
        <v>38645</v>
      </c>
      <c r="K13932" t="s">
        <v>39058</v>
      </c>
      <c r="M13932" t="s">
        <v>43074</v>
      </c>
      <c r="N13932" t="s">
        <v>43166</v>
      </c>
      <c r="O13932" t="s">
        <v>43167</v>
      </c>
      <c r="P13932">
        <v>0</v>
      </c>
      <c r="Q13932">
        <v>2</v>
      </c>
      <c r="R13932" t="s">
        <v>43189</v>
      </c>
      <c r="S13932" t="s">
        <v>44254</v>
      </c>
      <c r="T13932" t="s">
        <v>44856</v>
      </c>
      <c r="U13932" t="s">
        <v>56277</v>
      </c>
      <c r="W13932" t="s">
        <v>43074</v>
      </c>
      <c r="X13932" t="s">
        <v>43285</v>
      </c>
    </row>
    <row r="13933" spans="1:24">
      <c r="A13933">
        <f>HYPERLINK("https://www.philgeps.gov.ph/GEPSNONPILOT/Tender/SplashBidNoticeAbstractUI.aspx?menuIndex=3&amp;refID=7041302&amp;Result=3","7041302")</f>
        <v>0</v>
      </c>
      <c r="B13933" t="s">
        <v>1804</v>
      </c>
      <c r="C13933" t="s">
        <v>16759</v>
      </c>
      <c r="E13933" t="s">
        <v>29434</v>
      </c>
      <c r="F13933" t="s">
        <v>30052</v>
      </c>
      <c r="G13933" t="s">
        <v>30058</v>
      </c>
      <c r="H13933" t="s">
        <v>15498</v>
      </c>
      <c r="I13933" t="s">
        <v>30117</v>
      </c>
      <c r="J13933" t="s">
        <v>38646</v>
      </c>
      <c r="K13933" t="s">
        <v>39025</v>
      </c>
      <c r="M13933" t="s">
        <v>41227</v>
      </c>
      <c r="N13933" t="s">
        <v>43166</v>
      </c>
      <c r="O13933" t="s">
        <v>43167</v>
      </c>
      <c r="P13933">
        <v>0</v>
      </c>
      <c r="Q13933">
        <v>3</v>
      </c>
      <c r="R13933" t="s">
        <v>43190</v>
      </c>
      <c r="S13933" t="s">
        <v>44274</v>
      </c>
      <c r="T13933" t="s">
        <v>44696</v>
      </c>
      <c r="U13933" t="s">
        <v>56278</v>
      </c>
      <c r="W13933" t="s">
        <v>41227</v>
      </c>
      <c r="X13933" t="s">
        <v>43192</v>
      </c>
    </row>
    <row r="13934" spans="1:24">
      <c r="A13934">
        <f>HYPERLINK("https://www.philgeps.gov.ph/GEPSNONPILOT/Tender/SplashBidNoticeAbstractUI.aspx?menuIndex=3&amp;refID=7044281&amp;Result=3","7044281")</f>
        <v>0</v>
      </c>
      <c r="B13934" t="s">
        <v>3407</v>
      </c>
      <c r="C13934" t="s">
        <v>16760</v>
      </c>
      <c r="D13934" t="s">
        <v>17413</v>
      </c>
      <c r="E13934" t="s">
        <v>29435</v>
      </c>
      <c r="F13934" t="s">
        <v>30052</v>
      </c>
      <c r="G13934" t="s">
        <v>30058</v>
      </c>
      <c r="H13934" t="s">
        <v>15498</v>
      </c>
      <c r="I13934" t="s">
        <v>30126</v>
      </c>
      <c r="J13934" t="s">
        <v>38647</v>
      </c>
      <c r="K13934" t="s">
        <v>39029</v>
      </c>
      <c r="M13934" t="s">
        <v>43074</v>
      </c>
      <c r="N13934" t="s">
        <v>43166</v>
      </c>
      <c r="O13934" t="s">
        <v>43167</v>
      </c>
      <c r="P13934">
        <v>0</v>
      </c>
      <c r="Q13934">
        <v>6</v>
      </c>
      <c r="R13934" t="s">
        <v>43189</v>
      </c>
      <c r="S13934" t="s">
        <v>44254</v>
      </c>
      <c r="T13934" t="s">
        <v>44856</v>
      </c>
      <c r="U13934" t="s">
        <v>56279</v>
      </c>
      <c r="W13934" t="s">
        <v>43074</v>
      </c>
      <c r="X13934" t="s">
        <v>43285</v>
      </c>
    </row>
    <row r="13935" spans="1:24">
      <c r="A13935">
        <f>HYPERLINK("https://www.philgeps.gov.ph/GEPSNONPILOT/Tender/SplashBidNoticeAbstractUI.aspx?menuIndex=3&amp;refID=7040105&amp;Result=3","7040105")</f>
        <v>0</v>
      </c>
      <c r="B13935" t="s">
        <v>2709</v>
      </c>
      <c r="C13935" t="s">
        <v>16761</v>
      </c>
      <c r="D13935" t="s">
        <v>17459</v>
      </c>
      <c r="E13935" t="s">
        <v>29436</v>
      </c>
      <c r="F13935" t="s">
        <v>30052</v>
      </c>
      <c r="G13935" t="s">
        <v>30058</v>
      </c>
      <c r="H13935" t="s">
        <v>15498</v>
      </c>
      <c r="I13935" t="s">
        <v>30124</v>
      </c>
      <c r="J13935" t="s">
        <v>30321</v>
      </c>
      <c r="K13935" t="s">
        <v>39029</v>
      </c>
      <c r="M13935" t="s">
        <v>42234</v>
      </c>
      <c r="N13935" t="s">
        <v>43166</v>
      </c>
      <c r="O13935" t="s">
        <v>43167</v>
      </c>
      <c r="Q13935">
        <v>13</v>
      </c>
      <c r="R13935" t="s">
        <v>43190</v>
      </c>
      <c r="S13935" t="s">
        <v>44275</v>
      </c>
      <c r="T13935" t="s">
        <v>45054</v>
      </c>
      <c r="U13935" t="s">
        <v>52553</v>
      </c>
      <c r="W13935" t="s">
        <v>42234</v>
      </c>
      <c r="X13935" t="s">
        <v>43193</v>
      </c>
    </row>
    <row r="13936" spans="1:24">
      <c r="A13936">
        <f>HYPERLINK("https://www.philgeps.gov.ph/GEPSNONPILOT/Tender/SplashBidNoticeAbstractUI.aspx?menuIndex=3&amp;refID=7044255&amp;Result=3","7044255")</f>
        <v>0</v>
      </c>
      <c r="B13936" t="s">
        <v>1966</v>
      </c>
      <c r="C13936" t="s">
        <v>16762</v>
      </c>
      <c r="D13936" t="s">
        <v>17419</v>
      </c>
      <c r="E13936" t="s">
        <v>29437</v>
      </c>
      <c r="F13936" t="s">
        <v>30052</v>
      </c>
      <c r="G13936" t="s">
        <v>30058</v>
      </c>
      <c r="H13936" t="s">
        <v>15498</v>
      </c>
      <c r="I13936" t="s">
        <v>4650</v>
      </c>
      <c r="J13936" t="s">
        <v>38648</v>
      </c>
      <c r="K13936" t="s">
        <v>39029</v>
      </c>
      <c r="M13936" t="s">
        <v>41405</v>
      </c>
      <c r="N13936" t="s">
        <v>43166</v>
      </c>
      <c r="O13936" t="s">
        <v>43167</v>
      </c>
      <c r="P13936">
        <v>0</v>
      </c>
      <c r="Q13936">
        <v>1</v>
      </c>
      <c r="R13936" t="s">
        <v>43189</v>
      </c>
      <c r="S13936" t="s">
        <v>44254</v>
      </c>
      <c r="T13936" t="s">
        <v>44969</v>
      </c>
      <c r="U13936" t="s">
        <v>56280</v>
      </c>
      <c r="W13936" t="s">
        <v>41405</v>
      </c>
      <c r="X13936" t="s">
        <v>43285</v>
      </c>
    </row>
    <row r="13937" spans="1:24">
      <c r="A13937">
        <f>HYPERLINK("https://www.philgeps.gov.ph/GEPSNONPILOT/Tender/SplashBidNoticeAbstractUI.aspx?menuIndex=3&amp;refID=7041284&amp;Result=3","7041284")</f>
        <v>0</v>
      </c>
      <c r="B13937" t="s">
        <v>1804</v>
      </c>
      <c r="C13937" t="s">
        <v>16763</v>
      </c>
      <c r="E13937" t="s">
        <v>29438</v>
      </c>
      <c r="F13937" t="s">
        <v>30052</v>
      </c>
      <c r="G13937" t="s">
        <v>30058</v>
      </c>
      <c r="H13937" t="s">
        <v>30069</v>
      </c>
      <c r="I13937" t="s">
        <v>30072</v>
      </c>
      <c r="J13937" t="s">
        <v>38649</v>
      </c>
      <c r="K13937" t="s">
        <v>39067</v>
      </c>
      <c r="M13937" t="s">
        <v>41227</v>
      </c>
      <c r="N13937" t="s">
        <v>43166</v>
      </c>
      <c r="O13937" t="s">
        <v>43167</v>
      </c>
      <c r="P13937">
        <v>0</v>
      </c>
      <c r="Q13937">
        <v>1</v>
      </c>
      <c r="R13937" t="s">
        <v>43190</v>
      </c>
      <c r="S13937" t="s">
        <v>44274</v>
      </c>
      <c r="T13937" t="s">
        <v>44696</v>
      </c>
      <c r="U13937" t="s">
        <v>56281</v>
      </c>
      <c r="W13937" t="s">
        <v>41227</v>
      </c>
      <c r="X13937" t="s">
        <v>43192</v>
      </c>
    </row>
    <row r="13938" spans="1:24">
      <c r="A13938">
        <f>HYPERLINK("https://www.philgeps.gov.ph/GEPSNONPILOT/Tender/SplashBidNoticeAbstractUI.aspx?menuIndex=3&amp;refID=7040946&amp;Result=3","7040946")</f>
        <v>0</v>
      </c>
      <c r="B13938" t="s">
        <v>3408</v>
      </c>
      <c r="C13938" t="s">
        <v>16764</v>
      </c>
      <c r="D13938" t="s">
        <v>17444</v>
      </c>
      <c r="E13938" t="s">
        <v>18659</v>
      </c>
      <c r="F13938" t="s">
        <v>30052</v>
      </c>
      <c r="G13938" t="s">
        <v>30058</v>
      </c>
      <c r="H13938" t="s">
        <v>15498</v>
      </c>
      <c r="I13938" t="s">
        <v>30074</v>
      </c>
      <c r="J13938" t="s">
        <v>31613</v>
      </c>
      <c r="K13938" t="s">
        <v>39019</v>
      </c>
      <c r="M13938" t="s">
        <v>43075</v>
      </c>
      <c r="N13938" t="s">
        <v>43166</v>
      </c>
      <c r="O13938" t="s">
        <v>43167</v>
      </c>
      <c r="Q13938">
        <v>4</v>
      </c>
      <c r="R13938" t="s">
        <v>43190</v>
      </c>
      <c r="S13938" t="s">
        <v>44276</v>
      </c>
      <c r="T13938" t="s">
        <v>44892</v>
      </c>
      <c r="U13938" t="s">
        <v>56282</v>
      </c>
      <c r="V13938" t="s">
        <v>58492</v>
      </c>
      <c r="W13938" t="s">
        <v>43075</v>
      </c>
      <c r="X13938" t="s">
        <v>43193</v>
      </c>
    </row>
    <row r="13939" spans="1:24">
      <c r="A13939">
        <f>HYPERLINK("https://www.philgeps.gov.ph/GEPSNONPILOT/Tender/SplashBidNoticeAbstractUI.aspx?menuIndex=3&amp;refID=7044248&amp;Result=3","7044248")</f>
        <v>0</v>
      </c>
      <c r="B13939" t="s">
        <v>1966</v>
      </c>
      <c r="C13939" t="s">
        <v>16765</v>
      </c>
      <c r="D13939" t="s">
        <v>17419</v>
      </c>
      <c r="E13939" t="s">
        <v>29439</v>
      </c>
      <c r="F13939" t="s">
        <v>30052</v>
      </c>
      <c r="G13939" t="s">
        <v>30058</v>
      </c>
      <c r="H13939" t="s">
        <v>15498</v>
      </c>
      <c r="I13939" t="s">
        <v>30074</v>
      </c>
      <c r="J13939" t="s">
        <v>33207</v>
      </c>
      <c r="K13939" t="s">
        <v>39029</v>
      </c>
      <c r="M13939" t="s">
        <v>41405</v>
      </c>
      <c r="N13939" t="s">
        <v>43166</v>
      </c>
      <c r="O13939" t="s">
        <v>43167</v>
      </c>
      <c r="P13939">
        <v>0</v>
      </c>
      <c r="Q13939">
        <v>2</v>
      </c>
      <c r="R13939" t="s">
        <v>43189</v>
      </c>
      <c r="S13939" t="s">
        <v>44254</v>
      </c>
      <c r="T13939" t="s">
        <v>44969</v>
      </c>
      <c r="U13939" t="s">
        <v>56283</v>
      </c>
      <c r="W13939" t="s">
        <v>41405</v>
      </c>
      <c r="X13939" t="s">
        <v>43285</v>
      </c>
    </row>
    <row r="13940" spans="1:24">
      <c r="A13940">
        <f>HYPERLINK("https://www.philgeps.gov.ph/GEPSNONPILOT/Tender/SplashBidNoticeAbstractUI.aspx?menuIndex=3&amp;refID=7040033&amp;Result=3","7040033")</f>
        <v>0</v>
      </c>
      <c r="B13940" t="s">
        <v>2709</v>
      </c>
      <c r="C13940" t="s">
        <v>16766</v>
      </c>
      <c r="D13940" t="s">
        <v>17459</v>
      </c>
      <c r="E13940" t="s">
        <v>29440</v>
      </c>
      <c r="F13940" t="s">
        <v>30052</v>
      </c>
      <c r="G13940" t="s">
        <v>30058</v>
      </c>
      <c r="H13940" t="s">
        <v>15498</v>
      </c>
      <c r="I13940" t="s">
        <v>9238</v>
      </c>
      <c r="J13940" t="s">
        <v>33488</v>
      </c>
      <c r="K13940" t="s">
        <v>39029</v>
      </c>
      <c r="M13940" t="s">
        <v>42234</v>
      </c>
      <c r="N13940" t="s">
        <v>43166</v>
      </c>
      <c r="O13940" t="s">
        <v>43167</v>
      </c>
      <c r="Q13940">
        <v>27</v>
      </c>
      <c r="R13940" t="s">
        <v>43190</v>
      </c>
      <c r="S13940" t="s">
        <v>44277</v>
      </c>
      <c r="T13940" t="s">
        <v>45054</v>
      </c>
      <c r="U13940" t="s">
        <v>52553</v>
      </c>
      <c r="W13940" t="s">
        <v>42234</v>
      </c>
      <c r="X13940" t="s">
        <v>43193</v>
      </c>
    </row>
    <row r="13941" spans="1:24">
      <c r="A13941">
        <f>HYPERLINK("https://www.philgeps.gov.ph/GEPSNONPILOT/Tender/SplashBidNoticeAbstractUI.aspx?menuIndex=3&amp;refID=7039322&amp;Result=3","7039322")</f>
        <v>0</v>
      </c>
      <c r="B13941" t="s">
        <v>3157</v>
      </c>
      <c r="C13941" t="s">
        <v>16767</v>
      </c>
      <c r="D13941" t="s">
        <v>17458</v>
      </c>
      <c r="E13941" t="s">
        <v>29441</v>
      </c>
      <c r="F13941" t="s">
        <v>30056</v>
      </c>
      <c r="G13941" t="s">
        <v>30061</v>
      </c>
      <c r="H13941" t="s">
        <v>15498</v>
      </c>
      <c r="I13941" t="s">
        <v>30081</v>
      </c>
      <c r="J13941" t="s">
        <v>38650</v>
      </c>
      <c r="K13941" t="s">
        <v>39048</v>
      </c>
      <c r="M13941" t="s">
        <v>42762</v>
      </c>
      <c r="N13941" t="s">
        <v>43166</v>
      </c>
      <c r="O13941" t="s">
        <v>43167</v>
      </c>
      <c r="Q13941">
        <v>1</v>
      </c>
      <c r="R13941" t="s">
        <v>43190</v>
      </c>
      <c r="S13941" t="s">
        <v>44278</v>
      </c>
      <c r="T13941" t="s">
        <v>44698</v>
      </c>
      <c r="U13941" t="s">
        <v>56284</v>
      </c>
      <c r="W13941" t="s">
        <v>42762</v>
      </c>
      <c r="X13941" t="s">
        <v>43193</v>
      </c>
    </row>
    <row r="13942" spans="1:24">
      <c r="A13942">
        <f>HYPERLINK("https://www.philgeps.gov.ph/GEPSNONPILOT/Tender/SplashBidNoticeAbstractUI.aspx?menuIndex=3&amp;refID=7021927-2&amp;Result=3","7021927-2")</f>
        <v>0</v>
      </c>
      <c r="B13942" t="s">
        <v>1658</v>
      </c>
      <c r="C13942" t="s">
        <v>16768</v>
      </c>
      <c r="E13942" t="s">
        <v>29442</v>
      </c>
      <c r="F13942" t="s">
        <v>30052</v>
      </c>
      <c r="G13942" t="s">
        <v>30058</v>
      </c>
      <c r="H13942" t="s">
        <v>30068</v>
      </c>
      <c r="I13942" t="s">
        <v>30068</v>
      </c>
      <c r="J13942" t="s">
        <v>38651</v>
      </c>
      <c r="K13942" t="s">
        <v>39025</v>
      </c>
      <c r="M13942" t="s">
        <v>41063</v>
      </c>
      <c r="N13942" t="s">
        <v>43166</v>
      </c>
      <c r="O13942" t="s">
        <v>43167</v>
      </c>
      <c r="Q13942">
        <v>0</v>
      </c>
      <c r="R13942" t="s">
        <v>43190</v>
      </c>
      <c r="S13942" t="s">
        <v>44279</v>
      </c>
      <c r="T13942" t="s">
        <v>44773</v>
      </c>
      <c r="U13942" t="s">
        <v>56285</v>
      </c>
      <c r="V13942" t="s">
        <v>58493</v>
      </c>
      <c r="W13942" t="s">
        <v>41063</v>
      </c>
      <c r="X13942" t="s">
        <v>43192</v>
      </c>
    </row>
    <row r="13943" spans="1:24">
      <c r="A13943">
        <f>HYPERLINK("https://www.philgeps.gov.ph/GEPSNONPILOT/Tender/SplashBidNoticeAbstractUI.aspx?menuIndex=3&amp;refID=7043408&amp;Result=3","7043408")</f>
        <v>0</v>
      </c>
      <c r="B13943" t="s">
        <v>682</v>
      </c>
      <c r="C13943" t="s">
        <v>16769</v>
      </c>
      <c r="D13943" t="s">
        <v>17447</v>
      </c>
      <c r="E13943" t="s">
        <v>29443</v>
      </c>
      <c r="F13943" t="s">
        <v>30052</v>
      </c>
      <c r="G13943" t="s">
        <v>30058</v>
      </c>
      <c r="H13943" t="s">
        <v>30067</v>
      </c>
      <c r="I13943" t="s">
        <v>3693</v>
      </c>
      <c r="J13943" t="s">
        <v>30557</v>
      </c>
      <c r="K13943" t="s">
        <v>39026</v>
      </c>
      <c r="M13943" t="s">
        <v>43076</v>
      </c>
      <c r="N13943" t="s">
        <v>43166</v>
      </c>
      <c r="O13943" t="s">
        <v>43167</v>
      </c>
      <c r="P13943">
        <v>0</v>
      </c>
      <c r="Q13943">
        <v>2</v>
      </c>
      <c r="R13943" t="s">
        <v>43191</v>
      </c>
      <c r="S13943" t="s">
        <v>44280</v>
      </c>
      <c r="T13943" t="s">
        <v>45188</v>
      </c>
      <c r="U13943" t="s">
        <v>56286</v>
      </c>
      <c r="W13943" t="s">
        <v>43076</v>
      </c>
      <c r="X13943" t="s">
        <v>43190</v>
      </c>
    </row>
    <row r="13944" spans="1:24">
      <c r="A13944">
        <f>HYPERLINK("https://www.philgeps.gov.ph/GEPSNONPILOT/Tender/SplashBidNoticeAbstractUI.aspx?menuIndex=3&amp;refID=7044123&amp;Result=3","7044123")</f>
        <v>0</v>
      </c>
      <c r="B13944" t="s">
        <v>3404</v>
      </c>
      <c r="C13944" t="s">
        <v>16770</v>
      </c>
      <c r="D13944" t="s">
        <v>17443</v>
      </c>
      <c r="E13944" t="s">
        <v>29444</v>
      </c>
      <c r="F13944" t="s">
        <v>30052</v>
      </c>
      <c r="G13944" t="s">
        <v>30058</v>
      </c>
      <c r="H13944" t="s">
        <v>30067</v>
      </c>
      <c r="I13944" t="s">
        <v>3693</v>
      </c>
      <c r="J13944" t="s">
        <v>38620</v>
      </c>
      <c r="K13944" t="s">
        <v>39179</v>
      </c>
      <c r="L13944" t="s">
        <v>3404</v>
      </c>
      <c r="M13944" t="s">
        <v>43071</v>
      </c>
      <c r="N13944" t="s">
        <v>43166</v>
      </c>
      <c r="O13944" t="s">
        <v>43167</v>
      </c>
      <c r="P13944">
        <v>0</v>
      </c>
      <c r="Q13944">
        <v>0</v>
      </c>
      <c r="R13944" t="s">
        <v>43189</v>
      </c>
      <c r="S13944" t="s">
        <v>44254</v>
      </c>
      <c r="T13944" t="s">
        <v>44844</v>
      </c>
      <c r="U13944" t="s">
        <v>56287</v>
      </c>
      <c r="V13944" t="s">
        <v>58487</v>
      </c>
      <c r="W13944" t="s">
        <v>43071</v>
      </c>
      <c r="X13944" t="s">
        <v>43285</v>
      </c>
    </row>
    <row r="13945" spans="1:24">
      <c r="A13945">
        <f>HYPERLINK("https://www.philgeps.gov.ph/GEPSNONPILOT/Tender/SplashBidNoticeAbstractUI.aspx?menuIndex=3&amp;refID=7041330&amp;Result=3","7041330")</f>
        <v>0</v>
      </c>
      <c r="B13945" t="s">
        <v>1248</v>
      </c>
      <c r="C13945" t="s">
        <v>16771</v>
      </c>
      <c r="D13945" t="s">
        <v>17469</v>
      </c>
      <c r="E13945" t="s">
        <v>29445</v>
      </c>
      <c r="F13945" t="s">
        <v>30052</v>
      </c>
      <c r="G13945" t="s">
        <v>30058</v>
      </c>
      <c r="H13945" t="s">
        <v>30067</v>
      </c>
      <c r="I13945" t="s">
        <v>3693</v>
      </c>
      <c r="J13945" t="s">
        <v>31728</v>
      </c>
      <c r="K13945" t="s">
        <v>39130</v>
      </c>
      <c r="M13945" t="s">
        <v>40604</v>
      </c>
      <c r="N13945" t="s">
        <v>43166</v>
      </c>
      <c r="O13945" t="s">
        <v>43167</v>
      </c>
      <c r="Q13945">
        <v>3</v>
      </c>
      <c r="R13945" t="s">
        <v>43190</v>
      </c>
      <c r="S13945" t="s">
        <v>44281</v>
      </c>
      <c r="T13945" t="s">
        <v>44773</v>
      </c>
      <c r="U13945" t="s">
        <v>56288</v>
      </c>
      <c r="W13945" t="s">
        <v>40604</v>
      </c>
      <c r="X13945" t="s">
        <v>43192</v>
      </c>
    </row>
    <row r="13946" spans="1:24">
      <c r="A13946">
        <f>HYPERLINK("https://www.philgeps.gov.ph/GEPSNONPILOT/Tender/SplashBidNoticeAbstractUI.aspx?menuIndex=3&amp;refID=7042191&amp;Result=3","7042191")</f>
        <v>0</v>
      </c>
      <c r="B13946" t="s">
        <v>1804</v>
      </c>
      <c r="C13946" t="s">
        <v>16772</v>
      </c>
      <c r="E13946" t="s">
        <v>29446</v>
      </c>
      <c r="F13946" t="s">
        <v>30052</v>
      </c>
      <c r="G13946" t="s">
        <v>30058</v>
      </c>
      <c r="H13946" t="s">
        <v>30067</v>
      </c>
      <c r="I13946" t="s">
        <v>3693</v>
      </c>
      <c r="J13946" t="s">
        <v>33394</v>
      </c>
      <c r="K13946" t="s">
        <v>39025</v>
      </c>
      <c r="M13946" t="s">
        <v>41227</v>
      </c>
      <c r="N13946" t="s">
        <v>43166</v>
      </c>
      <c r="O13946" t="s">
        <v>43167</v>
      </c>
      <c r="P13946">
        <v>0</v>
      </c>
      <c r="Q13946">
        <v>1</v>
      </c>
      <c r="R13946" t="s">
        <v>43190</v>
      </c>
      <c r="S13946" t="s">
        <v>44274</v>
      </c>
      <c r="T13946" t="s">
        <v>44696</v>
      </c>
      <c r="U13946" t="s">
        <v>50430</v>
      </c>
      <c r="W13946" t="s">
        <v>41227</v>
      </c>
      <c r="X13946" t="s">
        <v>43192</v>
      </c>
    </row>
    <row r="13947" spans="1:24">
      <c r="A13947">
        <f>HYPERLINK("https://www.philgeps.gov.ph/GEPSNONPILOT/Tender/SplashBidNoticeAbstractUI.aspx?menuIndex=3&amp;refID=7021908-2&amp;Result=3","7021908-2")</f>
        <v>0</v>
      </c>
      <c r="B13947" t="s">
        <v>1658</v>
      </c>
      <c r="C13947" t="s">
        <v>16773</v>
      </c>
      <c r="E13947" t="s">
        <v>29447</v>
      </c>
      <c r="F13947" t="s">
        <v>30052</v>
      </c>
      <c r="G13947" t="s">
        <v>30058</v>
      </c>
      <c r="H13947" t="s">
        <v>30068</v>
      </c>
      <c r="I13947" t="s">
        <v>30068</v>
      </c>
      <c r="J13947" t="s">
        <v>38652</v>
      </c>
      <c r="K13947" t="s">
        <v>39025</v>
      </c>
      <c r="M13947" t="s">
        <v>41063</v>
      </c>
      <c r="N13947" t="s">
        <v>43166</v>
      </c>
      <c r="O13947" t="s">
        <v>43167</v>
      </c>
      <c r="Q13947">
        <v>1</v>
      </c>
      <c r="R13947" t="s">
        <v>43190</v>
      </c>
      <c r="S13947" t="s">
        <v>43768</v>
      </c>
      <c r="T13947" t="s">
        <v>44773</v>
      </c>
      <c r="U13947" t="s">
        <v>56289</v>
      </c>
      <c r="V13947" t="s">
        <v>58494</v>
      </c>
      <c r="W13947" t="s">
        <v>41063</v>
      </c>
      <c r="X13947" t="s">
        <v>43192</v>
      </c>
    </row>
    <row r="13948" spans="1:24">
      <c r="A13948">
        <f>HYPERLINK("https://www.philgeps.gov.ph/GEPSNONPILOT/Tender/SplashBidNoticeAbstractUI.aspx?menuIndex=3&amp;refID=7042161&amp;Result=3","7042161")</f>
        <v>0</v>
      </c>
      <c r="B13948" t="s">
        <v>1804</v>
      </c>
      <c r="C13948" t="s">
        <v>16774</v>
      </c>
      <c r="E13948" t="s">
        <v>29448</v>
      </c>
      <c r="F13948" t="s">
        <v>30052</v>
      </c>
      <c r="G13948" t="s">
        <v>30058</v>
      </c>
      <c r="H13948" t="s">
        <v>30067</v>
      </c>
      <c r="I13948" t="s">
        <v>3693</v>
      </c>
      <c r="J13948" t="s">
        <v>33360</v>
      </c>
      <c r="K13948" t="s">
        <v>39025</v>
      </c>
      <c r="M13948" t="s">
        <v>41227</v>
      </c>
      <c r="N13948" t="s">
        <v>43166</v>
      </c>
      <c r="O13948" t="s">
        <v>43167</v>
      </c>
      <c r="P13948">
        <v>0</v>
      </c>
      <c r="Q13948">
        <v>0</v>
      </c>
      <c r="R13948" t="s">
        <v>43190</v>
      </c>
      <c r="S13948" t="s">
        <v>44274</v>
      </c>
      <c r="T13948" t="s">
        <v>44696</v>
      </c>
      <c r="U13948" t="s">
        <v>50430</v>
      </c>
      <c r="W13948" t="s">
        <v>41227</v>
      </c>
      <c r="X13948" t="s">
        <v>43192</v>
      </c>
    </row>
    <row r="13949" spans="1:24">
      <c r="A13949">
        <f>HYPERLINK("https://www.philgeps.gov.ph/GEPSNONPILOT/Tender/SplashBidNoticeAbstractUI.aspx?menuIndex=3&amp;refID=7041234&amp;Result=3","7041234")</f>
        <v>0</v>
      </c>
      <c r="B13949" t="s">
        <v>2774</v>
      </c>
      <c r="C13949" t="s">
        <v>16775</v>
      </c>
      <c r="D13949" t="s">
        <v>17457</v>
      </c>
      <c r="E13949" t="s">
        <v>29449</v>
      </c>
      <c r="F13949" t="s">
        <v>30052</v>
      </c>
      <c r="G13949" t="s">
        <v>30058</v>
      </c>
      <c r="H13949" t="s">
        <v>15498</v>
      </c>
      <c r="I13949" t="s">
        <v>30073</v>
      </c>
      <c r="J13949" t="s">
        <v>38653</v>
      </c>
      <c r="K13949" t="s">
        <v>39029</v>
      </c>
      <c r="M13949" t="s">
        <v>42310</v>
      </c>
      <c r="N13949" t="s">
        <v>43166</v>
      </c>
      <c r="O13949" t="s">
        <v>43167</v>
      </c>
      <c r="P13949">
        <v>0</v>
      </c>
      <c r="Q13949">
        <v>1</v>
      </c>
      <c r="R13949" t="s">
        <v>43190</v>
      </c>
      <c r="S13949" t="s">
        <v>44274</v>
      </c>
      <c r="T13949" t="s">
        <v>44969</v>
      </c>
      <c r="U13949" t="s">
        <v>56290</v>
      </c>
      <c r="W13949" t="s">
        <v>42310</v>
      </c>
      <c r="X13949" t="s">
        <v>43192</v>
      </c>
    </row>
    <row r="13950" spans="1:24">
      <c r="A13950">
        <f>HYPERLINK("https://www.philgeps.gov.ph/GEPSNONPILOT/Tender/SplashBidNoticeAbstractUI.aspx?menuIndex=3&amp;refID=7042099&amp;Result=3","7042099")</f>
        <v>0</v>
      </c>
      <c r="B13950" t="s">
        <v>1804</v>
      </c>
      <c r="C13950" t="s">
        <v>16776</v>
      </c>
      <c r="E13950" t="s">
        <v>29450</v>
      </c>
      <c r="F13950" t="s">
        <v>30052</v>
      </c>
      <c r="G13950" t="s">
        <v>30058</v>
      </c>
      <c r="H13950" t="s">
        <v>30067</v>
      </c>
      <c r="I13950" t="s">
        <v>3693</v>
      </c>
      <c r="J13950" t="s">
        <v>30555</v>
      </c>
      <c r="K13950" t="s">
        <v>39025</v>
      </c>
      <c r="M13950" t="s">
        <v>41227</v>
      </c>
      <c r="N13950" t="s">
        <v>43166</v>
      </c>
      <c r="O13950" t="s">
        <v>43167</v>
      </c>
      <c r="P13950">
        <v>0</v>
      </c>
      <c r="Q13950">
        <v>0</v>
      </c>
      <c r="R13950" t="s">
        <v>43190</v>
      </c>
      <c r="S13950" t="s">
        <v>44274</v>
      </c>
      <c r="T13950" t="s">
        <v>44696</v>
      </c>
      <c r="U13950" t="s">
        <v>50430</v>
      </c>
      <c r="W13950" t="s">
        <v>41227</v>
      </c>
      <c r="X13950" t="s">
        <v>43192</v>
      </c>
    </row>
    <row r="13951" spans="1:24">
      <c r="A13951">
        <f>HYPERLINK("https://www.philgeps.gov.ph/GEPSNONPILOT/Tender/SplashBidNoticeAbstractUI.aspx?menuIndex=3&amp;refID=7042041&amp;Result=3","7042041")</f>
        <v>0</v>
      </c>
      <c r="B13951" t="s">
        <v>3157</v>
      </c>
      <c r="C13951" t="s">
        <v>16777</v>
      </c>
      <c r="D13951" t="s">
        <v>17458</v>
      </c>
      <c r="E13951" t="s">
        <v>29451</v>
      </c>
      <c r="F13951" t="s">
        <v>30056</v>
      </c>
      <c r="G13951" t="s">
        <v>30061</v>
      </c>
      <c r="H13951" t="s">
        <v>15498</v>
      </c>
      <c r="I13951" t="s">
        <v>30116</v>
      </c>
      <c r="J13951" t="s">
        <v>36225</v>
      </c>
      <c r="K13951" t="s">
        <v>39029</v>
      </c>
      <c r="M13951" t="s">
        <v>42762</v>
      </c>
      <c r="N13951" t="s">
        <v>43166</v>
      </c>
      <c r="O13951" t="s">
        <v>43167</v>
      </c>
      <c r="Q13951">
        <v>1</v>
      </c>
      <c r="R13951" t="s">
        <v>43190</v>
      </c>
      <c r="S13951" t="s">
        <v>44282</v>
      </c>
      <c r="T13951" t="s">
        <v>44698</v>
      </c>
      <c r="U13951" t="s">
        <v>56291</v>
      </c>
      <c r="W13951" t="s">
        <v>42762</v>
      </c>
      <c r="X13951" t="s">
        <v>43192</v>
      </c>
    </row>
    <row r="13952" spans="1:24">
      <c r="A13952">
        <f>HYPERLINK("https://www.philgeps.gov.ph/GEPSNONPILOT/Tender/SplashBidNoticeAbstractUI.aspx?menuIndex=3&amp;refID=7013221-2&amp;Result=3","7013221-2")</f>
        <v>0</v>
      </c>
      <c r="B13952" t="s">
        <v>1717</v>
      </c>
      <c r="C13952" t="s">
        <v>16778</v>
      </c>
      <c r="D13952" t="s">
        <v>17435</v>
      </c>
      <c r="E13952" t="s">
        <v>29452</v>
      </c>
      <c r="F13952" t="s">
        <v>30052</v>
      </c>
      <c r="G13952" t="s">
        <v>30058</v>
      </c>
      <c r="H13952" t="s">
        <v>30068</v>
      </c>
      <c r="I13952" t="s">
        <v>30068</v>
      </c>
      <c r="J13952" t="s">
        <v>30215</v>
      </c>
      <c r="K13952" t="s">
        <v>39034</v>
      </c>
      <c r="M13952" t="s">
        <v>43006</v>
      </c>
      <c r="N13952" t="s">
        <v>43166</v>
      </c>
      <c r="O13952" t="s">
        <v>43167</v>
      </c>
      <c r="P13952">
        <v>0</v>
      </c>
      <c r="Q13952">
        <v>0</v>
      </c>
      <c r="R13952" t="s">
        <v>43190</v>
      </c>
      <c r="S13952" t="s">
        <v>44274</v>
      </c>
      <c r="T13952" t="s">
        <v>44773</v>
      </c>
      <c r="U13952" t="s">
        <v>56292</v>
      </c>
      <c r="W13952" t="s">
        <v>43006</v>
      </c>
      <c r="X13952" t="s">
        <v>43192</v>
      </c>
    </row>
    <row r="13953" spans="1:24">
      <c r="A13953">
        <f>HYPERLINK("https://www.philgeps.gov.ph/GEPSNONPILOT/Tender/SplashBidNoticeAbstractUI.aspx?menuIndex=3&amp;refID=7041985&amp;Result=3","7041985")</f>
        <v>0</v>
      </c>
      <c r="B13953" t="s">
        <v>3409</v>
      </c>
      <c r="C13953" t="s">
        <v>16779</v>
      </c>
      <c r="D13953" t="s">
        <v>17459</v>
      </c>
      <c r="E13953" t="s">
        <v>29453</v>
      </c>
      <c r="F13953" t="s">
        <v>30052</v>
      </c>
      <c r="G13953" t="s">
        <v>30058</v>
      </c>
      <c r="H13953" t="s">
        <v>15498</v>
      </c>
      <c r="I13953" t="s">
        <v>4119</v>
      </c>
      <c r="J13953" t="s">
        <v>30222</v>
      </c>
      <c r="K13953" t="s">
        <v>39029</v>
      </c>
      <c r="M13953" t="s">
        <v>43077</v>
      </c>
      <c r="N13953" t="s">
        <v>43166</v>
      </c>
      <c r="O13953" t="s">
        <v>43167</v>
      </c>
      <c r="P13953">
        <v>0</v>
      </c>
      <c r="Q13953">
        <v>11</v>
      </c>
      <c r="R13953" t="s">
        <v>43190</v>
      </c>
      <c r="S13953" t="s">
        <v>44274</v>
      </c>
      <c r="T13953" t="s">
        <v>44844</v>
      </c>
      <c r="U13953" t="s">
        <v>56293</v>
      </c>
      <c r="W13953" t="s">
        <v>43077</v>
      </c>
      <c r="X13953" t="s">
        <v>43192</v>
      </c>
    </row>
    <row r="13954" spans="1:24">
      <c r="A13954">
        <f>HYPERLINK("https://www.philgeps.gov.ph/GEPSNONPILOT/Tender/SplashBidNoticeAbstractUI.aspx?menuIndex=3&amp;refID=7043412&amp;Result=3","7043412")</f>
        <v>0</v>
      </c>
      <c r="B13954" t="s">
        <v>682</v>
      </c>
      <c r="C13954" t="s">
        <v>16780</v>
      </c>
      <c r="D13954" t="s">
        <v>17447</v>
      </c>
      <c r="E13954" t="s">
        <v>29454</v>
      </c>
      <c r="F13954" t="s">
        <v>30052</v>
      </c>
      <c r="G13954" t="s">
        <v>30058</v>
      </c>
      <c r="H13954" t="s">
        <v>30067</v>
      </c>
      <c r="I13954" t="s">
        <v>3693</v>
      </c>
      <c r="J13954" t="s">
        <v>38654</v>
      </c>
      <c r="K13954" t="s">
        <v>39026</v>
      </c>
      <c r="M13954" t="s">
        <v>43076</v>
      </c>
      <c r="N13954" t="s">
        <v>43166</v>
      </c>
      <c r="O13954" t="s">
        <v>43167</v>
      </c>
      <c r="P13954">
        <v>0</v>
      </c>
      <c r="Q13954">
        <v>3</v>
      </c>
      <c r="R13954" t="s">
        <v>43191</v>
      </c>
      <c r="S13954" t="s">
        <v>44280</v>
      </c>
      <c r="T13954" t="s">
        <v>45188</v>
      </c>
      <c r="U13954" t="s">
        <v>56294</v>
      </c>
      <c r="W13954" t="s">
        <v>43076</v>
      </c>
      <c r="X13954" t="s">
        <v>43190</v>
      </c>
    </row>
    <row r="13955" spans="1:24">
      <c r="A13955">
        <f>HYPERLINK("https://www.philgeps.gov.ph/GEPSNONPILOT/Tender/SplashBidNoticeAbstractUI.aspx?menuIndex=3&amp;refID=7041975&amp;Result=3","7041975")</f>
        <v>0</v>
      </c>
      <c r="B13955" t="s">
        <v>1804</v>
      </c>
      <c r="C13955" t="s">
        <v>16781</v>
      </c>
      <c r="E13955" t="s">
        <v>29455</v>
      </c>
      <c r="F13955" t="s">
        <v>30052</v>
      </c>
      <c r="G13955" t="s">
        <v>30058</v>
      </c>
      <c r="H13955" t="s">
        <v>30067</v>
      </c>
      <c r="I13955" t="s">
        <v>3693</v>
      </c>
      <c r="J13955" t="s">
        <v>30205</v>
      </c>
      <c r="K13955" t="s">
        <v>39025</v>
      </c>
      <c r="M13955" t="s">
        <v>41227</v>
      </c>
      <c r="N13955" t="s">
        <v>43166</v>
      </c>
      <c r="O13955" t="s">
        <v>43167</v>
      </c>
      <c r="P13955">
        <v>0</v>
      </c>
      <c r="Q13955">
        <v>0</v>
      </c>
      <c r="R13955" t="s">
        <v>43190</v>
      </c>
      <c r="S13955" t="s">
        <v>44274</v>
      </c>
      <c r="T13955" t="s">
        <v>44696</v>
      </c>
      <c r="U13955" t="s">
        <v>50430</v>
      </c>
      <c r="W13955" t="s">
        <v>41227</v>
      </c>
      <c r="X13955" t="s">
        <v>43192</v>
      </c>
    </row>
    <row r="13956" spans="1:24">
      <c r="A13956">
        <f>HYPERLINK("https://www.philgeps.gov.ph/GEPSNONPILOT/Tender/SplashBidNoticeAbstractUI.aspx?menuIndex=3&amp;refID=7041952&amp;Result=3","7041952")</f>
        <v>0</v>
      </c>
      <c r="B13956" t="s">
        <v>1804</v>
      </c>
      <c r="C13956" t="s">
        <v>16782</v>
      </c>
      <c r="E13956" t="s">
        <v>29456</v>
      </c>
      <c r="F13956" t="s">
        <v>30052</v>
      </c>
      <c r="G13956" t="s">
        <v>30058</v>
      </c>
      <c r="H13956" t="s">
        <v>30067</v>
      </c>
      <c r="I13956" t="s">
        <v>3693</v>
      </c>
      <c r="J13956" t="s">
        <v>30205</v>
      </c>
      <c r="K13956" t="s">
        <v>39025</v>
      </c>
      <c r="M13956" t="s">
        <v>41227</v>
      </c>
      <c r="N13956" t="s">
        <v>43166</v>
      </c>
      <c r="O13956" t="s">
        <v>43167</v>
      </c>
      <c r="P13956">
        <v>0</v>
      </c>
      <c r="Q13956">
        <v>0</v>
      </c>
      <c r="R13956" t="s">
        <v>43190</v>
      </c>
      <c r="S13956" t="s">
        <v>44274</v>
      </c>
      <c r="T13956" t="s">
        <v>44696</v>
      </c>
      <c r="U13956" t="s">
        <v>50430</v>
      </c>
      <c r="W13956" t="s">
        <v>41227</v>
      </c>
      <c r="X13956" t="s">
        <v>43192</v>
      </c>
    </row>
    <row r="13957" spans="1:24">
      <c r="A13957">
        <f>HYPERLINK("https://www.philgeps.gov.ph/GEPSNONPILOT/Tender/SplashBidNoticeAbstractUI.aspx?menuIndex=3&amp;refID=7042043&amp;Result=3","7042043")</f>
        <v>0</v>
      </c>
      <c r="B13957" t="s">
        <v>1804</v>
      </c>
      <c r="C13957" t="s">
        <v>16783</v>
      </c>
      <c r="E13957" t="s">
        <v>29457</v>
      </c>
      <c r="F13957" t="s">
        <v>30052</v>
      </c>
      <c r="G13957" t="s">
        <v>30058</v>
      </c>
      <c r="H13957" t="s">
        <v>30067</v>
      </c>
      <c r="I13957" t="s">
        <v>3693</v>
      </c>
      <c r="J13957" t="s">
        <v>38655</v>
      </c>
      <c r="K13957" t="s">
        <v>39025</v>
      </c>
      <c r="M13957" t="s">
        <v>41227</v>
      </c>
      <c r="N13957" t="s">
        <v>43166</v>
      </c>
      <c r="O13957" t="s">
        <v>43167</v>
      </c>
      <c r="P13957">
        <v>0</v>
      </c>
      <c r="Q13957">
        <v>0</v>
      </c>
      <c r="R13957" t="s">
        <v>43190</v>
      </c>
      <c r="S13957" t="s">
        <v>44274</v>
      </c>
      <c r="T13957" t="s">
        <v>44696</v>
      </c>
      <c r="U13957" t="s">
        <v>50430</v>
      </c>
      <c r="W13957" t="s">
        <v>41227</v>
      </c>
      <c r="X13957" t="s">
        <v>43192</v>
      </c>
    </row>
    <row r="13958" spans="1:24">
      <c r="A13958">
        <f>HYPERLINK("https://www.philgeps.gov.ph/GEPSNONPILOT/Tender/SplashBidNoticeAbstractUI.aspx?menuIndex=3&amp;refID=7041893&amp;Result=3","7041893")</f>
        <v>0</v>
      </c>
      <c r="B13958" t="s">
        <v>752</v>
      </c>
      <c r="C13958" t="s">
        <v>16784</v>
      </c>
      <c r="D13958" t="s">
        <v>17415</v>
      </c>
      <c r="E13958" t="s">
        <v>29458</v>
      </c>
      <c r="F13958" t="s">
        <v>30052</v>
      </c>
      <c r="G13958" t="s">
        <v>30058</v>
      </c>
      <c r="H13958" t="s">
        <v>15498</v>
      </c>
      <c r="I13958" t="s">
        <v>30076</v>
      </c>
      <c r="J13958" t="s">
        <v>38656</v>
      </c>
      <c r="K13958" t="s">
        <v>39017</v>
      </c>
      <c r="M13958" t="s">
        <v>43078</v>
      </c>
      <c r="N13958" t="s">
        <v>43166</v>
      </c>
      <c r="O13958" t="s">
        <v>43167</v>
      </c>
      <c r="Q13958">
        <v>5</v>
      </c>
      <c r="R13958" t="s">
        <v>43190</v>
      </c>
      <c r="S13958" t="s">
        <v>44283</v>
      </c>
      <c r="T13958" t="s">
        <v>44773</v>
      </c>
      <c r="U13958" t="s">
        <v>56295</v>
      </c>
      <c r="W13958" t="s">
        <v>43078</v>
      </c>
      <c r="X13958" t="s">
        <v>43192</v>
      </c>
    </row>
    <row r="13959" spans="1:24">
      <c r="A13959">
        <f>HYPERLINK("https://www.philgeps.gov.ph/GEPSNONPILOT/Tender/SplashBidNoticeAbstractUI.aspx?menuIndex=3&amp;refID=7041713&amp;Result=3","7041713")</f>
        <v>0</v>
      </c>
      <c r="B13959" t="s">
        <v>1804</v>
      </c>
      <c r="C13959" t="s">
        <v>16785</v>
      </c>
      <c r="E13959" t="s">
        <v>29459</v>
      </c>
      <c r="F13959" t="s">
        <v>30052</v>
      </c>
      <c r="G13959" t="s">
        <v>30058</v>
      </c>
      <c r="H13959" t="s">
        <v>30068</v>
      </c>
      <c r="I13959" t="s">
        <v>30068</v>
      </c>
      <c r="J13959" t="s">
        <v>38657</v>
      </c>
      <c r="K13959" t="s">
        <v>39025</v>
      </c>
      <c r="M13959" t="s">
        <v>41227</v>
      </c>
      <c r="N13959" t="s">
        <v>43166</v>
      </c>
      <c r="O13959" t="s">
        <v>43167</v>
      </c>
      <c r="P13959">
        <v>0</v>
      </c>
      <c r="Q13959">
        <v>5</v>
      </c>
      <c r="R13959" t="s">
        <v>43190</v>
      </c>
      <c r="S13959" t="s">
        <v>44274</v>
      </c>
      <c r="T13959" t="s">
        <v>44696</v>
      </c>
      <c r="U13959" t="s">
        <v>56296</v>
      </c>
      <c r="W13959" t="s">
        <v>41227</v>
      </c>
      <c r="X13959" t="s">
        <v>43192</v>
      </c>
    </row>
    <row r="13960" spans="1:24">
      <c r="A13960">
        <f>HYPERLINK("https://www.philgeps.gov.ph/GEPSNONPILOT/Tender/SplashBidNoticeAbstractUI.aspx?menuIndex=3&amp;refID=7044148&amp;Result=3","7044148")</f>
        <v>0</v>
      </c>
      <c r="B13960" t="s">
        <v>3404</v>
      </c>
      <c r="C13960" t="s">
        <v>16786</v>
      </c>
      <c r="D13960" t="s">
        <v>17443</v>
      </c>
      <c r="E13960" t="s">
        <v>21507</v>
      </c>
      <c r="F13960" t="s">
        <v>30052</v>
      </c>
      <c r="G13960" t="s">
        <v>30058</v>
      </c>
      <c r="H13960" t="s">
        <v>30067</v>
      </c>
      <c r="I13960" t="s">
        <v>3693</v>
      </c>
      <c r="J13960" t="s">
        <v>38658</v>
      </c>
      <c r="K13960" t="s">
        <v>39023</v>
      </c>
      <c r="L13960" t="s">
        <v>3404</v>
      </c>
      <c r="M13960" t="s">
        <v>43071</v>
      </c>
      <c r="N13960" t="s">
        <v>43166</v>
      </c>
      <c r="O13960" t="s">
        <v>43167</v>
      </c>
      <c r="P13960">
        <v>0</v>
      </c>
      <c r="Q13960">
        <v>0</v>
      </c>
      <c r="R13960" t="s">
        <v>43189</v>
      </c>
      <c r="S13960" t="s">
        <v>44254</v>
      </c>
      <c r="T13960" t="s">
        <v>44844</v>
      </c>
      <c r="U13960" t="s">
        <v>56297</v>
      </c>
      <c r="V13960" t="s">
        <v>58487</v>
      </c>
      <c r="W13960" t="s">
        <v>43071</v>
      </c>
      <c r="X13960" t="s">
        <v>43285</v>
      </c>
    </row>
    <row r="13961" spans="1:24">
      <c r="A13961">
        <f>HYPERLINK("https://www.philgeps.gov.ph/GEPSNONPILOT/Tender/SplashBidNoticeAbstractUI.aspx?menuIndex=3&amp;refID=7043029&amp;Result=3","7043029")</f>
        <v>0</v>
      </c>
      <c r="B13961" t="s">
        <v>538</v>
      </c>
      <c r="C13961" t="s">
        <v>16787</v>
      </c>
      <c r="D13961" t="s">
        <v>17414</v>
      </c>
      <c r="E13961" t="s">
        <v>29460</v>
      </c>
      <c r="F13961" t="s">
        <v>30052</v>
      </c>
      <c r="G13961" t="s">
        <v>30058</v>
      </c>
      <c r="H13961" t="s">
        <v>30067</v>
      </c>
      <c r="I13961" t="s">
        <v>3693</v>
      </c>
      <c r="J13961" t="s">
        <v>38659</v>
      </c>
      <c r="K13961" t="s">
        <v>39065</v>
      </c>
      <c r="M13961" t="s">
        <v>39840</v>
      </c>
      <c r="N13961" t="s">
        <v>43166</v>
      </c>
      <c r="O13961" t="s">
        <v>43167</v>
      </c>
      <c r="P13961">
        <v>0</v>
      </c>
      <c r="Q13961">
        <v>3</v>
      </c>
      <c r="R13961" t="s">
        <v>43190</v>
      </c>
      <c r="S13961" t="s">
        <v>44274</v>
      </c>
      <c r="T13961" t="s">
        <v>44830</v>
      </c>
      <c r="U13961" t="s">
        <v>56298</v>
      </c>
      <c r="V13961" t="s">
        <v>58495</v>
      </c>
      <c r="W13961" t="s">
        <v>39840</v>
      </c>
      <c r="X13961" t="s">
        <v>43192</v>
      </c>
    </row>
    <row r="13962" spans="1:24">
      <c r="A13962">
        <f>HYPERLINK("https://www.philgeps.gov.ph/GEPSNONPILOT/Tender/SplashBidNoticeAbstractUI.aspx?menuIndex=3&amp;refID=7043015&amp;Result=3","7043015")</f>
        <v>0</v>
      </c>
      <c r="B13962" t="s">
        <v>538</v>
      </c>
      <c r="C13962" t="s">
        <v>16788</v>
      </c>
      <c r="D13962" t="s">
        <v>17414</v>
      </c>
      <c r="E13962" t="s">
        <v>29461</v>
      </c>
      <c r="F13962" t="s">
        <v>30052</v>
      </c>
      <c r="G13962" t="s">
        <v>30058</v>
      </c>
      <c r="H13962" t="s">
        <v>30067</v>
      </c>
      <c r="I13962" t="s">
        <v>3693</v>
      </c>
      <c r="J13962" t="s">
        <v>38660</v>
      </c>
      <c r="K13962" t="s">
        <v>39065</v>
      </c>
      <c r="M13962" t="s">
        <v>39840</v>
      </c>
      <c r="N13962" t="s">
        <v>43166</v>
      </c>
      <c r="O13962" t="s">
        <v>43167</v>
      </c>
      <c r="P13962">
        <v>0</v>
      </c>
      <c r="Q13962">
        <v>4</v>
      </c>
      <c r="R13962" t="s">
        <v>43190</v>
      </c>
      <c r="S13962" t="s">
        <v>44274</v>
      </c>
      <c r="T13962" t="s">
        <v>44830</v>
      </c>
      <c r="U13962" t="s">
        <v>56298</v>
      </c>
      <c r="V13962" t="s">
        <v>58495</v>
      </c>
      <c r="W13962" t="s">
        <v>39840</v>
      </c>
      <c r="X13962" t="s">
        <v>43192</v>
      </c>
    </row>
    <row r="13963" spans="1:24">
      <c r="A13963">
        <f>HYPERLINK("https://www.philgeps.gov.ph/GEPSNONPILOT/Tender/SplashBidNoticeAbstractUI.aspx?menuIndex=3&amp;refID=7042995&amp;Result=3","7042995")</f>
        <v>0</v>
      </c>
      <c r="B13963" t="s">
        <v>538</v>
      </c>
      <c r="C13963" t="s">
        <v>16789</v>
      </c>
      <c r="D13963" t="s">
        <v>17414</v>
      </c>
      <c r="E13963" t="s">
        <v>29462</v>
      </c>
      <c r="F13963" t="s">
        <v>30052</v>
      </c>
      <c r="G13963" t="s">
        <v>30058</v>
      </c>
      <c r="H13963" t="s">
        <v>30067</v>
      </c>
      <c r="I13963" t="s">
        <v>3693</v>
      </c>
      <c r="J13963" t="s">
        <v>38661</v>
      </c>
      <c r="K13963" t="s">
        <v>39065</v>
      </c>
      <c r="M13963" t="s">
        <v>39840</v>
      </c>
      <c r="N13963" t="s">
        <v>43166</v>
      </c>
      <c r="O13963" t="s">
        <v>43167</v>
      </c>
      <c r="P13963">
        <v>0</v>
      </c>
      <c r="Q13963">
        <v>5</v>
      </c>
      <c r="R13963" t="s">
        <v>43190</v>
      </c>
      <c r="S13963" t="s">
        <v>44274</v>
      </c>
      <c r="T13963" t="s">
        <v>44830</v>
      </c>
      <c r="U13963" t="s">
        <v>56298</v>
      </c>
      <c r="V13963" t="s">
        <v>58495</v>
      </c>
      <c r="W13963" t="s">
        <v>39840</v>
      </c>
      <c r="X13963" t="s">
        <v>43192</v>
      </c>
    </row>
    <row r="13964" spans="1:24">
      <c r="A13964">
        <f>HYPERLINK("https://www.philgeps.gov.ph/GEPSNONPILOT/Tender/SplashBidNoticeAbstractUI.aspx?menuIndex=3&amp;refID=7034720&amp;Result=3","7034720")</f>
        <v>0</v>
      </c>
      <c r="B13964" t="s">
        <v>3410</v>
      </c>
      <c r="C13964" t="s">
        <v>5217</v>
      </c>
      <c r="D13964" t="s">
        <v>17422</v>
      </c>
      <c r="E13964" t="s">
        <v>18583</v>
      </c>
      <c r="F13964" t="s">
        <v>30052</v>
      </c>
      <c r="G13964" t="s">
        <v>30058</v>
      </c>
      <c r="H13964" t="s">
        <v>30067</v>
      </c>
      <c r="I13964" t="s">
        <v>30106</v>
      </c>
      <c r="J13964" t="s">
        <v>30277</v>
      </c>
      <c r="K13964" t="s">
        <v>39029</v>
      </c>
      <c r="M13964" t="s">
        <v>43079</v>
      </c>
      <c r="N13964" t="s">
        <v>43166</v>
      </c>
      <c r="O13964" t="s">
        <v>43167</v>
      </c>
      <c r="P13964">
        <v>0</v>
      </c>
      <c r="Q13964">
        <v>2</v>
      </c>
      <c r="R13964" t="s">
        <v>43190</v>
      </c>
      <c r="S13964" t="s">
        <v>44274</v>
      </c>
      <c r="T13964" t="s">
        <v>45047</v>
      </c>
      <c r="U13964" t="s">
        <v>56299</v>
      </c>
      <c r="W13964" t="s">
        <v>43079</v>
      </c>
      <c r="X13964" t="s">
        <v>43195</v>
      </c>
    </row>
    <row r="13965" spans="1:24">
      <c r="A13965">
        <f>HYPERLINK("https://www.philgeps.gov.ph/GEPSNONPILOT/Tender/SplashBidNoticeAbstractUI.aspx?menuIndex=3&amp;refID=7042068&amp;Result=3","7042068")</f>
        <v>0</v>
      </c>
      <c r="B13965" t="s">
        <v>1804</v>
      </c>
      <c r="C13965" t="s">
        <v>16790</v>
      </c>
      <c r="E13965" t="s">
        <v>29463</v>
      </c>
      <c r="F13965" t="s">
        <v>30052</v>
      </c>
      <c r="G13965" t="s">
        <v>30058</v>
      </c>
      <c r="H13965" t="s">
        <v>30067</v>
      </c>
      <c r="I13965" t="s">
        <v>3693</v>
      </c>
      <c r="J13965" t="s">
        <v>30281</v>
      </c>
      <c r="K13965" t="s">
        <v>39025</v>
      </c>
      <c r="M13965" t="s">
        <v>41227</v>
      </c>
      <c r="N13965" t="s">
        <v>43166</v>
      </c>
      <c r="O13965" t="s">
        <v>43167</v>
      </c>
      <c r="Q13965">
        <v>0</v>
      </c>
      <c r="R13965" t="s">
        <v>43190</v>
      </c>
      <c r="S13965" t="s">
        <v>44284</v>
      </c>
      <c r="T13965" t="s">
        <v>44696</v>
      </c>
      <c r="U13965" t="s">
        <v>50430</v>
      </c>
      <c r="W13965" t="s">
        <v>41227</v>
      </c>
      <c r="X13965" t="s">
        <v>43192</v>
      </c>
    </row>
    <row r="13966" spans="1:24">
      <c r="A13966">
        <f>HYPERLINK("https://www.philgeps.gov.ph/GEPSNONPILOT/Tender/SplashBidNoticeAbstractUI.aspx?menuIndex=3&amp;refID=7042020&amp;Result=3","7042020")</f>
        <v>0</v>
      </c>
      <c r="B13966" t="s">
        <v>1804</v>
      </c>
      <c r="C13966" t="s">
        <v>16791</v>
      </c>
      <c r="E13966" t="s">
        <v>29464</v>
      </c>
      <c r="F13966" t="s">
        <v>30052</v>
      </c>
      <c r="G13966" t="s">
        <v>30058</v>
      </c>
      <c r="H13966" t="s">
        <v>30067</v>
      </c>
      <c r="I13966" t="s">
        <v>3693</v>
      </c>
      <c r="J13966" t="s">
        <v>30212</v>
      </c>
      <c r="K13966" t="s">
        <v>39025</v>
      </c>
      <c r="M13966" t="s">
        <v>41227</v>
      </c>
      <c r="N13966" t="s">
        <v>43166</v>
      </c>
      <c r="O13966" t="s">
        <v>43167</v>
      </c>
      <c r="P13966">
        <v>0</v>
      </c>
      <c r="Q13966">
        <v>0</v>
      </c>
      <c r="R13966" t="s">
        <v>43190</v>
      </c>
      <c r="S13966" t="s">
        <v>44274</v>
      </c>
      <c r="T13966" t="s">
        <v>44696</v>
      </c>
      <c r="U13966" t="s">
        <v>50430</v>
      </c>
      <c r="W13966" t="s">
        <v>41227</v>
      </c>
      <c r="X13966" t="s">
        <v>43192</v>
      </c>
    </row>
    <row r="13967" spans="1:24">
      <c r="A13967">
        <f>HYPERLINK("https://www.philgeps.gov.ph/GEPSNONPILOT/Tender/SplashBidNoticeAbstractUI.aspx?menuIndex=3&amp;refID=7042922&amp;Result=3","7042922")</f>
        <v>0</v>
      </c>
      <c r="B13967" t="s">
        <v>910</v>
      </c>
      <c r="C13967" t="s">
        <v>16792</v>
      </c>
      <c r="D13967" t="s">
        <v>17427</v>
      </c>
      <c r="E13967" t="s">
        <v>29465</v>
      </c>
      <c r="F13967" t="s">
        <v>30052</v>
      </c>
      <c r="G13967" t="s">
        <v>30058</v>
      </c>
      <c r="H13967" t="s">
        <v>15498</v>
      </c>
      <c r="I13967" t="s">
        <v>30074</v>
      </c>
      <c r="J13967" t="s">
        <v>31447</v>
      </c>
      <c r="K13967" t="s">
        <v>39023</v>
      </c>
      <c r="M13967" t="s">
        <v>41159</v>
      </c>
      <c r="N13967" t="s">
        <v>43166</v>
      </c>
      <c r="O13967" t="s">
        <v>43167</v>
      </c>
      <c r="P13967">
        <v>0</v>
      </c>
      <c r="Q13967">
        <v>11</v>
      </c>
      <c r="R13967" t="s">
        <v>43190</v>
      </c>
      <c r="S13967" t="s">
        <v>44274</v>
      </c>
      <c r="T13967" t="s">
        <v>44844</v>
      </c>
      <c r="U13967" t="s">
        <v>56300</v>
      </c>
      <c r="W13967" t="s">
        <v>41159</v>
      </c>
      <c r="X13967" t="s">
        <v>43192</v>
      </c>
    </row>
    <row r="13968" spans="1:24">
      <c r="A13968">
        <f>HYPERLINK("https://www.philgeps.gov.ph/GEPSNONPILOT/Tender/SplashBidNoticeAbstractUI.aspx?menuIndex=3&amp;refID=7042882&amp;Result=3","7042882")</f>
        <v>0</v>
      </c>
      <c r="B13968" t="s">
        <v>910</v>
      </c>
      <c r="C13968" t="s">
        <v>16793</v>
      </c>
      <c r="D13968" t="s">
        <v>17427</v>
      </c>
      <c r="E13968" t="s">
        <v>29466</v>
      </c>
      <c r="F13968" t="s">
        <v>30052</v>
      </c>
      <c r="G13968" t="s">
        <v>30058</v>
      </c>
      <c r="H13968" t="s">
        <v>15498</v>
      </c>
      <c r="I13968" t="s">
        <v>3852</v>
      </c>
      <c r="J13968" t="s">
        <v>30281</v>
      </c>
      <c r="K13968" t="s">
        <v>39029</v>
      </c>
      <c r="M13968" t="s">
        <v>41159</v>
      </c>
      <c r="N13968" t="s">
        <v>43166</v>
      </c>
      <c r="O13968" t="s">
        <v>43167</v>
      </c>
      <c r="Q13968">
        <v>5</v>
      </c>
      <c r="R13968" t="s">
        <v>43190</v>
      </c>
      <c r="S13968" t="s">
        <v>44285</v>
      </c>
      <c r="T13968" t="s">
        <v>44844</v>
      </c>
      <c r="U13968" t="s">
        <v>56301</v>
      </c>
      <c r="W13968" t="s">
        <v>41159</v>
      </c>
      <c r="X13968" t="s">
        <v>43192</v>
      </c>
    </row>
    <row r="13969" spans="1:24">
      <c r="A13969">
        <f>HYPERLINK("https://www.philgeps.gov.ph/GEPSNONPILOT/Tender/SplashBidNoticeAbstractUI.aspx?menuIndex=3&amp;refID=7041928&amp;Result=3","7041928")</f>
        <v>0</v>
      </c>
      <c r="B13969" t="s">
        <v>1804</v>
      </c>
      <c r="C13969" t="s">
        <v>16794</v>
      </c>
      <c r="E13969" t="s">
        <v>29467</v>
      </c>
      <c r="F13969" t="s">
        <v>30052</v>
      </c>
      <c r="G13969" t="s">
        <v>30058</v>
      </c>
      <c r="H13969" t="s">
        <v>30067</v>
      </c>
      <c r="I13969" t="s">
        <v>3693</v>
      </c>
      <c r="J13969" t="s">
        <v>30321</v>
      </c>
      <c r="K13969" t="s">
        <v>39025</v>
      </c>
      <c r="M13969" t="s">
        <v>41227</v>
      </c>
      <c r="N13969" t="s">
        <v>43166</v>
      </c>
      <c r="O13969" t="s">
        <v>43167</v>
      </c>
      <c r="P13969">
        <v>0</v>
      </c>
      <c r="Q13969">
        <v>0</v>
      </c>
      <c r="R13969" t="s">
        <v>43190</v>
      </c>
      <c r="S13969" t="s">
        <v>44274</v>
      </c>
      <c r="T13969" t="s">
        <v>44696</v>
      </c>
      <c r="U13969" t="s">
        <v>50430</v>
      </c>
      <c r="W13969" t="s">
        <v>41227</v>
      </c>
      <c r="X13969" t="s">
        <v>43192</v>
      </c>
    </row>
    <row r="13970" spans="1:24">
      <c r="A13970">
        <f>HYPERLINK("https://www.philgeps.gov.ph/GEPSNONPILOT/Tender/SplashBidNoticeAbstractUI.aspx?menuIndex=3&amp;refID=7042735&amp;Result=3","7042735")</f>
        <v>0</v>
      </c>
      <c r="B13970" t="s">
        <v>1017</v>
      </c>
      <c r="C13970" t="s">
        <v>16795</v>
      </c>
      <c r="D13970" t="s">
        <v>17444</v>
      </c>
      <c r="E13970" t="s">
        <v>29468</v>
      </c>
      <c r="F13970" t="s">
        <v>30052</v>
      </c>
      <c r="G13970" t="s">
        <v>30058</v>
      </c>
      <c r="H13970" t="s">
        <v>15498</v>
      </c>
      <c r="I13970" t="s">
        <v>30091</v>
      </c>
      <c r="J13970" t="s">
        <v>38662</v>
      </c>
      <c r="K13970" t="s">
        <v>39023</v>
      </c>
      <c r="M13970" t="s">
        <v>40346</v>
      </c>
      <c r="N13970" t="s">
        <v>43166</v>
      </c>
      <c r="O13970" t="s">
        <v>43167</v>
      </c>
      <c r="P13970">
        <v>0</v>
      </c>
      <c r="Q13970">
        <v>6</v>
      </c>
      <c r="R13970" t="s">
        <v>43190</v>
      </c>
      <c r="S13970" t="s">
        <v>44274</v>
      </c>
      <c r="T13970" t="s">
        <v>44844</v>
      </c>
      <c r="U13970" t="s">
        <v>48912</v>
      </c>
      <c r="W13970" t="s">
        <v>40346</v>
      </c>
      <c r="X13970" t="s">
        <v>43192</v>
      </c>
    </row>
    <row r="13971" spans="1:24">
      <c r="A13971">
        <f>HYPERLINK("https://www.philgeps.gov.ph/GEPSNONPILOT/Tender/SplashBidNoticeAbstractUI.aspx?menuIndex=3&amp;refID=7042618&amp;Result=3","7042618")</f>
        <v>0</v>
      </c>
      <c r="B13971" t="s">
        <v>1378</v>
      </c>
      <c r="C13971" t="s">
        <v>16796</v>
      </c>
      <c r="D13971" t="s">
        <v>17440</v>
      </c>
      <c r="E13971" t="s">
        <v>29469</v>
      </c>
      <c r="F13971" t="s">
        <v>30052</v>
      </c>
      <c r="G13971" t="s">
        <v>30058</v>
      </c>
      <c r="H13971" t="s">
        <v>15498</v>
      </c>
      <c r="I13971" t="s">
        <v>30071</v>
      </c>
      <c r="J13971" t="s">
        <v>38663</v>
      </c>
      <c r="K13971" t="s">
        <v>39023</v>
      </c>
      <c r="M13971" t="s">
        <v>40753</v>
      </c>
      <c r="N13971" t="s">
        <v>43166</v>
      </c>
      <c r="O13971" t="s">
        <v>43167</v>
      </c>
      <c r="P13971">
        <v>0</v>
      </c>
      <c r="Q13971">
        <v>8</v>
      </c>
      <c r="R13971" t="s">
        <v>43190</v>
      </c>
      <c r="S13971" t="s">
        <v>44274</v>
      </c>
      <c r="T13971" t="s">
        <v>44717</v>
      </c>
      <c r="U13971" t="s">
        <v>56302</v>
      </c>
      <c r="W13971" t="s">
        <v>40753</v>
      </c>
      <c r="X13971" t="s">
        <v>43192</v>
      </c>
    </row>
    <row r="13972" spans="1:24">
      <c r="A13972">
        <f>HYPERLINK("https://www.philgeps.gov.ph/GEPSNONPILOT/Tender/SplashBidNoticeAbstractUI.aspx?menuIndex=3&amp;refID=7042971&amp;Result=3","7042971")</f>
        <v>0</v>
      </c>
      <c r="B13972" t="s">
        <v>538</v>
      </c>
      <c r="C13972" t="s">
        <v>16797</v>
      </c>
      <c r="D13972" t="s">
        <v>17414</v>
      </c>
      <c r="E13972" t="s">
        <v>29470</v>
      </c>
      <c r="F13972" t="s">
        <v>30052</v>
      </c>
      <c r="G13972" t="s">
        <v>30058</v>
      </c>
      <c r="H13972" t="s">
        <v>15498</v>
      </c>
      <c r="I13972" t="s">
        <v>4119</v>
      </c>
      <c r="J13972" t="s">
        <v>38664</v>
      </c>
      <c r="K13972" t="s">
        <v>39029</v>
      </c>
      <c r="M13972" t="s">
        <v>39840</v>
      </c>
      <c r="N13972" t="s">
        <v>43166</v>
      </c>
      <c r="O13972" t="s">
        <v>43167</v>
      </c>
      <c r="P13972">
        <v>0</v>
      </c>
      <c r="Q13972">
        <v>2</v>
      </c>
      <c r="R13972" t="s">
        <v>43190</v>
      </c>
      <c r="S13972" t="s">
        <v>44274</v>
      </c>
      <c r="T13972" t="s">
        <v>44830</v>
      </c>
      <c r="U13972" t="s">
        <v>56303</v>
      </c>
      <c r="V13972" t="s">
        <v>56969</v>
      </c>
      <c r="W13972" t="s">
        <v>39840</v>
      </c>
      <c r="X13972" t="s">
        <v>43192</v>
      </c>
    </row>
    <row r="13973" spans="1:24">
      <c r="A13973">
        <f>HYPERLINK("https://www.philgeps.gov.ph/GEPSNONPILOT/Tender/SplashBidNoticeAbstractUI.aspx?menuIndex=3&amp;refID=7042599&amp;Result=3","7042599")</f>
        <v>0</v>
      </c>
      <c r="B13973" t="s">
        <v>1017</v>
      </c>
      <c r="C13973" t="s">
        <v>16798</v>
      </c>
      <c r="D13973" t="s">
        <v>17444</v>
      </c>
      <c r="E13973" t="s">
        <v>29471</v>
      </c>
      <c r="F13973" t="s">
        <v>30052</v>
      </c>
      <c r="G13973" t="s">
        <v>30058</v>
      </c>
      <c r="H13973" t="s">
        <v>15498</v>
      </c>
      <c r="I13973" t="s">
        <v>30084</v>
      </c>
      <c r="J13973" t="s">
        <v>38665</v>
      </c>
      <c r="K13973" t="s">
        <v>39029</v>
      </c>
      <c r="M13973" t="s">
        <v>40346</v>
      </c>
      <c r="N13973" t="s">
        <v>43166</v>
      </c>
      <c r="O13973" t="s">
        <v>43167</v>
      </c>
      <c r="P13973">
        <v>0</v>
      </c>
      <c r="Q13973">
        <v>5</v>
      </c>
      <c r="R13973" t="s">
        <v>43190</v>
      </c>
      <c r="S13973" t="s">
        <v>44274</v>
      </c>
      <c r="T13973" t="s">
        <v>44844</v>
      </c>
      <c r="U13973" t="s">
        <v>48912</v>
      </c>
      <c r="W13973" t="s">
        <v>40346</v>
      </c>
      <c r="X13973" t="s">
        <v>43192</v>
      </c>
    </row>
    <row r="13974" spans="1:24">
      <c r="A13974">
        <f>HYPERLINK("https://www.philgeps.gov.ph/GEPSNONPILOT/Tender/SplashBidNoticeAbstractUI.aspx?menuIndex=3&amp;refID=7042550&amp;Result=3","7042550")</f>
        <v>0</v>
      </c>
      <c r="B13974" t="s">
        <v>3411</v>
      </c>
      <c r="C13974" t="s">
        <v>16799</v>
      </c>
      <c r="D13974" t="s">
        <v>17441</v>
      </c>
      <c r="E13974" t="s">
        <v>24131</v>
      </c>
      <c r="F13974" t="s">
        <v>30052</v>
      </c>
      <c r="G13974" t="s">
        <v>30059</v>
      </c>
      <c r="H13974" t="s">
        <v>15498</v>
      </c>
      <c r="I13974" t="s">
        <v>30084</v>
      </c>
      <c r="J13974" t="s">
        <v>33733</v>
      </c>
      <c r="K13974" t="s">
        <v>39023</v>
      </c>
      <c r="M13974" t="s">
        <v>43080</v>
      </c>
      <c r="N13974" t="s">
        <v>43166</v>
      </c>
      <c r="O13974" t="s">
        <v>43167</v>
      </c>
      <c r="P13974">
        <v>0</v>
      </c>
      <c r="Q13974">
        <v>7</v>
      </c>
      <c r="R13974" t="s">
        <v>43190</v>
      </c>
      <c r="S13974" t="s">
        <v>44274</v>
      </c>
      <c r="T13974" t="s">
        <v>44679</v>
      </c>
      <c r="U13974" t="s">
        <v>56304</v>
      </c>
      <c r="W13974" t="s">
        <v>43080</v>
      </c>
      <c r="X13974" t="s">
        <v>43192</v>
      </c>
    </row>
    <row r="13975" spans="1:24">
      <c r="A13975">
        <f>HYPERLINK("https://www.philgeps.gov.ph/GEPSNONPILOT/Tender/SplashBidNoticeAbstractUI.aspx?menuIndex=3&amp;refID=7042519&amp;Result=3","7042519")</f>
        <v>0</v>
      </c>
      <c r="B13975" t="s">
        <v>2877</v>
      </c>
      <c r="C13975" t="s">
        <v>16800</v>
      </c>
      <c r="D13975" t="s">
        <v>17419</v>
      </c>
      <c r="E13975" t="s">
        <v>29472</v>
      </c>
      <c r="F13975" t="s">
        <v>30052</v>
      </c>
      <c r="G13975" t="s">
        <v>30058</v>
      </c>
      <c r="H13975" t="s">
        <v>30067</v>
      </c>
      <c r="I13975" t="s">
        <v>3693</v>
      </c>
      <c r="J13975" t="s">
        <v>38666</v>
      </c>
      <c r="K13975" t="s">
        <v>39032</v>
      </c>
      <c r="M13975" t="s">
        <v>42426</v>
      </c>
      <c r="N13975" t="s">
        <v>43166</v>
      </c>
      <c r="O13975" t="s">
        <v>43167</v>
      </c>
      <c r="P13975">
        <v>0</v>
      </c>
      <c r="Q13975">
        <v>1</v>
      </c>
      <c r="R13975" t="s">
        <v>43190</v>
      </c>
      <c r="S13975" t="s">
        <v>44274</v>
      </c>
      <c r="T13975" t="s">
        <v>44698</v>
      </c>
      <c r="U13975" t="s">
        <v>56305</v>
      </c>
      <c r="W13975" t="s">
        <v>42426</v>
      </c>
      <c r="X13975" t="s">
        <v>43192</v>
      </c>
    </row>
    <row r="13976" spans="1:24">
      <c r="A13976">
        <f>HYPERLINK("https://www.philgeps.gov.ph/GEPSNONPILOT/Tender/SplashBidNoticeAbstractUI.aspx?menuIndex=3&amp;refID=7042424&amp;Result=3","7042424")</f>
        <v>0</v>
      </c>
      <c r="B13976" t="s">
        <v>924</v>
      </c>
      <c r="C13976" t="s">
        <v>16801</v>
      </c>
      <c r="E13976" t="s">
        <v>29473</v>
      </c>
      <c r="F13976" t="s">
        <v>30052</v>
      </c>
      <c r="G13976" t="s">
        <v>30058</v>
      </c>
      <c r="H13976" t="s">
        <v>30067</v>
      </c>
      <c r="I13976" t="s">
        <v>3693</v>
      </c>
      <c r="J13976" t="s">
        <v>38667</v>
      </c>
      <c r="K13976" t="s">
        <v>39025</v>
      </c>
      <c r="M13976" t="s">
        <v>40247</v>
      </c>
      <c r="N13976" t="s">
        <v>43166</v>
      </c>
      <c r="O13976" t="s">
        <v>43167</v>
      </c>
      <c r="Q13976">
        <v>33</v>
      </c>
      <c r="R13976" t="s">
        <v>43190</v>
      </c>
      <c r="S13976" t="s">
        <v>43601</v>
      </c>
      <c r="T13976" t="s">
        <v>44842</v>
      </c>
      <c r="U13976" t="s">
        <v>47052</v>
      </c>
      <c r="W13976" t="s">
        <v>58617</v>
      </c>
      <c r="X13976" t="s">
        <v>43192</v>
      </c>
    </row>
    <row r="13977" spans="1:24">
      <c r="A13977">
        <f>HYPERLINK("https://www.philgeps.gov.ph/GEPSNONPILOT/Tender/SplashBidNoticeAbstractUI.aspx?menuIndex=3&amp;refID=7042413&amp;Result=3","7042413")</f>
        <v>0</v>
      </c>
      <c r="B13977" t="s">
        <v>924</v>
      </c>
      <c r="C13977" t="s">
        <v>16802</v>
      </c>
      <c r="E13977" t="s">
        <v>29474</v>
      </c>
      <c r="F13977" t="s">
        <v>30052</v>
      </c>
      <c r="G13977" t="s">
        <v>30058</v>
      </c>
      <c r="H13977" t="s">
        <v>30067</v>
      </c>
      <c r="I13977" t="s">
        <v>3693</v>
      </c>
      <c r="J13977" t="s">
        <v>38668</v>
      </c>
      <c r="K13977" t="s">
        <v>39025</v>
      </c>
      <c r="M13977" t="s">
        <v>40247</v>
      </c>
      <c r="N13977" t="s">
        <v>43166</v>
      </c>
      <c r="O13977" t="s">
        <v>43167</v>
      </c>
      <c r="Q13977">
        <v>30</v>
      </c>
      <c r="R13977" t="s">
        <v>43190</v>
      </c>
      <c r="S13977" t="s">
        <v>44286</v>
      </c>
      <c r="T13977" t="s">
        <v>44842</v>
      </c>
      <c r="U13977" t="s">
        <v>47052</v>
      </c>
      <c r="W13977" t="s">
        <v>58617</v>
      </c>
      <c r="X13977" t="s">
        <v>43192</v>
      </c>
    </row>
    <row r="13978" spans="1:24">
      <c r="A13978">
        <f>HYPERLINK("https://www.philgeps.gov.ph/GEPSNONPILOT/Tender/SplashBidNoticeAbstractUI.aspx?menuIndex=3&amp;refID=7043000&amp;Result=3","7043000")</f>
        <v>0</v>
      </c>
      <c r="B13978" t="s">
        <v>703</v>
      </c>
      <c r="C13978" t="s">
        <v>16803</v>
      </c>
      <c r="D13978" t="s">
        <v>17445</v>
      </c>
      <c r="E13978" t="s">
        <v>29475</v>
      </c>
      <c r="F13978" t="s">
        <v>30052</v>
      </c>
      <c r="G13978" t="s">
        <v>30058</v>
      </c>
      <c r="H13978" t="s">
        <v>30067</v>
      </c>
      <c r="I13978" t="s">
        <v>3693</v>
      </c>
      <c r="J13978" t="s">
        <v>34923</v>
      </c>
      <c r="K13978" t="s">
        <v>39140</v>
      </c>
      <c r="M13978" t="s">
        <v>40012</v>
      </c>
      <c r="N13978" t="s">
        <v>43166</v>
      </c>
      <c r="O13978" t="s">
        <v>43167</v>
      </c>
      <c r="Q13978">
        <v>6</v>
      </c>
      <c r="R13978" t="s">
        <v>43190</v>
      </c>
      <c r="S13978" t="s">
        <v>44287</v>
      </c>
      <c r="T13978" t="s">
        <v>44800</v>
      </c>
      <c r="U13978" t="s">
        <v>56306</v>
      </c>
      <c r="W13978" t="s">
        <v>40012</v>
      </c>
      <c r="X13978" t="s">
        <v>43192</v>
      </c>
    </row>
    <row r="13979" spans="1:24">
      <c r="A13979">
        <f>HYPERLINK("https://www.philgeps.gov.ph/GEPSNONPILOT/Tender/SplashBidNoticeAbstractUI.aspx?menuIndex=3&amp;refID=7043045&amp;Result=3","7043045")</f>
        <v>0</v>
      </c>
      <c r="B13979" t="s">
        <v>538</v>
      </c>
      <c r="C13979" t="s">
        <v>16804</v>
      </c>
      <c r="D13979" t="s">
        <v>17414</v>
      </c>
      <c r="E13979" t="s">
        <v>29476</v>
      </c>
      <c r="F13979" t="s">
        <v>30052</v>
      </c>
      <c r="G13979" t="s">
        <v>30058</v>
      </c>
      <c r="H13979" t="s">
        <v>30067</v>
      </c>
      <c r="I13979" t="s">
        <v>3693</v>
      </c>
      <c r="J13979" t="s">
        <v>38669</v>
      </c>
      <c r="K13979" t="s">
        <v>39065</v>
      </c>
      <c r="M13979" t="s">
        <v>39840</v>
      </c>
      <c r="N13979" t="s">
        <v>43166</v>
      </c>
      <c r="O13979" t="s">
        <v>43167</v>
      </c>
      <c r="P13979">
        <v>0</v>
      </c>
      <c r="Q13979">
        <v>1</v>
      </c>
      <c r="R13979" t="s">
        <v>43190</v>
      </c>
      <c r="S13979" t="s">
        <v>44274</v>
      </c>
      <c r="T13979" t="s">
        <v>44830</v>
      </c>
      <c r="U13979" t="s">
        <v>56298</v>
      </c>
      <c r="V13979" t="s">
        <v>58495</v>
      </c>
      <c r="W13979" t="s">
        <v>39840</v>
      </c>
      <c r="X13979" t="s">
        <v>43192</v>
      </c>
    </row>
    <row r="13980" spans="1:24">
      <c r="A13980">
        <f>HYPERLINK("https://www.philgeps.gov.ph/GEPSNONPILOT/Tender/SplashBidNoticeAbstractUI.aspx?menuIndex=3&amp;refID=7042945&amp;Result=3","7042945")</f>
        <v>0</v>
      </c>
      <c r="B13980" t="s">
        <v>910</v>
      </c>
      <c r="C13980" t="s">
        <v>16805</v>
      </c>
      <c r="D13980" t="s">
        <v>17427</v>
      </c>
      <c r="E13980" t="s">
        <v>29477</v>
      </c>
      <c r="F13980" t="s">
        <v>30052</v>
      </c>
      <c r="G13980" t="s">
        <v>30058</v>
      </c>
      <c r="H13980" t="s">
        <v>15498</v>
      </c>
      <c r="I13980" t="s">
        <v>30074</v>
      </c>
      <c r="J13980" t="s">
        <v>37875</v>
      </c>
      <c r="K13980" t="s">
        <v>39023</v>
      </c>
      <c r="M13980" t="s">
        <v>41159</v>
      </c>
      <c r="N13980" t="s">
        <v>43166</v>
      </c>
      <c r="O13980" t="s">
        <v>43167</v>
      </c>
      <c r="P13980">
        <v>0</v>
      </c>
      <c r="Q13980">
        <v>8</v>
      </c>
      <c r="R13980" t="s">
        <v>43190</v>
      </c>
      <c r="S13980" t="s">
        <v>44274</v>
      </c>
      <c r="T13980" t="s">
        <v>44844</v>
      </c>
      <c r="U13980" t="s">
        <v>56307</v>
      </c>
      <c r="W13980" t="s">
        <v>41159</v>
      </c>
      <c r="X13980" t="s">
        <v>43192</v>
      </c>
    </row>
    <row r="13981" spans="1:24">
      <c r="A13981">
        <f>HYPERLINK("https://www.philgeps.gov.ph/GEPSNONPILOT/Tender/SplashBidNoticeAbstractUI.aspx?menuIndex=3&amp;refID=7038914&amp;Result=3","7038914")</f>
        <v>0</v>
      </c>
      <c r="B13981" t="s">
        <v>3368</v>
      </c>
      <c r="C13981" t="s">
        <v>16806</v>
      </c>
      <c r="D13981" t="s">
        <v>17431</v>
      </c>
      <c r="E13981" t="s">
        <v>29478</v>
      </c>
      <c r="F13981" t="s">
        <v>30052</v>
      </c>
      <c r="G13981" t="s">
        <v>30058</v>
      </c>
      <c r="H13981" t="s">
        <v>30067</v>
      </c>
      <c r="I13981" t="s">
        <v>3693</v>
      </c>
      <c r="J13981" t="s">
        <v>30247</v>
      </c>
      <c r="K13981" t="s">
        <v>39054</v>
      </c>
      <c r="M13981" t="s">
        <v>43019</v>
      </c>
      <c r="N13981" t="s">
        <v>43166</v>
      </c>
      <c r="O13981" t="s">
        <v>43167</v>
      </c>
      <c r="P13981">
        <v>0</v>
      </c>
      <c r="Q13981">
        <v>0</v>
      </c>
      <c r="R13981" t="s">
        <v>43192</v>
      </c>
      <c r="S13981" t="s">
        <v>44288</v>
      </c>
      <c r="T13981" t="s">
        <v>44882</v>
      </c>
      <c r="U13981" t="s">
        <v>56308</v>
      </c>
      <c r="W13981" t="s">
        <v>43019</v>
      </c>
      <c r="X13981" t="s">
        <v>43193</v>
      </c>
    </row>
    <row r="13982" spans="1:24">
      <c r="A13982">
        <f>HYPERLINK("https://www.philgeps.gov.ph/GEPSNONPILOT/Tender/SplashBidNoticeAbstractUI.aspx?menuIndex=3&amp;refID=7042803&amp;Result=3","7042803")</f>
        <v>0</v>
      </c>
      <c r="B13982" t="s">
        <v>541</v>
      </c>
      <c r="C13982" t="s">
        <v>16807</v>
      </c>
      <c r="D13982" t="s">
        <v>17458</v>
      </c>
      <c r="E13982" t="s">
        <v>29479</v>
      </c>
      <c r="F13982" t="s">
        <v>30052</v>
      </c>
      <c r="G13982" t="s">
        <v>30058</v>
      </c>
      <c r="H13982" t="s">
        <v>30067</v>
      </c>
      <c r="I13982" t="s">
        <v>3693</v>
      </c>
      <c r="J13982" t="s">
        <v>30555</v>
      </c>
      <c r="K13982" t="s">
        <v>39023</v>
      </c>
      <c r="M13982" t="s">
        <v>43081</v>
      </c>
      <c r="N13982" t="s">
        <v>43166</v>
      </c>
      <c r="O13982" t="s">
        <v>43167</v>
      </c>
      <c r="P13982">
        <v>0</v>
      </c>
      <c r="Q13982">
        <v>0</v>
      </c>
      <c r="R13982" t="s">
        <v>43190</v>
      </c>
      <c r="S13982" t="s">
        <v>44274</v>
      </c>
      <c r="T13982" t="s">
        <v>44717</v>
      </c>
      <c r="U13982" t="s">
        <v>56309</v>
      </c>
      <c r="W13982" t="s">
        <v>43081</v>
      </c>
      <c r="X13982" t="s">
        <v>43192</v>
      </c>
    </row>
    <row r="13983" spans="1:24">
      <c r="A13983">
        <f>HYPERLINK("https://www.philgeps.gov.ph/GEPSNONPILOT/Tender/SplashBidNoticeAbstractUI.aspx?menuIndex=3&amp;refID=7038945&amp;Result=3","7038945")</f>
        <v>0</v>
      </c>
      <c r="B13983" t="s">
        <v>3412</v>
      </c>
      <c r="C13983" t="s">
        <v>16808</v>
      </c>
      <c r="D13983" t="s">
        <v>17445</v>
      </c>
      <c r="E13983" t="s">
        <v>29480</v>
      </c>
      <c r="F13983" t="s">
        <v>30052</v>
      </c>
      <c r="G13983" t="s">
        <v>30058</v>
      </c>
      <c r="H13983" t="s">
        <v>30068</v>
      </c>
      <c r="I13983" t="s">
        <v>30068</v>
      </c>
      <c r="J13983" t="s">
        <v>38670</v>
      </c>
      <c r="K13983" t="s">
        <v>39062</v>
      </c>
      <c r="M13983" t="s">
        <v>43082</v>
      </c>
      <c r="N13983" t="s">
        <v>43166</v>
      </c>
      <c r="O13983" t="s">
        <v>43167</v>
      </c>
      <c r="P13983">
        <v>0</v>
      </c>
      <c r="Q13983">
        <v>3</v>
      </c>
      <c r="R13983" t="s">
        <v>43192</v>
      </c>
      <c r="S13983" t="s">
        <v>44288</v>
      </c>
      <c r="T13983" t="s">
        <v>44840</v>
      </c>
      <c r="U13983" t="s">
        <v>56310</v>
      </c>
      <c r="V13983" t="s">
        <v>58496</v>
      </c>
      <c r="W13983" t="s">
        <v>43082</v>
      </c>
      <c r="X13983" t="s">
        <v>43193</v>
      </c>
    </row>
    <row r="13984" spans="1:24">
      <c r="A13984">
        <f>HYPERLINK("https://www.philgeps.gov.ph/GEPSNONPILOT/Tender/SplashBidNoticeAbstractUI.aspx?menuIndex=3&amp;refID=7038793&amp;Result=3","7038793")</f>
        <v>0</v>
      </c>
      <c r="B13984" t="s">
        <v>3368</v>
      </c>
      <c r="C13984" t="s">
        <v>16809</v>
      </c>
      <c r="D13984" t="s">
        <v>17431</v>
      </c>
      <c r="E13984" t="s">
        <v>29481</v>
      </c>
      <c r="F13984" t="s">
        <v>30052</v>
      </c>
      <c r="G13984" t="s">
        <v>30058</v>
      </c>
      <c r="H13984" t="s">
        <v>15498</v>
      </c>
      <c r="I13984" t="s">
        <v>3736</v>
      </c>
      <c r="J13984" t="s">
        <v>38671</v>
      </c>
      <c r="K13984" t="s">
        <v>39019</v>
      </c>
      <c r="M13984" t="s">
        <v>43019</v>
      </c>
      <c r="N13984" t="s">
        <v>43166</v>
      </c>
      <c r="O13984" t="s">
        <v>43167</v>
      </c>
      <c r="P13984">
        <v>0</v>
      </c>
      <c r="Q13984">
        <v>0</v>
      </c>
      <c r="R13984" t="s">
        <v>43192</v>
      </c>
      <c r="S13984" t="s">
        <v>44288</v>
      </c>
      <c r="T13984" t="s">
        <v>44844</v>
      </c>
      <c r="U13984" t="s">
        <v>56311</v>
      </c>
      <c r="W13984" t="s">
        <v>43019</v>
      </c>
      <c r="X13984" t="s">
        <v>43193</v>
      </c>
    </row>
    <row r="13985" spans="1:24">
      <c r="A13985">
        <f>HYPERLINK("https://www.philgeps.gov.ph/GEPSNONPILOT/Tender/SplashBidNoticeAbstractUI.aspx?menuIndex=3&amp;refID=7042955&amp;Result=3","7042955")</f>
        <v>0</v>
      </c>
      <c r="B13985" t="s">
        <v>654</v>
      </c>
      <c r="C13985" t="s">
        <v>16810</v>
      </c>
      <c r="D13985" t="s">
        <v>17453</v>
      </c>
      <c r="E13985" t="s">
        <v>29482</v>
      </c>
      <c r="F13985" t="s">
        <v>30052</v>
      </c>
      <c r="G13985" t="s">
        <v>30058</v>
      </c>
      <c r="H13985" t="s">
        <v>30067</v>
      </c>
      <c r="I13985" t="s">
        <v>30082</v>
      </c>
      <c r="J13985" t="s">
        <v>38672</v>
      </c>
      <c r="K13985" t="s">
        <v>39022</v>
      </c>
      <c r="M13985" t="s">
        <v>39958</v>
      </c>
      <c r="N13985" t="s">
        <v>43166</v>
      </c>
      <c r="O13985" t="s">
        <v>43167</v>
      </c>
      <c r="Q13985">
        <v>21</v>
      </c>
      <c r="R13985" t="s">
        <v>43190</v>
      </c>
      <c r="S13985" t="s">
        <v>44289</v>
      </c>
      <c r="T13985" t="s">
        <v>44717</v>
      </c>
      <c r="U13985" t="s">
        <v>56312</v>
      </c>
      <c r="W13985" t="s">
        <v>39958</v>
      </c>
      <c r="X13985" t="s">
        <v>43192</v>
      </c>
    </row>
    <row r="13986" spans="1:24">
      <c r="A13986">
        <f>HYPERLINK("https://www.philgeps.gov.ph/GEPSNONPILOT/Tender/SplashBidNoticeAbstractUI.aspx?menuIndex=3&amp;refID=7038864&amp;Result=3","7038864")</f>
        <v>0</v>
      </c>
      <c r="B13986" t="s">
        <v>3368</v>
      </c>
      <c r="C13986" t="s">
        <v>16811</v>
      </c>
      <c r="D13986" t="s">
        <v>17431</v>
      </c>
      <c r="E13986" t="s">
        <v>29483</v>
      </c>
      <c r="F13986" t="s">
        <v>30052</v>
      </c>
      <c r="G13986" t="s">
        <v>30058</v>
      </c>
      <c r="H13986" t="s">
        <v>30067</v>
      </c>
      <c r="I13986" t="s">
        <v>3693</v>
      </c>
      <c r="J13986" t="s">
        <v>30212</v>
      </c>
      <c r="K13986" t="s">
        <v>39097</v>
      </c>
      <c r="M13986" t="s">
        <v>43019</v>
      </c>
      <c r="N13986" t="s">
        <v>43166</v>
      </c>
      <c r="O13986" t="s">
        <v>43167</v>
      </c>
      <c r="P13986">
        <v>0</v>
      </c>
      <c r="Q13986">
        <v>0</v>
      </c>
      <c r="R13986" t="s">
        <v>43192</v>
      </c>
      <c r="S13986" t="s">
        <v>44288</v>
      </c>
      <c r="T13986" t="s">
        <v>44777</v>
      </c>
      <c r="U13986" t="s">
        <v>56313</v>
      </c>
      <c r="W13986" t="s">
        <v>43019</v>
      </c>
      <c r="X13986" t="s">
        <v>43193</v>
      </c>
    </row>
    <row r="13987" spans="1:24">
      <c r="A13987">
        <f>HYPERLINK("https://www.philgeps.gov.ph/GEPSNONPILOT/Tender/SplashBidNoticeAbstractUI.aspx?menuIndex=3&amp;refID=7038411&amp;Result=3","7038411")</f>
        <v>0</v>
      </c>
      <c r="B13987" t="s">
        <v>3413</v>
      </c>
      <c r="C13987" t="s">
        <v>16812</v>
      </c>
      <c r="D13987" t="s">
        <v>17414</v>
      </c>
      <c r="E13987" t="s">
        <v>18377</v>
      </c>
      <c r="F13987" t="s">
        <v>30052</v>
      </c>
      <c r="G13987" t="s">
        <v>30058</v>
      </c>
      <c r="H13987" t="s">
        <v>15498</v>
      </c>
      <c r="I13987" t="s">
        <v>30073</v>
      </c>
      <c r="J13987" t="s">
        <v>33059</v>
      </c>
      <c r="K13987" t="s">
        <v>39023</v>
      </c>
      <c r="M13987" t="s">
        <v>43083</v>
      </c>
      <c r="N13987" t="s">
        <v>43166</v>
      </c>
      <c r="O13987" t="s">
        <v>43167</v>
      </c>
      <c r="P13987">
        <v>0</v>
      </c>
      <c r="Q13987">
        <v>0</v>
      </c>
      <c r="R13987" t="s">
        <v>43192</v>
      </c>
      <c r="S13987" t="s">
        <v>44288</v>
      </c>
      <c r="T13987" t="s">
        <v>44832</v>
      </c>
      <c r="U13987" t="s">
        <v>56314</v>
      </c>
      <c r="V13987" t="s">
        <v>58497</v>
      </c>
      <c r="W13987" t="s">
        <v>43083</v>
      </c>
      <c r="X13987" t="s">
        <v>43193</v>
      </c>
    </row>
    <row r="13988" spans="1:24">
      <c r="A13988">
        <f>HYPERLINK("https://www.philgeps.gov.ph/GEPSNONPILOT/Tender/SplashBidNoticeAbstractUI.aspx?menuIndex=3&amp;refID=7038897&amp;Result=3","7038897")</f>
        <v>0</v>
      </c>
      <c r="B13988" t="s">
        <v>450</v>
      </c>
      <c r="C13988" t="s">
        <v>16813</v>
      </c>
      <c r="D13988" t="s">
        <v>17467</v>
      </c>
      <c r="E13988" t="s">
        <v>29484</v>
      </c>
      <c r="F13988" t="s">
        <v>30052</v>
      </c>
      <c r="G13988" t="s">
        <v>30058</v>
      </c>
      <c r="H13988" t="s">
        <v>15498</v>
      </c>
      <c r="I13988" t="s">
        <v>30074</v>
      </c>
      <c r="J13988" t="s">
        <v>30416</v>
      </c>
      <c r="K13988" t="s">
        <v>39031</v>
      </c>
      <c r="M13988" t="s">
        <v>39750</v>
      </c>
      <c r="N13988" t="s">
        <v>43166</v>
      </c>
      <c r="O13988" t="s">
        <v>43167</v>
      </c>
      <c r="Q13988">
        <v>3</v>
      </c>
      <c r="R13988" t="s">
        <v>43192</v>
      </c>
      <c r="S13988" t="s">
        <v>44290</v>
      </c>
      <c r="T13988" t="s">
        <v>44815</v>
      </c>
      <c r="U13988" t="s">
        <v>56315</v>
      </c>
      <c r="W13988" t="s">
        <v>39750</v>
      </c>
      <c r="X13988" t="s">
        <v>43193</v>
      </c>
    </row>
    <row r="13989" spans="1:24">
      <c r="A13989">
        <f>HYPERLINK("https://www.philgeps.gov.ph/GEPSNONPILOT/Tender/SplashBidNoticeAbstractUI.aspx?menuIndex=3&amp;refID=7038482&amp;Result=3","7038482")</f>
        <v>0</v>
      </c>
      <c r="B13989" t="s">
        <v>623</v>
      </c>
      <c r="C13989" t="s">
        <v>16814</v>
      </c>
      <c r="D13989" t="s">
        <v>17449</v>
      </c>
      <c r="E13989" t="s">
        <v>29485</v>
      </c>
      <c r="F13989" t="s">
        <v>30052</v>
      </c>
      <c r="G13989" t="s">
        <v>30058</v>
      </c>
      <c r="H13989" t="s">
        <v>30068</v>
      </c>
      <c r="I13989" t="s">
        <v>30068</v>
      </c>
      <c r="J13989" t="s">
        <v>38673</v>
      </c>
      <c r="K13989" t="s">
        <v>39029</v>
      </c>
      <c r="M13989" t="s">
        <v>40445</v>
      </c>
      <c r="N13989" t="s">
        <v>43166</v>
      </c>
      <c r="O13989" t="s">
        <v>43167</v>
      </c>
      <c r="P13989">
        <v>0</v>
      </c>
      <c r="Q13989">
        <v>6</v>
      </c>
      <c r="R13989" t="s">
        <v>43192</v>
      </c>
      <c r="S13989" t="s">
        <v>44288</v>
      </c>
      <c r="T13989" t="s">
        <v>45028</v>
      </c>
      <c r="U13989" t="s">
        <v>56316</v>
      </c>
      <c r="W13989" t="s">
        <v>40445</v>
      </c>
      <c r="X13989" t="s">
        <v>43193</v>
      </c>
    </row>
    <row r="13990" spans="1:24">
      <c r="A13990">
        <f>HYPERLINK("https://www.philgeps.gov.ph/GEPSNONPILOT/Tender/SplashBidNoticeAbstractUI.aspx?menuIndex=3&amp;refID=7038222&amp;Result=3","7038222")</f>
        <v>0</v>
      </c>
      <c r="B13990" t="s">
        <v>33</v>
      </c>
      <c r="C13990" t="s">
        <v>16815</v>
      </c>
      <c r="D13990" t="s">
        <v>17419</v>
      </c>
      <c r="E13990" t="s">
        <v>29486</v>
      </c>
      <c r="F13990" t="s">
        <v>30052</v>
      </c>
      <c r="G13990" t="s">
        <v>30058</v>
      </c>
      <c r="H13990" t="s">
        <v>15498</v>
      </c>
      <c r="I13990" t="s">
        <v>3606</v>
      </c>
      <c r="J13990" t="s">
        <v>30215</v>
      </c>
      <c r="K13990" t="s">
        <v>39025</v>
      </c>
      <c r="M13990" t="s">
        <v>39323</v>
      </c>
      <c r="N13990" t="s">
        <v>43166</v>
      </c>
      <c r="O13990" t="s">
        <v>43167</v>
      </c>
      <c r="P13990">
        <v>0</v>
      </c>
      <c r="Q13990">
        <v>8</v>
      </c>
      <c r="R13990" t="s">
        <v>43192</v>
      </c>
      <c r="S13990" t="s">
        <v>44288</v>
      </c>
      <c r="T13990" t="s">
        <v>44687</v>
      </c>
      <c r="U13990" t="s">
        <v>56317</v>
      </c>
      <c r="W13990" t="s">
        <v>39323</v>
      </c>
      <c r="X13990" t="s">
        <v>43193</v>
      </c>
    </row>
    <row r="13991" spans="1:24">
      <c r="A13991">
        <f>HYPERLINK("https://www.philgeps.gov.ph/GEPSNONPILOT/Tender/SplashBidNoticeAbstractUI.aspx?menuIndex=3&amp;refID=6999268&amp;Result=3","6999268")</f>
        <v>0</v>
      </c>
      <c r="B13991" t="s">
        <v>3414</v>
      </c>
      <c r="C13991" t="s">
        <v>16816</v>
      </c>
      <c r="D13991" t="s">
        <v>17413</v>
      </c>
      <c r="E13991" t="s">
        <v>29487</v>
      </c>
      <c r="F13991" t="s">
        <v>30052</v>
      </c>
      <c r="G13991" t="s">
        <v>30058</v>
      </c>
      <c r="H13991" t="s">
        <v>30067</v>
      </c>
      <c r="I13991" t="s">
        <v>30152</v>
      </c>
      <c r="J13991" t="s">
        <v>30440</v>
      </c>
      <c r="K13991" t="s">
        <v>39071</v>
      </c>
      <c r="M13991" t="s">
        <v>43084</v>
      </c>
      <c r="N13991" t="s">
        <v>43166</v>
      </c>
      <c r="O13991" t="s">
        <v>43167</v>
      </c>
      <c r="P13991">
        <v>0</v>
      </c>
      <c r="Q13991">
        <v>1</v>
      </c>
      <c r="R13991" t="s">
        <v>43192</v>
      </c>
      <c r="S13991" t="s">
        <v>44288</v>
      </c>
      <c r="T13991" t="s">
        <v>44679</v>
      </c>
      <c r="U13991" t="s">
        <v>56318</v>
      </c>
      <c r="W13991" t="s">
        <v>43084</v>
      </c>
      <c r="X13991" t="s">
        <v>58724</v>
      </c>
    </row>
    <row r="13992" spans="1:24">
      <c r="A13992">
        <f>HYPERLINK("https://www.philgeps.gov.ph/GEPSNONPILOT/Tender/SplashBidNoticeAbstractUI.aspx?menuIndex=3&amp;refID=7038831&amp;Result=3","7038831")</f>
        <v>0</v>
      </c>
      <c r="B13992" t="s">
        <v>3368</v>
      </c>
      <c r="C13992" t="s">
        <v>16817</v>
      </c>
      <c r="D13992" t="s">
        <v>17431</v>
      </c>
      <c r="E13992" t="s">
        <v>29488</v>
      </c>
      <c r="F13992" t="s">
        <v>30052</v>
      </c>
      <c r="G13992" t="s">
        <v>30058</v>
      </c>
      <c r="H13992" t="s">
        <v>15498</v>
      </c>
      <c r="I13992" t="s">
        <v>30103</v>
      </c>
      <c r="J13992" t="s">
        <v>30592</v>
      </c>
      <c r="K13992" t="s">
        <v>39019</v>
      </c>
      <c r="M13992" t="s">
        <v>43019</v>
      </c>
      <c r="N13992" t="s">
        <v>43166</v>
      </c>
      <c r="O13992" t="s">
        <v>43167</v>
      </c>
      <c r="P13992">
        <v>0</v>
      </c>
      <c r="Q13992">
        <v>1</v>
      </c>
      <c r="R13992" t="s">
        <v>43192</v>
      </c>
      <c r="S13992" t="s">
        <v>44288</v>
      </c>
      <c r="T13992" t="s">
        <v>44859</v>
      </c>
      <c r="U13992" t="s">
        <v>56319</v>
      </c>
      <c r="W13992" t="s">
        <v>43019</v>
      </c>
      <c r="X13992" t="s">
        <v>43193</v>
      </c>
    </row>
    <row r="13993" spans="1:24">
      <c r="A13993">
        <f>HYPERLINK("https://www.philgeps.gov.ph/GEPSNONPILOT/Tender/SplashBidNoticeAbstractUI.aspx?menuIndex=3&amp;refID=7043299&amp;Result=3","7043299")</f>
        <v>0</v>
      </c>
      <c r="B13993" t="s">
        <v>2396</v>
      </c>
      <c r="C13993" t="s">
        <v>4394</v>
      </c>
      <c r="D13993" t="s">
        <v>17459</v>
      </c>
      <c r="E13993" t="s">
        <v>29489</v>
      </c>
      <c r="F13993" t="s">
        <v>30052</v>
      </c>
      <c r="G13993" t="s">
        <v>30058</v>
      </c>
      <c r="H13993" t="s">
        <v>30067</v>
      </c>
      <c r="I13993" t="s">
        <v>3693</v>
      </c>
      <c r="J13993" t="s">
        <v>38674</v>
      </c>
      <c r="K13993" t="s">
        <v>39080</v>
      </c>
      <c r="M13993" t="s">
        <v>41892</v>
      </c>
      <c r="N13993" t="s">
        <v>43166</v>
      </c>
      <c r="O13993" t="s">
        <v>43167</v>
      </c>
      <c r="P13993">
        <v>0</v>
      </c>
      <c r="Q13993">
        <v>0</v>
      </c>
      <c r="R13993" t="s">
        <v>43190</v>
      </c>
      <c r="S13993" t="s">
        <v>44274</v>
      </c>
      <c r="T13993" t="s">
        <v>44717</v>
      </c>
      <c r="U13993" t="s">
        <v>56320</v>
      </c>
      <c r="W13993" t="s">
        <v>41892</v>
      </c>
      <c r="X13993" t="s">
        <v>43192</v>
      </c>
    </row>
    <row r="13994" spans="1:24">
      <c r="A13994">
        <f>HYPERLINK("https://www.philgeps.gov.ph/GEPSNONPILOT/Tender/SplashBidNoticeAbstractUI.aspx?menuIndex=3&amp;refID=7041997&amp;Result=3","7041997")</f>
        <v>0</v>
      </c>
      <c r="B13994" t="s">
        <v>1804</v>
      </c>
      <c r="C13994" t="s">
        <v>16818</v>
      </c>
      <c r="E13994" t="s">
        <v>29490</v>
      </c>
      <c r="F13994" t="s">
        <v>30052</v>
      </c>
      <c r="G13994" t="s">
        <v>30058</v>
      </c>
      <c r="H13994" t="s">
        <v>30067</v>
      </c>
      <c r="I13994" t="s">
        <v>3693</v>
      </c>
      <c r="J13994" t="s">
        <v>30212</v>
      </c>
      <c r="K13994" t="s">
        <v>39025</v>
      </c>
      <c r="M13994" t="s">
        <v>41227</v>
      </c>
      <c r="N13994" t="s">
        <v>43166</v>
      </c>
      <c r="O13994" t="s">
        <v>43167</v>
      </c>
      <c r="P13994">
        <v>0</v>
      </c>
      <c r="Q13994">
        <v>0</v>
      </c>
      <c r="R13994" t="s">
        <v>43190</v>
      </c>
      <c r="S13994" t="s">
        <v>44274</v>
      </c>
      <c r="T13994" t="s">
        <v>44696</v>
      </c>
      <c r="U13994" t="s">
        <v>50430</v>
      </c>
      <c r="W13994" t="s">
        <v>41227</v>
      </c>
      <c r="X13994" t="s">
        <v>43192</v>
      </c>
    </row>
    <row r="13995" spans="1:24">
      <c r="A13995">
        <f>HYPERLINK("https://www.philgeps.gov.ph/GEPSNONPILOT/Tender/SplashBidNoticeAbstractUI.aspx?menuIndex=3&amp;refID=7039726&amp;Result=3","7039726")</f>
        <v>0</v>
      </c>
      <c r="B13995" t="s">
        <v>1414</v>
      </c>
      <c r="C13995" t="s">
        <v>16819</v>
      </c>
      <c r="D13995" t="s">
        <v>17419</v>
      </c>
      <c r="E13995" t="s">
        <v>29491</v>
      </c>
      <c r="F13995" t="s">
        <v>30052</v>
      </c>
      <c r="G13995" t="s">
        <v>30058</v>
      </c>
      <c r="H13995" t="s">
        <v>15498</v>
      </c>
      <c r="I13995" t="s">
        <v>30097</v>
      </c>
      <c r="J13995" t="s">
        <v>35620</v>
      </c>
      <c r="K13995" t="s">
        <v>39029</v>
      </c>
      <c r="M13995" t="s">
        <v>40792</v>
      </c>
      <c r="N13995" t="s">
        <v>43166</v>
      </c>
      <c r="O13995" t="s">
        <v>43167</v>
      </c>
      <c r="Q13995">
        <v>5</v>
      </c>
      <c r="R13995" t="s">
        <v>43192</v>
      </c>
      <c r="S13995" t="s">
        <v>44291</v>
      </c>
      <c r="T13995" t="s">
        <v>44717</v>
      </c>
      <c r="U13995" t="s">
        <v>56321</v>
      </c>
      <c r="W13995" t="s">
        <v>40792</v>
      </c>
      <c r="X13995" t="s">
        <v>43193</v>
      </c>
    </row>
    <row r="13996" spans="1:24">
      <c r="A13996">
        <f>HYPERLINK("https://www.philgeps.gov.ph/GEPSNONPILOT/Tender/SplashBidNoticeAbstractUI.aspx?menuIndex=3&amp;refID=7040095&amp;Result=3","7040095")</f>
        <v>0</v>
      </c>
      <c r="B13996" t="s">
        <v>2842</v>
      </c>
      <c r="C13996" t="s">
        <v>16820</v>
      </c>
      <c r="D13996" t="s">
        <v>17421</v>
      </c>
      <c r="E13996" t="s">
        <v>29492</v>
      </c>
      <c r="F13996" t="s">
        <v>30052</v>
      </c>
      <c r="G13996" t="s">
        <v>30058</v>
      </c>
      <c r="H13996" t="s">
        <v>15498</v>
      </c>
      <c r="I13996" t="s">
        <v>30128</v>
      </c>
      <c r="J13996" t="s">
        <v>34538</v>
      </c>
      <c r="K13996" t="s">
        <v>39029</v>
      </c>
      <c r="M13996" t="s">
        <v>42388</v>
      </c>
      <c r="N13996" t="s">
        <v>43166</v>
      </c>
      <c r="O13996" t="s">
        <v>43167</v>
      </c>
      <c r="Q13996">
        <v>10</v>
      </c>
      <c r="R13996" t="s">
        <v>43192</v>
      </c>
      <c r="S13996" t="s">
        <v>44292</v>
      </c>
      <c r="T13996" t="s">
        <v>45189</v>
      </c>
      <c r="U13996" t="s">
        <v>56322</v>
      </c>
      <c r="V13996" t="s">
        <v>58498</v>
      </c>
      <c r="W13996" t="s">
        <v>42388</v>
      </c>
      <c r="X13996" t="s">
        <v>43193</v>
      </c>
    </row>
    <row r="13997" spans="1:24">
      <c r="A13997">
        <f>HYPERLINK("https://www.philgeps.gov.ph/GEPSNONPILOT/Tender/SplashBidNoticeAbstractUI.aspx?menuIndex=3&amp;refID=7040041&amp;Result=3","7040041")</f>
        <v>0</v>
      </c>
      <c r="B13997" t="s">
        <v>2842</v>
      </c>
      <c r="C13997" t="s">
        <v>16821</v>
      </c>
      <c r="D13997" t="s">
        <v>17421</v>
      </c>
      <c r="E13997" t="s">
        <v>29493</v>
      </c>
      <c r="F13997" t="s">
        <v>30052</v>
      </c>
      <c r="G13997" t="s">
        <v>30058</v>
      </c>
      <c r="H13997" t="s">
        <v>15498</v>
      </c>
      <c r="I13997" t="s">
        <v>9238</v>
      </c>
      <c r="J13997" t="s">
        <v>38675</v>
      </c>
      <c r="K13997" t="s">
        <v>39023</v>
      </c>
      <c r="M13997" t="s">
        <v>42388</v>
      </c>
      <c r="N13997" t="s">
        <v>43166</v>
      </c>
      <c r="O13997" t="s">
        <v>43167</v>
      </c>
      <c r="Q13997">
        <v>15</v>
      </c>
      <c r="R13997" t="s">
        <v>43192</v>
      </c>
      <c r="S13997" t="s">
        <v>44293</v>
      </c>
      <c r="T13997" t="s">
        <v>44955</v>
      </c>
      <c r="U13997" t="s">
        <v>56323</v>
      </c>
      <c r="V13997" t="s">
        <v>58499</v>
      </c>
      <c r="W13997" t="s">
        <v>42388</v>
      </c>
      <c r="X13997" t="s">
        <v>43193</v>
      </c>
    </row>
    <row r="13998" spans="1:24">
      <c r="A13998">
        <f>HYPERLINK("https://www.philgeps.gov.ph/GEPSNONPILOT/Tender/SplashBidNoticeAbstractUI.aspx?menuIndex=3&amp;refID=7040034&amp;Result=3","7040034")</f>
        <v>0</v>
      </c>
      <c r="B13998" t="s">
        <v>1017</v>
      </c>
      <c r="C13998" t="s">
        <v>16822</v>
      </c>
      <c r="D13998" t="s">
        <v>17444</v>
      </c>
      <c r="E13998" t="s">
        <v>29494</v>
      </c>
      <c r="F13998" t="s">
        <v>30052</v>
      </c>
      <c r="G13998" t="s">
        <v>30058</v>
      </c>
      <c r="H13998" t="s">
        <v>30067</v>
      </c>
      <c r="I13998" t="s">
        <v>3693</v>
      </c>
      <c r="J13998" t="s">
        <v>38676</v>
      </c>
      <c r="K13998" t="s">
        <v>39016</v>
      </c>
      <c r="M13998" t="s">
        <v>40346</v>
      </c>
      <c r="N13998" t="s">
        <v>43166</v>
      </c>
      <c r="O13998" t="s">
        <v>43167</v>
      </c>
      <c r="P13998">
        <v>0</v>
      </c>
      <c r="Q13998">
        <v>4</v>
      </c>
      <c r="R13998" t="s">
        <v>43192</v>
      </c>
      <c r="S13998" t="s">
        <v>44288</v>
      </c>
      <c r="T13998" t="s">
        <v>44696</v>
      </c>
      <c r="U13998" t="s">
        <v>56324</v>
      </c>
      <c r="W13998" t="s">
        <v>40346</v>
      </c>
      <c r="X13998" t="s">
        <v>43193</v>
      </c>
    </row>
    <row r="13999" spans="1:24">
      <c r="A13999">
        <f>HYPERLINK("https://www.philgeps.gov.ph/GEPSNONPILOT/Tender/SplashBidNoticeAbstractUI.aspx?menuIndex=3&amp;refID=7038985&amp;Result=3","7038985")</f>
        <v>0</v>
      </c>
      <c r="B13999" t="s">
        <v>3368</v>
      </c>
      <c r="C13999" t="s">
        <v>16823</v>
      </c>
      <c r="D13999" t="s">
        <v>17431</v>
      </c>
      <c r="E13999" t="s">
        <v>29495</v>
      </c>
      <c r="F13999" t="s">
        <v>30052</v>
      </c>
      <c r="G13999" t="s">
        <v>30058</v>
      </c>
      <c r="H13999" t="s">
        <v>30067</v>
      </c>
      <c r="I13999" t="s">
        <v>3693</v>
      </c>
      <c r="J13999" t="s">
        <v>30281</v>
      </c>
      <c r="K13999" t="s">
        <v>39023</v>
      </c>
      <c r="M13999" t="s">
        <v>43019</v>
      </c>
      <c r="N13999" t="s">
        <v>43166</v>
      </c>
      <c r="O13999" t="s">
        <v>43167</v>
      </c>
      <c r="P13999">
        <v>0</v>
      </c>
      <c r="Q13999">
        <v>0</v>
      </c>
      <c r="R13999" t="s">
        <v>43192</v>
      </c>
      <c r="S13999" t="s">
        <v>44288</v>
      </c>
      <c r="T13999" t="s">
        <v>44841</v>
      </c>
      <c r="U13999" t="s">
        <v>56325</v>
      </c>
      <c r="W13999" t="s">
        <v>43019</v>
      </c>
      <c r="X13999" t="s">
        <v>43193</v>
      </c>
    </row>
    <row r="14000" spans="1:24">
      <c r="A14000">
        <f>HYPERLINK("https://www.philgeps.gov.ph/GEPSNONPILOT/Tender/SplashBidNoticeAbstractUI.aspx?menuIndex=3&amp;refID=7038378&amp;Result=3","7038378")</f>
        <v>0</v>
      </c>
      <c r="B14000" t="s">
        <v>3415</v>
      </c>
      <c r="C14000" t="s">
        <v>16824</v>
      </c>
      <c r="D14000" t="s">
        <v>17436</v>
      </c>
      <c r="E14000" t="s">
        <v>29496</v>
      </c>
      <c r="F14000" t="s">
        <v>30052</v>
      </c>
      <c r="G14000" t="s">
        <v>30058</v>
      </c>
      <c r="H14000" t="s">
        <v>15498</v>
      </c>
      <c r="I14000" t="s">
        <v>30074</v>
      </c>
      <c r="J14000" t="s">
        <v>30397</v>
      </c>
      <c r="K14000" t="s">
        <v>39029</v>
      </c>
      <c r="M14000" t="s">
        <v>43085</v>
      </c>
      <c r="N14000" t="s">
        <v>43166</v>
      </c>
      <c r="O14000" t="s">
        <v>43167</v>
      </c>
      <c r="Q14000">
        <v>6</v>
      </c>
      <c r="R14000" t="s">
        <v>43192</v>
      </c>
      <c r="S14000" t="s">
        <v>44294</v>
      </c>
      <c r="T14000" t="s">
        <v>45190</v>
      </c>
      <c r="U14000" t="s">
        <v>56326</v>
      </c>
      <c r="W14000" t="s">
        <v>43085</v>
      </c>
      <c r="X14000" t="s">
        <v>43193</v>
      </c>
    </row>
    <row r="14001" spans="1:24">
      <c r="A14001">
        <f>HYPERLINK("https://www.philgeps.gov.ph/GEPSNONPILOT/Tender/SplashBidNoticeAbstractUI.aspx?menuIndex=3&amp;refID=7039661&amp;Result=3","7039661")</f>
        <v>0</v>
      </c>
      <c r="B14001" t="s">
        <v>1170</v>
      </c>
      <c r="C14001" t="s">
        <v>16825</v>
      </c>
      <c r="D14001" t="s">
        <v>17482</v>
      </c>
      <c r="E14001" t="s">
        <v>29497</v>
      </c>
      <c r="F14001" t="s">
        <v>30052</v>
      </c>
      <c r="G14001" t="s">
        <v>30058</v>
      </c>
      <c r="H14001" t="s">
        <v>15498</v>
      </c>
      <c r="I14001" t="s">
        <v>30074</v>
      </c>
      <c r="J14001" t="s">
        <v>32820</v>
      </c>
      <c r="K14001" t="s">
        <v>39029</v>
      </c>
      <c r="M14001" t="s">
        <v>40518</v>
      </c>
      <c r="N14001" t="s">
        <v>43166</v>
      </c>
      <c r="O14001" t="s">
        <v>43167</v>
      </c>
      <c r="P14001">
        <v>0</v>
      </c>
      <c r="Q14001">
        <v>11</v>
      </c>
      <c r="R14001" t="s">
        <v>43192</v>
      </c>
      <c r="S14001" t="s">
        <v>44288</v>
      </c>
      <c r="T14001" t="s">
        <v>44856</v>
      </c>
      <c r="U14001" t="s">
        <v>56327</v>
      </c>
      <c r="W14001" t="s">
        <v>40518</v>
      </c>
      <c r="X14001" t="s">
        <v>43193</v>
      </c>
    </row>
    <row r="14002" spans="1:24">
      <c r="A14002">
        <f>HYPERLINK("https://www.philgeps.gov.ph/GEPSNONPILOT/Tender/SplashBidNoticeAbstractUI.aspx?menuIndex=3&amp;refID=7039885&amp;Result=3","7039885")</f>
        <v>0</v>
      </c>
      <c r="B14002" t="s">
        <v>701</v>
      </c>
      <c r="C14002" t="s">
        <v>16826</v>
      </c>
      <c r="D14002" t="s">
        <v>17419</v>
      </c>
      <c r="E14002" t="s">
        <v>29498</v>
      </c>
      <c r="F14002" t="s">
        <v>30052</v>
      </c>
      <c r="G14002" t="s">
        <v>30058</v>
      </c>
      <c r="H14002" t="s">
        <v>15498</v>
      </c>
      <c r="I14002" t="s">
        <v>3736</v>
      </c>
      <c r="J14002" t="s">
        <v>38677</v>
      </c>
      <c r="K14002" t="s">
        <v>39025</v>
      </c>
      <c r="M14002" t="s">
        <v>40858</v>
      </c>
      <c r="N14002" t="s">
        <v>43166</v>
      </c>
      <c r="O14002" t="s">
        <v>43167</v>
      </c>
      <c r="P14002">
        <v>0</v>
      </c>
      <c r="Q14002">
        <v>0</v>
      </c>
      <c r="R14002" t="s">
        <v>43192</v>
      </c>
      <c r="S14002" t="s">
        <v>44288</v>
      </c>
      <c r="T14002" t="s">
        <v>44717</v>
      </c>
      <c r="U14002" t="s">
        <v>56328</v>
      </c>
      <c r="W14002" t="s">
        <v>40858</v>
      </c>
      <c r="X14002" t="s">
        <v>43193</v>
      </c>
    </row>
    <row r="14003" spans="1:24">
      <c r="A14003">
        <f>HYPERLINK("https://www.philgeps.gov.ph/GEPSNONPILOT/Tender/SplashBidNoticeAbstractUI.aspx?menuIndex=3&amp;refID=7039480&amp;Result=3","7039480")</f>
        <v>0</v>
      </c>
      <c r="B14003" t="s">
        <v>135</v>
      </c>
      <c r="C14003" t="s">
        <v>16827</v>
      </c>
      <c r="D14003" t="s">
        <v>17458</v>
      </c>
      <c r="E14003" t="s">
        <v>29499</v>
      </c>
      <c r="F14003" t="s">
        <v>30052</v>
      </c>
      <c r="G14003" t="s">
        <v>30058</v>
      </c>
      <c r="H14003" t="s">
        <v>15498</v>
      </c>
      <c r="I14003" t="s">
        <v>4598</v>
      </c>
      <c r="J14003" t="s">
        <v>38678</v>
      </c>
      <c r="K14003" t="s">
        <v>39029</v>
      </c>
      <c r="M14003" t="s">
        <v>39424</v>
      </c>
      <c r="N14003" t="s">
        <v>43166</v>
      </c>
      <c r="O14003" t="s">
        <v>43167</v>
      </c>
      <c r="Q14003">
        <v>12</v>
      </c>
      <c r="R14003" t="s">
        <v>43192</v>
      </c>
      <c r="S14003" t="s">
        <v>44295</v>
      </c>
      <c r="T14003" t="s">
        <v>44777</v>
      </c>
      <c r="U14003" t="s">
        <v>56329</v>
      </c>
      <c r="W14003" t="s">
        <v>39424</v>
      </c>
      <c r="X14003" t="s">
        <v>43193</v>
      </c>
    </row>
    <row r="14004" spans="1:24">
      <c r="A14004">
        <f>HYPERLINK("https://www.philgeps.gov.ph/GEPSNONPILOT/Tender/SplashBidNoticeAbstractUI.aspx?menuIndex=3&amp;refID=7039417&amp;Result=3","7039417")</f>
        <v>0</v>
      </c>
      <c r="B14004" t="s">
        <v>135</v>
      </c>
      <c r="C14004" t="s">
        <v>16828</v>
      </c>
      <c r="D14004" t="s">
        <v>17458</v>
      </c>
      <c r="E14004" t="s">
        <v>29500</v>
      </c>
      <c r="F14004" t="s">
        <v>30052</v>
      </c>
      <c r="G14004" t="s">
        <v>30058</v>
      </c>
      <c r="H14004" t="s">
        <v>15498</v>
      </c>
      <c r="I14004" t="s">
        <v>30155</v>
      </c>
      <c r="J14004" t="s">
        <v>38679</v>
      </c>
      <c r="K14004" t="s">
        <v>39019</v>
      </c>
      <c r="M14004" t="s">
        <v>39424</v>
      </c>
      <c r="N14004" t="s">
        <v>43166</v>
      </c>
      <c r="O14004" t="s">
        <v>43167</v>
      </c>
      <c r="P14004">
        <v>0</v>
      </c>
      <c r="Q14004">
        <v>1</v>
      </c>
      <c r="R14004" t="s">
        <v>43192</v>
      </c>
      <c r="S14004" t="s">
        <v>44288</v>
      </c>
      <c r="T14004" t="s">
        <v>44777</v>
      </c>
      <c r="U14004" t="s">
        <v>56330</v>
      </c>
      <c r="W14004" t="s">
        <v>39424</v>
      </c>
      <c r="X14004" t="s">
        <v>43193</v>
      </c>
    </row>
    <row r="14005" spans="1:24">
      <c r="A14005">
        <f>HYPERLINK("https://www.philgeps.gov.ph/GEPSNONPILOT/Tender/SplashBidNoticeAbstractUI.aspx?menuIndex=3&amp;refID=7038913&amp;Result=3","7038913")</f>
        <v>0</v>
      </c>
      <c r="B14005" t="s">
        <v>3234</v>
      </c>
      <c r="C14005" t="s">
        <v>16829</v>
      </c>
      <c r="D14005" t="s">
        <v>17414</v>
      </c>
      <c r="E14005" t="s">
        <v>29501</v>
      </c>
      <c r="F14005" t="s">
        <v>30052</v>
      </c>
      <c r="G14005" t="s">
        <v>30058</v>
      </c>
      <c r="H14005" t="s">
        <v>30067</v>
      </c>
      <c r="I14005" t="s">
        <v>3693</v>
      </c>
      <c r="J14005" t="s">
        <v>38680</v>
      </c>
      <c r="K14005" t="s">
        <v>39031</v>
      </c>
      <c r="M14005" t="s">
        <v>42860</v>
      </c>
      <c r="N14005" t="s">
        <v>43166</v>
      </c>
      <c r="O14005" t="s">
        <v>43167</v>
      </c>
      <c r="P14005">
        <v>0</v>
      </c>
      <c r="Q14005">
        <v>4</v>
      </c>
      <c r="R14005" t="s">
        <v>43192</v>
      </c>
      <c r="S14005" t="s">
        <v>44288</v>
      </c>
      <c r="T14005" t="s">
        <v>44717</v>
      </c>
      <c r="U14005" t="s">
        <v>56331</v>
      </c>
      <c r="W14005" t="s">
        <v>42860</v>
      </c>
      <c r="X14005" t="s">
        <v>43193</v>
      </c>
    </row>
    <row r="14006" spans="1:24">
      <c r="A14006">
        <f>HYPERLINK("https://www.philgeps.gov.ph/GEPSNONPILOT/Tender/SplashBidNoticeAbstractUI.aspx?menuIndex=3&amp;refID=7039505&amp;Result=3","7039505")</f>
        <v>0</v>
      </c>
      <c r="B14006" t="s">
        <v>1017</v>
      </c>
      <c r="C14006" t="s">
        <v>16830</v>
      </c>
      <c r="D14006" t="s">
        <v>17444</v>
      </c>
      <c r="E14006" t="s">
        <v>29502</v>
      </c>
      <c r="F14006" t="s">
        <v>30052</v>
      </c>
      <c r="G14006" t="s">
        <v>30058</v>
      </c>
      <c r="H14006" t="s">
        <v>30067</v>
      </c>
      <c r="I14006" t="s">
        <v>3693</v>
      </c>
      <c r="J14006" t="s">
        <v>38681</v>
      </c>
      <c r="K14006" t="s">
        <v>39022</v>
      </c>
      <c r="M14006" t="s">
        <v>40346</v>
      </c>
      <c r="N14006" t="s">
        <v>43166</v>
      </c>
      <c r="O14006" t="s">
        <v>43167</v>
      </c>
      <c r="P14006">
        <v>0</v>
      </c>
      <c r="Q14006">
        <v>6</v>
      </c>
      <c r="R14006" t="s">
        <v>43192</v>
      </c>
      <c r="S14006" t="s">
        <v>44288</v>
      </c>
      <c r="T14006" t="s">
        <v>44696</v>
      </c>
      <c r="U14006" t="s">
        <v>56332</v>
      </c>
      <c r="W14006" t="s">
        <v>40346</v>
      </c>
      <c r="X14006" t="s">
        <v>43193</v>
      </c>
    </row>
    <row r="14007" spans="1:24">
      <c r="A14007">
        <f>HYPERLINK("https://www.philgeps.gov.ph/GEPSNONPILOT/Tender/SplashBidNoticeAbstractUI.aspx?menuIndex=3&amp;refID=7039316&amp;Result=3","7039316")</f>
        <v>0</v>
      </c>
      <c r="B14007" t="s">
        <v>1017</v>
      </c>
      <c r="C14007" t="s">
        <v>16831</v>
      </c>
      <c r="D14007" t="s">
        <v>17444</v>
      </c>
      <c r="E14007" t="s">
        <v>29503</v>
      </c>
      <c r="F14007" t="s">
        <v>30052</v>
      </c>
      <c r="G14007" t="s">
        <v>30058</v>
      </c>
      <c r="H14007" t="s">
        <v>30067</v>
      </c>
      <c r="I14007" t="s">
        <v>3693</v>
      </c>
      <c r="J14007" t="s">
        <v>38682</v>
      </c>
      <c r="K14007" t="s">
        <v>39024</v>
      </c>
      <c r="M14007" t="s">
        <v>40346</v>
      </c>
      <c r="N14007" t="s">
        <v>43166</v>
      </c>
      <c r="O14007" t="s">
        <v>43167</v>
      </c>
      <c r="P14007">
        <v>0</v>
      </c>
      <c r="Q14007">
        <v>5</v>
      </c>
      <c r="R14007" t="s">
        <v>43192</v>
      </c>
      <c r="S14007" t="s">
        <v>44288</v>
      </c>
      <c r="T14007" t="s">
        <v>44696</v>
      </c>
      <c r="U14007" t="s">
        <v>56333</v>
      </c>
      <c r="W14007" t="s">
        <v>40346</v>
      </c>
      <c r="X14007" t="s">
        <v>43193</v>
      </c>
    </row>
    <row r="14008" spans="1:24">
      <c r="A14008">
        <f>HYPERLINK("https://www.philgeps.gov.ph/GEPSNONPILOT/Tender/SplashBidNoticeAbstractUI.aspx?menuIndex=3&amp;refID=7040008&amp;Result=3","7040008")</f>
        <v>0</v>
      </c>
      <c r="B14008" t="s">
        <v>2842</v>
      </c>
      <c r="C14008" t="s">
        <v>16832</v>
      </c>
      <c r="D14008" t="s">
        <v>17421</v>
      </c>
      <c r="E14008" t="s">
        <v>29504</v>
      </c>
      <c r="F14008" t="s">
        <v>30052</v>
      </c>
      <c r="G14008" t="s">
        <v>30058</v>
      </c>
      <c r="H14008" t="s">
        <v>15498</v>
      </c>
      <c r="I14008" t="s">
        <v>30070</v>
      </c>
      <c r="J14008" t="s">
        <v>33473</v>
      </c>
      <c r="K14008" t="s">
        <v>39029</v>
      </c>
      <c r="M14008" t="s">
        <v>42388</v>
      </c>
      <c r="N14008" t="s">
        <v>43166</v>
      </c>
      <c r="O14008" t="s">
        <v>43167</v>
      </c>
      <c r="Q14008">
        <v>1</v>
      </c>
      <c r="R14008" t="s">
        <v>43192</v>
      </c>
      <c r="S14008" t="s">
        <v>44296</v>
      </c>
      <c r="T14008" t="s">
        <v>44936</v>
      </c>
      <c r="U14008" t="s">
        <v>56334</v>
      </c>
      <c r="V14008" t="s">
        <v>58500</v>
      </c>
      <c r="W14008" t="s">
        <v>42388</v>
      </c>
      <c r="X14008" t="s">
        <v>43193</v>
      </c>
    </row>
    <row r="14009" spans="1:24">
      <c r="A14009">
        <f>HYPERLINK("https://www.philgeps.gov.ph/GEPSNONPILOT/Tender/SplashBidNoticeAbstractUI.aspx?menuIndex=3&amp;refID=7039178&amp;Result=3","7039178")</f>
        <v>0</v>
      </c>
      <c r="B14009" t="s">
        <v>164</v>
      </c>
      <c r="C14009" t="s">
        <v>16833</v>
      </c>
      <c r="D14009" t="s">
        <v>17473</v>
      </c>
      <c r="E14009" t="s">
        <v>29505</v>
      </c>
      <c r="F14009" t="s">
        <v>30052</v>
      </c>
      <c r="G14009" t="s">
        <v>30058</v>
      </c>
      <c r="H14009" t="s">
        <v>30067</v>
      </c>
      <c r="I14009" t="s">
        <v>3693</v>
      </c>
      <c r="J14009" t="s">
        <v>31447</v>
      </c>
      <c r="K14009" t="s">
        <v>39026</v>
      </c>
      <c r="M14009" t="s">
        <v>39453</v>
      </c>
      <c r="N14009" t="s">
        <v>43166</v>
      </c>
      <c r="O14009" t="s">
        <v>43167</v>
      </c>
      <c r="Q14009">
        <v>5</v>
      </c>
      <c r="R14009" t="s">
        <v>43192</v>
      </c>
      <c r="S14009" t="s">
        <v>44297</v>
      </c>
      <c r="T14009" t="s">
        <v>44870</v>
      </c>
      <c r="U14009" t="s">
        <v>56335</v>
      </c>
      <c r="W14009" t="s">
        <v>39453</v>
      </c>
      <c r="X14009" t="s">
        <v>43193</v>
      </c>
    </row>
    <row r="14010" spans="1:24">
      <c r="A14010">
        <f>HYPERLINK("https://www.philgeps.gov.ph/GEPSNONPILOT/Tender/SplashBidNoticeAbstractUI.aspx?menuIndex=3&amp;refID=7039359&amp;Result=3","7039359")</f>
        <v>0</v>
      </c>
      <c r="B14010" t="s">
        <v>135</v>
      </c>
      <c r="C14010" t="s">
        <v>16834</v>
      </c>
      <c r="D14010" t="s">
        <v>17436</v>
      </c>
      <c r="E14010" t="s">
        <v>29506</v>
      </c>
      <c r="F14010" t="s">
        <v>30052</v>
      </c>
      <c r="G14010" t="s">
        <v>30058</v>
      </c>
      <c r="H14010" t="s">
        <v>15498</v>
      </c>
      <c r="I14010" t="s">
        <v>30155</v>
      </c>
      <c r="J14010" t="s">
        <v>38683</v>
      </c>
      <c r="K14010" t="s">
        <v>39019</v>
      </c>
      <c r="M14010" t="s">
        <v>39424</v>
      </c>
      <c r="N14010" t="s">
        <v>43166</v>
      </c>
      <c r="O14010" t="s">
        <v>43167</v>
      </c>
      <c r="P14010">
        <v>0</v>
      </c>
      <c r="Q14010">
        <v>2</v>
      </c>
      <c r="R14010" t="s">
        <v>43192</v>
      </c>
      <c r="S14010" t="s">
        <v>44288</v>
      </c>
      <c r="T14010" t="s">
        <v>44777</v>
      </c>
      <c r="U14010" t="s">
        <v>56336</v>
      </c>
      <c r="W14010" t="s">
        <v>39424</v>
      </c>
      <c r="X14010" t="s">
        <v>43193</v>
      </c>
    </row>
    <row r="14011" spans="1:24">
      <c r="A14011">
        <f>HYPERLINK("https://www.philgeps.gov.ph/GEPSNONPILOT/Tender/SplashBidNoticeAbstractUI.aspx?menuIndex=3&amp;refID=7039038&amp;Result=3","7039038")</f>
        <v>0</v>
      </c>
      <c r="B14011" t="s">
        <v>3368</v>
      </c>
      <c r="C14011" t="s">
        <v>16835</v>
      </c>
      <c r="D14011" t="s">
        <v>17431</v>
      </c>
      <c r="E14011" t="s">
        <v>29507</v>
      </c>
      <c r="F14011" t="s">
        <v>30052</v>
      </c>
      <c r="G14011" t="s">
        <v>30058</v>
      </c>
      <c r="H14011" t="s">
        <v>30067</v>
      </c>
      <c r="I14011" t="s">
        <v>3693</v>
      </c>
      <c r="J14011" t="s">
        <v>30222</v>
      </c>
      <c r="K14011" t="s">
        <v>39120</v>
      </c>
      <c r="M14011" t="s">
        <v>43019</v>
      </c>
      <c r="N14011" t="s">
        <v>43166</v>
      </c>
      <c r="O14011" t="s">
        <v>43167</v>
      </c>
      <c r="P14011">
        <v>0</v>
      </c>
      <c r="Q14011">
        <v>0</v>
      </c>
      <c r="R14011" t="s">
        <v>43192</v>
      </c>
      <c r="S14011" t="s">
        <v>44288</v>
      </c>
      <c r="T14011" t="s">
        <v>44685</v>
      </c>
      <c r="U14011" t="s">
        <v>56337</v>
      </c>
      <c r="W14011" t="s">
        <v>43019</v>
      </c>
      <c r="X14011" t="s">
        <v>43193</v>
      </c>
    </row>
    <row r="14012" spans="1:24">
      <c r="A14012">
        <f>HYPERLINK("https://www.philgeps.gov.ph/GEPSNONPILOT/Tender/SplashBidNoticeAbstractUI.aspx?menuIndex=3&amp;refID=7038416&amp;Result=3","7038416")</f>
        <v>0</v>
      </c>
      <c r="B14012" t="s">
        <v>1979</v>
      </c>
      <c r="C14012" t="s">
        <v>16836</v>
      </c>
      <c r="D14012" t="s">
        <v>17415</v>
      </c>
      <c r="E14012" t="s">
        <v>29508</v>
      </c>
      <c r="F14012" t="s">
        <v>30052</v>
      </c>
      <c r="G14012" t="s">
        <v>30058</v>
      </c>
      <c r="H14012" t="s">
        <v>15498</v>
      </c>
      <c r="I14012" t="s">
        <v>30074</v>
      </c>
      <c r="J14012" t="s">
        <v>38684</v>
      </c>
      <c r="K14012" t="s">
        <v>39025</v>
      </c>
      <c r="M14012" t="s">
        <v>41420</v>
      </c>
      <c r="N14012" t="s">
        <v>43166</v>
      </c>
      <c r="O14012" t="s">
        <v>43167</v>
      </c>
      <c r="P14012">
        <v>0</v>
      </c>
      <c r="Q14012">
        <v>18</v>
      </c>
      <c r="R14012" t="s">
        <v>43192</v>
      </c>
      <c r="S14012" t="s">
        <v>44288</v>
      </c>
      <c r="T14012" t="s">
        <v>44844</v>
      </c>
      <c r="U14012" t="s">
        <v>46667</v>
      </c>
      <c r="V14012" t="s">
        <v>58501</v>
      </c>
      <c r="W14012" t="s">
        <v>41420</v>
      </c>
      <c r="X14012" t="s">
        <v>43193</v>
      </c>
    </row>
    <row r="14013" spans="1:24">
      <c r="A14013">
        <f>HYPERLINK("https://www.philgeps.gov.ph/GEPSNONPILOT/Tender/SplashBidNoticeAbstractUI.aspx?menuIndex=3&amp;refID=7039210&amp;Result=3","7039210")</f>
        <v>0</v>
      </c>
      <c r="B14013" t="s">
        <v>135</v>
      </c>
      <c r="C14013" t="s">
        <v>16837</v>
      </c>
      <c r="D14013" t="s">
        <v>17472</v>
      </c>
      <c r="E14013" t="s">
        <v>29509</v>
      </c>
      <c r="F14013" t="s">
        <v>30052</v>
      </c>
      <c r="G14013" t="s">
        <v>30058</v>
      </c>
      <c r="H14013" t="s">
        <v>15498</v>
      </c>
      <c r="I14013" t="s">
        <v>30155</v>
      </c>
      <c r="J14013" t="s">
        <v>38685</v>
      </c>
      <c r="K14013" t="s">
        <v>39019</v>
      </c>
      <c r="M14013" t="s">
        <v>39424</v>
      </c>
      <c r="N14013" t="s">
        <v>43166</v>
      </c>
      <c r="O14013" t="s">
        <v>43167</v>
      </c>
      <c r="P14013">
        <v>0</v>
      </c>
      <c r="Q14013">
        <v>2</v>
      </c>
      <c r="R14013" t="s">
        <v>43192</v>
      </c>
      <c r="S14013" t="s">
        <v>44288</v>
      </c>
      <c r="T14013" t="s">
        <v>44777</v>
      </c>
      <c r="U14013" t="s">
        <v>56336</v>
      </c>
      <c r="W14013" t="s">
        <v>39424</v>
      </c>
      <c r="X14013" t="s">
        <v>43193</v>
      </c>
    </row>
    <row r="14014" spans="1:24">
      <c r="A14014">
        <f>HYPERLINK("https://www.philgeps.gov.ph/GEPSNONPILOT/Tender/SplashBidNoticeAbstractUI.aspx?menuIndex=3&amp;refID=7039055&amp;Result=3","7039055")</f>
        <v>0</v>
      </c>
      <c r="B14014" t="s">
        <v>3368</v>
      </c>
      <c r="C14014" t="s">
        <v>16838</v>
      </c>
      <c r="D14014" t="s">
        <v>17431</v>
      </c>
      <c r="E14014" t="s">
        <v>29510</v>
      </c>
      <c r="F14014" t="s">
        <v>30052</v>
      </c>
      <c r="G14014" t="s">
        <v>30058</v>
      </c>
      <c r="H14014" t="s">
        <v>30067</v>
      </c>
      <c r="I14014" t="s">
        <v>3693</v>
      </c>
      <c r="J14014" t="s">
        <v>30281</v>
      </c>
      <c r="K14014" t="s">
        <v>39090</v>
      </c>
      <c r="M14014" t="s">
        <v>43019</v>
      </c>
      <c r="N14014" t="s">
        <v>43166</v>
      </c>
      <c r="O14014" t="s">
        <v>43167</v>
      </c>
      <c r="P14014">
        <v>0</v>
      </c>
      <c r="Q14014">
        <v>0</v>
      </c>
      <c r="R14014" t="s">
        <v>43192</v>
      </c>
      <c r="S14014" t="s">
        <v>44288</v>
      </c>
      <c r="T14014" t="s">
        <v>44695</v>
      </c>
      <c r="U14014" t="s">
        <v>56338</v>
      </c>
      <c r="W14014" t="s">
        <v>43019</v>
      </c>
      <c r="X14014" t="s">
        <v>43193</v>
      </c>
    </row>
    <row r="14015" spans="1:24">
      <c r="A14015">
        <f>HYPERLINK("https://www.philgeps.gov.ph/GEPSNONPILOT/Tender/SplashBidNoticeAbstractUI.aspx?menuIndex=3&amp;refID=7043293&amp;Result=3","7043293")</f>
        <v>0</v>
      </c>
      <c r="B14015" t="s">
        <v>2396</v>
      </c>
      <c r="C14015" t="s">
        <v>16839</v>
      </c>
      <c r="D14015" t="s">
        <v>17459</v>
      </c>
      <c r="E14015" t="s">
        <v>29511</v>
      </c>
      <c r="F14015" t="s">
        <v>30052</v>
      </c>
      <c r="G14015" t="s">
        <v>30058</v>
      </c>
      <c r="H14015" t="s">
        <v>30067</v>
      </c>
      <c r="I14015" t="s">
        <v>3693</v>
      </c>
      <c r="J14015" t="s">
        <v>38686</v>
      </c>
      <c r="K14015" t="s">
        <v>39016</v>
      </c>
      <c r="M14015" t="s">
        <v>41892</v>
      </c>
      <c r="N14015" t="s">
        <v>43166</v>
      </c>
      <c r="O14015" t="s">
        <v>43167</v>
      </c>
      <c r="P14015">
        <v>0</v>
      </c>
      <c r="Q14015">
        <v>1</v>
      </c>
      <c r="R14015" t="s">
        <v>43190</v>
      </c>
      <c r="S14015" t="s">
        <v>44274</v>
      </c>
      <c r="T14015" t="s">
        <v>44717</v>
      </c>
      <c r="U14015" t="s">
        <v>56339</v>
      </c>
      <c r="W14015" t="s">
        <v>41892</v>
      </c>
      <c r="X14015" t="s">
        <v>43192</v>
      </c>
    </row>
    <row r="14016" spans="1:24">
      <c r="A14016">
        <f>HYPERLINK("https://www.philgeps.gov.ph/GEPSNONPILOT/Tender/SplashBidNoticeAbstractUI.aspx?menuIndex=3&amp;refID=7043212&amp;Result=3","7043212")</f>
        <v>0</v>
      </c>
      <c r="B14016" t="s">
        <v>3310</v>
      </c>
      <c r="C14016" t="s">
        <v>16840</v>
      </c>
      <c r="D14016" t="s">
        <v>17415</v>
      </c>
      <c r="E14016" t="s">
        <v>29512</v>
      </c>
      <c r="F14016" t="s">
        <v>30052</v>
      </c>
      <c r="G14016" t="s">
        <v>30058</v>
      </c>
      <c r="H14016" t="s">
        <v>30068</v>
      </c>
      <c r="I14016" t="s">
        <v>30068</v>
      </c>
      <c r="J14016" t="s">
        <v>30212</v>
      </c>
      <c r="K14016" t="s">
        <v>39031</v>
      </c>
      <c r="M14016" t="s">
        <v>42949</v>
      </c>
      <c r="N14016" t="s">
        <v>43166</v>
      </c>
      <c r="O14016" t="s">
        <v>43167</v>
      </c>
      <c r="Q14016">
        <v>6</v>
      </c>
      <c r="R14016" t="s">
        <v>43190</v>
      </c>
      <c r="S14016" t="s">
        <v>43594</v>
      </c>
      <c r="T14016" t="s">
        <v>44844</v>
      </c>
      <c r="U14016" t="s">
        <v>56340</v>
      </c>
      <c r="W14016" t="s">
        <v>42949</v>
      </c>
      <c r="X14016" t="s">
        <v>43192</v>
      </c>
    </row>
    <row r="14017" spans="1:24">
      <c r="A14017">
        <f>HYPERLINK("https://www.philgeps.gov.ph/GEPSNONPILOT/Tender/SplashBidNoticeAbstractUI.aspx?menuIndex=3&amp;refID=7043285&amp;Result=3","7043285")</f>
        <v>0</v>
      </c>
      <c r="B14017" t="s">
        <v>658</v>
      </c>
      <c r="C14017" t="s">
        <v>16841</v>
      </c>
      <c r="D14017" t="s">
        <v>17434</v>
      </c>
      <c r="E14017" t="s">
        <v>18646</v>
      </c>
      <c r="F14017" t="s">
        <v>30052</v>
      </c>
      <c r="G14017" t="s">
        <v>30058</v>
      </c>
      <c r="H14017" t="s">
        <v>15498</v>
      </c>
      <c r="I14017" t="s">
        <v>30079</v>
      </c>
      <c r="J14017" t="s">
        <v>38687</v>
      </c>
      <c r="K14017" t="s">
        <v>39029</v>
      </c>
      <c r="M14017" t="s">
        <v>39963</v>
      </c>
      <c r="N14017" t="s">
        <v>43166</v>
      </c>
      <c r="O14017" t="s">
        <v>43167</v>
      </c>
      <c r="Q14017">
        <v>10</v>
      </c>
      <c r="R14017" t="s">
        <v>43190</v>
      </c>
      <c r="S14017" t="s">
        <v>44298</v>
      </c>
      <c r="T14017" t="s">
        <v>44804</v>
      </c>
      <c r="U14017" t="s">
        <v>56341</v>
      </c>
      <c r="W14017" t="s">
        <v>39963</v>
      </c>
      <c r="X14017" t="s">
        <v>43192</v>
      </c>
    </row>
    <row r="14018" spans="1:24">
      <c r="A14018">
        <f>HYPERLINK("https://www.philgeps.gov.ph/GEPSNONPILOT/Tender/SplashBidNoticeAbstractUI.aspx?menuIndex=3&amp;refID=7042401&amp;Result=3","7042401")</f>
        <v>0</v>
      </c>
      <c r="B14018" t="s">
        <v>924</v>
      </c>
      <c r="C14018" t="s">
        <v>16842</v>
      </c>
      <c r="E14018" t="s">
        <v>29513</v>
      </c>
      <c r="F14018" t="s">
        <v>30052</v>
      </c>
      <c r="G14018" t="s">
        <v>30058</v>
      </c>
      <c r="H14018" t="s">
        <v>30067</v>
      </c>
      <c r="I14018" t="s">
        <v>3693</v>
      </c>
      <c r="J14018" t="s">
        <v>38688</v>
      </c>
      <c r="K14018" t="s">
        <v>39025</v>
      </c>
      <c r="M14018" t="s">
        <v>40247</v>
      </c>
      <c r="N14018" t="s">
        <v>43166</v>
      </c>
      <c r="O14018" t="s">
        <v>43167</v>
      </c>
      <c r="Q14018">
        <v>29</v>
      </c>
      <c r="R14018" t="s">
        <v>43190</v>
      </c>
      <c r="S14018" t="s">
        <v>44299</v>
      </c>
      <c r="T14018" t="s">
        <v>44842</v>
      </c>
      <c r="U14018" t="s">
        <v>47052</v>
      </c>
      <c r="W14018" t="s">
        <v>58617</v>
      </c>
      <c r="X14018" t="s">
        <v>43192</v>
      </c>
    </row>
    <row r="14019" spans="1:24">
      <c r="A14019">
        <f>HYPERLINK("https://www.philgeps.gov.ph/GEPSNONPILOT/Tender/SplashBidNoticeAbstractUI.aspx?menuIndex=3&amp;refID=7012626-2&amp;Result=3","7012626-2")</f>
        <v>0</v>
      </c>
      <c r="B14019" t="s">
        <v>1658</v>
      </c>
      <c r="C14019" t="s">
        <v>16843</v>
      </c>
      <c r="E14019" t="s">
        <v>29514</v>
      </c>
      <c r="F14019" t="s">
        <v>30052</v>
      </c>
      <c r="G14019" t="s">
        <v>30058</v>
      </c>
      <c r="H14019" t="s">
        <v>30068</v>
      </c>
      <c r="I14019" t="s">
        <v>30068</v>
      </c>
      <c r="J14019" t="s">
        <v>38689</v>
      </c>
      <c r="K14019" t="s">
        <v>39025</v>
      </c>
      <c r="M14019" t="s">
        <v>41063</v>
      </c>
      <c r="N14019" t="s">
        <v>43166</v>
      </c>
      <c r="O14019" t="s">
        <v>43167</v>
      </c>
      <c r="Q14019">
        <v>1</v>
      </c>
      <c r="R14019" t="s">
        <v>43193</v>
      </c>
      <c r="S14019" t="s">
        <v>44286</v>
      </c>
      <c r="T14019" t="s">
        <v>44773</v>
      </c>
      <c r="U14019" t="s">
        <v>56342</v>
      </c>
      <c r="V14019" t="s">
        <v>58502</v>
      </c>
      <c r="W14019" t="s">
        <v>41063</v>
      </c>
      <c r="X14019" t="s">
        <v>43194</v>
      </c>
    </row>
    <row r="14020" spans="1:24">
      <c r="A14020">
        <f>HYPERLINK("https://www.philgeps.gov.ph/GEPSNONPILOT/Tender/SplashBidNoticeAbstractUI.aspx?menuIndex=3&amp;refID=7039332&amp;Result=3","7039332")</f>
        <v>0</v>
      </c>
      <c r="B14020" t="s">
        <v>158</v>
      </c>
      <c r="C14020" t="s">
        <v>16844</v>
      </c>
      <c r="D14020" t="s">
        <v>17471</v>
      </c>
      <c r="E14020" t="s">
        <v>29515</v>
      </c>
      <c r="F14020" t="s">
        <v>30052</v>
      </c>
      <c r="G14020" t="s">
        <v>30058</v>
      </c>
      <c r="H14020" t="s">
        <v>15498</v>
      </c>
      <c r="I14020" t="s">
        <v>30078</v>
      </c>
      <c r="J14020" t="s">
        <v>34507</v>
      </c>
      <c r="K14020" t="s">
        <v>39029</v>
      </c>
      <c r="M14020" t="s">
        <v>39447</v>
      </c>
      <c r="N14020" t="s">
        <v>43166</v>
      </c>
      <c r="O14020" t="s">
        <v>43167</v>
      </c>
      <c r="P14020">
        <v>0</v>
      </c>
      <c r="Q14020">
        <v>1</v>
      </c>
      <c r="R14020" t="s">
        <v>43192</v>
      </c>
      <c r="S14020" t="s">
        <v>44288</v>
      </c>
      <c r="T14020" t="s">
        <v>44844</v>
      </c>
      <c r="U14020" t="s">
        <v>56343</v>
      </c>
      <c r="W14020" t="s">
        <v>39447</v>
      </c>
      <c r="X14020" t="s">
        <v>43193</v>
      </c>
    </row>
    <row r="14021" spans="1:24">
      <c r="A14021">
        <f>HYPERLINK("https://www.philgeps.gov.ph/GEPSNONPILOT/Tender/SplashBidNoticeAbstractUI.aspx?menuIndex=3&amp;refID=7043298&amp;Result=3","7043298")</f>
        <v>0</v>
      </c>
      <c r="B14021" t="s">
        <v>592</v>
      </c>
      <c r="C14021" t="s">
        <v>16845</v>
      </c>
      <c r="D14021" t="s">
        <v>17461</v>
      </c>
      <c r="E14021" t="s">
        <v>29516</v>
      </c>
      <c r="F14021" t="s">
        <v>30052</v>
      </c>
      <c r="G14021" t="s">
        <v>30058</v>
      </c>
      <c r="H14021" t="s">
        <v>30067</v>
      </c>
      <c r="I14021" t="s">
        <v>3693</v>
      </c>
      <c r="J14021" t="s">
        <v>38690</v>
      </c>
      <c r="K14021" t="s">
        <v>39031</v>
      </c>
      <c r="M14021" t="s">
        <v>43086</v>
      </c>
      <c r="N14021" t="s">
        <v>43166</v>
      </c>
      <c r="O14021" t="s">
        <v>43167</v>
      </c>
      <c r="Q14021">
        <v>2</v>
      </c>
      <c r="R14021" t="s">
        <v>43190</v>
      </c>
      <c r="S14021" t="s">
        <v>44300</v>
      </c>
      <c r="T14021" t="s">
        <v>44728</v>
      </c>
      <c r="U14021" t="s">
        <v>56344</v>
      </c>
      <c r="W14021" t="s">
        <v>43086</v>
      </c>
      <c r="X14021" t="s">
        <v>43192</v>
      </c>
    </row>
    <row r="14022" spans="1:24">
      <c r="A14022">
        <f>HYPERLINK("https://www.philgeps.gov.ph/GEPSNONPILOT/Tender/SplashBidNoticeAbstractUI.aspx?menuIndex=3&amp;refID=7039016&amp;Result=3","7039016")</f>
        <v>0</v>
      </c>
      <c r="B14022" t="s">
        <v>3368</v>
      </c>
      <c r="C14022" t="s">
        <v>16846</v>
      </c>
      <c r="D14022" t="s">
        <v>17431</v>
      </c>
      <c r="E14022" t="s">
        <v>29517</v>
      </c>
      <c r="F14022" t="s">
        <v>30052</v>
      </c>
      <c r="G14022" t="s">
        <v>30058</v>
      </c>
      <c r="H14022" t="s">
        <v>30067</v>
      </c>
      <c r="I14022" t="s">
        <v>3693</v>
      </c>
      <c r="J14022" t="s">
        <v>30281</v>
      </c>
      <c r="K14022" t="s">
        <v>39167</v>
      </c>
      <c r="M14022" t="s">
        <v>43019</v>
      </c>
      <c r="N14022" t="s">
        <v>43166</v>
      </c>
      <c r="O14022" t="s">
        <v>43167</v>
      </c>
      <c r="P14022">
        <v>0</v>
      </c>
      <c r="Q14022">
        <v>0</v>
      </c>
      <c r="R14022" t="s">
        <v>43192</v>
      </c>
      <c r="S14022" t="s">
        <v>44288</v>
      </c>
      <c r="T14022" t="s">
        <v>44826</v>
      </c>
      <c r="U14022" t="s">
        <v>56345</v>
      </c>
      <c r="W14022" t="s">
        <v>43019</v>
      </c>
      <c r="X14022" t="s">
        <v>43193</v>
      </c>
    </row>
    <row r="14023" spans="1:24">
      <c r="A14023">
        <f>HYPERLINK("https://www.philgeps.gov.ph/GEPSNONPILOT/Tender/SplashBidNoticeAbstractUI.aspx?menuIndex=3&amp;refID=7037066&amp;Result=3","7037066")</f>
        <v>0</v>
      </c>
      <c r="B14023" t="s">
        <v>1740</v>
      </c>
      <c r="C14023" t="s">
        <v>16847</v>
      </c>
      <c r="D14023" t="s">
        <v>17456</v>
      </c>
      <c r="E14023" t="s">
        <v>29518</v>
      </c>
      <c r="F14023" t="s">
        <v>30052</v>
      </c>
      <c r="G14023" t="s">
        <v>30058</v>
      </c>
      <c r="H14023" t="s">
        <v>30068</v>
      </c>
      <c r="I14023" t="s">
        <v>30068</v>
      </c>
      <c r="J14023" t="s">
        <v>38691</v>
      </c>
      <c r="K14023" t="s">
        <v>39023</v>
      </c>
      <c r="M14023" t="s">
        <v>41157</v>
      </c>
      <c r="N14023" t="s">
        <v>43166</v>
      </c>
      <c r="O14023" t="s">
        <v>43167</v>
      </c>
      <c r="Q14023">
        <v>5</v>
      </c>
      <c r="R14023" t="s">
        <v>43192</v>
      </c>
      <c r="S14023" t="s">
        <v>44301</v>
      </c>
      <c r="T14023" t="s">
        <v>44870</v>
      </c>
      <c r="U14023" t="s">
        <v>56346</v>
      </c>
      <c r="W14023" t="s">
        <v>41157</v>
      </c>
      <c r="X14023" t="s">
        <v>43194</v>
      </c>
    </row>
    <row r="14024" spans="1:24">
      <c r="A14024">
        <f>HYPERLINK("https://www.philgeps.gov.ph/GEPSNONPILOT/Tender/SplashBidNoticeAbstractUI.aspx?menuIndex=3&amp;refID=7040862&amp;Result=3","7040862")</f>
        <v>0</v>
      </c>
      <c r="B14024" t="s">
        <v>3416</v>
      </c>
      <c r="C14024" t="s">
        <v>16848</v>
      </c>
      <c r="D14024" t="s">
        <v>17415</v>
      </c>
      <c r="E14024" t="s">
        <v>29519</v>
      </c>
      <c r="F14024" t="s">
        <v>30052</v>
      </c>
      <c r="G14024" t="s">
        <v>30058</v>
      </c>
      <c r="H14024" t="s">
        <v>30068</v>
      </c>
      <c r="I14024" t="s">
        <v>30068</v>
      </c>
      <c r="J14024" t="s">
        <v>35210</v>
      </c>
      <c r="K14024" t="s">
        <v>39026</v>
      </c>
      <c r="M14024" t="s">
        <v>43087</v>
      </c>
      <c r="N14024" t="s">
        <v>43166</v>
      </c>
      <c r="O14024" t="s">
        <v>43167</v>
      </c>
      <c r="P14024">
        <v>0</v>
      </c>
      <c r="Q14024">
        <v>8</v>
      </c>
      <c r="R14024" t="s">
        <v>43192</v>
      </c>
      <c r="S14024" t="s">
        <v>44288</v>
      </c>
      <c r="T14024" t="s">
        <v>44833</v>
      </c>
      <c r="U14024" t="s">
        <v>56347</v>
      </c>
      <c r="W14024" t="s">
        <v>43087</v>
      </c>
      <c r="X14024" t="s">
        <v>43193</v>
      </c>
    </row>
    <row r="14025" spans="1:24">
      <c r="A14025">
        <f>HYPERLINK("https://www.philgeps.gov.ph/GEPSNONPILOT/Tender/SplashBidNoticeAbstractUI.aspx?menuIndex=3&amp;refID=7040711&amp;Result=3","7040711")</f>
        <v>0</v>
      </c>
      <c r="B14025" t="s">
        <v>511</v>
      </c>
      <c r="C14025" t="s">
        <v>16849</v>
      </c>
      <c r="D14025" t="s">
        <v>17480</v>
      </c>
      <c r="E14025" t="s">
        <v>29520</v>
      </c>
      <c r="F14025" t="s">
        <v>30052</v>
      </c>
      <c r="G14025" t="s">
        <v>30058</v>
      </c>
      <c r="H14025" t="s">
        <v>15498</v>
      </c>
      <c r="I14025" t="s">
        <v>30101</v>
      </c>
      <c r="J14025" t="s">
        <v>38692</v>
      </c>
      <c r="K14025" t="s">
        <v>39023</v>
      </c>
      <c r="M14025" t="s">
        <v>39812</v>
      </c>
      <c r="N14025" t="s">
        <v>43166</v>
      </c>
      <c r="O14025" t="s">
        <v>43167</v>
      </c>
      <c r="Q14025">
        <v>4</v>
      </c>
      <c r="R14025" t="s">
        <v>43192</v>
      </c>
      <c r="S14025" t="s">
        <v>44302</v>
      </c>
      <c r="T14025" t="s">
        <v>44741</v>
      </c>
      <c r="U14025" t="s">
        <v>56348</v>
      </c>
      <c r="V14025" t="s">
        <v>58503</v>
      </c>
      <c r="W14025" t="s">
        <v>39812</v>
      </c>
      <c r="X14025" t="s">
        <v>43193</v>
      </c>
    </row>
    <row r="14026" spans="1:24">
      <c r="A14026">
        <f>HYPERLINK("https://www.philgeps.gov.ph/GEPSNONPILOT/Tender/SplashBidNoticeAbstractUI.aspx?menuIndex=3&amp;refID=7040810&amp;Result=3","7040810")</f>
        <v>0</v>
      </c>
      <c r="B14026" t="s">
        <v>3129</v>
      </c>
      <c r="C14026" t="s">
        <v>16850</v>
      </c>
      <c r="D14026" t="s">
        <v>17415</v>
      </c>
      <c r="E14026" t="s">
        <v>25327</v>
      </c>
      <c r="F14026" t="s">
        <v>30052</v>
      </c>
      <c r="G14026" t="s">
        <v>30058</v>
      </c>
      <c r="H14026" t="s">
        <v>15498</v>
      </c>
      <c r="I14026" t="s">
        <v>30119</v>
      </c>
      <c r="J14026" t="s">
        <v>30281</v>
      </c>
      <c r="K14026" t="s">
        <v>39034</v>
      </c>
      <c r="M14026" t="s">
        <v>42730</v>
      </c>
      <c r="N14026" t="s">
        <v>43166</v>
      </c>
      <c r="O14026" t="s">
        <v>43167</v>
      </c>
      <c r="P14026">
        <v>0</v>
      </c>
      <c r="Q14026">
        <v>7</v>
      </c>
      <c r="R14026" t="s">
        <v>43192</v>
      </c>
      <c r="S14026" t="s">
        <v>44288</v>
      </c>
      <c r="T14026" t="s">
        <v>44969</v>
      </c>
      <c r="U14026" t="s">
        <v>56349</v>
      </c>
      <c r="W14026" t="s">
        <v>42730</v>
      </c>
      <c r="X14026" t="s">
        <v>43193</v>
      </c>
    </row>
    <row r="14027" spans="1:24">
      <c r="A14027">
        <f>HYPERLINK("https://www.philgeps.gov.ph/GEPSNONPILOT/Tender/SplashBidNoticeAbstractUI.aspx?menuIndex=3&amp;refID=7038947&amp;Result=3","7038947")</f>
        <v>0</v>
      </c>
      <c r="B14027" t="s">
        <v>822</v>
      </c>
      <c r="C14027" t="s">
        <v>16851</v>
      </c>
      <c r="D14027" t="s">
        <v>17415</v>
      </c>
      <c r="E14027" t="s">
        <v>29521</v>
      </c>
      <c r="F14027" t="s">
        <v>30052</v>
      </c>
      <c r="G14027" t="s">
        <v>30059</v>
      </c>
      <c r="H14027" t="s">
        <v>15498</v>
      </c>
      <c r="I14027" t="s">
        <v>30084</v>
      </c>
      <c r="J14027" t="s">
        <v>31051</v>
      </c>
      <c r="K14027" t="s">
        <v>39034</v>
      </c>
      <c r="M14027" t="s">
        <v>40277</v>
      </c>
      <c r="N14027" t="s">
        <v>43166</v>
      </c>
      <c r="O14027" t="s">
        <v>43167</v>
      </c>
      <c r="Q14027">
        <v>5</v>
      </c>
      <c r="R14027" t="s">
        <v>43192</v>
      </c>
      <c r="S14027" t="s">
        <v>44303</v>
      </c>
      <c r="T14027" t="s">
        <v>44710</v>
      </c>
      <c r="U14027" t="s">
        <v>56350</v>
      </c>
      <c r="W14027" t="s">
        <v>40277</v>
      </c>
      <c r="X14027" t="s">
        <v>43193</v>
      </c>
    </row>
    <row r="14028" spans="1:24">
      <c r="A14028">
        <f>HYPERLINK("https://www.philgeps.gov.ph/GEPSNONPILOT/Tender/SplashBidNoticeAbstractUI.aspx?menuIndex=3&amp;refID=7040566&amp;Result=3","7040566")</f>
        <v>0</v>
      </c>
      <c r="B14028" t="s">
        <v>730</v>
      </c>
      <c r="C14028" t="s">
        <v>16852</v>
      </c>
      <c r="E14028" t="s">
        <v>29522</v>
      </c>
      <c r="F14028" t="s">
        <v>30052</v>
      </c>
      <c r="G14028" t="s">
        <v>30058</v>
      </c>
      <c r="H14028" t="s">
        <v>15498</v>
      </c>
      <c r="I14028" t="s">
        <v>9238</v>
      </c>
      <c r="J14028" t="s">
        <v>38693</v>
      </c>
      <c r="K14028" t="s">
        <v>39023</v>
      </c>
      <c r="M14028" t="s">
        <v>42816</v>
      </c>
      <c r="N14028" t="s">
        <v>43166</v>
      </c>
      <c r="O14028" t="s">
        <v>43167</v>
      </c>
      <c r="P14028">
        <v>0</v>
      </c>
      <c r="Q14028">
        <v>48</v>
      </c>
      <c r="R14028" t="s">
        <v>43192</v>
      </c>
      <c r="S14028" t="s">
        <v>44288</v>
      </c>
      <c r="T14028" t="s">
        <v>45064</v>
      </c>
      <c r="U14028" t="s">
        <v>56207</v>
      </c>
      <c r="W14028" t="s">
        <v>42816</v>
      </c>
      <c r="X14028" t="s">
        <v>43193</v>
      </c>
    </row>
    <row r="14029" spans="1:24">
      <c r="A14029">
        <f>HYPERLINK("https://www.philgeps.gov.ph/GEPSNONPILOT/Tender/SplashBidNoticeAbstractUI.aspx?menuIndex=3&amp;refID=7040649&amp;Result=3","7040649")</f>
        <v>0</v>
      </c>
      <c r="B14029" t="s">
        <v>1377</v>
      </c>
      <c r="C14029" t="s">
        <v>16853</v>
      </c>
      <c r="E14029" t="s">
        <v>29523</v>
      </c>
      <c r="F14029" t="s">
        <v>30052</v>
      </c>
      <c r="G14029" t="s">
        <v>30058</v>
      </c>
      <c r="H14029" t="s">
        <v>15498</v>
      </c>
      <c r="I14029" t="s">
        <v>30096</v>
      </c>
      <c r="J14029" t="s">
        <v>30872</v>
      </c>
      <c r="K14029" t="s">
        <v>39025</v>
      </c>
      <c r="M14029" t="s">
        <v>43045</v>
      </c>
      <c r="N14029" t="s">
        <v>43166</v>
      </c>
      <c r="O14029" t="s">
        <v>43167</v>
      </c>
      <c r="Q14029">
        <v>13</v>
      </c>
      <c r="R14029" t="s">
        <v>43192</v>
      </c>
      <c r="S14029" t="s">
        <v>44304</v>
      </c>
      <c r="T14029" t="s">
        <v>44777</v>
      </c>
      <c r="U14029" t="s">
        <v>56351</v>
      </c>
      <c r="W14029" t="s">
        <v>43045</v>
      </c>
      <c r="X14029" t="s">
        <v>43193</v>
      </c>
    </row>
    <row r="14030" spans="1:24">
      <c r="A14030">
        <f>HYPERLINK("https://www.philgeps.gov.ph/GEPSNONPILOT/Tender/SplashBidNoticeAbstractUI.aspx?menuIndex=3&amp;refID=7040544&amp;Result=3","7040544")</f>
        <v>0</v>
      </c>
      <c r="B14030" t="s">
        <v>730</v>
      </c>
      <c r="C14030" t="s">
        <v>16852</v>
      </c>
      <c r="E14030" t="s">
        <v>29524</v>
      </c>
      <c r="F14030" t="s">
        <v>30052</v>
      </c>
      <c r="G14030" t="s">
        <v>30058</v>
      </c>
      <c r="H14030" t="s">
        <v>15498</v>
      </c>
      <c r="I14030" t="s">
        <v>9238</v>
      </c>
      <c r="J14030" t="s">
        <v>36400</v>
      </c>
      <c r="K14030" t="s">
        <v>39023</v>
      </c>
      <c r="M14030" t="s">
        <v>42816</v>
      </c>
      <c r="N14030" t="s">
        <v>43166</v>
      </c>
      <c r="O14030" t="s">
        <v>43167</v>
      </c>
      <c r="P14030">
        <v>0</v>
      </c>
      <c r="Q14030">
        <v>46</v>
      </c>
      <c r="R14030" t="s">
        <v>43192</v>
      </c>
      <c r="S14030" t="s">
        <v>44288</v>
      </c>
      <c r="T14030" t="s">
        <v>44807</v>
      </c>
      <c r="U14030" t="s">
        <v>56207</v>
      </c>
      <c r="W14030" t="s">
        <v>42816</v>
      </c>
      <c r="X14030" t="s">
        <v>43193</v>
      </c>
    </row>
    <row r="14031" spans="1:24">
      <c r="A14031">
        <f>HYPERLINK("https://www.philgeps.gov.ph/GEPSNONPILOT/Tender/SplashBidNoticeAbstractUI.aspx?menuIndex=3&amp;refID=7042497&amp;Result=3","7042497")</f>
        <v>0</v>
      </c>
      <c r="B14031" t="s">
        <v>2877</v>
      </c>
      <c r="C14031" t="s">
        <v>16854</v>
      </c>
      <c r="D14031" t="s">
        <v>17419</v>
      </c>
      <c r="E14031" t="s">
        <v>29525</v>
      </c>
      <c r="F14031" t="s">
        <v>30052</v>
      </c>
      <c r="G14031" t="s">
        <v>30058</v>
      </c>
      <c r="H14031" t="s">
        <v>30067</v>
      </c>
      <c r="I14031" t="s">
        <v>30093</v>
      </c>
      <c r="J14031" t="s">
        <v>30321</v>
      </c>
      <c r="K14031" t="s">
        <v>39057</v>
      </c>
      <c r="M14031" t="s">
        <v>42426</v>
      </c>
      <c r="N14031" t="s">
        <v>43166</v>
      </c>
      <c r="O14031" t="s">
        <v>43167</v>
      </c>
      <c r="P14031">
        <v>0</v>
      </c>
      <c r="Q14031">
        <v>2</v>
      </c>
      <c r="R14031" t="s">
        <v>43190</v>
      </c>
      <c r="S14031" t="s">
        <v>44274</v>
      </c>
      <c r="T14031" t="s">
        <v>44698</v>
      </c>
      <c r="U14031" t="s">
        <v>56352</v>
      </c>
      <c r="W14031" t="s">
        <v>42426</v>
      </c>
      <c r="X14031" t="s">
        <v>43192</v>
      </c>
    </row>
    <row r="14032" spans="1:24">
      <c r="A14032">
        <f>HYPERLINK("https://www.philgeps.gov.ph/GEPSNONPILOT/Tender/SplashBidNoticeAbstractUI.aspx?menuIndex=3&amp;refID=7040510&amp;Result=3","7040510")</f>
        <v>0</v>
      </c>
      <c r="B14032" t="s">
        <v>730</v>
      </c>
      <c r="C14032" t="s">
        <v>16852</v>
      </c>
      <c r="E14032" t="s">
        <v>29526</v>
      </c>
      <c r="F14032" t="s">
        <v>30052</v>
      </c>
      <c r="G14032" t="s">
        <v>30058</v>
      </c>
      <c r="H14032" t="s">
        <v>15498</v>
      </c>
      <c r="I14032" t="s">
        <v>9238</v>
      </c>
      <c r="J14032" t="s">
        <v>38694</v>
      </c>
      <c r="K14032" t="s">
        <v>39023</v>
      </c>
      <c r="M14032" t="s">
        <v>42816</v>
      </c>
      <c r="N14032" t="s">
        <v>43166</v>
      </c>
      <c r="O14032" t="s">
        <v>43167</v>
      </c>
      <c r="P14032">
        <v>0</v>
      </c>
      <c r="Q14032">
        <v>41</v>
      </c>
      <c r="R14032" t="s">
        <v>43192</v>
      </c>
      <c r="S14032" t="s">
        <v>44288</v>
      </c>
      <c r="T14032" t="s">
        <v>44758</v>
      </c>
      <c r="U14032" t="s">
        <v>56207</v>
      </c>
      <c r="W14032" t="s">
        <v>42816</v>
      </c>
      <c r="X14032" t="s">
        <v>43193</v>
      </c>
    </row>
    <row r="14033" spans="1:24">
      <c r="A14033">
        <f>HYPERLINK("https://www.philgeps.gov.ph/GEPSNONPILOT/Tender/SplashBidNoticeAbstractUI.aspx?menuIndex=3&amp;refID=7040479&amp;Result=3","7040479")</f>
        <v>0</v>
      </c>
      <c r="B14033" t="s">
        <v>730</v>
      </c>
      <c r="C14033" t="s">
        <v>16852</v>
      </c>
      <c r="E14033" t="s">
        <v>29527</v>
      </c>
      <c r="F14033" t="s">
        <v>30052</v>
      </c>
      <c r="G14033" t="s">
        <v>30058</v>
      </c>
      <c r="H14033" t="s">
        <v>15498</v>
      </c>
      <c r="I14033" t="s">
        <v>9238</v>
      </c>
      <c r="J14033" t="s">
        <v>37184</v>
      </c>
      <c r="K14033" t="s">
        <v>39023</v>
      </c>
      <c r="M14033" t="s">
        <v>42816</v>
      </c>
      <c r="N14033" t="s">
        <v>43166</v>
      </c>
      <c r="O14033" t="s">
        <v>43167</v>
      </c>
      <c r="P14033">
        <v>0</v>
      </c>
      <c r="Q14033">
        <v>46</v>
      </c>
      <c r="R14033" t="s">
        <v>43192</v>
      </c>
      <c r="S14033" t="s">
        <v>44288</v>
      </c>
      <c r="T14033" t="s">
        <v>44796</v>
      </c>
      <c r="U14033" t="s">
        <v>56207</v>
      </c>
      <c r="W14033" t="s">
        <v>42816</v>
      </c>
      <c r="X14033" t="s">
        <v>43193</v>
      </c>
    </row>
    <row r="14034" spans="1:24">
      <c r="A14034">
        <f>HYPERLINK("https://www.philgeps.gov.ph/GEPSNONPILOT/Tender/SplashBidNoticeAbstractUI.aspx?menuIndex=3&amp;refID=7035349&amp;Result=3","7035349")</f>
        <v>0</v>
      </c>
      <c r="B14034" t="s">
        <v>3078</v>
      </c>
      <c r="C14034" t="s">
        <v>16855</v>
      </c>
      <c r="D14034" t="s">
        <v>17488</v>
      </c>
      <c r="E14034" t="s">
        <v>29528</v>
      </c>
      <c r="F14034" t="s">
        <v>30052</v>
      </c>
      <c r="G14034" t="s">
        <v>30058</v>
      </c>
      <c r="H14034" t="s">
        <v>30067</v>
      </c>
      <c r="I14034" t="s">
        <v>3693</v>
      </c>
      <c r="J14034" t="s">
        <v>38695</v>
      </c>
      <c r="K14034" t="s">
        <v>39085</v>
      </c>
      <c r="M14034" t="s">
        <v>42661</v>
      </c>
      <c r="N14034" t="s">
        <v>43166</v>
      </c>
      <c r="O14034" t="s">
        <v>43167</v>
      </c>
      <c r="P14034">
        <v>0</v>
      </c>
      <c r="Q14034">
        <v>1</v>
      </c>
      <c r="R14034" t="s">
        <v>43193</v>
      </c>
      <c r="S14034" t="s">
        <v>44305</v>
      </c>
      <c r="T14034" t="s">
        <v>44709</v>
      </c>
      <c r="U14034" t="s">
        <v>56353</v>
      </c>
      <c r="W14034" t="s">
        <v>42661</v>
      </c>
      <c r="X14034" t="s">
        <v>43194</v>
      </c>
    </row>
    <row r="14035" spans="1:24">
      <c r="A14035">
        <f>HYPERLINK("https://www.philgeps.gov.ph/GEPSNONPILOT/Tender/SplashBidNoticeAbstractUI.aspx?menuIndex=3&amp;refID=7040529&amp;Result=3","7040529")</f>
        <v>0</v>
      </c>
      <c r="B14035" t="s">
        <v>730</v>
      </c>
      <c r="C14035" t="s">
        <v>16852</v>
      </c>
      <c r="E14035" t="s">
        <v>29529</v>
      </c>
      <c r="F14035" t="s">
        <v>30052</v>
      </c>
      <c r="G14035" t="s">
        <v>30058</v>
      </c>
      <c r="H14035" t="s">
        <v>15498</v>
      </c>
      <c r="I14035" t="s">
        <v>9238</v>
      </c>
      <c r="J14035" t="s">
        <v>31202</v>
      </c>
      <c r="K14035" t="s">
        <v>39023</v>
      </c>
      <c r="M14035" t="s">
        <v>42816</v>
      </c>
      <c r="N14035" t="s">
        <v>43166</v>
      </c>
      <c r="O14035" t="s">
        <v>43167</v>
      </c>
      <c r="P14035">
        <v>0</v>
      </c>
      <c r="Q14035">
        <v>43</v>
      </c>
      <c r="R14035" t="s">
        <v>43192</v>
      </c>
      <c r="S14035" t="s">
        <v>44288</v>
      </c>
      <c r="T14035" t="s">
        <v>44711</v>
      </c>
      <c r="U14035" t="s">
        <v>56207</v>
      </c>
      <c r="W14035" t="s">
        <v>42816</v>
      </c>
      <c r="X14035" t="s">
        <v>43193</v>
      </c>
    </row>
    <row r="14036" spans="1:24">
      <c r="A14036">
        <f>HYPERLINK("https://www.philgeps.gov.ph/GEPSNONPILOT/Tender/SplashBidNoticeAbstractUI.aspx?menuIndex=3&amp;refID=7040846&amp;Result=3","7040846")</f>
        <v>0</v>
      </c>
      <c r="B14036" t="s">
        <v>2818</v>
      </c>
      <c r="C14036" t="s">
        <v>16856</v>
      </c>
      <c r="D14036" t="s">
        <v>17486</v>
      </c>
      <c r="E14036" t="s">
        <v>29530</v>
      </c>
      <c r="F14036" t="s">
        <v>30052</v>
      </c>
      <c r="G14036" t="s">
        <v>30058</v>
      </c>
      <c r="H14036" t="s">
        <v>30067</v>
      </c>
      <c r="I14036" t="s">
        <v>3693</v>
      </c>
      <c r="J14036" t="s">
        <v>34234</v>
      </c>
      <c r="K14036" t="s">
        <v>39148</v>
      </c>
      <c r="M14036" t="s">
        <v>42362</v>
      </c>
      <c r="N14036" t="s">
        <v>43166</v>
      </c>
      <c r="O14036" t="s">
        <v>43167</v>
      </c>
      <c r="Q14036">
        <v>11</v>
      </c>
      <c r="R14036" t="s">
        <v>43192</v>
      </c>
      <c r="S14036" t="s">
        <v>44306</v>
      </c>
      <c r="T14036" t="s">
        <v>44780</v>
      </c>
      <c r="U14036" t="s">
        <v>56354</v>
      </c>
      <c r="V14036" t="s">
        <v>58504</v>
      </c>
      <c r="W14036" t="s">
        <v>42362</v>
      </c>
      <c r="X14036" t="s">
        <v>43193</v>
      </c>
    </row>
    <row r="14037" spans="1:24">
      <c r="A14037">
        <f>HYPERLINK("https://www.philgeps.gov.ph/GEPSNONPILOT/Tender/SplashBidNoticeAbstractUI.aspx?menuIndex=3&amp;refID=7024826&amp;Result=3","7024826")</f>
        <v>0</v>
      </c>
      <c r="B14037" t="s">
        <v>1689</v>
      </c>
      <c r="C14037" t="s">
        <v>16857</v>
      </c>
      <c r="D14037" t="s">
        <v>17474</v>
      </c>
      <c r="E14037" t="s">
        <v>29531</v>
      </c>
      <c r="F14037" t="s">
        <v>30052</v>
      </c>
      <c r="G14037" t="s">
        <v>30058</v>
      </c>
      <c r="H14037" t="s">
        <v>15498</v>
      </c>
      <c r="I14037" t="s">
        <v>30073</v>
      </c>
      <c r="J14037" t="s">
        <v>38696</v>
      </c>
      <c r="K14037" t="s">
        <v>39029</v>
      </c>
      <c r="M14037" t="s">
        <v>41098</v>
      </c>
      <c r="N14037" t="s">
        <v>43166</v>
      </c>
      <c r="O14037" t="s">
        <v>43167</v>
      </c>
      <c r="P14037">
        <v>0</v>
      </c>
      <c r="Q14037">
        <v>0</v>
      </c>
      <c r="R14037" t="s">
        <v>43194</v>
      </c>
      <c r="S14037" t="s">
        <v>44307</v>
      </c>
      <c r="T14037" t="s">
        <v>44856</v>
      </c>
      <c r="U14037" t="s">
        <v>56355</v>
      </c>
      <c r="W14037" t="s">
        <v>41098</v>
      </c>
      <c r="X14037" t="s">
        <v>43199</v>
      </c>
    </row>
    <row r="14038" spans="1:24">
      <c r="A14038">
        <f>HYPERLINK("https://www.philgeps.gov.ph/GEPSNONPILOT/Tender/SplashBidNoticeAbstractUI.aspx?menuIndex=3&amp;refID=7037808&amp;Result=3","7037808")</f>
        <v>0</v>
      </c>
      <c r="B14038" t="s">
        <v>193</v>
      </c>
      <c r="C14038" t="s">
        <v>16858</v>
      </c>
      <c r="D14038" t="s">
        <v>17471</v>
      </c>
      <c r="E14038" t="s">
        <v>29532</v>
      </c>
      <c r="F14038" t="s">
        <v>30052</v>
      </c>
      <c r="G14038" t="s">
        <v>30058</v>
      </c>
      <c r="H14038" t="s">
        <v>30067</v>
      </c>
      <c r="I14038" t="s">
        <v>3693</v>
      </c>
      <c r="J14038" t="s">
        <v>30823</v>
      </c>
      <c r="K14038" t="s">
        <v>39085</v>
      </c>
      <c r="M14038" t="s">
        <v>39483</v>
      </c>
      <c r="N14038" t="s">
        <v>43166</v>
      </c>
      <c r="O14038" t="s">
        <v>43167</v>
      </c>
      <c r="Q14038">
        <v>0</v>
      </c>
      <c r="R14038" t="s">
        <v>43193</v>
      </c>
      <c r="S14038" t="s">
        <v>44308</v>
      </c>
      <c r="T14038" t="s">
        <v>44711</v>
      </c>
      <c r="U14038" t="s">
        <v>56356</v>
      </c>
      <c r="W14038" t="s">
        <v>39483</v>
      </c>
      <c r="X14038" t="s">
        <v>43194</v>
      </c>
    </row>
    <row r="14039" spans="1:24">
      <c r="A14039">
        <f>HYPERLINK("https://www.philgeps.gov.ph/GEPSNONPILOT/Tender/SplashBidNoticeAbstractUI.aspx?menuIndex=3&amp;refID=7040908&amp;Result=3","7040908")</f>
        <v>0</v>
      </c>
      <c r="B14039" t="s">
        <v>2338</v>
      </c>
      <c r="C14039" t="s">
        <v>16859</v>
      </c>
      <c r="D14039" t="s">
        <v>17472</v>
      </c>
      <c r="E14039" t="s">
        <v>29533</v>
      </c>
      <c r="F14039" t="s">
        <v>30052</v>
      </c>
      <c r="G14039" t="s">
        <v>30058</v>
      </c>
      <c r="H14039" t="s">
        <v>15498</v>
      </c>
      <c r="I14039" t="s">
        <v>30074</v>
      </c>
      <c r="J14039" t="s">
        <v>30321</v>
      </c>
      <c r="K14039" t="s">
        <v>39046</v>
      </c>
      <c r="M14039" t="s">
        <v>41828</v>
      </c>
      <c r="N14039" t="s">
        <v>43166</v>
      </c>
      <c r="O14039" t="s">
        <v>43167</v>
      </c>
      <c r="Q14039">
        <v>7</v>
      </c>
      <c r="R14039" t="s">
        <v>43192</v>
      </c>
      <c r="S14039" t="s">
        <v>44309</v>
      </c>
      <c r="T14039" t="s">
        <v>44690</v>
      </c>
      <c r="U14039" t="s">
        <v>56357</v>
      </c>
      <c r="W14039" t="s">
        <v>41828</v>
      </c>
      <c r="X14039" t="s">
        <v>43193</v>
      </c>
    </row>
    <row r="14040" spans="1:24">
      <c r="A14040">
        <f>HYPERLINK("https://www.philgeps.gov.ph/GEPSNONPILOT/Tender/SplashBidNoticeAbstractUI.aspx?menuIndex=3&amp;refID=7037792&amp;Result=3","7037792")</f>
        <v>0</v>
      </c>
      <c r="B14040" t="s">
        <v>193</v>
      </c>
      <c r="C14040" t="s">
        <v>16860</v>
      </c>
      <c r="D14040" t="s">
        <v>17471</v>
      </c>
      <c r="E14040" t="s">
        <v>29534</v>
      </c>
      <c r="F14040" t="s">
        <v>30052</v>
      </c>
      <c r="G14040" t="s">
        <v>30058</v>
      </c>
      <c r="H14040" t="s">
        <v>30067</v>
      </c>
      <c r="I14040" t="s">
        <v>3693</v>
      </c>
      <c r="J14040" t="s">
        <v>30823</v>
      </c>
      <c r="K14040" t="s">
        <v>39085</v>
      </c>
      <c r="M14040" t="s">
        <v>39483</v>
      </c>
      <c r="N14040" t="s">
        <v>43166</v>
      </c>
      <c r="O14040" t="s">
        <v>43167</v>
      </c>
      <c r="Q14040">
        <v>0</v>
      </c>
      <c r="R14040" t="s">
        <v>43193</v>
      </c>
      <c r="S14040" t="s">
        <v>43350</v>
      </c>
      <c r="T14040" t="s">
        <v>44711</v>
      </c>
      <c r="U14040" t="s">
        <v>56356</v>
      </c>
      <c r="W14040" t="s">
        <v>39483</v>
      </c>
      <c r="X14040" t="s">
        <v>43194</v>
      </c>
    </row>
    <row r="14041" spans="1:24">
      <c r="A14041">
        <f>HYPERLINK("https://www.philgeps.gov.ph/GEPSNONPILOT/Tender/SplashBidNoticeAbstractUI.aspx?menuIndex=3&amp;refID=7037760&amp;Result=3","7037760")</f>
        <v>0</v>
      </c>
      <c r="B14041" t="s">
        <v>1523</v>
      </c>
      <c r="C14041" t="s">
        <v>16861</v>
      </c>
      <c r="E14041" t="s">
        <v>29535</v>
      </c>
      <c r="F14041" t="s">
        <v>30052</v>
      </c>
      <c r="G14041" t="s">
        <v>30058</v>
      </c>
      <c r="H14041" t="s">
        <v>15498</v>
      </c>
      <c r="I14041" t="s">
        <v>30098</v>
      </c>
      <c r="J14041" t="s">
        <v>38697</v>
      </c>
      <c r="K14041" t="s">
        <v>39025</v>
      </c>
      <c r="M14041" t="s">
        <v>43088</v>
      </c>
      <c r="N14041" t="s">
        <v>43166</v>
      </c>
      <c r="O14041" t="s">
        <v>43167</v>
      </c>
      <c r="Q14041">
        <v>12</v>
      </c>
      <c r="R14041" t="s">
        <v>43193</v>
      </c>
      <c r="S14041" t="s">
        <v>44310</v>
      </c>
      <c r="T14041" t="s">
        <v>45191</v>
      </c>
      <c r="U14041" t="s">
        <v>56358</v>
      </c>
      <c r="W14041" t="s">
        <v>43088</v>
      </c>
      <c r="X14041" t="s">
        <v>43194</v>
      </c>
    </row>
    <row r="14042" spans="1:24">
      <c r="A14042">
        <f>HYPERLINK("https://www.philgeps.gov.ph/GEPSNONPILOT/Tender/SplashBidNoticeAbstractUI.aspx?menuIndex=3&amp;refID=7040236&amp;Result=3","7040236")</f>
        <v>0</v>
      </c>
      <c r="B14042" t="s">
        <v>1017</v>
      </c>
      <c r="C14042" t="s">
        <v>16862</v>
      </c>
      <c r="D14042" t="s">
        <v>17444</v>
      </c>
      <c r="E14042" t="s">
        <v>29536</v>
      </c>
      <c r="F14042" t="s">
        <v>30052</v>
      </c>
      <c r="G14042" t="s">
        <v>30058</v>
      </c>
      <c r="H14042" t="s">
        <v>30067</v>
      </c>
      <c r="I14042" t="s">
        <v>3693</v>
      </c>
      <c r="J14042" t="s">
        <v>38698</v>
      </c>
      <c r="K14042" t="s">
        <v>39016</v>
      </c>
      <c r="M14042" t="s">
        <v>40346</v>
      </c>
      <c r="N14042" t="s">
        <v>43166</v>
      </c>
      <c r="O14042" t="s">
        <v>43167</v>
      </c>
      <c r="P14042">
        <v>0</v>
      </c>
      <c r="Q14042">
        <v>8</v>
      </c>
      <c r="R14042" t="s">
        <v>43192</v>
      </c>
      <c r="S14042" t="s">
        <v>44288</v>
      </c>
      <c r="T14042" t="s">
        <v>44696</v>
      </c>
      <c r="U14042" t="s">
        <v>56359</v>
      </c>
      <c r="W14042" t="s">
        <v>40346</v>
      </c>
      <c r="X14042" t="s">
        <v>43193</v>
      </c>
    </row>
    <row r="14043" spans="1:24">
      <c r="A14043">
        <f>HYPERLINK("https://www.philgeps.gov.ph/GEPSNONPILOT/Tender/SplashBidNoticeAbstractUI.aspx?menuIndex=3&amp;refID=7040695&amp;Result=3","7040695")</f>
        <v>0</v>
      </c>
      <c r="B14043" t="s">
        <v>1272</v>
      </c>
      <c r="C14043" t="s">
        <v>16863</v>
      </c>
      <c r="D14043" t="s">
        <v>17415</v>
      </c>
      <c r="E14043" t="s">
        <v>29537</v>
      </c>
      <c r="F14043" t="s">
        <v>30052</v>
      </c>
      <c r="G14043" t="s">
        <v>30058</v>
      </c>
      <c r="H14043" t="s">
        <v>30068</v>
      </c>
      <c r="I14043" t="s">
        <v>30068</v>
      </c>
      <c r="J14043" t="s">
        <v>30215</v>
      </c>
      <c r="K14043" t="s">
        <v>39030</v>
      </c>
      <c r="M14043" t="s">
        <v>42476</v>
      </c>
      <c r="N14043" t="s">
        <v>43166</v>
      </c>
      <c r="O14043" t="s">
        <v>43167</v>
      </c>
      <c r="Q14043">
        <v>6</v>
      </c>
      <c r="R14043" t="s">
        <v>43192</v>
      </c>
      <c r="S14043" t="s">
        <v>44311</v>
      </c>
      <c r="T14043" t="s">
        <v>44891</v>
      </c>
      <c r="U14043" t="s">
        <v>56360</v>
      </c>
      <c r="W14043" t="s">
        <v>42476</v>
      </c>
      <c r="X14043" t="s">
        <v>43193</v>
      </c>
    </row>
    <row r="14044" spans="1:24">
      <c r="A14044">
        <f>HYPERLINK("https://www.philgeps.gov.ph/GEPSNONPILOT/Tender/SplashBidNoticeAbstractUI.aspx?menuIndex=3&amp;refID=7037190&amp;Result=3","7037190")</f>
        <v>0</v>
      </c>
      <c r="B14044" t="s">
        <v>501</v>
      </c>
      <c r="C14044" t="s">
        <v>16864</v>
      </c>
      <c r="E14044" t="s">
        <v>29538</v>
      </c>
      <c r="F14044" t="s">
        <v>30052</v>
      </c>
      <c r="G14044" t="s">
        <v>30058</v>
      </c>
      <c r="H14044" t="s">
        <v>15498</v>
      </c>
      <c r="I14044" t="s">
        <v>30070</v>
      </c>
      <c r="J14044" t="s">
        <v>38699</v>
      </c>
      <c r="K14044" t="s">
        <v>39025</v>
      </c>
      <c r="M14044" t="s">
        <v>39802</v>
      </c>
      <c r="N14044" t="s">
        <v>43166</v>
      </c>
      <c r="O14044" t="s">
        <v>43167</v>
      </c>
      <c r="Q14044">
        <v>5</v>
      </c>
      <c r="R14044" t="s">
        <v>43193</v>
      </c>
      <c r="S14044" t="s">
        <v>44312</v>
      </c>
      <c r="T14044" t="s">
        <v>44794</v>
      </c>
      <c r="U14044" t="s">
        <v>56361</v>
      </c>
      <c r="W14044" t="s">
        <v>39802</v>
      </c>
      <c r="X14044" t="s">
        <v>43194</v>
      </c>
    </row>
    <row r="14045" spans="1:24">
      <c r="A14045">
        <f>HYPERLINK("https://www.philgeps.gov.ph/GEPSNONPILOT/Tender/SplashBidNoticeAbstractUI.aspx?menuIndex=3&amp;refID=7029976&amp;Result=3","7029976")</f>
        <v>0</v>
      </c>
      <c r="B14045" t="s">
        <v>2639</v>
      </c>
      <c r="C14045" t="s">
        <v>16865</v>
      </c>
      <c r="D14045" t="s">
        <v>17425</v>
      </c>
      <c r="E14045" t="s">
        <v>29539</v>
      </c>
      <c r="F14045" t="s">
        <v>30052</v>
      </c>
      <c r="G14045" t="s">
        <v>30058</v>
      </c>
      <c r="H14045" t="s">
        <v>15498</v>
      </c>
      <c r="I14045" t="s">
        <v>30088</v>
      </c>
      <c r="J14045" t="s">
        <v>30281</v>
      </c>
      <c r="K14045" t="s">
        <v>39023</v>
      </c>
      <c r="M14045" t="s">
        <v>42156</v>
      </c>
      <c r="N14045" t="s">
        <v>43166</v>
      </c>
      <c r="O14045" t="s">
        <v>43167</v>
      </c>
      <c r="Q14045">
        <v>15</v>
      </c>
      <c r="R14045" t="s">
        <v>43194</v>
      </c>
      <c r="S14045" t="s">
        <v>44313</v>
      </c>
      <c r="T14045" t="s">
        <v>44717</v>
      </c>
      <c r="U14045" t="s">
        <v>56362</v>
      </c>
      <c r="W14045" t="s">
        <v>42156</v>
      </c>
      <c r="X14045" t="s">
        <v>43197</v>
      </c>
    </row>
    <row r="14046" spans="1:24">
      <c r="A14046">
        <f>HYPERLINK("https://www.philgeps.gov.ph/GEPSNONPILOT/Tender/SplashBidNoticeAbstractUI.aspx?menuIndex=3&amp;refID=7037628&amp;Result=3","7037628")</f>
        <v>0</v>
      </c>
      <c r="B14046" t="s">
        <v>3094</v>
      </c>
      <c r="C14046" t="s">
        <v>16866</v>
      </c>
      <c r="D14046" t="s">
        <v>17459</v>
      </c>
      <c r="E14046" t="s">
        <v>29540</v>
      </c>
      <c r="F14046" t="s">
        <v>30052</v>
      </c>
      <c r="G14046" t="s">
        <v>30058</v>
      </c>
      <c r="H14046" t="s">
        <v>30067</v>
      </c>
      <c r="I14046" t="s">
        <v>3693</v>
      </c>
      <c r="J14046" t="s">
        <v>31447</v>
      </c>
      <c r="K14046" t="s">
        <v>39057</v>
      </c>
      <c r="M14046" t="s">
        <v>42680</v>
      </c>
      <c r="N14046" t="s">
        <v>43166</v>
      </c>
      <c r="O14046" t="s">
        <v>43167</v>
      </c>
      <c r="Q14046">
        <v>14</v>
      </c>
      <c r="R14046" t="s">
        <v>43193</v>
      </c>
      <c r="S14046" t="s">
        <v>43702</v>
      </c>
      <c r="T14046" t="s">
        <v>44974</v>
      </c>
      <c r="U14046" t="s">
        <v>56363</v>
      </c>
      <c r="V14046" t="s">
        <v>58092</v>
      </c>
      <c r="W14046" t="s">
        <v>42680</v>
      </c>
      <c r="X14046" t="s">
        <v>43194</v>
      </c>
    </row>
    <row r="14047" spans="1:24">
      <c r="A14047">
        <f>HYPERLINK("https://www.philgeps.gov.ph/GEPSNONPILOT/Tender/SplashBidNoticeAbstractUI.aspx?menuIndex=3&amp;refID=7032614&amp;Result=3","7032614")</f>
        <v>0</v>
      </c>
      <c r="B14047" t="s">
        <v>3417</v>
      </c>
      <c r="C14047" t="s">
        <v>16867</v>
      </c>
      <c r="D14047" t="s">
        <v>17456</v>
      </c>
      <c r="E14047" t="s">
        <v>29541</v>
      </c>
      <c r="F14047" t="s">
        <v>30052</v>
      </c>
      <c r="G14047" t="s">
        <v>30058</v>
      </c>
      <c r="H14047" t="s">
        <v>15498</v>
      </c>
      <c r="I14047" t="s">
        <v>30091</v>
      </c>
      <c r="J14047" t="s">
        <v>30813</v>
      </c>
      <c r="K14047" t="s">
        <v>39031</v>
      </c>
      <c r="M14047" t="s">
        <v>43089</v>
      </c>
      <c r="N14047" t="s">
        <v>43166</v>
      </c>
      <c r="O14047" t="s">
        <v>43167</v>
      </c>
      <c r="Q14047">
        <v>7</v>
      </c>
      <c r="R14047" t="s">
        <v>43195</v>
      </c>
      <c r="S14047" t="s">
        <v>44314</v>
      </c>
      <c r="T14047" t="s">
        <v>44721</v>
      </c>
      <c r="U14047" t="s">
        <v>56364</v>
      </c>
      <c r="V14047" t="s">
        <v>58505</v>
      </c>
      <c r="W14047" t="s">
        <v>43089</v>
      </c>
      <c r="X14047" t="s">
        <v>43284</v>
      </c>
    </row>
    <row r="14048" spans="1:24">
      <c r="A14048">
        <f>HYPERLINK("https://www.philgeps.gov.ph/GEPSNONPILOT/Tender/SplashBidNoticeAbstractUI.aspx?menuIndex=3&amp;refID=7037799&amp;Result=3","7037799")</f>
        <v>0</v>
      </c>
      <c r="B14048" t="s">
        <v>3418</v>
      </c>
      <c r="C14048" t="s">
        <v>16868</v>
      </c>
      <c r="D14048" t="s">
        <v>17458</v>
      </c>
      <c r="E14048" t="s">
        <v>20804</v>
      </c>
      <c r="F14048" t="s">
        <v>30052</v>
      </c>
      <c r="G14048" t="s">
        <v>30060</v>
      </c>
      <c r="H14048" t="s">
        <v>15498</v>
      </c>
      <c r="I14048" t="s">
        <v>9238</v>
      </c>
      <c r="J14048" t="s">
        <v>38700</v>
      </c>
      <c r="K14048" t="s">
        <v>39026</v>
      </c>
      <c r="M14048" t="s">
        <v>43090</v>
      </c>
      <c r="N14048" t="s">
        <v>43166</v>
      </c>
      <c r="O14048" t="s">
        <v>43167</v>
      </c>
      <c r="Q14048">
        <v>39</v>
      </c>
      <c r="R14048" t="s">
        <v>43193</v>
      </c>
      <c r="S14048" t="s">
        <v>44315</v>
      </c>
      <c r="T14048" t="s">
        <v>44698</v>
      </c>
      <c r="U14048" t="s">
        <v>56365</v>
      </c>
      <c r="W14048" t="s">
        <v>58717</v>
      </c>
      <c r="X14048" t="s">
        <v>43194</v>
      </c>
    </row>
    <row r="14049" spans="1:24">
      <c r="A14049">
        <f>HYPERLINK("https://www.philgeps.gov.ph/GEPSNONPILOT/Tender/SplashBidNoticeAbstractUI.aspx?menuIndex=3&amp;refID=7037637&amp;Result=3","7037637")</f>
        <v>0</v>
      </c>
      <c r="B14049" t="s">
        <v>910</v>
      </c>
      <c r="C14049" t="s">
        <v>16869</v>
      </c>
      <c r="D14049" t="s">
        <v>17427</v>
      </c>
      <c r="E14049" t="s">
        <v>29542</v>
      </c>
      <c r="F14049" t="s">
        <v>30052</v>
      </c>
      <c r="G14049" t="s">
        <v>30058</v>
      </c>
      <c r="H14049" t="s">
        <v>15498</v>
      </c>
      <c r="I14049" t="s">
        <v>30074</v>
      </c>
      <c r="J14049" t="s">
        <v>38701</v>
      </c>
      <c r="K14049" t="s">
        <v>39026</v>
      </c>
      <c r="M14049" t="s">
        <v>41159</v>
      </c>
      <c r="N14049" t="s">
        <v>43166</v>
      </c>
      <c r="O14049" t="s">
        <v>43167</v>
      </c>
      <c r="Q14049">
        <v>21</v>
      </c>
      <c r="R14049" t="s">
        <v>43193</v>
      </c>
      <c r="S14049" t="s">
        <v>44316</v>
      </c>
      <c r="T14049" t="s">
        <v>44844</v>
      </c>
      <c r="U14049" t="s">
        <v>56366</v>
      </c>
      <c r="W14049" t="s">
        <v>41159</v>
      </c>
      <c r="X14049" t="s">
        <v>43194</v>
      </c>
    </row>
    <row r="14050" spans="1:24">
      <c r="A14050">
        <f>HYPERLINK("https://www.philgeps.gov.ph/GEPSNONPILOT/Tender/SplashBidNoticeAbstractUI.aspx?menuIndex=3&amp;refID=7037045&amp;Result=3","7037045")</f>
        <v>0</v>
      </c>
      <c r="B14050" t="s">
        <v>1658</v>
      </c>
      <c r="C14050" t="s">
        <v>16870</v>
      </c>
      <c r="E14050" t="s">
        <v>29543</v>
      </c>
      <c r="F14050" t="s">
        <v>30052</v>
      </c>
      <c r="G14050" t="s">
        <v>30058</v>
      </c>
      <c r="H14050" t="s">
        <v>30068</v>
      </c>
      <c r="I14050" t="s">
        <v>30068</v>
      </c>
      <c r="J14050" t="s">
        <v>38702</v>
      </c>
      <c r="K14050" t="s">
        <v>39025</v>
      </c>
      <c r="M14050" t="s">
        <v>41063</v>
      </c>
      <c r="N14050" t="s">
        <v>43166</v>
      </c>
      <c r="O14050" t="s">
        <v>43167</v>
      </c>
      <c r="Q14050">
        <v>3</v>
      </c>
      <c r="R14050" t="s">
        <v>43193</v>
      </c>
      <c r="S14050" t="s">
        <v>44317</v>
      </c>
      <c r="T14050" t="s">
        <v>44773</v>
      </c>
      <c r="U14050" t="s">
        <v>56367</v>
      </c>
      <c r="V14050" t="s">
        <v>58506</v>
      </c>
      <c r="W14050" t="s">
        <v>41063</v>
      </c>
      <c r="X14050" t="s">
        <v>43194</v>
      </c>
    </row>
    <row r="14051" spans="1:24">
      <c r="A14051">
        <f>HYPERLINK("https://www.philgeps.gov.ph/GEPSNONPILOT/Tender/SplashBidNoticeAbstractUI.aspx?menuIndex=3&amp;refID=7031442&amp;Result=3","7031442")</f>
        <v>0</v>
      </c>
      <c r="B14051" t="s">
        <v>2365</v>
      </c>
      <c r="C14051" t="s">
        <v>16871</v>
      </c>
      <c r="D14051" t="s">
        <v>17415</v>
      </c>
      <c r="E14051" t="s">
        <v>29544</v>
      </c>
      <c r="F14051" t="s">
        <v>30052</v>
      </c>
      <c r="G14051" t="s">
        <v>30058</v>
      </c>
      <c r="H14051" t="s">
        <v>15498</v>
      </c>
      <c r="I14051" t="s">
        <v>5961</v>
      </c>
      <c r="J14051" t="s">
        <v>38703</v>
      </c>
      <c r="K14051" t="s">
        <v>39031</v>
      </c>
      <c r="M14051" t="s">
        <v>43091</v>
      </c>
      <c r="N14051" t="s">
        <v>43166</v>
      </c>
      <c r="O14051" t="s">
        <v>43167</v>
      </c>
      <c r="Q14051">
        <v>43</v>
      </c>
      <c r="R14051" t="s">
        <v>43195</v>
      </c>
      <c r="S14051" t="s">
        <v>43390</v>
      </c>
      <c r="T14051" t="s">
        <v>44710</v>
      </c>
      <c r="U14051" t="s">
        <v>56368</v>
      </c>
      <c r="W14051" t="s">
        <v>43091</v>
      </c>
      <c r="X14051" t="s">
        <v>43197</v>
      </c>
    </row>
    <row r="14052" spans="1:24">
      <c r="A14052">
        <f>HYPERLINK("https://www.philgeps.gov.ph/GEPSNONPILOT/Tender/SplashBidNoticeAbstractUI.aspx?menuIndex=3&amp;refID=7030197&amp;Result=3","7030197")</f>
        <v>0</v>
      </c>
      <c r="B14052" t="s">
        <v>3023</v>
      </c>
      <c r="C14052" t="s">
        <v>16872</v>
      </c>
      <c r="D14052" t="s">
        <v>17439</v>
      </c>
      <c r="E14052" t="s">
        <v>29545</v>
      </c>
      <c r="F14052" t="s">
        <v>30052</v>
      </c>
      <c r="G14052" t="s">
        <v>30061</v>
      </c>
      <c r="H14052" t="s">
        <v>15498</v>
      </c>
      <c r="I14052" t="s">
        <v>3736</v>
      </c>
      <c r="J14052" t="s">
        <v>38704</v>
      </c>
      <c r="K14052" t="s">
        <v>39018</v>
      </c>
      <c r="M14052" t="s">
        <v>42601</v>
      </c>
      <c r="N14052" t="s">
        <v>43166</v>
      </c>
      <c r="O14052" t="s">
        <v>43167</v>
      </c>
      <c r="Q14052">
        <v>3</v>
      </c>
      <c r="R14052" t="s">
        <v>43195</v>
      </c>
      <c r="S14052" t="s">
        <v>44318</v>
      </c>
      <c r="T14052" t="s">
        <v>44737</v>
      </c>
      <c r="U14052" t="s">
        <v>53863</v>
      </c>
      <c r="V14052" t="s">
        <v>58047</v>
      </c>
      <c r="W14052" t="s">
        <v>42601</v>
      </c>
      <c r="X14052" t="s">
        <v>43197</v>
      </c>
    </row>
    <row r="14053" spans="1:24">
      <c r="A14053">
        <f>HYPERLINK("https://www.philgeps.gov.ph/GEPSNONPILOT/Tender/SplashBidNoticeAbstractUI.aspx?menuIndex=3&amp;refID=7032531&amp;Result=3","7032531")</f>
        <v>0</v>
      </c>
      <c r="B14053" t="s">
        <v>1377</v>
      </c>
      <c r="C14053" t="s">
        <v>16873</v>
      </c>
      <c r="D14053" t="s">
        <v>17480</v>
      </c>
      <c r="E14053" t="s">
        <v>29546</v>
      </c>
      <c r="F14053" t="s">
        <v>30052</v>
      </c>
      <c r="G14053" t="s">
        <v>30058</v>
      </c>
      <c r="H14053" t="s">
        <v>15498</v>
      </c>
      <c r="I14053" t="s">
        <v>30143</v>
      </c>
      <c r="J14053" t="s">
        <v>38705</v>
      </c>
      <c r="K14053" t="s">
        <v>39048</v>
      </c>
      <c r="M14053" t="s">
        <v>43092</v>
      </c>
      <c r="N14053" t="s">
        <v>43166</v>
      </c>
      <c r="O14053" t="s">
        <v>43167</v>
      </c>
      <c r="Q14053">
        <v>20</v>
      </c>
      <c r="R14053" t="s">
        <v>43195</v>
      </c>
      <c r="S14053" t="s">
        <v>44319</v>
      </c>
      <c r="T14053" t="s">
        <v>44704</v>
      </c>
      <c r="U14053" t="s">
        <v>56369</v>
      </c>
      <c r="W14053" t="s">
        <v>43092</v>
      </c>
      <c r="X14053" t="s">
        <v>43284</v>
      </c>
    </row>
    <row r="14054" spans="1:24">
      <c r="A14054">
        <f>HYPERLINK("https://www.philgeps.gov.ph/GEPSNONPILOT/Tender/SplashBidNoticeAbstractUI.aspx?menuIndex=3&amp;refID=7032270&amp;Result=3","7032270")</f>
        <v>0</v>
      </c>
      <c r="B14054" t="s">
        <v>721</v>
      </c>
      <c r="C14054" t="s">
        <v>16874</v>
      </c>
      <c r="D14054" t="s">
        <v>17451</v>
      </c>
      <c r="E14054" t="s">
        <v>29547</v>
      </c>
      <c r="F14054" t="s">
        <v>30052</v>
      </c>
      <c r="G14054" t="s">
        <v>30058</v>
      </c>
      <c r="H14054" t="s">
        <v>15498</v>
      </c>
      <c r="I14054" t="s">
        <v>3606</v>
      </c>
      <c r="J14054" t="s">
        <v>38706</v>
      </c>
      <c r="K14054" t="s">
        <v>39017</v>
      </c>
      <c r="M14054" t="s">
        <v>41044</v>
      </c>
      <c r="N14054" t="s">
        <v>43166</v>
      </c>
      <c r="O14054" t="s">
        <v>43167</v>
      </c>
      <c r="Q14054">
        <v>5</v>
      </c>
      <c r="R14054" t="s">
        <v>43195</v>
      </c>
      <c r="S14054" t="s">
        <v>44320</v>
      </c>
      <c r="T14054" t="s">
        <v>44968</v>
      </c>
      <c r="U14054" t="s">
        <v>56370</v>
      </c>
      <c r="W14054" t="s">
        <v>41044</v>
      </c>
      <c r="X14054" t="s">
        <v>43196</v>
      </c>
    </row>
    <row r="14055" spans="1:24">
      <c r="A14055">
        <f>HYPERLINK("https://www.philgeps.gov.ph/GEPSNONPILOT/Tender/SplashBidNoticeAbstractUI.aspx?menuIndex=3&amp;refID=6929481&amp;Result=3","6929481")</f>
        <v>0</v>
      </c>
      <c r="B14055" t="s">
        <v>1338</v>
      </c>
      <c r="C14055" t="s">
        <v>6856</v>
      </c>
      <c r="D14055" t="s">
        <v>17415</v>
      </c>
      <c r="E14055" t="s">
        <v>20640</v>
      </c>
      <c r="F14055" t="s">
        <v>30052</v>
      </c>
      <c r="G14055" t="s">
        <v>30058</v>
      </c>
      <c r="H14055" t="s">
        <v>15498</v>
      </c>
      <c r="I14055" t="s">
        <v>4650</v>
      </c>
      <c r="J14055" t="s">
        <v>32559</v>
      </c>
      <c r="K14055" t="s">
        <v>39025</v>
      </c>
      <c r="M14055" t="s">
        <v>40705</v>
      </c>
      <c r="N14055" t="s">
        <v>43166</v>
      </c>
      <c r="O14055" t="s">
        <v>43167</v>
      </c>
      <c r="P14055">
        <v>0</v>
      </c>
      <c r="Q14055">
        <v>22</v>
      </c>
      <c r="R14055" t="s">
        <v>43195</v>
      </c>
      <c r="S14055" t="s">
        <v>44321</v>
      </c>
      <c r="T14055" t="s">
        <v>44728</v>
      </c>
      <c r="U14055" t="s">
        <v>56371</v>
      </c>
      <c r="W14055" t="s">
        <v>40705</v>
      </c>
      <c r="X14055" t="s">
        <v>43233</v>
      </c>
    </row>
    <row r="14056" spans="1:24">
      <c r="A14056">
        <f>HYPERLINK("https://www.philgeps.gov.ph/GEPSNONPILOT/Tender/SplashBidNoticeAbstractUI.aspx?menuIndex=3&amp;refID=7034719&amp;Result=3","7034719")</f>
        <v>0</v>
      </c>
      <c r="B14056" t="s">
        <v>105</v>
      </c>
      <c r="C14056" t="s">
        <v>16875</v>
      </c>
      <c r="E14056" t="s">
        <v>29548</v>
      </c>
      <c r="F14056" t="s">
        <v>30052</v>
      </c>
      <c r="G14056" t="s">
        <v>30058</v>
      </c>
      <c r="H14056" t="s">
        <v>15498</v>
      </c>
      <c r="I14056" t="s">
        <v>30074</v>
      </c>
      <c r="J14056" t="s">
        <v>38707</v>
      </c>
      <c r="K14056" t="s">
        <v>39022</v>
      </c>
      <c r="M14056" t="s">
        <v>39394</v>
      </c>
      <c r="N14056" t="s">
        <v>43166</v>
      </c>
      <c r="O14056" t="s">
        <v>43167</v>
      </c>
      <c r="Q14056">
        <v>14</v>
      </c>
      <c r="R14056" t="s">
        <v>43194</v>
      </c>
      <c r="S14056" t="s">
        <v>44322</v>
      </c>
      <c r="T14056" t="s">
        <v>44796</v>
      </c>
      <c r="U14056" t="s">
        <v>56372</v>
      </c>
      <c r="W14056" t="s">
        <v>39394</v>
      </c>
      <c r="X14056" t="s">
        <v>43195</v>
      </c>
    </row>
    <row r="14057" spans="1:24">
      <c r="A14057">
        <f>HYPERLINK("https://www.philgeps.gov.ph/GEPSNONPILOT/Tender/SplashBidNoticeAbstractUI.aspx?menuIndex=3&amp;refID=7040921&amp;Result=3","7040921")</f>
        <v>0</v>
      </c>
      <c r="B14057" t="s">
        <v>390</v>
      </c>
      <c r="C14057" t="s">
        <v>16876</v>
      </c>
      <c r="D14057" t="s">
        <v>17415</v>
      </c>
      <c r="E14057" t="s">
        <v>29549</v>
      </c>
      <c r="F14057" t="s">
        <v>30052</v>
      </c>
      <c r="G14057" t="s">
        <v>30058</v>
      </c>
      <c r="H14057" t="s">
        <v>15498</v>
      </c>
      <c r="I14057" t="s">
        <v>30140</v>
      </c>
      <c r="J14057" t="s">
        <v>38708</v>
      </c>
      <c r="K14057" t="s">
        <v>39059</v>
      </c>
      <c r="M14057" t="s">
        <v>42267</v>
      </c>
      <c r="N14057" t="s">
        <v>43166</v>
      </c>
      <c r="O14057" t="s">
        <v>43167</v>
      </c>
      <c r="Q14057">
        <v>4</v>
      </c>
      <c r="R14057" t="s">
        <v>43192</v>
      </c>
      <c r="S14057" t="s">
        <v>44323</v>
      </c>
      <c r="T14057" t="s">
        <v>44730</v>
      </c>
      <c r="U14057" t="s">
        <v>56373</v>
      </c>
      <c r="W14057" t="s">
        <v>42267</v>
      </c>
      <c r="X14057" t="s">
        <v>43193</v>
      </c>
    </row>
    <row r="14058" spans="1:24">
      <c r="A14058">
        <f>HYPERLINK("https://www.philgeps.gov.ph/GEPSNONPILOT/Tender/SplashBidNoticeAbstractUI.aspx?menuIndex=3&amp;refID=7034606&amp;Result=3","7034606")</f>
        <v>0</v>
      </c>
      <c r="B14058" t="s">
        <v>422</v>
      </c>
      <c r="C14058" t="s">
        <v>16877</v>
      </c>
      <c r="D14058" t="s">
        <v>17455</v>
      </c>
      <c r="E14058" t="s">
        <v>16877</v>
      </c>
      <c r="F14058" t="s">
        <v>30052</v>
      </c>
      <c r="G14058" t="s">
        <v>30059</v>
      </c>
      <c r="H14058" t="s">
        <v>15498</v>
      </c>
      <c r="I14058" t="s">
        <v>30087</v>
      </c>
      <c r="J14058" t="s">
        <v>38709</v>
      </c>
      <c r="K14058" t="s">
        <v>39025</v>
      </c>
      <c r="M14058" t="s">
        <v>42721</v>
      </c>
      <c r="N14058" t="s">
        <v>43166</v>
      </c>
      <c r="O14058" t="s">
        <v>43167</v>
      </c>
      <c r="Q14058">
        <v>4</v>
      </c>
      <c r="R14058" t="s">
        <v>43194</v>
      </c>
      <c r="S14058" t="s">
        <v>44324</v>
      </c>
      <c r="T14058" t="s">
        <v>44724</v>
      </c>
      <c r="U14058" t="s">
        <v>56374</v>
      </c>
      <c r="W14058" t="s">
        <v>42721</v>
      </c>
      <c r="X14058" t="s">
        <v>43195</v>
      </c>
    </row>
    <row r="14059" spans="1:24">
      <c r="A14059">
        <f>HYPERLINK("https://www.philgeps.gov.ph/GEPSNONPILOT/Tender/SplashBidNoticeAbstractUI.aspx?menuIndex=3&amp;refID=7031875&amp;Result=3","7031875")</f>
        <v>0</v>
      </c>
      <c r="B14059" t="s">
        <v>3419</v>
      </c>
      <c r="C14059" t="s">
        <v>16878</v>
      </c>
      <c r="D14059" t="s">
        <v>17427</v>
      </c>
      <c r="E14059" t="s">
        <v>18233</v>
      </c>
      <c r="F14059" t="s">
        <v>30052</v>
      </c>
      <c r="G14059" t="s">
        <v>30058</v>
      </c>
      <c r="H14059" t="s">
        <v>30067</v>
      </c>
      <c r="I14059" t="s">
        <v>3693</v>
      </c>
      <c r="J14059" t="s">
        <v>30230</v>
      </c>
      <c r="K14059" t="s">
        <v>39029</v>
      </c>
      <c r="M14059" t="s">
        <v>43093</v>
      </c>
      <c r="N14059" t="s">
        <v>43166</v>
      </c>
      <c r="O14059" t="s">
        <v>43167</v>
      </c>
      <c r="P14059">
        <v>0</v>
      </c>
      <c r="Q14059">
        <v>0</v>
      </c>
      <c r="R14059" t="s">
        <v>43196</v>
      </c>
      <c r="S14059" t="s">
        <v>44325</v>
      </c>
      <c r="T14059" t="s">
        <v>44716</v>
      </c>
      <c r="U14059" t="s">
        <v>56375</v>
      </c>
      <c r="V14059" t="s">
        <v>56375</v>
      </c>
      <c r="W14059" t="s">
        <v>43093</v>
      </c>
      <c r="X14059" t="s">
        <v>43197</v>
      </c>
    </row>
    <row r="14060" spans="1:24">
      <c r="A14060">
        <f>HYPERLINK("https://www.philgeps.gov.ph/GEPSNONPILOT/Tender/SplashBidNoticeAbstractUI.aspx?menuIndex=3&amp;refID=7030845&amp;Result=3","7030845")</f>
        <v>0</v>
      </c>
      <c r="B14060" t="s">
        <v>2053</v>
      </c>
      <c r="C14060" t="s">
        <v>16879</v>
      </c>
      <c r="D14060" t="s">
        <v>17425</v>
      </c>
      <c r="E14060" t="s">
        <v>18840</v>
      </c>
      <c r="F14060" t="s">
        <v>30052</v>
      </c>
      <c r="G14060" t="s">
        <v>30058</v>
      </c>
      <c r="H14060" t="s">
        <v>15498</v>
      </c>
      <c r="I14060" t="s">
        <v>30111</v>
      </c>
      <c r="J14060" t="s">
        <v>38710</v>
      </c>
      <c r="K14060" t="s">
        <v>39029</v>
      </c>
      <c r="M14060" t="s">
        <v>41509</v>
      </c>
      <c r="N14060" t="s">
        <v>43166</v>
      </c>
      <c r="O14060" t="s">
        <v>43167</v>
      </c>
      <c r="Q14060">
        <v>12</v>
      </c>
      <c r="R14060" t="s">
        <v>43195</v>
      </c>
      <c r="S14060" t="s">
        <v>44326</v>
      </c>
      <c r="T14060" t="s">
        <v>44842</v>
      </c>
      <c r="U14060" t="s">
        <v>56376</v>
      </c>
      <c r="W14060" t="s">
        <v>41509</v>
      </c>
      <c r="X14060" t="s">
        <v>43197</v>
      </c>
    </row>
    <row r="14061" spans="1:24">
      <c r="A14061">
        <f>HYPERLINK("https://www.philgeps.gov.ph/GEPSNONPILOT/Tender/SplashBidNoticeAbstractUI.aspx?menuIndex=3&amp;refID=7029747&amp;Result=3","7029747")</f>
        <v>0</v>
      </c>
      <c r="B14061" t="s">
        <v>730</v>
      </c>
      <c r="C14061" t="s">
        <v>16880</v>
      </c>
      <c r="E14061" t="s">
        <v>29550</v>
      </c>
      <c r="F14061" t="s">
        <v>30052</v>
      </c>
      <c r="G14061" t="s">
        <v>30058</v>
      </c>
      <c r="H14061" t="s">
        <v>15498</v>
      </c>
      <c r="I14061" t="s">
        <v>9238</v>
      </c>
      <c r="J14061" t="s">
        <v>36780</v>
      </c>
      <c r="K14061" t="s">
        <v>39046</v>
      </c>
      <c r="M14061" t="s">
        <v>42816</v>
      </c>
      <c r="N14061" t="s">
        <v>43166</v>
      </c>
      <c r="O14061" t="s">
        <v>43167</v>
      </c>
      <c r="Q14061">
        <v>6</v>
      </c>
      <c r="R14061" t="s">
        <v>43197</v>
      </c>
      <c r="S14061" t="s">
        <v>44327</v>
      </c>
      <c r="T14061" t="s">
        <v>44712</v>
      </c>
      <c r="U14061" t="s">
        <v>56377</v>
      </c>
      <c r="W14061" t="s">
        <v>42816</v>
      </c>
      <c r="X14061" t="s">
        <v>43198</v>
      </c>
    </row>
    <row r="14062" spans="1:24">
      <c r="A14062">
        <f>HYPERLINK("https://www.philgeps.gov.ph/GEPSNONPILOT/Tender/SplashBidNoticeAbstractUI.aspx?menuIndex=3&amp;refID=7035144&amp;Result=3","7035144")</f>
        <v>0</v>
      </c>
      <c r="B14062" t="s">
        <v>511</v>
      </c>
      <c r="C14062" t="s">
        <v>16881</v>
      </c>
      <c r="D14062" t="s">
        <v>17480</v>
      </c>
      <c r="E14062" t="s">
        <v>29551</v>
      </c>
      <c r="F14062" t="s">
        <v>30056</v>
      </c>
      <c r="G14062" t="s">
        <v>30066</v>
      </c>
      <c r="H14062" t="s">
        <v>15498</v>
      </c>
      <c r="I14062" t="s">
        <v>30135</v>
      </c>
      <c r="J14062" t="s">
        <v>32397</v>
      </c>
      <c r="K14062" t="s">
        <v>39025</v>
      </c>
      <c r="M14062" t="s">
        <v>39812</v>
      </c>
      <c r="N14062" t="s">
        <v>43166</v>
      </c>
      <c r="O14062" t="s">
        <v>43167</v>
      </c>
      <c r="Q14062">
        <v>26</v>
      </c>
      <c r="R14062" t="s">
        <v>43194</v>
      </c>
      <c r="S14062" t="s">
        <v>44328</v>
      </c>
      <c r="T14062" t="s">
        <v>45192</v>
      </c>
      <c r="U14062" t="s">
        <v>56378</v>
      </c>
      <c r="W14062" t="s">
        <v>39812</v>
      </c>
      <c r="X14062" t="s">
        <v>43195</v>
      </c>
    </row>
    <row r="14063" spans="1:24">
      <c r="A14063">
        <f>HYPERLINK("https://www.philgeps.gov.ph/GEPSNONPILOT/Tender/SplashBidNoticeAbstractUI.aspx?menuIndex=3&amp;refID=7030911&amp;Result=3","7030911")</f>
        <v>0</v>
      </c>
      <c r="B14063" t="s">
        <v>2053</v>
      </c>
      <c r="C14063" t="s">
        <v>16882</v>
      </c>
      <c r="D14063" t="s">
        <v>17425</v>
      </c>
      <c r="E14063" t="s">
        <v>21909</v>
      </c>
      <c r="F14063" t="s">
        <v>30052</v>
      </c>
      <c r="G14063" t="s">
        <v>30058</v>
      </c>
      <c r="H14063" t="s">
        <v>15498</v>
      </c>
      <c r="I14063" t="s">
        <v>30130</v>
      </c>
      <c r="J14063" t="s">
        <v>38711</v>
      </c>
      <c r="K14063" t="s">
        <v>39046</v>
      </c>
      <c r="M14063" t="s">
        <v>41509</v>
      </c>
      <c r="N14063" t="s">
        <v>43166</v>
      </c>
      <c r="O14063" t="s">
        <v>43167</v>
      </c>
      <c r="Q14063">
        <v>13</v>
      </c>
      <c r="R14063" t="s">
        <v>43195</v>
      </c>
      <c r="S14063" t="s">
        <v>44329</v>
      </c>
      <c r="T14063" t="s">
        <v>44722</v>
      </c>
      <c r="U14063" t="s">
        <v>56379</v>
      </c>
      <c r="W14063" t="s">
        <v>41509</v>
      </c>
      <c r="X14063" t="s">
        <v>43197</v>
      </c>
    </row>
    <row r="14064" spans="1:24">
      <c r="A14064">
        <f>HYPERLINK("https://www.philgeps.gov.ph/GEPSNONPILOT/Tender/SplashBidNoticeAbstractUI.aspx?menuIndex=3&amp;refID=7040963&amp;Result=3","7040963")</f>
        <v>0</v>
      </c>
      <c r="B14064" t="s">
        <v>1377</v>
      </c>
      <c r="C14064" t="s">
        <v>16883</v>
      </c>
      <c r="E14064" t="s">
        <v>29552</v>
      </c>
      <c r="F14064" t="s">
        <v>30052</v>
      </c>
      <c r="G14064" t="s">
        <v>30058</v>
      </c>
      <c r="H14064" t="s">
        <v>30069</v>
      </c>
      <c r="I14064" t="s">
        <v>30084</v>
      </c>
      <c r="J14064" t="s">
        <v>31207</v>
      </c>
      <c r="K14064" t="s">
        <v>39048</v>
      </c>
      <c r="M14064" t="s">
        <v>43094</v>
      </c>
      <c r="N14064" t="s">
        <v>43166</v>
      </c>
      <c r="O14064" t="s">
        <v>43167</v>
      </c>
      <c r="Q14064">
        <v>15</v>
      </c>
      <c r="R14064" t="s">
        <v>43192</v>
      </c>
      <c r="S14064" t="s">
        <v>44330</v>
      </c>
      <c r="T14064" t="s">
        <v>44777</v>
      </c>
      <c r="U14064" t="s">
        <v>56380</v>
      </c>
      <c r="W14064" t="s">
        <v>43094</v>
      </c>
      <c r="X14064" t="s">
        <v>43193</v>
      </c>
    </row>
    <row r="14065" spans="1:24">
      <c r="A14065">
        <f>HYPERLINK("https://www.philgeps.gov.ph/GEPSNONPILOT/Tender/SplashBidNoticeAbstractUI.aspx?menuIndex=3&amp;refID=7028950&amp;Result=3","7028950")</f>
        <v>0</v>
      </c>
      <c r="B14065" t="s">
        <v>193</v>
      </c>
      <c r="C14065" t="s">
        <v>16884</v>
      </c>
      <c r="D14065" t="s">
        <v>17471</v>
      </c>
      <c r="E14065" t="s">
        <v>29553</v>
      </c>
      <c r="F14065" t="s">
        <v>30052</v>
      </c>
      <c r="G14065" t="s">
        <v>30058</v>
      </c>
      <c r="H14065" t="s">
        <v>30067</v>
      </c>
      <c r="I14065" t="s">
        <v>3693</v>
      </c>
      <c r="J14065" t="s">
        <v>30645</v>
      </c>
      <c r="K14065" t="s">
        <v>39084</v>
      </c>
      <c r="M14065" t="s">
        <v>39483</v>
      </c>
      <c r="N14065" t="s">
        <v>43166</v>
      </c>
      <c r="O14065" t="s">
        <v>43167</v>
      </c>
      <c r="Q14065">
        <v>0</v>
      </c>
      <c r="R14065" t="s">
        <v>43197</v>
      </c>
      <c r="S14065" t="s">
        <v>44331</v>
      </c>
      <c r="T14065" t="s">
        <v>44711</v>
      </c>
      <c r="U14065" t="s">
        <v>56381</v>
      </c>
      <c r="W14065" t="s">
        <v>39483</v>
      </c>
      <c r="X14065" t="s">
        <v>43198</v>
      </c>
    </row>
    <row r="14066" spans="1:24">
      <c r="A14066">
        <f>HYPERLINK("https://www.philgeps.gov.ph/GEPSNONPILOT/Tender/SplashBidNoticeAbstractUI.aspx?menuIndex=3&amp;refID=7028361&amp;Result=3","7028361")</f>
        <v>0</v>
      </c>
      <c r="B14066" t="s">
        <v>1804</v>
      </c>
      <c r="C14066" t="s">
        <v>16885</v>
      </c>
      <c r="E14066" t="s">
        <v>29554</v>
      </c>
      <c r="F14066" t="s">
        <v>30052</v>
      </c>
      <c r="G14066" t="s">
        <v>30058</v>
      </c>
      <c r="H14066" t="s">
        <v>30068</v>
      </c>
      <c r="I14066" t="s">
        <v>30068</v>
      </c>
      <c r="J14066" t="s">
        <v>30321</v>
      </c>
      <c r="K14066" t="s">
        <v>39025</v>
      </c>
      <c r="M14066" t="s">
        <v>41227</v>
      </c>
      <c r="N14066" t="s">
        <v>43166</v>
      </c>
      <c r="O14066" t="s">
        <v>43167</v>
      </c>
      <c r="Q14066">
        <v>15</v>
      </c>
      <c r="R14066" t="s">
        <v>43197</v>
      </c>
      <c r="S14066" t="s">
        <v>44332</v>
      </c>
      <c r="T14066" t="s">
        <v>44856</v>
      </c>
      <c r="U14066" t="s">
        <v>56382</v>
      </c>
      <c r="W14066" t="s">
        <v>41227</v>
      </c>
      <c r="X14066" t="s">
        <v>43198</v>
      </c>
    </row>
    <row r="14067" spans="1:24">
      <c r="A14067">
        <f>HYPERLINK("https://www.philgeps.gov.ph/GEPSNONPILOT/Tender/SplashBidNoticeAbstractUI.aspx?menuIndex=3&amp;refID=7026503&amp;Result=3","7026503")</f>
        <v>0</v>
      </c>
      <c r="B14067" t="s">
        <v>2956</v>
      </c>
      <c r="C14067" t="s">
        <v>16886</v>
      </c>
      <c r="D14067" t="s">
        <v>17450</v>
      </c>
      <c r="E14067" t="s">
        <v>29555</v>
      </c>
      <c r="F14067" t="s">
        <v>30052</v>
      </c>
      <c r="G14067" t="s">
        <v>30058</v>
      </c>
      <c r="H14067" t="s">
        <v>15498</v>
      </c>
      <c r="I14067" t="s">
        <v>30097</v>
      </c>
      <c r="J14067" t="s">
        <v>34507</v>
      </c>
      <c r="K14067" t="s">
        <v>39037</v>
      </c>
      <c r="M14067" t="s">
        <v>42521</v>
      </c>
      <c r="N14067" t="s">
        <v>43166</v>
      </c>
      <c r="O14067" t="s">
        <v>43167</v>
      </c>
      <c r="Q14067">
        <v>9</v>
      </c>
      <c r="R14067" t="s">
        <v>43197</v>
      </c>
      <c r="S14067" t="s">
        <v>44333</v>
      </c>
      <c r="T14067" t="s">
        <v>45193</v>
      </c>
      <c r="U14067" t="s">
        <v>56383</v>
      </c>
      <c r="W14067" t="s">
        <v>42521</v>
      </c>
      <c r="X14067" t="s">
        <v>43199</v>
      </c>
    </row>
    <row r="14068" spans="1:24">
      <c r="A14068">
        <f>HYPERLINK("https://www.philgeps.gov.ph/GEPSNONPILOT/Tender/SplashBidNoticeAbstractUI.aspx?menuIndex=3&amp;refID=7031888&amp;Result=3","7031888")</f>
        <v>0</v>
      </c>
      <c r="B14068" t="s">
        <v>3419</v>
      </c>
      <c r="C14068" t="s">
        <v>16887</v>
      </c>
      <c r="D14068" t="s">
        <v>17427</v>
      </c>
      <c r="E14068" t="s">
        <v>17856</v>
      </c>
      <c r="F14068" t="s">
        <v>30052</v>
      </c>
      <c r="G14068" t="s">
        <v>30058</v>
      </c>
      <c r="H14068" t="s">
        <v>30067</v>
      </c>
      <c r="I14068" t="s">
        <v>3693</v>
      </c>
      <c r="J14068" t="s">
        <v>30230</v>
      </c>
      <c r="K14068" t="s">
        <v>39029</v>
      </c>
      <c r="M14068" t="s">
        <v>43093</v>
      </c>
      <c r="N14068" t="s">
        <v>43166</v>
      </c>
      <c r="O14068" t="s">
        <v>43167</v>
      </c>
      <c r="P14068">
        <v>0</v>
      </c>
      <c r="Q14068">
        <v>0</v>
      </c>
      <c r="R14068" t="s">
        <v>43196</v>
      </c>
      <c r="S14068" t="s">
        <v>44325</v>
      </c>
      <c r="T14068" t="s">
        <v>44716</v>
      </c>
      <c r="U14068" t="s">
        <v>56384</v>
      </c>
      <c r="V14068" t="s">
        <v>58507</v>
      </c>
      <c r="W14068" t="s">
        <v>43093</v>
      </c>
      <c r="X14068" t="s">
        <v>43197</v>
      </c>
    </row>
    <row r="14069" spans="1:24">
      <c r="A14069">
        <f>HYPERLINK("https://www.philgeps.gov.ph/GEPSNONPILOT/Tender/SplashBidNoticeAbstractUI.aspx?menuIndex=3&amp;refID=7031820&amp;Result=3","7031820")</f>
        <v>0</v>
      </c>
      <c r="B14069" t="s">
        <v>731</v>
      </c>
      <c r="C14069" t="s">
        <v>16888</v>
      </c>
      <c r="D14069" t="s">
        <v>17483</v>
      </c>
      <c r="E14069" t="s">
        <v>29556</v>
      </c>
      <c r="F14069" t="s">
        <v>30052</v>
      </c>
      <c r="G14069" t="s">
        <v>30058</v>
      </c>
      <c r="H14069" t="s">
        <v>30069</v>
      </c>
      <c r="I14069" t="s">
        <v>30138</v>
      </c>
      <c r="J14069" t="s">
        <v>36292</v>
      </c>
      <c r="K14069" t="s">
        <v>39026</v>
      </c>
      <c r="M14069" t="s">
        <v>40042</v>
      </c>
      <c r="N14069" t="s">
        <v>43166</v>
      </c>
      <c r="O14069" t="s">
        <v>43167</v>
      </c>
      <c r="Q14069">
        <v>12</v>
      </c>
      <c r="R14069" t="s">
        <v>43196</v>
      </c>
      <c r="S14069" t="s">
        <v>44334</v>
      </c>
      <c r="T14069" t="s">
        <v>44743</v>
      </c>
      <c r="U14069" t="s">
        <v>56385</v>
      </c>
      <c r="W14069" t="s">
        <v>40042</v>
      </c>
      <c r="X14069" t="s">
        <v>43197</v>
      </c>
    </row>
    <row r="14070" spans="1:24">
      <c r="A14070">
        <f>HYPERLINK("https://www.philgeps.gov.ph/GEPSNONPILOT/Tender/SplashBidNoticeAbstractUI.aspx?menuIndex=3&amp;refID=7031649&amp;Result=3","7031649")</f>
        <v>0</v>
      </c>
      <c r="B14070" t="s">
        <v>3420</v>
      </c>
      <c r="C14070" t="s">
        <v>16889</v>
      </c>
      <c r="D14070" t="s">
        <v>17421</v>
      </c>
      <c r="E14070" t="s">
        <v>29557</v>
      </c>
      <c r="F14070" t="s">
        <v>30052</v>
      </c>
      <c r="G14070" t="s">
        <v>30058</v>
      </c>
      <c r="H14070" t="s">
        <v>15498</v>
      </c>
      <c r="I14070" t="s">
        <v>30096</v>
      </c>
      <c r="J14070" t="s">
        <v>38712</v>
      </c>
      <c r="K14070" t="s">
        <v>39029</v>
      </c>
      <c r="M14070" t="s">
        <v>43095</v>
      </c>
      <c r="N14070" t="s">
        <v>43166</v>
      </c>
      <c r="O14070" t="s">
        <v>43167</v>
      </c>
      <c r="Q14070">
        <v>6</v>
      </c>
      <c r="R14070" t="s">
        <v>43196</v>
      </c>
      <c r="S14070" t="s">
        <v>44335</v>
      </c>
      <c r="T14070" t="s">
        <v>44936</v>
      </c>
      <c r="U14070" t="s">
        <v>56386</v>
      </c>
      <c r="W14070" t="s">
        <v>43095</v>
      </c>
      <c r="X14070" t="s">
        <v>43197</v>
      </c>
    </row>
    <row r="14071" spans="1:24">
      <c r="A14071">
        <f>HYPERLINK("https://www.philgeps.gov.ph/GEPSNONPILOT/Tender/SplashBidNoticeAbstractUI.aspx?menuIndex=3&amp;refID=7031089&amp;Result=3","7031089")</f>
        <v>0</v>
      </c>
      <c r="B14071" t="s">
        <v>1843</v>
      </c>
      <c r="C14071" t="s">
        <v>16890</v>
      </c>
      <c r="E14071" t="s">
        <v>29558</v>
      </c>
      <c r="F14071" t="s">
        <v>30052</v>
      </c>
      <c r="G14071" t="s">
        <v>30058</v>
      </c>
      <c r="H14071" t="s">
        <v>15498</v>
      </c>
      <c r="I14071" t="s">
        <v>30140</v>
      </c>
      <c r="J14071" t="s">
        <v>38713</v>
      </c>
      <c r="K14071" t="s">
        <v>39025</v>
      </c>
      <c r="M14071" t="s">
        <v>41268</v>
      </c>
      <c r="N14071" t="s">
        <v>43166</v>
      </c>
      <c r="O14071" t="s">
        <v>43167</v>
      </c>
      <c r="Q14071">
        <v>15</v>
      </c>
      <c r="R14071" t="s">
        <v>43196</v>
      </c>
      <c r="S14071" t="s">
        <v>44336</v>
      </c>
      <c r="T14071" t="s">
        <v>44681</v>
      </c>
      <c r="U14071" t="s">
        <v>56387</v>
      </c>
      <c r="W14071" t="s">
        <v>41268</v>
      </c>
      <c r="X14071" t="s">
        <v>43197</v>
      </c>
    </row>
    <row r="14072" spans="1:24">
      <c r="A14072">
        <f>HYPERLINK("https://www.philgeps.gov.ph/GEPSNONPILOT/Tender/SplashBidNoticeAbstractUI.aspx?menuIndex=3&amp;refID=7034732&amp;Result=3","7034732")</f>
        <v>0</v>
      </c>
      <c r="B14072" t="s">
        <v>2116</v>
      </c>
      <c r="C14072" t="s">
        <v>16891</v>
      </c>
      <c r="D14072" t="s">
        <v>17421</v>
      </c>
      <c r="E14072" t="s">
        <v>23255</v>
      </c>
      <c r="F14072" t="s">
        <v>30052</v>
      </c>
      <c r="G14072" t="s">
        <v>30058</v>
      </c>
      <c r="H14072" t="s">
        <v>15498</v>
      </c>
      <c r="I14072" t="s">
        <v>30144</v>
      </c>
      <c r="J14072" t="s">
        <v>30683</v>
      </c>
      <c r="K14072" t="s">
        <v>39025</v>
      </c>
      <c r="M14072" t="s">
        <v>41578</v>
      </c>
      <c r="N14072" t="s">
        <v>43166</v>
      </c>
      <c r="O14072" t="s">
        <v>43167</v>
      </c>
      <c r="Q14072">
        <v>0</v>
      </c>
      <c r="R14072" t="s">
        <v>43194</v>
      </c>
      <c r="S14072" t="s">
        <v>44337</v>
      </c>
      <c r="T14072" t="s">
        <v>44679</v>
      </c>
      <c r="U14072" t="s">
        <v>56388</v>
      </c>
      <c r="W14072" t="s">
        <v>41578</v>
      </c>
      <c r="X14072" t="s">
        <v>43195</v>
      </c>
    </row>
    <row r="14073" spans="1:24">
      <c r="A14073">
        <f>HYPERLINK("https://www.philgeps.gov.ph/GEPSNONPILOT/Tender/SplashBidNoticeAbstractUI.aspx?menuIndex=3&amp;refID=7028580&amp;Result=3","7028580")</f>
        <v>0</v>
      </c>
      <c r="B14073" t="s">
        <v>3421</v>
      </c>
      <c r="C14073" t="s">
        <v>16892</v>
      </c>
      <c r="D14073" t="s">
        <v>17422</v>
      </c>
      <c r="E14073" t="s">
        <v>29559</v>
      </c>
      <c r="F14073" t="s">
        <v>30052</v>
      </c>
      <c r="G14073" t="s">
        <v>30058</v>
      </c>
      <c r="H14073" t="s">
        <v>30067</v>
      </c>
      <c r="I14073" t="s">
        <v>30106</v>
      </c>
      <c r="J14073" t="s">
        <v>30432</v>
      </c>
      <c r="K14073" t="s">
        <v>39029</v>
      </c>
      <c r="M14073" t="s">
        <v>43096</v>
      </c>
      <c r="N14073" t="s">
        <v>43166</v>
      </c>
      <c r="O14073" t="s">
        <v>43167</v>
      </c>
      <c r="P14073">
        <v>0</v>
      </c>
      <c r="Q14073">
        <v>4</v>
      </c>
      <c r="R14073" t="s">
        <v>43197</v>
      </c>
      <c r="S14073" t="s">
        <v>44338</v>
      </c>
      <c r="T14073" t="s">
        <v>44837</v>
      </c>
      <c r="U14073" t="s">
        <v>56389</v>
      </c>
      <c r="V14073" t="s">
        <v>58508</v>
      </c>
      <c r="W14073" t="s">
        <v>43096</v>
      </c>
      <c r="X14073" t="s">
        <v>43198</v>
      </c>
    </row>
    <row r="14074" spans="1:24">
      <c r="A14074">
        <f>HYPERLINK("https://www.philgeps.gov.ph/GEPSNONPILOT/Tender/SplashBidNoticeAbstractUI.aspx?menuIndex=3&amp;refID=7029752&amp;Result=3","7029752")</f>
        <v>0</v>
      </c>
      <c r="B14074" t="s">
        <v>730</v>
      </c>
      <c r="C14074" t="s">
        <v>16893</v>
      </c>
      <c r="E14074" t="s">
        <v>29560</v>
      </c>
      <c r="F14074" t="s">
        <v>30052</v>
      </c>
      <c r="G14074" t="s">
        <v>30058</v>
      </c>
      <c r="H14074" t="s">
        <v>15498</v>
      </c>
      <c r="I14074" t="s">
        <v>4650</v>
      </c>
      <c r="J14074" t="s">
        <v>31060</v>
      </c>
      <c r="K14074" t="s">
        <v>39046</v>
      </c>
      <c r="M14074" t="s">
        <v>42816</v>
      </c>
      <c r="N14074" t="s">
        <v>43166</v>
      </c>
      <c r="O14074" t="s">
        <v>43167</v>
      </c>
      <c r="Q14074">
        <v>5</v>
      </c>
      <c r="R14074" t="s">
        <v>43197</v>
      </c>
      <c r="S14074" t="s">
        <v>44339</v>
      </c>
      <c r="T14074" t="s">
        <v>44702</v>
      </c>
      <c r="U14074" t="s">
        <v>56390</v>
      </c>
      <c r="W14074" t="s">
        <v>42816</v>
      </c>
      <c r="X14074" t="s">
        <v>43198</v>
      </c>
    </row>
    <row r="14075" spans="1:24">
      <c r="A14075">
        <f>HYPERLINK("https://www.philgeps.gov.ph/GEPSNONPILOT/Tender/SplashBidNoticeAbstractUI.aspx?menuIndex=3&amp;refID=7028526&amp;Result=3","7028526")</f>
        <v>0</v>
      </c>
      <c r="B14075" t="s">
        <v>3421</v>
      </c>
      <c r="C14075" t="s">
        <v>16894</v>
      </c>
      <c r="D14075" t="s">
        <v>17422</v>
      </c>
      <c r="E14075" t="s">
        <v>24421</v>
      </c>
      <c r="F14075" t="s">
        <v>30052</v>
      </c>
      <c r="G14075" t="s">
        <v>30058</v>
      </c>
      <c r="H14075" t="s">
        <v>15498</v>
      </c>
      <c r="I14075" t="s">
        <v>30144</v>
      </c>
      <c r="J14075" t="s">
        <v>38714</v>
      </c>
      <c r="K14075" t="s">
        <v>39029</v>
      </c>
      <c r="M14075" t="s">
        <v>43096</v>
      </c>
      <c r="N14075" t="s">
        <v>43166</v>
      </c>
      <c r="O14075" t="s">
        <v>43167</v>
      </c>
      <c r="P14075">
        <v>0</v>
      </c>
      <c r="Q14075">
        <v>1</v>
      </c>
      <c r="R14075" t="s">
        <v>43197</v>
      </c>
      <c r="S14075" t="s">
        <v>44338</v>
      </c>
      <c r="T14075" t="s">
        <v>44837</v>
      </c>
      <c r="U14075" t="s">
        <v>56391</v>
      </c>
      <c r="V14075" t="s">
        <v>58508</v>
      </c>
      <c r="W14075" t="s">
        <v>43096</v>
      </c>
      <c r="X14075" t="s">
        <v>43198</v>
      </c>
    </row>
    <row r="14076" spans="1:24">
      <c r="A14076">
        <f>HYPERLINK("https://www.philgeps.gov.ph/GEPSNONPILOT/Tender/SplashBidNoticeAbstractUI.aspx?menuIndex=3&amp;refID=7031324&amp;Result=3","7031324")</f>
        <v>0</v>
      </c>
      <c r="B14076" t="s">
        <v>1843</v>
      </c>
      <c r="C14076" t="s">
        <v>16895</v>
      </c>
      <c r="E14076" t="s">
        <v>29561</v>
      </c>
      <c r="F14076" t="s">
        <v>30052</v>
      </c>
      <c r="G14076" t="s">
        <v>30058</v>
      </c>
      <c r="H14076" t="s">
        <v>30067</v>
      </c>
      <c r="I14076" t="s">
        <v>3693</v>
      </c>
      <c r="J14076" t="s">
        <v>38715</v>
      </c>
      <c r="K14076" t="s">
        <v>39025</v>
      </c>
      <c r="M14076" t="s">
        <v>41268</v>
      </c>
      <c r="N14076" t="s">
        <v>43166</v>
      </c>
      <c r="O14076" t="s">
        <v>43167</v>
      </c>
      <c r="Q14076">
        <v>3</v>
      </c>
      <c r="R14076" t="s">
        <v>43196</v>
      </c>
      <c r="S14076" t="s">
        <v>44340</v>
      </c>
      <c r="T14076" t="s">
        <v>44681</v>
      </c>
      <c r="U14076" t="s">
        <v>56392</v>
      </c>
      <c r="W14076" t="s">
        <v>41268</v>
      </c>
      <c r="X14076" t="s">
        <v>43197</v>
      </c>
    </row>
    <row r="14077" spans="1:24">
      <c r="A14077">
        <f>HYPERLINK("https://www.philgeps.gov.ph/GEPSNONPILOT/Tender/SplashBidNoticeAbstractUI.aspx?menuIndex=3&amp;refID=7025769&amp;Result=3","7025769")</f>
        <v>0</v>
      </c>
      <c r="B14077" t="s">
        <v>2365</v>
      </c>
      <c r="C14077" t="s">
        <v>16896</v>
      </c>
      <c r="D14077" t="s">
        <v>17415</v>
      </c>
      <c r="E14077" t="s">
        <v>29562</v>
      </c>
      <c r="F14077" t="s">
        <v>30052</v>
      </c>
      <c r="G14077" t="s">
        <v>30058</v>
      </c>
      <c r="H14077" t="s">
        <v>15498</v>
      </c>
      <c r="I14077" t="s">
        <v>30098</v>
      </c>
      <c r="J14077" t="s">
        <v>38716</v>
      </c>
      <c r="K14077" t="s">
        <v>39020</v>
      </c>
      <c r="M14077" t="s">
        <v>43091</v>
      </c>
      <c r="N14077" t="s">
        <v>43166</v>
      </c>
      <c r="O14077" t="s">
        <v>43167</v>
      </c>
      <c r="Q14077">
        <v>17</v>
      </c>
      <c r="R14077" t="s">
        <v>43198</v>
      </c>
      <c r="S14077" t="s">
        <v>43621</v>
      </c>
      <c r="T14077" t="s">
        <v>44710</v>
      </c>
      <c r="U14077" t="s">
        <v>56393</v>
      </c>
      <c r="W14077" t="s">
        <v>43091</v>
      </c>
      <c r="X14077" t="s">
        <v>43199</v>
      </c>
    </row>
    <row r="14078" spans="1:24">
      <c r="A14078">
        <f>HYPERLINK("https://www.philgeps.gov.ph/GEPSNONPILOT/Tender/SplashBidNoticeAbstractUI.aspx?menuIndex=3&amp;refID=7031321&amp;Result=3","7031321")</f>
        <v>0</v>
      </c>
      <c r="B14078" t="s">
        <v>1730</v>
      </c>
      <c r="C14078" t="s">
        <v>16897</v>
      </c>
      <c r="D14078" t="s">
        <v>17423</v>
      </c>
      <c r="E14078" t="s">
        <v>29563</v>
      </c>
      <c r="F14078" t="s">
        <v>30052</v>
      </c>
      <c r="G14078" t="s">
        <v>30059</v>
      </c>
      <c r="H14078" t="s">
        <v>15498</v>
      </c>
      <c r="I14078" t="s">
        <v>3736</v>
      </c>
      <c r="J14078" t="s">
        <v>30612</v>
      </c>
      <c r="K14078" t="s">
        <v>39019</v>
      </c>
      <c r="M14078" t="s">
        <v>41999</v>
      </c>
      <c r="N14078" t="s">
        <v>43166</v>
      </c>
      <c r="O14078" t="s">
        <v>43167</v>
      </c>
      <c r="Q14078">
        <v>0</v>
      </c>
      <c r="R14078" t="s">
        <v>43196</v>
      </c>
      <c r="S14078" t="s">
        <v>44341</v>
      </c>
      <c r="T14078" t="s">
        <v>44965</v>
      </c>
      <c r="U14078" t="s">
        <v>56394</v>
      </c>
      <c r="W14078" t="s">
        <v>41999</v>
      </c>
      <c r="X14078" t="s">
        <v>43197</v>
      </c>
    </row>
    <row r="14079" spans="1:24">
      <c r="A14079">
        <f>HYPERLINK("https://www.philgeps.gov.ph/GEPSNONPILOT/Tender/SplashBidNoticeAbstractUI.aspx?menuIndex=3&amp;refID=7022431&amp;Result=3","7022431")</f>
        <v>0</v>
      </c>
      <c r="B14079" t="s">
        <v>595</v>
      </c>
      <c r="C14079" t="s">
        <v>4800</v>
      </c>
      <c r="E14079" t="s">
        <v>18751</v>
      </c>
      <c r="F14079" t="s">
        <v>30052</v>
      </c>
      <c r="G14079" t="s">
        <v>30059</v>
      </c>
      <c r="H14079" t="s">
        <v>15498</v>
      </c>
      <c r="I14079" t="s">
        <v>30081</v>
      </c>
      <c r="J14079" t="s">
        <v>32412</v>
      </c>
      <c r="K14079" t="s">
        <v>39025</v>
      </c>
      <c r="M14079" t="s">
        <v>39897</v>
      </c>
      <c r="N14079" t="s">
        <v>43166</v>
      </c>
      <c r="O14079" t="s">
        <v>43167</v>
      </c>
      <c r="P14079">
        <v>0</v>
      </c>
      <c r="Q14079">
        <v>2</v>
      </c>
      <c r="R14079" t="s">
        <v>43199</v>
      </c>
      <c r="S14079" t="s">
        <v>44342</v>
      </c>
      <c r="T14079" t="s">
        <v>44685</v>
      </c>
      <c r="U14079" t="s">
        <v>46393</v>
      </c>
      <c r="W14079" t="s">
        <v>39897</v>
      </c>
      <c r="X14079" t="s">
        <v>43202</v>
      </c>
    </row>
    <row r="14080" spans="1:24">
      <c r="A14080">
        <f>HYPERLINK("https://www.philgeps.gov.ph/GEPSNONPILOT/Tender/SplashBidNoticeAbstractUI.aspx?menuIndex=3&amp;refID=7022338&amp;Result=3","7022338")</f>
        <v>0</v>
      </c>
      <c r="B14080" t="s">
        <v>3369</v>
      </c>
      <c r="C14080" t="s">
        <v>16898</v>
      </c>
      <c r="D14080" t="s">
        <v>17445</v>
      </c>
      <c r="E14080" t="s">
        <v>29564</v>
      </c>
      <c r="F14080" t="s">
        <v>30052</v>
      </c>
      <c r="G14080" t="s">
        <v>30058</v>
      </c>
      <c r="H14080" t="s">
        <v>15498</v>
      </c>
      <c r="I14080" t="s">
        <v>30168</v>
      </c>
      <c r="J14080" t="s">
        <v>30755</v>
      </c>
      <c r="K14080" t="s">
        <v>39019</v>
      </c>
      <c r="L14080" t="s">
        <v>3369</v>
      </c>
      <c r="M14080" t="s">
        <v>43020</v>
      </c>
      <c r="N14080" t="s">
        <v>43166</v>
      </c>
      <c r="O14080" t="s">
        <v>43167</v>
      </c>
      <c r="Q14080">
        <v>0</v>
      </c>
      <c r="R14080" t="s">
        <v>43199</v>
      </c>
      <c r="S14080" t="s">
        <v>44343</v>
      </c>
      <c r="T14080" t="s">
        <v>44856</v>
      </c>
      <c r="U14080" t="s">
        <v>56395</v>
      </c>
      <c r="W14080" t="s">
        <v>43020</v>
      </c>
      <c r="X14080" t="s">
        <v>43202</v>
      </c>
    </row>
    <row r="14081" spans="1:24">
      <c r="A14081">
        <f>HYPERLINK("https://www.philgeps.gov.ph/GEPSNONPILOT/Tender/SplashBidNoticeAbstractUI.aspx?menuIndex=3&amp;refID=7026899&amp;Result=3","7026899")</f>
        <v>0</v>
      </c>
      <c r="B14081" t="s">
        <v>2109</v>
      </c>
      <c r="C14081" t="s">
        <v>16899</v>
      </c>
      <c r="D14081" t="s">
        <v>17447</v>
      </c>
      <c r="E14081" t="s">
        <v>29565</v>
      </c>
      <c r="F14081" t="s">
        <v>30052</v>
      </c>
      <c r="G14081" t="s">
        <v>30058</v>
      </c>
      <c r="H14081" t="s">
        <v>30067</v>
      </c>
      <c r="I14081" t="s">
        <v>3693</v>
      </c>
      <c r="J14081" t="s">
        <v>35151</v>
      </c>
      <c r="K14081" t="s">
        <v>39026</v>
      </c>
      <c r="M14081" t="s">
        <v>41571</v>
      </c>
      <c r="N14081" t="s">
        <v>43166</v>
      </c>
      <c r="O14081" t="s">
        <v>43167</v>
      </c>
      <c r="Q14081">
        <v>4</v>
      </c>
      <c r="R14081" t="s">
        <v>43198</v>
      </c>
      <c r="S14081" t="s">
        <v>43635</v>
      </c>
      <c r="T14081" t="s">
        <v>44698</v>
      </c>
      <c r="U14081" t="s">
        <v>56396</v>
      </c>
      <c r="V14081" t="s">
        <v>58509</v>
      </c>
      <c r="W14081" t="s">
        <v>58673</v>
      </c>
      <c r="X14081" t="s">
        <v>43199</v>
      </c>
    </row>
    <row r="14082" spans="1:24">
      <c r="A14082">
        <f>HYPERLINK("https://www.philgeps.gov.ph/GEPSNONPILOT/Tender/SplashBidNoticeAbstractUI.aspx?menuIndex=3&amp;refID=7030740&amp;Result=3","7030740")</f>
        <v>0</v>
      </c>
      <c r="B14082" t="s">
        <v>1497</v>
      </c>
      <c r="C14082" t="s">
        <v>16900</v>
      </c>
      <c r="D14082" t="s">
        <v>17445</v>
      </c>
      <c r="E14082" t="s">
        <v>29566</v>
      </c>
      <c r="F14082" t="s">
        <v>30052</v>
      </c>
      <c r="G14082" t="s">
        <v>30058</v>
      </c>
      <c r="H14082" t="s">
        <v>15498</v>
      </c>
      <c r="I14082" t="s">
        <v>30114</v>
      </c>
      <c r="J14082" t="s">
        <v>38717</v>
      </c>
      <c r="K14082" t="s">
        <v>39031</v>
      </c>
      <c r="M14082" t="s">
        <v>43097</v>
      </c>
      <c r="N14082" t="s">
        <v>43166</v>
      </c>
      <c r="O14082" t="s">
        <v>43167</v>
      </c>
      <c r="Q14082">
        <v>9</v>
      </c>
      <c r="R14082" t="s">
        <v>43196</v>
      </c>
      <c r="S14082" t="s">
        <v>44344</v>
      </c>
      <c r="T14082" t="s">
        <v>44763</v>
      </c>
      <c r="U14082" t="s">
        <v>56397</v>
      </c>
      <c r="W14082" t="s">
        <v>43097</v>
      </c>
      <c r="X14082" t="s">
        <v>43197</v>
      </c>
    </row>
    <row r="14083" spans="1:24">
      <c r="A14083">
        <f>HYPERLINK("https://www.philgeps.gov.ph/GEPSNONPILOT/Tender/SplashBidNoticeAbstractUI.aspx?menuIndex=3&amp;refID=7026884&amp;Result=3","7026884")</f>
        <v>0</v>
      </c>
      <c r="B14083" t="s">
        <v>2109</v>
      </c>
      <c r="C14083" t="s">
        <v>16901</v>
      </c>
      <c r="D14083" t="s">
        <v>17447</v>
      </c>
      <c r="E14083" t="s">
        <v>29567</v>
      </c>
      <c r="F14083" t="s">
        <v>30052</v>
      </c>
      <c r="G14083" t="s">
        <v>30058</v>
      </c>
      <c r="H14083" t="s">
        <v>30067</v>
      </c>
      <c r="I14083" t="s">
        <v>3693</v>
      </c>
      <c r="J14083" t="s">
        <v>38718</v>
      </c>
      <c r="K14083" t="s">
        <v>39026</v>
      </c>
      <c r="M14083" t="s">
        <v>41571</v>
      </c>
      <c r="N14083" t="s">
        <v>43166</v>
      </c>
      <c r="O14083" t="s">
        <v>43167</v>
      </c>
      <c r="Q14083">
        <v>2</v>
      </c>
      <c r="R14083" t="s">
        <v>43198</v>
      </c>
      <c r="S14083" t="s">
        <v>44345</v>
      </c>
      <c r="T14083" t="s">
        <v>44698</v>
      </c>
      <c r="U14083" t="s">
        <v>56398</v>
      </c>
      <c r="V14083" t="s">
        <v>58510</v>
      </c>
      <c r="W14083" t="s">
        <v>58673</v>
      </c>
      <c r="X14083" t="s">
        <v>43199</v>
      </c>
    </row>
    <row r="14084" spans="1:24">
      <c r="A14084">
        <f>HYPERLINK("https://www.philgeps.gov.ph/GEPSNONPILOT/Tender/SplashBidNoticeAbstractUI.aspx?menuIndex=3&amp;refID=7026048&amp;Result=3","7026048")</f>
        <v>0</v>
      </c>
      <c r="B14084" t="s">
        <v>757</v>
      </c>
      <c r="C14084" t="s">
        <v>16902</v>
      </c>
      <c r="D14084" t="s">
        <v>17462</v>
      </c>
      <c r="E14084" t="s">
        <v>29568</v>
      </c>
      <c r="F14084" t="s">
        <v>30052</v>
      </c>
      <c r="G14084" t="s">
        <v>30058</v>
      </c>
      <c r="H14084" t="s">
        <v>15498</v>
      </c>
      <c r="I14084" t="s">
        <v>3606</v>
      </c>
      <c r="J14084" t="s">
        <v>38719</v>
      </c>
      <c r="K14084" t="s">
        <v>39025</v>
      </c>
      <c r="M14084" t="s">
        <v>40071</v>
      </c>
      <c r="N14084" t="s">
        <v>43166</v>
      </c>
      <c r="O14084" t="s">
        <v>43167</v>
      </c>
      <c r="Q14084">
        <v>8</v>
      </c>
      <c r="R14084" t="s">
        <v>43198</v>
      </c>
      <c r="S14084" t="s">
        <v>44346</v>
      </c>
      <c r="T14084" t="s">
        <v>44788</v>
      </c>
      <c r="U14084" t="s">
        <v>56399</v>
      </c>
      <c r="W14084" t="s">
        <v>40071</v>
      </c>
      <c r="X14084" t="s">
        <v>43199</v>
      </c>
    </row>
    <row r="14085" spans="1:24">
      <c r="A14085">
        <f>HYPERLINK("https://www.philgeps.gov.ph/GEPSNONPILOT/Tender/SplashBidNoticeAbstractUI.aspx?menuIndex=3&amp;refID=7021904&amp;Result=3","7021904")</f>
        <v>0</v>
      </c>
      <c r="B14085" t="s">
        <v>1134</v>
      </c>
      <c r="C14085" t="s">
        <v>16903</v>
      </c>
      <c r="D14085" t="s">
        <v>17459</v>
      </c>
      <c r="E14085" t="s">
        <v>29569</v>
      </c>
      <c r="F14085" t="s">
        <v>30052</v>
      </c>
      <c r="G14085" t="s">
        <v>30058</v>
      </c>
      <c r="H14085" t="s">
        <v>30067</v>
      </c>
      <c r="I14085" t="s">
        <v>3693</v>
      </c>
      <c r="J14085" t="s">
        <v>38720</v>
      </c>
      <c r="K14085" t="s">
        <v>39058</v>
      </c>
      <c r="M14085" t="s">
        <v>40749</v>
      </c>
      <c r="N14085" t="s">
        <v>43166</v>
      </c>
      <c r="O14085" t="s">
        <v>43167</v>
      </c>
      <c r="P14085">
        <v>0</v>
      </c>
      <c r="Q14085">
        <v>1</v>
      </c>
      <c r="R14085" t="s">
        <v>43199</v>
      </c>
      <c r="S14085" t="s">
        <v>44342</v>
      </c>
      <c r="T14085" t="s">
        <v>44842</v>
      </c>
      <c r="U14085" t="s">
        <v>56400</v>
      </c>
      <c r="V14085" t="s">
        <v>58048</v>
      </c>
      <c r="W14085" t="s">
        <v>40749</v>
      </c>
      <c r="X14085" t="s">
        <v>43202</v>
      </c>
    </row>
    <row r="14086" spans="1:24">
      <c r="A14086">
        <f>HYPERLINK("https://www.philgeps.gov.ph/GEPSNONPILOT/Tender/SplashBidNoticeAbstractUI.aspx?menuIndex=3&amp;refID=7025139&amp;Result=3","7025139")</f>
        <v>0</v>
      </c>
      <c r="B14086" t="s">
        <v>937</v>
      </c>
      <c r="C14086" t="s">
        <v>16904</v>
      </c>
      <c r="D14086" t="s">
        <v>17428</v>
      </c>
      <c r="E14086" t="s">
        <v>29570</v>
      </c>
      <c r="F14086" t="s">
        <v>30052</v>
      </c>
      <c r="G14086" t="s">
        <v>30058</v>
      </c>
      <c r="H14086" t="s">
        <v>30067</v>
      </c>
      <c r="I14086" t="s">
        <v>3693</v>
      </c>
      <c r="J14086" t="s">
        <v>33939</v>
      </c>
      <c r="K14086" t="s">
        <v>39279</v>
      </c>
      <c r="M14086" t="s">
        <v>40261</v>
      </c>
      <c r="N14086" t="s">
        <v>43166</v>
      </c>
      <c r="O14086" t="s">
        <v>43167</v>
      </c>
      <c r="Q14086">
        <v>0</v>
      </c>
      <c r="R14086" t="s">
        <v>43198</v>
      </c>
      <c r="S14086" t="s">
        <v>44347</v>
      </c>
      <c r="T14086" t="s">
        <v>44856</v>
      </c>
      <c r="U14086" t="s">
        <v>56401</v>
      </c>
      <c r="W14086" t="s">
        <v>40261</v>
      </c>
      <c r="X14086" t="s">
        <v>43199</v>
      </c>
    </row>
    <row r="14087" spans="1:24">
      <c r="A14087">
        <f>HYPERLINK("https://www.philgeps.gov.ph/GEPSNONPILOT/Tender/SplashBidNoticeAbstractUI.aspx?menuIndex=3&amp;refID=7025103&amp;Result=3","7025103")</f>
        <v>0</v>
      </c>
      <c r="B14087" t="s">
        <v>937</v>
      </c>
      <c r="C14087" t="s">
        <v>16905</v>
      </c>
      <c r="D14087" t="s">
        <v>17428</v>
      </c>
      <c r="E14087" t="s">
        <v>29571</v>
      </c>
      <c r="F14087" t="s">
        <v>30052</v>
      </c>
      <c r="G14087" t="s">
        <v>30058</v>
      </c>
      <c r="H14087" t="s">
        <v>30067</v>
      </c>
      <c r="I14087" t="s">
        <v>3693</v>
      </c>
      <c r="J14087" t="s">
        <v>38721</v>
      </c>
      <c r="K14087" t="s">
        <v>39065</v>
      </c>
      <c r="M14087" t="s">
        <v>40261</v>
      </c>
      <c r="N14087" t="s">
        <v>43166</v>
      </c>
      <c r="O14087" t="s">
        <v>43167</v>
      </c>
      <c r="Q14087">
        <v>0</v>
      </c>
      <c r="R14087" t="s">
        <v>43198</v>
      </c>
      <c r="S14087" t="s">
        <v>44348</v>
      </c>
      <c r="T14087" t="s">
        <v>44856</v>
      </c>
      <c r="U14087" t="s">
        <v>56402</v>
      </c>
      <c r="W14087" t="s">
        <v>40261</v>
      </c>
      <c r="X14087" t="s">
        <v>43199</v>
      </c>
    </row>
    <row r="14088" spans="1:24">
      <c r="A14088">
        <f>HYPERLINK("https://www.philgeps.gov.ph/GEPSNONPILOT/Tender/SplashBidNoticeAbstractUI.aspx?menuIndex=3&amp;refID=7024850&amp;Result=3","7024850")</f>
        <v>0</v>
      </c>
      <c r="B14088" t="s">
        <v>1165</v>
      </c>
      <c r="C14088" t="s">
        <v>16906</v>
      </c>
      <c r="D14088" t="s">
        <v>17475</v>
      </c>
      <c r="E14088" t="s">
        <v>29572</v>
      </c>
      <c r="F14088" t="s">
        <v>30052</v>
      </c>
      <c r="G14088" t="s">
        <v>30058</v>
      </c>
      <c r="H14088" t="s">
        <v>30067</v>
      </c>
      <c r="I14088" t="s">
        <v>3693</v>
      </c>
      <c r="J14088" t="s">
        <v>38722</v>
      </c>
      <c r="K14088" t="s">
        <v>39244</v>
      </c>
      <c r="M14088" t="s">
        <v>40511</v>
      </c>
      <c r="N14088" t="s">
        <v>43166</v>
      </c>
      <c r="O14088" t="s">
        <v>43167</v>
      </c>
      <c r="Q14088">
        <v>8</v>
      </c>
      <c r="R14088" t="s">
        <v>43198</v>
      </c>
      <c r="S14088" t="s">
        <v>44349</v>
      </c>
      <c r="T14088" t="s">
        <v>45194</v>
      </c>
      <c r="U14088" t="s">
        <v>47725</v>
      </c>
      <c r="W14088" t="s">
        <v>40511</v>
      </c>
      <c r="X14088" t="s">
        <v>43199</v>
      </c>
    </row>
    <row r="14089" spans="1:24">
      <c r="A14089">
        <f>HYPERLINK("https://www.philgeps.gov.ph/GEPSNONPILOT/Tender/SplashBidNoticeAbstractUI.aspx?menuIndex=3&amp;refID=7029790&amp;Result=3","7029790")</f>
        <v>0</v>
      </c>
      <c r="B14089" t="s">
        <v>730</v>
      </c>
      <c r="C14089" t="s">
        <v>16907</v>
      </c>
      <c r="D14089" t="s">
        <v>17466</v>
      </c>
      <c r="E14089" t="s">
        <v>29573</v>
      </c>
      <c r="F14089" t="s">
        <v>30052</v>
      </c>
      <c r="G14089" t="s">
        <v>30058</v>
      </c>
      <c r="H14089" t="s">
        <v>30067</v>
      </c>
      <c r="I14089" t="s">
        <v>3693</v>
      </c>
      <c r="J14089" t="s">
        <v>30281</v>
      </c>
      <c r="K14089" t="s">
        <v>39026</v>
      </c>
      <c r="M14089" t="s">
        <v>42816</v>
      </c>
      <c r="N14089" t="s">
        <v>43166</v>
      </c>
      <c r="O14089" t="s">
        <v>43167</v>
      </c>
      <c r="Q14089">
        <v>7</v>
      </c>
      <c r="R14089" t="s">
        <v>43197</v>
      </c>
      <c r="S14089" t="s">
        <v>44350</v>
      </c>
      <c r="T14089" t="s">
        <v>44832</v>
      </c>
      <c r="U14089" t="s">
        <v>56403</v>
      </c>
      <c r="W14089" t="s">
        <v>42816</v>
      </c>
      <c r="X14089" t="s">
        <v>43198</v>
      </c>
    </row>
    <row r="14090" spans="1:24">
      <c r="A14090">
        <f>HYPERLINK("https://www.philgeps.gov.ph/GEPSNONPILOT/Tender/SplashBidNoticeAbstractUI.aspx?menuIndex=3&amp;refID=7029785&amp;Result=3","7029785")</f>
        <v>0</v>
      </c>
      <c r="B14090" t="s">
        <v>730</v>
      </c>
      <c r="C14090" t="s">
        <v>16908</v>
      </c>
      <c r="D14090" t="s">
        <v>17466</v>
      </c>
      <c r="E14090" t="s">
        <v>29574</v>
      </c>
      <c r="F14090" t="s">
        <v>30052</v>
      </c>
      <c r="G14090" t="s">
        <v>30058</v>
      </c>
      <c r="H14090" t="s">
        <v>30067</v>
      </c>
      <c r="I14090" t="s">
        <v>3693</v>
      </c>
      <c r="J14090" t="s">
        <v>30321</v>
      </c>
      <c r="K14090" t="s">
        <v>39022</v>
      </c>
      <c r="M14090" t="s">
        <v>42816</v>
      </c>
      <c r="N14090" t="s">
        <v>43166</v>
      </c>
      <c r="O14090" t="s">
        <v>43167</v>
      </c>
      <c r="Q14090">
        <v>6</v>
      </c>
      <c r="R14090" t="s">
        <v>43197</v>
      </c>
      <c r="S14090" t="s">
        <v>44351</v>
      </c>
      <c r="T14090" t="s">
        <v>44841</v>
      </c>
      <c r="U14090" t="s">
        <v>56404</v>
      </c>
      <c r="W14090" t="s">
        <v>42816</v>
      </c>
      <c r="X14090" t="s">
        <v>43198</v>
      </c>
    </row>
    <row r="14091" spans="1:24">
      <c r="A14091">
        <f>HYPERLINK("https://www.philgeps.gov.ph/GEPSNONPILOT/Tender/SplashBidNoticeAbstractUI.aspx?menuIndex=3&amp;refID=7030752&amp;Result=3","7030752")</f>
        <v>0</v>
      </c>
      <c r="B14091" t="s">
        <v>1497</v>
      </c>
      <c r="C14091" t="s">
        <v>16909</v>
      </c>
      <c r="D14091" t="s">
        <v>17445</v>
      </c>
      <c r="E14091" t="s">
        <v>29575</v>
      </c>
      <c r="F14091" t="s">
        <v>30052</v>
      </c>
      <c r="G14091" t="s">
        <v>30058</v>
      </c>
      <c r="H14091" t="s">
        <v>15498</v>
      </c>
      <c r="I14091" t="s">
        <v>30168</v>
      </c>
      <c r="J14091" t="s">
        <v>31276</v>
      </c>
      <c r="K14091" t="s">
        <v>39029</v>
      </c>
      <c r="M14091" t="s">
        <v>43097</v>
      </c>
      <c r="N14091" t="s">
        <v>43166</v>
      </c>
      <c r="O14091" t="s">
        <v>43167</v>
      </c>
      <c r="Q14091">
        <v>4</v>
      </c>
      <c r="R14091" t="s">
        <v>43196</v>
      </c>
      <c r="S14091" t="s">
        <v>44352</v>
      </c>
      <c r="T14091" t="s">
        <v>44763</v>
      </c>
      <c r="U14091" t="s">
        <v>56405</v>
      </c>
      <c r="W14091" t="s">
        <v>43097</v>
      </c>
      <c r="X14091" t="s">
        <v>43197</v>
      </c>
    </row>
    <row r="14092" spans="1:24">
      <c r="A14092">
        <f>HYPERLINK("https://www.philgeps.gov.ph/GEPSNONPILOT/Tender/SplashBidNoticeAbstractUI.aspx?menuIndex=3&amp;refID=7029771&amp;Result=3","7029771")</f>
        <v>0</v>
      </c>
      <c r="B14092" t="s">
        <v>730</v>
      </c>
      <c r="C14092" t="s">
        <v>16910</v>
      </c>
      <c r="D14092" t="s">
        <v>17458</v>
      </c>
      <c r="E14092" t="s">
        <v>29576</v>
      </c>
      <c r="F14092" t="s">
        <v>30052</v>
      </c>
      <c r="G14092" t="s">
        <v>30058</v>
      </c>
      <c r="H14092" t="s">
        <v>30067</v>
      </c>
      <c r="I14092" t="s">
        <v>3693</v>
      </c>
      <c r="J14092" t="s">
        <v>30555</v>
      </c>
      <c r="K14092" t="s">
        <v>39031</v>
      </c>
      <c r="M14092" t="s">
        <v>42816</v>
      </c>
      <c r="N14092" t="s">
        <v>43166</v>
      </c>
      <c r="O14092" t="s">
        <v>43167</v>
      </c>
      <c r="P14092">
        <v>0</v>
      </c>
      <c r="Q14092">
        <v>10</v>
      </c>
      <c r="R14092" t="s">
        <v>43197</v>
      </c>
      <c r="S14092" t="s">
        <v>44338</v>
      </c>
      <c r="T14092" t="s">
        <v>44777</v>
      </c>
      <c r="U14092" t="s">
        <v>56406</v>
      </c>
      <c r="W14092" t="s">
        <v>42816</v>
      </c>
      <c r="X14092" t="s">
        <v>43198</v>
      </c>
    </row>
    <row r="14093" spans="1:24">
      <c r="A14093">
        <f>HYPERLINK("https://www.philgeps.gov.ph/GEPSNONPILOT/Tender/SplashBidNoticeAbstractUI.aspx?menuIndex=3&amp;refID=7029764&amp;Result=3","7029764")</f>
        <v>0</v>
      </c>
      <c r="B14093" t="s">
        <v>730</v>
      </c>
      <c r="C14093" t="s">
        <v>16911</v>
      </c>
      <c r="E14093" t="s">
        <v>29577</v>
      </c>
      <c r="F14093" t="s">
        <v>30052</v>
      </c>
      <c r="G14093" t="s">
        <v>30058</v>
      </c>
      <c r="H14093" t="s">
        <v>15498</v>
      </c>
      <c r="I14093" t="s">
        <v>9238</v>
      </c>
      <c r="J14093" t="s">
        <v>31060</v>
      </c>
      <c r="K14093" t="s">
        <v>39046</v>
      </c>
      <c r="M14093" t="s">
        <v>42816</v>
      </c>
      <c r="N14093" t="s">
        <v>43166</v>
      </c>
      <c r="O14093" t="s">
        <v>43167</v>
      </c>
      <c r="Q14093">
        <v>15</v>
      </c>
      <c r="R14093" t="s">
        <v>43197</v>
      </c>
      <c r="S14093" t="s">
        <v>44353</v>
      </c>
      <c r="T14093" t="s">
        <v>45195</v>
      </c>
      <c r="U14093" t="s">
        <v>56407</v>
      </c>
      <c r="W14093" t="s">
        <v>42816</v>
      </c>
      <c r="X14093" t="s">
        <v>43198</v>
      </c>
    </row>
    <row r="14094" spans="1:24">
      <c r="A14094">
        <f>HYPERLINK("https://www.philgeps.gov.ph/GEPSNONPILOT/Tender/SplashBidNoticeAbstractUI.aspx?menuIndex=3&amp;refID=7029754&amp;Result=3","7029754")</f>
        <v>0</v>
      </c>
      <c r="B14094" t="s">
        <v>730</v>
      </c>
      <c r="C14094" t="s">
        <v>16912</v>
      </c>
      <c r="E14094" t="s">
        <v>29578</v>
      </c>
      <c r="F14094" t="s">
        <v>30052</v>
      </c>
      <c r="G14094" t="s">
        <v>30058</v>
      </c>
      <c r="H14094" t="s">
        <v>15498</v>
      </c>
      <c r="I14094" t="s">
        <v>4650</v>
      </c>
      <c r="J14094" t="s">
        <v>30212</v>
      </c>
      <c r="K14094" t="s">
        <v>39046</v>
      </c>
      <c r="M14094" t="s">
        <v>42816</v>
      </c>
      <c r="N14094" t="s">
        <v>43166</v>
      </c>
      <c r="O14094" t="s">
        <v>43167</v>
      </c>
      <c r="Q14094">
        <v>13</v>
      </c>
      <c r="R14094" t="s">
        <v>43197</v>
      </c>
      <c r="S14094" t="s">
        <v>44354</v>
      </c>
      <c r="T14094" t="s">
        <v>44747</v>
      </c>
      <c r="U14094" t="s">
        <v>56408</v>
      </c>
      <c r="W14094" t="s">
        <v>42816</v>
      </c>
      <c r="X14094" t="s">
        <v>43198</v>
      </c>
    </row>
    <row r="14095" spans="1:24">
      <c r="A14095">
        <f>HYPERLINK("https://www.philgeps.gov.ph/GEPSNONPILOT/Tender/SplashBidNoticeAbstractUI.aspx?menuIndex=3&amp;refID=7030732&amp;Result=3","7030732")</f>
        <v>0</v>
      </c>
      <c r="B14095" t="s">
        <v>1497</v>
      </c>
      <c r="C14095" t="s">
        <v>16913</v>
      </c>
      <c r="D14095" t="s">
        <v>17445</v>
      </c>
      <c r="E14095" t="s">
        <v>29579</v>
      </c>
      <c r="F14095" t="s">
        <v>30052</v>
      </c>
      <c r="G14095" t="s">
        <v>30058</v>
      </c>
      <c r="H14095" t="s">
        <v>15498</v>
      </c>
      <c r="I14095" t="s">
        <v>30168</v>
      </c>
      <c r="J14095" t="s">
        <v>38723</v>
      </c>
      <c r="K14095" t="s">
        <v>39023</v>
      </c>
      <c r="M14095" t="s">
        <v>43097</v>
      </c>
      <c r="N14095" t="s">
        <v>43166</v>
      </c>
      <c r="O14095" t="s">
        <v>43167</v>
      </c>
      <c r="Q14095">
        <v>9</v>
      </c>
      <c r="R14095" t="s">
        <v>43196</v>
      </c>
      <c r="S14095" t="s">
        <v>44355</v>
      </c>
      <c r="T14095" t="s">
        <v>44763</v>
      </c>
      <c r="U14095" t="s">
        <v>56409</v>
      </c>
      <c r="W14095" t="s">
        <v>43097</v>
      </c>
      <c r="X14095" t="s">
        <v>43197</v>
      </c>
    </row>
    <row r="14096" spans="1:24">
      <c r="A14096">
        <f>HYPERLINK("https://www.philgeps.gov.ph/GEPSNONPILOT/Tender/SplashBidNoticeAbstractUI.aspx?menuIndex=3&amp;refID=7026105&amp;Result=3","7026105")</f>
        <v>0</v>
      </c>
      <c r="B14096" t="s">
        <v>1191</v>
      </c>
      <c r="C14096" t="s">
        <v>16914</v>
      </c>
      <c r="D14096" t="s">
        <v>17451</v>
      </c>
      <c r="E14096" t="s">
        <v>29580</v>
      </c>
      <c r="F14096" t="s">
        <v>30052</v>
      </c>
      <c r="G14096" t="s">
        <v>30058</v>
      </c>
      <c r="H14096" t="s">
        <v>30067</v>
      </c>
      <c r="I14096" t="s">
        <v>3693</v>
      </c>
      <c r="J14096" t="s">
        <v>30397</v>
      </c>
      <c r="K14096" t="s">
        <v>39298</v>
      </c>
      <c r="M14096" t="s">
        <v>40544</v>
      </c>
      <c r="N14096" t="s">
        <v>43166</v>
      </c>
      <c r="O14096" t="s">
        <v>43167</v>
      </c>
      <c r="Q14096">
        <v>0</v>
      </c>
      <c r="R14096" t="s">
        <v>43198</v>
      </c>
      <c r="S14096" t="s">
        <v>44356</v>
      </c>
      <c r="T14096" t="s">
        <v>44805</v>
      </c>
      <c r="U14096" t="s">
        <v>56410</v>
      </c>
      <c r="W14096" t="s">
        <v>40544</v>
      </c>
      <c r="X14096" t="s">
        <v>43199</v>
      </c>
    </row>
    <row r="14097" spans="1:24">
      <c r="A14097">
        <f>HYPERLINK("https://www.philgeps.gov.ph/GEPSNONPILOT/Tender/SplashBidNoticeAbstractUI.aspx?menuIndex=3&amp;refID=7018161&amp;Result=3","7018161")</f>
        <v>0</v>
      </c>
      <c r="B14097" t="s">
        <v>1024</v>
      </c>
      <c r="C14097" t="s">
        <v>16915</v>
      </c>
      <c r="D14097" t="s">
        <v>17432</v>
      </c>
      <c r="E14097" t="s">
        <v>29581</v>
      </c>
      <c r="F14097" t="s">
        <v>30052</v>
      </c>
      <c r="G14097" t="s">
        <v>30058</v>
      </c>
      <c r="H14097" t="s">
        <v>30067</v>
      </c>
      <c r="I14097" t="s">
        <v>3693</v>
      </c>
      <c r="J14097" t="s">
        <v>38724</v>
      </c>
      <c r="K14097" t="s">
        <v>39026</v>
      </c>
      <c r="M14097" t="s">
        <v>40353</v>
      </c>
      <c r="N14097" t="s">
        <v>43166</v>
      </c>
      <c r="O14097" t="s">
        <v>43167</v>
      </c>
      <c r="Q14097">
        <v>9</v>
      </c>
      <c r="R14097" t="s">
        <v>43200</v>
      </c>
      <c r="S14097" t="s">
        <v>44192</v>
      </c>
      <c r="T14097" t="s">
        <v>45085</v>
      </c>
      <c r="U14097" t="s">
        <v>56411</v>
      </c>
      <c r="W14097" t="s">
        <v>40353</v>
      </c>
      <c r="X14097" t="s">
        <v>43208</v>
      </c>
    </row>
    <row r="14098" spans="1:24">
      <c r="A14098">
        <f>HYPERLINK("https://www.philgeps.gov.ph/GEPSNONPILOT/Tender/SplashBidNoticeAbstractUI.aspx?menuIndex=3&amp;refID=7017112&amp;Result=3","7017112")</f>
        <v>0</v>
      </c>
      <c r="B14098" t="s">
        <v>1377</v>
      </c>
      <c r="C14098" t="s">
        <v>16916</v>
      </c>
      <c r="E14098" t="s">
        <v>29582</v>
      </c>
      <c r="F14098" t="s">
        <v>30052</v>
      </c>
      <c r="G14098" t="s">
        <v>30058</v>
      </c>
      <c r="H14098" t="s">
        <v>15498</v>
      </c>
      <c r="I14098" t="s">
        <v>30123</v>
      </c>
      <c r="J14098" t="s">
        <v>38725</v>
      </c>
      <c r="K14098" t="s">
        <v>39023</v>
      </c>
      <c r="M14098" t="s">
        <v>43098</v>
      </c>
      <c r="N14098" t="s">
        <v>43166</v>
      </c>
      <c r="O14098" t="s">
        <v>43167</v>
      </c>
      <c r="Q14098">
        <v>5</v>
      </c>
      <c r="R14098" t="s">
        <v>43201</v>
      </c>
      <c r="S14098" t="s">
        <v>44357</v>
      </c>
      <c r="T14098" t="s">
        <v>44844</v>
      </c>
      <c r="U14098" t="s">
        <v>56412</v>
      </c>
      <c r="W14098" t="s">
        <v>43098</v>
      </c>
      <c r="X14098" t="s">
        <v>43208</v>
      </c>
    </row>
    <row r="14099" spans="1:24">
      <c r="A14099">
        <f>HYPERLINK("https://www.philgeps.gov.ph/GEPSNONPILOT/Tender/SplashBidNoticeAbstractUI.aspx?menuIndex=3&amp;refID=7021626&amp;Result=3","7021626")</f>
        <v>0</v>
      </c>
      <c r="B14099" t="s">
        <v>30</v>
      </c>
      <c r="C14099" t="s">
        <v>16917</v>
      </c>
      <c r="E14099" t="s">
        <v>29583</v>
      </c>
      <c r="F14099" t="s">
        <v>30052</v>
      </c>
      <c r="G14099" t="s">
        <v>30058</v>
      </c>
      <c r="H14099" t="s">
        <v>30067</v>
      </c>
      <c r="I14099" t="s">
        <v>3693</v>
      </c>
      <c r="J14099" t="s">
        <v>38726</v>
      </c>
      <c r="K14099" t="s">
        <v>39299</v>
      </c>
      <c r="M14099" t="s">
        <v>43099</v>
      </c>
      <c r="N14099" t="s">
        <v>43166</v>
      </c>
      <c r="O14099" t="s">
        <v>43167</v>
      </c>
      <c r="P14099">
        <v>0</v>
      </c>
      <c r="Q14099">
        <v>16</v>
      </c>
      <c r="R14099" t="s">
        <v>43202</v>
      </c>
      <c r="S14099" t="s">
        <v>44358</v>
      </c>
      <c r="T14099" t="s">
        <v>45041</v>
      </c>
      <c r="U14099" t="s">
        <v>56413</v>
      </c>
      <c r="V14099" t="s">
        <v>55439</v>
      </c>
      <c r="W14099" t="s">
        <v>43099</v>
      </c>
      <c r="X14099" t="s">
        <v>43201</v>
      </c>
    </row>
    <row r="14100" spans="1:24">
      <c r="A14100">
        <f>HYPERLINK("https://www.philgeps.gov.ph/GEPSNONPILOT/Tender/SplashBidNoticeAbstractUI.aspx?menuIndex=3&amp;refID=7029761&amp;Result=3","7029761")</f>
        <v>0</v>
      </c>
      <c r="B14100" t="s">
        <v>730</v>
      </c>
      <c r="C14100" t="s">
        <v>16918</v>
      </c>
      <c r="E14100" t="s">
        <v>29584</v>
      </c>
      <c r="F14100" t="s">
        <v>30052</v>
      </c>
      <c r="G14100" t="s">
        <v>30058</v>
      </c>
      <c r="H14100" t="s">
        <v>15498</v>
      </c>
      <c r="I14100" t="s">
        <v>9238</v>
      </c>
      <c r="J14100" t="s">
        <v>38099</v>
      </c>
      <c r="K14100" t="s">
        <v>39046</v>
      </c>
      <c r="M14100" t="s">
        <v>42816</v>
      </c>
      <c r="N14100" t="s">
        <v>43166</v>
      </c>
      <c r="O14100" t="s">
        <v>43167</v>
      </c>
      <c r="Q14100">
        <v>34</v>
      </c>
      <c r="R14100" t="s">
        <v>43197</v>
      </c>
      <c r="S14100" t="s">
        <v>44359</v>
      </c>
      <c r="T14100" t="s">
        <v>44693</v>
      </c>
      <c r="U14100" t="s">
        <v>56414</v>
      </c>
      <c r="W14100" t="s">
        <v>42816</v>
      </c>
      <c r="X14100" t="s">
        <v>43198</v>
      </c>
    </row>
    <row r="14101" spans="1:24">
      <c r="A14101">
        <f>HYPERLINK("https://www.philgeps.gov.ph/GEPSNONPILOT/Tender/SplashBidNoticeAbstractUI.aspx?menuIndex=3&amp;refID=7021128&amp;Result=3","7021128")</f>
        <v>0</v>
      </c>
      <c r="B14101" t="s">
        <v>501</v>
      </c>
      <c r="C14101" t="s">
        <v>16919</v>
      </c>
      <c r="E14101" t="s">
        <v>29585</v>
      </c>
      <c r="F14101" t="s">
        <v>30052</v>
      </c>
      <c r="G14101" t="s">
        <v>30058</v>
      </c>
      <c r="H14101" t="s">
        <v>15498</v>
      </c>
      <c r="I14101" t="s">
        <v>30084</v>
      </c>
      <c r="J14101" t="s">
        <v>38727</v>
      </c>
      <c r="K14101" t="s">
        <v>39025</v>
      </c>
      <c r="M14101" t="s">
        <v>39802</v>
      </c>
      <c r="N14101" t="s">
        <v>43166</v>
      </c>
      <c r="O14101" t="s">
        <v>43167</v>
      </c>
      <c r="Q14101">
        <v>22</v>
      </c>
      <c r="R14101" t="s">
        <v>43202</v>
      </c>
      <c r="S14101" t="s">
        <v>44360</v>
      </c>
      <c r="T14101" t="s">
        <v>44830</v>
      </c>
      <c r="U14101" t="s">
        <v>56415</v>
      </c>
      <c r="V14101" t="s">
        <v>58511</v>
      </c>
      <c r="W14101" t="s">
        <v>58718</v>
      </c>
      <c r="X14101" t="s">
        <v>43201</v>
      </c>
    </row>
    <row r="14102" spans="1:24">
      <c r="A14102">
        <f>HYPERLINK("https://www.philgeps.gov.ph/GEPSNONPILOT/Tender/SplashBidNoticeAbstractUI.aspx?menuIndex=3&amp;refID=7025126&amp;Result=3","7025126")</f>
        <v>0</v>
      </c>
      <c r="B14102" t="s">
        <v>937</v>
      </c>
      <c r="C14102" t="s">
        <v>16920</v>
      </c>
      <c r="D14102" t="s">
        <v>17428</v>
      </c>
      <c r="E14102" t="s">
        <v>29586</v>
      </c>
      <c r="F14102" t="s">
        <v>30052</v>
      </c>
      <c r="G14102" t="s">
        <v>30058</v>
      </c>
      <c r="H14102" t="s">
        <v>30067</v>
      </c>
      <c r="I14102" t="s">
        <v>3693</v>
      </c>
      <c r="J14102" t="s">
        <v>34659</v>
      </c>
      <c r="K14102" t="s">
        <v>39187</v>
      </c>
      <c r="M14102" t="s">
        <v>40261</v>
      </c>
      <c r="N14102" t="s">
        <v>43166</v>
      </c>
      <c r="O14102" t="s">
        <v>43167</v>
      </c>
      <c r="Q14102">
        <v>0</v>
      </c>
      <c r="R14102" t="s">
        <v>43198</v>
      </c>
      <c r="S14102" t="s">
        <v>44361</v>
      </c>
      <c r="T14102" t="s">
        <v>44856</v>
      </c>
      <c r="U14102" t="s">
        <v>56416</v>
      </c>
      <c r="W14102" t="s">
        <v>40261</v>
      </c>
      <c r="X14102" t="s">
        <v>43199</v>
      </c>
    </row>
    <row r="14103" spans="1:24">
      <c r="A14103">
        <f>HYPERLINK("https://www.philgeps.gov.ph/GEPSNONPILOT/Tender/SplashBidNoticeAbstractUI.aspx?menuIndex=3&amp;refID=7020928&amp;Result=3","7020928")</f>
        <v>0</v>
      </c>
      <c r="B14103" t="s">
        <v>501</v>
      </c>
      <c r="C14103" t="s">
        <v>16921</v>
      </c>
      <c r="E14103" t="s">
        <v>29587</v>
      </c>
      <c r="F14103" t="s">
        <v>30052</v>
      </c>
      <c r="G14103" t="s">
        <v>30058</v>
      </c>
      <c r="H14103" t="s">
        <v>15498</v>
      </c>
      <c r="I14103" t="s">
        <v>30200</v>
      </c>
      <c r="J14103" t="s">
        <v>34234</v>
      </c>
      <c r="K14103" t="s">
        <v>39025</v>
      </c>
      <c r="M14103" t="s">
        <v>39802</v>
      </c>
      <c r="N14103" t="s">
        <v>43166</v>
      </c>
      <c r="O14103" t="s">
        <v>43167</v>
      </c>
      <c r="Q14103">
        <v>5</v>
      </c>
      <c r="R14103" t="s">
        <v>43202</v>
      </c>
      <c r="S14103" t="s">
        <v>44362</v>
      </c>
      <c r="T14103" t="s">
        <v>44830</v>
      </c>
      <c r="U14103" t="s">
        <v>56417</v>
      </c>
      <c r="V14103" t="s">
        <v>58511</v>
      </c>
      <c r="W14103" t="s">
        <v>58718</v>
      </c>
      <c r="X14103" t="s">
        <v>43201</v>
      </c>
    </row>
    <row r="14104" spans="1:24">
      <c r="A14104">
        <f>HYPERLINK("https://www.philgeps.gov.ph/GEPSNONPILOT/Tender/SplashBidNoticeAbstractUI.aspx?menuIndex=3&amp;refID=7020712&amp;Result=3","7020712")</f>
        <v>0</v>
      </c>
      <c r="B14104" t="s">
        <v>30</v>
      </c>
      <c r="C14104" t="s">
        <v>16922</v>
      </c>
      <c r="E14104" t="s">
        <v>29588</v>
      </c>
      <c r="F14104" t="s">
        <v>30052</v>
      </c>
      <c r="G14104" t="s">
        <v>30058</v>
      </c>
      <c r="H14104" t="s">
        <v>30067</v>
      </c>
      <c r="I14104" t="s">
        <v>3693</v>
      </c>
      <c r="J14104" t="s">
        <v>38728</v>
      </c>
      <c r="K14104" t="s">
        <v>39300</v>
      </c>
      <c r="M14104" t="s">
        <v>43099</v>
      </c>
      <c r="N14104" t="s">
        <v>43166</v>
      </c>
      <c r="O14104" t="s">
        <v>43167</v>
      </c>
      <c r="Q14104">
        <v>16</v>
      </c>
      <c r="R14104" t="s">
        <v>43202</v>
      </c>
      <c r="S14104" t="s">
        <v>44363</v>
      </c>
      <c r="T14104" t="s">
        <v>45041</v>
      </c>
      <c r="U14104" t="s">
        <v>56418</v>
      </c>
      <c r="V14104" t="s">
        <v>57184</v>
      </c>
      <c r="W14104" t="s">
        <v>43099</v>
      </c>
      <c r="X14104" t="s">
        <v>43201</v>
      </c>
    </row>
    <row r="14105" spans="1:24">
      <c r="A14105">
        <f>HYPERLINK("https://www.philgeps.gov.ph/GEPSNONPILOT/Tender/SplashBidNoticeAbstractUI.aspx?menuIndex=3&amp;refID=7019957&amp;Result=3","7019957")</f>
        <v>0</v>
      </c>
      <c r="B14105" t="s">
        <v>1704</v>
      </c>
      <c r="C14105" t="s">
        <v>16923</v>
      </c>
      <c r="D14105" t="s">
        <v>17476</v>
      </c>
      <c r="E14105" t="s">
        <v>29589</v>
      </c>
      <c r="F14105" t="s">
        <v>30052</v>
      </c>
      <c r="G14105" t="s">
        <v>30058</v>
      </c>
      <c r="H14105" t="s">
        <v>30067</v>
      </c>
      <c r="I14105" t="s">
        <v>3693</v>
      </c>
      <c r="J14105" t="s">
        <v>34923</v>
      </c>
      <c r="K14105" t="s">
        <v>39057</v>
      </c>
      <c r="M14105" t="s">
        <v>41116</v>
      </c>
      <c r="N14105" t="s">
        <v>43166</v>
      </c>
      <c r="O14105" t="s">
        <v>43167</v>
      </c>
      <c r="Q14105">
        <v>0</v>
      </c>
      <c r="R14105" t="s">
        <v>43202</v>
      </c>
      <c r="S14105" t="s">
        <v>44364</v>
      </c>
      <c r="T14105" t="s">
        <v>44710</v>
      </c>
      <c r="U14105" t="s">
        <v>49153</v>
      </c>
      <c r="W14105" t="s">
        <v>41116</v>
      </c>
      <c r="X14105" t="s">
        <v>43201</v>
      </c>
    </row>
    <row r="14106" spans="1:24">
      <c r="A14106">
        <f>HYPERLINK("https://www.philgeps.gov.ph/GEPSNONPILOT/Tender/SplashBidNoticeAbstractUI.aspx?menuIndex=3&amp;refID=7020355&amp;Result=3","7020355")</f>
        <v>0</v>
      </c>
      <c r="B14106" t="s">
        <v>1477</v>
      </c>
      <c r="C14106" t="s">
        <v>16924</v>
      </c>
      <c r="D14106" t="s">
        <v>17419</v>
      </c>
      <c r="E14106" t="s">
        <v>16924</v>
      </c>
      <c r="F14106" t="s">
        <v>30052</v>
      </c>
      <c r="G14106" t="s">
        <v>30058</v>
      </c>
      <c r="H14106" t="s">
        <v>15498</v>
      </c>
      <c r="I14106" t="s">
        <v>30127</v>
      </c>
      <c r="J14106" t="s">
        <v>38729</v>
      </c>
      <c r="K14106" t="s">
        <v>39031</v>
      </c>
      <c r="M14106" t="s">
        <v>40860</v>
      </c>
      <c r="N14106" t="s">
        <v>43166</v>
      </c>
      <c r="O14106" t="s">
        <v>43167</v>
      </c>
      <c r="Q14106">
        <v>13</v>
      </c>
      <c r="R14106" t="s">
        <v>43202</v>
      </c>
      <c r="S14106" t="s">
        <v>44365</v>
      </c>
      <c r="T14106" t="s">
        <v>44856</v>
      </c>
      <c r="U14106" t="s">
        <v>56419</v>
      </c>
      <c r="W14106" t="s">
        <v>40860</v>
      </c>
      <c r="X14106" t="s">
        <v>43201</v>
      </c>
    </row>
    <row r="14107" spans="1:24">
      <c r="A14107">
        <f>HYPERLINK("https://www.philgeps.gov.ph/GEPSNONPILOT/Tender/SplashBidNoticeAbstractUI.aspx?menuIndex=3&amp;refID=7019924&amp;Result=3","7019924")</f>
        <v>0</v>
      </c>
      <c r="B14107" t="s">
        <v>1704</v>
      </c>
      <c r="C14107" t="s">
        <v>16925</v>
      </c>
      <c r="D14107" t="s">
        <v>17476</v>
      </c>
      <c r="E14107" t="s">
        <v>29590</v>
      </c>
      <c r="F14107" t="s">
        <v>30052</v>
      </c>
      <c r="G14107" t="s">
        <v>30058</v>
      </c>
      <c r="H14107" t="s">
        <v>30067</v>
      </c>
      <c r="I14107" t="s">
        <v>3693</v>
      </c>
      <c r="J14107" t="s">
        <v>30823</v>
      </c>
      <c r="K14107" t="s">
        <v>39301</v>
      </c>
      <c r="M14107" t="s">
        <v>41116</v>
      </c>
      <c r="N14107" t="s">
        <v>43166</v>
      </c>
      <c r="O14107" t="s">
        <v>43167</v>
      </c>
      <c r="Q14107">
        <v>0</v>
      </c>
      <c r="R14107" t="s">
        <v>43202</v>
      </c>
      <c r="S14107" t="s">
        <v>43444</v>
      </c>
      <c r="T14107" t="s">
        <v>44710</v>
      </c>
      <c r="U14107" t="s">
        <v>49153</v>
      </c>
      <c r="W14107" t="s">
        <v>41116</v>
      </c>
      <c r="X14107" t="s">
        <v>43201</v>
      </c>
    </row>
    <row r="14108" spans="1:24">
      <c r="A14108">
        <f>HYPERLINK("https://www.philgeps.gov.ph/GEPSNONPILOT/Tender/SplashBidNoticeAbstractUI.aspx?menuIndex=3&amp;refID=7019935&amp;Result=3","7019935")</f>
        <v>0</v>
      </c>
      <c r="B14108" t="s">
        <v>1704</v>
      </c>
      <c r="C14108" t="s">
        <v>16926</v>
      </c>
      <c r="D14108" t="s">
        <v>17476</v>
      </c>
      <c r="E14108" t="s">
        <v>29591</v>
      </c>
      <c r="F14108" t="s">
        <v>30052</v>
      </c>
      <c r="G14108" t="s">
        <v>30058</v>
      </c>
      <c r="H14108" t="s">
        <v>30067</v>
      </c>
      <c r="I14108" t="s">
        <v>3693</v>
      </c>
      <c r="J14108" t="s">
        <v>31160</v>
      </c>
      <c r="K14108" t="s">
        <v>39157</v>
      </c>
      <c r="M14108" t="s">
        <v>41116</v>
      </c>
      <c r="N14108" t="s">
        <v>43166</v>
      </c>
      <c r="O14108" t="s">
        <v>43167</v>
      </c>
      <c r="Q14108">
        <v>0</v>
      </c>
      <c r="R14108" t="s">
        <v>43202</v>
      </c>
      <c r="S14108" t="s">
        <v>43443</v>
      </c>
      <c r="T14108" t="s">
        <v>44710</v>
      </c>
      <c r="U14108" t="s">
        <v>49153</v>
      </c>
      <c r="W14108" t="s">
        <v>41116</v>
      </c>
      <c r="X14108" t="s">
        <v>43201</v>
      </c>
    </row>
    <row r="14109" spans="1:24">
      <c r="A14109">
        <f>HYPERLINK("https://www.philgeps.gov.ph/GEPSNONPILOT/Tender/SplashBidNoticeAbstractUI.aspx?menuIndex=3&amp;refID=7014150&amp;Result=3","7014150")</f>
        <v>0</v>
      </c>
      <c r="B14109" t="s">
        <v>30</v>
      </c>
      <c r="C14109" t="s">
        <v>16927</v>
      </c>
      <c r="E14109" t="s">
        <v>29592</v>
      </c>
      <c r="F14109" t="s">
        <v>30052</v>
      </c>
      <c r="G14109" t="s">
        <v>30058</v>
      </c>
      <c r="H14109" t="s">
        <v>30067</v>
      </c>
      <c r="I14109" t="s">
        <v>3693</v>
      </c>
      <c r="J14109" t="s">
        <v>38730</v>
      </c>
      <c r="K14109" t="s">
        <v>39140</v>
      </c>
      <c r="M14109" t="s">
        <v>43099</v>
      </c>
      <c r="N14109" t="s">
        <v>43166</v>
      </c>
      <c r="O14109" t="s">
        <v>43167</v>
      </c>
      <c r="Q14109">
        <v>29</v>
      </c>
      <c r="R14109" t="s">
        <v>43203</v>
      </c>
      <c r="S14109" t="s">
        <v>44366</v>
      </c>
      <c r="T14109" t="s">
        <v>44717</v>
      </c>
      <c r="U14109" t="s">
        <v>56420</v>
      </c>
      <c r="V14109" t="s">
        <v>57184</v>
      </c>
      <c r="W14109" t="s">
        <v>43099</v>
      </c>
      <c r="X14109" t="s">
        <v>43207</v>
      </c>
    </row>
    <row r="14110" spans="1:24">
      <c r="A14110">
        <f>HYPERLINK("https://www.philgeps.gov.ph/GEPSNONPILOT/Tender/SplashBidNoticeAbstractUI.aspx?menuIndex=3&amp;refID=7006131&amp;Result=3","7006131")</f>
        <v>0</v>
      </c>
      <c r="B14110" t="s">
        <v>30</v>
      </c>
      <c r="C14110" t="s">
        <v>16928</v>
      </c>
      <c r="E14110" t="s">
        <v>29593</v>
      </c>
      <c r="F14110" t="s">
        <v>30055</v>
      </c>
      <c r="G14110" t="s">
        <v>30066</v>
      </c>
      <c r="H14110" t="s">
        <v>30067</v>
      </c>
      <c r="I14110" t="s">
        <v>3693</v>
      </c>
      <c r="J14110" t="s">
        <v>32397</v>
      </c>
      <c r="K14110" t="s">
        <v>39302</v>
      </c>
      <c r="M14110" t="s">
        <v>43099</v>
      </c>
      <c r="N14110" t="s">
        <v>43166</v>
      </c>
      <c r="O14110" t="s">
        <v>43167</v>
      </c>
      <c r="Q14110">
        <v>25</v>
      </c>
      <c r="R14110" t="s">
        <v>43204</v>
      </c>
      <c r="S14110" t="s">
        <v>44367</v>
      </c>
      <c r="T14110" t="s">
        <v>44717</v>
      </c>
      <c r="U14110" t="s">
        <v>56421</v>
      </c>
      <c r="V14110" t="s">
        <v>55439</v>
      </c>
      <c r="W14110" t="s">
        <v>43099</v>
      </c>
      <c r="X14110" t="s">
        <v>43273</v>
      </c>
    </row>
    <row r="14111" spans="1:24">
      <c r="A14111">
        <f>HYPERLINK("https://www.philgeps.gov.ph/GEPSNONPILOT/Tender/SplashBidNoticeAbstractUI.aspx?menuIndex=3&amp;refID=7004356&amp;Result=3","7004356")</f>
        <v>0</v>
      </c>
      <c r="B14111" t="s">
        <v>684</v>
      </c>
      <c r="C14111" t="s">
        <v>16929</v>
      </c>
      <c r="D14111" t="s">
        <v>17473</v>
      </c>
      <c r="E14111" t="s">
        <v>29594</v>
      </c>
      <c r="F14111" t="s">
        <v>30052</v>
      </c>
      <c r="G14111" t="s">
        <v>30062</v>
      </c>
      <c r="H14111" t="s">
        <v>15498</v>
      </c>
      <c r="I14111" t="s">
        <v>30096</v>
      </c>
      <c r="J14111" t="s">
        <v>30402</v>
      </c>
      <c r="K14111" t="s">
        <v>39029</v>
      </c>
      <c r="M14111" t="s">
        <v>39990</v>
      </c>
      <c r="N14111" t="s">
        <v>43166</v>
      </c>
      <c r="O14111" t="s">
        <v>43167</v>
      </c>
      <c r="Q14111">
        <v>9</v>
      </c>
      <c r="R14111" t="s">
        <v>43204</v>
      </c>
      <c r="S14111" t="s">
        <v>44368</v>
      </c>
      <c r="T14111" t="s">
        <v>44773</v>
      </c>
      <c r="U14111" t="s">
        <v>56422</v>
      </c>
      <c r="W14111" t="s">
        <v>39990</v>
      </c>
      <c r="X14111" t="s">
        <v>43212</v>
      </c>
    </row>
    <row r="14112" spans="1:24">
      <c r="A14112">
        <f>HYPERLINK("https://www.philgeps.gov.ph/GEPSNONPILOT/Tender/SplashBidNoticeAbstractUI.aspx?menuIndex=3&amp;refID=7009228&amp;Result=3","7009228")</f>
        <v>0</v>
      </c>
      <c r="B14112" t="s">
        <v>1202</v>
      </c>
      <c r="C14112" t="s">
        <v>16930</v>
      </c>
      <c r="E14112" t="s">
        <v>29595</v>
      </c>
      <c r="F14112" t="s">
        <v>30052</v>
      </c>
      <c r="G14112" t="s">
        <v>30058</v>
      </c>
      <c r="H14112" t="s">
        <v>30068</v>
      </c>
      <c r="I14112" t="s">
        <v>30068</v>
      </c>
      <c r="J14112" t="s">
        <v>32690</v>
      </c>
      <c r="K14112" t="s">
        <v>39025</v>
      </c>
      <c r="M14112" t="s">
        <v>42700</v>
      </c>
      <c r="N14112" t="s">
        <v>43166</v>
      </c>
      <c r="O14112" t="s">
        <v>43167</v>
      </c>
      <c r="Q14112">
        <v>10</v>
      </c>
      <c r="R14112" t="s">
        <v>43205</v>
      </c>
      <c r="S14112" t="s">
        <v>44369</v>
      </c>
      <c r="T14112" t="s">
        <v>45196</v>
      </c>
      <c r="U14112" t="s">
        <v>56423</v>
      </c>
      <c r="W14112" t="s">
        <v>58719</v>
      </c>
      <c r="X14112" t="s">
        <v>58739</v>
      </c>
    </row>
    <row r="14113" spans="1:24">
      <c r="A14113">
        <f>HYPERLINK("https://www.philgeps.gov.ph/GEPSNONPILOT/Tender/SplashBidNoticeAbstractUI.aspx?menuIndex=3&amp;refID=7009512&amp;Result=3","7009512")</f>
        <v>0</v>
      </c>
      <c r="B14113" t="s">
        <v>976</v>
      </c>
      <c r="C14113" t="s">
        <v>16931</v>
      </c>
      <c r="D14113" t="s">
        <v>17482</v>
      </c>
      <c r="E14113" t="s">
        <v>29596</v>
      </c>
      <c r="F14113" t="s">
        <v>30052</v>
      </c>
      <c r="G14113" t="s">
        <v>30058</v>
      </c>
      <c r="H14113" t="s">
        <v>30068</v>
      </c>
      <c r="I14113" t="s">
        <v>30068</v>
      </c>
      <c r="J14113" t="s">
        <v>38731</v>
      </c>
      <c r="K14113" t="s">
        <v>39140</v>
      </c>
      <c r="M14113" t="s">
        <v>40303</v>
      </c>
      <c r="N14113" t="s">
        <v>43166</v>
      </c>
      <c r="O14113" t="s">
        <v>43167</v>
      </c>
      <c r="Q14113">
        <v>15</v>
      </c>
      <c r="R14113" t="s">
        <v>43206</v>
      </c>
      <c r="S14113" t="s">
        <v>44370</v>
      </c>
      <c r="T14113" t="s">
        <v>44798</v>
      </c>
      <c r="U14113" t="s">
        <v>56424</v>
      </c>
      <c r="W14113" t="s">
        <v>40303</v>
      </c>
      <c r="X14113" t="s">
        <v>43205</v>
      </c>
    </row>
    <row r="14114" spans="1:24">
      <c r="A14114">
        <f>HYPERLINK("https://www.philgeps.gov.ph/GEPSNONPILOT/Tender/SplashBidNoticeAbstractUI.aspx?menuIndex=3&amp;refID=7014192&amp;Result=3","7014192")</f>
        <v>0</v>
      </c>
      <c r="B14114" t="s">
        <v>30</v>
      </c>
      <c r="C14114" t="s">
        <v>16932</v>
      </c>
      <c r="E14114" t="s">
        <v>29597</v>
      </c>
      <c r="F14114" t="s">
        <v>30052</v>
      </c>
      <c r="G14114" t="s">
        <v>30058</v>
      </c>
      <c r="H14114" t="s">
        <v>30067</v>
      </c>
      <c r="I14114" t="s">
        <v>3693</v>
      </c>
      <c r="J14114" t="s">
        <v>38732</v>
      </c>
      <c r="K14114" t="s">
        <v>39140</v>
      </c>
      <c r="M14114" t="s">
        <v>43099</v>
      </c>
      <c r="N14114" t="s">
        <v>43166</v>
      </c>
      <c r="O14114" t="s">
        <v>43167</v>
      </c>
      <c r="Q14114">
        <v>28</v>
      </c>
      <c r="R14114" t="s">
        <v>43203</v>
      </c>
      <c r="S14114" t="s">
        <v>44371</v>
      </c>
      <c r="T14114" t="s">
        <v>44717</v>
      </c>
      <c r="U14114" t="s">
        <v>56420</v>
      </c>
      <c r="V14114" t="s">
        <v>57184</v>
      </c>
      <c r="W14114" t="s">
        <v>43099</v>
      </c>
      <c r="X14114" t="s">
        <v>43207</v>
      </c>
    </row>
    <row r="14115" spans="1:24">
      <c r="A14115">
        <f>HYPERLINK("https://www.philgeps.gov.ph/GEPSNONPILOT/Tender/SplashBidNoticeAbstractUI.aspx?menuIndex=3&amp;refID=7011320&amp;Result=3","7011320")</f>
        <v>0</v>
      </c>
      <c r="B14115" t="s">
        <v>3422</v>
      </c>
      <c r="C14115" t="s">
        <v>16933</v>
      </c>
      <c r="D14115" t="s">
        <v>17474</v>
      </c>
      <c r="E14115" t="s">
        <v>29598</v>
      </c>
      <c r="F14115" t="s">
        <v>30055</v>
      </c>
      <c r="G14115" t="s">
        <v>30058</v>
      </c>
      <c r="H14115" t="s">
        <v>30067</v>
      </c>
      <c r="I14115" t="s">
        <v>3693</v>
      </c>
      <c r="J14115" t="s">
        <v>31207</v>
      </c>
      <c r="K14115" t="s">
        <v>39210</v>
      </c>
      <c r="M14115" t="s">
        <v>43100</v>
      </c>
      <c r="N14115" t="s">
        <v>43166</v>
      </c>
      <c r="O14115" t="s">
        <v>43167</v>
      </c>
      <c r="P14115">
        <v>0</v>
      </c>
      <c r="Q14115">
        <v>5</v>
      </c>
      <c r="R14115" t="s">
        <v>43207</v>
      </c>
      <c r="S14115" t="s">
        <v>44372</v>
      </c>
      <c r="T14115" t="s">
        <v>44690</v>
      </c>
      <c r="U14115" t="s">
        <v>56425</v>
      </c>
      <c r="V14115" t="s">
        <v>58512</v>
      </c>
      <c r="W14115" t="s">
        <v>43100</v>
      </c>
      <c r="X14115" t="s">
        <v>43206</v>
      </c>
    </row>
    <row r="14116" spans="1:24">
      <c r="A14116">
        <f>HYPERLINK("https://www.philgeps.gov.ph/GEPSNONPILOT/Tender/SplashBidNoticeAbstractUI.aspx?menuIndex=3&amp;refID=7014264&amp;Result=3","7014264")</f>
        <v>0</v>
      </c>
      <c r="B14116" t="s">
        <v>30</v>
      </c>
      <c r="C14116" t="s">
        <v>16934</v>
      </c>
      <c r="E14116" t="s">
        <v>29599</v>
      </c>
      <c r="F14116" t="s">
        <v>30052</v>
      </c>
      <c r="G14116" t="s">
        <v>30058</v>
      </c>
      <c r="H14116" t="s">
        <v>30067</v>
      </c>
      <c r="I14116" t="s">
        <v>3693</v>
      </c>
      <c r="J14116" t="s">
        <v>38733</v>
      </c>
      <c r="K14116" t="s">
        <v>39145</v>
      </c>
      <c r="M14116" t="s">
        <v>43099</v>
      </c>
      <c r="N14116" t="s">
        <v>43166</v>
      </c>
      <c r="O14116" t="s">
        <v>43167</v>
      </c>
      <c r="Q14116">
        <v>25</v>
      </c>
      <c r="R14116" t="s">
        <v>43203</v>
      </c>
      <c r="S14116" t="s">
        <v>44373</v>
      </c>
      <c r="T14116" t="s">
        <v>44717</v>
      </c>
      <c r="U14116" t="s">
        <v>56426</v>
      </c>
      <c r="V14116" t="s">
        <v>55439</v>
      </c>
      <c r="W14116" t="s">
        <v>43099</v>
      </c>
      <c r="X14116" t="s">
        <v>43207</v>
      </c>
    </row>
    <row r="14117" spans="1:24">
      <c r="A14117">
        <f>HYPERLINK("https://www.philgeps.gov.ph/GEPSNONPILOT/Tender/SplashBidNoticeAbstractUI.aspx?menuIndex=3&amp;refID=7014275&amp;Result=3","7014275")</f>
        <v>0</v>
      </c>
      <c r="B14117" t="s">
        <v>30</v>
      </c>
      <c r="C14117" t="s">
        <v>16935</v>
      </c>
      <c r="E14117" t="s">
        <v>29600</v>
      </c>
      <c r="F14117" t="s">
        <v>30052</v>
      </c>
      <c r="G14117" t="s">
        <v>30058</v>
      </c>
      <c r="H14117" t="s">
        <v>30067</v>
      </c>
      <c r="I14117" t="s">
        <v>3693</v>
      </c>
      <c r="J14117" t="s">
        <v>38734</v>
      </c>
      <c r="K14117" t="s">
        <v>39164</v>
      </c>
      <c r="M14117" t="s">
        <v>43099</v>
      </c>
      <c r="N14117" t="s">
        <v>43166</v>
      </c>
      <c r="O14117" t="s">
        <v>43167</v>
      </c>
      <c r="Q14117">
        <v>29</v>
      </c>
      <c r="R14117" t="s">
        <v>43203</v>
      </c>
      <c r="S14117" t="s">
        <v>44374</v>
      </c>
      <c r="T14117" t="s">
        <v>44717</v>
      </c>
      <c r="U14117" t="s">
        <v>56427</v>
      </c>
      <c r="V14117" t="s">
        <v>55439</v>
      </c>
      <c r="W14117" t="s">
        <v>43099</v>
      </c>
      <c r="X14117" t="s">
        <v>43207</v>
      </c>
    </row>
    <row r="14118" spans="1:24">
      <c r="A14118">
        <f>HYPERLINK("https://www.philgeps.gov.ph/GEPSNONPILOT/Tender/SplashBidNoticeAbstractUI.aspx?menuIndex=3&amp;refID=7013780&amp;Result=3","7013780")</f>
        <v>0</v>
      </c>
      <c r="B14118" t="s">
        <v>1527</v>
      </c>
      <c r="C14118" t="s">
        <v>16936</v>
      </c>
      <c r="E14118" t="s">
        <v>29601</v>
      </c>
      <c r="F14118" t="s">
        <v>30052</v>
      </c>
      <c r="G14118" t="s">
        <v>30058</v>
      </c>
      <c r="H14118" t="s">
        <v>30067</v>
      </c>
      <c r="I14118" t="s">
        <v>3693</v>
      </c>
      <c r="J14118" t="s">
        <v>38735</v>
      </c>
      <c r="K14118" t="s">
        <v>39025</v>
      </c>
      <c r="M14118" t="s">
        <v>40913</v>
      </c>
      <c r="N14118" t="s">
        <v>43166</v>
      </c>
      <c r="O14118" t="s">
        <v>43167</v>
      </c>
      <c r="Q14118">
        <v>4</v>
      </c>
      <c r="R14118" t="s">
        <v>43203</v>
      </c>
      <c r="S14118" t="s">
        <v>44375</v>
      </c>
      <c r="T14118" t="s">
        <v>44901</v>
      </c>
      <c r="U14118" t="s">
        <v>56428</v>
      </c>
      <c r="W14118" t="s">
        <v>58643</v>
      </c>
      <c r="X14118" t="s">
        <v>43207</v>
      </c>
    </row>
    <row r="14119" spans="1:24">
      <c r="A14119">
        <f>HYPERLINK("https://www.philgeps.gov.ph/GEPSNONPILOT/Tender/SplashBidNoticeAbstractUI.aspx?menuIndex=3&amp;refID=7016206&amp;Result=3","7016206")</f>
        <v>0</v>
      </c>
      <c r="B14119" t="s">
        <v>1471</v>
      </c>
      <c r="C14119" t="s">
        <v>16937</v>
      </c>
      <c r="D14119" t="s">
        <v>17445</v>
      </c>
      <c r="E14119" t="s">
        <v>29602</v>
      </c>
      <c r="F14119" t="s">
        <v>30052</v>
      </c>
      <c r="G14119" t="s">
        <v>30058</v>
      </c>
      <c r="H14119" t="s">
        <v>30067</v>
      </c>
      <c r="I14119" t="s">
        <v>3693</v>
      </c>
      <c r="J14119" t="s">
        <v>30823</v>
      </c>
      <c r="K14119" t="s">
        <v>39181</v>
      </c>
      <c r="M14119" t="s">
        <v>42751</v>
      </c>
      <c r="N14119" t="s">
        <v>43166</v>
      </c>
      <c r="O14119" t="s">
        <v>43167</v>
      </c>
      <c r="Q14119">
        <v>2</v>
      </c>
      <c r="R14119" t="s">
        <v>43208</v>
      </c>
      <c r="S14119" t="s">
        <v>44376</v>
      </c>
      <c r="T14119" t="s">
        <v>44681</v>
      </c>
      <c r="U14119" t="s">
        <v>56429</v>
      </c>
      <c r="W14119" t="s">
        <v>42751</v>
      </c>
      <c r="X14119" t="s">
        <v>43203</v>
      </c>
    </row>
    <row r="14120" spans="1:24">
      <c r="A14120">
        <f>HYPERLINK("https://www.philgeps.gov.ph/GEPSNONPILOT/Tender/SplashBidNoticeAbstractUI.aspx?menuIndex=3&amp;refID=7014145&amp;Result=3","7014145")</f>
        <v>0</v>
      </c>
      <c r="B14120" t="s">
        <v>3419</v>
      </c>
      <c r="C14120" t="s">
        <v>16938</v>
      </c>
      <c r="D14120" t="s">
        <v>17427</v>
      </c>
      <c r="E14120" t="s">
        <v>18191</v>
      </c>
      <c r="F14120" t="s">
        <v>30052</v>
      </c>
      <c r="G14120" t="s">
        <v>30058</v>
      </c>
      <c r="H14120" t="s">
        <v>15498</v>
      </c>
      <c r="I14120" t="s">
        <v>30125</v>
      </c>
      <c r="J14120" t="s">
        <v>30344</v>
      </c>
      <c r="K14120" t="s">
        <v>39029</v>
      </c>
      <c r="M14120" t="s">
        <v>43093</v>
      </c>
      <c r="N14120" t="s">
        <v>43166</v>
      </c>
      <c r="O14120" t="s">
        <v>43167</v>
      </c>
      <c r="P14120">
        <v>0</v>
      </c>
      <c r="Q14120">
        <v>4</v>
      </c>
      <c r="R14120" t="s">
        <v>43203</v>
      </c>
      <c r="S14120" t="s">
        <v>44377</v>
      </c>
      <c r="T14120" t="s">
        <v>44717</v>
      </c>
      <c r="U14120" t="s">
        <v>56430</v>
      </c>
      <c r="V14120" t="s">
        <v>56430</v>
      </c>
      <c r="W14120" t="s">
        <v>43093</v>
      </c>
      <c r="X14120" t="s">
        <v>43207</v>
      </c>
    </row>
    <row r="14121" spans="1:24">
      <c r="A14121">
        <f>HYPERLINK("https://www.philgeps.gov.ph/GEPSNONPILOT/Tender/SplashBidNoticeAbstractUI.aspx?menuIndex=3&amp;refID=7015699&amp;Result=3","7015699")</f>
        <v>0</v>
      </c>
      <c r="B14121" t="s">
        <v>1151</v>
      </c>
      <c r="C14121" t="s">
        <v>16939</v>
      </c>
      <c r="D14121" t="s">
        <v>17472</v>
      </c>
      <c r="E14121" t="s">
        <v>29603</v>
      </c>
      <c r="F14121" t="s">
        <v>30052</v>
      </c>
      <c r="G14121" t="s">
        <v>30061</v>
      </c>
      <c r="H14121" t="s">
        <v>15498</v>
      </c>
      <c r="I14121" t="s">
        <v>30132</v>
      </c>
      <c r="J14121" t="s">
        <v>31492</v>
      </c>
      <c r="K14121" t="s">
        <v>39029</v>
      </c>
      <c r="M14121" t="s">
        <v>40495</v>
      </c>
      <c r="N14121" t="s">
        <v>43166</v>
      </c>
      <c r="O14121" t="s">
        <v>43167</v>
      </c>
      <c r="Q14121">
        <v>6</v>
      </c>
      <c r="R14121" t="s">
        <v>43208</v>
      </c>
      <c r="S14121" t="s">
        <v>43949</v>
      </c>
      <c r="T14121" t="s">
        <v>44721</v>
      </c>
      <c r="U14121" t="s">
        <v>56431</v>
      </c>
      <c r="W14121" t="s">
        <v>40495</v>
      </c>
      <c r="X14121" t="s">
        <v>43203</v>
      </c>
    </row>
    <row r="14122" spans="1:24">
      <c r="A14122">
        <f>HYPERLINK("https://www.philgeps.gov.ph/GEPSNONPILOT/Tender/SplashBidNoticeAbstractUI.aspx?menuIndex=3&amp;refID=7015260&amp;Result=3","7015260")</f>
        <v>0</v>
      </c>
      <c r="B14122" t="s">
        <v>1360</v>
      </c>
      <c r="C14122" t="s">
        <v>16940</v>
      </c>
      <c r="D14122" t="s">
        <v>17468</v>
      </c>
      <c r="E14122" t="s">
        <v>29604</v>
      </c>
      <c r="F14122" t="s">
        <v>30052</v>
      </c>
      <c r="G14122" t="s">
        <v>30058</v>
      </c>
      <c r="H14122" t="s">
        <v>15498</v>
      </c>
      <c r="I14122" t="s">
        <v>30108</v>
      </c>
      <c r="J14122" t="s">
        <v>38736</v>
      </c>
      <c r="K14122" t="s">
        <v>39023</v>
      </c>
      <c r="M14122" t="s">
        <v>40729</v>
      </c>
      <c r="N14122" t="s">
        <v>43166</v>
      </c>
      <c r="O14122" t="s">
        <v>43167</v>
      </c>
      <c r="Q14122">
        <v>7</v>
      </c>
      <c r="R14122" t="s">
        <v>43208</v>
      </c>
      <c r="S14122" t="s">
        <v>44269</v>
      </c>
      <c r="T14122" t="s">
        <v>44710</v>
      </c>
      <c r="U14122" t="s">
        <v>56432</v>
      </c>
      <c r="W14122" t="s">
        <v>40729</v>
      </c>
      <c r="X14122" t="s">
        <v>43203</v>
      </c>
    </row>
    <row r="14123" spans="1:24">
      <c r="A14123">
        <f>HYPERLINK("https://www.philgeps.gov.ph/GEPSNONPILOT/Tender/SplashBidNoticeAbstractUI.aspx?menuIndex=3&amp;refID=7018218&amp;Result=3","7018218")</f>
        <v>0</v>
      </c>
      <c r="B14123" t="s">
        <v>1024</v>
      </c>
      <c r="C14123" t="s">
        <v>16941</v>
      </c>
      <c r="D14123" t="s">
        <v>17432</v>
      </c>
      <c r="E14123" t="s">
        <v>29605</v>
      </c>
      <c r="F14123" t="s">
        <v>30052</v>
      </c>
      <c r="G14123" t="s">
        <v>30058</v>
      </c>
      <c r="H14123" t="s">
        <v>30067</v>
      </c>
      <c r="I14123" t="s">
        <v>3693</v>
      </c>
      <c r="J14123" t="s">
        <v>38737</v>
      </c>
      <c r="K14123" t="s">
        <v>39022</v>
      </c>
      <c r="M14123" t="s">
        <v>40353</v>
      </c>
      <c r="N14123" t="s">
        <v>43166</v>
      </c>
      <c r="O14123" t="s">
        <v>43167</v>
      </c>
      <c r="Q14123">
        <v>7</v>
      </c>
      <c r="R14123" t="s">
        <v>43200</v>
      </c>
      <c r="S14123" t="s">
        <v>44028</v>
      </c>
      <c r="T14123" t="s">
        <v>45085</v>
      </c>
      <c r="U14123" t="s">
        <v>56433</v>
      </c>
      <c r="W14123" t="s">
        <v>40353</v>
      </c>
      <c r="X14123" t="s">
        <v>43208</v>
      </c>
    </row>
    <row r="14124" spans="1:24">
      <c r="A14124">
        <f>HYPERLINK("https://www.philgeps.gov.ph/GEPSNONPILOT/Tender/SplashBidNoticeAbstractUI.aspx?menuIndex=3&amp;refID=7021086&amp;Result=3","7021086")</f>
        <v>0</v>
      </c>
      <c r="B14124" t="s">
        <v>501</v>
      </c>
      <c r="C14124" t="s">
        <v>16942</v>
      </c>
      <c r="E14124" t="s">
        <v>29606</v>
      </c>
      <c r="F14124" t="s">
        <v>30052</v>
      </c>
      <c r="G14124" t="s">
        <v>30058</v>
      </c>
      <c r="H14124" t="s">
        <v>15498</v>
      </c>
      <c r="I14124" t="s">
        <v>30084</v>
      </c>
      <c r="J14124" t="s">
        <v>30555</v>
      </c>
      <c r="K14124" t="s">
        <v>39025</v>
      </c>
      <c r="M14124" t="s">
        <v>41517</v>
      </c>
      <c r="N14124" t="s">
        <v>43166</v>
      </c>
      <c r="O14124" t="s">
        <v>43167</v>
      </c>
      <c r="Q14124">
        <v>21</v>
      </c>
      <c r="R14124" t="s">
        <v>43202</v>
      </c>
      <c r="S14124" t="s">
        <v>44378</v>
      </c>
      <c r="T14124" t="s">
        <v>44830</v>
      </c>
      <c r="U14124" t="s">
        <v>56434</v>
      </c>
      <c r="V14124" t="s">
        <v>58513</v>
      </c>
      <c r="W14124" t="s">
        <v>58718</v>
      </c>
      <c r="X14124" t="s">
        <v>43201</v>
      </c>
    </row>
    <row r="14125" spans="1:24">
      <c r="A14125">
        <f>HYPERLINK("https://www.philgeps.gov.ph/GEPSNONPILOT/Tender/SplashBidNoticeAbstractUI.aspx?menuIndex=3&amp;refID=7016199&amp;Result=3","7016199")</f>
        <v>0</v>
      </c>
      <c r="B14125" t="s">
        <v>1471</v>
      </c>
      <c r="C14125" t="s">
        <v>16943</v>
      </c>
      <c r="D14125" t="s">
        <v>17445</v>
      </c>
      <c r="E14125" t="s">
        <v>29607</v>
      </c>
      <c r="F14125" t="s">
        <v>30052</v>
      </c>
      <c r="G14125" t="s">
        <v>30058</v>
      </c>
      <c r="H14125" t="s">
        <v>30067</v>
      </c>
      <c r="I14125" t="s">
        <v>3693</v>
      </c>
      <c r="J14125" t="s">
        <v>31160</v>
      </c>
      <c r="K14125" t="s">
        <v>39303</v>
      </c>
      <c r="M14125" t="s">
        <v>42751</v>
      </c>
      <c r="N14125" t="s">
        <v>43166</v>
      </c>
      <c r="O14125" t="s">
        <v>43167</v>
      </c>
      <c r="Q14125">
        <v>1</v>
      </c>
      <c r="R14125" t="s">
        <v>43208</v>
      </c>
      <c r="S14125" t="s">
        <v>44379</v>
      </c>
      <c r="T14125" t="s">
        <v>44681</v>
      </c>
      <c r="U14125" t="s">
        <v>56435</v>
      </c>
      <c r="W14125" t="s">
        <v>42751</v>
      </c>
      <c r="X14125" t="s">
        <v>43203</v>
      </c>
    </row>
    <row r="14126" spans="1:24">
      <c r="A14126">
        <f>HYPERLINK("https://www.philgeps.gov.ph/GEPSNONPILOT/Tender/SplashBidNoticeAbstractUI.aspx?menuIndex=3&amp;refID=7018207&amp;Result=3","7018207")</f>
        <v>0</v>
      </c>
      <c r="B14126" t="s">
        <v>1024</v>
      </c>
      <c r="C14126" t="s">
        <v>16944</v>
      </c>
      <c r="D14126" t="s">
        <v>17432</v>
      </c>
      <c r="E14126" t="s">
        <v>29608</v>
      </c>
      <c r="F14126" t="s">
        <v>30052</v>
      </c>
      <c r="G14126" t="s">
        <v>30058</v>
      </c>
      <c r="H14126" t="s">
        <v>30067</v>
      </c>
      <c r="I14126" t="s">
        <v>3693</v>
      </c>
      <c r="J14126" t="s">
        <v>30873</v>
      </c>
      <c r="K14126" t="s">
        <v>39031</v>
      </c>
      <c r="M14126" t="s">
        <v>40353</v>
      </c>
      <c r="N14126" t="s">
        <v>43166</v>
      </c>
      <c r="O14126" t="s">
        <v>43167</v>
      </c>
      <c r="Q14126">
        <v>4</v>
      </c>
      <c r="R14126" t="s">
        <v>43200</v>
      </c>
      <c r="S14126" t="s">
        <v>44380</v>
      </c>
      <c r="T14126" t="s">
        <v>45085</v>
      </c>
      <c r="U14126" t="s">
        <v>56436</v>
      </c>
      <c r="W14126" t="s">
        <v>40353</v>
      </c>
      <c r="X14126" t="s">
        <v>43208</v>
      </c>
    </row>
    <row r="14127" spans="1:24">
      <c r="A14127">
        <f>HYPERLINK("https://www.philgeps.gov.ph/GEPSNONPILOT/Tender/SplashBidNoticeAbstractUI.aspx?menuIndex=3&amp;refID=7000584&amp;Result=3","7000584")</f>
        <v>0</v>
      </c>
      <c r="B14127" t="s">
        <v>138</v>
      </c>
      <c r="C14127" t="s">
        <v>16945</v>
      </c>
      <c r="D14127" t="s">
        <v>17422</v>
      </c>
      <c r="E14127" t="s">
        <v>29609</v>
      </c>
      <c r="F14127" t="s">
        <v>30052</v>
      </c>
      <c r="G14127" t="s">
        <v>30059</v>
      </c>
      <c r="H14127" t="s">
        <v>15498</v>
      </c>
      <c r="I14127" t="s">
        <v>8323</v>
      </c>
      <c r="J14127" t="s">
        <v>30527</v>
      </c>
      <c r="K14127" t="s">
        <v>39019</v>
      </c>
      <c r="M14127" t="s">
        <v>39427</v>
      </c>
      <c r="N14127" t="s">
        <v>43166</v>
      </c>
      <c r="O14127" t="s">
        <v>43167</v>
      </c>
      <c r="Q14127">
        <v>5</v>
      </c>
      <c r="R14127" t="s">
        <v>43209</v>
      </c>
      <c r="S14127" t="s">
        <v>44381</v>
      </c>
      <c r="T14127" t="s">
        <v>44760</v>
      </c>
      <c r="U14127" t="s">
        <v>56437</v>
      </c>
      <c r="W14127" t="s">
        <v>39427</v>
      </c>
      <c r="X14127" t="s">
        <v>58724</v>
      </c>
    </row>
    <row r="14128" spans="1:24">
      <c r="A14128">
        <f>HYPERLINK("https://www.philgeps.gov.ph/GEPSNONPILOT/Tender/SplashBidNoticeAbstractUI.aspx?menuIndex=3&amp;refID=6994488&amp;Result=3","6994488")</f>
        <v>0</v>
      </c>
      <c r="B14128" t="s">
        <v>908</v>
      </c>
      <c r="C14128" t="s">
        <v>16946</v>
      </c>
      <c r="D14128" t="s">
        <v>17415</v>
      </c>
      <c r="E14128" t="s">
        <v>29610</v>
      </c>
      <c r="F14128" t="s">
        <v>30052</v>
      </c>
      <c r="G14128" t="s">
        <v>30058</v>
      </c>
      <c r="H14128" t="s">
        <v>15498</v>
      </c>
      <c r="I14128" t="s">
        <v>30125</v>
      </c>
      <c r="J14128" t="s">
        <v>38738</v>
      </c>
      <c r="K14128" t="s">
        <v>39125</v>
      </c>
      <c r="M14128" t="s">
        <v>41997</v>
      </c>
      <c r="N14128" t="s">
        <v>43166</v>
      </c>
      <c r="O14128" t="s">
        <v>43167</v>
      </c>
      <c r="Q14128">
        <v>25</v>
      </c>
      <c r="R14128" t="s">
        <v>43210</v>
      </c>
      <c r="S14128" t="s">
        <v>44382</v>
      </c>
      <c r="T14128" t="s">
        <v>44856</v>
      </c>
      <c r="U14128" t="s">
        <v>56438</v>
      </c>
      <c r="W14128" t="s">
        <v>41997</v>
      </c>
      <c r="X14128" t="s">
        <v>43272</v>
      </c>
    </row>
    <row r="14129" spans="1:24">
      <c r="A14129">
        <f>HYPERLINK("https://www.philgeps.gov.ph/GEPSNONPILOT/Tender/SplashBidNoticeAbstractUI.aspx?menuIndex=3&amp;refID=6997462&amp;Result=3","6997462")</f>
        <v>0</v>
      </c>
      <c r="B14129" t="s">
        <v>214</v>
      </c>
      <c r="C14129" t="s">
        <v>16947</v>
      </c>
      <c r="D14129" t="s">
        <v>17415</v>
      </c>
      <c r="E14129" t="s">
        <v>29611</v>
      </c>
      <c r="F14129" t="s">
        <v>30052</v>
      </c>
      <c r="G14129" t="s">
        <v>30058</v>
      </c>
      <c r="H14129" t="s">
        <v>30068</v>
      </c>
      <c r="I14129" t="s">
        <v>30068</v>
      </c>
      <c r="J14129" t="s">
        <v>38739</v>
      </c>
      <c r="K14129" t="s">
        <v>39025</v>
      </c>
      <c r="M14129" t="s">
        <v>39504</v>
      </c>
      <c r="N14129" t="s">
        <v>43166</v>
      </c>
      <c r="O14129" t="s">
        <v>43167</v>
      </c>
      <c r="Q14129">
        <v>47</v>
      </c>
      <c r="R14129" t="s">
        <v>43211</v>
      </c>
      <c r="S14129" t="s">
        <v>44190</v>
      </c>
      <c r="T14129" t="s">
        <v>45021</v>
      </c>
      <c r="U14129" t="s">
        <v>45550</v>
      </c>
      <c r="W14129" t="s">
        <v>39504</v>
      </c>
      <c r="X14129" t="s">
        <v>43210</v>
      </c>
    </row>
    <row r="14130" spans="1:24">
      <c r="A14130">
        <f>HYPERLINK("https://www.philgeps.gov.ph/GEPSNONPILOT/Tender/SplashBidNoticeAbstractUI.aspx?menuIndex=3&amp;refID=7018226&amp;Result=3","7018226")</f>
        <v>0</v>
      </c>
      <c r="B14130" t="s">
        <v>1024</v>
      </c>
      <c r="C14130" t="s">
        <v>16948</v>
      </c>
      <c r="D14130" t="s">
        <v>17432</v>
      </c>
      <c r="E14130" t="s">
        <v>29612</v>
      </c>
      <c r="F14130" t="s">
        <v>30052</v>
      </c>
      <c r="G14130" t="s">
        <v>30058</v>
      </c>
      <c r="H14130" t="s">
        <v>30067</v>
      </c>
      <c r="I14130" t="s">
        <v>3693</v>
      </c>
      <c r="J14130" t="s">
        <v>38740</v>
      </c>
      <c r="K14130" t="s">
        <v>39022</v>
      </c>
      <c r="M14130" t="s">
        <v>40353</v>
      </c>
      <c r="N14130" t="s">
        <v>43166</v>
      </c>
      <c r="O14130" t="s">
        <v>43167</v>
      </c>
      <c r="Q14130">
        <v>5</v>
      </c>
      <c r="R14130" t="s">
        <v>43200</v>
      </c>
      <c r="S14130" t="s">
        <v>44028</v>
      </c>
      <c r="T14130" t="s">
        <v>45085</v>
      </c>
      <c r="U14130" t="s">
        <v>56439</v>
      </c>
      <c r="W14130" t="s">
        <v>40353</v>
      </c>
      <c r="X14130" t="s">
        <v>43208</v>
      </c>
    </row>
    <row r="14131" spans="1:24">
      <c r="A14131">
        <f>HYPERLINK("https://www.philgeps.gov.ph/GEPSNONPILOT/Tender/SplashBidNoticeAbstractUI.aspx?menuIndex=3&amp;refID=6997033&amp;Result=3","6997033")</f>
        <v>0</v>
      </c>
      <c r="B14131" t="s">
        <v>919</v>
      </c>
      <c r="C14131" t="s">
        <v>16949</v>
      </c>
      <c r="E14131" t="s">
        <v>29613</v>
      </c>
      <c r="F14131" t="s">
        <v>30052</v>
      </c>
      <c r="G14131" t="s">
        <v>30058</v>
      </c>
      <c r="H14131" t="s">
        <v>30067</v>
      </c>
      <c r="I14131" t="s">
        <v>3693</v>
      </c>
      <c r="J14131" t="s">
        <v>38741</v>
      </c>
      <c r="K14131" t="s">
        <v>39025</v>
      </c>
      <c r="M14131" t="s">
        <v>43101</v>
      </c>
      <c r="N14131" t="s">
        <v>43166</v>
      </c>
      <c r="O14131" t="s">
        <v>43167</v>
      </c>
      <c r="Q14131">
        <v>1</v>
      </c>
      <c r="R14131" t="s">
        <v>43211</v>
      </c>
      <c r="S14131" t="s">
        <v>44383</v>
      </c>
      <c r="T14131" t="s">
        <v>44717</v>
      </c>
      <c r="U14131" t="s">
        <v>56440</v>
      </c>
      <c r="W14131" t="s">
        <v>43101</v>
      </c>
      <c r="X14131" t="s">
        <v>43210</v>
      </c>
    </row>
    <row r="14132" spans="1:24">
      <c r="A14132">
        <f>HYPERLINK("https://www.philgeps.gov.ph/GEPSNONPILOT/Tender/SplashBidNoticeAbstractUI.aspx?menuIndex=3&amp;refID=6996994&amp;Result=3","6996994")</f>
        <v>0</v>
      </c>
      <c r="B14132" t="s">
        <v>919</v>
      </c>
      <c r="C14132" t="s">
        <v>16950</v>
      </c>
      <c r="E14132" t="s">
        <v>29614</v>
      </c>
      <c r="F14132" t="s">
        <v>30052</v>
      </c>
      <c r="G14132" t="s">
        <v>30058</v>
      </c>
      <c r="H14132" t="s">
        <v>30067</v>
      </c>
      <c r="I14132" t="s">
        <v>3693</v>
      </c>
      <c r="J14132" t="s">
        <v>38742</v>
      </c>
      <c r="K14132" t="s">
        <v>39025</v>
      </c>
      <c r="M14132" t="s">
        <v>43101</v>
      </c>
      <c r="N14132" t="s">
        <v>43166</v>
      </c>
      <c r="O14132" t="s">
        <v>43167</v>
      </c>
      <c r="Q14132">
        <v>0</v>
      </c>
      <c r="R14132" t="s">
        <v>43211</v>
      </c>
      <c r="S14132" t="s">
        <v>44384</v>
      </c>
      <c r="T14132" t="s">
        <v>44717</v>
      </c>
      <c r="U14132" t="s">
        <v>56441</v>
      </c>
      <c r="W14132" t="s">
        <v>43101</v>
      </c>
      <c r="X14132" t="s">
        <v>43210</v>
      </c>
    </row>
    <row r="14133" spans="1:24">
      <c r="A14133">
        <f>HYPERLINK("https://www.philgeps.gov.ph/GEPSNONPILOT/Tender/SplashBidNoticeAbstractUI.aspx?menuIndex=3&amp;refID=6997022&amp;Result=3","6997022")</f>
        <v>0</v>
      </c>
      <c r="B14133" t="s">
        <v>919</v>
      </c>
      <c r="C14133" t="s">
        <v>16951</v>
      </c>
      <c r="E14133" t="s">
        <v>29615</v>
      </c>
      <c r="F14133" t="s">
        <v>30052</v>
      </c>
      <c r="G14133" t="s">
        <v>30058</v>
      </c>
      <c r="H14133" t="s">
        <v>30067</v>
      </c>
      <c r="I14133" t="s">
        <v>3693</v>
      </c>
      <c r="J14133" t="s">
        <v>38743</v>
      </c>
      <c r="K14133" t="s">
        <v>39025</v>
      </c>
      <c r="M14133" t="s">
        <v>43101</v>
      </c>
      <c r="N14133" t="s">
        <v>43166</v>
      </c>
      <c r="O14133" t="s">
        <v>43167</v>
      </c>
      <c r="Q14133">
        <v>1</v>
      </c>
      <c r="R14133" t="s">
        <v>43211</v>
      </c>
      <c r="S14133" t="s">
        <v>44385</v>
      </c>
      <c r="T14133" t="s">
        <v>45174</v>
      </c>
      <c r="U14133" t="s">
        <v>56442</v>
      </c>
      <c r="W14133" t="s">
        <v>43101</v>
      </c>
      <c r="X14133" t="s">
        <v>43210</v>
      </c>
    </row>
    <row r="14134" spans="1:24">
      <c r="A14134">
        <f>HYPERLINK("https://www.philgeps.gov.ph/GEPSNONPILOT/Tender/SplashBidNoticeAbstractUI.aspx?menuIndex=3&amp;refID=6996983&amp;Result=3","6996983")</f>
        <v>0</v>
      </c>
      <c r="B14134" t="s">
        <v>919</v>
      </c>
      <c r="C14134" t="s">
        <v>16952</v>
      </c>
      <c r="E14134" t="s">
        <v>29616</v>
      </c>
      <c r="F14134" t="s">
        <v>30052</v>
      </c>
      <c r="G14134" t="s">
        <v>30058</v>
      </c>
      <c r="H14134" t="s">
        <v>30067</v>
      </c>
      <c r="I14134" t="s">
        <v>3693</v>
      </c>
      <c r="J14134" t="s">
        <v>38744</v>
      </c>
      <c r="K14134" t="s">
        <v>39025</v>
      </c>
      <c r="M14134" t="s">
        <v>43101</v>
      </c>
      <c r="N14134" t="s">
        <v>43166</v>
      </c>
      <c r="O14134" t="s">
        <v>43167</v>
      </c>
      <c r="Q14134">
        <v>1</v>
      </c>
      <c r="R14134" t="s">
        <v>43211</v>
      </c>
      <c r="S14134" t="s">
        <v>44386</v>
      </c>
      <c r="T14134" t="s">
        <v>44717</v>
      </c>
      <c r="U14134" t="s">
        <v>56443</v>
      </c>
      <c r="W14134" t="s">
        <v>43101</v>
      </c>
      <c r="X14134" t="s">
        <v>43210</v>
      </c>
    </row>
    <row r="14135" spans="1:24">
      <c r="A14135">
        <f>HYPERLINK("https://www.philgeps.gov.ph/GEPSNONPILOT/Tender/SplashBidNoticeAbstractUI.aspx?menuIndex=3&amp;refID=6997007&amp;Result=3","6997007")</f>
        <v>0</v>
      </c>
      <c r="B14135" t="s">
        <v>919</v>
      </c>
      <c r="C14135" t="s">
        <v>16953</v>
      </c>
      <c r="E14135" t="s">
        <v>29617</v>
      </c>
      <c r="F14135" t="s">
        <v>30052</v>
      </c>
      <c r="G14135" t="s">
        <v>30058</v>
      </c>
      <c r="H14135" t="s">
        <v>30067</v>
      </c>
      <c r="I14135" t="s">
        <v>3693</v>
      </c>
      <c r="J14135" t="s">
        <v>38745</v>
      </c>
      <c r="K14135" t="s">
        <v>39025</v>
      </c>
      <c r="M14135" t="s">
        <v>43101</v>
      </c>
      <c r="N14135" t="s">
        <v>43166</v>
      </c>
      <c r="O14135" t="s">
        <v>43167</v>
      </c>
      <c r="Q14135">
        <v>0</v>
      </c>
      <c r="R14135" t="s">
        <v>43211</v>
      </c>
      <c r="S14135" t="s">
        <v>44387</v>
      </c>
      <c r="T14135" t="s">
        <v>44717</v>
      </c>
      <c r="U14135" t="s">
        <v>56444</v>
      </c>
      <c r="W14135" t="s">
        <v>43101</v>
      </c>
      <c r="X14135" t="s">
        <v>43210</v>
      </c>
    </row>
    <row r="14136" spans="1:24">
      <c r="A14136">
        <f>HYPERLINK("https://www.philgeps.gov.ph/GEPSNONPILOT/Tender/SplashBidNoticeAbstractUI.aspx?menuIndex=3&amp;refID=7002535&amp;Result=3","7002535")</f>
        <v>0</v>
      </c>
      <c r="B14136" t="s">
        <v>2813</v>
      </c>
      <c r="C14136" t="s">
        <v>16954</v>
      </c>
      <c r="D14136" t="s">
        <v>17476</v>
      </c>
      <c r="E14136" t="s">
        <v>29618</v>
      </c>
      <c r="F14136" t="s">
        <v>30052</v>
      </c>
      <c r="G14136" t="s">
        <v>30058</v>
      </c>
      <c r="H14136" t="s">
        <v>30067</v>
      </c>
      <c r="I14136" t="s">
        <v>3693</v>
      </c>
      <c r="J14136" t="s">
        <v>38746</v>
      </c>
      <c r="K14136" t="s">
        <v>39033</v>
      </c>
      <c r="M14136" t="s">
        <v>42356</v>
      </c>
      <c r="N14136" t="s">
        <v>43166</v>
      </c>
      <c r="O14136" t="s">
        <v>43167</v>
      </c>
      <c r="Q14136">
        <v>0</v>
      </c>
      <c r="R14136" t="s">
        <v>43212</v>
      </c>
      <c r="S14136" t="s">
        <v>44388</v>
      </c>
      <c r="T14136" t="s">
        <v>44717</v>
      </c>
      <c r="U14136" t="s">
        <v>52899</v>
      </c>
      <c r="W14136" t="s">
        <v>42356</v>
      </c>
      <c r="X14136" t="s">
        <v>43209</v>
      </c>
    </row>
    <row r="14137" spans="1:24">
      <c r="A14137">
        <f>HYPERLINK("https://www.philgeps.gov.ph/GEPSNONPILOT/Tender/SplashBidNoticeAbstractUI.aspx?menuIndex=3&amp;refID=7002426&amp;Result=3","7002426")</f>
        <v>0</v>
      </c>
      <c r="B14137" t="s">
        <v>2813</v>
      </c>
      <c r="C14137" t="s">
        <v>16955</v>
      </c>
      <c r="D14137" t="s">
        <v>17476</v>
      </c>
      <c r="E14137" t="s">
        <v>29619</v>
      </c>
      <c r="F14137" t="s">
        <v>30052</v>
      </c>
      <c r="G14137" t="s">
        <v>30058</v>
      </c>
      <c r="H14137" t="s">
        <v>30067</v>
      </c>
      <c r="I14137" t="s">
        <v>3693</v>
      </c>
      <c r="J14137" t="s">
        <v>38747</v>
      </c>
      <c r="K14137" t="s">
        <v>39033</v>
      </c>
      <c r="M14137" t="s">
        <v>42356</v>
      </c>
      <c r="N14137" t="s">
        <v>43166</v>
      </c>
      <c r="O14137" t="s">
        <v>43167</v>
      </c>
      <c r="Q14137">
        <v>0</v>
      </c>
      <c r="R14137" t="s">
        <v>43212</v>
      </c>
      <c r="S14137" t="s">
        <v>44389</v>
      </c>
      <c r="T14137" t="s">
        <v>44750</v>
      </c>
      <c r="U14137" t="s">
        <v>52899</v>
      </c>
      <c r="W14137" t="s">
        <v>42356</v>
      </c>
      <c r="X14137" t="s">
        <v>43209</v>
      </c>
    </row>
    <row r="14138" spans="1:24">
      <c r="A14138">
        <f>HYPERLINK("https://www.philgeps.gov.ph/GEPSNONPILOT/Tender/SplashBidNoticeAbstractUI.aspx?menuIndex=3&amp;refID=7002518&amp;Result=3","7002518")</f>
        <v>0</v>
      </c>
      <c r="B14138" t="s">
        <v>2813</v>
      </c>
      <c r="C14138" t="s">
        <v>16956</v>
      </c>
      <c r="D14138" t="s">
        <v>17476</v>
      </c>
      <c r="E14138" t="s">
        <v>29620</v>
      </c>
      <c r="F14138" t="s">
        <v>30052</v>
      </c>
      <c r="G14138" t="s">
        <v>30058</v>
      </c>
      <c r="H14138" t="s">
        <v>30067</v>
      </c>
      <c r="I14138" t="s">
        <v>3693</v>
      </c>
      <c r="J14138" t="s">
        <v>38748</v>
      </c>
      <c r="K14138" t="s">
        <v>39113</v>
      </c>
      <c r="M14138" t="s">
        <v>42356</v>
      </c>
      <c r="N14138" t="s">
        <v>43166</v>
      </c>
      <c r="O14138" t="s">
        <v>43167</v>
      </c>
      <c r="Q14138">
        <v>0</v>
      </c>
      <c r="R14138" t="s">
        <v>43212</v>
      </c>
      <c r="S14138" t="s">
        <v>44390</v>
      </c>
      <c r="T14138" t="s">
        <v>44750</v>
      </c>
      <c r="U14138" t="s">
        <v>52899</v>
      </c>
      <c r="W14138" t="s">
        <v>42356</v>
      </c>
      <c r="X14138" t="s">
        <v>43209</v>
      </c>
    </row>
    <row r="14139" spans="1:24">
      <c r="A14139">
        <f>HYPERLINK("https://www.philgeps.gov.ph/GEPSNONPILOT/Tender/SplashBidNoticeAbstractUI.aspx?menuIndex=3&amp;refID=6998549&amp;Result=3","6998549")</f>
        <v>0</v>
      </c>
      <c r="B14139" t="s">
        <v>1501</v>
      </c>
      <c r="C14139" t="s">
        <v>16957</v>
      </c>
      <c r="D14139" t="s">
        <v>17445</v>
      </c>
      <c r="E14139" t="s">
        <v>29621</v>
      </c>
      <c r="F14139" t="s">
        <v>30052</v>
      </c>
      <c r="G14139" t="s">
        <v>30058</v>
      </c>
      <c r="H14139" t="s">
        <v>15498</v>
      </c>
      <c r="I14139" t="s">
        <v>3736</v>
      </c>
      <c r="J14139" t="s">
        <v>38749</v>
      </c>
      <c r="K14139" t="s">
        <v>39026</v>
      </c>
      <c r="M14139" t="s">
        <v>41855</v>
      </c>
      <c r="N14139" t="s">
        <v>43166</v>
      </c>
      <c r="O14139" t="s">
        <v>43167</v>
      </c>
      <c r="Q14139">
        <v>13</v>
      </c>
      <c r="R14139" t="s">
        <v>43213</v>
      </c>
      <c r="S14139" t="s">
        <v>44391</v>
      </c>
      <c r="T14139" t="s">
        <v>44687</v>
      </c>
      <c r="U14139" t="s">
        <v>56445</v>
      </c>
      <c r="V14139" t="s">
        <v>58514</v>
      </c>
      <c r="W14139" t="s">
        <v>40885</v>
      </c>
      <c r="X14139" t="s">
        <v>43211</v>
      </c>
    </row>
    <row r="14140" spans="1:24">
      <c r="A14140">
        <f>HYPERLINK("https://www.philgeps.gov.ph/GEPSNONPILOT/Tender/SplashBidNoticeAbstractUI.aspx?menuIndex=3&amp;refID=7000670&amp;Result=3","7000670")</f>
        <v>0</v>
      </c>
      <c r="B14140" t="s">
        <v>2813</v>
      </c>
      <c r="C14140" t="s">
        <v>16958</v>
      </c>
      <c r="D14140" t="s">
        <v>17476</v>
      </c>
      <c r="E14140" t="s">
        <v>29622</v>
      </c>
      <c r="F14140" t="s">
        <v>30052</v>
      </c>
      <c r="G14140" t="s">
        <v>30058</v>
      </c>
      <c r="H14140" t="s">
        <v>30067</v>
      </c>
      <c r="I14140" t="s">
        <v>3693</v>
      </c>
      <c r="J14140" t="s">
        <v>38750</v>
      </c>
      <c r="K14140" t="s">
        <v>39100</v>
      </c>
      <c r="M14140" t="s">
        <v>42356</v>
      </c>
      <c r="N14140" t="s">
        <v>43166</v>
      </c>
      <c r="O14140" t="s">
        <v>43167</v>
      </c>
      <c r="Q14140">
        <v>0</v>
      </c>
      <c r="R14140" t="s">
        <v>43212</v>
      </c>
      <c r="S14140" t="s">
        <v>44392</v>
      </c>
      <c r="T14140" t="s">
        <v>44750</v>
      </c>
      <c r="U14140" t="s">
        <v>52899</v>
      </c>
      <c r="W14140" t="s">
        <v>42356</v>
      </c>
      <c r="X14140" t="s">
        <v>58724</v>
      </c>
    </row>
    <row r="14141" spans="1:24">
      <c r="A14141">
        <f>HYPERLINK("https://www.philgeps.gov.ph/GEPSNONPILOT/Tender/SplashBidNoticeAbstractUI.aspx?menuIndex=3&amp;refID=7018114&amp;Result=3","7018114")</f>
        <v>0</v>
      </c>
      <c r="B14141" t="s">
        <v>1024</v>
      </c>
      <c r="C14141" t="s">
        <v>16959</v>
      </c>
      <c r="D14141" t="s">
        <v>17432</v>
      </c>
      <c r="E14141" t="s">
        <v>29623</v>
      </c>
      <c r="F14141" t="s">
        <v>30052</v>
      </c>
      <c r="G14141" t="s">
        <v>30058</v>
      </c>
      <c r="H14141" t="s">
        <v>30067</v>
      </c>
      <c r="I14141" t="s">
        <v>3693</v>
      </c>
      <c r="J14141" t="s">
        <v>31728</v>
      </c>
      <c r="K14141" t="s">
        <v>39304</v>
      </c>
      <c r="M14141" t="s">
        <v>40353</v>
      </c>
      <c r="N14141" t="s">
        <v>43166</v>
      </c>
      <c r="O14141" t="s">
        <v>43167</v>
      </c>
      <c r="Q14141">
        <v>3</v>
      </c>
      <c r="R14141" t="s">
        <v>43200</v>
      </c>
      <c r="S14141" t="s">
        <v>44193</v>
      </c>
      <c r="T14141" t="s">
        <v>45085</v>
      </c>
      <c r="U14141" t="s">
        <v>56446</v>
      </c>
      <c r="W14141" t="s">
        <v>40353</v>
      </c>
      <c r="X14141" t="s">
        <v>43208</v>
      </c>
    </row>
    <row r="14142" spans="1:24">
      <c r="A14142">
        <f>HYPERLINK("https://www.philgeps.gov.ph/GEPSNONPILOT/Tender/SplashBidNoticeAbstractUI.aspx?menuIndex=3&amp;refID=6977130&amp;Result=3","6977130")</f>
        <v>0</v>
      </c>
      <c r="B14142" t="s">
        <v>3423</v>
      </c>
      <c r="C14142" t="s">
        <v>16960</v>
      </c>
      <c r="D14142" t="s">
        <v>17455</v>
      </c>
      <c r="E14142" t="s">
        <v>29624</v>
      </c>
      <c r="F14142" t="s">
        <v>30052</v>
      </c>
      <c r="G14142" t="s">
        <v>30058</v>
      </c>
      <c r="H14142" t="s">
        <v>30067</v>
      </c>
      <c r="I14142" t="s">
        <v>30106</v>
      </c>
      <c r="J14142" t="s">
        <v>38751</v>
      </c>
      <c r="K14142" t="s">
        <v>39031</v>
      </c>
      <c r="M14142" t="s">
        <v>43102</v>
      </c>
      <c r="N14142" t="s">
        <v>43166</v>
      </c>
      <c r="O14142" t="s">
        <v>43167</v>
      </c>
      <c r="Q14142">
        <v>8</v>
      </c>
      <c r="R14142" t="s">
        <v>43214</v>
      </c>
      <c r="S14142" t="s">
        <v>44393</v>
      </c>
      <c r="T14142" t="s">
        <v>45197</v>
      </c>
      <c r="U14142" t="s">
        <v>56447</v>
      </c>
      <c r="W14142" t="s">
        <v>43102</v>
      </c>
      <c r="X14142" t="s">
        <v>43281</v>
      </c>
    </row>
    <row r="14143" spans="1:24">
      <c r="A14143">
        <f>HYPERLINK("https://www.philgeps.gov.ph/GEPSNONPILOT/Tender/SplashBidNoticeAbstractUI.aspx?menuIndex=3&amp;refID=6977068&amp;Result=3","6977068")</f>
        <v>0</v>
      </c>
      <c r="B14143" t="s">
        <v>3423</v>
      </c>
      <c r="C14143" t="s">
        <v>16961</v>
      </c>
      <c r="D14143" t="s">
        <v>17455</v>
      </c>
      <c r="E14143" t="s">
        <v>29625</v>
      </c>
      <c r="F14143" t="s">
        <v>30052</v>
      </c>
      <c r="G14143" t="s">
        <v>30058</v>
      </c>
      <c r="H14143" t="s">
        <v>30067</v>
      </c>
      <c r="I14143" t="s">
        <v>3693</v>
      </c>
      <c r="J14143" t="s">
        <v>38752</v>
      </c>
      <c r="K14143" t="s">
        <v>39026</v>
      </c>
      <c r="M14143" t="s">
        <v>43102</v>
      </c>
      <c r="N14143" t="s">
        <v>43166</v>
      </c>
      <c r="O14143" t="s">
        <v>43167</v>
      </c>
      <c r="Q14143">
        <v>6</v>
      </c>
      <c r="R14143" t="s">
        <v>43214</v>
      </c>
      <c r="S14143" t="s">
        <v>44394</v>
      </c>
      <c r="T14143" t="s">
        <v>45197</v>
      </c>
      <c r="U14143" t="s">
        <v>56448</v>
      </c>
      <c r="W14143" t="s">
        <v>43102</v>
      </c>
      <c r="X14143" t="s">
        <v>43281</v>
      </c>
    </row>
    <row r="14144" spans="1:24">
      <c r="A14144">
        <f>HYPERLINK("https://www.philgeps.gov.ph/GEPSNONPILOT/Tender/SplashBidNoticeAbstractUI.aspx?menuIndex=3&amp;refID=6976656&amp;Result=3","6976656")</f>
        <v>0</v>
      </c>
      <c r="B14144" t="s">
        <v>3423</v>
      </c>
      <c r="C14144" t="s">
        <v>16962</v>
      </c>
      <c r="D14144" t="s">
        <v>17455</v>
      </c>
      <c r="E14144" t="s">
        <v>29626</v>
      </c>
      <c r="F14144" t="s">
        <v>30052</v>
      </c>
      <c r="G14144" t="s">
        <v>30058</v>
      </c>
      <c r="H14144" t="s">
        <v>30067</v>
      </c>
      <c r="I14144" t="s">
        <v>3693</v>
      </c>
      <c r="J14144" t="s">
        <v>38753</v>
      </c>
      <c r="K14144" t="s">
        <v>39026</v>
      </c>
      <c r="M14144" t="s">
        <v>43102</v>
      </c>
      <c r="N14144" t="s">
        <v>43166</v>
      </c>
      <c r="O14144" t="s">
        <v>43167</v>
      </c>
      <c r="Q14144">
        <v>10</v>
      </c>
      <c r="R14144" t="s">
        <v>43214</v>
      </c>
      <c r="S14144" t="s">
        <v>44395</v>
      </c>
      <c r="T14144" t="s">
        <v>45197</v>
      </c>
      <c r="U14144" t="s">
        <v>56449</v>
      </c>
      <c r="W14144" t="s">
        <v>43102</v>
      </c>
      <c r="X14144" t="s">
        <v>43281</v>
      </c>
    </row>
    <row r="14145" spans="1:24">
      <c r="A14145">
        <f>HYPERLINK("https://www.philgeps.gov.ph/GEPSNONPILOT/Tender/SplashBidNoticeAbstractUI.aspx?menuIndex=3&amp;refID=7012580&amp;Result=3","7012580")</f>
        <v>0</v>
      </c>
      <c r="B14145" t="s">
        <v>579</v>
      </c>
      <c r="C14145" t="s">
        <v>16963</v>
      </c>
      <c r="D14145" t="s">
        <v>17424</v>
      </c>
      <c r="E14145" t="s">
        <v>29627</v>
      </c>
      <c r="F14145" t="s">
        <v>30052</v>
      </c>
      <c r="G14145" t="s">
        <v>30058</v>
      </c>
      <c r="H14145" t="s">
        <v>30067</v>
      </c>
      <c r="I14145" t="s">
        <v>3693</v>
      </c>
      <c r="J14145" t="s">
        <v>38754</v>
      </c>
      <c r="K14145" t="s">
        <v>39211</v>
      </c>
      <c r="M14145" t="s">
        <v>42707</v>
      </c>
      <c r="N14145" t="s">
        <v>43166</v>
      </c>
      <c r="O14145" t="s">
        <v>43167</v>
      </c>
      <c r="Q14145">
        <v>20</v>
      </c>
      <c r="R14145" t="s">
        <v>43199</v>
      </c>
      <c r="S14145" t="s">
        <v>44279</v>
      </c>
      <c r="T14145" t="s">
        <v>44717</v>
      </c>
      <c r="U14145" t="s">
        <v>56450</v>
      </c>
      <c r="V14145" t="s">
        <v>46539</v>
      </c>
      <c r="W14145" t="s">
        <v>42707</v>
      </c>
      <c r="X14145" t="s">
        <v>43207</v>
      </c>
    </row>
    <row r="14146" spans="1:24">
      <c r="A14146">
        <f>HYPERLINK("https://www.philgeps.gov.ph/GEPSNONPILOT/Tender/SplashBidNoticeAbstractUI.aspx?menuIndex=3&amp;refID=6979366&amp;Result=3","6979366")</f>
        <v>0</v>
      </c>
      <c r="B14146" t="s">
        <v>1044</v>
      </c>
      <c r="C14146" t="s">
        <v>16964</v>
      </c>
      <c r="D14146" t="s">
        <v>17415</v>
      </c>
      <c r="E14146" t="s">
        <v>29628</v>
      </c>
      <c r="F14146" t="s">
        <v>30052</v>
      </c>
      <c r="G14146" t="s">
        <v>30058</v>
      </c>
      <c r="H14146" t="s">
        <v>15498</v>
      </c>
      <c r="I14146" t="s">
        <v>30084</v>
      </c>
      <c r="J14146" t="s">
        <v>38755</v>
      </c>
      <c r="K14146" t="s">
        <v>39029</v>
      </c>
      <c r="M14146" t="s">
        <v>43103</v>
      </c>
      <c r="N14146" t="s">
        <v>43166</v>
      </c>
      <c r="O14146" t="s">
        <v>43167</v>
      </c>
      <c r="Q14146">
        <v>25</v>
      </c>
      <c r="R14146" t="s">
        <v>43215</v>
      </c>
      <c r="S14146" t="s">
        <v>44396</v>
      </c>
      <c r="T14146" t="s">
        <v>45198</v>
      </c>
      <c r="U14146" t="s">
        <v>56451</v>
      </c>
      <c r="W14146" t="s">
        <v>43103</v>
      </c>
      <c r="X14146" t="s">
        <v>58740</v>
      </c>
    </row>
    <row r="14147" spans="1:24">
      <c r="A14147">
        <f>HYPERLINK("https://www.philgeps.gov.ph/GEPSNONPILOT/Tender/SplashBidNoticeAbstractUI.aspx?menuIndex=3&amp;refID=6976799&amp;Result=3","6976799")</f>
        <v>0</v>
      </c>
      <c r="B14147" t="s">
        <v>3423</v>
      </c>
      <c r="C14147" t="s">
        <v>16965</v>
      </c>
      <c r="D14147" t="s">
        <v>17455</v>
      </c>
      <c r="E14147" t="s">
        <v>29629</v>
      </c>
      <c r="F14147" t="s">
        <v>30052</v>
      </c>
      <c r="G14147" t="s">
        <v>30058</v>
      </c>
      <c r="H14147" t="s">
        <v>30067</v>
      </c>
      <c r="I14147" t="s">
        <v>3693</v>
      </c>
      <c r="J14147" t="s">
        <v>38756</v>
      </c>
      <c r="K14147" t="s">
        <v>39026</v>
      </c>
      <c r="M14147" t="s">
        <v>43102</v>
      </c>
      <c r="N14147" t="s">
        <v>43166</v>
      </c>
      <c r="O14147" t="s">
        <v>43167</v>
      </c>
      <c r="Q14147">
        <v>6</v>
      </c>
      <c r="R14147" t="s">
        <v>43214</v>
      </c>
      <c r="S14147" t="s">
        <v>44397</v>
      </c>
      <c r="T14147" t="s">
        <v>45197</v>
      </c>
      <c r="U14147" t="s">
        <v>56452</v>
      </c>
      <c r="W14147" t="s">
        <v>43102</v>
      </c>
      <c r="X14147" t="s">
        <v>43281</v>
      </c>
    </row>
    <row r="14148" spans="1:24">
      <c r="A14148">
        <f>HYPERLINK("https://www.philgeps.gov.ph/GEPSNONPILOT/Tender/SplashBidNoticeAbstractUI.aspx?menuIndex=3&amp;refID=6984139&amp;Result=3","6984139")</f>
        <v>0</v>
      </c>
      <c r="B14148" t="s">
        <v>1841</v>
      </c>
      <c r="C14148" t="s">
        <v>16966</v>
      </c>
      <c r="D14148" t="s">
        <v>17445</v>
      </c>
      <c r="E14148" t="s">
        <v>29630</v>
      </c>
      <c r="F14148" t="s">
        <v>30052</v>
      </c>
      <c r="G14148" t="s">
        <v>30058</v>
      </c>
      <c r="H14148" t="s">
        <v>30068</v>
      </c>
      <c r="I14148" t="s">
        <v>3693</v>
      </c>
      <c r="J14148" t="s">
        <v>38757</v>
      </c>
      <c r="K14148" t="s">
        <v>39033</v>
      </c>
      <c r="L14148" t="s">
        <v>1841</v>
      </c>
      <c r="M14148" t="s">
        <v>41266</v>
      </c>
      <c r="N14148" t="s">
        <v>43166</v>
      </c>
      <c r="O14148" t="s">
        <v>43167</v>
      </c>
      <c r="Q14148">
        <v>5</v>
      </c>
      <c r="R14148" t="s">
        <v>43216</v>
      </c>
      <c r="S14148" t="s">
        <v>44398</v>
      </c>
      <c r="T14148" t="s">
        <v>44750</v>
      </c>
      <c r="U14148" t="s">
        <v>56453</v>
      </c>
      <c r="W14148" t="s">
        <v>41266</v>
      </c>
      <c r="X14148" t="s">
        <v>58741</v>
      </c>
    </row>
    <row r="14149" spans="1:24">
      <c r="A14149">
        <f>HYPERLINK("https://www.philgeps.gov.ph/GEPSNONPILOT/Tender/SplashBidNoticeAbstractUI.aspx?menuIndex=3&amp;refID=6976716&amp;Result=3","6976716")</f>
        <v>0</v>
      </c>
      <c r="B14149" t="s">
        <v>3423</v>
      </c>
      <c r="C14149" t="s">
        <v>16967</v>
      </c>
      <c r="D14149" t="s">
        <v>17455</v>
      </c>
      <c r="E14149" t="s">
        <v>29631</v>
      </c>
      <c r="F14149" t="s">
        <v>30052</v>
      </c>
      <c r="G14149" t="s">
        <v>30058</v>
      </c>
      <c r="H14149" t="s">
        <v>30067</v>
      </c>
      <c r="I14149" t="s">
        <v>3693</v>
      </c>
      <c r="J14149" t="s">
        <v>38758</v>
      </c>
      <c r="K14149" t="s">
        <v>39026</v>
      </c>
      <c r="M14149" t="s">
        <v>43102</v>
      </c>
      <c r="N14149" t="s">
        <v>43166</v>
      </c>
      <c r="O14149" t="s">
        <v>43167</v>
      </c>
      <c r="Q14149">
        <v>7</v>
      </c>
      <c r="R14149" t="s">
        <v>43214</v>
      </c>
      <c r="S14149" t="s">
        <v>44399</v>
      </c>
      <c r="T14149" t="s">
        <v>45197</v>
      </c>
      <c r="U14149" t="s">
        <v>56454</v>
      </c>
      <c r="W14149" t="s">
        <v>43102</v>
      </c>
      <c r="X14149" t="s">
        <v>43281</v>
      </c>
    </row>
    <row r="14150" spans="1:24">
      <c r="A14150">
        <f>HYPERLINK("https://www.philgeps.gov.ph/GEPSNONPILOT/Tender/SplashBidNoticeAbstractUI.aspx?menuIndex=3&amp;refID=6984007&amp;Result=3","6984007")</f>
        <v>0</v>
      </c>
      <c r="B14150" t="s">
        <v>1841</v>
      </c>
      <c r="C14150" t="s">
        <v>16968</v>
      </c>
      <c r="D14150" t="s">
        <v>17445</v>
      </c>
      <c r="E14150" t="s">
        <v>29632</v>
      </c>
      <c r="F14150" t="s">
        <v>30052</v>
      </c>
      <c r="G14150" t="s">
        <v>30058</v>
      </c>
      <c r="H14150" t="s">
        <v>30068</v>
      </c>
      <c r="I14150" t="s">
        <v>3693</v>
      </c>
      <c r="J14150" t="s">
        <v>38759</v>
      </c>
      <c r="K14150" t="s">
        <v>39033</v>
      </c>
      <c r="L14150" t="s">
        <v>1841</v>
      </c>
      <c r="M14150" t="s">
        <v>41266</v>
      </c>
      <c r="N14150" t="s">
        <v>43166</v>
      </c>
      <c r="O14150" t="s">
        <v>43167</v>
      </c>
      <c r="Q14150">
        <v>4</v>
      </c>
      <c r="R14150" t="s">
        <v>43216</v>
      </c>
      <c r="S14150" t="s">
        <v>44400</v>
      </c>
      <c r="T14150" t="s">
        <v>44773</v>
      </c>
      <c r="U14150" t="s">
        <v>56453</v>
      </c>
      <c r="W14150" t="s">
        <v>41266</v>
      </c>
      <c r="X14150" t="s">
        <v>58741</v>
      </c>
    </row>
    <row r="14151" spans="1:24">
      <c r="A14151">
        <f>HYPERLINK("https://www.philgeps.gov.ph/GEPSNONPILOT/Tender/SplashBidNoticeAbstractUI.aspx?menuIndex=3&amp;refID=6986802&amp;Result=3","6986802")</f>
        <v>0</v>
      </c>
      <c r="B14151" t="s">
        <v>1841</v>
      </c>
      <c r="C14151" t="s">
        <v>16969</v>
      </c>
      <c r="D14151" t="s">
        <v>17445</v>
      </c>
      <c r="E14151" t="s">
        <v>29633</v>
      </c>
      <c r="F14151" t="s">
        <v>30052</v>
      </c>
      <c r="G14151" t="s">
        <v>30058</v>
      </c>
      <c r="H14151" t="s">
        <v>30068</v>
      </c>
      <c r="I14151" t="s">
        <v>3693</v>
      </c>
      <c r="J14151" t="s">
        <v>38760</v>
      </c>
      <c r="K14151" t="s">
        <v>39033</v>
      </c>
      <c r="L14151" t="s">
        <v>1841</v>
      </c>
      <c r="M14151" t="s">
        <v>41266</v>
      </c>
      <c r="N14151" t="s">
        <v>43166</v>
      </c>
      <c r="O14151" t="s">
        <v>43167</v>
      </c>
      <c r="Q14151">
        <v>4</v>
      </c>
      <c r="R14151" t="s">
        <v>43217</v>
      </c>
      <c r="S14151" t="s">
        <v>44401</v>
      </c>
      <c r="T14151" t="s">
        <v>44750</v>
      </c>
      <c r="U14151" t="s">
        <v>56453</v>
      </c>
      <c r="W14151" t="s">
        <v>41266</v>
      </c>
      <c r="X14151" t="s">
        <v>43216</v>
      </c>
    </row>
    <row r="14152" spans="1:24">
      <c r="A14152">
        <f>HYPERLINK("https://www.philgeps.gov.ph/GEPSNONPILOT/Tender/SplashBidNoticeAbstractUI.aspx?menuIndex=3&amp;refID=7034407&amp;Result=3","7034407")</f>
        <v>0</v>
      </c>
      <c r="B14152" t="s">
        <v>98</v>
      </c>
      <c r="C14152" t="s">
        <v>16970</v>
      </c>
      <c r="D14152" t="s">
        <v>17456</v>
      </c>
      <c r="E14152" t="s">
        <v>29634</v>
      </c>
      <c r="F14152" t="s">
        <v>30052</v>
      </c>
      <c r="G14152" t="s">
        <v>30063</v>
      </c>
      <c r="H14152" t="s">
        <v>30068</v>
      </c>
      <c r="I14152" t="s">
        <v>30068</v>
      </c>
      <c r="J14152" t="s">
        <v>38761</v>
      </c>
      <c r="K14152" t="s">
        <v>39025</v>
      </c>
      <c r="L14152" t="s">
        <v>98</v>
      </c>
      <c r="M14152" t="s">
        <v>40536</v>
      </c>
      <c r="N14152" t="s">
        <v>43166</v>
      </c>
      <c r="O14152" t="s">
        <v>43167</v>
      </c>
      <c r="Q14152">
        <v>5</v>
      </c>
      <c r="R14152" t="s">
        <v>43194</v>
      </c>
      <c r="S14152" t="s">
        <v>44402</v>
      </c>
      <c r="T14152" t="s">
        <v>44733</v>
      </c>
      <c r="U14152" t="s">
        <v>56455</v>
      </c>
      <c r="W14152" t="s">
        <v>40536</v>
      </c>
      <c r="X14152" t="s">
        <v>43195</v>
      </c>
    </row>
    <row r="14153" spans="1:24">
      <c r="A14153">
        <f>HYPERLINK("https://www.philgeps.gov.ph/GEPSNONPILOT/Tender/SplashBidNoticeAbstractUI.aspx?menuIndex=3&amp;refID=6986798&amp;Result=3","6986798")</f>
        <v>0</v>
      </c>
      <c r="B14153" t="s">
        <v>1841</v>
      </c>
      <c r="C14153" t="s">
        <v>16971</v>
      </c>
      <c r="D14153" t="s">
        <v>17445</v>
      </c>
      <c r="E14153" t="s">
        <v>29635</v>
      </c>
      <c r="F14153" t="s">
        <v>30052</v>
      </c>
      <c r="G14153" t="s">
        <v>30058</v>
      </c>
      <c r="H14153" t="s">
        <v>30068</v>
      </c>
      <c r="I14153" t="s">
        <v>3693</v>
      </c>
      <c r="J14153" t="s">
        <v>38762</v>
      </c>
      <c r="K14153" t="s">
        <v>39190</v>
      </c>
      <c r="L14153" t="s">
        <v>1841</v>
      </c>
      <c r="M14153" t="s">
        <v>41266</v>
      </c>
      <c r="N14153" t="s">
        <v>43166</v>
      </c>
      <c r="O14153" t="s">
        <v>43167</v>
      </c>
      <c r="Q14153">
        <v>3</v>
      </c>
      <c r="R14153" t="s">
        <v>43217</v>
      </c>
      <c r="S14153" t="s">
        <v>44403</v>
      </c>
      <c r="T14153" t="s">
        <v>44750</v>
      </c>
      <c r="U14153" t="s">
        <v>56456</v>
      </c>
      <c r="W14153" t="s">
        <v>41266</v>
      </c>
      <c r="X14153" t="s">
        <v>43216</v>
      </c>
    </row>
    <row r="14154" spans="1:24">
      <c r="A14154">
        <f>HYPERLINK("https://www.philgeps.gov.ph/GEPSNONPILOT/Tender/SplashBidNoticeAbstractUI.aspx?menuIndex=3&amp;refID=6980762&amp;Result=3","6980762")</f>
        <v>0</v>
      </c>
      <c r="B14154" t="s">
        <v>611</v>
      </c>
      <c r="C14154" t="s">
        <v>16972</v>
      </c>
      <c r="D14154" t="s">
        <v>17415</v>
      </c>
      <c r="E14154" t="s">
        <v>29636</v>
      </c>
      <c r="F14154" t="s">
        <v>30052</v>
      </c>
      <c r="G14154" t="s">
        <v>30059</v>
      </c>
      <c r="H14154" t="s">
        <v>15498</v>
      </c>
      <c r="I14154" t="s">
        <v>30100</v>
      </c>
      <c r="J14154" t="s">
        <v>38763</v>
      </c>
      <c r="K14154" t="s">
        <v>39067</v>
      </c>
      <c r="M14154" t="s">
        <v>39913</v>
      </c>
      <c r="N14154" t="s">
        <v>43166</v>
      </c>
      <c r="O14154" t="s">
        <v>43167</v>
      </c>
      <c r="Q14154">
        <v>3</v>
      </c>
      <c r="R14154" t="s">
        <v>43218</v>
      </c>
      <c r="S14154" t="s">
        <v>43591</v>
      </c>
      <c r="T14154" t="s">
        <v>44728</v>
      </c>
      <c r="U14154" t="s">
        <v>56457</v>
      </c>
      <c r="V14154" t="s">
        <v>58515</v>
      </c>
      <c r="W14154" t="s">
        <v>39913</v>
      </c>
      <c r="X14154" t="s">
        <v>43215</v>
      </c>
    </row>
    <row r="14155" spans="1:24">
      <c r="A14155">
        <f>HYPERLINK("https://www.philgeps.gov.ph/GEPSNONPILOT/Tender/SplashBidNoticeAbstractUI.aspx?menuIndex=3&amp;refID=6976974&amp;Result=3","6976974")</f>
        <v>0</v>
      </c>
      <c r="B14155" t="s">
        <v>3423</v>
      </c>
      <c r="C14155" t="s">
        <v>16973</v>
      </c>
      <c r="D14155" t="s">
        <v>17455</v>
      </c>
      <c r="E14155" t="s">
        <v>29637</v>
      </c>
      <c r="F14155" t="s">
        <v>30052</v>
      </c>
      <c r="G14155" t="s">
        <v>30058</v>
      </c>
      <c r="H14155" t="s">
        <v>15498</v>
      </c>
      <c r="I14155" t="s">
        <v>3693</v>
      </c>
      <c r="J14155" t="s">
        <v>38764</v>
      </c>
      <c r="K14155" t="s">
        <v>39026</v>
      </c>
      <c r="M14155" t="s">
        <v>43102</v>
      </c>
      <c r="N14155" t="s">
        <v>43166</v>
      </c>
      <c r="O14155" t="s">
        <v>43167</v>
      </c>
      <c r="Q14155">
        <v>8</v>
      </c>
      <c r="R14155" t="s">
        <v>43214</v>
      </c>
      <c r="S14155" t="s">
        <v>44404</v>
      </c>
      <c r="T14155" t="s">
        <v>45197</v>
      </c>
      <c r="U14155" t="s">
        <v>56458</v>
      </c>
      <c r="W14155" t="s">
        <v>43102</v>
      </c>
      <c r="X14155" t="s">
        <v>43281</v>
      </c>
    </row>
    <row r="14156" spans="1:24">
      <c r="A14156">
        <f>HYPERLINK("https://www.philgeps.gov.ph/GEPSNONPILOT/Tender/SplashBidNoticeAbstractUI.aspx?menuIndex=3&amp;refID=6998320&amp;Result=3","6998320")</f>
        <v>0</v>
      </c>
      <c r="B14156" t="s">
        <v>1501</v>
      </c>
      <c r="C14156" t="s">
        <v>16974</v>
      </c>
      <c r="D14156" t="s">
        <v>17445</v>
      </c>
      <c r="E14156" t="s">
        <v>29638</v>
      </c>
      <c r="F14156" t="s">
        <v>30052</v>
      </c>
      <c r="G14156" t="s">
        <v>30058</v>
      </c>
      <c r="H14156" t="s">
        <v>15498</v>
      </c>
      <c r="I14156" t="s">
        <v>30074</v>
      </c>
      <c r="J14156" t="s">
        <v>38765</v>
      </c>
      <c r="K14156" t="s">
        <v>39023</v>
      </c>
      <c r="M14156" t="s">
        <v>41855</v>
      </c>
      <c r="N14156" t="s">
        <v>43166</v>
      </c>
      <c r="O14156" t="s">
        <v>43167</v>
      </c>
      <c r="Q14156">
        <v>5</v>
      </c>
      <c r="R14156" t="s">
        <v>43213</v>
      </c>
      <c r="S14156" t="s">
        <v>44405</v>
      </c>
      <c r="T14156" t="s">
        <v>44949</v>
      </c>
      <c r="U14156" t="s">
        <v>56459</v>
      </c>
      <c r="V14156" t="s">
        <v>58514</v>
      </c>
      <c r="W14156" t="s">
        <v>40885</v>
      </c>
      <c r="X14156" t="s">
        <v>43211</v>
      </c>
    </row>
    <row r="14157" spans="1:24">
      <c r="A14157">
        <f>HYPERLINK("https://www.philgeps.gov.ph/GEPSNONPILOT/Tender/SplashBidNoticeAbstractUI.aspx?menuIndex=3&amp;refID=6984561&amp;Result=3","6984561")</f>
        <v>0</v>
      </c>
      <c r="B14157" t="s">
        <v>1841</v>
      </c>
      <c r="C14157" t="s">
        <v>16975</v>
      </c>
      <c r="D14157" t="s">
        <v>17445</v>
      </c>
      <c r="E14157" t="s">
        <v>29639</v>
      </c>
      <c r="F14157" t="s">
        <v>30052</v>
      </c>
      <c r="G14157" t="s">
        <v>30058</v>
      </c>
      <c r="H14157" t="s">
        <v>30068</v>
      </c>
      <c r="I14157" t="s">
        <v>3693</v>
      </c>
      <c r="J14157" t="s">
        <v>38766</v>
      </c>
      <c r="K14157" t="s">
        <v>39033</v>
      </c>
      <c r="L14157" t="s">
        <v>1841</v>
      </c>
      <c r="M14157" t="s">
        <v>41266</v>
      </c>
      <c r="N14157" t="s">
        <v>43166</v>
      </c>
      <c r="O14157" t="s">
        <v>43167</v>
      </c>
      <c r="Q14157">
        <v>7</v>
      </c>
      <c r="R14157" t="s">
        <v>43216</v>
      </c>
      <c r="S14157" t="s">
        <v>44406</v>
      </c>
      <c r="T14157" t="s">
        <v>44750</v>
      </c>
      <c r="U14157" t="s">
        <v>56453</v>
      </c>
      <c r="W14157" t="s">
        <v>41266</v>
      </c>
      <c r="X14157" t="s">
        <v>58741</v>
      </c>
    </row>
    <row r="14158" spans="1:24">
      <c r="A14158">
        <f>HYPERLINK("https://www.philgeps.gov.ph/GEPSNONPILOT/Tender/SplashBidNoticeAbstractUI.aspx?menuIndex=3&amp;refID=6957199&amp;Result=3","6957199")</f>
        <v>0</v>
      </c>
      <c r="B14158" t="s">
        <v>1325</v>
      </c>
      <c r="C14158" t="s">
        <v>16976</v>
      </c>
      <c r="D14158" t="s">
        <v>17413</v>
      </c>
      <c r="E14158" t="s">
        <v>29640</v>
      </c>
      <c r="F14158" t="s">
        <v>30052</v>
      </c>
      <c r="G14158" t="s">
        <v>30058</v>
      </c>
      <c r="H14158" t="s">
        <v>30067</v>
      </c>
      <c r="I14158" t="s">
        <v>3693</v>
      </c>
      <c r="J14158" t="s">
        <v>33649</v>
      </c>
      <c r="K14158" t="s">
        <v>39026</v>
      </c>
      <c r="M14158" t="s">
        <v>40692</v>
      </c>
      <c r="N14158" t="s">
        <v>43166</v>
      </c>
      <c r="O14158" t="s">
        <v>43167</v>
      </c>
      <c r="Q14158">
        <v>0</v>
      </c>
      <c r="R14158" t="s">
        <v>43219</v>
      </c>
      <c r="S14158" t="s">
        <v>44407</v>
      </c>
      <c r="T14158" t="s">
        <v>44679</v>
      </c>
      <c r="U14158" t="s">
        <v>56460</v>
      </c>
      <c r="W14158" t="s">
        <v>40692</v>
      </c>
      <c r="X14158" t="s">
        <v>43223</v>
      </c>
    </row>
    <row r="14159" spans="1:24">
      <c r="A14159">
        <f>HYPERLINK("https://www.philgeps.gov.ph/GEPSNONPILOT/Tender/SplashBidNoticeAbstractUI.aspx?menuIndex=3&amp;refID=6957747&amp;Result=3","6957747")</f>
        <v>0</v>
      </c>
      <c r="B14159" t="s">
        <v>1325</v>
      </c>
      <c r="C14159" t="s">
        <v>16977</v>
      </c>
      <c r="D14159" t="s">
        <v>17413</v>
      </c>
      <c r="E14159" t="s">
        <v>29641</v>
      </c>
      <c r="F14159" t="s">
        <v>30052</v>
      </c>
      <c r="G14159" t="s">
        <v>30058</v>
      </c>
      <c r="H14159" t="s">
        <v>30067</v>
      </c>
      <c r="I14159" t="s">
        <v>3693</v>
      </c>
      <c r="J14159" t="s">
        <v>30823</v>
      </c>
      <c r="K14159" t="s">
        <v>39022</v>
      </c>
      <c r="M14159" t="s">
        <v>40692</v>
      </c>
      <c r="N14159" t="s">
        <v>43166</v>
      </c>
      <c r="O14159" t="s">
        <v>43167</v>
      </c>
      <c r="Q14159">
        <v>0</v>
      </c>
      <c r="R14159" t="s">
        <v>43219</v>
      </c>
      <c r="S14159" t="s">
        <v>43978</v>
      </c>
      <c r="T14159" t="s">
        <v>44679</v>
      </c>
      <c r="U14159" t="s">
        <v>56461</v>
      </c>
      <c r="W14159" t="s">
        <v>40692</v>
      </c>
      <c r="X14159" t="s">
        <v>43223</v>
      </c>
    </row>
    <row r="14160" spans="1:24">
      <c r="A14160">
        <f>HYPERLINK("https://www.philgeps.gov.ph/GEPSNONPILOT/Tender/SplashBidNoticeAbstractUI.aspx?menuIndex=3&amp;refID=7037257&amp;Result=3","7037257")</f>
        <v>0</v>
      </c>
      <c r="B14160" t="s">
        <v>1338</v>
      </c>
      <c r="C14160" t="s">
        <v>16978</v>
      </c>
      <c r="D14160" t="s">
        <v>17415</v>
      </c>
      <c r="E14160" t="s">
        <v>29642</v>
      </c>
      <c r="F14160" t="s">
        <v>30052</v>
      </c>
      <c r="G14160" t="s">
        <v>30058</v>
      </c>
      <c r="H14160" t="s">
        <v>15498</v>
      </c>
      <c r="I14160" t="s">
        <v>30074</v>
      </c>
      <c r="J14160" t="s">
        <v>30557</v>
      </c>
      <c r="K14160" t="s">
        <v>39025</v>
      </c>
      <c r="M14160" t="s">
        <v>40705</v>
      </c>
      <c r="N14160" t="s">
        <v>43166</v>
      </c>
      <c r="O14160" t="s">
        <v>43167</v>
      </c>
      <c r="P14160">
        <v>0</v>
      </c>
      <c r="Q14160">
        <v>5</v>
      </c>
      <c r="R14160" t="s">
        <v>43193</v>
      </c>
      <c r="S14160" t="s">
        <v>44305</v>
      </c>
      <c r="T14160" t="s">
        <v>44736</v>
      </c>
      <c r="U14160" t="s">
        <v>56462</v>
      </c>
      <c r="W14160" t="s">
        <v>40705</v>
      </c>
      <c r="X14160" t="s">
        <v>43194</v>
      </c>
    </row>
    <row r="14161" spans="1:24">
      <c r="A14161">
        <f>HYPERLINK("https://www.philgeps.gov.ph/GEPSNONPILOT/Tender/SplashBidNoticeAbstractUI.aspx?menuIndex=3&amp;refID=6957124&amp;Result=3","6957124")</f>
        <v>0</v>
      </c>
      <c r="B14161" t="s">
        <v>501</v>
      </c>
      <c r="C14161" t="s">
        <v>16979</v>
      </c>
      <c r="E14161" t="s">
        <v>29643</v>
      </c>
      <c r="F14161" t="s">
        <v>30052</v>
      </c>
      <c r="G14161" t="s">
        <v>30058</v>
      </c>
      <c r="H14161" t="s">
        <v>15498</v>
      </c>
      <c r="I14161" t="s">
        <v>4650</v>
      </c>
      <c r="J14161" t="s">
        <v>34779</v>
      </c>
      <c r="K14161" t="s">
        <v>39025</v>
      </c>
      <c r="M14161" t="s">
        <v>39802</v>
      </c>
      <c r="N14161" t="s">
        <v>43166</v>
      </c>
      <c r="O14161" t="s">
        <v>43167</v>
      </c>
      <c r="Q14161">
        <v>16</v>
      </c>
      <c r="R14161" t="s">
        <v>43219</v>
      </c>
      <c r="S14161" t="s">
        <v>44408</v>
      </c>
      <c r="T14161" t="s">
        <v>44710</v>
      </c>
      <c r="U14161" t="s">
        <v>56463</v>
      </c>
      <c r="V14161" t="s">
        <v>58516</v>
      </c>
      <c r="W14161" t="s">
        <v>58672</v>
      </c>
      <c r="X14161" t="s">
        <v>43223</v>
      </c>
    </row>
    <row r="14162" spans="1:24">
      <c r="A14162">
        <f>HYPERLINK("https://www.philgeps.gov.ph/GEPSNONPILOT/Tender/SplashBidNoticeAbstractUI.aspx?menuIndex=3&amp;refID=6954272&amp;Result=3","6954272")</f>
        <v>0</v>
      </c>
      <c r="B14162" t="s">
        <v>3424</v>
      </c>
      <c r="C14162" t="s">
        <v>16980</v>
      </c>
      <c r="E14162" t="s">
        <v>29644</v>
      </c>
      <c r="F14162" t="s">
        <v>30055</v>
      </c>
      <c r="G14162" t="s">
        <v>30059</v>
      </c>
      <c r="H14162" t="s">
        <v>15498</v>
      </c>
      <c r="I14162" t="s">
        <v>30072</v>
      </c>
      <c r="J14162" t="s">
        <v>30337</v>
      </c>
      <c r="K14162" t="s">
        <v>39025</v>
      </c>
      <c r="M14162" t="s">
        <v>43104</v>
      </c>
      <c r="N14162" t="s">
        <v>43166</v>
      </c>
      <c r="O14162" t="s">
        <v>43167</v>
      </c>
      <c r="P14162">
        <v>0</v>
      </c>
      <c r="Q14162">
        <v>5</v>
      </c>
      <c r="R14162" t="s">
        <v>43220</v>
      </c>
      <c r="S14162" t="s">
        <v>44409</v>
      </c>
      <c r="T14162" t="s">
        <v>45199</v>
      </c>
      <c r="U14162" t="s">
        <v>56464</v>
      </c>
      <c r="W14162" t="s">
        <v>43104</v>
      </c>
      <c r="X14162" t="s">
        <v>43268</v>
      </c>
    </row>
    <row r="14163" spans="1:24">
      <c r="A14163">
        <f>HYPERLINK("https://www.philgeps.gov.ph/GEPSNONPILOT/Tender/SplashBidNoticeAbstractUI.aspx?menuIndex=3&amp;refID=6960776&amp;Result=3","6960776")</f>
        <v>0</v>
      </c>
      <c r="B14163" t="s">
        <v>199</v>
      </c>
      <c r="C14163" t="s">
        <v>16981</v>
      </c>
      <c r="D14163" t="s">
        <v>17415</v>
      </c>
      <c r="E14163" t="s">
        <v>29645</v>
      </c>
      <c r="F14163" t="s">
        <v>30052</v>
      </c>
      <c r="G14163" t="s">
        <v>30058</v>
      </c>
      <c r="H14163" t="s">
        <v>15498</v>
      </c>
      <c r="I14163" t="s">
        <v>30124</v>
      </c>
      <c r="J14163" t="s">
        <v>38767</v>
      </c>
      <c r="K14163" t="s">
        <v>39290</v>
      </c>
      <c r="M14163" t="s">
        <v>42800</v>
      </c>
      <c r="N14163" t="s">
        <v>43166</v>
      </c>
      <c r="O14163" t="s">
        <v>43167</v>
      </c>
      <c r="Q14163">
        <v>4</v>
      </c>
      <c r="R14163" t="s">
        <v>43221</v>
      </c>
      <c r="S14163" t="s">
        <v>44410</v>
      </c>
      <c r="T14163" t="s">
        <v>44901</v>
      </c>
      <c r="U14163" t="s">
        <v>47617</v>
      </c>
      <c r="W14163" t="s">
        <v>42800</v>
      </c>
      <c r="X14163" t="s">
        <v>43220</v>
      </c>
    </row>
    <row r="14164" spans="1:24">
      <c r="A14164">
        <f>HYPERLINK("https://www.philgeps.gov.ph/GEPSNONPILOT/Tender/SplashBidNoticeAbstractUI.aspx?menuIndex=3&amp;refID=6968422&amp;Result=3","6968422")</f>
        <v>0</v>
      </c>
      <c r="B14164" t="s">
        <v>501</v>
      </c>
      <c r="C14164" t="s">
        <v>16982</v>
      </c>
      <c r="E14164" t="s">
        <v>29646</v>
      </c>
      <c r="F14164" t="s">
        <v>30052</v>
      </c>
      <c r="G14164" t="s">
        <v>30058</v>
      </c>
      <c r="H14164" t="s">
        <v>15498</v>
      </c>
      <c r="I14164" t="s">
        <v>30098</v>
      </c>
      <c r="J14164" t="s">
        <v>38768</v>
      </c>
      <c r="K14164" t="s">
        <v>39025</v>
      </c>
      <c r="M14164" t="s">
        <v>41517</v>
      </c>
      <c r="N14164" t="s">
        <v>43166</v>
      </c>
      <c r="O14164" t="s">
        <v>43167</v>
      </c>
      <c r="Q14164">
        <v>21</v>
      </c>
      <c r="R14164" t="s">
        <v>43222</v>
      </c>
      <c r="S14164" t="s">
        <v>43720</v>
      </c>
      <c r="T14164" t="s">
        <v>44830</v>
      </c>
      <c r="U14164" t="s">
        <v>56465</v>
      </c>
      <c r="W14164" t="s">
        <v>58672</v>
      </c>
      <c r="X14164" t="s">
        <v>58742</v>
      </c>
    </row>
    <row r="14165" spans="1:24">
      <c r="A14165">
        <f>HYPERLINK("https://www.philgeps.gov.ph/GEPSNONPILOT/Tender/SplashBidNoticeAbstractUI.aspx?menuIndex=3&amp;refID=6956252&amp;Result=3","6956252")</f>
        <v>0</v>
      </c>
      <c r="B14165" t="s">
        <v>1325</v>
      </c>
      <c r="C14165" t="s">
        <v>16983</v>
      </c>
      <c r="D14165" t="s">
        <v>17413</v>
      </c>
      <c r="E14165" t="s">
        <v>29647</v>
      </c>
      <c r="F14165" t="s">
        <v>30052</v>
      </c>
      <c r="G14165" t="s">
        <v>30058</v>
      </c>
      <c r="H14165" t="s">
        <v>30067</v>
      </c>
      <c r="I14165" t="s">
        <v>3693</v>
      </c>
      <c r="J14165" t="s">
        <v>31157</v>
      </c>
      <c r="K14165" t="s">
        <v>39219</v>
      </c>
      <c r="M14165" t="s">
        <v>40692</v>
      </c>
      <c r="N14165" t="s">
        <v>43166</v>
      </c>
      <c r="O14165" t="s">
        <v>43167</v>
      </c>
      <c r="Q14165">
        <v>0</v>
      </c>
      <c r="R14165" t="s">
        <v>43223</v>
      </c>
      <c r="S14165" t="s">
        <v>43689</v>
      </c>
      <c r="T14165" t="s">
        <v>44715</v>
      </c>
      <c r="U14165" t="s">
        <v>56466</v>
      </c>
      <c r="W14165" t="s">
        <v>40692</v>
      </c>
      <c r="X14165" t="s">
        <v>43226</v>
      </c>
    </row>
    <row r="14166" spans="1:24">
      <c r="A14166">
        <f>HYPERLINK("https://www.philgeps.gov.ph/GEPSNONPILOT/Tender/SplashBidNoticeAbstractUI.aspx?menuIndex=3&amp;refID=6968396&amp;Result=3","6968396")</f>
        <v>0</v>
      </c>
      <c r="B14166" t="s">
        <v>501</v>
      </c>
      <c r="C14166" t="s">
        <v>16984</v>
      </c>
      <c r="E14166" t="s">
        <v>29648</v>
      </c>
      <c r="F14166" t="s">
        <v>30052</v>
      </c>
      <c r="G14166" t="s">
        <v>30058</v>
      </c>
      <c r="H14166" t="s">
        <v>15498</v>
      </c>
      <c r="I14166" t="s">
        <v>30070</v>
      </c>
      <c r="J14166" t="s">
        <v>38769</v>
      </c>
      <c r="K14166" t="s">
        <v>39025</v>
      </c>
      <c r="M14166" t="s">
        <v>39802</v>
      </c>
      <c r="N14166" t="s">
        <v>43166</v>
      </c>
      <c r="O14166" t="s">
        <v>43167</v>
      </c>
      <c r="Q14166">
        <v>7</v>
      </c>
      <c r="R14166" t="s">
        <v>43222</v>
      </c>
      <c r="S14166" t="s">
        <v>44411</v>
      </c>
      <c r="T14166" t="s">
        <v>44830</v>
      </c>
      <c r="U14166" t="s">
        <v>56467</v>
      </c>
      <c r="V14166" t="s">
        <v>58517</v>
      </c>
      <c r="W14166" t="s">
        <v>58672</v>
      </c>
      <c r="X14166" t="s">
        <v>58742</v>
      </c>
    </row>
    <row r="14167" spans="1:24">
      <c r="A14167">
        <f>HYPERLINK("https://www.philgeps.gov.ph/GEPSNONPILOT/Tender/SplashBidNoticeAbstractUI.aspx?menuIndex=3&amp;refID=6970380&amp;Result=3","6970380")</f>
        <v>0</v>
      </c>
      <c r="B14167" t="s">
        <v>1006</v>
      </c>
      <c r="C14167" t="s">
        <v>16985</v>
      </c>
      <c r="D14167" t="s">
        <v>17424</v>
      </c>
      <c r="E14167" t="s">
        <v>29649</v>
      </c>
      <c r="F14167" t="s">
        <v>30052</v>
      </c>
      <c r="G14167" t="s">
        <v>30062</v>
      </c>
      <c r="H14167" t="s">
        <v>15498</v>
      </c>
      <c r="I14167" t="s">
        <v>30108</v>
      </c>
      <c r="J14167" t="s">
        <v>38770</v>
      </c>
      <c r="K14167" t="s">
        <v>39029</v>
      </c>
      <c r="M14167" t="s">
        <v>40335</v>
      </c>
      <c r="N14167" t="s">
        <v>43166</v>
      </c>
      <c r="O14167" t="s">
        <v>43167</v>
      </c>
      <c r="Q14167">
        <v>0</v>
      </c>
      <c r="R14167" t="s">
        <v>43224</v>
      </c>
      <c r="S14167" t="s">
        <v>44412</v>
      </c>
      <c r="T14167" t="s">
        <v>44681</v>
      </c>
      <c r="U14167" t="s">
        <v>56468</v>
      </c>
      <c r="W14167" t="s">
        <v>40335</v>
      </c>
      <c r="X14167" t="s">
        <v>58743</v>
      </c>
    </row>
    <row r="14168" spans="1:24">
      <c r="A14168">
        <f>HYPERLINK("https://www.philgeps.gov.ph/GEPSNONPILOT/Tender/SplashBidNoticeAbstractUI.aspx?menuIndex=3&amp;refID=6957664&amp;Result=3","6957664")</f>
        <v>0</v>
      </c>
      <c r="B14168" t="s">
        <v>1325</v>
      </c>
      <c r="C14168" t="s">
        <v>16986</v>
      </c>
      <c r="D14168" t="s">
        <v>17413</v>
      </c>
      <c r="E14168" t="s">
        <v>29650</v>
      </c>
      <c r="F14168" t="s">
        <v>30052</v>
      </c>
      <c r="G14168" t="s">
        <v>30058</v>
      </c>
      <c r="H14168" t="s">
        <v>30067</v>
      </c>
      <c r="I14168" t="s">
        <v>3693</v>
      </c>
      <c r="J14168" t="s">
        <v>30873</v>
      </c>
      <c r="K14168" t="s">
        <v>39031</v>
      </c>
      <c r="M14168" t="s">
        <v>40692</v>
      </c>
      <c r="N14168" t="s">
        <v>43166</v>
      </c>
      <c r="O14168" t="s">
        <v>43167</v>
      </c>
      <c r="Q14168">
        <v>0</v>
      </c>
      <c r="R14168" t="s">
        <v>43219</v>
      </c>
      <c r="S14168" t="s">
        <v>44413</v>
      </c>
      <c r="T14168" t="s">
        <v>44679</v>
      </c>
      <c r="U14168" t="s">
        <v>56469</v>
      </c>
      <c r="W14168" t="s">
        <v>40692</v>
      </c>
      <c r="X14168" t="s">
        <v>43223</v>
      </c>
    </row>
    <row r="14169" spans="1:24">
      <c r="A14169">
        <f>HYPERLINK("https://www.philgeps.gov.ph/GEPSNONPILOT/Tender/SplashBidNoticeAbstractUI.aspx?menuIndex=3&amp;refID=6957098&amp;Result=3","6957098")</f>
        <v>0</v>
      </c>
      <c r="B14169" t="s">
        <v>501</v>
      </c>
      <c r="C14169" t="s">
        <v>16987</v>
      </c>
      <c r="E14169" t="s">
        <v>29651</v>
      </c>
      <c r="F14169" t="s">
        <v>30052</v>
      </c>
      <c r="G14169" t="s">
        <v>30058</v>
      </c>
      <c r="H14169" t="s">
        <v>15498</v>
      </c>
      <c r="I14169" t="s">
        <v>30084</v>
      </c>
      <c r="J14169" t="s">
        <v>32210</v>
      </c>
      <c r="K14169" t="s">
        <v>39025</v>
      </c>
      <c r="M14169" t="s">
        <v>41517</v>
      </c>
      <c r="N14169" t="s">
        <v>43166</v>
      </c>
      <c r="O14169" t="s">
        <v>43167</v>
      </c>
      <c r="Q14169">
        <v>10</v>
      </c>
      <c r="R14169" t="s">
        <v>43219</v>
      </c>
      <c r="S14169" t="s">
        <v>44414</v>
      </c>
      <c r="T14169" t="s">
        <v>44830</v>
      </c>
      <c r="U14169" t="s">
        <v>56470</v>
      </c>
      <c r="W14169" t="s">
        <v>58672</v>
      </c>
      <c r="X14169" t="s">
        <v>43223</v>
      </c>
    </row>
    <row r="14170" spans="1:24">
      <c r="A14170">
        <f>HYPERLINK("https://www.philgeps.gov.ph/GEPSNONPILOT/Tender/SplashBidNoticeAbstractUI.aspx?menuIndex=3&amp;refID=6956495&amp;Result=3","6956495")</f>
        <v>0</v>
      </c>
      <c r="B14170" t="s">
        <v>1325</v>
      </c>
      <c r="C14170" t="s">
        <v>16988</v>
      </c>
      <c r="D14170" t="s">
        <v>17413</v>
      </c>
      <c r="E14170" t="s">
        <v>29652</v>
      </c>
      <c r="F14170" t="s">
        <v>30052</v>
      </c>
      <c r="G14170" t="s">
        <v>30058</v>
      </c>
      <c r="H14170" t="s">
        <v>30067</v>
      </c>
      <c r="I14170" t="s">
        <v>3693</v>
      </c>
      <c r="J14170" t="s">
        <v>31728</v>
      </c>
      <c r="K14170" t="s">
        <v>39133</v>
      </c>
      <c r="M14170" t="s">
        <v>40692</v>
      </c>
      <c r="N14170" t="s">
        <v>43166</v>
      </c>
      <c r="O14170" t="s">
        <v>43167</v>
      </c>
      <c r="Q14170">
        <v>1</v>
      </c>
      <c r="R14170" t="s">
        <v>43223</v>
      </c>
      <c r="S14170" t="s">
        <v>44415</v>
      </c>
      <c r="T14170" t="s">
        <v>44715</v>
      </c>
      <c r="U14170" t="s">
        <v>56471</v>
      </c>
      <c r="W14170" t="s">
        <v>40692</v>
      </c>
      <c r="X14170" t="s">
        <v>43226</v>
      </c>
    </row>
    <row r="14171" spans="1:24">
      <c r="A14171">
        <f>HYPERLINK("https://www.philgeps.gov.ph/GEPSNONPILOT/Tender/SplashBidNoticeAbstractUI.aspx?menuIndex=3&amp;refID=6944575&amp;Result=3","6944575")</f>
        <v>0</v>
      </c>
      <c r="B14171" t="s">
        <v>59</v>
      </c>
      <c r="C14171" t="s">
        <v>16989</v>
      </c>
      <c r="D14171" t="s">
        <v>17441</v>
      </c>
      <c r="E14171" t="s">
        <v>29653</v>
      </c>
      <c r="F14171" t="s">
        <v>30052</v>
      </c>
      <c r="G14171" t="s">
        <v>30058</v>
      </c>
      <c r="H14171" t="s">
        <v>30067</v>
      </c>
      <c r="I14171" t="s">
        <v>3693</v>
      </c>
      <c r="J14171" t="s">
        <v>35970</v>
      </c>
      <c r="K14171" t="s">
        <v>39026</v>
      </c>
      <c r="M14171" t="s">
        <v>39348</v>
      </c>
      <c r="N14171" t="s">
        <v>43166</v>
      </c>
      <c r="O14171" t="s">
        <v>43167</v>
      </c>
      <c r="Q14171">
        <v>13</v>
      </c>
      <c r="R14171" t="s">
        <v>43225</v>
      </c>
      <c r="S14171" t="s">
        <v>44416</v>
      </c>
      <c r="T14171" t="s">
        <v>44758</v>
      </c>
      <c r="U14171" t="s">
        <v>56472</v>
      </c>
      <c r="V14171" t="s">
        <v>56820</v>
      </c>
      <c r="W14171" t="s">
        <v>39348</v>
      </c>
      <c r="X14171" t="s">
        <v>43257</v>
      </c>
    </row>
    <row r="14172" spans="1:24">
      <c r="A14172">
        <f>HYPERLINK("https://www.philgeps.gov.ph/GEPSNONPILOT/Tender/SplashBidNoticeAbstractUI.aspx?menuIndex=3&amp;refID=6944587&amp;Result=3","6944587")</f>
        <v>0</v>
      </c>
      <c r="B14172" t="s">
        <v>59</v>
      </c>
      <c r="C14172" t="s">
        <v>16990</v>
      </c>
      <c r="D14172" t="s">
        <v>17441</v>
      </c>
      <c r="E14172" t="s">
        <v>29654</v>
      </c>
      <c r="F14172" t="s">
        <v>30052</v>
      </c>
      <c r="G14172" t="s">
        <v>30058</v>
      </c>
      <c r="H14172" t="s">
        <v>30067</v>
      </c>
      <c r="I14172" t="s">
        <v>3693</v>
      </c>
      <c r="J14172" t="s">
        <v>38771</v>
      </c>
      <c r="K14172" t="s">
        <v>39304</v>
      </c>
      <c r="M14172" t="s">
        <v>39348</v>
      </c>
      <c r="N14172" t="s">
        <v>43166</v>
      </c>
      <c r="O14172" t="s">
        <v>43167</v>
      </c>
      <c r="Q14172">
        <v>13</v>
      </c>
      <c r="R14172" t="s">
        <v>43225</v>
      </c>
      <c r="S14172" t="s">
        <v>44417</v>
      </c>
      <c r="T14172" t="s">
        <v>44758</v>
      </c>
      <c r="U14172" t="s">
        <v>56472</v>
      </c>
      <c r="V14172" t="s">
        <v>56820</v>
      </c>
      <c r="W14172" t="s">
        <v>39348</v>
      </c>
      <c r="X14172" t="s">
        <v>43257</v>
      </c>
    </row>
    <row r="14173" spans="1:24">
      <c r="A14173">
        <f>HYPERLINK("https://www.philgeps.gov.ph/GEPSNONPILOT/Tender/SplashBidNoticeAbstractUI.aspx?menuIndex=3&amp;refID=6968335&amp;Result=3","6968335")</f>
        <v>0</v>
      </c>
      <c r="B14173" t="s">
        <v>501</v>
      </c>
      <c r="C14173" t="s">
        <v>16991</v>
      </c>
      <c r="E14173" t="s">
        <v>29655</v>
      </c>
      <c r="F14173" t="s">
        <v>30052</v>
      </c>
      <c r="G14173" t="s">
        <v>30058</v>
      </c>
      <c r="H14173" t="s">
        <v>15498</v>
      </c>
      <c r="I14173" t="s">
        <v>4119</v>
      </c>
      <c r="J14173" t="s">
        <v>38772</v>
      </c>
      <c r="K14173" t="s">
        <v>39025</v>
      </c>
      <c r="M14173" t="s">
        <v>39802</v>
      </c>
      <c r="N14173" t="s">
        <v>43166</v>
      </c>
      <c r="O14173" t="s">
        <v>43167</v>
      </c>
      <c r="Q14173">
        <v>11</v>
      </c>
      <c r="R14173" t="s">
        <v>43222</v>
      </c>
      <c r="S14173" t="s">
        <v>44418</v>
      </c>
      <c r="T14173" t="s">
        <v>44830</v>
      </c>
      <c r="U14173" t="s">
        <v>56473</v>
      </c>
      <c r="V14173" t="s">
        <v>58518</v>
      </c>
      <c r="W14173" t="s">
        <v>58672</v>
      </c>
      <c r="X14173" t="s">
        <v>58742</v>
      </c>
    </row>
    <row r="14174" spans="1:24">
      <c r="A14174">
        <f>HYPERLINK("https://www.philgeps.gov.ph/GEPSNONPILOT/Tender/SplashBidNoticeAbstractUI.aspx?menuIndex=3&amp;refID=6955348&amp;Result=3","6955348")</f>
        <v>0</v>
      </c>
      <c r="B14174" t="s">
        <v>1325</v>
      </c>
      <c r="C14174" t="s">
        <v>16992</v>
      </c>
      <c r="D14174" t="s">
        <v>17413</v>
      </c>
      <c r="E14174" t="s">
        <v>29656</v>
      </c>
      <c r="F14174" t="s">
        <v>30052</v>
      </c>
      <c r="G14174" t="s">
        <v>30058</v>
      </c>
      <c r="H14174" t="s">
        <v>30067</v>
      </c>
      <c r="I14174" t="s">
        <v>3693</v>
      </c>
      <c r="J14174" t="s">
        <v>30873</v>
      </c>
      <c r="K14174" t="s">
        <v>39027</v>
      </c>
      <c r="M14174" t="s">
        <v>40692</v>
      </c>
      <c r="N14174" t="s">
        <v>43166</v>
      </c>
      <c r="O14174" t="s">
        <v>43167</v>
      </c>
      <c r="Q14174">
        <v>0</v>
      </c>
      <c r="R14174" t="s">
        <v>43226</v>
      </c>
      <c r="S14174" t="s">
        <v>44419</v>
      </c>
      <c r="T14174" t="s">
        <v>44720</v>
      </c>
      <c r="U14174" t="s">
        <v>56474</v>
      </c>
      <c r="W14174" t="s">
        <v>40692</v>
      </c>
      <c r="X14174" t="s">
        <v>58730</v>
      </c>
    </row>
    <row r="14175" spans="1:24">
      <c r="A14175">
        <f>HYPERLINK("https://www.philgeps.gov.ph/GEPSNONPILOT/Tender/SplashBidNoticeAbstractUI.aspx?menuIndex=3&amp;refID=6935034&amp;Result=3","6935034")</f>
        <v>0</v>
      </c>
      <c r="B14175" t="s">
        <v>919</v>
      </c>
      <c r="C14175" t="s">
        <v>16993</v>
      </c>
      <c r="E14175" t="s">
        <v>29657</v>
      </c>
      <c r="F14175" t="s">
        <v>30052</v>
      </c>
      <c r="G14175" t="s">
        <v>30058</v>
      </c>
      <c r="H14175" t="s">
        <v>30067</v>
      </c>
      <c r="I14175" t="s">
        <v>3693</v>
      </c>
      <c r="J14175" t="s">
        <v>31732</v>
      </c>
      <c r="K14175" t="s">
        <v>39025</v>
      </c>
      <c r="M14175" t="s">
        <v>43101</v>
      </c>
      <c r="N14175" t="s">
        <v>43166</v>
      </c>
      <c r="O14175" t="s">
        <v>43167</v>
      </c>
      <c r="Q14175">
        <v>0</v>
      </c>
      <c r="R14175" t="s">
        <v>43225</v>
      </c>
      <c r="S14175" t="s">
        <v>44420</v>
      </c>
      <c r="T14175" t="s">
        <v>44717</v>
      </c>
      <c r="U14175" t="s">
        <v>56475</v>
      </c>
      <c r="V14175" t="s">
        <v>58519</v>
      </c>
      <c r="W14175" t="s">
        <v>43101</v>
      </c>
      <c r="X14175" t="s">
        <v>43231</v>
      </c>
    </row>
    <row r="14176" spans="1:24">
      <c r="A14176">
        <f>HYPERLINK("https://www.philgeps.gov.ph/GEPSNONPILOT/Tender/SplashBidNoticeAbstractUI.aspx?menuIndex=3&amp;refID=6945040&amp;Result=3","6945040")</f>
        <v>0</v>
      </c>
      <c r="B14176" t="s">
        <v>3425</v>
      </c>
      <c r="C14176" t="s">
        <v>16994</v>
      </c>
      <c r="D14176" t="s">
        <v>17470</v>
      </c>
      <c r="E14176" t="s">
        <v>29658</v>
      </c>
      <c r="F14176" t="s">
        <v>30052</v>
      </c>
      <c r="G14176" t="s">
        <v>30058</v>
      </c>
      <c r="H14176" t="s">
        <v>15498</v>
      </c>
      <c r="I14176" t="s">
        <v>9238</v>
      </c>
      <c r="J14176" t="s">
        <v>30321</v>
      </c>
      <c r="K14176" t="s">
        <v>39029</v>
      </c>
      <c r="M14176" t="s">
        <v>43105</v>
      </c>
      <c r="N14176" t="s">
        <v>43166</v>
      </c>
      <c r="O14176" t="s">
        <v>43167</v>
      </c>
      <c r="Q14176">
        <v>32</v>
      </c>
      <c r="R14176" t="s">
        <v>43227</v>
      </c>
      <c r="S14176" t="s">
        <v>44421</v>
      </c>
      <c r="T14176" t="s">
        <v>44786</v>
      </c>
      <c r="U14176" t="s">
        <v>56476</v>
      </c>
      <c r="W14176" t="s">
        <v>43105</v>
      </c>
      <c r="X14176" t="s">
        <v>43225</v>
      </c>
    </row>
    <row r="14177" spans="1:24">
      <c r="A14177">
        <f>HYPERLINK("https://www.philgeps.gov.ph/GEPSNONPILOT/Tender/SplashBidNoticeAbstractUI.aspx?menuIndex=3&amp;refID=6933745&amp;Result=3","6933745")</f>
        <v>0</v>
      </c>
      <c r="B14177" t="s">
        <v>919</v>
      </c>
      <c r="C14177" t="s">
        <v>16995</v>
      </c>
      <c r="E14177" t="s">
        <v>29659</v>
      </c>
      <c r="F14177" t="s">
        <v>30052</v>
      </c>
      <c r="G14177" t="s">
        <v>30058</v>
      </c>
      <c r="H14177" t="s">
        <v>30067</v>
      </c>
      <c r="I14177" t="s">
        <v>3693</v>
      </c>
      <c r="J14177" t="s">
        <v>36524</v>
      </c>
      <c r="K14177" t="s">
        <v>39025</v>
      </c>
      <c r="M14177" t="s">
        <v>43101</v>
      </c>
      <c r="N14177" t="s">
        <v>43166</v>
      </c>
      <c r="O14177" t="s">
        <v>43167</v>
      </c>
      <c r="Q14177">
        <v>3</v>
      </c>
      <c r="R14177" t="s">
        <v>43225</v>
      </c>
      <c r="S14177" t="s">
        <v>44422</v>
      </c>
      <c r="T14177" t="s">
        <v>44717</v>
      </c>
      <c r="U14177" t="s">
        <v>56477</v>
      </c>
      <c r="V14177" t="s">
        <v>58520</v>
      </c>
      <c r="W14177" t="s">
        <v>43101</v>
      </c>
      <c r="X14177" t="s">
        <v>43231</v>
      </c>
    </row>
    <row r="14178" spans="1:24">
      <c r="A14178">
        <f>HYPERLINK("https://www.philgeps.gov.ph/GEPSNONPILOT/Tender/SplashBidNoticeAbstractUI.aspx?menuIndex=3&amp;refID=6877479-2&amp;Result=3","6877479-2")</f>
        <v>0</v>
      </c>
      <c r="B14178" t="s">
        <v>2620</v>
      </c>
      <c r="C14178" t="s">
        <v>16996</v>
      </c>
      <c r="D14178" t="s">
        <v>17417</v>
      </c>
      <c r="E14178" t="s">
        <v>29660</v>
      </c>
      <c r="F14178" t="s">
        <v>30052</v>
      </c>
      <c r="G14178" t="s">
        <v>30058</v>
      </c>
      <c r="H14178" t="s">
        <v>30068</v>
      </c>
      <c r="I14178" t="s">
        <v>30068</v>
      </c>
      <c r="J14178" t="s">
        <v>38773</v>
      </c>
      <c r="K14178" t="s">
        <v>39057</v>
      </c>
      <c r="M14178" t="s">
        <v>42581</v>
      </c>
      <c r="N14178" t="s">
        <v>43166</v>
      </c>
      <c r="O14178" t="s">
        <v>43167</v>
      </c>
      <c r="Q14178">
        <v>1</v>
      </c>
      <c r="R14178" t="s">
        <v>43228</v>
      </c>
      <c r="S14178" t="s">
        <v>44423</v>
      </c>
      <c r="T14178" t="s">
        <v>44773</v>
      </c>
      <c r="U14178" t="s">
        <v>56478</v>
      </c>
      <c r="W14178" t="s">
        <v>42581</v>
      </c>
      <c r="X14178" t="s">
        <v>43227</v>
      </c>
    </row>
    <row r="14179" spans="1:24">
      <c r="A14179">
        <f>HYPERLINK("https://www.philgeps.gov.ph/GEPSNONPILOT/Tender/SplashBidNoticeAbstractUI.aspx?menuIndex=3&amp;refID=6933248&amp;Result=3","6933248")</f>
        <v>0</v>
      </c>
      <c r="B14179" t="s">
        <v>696</v>
      </c>
      <c r="C14179" t="s">
        <v>16997</v>
      </c>
      <c r="D14179" t="s">
        <v>17432</v>
      </c>
      <c r="E14179" t="s">
        <v>29661</v>
      </c>
      <c r="F14179" t="s">
        <v>30052</v>
      </c>
      <c r="G14179" t="s">
        <v>30059</v>
      </c>
      <c r="H14179" t="s">
        <v>15498</v>
      </c>
      <c r="I14179" t="s">
        <v>3693</v>
      </c>
      <c r="J14179" t="s">
        <v>38774</v>
      </c>
      <c r="K14179" t="s">
        <v>39064</v>
      </c>
      <c r="M14179" t="s">
        <v>40004</v>
      </c>
      <c r="N14179" t="s">
        <v>43166</v>
      </c>
      <c r="O14179" t="s">
        <v>43167</v>
      </c>
      <c r="Q14179">
        <v>0</v>
      </c>
      <c r="R14179" t="s">
        <v>43229</v>
      </c>
      <c r="S14179" t="s">
        <v>44424</v>
      </c>
      <c r="T14179" t="s">
        <v>44806</v>
      </c>
      <c r="U14179" t="s">
        <v>56479</v>
      </c>
      <c r="W14179" t="s">
        <v>40004</v>
      </c>
      <c r="X14179" t="s">
        <v>43231</v>
      </c>
    </row>
    <row r="14180" spans="1:24">
      <c r="A14180">
        <f>HYPERLINK("https://www.philgeps.gov.ph/GEPSNONPILOT/Tender/SplashBidNoticeAbstractUI.aspx?menuIndex=3&amp;refID=6935056&amp;Result=3","6935056")</f>
        <v>0</v>
      </c>
      <c r="B14180" t="s">
        <v>919</v>
      </c>
      <c r="C14180" t="s">
        <v>16998</v>
      </c>
      <c r="E14180" t="s">
        <v>29662</v>
      </c>
      <c r="F14180" t="s">
        <v>30052</v>
      </c>
      <c r="G14180" t="s">
        <v>30058</v>
      </c>
      <c r="H14180" t="s">
        <v>30067</v>
      </c>
      <c r="I14180" t="s">
        <v>3693</v>
      </c>
      <c r="J14180" t="s">
        <v>36524</v>
      </c>
      <c r="K14180" t="s">
        <v>39025</v>
      </c>
      <c r="M14180" t="s">
        <v>43101</v>
      </c>
      <c r="N14180" t="s">
        <v>43166</v>
      </c>
      <c r="O14180" t="s">
        <v>43167</v>
      </c>
      <c r="Q14180">
        <v>1</v>
      </c>
      <c r="R14180" t="s">
        <v>43225</v>
      </c>
      <c r="S14180" t="s">
        <v>44425</v>
      </c>
      <c r="T14180" t="s">
        <v>44717</v>
      </c>
      <c r="U14180" t="s">
        <v>56480</v>
      </c>
      <c r="V14180" t="s">
        <v>58521</v>
      </c>
      <c r="W14180" t="s">
        <v>43101</v>
      </c>
      <c r="X14180" t="s">
        <v>43231</v>
      </c>
    </row>
    <row r="14181" spans="1:24">
      <c r="A14181">
        <f>HYPERLINK("https://www.philgeps.gov.ph/GEPSNONPILOT/Tender/SplashBidNoticeAbstractUI.aspx?menuIndex=3&amp;refID=6947100&amp;Result=3","6947100")</f>
        <v>0</v>
      </c>
      <c r="B14181" t="s">
        <v>2620</v>
      </c>
      <c r="C14181" t="s">
        <v>16999</v>
      </c>
      <c r="D14181" t="s">
        <v>17459</v>
      </c>
      <c r="E14181" t="s">
        <v>29663</v>
      </c>
      <c r="F14181" t="s">
        <v>30052</v>
      </c>
      <c r="G14181" t="s">
        <v>30058</v>
      </c>
      <c r="H14181" t="s">
        <v>30068</v>
      </c>
      <c r="I14181" t="s">
        <v>30068</v>
      </c>
      <c r="J14181" t="s">
        <v>38775</v>
      </c>
      <c r="K14181" t="s">
        <v>39026</v>
      </c>
      <c r="M14181" t="s">
        <v>42581</v>
      </c>
      <c r="N14181" t="s">
        <v>43166</v>
      </c>
      <c r="O14181" t="s">
        <v>43167</v>
      </c>
      <c r="Q14181">
        <v>2</v>
      </c>
      <c r="R14181" t="s">
        <v>43228</v>
      </c>
      <c r="S14181" t="s">
        <v>44426</v>
      </c>
      <c r="T14181" t="s">
        <v>44773</v>
      </c>
      <c r="U14181" t="s">
        <v>56481</v>
      </c>
      <c r="W14181" t="s">
        <v>42581</v>
      </c>
      <c r="X14181" t="s">
        <v>43227</v>
      </c>
    </row>
    <row r="14182" spans="1:24">
      <c r="A14182">
        <f>HYPERLINK("https://www.philgeps.gov.ph/GEPSNONPILOT/Tender/SplashBidNoticeAbstractUI.aspx?menuIndex=3&amp;refID=6934606&amp;Result=3","6934606")</f>
        <v>0</v>
      </c>
      <c r="B14182" t="s">
        <v>684</v>
      </c>
      <c r="C14182" t="s">
        <v>17000</v>
      </c>
      <c r="D14182" t="s">
        <v>17499</v>
      </c>
      <c r="E14182" t="s">
        <v>29664</v>
      </c>
      <c r="F14182" t="s">
        <v>30052</v>
      </c>
      <c r="G14182" t="s">
        <v>30058</v>
      </c>
      <c r="H14182" t="s">
        <v>15498</v>
      </c>
      <c r="I14182" t="s">
        <v>30124</v>
      </c>
      <c r="J14182" t="s">
        <v>35179</v>
      </c>
      <c r="K14182" t="s">
        <v>39026</v>
      </c>
      <c r="M14182" t="s">
        <v>39999</v>
      </c>
      <c r="N14182" t="s">
        <v>43166</v>
      </c>
      <c r="O14182" t="s">
        <v>43167</v>
      </c>
      <c r="Q14182">
        <v>17</v>
      </c>
      <c r="R14182" t="s">
        <v>43229</v>
      </c>
      <c r="S14182" t="s">
        <v>44427</v>
      </c>
      <c r="T14182" t="s">
        <v>44835</v>
      </c>
      <c r="U14182" t="s">
        <v>56482</v>
      </c>
      <c r="W14182" t="s">
        <v>39999</v>
      </c>
      <c r="X14182" t="s">
        <v>43231</v>
      </c>
    </row>
    <row r="14183" spans="1:24">
      <c r="A14183">
        <f>HYPERLINK("https://www.philgeps.gov.ph/GEPSNONPILOT/Tender/SplashBidNoticeAbstractUI.aspx?menuIndex=3&amp;refID=6957189&amp;Result=3","6957189")</f>
        <v>0</v>
      </c>
      <c r="B14183" t="s">
        <v>1325</v>
      </c>
      <c r="C14183" t="s">
        <v>17001</v>
      </c>
      <c r="D14183" t="s">
        <v>17413</v>
      </c>
      <c r="E14183" t="s">
        <v>29665</v>
      </c>
      <c r="F14183" t="s">
        <v>30052</v>
      </c>
      <c r="G14183" t="s">
        <v>30058</v>
      </c>
      <c r="H14183" t="s">
        <v>30067</v>
      </c>
      <c r="I14183" t="s">
        <v>3693</v>
      </c>
      <c r="J14183" t="s">
        <v>30823</v>
      </c>
      <c r="K14183" t="s">
        <v>39266</v>
      </c>
      <c r="M14183" t="s">
        <v>40692</v>
      </c>
      <c r="N14183" t="s">
        <v>43166</v>
      </c>
      <c r="O14183" t="s">
        <v>43167</v>
      </c>
      <c r="Q14183">
        <v>0</v>
      </c>
      <c r="R14183" t="s">
        <v>43219</v>
      </c>
      <c r="S14183" t="s">
        <v>43973</v>
      </c>
      <c r="T14183" t="s">
        <v>44679</v>
      </c>
      <c r="U14183" t="s">
        <v>56483</v>
      </c>
      <c r="W14183" t="s">
        <v>40692</v>
      </c>
      <c r="X14183" t="s">
        <v>43223</v>
      </c>
    </row>
    <row r="14184" spans="1:24">
      <c r="A14184">
        <f>HYPERLINK("https://www.philgeps.gov.ph/GEPSNONPILOT/Tender/SplashBidNoticeAbstractUI.aspx?menuIndex=3&amp;refID=6934373&amp;Result=3","6934373")</f>
        <v>0</v>
      </c>
      <c r="B14184" t="s">
        <v>1325</v>
      </c>
      <c r="C14184" t="s">
        <v>17002</v>
      </c>
      <c r="D14184" t="s">
        <v>17413</v>
      </c>
      <c r="E14184" t="s">
        <v>29666</v>
      </c>
      <c r="F14184" t="s">
        <v>30052</v>
      </c>
      <c r="G14184" t="s">
        <v>30058</v>
      </c>
      <c r="H14184" t="s">
        <v>30067</v>
      </c>
      <c r="I14184" t="s">
        <v>3693</v>
      </c>
      <c r="J14184" t="s">
        <v>30645</v>
      </c>
      <c r="K14184" t="s">
        <v>39081</v>
      </c>
      <c r="M14184" t="s">
        <v>40692</v>
      </c>
      <c r="N14184" t="s">
        <v>43166</v>
      </c>
      <c r="O14184" t="s">
        <v>43167</v>
      </c>
      <c r="Q14184">
        <v>0</v>
      </c>
      <c r="R14184" t="s">
        <v>43229</v>
      </c>
      <c r="S14184" t="s">
        <v>44428</v>
      </c>
      <c r="T14184" t="s">
        <v>44734</v>
      </c>
      <c r="U14184" t="s">
        <v>56484</v>
      </c>
      <c r="W14184" t="s">
        <v>40692</v>
      </c>
      <c r="X14184" t="s">
        <v>43231</v>
      </c>
    </row>
    <row r="14185" spans="1:24">
      <c r="A14185">
        <f>HYPERLINK("https://www.philgeps.gov.ph/GEPSNONPILOT/Tender/SplashBidNoticeAbstractUI.aspx?menuIndex=3&amp;refID=6933999&amp;Result=3","6933999")</f>
        <v>0</v>
      </c>
      <c r="B14185" t="s">
        <v>611</v>
      </c>
      <c r="C14185" t="s">
        <v>17003</v>
      </c>
      <c r="D14185" t="s">
        <v>17415</v>
      </c>
      <c r="E14185" t="s">
        <v>29667</v>
      </c>
      <c r="F14185" t="s">
        <v>30052</v>
      </c>
      <c r="G14185" t="s">
        <v>30061</v>
      </c>
      <c r="H14185" t="s">
        <v>15498</v>
      </c>
      <c r="I14185" t="s">
        <v>30096</v>
      </c>
      <c r="J14185" t="s">
        <v>38776</v>
      </c>
      <c r="K14185" t="s">
        <v>39019</v>
      </c>
      <c r="M14185" t="s">
        <v>39913</v>
      </c>
      <c r="N14185" t="s">
        <v>43166</v>
      </c>
      <c r="O14185" t="s">
        <v>43167</v>
      </c>
      <c r="Q14185">
        <v>11</v>
      </c>
      <c r="R14185" t="s">
        <v>43229</v>
      </c>
      <c r="S14185" t="s">
        <v>44429</v>
      </c>
      <c r="T14185" t="s">
        <v>44728</v>
      </c>
      <c r="U14185" t="s">
        <v>56485</v>
      </c>
      <c r="W14185" t="s">
        <v>39913</v>
      </c>
      <c r="X14185" t="s">
        <v>43231</v>
      </c>
    </row>
    <row r="14186" spans="1:24">
      <c r="A14186">
        <f>HYPERLINK("https://www.philgeps.gov.ph/GEPSNONPILOT/Tender/SplashBidNoticeAbstractUI.aspx?menuIndex=3&amp;refID=6933623&amp;Result=3","6933623")</f>
        <v>0</v>
      </c>
      <c r="B14186" t="s">
        <v>611</v>
      </c>
      <c r="C14186" t="s">
        <v>4662</v>
      </c>
      <c r="D14186" t="s">
        <v>17415</v>
      </c>
      <c r="E14186" t="s">
        <v>29668</v>
      </c>
      <c r="F14186" t="s">
        <v>30052</v>
      </c>
      <c r="G14186" t="s">
        <v>30059</v>
      </c>
      <c r="H14186" t="s">
        <v>15498</v>
      </c>
      <c r="I14186" t="s">
        <v>4119</v>
      </c>
      <c r="J14186" t="s">
        <v>38485</v>
      </c>
      <c r="K14186" t="s">
        <v>39019</v>
      </c>
      <c r="M14186" t="s">
        <v>39913</v>
      </c>
      <c r="N14186" t="s">
        <v>43166</v>
      </c>
      <c r="O14186" t="s">
        <v>43167</v>
      </c>
      <c r="Q14186">
        <v>5</v>
      </c>
      <c r="R14186" t="s">
        <v>43229</v>
      </c>
      <c r="S14186" t="s">
        <v>44430</v>
      </c>
      <c r="T14186" t="s">
        <v>44728</v>
      </c>
      <c r="U14186" t="s">
        <v>56486</v>
      </c>
      <c r="W14186" t="s">
        <v>39913</v>
      </c>
      <c r="X14186" t="s">
        <v>43231</v>
      </c>
    </row>
    <row r="14187" spans="1:24">
      <c r="A14187">
        <f>HYPERLINK("https://www.philgeps.gov.ph/GEPSNONPILOT/Tender/SplashBidNoticeAbstractUI.aspx?menuIndex=3&amp;refID=6877324-2&amp;Result=3","6877324-2")</f>
        <v>0</v>
      </c>
      <c r="B14187" t="s">
        <v>2620</v>
      </c>
      <c r="C14187" t="s">
        <v>17004</v>
      </c>
      <c r="D14187" t="s">
        <v>17459</v>
      </c>
      <c r="E14187" t="s">
        <v>29669</v>
      </c>
      <c r="F14187" t="s">
        <v>30052</v>
      </c>
      <c r="G14187" t="s">
        <v>30058</v>
      </c>
      <c r="H14187" t="s">
        <v>30068</v>
      </c>
      <c r="I14187" t="s">
        <v>30068</v>
      </c>
      <c r="J14187" t="s">
        <v>38777</v>
      </c>
      <c r="K14187" t="s">
        <v>39057</v>
      </c>
      <c r="M14187" t="s">
        <v>42581</v>
      </c>
      <c r="N14187" t="s">
        <v>43166</v>
      </c>
      <c r="O14187" t="s">
        <v>43167</v>
      </c>
      <c r="Q14187">
        <v>1</v>
      </c>
      <c r="R14187" t="s">
        <v>43228</v>
      </c>
      <c r="S14187" t="s">
        <v>44431</v>
      </c>
      <c r="T14187" t="s">
        <v>44773</v>
      </c>
      <c r="U14187" t="s">
        <v>56487</v>
      </c>
      <c r="W14187" t="s">
        <v>42581</v>
      </c>
      <c r="X14187" t="s">
        <v>43227</v>
      </c>
    </row>
    <row r="14188" spans="1:24">
      <c r="A14188">
        <f>HYPERLINK("https://www.philgeps.gov.ph/GEPSNONPILOT/Tender/SplashBidNoticeAbstractUI.aspx?menuIndex=3&amp;refID=6929936&amp;Result=3","6929936")</f>
        <v>0</v>
      </c>
      <c r="B14188" t="s">
        <v>501</v>
      </c>
      <c r="C14188" t="s">
        <v>17005</v>
      </c>
      <c r="E14188" t="s">
        <v>29670</v>
      </c>
      <c r="F14188" t="s">
        <v>30052</v>
      </c>
      <c r="G14188" t="s">
        <v>30058</v>
      </c>
      <c r="H14188" t="s">
        <v>15498</v>
      </c>
      <c r="I14188" t="s">
        <v>30100</v>
      </c>
      <c r="J14188" t="s">
        <v>38778</v>
      </c>
      <c r="K14188" t="s">
        <v>39025</v>
      </c>
      <c r="M14188" t="s">
        <v>39802</v>
      </c>
      <c r="N14188" t="s">
        <v>43166</v>
      </c>
      <c r="O14188" t="s">
        <v>43167</v>
      </c>
      <c r="Q14188">
        <v>6</v>
      </c>
      <c r="R14188" t="s">
        <v>43229</v>
      </c>
      <c r="S14188" t="s">
        <v>44432</v>
      </c>
      <c r="T14188" t="s">
        <v>44710</v>
      </c>
      <c r="U14188" t="s">
        <v>56488</v>
      </c>
      <c r="V14188" t="s">
        <v>58522</v>
      </c>
      <c r="W14188" t="s">
        <v>58718</v>
      </c>
      <c r="X14188" t="s">
        <v>43233</v>
      </c>
    </row>
    <row r="14189" spans="1:24">
      <c r="A14189">
        <f>HYPERLINK("https://www.philgeps.gov.ph/GEPSNONPILOT/Tender/SplashBidNoticeAbstractUI.aspx?menuIndex=3&amp;refID=6933932&amp;Result=3","6933932")</f>
        <v>0</v>
      </c>
      <c r="B14189" t="s">
        <v>611</v>
      </c>
      <c r="C14189" t="s">
        <v>4650</v>
      </c>
      <c r="D14189" t="s">
        <v>17464</v>
      </c>
      <c r="E14189" t="s">
        <v>29671</v>
      </c>
      <c r="F14189" t="s">
        <v>30052</v>
      </c>
      <c r="G14189" t="s">
        <v>30059</v>
      </c>
      <c r="H14189" t="s">
        <v>15498</v>
      </c>
      <c r="I14189" t="s">
        <v>4650</v>
      </c>
      <c r="J14189" t="s">
        <v>38779</v>
      </c>
      <c r="K14189" t="s">
        <v>39019</v>
      </c>
      <c r="M14189" t="s">
        <v>39913</v>
      </c>
      <c r="N14189" t="s">
        <v>43166</v>
      </c>
      <c r="O14189" t="s">
        <v>43167</v>
      </c>
      <c r="Q14189">
        <v>9</v>
      </c>
      <c r="R14189" t="s">
        <v>43229</v>
      </c>
      <c r="S14189" t="s">
        <v>44433</v>
      </c>
      <c r="T14189" t="s">
        <v>44728</v>
      </c>
      <c r="U14189" t="s">
        <v>56489</v>
      </c>
      <c r="W14189" t="s">
        <v>39913</v>
      </c>
      <c r="X14189" t="s">
        <v>43231</v>
      </c>
    </row>
    <row r="14190" spans="1:24">
      <c r="A14190">
        <f>HYPERLINK("https://www.philgeps.gov.ph/GEPSNONPILOT/Tender/SplashBidNoticeAbstractUI.aspx?menuIndex=3&amp;refID=6917834&amp;Result=3","6917834")</f>
        <v>0</v>
      </c>
      <c r="B14190" t="s">
        <v>1000</v>
      </c>
      <c r="C14190" t="s">
        <v>17006</v>
      </c>
      <c r="D14190" t="s">
        <v>17422</v>
      </c>
      <c r="E14190" t="s">
        <v>29672</v>
      </c>
      <c r="F14190" t="s">
        <v>30052</v>
      </c>
      <c r="G14190" t="s">
        <v>30058</v>
      </c>
      <c r="H14190" t="s">
        <v>15498</v>
      </c>
      <c r="I14190" t="s">
        <v>12885</v>
      </c>
      <c r="J14190" t="s">
        <v>37164</v>
      </c>
      <c r="K14190" t="s">
        <v>39273</v>
      </c>
      <c r="M14190" t="s">
        <v>40329</v>
      </c>
      <c r="N14190" t="s">
        <v>43166</v>
      </c>
      <c r="O14190" t="s">
        <v>43167</v>
      </c>
      <c r="Q14190">
        <v>3</v>
      </c>
      <c r="R14190" t="s">
        <v>43229</v>
      </c>
      <c r="S14190" t="s">
        <v>44434</v>
      </c>
      <c r="T14190" t="s">
        <v>44762</v>
      </c>
      <c r="U14190" t="s">
        <v>56490</v>
      </c>
      <c r="V14190" t="s">
        <v>56838</v>
      </c>
      <c r="W14190" t="s">
        <v>40329</v>
      </c>
      <c r="X14190" t="s">
        <v>43234</v>
      </c>
    </row>
    <row r="14191" spans="1:24">
      <c r="A14191">
        <f>HYPERLINK("https://www.philgeps.gov.ph/GEPSNONPILOT/Tender/SplashBidNoticeAbstractUI.aspx?menuIndex=3&amp;refID=6938859&amp;Result=3","6938859")</f>
        <v>0</v>
      </c>
      <c r="B14191" t="s">
        <v>1325</v>
      </c>
      <c r="C14191" t="s">
        <v>17007</v>
      </c>
      <c r="D14191" t="s">
        <v>17413</v>
      </c>
      <c r="E14191" t="s">
        <v>29673</v>
      </c>
      <c r="F14191" t="s">
        <v>30052</v>
      </c>
      <c r="G14191" t="s">
        <v>30058</v>
      </c>
      <c r="H14191" t="s">
        <v>30067</v>
      </c>
      <c r="I14191" t="s">
        <v>3693</v>
      </c>
      <c r="J14191" t="s">
        <v>33649</v>
      </c>
      <c r="K14191" t="s">
        <v>39031</v>
      </c>
      <c r="M14191" t="s">
        <v>40692</v>
      </c>
      <c r="N14191" t="s">
        <v>43166</v>
      </c>
      <c r="O14191" t="s">
        <v>43167</v>
      </c>
      <c r="Q14191">
        <v>0</v>
      </c>
      <c r="R14191" t="s">
        <v>43230</v>
      </c>
      <c r="S14191" t="s">
        <v>44435</v>
      </c>
      <c r="T14191" t="s">
        <v>44720</v>
      </c>
      <c r="U14191" t="s">
        <v>56491</v>
      </c>
      <c r="W14191" t="s">
        <v>40692</v>
      </c>
      <c r="X14191" t="s">
        <v>43229</v>
      </c>
    </row>
    <row r="14192" spans="1:24">
      <c r="A14192">
        <f>HYPERLINK("https://www.philgeps.gov.ph/GEPSNONPILOT/Tender/SplashBidNoticeAbstractUI.aspx?menuIndex=3&amp;refID=6932470&amp;Result=3","6932470")</f>
        <v>0</v>
      </c>
      <c r="B14192" t="s">
        <v>3160</v>
      </c>
      <c r="C14192" t="s">
        <v>17008</v>
      </c>
      <c r="D14192" t="s">
        <v>17415</v>
      </c>
      <c r="E14192" t="s">
        <v>29674</v>
      </c>
      <c r="F14192" t="s">
        <v>30052</v>
      </c>
      <c r="G14192" t="s">
        <v>30058</v>
      </c>
      <c r="H14192" t="s">
        <v>15498</v>
      </c>
      <c r="I14192" t="s">
        <v>3852</v>
      </c>
      <c r="J14192" t="s">
        <v>38780</v>
      </c>
      <c r="K14192" t="s">
        <v>39025</v>
      </c>
      <c r="M14192" t="s">
        <v>42767</v>
      </c>
      <c r="N14192" t="s">
        <v>43166</v>
      </c>
      <c r="O14192" t="s">
        <v>43167</v>
      </c>
      <c r="Q14192">
        <v>8</v>
      </c>
      <c r="R14192" t="s">
        <v>43231</v>
      </c>
      <c r="S14192" t="s">
        <v>44436</v>
      </c>
      <c r="T14192" t="s">
        <v>45200</v>
      </c>
      <c r="U14192" t="s">
        <v>56492</v>
      </c>
      <c r="W14192" t="s">
        <v>42767</v>
      </c>
      <c r="X14192" t="s">
        <v>43233</v>
      </c>
    </row>
    <row r="14193" spans="1:24">
      <c r="A14193">
        <f>HYPERLINK("https://www.philgeps.gov.ph/GEPSNONPILOT/Tender/SplashBidNoticeAbstractUI.aspx?menuIndex=3&amp;refID=6933890&amp;Result=3","6933890")</f>
        <v>0</v>
      </c>
      <c r="B14193" t="s">
        <v>611</v>
      </c>
      <c r="C14193" t="s">
        <v>3606</v>
      </c>
      <c r="D14193" t="s">
        <v>17415</v>
      </c>
      <c r="E14193" t="s">
        <v>29675</v>
      </c>
      <c r="F14193" t="s">
        <v>30052</v>
      </c>
      <c r="G14193" t="s">
        <v>30059</v>
      </c>
      <c r="H14193" t="s">
        <v>15498</v>
      </c>
      <c r="I14193" t="s">
        <v>3606</v>
      </c>
      <c r="J14193" t="s">
        <v>38781</v>
      </c>
      <c r="K14193" t="s">
        <v>39019</v>
      </c>
      <c r="M14193" t="s">
        <v>39913</v>
      </c>
      <c r="N14193" t="s">
        <v>43166</v>
      </c>
      <c r="O14193" t="s">
        <v>43167</v>
      </c>
      <c r="Q14193">
        <v>2</v>
      </c>
      <c r="R14193" t="s">
        <v>43229</v>
      </c>
      <c r="S14193" t="s">
        <v>44437</v>
      </c>
      <c r="T14193" t="s">
        <v>44728</v>
      </c>
      <c r="U14193" t="s">
        <v>56493</v>
      </c>
      <c r="W14193" t="s">
        <v>39913</v>
      </c>
      <c r="X14193" t="s">
        <v>43231</v>
      </c>
    </row>
    <row r="14194" spans="1:24">
      <c r="A14194">
        <f>HYPERLINK("https://www.philgeps.gov.ph/GEPSNONPILOT/Tender/SplashBidNoticeAbstractUI.aspx?menuIndex=3&amp;refID=6938806&amp;Result=3","6938806")</f>
        <v>0</v>
      </c>
      <c r="B14194" t="s">
        <v>1325</v>
      </c>
      <c r="C14194" t="s">
        <v>17009</v>
      </c>
      <c r="D14194" t="s">
        <v>17413</v>
      </c>
      <c r="E14194" t="s">
        <v>29676</v>
      </c>
      <c r="F14194" t="s">
        <v>30052</v>
      </c>
      <c r="G14194" t="s">
        <v>30058</v>
      </c>
      <c r="H14194" t="s">
        <v>30067</v>
      </c>
      <c r="I14194" t="s">
        <v>3693</v>
      </c>
      <c r="J14194" t="s">
        <v>33649</v>
      </c>
      <c r="K14194" t="s">
        <v>39031</v>
      </c>
      <c r="M14194" t="s">
        <v>40692</v>
      </c>
      <c r="N14194" t="s">
        <v>43166</v>
      </c>
      <c r="O14194" t="s">
        <v>43167</v>
      </c>
      <c r="Q14194">
        <v>0</v>
      </c>
      <c r="R14194" t="s">
        <v>43230</v>
      </c>
      <c r="S14194" t="s">
        <v>44438</v>
      </c>
      <c r="T14194" t="s">
        <v>44720</v>
      </c>
      <c r="U14194" t="s">
        <v>56494</v>
      </c>
      <c r="W14194" t="s">
        <v>40692</v>
      </c>
      <c r="X14194" t="s">
        <v>43229</v>
      </c>
    </row>
    <row r="14195" spans="1:24">
      <c r="A14195">
        <f>HYPERLINK("https://www.philgeps.gov.ph/GEPSNONPILOT/Tender/SplashBidNoticeAbstractUI.aspx?menuIndex=3&amp;refID=6932421&amp;Result=3","6932421")</f>
        <v>0</v>
      </c>
      <c r="B14195" t="s">
        <v>1486</v>
      </c>
      <c r="C14195" t="s">
        <v>17010</v>
      </c>
      <c r="D14195" t="s">
        <v>17448</v>
      </c>
      <c r="E14195" t="s">
        <v>29677</v>
      </c>
      <c r="F14195" t="s">
        <v>30052</v>
      </c>
      <c r="G14195" t="s">
        <v>30058</v>
      </c>
      <c r="H14195" t="s">
        <v>30067</v>
      </c>
      <c r="I14195" t="s">
        <v>3693</v>
      </c>
      <c r="J14195" t="s">
        <v>31185</v>
      </c>
      <c r="K14195" t="s">
        <v>39051</v>
      </c>
      <c r="M14195" t="s">
        <v>40870</v>
      </c>
      <c r="N14195" t="s">
        <v>43166</v>
      </c>
      <c r="O14195" t="s">
        <v>43167</v>
      </c>
      <c r="Q14195">
        <v>3</v>
      </c>
      <c r="R14195" t="s">
        <v>43231</v>
      </c>
      <c r="S14195" t="s">
        <v>44439</v>
      </c>
      <c r="T14195" t="s">
        <v>44796</v>
      </c>
      <c r="U14195" t="s">
        <v>52419</v>
      </c>
      <c r="W14195" t="s">
        <v>40870</v>
      </c>
      <c r="X14195" t="s">
        <v>43233</v>
      </c>
    </row>
    <row r="14196" spans="1:24">
      <c r="A14196">
        <f>HYPERLINK("https://www.philgeps.gov.ph/GEPSNONPILOT/Tender/SplashBidNoticeAbstractUI.aspx?menuIndex=3&amp;refID=6935087&amp;Result=3","6935087")</f>
        <v>0</v>
      </c>
      <c r="B14196" t="s">
        <v>919</v>
      </c>
      <c r="C14196" t="s">
        <v>17011</v>
      </c>
      <c r="E14196" t="s">
        <v>29678</v>
      </c>
      <c r="F14196" t="s">
        <v>30052</v>
      </c>
      <c r="G14196" t="s">
        <v>30058</v>
      </c>
      <c r="H14196" t="s">
        <v>30067</v>
      </c>
      <c r="I14196" t="s">
        <v>3693</v>
      </c>
      <c r="J14196" t="s">
        <v>35638</v>
      </c>
      <c r="K14196" t="s">
        <v>39025</v>
      </c>
      <c r="M14196" t="s">
        <v>43101</v>
      </c>
      <c r="N14196" t="s">
        <v>43166</v>
      </c>
      <c r="O14196" t="s">
        <v>43167</v>
      </c>
      <c r="Q14196">
        <v>0</v>
      </c>
      <c r="R14196" t="s">
        <v>43225</v>
      </c>
      <c r="S14196" t="s">
        <v>44036</v>
      </c>
      <c r="T14196" t="s">
        <v>44717</v>
      </c>
      <c r="U14196" t="s">
        <v>56495</v>
      </c>
      <c r="V14196" t="s">
        <v>58523</v>
      </c>
      <c r="W14196" t="s">
        <v>43101</v>
      </c>
      <c r="X14196" t="s">
        <v>43231</v>
      </c>
    </row>
    <row r="14197" spans="1:24">
      <c r="A14197">
        <f>HYPERLINK("https://www.philgeps.gov.ph/GEPSNONPILOT/Tender/SplashBidNoticeAbstractUI.aspx?menuIndex=3&amp;refID=6932414&amp;Result=3","6932414")</f>
        <v>0</v>
      </c>
      <c r="B14197" t="s">
        <v>1486</v>
      </c>
      <c r="C14197" t="s">
        <v>17012</v>
      </c>
      <c r="D14197" t="s">
        <v>17448</v>
      </c>
      <c r="E14197" t="s">
        <v>29679</v>
      </c>
      <c r="F14197" t="s">
        <v>30052</v>
      </c>
      <c r="G14197" t="s">
        <v>30058</v>
      </c>
      <c r="H14197" t="s">
        <v>30067</v>
      </c>
      <c r="I14197" t="s">
        <v>3693</v>
      </c>
      <c r="J14197" t="s">
        <v>36670</v>
      </c>
      <c r="K14197" t="s">
        <v>39305</v>
      </c>
      <c r="M14197" t="s">
        <v>40870</v>
      </c>
      <c r="N14197" t="s">
        <v>43166</v>
      </c>
      <c r="O14197" t="s">
        <v>43167</v>
      </c>
      <c r="Q14197">
        <v>9</v>
      </c>
      <c r="R14197" t="s">
        <v>43231</v>
      </c>
      <c r="S14197" t="s">
        <v>44440</v>
      </c>
      <c r="T14197" t="s">
        <v>44796</v>
      </c>
      <c r="U14197" t="s">
        <v>52419</v>
      </c>
      <c r="W14197" t="s">
        <v>40870</v>
      </c>
      <c r="X14197" t="s">
        <v>43233</v>
      </c>
    </row>
    <row r="14198" spans="1:24">
      <c r="A14198">
        <f>HYPERLINK("https://www.philgeps.gov.ph/GEPSNONPILOT/Tender/SplashBidNoticeAbstractUI.aspx?menuIndex=3&amp;refID=6932428&amp;Result=3","6932428")</f>
        <v>0</v>
      </c>
      <c r="B14198" t="s">
        <v>1486</v>
      </c>
      <c r="C14198" t="s">
        <v>17013</v>
      </c>
      <c r="D14198" t="s">
        <v>17448</v>
      </c>
      <c r="E14198" t="s">
        <v>29680</v>
      </c>
      <c r="F14198" t="s">
        <v>30052</v>
      </c>
      <c r="G14198" t="s">
        <v>30058</v>
      </c>
      <c r="H14198" t="s">
        <v>30067</v>
      </c>
      <c r="I14198" t="s">
        <v>3693</v>
      </c>
      <c r="J14198" t="s">
        <v>36670</v>
      </c>
      <c r="K14198" t="s">
        <v>39305</v>
      </c>
      <c r="M14198" t="s">
        <v>40870</v>
      </c>
      <c r="N14198" t="s">
        <v>43166</v>
      </c>
      <c r="O14198" t="s">
        <v>43167</v>
      </c>
      <c r="Q14198">
        <v>14</v>
      </c>
      <c r="R14198" t="s">
        <v>43231</v>
      </c>
      <c r="S14198" t="s">
        <v>44441</v>
      </c>
      <c r="T14198" t="s">
        <v>44796</v>
      </c>
      <c r="U14198" t="s">
        <v>52419</v>
      </c>
      <c r="W14198" t="s">
        <v>40870</v>
      </c>
      <c r="X14198" t="s">
        <v>43233</v>
      </c>
    </row>
    <row r="14199" spans="1:24">
      <c r="A14199">
        <f>HYPERLINK("https://www.philgeps.gov.ph/GEPSNONPILOT/Tender/SplashBidNoticeAbstractUI.aspx?menuIndex=3&amp;refID=6931260&amp;Result=3","6931260")</f>
        <v>0</v>
      </c>
      <c r="B14199" t="s">
        <v>1446</v>
      </c>
      <c r="C14199" t="s">
        <v>17014</v>
      </c>
      <c r="D14199" t="s">
        <v>17447</v>
      </c>
      <c r="E14199" t="s">
        <v>29681</v>
      </c>
      <c r="F14199" t="s">
        <v>30052</v>
      </c>
      <c r="G14199" t="s">
        <v>30058</v>
      </c>
      <c r="H14199" t="s">
        <v>30067</v>
      </c>
      <c r="I14199" t="s">
        <v>3693</v>
      </c>
      <c r="J14199" t="s">
        <v>38782</v>
      </c>
      <c r="K14199" t="s">
        <v>39022</v>
      </c>
      <c r="M14199" t="s">
        <v>40824</v>
      </c>
      <c r="N14199" t="s">
        <v>43166</v>
      </c>
      <c r="O14199" t="s">
        <v>43167</v>
      </c>
      <c r="Q14199">
        <v>3</v>
      </c>
      <c r="R14199" t="s">
        <v>43231</v>
      </c>
      <c r="S14199" t="s">
        <v>44442</v>
      </c>
      <c r="T14199" t="s">
        <v>44722</v>
      </c>
      <c r="U14199" t="s">
        <v>48423</v>
      </c>
      <c r="V14199" t="s">
        <v>57283</v>
      </c>
      <c r="W14199" t="s">
        <v>40824</v>
      </c>
      <c r="X14199" t="s">
        <v>43233</v>
      </c>
    </row>
    <row r="14200" spans="1:24">
      <c r="A14200">
        <f>HYPERLINK("https://www.philgeps.gov.ph/GEPSNONPILOT/Tender/SplashBidNoticeAbstractUI.aspx?menuIndex=3&amp;refID=6931232&amp;Result=3","6931232")</f>
        <v>0</v>
      </c>
      <c r="B14200" t="s">
        <v>1446</v>
      </c>
      <c r="C14200" t="s">
        <v>17015</v>
      </c>
      <c r="D14200" t="s">
        <v>17447</v>
      </c>
      <c r="E14200" t="s">
        <v>29682</v>
      </c>
      <c r="F14200" t="s">
        <v>30052</v>
      </c>
      <c r="G14200" t="s">
        <v>30058</v>
      </c>
      <c r="H14200" t="s">
        <v>30067</v>
      </c>
      <c r="I14200" t="s">
        <v>3693</v>
      </c>
      <c r="J14200" t="s">
        <v>38783</v>
      </c>
      <c r="K14200" t="s">
        <v>39029</v>
      </c>
      <c r="M14200" t="s">
        <v>40824</v>
      </c>
      <c r="N14200" t="s">
        <v>43166</v>
      </c>
      <c r="O14200" t="s">
        <v>43167</v>
      </c>
      <c r="Q14200">
        <v>2</v>
      </c>
      <c r="R14200" t="s">
        <v>43231</v>
      </c>
      <c r="S14200" t="s">
        <v>43626</v>
      </c>
      <c r="T14200" t="s">
        <v>44750</v>
      </c>
      <c r="U14200" t="s">
        <v>48423</v>
      </c>
      <c r="V14200" t="s">
        <v>57283</v>
      </c>
      <c r="W14200" t="s">
        <v>40824</v>
      </c>
      <c r="X14200" t="s">
        <v>43233</v>
      </c>
    </row>
    <row r="14201" spans="1:24">
      <c r="A14201">
        <f>HYPERLINK("https://www.philgeps.gov.ph/GEPSNONPILOT/Tender/SplashBidNoticeAbstractUI.aspx?menuIndex=3&amp;refID=6931518&amp;Result=3","6931518")</f>
        <v>0</v>
      </c>
      <c r="B14201" t="s">
        <v>1190</v>
      </c>
      <c r="C14201" t="s">
        <v>17016</v>
      </c>
      <c r="D14201" t="s">
        <v>17415</v>
      </c>
      <c r="E14201" t="s">
        <v>29683</v>
      </c>
      <c r="F14201" t="s">
        <v>30052</v>
      </c>
      <c r="G14201" t="s">
        <v>30058</v>
      </c>
      <c r="H14201" t="s">
        <v>15498</v>
      </c>
      <c r="I14201" t="s">
        <v>30084</v>
      </c>
      <c r="J14201" t="s">
        <v>38784</v>
      </c>
      <c r="K14201" t="s">
        <v>39025</v>
      </c>
      <c r="M14201" t="s">
        <v>42993</v>
      </c>
      <c r="N14201" t="s">
        <v>43166</v>
      </c>
      <c r="O14201" t="s">
        <v>43167</v>
      </c>
      <c r="Q14201">
        <v>31</v>
      </c>
      <c r="R14201" t="s">
        <v>43231</v>
      </c>
      <c r="S14201" t="s">
        <v>43377</v>
      </c>
      <c r="T14201" t="s">
        <v>44698</v>
      </c>
      <c r="U14201" t="s">
        <v>56496</v>
      </c>
      <c r="V14201" t="s">
        <v>58524</v>
      </c>
      <c r="W14201" t="s">
        <v>42993</v>
      </c>
      <c r="X14201" t="s">
        <v>43233</v>
      </c>
    </row>
    <row r="14202" spans="1:24">
      <c r="A14202">
        <f>HYPERLINK("https://www.philgeps.gov.ph/GEPSNONPILOT/Tender/SplashBidNoticeAbstractUI.aspx?menuIndex=3&amp;refID=6936243&amp;Result=3","6936243")</f>
        <v>0</v>
      </c>
      <c r="B14202" t="s">
        <v>2818</v>
      </c>
      <c r="C14202" t="s">
        <v>17017</v>
      </c>
      <c r="D14202" t="s">
        <v>17486</v>
      </c>
      <c r="E14202" t="s">
        <v>29684</v>
      </c>
      <c r="F14202" t="s">
        <v>30052</v>
      </c>
      <c r="G14202" t="s">
        <v>30058</v>
      </c>
      <c r="H14202" t="s">
        <v>30067</v>
      </c>
      <c r="I14202" t="s">
        <v>3693</v>
      </c>
      <c r="J14202" t="s">
        <v>35970</v>
      </c>
      <c r="K14202" t="s">
        <v>39057</v>
      </c>
      <c r="M14202" t="s">
        <v>42362</v>
      </c>
      <c r="N14202" t="s">
        <v>43166</v>
      </c>
      <c r="O14202" t="s">
        <v>43167</v>
      </c>
      <c r="Q14202">
        <v>42</v>
      </c>
      <c r="R14202" t="s">
        <v>43229</v>
      </c>
      <c r="S14202" t="s">
        <v>44443</v>
      </c>
      <c r="T14202" t="s">
        <v>44763</v>
      </c>
      <c r="U14202" t="s">
        <v>56497</v>
      </c>
      <c r="V14202" t="s">
        <v>58525</v>
      </c>
      <c r="W14202" t="s">
        <v>42362</v>
      </c>
      <c r="X14202" t="s">
        <v>43231</v>
      </c>
    </row>
    <row r="14203" spans="1:24">
      <c r="A14203">
        <f>HYPERLINK("https://www.philgeps.gov.ph/GEPSNONPILOT/Tender/SplashBidNoticeAbstractUI.aspx?menuIndex=3&amp;refID=6935829&amp;Result=3","6935829")</f>
        <v>0</v>
      </c>
      <c r="B14203" t="s">
        <v>3106</v>
      </c>
      <c r="C14203" t="s">
        <v>17018</v>
      </c>
      <c r="D14203" t="s">
        <v>17432</v>
      </c>
      <c r="E14203" t="s">
        <v>29685</v>
      </c>
      <c r="F14203" t="s">
        <v>30052</v>
      </c>
      <c r="G14203" t="s">
        <v>30058</v>
      </c>
      <c r="H14203" t="s">
        <v>30067</v>
      </c>
      <c r="I14203" t="s">
        <v>3693</v>
      </c>
      <c r="J14203" t="s">
        <v>38785</v>
      </c>
      <c r="K14203" t="s">
        <v>39306</v>
      </c>
      <c r="M14203" t="s">
        <v>42696</v>
      </c>
      <c r="N14203" t="s">
        <v>43166</v>
      </c>
      <c r="O14203" t="s">
        <v>43167</v>
      </c>
      <c r="Q14203">
        <v>18</v>
      </c>
      <c r="R14203" t="s">
        <v>43229</v>
      </c>
      <c r="S14203" t="s">
        <v>44444</v>
      </c>
      <c r="T14203" t="s">
        <v>44796</v>
      </c>
      <c r="U14203" t="s">
        <v>56498</v>
      </c>
      <c r="W14203" t="s">
        <v>42696</v>
      </c>
      <c r="X14203" t="s">
        <v>43231</v>
      </c>
    </row>
    <row r="14204" spans="1:24">
      <c r="A14204">
        <f>HYPERLINK("https://www.philgeps.gov.ph/GEPSNONPILOT/Tender/SplashBidNoticeAbstractUI.aspx?menuIndex=3&amp;refID=6944561&amp;Result=3","6944561")</f>
        <v>0</v>
      </c>
      <c r="B14204" t="s">
        <v>59</v>
      </c>
      <c r="C14204" t="s">
        <v>17019</v>
      </c>
      <c r="D14204" t="s">
        <v>17441</v>
      </c>
      <c r="E14204" t="s">
        <v>29686</v>
      </c>
      <c r="F14204" t="s">
        <v>30052</v>
      </c>
      <c r="G14204" t="s">
        <v>30058</v>
      </c>
      <c r="H14204" t="s">
        <v>30067</v>
      </c>
      <c r="I14204" t="s">
        <v>3693</v>
      </c>
      <c r="J14204" t="s">
        <v>35970</v>
      </c>
      <c r="K14204" t="s">
        <v>39026</v>
      </c>
      <c r="M14204" t="s">
        <v>39348</v>
      </c>
      <c r="N14204" t="s">
        <v>43166</v>
      </c>
      <c r="O14204" t="s">
        <v>43167</v>
      </c>
      <c r="Q14204">
        <v>13</v>
      </c>
      <c r="R14204" t="s">
        <v>43225</v>
      </c>
      <c r="S14204" t="s">
        <v>44445</v>
      </c>
      <c r="T14204" t="s">
        <v>44758</v>
      </c>
      <c r="U14204" t="s">
        <v>56472</v>
      </c>
      <c r="V14204" t="s">
        <v>56820</v>
      </c>
      <c r="W14204" t="s">
        <v>39348</v>
      </c>
      <c r="X14204" t="s">
        <v>43257</v>
      </c>
    </row>
    <row r="14205" spans="1:24">
      <c r="A14205">
        <f>HYPERLINK("https://www.philgeps.gov.ph/GEPSNONPILOT/Tender/SplashBidNoticeAbstractUI.aspx?menuIndex=3&amp;refID=6935782&amp;Result=3","6935782")</f>
        <v>0</v>
      </c>
      <c r="B14205" t="s">
        <v>1325</v>
      </c>
      <c r="C14205" t="s">
        <v>17020</v>
      </c>
      <c r="D14205" t="s">
        <v>17413</v>
      </c>
      <c r="E14205" t="s">
        <v>29687</v>
      </c>
      <c r="F14205" t="s">
        <v>30052</v>
      </c>
      <c r="G14205" t="s">
        <v>30058</v>
      </c>
      <c r="H14205" t="s">
        <v>30067</v>
      </c>
      <c r="I14205" t="s">
        <v>3693</v>
      </c>
      <c r="J14205" t="s">
        <v>33649</v>
      </c>
      <c r="K14205" t="s">
        <v>39026</v>
      </c>
      <c r="M14205" t="s">
        <v>40692</v>
      </c>
      <c r="N14205" t="s">
        <v>43166</v>
      </c>
      <c r="O14205" t="s">
        <v>43167</v>
      </c>
      <c r="Q14205">
        <v>0</v>
      </c>
      <c r="R14205" t="s">
        <v>43229</v>
      </c>
      <c r="S14205" t="s">
        <v>44446</v>
      </c>
      <c r="T14205" t="s">
        <v>44720</v>
      </c>
      <c r="U14205" t="s">
        <v>56499</v>
      </c>
      <c r="W14205" t="s">
        <v>40692</v>
      </c>
      <c r="X14205" t="s">
        <v>43231</v>
      </c>
    </row>
    <row r="14206" spans="1:24">
      <c r="A14206">
        <f>HYPERLINK("https://www.philgeps.gov.ph/GEPSNONPILOT/Tender/SplashBidNoticeAbstractUI.aspx?menuIndex=3&amp;refID=6932136&amp;Result=3","6932136")</f>
        <v>0</v>
      </c>
      <c r="B14206" t="s">
        <v>1325</v>
      </c>
      <c r="C14206" t="s">
        <v>17021</v>
      </c>
      <c r="D14206" t="s">
        <v>17413</v>
      </c>
      <c r="E14206" t="s">
        <v>29688</v>
      </c>
      <c r="F14206" t="s">
        <v>30052</v>
      </c>
      <c r="G14206" t="s">
        <v>30058</v>
      </c>
      <c r="H14206" t="s">
        <v>30067</v>
      </c>
      <c r="I14206" t="s">
        <v>3693</v>
      </c>
      <c r="J14206" t="s">
        <v>32406</v>
      </c>
      <c r="K14206" t="s">
        <v>39031</v>
      </c>
      <c r="M14206" t="s">
        <v>40692</v>
      </c>
      <c r="N14206" t="s">
        <v>43166</v>
      </c>
      <c r="O14206" t="s">
        <v>43167</v>
      </c>
      <c r="Q14206">
        <v>0</v>
      </c>
      <c r="R14206" t="s">
        <v>43231</v>
      </c>
      <c r="S14206" t="s">
        <v>44447</v>
      </c>
      <c r="T14206" t="s">
        <v>44734</v>
      </c>
      <c r="U14206" t="s">
        <v>56500</v>
      </c>
      <c r="W14206" t="s">
        <v>40692</v>
      </c>
      <c r="X14206" t="s">
        <v>43233</v>
      </c>
    </row>
    <row r="14207" spans="1:24">
      <c r="A14207">
        <f>HYPERLINK("https://www.philgeps.gov.ph/GEPSNONPILOT/Tender/SplashBidNoticeAbstractUI.aspx?menuIndex=3&amp;refID=6935753&amp;Result=3","6935753")</f>
        <v>0</v>
      </c>
      <c r="B14207" t="s">
        <v>501</v>
      </c>
      <c r="C14207" t="s">
        <v>17022</v>
      </c>
      <c r="E14207" t="s">
        <v>29689</v>
      </c>
      <c r="F14207" t="s">
        <v>30052</v>
      </c>
      <c r="G14207" t="s">
        <v>30058</v>
      </c>
      <c r="H14207" t="s">
        <v>15498</v>
      </c>
      <c r="I14207" t="s">
        <v>30084</v>
      </c>
      <c r="J14207" t="s">
        <v>38786</v>
      </c>
      <c r="K14207" t="s">
        <v>39025</v>
      </c>
      <c r="M14207" t="s">
        <v>39802</v>
      </c>
      <c r="N14207" t="s">
        <v>43166</v>
      </c>
      <c r="O14207" t="s">
        <v>43167</v>
      </c>
      <c r="Q14207">
        <v>7</v>
      </c>
      <c r="R14207" t="s">
        <v>43229</v>
      </c>
      <c r="S14207" t="s">
        <v>44448</v>
      </c>
      <c r="T14207" t="s">
        <v>44710</v>
      </c>
      <c r="U14207" t="s">
        <v>56501</v>
      </c>
      <c r="V14207" t="s">
        <v>58526</v>
      </c>
      <c r="W14207" t="s">
        <v>58718</v>
      </c>
      <c r="X14207" t="s">
        <v>43231</v>
      </c>
    </row>
    <row r="14208" spans="1:24">
      <c r="A14208">
        <f>HYPERLINK("https://www.philgeps.gov.ph/GEPSNONPILOT/Tender/SplashBidNoticeAbstractUI.aspx?menuIndex=3&amp;refID=6935583&amp;Result=3","6935583")</f>
        <v>0</v>
      </c>
      <c r="B14208" t="s">
        <v>1325</v>
      </c>
      <c r="C14208" t="s">
        <v>17023</v>
      </c>
      <c r="D14208" t="s">
        <v>17413</v>
      </c>
      <c r="E14208" t="s">
        <v>29690</v>
      </c>
      <c r="F14208" t="s">
        <v>30052</v>
      </c>
      <c r="G14208" t="s">
        <v>30058</v>
      </c>
      <c r="H14208" t="s">
        <v>30067</v>
      </c>
      <c r="I14208" t="s">
        <v>3693</v>
      </c>
      <c r="J14208" t="s">
        <v>33649</v>
      </c>
      <c r="K14208" t="s">
        <v>39026</v>
      </c>
      <c r="M14208" t="s">
        <v>40692</v>
      </c>
      <c r="N14208" t="s">
        <v>43166</v>
      </c>
      <c r="O14208" t="s">
        <v>43167</v>
      </c>
      <c r="Q14208">
        <v>0</v>
      </c>
      <c r="R14208" t="s">
        <v>43229</v>
      </c>
      <c r="S14208" t="s">
        <v>44449</v>
      </c>
      <c r="T14208" t="s">
        <v>44734</v>
      </c>
      <c r="U14208" t="s">
        <v>56502</v>
      </c>
      <c r="W14208" t="s">
        <v>40692</v>
      </c>
      <c r="X14208" t="s">
        <v>43231</v>
      </c>
    </row>
    <row r="14209" spans="1:24">
      <c r="A14209">
        <f>HYPERLINK("https://www.philgeps.gov.ph/GEPSNONPILOT/Tender/SplashBidNoticeAbstractUI.aspx?menuIndex=3&amp;refID=6933139&amp;Result=3","6933139")</f>
        <v>0</v>
      </c>
      <c r="B14209" t="s">
        <v>127</v>
      </c>
      <c r="C14209" t="s">
        <v>17024</v>
      </c>
      <c r="D14209" t="s">
        <v>17434</v>
      </c>
      <c r="E14209" t="s">
        <v>29691</v>
      </c>
      <c r="F14209" t="s">
        <v>30052</v>
      </c>
      <c r="G14209" t="s">
        <v>30058</v>
      </c>
      <c r="H14209" t="s">
        <v>15498</v>
      </c>
      <c r="I14209" t="s">
        <v>30191</v>
      </c>
      <c r="J14209" t="s">
        <v>38787</v>
      </c>
      <c r="K14209" t="s">
        <v>39025</v>
      </c>
      <c r="M14209" t="s">
        <v>39416</v>
      </c>
      <c r="N14209" t="s">
        <v>43166</v>
      </c>
      <c r="O14209" t="s">
        <v>43167</v>
      </c>
      <c r="Q14209">
        <v>8</v>
      </c>
      <c r="R14209" t="s">
        <v>43229</v>
      </c>
      <c r="S14209" t="s">
        <v>44450</v>
      </c>
      <c r="T14209" t="s">
        <v>44969</v>
      </c>
      <c r="U14209" t="s">
        <v>56503</v>
      </c>
      <c r="V14209" t="s">
        <v>56840</v>
      </c>
      <c r="W14209" t="s">
        <v>39416</v>
      </c>
      <c r="X14209" t="s">
        <v>43231</v>
      </c>
    </row>
    <row r="14210" spans="1:24">
      <c r="A14210">
        <f>HYPERLINK("https://www.philgeps.gov.ph/GEPSNONPILOT/Tender/SplashBidNoticeAbstractUI.aspx?menuIndex=3&amp;refID=6923509&amp;Result=3","6923509")</f>
        <v>0</v>
      </c>
      <c r="B14210" t="s">
        <v>3426</v>
      </c>
      <c r="C14210" t="s">
        <v>17025</v>
      </c>
      <c r="D14210" t="s">
        <v>17445</v>
      </c>
      <c r="E14210" t="s">
        <v>29692</v>
      </c>
      <c r="F14210" t="s">
        <v>30052</v>
      </c>
      <c r="G14210" t="s">
        <v>30058</v>
      </c>
      <c r="H14210" t="s">
        <v>15498</v>
      </c>
      <c r="I14210" t="s">
        <v>9238</v>
      </c>
      <c r="J14210" t="s">
        <v>30397</v>
      </c>
      <c r="K14210" t="s">
        <v>39029</v>
      </c>
      <c r="M14210" t="s">
        <v>43106</v>
      </c>
      <c r="N14210" t="s">
        <v>43166</v>
      </c>
      <c r="O14210" t="s">
        <v>43167</v>
      </c>
      <c r="Q14210">
        <v>10</v>
      </c>
      <c r="R14210" t="s">
        <v>43232</v>
      </c>
      <c r="S14210" t="s">
        <v>44451</v>
      </c>
      <c r="T14210" t="s">
        <v>44750</v>
      </c>
      <c r="U14210" t="s">
        <v>56504</v>
      </c>
      <c r="W14210" t="s">
        <v>43106</v>
      </c>
      <c r="X14210" t="s">
        <v>43235</v>
      </c>
    </row>
    <row r="14211" spans="1:24">
      <c r="A14211">
        <f>HYPERLINK("https://www.philgeps.gov.ph/GEPSNONPILOT/Tender/SplashBidNoticeAbstractUI.aspx?menuIndex=3&amp;refID=6931964&amp;Result=3","6931964")</f>
        <v>0</v>
      </c>
      <c r="B14211" t="s">
        <v>1925</v>
      </c>
      <c r="C14211" t="s">
        <v>17026</v>
      </c>
      <c r="D14211" t="s">
        <v>17462</v>
      </c>
      <c r="E14211" t="s">
        <v>29693</v>
      </c>
      <c r="F14211" t="s">
        <v>30052</v>
      </c>
      <c r="G14211" t="s">
        <v>30058</v>
      </c>
      <c r="H14211" t="s">
        <v>30067</v>
      </c>
      <c r="I14211" t="s">
        <v>30093</v>
      </c>
      <c r="J14211" t="s">
        <v>38788</v>
      </c>
      <c r="K14211" t="s">
        <v>39031</v>
      </c>
      <c r="M14211" t="s">
        <v>43107</v>
      </c>
      <c r="N14211" t="s">
        <v>43166</v>
      </c>
      <c r="O14211" t="s">
        <v>43167</v>
      </c>
      <c r="Q14211">
        <v>9</v>
      </c>
      <c r="R14211" t="s">
        <v>43231</v>
      </c>
      <c r="S14211" t="s">
        <v>44452</v>
      </c>
      <c r="T14211" t="s">
        <v>44815</v>
      </c>
      <c r="U14211" t="s">
        <v>56505</v>
      </c>
      <c r="W14211" t="s">
        <v>43107</v>
      </c>
      <c r="X14211" t="s">
        <v>43233</v>
      </c>
    </row>
    <row r="14212" spans="1:24">
      <c r="A14212">
        <f>HYPERLINK("https://www.philgeps.gov.ph/GEPSNONPILOT/Tender/SplashBidNoticeAbstractUI.aspx?menuIndex=3&amp;refID=6929906&amp;Result=3","6929906")</f>
        <v>0</v>
      </c>
      <c r="B14212" t="s">
        <v>201</v>
      </c>
      <c r="C14212" t="s">
        <v>17027</v>
      </c>
      <c r="E14212" t="s">
        <v>29694</v>
      </c>
      <c r="F14212" t="s">
        <v>30052</v>
      </c>
      <c r="G14212" t="s">
        <v>30058</v>
      </c>
      <c r="H14212" t="s">
        <v>15498</v>
      </c>
      <c r="I14212" t="s">
        <v>30130</v>
      </c>
      <c r="J14212" t="s">
        <v>32720</v>
      </c>
      <c r="K14212" t="s">
        <v>39025</v>
      </c>
      <c r="M14212" t="s">
        <v>39564</v>
      </c>
      <c r="N14212" t="s">
        <v>43166</v>
      </c>
      <c r="O14212" t="s">
        <v>43167</v>
      </c>
      <c r="Q14212">
        <v>16</v>
      </c>
      <c r="R14212" t="s">
        <v>43231</v>
      </c>
      <c r="S14212" t="s">
        <v>44453</v>
      </c>
      <c r="T14212" t="s">
        <v>44815</v>
      </c>
      <c r="U14212" t="s">
        <v>56506</v>
      </c>
      <c r="W14212" t="s">
        <v>39564</v>
      </c>
      <c r="X14212" t="s">
        <v>43233</v>
      </c>
    </row>
    <row r="14213" spans="1:24">
      <c r="A14213">
        <f>HYPERLINK("https://www.philgeps.gov.ph/GEPSNONPILOT/Tender/SplashBidNoticeAbstractUI.aspx?menuIndex=3&amp;refID=6936028&amp;Result=3","6936028")</f>
        <v>0</v>
      </c>
      <c r="B14213" t="s">
        <v>3427</v>
      </c>
      <c r="C14213" t="s">
        <v>17028</v>
      </c>
      <c r="D14213" t="s">
        <v>17462</v>
      </c>
      <c r="E14213" t="s">
        <v>29695</v>
      </c>
      <c r="F14213" t="s">
        <v>30052</v>
      </c>
      <c r="G14213" t="s">
        <v>30063</v>
      </c>
      <c r="H14213" t="s">
        <v>30069</v>
      </c>
      <c r="I14213" t="s">
        <v>30114</v>
      </c>
      <c r="J14213" t="s">
        <v>30247</v>
      </c>
      <c r="K14213" t="s">
        <v>39026</v>
      </c>
      <c r="M14213" t="s">
        <v>43108</v>
      </c>
      <c r="N14213" t="s">
        <v>43166</v>
      </c>
      <c r="O14213" t="s">
        <v>43167</v>
      </c>
      <c r="Q14213">
        <v>24</v>
      </c>
      <c r="R14213" t="s">
        <v>43229</v>
      </c>
      <c r="S14213" t="s">
        <v>44454</v>
      </c>
      <c r="T14213" t="s">
        <v>44753</v>
      </c>
      <c r="U14213" t="s">
        <v>56507</v>
      </c>
      <c r="W14213" t="s">
        <v>43108</v>
      </c>
      <c r="X14213" t="s">
        <v>43231</v>
      </c>
    </row>
    <row r="14214" spans="1:24">
      <c r="A14214">
        <f>HYPERLINK("https://www.philgeps.gov.ph/GEPSNONPILOT/Tender/SplashBidNoticeAbstractUI.aspx?menuIndex=3&amp;refID=6935415&amp;Result=3","6935415")</f>
        <v>0</v>
      </c>
      <c r="B14214" t="s">
        <v>623</v>
      </c>
      <c r="C14214" t="s">
        <v>17029</v>
      </c>
      <c r="D14214" t="s">
        <v>17449</v>
      </c>
      <c r="E14214" t="s">
        <v>29696</v>
      </c>
      <c r="F14214" t="s">
        <v>30052</v>
      </c>
      <c r="G14214" t="s">
        <v>30058</v>
      </c>
      <c r="H14214" t="s">
        <v>30067</v>
      </c>
      <c r="I14214" t="s">
        <v>3693</v>
      </c>
      <c r="J14214" t="s">
        <v>30645</v>
      </c>
      <c r="K14214" t="s">
        <v>39026</v>
      </c>
      <c r="M14214" t="s">
        <v>42131</v>
      </c>
      <c r="N14214" t="s">
        <v>43166</v>
      </c>
      <c r="O14214" t="s">
        <v>43167</v>
      </c>
      <c r="Q14214">
        <v>0</v>
      </c>
      <c r="R14214" t="s">
        <v>43229</v>
      </c>
      <c r="S14214" t="s">
        <v>44455</v>
      </c>
      <c r="T14214" t="s">
        <v>44970</v>
      </c>
      <c r="U14214" t="s">
        <v>52926</v>
      </c>
      <c r="W14214" t="s">
        <v>42131</v>
      </c>
      <c r="X14214" t="s">
        <v>43231</v>
      </c>
    </row>
    <row r="14215" spans="1:24">
      <c r="A14215">
        <f>HYPERLINK("https://www.philgeps.gov.ph/GEPSNONPILOT/Tender/SplashBidNoticeAbstractUI.aspx?menuIndex=3&amp;refID=6924439&amp;Result=3","6924439")</f>
        <v>0</v>
      </c>
      <c r="B14215" t="s">
        <v>1874</v>
      </c>
      <c r="C14215" t="s">
        <v>17030</v>
      </c>
      <c r="D14215" t="s">
        <v>17441</v>
      </c>
      <c r="E14215" t="s">
        <v>29697</v>
      </c>
      <c r="F14215" t="s">
        <v>30052</v>
      </c>
      <c r="G14215" t="s">
        <v>30058</v>
      </c>
      <c r="H14215" t="s">
        <v>30067</v>
      </c>
      <c r="I14215" t="s">
        <v>3693</v>
      </c>
      <c r="J14215" t="s">
        <v>38789</v>
      </c>
      <c r="K14215" t="s">
        <v>39246</v>
      </c>
      <c r="M14215" t="s">
        <v>41305</v>
      </c>
      <c r="N14215" t="s">
        <v>43166</v>
      </c>
      <c r="O14215" t="s">
        <v>43167</v>
      </c>
      <c r="Q14215">
        <v>39</v>
      </c>
      <c r="R14215" t="s">
        <v>43232</v>
      </c>
      <c r="S14215" t="s">
        <v>44456</v>
      </c>
      <c r="T14215" t="s">
        <v>44794</v>
      </c>
      <c r="U14215" t="s">
        <v>56508</v>
      </c>
      <c r="V14215" t="s">
        <v>57428</v>
      </c>
      <c r="W14215" t="s">
        <v>41305</v>
      </c>
      <c r="X14215" t="s">
        <v>43235</v>
      </c>
    </row>
    <row r="14216" spans="1:24">
      <c r="A14216">
        <f>HYPERLINK("https://www.philgeps.gov.ph/GEPSNONPILOT/Tender/SplashBidNoticeAbstractUI.aspx?menuIndex=3&amp;refID=6923450&amp;Result=3","6923450")</f>
        <v>0</v>
      </c>
      <c r="B14216" t="s">
        <v>2245</v>
      </c>
      <c r="C14216" t="s">
        <v>17031</v>
      </c>
      <c r="D14216" t="s">
        <v>17415</v>
      </c>
      <c r="E14216" t="s">
        <v>29698</v>
      </c>
      <c r="F14216" t="s">
        <v>30052</v>
      </c>
      <c r="G14216" t="s">
        <v>30058</v>
      </c>
      <c r="H14216" t="s">
        <v>30067</v>
      </c>
      <c r="I14216" t="s">
        <v>3693</v>
      </c>
      <c r="J14216" t="s">
        <v>38790</v>
      </c>
      <c r="K14216" t="s">
        <v>39033</v>
      </c>
      <c r="M14216" t="s">
        <v>41723</v>
      </c>
      <c r="N14216" t="s">
        <v>43166</v>
      </c>
      <c r="O14216" t="s">
        <v>43167</v>
      </c>
      <c r="Q14216">
        <v>40</v>
      </c>
      <c r="R14216" t="s">
        <v>43232</v>
      </c>
      <c r="S14216" t="s">
        <v>44457</v>
      </c>
      <c r="T14216" t="s">
        <v>44830</v>
      </c>
      <c r="U14216" t="s">
        <v>56509</v>
      </c>
      <c r="W14216" t="s">
        <v>41723</v>
      </c>
      <c r="X14216" t="s">
        <v>43235</v>
      </c>
    </row>
    <row r="14217" spans="1:24">
      <c r="A14217">
        <f>HYPERLINK("https://www.philgeps.gov.ph/GEPSNONPILOT/Tender/SplashBidNoticeAbstractUI.aspx?menuIndex=3&amp;refID=6922057&amp;Result=3","6922057")</f>
        <v>0</v>
      </c>
      <c r="B14217" t="s">
        <v>511</v>
      </c>
      <c r="C14217" t="s">
        <v>17032</v>
      </c>
      <c r="D14217" t="s">
        <v>17415</v>
      </c>
      <c r="E14217" t="s">
        <v>29699</v>
      </c>
      <c r="F14217" t="s">
        <v>30052</v>
      </c>
      <c r="G14217" t="s">
        <v>30062</v>
      </c>
      <c r="H14217" t="s">
        <v>15498</v>
      </c>
      <c r="I14217" t="s">
        <v>30081</v>
      </c>
      <c r="J14217" t="s">
        <v>38791</v>
      </c>
      <c r="K14217" t="s">
        <v>39019</v>
      </c>
      <c r="M14217" t="s">
        <v>42318</v>
      </c>
      <c r="N14217" t="s">
        <v>43166</v>
      </c>
      <c r="O14217" t="s">
        <v>43167</v>
      </c>
      <c r="Q14217">
        <v>3</v>
      </c>
      <c r="R14217" t="s">
        <v>43232</v>
      </c>
      <c r="S14217" t="s">
        <v>44458</v>
      </c>
      <c r="T14217" t="s">
        <v>44806</v>
      </c>
      <c r="U14217" t="s">
        <v>52791</v>
      </c>
      <c r="V14217" t="s">
        <v>58527</v>
      </c>
      <c r="W14217" t="s">
        <v>42318</v>
      </c>
      <c r="X14217" t="s">
        <v>43235</v>
      </c>
    </row>
    <row r="14218" spans="1:24">
      <c r="A14218">
        <f>HYPERLINK("https://www.philgeps.gov.ph/GEPSNONPILOT/Tender/SplashBidNoticeAbstractUI.aspx?menuIndex=3&amp;refID=6923642&amp;Result=3","6923642")</f>
        <v>0</v>
      </c>
      <c r="B14218" t="s">
        <v>964</v>
      </c>
      <c r="C14218" t="s">
        <v>17033</v>
      </c>
      <c r="D14218" t="s">
        <v>17415</v>
      </c>
      <c r="E14218" t="s">
        <v>29700</v>
      </c>
      <c r="F14218" t="s">
        <v>30052</v>
      </c>
      <c r="G14218" t="s">
        <v>30059</v>
      </c>
      <c r="H14218" t="s">
        <v>15498</v>
      </c>
      <c r="I14218" t="s">
        <v>4598</v>
      </c>
      <c r="J14218" t="s">
        <v>30903</v>
      </c>
      <c r="K14218" t="s">
        <v>39019</v>
      </c>
      <c r="M14218" t="s">
        <v>40290</v>
      </c>
      <c r="N14218" t="s">
        <v>43166</v>
      </c>
      <c r="O14218" t="s">
        <v>43167</v>
      </c>
      <c r="Q14218">
        <v>16</v>
      </c>
      <c r="R14218" t="s">
        <v>43232</v>
      </c>
      <c r="S14218" t="s">
        <v>44459</v>
      </c>
      <c r="T14218" t="s">
        <v>44691</v>
      </c>
      <c r="U14218" t="s">
        <v>56510</v>
      </c>
      <c r="V14218" t="s">
        <v>58528</v>
      </c>
      <c r="W14218" t="s">
        <v>40290</v>
      </c>
      <c r="X14218" t="s">
        <v>43235</v>
      </c>
    </row>
    <row r="14219" spans="1:24">
      <c r="A14219">
        <f>HYPERLINK("https://www.philgeps.gov.ph/GEPSNONPILOT/Tender/SplashBidNoticeAbstractUI.aspx?menuIndex=3&amp;refID=6928859&amp;Result=3","6928859")</f>
        <v>0</v>
      </c>
      <c r="B14219" t="s">
        <v>2636</v>
      </c>
      <c r="C14219" t="s">
        <v>17034</v>
      </c>
      <c r="D14219" t="s">
        <v>17492</v>
      </c>
      <c r="E14219" t="s">
        <v>29701</v>
      </c>
      <c r="F14219" t="s">
        <v>30052</v>
      </c>
      <c r="G14219" t="s">
        <v>30058</v>
      </c>
      <c r="H14219" t="s">
        <v>30067</v>
      </c>
      <c r="I14219" t="s">
        <v>3693</v>
      </c>
      <c r="J14219" t="s">
        <v>38792</v>
      </c>
      <c r="K14219" t="s">
        <v>39025</v>
      </c>
      <c r="M14219" t="s">
        <v>42151</v>
      </c>
      <c r="N14219" t="s">
        <v>43166</v>
      </c>
      <c r="O14219" t="s">
        <v>43167</v>
      </c>
      <c r="Q14219">
        <v>0</v>
      </c>
      <c r="R14219" t="s">
        <v>43233</v>
      </c>
      <c r="S14219" t="s">
        <v>44460</v>
      </c>
      <c r="T14219" t="s">
        <v>44773</v>
      </c>
      <c r="U14219" t="s">
        <v>52274</v>
      </c>
      <c r="W14219" t="s">
        <v>42151</v>
      </c>
      <c r="X14219" t="s">
        <v>43232</v>
      </c>
    </row>
    <row r="14220" spans="1:24">
      <c r="A14220">
        <f>HYPERLINK("https://www.philgeps.gov.ph/GEPSNONPILOT/Tender/SplashBidNoticeAbstractUI.aspx?menuIndex=3&amp;refID=6928814&amp;Result=3","6928814")</f>
        <v>0</v>
      </c>
      <c r="B14220" t="s">
        <v>2636</v>
      </c>
      <c r="C14220" t="s">
        <v>17035</v>
      </c>
      <c r="D14220" t="s">
        <v>17492</v>
      </c>
      <c r="E14220" t="s">
        <v>29702</v>
      </c>
      <c r="F14220" t="s">
        <v>30052</v>
      </c>
      <c r="G14220" t="s">
        <v>30058</v>
      </c>
      <c r="H14220" t="s">
        <v>30067</v>
      </c>
      <c r="I14220" t="s">
        <v>3693</v>
      </c>
      <c r="J14220" t="s">
        <v>38793</v>
      </c>
      <c r="K14220" t="s">
        <v>39025</v>
      </c>
      <c r="M14220" t="s">
        <v>42151</v>
      </c>
      <c r="N14220" t="s">
        <v>43166</v>
      </c>
      <c r="O14220" t="s">
        <v>43167</v>
      </c>
      <c r="Q14220">
        <v>1</v>
      </c>
      <c r="R14220" t="s">
        <v>43233</v>
      </c>
      <c r="S14220" t="s">
        <v>44461</v>
      </c>
      <c r="T14220" t="s">
        <v>44773</v>
      </c>
      <c r="U14220" t="s">
        <v>52274</v>
      </c>
      <c r="W14220" t="s">
        <v>42151</v>
      </c>
      <c r="X14220" t="s">
        <v>43232</v>
      </c>
    </row>
    <row r="14221" spans="1:24">
      <c r="A14221">
        <f>HYPERLINK("https://www.philgeps.gov.ph/GEPSNONPILOT/Tender/SplashBidNoticeAbstractUI.aspx?menuIndex=3&amp;refID=6923653&amp;Result=3","6923653")</f>
        <v>0</v>
      </c>
      <c r="B14221" t="s">
        <v>3426</v>
      </c>
      <c r="C14221" t="s">
        <v>17036</v>
      </c>
      <c r="D14221" t="s">
        <v>17445</v>
      </c>
      <c r="E14221" t="s">
        <v>29703</v>
      </c>
      <c r="F14221" t="s">
        <v>30052</v>
      </c>
      <c r="G14221" t="s">
        <v>30058</v>
      </c>
      <c r="H14221" t="s">
        <v>15498</v>
      </c>
      <c r="I14221" t="s">
        <v>30084</v>
      </c>
      <c r="J14221" t="s">
        <v>30321</v>
      </c>
      <c r="K14221" t="s">
        <v>39029</v>
      </c>
      <c r="M14221" t="s">
        <v>43106</v>
      </c>
      <c r="N14221" t="s">
        <v>43166</v>
      </c>
      <c r="O14221" t="s">
        <v>43167</v>
      </c>
      <c r="Q14221">
        <v>9</v>
      </c>
      <c r="R14221" t="s">
        <v>43232</v>
      </c>
      <c r="S14221" t="s">
        <v>44462</v>
      </c>
      <c r="T14221" t="s">
        <v>45010</v>
      </c>
      <c r="U14221" t="s">
        <v>56511</v>
      </c>
      <c r="W14221" t="s">
        <v>43106</v>
      </c>
      <c r="X14221" t="s">
        <v>43235</v>
      </c>
    </row>
    <row r="14222" spans="1:24">
      <c r="A14222">
        <f>HYPERLINK("https://www.philgeps.gov.ph/GEPSNONPILOT/Tender/SplashBidNoticeAbstractUI.aspx?menuIndex=3&amp;refID=6957275&amp;Result=3","6957275")</f>
        <v>0</v>
      </c>
      <c r="B14222" t="s">
        <v>1325</v>
      </c>
      <c r="C14222" t="s">
        <v>17037</v>
      </c>
      <c r="D14222" t="s">
        <v>17413</v>
      </c>
      <c r="E14222" t="s">
        <v>29704</v>
      </c>
      <c r="F14222" t="s">
        <v>30052</v>
      </c>
      <c r="G14222" t="s">
        <v>30058</v>
      </c>
      <c r="H14222" t="s">
        <v>30067</v>
      </c>
      <c r="I14222" t="s">
        <v>3693</v>
      </c>
      <c r="J14222" t="s">
        <v>31185</v>
      </c>
      <c r="K14222" t="s">
        <v>39026</v>
      </c>
      <c r="M14222" t="s">
        <v>40692</v>
      </c>
      <c r="N14222" t="s">
        <v>43166</v>
      </c>
      <c r="O14222" t="s">
        <v>43167</v>
      </c>
      <c r="Q14222">
        <v>0</v>
      </c>
      <c r="R14222" t="s">
        <v>43219</v>
      </c>
      <c r="S14222" t="s">
        <v>44463</v>
      </c>
      <c r="T14222" t="s">
        <v>44679</v>
      </c>
      <c r="U14222" t="s">
        <v>56512</v>
      </c>
      <c r="W14222" t="s">
        <v>40692</v>
      </c>
      <c r="X14222" t="s">
        <v>43223</v>
      </c>
    </row>
    <row r="14223" spans="1:24">
      <c r="A14223">
        <f>HYPERLINK("https://www.philgeps.gov.ph/GEPSNONPILOT/Tender/SplashBidNoticeAbstractUI.aspx?menuIndex=3&amp;refID=6928764&amp;Result=3","6928764")</f>
        <v>0</v>
      </c>
      <c r="B14223" t="s">
        <v>2636</v>
      </c>
      <c r="C14223" t="s">
        <v>17038</v>
      </c>
      <c r="D14223" t="s">
        <v>17492</v>
      </c>
      <c r="E14223" t="s">
        <v>29702</v>
      </c>
      <c r="F14223" t="s">
        <v>30052</v>
      </c>
      <c r="G14223" t="s">
        <v>30058</v>
      </c>
      <c r="H14223" t="s">
        <v>30067</v>
      </c>
      <c r="I14223" t="s">
        <v>3693</v>
      </c>
      <c r="J14223" t="s">
        <v>38794</v>
      </c>
      <c r="K14223" t="s">
        <v>39025</v>
      </c>
      <c r="M14223" t="s">
        <v>42151</v>
      </c>
      <c r="N14223" t="s">
        <v>43166</v>
      </c>
      <c r="O14223" t="s">
        <v>43167</v>
      </c>
      <c r="Q14223">
        <v>1</v>
      </c>
      <c r="R14223" t="s">
        <v>43233</v>
      </c>
      <c r="S14223" t="s">
        <v>44464</v>
      </c>
      <c r="T14223" t="s">
        <v>44773</v>
      </c>
      <c r="U14223" t="s">
        <v>52274</v>
      </c>
      <c r="W14223" t="s">
        <v>42151</v>
      </c>
      <c r="X14223" t="s">
        <v>43232</v>
      </c>
    </row>
    <row r="14224" spans="1:24">
      <c r="A14224">
        <f>HYPERLINK("https://www.philgeps.gov.ph/GEPSNONPILOT/Tender/SplashBidNoticeAbstractUI.aspx?menuIndex=3&amp;refID=6928847&amp;Result=3","6928847")</f>
        <v>0</v>
      </c>
      <c r="B14224" t="s">
        <v>2636</v>
      </c>
      <c r="C14224" t="s">
        <v>17039</v>
      </c>
      <c r="D14224" t="s">
        <v>17492</v>
      </c>
      <c r="E14224" t="s">
        <v>29705</v>
      </c>
      <c r="F14224" t="s">
        <v>30052</v>
      </c>
      <c r="G14224" t="s">
        <v>30058</v>
      </c>
      <c r="H14224" t="s">
        <v>30067</v>
      </c>
      <c r="I14224" t="s">
        <v>3693</v>
      </c>
      <c r="J14224" t="s">
        <v>38795</v>
      </c>
      <c r="K14224" t="s">
        <v>39025</v>
      </c>
      <c r="M14224" t="s">
        <v>42151</v>
      </c>
      <c r="N14224" t="s">
        <v>43166</v>
      </c>
      <c r="O14224" t="s">
        <v>43167</v>
      </c>
      <c r="Q14224">
        <v>1</v>
      </c>
      <c r="R14224" t="s">
        <v>43233</v>
      </c>
      <c r="S14224" t="s">
        <v>44465</v>
      </c>
      <c r="T14224" t="s">
        <v>44773</v>
      </c>
      <c r="U14224" t="s">
        <v>52274</v>
      </c>
      <c r="W14224" t="s">
        <v>42151</v>
      </c>
      <c r="X14224" t="s">
        <v>43232</v>
      </c>
    </row>
    <row r="14225" spans="1:24">
      <c r="A14225">
        <f>HYPERLINK("https://www.philgeps.gov.ph/GEPSNONPILOT/Tender/SplashBidNoticeAbstractUI.aspx?menuIndex=3&amp;refID=6927609&amp;Result=3","6927609")</f>
        <v>0</v>
      </c>
      <c r="B14225" t="s">
        <v>3428</v>
      </c>
      <c r="C14225" t="s">
        <v>17040</v>
      </c>
      <c r="D14225" t="s">
        <v>17447</v>
      </c>
      <c r="E14225" t="s">
        <v>29706</v>
      </c>
      <c r="F14225" t="s">
        <v>30052</v>
      </c>
      <c r="G14225" t="s">
        <v>30058</v>
      </c>
      <c r="H14225" t="s">
        <v>30069</v>
      </c>
      <c r="I14225" t="s">
        <v>30149</v>
      </c>
      <c r="J14225" t="s">
        <v>38796</v>
      </c>
      <c r="K14225" t="s">
        <v>39039</v>
      </c>
      <c r="M14225" t="s">
        <v>43109</v>
      </c>
      <c r="N14225" t="s">
        <v>43166</v>
      </c>
      <c r="O14225" t="s">
        <v>43167</v>
      </c>
      <c r="Q14225">
        <v>0</v>
      </c>
      <c r="R14225" t="s">
        <v>43233</v>
      </c>
      <c r="S14225" t="s">
        <v>44466</v>
      </c>
      <c r="T14225" t="s">
        <v>44772</v>
      </c>
      <c r="U14225" t="s">
        <v>56513</v>
      </c>
      <c r="W14225" t="s">
        <v>58720</v>
      </c>
      <c r="X14225" t="s">
        <v>43232</v>
      </c>
    </row>
    <row r="14226" spans="1:24">
      <c r="A14226">
        <f>HYPERLINK("https://www.philgeps.gov.ph/GEPSNONPILOT/Tender/SplashBidNoticeAbstractUI.aspx?menuIndex=3&amp;refID=6927103&amp;Result=3","6927103")</f>
        <v>0</v>
      </c>
      <c r="B14226" t="s">
        <v>2245</v>
      </c>
      <c r="C14226" t="s">
        <v>17041</v>
      </c>
      <c r="D14226" t="s">
        <v>17415</v>
      </c>
      <c r="E14226" t="s">
        <v>29707</v>
      </c>
      <c r="F14226" t="s">
        <v>30052</v>
      </c>
      <c r="G14226" t="s">
        <v>30058</v>
      </c>
      <c r="H14226" t="s">
        <v>30067</v>
      </c>
      <c r="I14226" t="s">
        <v>3693</v>
      </c>
      <c r="J14226" t="s">
        <v>38797</v>
      </c>
      <c r="K14226" t="s">
        <v>39026</v>
      </c>
      <c r="M14226" t="s">
        <v>41723</v>
      </c>
      <c r="N14226" t="s">
        <v>43166</v>
      </c>
      <c r="O14226" t="s">
        <v>43167</v>
      </c>
      <c r="Q14226">
        <v>19</v>
      </c>
      <c r="R14226" t="s">
        <v>43233</v>
      </c>
      <c r="S14226" t="s">
        <v>44467</v>
      </c>
      <c r="T14226" t="s">
        <v>44830</v>
      </c>
      <c r="U14226" t="s">
        <v>56514</v>
      </c>
      <c r="W14226" t="s">
        <v>41723</v>
      </c>
      <c r="X14226" t="s">
        <v>43232</v>
      </c>
    </row>
    <row r="14227" spans="1:24">
      <c r="A14227">
        <f>HYPERLINK("https://www.philgeps.gov.ph/GEPSNONPILOT/Tender/SplashBidNoticeAbstractUI.aspx?menuIndex=3&amp;refID=6928788&amp;Result=3","6928788")</f>
        <v>0</v>
      </c>
      <c r="B14227" t="s">
        <v>2636</v>
      </c>
      <c r="C14227" t="s">
        <v>17042</v>
      </c>
      <c r="D14227" t="s">
        <v>17492</v>
      </c>
      <c r="E14227" t="s">
        <v>29708</v>
      </c>
      <c r="F14227" t="s">
        <v>30052</v>
      </c>
      <c r="G14227" t="s">
        <v>30058</v>
      </c>
      <c r="H14227" t="s">
        <v>30067</v>
      </c>
      <c r="I14227" t="s">
        <v>3693</v>
      </c>
      <c r="J14227" t="s">
        <v>38798</v>
      </c>
      <c r="K14227" t="s">
        <v>39025</v>
      </c>
      <c r="M14227" t="s">
        <v>42151</v>
      </c>
      <c r="N14227" t="s">
        <v>43166</v>
      </c>
      <c r="O14227" t="s">
        <v>43167</v>
      </c>
      <c r="Q14227">
        <v>0</v>
      </c>
      <c r="R14227" t="s">
        <v>43233</v>
      </c>
      <c r="S14227" t="s">
        <v>44468</v>
      </c>
      <c r="T14227" t="s">
        <v>44773</v>
      </c>
      <c r="U14227" t="s">
        <v>52274</v>
      </c>
      <c r="W14227" t="s">
        <v>42151</v>
      </c>
      <c r="X14227" t="s">
        <v>43232</v>
      </c>
    </row>
    <row r="14228" spans="1:24">
      <c r="A14228">
        <f>HYPERLINK("https://www.philgeps.gov.ph/GEPSNONPILOT/Tender/SplashBidNoticeAbstractUI.aspx?menuIndex=3&amp;refID=6928834&amp;Result=3","6928834")</f>
        <v>0</v>
      </c>
      <c r="B14228" t="s">
        <v>2636</v>
      </c>
      <c r="C14228" t="s">
        <v>17043</v>
      </c>
      <c r="D14228" t="s">
        <v>17492</v>
      </c>
      <c r="E14228" t="s">
        <v>29709</v>
      </c>
      <c r="F14228" t="s">
        <v>30052</v>
      </c>
      <c r="G14228" t="s">
        <v>30058</v>
      </c>
      <c r="H14228" t="s">
        <v>30067</v>
      </c>
      <c r="I14228" t="s">
        <v>3693</v>
      </c>
      <c r="J14228" t="s">
        <v>38799</v>
      </c>
      <c r="K14228" t="s">
        <v>39025</v>
      </c>
      <c r="M14228" t="s">
        <v>42151</v>
      </c>
      <c r="N14228" t="s">
        <v>43166</v>
      </c>
      <c r="O14228" t="s">
        <v>43167</v>
      </c>
      <c r="Q14228">
        <v>0</v>
      </c>
      <c r="R14228" t="s">
        <v>43233</v>
      </c>
      <c r="S14228" t="s">
        <v>44469</v>
      </c>
      <c r="T14228" t="s">
        <v>44773</v>
      </c>
      <c r="U14228" t="s">
        <v>52274</v>
      </c>
      <c r="W14228" t="s">
        <v>42151</v>
      </c>
      <c r="X14228" t="s">
        <v>43232</v>
      </c>
    </row>
    <row r="14229" spans="1:24">
      <c r="A14229">
        <f>HYPERLINK("https://www.philgeps.gov.ph/GEPSNONPILOT/Tender/SplashBidNoticeAbstractUI.aspx?menuIndex=3&amp;refID=6924106&amp;Result=3","6924106")</f>
        <v>0</v>
      </c>
      <c r="B14229" t="s">
        <v>2077</v>
      </c>
      <c r="C14229" t="s">
        <v>17044</v>
      </c>
      <c r="D14229" t="s">
        <v>17448</v>
      </c>
      <c r="E14229" t="s">
        <v>29710</v>
      </c>
      <c r="F14229" t="s">
        <v>30052</v>
      </c>
      <c r="G14229" t="s">
        <v>30058</v>
      </c>
      <c r="H14229" t="s">
        <v>30067</v>
      </c>
      <c r="I14229" t="s">
        <v>3693</v>
      </c>
      <c r="J14229" t="s">
        <v>36524</v>
      </c>
      <c r="K14229" t="s">
        <v>39092</v>
      </c>
      <c r="M14229" t="s">
        <v>42465</v>
      </c>
      <c r="N14229" t="s">
        <v>43166</v>
      </c>
      <c r="O14229" t="s">
        <v>43167</v>
      </c>
      <c r="Q14229">
        <v>18</v>
      </c>
      <c r="R14229" t="s">
        <v>43232</v>
      </c>
      <c r="S14229" t="s">
        <v>43577</v>
      </c>
      <c r="T14229" t="s">
        <v>44828</v>
      </c>
      <c r="U14229" t="s">
        <v>55759</v>
      </c>
      <c r="V14229" t="s">
        <v>58529</v>
      </c>
      <c r="W14229" t="s">
        <v>42465</v>
      </c>
      <c r="X14229" t="s">
        <v>43235</v>
      </c>
    </row>
    <row r="14230" spans="1:24">
      <c r="A14230">
        <f>HYPERLINK("https://www.philgeps.gov.ph/GEPSNONPILOT/Tender/SplashBidNoticeAbstractUI.aspx?menuIndex=3&amp;refID=6935285&amp;Result=3","6935285")</f>
        <v>0</v>
      </c>
      <c r="B14230" t="s">
        <v>1325</v>
      </c>
      <c r="C14230" t="s">
        <v>17045</v>
      </c>
      <c r="D14230" t="s">
        <v>17413</v>
      </c>
      <c r="E14230" t="s">
        <v>29711</v>
      </c>
      <c r="F14230" t="s">
        <v>30052</v>
      </c>
      <c r="G14230" t="s">
        <v>30058</v>
      </c>
      <c r="H14230" t="s">
        <v>30067</v>
      </c>
      <c r="I14230" t="s">
        <v>3693</v>
      </c>
      <c r="J14230" t="s">
        <v>30823</v>
      </c>
      <c r="K14230" t="s">
        <v>39163</v>
      </c>
      <c r="M14230" t="s">
        <v>40692</v>
      </c>
      <c r="N14230" t="s">
        <v>43166</v>
      </c>
      <c r="O14230" t="s">
        <v>43167</v>
      </c>
      <c r="Q14230">
        <v>0</v>
      </c>
      <c r="R14230" t="s">
        <v>43229</v>
      </c>
      <c r="S14230" t="s">
        <v>44470</v>
      </c>
      <c r="T14230" t="s">
        <v>44734</v>
      </c>
      <c r="U14230" t="s">
        <v>56515</v>
      </c>
      <c r="W14230" t="s">
        <v>40692</v>
      </c>
      <c r="X14230" t="s">
        <v>43231</v>
      </c>
    </row>
    <row r="14231" spans="1:24">
      <c r="A14231">
        <f>HYPERLINK("https://www.philgeps.gov.ph/GEPSNONPILOT/Tender/SplashBidNoticeAbstractUI.aspx?menuIndex=3&amp;refID=6923942&amp;Result=3","6923942")</f>
        <v>0</v>
      </c>
      <c r="B14231" t="s">
        <v>2077</v>
      </c>
      <c r="C14231" t="s">
        <v>17046</v>
      </c>
      <c r="D14231" t="s">
        <v>17448</v>
      </c>
      <c r="E14231" t="s">
        <v>29712</v>
      </c>
      <c r="F14231" t="s">
        <v>30052</v>
      </c>
      <c r="G14231" t="s">
        <v>30058</v>
      </c>
      <c r="H14231" t="s">
        <v>30067</v>
      </c>
      <c r="I14231" t="s">
        <v>3693</v>
      </c>
      <c r="J14231" t="s">
        <v>36524</v>
      </c>
      <c r="K14231" t="s">
        <v>39092</v>
      </c>
      <c r="M14231" t="s">
        <v>42465</v>
      </c>
      <c r="N14231" t="s">
        <v>43166</v>
      </c>
      <c r="O14231" t="s">
        <v>43167</v>
      </c>
      <c r="Q14231">
        <v>22</v>
      </c>
      <c r="R14231" t="s">
        <v>43232</v>
      </c>
      <c r="S14231" t="s">
        <v>44471</v>
      </c>
      <c r="T14231" t="s">
        <v>44828</v>
      </c>
      <c r="U14231" t="s">
        <v>55759</v>
      </c>
      <c r="V14231" t="s">
        <v>58530</v>
      </c>
      <c r="W14231" t="s">
        <v>42465</v>
      </c>
      <c r="X14231" t="s">
        <v>43235</v>
      </c>
    </row>
    <row r="14232" spans="1:24">
      <c r="A14232">
        <f>HYPERLINK("https://www.philgeps.gov.ph/GEPSNONPILOT/Tender/SplashBidNoticeAbstractUI.aspx?menuIndex=3&amp;refID=6914517&amp;Result=3","6914517")</f>
        <v>0</v>
      </c>
      <c r="B14232" t="s">
        <v>684</v>
      </c>
      <c r="C14232" t="s">
        <v>17047</v>
      </c>
      <c r="D14232" t="s">
        <v>17473</v>
      </c>
      <c r="E14232" t="s">
        <v>17047</v>
      </c>
      <c r="F14232" t="s">
        <v>30052</v>
      </c>
      <c r="G14232" t="s">
        <v>30061</v>
      </c>
      <c r="H14232" t="s">
        <v>15498</v>
      </c>
      <c r="I14232" t="s">
        <v>4650</v>
      </c>
      <c r="J14232" t="s">
        <v>30755</v>
      </c>
      <c r="K14232" t="s">
        <v>39029</v>
      </c>
      <c r="M14232" t="s">
        <v>40718</v>
      </c>
      <c r="N14232" t="s">
        <v>43166</v>
      </c>
      <c r="O14232" t="s">
        <v>43167</v>
      </c>
      <c r="Q14232">
        <v>4</v>
      </c>
      <c r="R14232" t="s">
        <v>43234</v>
      </c>
      <c r="S14232" t="s">
        <v>44472</v>
      </c>
      <c r="T14232" t="s">
        <v>44822</v>
      </c>
      <c r="U14232" t="s">
        <v>56516</v>
      </c>
      <c r="W14232" t="s">
        <v>40718</v>
      </c>
      <c r="X14232" t="s">
        <v>43236</v>
      </c>
    </row>
    <row r="14233" spans="1:24">
      <c r="A14233">
        <f>HYPERLINK("https://www.philgeps.gov.ph/GEPSNONPILOT/Tender/SplashBidNoticeAbstractUI.aspx?menuIndex=3&amp;refID=6920701&amp;Result=3","6920701")</f>
        <v>0</v>
      </c>
      <c r="B14233" t="s">
        <v>368</v>
      </c>
      <c r="C14233" t="s">
        <v>17048</v>
      </c>
      <c r="D14233" t="s">
        <v>17448</v>
      </c>
      <c r="E14233" t="s">
        <v>29713</v>
      </c>
      <c r="F14233" t="s">
        <v>30052</v>
      </c>
      <c r="G14233" t="s">
        <v>30058</v>
      </c>
      <c r="H14233" t="s">
        <v>30067</v>
      </c>
      <c r="I14233" t="s">
        <v>3693</v>
      </c>
      <c r="J14233" t="s">
        <v>30222</v>
      </c>
      <c r="K14233" t="s">
        <v>39023</v>
      </c>
      <c r="M14233" t="s">
        <v>39666</v>
      </c>
      <c r="N14233" t="s">
        <v>43166</v>
      </c>
      <c r="O14233" t="s">
        <v>43167</v>
      </c>
      <c r="Q14233">
        <v>1</v>
      </c>
      <c r="R14233" t="s">
        <v>43235</v>
      </c>
      <c r="S14233" t="s">
        <v>44473</v>
      </c>
      <c r="T14233" t="s">
        <v>44788</v>
      </c>
      <c r="U14233" t="s">
        <v>56517</v>
      </c>
      <c r="V14233" t="s">
        <v>58531</v>
      </c>
      <c r="W14233" t="s">
        <v>39666</v>
      </c>
      <c r="X14233" t="s">
        <v>19213</v>
      </c>
    </row>
    <row r="14234" spans="1:24">
      <c r="A14234">
        <f>HYPERLINK("https://www.philgeps.gov.ph/GEPSNONPILOT/Tender/SplashBidNoticeAbstractUI.aspx?menuIndex=3&amp;refID=6920397&amp;Result=3","6920397")</f>
        <v>0</v>
      </c>
      <c r="B14234" t="s">
        <v>511</v>
      </c>
      <c r="C14234" t="s">
        <v>17049</v>
      </c>
      <c r="D14234" t="s">
        <v>17480</v>
      </c>
      <c r="E14234" t="s">
        <v>29714</v>
      </c>
      <c r="F14234" t="s">
        <v>30052</v>
      </c>
      <c r="G14234" t="s">
        <v>30058</v>
      </c>
      <c r="H14234" t="s">
        <v>15498</v>
      </c>
      <c r="I14234" t="s">
        <v>30122</v>
      </c>
      <c r="J14234" t="s">
        <v>38800</v>
      </c>
      <c r="K14234" t="s">
        <v>39029</v>
      </c>
      <c r="M14234" t="s">
        <v>39812</v>
      </c>
      <c r="N14234" t="s">
        <v>43166</v>
      </c>
      <c r="O14234" t="s">
        <v>43167</v>
      </c>
      <c r="Q14234">
        <v>6</v>
      </c>
      <c r="R14234" t="s">
        <v>19213</v>
      </c>
      <c r="S14234" t="s">
        <v>44474</v>
      </c>
      <c r="T14234" t="s">
        <v>45129</v>
      </c>
      <c r="U14234" t="s">
        <v>56518</v>
      </c>
      <c r="V14234" t="s">
        <v>58532</v>
      </c>
      <c r="W14234" t="s">
        <v>39812</v>
      </c>
      <c r="X14234" t="s">
        <v>43234</v>
      </c>
    </row>
    <row r="14235" spans="1:24">
      <c r="A14235">
        <f>HYPERLINK("https://www.philgeps.gov.ph/GEPSNONPILOT/Tender/SplashBidNoticeAbstractUI.aspx?menuIndex=3&amp;refID=6920220&amp;Result=3","6920220")</f>
        <v>0</v>
      </c>
      <c r="B14235" t="s">
        <v>822</v>
      </c>
      <c r="C14235" t="s">
        <v>17050</v>
      </c>
      <c r="D14235" t="s">
        <v>17415</v>
      </c>
      <c r="E14235" t="s">
        <v>29715</v>
      </c>
      <c r="F14235" t="s">
        <v>30052</v>
      </c>
      <c r="G14235" t="s">
        <v>30059</v>
      </c>
      <c r="H14235" t="s">
        <v>15498</v>
      </c>
      <c r="I14235" t="s">
        <v>30084</v>
      </c>
      <c r="J14235" t="s">
        <v>30504</v>
      </c>
      <c r="K14235" t="s">
        <v>39273</v>
      </c>
      <c r="M14235" t="s">
        <v>43110</v>
      </c>
      <c r="N14235" t="s">
        <v>43166</v>
      </c>
      <c r="O14235" t="s">
        <v>43167</v>
      </c>
      <c r="Q14235">
        <v>2</v>
      </c>
      <c r="R14235" t="s">
        <v>19213</v>
      </c>
      <c r="S14235" t="s">
        <v>43598</v>
      </c>
      <c r="T14235" t="s">
        <v>44717</v>
      </c>
      <c r="U14235" t="s">
        <v>56519</v>
      </c>
      <c r="W14235" t="s">
        <v>43110</v>
      </c>
      <c r="X14235" t="s">
        <v>43234</v>
      </c>
    </row>
    <row r="14236" spans="1:24">
      <c r="A14236">
        <f>HYPERLINK("https://www.philgeps.gov.ph/GEPSNONPILOT/Tender/SplashBidNoticeAbstractUI.aspx?menuIndex=3&amp;refID=6920695&amp;Result=3","6920695")</f>
        <v>0</v>
      </c>
      <c r="B14236" t="s">
        <v>368</v>
      </c>
      <c r="C14236" t="s">
        <v>17051</v>
      </c>
      <c r="D14236" t="s">
        <v>17448</v>
      </c>
      <c r="E14236" t="s">
        <v>29716</v>
      </c>
      <c r="F14236" t="s">
        <v>30052</v>
      </c>
      <c r="G14236" t="s">
        <v>30058</v>
      </c>
      <c r="H14236" t="s">
        <v>30067</v>
      </c>
      <c r="I14236" t="s">
        <v>3693</v>
      </c>
      <c r="J14236" t="s">
        <v>30222</v>
      </c>
      <c r="K14236" t="s">
        <v>39065</v>
      </c>
      <c r="M14236" t="s">
        <v>39666</v>
      </c>
      <c r="N14236" t="s">
        <v>43166</v>
      </c>
      <c r="O14236" t="s">
        <v>43167</v>
      </c>
      <c r="Q14236">
        <v>1</v>
      </c>
      <c r="R14236" t="s">
        <v>43235</v>
      </c>
      <c r="S14236" t="s">
        <v>44473</v>
      </c>
      <c r="T14236" t="s">
        <v>44788</v>
      </c>
      <c r="U14236" t="s">
        <v>56520</v>
      </c>
      <c r="V14236" t="s">
        <v>58531</v>
      </c>
      <c r="W14236" t="s">
        <v>39666</v>
      </c>
      <c r="X14236" t="s">
        <v>19213</v>
      </c>
    </row>
    <row r="14237" spans="1:24">
      <c r="A14237">
        <f>HYPERLINK("https://www.philgeps.gov.ph/GEPSNONPILOT/Tender/SplashBidNoticeAbstractUI.aspx?menuIndex=3&amp;refID=6920681&amp;Result=3","6920681")</f>
        <v>0</v>
      </c>
      <c r="B14237" t="s">
        <v>368</v>
      </c>
      <c r="C14237" t="s">
        <v>17052</v>
      </c>
      <c r="D14237" t="s">
        <v>17448</v>
      </c>
      <c r="E14237" t="s">
        <v>29717</v>
      </c>
      <c r="F14237" t="s">
        <v>30052</v>
      </c>
      <c r="G14237" t="s">
        <v>30058</v>
      </c>
      <c r="H14237" t="s">
        <v>30067</v>
      </c>
      <c r="I14237" t="s">
        <v>3693</v>
      </c>
      <c r="J14237" t="s">
        <v>30222</v>
      </c>
      <c r="K14237" t="s">
        <v>39065</v>
      </c>
      <c r="M14237" t="s">
        <v>39666</v>
      </c>
      <c r="N14237" t="s">
        <v>43166</v>
      </c>
      <c r="O14237" t="s">
        <v>43167</v>
      </c>
      <c r="Q14237">
        <v>1</v>
      </c>
      <c r="R14237" t="s">
        <v>43235</v>
      </c>
      <c r="S14237" t="s">
        <v>44475</v>
      </c>
      <c r="T14237" t="s">
        <v>44788</v>
      </c>
      <c r="U14237" t="s">
        <v>56521</v>
      </c>
      <c r="V14237" t="s">
        <v>58531</v>
      </c>
      <c r="W14237" t="s">
        <v>39666</v>
      </c>
      <c r="X14237" t="s">
        <v>19213</v>
      </c>
    </row>
    <row r="14238" spans="1:24">
      <c r="A14238">
        <f>HYPERLINK("https://www.philgeps.gov.ph/GEPSNONPILOT/Tender/SplashBidNoticeAbstractUI.aspx?menuIndex=3&amp;refID=6920671&amp;Result=3","6920671")</f>
        <v>0</v>
      </c>
      <c r="B14238" t="s">
        <v>368</v>
      </c>
      <c r="C14238" t="s">
        <v>17053</v>
      </c>
      <c r="D14238" t="s">
        <v>17448</v>
      </c>
      <c r="E14238" t="s">
        <v>29718</v>
      </c>
      <c r="F14238" t="s">
        <v>30052</v>
      </c>
      <c r="G14238" t="s">
        <v>30058</v>
      </c>
      <c r="H14238" t="s">
        <v>30067</v>
      </c>
      <c r="I14238" t="s">
        <v>3693</v>
      </c>
      <c r="J14238" t="s">
        <v>30222</v>
      </c>
      <c r="K14238" t="s">
        <v>39065</v>
      </c>
      <c r="M14238" t="s">
        <v>39666</v>
      </c>
      <c r="N14238" t="s">
        <v>43166</v>
      </c>
      <c r="O14238" t="s">
        <v>43167</v>
      </c>
      <c r="Q14238">
        <v>1</v>
      </c>
      <c r="R14238" t="s">
        <v>43235</v>
      </c>
      <c r="S14238" t="s">
        <v>44476</v>
      </c>
      <c r="T14238" t="s">
        <v>44788</v>
      </c>
      <c r="U14238" t="s">
        <v>56522</v>
      </c>
      <c r="V14238" t="s">
        <v>58531</v>
      </c>
      <c r="W14238" t="s">
        <v>39666</v>
      </c>
      <c r="X14238" t="s">
        <v>19213</v>
      </c>
    </row>
    <row r="14239" spans="1:24">
      <c r="A14239">
        <f>HYPERLINK("https://www.philgeps.gov.ph/GEPSNONPILOT/Tender/SplashBidNoticeAbstractUI.aspx?menuIndex=3&amp;refID=6920663&amp;Result=3","6920663")</f>
        <v>0</v>
      </c>
      <c r="B14239" t="s">
        <v>368</v>
      </c>
      <c r="C14239" t="s">
        <v>17054</v>
      </c>
      <c r="D14239" t="s">
        <v>17448</v>
      </c>
      <c r="E14239" t="s">
        <v>29719</v>
      </c>
      <c r="F14239" t="s">
        <v>30052</v>
      </c>
      <c r="G14239" t="s">
        <v>30058</v>
      </c>
      <c r="H14239" t="s">
        <v>30067</v>
      </c>
      <c r="I14239" t="s">
        <v>3693</v>
      </c>
      <c r="J14239" t="s">
        <v>30252</v>
      </c>
      <c r="K14239" t="s">
        <v>39023</v>
      </c>
      <c r="M14239" t="s">
        <v>39666</v>
      </c>
      <c r="N14239" t="s">
        <v>43166</v>
      </c>
      <c r="O14239" t="s">
        <v>43167</v>
      </c>
      <c r="Q14239">
        <v>1</v>
      </c>
      <c r="R14239" t="s">
        <v>43235</v>
      </c>
      <c r="S14239" t="s">
        <v>44477</v>
      </c>
      <c r="T14239" t="s">
        <v>44788</v>
      </c>
      <c r="U14239" t="s">
        <v>56523</v>
      </c>
      <c r="V14239" t="s">
        <v>58533</v>
      </c>
      <c r="W14239" t="s">
        <v>39666</v>
      </c>
      <c r="X14239" t="s">
        <v>19213</v>
      </c>
    </row>
    <row r="14240" spans="1:24">
      <c r="A14240">
        <f>HYPERLINK("https://www.philgeps.gov.ph/GEPSNONPILOT/Tender/SplashBidNoticeAbstractUI.aspx?menuIndex=3&amp;refID=6910571&amp;Result=3","6910571")</f>
        <v>0</v>
      </c>
      <c r="B14240" t="s">
        <v>3429</v>
      </c>
      <c r="C14240" t="s">
        <v>17055</v>
      </c>
      <c r="D14240" t="s">
        <v>17455</v>
      </c>
      <c r="E14240" t="s">
        <v>29720</v>
      </c>
      <c r="F14240" t="s">
        <v>30052</v>
      </c>
      <c r="G14240" t="s">
        <v>30058</v>
      </c>
      <c r="H14240" t="s">
        <v>30067</v>
      </c>
      <c r="I14240" t="s">
        <v>3693</v>
      </c>
      <c r="J14240" t="s">
        <v>38801</v>
      </c>
      <c r="K14240" t="s">
        <v>39158</v>
      </c>
      <c r="M14240" t="s">
        <v>43111</v>
      </c>
      <c r="N14240" t="s">
        <v>43166</v>
      </c>
      <c r="O14240" t="s">
        <v>43167</v>
      </c>
      <c r="Q14240">
        <v>9</v>
      </c>
      <c r="R14240" t="s">
        <v>43236</v>
      </c>
      <c r="S14240" t="s">
        <v>44478</v>
      </c>
      <c r="T14240" t="s">
        <v>44699</v>
      </c>
      <c r="U14240" t="s">
        <v>56524</v>
      </c>
      <c r="V14240" t="s">
        <v>58534</v>
      </c>
      <c r="W14240" t="s">
        <v>43111</v>
      </c>
      <c r="X14240" t="s">
        <v>43238</v>
      </c>
    </row>
    <row r="14241" spans="1:24">
      <c r="A14241">
        <f>HYPERLINK("https://www.philgeps.gov.ph/GEPSNONPILOT/Tender/SplashBidNoticeAbstractUI.aspx?menuIndex=3&amp;refID=6918704&amp;Result=3","6918704")</f>
        <v>0</v>
      </c>
      <c r="B14241" t="s">
        <v>1730</v>
      </c>
      <c r="C14241" t="s">
        <v>17056</v>
      </c>
      <c r="D14241" t="s">
        <v>17423</v>
      </c>
      <c r="E14241" t="s">
        <v>29721</v>
      </c>
      <c r="F14241" t="s">
        <v>30052</v>
      </c>
      <c r="G14241" t="s">
        <v>30059</v>
      </c>
      <c r="H14241" t="s">
        <v>15498</v>
      </c>
      <c r="I14241" t="s">
        <v>3736</v>
      </c>
      <c r="J14241" t="s">
        <v>38802</v>
      </c>
      <c r="K14241" t="s">
        <v>39019</v>
      </c>
      <c r="M14241" t="s">
        <v>41999</v>
      </c>
      <c r="N14241" t="s">
        <v>43166</v>
      </c>
      <c r="O14241" t="s">
        <v>43167</v>
      </c>
      <c r="Q14241">
        <v>2</v>
      </c>
      <c r="R14241" t="s">
        <v>19213</v>
      </c>
      <c r="S14241" t="s">
        <v>44479</v>
      </c>
      <c r="T14241" t="s">
        <v>44965</v>
      </c>
      <c r="U14241" t="s">
        <v>56525</v>
      </c>
      <c r="W14241" t="s">
        <v>41999</v>
      </c>
      <c r="X14241" t="s">
        <v>43234</v>
      </c>
    </row>
    <row r="14242" spans="1:24">
      <c r="A14242">
        <f>HYPERLINK("https://www.philgeps.gov.ph/GEPSNONPILOT/Tender/SplashBidNoticeAbstractUI.aspx?menuIndex=3&amp;refID=6928800&amp;Result=3","6928800")</f>
        <v>0</v>
      </c>
      <c r="B14242" t="s">
        <v>2636</v>
      </c>
      <c r="C14242" t="s">
        <v>17057</v>
      </c>
      <c r="D14242" t="s">
        <v>17492</v>
      </c>
      <c r="E14242" t="s">
        <v>29722</v>
      </c>
      <c r="F14242" t="s">
        <v>30052</v>
      </c>
      <c r="G14242" t="s">
        <v>30058</v>
      </c>
      <c r="H14242" t="s">
        <v>30067</v>
      </c>
      <c r="I14242" t="s">
        <v>3693</v>
      </c>
      <c r="J14242" t="s">
        <v>38803</v>
      </c>
      <c r="K14242" t="s">
        <v>39025</v>
      </c>
      <c r="M14242" t="s">
        <v>42151</v>
      </c>
      <c r="N14242" t="s">
        <v>43166</v>
      </c>
      <c r="O14242" t="s">
        <v>43167</v>
      </c>
      <c r="Q14242">
        <v>0</v>
      </c>
      <c r="R14242" t="s">
        <v>43233</v>
      </c>
      <c r="S14242" t="s">
        <v>44480</v>
      </c>
      <c r="T14242" t="s">
        <v>44773</v>
      </c>
      <c r="U14242" t="s">
        <v>52274</v>
      </c>
      <c r="W14242" t="s">
        <v>42151</v>
      </c>
      <c r="X14242" t="s">
        <v>43232</v>
      </c>
    </row>
    <row r="14243" spans="1:24">
      <c r="A14243">
        <f>HYPERLINK("https://www.philgeps.gov.ph/GEPSNONPILOT/Tender/SplashBidNoticeAbstractUI.aspx?menuIndex=3&amp;refID=6910640&amp;Result=3","6910640")</f>
        <v>0</v>
      </c>
      <c r="B14243" t="s">
        <v>3429</v>
      </c>
      <c r="C14243" t="s">
        <v>17058</v>
      </c>
      <c r="D14243" t="s">
        <v>17455</v>
      </c>
      <c r="E14243" t="s">
        <v>29723</v>
      </c>
      <c r="F14243" t="s">
        <v>30052</v>
      </c>
      <c r="G14243" t="s">
        <v>30058</v>
      </c>
      <c r="H14243" t="s">
        <v>30067</v>
      </c>
      <c r="I14243" t="s">
        <v>3693</v>
      </c>
      <c r="J14243" t="s">
        <v>38804</v>
      </c>
      <c r="K14243" t="s">
        <v>39160</v>
      </c>
      <c r="M14243" t="s">
        <v>43111</v>
      </c>
      <c r="N14243" t="s">
        <v>43166</v>
      </c>
      <c r="O14243" t="s">
        <v>43167</v>
      </c>
      <c r="Q14243">
        <v>6</v>
      </c>
      <c r="R14243" t="s">
        <v>43236</v>
      </c>
      <c r="S14243" t="s">
        <v>44023</v>
      </c>
      <c r="T14243" t="s">
        <v>44699</v>
      </c>
      <c r="U14243" t="s">
        <v>56524</v>
      </c>
      <c r="V14243" t="s">
        <v>58535</v>
      </c>
      <c r="W14243" t="s">
        <v>43111</v>
      </c>
      <c r="X14243" t="s">
        <v>43238</v>
      </c>
    </row>
    <row r="14244" spans="1:24">
      <c r="A14244">
        <f>HYPERLINK("https://www.philgeps.gov.ph/GEPSNONPILOT/Tender/SplashBidNoticeAbstractUI.aspx?menuIndex=3&amp;refID=6919596&amp;Result=3","6919596")</f>
        <v>0</v>
      </c>
      <c r="B14244" t="s">
        <v>2569</v>
      </c>
      <c r="C14244" t="s">
        <v>17059</v>
      </c>
      <c r="D14244" t="s">
        <v>17470</v>
      </c>
      <c r="E14244" t="s">
        <v>29724</v>
      </c>
      <c r="F14244" t="s">
        <v>30052</v>
      </c>
      <c r="G14244" t="s">
        <v>30058</v>
      </c>
      <c r="H14244" t="s">
        <v>30067</v>
      </c>
      <c r="I14244" t="s">
        <v>3693</v>
      </c>
      <c r="J14244" t="s">
        <v>34946</v>
      </c>
      <c r="K14244" t="s">
        <v>39140</v>
      </c>
      <c r="M14244" t="s">
        <v>42912</v>
      </c>
      <c r="N14244" t="s">
        <v>43166</v>
      </c>
      <c r="O14244" t="s">
        <v>43167</v>
      </c>
      <c r="Q14244">
        <v>3</v>
      </c>
      <c r="R14244" t="s">
        <v>19213</v>
      </c>
      <c r="S14244" t="s">
        <v>44481</v>
      </c>
      <c r="T14244" t="s">
        <v>45168</v>
      </c>
      <c r="U14244" t="s">
        <v>56526</v>
      </c>
      <c r="V14244" t="s">
        <v>58536</v>
      </c>
      <c r="W14244" t="s">
        <v>42912</v>
      </c>
      <c r="X14244" t="s">
        <v>43234</v>
      </c>
    </row>
    <row r="14245" spans="1:24">
      <c r="A14245">
        <f>HYPERLINK("https://www.philgeps.gov.ph/GEPSNONPILOT/Tender/SplashBidNoticeAbstractUI.aspx?menuIndex=3&amp;refID=6910598&amp;Result=3","6910598")</f>
        <v>0</v>
      </c>
      <c r="B14245" t="s">
        <v>3429</v>
      </c>
      <c r="C14245" t="s">
        <v>17060</v>
      </c>
      <c r="D14245" t="s">
        <v>17455</v>
      </c>
      <c r="E14245" t="s">
        <v>29725</v>
      </c>
      <c r="F14245" t="s">
        <v>30052</v>
      </c>
      <c r="G14245" t="s">
        <v>30058</v>
      </c>
      <c r="H14245" t="s">
        <v>30067</v>
      </c>
      <c r="I14245" t="s">
        <v>3693</v>
      </c>
      <c r="J14245" t="s">
        <v>38805</v>
      </c>
      <c r="K14245" t="s">
        <v>39082</v>
      </c>
      <c r="M14245" t="s">
        <v>43111</v>
      </c>
      <c r="N14245" t="s">
        <v>43166</v>
      </c>
      <c r="O14245" t="s">
        <v>43167</v>
      </c>
      <c r="Q14245">
        <v>6</v>
      </c>
      <c r="R14245" t="s">
        <v>43236</v>
      </c>
      <c r="S14245" t="s">
        <v>44482</v>
      </c>
      <c r="T14245" t="s">
        <v>44699</v>
      </c>
      <c r="U14245" t="s">
        <v>56524</v>
      </c>
      <c r="V14245" t="s">
        <v>58537</v>
      </c>
      <c r="W14245" t="s">
        <v>43111</v>
      </c>
      <c r="X14245" t="s">
        <v>43238</v>
      </c>
    </row>
    <row r="14246" spans="1:24">
      <c r="A14246">
        <f>HYPERLINK("https://www.philgeps.gov.ph/GEPSNONPILOT/Tender/SplashBidNoticeAbstractUI.aspx?menuIndex=3&amp;refID=6910957&amp;Result=3","6910957")</f>
        <v>0</v>
      </c>
      <c r="B14246" t="s">
        <v>947</v>
      </c>
      <c r="C14246" t="s">
        <v>17061</v>
      </c>
      <c r="D14246" t="s">
        <v>17415</v>
      </c>
      <c r="E14246" t="s">
        <v>29726</v>
      </c>
      <c r="F14246" t="s">
        <v>30052</v>
      </c>
      <c r="G14246" t="s">
        <v>30058</v>
      </c>
      <c r="H14246" t="s">
        <v>30069</v>
      </c>
      <c r="I14246" t="s">
        <v>30072</v>
      </c>
      <c r="J14246" t="s">
        <v>38806</v>
      </c>
      <c r="K14246" t="s">
        <v>39067</v>
      </c>
      <c r="M14246" t="s">
        <v>40942</v>
      </c>
      <c r="N14246" t="s">
        <v>43166</v>
      </c>
      <c r="O14246" t="s">
        <v>43167</v>
      </c>
      <c r="Q14246">
        <v>13</v>
      </c>
      <c r="R14246" t="s">
        <v>43236</v>
      </c>
      <c r="S14246" t="s">
        <v>44483</v>
      </c>
      <c r="T14246" t="s">
        <v>44696</v>
      </c>
      <c r="U14246" t="s">
        <v>56527</v>
      </c>
      <c r="W14246" t="s">
        <v>40942</v>
      </c>
      <c r="X14246" t="s">
        <v>43238</v>
      </c>
    </row>
    <row r="14247" spans="1:24">
      <c r="A14247">
        <f>HYPERLINK("https://www.philgeps.gov.ph/GEPSNONPILOT/Tender/SplashBidNoticeAbstractUI.aspx?menuIndex=3&amp;refID=6910478&amp;Result=3","6910478")</f>
        <v>0</v>
      </c>
      <c r="B14247" t="s">
        <v>3429</v>
      </c>
      <c r="C14247" t="s">
        <v>17062</v>
      </c>
      <c r="D14247" t="s">
        <v>17455</v>
      </c>
      <c r="E14247" t="s">
        <v>29727</v>
      </c>
      <c r="F14247" t="s">
        <v>30052</v>
      </c>
      <c r="G14247" t="s">
        <v>30058</v>
      </c>
      <c r="H14247" t="s">
        <v>30067</v>
      </c>
      <c r="I14247" t="s">
        <v>3693</v>
      </c>
      <c r="J14247" t="s">
        <v>38807</v>
      </c>
      <c r="K14247" t="s">
        <v>39307</v>
      </c>
      <c r="M14247" t="s">
        <v>43111</v>
      </c>
      <c r="N14247" t="s">
        <v>43166</v>
      </c>
      <c r="O14247" t="s">
        <v>43167</v>
      </c>
      <c r="Q14247">
        <v>11</v>
      </c>
      <c r="R14247" t="s">
        <v>43236</v>
      </c>
      <c r="S14247" t="s">
        <v>43324</v>
      </c>
      <c r="T14247" t="s">
        <v>44699</v>
      </c>
      <c r="U14247" t="s">
        <v>56524</v>
      </c>
      <c r="V14247" t="s">
        <v>58538</v>
      </c>
      <c r="W14247" t="s">
        <v>43111</v>
      </c>
      <c r="X14247" t="s">
        <v>43238</v>
      </c>
    </row>
    <row r="14248" spans="1:24">
      <c r="A14248">
        <f>HYPERLINK("https://www.philgeps.gov.ph/GEPSNONPILOT/Tender/SplashBidNoticeAbstractUI.aspx?menuIndex=3&amp;refID=6910374&amp;Result=3","6910374")</f>
        <v>0</v>
      </c>
      <c r="B14248" t="s">
        <v>775</v>
      </c>
      <c r="C14248" t="s">
        <v>17063</v>
      </c>
      <c r="D14248" t="s">
        <v>17415</v>
      </c>
      <c r="E14248" t="s">
        <v>29728</v>
      </c>
      <c r="F14248" t="s">
        <v>30052</v>
      </c>
      <c r="G14248" t="s">
        <v>30058</v>
      </c>
      <c r="H14248" t="s">
        <v>30067</v>
      </c>
      <c r="I14248" t="s">
        <v>3693</v>
      </c>
      <c r="J14248" t="s">
        <v>38808</v>
      </c>
      <c r="K14248" t="s">
        <v>39308</v>
      </c>
      <c r="M14248" t="s">
        <v>40090</v>
      </c>
      <c r="N14248" t="s">
        <v>43166</v>
      </c>
      <c r="O14248" t="s">
        <v>43167</v>
      </c>
      <c r="Q14248">
        <v>30</v>
      </c>
      <c r="R14248" t="s">
        <v>43236</v>
      </c>
      <c r="S14248" t="s">
        <v>44484</v>
      </c>
      <c r="T14248" t="s">
        <v>45049</v>
      </c>
      <c r="U14248" t="s">
        <v>56528</v>
      </c>
      <c r="V14248" t="s">
        <v>58539</v>
      </c>
      <c r="W14248" t="s">
        <v>40090</v>
      </c>
      <c r="X14248" t="s">
        <v>43238</v>
      </c>
    </row>
    <row r="14249" spans="1:24">
      <c r="A14249">
        <f>HYPERLINK("https://www.philgeps.gov.ph/GEPSNONPILOT/Tender/SplashBidNoticeAbstractUI.aspx?menuIndex=3&amp;refID=6916855&amp;Result=3","6916855")</f>
        <v>0</v>
      </c>
      <c r="B14249" t="s">
        <v>511</v>
      </c>
      <c r="C14249" t="s">
        <v>17064</v>
      </c>
      <c r="D14249" t="s">
        <v>17491</v>
      </c>
      <c r="E14249" t="s">
        <v>29729</v>
      </c>
      <c r="F14249" t="s">
        <v>30052</v>
      </c>
      <c r="G14249" t="s">
        <v>30058</v>
      </c>
      <c r="H14249" t="s">
        <v>15498</v>
      </c>
      <c r="I14249" t="s">
        <v>30135</v>
      </c>
      <c r="J14249" t="s">
        <v>38809</v>
      </c>
      <c r="K14249" t="s">
        <v>39119</v>
      </c>
      <c r="M14249" t="s">
        <v>39812</v>
      </c>
      <c r="N14249" t="s">
        <v>43166</v>
      </c>
      <c r="O14249" t="s">
        <v>43167</v>
      </c>
      <c r="Q14249">
        <v>10</v>
      </c>
      <c r="R14249" t="s">
        <v>43234</v>
      </c>
      <c r="S14249" t="s">
        <v>44485</v>
      </c>
      <c r="T14249" t="s">
        <v>45129</v>
      </c>
      <c r="U14249" t="s">
        <v>56529</v>
      </c>
      <c r="V14249" t="s">
        <v>58540</v>
      </c>
      <c r="W14249" t="s">
        <v>39812</v>
      </c>
      <c r="X14249" t="s">
        <v>43236</v>
      </c>
    </row>
    <row r="14250" spans="1:24">
      <c r="A14250">
        <f>HYPERLINK("https://www.philgeps.gov.ph/GEPSNONPILOT/Tender/SplashBidNoticeAbstractUI.aspx?menuIndex=3&amp;refID=6916361&amp;Result=3","6916361")</f>
        <v>0</v>
      </c>
      <c r="B14250" t="s">
        <v>501</v>
      </c>
      <c r="C14250" t="s">
        <v>17065</v>
      </c>
      <c r="E14250" t="s">
        <v>29730</v>
      </c>
      <c r="F14250" t="s">
        <v>30052</v>
      </c>
      <c r="G14250" t="s">
        <v>30058</v>
      </c>
      <c r="H14250" t="s">
        <v>15498</v>
      </c>
      <c r="I14250" t="s">
        <v>30100</v>
      </c>
      <c r="J14250" t="s">
        <v>38810</v>
      </c>
      <c r="K14250" t="s">
        <v>39025</v>
      </c>
      <c r="M14250" t="s">
        <v>39802</v>
      </c>
      <c r="N14250" t="s">
        <v>43166</v>
      </c>
      <c r="O14250" t="s">
        <v>43167</v>
      </c>
      <c r="Q14250">
        <v>15</v>
      </c>
      <c r="R14250" t="s">
        <v>43234</v>
      </c>
      <c r="S14250" t="s">
        <v>44150</v>
      </c>
      <c r="T14250" t="s">
        <v>44710</v>
      </c>
      <c r="U14250" t="s">
        <v>56530</v>
      </c>
      <c r="V14250" t="s">
        <v>58541</v>
      </c>
      <c r="W14250" t="s">
        <v>39802</v>
      </c>
      <c r="X14250" t="s">
        <v>43236</v>
      </c>
    </row>
    <row r="14251" spans="1:24">
      <c r="A14251">
        <f>HYPERLINK("https://www.philgeps.gov.ph/GEPSNONPILOT/Tender/SplashBidNoticeAbstractUI.aspx?menuIndex=3&amp;refID=6920649&amp;Result=3","6920649")</f>
        <v>0</v>
      </c>
      <c r="B14251" t="s">
        <v>368</v>
      </c>
      <c r="C14251" t="s">
        <v>17066</v>
      </c>
      <c r="D14251" t="s">
        <v>17448</v>
      </c>
      <c r="E14251" t="s">
        <v>29731</v>
      </c>
      <c r="F14251" t="s">
        <v>30052</v>
      </c>
      <c r="G14251" t="s">
        <v>30058</v>
      </c>
      <c r="H14251" t="s">
        <v>30067</v>
      </c>
      <c r="I14251" t="s">
        <v>3693</v>
      </c>
      <c r="J14251" t="s">
        <v>30222</v>
      </c>
      <c r="K14251" t="s">
        <v>39065</v>
      </c>
      <c r="M14251" t="s">
        <v>39666</v>
      </c>
      <c r="N14251" t="s">
        <v>43166</v>
      </c>
      <c r="O14251" t="s">
        <v>43167</v>
      </c>
      <c r="Q14251">
        <v>1</v>
      </c>
      <c r="R14251" t="s">
        <v>43235</v>
      </c>
      <c r="S14251" t="s">
        <v>44477</v>
      </c>
      <c r="T14251" t="s">
        <v>44788</v>
      </c>
      <c r="U14251" t="s">
        <v>56531</v>
      </c>
      <c r="V14251" t="s">
        <v>58533</v>
      </c>
      <c r="W14251" t="s">
        <v>39666</v>
      </c>
      <c r="X14251" t="s">
        <v>19213</v>
      </c>
    </row>
    <row r="14252" spans="1:24">
      <c r="A14252">
        <f>HYPERLINK("https://www.philgeps.gov.ph/GEPSNONPILOT/Tender/SplashBidNoticeAbstractUI.aspx?menuIndex=3&amp;refID=6916295&amp;Result=3","6916295")</f>
        <v>0</v>
      </c>
      <c r="B14252" t="s">
        <v>2077</v>
      </c>
      <c r="C14252" t="s">
        <v>17067</v>
      </c>
      <c r="D14252" t="s">
        <v>17455</v>
      </c>
      <c r="E14252" t="s">
        <v>29732</v>
      </c>
      <c r="F14252" t="s">
        <v>30052</v>
      </c>
      <c r="G14252" t="s">
        <v>30058</v>
      </c>
      <c r="H14252" t="s">
        <v>30067</v>
      </c>
      <c r="I14252" t="s">
        <v>3693</v>
      </c>
      <c r="J14252" t="s">
        <v>38811</v>
      </c>
      <c r="K14252" t="s">
        <v>39092</v>
      </c>
      <c r="M14252" t="s">
        <v>42465</v>
      </c>
      <c r="N14252" t="s">
        <v>43166</v>
      </c>
      <c r="O14252" t="s">
        <v>43167</v>
      </c>
      <c r="Q14252">
        <v>17</v>
      </c>
      <c r="R14252" t="s">
        <v>43234</v>
      </c>
      <c r="S14252" t="s">
        <v>44486</v>
      </c>
      <c r="T14252" t="s">
        <v>44828</v>
      </c>
      <c r="U14252" t="s">
        <v>55759</v>
      </c>
      <c r="V14252" t="s">
        <v>58529</v>
      </c>
      <c r="W14252" t="s">
        <v>42465</v>
      </c>
      <c r="X14252" t="s">
        <v>43236</v>
      </c>
    </row>
    <row r="14253" spans="1:24">
      <c r="A14253">
        <f>HYPERLINK("https://www.philgeps.gov.ph/GEPSNONPILOT/Tender/SplashBidNoticeAbstractUI.aspx?menuIndex=3&amp;refID=6916255&amp;Result=3","6916255")</f>
        <v>0</v>
      </c>
      <c r="B14253" t="s">
        <v>501</v>
      </c>
      <c r="C14253" t="s">
        <v>17068</v>
      </c>
      <c r="E14253" t="s">
        <v>29733</v>
      </c>
      <c r="F14253" t="s">
        <v>30052</v>
      </c>
      <c r="G14253" t="s">
        <v>30058</v>
      </c>
      <c r="H14253" t="s">
        <v>15498</v>
      </c>
      <c r="I14253" t="s">
        <v>4650</v>
      </c>
      <c r="J14253" t="s">
        <v>38812</v>
      </c>
      <c r="K14253" t="s">
        <v>39025</v>
      </c>
      <c r="M14253" t="s">
        <v>39802</v>
      </c>
      <c r="N14253" t="s">
        <v>43166</v>
      </c>
      <c r="O14253" t="s">
        <v>43167</v>
      </c>
      <c r="Q14253">
        <v>23</v>
      </c>
      <c r="R14253" t="s">
        <v>43234</v>
      </c>
      <c r="S14253" t="s">
        <v>44487</v>
      </c>
      <c r="T14253" t="s">
        <v>44710</v>
      </c>
      <c r="U14253" t="s">
        <v>56532</v>
      </c>
      <c r="V14253" t="s">
        <v>58542</v>
      </c>
      <c r="W14253" t="s">
        <v>39802</v>
      </c>
      <c r="X14253" t="s">
        <v>43236</v>
      </c>
    </row>
    <row r="14254" spans="1:24">
      <c r="A14254">
        <f>HYPERLINK("https://www.philgeps.gov.ph/GEPSNONPILOT/Tender/SplashBidNoticeAbstractUI.aspx?menuIndex=3&amp;refID=6915968&amp;Result=3","6915968")</f>
        <v>0</v>
      </c>
      <c r="B14254" t="s">
        <v>3430</v>
      </c>
      <c r="C14254" t="s">
        <v>17069</v>
      </c>
      <c r="E14254" t="s">
        <v>29734</v>
      </c>
      <c r="F14254" t="s">
        <v>30052</v>
      </c>
      <c r="G14254" t="s">
        <v>30058</v>
      </c>
      <c r="H14254" t="s">
        <v>30069</v>
      </c>
      <c r="I14254" t="s">
        <v>30072</v>
      </c>
      <c r="J14254" t="s">
        <v>38813</v>
      </c>
      <c r="K14254" t="s">
        <v>39146</v>
      </c>
      <c r="M14254" t="s">
        <v>43112</v>
      </c>
      <c r="N14254" t="s">
        <v>43166</v>
      </c>
      <c r="O14254" t="s">
        <v>43167</v>
      </c>
      <c r="Q14254">
        <v>6</v>
      </c>
      <c r="R14254" t="s">
        <v>43234</v>
      </c>
      <c r="S14254" t="s">
        <v>44488</v>
      </c>
      <c r="T14254" t="s">
        <v>44856</v>
      </c>
      <c r="U14254" t="s">
        <v>56533</v>
      </c>
      <c r="W14254" t="s">
        <v>43112</v>
      </c>
      <c r="X14254" t="s">
        <v>43236</v>
      </c>
    </row>
    <row r="14255" spans="1:24">
      <c r="A14255">
        <f>HYPERLINK("https://www.philgeps.gov.ph/GEPSNONPILOT/Tender/SplashBidNoticeAbstractUI.aspx?menuIndex=3&amp;refID=6920683&amp;Result=3","6920683")</f>
        <v>0</v>
      </c>
      <c r="B14255" t="s">
        <v>368</v>
      </c>
      <c r="C14255" t="s">
        <v>17070</v>
      </c>
      <c r="D14255" t="s">
        <v>17448</v>
      </c>
      <c r="E14255" t="s">
        <v>29735</v>
      </c>
      <c r="F14255" t="s">
        <v>30052</v>
      </c>
      <c r="G14255" t="s">
        <v>30058</v>
      </c>
      <c r="H14255" t="s">
        <v>30067</v>
      </c>
      <c r="I14255" t="s">
        <v>3693</v>
      </c>
      <c r="J14255" t="s">
        <v>30222</v>
      </c>
      <c r="K14255" t="s">
        <v>39065</v>
      </c>
      <c r="M14255" t="s">
        <v>39666</v>
      </c>
      <c r="N14255" t="s">
        <v>43166</v>
      </c>
      <c r="O14255" t="s">
        <v>43167</v>
      </c>
      <c r="Q14255">
        <v>1</v>
      </c>
      <c r="R14255" t="s">
        <v>43235</v>
      </c>
      <c r="S14255" t="s">
        <v>44475</v>
      </c>
      <c r="T14255" t="s">
        <v>44788</v>
      </c>
      <c r="U14255" t="s">
        <v>56534</v>
      </c>
      <c r="V14255" t="s">
        <v>58543</v>
      </c>
      <c r="W14255" t="s">
        <v>39666</v>
      </c>
      <c r="X14255" t="s">
        <v>19213</v>
      </c>
    </row>
    <row r="14256" spans="1:24">
      <c r="A14256">
        <f>HYPERLINK("https://www.philgeps.gov.ph/GEPSNONPILOT/Tender/SplashBidNoticeAbstractUI.aspx?menuIndex=3&amp;refID=6910542&amp;Result=3","6910542")</f>
        <v>0</v>
      </c>
      <c r="B14256" t="s">
        <v>3429</v>
      </c>
      <c r="C14256" t="s">
        <v>17071</v>
      </c>
      <c r="D14256" t="s">
        <v>17455</v>
      </c>
      <c r="E14256" t="s">
        <v>29736</v>
      </c>
      <c r="F14256" t="s">
        <v>30052</v>
      </c>
      <c r="G14256" t="s">
        <v>30058</v>
      </c>
      <c r="H14256" t="s">
        <v>30067</v>
      </c>
      <c r="I14256" t="s">
        <v>3693</v>
      </c>
      <c r="J14256" t="s">
        <v>38814</v>
      </c>
      <c r="K14256" t="s">
        <v>39228</v>
      </c>
      <c r="M14256" t="s">
        <v>43111</v>
      </c>
      <c r="N14256" t="s">
        <v>43166</v>
      </c>
      <c r="O14256" t="s">
        <v>43167</v>
      </c>
      <c r="Q14256">
        <v>11</v>
      </c>
      <c r="R14256" t="s">
        <v>43236</v>
      </c>
      <c r="S14256" t="s">
        <v>44489</v>
      </c>
      <c r="T14256" t="s">
        <v>44699</v>
      </c>
      <c r="U14256" t="s">
        <v>56524</v>
      </c>
      <c r="V14256" t="s">
        <v>58544</v>
      </c>
      <c r="W14256" t="s">
        <v>43111</v>
      </c>
      <c r="X14256" t="s">
        <v>43238</v>
      </c>
    </row>
    <row r="14257" spans="1:24">
      <c r="A14257">
        <f>HYPERLINK("https://www.philgeps.gov.ph/GEPSNONPILOT/Tender/SplashBidNoticeAbstractUI.aspx?menuIndex=3&amp;refID=6916447&amp;Result=3","6916447")</f>
        <v>0</v>
      </c>
      <c r="B14257" t="s">
        <v>501</v>
      </c>
      <c r="C14257" t="s">
        <v>17072</v>
      </c>
      <c r="E14257" t="s">
        <v>29737</v>
      </c>
      <c r="F14257" t="s">
        <v>30052</v>
      </c>
      <c r="G14257" t="s">
        <v>30058</v>
      </c>
      <c r="H14257" t="s">
        <v>15498</v>
      </c>
      <c r="I14257" t="s">
        <v>30070</v>
      </c>
      <c r="J14257" t="s">
        <v>38815</v>
      </c>
      <c r="K14257" t="s">
        <v>39025</v>
      </c>
      <c r="M14257" t="s">
        <v>39802</v>
      </c>
      <c r="N14257" t="s">
        <v>43166</v>
      </c>
      <c r="O14257" t="s">
        <v>43167</v>
      </c>
      <c r="Q14257">
        <v>5</v>
      </c>
      <c r="R14257" t="s">
        <v>43234</v>
      </c>
      <c r="S14257" t="s">
        <v>44490</v>
      </c>
      <c r="T14257" t="s">
        <v>44830</v>
      </c>
      <c r="U14257" t="s">
        <v>56535</v>
      </c>
      <c r="V14257" t="s">
        <v>58545</v>
      </c>
      <c r="W14257" t="s">
        <v>39802</v>
      </c>
      <c r="X14257" t="s">
        <v>43236</v>
      </c>
    </row>
    <row r="14258" spans="1:24">
      <c r="A14258">
        <f>HYPERLINK("https://www.philgeps.gov.ph/GEPSNONPILOT/Tender/SplashBidNoticeAbstractUI.aspx?menuIndex=3&amp;refID=6910808&amp;Result=3","6910808")</f>
        <v>0</v>
      </c>
      <c r="B14258" t="s">
        <v>1874</v>
      </c>
      <c r="C14258" t="s">
        <v>17073</v>
      </c>
      <c r="D14258" t="s">
        <v>17441</v>
      </c>
      <c r="E14258" t="s">
        <v>29738</v>
      </c>
      <c r="F14258" t="s">
        <v>30052</v>
      </c>
      <c r="G14258" t="s">
        <v>30058</v>
      </c>
      <c r="H14258" t="s">
        <v>30067</v>
      </c>
      <c r="I14258" t="s">
        <v>3693</v>
      </c>
      <c r="J14258" t="s">
        <v>38816</v>
      </c>
      <c r="K14258" t="s">
        <v>39055</v>
      </c>
      <c r="M14258" t="s">
        <v>41305</v>
      </c>
      <c r="N14258" t="s">
        <v>43166</v>
      </c>
      <c r="O14258" t="s">
        <v>43167</v>
      </c>
      <c r="Q14258">
        <v>64</v>
      </c>
      <c r="R14258" t="s">
        <v>43236</v>
      </c>
      <c r="S14258" t="s">
        <v>44491</v>
      </c>
      <c r="T14258" t="s">
        <v>44699</v>
      </c>
      <c r="U14258" t="s">
        <v>56536</v>
      </c>
      <c r="V14258" t="s">
        <v>57428</v>
      </c>
      <c r="W14258" t="s">
        <v>41305</v>
      </c>
      <c r="X14258" t="s">
        <v>43238</v>
      </c>
    </row>
    <row r="14259" spans="1:24">
      <c r="A14259">
        <f>HYPERLINK("https://www.philgeps.gov.ph/GEPSNONPILOT/Tender/SplashBidNoticeAbstractUI.aspx?menuIndex=3&amp;refID=6903132&amp;Result=3","6903132")</f>
        <v>0</v>
      </c>
      <c r="B14259" t="s">
        <v>352</v>
      </c>
      <c r="C14259" t="s">
        <v>17074</v>
      </c>
      <c r="D14259" t="s">
        <v>17480</v>
      </c>
      <c r="E14259" t="s">
        <v>29739</v>
      </c>
      <c r="F14259" t="s">
        <v>30052</v>
      </c>
      <c r="G14259" t="s">
        <v>30058</v>
      </c>
      <c r="H14259" t="s">
        <v>30068</v>
      </c>
      <c r="I14259" t="s">
        <v>30068</v>
      </c>
      <c r="J14259" t="s">
        <v>32935</v>
      </c>
      <c r="K14259" t="s">
        <v>39164</v>
      </c>
      <c r="M14259" t="s">
        <v>43113</v>
      </c>
      <c r="N14259" t="s">
        <v>43166</v>
      </c>
      <c r="O14259" t="s">
        <v>43167</v>
      </c>
      <c r="Q14259">
        <v>7</v>
      </c>
      <c r="R14259" t="s">
        <v>43237</v>
      </c>
      <c r="S14259" t="s">
        <v>44219</v>
      </c>
      <c r="T14259" t="s">
        <v>44936</v>
      </c>
      <c r="U14259" t="s">
        <v>56537</v>
      </c>
      <c r="W14259" t="s">
        <v>43113</v>
      </c>
      <c r="X14259" t="s">
        <v>43244</v>
      </c>
    </row>
    <row r="14260" spans="1:24">
      <c r="A14260">
        <f>HYPERLINK("https://www.philgeps.gov.ph/GEPSNONPILOT/Tender/SplashBidNoticeAbstractUI.aspx?menuIndex=3&amp;refID=6901664&amp;Result=3","6901664")</f>
        <v>0</v>
      </c>
      <c r="B14260" t="s">
        <v>1874</v>
      </c>
      <c r="C14260" t="s">
        <v>17075</v>
      </c>
      <c r="D14260" t="s">
        <v>17441</v>
      </c>
      <c r="E14260" t="s">
        <v>29740</v>
      </c>
      <c r="F14260" t="s">
        <v>30052</v>
      </c>
      <c r="G14260" t="s">
        <v>30058</v>
      </c>
      <c r="H14260" t="s">
        <v>30067</v>
      </c>
      <c r="I14260" t="s">
        <v>3693</v>
      </c>
      <c r="J14260" t="s">
        <v>38817</v>
      </c>
      <c r="K14260" t="s">
        <v>39085</v>
      </c>
      <c r="M14260" t="s">
        <v>41305</v>
      </c>
      <c r="N14260" t="s">
        <v>43166</v>
      </c>
      <c r="O14260" t="s">
        <v>43167</v>
      </c>
      <c r="Q14260">
        <v>64</v>
      </c>
      <c r="R14260" t="s">
        <v>43237</v>
      </c>
      <c r="S14260" t="s">
        <v>44492</v>
      </c>
      <c r="T14260" t="s">
        <v>44794</v>
      </c>
      <c r="U14260" t="s">
        <v>56538</v>
      </c>
      <c r="V14260" t="s">
        <v>57428</v>
      </c>
      <c r="W14260" t="s">
        <v>41305</v>
      </c>
      <c r="X14260" t="s">
        <v>43244</v>
      </c>
    </row>
    <row r="14261" spans="1:24">
      <c r="A14261">
        <f>HYPERLINK("https://www.philgeps.gov.ph/GEPSNONPILOT/Tender/SplashBidNoticeAbstractUI.aspx?menuIndex=3&amp;refID=6911794&amp;Result=3","6911794")</f>
        <v>0</v>
      </c>
      <c r="B14261" t="s">
        <v>1925</v>
      </c>
      <c r="C14261" t="s">
        <v>17076</v>
      </c>
      <c r="D14261" t="s">
        <v>17462</v>
      </c>
      <c r="E14261" t="s">
        <v>29741</v>
      </c>
      <c r="F14261" t="s">
        <v>30052</v>
      </c>
      <c r="G14261" t="s">
        <v>30060</v>
      </c>
      <c r="H14261" t="s">
        <v>30067</v>
      </c>
      <c r="I14261" t="s">
        <v>30093</v>
      </c>
      <c r="J14261" t="s">
        <v>38818</v>
      </c>
      <c r="K14261" t="s">
        <v>39031</v>
      </c>
      <c r="M14261" t="s">
        <v>43107</v>
      </c>
      <c r="N14261" t="s">
        <v>43166</v>
      </c>
      <c r="O14261" t="s">
        <v>43167</v>
      </c>
      <c r="Q14261">
        <v>5</v>
      </c>
      <c r="R14261" t="s">
        <v>43236</v>
      </c>
      <c r="S14261" t="s">
        <v>44493</v>
      </c>
      <c r="T14261" t="s">
        <v>44699</v>
      </c>
      <c r="U14261" t="s">
        <v>56539</v>
      </c>
      <c r="W14261" t="s">
        <v>43107</v>
      </c>
      <c r="X14261" t="s">
        <v>43238</v>
      </c>
    </row>
    <row r="14262" spans="1:24">
      <c r="A14262">
        <f>HYPERLINK("https://www.philgeps.gov.ph/GEPSNONPILOT/Tender/SplashBidNoticeAbstractUI.aspx?menuIndex=3&amp;refID=6908540&amp;Result=3","6908540")</f>
        <v>0</v>
      </c>
      <c r="B14262" t="s">
        <v>422</v>
      </c>
      <c r="C14262" t="s">
        <v>17077</v>
      </c>
      <c r="E14262" t="s">
        <v>29742</v>
      </c>
      <c r="F14262" t="s">
        <v>30052</v>
      </c>
      <c r="G14262" t="s">
        <v>30058</v>
      </c>
      <c r="H14262" t="s">
        <v>15498</v>
      </c>
      <c r="I14262" t="s">
        <v>9238</v>
      </c>
      <c r="J14262" t="s">
        <v>38819</v>
      </c>
      <c r="K14262" t="s">
        <v>39025</v>
      </c>
      <c r="M14262" t="s">
        <v>43114</v>
      </c>
      <c r="N14262" t="s">
        <v>43166</v>
      </c>
      <c r="O14262" t="s">
        <v>43167</v>
      </c>
      <c r="Q14262">
        <v>61</v>
      </c>
      <c r="R14262" t="s">
        <v>43238</v>
      </c>
      <c r="S14262" t="s">
        <v>44494</v>
      </c>
      <c r="T14262" t="s">
        <v>44949</v>
      </c>
      <c r="U14262" t="s">
        <v>56540</v>
      </c>
      <c r="W14262" t="s">
        <v>43114</v>
      </c>
      <c r="X14262" t="s">
        <v>43237</v>
      </c>
    </row>
    <row r="14263" spans="1:24">
      <c r="A14263">
        <f>HYPERLINK("https://www.philgeps.gov.ph/GEPSNONPILOT/Tender/SplashBidNoticeAbstractUI.aspx?menuIndex=3&amp;refID=6903240&amp;Result=3","6903240")</f>
        <v>0</v>
      </c>
      <c r="B14263" t="s">
        <v>3431</v>
      </c>
      <c r="C14263" t="s">
        <v>17078</v>
      </c>
      <c r="D14263" t="s">
        <v>17473</v>
      </c>
      <c r="E14263" t="s">
        <v>29743</v>
      </c>
      <c r="F14263" t="s">
        <v>30052</v>
      </c>
      <c r="G14263" t="s">
        <v>30058</v>
      </c>
      <c r="H14263" t="s">
        <v>30067</v>
      </c>
      <c r="I14263" t="s">
        <v>3693</v>
      </c>
      <c r="J14263" t="s">
        <v>38820</v>
      </c>
      <c r="K14263" t="s">
        <v>39031</v>
      </c>
      <c r="M14263" t="s">
        <v>43115</v>
      </c>
      <c r="N14263" t="s">
        <v>43166</v>
      </c>
      <c r="O14263" t="s">
        <v>43167</v>
      </c>
      <c r="Q14263">
        <v>20</v>
      </c>
      <c r="R14263" t="s">
        <v>43237</v>
      </c>
      <c r="S14263" t="s">
        <v>44495</v>
      </c>
      <c r="T14263" t="s">
        <v>45201</v>
      </c>
      <c r="U14263" t="s">
        <v>56541</v>
      </c>
      <c r="V14263" t="s">
        <v>58546</v>
      </c>
      <c r="W14263" t="s">
        <v>43115</v>
      </c>
      <c r="X14263" t="s">
        <v>43244</v>
      </c>
    </row>
    <row r="14264" spans="1:24">
      <c r="A14264">
        <f>HYPERLINK("https://www.philgeps.gov.ph/GEPSNONPILOT/Tender/SplashBidNoticeAbstractUI.aspx?menuIndex=3&amp;refID=6919852&amp;Result=3","6919852")</f>
        <v>0</v>
      </c>
      <c r="B14264" t="s">
        <v>2245</v>
      </c>
      <c r="C14264" t="s">
        <v>17079</v>
      </c>
      <c r="D14264" t="s">
        <v>17415</v>
      </c>
      <c r="E14264" t="s">
        <v>29744</v>
      </c>
      <c r="F14264" t="s">
        <v>30052</v>
      </c>
      <c r="G14264" t="s">
        <v>30058</v>
      </c>
      <c r="H14264" t="s">
        <v>30067</v>
      </c>
      <c r="I14264" t="s">
        <v>3693</v>
      </c>
      <c r="J14264" t="s">
        <v>38821</v>
      </c>
      <c r="K14264" t="s">
        <v>39033</v>
      </c>
      <c r="M14264" t="s">
        <v>41723</v>
      </c>
      <c r="N14264" t="s">
        <v>43166</v>
      </c>
      <c r="O14264" t="s">
        <v>43167</v>
      </c>
      <c r="Q14264">
        <v>37</v>
      </c>
      <c r="R14264" t="s">
        <v>19213</v>
      </c>
      <c r="S14264" t="s">
        <v>44496</v>
      </c>
      <c r="T14264" t="s">
        <v>44830</v>
      </c>
      <c r="U14264" t="s">
        <v>56542</v>
      </c>
      <c r="W14264" t="s">
        <v>41723</v>
      </c>
      <c r="X14264" t="s">
        <v>43234</v>
      </c>
    </row>
    <row r="14265" spans="1:24">
      <c r="A14265">
        <f>HYPERLINK("https://www.philgeps.gov.ph/GEPSNONPILOT/Tender/SplashBidNoticeAbstractUI.aspx?menuIndex=3&amp;refID=6906186&amp;Result=3","6906186")</f>
        <v>0</v>
      </c>
      <c r="B14265" t="s">
        <v>2117</v>
      </c>
      <c r="C14265" t="s">
        <v>17080</v>
      </c>
      <c r="D14265" t="s">
        <v>17449</v>
      </c>
      <c r="E14265" t="s">
        <v>23260</v>
      </c>
      <c r="F14265" t="s">
        <v>30052</v>
      </c>
      <c r="G14265" t="s">
        <v>30058</v>
      </c>
      <c r="H14265" t="s">
        <v>30067</v>
      </c>
      <c r="I14265" t="s">
        <v>3693</v>
      </c>
      <c r="J14265" t="s">
        <v>38822</v>
      </c>
      <c r="K14265" t="s">
        <v>39104</v>
      </c>
      <c r="M14265" t="s">
        <v>41579</v>
      </c>
      <c r="N14265" t="s">
        <v>43166</v>
      </c>
      <c r="O14265" t="s">
        <v>43167</v>
      </c>
      <c r="Q14265">
        <v>1</v>
      </c>
      <c r="R14265" t="s">
        <v>43238</v>
      </c>
      <c r="S14265" t="s">
        <v>44497</v>
      </c>
      <c r="T14265" t="s">
        <v>45202</v>
      </c>
      <c r="U14265" t="s">
        <v>56543</v>
      </c>
      <c r="W14265" t="s">
        <v>41579</v>
      </c>
      <c r="X14265" t="s">
        <v>43237</v>
      </c>
    </row>
    <row r="14266" spans="1:24">
      <c r="A14266">
        <f>HYPERLINK("https://www.philgeps.gov.ph/GEPSNONPILOT/Tender/SplashBidNoticeAbstractUI.aspx?menuIndex=3&amp;refID=6908245&amp;Result=3","6908245")</f>
        <v>0</v>
      </c>
      <c r="B14266" t="s">
        <v>3432</v>
      </c>
      <c r="C14266" t="s">
        <v>17081</v>
      </c>
      <c r="E14266" t="s">
        <v>29745</v>
      </c>
      <c r="F14266" t="s">
        <v>30052</v>
      </c>
      <c r="G14266" t="s">
        <v>30058</v>
      </c>
      <c r="H14266" t="s">
        <v>30067</v>
      </c>
      <c r="I14266" t="s">
        <v>3693</v>
      </c>
      <c r="J14266" t="s">
        <v>38823</v>
      </c>
      <c r="K14266" t="s">
        <v>39057</v>
      </c>
      <c r="M14266" t="s">
        <v>43116</v>
      </c>
      <c r="N14266" t="s">
        <v>43166</v>
      </c>
      <c r="O14266" t="s">
        <v>43167</v>
      </c>
      <c r="Q14266">
        <v>14</v>
      </c>
      <c r="R14266" t="s">
        <v>43238</v>
      </c>
      <c r="S14266" t="s">
        <v>44498</v>
      </c>
      <c r="T14266" t="s">
        <v>45085</v>
      </c>
      <c r="U14266" t="s">
        <v>56544</v>
      </c>
      <c r="W14266" t="s">
        <v>43116</v>
      </c>
      <c r="X14266" t="s">
        <v>43237</v>
      </c>
    </row>
    <row r="14267" spans="1:24">
      <c r="A14267">
        <f>HYPERLINK("https://www.philgeps.gov.ph/GEPSNONPILOT/Tender/SplashBidNoticeAbstractUI.aspx?menuIndex=3&amp;refID=6906907&amp;Result=3","6906907")</f>
        <v>0</v>
      </c>
      <c r="B14267" t="s">
        <v>1925</v>
      </c>
      <c r="C14267" t="s">
        <v>17082</v>
      </c>
      <c r="D14267" t="s">
        <v>17462</v>
      </c>
      <c r="E14267" t="s">
        <v>29746</v>
      </c>
      <c r="F14267" t="s">
        <v>30052</v>
      </c>
      <c r="G14267" t="s">
        <v>30058</v>
      </c>
      <c r="H14267" t="s">
        <v>30067</v>
      </c>
      <c r="I14267" t="s">
        <v>3693</v>
      </c>
      <c r="J14267" t="s">
        <v>38824</v>
      </c>
      <c r="K14267" t="s">
        <v>39031</v>
      </c>
      <c r="M14267" t="s">
        <v>43107</v>
      </c>
      <c r="N14267" t="s">
        <v>43166</v>
      </c>
      <c r="O14267" t="s">
        <v>43167</v>
      </c>
      <c r="Q14267">
        <v>14</v>
      </c>
      <c r="R14267" t="s">
        <v>43238</v>
      </c>
      <c r="S14267" t="s">
        <v>44499</v>
      </c>
      <c r="T14267" t="s">
        <v>44856</v>
      </c>
      <c r="U14267" t="s">
        <v>56505</v>
      </c>
      <c r="W14267" t="s">
        <v>43107</v>
      </c>
      <c r="X14267" t="s">
        <v>43237</v>
      </c>
    </row>
    <row r="14268" spans="1:24">
      <c r="A14268">
        <f>HYPERLINK("https://www.philgeps.gov.ph/GEPSNONPILOT/Tender/SplashBidNoticeAbstractUI.aspx?menuIndex=3&amp;refID=6905957&amp;Result=3","6905957")</f>
        <v>0</v>
      </c>
      <c r="B14268" t="s">
        <v>2117</v>
      </c>
      <c r="C14268" t="s">
        <v>17083</v>
      </c>
      <c r="D14268" t="s">
        <v>17449</v>
      </c>
      <c r="E14268" t="s">
        <v>23260</v>
      </c>
      <c r="F14268" t="s">
        <v>30052</v>
      </c>
      <c r="G14268" t="s">
        <v>30058</v>
      </c>
      <c r="H14268" t="s">
        <v>30067</v>
      </c>
      <c r="I14268" t="s">
        <v>3693</v>
      </c>
      <c r="J14268" t="s">
        <v>38825</v>
      </c>
      <c r="K14268" t="s">
        <v>39177</v>
      </c>
      <c r="M14268" t="s">
        <v>41579</v>
      </c>
      <c r="N14268" t="s">
        <v>43166</v>
      </c>
      <c r="O14268" t="s">
        <v>43167</v>
      </c>
      <c r="Q14268">
        <v>5</v>
      </c>
      <c r="R14268" t="s">
        <v>43238</v>
      </c>
      <c r="S14268" t="s">
        <v>44500</v>
      </c>
      <c r="T14268" t="s">
        <v>45202</v>
      </c>
      <c r="U14268" t="s">
        <v>56545</v>
      </c>
      <c r="W14268" t="s">
        <v>41579</v>
      </c>
      <c r="X14268" t="s">
        <v>43237</v>
      </c>
    </row>
    <row r="14269" spans="1:24">
      <c r="A14269">
        <f>HYPERLINK("https://www.philgeps.gov.ph/GEPSNONPILOT/Tender/SplashBidNoticeAbstractUI.aspx?menuIndex=3&amp;refID=6905855&amp;Result=3","6905855")</f>
        <v>0</v>
      </c>
      <c r="B14269" t="s">
        <v>2117</v>
      </c>
      <c r="C14269" t="s">
        <v>17084</v>
      </c>
      <c r="D14269" t="s">
        <v>17449</v>
      </c>
      <c r="E14269" t="s">
        <v>23260</v>
      </c>
      <c r="F14269" t="s">
        <v>30052</v>
      </c>
      <c r="G14269" t="s">
        <v>30058</v>
      </c>
      <c r="H14269" t="s">
        <v>30067</v>
      </c>
      <c r="I14269" t="s">
        <v>3693</v>
      </c>
      <c r="J14269" t="s">
        <v>38826</v>
      </c>
      <c r="K14269" t="s">
        <v>39082</v>
      </c>
      <c r="M14269" t="s">
        <v>41579</v>
      </c>
      <c r="N14269" t="s">
        <v>43166</v>
      </c>
      <c r="O14269" t="s">
        <v>43167</v>
      </c>
      <c r="Q14269">
        <v>2</v>
      </c>
      <c r="R14269" t="s">
        <v>43238</v>
      </c>
      <c r="S14269" t="s">
        <v>44501</v>
      </c>
      <c r="T14269" t="s">
        <v>45202</v>
      </c>
      <c r="U14269" t="s">
        <v>56546</v>
      </c>
      <c r="W14269" t="s">
        <v>41579</v>
      </c>
      <c r="X14269" t="s">
        <v>43237</v>
      </c>
    </row>
    <row r="14270" spans="1:24">
      <c r="A14270">
        <f>HYPERLINK("https://www.philgeps.gov.ph/GEPSNONPILOT/Tender/SplashBidNoticeAbstractUI.aspx?menuIndex=3&amp;refID=6912820&amp;Result=3","6912820")</f>
        <v>0</v>
      </c>
      <c r="B14270" t="s">
        <v>2330</v>
      </c>
      <c r="C14270" t="s">
        <v>17085</v>
      </c>
      <c r="E14270" t="s">
        <v>29747</v>
      </c>
      <c r="F14270" t="s">
        <v>30052</v>
      </c>
      <c r="G14270" t="s">
        <v>30058</v>
      </c>
      <c r="H14270" t="s">
        <v>15498</v>
      </c>
      <c r="I14270" t="s">
        <v>30124</v>
      </c>
      <c r="J14270" t="s">
        <v>30683</v>
      </c>
      <c r="K14270" t="s">
        <v>39025</v>
      </c>
      <c r="M14270" t="s">
        <v>43117</v>
      </c>
      <c r="N14270" t="s">
        <v>43166</v>
      </c>
      <c r="O14270" t="s">
        <v>43167</v>
      </c>
      <c r="Q14270">
        <v>9</v>
      </c>
      <c r="R14270" t="s">
        <v>43236</v>
      </c>
      <c r="S14270" t="s">
        <v>44502</v>
      </c>
      <c r="T14270" t="s">
        <v>44804</v>
      </c>
      <c r="U14270" t="s">
        <v>56547</v>
      </c>
      <c r="W14270" t="s">
        <v>43117</v>
      </c>
      <c r="X14270" t="s">
        <v>43238</v>
      </c>
    </row>
    <row r="14271" spans="1:24">
      <c r="A14271">
        <f>HYPERLINK("https://www.philgeps.gov.ph/GEPSNONPILOT/Tender/SplashBidNoticeAbstractUI.aspx?menuIndex=3&amp;refID=6905103&amp;Result=3","6905103")</f>
        <v>0</v>
      </c>
      <c r="B14271" t="s">
        <v>3023</v>
      </c>
      <c r="C14271" t="s">
        <v>17086</v>
      </c>
      <c r="D14271" t="s">
        <v>17439</v>
      </c>
      <c r="E14271" t="s">
        <v>29748</v>
      </c>
      <c r="F14271" t="s">
        <v>30052</v>
      </c>
      <c r="G14271" t="s">
        <v>30061</v>
      </c>
      <c r="H14271" t="s">
        <v>15498</v>
      </c>
      <c r="I14271" t="s">
        <v>30125</v>
      </c>
      <c r="J14271" t="s">
        <v>30528</v>
      </c>
      <c r="K14271" t="s">
        <v>39025</v>
      </c>
      <c r="M14271" t="s">
        <v>43118</v>
      </c>
      <c r="N14271" t="s">
        <v>43166</v>
      </c>
      <c r="O14271" t="s">
        <v>43167</v>
      </c>
      <c r="Q14271">
        <v>1</v>
      </c>
      <c r="R14271" t="s">
        <v>43238</v>
      </c>
      <c r="S14271" t="s">
        <v>44503</v>
      </c>
      <c r="T14271" t="s">
        <v>44718</v>
      </c>
      <c r="U14271" t="s">
        <v>56548</v>
      </c>
      <c r="V14271" t="s">
        <v>58547</v>
      </c>
      <c r="W14271" t="s">
        <v>43118</v>
      </c>
      <c r="X14271" t="s">
        <v>43237</v>
      </c>
    </row>
    <row r="14272" spans="1:24">
      <c r="A14272">
        <f>HYPERLINK("https://www.philgeps.gov.ph/GEPSNONPILOT/Tender/SplashBidNoticeAbstractUI.aspx?menuIndex=3&amp;refID=6912809&amp;Result=3","6912809")</f>
        <v>0</v>
      </c>
      <c r="B14272" t="s">
        <v>2330</v>
      </c>
      <c r="C14272" t="s">
        <v>17087</v>
      </c>
      <c r="E14272" t="s">
        <v>29749</v>
      </c>
      <c r="F14272" t="s">
        <v>30052</v>
      </c>
      <c r="G14272" t="s">
        <v>30058</v>
      </c>
      <c r="H14272" t="s">
        <v>15498</v>
      </c>
      <c r="I14272" t="s">
        <v>30124</v>
      </c>
      <c r="J14272" t="s">
        <v>34659</v>
      </c>
      <c r="K14272" t="s">
        <v>39025</v>
      </c>
      <c r="M14272" t="s">
        <v>43117</v>
      </c>
      <c r="N14272" t="s">
        <v>43166</v>
      </c>
      <c r="O14272" t="s">
        <v>43167</v>
      </c>
      <c r="Q14272">
        <v>10</v>
      </c>
      <c r="R14272" t="s">
        <v>43236</v>
      </c>
      <c r="S14272" t="s">
        <v>44504</v>
      </c>
      <c r="T14272" t="s">
        <v>44681</v>
      </c>
      <c r="U14272" t="s">
        <v>56549</v>
      </c>
      <c r="W14272" t="s">
        <v>43117</v>
      </c>
      <c r="X14272" t="s">
        <v>43238</v>
      </c>
    </row>
    <row r="14273" spans="1:24">
      <c r="A14273">
        <f>HYPERLINK("https://www.philgeps.gov.ph/GEPSNONPILOT/Tender/SplashBidNoticeAbstractUI.aspx?menuIndex=3&amp;refID=6911678&amp;Result=3","6911678")</f>
        <v>0</v>
      </c>
      <c r="B14273" t="s">
        <v>1925</v>
      </c>
      <c r="C14273" t="s">
        <v>17088</v>
      </c>
      <c r="D14273" t="s">
        <v>17462</v>
      </c>
      <c r="E14273" t="s">
        <v>29750</v>
      </c>
      <c r="F14273" t="s">
        <v>30052</v>
      </c>
      <c r="G14273" t="s">
        <v>30060</v>
      </c>
      <c r="H14273" t="s">
        <v>30067</v>
      </c>
      <c r="I14273" t="s">
        <v>3693</v>
      </c>
      <c r="J14273" t="s">
        <v>38827</v>
      </c>
      <c r="K14273" t="s">
        <v>39023</v>
      </c>
      <c r="M14273" t="s">
        <v>43107</v>
      </c>
      <c r="N14273" t="s">
        <v>43166</v>
      </c>
      <c r="O14273" t="s">
        <v>43167</v>
      </c>
      <c r="Q14273">
        <v>13</v>
      </c>
      <c r="R14273" t="s">
        <v>43236</v>
      </c>
      <c r="S14273" t="s">
        <v>44505</v>
      </c>
      <c r="T14273" t="s">
        <v>44717</v>
      </c>
      <c r="U14273" t="s">
        <v>56550</v>
      </c>
      <c r="W14273" t="s">
        <v>43107</v>
      </c>
      <c r="X14273" t="s">
        <v>43238</v>
      </c>
    </row>
    <row r="14274" spans="1:24">
      <c r="A14274">
        <f>HYPERLINK("https://www.philgeps.gov.ph/GEPSNONPILOT/Tender/SplashBidNoticeAbstractUI.aspx?menuIndex=3&amp;refID=6915742&amp;Result=3","6915742")</f>
        <v>0</v>
      </c>
      <c r="B14274" t="s">
        <v>3425</v>
      </c>
      <c r="C14274" t="s">
        <v>17089</v>
      </c>
      <c r="D14274" t="s">
        <v>17470</v>
      </c>
      <c r="E14274" t="s">
        <v>29751</v>
      </c>
      <c r="F14274" t="s">
        <v>30052</v>
      </c>
      <c r="G14274" t="s">
        <v>30058</v>
      </c>
      <c r="H14274" t="s">
        <v>15498</v>
      </c>
      <c r="I14274" t="s">
        <v>30106</v>
      </c>
      <c r="J14274" t="s">
        <v>30297</v>
      </c>
      <c r="K14274" t="s">
        <v>39029</v>
      </c>
      <c r="M14274" t="s">
        <v>43105</v>
      </c>
      <c r="N14274" t="s">
        <v>43166</v>
      </c>
      <c r="O14274" t="s">
        <v>43167</v>
      </c>
      <c r="Q14274">
        <v>7</v>
      </c>
      <c r="R14274" t="s">
        <v>43234</v>
      </c>
      <c r="S14274" t="s">
        <v>44506</v>
      </c>
      <c r="T14274" t="s">
        <v>44699</v>
      </c>
      <c r="U14274" t="s">
        <v>56551</v>
      </c>
      <c r="W14274" t="s">
        <v>43105</v>
      </c>
      <c r="X14274" t="s">
        <v>43236</v>
      </c>
    </row>
    <row r="14275" spans="1:24">
      <c r="A14275">
        <f>HYPERLINK("https://www.philgeps.gov.ph/GEPSNONPILOT/Tender/SplashBidNoticeAbstractUI.aspx?menuIndex=3&amp;refID=6905733&amp;Result=3","6905733")</f>
        <v>0</v>
      </c>
      <c r="B14275" t="s">
        <v>2117</v>
      </c>
      <c r="C14275" t="s">
        <v>17090</v>
      </c>
      <c r="D14275" t="s">
        <v>17449</v>
      </c>
      <c r="E14275" t="s">
        <v>23260</v>
      </c>
      <c r="F14275" t="s">
        <v>30052</v>
      </c>
      <c r="G14275" t="s">
        <v>30058</v>
      </c>
      <c r="H14275" t="s">
        <v>30067</v>
      </c>
      <c r="I14275" t="s">
        <v>3693</v>
      </c>
      <c r="J14275" t="s">
        <v>31447</v>
      </c>
      <c r="K14275" t="s">
        <v>39256</v>
      </c>
      <c r="M14275" t="s">
        <v>41579</v>
      </c>
      <c r="N14275" t="s">
        <v>43166</v>
      </c>
      <c r="O14275" t="s">
        <v>43167</v>
      </c>
      <c r="Q14275">
        <v>1</v>
      </c>
      <c r="R14275" t="s">
        <v>43238</v>
      </c>
      <c r="S14275" t="s">
        <v>44507</v>
      </c>
      <c r="T14275" t="s">
        <v>45202</v>
      </c>
      <c r="U14275" t="s">
        <v>56552</v>
      </c>
      <c r="W14275" t="s">
        <v>41579</v>
      </c>
      <c r="X14275" t="s">
        <v>43237</v>
      </c>
    </row>
    <row r="14276" spans="1:24">
      <c r="A14276">
        <f>HYPERLINK("https://www.philgeps.gov.ph/GEPSNONPILOT/Tender/SplashBidNoticeAbstractUI.aspx?menuIndex=3&amp;refID=6915578&amp;Result=3","6915578")</f>
        <v>0</v>
      </c>
      <c r="B14276" t="s">
        <v>964</v>
      </c>
      <c r="C14276" t="s">
        <v>17091</v>
      </c>
      <c r="D14276" t="s">
        <v>17415</v>
      </c>
      <c r="E14276" t="s">
        <v>29752</v>
      </c>
      <c r="F14276" t="s">
        <v>30052</v>
      </c>
      <c r="G14276" t="s">
        <v>30059</v>
      </c>
      <c r="H14276" t="s">
        <v>15498</v>
      </c>
      <c r="I14276" t="s">
        <v>4598</v>
      </c>
      <c r="J14276" t="s">
        <v>30207</v>
      </c>
      <c r="K14276" t="s">
        <v>39019</v>
      </c>
      <c r="M14276" t="s">
        <v>40290</v>
      </c>
      <c r="N14276" t="s">
        <v>43166</v>
      </c>
      <c r="O14276" t="s">
        <v>43167</v>
      </c>
      <c r="Q14276">
        <v>8</v>
      </c>
      <c r="R14276" t="s">
        <v>43234</v>
      </c>
      <c r="S14276" t="s">
        <v>44508</v>
      </c>
      <c r="T14276" t="s">
        <v>44714</v>
      </c>
      <c r="U14276" t="s">
        <v>56553</v>
      </c>
      <c r="V14276" t="s">
        <v>58548</v>
      </c>
      <c r="W14276" t="s">
        <v>40290</v>
      </c>
      <c r="X14276" t="s">
        <v>43236</v>
      </c>
    </row>
    <row r="14277" spans="1:24">
      <c r="A14277">
        <f>HYPERLINK("https://www.philgeps.gov.ph/GEPSNONPILOT/Tender/SplashBidNoticeAbstractUI.aspx?menuIndex=3&amp;refID=6892376&amp;Result=3","6892376")</f>
        <v>0</v>
      </c>
      <c r="B14277" t="s">
        <v>3412</v>
      </c>
      <c r="C14277" t="s">
        <v>17092</v>
      </c>
      <c r="D14277" t="s">
        <v>17445</v>
      </c>
      <c r="E14277" t="s">
        <v>29753</v>
      </c>
      <c r="F14277" t="s">
        <v>30052</v>
      </c>
      <c r="G14277" t="s">
        <v>30058</v>
      </c>
      <c r="H14277" t="s">
        <v>30067</v>
      </c>
      <c r="I14277" t="s">
        <v>3693</v>
      </c>
      <c r="J14277" t="s">
        <v>38815</v>
      </c>
      <c r="K14277" t="s">
        <v>39047</v>
      </c>
      <c r="M14277" t="s">
        <v>43082</v>
      </c>
      <c r="N14277" t="s">
        <v>43166</v>
      </c>
      <c r="O14277" t="s">
        <v>43167</v>
      </c>
      <c r="Q14277">
        <v>3</v>
      </c>
      <c r="R14277" t="s">
        <v>43239</v>
      </c>
      <c r="S14277" t="s">
        <v>44509</v>
      </c>
      <c r="T14277" t="s">
        <v>45203</v>
      </c>
      <c r="U14277" t="s">
        <v>56554</v>
      </c>
      <c r="V14277" t="s">
        <v>58549</v>
      </c>
      <c r="W14277" t="s">
        <v>43082</v>
      </c>
      <c r="X14277" t="s">
        <v>43241</v>
      </c>
    </row>
    <row r="14278" spans="1:24">
      <c r="A14278">
        <f>HYPERLINK("https://www.philgeps.gov.ph/GEPSNONPILOT/Tender/SplashBidNoticeAbstractUI.aspx?menuIndex=3&amp;refID=6908254&amp;Result=3","6908254")</f>
        <v>0</v>
      </c>
      <c r="B14278" t="s">
        <v>3432</v>
      </c>
      <c r="C14278" t="s">
        <v>17093</v>
      </c>
      <c r="E14278" t="s">
        <v>29754</v>
      </c>
      <c r="F14278" t="s">
        <v>30052</v>
      </c>
      <c r="G14278" t="s">
        <v>30058</v>
      </c>
      <c r="H14278" t="s">
        <v>30067</v>
      </c>
      <c r="I14278" t="s">
        <v>3693</v>
      </c>
      <c r="J14278" t="s">
        <v>38828</v>
      </c>
      <c r="K14278" t="s">
        <v>39016</v>
      </c>
      <c r="M14278" t="s">
        <v>43116</v>
      </c>
      <c r="N14278" t="s">
        <v>43166</v>
      </c>
      <c r="O14278" t="s">
        <v>43167</v>
      </c>
      <c r="Q14278">
        <v>12</v>
      </c>
      <c r="R14278" t="s">
        <v>43238</v>
      </c>
      <c r="S14278" t="s">
        <v>44510</v>
      </c>
      <c r="T14278" t="s">
        <v>45085</v>
      </c>
      <c r="U14278" t="s">
        <v>56544</v>
      </c>
      <c r="W14278" t="s">
        <v>43116</v>
      </c>
      <c r="X14278" t="s">
        <v>43237</v>
      </c>
    </row>
    <row r="14279" spans="1:24">
      <c r="A14279">
        <f>HYPERLINK("https://www.philgeps.gov.ph/GEPSNONPILOT/Tender/SplashBidNoticeAbstractUI.aspx?menuIndex=3&amp;refID=6885977&amp;Result=3","6885977")</f>
        <v>0</v>
      </c>
      <c r="B14279" t="s">
        <v>1925</v>
      </c>
      <c r="C14279" t="s">
        <v>17094</v>
      </c>
      <c r="D14279" t="s">
        <v>17462</v>
      </c>
      <c r="E14279" t="s">
        <v>29755</v>
      </c>
      <c r="F14279" t="s">
        <v>30052</v>
      </c>
      <c r="G14279" t="s">
        <v>30060</v>
      </c>
      <c r="H14279" t="s">
        <v>30067</v>
      </c>
      <c r="I14279" t="s">
        <v>3693</v>
      </c>
      <c r="J14279" t="s">
        <v>38829</v>
      </c>
      <c r="K14279" t="s">
        <v>39031</v>
      </c>
      <c r="M14279" t="s">
        <v>43107</v>
      </c>
      <c r="N14279" t="s">
        <v>43166</v>
      </c>
      <c r="O14279" t="s">
        <v>43167</v>
      </c>
      <c r="Q14279">
        <v>7</v>
      </c>
      <c r="R14279" t="s">
        <v>43240</v>
      </c>
      <c r="S14279" t="s">
        <v>44511</v>
      </c>
      <c r="T14279" t="s">
        <v>45018</v>
      </c>
      <c r="U14279" t="s">
        <v>56555</v>
      </c>
      <c r="W14279" t="s">
        <v>43107</v>
      </c>
      <c r="X14279" t="s">
        <v>43245</v>
      </c>
    </row>
    <row r="14280" spans="1:24">
      <c r="A14280">
        <f>HYPERLINK("https://www.philgeps.gov.ph/GEPSNONPILOT/Tender/SplashBidNoticeAbstractUI.aspx?menuIndex=3&amp;refID=6911939&amp;Result=3","6911939")</f>
        <v>0</v>
      </c>
      <c r="B14280" t="s">
        <v>1925</v>
      </c>
      <c r="C14280" t="s">
        <v>17095</v>
      </c>
      <c r="D14280" t="s">
        <v>17462</v>
      </c>
      <c r="E14280" t="s">
        <v>29756</v>
      </c>
      <c r="F14280" t="s">
        <v>30052</v>
      </c>
      <c r="G14280" t="s">
        <v>30060</v>
      </c>
      <c r="H14280" t="s">
        <v>30067</v>
      </c>
      <c r="I14280" t="s">
        <v>3693</v>
      </c>
      <c r="J14280" t="s">
        <v>38830</v>
      </c>
      <c r="K14280" t="s">
        <v>39065</v>
      </c>
      <c r="M14280" t="s">
        <v>43107</v>
      </c>
      <c r="N14280" t="s">
        <v>43166</v>
      </c>
      <c r="O14280" t="s">
        <v>43167</v>
      </c>
      <c r="Q14280">
        <v>6</v>
      </c>
      <c r="R14280" t="s">
        <v>43236</v>
      </c>
      <c r="S14280" t="s">
        <v>44512</v>
      </c>
      <c r="T14280" t="s">
        <v>44700</v>
      </c>
      <c r="U14280" t="s">
        <v>56556</v>
      </c>
      <c r="W14280" t="s">
        <v>43107</v>
      </c>
      <c r="X14280" t="s">
        <v>43238</v>
      </c>
    </row>
    <row r="14281" spans="1:24">
      <c r="A14281">
        <f>HYPERLINK("https://www.philgeps.gov.ph/GEPSNONPILOT/Tender/SplashBidNoticeAbstractUI.aspx?menuIndex=3&amp;refID=6892388&amp;Result=3","6892388")</f>
        <v>0</v>
      </c>
      <c r="B14281" t="s">
        <v>3412</v>
      </c>
      <c r="C14281" t="s">
        <v>17096</v>
      </c>
      <c r="D14281" t="s">
        <v>17445</v>
      </c>
      <c r="E14281" t="s">
        <v>29757</v>
      </c>
      <c r="F14281" t="s">
        <v>30052</v>
      </c>
      <c r="G14281" t="s">
        <v>30058</v>
      </c>
      <c r="H14281" t="s">
        <v>30067</v>
      </c>
      <c r="I14281" t="s">
        <v>3693</v>
      </c>
      <c r="J14281" t="s">
        <v>38815</v>
      </c>
      <c r="K14281" t="s">
        <v>39047</v>
      </c>
      <c r="M14281" t="s">
        <v>43082</v>
      </c>
      <c r="N14281" t="s">
        <v>43166</v>
      </c>
      <c r="O14281" t="s">
        <v>43167</v>
      </c>
      <c r="Q14281">
        <v>2</v>
      </c>
      <c r="R14281" t="s">
        <v>43239</v>
      </c>
      <c r="S14281" t="s">
        <v>44513</v>
      </c>
      <c r="T14281" t="s">
        <v>45203</v>
      </c>
      <c r="U14281" t="s">
        <v>56557</v>
      </c>
      <c r="V14281" t="s">
        <v>58549</v>
      </c>
      <c r="W14281" t="s">
        <v>43082</v>
      </c>
      <c r="X14281" t="s">
        <v>43241</v>
      </c>
    </row>
    <row r="14282" spans="1:24">
      <c r="A14282">
        <f>HYPERLINK("https://www.philgeps.gov.ph/GEPSNONPILOT/Tender/SplashBidNoticeAbstractUI.aspx?menuIndex=3&amp;refID=6904512&amp;Result=3","6904512")</f>
        <v>0</v>
      </c>
      <c r="B14282" t="s">
        <v>1234</v>
      </c>
      <c r="C14282" t="s">
        <v>17097</v>
      </c>
      <c r="D14282" t="s">
        <v>17415</v>
      </c>
      <c r="E14282" t="s">
        <v>29758</v>
      </c>
      <c r="F14282" t="s">
        <v>30052</v>
      </c>
      <c r="G14282" t="s">
        <v>30058</v>
      </c>
      <c r="H14282" t="s">
        <v>30069</v>
      </c>
      <c r="I14282" t="s">
        <v>30129</v>
      </c>
      <c r="J14282" t="s">
        <v>38831</v>
      </c>
      <c r="K14282" t="s">
        <v>39067</v>
      </c>
      <c r="M14282" t="s">
        <v>43119</v>
      </c>
      <c r="N14282" t="s">
        <v>43166</v>
      </c>
      <c r="O14282" t="s">
        <v>43167</v>
      </c>
      <c r="Q14282">
        <v>2</v>
      </c>
      <c r="R14282" t="s">
        <v>43238</v>
      </c>
      <c r="S14282" t="s">
        <v>43530</v>
      </c>
      <c r="T14282" t="s">
        <v>44754</v>
      </c>
      <c r="U14282" t="s">
        <v>56558</v>
      </c>
      <c r="V14282" t="s">
        <v>58550</v>
      </c>
      <c r="W14282" t="s">
        <v>43119</v>
      </c>
      <c r="X14282" t="s">
        <v>43237</v>
      </c>
    </row>
    <row r="14283" spans="1:24">
      <c r="A14283">
        <f>HYPERLINK("https://www.philgeps.gov.ph/GEPSNONPILOT/Tender/SplashBidNoticeAbstractUI.aspx?menuIndex=3&amp;refID=6892353&amp;Result=3","6892353")</f>
        <v>0</v>
      </c>
      <c r="B14283" t="s">
        <v>3412</v>
      </c>
      <c r="C14283" t="s">
        <v>17098</v>
      </c>
      <c r="D14283" t="s">
        <v>17445</v>
      </c>
      <c r="E14283" t="s">
        <v>29759</v>
      </c>
      <c r="F14283" t="s">
        <v>30052</v>
      </c>
      <c r="G14283" t="s">
        <v>30058</v>
      </c>
      <c r="H14283" t="s">
        <v>30067</v>
      </c>
      <c r="I14283" t="s">
        <v>3693</v>
      </c>
      <c r="J14283" t="s">
        <v>38832</v>
      </c>
      <c r="K14283" t="s">
        <v>39084</v>
      </c>
      <c r="M14283" t="s">
        <v>43082</v>
      </c>
      <c r="N14283" t="s">
        <v>43166</v>
      </c>
      <c r="O14283" t="s">
        <v>43167</v>
      </c>
      <c r="Q14283">
        <v>1</v>
      </c>
      <c r="R14283" t="s">
        <v>43239</v>
      </c>
      <c r="S14283" t="s">
        <v>44514</v>
      </c>
      <c r="T14283" t="s">
        <v>45203</v>
      </c>
      <c r="U14283" t="s">
        <v>56559</v>
      </c>
      <c r="V14283" t="s">
        <v>58549</v>
      </c>
      <c r="W14283" t="s">
        <v>43082</v>
      </c>
      <c r="X14283" t="s">
        <v>43241</v>
      </c>
    </row>
    <row r="14284" spans="1:24">
      <c r="A14284">
        <f>HYPERLINK("https://www.philgeps.gov.ph/GEPSNONPILOT/Tender/SplashBidNoticeAbstractUI.aspx?menuIndex=3&amp;refID=6901648&amp;Result=3","6901648")</f>
        <v>0</v>
      </c>
      <c r="B14284" t="s">
        <v>1874</v>
      </c>
      <c r="C14284" t="s">
        <v>17099</v>
      </c>
      <c r="D14284" t="s">
        <v>17441</v>
      </c>
      <c r="E14284" t="s">
        <v>29760</v>
      </c>
      <c r="F14284" t="s">
        <v>30052</v>
      </c>
      <c r="G14284" t="s">
        <v>30058</v>
      </c>
      <c r="H14284" t="s">
        <v>30067</v>
      </c>
      <c r="I14284" t="s">
        <v>3693</v>
      </c>
      <c r="J14284" t="s">
        <v>38833</v>
      </c>
      <c r="K14284" t="s">
        <v>39236</v>
      </c>
      <c r="M14284" t="s">
        <v>41305</v>
      </c>
      <c r="N14284" t="s">
        <v>43166</v>
      </c>
      <c r="O14284" t="s">
        <v>43167</v>
      </c>
      <c r="Q14284">
        <v>62</v>
      </c>
      <c r="R14284" t="s">
        <v>43237</v>
      </c>
      <c r="S14284" t="s">
        <v>44515</v>
      </c>
      <c r="T14284" t="s">
        <v>44699</v>
      </c>
      <c r="U14284" t="s">
        <v>56560</v>
      </c>
      <c r="V14284" t="s">
        <v>57428</v>
      </c>
      <c r="W14284" t="s">
        <v>41305</v>
      </c>
      <c r="X14284" t="s">
        <v>43244</v>
      </c>
    </row>
    <row r="14285" spans="1:24">
      <c r="A14285">
        <f>HYPERLINK("https://www.philgeps.gov.ph/GEPSNONPILOT/Tender/SplashBidNoticeAbstractUI.aspx?menuIndex=3&amp;refID=6892305&amp;Result=3","6892305")</f>
        <v>0</v>
      </c>
      <c r="B14285" t="s">
        <v>3412</v>
      </c>
      <c r="C14285" t="s">
        <v>17100</v>
      </c>
      <c r="D14285" t="s">
        <v>17445</v>
      </c>
      <c r="E14285" t="s">
        <v>29761</v>
      </c>
      <c r="F14285" t="s">
        <v>30052</v>
      </c>
      <c r="G14285" t="s">
        <v>30058</v>
      </c>
      <c r="H14285" t="s">
        <v>30067</v>
      </c>
      <c r="I14285" t="s">
        <v>3693</v>
      </c>
      <c r="J14285" t="s">
        <v>38832</v>
      </c>
      <c r="K14285" t="s">
        <v>39084</v>
      </c>
      <c r="M14285" t="s">
        <v>43082</v>
      </c>
      <c r="N14285" t="s">
        <v>43166</v>
      </c>
      <c r="O14285" t="s">
        <v>43167</v>
      </c>
      <c r="Q14285">
        <v>2</v>
      </c>
      <c r="R14285" t="s">
        <v>43239</v>
      </c>
      <c r="S14285" t="s">
        <v>43356</v>
      </c>
      <c r="T14285" t="s">
        <v>45203</v>
      </c>
      <c r="U14285" t="s">
        <v>56561</v>
      </c>
      <c r="V14285" t="s">
        <v>58549</v>
      </c>
      <c r="W14285" t="s">
        <v>43082</v>
      </c>
      <c r="X14285" t="s">
        <v>43241</v>
      </c>
    </row>
    <row r="14286" spans="1:24">
      <c r="A14286">
        <f>HYPERLINK("https://www.philgeps.gov.ph/GEPSNONPILOT/Tender/SplashBidNoticeAbstractUI.aspx?menuIndex=3&amp;refID=6890206&amp;Result=3","6890206")</f>
        <v>0</v>
      </c>
      <c r="B14286" t="s">
        <v>2283</v>
      </c>
      <c r="C14286" t="s">
        <v>17101</v>
      </c>
      <c r="D14286" t="s">
        <v>17415</v>
      </c>
      <c r="E14286" t="s">
        <v>29762</v>
      </c>
      <c r="F14286" t="s">
        <v>30052</v>
      </c>
      <c r="G14286" t="s">
        <v>30058</v>
      </c>
      <c r="H14286" t="s">
        <v>30067</v>
      </c>
      <c r="I14286" t="s">
        <v>3693</v>
      </c>
      <c r="J14286" t="s">
        <v>38834</v>
      </c>
      <c r="K14286" t="s">
        <v>39306</v>
      </c>
      <c r="M14286" t="s">
        <v>43120</v>
      </c>
      <c r="N14286" t="s">
        <v>43166</v>
      </c>
      <c r="O14286" t="s">
        <v>43167</v>
      </c>
      <c r="Q14286">
        <v>26</v>
      </c>
      <c r="R14286" t="s">
        <v>43239</v>
      </c>
      <c r="S14286" t="s">
        <v>44516</v>
      </c>
      <c r="T14286" t="s">
        <v>44730</v>
      </c>
      <c r="U14286" t="s">
        <v>56562</v>
      </c>
      <c r="W14286" t="s">
        <v>43120</v>
      </c>
      <c r="X14286" t="s">
        <v>43241</v>
      </c>
    </row>
    <row r="14287" spans="1:24">
      <c r="A14287">
        <f>HYPERLINK("https://www.philgeps.gov.ph/GEPSNONPILOT/Tender/SplashBidNoticeAbstractUI.aspx?menuIndex=3&amp;refID=6889538&amp;Result=3","6889538")</f>
        <v>0</v>
      </c>
      <c r="B14287" t="s">
        <v>1080</v>
      </c>
      <c r="C14287" t="s">
        <v>17102</v>
      </c>
      <c r="D14287" t="s">
        <v>17424</v>
      </c>
      <c r="E14287" t="s">
        <v>18384</v>
      </c>
      <c r="F14287" t="s">
        <v>30052</v>
      </c>
      <c r="G14287" t="s">
        <v>30058</v>
      </c>
      <c r="H14287" t="s">
        <v>30067</v>
      </c>
      <c r="I14287" t="s">
        <v>3693</v>
      </c>
      <c r="J14287" t="s">
        <v>32291</v>
      </c>
      <c r="K14287" t="s">
        <v>39057</v>
      </c>
      <c r="M14287" t="s">
        <v>40416</v>
      </c>
      <c r="N14287" t="s">
        <v>43166</v>
      </c>
      <c r="O14287" t="s">
        <v>43167</v>
      </c>
      <c r="Q14287">
        <v>58</v>
      </c>
      <c r="R14287" t="s">
        <v>43239</v>
      </c>
      <c r="S14287" t="s">
        <v>43410</v>
      </c>
      <c r="T14287" t="s">
        <v>44719</v>
      </c>
      <c r="U14287" t="s">
        <v>56563</v>
      </c>
      <c r="W14287" t="s">
        <v>40416</v>
      </c>
      <c r="X14287" t="s">
        <v>43240</v>
      </c>
    </row>
    <row r="14288" spans="1:24">
      <c r="A14288">
        <f>HYPERLINK("https://www.philgeps.gov.ph/GEPSNONPILOT/Tender/SplashBidNoticeAbstractUI.aspx?menuIndex=3&amp;refID=6889719&amp;Result=3","6889719")</f>
        <v>0</v>
      </c>
      <c r="B14288" t="s">
        <v>422</v>
      </c>
      <c r="C14288" t="s">
        <v>17103</v>
      </c>
      <c r="E14288" t="s">
        <v>29763</v>
      </c>
      <c r="F14288" t="s">
        <v>30052</v>
      </c>
      <c r="G14288" t="s">
        <v>30058</v>
      </c>
      <c r="H14288" t="s">
        <v>15498</v>
      </c>
      <c r="I14288" t="s">
        <v>30098</v>
      </c>
      <c r="J14288" t="s">
        <v>38835</v>
      </c>
      <c r="K14288" t="s">
        <v>39025</v>
      </c>
      <c r="M14288" t="s">
        <v>43114</v>
      </c>
      <c r="N14288" t="s">
        <v>43166</v>
      </c>
      <c r="O14288" t="s">
        <v>43167</v>
      </c>
      <c r="Q14288">
        <v>23</v>
      </c>
      <c r="R14288" t="s">
        <v>43241</v>
      </c>
      <c r="S14288" t="s">
        <v>44517</v>
      </c>
      <c r="T14288" t="s">
        <v>44949</v>
      </c>
      <c r="U14288" t="s">
        <v>56564</v>
      </c>
      <c r="W14288" t="s">
        <v>43114</v>
      </c>
      <c r="X14288" t="s">
        <v>43240</v>
      </c>
    </row>
    <row r="14289" spans="1:24">
      <c r="A14289">
        <f>HYPERLINK("https://www.philgeps.gov.ph/GEPSNONPILOT/Tender/SplashBidNoticeAbstractUI.aspx?menuIndex=3&amp;refID=6889544&amp;Result=3","6889544")</f>
        <v>0</v>
      </c>
      <c r="B14289" t="s">
        <v>1080</v>
      </c>
      <c r="C14289" t="s">
        <v>17104</v>
      </c>
      <c r="D14289" t="s">
        <v>17424</v>
      </c>
      <c r="E14289" t="s">
        <v>18839</v>
      </c>
      <c r="F14289" t="s">
        <v>30052</v>
      </c>
      <c r="G14289" t="s">
        <v>30058</v>
      </c>
      <c r="H14289" t="s">
        <v>30067</v>
      </c>
      <c r="I14289" t="s">
        <v>3693</v>
      </c>
      <c r="J14289" t="s">
        <v>32291</v>
      </c>
      <c r="K14289" t="s">
        <v>39057</v>
      </c>
      <c r="M14289" t="s">
        <v>40416</v>
      </c>
      <c r="N14289" t="s">
        <v>43166</v>
      </c>
      <c r="O14289" t="s">
        <v>43167</v>
      </c>
      <c r="Q14289">
        <v>61</v>
      </c>
      <c r="R14289" t="s">
        <v>43239</v>
      </c>
      <c r="S14289" t="s">
        <v>44245</v>
      </c>
      <c r="T14289" t="s">
        <v>44787</v>
      </c>
      <c r="U14289" t="s">
        <v>56563</v>
      </c>
      <c r="W14289" t="s">
        <v>40416</v>
      </c>
      <c r="X14289" t="s">
        <v>43240</v>
      </c>
    </row>
    <row r="14290" spans="1:24">
      <c r="A14290">
        <f>HYPERLINK("https://www.philgeps.gov.ph/GEPSNONPILOT/Tender/SplashBidNoticeAbstractUI.aspx?menuIndex=3&amp;refID=6895713&amp;Result=3","6895713")</f>
        <v>0</v>
      </c>
      <c r="B14290" t="s">
        <v>1925</v>
      </c>
      <c r="C14290" t="s">
        <v>17105</v>
      </c>
      <c r="D14290" t="s">
        <v>17462</v>
      </c>
      <c r="E14290" t="s">
        <v>29764</v>
      </c>
      <c r="F14290" t="s">
        <v>30052</v>
      </c>
      <c r="G14290" t="s">
        <v>30058</v>
      </c>
      <c r="H14290" t="s">
        <v>30067</v>
      </c>
      <c r="I14290" t="s">
        <v>3693</v>
      </c>
      <c r="J14290" t="s">
        <v>38836</v>
      </c>
      <c r="K14290" t="s">
        <v>39022</v>
      </c>
      <c r="M14290" t="s">
        <v>43107</v>
      </c>
      <c r="N14290" t="s">
        <v>43166</v>
      </c>
      <c r="O14290" t="s">
        <v>43167</v>
      </c>
      <c r="Q14290">
        <v>22</v>
      </c>
      <c r="R14290" t="s">
        <v>43242</v>
      </c>
      <c r="S14290" t="s">
        <v>44518</v>
      </c>
      <c r="T14290" t="s">
        <v>44861</v>
      </c>
      <c r="U14290" t="s">
        <v>56565</v>
      </c>
      <c r="W14290" t="s">
        <v>43107</v>
      </c>
      <c r="X14290" t="s">
        <v>43239</v>
      </c>
    </row>
    <row r="14291" spans="1:24">
      <c r="A14291">
        <f>HYPERLINK("https://www.philgeps.gov.ph/GEPSNONPILOT/Tender/SplashBidNoticeAbstractUI.aspx?menuIndex=3&amp;refID=6889527&amp;Result=3","6889527")</f>
        <v>0</v>
      </c>
      <c r="B14291" t="s">
        <v>1080</v>
      </c>
      <c r="C14291" t="s">
        <v>17106</v>
      </c>
      <c r="D14291" t="s">
        <v>17424</v>
      </c>
      <c r="E14291" t="s">
        <v>18380</v>
      </c>
      <c r="F14291" t="s">
        <v>30052</v>
      </c>
      <c r="G14291" t="s">
        <v>30058</v>
      </c>
      <c r="H14291" t="s">
        <v>30067</v>
      </c>
      <c r="I14291" t="s">
        <v>3693</v>
      </c>
      <c r="J14291" t="s">
        <v>32291</v>
      </c>
      <c r="K14291" t="s">
        <v>39057</v>
      </c>
      <c r="M14291" t="s">
        <v>40416</v>
      </c>
      <c r="N14291" t="s">
        <v>43166</v>
      </c>
      <c r="O14291" t="s">
        <v>43167</v>
      </c>
      <c r="Q14291">
        <v>58</v>
      </c>
      <c r="R14291" t="s">
        <v>43239</v>
      </c>
      <c r="S14291" t="s">
        <v>43614</v>
      </c>
      <c r="T14291" t="s">
        <v>44719</v>
      </c>
      <c r="U14291" t="s">
        <v>56563</v>
      </c>
      <c r="W14291" t="s">
        <v>40416</v>
      </c>
      <c r="X14291" t="s">
        <v>43240</v>
      </c>
    </row>
    <row r="14292" spans="1:24">
      <c r="A14292">
        <f>HYPERLINK("https://www.philgeps.gov.ph/GEPSNONPILOT/Tender/SplashBidNoticeAbstractUI.aspx?menuIndex=3&amp;refID=6889820&amp;Result=3","6889820")</f>
        <v>0</v>
      </c>
      <c r="B14292" t="s">
        <v>232</v>
      </c>
      <c r="C14292" t="s">
        <v>17107</v>
      </c>
      <c r="D14292" t="s">
        <v>17453</v>
      </c>
      <c r="E14292" t="s">
        <v>29765</v>
      </c>
      <c r="F14292" t="s">
        <v>30052</v>
      </c>
      <c r="G14292" t="s">
        <v>30058</v>
      </c>
      <c r="H14292" t="s">
        <v>15498</v>
      </c>
      <c r="I14292" t="s">
        <v>30084</v>
      </c>
      <c r="J14292" t="s">
        <v>34878</v>
      </c>
      <c r="K14292" t="s">
        <v>39031</v>
      </c>
      <c r="M14292" t="s">
        <v>39522</v>
      </c>
      <c r="N14292" t="s">
        <v>43166</v>
      </c>
      <c r="O14292" t="s">
        <v>43167</v>
      </c>
      <c r="Q14292">
        <v>39</v>
      </c>
      <c r="R14292" t="s">
        <v>43242</v>
      </c>
      <c r="S14292" t="s">
        <v>44519</v>
      </c>
      <c r="T14292" t="s">
        <v>44773</v>
      </c>
      <c r="U14292" t="s">
        <v>56566</v>
      </c>
      <c r="W14292" t="s">
        <v>39522</v>
      </c>
      <c r="X14292" t="s">
        <v>43241</v>
      </c>
    </row>
    <row r="14293" spans="1:24">
      <c r="A14293">
        <f>HYPERLINK("https://www.philgeps.gov.ph/GEPSNONPILOT/Tender/SplashBidNoticeAbstractUI.aspx?menuIndex=3&amp;refID=6896842&amp;Result=3","6896842")</f>
        <v>0</v>
      </c>
      <c r="B14293" t="s">
        <v>975</v>
      </c>
      <c r="C14293" t="s">
        <v>17108</v>
      </c>
      <c r="D14293" t="s">
        <v>17415</v>
      </c>
      <c r="E14293" t="s">
        <v>29766</v>
      </c>
      <c r="F14293" t="s">
        <v>30052</v>
      </c>
      <c r="G14293" t="s">
        <v>30058</v>
      </c>
      <c r="H14293" t="s">
        <v>15498</v>
      </c>
      <c r="I14293" t="s">
        <v>30084</v>
      </c>
      <c r="J14293" t="s">
        <v>38837</v>
      </c>
      <c r="K14293" t="s">
        <v>39029</v>
      </c>
      <c r="M14293" t="s">
        <v>43121</v>
      </c>
      <c r="N14293" t="s">
        <v>43166</v>
      </c>
      <c r="O14293" t="s">
        <v>43167</v>
      </c>
      <c r="Q14293">
        <v>18</v>
      </c>
      <c r="R14293" t="s">
        <v>43242</v>
      </c>
      <c r="S14293" t="s">
        <v>44520</v>
      </c>
      <c r="T14293" t="s">
        <v>44750</v>
      </c>
      <c r="U14293" t="s">
        <v>56567</v>
      </c>
      <c r="V14293" t="s">
        <v>58551</v>
      </c>
      <c r="W14293" t="s">
        <v>43121</v>
      </c>
      <c r="X14293" t="s">
        <v>43239</v>
      </c>
    </row>
    <row r="14294" spans="1:24">
      <c r="A14294">
        <f>HYPERLINK("https://www.philgeps.gov.ph/GEPSNONPILOT/Tender/SplashBidNoticeAbstractUI.aspx?menuIndex=3&amp;refID=6889520&amp;Result=3","6889520")</f>
        <v>0</v>
      </c>
      <c r="B14294" t="s">
        <v>1080</v>
      </c>
      <c r="C14294" t="s">
        <v>17109</v>
      </c>
      <c r="D14294" t="s">
        <v>17460</v>
      </c>
      <c r="E14294" t="s">
        <v>18370</v>
      </c>
      <c r="F14294" t="s">
        <v>30052</v>
      </c>
      <c r="G14294" t="s">
        <v>30058</v>
      </c>
      <c r="H14294" t="s">
        <v>30067</v>
      </c>
      <c r="I14294" t="s">
        <v>3693</v>
      </c>
      <c r="J14294" t="s">
        <v>38838</v>
      </c>
      <c r="K14294" t="s">
        <v>39022</v>
      </c>
      <c r="M14294" t="s">
        <v>40416</v>
      </c>
      <c r="N14294" t="s">
        <v>43166</v>
      </c>
      <c r="O14294" t="s">
        <v>43167</v>
      </c>
      <c r="Q14294">
        <v>68</v>
      </c>
      <c r="R14294" t="s">
        <v>43239</v>
      </c>
      <c r="S14294" t="s">
        <v>44521</v>
      </c>
      <c r="T14294" t="s">
        <v>44787</v>
      </c>
      <c r="U14294" t="s">
        <v>56563</v>
      </c>
      <c r="W14294" t="s">
        <v>40416</v>
      </c>
      <c r="X14294" t="s">
        <v>43240</v>
      </c>
    </row>
    <row r="14295" spans="1:24">
      <c r="A14295">
        <f>HYPERLINK("https://www.philgeps.gov.ph/GEPSNONPILOT/Tender/SplashBidNoticeAbstractUI.aspx?menuIndex=3&amp;refID=6896081&amp;Result=3","6896081")</f>
        <v>0</v>
      </c>
      <c r="B14295" t="s">
        <v>1925</v>
      </c>
      <c r="C14295" t="s">
        <v>17110</v>
      </c>
      <c r="D14295" t="s">
        <v>17462</v>
      </c>
      <c r="E14295" t="s">
        <v>29767</v>
      </c>
      <c r="F14295" t="s">
        <v>30052</v>
      </c>
      <c r="G14295" t="s">
        <v>30058</v>
      </c>
      <c r="H14295" t="s">
        <v>30067</v>
      </c>
      <c r="I14295" t="s">
        <v>30093</v>
      </c>
      <c r="J14295" t="s">
        <v>38839</v>
      </c>
      <c r="K14295" t="s">
        <v>39023</v>
      </c>
      <c r="M14295" t="s">
        <v>43107</v>
      </c>
      <c r="N14295" t="s">
        <v>43166</v>
      </c>
      <c r="O14295" t="s">
        <v>43167</v>
      </c>
      <c r="Q14295">
        <v>5</v>
      </c>
      <c r="R14295" t="s">
        <v>43243</v>
      </c>
      <c r="S14295" t="s">
        <v>44522</v>
      </c>
      <c r="T14295" t="s">
        <v>44690</v>
      </c>
      <c r="U14295" t="s">
        <v>56505</v>
      </c>
      <c r="W14295" t="s">
        <v>43107</v>
      </c>
      <c r="X14295" t="s">
        <v>43239</v>
      </c>
    </row>
    <row r="14296" spans="1:24">
      <c r="A14296">
        <f>HYPERLINK("https://www.philgeps.gov.ph/GEPSNONPILOT/Tender/SplashBidNoticeAbstractUI.aspx?menuIndex=3&amp;refID=6900875&amp;Result=3","6900875")</f>
        <v>0</v>
      </c>
      <c r="B14296" t="s">
        <v>1359</v>
      </c>
      <c r="C14296" t="s">
        <v>17111</v>
      </c>
      <c r="D14296" t="s">
        <v>17415</v>
      </c>
      <c r="E14296" t="s">
        <v>29768</v>
      </c>
      <c r="F14296" t="s">
        <v>30052</v>
      </c>
      <c r="G14296" t="s">
        <v>30058</v>
      </c>
      <c r="H14296" t="s">
        <v>30067</v>
      </c>
      <c r="I14296" t="s">
        <v>3693</v>
      </c>
      <c r="J14296" t="s">
        <v>38840</v>
      </c>
      <c r="K14296" t="s">
        <v>39031</v>
      </c>
      <c r="M14296" t="s">
        <v>40728</v>
      </c>
      <c r="N14296" t="s">
        <v>43166</v>
      </c>
      <c r="O14296" t="s">
        <v>43167</v>
      </c>
      <c r="Q14296">
        <v>21</v>
      </c>
      <c r="R14296" t="s">
        <v>43244</v>
      </c>
      <c r="S14296" t="s">
        <v>44523</v>
      </c>
      <c r="T14296" t="s">
        <v>44698</v>
      </c>
      <c r="U14296" t="s">
        <v>56568</v>
      </c>
      <c r="W14296" t="s">
        <v>58636</v>
      </c>
      <c r="X14296" t="s">
        <v>58744</v>
      </c>
    </row>
    <row r="14297" spans="1:24">
      <c r="A14297">
        <f>HYPERLINK("https://www.philgeps.gov.ph/GEPSNONPILOT/Tender/SplashBidNoticeAbstractUI.aspx?menuIndex=3&amp;refID=6915572&amp;Result=3","6915572")</f>
        <v>0</v>
      </c>
      <c r="B14297" t="s">
        <v>511</v>
      </c>
      <c r="C14297" t="s">
        <v>17112</v>
      </c>
      <c r="D14297" t="s">
        <v>17422</v>
      </c>
      <c r="E14297" t="s">
        <v>29769</v>
      </c>
      <c r="F14297" t="s">
        <v>30052</v>
      </c>
      <c r="G14297" t="s">
        <v>30058</v>
      </c>
      <c r="H14297" t="s">
        <v>15498</v>
      </c>
      <c r="I14297" t="s">
        <v>30135</v>
      </c>
      <c r="J14297" t="s">
        <v>38841</v>
      </c>
      <c r="K14297" t="s">
        <v>39306</v>
      </c>
      <c r="M14297" t="s">
        <v>39812</v>
      </c>
      <c r="N14297" t="s">
        <v>43166</v>
      </c>
      <c r="O14297" t="s">
        <v>43167</v>
      </c>
      <c r="Q14297">
        <v>16</v>
      </c>
      <c r="R14297" t="s">
        <v>43234</v>
      </c>
      <c r="S14297" t="s">
        <v>44524</v>
      </c>
      <c r="T14297" t="s">
        <v>45181</v>
      </c>
      <c r="U14297" t="s">
        <v>56569</v>
      </c>
      <c r="V14297" t="s">
        <v>58552</v>
      </c>
      <c r="W14297" t="s">
        <v>39812</v>
      </c>
      <c r="X14297" t="s">
        <v>43236</v>
      </c>
    </row>
    <row r="14298" spans="1:24">
      <c r="A14298">
        <f>HYPERLINK("https://www.philgeps.gov.ph/GEPSNONPILOT/Tender/SplashBidNoticeAbstractUI.aspx?menuIndex=3&amp;refID=6915357&amp;Result=3","6915357")</f>
        <v>0</v>
      </c>
      <c r="B14298" t="s">
        <v>1151</v>
      </c>
      <c r="C14298" t="s">
        <v>17113</v>
      </c>
      <c r="D14298" t="s">
        <v>17472</v>
      </c>
      <c r="E14298" t="s">
        <v>29770</v>
      </c>
      <c r="F14298" t="s">
        <v>30052</v>
      </c>
      <c r="G14298" t="s">
        <v>30061</v>
      </c>
      <c r="H14298" t="s">
        <v>15498</v>
      </c>
      <c r="I14298" t="s">
        <v>30097</v>
      </c>
      <c r="J14298" t="s">
        <v>30343</v>
      </c>
      <c r="K14298" t="s">
        <v>39029</v>
      </c>
      <c r="M14298" t="s">
        <v>40495</v>
      </c>
      <c r="N14298" t="s">
        <v>43166</v>
      </c>
      <c r="O14298" t="s">
        <v>43167</v>
      </c>
      <c r="Q14298">
        <v>10</v>
      </c>
      <c r="R14298" t="s">
        <v>43234</v>
      </c>
      <c r="S14298" t="s">
        <v>44525</v>
      </c>
      <c r="T14298" t="s">
        <v>44837</v>
      </c>
      <c r="U14298" t="s">
        <v>56570</v>
      </c>
      <c r="W14298" t="s">
        <v>40495</v>
      </c>
      <c r="X14298" t="s">
        <v>43236</v>
      </c>
    </row>
    <row r="14299" spans="1:24">
      <c r="A14299">
        <f>HYPERLINK("https://www.philgeps.gov.ph/GEPSNONPILOT/Tender/SplashBidNoticeAbstractUI.aspx?menuIndex=3&amp;refID=6902982&amp;Result=3","6902982")</f>
        <v>0</v>
      </c>
      <c r="B14299" t="s">
        <v>3102</v>
      </c>
      <c r="C14299" t="s">
        <v>17114</v>
      </c>
      <c r="D14299" t="s">
        <v>17466</v>
      </c>
      <c r="E14299" t="s">
        <v>29771</v>
      </c>
      <c r="F14299" t="s">
        <v>30052</v>
      </c>
      <c r="G14299" t="s">
        <v>30058</v>
      </c>
      <c r="H14299" t="s">
        <v>30067</v>
      </c>
      <c r="I14299" t="s">
        <v>3693</v>
      </c>
      <c r="J14299" t="s">
        <v>38842</v>
      </c>
      <c r="K14299" t="s">
        <v>39249</v>
      </c>
      <c r="M14299" t="s">
        <v>42691</v>
      </c>
      <c r="N14299" t="s">
        <v>43166</v>
      </c>
      <c r="O14299" t="s">
        <v>43167</v>
      </c>
      <c r="Q14299">
        <v>18</v>
      </c>
      <c r="R14299" t="s">
        <v>43237</v>
      </c>
      <c r="S14299" t="s">
        <v>44526</v>
      </c>
      <c r="T14299" t="s">
        <v>44724</v>
      </c>
      <c r="U14299" t="s">
        <v>56571</v>
      </c>
      <c r="V14299" t="s">
        <v>58100</v>
      </c>
      <c r="W14299" t="s">
        <v>58703</v>
      </c>
      <c r="X14299" t="s">
        <v>43244</v>
      </c>
    </row>
    <row r="14300" spans="1:24">
      <c r="A14300">
        <f>HYPERLINK("https://www.philgeps.gov.ph/GEPSNONPILOT/Tender/SplashBidNoticeAbstractUI.aspx?menuIndex=3&amp;refID=6900877&amp;Result=3","6900877")</f>
        <v>0</v>
      </c>
      <c r="B14300" t="s">
        <v>1359</v>
      </c>
      <c r="C14300" t="s">
        <v>17115</v>
      </c>
      <c r="D14300" t="s">
        <v>17415</v>
      </c>
      <c r="E14300" t="s">
        <v>29772</v>
      </c>
      <c r="F14300" t="s">
        <v>30052</v>
      </c>
      <c r="G14300" t="s">
        <v>30058</v>
      </c>
      <c r="H14300" t="s">
        <v>30067</v>
      </c>
      <c r="I14300" t="s">
        <v>3693</v>
      </c>
      <c r="J14300" t="s">
        <v>36559</v>
      </c>
      <c r="K14300" t="s">
        <v>39026</v>
      </c>
      <c r="M14300" t="s">
        <v>40728</v>
      </c>
      <c r="N14300" t="s">
        <v>43166</v>
      </c>
      <c r="O14300" t="s">
        <v>43167</v>
      </c>
      <c r="Q14300">
        <v>13</v>
      </c>
      <c r="R14300" t="s">
        <v>43244</v>
      </c>
      <c r="S14300" t="s">
        <v>44527</v>
      </c>
      <c r="T14300" t="s">
        <v>44698</v>
      </c>
      <c r="U14300" t="s">
        <v>56572</v>
      </c>
      <c r="W14300" t="s">
        <v>58636</v>
      </c>
      <c r="X14300" t="s">
        <v>58744</v>
      </c>
    </row>
    <row r="14301" spans="1:24">
      <c r="A14301">
        <f>HYPERLINK("https://www.philgeps.gov.ph/GEPSNONPILOT/Tender/SplashBidNoticeAbstractUI.aspx?menuIndex=3&amp;refID=6883608&amp;Result=3","6883608")</f>
        <v>0</v>
      </c>
      <c r="B14301" t="s">
        <v>143</v>
      </c>
      <c r="C14301" t="s">
        <v>17116</v>
      </c>
      <c r="E14301" t="s">
        <v>27282</v>
      </c>
      <c r="F14301" t="s">
        <v>30052</v>
      </c>
      <c r="G14301" t="s">
        <v>30058</v>
      </c>
      <c r="H14301" t="s">
        <v>15498</v>
      </c>
      <c r="I14301" t="s">
        <v>30074</v>
      </c>
      <c r="J14301" t="s">
        <v>38843</v>
      </c>
      <c r="K14301" t="s">
        <v>39025</v>
      </c>
      <c r="M14301" t="s">
        <v>43122</v>
      </c>
      <c r="N14301" t="s">
        <v>43166</v>
      </c>
      <c r="O14301" t="s">
        <v>43167</v>
      </c>
      <c r="Q14301">
        <v>13</v>
      </c>
      <c r="R14301" t="s">
        <v>43245</v>
      </c>
      <c r="S14301" t="s">
        <v>44528</v>
      </c>
      <c r="T14301" t="s">
        <v>44696</v>
      </c>
      <c r="U14301" t="s">
        <v>56573</v>
      </c>
      <c r="W14301" t="s">
        <v>43122</v>
      </c>
      <c r="X14301" t="s">
        <v>43248</v>
      </c>
    </row>
    <row r="14302" spans="1:24">
      <c r="A14302">
        <f>HYPERLINK("https://www.philgeps.gov.ph/GEPSNONPILOT/Tender/SplashBidNoticeAbstractUI.aspx?menuIndex=3&amp;refID=6899512&amp;Result=3","6899512")</f>
        <v>0</v>
      </c>
      <c r="B14302" t="s">
        <v>2813</v>
      </c>
      <c r="C14302" t="s">
        <v>17117</v>
      </c>
      <c r="D14302" t="s">
        <v>17476</v>
      </c>
      <c r="E14302" t="s">
        <v>29773</v>
      </c>
      <c r="F14302" t="s">
        <v>30052</v>
      </c>
      <c r="G14302" t="s">
        <v>30058</v>
      </c>
      <c r="H14302" t="s">
        <v>30067</v>
      </c>
      <c r="I14302" t="s">
        <v>3693</v>
      </c>
      <c r="J14302" t="s">
        <v>38844</v>
      </c>
      <c r="K14302" t="s">
        <v>39082</v>
      </c>
      <c r="M14302" t="s">
        <v>42356</v>
      </c>
      <c r="N14302" t="s">
        <v>43166</v>
      </c>
      <c r="O14302" t="s">
        <v>43167</v>
      </c>
      <c r="Q14302">
        <v>0</v>
      </c>
      <c r="R14302" t="s">
        <v>43243</v>
      </c>
      <c r="S14302" t="s">
        <v>44529</v>
      </c>
      <c r="T14302" t="s">
        <v>44750</v>
      </c>
      <c r="U14302" t="s">
        <v>52899</v>
      </c>
      <c r="W14302" t="s">
        <v>42356</v>
      </c>
      <c r="X14302" t="s">
        <v>43242</v>
      </c>
    </row>
    <row r="14303" spans="1:24">
      <c r="A14303">
        <f>HYPERLINK("https://www.philgeps.gov.ph/GEPSNONPILOT/Tender/SplashBidNoticeAbstractUI.aspx?menuIndex=3&amp;refID=6870526&amp;Result=3","6870526")</f>
        <v>0</v>
      </c>
      <c r="B14303" t="s">
        <v>2245</v>
      </c>
      <c r="C14303" t="s">
        <v>17118</v>
      </c>
      <c r="D14303" t="s">
        <v>17415</v>
      </c>
      <c r="E14303" t="s">
        <v>29774</v>
      </c>
      <c r="F14303" t="s">
        <v>30052</v>
      </c>
      <c r="G14303" t="s">
        <v>30058</v>
      </c>
      <c r="H14303" t="s">
        <v>30067</v>
      </c>
      <c r="I14303" t="s">
        <v>3693</v>
      </c>
      <c r="J14303" t="s">
        <v>38845</v>
      </c>
      <c r="K14303" t="s">
        <v>39026</v>
      </c>
      <c r="M14303" t="s">
        <v>41723</v>
      </c>
      <c r="N14303" t="s">
        <v>43166</v>
      </c>
      <c r="O14303" t="s">
        <v>43167</v>
      </c>
      <c r="Q14303">
        <v>29</v>
      </c>
      <c r="R14303" t="s">
        <v>43246</v>
      </c>
      <c r="S14303" t="s">
        <v>44530</v>
      </c>
      <c r="T14303" t="s">
        <v>44750</v>
      </c>
      <c r="U14303" t="s">
        <v>56574</v>
      </c>
      <c r="W14303" t="s">
        <v>41723</v>
      </c>
      <c r="X14303" t="s">
        <v>43254</v>
      </c>
    </row>
    <row r="14304" spans="1:24">
      <c r="A14304">
        <f>HYPERLINK("https://www.philgeps.gov.ph/GEPSNONPILOT/Tender/SplashBidNoticeAbstractUI.aspx?menuIndex=3&amp;refID=6914552&amp;Result=3","6914552")</f>
        <v>0</v>
      </c>
      <c r="B14304" t="s">
        <v>684</v>
      </c>
      <c r="C14304" t="s">
        <v>17119</v>
      </c>
      <c r="D14304" t="s">
        <v>17473</v>
      </c>
      <c r="E14304" t="s">
        <v>17119</v>
      </c>
      <c r="F14304" t="s">
        <v>30052</v>
      </c>
      <c r="G14304" t="s">
        <v>30061</v>
      </c>
      <c r="H14304" t="s">
        <v>15498</v>
      </c>
      <c r="I14304" t="s">
        <v>4650</v>
      </c>
      <c r="J14304" t="s">
        <v>31438</v>
      </c>
      <c r="K14304" t="s">
        <v>39029</v>
      </c>
      <c r="M14304" t="s">
        <v>40718</v>
      </c>
      <c r="N14304" t="s">
        <v>43166</v>
      </c>
      <c r="O14304" t="s">
        <v>43167</v>
      </c>
      <c r="Q14304">
        <v>3</v>
      </c>
      <c r="R14304" t="s">
        <v>43234</v>
      </c>
      <c r="S14304" t="s">
        <v>44531</v>
      </c>
      <c r="T14304" t="s">
        <v>44822</v>
      </c>
      <c r="U14304" t="s">
        <v>56575</v>
      </c>
      <c r="W14304" t="s">
        <v>40718</v>
      </c>
      <c r="X14304" t="s">
        <v>43236</v>
      </c>
    </row>
    <row r="14305" spans="1:24">
      <c r="A14305">
        <f>HYPERLINK("https://www.philgeps.gov.ph/GEPSNONPILOT/Tender/SplashBidNoticeAbstractUI.aspx?menuIndex=3&amp;refID=6915976&amp;Result=3","6915976")</f>
        <v>0</v>
      </c>
      <c r="B14305" t="s">
        <v>1401</v>
      </c>
      <c r="C14305" t="s">
        <v>17120</v>
      </c>
      <c r="D14305" t="s">
        <v>17464</v>
      </c>
      <c r="E14305" t="s">
        <v>29775</v>
      </c>
      <c r="F14305" t="s">
        <v>30052</v>
      </c>
      <c r="G14305" t="s">
        <v>30058</v>
      </c>
      <c r="H14305" t="s">
        <v>15498</v>
      </c>
      <c r="I14305" t="s">
        <v>3852</v>
      </c>
      <c r="J14305" t="s">
        <v>38846</v>
      </c>
      <c r="K14305" t="s">
        <v>39023</v>
      </c>
      <c r="M14305" t="s">
        <v>43123</v>
      </c>
      <c r="N14305" t="s">
        <v>43166</v>
      </c>
      <c r="O14305" t="s">
        <v>43167</v>
      </c>
      <c r="Q14305">
        <v>8</v>
      </c>
      <c r="R14305" t="s">
        <v>43234</v>
      </c>
      <c r="S14305" t="s">
        <v>44071</v>
      </c>
      <c r="T14305" t="s">
        <v>45021</v>
      </c>
      <c r="U14305" t="s">
        <v>56576</v>
      </c>
      <c r="V14305" t="s">
        <v>58553</v>
      </c>
      <c r="W14305" t="s">
        <v>43123</v>
      </c>
      <c r="X14305" t="s">
        <v>43236</v>
      </c>
    </row>
    <row r="14306" spans="1:24">
      <c r="A14306">
        <f>HYPERLINK("https://www.philgeps.gov.ph/GEPSNONPILOT/Tender/SplashBidNoticeAbstractUI.aspx?menuIndex=3&amp;refID=6876233&amp;Result=3","6876233")</f>
        <v>0</v>
      </c>
      <c r="B14306" t="s">
        <v>59</v>
      </c>
      <c r="C14306" t="s">
        <v>17121</v>
      </c>
      <c r="D14306" t="s">
        <v>17441</v>
      </c>
      <c r="E14306" t="s">
        <v>29776</v>
      </c>
      <c r="F14306" t="s">
        <v>30052</v>
      </c>
      <c r="G14306" t="s">
        <v>30058</v>
      </c>
      <c r="H14306" t="s">
        <v>30067</v>
      </c>
      <c r="I14306" t="s">
        <v>3693</v>
      </c>
      <c r="J14306" t="s">
        <v>31185</v>
      </c>
      <c r="K14306" t="s">
        <v>39026</v>
      </c>
      <c r="M14306" t="s">
        <v>43124</v>
      </c>
      <c r="N14306" t="s">
        <v>43166</v>
      </c>
      <c r="O14306" t="s">
        <v>43167</v>
      </c>
      <c r="Q14306">
        <v>40</v>
      </c>
      <c r="R14306" t="s">
        <v>43247</v>
      </c>
      <c r="S14306" t="s">
        <v>44004</v>
      </c>
      <c r="T14306" t="s">
        <v>44699</v>
      </c>
      <c r="U14306" t="s">
        <v>56577</v>
      </c>
      <c r="V14306" t="s">
        <v>56820</v>
      </c>
      <c r="W14306" t="s">
        <v>43124</v>
      </c>
      <c r="X14306" t="s">
        <v>43246</v>
      </c>
    </row>
    <row r="14307" spans="1:24">
      <c r="A14307">
        <f>HYPERLINK("https://www.philgeps.gov.ph/GEPSNONPILOT/Tender/SplashBidNoticeAbstractUI.aspx?menuIndex=3&amp;refID=6894063&amp;Result=3","6894063")</f>
        <v>0</v>
      </c>
      <c r="B14307" t="s">
        <v>3369</v>
      </c>
      <c r="C14307" t="s">
        <v>17122</v>
      </c>
      <c r="D14307" t="s">
        <v>17445</v>
      </c>
      <c r="E14307" t="s">
        <v>29777</v>
      </c>
      <c r="F14307" t="s">
        <v>30052</v>
      </c>
      <c r="G14307" t="s">
        <v>30058</v>
      </c>
      <c r="H14307" t="s">
        <v>15498</v>
      </c>
      <c r="I14307" t="s">
        <v>30129</v>
      </c>
      <c r="J14307" t="s">
        <v>30212</v>
      </c>
      <c r="K14307" t="s">
        <v>39019</v>
      </c>
      <c r="L14307" t="s">
        <v>3369</v>
      </c>
      <c r="M14307" t="s">
        <v>43020</v>
      </c>
      <c r="N14307" t="s">
        <v>43166</v>
      </c>
      <c r="O14307" t="s">
        <v>43167</v>
      </c>
      <c r="Q14307">
        <v>11</v>
      </c>
      <c r="R14307" t="s">
        <v>43242</v>
      </c>
      <c r="S14307" t="s">
        <v>44532</v>
      </c>
      <c r="T14307" t="s">
        <v>44832</v>
      </c>
      <c r="U14307" t="s">
        <v>56578</v>
      </c>
      <c r="W14307" t="s">
        <v>43020</v>
      </c>
      <c r="X14307" t="s">
        <v>43239</v>
      </c>
    </row>
    <row r="14308" spans="1:24">
      <c r="A14308">
        <f>HYPERLINK("https://www.philgeps.gov.ph/GEPSNONPILOT/Tender/SplashBidNoticeAbstractUI.aspx?menuIndex=3&amp;refID=6876311&amp;Result=3","6876311")</f>
        <v>0</v>
      </c>
      <c r="B14308" t="s">
        <v>59</v>
      </c>
      <c r="C14308" t="s">
        <v>17123</v>
      </c>
      <c r="D14308" t="s">
        <v>17441</v>
      </c>
      <c r="E14308" t="s">
        <v>29778</v>
      </c>
      <c r="F14308" t="s">
        <v>30052</v>
      </c>
      <c r="G14308" t="s">
        <v>30058</v>
      </c>
      <c r="H14308" t="s">
        <v>30067</v>
      </c>
      <c r="I14308" t="s">
        <v>3693</v>
      </c>
      <c r="J14308" t="s">
        <v>35425</v>
      </c>
      <c r="K14308" t="s">
        <v>39031</v>
      </c>
      <c r="M14308" t="s">
        <v>43124</v>
      </c>
      <c r="N14308" t="s">
        <v>43166</v>
      </c>
      <c r="O14308" t="s">
        <v>43167</v>
      </c>
      <c r="Q14308">
        <v>36</v>
      </c>
      <c r="R14308" t="s">
        <v>43247</v>
      </c>
      <c r="S14308" t="s">
        <v>44533</v>
      </c>
      <c r="T14308" t="s">
        <v>44699</v>
      </c>
      <c r="U14308" t="s">
        <v>56577</v>
      </c>
      <c r="V14308" t="s">
        <v>56820</v>
      </c>
      <c r="W14308" t="s">
        <v>43124</v>
      </c>
      <c r="X14308" t="s">
        <v>43246</v>
      </c>
    </row>
    <row r="14309" spans="1:24">
      <c r="A14309">
        <f>HYPERLINK("https://www.philgeps.gov.ph/GEPSNONPILOT/Tender/SplashBidNoticeAbstractUI.aspx?menuIndex=3&amp;refID=6876280&amp;Result=3","6876280")</f>
        <v>0</v>
      </c>
      <c r="B14309" t="s">
        <v>59</v>
      </c>
      <c r="C14309" t="s">
        <v>17124</v>
      </c>
      <c r="D14309" t="s">
        <v>17441</v>
      </c>
      <c r="E14309" t="s">
        <v>29779</v>
      </c>
      <c r="F14309" t="s">
        <v>30052</v>
      </c>
      <c r="G14309" t="s">
        <v>30058</v>
      </c>
      <c r="H14309" t="s">
        <v>30067</v>
      </c>
      <c r="I14309" t="s">
        <v>3693</v>
      </c>
      <c r="J14309" t="s">
        <v>31185</v>
      </c>
      <c r="K14309" t="s">
        <v>39026</v>
      </c>
      <c r="M14309" t="s">
        <v>43124</v>
      </c>
      <c r="N14309" t="s">
        <v>43166</v>
      </c>
      <c r="O14309" t="s">
        <v>43167</v>
      </c>
      <c r="Q14309">
        <v>38</v>
      </c>
      <c r="R14309" t="s">
        <v>43247</v>
      </c>
      <c r="S14309" t="s">
        <v>43636</v>
      </c>
      <c r="T14309" t="s">
        <v>44699</v>
      </c>
      <c r="U14309" t="s">
        <v>56577</v>
      </c>
      <c r="V14309" t="s">
        <v>56820</v>
      </c>
      <c r="W14309" t="s">
        <v>43124</v>
      </c>
      <c r="X14309" t="s">
        <v>43246</v>
      </c>
    </row>
    <row r="14310" spans="1:24">
      <c r="A14310">
        <f>HYPERLINK("https://www.philgeps.gov.ph/GEPSNONPILOT/Tender/SplashBidNoticeAbstractUI.aspx?menuIndex=3&amp;refID=6880847&amp;Result=3","6880847")</f>
        <v>0</v>
      </c>
      <c r="B14310" t="s">
        <v>1094</v>
      </c>
      <c r="C14310" t="s">
        <v>17125</v>
      </c>
      <c r="D14310" t="s">
        <v>17464</v>
      </c>
      <c r="E14310" t="s">
        <v>29780</v>
      </c>
      <c r="F14310" t="s">
        <v>30052</v>
      </c>
      <c r="G14310" t="s">
        <v>30058</v>
      </c>
      <c r="H14310" t="s">
        <v>30067</v>
      </c>
      <c r="I14310" t="s">
        <v>3693</v>
      </c>
      <c r="J14310" t="s">
        <v>38847</v>
      </c>
      <c r="K14310" t="s">
        <v>39057</v>
      </c>
      <c r="M14310" t="s">
        <v>43125</v>
      </c>
      <c r="N14310" t="s">
        <v>43166</v>
      </c>
      <c r="O14310" t="s">
        <v>43167</v>
      </c>
      <c r="Q14310">
        <v>16</v>
      </c>
      <c r="R14310" t="s">
        <v>43248</v>
      </c>
      <c r="S14310" t="s">
        <v>44534</v>
      </c>
      <c r="T14310" t="s">
        <v>45154</v>
      </c>
      <c r="U14310" t="s">
        <v>56579</v>
      </c>
      <c r="W14310" t="s">
        <v>43125</v>
      </c>
      <c r="X14310" t="s">
        <v>43247</v>
      </c>
    </row>
    <row r="14311" spans="1:24">
      <c r="A14311">
        <f>HYPERLINK("https://www.philgeps.gov.ph/GEPSNONPILOT/Tender/SplashBidNoticeAbstractUI.aspx?menuIndex=3&amp;refID=6880822&amp;Result=3","6880822")</f>
        <v>0</v>
      </c>
      <c r="B14311" t="s">
        <v>3433</v>
      </c>
      <c r="C14311" t="s">
        <v>17126</v>
      </c>
      <c r="D14311" t="s">
        <v>17445</v>
      </c>
      <c r="E14311" t="s">
        <v>29781</v>
      </c>
      <c r="F14311" t="s">
        <v>30052</v>
      </c>
      <c r="G14311" t="s">
        <v>30058</v>
      </c>
      <c r="H14311" t="s">
        <v>15498</v>
      </c>
      <c r="I14311" t="s">
        <v>9238</v>
      </c>
      <c r="J14311" t="s">
        <v>38675</v>
      </c>
      <c r="K14311" t="s">
        <v>39019</v>
      </c>
      <c r="M14311" t="s">
        <v>43126</v>
      </c>
      <c r="N14311" t="s">
        <v>43166</v>
      </c>
      <c r="O14311" t="s">
        <v>43167</v>
      </c>
      <c r="Q14311">
        <v>13</v>
      </c>
      <c r="R14311" t="s">
        <v>43248</v>
      </c>
      <c r="S14311" t="s">
        <v>44535</v>
      </c>
      <c r="T14311" t="s">
        <v>45204</v>
      </c>
      <c r="U14311" t="s">
        <v>56580</v>
      </c>
      <c r="V14311" t="s">
        <v>57637</v>
      </c>
      <c r="W14311" t="s">
        <v>43126</v>
      </c>
      <c r="X14311" t="s">
        <v>43247</v>
      </c>
    </row>
    <row r="14312" spans="1:24">
      <c r="A14312">
        <f>HYPERLINK("https://www.philgeps.gov.ph/GEPSNONPILOT/Tender/SplashBidNoticeAbstractUI.aspx?menuIndex=3&amp;refID=6880782&amp;Result=3","6880782")</f>
        <v>0</v>
      </c>
      <c r="B14312" t="s">
        <v>1094</v>
      </c>
      <c r="C14312" t="s">
        <v>17127</v>
      </c>
      <c r="D14312" t="s">
        <v>17464</v>
      </c>
      <c r="E14312" t="s">
        <v>29782</v>
      </c>
      <c r="F14312" t="s">
        <v>30052</v>
      </c>
      <c r="G14312" t="s">
        <v>30058</v>
      </c>
      <c r="H14312" t="s">
        <v>30067</v>
      </c>
      <c r="I14312" t="s">
        <v>3693</v>
      </c>
      <c r="J14312" t="s">
        <v>38848</v>
      </c>
      <c r="K14312" t="s">
        <v>39031</v>
      </c>
      <c r="M14312" t="s">
        <v>43125</v>
      </c>
      <c r="N14312" t="s">
        <v>43166</v>
      </c>
      <c r="O14312" t="s">
        <v>43167</v>
      </c>
      <c r="Q14312">
        <v>13</v>
      </c>
      <c r="R14312" t="s">
        <v>43248</v>
      </c>
      <c r="S14312" t="s">
        <v>44158</v>
      </c>
      <c r="T14312" t="s">
        <v>44918</v>
      </c>
      <c r="U14312" t="s">
        <v>56581</v>
      </c>
      <c r="W14312" t="s">
        <v>43125</v>
      </c>
      <c r="X14312" t="s">
        <v>43247</v>
      </c>
    </row>
    <row r="14313" spans="1:24">
      <c r="A14313">
        <f>HYPERLINK("https://www.philgeps.gov.ph/GEPSNONPILOT/Tender/SplashBidNoticeAbstractUI.aspx?menuIndex=3&amp;refID=6880627&amp;Result=3","6880627")</f>
        <v>0</v>
      </c>
      <c r="B14313" t="s">
        <v>3433</v>
      </c>
      <c r="C14313" t="s">
        <v>17128</v>
      </c>
      <c r="D14313" t="s">
        <v>17445</v>
      </c>
      <c r="E14313" t="s">
        <v>29783</v>
      </c>
      <c r="F14313" t="s">
        <v>30052</v>
      </c>
      <c r="G14313" t="s">
        <v>30058</v>
      </c>
      <c r="H14313" t="s">
        <v>15498</v>
      </c>
      <c r="I14313" t="s">
        <v>9238</v>
      </c>
      <c r="J14313" t="s">
        <v>30247</v>
      </c>
      <c r="K14313" t="s">
        <v>39019</v>
      </c>
      <c r="M14313" t="s">
        <v>43126</v>
      </c>
      <c r="N14313" t="s">
        <v>43166</v>
      </c>
      <c r="O14313" t="s">
        <v>43167</v>
      </c>
      <c r="Q14313">
        <v>15</v>
      </c>
      <c r="R14313" t="s">
        <v>43248</v>
      </c>
      <c r="S14313" t="s">
        <v>44536</v>
      </c>
      <c r="T14313" t="s">
        <v>45205</v>
      </c>
      <c r="U14313" t="s">
        <v>56580</v>
      </c>
      <c r="V14313" t="s">
        <v>57637</v>
      </c>
      <c r="W14313" t="s">
        <v>43126</v>
      </c>
      <c r="X14313" t="s">
        <v>43247</v>
      </c>
    </row>
    <row r="14314" spans="1:24">
      <c r="A14314">
        <f>HYPERLINK("https://www.philgeps.gov.ph/GEPSNONPILOT/Tender/SplashBidNoticeAbstractUI.aspx?menuIndex=3&amp;refID=6880434&amp;Result=3","6880434")</f>
        <v>0</v>
      </c>
      <c r="B14314" t="s">
        <v>3433</v>
      </c>
      <c r="C14314" t="s">
        <v>17129</v>
      </c>
      <c r="D14314" t="s">
        <v>17445</v>
      </c>
      <c r="E14314" t="s">
        <v>29784</v>
      </c>
      <c r="F14314" t="s">
        <v>30052</v>
      </c>
      <c r="G14314" t="s">
        <v>30058</v>
      </c>
      <c r="H14314" t="s">
        <v>15498</v>
      </c>
      <c r="I14314" t="s">
        <v>30070</v>
      </c>
      <c r="J14314" t="s">
        <v>38849</v>
      </c>
      <c r="K14314" t="s">
        <v>39019</v>
      </c>
      <c r="M14314" t="s">
        <v>43127</v>
      </c>
      <c r="N14314" t="s">
        <v>43166</v>
      </c>
      <c r="O14314" t="s">
        <v>43167</v>
      </c>
      <c r="Q14314">
        <v>8</v>
      </c>
      <c r="R14314" t="s">
        <v>43248</v>
      </c>
      <c r="S14314" t="s">
        <v>44537</v>
      </c>
      <c r="T14314" t="s">
        <v>45204</v>
      </c>
      <c r="U14314" t="s">
        <v>56582</v>
      </c>
      <c r="V14314" t="s">
        <v>58554</v>
      </c>
      <c r="W14314" t="s">
        <v>43127</v>
      </c>
      <c r="X14314" t="s">
        <v>43247</v>
      </c>
    </row>
    <row r="14315" spans="1:24">
      <c r="A14315">
        <f>HYPERLINK("https://www.philgeps.gov.ph/GEPSNONPILOT/Tender/SplashBidNoticeAbstractUI.aspx?menuIndex=3&amp;refID=6880262&amp;Result=3","6880262")</f>
        <v>0</v>
      </c>
      <c r="B14315" t="s">
        <v>2902</v>
      </c>
      <c r="C14315" t="s">
        <v>17130</v>
      </c>
      <c r="D14315" t="s">
        <v>17482</v>
      </c>
      <c r="E14315" t="s">
        <v>29785</v>
      </c>
      <c r="F14315" t="s">
        <v>30052</v>
      </c>
      <c r="G14315" t="s">
        <v>30065</v>
      </c>
      <c r="H14315" t="s">
        <v>30068</v>
      </c>
      <c r="I14315" t="s">
        <v>30068</v>
      </c>
      <c r="J14315" t="s">
        <v>38850</v>
      </c>
      <c r="K14315" t="s">
        <v>39029</v>
      </c>
      <c r="M14315" t="s">
        <v>43128</v>
      </c>
      <c r="N14315" t="s">
        <v>43166</v>
      </c>
      <c r="O14315" t="s">
        <v>43167</v>
      </c>
      <c r="Q14315">
        <v>4</v>
      </c>
      <c r="R14315" t="s">
        <v>43248</v>
      </c>
      <c r="S14315" t="s">
        <v>44538</v>
      </c>
      <c r="T14315" t="s">
        <v>44698</v>
      </c>
      <c r="U14315" t="s">
        <v>56583</v>
      </c>
      <c r="V14315" t="s">
        <v>58555</v>
      </c>
      <c r="W14315" t="s">
        <v>43128</v>
      </c>
      <c r="X14315" t="s">
        <v>43247</v>
      </c>
    </row>
    <row r="14316" spans="1:24">
      <c r="A14316">
        <f>HYPERLINK("https://www.philgeps.gov.ph/GEPSNONPILOT/Tender/SplashBidNoticeAbstractUI.aspx?menuIndex=3&amp;refID=6848996&amp;Result=3","6848996")</f>
        <v>0</v>
      </c>
      <c r="B14316" t="s">
        <v>1094</v>
      </c>
      <c r="C14316" t="s">
        <v>17131</v>
      </c>
      <c r="D14316" t="s">
        <v>17464</v>
      </c>
      <c r="E14316" t="s">
        <v>29786</v>
      </c>
      <c r="F14316" t="s">
        <v>30052</v>
      </c>
      <c r="G14316" t="s">
        <v>30058</v>
      </c>
      <c r="H14316" t="s">
        <v>30067</v>
      </c>
      <c r="I14316" t="s">
        <v>3693</v>
      </c>
      <c r="J14316" t="s">
        <v>38851</v>
      </c>
      <c r="K14316" t="s">
        <v>39023</v>
      </c>
      <c r="M14316" t="s">
        <v>43125</v>
      </c>
      <c r="N14316" t="s">
        <v>43166</v>
      </c>
      <c r="O14316" t="s">
        <v>43167</v>
      </c>
      <c r="Q14316">
        <v>9</v>
      </c>
      <c r="R14316" t="s">
        <v>43249</v>
      </c>
      <c r="S14316" t="s">
        <v>44539</v>
      </c>
      <c r="T14316" t="s">
        <v>44690</v>
      </c>
      <c r="U14316" t="s">
        <v>56584</v>
      </c>
      <c r="V14316" t="s">
        <v>58556</v>
      </c>
      <c r="W14316" t="s">
        <v>43125</v>
      </c>
      <c r="X14316" t="s">
        <v>58745</v>
      </c>
    </row>
    <row r="14317" spans="1:24">
      <c r="A14317">
        <f>HYPERLINK("https://www.philgeps.gov.ph/GEPSNONPILOT/Tender/SplashBidNoticeAbstractUI.aspx?menuIndex=3&amp;refID=6896896&amp;Result=3","6896896")</f>
        <v>0</v>
      </c>
      <c r="B14317" t="s">
        <v>2818</v>
      </c>
      <c r="C14317" t="s">
        <v>17132</v>
      </c>
      <c r="D14317" t="s">
        <v>17486</v>
      </c>
      <c r="E14317" t="s">
        <v>29787</v>
      </c>
      <c r="F14317" t="s">
        <v>30052</v>
      </c>
      <c r="G14317" t="s">
        <v>30058</v>
      </c>
      <c r="H14317" t="s">
        <v>30067</v>
      </c>
      <c r="I14317" t="s">
        <v>3693</v>
      </c>
      <c r="J14317" t="s">
        <v>38852</v>
      </c>
      <c r="K14317" t="s">
        <v>39031</v>
      </c>
      <c r="M14317" t="s">
        <v>42362</v>
      </c>
      <c r="N14317" t="s">
        <v>43166</v>
      </c>
      <c r="O14317" t="s">
        <v>43167</v>
      </c>
      <c r="Q14317">
        <v>54</v>
      </c>
      <c r="R14317" t="s">
        <v>43242</v>
      </c>
      <c r="S14317" t="s">
        <v>44540</v>
      </c>
      <c r="T14317" t="s">
        <v>44763</v>
      </c>
      <c r="U14317" t="s">
        <v>56585</v>
      </c>
      <c r="V14317" t="s">
        <v>58557</v>
      </c>
      <c r="W14317" t="s">
        <v>42362</v>
      </c>
      <c r="X14317" t="s">
        <v>43239</v>
      </c>
    </row>
    <row r="14318" spans="1:24">
      <c r="A14318">
        <f>HYPERLINK("https://www.philgeps.gov.ph/GEPSNONPILOT/Tender/SplashBidNoticeAbstractUI.aspx?menuIndex=3&amp;refID=6870491&amp;Result=3","6870491")</f>
        <v>0</v>
      </c>
      <c r="B14318" t="s">
        <v>2245</v>
      </c>
      <c r="C14318" t="s">
        <v>17133</v>
      </c>
      <c r="D14318" t="s">
        <v>17415</v>
      </c>
      <c r="E14318" t="s">
        <v>29788</v>
      </c>
      <c r="F14318" t="s">
        <v>30052</v>
      </c>
      <c r="G14318" t="s">
        <v>30058</v>
      </c>
      <c r="H14318" t="s">
        <v>30067</v>
      </c>
      <c r="I14318" t="s">
        <v>3693</v>
      </c>
      <c r="J14318" t="s">
        <v>38853</v>
      </c>
      <c r="K14318" t="s">
        <v>39026</v>
      </c>
      <c r="M14318" t="s">
        <v>41723</v>
      </c>
      <c r="N14318" t="s">
        <v>43166</v>
      </c>
      <c r="O14318" t="s">
        <v>43167</v>
      </c>
      <c r="Q14318">
        <v>36</v>
      </c>
      <c r="R14318" t="s">
        <v>43246</v>
      </c>
      <c r="S14318" t="s">
        <v>44541</v>
      </c>
      <c r="T14318" t="s">
        <v>44750</v>
      </c>
      <c r="U14318" t="s">
        <v>56586</v>
      </c>
      <c r="W14318" t="s">
        <v>41723</v>
      </c>
      <c r="X14318" t="s">
        <v>43254</v>
      </c>
    </row>
    <row r="14319" spans="1:24">
      <c r="A14319">
        <f>HYPERLINK("https://www.philgeps.gov.ph/GEPSNONPILOT/Tender/SplashBidNoticeAbstractUI.aspx?menuIndex=3&amp;refID=6883288&amp;Result=3","6883288")</f>
        <v>0</v>
      </c>
      <c r="B14319" t="s">
        <v>975</v>
      </c>
      <c r="C14319" t="s">
        <v>17134</v>
      </c>
      <c r="D14319" t="s">
        <v>17415</v>
      </c>
      <c r="E14319" t="s">
        <v>29789</v>
      </c>
      <c r="F14319" t="s">
        <v>30052</v>
      </c>
      <c r="G14319" t="s">
        <v>30058</v>
      </c>
      <c r="H14319" t="s">
        <v>15498</v>
      </c>
      <c r="I14319" t="s">
        <v>4119</v>
      </c>
      <c r="J14319" t="s">
        <v>38854</v>
      </c>
      <c r="K14319" t="s">
        <v>39019</v>
      </c>
      <c r="M14319" t="s">
        <v>40302</v>
      </c>
      <c r="N14319" t="s">
        <v>43166</v>
      </c>
      <c r="O14319" t="s">
        <v>43167</v>
      </c>
      <c r="Q14319">
        <v>34</v>
      </c>
      <c r="R14319" t="s">
        <v>43250</v>
      </c>
      <c r="S14319" t="s">
        <v>44542</v>
      </c>
      <c r="T14319" t="s">
        <v>44750</v>
      </c>
      <c r="U14319" t="s">
        <v>56587</v>
      </c>
      <c r="V14319" t="s">
        <v>58551</v>
      </c>
      <c r="W14319" t="s">
        <v>40302</v>
      </c>
      <c r="X14319" t="s">
        <v>43248</v>
      </c>
    </row>
    <row r="14320" spans="1:24">
      <c r="A14320">
        <f>HYPERLINK("https://www.philgeps.gov.ph/GEPSNONPILOT/Tender/SplashBidNoticeAbstractUI.aspx?menuIndex=3&amp;refID=6855622&amp;Result=3","6855622")</f>
        <v>0</v>
      </c>
      <c r="B14320" t="s">
        <v>2338</v>
      </c>
      <c r="C14320" t="s">
        <v>17135</v>
      </c>
      <c r="D14320" t="s">
        <v>17472</v>
      </c>
      <c r="E14320" t="s">
        <v>29790</v>
      </c>
      <c r="F14320" t="s">
        <v>30052</v>
      </c>
      <c r="G14320" t="s">
        <v>30058</v>
      </c>
      <c r="H14320" t="s">
        <v>30067</v>
      </c>
      <c r="I14320" t="s">
        <v>3693</v>
      </c>
      <c r="J14320" t="s">
        <v>32177</v>
      </c>
      <c r="K14320" t="s">
        <v>39304</v>
      </c>
      <c r="M14320" t="s">
        <v>41828</v>
      </c>
      <c r="N14320" t="s">
        <v>43166</v>
      </c>
      <c r="O14320" t="s">
        <v>43167</v>
      </c>
      <c r="Q14320">
        <v>17</v>
      </c>
      <c r="R14320" t="s">
        <v>43251</v>
      </c>
      <c r="S14320" t="s">
        <v>44543</v>
      </c>
      <c r="T14320" t="s">
        <v>44832</v>
      </c>
      <c r="U14320" t="s">
        <v>56588</v>
      </c>
      <c r="W14320" t="s">
        <v>41828</v>
      </c>
      <c r="X14320" t="s">
        <v>43249</v>
      </c>
    </row>
    <row r="14321" spans="1:24">
      <c r="A14321">
        <f>HYPERLINK("https://www.philgeps.gov.ph/GEPSNONPILOT/Tender/SplashBidNoticeAbstractUI.aspx?menuIndex=3&amp;refID=6862443&amp;Result=3","6862443")</f>
        <v>0</v>
      </c>
      <c r="B14321" t="s">
        <v>2245</v>
      </c>
      <c r="C14321" t="s">
        <v>17136</v>
      </c>
      <c r="D14321" t="s">
        <v>17415</v>
      </c>
      <c r="E14321" t="s">
        <v>29791</v>
      </c>
      <c r="F14321" t="s">
        <v>30052</v>
      </c>
      <c r="G14321" t="s">
        <v>30058</v>
      </c>
      <c r="H14321" t="s">
        <v>30067</v>
      </c>
      <c r="I14321" t="s">
        <v>3693</v>
      </c>
      <c r="J14321" t="s">
        <v>38855</v>
      </c>
      <c r="K14321" t="s">
        <v>39033</v>
      </c>
      <c r="M14321" t="s">
        <v>41723</v>
      </c>
      <c r="N14321" t="s">
        <v>43166</v>
      </c>
      <c r="O14321" t="s">
        <v>43167</v>
      </c>
      <c r="Q14321">
        <v>64</v>
      </c>
      <c r="R14321" t="s">
        <v>43252</v>
      </c>
      <c r="S14321" t="s">
        <v>44544</v>
      </c>
      <c r="T14321" t="s">
        <v>44830</v>
      </c>
      <c r="U14321" t="s">
        <v>56589</v>
      </c>
      <c r="W14321" t="s">
        <v>41723</v>
      </c>
      <c r="X14321" t="s">
        <v>58746</v>
      </c>
    </row>
    <row r="14322" spans="1:24">
      <c r="A14322">
        <f>HYPERLINK("https://www.philgeps.gov.ph/GEPSNONPILOT/Tender/SplashBidNoticeAbstractUI.aspx?menuIndex=3&amp;refID=6880886&amp;Result=3","6880886")</f>
        <v>0</v>
      </c>
      <c r="B14322" t="s">
        <v>3433</v>
      </c>
      <c r="C14322" t="s">
        <v>17137</v>
      </c>
      <c r="D14322" t="s">
        <v>17445</v>
      </c>
      <c r="E14322" t="s">
        <v>29792</v>
      </c>
      <c r="F14322" t="s">
        <v>30052</v>
      </c>
      <c r="G14322" t="s">
        <v>30058</v>
      </c>
      <c r="H14322" t="s">
        <v>15498</v>
      </c>
      <c r="I14322" t="s">
        <v>9238</v>
      </c>
      <c r="J14322" t="s">
        <v>38856</v>
      </c>
      <c r="K14322" t="s">
        <v>39019</v>
      </c>
      <c r="M14322" t="s">
        <v>43126</v>
      </c>
      <c r="N14322" t="s">
        <v>43166</v>
      </c>
      <c r="O14322" t="s">
        <v>43167</v>
      </c>
      <c r="Q14322">
        <v>12</v>
      </c>
      <c r="R14322" t="s">
        <v>43248</v>
      </c>
      <c r="S14322" t="s">
        <v>44545</v>
      </c>
      <c r="T14322" t="s">
        <v>45204</v>
      </c>
      <c r="U14322" t="s">
        <v>56580</v>
      </c>
      <c r="V14322" t="s">
        <v>57637</v>
      </c>
      <c r="W14322" t="s">
        <v>43126</v>
      </c>
      <c r="X14322" t="s">
        <v>43247</v>
      </c>
    </row>
    <row r="14323" spans="1:24">
      <c r="A14323">
        <f>HYPERLINK("https://www.philgeps.gov.ph/GEPSNONPILOT/Tender/SplashBidNoticeAbstractUI.aspx?menuIndex=3&amp;refID=6862423&amp;Result=3","6862423")</f>
        <v>0</v>
      </c>
      <c r="B14323" t="s">
        <v>2245</v>
      </c>
      <c r="C14323" t="s">
        <v>17138</v>
      </c>
      <c r="D14323" t="s">
        <v>17415</v>
      </c>
      <c r="E14323" t="s">
        <v>29793</v>
      </c>
      <c r="F14323" t="s">
        <v>30052</v>
      </c>
      <c r="G14323" t="s">
        <v>30058</v>
      </c>
      <c r="H14323" t="s">
        <v>30067</v>
      </c>
      <c r="I14323" t="s">
        <v>3693</v>
      </c>
      <c r="J14323" t="s">
        <v>38857</v>
      </c>
      <c r="K14323" t="s">
        <v>39092</v>
      </c>
      <c r="M14323" t="s">
        <v>41723</v>
      </c>
      <c r="N14323" t="s">
        <v>43166</v>
      </c>
      <c r="O14323" t="s">
        <v>43167</v>
      </c>
      <c r="Q14323">
        <v>63</v>
      </c>
      <c r="R14323" t="s">
        <v>43252</v>
      </c>
      <c r="S14323" t="s">
        <v>44544</v>
      </c>
      <c r="T14323" t="s">
        <v>44830</v>
      </c>
      <c r="U14323" t="s">
        <v>56590</v>
      </c>
      <c r="W14323" t="s">
        <v>41723</v>
      </c>
      <c r="X14323" t="s">
        <v>58746</v>
      </c>
    </row>
    <row r="14324" spans="1:24">
      <c r="A14324">
        <f>HYPERLINK("https://www.philgeps.gov.ph/GEPSNONPILOT/Tender/SplashBidNoticeAbstractUI.aspx?menuIndex=3&amp;refID=6862407&amp;Result=3","6862407")</f>
        <v>0</v>
      </c>
      <c r="B14324" t="s">
        <v>2245</v>
      </c>
      <c r="C14324" t="s">
        <v>17139</v>
      </c>
      <c r="D14324" t="s">
        <v>17415</v>
      </c>
      <c r="E14324" t="s">
        <v>29794</v>
      </c>
      <c r="F14324" t="s">
        <v>30052</v>
      </c>
      <c r="G14324" t="s">
        <v>30058</v>
      </c>
      <c r="H14324" t="s">
        <v>30067</v>
      </c>
      <c r="I14324" t="s">
        <v>3693</v>
      </c>
      <c r="J14324" t="s">
        <v>38858</v>
      </c>
      <c r="K14324" t="s">
        <v>39092</v>
      </c>
      <c r="M14324" t="s">
        <v>41723</v>
      </c>
      <c r="N14324" t="s">
        <v>43166</v>
      </c>
      <c r="O14324" t="s">
        <v>43167</v>
      </c>
      <c r="Q14324">
        <v>61</v>
      </c>
      <c r="R14324" t="s">
        <v>43252</v>
      </c>
      <c r="S14324" t="s">
        <v>44546</v>
      </c>
      <c r="T14324" t="s">
        <v>44830</v>
      </c>
      <c r="U14324" t="s">
        <v>56591</v>
      </c>
      <c r="W14324" t="s">
        <v>41723</v>
      </c>
      <c r="X14324" t="s">
        <v>58746</v>
      </c>
    </row>
    <row r="14325" spans="1:24">
      <c r="A14325">
        <f>HYPERLINK("https://www.philgeps.gov.ph/GEPSNONPILOT/Tender/SplashBidNoticeAbstractUI.aspx?menuIndex=3&amp;refID=6848945&amp;Result=3","6848945")</f>
        <v>0</v>
      </c>
      <c r="B14325" t="s">
        <v>1094</v>
      </c>
      <c r="C14325" t="s">
        <v>17140</v>
      </c>
      <c r="D14325" t="s">
        <v>17464</v>
      </c>
      <c r="E14325" t="s">
        <v>29795</v>
      </c>
      <c r="F14325" t="s">
        <v>30052</v>
      </c>
      <c r="G14325" t="s">
        <v>30058</v>
      </c>
      <c r="H14325" t="s">
        <v>30067</v>
      </c>
      <c r="I14325" t="s">
        <v>3693</v>
      </c>
      <c r="J14325" t="s">
        <v>38859</v>
      </c>
      <c r="K14325" t="s">
        <v>39023</v>
      </c>
      <c r="M14325" t="s">
        <v>43125</v>
      </c>
      <c r="N14325" t="s">
        <v>43166</v>
      </c>
      <c r="O14325" t="s">
        <v>43167</v>
      </c>
      <c r="Q14325">
        <v>10</v>
      </c>
      <c r="R14325" t="s">
        <v>43249</v>
      </c>
      <c r="S14325" t="s">
        <v>44547</v>
      </c>
      <c r="T14325" t="s">
        <v>44753</v>
      </c>
      <c r="U14325" t="s">
        <v>56592</v>
      </c>
      <c r="V14325" t="s">
        <v>58558</v>
      </c>
      <c r="W14325" t="s">
        <v>43125</v>
      </c>
      <c r="X14325" t="s">
        <v>58745</v>
      </c>
    </row>
    <row r="14326" spans="1:24">
      <c r="A14326">
        <f>HYPERLINK("https://www.philgeps.gov.ph/GEPSNONPILOT/Tender/SplashBidNoticeAbstractUI.aspx?menuIndex=3&amp;refID=6876363&amp;Result=3","6876363")</f>
        <v>0</v>
      </c>
      <c r="B14326" t="s">
        <v>59</v>
      </c>
      <c r="C14326" t="s">
        <v>17141</v>
      </c>
      <c r="D14326" t="s">
        <v>17441</v>
      </c>
      <c r="E14326" t="s">
        <v>29796</v>
      </c>
      <c r="F14326" t="s">
        <v>30052</v>
      </c>
      <c r="G14326" t="s">
        <v>30058</v>
      </c>
      <c r="H14326" t="s">
        <v>30067</v>
      </c>
      <c r="I14326" t="s">
        <v>3693</v>
      </c>
      <c r="J14326" t="s">
        <v>35425</v>
      </c>
      <c r="K14326" t="s">
        <v>39031</v>
      </c>
      <c r="M14326" t="s">
        <v>43124</v>
      </c>
      <c r="N14326" t="s">
        <v>43166</v>
      </c>
      <c r="O14326" t="s">
        <v>43167</v>
      </c>
      <c r="Q14326">
        <v>37</v>
      </c>
      <c r="R14326" t="s">
        <v>43247</v>
      </c>
      <c r="S14326" t="s">
        <v>44548</v>
      </c>
      <c r="T14326" t="s">
        <v>44699</v>
      </c>
      <c r="U14326" t="s">
        <v>56577</v>
      </c>
      <c r="V14326" t="s">
        <v>56820</v>
      </c>
      <c r="W14326" t="s">
        <v>43124</v>
      </c>
      <c r="X14326" t="s">
        <v>43246</v>
      </c>
    </row>
    <row r="14327" spans="1:24">
      <c r="A14327">
        <f>HYPERLINK("https://www.philgeps.gov.ph/GEPSNONPILOT/Tender/SplashBidNoticeAbstractUI.aspx?menuIndex=3&amp;refID=6862279&amp;Result=3","6862279")</f>
        <v>0</v>
      </c>
      <c r="B14327" t="s">
        <v>2245</v>
      </c>
      <c r="C14327" t="s">
        <v>17142</v>
      </c>
      <c r="D14327" t="s">
        <v>17415</v>
      </c>
      <c r="E14327" t="s">
        <v>29797</v>
      </c>
      <c r="F14327" t="s">
        <v>30052</v>
      </c>
      <c r="G14327" t="s">
        <v>30058</v>
      </c>
      <c r="H14327" t="s">
        <v>30067</v>
      </c>
      <c r="I14327" t="s">
        <v>3693</v>
      </c>
      <c r="J14327" t="s">
        <v>38860</v>
      </c>
      <c r="K14327" t="s">
        <v>39057</v>
      </c>
      <c r="M14327" t="s">
        <v>41723</v>
      </c>
      <c r="N14327" t="s">
        <v>43166</v>
      </c>
      <c r="O14327" t="s">
        <v>43167</v>
      </c>
      <c r="Q14327">
        <v>111</v>
      </c>
      <c r="R14327" t="s">
        <v>43252</v>
      </c>
      <c r="S14327" t="s">
        <v>44549</v>
      </c>
      <c r="T14327" t="s">
        <v>44791</v>
      </c>
      <c r="U14327" t="s">
        <v>56593</v>
      </c>
      <c r="W14327" t="s">
        <v>41723</v>
      </c>
      <c r="X14327" t="s">
        <v>58746</v>
      </c>
    </row>
    <row r="14328" spans="1:24">
      <c r="A14328">
        <f>HYPERLINK("https://www.philgeps.gov.ph/GEPSNONPILOT/Tender/SplashBidNoticeAbstractUI.aspx?menuIndex=3&amp;refID=6862248&amp;Result=3","6862248")</f>
        <v>0</v>
      </c>
      <c r="B14328" t="s">
        <v>2245</v>
      </c>
      <c r="C14328" t="s">
        <v>17143</v>
      </c>
      <c r="D14328" t="s">
        <v>17415</v>
      </c>
      <c r="E14328" t="s">
        <v>29798</v>
      </c>
      <c r="F14328" t="s">
        <v>30052</v>
      </c>
      <c r="G14328" t="s">
        <v>30058</v>
      </c>
      <c r="H14328" t="s">
        <v>30067</v>
      </c>
      <c r="I14328" t="s">
        <v>3693</v>
      </c>
      <c r="J14328" t="s">
        <v>38861</v>
      </c>
      <c r="K14328" t="s">
        <v>39026</v>
      </c>
      <c r="M14328" t="s">
        <v>41723</v>
      </c>
      <c r="N14328" t="s">
        <v>43166</v>
      </c>
      <c r="O14328" t="s">
        <v>43167</v>
      </c>
      <c r="Q14328">
        <v>111</v>
      </c>
      <c r="R14328" t="s">
        <v>43252</v>
      </c>
      <c r="S14328" t="s">
        <v>44550</v>
      </c>
      <c r="T14328" t="s">
        <v>44791</v>
      </c>
      <c r="U14328" t="s">
        <v>56594</v>
      </c>
      <c r="W14328" t="s">
        <v>41723</v>
      </c>
      <c r="X14328" t="s">
        <v>58746</v>
      </c>
    </row>
    <row r="14329" spans="1:24">
      <c r="A14329">
        <f>HYPERLINK("https://www.philgeps.gov.ph/GEPSNONPILOT/Tender/SplashBidNoticeAbstractUI.aspx?menuIndex=3&amp;refID=6865257&amp;Result=3","6865257")</f>
        <v>0</v>
      </c>
      <c r="B14329" t="s">
        <v>924</v>
      </c>
      <c r="C14329" t="s">
        <v>17144</v>
      </c>
      <c r="E14329" t="s">
        <v>29799</v>
      </c>
      <c r="F14329" t="s">
        <v>30052</v>
      </c>
      <c r="G14329" t="s">
        <v>30058</v>
      </c>
      <c r="H14329" t="s">
        <v>30067</v>
      </c>
      <c r="I14329" t="s">
        <v>3693</v>
      </c>
      <c r="J14329" t="s">
        <v>38862</v>
      </c>
      <c r="K14329" t="s">
        <v>39025</v>
      </c>
      <c r="M14329" t="s">
        <v>40247</v>
      </c>
      <c r="N14329" t="s">
        <v>43166</v>
      </c>
      <c r="O14329" t="s">
        <v>43167</v>
      </c>
      <c r="Q14329">
        <v>84</v>
      </c>
      <c r="R14329" t="s">
        <v>43253</v>
      </c>
      <c r="S14329" t="s">
        <v>44551</v>
      </c>
      <c r="T14329" t="s">
        <v>44842</v>
      </c>
      <c r="U14329" t="s">
        <v>47052</v>
      </c>
      <c r="W14329" t="s">
        <v>58617</v>
      </c>
      <c r="X14329" t="s">
        <v>43252</v>
      </c>
    </row>
    <row r="14330" spans="1:24">
      <c r="A14330">
        <f>HYPERLINK("https://www.philgeps.gov.ph/GEPSNONPILOT/Tender/SplashBidNoticeAbstractUI.aspx?menuIndex=3&amp;refID=6862360&amp;Result=3","6862360")</f>
        <v>0</v>
      </c>
      <c r="B14330" t="s">
        <v>2245</v>
      </c>
      <c r="C14330" t="s">
        <v>17145</v>
      </c>
      <c r="D14330" t="s">
        <v>17415</v>
      </c>
      <c r="E14330" t="s">
        <v>29800</v>
      </c>
      <c r="F14330" t="s">
        <v>30052</v>
      </c>
      <c r="G14330" t="s">
        <v>30058</v>
      </c>
      <c r="H14330" t="s">
        <v>30067</v>
      </c>
      <c r="I14330" t="s">
        <v>3693</v>
      </c>
      <c r="J14330" t="s">
        <v>38863</v>
      </c>
      <c r="K14330" t="s">
        <v>39033</v>
      </c>
      <c r="M14330" t="s">
        <v>41723</v>
      </c>
      <c r="N14330" t="s">
        <v>43166</v>
      </c>
      <c r="O14330" t="s">
        <v>43167</v>
      </c>
      <c r="Q14330">
        <v>129</v>
      </c>
      <c r="R14330" t="s">
        <v>43252</v>
      </c>
      <c r="S14330" t="s">
        <v>44552</v>
      </c>
      <c r="T14330" t="s">
        <v>44791</v>
      </c>
      <c r="U14330" t="s">
        <v>56595</v>
      </c>
      <c r="W14330" t="s">
        <v>41723</v>
      </c>
      <c r="X14330" t="s">
        <v>58746</v>
      </c>
    </row>
    <row r="14331" spans="1:24">
      <c r="A14331">
        <f>HYPERLINK("https://www.philgeps.gov.ph/GEPSNONPILOT/Tender/SplashBidNoticeAbstractUI.aspx?menuIndex=3&amp;refID=6864471&amp;Result=3","6864471")</f>
        <v>0</v>
      </c>
      <c r="B14331" t="s">
        <v>501</v>
      </c>
      <c r="C14331" t="s">
        <v>17146</v>
      </c>
      <c r="E14331" t="s">
        <v>29801</v>
      </c>
      <c r="F14331" t="s">
        <v>30052</v>
      </c>
      <c r="G14331" t="s">
        <v>30058</v>
      </c>
      <c r="H14331" t="s">
        <v>30067</v>
      </c>
      <c r="I14331" t="s">
        <v>3693</v>
      </c>
      <c r="J14331" t="s">
        <v>38864</v>
      </c>
      <c r="K14331" t="s">
        <v>39025</v>
      </c>
      <c r="M14331" t="s">
        <v>40997</v>
      </c>
      <c r="N14331" t="s">
        <v>43166</v>
      </c>
      <c r="O14331" t="s">
        <v>43167</v>
      </c>
      <c r="Q14331">
        <v>16</v>
      </c>
      <c r="R14331" t="s">
        <v>43253</v>
      </c>
      <c r="S14331" t="s">
        <v>44553</v>
      </c>
      <c r="T14331" t="s">
        <v>44794</v>
      </c>
      <c r="U14331" t="s">
        <v>56596</v>
      </c>
      <c r="W14331" t="s">
        <v>39802</v>
      </c>
      <c r="X14331" t="s">
        <v>43252</v>
      </c>
    </row>
    <row r="14332" spans="1:24">
      <c r="A14332">
        <f>HYPERLINK("https://www.philgeps.gov.ph/GEPSNONPILOT/Tender/SplashBidNoticeAbstractUI.aspx?menuIndex=3&amp;refID=6862314&amp;Result=3","6862314")</f>
        <v>0</v>
      </c>
      <c r="B14332" t="s">
        <v>2245</v>
      </c>
      <c r="C14332" t="s">
        <v>17147</v>
      </c>
      <c r="D14332" t="s">
        <v>17415</v>
      </c>
      <c r="E14332" t="s">
        <v>29802</v>
      </c>
      <c r="F14332" t="s">
        <v>30052</v>
      </c>
      <c r="G14332" t="s">
        <v>30058</v>
      </c>
      <c r="H14332" t="s">
        <v>30067</v>
      </c>
      <c r="I14332" t="s">
        <v>3693</v>
      </c>
      <c r="J14332" t="s">
        <v>38865</v>
      </c>
      <c r="K14332" t="s">
        <v>39033</v>
      </c>
      <c r="M14332" t="s">
        <v>41723</v>
      </c>
      <c r="N14332" t="s">
        <v>43166</v>
      </c>
      <c r="O14332" t="s">
        <v>43167</v>
      </c>
      <c r="Q14332">
        <v>117</v>
      </c>
      <c r="R14332" t="s">
        <v>43252</v>
      </c>
      <c r="S14332" t="s">
        <v>44554</v>
      </c>
      <c r="T14332" t="s">
        <v>44791</v>
      </c>
      <c r="U14332" t="s">
        <v>56597</v>
      </c>
      <c r="W14332" t="s">
        <v>41723</v>
      </c>
      <c r="X14332" t="s">
        <v>58746</v>
      </c>
    </row>
    <row r="14333" spans="1:24">
      <c r="A14333">
        <f>HYPERLINK("https://www.philgeps.gov.ph/GEPSNONPILOT/Tender/SplashBidNoticeAbstractUI.aspx?menuIndex=3&amp;refID=6863861&amp;Result=3","6863861")</f>
        <v>0</v>
      </c>
      <c r="B14333" t="s">
        <v>3434</v>
      </c>
      <c r="C14333" t="s">
        <v>17148</v>
      </c>
      <c r="D14333" t="s">
        <v>17475</v>
      </c>
      <c r="E14333" t="s">
        <v>29803</v>
      </c>
      <c r="F14333" t="s">
        <v>30052</v>
      </c>
      <c r="G14333" t="s">
        <v>30058</v>
      </c>
      <c r="H14333" t="s">
        <v>30067</v>
      </c>
      <c r="I14333" t="s">
        <v>3693</v>
      </c>
      <c r="J14333" t="s">
        <v>38866</v>
      </c>
      <c r="K14333" t="s">
        <v>39026</v>
      </c>
      <c r="M14333" t="s">
        <v>43129</v>
      </c>
      <c r="N14333" t="s">
        <v>43166</v>
      </c>
      <c r="O14333" t="s">
        <v>43167</v>
      </c>
      <c r="Q14333">
        <v>5</v>
      </c>
      <c r="R14333" t="s">
        <v>43253</v>
      </c>
      <c r="S14333" t="s">
        <v>44555</v>
      </c>
      <c r="T14333" t="s">
        <v>45206</v>
      </c>
      <c r="U14333" t="s">
        <v>56598</v>
      </c>
      <c r="W14333" t="s">
        <v>43129</v>
      </c>
      <c r="X14333" t="s">
        <v>43252</v>
      </c>
    </row>
    <row r="14334" spans="1:24">
      <c r="A14334">
        <f>HYPERLINK("https://www.philgeps.gov.ph/GEPSNONPILOT/Tender/SplashBidNoticeAbstractUI.aspx?menuIndex=3&amp;refID=6864422&amp;Result=3","6864422")</f>
        <v>0</v>
      </c>
      <c r="B14334" t="s">
        <v>501</v>
      </c>
      <c r="C14334" t="s">
        <v>17149</v>
      </c>
      <c r="E14334" t="s">
        <v>29804</v>
      </c>
      <c r="F14334" t="s">
        <v>30052</v>
      </c>
      <c r="G14334" t="s">
        <v>30058</v>
      </c>
      <c r="H14334" t="s">
        <v>30067</v>
      </c>
      <c r="I14334" t="s">
        <v>3693</v>
      </c>
      <c r="J14334" t="s">
        <v>38867</v>
      </c>
      <c r="K14334" t="s">
        <v>39025</v>
      </c>
      <c r="M14334" t="s">
        <v>41517</v>
      </c>
      <c r="N14334" t="s">
        <v>43166</v>
      </c>
      <c r="O14334" t="s">
        <v>43167</v>
      </c>
      <c r="Q14334">
        <v>26</v>
      </c>
      <c r="R14334" t="s">
        <v>43253</v>
      </c>
      <c r="S14334" t="s">
        <v>44556</v>
      </c>
      <c r="T14334" t="s">
        <v>44794</v>
      </c>
      <c r="U14334" t="s">
        <v>56599</v>
      </c>
      <c r="W14334" t="s">
        <v>39802</v>
      </c>
      <c r="X14334" t="s">
        <v>43252</v>
      </c>
    </row>
    <row r="14335" spans="1:24">
      <c r="A14335">
        <f>HYPERLINK("https://www.philgeps.gov.ph/GEPSNONPILOT/Tender/SplashBidNoticeAbstractUI.aspx?menuIndex=3&amp;refID=6862235&amp;Result=3","6862235")</f>
        <v>0</v>
      </c>
      <c r="B14335" t="s">
        <v>2245</v>
      </c>
      <c r="C14335" t="s">
        <v>17150</v>
      </c>
      <c r="D14335" t="s">
        <v>17415</v>
      </c>
      <c r="E14335" t="s">
        <v>29805</v>
      </c>
      <c r="F14335" t="s">
        <v>30052</v>
      </c>
      <c r="G14335" t="s">
        <v>30058</v>
      </c>
      <c r="H14335" t="s">
        <v>30067</v>
      </c>
      <c r="I14335" t="s">
        <v>3693</v>
      </c>
      <c r="J14335" t="s">
        <v>38868</v>
      </c>
      <c r="K14335" t="s">
        <v>39023</v>
      </c>
      <c r="M14335" t="s">
        <v>41723</v>
      </c>
      <c r="N14335" t="s">
        <v>43166</v>
      </c>
      <c r="O14335" t="s">
        <v>43167</v>
      </c>
      <c r="Q14335">
        <v>86</v>
      </c>
      <c r="R14335" t="s">
        <v>43252</v>
      </c>
      <c r="S14335" t="s">
        <v>44557</v>
      </c>
      <c r="T14335" t="s">
        <v>44791</v>
      </c>
      <c r="U14335" t="s">
        <v>56600</v>
      </c>
      <c r="W14335" t="s">
        <v>41723</v>
      </c>
      <c r="X14335" t="s">
        <v>58746</v>
      </c>
    </row>
    <row r="14336" spans="1:24">
      <c r="A14336">
        <f>HYPERLINK("https://www.philgeps.gov.ph/GEPSNONPILOT/Tender/SplashBidNoticeAbstractUI.aspx?menuIndex=3&amp;refID=6867260&amp;Result=3","6867260")</f>
        <v>0</v>
      </c>
      <c r="B14336" t="s">
        <v>1925</v>
      </c>
      <c r="C14336" t="s">
        <v>17151</v>
      </c>
      <c r="D14336" t="s">
        <v>17462</v>
      </c>
      <c r="E14336" t="s">
        <v>29806</v>
      </c>
      <c r="F14336" t="s">
        <v>30052</v>
      </c>
      <c r="G14336" t="s">
        <v>30058</v>
      </c>
      <c r="H14336" t="s">
        <v>15498</v>
      </c>
      <c r="I14336" t="s">
        <v>30074</v>
      </c>
      <c r="J14336" t="s">
        <v>38869</v>
      </c>
      <c r="K14336" t="s">
        <v>39029</v>
      </c>
      <c r="M14336" t="s">
        <v>43107</v>
      </c>
      <c r="N14336" t="s">
        <v>43166</v>
      </c>
      <c r="O14336" t="s">
        <v>43167</v>
      </c>
      <c r="Q14336">
        <v>9</v>
      </c>
      <c r="R14336" t="s">
        <v>43254</v>
      </c>
      <c r="S14336" t="s">
        <v>44558</v>
      </c>
      <c r="T14336" t="s">
        <v>45018</v>
      </c>
      <c r="U14336" t="s">
        <v>56601</v>
      </c>
      <c r="W14336" t="s">
        <v>43107</v>
      </c>
      <c r="X14336" t="s">
        <v>43255</v>
      </c>
    </row>
    <row r="14337" spans="1:24">
      <c r="A14337">
        <f>HYPERLINK("https://www.philgeps.gov.ph/GEPSNONPILOT/Tender/SplashBidNoticeAbstractUI.aspx?menuIndex=3&amp;refID=6880085&amp;Result=3","6880085")</f>
        <v>0</v>
      </c>
      <c r="B14337" t="s">
        <v>3433</v>
      </c>
      <c r="C14337" t="s">
        <v>17152</v>
      </c>
      <c r="D14337" t="s">
        <v>17445</v>
      </c>
      <c r="E14337" t="s">
        <v>29807</v>
      </c>
      <c r="F14337" t="s">
        <v>30052</v>
      </c>
      <c r="G14337" t="s">
        <v>30058</v>
      </c>
      <c r="H14337" t="s">
        <v>15498</v>
      </c>
      <c r="I14337" t="s">
        <v>9238</v>
      </c>
      <c r="J14337" t="s">
        <v>33473</v>
      </c>
      <c r="K14337" t="s">
        <v>39034</v>
      </c>
      <c r="M14337" t="s">
        <v>43126</v>
      </c>
      <c r="N14337" t="s">
        <v>43166</v>
      </c>
      <c r="O14337" t="s">
        <v>43167</v>
      </c>
      <c r="Q14337">
        <v>14</v>
      </c>
      <c r="R14337" t="s">
        <v>43248</v>
      </c>
      <c r="S14337" t="s">
        <v>44559</v>
      </c>
      <c r="T14337" t="s">
        <v>45205</v>
      </c>
      <c r="U14337" t="s">
        <v>56580</v>
      </c>
      <c r="V14337" t="s">
        <v>57637</v>
      </c>
      <c r="W14337" t="s">
        <v>43126</v>
      </c>
      <c r="X14337" t="s">
        <v>43247</v>
      </c>
    </row>
    <row r="14338" spans="1:24">
      <c r="A14338">
        <f>HYPERLINK("https://www.philgeps.gov.ph/GEPSNONPILOT/Tender/SplashBidNoticeAbstractUI.aspx?menuIndex=3&amp;refID=6862335&amp;Result=3","6862335")</f>
        <v>0</v>
      </c>
      <c r="B14338" t="s">
        <v>2245</v>
      </c>
      <c r="C14338" t="s">
        <v>17153</v>
      </c>
      <c r="D14338" t="s">
        <v>17415</v>
      </c>
      <c r="E14338" t="s">
        <v>29808</v>
      </c>
      <c r="F14338" t="s">
        <v>30052</v>
      </c>
      <c r="G14338" t="s">
        <v>30058</v>
      </c>
      <c r="H14338" t="s">
        <v>30067</v>
      </c>
      <c r="I14338" t="s">
        <v>3693</v>
      </c>
      <c r="J14338" t="s">
        <v>38870</v>
      </c>
      <c r="K14338" t="s">
        <v>39057</v>
      </c>
      <c r="M14338" t="s">
        <v>41723</v>
      </c>
      <c r="N14338" t="s">
        <v>43166</v>
      </c>
      <c r="O14338" t="s">
        <v>43167</v>
      </c>
      <c r="Q14338">
        <v>117</v>
      </c>
      <c r="R14338" t="s">
        <v>43252</v>
      </c>
      <c r="S14338" t="s">
        <v>44560</v>
      </c>
      <c r="T14338" t="s">
        <v>44791</v>
      </c>
      <c r="U14338" t="s">
        <v>56602</v>
      </c>
      <c r="W14338" t="s">
        <v>41723</v>
      </c>
      <c r="X14338" t="s">
        <v>58746</v>
      </c>
    </row>
    <row r="14339" spans="1:24">
      <c r="A14339">
        <f>HYPERLINK("https://www.philgeps.gov.ph/GEPSNONPILOT/Tender/SplashBidNoticeAbstractUI.aspx?menuIndex=3&amp;refID=6879126&amp;Result=3","6879126")</f>
        <v>0</v>
      </c>
      <c r="B14339" t="s">
        <v>3412</v>
      </c>
      <c r="C14339" t="s">
        <v>17154</v>
      </c>
      <c r="D14339" t="s">
        <v>17445</v>
      </c>
      <c r="E14339" t="s">
        <v>29809</v>
      </c>
      <c r="F14339" t="s">
        <v>30052</v>
      </c>
      <c r="G14339" t="s">
        <v>30058</v>
      </c>
      <c r="H14339" t="s">
        <v>30067</v>
      </c>
      <c r="I14339" t="s">
        <v>3693</v>
      </c>
      <c r="J14339" t="s">
        <v>31185</v>
      </c>
      <c r="K14339" t="s">
        <v>39031</v>
      </c>
      <c r="M14339" t="s">
        <v>43082</v>
      </c>
      <c r="N14339" t="s">
        <v>43166</v>
      </c>
      <c r="O14339" t="s">
        <v>43167</v>
      </c>
      <c r="Q14339">
        <v>2</v>
      </c>
      <c r="R14339" t="s">
        <v>43248</v>
      </c>
      <c r="S14339" t="s">
        <v>43351</v>
      </c>
      <c r="T14339" t="s">
        <v>45203</v>
      </c>
      <c r="U14339" t="s">
        <v>56603</v>
      </c>
      <c r="V14339" t="s">
        <v>58559</v>
      </c>
      <c r="W14339" t="s">
        <v>43082</v>
      </c>
      <c r="X14339" t="s">
        <v>43247</v>
      </c>
    </row>
    <row r="14340" spans="1:24">
      <c r="A14340">
        <f>HYPERLINK("https://www.philgeps.gov.ph/GEPSNONPILOT/Tender/SplashBidNoticeAbstractUI.aspx?menuIndex=3&amp;refID=6920647&amp;Result=3","6920647")</f>
        <v>0</v>
      </c>
      <c r="B14340" t="s">
        <v>368</v>
      </c>
      <c r="C14340" t="s">
        <v>17155</v>
      </c>
      <c r="D14340" t="s">
        <v>17448</v>
      </c>
      <c r="E14340" t="s">
        <v>29810</v>
      </c>
      <c r="F14340" t="s">
        <v>30052</v>
      </c>
      <c r="G14340" t="s">
        <v>30058</v>
      </c>
      <c r="H14340" t="s">
        <v>30067</v>
      </c>
      <c r="I14340" t="s">
        <v>3693</v>
      </c>
      <c r="J14340" t="s">
        <v>38871</v>
      </c>
      <c r="K14340" t="s">
        <v>39026</v>
      </c>
      <c r="M14340" t="s">
        <v>39666</v>
      </c>
      <c r="N14340" t="s">
        <v>43166</v>
      </c>
      <c r="O14340" t="s">
        <v>43167</v>
      </c>
      <c r="Q14340">
        <v>1</v>
      </c>
      <c r="R14340" t="s">
        <v>43235</v>
      </c>
      <c r="S14340" t="s">
        <v>44561</v>
      </c>
      <c r="T14340" t="s">
        <v>44788</v>
      </c>
      <c r="U14340" t="s">
        <v>56604</v>
      </c>
      <c r="V14340" t="s">
        <v>58560</v>
      </c>
      <c r="W14340" t="s">
        <v>39666</v>
      </c>
      <c r="X14340" t="s">
        <v>19213</v>
      </c>
    </row>
    <row r="14341" spans="1:24">
      <c r="A14341">
        <f>HYPERLINK("https://www.philgeps.gov.ph/GEPSNONPILOT/Tender/SplashBidNoticeAbstractUI.aspx?menuIndex=3&amp;refID=6863724&amp;Result=3","6863724")</f>
        <v>0</v>
      </c>
      <c r="B14341" t="s">
        <v>98</v>
      </c>
      <c r="C14341" t="s">
        <v>17156</v>
      </c>
      <c r="D14341" t="s">
        <v>17499</v>
      </c>
      <c r="E14341" t="s">
        <v>29811</v>
      </c>
      <c r="F14341" t="s">
        <v>30052</v>
      </c>
      <c r="G14341" t="s">
        <v>30063</v>
      </c>
      <c r="H14341" t="s">
        <v>30067</v>
      </c>
      <c r="I14341" t="s">
        <v>3693</v>
      </c>
      <c r="J14341" t="s">
        <v>30321</v>
      </c>
      <c r="K14341" t="s">
        <v>39025</v>
      </c>
      <c r="L14341" t="s">
        <v>98</v>
      </c>
      <c r="M14341" t="s">
        <v>40536</v>
      </c>
      <c r="N14341" t="s">
        <v>43166</v>
      </c>
      <c r="O14341" t="s">
        <v>43167</v>
      </c>
      <c r="Q14341">
        <v>8</v>
      </c>
      <c r="R14341" t="s">
        <v>43255</v>
      </c>
      <c r="S14341" t="s">
        <v>43768</v>
      </c>
      <c r="T14341" t="s">
        <v>44832</v>
      </c>
      <c r="U14341" t="s">
        <v>56605</v>
      </c>
      <c r="W14341" t="s">
        <v>40536</v>
      </c>
      <c r="X14341" t="s">
        <v>43252</v>
      </c>
    </row>
    <row r="14342" spans="1:24">
      <c r="A14342">
        <f>HYPERLINK("https://www.philgeps.gov.ph/GEPSNONPILOT/Tender/SplashBidNoticeAbstractUI.aspx?menuIndex=3&amp;refID=6920640&amp;Result=3","6920640")</f>
        <v>0</v>
      </c>
      <c r="B14342" t="s">
        <v>368</v>
      </c>
      <c r="C14342" t="s">
        <v>17157</v>
      </c>
      <c r="D14342" t="s">
        <v>17448</v>
      </c>
      <c r="E14342" t="s">
        <v>29812</v>
      </c>
      <c r="F14342" t="s">
        <v>30052</v>
      </c>
      <c r="G14342" t="s">
        <v>30058</v>
      </c>
      <c r="H14342" t="s">
        <v>30067</v>
      </c>
      <c r="I14342" t="s">
        <v>3693</v>
      </c>
      <c r="J14342" t="s">
        <v>33190</v>
      </c>
      <c r="K14342" t="s">
        <v>39065</v>
      </c>
      <c r="M14342" t="s">
        <v>39666</v>
      </c>
      <c r="N14342" t="s">
        <v>43166</v>
      </c>
      <c r="O14342" t="s">
        <v>43167</v>
      </c>
      <c r="Q14342">
        <v>1</v>
      </c>
      <c r="R14342" t="s">
        <v>43235</v>
      </c>
      <c r="S14342" t="s">
        <v>44562</v>
      </c>
      <c r="T14342" t="s">
        <v>44788</v>
      </c>
      <c r="U14342" t="s">
        <v>56606</v>
      </c>
      <c r="V14342" t="s">
        <v>58561</v>
      </c>
      <c r="W14342" t="s">
        <v>39666</v>
      </c>
      <c r="X14342" t="s">
        <v>19213</v>
      </c>
    </row>
    <row r="14343" spans="1:24">
      <c r="A14343">
        <f>HYPERLINK("https://www.philgeps.gov.ph/GEPSNONPILOT/Tender/SplashBidNoticeAbstractUI.aspx?menuIndex=3&amp;refID=6867329&amp;Result=3","6867329")</f>
        <v>0</v>
      </c>
      <c r="B14343" t="s">
        <v>1925</v>
      </c>
      <c r="C14343" t="s">
        <v>17158</v>
      </c>
      <c r="D14343" t="s">
        <v>17462</v>
      </c>
      <c r="E14343" t="s">
        <v>29813</v>
      </c>
      <c r="F14343" t="s">
        <v>30052</v>
      </c>
      <c r="G14343" t="s">
        <v>30058</v>
      </c>
      <c r="H14343" t="s">
        <v>15498</v>
      </c>
      <c r="I14343" t="s">
        <v>30074</v>
      </c>
      <c r="J14343" t="s">
        <v>33111</v>
      </c>
      <c r="K14343" t="s">
        <v>39029</v>
      </c>
      <c r="M14343" t="s">
        <v>43107</v>
      </c>
      <c r="N14343" t="s">
        <v>43166</v>
      </c>
      <c r="O14343" t="s">
        <v>43167</v>
      </c>
      <c r="Q14343">
        <v>9</v>
      </c>
      <c r="R14343" t="s">
        <v>43254</v>
      </c>
      <c r="S14343" t="s">
        <v>43813</v>
      </c>
      <c r="T14343" t="s">
        <v>45207</v>
      </c>
      <c r="U14343" t="s">
        <v>56607</v>
      </c>
      <c r="W14343" t="s">
        <v>43107</v>
      </c>
      <c r="X14343" t="s">
        <v>43255</v>
      </c>
    </row>
    <row r="14344" spans="1:24">
      <c r="A14344">
        <f>HYPERLINK("https://www.philgeps.gov.ph/GEPSNONPILOT/Tender/SplashBidNoticeAbstractUI.aspx?menuIndex=3&amp;refID=6920636&amp;Result=3","6920636")</f>
        <v>0</v>
      </c>
      <c r="B14344" t="s">
        <v>368</v>
      </c>
      <c r="C14344" t="s">
        <v>17159</v>
      </c>
      <c r="D14344" t="s">
        <v>17448</v>
      </c>
      <c r="E14344" t="s">
        <v>29814</v>
      </c>
      <c r="F14344" t="s">
        <v>30052</v>
      </c>
      <c r="G14344" t="s">
        <v>30058</v>
      </c>
      <c r="H14344" t="s">
        <v>30067</v>
      </c>
      <c r="I14344" t="s">
        <v>3693</v>
      </c>
      <c r="J14344" t="s">
        <v>30222</v>
      </c>
      <c r="K14344" t="s">
        <v>39065</v>
      </c>
      <c r="M14344" t="s">
        <v>39666</v>
      </c>
      <c r="N14344" t="s">
        <v>43166</v>
      </c>
      <c r="O14344" t="s">
        <v>43167</v>
      </c>
      <c r="Q14344">
        <v>1</v>
      </c>
      <c r="R14344" t="s">
        <v>43235</v>
      </c>
      <c r="S14344" t="s">
        <v>44562</v>
      </c>
      <c r="T14344" t="s">
        <v>44788</v>
      </c>
      <c r="U14344" t="s">
        <v>56608</v>
      </c>
      <c r="V14344" t="s">
        <v>58562</v>
      </c>
      <c r="W14344" t="s">
        <v>39666</v>
      </c>
      <c r="X14344" t="s">
        <v>19213</v>
      </c>
    </row>
    <row r="14345" spans="1:24">
      <c r="A14345">
        <f>HYPERLINK("https://www.philgeps.gov.ph/GEPSNONPILOT/Tender/SplashBidNoticeAbstractUI.aspx?menuIndex=3&amp;refID=6920265&amp;Result=3","6920265")</f>
        <v>0</v>
      </c>
      <c r="B14345" t="s">
        <v>390</v>
      </c>
      <c r="C14345" t="s">
        <v>17160</v>
      </c>
      <c r="D14345" t="s">
        <v>17415</v>
      </c>
      <c r="E14345" t="s">
        <v>29815</v>
      </c>
      <c r="F14345" t="s">
        <v>30052</v>
      </c>
      <c r="G14345" t="s">
        <v>30060</v>
      </c>
      <c r="H14345" t="s">
        <v>30069</v>
      </c>
      <c r="I14345" t="s">
        <v>30084</v>
      </c>
      <c r="J14345" t="s">
        <v>38872</v>
      </c>
      <c r="K14345" t="s">
        <v>39309</v>
      </c>
      <c r="M14345" t="s">
        <v>43130</v>
      </c>
      <c r="N14345" t="s">
        <v>43166</v>
      </c>
      <c r="O14345" t="s">
        <v>43167</v>
      </c>
      <c r="Q14345">
        <v>45</v>
      </c>
      <c r="R14345" t="s">
        <v>43235</v>
      </c>
      <c r="S14345" t="s">
        <v>44563</v>
      </c>
      <c r="T14345" t="s">
        <v>44737</v>
      </c>
      <c r="U14345" t="s">
        <v>56609</v>
      </c>
      <c r="W14345" t="s">
        <v>43130</v>
      </c>
      <c r="X14345" t="s">
        <v>43234</v>
      </c>
    </row>
    <row r="14346" spans="1:24">
      <c r="A14346">
        <f>HYPERLINK("https://www.philgeps.gov.ph/GEPSNONPILOT/Tender/SplashBidNoticeAbstractUI.aspx?menuIndex=3&amp;refID=6917955&amp;Result=3","6917955")</f>
        <v>0</v>
      </c>
      <c r="B14346" t="s">
        <v>1001</v>
      </c>
      <c r="C14346" t="s">
        <v>17161</v>
      </c>
      <c r="D14346" t="s">
        <v>17415</v>
      </c>
      <c r="E14346" t="s">
        <v>29816</v>
      </c>
      <c r="F14346" t="s">
        <v>30052</v>
      </c>
      <c r="G14346" t="s">
        <v>30058</v>
      </c>
      <c r="H14346" t="s">
        <v>15498</v>
      </c>
      <c r="I14346" t="s">
        <v>30129</v>
      </c>
      <c r="J14346" t="s">
        <v>30683</v>
      </c>
      <c r="K14346" t="s">
        <v>39067</v>
      </c>
      <c r="M14346" t="s">
        <v>43131</v>
      </c>
      <c r="N14346" t="s">
        <v>43166</v>
      </c>
      <c r="O14346" t="s">
        <v>43167</v>
      </c>
      <c r="Q14346">
        <v>9</v>
      </c>
      <c r="R14346" t="s">
        <v>43235</v>
      </c>
      <c r="S14346" t="s">
        <v>44564</v>
      </c>
      <c r="T14346" t="s">
        <v>44830</v>
      </c>
      <c r="U14346" t="s">
        <v>56610</v>
      </c>
      <c r="W14346" t="s">
        <v>43131</v>
      </c>
      <c r="X14346" t="s">
        <v>43234</v>
      </c>
    </row>
    <row r="14347" spans="1:24">
      <c r="A14347">
        <f>HYPERLINK("https://www.philgeps.gov.ph/GEPSNONPILOT/Tender/SplashBidNoticeAbstractUI.aspx?menuIndex=3&amp;refID=6855697&amp;Result=3","6855697")</f>
        <v>0</v>
      </c>
      <c r="B14347" t="s">
        <v>822</v>
      </c>
      <c r="C14347" t="s">
        <v>17162</v>
      </c>
      <c r="D14347" t="s">
        <v>17415</v>
      </c>
      <c r="E14347" t="s">
        <v>29817</v>
      </c>
      <c r="F14347" t="s">
        <v>30052</v>
      </c>
      <c r="G14347" t="s">
        <v>30059</v>
      </c>
      <c r="H14347" t="s">
        <v>15498</v>
      </c>
      <c r="I14347" t="s">
        <v>3852</v>
      </c>
      <c r="J14347" t="s">
        <v>38873</v>
      </c>
      <c r="K14347" t="s">
        <v>39029</v>
      </c>
      <c r="M14347" t="s">
        <v>43110</v>
      </c>
      <c r="N14347" t="s">
        <v>43166</v>
      </c>
      <c r="O14347" t="s">
        <v>43167</v>
      </c>
      <c r="Q14347">
        <v>3</v>
      </c>
      <c r="R14347" t="s">
        <v>43251</v>
      </c>
      <c r="S14347" t="s">
        <v>43597</v>
      </c>
      <c r="T14347" t="s">
        <v>44717</v>
      </c>
      <c r="U14347" t="s">
        <v>56611</v>
      </c>
      <c r="W14347" t="s">
        <v>43110</v>
      </c>
      <c r="X14347" t="s">
        <v>43249</v>
      </c>
    </row>
    <row r="14348" spans="1:24">
      <c r="A14348">
        <f>HYPERLINK("https://www.philgeps.gov.ph/GEPSNONPILOT/Tender/SplashBidNoticeAbstractUI.aspx?menuIndex=3&amp;refID=6883355&amp;Result=3","6883355")</f>
        <v>0</v>
      </c>
      <c r="B14348" t="s">
        <v>975</v>
      </c>
      <c r="C14348" t="s">
        <v>17163</v>
      </c>
      <c r="D14348" t="s">
        <v>17415</v>
      </c>
      <c r="E14348" t="s">
        <v>29818</v>
      </c>
      <c r="F14348" t="s">
        <v>30052</v>
      </c>
      <c r="G14348" t="s">
        <v>30058</v>
      </c>
      <c r="H14348" t="s">
        <v>15498</v>
      </c>
      <c r="I14348" t="s">
        <v>4650</v>
      </c>
      <c r="J14348" t="s">
        <v>38649</v>
      </c>
      <c r="K14348" t="s">
        <v>39046</v>
      </c>
      <c r="M14348" t="s">
        <v>40302</v>
      </c>
      <c r="N14348" t="s">
        <v>43166</v>
      </c>
      <c r="O14348" t="s">
        <v>43167</v>
      </c>
      <c r="Q14348">
        <v>30</v>
      </c>
      <c r="R14348" t="s">
        <v>43250</v>
      </c>
      <c r="S14348" t="s">
        <v>44565</v>
      </c>
      <c r="T14348" t="s">
        <v>44750</v>
      </c>
      <c r="U14348" t="s">
        <v>56612</v>
      </c>
      <c r="V14348" t="s">
        <v>58551</v>
      </c>
      <c r="W14348" t="s">
        <v>40302</v>
      </c>
      <c r="X14348" t="s">
        <v>43248</v>
      </c>
    </row>
    <row r="14349" spans="1:24">
      <c r="A14349">
        <f>HYPERLINK("https://www.philgeps.gov.ph/GEPSNONPILOT/Tender/SplashBidNoticeAbstractUI.aspx?menuIndex=3&amp;refID=6925779&amp;Result=3","6925779")</f>
        <v>0</v>
      </c>
      <c r="B14349" t="s">
        <v>964</v>
      </c>
      <c r="C14349" t="s">
        <v>17164</v>
      </c>
      <c r="D14349" t="s">
        <v>17415</v>
      </c>
      <c r="E14349" t="s">
        <v>29819</v>
      </c>
      <c r="F14349" t="s">
        <v>30052</v>
      </c>
      <c r="G14349" t="s">
        <v>30059</v>
      </c>
      <c r="H14349" t="s">
        <v>15498</v>
      </c>
      <c r="I14349" t="s">
        <v>30084</v>
      </c>
      <c r="J14349" t="s">
        <v>38874</v>
      </c>
      <c r="K14349" t="s">
        <v>39019</v>
      </c>
      <c r="M14349" t="s">
        <v>40290</v>
      </c>
      <c r="N14349" t="s">
        <v>43166</v>
      </c>
      <c r="O14349" t="s">
        <v>43167</v>
      </c>
      <c r="Q14349">
        <v>10</v>
      </c>
      <c r="R14349" t="s">
        <v>43233</v>
      </c>
      <c r="S14349" t="s">
        <v>44566</v>
      </c>
      <c r="T14349" t="s">
        <v>44841</v>
      </c>
      <c r="U14349" t="s">
        <v>56613</v>
      </c>
      <c r="V14349" t="s">
        <v>58563</v>
      </c>
      <c r="W14349" t="s">
        <v>40290</v>
      </c>
      <c r="X14349" t="s">
        <v>43232</v>
      </c>
    </row>
    <row r="14350" spans="1:24">
      <c r="A14350">
        <f>HYPERLINK("https://www.philgeps.gov.ph/GEPSNONPILOT/Tender/SplashBidNoticeAbstractUI.aspx?menuIndex=3&amp;refID=6934879&amp;Result=3","6934879")</f>
        <v>0</v>
      </c>
      <c r="B14350" t="s">
        <v>623</v>
      </c>
      <c r="C14350" t="s">
        <v>17165</v>
      </c>
      <c r="D14350" t="s">
        <v>17449</v>
      </c>
      <c r="E14350" t="s">
        <v>29820</v>
      </c>
      <c r="F14350" t="s">
        <v>30052</v>
      </c>
      <c r="G14350" t="s">
        <v>30058</v>
      </c>
      <c r="H14350" t="s">
        <v>30067</v>
      </c>
      <c r="I14350" t="s">
        <v>3693</v>
      </c>
      <c r="J14350" t="s">
        <v>30645</v>
      </c>
      <c r="K14350" t="s">
        <v>39026</v>
      </c>
      <c r="M14350" t="s">
        <v>40445</v>
      </c>
      <c r="N14350" t="s">
        <v>43166</v>
      </c>
      <c r="O14350" t="s">
        <v>43167</v>
      </c>
      <c r="Q14350">
        <v>0</v>
      </c>
      <c r="R14350" t="s">
        <v>43229</v>
      </c>
      <c r="S14350" t="s">
        <v>44567</v>
      </c>
      <c r="T14350" t="s">
        <v>44822</v>
      </c>
      <c r="U14350" t="s">
        <v>56614</v>
      </c>
      <c r="W14350" t="s">
        <v>40445</v>
      </c>
      <c r="X14350" t="s">
        <v>43231</v>
      </c>
    </row>
    <row r="14351" spans="1:24">
      <c r="A14351">
        <f>HYPERLINK("https://www.philgeps.gov.ph/GEPSNONPILOT/Tender/SplashBidNoticeAbstractUI.aspx?menuIndex=3&amp;refID=6925358&amp;Result=3","6925358")</f>
        <v>0</v>
      </c>
      <c r="B14351" t="s">
        <v>964</v>
      </c>
      <c r="C14351" t="s">
        <v>17166</v>
      </c>
      <c r="D14351" t="s">
        <v>17415</v>
      </c>
      <c r="E14351" t="s">
        <v>29821</v>
      </c>
      <c r="F14351" t="s">
        <v>30052</v>
      </c>
      <c r="G14351" t="s">
        <v>30061</v>
      </c>
      <c r="H14351" t="s">
        <v>15498</v>
      </c>
      <c r="I14351" t="s">
        <v>3852</v>
      </c>
      <c r="J14351" t="s">
        <v>30733</v>
      </c>
      <c r="K14351" t="s">
        <v>39025</v>
      </c>
      <c r="M14351" t="s">
        <v>40290</v>
      </c>
      <c r="N14351" t="s">
        <v>43166</v>
      </c>
      <c r="O14351" t="s">
        <v>43167</v>
      </c>
      <c r="Q14351">
        <v>5</v>
      </c>
      <c r="R14351" t="s">
        <v>43233</v>
      </c>
      <c r="S14351" t="s">
        <v>44568</v>
      </c>
      <c r="T14351" t="s">
        <v>44714</v>
      </c>
      <c r="U14351" t="s">
        <v>56615</v>
      </c>
      <c r="V14351" t="s">
        <v>58564</v>
      </c>
      <c r="W14351" t="s">
        <v>40290</v>
      </c>
      <c r="X14351" t="s">
        <v>43232</v>
      </c>
    </row>
    <row r="14352" spans="1:24">
      <c r="A14352">
        <f>HYPERLINK("https://www.philgeps.gov.ph/GEPSNONPILOT/Tender/SplashBidNoticeAbstractUI.aspx?menuIndex=3&amp;refID=6935854&amp;Result=3","6935854")</f>
        <v>0</v>
      </c>
      <c r="B14352" t="s">
        <v>3435</v>
      </c>
      <c r="C14352" t="s">
        <v>17167</v>
      </c>
      <c r="D14352" t="s">
        <v>17471</v>
      </c>
      <c r="E14352" t="s">
        <v>29822</v>
      </c>
      <c r="F14352" t="s">
        <v>30052</v>
      </c>
      <c r="G14352" t="s">
        <v>30058</v>
      </c>
      <c r="H14352" t="s">
        <v>30068</v>
      </c>
      <c r="I14352" t="s">
        <v>30068</v>
      </c>
      <c r="J14352" t="s">
        <v>30557</v>
      </c>
      <c r="K14352" t="s">
        <v>39026</v>
      </c>
      <c r="M14352" t="s">
        <v>43132</v>
      </c>
      <c r="N14352" t="s">
        <v>43166</v>
      </c>
      <c r="O14352" t="s">
        <v>43167</v>
      </c>
      <c r="Q14352">
        <v>10</v>
      </c>
      <c r="R14352" t="s">
        <v>43230</v>
      </c>
      <c r="S14352" t="s">
        <v>44569</v>
      </c>
      <c r="T14352" t="s">
        <v>45208</v>
      </c>
      <c r="U14352" t="s">
        <v>56616</v>
      </c>
      <c r="V14352" t="s">
        <v>58565</v>
      </c>
      <c r="W14352" t="s">
        <v>43132</v>
      </c>
      <c r="X14352" t="s">
        <v>43231</v>
      </c>
    </row>
    <row r="14353" spans="1:24">
      <c r="A14353">
        <f>HYPERLINK("https://www.philgeps.gov.ph/GEPSNONPILOT/Tender/SplashBidNoticeAbstractUI.aspx?menuIndex=3&amp;refID=6904841&amp;Result=3","6904841")</f>
        <v>0</v>
      </c>
      <c r="B14353" t="s">
        <v>785</v>
      </c>
      <c r="C14353" t="s">
        <v>17168</v>
      </c>
      <c r="D14353" t="s">
        <v>17415</v>
      </c>
      <c r="E14353" t="s">
        <v>29823</v>
      </c>
      <c r="F14353" t="s">
        <v>30052</v>
      </c>
      <c r="G14353" t="s">
        <v>30058</v>
      </c>
      <c r="H14353" t="s">
        <v>15498</v>
      </c>
      <c r="I14353" t="s">
        <v>30076</v>
      </c>
      <c r="J14353" t="s">
        <v>38875</v>
      </c>
      <c r="K14353" t="s">
        <v>39067</v>
      </c>
      <c r="M14353" t="s">
        <v>43133</v>
      </c>
      <c r="N14353" t="s">
        <v>43166</v>
      </c>
      <c r="O14353" t="s">
        <v>43167</v>
      </c>
      <c r="Q14353">
        <v>8</v>
      </c>
      <c r="R14353" t="s">
        <v>43235</v>
      </c>
      <c r="S14353" t="s">
        <v>44570</v>
      </c>
      <c r="T14353" t="s">
        <v>44699</v>
      </c>
      <c r="U14353" t="s">
        <v>56617</v>
      </c>
      <c r="V14353" t="s">
        <v>58566</v>
      </c>
      <c r="W14353" t="s">
        <v>43133</v>
      </c>
      <c r="X14353" t="s">
        <v>43237</v>
      </c>
    </row>
    <row r="14354" spans="1:24">
      <c r="A14354">
        <f>HYPERLINK("https://www.philgeps.gov.ph/GEPSNONPILOT/Tender/SplashBidNoticeAbstractUI.aspx?menuIndex=3&amp;refID=6925795&amp;Result=3","6925795")</f>
        <v>0</v>
      </c>
      <c r="B14354" t="s">
        <v>1925</v>
      </c>
      <c r="C14354" t="s">
        <v>17169</v>
      </c>
      <c r="D14354" t="s">
        <v>17462</v>
      </c>
      <c r="E14354" t="s">
        <v>29824</v>
      </c>
      <c r="F14354" t="s">
        <v>30052</v>
      </c>
      <c r="G14354" t="s">
        <v>30060</v>
      </c>
      <c r="H14354" t="s">
        <v>30067</v>
      </c>
      <c r="I14354" t="s">
        <v>30093</v>
      </c>
      <c r="J14354" t="s">
        <v>32253</v>
      </c>
      <c r="K14354" t="s">
        <v>39023</v>
      </c>
      <c r="M14354" t="s">
        <v>43107</v>
      </c>
      <c r="N14354" t="s">
        <v>43166</v>
      </c>
      <c r="O14354" t="s">
        <v>43167</v>
      </c>
      <c r="Q14354">
        <v>2</v>
      </c>
      <c r="R14354" t="s">
        <v>43233</v>
      </c>
      <c r="S14354" t="s">
        <v>44105</v>
      </c>
      <c r="T14354" t="s">
        <v>44753</v>
      </c>
      <c r="U14354" t="s">
        <v>56618</v>
      </c>
      <c r="W14354" t="s">
        <v>43107</v>
      </c>
      <c r="X14354" t="s">
        <v>43232</v>
      </c>
    </row>
    <row r="14355" spans="1:24">
      <c r="A14355">
        <f>HYPERLINK("https://www.philgeps.gov.ph/GEPSNONPILOT/Tender/SplashBidNoticeAbstractUI.aspx?menuIndex=3&amp;refID=6938754&amp;Result=3","6938754")</f>
        <v>0</v>
      </c>
      <c r="B14355" t="s">
        <v>138</v>
      </c>
      <c r="C14355" t="s">
        <v>17170</v>
      </c>
      <c r="D14355" t="s">
        <v>17422</v>
      </c>
      <c r="E14355" t="s">
        <v>29825</v>
      </c>
      <c r="F14355" t="s">
        <v>30052</v>
      </c>
      <c r="G14355" t="s">
        <v>30059</v>
      </c>
      <c r="H14355" t="s">
        <v>15498</v>
      </c>
      <c r="I14355" t="s">
        <v>30096</v>
      </c>
      <c r="J14355" t="s">
        <v>30277</v>
      </c>
      <c r="K14355" t="s">
        <v>39019</v>
      </c>
      <c r="M14355" t="s">
        <v>39427</v>
      </c>
      <c r="N14355" t="s">
        <v>43166</v>
      </c>
      <c r="O14355" t="s">
        <v>43167</v>
      </c>
      <c r="Q14355">
        <v>4</v>
      </c>
      <c r="R14355" t="s">
        <v>43256</v>
      </c>
      <c r="S14355" t="s">
        <v>44571</v>
      </c>
      <c r="T14355" t="s">
        <v>44736</v>
      </c>
      <c r="U14355" t="s">
        <v>56619</v>
      </c>
      <c r="W14355" t="s">
        <v>39427</v>
      </c>
      <c r="X14355" t="s">
        <v>43229</v>
      </c>
    </row>
    <row r="14356" spans="1:24">
      <c r="A14356">
        <f>HYPERLINK("https://www.philgeps.gov.ph/GEPSNONPILOT/Tender/SplashBidNoticeAbstractUI.aspx?menuIndex=3&amp;refID=6942382&amp;Result=3","6942382")</f>
        <v>0</v>
      </c>
      <c r="B14356" t="s">
        <v>1029</v>
      </c>
      <c r="C14356" t="s">
        <v>17171</v>
      </c>
      <c r="D14356" t="s">
        <v>17449</v>
      </c>
      <c r="E14356" t="s">
        <v>29826</v>
      </c>
      <c r="F14356" t="s">
        <v>30052</v>
      </c>
      <c r="G14356" t="s">
        <v>30058</v>
      </c>
      <c r="H14356" t="s">
        <v>30067</v>
      </c>
      <c r="I14356" t="s">
        <v>3693</v>
      </c>
      <c r="J14356" t="s">
        <v>37284</v>
      </c>
      <c r="K14356" t="s">
        <v>39092</v>
      </c>
      <c r="M14356" t="s">
        <v>40358</v>
      </c>
      <c r="N14356" t="s">
        <v>43166</v>
      </c>
      <c r="O14356" t="s">
        <v>43167</v>
      </c>
      <c r="Q14356">
        <v>9</v>
      </c>
      <c r="R14356" t="s">
        <v>43257</v>
      </c>
      <c r="S14356" t="s">
        <v>44572</v>
      </c>
      <c r="T14356" t="s">
        <v>44681</v>
      </c>
      <c r="U14356" t="s">
        <v>56620</v>
      </c>
      <c r="W14356" t="s">
        <v>40358</v>
      </c>
      <c r="X14356" t="s">
        <v>43256</v>
      </c>
    </row>
    <row r="14357" spans="1:24">
      <c r="A14357">
        <f>HYPERLINK("https://www.philgeps.gov.ph/GEPSNONPILOT/Tender/SplashBidNoticeAbstractUI.aspx?menuIndex=3&amp;refID=6940045&amp;Result=3","6940045")</f>
        <v>0</v>
      </c>
      <c r="B14357" t="s">
        <v>1925</v>
      </c>
      <c r="C14357" t="s">
        <v>17172</v>
      </c>
      <c r="D14357" t="s">
        <v>17462</v>
      </c>
      <c r="E14357" t="s">
        <v>29827</v>
      </c>
      <c r="F14357" t="s">
        <v>30052</v>
      </c>
      <c r="G14357" t="s">
        <v>30058</v>
      </c>
      <c r="H14357" t="s">
        <v>30067</v>
      </c>
      <c r="I14357" t="s">
        <v>3693</v>
      </c>
      <c r="J14357" t="s">
        <v>38876</v>
      </c>
      <c r="K14357" t="s">
        <v>39031</v>
      </c>
      <c r="M14357" t="s">
        <v>43107</v>
      </c>
      <c r="N14357" t="s">
        <v>43166</v>
      </c>
      <c r="O14357" t="s">
        <v>43167</v>
      </c>
      <c r="Q14357">
        <v>9</v>
      </c>
      <c r="R14357" t="s">
        <v>43257</v>
      </c>
      <c r="S14357" t="s">
        <v>44573</v>
      </c>
      <c r="T14357" t="s">
        <v>44758</v>
      </c>
      <c r="U14357" t="s">
        <v>56505</v>
      </c>
      <c r="W14357" t="s">
        <v>43107</v>
      </c>
      <c r="X14357" t="s">
        <v>43256</v>
      </c>
    </row>
    <row r="14358" spans="1:24">
      <c r="A14358">
        <f>HYPERLINK("https://www.philgeps.gov.ph/GEPSNONPILOT/Tender/SplashBidNoticeAbstractUI.aspx?menuIndex=3&amp;refID=6918192&amp;Result=3","6918192")</f>
        <v>0</v>
      </c>
      <c r="B14358" t="s">
        <v>3436</v>
      </c>
      <c r="C14358" t="s">
        <v>17173</v>
      </c>
      <c r="D14358" t="s">
        <v>17446</v>
      </c>
      <c r="E14358" t="s">
        <v>29828</v>
      </c>
      <c r="F14358" t="s">
        <v>30052</v>
      </c>
      <c r="G14358" t="s">
        <v>30058</v>
      </c>
      <c r="H14358" t="s">
        <v>15498</v>
      </c>
      <c r="I14358" t="s">
        <v>3736</v>
      </c>
      <c r="J14358" t="s">
        <v>38877</v>
      </c>
      <c r="K14358" t="s">
        <v>39049</v>
      </c>
      <c r="M14358" t="s">
        <v>43134</v>
      </c>
      <c r="N14358" t="s">
        <v>43166</v>
      </c>
      <c r="O14358" t="s">
        <v>43167</v>
      </c>
      <c r="Q14358">
        <v>1</v>
      </c>
      <c r="R14358" t="s">
        <v>43235</v>
      </c>
      <c r="S14358" t="s">
        <v>44574</v>
      </c>
      <c r="T14358" t="s">
        <v>44888</v>
      </c>
      <c r="U14358" t="s">
        <v>56621</v>
      </c>
      <c r="W14358" t="s">
        <v>43134</v>
      </c>
      <c r="X14358" t="s">
        <v>43234</v>
      </c>
    </row>
    <row r="14359" spans="1:24">
      <c r="A14359">
        <f>HYPERLINK("https://www.philgeps.gov.ph/GEPSNONPILOT/Tender/SplashBidNoticeAbstractUI.aspx?menuIndex=3&amp;refID=6845955&amp;Result=3","6845955")</f>
        <v>0</v>
      </c>
      <c r="B14359" t="s">
        <v>98</v>
      </c>
      <c r="C14359" t="s">
        <v>17174</v>
      </c>
      <c r="D14359" t="s">
        <v>17499</v>
      </c>
      <c r="E14359" t="s">
        <v>29829</v>
      </c>
      <c r="F14359" t="s">
        <v>30052</v>
      </c>
      <c r="G14359" t="s">
        <v>30063</v>
      </c>
      <c r="H14359" t="s">
        <v>30067</v>
      </c>
      <c r="I14359" t="s">
        <v>3693</v>
      </c>
      <c r="J14359" t="s">
        <v>30557</v>
      </c>
      <c r="K14359" t="s">
        <v>39025</v>
      </c>
      <c r="L14359" t="s">
        <v>98</v>
      </c>
      <c r="M14359" t="s">
        <v>40536</v>
      </c>
      <c r="N14359" t="s">
        <v>43166</v>
      </c>
      <c r="O14359" t="s">
        <v>43167</v>
      </c>
      <c r="Q14359">
        <v>10</v>
      </c>
      <c r="R14359" t="s">
        <v>43258</v>
      </c>
      <c r="S14359" t="s">
        <v>44551</v>
      </c>
      <c r="T14359" t="s">
        <v>44832</v>
      </c>
      <c r="U14359" t="s">
        <v>56622</v>
      </c>
      <c r="W14359" t="s">
        <v>40536</v>
      </c>
      <c r="X14359" t="s">
        <v>43265</v>
      </c>
    </row>
    <row r="14360" spans="1:24">
      <c r="A14360">
        <f>HYPERLINK("https://www.philgeps.gov.ph/GEPSNONPILOT/Tender/SplashBidNoticeAbstractUI.aspx?menuIndex=3&amp;refID=6872176&amp;Result=3","6872176")</f>
        <v>0</v>
      </c>
      <c r="B14360" t="s">
        <v>422</v>
      </c>
      <c r="C14360" t="s">
        <v>17175</v>
      </c>
      <c r="E14360" t="s">
        <v>29830</v>
      </c>
      <c r="F14360" t="s">
        <v>30052</v>
      </c>
      <c r="G14360" t="s">
        <v>30058</v>
      </c>
      <c r="H14360" t="s">
        <v>15498</v>
      </c>
      <c r="I14360" t="s">
        <v>30127</v>
      </c>
      <c r="J14360" t="s">
        <v>38878</v>
      </c>
      <c r="K14360" t="s">
        <v>39025</v>
      </c>
      <c r="M14360" t="s">
        <v>43114</v>
      </c>
      <c r="N14360" t="s">
        <v>43166</v>
      </c>
      <c r="O14360" t="s">
        <v>43167</v>
      </c>
      <c r="Q14360">
        <v>5</v>
      </c>
      <c r="R14360" t="s">
        <v>43247</v>
      </c>
      <c r="S14360" t="s">
        <v>44575</v>
      </c>
      <c r="T14360" t="s">
        <v>45209</v>
      </c>
      <c r="U14360" t="s">
        <v>56623</v>
      </c>
      <c r="W14360" t="s">
        <v>43114</v>
      </c>
      <c r="X14360" t="s">
        <v>43254</v>
      </c>
    </row>
    <row r="14361" spans="1:24">
      <c r="A14361">
        <f>HYPERLINK("https://www.philgeps.gov.ph/GEPSNONPILOT/Tender/SplashBidNoticeAbstractUI.aspx?menuIndex=3&amp;refID=6934642&amp;Result=3","6934642")</f>
        <v>0</v>
      </c>
      <c r="B14361" t="s">
        <v>1325</v>
      </c>
      <c r="C14361" t="s">
        <v>17176</v>
      </c>
      <c r="D14361" t="s">
        <v>17413</v>
      </c>
      <c r="E14361" t="s">
        <v>29831</v>
      </c>
      <c r="F14361" t="s">
        <v>30052</v>
      </c>
      <c r="G14361" t="s">
        <v>30058</v>
      </c>
      <c r="H14361" t="s">
        <v>30067</v>
      </c>
      <c r="I14361" t="s">
        <v>3693</v>
      </c>
      <c r="J14361" t="s">
        <v>33649</v>
      </c>
      <c r="K14361" t="s">
        <v>39026</v>
      </c>
      <c r="M14361" t="s">
        <v>40692</v>
      </c>
      <c r="N14361" t="s">
        <v>43166</v>
      </c>
      <c r="O14361" t="s">
        <v>43167</v>
      </c>
      <c r="Q14361">
        <v>0</v>
      </c>
      <c r="R14361" t="s">
        <v>43229</v>
      </c>
      <c r="S14361" t="s">
        <v>44576</v>
      </c>
      <c r="T14361" t="s">
        <v>44734</v>
      </c>
      <c r="U14361" t="s">
        <v>56624</v>
      </c>
      <c r="W14361" t="s">
        <v>40692</v>
      </c>
      <c r="X14361" t="s">
        <v>43231</v>
      </c>
    </row>
    <row r="14362" spans="1:24">
      <c r="A14362">
        <f>HYPERLINK("https://www.philgeps.gov.ph/GEPSNONPILOT/Tender/SplashBidNoticeAbstractUI.aspx?menuIndex=3&amp;refID=6938600&amp;Result=3","6938600")</f>
        <v>0</v>
      </c>
      <c r="B14362" t="s">
        <v>3430</v>
      </c>
      <c r="C14362" t="s">
        <v>17177</v>
      </c>
      <c r="E14362" t="s">
        <v>29832</v>
      </c>
      <c r="F14362" t="s">
        <v>30052</v>
      </c>
      <c r="G14362" t="s">
        <v>30058</v>
      </c>
      <c r="H14362" t="s">
        <v>30069</v>
      </c>
      <c r="I14362" t="s">
        <v>12885</v>
      </c>
      <c r="J14362" t="s">
        <v>38879</v>
      </c>
      <c r="K14362" t="s">
        <v>39146</v>
      </c>
      <c r="M14362" t="s">
        <v>43112</v>
      </c>
      <c r="N14362" t="s">
        <v>43166</v>
      </c>
      <c r="O14362" t="s">
        <v>43167</v>
      </c>
      <c r="Q14362">
        <v>2</v>
      </c>
      <c r="R14362" t="s">
        <v>43256</v>
      </c>
      <c r="S14362" t="s">
        <v>44577</v>
      </c>
      <c r="T14362" t="s">
        <v>44696</v>
      </c>
      <c r="U14362" t="s">
        <v>56625</v>
      </c>
      <c r="W14362" t="s">
        <v>43112</v>
      </c>
      <c r="X14362" t="s">
        <v>43229</v>
      </c>
    </row>
    <row r="14363" spans="1:24">
      <c r="A14363">
        <f>HYPERLINK("https://www.philgeps.gov.ph/GEPSNONPILOT/Tender/SplashBidNoticeAbstractUI.aspx?menuIndex=3&amp;refID=6880250&amp;Result=3","6880250")</f>
        <v>0</v>
      </c>
      <c r="B14363" t="s">
        <v>3433</v>
      </c>
      <c r="C14363" t="s">
        <v>17178</v>
      </c>
      <c r="D14363" t="s">
        <v>17445</v>
      </c>
      <c r="E14363" t="s">
        <v>29833</v>
      </c>
      <c r="F14363" t="s">
        <v>30052</v>
      </c>
      <c r="G14363" t="s">
        <v>30058</v>
      </c>
      <c r="H14363" t="s">
        <v>15498</v>
      </c>
      <c r="I14363" t="s">
        <v>30084</v>
      </c>
      <c r="J14363" t="s">
        <v>38880</v>
      </c>
      <c r="K14363" t="s">
        <v>39034</v>
      </c>
      <c r="M14363" t="s">
        <v>43127</v>
      </c>
      <c r="N14363" t="s">
        <v>43166</v>
      </c>
      <c r="O14363" t="s">
        <v>43167</v>
      </c>
      <c r="Q14363">
        <v>13</v>
      </c>
      <c r="R14363" t="s">
        <v>43248</v>
      </c>
      <c r="S14363" t="s">
        <v>44578</v>
      </c>
      <c r="T14363" t="s">
        <v>45204</v>
      </c>
      <c r="U14363" t="s">
        <v>56582</v>
      </c>
      <c r="V14363" t="s">
        <v>57637</v>
      </c>
      <c r="W14363" t="s">
        <v>43127</v>
      </c>
      <c r="X14363" t="s">
        <v>43247</v>
      </c>
    </row>
    <row r="14364" spans="1:24">
      <c r="A14364">
        <f>HYPERLINK("https://www.philgeps.gov.ph/GEPSNONPILOT/Tender/SplashBidNoticeAbstractUI.aspx?menuIndex=3&amp;refID=6819967&amp;Result=3","6819967")</f>
        <v>0</v>
      </c>
      <c r="B14364" t="s">
        <v>422</v>
      </c>
      <c r="C14364" t="s">
        <v>17179</v>
      </c>
      <c r="D14364" t="s">
        <v>17455</v>
      </c>
      <c r="E14364" t="s">
        <v>29834</v>
      </c>
      <c r="F14364" t="s">
        <v>30052</v>
      </c>
      <c r="G14364" t="s">
        <v>30062</v>
      </c>
      <c r="H14364" t="s">
        <v>15498</v>
      </c>
      <c r="I14364" t="s">
        <v>9238</v>
      </c>
      <c r="J14364" t="s">
        <v>30890</v>
      </c>
      <c r="K14364" t="s">
        <v>39025</v>
      </c>
      <c r="M14364" t="s">
        <v>40641</v>
      </c>
      <c r="N14364" t="s">
        <v>43166</v>
      </c>
      <c r="O14364" t="s">
        <v>43167</v>
      </c>
      <c r="Q14364">
        <v>28</v>
      </c>
      <c r="R14364" t="s">
        <v>43259</v>
      </c>
      <c r="S14364" t="s">
        <v>43890</v>
      </c>
      <c r="T14364" t="s">
        <v>44698</v>
      </c>
      <c r="U14364" t="s">
        <v>48012</v>
      </c>
      <c r="W14364" t="s">
        <v>40641</v>
      </c>
      <c r="X14364" t="s">
        <v>43283</v>
      </c>
    </row>
    <row r="14365" spans="1:24">
      <c r="A14365">
        <f>HYPERLINK("https://www.philgeps.gov.ph/GEPSNONPILOT/Tender/SplashBidNoticeAbstractUI.aspx?menuIndex=3&amp;refID=6821906&amp;Result=3","6821906")</f>
        <v>0</v>
      </c>
      <c r="B14365" t="s">
        <v>1151</v>
      </c>
      <c r="C14365" t="s">
        <v>17180</v>
      </c>
      <c r="D14365" t="s">
        <v>17472</v>
      </c>
      <c r="E14365" t="s">
        <v>29835</v>
      </c>
      <c r="F14365" t="s">
        <v>30052</v>
      </c>
      <c r="G14365" t="s">
        <v>30061</v>
      </c>
      <c r="H14365" t="s">
        <v>15498</v>
      </c>
      <c r="I14365" t="s">
        <v>30096</v>
      </c>
      <c r="J14365" t="s">
        <v>30337</v>
      </c>
      <c r="K14365" t="s">
        <v>39029</v>
      </c>
      <c r="M14365" t="s">
        <v>40495</v>
      </c>
      <c r="N14365" t="s">
        <v>43166</v>
      </c>
      <c r="O14365" t="s">
        <v>43167</v>
      </c>
      <c r="Q14365">
        <v>1</v>
      </c>
      <c r="R14365" t="s">
        <v>43260</v>
      </c>
      <c r="S14365" t="s">
        <v>44579</v>
      </c>
      <c r="T14365" t="s">
        <v>44691</v>
      </c>
      <c r="U14365" t="s">
        <v>56626</v>
      </c>
      <c r="W14365" t="s">
        <v>40495</v>
      </c>
      <c r="X14365" t="s">
        <v>43259</v>
      </c>
    </row>
    <row r="14366" spans="1:24">
      <c r="A14366">
        <f>HYPERLINK("https://www.philgeps.gov.ph/GEPSNONPILOT/Tender/SplashBidNoticeAbstractUI.aspx?menuIndex=3&amp;refID=6831594&amp;Result=3","6831594")</f>
        <v>0</v>
      </c>
      <c r="B14366" t="s">
        <v>2886</v>
      </c>
      <c r="C14366" t="s">
        <v>17181</v>
      </c>
      <c r="D14366" t="s">
        <v>17445</v>
      </c>
      <c r="E14366" t="s">
        <v>29836</v>
      </c>
      <c r="F14366" t="s">
        <v>30052</v>
      </c>
      <c r="G14366" t="s">
        <v>30058</v>
      </c>
      <c r="H14366" t="s">
        <v>30067</v>
      </c>
      <c r="I14366" t="s">
        <v>3693</v>
      </c>
      <c r="J14366" t="s">
        <v>31891</v>
      </c>
      <c r="K14366" t="s">
        <v>39029</v>
      </c>
      <c r="M14366" t="s">
        <v>42437</v>
      </c>
      <c r="N14366" t="s">
        <v>43166</v>
      </c>
      <c r="O14366" t="s">
        <v>43167</v>
      </c>
      <c r="Q14366">
        <v>3</v>
      </c>
      <c r="R14366" t="s">
        <v>43261</v>
      </c>
      <c r="S14366" t="s">
        <v>44580</v>
      </c>
      <c r="T14366" t="s">
        <v>44710</v>
      </c>
      <c r="U14366" t="s">
        <v>52926</v>
      </c>
      <c r="W14366" t="s">
        <v>42437</v>
      </c>
      <c r="X14366" t="s">
        <v>43262</v>
      </c>
    </row>
    <row r="14367" spans="1:24">
      <c r="A14367">
        <f>HYPERLINK("https://www.philgeps.gov.ph/GEPSNONPILOT/Tender/SplashBidNoticeAbstractUI.aspx?menuIndex=3&amp;refID=6828937&amp;Result=3","6828937")</f>
        <v>0</v>
      </c>
      <c r="B14367" t="s">
        <v>1024</v>
      </c>
      <c r="C14367" t="s">
        <v>17182</v>
      </c>
      <c r="D14367" t="s">
        <v>17432</v>
      </c>
      <c r="E14367" t="s">
        <v>29837</v>
      </c>
      <c r="F14367" t="s">
        <v>30052</v>
      </c>
      <c r="G14367" t="s">
        <v>30058</v>
      </c>
      <c r="H14367" t="s">
        <v>30067</v>
      </c>
      <c r="I14367" t="s">
        <v>3693</v>
      </c>
      <c r="J14367" t="s">
        <v>38881</v>
      </c>
      <c r="K14367" t="s">
        <v>39092</v>
      </c>
      <c r="M14367" t="s">
        <v>40353</v>
      </c>
      <c r="N14367" t="s">
        <v>43166</v>
      </c>
      <c r="O14367" t="s">
        <v>43167</v>
      </c>
      <c r="Q14367">
        <v>10</v>
      </c>
      <c r="R14367" t="s">
        <v>43262</v>
      </c>
      <c r="S14367" t="s">
        <v>44025</v>
      </c>
      <c r="T14367" t="s">
        <v>44791</v>
      </c>
      <c r="U14367" t="s">
        <v>56627</v>
      </c>
      <c r="W14367" t="s">
        <v>40353</v>
      </c>
      <c r="X14367" t="s">
        <v>43266</v>
      </c>
    </row>
    <row r="14368" spans="1:24">
      <c r="A14368">
        <f>HYPERLINK("https://www.philgeps.gov.ph/GEPSNONPILOT/Tender/SplashBidNoticeAbstractUI.aspx?menuIndex=3&amp;refID=6814591&amp;Result=3","6814591")</f>
        <v>0</v>
      </c>
      <c r="B14368" t="s">
        <v>2462</v>
      </c>
      <c r="C14368" t="s">
        <v>17183</v>
      </c>
      <c r="D14368" t="s">
        <v>17415</v>
      </c>
      <c r="E14368" t="s">
        <v>29838</v>
      </c>
      <c r="F14368" t="s">
        <v>30052</v>
      </c>
      <c r="G14368" t="s">
        <v>30058</v>
      </c>
      <c r="H14368" t="s">
        <v>30067</v>
      </c>
      <c r="I14368" t="s">
        <v>3693</v>
      </c>
      <c r="J14368" t="s">
        <v>38882</v>
      </c>
      <c r="K14368" t="s">
        <v>39092</v>
      </c>
      <c r="M14368" t="s">
        <v>42296</v>
      </c>
      <c r="N14368" t="s">
        <v>43166</v>
      </c>
      <c r="O14368" t="s">
        <v>43167</v>
      </c>
      <c r="Q14368">
        <v>100</v>
      </c>
      <c r="R14368" t="s">
        <v>43263</v>
      </c>
      <c r="S14368" t="s">
        <v>44581</v>
      </c>
      <c r="T14368" t="s">
        <v>44734</v>
      </c>
      <c r="U14368" t="s">
        <v>52735</v>
      </c>
      <c r="V14368" t="s">
        <v>58567</v>
      </c>
      <c r="W14368" t="s">
        <v>42296</v>
      </c>
      <c r="X14368" t="s">
        <v>43280</v>
      </c>
    </row>
    <row r="14369" spans="1:24">
      <c r="A14369">
        <f>HYPERLINK("https://www.philgeps.gov.ph/GEPSNONPILOT/Tender/SplashBidNoticeAbstractUI.aspx?menuIndex=3&amp;refID=6831572&amp;Result=3","6831572")</f>
        <v>0</v>
      </c>
      <c r="B14369" t="s">
        <v>2886</v>
      </c>
      <c r="C14369" t="s">
        <v>17184</v>
      </c>
      <c r="D14369" t="s">
        <v>17445</v>
      </c>
      <c r="E14369" t="s">
        <v>29839</v>
      </c>
      <c r="F14369" t="s">
        <v>30052</v>
      </c>
      <c r="G14369" t="s">
        <v>30058</v>
      </c>
      <c r="H14369" t="s">
        <v>30067</v>
      </c>
      <c r="I14369" t="s">
        <v>3693</v>
      </c>
      <c r="J14369" t="s">
        <v>31185</v>
      </c>
      <c r="K14369" t="s">
        <v>39029</v>
      </c>
      <c r="M14369" t="s">
        <v>42437</v>
      </c>
      <c r="N14369" t="s">
        <v>43166</v>
      </c>
      <c r="O14369" t="s">
        <v>43167</v>
      </c>
      <c r="Q14369">
        <v>3</v>
      </c>
      <c r="R14369" t="s">
        <v>43261</v>
      </c>
      <c r="S14369" t="s">
        <v>44582</v>
      </c>
      <c r="T14369" t="s">
        <v>44710</v>
      </c>
      <c r="U14369" t="s">
        <v>52926</v>
      </c>
      <c r="W14369" t="s">
        <v>42437</v>
      </c>
      <c r="X14369" t="s">
        <v>43262</v>
      </c>
    </row>
    <row r="14370" spans="1:24">
      <c r="A14370">
        <f>HYPERLINK("https://www.philgeps.gov.ph/GEPSNONPILOT/Tender/SplashBidNoticeAbstractUI.aspx?menuIndex=3&amp;refID=6942209&amp;Result=3","6942209")</f>
        <v>0</v>
      </c>
      <c r="B14370" t="s">
        <v>2462</v>
      </c>
      <c r="C14370" t="s">
        <v>17185</v>
      </c>
      <c r="D14370" t="s">
        <v>17415</v>
      </c>
      <c r="E14370" t="s">
        <v>29840</v>
      </c>
      <c r="F14370" t="s">
        <v>30052</v>
      </c>
      <c r="G14370" t="s">
        <v>30058</v>
      </c>
      <c r="H14370" t="s">
        <v>30067</v>
      </c>
      <c r="I14370" t="s">
        <v>3693</v>
      </c>
      <c r="J14370" t="s">
        <v>38883</v>
      </c>
      <c r="K14370" t="s">
        <v>39033</v>
      </c>
      <c r="M14370" t="s">
        <v>42296</v>
      </c>
      <c r="N14370" t="s">
        <v>43166</v>
      </c>
      <c r="O14370" t="s">
        <v>43167</v>
      </c>
      <c r="Q14370">
        <v>26</v>
      </c>
      <c r="R14370" t="s">
        <v>43257</v>
      </c>
      <c r="S14370" t="s">
        <v>44583</v>
      </c>
      <c r="T14370" t="s">
        <v>44734</v>
      </c>
      <c r="U14370" t="s">
        <v>52735</v>
      </c>
      <c r="V14370" t="s">
        <v>58568</v>
      </c>
      <c r="W14370" t="s">
        <v>42296</v>
      </c>
      <c r="X14370" t="s">
        <v>43256</v>
      </c>
    </row>
    <row r="14371" spans="1:24">
      <c r="A14371">
        <f>HYPERLINK("https://www.philgeps.gov.ph/GEPSNONPILOT/Tender/SplashBidNoticeAbstractUI.aspx?menuIndex=3&amp;refID=6841147&amp;Result=3","6841147")</f>
        <v>0</v>
      </c>
      <c r="B14371" t="s">
        <v>2245</v>
      </c>
      <c r="C14371" t="s">
        <v>17186</v>
      </c>
      <c r="D14371" t="s">
        <v>17415</v>
      </c>
      <c r="E14371" t="s">
        <v>29841</v>
      </c>
      <c r="F14371" t="s">
        <v>30052</v>
      </c>
      <c r="G14371" t="s">
        <v>30058</v>
      </c>
      <c r="H14371" t="s">
        <v>30067</v>
      </c>
      <c r="I14371" t="s">
        <v>3693</v>
      </c>
      <c r="J14371" t="s">
        <v>38884</v>
      </c>
      <c r="K14371" t="s">
        <v>39033</v>
      </c>
      <c r="M14371" t="s">
        <v>41723</v>
      </c>
      <c r="N14371" t="s">
        <v>43166</v>
      </c>
      <c r="O14371" t="s">
        <v>43167</v>
      </c>
      <c r="Q14371">
        <v>112</v>
      </c>
      <c r="R14371" t="s">
        <v>43264</v>
      </c>
      <c r="S14371" t="s">
        <v>44584</v>
      </c>
      <c r="T14371" t="s">
        <v>44791</v>
      </c>
      <c r="U14371" t="s">
        <v>56628</v>
      </c>
      <c r="W14371" t="s">
        <v>41723</v>
      </c>
      <c r="X14371" t="s">
        <v>58747</v>
      </c>
    </row>
    <row r="14372" spans="1:24">
      <c r="A14372">
        <f>HYPERLINK("https://www.philgeps.gov.ph/GEPSNONPILOT/Tender/SplashBidNoticeAbstractUI.aspx?menuIndex=3&amp;refID=6844693&amp;Result=3","6844693")</f>
        <v>0</v>
      </c>
      <c r="B14372" t="s">
        <v>2245</v>
      </c>
      <c r="C14372" t="s">
        <v>17187</v>
      </c>
      <c r="D14372" t="s">
        <v>17415</v>
      </c>
      <c r="E14372" t="s">
        <v>29842</v>
      </c>
      <c r="F14372" t="s">
        <v>30052</v>
      </c>
      <c r="G14372" t="s">
        <v>30058</v>
      </c>
      <c r="H14372" t="s">
        <v>30067</v>
      </c>
      <c r="I14372" t="s">
        <v>3693</v>
      </c>
      <c r="J14372" t="s">
        <v>38885</v>
      </c>
      <c r="K14372" t="s">
        <v>39119</v>
      </c>
      <c r="M14372" t="s">
        <v>41723</v>
      </c>
      <c r="N14372" t="s">
        <v>43166</v>
      </c>
      <c r="O14372" t="s">
        <v>43167</v>
      </c>
      <c r="Q14372">
        <v>66</v>
      </c>
      <c r="R14372" t="s">
        <v>43265</v>
      </c>
      <c r="S14372" t="s">
        <v>44585</v>
      </c>
      <c r="T14372" t="s">
        <v>44830</v>
      </c>
      <c r="U14372" t="s">
        <v>56629</v>
      </c>
      <c r="W14372" t="s">
        <v>41723</v>
      </c>
      <c r="X14372" t="s">
        <v>43264</v>
      </c>
    </row>
    <row r="14373" spans="1:24">
      <c r="A14373">
        <f>HYPERLINK("https://www.philgeps.gov.ph/GEPSNONPILOT/Tender/SplashBidNoticeAbstractUI.aspx?menuIndex=3&amp;refID=6826047&amp;Result=3","6826047")</f>
        <v>0</v>
      </c>
      <c r="B14373" t="s">
        <v>2886</v>
      </c>
      <c r="C14373" t="s">
        <v>17188</v>
      </c>
      <c r="D14373" t="s">
        <v>17445</v>
      </c>
      <c r="E14373" t="s">
        <v>29843</v>
      </c>
      <c r="F14373" t="s">
        <v>30052</v>
      </c>
      <c r="G14373" t="s">
        <v>30058</v>
      </c>
      <c r="H14373" t="s">
        <v>30067</v>
      </c>
      <c r="I14373" t="s">
        <v>3693</v>
      </c>
      <c r="J14373" t="s">
        <v>35691</v>
      </c>
      <c r="K14373" t="s">
        <v>39057</v>
      </c>
      <c r="M14373" t="s">
        <v>42437</v>
      </c>
      <c r="N14373" t="s">
        <v>43166</v>
      </c>
      <c r="O14373" t="s">
        <v>43167</v>
      </c>
      <c r="Q14373">
        <v>3</v>
      </c>
      <c r="R14373" t="s">
        <v>43266</v>
      </c>
      <c r="S14373" t="s">
        <v>44586</v>
      </c>
      <c r="T14373" t="s">
        <v>44710</v>
      </c>
      <c r="U14373" t="s">
        <v>56630</v>
      </c>
      <c r="W14373" t="s">
        <v>42437</v>
      </c>
      <c r="X14373" t="s">
        <v>43260</v>
      </c>
    </row>
    <row r="14374" spans="1:24">
      <c r="A14374">
        <f>HYPERLINK("https://www.philgeps.gov.ph/GEPSNONPILOT/Tender/SplashBidNoticeAbstractUI.aspx?menuIndex=3&amp;refID=6825173&amp;Result=3","6825173")</f>
        <v>0</v>
      </c>
      <c r="B14374" t="s">
        <v>2245</v>
      </c>
      <c r="C14374" t="s">
        <v>17189</v>
      </c>
      <c r="E14374" t="s">
        <v>29844</v>
      </c>
      <c r="F14374" t="s">
        <v>30052</v>
      </c>
      <c r="G14374" t="s">
        <v>30058</v>
      </c>
      <c r="H14374" t="s">
        <v>30067</v>
      </c>
      <c r="I14374" t="s">
        <v>3693</v>
      </c>
      <c r="J14374" t="s">
        <v>38886</v>
      </c>
      <c r="K14374" t="s">
        <v>39022</v>
      </c>
      <c r="M14374" t="s">
        <v>41723</v>
      </c>
      <c r="N14374" t="s">
        <v>43166</v>
      </c>
      <c r="O14374" t="s">
        <v>43167</v>
      </c>
      <c r="Q14374">
        <v>112</v>
      </c>
      <c r="R14374" t="s">
        <v>43266</v>
      </c>
      <c r="S14374" t="s">
        <v>44587</v>
      </c>
      <c r="T14374" t="s">
        <v>44791</v>
      </c>
      <c r="U14374" t="s">
        <v>56631</v>
      </c>
      <c r="W14374" t="s">
        <v>41723</v>
      </c>
      <c r="X14374" t="s">
        <v>43260</v>
      </c>
    </row>
    <row r="14375" spans="1:24">
      <c r="A14375">
        <f>HYPERLINK("https://www.philgeps.gov.ph/GEPSNONPILOT/Tender/SplashBidNoticeAbstractUI.aspx?menuIndex=3&amp;refID=6842987&amp;Result=3","6842987")</f>
        <v>0</v>
      </c>
      <c r="B14375" t="s">
        <v>98</v>
      </c>
      <c r="C14375" t="s">
        <v>17190</v>
      </c>
      <c r="D14375" t="s">
        <v>17499</v>
      </c>
      <c r="E14375" t="s">
        <v>29845</v>
      </c>
      <c r="F14375" t="s">
        <v>30052</v>
      </c>
      <c r="G14375" t="s">
        <v>30063</v>
      </c>
      <c r="H14375" t="s">
        <v>30067</v>
      </c>
      <c r="I14375" t="s">
        <v>3693</v>
      </c>
      <c r="J14375" t="s">
        <v>30281</v>
      </c>
      <c r="K14375" t="s">
        <v>39025</v>
      </c>
      <c r="L14375" t="s">
        <v>98</v>
      </c>
      <c r="M14375" t="s">
        <v>40536</v>
      </c>
      <c r="N14375" t="s">
        <v>43166</v>
      </c>
      <c r="O14375" t="s">
        <v>43167</v>
      </c>
      <c r="Q14375">
        <v>4</v>
      </c>
      <c r="R14375" t="s">
        <v>43265</v>
      </c>
      <c r="S14375" t="s">
        <v>44588</v>
      </c>
      <c r="T14375" t="s">
        <v>44832</v>
      </c>
      <c r="U14375" t="s">
        <v>56632</v>
      </c>
      <c r="W14375" t="s">
        <v>40536</v>
      </c>
      <c r="X14375" t="s">
        <v>43264</v>
      </c>
    </row>
    <row r="14376" spans="1:24">
      <c r="A14376">
        <f>HYPERLINK("https://www.philgeps.gov.ph/GEPSNONPILOT/Tender/SplashBidNoticeAbstractUI.aspx?menuIndex=3&amp;refID=6840310&amp;Result=3","6840310")</f>
        <v>0</v>
      </c>
      <c r="B14376" t="s">
        <v>1874</v>
      </c>
      <c r="C14376" t="s">
        <v>17191</v>
      </c>
      <c r="D14376" t="s">
        <v>17441</v>
      </c>
      <c r="E14376" t="s">
        <v>29846</v>
      </c>
      <c r="F14376" t="s">
        <v>30052</v>
      </c>
      <c r="G14376" t="s">
        <v>30058</v>
      </c>
      <c r="H14376" t="s">
        <v>30067</v>
      </c>
      <c r="I14376" t="s">
        <v>3693</v>
      </c>
      <c r="J14376" t="s">
        <v>38887</v>
      </c>
      <c r="K14376" t="s">
        <v>39215</v>
      </c>
      <c r="M14376" t="s">
        <v>41305</v>
      </c>
      <c r="N14376" t="s">
        <v>43166</v>
      </c>
      <c r="O14376" t="s">
        <v>43167</v>
      </c>
      <c r="Q14376">
        <v>40</v>
      </c>
      <c r="R14376" t="s">
        <v>43264</v>
      </c>
      <c r="S14376" t="s">
        <v>44589</v>
      </c>
      <c r="T14376" t="s">
        <v>44722</v>
      </c>
      <c r="U14376" t="s">
        <v>56633</v>
      </c>
      <c r="V14376" t="s">
        <v>58569</v>
      </c>
      <c r="W14376" t="s">
        <v>41305</v>
      </c>
      <c r="X14376" t="s">
        <v>58747</v>
      </c>
    </row>
    <row r="14377" spans="1:24">
      <c r="A14377">
        <f>HYPERLINK("https://www.philgeps.gov.ph/GEPSNONPILOT/Tender/SplashBidNoticeAbstractUI.aspx?menuIndex=3&amp;refID=6845997&amp;Result=3","6845997")</f>
        <v>0</v>
      </c>
      <c r="B14377" t="s">
        <v>98</v>
      </c>
      <c r="C14377" t="s">
        <v>17192</v>
      </c>
      <c r="D14377" t="s">
        <v>17499</v>
      </c>
      <c r="E14377" t="s">
        <v>29847</v>
      </c>
      <c r="F14377" t="s">
        <v>30054</v>
      </c>
      <c r="G14377" t="s">
        <v>30063</v>
      </c>
      <c r="H14377" t="s">
        <v>30067</v>
      </c>
      <c r="I14377" t="s">
        <v>3693</v>
      </c>
      <c r="J14377" t="s">
        <v>30247</v>
      </c>
      <c r="K14377" t="s">
        <v>39025</v>
      </c>
      <c r="L14377" t="s">
        <v>98</v>
      </c>
      <c r="M14377" t="s">
        <v>40536</v>
      </c>
      <c r="N14377" t="s">
        <v>43166</v>
      </c>
      <c r="O14377" t="s">
        <v>43167</v>
      </c>
      <c r="Q14377">
        <v>9</v>
      </c>
      <c r="R14377" t="s">
        <v>43258</v>
      </c>
      <c r="S14377" t="s">
        <v>44590</v>
      </c>
      <c r="T14377" t="s">
        <v>44832</v>
      </c>
      <c r="U14377" t="s">
        <v>56634</v>
      </c>
      <c r="W14377" t="s">
        <v>40536</v>
      </c>
      <c r="X14377" t="s">
        <v>43265</v>
      </c>
    </row>
    <row r="14378" spans="1:24">
      <c r="A14378">
        <f>HYPERLINK("https://www.philgeps.gov.ph/GEPSNONPILOT/Tender/SplashBidNoticeAbstractUI.aspx?menuIndex=3&amp;refID=6843474&amp;Result=3","6843474")</f>
        <v>0</v>
      </c>
      <c r="B14378" t="s">
        <v>1925</v>
      </c>
      <c r="C14378" t="s">
        <v>17193</v>
      </c>
      <c r="D14378" t="s">
        <v>17462</v>
      </c>
      <c r="E14378" t="s">
        <v>29848</v>
      </c>
      <c r="F14378" t="s">
        <v>30052</v>
      </c>
      <c r="G14378" t="s">
        <v>30058</v>
      </c>
      <c r="H14378" t="s">
        <v>30068</v>
      </c>
      <c r="I14378" t="s">
        <v>30068</v>
      </c>
      <c r="J14378" t="s">
        <v>38888</v>
      </c>
      <c r="K14378" t="s">
        <v>39099</v>
      </c>
      <c r="M14378" t="s">
        <v>43107</v>
      </c>
      <c r="N14378" t="s">
        <v>43166</v>
      </c>
      <c r="O14378" t="s">
        <v>43167</v>
      </c>
      <c r="Q14378">
        <v>11</v>
      </c>
      <c r="R14378" t="s">
        <v>43265</v>
      </c>
      <c r="S14378" t="s">
        <v>44591</v>
      </c>
      <c r="T14378" t="s">
        <v>45018</v>
      </c>
      <c r="U14378" t="s">
        <v>56635</v>
      </c>
      <c r="W14378" t="s">
        <v>43107</v>
      </c>
      <c r="X14378" t="s">
        <v>43264</v>
      </c>
    </row>
    <row r="14379" spans="1:24">
      <c r="A14379">
        <f>HYPERLINK("https://www.philgeps.gov.ph/GEPSNONPILOT/Tender/SplashBidNoticeAbstractUI.aspx?menuIndex=3&amp;refID=6851292&amp;Result=3","6851292")</f>
        <v>0</v>
      </c>
      <c r="B14379" t="s">
        <v>1925</v>
      </c>
      <c r="C14379" t="s">
        <v>17194</v>
      </c>
      <c r="D14379" t="s">
        <v>17462</v>
      </c>
      <c r="E14379" t="s">
        <v>29849</v>
      </c>
      <c r="F14379" t="s">
        <v>30052</v>
      </c>
      <c r="G14379" t="s">
        <v>30058</v>
      </c>
      <c r="H14379" t="s">
        <v>30067</v>
      </c>
      <c r="I14379" t="s">
        <v>3693</v>
      </c>
      <c r="J14379" t="s">
        <v>38889</v>
      </c>
      <c r="K14379" t="s">
        <v>39022</v>
      </c>
      <c r="M14379" t="s">
        <v>43107</v>
      </c>
      <c r="N14379" t="s">
        <v>43166</v>
      </c>
      <c r="O14379" t="s">
        <v>43167</v>
      </c>
      <c r="Q14379">
        <v>28</v>
      </c>
      <c r="R14379" t="s">
        <v>43249</v>
      </c>
      <c r="S14379" t="s">
        <v>44592</v>
      </c>
      <c r="T14379" t="s">
        <v>45018</v>
      </c>
      <c r="U14379" t="s">
        <v>56505</v>
      </c>
      <c r="W14379" t="s">
        <v>43107</v>
      </c>
      <c r="X14379" t="s">
        <v>43258</v>
      </c>
    </row>
    <row r="14380" spans="1:24">
      <c r="A14380">
        <f>HYPERLINK("https://www.philgeps.gov.ph/GEPSNONPILOT/Tender/SplashBidNoticeAbstractUI.aspx?menuIndex=3&amp;refID=6841178&amp;Result=3","6841178")</f>
        <v>0</v>
      </c>
      <c r="B14380" t="s">
        <v>1925</v>
      </c>
      <c r="C14380" t="s">
        <v>17195</v>
      </c>
      <c r="D14380" t="s">
        <v>17462</v>
      </c>
      <c r="E14380" t="s">
        <v>29850</v>
      </c>
      <c r="F14380" t="s">
        <v>30052</v>
      </c>
      <c r="G14380" t="s">
        <v>30058</v>
      </c>
      <c r="H14380" t="s">
        <v>15498</v>
      </c>
      <c r="I14380" t="s">
        <v>30100</v>
      </c>
      <c r="J14380" t="s">
        <v>30532</v>
      </c>
      <c r="K14380" t="s">
        <v>39068</v>
      </c>
      <c r="M14380" t="s">
        <v>43107</v>
      </c>
      <c r="N14380" t="s">
        <v>43166</v>
      </c>
      <c r="O14380" t="s">
        <v>43167</v>
      </c>
      <c r="Q14380">
        <v>5</v>
      </c>
      <c r="R14380" t="s">
        <v>43265</v>
      </c>
      <c r="S14380" t="s">
        <v>44593</v>
      </c>
      <c r="T14380" t="s">
        <v>45018</v>
      </c>
      <c r="U14380" t="s">
        <v>56636</v>
      </c>
      <c r="W14380" t="s">
        <v>43107</v>
      </c>
      <c r="X14380" t="s">
        <v>58747</v>
      </c>
    </row>
    <row r="14381" spans="1:24">
      <c r="A14381">
        <f>HYPERLINK("https://www.philgeps.gov.ph/GEPSNONPILOT/Tender/SplashBidNoticeAbstractUI.aspx?menuIndex=3&amp;refID=6877106-2&amp;Result=3","6877106-2")</f>
        <v>0</v>
      </c>
      <c r="B14381" t="s">
        <v>2620</v>
      </c>
      <c r="C14381" t="s">
        <v>17196</v>
      </c>
      <c r="D14381" t="s">
        <v>17459</v>
      </c>
      <c r="E14381" t="s">
        <v>29851</v>
      </c>
      <c r="F14381" t="s">
        <v>30052</v>
      </c>
      <c r="G14381" t="s">
        <v>30058</v>
      </c>
      <c r="H14381" t="s">
        <v>30068</v>
      </c>
      <c r="I14381" t="s">
        <v>30068</v>
      </c>
      <c r="J14381" t="s">
        <v>38890</v>
      </c>
      <c r="K14381" t="s">
        <v>39026</v>
      </c>
      <c r="M14381" t="s">
        <v>42581</v>
      </c>
      <c r="N14381" t="s">
        <v>43166</v>
      </c>
      <c r="O14381" t="s">
        <v>43167</v>
      </c>
      <c r="Q14381">
        <v>1</v>
      </c>
      <c r="R14381" t="s">
        <v>43228</v>
      </c>
      <c r="S14381" t="s">
        <v>44594</v>
      </c>
      <c r="T14381" t="s">
        <v>44773</v>
      </c>
      <c r="U14381" t="s">
        <v>56637</v>
      </c>
      <c r="W14381" t="s">
        <v>42581</v>
      </c>
      <c r="X14381" t="s">
        <v>43227</v>
      </c>
    </row>
    <row r="14382" spans="1:24">
      <c r="A14382">
        <f>HYPERLINK("https://www.philgeps.gov.ph/GEPSNONPILOT/Tender/SplashBidNoticeAbstractUI.aspx?menuIndex=3&amp;refID=6844300&amp;Result=3","6844300")</f>
        <v>0</v>
      </c>
      <c r="B14382" t="s">
        <v>629</v>
      </c>
      <c r="C14382" t="s">
        <v>17197</v>
      </c>
      <c r="D14382" t="s">
        <v>17415</v>
      </c>
      <c r="E14382" t="s">
        <v>29852</v>
      </c>
      <c r="F14382" t="s">
        <v>30052</v>
      </c>
      <c r="G14382" t="s">
        <v>30058</v>
      </c>
      <c r="H14382" t="s">
        <v>30067</v>
      </c>
      <c r="I14382" t="s">
        <v>3693</v>
      </c>
      <c r="J14382" t="s">
        <v>34659</v>
      </c>
      <c r="K14382" t="s">
        <v>39046</v>
      </c>
      <c r="M14382" t="s">
        <v>43135</v>
      </c>
      <c r="N14382" t="s">
        <v>43166</v>
      </c>
      <c r="O14382" t="s">
        <v>43167</v>
      </c>
      <c r="Q14382">
        <v>25</v>
      </c>
      <c r="R14382" t="s">
        <v>43265</v>
      </c>
      <c r="S14382" t="s">
        <v>44595</v>
      </c>
      <c r="T14382" t="s">
        <v>44710</v>
      </c>
      <c r="U14382" t="s">
        <v>56638</v>
      </c>
      <c r="W14382" t="s">
        <v>58721</v>
      </c>
      <c r="X14382" t="s">
        <v>43264</v>
      </c>
    </row>
    <row r="14383" spans="1:24">
      <c r="A14383">
        <f>HYPERLINK("https://www.philgeps.gov.ph/GEPSNONPILOT/Tender/SplashBidNoticeAbstractUI.aspx?menuIndex=3&amp;refID=6950842&amp;Result=3","6950842")</f>
        <v>0</v>
      </c>
      <c r="B14383" t="s">
        <v>382</v>
      </c>
      <c r="C14383" t="s">
        <v>17198</v>
      </c>
      <c r="D14383" t="s">
        <v>17474</v>
      </c>
      <c r="E14383" t="s">
        <v>29853</v>
      </c>
      <c r="F14383" t="s">
        <v>30052</v>
      </c>
      <c r="G14383" t="s">
        <v>30059</v>
      </c>
      <c r="H14383" t="s">
        <v>15498</v>
      </c>
      <c r="I14383" t="s">
        <v>30077</v>
      </c>
      <c r="J14383" t="s">
        <v>38891</v>
      </c>
      <c r="K14383" t="s">
        <v>39025</v>
      </c>
      <c r="M14383" t="s">
        <v>39680</v>
      </c>
      <c r="N14383" t="s">
        <v>43166</v>
      </c>
      <c r="O14383" t="s">
        <v>43167</v>
      </c>
      <c r="Q14383">
        <v>2</v>
      </c>
      <c r="R14383" t="s">
        <v>43267</v>
      </c>
      <c r="S14383" t="s">
        <v>44596</v>
      </c>
      <c r="T14383" t="s">
        <v>44969</v>
      </c>
      <c r="U14383" t="s">
        <v>56639</v>
      </c>
      <c r="W14383" t="s">
        <v>39680</v>
      </c>
      <c r="X14383" t="s">
        <v>58748</v>
      </c>
    </row>
    <row r="14384" spans="1:24">
      <c r="A14384">
        <f>HYPERLINK("https://www.philgeps.gov.ph/GEPSNONPILOT/Tender/SplashBidNoticeAbstractUI.aspx?menuIndex=3&amp;refID=6952539&amp;Result=3","6952539")</f>
        <v>0</v>
      </c>
      <c r="B14384" t="s">
        <v>3437</v>
      </c>
      <c r="C14384" t="s">
        <v>17199</v>
      </c>
      <c r="D14384" t="s">
        <v>17490</v>
      </c>
      <c r="E14384" t="s">
        <v>29854</v>
      </c>
      <c r="F14384" t="s">
        <v>30052</v>
      </c>
      <c r="G14384" t="s">
        <v>30058</v>
      </c>
      <c r="H14384" t="s">
        <v>15498</v>
      </c>
      <c r="I14384" t="s">
        <v>30074</v>
      </c>
      <c r="J14384" t="s">
        <v>32210</v>
      </c>
      <c r="K14384" t="s">
        <v>39025</v>
      </c>
      <c r="M14384" t="s">
        <v>43136</v>
      </c>
      <c r="N14384" t="s">
        <v>43166</v>
      </c>
      <c r="O14384" t="s">
        <v>43167</v>
      </c>
      <c r="Q14384">
        <v>7</v>
      </c>
      <c r="R14384" t="s">
        <v>43268</v>
      </c>
      <c r="S14384" t="s">
        <v>44597</v>
      </c>
      <c r="T14384" t="s">
        <v>44681</v>
      </c>
      <c r="U14384" t="s">
        <v>56640</v>
      </c>
      <c r="W14384" t="s">
        <v>43136</v>
      </c>
      <c r="X14384" t="s">
        <v>43270</v>
      </c>
    </row>
    <row r="14385" spans="1:24">
      <c r="A14385">
        <f>HYPERLINK("https://www.philgeps.gov.ph/GEPSNONPILOT/Tender/SplashBidNoticeAbstractUI.aspx?menuIndex=3&amp;refID=6944601&amp;Result=3","6944601")</f>
        <v>0</v>
      </c>
      <c r="B14385" t="s">
        <v>59</v>
      </c>
      <c r="C14385" t="s">
        <v>17200</v>
      </c>
      <c r="D14385" t="s">
        <v>17441</v>
      </c>
      <c r="E14385" t="s">
        <v>29855</v>
      </c>
      <c r="F14385" t="s">
        <v>30052</v>
      </c>
      <c r="G14385" t="s">
        <v>30058</v>
      </c>
      <c r="H14385" t="s">
        <v>30067</v>
      </c>
      <c r="I14385" t="s">
        <v>3693</v>
      </c>
      <c r="J14385" t="s">
        <v>35970</v>
      </c>
      <c r="K14385" t="s">
        <v>39026</v>
      </c>
      <c r="M14385" t="s">
        <v>39348</v>
      </c>
      <c r="N14385" t="s">
        <v>43166</v>
      </c>
      <c r="O14385" t="s">
        <v>43167</v>
      </c>
      <c r="Q14385">
        <v>13</v>
      </c>
      <c r="R14385" t="s">
        <v>43225</v>
      </c>
      <c r="S14385" t="s">
        <v>43791</v>
      </c>
      <c r="T14385" t="s">
        <v>44758</v>
      </c>
      <c r="U14385" t="s">
        <v>56472</v>
      </c>
      <c r="V14385" t="s">
        <v>56820</v>
      </c>
      <c r="W14385" t="s">
        <v>39348</v>
      </c>
      <c r="X14385" t="s">
        <v>43257</v>
      </c>
    </row>
    <row r="14386" spans="1:24">
      <c r="A14386">
        <f>HYPERLINK("https://www.philgeps.gov.ph/GEPSNONPILOT/Tender/SplashBidNoticeAbstractUI.aspx?menuIndex=3&amp;refID=6877294-2&amp;Result=3","6877294-2")</f>
        <v>0</v>
      </c>
      <c r="B14386" t="s">
        <v>2620</v>
      </c>
      <c r="C14386" t="s">
        <v>17201</v>
      </c>
      <c r="D14386" t="s">
        <v>17459</v>
      </c>
      <c r="E14386" t="s">
        <v>29856</v>
      </c>
      <c r="F14386" t="s">
        <v>30052</v>
      </c>
      <c r="G14386" t="s">
        <v>30058</v>
      </c>
      <c r="H14386" t="s">
        <v>30068</v>
      </c>
      <c r="I14386" t="s">
        <v>30068</v>
      </c>
      <c r="J14386" t="s">
        <v>38892</v>
      </c>
      <c r="K14386" t="s">
        <v>39026</v>
      </c>
      <c r="M14386" t="s">
        <v>42581</v>
      </c>
      <c r="N14386" t="s">
        <v>43166</v>
      </c>
      <c r="O14386" t="s">
        <v>43167</v>
      </c>
      <c r="Q14386">
        <v>2</v>
      </c>
      <c r="R14386" t="s">
        <v>43228</v>
      </c>
      <c r="S14386" t="s">
        <v>44598</v>
      </c>
      <c r="T14386" t="s">
        <v>44773</v>
      </c>
      <c r="U14386" t="s">
        <v>56641</v>
      </c>
      <c r="W14386" t="s">
        <v>42581</v>
      </c>
      <c r="X14386" t="s">
        <v>43227</v>
      </c>
    </row>
    <row r="14387" spans="1:24">
      <c r="A14387">
        <f>HYPERLINK("https://www.philgeps.gov.ph/GEPSNONPILOT/Tender/SplashBidNoticeAbstractUI.aspx?menuIndex=3&amp;refID=6955459&amp;Result=3","6955459")</f>
        <v>0</v>
      </c>
      <c r="B14387" t="s">
        <v>1325</v>
      </c>
      <c r="C14387" t="s">
        <v>17202</v>
      </c>
      <c r="D14387" t="s">
        <v>17413</v>
      </c>
      <c r="E14387" t="s">
        <v>29857</v>
      </c>
      <c r="F14387" t="s">
        <v>30052</v>
      </c>
      <c r="G14387" t="s">
        <v>30058</v>
      </c>
      <c r="H14387" t="s">
        <v>30067</v>
      </c>
      <c r="I14387" t="s">
        <v>3693</v>
      </c>
      <c r="J14387" t="s">
        <v>30823</v>
      </c>
      <c r="K14387" t="s">
        <v>39154</v>
      </c>
      <c r="M14387" t="s">
        <v>40692</v>
      </c>
      <c r="N14387" t="s">
        <v>43166</v>
      </c>
      <c r="O14387" t="s">
        <v>43167</v>
      </c>
      <c r="Q14387">
        <v>0</v>
      </c>
      <c r="R14387" t="s">
        <v>43226</v>
      </c>
      <c r="S14387" t="s">
        <v>44599</v>
      </c>
      <c r="T14387" t="s">
        <v>44715</v>
      </c>
      <c r="U14387" t="s">
        <v>56642</v>
      </c>
      <c r="W14387" t="s">
        <v>40692</v>
      </c>
      <c r="X14387" t="s">
        <v>58730</v>
      </c>
    </row>
    <row r="14388" spans="1:24">
      <c r="A14388">
        <f>HYPERLINK("https://www.philgeps.gov.ph/GEPSNONPILOT/Tender/SplashBidNoticeAbstractUI.aspx?menuIndex=3&amp;refID=6955379&amp;Result=3","6955379")</f>
        <v>0</v>
      </c>
      <c r="B14388" t="s">
        <v>1325</v>
      </c>
      <c r="C14388" t="s">
        <v>17203</v>
      </c>
      <c r="D14388" t="s">
        <v>17413</v>
      </c>
      <c r="E14388" t="s">
        <v>29858</v>
      </c>
      <c r="F14388" t="s">
        <v>30052</v>
      </c>
      <c r="G14388" t="s">
        <v>30058</v>
      </c>
      <c r="H14388" t="s">
        <v>30067</v>
      </c>
      <c r="I14388" t="s">
        <v>3693</v>
      </c>
      <c r="J14388" t="s">
        <v>31173</v>
      </c>
      <c r="K14388" t="s">
        <v>39255</v>
      </c>
      <c r="M14388" t="s">
        <v>40692</v>
      </c>
      <c r="N14388" t="s">
        <v>43166</v>
      </c>
      <c r="O14388" t="s">
        <v>43167</v>
      </c>
      <c r="Q14388">
        <v>0</v>
      </c>
      <c r="R14388" t="s">
        <v>43226</v>
      </c>
      <c r="S14388" t="s">
        <v>44600</v>
      </c>
      <c r="T14388" t="s">
        <v>44715</v>
      </c>
      <c r="U14388" t="s">
        <v>56643</v>
      </c>
      <c r="W14388" t="s">
        <v>40692</v>
      </c>
      <c r="X14388" t="s">
        <v>58730</v>
      </c>
    </row>
    <row r="14389" spans="1:24">
      <c r="A14389">
        <f>HYPERLINK("https://www.philgeps.gov.ph/GEPSNONPILOT/Tender/SplashBidNoticeAbstractUI.aspx?menuIndex=3&amp;refID=6970817&amp;Result=3","6970817")</f>
        <v>0</v>
      </c>
      <c r="B14389" t="s">
        <v>1006</v>
      </c>
      <c r="C14389" t="s">
        <v>17204</v>
      </c>
      <c r="D14389" t="s">
        <v>17424</v>
      </c>
      <c r="E14389" t="s">
        <v>29859</v>
      </c>
      <c r="F14389" t="s">
        <v>30052</v>
      </c>
      <c r="G14389" t="s">
        <v>30059</v>
      </c>
      <c r="H14389" t="s">
        <v>15498</v>
      </c>
      <c r="I14389" t="s">
        <v>30096</v>
      </c>
      <c r="J14389" t="s">
        <v>30256</v>
      </c>
      <c r="K14389" t="s">
        <v>39019</v>
      </c>
      <c r="M14389" t="s">
        <v>40335</v>
      </c>
      <c r="N14389" t="s">
        <v>43166</v>
      </c>
      <c r="O14389" t="s">
        <v>43167</v>
      </c>
      <c r="Q14389">
        <v>3</v>
      </c>
      <c r="R14389" t="s">
        <v>43269</v>
      </c>
      <c r="S14389" t="s">
        <v>44601</v>
      </c>
      <c r="T14389" t="s">
        <v>44681</v>
      </c>
      <c r="U14389" t="s">
        <v>56644</v>
      </c>
      <c r="W14389" t="s">
        <v>40335</v>
      </c>
      <c r="X14389" t="s">
        <v>43224</v>
      </c>
    </row>
    <row r="14390" spans="1:24">
      <c r="A14390">
        <f>HYPERLINK("https://www.philgeps.gov.ph/GEPSNONPILOT/Tender/SplashBidNoticeAbstractUI.aspx?menuIndex=3&amp;refID=6970779&amp;Result=3","6970779")</f>
        <v>0</v>
      </c>
      <c r="B14390" t="s">
        <v>1032</v>
      </c>
      <c r="C14390" t="s">
        <v>17205</v>
      </c>
      <c r="D14390" t="s">
        <v>17485</v>
      </c>
      <c r="E14390" t="s">
        <v>29860</v>
      </c>
      <c r="F14390" t="s">
        <v>30052</v>
      </c>
      <c r="G14390" t="s">
        <v>30058</v>
      </c>
      <c r="H14390" t="s">
        <v>30067</v>
      </c>
      <c r="I14390" t="s">
        <v>3693</v>
      </c>
      <c r="J14390" t="s">
        <v>35970</v>
      </c>
      <c r="K14390" t="s">
        <v>39016</v>
      </c>
      <c r="M14390" t="s">
        <v>40361</v>
      </c>
      <c r="N14390" t="s">
        <v>43166</v>
      </c>
      <c r="O14390" t="s">
        <v>43167</v>
      </c>
      <c r="Q14390">
        <v>2</v>
      </c>
      <c r="R14390" t="s">
        <v>43269</v>
      </c>
      <c r="S14390" t="s">
        <v>44602</v>
      </c>
      <c r="T14390" t="s">
        <v>44924</v>
      </c>
      <c r="U14390" t="s">
        <v>56645</v>
      </c>
      <c r="W14390" t="s">
        <v>40361</v>
      </c>
      <c r="X14390" t="s">
        <v>43224</v>
      </c>
    </row>
    <row r="14391" spans="1:24">
      <c r="A14391">
        <f>HYPERLINK("https://www.philgeps.gov.ph/GEPSNONPILOT/Tender/SplashBidNoticeAbstractUI.aspx?menuIndex=3&amp;refID=6977331&amp;Result=3","6977331")</f>
        <v>0</v>
      </c>
      <c r="B14391" t="s">
        <v>3423</v>
      </c>
      <c r="C14391" t="s">
        <v>17206</v>
      </c>
      <c r="D14391" t="s">
        <v>17455</v>
      </c>
      <c r="E14391" t="s">
        <v>29861</v>
      </c>
      <c r="F14391" t="s">
        <v>30052</v>
      </c>
      <c r="G14391" t="s">
        <v>30058</v>
      </c>
      <c r="H14391" t="s">
        <v>30067</v>
      </c>
      <c r="I14391" t="s">
        <v>30106</v>
      </c>
      <c r="J14391" t="s">
        <v>38893</v>
      </c>
      <c r="K14391" t="s">
        <v>39031</v>
      </c>
      <c r="M14391" t="s">
        <v>43102</v>
      </c>
      <c r="N14391" t="s">
        <v>43166</v>
      </c>
      <c r="O14391" t="s">
        <v>43167</v>
      </c>
      <c r="Q14391">
        <v>7</v>
      </c>
      <c r="R14391" t="s">
        <v>43214</v>
      </c>
      <c r="S14391" t="s">
        <v>44603</v>
      </c>
      <c r="T14391" t="s">
        <v>45197</v>
      </c>
      <c r="U14391" t="s">
        <v>56646</v>
      </c>
      <c r="W14391" t="s">
        <v>43102</v>
      </c>
      <c r="X14391" t="s">
        <v>43281</v>
      </c>
    </row>
    <row r="14392" spans="1:24">
      <c r="A14392">
        <f>HYPERLINK("https://www.philgeps.gov.ph/GEPSNONPILOT/Tender/SplashBidNoticeAbstractUI.aspx?menuIndex=3&amp;refID=6952167&amp;Result=3","6952167")</f>
        <v>0</v>
      </c>
      <c r="B14392" t="s">
        <v>3438</v>
      </c>
      <c r="C14392" t="s">
        <v>17207</v>
      </c>
      <c r="D14392" t="s">
        <v>17415</v>
      </c>
      <c r="E14392" t="s">
        <v>29862</v>
      </c>
      <c r="F14392" t="s">
        <v>30052</v>
      </c>
      <c r="G14392" t="s">
        <v>30058</v>
      </c>
      <c r="H14392" t="s">
        <v>30069</v>
      </c>
      <c r="I14392" t="s">
        <v>30084</v>
      </c>
      <c r="J14392" t="s">
        <v>31207</v>
      </c>
      <c r="K14392" t="s">
        <v>39029</v>
      </c>
      <c r="M14392" t="s">
        <v>43137</v>
      </c>
      <c r="N14392" t="s">
        <v>43166</v>
      </c>
      <c r="O14392" t="s">
        <v>43167</v>
      </c>
      <c r="Q14392">
        <v>17</v>
      </c>
      <c r="R14392" t="s">
        <v>43270</v>
      </c>
      <c r="S14392" t="s">
        <v>44001</v>
      </c>
      <c r="T14392" t="s">
        <v>45086</v>
      </c>
      <c r="U14392" t="s">
        <v>56647</v>
      </c>
      <c r="W14392" t="s">
        <v>43137</v>
      </c>
      <c r="X14392" t="s">
        <v>43267</v>
      </c>
    </row>
    <row r="14393" spans="1:24">
      <c r="A14393">
        <f>HYPERLINK("https://www.philgeps.gov.ph/GEPSNONPILOT/Tender/SplashBidNoticeAbstractUI.aspx?menuIndex=3&amp;refID=6986793&amp;Result=3","6986793")</f>
        <v>0</v>
      </c>
      <c r="B14393" t="s">
        <v>1841</v>
      </c>
      <c r="C14393" t="s">
        <v>17208</v>
      </c>
      <c r="D14393" t="s">
        <v>17445</v>
      </c>
      <c r="E14393" t="s">
        <v>29863</v>
      </c>
      <c r="F14393" t="s">
        <v>30052</v>
      </c>
      <c r="G14393" t="s">
        <v>30058</v>
      </c>
      <c r="H14393" t="s">
        <v>30068</v>
      </c>
      <c r="I14393" t="s">
        <v>3693</v>
      </c>
      <c r="J14393" t="s">
        <v>38894</v>
      </c>
      <c r="K14393" t="s">
        <v>39033</v>
      </c>
      <c r="L14393" t="s">
        <v>1841</v>
      </c>
      <c r="M14393" t="s">
        <v>41266</v>
      </c>
      <c r="N14393" t="s">
        <v>43166</v>
      </c>
      <c r="O14393" t="s">
        <v>43167</v>
      </c>
      <c r="Q14393">
        <v>4</v>
      </c>
      <c r="R14393" t="s">
        <v>43217</v>
      </c>
      <c r="S14393" t="s">
        <v>44604</v>
      </c>
      <c r="T14393" t="s">
        <v>44750</v>
      </c>
      <c r="U14393" t="s">
        <v>56453</v>
      </c>
      <c r="W14393" t="s">
        <v>41266</v>
      </c>
      <c r="X14393" t="s">
        <v>43216</v>
      </c>
    </row>
    <row r="14394" spans="1:24">
      <c r="A14394">
        <f>HYPERLINK("https://www.philgeps.gov.ph/GEPSNONPILOT/Tender/SplashBidNoticeAbstractUI.aspx?menuIndex=3&amp;refID=6986391&amp;Result=3","6986391")</f>
        <v>0</v>
      </c>
      <c r="B14394" t="s">
        <v>3439</v>
      </c>
      <c r="C14394" t="s">
        <v>17209</v>
      </c>
      <c r="D14394" t="s">
        <v>17413</v>
      </c>
      <c r="E14394" t="s">
        <v>29864</v>
      </c>
      <c r="F14394" t="s">
        <v>30052</v>
      </c>
      <c r="G14394" t="s">
        <v>30058</v>
      </c>
      <c r="H14394" t="s">
        <v>30067</v>
      </c>
      <c r="I14394" t="s">
        <v>30140</v>
      </c>
      <c r="J14394" t="s">
        <v>31198</v>
      </c>
      <c r="K14394" t="s">
        <v>39026</v>
      </c>
      <c r="M14394" t="s">
        <v>43138</v>
      </c>
      <c r="N14394" t="s">
        <v>43166</v>
      </c>
      <c r="O14394" t="s">
        <v>43167</v>
      </c>
      <c r="Q14394">
        <v>12</v>
      </c>
      <c r="R14394" t="s">
        <v>43217</v>
      </c>
      <c r="S14394" t="s">
        <v>44605</v>
      </c>
      <c r="T14394" t="s">
        <v>45210</v>
      </c>
      <c r="U14394" t="s">
        <v>56648</v>
      </c>
      <c r="W14394" t="s">
        <v>43138</v>
      </c>
      <c r="X14394" t="s">
        <v>43216</v>
      </c>
    </row>
    <row r="14395" spans="1:24">
      <c r="A14395">
        <f>HYPERLINK("https://www.philgeps.gov.ph/GEPSNONPILOT/Tender/SplashBidNoticeAbstractUI.aspx?menuIndex=3&amp;refID=6955412&amp;Result=3","6955412")</f>
        <v>0</v>
      </c>
      <c r="B14395" t="s">
        <v>1325</v>
      </c>
      <c r="C14395" t="s">
        <v>17210</v>
      </c>
      <c r="D14395" t="s">
        <v>17413</v>
      </c>
      <c r="E14395" t="s">
        <v>29865</v>
      </c>
      <c r="F14395" t="s">
        <v>30052</v>
      </c>
      <c r="G14395" t="s">
        <v>30058</v>
      </c>
      <c r="H14395" t="s">
        <v>30067</v>
      </c>
      <c r="I14395" t="s">
        <v>3693</v>
      </c>
      <c r="J14395" t="s">
        <v>38895</v>
      </c>
      <c r="K14395" t="s">
        <v>39285</v>
      </c>
      <c r="M14395" t="s">
        <v>40692</v>
      </c>
      <c r="N14395" t="s">
        <v>43166</v>
      </c>
      <c r="O14395" t="s">
        <v>43167</v>
      </c>
      <c r="Q14395">
        <v>1</v>
      </c>
      <c r="R14395" t="s">
        <v>43226</v>
      </c>
      <c r="S14395" t="s">
        <v>44606</v>
      </c>
      <c r="T14395" t="s">
        <v>44715</v>
      </c>
      <c r="U14395" t="s">
        <v>56649</v>
      </c>
      <c r="W14395" t="s">
        <v>40692</v>
      </c>
      <c r="X14395" t="s">
        <v>58730</v>
      </c>
    </row>
    <row r="14396" spans="1:24">
      <c r="A14396">
        <f>HYPERLINK("https://www.philgeps.gov.ph/GEPSNONPILOT/Tender/SplashBidNoticeAbstractUI.aspx?menuIndex=3&amp;refID=6986257&amp;Result=3","6986257")</f>
        <v>0</v>
      </c>
      <c r="B14396" t="s">
        <v>1527</v>
      </c>
      <c r="C14396" t="s">
        <v>17211</v>
      </c>
      <c r="E14396" t="s">
        <v>29866</v>
      </c>
      <c r="F14396" t="s">
        <v>30052</v>
      </c>
      <c r="G14396" t="s">
        <v>30058</v>
      </c>
      <c r="H14396" t="s">
        <v>30067</v>
      </c>
      <c r="I14396" t="s">
        <v>3693</v>
      </c>
      <c r="J14396" t="s">
        <v>38896</v>
      </c>
      <c r="K14396" t="s">
        <v>39025</v>
      </c>
      <c r="M14396" t="s">
        <v>40913</v>
      </c>
      <c r="N14396" t="s">
        <v>43166</v>
      </c>
      <c r="O14396" t="s">
        <v>43167</v>
      </c>
      <c r="Q14396">
        <v>19</v>
      </c>
      <c r="R14396" t="s">
        <v>43217</v>
      </c>
      <c r="S14396" t="s">
        <v>44607</v>
      </c>
      <c r="T14396" t="s">
        <v>44901</v>
      </c>
      <c r="U14396" t="s">
        <v>56650</v>
      </c>
      <c r="W14396" t="s">
        <v>58643</v>
      </c>
      <c r="X14396" t="s">
        <v>43216</v>
      </c>
    </row>
    <row r="14397" spans="1:24">
      <c r="A14397">
        <f>HYPERLINK("https://www.philgeps.gov.ph/GEPSNONPILOT/Tender/SplashBidNoticeAbstractUI.aspx?menuIndex=3&amp;refID=6985978&amp;Result=3","6985978")</f>
        <v>0</v>
      </c>
      <c r="B14397" t="s">
        <v>1006</v>
      </c>
      <c r="C14397" t="s">
        <v>17212</v>
      </c>
      <c r="D14397" t="s">
        <v>17424</v>
      </c>
      <c r="E14397" t="s">
        <v>29867</v>
      </c>
      <c r="F14397" t="s">
        <v>30052</v>
      </c>
      <c r="G14397" t="s">
        <v>30062</v>
      </c>
      <c r="H14397" t="s">
        <v>15498</v>
      </c>
      <c r="I14397" t="s">
        <v>30081</v>
      </c>
      <c r="J14397" t="s">
        <v>38897</v>
      </c>
      <c r="K14397" t="s">
        <v>39019</v>
      </c>
      <c r="M14397" t="s">
        <v>40335</v>
      </c>
      <c r="N14397" t="s">
        <v>43166</v>
      </c>
      <c r="O14397" t="s">
        <v>43167</v>
      </c>
      <c r="Q14397">
        <v>3</v>
      </c>
      <c r="R14397" t="s">
        <v>43217</v>
      </c>
      <c r="S14397" t="s">
        <v>44608</v>
      </c>
      <c r="T14397" t="s">
        <v>44681</v>
      </c>
      <c r="U14397" t="s">
        <v>56651</v>
      </c>
      <c r="W14397" t="s">
        <v>40335</v>
      </c>
      <c r="X14397" t="s">
        <v>43216</v>
      </c>
    </row>
    <row r="14398" spans="1:24">
      <c r="A14398">
        <f>HYPERLINK("https://www.philgeps.gov.ph/GEPSNONPILOT/Tender/SplashBidNoticeAbstractUI.aspx?menuIndex=3&amp;refID=6990698&amp;Result=3","6990698")</f>
        <v>0</v>
      </c>
      <c r="B14398" t="s">
        <v>138</v>
      </c>
      <c r="C14398" t="s">
        <v>17213</v>
      </c>
      <c r="D14398" t="s">
        <v>17422</v>
      </c>
      <c r="E14398" t="s">
        <v>29868</v>
      </c>
      <c r="F14398" t="s">
        <v>30052</v>
      </c>
      <c r="G14398" t="s">
        <v>30059</v>
      </c>
      <c r="H14398" t="s">
        <v>15498</v>
      </c>
      <c r="I14398" t="s">
        <v>9238</v>
      </c>
      <c r="J14398" t="s">
        <v>38898</v>
      </c>
      <c r="K14398" t="s">
        <v>39019</v>
      </c>
      <c r="M14398" t="s">
        <v>39427</v>
      </c>
      <c r="N14398" t="s">
        <v>43166</v>
      </c>
      <c r="O14398" t="s">
        <v>43167</v>
      </c>
      <c r="Q14398">
        <v>8</v>
      </c>
      <c r="R14398" t="s">
        <v>43271</v>
      </c>
      <c r="S14398" t="s">
        <v>44609</v>
      </c>
      <c r="T14398" t="s">
        <v>44736</v>
      </c>
      <c r="U14398" t="s">
        <v>56652</v>
      </c>
      <c r="W14398" t="s">
        <v>39427</v>
      </c>
      <c r="X14398" t="s">
        <v>58735</v>
      </c>
    </row>
    <row r="14399" spans="1:24">
      <c r="A14399">
        <f>HYPERLINK("https://www.philgeps.gov.ph/GEPSNONPILOT/Tender/SplashBidNoticeAbstractUI.aspx?menuIndex=3&amp;refID=6994091&amp;Result=3","6994091")</f>
        <v>0</v>
      </c>
      <c r="B14399" t="s">
        <v>448</v>
      </c>
      <c r="C14399" t="s">
        <v>17214</v>
      </c>
      <c r="D14399" t="s">
        <v>17445</v>
      </c>
      <c r="E14399" t="s">
        <v>29869</v>
      </c>
      <c r="F14399" t="s">
        <v>30052</v>
      </c>
      <c r="G14399" t="s">
        <v>30058</v>
      </c>
      <c r="H14399" t="s">
        <v>15498</v>
      </c>
      <c r="I14399" t="s">
        <v>8323</v>
      </c>
      <c r="J14399" t="s">
        <v>38899</v>
      </c>
      <c r="K14399" t="s">
        <v>39025</v>
      </c>
      <c r="M14399" t="s">
        <v>39748</v>
      </c>
      <c r="N14399" t="s">
        <v>43166</v>
      </c>
      <c r="O14399" t="s">
        <v>43167</v>
      </c>
      <c r="Q14399">
        <v>5</v>
      </c>
      <c r="R14399" t="s">
        <v>43272</v>
      </c>
      <c r="S14399" t="s">
        <v>44610</v>
      </c>
      <c r="T14399" t="s">
        <v>44696</v>
      </c>
      <c r="U14399" t="s">
        <v>56653</v>
      </c>
      <c r="V14399" t="s">
        <v>58570</v>
      </c>
      <c r="W14399" t="s">
        <v>39748</v>
      </c>
      <c r="X14399" t="s">
        <v>43271</v>
      </c>
    </row>
    <row r="14400" spans="1:24">
      <c r="A14400">
        <f>HYPERLINK("https://www.philgeps.gov.ph/GEPSNONPILOT/Tender/SplashBidNoticeAbstractUI.aspx?menuIndex=3&amp;refID=7004595&amp;Result=3","7004595")</f>
        <v>0</v>
      </c>
      <c r="B14400" t="s">
        <v>3440</v>
      </c>
      <c r="C14400" t="s">
        <v>17215</v>
      </c>
      <c r="D14400" t="s">
        <v>17418</v>
      </c>
      <c r="E14400" t="s">
        <v>29870</v>
      </c>
      <c r="F14400" t="s">
        <v>30052</v>
      </c>
      <c r="G14400" t="s">
        <v>30058</v>
      </c>
      <c r="H14400" t="s">
        <v>30067</v>
      </c>
      <c r="I14400" t="s">
        <v>3693</v>
      </c>
      <c r="J14400" t="s">
        <v>34659</v>
      </c>
      <c r="K14400" t="s">
        <v>39033</v>
      </c>
      <c r="M14400" t="s">
        <v>43139</v>
      </c>
      <c r="N14400" t="s">
        <v>43166</v>
      </c>
      <c r="O14400" t="s">
        <v>43167</v>
      </c>
      <c r="Q14400">
        <v>9</v>
      </c>
      <c r="R14400" t="s">
        <v>43273</v>
      </c>
      <c r="S14400" t="s">
        <v>44469</v>
      </c>
      <c r="T14400" t="s">
        <v>45211</v>
      </c>
      <c r="U14400" t="s">
        <v>46582</v>
      </c>
      <c r="W14400" t="s">
        <v>43139</v>
      </c>
      <c r="X14400" t="s">
        <v>43212</v>
      </c>
    </row>
    <row r="14401" spans="1:24">
      <c r="A14401">
        <f>HYPERLINK("https://www.philgeps.gov.ph/GEPSNONPILOT/Tender/SplashBidNoticeAbstractUI.aspx?menuIndex=3&amp;refID=6414330&amp;Result=3","6414330")</f>
        <v>0</v>
      </c>
      <c r="B14401" t="s">
        <v>1925</v>
      </c>
      <c r="C14401" t="s">
        <v>17216</v>
      </c>
      <c r="D14401" t="s">
        <v>17462</v>
      </c>
      <c r="E14401" t="s">
        <v>29871</v>
      </c>
      <c r="F14401" t="s">
        <v>30052</v>
      </c>
      <c r="G14401" t="s">
        <v>30058</v>
      </c>
      <c r="H14401" t="s">
        <v>30068</v>
      </c>
      <c r="I14401" t="s">
        <v>30068</v>
      </c>
      <c r="J14401" t="s">
        <v>34775</v>
      </c>
      <c r="K14401" t="s">
        <v>39095</v>
      </c>
      <c r="M14401" t="s">
        <v>43107</v>
      </c>
      <c r="N14401" t="s">
        <v>43166</v>
      </c>
      <c r="O14401" t="s">
        <v>43167</v>
      </c>
      <c r="Q14401">
        <v>17</v>
      </c>
      <c r="R14401" t="s">
        <v>43274</v>
      </c>
      <c r="S14401" t="s">
        <v>44611</v>
      </c>
      <c r="T14401" t="s">
        <v>45018</v>
      </c>
      <c r="U14401" t="s">
        <v>56654</v>
      </c>
      <c r="W14401" t="s">
        <v>43107</v>
      </c>
      <c r="X14401" t="s">
        <v>58749</v>
      </c>
    </row>
    <row r="14402" spans="1:24">
      <c r="A14402">
        <f>HYPERLINK("https://www.philgeps.gov.ph/GEPSNONPILOT/Tender/SplashBidNoticeAbstractUI.aspx?menuIndex=3&amp;refID=6986787&amp;Result=3","6986787")</f>
        <v>0</v>
      </c>
      <c r="B14402" t="s">
        <v>1841</v>
      </c>
      <c r="C14402" t="s">
        <v>17217</v>
      </c>
      <c r="D14402" t="s">
        <v>17445</v>
      </c>
      <c r="E14402" t="s">
        <v>29872</v>
      </c>
      <c r="F14402" t="s">
        <v>30052</v>
      </c>
      <c r="G14402" t="s">
        <v>30058</v>
      </c>
      <c r="H14402" t="s">
        <v>30068</v>
      </c>
      <c r="I14402" t="s">
        <v>3693</v>
      </c>
      <c r="J14402" t="s">
        <v>38900</v>
      </c>
      <c r="K14402" t="s">
        <v>39190</v>
      </c>
      <c r="L14402" t="s">
        <v>1841</v>
      </c>
      <c r="M14402" t="s">
        <v>41266</v>
      </c>
      <c r="N14402" t="s">
        <v>43166</v>
      </c>
      <c r="O14402" t="s">
        <v>43167</v>
      </c>
      <c r="Q14402">
        <v>5</v>
      </c>
      <c r="R14402" t="s">
        <v>43217</v>
      </c>
      <c r="S14402" t="s">
        <v>44612</v>
      </c>
      <c r="T14402" t="s">
        <v>44750</v>
      </c>
      <c r="U14402" t="s">
        <v>56453</v>
      </c>
      <c r="W14402" t="s">
        <v>41266</v>
      </c>
      <c r="X14402" t="s">
        <v>43216</v>
      </c>
    </row>
    <row r="14403" spans="1:24">
      <c r="A14403">
        <f>HYPERLINK("https://www.philgeps.gov.ph/GEPSNONPILOT/Tender/SplashBidNoticeAbstractUI.aspx?menuIndex=3&amp;refID=6619256&amp;Result=3","6619256")</f>
        <v>0</v>
      </c>
      <c r="B14403" t="s">
        <v>1925</v>
      </c>
      <c r="C14403" t="s">
        <v>17218</v>
      </c>
      <c r="D14403" t="s">
        <v>17462</v>
      </c>
      <c r="E14403" t="s">
        <v>29873</v>
      </c>
      <c r="F14403" t="s">
        <v>30052</v>
      </c>
      <c r="G14403" t="s">
        <v>30058</v>
      </c>
      <c r="H14403" t="s">
        <v>30067</v>
      </c>
      <c r="I14403" t="s">
        <v>3693</v>
      </c>
      <c r="J14403" t="s">
        <v>38901</v>
      </c>
      <c r="K14403" t="s">
        <v>39031</v>
      </c>
      <c r="M14403" t="s">
        <v>43107</v>
      </c>
      <c r="N14403" t="s">
        <v>43166</v>
      </c>
      <c r="O14403" t="s">
        <v>43167</v>
      </c>
      <c r="Q14403">
        <v>16</v>
      </c>
      <c r="R14403" t="s">
        <v>43275</v>
      </c>
      <c r="S14403" t="s">
        <v>44613</v>
      </c>
      <c r="T14403" t="s">
        <v>45018</v>
      </c>
      <c r="U14403" t="s">
        <v>56505</v>
      </c>
      <c r="W14403" t="s">
        <v>43107</v>
      </c>
      <c r="X14403" t="s">
        <v>58750</v>
      </c>
    </row>
    <row r="14404" spans="1:24">
      <c r="A14404">
        <f>HYPERLINK("https://www.philgeps.gov.ph/GEPSNONPILOT/Tender/SplashBidNoticeAbstractUI.aspx?menuIndex=3&amp;refID=6730457&amp;Result=3","6730457")</f>
        <v>0</v>
      </c>
      <c r="B14404" t="s">
        <v>678</v>
      </c>
      <c r="C14404" t="s">
        <v>17219</v>
      </c>
      <c r="D14404" t="s">
        <v>17432</v>
      </c>
      <c r="E14404" t="s">
        <v>29874</v>
      </c>
      <c r="F14404" t="s">
        <v>30052</v>
      </c>
      <c r="G14404" t="s">
        <v>30058</v>
      </c>
      <c r="H14404" t="s">
        <v>30067</v>
      </c>
      <c r="I14404" t="s">
        <v>3693</v>
      </c>
      <c r="J14404" t="s">
        <v>31185</v>
      </c>
      <c r="K14404" t="s">
        <v>39118</v>
      </c>
      <c r="M14404" t="s">
        <v>39984</v>
      </c>
      <c r="N14404" t="s">
        <v>43166</v>
      </c>
      <c r="O14404" t="s">
        <v>43167</v>
      </c>
      <c r="Q14404">
        <v>1</v>
      </c>
      <c r="R14404" t="s">
        <v>43276</v>
      </c>
      <c r="S14404" t="s">
        <v>44614</v>
      </c>
      <c r="T14404" t="s">
        <v>44717</v>
      </c>
      <c r="U14404" t="s">
        <v>56655</v>
      </c>
      <c r="W14404" t="s">
        <v>39984</v>
      </c>
      <c r="X14404" t="s">
        <v>58751</v>
      </c>
    </row>
    <row r="14405" spans="1:24">
      <c r="A14405">
        <f>HYPERLINK("https://www.philgeps.gov.ph/GEPSNONPILOT/Tender/SplashBidNoticeAbstractUI.aspx?menuIndex=3&amp;refID=6771902&amp;Result=3","6771902")</f>
        <v>0</v>
      </c>
      <c r="B14405" t="s">
        <v>1523</v>
      </c>
      <c r="C14405" t="s">
        <v>17220</v>
      </c>
      <c r="E14405" t="s">
        <v>29875</v>
      </c>
      <c r="F14405" t="s">
        <v>30052</v>
      </c>
      <c r="G14405" t="s">
        <v>30058</v>
      </c>
      <c r="H14405" t="s">
        <v>30067</v>
      </c>
      <c r="I14405" t="s">
        <v>3693</v>
      </c>
      <c r="J14405" t="s">
        <v>38902</v>
      </c>
      <c r="K14405" t="s">
        <v>39025</v>
      </c>
      <c r="M14405" t="s">
        <v>43140</v>
      </c>
      <c r="N14405" t="s">
        <v>43166</v>
      </c>
      <c r="O14405" t="s">
        <v>43167</v>
      </c>
      <c r="Q14405">
        <v>58</v>
      </c>
      <c r="R14405" t="s">
        <v>43277</v>
      </c>
      <c r="S14405" t="s">
        <v>44615</v>
      </c>
      <c r="T14405" t="s">
        <v>44986</v>
      </c>
      <c r="U14405" t="s">
        <v>56656</v>
      </c>
      <c r="W14405" t="s">
        <v>43140</v>
      </c>
      <c r="X14405" t="s">
        <v>58752</v>
      </c>
    </row>
    <row r="14406" spans="1:24">
      <c r="A14406">
        <f>HYPERLINK("https://www.philgeps.gov.ph/GEPSNONPILOT/Tender/SplashBidNoticeAbstractUI.aspx?menuIndex=3&amp;refID=6785474&amp;Result=3","6785474")</f>
        <v>0</v>
      </c>
      <c r="B14406" t="s">
        <v>1925</v>
      </c>
      <c r="C14406" t="s">
        <v>17221</v>
      </c>
      <c r="D14406" t="s">
        <v>17462</v>
      </c>
      <c r="E14406" t="s">
        <v>29876</v>
      </c>
      <c r="F14406" t="s">
        <v>30052</v>
      </c>
      <c r="G14406" t="s">
        <v>30058</v>
      </c>
      <c r="H14406" t="s">
        <v>30067</v>
      </c>
      <c r="I14406" t="s">
        <v>3693</v>
      </c>
      <c r="J14406" t="s">
        <v>38903</v>
      </c>
      <c r="K14406" t="s">
        <v>39026</v>
      </c>
      <c r="M14406" t="s">
        <v>43107</v>
      </c>
      <c r="N14406" t="s">
        <v>43166</v>
      </c>
      <c r="O14406" t="s">
        <v>43167</v>
      </c>
      <c r="Q14406">
        <v>20</v>
      </c>
      <c r="R14406" t="s">
        <v>43278</v>
      </c>
      <c r="S14406" t="s">
        <v>44616</v>
      </c>
      <c r="T14406" t="s">
        <v>45018</v>
      </c>
      <c r="U14406" t="s">
        <v>56565</v>
      </c>
      <c r="W14406" t="s">
        <v>43107</v>
      </c>
      <c r="X14406" t="s">
        <v>58753</v>
      </c>
    </row>
    <row r="14407" spans="1:24">
      <c r="A14407">
        <f>HYPERLINK("https://www.philgeps.gov.ph/GEPSNONPILOT/Tender/SplashBidNoticeAbstractUI.aspx?menuIndex=3&amp;refID=6798325&amp;Result=3","6798325")</f>
        <v>0</v>
      </c>
      <c r="B14407" t="s">
        <v>919</v>
      </c>
      <c r="C14407" t="s">
        <v>17222</v>
      </c>
      <c r="E14407" t="s">
        <v>29877</v>
      </c>
      <c r="F14407" t="s">
        <v>30052</v>
      </c>
      <c r="G14407" t="s">
        <v>30058</v>
      </c>
      <c r="H14407" t="s">
        <v>30067</v>
      </c>
      <c r="I14407" t="s">
        <v>3693</v>
      </c>
      <c r="J14407" t="s">
        <v>38904</v>
      </c>
      <c r="K14407" t="s">
        <v>39025</v>
      </c>
      <c r="M14407" t="s">
        <v>43101</v>
      </c>
      <c r="N14407" t="s">
        <v>43166</v>
      </c>
      <c r="O14407" t="s">
        <v>43167</v>
      </c>
      <c r="Q14407">
        <v>1</v>
      </c>
      <c r="R14407" t="s">
        <v>43279</v>
      </c>
      <c r="S14407" t="s">
        <v>44617</v>
      </c>
      <c r="T14407" t="s">
        <v>44717</v>
      </c>
      <c r="U14407" t="s">
        <v>56657</v>
      </c>
      <c r="W14407" t="s">
        <v>43101</v>
      </c>
      <c r="X14407" t="s">
        <v>58754</v>
      </c>
    </row>
    <row r="14408" spans="1:24">
      <c r="A14408">
        <f>HYPERLINK("https://www.philgeps.gov.ph/GEPSNONPILOT/Tender/SplashBidNoticeAbstractUI.aspx?menuIndex=3&amp;refID=6798317&amp;Result=3","6798317")</f>
        <v>0</v>
      </c>
      <c r="B14408" t="s">
        <v>919</v>
      </c>
      <c r="C14408" t="s">
        <v>17223</v>
      </c>
      <c r="E14408" t="s">
        <v>29878</v>
      </c>
      <c r="F14408" t="s">
        <v>30052</v>
      </c>
      <c r="G14408" t="s">
        <v>30058</v>
      </c>
      <c r="H14408" t="s">
        <v>30067</v>
      </c>
      <c r="I14408" t="s">
        <v>3693</v>
      </c>
      <c r="J14408" t="s">
        <v>38905</v>
      </c>
      <c r="K14408" t="s">
        <v>39025</v>
      </c>
      <c r="M14408" t="s">
        <v>43101</v>
      </c>
      <c r="N14408" t="s">
        <v>43166</v>
      </c>
      <c r="O14408" t="s">
        <v>43167</v>
      </c>
      <c r="Q14408">
        <v>1</v>
      </c>
      <c r="R14408" t="s">
        <v>43279</v>
      </c>
      <c r="S14408" t="s">
        <v>44618</v>
      </c>
      <c r="T14408" t="s">
        <v>44717</v>
      </c>
      <c r="U14408" t="s">
        <v>56658</v>
      </c>
      <c r="W14408" t="s">
        <v>43101</v>
      </c>
      <c r="X14408" t="s">
        <v>58754</v>
      </c>
    </row>
    <row r="14409" spans="1:24">
      <c r="A14409">
        <f>HYPERLINK("https://www.philgeps.gov.ph/GEPSNONPILOT/Tender/SplashBidNoticeAbstractUI.aspx?menuIndex=3&amp;refID=6798304&amp;Result=3","6798304")</f>
        <v>0</v>
      </c>
      <c r="B14409" t="s">
        <v>919</v>
      </c>
      <c r="C14409" t="s">
        <v>17224</v>
      </c>
      <c r="E14409" t="s">
        <v>29879</v>
      </c>
      <c r="F14409" t="s">
        <v>30052</v>
      </c>
      <c r="G14409" t="s">
        <v>30058</v>
      </c>
      <c r="H14409" t="s">
        <v>30067</v>
      </c>
      <c r="I14409" t="s">
        <v>3693</v>
      </c>
      <c r="J14409" t="s">
        <v>38904</v>
      </c>
      <c r="K14409" t="s">
        <v>39025</v>
      </c>
      <c r="M14409" t="s">
        <v>43101</v>
      </c>
      <c r="N14409" t="s">
        <v>43166</v>
      </c>
      <c r="O14409" t="s">
        <v>43167</v>
      </c>
      <c r="Q14409">
        <v>1</v>
      </c>
      <c r="R14409" t="s">
        <v>43279</v>
      </c>
      <c r="S14409" t="s">
        <v>44618</v>
      </c>
      <c r="T14409" t="s">
        <v>44717</v>
      </c>
      <c r="U14409" t="s">
        <v>56659</v>
      </c>
      <c r="W14409" t="s">
        <v>43101</v>
      </c>
      <c r="X14409" t="s">
        <v>58754</v>
      </c>
    </row>
    <row r="14410" spans="1:24">
      <c r="A14410">
        <f>HYPERLINK("https://www.philgeps.gov.ph/GEPSNONPILOT/Tender/SplashBidNoticeAbstractUI.aspx?menuIndex=3&amp;refID=6811975&amp;Result=3","6811975")</f>
        <v>0</v>
      </c>
      <c r="B14410" t="s">
        <v>908</v>
      </c>
      <c r="C14410" t="s">
        <v>17225</v>
      </c>
      <c r="D14410" t="s">
        <v>17415</v>
      </c>
      <c r="E14410" t="s">
        <v>29880</v>
      </c>
      <c r="F14410" t="s">
        <v>30052</v>
      </c>
      <c r="G14410" t="s">
        <v>30058</v>
      </c>
      <c r="H14410" t="s">
        <v>15498</v>
      </c>
      <c r="I14410" t="s">
        <v>30088</v>
      </c>
      <c r="J14410" t="s">
        <v>33773</v>
      </c>
      <c r="K14410" t="s">
        <v>39023</v>
      </c>
      <c r="M14410" t="s">
        <v>41997</v>
      </c>
      <c r="N14410" t="s">
        <v>43166</v>
      </c>
      <c r="O14410" t="s">
        <v>43167</v>
      </c>
      <c r="Q14410">
        <v>33</v>
      </c>
      <c r="R14410" t="s">
        <v>43280</v>
      </c>
      <c r="S14410" t="s">
        <v>44619</v>
      </c>
      <c r="T14410" t="s">
        <v>44798</v>
      </c>
      <c r="U14410" t="s">
        <v>51787</v>
      </c>
      <c r="W14410" t="s">
        <v>41997</v>
      </c>
      <c r="X14410" t="s">
        <v>58755</v>
      </c>
    </row>
    <row r="14411" spans="1:24">
      <c r="A14411">
        <f>HYPERLINK("https://www.philgeps.gov.ph/GEPSNONPILOT/Tender/SplashBidNoticeAbstractUI.aspx?menuIndex=3&amp;refID=6814620&amp;Result=3","6814620")</f>
        <v>0</v>
      </c>
      <c r="B14411" t="s">
        <v>2462</v>
      </c>
      <c r="C14411" t="s">
        <v>17226</v>
      </c>
      <c r="D14411" t="s">
        <v>17415</v>
      </c>
      <c r="E14411" t="s">
        <v>29881</v>
      </c>
      <c r="F14411" t="s">
        <v>30052</v>
      </c>
      <c r="G14411" t="s">
        <v>30058</v>
      </c>
      <c r="H14411" t="s">
        <v>30067</v>
      </c>
      <c r="I14411" t="s">
        <v>3693</v>
      </c>
      <c r="J14411" t="s">
        <v>38906</v>
      </c>
      <c r="K14411" t="s">
        <v>39190</v>
      </c>
      <c r="M14411" t="s">
        <v>42296</v>
      </c>
      <c r="N14411" t="s">
        <v>43166</v>
      </c>
      <c r="O14411" t="s">
        <v>43167</v>
      </c>
      <c r="Q14411">
        <v>94</v>
      </c>
      <c r="R14411" t="s">
        <v>43263</v>
      </c>
      <c r="S14411" t="s">
        <v>44620</v>
      </c>
      <c r="T14411" t="s">
        <v>44734</v>
      </c>
      <c r="U14411" t="s">
        <v>52735</v>
      </c>
      <c r="V14411" t="s">
        <v>58571</v>
      </c>
      <c r="W14411" t="s">
        <v>42296</v>
      </c>
      <c r="X14411" t="s">
        <v>43280</v>
      </c>
    </row>
    <row r="14412" spans="1:24">
      <c r="A14412">
        <f>HYPERLINK("https://www.philgeps.gov.ph/GEPSNONPILOT/Tender/SplashBidNoticeAbstractUI.aspx?menuIndex=3&amp;refID=6975651&amp;Result=3","6975651")</f>
        <v>0</v>
      </c>
      <c r="B14412" t="s">
        <v>1197</v>
      </c>
      <c r="C14412" t="s">
        <v>17227</v>
      </c>
      <c r="D14412" t="s">
        <v>17463</v>
      </c>
      <c r="E14412" t="s">
        <v>29882</v>
      </c>
      <c r="F14412" t="s">
        <v>30052</v>
      </c>
      <c r="G14412" t="s">
        <v>30059</v>
      </c>
      <c r="H14412" t="s">
        <v>15498</v>
      </c>
      <c r="I14412" t="s">
        <v>4650</v>
      </c>
      <c r="J14412" t="s">
        <v>30417</v>
      </c>
      <c r="K14412" t="s">
        <v>39031</v>
      </c>
      <c r="M14412" t="s">
        <v>40550</v>
      </c>
      <c r="N14412" t="s">
        <v>43166</v>
      </c>
      <c r="O14412" t="s">
        <v>43167</v>
      </c>
      <c r="P14412">
        <v>0</v>
      </c>
      <c r="Q14412">
        <v>1</v>
      </c>
      <c r="R14412" t="s">
        <v>43281</v>
      </c>
      <c r="S14412" t="s">
        <v>44621</v>
      </c>
      <c r="T14412" t="s">
        <v>45212</v>
      </c>
      <c r="U14412" t="s">
        <v>47813</v>
      </c>
      <c r="W14412" t="s">
        <v>40550</v>
      </c>
      <c r="X14412" t="s">
        <v>58756</v>
      </c>
    </row>
    <row r="14413" spans="1:24">
      <c r="A14413">
        <f>HYPERLINK("https://www.philgeps.gov.ph/GEPSNONPILOT/Tender/SplashBidNoticeAbstractUI.aspx?menuIndex=3&amp;refID=7003939&amp;Result=3","7003939")</f>
        <v>0</v>
      </c>
      <c r="B14413" t="s">
        <v>611</v>
      </c>
      <c r="C14413" t="s">
        <v>17228</v>
      </c>
      <c r="D14413" t="s">
        <v>17464</v>
      </c>
      <c r="E14413" t="s">
        <v>29883</v>
      </c>
      <c r="F14413" t="s">
        <v>30052</v>
      </c>
      <c r="G14413" t="s">
        <v>30059</v>
      </c>
      <c r="H14413" t="s">
        <v>15498</v>
      </c>
      <c r="I14413" t="s">
        <v>30108</v>
      </c>
      <c r="J14413" t="s">
        <v>38907</v>
      </c>
      <c r="K14413" t="s">
        <v>39019</v>
      </c>
      <c r="M14413" t="s">
        <v>39913</v>
      </c>
      <c r="N14413" t="s">
        <v>43166</v>
      </c>
      <c r="O14413" t="s">
        <v>43167</v>
      </c>
      <c r="Q14413">
        <v>0</v>
      </c>
      <c r="R14413" t="s">
        <v>43273</v>
      </c>
      <c r="S14413" t="s">
        <v>43592</v>
      </c>
      <c r="T14413" t="s">
        <v>44728</v>
      </c>
      <c r="U14413" t="s">
        <v>56660</v>
      </c>
      <c r="W14413" t="s">
        <v>39913</v>
      </c>
      <c r="X14413" t="s">
        <v>43212</v>
      </c>
    </row>
    <row r="14414" spans="1:24">
      <c r="A14414">
        <f>HYPERLINK("https://www.philgeps.gov.ph/GEPSNONPILOT/Tender/SplashBidNoticeAbstractUI.aspx?menuIndex=3&amp;refID=6798337&amp;Result=3","6798337")</f>
        <v>0</v>
      </c>
      <c r="B14414" t="s">
        <v>919</v>
      </c>
      <c r="C14414" t="s">
        <v>17229</v>
      </c>
      <c r="E14414" t="s">
        <v>29884</v>
      </c>
      <c r="F14414" t="s">
        <v>30052</v>
      </c>
      <c r="G14414" t="s">
        <v>30058</v>
      </c>
      <c r="H14414" t="s">
        <v>30067</v>
      </c>
      <c r="I14414" t="s">
        <v>3693</v>
      </c>
      <c r="J14414" t="s">
        <v>33011</v>
      </c>
      <c r="K14414" t="s">
        <v>39025</v>
      </c>
      <c r="M14414" t="s">
        <v>43101</v>
      </c>
      <c r="N14414" t="s">
        <v>43166</v>
      </c>
      <c r="O14414" t="s">
        <v>43167</v>
      </c>
      <c r="Q14414">
        <v>0</v>
      </c>
      <c r="R14414" t="s">
        <v>43279</v>
      </c>
      <c r="S14414" t="s">
        <v>44622</v>
      </c>
      <c r="T14414" t="s">
        <v>44717</v>
      </c>
      <c r="U14414" t="s">
        <v>56661</v>
      </c>
      <c r="W14414" t="s">
        <v>43101</v>
      </c>
      <c r="X14414" t="s">
        <v>58754</v>
      </c>
    </row>
    <row r="14415" spans="1:24">
      <c r="A14415">
        <f>HYPERLINK("https://www.philgeps.gov.ph/GEPSNONPILOT/Tender/SplashBidNoticeAbstractUI.aspx?menuIndex=3&amp;refID=7003908&amp;Result=3","7003908")</f>
        <v>0</v>
      </c>
      <c r="B14415" t="s">
        <v>611</v>
      </c>
      <c r="C14415" t="s">
        <v>17230</v>
      </c>
      <c r="D14415" t="s">
        <v>17415</v>
      </c>
      <c r="E14415" t="s">
        <v>29885</v>
      </c>
      <c r="F14415" t="s">
        <v>30052</v>
      </c>
      <c r="G14415" t="s">
        <v>30059</v>
      </c>
      <c r="H14415" t="s">
        <v>15498</v>
      </c>
      <c r="I14415" t="s">
        <v>30100</v>
      </c>
      <c r="J14415" t="s">
        <v>30358</v>
      </c>
      <c r="K14415" t="s">
        <v>39019</v>
      </c>
      <c r="M14415" t="s">
        <v>39913</v>
      </c>
      <c r="N14415" t="s">
        <v>43166</v>
      </c>
      <c r="O14415" t="s">
        <v>43167</v>
      </c>
      <c r="Q14415">
        <v>1</v>
      </c>
      <c r="R14415" t="s">
        <v>43273</v>
      </c>
      <c r="S14415" t="s">
        <v>44623</v>
      </c>
      <c r="T14415" t="s">
        <v>44728</v>
      </c>
      <c r="U14415" t="s">
        <v>56662</v>
      </c>
      <c r="W14415" t="s">
        <v>39913</v>
      </c>
      <c r="X14415" t="s">
        <v>43212</v>
      </c>
    </row>
    <row r="14416" spans="1:24">
      <c r="A14416">
        <f>HYPERLINK("https://www.philgeps.gov.ph/GEPSNONPILOT/Tender/SplashBidNoticeAbstractUI.aspx?menuIndex=3&amp;refID=7003851&amp;Result=3","7003851")</f>
        <v>0</v>
      </c>
      <c r="B14416" t="s">
        <v>611</v>
      </c>
      <c r="C14416" t="s">
        <v>17231</v>
      </c>
      <c r="D14416" t="s">
        <v>17415</v>
      </c>
      <c r="E14416" t="s">
        <v>29886</v>
      </c>
      <c r="F14416" t="s">
        <v>30052</v>
      </c>
      <c r="G14416" t="s">
        <v>30059</v>
      </c>
      <c r="H14416" t="s">
        <v>15498</v>
      </c>
      <c r="I14416" t="s">
        <v>30108</v>
      </c>
      <c r="J14416" t="s">
        <v>38908</v>
      </c>
      <c r="K14416" t="s">
        <v>39019</v>
      </c>
      <c r="M14416" t="s">
        <v>39913</v>
      </c>
      <c r="N14416" t="s">
        <v>43166</v>
      </c>
      <c r="O14416" t="s">
        <v>43167</v>
      </c>
      <c r="Q14416">
        <v>2</v>
      </c>
      <c r="R14416" t="s">
        <v>43273</v>
      </c>
      <c r="S14416" t="s">
        <v>44624</v>
      </c>
      <c r="T14416" t="s">
        <v>44728</v>
      </c>
      <c r="U14416" t="s">
        <v>56663</v>
      </c>
      <c r="W14416" t="s">
        <v>39913</v>
      </c>
      <c r="X14416" t="s">
        <v>43212</v>
      </c>
    </row>
    <row r="14417" spans="1:24">
      <c r="A14417">
        <f>HYPERLINK("https://www.philgeps.gov.ph/GEPSNONPILOT/Tender/SplashBidNoticeAbstractUI.aspx?menuIndex=3&amp;refID=7006580&amp;Result=3","7006580")</f>
        <v>0</v>
      </c>
      <c r="B14417" t="s">
        <v>1190</v>
      </c>
      <c r="C14417" t="s">
        <v>17232</v>
      </c>
      <c r="D14417" t="s">
        <v>17415</v>
      </c>
      <c r="E14417" t="s">
        <v>29887</v>
      </c>
      <c r="F14417" t="s">
        <v>30052</v>
      </c>
      <c r="G14417" t="s">
        <v>30059</v>
      </c>
      <c r="H14417" t="s">
        <v>15498</v>
      </c>
      <c r="I14417" t="s">
        <v>30081</v>
      </c>
      <c r="J14417" t="s">
        <v>38909</v>
      </c>
      <c r="K14417" t="s">
        <v>39036</v>
      </c>
      <c r="M14417" t="s">
        <v>40737</v>
      </c>
      <c r="N14417" t="s">
        <v>43166</v>
      </c>
      <c r="O14417" t="s">
        <v>43167</v>
      </c>
      <c r="Q14417">
        <v>0</v>
      </c>
      <c r="R14417" t="s">
        <v>43204</v>
      </c>
      <c r="S14417" t="s">
        <v>44625</v>
      </c>
      <c r="T14417" t="s">
        <v>44837</v>
      </c>
      <c r="U14417" t="s">
        <v>56664</v>
      </c>
      <c r="W14417" t="s">
        <v>40737</v>
      </c>
      <c r="X14417" t="s">
        <v>43273</v>
      </c>
    </row>
    <row r="14418" spans="1:24">
      <c r="A14418">
        <f>HYPERLINK("https://www.philgeps.gov.ph/GEPSNONPILOT/Tender/SplashBidNoticeAbstractUI.aspx?menuIndex=3&amp;refID=6973057&amp;Result=3","6973057")</f>
        <v>0</v>
      </c>
      <c r="B14418" t="s">
        <v>1006</v>
      </c>
      <c r="C14418" t="s">
        <v>17233</v>
      </c>
      <c r="D14418" t="s">
        <v>17424</v>
      </c>
      <c r="E14418" t="s">
        <v>29888</v>
      </c>
      <c r="F14418" t="s">
        <v>30052</v>
      </c>
      <c r="G14418" t="s">
        <v>30062</v>
      </c>
      <c r="H14418" t="s">
        <v>15498</v>
      </c>
      <c r="I14418" t="s">
        <v>4119</v>
      </c>
      <c r="J14418" t="s">
        <v>30998</v>
      </c>
      <c r="K14418" t="s">
        <v>39019</v>
      </c>
      <c r="M14418" t="s">
        <v>40335</v>
      </c>
      <c r="N14418" t="s">
        <v>43166</v>
      </c>
      <c r="O14418" t="s">
        <v>43167</v>
      </c>
      <c r="Q14418">
        <v>4</v>
      </c>
      <c r="R14418" t="s">
        <v>43282</v>
      </c>
      <c r="S14418" t="s">
        <v>44626</v>
      </c>
      <c r="T14418" t="s">
        <v>44681</v>
      </c>
      <c r="U14418" t="s">
        <v>56665</v>
      </c>
      <c r="W14418" t="s">
        <v>40335</v>
      </c>
      <c r="X14418" t="s">
        <v>58738</v>
      </c>
    </row>
    <row r="14419" spans="1:24">
      <c r="A14419">
        <f>HYPERLINK("https://www.philgeps.gov.ph/GEPSNONPILOT/Tender/SplashBidNoticeAbstractUI.aspx?menuIndex=3&amp;refID=7018196&amp;Result=3","7018196")</f>
        <v>0</v>
      </c>
      <c r="B14419" t="s">
        <v>1024</v>
      </c>
      <c r="C14419" t="s">
        <v>17234</v>
      </c>
      <c r="D14419" t="s">
        <v>17432</v>
      </c>
      <c r="E14419" t="s">
        <v>29889</v>
      </c>
      <c r="F14419" t="s">
        <v>30052</v>
      </c>
      <c r="G14419" t="s">
        <v>30058</v>
      </c>
      <c r="H14419" t="s">
        <v>30067</v>
      </c>
      <c r="I14419" t="s">
        <v>3693</v>
      </c>
      <c r="J14419" t="s">
        <v>31772</v>
      </c>
      <c r="K14419" t="s">
        <v>39026</v>
      </c>
      <c r="M14419" t="s">
        <v>40353</v>
      </c>
      <c r="N14419" t="s">
        <v>43166</v>
      </c>
      <c r="O14419" t="s">
        <v>43167</v>
      </c>
      <c r="Q14419">
        <v>3</v>
      </c>
      <c r="R14419" t="s">
        <v>43200</v>
      </c>
      <c r="S14419" t="s">
        <v>44627</v>
      </c>
      <c r="T14419" t="s">
        <v>45085</v>
      </c>
      <c r="U14419" t="s">
        <v>56666</v>
      </c>
      <c r="W14419" t="s">
        <v>40353</v>
      </c>
      <c r="X14419" t="s">
        <v>43208</v>
      </c>
    </row>
    <row r="14420" spans="1:24">
      <c r="A14420">
        <f>HYPERLINK("https://www.philgeps.gov.ph/GEPSNONPILOT/Tender/SplashBidNoticeAbstractUI.aspx?menuIndex=3&amp;refID=7018186&amp;Result=3","7018186")</f>
        <v>0</v>
      </c>
      <c r="B14420" t="s">
        <v>1024</v>
      </c>
      <c r="C14420" t="s">
        <v>17235</v>
      </c>
      <c r="D14420" t="s">
        <v>17432</v>
      </c>
      <c r="E14420" t="s">
        <v>29890</v>
      </c>
      <c r="F14420" t="s">
        <v>30052</v>
      </c>
      <c r="G14420" t="s">
        <v>30058</v>
      </c>
      <c r="H14420" t="s">
        <v>30067</v>
      </c>
      <c r="I14420" t="s">
        <v>3693</v>
      </c>
      <c r="J14420" t="s">
        <v>38910</v>
      </c>
      <c r="K14420" t="s">
        <v>39117</v>
      </c>
      <c r="M14420" t="s">
        <v>40353</v>
      </c>
      <c r="N14420" t="s">
        <v>43166</v>
      </c>
      <c r="O14420" t="s">
        <v>43167</v>
      </c>
      <c r="Q14420">
        <v>7</v>
      </c>
      <c r="R14420" t="s">
        <v>43200</v>
      </c>
      <c r="S14420" t="s">
        <v>44628</v>
      </c>
      <c r="T14420" t="s">
        <v>45085</v>
      </c>
      <c r="U14420" t="s">
        <v>56667</v>
      </c>
      <c r="W14420" t="s">
        <v>40353</v>
      </c>
      <c r="X14420" t="s">
        <v>43208</v>
      </c>
    </row>
    <row r="14421" spans="1:24">
      <c r="A14421">
        <f>HYPERLINK("https://www.philgeps.gov.ph/GEPSNONPILOT/Tender/SplashBidNoticeAbstractUI.aspx?menuIndex=3&amp;refID=7019405&amp;Result=3","7019405")</f>
        <v>0</v>
      </c>
      <c r="B14421" t="s">
        <v>1555</v>
      </c>
      <c r="C14421" t="s">
        <v>17236</v>
      </c>
      <c r="D14421" t="s">
        <v>17422</v>
      </c>
      <c r="E14421" t="s">
        <v>29891</v>
      </c>
      <c r="F14421" t="s">
        <v>30052</v>
      </c>
      <c r="G14421" t="s">
        <v>30058</v>
      </c>
      <c r="H14421" t="s">
        <v>15498</v>
      </c>
      <c r="I14421" t="s">
        <v>4650</v>
      </c>
      <c r="J14421" t="s">
        <v>37810</v>
      </c>
      <c r="K14421" t="s">
        <v>39034</v>
      </c>
      <c r="M14421" t="s">
        <v>40944</v>
      </c>
      <c r="N14421" t="s">
        <v>43166</v>
      </c>
      <c r="O14421" t="s">
        <v>43167</v>
      </c>
      <c r="P14421">
        <v>0</v>
      </c>
      <c r="Q14421">
        <v>6</v>
      </c>
      <c r="R14421" t="s">
        <v>43202</v>
      </c>
      <c r="S14421" t="s">
        <v>44358</v>
      </c>
      <c r="T14421" t="s">
        <v>44814</v>
      </c>
      <c r="U14421" t="s">
        <v>56668</v>
      </c>
      <c r="W14421" t="s">
        <v>58644</v>
      </c>
      <c r="X14421" t="s">
        <v>43201</v>
      </c>
    </row>
    <row r="14422" spans="1:24">
      <c r="A14422">
        <f>HYPERLINK("https://www.philgeps.gov.ph/GEPSNONPILOT/Tender/SplashBidNoticeAbstractUI.aspx?menuIndex=3&amp;refID=7018242&amp;Result=3","7018242")</f>
        <v>0</v>
      </c>
      <c r="B14422" t="s">
        <v>1024</v>
      </c>
      <c r="C14422" t="s">
        <v>17237</v>
      </c>
      <c r="D14422" t="s">
        <v>17432</v>
      </c>
      <c r="E14422" t="s">
        <v>29892</v>
      </c>
      <c r="F14422" t="s">
        <v>30052</v>
      </c>
      <c r="G14422" t="s">
        <v>30058</v>
      </c>
      <c r="H14422" t="s">
        <v>30067</v>
      </c>
      <c r="I14422" t="s">
        <v>3693</v>
      </c>
      <c r="J14422" t="s">
        <v>38911</v>
      </c>
      <c r="K14422" t="s">
        <v>39112</v>
      </c>
      <c r="M14422" t="s">
        <v>40353</v>
      </c>
      <c r="N14422" t="s">
        <v>43166</v>
      </c>
      <c r="O14422" t="s">
        <v>43167</v>
      </c>
      <c r="Q14422">
        <v>6</v>
      </c>
      <c r="R14422" t="s">
        <v>43202</v>
      </c>
      <c r="S14422" t="s">
        <v>43458</v>
      </c>
      <c r="T14422" t="s">
        <v>45085</v>
      </c>
      <c r="U14422" t="s">
        <v>56669</v>
      </c>
      <c r="W14422" t="s">
        <v>40353</v>
      </c>
      <c r="X14422" t="s">
        <v>43208</v>
      </c>
    </row>
    <row r="14423" spans="1:24">
      <c r="A14423">
        <f>HYPERLINK("https://www.philgeps.gov.ph/GEPSNONPILOT/Tender/SplashBidNoticeAbstractUI.aspx?menuIndex=3&amp;refID=7003767&amp;Result=3","7003767")</f>
        <v>0</v>
      </c>
      <c r="B14423" t="s">
        <v>924</v>
      </c>
      <c r="C14423" t="s">
        <v>17238</v>
      </c>
      <c r="E14423" t="s">
        <v>29893</v>
      </c>
      <c r="F14423" t="s">
        <v>30052</v>
      </c>
      <c r="G14423" t="s">
        <v>30058</v>
      </c>
      <c r="H14423" t="s">
        <v>30067</v>
      </c>
      <c r="I14423" t="s">
        <v>3693</v>
      </c>
      <c r="J14423" t="s">
        <v>38912</v>
      </c>
      <c r="K14423" t="s">
        <v>39025</v>
      </c>
      <c r="M14423" t="s">
        <v>40247</v>
      </c>
      <c r="N14423" t="s">
        <v>43166</v>
      </c>
      <c r="O14423" t="s">
        <v>43167</v>
      </c>
      <c r="Q14423">
        <v>72</v>
      </c>
      <c r="R14423" t="s">
        <v>43273</v>
      </c>
      <c r="S14423" t="s">
        <v>44317</v>
      </c>
      <c r="T14423" t="s">
        <v>44842</v>
      </c>
      <c r="U14423" t="s">
        <v>47052</v>
      </c>
      <c r="W14423" t="s">
        <v>58617</v>
      </c>
      <c r="X14423" t="s">
        <v>43212</v>
      </c>
    </row>
    <row r="14424" spans="1:24">
      <c r="A14424">
        <f>HYPERLINK("https://www.philgeps.gov.ph/GEPSNONPILOT/Tender/SplashBidNoticeAbstractUI.aspx?menuIndex=3&amp;refID=6811973&amp;Result=3","6811973")</f>
        <v>0</v>
      </c>
      <c r="B14424" t="s">
        <v>908</v>
      </c>
      <c r="C14424" t="s">
        <v>17239</v>
      </c>
      <c r="D14424" t="s">
        <v>17415</v>
      </c>
      <c r="E14424" t="s">
        <v>29894</v>
      </c>
      <c r="F14424" t="s">
        <v>30052</v>
      </c>
      <c r="G14424" t="s">
        <v>30058</v>
      </c>
      <c r="H14424" t="s">
        <v>30068</v>
      </c>
      <c r="I14424" t="s">
        <v>30068</v>
      </c>
      <c r="J14424" t="s">
        <v>30281</v>
      </c>
      <c r="K14424" t="s">
        <v>39031</v>
      </c>
      <c r="M14424" t="s">
        <v>41997</v>
      </c>
      <c r="N14424" t="s">
        <v>43166</v>
      </c>
      <c r="O14424" t="s">
        <v>43167</v>
      </c>
      <c r="Q14424">
        <v>22</v>
      </c>
      <c r="R14424" t="s">
        <v>43280</v>
      </c>
      <c r="S14424" t="s">
        <v>44007</v>
      </c>
      <c r="T14424" t="s">
        <v>44941</v>
      </c>
      <c r="U14424" t="s">
        <v>51787</v>
      </c>
      <c r="W14424" t="s">
        <v>41997</v>
      </c>
      <c r="X14424" t="s">
        <v>58755</v>
      </c>
    </row>
    <row r="14425" spans="1:24">
      <c r="A14425">
        <f>HYPERLINK("https://www.philgeps.gov.ph/GEPSNONPILOT/Tender/SplashBidNoticeAbstractUI.aspx?menuIndex=3&amp;refID=7023329&amp;Result=3","7023329")</f>
        <v>0</v>
      </c>
      <c r="B14425" t="s">
        <v>1607</v>
      </c>
      <c r="C14425" t="s">
        <v>17240</v>
      </c>
      <c r="E14425" t="s">
        <v>29895</v>
      </c>
      <c r="F14425" t="s">
        <v>30052</v>
      </c>
      <c r="G14425" t="s">
        <v>30058</v>
      </c>
      <c r="H14425" t="s">
        <v>30069</v>
      </c>
      <c r="I14425" t="s">
        <v>12885</v>
      </c>
      <c r="J14425" t="s">
        <v>38913</v>
      </c>
      <c r="K14425" t="s">
        <v>39310</v>
      </c>
      <c r="M14425" t="s">
        <v>43046</v>
      </c>
      <c r="N14425" t="s">
        <v>43166</v>
      </c>
      <c r="O14425" t="s">
        <v>43167</v>
      </c>
      <c r="Q14425">
        <v>8</v>
      </c>
      <c r="R14425" t="s">
        <v>43199</v>
      </c>
      <c r="S14425" t="s">
        <v>44629</v>
      </c>
      <c r="T14425" t="s">
        <v>44762</v>
      </c>
      <c r="U14425" t="s">
        <v>56670</v>
      </c>
      <c r="W14425" t="s">
        <v>43046</v>
      </c>
      <c r="X14425" t="s">
        <v>43202</v>
      </c>
    </row>
    <row r="14426" spans="1:24">
      <c r="A14426">
        <f>HYPERLINK("https://www.philgeps.gov.ph/GEPSNONPILOT/Tender/SplashBidNoticeAbstractUI.aspx?menuIndex=3&amp;refID=7022927&amp;Result=3","7022927")</f>
        <v>0</v>
      </c>
      <c r="B14426" t="s">
        <v>1151</v>
      </c>
      <c r="C14426" t="s">
        <v>17241</v>
      </c>
      <c r="D14426" t="s">
        <v>17472</v>
      </c>
      <c r="E14426" t="s">
        <v>29896</v>
      </c>
      <c r="F14426" t="s">
        <v>30052</v>
      </c>
      <c r="G14426" t="s">
        <v>30061</v>
      </c>
      <c r="H14426" t="s">
        <v>15498</v>
      </c>
      <c r="I14426" t="s">
        <v>30071</v>
      </c>
      <c r="J14426" t="s">
        <v>38914</v>
      </c>
      <c r="K14426" t="s">
        <v>39029</v>
      </c>
      <c r="M14426" t="s">
        <v>40495</v>
      </c>
      <c r="N14426" t="s">
        <v>43166</v>
      </c>
      <c r="O14426" t="s">
        <v>43167</v>
      </c>
      <c r="Q14426">
        <v>1</v>
      </c>
      <c r="R14426" t="s">
        <v>43199</v>
      </c>
      <c r="S14426" t="s">
        <v>43607</v>
      </c>
      <c r="T14426" t="s">
        <v>44721</v>
      </c>
      <c r="U14426" t="s">
        <v>56671</v>
      </c>
      <c r="W14426" t="s">
        <v>40495</v>
      </c>
      <c r="X14426" t="s">
        <v>43202</v>
      </c>
    </row>
    <row r="14427" spans="1:24">
      <c r="A14427">
        <f>HYPERLINK("https://www.philgeps.gov.ph/GEPSNONPILOT/Tender/SplashBidNoticeAbstractUI.aspx?menuIndex=3&amp;refID=7022812&amp;Result=3","7022812")</f>
        <v>0</v>
      </c>
      <c r="B14427" t="s">
        <v>1190</v>
      </c>
      <c r="C14427" t="s">
        <v>17242</v>
      </c>
      <c r="D14427" t="s">
        <v>17415</v>
      </c>
      <c r="E14427" t="s">
        <v>29897</v>
      </c>
      <c r="F14427" t="s">
        <v>30052</v>
      </c>
      <c r="G14427" t="s">
        <v>30062</v>
      </c>
      <c r="H14427" t="s">
        <v>15498</v>
      </c>
      <c r="I14427" t="s">
        <v>30071</v>
      </c>
      <c r="J14427" t="s">
        <v>38915</v>
      </c>
      <c r="K14427" t="s">
        <v>39019</v>
      </c>
      <c r="M14427" t="s">
        <v>40737</v>
      </c>
      <c r="N14427" t="s">
        <v>43166</v>
      </c>
      <c r="O14427" t="s">
        <v>43167</v>
      </c>
      <c r="Q14427">
        <v>5</v>
      </c>
      <c r="R14427" t="s">
        <v>43199</v>
      </c>
      <c r="S14427" t="s">
        <v>44630</v>
      </c>
      <c r="T14427" t="s">
        <v>44837</v>
      </c>
      <c r="U14427" t="s">
        <v>56672</v>
      </c>
      <c r="W14427" t="s">
        <v>40737</v>
      </c>
      <c r="X14427" t="s">
        <v>43202</v>
      </c>
    </row>
    <row r="14428" spans="1:24">
      <c r="A14428">
        <f>HYPERLINK("https://www.philgeps.gov.ph/GEPSNONPILOT/Tender/SplashBidNoticeAbstractUI.aspx?menuIndex=3&amp;refID=7030722&amp;Result=3","7030722")</f>
        <v>0</v>
      </c>
      <c r="B14428" t="s">
        <v>1497</v>
      </c>
      <c r="C14428" t="s">
        <v>17243</v>
      </c>
      <c r="D14428" t="s">
        <v>17445</v>
      </c>
      <c r="E14428" t="s">
        <v>29898</v>
      </c>
      <c r="F14428" t="s">
        <v>30052</v>
      </c>
      <c r="G14428" t="s">
        <v>30058</v>
      </c>
      <c r="H14428" t="s">
        <v>15498</v>
      </c>
      <c r="I14428" t="s">
        <v>30168</v>
      </c>
      <c r="J14428" t="s">
        <v>38916</v>
      </c>
      <c r="K14428" t="s">
        <v>39029</v>
      </c>
      <c r="M14428" t="s">
        <v>43097</v>
      </c>
      <c r="N14428" t="s">
        <v>43166</v>
      </c>
      <c r="O14428" t="s">
        <v>43167</v>
      </c>
      <c r="Q14428">
        <v>7</v>
      </c>
      <c r="R14428" t="s">
        <v>43196</v>
      </c>
      <c r="S14428" t="s">
        <v>44631</v>
      </c>
      <c r="T14428" t="s">
        <v>44763</v>
      </c>
      <c r="U14428" t="s">
        <v>56673</v>
      </c>
      <c r="W14428" t="s">
        <v>43097</v>
      </c>
      <c r="X14428" t="s">
        <v>43197</v>
      </c>
    </row>
    <row r="14429" spans="1:24">
      <c r="A14429">
        <f>HYPERLINK("https://www.philgeps.gov.ph/GEPSNONPILOT/Tender/SplashBidNoticeAbstractUI.aspx?menuIndex=3&amp;refID=6816729&amp;Result=3","6816729")</f>
        <v>0</v>
      </c>
      <c r="B14429" t="s">
        <v>1925</v>
      </c>
      <c r="C14429" t="s">
        <v>17244</v>
      </c>
      <c r="D14429" t="s">
        <v>17462</v>
      </c>
      <c r="E14429" t="s">
        <v>29899</v>
      </c>
      <c r="F14429" t="s">
        <v>30052</v>
      </c>
      <c r="G14429" t="s">
        <v>30060</v>
      </c>
      <c r="H14429" t="s">
        <v>30067</v>
      </c>
      <c r="I14429" t="s">
        <v>3693</v>
      </c>
      <c r="J14429" t="s">
        <v>38917</v>
      </c>
      <c r="K14429" t="s">
        <v>39031</v>
      </c>
      <c r="M14429" t="s">
        <v>43107</v>
      </c>
      <c r="N14429" t="s">
        <v>43166</v>
      </c>
      <c r="O14429" t="s">
        <v>43167</v>
      </c>
      <c r="Q14429">
        <v>5</v>
      </c>
      <c r="R14429" t="s">
        <v>43283</v>
      </c>
      <c r="S14429" t="s">
        <v>44632</v>
      </c>
      <c r="T14429" t="s">
        <v>45018</v>
      </c>
      <c r="U14429" t="s">
        <v>56674</v>
      </c>
      <c r="W14429" t="s">
        <v>43107</v>
      </c>
      <c r="X14429" t="s">
        <v>43263</v>
      </c>
    </row>
    <row r="14430" spans="1:24">
      <c r="A14430">
        <f>HYPERLINK("https://www.philgeps.gov.ph/GEPSNONPILOT/Tender/SplashBidNoticeAbstractUI.aspx?menuIndex=3&amp;refID=7023691&amp;Result=3","7023691")</f>
        <v>0</v>
      </c>
      <c r="B14430" t="s">
        <v>59</v>
      </c>
      <c r="C14430" t="s">
        <v>17245</v>
      </c>
      <c r="D14430" t="s">
        <v>17441</v>
      </c>
      <c r="E14430" t="s">
        <v>29900</v>
      </c>
      <c r="F14430" t="s">
        <v>30052</v>
      </c>
      <c r="G14430" t="s">
        <v>30058</v>
      </c>
      <c r="H14430" t="s">
        <v>30067</v>
      </c>
      <c r="I14430" t="s">
        <v>3693</v>
      </c>
      <c r="J14430" t="s">
        <v>31185</v>
      </c>
      <c r="K14430" t="s">
        <v>39026</v>
      </c>
      <c r="M14430" t="s">
        <v>39348</v>
      </c>
      <c r="N14430" t="s">
        <v>43166</v>
      </c>
      <c r="O14430" t="s">
        <v>43167</v>
      </c>
      <c r="Q14430">
        <v>34</v>
      </c>
      <c r="R14430" t="s">
        <v>43199</v>
      </c>
      <c r="S14430" t="s">
        <v>44633</v>
      </c>
      <c r="T14430" t="s">
        <v>44717</v>
      </c>
      <c r="U14430" t="s">
        <v>54554</v>
      </c>
      <c r="V14430" t="s">
        <v>56820</v>
      </c>
      <c r="W14430" t="s">
        <v>39348</v>
      </c>
      <c r="X14430" t="s">
        <v>43202</v>
      </c>
    </row>
    <row r="14431" spans="1:24">
      <c r="A14431">
        <f>HYPERLINK("https://www.philgeps.gov.ph/GEPSNONPILOT/Tender/SplashBidNoticeAbstractUI.aspx?menuIndex=3&amp;refID=7032649&amp;Result=3","7032649")</f>
        <v>0</v>
      </c>
      <c r="B14431" t="s">
        <v>684</v>
      </c>
      <c r="C14431" t="s">
        <v>17246</v>
      </c>
      <c r="D14431" t="s">
        <v>17473</v>
      </c>
      <c r="E14431" t="s">
        <v>17246</v>
      </c>
      <c r="F14431" t="s">
        <v>30052</v>
      </c>
      <c r="G14431" t="s">
        <v>30061</v>
      </c>
      <c r="H14431" t="s">
        <v>15498</v>
      </c>
      <c r="I14431" t="s">
        <v>30102</v>
      </c>
      <c r="J14431" t="s">
        <v>38918</v>
      </c>
      <c r="K14431" t="s">
        <v>39029</v>
      </c>
      <c r="M14431" t="s">
        <v>40718</v>
      </c>
      <c r="N14431" t="s">
        <v>43166</v>
      </c>
      <c r="O14431" t="s">
        <v>43167</v>
      </c>
      <c r="Q14431">
        <v>3</v>
      </c>
      <c r="R14431" t="s">
        <v>43195</v>
      </c>
      <c r="S14431" t="s">
        <v>44075</v>
      </c>
      <c r="T14431" t="s">
        <v>44822</v>
      </c>
      <c r="U14431" t="s">
        <v>56675</v>
      </c>
      <c r="W14431" t="s">
        <v>40718</v>
      </c>
      <c r="X14431" t="s">
        <v>43284</v>
      </c>
    </row>
    <row r="14432" spans="1:24">
      <c r="A14432">
        <f>HYPERLINK("https://www.philgeps.gov.ph/GEPSNONPILOT/Tender/SplashBidNoticeAbstractUI.aspx?menuIndex=3&amp;refID=7023397&amp;Result=3","7023397")</f>
        <v>0</v>
      </c>
      <c r="B14432" t="s">
        <v>1151</v>
      </c>
      <c r="C14432" t="s">
        <v>17247</v>
      </c>
      <c r="D14432" t="s">
        <v>17472</v>
      </c>
      <c r="E14432" t="s">
        <v>29901</v>
      </c>
      <c r="F14432" t="s">
        <v>30052</v>
      </c>
      <c r="G14432" t="s">
        <v>30061</v>
      </c>
      <c r="H14432" t="s">
        <v>15498</v>
      </c>
      <c r="I14432" t="s">
        <v>30071</v>
      </c>
      <c r="J14432" t="s">
        <v>38919</v>
      </c>
      <c r="K14432" t="s">
        <v>39025</v>
      </c>
      <c r="M14432" t="s">
        <v>40495</v>
      </c>
      <c r="N14432" t="s">
        <v>43166</v>
      </c>
      <c r="O14432" t="s">
        <v>43167</v>
      </c>
      <c r="Q14432">
        <v>1</v>
      </c>
      <c r="R14432" t="s">
        <v>43199</v>
      </c>
      <c r="S14432" t="s">
        <v>43383</v>
      </c>
      <c r="T14432" t="s">
        <v>44721</v>
      </c>
      <c r="U14432" t="s">
        <v>56676</v>
      </c>
      <c r="W14432" t="s">
        <v>40495</v>
      </c>
      <c r="X14432" t="s">
        <v>43202</v>
      </c>
    </row>
    <row r="14433" spans="1:24">
      <c r="A14433">
        <f>HYPERLINK("https://www.philgeps.gov.ph/GEPSNONPILOT/Tender/SplashBidNoticeAbstractUI.aspx?menuIndex=3&amp;refID=7034382&amp;Result=3","7034382")</f>
        <v>0</v>
      </c>
      <c r="B14433" t="s">
        <v>98</v>
      </c>
      <c r="C14433" t="s">
        <v>17248</v>
      </c>
      <c r="D14433" t="s">
        <v>17432</v>
      </c>
      <c r="E14433" t="s">
        <v>29902</v>
      </c>
      <c r="F14433" t="s">
        <v>30052</v>
      </c>
      <c r="G14433" t="s">
        <v>30063</v>
      </c>
      <c r="H14433" t="s">
        <v>30068</v>
      </c>
      <c r="I14433" t="s">
        <v>30068</v>
      </c>
      <c r="J14433" t="s">
        <v>38920</v>
      </c>
      <c r="K14433" t="s">
        <v>39025</v>
      </c>
      <c r="L14433" t="s">
        <v>98</v>
      </c>
      <c r="M14433" t="s">
        <v>40536</v>
      </c>
      <c r="N14433" t="s">
        <v>43166</v>
      </c>
      <c r="O14433" t="s">
        <v>43167</v>
      </c>
      <c r="Q14433">
        <v>5</v>
      </c>
      <c r="R14433" t="s">
        <v>43194</v>
      </c>
      <c r="S14433" t="s">
        <v>44634</v>
      </c>
      <c r="T14433" t="s">
        <v>44733</v>
      </c>
      <c r="U14433" t="s">
        <v>56677</v>
      </c>
      <c r="W14433" t="s">
        <v>40536</v>
      </c>
      <c r="X14433" t="s">
        <v>43195</v>
      </c>
    </row>
    <row r="14434" spans="1:24">
      <c r="A14434">
        <f>HYPERLINK("https://www.philgeps.gov.ph/GEPSNONPILOT/Tender/SplashBidNoticeAbstractUI.aspx?menuIndex=3&amp;refID=7033685&amp;Result=3","7033685")</f>
        <v>0</v>
      </c>
      <c r="B14434" t="s">
        <v>857</v>
      </c>
      <c r="C14434" t="s">
        <v>17249</v>
      </c>
      <c r="D14434" t="s">
        <v>17424</v>
      </c>
      <c r="E14434" t="s">
        <v>29903</v>
      </c>
      <c r="F14434" t="s">
        <v>30052</v>
      </c>
      <c r="G14434" t="s">
        <v>30058</v>
      </c>
      <c r="H14434" t="s">
        <v>15498</v>
      </c>
      <c r="I14434" t="s">
        <v>30153</v>
      </c>
      <c r="J14434" t="s">
        <v>38921</v>
      </c>
      <c r="K14434" t="s">
        <v>39029</v>
      </c>
      <c r="M14434" t="s">
        <v>40174</v>
      </c>
      <c r="N14434" t="s">
        <v>43166</v>
      </c>
      <c r="O14434" t="s">
        <v>43167</v>
      </c>
      <c r="Q14434">
        <v>4</v>
      </c>
      <c r="R14434" t="s">
        <v>43194</v>
      </c>
      <c r="S14434" t="s">
        <v>44015</v>
      </c>
      <c r="T14434" t="s">
        <v>44796</v>
      </c>
      <c r="U14434" t="s">
        <v>56678</v>
      </c>
      <c r="W14434" t="s">
        <v>40174</v>
      </c>
      <c r="X14434" t="s">
        <v>43195</v>
      </c>
    </row>
    <row r="14435" spans="1:24">
      <c r="A14435">
        <f>HYPERLINK("https://www.philgeps.gov.ph/GEPSNONPILOT/Tender/SplashBidNoticeAbstractUI.aspx?menuIndex=3&amp;refID=7022864&amp;Result=3","7022864")</f>
        <v>0</v>
      </c>
      <c r="B14435" t="s">
        <v>501</v>
      </c>
      <c r="C14435" t="s">
        <v>17250</v>
      </c>
      <c r="E14435" t="s">
        <v>29904</v>
      </c>
      <c r="F14435" t="s">
        <v>30052</v>
      </c>
      <c r="G14435" t="s">
        <v>30058</v>
      </c>
      <c r="H14435" t="s">
        <v>15498</v>
      </c>
      <c r="I14435" t="s">
        <v>4598</v>
      </c>
      <c r="J14435" t="s">
        <v>38922</v>
      </c>
      <c r="K14435" t="s">
        <v>39025</v>
      </c>
      <c r="M14435" t="s">
        <v>39802</v>
      </c>
      <c r="N14435" t="s">
        <v>43166</v>
      </c>
      <c r="O14435" t="s">
        <v>43167</v>
      </c>
      <c r="Q14435">
        <v>19</v>
      </c>
      <c r="R14435" t="s">
        <v>43199</v>
      </c>
      <c r="S14435" t="s">
        <v>44635</v>
      </c>
      <c r="T14435" t="s">
        <v>44830</v>
      </c>
      <c r="U14435" t="s">
        <v>56679</v>
      </c>
      <c r="V14435" t="s">
        <v>58572</v>
      </c>
      <c r="W14435" t="s">
        <v>58718</v>
      </c>
      <c r="X14435" t="s">
        <v>43202</v>
      </c>
    </row>
    <row r="14436" spans="1:24">
      <c r="A14436">
        <f>HYPERLINK("https://www.philgeps.gov.ph/GEPSNONPILOT/Tender/SplashBidNoticeAbstractUI.aspx?menuIndex=3&amp;refID=7032139&amp;Result=3","7032139")</f>
        <v>0</v>
      </c>
      <c r="B14436" t="s">
        <v>2639</v>
      </c>
      <c r="C14436" t="s">
        <v>17251</v>
      </c>
      <c r="D14436" t="s">
        <v>17425</v>
      </c>
      <c r="E14436" t="s">
        <v>29905</v>
      </c>
      <c r="F14436" t="s">
        <v>30052</v>
      </c>
      <c r="G14436" t="s">
        <v>30058</v>
      </c>
      <c r="H14436" t="s">
        <v>15498</v>
      </c>
      <c r="I14436" t="s">
        <v>30187</v>
      </c>
      <c r="J14436" t="s">
        <v>32334</v>
      </c>
      <c r="K14436" t="s">
        <v>39023</v>
      </c>
      <c r="M14436" t="s">
        <v>42156</v>
      </c>
      <c r="N14436" t="s">
        <v>43166</v>
      </c>
      <c r="O14436" t="s">
        <v>43167</v>
      </c>
      <c r="Q14436">
        <v>27</v>
      </c>
      <c r="R14436" t="s">
        <v>43194</v>
      </c>
      <c r="S14436" t="s">
        <v>44636</v>
      </c>
      <c r="T14436" t="s">
        <v>44844</v>
      </c>
      <c r="U14436" t="s">
        <v>56680</v>
      </c>
      <c r="W14436" t="s">
        <v>42156</v>
      </c>
      <c r="X14436" t="s">
        <v>43196</v>
      </c>
    </row>
    <row r="14437" spans="1:24">
      <c r="A14437">
        <f>HYPERLINK("https://www.philgeps.gov.ph/GEPSNONPILOT/Tender/SplashBidNoticeAbstractUI.aspx?menuIndex=3&amp;refID=7030655&amp;Result=3","7030655")</f>
        <v>0</v>
      </c>
      <c r="B14437" t="s">
        <v>2005</v>
      </c>
      <c r="C14437" t="s">
        <v>17252</v>
      </c>
      <c r="D14437" t="s">
        <v>17424</v>
      </c>
      <c r="E14437" t="s">
        <v>29906</v>
      </c>
      <c r="F14437" t="s">
        <v>30052</v>
      </c>
      <c r="G14437" t="s">
        <v>30058</v>
      </c>
      <c r="H14437" t="s">
        <v>15498</v>
      </c>
      <c r="I14437" t="s">
        <v>30074</v>
      </c>
      <c r="J14437" t="s">
        <v>30872</v>
      </c>
      <c r="K14437" t="s">
        <v>39029</v>
      </c>
      <c r="M14437" t="s">
        <v>41449</v>
      </c>
      <c r="N14437" t="s">
        <v>43166</v>
      </c>
      <c r="O14437" t="s">
        <v>43167</v>
      </c>
      <c r="Q14437">
        <v>5</v>
      </c>
      <c r="R14437" t="s">
        <v>43196</v>
      </c>
      <c r="S14437" t="s">
        <v>44637</v>
      </c>
      <c r="T14437" t="s">
        <v>44831</v>
      </c>
      <c r="U14437" t="s">
        <v>56681</v>
      </c>
      <c r="W14437" t="s">
        <v>58659</v>
      </c>
      <c r="X14437" t="s">
        <v>43197</v>
      </c>
    </row>
    <row r="14438" spans="1:24">
      <c r="A14438">
        <f>HYPERLINK("https://www.philgeps.gov.ph/GEPSNONPILOT/Tender/SplashBidNoticeAbstractUI.aspx?menuIndex=3&amp;refID=6841021&amp;Result=3","6841021")</f>
        <v>0</v>
      </c>
      <c r="B14438" t="s">
        <v>2245</v>
      </c>
      <c r="C14438" t="s">
        <v>17253</v>
      </c>
      <c r="D14438" t="s">
        <v>17415</v>
      </c>
      <c r="E14438" t="s">
        <v>29907</v>
      </c>
      <c r="F14438" t="s">
        <v>30052</v>
      </c>
      <c r="G14438" t="s">
        <v>30058</v>
      </c>
      <c r="H14438" t="s">
        <v>30067</v>
      </c>
      <c r="I14438" t="s">
        <v>3693</v>
      </c>
      <c r="J14438" t="s">
        <v>38923</v>
      </c>
      <c r="K14438" t="s">
        <v>39057</v>
      </c>
      <c r="M14438" t="s">
        <v>41723</v>
      </c>
      <c r="N14438" t="s">
        <v>43166</v>
      </c>
      <c r="O14438" t="s">
        <v>43167</v>
      </c>
      <c r="Q14438">
        <v>96</v>
      </c>
      <c r="R14438" t="s">
        <v>43264</v>
      </c>
      <c r="S14438" t="s">
        <v>44638</v>
      </c>
      <c r="T14438" t="s">
        <v>44791</v>
      </c>
      <c r="U14438" t="s">
        <v>56682</v>
      </c>
      <c r="W14438" t="s">
        <v>41723</v>
      </c>
      <c r="X14438" t="s">
        <v>58747</v>
      </c>
    </row>
    <row r="14439" spans="1:24">
      <c r="A14439">
        <f>HYPERLINK("https://www.philgeps.gov.ph/GEPSNONPILOT/Tender/SplashBidNoticeAbstractUI.aspx?menuIndex=3&amp;refID=7033474&amp;Result=3","7033474")</f>
        <v>0</v>
      </c>
      <c r="B14439" t="s">
        <v>3441</v>
      </c>
      <c r="C14439" t="s">
        <v>17254</v>
      </c>
      <c r="D14439" t="s">
        <v>17488</v>
      </c>
      <c r="E14439" t="s">
        <v>29908</v>
      </c>
      <c r="F14439" t="s">
        <v>30052</v>
      </c>
      <c r="G14439" t="s">
        <v>30058</v>
      </c>
      <c r="H14439" t="s">
        <v>15498</v>
      </c>
      <c r="I14439" t="s">
        <v>3736</v>
      </c>
      <c r="J14439" t="s">
        <v>38924</v>
      </c>
      <c r="K14439" t="s">
        <v>39034</v>
      </c>
      <c r="M14439" t="s">
        <v>43141</v>
      </c>
      <c r="N14439" t="s">
        <v>43166</v>
      </c>
      <c r="O14439" t="s">
        <v>43167</v>
      </c>
      <c r="P14439">
        <v>0</v>
      </c>
      <c r="Q14439">
        <v>1</v>
      </c>
      <c r="R14439" t="s">
        <v>43194</v>
      </c>
      <c r="S14439" t="s">
        <v>44307</v>
      </c>
      <c r="T14439" t="s">
        <v>44791</v>
      </c>
      <c r="U14439" t="s">
        <v>56683</v>
      </c>
      <c r="V14439" t="s">
        <v>58432</v>
      </c>
      <c r="W14439" t="s">
        <v>43141</v>
      </c>
      <c r="X14439" t="s">
        <v>43195</v>
      </c>
    </row>
    <row r="14440" spans="1:24">
      <c r="A14440">
        <f>HYPERLINK("https://www.philgeps.gov.ph/GEPSNONPILOT/Tender/SplashBidNoticeAbstractUI.aspx?menuIndex=3&amp;refID=7036852&amp;Result=3","7036852")</f>
        <v>0</v>
      </c>
      <c r="B14440" t="s">
        <v>1841</v>
      </c>
      <c r="C14440" t="s">
        <v>17255</v>
      </c>
      <c r="D14440" t="s">
        <v>17445</v>
      </c>
      <c r="E14440" t="s">
        <v>29909</v>
      </c>
      <c r="F14440" t="s">
        <v>30052</v>
      </c>
      <c r="G14440" t="s">
        <v>30058</v>
      </c>
      <c r="H14440" t="s">
        <v>30067</v>
      </c>
      <c r="I14440" t="s">
        <v>3693</v>
      </c>
      <c r="J14440" t="s">
        <v>38925</v>
      </c>
      <c r="K14440" t="s">
        <v>39026</v>
      </c>
      <c r="L14440" t="s">
        <v>1841</v>
      </c>
      <c r="M14440" t="s">
        <v>41266</v>
      </c>
      <c r="N14440" t="s">
        <v>43166</v>
      </c>
      <c r="O14440" t="s">
        <v>43167</v>
      </c>
      <c r="Q14440">
        <v>3</v>
      </c>
      <c r="R14440" t="s">
        <v>43193</v>
      </c>
      <c r="S14440" t="s">
        <v>44639</v>
      </c>
      <c r="T14440" t="s">
        <v>44750</v>
      </c>
      <c r="U14440" t="s">
        <v>56684</v>
      </c>
      <c r="W14440" t="s">
        <v>41266</v>
      </c>
      <c r="X14440" t="s">
        <v>43194</v>
      </c>
    </row>
    <row r="14441" spans="1:24">
      <c r="A14441">
        <f>HYPERLINK("https://www.philgeps.gov.ph/GEPSNONPILOT/Tender/SplashBidNoticeAbstractUI.aspx?menuIndex=3&amp;refID=7031485&amp;Result=3","7031485")</f>
        <v>0</v>
      </c>
      <c r="B14441" t="s">
        <v>208</v>
      </c>
      <c r="C14441" t="s">
        <v>17256</v>
      </c>
      <c r="D14441" t="s">
        <v>17415</v>
      </c>
      <c r="E14441" t="s">
        <v>29910</v>
      </c>
      <c r="F14441" t="s">
        <v>30052</v>
      </c>
      <c r="G14441" t="s">
        <v>30058</v>
      </c>
      <c r="H14441" t="s">
        <v>15498</v>
      </c>
      <c r="I14441" t="s">
        <v>3852</v>
      </c>
      <c r="J14441" t="s">
        <v>38926</v>
      </c>
      <c r="K14441" t="s">
        <v>39025</v>
      </c>
      <c r="M14441" t="s">
        <v>39498</v>
      </c>
      <c r="N14441" t="s">
        <v>43166</v>
      </c>
      <c r="O14441" t="s">
        <v>43167</v>
      </c>
      <c r="P14441">
        <v>0</v>
      </c>
      <c r="Q14441">
        <v>7</v>
      </c>
      <c r="R14441" t="s">
        <v>43194</v>
      </c>
      <c r="S14441" t="s">
        <v>44307</v>
      </c>
      <c r="T14441" t="s">
        <v>44831</v>
      </c>
      <c r="U14441" t="s">
        <v>56685</v>
      </c>
      <c r="W14441" t="s">
        <v>39498</v>
      </c>
      <c r="X14441" t="s">
        <v>43197</v>
      </c>
    </row>
    <row r="14442" spans="1:24">
      <c r="A14442">
        <f>HYPERLINK("https://www.philgeps.gov.ph/GEPSNONPILOT/Tender/SplashBidNoticeAbstractUI.aspx?menuIndex=3&amp;refID=7036604&amp;Result=3","7036604")</f>
        <v>0</v>
      </c>
      <c r="B14442" t="s">
        <v>1300</v>
      </c>
      <c r="C14442" t="s">
        <v>17257</v>
      </c>
      <c r="D14442" t="s">
        <v>17434</v>
      </c>
      <c r="E14442" t="s">
        <v>29911</v>
      </c>
      <c r="F14442" t="s">
        <v>30052</v>
      </c>
      <c r="G14442" t="s">
        <v>30058</v>
      </c>
      <c r="H14442" t="s">
        <v>30069</v>
      </c>
      <c r="I14442" t="s">
        <v>30075</v>
      </c>
      <c r="J14442" t="s">
        <v>38927</v>
      </c>
      <c r="K14442" t="s">
        <v>39031</v>
      </c>
      <c r="M14442" t="s">
        <v>43142</v>
      </c>
      <c r="N14442" t="s">
        <v>43166</v>
      </c>
      <c r="O14442" t="s">
        <v>43167</v>
      </c>
      <c r="Q14442">
        <v>5</v>
      </c>
      <c r="R14442" t="s">
        <v>43193</v>
      </c>
      <c r="S14442" t="s">
        <v>44640</v>
      </c>
      <c r="T14442" t="s">
        <v>44796</v>
      </c>
      <c r="U14442" t="s">
        <v>48064</v>
      </c>
      <c r="V14442" t="s">
        <v>57256</v>
      </c>
      <c r="W14442" t="s">
        <v>43142</v>
      </c>
      <c r="X14442" t="s">
        <v>43194</v>
      </c>
    </row>
    <row r="14443" spans="1:24">
      <c r="A14443">
        <f>HYPERLINK("https://www.philgeps.gov.ph/GEPSNONPILOT/Tender/SplashBidNoticeAbstractUI.aspx?menuIndex=3&amp;refID=7031972&amp;Result=3","7031972")</f>
        <v>0</v>
      </c>
      <c r="B14443" t="s">
        <v>3442</v>
      </c>
      <c r="C14443" t="s">
        <v>17258</v>
      </c>
      <c r="D14443" t="s">
        <v>17453</v>
      </c>
      <c r="E14443" t="s">
        <v>29912</v>
      </c>
      <c r="F14443" t="s">
        <v>30052</v>
      </c>
      <c r="G14443" t="s">
        <v>30058</v>
      </c>
      <c r="H14443" t="s">
        <v>15498</v>
      </c>
      <c r="I14443" t="s">
        <v>30084</v>
      </c>
      <c r="J14443" t="s">
        <v>38928</v>
      </c>
      <c r="K14443" t="s">
        <v>39023</v>
      </c>
      <c r="M14443" t="s">
        <v>43143</v>
      </c>
      <c r="N14443" t="s">
        <v>43166</v>
      </c>
      <c r="O14443" t="s">
        <v>43167</v>
      </c>
      <c r="Q14443">
        <v>13</v>
      </c>
      <c r="R14443" t="s">
        <v>43284</v>
      </c>
      <c r="S14443" t="s">
        <v>44641</v>
      </c>
      <c r="T14443" t="s">
        <v>44705</v>
      </c>
      <c r="U14443" t="s">
        <v>56686</v>
      </c>
      <c r="W14443" t="s">
        <v>43143</v>
      </c>
      <c r="X14443" t="s">
        <v>43196</v>
      </c>
    </row>
    <row r="14444" spans="1:24">
      <c r="A14444">
        <f>HYPERLINK("https://www.philgeps.gov.ph/GEPSNONPILOT/Tender/SplashBidNoticeAbstractUI.aspx?menuIndex=3&amp;refID=7036894&amp;Result=3","7036894")</f>
        <v>0</v>
      </c>
      <c r="B14444" t="s">
        <v>721</v>
      </c>
      <c r="C14444" t="s">
        <v>17259</v>
      </c>
      <c r="D14444" t="s">
        <v>17451</v>
      </c>
      <c r="E14444" t="s">
        <v>29913</v>
      </c>
      <c r="F14444" t="s">
        <v>30052</v>
      </c>
      <c r="G14444" t="s">
        <v>30058</v>
      </c>
      <c r="H14444" t="s">
        <v>15498</v>
      </c>
      <c r="I14444" t="s">
        <v>30076</v>
      </c>
      <c r="J14444" t="s">
        <v>38929</v>
      </c>
      <c r="K14444" t="s">
        <v>39017</v>
      </c>
      <c r="M14444" t="s">
        <v>41044</v>
      </c>
      <c r="N14444" t="s">
        <v>43166</v>
      </c>
      <c r="O14444" t="s">
        <v>43167</v>
      </c>
      <c r="Q14444">
        <v>9</v>
      </c>
      <c r="R14444" t="s">
        <v>43193</v>
      </c>
      <c r="S14444" t="s">
        <v>44642</v>
      </c>
      <c r="T14444" t="s">
        <v>44678</v>
      </c>
      <c r="U14444" t="s">
        <v>56687</v>
      </c>
      <c r="W14444" t="s">
        <v>41044</v>
      </c>
      <c r="X14444" t="s">
        <v>43194</v>
      </c>
    </row>
    <row r="14445" spans="1:24">
      <c r="A14445">
        <f>HYPERLINK("https://www.philgeps.gov.ph/GEPSNONPILOT/Tender/SplashBidNoticeAbstractUI.aspx?menuIndex=3&amp;refID=7035518&amp;Result=3","7035518")</f>
        <v>0</v>
      </c>
      <c r="B14445" t="s">
        <v>3135</v>
      </c>
      <c r="C14445" t="s">
        <v>17260</v>
      </c>
      <c r="D14445" t="s">
        <v>17456</v>
      </c>
      <c r="E14445" t="s">
        <v>29914</v>
      </c>
      <c r="F14445" t="s">
        <v>30052</v>
      </c>
      <c r="G14445" t="s">
        <v>30058</v>
      </c>
      <c r="H14445" t="s">
        <v>15498</v>
      </c>
      <c r="I14445" t="s">
        <v>3736</v>
      </c>
      <c r="J14445" t="s">
        <v>38930</v>
      </c>
      <c r="K14445" t="s">
        <v>39017</v>
      </c>
      <c r="M14445" t="s">
        <v>42737</v>
      </c>
      <c r="N14445" t="s">
        <v>43166</v>
      </c>
      <c r="O14445" t="s">
        <v>43167</v>
      </c>
      <c r="P14445">
        <v>0</v>
      </c>
      <c r="Q14445">
        <v>0</v>
      </c>
      <c r="R14445" t="s">
        <v>43193</v>
      </c>
      <c r="S14445" t="s">
        <v>44305</v>
      </c>
      <c r="T14445" t="s">
        <v>44969</v>
      </c>
      <c r="U14445" t="s">
        <v>56688</v>
      </c>
      <c r="W14445" t="s">
        <v>42737</v>
      </c>
      <c r="X14445" t="s">
        <v>43194</v>
      </c>
    </row>
    <row r="14446" spans="1:24">
      <c r="A14446">
        <f>HYPERLINK("https://www.philgeps.gov.ph/GEPSNONPILOT/Tender/SplashBidNoticeAbstractUI.aspx?menuIndex=3&amp;refID=7036728&amp;Result=3","7036728")</f>
        <v>0</v>
      </c>
      <c r="B14446" t="s">
        <v>1300</v>
      </c>
      <c r="C14446" t="s">
        <v>17261</v>
      </c>
      <c r="D14446" t="s">
        <v>17434</v>
      </c>
      <c r="E14446" t="s">
        <v>29915</v>
      </c>
      <c r="F14446" t="s">
        <v>30052</v>
      </c>
      <c r="G14446" t="s">
        <v>30058</v>
      </c>
      <c r="H14446" t="s">
        <v>30069</v>
      </c>
      <c r="I14446" t="s">
        <v>30075</v>
      </c>
      <c r="J14446" t="s">
        <v>38931</v>
      </c>
      <c r="K14446" t="s">
        <v>39031</v>
      </c>
      <c r="M14446" t="s">
        <v>43142</v>
      </c>
      <c r="N14446" t="s">
        <v>43166</v>
      </c>
      <c r="O14446" t="s">
        <v>43167</v>
      </c>
      <c r="Q14446">
        <v>6</v>
      </c>
      <c r="R14446" t="s">
        <v>43193</v>
      </c>
      <c r="S14446" t="s">
        <v>44643</v>
      </c>
      <c r="T14446" t="s">
        <v>44796</v>
      </c>
      <c r="U14446" t="s">
        <v>48064</v>
      </c>
      <c r="V14446" t="s">
        <v>58573</v>
      </c>
      <c r="W14446" t="s">
        <v>43142</v>
      </c>
      <c r="X14446" t="s">
        <v>43194</v>
      </c>
    </row>
    <row r="14447" spans="1:24">
      <c r="A14447">
        <f>HYPERLINK("https://www.philgeps.gov.ph/GEPSNONPILOT/Tender/SplashBidNoticeAbstractUI.aspx?menuIndex=3&amp;refID=7036689&amp;Result=3","7036689")</f>
        <v>0</v>
      </c>
      <c r="B14447" t="s">
        <v>3240</v>
      </c>
      <c r="C14447" t="s">
        <v>17262</v>
      </c>
      <c r="D14447" t="s">
        <v>17427</v>
      </c>
      <c r="E14447" t="s">
        <v>20110</v>
      </c>
      <c r="F14447" t="s">
        <v>30052</v>
      </c>
      <c r="G14447" t="s">
        <v>30058</v>
      </c>
      <c r="H14447" t="s">
        <v>30067</v>
      </c>
      <c r="I14447" t="s">
        <v>3693</v>
      </c>
      <c r="J14447" t="s">
        <v>30321</v>
      </c>
      <c r="K14447" t="s">
        <v>39023</v>
      </c>
      <c r="M14447" t="s">
        <v>42865</v>
      </c>
      <c r="N14447" t="s">
        <v>43166</v>
      </c>
      <c r="O14447" t="s">
        <v>43167</v>
      </c>
      <c r="P14447">
        <v>0</v>
      </c>
      <c r="Q14447">
        <v>3</v>
      </c>
      <c r="R14447" t="s">
        <v>43193</v>
      </c>
      <c r="S14447" t="s">
        <v>44305</v>
      </c>
      <c r="T14447" t="s">
        <v>44879</v>
      </c>
      <c r="U14447" t="s">
        <v>56689</v>
      </c>
      <c r="W14447" t="s">
        <v>42865</v>
      </c>
      <c r="X14447" t="s">
        <v>43194</v>
      </c>
    </row>
    <row r="14448" spans="1:24">
      <c r="A14448">
        <f>HYPERLINK("https://www.philgeps.gov.ph/GEPSNONPILOT/Tender/SplashBidNoticeAbstractUI.aspx?menuIndex=3&amp;refID=7040148&amp;Result=3","7040148")</f>
        <v>0</v>
      </c>
      <c r="B14448" t="s">
        <v>199</v>
      </c>
      <c r="C14448" t="s">
        <v>17263</v>
      </c>
      <c r="D14448" t="s">
        <v>17415</v>
      </c>
      <c r="E14448" t="s">
        <v>29916</v>
      </c>
      <c r="F14448" t="s">
        <v>30052</v>
      </c>
      <c r="G14448" t="s">
        <v>30058</v>
      </c>
      <c r="H14448" t="s">
        <v>15498</v>
      </c>
      <c r="I14448" t="s">
        <v>30156</v>
      </c>
      <c r="J14448" t="s">
        <v>38932</v>
      </c>
      <c r="K14448" t="s">
        <v>39023</v>
      </c>
      <c r="M14448" t="s">
        <v>43144</v>
      </c>
      <c r="N14448" t="s">
        <v>43166</v>
      </c>
      <c r="O14448" t="s">
        <v>43167</v>
      </c>
      <c r="Q14448">
        <v>8</v>
      </c>
      <c r="R14448" t="s">
        <v>43192</v>
      </c>
      <c r="S14448" t="s">
        <v>44644</v>
      </c>
      <c r="T14448" t="s">
        <v>44734</v>
      </c>
      <c r="U14448" t="s">
        <v>56690</v>
      </c>
      <c r="W14448" t="s">
        <v>43144</v>
      </c>
      <c r="X14448" t="s">
        <v>43193</v>
      </c>
    </row>
    <row r="14449" spans="1:24">
      <c r="A14449">
        <f>HYPERLINK("https://www.philgeps.gov.ph/GEPSNONPILOT/Tender/SplashBidNoticeAbstractUI.aspx?menuIndex=3&amp;refID=7040137&amp;Result=3","7040137")</f>
        <v>0</v>
      </c>
      <c r="B14449" t="s">
        <v>2842</v>
      </c>
      <c r="C14449" t="s">
        <v>17264</v>
      </c>
      <c r="D14449" t="s">
        <v>17421</v>
      </c>
      <c r="E14449" t="s">
        <v>29917</v>
      </c>
      <c r="F14449" t="s">
        <v>30052</v>
      </c>
      <c r="G14449" t="s">
        <v>30058</v>
      </c>
      <c r="H14449" t="s">
        <v>15498</v>
      </c>
      <c r="I14449" t="s">
        <v>9238</v>
      </c>
      <c r="J14449" t="s">
        <v>38933</v>
      </c>
      <c r="K14449" t="s">
        <v>39023</v>
      </c>
      <c r="M14449" t="s">
        <v>42388</v>
      </c>
      <c r="N14449" t="s">
        <v>43166</v>
      </c>
      <c r="O14449" t="s">
        <v>43167</v>
      </c>
      <c r="Q14449">
        <v>7</v>
      </c>
      <c r="R14449" t="s">
        <v>43192</v>
      </c>
      <c r="S14449" t="s">
        <v>44645</v>
      </c>
      <c r="T14449" t="s">
        <v>44941</v>
      </c>
      <c r="U14449" t="s">
        <v>56691</v>
      </c>
      <c r="V14449" t="s">
        <v>58574</v>
      </c>
      <c r="W14449" t="s">
        <v>42388</v>
      </c>
      <c r="X14449" t="s">
        <v>43193</v>
      </c>
    </row>
    <row r="14450" spans="1:24">
      <c r="A14450">
        <f>HYPERLINK("https://www.philgeps.gov.ph/GEPSNONPILOT/Tender/SplashBidNoticeAbstractUI.aspx?menuIndex=3&amp;refID=7040129&amp;Result=3","7040129")</f>
        <v>0</v>
      </c>
      <c r="B14450" t="s">
        <v>1017</v>
      </c>
      <c r="C14450" t="s">
        <v>17265</v>
      </c>
      <c r="D14450" t="s">
        <v>17444</v>
      </c>
      <c r="E14450" t="s">
        <v>29918</v>
      </c>
      <c r="F14450" t="s">
        <v>30052</v>
      </c>
      <c r="G14450" t="s">
        <v>30058</v>
      </c>
      <c r="H14450" t="s">
        <v>30067</v>
      </c>
      <c r="I14450" t="s">
        <v>3693</v>
      </c>
      <c r="J14450" t="s">
        <v>38934</v>
      </c>
      <c r="K14450" t="s">
        <v>39016</v>
      </c>
      <c r="M14450" t="s">
        <v>40346</v>
      </c>
      <c r="N14450" t="s">
        <v>43166</v>
      </c>
      <c r="O14450" t="s">
        <v>43167</v>
      </c>
      <c r="P14450">
        <v>0</v>
      </c>
      <c r="Q14450">
        <v>6</v>
      </c>
      <c r="R14450" t="s">
        <v>43192</v>
      </c>
      <c r="S14450" t="s">
        <v>44288</v>
      </c>
      <c r="T14450" t="s">
        <v>44696</v>
      </c>
      <c r="U14450" t="s">
        <v>56692</v>
      </c>
      <c r="W14450" t="s">
        <v>40346</v>
      </c>
      <c r="X14450" t="s">
        <v>43193</v>
      </c>
    </row>
    <row r="14451" spans="1:24">
      <c r="A14451">
        <f>HYPERLINK("https://www.philgeps.gov.ph/GEPSNONPILOT/Tender/SplashBidNoticeAbstractUI.aspx?menuIndex=3&amp;refID=7036070&amp;Result=3","7036070")</f>
        <v>0</v>
      </c>
      <c r="B14451" t="s">
        <v>529</v>
      </c>
      <c r="C14451" t="s">
        <v>17266</v>
      </c>
      <c r="D14451" t="s">
        <v>17474</v>
      </c>
      <c r="E14451" t="s">
        <v>29919</v>
      </c>
      <c r="F14451" t="s">
        <v>30052</v>
      </c>
      <c r="G14451" t="s">
        <v>30058</v>
      </c>
      <c r="H14451" t="s">
        <v>30067</v>
      </c>
      <c r="I14451" t="s">
        <v>3693</v>
      </c>
      <c r="J14451" t="s">
        <v>38935</v>
      </c>
      <c r="K14451" t="s">
        <v>39157</v>
      </c>
      <c r="M14451" t="s">
        <v>39831</v>
      </c>
      <c r="N14451" t="s">
        <v>43166</v>
      </c>
      <c r="O14451" t="s">
        <v>43167</v>
      </c>
      <c r="P14451">
        <v>0</v>
      </c>
      <c r="Q14451">
        <v>3</v>
      </c>
      <c r="R14451" t="s">
        <v>43193</v>
      </c>
      <c r="S14451" t="s">
        <v>44305</v>
      </c>
      <c r="T14451" t="s">
        <v>44844</v>
      </c>
      <c r="U14451" t="s">
        <v>56693</v>
      </c>
      <c r="W14451" t="s">
        <v>39831</v>
      </c>
      <c r="X14451" t="s">
        <v>43194</v>
      </c>
    </row>
    <row r="14452" spans="1:24">
      <c r="A14452">
        <f>HYPERLINK("https://www.philgeps.gov.ph/GEPSNONPILOT/Tender/SplashBidNoticeAbstractUI.aspx?menuIndex=3&amp;refID=7041687&amp;Result=3","7041687")</f>
        <v>0</v>
      </c>
      <c r="B14452" t="s">
        <v>3443</v>
      </c>
      <c r="C14452" t="s">
        <v>17267</v>
      </c>
      <c r="E14452" t="s">
        <v>29920</v>
      </c>
      <c r="F14452" t="s">
        <v>30052</v>
      </c>
      <c r="G14452" t="s">
        <v>30058</v>
      </c>
      <c r="H14452" t="s">
        <v>15498</v>
      </c>
      <c r="I14452" t="s">
        <v>30081</v>
      </c>
      <c r="J14452" t="s">
        <v>35535</v>
      </c>
      <c r="K14452" t="s">
        <v>39025</v>
      </c>
      <c r="M14452" t="s">
        <v>43145</v>
      </c>
      <c r="N14452" t="s">
        <v>43166</v>
      </c>
      <c r="O14452" t="s">
        <v>43167</v>
      </c>
      <c r="Q14452">
        <v>18</v>
      </c>
      <c r="R14452" t="s">
        <v>43190</v>
      </c>
      <c r="S14452" t="s">
        <v>44056</v>
      </c>
      <c r="T14452" t="s">
        <v>44949</v>
      </c>
      <c r="U14452" t="s">
        <v>56694</v>
      </c>
      <c r="W14452" t="s">
        <v>58722</v>
      </c>
      <c r="X14452" t="s">
        <v>43192</v>
      </c>
    </row>
    <row r="14453" spans="1:24">
      <c r="A14453">
        <f>HYPERLINK("https://www.philgeps.gov.ph/GEPSNONPILOT/Tender/SplashBidNoticeAbstractUI.aspx?menuIndex=3&amp;refID=6937223&amp;Result=3","6937223")</f>
        <v>0</v>
      </c>
      <c r="B14453" t="s">
        <v>1325</v>
      </c>
      <c r="C14453" t="s">
        <v>17268</v>
      </c>
      <c r="D14453" t="s">
        <v>17413</v>
      </c>
      <c r="E14453" t="s">
        <v>29921</v>
      </c>
      <c r="F14453" t="s">
        <v>30052</v>
      </c>
      <c r="G14453" t="s">
        <v>30058</v>
      </c>
      <c r="H14453" t="s">
        <v>30067</v>
      </c>
      <c r="I14453" t="s">
        <v>3693</v>
      </c>
      <c r="J14453" t="s">
        <v>33649</v>
      </c>
      <c r="K14453" t="s">
        <v>39031</v>
      </c>
      <c r="M14453" t="s">
        <v>40692</v>
      </c>
      <c r="N14453" t="s">
        <v>43166</v>
      </c>
      <c r="O14453" t="s">
        <v>43167</v>
      </c>
      <c r="Q14453">
        <v>1</v>
      </c>
      <c r="R14453" t="s">
        <v>43230</v>
      </c>
      <c r="S14453" t="s">
        <v>44646</v>
      </c>
      <c r="T14453" t="s">
        <v>44720</v>
      </c>
      <c r="U14453" t="s">
        <v>56695</v>
      </c>
      <c r="W14453" t="s">
        <v>40692</v>
      </c>
      <c r="X14453" t="s">
        <v>43229</v>
      </c>
    </row>
    <row r="14454" spans="1:24">
      <c r="A14454">
        <f>HYPERLINK("https://www.philgeps.gov.ph/GEPSNONPILOT/Tender/SplashBidNoticeAbstractUI.aspx?menuIndex=3&amp;refID=7041344&amp;Result=3","7041344")</f>
        <v>0</v>
      </c>
      <c r="B14454" t="s">
        <v>1804</v>
      </c>
      <c r="C14454" t="s">
        <v>17269</v>
      </c>
      <c r="E14454" t="s">
        <v>29922</v>
      </c>
      <c r="F14454" t="s">
        <v>30052</v>
      </c>
      <c r="G14454" t="s">
        <v>30058</v>
      </c>
      <c r="H14454" t="s">
        <v>15498</v>
      </c>
      <c r="I14454" t="s">
        <v>30091</v>
      </c>
      <c r="J14454" t="s">
        <v>38936</v>
      </c>
      <c r="K14454" t="s">
        <v>39025</v>
      </c>
      <c r="M14454" t="s">
        <v>41227</v>
      </c>
      <c r="N14454" t="s">
        <v>43166</v>
      </c>
      <c r="O14454" t="s">
        <v>43167</v>
      </c>
      <c r="P14454">
        <v>0</v>
      </c>
      <c r="Q14454">
        <v>3</v>
      </c>
      <c r="R14454" t="s">
        <v>43190</v>
      </c>
      <c r="S14454" t="s">
        <v>44274</v>
      </c>
      <c r="T14454" t="s">
        <v>44696</v>
      </c>
      <c r="U14454" t="s">
        <v>56278</v>
      </c>
      <c r="W14454" t="s">
        <v>41227</v>
      </c>
      <c r="X14454" t="s">
        <v>43192</v>
      </c>
    </row>
    <row r="14455" spans="1:24">
      <c r="A14455">
        <f>HYPERLINK("https://www.philgeps.gov.ph/GEPSNONPILOT/Tender/SplashBidNoticeAbstractUI.aspx?menuIndex=3&amp;refID=7040145&amp;Result=3","7040145")</f>
        <v>0</v>
      </c>
      <c r="B14455" t="s">
        <v>1908</v>
      </c>
      <c r="C14455" t="s">
        <v>17270</v>
      </c>
      <c r="D14455" t="s">
        <v>17468</v>
      </c>
      <c r="E14455" t="s">
        <v>29923</v>
      </c>
      <c r="F14455" t="s">
        <v>30052</v>
      </c>
      <c r="G14455" t="s">
        <v>30058</v>
      </c>
      <c r="H14455" t="s">
        <v>30067</v>
      </c>
      <c r="I14455" t="s">
        <v>3693</v>
      </c>
      <c r="J14455" t="s">
        <v>31185</v>
      </c>
      <c r="K14455" t="s">
        <v>39031</v>
      </c>
      <c r="M14455" t="s">
        <v>41339</v>
      </c>
      <c r="N14455" t="s">
        <v>43166</v>
      </c>
      <c r="O14455" t="s">
        <v>43167</v>
      </c>
      <c r="Q14455">
        <v>0</v>
      </c>
      <c r="R14455" t="s">
        <v>43192</v>
      </c>
      <c r="S14455" t="s">
        <v>44647</v>
      </c>
      <c r="T14455" t="s">
        <v>44750</v>
      </c>
      <c r="U14455" t="s">
        <v>56696</v>
      </c>
      <c r="W14455" t="s">
        <v>41339</v>
      </c>
      <c r="X14455" t="s">
        <v>43193</v>
      </c>
    </row>
    <row r="14456" spans="1:24">
      <c r="A14456">
        <f>HYPERLINK("https://www.philgeps.gov.ph/GEPSNONPILOT/Tender/SplashBidNoticeAbstractUI.aspx?menuIndex=3&amp;refID=7036501&amp;Result=3","7036501")</f>
        <v>0</v>
      </c>
      <c r="B14456" t="s">
        <v>1190</v>
      </c>
      <c r="C14456" t="s">
        <v>17271</v>
      </c>
      <c r="D14456" t="s">
        <v>17415</v>
      </c>
      <c r="E14456" t="s">
        <v>29924</v>
      </c>
      <c r="F14456" t="s">
        <v>30052</v>
      </c>
      <c r="G14456" t="s">
        <v>30062</v>
      </c>
      <c r="H14456" t="s">
        <v>15498</v>
      </c>
      <c r="I14456" t="s">
        <v>3736</v>
      </c>
      <c r="J14456" t="s">
        <v>38937</v>
      </c>
      <c r="K14456" t="s">
        <v>39019</v>
      </c>
      <c r="M14456" t="s">
        <v>40737</v>
      </c>
      <c r="N14456" t="s">
        <v>43166</v>
      </c>
      <c r="O14456" t="s">
        <v>43167</v>
      </c>
      <c r="Q14456">
        <v>6</v>
      </c>
      <c r="R14456" t="s">
        <v>43193</v>
      </c>
      <c r="S14456" t="s">
        <v>43381</v>
      </c>
      <c r="T14456" t="s">
        <v>44837</v>
      </c>
      <c r="U14456" t="s">
        <v>56697</v>
      </c>
      <c r="W14456" t="s">
        <v>40737</v>
      </c>
      <c r="X14456" t="s">
        <v>43194</v>
      </c>
    </row>
    <row r="14457" spans="1:24">
      <c r="A14457">
        <f>HYPERLINK("https://www.philgeps.gov.ph/GEPSNONPILOT/Tender/SplashBidNoticeAbstractUI.aspx?menuIndex=3&amp;refID=7042372&amp;Result=3","7042372")</f>
        <v>0</v>
      </c>
      <c r="B14457" t="s">
        <v>2780</v>
      </c>
      <c r="C14457" t="s">
        <v>17272</v>
      </c>
      <c r="D14457" t="s">
        <v>17466</v>
      </c>
      <c r="E14457" t="s">
        <v>29925</v>
      </c>
      <c r="F14457" t="s">
        <v>30052</v>
      </c>
      <c r="G14457" t="s">
        <v>30058</v>
      </c>
      <c r="H14457" t="s">
        <v>15498</v>
      </c>
      <c r="I14457" t="s">
        <v>30074</v>
      </c>
      <c r="J14457" t="s">
        <v>38938</v>
      </c>
      <c r="K14457" t="s">
        <v>39029</v>
      </c>
      <c r="M14457" t="s">
        <v>42316</v>
      </c>
      <c r="N14457" t="s">
        <v>43166</v>
      </c>
      <c r="O14457" t="s">
        <v>43167</v>
      </c>
      <c r="Q14457">
        <v>11</v>
      </c>
      <c r="R14457" t="s">
        <v>43190</v>
      </c>
      <c r="S14457" t="s">
        <v>44648</v>
      </c>
      <c r="T14457" t="s">
        <v>44820</v>
      </c>
      <c r="U14457" t="s">
        <v>56698</v>
      </c>
      <c r="W14457" t="s">
        <v>42316</v>
      </c>
      <c r="X14457" t="s">
        <v>43192</v>
      </c>
    </row>
    <row r="14458" spans="1:24">
      <c r="A14458">
        <f>HYPERLINK("https://www.philgeps.gov.ph/GEPSNONPILOT/Tender/SplashBidNoticeAbstractUI.aspx?menuIndex=3&amp;refID=7043246&amp;Result=3","7043246")</f>
        <v>0</v>
      </c>
      <c r="B14458" t="s">
        <v>3444</v>
      </c>
      <c r="C14458" t="s">
        <v>17273</v>
      </c>
      <c r="D14458" t="s">
        <v>17424</v>
      </c>
      <c r="E14458" t="s">
        <v>29926</v>
      </c>
      <c r="F14458" t="s">
        <v>30052</v>
      </c>
      <c r="G14458" t="s">
        <v>30063</v>
      </c>
      <c r="H14458" t="s">
        <v>30067</v>
      </c>
      <c r="I14458" t="s">
        <v>3693</v>
      </c>
      <c r="J14458" t="s">
        <v>37678</v>
      </c>
      <c r="K14458" t="s">
        <v>39031</v>
      </c>
      <c r="M14458" t="s">
        <v>43146</v>
      </c>
      <c r="N14458" t="s">
        <v>43166</v>
      </c>
      <c r="O14458" t="s">
        <v>43167</v>
      </c>
      <c r="P14458">
        <v>0</v>
      </c>
      <c r="Q14458">
        <v>96</v>
      </c>
      <c r="R14458" t="s">
        <v>43191</v>
      </c>
      <c r="S14458" t="s">
        <v>44280</v>
      </c>
      <c r="T14458" t="s">
        <v>44965</v>
      </c>
      <c r="U14458" t="s">
        <v>56699</v>
      </c>
      <c r="V14458" t="s">
        <v>58575</v>
      </c>
      <c r="W14458" t="s">
        <v>43146</v>
      </c>
      <c r="X14458" t="s">
        <v>43192</v>
      </c>
    </row>
    <row r="14459" spans="1:24">
      <c r="A14459">
        <f>HYPERLINK("https://www.philgeps.gov.ph/GEPSNONPILOT/Tender/SplashBidNoticeAbstractUI.aspx?menuIndex=3&amp;refID=7043916&amp;Result=3","7043916")</f>
        <v>0</v>
      </c>
      <c r="B14459" t="s">
        <v>3405</v>
      </c>
      <c r="C14459" t="s">
        <v>17274</v>
      </c>
      <c r="D14459" t="s">
        <v>17473</v>
      </c>
      <c r="E14459" t="s">
        <v>29927</v>
      </c>
      <c r="F14459" t="s">
        <v>30052</v>
      </c>
      <c r="G14459" t="s">
        <v>30058</v>
      </c>
      <c r="H14459" t="s">
        <v>30067</v>
      </c>
      <c r="I14459" t="s">
        <v>3693</v>
      </c>
      <c r="J14459" t="s">
        <v>30222</v>
      </c>
      <c r="K14459" t="s">
        <v>39023</v>
      </c>
      <c r="M14459" t="s">
        <v>43072</v>
      </c>
      <c r="N14459" t="s">
        <v>43166</v>
      </c>
      <c r="O14459" t="s">
        <v>43167</v>
      </c>
      <c r="P14459">
        <v>0</v>
      </c>
      <c r="Q14459">
        <v>3</v>
      </c>
      <c r="R14459" t="s">
        <v>43285</v>
      </c>
      <c r="S14459" t="s">
        <v>44649</v>
      </c>
      <c r="T14459" t="s">
        <v>44681</v>
      </c>
      <c r="U14459" t="s">
        <v>56700</v>
      </c>
      <c r="W14459" t="s">
        <v>43072</v>
      </c>
      <c r="X14459" t="s">
        <v>43191</v>
      </c>
    </row>
    <row r="14460" spans="1:24">
      <c r="A14460">
        <f>HYPERLINK("https://www.philgeps.gov.ph/GEPSNONPILOT/Tender/SplashBidNoticeAbstractUI.aspx?menuIndex=3&amp;refID=7043914&amp;Result=3","7043914")</f>
        <v>0</v>
      </c>
      <c r="B14460" t="s">
        <v>3405</v>
      </c>
      <c r="C14460" t="s">
        <v>17275</v>
      </c>
      <c r="D14460" t="s">
        <v>17473</v>
      </c>
      <c r="E14460" t="s">
        <v>29928</v>
      </c>
      <c r="F14460" t="s">
        <v>30052</v>
      </c>
      <c r="G14460" t="s">
        <v>30058</v>
      </c>
      <c r="H14460" t="s">
        <v>30067</v>
      </c>
      <c r="I14460" t="s">
        <v>3693</v>
      </c>
      <c r="J14460" t="s">
        <v>30542</v>
      </c>
      <c r="K14460" t="s">
        <v>39031</v>
      </c>
      <c r="M14460" t="s">
        <v>43072</v>
      </c>
      <c r="N14460" t="s">
        <v>43166</v>
      </c>
      <c r="O14460" t="s">
        <v>43167</v>
      </c>
      <c r="P14460">
        <v>0</v>
      </c>
      <c r="Q14460">
        <v>6</v>
      </c>
      <c r="R14460" t="s">
        <v>43285</v>
      </c>
      <c r="S14460" t="s">
        <v>44649</v>
      </c>
      <c r="T14460" t="s">
        <v>44681</v>
      </c>
      <c r="U14460" t="s">
        <v>56700</v>
      </c>
      <c r="W14460" t="s">
        <v>43072</v>
      </c>
      <c r="X14460" t="s">
        <v>43191</v>
      </c>
    </row>
    <row r="14461" spans="1:24">
      <c r="A14461">
        <f>HYPERLINK("https://www.philgeps.gov.ph/GEPSNONPILOT/Tender/SplashBidNoticeAbstractUI.aspx?menuIndex=3&amp;refID=7044301&amp;Result=3","7044301")</f>
        <v>0</v>
      </c>
      <c r="B14461" t="s">
        <v>390</v>
      </c>
      <c r="C14461" t="s">
        <v>17276</v>
      </c>
      <c r="D14461" t="s">
        <v>17415</v>
      </c>
      <c r="E14461" t="s">
        <v>29929</v>
      </c>
      <c r="F14461" t="s">
        <v>30052</v>
      </c>
      <c r="G14461" t="s">
        <v>30058</v>
      </c>
      <c r="H14461" t="s">
        <v>15498</v>
      </c>
      <c r="I14461" t="s">
        <v>30084</v>
      </c>
      <c r="J14461" t="s">
        <v>38939</v>
      </c>
      <c r="K14461" t="s">
        <v>39057</v>
      </c>
      <c r="M14461" t="s">
        <v>43147</v>
      </c>
      <c r="N14461" t="s">
        <v>43166</v>
      </c>
      <c r="O14461" t="s">
        <v>43167</v>
      </c>
      <c r="Q14461">
        <v>10</v>
      </c>
      <c r="R14461" t="s">
        <v>43189</v>
      </c>
      <c r="S14461" t="s">
        <v>44650</v>
      </c>
      <c r="T14461" t="s">
        <v>44718</v>
      </c>
      <c r="U14461" t="s">
        <v>56701</v>
      </c>
      <c r="W14461" t="s">
        <v>43147</v>
      </c>
      <c r="X14461" t="s">
        <v>43285</v>
      </c>
    </row>
    <row r="14462" spans="1:24">
      <c r="A14462">
        <f>HYPERLINK("https://www.philgeps.gov.ph/GEPSNONPILOT/Tender/SplashBidNoticeAbstractUI.aspx?menuIndex=3&amp;refID=7030122&amp;Result=3","7030122")</f>
        <v>0</v>
      </c>
      <c r="B14462" t="s">
        <v>1689</v>
      </c>
      <c r="C14462" t="s">
        <v>17277</v>
      </c>
      <c r="D14462" t="s">
        <v>17474</v>
      </c>
      <c r="E14462" t="s">
        <v>29930</v>
      </c>
      <c r="F14462" t="s">
        <v>30052</v>
      </c>
      <c r="G14462" t="s">
        <v>30058</v>
      </c>
      <c r="H14462" t="s">
        <v>30067</v>
      </c>
      <c r="I14462" t="s">
        <v>3693</v>
      </c>
      <c r="J14462" t="s">
        <v>38940</v>
      </c>
      <c r="K14462" t="s">
        <v>39032</v>
      </c>
      <c r="M14462" t="s">
        <v>41098</v>
      </c>
      <c r="N14462" t="s">
        <v>43166</v>
      </c>
      <c r="O14462" t="s">
        <v>43167</v>
      </c>
      <c r="P14462">
        <v>0</v>
      </c>
      <c r="Q14462">
        <v>2</v>
      </c>
      <c r="R14462" t="s">
        <v>43194</v>
      </c>
      <c r="S14462" t="s">
        <v>44307</v>
      </c>
      <c r="T14462" t="s">
        <v>44856</v>
      </c>
      <c r="U14462" t="s">
        <v>56702</v>
      </c>
      <c r="W14462" t="s">
        <v>41098</v>
      </c>
      <c r="X14462" t="s">
        <v>43197</v>
      </c>
    </row>
    <row r="14463" spans="1:24">
      <c r="A14463">
        <f>HYPERLINK("https://www.philgeps.gov.ph/GEPSNONPILOT/Tender/SplashBidNoticeAbstractUI.aspx?menuIndex=3&amp;refID=7044221&amp;Result=3","7044221")</f>
        <v>0</v>
      </c>
      <c r="B14463" t="s">
        <v>390</v>
      </c>
      <c r="C14463" t="s">
        <v>17278</v>
      </c>
      <c r="D14463" t="s">
        <v>17415</v>
      </c>
      <c r="E14463" t="s">
        <v>29931</v>
      </c>
      <c r="F14463" t="s">
        <v>30052</v>
      </c>
      <c r="G14463" t="s">
        <v>30058</v>
      </c>
      <c r="H14463" t="s">
        <v>15498</v>
      </c>
      <c r="I14463" t="s">
        <v>30084</v>
      </c>
      <c r="J14463" t="s">
        <v>37990</v>
      </c>
      <c r="K14463" t="s">
        <v>39025</v>
      </c>
      <c r="M14463" t="s">
        <v>43148</v>
      </c>
      <c r="N14463" t="s">
        <v>43166</v>
      </c>
      <c r="O14463" t="s">
        <v>43167</v>
      </c>
      <c r="Q14463">
        <v>13</v>
      </c>
      <c r="R14463" t="s">
        <v>43189</v>
      </c>
      <c r="S14463" t="s">
        <v>44651</v>
      </c>
      <c r="T14463" t="s">
        <v>44737</v>
      </c>
      <c r="U14463" t="s">
        <v>56701</v>
      </c>
      <c r="V14463" t="s">
        <v>58576</v>
      </c>
      <c r="W14463" t="s">
        <v>43148</v>
      </c>
      <c r="X14463" t="s">
        <v>43285</v>
      </c>
    </row>
    <row r="14464" spans="1:24">
      <c r="A14464">
        <f>HYPERLINK("https://www.philgeps.gov.ph/GEPSNONPILOT/Tender/SplashBidNoticeAbstractUI.aspx?menuIndex=3&amp;refID=7044220&amp;Result=3","7044220")</f>
        <v>0</v>
      </c>
      <c r="B14464" t="s">
        <v>2674</v>
      </c>
      <c r="C14464" t="s">
        <v>17279</v>
      </c>
      <c r="D14464" t="s">
        <v>17443</v>
      </c>
      <c r="E14464" t="s">
        <v>29932</v>
      </c>
      <c r="F14464" t="s">
        <v>30052</v>
      </c>
      <c r="G14464" t="s">
        <v>30058</v>
      </c>
      <c r="H14464" t="s">
        <v>15498</v>
      </c>
      <c r="I14464" t="s">
        <v>4650</v>
      </c>
      <c r="J14464" t="s">
        <v>32641</v>
      </c>
      <c r="K14464" t="s">
        <v>39019</v>
      </c>
      <c r="M14464" t="s">
        <v>42194</v>
      </c>
      <c r="N14464" t="s">
        <v>43166</v>
      </c>
      <c r="O14464" t="s">
        <v>43167</v>
      </c>
      <c r="P14464">
        <v>0</v>
      </c>
      <c r="Q14464">
        <v>1</v>
      </c>
      <c r="R14464" t="s">
        <v>43189</v>
      </c>
      <c r="S14464" t="s">
        <v>44254</v>
      </c>
      <c r="T14464" t="s">
        <v>44856</v>
      </c>
      <c r="U14464" t="s">
        <v>56703</v>
      </c>
      <c r="W14464" t="s">
        <v>42194</v>
      </c>
      <c r="X14464" t="s">
        <v>43285</v>
      </c>
    </row>
    <row r="14465" spans="1:24">
      <c r="A14465">
        <f>HYPERLINK("https://www.philgeps.gov.ph/GEPSNONPILOT/Tender/SplashBidNoticeAbstractUI.aspx?menuIndex=3&amp;refID=7043915&amp;Result=3","7043915")</f>
        <v>0</v>
      </c>
      <c r="B14465" t="s">
        <v>3405</v>
      </c>
      <c r="C14465" t="s">
        <v>17280</v>
      </c>
      <c r="D14465" t="s">
        <v>17473</v>
      </c>
      <c r="E14465" t="s">
        <v>29933</v>
      </c>
      <c r="F14465" t="s">
        <v>30052</v>
      </c>
      <c r="G14465" t="s">
        <v>30058</v>
      </c>
      <c r="H14465" t="s">
        <v>30067</v>
      </c>
      <c r="I14465" t="s">
        <v>3693</v>
      </c>
      <c r="J14465" t="s">
        <v>30222</v>
      </c>
      <c r="K14465" t="s">
        <v>39023</v>
      </c>
      <c r="M14465" t="s">
        <v>43072</v>
      </c>
      <c r="N14465" t="s">
        <v>43166</v>
      </c>
      <c r="O14465" t="s">
        <v>43167</v>
      </c>
      <c r="P14465">
        <v>0</v>
      </c>
      <c r="Q14465">
        <v>3</v>
      </c>
      <c r="R14465" t="s">
        <v>43285</v>
      </c>
      <c r="S14465" t="s">
        <v>44649</v>
      </c>
      <c r="T14465" t="s">
        <v>44681</v>
      </c>
      <c r="U14465" t="s">
        <v>56700</v>
      </c>
      <c r="W14465" t="s">
        <v>43072</v>
      </c>
      <c r="X14465" t="s">
        <v>43191</v>
      </c>
    </row>
    <row r="14466" spans="1:24">
      <c r="A14466">
        <f>HYPERLINK("https://www.philgeps.gov.ph/GEPSNONPILOT/Tender/SplashBidNoticeAbstractUI.aspx?menuIndex=3&amp;refID=7044215&amp;Result=3","7044215")</f>
        <v>0</v>
      </c>
      <c r="B14466" t="s">
        <v>38</v>
      </c>
      <c r="C14466" t="s">
        <v>17281</v>
      </c>
      <c r="D14466" t="s">
        <v>17423</v>
      </c>
      <c r="E14466" t="s">
        <v>29934</v>
      </c>
      <c r="F14466" t="s">
        <v>30052</v>
      </c>
      <c r="G14466" t="s">
        <v>30058</v>
      </c>
      <c r="H14466" t="s">
        <v>15498</v>
      </c>
      <c r="I14466" t="s">
        <v>30073</v>
      </c>
      <c r="J14466" t="s">
        <v>38941</v>
      </c>
      <c r="K14466" t="s">
        <v>39029</v>
      </c>
      <c r="M14466" t="s">
        <v>39328</v>
      </c>
      <c r="N14466" t="s">
        <v>43166</v>
      </c>
      <c r="O14466" t="s">
        <v>43167</v>
      </c>
      <c r="Q14466">
        <v>0</v>
      </c>
      <c r="R14466" t="s">
        <v>43189</v>
      </c>
      <c r="S14466" t="s">
        <v>44652</v>
      </c>
      <c r="T14466" t="s">
        <v>44736</v>
      </c>
      <c r="U14466" t="s">
        <v>56704</v>
      </c>
      <c r="W14466" t="s">
        <v>39328</v>
      </c>
      <c r="X14466" t="s">
        <v>43285</v>
      </c>
    </row>
    <row r="14467" spans="1:24">
      <c r="A14467">
        <f>HYPERLINK("https://www.philgeps.gov.ph/GEPSNONPILOT/Tender/SplashBidNoticeAbstractUI.aspx?menuIndex=3&amp;refID=7044201&amp;Result=3","7044201")</f>
        <v>0</v>
      </c>
      <c r="B14467" t="s">
        <v>3404</v>
      </c>
      <c r="C14467" t="s">
        <v>17282</v>
      </c>
      <c r="D14467" t="s">
        <v>17443</v>
      </c>
      <c r="E14467" t="s">
        <v>29935</v>
      </c>
      <c r="F14467" t="s">
        <v>30052</v>
      </c>
      <c r="G14467" t="s">
        <v>30058</v>
      </c>
      <c r="H14467" t="s">
        <v>15498</v>
      </c>
      <c r="I14467" t="s">
        <v>4119</v>
      </c>
      <c r="J14467" t="s">
        <v>38942</v>
      </c>
      <c r="K14467" t="s">
        <v>39052</v>
      </c>
      <c r="L14467" t="s">
        <v>3404</v>
      </c>
      <c r="M14467" t="s">
        <v>43071</v>
      </c>
      <c r="N14467" t="s">
        <v>43166</v>
      </c>
      <c r="O14467" t="s">
        <v>43167</v>
      </c>
      <c r="P14467">
        <v>0</v>
      </c>
      <c r="Q14467">
        <v>5</v>
      </c>
      <c r="R14467" t="s">
        <v>43189</v>
      </c>
      <c r="S14467" t="s">
        <v>44254</v>
      </c>
      <c r="T14467" t="s">
        <v>44844</v>
      </c>
      <c r="U14467" t="s">
        <v>56705</v>
      </c>
      <c r="V14467" t="s">
        <v>58487</v>
      </c>
      <c r="W14467" t="s">
        <v>43071</v>
      </c>
      <c r="X14467" t="s">
        <v>43285</v>
      </c>
    </row>
    <row r="14468" spans="1:24">
      <c r="A14468">
        <f>HYPERLINK("https://www.philgeps.gov.ph/GEPSNONPILOT/Tender/SplashBidNoticeAbstractUI.aspx?menuIndex=3&amp;refID=7044191&amp;Result=3","7044191")</f>
        <v>0</v>
      </c>
      <c r="B14468" t="s">
        <v>3404</v>
      </c>
      <c r="C14468" t="s">
        <v>17283</v>
      </c>
      <c r="D14468" t="s">
        <v>17443</v>
      </c>
      <c r="E14468" t="s">
        <v>29936</v>
      </c>
      <c r="F14468" t="s">
        <v>30052</v>
      </c>
      <c r="G14468" t="s">
        <v>30058</v>
      </c>
      <c r="H14468" t="s">
        <v>30067</v>
      </c>
      <c r="I14468" t="s">
        <v>3693</v>
      </c>
      <c r="J14468" t="s">
        <v>38943</v>
      </c>
      <c r="K14468" t="s">
        <v>39046</v>
      </c>
      <c r="L14468" t="s">
        <v>3404</v>
      </c>
      <c r="M14468" t="s">
        <v>43071</v>
      </c>
      <c r="N14468" t="s">
        <v>43166</v>
      </c>
      <c r="O14468" t="s">
        <v>43167</v>
      </c>
      <c r="P14468">
        <v>0</v>
      </c>
      <c r="Q14468">
        <v>0</v>
      </c>
      <c r="R14468" t="s">
        <v>43189</v>
      </c>
      <c r="S14468" t="s">
        <v>44254</v>
      </c>
      <c r="T14468" t="s">
        <v>44844</v>
      </c>
      <c r="U14468" t="s">
        <v>56706</v>
      </c>
      <c r="V14468" t="s">
        <v>58487</v>
      </c>
      <c r="W14468" t="s">
        <v>43071</v>
      </c>
      <c r="X14468" t="s">
        <v>43285</v>
      </c>
    </row>
    <row r="14469" spans="1:24">
      <c r="A14469">
        <f>HYPERLINK("https://www.philgeps.gov.ph/GEPSNONPILOT/Tender/SplashBidNoticeAbstractUI.aspx?menuIndex=3&amp;refID=7044184&amp;Result=3","7044184")</f>
        <v>0</v>
      </c>
      <c r="B14469" t="s">
        <v>439</v>
      </c>
      <c r="C14469" t="s">
        <v>17284</v>
      </c>
      <c r="D14469" t="s">
        <v>17415</v>
      </c>
      <c r="E14469" t="s">
        <v>29937</v>
      </c>
      <c r="F14469" t="s">
        <v>30052</v>
      </c>
      <c r="G14469" t="s">
        <v>30058</v>
      </c>
      <c r="H14469" t="s">
        <v>15498</v>
      </c>
      <c r="I14469" t="s">
        <v>30073</v>
      </c>
      <c r="J14469" t="s">
        <v>38944</v>
      </c>
      <c r="K14469" t="s">
        <v>39068</v>
      </c>
      <c r="M14469" t="s">
        <v>41519</v>
      </c>
      <c r="N14469" t="s">
        <v>43166</v>
      </c>
      <c r="O14469" t="s">
        <v>43167</v>
      </c>
      <c r="Q14469">
        <v>1</v>
      </c>
      <c r="R14469" t="s">
        <v>43189</v>
      </c>
      <c r="S14469" t="s">
        <v>43981</v>
      </c>
      <c r="T14469" t="s">
        <v>44791</v>
      </c>
      <c r="U14469" t="s">
        <v>56707</v>
      </c>
      <c r="V14469" t="s">
        <v>58577</v>
      </c>
      <c r="W14469" t="s">
        <v>41519</v>
      </c>
      <c r="X14469" t="s">
        <v>43285</v>
      </c>
    </row>
    <row r="14470" spans="1:24">
      <c r="A14470">
        <f>HYPERLINK("https://www.philgeps.gov.ph/GEPSNONPILOT/Tender/SplashBidNoticeAbstractUI.aspx?menuIndex=3&amp;refID=7041637&amp;Result=3","7041637")</f>
        <v>0</v>
      </c>
      <c r="B14470" t="s">
        <v>1804</v>
      </c>
      <c r="C14470" t="s">
        <v>16785</v>
      </c>
      <c r="E14470" t="s">
        <v>29938</v>
      </c>
      <c r="F14470" t="s">
        <v>30052</v>
      </c>
      <c r="G14470" t="s">
        <v>30058</v>
      </c>
      <c r="H14470" t="s">
        <v>30068</v>
      </c>
      <c r="I14470" t="s">
        <v>30068</v>
      </c>
      <c r="J14470" t="s">
        <v>35828</v>
      </c>
      <c r="K14470" t="s">
        <v>39025</v>
      </c>
      <c r="M14470" t="s">
        <v>41227</v>
      </c>
      <c r="N14470" t="s">
        <v>43166</v>
      </c>
      <c r="O14470" t="s">
        <v>43167</v>
      </c>
      <c r="P14470">
        <v>0</v>
      </c>
      <c r="Q14470">
        <v>4</v>
      </c>
      <c r="R14470" t="s">
        <v>43190</v>
      </c>
      <c r="S14470" t="s">
        <v>44274</v>
      </c>
      <c r="T14470" t="s">
        <v>44696</v>
      </c>
      <c r="U14470" t="s">
        <v>56708</v>
      </c>
      <c r="W14470" t="s">
        <v>41227</v>
      </c>
      <c r="X14470" t="s">
        <v>43192</v>
      </c>
    </row>
    <row r="14471" spans="1:24">
      <c r="A14471">
        <f>HYPERLINK("https://www.philgeps.gov.ph/GEPSNONPILOT/Tender/SplashBidNoticeAbstractUI.aspx?menuIndex=3&amp;refID=7043777&amp;Result=3","7043777")</f>
        <v>0</v>
      </c>
      <c r="B14471" t="s">
        <v>3403</v>
      </c>
      <c r="C14471" t="s">
        <v>17285</v>
      </c>
      <c r="D14471" t="s">
        <v>17478</v>
      </c>
      <c r="E14471" t="s">
        <v>29939</v>
      </c>
      <c r="F14471" t="s">
        <v>30052</v>
      </c>
      <c r="G14471" t="s">
        <v>30058</v>
      </c>
      <c r="H14471" t="s">
        <v>15498</v>
      </c>
      <c r="I14471" t="s">
        <v>30124</v>
      </c>
      <c r="J14471" t="s">
        <v>30256</v>
      </c>
      <c r="K14471" t="s">
        <v>39023</v>
      </c>
      <c r="M14471" t="s">
        <v>43070</v>
      </c>
      <c r="N14471" t="s">
        <v>43166</v>
      </c>
      <c r="O14471" t="s">
        <v>43167</v>
      </c>
      <c r="P14471">
        <v>0</v>
      </c>
      <c r="Q14471">
        <v>0</v>
      </c>
      <c r="R14471" t="s">
        <v>43189</v>
      </c>
      <c r="S14471" t="s">
        <v>44254</v>
      </c>
      <c r="T14471" t="s">
        <v>44681</v>
      </c>
      <c r="U14471" t="s">
        <v>56709</v>
      </c>
      <c r="W14471" t="s">
        <v>43070</v>
      </c>
      <c r="X14471" t="s">
        <v>43191</v>
      </c>
    </row>
    <row r="14472" spans="1:24">
      <c r="A14472">
        <f>HYPERLINK("https://www.philgeps.gov.ph/GEPSNONPILOT/Tender/SplashBidNoticeAbstractUI.aspx?menuIndex=3&amp;refID=7042610&amp;Result=3","7042610")</f>
        <v>0</v>
      </c>
      <c r="B14472" t="s">
        <v>2602</v>
      </c>
      <c r="C14472" t="s">
        <v>17286</v>
      </c>
      <c r="E14472" t="s">
        <v>29940</v>
      </c>
      <c r="F14472" t="s">
        <v>30052</v>
      </c>
      <c r="G14472" t="s">
        <v>30065</v>
      </c>
      <c r="H14472" t="s">
        <v>30068</v>
      </c>
      <c r="I14472" t="s">
        <v>30068</v>
      </c>
      <c r="J14472" t="s">
        <v>30856</v>
      </c>
      <c r="K14472" t="s">
        <v>39025</v>
      </c>
      <c r="M14472" t="s">
        <v>42113</v>
      </c>
      <c r="N14472" t="s">
        <v>43166</v>
      </c>
      <c r="O14472" t="s">
        <v>43167</v>
      </c>
      <c r="P14472">
        <v>0</v>
      </c>
      <c r="Q14472">
        <v>4</v>
      </c>
      <c r="R14472" t="s">
        <v>43189</v>
      </c>
      <c r="S14472" t="s">
        <v>44254</v>
      </c>
      <c r="T14472" t="s">
        <v>45122</v>
      </c>
      <c r="U14472" t="s">
        <v>56710</v>
      </c>
      <c r="W14472" t="s">
        <v>42113</v>
      </c>
      <c r="X14472" t="s">
        <v>43192</v>
      </c>
    </row>
    <row r="14473" spans="1:24">
      <c r="A14473">
        <f>HYPERLINK("https://www.philgeps.gov.ph/GEPSNONPILOT/Tender/SplashBidNoticeAbstractUI.aspx?menuIndex=3&amp;refID=7044340&amp;Result=3","7044340")</f>
        <v>0</v>
      </c>
      <c r="B14473" t="s">
        <v>1377</v>
      </c>
      <c r="C14473" t="s">
        <v>17287</v>
      </c>
      <c r="E14473" t="s">
        <v>29941</v>
      </c>
      <c r="F14473" t="s">
        <v>30052</v>
      </c>
      <c r="G14473" t="s">
        <v>30061</v>
      </c>
      <c r="H14473" t="s">
        <v>15498</v>
      </c>
      <c r="I14473" t="s">
        <v>30084</v>
      </c>
      <c r="J14473" t="s">
        <v>33464</v>
      </c>
      <c r="K14473" t="s">
        <v>39025</v>
      </c>
      <c r="M14473" t="s">
        <v>43094</v>
      </c>
      <c r="N14473" t="s">
        <v>43166</v>
      </c>
      <c r="O14473" t="s">
        <v>43167</v>
      </c>
      <c r="Q14473">
        <v>14</v>
      </c>
      <c r="R14473" t="s">
        <v>43189</v>
      </c>
      <c r="S14473" t="s">
        <v>43653</v>
      </c>
      <c r="T14473" t="s">
        <v>44777</v>
      </c>
      <c r="U14473" t="s">
        <v>56711</v>
      </c>
      <c r="W14473" t="s">
        <v>43094</v>
      </c>
      <c r="X14473" t="s">
        <v>43285</v>
      </c>
    </row>
    <row r="14474" spans="1:24">
      <c r="A14474">
        <f>HYPERLINK("https://www.philgeps.gov.ph/GEPSNONPILOT/Tender/SplashBidNoticeAbstractUI.aspx?menuIndex=3&amp;refID=7042312&amp;Result=3","7042312")</f>
        <v>0</v>
      </c>
      <c r="B14474" t="s">
        <v>1414</v>
      </c>
      <c r="C14474" t="s">
        <v>17288</v>
      </c>
      <c r="D14474" t="s">
        <v>17419</v>
      </c>
      <c r="E14474" t="s">
        <v>29942</v>
      </c>
      <c r="F14474" t="s">
        <v>30052</v>
      </c>
      <c r="G14474" t="s">
        <v>30058</v>
      </c>
      <c r="H14474" t="s">
        <v>15498</v>
      </c>
      <c r="I14474" t="s">
        <v>30096</v>
      </c>
      <c r="J14474" t="s">
        <v>38945</v>
      </c>
      <c r="K14474" t="s">
        <v>39029</v>
      </c>
      <c r="M14474" t="s">
        <v>40792</v>
      </c>
      <c r="N14474" t="s">
        <v>43166</v>
      </c>
      <c r="O14474" t="s">
        <v>43167</v>
      </c>
      <c r="P14474">
        <v>0</v>
      </c>
      <c r="Q14474">
        <v>6</v>
      </c>
      <c r="R14474" t="s">
        <v>43189</v>
      </c>
      <c r="S14474" t="s">
        <v>44254</v>
      </c>
      <c r="T14474" t="s">
        <v>44717</v>
      </c>
      <c r="U14474" t="s">
        <v>56712</v>
      </c>
      <c r="W14474" t="s">
        <v>40792</v>
      </c>
      <c r="X14474" t="s">
        <v>43192</v>
      </c>
    </row>
    <row r="14475" spans="1:24">
      <c r="A14475">
        <f>HYPERLINK("https://www.philgeps.gov.ph/GEPSNONPILOT/Tender/SplashBidNoticeAbstractUI.aspx?menuIndex=3&amp;refID=7044226&amp;Result=3","7044226")</f>
        <v>0</v>
      </c>
      <c r="B14475" t="s">
        <v>2674</v>
      </c>
      <c r="C14475" t="s">
        <v>17289</v>
      </c>
      <c r="D14475" t="s">
        <v>17443</v>
      </c>
      <c r="E14475" t="s">
        <v>29943</v>
      </c>
      <c r="F14475" t="s">
        <v>30052</v>
      </c>
      <c r="G14475" t="s">
        <v>30058</v>
      </c>
      <c r="H14475" t="s">
        <v>15498</v>
      </c>
      <c r="I14475" t="s">
        <v>30114</v>
      </c>
      <c r="J14475" t="s">
        <v>38946</v>
      </c>
      <c r="K14475" t="s">
        <v>39019</v>
      </c>
      <c r="M14475" t="s">
        <v>42194</v>
      </c>
      <c r="N14475" t="s">
        <v>43166</v>
      </c>
      <c r="O14475" t="s">
        <v>43167</v>
      </c>
      <c r="P14475">
        <v>0</v>
      </c>
      <c r="Q14475">
        <v>4</v>
      </c>
      <c r="R14475" t="s">
        <v>43189</v>
      </c>
      <c r="S14475" t="s">
        <v>44254</v>
      </c>
      <c r="T14475" t="s">
        <v>44856</v>
      </c>
      <c r="U14475" t="s">
        <v>56713</v>
      </c>
      <c r="W14475" t="s">
        <v>42194</v>
      </c>
      <c r="X14475" t="s">
        <v>43285</v>
      </c>
    </row>
    <row r="14476" spans="1:24">
      <c r="A14476">
        <f>HYPERLINK("https://www.philgeps.gov.ph/GEPSNONPILOT/Tender/SplashBidNoticeAbstractUI.aspx?menuIndex=3&amp;refID=7042081&amp;Result=3","7042081")</f>
        <v>0</v>
      </c>
      <c r="B14476" t="s">
        <v>2316</v>
      </c>
      <c r="C14476" t="s">
        <v>17290</v>
      </c>
      <c r="D14476" t="s">
        <v>17445</v>
      </c>
      <c r="E14476" t="s">
        <v>29944</v>
      </c>
      <c r="F14476" t="s">
        <v>30052</v>
      </c>
      <c r="G14476" t="s">
        <v>30058</v>
      </c>
      <c r="H14476" t="s">
        <v>15498</v>
      </c>
      <c r="I14476" t="s">
        <v>30076</v>
      </c>
      <c r="J14476" t="s">
        <v>30230</v>
      </c>
      <c r="K14476" t="s">
        <v>39029</v>
      </c>
      <c r="M14476" t="s">
        <v>41802</v>
      </c>
      <c r="N14476" t="s">
        <v>43166</v>
      </c>
      <c r="O14476" t="s">
        <v>43167</v>
      </c>
      <c r="P14476">
        <v>0</v>
      </c>
      <c r="Q14476">
        <v>1</v>
      </c>
      <c r="R14476" t="s">
        <v>43189</v>
      </c>
      <c r="S14476" t="s">
        <v>44254</v>
      </c>
      <c r="T14476" t="s">
        <v>44717</v>
      </c>
      <c r="U14476" t="s">
        <v>56714</v>
      </c>
      <c r="V14476" t="s">
        <v>57593</v>
      </c>
      <c r="W14476" t="s">
        <v>41802</v>
      </c>
      <c r="X14476" t="s">
        <v>43192</v>
      </c>
    </row>
    <row r="14477" spans="1:24">
      <c r="A14477">
        <f>HYPERLINK("https://www.philgeps.gov.ph/GEPSNONPILOT/Tender/SplashBidNoticeAbstractUI.aspx?menuIndex=3&amp;refID=7046619&amp;Result=3","7046619")</f>
        <v>0</v>
      </c>
      <c r="B14477" t="s">
        <v>2864</v>
      </c>
      <c r="C14477" t="s">
        <v>17291</v>
      </c>
      <c r="D14477" t="s">
        <v>17475</v>
      </c>
      <c r="E14477" t="s">
        <v>29945</v>
      </c>
      <c r="F14477" t="s">
        <v>30052</v>
      </c>
      <c r="G14477" t="s">
        <v>30058</v>
      </c>
      <c r="H14477" t="s">
        <v>30067</v>
      </c>
      <c r="I14477" t="s">
        <v>3693</v>
      </c>
      <c r="J14477" t="s">
        <v>38947</v>
      </c>
      <c r="K14477" t="s">
        <v>39025</v>
      </c>
      <c r="M14477" t="s">
        <v>42475</v>
      </c>
      <c r="N14477" t="s">
        <v>43166</v>
      </c>
      <c r="O14477" t="s">
        <v>43167</v>
      </c>
      <c r="P14477">
        <v>0</v>
      </c>
      <c r="Q14477">
        <v>3</v>
      </c>
      <c r="R14477" t="s">
        <v>43188</v>
      </c>
      <c r="S14477" t="s">
        <v>44213</v>
      </c>
      <c r="T14477" t="s">
        <v>44856</v>
      </c>
      <c r="U14477" t="s">
        <v>53437</v>
      </c>
      <c r="W14477" t="s">
        <v>42475</v>
      </c>
      <c r="X14477" t="s">
        <v>43189</v>
      </c>
    </row>
    <row r="14478" spans="1:24">
      <c r="A14478">
        <f>HYPERLINK("https://www.philgeps.gov.ph/GEPSNONPILOT/Tender/SplashBidNoticeAbstractUI.aspx?menuIndex=3&amp;refID=7041632&amp;Result=3","7041632")</f>
        <v>0</v>
      </c>
      <c r="B14478" t="s">
        <v>2842</v>
      </c>
      <c r="C14478" t="s">
        <v>17292</v>
      </c>
      <c r="D14478" t="s">
        <v>17421</v>
      </c>
      <c r="E14478" t="s">
        <v>29946</v>
      </c>
      <c r="F14478" t="s">
        <v>30052</v>
      </c>
      <c r="G14478" t="s">
        <v>30058</v>
      </c>
      <c r="H14478" t="s">
        <v>15498</v>
      </c>
      <c r="I14478" t="s">
        <v>30105</v>
      </c>
      <c r="J14478" t="s">
        <v>38948</v>
      </c>
      <c r="K14478" t="s">
        <v>39029</v>
      </c>
      <c r="M14478" t="s">
        <v>42388</v>
      </c>
      <c r="N14478" t="s">
        <v>43166</v>
      </c>
      <c r="O14478" t="s">
        <v>43167</v>
      </c>
      <c r="P14478">
        <v>0</v>
      </c>
      <c r="Q14478">
        <v>3</v>
      </c>
      <c r="R14478" t="s">
        <v>43190</v>
      </c>
      <c r="S14478" t="s">
        <v>44274</v>
      </c>
      <c r="T14478" t="s">
        <v>44769</v>
      </c>
      <c r="U14478" t="s">
        <v>56715</v>
      </c>
      <c r="V14478" t="s">
        <v>58578</v>
      </c>
      <c r="W14478" t="s">
        <v>42388</v>
      </c>
      <c r="X14478" t="s">
        <v>43192</v>
      </c>
    </row>
    <row r="14479" spans="1:24">
      <c r="A14479">
        <f>HYPERLINK("https://www.philgeps.gov.ph/GEPSNONPILOT/Tender/SplashBidNoticeAbstractUI.aspx?menuIndex=3&amp;refID=7042601&amp;Result=3","7042601")</f>
        <v>0</v>
      </c>
      <c r="B14479" t="s">
        <v>362</v>
      </c>
      <c r="C14479" t="s">
        <v>17293</v>
      </c>
      <c r="E14479" t="s">
        <v>29947</v>
      </c>
      <c r="F14479" t="s">
        <v>30052</v>
      </c>
      <c r="G14479" t="s">
        <v>30058</v>
      </c>
      <c r="H14479" t="s">
        <v>15498</v>
      </c>
      <c r="I14479" t="s">
        <v>30084</v>
      </c>
      <c r="J14479" t="s">
        <v>38949</v>
      </c>
      <c r="K14479" t="s">
        <v>39025</v>
      </c>
      <c r="M14479" t="s">
        <v>43149</v>
      </c>
      <c r="N14479" t="s">
        <v>43166</v>
      </c>
      <c r="O14479" t="s">
        <v>43167</v>
      </c>
      <c r="Q14479">
        <v>23</v>
      </c>
      <c r="R14479" t="s">
        <v>43189</v>
      </c>
      <c r="S14479" t="s">
        <v>44653</v>
      </c>
      <c r="T14479" t="s">
        <v>44721</v>
      </c>
      <c r="U14479" t="s">
        <v>56716</v>
      </c>
      <c r="W14479" t="s">
        <v>43149</v>
      </c>
      <c r="X14479" t="s">
        <v>43192</v>
      </c>
    </row>
    <row r="14480" spans="1:24">
      <c r="A14480">
        <f>HYPERLINK("https://www.philgeps.gov.ph/GEPSNONPILOT/Tender/SplashBidNoticeAbstractUI.aspx?menuIndex=3&amp;refID=7044197&amp;Result=3","7044197")</f>
        <v>0</v>
      </c>
      <c r="B14480" t="s">
        <v>3404</v>
      </c>
      <c r="C14480" t="s">
        <v>17294</v>
      </c>
      <c r="D14480" t="s">
        <v>17443</v>
      </c>
      <c r="E14480" t="s">
        <v>29948</v>
      </c>
      <c r="F14480" t="s">
        <v>30052</v>
      </c>
      <c r="G14480" t="s">
        <v>30058</v>
      </c>
      <c r="H14480" t="s">
        <v>30067</v>
      </c>
      <c r="I14480" t="s">
        <v>3693</v>
      </c>
      <c r="J14480" t="s">
        <v>38950</v>
      </c>
      <c r="K14480" t="s">
        <v>39153</v>
      </c>
      <c r="L14480" t="s">
        <v>3404</v>
      </c>
      <c r="M14480" t="s">
        <v>43071</v>
      </c>
      <c r="N14480" t="s">
        <v>43166</v>
      </c>
      <c r="O14480" t="s">
        <v>43167</v>
      </c>
      <c r="P14480">
        <v>0</v>
      </c>
      <c r="Q14480">
        <v>0</v>
      </c>
      <c r="R14480" t="s">
        <v>43189</v>
      </c>
      <c r="S14480" t="s">
        <v>44254</v>
      </c>
      <c r="T14480" t="s">
        <v>44844</v>
      </c>
      <c r="U14480" t="s">
        <v>56717</v>
      </c>
      <c r="V14480" t="s">
        <v>58487</v>
      </c>
      <c r="W14480" t="s">
        <v>43071</v>
      </c>
      <c r="X14480" t="s">
        <v>43285</v>
      </c>
    </row>
    <row r="14481" spans="1:24">
      <c r="A14481">
        <f>HYPERLINK("https://www.philgeps.gov.ph/GEPSNONPILOT/Tender/SplashBidNoticeAbstractUI.aspx?menuIndex=3&amp;refID=7042220&amp;Result=3","7042220")</f>
        <v>0</v>
      </c>
      <c r="B14481" t="s">
        <v>1377</v>
      </c>
      <c r="C14481" t="s">
        <v>17295</v>
      </c>
      <c r="D14481" t="s">
        <v>17415</v>
      </c>
      <c r="E14481" t="s">
        <v>29949</v>
      </c>
      <c r="F14481" t="s">
        <v>30052</v>
      </c>
      <c r="G14481" t="s">
        <v>30058</v>
      </c>
      <c r="H14481" t="s">
        <v>15498</v>
      </c>
      <c r="I14481" t="s">
        <v>3606</v>
      </c>
      <c r="J14481" t="s">
        <v>38951</v>
      </c>
      <c r="K14481" t="s">
        <v>39031</v>
      </c>
      <c r="M14481" t="s">
        <v>43150</v>
      </c>
      <c r="N14481" t="s">
        <v>43166</v>
      </c>
      <c r="O14481" t="s">
        <v>43167</v>
      </c>
      <c r="P14481">
        <v>0</v>
      </c>
      <c r="Q14481">
        <v>15</v>
      </c>
      <c r="R14481" t="s">
        <v>43189</v>
      </c>
      <c r="S14481" t="s">
        <v>44254</v>
      </c>
      <c r="T14481" t="s">
        <v>44844</v>
      </c>
      <c r="U14481" t="s">
        <v>56718</v>
      </c>
      <c r="W14481" t="s">
        <v>43150</v>
      </c>
      <c r="X14481" t="s">
        <v>43192</v>
      </c>
    </row>
    <row r="14482" spans="1:24">
      <c r="A14482">
        <f>HYPERLINK("https://www.philgeps.gov.ph/GEPSNONPILOT/Tender/SplashBidNoticeAbstractUI.aspx?menuIndex=3&amp;refID=7046395&amp;Result=3","7046395")</f>
        <v>0</v>
      </c>
      <c r="B14482" t="s">
        <v>2786</v>
      </c>
      <c r="C14482" t="s">
        <v>17296</v>
      </c>
      <c r="D14482" t="s">
        <v>17470</v>
      </c>
      <c r="E14482" t="s">
        <v>29950</v>
      </c>
      <c r="F14482" t="s">
        <v>30052</v>
      </c>
      <c r="G14482" t="s">
        <v>30058</v>
      </c>
      <c r="H14482" t="s">
        <v>15498</v>
      </c>
      <c r="I14482" t="s">
        <v>30088</v>
      </c>
      <c r="J14482" t="s">
        <v>30338</v>
      </c>
      <c r="K14482" t="s">
        <v>39029</v>
      </c>
      <c r="M14482" t="s">
        <v>42326</v>
      </c>
      <c r="N14482" t="s">
        <v>43166</v>
      </c>
      <c r="O14482" t="s">
        <v>43167</v>
      </c>
      <c r="P14482">
        <v>0</v>
      </c>
      <c r="Q14482">
        <v>3</v>
      </c>
      <c r="R14482" t="s">
        <v>43188</v>
      </c>
      <c r="S14482" t="s">
        <v>44213</v>
      </c>
      <c r="T14482" t="s">
        <v>44844</v>
      </c>
      <c r="U14482" t="s">
        <v>56719</v>
      </c>
      <c r="W14482" t="s">
        <v>42326</v>
      </c>
      <c r="X14482" t="s">
        <v>43189</v>
      </c>
    </row>
    <row r="14483" spans="1:24">
      <c r="A14483">
        <f>HYPERLINK("https://www.philgeps.gov.ph/GEPSNONPILOT/Tender/SplashBidNoticeAbstractUI.aspx?menuIndex=3&amp;refID=7046377&amp;Result=3","7046377")</f>
        <v>0</v>
      </c>
      <c r="B14483" t="s">
        <v>3445</v>
      </c>
      <c r="C14483" t="s">
        <v>17297</v>
      </c>
      <c r="D14483" t="s">
        <v>17445</v>
      </c>
      <c r="E14483" t="s">
        <v>29951</v>
      </c>
      <c r="F14483" t="s">
        <v>30052</v>
      </c>
      <c r="G14483" t="s">
        <v>30058</v>
      </c>
      <c r="H14483" t="s">
        <v>15498</v>
      </c>
      <c r="I14483" t="s">
        <v>4119</v>
      </c>
      <c r="J14483" t="s">
        <v>38952</v>
      </c>
      <c r="K14483" t="s">
        <v>39017</v>
      </c>
      <c r="M14483" t="s">
        <v>43151</v>
      </c>
      <c r="N14483" t="s">
        <v>43166</v>
      </c>
      <c r="O14483" t="s">
        <v>43167</v>
      </c>
      <c r="Q14483">
        <v>13</v>
      </c>
      <c r="R14483" t="s">
        <v>43188</v>
      </c>
      <c r="S14483" t="s">
        <v>44654</v>
      </c>
      <c r="T14483" t="s">
        <v>44804</v>
      </c>
      <c r="U14483" t="s">
        <v>56720</v>
      </c>
      <c r="W14483" t="s">
        <v>43151</v>
      </c>
      <c r="X14483" t="s">
        <v>43189</v>
      </c>
    </row>
    <row r="14484" spans="1:24">
      <c r="A14484">
        <f>HYPERLINK("https://www.philgeps.gov.ph/GEPSNONPILOT/Tender/SplashBidNoticeAbstractUI.aspx?menuIndex=3&amp;refID=7046344&amp;Result=3","7046344")</f>
        <v>0</v>
      </c>
      <c r="B14484" t="s">
        <v>3445</v>
      </c>
      <c r="C14484" t="s">
        <v>17298</v>
      </c>
      <c r="D14484" t="s">
        <v>17445</v>
      </c>
      <c r="E14484" t="s">
        <v>29952</v>
      </c>
      <c r="F14484" t="s">
        <v>30052</v>
      </c>
      <c r="G14484" t="s">
        <v>30058</v>
      </c>
      <c r="H14484" t="s">
        <v>15498</v>
      </c>
      <c r="I14484" t="s">
        <v>3736</v>
      </c>
      <c r="J14484" t="s">
        <v>38953</v>
      </c>
      <c r="K14484" t="s">
        <v>39017</v>
      </c>
      <c r="M14484" t="s">
        <v>43151</v>
      </c>
      <c r="N14484" t="s">
        <v>43166</v>
      </c>
      <c r="O14484" t="s">
        <v>43167</v>
      </c>
      <c r="Q14484">
        <v>2</v>
      </c>
      <c r="R14484" t="s">
        <v>43188</v>
      </c>
      <c r="S14484" t="s">
        <v>44655</v>
      </c>
      <c r="T14484" t="s">
        <v>44804</v>
      </c>
      <c r="U14484" t="s">
        <v>56721</v>
      </c>
      <c r="W14484" t="s">
        <v>43151</v>
      </c>
      <c r="X14484" t="s">
        <v>43189</v>
      </c>
    </row>
    <row r="14485" spans="1:24">
      <c r="A14485">
        <f>HYPERLINK("https://www.philgeps.gov.ph/GEPSNONPILOT/Tender/SplashBidNoticeAbstractUI.aspx?menuIndex=3&amp;refID=7045780&amp;Result=3","7045780")</f>
        <v>0</v>
      </c>
      <c r="B14485" t="s">
        <v>782</v>
      </c>
      <c r="C14485" t="s">
        <v>17299</v>
      </c>
      <c r="D14485" t="s">
        <v>17415</v>
      </c>
      <c r="E14485" t="s">
        <v>29953</v>
      </c>
      <c r="F14485" t="s">
        <v>30052</v>
      </c>
      <c r="G14485" t="s">
        <v>30058</v>
      </c>
      <c r="H14485" t="s">
        <v>15498</v>
      </c>
      <c r="I14485" t="s">
        <v>30096</v>
      </c>
      <c r="J14485" t="s">
        <v>38954</v>
      </c>
      <c r="K14485" t="s">
        <v>39098</v>
      </c>
      <c r="M14485" t="s">
        <v>40097</v>
      </c>
      <c r="N14485" t="s">
        <v>43166</v>
      </c>
      <c r="O14485" t="s">
        <v>43167</v>
      </c>
      <c r="Q14485">
        <v>13</v>
      </c>
      <c r="R14485" t="s">
        <v>43188</v>
      </c>
      <c r="S14485" t="s">
        <v>44656</v>
      </c>
      <c r="T14485" t="s">
        <v>44710</v>
      </c>
      <c r="U14485" t="s">
        <v>56722</v>
      </c>
      <c r="W14485" t="s">
        <v>40097</v>
      </c>
      <c r="X14485" t="s">
        <v>43189</v>
      </c>
    </row>
    <row r="14486" spans="1:24">
      <c r="A14486">
        <f>HYPERLINK("https://www.philgeps.gov.ph/GEPSNONPILOT/Tender/SplashBidNoticeAbstractUI.aspx?menuIndex=3&amp;refID=7045776&amp;Result=3","7045776")</f>
        <v>0</v>
      </c>
      <c r="B14486" t="s">
        <v>3391</v>
      </c>
      <c r="C14486" t="s">
        <v>17300</v>
      </c>
      <c r="D14486" t="s">
        <v>17475</v>
      </c>
      <c r="E14486" t="s">
        <v>29954</v>
      </c>
      <c r="F14486" t="s">
        <v>30052</v>
      </c>
      <c r="G14486" t="s">
        <v>30058</v>
      </c>
      <c r="H14486" t="s">
        <v>15498</v>
      </c>
      <c r="I14486" t="s">
        <v>9238</v>
      </c>
      <c r="J14486" t="s">
        <v>38955</v>
      </c>
      <c r="K14486" t="s">
        <v>39031</v>
      </c>
      <c r="M14486" t="s">
        <v>43053</v>
      </c>
      <c r="N14486" t="s">
        <v>43166</v>
      </c>
      <c r="O14486" t="s">
        <v>43167</v>
      </c>
      <c r="Q14486">
        <v>17</v>
      </c>
      <c r="R14486" t="s">
        <v>43188</v>
      </c>
      <c r="S14486" t="s">
        <v>44657</v>
      </c>
      <c r="T14486" t="s">
        <v>44936</v>
      </c>
      <c r="U14486" t="s">
        <v>56723</v>
      </c>
      <c r="V14486" t="s">
        <v>58473</v>
      </c>
      <c r="W14486" t="s">
        <v>43053</v>
      </c>
      <c r="X14486" t="s">
        <v>43189</v>
      </c>
    </row>
    <row r="14487" spans="1:24">
      <c r="A14487">
        <f>HYPERLINK("https://www.philgeps.gov.ph/GEPSNONPILOT/Tender/SplashBidNoticeAbstractUI.aspx?menuIndex=3&amp;refID=7045669&amp;Result=3","7045669")</f>
        <v>0</v>
      </c>
      <c r="B14487" t="s">
        <v>3392</v>
      </c>
      <c r="C14487" t="s">
        <v>17301</v>
      </c>
      <c r="D14487" t="s">
        <v>17494</v>
      </c>
      <c r="E14487" t="s">
        <v>29955</v>
      </c>
      <c r="F14487" t="s">
        <v>30052</v>
      </c>
      <c r="G14487" t="s">
        <v>30058</v>
      </c>
      <c r="H14487" t="s">
        <v>15498</v>
      </c>
      <c r="I14487" t="s">
        <v>30130</v>
      </c>
      <c r="J14487" t="s">
        <v>30494</v>
      </c>
      <c r="K14487" t="s">
        <v>39023</v>
      </c>
      <c r="M14487" t="s">
        <v>43054</v>
      </c>
      <c r="N14487" t="s">
        <v>43166</v>
      </c>
      <c r="O14487" t="s">
        <v>43167</v>
      </c>
      <c r="Q14487">
        <v>8</v>
      </c>
      <c r="R14487" t="s">
        <v>43188</v>
      </c>
      <c r="S14487" t="s">
        <v>44245</v>
      </c>
      <c r="T14487" t="s">
        <v>44687</v>
      </c>
      <c r="U14487" t="s">
        <v>56724</v>
      </c>
      <c r="W14487" t="s">
        <v>43054</v>
      </c>
      <c r="X14487" t="s">
        <v>43189</v>
      </c>
    </row>
    <row r="14488" spans="1:24">
      <c r="A14488">
        <f>HYPERLINK("https://www.philgeps.gov.ph/GEPSNONPILOT/Tender/SplashBidNoticeAbstractUI.aspx?menuIndex=3&amp;refID=7046416&amp;Result=3","7046416")</f>
        <v>0</v>
      </c>
      <c r="B14488" t="s">
        <v>1260</v>
      </c>
      <c r="C14488" t="s">
        <v>17302</v>
      </c>
      <c r="D14488" t="s">
        <v>17478</v>
      </c>
      <c r="E14488" t="s">
        <v>29956</v>
      </c>
      <c r="F14488" t="s">
        <v>30052</v>
      </c>
      <c r="G14488" t="s">
        <v>30063</v>
      </c>
      <c r="H14488" t="s">
        <v>30067</v>
      </c>
      <c r="I14488" t="s">
        <v>3693</v>
      </c>
      <c r="J14488" t="s">
        <v>38956</v>
      </c>
      <c r="K14488" t="s">
        <v>39026</v>
      </c>
      <c r="M14488" t="s">
        <v>42093</v>
      </c>
      <c r="N14488" t="s">
        <v>43166</v>
      </c>
      <c r="O14488" t="s">
        <v>43167</v>
      </c>
      <c r="P14488">
        <v>0</v>
      </c>
      <c r="Q14488">
        <v>0</v>
      </c>
      <c r="R14488" t="s">
        <v>43188</v>
      </c>
      <c r="S14488" t="s">
        <v>44213</v>
      </c>
      <c r="T14488" t="s">
        <v>44717</v>
      </c>
      <c r="U14488" t="s">
        <v>52067</v>
      </c>
      <c r="V14488" t="s">
        <v>58478</v>
      </c>
      <c r="W14488" t="s">
        <v>58679</v>
      </c>
      <c r="X14488" t="s">
        <v>43189</v>
      </c>
    </row>
    <row r="14489" spans="1:24">
      <c r="A14489">
        <f>HYPERLINK("https://www.philgeps.gov.ph/GEPSNONPILOT/Tender/SplashBidNoticeAbstractUI.aspx?menuIndex=3&amp;refID=7045657&amp;Result=3","7045657")</f>
        <v>0</v>
      </c>
      <c r="B14489" t="s">
        <v>1655</v>
      </c>
      <c r="C14489" t="s">
        <v>17303</v>
      </c>
      <c r="D14489" t="s">
        <v>17481</v>
      </c>
      <c r="E14489" t="s">
        <v>20543</v>
      </c>
      <c r="F14489" t="s">
        <v>30052</v>
      </c>
      <c r="G14489" t="s">
        <v>30058</v>
      </c>
      <c r="H14489" t="s">
        <v>15498</v>
      </c>
      <c r="I14489" t="s">
        <v>30144</v>
      </c>
      <c r="J14489" t="s">
        <v>38957</v>
      </c>
      <c r="K14489" t="s">
        <v>39032</v>
      </c>
      <c r="M14489" t="s">
        <v>41060</v>
      </c>
      <c r="N14489" t="s">
        <v>43166</v>
      </c>
      <c r="O14489" t="s">
        <v>43167</v>
      </c>
      <c r="Q14489">
        <v>3</v>
      </c>
      <c r="R14489" t="s">
        <v>43188</v>
      </c>
      <c r="S14489" t="s">
        <v>44459</v>
      </c>
      <c r="T14489" t="s">
        <v>44844</v>
      </c>
      <c r="U14489" t="s">
        <v>56725</v>
      </c>
      <c r="W14489" t="s">
        <v>41060</v>
      </c>
      <c r="X14489" t="s">
        <v>43189</v>
      </c>
    </row>
    <row r="14490" spans="1:24">
      <c r="A14490">
        <f>HYPERLINK("https://www.philgeps.gov.ph/GEPSNONPILOT/Tender/SplashBidNoticeAbstractUI.aspx?menuIndex=3&amp;refID=7033528&amp;Result=3","7033528")</f>
        <v>0</v>
      </c>
      <c r="B14490" t="s">
        <v>3446</v>
      </c>
      <c r="C14490" t="s">
        <v>17304</v>
      </c>
      <c r="D14490" t="s">
        <v>17422</v>
      </c>
      <c r="E14490" t="s">
        <v>29957</v>
      </c>
      <c r="F14490" t="s">
        <v>30052</v>
      </c>
      <c r="G14490" t="s">
        <v>30058</v>
      </c>
      <c r="H14490" t="s">
        <v>15498</v>
      </c>
      <c r="I14490" t="s">
        <v>3736</v>
      </c>
      <c r="J14490" t="s">
        <v>38958</v>
      </c>
      <c r="K14490" t="s">
        <v>39029</v>
      </c>
      <c r="M14490" t="s">
        <v>43152</v>
      </c>
      <c r="N14490" t="s">
        <v>43166</v>
      </c>
      <c r="O14490" t="s">
        <v>43167</v>
      </c>
      <c r="P14490">
        <v>0</v>
      </c>
      <c r="Q14490">
        <v>0</v>
      </c>
      <c r="R14490" t="s">
        <v>43194</v>
      </c>
      <c r="S14490" t="s">
        <v>44307</v>
      </c>
      <c r="T14490" t="s">
        <v>44732</v>
      </c>
      <c r="U14490" t="s">
        <v>56726</v>
      </c>
      <c r="V14490" t="s">
        <v>58508</v>
      </c>
      <c r="W14490" t="s">
        <v>43152</v>
      </c>
      <c r="X14490" t="s">
        <v>43195</v>
      </c>
    </row>
    <row r="14491" spans="1:24">
      <c r="A14491">
        <f>HYPERLINK("https://www.philgeps.gov.ph/GEPSNONPILOT/Tender/SplashBidNoticeAbstractUI.aspx?menuIndex=3&amp;refID=7046384&amp;Result=3","7046384")</f>
        <v>0</v>
      </c>
      <c r="B14491" t="s">
        <v>3447</v>
      </c>
      <c r="C14491" t="s">
        <v>17305</v>
      </c>
      <c r="D14491" t="s">
        <v>17436</v>
      </c>
      <c r="E14491" t="s">
        <v>29958</v>
      </c>
      <c r="F14491" t="s">
        <v>30052</v>
      </c>
      <c r="G14491" t="s">
        <v>30058</v>
      </c>
      <c r="H14491" t="s">
        <v>30067</v>
      </c>
      <c r="I14491" t="s">
        <v>30152</v>
      </c>
      <c r="J14491" t="s">
        <v>30215</v>
      </c>
      <c r="K14491" t="s">
        <v>39046</v>
      </c>
      <c r="M14491" t="s">
        <v>43153</v>
      </c>
      <c r="N14491" t="s">
        <v>43166</v>
      </c>
      <c r="O14491" t="s">
        <v>43167</v>
      </c>
      <c r="P14491">
        <v>0</v>
      </c>
      <c r="Q14491">
        <v>7</v>
      </c>
      <c r="R14491" t="s">
        <v>43188</v>
      </c>
      <c r="S14491" t="s">
        <v>44213</v>
      </c>
      <c r="T14491" t="s">
        <v>44968</v>
      </c>
      <c r="U14491" t="s">
        <v>56727</v>
      </c>
      <c r="W14491" t="s">
        <v>43153</v>
      </c>
      <c r="X14491" t="s">
        <v>43189</v>
      </c>
    </row>
    <row r="14492" spans="1:24">
      <c r="A14492">
        <f>HYPERLINK("https://www.philgeps.gov.ph/GEPSNONPILOT/Tender/SplashBidNoticeAbstractUI.aspx?menuIndex=3&amp;refID=7046417&amp;Result=3","7046417")</f>
        <v>0</v>
      </c>
      <c r="B14492" t="s">
        <v>208</v>
      </c>
      <c r="C14492" t="s">
        <v>17306</v>
      </c>
      <c r="D14492" t="s">
        <v>17415</v>
      </c>
      <c r="E14492" t="s">
        <v>17856</v>
      </c>
      <c r="F14492" t="s">
        <v>30052</v>
      </c>
      <c r="G14492" t="s">
        <v>30058</v>
      </c>
      <c r="H14492" t="s">
        <v>30067</v>
      </c>
      <c r="I14492" t="s">
        <v>3693</v>
      </c>
      <c r="J14492" t="s">
        <v>38959</v>
      </c>
      <c r="K14492" t="s">
        <v>39119</v>
      </c>
      <c r="M14492" t="s">
        <v>43154</v>
      </c>
      <c r="N14492" t="s">
        <v>43166</v>
      </c>
      <c r="O14492" t="s">
        <v>43167</v>
      </c>
      <c r="P14492">
        <v>0</v>
      </c>
      <c r="Q14492">
        <v>12</v>
      </c>
      <c r="R14492" t="s">
        <v>43188</v>
      </c>
      <c r="S14492" t="s">
        <v>44213</v>
      </c>
      <c r="T14492" t="s">
        <v>44844</v>
      </c>
      <c r="U14492" t="s">
        <v>56728</v>
      </c>
      <c r="W14492" t="s">
        <v>43154</v>
      </c>
      <c r="X14492" t="s">
        <v>43189</v>
      </c>
    </row>
    <row r="14493" spans="1:24">
      <c r="A14493">
        <f>HYPERLINK("https://www.philgeps.gov.ph/GEPSNONPILOT/Tender/SplashBidNoticeAbstractUI.aspx?menuIndex=3&amp;refID=7045767&amp;Result=3","7045767")</f>
        <v>0</v>
      </c>
      <c r="B14493" t="s">
        <v>2410</v>
      </c>
      <c r="C14493" t="s">
        <v>17307</v>
      </c>
      <c r="D14493" t="s">
        <v>17470</v>
      </c>
      <c r="E14493" t="s">
        <v>29295</v>
      </c>
      <c r="F14493" t="s">
        <v>30052</v>
      </c>
      <c r="G14493" t="s">
        <v>30058</v>
      </c>
      <c r="H14493" t="s">
        <v>15498</v>
      </c>
      <c r="I14493" t="s">
        <v>3852</v>
      </c>
      <c r="J14493" t="s">
        <v>38960</v>
      </c>
      <c r="K14493" t="s">
        <v>39029</v>
      </c>
      <c r="M14493" t="s">
        <v>41907</v>
      </c>
      <c r="N14493" t="s">
        <v>43166</v>
      </c>
      <c r="O14493" t="s">
        <v>43167</v>
      </c>
      <c r="P14493">
        <v>0</v>
      </c>
      <c r="Q14493">
        <v>3</v>
      </c>
      <c r="R14493" t="s">
        <v>43188</v>
      </c>
      <c r="S14493" t="s">
        <v>44213</v>
      </c>
      <c r="T14493" t="s">
        <v>44717</v>
      </c>
      <c r="U14493" t="s">
        <v>56147</v>
      </c>
      <c r="W14493" t="s">
        <v>41907</v>
      </c>
      <c r="X14493" t="s">
        <v>43189</v>
      </c>
    </row>
    <row r="14494" spans="1:24">
      <c r="A14494">
        <f>HYPERLINK("https://www.philgeps.gov.ph/GEPSNONPILOT/Tender/SplashBidNoticeAbstractUI.aspx?menuIndex=3&amp;refID=7045660&amp;Result=3","7045660")</f>
        <v>0</v>
      </c>
      <c r="B14494" t="s">
        <v>3389</v>
      </c>
      <c r="C14494" t="s">
        <v>17308</v>
      </c>
      <c r="D14494" t="s">
        <v>17431</v>
      </c>
      <c r="E14494" t="s">
        <v>29959</v>
      </c>
      <c r="F14494" t="s">
        <v>30052</v>
      </c>
      <c r="G14494" t="s">
        <v>30058</v>
      </c>
      <c r="H14494" t="s">
        <v>30067</v>
      </c>
      <c r="I14494" t="s">
        <v>3693</v>
      </c>
      <c r="J14494" t="s">
        <v>38961</v>
      </c>
      <c r="K14494" t="s">
        <v>39023</v>
      </c>
      <c r="M14494" t="s">
        <v>43051</v>
      </c>
      <c r="N14494" t="s">
        <v>43166</v>
      </c>
      <c r="O14494" t="s">
        <v>43167</v>
      </c>
      <c r="P14494">
        <v>0</v>
      </c>
      <c r="Q14494">
        <v>0</v>
      </c>
      <c r="R14494" t="s">
        <v>43188</v>
      </c>
      <c r="S14494" t="s">
        <v>44213</v>
      </c>
      <c r="T14494" t="s">
        <v>44856</v>
      </c>
      <c r="U14494" t="s">
        <v>56729</v>
      </c>
      <c r="W14494" t="s">
        <v>43051</v>
      </c>
      <c r="X14494" t="s">
        <v>43189</v>
      </c>
    </row>
    <row r="14495" spans="1:24">
      <c r="A14495">
        <f>HYPERLINK("https://www.philgeps.gov.ph/GEPSNONPILOT/Tender/SplashBidNoticeAbstractUI.aspx?menuIndex=3&amp;refID=7041939&amp;Result=3","7041939")</f>
        <v>0</v>
      </c>
      <c r="B14495" t="s">
        <v>2365</v>
      </c>
      <c r="C14495" t="s">
        <v>17309</v>
      </c>
      <c r="D14495" t="s">
        <v>17415</v>
      </c>
      <c r="E14495" t="s">
        <v>29960</v>
      </c>
      <c r="F14495" t="s">
        <v>30052</v>
      </c>
      <c r="G14495" t="s">
        <v>30058</v>
      </c>
      <c r="H14495" t="s">
        <v>15498</v>
      </c>
      <c r="I14495" t="s">
        <v>30098</v>
      </c>
      <c r="J14495" t="s">
        <v>38962</v>
      </c>
      <c r="K14495" t="s">
        <v>39029</v>
      </c>
      <c r="M14495" t="s">
        <v>43155</v>
      </c>
      <c r="N14495" t="s">
        <v>43166</v>
      </c>
      <c r="O14495" t="s">
        <v>43167</v>
      </c>
      <c r="Q14495">
        <v>10</v>
      </c>
      <c r="R14495" t="s">
        <v>43189</v>
      </c>
      <c r="S14495" t="s">
        <v>44658</v>
      </c>
      <c r="T14495" t="s">
        <v>44750</v>
      </c>
      <c r="U14495" t="s">
        <v>56393</v>
      </c>
      <c r="W14495" t="s">
        <v>43155</v>
      </c>
      <c r="X14495" t="s">
        <v>43192</v>
      </c>
    </row>
    <row r="14496" spans="1:24">
      <c r="A14496">
        <f>HYPERLINK("https://www.philgeps.gov.ph/GEPSNONPILOT/Tender/SplashBidNoticeAbstractUI.aspx?menuIndex=3&amp;refID=7045144&amp;Result=3","7045144")</f>
        <v>0</v>
      </c>
      <c r="B14496" t="s">
        <v>146</v>
      </c>
      <c r="C14496" t="s">
        <v>17310</v>
      </c>
      <c r="D14496" t="s">
        <v>17432</v>
      </c>
      <c r="E14496" t="s">
        <v>29961</v>
      </c>
      <c r="F14496" t="s">
        <v>30052</v>
      </c>
      <c r="G14496" t="s">
        <v>30058</v>
      </c>
      <c r="H14496" t="s">
        <v>15498</v>
      </c>
      <c r="I14496" t="s">
        <v>30091</v>
      </c>
      <c r="J14496" t="s">
        <v>38963</v>
      </c>
      <c r="K14496" t="s">
        <v>39029</v>
      </c>
      <c r="M14496" t="s">
        <v>39435</v>
      </c>
      <c r="N14496" t="s">
        <v>43166</v>
      </c>
      <c r="O14496" t="s">
        <v>43167</v>
      </c>
      <c r="P14496">
        <v>0</v>
      </c>
      <c r="Q14496">
        <v>5</v>
      </c>
      <c r="R14496" t="s">
        <v>43188</v>
      </c>
      <c r="S14496" t="s">
        <v>44213</v>
      </c>
      <c r="T14496" t="s">
        <v>44698</v>
      </c>
      <c r="U14496" t="s">
        <v>56730</v>
      </c>
      <c r="V14496" t="s">
        <v>58579</v>
      </c>
      <c r="W14496" t="s">
        <v>39435</v>
      </c>
      <c r="X14496" t="s">
        <v>43189</v>
      </c>
    </row>
    <row r="14497" spans="1:24">
      <c r="A14497">
        <f>HYPERLINK("https://www.philgeps.gov.ph/GEPSNONPILOT/Tender/SplashBidNoticeAbstractUI.aspx?menuIndex=3&amp;refID=7045136&amp;Result=3","7045136")</f>
        <v>0</v>
      </c>
      <c r="B14497" t="s">
        <v>1667</v>
      </c>
      <c r="C14497" t="s">
        <v>17311</v>
      </c>
      <c r="D14497" t="s">
        <v>17416</v>
      </c>
      <c r="E14497" t="s">
        <v>29962</v>
      </c>
      <c r="F14497" t="s">
        <v>30052</v>
      </c>
      <c r="G14497" t="s">
        <v>30058</v>
      </c>
      <c r="H14497" t="s">
        <v>15498</v>
      </c>
      <c r="I14497" t="s">
        <v>30091</v>
      </c>
      <c r="J14497" t="s">
        <v>30683</v>
      </c>
      <c r="K14497" t="s">
        <v>39017</v>
      </c>
      <c r="M14497" t="s">
        <v>41074</v>
      </c>
      <c r="N14497" t="s">
        <v>43166</v>
      </c>
      <c r="O14497" t="s">
        <v>43167</v>
      </c>
      <c r="P14497">
        <v>0</v>
      </c>
      <c r="Q14497">
        <v>3</v>
      </c>
      <c r="R14497" t="s">
        <v>43188</v>
      </c>
      <c r="S14497" t="s">
        <v>44213</v>
      </c>
      <c r="T14497" t="s">
        <v>44822</v>
      </c>
      <c r="U14497" t="s">
        <v>56731</v>
      </c>
      <c r="W14497" t="s">
        <v>41074</v>
      </c>
      <c r="X14497" t="s">
        <v>43189</v>
      </c>
    </row>
    <row r="14498" spans="1:24">
      <c r="A14498">
        <f>HYPERLINK("https://www.philgeps.gov.ph/GEPSNONPILOT/Tender/SplashBidNoticeAbstractUI.aspx?menuIndex=3&amp;refID=7045296&amp;Result=3","7045296")</f>
        <v>0</v>
      </c>
      <c r="B14498" t="s">
        <v>1736</v>
      </c>
      <c r="C14498" t="s">
        <v>17312</v>
      </c>
      <c r="D14498" t="s">
        <v>17444</v>
      </c>
      <c r="E14498" t="s">
        <v>29963</v>
      </c>
      <c r="F14498" t="s">
        <v>30052</v>
      </c>
      <c r="G14498" t="s">
        <v>30058</v>
      </c>
      <c r="H14498" t="s">
        <v>15498</v>
      </c>
      <c r="I14498" t="s">
        <v>30130</v>
      </c>
      <c r="J14498" t="s">
        <v>32032</v>
      </c>
      <c r="K14498" t="s">
        <v>39034</v>
      </c>
      <c r="M14498" t="s">
        <v>41153</v>
      </c>
      <c r="N14498" t="s">
        <v>43166</v>
      </c>
      <c r="O14498" t="s">
        <v>43167</v>
      </c>
      <c r="P14498">
        <v>0</v>
      </c>
      <c r="Q14498">
        <v>8</v>
      </c>
      <c r="R14498" t="s">
        <v>43188</v>
      </c>
      <c r="S14498" t="s">
        <v>44213</v>
      </c>
      <c r="T14498" t="s">
        <v>44717</v>
      </c>
      <c r="U14498" t="s">
        <v>56732</v>
      </c>
      <c r="W14498" t="s">
        <v>41153</v>
      </c>
      <c r="X14498" t="s">
        <v>43189</v>
      </c>
    </row>
    <row r="14499" spans="1:24">
      <c r="A14499">
        <f>HYPERLINK("https://www.philgeps.gov.ph/GEPSNONPILOT/Tender/SplashBidNoticeAbstractUI.aspx?menuIndex=3&amp;refID=7045129&amp;Result=3","7045129")</f>
        <v>0</v>
      </c>
      <c r="B14499" t="s">
        <v>3135</v>
      </c>
      <c r="C14499" t="s">
        <v>17313</v>
      </c>
      <c r="D14499" t="s">
        <v>17456</v>
      </c>
      <c r="E14499" t="s">
        <v>18734</v>
      </c>
      <c r="F14499" t="s">
        <v>30052</v>
      </c>
      <c r="G14499" t="s">
        <v>30058</v>
      </c>
      <c r="H14499" t="s">
        <v>15498</v>
      </c>
      <c r="I14499" t="s">
        <v>3736</v>
      </c>
      <c r="J14499" t="s">
        <v>38964</v>
      </c>
      <c r="K14499" t="s">
        <v>39029</v>
      </c>
      <c r="M14499" t="s">
        <v>42737</v>
      </c>
      <c r="N14499" t="s">
        <v>43166</v>
      </c>
      <c r="O14499" t="s">
        <v>43167</v>
      </c>
      <c r="P14499">
        <v>0</v>
      </c>
      <c r="Q14499">
        <v>0</v>
      </c>
      <c r="R14499" t="s">
        <v>43188</v>
      </c>
      <c r="S14499" t="s">
        <v>44213</v>
      </c>
      <c r="T14499" t="s">
        <v>44870</v>
      </c>
      <c r="U14499" t="s">
        <v>56733</v>
      </c>
      <c r="W14499" t="s">
        <v>42737</v>
      </c>
      <c r="X14499" t="s">
        <v>43189</v>
      </c>
    </row>
    <row r="14500" spans="1:24">
      <c r="A14500">
        <f>HYPERLINK("https://www.philgeps.gov.ph/GEPSNONPILOT/Tender/SplashBidNoticeAbstractUI.aspx?menuIndex=3&amp;refID=7044953&amp;Result=3","7044953")</f>
        <v>0</v>
      </c>
      <c r="B14500" t="s">
        <v>2204</v>
      </c>
      <c r="C14500" t="s">
        <v>17314</v>
      </c>
      <c r="D14500" t="s">
        <v>17432</v>
      </c>
      <c r="E14500" t="s">
        <v>19120</v>
      </c>
      <c r="F14500" t="s">
        <v>30052</v>
      </c>
      <c r="G14500" t="s">
        <v>30058</v>
      </c>
      <c r="H14500" t="s">
        <v>15498</v>
      </c>
      <c r="I14500" t="s">
        <v>30092</v>
      </c>
      <c r="J14500" t="s">
        <v>33528</v>
      </c>
      <c r="K14500" t="s">
        <v>39034</v>
      </c>
      <c r="M14500" t="s">
        <v>41673</v>
      </c>
      <c r="N14500" t="s">
        <v>43166</v>
      </c>
      <c r="O14500" t="s">
        <v>43167</v>
      </c>
      <c r="P14500">
        <v>0</v>
      </c>
      <c r="Q14500">
        <v>5</v>
      </c>
      <c r="R14500" t="s">
        <v>43188</v>
      </c>
      <c r="S14500" t="s">
        <v>44213</v>
      </c>
      <c r="T14500" t="s">
        <v>44943</v>
      </c>
      <c r="U14500" t="s">
        <v>56734</v>
      </c>
      <c r="W14500" t="s">
        <v>41673</v>
      </c>
      <c r="X14500" t="s">
        <v>43189</v>
      </c>
    </row>
    <row r="14501" spans="1:24">
      <c r="A14501">
        <f>HYPERLINK("https://www.philgeps.gov.ph/GEPSNONPILOT/Tender/SplashBidNoticeAbstractUI.aspx?menuIndex=3&amp;refID=7044934&amp;Result=3","7044934")</f>
        <v>0</v>
      </c>
      <c r="B14501" t="s">
        <v>1736</v>
      </c>
      <c r="C14501" t="s">
        <v>4662</v>
      </c>
      <c r="D14501" t="s">
        <v>17444</v>
      </c>
      <c r="E14501" t="s">
        <v>29964</v>
      </c>
      <c r="F14501" t="s">
        <v>30052</v>
      </c>
      <c r="G14501" t="s">
        <v>30058</v>
      </c>
      <c r="H14501" t="s">
        <v>15498</v>
      </c>
      <c r="I14501" t="s">
        <v>4119</v>
      </c>
      <c r="J14501" t="s">
        <v>34928</v>
      </c>
      <c r="K14501" t="s">
        <v>39034</v>
      </c>
      <c r="M14501" t="s">
        <v>41153</v>
      </c>
      <c r="N14501" t="s">
        <v>43166</v>
      </c>
      <c r="O14501" t="s">
        <v>43167</v>
      </c>
      <c r="P14501">
        <v>0</v>
      </c>
      <c r="Q14501">
        <v>0</v>
      </c>
      <c r="R14501" t="s">
        <v>43188</v>
      </c>
      <c r="S14501" t="s">
        <v>44213</v>
      </c>
      <c r="T14501" t="s">
        <v>44717</v>
      </c>
      <c r="U14501" t="s">
        <v>56735</v>
      </c>
      <c r="W14501" t="s">
        <v>41153</v>
      </c>
      <c r="X14501" t="s">
        <v>43189</v>
      </c>
    </row>
    <row r="14502" spans="1:24">
      <c r="A14502">
        <f>HYPERLINK("https://www.philgeps.gov.ph/GEPSNONPILOT/Tender/SplashBidNoticeAbstractUI.aspx?menuIndex=3&amp;refID=7045343&amp;Result=3","7045343")</f>
        <v>0</v>
      </c>
      <c r="B14502" t="s">
        <v>3412</v>
      </c>
      <c r="C14502" t="s">
        <v>17315</v>
      </c>
      <c r="D14502" t="s">
        <v>17445</v>
      </c>
      <c r="E14502" t="s">
        <v>29965</v>
      </c>
      <c r="F14502" t="s">
        <v>30052</v>
      </c>
      <c r="G14502" t="s">
        <v>30058</v>
      </c>
      <c r="H14502" t="s">
        <v>30067</v>
      </c>
      <c r="I14502" t="s">
        <v>3693</v>
      </c>
      <c r="J14502" t="s">
        <v>30680</v>
      </c>
      <c r="K14502" t="s">
        <v>39047</v>
      </c>
      <c r="M14502" t="s">
        <v>43082</v>
      </c>
      <c r="N14502" t="s">
        <v>43166</v>
      </c>
      <c r="O14502" t="s">
        <v>43167</v>
      </c>
      <c r="Q14502">
        <v>2</v>
      </c>
      <c r="R14502" t="s">
        <v>43188</v>
      </c>
      <c r="S14502" t="s">
        <v>44423</v>
      </c>
      <c r="T14502" t="s">
        <v>44863</v>
      </c>
      <c r="U14502" t="s">
        <v>56736</v>
      </c>
      <c r="V14502" t="s">
        <v>58580</v>
      </c>
      <c r="W14502" t="s">
        <v>43082</v>
      </c>
      <c r="X14502" t="s">
        <v>43189</v>
      </c>
    </row>
    <row r="14503" spans="1:24">
      <c r="A14503">
        <f>HYPERLINK("https://www.philgeps.gov.ph/GEPSNONPILOT/Tender/SplashBidNoticeAbstractUI.aspx?menuIndex=3&amp;refID=7045333&amp;Result=3","7045333")</f>
        <v>0</v>
      </c>
      <c r="B14503" t="s">
        <v>3448</v>
      </c>
      <c r="C14503" t="s">
        <v>17316</v>
      </c>
      <c r="D14503" t="s">
        <v>17422</v>
      </c>
      <c r="E14503" t="s">
        <v>29966</v>
      </c>
      <c r="F14503" t="s">
        <v>30052</v>
      </c>
      <c r="G14503" t="s">
        <v>30058</v>
      </c>
      <c r="H14503" t="s">
        <v>15498</v>
      </c>
      <c r="I14503" t="s">
        <v>30074</v>
      </c>
      <c r="J14503" t="s">
        <v>30557</v>
      </c>
      <c r="K14503" t="s">
        <v>39023</v>
      </c>
      <c r="M14503" t="s">
        <v>43156</v>
      </c>
      <c r="N14503" t="s">
        <v>43166</v>
      </c>
      <c r="O14503" t="s">
        <v>43167</v>
      </c>
      <c r="P14503">
        <v>0</v>
      </c>
      <c r="Q14503">
        <v>6</v>
      </c>
      <c r="R14503" t="s">
        <v>43188</v>
      </c>
      <c r="S14503" t="s">
        <v>44213</v>
      </c>
      <c r="T14503" t="s">
        <v>44734</v>
      </c>
      <c r="U14503" t="s">
        <v>56737</v>
      </c>
      <c r="W14503" t="s">
        <v>43156</v>
      </c>
      <c r="X14503" t="s">
        <v>43189</v>
      </c>
    </row>
    <row r="14504" spans="1:24">
      <c r="A14504">
        <f>HYPERLINK("https://www.philgeps.gov.ph/GEPSNONPILOT/Tender/SplashBidNoticeAbstractUI.aspx?menuIndex=3&amp;refID=7044920&amp;Result=3","7044920")</f>
        <v>0</v>
      </c>
      <c r="B14504" t="s">
        <v>2410</v>
      </c>
      <c r="C14504" t="s">
        <v>17317</v>
      </c>
      <c r="D14504" t="s">
        <v>17470</v>
      </c>
      <c r="E14504" t="s">
        <v>29967</v>
      </c>
      <c r="F14504" t="s">
        <v>30052</v>
      </c>
      <c r="G14504" t="s">
        <v>30058</v>
      </c>
      <c r="H14504" t="s">
        <v>15498</v>
      </c>
      <c r="I14504" t="s">
        <v>30070</v>
      </c>
      <c r="J14504" t="s">
        <v>34636</v>
      </c>
      <c r="K14504" t="s">
        <v>39029</v>
      </c>
      <c r="M14504" t="s">
        <v>41907</v>
      </c>
      <c r="N14504" t="s">
        <v>43166</v>
      </c>
      <c r="O14504" t="s">
        <v>43167</v>
      </c>
      <c r="P14504">
        <v>0</v>
      </c>
      <c r="Q14504">
        <v>0</v>
      </c>
      <c r="R14504" t="s">
        <v>43188</v>
      </c>
      <c r="S14504" t="s">
        <v>44213</v>
      </c>
      <c r="T14504" t="s">
        <v>44717</v>
      </c>
      <c r="U14504" t="s">
        <v>56738</v>
      </c>
      <c r="W14504" t="s">
        <v>41907</v>
      </c>
      <c r="X14504" t="s">
        <v>43189</v>
      </c>
    </row>
    <row r="14505" spans="1:24">
      <c r="A14505">
        <f>HYPERLINK("https://www.philgeps.gov.ph/GEPSNONPILOT/Tender/SplashBidNoticeAbstractUI.aspx?menuIndex=3&amp;refID=7044014&amp;Result=3","7044014")</f>
        <v>0</v>
      </c>
      <c r="B14505" t="s">
        <v>2410</v>
      </c>
      <c r="C14505" t="s">
        <v>17318</v>
      </c>
      <c r="D14505" t="s">
        <v>17470</v>
      </c>
      <c r="E14505" t="s">
        <v>29968</v>
      </c>
      <c r="F14505" t="s">
        <v>30052</v>
      </c>
      <c r="G14505" t="s">
        <v>30058</v>
      </c>
      <c r="H14505" t="s">
        <v>15498</v>
      </c>
      <c r="I14505" t="s">
        <v>30084</v>
      </c>
      <c r="J14505" t="s">
        <v>38965</v>
      </c>
      <c r="K14505" t="s">
        <v>39029</v>
      </c>
      <c r="M14505" t="s">
        <v>41907</v>
      </c>
      <c r="N14505" t="s">
        <v>43166</v>
      </c>
      <c r="O14505" t="s">
        <v>43167</v>
      </c>
      <c r="P14505">
        <v>0</v>
      </c>
      <c r="Q14505">
        <v>3</v>
      </c>
      <c r="R14505" t="s">
        <v>43188</v>
      </c>
      <c r="S14505" t="s">
        <v>44213</v>
      </c>
      <c r="T14505" t="s">
        <v>44717</v>
      </c>
      <c r="U14505" t="s">
        <v>56739</v>
      </c>
      <c r="W14505" t="s">
        <v>41907</v>
      </c>
      <c r="X14505" t="s">
        <v>43285</v>
      </c>
    </row>
    <row r="14506" spans="1:24">
      <c r="A14506">
        <f>HYPERLINK("https://www.philgeps.gov.ph/GEPSNONPILOT/Tender/SplashBidNoticeAbstractUI.aspx?menuIndex=3&amp;refID=7045138&amp;Result=3","7045138")</f>
        <v>0</v>
      </c>
      <c r="B14506" t="s">
        <v>3449</v>
      </c>
      <c r="C14506" t="s">
        <v>17319</v>
      </c>
      <c r="E14506" t="s">
        <v>29969</v>
      </c>
      <c r="F14506" t="s">
        <v>30052</v>
      </c>
      <c r="G14506" t="s">
        <v>30058</v>
      </c>
      <c r="H14506" t="s">
        <v>15498</v>
      </c>
      <c r="I14506" t="s">
        <v>3693</v>
      </c>
      <c r="J14506" t="s">
        <v>34779</v>
      </c>
      <c r="K14506" t="s">
        <v>39025</v>
      </c>
      <c r="M14506" t="s">
        <v>43157</v>
      </c>
      <c r="N14506" t="s">
        <v>43166</v>
      </c>
      <c r="O14506" t="s">
        <v>43167</v>
      </c>
      <c r="P14506">
        <v>0</v>
      </c>
      <c r="Q14506">
        <v>5</v>
      </c>
      <c r="R14506" t="s">
        <v>43188</v>
      </c>
      <c r="S14506" t="s">
        <v>44213</v>
      </c>
      <c r="T14506" t="s">
        <v>44832</v>
      </c>
      <c r="U14506" t="s">
        <v>56740</v>
      </c>
      <c r="W14506" t="s">
        <v>43157</v>
      </c>
      <c r="X14506" t="s">
        <v>43189</v>
      </c>
    </row>
    <row r="14507" spans="1:24">
      <c r="A14507">
        <f>HYPERLINK("https://www.philgeps.gov.ph/GEPSNONPILOT/Tender/SplashBidNoticeAbstractUI.aspx?menuIndex=3&amp;refID=7044006&amp;Result=3","7044006")</f>
        <v>0</v>
      </c>
      <c r="B14507" t="s">
        <v>2410</v>
      </c>
      <c r="C14507" t="s">
        <v>17320</v>
      </c>
      <c r="D14507" t="s">
        <v>17470</v>
      </c>
      <c r="E14507" t="s">
        <v>29970</v>
      </c>
      <c r="F14507" t="s">
        <v>30052</v>
      </c>
      <c r="G14507" t="s">
        <v>30058</v>
      </c>
      <c r="H14507" t="s">
        <v>15498</v>
      </c>
      <c r="I14507" t="s">
        <v>3852</v>
      </c>
      <c r="J14507" t="s">
        <v>38966</v>
      </c>
      <c r="K14507" t="s">
        <v>39029</v>
      </c>
      <c r="M14507" t="s">
        <v>41907</v>
      </c>
      <c r="N14507" t="s">
        <v>43166</v>
      </c>
      <c r="O14507" t="s">
        <v>43167</v>
      </c>
      <c r="P14507">
        <v>0</v>
      </c>
      <c r="Q14507">
        <v>0</v>
      </c>
      <c r="R14507" t="s">
        <v>43188</v>
      </c>
      <c r="S14507" t="s">
        <v>44213</v>
      </c>
      <c r="T14507" t="s">
        <v>44717</v>
      </c>
      <c r="U14507" t="s">
        <v>56741</v>
      </c>
      <c r="W14507" t="s">
        <v>41907</v>
      </c>
      <c r="X14507" t="s">
        <v>43285</v>
      </c>
    </row>
    <row r="14508" spans="1:24">
      <c r="A14508">
        <f>HYPERLINK("https://www.philgeps.gov.ph/GEPSNONPILOT/Tender/SplashBidNoticeAbstractUI.aspx?menuIndex=3&amp;refID=7043731&amp;Result=3","7043731")</f>
        <v>0</v>
      </c>
      <c r="B14508" t="s">
        <v>2410</v>
      </c>
      <c r="C14508" t="s">
        <v>17321</v>
      </c>
      <c r="D14508" t="s">
        <v>17470</v>
      </c>
      <c r="E14508" t="s">
        <v>29971</v>
      </c>
      <c r="F14508" t="s">
        <v>30052</v>
      </c>
      <c r="G14508" t="s">
        <v>30058</v>
      </c>
      <c r="H14508" t="s">
        <v>15498</v>
      </c>
      <c r="I14508" t="s">
        <v>30070</v>
      </c>
      <c r="J14508" t="s">
        <v>38967</v>
      </c>
      <c r="K14508" t="s">
        <v>39029</v>
      </c>
      <c r="M14508" t="s">
        <v>41907</v>
      </c>
      <c r="N14508" t="s">
        <v>43166</v>
      </c>
      <c r="O14508" t="s">
        <v>43167</v>
      </c>
      <c r="P14508">
        <v>0</v>
      </c>
      <c r="Q14508">
        <v>1</v>
      </c>
      <c r="R14508" t="s">
        <v>43188</v>
      </c>
      <c r="S14508" t="s">
        <v>44213</v>
      </c>
      <c r="T14508" t="s">
        <v>44717</v>
      </c>
      <c r="U14508" t="s">
        <v>56742</v>
      </c>
      <c r="W14508" t="s">
        <v>41907</v>
      </c>
      <c r="X14508" t="s">
        <v>43191</v>
      </c>
    </row>
    <row r="14509" spans="1:24">
      <c r="A14509">
        <f>HYPERLINK("https://www.philgeps.gov.ph/GEPSNONPILOT/Tender/SplashBidNoticeAbstractUI.aspx?menuIndex=3&amp;refID=7043727&amp;Result=3","7043727")</f>
        <v>0</v>
      </c>
      <c r="B14509" t="s">
        <v>2410</v>
      </c>
      <c r="C14509" t="s">
        <v>17322</v>
      </c>
      <c r="D14509" t="s">
        <v>17470</v>
      </c>
      <c r="E14509" t="s">
        <v>29972</v>
      </c>
      <c r="F14509" t="s">
        <v>30052</v>
      </c>
      <c r="G14509" t="s">
        <v>30058</v>
      </c>
      <c r="H14509" t="s">
        <v>15498</v>
      </c>
      <c r="I14509" t="s">
        <v>30133</v>
      </c>
      <c r="J14509" t="s">
        <v>31358</v>
      </c>
      <c r="K14509" t="s">
        <v>39029</v>
      </c>
      <c r="M14509" t="s">
        <v>41907</v>
      </c>
      <c r="N14509" t="s">
        <v>43166</v>
      </c>
      <c r="O14509" t="s">
        <v>43167</v>
      </c>
      <c r="P14509">
        <v>0</v>
      </c>
      <c r="Q14509">
        <v>2</v>
      </c>
      <c r="R14509" t="s">
        <v>43188</v>
      </c>
      <c r="S14509" t="s">
        <v>44213</v>
      </c>
      <c r="T14509" t="s">
        <v>44717</v>
      </c>
      <c r="U14509" t="s">
        <v>56743</v>
      </c>
      <c r="W14509" t="s">
        <v>41907</v>
      </c>
      <c r="X14509" t="s">
        <v>43191</v>
      </c>
    </row>
    <row r="14510" spans="1:24">
      <c r="A14510">
        <f>HYPERLINK("https://www.philgeps.gov.ph/GEPSNONPILOT/Tender/SplashBidNoticeAbstractUI.aspx?menuIndex=3&amp;refID=7043725&amp;Result=3","7043725")</f>
        <v>0</v>
      </c>
      <c r="B14510" t="s">
        <v>2410</v>
      </c>
      <c r="C14510" t="s">
        <v>17323</v>
      </c>
      <c r="D14510" t="s">
        <v>17470</v>
      </c>
      <c r="E14510" t="s">
        <v>29973</v>
      </c>
      <c r="F14510" t="s">
        <v>30052</v>
      </c>
      <c r="G14510" t="s">
        <v>30058</v>
      </c>
      <c r="H14510" t="s">
        <v>15498</v>
      </c>
      <c r="I14510" t="s">
        <v>30094</v>
      </c>
      <c r="J14510" t="s">
        <v>38968</v>
      </c>
      <c r="K14510" t="s">
        <v>39029</v>
      </c>
      <c r="M14510" t="s">
        <v>41907</v>
      </c>
      <c r="N14510" t="s">
        <v>43166</v>
      </c>
      <c r="O14510" t="s">
        <v>43167</v>
      </c>
      <c r="P14510">
        <v>0</v>
      </c>
      <c r="Q14510">
        <v>0</v>
      </c>
      <c r="R14510" t="s">
        <v>43188</v>
      </c>
      <c r="S14510" t="s">
        <v>44213</v>
      </c>
      <c r="T14510" t="s">
        <v>44717</v>
      </c>
      <c r="U14510" t="s">
        <v>56744</v>
      </c>
      <c r="W14510" t="s">
        <v>41907</v>
      </c>
      <c r="X14510" t="s">
        <v>43191</v>
      </c>
    </row>
    <row r="14511" spans="1:24">
      <c r="A14511">
        <f>HYPERLINK("https://www.philgeps.gov.ph/GEPSNONPILOT/Tender/SplashBidNoticeAbstractUI.aspx?menuIndex=3&amp;refID=7043724&amp;Result=3","7043724")</f>
        <v>0</v>
      </c>
      <c r="B14511" t="s">
        <v>2410</v>
      </c>
      <c r="C14511" t="s">
        <v>17324</v>
      </c>
      <c r="D14511" t="s">
        <v>17470</v>
      </c>
      <c r="E14511" t="s">
        <v>29974</v>
      </c>
      <c r="F14511" t="s">
        <v>30052</v>
      </c>
      <c r="G14511" t="s">
        <v>30058</v>
      </c>
      <c r="H14511" t="s">
        <v>15498</v>
      </c>
      <c r="I14511" t="s">
        <v>30081</v>
      </c>
      <c r="J14511" t="s">
        <v>30277</v>
      </c>
      <c r="K14511" t="s">
        <v>39029</v>
      </c>
      <c r="M14511" t="s">
        <v>41907</v>
      </c>
      <c r="N14511" t="s">
        <v>43166</v>
      </c>
      <c r="O14511" t="s">
        <v>43167</v>
      </c>
      <c r="P14511">
        <v>0</v>
      </c>
      <c r="Q14511">
        <v>0</v>
      </c>
      <c r="R14511" t="s">
        <v>43188</v>
      </c>
      <c r="S14511" t="s">
        <v>44213</v>
      </c>
      <c r="T14511" t="s">
        <v>44717</v>
      </c>
      <c r="U14511" t="s">
        <v>56745</v>
      </c>
      <c r="W14511" t="s">
        <v>41907</v>
      </c>
      <c r="X14511" t="s">
        <v>43191</v>
      </c>
    </row>
    <row r="14512" spans="1:24">
      <c r="A14512">
        <f>HYPERLINK("https://www.philgeps.gov.ph/GEPSNONPILOT/Tender/SplashBidNoticeAbstractUI.aspx?menuIndex=3&amp;refID=7043055&amp;Result=3","7043055")</f>
        <v>0</v>
      </c>
      <c r="B14512" t="s">
        <v>2410</v>
      </c>
      <c r="C14512" t="s">
        <v>17325</v>
      </c>
      <c r="D14512" t="s">
        <v>17470</v>
      </c>
      <c r="E14512" t="s">
        <v>29975</v>
      </c>
      <c r="F14512" t="s">
        <v>30052</v>
      </c>
      <c r="G14512" t="s">
        <v>30058</v>
      </c>
      <c r="H14512" t="s">
        <v>15498</v>
      </c>
      <c r="I14512" t="s">
        <v>30094</v>
      </c>
      <c r="J14512" t="s">
        <v>38969</v>
      </c>
      <c r="K14512" t="s">
        <v>39029</v>
      </c>
      <c r="M14512" t="s">
        <v>41907</v>
      </c>
      <c r="N14512" t="s">
        <v>43166</v>
      </c>
      <c r="O14512" t="s">
        <v>43167</v>
      </c>
      <c r="P14512">
        <v>0</v>
      </c>
      <c r="Q14512">
        <v>0</v>
      </c>
      <c r="R14512" t="s">
        <v>43188</v>
      </c>
      <c r="S14512" t="s">
        <v>44213</v>
      </c>
      <c r="T14512" t="s">
        <v>44717</v>
      </c>
      <c r="U14512" t="s">
        <v>56746</v>
      </c>
      <c r="W14512" t="s">
        <v>41907</v>
      </c>
      <c r="X14512" t="s">
        <v>43192</v>
      </c>
    </row>
    <row r="14513" spans="1:24">
      <c r="A14513">
        <f>HYPERLINK("https://www.philgeps.gov.ph/GEPSNONPILOT/Tender/SplashBidNoticeAbstractUI.aspx?menuIndex=3&amp;refID=7044932&amp;Result=3","7044932")</f>
        <v>0</v>
      </c>
      <c r="B14513" t="s">
        <v>3387</v>
      </c>
      <c r="C14513" t="s">
        <v>17326</v>
      </c>
      <c r="D14513" t="s">
        <v>17415</v>
      </c>
      <c r="E14513" t="s">
        <v>23212</v>
      </c>
      <c r="F14513" t="s">
        <v>30052</v>
      </c>
      <c r="G14513" t="s">
        <v>30058</v>
      </c>
      <c r="H14513" t="s">
        <v>15498</v>
      </c>
      <c r="I14513" t="s">
        <v>30138</v>
      </c>
      <c r="J14513" t="s">
        <v>38970</v>
      </c>
      <c r="K14513" t="s">
        <v>39029</v>
      </c>
      <c r="M14513" t="s">
        <v>43049</v>
      </c>
      <c r="N14513" t="s">
        <v>43166</v>
      </c>
      <c r="O14513" t="s">
        <v>43167</v>
      </c>
      <c r="Q14513">
        <v>2</v>
      </c>
      <c r="R14513" t="s">
        <v>43188</v>
      </c>
      <c r="S14513" t="s">
        <v>44659</v>
      </c>
      <c r="T14513" t="s">
        <v>45184</v>
      </c>
      <c r="U14513" t="s">
        <v>56747</v>
      </c>
      <c r="V14513" t="s">
        <v>58470</v>
      </c>
      <c r="W14513" t="s">
        <v>43049</v>
      </c>
      <c r="X14513" t="s">
        <v>43189</v>
      </c>
    </row>
    <row r="14514" spans="1:24">
      <c r="A14514">
        <f>HYPERLINK("https://www.philgeps.gov.ph/GEPSNONPILOT/Tender/SplashBidNoticeAbstractUI.aspx?menuIndex=3&amp;refID=7043723&amp;Result=3","7043723")</f>
        <v>0</v>
      </c>
      <c r="B14514" t="s">
        <v>2410</v>
      </c>
      <c r="C14514" t="s">
        <v>17327</v>
      </c>
      <c r="D14514" t="s">
        <v>17470</v>
      </c>
      <c r="E14514" t="s">
        <v>29976</v>
      </c>
      <c r="F14514" t="s">
        <v>30052</v>
      </c>
      <c r="G14514" t="s">
        <v>30058</v>
      </c>
      <c r="H14514" t="s">
        <v>15498</v>
      </c>
      <c r="I14514" t="s">
        <v>30081</v>
      </c>
      <c r="J14514" t="s">
        <v>38971</v>
      </c>
      <c r="K14514" t="s">
        <v>39029</v>
      </c>
      <c r="M14514" t="s">
        <v>41907</v>
      </c>
      <c r="N14514" t="s">
        <v>43166</v>
      </c>
      <c r="O14514" t="s">
        <v>43167</v>
      </c>
      <c r="P14514">
        <v>0</v>
      </c>
      <c r="Q14514">
        <v>0</v>
      </c>
      <c r="R14514" t="s">
        <v>43188</v>
      </c>
      <c r="S14514" t="s">
        <v>44213</v>
      </c>
      <c r="T14514" t="s">
        <v>44717</v>
      </c>
      <c r="U14514" t="s">
        <v>56748</v>
      </c>
      <c r="W14514" t="s">
        <v>41907</v>
      </c>
      <c r="X14514" t="s">
        <v>43191</v>
      </c>
    </row>
    <row r="14515" spans="1:24">
      <c r="A14515">
        <f>HYPERLINK("https://www.philgeps.gov.ph/GEPSNONPILOT/Tender/SplashBidNoticeAbstractUI.aspx?menuIndex=3&amp;refID=7043719&amp;Result=3","7043719")</f>
        <v>0</v>
      </c>
      <c r="B14515" t="s">
        <v>2410</v>
      </c>
      <c r="C14515" t="s">
        <v>17328</v>
      </c>
      <c r="D14515" t="s">
        <v>17470</v>
      </c>
      <c r="E14515" t="s">
        <v>29977</v>
      </c>
      <c r="F14515" t="s">
        <v>30052</v>
      </c>
      <c r="G14515" t="s">
        <v>30058</v>
      </c>
      <c r="H14515" t="s">
        <v>15498</v>
      </c>
      <c r="I14515" t="s">
        <v>5961</v>
      </c>
      <c r="J14515" t="s">
        <v>38972</v>
      </c>
      <c r="K14515" t="s">
        <v>39029</v>
      </c>
      <c r="M14515" t="s">
        <v>41907</v>
      </c>
      <c r="N14515" t="s">
        <v>43166</v>
      </c>
      <c r="O14515" t="s">
        <v>43167</v>
      </c>
      <c r="P14515">
        <v>0</v>
      </c>
      <c r="Q14515">
        <v>0</v>
      </c>
      <c r="R14515" t="s">
        <v>43188</v>
      </c>
      <c r="S14515" t="s">
        <v>44213</v>
      </c>
      <c r="T14515" t="s">
        <v>44717</v>
      </c>
      <c r="U14515" t="s">
        <v>56749</v>
      </c>
      <c r="W14515" t="s">
        <v>41907</v>
      </c>
      <c r="X14515" t="s">
        <v>43191</v>
      </c>
    </row>
    <row r="14516" spans="1:24">
      <c r="A14516">
        <f>HYPERLINK("https://www.philgeps.gov.ph/GEPSNONPILOT/Tender/SplashBidNoticeAbstractUI.aspx?menuIndex=3&amp;refID=7039208&amp;Result=3","7039208")</f>
        <v>0</v>
      </c>
      <c r="B14516" t="s">
        <v>2410</v>
      </c>
      <c r="C14516" t="s">
        <v>17329</v>
      </c>
      <c r="D14516" t="s">
        <v>17470</v>
      </c>
      <c r="E14516" t="s">
        <v>29978</v>
      </c>
      <c r="F14516" t="s">
        <v>30052</v>
      </c>
      <c r="G14516" t="s">
        <v>30058</v>
      </c>
      <c r="H14516" t="s">
        <v>30067</v>
      </c>
      <c r="I14516" t="s">
        <v>3693</v>
      </c>
      <c r="J14516" t="s">
        <v>38973</v>
      </c>
      <c r="K14516" t="s">
        <v>39156</v>
      </c>
      <c r="M14516" t="s">
        <v>41907</v>
      </c>
      <c r="N14516" t="s">
        <v>43166</v>
      </c>
      <c r="O14516" t="s">
        <v>43167</v>
      </c>
      <c r="P14516">
        <v>0</v>
      </c>
      <c r="Q14516">
        <v>1</v>
      </c>
      <c r="R14516" t="s">
        <v>43188</v>
      </c>
      <c r="S14516" t="s">
        <v>44213</v>
      </c>
      <c r="T14516" t="s">
        <v>44717</v>
      </c>
      <c r="U14516" t="s">
        <v>56750</v>
      </c>
      <c r="W14516" t="s">
        <v>41907</v>
      </c>
      <c r="X14516" t="s">
        <v>43193</v>
      </c>
    </row>
    <row r="14517" spans="1:24">
      <c r="A14517">
        <f>HYPERLINK("https://www.philgeps.gov.ph/GEPSNONPILOT/Tender/SplashBidNoticeAbstractUI.aspx?menuIndex=3&amp;refID=7045355&amp;Result=3","7045355")</f>
        <v>0</v>
      </c>
      <c r="B14517" t="s">
        <v>1067</v>
      </c>
      <c r="C14517" t="s">
        <v>17330</v>
      </c>
      <c r="D14517" t="s">
        <v>17422</v>
      </c>
      <c r="E14517" t="s">
        <v>29979</v>
      </c>
      <c r="F14517" t="s">
        <v>30052</v>
      </c>
      <c r="G14517" t="s">
        <v>30058</v>
      </c>
      <c r="H14517" t="s">
        <v>15498</v>
      </c>
      <c r="I14517" t="s">
        <v>30080</v>
      </c>
      <c r="J14517" t="s">
        <v>30494</v>
      </c>
      <c r="K14517" t="s">
        <v>39046</v>
      </c>
      <c r="M14517" t="s">
        <v>40402</v>
      </c>
      <c r="N14517" t="s">
        <v>43166</v>
      </c>
      <c r="O14517" t="s">
        <v>43167</v>
      </c>
      <c r="Q14517">
        <v>12</v>
      </c>
      <c r="R14517" t="s">
        <v>43188</v>
      </c>
      <c r="S14517" t="s">
        <v>44660</v>
      </c>
      <c r="T14517" t="s">
        <v>44710</v>
      </c>
      <c r="U14517" t="s">
        <v>56751</v>
      </c>
      <c r="V14517" t="s">
        <v>58581</v>
      </c>
      <c r="W14517" t="s">
        <v>40402</v>
      </c>
      <c r="X14517" t="s">
        <v>43189</v>
      </c>
    </row>
    <row r="14518" spans="1:24">
      <c r="A14518">
        <f>HYPERLINK("https://www.philgeps.gov.ph/GEPSNONPILOT/Tender/SplashBidNoticeAbstractUI.aspx?menuIndex=3&amp;refID=7039190&amp;Result=3","7039190")</f>
        <v>0</v>
      </c>
      <c r="B14518" t="s">
        <v>2410</v>
      </c>
      <c r="C14518" t="s">
        <v>17331</v>
      </c>
      <c r="D14518" t="s">
        <v>17470</v>
      </c>
      <c r="E14518" t="s">
        <v>29980</v>
      </c>
      <c r="F14518" t="s">
        <v>30052</v>
      </c>
      <c r="G14518" t="s">
        <v>30058</v>
      </c>
      <c r="H14518" t="s">
        <v>30067</v>
      </c>
      <c r="I14518" t="s">
        <v>3693</v>
      </c>
      <c r="J14518" t="s">
        <v>38974</v>
      </c>
      <c r="K14518" t="s">
        <v>39031</v>
      </c>
      <c r="M14518" t="s">
        <v>41907</v>
      </c>
      <c r="N14518" t="s">
        <v>43166</v>
      </c>
      <c r="O14518" t="s">
        <v>43167</v>
      </c>
      <c r="P14518">
        <v>0</v>
      </c>
      <c r="Q14518">
        <v>1</v>
      </c>
      <c r="R14518" t="s">
        <v>43188</v>
      </c>
      <c r="S14518" t="s">
        <v>44213</v>
      </c>
      <c r="T14518" t="s">
        <v>44717</v>
      </c>
      <c r="U14518" t="s">
        <v>56752</v>
      </c>
      <c r="W14518" t="s">
        <v>41907</v>
      </c>
      <c r="X14518" t="s">
        <v>43193</v>
      </c>
    </row>
    <row r="14519" spans="1:24">
      <c r="A14519">
        <f>HYPERLINK("https://www.philgeps.gov.ph/GEPSNONPILOT/Tender/SplashBidNoticeAbstractUI.aspx?menuIndex=3&amp;refID=7039175&amp;Result=3","7039175")</f>
        <v>0</v>
      </c>
      <c r="B14519" t="s">
        <v>2410</v>
      </c>
      <c r="C14519" t="s">
        <v>17332</v>
      </c>
      <c r="D14519" t="s">
        <v>17470</v>
      </c>
      <c r="E14519" t="s">
        <v>29981</v>
      </c>
      <c r="F14519" t="s">
        <v>30052</v>
      </c>
      <c r="G14519" t="s">
        <v>30058</v>
      </c>
      <c r="H14519" t="s">
        <v>30067</v>
      </c>
      <c r="I14519" t="s">
        <v>3693</v>
      </c>
      <c r="J14519" t="s">
        <v>38975</v>
      </c>
      <c r="K14519" t="s">
        <v>39026</v>
      </c>
      <c r="M14519" t="s">
        <v>41907</v>
      </c>
      <c r="N14519" t="s">
        <v>43166</v>
      </c>
      <c r="O14519" t="s">
        <v>43167</v>
      </c>
      <c r="P14519">
        <v>0</v>
      </c>
      <c r="Q14519">
        <v>1</v>
      </c>
      <c r="R14519" t="s">
        <v>43188</v>
      </c>
      <c r="S14519" t="s">
        <v>44213</v>
      </c>
      <c r="T14519" t="s">
        <v>44717</v>
      </c>
      <c r="U14519" t="s">
        <v>56753</v>
      </c>
      <c r="W14519" t="s">
        <v>41907</v>
      </c>
      <c r="X14519" t="s">
        <v>43193</v>
      </c>
    </row>
    <row r="14520" spans="1:24">
      <c r="A14520">
        <f>HYPERLINK("https://www.philgeps.gov.ph/GEPSNONPILOT/Tender/SplashBidNoticeAbstractUI.aspx?menuIndex=3&amp;refID=7039153&amp;Result=3","7039153")</f>
        <v>0</v>
      </c>
      <c r="B14520" t="s">
        <v>2410</v>
      </c>
      <c r="C14520" t="s">
        <v>17333</v>
      </c>
      <c r="D14520" t="s">
        <v>17470</v>
      </c>
      <c r="E14520" t="s">
        <v>29982</v>
      </c>
      <c r="F14520" t="s">
        <v>30052</v>
      </c>
      <c r="G14520" t="s">
        <v>30058</v>
      </c>
      <c r="H14520" t="s">
        <v>30067</v>
      </c>
      <c r="I14520" t="s">
        <v>3693</v>
      </c>
      <c r="J14520" t="s">
        <v>38976</v>
      </c>
      <c r="K14520" t="s">
        <v>39031</v>
      </c>
      <c r="M14520" t="s">
        <v>41907</v>
      </c>
      <c r="N14520" t="s">
        <v>43166</v>
      </c>
      <c r="O14520" t="s">
        <v>43167</v>
      </c>
      <c r="P14520">
        <v>0</v>
      </c>
      <c r="Q14520">
        <v>1</v>
      </c>
      <c r="R14520" t="s">
        <v>43188</v>
      </c>
      <c r="S14520" t="s">
        <v>44213</v>
      </c>
      <c r="T14520" t="s">
        <v>44717</v>
      </c>
      <c r="U14520" t="s">
        <v>56754</v>
      </c>
      <c r="W14520" t="s">
        <v>41907</v>
      </c>
      <c r="X14520" t="s">
        <v>43193</v>
      </c>
    </row>
    <row r="14521" spans="1:24">
      <c r="A14521">
        <f>HYPERLINK("https://www.philgeps.gov.ph/GEPSNONPILOT/Tender/SplashBidNoticeAbstractUI.aspx?menuIndex=3&amp;refID=7049083&amp;Result=3","7049083")</f>
        <v>0</v>
      </c>
      <c r="B14521" t="s">
        <v>1607</v>
      </c>
      <c r="C14521" t="s">
        <v>17334</v>
      </c>
      <c r="E14521" t="s">
        <v>29983</v>
      </c>
      <c r="F14521" t="s">
        <v>30052</v>
      </c>
      <c r="G14521" t="s">
        <v>30058</v>
      </c>
      <c r="H14521" t="s">
        <v>15498</v>
      </c>
      <c r="I14521" t="s">
        <v>30130</v>
      </c>
      <c r="J14521" t="s">
        <v>30555</v>
      </c>
      <c r="K14521" t="s">
        <v>39025</v>
      </c>
      <c r="M14521" t="s">
        <v>43046</v>
      </c>
      <c r="N14521" t="s">
        <v>43166</v>
      </c>
      <c r="O14521" t="s">
        <v>43167</v>
      </c>
      <c r="Q14521">
        <v>18</v>
      </c>
      <c r="R14521" t="s">
        <v>43187</v>
      </c>
      <c r="S14521" t="s">
        <v>44661</v>
      </c>
      <c r="T14521" t="s">
        <v>44804</v>
      </c>
      <c r="U14521" t="s">
        <v>55965</v>
      </c>
      <c r="W14521" t="s">
        <v>43046</v>
      </c>
      <c r="X14521" t="s">
        <v>43188</v>
      </c>
    </row>
    <row r="14522" spans="1:24">
      <c r="A14522">
        <f>HYPERLINK("https://www.philgeps.gov.ph/GEPSNONPILOT/Tender/SplashBidNoticeAbstractUI.aspx?menuIndex=3&amp;refID=7049001&amp;Result=3","7049001")</f>
        <v>0</v>
      </c>
      <c r="B14522" t="s">
        <v>678</v>
      </c>
      <c r="C14522" t="s">
        <v>17335</v>
      </c>
      <c r="D14522" t="s">
        <v>17432</v>
      </c>
      <c r="E14522" t="s">
        <v>29984</v>
      </c>
      <c r="F14522" t="s">
        <v>30052</v>
      </c>
      <c r="G14522" t="s">
        <v>30058</v>
      </c>
      <c r="H14522" t="s">
        <v>30067</v>
      </c>
      <c r="I14522" t="s">
        <v>3693</v>
      </c>
      <c r="J14522" t="s">
        <v>30823</v>
      </c>
      <c r="K14522" t="s">
        <v>39311</v>
      </c>
      <c r="M14522" t="s">
        <v>39984</v>
      </c>
      <c r="N14522" t="s">
        <v>43166</v>
      </c>
      <c r="O14522" t="s">
        <v>43167</v>
      </c>
      <c r="Q14522">
        <v>2</v>
      </c>
      <c r="R14522" t="s">
        <v>43187</v>
      </c>
      <c r="S14522" t="s">
        <v>44662</v>
      </c>
      <c r="T14522" t="s">
        <v>44717</v>
      </c>
      <c r="U14522" t="s">
        <v>55961</v>
      </c>
      <c r="W14522" t="s">
        <v>39984</v>
      </c>
      <c r="X14522" t="s">
        <v>43188</v>
      </c>
    </row>
    <row r="14523" spans="1:24">
      <c r="A14523">
        <f>HYPERLINK("https://www.philgeps.gov.ph/GEPSNONPILOT/Tender/SplashBidNoticeAbstractUI.aspx?menuIndex=3&amp;refID=7048976&amp;Result=3","7048976")</f>
        <v>0</v>
      </c>
      <c r="B14523" t="s">
        <v>2550</v>
      </c>
      <c r="C14523" t="s">
        <v>17336</v>
      </c>
      <c r="D14523" t="s">
        <v>17445</v>
      </c>
      <c r="E14523" t="s">
        <v>29985</v>
      </c>
      <c r="F14523" t="s">
        <v>30052</v>
      </c>
      <c r="G14523" t="s">
        <v>30058</v>
      </c>
      <c r="H14523" t="s">
        <v>15498</v>
      </c>
      <c r="I14523" t="s">
        <v>30135</v>
      </c>
      <c r="J14523" t="s">
        <v>38977</v>
      </c>
      <c r="K14523" t="s">
        <v>39031</v>
      </c>
      <c r="M14523" t="s">
        <v>42057</v>
      </c>
      <c r="N14523" t="s">
        <v>43166</v>
      </c>
      <c r="O14523" t="s">
        <v>43167</v>
      </c>
      <c r="P14523">
        <v>0</v>
      </c>
      <c r="Q14523">
        <v>5</v>
      </c>
      <c r="R14523" t="s">
        <v>43187</v>
      </c>
      <c r="S14523" t="s">
        <v>44147</v>
      </c>
      <c r="T14523" t="s">
        <v>44822</v>
      </c>
      <c r="U14523" t="s">
        <v>55981</v>
      </c>
      <c r="W14523" t="s">
        <v>42057</v>
      </c>
      <c r="X14523" t="s">
        <v>43188</v>
      </c>
    </row>
    <row r="14524" spans="1:24">
      <c r="A14524">
        <f>HYPERLINK("https://www.philgeps.gov.ph/GEPSNONPILOT/Tender/SplashBidNoticeAbstractUI.aspx?menuIndex=3&amp;refID=7045356&amp;Result=3","7045356")</f>
        <v>0</v>
      </c>
      <c r="B14524" t="s">
        <v>3450</v>
      </c>
      <c r="C14524" t="s">
        <v>17337</v>
      </c>
      <c r="D14524" t="s">
        <v>17424</v>
      </c>
      <c r="E14524" t="s">
        <v>29986</v>
      </c>
      <c r="F14524" t="s">
        <v>30052</v>
      </c>
      <c r="G14524" t="s">
        <v>30059</v>
      </c>
      <c r="H14524" t="s">
        <v>30067</v>
      </c>
      <c r="I14524" t="s">
        <v>3693</v>
      </c>
      <c r="J14524" t="s">
        <v>38978</v>
      </c>
      <c r="K14524" t="s">
        <v>39026</v>
      </c>
      <c r="M14524" t="s">
        <v>43158</v>
      </c>
      <c r="N14524" t="s">
        <v>43166</v>
      </c>
      <c r="O14524" t="s">
        <v>43167</v>
      </c>
      <c r="Q14524">
        <v>9</v>
      </c>
      <c r="R14524" t="s">
        <v>43188</v>
      </c>
      <c r="S14524" t="s">
        <v>44663</v>
      </c>
      <c r="T14524" t="s">
        <v>44862</v>
      </c>
      <c r="U14524" t="s">
        <v>56755</v>
      </c>
      <c r="W14524" t="s">
        <v>43158</v>
      </c>
      <c r="X14524" t="s">
        <v>43189</v>
      </c>
    </row>
    <row r="14525" spans="1:24">
      <c r="A14525">
        <f>HYPERLINK("https://www.philgeps.gov.ph/GEPSNONPILOT/Tender/SplashBidNoticeAbstractUI.aspx?menuIndex=3&amp;refID=7048972&amp;Result=3","7048972")</f>
        <v>0</v>
      </c>
      <c r="B14525" t="s">
        <v>679</v>
      </c>
      <c r="C14525" t="s">
        <v>17338</v>
      </c>
      <c r="D14525" t="s">
        <v>17419</v>
      </c>
      <c r="E14525" t="s">
        <v>29987</v>
      </c>
      <c r="F14525" t="s">
        <v>30052</v>
      </c>
      <c r="G14525" t="s">
        <v>30058</v>
      </c>
      <c r="H14525" t="s">
        <v>15498</v>
      </c>
      <c r="I14525" t="s">
        <v>30092</v>
      </c>
      <c r="J14525" t="s">
        <v>38979</v>
      </c>
      <c r="K14525" t="s">
        <v>39025</v>
      </c>
      <c r="M14525" t="s">
        <v>43033</v>
      </c>
      <c r="N14525" t="s">
        <v>43166</v>
      </c>
      <c r="O14525" t="s">
        <v>43167</v>
      </c>
      <c r="P14525">
        <v>0</v>
      </c>
      <c r="Q14525">
        <v>0</v>
      </c>
      <c r="R14525" t="s">
        <v>43187</v>
      </c>
      <c r="S14525" t="s">
        <v>44147</v>
      </c>
      <c r="T14525" t="s">
        <v>44717</v>
      </c>
      <c r="U14525" t="s">
        <v>56756</v>
      </c>
      <c r="W14525" t="s">
        <v>43033</v>
      </c>
      <c r="X14525" t="s">
        <v>43188</v>
      </c>
    </row>
    <row r="14526" spans="1:24">
      <c r="A14526">
        <f>HYPERLINK("https://www.philgeps.gov.ph/GEPSNONPILOT/Tender/SplashBidNoticeAbstractUI.aspx?menuIndex=3&amp;refID=7048918&amp;Result=3","7048918")</f>
        <v>0</v>
      </c>
      <c r="B14526" t="s">
        <v>1512</v>
      </c>
      <c r="C14526" t="s">
        <v>17339</v>
      </c>
      <c r="D14526" t="s">
        <v>17465</v>
      </c>
      <c r="E14526" t="s">
        <v>29988</v>
      </c>
      <c r="F14526" t="s">
        <v>30052</v>
      </c>
      <c r="G14526" t="s">
        <v>30058</v>
      </c>
      <c r="H14526" t="s">
        <v>15498</v>
      </c>
      <c r="I14526" t="s">
        <v>3736</v>
      </c>
      <c r="J14526" t="s">
        <v>38980</v>
      </c>
      <c r="K14526" t="s">
        <v>39025</v>
      </c>
      <c r="M14526" t="s">
        <v>40897</v>
      </c>
      <c r="N14526" t="s">
        <v>43166</v>
      </c>
      <c r="O14526" t="s">
        <v>43167</v>
      </c>
      <c r="P14526">
        <v>0</v>
      </c>
      <c r="Q14526">
        <v>7</v>
      </c>
      <c r="R14526" t="s">
        <v>43187</v>
      </c>
      <c r="S14526" t="s">
        <v>44147</v>
      </c>
      <c r="T14526" t="s">
        <v>44696</v>
      </c>
      <c r="U14526" t="s">
        <v>52621</v>
      </c>
      <c r="W14526" t="s">
        <v>40897</v>
      </c>
      <c r="X14526" t="s">
        <v>43188</v>
      </c>
    </row>
    <row r="14527" spans="1:24">
      <c r="A14527">
        <f>HYPERLINK("https://www.philgeps.gov.ph/GEPSNONPILOT/Tender/SplashBidNoticeAbstractUI.aspx?menuIndex=3&amp;refID=7048913&amp;Result=3","7048913")</f>
        <v>0</v>
      </c>
      <c r="B14527" t="s">
        <v>2627</v>
      </c>
      <c r="C14527" t="s">
        <v>17340</v>
      </c>
      <c r="D14527" t="s">
        <v>17446</v>
      </c>
      <c r="E14527" t="s">
        <v>29989</v>
      </c>
      <c r="F14527" t="s">
        <v>30052</v>
      </c>
      <c r="G14527" t="s">
        <v>30058</v>
      </c>
      <c r="H14527" t="s">
        <v>15498</v>
      </c>
      <c r="I14527" t="s">
        <v>30100</v>
      </c>
      <c r="J14527" t="s">
        <v>38981</v>
      </c>
      <c r="K14527" t="s">
        <v>39046</v>
      </c>
      <c r="M14527" t="s">
        <v>42141</v>
      </c>
      <c r="N14527" t="s">
        <v>43166</v>
      </c>
      <c r="O14527" t="s">
        <v>43167</v>
      </c>
      <c r="Q14527">
        <v>2</v>
      </c>
      <c r="R14527" t="s">
        <v>43187</v>
      </c>
      <c r="S14527" t="s">
        <v>44664</v>
      </c>
      <c r="T14527" t="s">
        <v>44870</v>
      </c>
      <c r="U14527" t="s">
        <v>52213</v>
      </c>
      <c r="W14527" t="s">
        <v>58683</v>
      </c>
      <c r="X14527" t="s">
        <v>43188</v>
      </c>
    </row>
    <row r="14528" spans="1:24">
      <c r="A14528">
        <f>HYPERLINK("https://www.philgeps.gov.ph/GEPSNONPILOT/Tender/SplashBidNoticeAbstractUI.aspx?menuIndex=3&amp;refID=7048886&amp;Result=3","7048886")</f>
        <v>0</v>
      </c>
      <c r="B14528" t="s">
        <v>3094</v>
      </c>
      <c r="C14528" t="s">
        <v>17341</v>
      </c>
      <c r="D14528" t="s">
        <v>17459</v>
      </c>
      <c r="E14528" t="s">
        <v>29990</v>
      </c>
      <c r="F14528" t="s">
        <v>30052</v>
      </c>
      <c r="G14528" t="s">
        <v>30058</v>
      </c>
      <c r="H14528" t="s">
        <v>15498</v>
      </c>
      <c r="I14528" t="s">
        <v>9238</v>
      </c>
      <c r="J14528" t="s">
        <v>38982</v>
      </c>
      <c r="K14528" t="s">
        <v>39031</v>
      </c>
      <c r="M14528" t="s">
        <v>42680</v>
      </c>
      <c r="N14528" t="s">
        <v>43166</v>
      </c>
      <c r="O14528" t="s">
        <v>43167</v>
      </c>
      <c r="Q14528">
        <v>47</v>
      </c>
      <c r="R14528" t="s">
        <v>43187</v>
      </c>
      <c r="S14528" t="s">
        <v>44665</v>
      </c>
      <c r="T14528" t="s">
        <v>45213</v>
      </c>
      <c r="U14528" t="s">
        <v>54151</v>
      </c>
      <c r="V14528" t="s">
        <v>58092</v>
      </c>
      <c r="W14528" t="s">
        <v>42680</v>
      </c>
      <c r="X14528" t="s">
        <v>43188</v>
      </c>
    </row>
    <row r="14529" spans="1:24">
      <c r="A14529">
        <f>HYPERLINK("https://www.philgeps.gov.ph/GEPSNONPILOT/Tender/SplashBidNoticeAbstractUI.aspx?menuIndex=3&amp;refID=7045123&amp;Result=3","7045123")</f>
        <v>0</v>
      </c>
      <c r="B14529" t="s">
        <v>202</v>
      </c>
      <c r="C14529" t="s">
        <v>17342</v>
      </c>
      <c r="D14529" t="s">
        <v>17461</v>
      </c>
      <c r="E14529" t="s">
        <v>29991</v>
      </c>
      <c r="F14529" t="s">
        <v>30052</v>
      </c>
      <c r="G14529" t="s">
        <v>30058</v>
      </c>
      <c r="H14529" t="s">
        <v>15498</v>
      </c>
      <c r="I14529" t="s">
        <v>30130</v>
      </c>
      <c r="J14529" t="s">
        <v>32231</v>
      </c>
      <c r="K14529" t="s">
        <v>39023</v>
      </c>
      <c r="L14529" t="s">
        <v>202</v>
      </c>
      <c r="M14529" t="s">
        <v>39492</v>
      </c>
      <c r="N14529" t="s">
        <v>43166</v>
      </c>
      <c r="O14529" t="s">
        <v>43167</v>
      </c>
      <c r="Q14529">
        <v>33</v>
      </c>
      <c r="R14529" t="s">
        <v>43188</v>
      </c>
      <c r="S14529" t="s">
        <v>44666</v>
      </c>
      <c r="T14529" t="s">
        <v>44862</v>
      </c>
      <c r="U14529" t="s">
        <v>56757</v>
      </c>
      <c r="W14529" t="s">
        <v>39492</v>
      </c>
      <c r="X14529" t="s">
        <v>43189</v>
      </c>
    </row>
    <row r="14530" spans="1:24">
      <c r="A14530">
        <f>HYPERLINK("https://www.philgeps.gov.ph/GEPSNONPILOT/Tender/SplashBidNoticeAbstractUI.aspx?menuIndex=3&amp;refID=7046153&amp;Result=3","7046153")</f>
        <v>0</v>
      </c>
      <c r="B14530" t="s">
        <v>607</v>
      </c>
      <c r="C14530" t="s">
        <v>17343</v>
      </c>
      <c r="D14530" t="s">
        <v>17459</v>
      </c>
      <c r="E14530" t="s">
        <v>29992</v>
      </c>
      <c r="F14530" t="s">
        <v>30052</v>
      </c>
      <c r="G14530" t="s">
        <v>30058</v>
      </c>
      <c r="H14530" t="s">
        <v>15498</v>
      </c>
      <c r="I14530" t="s">
        <v>9238</v>
      </c>
      <c r="J14530" t="s">
        <v>38983</v>
      </c>
      <c r="K14530" t="s">
        <v>39032</v>
      </c>
      <c r="M14530" t="s">
        <v>39909</v>
      </c>
      <c r="N14530" t="s">
        <v>43166</v>
      </c>
      <c r="O14530" t="s">
        <v>43167</v>
      </c>
      <c r="P14530">
        <v>0</v>
      </c>
      <c r="Q14530">
        <v>10</v>
      </c>
      <c r="R14530" t="s">
        <v>43187</v>
      </c>
      <c r="S14530" t="s">
        <v>44147</v>
      </c>
      <c r="T14530" t="s">
        <v>44822</v>
      </c>
      <c r="U14530" t="s">
        <v>51178</v>
      </c>
      <c r="W14530" t="s">
        <v>39909</v>
      </c>
      <c r="X14530" t="s">
        <v>43189</v>
      </c>
    </row>
    <row r="14531" spans="1:24">
      <c r="A14531">
        <f>HYPERLINK("https://www.philgeps.gov.ph/GEPSNONPILOT/Tender/SplashBidNoticeAbstractUI.aspx?menuIndex=3&amp;refID=7044733&amp;Result=3","7044733")</f>
        <v>0</v>
      </c>
      <c r="B14531" t="s">
        <v>68</v>
      </c>
      <c r="C14531" t="s">
        <v>17344</v>
      </c>
      <c r="D14531" t="s">
        <v>17413</v>
      </c>
      <c r="E14531" t="s">
        <v>29993</v>
      </c>
      <c r="F14531" t="s">
        <v>30052</v>
      </c>
      <c r="G14531" t="s">
        <v>30058</v>
      </c>
      <c r="H14531" t="s">
        <v>15498</v>
      </c>
      <c r="I14531" t="s">
        <v>3736</v>
      </c>
      <c r="J14531" t="s">
        <v>38984</v>
      </c>
      <c r="K14531" t="s">
        <v>39034</v>
      </c>
      <c r="M14531" t="s">
        <v>39357</v>
      </c>
      <c r="N14531" t="s">
        <v>43166</v>
      </c>
      <c r="O14531" t="s">
        <v>43167</v>
      </c>
      <c r="P14531">
        <v>0</v>
      </c>
      <c r="Q14531">
        <v>2</v>
      </c>
      <c r="R14531" t="s">
        <v>43187</v>
      </c>
      <c r="S14531" t="s">
        <v>44147</v>
      </c>
      <c r="T14531" t="s">
        <v>44777</v>
      </c>
      <c r="U14531" t="s">
        <v>56758</v>
      </c>
      <c r="V14531" t="s">
        <v>58582</v>
      </c>
      <c r="W14531" t="s">
        <v>39357</v>
      </c>
      <c r="X14531" t="s">
        <v>43189</v>
      </c>
    </row>
    <row r="14532" spans="1:24">
      <c r="A14532">
        <f>HYPERLINK("https://www.philgeps.gov.ph/GEPSNONPILOT/Tender/SplashBidNoticeAbstractUI.aspx?menuIndex=3&amp;refID=7044621&amp;Result=3","7044621")</f>
        <v>0</v>
      </c>
      <c r="B14532" t="s">
        <v>3451</v>
      </c>
      <c r="C14532" t="s">
        <v>17345</v>
      </c>
      <c r="E14532" t="s">
        <v>29994</v>
      </c>
      <c r="F14532" t="s">
        <v>30052</v>
      </c>
      <c r="G14532" t="s">
        <v>30058</v>
      </c>
      <c r="H14532" t="s">
        <v>30067</v>
      </c>
      <c r="I14532" t="s">
        <v>3693</v>
      </c>
      <c r="J14532" t="s">
        <v>30277</v>
      </c>
      <c r="K14532" t="s">
        <v>39019</v>
      </c>
      <c r="M14532" t="s">
        <v>43159</v>
      </c>
      <c r="N14532" t="s">
        <v>43166</v>
      </c>
      <c r="O14532" t="s">
        <v>43167</v>
      </c>
      <c r="P14532">
        <v>0</v>
      </c>
      <c r="Q14532">
        <v>0</v>
      </c>
      <c r="R14532" t="s">
        <v>43187</v>
      </c>
      <c r="S14532" t="s">
        <v>44147</v>
      </c>
      <c r="T14532" t="s">
        <v>44864</v>
      </c>
      <c r="U14532" t="s">
        <v>56759</v>
      </c>
      <c r="W14532" t="s">
        <v>43159</v>
      </c>
      <c r="X14532" t="s">
        <v>43189</v>
      </c>
    </row>
    <row r="14533" spans="1:24">
      <c r="A14533">
        <f>HYPERLINK("https://www.philgeps.gov.ph/GEPSNONPILOT/Tender/SplashBidNoticeAbstractUI.aspx?menuIndex=3&amp;refID=7043039&amp;Result=3","7043039")</f>
        <v>0</v>
      </c>
      <c r="B14533" t="s">
        <v>2410</v>
      </c>
      <c r="C14533" t="s">
        <v>17346</v>
      </c>
      <c r="D14533" t="s">
        <v>17470</v>
      </c>
      <c r="E14533" t="s">
        <v>29200</v>
      </c>
      <c r="F14533" t="s">
        <v>30052</v>
      </c>
      <c r="G14533" t="s">
        <v>30058</v>
      </c>
      <c r="H14533" t="s">
        <v>15498</v>
      </c>
      <c r="I14533" t="s">
        <v>30134</v>
      </c>
      <c r="J14533" t="s">
        <v>30905</v>
      </c>
      <c r="K14533" t="s">
        <v>39029</v>
      </c>
      <c r="M14533" t="s">
        <v>41907</v>
      </c>
      <c r="N14533" t="s">
        <v>43166</v>
      </c>
      <c r="O14533" t="s">
        <v>43167</v>
      </c>
      <c r="P14533">
        <v>0</v>
      </c>
      <c r="Q14533">
        <v>0</v>
      </c>
      <c r="R14533" t="s">
        <v>43188</v>
      </c>
      <c r="S14533" t="s">
        <v>44213</v>
      </c>
      <c r="T14533" t="s">
        <v>44717</v>
      </c>
      <c r="U14533" t="s">
        <v>56052</v>
      </c>
      <c r="W14533" t="s">
        <v>41907</v>
      </c>
      <c r="X14533" t="s">
        <v>43192</v>
      </c>
    </row>
    <row r="14534" spans="1:24">
      <c r="A14534">
        <f>HYPERLINK("https://www.philgeps.gov.ph/GEPSNONPILOT/Tender/SplashBidNoticeAbstractUI.aspx?menuIndex=3&amp;refID=7044536&amp;Result=3","7044536")</f>
        <v>0</v>
      </c>
      <c r="B14534" t="s">
        <v>3451</v>
      </c>
      <c r="C14534" t="s">
        <v>17347</v>
      </c>
      <c r="D14534" t="s">
        <v>17445</v>
      </c>
      <c r="E14534" t="s">
        <v>29995</v>
      </c>
      <c r="F14534" t="s">
        <v>30052</v>
      </c>
      <c r="G14534" t="s">
        <v>30058</v>
      </c>
      <c r="H14534" t="s">
        <v>30067</v>
      </c>
      <c r="I14534" t="s">
        <v>3693</v>
      </c>
      <c r="J14534" t="s">
        <v>38985</v>
      </c>
      <c r="K14534" t="s">
        <v>39052</v>
      </c>
      <c r="M14534" t="s">
        <v>43159</v>
      </c>
      <c r="N14534" t="s">
        <v>43166</v>
      </c>
      <c r="O14534" t="s">
        <v>43167</v>
      </c>
      <c r="P14534">
        <v>0</v>
      </c>
      <c r="Q14534">
        <v>0</v>
      </c>
      <c r="R14534" t="s">
        <v>43187</v>
      </c>
      <c r="S14534" t="s">
        <v>44147</v>
      </c>
      <c r="T14534" t="s">
        <v>44856</v>
      </c>
      <c r="U14534" t="s">
        <v>56760</v>
      </c>
      <c r="W14534" t="s">
        <v>43159</v>
      </c>
      <c r="X14534" t="s">
        <v>43189</v>
      </c>
    </row>
    <row r="14535" spans="1:24">
      <c r="A14535">
        <f>HYPERLINK("https://www.philgeps.gov.ph/GEPSNONPILOT/Tender/SplashBidNoticeAbstractUI.aspx?menuIndex=3&amp;refID=7048889&amp;Result=3","7048889")</f>
        <v>0</v>
      </c>
      <c r="B14535" t="s">
        <v>3214</v>
      </c>
      <c r="C14535" t="s">
        <v>17348</v>
      </c>
      <c r="D14535" t="s">
        <v>17416</v>
      </c>
      <c r="E14535" t="s">
        <v>29996</v>
      </c>
      <c r="F14535" t="s">
        <v>30052</v>
      </c>
      <c r="G14535" t="s">
        <v>30058</v>
      </c>
      <c r="H14535" t="s">
        <v>15498</v>
      </c>
      <c r="I14535" t="s">
        <v>30074</v>
      </c>
      <c r="J14535" t="s">
        <v>38655</v>
      </c>
      <c r="K14535" t="s">
        <v>39023</v>
      </c>
      <c r="M14535" t="s">
        <v>42837</v>
      </c>
      <c r="N14535" t="s">
        <v>43166</v>
      </c>
      <c r="O14535" t="s">
        <v>43167</v>
      </c>
      <c r="P14535">
        <v>0</v>
      </c>
      <c r="Q14535">
        <v>6</v>
      </c>
      <c r="R14535" t="s">
        <v>43187</v>
      </c>
      <c r="S14535" t="s">
        <v>44147</v>
      </c>
      <c r="T14535" t="s">
        <v>44717</v>
      </c>
      <c r="U14535" t="s">
        <v>56761</v>
      </c>
      <c r="W14535" t="s">
        <v>42837</v>
      </c>
      <c r="X14535" t="s">
        <v>43188</v>
      </c>
    </row>
    <row r="14536" spans="1:24">
      <c r="A14536">
        <f>HYPERLINK("https://www.philgeps.gov.ph/GEPSNONPILOT/Tender/SplashBidNoticeAbstractUI.aspx?menuIndex=3&amp;refID=7043942&amp;Result=3","7043942")</f>
        <v>0</v>
      </c>
      <c r="B14536" t="s">
        <v>576</v>
      </c>
      <c r="C14536" t="s">
        <v>17349</v>
      </c>
      <c r="D14536" t="s">
        <v>17484</v>
      </c>
      <c r="E14536" t="s">
        <v>29997</v>
      </c>
      <c r="F14536" t="s">
        <v>30052</v>
      </c>
      <c r="G14536" t="s">
        <v>30058</v>
      </c>
      <c r="H14536" t="s">
        <v>15498</v>
      </c>
      <c r="I14536" t="s">
        <v>30084</v>
      </c>
      <c r="J14536" t="s">
        <v>31071</v>
      </c>
      <c r="K14536" t="s">
        <v>39037</v>
      </c>
      <c r="M14536" t="s">
        <v>39878</v>
      </c>
      <c r="N14536" t="s">
        <v>43166</v>
      </c>
      <c r="O14536" t="s">
        <v>43167</v>
      </c>
      <c r="Q14536">
        <v>3</v>
      </c>
      <c r="R14536" t="s">
        <v>43187</v>
      </c>
      <c r="S14536" t="s">
        <v>44667</v>
      </c>
      <c r="T14536" t="s">
        <v>44704</v>
      </c>
      <c r="U14536" t="s">
        <v>56762</v>
      </c>
      <c r="W14536" t="s">
        <v>39878</v>
      </c>
      <c r="X14536" t="s">
        <v>43285</v>
      </c>
    </row>
    <row r="14537" spans="1:24">
      <c r="A14537">
        <f>HYPERLINK("https://www.philgeps.gov.ph/GEPSNONPILOT/Tender/SplashBidNoticeAbstractUI.aspx?menuIndex=3&amp;refID=7023492-2&amp;Result=3","7023492-2")</f>
        <v>0</v>
      </c>
      <c r="B14537" t="s">
        <v>1717</v>
      </c>
      <c r="C14537" t="s">
        <v>17350</v>
      </c>
      <c r="D14537" t="s">
        <v>17435</v>
      </c>
      <c r="E14537" t="s">
        <v>29998</v>
      </c>
      <c r="F14537" t="s">
        <v>30052</v>
      </c>
      <c r="G14537" t="s">
        <v>30058</v>
      </c>
      <c r="H14537" t="s">
        <v>30068</v>
      </c>
      <c r="I14537" t="s">
        <v>30068</v>
      </c>
      <c r="J14537" t="s">
        <v>30222</v>
      </c>
      <c r="K14537" t="s">
        <v>39031</v>
      </c>
      <c r="M14537" t="s">
        <v>43006</v>
      </c>
      <c r="N14537" t="s">
        <v>43166</v>
      </c>
      <c r="O14537" t="s">
        <v>43167</v>
      </c>
      <c r="P14537">
        <v>0</v>
      </c>
      <c r="Q14537">
        <v>0</v>
      </c>
      <c r="R14537" t="s">
        <v>43187</v>
      </c>
      <c r="S14537" t="s">
        <v>44147</v>
      </c>
      <c r="T14537" t="s">
        <v>44681</v>
      </c>
      <c r="U14537" t="s">
        <v>56763</v>
      </c>
      <c r="W14537" t="s">
        <v>43006</v>
      </c>
      <c r="X14537" t="s">
        <v>43188</v>
      </c>
    </row>
    <row r="14538" spans="1:24">
      <c r="A14538">
        <f>HYPERLINK("https://www.philgeps.gov.ph/GEPSNONPILOT/Tender/SplashBidNoticeAbstractUI.aspx?menuIndex=3&amp;refID=7041326&amp;Result=3","7041326")</f>
        <v>0</v>
      </c>
      <c r="B14538" t="s">
        <v>1804</v>
      </c>
      <c r="C14538" t="s">
        <v>17351</v>
      </c>
      <c r="E14538" t="s">
        <v>29999</v>
      </c>
      <c r="F14538" t="s">
        <v>30052</v>
      </c>
      <c r="G14538" t="s">
        <v>30058</v>
      </c>
      <c r="H14538" t="s">
        <v>15498</v>
      </c>
      <c r="I14538" t="s">
        <v>30144</v>
      </c>
      <c r="J14538" t="s">
        <v>31276</v>
      </c>
      <c r="K14538" t="s">
        <v>39025</v>
      </c>
      <c r="M14538" t="s">
        <v>41227</v>
      </c>
      <c r="N14538" t="s">
        <v>43166</v>
      </c>
      <c r="O14538" t="s">
        <v>43167</v>
      </c>
      <c r="P14538">
        <v>0</v>
      </c>
      <c r="Q14538">
        <v>2</v>
      </c>
      <c r="R14538" t="s">
        <v>43190</v>
      </c>
      <c r="S14538" t="s">
        <v>44274</v>
      </c>
      <c r="T14538" t="s">
        <v>44696</v>
      </c>
      <c r="U14538" t="s">
        <v>56278</v>
      </c>
      <c r="W14538" t="s">
        <v>41227</v>
      </c>
      <c r="X14538" t="s">
        <v>43192</v>
      </c>
    </row>
    <row r="14539" spans="1:24">
      <c r="A14539">
        <f>HYPERLINK("https://www.philgeps.gov.ph/GEPSNONPILOT/Tender/SplashBidNoticeAbstractUI.aspx?menuIndex=3&amp;refID=7023165-2&amp;Result=3","7023165-2")</f>
        <v>0</v>
      </c>
      <c r="B14539" t="s">
        <v>1717</v>
      </c>
      <c r="C14539" t="s">
        <v>17352</v>
      </c>
      <c r="D14539" t="s">
        <v>17435</v>
      </c>
      <c r="E14539" t="s">
        <v>30000</v>
      </c>
      <c r="F14539" t="s">
        <v>30052</v>
      </c>
      <c r="G14539" t="s">
        <v>30058</v>
      </c>
      <c r="H14539" t="s">
        <v>30068</v>
      </c>
      <c r="I14539" t="s">
        <v>30068</v>
      </c>
      <c r="J14539" t="s">
        <v>38856</v>
      </c>
      <c r="K14539" t="s">
        <v>39026</v>
      </c>
      <c r="M14539" t="s">
        <v>43006</v>
      </c>
      <c r="N14539" t="s">
        <v>43166</v>
      </c>
      <c r="O14539" t="s">
        <v>43167</v>
      </c>
      <c r="P14539">
        <v>0</v>
      </c>
      <c r="Q14539">
        <v>0</v>
      </c>
      <c r="R14539" t="s">
        <v>43187</v>
      </c>
      <c r="S14539" t="s">
        <v>44147</v>
      </c>
      <c r="T14539" t="s">
        <v>44681</v>
      </c>
      <c r="U14539" t="s">
        <v>56764</v>
      </c>
      <c r="W14539" t="s">
        <v>43006</v>
      </c>
      <c r="X14539" t="s">
        <v>43188</v>
      </c>
    </row>
    <row r="14540" spans="1:24">
      <c r="A14540">
        <f>HYPERLINK("https://www.philgeps.gov.ph/GEPSNONPILOT/Tender/SplashBidNoticeAbstractUI.aspx?menuIndex=3&amp;refID=7052666&amp;Result=3","7052666")</f>
        <v>0</v>
      </c>
      <c r="B14540" t="s">
        <v>2091</v>
      </c>
      <c r="C14540" t="s">
        <v>17353</v>
      </c>
      <c r="D14540" t="s">
        <v>17414</v>
      </c>
      <c r="E14540" t="s">
        <v>30001</v>
      </c>
      <c r="F14540" t="s">
        <v>30052</v>
      </c>
      <c r="G14540" t="s">
        <v>30058</v>
      </c>
      <c r="H14540" t="s">
        <v>15498</v>
      </c>
      <c r="I14540" t="s">
        <v>3736</v>
      </c>
      <c r="J14540" t="s">
        <v>38986</v>
      </c>
      <c r="K14540" t="s">
        <v>39029</v>
      </c>
      <c r="M14540" t="s">
        <v>41553</v>
      </c>
      <c r="N14540" t="s">
        <v>43166</v>
      </c>
      <c r="O14540" t="s">
        <v>43167</v>
      </c>
      <c r="P14540">
        <v>0</v>
      </c>
      <c r="Q14540">
        <v>0</v>
      </c>
      <c r="R14540" t="s">
        <v>43186</v>
      </c>
      <c r="S14540" t="s">
        <v>44047</v>
      </c>
      <c r="T14540" t="s">
        <v>44737</v>
      </c>
      <c r="U14540" t="s">
        <v>56765</v>
      </c>
      <c r="W14540" t="s">
        <v>42702</v>
      </c>
      <c r="X14540" t="s">
        <v>43187</v>
      </c>
    </row>
    <row r="14541" spans="1:24">
      <c r="A14541">
        <f>HYPERLINK("https://www.philgeps.gov.ph/GEPSNONPILOT/Tender/SplashBidNoticeAbstractUI.aspx?menuIndex=3&amp;refID=7048979&amp;Result=3","7048979")</f>
        <v>0</v>
      </c>
      <c r="B14541" t="s">
        <v>2939</v>
      </c>
      <c r="C14541" t="s">
        <v>17354</v>
      </c>
      <c r="D14541" t="s">
        <v>17426</v>
      </c>
      <c r="E14541" t="s">
        <v>30002</v>
      </c>
      <c r="F14541" t="s">
        <v>30052</v>
      </c>
      <c r="G14541" t="s">
        <v>30058</v>
      </c>
      <c r="H14541" t="s">
        <v>30067</v>
      </c>
      <c r="I14541" t="s">
        <v>3693</v>
      </c>
      <c r="J14541" t="s">
        <v>38987</v>
      </c>
      <c r="K14541" t="s">
        <v>39090</v>
      </c>
      <c r="M14541" t="s">
        <v>42503</v>
      </c>
      <c r="N14541" t="s">
        <v>43166</v>
      </c>
      <c r="O14541" t="s">
        <v>43167</v>
      </c>
      <c r="P14541">
        <v>0</v>
      </c>
      <c r="Q14541">
        <v>0</v>
      </c>
      <c r="R14541" t="s">
        <v>43187</v>
      </c>
      <c r="S14541" t="s">
        <v>44147</v>
      </c>
      <c r="T14541" t="s">
        <v>44698</v>
      </c>
      <c r="U14541" t="s">
        <v>56766</v>
      </c>
      <c r="W14541" t="s">
        <v>42503</v>
      </c>
      <c r="X14541" t="s">
        <v>43188</v>
      </c>
    </row>
    <row r="14542" spans="1:24">
      <c r="A14542">
        <f>HYPERLINK("https://www.philgeps.gov.ph/GEPSNONPILOT/Tender/SplashBidNoticeAbstractUI.aspx?menuIndex=3&amp;refID=7052664&amp;Result=3","7052664")</f>
        <v>0</v>
      </c>
      <c r="B14542" t="s">
        <v>2091</v>
      </c>
      <c r="C14542" t="s">
        <v>17355</v>
      </c>
      <c r="D14542" t="s">
        <v>17414</v>
      </c>
      <c r="E14542" t="s">
        <v>30003</v>
      </c>
      <c r="F14542" t="s">
        <v>30052</v>
      </c>
      <c r="G14542" t="s">
        <v>30058</v>
      </c>
      <c r="H14542" t="s">
        <v>15498</v>
      </c>
      <c r="I14542" t="s">
        <v>30074</v>
      </c>
      <c r="J14542" t="s">
        <v>30397</v>
      </c>
      <c r="K14542" t="s">
        <v>39025</v>
      </c>
      <c r="M14542" t="s">
        <v>41553</v>
      </c>
      <c r="N14542" t="s">
        <v>43166</v>
      </c>
      <c r="O14542" t="s">
        <v>43167</v>
      </c>
      <c r="P14542">
        <v>0</v>
      </c>
      <c r="Q14542">
        <v>4</v>
      </c>
      <c r="R14542" t="s">
        <v>43186</v>
      </c>
      <c r="S14542" t="s">
        <v>44047</v>
      </c>
      <c r="T14542" t="s">
        <v>44737</v>
      </c>
      <c r="U14542" t="s">
        <v>56767</v>
      </c>
      <c r="W14542" t="s">
        <v>42702</v>
      </c>
      <c r="X14542" t="s">
        <v>43187</v>
      </c>
    </row>
    <row r="14543" spans="1:24">
      <c r="A14543">
        <f>HYPERLINK("https://www.philgeps.gov.ph/GEPSNONPILOT/Tender/SplashBidNoticeAbstractUI.aspx?menuIndex=3&amp;refID=7052660&amp;Result=3","7052660")</f>
        <v>0</v>
      </c>
      <c r="B14543" t="s">
        <v>2091</v>
      </c>
      <c r="C14543" t="s">
        <v>17356</v>
      </c>
      <c r="D14543" t="s">
        <v>17414</v>
      </c>
      <c r="E14543" t="s">
        <v>30004</v>
      </c>
      <c r="F14543" t="s">
        <v>30052</v>
      </c>
      <c r="G14543" t="s">
        <v>30058</v>
      </c>
      <c r="H14543" t="s">
        <v>15498</v>
      </c>
      <c r="I14543" t="s">
        <v>30074</v>
      </c>
      <c r="J14543" t="s">
        <v>30813</v>
      </c>
      <c r="K14543" t="s">
        <v>39025</v>
      </c>
      <c r="M14543" t="s">
        <v>41553</v>
      </c>
      <c r="N14543" t="s">
        <v>43166</v>
      </c>
      <c r="O14543" t="s">
        <v>43167</v>
      </c>
      <c r="P14543">
        <v>0</v>
      </c>
      <c r="Q14543">
        <v>3</v>
      </c>
      <c r="R14543" t="s">
        <v>43186</v>
      </c>
      <c r="S14543" t="s">
        <v>44047</v>
      </c>
      <c r="T14543" t="s">
        <v>44696</v>
      </c>
      <c r="U14543" t="s">
        <v>54247</v>
      </c>
      <c r="W14543" t="s">
        <v>42702</v>
      </c>
      <c r="X14543" t="s">
        <v>43187</v>
      </c>
    </row>
    <row r="14544" spans="1:24">
      <c r="A14544">
        <f>HYPERLINK("https://www.philgeps.gov.ph/GEPSNONPILOT/Tender/SplashBidNoticeAbstractUI.aspx?menuIndex=3&amp;refID=7043976&amp;Result=3","7043976")</f>
        <v>0</v>
      </c>
      <c r="B14544" t="s">
        <v>3014</v>
      </c>
      <c r="C14544" t="s">
        <v>17357</v>
      </c>
      <c r="D14544" t="s">
        <v>17462</v>
      </c>
      <c r="E14544" t="s">
        <v>30005</v>
      </c>
      <c r="F14544" t="s">
        <v>30052</v>
      </c>
      <c r="G14544" t="s">
        <v>30058</v>
      </c>
      <c r="H14544" t="s">
        <v>15498</v>
      </c>
      <c r="I14544" t="s">
        <v>30129</v>
      </c>
      <c r="J14544" t="s">
        <v>31613</v>
      </c>
      <c r="K14544" t="s">
        <v>39019</v>
      </c>
      <c r="M14544" t="s">
        <v>42590</v>
      </c>
      <c r="N14544" t="s">
        <v>43166</v>
      </c>
      <c r="O14544" t="s">
        <v>43167</v>
      </c>
      <c r="P14544">
        <v>0</v>
      </c>
      <c r="Q14544">
        <v>9</v>
      </c>
      <c r="R14544" t="s">
        <v>43187</v>
      </c>
      <c r="S14544" t="s">
        <v>44147</v>
      </c>
      <c r="T14544" t="s">
        <v>44864</v>
      </c>
      <c r="U14544" t="s">
        <v>56768</v>
      </c>
      <c r="W14544" t="s">
        <v>42590</v>
      </c>
      <c r="X14544" t="s">
        <v>43285</v>
      </c>
    </row>
    <row r="14545" spans="1:24">
      <c r="A14545">
        <f>HYPERLINK("https://www.philgeps.gov.ph/GEPSNONPILOT/Tender/SplashBidNoticeAbstractUI.aspx?menuIndex=3&amp;refID=7052549&amp;Result=3","7052549")</f>
        <v>0</v>
      </c>
      <c r="B14545" t="s">
        <v>2171</v>
      </c>
      <c r="C14545" t="s">
        <v>17358</v>
      </c>
      <c r="D14545" t="s">
        <v>17426</v>
      </c>
      <c r="E14545" t="s">
        <v>30006</v>
      </c>
      <c r="F14545" t="s">
        <v>30052</v>
      </c>
      <c r="G14545" t="s">
        <v>30058</v>
      </c>
      <c r="H14545" t="s">
        <v>15498</v>
      </c>
      <c r="I14545" t="s">
        <v>30092</v>
      </c>
      <c r="J14545" t="s">
        <v>32066</v>
      </c>
      <c r="K14545" t="s">
        <v>39019</v>
      </c>
      <c r="M14545" t="s">
        <v>41639</v>
      </c>
      <c r="N14545" t="s">
        <v>43166</v>
      </c>
      <c r="O14545" t="s">
        <v>43167</v>
      </c>
      <c r="P14545">
        <v>0</v>
      </c>
      <c r="Q14545">
        <v>2</v>
      </c>
      <c r="R14545" t="s">
        <v>43186</v>
      </c>
      <c r="S14545" t="s">
        <v>44047</v>
      </c>
      <c r="T14545" t="s">
        <v>44773</v>
      </c>
      <c r="U14545" t="s">
        <v>56769</v>
      </c>
      <c r="W14545" t="s">
        <v>41639</v>
      </c>
      <c r="X14545" t="s">
        <v>43187</v>
      </c>
    </row>
    <row r="14546" spans="1:24">
      <c r="A14546">
        <f>HYPERLINK("https://www.philgeps.gov.ph/GEPSNONPILOT/Tender/SplashBidNoticeAbstractUI.aspx?menuIndex=3&amp;refID=6985467&amp;Result=3","6985467")</f>
        <v>0</v>
      </c>
      <c r="B14546" t="s">
        <v>3185</v>
      </c>
      <c r="C14546" t="s">
        <v>17359</v>
      </c>
      <c r="D14546" t="s">
        <v>17434</v>
      </c>
      <c r="E14546" t="s">
        <v>30007</v>
      </c>
      <c r="F14546" t="s">
        <v>30052</v>
      </c>
      <c r="G14546" t="s">
        <v>30058</v>
      </c>
      <c r="H14546" t="s">
        <v>30067</v>
      </c>
      <c r="I14546" t="s">
        <v>3693</v>
      </c>
      <c r="J14546" t="s">
        <v>38988</v>
      </c>
      <c r="K14546" t="s">
        <v>39057</v>
      </c>
      <c r="M14546" t="s">
        <v>41070</v>
      </c>
      <c r="N14546" t="s">
        <v>43166</v>
      </c>
      <c r="O14546" t="s">
        <v>43167</v>
      </c>
      <c r="P14546">
        <v>0</v>
      </c>
      <c r="Q14546">
        <v>3</v>
      </c>
      <c r="R14546" t="s">
        <v>43187</v>
      </c>
      <c r="S14546" t="s">
        <v>44147</v>
      </c>
      <c r="T14546" t="s">
        <v>44773</v>
      </c>
      <c r="U14546" t="s">
        <v>56770</v>
      </c>
      <c r="V14546" t="s">
        <v>58583</v>
      </c>
      <c r="W14546" t="s">
        <v>41070</v>
      </c>
      <c r="X14546" t="s">
        <v>43216</v>
      </c>
    </row>
    <row r="14547" spans="1:24">
      <c r="A14547">
        <f>HYPERLINK("https://www.philgeps.gov.ph/GEPSNONPILOT/Tender/SplashBidNoticeAbstractUI.aspx?menuIndex=3&amp;refID=7052525&amp;Result=3","7052525")</f>
        <v>0</v>
      </c>
      <c r="B14547" t="s">
        <v>1486</v>
      </c>
      <c r="C14547" t="s">
        <v>17360</v>
      </c>
      <c r="D14547" t="s">
        <v>17448</v>
      </c>
      <c r="E14547" t="s">
        <v>30008</v>
      </c>
      <c r="F14547" t="s">
        <v>30052</v>
      </c>
      <c r="G14547" t="s">
        <v>30058</v>
      </c>
      <c r="H14547" t="s">
        <v>30067</v>
      </c>
      <c r="I14547" t="s">
        <v>3693</v>
      </c>
      <c r="J14547" t="s">
        <v>35613</v>
      </c>
      <c r="K14547" t="s">
        <v>39312</v>
      </c>
      <c r="M14547" t="s">
        <v>40870</v>
      </c>
      <c r="N14547" t="s">
        <v>43166</v>
      </c>
      <c r="O14547" t="s">
        <v>43167</v>
      </c>
      <c r="P14547">
        <v>0</v>
      </c>
      <c r="Q14547">
        <v>7</v>
      </c>
      <c r="R14547" t="s">
        <v>43186</v>
      </c>
      <c r="S14547" t="s">
        <v>44047</v>
      </c>
      <c r="T14547" t="s">
        <v>44844</v>
      </c>
      <c r="U14547" t="s">
        <v>56771</v>
      </c>
      <c r="W14547" t="s">
        <v>40870</v>
      </c>
      <c r="X14547" t="s">
        <v>43187</v>
      </c>
    </row>
    <row r="14548" spans="1:24">
      <c r="A14548">
        <f>HYPERLINK("https://www.philgeps.gov.ph/GEPSNONPILOT/Tender/SplashBidNoticeAbstractUI.aspx?menuIndex=3&amp;refID=7043440&amp;Result=3","7043440")</f>
        <v>0</v>
      </c>
      <c r="B14548" t="s">
        <v>208</v>
      </c>
      <c r="C14548" t="s">
        <v>17361</v>
      </c>
      <c r="D14548" t="s">
        <v>17415</v>
      </c>
      <c r="E14548" t="s">
        <v>30009</v>
      </c>
      <c r="F14548" t="s">
        <v>30052</v>
      </c>
      <c r="G14548" t="s">
        <v>30058</v>
      </c>
      <c r="H14548" t="s">
        <v>15498</v>
      </c>
      <c r="I14548" t="s">
        <v>7228</v>
      </c>
      <c r="J14548" t="s">
        <v>38989</v>
      </c>
      <c r="K14548" t="s">
        <v>39025</v>
      </c>
      <c r="M14548" t="s">
        <v>41121</v>
      </c>
      <c r="N14548" t="s">
        <v>43166</v>
      </c>
      <c r="O14548" t="s">
        <v>43167</v>
      </c>
      <c r="P14548">
        <v>0</v>
      </c>
      <c r="Q14548">
        <v>1</v>
      </c>
      <c r="R14548" t="s">
        <v>43187</v>
      </c>
      <c r="S14548" t="s">
        <v>44147</v>
      </c>
      <c r="T14548" t="s">
        <v>44844</v>
      </c>
      <c r="U14548" t="s">
        <v>56772</v>
      </c>
      <c r="V14548" t="s">
        <v>57362</v>
      </c>
      <c r="W14548" t="s">
        <v>41121</v>
      </c>
      <c r="X14548" t="s">
        <v>43190</v>
      </c>
    </row>
    <row r="14549" spans="1:24">
      <c r="A14549">
        <f>HYPERLINK("https://www.philgeps.gov.ph/GEPSNONPILOT/Tender/SplashBidNoticeAbstractUI.aspx?menuIndex=3&amp;refID=7052517&amp;Result=3","7052517")</f>
        <v>0</v>
      </c>
      <c r="B14549" t="s">
        <v>2171</v>
      </c>
      <c r="C14549" t="s">
        <v>17362</v>
      </c>
      <c r="D14549" t="s">
        <v>17426</v>
      </c>
      <c r="E14549" t="s">
        <v>30010</v>
      </c>
      <c r="F14549" t="s">
        <v>30052</v>
      </c>
      <c r="G14549" t="s">
        <v>30058</v>
      </c>
      <c r="H14549" t="s">
        <v>15498</v>
      </c>
      <c r="I14549" t="s">
        <v>4642</v>
      </c>
      <c r="J14549" t="s">
        <v>30402</v>
      </c>
      <c r="K14549" t="s">
        <v>39019</v>
      </c>
      <c r="M14549" t="s">
        <v>41639</v>
      </c>
      <c r="N14549" t="s">
        <v>43166</v>
      </c>
      <c r="O14549" t="s">
        <v>43167</v>
      </c>
      <c r="P14549">
        <v>0</v>
      </c>
      <c r="Q14549">
        <v>4</v>
      </c>
      <c r="R14549" t="s">
        <v>43186</v>
      </c>
      <c r="S14549" t="s">
        <v>44047</v>
      </c>
      <c r="T14549" t="s">
        <v>44773</v>
      </c>
      <c r="U14549" t="s">
        <v>56773</v>
      </c>
      <c r="W14549" t="s">
        <v>41639</v>
      </c>
      <c r="X14549" t="s">
        <v>43187</v>
      </c>
    </row>
    <row r="14550" spans="1:24">
      <c r="A14550">
        <f>HYPERLINK("https://www.philgeps.gov.ph/GEPSNONPILOT/Tender/SplashBidNoticeAbstractUI.aspx?menuIndex=3&amp;refID=7052510&amp;Result=3","7052510")</f>
        <v>0</v>
      </c>
      <c r="B14550" t="s">
        <v>476</v>
      </c>
      <c r="C14550" t="s">
        <v>17363</v>
      </c>
      <c r="D14550" t="s">
        <v>17442</v>
      </c>
      <c r="E14550" t="s">
        <v>30011</v>
      </c>
      <c r="F14550" t="s">
        <v>30052</v>
      </c>
      <c r="G14550" t="s">
        <v>30058</v>
      </c>
      <c r="H14550" t="s">
        <v>30067</v>
      </c>
      <c r="I14550" t="s">
        <v>3693</v>
      </c>
      <c r="J14550" t="s">
        <v>38990</v>
      </c>
      <c r="K14550" t="s">
        <v>39125</v>
      </c>
      <c r="M14550" t="s">
        <v>39777</v>
      </c>
      <c r="N14550" t="s">
        <v>43166</v>
      </c>
      <c r="O14550" t="s">
        <v>43167</v>
      </c>
      <c r="Q14550">
        <v>0</v>
      </c>
      <c r="R14550" t="s">
        <v>43186</v>
      </c>
      <c r="S14550" t="s">
        <v>44130</v>
      </c>
      <c r="T14550" t="s">
        <v>44718</v>
      </c>
      <c r="U14550" t="s">
        <v>56774</v>
      </c>
      <c r="W14550" t="s">
        <v>58714</v>
      </c>
      <c r="X14550" t="s">
        <v>43187</v>
      </c>
    </row>
    <row r="14551" spans="1:24">
      <c r="A14551">
        <f>HYPERLINK("https://www.philgeps.gov.ph/GEPSNONPILOT/Tender/SplashBidNoticeAbstractUI.aspx?menuIndex=3&amp;refID=7043864&amp;Result=3","7043864")</f>
        <v>0</v>
      </c>
      <c r="B14551" t="s">
        <v>559</v>
      </c>
      <c r="C14551" t="s">
        <v>17364</v>
      </c>
      <c r="E14551" t="s">
        <v>30012</v>
      </c>
      <c r="F14551" t="s">
        <v>30052</v>
      </c>
      <c r="G14551" t="s">
        <v>30058</v>
      </c>
      <c r="H14551" t="s">
        <v>30067</v>
      </c>
      <c r="I14551" t="s">
        <v>30082</v>
      </c>
      <c r="J14551" t="s">
        <v>30222</v>
      </c>
      <c r="K14551" t="s">
        <v>39023</v>
      </c>
      <c r="M14551" t="s">
        <v>39861</v>
      </c>
      <c r="N14551" t="s">
        <v>43166</v>
      </c>
      <c r="O14551" t="s">
        <v>43167</v>
      </c>
      <c r="P14551">
        <v>0</v>
      </c>
      <c r="Q14551">
        <v>1</v>
      </c>
      <c r="R14551" t="s">
        <v>43187</v>
      </c>
      <c r="S14551" t="s">
        <v>44147</v>
      </c>
      <c r="T14551" t="s">
        <v>44717</v>
      </c>
      <c r="U14551" t="s">
        <v>46277</v>
      </c>
      <c r="W14551" t="s">
        <v>39861</v>
      </c>
      <c r="X14551" t="s">
        <v>43191</v>
      </c>
    </row>
    <row r="14552" spans="1:24">
      <c r="A14552">
        <f>HYPERLINK("https://www.philgeps.gov.ph/GEPSNONPILOT/Tender/SplashBidNoticeAbstractUI.aspx?menuIndex=3&amp;refID=7052344&amp;Result=3","7052344")</f>
        <v>0</v>
      </c>
      <c r="B14552" t="s">
        <v>1589</v>
      </c>
      <c r="C14552" t="s">
        <v>17365</v>
      </c>
      <c r="D14552" t="s">
        <v>17494</v>
      </c>
      <c r="E14552" t="s">
        <v>30013</v>
      </c>
      <c r="F14552" t="s">
        <v>30052</v>
      </c>
      <c r="G14552" t="s">
        <v>30058</v>
      </c>
      <c r="H14552" t="s">
        <v>30068</v>
      </c>
      <c r="I14552" t="s">
        <v>3693</v>
      </c>
      <c r="J14552" t="s">
        <v>38991</v>
      </c>
      <c r="K14552" t="s">
        <v>39073</v>
      </c>
      <c r="M14552" t="s">
        <v>40982</v>
      </c>
      <c r="N14552" t="s">
        <v>43166</v>
      </c>
      <c r="O14552" t="s">
        <v>43167</v>
      </c>
      <c r="P14552">
        <v>0</v>
      </c>
      <c r="Q14552">
        <v>0</v>
      </c>
      <c r="R14552" t="s">
        <v>43186</v>
      </c>
      <c r="S14552" t="s">
        <v>44047</v>
      </c>
      <c r="T14552" t="s">
        <v>44773</v>
      </c>
      <c r="U14552" t="s">
        <v>56775</v>
      </c>
      <c r="W14552" t="s">
        <v>40982</v>
      </c>
      <c r="X14552" t="s">
        <v>43187</v>
      </c>
    </row>
    <row r="14553" spans="1:24">
      <c r="A14553">
        <f>HYPERLINK("https://www.philgeps.gov.ph/GEPSNONPILOT/Tender/SplashBidNoticeAbstractUI.aspx?menuIndex=3&amp;refID=7039228&amp;Result=3","7039228")</f>
        <v>0</v>
      </c>
      <c r="B14553" t="s">
        <v>2410</v>
      </c>
      <c r="C14553" t="s">
        <v>17366</v>
      </c>
      <c r="D14553" t="s">
        <v>17470</v>
      </c>
      <c r="E14553" t="s">
        <v>30014</v>
      </c>
      <c r="F14553" t="s">
        <v>30052</v>
      </c>
      <c r="G14553" t="s">
        <v>30058</v>
      </c>
      <c r="H14553" t="s">
        <v>30067</v>
      </c>
      <c r="I14553" t="s">
        <v>3693</v>
      </c>
      <c r="J14553" t="s">
        <v>38992</v>
      </c>
      <c r="K14553" t="s">
        <v>39026</v>
      </c>
      <c r="M14553" t="s">
        <v>41907</v>
      </c>
      <c r="N14553" t="s">
        <v>43166</v>
      </c>
      <c r="O14553" t="s">
        <v>43167</v>
      </c>
      <c r="P14553">
        <v>0</v>
      </c>
      <c r="Q14553">
        <v>1</v>
      </c>
      <c r="R14553" t="s">
        <v>43188</v>
      </c>
      <c r="S14553" t="s">
        <v>44213</v>
      </c>
      <c r="T14553" t="s">
        <v>44717</v>
      </c>
      <c r="U14553" t="s">
        <v>56776</v>
      </c>
      <c r="W14553" t="s">
        <v>41907</v>
      </c>
      <c r="X14553" t="s">
        <v>43193</v>
      </c>
    </row>
    <row r="14554" spans="1:24">
      <c r="A14554">
        <f>HYPERLINK("https://www.philgeps.gov.ph/GEPSNONPILOT/Tender/SplashBidNoticeAbstractUI.aspx?menuIndex=3&amp;refID=7052542&amp;Result=3","7052542")</f>
        <v>0</v>
      </c>
      <c r="B14554" t="s">
        <v>476</v>
      </c>
      <c r="C14554" t="s">
        <v>17367</v>
      </c>
      <c r="D14554" t="s">
        <v>17442</v>
      </c>
      <c r="E14554" t="s">
        <v>30015</v>
      </c>
      <c r="F14554" t="s">
        <v>30052</v>
      </c>
      <c r="G14554" t="s">
        <v>30058</v>
      </c>
      <c r="H14554" t="s">
        <v>30067</v>
      </c>
      <c r="I14554" t="s">
        <v>3693</v>
      </c>
      <c r="J14554" t="s">
        <v>38993</v>
      </c>
      <c r="K14554" t="s">
        <v>39031</v>
      </c>
      <c r="M14554" t="s">
        <v>39777</v>
      </c>
      <c r="N14554" t="s">
        <v>43166</v>
      </c>
      <c r="O14554" t="s">
        <v>43167</v>
      </c>
      <c r="Q14554">
        <v>0</v>
      </c>
      <c r="R14554" t="s">
        <v>43186</v>
      </c>
      <c r="S14554" t="s">
        <v>44668</v>
      </c>
      <c r="T14554" t="s">
        <v>44718</v>
      </c>
      <c r="U14554" t="s">
        <v>56777</v>
      </c>
      <c r="W14554" t="s">
        <v>58714</v>
      </c>
      <c r="X14554" t="s">
        <v>43187</v>
      </c>
    </row>
    <row r="14555" spans="1:24">
      <c r="A14555">
        <f>HYPERLINK("https://www.philgeps.gov.ph/GEPSNONPILOT/Tender/SplashBidNoticeAbstractUI.aspx?menuIndex=3&amp;refID=7052337&amp;Result=3","7052337")</f>
        <v>0</v>
      </c>
      <c r="B14555" t="s">
        <v>1510</v>
      </c>
      <c r="C14555" t="s">
        <v>17368</v>
      </c>
      <c r="D14555" t="s">
        <v>17484</v>
      </c>
      <c r="E14555" t="s">
        <v>30016</v>
      </c>
      <c r="F14555" t="s">
        <v>30052</v>
      </c>
      <c r="G14555" t="s">
        <v>30058</v>
      </c>
      <c r="H14555" t="s">
        <v>15498</v>
      </c>
      <c r="I14555" t="s">
        <v>30074</v>
      </c>
      <c r="J14555" t="s">
        <v>30281</v>
      </c>
      <c r="K14555" t="s">
        <v>39037</v>
      </c>
      <c r="M14555" t="s">
        <v>40895</v>
      </c>
      <c r="N14555" t="s">
        <v>43166</v>
      </c>
      <c r="O14555" t="s">
        <v>43167</v>
      </c>
      <c r="P14555">
        <v>0</v>
      </c>
      <c r="Q14555">
        <v>8</v>
      </c>
      <c r="R14555" t="s">
        <v>43186</v>
      </c>
      <c r="S14555" t="s">
        <v>44047</v>
      </c>
      <c r="T14555" t="s">
        <v>44837</v>
      </c>
      <c r="U14555" t="s">
        <v>56778</v>
      </c>
      <c r="W14555" t="s">
        <v>40895</v>
      </c>
      <c r="X14555" t="s">
        <v>43187</v>
      </c>
    </row>
    <row r="14556" spans="1:24">
      <c r="A14556">
        <f>HYPERLINK("https://www.philgeps.gov.ph/GEPSNONPILOT/Tender/SplashBidNoticeAbstractUI.aspx?menuIndex=3&amp;refID=7052336&amp;Result=3","7052336")</f>
        <v>0</v>
      </c>
      <c r="B14556" t="s">
        <v>1589</v>
      </c>
      <c r="C14556" t="s">
        <v>17369</v>
      </c>
      <c r="D14556" t="s">
        <v>17494</v>
      </c>
      <c r="E14556" t="s">
        <v>30017</v>
      </c>
      <c r="F14556" t="s">
        <v>30052</v>
      </c>
      <c r="G14556" t="s">
        <v>30058</v>
      </c>
      <c r="H14556" t="s">
        <v>30068</v>
      </c>
      <c r="I14556" t="s">
        <v>3693</v>
      </c>
      <c r="J14556" t="s">
        <v>38994</v>
      </c>
      <c r="K14556" t="s">
        <v>39019</v>
      </c>
      <c r="M14556" t="s">
        <v>40982</v>
      </c>
      <c r="N14556" t="s">
        <v>43166</v>
      </c>
      <c r="O14556" t="s">
        <v>43167</v>
      </c>
      <c r="P14556">
        <v>0</v>
      </c>
      <c r="Q14556">
        <v>0</v>
      </c>
      <c r="R14556" t="s">
        <v>43186</v>
      </c>
      <c r="S14556" t="s">
        <v>44047</v>
      </c>
      <c r="T14556" t="s">
        <v>44773</v>
      </c>
      <c r="U14556" t="s">
        <v>56779</v>
      </c>
      <c r="W14556" t="s">
        <v>40982</v>
      </c>
      <c r="X14556" t="s">
        <v>43187</v>
      </c>
    </row>
    <row r="14557" spans="1:24">
      <c r="A14557">
        <f>HYPERLINK("https://www.philgeps.gov.ph/GEPSNONPILOT/Tender/SplashBidNoticeAbstractUI.aspx?menuIndex=3&amp;refID=7052017&amp;Result=3","7052017")</f>
        <v>0</v>
      </c>
      <c r="B14557" t="s">
        <v>897</v>
      </c>
      <c r="C14557" t="s">
        <v>17370</v>
      </c>
      <c r="D14557" t="s">
        <v>17470</v>
      </c>
      <c r="E14557" t="s">
        <v>23563</v>
      </c>
      <c r="F14557" t="s">
        <v>30052</v>
      </c>
      <c r="G14557" t="s">
        <v>30058</v>
      </c>
      <c r="H14557" t="s">
        <v>30067</v>
      </c>
      <c r="I14557" t="s">
        <v>3693</v>
      </c>
      <c r="J14557" t="s">
        <v>31613</v>
      </c>
      <c r="K14557" t="s">
        <v>39023</v>
      </c>
      <c r="M14557" t="s">
        <v>40216</v>
      </c>
      <c r="N14557" t="s">
        <v>43166</v>
      </c>
      <c r="O14557" t="s">
        <v>43167</v>
      </c>
      <c r="P14557">
        <v>0</v>
      </c>
      <c r="Q14557">
        <v>2</v>
      </c>
      <c r="R14557" t="s">
        <v>43186</v>
      </c>
      <c r="S14557" t="s">
        <v>44047</v>
      </c>
      <c r="T14557" t="s">
        <v>44949</v>
      </c>
      <c r="U14557" t="s">
        <v>56780</v>
      </c>
      <c r="W14557" t="s">
        <v>40216</v>
      </c>
      <c r="X14557" t="s">
        <v>43187</v>
      </c>
    </row>
    <row r="14558" spans="1:24">
      <c r="A14558">
        <f>HYPERLINK("https://www.philgeps.gov.ph/GEPSNONPILOT/Tender/SplashBidNoticeAbstractUI.aspx?menuIndex=3&amp;refID=7051933&amp;Result=3","7051933")</f>
        <v>0</v>
      </c>
      <c r="B14558" t="s">
        <v>3354</v>
      </c>
      <c r="C14558" t="s">
        <v>17371</v>
      </c>
      <c r="D14558" t="s">
        <v>17429</v>
      </c>
      <c r="E14558" t="s">
        <v>30018</v>
      </c>
      <c r="F14558" t="s">
        <v>30052</v>
      </c>
      <c r="G14558" t="s">
        <v>30058</v>
      </c>
      <c r="H14558" t="s">
        <v>15498</v>
      </c>
      <c r="I14558" t="s">
        <v>3736</v>
      </c>
      <c r="J14558" t="s">
        <v>38995</v>
      </c>
      <c r="K14558" t="s">
        <v>39293</v>
      </c>
      <c r="L14558" t="s">
        <v>3354</v>
      </c>
      <c r="M14558" t="s">
        <v>42998</v>
      </c>
      <c r="N14558" t="s">
        <v>43166</v>
      </c>
      <c r="O14558" t="s">
        <v>43167</v>
      </c>
      <c r="Q14558">
        <v>4</v>
      </c>
      <c r="R14558" t="s">
        <v>43186</v>
      </c>
      <c r="S14558" t="s">
        <v>44669</v>
      </c>
      <c r="T14558" t="s">
        <v>44734</v>
      </c>
      <c r="U14558" t="s">
        <v>56781</v>
      </c>
      <c r="W14558" t="s">
        <v>42998</v>
      </c>
      <c r="X14558" t="s">
        <v>43187</v>
      </c>
    </row>
    <row r="14559" spans="1:24">
      <c r="A14559">
        <f>HYPERLINK("https://www.philgeps.gov.ph/GEPSNONPILOT/Tender/SplashBidNoticeAbstractUI.aspx?menuIndex=3&amp;refID=7052340&amp;Result=3","7052340")</f>
        <v>0</v>
      </c>
      <c r="B14559" t="s">
        <v>2077</v>
      </c>
      <c r="C14559" t="s">
        <v>17372</v>
      </c>
      <c r="D14559" t="s">
        <v>17435</v>
      </c>
      <c r="E14559" t="s">
        <v>30019</v>
      </c>
      <c r="F14559" t="s">
        <v>30052</v>
      </c>
      <c r="G14559" t="s">
        <v>30058</v>
      </c>
      <c r="H14559" t="s">
        <v>30067</v>
      </c>
      <c r="I14559" t="s">
        <v>3693</v>
      </c>
      <c r="J14559" t="s">
        <v>38996</v>
      </c>
      <c r="K14559" t="s">
        <v>39092</v>
      </c>
      <c r="M14559" t="s">
        <v>42465</v>
      </c>
      <c r="N14559" t="s">
        <v>43166</v>
      </c>
      <c r="O14559" t="s">
        <v>43167</v>
      </c>
      <c r="Q14559">
        <v>21</v>
      </c>
      <c r="R14559" t="s">
        <v>43186</v>
      </c>
      <c r="S14559" t="s">
        <v>44670</v>
      </c>
      <c r="T14559" t="s">
        <v>44777</v>
      </c>
      <c r="U14559" t="s">
        <v>55759</v>
      </c>
      <c r="V14559" t="s">
        <v>58584</v>
      </c>
      <c r="W14559" t="s">
        <v>42465</v>
      </c>
      <c r="X14559" t="s">
        <v>43187</v>
      </c>
    </row>
    <row r="14560" spans="1:24">
      <c r="A14560">
        <f>HYPERLINK("https://www.philgeps.gov.ph/GEPSNONPILOT/Tender/SplashBidNoticeAbstractUI.aspx?menuIndex=3&amp;refID=7051926&amp;Result=3","7051926")</f>
        <v>0</v>
      </c>
      <c r="B14560" t="s">
        <v>2452</v>
      </c>
      <c r="C14560" t="s">
        <v>17373</v>
      </c>
      <c r="D14560" t="s">
        <v>17459</v>
      </c>
      <c r="E14560" t="s">
        <v>30020</v>
      </c>
      <c r="F14560" t="s">
        <v>30052</v>
      </c>
      <c r="G14560" t="s">
        <v>30058</v>
      </c>
      <c r="H14560" t="s">
        <v>15498</v>
      </c>
      <c r="I14560" t="s">
        <v>30096</v>
      </c>
      <c r="J14560" t="s">
        <v>32902</v>
      </c>
      <c r="K14560" t="s">
        <v>39019</v>
      </c>
      <c r="M14560" t="s">
        <v>42377</v>
      </c>
      <c r="N14560" t="s">
        <v>43166</v>
      </c>
      <c r="O14560" t="s">
        <v>43167</v>
      </c>
      <c r="P14560">
        <v>0</v>
      </c>
      <c r="Q14560">
        <v>7</v>
      </c>
      <c r="R14560" t="s">
        <v>43186</v>
      </c>
      <c r="S14560" t="s">
        <v>44047</v>
      </c>
      <c r="T14560" t="s">
        <v>44788</v>
      </c>
      <c r="U14560" t="s">
        <v>52986</v>
      </c>
      <c r="W14560" t="s">
        <v>42377</v>
      </c>
      <c r="X14560" t="s">
        <v>43187</v>
      </c>
    </row>
    <row r="14561" spans="1:24">
      <c r="A14561">
        <f>HYPERLINK("https://www.philgeps.gov.ph/GEPSNONPILOT/Tender/SplashBidNoticeAbstractUI.aspx?menuIndex=3&amp;refID=7051907&amp;Result=3","7051907")</f>
        <v>0</v>
      </c>
      <c r="B14561" t="s">
        <v>2229</v>
      </c>
      <c r="C14561" t="s">
        <v>17374</v>
      </c>
      <c r="D14561" t="s">
        <v>17413</v>
      </c>
      <c r="E14561" t="s">
        <v>30021</v>
      </c>
      <c r="F14561" t="s">
        <v>30052</v>
      </c>
      <c r="G14561" t="s">
        <v>30058</v>
      </c>
      <c r="H14561" t="s">
        <v>30067</v>
      </c>
      <c r="I14561" t="s">
        <v>3693</v>
      </c>
      <c r="J14561" t="s">
        <v>38997</v>
      </c>
      <c r="K14561" t="s">
        <v>39057</v>
      </c>
      <c r="M14561" t="s">
        <v>41701</v>
      </c>
      <c r="N14561" t="s">
        <v>43166</v>
      </c>
      <c r="O14561" t="s">
        <v>43167</v>
      </c>
      <c r="P14561">
        <v>0</v>
      </c>
      <c r="Q14561">
        <v>0</v>
      </c>
      <c r="R14561" t="s">
        <v>43186</v>
      </c>
      <c r="S14561" t="s">
        <v>44047</v>
      </c>
      <c r="T14561" t="s">
        <v>44734</v>
      </c>
      <c r="U14561" t="s">
        <v>55750</v>
      </c>
      <c r="V14561" t="s">
        <v>58585</v>
      </c>
      <c r="W14561" t="s">
        <v>41701</v>
      </c>
      <c r="X14561" t="s">
        <v>43187</v>
      </c>
    </row>
    <row r="14562" spans="1:24">
      <c r="A14562">
        <f>HYPERLINK("https://www.philgeps.gov.ph/GEPSNONPILOT/Tender/SplashBidNoticeAbstractUI.aspx?menuIndex=3&amp;refID=7051896&amp;Result=3","7051896")</f>
        <v>0</v>
      </c>
      <c r="B14562" t="s">
        <v>3347</v>
      </c>
      <c r="C14562" t="s">
        <v>17375</v>
      </c>
      <c r="D14562" t="s">
        <v>17442</v>
      </c>
      <c r="E14562" t="s">
        <v>24126</v>
      </c>
      <c r="F14562" t="s">
        <v>30052</v>
      </c>
      <c r="G14562" t="s">
        <v>30058</v>
      </c>
      <c r="H14562" t="s">
        <v>30067</v>
      </c>
      <c r="I14562" t="s">
        <v>3693</v>
      </c>
      <c r="J14562" t="s">
        <v>38998</v>
      </c>
      <c r="K14562" t="s">
        <v>39248</v>
      </c>
      <c r="M14562" t="s">
        <v>42990</v>
      </c>
      <c r="N14562" t="s">
        <v>43166</v>
      </c>
      <c r="O14562" t="s">
        <v>43167</v>
      </c>
      <c r="P14562">
        <v>0</v>
      </c>
      <c r="Q14562">
        <v>0</v>
      </c>
      <c r="R14562" t="s">
        <v>43186</v>
      </c>
      <c r="S14562" t="s">
        <v>44047</v>
      </c>
      <c r="T14562" t="s">
        <v>44737</v>
      </c>
      <c r="U14562" t="s">
        <v>55721</v>
      </c>
      <c r="W14562" t="s">
        <v>42990</v>
      </c>
      <c r="X14562" t="s">
        <v>43187</v>
      </c>
    </row>
    <row r="14563" spans="1:24">
      <c r="A14563">
        <f>HYPERLINK("https://www.philgeps.gov.ph/GEPSNONPILOT/Tender/SplashBidNoticeAbstractUI.aspx?menuIndex=3&amp;refID=7051888&amp;Result=3","7051888")</f>
        <v>0</v>
      </c>
      <c r="B14563" t="s">
        <v>3336</v>
      </c>
      <c r="C14563" t="s">
        <v>17376</v>
      </c>
      <c r="D14563" t="s">
        <v>17459</v>
      </c>
      <c r="E14563" t="s">
        <v>20804</v>
      </c>
      <c r="F14563" t="s">
        <v>30052</v>
      </c>
      <c r="G14563" t="s">
        <v>30058</v>
      </c>
      <c r="H14563" t="s">
        <v>15498</v>
      </c>
      <c r="I14563" t="s">
        <v>3736</v>
      </c>
      <c r="J14563" t="s">
        <v>38999</v>
      </c>
      <c r="K14563" t="s">
        <v>39025</v>
      </c>
      <c r="M14563" t="s">
        <v>42979</v>
      </c>
      <c r="N14563" t="s">
        <v>43166</v>
      </c>
      <c r="O14563" t="s">
        <v>43167</v>
      </c>
      <c r="P14563">
        <v>0</v>
      </c>
      <c r="Q14563">
        <v>1</v>
      </c>
      <c r="R14563" t="s">
        <v>43186</v>
      </c>
      <c r="S14563" t="s">
        <v>44047</v>
      </c>
      <c r="T14563" t="s">
        <v>44832</v>
      </c>
      <c r="U14563" t="s">
        <v>56782</v>
      </c>
      <c r="W14563" t="s">
        <v>42979</v>
      </c>
      <c r="X14563" t="s">
        <v>43187</v>
      </c>
    </row>
    <row r="14564" spans="1:24">
      <c r="A14564">
        <f>HYPERLINK("https://www.philgeps.gov.ph/GEPSNONPILOT/Tender/SplashBidNoticeAbstractUI.aspx?menuIndex=3&amp;refID=7052369&amp;Result=3","7052369")</f>
        <v>0</v>
      </c>
      <c r="B14564" t="s">
        <v>1606</v>
      </c>
      <c r="C14564" t="s">
        <v>17377</v>
      </c>
      <c r="D14564" t="s">
        <v>17477</v>
      </c>
      <c r="E14564" t="s">
        <v>30022</v>
      </c>
      <c r="F14564" t="s">
        <v>30052</v>
      </c>
      <c r="G14564" t="s">
        <v>30058</v>
      </c>
      <c r="H14564" t="s">
        <v>30067</v>
      </c>
      <c r="I14564" t="s">
        <v>3693</v>
      </c>
      <c r="J14564" t="s">
        <v>33318</v>
      </c>
      <c r="K14564" t="s">
        <v>39069</v>
      </c>
      <c r="M14564" t="s">
        <v>41005</v>
      </c>
      <c r="N14564" t="s">
        <v>43166</v>
      </c>
      <c r="O14564" t="s">
        <v>43167</v>
      </c>
      <c r="Q14564">
        <v>1</v>
      </c>
      <c r="R14564" t="s">
        <v>43186</v>
      </c>
      <c r="S14564" t="s">
        <v>44671</v>
      </c>
      <c r="T14564" t="s">
        <v>44773</v>
      </c>
      <c r="U14564" t="s">
        <v>56783</v>
      </c>
      <c r="V14564" t="s">
        <v>58586</v>
      </c>
      <c r="W14564" t="s">
        <v>41005</v>
      </c>
      <c r="X14564" t="s">
        <v>43187</v>
      </c>
    </row>
    <row r="14565" spans="1:24">
      <c r="A14565">
        <f>HYPERLINK("https://www.philgeps.gov.ph/GEPSNONPILOT/Tender/SplashBidNoticeAbstractUI.aspx?menuIndex=3&amp;refID=7052532&amp;Result=3","7052532")</f>
        <v>0</v>
      </c>
      <c r="B14565" t="s">
        <v>476</v>
      </c>
      <c r="C14565" t="s">
        <v>17378</v>
      </c>
      <c r="D14565" t="s">
        <v>17442</v>
      </c>
      <c r="E14565" t="s">
        <v>30023</v>
      </c>
      <c r="F14565" t="s">
        <v>30052</v>
      </c>
      <c r="G14565" t="s">
        <v>30058</v>
      </c>
      <c r="H14565" t="s">
        <v>30067</v>
      </c>
      <c r="I14565" t="s">
        <v>3693</v>
      </c>
      <c r="J14565" t="s">
        <v>39000</v>
      </c>
      <c r="K14565" t="s">
        <v>39220</v>
      </c>
      <c r="M14565" t="s">
        <v>39777</v>
      </c>
      <c r="N14565" t="s">
        <v>43166</v>
      </c>
      <c r="O14565" t="s">
        <v>43167</v>
      </c>
      <c r="Q14565">
        <v>0</v>
      </c>
      <c r="R14565" t="s">
        <v>43186</v>
      </c>
      <c r="S14565" t="s">
        <v>44672</v>
      </c>
      <c r="T14565" t="s">
        <v>44718</v>
      </c>
      <c r="U14565" t="s">
        <v>56784</v>
      </c>
      <c r="W14565" t="s">
        <v>58714</v>
      </c>
      <c r="X14565" t="s">
        <v>43187</v>
      </c>
    </row>
    <row r="14566" spans="1:24">
      <c r="A14566">
        <f>HYPERLINK("https://www.philgeps.gov.ph/GEPSNONPILOT/Tender/SplashBidNoticeAbstractUI.aspx?menuIndex=3&amp;refID=7051887&amp;Result=3","7051887")</f>
        <v>0</v>
      </c>
      <c r="B14566" t="s">
        <v>3223</v>
      </c>
      <c r="C14566" t="s">
        <v>17379</v>
      </c>
      <c r="D14566" t="s">
        <v>17445</v>
      </c>
      <c r="E14566" t="s">
        <v>30024</v>
      </c>
      <c r="F14566" t="s">
        <v>30052</v>
      </c>
      <c r="G14566" t="s">
        <v>30058</v>
      </c>
      <c r="H14566" t="s">
        <v>15498</v>
      </c>
      <c r="I14566" t="s">
        <v>30144</v>
      </c>
      <c r="J14566" t="s">
        <v>32647</v>
      </c>
      <c r="K14566" t="s">
        <v>39029</v>
      </c>
      <c r="M14566" t="s">
        <v>42848</v>
      </c>
      <c r="N14566" t="s">
        <v>43166</v>
      </c>
      <c r="O14566" t="s">
        <v>43167</v>
      </c>
      <c r="P14566">
        <v>0</v>
      </c>
      <c r="Q14566">
        <v>0</v>
      </c>
      <c r="R14566" t="s">
        <v>43186</v>
      </c>
      <c r="S14566" t="s">
        <v>44047</v>
      </c>
      <c r="T14566" t="s">
        <v>44856</v>
      </c>
      <c r="U14566" t="s">
        <v>56785</v>
      </c>
      <c r="W14566" t="s">
        <v>42848</v>
      </c>
      <c r="X14566" t="s">
        <v>43187</v>
      </c>
    </row>
    <row r="14567" spans="1:24">
      <c r="A14567">
        <f>HYPERLINK("https://www.philgeps.gov.ph/GEPSNONPILOT/Tender/SplashBidNoticeAbstractUI.aspx?menuIndex=3&amp;refID=7052661&amp;Result=3","7052661")</f>
        <v>0</v>
      </c>
      <c r="B14567" t="s">
        <v>2091</v>
      </c>
      <c r="C14567" t="s">
        <v>17380</v>
      </c>
      <c r="D14567" t="s">
        <v>17414</v>
      </c>
      <c r="E14567" t="s">
        <v>30025</v>
      </c>
      <c r="F14567" t="s">
        <v>30052</v>
      </c>
      <c r="G14567" t="s">
        <v>30058</v>
      </c>
      <c r="H14567" t="s">
        <v>15498</v>
      </c>
      <c r="I14567" t="s">
        <v>30074</v>
      </c>
      <c r="J14567" t="s">
        <v>30215</v>
      </c>
      <c r="K14567" t="s">
        <v>39025</v>
      </c>
      <c r="M14567" t="s">
        <v>41553</v>
      </c>
      <c r="N14567" t="s">
        <v>43166</v>
      </c>
      <c r="O14567" t="s">
        <v>43167</v>
      </c>
      <c r="P14567">
        <v>0</v>
      </c>
      <c r="Q14567">
        <v>5</v>
      </c>
      <c r="R14567" t="s">
        <v>43186</v>
      </c>
      <c r="S14567" t="s">
        <v>44047</v>
      </c>
      <c r="T14567" t="s">
        <v>44737</v>
      </c>
      <c r="U14567" t="s">
        <v>56786</v>
      </c>
      <c r="W14567" t="s">
        <v>42702</v>
      </c>
      <c r="X14567" t="s">
        <v>43187</v>
      </c>
    </row>
    <row r="14568" spans="1:24">
      <c r="A14568">
        <f>HYPERLINK("https://www.philgeps.gov.ph/GEPSNONPILOT/Tender/SplashBidNoticeAbstractUI.aspx?menuIndex=3&amp;refID=7052020&amp;Result=3","7052020")</f>
        <v>0</v>
      </c>
      <c r="B14568" t="s">
        <v>1502</v>
      </c>
      <c r="C14568" t="s">
        <v>17381</v>
      </c>
      <c r="D14568" t="s">
        <v>17416</v>
      </c>
      <c r="E14568" t="s">
        <v>30026</v>
      </c>
      <c r="F14568" t="s">
        <v>30052</v>
      </c>
      <c r="G14568" t="s">
        <v>30058</v>
      </c>
      <c r="H14568" t="s">
        <v>15498</v>
      </c>
      <c r="I14568" t="s">
        <v>30088</v>
      </c>
      <c r="J14568" t="s">
        <v>30222</v>
      </c>
      <c r="K14568" t="s">
        <v>39023</v>
      </c>
      <c r="M14568" t="s">
        <v>40886</v>
      </c>
      <c r="N14568" t="s">
        <v>43166</v>
      </c>
      <c r="O14568" t="s">
        <v>43167</v>
      </c>
      <c r="P14568">
        <v>0</v>
      </c>
      <c r="Q14568">
        <v>15</v>
      </c>
      <c r="R14568" t="s">
        <v>43186</v>
      </c>
      <c r="S14568" t="s">
        <v>44047</v>
      </c>
      <c r="T14568" t="s">
        <v>44841</v>
      </c>
      <c r="U14568" t="s">
        <v>56787</v>
      </c>
      <c r="W14568" t="s">
        <v>40886</v>
      </c>
      <c r="X14568" t="s">
        <v>43187</v>
      </c>
    </row>
    <row r="14569" spans="1:24">
      <c r="A14569">
        <f>HYPERLINK("https://www.philgeps.gov.ph/GEPSNONPILOT/Tender/SplashBidNoticeAbstractUI.aspx?menuIndex=3&amp;refID=7051809&amp;Result=3","7051809")</f>
        <v>0</v>
      </c>
      <c r="B14569" t="s">
        <v>3347</v>
      </c>
      <c r="C14569" t="s">
        <v>17382</v>
      </c>
      <c r="D14569" t="s">
        <v>17442</v>
      </c>
      <c r="E14569" t="s">
        <v>21872</v>
      </c>
      <c r="F14569" t="s">
        <v>30052</v>
      </c>
      <c r="G14569" t="s">
        <v>30058</v>
      </c>
      <c r="H14569" t="s">
        <v>30067</v>
      </c>
      <c r="I14569" t="s">
        <v>3693</v>
      </c>
      <c r="J14569" t="s">
        <v>32231</v>
      </c>
      <c r="K14569" t="s">
        <v>39046</v>
      </c>
      <c r="M14569" t="s">
        <v>42990</v>
      </c>
      <c r="N14569" t="s">
        <v>43166</v>
      </c>
      <c r="O14569" t="s">
        <v>43167</v>
      </c>
      <c r="P14569">
        <v>0</v>
      </c>
      <c r="Q14569">
        <v>0</v>
      </c>
      <c r="R14569" t="s">
        <v>43186</v>
      </c>
      <c r="S14569" t="s">
        <v>44047</v>
      </c>
      <c r="T14569" t="s">
        <v>44737</v>
      </c>
      <c r="U14569" t="s">
        <v>56788</v>
      </c>
      <c r="W14569" t="s">
        <v>42990</v>
      </c>
      <c r="X14569" t="s">
        <v>43187</v>
      </c>
    </row>
    <row r="14570" spans="1:24">
      <c r="A14570">
        <f>HYPERLINK("https://www.philgeps.gov.ph/GEPSNONPILOT/Tender/SplashBidNoticeAbstractUI.aspx?menuIndex=3&amp;refID=7039253&amp;Result=3","7039253")</f>
        <v>0</v>
      </c>
      <c r="B14570" t="s">
        <v>2410</v>
      </c>
      <c r="C14570" t="s">
        <v>17383</v>
      </c>
      <c r="D14570" t="s">
        <v>17470</v>
      </c>
      <c r="E14570" t="s">
        <v>30027</v>
      </c>
      <c r="F14570" t="s">
        <v>30052</v>
      </c>
      <c r="G14570" t="s">
        <v>30058</v>
      </c>
      <c r="H14570" t="s">
        <v>30067</v>
      </c>
      <c r="I14570" t="s">
        <v>3693</v>
      </c>
      <c r="J14570" t="s">
        <v>39001</v>
      </c>
      <c r="K14570" t="s">
        <v>39031</v>
      </c>
      <c r="M14570" t="s">
        <v>41907</v>
      </c>
      <c r="N14570" t="s">
        <v>43166</v>
      </c>
      <c r="O14570" t="s">
        <v>43167</v>
      </c>
      <c r="P14570">
        <v>0</v>
      </c>
      <c r="Q14570">
        <v>1</v>
      </c>
      <c r="R14570" t="s">
        <v>43188</v>
      </c>
      <c r="S14570" t="s">
        <v>44213</v>
      </c>
      <c r="T14570" t="s">
        <v>44717</v>
      </c>
      <c r="U14570" t="s">
        <v>56789</v>
      </c>
      <c r="W14570" t="s">
        <v>41907</v>
      </c>
      <c r="X14570" t="s">
        <v>43193</v>
      </c>
    </row>
    <row r="14571" spans="1:24">
      <c r="A14571">
        <f>HYPERLINK("https://www.philgeps.gov.ph/GEPSNONPILOT/Tender/SplashBidNoticeAbstractUI.aspx?menuIndex=3&amp;refID=7051723&amp;Result=3","7051723")</f>
        <v>0</v>
      </c>
      <c r="B14571" t="s">
        <v>2656</v>
      </c>
      <c r="C14571" t="s">
        <v>17384</v>
      </c>
      <c r="D14571" t="s">
        <v>17458</v>
      </c>
      <c r="E14571" t="s">
        <v>30028</v>
      </c>
      <c r="F14571" t="s">
        <v>30052</v>
      </c>
      <c r="G14571" t="s">
        <v>30058</v>
      </c>
      <c r="H14571" t="s">
        <v>30067</v>
      </c>
      <c r="I14571" t="s">
        <v>3693</v>
      </c>
      <c r="J14571" t="s">
        <v>31732</v>
      </c>
      <c r="K14571" t="s">
        <v>39025</v>
      </c>
      <c r="L14571" t="s">
        <v>2656</v>
      </c>
      <c r="M14571" t="s">
        <v>42174</v>
      </c>
      <c r="N14571" t="s">
        <v>43166</v>
      </c>
      <c r="O14571" t="s">
        <v>43167</v>
      </c>
      <c r="Q14571">
        <v>2</v>
      </c>
      <c r="R14571" t="s">
        <v>43186</v>
      </c>
      <c r="S14571" t="s">
        <v>43953</v>
      </c>
      <c r="T14571" t="s">
        <v>44842</v>
      </c>
      <c r="U14571" t="s">
        <v>55638</v>
      </c>
      <c r="V14571" t="s">
        <v>57765</v>
      </c>
      <c r="W14571" t="s">
        <v>42174</v>
      </c>
      <c r="X14571" t="s">
        <v>43187</v>
      </c>
    </row>
    <row r="14572" spans="1:24">
      <c r="A14572">
        <f>HYPERLINK("https://www.philgeps.gov.ph/GEPSNONPILOT/Tender/SplashBidNoticeAbstractUI.aspx?menuIndex=3&amp;refID=7051715&amp;Result=3","7051715")</f>
        <v>0</v>
      </c>
      <c r="B14572" t="s">
        <v>3094</v>
      </c>
      <c r="C14572" t="s">
        <v>5662</v>
      </c>
      <c r="D14572" t="s">
        <v>17459</v>
      </c>
      <c r="E14572" t="s">
        <v>30029</v>
      </c>
      <c r="F14572" t="s">
        <v>30052</v>
      </c>
      <c r="G14572" t="s">
        <v>30058</v>
      </c>
      <c r="H14572" t="s">
        <v>15498</v>
      </c>
      <c r="I14572" t="s">
        <v>4650</v>
      </c>
      <c r="J14572" t="s">
        <v>39002</v>
      </c>
      <c r="K14572" t="s">
        <v>39023</v>
      </c>
      <c r="M14572" t="s">
        <v>42680</v>
      </c>
      <c r="N14572" t="s">
        <v>43166</v>
      </c>
      <c r="O14572" t="s">
        <v>43167</v>
      </c>
      <c r="Q14572">
        <v>15</v>
      </c>
      <c r="R14572" t="s">
        <v>43186</v>
      </c>
      <c r="S14572" t="s">
        <v>44245</v>
      </c>
      <c r="T14572" t="s">
        <v>45214</v>
      </c>
      <c r="U14572" t="s">
        <v>54151</v>
      </c>
      <c r="V14572" t="s">
        <v>58092</v>
      </c>
      <c r="W14572" t="s">
        <v>42680</v>
      </c>
      <c r="X14572" t="s">
        <v>43187</v>
      </c>
    </row>
    <row r="14573" spans="1:24">
      <c r="A14573">
        <f>HYPERLINK("https://www.philgeps.gov.ph/GEPSNONPILOT/Tender/SplashBidNoticeAbstractUI.aspx?menuIndex=3&amp;refID=7051642&amp;Result=3","7051642")</f>
        <v>0</v>
      </c>
      <c r="B14573" t="s">
        <v>2656</v>
      </c>
      <c r="C14573" t="s">
        <v>17385</v>
      </c>
      <c r="D14573" t="s">
        <v>17458</v>
      </c>
      <c r="E14573" t="s">
        <v>30030</v>
      </c>
      <c r="F14573" t="s">
        <v>30052</v>
      </c>
      <c r="G14573" t="s">
        <v>30058</v>
      </c>
      <c r="H14573" t="s">
        <v>30067</v>
      </c>
      <c r="I14573" t="s">
        <v>3693</v>
      </c>
      <c r="J14573" t="s">
        <v>35629</v>
      </c>
      <c r="K14573" t="s">
        <v>39025</v>
      </c>
      <c r="L14573" t="s">
        <v>2656</v>
      </c>
      <c r="M14573" t="s">
        <v>42174</v>
      </c>
      <c r="N14573" t="s">
        <v>43166</v>
      </c>
      <c r="O14573" t="s">
        <v>43167</v>
      </c>
      <c r="Q14573">
        <v>1</v>
      </c>
      <c r="R14573" t="s">
        <v>43186</v>
      </c>
      <c r="S14573" t="s">
        <v>44042</v>
      </c>
      <c r="T14573" t="s">
        <v>44842</v>
      </c>
      <c r="U14573" t="s">
        <v>55638</v>
      </c>
      <c r="V14573" t="s">
        <v>57765</v>
      </c>
      <c r="W14573" t="s">
        <v>42174</v>
      </c>
      <c r="X14573" t="s">
        <v>43187</v>
      </c>
    </row>
    <row r="14574" spans="1:24">
      <c r="A14574">
        <f>HYPERLINK("https://www.philgeps.gov.ph/GEPSNONPILOT/Tender/SplashBidNoticeAbstractUI.aspx?menuIndex=3&amp;refID=7051886&amp;Result=3","7051886")</f>
        <v>0</v>
      </c>
      <c r="B14574" t="s">
        <v>1804</v>
      </c>
      <c r="C14574" t="s">
        <v>17386</v>
      </c>
      <c r="E14574" t="s">
        <v>30031</v>
      </c>
      <c r="F14574" t="s">
        <v>30052</v>
      </c>
      <c r="G14574" t="s">
        <v>30058</v>
      </c>
      <c r="H14574" t="s">
        <v>15498</v>
      </c>
      <c r="I14574" t="s">
        <v>30091</v>
      </c>
      <c r="J14574" t="s">
        <v>39003</v>
      </c>
      <c r="K14574" t="s">
        <v>39025</v>
      </c>
      <c r="M14574" t="s">
        <v>41227</v>
      </c>
      <c r="N14574" t="s">
        <v>43166</v>
      </c>
      <c r="O14574" t="s">
        <v>43167</v>
      </c>
      <c r="P14574">
        <v>0</v>
      </c>
      <c r="Q14574">
        <v>2</v>
      </c>
      <c r="R14574" t="s">
        <v>43186</v>
      </c>
      <c r="S14574" t="s">
        <v>44047</v>
      </c>
      <c r="T14574" t="s">
        <v>44753</v>
      </c>
      <c r="U14574" t="s">
        <v>55711</v>
      </c>
      <c r="W14574" t="s">
        <v>41227</v>
      </c>
      <c r="X14574" t="s">
        <v>43187</v>
      </c>
    </row>
    <row r="14575" spans="1:24">
      <c r="A14575">
        <f>HYPERLINK("https://www.philgeps.gov.ph/GEPSNONPILOT/Tender/SplashBidNoticeAbstractUI.aspx?menuIndex=3&amp;refID=7051893&amp;Result=3","7051893")</f>
        <v>0</v>
      </c>
      <c r="B14575" t="s">
        <v>3452</v>
      </c>
      <c r="C14575" t="s">
        <v>17387</v>
      </c>
      <c r="D14575" t="s">
        <v>17459</v>
      </c>
      <c r="E14575" t="s">
        <v>30032</v>
      </c>
      <c r="F14575" t="s">
        <v>30052</v>
      </c>
      <c r="G14575" t="s">
        <v>30058</v>
      </c>
      <c r="H14575" t="s">
        <v>15498</v>
      </c>
      <c r="I14575" t="s">
        <v>4650</v>
      </c>
      <c r="J14575" t="s">
        <v>30594</v>
      </c>
      <c r="K14575" t="s">
        <v>39019</v>
      </c>
      <c r="M14575" t="s">
        <v>43160</v>
      </c>
      <c r="N14575" t="s">
        <v>43166</v>
      </c>
      <c r="O14575" t="s">
        <v>43167</v>
      </c>
      <c r="P14575">
        <v>0</v>
      </c>
      <c r="Q14575">
        <v>6</v>
      </c>
      <c r="R14575" t="s">
        <v>43186</v>
      </c>
      <c r="S14575" t="s">
        <v>44047</v>
      </c>
      <c r="T14575" t="s">
        <v>45047</v>
      </c>
      <c r="U14575" t="s">
        <v>56790</v>
      </c>
      <c r="W14575" t="s">
        <v>43160</v>
      </c>
      <c r="X14575" t="s">
        <v>43187</v>
      </c>
    </row>
    <row r="14576" spans="1:24">
      <c r="A14576">
        <f>HYPERLINK("https://www.philgeps.gov.ph/GEPSNONPILOT/Tender/SplashBidNoticeAbstractUI.aspx?menuIndex=3&amp;refID=7051637&amp;Result=3","7051637")</f>
        <v>0</v>
      </c>
      <c r="B14576" t="s">
        <v>2320</v>
      </c>
      <c r="C14576" t="s">
        <v>17388</v>
      </c>
      <c r="D14576" t="s">
        <v>17462</v>
      </c>
      <c r="E14576" t="s">
        <v>30033</v>
      </c>
      <c r="F14576" t="s">
        <v>30052</v>
      </c>
      <c r="G14576" t="s">
        <v>30058</v>
      </c>
      <c r="H14576" t="s">
        <v>30067</v>
      </c>
      <c r="I14576" t="s">
        <v>3693</v>
      </c>
      <c r="J14576" t="s">
        <v>30239</v>
      </c>
      <c r="K14576" t="s">
        <v>39026</v>
      </c>
      <c r="M14576" t="s">
        <v>42842</v>
      </c>
      <c r="N14576" t="s">
        <v>43166</v>
      </c>
      <c r="O14576" t="s">
        <v>43167</v>
      </c>
      <c r="P14576">
        <v>0</v>
      </c>
      <c r="Q14576">
        <v>26</v>
      </c>
      <c r="R14576" t="s">
        <v>43186</v>
      </c>
      <c r="S14576" t="s">
        <v>44047</v>
      </c>
      <c r="T14576" t="s">
        <v>44870</v>
      </c>
      <c r="U14576" t="s">
        <v>51193</v>
      </c>
      <c r="V14576" t="s">
        <v>58173</v>
      </c>
      <c r="W14576" t="s">
        <v>58688</v>
      </c>
      <c r="X14576" t="s">
        <v>43187</v>
      </c>
    </row>
    <row r="14577" spans="1:24">
      <c r="A14577">
        <f>HYPERLINK("https://www.philgeps.gov.ph/GEPSNONPILOT/Tender/SplashBidNoticeAbstractUI.aspx?menuIndex=3&amp;refID=7051703&amp;Result=3","7051703")</f>
        <v>0</v>
      </c>
      <c r="B14577" t="s">
        <v>3347</v>
      </c>
      <c r="C14577" t="s">
        <v>17389</v>
      </c>
      <c r="D14577" t="s">
        <v>17442</v>
      </c>
      <c r="E14577" t="s">
        <v>23363</v>
      </c>
      <c r="F14577" t="s">
        <v>30052</v>
      </c>
      <c r="G14577" t="s">
        <v>30058</v>
      </c>
      <c r="H14577" t="s">
        <v>30067</v>
      </c>
      <c r="I14577" t="s">
        <v>3693</v>
      </c>
      <c r="J14577" t="s">
        <v>30281</v>
      </c>
      <c r="K14577" t="s">
        <v>39282</v>
      </c>
      <c r="M14577" t="s">
        <v>42990</v>
      </c>
      <c r="N14577" t="s">
        <v>43166</v>
      </c>
      <c r="O14577" t="s">
        <v>43167</v>
      </c>
      <c r="P14577">
        <v>0</v>
      </c>
      <c r="Q14577">
        <v>0</v>
      </c>
      <c r="R14577" t="s">
        <v>43186</v>
      </c>
      <c r="S14577" t="s">
        <v>44047</v>
      </c>
      <c r="T14577" t="s">
        <v>44737</v>
      </c>
      <c r="U14577" t="s">
        <v>56791</v>
      </c>
      <c r="W14577" t="s">
        <v>42990</v>
      </c>
      <c r="X14577" t="s">
        <v>43187</v>
      </c>
    </row>
    <row r="14578" spans="1:24">
      <c r="A14578">
        <f>HYPERLINK("https://www.philgeps.gov.ph/GEPSNONPILOT/Tender/SplashBidNoticeAbstractUI.aspx?menuIndex=3&amp;refID=7051638&amp;Result=3","7051638")</f>
        <v>0</v>
      </c>
      <c r="B14578" t="s">
        <v>2871</v>
      </c>
      <c r="C14578" t="s">
        <v>17390</v>
      </c>
      <c r="D14578" t="s">
        <v>17475</v>
      </c>
      <c r="E14578" t="s">
        <v>11486</v>
      </c>
      <c r="F14578" t="s">
        <v>30052</v>
      </c>
      <c r="G14578" t="s">
        <v>30058</v>
      </c>
      <c r="H14578" t="s">
        <v>15498</v>
      </c>
      <c r="I14578" t="s">
        <v>3736</v>
      </c>
      <c r="J14578" t="s">
        <v>39004</v>
      </c>
      <c r="K14578" t="s">
        <v>39019</v>
      </c>
      <c r="M14578" t="s">
        <v>42419</v>
      </c>
      <c r="N14578" t="s">
        <v>43166</v>
      </c>
      <c r="O14578" t="s">
        <v>43167</v>
      </c>
      <c r="P14578">
        <v>0</v>
      </c>
      <c r="Q14578">
        <v>4</v>
      </c>
      <c r="R14578" t="s">
        <v>43186</v>
      </c>
      <c r="S14578" t="s">
        <v>44047</v>
      </c>
      <c r="T14578" t="s">
        <v>44856</v>
      </c>
      <c r="U14578" t="s">
        <v>56792</v>
      </c>
      <c r="W14578" t="s">
        <v>42419</v>
      </c>
      <c r="X14578" t="s">
        <v>43187</v>
      </c>
    </row>
    <row r="14579" spans="1:24">
      <c r="A14579">
        <f>HYPERLINK("https://www.philgeps.gov.ph/GEPSNONPILOT/Tender/SplashBidNoticeAbstractUI.aspx?menuIndex=3&amp;refID=7051620&amp;Result=3","7051620")</f>
        <v>0</v>
      </c>
      <c r="B14579" t="s">
        <v>2656</v>
      </c>
      <c r="C14579" t="s">
        <v>17391</v>
      </c>
      <c r="D14579" t="s">
        <v>17458</v>
      </c>
      <c r="E14579" t="s">
        <v>30034</v>
      </c>
      <c r="F14579" t="s">
        <v>30052</v>
      </c>
      <c r="G14579" t="s">
        <v>30058</v>
      </c>
      <c r="H14579" t="s">
        <v>30067</v>
      </c>
      <c r="I14579" t="s">
        <v>3693</v>
      </c>
      <c r="J14579" t="s">
        <v>30823</v>
      </c>
      <c r="K14579" t="s">
        <v>39025</v>
      </c>
      <c r="L14579" t="s">
        <v>2656</v>
      </c>
      <c r="M14579" t="s">
        <v>42174</v>
      </c>
      <c r="N14579" t="s">
        <v>43166</v>
      </c>
      <c r="O14579" t="s">
        <v>43167</v>
      </c>
      <c r="Q14579">
        <v>0</v>
      </c>
      <c r="R14579" t="s">
        <v>43186</v>
      </c>
      <c r="S14579" t="s">
        <v>44673</v>
      </c>
      <c r="T14579" t="s">
        <v>44842</v>
      </c>
      <c r="U14579" t="s">
        <v>55638</v>
      </c>
      <c r="V14579" t="s">
        <v>57765</v>
      </c>
      <c r="W14579" t="s">
        <v>42174</v>
      </c>
      <c r="X14579" t="s">
        <v>43187</v>
      </c>
    </row>
    <row r="14580" spans="1:24">
      <c r="A14580">
        <f>HYPERLINK("https://www.philgeps.gov.ph/GEPSNONPILOT/Tender/SplashBidNoticeAbstractUI.aspx?menuIndex=3&amp;refID=7051602&amp;Result=3","7051602")</f>
        <v>0</v>
      </c>
      <c r="B14580" t="s">
        <v>3317</v>
      </c>
      <c r="C14580" t="s">
        <v>17392</v>
      </c>
      <c r="D14580" t="s">
        <v>17476</v>
      </c>
      <c r="E14580" t="s">
        <v>30035</v>
      </c>
      <c r="F14580" t="s">
        <v>30052</v>
      </c>
      <c r="G14580" t="s">
        <v>30058</v>
      </c>
      <c r="H14580" t="s">
        <v>30067</v>
      </c>
      <c r="I14580" t="s">
        <v>3693</v>
      </c>
      <c r="J14580" t="s">
        <v>30397</v>
      </c>
      <c r="K14580" t="s">
        <v>39046</v>
      </c>
      <c r="M14580" t="s">
        <v>42958</v>
      </c>
      <c r="N14580" t="s">
        <v>43166</v>
      </c>
      <c r="O14580" t="s">
        <v>43167</v>
      </c>
      <c r="P14580">
        <v>0</v>
      </c>
      <c r="Q14580">
        <v>0</v>
      </c>
      <c r="R14580" t="s">
        <v>43186</v>
      </c>
      <c r="S14580" t="s">
        <v>44047</v>
      </c>
      <c r="T14580" t="s">
        <v>45111</v>
      </c>
      <c r="U14580" t="s">
        <v>56793</v>
      </c>
      <c r="V14580" t="s">
        <v>58587</v>
      </c>
      <c r="W14580" t="s">
        <v>42958</v>
      </c>
      <c r="X14580" t="s">
        <v>43187</v>
      </c>
    </row>
    <row r="14581" spans="1:24">
      <c r="A14581">
        <f>HYPERLINK("https://www.philgeps.gov.ph/GEPSNONPILOT/Tender/SplashBidNoticeAbstractUI.aspx?menuIndex=3&amp;refID=7051578&amp;Result=3","7051578")</f>
        <v>0</v>
      </c>
      <c r="B14581" t="s">
        <v>1432</v>
      </c>
      <c r="C14581" t="s">
        <v>17393</v>
      </c>
      <c r="D14581" t="s">
        <v>17417</v>
      </c>
      <c r="E14581" t="s">
        <v>30036</v>
      </c>
      <c r="F14581" t="s">
        <v>30052</v>
      </c>
      <c r="G14581" t="s">
        <v>30058</v>
      </c>
      <c r="H14581" t="s">
        <v>30067</v>
      </c>
      <c r="I14581" t="s">
        <v>3693</v>
      </c>
      <c r="J14581" t="s">
        <v>30216</v>
      </c>
      <c r="K14581" t="s">
        <v>39037</v>
      </c>
      <c r="M14581" t="s">
        <v>40810</v>
      </c>
      <c r="N14581" t="s">
        <v>43166</v>
      </c>
      <c r="O14581" t="s">
        <v>43167</v>
      </c>
      <c r="P14581">
        <v>0</v>
      </c>
      <c r="Q14581">
        <v>4</v>
      </c>
      <c r="R14581" t="s">
        <v>43186</v>
      </c>
      <c r="S14581" t="s">
        <v>44047</v>
      </c>
      <c r="T14581" t="s">
        <v>44888</v>
      </c>
      <c r="U14581" t="s">
        <v>56794</v>
      </c>
      <c r="W14581" t="s">
        <v>40810</v>
      </c>
      <c r="X14581" t="s">
        <v>43187</v>
      </c>
    </row>
    <row r="14582" spans="1:24">
      <c r="A14582">
        <f>HYPERLINK("https://www.philgeps.gov.ph/GEPSNONPILOT/Tender/SplashBidNoticeAbstractUI.aspx?menuIndex=3&amp;refID=7051625&amp;Result=3","7051625")</f>
        <v>0</v>
      </c>
      <c r="B14582" t="s">
        <v>2470</v>
      </c>
      <c r="C14582" t="s">
        <v>17394</v>
      </c>
      <c r="D14582" t="s">
        <v>17419</v>
      </c>
      <c r="E14582" t="s">
        <v>30037</v>
      </c>
      <c r="F14582" t="s">
        <v>30052</v>
      </c>
      <c r="G14582" t="s">
        <v>30058</v>
      </c>
      <c r="H14582" t="s">
        <v>15498</v>
      </c>
      <c r="I14582" t="s">
        <v>3736</v>
      </c>
      <c r="J14582" t="s">
        <v>39005</v>
      </c>
      <c r="K14582" t="s">
        <v>39017</v>
      </c>
      <c r="M14582" t="s">
        <v>41970</v>
      </c>
      <c r="N14582" t="s">
        <v>43166</v>
      </c>
      <c r="O14582" t="s">
        <v>43167</v>
      </c>
      <c r="P14582">
        <v>0</v>
      </c>
      <c r="Q14582">
        <v>0</v>
      </c>
      <c r="R14582" t="s">
        <v>43186</v>
      </c>
      <c r="S14582" t="s">
        <v>44047</v>
      </c>
      <c r="T14582" t="s">
        <v>44969</v>
      </c>
      <c r="U14582" t="s">
        <v>56795</v>
      </c>
      <c r="W14582" t="s">
        <v>41970</v>
      </c>
      <c r="X14582" t="s">
        <v>43187</v>
      </c>
    </row>
    <row r="14583" spans="1:24">
      <c r="A14583">
        <f>HYPERLINK("https://www.philgeps.gov.ph/GEPSNONPILOT/Tender/SplashBidNoticeAbstractUI.aspx?menuIndex=3&amp;refID=7075141&amp;Result=3","7075141")</f>
        <v>0</v>
      </c>
      <c r="B14583" t="s">
        <v>1468</v>
      </c>
      <c r="C14583" t="s">
        <v>17395</v>
      </c>
      <c r="D14583" t="s">
        <v>17423</v>
      </c>
      <c r="E14583" t="s">
        <v>30038</v>
      </c>
      <c r="F14583" t="s">
        <v>30052</v>
      </c>
      <c r="G14583" t="s">
        <v>30058</v>
      </c>
      <c r="H14583" t="s">
        <v>30067</v>
      </c>
      <c r="I14583" t="s">
        <v>3693</v>
      </c>
      <c r="J14583" t="s">
        <v>39006</v>
      </c>
      <c r="K14583" t="s">
        <v>39022</v>
      </c>
      <c r="M14583" t="s">
        <v>40850</v>
      </c>
      <c r="N14583" t="s">
        <v>43166</v>
      </c>
      <c r="O14583" t="s">
        <v>43167</v>
      </c>
      <c r="P14583">
        <v>0</v>
      </c>
      <c r="Q14583">
        <v>0</v>
      </c>
      <c r="R14583" t="s">
        <v>43174</v>
      </c>
      <c r="S14583" t="s">
        <v>43396</v>
      </c>
      <c r="T14583" t="s">
        <v>44815</v>
      </c>
      <c r="U14583" t="s">
        <v>56796</v>
      </c>
      <c r="V14583" t="s">
        <v>57286</v>
      </c>
      <c r="W14583" t="s">
        <v>40850</v>
      </c>
      <c r="X14583" t="s">
        <v>43175</v>
      </c>
    </row>
    <row r="14584" spans="1:24">
      <c r="A14584">
        <f>HYPERLINK("https://www.philgeps.gov.ph/GEPSNONPILOT/Tender/SplashBidNoticeAbstractUI.aspx?menuIndex=3&amp;refID=7075140&amp;Result=3","7075140")</f>
        <v>0</v>
      </c>
      <c r="B14584" t="s">
        <v>2476</v>
      </c>
      <c r="C14584" t="s">
        <v>17396</v>
      </c>
      <c r="D14584" t="s">
        <v>17472</v>
      </c>
      <c r="E14584" t="s">
        <v>24450</v>
      </c>
      <c r="F14584" t="s">
        <v>30052</v>
      </c>
      <c r="G14584" t="s">
        <v>30058</v>
      </c>
      <c r="H14584" t="s">
        <v>15498</v>
      </c>
      <c r="I14584" t="s">
        <v>3736</v>
      </c>
      <c r="J14584" t="s">
        <v>39007</v>
      </c>
      <c r="K14584" t="s">
        <v>39019</v>
      </c>
      <c r="M14584" t="s">
        <v>41976</v>
      </c>
      <c r="N14584" t="s">
        <v>43166</v>
      </c>
      <c r="O14584" t="s">
        <v>43167</v>
      </c>
      <c r="P14584">
        <v>0</v>
      </c>
      <c r="Q14584">
        <v>3</v>
      </c>
      <c r="R14584" t="s">
        <v>43174</v>
      </c>
      <c r="S14584" t="s">
        <v>43396</v>
      </c>
      <c r="T14584" t="s">
        <v>44711</v>
      </c>
      <c r="U14584" t="s">
        <v>56797</v>
      </c>
      <c r="W14584" t="s">
        <v>41976</v>
      </c>
      <c r="X14584" t="s">
        <v>43175</v>
      </c>
    </row>
    <row r="14585" spans="1:24">
      <c r="A14585">
        <f>HYPERLINK("https://www.philgeps.gov.ph/GEPSNONPILOT/Tender/SplashBidNoticeAbstractUI.aspx?menuIndex=3&amp;refID=7051816&amp;Result=3","7051816")</f>
        <v>0</v>
      </c>
      <c r="B14585" t="s">
        <v>2656</v>
      </c>
      <c r="C14585" t="s">
        <v>17397</v>
      </c>
      <c r="D14585" t="s">
        <v>17458</v>
      </c>
      <c r="E14585" t="s">
        <v>30039</v>
      </c>
      <c r="F14585" t="s">
        <v>30052</v>
      </c>
      <c r="G14585" t="s">
        <v>30058</v>
      </c>
      <c r="H14585" t="s">
        <v>30067</v>
      </c>
      <c r="I14585" t="s">
        <v>3693</v>
      </c>
      <c r="J14585" t="s">
        <v>30222</v>
      </c>
      <c r="K14585" t="s">
        <v>39025</v>
      </c>
      <c r="L14585" t="s">
        <v>2656</v>
      </c>
      <c r="M14585" t="s">
        <v>42174</v>
      </c>
      <c r="N14585" t="s">
        <v>43166</v>
      </c>
      <c r="O14585" t="s">
        <v>43167</v>
      </c>
      <c r="P14585">
        <v>0</v>
      </c>
      <c r="Q14585">
        <v>0</v>
      </c>
      <c r="R14585" t="s">
        <v>43186</v>
      </c>
      <c r="S14585" t="s">
        <v>44047</v>
      </c>
      <c r="T14585" t="s">
        <v>44698</v>
      </c>
      <c r="U14585" t="s">
        <v>55638</v>
      </c>
      <c r="V14585" t="s">
        <v>57765</v>
      </c>
      <c r="W14585" t="s">
        <v>42174</v>
      </c>
      <c r="X14585" t="s">
        <v>43187</v>
      </c>
    </row>
    <row r="14586" spans="1:24">
      <c r="A14586">
        <f>HYPERLINK("https://www.philgeps.gov.ph/GEPSNONPILOT/Tender/SplashBidNoticeAbstractUI.aspx?menuIndex=3&amp;refID=7075135&amp;Result=3","7075135")</f>
        <v>0</v>
      </c>
      <c r="B14586" t="s">
        <v>259</v>
      </c>
      <c r="C14586" t="s">
        <v>17398</v>
      </c>
      <c r="D14586" t="s">
        <v>17464</v>
      </c>
      <c r="E14586" t="s">
        <v>24659</v>
      </c>
      <c r="F14586" t="s">
        <v>30052</v>
      </c>
      <c r="G14586" t="s">
        <v>30058</v>
      </c>
      <c r="H14586" t="s">
        <v>30067</v>
      </c>
      <c r="I14586" t="s">
        <v>3693</v>
      </c>
      <c r="J14586" t="s">
        <v>30683</v>
      </c>
      <c r="K14586" t="s">
        <v>39029</v>
      </c>
      <c r="M14586" t="s">
        <v>39550</v>
      </c>
      <c r="N14586" t="s">
        <v>43166</v>
      </c>
      <c r="O14586" t="s">
        <v>43167</v>
      </c>
      <c r="P14586">
        <v>0</v>
      </c>
      <c r="Q14586">
        <v>0</v>
      </c>
      <c r="R14586" t="s">
        <v>43174</v>
      </c>
      <c r="S14586" t="s">
        <v>43396</v>
      </c>
      <c r="T14586" t="s">
        <v>44718</v>
      </c>
      <c r="U14586" t="s">
        <v>56798</v>
      </c>
      <c r="W14586" t="s">
        <v>39550</v>
      </c>
      <c r="X14586" t="s">
        <v>43175</v>
      </c>
    </row>
    <row r="14587" spans="1:24">
      <c r="A14587">
        <f>HYPERLINK("https://www.philgeps.gov.ph/GEPSNONPILOT/Tender/SplashBidNoticeAbstractUI.aspx?menuIndex=3&amp;refID=7075134&amp;Result=3","7075134")</f>
        <v>0</v>
      </c>
      <c r="B14587" t="s">
        <v>1300</v>
      </c>
      <c r="C14587" t="s">
        <v>17399</v>
      </c>
      <c r="D14587" t="s">
        <v>17434</v>
      </c>
      <c r="E14587" t="s">
        <v>30040</v>
      </c>
      <c r="F14587" t="s">
        <v>30052</v>
      </c>
      <c r="G14587" t="s">
        <v>30058</v>
      </c>
      <c r="H14587" t="s">
        <v>30069</v>
      </c>
      <c r="I14587" t="s">
        <v>30075</v>
      </c>
      <c r="J14587" t="s">
        <v>39008</v>
      </c>
      <c r="K14587" t="s">
        <v>39031</v>
      </c>
      <c r="M14587" t="s">
        <v>40666</v>
      </c>
      <c r="N14587" t="s">
        <v>43166</v>
      </c>
      <c r="O14587" t="s">
        <v>43167</v>
      </c>
      <c r="P14587">
        <v>0</v>
      </c>
      <c r="Q14587">
        <v>5</v>
      </c>
      <c r="R14587" t="s">
        <v>43174</v>
      </c>
      <c r="S14587" t="s">
        <v>43396</v>
      </c>
      <c r="T14587" t="s">
        <v>44796</v>
      </c>
      <c r="U14587" t="s">
        <v>48064</v>
      </c>
      <c r="V14587" t="s">
        <v>57244</v>
      </c>
      <c r="W14587" t="s">
        <v>40666</v>
      </c>
      <c r="X14587" t="s">
        <v>43175</v>
      </c>
    </row>
    <row r="14588" spans="1:24">
      <c r="A14588">
        <f>HYPERLINK("https://www.philgeps.gov.ph/GEPSNONPILOT/Tender/SplashBidNoticeAbstractUI.aspx?menuIndex=3&amp;refID=7075128&amp;Result=3","7075128")</f>
        <v>0</v>
      </c>
      <c r="B14588" t="s">
        <v>1017</v>
      </c>
      <c r="C14588" t="s">
        <v>17400</v>
      </c>
      <c r="D14588" t="s">
        <v>17444</v>
      </c>
      <c r="E14588" t="s">
        <v>30041</v>
      </c>
      <c r="F14588" t="s">
        <v>30052</v>
      </c>
      <c r="G14588" t="s">
        <v>30060</v>
      </c>
      <c r="H14588" t="s">
        <v>15498</v>
      </c>
      <c r="I14588" t="s">
        <v>30073</v>
      </c>
      <c r="J14588" t="s">
        <v>39009</v>
      </c>
      <c r="K14588" t="s">
        <v>39031</v>
      </c>
      <c r="M14588" t="s">
        <v>40346</v>
      </c>
      <c r="N14588" t="s">
        <v>43166</v>
      </c>
      <c r="O14588" t="s">
        <v>43167</v>
      </c>
      <c r="P14588">
        <v>0</v>
      </c>
      <c r="Q14588">
        <v>0</v>
      </c>
      <c r="R14588" t="s">
        <v>43174</v>
      </c>
      <c r="S14588" t="s">
        <v>43396</v>
      </c>
      <c r="T14588" t="s">
        <v>44685</v>
      </c>
      <c r="U14588" t="s">
        <v>56799</v>
      </c>
      <c r="W14588" t="s">
        <v>40346</v>
      </c>
      <c r="X14588" t="s">
        <v>43175</v>
      </c>
    </row>
    <row r="14589" spans="1:24">
      <c r="A14589">
        <f>HYPERLINK("https://www.philgeps.gov.ph/GEPSNONPILOT/Tender/SplashBidNoticeAbstractUI.aspx?menuIndex=3&amp;refID=7075136&amp;Result=3","7075136")</f>
        <v>0</v>
      </c>
      <c r="B14589" t="s">
        <v>820</v>
      </c>
      <c r="C14589" t="s">
        <v>17401</v>
      </c>
      <c r="E14589" t="s">
        <v>30042</v>
      </c>
      <c r="F14589" t="s">
        <v>30052</v>
      </c>
      <c r="G14589" t="s">
        <v>30059</v>
      </c>
      <c r="H14589" t="s">
        <v>15498</v>
      </c>
      <c r="I14589" t="s">
        <v>30084</v>
      </c>
      <c r="J14589" t="s">
        <v>30256</v>
      </c>
      <c r="K14589" t="s">
        <v>39034</v>
      </c>
      <c r="M14589" t="s">
        <v>40137</v>
      </c>
      <c r="N14589" t="s">
        <v>43166</v>
      </c>
      <c r="O14589" t="s">
        <v>43167</v>
      </c>
      <c r="P14589">
        <v>0</v>
      </c>
      <c r="Q14589">
        <v>3</v>
      </c>
      <c r="R14589" t="s">
        <v>43174</v>
      </c>
      <c r="S14589" t="s">
        <v>43396</v>
      </c>
      <c r="T14589" t="s">
        <v>44737</v>
      </c>
      <c r="U14589" t="s">
        <v>56800</v>
      </c>
      <c r="V14589" t="s">
        <v>57736</v>
      </c>
      <c r="W14589" t="s">
        <v>40137</v>
      </c>
      <c r="X14589" t="s">
        <v>43175</v>
      </c>
    </row>
    <row r="14590" spans="1:24">
      <c r="A14590">
        <f>HYPERLINK("https://www.philgeps.gov.ph/GEPSNONPILOT/Tender/SplashBidNoticeAbstractUI.aspx?menuIndex=3&amp;refID=7051817&amp;Result=3","7051817")</f>
        <v>0</v>
      </c>
      <c r="B14590" t="s">
        <v>3453</v>
      </c>
      <c r="C14590" t="s">
        <v>17402</v>
      </c>
      <c r="D14590" t="s">
        <v>17459</v>
      </c>
      <c r="E14590" t="s">
        <v>30043</v>
      </c>
      <c r="F14590" t="s">
        <v>30052</v>
      </c>
      <c r="G14590" t="s">
        <v>30058</v>
      </c>
      <c r="H14590" t="s">
        <v>15498</v>
      </c>
      <c r="I14590" t="s">
        <v>3606</v>
      </c>
      <c r="J14590" t="s">
        <v>39010</v>
      </c>
      <c r="K14590" t="s">
        <v>39029</v>
      </c>
      <c r="M14590" t="s">
        <v>43161</v>
      </c>
      <c r="N14590" t="s">
        <v>43166</v>
      </c>
      <c r="O14590" t="s">
        <v>43167</v>
      </c>
      <c r="P14590">
        <v>0</v>
      </c>
      <c r="Q14590">
        <v>4</v>
      </c>
      <c r="R14590" t="s">
        <v>43186</v>
      </c>
      <c r="S14590" t="s">
        <v>44047</v>
      </c>
      <c r="T14590" t="s">
        <v>44773</v>
      </c>
      <c r="U14590" t="s">
        <v>56801</v>
      </c>
      <c r="W14590" t="s">
        <v>43161</v>
      </c>
      <c r="X14590" t="s">
        <v>43187</v>
      </c>
    </row>
    <row r="14591" spans="1:24">
      <c r="A14591">
        <f>HYPERLINK("https://www.philgeps.gov.ph/GEPSNONPILOT/Tender/SplashBidNoticeAbstractUI.aspx?menuIndex=3&amp;refID=7075090&amp;Result=3","7075090")</f>
        <v>0</v>
      </c>
      <c r="B14591" t="s">
        <v>1530</v>
      </c>
      <c r="C14591" t="s">
        <v>17403</v>
      </c>
      <c r="D14591" t="s">
        <v>17415</v>
      </c>
      <c r="E14591" t="s">
        <v>30044</v>
      </c>
      <c r="F14591" t="s">
        <v>30052</v>
      </c>
      <c r="G14591" t="s">
        <v>30058</v>
      </c>
      <c r="H14591" t="s">
        <v>15498</v>
      </c>
      <c r="I14591" t="s">
        <v>12885</v>
      </c>
      <c r="J14591" t="s">
        <v>30247</v>
      </c>
      <c r="K14591" t="s">
        <v>39067</v>
      </c>
      <c r="M14591" t="s">
        <v>43162</v>
      </c>
      <c r="N14591" t="s">
        <v>43166</v>
      </c>
      <c r="O14591" t="s">
        <v>43167</v>
      </c>
      <c r="P14591">
        <v>0</v>
      </c>
      <c r="Q14591">
        <v>5</v>
      </c>
      <c r="R14591" t="s">
        <v>43174</v>
      </c>
      <c r="S14591" t="s">
        <v>43396</v>
      </c>
      <c r="T14591" t="s">
        <v>44772</v>
      </c>
      <c r="U14591" t="s">
        <v>56802</v>
      </c>
      <c r="W14591" t="s">
        <v>43162</v>
      </c>
      <c r="X14591" t="s">
        <v>43175</v>
      </c>
    </row>
    <row r="14592" spans="1:24">
      <c r="A14592">
        <f>HYPERLINK("https://www.philgeps.gov.ph/GEPSNONPILOT/Tender/SplashBidNoticeAbstractUI.aspx?menuIndex=3&amp;refID=7075133&amp;Result=3","7075133")</f>
        <v>0</v>
      </c>
      <c r="B14592" t="s">
        <v>658</v>
      </c>
      <c r="C14592" t="s">
        <v>17404</v>
      </c>
      <c r="D14592" t="s">
        <v>17434</v>
      </c>
      <c r="E14592" t="s">
        <v>30045</v>
      </c>
      <c r="F14592" t="s">
        <v>30052</v>
      </c>
      <c r="G14592" t="s">
        <v>30058</v>
      </c>
      <c r="H14592" t="s">
        <v>15498</v>
      </c>
      <c r="I14592" t="s">
        <v>30079</v>
      </c>
      <c r="J14592" t="s">
        <v>39011</v>
      </c>
      <c r="K14592" t="s">
        <v>39029</v>
      </c>
      <c r="M14592" t="s">
        <v>40517</v>
      </c>
      <c r="N14592" t="s">
        <v>43166</v>
      </c>
      <c r="O14592" t="s">
        <v>43167</v>
      </c>
      <c r="P14592">
        <v>0</v>
      </c>
      <c r="Q14592">
        <v>2</v>
      </c>
      <c r="R14592" t="s">
        <v>43174</v>
      </c>
      <c r="S14592" t="s">
        <v>43396</v>
      </c>
      <c r="T14592" t="s">
        <v>44750</v>
      </c>
      <c r="U14592" t="s">
        <v>52075</v>
      </c>
      <c r="W14592" t="s">
        <v>40517</v>
      </c>
      <c r="X14592" t="s">
        <v>43175</v>
      </c>
    </row>
    <row r="14593" spans="1:24">
      <c r="A14593">
        <f>HYPERLINK("https://www.philgeps.gov.ph/GEPSNONPILOT/Tender/SplashBidNoticeAbstractUI.aspx?menuIndex=3&amp;refID=7051596&amp;Result=3","7051596")</f>
        <v>0</v>
      </c>
      <c r="B14593" t="s">
        <v>2656</v>
      </c>
      <c r="C14593" t="s">
        <v>17405</v>
      </c>
      <c r="D14593" t="s">
        <v>17458</v>
      </c>
      <c r="E14593" t="s">
        <v>30046</v>
      </c>
      <c r="F14593" t="s">
        <v>30052</v>
      </c>
      <c r="G14593" t="s">
        <v>30058</v>
      </c>
      <c r="H14593" t="s">
        <v>30067</v>
      </c>
      <c r="I14593" t="s">
        <v>3693</v>
      </c>
      <c r="J14593" t="s">
        <v>39012</v>
      </c>
      <c r="K14593" t="s">
        <v>39025</v>
      </c>
      <c r="L14593" t="s">
        <v>2656</v>
      </c>
      <c r="M14593" t="s">
        <v>42174</v>
      </c>
      <c r="N14593" t="s">
        <v>43166</v>
      </c>
      <c r="O14593" t="s">
        <v>43167</v>
      </c>
      <c r="Q14593">
        <v>1</v>
      </c>
      <c r="R14593" t="s">
        <v>43186</v>
      </c>
      <c r="S14593" t="s">
        <v>44674</v>
      </c>
      <c r="T14593" t="s">
        <v>44842</v>
      </c>
      <c r="U14593" t="s">
        <v>55638</v>
      </c>
      <c r="V14593" t="s">
        <v>57765</v>
      </c>
      <c r="W14593" t="s">
        <v>42174</v>
      </c>
      <c r="X14593" t="s">
        <v>43187</v>
      </c>
    </row>
    <row r="14594" spans="1:24">
      <c r="A14594">
        <f>HYPERLINK("https://www.philgeps.gov.ph/GEPSNONPILOT/Tender/SplashBidNoticeAbstractUI.aspx?menuIndex=3&amp;refID=7075043&amp;Result=3","7075043")</f>
        <v>0</v>
      </c>
      <c r="B14594" t="s">
        <v>3440</v>
      </c>
      <c r="C14594" t="s">
        <v>17406</v>
      </c>
      <c r="D14594" t="s">
        <v>17418</v>
      </c>
      <c r="E14594" t="s">
        <v>30047</v>
      </c>
      <c r="F14594" t="s">
        <v>30052</v>
      </c>
      <c r="G14594" t="s">
        <v>30058</v>
      </c>
      <c r="H14594" t="s">
        <v>15498</v>
      </c>
      <c r="I14594" t="s">
        <v>30085</v>
      </c>
      <c r="J14594" t="s">
        <v>30377</v>
      </c>
      <c r="K14594" t="s">
        <v>39017</v>
      </c>
      <c r="M14594" t="s">
        <v>43139</v>
      </c>
      <c r="N14594" t="s">
        <v>43166</v>
      </c>
      <c r="O14594" t="s">
        <v>43167</v>
      </c>
      <c r="P14594">
        <v>0</v>
      </c>
      <c r="Q14594">
        <v>1</v>
      </c>
      <c r="R14594" t="s">
        <v>43174</v>
      </c>
      <c r="S14594" t="s">
        <v>43396</v>
      </c>
      <c r="T14594" t="s">
        <v>44717</v>
      </c>
      <c r="U14594" t="s">
        <v>56803</v>
      </c>
      <c r="W14594" t="s">
        <v>43139</v>
      </c>
      <c r="X14594" t="s">
        <v>43175</v>
      </c>
    </row>
    <row r="14595" spans="1:24">
      <c r="A14595">
        <f>HYPERLINK("https://www.philgeps.gov.ph/GEPSNONPILOT/Tender/SplashBidNoticeAbstractUI.aspx?menuIndex=3&amp;refID=7075138&amp;Result=3","7075138")</f>
        <v>0</v>
      </c>
      <c r="B14595" t="s">
        <v>3454</v>
      </c>
      <c r="C14595" t="s">
        <v>17407</v>
      </c>
      <c r="D14595" t="s">
        <v>17443</v>
      </c>
      <c r="E14595" t="s">
        <v>17715</v>
      </c>
      <c r="F14595" t="s">
        <v>30052</v>
      </c>
      <c r="G14595" t="s">
        <v>30058</v>
      </c>
      <c r="H14595" t="s">
        <v>15498</v>
      </c>
      <c r="I14595" t="s">
        <v>3736</v>
      </c>
      <c r="J14595" t="s">
        <v>39013</v>
      </c>
      <c r="K14595" t="s">
        <v>39019</v>
      </c>
      <c r="M14595" t="s">
        <v>43163</v>
      </c>
      <c r="N14595" t="s">
        <v>43166</v>
      </c>
      <c r="O14595" t="s">
        <v>43167</v>
      </c>
      <c r="Q14595">
        <v>0</v>
      </c>
      <c r="R14595" t="s">
        <v>43174</v>
      </c>
      <c r="S14595" t="s">
        <v>44675</v>
      </c>
      <c r="T14595" t="s">
        <v>44710</v>
      </c>
      <c r="U14595" t="s">
        <v>56804</v>
      </c>
      <c r="W14595" t="s">
        <v>43163</v>
      </c>
      <c r="X14595" t="s">
        <v>43175</v>
      </c>
    </row>
    <row r="14596" spans="1:24">
      <c r="A14596">
        <f>HYPERLINK("https://www.philgeps.gov.ph/GEPSNONPILOT/Tender/SplashBidNoticeAbstractUI.aspx?menuIndex=3&amp;refID=7051632&amp;Result=3","7051632")</f>
        <v>0</v>
      </c>
      <c r="B14596" t="s">
        <v>1059</v>
      </c>
      <c r="C14596" t="s">
        <v>17408</v>
      </c>
      <c r="D14596" t="s">
        <v>17432</v>
      </c>
      <c r="E14596" t="s">
        <v>30048</v>
      </c>
      <c r="F14596" t="s">
        <v>30052</v>
      </c>
      <c r="G14596" t="s">
        <v>30058</v>
      </c>
      <c r="H14596" t="s">
        <v>15498</v>
      </c>
      <c r="I14596" t="s">
        <v>30106</v>
      </c>
      <c r="J14596" t="s">
        <v>33968</v>
      </c>
      <c r="K14596" t="s">
        <v>39029</v>
      </c>
      <c r="M14596" t="s">
        <v>40394</v>
      </c>
      <c r="N14596" t="s">
        <v>43166</v>
      </c>
      <c r="O14596" t="s">
        <v>43167</v>
      </c>
      <c r="Q14596">
        <v>10</v>
      </c>
      <c r="R14596" t="s">
        <v>43186</v>
      </c>
      <c r="S14596" t="s">
        <v>44676</v>
      </c>
      <c r="T14596" t="s">
        <v>44832</v>
      </c>
      <c r="U14596" t="s">
        <v>56805</v>
      </c>
      <c r="V14596" t="s">
        <v>57136</v>
      </c>
      <c r="W14596" t="s">
        <v>40394</v>
      </c>
      <c r="X14596" t="s">
        <v>43187</v>
      </c>
    </row>
    <row r="14597" spans="1:24">
      <c r="A14597">
        <f>HYPERLINK("https://www.philgeps.gov.ph/GEPSNONPILOT/Tender/SplashBidNoticeAbstractUI.aspx?menuIndex=3&amp;refID=7075083&amp;Result=3","7075083")</f>
        <v>0</v>
      </c>
      <c r="B14597" t="s">
        <v>3455</v>
      </c>
      <c r="C14597" t="s">
        <v>17409</v>
      </c>
      <c r="D14597" t="s">
        <v>17434</v>
      </c>
      <c r="E14597" t="s">
        <v>30049</v>
      </c>
      <c r="F14597" t="s">
        <v>30052</v>
      </c>
      <c r="G14597" t="s">
        <v>30058</v>
      </c>
      <c r="H14597" t="s">
        <v>15498</v>
      </c>
      <c r="I14597" t="s">
        <v>30084</v>
      </c>
      <c r="J14597" t="s">
        <v>39014</v>
      </c>
      <c r="K14597" t="s">
        <v>39037</v>
      </c>
      <c r="M14597" t="s">
        <v>43164</v>
      </c>
      <c r="N14597" t="s">
        <v>43166</v>
      </c>
      <c r="O14597" t="s">
        <v>43167</v>
      </c>
      <c r="P14597">
        <v>0</v>
      </c>
      <c r="Q14597">
        <v>5</v>
      </c>
      <c r="R14597" t="s">
        <v>43174</v>
      </c>
      <c r="S14597" t="s">
        <v>43396</v>
      </c>
      <c r="T14597" t="s">
        <v>44699</v>
      </c>
      <c r="U14597" t="s">
        <v>56806</v>
      </c>
      <c r="W14597" t="s">
        <v>43164</v>
      </c>
      <c r="X14597" t="s">
        <v>43175</v>
      </c>
    </row>
    <row r="14598" spans="1:24">
      <c r="A14598">
        <f>HYPERLINK("https://www.philgeps.gov.ph/GEPSNONPILOT/Tender/SplashBidNoticeAbstractUI.aspx?menuIndex=3&amp;refID=7075039&amp;Result=3","7075039")</f>
        <v>0</v>
      </c>
      <c r="B14598" t="s">
        <v>3456</v>
      </c>
      <c r="C14598" t="s">
        <v>17410</v>
      </c>
      <c r="D14598" t="s">
        <v>17415</v>
      </c>
      <c r="E14598" t="s">
        <v>30050</v>
      </c>
      <c r="F14598" t="s">
        <v>30052</v>
      </c>
      <c r="G14598" t="s">
        <v>30058</v>
      </c>
      <c r="H14598" t="s">
        <v>30069</v>
      </c>
      <c r="I14598" t="s">
        <v>30072</v>
      </c>
      <c r="J14598" t="s">
        <v>32072</v>
      </c>
      <c r="K14598" t="s">
        <v>39067</v>
      </c>
      <c r="M14598" t="s">
        <v>43165</v>
      </c>
      <c r="N14598" t="s">
        <v>43166</v>
      </c>
      <c r="O14598" t="s">
        <v>43167</v>
      </c>
      <c r="P14598">
        <v>0</v>
      </c>
      <c r="Q14598">
        <v>3</v>
      </c>
      <c r="R14598" t="s">
        <v>43174</v>
      </c>
      <c r="S14598" t="s">
        <v>43396</v>
      </c>
      <c r="T14598" t="s">
        <v>45009</v>
      </c>
      <c r="U14598" t="s">
        <v>56807</v>
      </c>
      <c r="W14598" t="s">
        <v>43165</v>
      </c>
      <c r="X14598" t="s">
        <v>43175</v>
      </c>
    </row>
    <row r="14599" spans="1:24">
      <c r="A14599">
        <f>HYPERLINK("https://www.philgeps.gov.ph/GEPSNONPILOT/Tender/SplashBidNoticeAbstractUI.aspx?menuIndex=3&amp;refID=7052018&amp;Result=3","7052018")</f>
        <v>0</v>
      </c>
      <c r="B14599" t="s">
        <v>3453</v>
      </c>
      <c r="C14599" t="s">
        <v>17411</v>
      </c>
      <c r="D14599" t="s">
        <v>17459</v>
      </c>
      <c r="E14599" t="s">
        <v>30051</v>
      </c>
      <c r="F14599" t="s">
        <v>30052</v>
      </c>
      <c r="G14599" t="s">
        <v>30058</v>
      </c>
      <c r="H14599" t="s">
        <v>15498</v>
      </c>
      <c r="I14599" t="s">
        <v>30076</v>
      </c>
      <c r="J14599" t="s">
        <v>39015</v>
      </c>
      <c r="K14599" t="s">
        <v>39037</v>
      </c>
      <c r="M14599" t="s">
        <v>43161</v>
      </c>
      <c r="N14599" t="s">
        <v>43166</v>
      </c>
      <c r="O14599" t="s">
        <v>43167</v>
      </c>
      <c r="P14599">
        <v>0</v>
      </c>
      <c r="Q14599">
        <v>4</v>
      </c>
      <c r="R14599" t="s">
        <v>43186</v>
      </c>
      <c r="S14599" t="s">
        <v>44047</v>
      </c>
      <c r="T14599" t="s">
        <v>44773</v>
      </c>
      <c r="U14599" t="s">
        <v>56808</v>
      </c>
      <c r="W14599" t="s">
        <v>43161</v>
      </c>
      <c r="X14599" t="s">
        <v>43187</v>
      </c>
    </row>
    <row r="14600" spans="1:24">
      <c r="A14600">
        <f>HYPERLINK("https://www.philgeps.gov.ph/GEPSNONPILOT/Tender/SplashBidNoticeAbstractUI.aspx?menuIndex=3&amp;refID=7075092&amp;Result=3","7075092")</f>
        <v>0</v>
      </c>
      <c r="B14600" t="s">
        <v>1682</v>
      </c>
      <c r="C14600" t="s">
        <v>17412</v>
      </c>
      <c r="D14600" t="s">
        <v>17453</v>
      </c>
      <c r="E14600" t="s">
        <v>24967</v>
      </c>
      <c r="F14600" t="s">
        <v>30052</v>
      </c>
      <c r="G14600" t="s">
        <v>30059</v>
      </c>
      <c r="H14600" t="s">
        <v>15498</v>
      </c>
      <c r="I14600" t="s">
        <v>30146</v>
      </c>
      <c r="J14600" t="s">
        <v>30528</v>
      </c>
      <c r="K14600" t="s">
        <v>39019</v>
      </c>
      <c r="M14600" t="s">
        <v>41118</v>
      </c>
      <c r="N14600" t="s">
        <v>43166</v>
      </c>
      <c r="O14600" t="s">
        <v>43167</v>
      </c>
      <c r="P14600">
        <v>0</v>
      </c>
      <c r="Q14600">
        <v>4</v>
      </c>
      <c r="R14600" t="s">
        <v>43174</v>
      </c>
      <c r="S14600" t="s">
        <v>43396</v>
      </c>
      <c r="T14600" t="s">
        <v>44870</v>
      </c>
      <c r="U14600" t="s">
        <v>56809</v>
      </c>
      <c r="W14600" t="s">
        <v>41118</v>
      </c>
      <c r="X14600" t="s">
        <v>43175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2020-07-06T18:56:14Z</dcterms:created>
  <dcterms:modified xsi:type="dcterms:W3CDTF">2020-07-06T18:56:14Z</dcterms:modified>
</cp:coreProperties>
</file>